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externalLinks/externalLink93.xml" ContentType="application/vnd.openxmlformats-officedocument.spreadsheetml.externalLink+xml"/>
  <Override PartName="/xl/externalLinks/externalLink94.xml" ContentType="application/vnd.openxmlformats-officedocument.spreadsheetml.externalLink+xml"/>
  <Override PartName="/xl/externalLinks/externalLink95.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externalLinks/externalLink99.xml" ContentType="application/vnd.openxmlformats-officedocument.spreadsheetml.externalLink+xml"/>
  <Override PartName="/xl/externalLinks/externalLink100.xml" ContentType="application/vnd.openxmlformats-officedocument.spreadsheetml.externalLink+xml"/>
  <Override PartName="/xl/externalLinks/externalLink101.xml" ContentType="application/vnd.openxmlformats-officedocument.spreadsheetml.externalLink+xml"/>
  <Override PartName="/xl/externalLinks/externalLink102.xml" ContentType="application/vnd.openxmlformats-officedocument.spreadsheetml.externalLink+xml"/>
  <Override PartName="/xl/externalLinks/externalLink103.xml" ContentType="application/vnd.openxmlformats-officedocument.spreadsheetml.externalLink+xml"/>
  <Override PartName="/xl/externalLinks/externalLink104.xml" ContentType="application/vnd.openxmlformats-officedocument.spreadsheetml.externalLink+xml"/>
  <Override PartName="/xl/externalLinks/externalLink105.xml" ContentType="application/vnd.openxmlformats-officedocument.spreadsheetml.externalLink+xml"/>
  <Override PartName="/xl/externalLinks/externalLink106.xml" ContentType="application/vnd.openxmlformats-officedocument.spreadsheetml.externalLink+xml"/>
  <Override PartName="/xl/externalLinks/externalLink107.xml" ContentType="application/vnd.openxmlformats-officedocument.spreadsheetml.externalLink+xml"/>
  <Override PartName="/xl/externalLinks/externalLink108.xml" ContentType="application/vnd.openxmlformats-officedocument.spreadsheetml.externalLink+xml"/>
  <Override PartName="/xl/externalLinks/externalLink109.xml" ContentType="application/vnd.openxmlformats-officedocument.spreadsheetml.externalLink+xml"/>
  <Override PartName="/xl/externalLinks/externalLink110.xml" ContentType="application/vnd.openxmlformats-officedocument.spreadsheetml.externalLink+xml"/>
  <Override PartName="/xl/externalLinks/externalLink111.xml" ContentType="application/vnd.openxmlformats-officedocument.spreadsheetml.externalLink+xml"/>
  <Override PartName="/xl/externalLinks/externalLink112.xml" ContentType="application/vnd.openxmlformats-officedocument.spreadsheetml.externalLink+xml"/>
  <Override PartName="/xl/externalLinks/externalLink113.xml" ContentType="application/vnd.openxmlformats-officedocument.spreadsheetml.externalLink+xml"/>
  <Override PartName="/xl/externalLinks/externalLink114.xml" ContentType="application/vnd.openxmlformats-officedocument.spreadsheetml.externalLink+xml"/>
  <Override PartName="/xl/externalLinks/externalLink115.xml" ContentType="application/vnd.openxmlformats-officedocument.spreadsheetml.externalLink+xml"/>
  <Override PartName="/xl/externalLinks/externalLink116.xml" ContentType="application/vnd.openxmlformats-officedocument.spreadsheetml.externalLink+xml"/>
  <Override PartName="/xl/externalLinks/externalLink117.xml" ContentType="application/vnd.openxmlformats-officedocument.spreadsheetml.externalLink+xml"/>
  <Override PartName="/xl/externalLinks/externalLink118.xml" ContentType="application/vnd.openxmlformats-officedocument.spreadsheetml.externalLink+xml"/>
  <Override PartName="/xl/externalLinks/externalLink119.xml" ContentType="application/vnd.openxmlformats-officedocument.spreadsheetml.externalLink+xml"/>
  <Override PartName="/xl/externalLinks/externalLink120.xml" ContentType="application/vnd.openxmlformats-officedocument.spreadsheetml.externalLink+xml"/>
  <Override PartName="/xl/externalLinks/externalLink121.xml" ContentType="application/vnd.openxmlformats-officedocument.spreadsheetml.externalLink+xml"/>
  <Override PartName="/xl/externalLinks/externalLink122.xml" ContentType="application/vnd.openxmlformats-officedocument.spreadsheetml.externalLink+xml"/>
  <Override PartName="/xl/externalLinks/externalLink123.xml" ContentType="application/vnd.openxmlformats-officedocument.spreadsheetml.externalLink+xml"/>
  <Override PartName="/xl/externalLinks/externalLink124.xml" ContentType="application/vnd.openxmlformats-officedocument.spreadsheetml.externalLink+xml"/>
  <Override PartName="/xl/externalLinks/externalLink125.xml" ContentType="application/vnd.openxmlformats-officedocument.spreadsheetml.externalLink+xml"/>
  <Override PartName="/xl/externalLinks/externalLink126.xml" ContentType="application/vnd.openxmlformats-officedocument.spreadsheetml.externalLink+xml"/>
  <Override PartName="/xl/externalLinks/externalLink127.xml" ContentType="application/vnd.openxmlformats-officedocument.spreadsheetml.externalLink+xml"/>
  <Override PartName="/xl/externalLinks/externalLink128.xml" ContentType="application/vnd.openxmlformats-officedocument.spreadsheetml.externalLink+xml"/>
  <Override PartName="/xl/externalLinks/externalLink129.xml" ContentType="application/vnd.openxmlformats-officedocument.spreadsheetml.externalLink+xml"/>
  <Override PartName="/xl/externalLinks/externalLink130.xml" ContentType="application/vnd.openxmlformats-officedocument.spreadsheetml.externalLink+xml"/>
  <Override PartName="/xl/externalLinks/externalLink131.xml" ContentType="application/vnd.openxmlformats-officedocument.spreadsheetml.externalLink+xml"/>
  <Override PartName="/xl/externalLinks/externalLink132.xml" ContentType="application/vnd.openxmlformats-officedocument.spreadsheetml.externalLink+xml"/>
  <Override PartName="/xl/externalLinks/externalLink133.xml" ContentType="application/vnd.openxmlformats-officedocument.spreadsheetml.externalLink+xml"/>
  <Override PartName="/xl/externalLinks/externalLink134.xml" ContentType="application/vnd.openxmlformats-officedocument.spreadsheetml.externalLink+xml"/>
  <Override PartName="/xl/externalLinks/externalLink135.xml" ContentType="application/vnd.openxmlformats-officedocument.spreadsheetml.externalLink+xml"/>
  <Override PartName="/xl/externalLinks/externalLink136.xml" ContentType="application/vnd.openxmlformats-officedocument.spreadsheetml.externalLink+xml"/>
  <Override PartName="/xl/externalLinks/externalLink137.xml" ContentType="application/vnd.openxmlformats-officedocument.spreadsheetml.externalLink+xml"/>
  <Override PartName="/xl/externalLinks/externalLink138.xml" ContentType="application/vnd.openxmlformats-officedocument.spreadsheetml.externalLink+xml"/>
  <Override PartName="/xl/externalLinks/externalLink139.xml" ContentType="application/vnd.openxmlformats-officedocument.spreadsheetml.externalLink+xml"/>
  <Override PartName="/xl/externalLinks/externalLink140.xml" ContentType="application/vnd.openxmlformats-officedocument.spreadsheetml.externalLink+xml"/>
  <Override PartName="/xl/externalLinks/externalLink141.xml" ContentType="application/vnd.openxmlformats-officedocument.spreadsheetml.externalLink+xml"/>
  <Override PartName="/xl/externalLinks/externalLink142.xml" ContentType="application/vnd.openxmlformats-officedocument.spreadsheetml.externalLink+xml"/>
  <Override PartName="/xl/externalLinks/externalLink143.xml" ContentType="application/vnd.openxmlformats-officedocument.spreadsheetml.externalLink+xml"/>
  <Override PartName="/xl/externalLinks/externalLink144.xml" ContentType="application/vnd.openxmlformats-officedocument.spreadsheetml.externalLink+xml"/>
  <Override PartName="/xl/externalLinks/externalLink145.xml" ContentType="application/vnd.openxmlformats-officedocument.spreadsheetml.externalLink+xml"/>
  <Override PartName="/xl/externalLinks/externalLink146.xml" ContentType="application/vnd.openxmlformats-officedocument.spreadsheetml.externalLink+xml"/>
  <Override PartName="/xl/externalLinks/externalLink147.xml" ContentType="application/vnd.openxmlformats-officedocument.spreadsheetml.externalLink+xml"/>
  <Override PartName="/xl/externalLinks/externalLink148.xml" ContentType="application/vnd.openxmlformats-officedocument.spreadsheetml.externalLink+xml"/>
  <Override PartName="/xl/externalLinks/externalLink149.xml" ContentType="application/vnd.openxmlformats-officedocument.spreadsheetml.externalLink+xml"/>
  <Override PartName="/xl/externalLinks/externalLink150.xml" ContentType="application/vnd.openxmlformats-officedocument.spreadsheetml.externalLink+xml"/>
  <Override PartName="/xl/externalLinks/externalLink151.xml" ContentType="application/vnd.openxmlformats-officedocument.spreadsheetml.externalLink+xml"/>
  <Override PartName="/xl/externalLinks/externalLink152.xml" ContentType="application/vnd.openxmlformats-officedocument.spreadsheetml.externalLink+xml"/>
  <Override PartName="/xl/externalLinks/externalLink153.xml" ContentType="application/vnd.openxmlformats-officedocument.spreadsheetml.externalLink+xml"/>
  <Override PartName="/xl/externalLinks/externalLink154.xml" ContentType="application/vnd.openxmlformats-officedocument.spreadsheetml.externalLink+xml"/>
  <Override PartName="/xl/externalLinks/externalLink155.xml" ContentType="application/vnd.openxmlformats-officedocument.spreadsheetml.externalLink+xml"/>
  <Override PartName="/xl/externalLinks/externalLink156.xml" ContentType="application/vnd.openxmlformats-officedocument.spreadsheetml.externalLink+xml"/>
  <Override PartName="/xl/externalLinks/externalLink157.xml" ContentType="application/vnd.openxmlformats-officedocument.spreadsheetml.externalLink+xml"/>
  <Override PartName="/xl/externalLinks/externalLink158.xml" ContentType="application/vnd.openxmlformats-officedocument.spreadsheetml.externalLink+xml"/>
  <Override PartName="/xl/externalLinks/externalLink159.xml" ContentType="application/vnd.openxmlformats-officedocument.spreadsheetml.externalLink+xml"/>
  <Override PartName="/xl/externalLinks/externalLink160.xml" ContentType="application/vnd.openxmlformats-officedocument.spreadsheetml.externalLink+xml"/>
  <Override PartName="/xl/externalLinks/externalLink161.xml" ContentType="application/vnd.openxmlformats-officedocument.spreadsheetml.externalLink+xml"/>
  <Override PartName="/xl/externalLinks/externalLink162.xml" ContentType="application/vnd.openxmlformats-officedocument.spreadsheetml.externalLink+xml"/>
  <Override PartName="/xl/externalLinks/externalLink163.xml" ContentType="application/vnd.openxmlformats-officedocument.spreadsheetml.externalLink+xml"/>
  <Override PartName="/xl/externalLinks/externalLink164.xml" ContentType="application/vnd.openxmlformats-officedocument.spreadsheetml.externalLink+xml"/>
  <Override PartName="/xl/externalLinks/externalLink165.xml" ContentType="application/vnd.openxmlformats-officedocument.spreadsheetml.externalLink+xml"/>
  <Override PartName="/xl/externalLinks/externalLink166.xml" ContentType="application/vnd.openxmlformats-officedocument.spreadsheetml.externalLink+xml"/>
  <Override PartName="/xl/externalLinks/externalLink167.xml" ContentType="application/vnd.openxmlformats-officedocument.spreadsheetml.externalLink+xml"/>
  <Override PartName="/xl/externalLinks/externalLink168.xml" ContentType="application/vnd.openxmlformats-officedocument.spreadsheetml.externalLink+xml"/>
  <Override PartName="/xl/externalLinks/externalLink169.xml" ContentType="application/vnd.openxmlformats-officedocument.spreadsheetml.externalLink+xml"/>
  <Override PartName="/xl/externalLinks/externalLink170.xml" ContentType="application/vnd.openxmlformats-officedocument.spreadsheetml.externalLink+xml"/>
  <Override PartName="/xl/externalLinks/externalLink171.xml" ContentType="application/vnd.openxmlformats-officedocument.spreadsheetml.externalLink+xml"/>
  <Override PartName="/xl/externalLinks/externalLink172.xml" ContentType="application/vnd.openxmlformats-officedocument.spreadsheetml.externalLink+xml"/>
  <Override PartName="/xl/externalLinks/externalLink173.xml" ContentType="application/vnd.openxmlformats-officedocument.spreadsheetml.externalLink+xml"/>
  <Override PartName="/xl/externalLinks/externalLink174.xml" ContentType="application/vnd.openxmlformats-officedocument.spreadsheetml.externalLink+xml"/>
  <Override PartName="/xl/externalLinks/externalLink175.xml" ContentType="application/vnd.openxmlformats-officedocument.spreadsheetml.externalLink+xml"/>
  <Override PartName="/xl/externalLinks/externalLink176.xml" ContentType="application/vnd.openxmlformats-officedocument.spreadsheetml.externalLink+xml"/>
  <Override PartName="/xl/externalLinks/externalLink177.xml" ContentType="application/vnd.openxmlformats-officedocument.spreadsheetml.externalLink+xml"/>
  <Override PartName="/xl/externalLinks/externalLink178.xml" ContentType="application/vnd.openxmlformats-officedocument.spreadsheetml.externalLink+xml"/>
  <Override PartName="/xl/externalLinks/externalLink179.xml" ContentType="application/vnd.openxmlformats-officedocument.spreadsheetml.externalLink+xml"/>
  <Override PartName="/xl/externalLinks/externalLink180.xml" ContentType="application/vnd.openxmlformats-officedocument.spreadsheetml.externalLink+xml"/>
  <Override PartName="/xl/externalLinks/externalLink181.xml" ContentType="application/vnd.openxmlformats-officedocument.spreadsheetml.externalLink+xml"/>
  <Override PartName="/xl/externalLinks/externalLink182.xml" ContentType="application/vnd.openxmlformats-officedocument.spreadsheetml.externalLink+xml"/>
  <Override PartName="/xl/externalLinks/externalLink183.xml" ContentType="application/vnd.openxmlformats-officedocument.spreadsheetml.externalLink+xml"/>
  <Override PartName="/xl/externalLinks/externalLink184.xml" ContentType="application/vnd.openxmlformats-officedocument.spreadsheetml.externalLink+xml"/>
  <Override PartName="/xl/externalLinks/externalLink185.xml" ContentType="application/vnd.openxmlformats-officedocument.spreadsheetml.externalLink+xml"/>
  <Override PartName="/xl/externalLinks/externalLink186.xml" ContentType="application/vnd.openxmlformats-officedocument.spreadsheetml.externalLink+xml"/>
  <Override PartName="/xl/externalLinks/externalLink187.xml" ContentType="application/vnd.openxmlformats-officedocument.spreadsheetml.externalLink+xml"/>
  <Override PartName="/xl/externalLinks/externalLink188.xml" ContentType="application/vnd.openxmlformats-officedocument.spreadsheetml.externalLink+xml"/>
  <Override PartName="/xl/externalLinks/externalLink189.xml" ContentType="application/vnd.openxmlformats-officedocument.spreadsheetml.externalLink+xml"/>
  <Override PartName="/xl/externalLinks/externalLink190.xml" ContentType="application/vnd.openxmlformats-officedocument.spreadsheetml.externalLink+xml"/>
  <Override PartName="/xl/externalLinks/externalLink191.xml" ContentType="application/vnd.openxmlformats-officedocument.spreadsheetml.externalLink+xml"/>
  <Override PartName="/xl/externalLinks/externalLink192.xml" ContentType="application/vnd.openxmlformats-officedocument.spreadsheetml.externalLink+xml"/>
  <Override PartName="/xl/externalLinks/externalLink193.xml" ContentType="application/vnd.openxmlformats-officedocument.spreadsheetml.externalLink+xml"/>
  <Override PartName="/xl/externalLinks/externalLink194.xml" ContentType="application/vnd.openxmlformats-officedocument.spreadsheetml.externalLink+xml"/>
  <Override PartName="/xl/externalLinks/externalLink195.xml" ContentType="application/vnd.openxmlformats-officedocument.spreadsheetml.externalLink+xml"/>
  <Override PartName="/xl/externalLinks/externalLink196.xml" ContentType="application/vnd.openxmlformats-officedocument.spreadsheetml.externalLink+xml"/>
  <Override PartName="/xl/externalLinks/externalLink197.xml" ContentType="application/vnd.openxmlformats-officedocument.spreadsheetml.externalLink+xml"/>
  <Override PartName="/xl/externalLinks/externalLink198.xml" ContentType="application/vnd.openxmlformats-officedocument.spreadsheetml.externalLink+xml"/>
  <Override PartName="/xl/externalLinks/externalLink199.xml" ContentType="application/vnd.openxmlformats-officedocument.spreadsheetml.externalLink+xml"/>
  <Override PartName="/xl/externalLinks/externalLink200.xml" ContentType="application/vnd.openxmlformats-officedocument.spreadsheetml.externalLink+xml"/>
  <Override PartName="/xl/externalLinks/externalLink201.xml" ContentType="application/vnd.openxmlformats-officedocument.spreadsheetml.externalLink+xml"/>
  <Override PartName="/xl/externalLinks/externalLink202.xml" ContentType="application/vnd.openxmlformats-officedocument.spreadsheetml.externalLink+xml"/>
  <Override PartName="/xl/externalLinks/externalLink203.xml" ContentType="application/vnd.openxmlformats-officedocument.spreadsheetml.externalLink+xml"/>
  <Override PartName="/xl/externalLinks/externalLink204.xml" ContentType="application/vnd.openxmlformats-officedocument.spreadsheetml.externalLink+xml"/>
  <Override PartName="/xl/externalLinks/externalLink205.xml" ContentType="application/vnd.openxmlformats-officedocument.spreadsheetml.externalLink+xml"/>
  <Override PartName="/xl/externalLinks/externalLink206.xml" ContentType="application/vnd.openxmlformats-officedocument.spreadsheetml.externalLink+xml"/>
  <Override PartName="/xl/externalLinks/externalLink207.xml" ContentType="application/vnd.openxmlformats-officedocument.spreadsheetml.externalLink+xml"/>
  <Override PartName="/xl/externalLinks/externalLink208.xml" ContentType="application/vnd.openxmlformats-officedocument.spreadsheetml.externalLink+xml"/>
  <Override PartName="/xl/externalLinks/externalLink209.xml" ContentType="application/vnd.openxmlformats-officedocument.spreadsheetml.externalLink+xml"/>
  <Override PartName="/xl/externalLinks/externalLink210.xml" ContentType="application/vnd.openxmlformats-officedocument.spreadsheetml.externalLink+xml"/>
  <Override PartName="/xl/externalLinks/externalLink211.xml" ContentType="application/vnd.openxmlformats-officedocument.spreadsheetml.externalLink+xml"/>
  <Override PartName="/xl/externalLinks/externalLink212.xml" ContentType="application/vnd.openxmlformats-officedocument.spreadsheetml.externalLink+xml"/>
  <Override PartName="/xl/externalLinks/externalLink213.xml" ContentType="application/vnd.openxmlformats-officedocument.spreadsheetml.externalLink+xml"/>
  <Override PartName="/xl/externalLinks/externalLink214.xml" ContentType="application/vnd.openxmlformats-officedocument.spreadsheetml.externalLink+xml"/>
  <Override PartName="/xl/externalLinks/externalLink215.xml" ContentType="application/vnd.openxmlformats-officedocument.spreadsheetml.externalLink+xml"/>
  <Override PartName="/xl/externalLinks/externalLink216.xml" ContentType="application/vnd.openxmlformats-officedocument.spreadsheetml.externalLink+xml"/>
  <Override PartName="/xl/externalLinks/externalLink217.xml" ContentType="application/vnd.openxmlformats-officedocument.spreadsheetml.externalLink+xml"/>
  <Override PartName="/xl/externalLinks/externalLink218.xml" ContentType="application/vnd.openxmlformats-officedocument.spreadsheetml.externalLink+xml"/>
  <Override PartName="/xl/externalLinks/externalLink219.xml" ContentType="application/vnd.openxmlformats-officedocument.spreadsheetml.externalLink+xml"/>
  <Override PartName="/xl/externalLinks/externalLink220.xml" ContentType="application/vnd.openxmlformats-officedocument.spreadsheetml.externalLink+xml"/>
  <Override PartName="/xl/externalLinks/externalLink221.xml" ContentType="application/vnd.openxmlformats-officedocument.spreadsheetml.externalLink+xml"/>
  <Override PartName="/xl/externalLinks/externalLink222.xml" ContentType="application/vnd.openxmlformats-officedocument.spreadsheetml.externalLink+xml"/>
  <Override PartName="/xl/externalLinks/externalLink223.xml" ContentType="application/vnd.openxmlformats-officedocument.spreadsheetml.externalLink+xml"/>
  <Override PartName="/xl/externalLinks/externalLink224.xml" ContentType="application/vnd.openxmlformats-officedocument.spreadsheetml.externalLink+xml"/>
  <Override PartName="/xl/externalLinks/externalLink225.xml" ContentType="application/vnd.openxmlformats-officedocument.spreadsheetml.externalLink+xml"/>
  <Override PartName="/xl/externalLinks/externalLink226.xml" ContentType="application/vnd.openxmlformats-officedocument.spreadsheetml.externalLink+xml"/>
  <Override PartName="/xl/externalLinks/externalLink227.xml" ContentType="application/vnd.openxmlformats-officedocument.spreadsheetml.externalLink+xml"/>
  <Override PartName="/xl/externalLinks/externalLink228.xml" ContentType="application/vnd.openxmlformats-officedocument.spreadsheetml.externalLink+xml"/>
  <Override PartName="/xl/externalLinks/externalLink229.xml" ContentType="application/vnd.openxmlformats-officedocument.spreadsheetml.externalLink+xml"/>
  <Override PartName="/xl/externalLinks/externalLink230.xml" ContentType="application/vnd.openxmlformats-officedocument.spreadsheetml.externalLink+xml"/>
  <Override PartName="/xl/externalLinks/externalLink231.xml" ContentType="application/vnd.openxmlformats-officedocument.spreadsheetml.externalLink+xml"/>
  <Override PartName="/xl/externalLinks/externalLink232.xml" ContentType="application/vnd.openxmlformats-officedocument.spreadsheetml.externalLink+xml"/>
  <Override PartName="/xl/externalLinks/externalLink233.xml" ContentType="application/vnd.openxmlformats-officedocument.spreadsheetml.externalLink+xml"/>
  <Override PartName="/xl/externalLinks/externalLink234.xml" ContentType="application/vnd.openxmlformats-officedocument.spreadsheetml.externalLink+xml"/>
  <Override PartName="/xl/externalLinks/externalLink235.xml" ContentType="application/vnd.openxmlformats-officedocument.spreadsheetml.externalLink+xml"/>
  <Override PartName="/xl/externalLinks/externalLink236.xml" ContentType="application/vnd.openxmlformats-officedocument.spreadsheetml.externalLink+xml"/>
  <Override PartName="/xl/externalLinks/externalLink237.xml" ContentType="application/vnd.openxmlformats-officedocument.spreadsheetml.externalLink+xml"/>
  <Override PartName="/xl/externalLinks/externalLink238.xml" ContentType="application/vnd.openxmlformats-officedocument.spreadsheetml.externalLink+xml"/>
  <Override PartName="/xl/externalLinks/externalLink239.xml" ContentType="application/vnd.openxmlformats-officedocument.spreadsheetml.externalLink+xml"/>
  <Override PartName="/xl/externalLinks/externalLink240.xml" ContentType="application/vnd.openxmlformats-officedocument.spreadsheetml.externalLink+xml"/>
  <Override PartName="/xl/externalLinks/externalLink241.xml" ContentType="application/vnd.openxmlformats-officedocument.spreadsheetml.externalLink+xml"/>
  <Override PartName="/xl/externalLinks/externalLink242.xml" ContentType="application/vnd.openxmlformats-officedocument.spreadsheetml.externalLink+xml"/>
  <Override PartName="/xl/externalLinks/externalLink243.xml" ContentType="application/vnd.openxmlformats-officedocument.spreadsheetml.externalLink+xml"/>
  <Override PartName="/xl/externalLinks/externalLink244.xml" ContentType="application/vnd.openxmlformats-officedocument.spreadsheetml.externalLink+xml"/>
  <Override PartName="/xl/externalLinks/externalLink245.xml" ContentType="application/vnd.openxmlformats-officedocument.spreadsheetml.externalLink+xml"/>
  <Override PartName="/xl/externalLinks/externalLink246.xml" ContentType="application/vnd.openxmlformats-officedocument.spreadsheetml.externalLink+xml"/>
  <Override PartName="/xl/externalLinks/externalLink247.xml" ContentType="application/vnd.openxmlformats-officedocument.spreadsheetml.externalLink+xml"/>
  <Override PartName="/xl/externalLinks/externalLink248.xml" ContentType="application/vnd.openxmlformats-officedocument.spreadsheetml.externalLink+xml"/>
  <Override PartName="/xl/externalLinks/externalLink249.xml" ContentType="application/vnd.openxmlformats-officedocument.spreadsheetml.externalLink+xml"/>
  <Override PartName="/xl/externalLinks/externalLink250.xml" ContentType="application/vnd.openxmlformats-officedocument.spreadsheetml.externalLink+xml"/>
  <Override PartName="/xl/externalLinks/externalLink251.xml" ContentType="application/vnd.openxmlformats-officedocument.spreadsheetml.externalLink+xml"/>
  <Override PartName="/xl/externalLinks/externalLink252.xml" ContentType="application/vnd.openxmlformats-officedocument.spreadsheetml.externalLink+xml"/>
  <Override PartName="/xl/externalLinks/externalLink253.xml" ContentType="application/vnd.openxmlformats-officedocument.spreadsheetml.externalLink+xml"/>
  <Override PartName="/xl/externalLinks/externalLink254.xml" ContentType="application/vnd.openxmlformats-officedocument.spreadsheetml.externalLink+xml"/>
  <Override PartName="/xl/externalLinks/externalLink255.xml" ContentType="application/vnd.openxmlformats-officedocument.spreadsheetml.externalLink+xml"/>
  <Override PartName="/xl/externalLinks/externalLink256.xml" ContentType="application/vnd.openxmlformats-officedocument.spreadsheetml.externalLink+xml"/>
  <Override PartName="/xl/externalLinks/externalLink257.xml" ContentType="application/vnd.openxmlformats-officedocument.spreadsheetml.externalLink+xml"/>
  <Override PartName="/xl/externalLinks/externalLink258.xml" ContentType="application/vnd.openxmlformats-officedocument.spreadsheetml.externalLink+xml"/>
  <Override PartName="/xl/externalLinks/externalLink259.xml" ContentType="application/vnd.openxmlformats-officedocument.spreadsheetml.externalLink+xml"/>
  <Override PartName="/xl/externalLinks/externalLink260.xml" ContentType="application/vnd.openxmlformats-officedocument.spreadsheetml.externalLink+xml"/>
  <Override PartName="/xl/externalLinks/externalLink261.xml" ContentType="application/vnd.openxmlformats-officedocument.spreadsheetml.externalLink+xml"/>
  <Override PartName="/xl/externalLinks/externalLink262.xml" ContentType="application/vnd.openxmlformats-officedocument.spreadsheetml.externalLink+xml"/>
  <Override PartName="/xl/externalLinks/externalLink263.xml" ContentType="application/vnd.openxmlformats-officedocument.spreadsheetml.externalLink+xml"/>
  <Override PartName="/xl/externalLinks/externalLink264.xml" ContentType="application/vnd.openxmlformats-officedocument.spreadsheetml.externalLink+xml"/>
  <Override PartName="/xl/externalLinks/externalLink265.xml" ContentType="application/vnd.openxmlformats-officedocument.spreadsheetml.externalLink+xml"/>
  <Override PartName="/xl/externalLinks/externalLink266.xml" ContentType="application/vnd.openxmlformats-officedocument.spreadsheetml.externalLink+xml"/>
  <Override PartName="/xl/externalLinks/externalLink267.xml" ContentType="application/vnd.openxmlformats-officedocument.spreadsheetml.externalLink+xml"/>
  <Override PartName="/xl/externalLinks/externalLink268.xml" ContentType="application/vnd.openxmlformats-officedocument.spreadsheetml.externalLink+xml"/>
  <Override PartName="/xl/externalLinks/externalLink269.xml" ContentType="application/vnd.openxmlformats-officedocument.spreadsheetml.externalLink+xml"/>
  <Override PartName="/xl/externalLinks/externalLink270.xml" ContentType="application/vnd.openxmlformats-officedocument.spreadsheetml.externalLink+xml"/>
  <Override PartName="/xl/externalLinks/externalLink271.xml" ContentType="application/vnd.openxmlformats-officedocument.spreadsheetml.externalLink+xml"/>
  <Override PartName="/xl/externalLinks/externalLink272.xml" ContentType="application/vnd.openxmlformats-officedocument.spreadsheetml.externalLink+xml"/>
  <Override PartName="/xl/externalLinks/externalLink273.xml" ContentType="application/vnd.openxmlformats-officedocument.spreadsheetml.externalLink+xml"/>
  <Override PartName="/xl/externalLinks/externalLink274.xml" ContentType="application/vnd.openxmlformats-officedocument.spreadsheetml.externalLink+xml"/>
  <Override PartName="/xl/externalLinks/externalLink275.xml" ContentType="application/vnd.openxmlformats-officedocument.spreadsheetml.externalLink+xml"/>
  <Override PartName="/xl/externalLinks/externalLink276.xml" ContentType="application/vnd.openxmlformats-officedocument.spreadsheetml.externalLink+xml"/>
  <Override PartName="/xl/externalLinks/externalLink277.xml" ContentType="application/vnd.openxmlformats-officedocument.spreadsheetml.externalLink+xml"/>
  <Override PartName="/xl/externalLinks/externalLink278.xml" ContentType="application/vnd.openxmlformats-officedocument.spreadsheetml.externalLink+xml"/>
  <Override PartName="/xl/externalLinks/externalLink279.xml" ContentType="application/vnd.openxmlformats-officedocument.spreadsheetml.externalLink+xml"/>
  <Override PartName="/xl/externalLinks/externalLink280.xml" ContentType="application/vnd.openxmlformats-officedocument.spreadsheetml.externalLink+xml"/>
  <Override PartName="/xl/externalLinks/externalLink281.xml" ContentType="application/vnd.openxmlformats-officedocument.spreadsheetml.externalLink+xml"/>
  <Override PartName="/xl/externalLinks/externalLink282.xml" ContentType="application/vnd.openxmlformats-officedocument.spreadsheetml.externalLink+xml"/>
  <Override PartName="/xl/externalLinks/externalLink283.xml" ContentType="application/vnd.openxmlformats-officedocument.spreadsheetml.externalLink+xml"/>
  <Override PartName="/xl/externalLinks/externalLink284.xml" ContentType="application/vnd.openxmlformats-officedocument.spreadsheetml.externalLink+xml"/>
  <Override PartName="/xl/externalLinks/externalLink285.xml" ContentType="application/vnd.openxmlformats-officedocument.spreadsheetml.externalLink+xml"/>
  <Override PartName="/xl/externalLinks/externalLink286.xml" ContentType="application/vnd.openxmlformats-officedocument.spreadsheetml.externalLink+xml"/>
  <Override PartName="/xl/externalLinks/externalLink287.xml" ContentType="application/vnd.openxmlformats-officedocument.spreadsheetml.externalLink+xml"/>
  <Override PartName="/xl/externalLinks/externalLink288.xml" ContentType="application/vnd.openxmlformats-officedocument.spreadsheetml.externalLink+xml"/>
  <Override PartName="/xl/externalLinks/externalLink289.xml" ContentType="application/vnd.openxmlformats-officedocument.spreadsheetml.externalLink+xml"/>
  <Override PartName="/xl/externalLinks/externalLink290.xml" ContentType="application/vnd.openxmlformats-officedocument.spreadsheetml.externalLink+xml"/>
  <Override PartName="/xl/externalLinks/externalLink291.xml" ContentType="application/vnd.openxmlformats-officedocument.spreadsheetml.externalLink+xml"/>
  <Override PartName="/xl/externalLinks/externalLink292.xml" ContentType="application/vnd.openxmlformats-officedocument.spreadsheetml.externalLink+xml"/>
  <Override PartName="/xl/externalLinks/externalLink293.xml" ContentType="application/vnd.openxmlformats-officedocument.spreadsheetml.externalLink+xml"/>
  <Override PartName="/xl/externalLinks/externalLink294.xml" ContentType="application/vnd.openxmlformats-officedocument.spreadsheetml.externalLink+xml"/>
  <Override PartName="/xl/externalLinks/externalLink295.xml" ContentType="application/vnd.openxmlformats-officedocument.spreadsheetml.externalLink+xml"/>
  <Override PartName="/xl/externalLinks/externalLink296.xml" ContentType="application/vnd.openxmlformats-officedocument.spreadsheetml.externalLink+xml"/>
  <Override PartName="/xl/externalLinks/externalLink297.xml" ContentType="application/vnd.openxmlformats-officedocument.spreadsheetml.externalLink+xml"/>
  <Override PartName="/xl/externalLinks/externalLink298.xml" ContentType="application/vnd.openxmlformats-officedocument.spreadsheetml.externalLink+xml"/>
  <Override PartName="/xl/externalLinks/externalLink299.xml" ContentType="application/vnd.openxmlformats-officedocument.spreadsheetml.externalLink+xml"/>
  <Override PartName="/xl/externalLinks/externalLink300.xml" ContentType="application/vnd.openxmlformats-officedocument.spreadsheetml.externalLink+xml"/>
  <Override PartName="/xl/externalLinks/externalLink301.xml" ContentType="application/vnd.openxmlformats-officedocument.spreadsheetml.externalLink+xml"/>
  <Override PartName="/xl/externalLinks/externalLink302.xml" ContentType="application/vnd.openxmlformats-officedocument.spreadsheetml.externalLink+xml"/>
  <Override PartName="/xl/externalLinks/externalLink303.xml" ContentType="application/vnd.openxmlformats-officedocument.spreadsheetml.externalLink+xml"/>
  <Override PartName="/xl/externalLinks/externalLink304.xml" ContentType="application/vnd.openxmlformats-officedocument.spreadsheetml.externalLink+xml"/>
  <Override PartName="/xl/externalLinks/externalLink305.xml" ContentType="application/vnd.openxmlformats-officedocument.spreadsheetml.externalLink+xml"/>
  <Override PartName="/xl/externalLinks/externalLink306.xml" ContentType="application/vnd.openxmlformats-officedocument.spreadsheetml.externalLink+xml"/>
  <Override PartName="/xl/externalLinks/externalLink307.xml" ContentType="application/vnd.openxmlformats-officedocument.spreadsheetml.externalLink+xml"/>
  <Override PartName="/xl/externalLinks/externalLink308.xml" ContentType="application/vnd.openxmlformats-officedocument.spreadsheetml.externalLink+xml"/>
  <Override PartName="/xl/externalLinks/externalLink309.xml" ContentType="application/vnd.openxmlformats-officedocument.spreadsheetml.externalLink+xml"/>
  <Override PartName="/xl/externalLinks/externalLink310.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2.xml" ContentType="application/vnd.openxmlformats-officedocument.drawing+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510"/>
  <workbookPr defaultThemeVersion="124226"/>
  <mc:AlternateContent xmlns:mc="http://schemas.openxmlformats.org/markup-compatibility/2006">
    <mc:Choice Requires="x15">
      <x15ac:absPath xmlns:x15ac="http://schemas.microsoft.com/office/spreadsheetml/2010/11/ac" url="/Users/motiwari/Desktop/globalCSeducationRanking/"/>
    </mc:Choice>
  </mc:AlternateContent>
  <xr:revisionPtr revIDLastSave="0" documentId="13_ncr:1_{4B6DB435-E2AD-784D-A7EB-9BD87C24C5DD}" xr6:coauthVersionLast="45" xr6:coauthVersionMax="45" xr10:uidLastSave="{00000000-0000-0000-0000-000000000000}"/>
  <bookViews>
    <workbookView xWindow="0" yWindow="460" windowWidth="14400" windowHeight="16480" tabRatio="770" activeTab="2" xr2:uid="{00000000-000D-0000-FFFF-FFFF00000000}"/>
  </bookViews>
  <sheets>
    <sheet name="Notes" sheetId="2" r:id="rId1"/>
    <sheet name="KeywordInfo" sheetId="14" r:id="rId2"/>
    <sheet name="CSLI" sheetId="24" r:id="rId3"/>
    <sheet name="Ranking (2018)" sheetId="3" state="hidden" r:id="rId4"/>
    <sheet name="Data_ITU" sheetId="11" r:id="rId5"/>
    <sheet name="Data_Raw (2018)" sheetId="1" state="hidden" r:id="rId6"/>
    <sheet name="Data_Raw+ (2018)" sheetId="4" state="hidden" r:id="rId7"/>
    <sheet name="Data_Raw++ (2018)" sheetId="5" state="hidden" r:id="rId8"/>
    <sheet name="CSLI_Visual" sheetId="25" r:id="rId9"/>
    <sheet name="Data_Matrix (2018)" sheetId="6" r:id="rId10"/>
    <sheet name="MetaData (2018)" sheetId="15" state="hidden" r:id="rId11"/>
    <sheet name="MetaData (67) (2018)" sheetId="7" state="hidden" r:id="rId12"/>
    <sheet name="MetaData (40) (2018)" sheetId="8" state="hidden" r:id="rId13"/>
    <sheet name="MetaData (21) (2018)" sheetId="10" state="hidden" r:id="rId14"/>
    <sheet name="Data_Raw++ (2017)" sheetId="16" state="hidden" r:id="rId15"/>
    <sheet name="Data_Matrix (2017)" sheetId="17" r:id="rId16"/>
    <sheet name="Data_Raw++ (2016)" sheetId="18" state="hidden" r:id="rId17"/>
    <sheet name="Data_Matrix (2016)" sheetId="19" r:id="rId18"/>
    <sheet name="Data_Raw++ (2015)" sheetId="20" state="hidden" r:id="rId19"/>
    <sheet name="Data_Matrix (2015)" sheetId="21" r:id="rId20"/>
    <sheet name="Data_Raw++ (2014)" sheetId="22" state="hidden" r:id="rId21"/>
    <sheet name="Data_Matrix (2014)" sheetId="23" r:id="rId22"/>
  </sheets>
  <externalReferences>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 r:id="rId142"/>
    <externalReference r:id="rId143"/>
    <externalReference r:id="rId144"/>
    <externalReference r:id="rId145"/>
    <externalReference r:id="rId146"/>
    <externalReference r:id="rId147"/>
    <externalReference r:id="rId148"/>
    <externalReference r:id="rId149"/>
    <externalReference r:id="rId150"/>
    <externalReference r:id="rId151"/>
    <externalReference r:id="rId152"/>
    <externalReference r:id="rId153"/>
    <externalReference r:id="rId154"/>
    <externalReference r:id="rId155"/>
    <externalReference r:id="rId156"/>
    <externalReference r:id="rId157"/>
    <externalReference r:id="rId158"/>
    <externalReference r:id="rId159"/>
    <externalReference r:id="rId160"/>
    <externalReference r:id="rId161"/>
    <externalReference r:id="rId162"/>
    <externalReference r:id="rId163"/>
    <externalReference r:id="rId164"/>
    <externalReference r:id="rId165"/>
    <externalReference r:id="rId166"/>
    <externalReference r:id="rId167"/>
    <externalReference r:id="rId168"/>
    <externalReference r:id="rId169"/>
    <externalReference r:id="rId170"/>
    <externalReference r:id="rId171"/>
    <externalReference r:id="rId172"/>
    <externalReference r:id="rId173"/>
    <externalReference r:id="rId174"/>
    <externalReference r:id="rId175"/>
    <externalReference r:id="rId176"/>
    <externalReference r:id="rId177"/>
    <externalReference r:id="rId178"/>
    <externalReference r:id="rId179"/>
    <externalReference r:id="rId180"/>
    <externalReference r:id="rId181"/>
    <externalReference r:id="rId182"/>
    <externalReference r:id="rId183"/>
    <externalReference r:id="rId184"/>
    <externalReference r:id="rId185"/>
    <externalReference r:id="rId186"/>
    <externalReference r:id="rId187"/>
    <externalReference r:id="rId188"/>
    <externalReference r:id="rId189"/>
    <externalReference r:id="rId190"/>
    <externalReference r:id="rId191"/>
    <externalReference r:id="rId192"/>
    <externalReference r:id="rId193"/>
    <externalReference r:id="rId194"/>
    <externalReference r:id="rId195"/>
    <externalReference r:id="rId196"/>
    <externalReference r:id="rId197"/>
    <externalReference r:id="rId198"/>
    <externalReference r:id="rId199"/>
    <externalReference r:id="rId200"/>
    <externalReference r:id="rId201"/>
    <externalReference r:id="rId202"/>
    <externalReference r:id="rId203"/>
    <externalReference r:id="rId204"/>
    <externalReference r:id="rId205"/>
    <externalReference r:id="rId206"/>
    <externalReference r:id="rId207"/>
    <externalReference r:id="rId208"/>
    <externalReference r:id="rId209"/>
    <externalReference r:id="rId210"/>
    <externalReference r:id="rId211"/>
    <externalReference r:id="rId212"/>
    <externalReference r:id="rId213"/>
    <externalReference r:id="rId214"/>
    <externalReference r:id="rId215"/>
    <externalReference r:id="rId216"/>
    <externalReference r:id="rId217"/>
    <externalReference r:id="rId218"/>
    <externalReference r:id="rId219"/>
    <externalReference r:id="rId220"/>
    <externalReference r:id="rId221"/>
    <externalReference r:id="rId222"/>
    <externalReference r:id="rId223"/>
    <externalReference r:id="rId224"/>
    <externalReference r:id="rId225"/>
    <externalReference r:id="rId226"/>
    <externalReference r:id="rId227"/>
    <externalReference r:id="rId228"/>
    <externalReference r:id="rId229"/>
    <externalReference r:id="rId230"/>
    <externalReference r:id="rId231"/>
    <externalReference r:id="rId232"/>
    <externalReference r:id="rId233"/>
    <externalReference r:id="rId234"/>
    <externalReference r:id="rId235"/>
    <externalReference r:id="rId236"/>
    <externalReference r:id="rId237"/>
    <externalReference r:id="rId238"/>
    <externalReference r:id="rId239"/>
    <externalReference r:id="rId240"/>
    <externalReference r:id="rId241"/>
    <externalReference r:id="rId242"/>
    <externalReference r:id="rId243"/>
    <externalReference r:id="rId244"/>
    <externalReference r:id="rId245"/>
    <externalReference r:id="rId246"/>
    <externalReference r:id="rId247"/>
    <externalReference r:id="rId248"/>
    <externalReference r:id="rId249"/>
    <externalReference r:id="rId250"/>
    <externalReference r:id="rId251"/>
    <externalReference r:id="rId252"/>
    <externalReference r:id="rId253"/>
    <externalReference r:id="rId254"/>
    <externalReference r:id="rId255"/>
    <externalReference r:id="rId256"/>
    <externalReference r:id="rId257"/>
    <externalReference r:id="rId258"/>
    <externalReference r:id="rId259"/>
    <externalReference r:id="rId260"/>
    <externalReference r:id="rId261"/>
    <externalReference r:id="rId262"/>
    <externalReference r:id="rId263"/>
    <externalReference r:id="rId264"/>
    <externalReference r:id="rId265"/>
    <externalReference r:id="rId266"/>
    <externalReference r:id="rId267"/>
    <externalReference r:id="rId268"/>
    <externalReference r:id="rId269"/>
    <externalReference r:id="rId270"/>
    <externalReference r:id="rId271"/>
    <externalReference r:id="rId272"/>
    <externalReference r:id="rId273"/>
    <externalReference r:id="rId274"/>
    <externalReference r:id="rId275"/>
    <externalReference r:id="rId276"/>
    <externalReference r:id="rId277"/>
    <externalReference r:id="rId278"/>
    <externalReference r:id="rId279"/>
    <externalReference r:id="rId280"/>
    <externalReference r:id="rId281"/>
    <externalReference r:id="rId282"/>
    <externalReference r:id="rId283"/>
    <externalReference r:id="rId284"/>
    <externalReference r:id="rId285"/>
    <externalReference r:id="rId286"/>
    <externalReference r:id="rId287"/>
    <externalReference r:id="rId288"/>
    <externalReference r:id="rId289"/>
    <externalReference r:id="rId290"/>
    <externalReference r:id="rId291"/>
    <externalReference r:id="rId292"/>
    <externalReference r:id="rId293"/>
    <externalReference r:id="rId294"/>
    <externalReference r:id="rId295"/>
    <externalReference r:id="rId296"/>
    <externalReference r:id="rId297"/>
    <externalReference r:id="rId298"/>
    <externalReference r:id="rId299"/>
    <externalReference r:id="rId300"/>
    <externalReference r:id="rId301"/>
    <externalReference r:id="rId302"/>
    <externalReference r:id="rId303"/>
    <externalReference r:id="rId304"/>
    <externalReference r:id="rId305"/>
    <externalReference r:id="rId306"/>
    <externalReference r:id="rId307"/>
    <externalReference r:id="rId308"/>
    <externalReference r:id="rId309"/>
    <externalReference r:id="rId310"/>
    <externalReference r:id="rId311"/>
    <externalReference r:id="rId312"/>
    <externalReference r:id="rId313"/>
    <externalReference r:id="rId314"/>
    <externalReference r:id="rId315"/>
    <externalReference r:id="rId316"/>
    <externalReference r:id="rId317"/>
    <externalReference r:id="rId318"/>
    <externalReference r:id="rId319"/>
    <externalReference r:id="rId320"/>
    <externalReference r:id="rId321"/>
    <externalReference r:id="rId322"/>
    <externalReference r:id="rId323"/>
    <externalReference r:id="rId324"/>
    <externalReference r:id="rId325"/>
    <externalReference r:id="rId326"/>
    <externalReference r:id="rId327"/>
    <externalReference r:id="rId328"/>
    <externalReference r:id="rId329"/>
    <externalReference r:id="rId330"/>
    <externalReference r:id="rId331"/>
    <externalReference r:id="rId332"/>
  </externalReferences>
  <definedNames>
    <definedName name="_xlnm._FilterDatabase" localSheetId="2" hidden="1">CSLI!$B$2:$AJ$2</definedName>
    <definedName name="_xlnm._FilterDatabase" localSheetId="8" hidden="1">CSLI_Visual!$A$37:$H$102</definedName>
    <definedName name="_xlnm._FilterDatabase" localSheetId="5" hidden="1">'Data_Raw (2018)'!$A$1:$M$1</definedName>
    <definedName name="_xlnm._FilterDatabase" localSheetId="6" hidden="1">'Data_Raw+ (2018)'!$A$1:$M$1</definedName>
    <definedName name="_xlnm._FilterDatabase" localSheetId="3" hidden="1">'Ranking (2018)'!$A$2:$M$68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37" i="25" l="1"/>
  <c r="A86" i="25"/>
  <c r="A89" i="25"/>
  <c r="A94" i="25"/>
  <c r="A40" i="25"/>
  <c r="A99" i="25"/>
  <c r="A66" i="25"/>
  <c r="A53" i="25"/>
  <c r="A46" i="25"/>
  <c r="A81" i="25"/>
  <c r="A65" i="25"/>
  <c r="A96" i="25"/>
  <c r="A79" i="25"/>
  <c r="A49" i="25"/>
  <c r="A43" i="25"/>
  <c r="A74" i="25"/>
  <c r="A52" i="25"/>
  <c r="A63" i="25"/>
  <c r="A98" i="25"/>
  <c r="A41" i="25"/>
  <c r="A47" i="25"/>
  <c r="A70" i="25"/>
  <c r="A45" i="25"/>
  <c r="A42" i="25"/>
  <c r="A93" i="25"/>
  <c r="A64" i="25"/>
  <c r="A100" i="25"/>
  <c r="A90" i="25"/>
  <c r="A101" i="25"/>
  <c r="A38" i="25"/>
  <c r="A85" i="25"/>
  <c r="A62" i="25"/>
  <c r="A78" i="25"/>
  <c r="A58" i="25"/>
  <c r="A88" i="25"/>
  <c r="A87" i="25"/>
  <c r="A54" i="25"/>
  <c r="A69" i="25"/>
  <c r="A48" i="25"/>
  <c r="A71" i="25"/>
  <c r="A77" i="25"/>
  <c r="A59" i="25"/>
  <c r="A95" i="25"/>
  <c r="A55" i="25"/>
  <c r="A92" i="25"/>
  <c r="A44" i="25"/>
  <c r="A50" i="25"/>
  <c r="A68" i="25"/>
  <c r="A82" i="25"/>
  <c r="A72" i="25"/>
  <c r="A51" i="25"/>
  <c r="A75" i="25"/>
  <c r="A61" i="25"/>
  <c r="A76" i="25"/>
  <c r="A102" i="25"/>
  <c r="A60" i="25"/>
  <c r="A39" i="25"/>
  <c r="A56" i="25"/>
  <c r="A97" i="25"/>
  <c r="A73" i="25"/>
  <c r="A67" i="25"/>
  <c r="A84" i="25"/>
  <c r="A91" i="25"/>
  <c r="A80" i="25"/>
  <c r="A57" i="25"/>
  <c r="A83" i="25"/>
  <c r="AJ69" i="24" l="1"/>
  <c r="AH6" i="24"/>
  <c r="AH4" i="24"/>
  <c r="AH5" i="24"/>
  <c r="AH9" i="24"/>
  <c r="AH8" i="24"/>
  <c r="AH10" i="24"/>
  <c r="AH15" i="24"/>
  <c r="AH16" i="24"/>
  <c r="AH58" i="24"/>
  <c r="AH7" i="24"/>
  <c r="AH21" i="24"/>
  <c r="AH22" i="24"/>
  <c r="AH23" i="24"/>
  <c r="AH19" i="24"/>
  <c r="AH35" i="24"/>
  <c r="AH12" i="24"/>
  <c r="AH25" i="24"/>
  <c r="AH24" i="24"/>
  <c r="AH11" i="24"/>
  <c r="AH17" i="24"/>
  <c r="AH18" i="24"/>
  <c r="AH14" i="24"/>
  <c r="AH13" i="24"/>
  <c r="AH31" i="24"/>
  <c r="AH40" i="24"/>
  <c r="AH38" i="24"/>
  <c r="AH43" i="24"/>
  <c r="AH47" i="24"/>
  <c r="AH39" i="24"/>
  <c r="AH20" i="24"/>
  <c r="AH27" i="24"/>
  <c r="AH57" i="24"/>
  <c r="AH45" i="24"/>
  <c r="AH37" i="24"/>
  <c r="AH41" i="24"/>
  <c r="AH29" i="24"/>
  <c r="AH53" i="24"/>
  <c r="AH48" i="24"/>
  <c r="AH34" i="24"/>
  <c r="AH26" i="24"/>
  <c r="AH50" i="24"/>
  <c r="AH61" i="24"/>
  <c r="AH55" i="24"/>
  <c r="AH32" i="24"/>
  <c r="AH33" i="24"/>
  <c r="AH42" i="24"/>
  <c r="AH59" i="24"/>
  <c r="AH44" i="24"/>
  <c r="AH51" i="24"/>
  <c r="AH49" i="24"/>
  <c r="AH52" i="24"/>
  <c r="AH46" i="24"/>
  <c r="AH36" i="24"/>
  <c r="AH54" i="24"/>
  <c r="AH28" i="24"/>
  <c r="AH62" i="24"/>
  <c r="AH66" i="24"/>
  <c r="AH60" i="24"/>
  <c r="AH63" i="24"/>
  <c r="AH64" i="24"/>
  <c r="AH30" i="24"/>
  <c r="AH65" i="24"/>
  <c r="AH67" i="24"/>
  <c r="AH56" i="24"/>
  <c r="AH3" i="24"/>
  <c r="AI6" i="24"/>
  <c r="AI4" i="24"/>
  <c r="AI5" i="24"/>
  <c r="AI9" i="24"/>
  <c r="AI10" i="24"/>
  <c r="AI15" i="24"/>
  <c r="AI16" i="24"/>
  <c r="AI58" i="24"/>
  <c r="AI7" i="24"/>
  <c r="AI21" i="24"/>
  <c r="AI22" i="24"/>
  <c r="AI23" i="24"/>
  <c r="AI19" i="24"/>
  <c r="AI35" i="24"/>
  <c r="AI12" i="24"/>
  <c r="AI25" i="24"/>
  <c r="AI24" i="24"/>
  <c r="AI11" i="24"/>
  <c r="AI17" i="24"/>
  <c r="AI18" i="24"/>
  <c r="AI14" i="24"/>
  <c r="AI13" i="24"/>
  <c r="AI31" i="24"/>
  <c r="AI40" i="24"/>
  <c r="AI38" i="24"/>
  <c r="AI43" i="24"/>
  <c r="AI47" i="24"/>
  <c r="AI39" i="24"/>
  <c r="AI20" i="24"/>
  <c r="AI27" i="24"/>
  <c r="AI57" i="24"/>
  <c r="AI45" i="24"/>
  <c r="AI37" i="24"/>
  <c r="AI41" i="24"/>
  <c r="AI29" i="24"/>
  <c r="AI53" i="24"/>
  <c r="AI48" i="24"/>
  <c r="AI34" i="24"/>
  <c r="AI26" i="24"/>
  <c r="AI50" i="24"/>
  <c r="AI61" i="24"/>
  <c r="AI55" i="24"/>
  <c r="AI32" i="24"/>
  <c r="AI33" i="24"/>
  <c r="AI42" i="24"/>
  <c r="AI59" i="24"/>
  <c r="AI44" i="24"/>
  <c r="AI51" i="24"/>
  <c r="AI49" i="24"/>
  <c r="AI52" i="24"/>
  <c r="AI46" i="24"/>
  <c r="AI36" i="24"/>
  <c r="AI54" i="24"/>
  <c r="AI28" i="24"/>
  <c r="AI62" i="24"/>
  <c r="AI66" i="24"/>
  <c r="AI60" i="24"/>
  <c r="AI63" i="24"/>
  <c r="AI64" i="24"/>
  <c r="AI30" i="24"/>
  <c r="AI65" i="24"/>
  <c r="AI67" i="24"/>
  <c r="AI56" i="24"/>
  <c r="AI3" i="24"/>
  <c r="Y4" i="24" l="1"/>
  <c r="Y49" i="24"/>
  <c r="Y63" i="24"/>
  <c r="Y62" i="24"/>
  <c r="Y6" i="24"/>
  <c r="Y23" i="24"/>
  <c r="Y5" i="24"/>
  <c r="Y38" i="24"/>
  <c r="Y7" i="24"/>
  <c r="Y65" i="24"/>
  <c r="Y46" i="24"/>
  <c r="Y60" i="24"/>
  <c r="Y16" i="24"/>
  <c r="Y57" i="24"/>
  <c r="Y27" i="24"/>
  <c r="Y14" i="24"/>
  <c r="Y31" i="24"/>
  <c r="Y20" i="24"/>
  <c r="Y44" i="24"/>
  <c r="Y34" i="24"/>
  <c r="Y18" i="24"/>
  <c r="Y58" i="24"/>
  <c r="Y39" i="24"/>
  <c r="Y21" i="24"/>
  <c r="Y41" i="24"/>
  <c r="Y40" i="24"/>
  <c r="Y52" i="24"/>
  <c r="Y8" i="24"/>
  <c r="Y56" i="24"/>
  <c r="Y30" i="24"/>
  <c r="Y12" i="24"/>
  <c r="Y47" i="24"/>
  <c r="Y22" i="24"/>
  <c r="Y11" i="24"/>
  <c r="Y28" i="24"/>
  <c r="Y32" i="24"/>
  <c r="Y9" i="24"/>
  <c r="Y48" i="24"/>
  <c r="Y53" i="24"/>
  <c r="Y33" i="24"/>
  <c r="Y51" i="24"/>
  <c r="Y36" i="24"/>
  <c r="Y45" i="24"/>
  <c r="Y17" i="24"/>
  <c r="Y35" i="24"/>
  <c r="Y3" i="24"/>
  <c r="Y13" i="24"/>
  <c r="Y55" i="24"/>
  <c r="Y19" i="24"/>
  <c r="Y29" i="24"/>
  <c r="Y15" i="24"/>
  <c r="Y42" i="24"/>
  <c r="Y26" i="24"/>
  <c r="Y64" i="24"/>
  <c r="Y61" i="24"/>
  <c r="Y67" i="24"/>
  <c r="Y10" i="24"/>
  <c r="Y43" i="24"/>
  <c r="Y59" i="24"/>
  <c r="Y37" i="24"/>
  <c r="Y50" i="24"/>
  <c r="Y24" i="24"/>
  <c r="Y25" i="24"/>
  <c r="Y54" i="24"/>
  <c r="Y66" i="24"/>
  <c r="D4" i="24"/>
  <c r="D49" i="24"/>
  <c r="D63" i="24"/>
  <c r="D62" i="24"/>
  <c r="D6" i="24"/>
  <c r="D23" i="24"/>
  <c r="D5" i="24"/>
  <c r="D38" i="24"/>
  <c r="D7" i="24"/>
  <c r="D65" i="24"/>
  <c r="D46" i="24"/>
  <c r="D60" i="24"/>
  <c r="D16" i="24"/>
  <c r="D57" i="24"/>
  <c r="D27" i="24"/>
  <c r="D14" i="24"/>
  <c r="D31" i="24"/>
  <c r="D20" i="24"/>
  <c r="D44" i="24"/>
  <c r="D34" i="24"/>
  <c r="D18" i="24"/>
  <c r="D58" i="24"/>
  <c r="D39" i="24"/>
  <c r="D21" i="24"/>
  <c r="D41" i="24"/>
  <c r="D40" i="24"/>
  <c r="D52" i="24"/>
  <c r="D8" i="24"/>
  <c r="D56" i="24"/>
  <c r="D30" i="24"/>
  <c r="D12" i="24"/>
  <c r="D47" i="24"/>
  <c r="D22" i="24"/>
  <c r="D11" i="24"/>
  <c r="D28" i="24"/>
  <c r="D32" i="24"/>
  <c r="D9" i="24"/>
  <c r="D48" i="24"/>
  <c r="D53" i="24"/>
  <c r="D33" i="24"/>
  <c r="D51" i="24"/>
  <c r="D36" i="24"/>
  <c r="D45" i="24"/>
  <c r="D17" i="24"/>
  <c r="D35" i="24"/>
  <c r="D3" i="24"/>
  <c r="D13" i="24"/>
  <c r="D55" i="24"/>
  <c r="D19" i="24"/>
  <c r="D29" i="24"/>
  <c r="D15" i="24"/>
  <c r="D42" i="24"/>
  <c r="D26" i="24"/>
  <c r="D64" i="24"/>
  <c r="D61" i="24"/>
  <c r="D67" i="24"/>
  <c r="D10" i="24"/>
  <c r="D43" i="24"/>
  <c r="D59" i="24"/>
  <c r="D37" i="24"/>
  <c r="D50" i="24"/>
  <c r="D24" i="24"/>
  <c r="D25" i="24"/>
  <c r="D54" i="24"/>
  <c r="D66" i="24"/>
  <c r="I4" i="24"/>
  <c r="I49" i="24"/>
  <c r="I63" i="24"/>
  <c r="I62" i="24"/>
  <c r="I6" i="24"/>
  <c r="I23" i="24"/>
  <c r="I5" i="24"/>
  <c r="I38" i="24"/>
  <c r="I7" i="24"/>
  <c r="I65" i="24"/>
  <c r="I46" i="24"/>
  <c r="I60" i="24"/>
  <c r="I16" i="24"/>
  <c r="I57" i="24"/>
  <c r="I27" i="24"/>
  <c r="I14" i="24"/>
  <c r="I31" i="24"/>
  <c r="I20" i="24"/>
  <c r="I44" i="24"/>
  <c r="I34" i="24"/>
  <c r="I18" i="24"/>
  <c r="I58" i="24"/>
  <c r="I39" i="24"/>
  <c r="I21" i="24"/>
  <c r="I41" i="24"/>
  <c r="I40" i="24"/>
  <c r="I52" i="24"/>
  <c r="I8" i="24"/>
  <c r="I56" i="24"/>
  <c r="I30" i="24"/>
  <c r="I12" i="24"/>
  <c r="I47" i="24"/>
  <c r="I22" i="24"/>
  <c r="I11" i="24"/>
  <c r="I28" i="24"/>
  <c r="I32" i="24"/>
  <c r="I9" i="24"/>
  <c r="I48" i="24"/>
  <c r="I53" i="24"/>
  <c r="I33" i="24"/>
  <c r="I51" i="24"/>
  <c r="I36" i="24"/>
  <c r="I45" i="24"/>
  <c r="I17" i="24"/>
  <c r="I35" i="24"/>
  <c r="I3" i="24"/>
  <c r="I13" i="24"/>
  <c r="I55" i="24"/>
  <c r="I19" i="24"/>
  <c r="I29" i="24"/>
  <c r="I15" i="24"/>
  <c r="I42" i="24"/>
  <c r="I26" i="24"/>
  <c r="I64" i="24"/>
  <c r="I61" i="24"/>
  <c r="I67" i="24"/>
  <c r="I10" i="24"/>
  <c r="I43" i="24"/>
  <c r="I59" i="24"/>
  <c r="I37" i="24"/>
  <c r="I50" i="24"/>
  <c r="I24" i="24"/>
  <c r="I25" i="24"/>
  <c r="I54" i="24"/>
  <c r="I66" i="24"/>
  <c r="N4" i="24"/>
  <c r="N49" i="24"/>
  <c r="N63" i="24"/>
  <c r="N62" i="24"/>
  <c r="N6" i="24"/>
  <c r="N23" i="24"/>
  <c r="N5" i="24"/>
  <c r="N38" i="24"/>
  <c r="N7" i="24"/>
  <c r="N65" i="24"/>
  <c r="N46" i="24"/>
  <c r="N60" i="24"/>
  <c r="N16" i="24"/>
  <c r="N57" i="24"/>
  <c r="N27" i="24"/>
  <c r="N14" i="24"/>
  <c r="N31" i="24"/>
  <c r="N20" i="24"/>
  <c r="N44" i="24"/>
  <c r="N34" i="24"/>
  <c r="N18" i="24"/>
  <c r="N58" i="24"/>
  <c r="N39" i="24"/>
  <c r="N21" i="24"/>
  <c r="N41" i="24"/>
  <c r="N40" i="24"/>
  <c r="N52" i="24"/>
  <c r="N8" i="24"/>
  <c r="N56" i="24"/>
  <c r="N30" i="24"/>
  <c r="N12" i="24"/>
  <c r="N47" i="24"/>
  <c r="N22" i="24"/>
  <c r="N11" i="24"/>
  <c r="N28" i="24"/>
  <c r="N32" i="24"/>
  <c r="N9" i="24"/>
  <c r="N48" i="24"/>
  <c r="N53" i="24"/>
  <c r="N33" i="24"/>
  <c r="N51" i="24"/>
  <c r="N36" i="24"/>
  <c r="N45" i="24"/>
  <c r="N17" i="24"/>
  <c r="N35" i="24"/>
  <c r="N3" i="24"/>
  <c r="N13" i="24"/>
  <c r="N55" i="24"/>
  <c r="N19" i="24"/>
  <c r="N29" i="24"/>
  <c r="N15" i="24"/>
  <c r="N42" i="24"/>
  <c r="N26" i="24"/>
  <c r="N64" i="24"/>
  <c r="N61" i="24"/>
  <c r="N67" i="24"/>
  <c r="N10" i="24"/>
  <c r="N43" i="24"/>
  <c r="N59" i="24"/>
  <c r="N37" i="24"/>
  <c r="N50" i="24"/>
  <c r="N24" i="24"/>
  <c r="N25" i="24"/>
  <c r="N54" i="24"/>
  <c r="N66" i="24"/>
  <c r="S4" i="24"/>
  <c r="S49" i="24"/>
  <c r="S63" i="24"/>
  <c r="S62" i="24"/>
  <c r="S6" i="24"/>
  <c r="S23" i="24"/>
  <c r="S5" i="24"/>
  <c r="S38" i="24"/>
  <c r="S7" i="24"/>
  <c r="S65" i="24"/>
  <c r="S46" i="24"/>
  <c r="S60" i="24"/>
  <c r="S16" i="24"/>
  <c r="S57" i="24"/>
  <c r="S27" i="24"/>
  <c r="S14" i="24"/>
  <c r="S31" i="24"/>
  <c r="S20" i="24"/>
  <c r="S44" i="24"/>
  <c r="S34" i="24"/>
  <c r="S18" i="24"/>
  <c r="S58" i="24"/>
  <c r="S39" i="24"/>
  <c r="S21" i="24"/>
  <c r="S41" i="24"/>
  <c r="S40" i="24"/>
  <c r="S52" i="24"/>
  <c r="S8" i="24"/>
  <c r="S56" i="24"/>
  <c r="S30" i="24"/>
  <c r="S12" i="24"/>
  <c r="S47" i="24"/>
  <c r="S22" i="24"/>
  <c r="S11" i="24"/>
  <c r="S28" i="24"/>
  <c r="S32" i="24"/>
  <c r="S9" i="24"/>
  <c r="S48" i="24"/>
  <c r="S53" i="24"/>
  <c r="S33" i="24"/>
  <c r="S51" i="24"/>
  <c r="S36" i="24"/>
  <c r="S45" i="24"/>
  <c r="S17" i="24"/>
  <c r="S35" i="24"/>
  <c r="S3" i="24"/>
  <c r="S13" i="24"/>
  <c r="S55" i="24"/>
  <c r="S19" i="24"/>
  <c r="S29" i="24"/>
  <c r="S15" i="24"/>
  <c r="S42" i="24"/>
  <c r="S26" i="24"/>
  <c r="S64" i="24"/>
  <c r="S61" i="24"/>
  <c r="S67" i="24"/>
  <c r="S10" i="24"/>
  <c r="S43" i="24"/>
  <c r="S59" i="24"/>
  <c r="S37" i="24"/>
  <c r="S50" i="24"/>
  <c r="S24" i="24"/>
  <c r="S25" i="24"/>
  <c r="S54" i="24"/>
  <c r="S66" i="24"/>
  <c r="B3" i="22" l="1"/>
  <c r="C3" i="22" s="1"/>
  <c r="D3" i="22" s="1"/>
  <c r="E3" i="22" s="1"/>
  <c r="F3" i="22" s="1"/>
  <c r="G3" i="22" s="1"/>
  <c r="H3" i="22" s="1"/>
  <c r="I3" i="22" s="1"/>
  <c r="J3" i="22" s="1"/>
  <c r="K3" i="22" s="1"/>
  <c r="L3" i="22" s="1"/>
  <c r="M3" i="22" s="1"/>
  <c r="N3" i="22" s="1"/>
  <c r="O3" i="22" s="1"/>
  <c r="P3" i="22" s="1"/>
  <c r="Q3" i="22" s="1"/>
  <c r="R3" i="22" s="1"/>
  <c r="S3" i="22" s="1"/>
  <c r="T3" i="22" s="1"/>
  <c r="U3" i="22" s="1"/>
  <c r="V3" i="22" s="1"/>
  <c r="W3" i="22" s="1"/>
  <c r="X3" i="22" s="1"/>
  <c r="Y3" i="22" s="1"/>
  <c r="Z3" i="22" s="1"/>
  <c r="AA3" i="22" s="1"/>
  <c r="B4" i="22"/>
  <c r="B5" i="22"/>
  <c r="B3" i="23" s="1"/>
  <c r="B6" i="22"/>
  <c r="B7" i="22"/>
  <c r="B5" i="23" s="1"/>
  <c r="B8" i="22"/>
  <c r="B6" i="23" s="1"/>
  <c r="B9" i="22"/>
  <c r="B7" i="23" s="1"/>
  <c r="B10" i="22"/>
  <c r="B11" i="22"/>
  <c r="B9" i="23" s="1"/>
  <c r="B12" i="22"/>
  <c r="B13" i="22"/>
  <c r="B11" i="23" s="1"/>
  <c r="B14" i="22"/>
  <c r="B12" i="23" s="1"/>
  <c r="B15" i="22"/>
  <c r="B16" i="22"/>
  <c r="B17" i="22"/>
  <c r="B18" i="22"/>
  <c r="B19" i="22"/>
  <c r="B17" i="23" s="1"/>
  <c r="B20" i="22"/>
  <c r="B18" i="23" s="1"/>
  <c r="B21" i="22"/>
  <c r="B19" i="23" s="1"/>
  <c r="B22" i="22"/>
  <c r="B20" i="23" s="1"/>
  <c r="B23" i="22"/>
  <c r="B21" i="23" s="1"/>
  <c r="B24" i="22"/>
  <c r="B25" i="22"/>
  <c r="B26" i="22"/>
  <c r="B27" i="22"/>
  <c r="B25" i="23" s="1"/>
  <c r="B28" i="22"/>
  <c r="B29" i="22"/>
  <c r="B27" i="23" s="1"/>
  <c r="B30" i="22"/>
  <c r="B28" i="23" s="1"/>
  <c r="B31" i="22"/>
  <c r="B29" i="23" s="1"/>
  <c r="B32" i="22"/>
  <c r="B33" i="22"/>
  <c r="B31" i="23" s="1"/>
  <c r="B34" i="22"/>
  <c r="B35" i="22"/>
  <c r="B33" i="23" s="1"/>
  <c r="B36" i="22"/>
  <c r="B37" i="22"/>
  <c r="B35" i="23" s="1"/>
  <c r="B38" i="22"/>
  <c r="B36" i="23" s="1"/>
  <c r="B39" i="22"/>
  <c r="B37" i="23" s="1"/>
  <c r="B40" i="22"/>
  <c r="C40" i="22" s="1"/>
  <c r="D40" i="22" s="1"/>
  <c r="B41" i="22"/>
  <c r="B42" i="22"/>
  <c r="B43" i="22"/>
  <c r="B41" i="23" s="1"/>
  <c r="B44" i="22"/>
  <c r="B45" i="22"/>
  <c r="B43" i="23" s="1"/>
  <c r="B46" i="22"/>
  <c r="B44" i="23" s="1"/>
  <c r="B47" i="22"/>
  <c r="B45" i="23" s="1"/>
  <c r="B48" i="22"/>
  <c r="B49" i="22"/>
  <c r="B47" i="23" s="1"/>
  <c r="B50" i="22"/>
  <c r="B51" i="22"/>
  <c r="B49" i="23" s="1"/>
  <c r="B52" i="22"/>
  <c r="B53" i="22"/>
  <c r="B51" i="23" s="1"/>
  <c r="B54" i="22"/>
  <c r="B52" i="23" s="1"/>
  <c r="B55" i="22"/>
  <c r="B53" i="23" s="1"/>
  <c r="B56" i="22"/>
  <c r="C56" i="22" s="1"/>
  <c r="C54" i="23" s="1"/>
  <c r="B57" i="22"/>
  <c r="B58" i="22"/>
  <c r="B56" i="23" s="1"/>
  <c r="B59" i="22"/>
  <c r="B57" i="23" s="1"/>
  <c r="B60" i="22"/>
  <c r="B61" i="22"/>
  <c r="B59" i="23" s="1"/>
  <c r="B62" i="22"/>
  <c r="B60" i="23" s="1"/>
  <c r="B63" i="22"/>
  <c r="B61" i="23" s="1"/>
  <c r="B64" i="22"/>
  <c r="B65" i="22"/>
  <c r="B66" i="22"/>
  <c r="C66" i="22" s="1"/>
  <c r="D66" i="22" s="1"/>
  <c r="B67" i="22"/>
  <c r="B68" i="22"/>
  <c r="B2" i="22"/>
  <c r="C2" i="22" s="1"/>
  <c r="D2" i="22" s="1"/>
  <c r="E2" i="22" s="1"/>
  <c r="F2" i="22" s="1"/>
  <c r="G2" i="22" s="1"/>
  <c r="H2" i="22" s="1"/>
  <c r="I2" i="22" s="1"/>
  <c r="J2" i="22" s="1"/>
  <c r="K2" i="22" s="1"/>
  <c r="L2" i="22" s="1"/>
  <c r="M2" i="22" s="1"/>
  <c r="N2" i="22" s="1"/>
  <c r="O2" i="22" s="1"/>
  <c r="P2" i="22" s="1"/>
  <c r="Q2" i="22" s="1"/>
  <c r="R2" i="22" s="1"/>
  <c r="S2" i="22" s="1"/>
  <c r="T2" i="22" s="1"/>
  <c r="U2" i="22" s="1"/>
  <c r="V2" i="22" s="1"/>
  <c r="W2" i="22" s="1"/>
  <c r="X2" i="22" s="1"/>
  <c r="Y2" i="22" s="1"/>
  <c r="Z2" i="22" s="1"/>
  <c r="AA2" i="22" s="1"/>
  <c r="B3" i="20"/>
  <c r="C3" i="20" s="1"/>
  <c r="D3" i="20" s="1"/>
  <c r="E3" i="20" s="1"/>
  <c r="F3" i="20" s="1"/>
  <c r="G3" i="20" s="1"/>
  <c r="H3" i="20" s="1"/>
  <c r="I3" i="20" s="1"/>
  <c r="J3" i="20" s="1"/>
  <c r="K3" i="20" s="1"/>
  <c r="L3" i="20" s="1"/>
  <c r="M3" i="20" s="1"/>
  <c r="N3" i="20" s="1"/>
  <c r="O3" i="20" s="1"/>
  <c r="P3" i="20" s="1"/>
  <c r="Q3" i="20" s="1"/>
  <c r="R3" i="20" s="1"/>
  <c r="S3" i="20" s="1"/>
  <c r="T3" i="20" s="1"/>
  <c r="U3" i="20" s="1"/>
  <c r="V3" i="20" s="1"/>
  <c r="W3" i="20" s="1"/>
  <c r="X3" i="20" s="1"/>
  <c r="Y3" i="20" s="1"/>
  <c r="Z3" i="20" s="1"/>
  <c r="AA3" i="20" s="1"/>
  <c r="B4" i="20"/>
  <c r="B2" i="21" s="1"/>
  <c r="B5" i="20"/>
  <c r="B3" i="21" s="1"/>
  <c r="B6" i="20"/>
  <c r="C6" i="20" s="1"/>
  <c r="D6" i="20" s="1"/>
  <c r="E6" i="20" s="1"/>
  <c r="B7" i="20"/>
  <c r="C7" i="20" s="1"/>
  <c r="D7" i="20" s="1"/>
  <c r="B8" i="20"/>
  <c r="B9" i="20"/>
  <c r="B10" i="20"/>
  <c r="B8" i="21" s="1"/>
  <c r="B11" i="20"/>
  <c r="B9" i="21" s="1"/>
  <c r="B12" i="20"/>
  <c r="B10" i="21" s="1"/>
  <c r="B13" i="20"/>
  <c r="B11" i="21" s="1"/>
  <c r="B14" i="20"/>
  <c r="C14" i="20" s="1"/>
  <c r="B15" i="20"/>
  <c r="C15" i="20" s="1"/>
  <c r="B16" i="20"/>
  <c r="B17" i="20"/>
  <c r="B15" i="21" s="1"/>
  <c r="B18" i="20"/>
  <c r="B16" i="21" s="1"/>
  <c r="B19" i="20"/>
  <c r="B20" i="20"/>
  <c r="B18" i="21" s="1"/>
  <c r="B21" i="20"/>
  <c r="C21" i="20" s="1"/>
  <c r="B22" i="20"/>
  <c r="B20" i="21" s="1"/>
  <c r="B23" i="20"/>
  <c r="B24" i="20"/>
  <c r="B25" i="20"/>
  <c r="C25" i="20" s="1"/>
  <c r="B26" i="20"/>
  <c r="C26" i="20" s="1"/>
  <c r="B27" i="20"/>
  <c r="B28" i="20"/>
  <c r="B26" i="21" s="1"/>
  <c r="B29" i="20"/>
  <c r="B27" i="21" s="1"/>
  <c r="B30" i="20"/>
  <c r="B28" i="21" s="1"/>
  <c r="B31" i="20"/>
  <c r="C31" i="20" s="1"/>
  <c r="D31" i="20" s="1"/>
  <c r="B32" i="20"/>
  <c r="B33" i="20"/>
  <c r="B31" i="21" s="1"/>
  <c r="B34" i="20"/>
  <c r="B32" i="21" s="1"/>
  <c r="B35" i="20"/>
  <c r="B36" i="20"/>
  <c r="B34" i="21" s="1"/>
  <c r="B37" i="20"/>
  <c r="B35" i="21" s="1"/>
  <c r="B38" i="20"/>
  <c r="C38" i="20" s="1"/>
  <c r="D38" i="20" s="1"/>
  <c r="E38" i="20" s="1"/>
  <c r="B39" i="20"/>
  <c r="C39" i="20" s="1"/>
  <c r="D39" i="20" s="1"/>
  <c r="B40" i="20"/>
  <c r="B41" i="20"/>
  <c r="B42" i="20"/>
  <c r="B40" i="21" s="1"/>
  <c r="B43" i="20"/>
  <c r="B44" i="20"/>
  <c r="B42" i="21" s="1"/>
  <c r="B45" i="20"/>
  <c r="C45" i="20" s="1"/>
  <c r="B46" i="20"/>
  <c r="B44" i="21" s="1"/>
  <c r="B47" i="20"/>
  <c r="B48" i="20"/>
  <c r="B49" i="20"/>
  <c r="B47" i="21" s="1"/>
  <c r="B50" i="20"/>
  <c r="B48" i="21" s="1"/>
  <c r="B51" i="20"/>
  <c r="B52" i="20"/>
  <c r="B50" i="21" s="1"/>
  <c r="B53" i="20"/>
  <c r="C53" i="20" s="1"/>
  <c r="B54" i="20"/>
  <c r="B52" i="21" s="1"/>
  <c r="B55" i="20"/>
  <c r="B56" i="20"/>
  <c r="B57" i="20"/>
  <c r="B58" i="20"/>
  <c r="B56" i="21" s="1"/>
  <c r="B59" i="20"/>
  <c r="B57" i="21" s="1"/>
  <c r="B60" i="20"/>
  <c r="C60" i="20" s="1"/>
  <c r="D60" i="20" s="1"/>
  <c r="B61" i="20"/>
  <c r="C61" i="20" s="1"/>
  <c r="B62" i="20"/>
  <c r="B63" i="20"/>
  <c r="B61" i="21" s="1"/>
  <c r="B64" i="20"/>
  <c r="B65" i="20"/>
  <c r="C65" i="20" s="1"/>
  <c r="D65" i="20" s="1"/>
  <c r="B66" i="20"/>
  <c r="B64" i="21" s="1"/>
  <c r="B67" i="20"/>
  <c r="B68" i="20"/>
  <c r="B66" i="21" s="1"/>
  <c r="B2" i="20"/>
  <c r="C2" i="20" s="1"/>
  <c r="D2" i="20" s="1"/>
  <c r="E2" i="20" s="1"/>
  <c r="F2" i="20" s="1"/>
  <c r="G2" i="20" s="1"/>
  <c r="H2" i="20" s="1"/>
  <c r="I2" i="20" s="1"/>
  <c r="J2" i="20" s="1"/>
  <c r="K2" i="20" s="1"/>
  <c r="L2" i="20" s="1"/>
  <c r="M2" i="20" s="1"/>
  <c r="N2" i="20" s="1"/>
  <c r="O2" i="20" s="1"/>
  <c r="P2" i="20" s="1"/>
  <c r="B43" i="21" l="1"/>
  <c r="B19" i="21"/>
  <c r="C37" i="20"/>
  <c r="D37" i="20" s="1"/>
  <c r="B12" i="21"/>
  <c r="C33" i="20"/>
  <c r="B4" i="21"/>
  <c r="C29" i="20"/>
  <c r="C13" i="20"/>
  <c r="C5" i="20"/>
  <c r="D5" i="20" s="1"/>
  <c r="C23" i="22"/>
  <c r="D14" i="20"/>
  <c r="C12" i="21"/>
  <c r="C34" i="20"/>
  <c r="C11" i="20"/>
  <c r="B36" i="21"/>
  <c r="C46" i="22"/>
  <c r="C21" i="22"/>
  <c r="C19" i="23" s="1"/>
  <c r="C39" i="22"/>
  <c r="C37" i="23" s="1"/>
  <c r="C19" i="22"/>
  <c r="D59" i="22"/>
  <c r="D57" i="23" s="1"/>
  <c r="C54" i="20"/>
  <c r="C30" i="20"/>
  <c r="C62" i="22"/>
  <c r="C38" i="22"/>
  <c r="D38" i="22" s="1"/>
  <c r="D36" i="23" s="1"/>
  <c r="C13" i="22"/>
  <c r="B54" i="23"/>
  <c r="C46" i="20"/>
  <c r="B59" i="21"/>
  <c r="C29" i="21"/>
  <c r="C58" i="22"/>
  <c r="C37" i="22"/>
  <c r="C11" i="22"/>
  <c r="C9" i="23" s="1"/>
  <c r="C38" i="23"/>
  <c r="C22" i="20"/>
  <c r="C20" i="21" s="1"/>
  <c r="C58" i="21"/>
  <c r="B29" i="21"/>
  <c r="C3" i="21"/>
  <c r="C55" i="22"/>
  <c r="C33" i="22"/>
  <c r="C7" i="22"/>
  <c r="B38" i="23"/>
  <c r="C44" i="20"/>
  <c r="D44" i="20" s="1"/>
  <c r="B58" i="21"/>
  <c r="C51" i="22"/>
  <c r="C30" i="22"/>
  <c r="B51" i="21"/>
  <c r="B24" i="21"/>
  <c r="C49" i="22"/>
  <c r="C29" i="22"/>
  <c r="C47" i="22"/>
  <c r="D64" i="23"/>
  <c r="E66" i="22"/>
  <c r="E59" i="20"/>
  <c r="E57" i="21" s="1"/>
  <c r="D45" i="20"/>
  <c r="C43" i="21"/>
  <c r="D22" i="20"/>
  <c r="D59" i="20"/>
  <c r="D57" i="21" s="1"/>
  <c r="H59" i="20"/>
  <c r="D26" i="20"/>
  <c r="C24" i="21"/>
  <c r="D11" i="20"/>
  <c r="C9" i="21"/>
  <c r="D61" i="20"/>
  <c r="C59" i="21"/>
  <c r="B65" i="21"/>
  <c r="C67" i="20"/>
  <c r="D34" i="20"/>
  <c r="C32" i="21"/>
  <c r="D25" i="20"/>
  <c r="C23" i="21"/>
  <c r="C59" i="20"/>
  <c r="D53" i="20"/>
  <c r="C51" i="21"/>
  <c r="E60" i="20"/>
  <c r="D58" i="21"/>
  <c r="C51" i="20"/>
  <c r="B49" i="21"/>
  <c r="B41" i="21"/>
  <c r="C43" i="20"/>
  <c r="B33" i="21"/>
  <c r="C35" i="20"/>
  <c r="B25" i="21"/>
  <c r="C27" i="20"/>
  <c r="C19" i="20"/>
  <c r="B17" i="21"/>
  <c r="C58" i="20"/>
  <c r="E65" i="20"/>
  <c r="D63" i="21"/>
  <c r="D57" i="20"/>
  <c r="B55" i="21"/>
  <c r="B39" i="21"/>
  <c r="C41" i="20"/>
  <c r="B7" i="21"/>
  <c r="C9" i="20"/>
  <c r="C68" i="20"/>
  <c r="D54" i="20"/>
  <c r="C52" i="21"/>
  <c r="D30" i="20"/>
  <c r="C28" i="21"/>
  <c r="C20" i="20"/>
  <c r="F6" i="20"/>
  <c r="E4" i="21"/>
  <c r="C42" i="21"/>
  <c r="C37" i="21"/>
  <c r="B23" i="21"/>
  <c r="C5" i="21"/>
  <c r="C53" i="23"/>
  <c r="D55" i="22"/>
  <c r="C64" i="20"/>
  <c r="B62" i="21"/>
  <c r="C56" i="20"/>
  <c r="B54" i="21"/>
  <c r="C48" i="20"/>
  <c r="B46" i="21"/>
  <c r="C40" i="20"/>
  <c r="B38" i="21"/>
  <c r="B30" i="21"/>
  <c r="C32" i="20"/>
  <c r="B22" i="21"/>
  <c r="C24" i="20"/>
  <c r="B14" i="21"/>
  <c r="C16" i="20"/>
  <c r="B6" i="21"/>
  <c r="C8" i="20"/>
  <c r="C42" i="20"/>
  <c r="C18" i="20"/>
  <c r="E5" i="20"/>
  <c r="D3" i="21"/>
  <c r="H8" i="20"/>
  <c r="B37" i="21"/>
  <c r="B5" i="21"/>
  <c r="C49" i="23"/>
  <c r="D51" i="22"/>
  <c r="E44" i="20"/>
  <c r="D42" i="21"/>
  <c r="C56" i="23"/>
  <c r="D58" i="22"/>
  <c r="E39" i="20"/>
  <c r="D37" i="21"/>
  <c r="F38" i="20"/>
  <c r="E36" i="21"/>
  <c r="C17" i="20"/>
  <c r="C4" i="20"/>
  <c r="Q2" i="20"/>
  <c r="D4" i="21"/>
  <c r="E37" i="20"/>
  <c r="D35" i="21"/>
  <c r="B66" i="23"/>
  <c r="C68" i="22"/>
  <c r="B58" i="23"/>
  <c r="C60" i="22"/>
  <c r="C44" i="22"/>
  <c r="B42" i="23"/>
  <c r="B34" i="23"/>
  <c r="C36" i="22"/>
  <c r="B26" i="23"/>
  <c r="C28" i="22"/>
  <c r="C12" i="22"/>
  <c r="B10" i="23"/>
  <c r="C4" i="22"/>
  <c r="B2" i="23"/>
  <c r="D21" i="20"/>
  <c r="C19" i="21"/>
  <c r="D38" i="23"/>
  <c r="E40" i="22"/>
  <c r="C35" i="23"/>
  <c r="D37" i="22"/>
  <c r="C11" i="23"/>
  <c r="D13" i="22"/>
  <c r="C55" i="20"/>
  <c r="B53" i="21"/>
  <c r="C47" i="20"/>
  <c r="B45" i="21"/>
  <c r="E31" i="20"/>
  <c r="D29" i="21"/>
  <c r="B21" i="21"/>
  <c r="C23" i="20"/>
  <c r="D15" i="20"/>
  <c r="C13" i="21"/>
  <c r="E7" i="20"/>
  <c r="D5" i="21"/>
  <c r="C66" i="20"/>
  <c r="C52" i="20"/>
  <c r="C28" i="20"/>
  <c r="H26" i="20"/>
  <c r="B60" i="21"/>
  <c r="C62" i="20"/>
  <c r="C63" i="20"/>
  <c r="C50" i="20"/>
  <c r="E14" i="20"/>
  <c r="D12" i="21"/>
  <c r="C63" i="21"/>
  <c r="B13" i="21"/>
  <c r="C4" i="21"/>
  <c r="C52" i="22"/>
  <c r="B50" i="23"/>
  <c r="C49" i="20"/>
  <c r="C36" i="20"/>
  <c r="D13" i="20"/>
  <c r="C11" i="21"/>
  <c r="C57" i="20"/>
  <c r="C55" i="21" s="1"/>
  <c r="B63" i="21"/>
  <c r="D36" i="21"/>
  <c r="B65" i="23"/>
  <c r="C67" i="22"/>
  <c r="C64" i="23"/>
  <c r="D33" i="20"/>
  <c r="C31" i="21"/>
  <c r="C10" i="20"/>
  <c r="C8" i="21" s="1"/>
  <c r="D46" i="20"/>
  <c r="C44" i="21"/>
  <c r="C12" i="20"/>
  <c r="D10" i="20"/>
  <c r="D8" i="21" s="1"/>
  <c r="C36" i="21"/>
  <c r="C50" i="22"/>
  <c r="B48" i="23"/>
  <c r="B40" i="23"/>
  <c r="C42" i="22"/>
  <c r="B32" i="23"/>
  <c r="C34" i="22"/>
  <c r="C26" i="22"/>
  <c r="B24" i="23"/>
  <c r="D18" i="22"/>
  <c r="C18" i="22"/>
  <c r="C16" i="23" s="1"/>
  <c r="D10" i="22"/>
  <c r="B8" i="23"/>
  <c r="C10" i="22"/>
  <c r="C8" i="23" s="1"/>
  <c r="C20" i="22"/>
  <c r="B64" i="23"/>
  <c r="B16" i="23"/>
  <c r="C17" i="23"/>
  <c r="D19" i="22"/>
  <c r="C31" i="23"/>
  <c r="D33" i="22"/>
  <c r="D11" i="22"/>
  <c r="E38" i="22"/>
  <c r="D29" i="20"/>
  <c r="C27" i="21"/>
  <c r="C47" i="23"/>
  <c r="D49" i="22"/>
  <c r="C36" i="23"/>
  <c r="B63" i="23"/>
  <c r="C65" i="22"/>
  <c r="D57" i="22"/>
  <c r="C57" i="22"/>
  <c r="C55" i="23" s="1"/>
  <c r="B55" i="23"/>
  <c r="B39" i="23"/>
  <c r="C41" i="22"/>
  <c r="B23" i="23"/>
  <c r="C25" i="22"/>
  <c r="B15" i="23"/>
  <c r="C17" i="22"/>
  <c r="C9" i="22"/>
  <c r="B62" i="23"/>
  <c r="C64" i="22"/>
  <c r="B46" i="23"/>
  <c r="C48" i="22"/>
  <c r="B30" i="23"/>
  <c r="C32" i="22"/>
  <c r="C24" i="22"/>
  <c r="B22" i="23"/>
  <c r="B14" i="23"/>
  <c r="C16" i="22"/>
  <c r="C44" i="23"/>
  <c r="D46" i="22"/>
  <c r="C8" i="22"/>
  <c r="D39" i="22"/>
  <c r="D21" i="22"/>
  <c r="C60" i="23"/>
  <c r="D62" i="22"/>
  <c r="C21" i="23"/>
  <c r="D23" i="22"/>
  <c r="D56" i="22"/>
  <c r="C61" i="22"/>
  <c r="C31" i="22"/>
  <c r="C22" i="22"/>
  <c r="E59" i="22"/>
  <c r="B13" i="23"/>
  <c r="C15" i="22"/>
  <c r="C54" i="22"/>
  <c r="C45" i="22"/>
  <c r="C27" i="22"/>
  <c r="C5" i="23"/>
  <c r="D7" i="22"/>
  <c r="B4" i="23"/>
  <c r="C6" i="22"/>
  <c r="C53" i="22"/>
  <c r="C35" i="22"/>
  <c r="C5" i="22"/>
  <c r="C63" i="22"/>
  <c r="C43" i="22"/>
  <c r="C14" i="22"/>
  <c r="C59" i="22"/>
  <c r="C57" i="23" s="1"/>
  <c r="R2" i="20"/>
  <c r="S2" i="20" s="1"/>
  <c r="T2" i="20" s="1"/>
  <c r="U2" i="20" s="1"/>
  <c r="I26" i="20"/>
  <c r="D3" i="18"/>
  <c r="E3" i="18" s="1"/>
  <c r="F3" i="18" s="1"/>
  <c r="G3" i="18" s="1"/>
  <c r="H3" i="18" s="1"/>
  <c r="I3" i="18" s="1"/>
  <c r="J3" i="18" s="1"/>
  <c r="K3" i="18" s="1"/>
  <c r="L3" i="18" s="1"/>
  <c r="M3" i="18" s="1"/>
  <c r="N3" i="18" s="1"/>
  <c r="O3" i="18" s="1"/>
  <c r="P3" i="18" s="1"/>
  <c r="Q3" i="18" s="1"/>
  <c r="R3" i="18" s="1"/>
  <c r="S3" i="18" s="1"/>
  <c r="T3" i="18" s="1"/>
  <c r="U3" i="18" s="1"/>
  <c r="V3" i="18" s="1"/>
  <c r="W3" i="18" s="1"/>
  <c r="X3" i="18" s="1"/>
  <c r="Y3" i="18" s="1"/>
  <c r="Z3" i="18" s="1"/>
  <c r="AA3" i="18" s="1"/>
  <c r="C3" i="18"/>
  <c r="C16" i="18"/>
  <c r="C26" i="18"/>
  <c r="D26" i="18" s="1"/>
  <c r="E26" i="18" s="1"/>
  <c r="E24" i="19" s="1"/>
  <c r="B4" i="18"/>
  <c r="B2" i="19" s="1"/>
  <c r="B5" i="18"/>
  <c r="B6" i="18"/>
  <c r="B7" i="18"/>
  <c r="B5" i="19" s="1"/>
  <c r="B8" i="18"/>
  <c r="C8" i="18" s="1"/>
  <c r="B9" i="18"/>
  <c r="B7" i="19" s="1"/>
  <c r="B10" i="18"/>
  <c r="B8" i="19" s="1"/>
  <c r="B11" i="18"/>
  <c r="B9" i="19" s="1"/>
  <c r="B12" i="18"/>
  <c r="C12" i="18" s="1"/>
  <c r="B13" i="18"/>
  <c r="C13" i="18" s="1"/>
  <c r="C11" i="19" s="1"/>
  <c r="B14" i="18"/>
  <c r="B15" i="18"/>
  <c r="B16" i="18"/>
  <c r="B14" i="19" s="1"/>
  <c r="B17" i="18"/>
  <c r="B15" i="19" s="1"/>
  <c r="B18" i="18"/>
  <c r="B16" i="19" s="1"/>
  <c r="B19" i="18"/>
  <c r="B17" i="19" s="1"/>
  <c r="B20" i="18"/>
  <c r="C20" i="18" s="1"/>
  <c r="B21" i="18"/>
  <c r="C21" i="18" s="1"/>
  <c r="B22" i="18"/>
  <c r="B23" i="18"/>
  <c r="B24" i="18"/>
  <c r="B25" i="18"/>
  <c r="B23" i="19" s="1"/>
  <c r="B26" i="18"/>
  <c r="B27" i="18"/>
  <c r="C27" i="18" s="1"/>
  <c r="C25" i="19" s="1"/>
  <c r="B28" i="18"/>
  <c r="B26" i="19" s="1"/>
  <c r="B29" i="18"/>
  <c r="B27" i="19" s="1"/>
  <c r="B30" i="18"/>
  <c r="B31" i="18"/>
  <c r="B32" i="18"/>
  <c r="B33" i="18"/>
  <c r="B31" i="19" s="1"/>
  <c r="B34" i="18"/>
  <c r="B32" i="19" s="1"/>
  <c r="B35" i="18"/>
  <c r="B33" i="19" s="1"/>
  <c r="B36" i="18"/>
  <c r="B34" i="19" s="1"/>
  <c r="B37" i="18"/>
  <c r="B38" i="18"/>
  <c r="B39" i="18"/>
  <c r="B37" i="19" s="1"/>
  <c r="B40" i="18"/>
  <c r="B41" i="18"/>
  <c r="B39" i="19" s="1"/>
  <c r="B42" i="18"/>
  <c r="B40" i="19" s="1"/>
  <c r="B43" i="18"/>
  <c r="B41" i="19" s="1"/>
  <c r="B44" i="18"/>
  <c r="B42" i="19" s="1"/>
  <c r="B45" i="18"/>
  <c r="B43" i="19" s="1"/>
  <c r="B46" i="18"/>
  <c r="B47" i="18"/>
  <c r="B45" i="19" s="1"/>
  <c r="B48" i="18"/>
  <c r="C48" i="18" s="1"/>
  <c r="B49" i="18"/>
  <c r="C49" i="18" s="1"/>
  <c r="C47" i="19" s="1"/>
  <c r="B50" i="18"/>
  <c r="B48" i="19" s="1"/>
  <c r="B51" i="18"/>
  <c r="C51" i="18" s="1"/>
  <c r="D51" i="18" s="1"/>
  <c r="E51" i="18" s="1"/>
  <c r="B52" i="18"/>
  <c r="B50" i="19" s="1"/>
  <c r="B53" i="18"/>
  <c r="B54" i="18"/>
  <c r="B55" i="18"/>
  <c r="B53" i="19" s="1"/>
  <c r="B56" i="18"/>
  <c r="C56" i="18" s="1"/>
  <c r="B57" i="18"/>
  <c r="C57" i="18" s="1"/>
  <c r="B58" i="18"/>
  <c r="B59" i="18"/>
  <c r="B57" i="19" s="1"/>
  <c r="B60" i="18"/>
  <c r="B58" i="19" s="1"/>
  <c r="B61" i="18"/>
  <c r="B62" i="18"/>
  <c r="B63" i="18"/>
  <c r="C63" i="18" s="1"/>
  <c r="D63" i="18" s="1"/>
  <c r="B64" i="18"/>
  <c r="B62" i="19" s="1"/>
  <c r="B65" i="18"/>
  <c r="B63" i="19" s="1"/>
  <c r="B66" i="18"/>
  <c r="B64" i="19" s="1"/>
  <c r="B67" i="18"/>
  <c r="B65" i="19" s="1"/>
  <c r="B68" i="18"/>
  <c r="B66" i="19" s="1"/>
  <c r="B2" i="18"/>
  <c r="C2" i="18" s="1"/>
  <c r="D2" i="18" s="1"/>
  <c r="E2" i="18" s="1"/>
  <c r="F2" i="18" s="1"/>
  <c r="G2" i="18" s="1"/>
  <c r="H2" i="18" s="1"/>
  <c r="I2" i="18" s="1"/>
  <c r="J2" i="18" s="1"/>
  <c r="K2" i="18" s="1"/>
  <c r="L2" i="18" s="1"/>
  <c r="M2" i="18" s="1"/>
  <c r="N2" i="18" s="1"/>
  <c r="O2" i="18" s="1"/>
  <c r="P2" i="18" s="1"/>
  <c r="Q2" i="18" s="1"/>
  <c r="R2" i="18" s="1"/>
  <c r="S2" i="18" s="1"/>
  <c r="T2" i="18" s="1"/>
  <c r="U2" i="18" s="1"/>
  <c r="V2" i="18" s="1"/>
  <c r="W2" i="18" s="1"/>
  <c r="X2" i="18" s="1"/>
  <c r="Y2" i="18" s="1"/>
  <c r="Z2" i="18" s="1"/>
  <c r="AA2" i="18" s="1"/>
  <c r="B3" i="17"/>
  <c r="B15" i="17"/>
  <c r="B35" i="17"/>
  <c r="B57" i="17"/>
  <c r="C3" i="16"/>
  <c r="D3" i="16" s="1"/>
  <c r="E3" i="16" s="1"/>
  <c r="F3" i="16" s="1"/>
  <c r="G3" i="16" s="1"/>
  <c r="H3" i="16" s="1"/>
  <c r="I3" i="16" s="1"/>
  <c r="J3" i="16" s="1"/>
  <c r="K3" i="16" s="1"/>
  <c r="L3" i="16" s="1"/>
  <c r="M3" i="16" s="1"/>
  <c r="N3" i="16" s="1"/>
  <c r="O3" i="16" s="1"/>
  <c r="C19" i="16"/>
  <c r="C17" i="17" s="1"/>
  <c r="C43" i="16"/>
  <c r="C51" i="16"/>
  <c r="D51" i="16" s="1"/>
  <c r="C67" i="16"/>
  <c r="C65" i="17" s="1"/>
  <c r="B3" i="16"/>
  <c r="B4" i="16"/>
  <c r="B2" i="17" s="1"/>
  <c r="B5" i="16"/>
  <c r="C5" i="16" s="1"/>
  <c r="C3" i="17" s="1"/>
  <c r="B6" i="16"/>
  <c r="C6" i="16" s="1"/>
  <c r="B7" i="16"/>
  <c r="B5" i="17" s="1"/>
  <c r="B8" i="16"/>
  <c r="C8" i="16" s="1"/>
  <c r="B9" i="16"/>
  <c r="B10" i="16"/>
  <c r="B8" i="17" s="1"/>
  <c r="B11" i="16"/>
  <c r="B9" i="17" s="1"/>
  <c r="B12" i="16"/>
  <c r="C12" i="16" s="1"/>
  <c r="C10" i="17" s="1"/>
  <c r="B13" i="16"/>
  <c r="B11" i="17" s="1"/>
  <c r="B14" i="16"/>
  <c r="B15" i="16"/>
  <c r="C15" i="16" s="1"/>
  <c r="D15" i="16" s="1"/>
  <c r="D13" i="17" s="1"/>
  <c r="B16" i="16"/>
  <c r="B14" i="17" s="1"/>
  <c r="B17" i="16"/>
  <c r="C17" i="16" s="1"/>
  <c r="C15" i="17" s="1"/>
  <c r="B18" i="16"/>
  <c r="B16" i="17" s="1"/>
  <c r="B19" i="16"/>
  <c r="B17" i="17" s="1"/>
  <c r="B20" i="16"/>
  <c r="C20" i="16" s="1"/>
  <c r="C18" i="17" s="1"/>
  <c r="B21" i="16"/>
  <c r="C21" i="16" s="1"/>
  <c r="C19" i="17" s="1"/>
  <c r="B22" i="16"/>
  <c r="C22" i="16" s="1"/>
  <c r="B23" i="16"/>
  <c r="B21" i="17" s="1"/>
  <c r="B24" i="16"/>
  <c r="C24" i="16" s="1"/>
  <c r="B25" i="16"/>
  <c r="B26" i="16"/>
  <c r="D26" i="16" s="1"/>
  <c r="D24" i="17" s="1"/>
  <c r="B27" i="16"/>
  <c r="B25" i="17" s="1"/>
  <c r="B28" i="16"/>
  <c r="C28" i="16" s="1"/>
  <c r="D28" i="16" s="1"/>
  <c r="B29" i="16"/>
  <c r="B27" i="17" s="1"/>
  <c r="B30" i="16"/>
  <c r="B31" i="16"/>
  <c r="C31" i="16" s="1"/>
  <c r="D31" i="16" s="1"/>
  <c r="B32" i="16"/>
  <c r="B30" i="17" s="1"/>
  <c r="B33" i="16"/>
  <c r="C33" i="16" s="1"/>
  <c r="B34" i="16"/>
  <c r="B32" i="17" s="1"/>
  <c r="B35" i="16"/>
  <c r="B33" i="17" s="1"/>
  <c r="B36" i="16"/>
  <c r="B34" i="17" s="1"/>
  <c r="B37" i="16"/>
  <c r="C37" i="16" s="1"/>
  <c r="C35" i="17" s="1"/>
  <c r="B38" i="16"/>
  <c r="C38" i="16" s="1"/>
  <c r="C36" i="17" s="1"/>
  <c r="B39" i="16"/>
  <c r="B40" i="16"/>
  <c r="C40" i="16" s="1"/>
  <c r="B41" i="16"/>
  <c r="B42" i="16"/>
  <c r="C42" i="16" s="1"/>
  <c r="B43" i="16"/>
  <c r="B41" i="17" s="1"/>
  <c r="B44" i="16"/>
  <c r="B42" i="17" s="1"/>
  <c r="B45" i="16"/>
  <c r="B43" i="17" s="1"/>
  <c r="B46" i="16"/>
  <c r="B47" i="16"/>
  <c r="B48" i="16"/>
  <c r="B46" i="17" s="1"/>
  <c r="B49" i="16"/>
  <c r="B50" i="16"/>
  <c r="B48" i="17" s="1"/>
  <c r="B51" i="16"/>
  <c r="B49" i="17" s="1"/>
  <c r="B52" i="16"/>
  <c r="C52" i="16" s="1"/>
  <c r="C50" i="17" s="1"/>
  <c r="B53" i="16"/>
  <c r="C53" i="16" s="1"/>
  <c r="C51" i="17" s="1"/>
  <c r="B54" i="16"/>
  <c r="B55" i="16"/>
  <c r="B56" i="16"/>
  <c r="B54" i="17" s="1"/>
  <c r="B57" i="16"/>
  <c r="C57" i="16" s="1"/>
  <c r="B58" i="16"/>
  <c r="B56" i="17" s="1"/>
  <c r="B59" i="16"/>
  <c r="D59" i="16" s="1"/>
  <c r="D57" i="17" s="1"/>
  <c r="B60" i="16"/>
  <c r="B58" i="17" s="1"/>
  <c r="B61" i="16"/>
  <c r="B59" i="17" s="1"/>
  <c r="B62" i="16"/>
  <c r="B63" i="16"/>
  <c r="C63" i="16" s="1"/>
  <c r="C61" i="17" s="1"/>
  <c r="B64" i="16"/>
  <c r="C64" i="16" s="1"/>
  <c r="D64" i="16" s="1"/>
  <c r="D62" i="17" s="1"/>
  <c r="B65" i="16"/>
  <c r="B63" i="17" s="1"/>
  <c r="B66" i="16"/>
  <c r="C66" i="16" s="1"/>
  <c r="B67" i="16"/>
  <c r="B65" i="17" s="1"/>
  <c r="B68" i="16"/>
  <c r="B66" i="17" s="1"/>
  <c r="B2" i="16"/>
  <c r="C2" i="16" s="1"/>
  <c r="D2" i="16" s="1"/>
  <c r="E2" i="16" s="1"/>
  <c r="F2" i="16" s="1"/>
  <c r="G2" i="16" s="1"/>
  <c r="H2" i="16" s="1"/>
  <c r="I2" i="16" s="1"/>
  <c r="J2" i="16" s="1"/>
  <c r="K2" i="16" s="1"/>
  <c r="L2" i="16" s="1"/>
  <c r="M2" i="16" s="1"/>
  <c r="N2" i="16" s="1"/>
  <c r="O2" i="16" s="1"/>
  <c r="P2" i="16" s="1"/>
  <c r="Q2" i="16" s="1"/>
  <c r="R2" i="16" s="1"/>
  <c r="S2" i="16" s="1"/>
  <c r="T2" i="16" s="1"/>
  <c r="U2" i="16" s="1"/>
  <c r="V2" i="16" s="1"/>
  <c r="W2" i="16" s="1"/>
  <c r="X2" i="16" s="1"/>
  <c r="Y2" i="16" s="1"/>
  <c r="Z2" i="16" s="1"/>
  <c r="AA2" i="16" s="1"/>
  <c r="B18" i="17" l="1"/>
  <c r="C11" i="16"/>
  <c r="C9" i="17" s="1"/>
  <c r="C28" i="18"/>
  <c r="C26" i="19" s="1"/>
  <c r="C60" i="16"/>
  <c r="C59" i="16"/>
  <c r="E59" i="16" s="1"/>
  <c r="G59" i="16" s="1"/>
  <c r="G57" i="17" s="1"/>
  <c r="B50" i="17"/>
  <c r="C35" i="16"/>
  <c r="D35" i="16" s="1"/>
  <c r="D33" i="17" s="1"/>
  <c r="C68" i="18"/>
  <c r="C66" i="19" s="1"/>
  <c r="B47" i="19"/>
  <c r="C27" i="16"/>
  <c r="C52" i="18"/>
  <c r="E10" i="20"/>
  <c r="C35" i="21"/>
  <c r="C44" i="18"/>
  <c r="D57" i="18"/>
  <c r="C55" i="19"/>
  <c r="D20" i="18"/>
  <c r="C18" i="19"/>
  <c r="C10" i="19"/>
  <c r="D12" i="18"/>
  <c r="E12" i="18" s="1"/>
  <c r="F12" i="18" s="1"/>
  <c r="D37" i="16"/>
  <c r="B62" i="17"/>
  <c r="C49" i="17"/>
  <c r="B13" i="17"/>
  <c r="C65" i="18"/>
  <c r="C43" i="18"/>
  <c r="C25" i="18"/>
  <c r="D25" i="18" s="1"/>
  <c r="D23" i="19" s="1"/>
  <c r="C10" i="18"/>
  <c r="C8" i="19" s="1"/>
  <c r="D28" i="18"/>
  <c r="B55" i="19"/>
  <c r="B18" i="19"/>
  <c r="D21" i="16"/>
  <c r="E21" i="16" s="1"/>
  <c r="B29" i="17"/>
  <c r="B10" i="17"/>
  <c r="C60" i="18"/>
  <c r="C39" i="18"/>
  <c r="C9" i="18"/>
  <c r="H26" i="18"/>
  <c r="B54" i="19"/>
  <c r="C44" i="16"/>
  <c r="D5" i="16"/>
  <c r="E5" i="16" s="1"/>
  <c r="E3" i="17" s="1"/>
  <c r="E57" i="17"/>
  <c r="B26" i="17"/>
  <c r="B4" i="17"/>
  <c r="C36" i="18"/>
  <c r="C19" i="18"/>
  <c r="C4" i="18"/>
  <c r="B20" i="17"/>
  <c r="C35" i="18"/>
  <c r="C18" i="18"/>
  <c r="C16" i="19" s="1"/>
  <c r="D49" i="19"/>
  <c r="B10" i="19"/>
  <c r="C68" i="16"/>
  <c r="C36" i="16"/>
  <c r="C34" i="17" s="1"/>
  <c r="C4" i="16"/>
  <c r="C2" i="17" s="1"/>
  <c r="E15" i="16"/>
  <c r="C57" i="17"/>
  <c r="B38" i="17"/>
  <c r="B19" i="17"/>
  <c r="C55" i="18"/>
  <c r="C34" i="18"/>
  <c r="D34" i="18" s="1"/>
  <c r="C17" i="18"/>
  <c r="D68" i="18"/>
  <c r="B61" i="19"/>
  <c r="B49" i="19"/>
  <c r="B25" i="19"/>
  <c r="B6" i="19"/>
  <c r="D24" i="19"/>
  <c r="C61" i="16"/>
  <c r="C59" i="17" s="1"/>
  <c r="D53" i="16"/>
  <c r="E53" i="16" s="1"/>
  <c r="B51" i="17"/>
  <c r="C47" i="18"/>
  <c r="C45" i="19" s="1"/>
  <c r="B46" i="19"/>
  <c r="B19" i="19"/>
  <c r="D38" i="16"/>
  <c r="C62" i="17"/>
  <c r="C33" i="17"/>
  <c r="C11" i="18"/>
  <c r="C27" i="23"/>
  <c r="D29" i="22"/>
  <c r="C28" i="23"/>
  <c r="D30" i="22"/>
  <c r="C45" i="23"/>
  <c r="D47" i="22"/>
  <c r="D40" i="16"/>
  <c r="C38" i="17"/>
  <c r="D55" i="19"/>
  <c r="E57" i="18"/>
  <c r="C40" i="17"/>
  <c r="D42" i="16"/>
  <c r="Q3" i="16"/>
  <c r="R3" i="16" s="1"/>
  <c r="S3" i="16" s="1"/>
  <c r="T3" i="16" s="1"/>
  <c r="U3" i="16" s="1"/>
  <c r="V3" i="16" s="1"/>
  <c r="W3" i="16" s="1"/>
  <c r="X3" i="16" s="1"/>
  <c r="Y3" i="16" s="1"/>
  <c r="Z3" i="16" s="1"/>
  <c r="AA3" i="16" s="1"/>
  <c r="P3" i="16"/>
  <c r="D24" i="16"/>
  <c r="C22" i="17"/>
  <c r="D8" i="16"/>
  <c r="C6" i="17"/>
  <c r="E28" i="16"/>
  <c r="D26" i="17"/>
  <c r="F53" i="16"/>
  <c r="E51" i="17"/>
  <c r="D56" i="18"/>
  <c r="C54" i="19"/>
  <c r="D52" i="20"/>
  <c r="C50" i="21"/>
  <c r="C55" i="17"/>
  <c r="D57" i="16"/>
  <c r="B39" i="17"/>
  <c r="C41" i="16"/>
  <c r="C50" i="16"/>
  <c r="C18" i="16"/>
  <c r="D52" i="16"/>
  <c r="D19" i="16"/>
  <c r="D62" i="20"/>
  <c r="C60" i="21"/>
  <c r="E38" i="23"/>
  <c r="F40" i="22"/>
  <c r="B37" i="17"/>
  <c r="C39" i="16"/>
  <c r="C46" i="16"/>
  <c r="B44" i="17"/>
  <c r="D63" i="16"/>
  <c r="E64" i="16"/>
  <c r="B61" i="17"/>
  <c r="C26" i="17"/>
  <c r="B24" i="17"/>
  <c r="E49" i="19"/>
  <c r="F51" i="18"/>
  <c r="C45" i="18"/>
  <c r="C14" i="19"/>
  <c r="D16" i="18"/>
  <c r="C49" i="19"/>
  <c r="E19" i="17"/>
  <c r="F21" i="16"/>
  <c r="E20" i="18"/>
  <c r="D18" i="19"/>
  <c r="C65" i="23"/>
  <c r="D67" i="22"/>
  <c r="D35" i="23"/>
  <c r="E37" i="22"/>
  <c r="D4" i="20"/>
  <c r="C2" i="21"/>
  <c r="C31" i="17"/>
  <c r="D33" i="16"/>
  <c r="B7" i="17"/>
  <c r="C9" i="16"/>
  <c r="D63" i="20"/>
  <c r="C61" i="21"/>
  <c r="C34" i="16"/>
  <c r="D36" i="16"/>
  <c r="B22" i="17"/>
  <c r="B35" i="19"/>
  <c r="C37" i="18"/>
  <c r="C5" i="18"/>
  <c r="B3" i="19"/>
  <c r="D68" i="20"/>
  <c r="C66" i="21"/>
  <c r="D43" i="20"/>
  <c r="C41" i="21"/>
  <c r="E61" i="20"/>
  <c r="D59" i="21"/>
  <c r="C47" i="16"/>
  <c r="B45" i="17"/>
  <c r="C15" i="19"/>
  <c r="D17" i="18"/>
  <c r="B11" i="19"/>
  <c r="C54" i="16"/>
  <c r="B52" i="17"/>
  <c r="C58" i="17"/>
  <c r="D60" i="16"/>
  <c r="H24" i="19"/>
  <c r="I26" i="18"/>
  <c r="I24" i="19" s="1"/>
  <c r="J26" i="18"/>
  <c r="O26" i="18"/>
  <c r="E63" i="18"/>
  <c r="D61" i="19"/>
  <c r="D50" i="20"/>
  <c r="C48" i="21"/>
  <c r="C58" i="23"/>
  <c r="D60" i="22"/>
  <c r="H6" i="21"/>
  <c r="O8" i="20"/>
  <c r="O6" i="21" s="1"/>
  <c r="I8" i="20"/>
  <c r="B72" i="21"/>
  <c r="B68" i="21"/>
  <c r="B70" i="21" s="1"/>
  <c r="E57" i="20"/>
  <c r="D55" i="21"/>
  <c r="B47" i="17"/>
  <c r="C49" i="16"/>
  <c r="B23" i="17"/>
  <c r="C25" i="16"/>
  <c r="C66" i="17"/>
  <c r="D68" i="16"/>
  <c r="D66" i="20"/>
  <c r="C64" i="21"/>
  <c r="E13" i="17"/>
  <c r="F15" i="16"/>
  <c r="B59" i="19"/>
  <c r="C61" i="18"/>
  <c r="C19" i="19"/>
  <c r="D21" i="18"/>
  <c r="C66" i="23"/>
  <c r="D68" i="22"/>
  <c r="D56" i="20"/>
  <c r="C54" i="21"/>
  <c r="F59" i="20"/>
  <c r="C57" i="21"/>
  <c r="E22" i="20"/>
  <c r="D20" i="21"/>
  <c r="B53" i="17"/>
  <c r="C55" i="16"/>
  <c r="C65" i="16"/>
  <c r="C32" i="16"/>
  <c r="B64" i="17"/>
  <c r="B40" i="17"/>
  <c r="B6" i="17"/>
  <c r="C29" i="18"/>
  <c r="C30" i="16"/>
  <c r="B28" i="17"/>
  <c r="C4" i="17"/>
  <c r="D6" i="16"/>
  <c r="C25" i="17"/>
  <c r="D27" i="16"/>
  <c r="D44" i="18"/>
  <c r="C42" i="19"/>
  <c r="D26" i="19"/>
  <c r="E28" i="18"/>
  <c r="C58" i="16"/>
  <c r="C26" i="16"/>
  <c r="C10" i="16"/>
  <c r="D61" i="16"/>
  <c r="D11" i="16"/>
  <c r="D51" i="17"/>
  <c r="C13" i="17"/>
  <c r="D43" i="18"/>
  <c r="C41" i="19"/>
  <c r="D27" i="18"/>
  <c r="E10" i="19"/>
  <c r="D66" i="16"/>
  <c r="C64" i="17"/>
  <c r="D36" i="17"/>
  <c r="E38" i="16"/>
  <c r="D19" i="17"/>
  <c r="F10" i="19"/>
  <c r="G12" i="18"/>
  <c r="C61" i="19"/>
  <c r="D49" i="20"/>
  <c r="C47" i="21"/>
  <c r="D48" i="20"/>
  <c r="C46" i="21"/>
  <c r="D35" i="20"/>
  <c r="C33" i="21"/>
  <c r="D49" i="17"/>
  <c r="E51" i="16"/>
  <c r="D20" i="16"/>
  <c r="D4" i="16"/>
  <c r="E35" i="16"/>
  <c r="B55" i="17"/>
  <c r="D3" i="17"/>
  <c r="B51" i="19"/>
  <c r="C53" i="18"/>
  <c r="C50" i="23"/>
  <c r="D52" i="22"/>
  <c r="C26" i="23"/>
  <c r="D28" i="22"/>
  <c r="F5" i="20"/>
  <c r="E3" i="21"/>
  <c r="F65" i="20"/>
  <c r="E63" i="21"/>
  <c r="D29" i="17"/>
  <c r="E31" i="16"/>
  <c r="C48" i="16"/>
  <c r="C16" i="16"/>
  <c r="D67" i="16"/>
  <c r="D17" i="16"/>
  <c r="F5" i="16"/>
  <c r="B60" i="17"/>
  <c r="C62" i="16"/>
  <c r="C20" i="17"/>
  <c r="D22" i="16"/>
  <c r="C14" i="16"/>
  <c r="B12" i="17"/>
  <c r="C41" i="17"/>
  <c r="D43" i="16"/>
  <c r="D12" i="16"/>
  <c r="C29" i="17"/>
  <c r="C56" i="16"/>
  <c r="B36" i="17"/>
  <c r="B31" i="17"/>
  <c r="C46" i="19"/>
  <c r="D48" i="18"/>
  <c r="D8" i="18"/>
  <c r="C6" i="19"/>
  <c r="D13" i="18"/>
  <c r="D10" i="19"/>
  <c r="B56" i="19"/>
  <c r="C58" i="18"/>
  <c r="C66" i="18"/>
  <c r="D10" i="18"/>
  <c r="F7" i="20"/>
  <c r="E5" i="21"/>
  <c r="D47" i="20"/>
  <c r="C45" i="21"/>
  <c r="G38" i="20"/>
  <c r="F36" i="21"/>
  <c r="D18" i="20"/>
  <c r="C16" i="21"/>
  <c r="D32" i="20"/>
  <c r="C30" i="21"/>
  <c r="D9" i="20"/>
  <c r="C7" i="21"/>
  <c r="D58" i="20"/>
  <c r="C56" i="21"/>
  <c r="C41" i="23"/>
  <c r="D43" i="22"/>
  <c r="D37" i="23"/>
  <c r="E39" i="22"/>
  <c r="C23" i="16"/>
  <c r="C7" i="16"/>
  <c r="C40" i="18"/>
  <c r="B38" i="19"/>
  <c r="B30" i="19"/>
  <c r="C32" i="18"/>
  <c r="B22" i="19"/>
  <c r="C24" i="18"/>
  <c r="C64" i="18"/>
  <c r="C50" i="19"/>
  <c r="D52" i="18"/>
  <c r="D49" i="18"/>
  <c r="C24" i="19"/>
  <c r="D63" i="22"/>
  <c r="C61" i="23"/>
  <c r="C29" i="23"/>
  <c r="D31" i="22"/>
  <c r="B29" i="19"/>
  <c r="C31" i="18"/>
  <c r="B21" i="19"/>
  <c r="C23" i="18"/>
  <c r="B13" i="19"/>
  <c r="C15" i="18"/>
  <c r="C33" i="19"/>
  <c r="D35" i="18"/>
  <c r="D47" i="18"/>
  <c r="E25" i="18"/>
  <c r="W2" i="20"/>
  <c r="X2" i="20" s="1"/>
  <c r="Y2" i="20" s="1"/>
  <c r="Z2" i="20" s="1"/>
  <c r="AA2" i="20" s="1"/>
  <c r="V2" i="20"/>
  <c r="C45" i="16"/>
  <c r="C29" i="16"/>
  <c r="C13" i="16"/>
  <c r="B60" i="19"/>
  <c r="C62" i="18"/>
  <c r="B52" i="19"/>
  <c r="C54" i="18"/>
  <c r="B44" i="19"/>
  <c r="C46" i="18"/>
  <c r="B36" i="19"/>
  <c r="C38" i="18"/>
  <c r="B28" i="19"/>
  <c r="C30" i="18"/>
  <c r="B20" i="19"/>
  <c r="C22" i="18"/>
  <c r="B12" i="19"/>
  <c r="C14" i="18"/>
  <c r="B4" i="19"/>
  <c r="C6" i="18"/>
  <c r="C7" i="18"/>
  <c r="D18" i="18"/>
  <c r="C32" i="19"/>
  <c r="C23" i="19"/>
  <c r="D53" i="22"/>
  <c r="C51" i="23"/>
  <c r="D15" i="22"/>
  <c r="C13" i="23"/>
  <c r="C14" i="23"/>
  <c r="D16" i="22"/>
  <c r="G59" i="18"/>
  <c r="G57" i="19" s="1"/>
  <c r="D59" i="18"/>
  <c r="D57" i="19" s="1"/>
  <c r="C42" i="18"/>
  <c r="C33" i="18"/>
  <c r="F10" i="20"/>
  <c r="E8" i="21"/>
  <c r="B24" i="19"/>
  <c r="F26" i="18"/>
  <c r="F24" i="19" s="1"/>
  <c r="C59" i="18"/>
  <c r="C57" i="19" s="1"/>
  <c r="C50" i="18"/>
  <c r="C41" i="18"/>
  <c r="E59" i="18"/>
  <c r="J26" i="20"/>
  <c r="I24" i="21"/>
  <c r="E57" i="23"/>
  <c r="F59" i="22"/>
  <c r="C7" i="23"/>
  <c r="D9" i="22"/>
  <c r="E29" i="20"/>
  <c r="D27" i="21"/>
  <c r="C67" i="18"/>
  <c r="G26" i="18"/>
  <c r="G24" i="19" s="1"/>
  <c r="F31" i="20"/>
  <c r="E29" i="21"/>
  <c r="C10" i="23"/>
  <c r="D12" i="22"/>
  <c r="D17" i="20"/>
  <c r="C15" i="21"/>
  <c r="F44" i="20"/>
  <c r="E42" i="21"/>
  <c r="D24" i="20"/>
  <c r="C22" i="21"/>
  <c r="E54" i="20"/>
  <c r="D52" i="21"/>
  <c r="E53" i="20"/>
  <c r="D51" i="21"/>
  <c r="C33" i="23"/>
  <c r="D35" i="22"/>
  <c r="D54" i="22"/>
  <c r="C52" i="23"/>
  <c r="D21" i="23"/>
  <c r="E23" i="22"/>
  <c r="D41" i="22"/>
  <c r="C39" i="23"/>
  <c r="D47" i="23"/>
  <c r="E49" i="22"/>
  <c r="D31" i="23"/>
  <c r="E33" i="22"/>
  <c r="C40" i="23"/>
  <c r="D42" i="22"/>
  <c r="E46" i="20"/>
  <c r="D44" i="21"/>
  <c r="D64" i="22"/>
  <c r="C62" i="23"/>
  <c r="E10" i="22"/>
  <c r="D8" i="23"/>
  <c r="D6" i="22"/>
  <c r="C4" i="23"/>
  <c r="D60" i="23"/>
  <c r="E62" i="22"/>
  <c r="D17" i="23"/>
  <c r="E19" i="22"/>
  <c r="E18" i="22"/>
  <c r="D16" i="23"/>
  <c r="C48" i="23"/>
  <c r="D50" i="22"/>
  <c r="C12" i="23"/>
  <c r="D14" i="22"/>
  <c r="D5" i="23"/>
  <c r="E7" i="22"/>
  <c r="C20" i="23"/>
  <c r="D22" i="22"/>
  <c r="D19" i="23"/>
  <c r="E21" i="22"/>
  <c r="C22" i="23"/>
  <c r="D24" i="22"/>
  <c r="C15" i="23"/>
  <c r="D17" i="22"/>
  <c r="D55" i="23"/>
  <c r="E57" i="22"/>
  <c r="C34" i="23"/>
  <c r="D36" i="22"/>
  <c r="D49" i="23"/>
  <c r="E51" i="22"/>
  <c r="D42" i="20"/>
  <c r="C40" i="21"/>
  <c r="D64" i="20"/>
  <c r="C62" i="21"/>
  <c r="G6" i="20"/>
  <c r="F4" i="21"/>
  <c r="E25" i="20"/>
  <c r="D23" i="21"/>
  <c r="E11" i="20"/>
  <c r="D9" i="21"/>
  <c r="E45" i="20"/>
  <c r="D43" i="21"/>
  <c r="C30" i="23"/>
  <c r="D32" i="22"/>
  <c r="C63" i="23"/>
  <c r="D65" i="22"/>
  <c r="D26" i="22"/>
  <c r="C24" i="23"/>
  <c r="E15" i="20"/>
  <c r="D13" i="21"/>
  <c r="D55" i="20"/>
  <c r="C53" i="21"/>
  <c r="E21" i="20"/>
  <c r="D19" i="21"/>
  <c r="F37" i="20"/>
  <c r="E35" i="21"/>
  <c r="F39" i="20"/>
  <c r="E37" i="21"/>
  <c r="D8" i="20"/>
  <c r="C6" i="21"/>
  <c r="D53" i="23"/>
  <c r="E55" i="22"/>
  <c r="D20" i="20"/>
  <c r="C18" i="21"/>
  <c r="D41" i="20"/>
  <c r="C39" i="21"/>
  <c r="D19" i="20"/>
  <c r="C17" i="21"/>
  <c r="D51" i="20"/>
  <c r="C49" i="21"/>
  <c r="C25" i="23"/>
  <c r="D27" i="22"/>
  <c r="C59" i="23"/>
  <c r="D61" i="22"/>
  <c r="D8" i="22"/>
  <c r="C6" i="23"/>
  <c r="C23" i="23"/>
  <c r="D25" i="22"/>
  <c r="E36" i="23"/>
  <c r="F38" i="22"/>
  <c r="C18" i="23"/>
  <c r="D20" i="22"/>
  <c r="C32" i="23"/>
  <c r="D34" i="22"/>
  <c r="D12" i="20"/>
  <c r="C10" i="21"/>
  <c r="E33" i="20"/>
  <c r="D31" i="21"/>
  <c r="E13" i="20"/>
  <c r="D11" i="21"/>
  <c r="H24" i="21"/>
  <c r="O26" i="20"/>
  <c r="O24" i="21" s="1"/>
  <c r="D23" i="20"/>
  <c r="C21" i="21"/>
  <c r="D11" i="23"/>
  <c r="E13" i="22"/>
  <c r="B72" i="23"/>
  <c r="B68" i="23"/>
  <c r="B70" i="23" s="1"/>
  <c r="D56" i="23"/>
  <c r="E58" i="22"/>
  <c r="D40" i="20"/>
  <c r="C38" i="21"/>
  <c r="D27" i="20"/>
  <c r="C25" i="21"/>
  <c r="E34" i="20"/>
  <c r="D32" i="21"/>
  <c r="E26" i="20"/>
  <c r="D24" i="21"/>
  <c r="E64" i="23"/>
  <c r="F66" i="22"/>
  <c r="D5" i="22"/>
  <c r="C3" i="23"/>
  <c r="D45" i="22"/>
  <c r="C43" i="23"/>
  <c r="D54" i="23"/>
  <c r="E56" i="22"/>
  <c r="D44" i="23"/>
  <c r="E46" i="22"/>
  <c r="C46" i="23"/>
  <c r="D48" i="22"/>
  <c r="D9" i="23"/>
  <c r="E11" i="22"/>
  <c r="D36" i="20"/>
  <c r="C34" i="21"/>
  <c r="F14" i="20"/>
  <c r="E12" i="21"/>
  <c r="D28" i="20"/>
  <c r="C26" i="21"/>
  <c r="C2" i="23"/>
  <c r="D4" i="22"/>
  <c r="D44" i="22"/>
  <c r="C42" i="23"/>
  <c r="D16" i="20"/>
  <c r="C14" i="21"/>
  <c r="E30" i="20"/>
  <c r="D28" i="21"/>
  <c r="F60" i="20"/>
  <c r="E58" i="21"/>
  <c r="D67" i="20"/>
  <c r="C65" i="21"/>
  <c r="H57" i="21"/>
  <c r="I59" i="20"/>
  <c r="I57" i="21" s="1"/>
  <c r="L59" i="20"/>
  <c r="J59" i="20"/>
  <c r="O59" i="20"/>
  <c r="F59" i="16"/>
  <c r="C9" i="19" l="1"/>
  <c r="D11" i="18"/>
  <c r="D19" i="18"/>
  <c r="C17" i="19"/>
  <c r="C72" i="23"/>
  <c r="D32" i="19"/>
  <c r="E34" i="18"/>
  <c r="D36" i="18"/>
  <c r="C34" i="19"/>
  <c r="C7" i="19"/>
  <c r="D9" i="18"/>
  <c r="D35" i="17"/>
  <c r="E37" i="16"/>
  <c r="D45" i="23"/>
  <c r="E47" i="22"/>
  <c r="C53" i="19"/>
  <c r="D55" i="18"/>
  <c r="C37" i="19"/>
  <c r="D39" i="18"/>
  <c r="B72" i="17"/>
  <c r="C58" i="19"/>
  <c r="D60" i="18"/>
  <c r="D28" i="23"/>
  <c r="E30" i="22"/>
  <c r="D65" i="18"/>
  <c r="C63" i="19"/>
  <c r="D27" i="23"/>
  <c r="E29" i="22"/>
  <c r="D44" i="16"/>
  <c r="C42" i="17"/>
  <c r="B68" i="19"/>
  <c r="B70" i="19" s="1"/>
  <c r="D66" i="19"/>
  <c r="E68" i="18"/>
  <c r="C2" i="19"/>
  <c r="D4" i="18"/>
  <c r="D7" i="16"/>
  <c r="C5" i="17"/>
  <c r="E48" i="18"/>
  <c r="D46" i="19"/>
  <c r="D15" i="17"/>
  <c r="E17" i="16"/>
  <c r="C51" i="19"/>
  <c r="D53" i="18"/>
  <c r="E33" i="17"/>
  <c r="F35" i="16"/>
  <c r="E48" i="20"/>
  <c r="D46" i="21"/>
  <c r="E43" i="18"/>
  <c r="D41" i="19"/>
  <c r="E26" i="19"/>
  <c r="F28" i="18"/>
  <c r="D55" i="16"/>
  <c r="C53" i="17"/>
  <c r="D66" i="23"/>
  <c r="E68" i="22"/>
  <c r="J24" i="19"/>
  <c r="K26" i="18"/>
  <c r="B72" i="19"/>
  <c r="E35" i="23"/>
  <c r="F37" i="22"/>
  <c r="G21" i="16"/>
  <c r="F19" i="17"/>
  <c r="F49" i="19"/>
  <c r="G51" i="18"/>
  <c r="C44" i="17"/>
  <c r="D46" i="16"/>
  <c r="E52" i="16"/>
  <c r="D50" i="17"/>
  <c r="E52" i="20"/>
  <c r="D50" i="21"/>
  <c r="E42" i="16"/>
  <c r="D40" i="17"/>
  <c r="F33" i="20"/>
  <c r="E31" i="21"/>
  <c r="E20" i="20"/>
  <c r="D18" i="21"/>
  <c r="F11" i="20"/>
  <c r="E9" i="21"/>
  <c r="D4" i="23"/>
  <c r="E6" i="22"/>
  <c r="E16" i="20"/>
  <c r="D14" i="21"/>
  <c r="E40" i="20"/>
  <c r="D38" i="21"/>
  <c r="E49" i="23"/>
  <c r="F51" i="22"/>
  <c r="D20" i="23"/>
  <c r="E22" i="22"/>
  <c r="F33" i="22"/>
  <c r="E31" i="23"/>
  <c r="G59" i="22"/>
  <c r="F57" i="23"/>
  <c r="D14" i="23"/>
  <c r="E16" i="22"/>
  <c r="C11" i="17"/>
  <c r="D13" i="16"/>
  <c r="D61" i="23"/>
  <c r="E63" i="22"/>
  <c r="D64" i="18"/>
  <c r="C62" i="19"/>
  <c r="D23" i="16"/>
  <c r="C21" i="17"/>
  <c r="E58" i="20"/>
  <c r="D56" i="21"/>
  <c r="H38" i="20"/>
  <c r="G36" i="21"/>
  <c r="C64" i="19"/>
  <c r="D66" i="18"/>
  <c r="E67" i="16"/>
  <c r="D65" i="17"/>
  <c r="G5" i="20"/>
  <c r="F3" i="21"/>
  <c r="D2" i="17"/>
  <c r="E4" i="16"/>
  <c r="E36" i="17"/>
  <c r="F38" i="16"/>
  <c r="C28" i="17"/>
  <c r="D30" i="16"/>
  <c r="E66" i="20"/>
  <c r="D64" i="21"/>
  <c r="F57" i="20"/>
  <c r="E55" i="21"/>
  <c r="F61" i="20"/>
  <c r="E59" i="21"/>
  <c r="E63" i="20"/>
  <c r="D61" i="21"/>
  <c r="D39" i="16"/>
  <c r="C37" i="17"/>
  <c r="C16" i="17"/>
  <c r="D18" i="16"/>
  <c r="E26" i="17"/>
  <c r="F28" i="16"/>
  <c r="E44" i="23"/>
  <c r="F46" i="22"/>
  <c r="C44" i="19"/>
  <c r="D46" i="18"/>
  <c r="F55" i="22"/>
  <c r="E53" i="23"/>
  <c r="F57" i="22"/>
  <c r="E55" i="23"/>
  <c r="E23" i="20"/>
  <c r="D21" i="21"/>
  <c r="E12" i="20"/>
  <c r="D10" i="21"/>
  <c r="G31" i="20"/>
  <c r="F29" i="21"/>
  <c r="C52" i="19"/>
  <c r="D54" i="18"/>
  <c r="C29" i="19"/>
  <c r="D31" i="18"/>
  <c r="D24" i="18"/>
  <c r="C22" i="19"/>
  <c r="F39" i="22"/>
  <c r="E37" i="23"/>
  <c r="C56" i="19"/>
  <c r="D58" i="18"/>
  <c r="C12" i="17"/>
  <c r="D14" i="16"/>
  <c r="D16" i="16"/>
  <c r="C14" i="17"/>
  <c r="E20" i="16"/>
  <c r="D18" i="17"/>
  <c r="E49" i="20"/>
  <c r="D47" i="21"/>
  <c r="C27" i="19"/>
  <c r="D29" i="18"/>
  <c r="D19" i="19"/>
  <c r="E21" i="18"/>
  <c r="D66" i="17"/>
  <c r="E68" i="16"/>
  <c r="E50" i="20"/>
  <c r="D48" i="21"/>
  <c r="C52" i="17"/>
  <c r="D54" i="16"/>
  <c r="D5" i="18"/>
  <c r="C3" i="19"/>
  <c r="C7" i="17"/>
  <c r="D9" i="16"/>
  <c r="D65" i="23"/>
  <c r="E67" i="22"/>
  <c r="C48" i="17"/>
  <c r="D50" i="16"/>
  <c r="E56" i="18"/>
  <c r="D54" i="19"/>
  <c r="F57" i="18"/>
  <c r="E55" i="19"/>
  <c r="D45" i="19"/>
  <c r="E47" i="18"/>
  <c r="E9" i="20"/>
  <c r="D7" i="21"/>
  <c r="E47" i="20"/>
  <c r="D45" i="21"/>
  <c r="D20" i="17"/>
  <c r="E22" i="16"/>
  <c r="D48" i="16"/>
  <c r="C46" i="17"/>
  <c r="E49" i="17"/>
  <c r="F51" i="16"/>
  <c r="E11" i="16"/>
  <c r="D9" i="17"/>
  <c r="D42" i="19"/>
  <c r="E44" i="18"/>
  <c r="F22" i="20"/>
  <c r="E20" i="21"/>
  <c r="E43" i="20"/>
  <c r="D41" i="21"/>
  <c r="C35" i="19"/>
  <c r="D37" i="18"/>
  <c r="F38" i="23"/>
  <c r="G40" i="22"/>
  <c r="C39" i="17"/>
  <c r="D41" i="16"/>
  <c r="D6" i="17"/>
  <c r="E8" i="16"/>
  <c r="D24" i="23"/>
  <c r="E26" i="22"/>
  <c r="F54" i="20"/>
  <c r="E52" i="21"/>
  <c r="D23" i="18"/>
  <c r="C21" i="19"/>
  <c r="E25" i="22"/>
  <c r="D23" i="23"/>
  <c r="F58" i="22"/>
  <c r="E56" i="23"/>
  <c r="E51" i="20"/>
  <c r="D49" i="21"/>
  <c r="F25" i="20"/>
  <c r="E23" i="21"/>
  <c r="F10" i="22"/>
  <c r="E8" i="23"/>
  <c r="E24" i="20"/>
  <c r="D22" i="21"/>
  <c r="E23" i="19"/>
  <c r="F25" i="18"/>
  <c r="D42" i="23"/>
  <c r="E44" i="22"/>
  <c r="E36" i="20"/>
  <c r="D34" i="21"/>
  <c r="F26" i="20"/>
  <c r="E24" i="21"/>
  <c r="D32" i="23"/>
  <c r="E34" i="22"/>
  <c r="E32" i="22"/>
  <c r="D30" i="23"/>
  <c r="D34" i="23"/>
  <c r="E36" i="22"/>
  <c r="D15" i="23"/>
  <c r="E17" i="22"/>
  <c r="E5" i="23"/>
  <c r="F7" i="22"/>
  <c r="E17" i="23"/>
  <c r="F19" i="22"/>
  <c r="F49" i="22"/>
  <c r="E47" i="23"/>
  <c r="E35" i="22"/>
  <c r="D33" i="23"/>
  <c r="C43" i="17"/>
  <c r="D45" i="16"/>
  <c r="D6" i="23"/>
  <c r="E8" i="22"/>
  <c r="E55" i="20"/>
  <c r="D53" i="21"/>
  <c r="H6" i="20"/>
  <c r="G4" i="21"/>
  <c r="G44" i="20"/>
  <c r="F42" i="21"/>
  <c r="C65" i="19"/>
  <c r="D67" i="18"/>
  <c r="K26" i="20"/>
  <c r="J24" i="21"/>
  <c r="G10" i="20"/>
  <c r="F8" i="21"/>
  <c r="E15" i="22"/>
  <c r="D13" i="23"/>
  <c r="E18" i="18"/>
  <c r="D16" i="19"/>
  <c r="C28" i="19"/>
  <c r="D30" i="18"/>
  <c r="D62" i="18"/>
  <c r="C60" i="19"/>
  <c r="E35" i="18"/>
  <c r="D33" i="19"/>
  <c r="D29" i="23"/>
  <c r="E31" i="22"/>
  <c r="D32" i="18"/>
  <c r="C30" i="19"/>
  <c r="D41" i="23"/>
  <c r="E43" i="22"/>
  <c r="C54" i="17"/>
  <c r="D56" i="16"/>
  <c r="E29" i="17"/>
  <c r="F31" i="16"/>
  <c r="E28" i="22"/>
  <c r="D26" i="23"/>
  <c r="G10" i="19"/>
  <c r="H12" i="18"/>
  <c r="E66" i="16"/>
  <c r="D64" i="17"/>
  <c r="E61" i="16"/>
  <c r="D59" i="17"/>
  <c r="D25" i="17"/>
  <c r="E27" i="16"/>
  <c r="C59" i="19"/>
  <c r="D61" i="18"/>
  <c r="C23" i="17"/>
  <c r="D25" i="16"/>
  <c r="J8" i="20"/>
  <c r="I6" i="21"/>
  <c r="D15" i="19"/>
  <c r="E17" i="18"/>
  <c r="E33" i="16"/>
  <c r="D31" i="17"/>
  <c r="D2" i="23"/>
  <c r="E4" i="22"/>
  <c r="E8" i="20"/>
  <c r="D6" i="21"/>
  <c r="E64" i="22"/>
  <c r="D62" i="23"/>
  <c r="G60" i="20"/>
  <c r="F58" i="21"/>
  <c r="C73" i="23"/>
  <c r="B73" i="23"/>
  <c r="C68" i="23"/>
  <c r="C70" i="23" s="1"/>
  <c r="F34" i="20"/>
  <c r="E32" i="21"/>
  <c r="D18" i="23"/>
  <c r="E20" i="22"/>
  <c r="E61" i="22"/>
  <c r="D59" i="23"/>
  <c r="D22" i="23"/>
  <c r="E24" i="22"/>
  <c r="D12" i="23"/>
  <c r="E14" i="22"/>
  <c r="E60" i="23"/>
  <c r="F62" i="22"/>
  <c r="F59" i="18"/>
  <c r="F57" i="19" s="1"/>
  <c r="E57" i="19"/>
  <c r="H59" i="18"/>
  <c r="D33" i="18"/>
  <c r="C31" i="19"/>
  <c r="D7" i="18"/>
  <c r="C5" i="19"/>
  <c r="E32" i="20"/>
  <c r="D30" i="21"/>
  <c r="G7" i="20"/>
  <c r="F5" i="21"/>
  <c r="D11" i="19"/>
  <c r="E13" i="18"/>
  <c r="C60" i="17"/>
  <c r="D62" i="16"/>
  <c r="C8" i="17"/>
  <c r="D10" i="16"/>
  <c r="F57" i="21"/>
  <c r="G59" i="20"/>
  <c r="G57" i="21" s="1"/>
  <c r="E68" i="20"/>
  <c r="D66" i="21"/>
  <c r="F20" i="18"/>
  <c r="E18" i="19"/>
  <c r="D14" i="19"/>
  <c r="E16" i="18"/>
  <c r="E62" i="17"/>
  <c r="F64" i="16"/>
  <c r="D55" i="17"/>
  <c r="E57" i="16"/>
  <c r="D22" i="17"/>
  <c r="E24" i="16"/>
  <c r="D38" i="17"/>
  <c r="E40" i="16"/>
  <c r="E9" i="23"/>
  <c r="F11" i="22"/>
  <c r="E19" i="20"/>
  <c r="D17" i="21"/>
  <c r="W59" i="20"/>
  <c r="W57" i="21" s="1"/>
  <c r="O57" i="21"/>
  <c r="E45" i="22"/>
  <c r="D43" i="23"/>
  <c r="F57" i="17"/>
  <c r="I59" i="16"/>
  <c r="I57" i="17" s="1"/>
  <c r="H59" i="16"/>
  <c r="J57" i="21"/>
  <c r="K59" i="20"/>
  <c r="E48" i="22"/>
  <c r="D46" i="23"/>
  <c r="F13" i="20"/>
  <c r="E11" i="21"/>
  <c r="E41" i="20"/>
  <c r="D39" i="21"/>
  <c r="G39" i="20"/>
  <c r="F37" i="21"/>
  <c r="F15" i="20"/>
  <c r="E13" i="21"/>
  <c r="F45" i="20"/>
  <c r="E43" i="21"/>
  <c r="E64" i="20"/>
  <c r="D62" i="21"/>
  <c r="F46" i="20"/>
  <c r="E44" i="21"/>
  <c r="D39" i="23"/>
  <c r="E41" i="22"/>
  <c r="F53" i="20"/>
  <c r="E51" i="21"/>
  <c r="E17" i="20"/>
  <c r="D15" i="21"/>
  <c r="F29" i="20"/>
  <c r="E27" i="21"/>
  <c r="C39" i="19"/>
  <c r="D41" i="18"/>
  <c r="D42" i="18"/>
  <c r="C40" i="19"/>
  <c r="D51" i="23"/>
  <c r="E53" i="22"/>
  <c r="D6" i="18"/>
  <c r="C4" i="19"/>
  <c r="C36" i="19"/>
  <c r="D38" i="18"/>
  <c r="B68" i="17"/>
  <c r="B70" i="17" s="1"/>
  <c r="D15" i="18"/>
  <c r="C13" i="19"/>
  <c r="D47" i="19"/>
  <c r="E49" i="18"/>
  <c r="E12" i="16"/>
  <c r="D10" i="17"/>
  <c r="E52" i="22"/>
  <c r="D50" i="23"/>
  <c r="E35" i="20"/>
  <c r="D33" i="21"/>
  <c r="E27" i="18"/>
  <c r="D25" i="19"/>
  <c r="C24" i="17"/>
  <c r="F26" i="16"/>
  <c r="E26" i="16"/>
  <c r="D4" i="17"/>
  <c r="E6" i="16"/>
  <c r="D32" i="16"/>
  <c r="C30" i="17"/>
  <c r="F13" i="17"/>
  <c r="G15" i="16"/>
  <c r="C47" i="17"/>
  <c r="D49" i="16"/>
  <c r="E61" i="19"/>
  <c r="F63" i="18"/>
  <c r="E36" i="16"/>
  <c r="D34" i="17"/>
  <c r="C68" i="21"/>
  <c r="C70" i="21" s="1"/>
  <c r="B73" i="21"/>
  <c r="C73" i="21"/>
  <c r="C72" i="21"/>
  <c r="D61" i="17"/>
  <c r="E63" i="16"/>
  <c r="E62" i="20"/>
  <c r="D60" i="21"/>
  <c r="F64" i="23"/>
  <c r="G66" i="22"/>
  <c r="G37" i="20"/>
  <c r="F35" i="21"/>
  <c r="E42" i="20"/>
  <c r="D40" i="21"/>
  <c r="C12" i="19"/>
  <c r="D14" i="18"/>
  <c r="D8" i="19"/>
  <c r="E10" i="18"/>
  <c r="G14" i="20"/>
  <c r="F12" i="21"/>
  <c r="D63" i="23"/>
  <c r="E65" i="22"/>
  <c r="E54" i="23"/>
  <c r="F56" i="22"/>
  <c r="F21" i="20"/>
  <c r="E19" i="21"/>
  <c r="F18" i="22"/>
  <c r="E16" i="23"/>
  <c r="D52" i="23"/>
  <c r="E54" i="22"/>
  <c r="C20" i="19"/>
  <c r="D22" i="18"/>
  <c r="C27" i="17"/>
  <c r="D29" i="16"/>
  <c r="E67" i="20"/>
  <c r="D65" i="21"/>
  <c r="M59" i="20"/>
  <c r="L57" i="21"/>
  <c r="F30" i="20"/>
  <c r="E28" i="21"/>
  <c r="E28" i="20"/>
  <c r="D26" i="21"/>
  <c r="D3" i="23"/>
  <c r="E5" i="22"/>
  <c r="E27" i="20"/>
  <c r="D25" i="21"/>
  <c r="E11" i="23"/>
  <c r="F13" i="22"/>
  <c r="F36" i="23"/>
  <c r="G38" i="22"/>
  <c r="D25" i="23"/>
  <c r="E27" i="22"/>
  <c r="F21" i="22"/>
  <c r="E19" i="23"/>
  <c r="D48" i="23"/>
  <c r="E50" i="22"/>
  <c r="D40" i="23"/>
  <c r="E42" i="22"/>
  <c r="E21" i="23"/>
  <c r="F23" i="22"/>
  <c r="D10" i="23"/>
  <c r="E12" i="22"/>
  <c r="D7" i="23"/>
  <c r="E9" i="22"/>
  <c r="C48" i="19"/>
  <c r="D50" i="18"/>
  <c r="D50" i="19"/>
  <c r="E52" i="18"/>
  <c r="D40" i="18"/>
  <c r="C38" i="19"/>
  <c r="E18" i="20"/>
  <c r="D16" i="21"/>
  <c r="D6" i="19"/>
  <c r="E8" i="18"/>
  <c r="D41" i="17"/>
  <c r="E43" i="16"/>
  <c r="G5" i="16"/>
  <c r="F3" i="17"/>
  <c r="G65" i="20"/>
  <c r="F63" i="21"/>
  <c r="D58" i="16"/>
  <c r="C56" i="17"/>
  <c r="C63" i="17"/>
  <c r="D65" i="16"/>
  <c r="E56" i="20"/>
  <c r="D54" i="21"/>
  <c r="D58" i="23"/>
  <c r="E60" i="22"/>
  <c r="O24" i="19"/>
  <c r="U26" i="18"/>
  <c r="U24" i="19" s="1"/>
  <c r="E60" i="16"/>
  <c r="D58" i="17"/>
  <c r="D47" i="16"/>
  <c r="C45" i="17"/>
  <c r="C32" i="17"/>
  <c r="D34" i="16"/>
  <c r="E4" i="20"/>
  <c r="D2" i="21"/>
  <c r="C43" i="19"/>
  <c r="D45" i="18"/>
  <c r="E19" i="16"/>
  <c r="D17" i="17"/>
  <c r="G53" i="16"/>
  <c r="F51" i="17"/>
  <c r="G14" i="3"/>
  <c r="G11" i="3"/>
  <c r="G26" i="3"/>
  <c r="G62" i="3"/>
  <c r="G45" i="3"/>
  <c r="G18" i="3"/>
  <c r="G32" i="3"/>
  <c r="G7" i="3"/>
  <c r="G50" i="3"/>
  <c r="G40" i="3"/>
  <c r="G29" i="3"/>
  <c r="G58" i="3"/>
  <c r="G4" i="3"/>
  <c r="G8" i="3"/>
  <c r="G6" i="3"/>
  <c r="E28" i="23" l="1"/>
  <c r="F30" i="22"/>
  <c r="D34" i="19"/>
  <c r="E36" i="18"/>
  <c r="E45" i="23"/>
  <c r="F47" i="22"/>
  <c r="F34" i="18"/>
  <c r="E32" i="19"/>
  <c r="D58" i="19"/>
  <c r="E60" i="18"/>
  <c r="C73" i="17"/>
  <c r="E44" i="16"/>
  <c r="D42" i="17"/>
  <c r="E35" i="17"/>
  <c r="F37" i="16"/>
  <c r="E27" i="23"/>
  <c r="F29" i="22"/>
  <c r="D2" i="19"/>
  <c r="E4" i="18"/>
  <c r="D37" i="19"/>
  <c r="E39" i="18"/>
  <c r="D7" i="19"/>
  <c r="E9" i="18"/>
  <c r="E19" i="18"/>
  <c r="D17" i="19"/>
  <c r="D73" i="23"/>
  <c r="E11" i="18"/>
  <c r="D9" i="19"/>
  <c r="F68" i="18"/>
  <c r="E66" i="19"/>
  <c r="D63" i="19"/>
  <c r="E65" i="18"/>
  <c r="D53" i="19"/>
  <c r="E55" i="18"/>
  <c r="F42" i="22"/>
  <c r="E40" i="23"/>
  <c r="F42" i="20"/>
  <c r="E40" i="21"/>
  <c r="D30" i="17"/>
  <c r="E32" i="16"/>
  <c r="D60" i="17"/>
  <c r="E62" i="16"/>
  <c r="H10" i="20"/>
  <c r="G8" i="21"/>
  <c r="F24" i="20"/>
  <c r="E22" i="21"/>
  <c r="F35" i="23"/>
  <c r="G37" i="22"/>
  <c r="E46" i="19"/>
  <c r="F48" i="18"/>
  <c r="E59" i="17"/>
  <c r="F61" i="16"/>
  <c r="D28" i="19"/>
  <c r="E30" i="18"/>
  <c r="F9" i="20"/>
  <c r="E7" i="21"/>
  <c r="D43" i="19"/>
  <c r="E45" i="18"/>
  <c r="E65" i="16"/>
  <c r="D63" i="17"/>
  <c r="E41" i="17"/>
  <c r="F43" i="16"/>
  <c r="F18" i="20"/>
  <c r="E16" i="21"/>
  <c r="E7" i="23"/>
  <c r="F9" i="22"/>
  <c r="E48" i="23"/>
  <c r="F50" i="22"/>
  <c r="G36" i="23"/>
  <c r="H38" i="22"/>
  <c r="E29" i="16"/>
  <c r="D27" i="17"/>
  <c r="H14" i="20"/>
  <c r="G12" i="21"/>
  <c r="H37" i="20"/>
  <c r="G35" i="21"/>
  <c r="E47" i="19"/>
  <c r="F49" i="18"/>
  <c r="G15" i="20"/>
  <c r="F13" i="21"/>
  <c r="E46" i="23"/>
  <c r="F48" i="22"/>
  <c r="E43" i="23"/>
  <c r="F45" i="22"/>
  <c r="E14" i="19"/>
  <c r="F16" i="18"/>
  <c r="F13" i="18"/>
  <c r="E11" i="19"/>
  <c r="D23" i="17"/>
  <c r="E25" i="16"/>
  <c r="E56" i="16"/>
  <c r="D54" i="17"/>
  <c r="L26" i="20"/>
  <c r="K24" i="21"/>
  <c r="F55" i="20"/>
  <c r="E53" i="21"/>
  <c r="F47" i="23"/>
  <c r="G49" i="22"/>
  <c r="F36" i="20"/>
  <c r="E34" i="21"/>
  <c r="G10" i="22"/>
  <c r="F8" i="23"/>
  <c r="E23" i="23"/>
  <c r="F25" i="22"/>
  <c r="E6" i="17"/>
  <c r="F8" i="16"/>
  <c r="E42" i="19"/>
  <c r="F44" i="18"/>
  <c r="F47" i="18"/>
  <c r="E45" i="19"/>
  <c r="E65" i="23"/>
  <c r="F67" i="22"/>
  <c r="D14" i="17"/>
  <c r="E16" i="16"/>
  <c r="E24" i="18"/>
  <c r="D22" i="19"/>
  <c r="F12" i="20"/>
  <c r="E10" i="21"/>
  <c r="E39" i="16"/>
  <c r="D37" i="17"/>
  <c r="F66" i="20"/>
  <c r="E64" i="21"/>
  <c r="H5" i="20"/>
  <c r="G3" i="21"/>
  <c r="F58" i="20"/>
  <c r="E56" i="21"/>
  <c r="D44" i="17"/>
  <c r="E46" i="16"/>
  <c r="D5" i="17"/>
  <c r="E7" i="16"/>
  <c r="D48" i="19"/>
  <c r="E50" i="18"/>
  <c r="F62" i="17"/>
  <c r="G64" i="16"/>
  <c r="F56" i="23"/>
  <c r="G58" i="22"/>
  <c r="H31" i="20"/>
  <c r="G29" i="21"/>
  <c r="D53" i="17"/>
  <c r="E55" i="16"/>
  <c r="F56" i="20"/>
  <c r="E54" i="21"/>
  <c r="F67" i="20"/>
  <c r="E65" i="21"/>
  <c r="D36" i="19"/>
  <c r="E38" i="18"/>
  <c r="E38" i="17"/>
  <c r="F40" i="16"/>
  <c r="D5" i="19"/>
  <c r="E7" i="18"/>
  <c r="E34" i="17"/>
  <c r="F36" i="16"/>
  <c r="D40" i="19"/>
  <c r="E42" i="18"/>
  <c r="F61" i="22"/>
  <c r="E59" i="23"/>
  <c r="I6" i="20"/>
  <c r="H4" i="21"/>
  <c r="F35" i="22"/>
  <c r="E33" i="23"/>
  <c r="D52" i="17"/>
  <c r="E54" i="16"/>
  <c r="F53" i="23"/>
  <c r="G55" i="22"/>
  <c r="E47" i="16"/>
  <c r="D45" i="17"/>
  <c r="G3" i="17"/>
  <c r="H5" i="16"/>
  <c r="E39" i="23"/>
  <c r="F41" i="22"/>
  <c r="E29" i="23"/>
  <c r="F31" i="22"/>
  <c r="F26" i="19"/>
  <c r="G28" i="18"/>
  <c r="G21" i="20"/>
  <c r="F19" i="21"/>
  <c r="E62" i="23"/>
  <c r="F64" i="22"/>
  <c r="E31" i="17"/>
  <c r="F33" i="16"/>
  <c r="E67" i="18"/>
  <c r="D65" i="19"/>
  <c r="D29" i="19"/>
  <c r="E31" i="18"/>
  <c r="E30" i="16"/>
  <c r="D28" i="17"/>
  <c r="F16" i="20"/>
  <c r="E14" i="21"/>
  <c r="E6" i="19"/>
  <c r="F8" i="18"/>
  <c r="D38" i="19"/>
  <c r="E40" i="18"/>
  <c r="E10" i="23"/>
  <c r="F12" i="22"/>
  <c r="F11" i="23"/>
  <c r="G13" i="22"/>
  <c r="D20" i="19"/>
  <c r="E22" i="18"/>
  <c r="H26" i="16"/>
  <c r="F24" i="17"/>
  <c r="D4" i="19"/>
  <c r="E6" i="18"/>
  <c r="G29" i="20"/>
  <c r="F27" i="21"/>
  <c r="G46" i="20"/>
  <c r="F44" i="21"/>
  <c r="H39" i="20"/>
  <c r="G37" i="21"/>
  <c r="E10" i="16"/>
  <c r="D8" i="17"/>
  <c r="H57" i="19"/>
  <c r="I59" i="18"/>
  <c r="I57" i="19" s="1"/>
  <c r="O59" i="18"/>
  <c r="J59" i="18"/>
  <c r="G34" i="20"/>
  <c r="F32" i="21"/>
  <c r="E15" i="19"/>
  <c r="F17" i="18"/>
  <c r="D59" i="19"/>
  <c r="E61" i="18"/>
  <c r="H10" i="19"/>
  <c r="I12" i="18"/>
  <c r="E41" i="23"/>
  <c r="F43" i="22"/>
  <c r="E33" i="19"/>
  <c r="F35" i="18"/>
  <c r="F18" i="18"/>
  <c r="E16" i="19"/>
  <c r="E30" i="23"/>
  <c r="F32" i="22"/>
  <c r="G25" i="20"/>
  <c r="F23" i="21"/>
  <c r="D21" i="19"/>
  <c r="E23" i="18"/>
  <c r="D39" i="17"/>
  <c r="E41" i="16"/>
  <c r="F43" i="20"/>
  <c r="E41" i="21"/>
  <c r="E20" i="17"/>
  <c r="F22" i="16"/>
  <c r="E9" i="16"/>
  <c r="D7" i="17"/>
  <c r="F49" i="20"/>
  <c r="E47" i="21"/>
  <c r="F23" i="20"/>
  <c r="E21" i="21"/>
  <c r="F63" i="20"/>
  <c r="E61" i="21"/>
  <c r="F67" i="16"/>
  <c r="E65" i="17"/>
  <c r="D21" i="17"/>
  <c r="E23" i="16"/>
  <c r="D11" i="17"/>
  <c r="E13" i="16"/>
  <c r="F22" i="22"/>
  <c r="E20" i="23"/>
  <c r="F6" i="22"/>
  <c r="E4" i="23"/>
  <c r="G49" i="19"/>
  <c r="H51" i="18"/>
  <c r="E41" i="19"/>
  <c r="F43" i="18"/>
  <c r="C68" i="17"/>
  <c r="C70" i="17" s="1"/>
  <c r="E25" i="23"/>
  <c r="F27" i="22"/>
  <c r="E3" i="23"/>
  <c r="F5" i="22"/>
  <c r="G45" i="20"/>
  <c r="F43" i="21"/>
  <c r="E62" i="18"/>
  <c r="D60" i="19"/>
  <c r="D35" i="19"/>
  <c r="E37" i="18"/>
  <c r="D48" i="17"/>
  <c r="E50" i="16"/>
  <c r="G57" i="20"/>
  <c r="F55" i="21"/>
  <c r="F48" i="20"/>
  <c r="E46" i="21"/>
  <c r="F19" i="16"/>
  <c r="E17" i="17"/>
  <c r="G18" i="22"/>
  <c r="F16" i="23"/>
  <c r="E4" i="17"/>
  <c r="F6" i="16"/>
  <c r="F35" i="20"/>
  <c r="E33" i="21"/>
  <c r="K8" i="20"/>
  <c r="J6" i="21"/>
  <c r="G22" i="20"/>
  <c r="F20" i="21"/>
  <c r="E50" i="17"/>
  <c r="F52" i="16"/>
  <c r="E58" i="17"/>
  <c r="F60" i="16"/>
  <c r="P59" i="20"/>
  <c r="K57" i="21"/>
  <c r="E22" i="23"/>
  <c r="F24" i="22"/>
  <c r="E42" i="23"/>
  <c r="F44" i="22"/>
  <c r="F31" i="23"/>
  <c r="G33" i="22"/>
  <c r="D51" i="19"/>
  <c r="E53" i="18"/>
  <c r="C74" i="21"/>
  <c r="D74" i="21"/>
  <c r="B74" i="21"/>
  <c r="D68" i="21"/>
  <c r="D70" i="21" s="1"/>
  <c r="D72" i="21"/>
  <c r="F19" i="23"/>
  <c r="G21" i="22"/>
  <c r="D12" i="19"/>
  <c r="E14" i="18"/>
  <c r="D73" i="21"/>
  <c r="G13" i="17"/>
  <c r="H15" i="16"/>
  <c r="E10" i="17"/>
  <c r="F12" i="16"/>
  <c r="E51" i="23"/>
  <c r="F53" i="22"/>
  <c r="H57" i="17"/>
  <c r="J59" i="16"/>
  <c r="O59" i="16"/>
  <c r="F18" i="19"/>
  <c r="G20" i="18"/>
  <c r="H7" i="20"/>
  <c r="G5" i="21"/>
  <c r="F8" i="20"/>
  <c r="E6" i="21"/>
  <c r="D43" i="17"/>
  <c r="E45" i="16"/>
  <c r="F5" i="23"/>
  <c r="G7" i="22"/>
  <c r="E32" i="23"/>
  <c r="F34" i="22"/>
  <c r="F23" i="19"/>
  <c r="G25" i="18"/>
  <c r="F11" i="16"/>
  <c r="E9" i="17"/>
  <c r="F55" i="19"/>
  <c r="G57" i="18"/>
  <c r="E66" i="17"/>
  <c r="F68" i="16"/>
  <c r="D56" i="19"/>
  <c r="E58" i="18"/>
  <c r="E54" i="18"/>
  <c r="D52" i="19"/>
  <c r="F26" i="17"/>
  <c r="G28" i="16"/>
  <c r="F36" i="17"/>
  <c r="G38" i="16"/>
  <c r="D64" i="19"/>
  <c r="E66" i="18"/>
  <c r="F42" i="16"/>
  <c r="E40" i="17"/>
  <c r="E66" i="23"/>
  <c r="F68" i="22"/>
  <c r="E15" i="17"/>
  <c r="F17" i="16"/>
  <c r="G53" i="20"/>
  <c r="F51" i="21"/>
  <c r="G13" i="20"/>
  <c r="F11" i="21"/>
  <c r="G31" i="16"/>
  <c r="F29" i="17"/>
  <c r="F24" i="21"/>
  <c r="G26" i="20"/>
  <c r="G24" i="21" s="1"/>
  <c r="F37" i="23"/>
  <c r="G39" i="22"/>
  <c r="I38" i="20"/>
  <c r="H36" i="21"/>
  <c r="F61" i="19"/>
  <c r="G63" i="18"/>
  <c r="D39" i="19"/>
  <c r="E41" i="18"/>
  <c r="E12" i="23"/>
  <c r="F14" i="22"/>
  <c r="H60" i="20"/>
  <c r="G58" i="21"/>
  <c r="E34" i="23"/>
  <c r="F36" i="22"/>
  <c r="D27" i="19"/>
  <c r="E29" i="18"/>
  <c r="F20" i="20"/>
  <c r="E18" i="21"/>
  <c r="F33" i="17"/>
  <c r="G35" i="16"/>
  <c r="C72" i="17"/>
  <c r="B73" i="17"/>
  <c r="G64" i="23"/>
  <c r="H66" i="22"/>
  <c r="D47" i="17"/>
  <c r="E49" i="16"/>
  <c r="G26" i="16"/>
  <c r="G24" i="17" s="1"/>
  <c r="E24" i="17"/>
  <c r="E64" i="17"/>
  <c r="F66" i="16"/>
  <c r="F17" i="23"/>
  <c r="G19" i="22"/>
  <c r="F50" i="20"/>
  <c r="E48" i="21"/>
  <c r="D12" i="17"/>
  <c r="E14" i="16"/>
  <c r="L26" i="18"/>
  <c r="K24" i="19"/>
  <c r="F4" i="20"/>
  <c r="E2" i="21"/>
  <c r="E50" i="19"/>
  <c r="F52" i="18"/>
  <c r="F54" i="23"/>
  <c r="G56" i="22"/>
  <c r="D32" i="17"/>
  <c r="E34" i="16"/>
  <c r="E58" i="23"/>
  <c r="F60" i="22"/>
  <c r="F21" i="23"/>
  <c r="G23" i="22"/>
  <c r="F54" i="22"/>
  <c r="E52" i="23"/>
  <c r="F62" i="20"/>
  <c r="E60" i="21"/>
  <c r="F17" i="20"/>
  <c r="E15" i="21"/>
  <c r="F64" i="20"/>
  <c r="E62" i="21"/>
  <c r="F41" i="20"/>
  <c r="E39" i="21"/>
  <c r="F19" i="20"/>
  <c r="E17" i="21"/>
  <c r="F57" i="16"/>
  <c r="E55" i="17"/>
  <c r="E2" i="23"/>
  <c r="F4" i="22"/>
  <c r="E25" i="17"/>
  <c r="F27" i="16"/>
  <c r="E13" i="23"/>
  <c r="F15" i="22"/>
  <c r="H44" i="20"/>
  <c r="G42" i="21"/>
  <c r="F51" i="20"/>
  <c r="E49" i="21"/>
  <c r="G54" i="20"/>
  <c r="F52" i="21"/>
  <c r="G38" i="23"/>
  <c r="H40" i="22"/>
  <c r="F49" i="17"/>
  <c r="G51" i="16"/>
  <c r="C68" i="19"/>
  <c r="C70" i="19" s="1"/>
  <c r="C73" i="19"/>
  <c r="B73" i="19"/>
  <c r="C72" i="19"/>
  <c r="E18" i="17"/>
  <c r="F20" i="16"/>
  <c r="G57" i="22"/>
  <c r="F55" i="23"/>
  <c r="G61" i="20"/>
  <c r="F59" i="21"/>
  <c r="E64" i="18"/>
  <c r="D62" i="19"/>
  <c r="E14" i="23"/>
  <c r="F16" i="22"/>
  <c r="F49" i="23"/>
  <c r="G51" i="22"/>
  <c r="E18" i="23"/>
  <c r="F20" i="22"/>
  <c r="D44" i="19"/>
  <c r="E46" i="18"/>
  <c r="G57" i="23"/>
  <c r="H59" i="22"/>
  <c r="F40" i="20"/>
  <c r="E38" i="21"/>
  <c r="F28" i="20"/>
  <c r="E26" i="21"/>
  <c r="F10" i="18"/>
  <c r="E8" i="19"/>
  <c r="F52" i="22"/>
  <c r="E50" i="23"/>
  <c r="E22" i="17"/>
  <c r="F24" i="16"/>
  <c r="D31" i="19"/>
  <c r="E33" i="18"/>
  <c r="E6" i="23"/>
  <c r="F8" i="22"/>
  <c r="E48" i="16"/>
  <c r="D46" i="17"/>
  <c r="G46" i="22"/>
  <c r="F44" i="23"/>
  <c r="G33" i="20"/>
  <c r="F31" i="21"/>
  <c r="E58" i="16"/>
  <c r="D56" i="17"/>
  <c r="G30" i="20"/>
  <c r="F28" i="21"/>
  <c r="G51" i="17"/>
  <c r="H53" i="16"/>
  <c r="H65" i="20"/>
  <c r="G63" i="21"/>
  <c r="F27" i="20"/>
  <c r="E25" i="21"/>
  <c r="N59" i="20"/>
  <c r="N57" i="21" s="1"/>
  <c r="M57" i="21"/>
  <c r="F65" i="22"/>
  <c r="E63" i="23"/>
  <c r="E61" i="17"/>
  <c r="F63" i="16"/>
  <c r="E25" i="19"/>
  <c r="F27" i="18"/>
  <c r="D13" i="19"/>
  <c r="E15" i="18"/>
  <c r="F9" i="23"/>
  <c r="G11" i="22"/>
  <c r="F68" i="20"/>
  <c r="E66" i="21"/>
  <c r="F32" i="20"/>
  <c r="E30" i="21"/>
  <c r="F60" i="23"/>
  <c r="G62" i="22"/>
  <c r="C74" i="23"/>
  <c r="D74" i="23"/>
  <c r="D68" i="23"/>
  <c r="D70" i="23" s="1"/>
  <c r="B74" i="23"/>
  <c r="D72" i="23"/>
  <c r="E26" i="23"/>
  <c r="F28" i="22"/>
  <c r="D30" i="19"/>
  <c r="E32" i="18"/>
  <c r="E15" i="23"/>
  <c r="F17" i="22"/>
  <c r="E24" i="23"/>
  <c r="F26" i="22"/>
  <c r="F47" i="20"/>
  <c r="E45" i="21"/>
  <c r="E54" i="19"/>
  <c r="F56" i="18"/>
  <c r="D3" i="19"/>
  <c r="E5" i="18"/>
  <c r="F21" i="18"/>
  <c r="E19" i="19"/>
  <c r="E18" i="16"/>
  <c r="D16" i="17"/>
  <c r="E2" i="17"/>
  <c r="F4" i="16"/>
  <c r="E61" i="23"/>
  <c r="F63" i="22"/>
  <c r="G11" i="20"/>
  <c r="F9" i="21"/>
  <c r="F52" i="20"/>
  <c r="E50" i="21"/>
  <c r="H21" i="16"/>
  <c r="G19" i="17"/>
  <c r="G52" i="3"/>
  <c r="G31" i="3"/>
  <c r="G56" i="3"/>
  <c r="G22" i="3"/>
  <c r="G5" i="3"/>
  <c r="G61" i="3"/>
  <c r="G37" i="3"/>
  <c r="G9" i="3"/>
  <c r="G38" i="3"/>
  <c r="G41" i="3"/>
  <c r="G19" i="3"/>
  <c r="G67" i="3"/>
  <c r="G30" i="3"/>
  <c r="G28" i="3"/>
  <c r="G23" i="3"/>
  <c r="G27" i="3"/>
  <c r="G53" i="3"/>
  <c r="G24" i="3"/>
  <c r="G55" i="3"/>
  <c r="G47" i="3"/>
  <c r="G64" i="3"/>
  <c r="G60" i="3"/>
  <c r="G16" i="3"/>
  <c r="G39" i="3"/>
  <c r="G54" i="3"/>
  <c r="G68" i="3"/>
  <c r="G63" i="3"/>
  <c r="G25" i="3"/>
  <c r="G48" i="3"/>
  <c r="G17" i="3"/>
  <c r="G43" i="3"/>
  <c r="G20" i="3"/>
  <c r="G59" i="3"/>
  <c r="G66" i="3"/>
  <c r="G57" i="3"/>
  <c r="G12" i="3"/>
  <c r="G44" i="3"/>
  <c r="G33" i="3"/>
  <c r="G51" i="3"/>
  <c r="G34" i="3"/>
  <c r="G10" i="3"/>
  <c r="G46" i="3"/>
  <c r="F65" i="18" l="1"/>
  <c r="E63" i="19"/>
  <c r="F19" i="18"/>
  <c r="E17" i="19"/>
  <c r="E74" i="23"/>
  <c r="D68" i="17"/>
  <c r="D70" i="17" s="1"/>
  <c r="F9" i="18"/>
  <c r="E7" i="19"/>
  <c r="F35" i="17"/>
  <c r="G37" i="16"/>
  <c r="F32" i="19"/>
  <c r="G34" i="18"/>
  <c r="F45" i="23"/>
  <c r="G47" i="22"/>
  <c r="F66" i="19"/>
  <c r="G68" i="18"/>
  <c r="F39" i="18"/>
  <c r="E37" i="19"/>
  <c r="E74" i="21"/>
  <c r="G44" i="16"/>
  <c r="G42" i="17" s="1"/>
  <c r="E42" i="17"/>
  <c r="F44" i="16"/>
  <c r="E34" i="19"/>
  <c r="F36" i="18"/>
  <c r="E9" i="19"/>
  <c r="F11" i="18"/>
  <c r="F4" i="18"/>
  <c r="E2" i="19"/>
  <c r="E53" i="19"/>
  <c r="F55" i="18"/>
  <c r="F60" i="18"/>
  <c r="E58" i="19"/>
  <c r="G30" i="22"/>
  <c r="F28" i="23"/>
  <c r="G29" i="22"/>
  <c r="F27" i="23"/>
  <c r="F19" i="19"/>
  <c r="G21" i="18"/>
  <c r="G28" i="20"/>
  <c r="F26" i="21"/>
  <c r="F2" i="23"/>
  <c r="G4" i="22"/>
  <c r="F34" i="23"/>
  <c r="G36" i="22"/>
  <c r="B74" i="19"/>
  <c r="D68" i="19"/>
  <c r="D70" i="19" s="1"/>
  <c r="D74" i="19"/>
  <c r="C74" i="19"/>
  <c r="D72" i="19"/>
  <c r="F32" i="18"/>
  <c r="E30" i="19"/>
  <c r="G9" i="23"/>
  <c r="H11" i="22"/>
  <c r="G52" i="20"/>
  <c r="F50" i="21"/>
  <c r="E16" i="17"/>
  <c r="F18" i="16"/>
  <c r="G32" i="20"/>
  <c r="F30" i="21"/>
  <c r="E56" i="17"/>
  <c r="F58" i="16"/>
  <c r="H57" i="22"/>
  <c r="G55" i="23"/>
  <c r="D73" i="19"/>
  <c r="H64" i="23"/>
  <c r="I66" i="22"/>
  <c r="F29" i="18"/>
  <c r="E27" i="19"/>
  <c r="E39" i="19"/>
  <c r="F41" i="18"/>
  <c r="G36" i="17"/>
  <c r="H38" i="16"/>
  <c r="G23" i="19"/>
  <c r="H25" i="18"/>
  <c r="G19" i="23"/>
  <c r="H21" i="22"/>
  <c r="G60" i="16"/>
  <c r="F58" i="17"/>
  <c r="C74" i="17"/>
  <c r="D74" i="17"/>
  <c r="H45" i="20"/>
  <c r="G43" i="21"/>
  <c r="F24" i="23"/>
  <c r="G26" i="22"/>
  <c r="G63" i="16"/>
  <c r="F61" i="17"/>
  <c r="E31" i="19"/>
  <c r="F33" i="18"/>
  <c r="E44" i="19"/>
  <c r="F46" i="18"/>
  <c r="F14" i="23"/>
  <c r="G16" i="22"/>
  <c r="G20" i="16"/>
  <c r="F18" i="17"/>
  <c r="G51" i="20"/>
  <c r="F49" i="21"/>
  <c r="G41" i="20"/>
  <c r="F39" i="21"/>
  <c r="G62" i="20"/>
  <c r="F60" i="21"/>
  <c r="G4" i="20"/>
  <c r="F2" i="21"/>
  <c r="G12" i="16"/>
  <c r="F10" i="17"/>
  <c r="G35" i="20"/>
  <c r="F33" i="21"/>
  <c r="G48" i="20"/>
  <c r="F46" i="21"/>
  <c r="E48" i="17"/>
  <c r="F50" i="16"/>
  <c r="F3" i="23"/>
  <c r="G5" i="22"/>
  <c r="G49" i="20"/>
  <c r="F47" i="21"/>
  <c r="F16" i="19"/>
  <c r="G18" i="18"/>
  <c r="H29" i="20"/>
  <c r="G27" i="21"/>
  <c r="G16" i="20"/>
  <c r="F14" i="21"/>
  <c r="J6" i="20"/>
  <c r="I4" i="21"/>
  <c r="E36" i="19"/>
  <c r="F38" i="18"/>
  <c r="E5" i="17"/>
  <c r="F7" i="16"/>
  <c r="I5" i="20"/>
  <c r="H3" i="21"/>
  <c r="E22" i="19"/>
  <c r="F24" i="18"/>
  <c r="G36" i="20"/>
  <c r="F34" i="21"/>
  <c r="E54" i="17"/>
  <c r="F56" i="16"/>
  <c r="I37" i="20"/>
  <c r="H35" i="21"/>
  <c r="F65" i="16"/>
  <c r="E63" i="17"/>
  <c r="O57" i="17"/>
  <c r="P59" i="16"/>
  <c r="P57" i="17" s="1"/>
  <c r="Q59" i="16"/>
  <c r="F42" i="23"/>
  <c r="G44" i="22"/>
  <c r="F50" i="17"/>
  <c r="G52" i="16"/>
  <c r="F4" i="17"/>
  <c r="G6" i="16"/>
  <c r="D73" i="17"/>
  <c r="E21" i="19"/>
  <c r="F23" i="18"/>
  <c r="G35" i="18"/>
  <c r="F33" i="19"/>
  <c r="F15" i="19"/>
  <c r="G17" i="18"/>
  <c r="F6" i="18"/>
  <c r="E4" i="19"/>
  <c r="F10" i="23"/>
  <c r="G12" i="22"/>
  <c r="F62" i="23"/>
  <c r="G64" i="22"/>
  <c r="F39" i="23"/>
  <c r="G41" i="22"/>
  <c r="F54" i="16"/>
  <c r="E52" i="17"/>
  <c r="I31" i="20"/>
  <c r="H29" i="21"/>
  <c r="E14" i="17"/>
  <c r="F16" i="16"/>
  <c r="F6" i="17"/>
  <c r="G8" i="16"/>
  <c r="H49" i="22"/>
  <c r="G47" i="23"/>
  <c r="E23" i="17"/>
  <c r="F25" i="16"/>
  <c r="F46" i="23"/>
  <c r="G48" i="22"/>
  <c r="F7" i="23"/>
  <c r="G9" i="22"/>
  <c r="F45" i="18"/>
  <c r="E43" i="19"/>
  <c r="E30" i="17"/>
  <c r="F32" i="16"/>
  <c r="I65" i="20"/>
  <c r="H63" i="21"/>
  <c r="H63" i="18"/>
  <c r="G61" i="19"/>
  <c r="G68" i="22"/>
  <c r="F66" i="23"/>
  <c r="G26" i="17"/>
  <c r="H28" i="16"/>
  <c r="G55" i="19"/>
  <c r="H57" i="18"/>
  <c r="F32" i="23"/>
  <c r="G34" i="22"/>
  <c r="F61" i="23"/>
  <c r="G63" i="22"/>
  <c r="F5" i="18"/>
  <c r="E3" i="19"/>
  <c r="F15" i="23"/>
  <c r="G17" i="22"/>
  <c r="H51" i="17"/>
  <c r="I53" i="16"/>
  <c r="F22" i="17"/>
  <c r="G24" i="16"/>
  <c r="G20" i="22"/>
  <c r="F18" i="23"/>
  <c r="J44" i="20"/>
  <c r="I44" i="20"/>
  <c r="I42" i="21" s="1"/>
  <c r="H42" i="21"/>
  <c r="C75" i="23"/>
  <c r="D75" i="23"/>
  <c r="E75" i="23"/>
  <c r="E68" i="23"/>
  <c r="E70" i="23" s="1"/>
  <c r="B75" i="23"/>
  <c r="E72" i="23"/>
  <c r="E73" i="23"/>
  <c r="G64" i="20"/>
  <c r="F62" i="21"/>
  <c r="F52" i="23"/>
  <c r="G54" i="22"/>
  <c r="M26" i="18"/>
  <c r="L24" i="19"/>
  <c r="G29" i="17"/>
  <c r="H31" i="16"/>
  <c r="G8" i="20"/>
  <c r="G6" i="21" s="1"/>
  <c r="F6" i="21"/>
  <c r="J57" i="17"/>
  <c r="L59" i="16"/>
  <c r="N59" i="16"/>
  <c r="N57" i="17" s="1"/>
  <c r="K59" i="16"/>
  <c r="H13" i="17"/>
  <c r="I15" i="16"/>
  <c r="D72" i="17"/>
  <c r="B74" i="17"/>
  <c r="F37" i="18"/>
  <c r="E35" i="19"/>
  <c r="F25" i="23"/>
  <c r="G27" i="22"/>
  <c r="F4" i="23"/>
  <c r="G6" i="22"/>
  <c r="F65" i="17"/>
  <c r="G67" i="16"/>
  <c r="E7" i="17"/>
  <c r="F9" i="16"/>
  <c r="F10" i="16"/>
  <c r="E8" i="17"/>
  <c r="F30" i="16"/>
  <c r="E28" i="17"/>
  <c r="F59" i="23"/>
  <c r="G61" i="22"/>
  <c r="F34" i="17"/>
  <c r="G36" i="16"/>
  <c r="G56" i="23"/>
  <c r="H58" i="22"/>
  <c r="G66" i="20"/>
  <c r="F64" i="21"/>
  <c r="I14" i="20"/>
  <c r="H12" i="21"/>
  <c r="G68" i="20"/>
  <c r="F66" i="21"/>
  <c r="F63" i="23"/>
  <c r="G65" i="22"/>
  <c r="G44" i="23"/>
  <c r="H46" i="22"/>
  <c r="F64" i="18"/>
  <c r="E62" i="19"/>
  <c r="H38" i="23"/>
  <c r="I40" i="22"/>
  <c r="F13" i="23"/>
  <c r="G15" i="22"/>
  <c r="H56" i="22"/>
  <c r="G54" i="23"/>
  <c r="F14" i="16"/>
  <c r="E12" i="17"/>
  <c r="G33" i="17"/>
  <c r="H35" i="16"/>
  <c r="G5" i="23"/>
  <c r="H7" i="22"/>
  <c r="F22" i="23"/>
  <c r="G24" i="22"/>
  <c r="F20" i="17"/>
  <c r="G22" i="16"/>
  <c r="F41" i="23"/>
  <c r="G43" i="22"/>
  <c r="F40" i="18"/>
  <c r="E38" i="19"/>
  <c r="F31" i="18"/>
  <c r="E29" i="19"/>
  <c r="H3" i="17"/>
  <c r="I5" i="16"/>
  <c r="G67" i="20"/>
  <c r="F65" i="21"/>
  <c r="F46" i="16"/>
  <c r="E44" i="17"/>
  <c r="F65" i="23"/>
  <c r="G67" i="22"/>
  <c r="F23" i="23"/>
  <c r="G25" i="22"/>
  <c r="F51" i="23"/>
  <c r="G53" i="22"/>
  <c r="H22" i="20"/>
  <c r="G20" i="21"/>
  <c r="H18" i="22"/>
  <c r="G16" i="23"/>
  <c r="I18" i="22"/>
  <c r="I16" i="23" s="1"/>
  <c r="F20" i="23"/>
  <c r="G22" i="22"/>
  <c r="G63" i="20"/>
  <c r="F61" i="21"/>
  <c r="H25" i="20"/>
  <c r="G23" i="21"/>
  <c r="H34" i="20"/>
  <c r="G32" i="21"/>
  <c r="I39" i="20"/>
  <c r="H37" i="21"/>
  <c r="K26" i="16"/>
  <c r="J26" i="16"/>
  <c r="H24" i="17"/>
  <c r="O26" i="16"/>
  <c r="U26" i="16"/>
  <c r="U24" i="17" s="1"/>
  <c r="I26" i="16"/>
  <c r="H21" i="20"/>
  <c r="G19" i="21"/>
  <c r="E5" i="19"/>
  <c r="F7" i="18"/>
  <c r="G62" i="17"/>
  <c r="H64" i="16"/>
  <c r="F39" i="16"/>
  <c r="E37" i="17"/>
  <c r="G55" i="20"/>
  <c r="F53" i="21"/>
  <c r="G13" i="18"/>
  <c r="F11" i="19"/>
  <c r="H15" i="20"/>
  <c r="G13" i="21"/>
  <c r="F29" i="16"/>
  <c r="E27" i="17"/>
  <c r="G18" i="20"/>
  <c r="F16" i="21"/>
  <c r="G9" i="20"/>
  <c r="F7" i="21"/>
  <c r="G24" i="20"/>
  <c r="F22" i="21"/>
  <c r="G42" i="20"/>
  <c r="F40" i="21"/>
  <c r="H11" i="20"/>
  <c r="G9" i="21"/>
  <c r="G66" i="16"/>
  <c r="F64" i="17"/>
  <c r="G4" i="16"/>
  <c r="F2" i="17"/>
  <c r="G17" i="20"/>
  <c r="F15" i="21"/>
  <c r="F40" i="17"/>
  <c r="G42" i="16"/>
  <c r="G11" i="16"/>
  <c r="F9" i="17"/>
  <c r="H30" i="20"/>
  <c r="G28" i="21"/>
  <c r="E46" i="17"/>
  <c r="F48" i="16"/>
  <c r="F25" i="17"/>
  <c r="G27" i="16"/>
  <c r="F50" i="19"/>
  <c r="G52" i="18"/>
  <c r="F49" i="16"/>
  <c r="E47" i="17"/>
  <c r="G14" i="22"/>
  <c r="F12" i="23"/>
  <c r="E64" i="19"/>
  <c r="F66" i="18"/>
  <c r="F45" i="16"/>
  <c r="E43" i="17"/>
  <c r="E12" i="19"/>
  <c r="F14" i="18"/>
  <c r="F53" i="18"/>
  <c r="E51" i="19"/>
  <c r="E60" i="19"/>
  <c r="F62" i="18"/>
  <c r="F41" i="19"/>
  <c r="G43" i="18"/>
  <c r="E11" i="17"/>
  <c r="F13" i="16"/>
  <c r="F30" i="23"/>
  <c r="G32" i="22"/>
  <c r="I10" i="19"/>
  <c r="J12" i="18"/>
  <c r="J57" i="19"/>
  <c r="K59" i="18"/>
  <c r="E20" i="19"/>
  <c r="F22" i="18"/>
  <c r="F6" i="19"/>
  <c r="G8" i="18"/>
  <c r="G26" i="19"/>
  <c r="H28" i="18"/>
  <c r="F42" i="18"/>
  <c r="E40" i="19"/>
  <c r="G56" i="20"/>
  <c r="F54" i="21"/>
  <c r="F14" i="19"/>
  <c r="G16" i="18"/>
  <c r="G49" i="18"/>
  <c r="F47" i="19"/>
  <c r="H36" i="23"/>
  <c r="I38" i="22"/>
  <c r="F41" i="17"/>
  <c r="G43" i="16"/>
  <c r="E28" i="19"/>
  <c r="F30" i="18"/>
  <c r="F46" i="19"/>
  <c r="G48" i="18"/>
  <c r="G49" i="17"/>
  <c r="H51" i="16"/>
  <c r="E32" i="17"/>
  <c r="F34" i="16"/>
  <c r="G60" i="23"/>
  <c r="H62" i="22"/>
  <c r="J38" i="20"/>
  <c r="I36" i="21"/>
  <c r="H13" i="20"/>
  <c r="G11" i="21"/>
  <c r="E52" i="19"/>
  <c r="F54" i="18"/>
  <c r="H19" i="17"/>
  <c r="I21" i="16"/>
  <c r="F50" i="23"/>
  <c r="G52" i="22"/>
  <c r="G40" i="20"/>
  <c r="F38" i="21"/>
  <c r="H61" i="20"/>
  <c r="G59" i="21"/>
  <c r="G21" i="23"/>
  <c r="H23" i="22"/>
  <c r="G37" i="23"/>
  <c r="H39" i="22"/>
  <c r="E56" i="19"/>
  <c r="F58" i="18"/>
  <c r="F26" i="23"/>
  <c r="G28" i="22"/>
  <c r="E13" i="19"/>
  <c r="F15" i="18"/>
  <c r="F25" i="19"/>
  <c r="G27" i="18"/>
  <c r="G8" i="22"/>
  <c r="F6" i="23"/>
  <c r="H57" i="23"/>
  <c r="J59" i="22"/>
  <c r="I59" i="22"/>
  <c r="I57" i="23" s="1"/>
  <c r="G49" i="23"/>
  <c r="H51" i="22"/>
  <c r="H54" i="20"/>
  <c r="G52" i="21"/>
  <c r="G19" i="20"/>
  <c r="F17" i="21"/>
  <c r="G50" i="20"/>
  <c r="F48" i="21"/>
  <c r="G20" i="20"/>
  <c r="F18" i="21"/>
  <c r="H53" i="20"/>
  <c r="G51" i="21"/>
  <c r="I7" i="20"/>
  <c r="I5" i="21" s="1"/>
  <c r="H5" i="21"/>
  <c r="J7" i="20"/>
  <c r="Q59" i="20"/>
  <c r="P57" i="21"/>
  <c r="L8" i="20"/>
  <c r="K6" i="21"/>
  <c r="F17" i="17"/>
  <c r="G19" i="16"/>
  <c r="G23" i="20"/>
  <c r="F21" i="21"/>
  <c r="G43" i="20"/>
  <c r="F41" i="21"/>
  <c r="O57" i="19"/>
  <c r="R59" i="18"/>
  <c r="R57" i="19" s="1"/>
  <c r="H46" i="20"/>
  <c r="G44" i="21"/>
  <c r="E65" i="19"/>
  <c r="F67" i="18"/>
  <c r="E45" i="17"/>
  <c r="F47" i="16"/>
  <c r="F33" i="23"/>
  <c r="G35" i="22"/>
  <c r="F38" i="17"/>
  <c r="G40" i="16"/>
  <c r="E53" i="17"/>
  <c r="F55" i="16"/>
  <c r="F50" i="18"/>
  <c r="E48" i="19"/>
  <c r="G58" i="20"/>
  <c r="F56" i="21"/>
  <c r="G12" i="20"/>
  <c r="F10" i="21"/>
  <c r="G47" i="18"/>
  <c r="F45" i="19"/>
  <c r="H10" i="22"/>
  <c r="G8" i="23"/>
  <c r="M26" i="20"/>
  <c r="L24" i="21"/>
  <c r="I10" i="20"/>
  <c r="I8" i="21" s="1"/>
  <c r="H8" i="21"/>
  <c r="J10" i="20"/>
  <c r="J8" i="21" s="1"/>
  <c r="O10" i="20"/>
  <c r="G42" i="22"/>
  <c r="F40" i="23"/>
  <c r="H33" i="20"/>
  <c r="G31" i="21"/>
  <c r="F54" i="19"/>
  <c r="G56" i="18"/>
  <c r="F55" i="17"/>
  <c r="G57" i="16"/>
  <c r="I60" i="20"/>
  <c r="H58" i="21"/>
  <c r="G47" i="20"/>
  <c r="F45" i="21"/>
  <c r="G27" i="20"/>
  <c r="F25" i="21"/>
  <c r="F8" i="19"/>
  <c r="G10" i="18"/>
  <c r="F58" i="23"/>
  <c r="G60" i="22"/>
  <c r="D75" i="21"/>
  <c r="C75" i="21"/>
  <c r="E75" i="21"/>
  <c r="E68" i="21"/>
  <c r="E70" i="21" s="1"/>
  <c r="B75" i="21"/>
  <c r="E72" i="21"/>
  <c r="E73" i="21"/>
  <c r="G17" i="23"/>
  <c r="H19" i="22"/>
  <c r="F15" i="17"/>
  <c r="G17" i="16"/>
  <c r="G68" i="16"/>
  <c r="F66" i="17"/>
  <c r="G18" i="19"/>
  <c r="H20" i="18"/>
  <c r="G31" i="23"/>
  <c r="H33" i="22"/>
  <c r="H57" i="20"/>
  <c r="G55" i="21"/>
  <c r="H49" i="19"/>
  <c r="I51" i="18"/>
  <c r="E21" i="17"/>
  <c r="F23" i="16"/>
  <c r="E39" i="17"/>
  <c r="F41" i="16"/>
  <c r="E59" i="19"/>
  <c r="F61" i="18"/>
  <c r="G11" i="23"/>
  <c r="H13" i="22"/>
  <c r="F31" i="17"/>
  <c r="G33" i="16"/>
  <c r="F29" i="23"/>
  <c r="G31" i="22"/>
  <c r="G53" i="23"/>
  <c r="H55" i="22"/>
  <c r="F42" i="19"/>
  <c r="G44" i="18"/>
  <c r="F43" i="23"/>
  <c r="G45" i="22"/>
  <c r="F48" i="23"/>
  <c r="G50" i="22"/>
  <c r="G61" i="16"/>
  <c r="F59" i="17"/>
  <c r="H37" i="22"/>
  <c r="G35" i="23"/>
  <c r="F62" i="16"/>
  <c r="E60" i="17"/>
  <c r="B2" i="6"/>
  <c r="B3" i="6"/>
  <c r="B4" i="6"/>
  <c r="B5" i="6"/>
  <c r="B6" i="6"/>
  <c r="B7" i="6"/>
  <c r="B8" i="6"/>
  <c r="B9" i="6"/>
  <c r="B10" i="6"/>
  <c r="B11" i="6"/>
  <c r="B12" i="6"/>
  <c r="B13" i="6"/>
  <c r="B14" i="6"/>
  <c r="B15" i="6"/>
  <c r="B16" i="6"/>
  <c r="B17" i="6"/>
  <c r="B18" i="6"/>
  <c r="B19" i="6"/>
  <c r="B20" i="6"/>
  <c r="B21" i="6"/>
  <c r="B22" i="6"/>
  <c r="B23" i="6"/>
  <c r="B24" i="6"/>
  <c r="B25" i="6"/>
  <c r="B26" i="6"/>
  <c r="B27" i="6"/>
  <c r="B28" i="6"/>
  <c r="B29" i="6"/>
  <c r="B30" i="6"/>
  <c r="B31" i="6"/>
  <c r="B32" i="6"/>
  <c r="B33" i="6"/>
  <c r="B34" i="6"/>
  <c r="B35" i="6"/>
  <c r="B36" i="6"/>
  <c r="B37" i="6"/>
  <c r="B38" i="6"/>
  <c r="B39" i="6"/>
  <c r="B40" i="6"/>
  <c r="B41" i="6"/>
  <c r="B42" i="6"/>
  <c r="B43" i="6"/>
  <c r="B44" i="6"/>
  <c r="B45" i="6"/>
  <c r="B46" i="6"/>
  <c r="B47" i="6"/>
  <c r="B48" i="6"/>
  <c r="B49" i="6"/>
  <c r="B50" i="6"/>
  <c r="B51" i="6"/>
  <c r="B52" i="6"/>
  <c r="B53" i="6"/>
  <c r="B54" i="6"/>
  <c r="B55" i="6"/>
  <c r="B56" i="6"/>
  <c r="B57" i="6"/>
  <c r="B58" i="6"/>
  <c r="B59" i="6"/>
  <c r="B60" i="6"/>
  <c r="B61" i="6"/>
  <c r="B62" i="6"/>
  <c r="B63" i="6"/>
  <c r="B64" i="6"/>
  <c r="B65" i="6"/>
  <c r="B66" i="6"/>
  <c r="B67" i="6"/>
  <c r="C2" i="6"/>
  <c r="C3" i="6"/>
  <c r="C4" i="6"/>
  <c r="C5" i="6"/>
  <c r="C6" i="6"/>
  <c r="C7" i="6"/>
  <c r="C8" i="6"/>
  <c r="C9" i="6"/>
  <c r="C10" i="6"/>
  <c r="C11" i="6"/>
  <c r="C12" i="6"/>
  <c r="C13" i="6"/>
  <c r="C14" i="6"/>
  <c r="C15" i="6"/>
  <c r="C16" i="6"/>
  <c r="C17" i="6"/>
  <c r="C18" i="6"/>
  <c r="C19" i="6"/>
  <c r="C20" i="6"/>
  <c r="C21" i="6"/>
  <c r="C22" i="6"/>
  <c r="C23" i="6"/>
  <c r="C24" i="6"/>
  <c r="C25" i="6"/>
  <c r="C26" i="6"/>
  <c r="C27" i="6"/>
  <c r="C28" i="6"/>
  <c r="C29" i="6"/>
  <c r="C30" i="6"/>
  <c r="C31" i="6"/>
  <c r="C32" i="6"/>
  <c r="C33" i="6"/>
  <c r="C34" i="6"/>
  <c r="C35" i="6"/>
  <c r="C36" i="6"/>
  <c r="C37" i="6"/>
  <c r="C38" i="6"/>
  <c r="C39" i="6"/>
  <c r="C40" i="6"/>
  <c r="C41" i="6"/>
  <c r="C42" i="6"/>
  <c r="C43" i="6"/>
  <c r="C44" i="6"/>
  <c r="C45" i="6"/>
  <c r="C46" i="6"/>
  <c r="C47" i="6"/>
  <c r="C48" i="6"/>
  <c r="C49" i="6"/>
  <c r="C50" i="6"/>
  <c r="C51" i="6"/>
  <c r="C52" i="6"/>
  <c r="C53" i="6"/>
  <c r="C54" i="6"/>
  <c r="C55" i="6"/>
  <c r="C56" i="6"/>
  <c r="C57" i="6"/>
  <c r="C58" i="6"/>
  <c r="C59" i="6"/>
  <c r="C60" i="6"/>
  <c r="C61" i="6"/>
  <c r="C62" i="6"/>
  <c r="C63" i="6"/>
  <c r="C64" i="6"/>
  <c r="C65" i="6"/>
  <c r="C66" i="6"/>
  <c r="C67" i="6"/>
  <c r="D2" i="6"/>
  <c r="E2" i="6"/>
  <c r="F2" i="6"/>
  <c r="G2" i="6"/>
  <c r="H2" i="6"/>
  <c r="I2" i="6"/>
  <c r="J2" i="6"/>
  <c r="K2" i="6"/>
  <c r="L2" i="6"/>
  <c r="M2" i="6"/>
  <c r="N2" i="6"/>
  <c r="O2" i="6"/>
  <c r="P2" i="6"/>
  <c r="Q2" i="6"/>
  <c r="R2" i="6"/>
  <c r="S2" i="6"/>
  <c r="T2" i="6"/>
  <c r="U2" i="6"/>
  <c r="V2" i="6"/>
  <c r="W2" i="6"/>
  <c r="X2" i="6"/>
  <c r="Y2" i="6"/>
  <c r="Z2" i="6"/>
  <c r="AA2" i="6"/>
  <c r="AB2" i="6"/>
  <c r="AC2" i="6"/>
  <c r="AD2" i="6"/>
  <c r="AE2" i="6"/>
  <c r="AF2" i="6"/>
  <c r="AG2" i="6"/>
  <c r="AH2" i="6"/>
  <c r="AI2" i="6"/>
  <c r="AJ2" i="6"/>
  <c r="AK2" i="6"/>
  <c r="AL2" i="6"/>
  <c r="AM2" i="6"/>
  <c r="AN2" i="6"/>
  <c r="AO2" i="6"/>
  <c r="AP2" i="6"/>
  <c r="AQ2" i="6"/>
  <c r="AR2" i="6"/>
  <c r="AS2" i="6"/>
  <c r="AT2" i="6"/>
  <c r="AU2" i="6"/>
  <c r="AV2" i="6"/>
  <c r="AW2" i="6"/>
  <c r="AX2" i="6"/>
  <c r="AY2" i="6"/>
  <c r="AZ2" i="6"/>
  <c r="BA2" i="6"/>
  <c r="BB2" i="6"/>
  <c r="BC2" i="6"/>
  <c r="BD2" i="6"/>
  <c r="BE2" i="6"/>
  <c r="BF2" i="6"/>
  <c r="BG2" i="6"/>
  <c r="BH2" i="6"/>
  <c r="BI2" i="6"/>
  <c r="BJ2" i="6"/>
  <c r="BK2" i="6"/>
  <c r="BL2" i="6"/>
  <c r="BM2" i="6"/>
  <c r="BN2" i="6"/>
  <c r="BO2" i="6"/>
  <c r="D3" i="6"/>
  <c r="E3" i="6"/>
  <c r="F3" i="6"/>
  <c r="G3" i="6"/>
  <c r="H3" i="6"/>
  <c r="I3" i="6"/>
  <c r="J3" i="6"/>
  <c r="K3" i="6"/>
  <c r="L3" i="6"/>
  <c r="M3" i="6"/>
  <c r="N3" i="6"/>
  <c r="O3" i="6"/>
  <c r="P3" i="6"/>
  <c r="Q3" i="6"/>
  <c r="R3" i="6"/>
  <c r="S3" i="6"/>
  <c r="T3" i="6"/>
  <c r="U3" i="6"/>
  <c r="W3" i="6"/>
  <c r="X3" i="6"/>
  <c r="Y3" i="6"/>
  <c r="Z3" i="6"/>
  <c r="AA3" i="6"/>
  <c r="AB3" i="6"/>
  <c r="AC3" i="6"/>
  <c r="AE3" i="6"/>
  <c r="AF3" i="6"/>
  <c r="AG3" i="6"/>
  <c r="AH3" i="6"/>
  <c r="AI3" i="6"/>
  <c r="AJ3" i="6"/>
  <c r="AK3" i="6"/>
  <c r="AL3" i="6"/>
  <c r="AM3" i="6"/>
  <c r="AN3" i="6"/>
  <c r="AO3" i="6"/>
  <c r="AP3" i="6"/>
  <c r="AQ3" i="6"/>
  <c r="AR3" i="6"/>
  <c r="AS3" i="6"/>
  <c r="AT3" i="6"/>
  <c r="AU3" i="6"/>
  <c r="AV3" i="6"/>
  <c r="AW3" i="6"/>
  <c r="AX3" i="6"/>
  <c r="AY3" i="6"/>
  <c r="AZ3" i="6"/>
  <c r="BA3" i="6"/>
  <c r="BB3" i="6"/>
  <c r="BC3" i="6"/>
  <c r="BD3" i="6"/>
  <c r="BE3" i="6"/>
  <c r="BF3" i="6"/>
  <c r="BG3" i="6"/>
  <c r="BH3" i="6"/>
  <c r="BI3" i="6"/>
  <c r="BJ3" i="6"/>
  <c r="BK3" i="6"/>
  <c r="BL3" i="6"/>
  <c r="BM3" i="6"/>
  <c r="BN3" i="6"/>
  <c r="BO3" i="6"/>
  <c r="D4" i="6"/>
  <c r="E4" i="6"/>
  <c r="F4" i="6"/>
  <c r="G4" i="6"/>
  <c r="H4" i="6"/>
  <c r="I4" i="6"/>
  <c r="J4" i="6"/>
  <c r="K4" i="6"/>
  <c r="L4" i="6"/>
  <c r="M4" i="6"/>
  <c r="N4" i="6"/>
  <c r="O4" i="6"/>
  <c r="P4" i="6"/>
  <c r="Q4" i="6"/>
  <c r="R4" i="6"/>
  <c r="S4" i="6"/>
  <c r="T4" i="6"/>
  <c r="U4" i="6"/>
  <c r="V4" i="6"/>
  <c r="W4" i="6"/>
  <c r="X4" i="6"/>
  <c r="Y4" i="6"/>
  <c r="Y64" i="7" s="1"/>
  <c r="Z4" i="6"/>
  <c r="AA4" i="6"/>
  <c r="AB4" i="6"/>
  <c r="AC4" i="6"/>
  <c r="AD4" i="6"/>
  <c r="AE4" i="6"/>
  <c r="AF4" i="6"/>
  <c r="AG4" i="6"/>
  <c r="AH4" i="6"/>
  <c r="AI4" i="6"/>
  <c r="AJ4" i="6"/>
  <c r="AK4" i="6"/>
  <c r="AL4" i="6"/>
  <c r="AM4" i="6"/>
  <c r="AN4" i="6"/>
  <c r="AO4" i="6"/>
  <c r="AP4" i="6"/>
  <c r="AQ4" i="6"/>
  <c r="AR4" i="6"/>
  <c r="AS4" i="6"/>
  <c r="AT4" i="6"/>
  <c r="AU4" i="6"/>
  <c r="AV4" i="6"/>
  <c r="AW4" i="6"/>
  <c r="AX4" i="6"/>
  <c r="AY4" i="6"/>
  <c r="AZ4" i="6"/>
  <c r="BA4" i="6"/>
  <c r="BB4" i="6"/>
  <c r="BC4" i="6"/>
  <c r="BD4" i="6"/>
  <c r="BE4" i="6"/>
  <c r="BF4" i="6"/>
  <c r="BG4" i="6"/>
  <c r="BH4" i="6"/>
  <c r="BI4" i="6"/>
  <c r="BJ4" i="6"/>
  <c r="BK4" i="6"/>
  <c r="BL4" i="6"/>
  <c r="BM4" i="6"/>
  <c r="BN4" i="6"/>
  <c r="BO4" i="6"/>
  <c r="D5" i="6"/>
  <c r="E5" i="6"/>
  <c r="F5" i="6"/>
  <c r="G5" i="6"/>
  <c r="H5" i="6"/>
  <c r="I5" i="6"/>
  <c r="J5" i="6"/>
  <c r="K5" i="6"/>
  <c r="L5" i="6"/>
  <c r="M5" i="6"/>
  <c r="N5" i="6"/>
  <c r="O5" i="6"/>
  <c r="P5" i="6"/>
  <c r="Q5" i="6"/>
  <c r="R5" i="6"/>
  <c r="S5" i="6"/>
  <c r="T5" i="6"/>
  <c r="U5" i="6"/>
  <c r="V5" i="6"/>
  <c r="W5" i="6"/>
  <c r="X5" i="6"/>
  <c r="Y5" i="6"/>
  <c r="Z5" i="6"/>
  <c r="AA5" i="6"/>
  <c r="AB5" i="6"/>
  <c r="AC5" i="6"/>
  <c r="AD5" i="6"/>
  <c r="AE5" i="6"/>
  <c r="AF5" i="6"/>
  <c r="AG5" i="6"/>
  <c r="AH5" i="6"/>
  <c r="AI5" i="6"/>
  <c r="AJ5" i="6"/>
  <c r="AK5" i="6"/>
  <c r="AL5" i="6"/>
  <c r="AM5" i="6"/>
  <c r="AN5" i="6"/>
  <c r="AO5" i="6"/>
  <c r="AP5" i="6"/>
  <c r="AQ5" i="6"/>
  <c r="AR5" i="6"/>
  <c r="AS5" i="6"/>
  <c r="AT5" i="6"/>
  <c r="AU5" i="6"/>
  <c r="AV5" i="6"/>
  <c r="AW5" i="6"/>
  <c r="AX5" i="6"/>
  <c r="AY5" i="6"/>
  <c r="AZ5" i="6"/>
  <c r="BA5" i="6"/>
  <c r="BB5" i="6"/>
  <c r="BC5" i="6"/>
  <c r="BD5" i="6"/>
  <c r="BE5" i="6"/>
  <c r="BF5" i="6"/>
  <c r="BG5" i="6"/>
  <c r="BH5" i="6"/>
  <c r="BI5" i="6"/>
  <c r="BJ5" i="6"/>
  <c r="BK5" i="6"/>
  <c r="BL5" i="6"/>
  <c r="BM5" i="6"/>
  <c r="BN5" i="6"/>
  <c r="BO5" i="6"/>
  <c r="D6" i="6"/>
  <c r="E6" i="6"/>
  <c r="F6" i="6"/>
  <c r="G6" i="6"/>
  <c r="H6" i="6"/>
  <c r="I6" i="6"/>
  <c r="J6" i="6"/>
  <c r="K6" i="6"/>
  <c r="L6" i="6"/>
  <c r="M6" i="6"/>
  <c r="N6" i="6"/>
  <c r="O6" i="6"/>
  <c r="P6" i="6"/>
  <c r="Q6" i="6"/>
  <c r="R6" i="6"/>
  <c r="S6" i="6"/>
  <c r="T6" i="6"/>
  <c r="U6" i="6"/>
  <c r="W6" i="6"/>
  <c r="X6" i="6"/>
  <c r="Y6" i="6"/>
  <c r="Z6" i="6"/>
  <c r="AA6" i="6"/>
  <c r="AB6" i="6"/>
  <c r="AC6" i="6"/>
  <c r="AD6" i="6"/>
  <c r="AE6" i="6"/>
  <c r="AF6" i="6"/>
  <c r="AG6" i="6"/>
  <c r="AH6" i="6"/>
  <c r="AI6" i="6"/>
  <c r="AJ6" i="6"/>
  <c r="AL6" i="6"/>
  <c r="AM6" i="6"/>
  <c r="AN6" i="6"/>
  <c r="AO6" i="6"/>
  <c r="AP6" i="6"/>
  <c r="AQ6" i="6"/>
  <c r="AR6" i="6"/>
  <c r="AS6" i="6"/>
  <c r="AT6" i="6"/>
  <c r="AU6" i="6"/>
  <c r="AV6" i="6"/>
  <c r="AW6" i="6"/>
  <c r="AX6" i="6"/>
  <c r="AY6" i="6"/>
  <c r="AZ6" i="6"/>
  <c r="BA6" i="6"/>
  <c r="BB6" i="6"/>
  <c r="BC6" i="6"/>
  <c r="BD6" i="6"/>
  <c r="BE6" i="6"/>
  <c r="BF6" i="6"/>
  <c r="BG6" i="6"/>
  <c r="BH6" i="6"/>
  <c r="BI6" i="6"/>
  <c r="BJ6" i="6"/>
  <c r="BK6" i="6"/>
  <c r="BL6" i="6"/>
  <c r="BM6" i="6"/>
  <c r="BN6" i="6"/>
  <c r="BO6" i="6"/>
  <c r="D7" i="6"/>
  <c r="E7" i="6"/>
  <c r="F7" i="6"/>
  <c r="G7" i="6"/>
  <c r="H7" i="6"/>
  <c r="I7" i="6"/>
  <c r="J7" i="6"/>
  <c r="K7" i="6"/>
  <c r="L7" i="6"/>
  <c r="M7" i="6"/>
  <c r="O7" i="6"/>
  <c r="P7" i="6"/>
  <c r="Q7" i="6"/>
  <c r="R7" i="6"/>
  <c r="S7" i="6"/>
  <c r="U7" i="6"/>
  <c r="V7" i="6"/>
  <c r="Y7" i="6"/>
  <c r="Z7" i="6"/>
  <c r="AA7" i="6"/>
  <c r="AB7" i="6"/>
  <c r="AC7" i="6"/>
  <c r="AF7" i="6"/>
  <c r="AG7" i="6"/>
  <c r="AH7" i="6"/>
  <c r="AI7" i="6"/>
  <c r="AJ7" i="6"/>
  <c r="AK7" i="6"/>
  <c r="AL7" i="6"/>
  <c r="AM7" i="6"/>
  <c r="AN7" i="6"/>
  <c r="AO7" i="6"/>
  <c r="AP7" i="6"/>
  <c r="AQ7" i="6"/>
  <c r="AR7" i="6"/>
  <c r="AS7" i="6"/>
  <c r="AT7" i="6"/>
  <c r="AU7" i="6"/>
  <c r="AW7" i="6"/>
  <c r="AX7" i="6"/>
  <c r="AY7" i="6"/>
  <c r="AZ7" i="6"/>
  <c r="BA7" i="6"/>
  <c r="BB7" i="6"/>
  <c r="BC7" i="6"/>
  <c r="BD7" i="6"/>
  <c r="BE7" i="6"/>
  <c r="BF7" i="6"/>
  <c r="BG7" i="6"/>
  <c r="BH7" i="6"/>
  <c r="BI7" i="6"/>
  <c r="BJ7" i="6"/>
  <c r="BK7" i="6"/>
  <c r="BL7" i="6"/>
  <c r="BM7" i="6"/>
  <c r="BN7" i="6"/>
  <c r="BO7" i="6"/>
  <c r="D8" i="6"/>
  <c r="E8" i="6"/>
  <c r="F8" i="6"/>
  <c r="G8" i="6"/>
  <c r="H8" i="6"/>
  <c r="I8" i="6"/>
  <c r="J8" i="6"/>
  <c r="K8" i="6"/>
  <c r="L8" i="6"/>
  <c r="M8" i="6"/>
  <c r="N8" i="6"/>
  <c r="O8" i="6"/>
  <c r="P8" i="6"/>
  <c r="Q8" i="6"/>
  <c r="R8" i="6"/>
  <c r="S8" i="6"/>
  <c r="T8" i="6"/>
  <c r="U8" i="6"/>
  <c r="V8" i="6"/>
  <c r="W8" i="6"/>
  <c r="X8" i="6"/>
  <c r="Y8" i="6"/>
  <c r="Z8" i="6"/>
  <c r="AA8" i="6"/>
  <c r="AB8" i="6"/>
  <c r="AC8" i="6"/>
  <c r="AD8" i="6"/>
  <c r="AE8" i="6"/>
  <c r="AF8" i="6"/>
  <c r="AG8" i="6"/>
  <c r="AH8" i="6"/>
  <c r="AI8" i="6"/>
  <c r="AJ8" i="6"/>
  <c r="AK8" i="6"/>
  <c r="AL8" i="6"/>
  <c r="AM8" i="6"/>
  <c r="AN8" i="6"/>
  <c r="AO8" i="6"/>
  <c r="AP8" i="6"/>
  <c r="AQ8" i="6"/>
  <c r="AR8" i="6"/>
  <c r="AS8" i="6"/>
  <c r="AT8" i="6"/>
  <c r="AU8" i="6"/>
  <c r="AV8" i="6"/>
  <c r="AW8" i="6"/>
  <c r="AX8" i="6"/>
  <c r="AY8" i="6"/>
  <c r="AZ8" i="6"/>
  <c r="BA8" i="6"/>
  <c r="BB8" i="6"/>
  <c r="BC8" i="6"/>
  <c r="BD8" i="6"/>
  <c r="BE8" i="6"/>
  <c r="BF8" i="6"/>
  <c r="BG8" i="6"/>
  <c r="BH8" i="6"/>
  <c r="BI8" i="6"/>
  <c r="BJ8" i="6"/>
  <c r="BK8" i="6"/>
  <c r="BL8" i="6"/>
  <c r="BM8" i="6"/>
  <c r="BN8" i="6"/>
  <c r="BO8" i="6"/>
  <c r="D9" i="6"/>
  <c r="E9" i="6"/>
  <c r="F9" i="6"/>
  <c r="G9" i="6"/>
  <c r="H9" i="6"/>
  <c r="I9" i="6"/>
  <c r="J9" i="6"/>
  <c r="K9" i="6"/>
  <c r="L9" i="6"/>
  <c r="O9" i="6"/>
  <c r="Q9" i="6"/>
  <c r="R9" i="6"/>
  <c r="U9" i="6"/>
  <c r="V9" i="6"/>
  <c r="Y9" i="6"/>
  <c r="Z9" i="6"/>
  <c r="AA9" i="6"/>
  <c r="AB9" i="6"/>
  <c r="AC9" i="6"/>
  <c r="AE9" i="6"/>
  <c r="AF9" i="6"/>
  <c r="AG9" i="6"/>
  <c r="AI9" i="6"/>
  <c r="AJ9" i="6"/>
  <c r="AK9" i="6"/>
  <c r="AL9" i="6"/>
  <c r="AN9" i="6"/>
  <c r="AO9" i="6"/>
  <c r="AP9" i="6"/>
  <c r="AQ9" i="6"/>
  <c r="AR9" i="6"/>
  <c r="AS9" i="6"/>
  <c r="AT9" i="6"/>
  <c r="AU9" i="6"/>
  <c r="AV9" i="6"/>
  <c r="AX9" i="6"/>
  <c r="AZ9" i="6"/>
  <c r="BB9" i="6"/>
  <c r="BE9" i="6"/>
  <c r="BF9" i="6"/>
  <c r="BG9" i="6"/>
  <c r="BH9" i="6"/>
  <c r="BI9" i="6"/>
  <c r="BJ9" i="6"/>
  <c r="BK9" i="6"/>
  <c r="BL9" i="6"/>
  <c r="BM9" i="6"/>
  <c r="BN9" i="6"/>
  <c r="BO9" i="6"/>
  <c r="D10" i="6"/>
  <c r="E10" i="6"/>
  <c r="F10" i="6"/>
  <c r="G10" i="6"/>
  <c r="H10" i="6"/>
  <c r="I10" i="6"/>
  <c r="J10" i="6"/>
  <c r="K10" i="6"/>
  <c r="L10" i="6"/>
  <c r="M10" i="6"/>
  <c r="N10" i="6"/>
  <c r="O10" i="6"/>
  <c r="P10" i="6"/>
  <c r="Q10" i="6"/>
  <c r="R10" i="6"/>
  <c r="S10" i="6"/>
  <c r="T10" i="6"/>
  <c r="U10" i="6"/>
  <c r="V10" i="6"/>
  <c r="W10" i="6"/>
  <c r="X10" i="6"/>
  <c r="Y10" i="6"/>
  <c r="Z10" i="6"/>
  <c r="AA10" i="6"/>
  <c r="AB10" i="6"/>
  <c r="AC10" i="6"/>
  <c r="AD10" i="6"/>
  <c r="AE10" i="6"/>
  <c r="AF10" i="6"/>
  <c r="AG10" i="6"/>
  <c r="AH10" i="6"/>
  <c r="AI10" i="6"/>
  <c r="AJ10" i="6"/>
  <c r="AK10" i="6"/>
  <c r="AL10" i="6"/>
  <c r="AM10" i="6"/>
  <c r="AN10" i="6"/>
  <c r="AO10" i="6"/>
  <c r="AP10" i="6"/>
  <c r="AQ10" i="6"/>
  <c r="AR10" i="6"/>
  <c r="AS10" i="6"/>
  <c r="AT10" i="6"/>
  <c r="AU10" i="6"/>
  <c r="AV10" i="6"/>
  <c r="AW10" i="6"/>
  <c r="AX10" i="6"/>
  <c r="AY10" i="6"/>
  <c r="AZ10" i="6"/>
  <c r="BA10" i="6"/>
  <c r="BB10" i="6"/>
  <c r="BC10" i="6"/>
  <c r="BD10" i="6"/>
  <c r="BE10" i="6"/>
  <c r="BF10" i="6"/>
  <c r="BG10" i="6"/>
  <c r="BH10" i="6"/>
  <c r="BI10" i="6"/>
  <c r="BJ10" i="6"/>
  <c r="BK10" i="6"/>
  <c r="BL10" i="6"/>
  <c r="BM10" i="6"/>
  <c r="BN10" i="6"/>
  <c r="BO10" i="6"/>
  <c r="D11" i="6"/>
  <c r="E11" i="6"/>
  <c r="F11" i="6"/>
  <c r="G11" i="6"/>
  <c r="H11" i="6"/>
  <c r="I11" i="6"/>
  <c r="J11" i="6"/>
  <c r="K11" i="6"/>
  <c r="L11" i="6"/>
  <c r="M11" i="6"/>
  <c r="N11" i="6"/>
  <c r="O11" i="6"/>
  <c r="P11" i="6"/>
  <c r="Q11" i="6"/>
  <c r="S11" i="6"/>
  <c r="T11" i="6"/>
  <c r="W11" i="6"/>
  <c r="X11" i="6"/>
  <c r="Y11" i="6"/>
  <c r="AA11" i="6"/>
  <c r="AB11" i="6"/>
  <c r="AC11" i="6"/>
  <c r="AD11" i="6"/>
  <c r="AE11" i="6"/>
  <c r="AF11" i="6"/>
  <c r="AG11" i="6"/>
  <c r="AH11" i="6"/>
  <c r="AI11" i="6"/>
  <c r="AJ11" i="6"/>
  <c r="AK11" i="6"/>
  <c r="AL11" i="6"/>
  <c r="AM11" i="6"/>
  <c r="AN11" i="6"/>
  <c r="AO11" i="6"/>
  <c r="AP11" i="6"/>
  <c r="AQ11" i="6"/>
  <c r="AR11" i="6"/>
  <c r="AS11" i="6"/>
  <c r="AT11" i="6"/>
  <c r="AU11" i="6"/>
  <c r="AV11" i="6"/>
  <c r="AW11" i="6"/>
  <c r="AX11" i="6"/>
  <c r="AY11" i="6"/>
  <c r="AZ11" i="6"/>
  <c r="BA11" i="6"/>
  <c r="BB11" i="6"/>
  <c r="BC11" i="6"/>
  <c r="BD11" i="6"/>
  <c r="BE11" i="6"/>
  <c r="BF11" i="6"/>
  <c r="BG11" i="6"/>
  <c r="BH11" i="6"/>
  <c r="BI11" i="6"/>
  <c r="BJ11" i="6"/>
  <c r="BK11" i="6"/>
  <c r="BL11" i="6"/>
  <c r="BM11" i="6"/>
  <c r="BN11" i="6"/>
  <c r="BO11" i="6"/>
  <c r="D12" i="6"/>
  <c r="E12" i="6"/>
  <c r="F12" i="6"/>
  <c r="G12" i="6"/>
  <c r="H12" i="6"/>
  <c r="I12" i="6"/>
  <c r="J12" i="6"/>
  <c r="K12" i="6"/>
  <c r="L12" i="6"/>
  <c r="M12" i="6"/>
  <c r="N12" i="6"/>
  <c r="O12" i="6"/>
  <c r="P12" i="6"/>
  <c r="Q12" i="6"/>
  <c r="R12" i="6"/>
  <c r="S12" i="6"/>
  <c r="T12" i="6"/>
  <c r="U12" i="6"/>
  <c r="V12" i="6"/>
  <c r="W12" i="6"/>
  <c r="X12" i="6"/>
  <c r="Y12" i="6"/>
  <c r="Z12" i="6"/>
  <c r="AA12" i="6"/>
  <c r="AB12" i="6"/>
  <c r="AC12" i="6"/>
  <c r="AD12" i="6"/>
  <c r="AE12" i="6"/>
  <c r="AF12" i="6"/>
  <c r="AG12" i="6"/>
  <c r="AH12" i="6"/>
  <c r="AI12" i="6"/>
  <c r="AJ12" i="6"/>
  <c r="AK12" i="6"/>
  <c r="AM12" i="6"/>
  <c r="AN12" i="6"/>
  <c r="AO12" i="6"/>
  <c r="AP12" i="6"/>
  <c r="AQ12" i="6"/>
  <c r="AR12" i="6"/>
  <c r="AS12" i="6"/>
  <c r="AT12" i="6"/>
  <c r="AU12" i="6"/>
  <c r="AV12" i="6"/>
  <c r="AW12" i="6"/>
  <c r="AX12" i="6"/>
  <c r="AY12" i="6"/>
  <c r="AZ12" i="6"/>
  <c r="BA12" i="6"/>
  <c r="BB12" i="6"/>
  <c r="BC12" i="6"/>
  <c r="BD12" i="6"/>
  <c r="BE12" i="6"/>
  <c r="BF12" i="6"/>
  <c r="BG12" i="6"/>
  <c r="BH12" i="6"/>
  <c r="BI12" i="6"/>
  <c r="BJ12" i="6"/>
  <c r="BK12" i="6"/>
  <c r="BL12" i="6"/>
  <c r="BM12" i="6"/>
  <c r="BN12" i="6"/>
  <c r="BO12" i="6"/>
  <c r="D13" i="6"/>
  <c r="E13" i="6"/>
  <c r="F13" i="6"/>
  <c r="G13" i="6"/>
  <c r="H13" i="6"/>
  <c r="I13" i="6"/>
  <c r="J13" i="6"/>
  <c r="K13" i="6"/>
  <c r="L13" i="6"/>
  <c r="M13" i="6"/>
  <c r="N13" i="6"/>
  <c r="O13" i="6"/>
  <c r="P13" i="6"/>
  <c r="Q13" i="6"/>
  <c r="R13" i="6"/>
  <c r="S13" i="6"/>
  <c r="T13" i="6"/>
  <c r="U13" i="6"/>
  <c r="V13" i="6"/>
  <c r="W13" i="6"/>
  <c r="X13" i="6"/>
  <c r="Y13" i="6"/>
  <c r="Z13" i="6"/>
  <c r="AA13" i="6"/>
  <c r="AB13" i="6"/>
  <c r="AC13" i="6"/>
  <c r="AD13" i="6"/>
  <c r="AE13" i="6"/>
  <c r="AF13" i="6"/>
  <c r="AG13" i="6"/>
  <c r="AH13" i="6"/>
  <c r="AI13" i="6"/>
  <c r="AJ13" i="6"/>
  <c r="AK13" i="6"/>
  <c r="AL13" i="6"/>
  <c r="AM13" i="6"/>
  <c r="AN13" i="6"/>
  <c r="AO13" i="6"/>
  <c r="AP13" i="6"/>
  <c r="AQ13" i="6"/>
  <c r="AR13" i="6"/>
  <c r="AS13" i="6"/>
  <c r="AT13" i="6"/>
  <c r="AU13" i="6"/>
  <c r="AV13" i="6"/>
  <c r="AW13" i="6"/>
  <c r="AX13" i="6"/>
  <c r="AY13" i="6"/>
  <c r="AZ13" i="6"/>
  <c r="BA13" i="6"/>
  <c r="BB13" i="6"/>
  <c r="BC13" i="6"/>
  <c r="BD13" i="6"/>
  <c r="BE13" i="6"/>
  <c r="BF13" i="6"/>
  <c r="BG13" i="6"/>
  <c r="BH13" i="6"/>
  <c r="BI13" i="6"/>
  <c r="BJ13" i="6"/>
  <c r="BK13" i="6"/>
  <c r="BL13" i="6"/>
  <c r="BM13" i="6"/>
  <c r="BN13" i="6"/>
  <c r="BO13" i="6"/>
  <c r="D14" i="6"/>
  <c r="E14" i="6"/>
  <c r="F14" i="6"/>
  <c r="G14" i="6"/>
  <c r="H14" i="6"/>
  <c r="I14" i="6"/>
  <c r="J14" i="6"/>
  <c r="K14" i="6"/>
  <c r="L14" i="6"/>
  <c r="M14" i="6"/>
  <c r="N14" i="6"/>
  <c r="O14" i="6"/>
  <c r="P14" i="6"/>
  <c r="Q14" i="6"/>
  <c r="R14" i="6"/>
  <c r="S14" i="6"/>
  <c r="T14" i="6"/>
  <c r="U14" i="6"/>
  <c r="V14" i="6"/>
  <c r="W14" i="6"/>
  <c r="X14" i="6"/>
  <c r="Y14" i="6"/>
  <c r="Z14" i="6"/>
  <c r="AA14" i="6"/>
  <c r="AB14" i="6"/>
  <c r="AC14" i="6"/>
  <c r="AD14" i="6"/>
  <c r="AE14" i="6"/>
  <c r="AF14" i="6"/>
  <c r="AG14" i="6"/>
  <c r="AH14" i="6"/>
  <c r="AI14" i="6"/>
  <c r="AJ14" i="6"/>
  <c r="AK14" i="6"/>
  <c r="AL14" i="6"/>
  <c r="AM14" i="6"/>
  <c r="AN14" i="6"/>
  <c r="AO14" i="6"/>
  <c r="AP14" i="6"/>
  <c r="AQ14" i="6"/>
  <c r="AR14" i="6"/>
  <c r="AS14" i="6"/>
  <c r="AT14" i="6"/>
  <c r="AU14" i="6"/>
  <c r="AV14" i="6"/>
  <c r="AW14" i="6"/>
  <c r="AX14" i="6"/>
  <c r="AY14" i="6"/>
  <c r="AZ14" i="6"/>
  <c r="BA14" i="6"/>
  <c r="BB14" i="6"/>
  <c r="BC14" i="6"/>
  <c r="BD14" i="6"/>
  <c r="BE14" i="6"/>
  <c r="BF14" i="6"/>
  <c r="BG14" i="6"/>
  <c r="BH14" i="6"/>
  <c r="BI14" i="6"/>
  <c r="BJ14" i="6"/>
  <c r="BK14" i="6"/>
  <c r="BL14" i="6"/>
  <c r="BM14" i="6"/>
  <c r="BN14" i="6"/>
  <c r="BO14" i="6"/>
  <c r="D15" i="6"/>
  <c r="E15" i="6"/>
  <c r="F15" i="6"/>
  <c r="G15" i="6"/>
  <c r="H15" i="6"/>
  <c r="I15" i="6"/>
  <c r="J15" i="6"/>
  <c r="K15" i="6"/>
  <c r="L15" i="6"/>
  <c r="M15" i="6"/>
  <c r="N15" i="6"/>
  <c r="O15" i="6"/>
  <c r="P15" i="6"/>
  <c r="Q15" i="6"/>
  <c r="R15" i="6"/>
  <c r="S15" i="6"/>
  <c r="T15" i="6"/>
  <c r="U15" i="6"/>
  <c r="V15" i="6"/>
  <c r="W15" i="6"/>
  <c r="X15" i="6"/>
  <c r="Y15" i="6"/>
  <c r="Z15" i="6"/>
  <c r="AA15" i="6"/>
  <c r="AB15" i="6"/>
  <c r="AC15" i="6"/>
  <c r="AD15" i="6"/>
  <c r="AE15" i="6"/>
  <c r="AF15" i="6"/>
  <c r="AG15" i="6"/>
  <c r="AH15" i="6"/>
  <c r="AI15" i="6"/>
  <c r="AJ15" i="6"/>
  <c r="AK15" i="6"/>
  <c r="AL15" i="6"/>
  <c r="AM15" i="6"/>
  <c r="AN15" i="6"/>
  <c r="AO15" i="6"/>
  <c r="AP15" i="6"/>
  <c r="AQ15" i="6"/>
  <c r="AR15" i="6"/>
  <c r="AS15" i="6"/>
  <c r="AT15" i="6"/>
  <c r="AU15" i="6"/>
  <c r="AV15" i="6"/>
  <c r="AW15" i="6"/>
  <c r="AX15" i="6"/>
  <c r="AY15" i="6"/>
  <c r="AZ15" i="6"/>
  <c r="BA15" i="6"/>
  <c r="BB15" i="6"/>
  <c r="BC15" i="6"/>
  <c r="BD15" i="6"/>
  <c r="BE15" i="6"/>
  <c r="BF15" i="6"/>
  <c r="BG15" i="6"/>
  <c r="BH15" i="6"/>
  <c r="BI15" i="6"/>
  <c r="BJ15" i="6"/>
  <c r="BK15" i="6"/>
  <c r="BL15" i="6"/>
  <c r="BM15" i="6"/>
  <c r="BN15" i="6"/>
  <c r="BO15" i="6"/>
  <c r="D16" i="6"/>
  <c r="E16" i="6"/>
  <c r="F16" i="6"/>
  <c r="G16" i="6"/>
  <c r="H16" i="6"/>
  <c r="I16" i="6"/>
  <c r="J16" i="6"/>
  <c r="K16" i="6"/>
  <c r="L16" i="6"/>
  <c r="M16" i="6"/>
  <c r="N16" i="6"/>
  <c r="O16" i="6"/>
  <c r="Q16" i="6"/>
  <c r="S16" i="6"/>
  <c r="T16" i="6"/>
  <c r="X16" i="6"/>
  <c r="Y16" i="6"/>
  <c r="Z16" i="6"/>
  <c r="AA16" i="6"/>
  <c r="AB16" i="6"/>
  <c r="AC16" i="6"/>
  <c r="AD16" i="6"/>
  <c r="AE16" i="6"/>
  <c r="AF16" i="6"/>
  <c r="AG16" i="6"/>
  <c r="AH16" i="6"/>
  <c r="AI16" i="6"/>
  <c r="AJ16" i="6"/>
  <c r="AK16" i="6"/>
  <c r="AL16" i="6"/>
  <c r="AM16" i="6"/>
  <c r="AN16" i="6"/>
  <c r="AO16" i="6"/>
  <c r="AP16" i="6"/>
  <c r="AQ16" i="6"/>
  <c r="AR16" i="6"/>
  <c r="AS16" i="6"/>
  <c r="AT16" i="6"/>
  <c r="AU16" i="6"/>
  <c r="AV16" i="6"/>
  <c r="AW16" i="6"/>
  <c r="AX16" i="6"/>
  <c r="AY16" i="6"/>
  <c r="AZ16" i="6"/>
  <c r="BA16" i="6"/>
  <c r="BB16" i="6"/>
  <c r="BC16" i="6"/>
  <c r="BD16" i="6"/>
  <c r="BE16" i="6"/>
  <c r="BF16" i="6"/>
  <c r="BG16" i="6"/>
  <c r="BH16" i="6"/>
  <c r="BI16" i="6"/>
  <c r="BJ16" i="6"/>
  <c r="BK16" i="6"/>
  <c r="BL16" i="6"/>
  <c r="BM16" i="6"/>
  <c r="BN16" i="6"/>
  <c r="BO16" i="6"/>
  <c r="D17" i="6"/>
  <c r="E17" i="6"/>
  <c r="F17" i="6"/>
  <c r="G17" i="6"/>
  <c r="H17" i="6"/>
  <c r="I17" i="6"/>
  <c r="J17" i="6"/>
  <c r="K17" i="6"/>
  <c r="L17" i="6"/>
  <c r="O17" i="6"/>
  <c r="P17" i="6"/>
  <c r="Q17" i="6"/>
  <c r="U17" i="6"/>
  <c r="V17" i="6"/>
  <c r="W17" i="6"/>
  <c r="X17" i="6"/>
  <c r="Y17" i="6"/>
  <c r="Z17" i="6"/>
  <c r="AA17" i="6"/>
  <c r="AB17" i="6"/>
  <c r="AC17" i="6"/>
  <c r="AD17" i="6"/>
  <c r="AF17" i="6"/>
  <c r="AG17" i="6"/>
  <c r="AH17" i="6"/>
  <c r="AI17" i="6"/>
  <c r="AJ17" i="6"/>
  <c r="AL17" i="6"/>
  <c r="AM17" i="6"/>
  <c r="AN17" i="6"/>
  <c r="AO17" i="6"/>
  <c r="AP17" i="6"/>
  <c r="AQ17" i="6"/>
  <c r="AR17" i="6"/>
  <c r="AS17" i="6"/>
  <c r="AT17" i="6"/>
  <c r="AU17" i="6"/>
  <c r="AV17" i="6"/>
  <c r="AX17" i="6"/>
  <c r="AY17" i="6"/>
  <c r="AZ17" i="6"/>
  <c r="BA17" i="6"/>
  <c r="BB17" i="6"/>
  <c r="BC17" i="6"/>
  <c r="BE17" i="6"/>
  <c r="BG17" i="6"/>
  <c r="BH17" i="6"/>
  <c r="BI17" i="6"/>
  <c r="BJ17" i="6"/>
  <c r="BK17" i="6"/>
  <c r="BL17" i="6"/>
  <c r="BM17" i="6"/>
  <c r="BN17" i="6"/>
  <c r="BO17" i="6"/>
  <c r="D18" i="6"/>
  <c r="E18" i="6"/>
  <c r="F18" i="6"/>
  <c r="G18" i="6"/>
  <c r="H18" i="6"/>
  <c r="I18" i="6"/>
  <c r="J18" i="6"/>
  <c r="K18" i="6"/>
  <c r="L18" i="6"/>
  <c r="M18" i="6"/>
  <c r="N18" i="6"/>
  <c r="O18" i="6"/>
  <c r="P18" i="6"/>
  <c r="Q18" i="6"/>
  <c r="R18" i="6"/>
  <c r="S18" i="6"/>
  <c r="T18" i="6"/>
  <c r="U18" i="6"/>
  <c r="V18" i="6"/>
  <c r="W18" i="6"/>
  <c r="X18" i="6"/>
  <c r="Y18" i="6"/>
  <c r="Z18" i="6"/>
  <c r="AA18" i="6"/>
  <c r="AB18" i="6"/>
  <c r="AC18" i="6"/>
  <c r="AD18" i="6"/>
  <c r="AE18" i="6"/>
  <c r="AF18" i="6"/>
  <c r="AG18" i="6"/>
  <c r="AH18" i="6"/>
  <c r="AI18" i="6"/>
  <c r="AJ18" i="6"/>
  <c r="AK18" i="6"/>
  <c r="AL18" i="6"/>
  <c r="AM18" i="6"/>
  <c r="AN18" i="6"/>
  <c r="AO18" i="6"/>
  <c r="AP18" i="6"/>
  <c r="AQ18" i="6"/>
  <c r="AR18" i="6"/>
  <c r="AS18" i="6"/>
  <c r="AT18" i="6"/>
  <c r="AU18" i="6"/>
  <c r="AV18" i="6"/>
  <c r="AW18" i="6"/>
  <c r="AX18" i="6"/>
  <c r="AY18" i="6"/>
  <c r="AZ18" i="6"/>
  <c r="BA18" i="6"/>
  <c r="BB18" i="6"/>
  <c r="BC18" i="6"/>
  <c r="BD18" i="6"/>
  <c r="BE18" i="6"/>
  <c r="BF18" i="6"/>
  <c r="BG18" i="6"/>
  <c r="BH18" i="6"/>
  <c r="BI18" i="6"/>
  <c r="BJ18" i="6"/>
  <c r="BK18" i="6"/>
  <c r="BL18" i="6"/>
  <c r="BM18" i="6"/>
  <c r="BN18" i="6"/>
  <c r="BO18" i="6"/>
  <c r="D19" i="6"/>
  <c r="E19" i="6"/>
  <c r="F19" i="6"/>
  <c r="G19" i="6"/>
  <c r="H19" i="6"/>
  <c r="I19" i="6"/>
  <c r="J19" i="6"/>
  <c r="K19" i="6"/>
  <c r="L19" i="6"/>
  <c r="M19" i="6"/>
  <c r="N19" i="6"/>
  <c r="O19" i="6"/>
  <c r="P19" i="6"/>
  <c r="Q19" i="6"/>
  <c r="R19" i="6"/>
  <c r="S19" i="6"/>
  <c r="T19" i="6"/>
  <c r="U19" i="6"/>
  <c r="V19" i="6"/>
  <c r="W19" i="6"/>
  <c r="X19" i="6"/>
  <c r="Y19" i="6"/>
  <c r="Z19" i="6"/>
  <c r="AA19" i="6"/>
  <c r="AB19" i="6"/>
  <c r="AC19" i="6"/>
  <c r="AD19" i="6"/>
  <c r="AE19" i="6"/>
  <c r="AF19" i="6"/>
  <c r="AG19" i="6"/>
  <c r="AH19" i="6"/>
  <c r="AI19" i="6"/>
  <c r="AJ19" i="6"/>
  <c r="AK19" i="6"/>
  <c r="AL19" i="6"/>
  <c r="AM19" i="6"/>
  <c r="AN19" i="6"/>
  <c r="AO19" i="6"/>
  <c r="AP19" i="6"/>
  <c r="AQ19" i="6"/>
  <c r="AR19" i="6"/>
  <c r="AS19" i="6"/>
  <c r="AT19" i="6"/>
  <c r="AU19" i="6"/>
  <c r="AV19" i="6"/>
  <c r="AW19" i="6"/>
  <c r="AX19" i="6"/>
  <c r="AY19" i="6"/>
  <c r="AZ19" i="6"/>
  <c r="BA19" i="6"/>
  <c r="BB19" i="6"/>
  <c r="BC19" i="6"/>
  <c r="BD19" i="6"/>
  <c r="BE19" i="6"/>
  <c r="BF19" i="6"/>
  <c r="BG19" i="6"/>
  <c r="BH19" i="6"/>
  <c r="BI19" i="6"/>
  <c r="BJ19" i="6"/>
  <c r="BK19" i="6"/>
  <c r="BL19" i="6"/>
  <c r="BM19" i="6"/>
  <c r="BN19" i="6"/>
  <c r="BO19" i="6"/>
  <c r="D20" i="6"/>
  <c r="E20" i="6"/>
  <c r="F20" i="6"/>
  <c r="G20" i="6"/>
  <c r="H20" i="6"/>
  <c r="I20" i="6"/>
  <c r="J20" i="6"/>
  <c r="K20" i="6"/>
  <c r="L20" i="6"/>
  <c r="M20" i="6"/>
  <c r="N20" i="6"/>
  <c r="O20" i="6"/>
  <c r="P20" i="6"/>
  <c r="Q20" i="6"/>
  <c r="R20" i="6"/>
  <c r="S20" i="6"/>
  <c r="T20" i="6"/>
  <c r="U20" i="6"/>
  <c r="V20" i="6"/>
  <c r="W20" i="6"/>
  <c r="X20" i="6"/>
  <c r="Y20" i="6"/>
  <c r="Z20" i="6"/>
  <c r="AA20" i="6"/>
  <c r="AB20" i="6"/>
  <c r="AC20" i="6"/>
  <c r="AD20" i="6"/>
  <c r="AE20" i="6"/>
  <c r="AF20" i="6"/>
  <c r="AG20" i="6"/>
  <c r="AH20" i="6"/>
  <c r="AI20" i="6"/>
  <c r="AJ20" i="6"/>
  <c r="AK20" i="6"/>
  <c r="AL20" i="6"/>
  <c r="AM20" i="6"/>
  <c r="AN20" i="6"/>
  <c r="AO20" i="6"/>
  <c r="AP20" i="6"/>
  <c r="AQ20" i="6"/>
  <c r="AR20" i="6"/>
  <c r="AS20" i="6"/>
  <c r="AT20" i="6"/>
  <c r="AU20" i="6"/>
  <c r="AV20" i="6"/>
  <c r="AW20" i="6"/>
  <c r="AX20" i="6"/>
  <c r="AY20" i="6"/>
  <c r="AZ20" i="6"/>
  <c r="BA20" i="6"/>
  <c r="BB20" i="6"/>
  <c r="BC20" i="6"/>
  <c r="BD20" i="6"/>
  <c r="BE20" i="6"/>
  <c r="BF20" i="6"/>
  <c r="BG20" i="6"/>
  <c r="BH20" i="6"/>
  <c r="BI20" i="6"/>
  <c r="BJ20" i="6"/>
  <c r="BK20" i="6"/>
  <c r="BL20" i="6"/>
  <c r="BM20" i="6"/>
  <c r="BN20" i="6"/>
  <c r="BO20" i="6"/>
  <c r="D21" i="6"/>
  <c r="E21" i="6"/>
  <c r="F21" i="6"/>
  <c r="G21" i="6"/>
  <c r="H21" i="6"/>
  <c r="I21" i="6"/>
  <c r="J21" i="6"/>
  <c r="K21" i="6"/>
  <c r="L21" i="6"/>
  <c r="M21" i="6"/>
  <c r="N21" i="6"/>
  <c r="O21" i="6"/>
  <c r="P21" i="6"/>
  <c r="Q21" i="6"/>
  <c r="R21" i="6"/>
  <c r="S21" i="6"/>
  <c r="T21" i="6"/>
  <c r="U21" i="6"/>
  <c r="V21" i="6"/>
  <c r="W21" i="6"/>
  <c r="X21" i="6"/>
  <c r="Y21" i="6"/>
  <c r="Z21" i="6"/>
  <c r="AA21" i="6"/>
  <c r="AB21" i="6"/>
  <c r="AC21" i="6"/>
  <c r="AD21" i="6"/>
  <c r="AE21" i="6"/>
  <c r="AF21" i="6"/>
  <c r="AG21" i="6"/>
  <c r="AH21" i="6"/>
  <c r="AI21" i="6"/>
  <c r="AJ21" i="6"/>
  <c r="AK21" i="6"/>
  <c r="AL21" i="6"/>
  <c r="AM21" i="6"/>
  <c r="AN21" i="6"/>
  <c r="AO21" i="6"/>
  <c r="AP21" i="6"/>
  <c r="AQ21" i="6"/>
  <c r="AR21" i="6"/>
  <c r="AS21" i="6"/>
  <c r="AT21" i="6"/>
  <c r="AU21" i="6"/>
  <c r="AV21" i="6"/>
  <c r="AW21" i="6"/>
  <c r="AX21" i="6"/>
  <c r="AY21" i="6"/>
  <c r="AZ21" i="6"/>
  <c r="BA21" i="6"/>
  <c r="BB21" i="6"/>
  <c r="BC21" i="6"/>
  <c r="BD21" i="6"/>
  <c r="BE21" i="6"/>
  <c r="BF21" i="6"/>
  <c r="BG21" i="6"/>
  <c r="BH21" i="6"/>
  <c r="BI21" i="6"/>
  <c r="BJ21" i="6"/>
  <c r="BK21" i="6"/>
  <c r="BL21" i="6"/>
  <c r="BM21" i="6"/>
  <c r="BN21" i="6"/>
  <c r="BO21" i="6"/>
  <c r="D22" i="6"/>
  <c r="E22" i="6"/>
  <c r="F22" i="6"/>
  <c r="G22" i="6"/>
  <c r="H22" i="6"/>
  <c r="I22" i="6"/>
  <c r="J22" i="6"/>
  <c r="K22" i="6"/>
  <c r="L22" i="6"/>
  <c r="M22" i="6"/>
  <c r="N22" i="6"/>
  <c r="O22" i="6"/>
  <c r="P22" i="6"/>
  <c r="Q22" i="6"/>
  <c r="R22" i="6"/>
  <c r="S22" i="6"/>
  <c r="T22" i="6"/>
  <c r="U22" i="6"/>
  <c r="V22" i="6"/>
  <c r="W22" i="6"/>
  <c r="X22" i="6"/>
  <c r="Y22" i="6"/>
  <c r="Z22" i="6"/>
  <c r="AA22" i="6"/>
  <c r="AB22" i="6"/>
  <c r="AC22" i="6"/>
  <c r="AD22" i="6"/>
  <c r="AE22" i="6"/>
  <c r="AF22" i="6"/>
  <c r="AG22" i="6"/>
  <c r="AH22" i="6"/>
  <c r="AI22" i="6"/>
  <c r="AJ22" i="6"/>
  <c r="AK22" i="6"/>
  <c r="AL22" i="6"/>
  <c r="AM22" i="6"/>
  <c r="AN22" i="6"/>
  <c r="AO22" i="6"/>
  <c r="AP22" i="6"/>
  <c r="AQ22" i="6"/>
  <c r="AR22" i="6"/>
  <c r="AS22" i="6"/>
  <c r="AT22" i="6"/>
  <c r="AU22" i="6"/>
  <c r="AV22" i="6"/>
  <c r="AW22" i="6"/>
  <c r="AX22" i="6"/>
  <c r="AY22" i="6"/>
  <c r="AZ22" i="6"/>
  <c r="BA22" i="6"/>
  <c r="BB22" i="6"/>
  <c r="BC22" i="6"/>
  <c r="BD22" i="6"/>
  <c r="BE22" i="6"/>
  <c r="BF22" i="6"/>
  <c r="BG22" i="6"/>
  <c r="BH22" i="6"/>
  <c r="BI22" i="6"/>
  <c r="BJ22" i="6"/>
  <c r="BK22" i="6"/>
  <c r="BL22" i="6"/>
  <c r="BM22" i="6"/>
  <c r="BN22" i="6"/>
  <c r="BO22" i="6"/>
  <c r="D23" i="6"/>
  <c r="E23" i="6"/>
  <c r="F23" i="6"/>
  <c r="G23" i="6"/>
  <c r="H23" i="6"/>
  <c r="I23" i="6"/>
  <c r="J23" i="6"/>
  <c r="K23" i="6"/>
  <c r="L23" i="6"/>
  <c r="M23" i="6"/>
  <c r="N23" i="6"/>
  <c r="O23" i="6"/>
  <c r="P23" i="6"/>
  <c r="Q23" i="6"/>
  <c r="R23" i="6"/>
  <c r="S23" i="6"/>
  <c r="T23" i="6"/>
  <c r="U23" i="6"/>
  <c r="V23" i="6"/>
  <c r="W23" i="6"/>
  <c r="X23" i="6"/>
  <c r="Y23" i="6"/>
  <c r="Z23" i="6"/>
  <c r="AA23" i="6"/>
  <c r="AB23" i="6"/>
  <c r="AC23" i="6"/>
  <c r="AD23" i="6"/>
  <c r="AE23" i="6"/>
  <c r="AF23" i="6"/>
  <c r="AG23" i="6"/>
  <c r="AH23" i="6"/>
  <c r="AI23" i="6"/>
  <c r="AJ23" i="6"/>
  <c r="AK23" i="6"/>
  <c r="AL23" i="6"/>
  <c r="AM23" i="6"/>
  <c r="AN23" i="6"/>
  <c r="AO23" i="6"/>
  <c r="AP23" i="6"/>
  <c r="AQ23" i="6"/>
  <c r="AR23" i="6"/>
  <c r="AS23" i="6"/>
  <c r="AT23" i="6"/>
  <c r="AU23" i="6"/>
  <c r="AV23" i="6"/>
  <c r="AW23" i="6"/>
  <c r="AX23" i="6"/>
  <c r="AY23" i="6"/>
  <c r="AZ23" i="6"/>
  <c r="BA23" i="6"/>
  <c r="BB23" i="6"/>
  <c r="BC23" i="6"/>
  <c r="BD23" i="6"/>
  <c r="BE23" i="6"/>
  <c r="BF23" i="6"/>
  <c r="BG23" i="6"/>
  <c r="BH23" i="6"/>
  <c r="BI23" i="6"/>
  <c r="BJ23" i="6"/>
  <c r="BK23" i="6"/>
  <c r="BL23" i="6"/>
  <c r="BM23" i="6"/>
  <c r="BN23" i="6"/>
  <c r="BO23" i="6"/>
  <c r="D24" i="6"/>
  <c r="E24" i="6"/>
  <c r="F24" i="6"/>
  <c r="G24" i="6"/>
  <c r="H24" i="6"/>
  <c r="I24" i="6"/>
  <c r="J24" i="6"/>
  <c r="K24" i="6"/>
  <c r="L24" i="6"/>
  <c r="M24" i="6"/>
  <c r="N24" i="6"/>
  <c r="O24" i="6"/>
  <c r="P24" i="6"/>
  <c r="Q24" i="6"/>
  <c r="R24" i="6"/>
  <c r="S24" i="6"/>
  <c r="T24" i="6"/>
  <c r="U24" i="6"/>
  <c r="V24" i="6"/>
  <c r="W24" i="6"/>
  <c r="X24" i="6"/>
  <c r="Y24" i="6"/>
  <c r="Z24" i="6"/>
  <c r="AA24" i="6"/>
  <c r="AB24" i="6"/>
  <c r="AC24" i="6"/>
  <c r="AD24" i="6"/>
  <c r="AE24" i="6"/>
  <c r="AF24" i="6"/>
  <c r="AG24" i="6"/>
  <c r="AH24" i="6"/>
  <c r="AI24" i="6"/>
  <c r="AJ24" i="6"/>
  <c r="AK24" i="6"/>
  <c r="AL24" i="6"/>
  <c r="AM24" i="6"/>
  <c r="AN24" i="6"/>
  <c r="AO24" i="6"/>
  <c r="AP24" i="6"/>
  <c r="AQ24" i="6"/>
  <c r="AR24" i="6"/>
  <c r="AS24" i="6"/>
  <c r="AT24" i="6"/>
  <c r="AU24" i="6"/>
  <c r="AV24" i="6"/>
  <c r="AW24" i="6"/>
  <c r="AX24" i="6"/>
  <c r="AY24" i="6"/>
  <c r="AZ24" i="6"/>
  <c r="BA24" i="6"/>
  <c r="BB24" i="6"/>
  <c r="BC24" i="6"/>
  <c r="BD24" i="6"/>
  <c r="BE24" i="6"/>
  <c r="BF24" i="6"/>
  <c r="BG24" i="6"/>
  <c r="BH24" i="6"/>
  <c r="BI24" i="6"/>
  <c r="BJ24" i="6"/>
  <c r="BK24" i="6"/>
  <c r="BL24" i="6"/>
  <c r="BM24" i="6"/>
  <c r="BN24" i="6"/>
  <c r="BO24" i="6"/>
  <c r="D25" i="6"/>
  <c r="E25" i="6"/>
  <c r="F25" i="6"/>
  <c r="H25" i="6"/>
  <c r="I25" i="6"/>
  <c r="J25" i="6"/>
  <c r="K25" i="6"/>
  <c r="L25" i="6"/>
  <c r="M25" i="6"/>
  <c r="O25" i="6"/>
  <c r="P25" i="6"/>
  <c r="Q25" i="6"/>
  <c r="S25" i="6"/>
  <c r="U25" i="6"/>
  <c r="V25" i="6"/>
  <c r="W25" i="6"/>
  <c r="X25" i="6"/>
  <c r="Y25" i="6"/>
  <c r="AA25" i="6"/>
  <c r="AB25" i="6"/>
  <c r="AC25" i="6"/>
  <c r="AD25" i="6"/>
  <c r="AF25" i="6"/>
  <c r="AG25" i="6"/>
  <c r="AI25" i="6"/>
  <c r="AJ25" i="6"/>
  <c r="AK25" i="6"/>
  <c r="AL25" i="6"/>
  <c r="AM25" i="6"/>
  <c r="AN25" i="6"/>
  <c r="AO25" i="6"/>
  <c r="AP25" i="6"/>
  <c r="AQ25" i="6"/>
  <c r="AR25" i="6"/>
  <c r="AS25" i="6"/>
  <c r="AT25" i="6"/>
  <c r="AU25" i="6"/>
  <c r="AV25" i="6"/>
  <c r="AW25" i="6"/>
  <c r="AX25" i="6"/>
  <c r="AY25" i="6"/>
  <c r="AZ25" i="6"/>
  <c r="BA25" i="6"/>
  <c r="BB25" i="6"/>
  <c r="BC25" i="6"/>
  <c r="BD25" i="6"/>
  <c r="BE25" i="6"/>
  <c r="BF25" i="6"/>
  <c r="BG25" i="6"/>
  <c r="BH25" i="6"/>
  <c r="BI25" i="6"/>
  <c r="BJ25" i="6"/>
  <c r="BK25" i="6"/>
  <c r="BL25" i="6"/>
  <c r="BM25" i="6"/>
  <c r="BN25" i="6"/>
  <c r="BO25" i="6"/>
  <c r="D26" i="6"/>
  <c r="E26" i="6"/>
  <c r="F26" i="6"/>
  <c r="G26" i="6"/>
  <c r="H26" i="6"/>
  <c r="I26" i="6"/>
  <c r="J26" i="6"/>
  <c r="K26" i="6"/>
  <c r="L26" i="6"/>
  <c r="M26" i="6"/>
  <c r="N26" i="6"/>
  <c r="O26" i="6"/>
  <c r="P26" i="6"/>
  <c r="Q26" i="6"/>
  <c r="R26" i="6"/>
  <c r="S26" i="6"/>
  <c r="T26" i="6"/>
  <c r="U26" i="6"/>
  <c r="V26" i="6"/>
  <c r="W26" i="6"/>
  <c r="X26" i="6"/>
  <c r="Y26" i="6"/>
  <c r="Z26" i="6"/>
  <c r="AA26" i="6"/>
  <c r="AB26" i="6"/>
  <c r="AC26" i="6"/>
  <c r="AD26" i="6"/>
  <c r="AE26" i="6"/>
  <c r="AF26" i="6"/>
  <c r="AG26" i="6"/>
  <c r="AH26" i="6"/>
  <c r="AI26" i="6"/>
  <c r="AJ26" i="6"/>
  <c r="AK26" i="6"/>
  <c r="AM26" i="6"/>
  <c r="AN26" i="6"/>
  <c r="AO26" i="6"/>
  <c r="AP26" i="6"/>
  <c r="AQ26" i="6"/>
  <c r="AR26" i="6"/>
  <c r="AS26" i="6"/>
  <c r="AT26" i="6"/>
  <c r="AU26" i="6"/>
  <c r="AV26" i="6"/>
  <c r="AW26" i="6"/>
  <c r="AX26" i="6"/>
  <c r="AY26" i="6"/>
  <c r="AZ26" i="6"/>
  <c r="BA26" i="6"/>
  <c r="BB26" i="6"/>
  <c r="BC26" i="6"/>
  <c r="BD26" i="6"/>
  <c r="BE26" i="6"/>
  <c r="BF26" i="6"/>
  <c r="BG26" i="6"/>
  <c r="BH26" i="6"/>
  <c r="BI26" i="6"/>
  <c r="BJ26" i="6"/>
  <c r="BK26" i="6"/>
  <c r="BL26" i="6"/>
  <c r="BM26" i="6"/>
  <c r="BN26" i="6"/>
  <c r="BO26" i="6"/>
  <c r="D27" i="6"/>
  <c r="E27" i="6"/>
  <c r="F27" i="6"/>
  <c r="G27" i="6"/>
  <c r="H27" i="6"/>
  <c r="I27" i="6"/>
  <c r="J27" i="6"/>
  <c r="K27" i="6"/>
  <c r="L27" i="6"/>
  <c r="M27" i="6"/>
  <c r="N27" i="6"/>
  <c r="O27" i="6"/>
  <c r="P27" i="6"/>
  <c r="Q27" i="6"/>
  <c r="R27" i="6"/>
  <c r="S27" i="6"/>
  <c r="T27" i="6"/>
  <c r="U27" i="6"/>
  <c r="V27" i="6"/>
  <c r="W27" i="6"/>
  <c r="X27" i="6"/>
  <c r="Y27" i="6"/>
  <c r="Z27" i="6"/>
  <c r="AA27" i="6"/>
  <c r="AB27" i="6"/>
  <c r="AC27" i="6"/>
  <c r="AD27" i="6"/>
  <c r="AE27" i="6"/>
  <c r="AF27" i="6"/>
  <c r="AG27" i="6"/>
  <c r="AH27" i="6"/>
  <c r="AI27" i="6"/>
  <c r="AJ27" i="6"/>
  <c r="AK27" i="6"/>
  <c r="AM27" i="6"/>
  <c r="AN27" i="6"/>
  <c r="AO27" i="6"/>
  <c r="AP27" i="6"/>
  <c r="AQ27" i="6"/>
  <c r="AR27" i="6"/>
  <c r="AS27" i="6"/>
  <c r="AT27" i="6"/>
  <c r="AU27" i="6"/>
  <c r="AV27" i="6"/>
  <c r="AW27" i="6"/>
  <c r="AX27" i="6"/>
  <c r="AY27" i="6"/>
  <c r="AZ27" i="6"/>
  <c r="BA27" i="6"/>
  <c r="BB27" i="6"/>
  <c r="BC27" i="6"/>
  <c r="BD27" i="6"/>
  <c r="BE27" i="6"/>
  <c r="BF27" i="6"/>
  <c r="BG27" i="6"/>
  <c r="BH27" i="6"/>
  <c r="BI27" i="6"/>
  <c r="BJ27" i="6"/>
  <c r="BK27" i="6"/>
  <c r="BL27" i="6"/>
  <c r="BM27" i="6"/>
  <c r="BN27" i="6"/>
  <c r="BO27" i="6"/>
  <c r="D28" i="6"/>
  <c r="E28" i="6"/>
  <c r="F28" i="6"/>
  <c r="G28" i="6"/>
  <c r="H28" i="6"/>
  <c r="I28" i="6"/>
  <c r="J28" i="6"/>
  <c r="K28" i="6"/>
  <c r="L28" i="6"/>
  <c r="M28" i="6"/>
  <c r="N28" i="6"/>
  <c r="O28" i="6"/>
  <c r="P28" i="6"/>
  <c r="Q28" i="6"/>
  <c r="R28" i="6"/>
  <c r="S28" i="6"/>
  <c r="T28" i="6"/>
  <c r="U28" i="6"/>
  <c r="V28" i="6"/>
  <c r="W28" i="6"/>
  <c r="X28" i="6"/>
  <c r="Y28" i="6"/>
  <c r="Z28" i="6"/>
  <c r="AA28" i="6"/>
  <c r="AB28" i="6"/>
  <c r="AC28" i="6"/>
  <c r="AD28" i="6"/>
  <c r="AE28" i="6"/>
  <c r="AF28" i="6"/>
  <c r="AG28" i="6"/>
  <c r="AH28" i="6"/>
  <c r="AI28" i="6"/>
  <c r="AJ28" i="6"/>
  <c r="AK28" i="6"/>
  <c r="AL28" i="6"/>
  <c r="AM28" i="6"/>
  <c r="AN28" i="6"/>
  <c r="AO28" i="6"/>
  <c r="AP28" i="6"/>
  <c r="AQ28" i="6"/>
  <c r="AR28" i="6"/>
  <c r="AS28" i="6"/>
  <c r="AT28" i="6"/>
  <c r="AU28" i="6"/>
  <c r="AV28" i="6"/>
  <c r="AW28" i="6"/>
  <c r="AX28" i="6"/>
  <c r="AY28" i="6"/>
  <c r="AZ28" i="6"/>
  <c r="BA28" i="6"/>
  <c r="BB28" i="6"/>
  <c r="BC28" i="6"/>
  <c r="BD28" i="6"/>
  <c r="BE28" i="6"/>
  <c r="BF28" i="6"/>
  <c r="BG28" i="6"/>
  <c r="BH28" i="6"/>
  <c r="BI28" i="6"/>
  <c r="BJ28" i="6"/>
  <c r="BK28" i="6"/>
  <c r="BL28" i="6"/>
  <c r="BM28" i="6"/>
  <c r="BN28" i="6"/>
  <c r="BO28" i="6"/>
  <c r="D29" i="6"/>
  <c r="E29" i="6"/>
  <c r="F29" i="6"/>
  <c r="G29" i="6"/>
  <c r="H29" i="6"/>
  <c r="I29" i="6"/>
  <c r="J29" i="6"/>
  <c r="K29" i="6"/>
  <c r="L29" i="6"/>
  <c r="M29" i="6"/>
  <c r="N29" i="6"/>
  <c r="O29" i="6"/>
  <c r="P29" i="6"/>
  <c r="Q29" i="6"/>
  <c r="S29" i="6"/>
  <c r="T29" i="6"/>
  <c r="W29" i="6"/>
  <c r="X29" i="6"/>
  <c r="Y29" i="6"/>
  <c r="Z29" i="6"/>
  <c r="AA29" i="6"/>
  <c r="AB29" i="6"/>
  <c r="AC29" i="6"/>
  <c r="AD29" i="6"/>
  <c r="AE29" i="6"/>
  <c r="AF29" i="6"/>
  <c r="AG29" i="6"/>
  <c r="AH29" i="6"/>
  <c r="AI29" i="6"/>
  <c r="AJ29" i="6"/>
  <c r="AK29" i="6"/>
  <c r="AL29" i="6"/>
  <c r="AM29" i="6"/>
  <c r="AN29" i="6"/>
  <c r="AO29" i="6"/>
  <c r="AP29" i="6"/>
  <c r="AQ29" i="6"/>
  <c r="AR29" i="6"/>
  <c r="AT29" i="6"/>
  <c r="AU29" i="6"/>
  <c r="AV29" i="6"/>
  <c r="AW29" i="6"/>
  <c r="AX29" i="6"/>
  <c r="AY29" i="6"/>
  <c r="AZ29" i="6"/>
  <c r="BA29" i="6"/>
  <c r="BB29" i="6"/>
  <c r="BC29" i="6"/>
  <c r="BD29" i="6"/>
  <c r="BE29" i="6"/>
  <c r="BF29" i="6"/>
  <c r="BG29" i="6"/>
  <c r="BH29" i="6"/>
  <c r="BI29" i="6"/>
  <c r="BJ29" i="6"/>
  <c r="BK29" i="6"/>
  <c r="BL29" i="6"/>
  <c r="BM29" i="6"/>
  <c r="BN29" i="6"/>
  <c r="BO29" i="6"/>
  <c r="D30" i="6"/>
  <c r="E30" i="6"/>
  <c r="F30" i="6"/>
  <c r="G30" i="6"/>
  <c r="H30" i="6"/>
  <c r="I30" i="6"/>
  <c r="J30" i="6"/>
  <c r="K30" i="6"/>
  <c r="L30" i="6"/>
  <c r="M30" i="6"/>
  <c r="N30" i="6"/>
  <c r="O30" i="6"/>
  <c r="P30" i="6"/>
  <c r="Q30" i="6"/>
  <c r="R30" i="6"/>
  <c r="S30" i="6"/>
  <c r="T30" i="6"/>
  <c r="U30" i="6"/>
  <c r="V30" i="6"/>
  <c r="W30" i="6"/>
  <c r="X30" i="6"/>
  <c r="Y30" i="6"/>
  <c r="Z30" i="6"/>
  <c r="AA30" i="6"/>
  <c r="AB30" i="6"/>
  <c r="AC30" i="6"/>
  <c r="AD30" i="6"/>
  <c r="AE30" i="6"/>
  <c r="AF30" i="6"/>
  <c r="AG30" i="6"/>
  <c r="AH30" i="6"/>
  <c r="AI30" i="6"/>
  <c r="AJ30" i="6"/>
  <c r="AK30" i="6"/>
  <c r="AL30" i="6"/>
  <c r="AM30" i="6"/>
  <c r="AN30" i="6"/>
  <c r="AO30" i="6"/>
  <c r="AP30" i="6"/>
  <c r="AQ30" i="6"/>
  <c r="AR30" i="6"/>
  <c r="AS30" i="6"/>
  <c r="AT30" i="6"/>
  <c r="AU30" i="6"/>
  <c r="AV30" i="6"/>
  <c r="AW30" i="6"/>
  <c r="AX30" i="6"/>
  <c r="AY30" i="6"/>
  <c r="AZ30" i="6"/>
  <c r="BA30" i="6"/>
  <c r="BB30" i="6"/>
  <c r="BC30" i="6"/>
  <c r="BD30" i="6"/>
  <c r="BE30" i="6"/>
  <c r="BF30" i="6"/>
  <c r="BG30" i="6"/>
  <c r="BH30" i="6"/>
  <c r="BI30" i="6"/>
  <c r="BJ30" i="6"/>
  <c r="BK30" i="6"/>
  <c r="BL30" i="6"/>
  <c r="BM30" i="6"/>
  <c r="BN30" i="6"/>
  <c r="BO30" i="6"/>
  <c r="D31" i="6"/>
  <c r="E31" i="6"/>
  <c r="F31" i="6"/>
  <c r="G31" i="6"/>
  <c r="H31" i="6"/>
  <c r="I31" i="6"/>
  <c r="J31" i="6"/>
  <c r="K31" i="6"/>
  <c r="L31" i="6"/>
  <c r="M31" i="6"/>
  <c r="N31" i="6"/>
  <c r="O31" i="6"/>
  <c r="P31" i="6"/>
  <c r="Q31" i="6"/>
  <c r="R31" i="6"/>
  <c r="S31" i="6"/>
  <c r="T31" i="6"/>
  <c r="U31" i="6"/>
  <c r="V31" i="6"/>
  <c r="W31" i="6"/>
  <c r="X31" i="6"/>
  <c r="Y31" i="6"/>
  <c r="Z31" i="6"/>
  <c r="AA31" i="6"/>
  <c r="AB31" i="6"/>
  <c r="AC31" i="6"/>
  <c r="AD31" i="6"/>
  <c r="AE31" i="6"/>
  <c r="AF31" i="6"/>
  <c r="AG31" i="6"/>
  <c r="AH31" i="6"/>
  <c r="AI31" i="6"/>
  <c r="AJ31" i="6"/>
  <c r="AK31" i="6"/>
  <c r="AL31" i="6"/>
  <c r="AM31" i="6"/>
  <c r="AN31" i="6"/>
  <c r="AO31" i="6"/>
  <c r="AP31" i="6"/>
  <c r="AQ31" i="6"/>
  <c r="AR31" i="6"/>
  <c r="AS31" i="6"/>
  <c r="AT31" i="6"/>
  <c r="AU31" i="6"/>
  <c r="AV31" i="6"/>
  <c r="AW31" i="6"/>
  <c r="AX31" i="6"/>
  <c r="AY31" i="6"/>
  <c r="AZ31" i="6"/>
  <c r="BA31" i="6"/>
  <c r="BB31" i="6"/>
  <c r="BC31" i="6"/>
  <c r="BD31" i="6"/>
  <c r="BE31" i="6"/>
  <c r="BF31" i="6"/>
  <c r="BG31" i="6"/>
  <c r="BH31" i="6"/>
  <c r="BI31" i="6"/>
  <c r="BJ31" i="6"/>
  <c r="BK31" i="6"/>
  <c r="BL31" i="6"/>
  <c r="BM31" i="6"/>
  <c r="BN31" i="6"/>
  <c r="BO31" i="6"/>
  <c r="D32" i="6"/>
  <c r="E32" i="6"/>
  <c r="F32" i="6"/>
  <c r="G32" i="6"/>
  <c r="H32" i="6"/>
  <c r="I32" i="6"/>
  <c r="J32" i="6"/>
  <c r="K32" i="6"/>
  <c r="L32" i="6"/>
  <c r="M32" i="6"/>
  <c r="N32" i="6"/>
  <c r="O32" i="6"/>
  <c r="P32" i="6"/>
  <c r="Q32" i="6"/>
  <c r="R32" i="6"/>
  <c r="S32" i="6"/>
  <c r="T32" i="6"/>
  <c r="U32" i="6"/>
  <c r="V32" i="6"/>
  <c r="W32" i="6"/>
  <c r="X32" i="6"/>
  <c r="Y32" i="6"/>
  <c r="Z32" i="6"/>
  <c r="AA32" i="6"/>
  <c r="AB32" i="6"/>
  <c r="AC32" i="6"/>
  <c r="AD32" i="6"/>
  <c r="AE32" i="6"/>
  <c r="AF32" i="6"/>
  <c r="AG32" i="6"/>
  <c r="AH32" i="6"/>
  <c r="AI32" i="6"/>
  <c r="AJ32" i="6"/>
  <c r="AK32" i="6"/>
  <c r="AL32" i="6"/>
  <c r="AM32" i="6"/>
  <c r="AN32" i="6"/>
  <c r="AO32" i="6"/>
  <c r="AP32" i="6"/>
  <c r="AQ32" i="6"/>
  <c r="AR32" i="6"/>
  <c r="AS32" i="6"/>
  <c r="AT32" i="6"/>
  <c r="AU32" i="6"/>
  <c r="AV32" i="6"/>
  <c r="AW32" i="6"/>
  <c r="AX32" i="6"/>
  <c r="AY32" i="6"/>
  <c r="AZ32" i="6"/>
  <c r="BA32" i="6"/>
  <c r="BB32" i="6"/>
  <c r="BC32" i="6"/>
  <c r="BD32" i="6"/>
  <c r="BE32" i="6"/>
  <c r="BF32" i="6"/>
  <c r="BG32" i="6"/>
  <c r="BH32" i="6"/>
  <c r="BI32" i="6"/>
  <c r="BJ32" i="6"/>
  <c r="BK32" i="6"/>
  <c r="BL32" i="6"/>
  <c r="BM32" i="6"/>
  <c r="BN32" i="6"/>
  <c r="BO32" i="6"/>
  <c r="D33" i="6"/>
  <c r="E33" i="6"/>
  <c r="F33" i="6"/>
  <c r="G33" i="6"/>
  <c r="H33" i="6"/>
  <c r="I33" i="6"/>
  <c r="J33" i="6"/>
  <c r="K33" i="6"/>
  <c r="L33" i="6"/>
  <c r="M33" i="6"/>
  <c r="N33" i="6"/>
  <c r="O33" i="6"/>
  <c r="P33" i="6"/>
  <c r="Q33" i="6"/>
  <c r="R33" i="6"/>
  <c r="S33" i="6"/>
  <c r="T33" i="6"/>
  <c r="U33" i="6"/>
  <c r="V33" i="6"/>
  <c r="W33" i="6"/>
  <c r="X33" i="6"/>
  <c r="Y33" i="6"/>
  <c r="Z33" i="6"/>
  <c r="AA33" i="6"/>
  <c r="AB33" i="6"/>
  <c r="AC33" i="6"/>
  <c r="AD33" i="6"/>
  <c r="AE33" i="6"/>
  <c r="AF33" i="6"/>
  <c r="AG33" i="6"/>
  <c r="AH33" i="6"/>
  <c r="AI33" i="6"/>
  <c r="AJ33" i="6"/>
  <c r="AK33" i="6"/>
  <c r="AL33" i="6"/>
  <c r="AM33" i="6"/>
  <c r="AN33" i="6"/>
  <c r="AO33" i="6"/>
  <c r="AP33" i="6"/>
  <c r="AQ33" i="6"/>
  <c r="AR33" i="6"/>
  <c r="AS33" i="6"/>
  <c r="AT33" i="6"/>
  <c r="AU33" i="6"/>
  <c r="AV33" i="6"/>
  <c r="AW33" i="6"/>
  <c r="AX33" i="6"/>
  <c r="AY33" i="6"/>
  <c r="AZ33" i="6"/>
  <c r="BA33" i="6"/>
  <c r="BB33" i="6"/>
  <c r="BC33" i="6"/>
  <c r="BD33" i="6"/>
  <c r="BE33" i="6"/>
  <c r="BF33" i="6"/>
  <c r="BG33" i="6"/>
  <c r="BH33" i="6"/>
  <c r="BI33" i="6"/>
  <c r="BJ33" i="6"/>
  <c r="BK33" i="6"/>
  <c r="BL33" i="6"/>
  <c r="BM33" i="6"/>
  <c r="BN33" i="6"/>
  <c r="BO33" i="6"/>
  <c r="D34" i="6"/>
  <c r="E34" i="6"/>
  <c r="F34" i="6"/>
  <c r="G34" i="6"/>
  <c r="H34" i="6"/>
  <c r="I34" i="6"/>
  <c r="J34" i="6"/>
  <c r="K34" i="6"/>
  <c r="L34" i="6"/>
  <c r="M34" i="6"/>
  <c r="N34" i="6"/>
  <c r="O34" i="6"/>
  <c r="P34" i="6"/>
  <c r="Q34" i="6"/>
  <c r="R34" i="6"/>
  <c r="S34" i="6"/>
  <c r="T34" i="6"/>
  <c r="U34" i="6"/>
  <c r="V34" i="6"/>
  <c r="W34" i="6"/>
  <c r="X34" i="6"/>
  <c r="Y34" i="6"/>
  <c r="Z34" i="6"/>
  <c r="AA34" i="6"/>
  <c r="AB34" i="6"/>
  <c r="AC34" i="6"/>
  <c r="AD34" i="6"/>
  <c r="AE34" i="6"/>
  <c r="AF34" i="6"/>
  <c r="AG34" i="6"/>
  <c r="AH34" i="6"/>
  <c r="AI34" i="6"/>
  <c r="AJ34" i="6"/>
  <c r="AK34" i="6"/>
  <c r="AL34" i="6"/>
  <c r="AM34" i="6"/>
  <c r="AN34" i="6"/>
  <c r="AO34" i="6"/>
  <c r="AP34" i="6"/>
  <c r="AQ34" i="6"/>
  <c r="AR34" i="6"/>
  <c r="AS34" i="6"/>
  <c r="AT34" i="6"/>
  <c r="AU34" i="6"/>
  <c r="AV34" i="6"/>
  <c r="AW34" i="6"/>
  <c r="AX34" i="6"/>
  <c r="AY34" i="6"/>
  <c r="AZ34" i="6"/>
  <c r="BA34" i="6"/>
  <c r="BB34" i="6"/>
  <c r="BC34" i="6"/>
  <c r="BD34" i="6"/>
  <c r="BE34" i="6"/>
  <c r="BF34" i="6"/>
  <c r="BG34" i="6"/>
  <c r="BH34" i="6"/>
  <c r="BI34" i="6"/>
  <c r="BJ34" i="6"/>
  <c r="BK34" i="6"/>
  <c r="BL34" i="6"/>
  <c r="BM34" i="6"/>
  <c r="BN34" i="6"/>
  <c r="BO34" i="6"/>
  <c r="D35" i="6"/>
  <c r="E35" i="6"/>
  <c r="F35" i="6"/>
  <c r="G35" i="6"/>
  <c r="H35" i="6"/>
  <c r="I35" i="6"/>
  <c r="J35" i="6"/>
  <c r="K35" i="6"/>
  <c r="L35" i="6"/>
  <c r="M35" i="6"/>
  <c r="N35" i="6"/>
  <c r="O35" i="6"/>
  <c r="P35" i="6"/>
  <c r="Q35" i="6"/>
  <c r="R35" i="6"/>
  <c r="S35" i="6"/>
  <c r="T35" i="6"/>
  <c r="U35" i="6"/>
  <c r="V35" i="6"/>
  <c r="W35" i="6"/>
  <c r="X35" i="6"/>
  <c r="Y35" i="6"/>
  <c r="Z35" i="6"/>
  <c r="AA35" i="6"/>
  <c r="AB35" i="6"/>
  <c r="AC35" i="6"/>
  <c r="AD35" i="6"/>
  <c r="AE35" i="6"/>
  <c r="AF35" i="6"/>
  <c r="AG35" i="6"/>
  <c r="AH35" i="6"/>
  <c r="AI35" i="6"/>
  <c r="AJ35" i="6"/>
  <c r="AK35" i="6"/>
  <c r="AL35" i="6"/>
  <c r="AM35" i="6"/>
  <c r="AN35" i="6"/>
  <c r="AO35" i="6"/>
  <c r="AP35" i="6"/>
  <c r="AQ35" i="6"/>
  <c r="AR35" i="6"/>
  <c r="AS35" i="6"/>
  <c r="AT35" i="6"/>
  <c r="AU35" i="6"/>
  <c r="AV35" i="6"/>
  <c r="AW35" i="6"/>
  <c r="AX35" i="6"/>
  <c r="AY35" i="6"/>
  <c r="AZ35" i="6"/>
  <c r="BA35" i="6"/>
  <c r="BB35" i="6"/>
  <c r="BC35" i="6"/>
  <c r="BD35" i="6"/>
  <c r="BE35" i="6"/>
  <c r="BF35" i="6"/>
  <c r="BG35" i="6"/>
  <c r="BH35" i="6"/>
  <c r="BI35" i="6"/>
  <c r="BJ35" i="6"/>
  <c r="BK35" i="6"/>
  <c r="BL35" i="6"/>
  <c r="BM35" i="6"/>
  <c r="BN35" i="6"/>
  <c r="BO35" i="6"/>
  <c r="D36" i="6"/>
  <c r="E36" i="6"/>
  <c r="F36" i="6"/>
  <c r="G36" i="6"/>
  <c r="H36" i="6"/>
  <c r="I36" i="6"/>
  <c r="J36" i="6"/>
  <c r="K36" i="6"/>
  <c r="L36" i="6"/>
  <c r="M36" i="6"/>
  <c r="N36" i="6"/>
  <c r="O36" i="6"/>
  <c r="P36" i="6"/>
  <c r="Q36" i="6"/>
  <c r="R36" i="6"/>
  <c r="S36" i="6"/>
  <c r="T36" i="6"/>
  <c r="U36" i="6"/>
  <c r="V36" i="6"/>
  <c r="W36" i="6"/>
  <c r="X36" i="6"/>
  <c r="Y36" i="6"/>
  <c r="Z36" i="6"/>
  <c r="AA36" i="6"/>
  <c r="AB36" i="6"/>
  <c r="AC36" i="6"/>
  <c r="AD36" i="6"/>
  <c r="AE36" i="6"/>
  <c r="AF36" i="6"/>
  <c r="AG36" i="6"/>
  <c r="AH36" i="6"/>
  <c r="AI36" i="6"/>
  <c r="AJ36" i="6"/>
  <c r="AK36" i="6"/>
  <c r="AL36" i="6"/>
  <c r="AM36" i="6"/>
  <c r="AN36" i="6"/>
  <c r="AO36" i="6"/>
  <c r="AP36" i="6"/>
  <c r="AQ36" i="6"/>
  <c r="AR36" i="6"/>
  <c r="AS36" i="6"/>
  <c r="AT36" i="6"/>
  <c r="AU36" i="6"/>
  <c r="AV36" i="6"/>
  <c r="AW36" i="6"/>
  <c r="AX36" i="6"/>
  <c r="AY36" i="6"/>
  <c r="AZ36" i="6"/>
  <c r="BA36" i="6"/>
  <c r="BB36" i="6"/>
  <c r="BC36" i="6"/>
  <c r="BD36" i="6"/>
  <c r="BE36" i="6"/>
  <c r="BF36" i="6"/>
  <c r="BG36" i="6"/>
  <c r="BH36" i="6"/>
  <c r="BI36" i="6"/>
  <c r="BJ36" i="6"/>
  <c r="BK36" i="6"/>
  <c r="BL36" i="6"/>
  <c r="BM36" i="6"/>
  <c r="BN36" i="6"/>
  <c r="BO36" i="6"/>
  <c r="D37" i="6"/>
  <c r="E37" i="6"/>
  <c r="F37" i="6"/>
  <c r="G37" i="6"/>
  <c r="H37" i="6"/>
  <c r="I37" i="6"/>
  <c r="J37" i="6"/>
  <c r="K37" i="6"/>
  <c r="L37" i="6"/>
  <c r="M37" i="6"/>
  <c r="N37" i="6"/>
  <c r="O37" i="6"/>
  <c r="P37" i="6"/>
  <c r="Q37" i="6"/>
  <c r="R37" i="6"/>
  <c r="S37" i="6"/>
  <c r="T37" i="6"/>
  <c r="U37" i="6"/>
  <c r="V37" i="6"/>
  <c r="W37" i="6"/>
  <c r="X37" i="6"/>
  <c r="Y37" i="6"/>
  <c r="Z37" i="6"/>
  <c r="AA37" i="6"/>
  <c r="AB37" i="6"/>
  <c r="AC37" i="6"/>
  <c r="AD37" i="6"/>
  <c r="AE37" i="6"/>
  <c r="AF37" i="6"/>
  <c r="AG37" i="6"/>
  <c r="AH37" i="6"/>
  <c r="AI37" i="6"/>
  <c r="AJ37" i="6"/>
  <c r="AK37" i="6"/>
  <c r="AL37" i="6"/>
  <c r="AM37" i="6"/>
  <c r="AN37" i="6"/>
  <c r="AO37" i="6"/>
  <c r="AP37" i="6"/>
  <c r="AQ37" i="6"/>
  <c r="AR37" i="6"/>
  <c r="AS37" i="6"/>
  <c r="AT37" i="6"/>
  <c r="AU37" i="6"/>
  <c r="AV37" i="6"/>
  <c r="AW37" i="6"/>
  <c r="AX37" i="6"/>
  <c r="AY37" i="6"/>
  <c r="AZ37" i="6"/>
  <c r="BA37" i="6"/>
  <c r="BB37" i="6"/>
  <c r="BC37" i="6"/>
  <c r="BD37" i="6"/>
  <c r="BE37" i="6"/>
  <c r="BF37" i="6"/>
  <c r="BG37" i="6"/>
  <c r="BH37" i="6"/>
  <c r="BI37" i="6"/>
  <c r="BJ37" i="6"/>
  <c r="BK37" i="6"/>
  <c r="BL37" i="6"/>
  <c r="BM37" i="6"/>
  <c r="BN37" i="6"/>
  <c r="BO37" i="6"/>
  <c r="D38" i="6"/>
  <c r="E38" i="6"/>
  <c r="F38" i="6"/>
  <c r="G38" i="6"/>
  <c r="H38" i="6"/>
  <c r="I38" i="6"/>
  <c r="J38" i="6"/>
  <c r="K38" i="6"/>
  <c r="L38" i="6"/>
  <c r="M38" i="6"/>
  <c r="N38" i="6"/>
  <c r="O38" i="6"/>
  <c r="P38" i="6"/>
  <c r="Q38" i="6"/>
  <c r="R38" i="6"/>
  <c r="S38" i="6"/>
  <c r="T38" i="6"/>
  <c r="V38" i="6"/>
  <c r="X38" i="6"/>
  <c r="Y38" i="6"/>
  <c r="AA38" i="6"/>
  <c r="AB38" i="6"/>
  <c r="AC38" i="6"/>
  <c r="AD38" i="6"/>
  <c r="AE38" i="6"/>
  <c r="AG38" i="6"/>
  <c r="AH38" i="6"/>
  <c r="AI38" i="6"/>
  <c r="AJ38" i="6"/>
  <c r="AK38" i="6"/>
  <c r="AL38" i="6"/>
  <c r="AM38" i="6"/>
  <c r="AN38" i="6"/>
  <c r="AO38" i="6"/>
  <c r="AP38" i="6"/>
  <c r="AQ38" i="6"/>
  <c r="AR38" i="6"/>
  <c r="AS38" i="6"/>
  <c r="AT38" i="6"/>
  <c r="AU38" i="6"/>
  <c r="AV38" i="6"/>
  <c r="AW38" i="6"/>
  <c r="AX38" i="6"/>
  <c r="AY38" i="6"/>
  <c r="AZ38" i="6"/>
  <c r="BA38" i="6"/>
  <c r="BB38" i="6"/>
  <c r="BC38" i="6"/>
  <c r="BD38" i="6"/>
  <c r="BE38" i="6"/>
  <c r="BF38" i="6"/>
  <c r="BG38" i="6"/>
  <c r="BH38" i="6"/>
  <c r="BI38" i="6"/>
  <c r="BJ38" i="6"/>
  <c r="BK38" i="6"/>
  <c r="BL38" i="6"/>
  <c r="BM38" i="6"/>
  <c r="BN38" i="6"/>
  <c r="BO38" i="6"/>
  <c r="D39" i="6"/>
  <c r="E39" i="6"/>
  <c r="F39" i="6"/>
  <c r="G39" i="6"/>
  <c r="H39" i="6"/>
  <c r="I39" i="6"/>
  <c r="J39" i="6"/>
  <c r="K39" i="6"/>
  <c r="L39" i="6"/>
  <c r="M39" i="6"/>
  <c r="N39" i="6"/>
  <c r="O39" i="6"/>
  <c r="P39" i="6"/>
  <c r="Q39" i="6"/>
  <c r="R39" i="6"/>
  <c r="S39" i="6"/>
  <c r="T39" i="6"/>
  <c r="U39" i="6"/>
  <c r="V39" i="6"/>
  <c r="W39" i="6"/>
  <c r="X39" i="6"/>
  <c r="Y39" i="6"/>
  <c r="Z39" i="6"/>
  <c r="AA39" i="6"/>
  <c r="AB39" i="6"/>
  <c r="AC39" i="6"/>
  <c r="AD39" i="6"/>
  <c r="AE39" i="6"/>
  <c r="AF39" i="6"/>
  <c r="AG39" i="6"/>
  <c r="AH39" i="6"/>
  <c r="AI39" i="6"/>
  <c r="AJ39" i="6"/>
  <c r="AK39" i="6"/>
  <c r="AM39" i="6"/>
  <c r="AN39" i="6"/>
  <c r="AO39" i="6"/>
  <c r="AP39" i="6"/>
  <c r="AQ39" i="6"/>
  <c r="AR39" i="6"/>
  <c r="AS39" i="6"/>
  <c r="AT39" i="6"/>
  <c r="AU39" i="6"/>
  <c r="AV39" i="6"/>
  <c r="AW39" i="6"/>
  <c r="AX39" i="6"/>
  <c r="AY39" i="6"/>
  <c r="AZ39" i="6"/>
  <c r="BA39" i="6"/>
  <c r="BB39" i="6"/>
  <c r="BC39" i="6"/>
  <c r="BD39" i="6"/>
  <c r="BE39" i="6"/>
  <c r="BF39" i="6"/>
  <c r="BG39" i="6"/>
  <c r="BH39" i="6"/>
  <c r="BI39" i="6"/>
  <c r="BJ39" i="6"/>
  <c r="BK39" i="6"/>
  <c r="BL39" i="6"/>
  <c r="BM39" i="6"/>
  <c r="BN39" i="6"/>
  <c r="BO39" i="6"/>
  <c r="D40" i="6"/>
  <c r="E40" i="6"/>
  <c r="F40" i="6"/>
  <c r="G40" i="6"/>
  <c r="H40" i="6"/>
  <c r="I40" i="6"/>
  <c r="J40" i="6"/>
  <c r="K40" i="6"/>
  <c r="M40" i="6"/>
  <c r="N40" i="6"/>
  <c r="O40" i="6"/>
  <c r="Q40" i="6"/>
  <c r="S40" i="6"/>
  <c r="T40" i="6"/>
  <c r="Y40" i="6"/>
  <c r="AA40" i="6"/>
  <c r="AB40" i="6"/>
  <c r="AC40" i="6"/>
  <c r="AD40" i="6"/>
  <c r="AE40" i="6"/>
  <c r="AG40" i="6"/>
  <c r="AI40" i="6"/>
  <c r="AJ40" i="6"/>
  <c r="AK40" i="6"/>
  <c r="AL40" i="6"/>
  <c r="AM40" i="6"/>
  <c r="AN40" i="6"/>
  <c r="AO40" i="6"/>
  <c r="AP40" i="6"/>
  <c r="AQ40" i="6"/>
  <c r="AR40" i="6"/>
  <c r="AT40" i="6"/>
  <c r="AU40" i="6"/>
  <c r="AV40" i="6"/>
  <c r="AW40" i="6"/>
  <c r="AX40" i="6"/>
  <c r="AY40" i="6"/>
  <c r="AZ40" i="6"/>
  <c r="BA40" i="6"/>
  <c r="BB40" i="6"/>
  <c r="BC40" i="6"/>
  <c r="BD40" i="6"/>
  <c r="BE40" i="6"/>
  <c r="BF40" i="6"/>
  <c r="BG40" i="6"/>
  <c r="BH40" i="6"/>
  <c r="BI40" i="6"/>
  <c r="BJ40" i="6"/>
  <c r="BK40" i="6"/>
  <c r="BL40" i="6"/>
  <c r="BM40" i="6"/>
  <c r="BN40" i="6"/>
  <c r="BO40" i="6"/>
  <c r="D41" i="6"/>
  <c r="E41" i="6"/>
  <c r="F41" i="6"/>
  <c r="G41" i="6"/>
  <c r="H41" i="6"/>
  <c r="I41" i="6"/>
  <c r="J41" i="6"/>
  <c r="K41" i="6"/>
  <c r="L41" i="6"/>
  <c r="M41" i="6"/>
  <c r="N41" i="6"/>
  <c r="O41" i="6"/>
  <c r="P41" i="6"/>
  <c r="Q41" i="6"/>
  <c r="R41" i="6"/>
  <c r="S41" i="6"/>
  <c r="T41" i="6"/>
  <c r="U41" i="6"/>
  <c r="V41" i="6"/>
  <c r="W41" i="6"/>
  <c r="X41" i="6"/>
  <c r="Y41" i="6"/>
  <c r="Z41" i="6"/>
  <c r="AA41" i="6"/>
  <c r="AB41" i="6"/>
  <c r="AC41" i="6"/>
  <c r="AD41" i="6"/>
  <c r="AE41" i="6"/>
  <c r="AF41" i="6"/>
  <c r="AG41" i="6"/>
  <c r="AH41" i="6"/>
  <c r="AI41" i="6"/>
  <c r="AJ41" i="6"/>
  <c r="AK41" i="6"/>
  <c r="AL41" i="6"/>
  <c r="AM41" i="6"/>
  <c r="AN41" i="6"/>
  <c r="AO41" i="6"/>
  <c r="AP41" i="6"/>
  <c r="AQ41" i="6"/>
  <c r="AR41" i="6"/>
  <c r="AS41" i="6"/>
  <c r="AT41" i="6"/>
  <c r="AU41" i="6"/>
  <c r="AV41" i="6"/>
  <c r="AW41" i="6"/>
  <c r="AX41" i="6"/>
  <c r="AY41" i="6"/>
  <c r="AZ41" i="6"/>
  <c r="BA41" i="6"/>
  <c r="BB41" i="6"/>
  <c r="BC41" i="6"/>
  <c r="BD41" i="6"/>
  <c r="BE41" i="6"/>
  <c r="BF41" i="6"/>
  <c r="BG41" i="6"/>
  <c r="BH41" i="6"/>
  <c r="BI41" i="6"/>
  <c r="BJ41" i="6"/>
  <c r="BK41" i="6"/>
  <c r="BL41" i="6"/>
  <c r="BM41" i="6"/>
  <c r="BN41" i="6"/>
  <c r="BO41" i="6"/>
  <c r="D42" i="6"/>
  <c r="E42" i="6"/>
  <c r="F42" i="6"/>
  <c r="G42" i="6"/>
  <c r="H42" i="6"/>
  <c r="I42" i="6"/>
  <c r="J42" i="6"/>
  <c r="K42" i="6"/>
  <c r="L42" i="6"/>
  <c r="M42" i="6"/>
  <c r="N42" i="6"/>
  <c r="O42" i="6"/>
  <c r="P42" i="6"/>
  <c r="Q42" i="6"/>
  <c r="R42" i="6"/>
  <c r="S42" i="6"/>
  <c r="T42" i="6"/>
  <c r="U42" i="6"/>
  <c r="V42" i="6"/>
  <c r="W42" i="6"/>
  <c r="X42" i="6"/>
  <c r="Y42" i="6"/>
  <c r="Z42" i="6"/>
  <c r="AA42" i="6"/>
  <c r="AB42" i="6"/>
  <c r="AC42" i="6"/>
  <c r="AD42" i="6"/>
  <c r="AE42" i="6"/>
  <c r="AF42" i="6"/>
  <c r="AG42" i="6"/>
  <c r="AH42" i="6"/>
  <c r="AI42" i="6"/>
  <c r="AJ42" i="6"/>
  <c r="AK42" i="6"/>
  <c r="AL42" i="6"/>
  <c r="AM42" i="6"/>
  <c r="AN42" i="6"/>
  <c r="AO42" i="6"/>
  <c r="AP42" i="6"/>
  <c r="AQ42" i="6"/>
  <c r="AR42" i="6"/>
  <c r="AS42" i="6"/>
  <c r="AT42" i="6"/>
  <c r="AU42" i="6"/>
  <c r="AV42" i="6"/>
  <c r="AW42" i="6"/>
  <c r="AX42" i="6"/>
  <c r="AY42" i="6"/>
  <c r="AZ42" i="6"/>
  <c r="BA42" i="6"/>
  <c r="BB42" i="6"/>
  <c r="BC42" i="6"/>
  <c r="BD42" i="6"/>
  <c r="BE42" i="6"/>
  <c r="BF42" i="6"/>
  <c r="BG42" i="6"/>
  <c r="BH42" i="6"/>
  <c r="BI42" i="6"/>
  <c r="BJ42" i="6"/>
  <c r="BK42" i="6"/>
  <c r="BL42" i="6"/>
  <c r="BM42" i="6"/>
  <c r="BN42" i="6"/>
  <c r="BO42" i="6"/>
  <c r="D43" i="6"/>
  <c r="E43" i="6"/>
  <c r="F43" i="6"/>
  <c r="G43" i="6"/>
  <c r="H43" i="6"/>
  <c r="I43" i="6"/>
  <c r="J43" i="6"/>
  <c r="K43" i="6"/>
  <c r="L43" i="6"/>
  <c r="N43" i="6"/>
  <c r="O43" i="6"/>
  <c r="P43" i="6"/>
  <c r="Q43" i="6"/>
  <c r="R43" i="6"/>
  <c r="S43" i="6"/>
  <c r="T43" i="6"/>
  <c r="U43" i="6"/>
  <c r="V43" i="6"/>
  <c r="Y43" i="6"/>
  <c r="Z43" i="6"/>
  <c r="AA43" i="6"/>
  <c r="AB43" i="6"/>
  <c r="AC43" i="6"/>
  <c r="AD43" i="6"/>
  <c r="AE43" i="6"/>
  <c r="AF43" i="6"/>
  <c r="AG43" i="6"/>
  <c r="AI43" i="6"/>
  <c r="AJ43" i="6"/>
  <c r="AK43" i="6"/>
  <c r="AL43" i="6"/>
  <c r="AM43" i="6"/>
  <c r="AN43" i="6"/>
  <c r="AO43" i="6"/>
  <c r="AP43" i="6"/>
  <c r="AQ43" i="6"/>
  <c r="AR43" i="6"/>
  <c r="AS43" i="6"/>
  <c r="AT43" i="6"/>
  <c r="AU43" i="6"/>
  <c r="AV43" i="6"/>
  <c r="AW43" i="6"/>
  <c r="AX43" i="6"/>
  <c r="AY43" i="6"/>
  <c r="AZ43" i="6"/>
  <c r="BA43" i="6"/>
  <c r="BB43" i="6"/>
  <c r="BC43" i="6"/>
  <c r="BD43" i="6"/>
  <c r="BE43" i="6"/>
  <c r="BF43" i="6"/>
  <c r="BG43" i="6"/>
  <c r="BH43" i="6"/>
  <c r="BI43" i="6"/>
  <c r="BJ43" i="6"/>
  <c r="BK43" i="6"/>
  <c r="BL43" i="6"/>
  <c r="BM43" i="6"/>
  <c r="BN43" i="6"/>
  <c r="BO43" i="6"/>
  <c r="D44" i="6"/>
  <c r="E44" i="6"/>
  <c r="F44" i="6"/>
  <c r="G44" i="6"/>
  <c r="H44" i="6"/>
  <c r="I44" i="6"/>
  <c r="J44" i="6"/>
  <c r="K44" i="6"/>
  <c r="L44" i="6"/>
  <c r="M44" i="6"/>
  <c r="N44" i="6"/>
  <c r="O44" i="6"/>
  <c r="P44" i="6"/>
  <c r="Q44" i="6"/>
  <c r="R44" i="6"/>
  <c r="S44" i="6"/>
  <c r="T44" i="6"/>
  <c r="U44" i="6"/>
  <c r="V44" i="6"/>
  <c r="W44" i="6"/>
  <c r="X44" i="6"/>
  <c r="Y44" i="6"/>
  <c r="Z44" i="6"/>
  <c r="AA44" i="6"/>
  <c r="AB44" i="6"/>
  <c r="AC44" i="6"/>
  <c r="AD44" i="6"/>
  <c r="AE44" i="6"/>
  <c r="AF44" i="6"/>
  <c r="AG44" i="6"/>
  <c r="AH44" i="6"/>
  <c r="AI44" i="6"/>
  <c r="AJ44" i="6"/>
  <c r="AK44" i="6"/>
  <c r="AL44" i="6"/>
  <c r="AM44" i="6"/>
  <c r="AN44" i="6"/>
  <c r="AO44" i="6"/>
  <c r="AP44" i="6"/>
  <c r="AQ44" i="6"/>
  <c r="AR44" i="6"/>
  <c r="AS44" i="6"/>
  <c r="AT44" i="6"/>
  <c r="AU44" i="6"/>
  <c r="AV44" i="6"/>
  <c r="AW44" i="6"/>
  <c r="AX44" i="6"/>
  <c r="AY44" i="6"/>
  <c r="AZ44" i="6"/>
  <c r="BA44" i="6"/>
  <c r="BB44" i="6"/>
  <c r="BC44" i="6"/>
  <c r="BD44" i="6"/>
  <c r="BE44" i="6"/>
  <c r="BF44" i="6"/>
  <c r="BG44" i="6"/>
  <c r="BH44" i="6"/>
  <c r="BI44" i="6"/>
  <c r="BJ44" i="6"/>
  <c r="BK44" i="6"/>
  <c r="BL44" i="6"/>
  <c r="BM44" i="6"/>
  <c r="BN44" i="6"/>
  <c r="BO44" i="6"/>
  <c r="D45" i="6"/>
  <c r="E45" i="6"/>
  <c r="F45" i="6"/>
  <c r="G45" i="6"/>
  <c r="H45" i="6"/>
  <c r="I45" i="6"/>
  <c r="J45" i="6"/>
  <c r="K45" i="6"/>
  <c r="L45" i="6"/>
  <c r="M45" i="6"/>
  <c r="N45" i="6"/>
  <c r="O45" i="6"/>
  <c r="P45" i="6"/>
  <c r="Q45" i="6"/>
  <c r="R45" i="6"/>
  <c r="S45" i="6"/>
  <c r="T45" i="6"/>
  <c r="U45" i="6"/>
  <c r="V45" i="6"/>
  <c r="W45" i="6"/>
  <c r="Y45" i="6"/>
  <c r="Z45" i="6"/>
  <c r="AB45" i="6"/>
  <c r="AC45" i="6"/>
  <c r="AD45" i="6"/>
  <c r="AE45" i="6"/>
  <c r="AF45" i="6"/>
  <c r="AG45" i="6"/>
  <c r="AH45" i="6"/>
  <c r="AI45" i="6"/>
  <c r="AJ45" i="6"/>
  <c r="AK45" i="6"/>
  <c r="AL45" i="6"/>
  <c r="AM45" i="6"/>
  <c r="AN45" i="6"/>
  <c r="AO45" i="6"/>
  <c r="AP45" i="6"/>
  <c r="AQ45" i="6"/>
  <c r="AR45" i="6"/>
  <c r="AS45" i="6"/>
  <c r="AT45" i="6"/>
  <c r="AU45" i="6"/>
  <c r="AV45" i="6"/>
  <c r="AW45" i="6"/>
  <c r="AX45" i="6"/>
  <c r="AY45" i="6"/>
  <c r="AZ45" i="6"/>
  <c r="BA45" i="6"/>
  <c r="BB45" i="6"/>
  <c r="BC45" i="6"/>
  <c r="BD45" i="6"/>
  <c r="BE45" i="6"/>
  <c r="BF45" i="6"/>
  <c r="BG45" i="6"/>
  <c r="BH45" i="6"/>
  <c r="BI45" i="6"/>
  <c r="BJ45" i="6"/>
  <c r="BK45" i="6"/>
  <c r="BL45" i="6"/>
  <c r="BM45" i="6"/>
  <c r="BN45" i="6"/>
  <c r="BO45" i="6"/>
  <c r="D46" i="6"/>
  <c r="E46" i="6"/>
  <c r="F46" i="6"/>
  <c r="G46" i="6"/>
  <c r="H46" i="6"/>
  <c r="I46" i="6"/>
  <c r="J46" i="6"/>
  <c r="K46" i="6"/>
  <c r="L46" i="6"/>
  <c r="M46" i="6"/>
  <c r="N46" i="6"/>
  <c r="O46" i="6"/>
  <c r="P46" i="6"/>
  <c r="Q46" i="6"/>
  <c r="R46" i="6"/>
  <c r="S46" i="6"/>
  <c r="T46" i="6"/>
  <c r="U46" i="6"/>
  <c r="V46" i="6"/>
  <c r="W46" i="6"/>
  <c r="X46" i="6"/>
  <c r="Y46" i="6"/>
  <c r="Z46" i="6"/>
  <c r="AA46" i="6"/>
  <c r="AB46" i="6"/>
  <c r="AC46" i="6"/>
  <c r="AD46" i="6"/>
  <c r="AE46" i="6"/>
  <c r="AF46" i="6"/>
  <c r="AG46" i="6"/>
  <c r="AH46" i="6"/>
  <c r="AI46" i="6"/>
  <c r="AJ46" i="6"/>
  <c r="AK46" i="6"/>
  <c r="AL46" i="6"/>
  <c r="AM46" i="6"/>
  <c r="AN46" i="6"/>
  <c r="AO46" i="6"/>
  <c r="AP46" i="6"/>
  <c r="AQ46" i="6"/>
  <c r="AR46" i="6"/>
  <c r="AS46" i="6"/>
  <c r="AT46" i="6"/>
  <c r="AU46" i="6"/>
  <c r="AV46" i="6"/>
  <c r="AW46" i="6"/>
  <c r="AX46" i="6"/>
  <c r="AY46" i="6"/>
  <c r="AZ46" i="6"/>
  <c r="BA46" i="6"/>
  <c r="BB46" i="6"/>
  <c r="BC46" i="6"/>
  <c r="BD46" i="6"/>
  <c r="BE46" i="6"/>
  <c r="BF46" i="6"/>
  <c r="BG46" i="6"/>
  <c r="BH46" i="6"/>
  <c r="BI46" i="6"/>
  <c r="BJ46" i="6"/>
  <c r="BK46" i="6"/>
  <c r="BL46" i="6"/>
  <c r="BM46" i="6"/>
  <c r="BN46" i="6"/>
  <c r="BO46" i="6"/>
  <c r="D47" i="6"/>
  <c r="E47" i="6"/>
  <c r="F47" i="6"/>
  <c r="G47" i="6"/>
  <c r="H47" i="6"/>
  <c r="I47" i="6"/>
  <c r="J47" i="6"/>
  <c r="K47" i="6"/>
  <c r="L47" i="6"/>
  <c r="M47" i="6"/>
  <c r="N47" i="6"/>
  <c r="O47" i="6"/>
  <c r="P47" i="6"/>
  <c r="Q47" i="6"/>
  <c r="R47" i="6"/>
  <c r="S47" i="6"/>
  <c r="T47" i="6"/>
  <c r="U47" i="6"/>
  <c r="V47" i="6"/>
  <c r="W47" i="6"/>
  <c r="X47" i="6"/>
  <c r="Y47" i="6"/>
  <c r="Z47" i="6"/>
  <c r="AA47" i="6"/>
  <c r="AB47" i="6"/>
  <c r="AC47" i="6"/>
  <c r="AD47" i="6"/>
  <c r="AE47" i="6"/>
  <c r="AF47" i="6"/>
  <c r="AG47" i="6"/>
  <c r="AH47" i="6"/>
  <c r="AI47" i="6"/>
  <c r="AJ47" i="6"/>
  <c r="AK47" i="6"/>
  <c r="AL47" i="6"/>
  <c r="AM47" i="6"/>
  <c r="AN47" i="6"/>
  <c r="AO47" i="6"/>
  <c r="AP47" i="6"/>
  <c r="AQ47" i="6"/>
  <c r="AR47" i="6"/>
  <c r="AS47" i="6"/>
  <c r="AT47" i="6"/>
  <c r="AU47" i="6"/>
  <c r="AV47" i="6"/>
  <c r="AW47" i="6"/>
  <c r="AX47" i="6"/>
  <c r="AY47" i="6"/>
  <c r="AZ47" i="6"/>
  <c r="BA47" i="6"/>
  <c r="BB47" i="6"/>
  <c r="BC47" i="6"/>
  <c r="BD47" i="6"/>
  <c r="BE47" i="6"/>
  <c r="BF47" i="6"/>
  <c r="BG47" i="6"/>
  <c r="BH47" i="6"/>
  <c r="BI47" i="6"/>
  <c r="BJ47" i="6"/>
  <c r="BK47" i="6"/>
  <c r="BL47" i="6"/>
  <c r="BM47" i="6"/>
  <c r="BN47" i="6"/>
  <c r="BO47" i="6"/>
  <c r="D48" i="6"/>
  <c r="E48" i="6"/>
  <c r="F48" i="6"/>
  <c r="G48" i="6"/>
  <c r="H48" i="6"/>
  <c r="I48" i="6"/>
  <c r="J48" i="6"/>
  <c r="K48" i="6"/>
  <c r="L48" i="6"/>
  <c r="M48" i="6"/>
  <c r="N48" i="6"/>
  <c r="O48" i="6"/>
  <c r="P48" i="6"/>
  <c r="Q48" i="6"/>
  <c r="R48" i="6"/>
  <c r="S48" i="6"/>
  <c r="T48" i="6"/>
  <c r="U48" i="6"/>
  <c r="V48" i="6"/>
  <c r="W48" i="6"/>
  <c r="X48" i="6"/>
  <c r="Y48" i="6"/>
  <c r="Z48" i="6"/>
  <c r="AA48" i="6"/>
  <c r="AB48" i="6"/>
  <c r="AC48" i="6"/>
  <c r="AD48" i="6"/>
  <c r="AE48" i="6"/>
  <c r="AF48" i="6"/>
  <c r="AG48" i="6"/>
  <c r="AH48" i="6"/>
  <c r="AI48" i="6"/>
  <c r="AJ48" i="6"/>
  <c r="AK48" i="6"/>
  <c r="AL48" i="6"/>
  <c r="AM48" i="6"/>
  <c r="AN48" i="6"/>
  <c r="AO48" i="6"/>
  <c r="AP48" i="6"/>
  <c r="AQ48" i="6"/>
  <c r="AR48" i="6"/>
  <c r="AS48" i="6"/>
  <c r="AT48" i="6"/>
  <c r="AU48" i="6"/>
  <c r="AV48" i="6"/>
  <c r="AW48" i="6"/>
  <c r="AX48" i="6"/>
  <c r="AY48" i="6"/>
  <c r="AZ48" i="6"/>
  <c r="BA48" i="6"/>
  <c r="BB48" i="6"/>
  <c r="BC48" i="6"/>
  <c r="BD48" i="6"/>
  <c r="BE48" i="6"/>
  <c r="BF48" i="6"/>
  <c r="BG48" i="6"/>
  <c r="BH48" i="6"/>
  <c r="BI48" i="6"/>
  <c r="BJ48" i="6"/>
  <c r="BK48" i="6"/>
  <c r="BL48" i="6"/>
  <c r="BM48" i="6"/>
  <c r="BN48" i="6"/>
  <c r="BO48" i="6"/>
  <c r="D49" i="6"/>
  <c r="E49" i="6"/>
  <c r="F49" i="6"/>
  <c r="G49" i="6"/>
  <c r="H49" i="6"/>
  <c r="I49" i="6"/>
  <c r="J49" i="6"/>
  <c r="K49" i="6"/>
  <c r="L49" i="6"/>
  <c r="M49" i="6"/>
  <c r="N49" i="6"/>
  <c r="O49" i="6"/>
  <c r="P49" i="6"/>
  <c r="Q49" i="6"/>
  <c r="R49" i="6"/>
  <c r="S49" i="6"/>
  <c r="T49" i="6"/>
  <c r="U49" i="6"/>
  <c r="V49" i="6"/>
  <c r="W49" i="6"/>
  <c r="X49" i="6"/>
  <c r="Y49" i="6"/>
  <c r="Z49" i="6"/>
  <c r="AA49" i="6"/>
  <c r="AB49" i="6"/>
  <c r="AC49" i="6"/>
  <c r="AD49" i="6"/>
  <c r="AE49" i="6"/>
  <c r="AF49" i="6"/>
  <c r="AG49" i="6"/>
  <c r="AH49" i="6"/>
  <c r="AI49" i="6"/>
  <c r="AJ49" i="6"/>
  <c r="AK49" i="6"/>
  <c r="AL49" i="6"/>
  <c r="AM49" i="6"/>
  <c r="AN49" i="6"/>
  <c r="AO49" i="6"/>
  <c r="AP49" i="6"/>
  <c r="AQ49" i="6"/>
  <c r="AR49" i="6"/>
  <c r="AS49" i="6"/>
  <c r="AT49" i="6"/>
  <c r="AU49" i="6"/>
  <c r="AV49" i="6"/>
  <c r="AW49" i="6"/>
  <c r="AX49" i="6"/>
  <c r="AY49" i="6"/>
  <c r="AZ49" i="6"/>
  <c r="BA49" i="6"/>
  <c r="BB49" i="6"/>
  <c r="BC49" i="6"/>
  <c r="BD49" i="6"/>
  <c r="BE49" i="6"/>
  <c r="BF49" i="6"/>
  <c r="BG49" i="6"/>
  <c r="BH49" i="6"/>
  <c r="BI49" i="6"/>
  <c r="BJ49" i="6"/>
  <c r="BK49" i="6"/>
  <c r="BL49" i="6"/>
  <c r="BM49" i="6"/>
  <c r="BN49" i="6"/>
  <c r="BO49" i="6"/>
  <c r="D50" i="6"/>
  <c r="E50" i="6"/>
  <c r="F50" i="6"/>
  <c r="G50" i="6"/>
  <c r="H50" i="6"/>
  <c r="I50" i="6"/>
  <c r="J50" i="6"/>
  <c r="K50" i="6"/>
  <c r="L50" i="6"/>
  <c r="M50" i="6"/>
  <c r="N50" i="6"/>
  <c r="O50" i="6"/>
  <c r="P50" i="6"/>
  <c r="Q50" i="6"/>
  <c r="R50" i="6"/>
  <c r="S50" i="6"/>
  <c r="T50" i="6"/>
  <c r="U50" i="6"/>
  <c r="V50" i="6"/>
  <c r="W50" i="6"/>
  <c r="X50" i="6"/>
  <c r="Y50" i="6"/>
  <c r="Z50" i="6"/>
  <c r="AA50" i="6"/>
  <c r="AB50" i="6"/>
  <c r="AC50" i="6"/>
  <c r="AD50" i="6"/>
  <c r="AE50" i="6"/>
  <c r="AF50" i="6"/>
  <c r="AG50" i="6"/>
  <c r="AH50" i="6"/>
  <c r="AI50" i="6"/>
  <c r="AJ50" i="6"/>
  <c r="AK50" i="6"/>
  <c r="AL50" i="6"/>
  <c r="AM50" i="6"/>
  <c r="AN50" i="6"/>
  <c r="AO50" i="6"/>
  <c r="AP50" i="6"/>
  <c r="AQ50" i="6"/>
  <c r="AR50" i="6"/>
  <c r="AS50" i="6"/>
  <c r="AT50" i="6"/>
  <c r="AU50" i="6"/>
  <c r="AV50" i="6"/>
  <c r="AW50" i="6"/>
  <c r="AX50" i="6"/>
  <c r="AY50" i="6"/>
  <c r="AZ50" i="6"/>
  <c r="BA50" i="6"/>
  <c r="BB50" i="6"/>
  <c r="BC50" i="6"/>
  <c r="BD50" i="6"/>
  <c r="BE50" i="6"/>
  <c r="BF50" i="6"/>
  <c r="BG50" i="6"/>
  <c r="BH50" i="6"/>
  <c r="BI50" i="6"/>
  <c r="BJ50" i="6"/>
  <c r="BK50" i="6"/>
  <c r="BL50" i="6"/>
  <c r="BM50" i="6"/>
  <c r="BN50" i="6"/>
  <c r="BO50" i="6"/>
  <c r="D51" i="6"/>
  <c r="E51" i="6"/>
  <c r="F51" i="6"/>
  <c r="G51" i="6"/>
  <c r="H51" i="6"/>
  <c r="I51" i="6"/>
  <c r="J51" i="6"/>
  <c r="K51" i="6"/>
  <c r="L51" i="6"/>
  <c r="M51" i="6"/>
  <c r="N51" i="6"/>
  <c r="O51" i="6"/>
  <c r="P51" i="6"/>
  <c r="Q51" i="6"/>
  <c r="R51" i="6"/>
  <c r="S51" i="6"/>
  <c r="T51" i="6"/>
  <c r="U51" i="6"/>
  <c r="V51" i="6"/>
  <c r="W51" i="6"/>
  <c r="X51" i="6"/>
  <c r="Y51" i="6"/>
  <c r="Z51" i="6"/>
  <c r="AA51" i="6"/>
  <c r="AB51" i="6"/>
  <c r="AC51" i="6"/>
  <c r="AD51" i="6"/>
  <c r="AE51" i="6"/>
  <c r="AF51" i="6"/>
  <c r="AG51" i="6"/>
  <c r="AH51" i="6"/>
  <c r="AI51" i="6"/>
  <c r="AJ51" i="6"/>
  <c r="AK51" i="6"/>
  <c r="AL51" i="6"/>
  <c r="AM51" i="6"/>
  <c r="AN51" i="6"/>
  <c r="AO51" i="6"/>
  <c r="AP51" i="6"/>
  <c r="AQ51" i="6"/>
  <c r="AR51" i="6"/>
  <c r="AS51" i="6"/>
  <c r="AT51" i="6"/>
  <c r="AU51" i="6"/>
  <c r="AV51" i="6"/>
  <c r="AW51" i="6"/>
  <c r="AX51" i="6"/>
  <c r="AY51" i="6"/>
  <c r="AZ51" i="6"/>
  <c r="BA51" i="6"/>
  <c r="BB51" i="6"/>
  <c r="BC51" i="6"/>
  <c r="BD51" i="6"/>
  <c r="BE51" i="6"/>
  <c r="BF51" i="6"/>
  <c r="BG51" i="6"/>
  <c r="BH51" i="6"/>
  <c r="BI51" i="6"/>
  <c r="BJ51" i="6"/>
  <c r="BK51" i="6"/>
  <c r="BL51" i="6"/>
  <c r="BM51" i="6"/>
  <c r="BN51" i="6"/>
  <c r="BO51" i="6"/>
  <c r="D52" i="6"/>
  <c r="E52" i="6"/>
  <c r="F52" i="6"/>
  <c r="G52" i="6"/>
  <c r="H52" i="6"/>
  <c r="I52" i="6"/>
  <c r="J52" i="6"/>
  <c r="K52" i="6"/>
  <c r="L52" i="6"/>
  <c r="M52" i="6"/>
  <c r="N52" i="6"/>
  <c r="O52" i="6"/>
  <c r="P52" i="6"/>
  <c r="Q52" i="6"/>
  <c r="R52" i="6"/>
  <c r="S52" i="6"/>
  <c r="T52" i="6"/>
  <c r="U52" i="6"/>
  <c r="V52" i="6"/>
  <c r="W52" i="6"/>
  <c r="X52" i="6"/>
  <c r="Y52" i="6"/>
  <c r="Z52" i="6"/>
  <c r="AA52" i="6"/>
  <c r="AB52" i="6"/>
  <c r="AC52" i="6"/>
  <c r="AD52" i="6"/>
  <c r="AE52" i="6"/>
  <c r="AF52" i="6"/>
  <c r="AG52" i="6"/>
  <c r="AH52" i="6"/>
  <c r="AI52" i="6"/>
  <c r="AJ52" i="6"/>
  <c r="AK52" i="6"/>
  <c r="AL52" i="6"/>
  <c r="AM52" i="6"/>
  <c r="AN52" i="6"/>
  <c r="AO52" i="6"/>
  <c r="AP52" i="6"/>
  <c r="AQ52" i="6"/>
  <c r="AR52" i="6"/>
  <c r="AS52" i="6"/>
  <c r="AT52" i="6"/>
  <c r="AU52" i="6"/>
  <c r="AV52" i="6"/>
  <c r="AW52" i="6"/>
  <c r="AX52" i="6"/>
  <c r="AY52" i="6"/>
  <c r="AZ52" i="6"/>
  <c r="BA52" i="6"/>
  <c r="BB52" i="6"/>
  <c r="BC52" i="6"/>
  <c r="BD52" i="6"/>
  <c r="BE52" i="6"/>
  <c r="BF52" i="6"/>
  <c r="BG52" i="6"/>
  <c r="BH52" i="6"/>
  <c r="BI52" i="6"/>
  <c r="BJ52" i="6"/>
  <c r="BK52" i="6"/>
  <c r="BL52" i="6"/>
  <c r="BM52" i="6"/>
  <c r="BN52" i="6"/>
  <c r="BO52" i="6"/>
  <c r="D53" i="6"/>
  <c r="E53" i="6"/>
  <c r="F53" i="6"/>
  <c r="G53" i="6"/>
  <c r="H53" i="6"/>
  <c r="I53" i="6"/>
  <c r="J53" i="6"/>
  <c r="K53" i="6"/>
  <c r="L53" i="6"/>
  <c r="M53" i="6"/>
  <c r="N53" i="6"/>
  <c r="O53" i="6"/>
  <c r="P53" i="6"/>
  <c r="Q53" i="6"/>
  <c r="R53" i="6"/>
  <c r="S53" i="6"/>
  <c r="T53" i="6"/>
  <c r="U53" i="6"/>
  <c r="V53" i="6"/>
  <c r="W53" i="6"/>
  <c r="X53" i="6"/>
  <c r="Y53" i="6"/>
  <c r="Z53" i="6"/>
  <c r="AA53" i="6"/>
  <c r="AB53" i="6"/>
  <c r="AC53" i="6"/>
  <c r="AD53" i="6"/>
  <c r="AE53" i="6"/>
  <c r="AF53" i="6"/>
  <c r="AG53" i="6"/>
  <c r="AH53" i="6"/>
  <c r="AI53" i="6"/>
  <c r="AJ53" i="6"/>
  <c r="AK53" i="6"/>
  <c r="AL53" i="6"/>
  <c r="AM53" i="6"/>
  <c r="AN53" i="6"/>
  <c r="AO53" i="6"/>
  <c r="AP53" i="6"/>
  <c r="AQ53" i="6"/>
  <c r="AR53" i="6"/>
  <c r="AS53" i="6"/>
  <c r="AT53" i="6"/>
  <c r="AU53" i="6"/>
  <c r="AV53" i="6"/>
  <c r="AX53" i="6"/>
  <c r="AY53" i="6"/>
  <c r="AZ53" i="6"/>
  <c r="BB53" i="6"/>
  <c r="BC53" i="6"/>
  <c r="BE53" i="6"/>
  <c r="BF53" i="6"/>
  <c r="BG53" i="6"/>
  <c r="BH53" i="6"/>
  <c r="BI53" i="6"/>
  <c r="BJ53" i="6"/>
  <c r="BK53" i="6"/>
  <c r="BL53" i="6"/>
  <c r="BM53" i="6"/>
  <c r="BN53" i="6"/>
  <c r="BO53" i="6"/>
  <c r="D54" i="6"/>
  <c r="E54" i="6"/>
  <c r="F54" i="6"/>
  <c r="G54" i="6"/>
  <c r="H54" i="6"/>
  <c r="I54" i="6"/>
  <c r="J54" i="6"/>
  <c r="K54" i="6"/>
  <c r="L54" i="6"/>
  <c r="M54" i="6"/>
  <c r="N54" i="6"/>
  <c r="O54" i="6"/>
  <c r="P54" i="6"/>
  <c r="Q54" i="6"/>
  <c r="R54" i="6"/>
  <c r="S54" i="6"/>
  <c r="T54" i="6"/>
  <c r="U54" i="6"/>
  <c r="V54" i="6"/>
  <c r="W54" i="6"/>
  <c r="X54" i="6"/>
  <c r="Y54" i="6"/>
  <c r="Z54" i="6"/>
  <c r="AA54" i="6"/>
  <c r="AB54" i="6"/>
  <c r="AC54" i="6"/>
  <c r="AD54" i="6"/>
  <c r="AE54" i="6"/>
  <c r="AF54" i="6"/>
  <c r="AG54" i="6"/>
  <c r="AH54" i="6"/>
  <c r="AI54" i="6"/>
  <c r="AJ54" i="6"/>
  <c r="AK54" i="6"/>
  <c r="AL54" i="6"/>
  <c r="AM54" i="6"/>
  <c r="AN54" i="6"/>
  <c r="AO54" i="6"/>
  <c r="AP54" i="6"/>
  <c r="AQ54" i="6"/>
  <c r="AR54" i="6"/>
  <c r="AS54" i="6"/>
  <c r="AT54" i="6"/>
  <c r="AU54" i="6"/>
  <c r="AV54" i="6"/>
  <c r="AW54" i="6"/>
  <c r="AX54" i="6"/>
  <c r="AY54" i="6"/>
  <c r="AZ54" i="6"/>
  <c r="BA54" i="6"/>
  <c r="BB54" i="6"/>
  <c r="BC54" i="6"/>
  <c r="BD54" i="6"/>
  <c r="BE54" i="6"/>
  <c r="BF54" i="6"/>
  <c r="BG54" i="6"/>
  <c r="BH54" i="6"/>
  <c r="BI54" i="6"/>
  <c r="BJ54" i="6"/>
  <c r="BK54" i="6"/>
  <c r="BL54" i="6"/>
  <c r="BM54" i="6"/>
  <c r="BN54" i="6"/>
  <c r="BO54" i="6"/>
  <c r="D55" i="6"/>
  <c r="E55" i="6"/>
  <c r="F55" i="6"/>
  <c r="G55" i="6"/>
  <c r="H55" i="6"/>
  <c r="I55" i="6"/>
  <c r="J55" i="6"/>
  <c r="K55" i="6"/>
  <c r="L55" i="6"/>
  <c r="M55" i="6"/>
  <c r="N55" i="6"/>
  <c r="O55" i="6"/>
  <c r="P55" i="6"/>
  <c r="Q55" i="6"/>
  <c r="R55" i="6"/>
  <c r="S55" i="6"/>
  <c r="T55" i="6"/>
  <c r="U55" i="6"/>
  <c r="V55" i="6"/>
  <c r="W55" i="6"/>
  <c r="X55" i="6"/>
  <c r="Y55" i="6"/>
  <c r="Z55" i="6"/>
  <c r="AA55" i="6"/>
  <c r="AB55" i="6"/>
  <c r="AC55" i="6"/>
  <c r="AD55" i="6"/>
  <c r="AE55" i="6"/>
  <c r="AF55" i="6"/>
  <c r="AG55" i="6"/>
  <c r="AH55" i="6"/>
  <c r="AI55" i="6"/>
  <c r="AJ55" i="6"/>
  <c r="AK55" i="6"/>
  <c r="AL55" i="6"/>
  <c r="AM55" i="6"/>
  <c r="AN55" i="6"/>
  <c r="AO55" i="6"/>
  <c r="AP55" i="6"/>
  <c r="AQ55" i="6"/>
  <c r="AR55" i="6"/>
  <c r="AS55" i="6"/>
  <c r="AT55" i="6"/>
  <c r="AU55" i="6"/>
  <c r="AV55" i="6"/>
  <c r="AW55" i="6"/>
  <c r="AX55" i="6"/>
  <c r="AY55" i="6"/>
  <c r="AZ55" i="6"/>
  <c r="BA55" i="6"/>
  <c r="BB55" i="6"/>
  <c r="BC55" i="6"/>
  <c r="BD55" i="6"/>
  <c r="BE55" i="6"/>
  <c r="BF55" i="6"/>
  <c r="BG55" i="6"/>
  <c r="BH55" i="6"/>
  <c r="BI55" i="6"/>
  <c r="BJ55" i="6"/>
  <c r="BK55" i="6"/>
  <c r="BL55" i="6"/>
  <c r="BM55" i="6"/>
  <c r="BN55" i="6"/>
  <c r="BO55" i="6"/>
  <c r="D56" i="6"/>
  <c r="E56" i="6"/>
  <c r="F56" i="6"/>
  <c r="G56" i="6"/>
  <c r="H56" i="6"/>
  <c r="I56" i="6"/>
  <c r="J56" i="6"/>
  <c r="K56" i="6"/>
  <c r="L56" i="6"/>
  <c r="M56" i="6"/>
  <c r="N56" i="6"/>
  <c r="O56" i="6"/>
  <c r="P56" i="6"/>
  <c r="Q56" i="6"/>
  <c r="S56" i="6"/>
  <c r="T56" i="6"/>
  <c r="U56" i="6"/>
  <c r="V56" i="6"/>
  <c r="X56" i="6"/>
  <c r="Y56" i="6"/>
  <c r="Z56" i="6"/>
  <c r="AA56" i="6"/>
  <c r="AB56" i="6"/>
  <c r="AC56" i="6"/>
  <c r="AD56" i="6"/>
  <c r="AE56" i="6"/>
  <c r="AF56" i="6"/>
  <c r="AG56" i="6"/>
  <c r="AH56" i="6"/>
  <c r="AI56" i="6"/>
  <c r="AJ56" i="6"/>
  <c r="AK56" i="6"/>
  <c r="AL56" i="6"/>
  <c r="AM56" i="6"/>
  <c r="AN56" i="6"/>
  <c r="AO56" i="6"/>
  <c r="AP56" i="6"/>
  <c r="AQ56" i="6"/>
  <c r="AR56" i="6"/>
  <c r="AS56" i="6"/>
  <c r="AT56" i="6"/>
  <c r="AU56" i="6"/>
  <c r="AV56" i="6"/>
  <c r="AW56" i="6"/>
  <c r="AX56" i="6"/>
  <c r="AY56" i="6"/>
  <c r="AZ56" i="6"/>
  <c r="BA56" i="6"/>
  <c r="BB56" i="6"/>
  <c r="BC56" i="6"/>
  <c r="BD56" i="6"/>
  <c r="BE56" i="6"/>
  <c r="BF56" i="6"/>
  <c r="BG56" i="6"/>
  <c r="BH56" i="6"/>
  <c r="BI56" i="6"/>
  <c r="BJ56" i="6"/>
  <c r="BK56" i="6"/>
  <c r="BL56" i="6"/>
  <c r="BM56" i="6"/>
  <c r="BN56" i="6"/>
  <c r="BO56" i="6"/>
  <c r="D57" i="6"/>
  <c r="E57" i="6"/>
  <c r="F57" i="6"/>
  <c r="G57" i="6"/>
  <c r="H57" i="6"/>
  <c r="I57" i="6"/>
  <c r="J57" i="6"/>
  <c r="K57" i="6"/>
  <c r="L57" i="6"/>
  <c r="M57" i="6"/>
  <c r="N57" i="6"/>
  <c r="O57" i="6"/>
  <c r="P57" i="6"/>
  <c r="Q57" i="6"/>
  <c r="R57" i="6"/>
  <c r="S57" i="6"/>
  <c r="T57" i="6"/>
  <c r="U57" i="6"/>
  <c r="V57" i="6"/>
  <c r="W57" i="6"/>
  <c r="X57" i="6"/>
  <c r="Y57" i="6"/>
  <c r="Z57" i="6"/>
  <c r="AA57" i="6"/>
  <c r="AB57" i="6"/>
  <c r="AC57" i="6"/>
  <c r="AD57" i="6"/>
  <c r="AE57" i="6"/>
  <c r="AF57" i="6"/>
  <c r="AG57" i="6"/>
  <c r="AH57" i="6"/>
  <c r="AI57" i="6"/>
  <c r="AJ57" i="6"/>
  <c r="AK57" i="6"/>
  <c r="AL57" i="6"/>
  <c r="AM57" i="6"/>
  <c r="AN57" i="6"/>
  <c r="AO57" i="6"/>
  <c r="AP57" i="6"/>
  <c r="AQ57" i="6"/>
  <c r="AR57" i="6"/>
  <c r="AS57" i="6"/>
  <c r="AT57" i="6"/>
  <c r="AU57" i="6"/>
  <c r="AV57" i="6"/>
  <c r="AW57" i="6"/>
  <c r="AX57" i="6"/>
  <c r="AY57" i="6"/>
  <c r="AZ57" i="6"/>
  <c r="BA57" i="6"/>
  <c r="BB57" i="6"/>
  <c r="BC57" i="6"/>
  <c r="BD57" i="6"/>
  <c r="BE57" i="6"/>
  <c r="BF57" i="6"/>
  <c r="BG57" i="6"/>
  <c r="BH57" i="6"/>
  <c r="BI57" i="6"/>
  <c r="BJ57" i="6"/>
  <c r="BK57" i="6"/>
  <c r="BL57" i="6"/>
  <c r="BM57" i="6"/>
  <c r="BN57" i="6"/>
  <c r="BO57" i="6"/>
  <c r="E58" i="6"/>
  <c r="F58" i="6"/>
  <c r="H58" i="6"/>
  <c r="J58" i="6"/>
  <c r="K58" i="6"/>
  <c r="O58" i="6"/>
  <c r="Q58" i="6"/>
  <c r="R58" i="6"/>
  <c r="W58" i="6"/>
  <c r="X58" i="6"/>
  <c r="Y58" i="6"/>
  <c r="Z58" i="6"/>
  <c r="AA58" i="6"/>
  <c r="AB58" i="6"/>
  <c r="AC58" i="6"/>
  <c r="AD58" i="6"/>
  <c r="AE58" i="6"/>
  <c r="AF58" i="6"/>
  <c r="AG58" i="6"/>
  <c r="AL58" i="6"/>
  <c r="AM58" i="6"/>
  <c r="AN58" i="6"/>
  <c r="AO58" i="6"/>
  <c r="AP58" i="6"/>
  <c r="AQ58" i="6"/>
  <c r="AR58" i="6"/>
  <c r="AS58" i="6"/>
  <c r="AT58" i="6"/>
  <c r="AU58" i="6"/>
  <c r="AV58" i="6"/>
  <c r="AW58" i="6"/>
  <c r="AX58" i="6"/>
  <c r="AY58" i="6"/>
  <c r="AZ58" i="6"/>
  <c r="BA58" i="6"/>
  <c r="BB58" i="6"/>
  <c r="BC58" i="6"/>
  <c r="BD58" i="6"/>
  <c r="BE58" i="6"/>
  <c r="BF58" i="6"/>
  <c r="BG58" i="6"/>
  <c r="BH58" i="6"/>
  <c r="BI58" i="6"/>
  <c r="BJ58" i="6"/>
  <c r="BK58" i="6"/>
  <c r="BL58" i="6"/>
  <c r="BM58" i="6"/>
  <c r="BN58" i="6"/>
  <c r="BO58" i="6"/>
  <c r="D59" i="6"/>
  <c r="E59" i="6"/>
  <c r="F59" i="6"/>
  <c r="G59" i="6"/>
  <c r="H59" i="6"/>
  <c r="I59" i="6"/>
  <c r="J59" i="6"/>
  <c r="K59" i="6"/>
  <c r="L59" i="6"/>
  <c r="M59" i="6"/>
  <c r="N59" i="6"/>
  <c r="O59" i="6"/>
  <c r="P59" i="6"/>
  <c r="Q59" i="6"/>
  <c r="R59" i="6"/>
  <c r="S59" i="6"/>
  <c r="T59" i="6"/>
  <c r="U59" i="6"/>
  <c r="V59" i="6"/>
  <c r="W59" i="6"/>
  <c r="X59" i="6"/>
  <c r="Y59" i="6"/>
  <c r="Z59" i="6"/>
  <c r="AA59" i="6"/>
  <c r="AB59" i="6"/>
  <c r="AC59" i="6"/>
  <c r="AD59" i="6"/>
  <c r="AE59" i="6"/>
  <c r="AF59" i="6"/>
  <c r="AG59" i="6"/>
  <c r="AH59" i="6"/>
  <c r="AI59" i="6"/>
  <c r="AJ59" i="6"/>
  <c r="AK59" i="6"/>
  <c r="AL59" i="6"/>
  <c r="AM59" i="6"/>
  <c r="AN59" i="6"/>
  <c r="AO59" i="6"/>
  <c r="AP59" i="6"/>
  <c r="AQ59" i="6"/>
  <c r="AR59" i="6"/>
  <c r="AS59" i="6"/>
  <c r="AT59" i="6"/>
  <c r="AU59" i="6"/>
  <c r="AV59" i="6"/>
  <c r="AW59" i="6"/>
  <c r="AX59" i="6"/>
  <c r="AY59" i="6"/>
  <c r="AZ59" i="6"/>
  <c r="BA59" i="6"/>
  <c r="BB59" i="6"/>
  <c r="BC59" i="6"/>
  <c r="BD59" i="6"/>
  <c r="BE59" i="6"/>
  <c r="BF59" i="6"/>
  <c r="BG59" i="6"/>
  <c r="BH59" i="6"/>
  <c r="BI59" i="6"/>
  <c r="BJ59" i="6"/>
  <c r="BK59" i="6"/>
  <c r="BL59" i="6"/>
  <c r="BM59" i="6"/>
  <c r="BN59" i="6"/>
  <c r="BO59" i="6"/>
  <c r="D60" i="6"/>
  <c r="E60" i="6"/>
  <c r="F60" i="6"/>
  <c r="G60" i="6"/>
  <c r="H60" i="6"/>
  <c r="I60" i="6"/>
  <c r="J60" i="6"/>
  <c r="K60" i="6"/>
  <c r="L60" i="6"/>
  <c r="M60" i="6"/>
  <c r="N60" i="6"/>
  <c r="O60" i="6"/>
  <c r="P60" i="6"/>
  <c r="Q60" i="6"/>
  <c r="R60" i="6"/>
  <c r="S60" i="6"/>
  <c r="T60" i="6"/>
  <c r="U60" i="6"/>
  <c r="V60" i="6"/>
  <c r="W60" i="6"/>
  <c r="X60" i="6"/>
  <c r="Y60" i="6"/>
  <c r="Z60" i="6"/>
  <c r="AA60" i="6"/>
  <c r="AB60" i="6"/>
  <c r="AC60" i="6"/>
  <c r="AD60" i="6"/>
  <c r="AE60" i="6"/>
  <c r="AF60" i="6"/>
  <c r="AG60" i="6"/>
  <c r="AH60" i="6"/>
  <c r="AI60" i="6"/>
  <c r="AJ60" i="6"/>
  <c r="AK60" i="6"/>
  <c r="AL60" i="6"/>
  <c r="AM60" i="6"/>
  <c r="AN60" i="6"/>
  <c r="AO60" i="6"/>
  <c r="AP60" i="6"/>
  <c r="AQ60" i="6"/>
  <c r="AR60" i="6"/>
  <c r="AS60" i="6"/>
  <c r="AT60" i="6"/>
  <c r="AU60" i="6"/>
  <c r="AV60" i="6"/>
  <c r="AW60" i="6"/>
  <c r="AX60" i="6"/>
  <c r="AY60" i="6"/>
  <c r="AZ60" i="6"/>
  <c r="BA60" i="6"/>
  <c r="BB60" i="6"/>
  <c r="BC60" i="6"/>
  <c r="BD60" i="6"/>
  <c r="BE60" i="6"/>
  <c r="BF60" i="6"/>
  <c r="BG60" i="6"/>
  <c r="BH60" i="6"/>
  <c r="BI60" i="6"/>
  <c r="BJ60" i="6"/>
  <c r="BK60" i="6"/>
  <c r="BL60" i="6"/>
  <c r="BM60" i="6"/>
  <c r="BN60" i="6"/>
  <c r="BO60" i="6"/>
  <c r="D61" i="6"/>
  <c r="E61" i="6"/>
  <c r="F61" i="6"/>
  <c r="G61" i="6"/>
  <c r="H61" i="6"/>
  <c r="I61" i="6"/>
  <c r="J61" i="6"/>
  <c r="K61" i="6"/>
  <c r="L61" i="6"/>
  <c r="M61" i="6"/>
  <c r="N61" i="6"/>
  <c r="O61" i="6"/>
  <c r="P61" i="6"/>
  <c r="Q61" i="6"/>
  <c r="R61" i="6"/>
  <c r="S61" i="6"/>
  <c r="T61" i="6"/>
  <c r="U61" i="6"/>
  <c r="V61" i="6"/>
  <c r="W61" i="6"/>
  <c r="X61" i="6"/>
  <c r="Y61" i="6"/>
  <c r="Z61" i="6"/>
  <c r="AA61" i="6"/>
  <c r="AB61" i="6"/>
  <c r="AC61" i="6"/>
  <c r="AD61" i="6"/>
  <c r="AE61" i="6"/>
  <c r="AF61" i="6"/>
  <c r="AG61" i="6"/>
  <c r="AH61" i="6"/>
  <c r="AI61" i="6"/>
  <c r="AJ61" i="6"/>
  <c r="AK61" i="6"/>
  <c r="AL61" i="6"/>
  <c r="AM61" i="6"/>
  <c r="AN61" i="6"/>
  <c r="AO61" i="6"/>
  <c r="AP61" i="6"/>
  <c r="AQ61" i="6"/>
  <c r="AR61" i="6"/>
  <c r="AS61" i="6"/>
  <c r="AT61" i="6"/>
  <c r="AU61" i="6"/>
  <c r="AV61" i="6"/>
  <c r="AW61" i="6"/>
  <c r="AX61" i="6"/>
  <c r="AY61" i="6"/>
  <c r="AZ61" i="6"/>
  <c r="BA61" i="6"/>
  <c r="BB61" i="6"/>
  <c r="BC61" i="6"/>
  <c r="BD61" i="6"/>
  <c r="BE61" i="6"/>
  <c r="BF61" i="6"/>
  <c r="BG61" i="6"/>
  <c r="BH61" i="6"/>
  <c r="BI61" i="6"/>
  <c r="BJ61" i="6"/>
  <c r="BK61" i="6"/>
  <c r="BL61" i="6"/>
  <c r="BM61" i="6"/>
  <c r="BN61" i="6"/>
  <c r="BO61" i="6"/>
  <c r="D62" i="6"/>
  <c r="E62" i="6"/>
  <c r="F62" i="6"/>
  <c r="G62" i="6"/>
  <c r="H62" i="6"/>
  <c r="I62" i="6"/>
  <c r="J62" i="6"/>
  <c r="K62" i="6"/>
  <c r="L62" i="6"/>
  <c r="M62" i="6"/>
  <c r="N62" i="6"/>
  <c r="O62" i="6"/>
  <c r="P62" i="6"/>
  <c r="Q62" i="6"/>
  <c r="R62" i="6"/>
  <c r="S62" i="6"/>
  <c r="T62" i="6"/>
  <c r="U62" i="6"/>
  <c r="V62" i="6"/>
  <c r="W62" i="6"/>
  <c r="X62" i="6"/>
  <c r="Y62" i="6"/>
  <c r="Z62" i="6"/>
  <c r="AA62" i="6"/>
  <c r="AB62" i="6"/>
  <c r="AC62" i="6"/>
  <c r="AD62" i="6"/>
  <c r="AE62" i="6"/>
  <c r="AF62" i="6"/>
  <c r="AG62" i="6"/>
  <c r="AH62" i="6"/>
  <c r="AI62" i="6"/>
  <c r="AJ62" i="6"/>
  <c r="AK62" i="6"/>
  <c r="AL62" i="6"/>
  <c r="AM62" i="6"/>
  <c r="AN62" i="6"/>
  <c r="AO62" i="6"/>
  <c r="AP62" i="6"/>
  <c r="AQ62" i="6"/>
  <c r="AR62" i="6"/>
  <c r="AS62" i="6"/>
  <c r="AT62" i="6"/>
  <c r="AU62" i="6"/>
  <c r="AV62" i="6"/>
  <c r="AW62" i="6"/>
  <c r="AX62" i="6"/>
  <c r="AY62" i="6"/>
  <c r="AZ62" i="6"/>
  <c r="BA62" i="6"/>
  <c r="BB62" i="6"/>
  <c r="BC62" i="6"/>
  <c r="BD62" i="6"/>
  <c r="BE62" i="6"/>
  <c r="BF62" i="6"/>
  <c r="BG62" i="6"/>
  <c r="BH62" i="6"/>
  <c r="BI62" i="6"/>
  <c r="BJ62" i="6"/>
  <c r="BK62" i="6"/>
  <c r="BL62" i="6"/>
  <c r="BM62" i="6"/>
  <c r="BN62" i="6"/>
  <c r="BO62" i="6"/>
  <c r="D63" i="6"/>
  <c r="E63" i="6"/>
  <c r="F63" i="6"/>
  <c r="G63" i="6"/>
  <c r="H63" i="6"/>
  <c r="I63" i="6"/>
  <c r="J63" i="6"/>
  <c r="K63" i="6"/>
  <c r="L63" i="6"/>
  <c r="M63" i="6"/>
  <c r="N63" i="6"/>
  <c r="O63" i="6"/>
  <c r="P63" i="6"/>
  <c r="Q63" i="6"/>
  <c r="R63" i="6"/>
  <c r="S63" i="6"/>
  <c r="T63" i="6"/>
  <c r="U63" i="6"/>
  <c r="V63" i="6"/>
  <c r="W63" i="6"/>
  <c r="X63" i="6"/>
  <c r="Y63" i="6"/>
  <c r="Z63" i="6"/>
  <c r="AA63" i="6"/>
  <c r="AB63" i="6"/>
  <c r="AC63" i="6"/>
  <c r="AD63" i="6"/>
  <c r="AE63" i="6"/>
  <c r="AF63" i="6"/>
  <c r="AG63" i="6"/>
  <c r="AH63" i="6"/>
  <c r="AI63" i="6"/>
  <c r="AJ63" i="6"/>
  <c r="AK63" i="6"/>
  <c r="AL63" i="6"/>
  <c r="AM63" i="6"/>
  <c r="AN63" i="6"/>
  <c r="AO63" i="6"/>
  <c r="AP63" i="6"/>
  <c r="AQ63" i="6"/>
  <c r="AR63" i="6"/>
  <c r="AS63" i="6"/>
  <c r="AT63" i="6"/>
  <c r="AU63" i="6"/>
  <c r="AV63" i="6"/>
  <c r="AW63" i="6"/>
  <c r="AX63" i="6"/>
  <c r="AY63" i="6"/>
  <c r="AZ63" i="6"/>
  <c r="BA63" i="6"/>
  <c r="BB63" i="6"/>
  <c r="BC63" i="6"/>
  <c r="BD63" i="6"/>
  <c r="BE63" i="6"/>
  <c r="BF63" i="6"/>
  <c r="BG63" i="6"/>
  <c r="BH63" i="6"/>
  <c r="BI63" i="6"/>
  <c r="BJ63" i="6"/>
  <c r="BK63" i="6"/>
  <c r="BL63" i="6"/>
  <c r="BM63" i="6"/>
  <c r="BN63" i="6"/>
  <c r="BO63" i="6"/>
  <c r="D64" i="6"/>
  <c r="E64" i="6"/>
  <c r="F64" i="6"/>
  <c r="G64" i="6"/>
  <c r="H64" i="6"/>
  <c r="I64" i="6"/>
  <c r="J64" i="6"/>
  <c r="K64" i="6"/>
  <c r="L64" i="6"/>
  <c r="M64" i="6"/>
  <c r="N64" i="6"/>
  <c r="O64" i="6"/>
  <c r="P64" i="6"/>
  <c r="Q64" i="6"/>
  <c r="R64" i="6"/>
  <c r="S64" i="6"/>
  <c r="T64" i="6"/>
  <c r="U64" i="6"/>
  <c r="V64" i="6"/>
  <c r="W64" i="6"/>
  <c r="X64" i="6"/>
  <c r="Y64" i="6"/>
  <c r="Z64" i="6"/>
  <c r="AA64" i="6"/>
  <c r="AB64" i="6"/>
  <c r="AC64" i="6"/>
  <c r="AD64" i="6"/>
  <c r="AE64" i="6"/>
  <c r="AF64" i="6"/>
  <c r="AG64" i="6"/>
  <c r="AH64" i="6"/>
  <c r="AI64" i="6"/>
  <c r="AK64" i="6"/>
  <c r="AL64" i="6"/>
  <c r="AM64" i="6"/>
  <c r="AN64" i="6"/>
  <c r="AO64" i="6"/>
  <c r="AP64" i="6"/>
  <c r="AQ64" i="6"/>
  <c r="AR64" i="6"/>
  <c r="AS64" i="6"/>
  <c r="AT64" i="6"/>
  <c r="AU64" i="6"/>
  <c r="AV64" i="6"/>
  <c r="AW64" i="6"/>
  <c r="AX64" i="6"/>
  <c r="AY64" i="6"/>
  <c r="AZ64" i="6"/>
  <c r="BA64" i="6"/>
  <c r="BB64" i="6"/>
  <c r="BC64" i="6"/>
  <c r="BD64" i="6"/>
  <c r="BE64" i="6"/>
  <c r="BF64" i="6"/>
  <c r="BG64" i="6"/>
  <c r="BH64" i="6"/>
  <c r="BI64" i="6"/>
  <c r="BJ64" i="6"/>
  <c r="BK64" i="6"/>
  <c r="BL64" i="6"/>
  <c r="BM64" i="6"/>
  <c r="BN64" i="6"/>
  <c r="BO64" i="6"/>
  <c r="D65" i="6"/>
  <c r="E65" i="6"/>
  <c r="F65" i="6"/>
  <c r="G65" i="6"/>
  <c r="H65" i="6"/>
  <c r="I65" i="6"/>
  <c r="J65" i="6"/>
  <c r="K65" i="6"/>
  <c r="L65" i="6"/>
  <c r="M65" i="6"/>
  <c r="N65" i="6"/>
  <c r="O65" i="6"/>
  <c r="P65" i="6"/>
  <c r="Q65" i="6"/>
  <c r="R65" i="6"/>
  <c r="S65" i="6"/>
  <c r="T65" i="6"/>
  <c r="U65" i="6"/>
  <c r="V65" i="6"/>
  <c r="W65" i="6"/>
  <c r="X65" i="6"/>
  <c r="Y65" i="6"/>
  <c r="Z65" i="6"/>
  <c r="AA65" i="6"/>
  <c r="AB65" i="6"/>
  <c r="AC65" i="6"/>
  <c r="AD65" i="6"/>
  <c r="AE65" i="6"/>
  <c r="AF65" i="6"/>
  <c r="AG65" i="6"/>
  <c r="AH65" i="6"/>
  <c r="AI65" i="6"/>
  <c r="AJ65" i="6"/>
  <c r="AK65" i="6"/>
  <c r="AL65" i="6"/>
  <c r="AM65" i="6"/>
  <c r="AN65" i="6"/>
  <c r="AO65" i="6"/>
  <c r="AP65" i="6"/>
  <c r="AQ65" i="6"/>
  <c r="AR65" i="6"/>
  <c r="AS65" i="6"/>
  <c r="AT65" i="6"/>
  <c r="AU65" i="6"/>
  <c r="AV65" i="6"/>
  <c r="AW65" i="6"/>
  <c r="AX65" i="6"/>
  <c r="AY65" i="6"/>
  <c r="AZ65" i="6"/>
  <c r="BA65" i="6"/>
  <c r="BB65" i="6"/>
  <c r="BC65" i="6"/>
  <c r="BD65" i="6"/>
  <c r="BE65" i="6"/>
  <c r="BF65" i="6"/>
  <c r="BG65" i="6"/>
  <c r="BH65" i="6"/>
  <c r="BI65" i="6"/>
  <c r="BJ65" i="6"/>
  <c r="BK65" i="6"/>
  <c r="BL65" i="6"/>
  <c r="BM65" i="6"/>
  <c r="BN65" i="6"/>
  <c r="BO65" i="6"/>
  <c r="D66" i="6"/>
  <c r="E66" i="6"/>
  <c r="F66" i="6"/>
  <c r="G66" i="6"/>
  <c r="H66" i="6"/>
  <c r="I66" i="6"/>
  <c r="J66" i="6"/>
  <c r="K66" i="6"/>
  <c r="L66" i="6"/>
  <c r="M66" i="6"/>
  <c r="N66" i="6"/>
  <c r="O66" i="6"/>
  <c r="P66" i="6"/>
  <c r="Q66" i="6"/>
  <c r="R66" i="6"/>
  <c r="S66" i="6"/>
  <c r="U66" i="6"/>
  <c r="V66" i="6"/>
  <c r="X66" i="6"/>
  <c r="Y66" i="6"/>
  <c r="Z66" i="6"/>
  <c r="AA66" i="6"/>
  <c r="AB66" i="6"/>
  <c r="AC66" i="6"/>
  <c r="AE66" i="6"/>
  <c r="AF66" i="6"/>
  <c r="AG66" i="6"/>
  <c r="AH66" i="6"/>
  <c r="AI66" i="6"/>
  <c r="AJ66" i="6"/>
  <c r="AK66" i="6"/>
  <c r="AL66" i="6"/>
  <c r="AM66" i="6"/>
  <c r="AN66" i="6"/>
  <c r="AO66" i="6"/>
  <c r="AP66" i="6"/>
  <c r="AQ66" i="6"/>
  <c r="AR66" i="6"/>
  <c r="AS66" i="6"/>
  <c r="AT66" i="6"/>
  <c r="AU66" i="6"/>
  <c r="AV66" i="6"/>
  <c r="AW66" i="6"/>
  <c r="AX66" i="6"/>
  <c r="AY66" i="6"/>
  <c r="AZ66" i="6"/>
  <c r="BA66" i="6"/>
  <c r="BB66" i="6"/>
  <c r="BC66" i="6"/>
  <c r="BD66" i="6"/>
  <c r="BE66" i="6"/>
  <c r="BF66" i="6"/>
  <c r="BG66" i="6"/>
  <c r="BH66" i="6"/>
  <c r="BI66" i="6"/>
  <c r="BJ66" i="6"/>
  <c r="BK66" i="6"/>
  <c r="BL66" i="6"/>
  <c r="BM66" i="6"/>
  <c r="BN66" i="6"/>
  <c r="BO66" i="6"/>
  <c r="D67" i="6"/>
  <c r="E67" i="6"/>
  <c r="F67" i="6"/>
  <c r="G67" i="6"/>
  <c r="H67" i="6"/>
  <c r="I67" i="6"/>
  <c r="J67" i="6"/>
  <c r="K67" i="6"/>
  <c r="L67" i="6"/>
  <c r="M67" i="6"/>
  <c r="N67" i="6"/>
  <c r="O67" i="6"/>
  <c r="P67" i="6"/>
  <c r="Q67" i="6"/>
  <c r="R67" i="6"/>
  <c r="S67" i="6"/>
  <c r="T67" i="6"/>
  <c r="U67" i="6"/>
  <c r="V67" i="6"/>
  <c r="W67" i="6"/>
  <c r="X67" i="6"/>
  <c r="Y67" i="6"/>
  <c r="Z67" i="6"/>
  <c r="AA67" i="6"/>
  <c r="AB67" i="6"/>
  <c r="AC67" i="6"/>
  <c r="AD67" i="6"/>
  <c r="AE67" i="6"/>
  <c r="AF67" i="6"/>
  <c r="AG67" i="6"/>
  <c r="AH67" i="6"/>
  <c r="AI67" i="6"/>
  <c r="AJ67" i="6"/>
  <c r="AK67" i="6"/>
  <c r="AL67" i="6"/>
  <c r="AM67" i="6"/>
  <c r="AN67" i="6"/>
  <c r="AO67" i="6"/>
  <c r="AP67" i="6"/>
  <c r="AQ67" i="6"/>
  <c r="AR67" i="6"/>
  <c r="AS67" i="6"/>
  <c r="AT67" i="6"/>
  <c r="AU67" i="6"/>
  <c r="AV67" i="6"/>
  <c r="AW67" i="6"/>
  <c r="AX67" i="6"/>
  <c r="AY67" i="6"/>
  <c r="AZ67" i="6"/>
  <c r="BA67" i="6"/>
  <c r="BB67" i="6"/>
  <c r="BC67" i="6"/>
  <c r="BD67" i="6"/>
  <c r="BE67" i="6"/>
  <c r="BF67" i="6"/>
  <c r="BG67" i="6"/>
  <c r="BH67" i="6"/>
  <c r="BI67" i="6"/>
  <c r="BJ67" i="6"/>
  <c r="BK67" i="6"/>
  <c r="BL67" i="6"/>
  <c r="BM67" i="6"/>
  <c r="BN67" i="6"/>
  <c r="BO67" i="6"/>
  <c r="AP2" i="10" l="1"/>
  <c r="AP4" i="10" s="1"/>
  <c r="J2" i="10"/>
  <c r="J4" i="10" s="1"/>
  <c r="H2" i="10"/>
  <c r="H4" i="10" s="1"/>
  <c r="F82" i="6"/>
  <c r="O82" i="6"/>
  <c r="B82" i="6"/>
  <c r="H82" i="6"/>
  <c r="Q82" i="6"/>
  <c r="Y82" i="6"/>
  <c r="J82" i="6"/>
  <c r="C82" i="6"/>
  <c r="K82" i="6"/>
  <c r="E82" i="6"/>
  <c r="AX2" i="10"/>
  <c r="AX4" i="10" s="1"/>
  <c r="F34" i="19"/>
  <c r="G36" i="18"/>
  <c r="G66" i="19"/>
  <c r="H68" i="18"/>
  <c r="O97" i="6"/>
  <c r="H97" i="6"/>
  <c r="Q97" i="6"/>
  <c r="Y97" i="6"/>
  <c r="B97" i="6"/>
  <c r="J97" i="6"/>
  <c r="C97" i="6"/>
  <c r="K97" i="6"/>
  <c r="E97" i="6"/>
  <c r="F97" i="6"/>
  <c r="O89" i="6"/>
  <c r="H89" i="6"/>
  <c r="Q89" i="6"/>
  <c r="Y89" i="6"/>
  <c r="B89" i="6"/>
  <c r="J89" i="6"/>
  <c r="C89" i="6"/>
  <c r="K89" i="6"/>
  <c r="E89" i="6"/>
  <c r="F89" i="6"/>
  <c r="F74" i="6"/>
  <c r="B74" i="6"/>
  <c r="O74" i="6"/>
  <c r="H74" i="6"/>
  <c r="Q74" i="6"/>
  <c r="Y74" i="6"/>
  <c r="J74" i="6"/>
  <c r="C74" i="6"/>
  <c r="K74" i="6"/>
  <c r="E74" i="6"/>
  <c r="E74" i="19"/>
  <c r="E75" i="17"/>
  <c r="F58" i="19"/>
  <c r="G60" i="18"/>
  <c r="F7" i="19"/>
  <c r="G9" i="18"/>
  <c r="F53" i="19"/>
  <c r="G55" i="18"/>
  <c r="F42" i="17"/>
  <c r="H44" i="16"/>
  <c r="H47" i="22"/>
  <c r="G45" i="23"/>
  <c r="H80" i="6"/>
  <c r="Q80" i="6"/>
  <c r="Y80" i="6"/>
  <c r="J80" i="6"/>
  <c r="B80" i="6"/>
  <c r="C80" i="6"/>
  <c r="K80" i="6"/>
  <c r="E80" i="6"/>
  <c r="F80" i="6"/>
  <c r="O80" i="6"/>
  <c r="Q87" i="6"/>
  <c r="Y87" i="6"/>
  <c r="J87" i="6"/>
  <c r="C87" i="6"/>
  <c r="K87" i="6"/>
  <c r="E87" i="6"/>
  <c r="B87" i="6"/>
  <c r="F87" i="6"/>
  <c r="O87" i="6"/>
  <c r="H87" i="6"/>
  <c r="J78" i="6"/>
  <c r="C78" i="6"/>
  <c r="K78" i="6"/>
  <c r="E78" i="6"/>
  <c r="F78" i="6"/>
  <c r="B78" i="6"/>
  <c r="O78" i="6"/>
  <c r="H78" i="6"/>
  <c r="Q78" i="6"/>
  <c r="Y78" i="6"/>
  <c r="H34" i="18"/>
  <c r="G32" i="19"/>
  <c r="C77" i="6"/>
  <c r="K77" i="6"/>
  <c r="E77" i="6"/>
  <c r="F77" i="6"/>
  <c r="O77" i="6"/>
  <c r="H77" i="6"/>
  <c r="B77" i="6"/>
  <c r="Q77" i="6"/>
  <c r="Y77" i="6"/>
  <c r="J77" i="6"/>
  <c r="H29" i="22"/>
  <c r="G27" i="23"/>
  <c r="F2" i="19"/>
  <c r="G4" i="18"/>
  <c r="G19" i="18"/>
  <c r="F17" i="19"/>
  <c r="B75" i="17"/>
  <c r="G11" i="18"/>
  <c r="F9" i="19"/>
  <c r="H37" i="16"/>
  <c r="G35" i="17"/>
  <c r="E83" i="6"/>
  <c r="B83" i="6"/>
  <c r="F83" i="6"/>
  <c r="O83" i="6"/>
  <c r="H83" i="6"/>
  <c r="Q83" i="6"/>
  <c r="Y83" i="6"/>
  <c r="J83" i="6"/>
  <c r="C83" i="6"/>
  <c r="K83" i="6"/>
  <c r="E75" i="6"/>
  <c r="F75" i="6"/>
  <c r="O75" i="6"/>
  <c r="H75" i="6"/>
  <c r="Q75" i="6"/>
  <c r="Y75" i="6"/>
  <c r="B75" i="6"/>
  <c r="J75" i="6"/>
  <c r="C75" i="6"/>
  <c r="K75" i="6"/>
  <c r="E68" i="17"/>
  <c r="E70" i="17" s="1"/>
  <c r="F75" i="23"/>
  <c r="G28" i="23"/>
  <c r="H30" i="22"/>
  <c r="G39" i="18"/>
  <c r="F37" i="19"/>
  <c r="F63" i="19"/>
  <c r="G65" i="18"/>
  <c r="I53" i="20"/>
  <c r="H51" i="21"/>
  <c r="H44" i="23"/>
  <c r="I46" i="22"/>
  <c r="G22" i="17"/>
  <c r="H24" i="16"/>
  <c r="H41" i="20"/>
  <c r="G39" i="21"/>
  <c r="I20" i="18"/>
  <c r="H18" i="19"/>
  <c r="F65" i="19"/>
  <c r="G67" i="18"/>
  <c r="H40" i="20"/>
  <c r="G38" i="21"/>
  <c r="G61" i="23"/>
  <c r="H63" i="22"/>
  <c r="G10" i="23"/>
  <c r="H12" i="22"/>
  <c r="H60" i="16"/>
  <c r="G58" i="17"/>
  <c r="H47" i="18"/>
  <c r="G45" i="19"/>
  <c r="H23" i="20"/>
  <c r="G21" i="21"/>
  <c r="H20" i="20"/>
  <c r="G18" i="21"/>
  <c r="F13" i="19"/>
  <c r="G15" i="18"/>
  <c r="H21" i="23"/>
  <c r="I23" i="22"/>
  <c r="G50" i="23"/>
  <c r="H52" i="22"/>
  <c r="C75" i="17"/>
  <c r="G47" i="19"/>
  <c r="H49" i="18"/>
  <c r="I30" i="20"/>
  <c r="H28" i="21"/>
  <c r="H17" i="20"/>
  <c r="G15" i="21"/>
  <c r="H42" i="20"/>
  <c r="G40" i="21"/>
  <c r="G29" i="16"/>
  <c r="F27" i="17"/>
  <c r="G39" i="16"/>
  <c r="F37" i="17"/>
  <c r="K24" i="17"/>
  <c r="P26" i="16"/>
  <c r="P24" i="17" s="1"/>
  <c r="H63" i="20"/>
  <c r="G61" i="21"/>
  <c r="H53" i="22"/>
  <c r="G51" i="23"/>
  <c r="H5" i="23"/>
  <c r="J7" i="22"/>
  <c r="I7" i="22"/>
  <c r="I5" i="23" s="1"/>
  <c r="G13" i="23"/>
  <c r="H15" i="22"/>
  <c r="G63" i="23"/>
  <c r="H65" i="22"/>
  <c r="G4" i="23"/>
  <c r="H6" i="22"/>
  <c r="I13" i="17"/>
  <c r="J15" i="16"/>
  <c r="I31" i="16"/>
  <c r="H29" i="17"/>
  <c r="H64" i="20"/>
  <c r="G62" i="21"/>
  <c r="J42" i="21"/>
  <c r="K44" i="20"/>
  <c r="J53" i="16"/>
  <c r="I51" i="17"/>
  <c r="G66" i="23"/>
  <c r="H68" i="22"/>
  <c r="J31" i="20"/>
  <c r="I29" i="21"/>
  <c r="Q57" i="17"/>
  <c r="S59" i="16"/>
  <c r="S57" i="17" s="1"/>
  <c r="W59" i="16"/>
  <c r="W57" i="17" s="1"/>
  <c r="H16" i="20"/>
  <c r="G14" i="21"/>
  <c r="H12" i="16"/>
  <c r="G10" i="17"/>
  <c r="H26" i="22"/>
  <c r="G24" i="23"/>
  <c r="H19" i="23"/>
  <c r="J21" i="22"/>
  <c r="I21" i="22"/>
  <c r="I19" i="23" s="1"/>
  <c r="G41" i="18"/>
  <c r="F39" i="19"/>
  <c r="I57" i="22"/>
  <c r="H55" i="23"/>
  <c r="H52" i="20"/>
  <c r="G50" i="21"/>
  <c r="H43" i="20"/>
  <c r="G41" i="21"/>
  <c r="I54" i="20"/>
  <c r="H52" i="21"/>
  <c r="K38" i="20"/>
  <c r="J36" i="21"/>
  <c r="G49" i="16"/>
  <c r="F47" i="17"/>
  <c r="H67" i="22"/>
  <c r="G65" i="23"/>
  <c r="J37" i="20"/>
  <c r="I35" i="21"/>
  <c r="J5" i="20"/>
  <c r="I3" i="21"/>
  <c r="H35" i="20"/>
  <c r="G33" i="21"/>
  <c r="G2" i="23"/>
  <c r="H4" i="22"/>
  <c r="I51" i="22"/>
  <c r="H49" i="23"/>
  <c r="J10" i="19"/>
  <c r="K12" i="18"/>
  <c r="I22" i="20"/>
  <c r="H20" i="21"/>
  <c r="H54" i="23"/>
  <c r="I56" i="22"/>
  <c r="J14" i="20"/>
  <c r="I12" i="21"/>
  <c r="F60" i="17"/>
  <c r="G62" i="16"/>
  <c r="H27" i="20"/>
  <c r="G25" i="21"/>
  <c r="F64" i="19"/>
  <c r="G66" i="18"/>
  <c r="G32" i="23"/>
  <c r="H34" i="22"/>
  <c r="G50" i="16"/>
  <c r="F48" i="17"/>
  <c r="C76" i="21"/>
  <c r="D76" i="21"/>
  <c r="F68" i="21"/>
  <c r="F70" i="21" s="1"/>
  <c r="B76" i="21"/>
  <c r="E76" i="21"/>
  <c r="F76" i="21"/>
  <c r="F72" i="21"/>
  <c r="F73" i="21"/>
  <c r="F74" i="21"/>
  <c r="H68" i="16"/>
  <c r="G66" i="17"/>
  <c r="I46" i="20"/>
  <c r="H44" i="21"/>
  <c r="G17" i="17"/>
  <c r="H19" i="16"/>
  <c r="J5" i="21"/>
  <c r="K7" i="20"/>
  <c r="H50" i="20"/>
  <c r="G48" i="21"/>
  <c r="J57" i="23"/>
  <c r="K59" i="22"/>
  <c r="G26" i="23"/>
  <c r="H28" i="22"/>
  <c r="E72" i="17"/>
  <c r="F51" i="19"/>
  <c r="G53" i="18"/>
  <c r="H4" i="16"/>
  <c r="G2" i="17"/>
  <c r="H24" i="20"/>
  <c r="G22" i="21"/>
  <c r="I15" i="20"/>
  <c r="H13" i="21"/>
  <c r="I21" i="20"/>
  <c r="H19" i="21"/>
  <c r="J39" i="20"/>
  <c r="I37" i="21"/>
  <c r="H43" i="22"/>
  <c r="G41" i="23"/>
  <c r="H33" i="17"/>
  <c r="I35" i="16"/>
  <c r="I38" i="23"/>
  <c r="J40" i="22"/>
  <c r="H56" i="23"/>
  <c r="I58" i="22"/>
  <c r="G25" i="23"/>
  <c r="H27" i="22"/>
  <c r="R59" i="16"/>
  <c r="K57" i="17"/>
  <c r="G18" i="23"/>
  <c r="H20" i="22"/>
  <c r="H61" i="19"/>
  <c r="I63" i="18"/>
  <c r="F43" i="19"/>
  <c r="G45" i="18"/>
  <c r="H47" i="23"/>
  <c r="I49" i="22"/>
  <c r="G54" i="16"/>
  <c r="F52" i="17"/>
  <c r="G6" i="18"/>
  <c r="F4" i="19"/>
  <c r="G4" i="17"/>
  <c r="H6" i="16"/>
  <c r="H36" i="20"/>
  <c r="G34" i="21"/>
  <c r="I29" i="20"/>
  <c r="H27" i="21"/>
  <c r="H4" i="20"/>
  <c r="G2" i="21"/>
  <c r="H51" i="20"/>
  <c r="G49" i="21"/>
  <c r="G19" i="19"/>
  <c r="H21" i="18"/>
  <c r="H8" i="23"/>
  <c r="I10" i="22"/>
  <c r="I8" i="23" s="1"/>
  <c r="J10" i="22"/>
  <c r="F40" i="19"/>
  <c r="G42" i="18"/>
  <c r="G22" i="23"/>
  <c r="H24" i="22"/>
  <c r="G59" i="23"/>
  <c r="H61" i="22"/>
  <c r="G33" i="19"/>
  <c r="H35" i="18"/>
  <c r="G23" i="16"/>
  <c r="F21" i="17"/>
  <c r="F53" i="17"/>
  <c r="G55" i="16"/>
  <c r="F29" i="19"/>
  <c r="G31" i="18"/>
  <c r="F21" i="19"/>
  <c r="G23" i="18"/>
  <c r="F5" i="17"/>
  <c r="G7" i="16"/>
  <c r="G3" i="23"/>
  <c r="H5" i="22"/>
  <c r="E76" i="23"/>
  <c r="F76" i="23"/>
  <c r="C76" i="23"/>
  <c r="D76" i="23"/>
  <c r="F68" i="23"/>
  <c r="F70" i="23" s="1"/>
  <c r="B76" i="23"/>
  <c r="F72" i="23"/>
  <c r="F73" i="23"/>
  <c r="F74" i="23"/>
  <c r="I49" i="19"/>
  <c r="J51" i="18"/>
  <c r="G38" i="17"/>
  <c r="H40" i="16"/>
  <c r="E74" i="17"/>
  <c r="G54" i="18"/>
  <c r="F52" i="19"/>
  <c r="G14" i="19"/>
  <c r="H16" i="18"/>
  <c r="G30" i="23"/>
  <c r="H32" i="22"/>
  <c r="G20" i="23"/>
  <c r="H22" i="22"/>
  <c r="G30" i="16"/>
  <c r="F28" i="17"/>
  <c r="G33" i="18"/>
  <c r="F31" i="19"/>
  <c r="I11" i="22"/>
  <c r="H9" i="23"/>
  <c r="I37" i="22"/>
  <c r="H35" i="23"/>
  <c r="K10" i="20"/>
  <c r="H12" i="20"/>
  <c r="G10" i="21"/>
  <c r="H53" i="23"/>
  <c r="I55" i="22"/>
  <c r="F59" i="19"/>
  <c r="G61" i="18"/>
  <c r="G15" i="17"/>
  <c r="H17" i="16"/>
  <c r="F75" i="21"/>
  <c r="H47" i="20"/>
  <c r="G45" i="21"/>
  <c r="I33" i="20"/>
  <c r="H31" i="21"/>
  <c r="H35" i="22"/>
  <c r="G33" i="23"/>
  <c r="I61" i="20"/>
  <c r="H59" i="21"/>
  <c r="E73" i="17"/>
  <c r="F32" i="17"/>
  <c r="G34" i="16"/>
  <c r="G41" i="17"/>
  <c r="H43" i="16"/>
  <c r="G22" i="18"/>
  <c r="F20" i="19"/>
  <c r="F11" i="17"/>
  <c r="G13" i="16"/>
  <c r="G14" i="18"/>
  <c r="F12" i="19"/>
  <c r="G25" i="17"/>
  <c r="H27" i="16"/>
  <c r="F5" i="19"/>
  <c r="G7" i="18"/>
  <c r="V26" i="16"/>
  <c r="I24" i="17"/>
  <c r="H67" i="20"/>
  <c r="G65" i="21"/>
  <c r="H68" i="20"/>
  <c r="G66" i="21"/>
  <c r="F8" i="17"/>
  <c r="G10" i="16"/>
  <c r="G15" i="23"/>
  <c r="H17" i="22"/>
  <c r="I57" i="18"/>
  <c r="H55" i="19"/>
  <c r="G7" i="23"/>
  <c r="H9" i="22"/>
  <c r="G6" i="17"/>
  <c r="H8" i="16"/>
  <c r="G39" i="23"/>
  <c r="H41" i="22"/>
  <c r="G15" i="19"/>
  <c r="H17" i="18"/>
  <c r="F22" i="19"/>
  <c r="G24" i="18"/>
  <c r="H18" i="18"/>
  <c r="G16" i="19"/>
  <c r="I45" i="20"/>
  <c r="H43" i="21"/>
  <c r="F27" i="19"/>
  <c r="G29" i="18"/>
  <c r="G55" i="17"/>
  <c r="H57" i="16"/>
  <c r="F48" i="19"/>
  <c r="G50" i="18"/>
  <c r="H37" i="23"/>
  <c r="I39" i="22"/>
  <c r="H18" i="20"/>
  <c r="G16" i="21"/>
  <c r="I25" i="20"/>
  <c r="H23" i="21"/>
  <c r="G65" i="17"/>
  <c r="H67" i="16"/>
  <c r="F3" i="19"/>
  <c r="G5" i="18"/>
  <c r="K6" i="20"/>
  <c r="J4" i="21"/>
  <c r="H49" i="20"/>
  <c r="G47" i="21"/>
  <c r="G43" i="23"/>
  <c r="I45" i="22"/>
  <c r="H45" i="22"/>
  <c r="H43" i="23" s="1"/>
  <c r="Q57" i="21"/>
  <c r="R59" i="20"/>
  <c r="R57" i="21" s="1"/>
  <c r="S59" i="20"/>
  <c r="H48" i="18"/>
  <c r="G46" i="19"/>
  <c r="H26" i="19"/>
  <c r="I28" i="18"/>
  <c r="H52" i="18"/>
  <c r="G50" i="19"/>
  <c r="F23" i="17"/>
  <c r="G25" i="16"/>
  <c r="G46" i="18"/>
  <c r="F44" i="19"/>
  <c r="G42" i="19"/>
  <c r="H44" i="18"/>
  <c r="I13" i="22"/>
  <c r="H11" i="23"/>
  <c r="H60" i="23"/>
  <c r="I62" i="22"/>
  <c r="G6" i="19"/>
  <c r="H8" i="18"/>
  <c r="H66" i="20"/>
  <c r="G64" i="21"/>
  <c r="G58" i="16"/>
  <c r="F56" i="17"/>
  <c r="H61" i="16"/>
  <c r="G59" i="17"/>
  <c r="H55" i="21"/>
  <c r="O57" i="20"/>
  <c r="O55" i="21" s="1"/>
  <c r="I57" i="20"/>
  <c r="I55" i="21" s="1"/>
  <c r="J57" i="20"/>
  <c r="H60" i="22"/>
  <c r="G58" i="23"/>
  <c r="P26" i="20"/>
  <c r="M24" i="21"/>
  <c r="N26" i="20"/>
  <c r="N24" i="21" s="1"/>
  <c r="H58" i="20"/>
  <c r="G56" i="21"/>
  <c r="H19" i="20"/>
  <c r="G17" i="21"/>
  <c r="G58" i="18"/>
  <c r="F56" i="19"/>
  <c r="D75" i="17"/>
  <c r="I13" i="20"/>
  <c r="H11" i="21"/>
  <c r="H56" i="20"/>
  <c r="G54" i="21"/>
  <c r="G12" i="23"/>
  <c r="I14" i="22"/>
  <c r="H14" i="22"/>
  <c r="H12" i="23" s="1"/>
  <c r="G9" i="17"/>
  <c r="H11" i="16"/>
  <c r="G64" i="17"/>
  <c r="H66" i="16"/>
  <c r="H9" i="20"/>
  <c r="G7" i="21"/>
  <c r="G11" i="19"/>
  <c r="H13" i="18"/>
  <c r="I34" i="20"/>
  <c r="H32" i="21"/>
  <c r="G23" i="23"/>
  <c r="H25" i="22"/>
  <c r="I3" i="17"/>
  <c r="J5" i="16"/>
  <c r="H22" i="16"/>
  <c r="G20" i="17"/>
  <c r="G34" i="17"/>
  <c r="H36" i="16"/>
  <c r="F7" i="17"/>
  <c r="G9" i="16"/>
  <c r="M59" i="16"/>
  <c r="M57" i="17" s="1"/>
  <c r="L57" i="17"/>
  <c r="P26" i="18"/>
  <c r="N26" i="18"/>
  <c r="N24" i="19" s="1"/>
  <c r="M24" i="19"/>
  <c r="J65" i="20"/>
  <c r="I63" i="21"/>
  <c r="G50" i="17"/>
  <c r="H52" i="16"/>
  <c r="F63" i="17"/>
  <c r="G65" i="16"/>
  <c r="H48" i="20"/>
  <c r="G46" i="21"/>
  <c r="H62" i="20"/>
  <c r="G60" i="21"/>
  <c r="H20" i="16"/>
  <c r="G18" i="17"/>
  <c r="G61" i="17"/>
  <c r="H63" i="16"/>
  <c r="I25" i="18"/>
  <c r="H23" i="19"/>
  <c r="I64" i="23"/>
  <c r="J66" i="22"/>
  <c r="H32" i="20"/>
  <c r="G30" i="21"/>
  <c r="F30" i="19"/>
  <c r="G32" i="18"/>
  <c r="G34" i="23"/>
  <c r="H36" i="22"/>
  <c r="H10" i="18"/>
  <c r="G8" i="19"/>
  <c r="P10" i="20"/>
  <c r="P8" i="21" s="1"/>
  <c r="O8" i="21"/>
  <c r="Q10" i="20"/>
  <c r="G25" i="19"/>
  <c r="H27" i="18"/>
  <c r="F43" i="17"/>
  <c r="G45" i="16"/>
  <c r="I11" i="20"/>
  <c r="H9" i="21"/>
  <c r="H55" i="20"/>
  <c r="G53" i="21"/>
  <c r="G42" i="23"/>
  <c r="H44" i="22"/>
  <c r="H36" i="17"/>
  <c r="I38" i="16"/>
  <c r="G31" i="17"/>
  <c r="H33" i="16"/>
  <c r="I19" i="17"/>
  <c r="J21" i="16"/>
  <c r="G62" i="18"/>
  <c r="F60" i="19"/>
  <c r="J24" i="17"/>
  <c r="L26" i="16"/>
  <c r="N26" i="16"/>
  <c r="N24" i="17" s="1"/>
  <c r="G56" i="16"/>
  <c r="F54" i="17"/>
  <c r="H56" i="18"/>
  <c r="G54" i="19"/>
  <c r="G30" i="18"/>
  <c r="F28" i="19"/>
  <c r="I64" i="16"/>
  <c r="H62" i="17"/>
  <c r="G46" i="16"/>
  <c r="F44" i="17"/>
  <c r="F38" i="19"/>
  <c r="G40" i="18"/>
  <c r="G38" i="18"/>
  <c r="F36" i="19"/>
  <c r="H28" i="20"/>
  <c r="G26" i="21"/>
  <c r="G48" i="23"/>
  <c r="H50" i="22"/>
  <c r="G29" i="23"/>
  <c r="H31" i="22"/>
  <c r="G41" i="16"/>
  <c r="F39" i="17"/>
  <c r="H31" i="23"/>
  <c r="I33" i="22"/>
  <c r="H17" i="23"/>
  <c r="I19" i="22"/>
  <c r="J60" i="20"/>
  <c r="I58" i="21"/>
  <c r="G40" i="23"/>
  <c r="H42" i="22"/>
  <c r="G47" i="16"/>
  <c r="F45" i="17"/>
  <c r="M8" i="20"/>
  <c r="L6" i="21"/>
  <c r="H8" i="22"/>
  <c r="H6" i="23" s="1"/>
  <c r="G6" i="23"/>
  <c r="I51" i="16"/>
  <c r="H49" i="17"/>
  <c r="I36" i="23"/>
  <c r="J38" i="22"/>
  <c r="L59" i="18"/>
  <c r="K57" i="19"/>
  <c r="G41" i="19"/>
  <c r="H43" i="18"/>
  <c r="F46" i="17"/>
  <c r="G48" i="16"/>
  <c r="G40" i="17"/>
  <c r="H42" i="16"/>
  <c r="Q26" i="16"/>
  <c r="O24" i="17"/>
  <c r="H16" i="23"/>
  <c r="J18" i="22"/>
  <c r="J16" i="23" s="1"/>
  <c r="F12" i="17"/>
  <c r="G14" i="16"/>
  <c r="F62" i="19"/>
  <c r="G64" i="18"/>
  <c r="F35" i="19"/>
  <c r="G37" i="18"/>
  <c r="G52" i="23"/>
  <c r="H54" i="22"/>
  <c r="E75" i="19"/>
  <c r="D75" i="19"/>
  <c r="B75" i="19"/>
  <c r="F75" i="19"/>
  <c r="E68" i="19"/>
  <c r="E70" i="19" s="1"/>
  <c r="C75" i="19"/>
  <c r="E72" i="19"/>
  <c r="E73" i="19"/>
  <c r="H26" i="17"/>
  <c r="I28" i="16"/>
  <c r="G32" i="16"/>
  <c r="F30" i="17"/>
  <c r="H48" i="22"/>
  <c r="G46" i="23"/>
  <c r="F14" i="17"/>
  <c r="G16" i="16"/>
  <c r="G62" i="23"/>
  <c r="H64" i="22"/>
  <c r="G14" i="23"/>
  <c r="H16" i="22"/>
  <c r="F16" i="17"/>
  <c r="I18" i="16"/>
  <c r="I16" i="17" s="1"/>
  <c r="G18" i="16"/>
  <c r="AT58" i="7"/>
  <c r="BB2" i="10"/>
  <c r="BB4" i="10" s="1"/>
  <c r="AT65" i="7"/>
  <c r="BL2" i="10"/>
  <c r="BL4" i="10" s="1"/>
  <c r="AN2" i="10"/>
  <c r="AN4" i="10" s="1"/>
  <c r="O16" i="10"/>
  <c r="O21" i="10"/>
  <c r="O69" i="6"/>
  <c r="O72" i="6" s="1"/>
  <c r="O12" i="10"/>
  <c r="E69" i="6"/>
  <c r="E72" i="6" s="1"/>
  <c r="AB67" i="7"/>
  <c r="F69" i="6"/>
  <c r="F72" i="6" s="1"/>
  <c r="K69" i="6"/>
  <c r="K72" i="6" s="1"/>
  <c r="C69" i="6"/>
  <c r="C72" i="6" s="1"/>
  <c r="J69" i="6"/>
  <c r="J72" i="6" s="1"/>
  <c r="BN2" i="10"/>
  <c r="BN4" i="10" s="1"/>
  <c r="F21" i="10"/>
  <c r="Y69" i="6"/>
  <c r="Y72" i="6" s="1"/>
  <c r="Q69" i="6"/>
  <c r="Q72" i="6" s="1"/>
  <c r="B69" i="6"/>
  <c r="B72" i="6" s="1"/>
  <c r="J21" i="10"/>
  <c r="H69" i="6"/>
  <c r="H72" i="6" s="1"/>
  <c r="E65" i="7"/>
  <c r="AC2" i="10"/>
  <c r="AC4" i="10" s="1"/>
  <c r="K12" i="10"/>
  <c r="BO2" i="10"/>
  <c r="BO4" i="10" s="1"/>
  <c r="BG2" i="10"/>
  <c r="BG4" i="10" s="1"/>
  <c r="AQ2" i="10"/>
  <c r="AQ4" i="10" s="1"/>
  <c r="K17" i="10"/>
  <c r="C9" i="10"/>
  <c r="BM2" i="15"/>
  <c r="BM4" i="15" s="1"/>
  <c r="BM2" i="10"/>
  <c r="BM4" i="10" s="1"/>
  <c r="BE2" i="15"/>
  <c r="BE4" i="15" s="1"/>
  <c r="BE2" i="10"/>
  <c r="BE4" i="10" s="1"/>
  <c r="AO2" i="15"/>
  <c r="AO4" i="15" s="1"/>
  <c r="AO2" i="10"/>
  <c r="AO4" i="10" s="1"/>
  <c r="AO45" i="7"/>
  <c r="AG2" i="15"/>
  <c r="AG4" i="15" s="1"/>
  <c r="AG2" i="10"/>
  <c r="AG4" i="10" s="1"/>
  <c r="Y31" i="15"/>
  <c r="Q31" i="15"/>
  <c r="H31" i="15"/>
  <c r="O31" i="15"/>
  <c r="F31" i="15"/>
  <c r="B31" i="15"/>
  <c r="J31" i="15"/>
  <c r="C31" i="15"/>
  <c r="K31" i="15"/>
  <c r="E31" i="15"/>
  <c r="Y2" i="15"/>
  <c r="Y4" i="15" s="1"/>
  <c r="Y2" i="10"/>
  <c r="Y4" i="10" s="1"/>
  <c r="Y23" i="15"/>
  <c r="Q23" i="15"/>
  <c r="H23" i="15"/>
  <c r="O23" i="15"/>
  <c r="F23" i="15"/>
  <c r="B23" i="15"/>
  <c r="J23" i="15"/>
  <c r="K23" i="15"/>
  <c r="E23" i="15"/>
  <c r="C23" i="15"/>
  <c r="Q2" i="15"/>
  <c r="Q4" i="15" s="1"/>
  <c r="K23" i="10"/>
  <c r="C23" i="10"/>
  <c r="Q23" i="10"/>
  <c r="O23" i="10"/>
  <c r="F23" i="10"/>
  <c r="B23" i="10"/>
  <c r="Q2" i="10"/>
  <c r="Q4" i="10" s="1"/>
  <c r="J23" i="10"/>
  <c r="Q11" i="10"/>
  <c r="H23" i="10"/>
  <c r="E23" i="10"/>
  <c r="Q14" i="10"/>
  <c r="J9" i="10"/>
  <c r="B8" i="10"/>
  <c r="J8" i="10"/>
  <c r="B17" i="10"/>
  <c r="F68" i="7"/>
  <c r="BL2" i="15"/>
  <c r="BL4" i="15" s="1"/>
  <c r="J8" i="15"/>
  <c r="B8" i="15"/>
  <c r="H8" i="15"/>
  <c r="F8" i="15"/>
  <c r="B2" i="15"/>
  <c r="B4" i="15" s="1"/>
  <c r="Q8" i="15"/>
  <c r="O8" i="15"/>
  <c r="K8" i="15"/>
  <c r="Y8" i="15"/>
  <c r="E8" i="15"/>
  <c r="C8" i="15"/>
  <c r="F8" i="10"/>
  <c r="Q8" i="10"/>
  <c r="K2" i="10"/>
  <c r="K4" i="10" s="1"/>
  <c r="E8" i="10"/>
  <c r="K9" i="10"/>
  <c r="B14" i="10"/>
  <c r="C17" i="10"/>
  <c r="BK2" i="15"/>
  <c r="BK4" i="15" s="1"/>
  <c r="BK2" i="10"/>
  <c r="BK4" i="10" s="1"/>
  <c r="AU2" i="15"/>
  <c r="AU4" i="15" s="1"/>
  <c r="AU2" i="10"/>
  <c r="AU4" i="10" s="1"/>
  <c r="E21" i="15"/>
  <c r="K21" i="15"/>
  <c r="C21" i="15"/>
  <c r="J21" i="15"/>
  <c r="B21" i="15"/>
  <c r="H21" i="15"/>
  <c r="F21" i="15"/>
  <c r="Y21" i="15"/>
  <c r="Q21" i="15"/>
  <c r="O2" i="15"/>
  <c r="O4" i="15" s="1"/>
  <c r="O21" i="15"/>
  <c r="E21" i="10"/>
  <c r="K21" i="10"/>
  <c r="C21" i="10"/>
  <c r="Q21" i="10"/>
  <c r="H21" i="10"/>
  <c r="O2" i="10"/>
  <c r="O4" i="10" s="1"/>
  <c r="B2" i="10"/>
  <c r="B4" i="10" s="1"/>
  <c r="E14" i="10"/>
  <c r="K16" i="10"/>
  <c r="F17" i="10"/>
  <c r="B21" i="10"/>
  <c r="AC64" i="7"/>
  <c r="AN2" i="15"/>
  <c r="AN4" i="15" s="1"/>
  <c r="F14" i="15"/>
  <c r="J14" i="15"/>
  <c r="B14" i="15"/>
  <c r="H14" i="15"/>
  <c r="H2" i="15"/>
  <c r="H4" i="15" s="1"/>
  <c r="E14" i="15"/>
  <c r="C14" i="15"/>
  <c r="Q14" i="15"/>
  <c r="O14" i="15"/>
  <c r="K14" i="15"/>
  <c r="Y14" i="15"/>
  <c r="H14" i="10"/>
  <c r="F14" i="10"/>
  <c r="K14" i="10"/>
  <c r="C14" i="10"/>
  <c r="H16" i="10"/>
  <c r="E56" i="7"/>
  <c r="AG66" i="7"/>
  <c r="BJ2" i="15"/>
  <c r="BJ4" i="15" s="1"/>
  <c r="BB2" i="15"/>
  <c r="BB4" i="15" s="1"/>
  <c r="AT2" i="15"/>
  <c r="AT4" i="15" s="1"/>
  <c r="J12" i="15"/>
  <c r="B12" i="15"/>
  <c r="H12" i="15"/>
  <c r="F12" i="15"/>
  <c r="Y12" i="15"/>
  <c r="E12" i="15"/>
  <c r="C12" i="15"/>
  <c r="F2" i="15"/>
  <c r="F4" i="15" s="1"/>
  <c r="Q12" i="15"/>
  <c r="O12" i="15"/>
  <c r="K12" i="15"/>
  <c r="J12" i="10"/>
  <c r="B12" i="10"/>
  <c r="H12" i="10"/>
  <c r="F12" i="10"/>
  <c r="E12" i="10"/>
  <c r="C2" i="10"/>
  <c r="C4" i="10" s="1"/>
  <c r="AT2" i="10"/>
  <c r="AT4" i="10" s="1"/>
  <c r="H8" i="10"/>
  <c r="F11" i="10"/>
  <c r="Q12" i="10"/>
  <c r="H17" i="10"/>
  <c r="BI2" i="15"/>
  <c r="BI4" i="15" s="1"/>
  <c r="E2" i="10"/>
  <c r="E4" i="10" s="1"/>
  <c r="B9" i="10"/>
  <c r="H11" i="10"/>
  <c r="C12" i="10"/>
  <c r="J17" i="10"/>
  <c r="BJ33" i="7"/>
  <c r="BH2" i="15"/>
  <c r="BH4" i="15" s="1"/>
  <c r="BH2" i="10"/>
  <c r="BH4" i="10" s="1"/>
  <c r="AZ2" i="15"/>
  <c r="AZ4" i="15" s="1"/>
  <c r="AZ2" i="10"/>
  <c r="AZ4" i="10" s="1"/>
  <c r="AR2" i="15"/>
  <c r="AR4" i="15" s="1"/>
  <c r="AR2" i="10"/>
  <c r="AR4" i="10" s="1"/>
  <c r="AB2" i="15"/>
  <c r="AB4" i="15" s="1"/>
  <c r="AB2" i="10"/>
  <c r="AB4" i="10" s="1"/>
  <c r="F2" i="10"/>
  <c r="F4" i="10" s="1"/>
  <c r="K8" i="10"/>
  <c r="J14" i="10"/>
  <c r="BO2" i="15"/>
  <c r="BO4" i="15" s="1"/>
  <c r="BG2" i="15"/>
  <c r="BG4" i="15" s="1"/>
  <c r="AQ2" i="15"/>
  <c r="AQ4" i="15" s="1"/>
  <c r="E17" i="15"/>
  <c r="K17" i="15"/>
  <c r="C17" i="15"/>
  <c r="J17" i="15"/>
  <c r="B17" i="15"/>
  <c r="H17" i="15"/>
  <c r="F17" i="15"/>
  <c r="O17" i="15"/>
  <c r="K2" i="15"/>
  <c r="K4" i="15" s="1"/>
  <c r="Y17" i="15"/>
  <c r="Q17" i="15"/>
  <c r="Q17" i="10"/>
  <c r="O17" i="10"/>
  <c r="E17" i="10"/>
  <c r="E9" i="10"/>
  <c r="BI2" i="10"/>
  <c r="BI4" i="10" s="1"/>
  <c r="F9" i="10"/>
  <c r="C16" i="10"/>
  <c r="BN2" i="15"/>
  <c r="BN4" i="15" s="1"/>
  <c r="BJ2" i="10"/>
  <c r="BJ4" i="10" s="1"/>
  <c r="C8" i="10"/>
  <c r="O8" i="10"/>
  <c r="H9" i="10"/>
  <c r="O14" i="10"/>
  <c r="E16" i="10"/>
  <c r="AX2" i="15"/>
  <c r="AX4" i="15" s="1"/>
  <c r="AP2" i="15"/>
  <c r="AP4" i="15" s="1"/>
  <c r="O16" i="15"/>
  <c r="F16" i="15"/>
  <c r="E16" i="15"/>
  <c r="J16" i="15"/>
  <c r="H16" i="15"/>
  <c r="B16" i="15"/>
  <c r="J2" i="15"/>
  <c r="J4" i="15" s="1"/>
  <c r="C16" i="15"/>
  <c r="Y16" i="15"/>
  <c r="Q16" i="15"/>
  <c r="K16" i="15"/>
  <c r="H9" i="15"/>
  <c r="F9" i="15"/>
  <c r="J9" i="15"/>
  <c r="B9" i="15"/>
  <c r="C9" i="15"/>
  <c r="Q9" i="15"/>
  <c r="O9" i="15"/>
  <c r="C2" i="15"/>
  <c r="C4" i="15" s="1"/>
  <c r="E9" i="15"/>
  <c r="K9" i="15"/>
  <c r="Y9" i="15"/>
  <c r="B11" i="10"/>
  <c r="J11" i="10"/>
  <c r="Q16" i="10"/>
  <c r="C11" i="10"/>
  <c r="K11" i="10"/>
  <c r="B16" i="10"/>
  <c r="J16" i="10"/>
  <c r="O9" i="10"/>
  <c r="E11" i="10"/>
  <c r="AC2" i="15"/>
  <c r="AC4" i="15" s="1"/>
  <c r="J11" i="15"/>
  <c r="B11" i="15"/>
  <c r="H11" i="15"/>
  <c r="F11" i="15"/>
  <c r="C11" i="15"/>
  <c r="Q11" i="15"/>
  <c r="O11" i="15"/>
  <c r="Y11" i="15"/>
  <c r="K11" i="15"/>
  <c r="E2" i="15"/>
  <c r="E4" i="15" s="1"/>
  <c r="E11" i="15"/>
  <c r="Q9" i="10"/>
  <c r="O11" i="10"/>
  <c r="F16" i="10"/>
  <c r="C19" i="7"/>
  <c r="Q51" i="7"/>
  <c r="BL58" i="7"/>
  <c r="BH67" i="7"/>
  <c r="BE66" i="7"/>
  <c r="BE69" i="7"/>
  <c r="H51" i="7"/>
  <c r="BH68" i="7"/>
  <c r="H66" i="7"/>
  <c r="AN61" i="7"/>
  <c r="AZ69" i="7"/>
  <c r="Y69" i="7"/>
  <c r="BE61" i="7"/>
  <c r="AO61" i="7"/>
  <c r="AB69" i="7"/>
  <c r="BH69" i="7"/>
  <c r="Y45" i="7"/>
  <c r="O67" i="7"/>
  <c r="BK58" i="7"/>
  <c r="O51" i="7"/>
  <c r="BK65" i="7"/>
  <c r="H61" i="7"/>
  <c r="BM70" i="7"/>
  <c r="AC68" i="7"/>
  <c r="BB61" i="7"/>
  <c r="AO58" i="7"/>
  <c r="AU69" i="7"/>
  <c r="AU68" i="7"/>
  <c r="BJ69" i="7"/>
  <c r="AN68" i="7"/>
  <c r="BJ67" i="7"/>
  <c r="BI69" i="7"/>
  <c r="Q69" i="7"/>
  <c r="BI68" i="7"/>
  <c r="Q68" i="7"/>
  <c r="BI67" i="7"/>
  <c r="Q67" i="7"/>
  <c r="BH66" i="7"/>
  <c r="AU65" i="7"/>
  <c r="AT9" i="7"/>
  <c r="BE68" i="7"/>
  <c r="H69" i="7"/>
  <c r="AZ67" i="7"/>
  <c r="BO54" i="7"/>
  <c r="AR48" i="7"/>
  <c r="AB48" i="7"/>
  <c r="AZ48" i="7"/>
  <c r="AR69" i="7"/>
  <c r="BH48" i="7"/>
  <c r="AO48" i="7"/>
  <c r="AR61" i="7"/>
  <c r="AT70" i="7"/>
  <c r="AC67" i="7"/>
  <c r="BJ65" i="7"/>
  <c r="E61" i="7"/>
  <c r="F69" i="7"/>
  <c r="AB68" i="7"/>
  <c r="F67" i="7"/>
  <c r="AT66" i="7"/>
  <c r="BI65" i="7"/>
  <c r="AN58" i="7"/>
  <c r="AN48" i="7"/>
  <c r="BK61" i="7"/>
  <c r="AR67" i="7"/>
  <c r="BK48" i="7"/>
  <c r="AG67" i="7"/>
  <c r="BM67" i="7"/>
  <c r="BK56" i="7"/>
  <c r="BK64" i="7"/>
  <c r="C67" i="7"/>
  <c r="AO67" i="7"/>
  <c r="BK67" i="7"/>
  <c r="BK69" i="7"/>
  <c r="AZ51" i="7"/>
  <c r="BK51" i="7"/>
  <c r="AR51" i="7"/>
  <c r="AU48" i="7"/>
  <c r="E51" i="7"/>
  <c r="AU51" i="7"/>
  <c r="AB51" i="7"/>
  <c r="AU32" i="7"/>
  <c r="AC51" i="7"/>
  <c r="C51" i="7"/>
  <c r="AU61" i="7"/>
  <c r="AU64" i="7"/>
  <c r="BI51" i="7"/>
  <c r="AU19" i="7"/>
  <c r="O32" i="7"/>
  <c r="O48" i="7"/>
  <c r="O56" i="7"/>
  <c r="AG19" i="7"/>
  <c r="O61" i="7"/>
  <c r="O64" i="7"/>
  <c r="BL7" i="7"/>
  <c r="BL32" i="7"/>
  <c r="BL9" i="7"/>
  <c r="BL33" i="7"/>
  <c r="BL48" i="7"/>
  <c r="BL51" i="7"/>
  <c r="BL56" i="7"/>
  <c r="BL64" i="7"/>
  <c r="BL65" i="7"/>
  <c r="BL67" i="7"/>
  <c r="AR68" i="7"/>
  <c r="BB68" i="7"/>
  <c r="BL68" i="7"/>
  <c r="BL69" i="7"/>
  <c r="BL61" i="7"/>
  <c r="AG68" i="7"/>
  <c r="BM68" i="7"/>
  <c r="AT68" i="7"/>
  <c r="BL71" i="7"/>
  <c r="AO68" i="7"/>
  <c r="BK68" i="7"/>
  <c r="H63" i="7"/>
  <c r="AZ12" i="7"/>
  <c r="BK12" i="7"/>
  <c r="H32" i="7"/>
  <c r="AB12" i="7"/>
  <c r="BL12" i="7"/>
  <c r="AC12" i="7"/>
  <c r="AN12" i="7"/>
  <c r="BB12" i="7"/>
  <c r="H9" i="7"/>
  <c r="AR12" i="7"/>
  <c r="E12" i="7"/>
  <c r="F12" i="7"/>
  <c r="BH12" i="7"/>
  <c r="BI12" i="7"/>
  <c r="O12" i="7"/>
  <c r="AT12" i="7"/>
  <c r="H56" i="7"/>
  <c r="AU12" i="7"/>
  <c r="H33" i="7"/>
  <c r="H12" i="7"/>
  <c r="H48" i="7"/>
  <c r="H64" i="7"/>
  <c r="BJ12" i="7"/>
  <c r="H65" i="7"/>
  <c r="O68" i="7"/>
  <c r="BL70" i="7"/>
  <c r="AZ68" i="7"/>
  <c r="H67" i="7"/>
  <c r="AG65" i="7"/>
  <c r="Y61" i="7"/>
  <c r="BM63" i="7"/>
  <c r="AZ56" i="7"/>
  <c r="AR56" i="7"/>
  <c r="BH56" i="7"/>
  <c r="BM56" i="7"/>
  <c r="AB56" i="7"/>
  <c r="Y56" i="7"/>
  <c r="AZ61" i="7"/>
  <c r="BI32" i="7"/>
  <c r="AB65" i="7"/>
  <c r="BH65" i="7"/>
  <c r="BI48" i="7"/>
  <c r="AR65" i="7"/>
  <c r="BI64" i="7"/>
  <c r="BI56" i="7"/>
  <c r="Y65" i="7"/>
  <c r="AC65" i="7"/>
  <c r="AO65" i="7"/>
  <c r="AZ65" i="7"/>
  <c r="BM65" i="7"/>
  <c r="O65" i="7"/>
  <c r="AC54" i="7"/>
  <c r="AR33" i="7"/>
  <c r="AC6" i="7"/>
  <c r="O33" i="7"/>
  <c r="BH33" i="7"/>
  <c r="BI33" i="7"/>
  <c r="AB33" i="7"/>
  <c r="AC56" i="7"/>
  <c r="E33" i="7"/>
  <c r="AU33" i="7"/>
  <c r="AC32" i="7"/>
  <c r="AZ33" i="7"/>
  <c r="AC48" i="7"/>
  <c r="AC33" i="7"/>
  <c r="BK33" i="7"/>
  <c r="BJ9" i="7"/>
  <c r="BJ32" i="7"/>
  <c r="BJ51" i="7"/>
  <c r="BJ56" i="7"/>
  <c r="AR66" i="7"/>
  <c r="BB66" i="7"/>
  <c r="BL66" i="7"/>
  <c r="O66" i="7"/>
  <c r="AB66" i="7"/>
  <c r="AZ66" i="7"/>
  <c r="BK66" i="7"/>
  <c r="BJ64" i="7"/>
  <c r="E66" i="7"/>
  <c r="AC66" i="7"/>
  <c r="AN66" i="7"/>
  <c r="BM66" i="7"/>
  <c r="BJ48" i="7"/>
  <c r="F66" i="7"/>
  <c r="Q66" i="7"/>
  <c r="AO66" i="7"/>
  <c r="BJ61" i="7"/>
  <c r="Y66" i="7"/>
  <c r="BJ66" i="7"/>
  <c r="AT32" i="7"/>
  <c r="AT33" i="7"/>
  <c r="K50" i="7"/>
  <c r="AO50" i="7"/>
  <c r="BK50" i="7"/>
  <c r="AR50" i="7"/>
  <c r="BB50" i="7"/>
  <c r="BL50" i="7"/>
  <c r="AT48" i="7"/>
  <c r="AG50" i="7"/>
  <c r="BM50" i="7"/>
  <c r="E50" i="7"/>
  <c r="AT50" i="7"/>
  <c r="F50" i="7"/>
  <c r="Y50" i="7"/>
  <c r="AU50" i="7"/>
  <c r="AT51" i="7"/>
  <c r="AB50" i="7"/>
  <c r="H50" i="7"/>
  <c r="AC50" i="7"/>
  <c r="BH50" i="7"/>
  <c r="AT56" i="7"/>
  <c r="AT63" i="7"/>
  <c r="AZ50" i="7"/>
  <c r="AT61" i="7"/>
  <c r="AT64" i="7"/>
  <c r="BJ50" i="7"/>
  <c r="O50" i="7"/>
  <c r="BE50" i="7"/>
  <c r="AT71" i="7"/>
  <c r="Q50" i="7"/>
  <c r="BI50" i="7"/>
  <c r="AT67" i="7"/>
  <c r="AT69" i="7"/>
  <c r="AN50" i="7"/>
  <c r="AC69" i="7"/>
  <c r="AU66" i="7"/>
  <c r="H44" i="7"/>
  <c r="AO70" i="7"/>
  <c r="Y68" i="7"/>
  <c r="E68" i="7"/>
  <c r="AU67" i="7"/>
  <c r="Y67" i="7"/>
  <c r="E67" i="7"/>
  <c r="BE65" i="7"/>
  <c r="AO64" i="7"/>
  <c r="BH51" i="7"/>
  <c r="AN32" i="7"/>
  <c r="E44" i="7"/>
  <c r="AR44" i="7"/>
  <c r="AN33" i="7"/>
  <c r="BL44" i="7"/>
  <c r="AN51" i="7"/>
  <c r="BB44" i="7"/>
  <c r="AN56" i="7"/>
  <c r="F44" i="7"/>
  <c r="AN44" i="7"/>
  <c r="AB44" i="7"/>
  <c r="AC44" i="7"/>
  <c r="BH44" i="7"/>
  <c r="AN9" i="7"/>
  <c r="BI44" i="7"/>
  <c r="BJ44" i="7"/>
  <c r="AU44" i="7"/>
  <c r="AT44" i="7"/>
  <c r="AN65" i="7"/>
  <c r="AZ44" i="7"/>
  <c r="O69" i="7"/>
  <c r="BE67" i="7"/>
  <c r="AU56" i="7"/>
  <c r="BK44" i="7"/>
  <c r="H68" i="7"/>
  <c r="O44" i="7"/>
  <c r="AG69" i="7"/>
  <c r="BM69" i="7"/>
  <c r="AO69" i="7"/>
  <c r="BM47" i="7"/>
  <c r="C64" i="7"/>
  <c r="AB64" i="7"/>
  <c r="BH64" i="7"/>
  <c r="AR64" i="7"/>
  <c r="Q64" i="7"/>
  <c r="BM64" i="7"/>
  <c r="AG64" i="7"/>
  <c r="AZ64" i="7"/>
  <c r="BE64" i="7"/>
  <c r="AP32" i="7"/>
  <c r="AR32" i="7"/>
  <c r="BH32" i="7"/>
  <c r="AB32" i="7"/>
  <c r="AZ32" i="7"/>
  <c r="E7" i="7"/>
  <c r="AZ9" i="7"/>
  <c r="E9" i="7"/>
  <c r="AB9" i="7"/>
  <c r="AC9" i="7"/>
  <c r="BH9" i="7"/>
  <c r="AR9" i="7"/>
  <c r="E32" i="7"/>
  <c r="BI9" i="7"/>
  <c r="O9" i="7"/>
  <c r="E48" i="7"/>
  <c r="E64" i="7"/>
  <c r="BB32" i="7"/>
  <c r="BB33" i="7"/>
  <c r="BB9" i="7"/>
  <c r="BB48" i="7"/>
  <c r="BB51" i="7"/>
  <c r="BB56" i="7"/>
  <c r="AR58" i="7"/>
  <c r="BH58" i="7"/>
  <c r="Y58" i="7"/>
  <c r="BI58" i="7"/>
  <c r="O58" i="7"/>
  <c r="AB58" i="7"/>
  <c r="AZ58" i="7"/>
  <c r="BJ58" i="7"/>
  <c r="BM58" i="7"/>
  <c r="BB64" i="7"/>
  <c r="BB65" i="7"/>
  <c r="E58" i="7"/>
  <c r="AC58" i="7"/>
  <c r="BB67" i="7"/>
  <c r="BB69" i="7"/>
  <c r="F58" i="7"/>
  <c r="BB58" i="7"/>
  <c r="BE58" i="7"/>
  <c r="H58" i="7"/>
  <c r="AG58" i="7"/>
  <c r="AU58" i="7"/>
  <c r="AU10" i="7"/>
  <c r="F7" i="7"/>
  <c r="BL10" i="7"/>
  <c r="AB10" i="7"/>
  <c r="BB10" i="7"/>
  <c r="O10" i="7"/>
  <c r="AC10" i="7"/>
  <c r="AN10" i="7"/>
  <c r="F9" i="7"/>
  <c r="AR10" i="7"/>
  <c r="AT10" i="7"/>
  <c r="F10" i="7"/>
  <c r="BI10" i="7"/>
  <c r="F33" i="7"/>
  <c r="AO10" i="7"/>
  <c r="AZ10" i="7"/>
  <c r="E10" i="7"/>
  <c r="BH10" i="7"/>
  <c r="BJ10" i="7"/>
  <c r="H10" i="7"/>
  <c r="BK10" i="7"/>
  <c r="F48" i="7"/>
  <c r="F51" i="7"/>
  <c r="F64" i="7"/>
  <c r="F65" i="7"/>
  <c r="F32" i="7"/>
  <c r="F56" i="7"/>
  <c r="E69" i="7"/>
  <c r="AN69" i="7"/>
  <c r="BJ68" i="7"/>
  <c r="AN67" i="7"/>
  <c r="BI66" i="7"/>
  <c r="Q65" i="7"/>
  <c r="AN64" i="7"/>
  <c r="Q58" i="7"/>
  <c r="BM32" i="7"/>
  <c r="BM33" i="7"/>
  <c r="BM48" i="7"/>
  <c r="BM51" i="7"/>
  <c r="BE32" i="7"/>
  <c r="BE33" i="7"/>
  <c r="BE48" i="7"/>
  <c r="F61" i="7"/>
  <c r="AB61" i="7"/>
  <c r="BH61" i="7"/>
  <c r="Q61" i="7"/>
  <c r="AC61" i="7"/>
  <c r="BI61" i="7"/>
  <c r="BE56" i="7"/>
  <c r="BE51" i="7"/>
  <c r="AG61" i="7"/>
  <c r="BM61" i="7"/>
  <c r="AO33" i="7"/>
  <c r="AO32" i="7"/>
  <c r="BE45" i="7"/>
  <c r="H45" i="7"/>
  <c r="AO51" i="7"/>
  <c r="AO56" i="7"/>
  <c r="AN45" i="7"/>
  <c r="AG33" i="7"/>
  <c r="AG32" i="7"/>
  <c r="BE37" i="7"/>
  <c r="AG48" i="7"/>
  <c r="AG51" i="7"/>
  <c r="AG56" i="7"/>
  <c r="Q29" i="7"/>
  <c r="Y32" i="7"/>
  <c r="Y48" i="7"/>
  <c r="Y51" i="7"/>
  <c r="Y33" i="7"/>
  <c r="AU21" i="7"/>
  <c r="Q33" i="7"/>
  <c r="Q21" i="7"/>
  <c r="Q32" i="7"/>
  <c r="Q56" i="7"/>
  <c r="Q48" i="7"/>
  <c r="BK32" i="7"/>
  <c r="BK9" i="7"/>
  <c r="AU9" i="7"/>
  <c r="BK19" i="7"/>
  <c r="O19" i="7"/>
  <c r="B48" i="7"/>
  <c r="B56" i="7"/>
  <c r="B64" i="7"/>
  <c r="BI6" i="7"/>
  <c r="B32" i="7"/>
  <c r="AB15" i="7"/>
  <c r="AR15" i="7"/>
  <c r="AZ15" i="7"/>
  <c r="BH15" i="7"/>
  <c r="E15" i="7"/>
  <c r="AC15" i="7"/>
  <c r="BI15" i="7"/>
  <c r="F15" i="7"/>
  <c r="AT15" i="7"/>
  <c r="BB15" i="7"/>
  <c r="BJ15" i="7"/>
  <c r="H15" i="7"/>
  <c r="AN15" i="7"/>
  <c r="BL15" i="7"/>
  <c r="AX15" i="7"/>
  <c r="BN15" i="7"/>
  <c r="K10" i="7"/>
  <c r="K12" i="7"/>
  <c r="BO15" i="7"/>
  <c r="J15" i="7"/>
  <c r="AP15" i="7"/>
  <c r="K9" i="7"/>
  <c r="AO15" i="7"/>
  <c r="K15" i="7"/>
  <c r="AQ15" i="7"/>
  <c r="K19" i="7"/>
  <c r="O15" i="7"/>
  <c r="AU15" i="7"/>
  <c r="Q15" i="7"/>
  <c r="AG15" i="7"/>
  <c r="BE15" i="7"/>
  <c r="K32" i="7"/>
  <c r="K33" i="7"/>
  <c r="K48" i="7"/>
  <c r="Y15" i="7"/>
  <c r="BK15" i="7"/>
  <c r="BM15" i="7"/>
  <c r="K56" i="7"/>
  <c r="K58" i="7"/>
  <c r="K61" i="7"/>
  <c r="K64" i="7"/>
  <c r="K65" i="7"/>
  <c r="K66" i="7"/>
  <c r="K67" i="7"/>
  <c r="K68" i="7"/>
  <c r="K69" i="7"/>
  <c r="AO71" i="7"/>
  <c r="BM46" i="7"/>
  <c r="AX21" i="7"/>
  <c r="AN71" i="7"/>
  <c r="Q70" i="7"/>
  <c r="K47" i="7"/>
  <c r="BE71" i="7"/>
  <c r="AQ46" i="7"/>
  <c r="AG71" i="7"/>
  <c r="AG70" i="7"/>
  <c r="AG63" i="7"/>
  <c r="BO50" i="7"/>
  <c r="AP46" i="7"/>
  <c r="BL63" i="7"/>
  <c r="K44" i="7"/>
  <c r="E70" i="7"/>
  <c r="BI70" i="7"/>
  <c r="AC70" i="7"/>
  <c r="BK54" i="7"/>
  <c r="AU54" i="7"/>
  <c r="AB54" i="7"/>
  <c r="BJ70" i="7"/>
  <c r="Q63" i="7"/>
  <c r="BE63" i="7"/>
  <c r="BB71" i="7"/>
  <c r="BB63" i="7"/>
  <c r="K51" i="7"/>
  <c r="AG46" i="7"/>
  <c r="BG15" i="7"/>
  <c r="BO9" i="7"/>
  <c r="BO10" i="7"/>
  <c r="BO12" i="7"/>
  <c r="BO32" i="7"/>
  <c r="BO33" i="7"/>
  <c r="BO44" i="7"/>
  <c r="BO45" i="7"/>
  <c r="BO37" i="7"/>
  <c r="J71" i="7"/>
  <c r="AP71" i="7"/>
  <c r="AX71" i="7"/>
  <c r="BN71" i="7"/>
  <c r="AC71" i="7"/>
  <c r="BO56" i="7"/>
  <c r="BO58" i="7"/>
  <c r="BO61" i="7"/>
  <c r="BO64" i="7"/>
  <c r="BO65" i="7"/>
  <c r="BO66" i="7"/>
  <c r="BO67" i="7"/>
  <c r="BO68" i="7"/>
  <c r="BO69" i="7"/>
  <c r="K71" i="7"/>
  <c r="AQ71" i="7"/>
  <c r="BG71" i="7"/>
  <c r="BO71" i="7"/>
  <c r="AB71" i="7"/>
  <c r="AR71" i="7"/>
  <c r="AZ71" i="7"/>
  <c r="BH71" i="7"/>
  <c r="E71" i="7"/>
  <c r="O71" i="7"/>
  <c r="AU71" i="7"/>
  <c r="BK71" i="7"/>
  <c r="AQ9" i="7"/>
  <c r="AQ10" i="7"/>
  <c r="AQ12" i="7"/>
  <c r="AQ19" i="7"/>
  <c r="AB47" i="7"/>
  <c r="AR47" i="7"/>
  <c r="AZ47" i="7"/>
  <c r="BH47" i="7"/>
  <c r="F47" i="7"/>
  <c r="AT47" i="7"/>
  <c r="BB47" i="7"/>
  <c r="BJ47" i="7"/>
  <c r="AQ32" i="7"/>
  <c r="AQ33" i="7"/>
  <c r="O47" i="7"/>
  <c r="Y47" i="7"/>
  <c r="AU47" i="7"/>
  <c r="BE47" i="7"/>
  <c r="BO47" i="7"/>
  <c r="E47" i="7"/>
  <c r="Q47" i="7"/>
  <c r="BG47" i="7"/>
  <c r="H47" i="7"/>
  <c r="AC47" i="7"/>
  <c r="AN47" i="7"/>
  <c r="AX47" i="7"/>
  <c r="BI47" i="7"/>
  <c r="BN47" i="7"/>
  <c r="J47" i="7"/>
  <c r="AO47" i="7"/>
  <c r="BK47" i="7"/>
  <c r="AG47" i="7"/>
  <c r="AQ47" i="7"/>
  <c r="AQ56" i="7"/>
  <c r="AQ58" i="7"/>
  <c r="AQ61" i="7"/>
  <c r="AQ64" i="7"/>
  <c r="AQ65" i="7"/>
  <c r="AQ66" i="7"/>
  <c r="AQ67" i="7"/>
  <c r="AQ68" i="7"/>
  <c r="AQ69" i="7"/>
  <c r="AP47" i="7"/>
  <c r="AQ48" i="7"/>
  <c r="AQ50" i="7"/>
  <c r="AQ51" i="7"/>
  <c r="AQ44" i="7"/>
  <c r="BJ71" i="7"/>
  <c r="BI71" i="7"/>
  <c r="AN70" i="7"/>
  <c r="AN63" i="7"/>
  <c r="BO48" i="7"/>
  <c r="AG54" i="7"/>
  <c r="BB70" i="7"/>
  <c r="H71" i="7"/>
  <c r="H70" i="7"/>
  <c r="BL54" i="7"/>
  <c r="J48" i="7"/>
  <c r="BL47" i="7"/>
  <c r="J33" i="7"/>
  <c r="BG9" i="7"/>
  <c r="BG10" i="7"/>
  <c r="BG12" i="7"/>
  <c r="BG19" i="7"/>
  <c r="BG32" i="7"/>
  <c r="BG33" i="7"/>
  <c r="BG29" i="7"/>
  <c r="BG44" i="7"/>
  <c r="BG48" i="7"/>
  <c r="BG50" i="7"/>
  <c r="BG51" i="7"/>
  <c r="J63" i="7"/>
  <c r="AP63" i="7"/>
  <c r="AX63" i="7"/>
  <c r="BN63" i="7"/>
  <c r="BG56" i="7"/>
  <c r="BG58" i="7"/>
  <c r="BG61" i="7"/>
  <c r="K63" i="7"/>
  <c r="AQ63" i="7"/>
  <c r="BG63" i="7"/>
  <c r="BO63" i="7"/>
  <c r="BG64" i="7"/>
  <c r="BG65" i="7"/>
  <c r="BG66" i="7"/>
  <c r="BG67" i="7"/>
  <c r="BG68" i="7"/>
  <c r="BG69" i="7"/>
  <c r="BI63" i="7"/>
  <c r="AB63" i="7"/>
  <c r="AR63" i="7"/>
  <c r="AZ63" i="7"/>
  <c r="BH63" i="7"/>
  <c r="E63" i="7"/>
  <c r="AC63" i="7"/>
  <c r="O63" i="7"/>
  <c r="AU63" i="7"/>
  <c r="BK63" i="7"/>
  <c r="AO63" i="7"/>
  <c r="BO51" i="7"/>
  <c r="Q71" i="7"/>
  <c r="BJ63" i="7"/>
  <c r="BE70" i="7"/>
  <c r="BM71" i="7"/>
  <c r="Y71" i="7"/>
  <c r="F71" i="7"/>
  <c r="Y70" i="7"/>
  <c r="F70" i="7"/>
  <c r="Y63" i="7"/>
  <c r="F63" i="7"/>
  <c r="J54" i="7"/>
  <c r="J32" i="7"/>
  <c r="BN9" i="7"/>
  <c r="BN10" i="7"/>
  <c r="BN12" i="7"/>
  <c r="BN44" i="7"/>
  <c r="BN32" i="7"/>
  <c r="BN33" i="7"/>
  <c r="BN48" i="7"/>
  <c r="BN50" i="7"/>
  <c r="BN51" i="7"/>
  <c r="AX9" i="7"/>
  <c r="AX10" i="7"/>
  <c r="AX12" i="7"/>
  <c r="F54" i="7"/>
  <c r="AT54" i="7"/>
  <c r="AX44" i="7"/>
  <c r="O54" i="7"/>
  <c r="Y54" i="7"/>
  <c r="AQ54" i="7"/>
  <c r="AZ54" i="7"/>
  <c r="BH54" i="7"/>
  <c r="E54" i="7"/>
  <c r="Q54" i="7"/>
  <c r="AR54" i="7"/>
  <c r="BI54" i="7"/>
  <c r="AX32" i="7"/>
  <c r="AX33" i="7"/>
  <c r="H54" i="7"/>
  <c r="BB54" i="7"/>
  <c r="BJ54" i="7"/>
  <c r="AX48" i="7"/>
  <c r="AX50" i="7"/>
  <c r="AX51" i="7"/>
  <c r="K54" i="7"/>
  <c r="AN54" i="7"/>
  <c r="BE54" i="7"/>
  <c r="BM54" i="7"/>
  <c r="AP9" i="7"/>
  <c r="AP10" i="7"/>
  <c r="AP12" i="7"/>
  <c r="AB46" i="7"/>
  <c r="AR46" i="7"/>
  <c r="AZ46" i="7"/>
  <c r="BH46" i="7"/>
  <c r="E46" i="7"/>
  <c r="F46" i="7"/>
  <c r="AT46" i="7"/>
  <c r="BB46" i="7"/>
  <c r="BJ46" i="7"/>
  <c r="O46" i="7"/>
  <c r="K46" i="7"/>
  <c r="Y46" i="7"/>
  <c r="AU46" i="7"/>
  <c r="BE46" i="7"/>
  <c r="BO46" i="7"/>
  <c r="Q46" i="7"/>
  <c r="BG46" i="7"/>
  <c r="AP44" i="7"/>
  <c r="AC46" i="7"/>
  <c r="AN46" i="7"/>
  <c r="AX46" i="7"/>
  <c r="BI46" i="7"/>
  <c r="BN46" i="7"/>
  <c r="H46" i="7"/>
  <c r="AO46" i="7"/>
  <c r="BK46" i="7"/>
  <c r="AP48" i="7"/>
  <c r="AP50" i="7"/>
  <c r="AP51" i="7"/>
  <c r="AB14" i="7"/>
  <c r="AR14" i="7"/>
  <c r="AZ14" i="7"/>
  <c r="BH14" i="7"/>
  <c r="E14" i="7"/>
  <c r="AC14" i="7"/>
  <c r="BI14" i="7"/>
  <c r="F14" i="7"/>
  <c r="AT14" i="7"/>
  <c r="BB14" i="7"/>
  <c r="BJ14" i="7"/>
  <c r="H14" i="7"/>
  <c r="AN14" i="7"/>
  <c r="BL14" i="7"/>
  <c r="J10" i="7"/>
  <c r="J12" i="7"/>
  <c r="AX14" i="7"/>
  <c r="BN14" i="7"/>
  <c r="BO14" i="7"/>
  <c r="J9" i="7"/>
  <c r="J14" i="7"/>
  <c r="AP14" i="7"/>
  <c r="AO14" i="7"/>
  <c r="K14" i="7"/>
  <c r="AQ14" i="7"/>
  <c r="O14" i="7"/>
  <c r="AU14" i="7"/>
  <c r="Q14" i="7"/>
  <c r="AG14" i="7"/>
  <c r="BE14" i="7"/>
  <c r="BG14" i="7"/>
  <c r="BK14" i="7"/>
  <c r="BM14" i="7"/>
  <c r="J44" i="7"/>
  <c r="J50" i="7"/>
  <c r="J51" i="7"/>
  <c r="BK70" i="7"/>
  <c r="AU70" i="7"/>
  <c r="O70" i="7"/>
  <c r="BN54" i="7"/>
  <c r="AX54" i="7"/>
  <c r="AP45" i="7"/>
  <c r="Y14" i="7"/>
  <c r="BH70" i="7"/>
  <c r="AZ70" i="7"/>
  <c r="AR70" i="7"/>
  <c r="AB70" i="7"/>
  <c r="BG54" i="7"/>
  <c r="AP54" i="7"/>
  <c r="BL46" i="7"/>
  <c r="AP33" i="7"/>
  <c r="BO70" i="7"/>
  <c r="BG70" i="7"/>
  <c r="AQ70" i="7"/>
  <c r="K70" i="7"/>
  <c r="AO54" i="7"/>
  <c r="J46" i="7"/>
  <c r="BN70" i="7"/>
  <c r="AX70" i="7"/>
  <c r="AP70" i="7"/>
  <c r="J70" i="7"/>
  <c r="BN69" i="7"/>
  <c r="AX69" i="7"/>
  <c r="AP69" i="7"/>
  <c r="J69" i="7"/>
  <c r="BN68" i="7"/>
  <c r="AX68" i="7"/>
  <c r="AP68" i="7"/>
  <c r="J68" i="7"/>
  <c r="BN67" i="7"/>
  <c r="AX67" i="7"/>
  <c r="AP67" i="7"/>
  <c r="J67" i="7"/>
  <c r="BN66" i="7"/>
  <c r="AX66" i="7"/>
  <c r="AP66" i="7"/>
  <c r="J66" i="7"/>
  <c r="BN65" i="7"/>
  <c r="AX65" i="7"/>
  <c r="AP65" i="7"/>
  <c r="J65" i="7"/>
  <c r="BN64" i="7"/>
  <c r="AX64" i="7"/>
  <c r="AP64" i="7"/>
  <c r="J64" i="7"/>
  <c r="BN61" i="7"/>
  <c r="AX61" i="7"/>
  <c r="AP61" i="7"/>
  <c r="J61" i="7"/>
  <c r="BN58" i="7"/>
  <c r="AX58" i="7"/>
  <c r="AP58" i="7"/>
  <c r="J58" i="7"/>
  <c r="BN56" i="7"/>
  <c r="AX56" i="7"/>
  <c r="AP56" i="7"/>
  <c r="J56" i="7"/>
  <c r="J45" i="7"/>
  <c r="BM9" i="7"/>
  <c r="BM19" i="7"/>
  <c r="BM10" i="7"/>
  <c r="BM12" i="7"/>
  <c r="BM44" i="7"/>
  <c r="BE9" i="7"/>
  <c r="BE10" i="7"/>
  <c r="BE12" i="7"/>
  <c r="BE19" i="7"/>
  <c r="BE44" i="7"/>
  <c r="AO19" i="7"/>
  <c r="AB45" i="7"/>
  <c r="AR45" i="7"/>
  <c r="AZ45" i="7"/>
  <c r="BH45" i="7"/>
  <c r="E45" i="7"/>
  <c r="AC45" i="7"/>
  <c r="BI45" i="7"/>
  <c r="AO9" i="7"/>
  <c r="F45" i="7"/>
  <c r="AT45" i="7"/>
  <c r="BB45" i="7"/>
  <c r="BJ45" i="7"/>
  <c r="O45" i="7"/>
  <c r="AU45" i="7"/>
  <c r="BK45" i="7"/>
  <c r="K45" i="7"/>
  <c r="AQ45" i="7"/>
  <c r="BG45" i="7"/>
  <c r="BL45" i="7"/>
  <c r="AO12" i="7"/>
  <c r="AO44" i="7"/>
  <c r="Q45" i="7"/>
  <c r="AG45" i="7"/>
  <c r="BM45" i="7"/>
  <c r="AX45" i="7"/>
  <c r="BN45" i="7"/>
  <c r="F37" i="7"/>
  <c r="AT37" i="7"/>
  <c r="BB37" i="7"/>
  <c r="BJ37" i="7"/>
  <c r="AG12" i="7"/>
  <c r="AO37" i="7"/>
  <c r="AX37" i="7"/>
  <c r="BG37" i="7"/>
  <c r="E37" i="7"/>
  <c r="O37" i="7"/>
  <c r="AG37" i="7"/>
  <c r="AP37" i="7"/>
  <c r="BH37" i="7"/>
  <c r="Y37" i="7"/>
  <c r="AQ37" i="7"/>
  <c r="AZ37" i="7"/>
  <c r="BI37" i="7"/>
  <c r="H37" i="7"/>
  <c r="Q37" i="7"/>
  <c r="AR37" i="7"/>
  <c r="BK37" i="7"/>
  <c r="AG9" i="7"/>
  <c r="AG10" i="7"/>
  <c r="AN37" i="7"/>
  <c r="BL37" i="7"/>
  <c r="J37" i="7"/>
  <c r="AB37" i="7"/>
  <c r="AU37" i="7"/>
  <c r="BM37" i="7"/>
  <c r="AG44" i="7"/>
  <c r="K37" i="7"/>
  <c r="AC37" i="7"/>
  <c r="BN37" i="7"/>
  <c r="AB29" i="7"/>
  <c r="AR29" i="7"/>
  <c r="AZ29" i="7"/>
  <c r="BH29" i="7"/>
  <c r="F29" i="7"/>
  <c r="AT29" i="7"/>
  <c r="BB29" i="7"/>
  <c r="BJ29" i="7"/>
  <c r="H29" i="7"/>
  <c r="AC29" i="7"/>
  <c r="AN29" i="7"/>
  <c r="AX29" i="7"/>
  <c r="BI29" i="7"/>
  <c r="Y9" i="7"/>
  <c r="Y10" i="7"/>
  <c r="Y12" i="7"/>
  <c r="AO29" i="7"/>
  <c r="BK29" i="7"/>
  <c r="J29" i="7"/>
  <c r="AP29" i="7"/>
  <c r="BL29" i="7"/>
  <c r="K29" i="7"/>
  <c r="AG29" i="7"/>
  <c r="AQ29" i="7"/>
  <c r="BM29" i="7"/>
  <c r="BN29" i="7"/>
  <c r="Y29" i="7"/>
  <c r="AU29" i="7"/>
  <c r="BO29" i="7"/>
  <c r="E29" i="7"/>
  <c r="Y19" i="7"/>
  <c r="O29" i="7"/>
  <c r="BE29" i="7"/>
  <c r="Y44" i="7"/>
  <c r="AB21" i="7"/>
  <c r="AR21" i="7"/>
  <c r="AZ21" i="7"/>
  <c r="BH21" i="7"/>
  <c r="E21" i="7"/>
  <c r="AC21" i="7"/>
  <c r="BI21" i="7"/>
  <c r="F21" i="7"/>
  <c r="AT21" i="7"/>
  <c r="BB21" i="7"/>
  <c r="BJ21" i="7"/>
  <c r="H21" i="7"/>
  <c r="AN21" i="7"/>
  <c r="BL21" i="7"/>
  <c r="Q9" i="7"/>
  <c r="BO21" i="7"/>
  <c r="J21" i="7"/>
  <c r="AP21" i="7"/>
  <c r="BE21" i="7"/>
  <c r="AG21" i="7"/>
  <c r="BG21" i="7"/>
  <c r="K21" i="7"/>
  <c r="BK21" i="7"/>
  <c r="Q10" i="7"/>
  <c r="Q12" i="7"/>
  <c r="Q19" i="7"/>
  <c r="O21" i="7"/>
  <c r="AO21" i="7"/>
  <c r="BM21" i="7"/>
  <c r="Y21" i="7"/>
  <c r="AQ21" i="7"/>
  <c r="BN21" i="7"/>
  <c r="Q44" i="7"/>
  <c r="AB19" i="7"/>
  <c r="AR19" i="7"/>
  <c r="AZ19" i="7"/>
  <c r="BH19" i="7"/>
  <c r="E19" i="7"/>
  <c r="AC19" i="7"/>
  <c r="BI19" i="7"/>
  <c r="F19" i="7"/>
  <c r="AT19" i="7"/>
  <c r="BB19" i="7"/>
  <c r="BJ19" i="7"/>
  <c r="H19" i="7"/>
  <c r="AN19" i="7"/>
  <c r="BL19" i="7"/>
  <c r="AX19" i="7"/>
  <c r="BN19" i="7"/>
  <c r="BO19" i="7"/>
  <c r="J19" i="7"/>
  <c r="AP19" i="7"/>
  <c r="F6" i="7"/>
  <c r="K6" i="7"/>
  <c r="AN7" i="7"/>
  <c r="H7" i="7"/>
  <c r="C66" i="7"/>
  <c r="C58" i="7"/>
  <c r="C50" i="7"/>
  <c r="C10" i="7"/>
  <c r="BK7" i="7"/>
  <c r="AU7" i="7"/>
  <c r="O7" i="7"/>
  <c r="C65" i="7"/>
  <c r="C33" i="7"/>
  <c r="C9" i="7"/>
  <c r="BJ7" i="7"/>
  <c r="BB7" i="7"/>
  <c r="AT7" i="7"/>
  <c r="C56" i="7"/>
  <c r="C32" i="7"/>
  <c r="AC7" i="7"/>
  <c r="C63" i="7"/>
  <c r="C15" i="7"/>
  <c r="BH7" i="7"/>
  <c r="C70" i="7"/>
  <c r="C54" i="7"/>
  <c r="C46" i="7"/>
  <c r="C14" i="7"/>
  <c r="BO7" i="7"/>
  <c r="BG7" i="7"/>
  <c r="AQ7" i="7"/>
  <c r="K7" i="7"/>
  <c r="AZ7" i="7"/>
  <c r="AB7" i="7"/>
  <c r="C69" i="7"/>
  <c r="C61" i="7"/>
  <c r="C45" i="7"/>
  <c r="C37" i="7"/>
  <c r="C29" i="7"/>
  <c r="C21" i="7"/>
  <c r="BN7" i="7"/>
  <c r="AX7" i="7"/>
  <c r="AP7" i="7"/>
  <c r="J7" i="7"/>
  <c r="C48" i="7"/>
  <c r="BI7" i="7"/>
  <c r="C71" i="7"/>
  <c r="C47" i="7"/>
  <c r="C7" i="7"/>
  <c r="AR7" i="7"/>
  <c r="C68" i="7"/>
  <c r="C44" i="7"/>
  <c r="C12" i="7"/>
  <c r="BM7" i="7"/>
  <c r="BE7" i="7"/>
  <c r="AO7" i="7"/>
  <c r="AG7" i="7"/>
  <c r="Y7" i="7"/>
  <c r="Q7" i="7"/>
  <c r="B9" i="7"/>
  <c r="C6" i="7"/>
  <c r="AZ6" i="7"/>
  <c r="B50" i="7"/>
  <c r="BG6" i="7"/>
  <c r="BH6" i="7"/>
  <c r="AB6" i="7"/>
  <c r="B10" i="7"/>
  <c r="BE6" i="7"/>
  <c r="AG6" i="7"/>
  <c r="B8" i="8"/>
  <c r="B21" i="7"/>
  <c r="B29" i="7"/>
  <c r="B37" i="7"/>
  <c r="B45" i="7"/>
  <c r="B61" i="7"/>
  <c r="B69" i="7"/>
  <c r="BL6" i="7"/>
  <c r="AN6" i="7"/>
  <c r="H6" i="7"/>
  <c r="E6" i="7"/>
  <c r="B66" i="7"/>
  <c r="B2" i="7"/>
  <c r="B19" i="7"/>
  <c r="B51" i="7"/>
  <c r="B67" i="7"/>
  <c r="AP6" i="7"/>
  <c r="J6" i="7"/>
  <c r="B12" i="7"/>
  <c r="Y6" i="7"/>
  <c r="B6" i="7"/>
  <c r="B14" i="7"/>
  <c r="B46" i="7"/>
  <c r="B54" i="7"/>
  <c r="B70" i="7"/>
  <c r="BK6" i="7"/>
  <c r="AU6" i="7"/>
  <c r="O6" i="7"/>
  <c r="B33" i="7"/>
  <c r="B65" i="7"/>
  <c r="AR6" i="7"/>
  <c r="B58" i="7"/>
  <c r="BO6" i="7"/>
  <c r="AQ6" i="7"/>
  <c r="BN6" i="7"/>
  <c r="AX6" i="7"/>
  <c r="B44" i="7"/>
  <c r="B68" i="7"/>
  <c r="BM6" i="7"/>
  <c r="AO6" i="7"/>
  <c r="Q6" i="7"/>
  <c r="B7" i="7"/>
  <c r="B15" i="7"/>
  <c r="B47" i="7"/>
  <c r="B63" i="7"/>
  <c r="B71" i="7"/>
  <c r="BJ6" i="7"/>
  <c r="BB6" i="7"/>
  <c r="AT6" i="7"/>
  <c r="K18" i="22" l="1"/>
  <c r="G76" i="23"/>
  <c r="H28" i="23"/>
  <c r="I30" i="22"/>
  <c r="G17" i="19"/>
  <c r="H19" i="18"/>
  <c r="H45" i="23"/>
  <c r="I47" i="22"/>
  <c r="G2" i="19"/>
  <c r="H4" i="18"/>
  <c r="O44" i="16"/>
  <c r="I44" i="16"/>
  <c r="H42" i="17"/>
  <c r="B76" i="17"/>
  <c r="G76" i="21"/>
  <c r="F74" i="17"/>
  <c r="G53" i="19"/>
  <c r="H55" i="18"/>
  <c r="I68" i="18"/>
  <c r="H66" i="19"/>
  <c r="H65" i="18"/>
  <c r="G63" i="19"/>
  <c r="H27" i="23"/>
  <c r="I29" i="22"/>
  <c r="I37" i="16"/>
  <c r="H35" i="17"/>
  <c r="I34" i="18"/>
  <c r="H32" i="19"/>
  <c r="H9" i="18"/>
  <c r="G7" i="19"/>
  <c r="G34" i="19"/>
  <c r="H36" i="18"/>
  <c r="H39" i="18"/>
  <c r="G37" i="19"/>
  <c r="G9" i="19"/>
  <c r="H11" i="18"/>
  <c r="G58" i="19"/>
  <c r="H60" i="18"/>
  <c r="H14" i="23"/>
  <c r="I16" i="22"/>
  <c r="I36" i="17"/>
  <c r="J38" i="16"/>
  <c r="H58" i="23"/>
  <c r="I60" i="22"/>
  <c r="H50" i="19"/>
  <c r="I52" i="18"/>
  <c r="H5" i="18"/>
  <c r="G3" i="19"/>
  <c r="H18" i="23"/>
  <c r="I20" i="22"/>
  <c r="G35" i="19"/>
  <c r="H37" i="18"/>
  <c r="J44" i="18"/>
  <c r="H42" i="19"/>
  <c r="I44" i="18"/>
  <c r="I42" i="19" s="1"/>
  <c r="I55" i="19"/>
  <c r="J57" i="18"/>
  <c r="I27" i="16"/>
  <c r="H25" i="17"/>
  <c r="H61" i="18"/>
  <c r="G59" i="19"/>
  <c r="H31" i="18"/>
  <c r="G29" i="19"/>
  <c r="H59" i="23"/>
  <c r="I61" i="22"/>
  <c r="J29" i="20"/>
  <c r="I27" i="21"/>
  <c r="H54" i="16"/>
  <c r="G52" i="17"/>
  <c r="H2" i="17"/>
  <c r="I4" i="16"/>
  <c r="H49" i="16"/>
  <c r="G47" i="17"/>
  <c r="H45" i="19"/>
  <c r="I47" i="18"/>
  <c r="H62" i="23"/>
  <c r="I64" i="22"/>
  <c r="J28" i="16"/>
  <c r="I26" i="17"/>
  <c r="H41" i="19"/>
  <c r="I43" i="18"/>
  <c r="G45" i="17"/>
  <c r="H47" i="16"/>
  <c r="I28" i="20"/>
  <c r="H26" i="21"/>
  <c r="I62" i="17"/>
  <c r="J64" i="16"/>
  <c r="G54" i="17"/>
  <c r="H56" i="16"/>
  <c r="H42" i="23"/>
  <c r="I44" i="22"/>
  <c r="H25" i="19"/>
  <c r="I27" i="18"/>
  <c r="I23" i="19"/>
  <c r="J25" i="18"/>
  <c r="I48" i="20"/>
  <c r="H46" i="21"/>
  <c r="K65" i="20"/>
  <c r="J63" i="21"/>
  <c r="H34" i="17"/>
  <c r="I36" i="16"/>
  <c r="H23" i="23"/>
  <c r="I25" i="22"/>
  <c r="H64" i="17"/>
  <c r="I66" i="16"/>
  <c r="I56" i="20"/>
  <c r="H54" i="21"/>
  <c r="I66" i="20"/>
  <c r="H64" i="21"/>
  <c r="I43" i="23"/>
  <c r="J45" i="22"/>
  <c r="O67" i="16"/>
  <c r="U67" i="16"/>
  <c r="U65" i="17" s="1"/>
  <c r="H65" i="17"/>
  <c r="I67" i="16"/>
  <c r="G48" i="19"/>
  <c r="H50" i="18"/>
  <c r="I41" i="22"/>
  <c r="H39" i="23"/>
  <c r="H15" i="23"/>
  <c r="I17" i="22"/>
  <c r="I68" i="20"/>
  <c r="H66" i="21"/>
  <c r="H30" i="23"/>
  <c r="I32" i="22"/>
  <c r="I21" i="18"/>
  <c r="H19" i="19"/>
  <c r="I47" i="23"/>
  <c r="J49" i="22"/>
  <c r="I33" i="17"/>
  <c r="J35" i="16"/>
  <c r="L59" i="22"/>
  <c r="K57" i="23"/>
  <c r="O59" i="22"/>
  <c r="P59" i="22" s="1"/>
  <c r="F72" i="17"/>
  <c r="G64" i="19"/>
  <c r="H66" i="18"/>
  <c r="K10" i="19"/>
  <c r="L12" i="18"/>
  <c r="J26" i="22"/>
  <c r="J24" i="23" s="1"/>
  <c r="H24" i="23"/>
  <c r="I26" i="22"/>
  <c r="K26" i="22"/>
  <c r="L44" i="20"/>
  <c r="K42" i="21"/>
  <c r="H4" i="23"/>
  <c r="I6" i="22"/>
  <c r="G37" i="17"/>
  <c r="H39" i="16"/>
  <c r="J30" i="20"/>
  <c r="I28" i="21"/>
  <c r="H15" i="18"/>
  <c r="G13" i="19"/>
  <c r="H67" i="18"/>
  <c r="G65" i="19"/>
  <c r="I44" i="23"/>
  <c r="J46" i="22"/>
  <c r="G46" i="17"/>
  <c r="H48" i="16"/>
  <c r="I62" i="20"/>
  <c r="H60" i="21"/>
  <c r="J3" i="17"/>
  <c r="K5" i="16"/>
  <c r="J38" i="23"/>
  <c r="K40" i="22"/>
  <c r="I17" i="20"/>
  <c r="H15" i="21"/>
  <c r="G60" i="19"/>
  <c r="H62" i="18"/>
  <c r="F76" i="19"/>
  <c r="B76" i="19"/>
  <c r="D76" i="19"/>
  <c r="F72" i="19"/>
  <c r="C76" i="19"/>
  <c r="F68" i="19"/>
  <c r="F70" i="19" s="1"/>
  <c r="E76" i="19"/>
  <c r="F73" i="19"/>
  <c r="F74" i="19"/>
  <c r="I43" i="16"/>
  <c r="H41" i="17"/>
  <c r="I35" i="22"/>
  <c r="H33" i="23"/>
  <c r="I35" i="23"/>
  <c r="J37" i="22"/>
  <c r="I40" i="16"/>
  <c r="H38" i="17"/>
  <c r="K39" i="20"/>
  <c r="J37" i="21"/>
  <c r="I19" i="16"/>
  <c r="H17" i="17"/>
  <c r="I35" i="20"/>
  <c r="H33" i="21"/>
  <c r="I52" i="20"/>
  <c r="H50" i="21"/>
  <c r="J51" i="17"/>
  <c r="K53" i="16"/>
  <c r="J5" i="23"/>
  <c r="K7" i="22"/>
  <c r="I40" i="20"/>
  <c r="H38" i="21"/>
  <c r="G16" i="17"/>
  <c r="H18" i="16"/>
  <c r="G62" i="19"/>
  <c r="H64" i="18"/>
  <c r="Q24" i="17"/>
  <c r="R26" i="16"/>
  <c r="S26" i="16"/>
  <c r="S24" i="17" s="1"/>
  <c r="I42" i="22"/>
  <c r="H40" i="23"/>
  <c r="H32" i="18"/>
  <c r="G30" i="19"/>
  <c r="I63" i="16"/>
  <c r="H61" i="17"/>
  <c r="I58" i="20"/>
  <c r="H56" i="21"/>
  <c r="O8" i="18"/>
  <c r="I8" i="18"/>
  <c r="H6" i="19"/>
  <c r="J45" i="20"/>
  <c r="I43" i="21"/>
  <c r="H34" i="16"/>
  <c r="G32" i="17"/>
  <c r="J33" i="20"/>
  <c r="I31" i="21"/>
  <c r="J55" i="22"/>
  <c r="I53" i="23"/>
  <c r="I9" i="23"/>
  <c r="J11" i="22"/>
  <c r="J49" i="19"/>
  <c r="K51" i="18"/>
  <c r="I5" i="22"/>
  <c r="H3" i="23"/>
  <c r="G53" i="17"/>
  <c r="H55" i="16"/>
  <c r="H22" i="23"/>
  <c r="I24" i="22"/>
  <c r="I36" i="20"/>
  <c r="H34" i="21"/>
  <c r="T59" i="16"/>
  <c r="R57" i="17"/>
  <c r="J21" i="20"/>
  <c r="I19" i="21"/>
  <c r="F73" i="17"/>
  <c r="D76" i="17"/>
  <c r="C76" i="17"/>
  <c r="K14" i="20"/>
  <c r="J12" i="21"/>
  <c r="K5" i="20"/>
  <c r="J3" i="21"/>
  <c r="L38" i="20"/>
  <c r="K36" i="21"/>
  <c r="J57" i="22"/>
  <c r="I55" i="23"/>
  <c r="I49" i="18"/>
  <c r="H47" i="19"/>
  <c r="H58" i="17"/>
  <c r="I60" i="16"/>
  <c r="P8" i="20"/>
  <c r="N8" i="20"/>
  <c r="N6" i="21" s="1"/>
  <c r="M6" i="21"/>
  <c r="H54" i="19"/>
  <c r="I56" i="18"/>
  <c r="G43" i="17"/>
  <c r="H45" i="16"/>
  <c r="H9" i="16"/>
  <c r="G7" i="17"/>
  <c r="I17" i="18"/>
  <c r="H15" i="19"/>
  <c r="H26" i="23"/>
  <c r="I28" i="22"/>
  <c r="L18" i="22"/>
  <c r="K16" i="23"/>
  <c r="O18" i="22"/>
  <c r="H34" i="23"/>
  <c r="I36" i="22"/>
  <c r="I9" i="20"/>
  <c r="H7" i="21"/>
  <c r="J55" i="21"/>
  <c r="K57" i="20"/>
  <c r="I26" i="19"/>
  <c r="J28" i="18"/>
  <c r="H41" i="16"/>
  <c r="G39" i="17"/>
  <c r="G44" i="19"/>
  <c r="H46" i="18"/>
  <c r="H46" i="19"/>
  <c r="I48" i="18"/>
  <c r="H55" i="17"/>
  <c r="I57" i="16"/>
  <c r="I67" i="20"/>
  <c r="H65" i="21"/>
  <c r="O67" i="20"/>
  <c r="I16" i="18"/>
  <c r="H14" i="19"/>
  <c r="H4" i="17"/>
  <c r="I6" i="16"/>
  <c r="J46" i="20"/>
  <c r="I44" i="21"/>
  <c r="I54" i="23"/>
  <c r="J56" i="22"/>
  <c r="P59" i="18"/>
  <c r="L57" i="19"/>
  <c r="M59" i="18"/>
  <c r="I55" i="20"/>
  <c r="H53" i="21"/>
  <c r="Q26" i="18"/>
  <c r="P24" i="19"/>
  <c r="J34" i="20"/>
  <c r="I32" i="21"/>
  <c r="I60" i="23"/>
  <c r="J62" i="22"/>
  <c r="G23" i="17"/>
  <c r="H25" i="16"/>
  <c r="U59" i="20"/>
  <c r="T59" i="20"/>
  <c r="T57" i="21" s="1"/>
  <c r="S57" i="21"/>
  <c r="I49" i="20"/>
  <c r="H47" i="21"/>
  <c r="J25" i="20"/>
  <c r="I23" i="21"/>
  <c r="H16" i="19"/>
  <c r="J18" i="18"/>
  <c r="I18" i="18"/>
  <c r="I16" i="19" s="1"/>
  <c r="O18" i="18"/>
  <c r="H13" i="16"/>
  <c r="G11" i="17"/>
  <c r="I47" i="20"/>
  <c r="H45" i="21"/>
  <c r="H33" i="18"/>
  <c r="G31" i="19"/>
  <c r="G5" i="17"/>
  <c r="H7" i="16"/>
  <c r="H42" i="18"/>
  <c r="G40" i="19"/>
  <c r="I51" i="20"/>
  <c r="H49" i="21"/>
  <c r="H41" i="23"/>
  <c r="I43" i="22"/>
  <c r="J15" i="20"/>
  <c r="I13" i="21"/>
  <c r="E76" i="17"/>
  <c r="F68" i="17"/>
  <c r="F70" i="17" s="1"/>
  <c r="I27" i="20"/>
  <c r="H25" i="21"/>
  <c r="J51" i="22"/>
  <c r="I49" i="23"/>
  <c r="K37" i="20"/>
  <c r="J35" i="21"/>
  <c r="J54" i="20"/>
  <c r="I52" i="21"/>
  <c r="H41" i="18"/>
  <c r="G39" i="19"/>
  <c r="K31" i="20"/>
  <c r="J29" i="21"/>
  <c r="I64" i="20"/>
  <c r="H62" i="21"/>
  <c r="I20" i="20"/>
  <c r="H18" i="21"/>
  <c r="I18" i="19"/>
  <c r="J20" i="18"/>
  <c r="J53" i="20"/>
  <c r="I51" i="21"/>
  <c r="H58" i="16"/>
  <c r="G56" i="17"/>
  <c r="I11" i="23"/>
  <c r="J13" i="22"/>
  <c r="G20" i="19"/>
  <c r="H22" i="18"/>
  <c r="I16" i="20"/>
  <c r="H14" i="21"/>
  <c r="G30" i="17"/>
  <c r="H32" i="16"/>
  <c r="I31" i="23"/>
  <c r="J33" i="22"/>
  <c r="G14" i="17"/>
  <c r="H16" i="16"/>
  <c r="G36" i="19"/>
  <c r="H38" i="18"/>
  <c r="J19" i="17"/>
  <c r="K21" i="16"/>
  <c r="Q8" i="21"/>
  <c r="T10" i="20"/>
  <c r="T8" i="21" s="1"/>
  <c r="S10" i="20"/>
  <c r="S8" i="21" s="1"/>
  <c r="J13" i="20"/>
  <c r="I11" i="21"/>
  <c r="G12" i="19"/>
  <c r="H14" i="18"/>
  <c r="H45" i="18"/>
  <c r="G43" i="19"/>
  <c r="H25" i="23"/>
  <c r="I27" i="22"/>
  <c r="H51" i="23"/>
  <c r="I53" i="22"/>
  <c r="H14" i="16"/>
  <c r="G12" i="17"/>
  <c r="G63" i="17"/>
  <c r="H65" i="16"/>
  <c r="H40" i="17"/>
  <c r="I42" i="16"/>
  <c r="J36" i="23"/>
  <c r="K38" i="22"/>
  <c r="I8" i="22"/>
  <c r="K60" i="20"/>
  <c r="J58" i="21"/>
  <c r="H31" i="17"/>
  <c r="I33" i="16"/>
  <c r="I32" i="20"/>
  <c r="H30" i="21"/>
  <c r="I20" i="16"/>
  <c r="H18" i="17"/>
  <c r="H11" i="19"/>
  <c r="I13" i="18"/>
  <c r="Q26" i="20"/>
  <c r="P24" i="21"/>
  <c r="I61" i="16"/>
  <c r="H59" i="17"/>
  <c r="G27" i="19"/>
  <c r="H29" i="18"/>
  <c r="H24" i="18"/>
  <c r="G22" i="19"/>
  <c r="I9" i="22"/>
  <c r="H7" i="23"/>
  <c r="W26" i="16"/>
  <c r="Y26" i="16"/>
  <c r="V24" i="17"/>
  <c r="I12" i="20"/>
  <c r="H10" i="21"/>
  <c r="G21" i="17"/>
  <c r="H23" i="16"/>
  <c r="C77" i="21"/>
  <c r="F77" i="21"/>
  <c r="E77" i="21"/>
  <c r="G68" i="21"/>
  <c r="G70" i="21" s="1"/>
  <c r="G77" i="21"/>
  <c r="B77" i="21"/>
  <c r="D77" i="21"/>
  <c r="G72" i="21"/>
  <c r="G73" i="21"/>
  <c r="G74" i="21"/>
  <c r="G75" i="21"/>
  <c r="I61" i="19"/>
  <c r="J63" i="18"/>
  <c r="I56" i="23"/>
  <c r="J58" i="22"/>
  <c r="F75" i="17"/>
  <c r="I50" i="20"/>
  <c r="H48" i="21"/>
  <c r="I68" i="16"/>
  <c r="H66" i="17"/>
  <c r="H50" i="16"/>
  <c r="G48" i="17"/>
  <c r="F76" i="17"/>
  <c r="H62" i="16"/>
  <c r="G60" i="17"/>
  <c r="H2" i="23"/>
  <c r="I4" i="22"/>
  <c r="H10" i="17"/>
  <c r="I12" i="16"/>
  <c r="H66" i="23"/>
  <c r="I68" i="22"/>
  <c r="H13" i="23"/>
  <c r="I15" i="22"/>
  <c r="I63" i="20"/>
  <c r="H61" i="21"/>
  <c r="I42" i="20"/>
  <c r="H40" i="21"/>
  <c r="H50" i="23"/>
  <c r="I52" i="22"/>
  <c r="I63" i="22"/>
  <c r="H61" i="23"/>
  <c r="H46" i="16"/>
  <c r="G44" i="17"/>
  <c r="J10" i="18"/>
  <c r="O10" i="18"/>
  <c r="H8" i="19"/>
  <c r="I10" i="18"/>
  <c r="I8" i="19" s="1"/>
  <c r="J39" i="22"/>
  <c r="I37" i="23"/>
  <c r="H20" i="23"/>
  <c r="I22" i="22"/>
  <c r="J13" i="17"/>
  <c r="K15" i="16"/>
  <c r="I21" i="23"/>
  <c r="J23" i="22"/>
  <c r="H22" i="17"/>
  <c r="I24" i="16"/>
  <c r="I49" i="17"/>
  <c r="J51" i="16"/>
  <c r="I19" i="20"/>
  <c r="H17" i="21"/>
  <c r="G28" i="19"/>
  <c r="H30" i="18"/>
  <c r="M26" i="16"/>
  <c r="M24" i="17" s="1"/>
  <c r="L24" i="17"/>
  <c r="I11" i="16"/>
  <c r="H9" i="17"/>
  <c r="O8" i="16"/>
  <c r="H6" i="17"/>
  <c r="U8" i="16"/>
  <c r="I8" i="16"/>
  <c r="H53" i="18"/>
  <c r="G51" i="19"/>
  <c r="H63" i="23"/>
  <c r="I65" i="22"/>
  <c r="H29" i="16"/>
  <c r="G27" i="17"/>
  <c r="H10" i="23"/>
  <c r="I12" i="22"/>
  <c r="H29" i="23"/>
  <c r="I31" i="22"/>
  <c r="H40" i="18"/>
  <c r="G38" i="19"/>
  <c r="H46" i="23"/>
  <c r="I48" i="22"/>
  <c r="I54" i="22"/>
  <c r="H52" i="23"/>
  <c r="I17" i="23"/>
  <c r="J19" i="22"/>
  <c r="H48" i="23"/>
  <c r="I50" i="22"/>
  <c r="J11" i="20"/>
  <c r="I9" i="21"/>
  <c r="J64" i="23"/>
  <c r="K66" i="22"/>
  <c r="H50" i="17"/>
  <c r="I52" i="16"/>
  <c r="I22" i="16"/>
  <c r="H20" i="17"/>
  <c r="I12" i="23"/>
  <c r="J14" i="22"/>
  <c r="G56" i="19"/>
  <c r="H58" i="18"/>
  <c r="L6" i="20"/>
  <c r="K4" i="21"/>
  <c r="J18" i="20"/>
  <c r="H16" i="21"/>
  <c r="O18" i="20"/>
  <c r="O16" i="21" s="1"/>
  <c r="I18" i="20"/>
  <c r="I16" i="21" s="1"/>
  <c r="H10" i="16"/>
  <c r="G8" i="17"/>
  <c r="H7" i="18"/>
  <c r="G5" i="19"/>
  <c r="J61" i="20"/>
  <c r="I59" i="21"/>
  <c r="H15" i="17"/>
  <c r="I17" i="16"/>
  <c r="L10" i="20"/>
  <c r="K8" i="21"/>
  <c r="H30" i="16"/>
  <c r="G28" i="17"/>
  <c r="G52" i="19"/>
  <c r="H54" i="18"/>
  <c r="H23" i="18"/>
  <c r="G21" i="19"/>
  <c r="H33" i="19"/>
  <c r="I35" i="18"/>
  <c r="J8" i="23"/>
  <c r="K10" i="22"/>
  <c r="I4" i="20"/>
  <c r="H2" i="21"/>
  <c r="G4" i="19"/>
  <c r="H6" i="18"/>
  <c r="I24" i="20"/>
  <c r="H22" i="21"/>
  <c r="L7" i="20"/>
  <c r="K5" i="21"/>
  <c r="H32" i="23"/>
  <c r="I34" i="22"/>
  <c r="J22" i="20"/>
  <c r="I20" i="21"/>
  <c r="F77" i="23"/>
  <c r="C77" i="23"/>
  <c r="D77" i="23"/>
  <c r="E77" i="23"/>
  <c r="G68" i="23"/>
  <c r="G70" i="23" s="1"/>
  <c r="B77" i="23"/>
  <c r="G77" i="23"/>
  <c r="G72" i="23"/>
  <c r="G73" i="23"/>
  <c r="G74" i="23"/>
  <c r="G75" i="23"/>
  <c r="I67" i="22"/>
  <c r="H65" i="23"/>
  <c r="I43" i="20"/>
  <c r="H41" i="21"/>
  <c r="K21" i="22"/>
  <c r="J19" i="23"/>
  <c r="I29" i="17"/>
  <c r="J31" i="16"/>
  <c r="I23" i="20"/>
  <c r="H21" i="21"/>
  <c r="I41" i="20"/>
  <c r="H39" i="21"/>
  <c r="H34" i="19" l="1"/>
  <c r="I36" i="18"/>
  <c r="I27" i="23"/>
  <c r="J29" i="22"/>
  <c r="F77" i="17"/>
  <c r="I45" i="23"/>
  <c r="J47" i="22"/>
  <c r="I60" i="18"/>
  <c r="H58" i="19"/>
  <c r="I9" i="18"/>
  <c r="H7" i="19"/>
  <c r="I65" i="18"/>
  <c r="H63" i="19"/>
  <c r="H17" i="19"/>
  <c r="I19" i="18"/>
  <c r="H77" i="21"/>
  <c r="H9" i="19"/>
  <c r="I11" i="18"/>
  <c r="I32" i="19"/>
  <c r="J34" i="18"/>
  <c r="I66" i="19"/>
  <c r="J68" i="18"/>
  <c r="J44" i="16"/>
  <c r="I42" i="17"/>
  <c r="I28" i="23"/>
  <c r="J30" i="22"/>
  <c r="G76" i="19"/>
  <c r="H53" i="19"/>
  <c r="I55" i="18"/>
  <c r="O42" i="17"/>
  <c r="Q44" i="16"/>
  <c r="P44" i="16"/>
  <c r="P42" i="17" s="1"/>
  <c r="I39" i="18"/>
  <c r="H37" i="19"/>
  <c r="I35" i="17"/>
  <c r="J37" i="16"/>
  <c r="H2" i="19"/>
  <c r="I4" i="18"/>
  <c r="P57" i="23"/>
  <c r="J41" i="20"/>
  <c r="I39" i="21"/>
  <c r="I20" i="17"/>
  <c r="J22" i="16"/>
  <c r="J17" i="16"/>
  <c r="I15" i="17"/>
  <c r="J48" i="22"/>
  <c r="I46" i="23"/>
  <c r="I53" i="18"/>
  <c r="H51" i="19"/>
  <c r="I58" i="16"/>
  <c r="H56" i="17"/>
  <c r="L37" i="20"/>
  <c r="K35" i="21"/>
  <c r="K15" i="20"/>
  <c r="J13" i="21"/>
  <c r="J17" i="18"/>
  <c r="I15" i="19"/>
  <c r="G76" i="17"/>
  <c r="J53" i="23"/>
  <c r="K55" i="22"/>
  <c r="J52" i="20"/>
  <c r="I50" i="21"/>
  <c r="G72" i="17"/>
  <c r="K45" i="22"/>
  <c r="J43" i="23"/>
  <c r="I23" i="23"/>
  <c r="J25" i="22"/>
  <c r="K25" i="18"/>
  <c r="J23" i="19"/>
  <c r="I56" i="16"/>
  <c r="H54" i="17"/>
  <c r="J47" i="18"/>
  <c r="I45" i="19"/>
  <c r="L21" i="22"/>
  <c r="K19" i="23"/>
  <c r="I32" i="23"/>
  <c r="J34" i="22"/>
  <c r="H78" i="21"/>
  <c r="E78" i="21"/>
  <c r="B78" i="21"/>
  <c r="H68" i="21"/>
  <c r="H70" i="21" s="1"/>
  <c r="F78" i="21"/>
  <c r="D78" i="21"/>
  <c r="G78" i="21"/>
  <c r="C78" i="21"/>
  <c r="H72" i="21"/>
  <c r="H73" i="21"/>
  <c r="H74" i="21"/>
  <c r="H75" i="21"/>
  <c r="H76" i="21"/>
  <c r="K11" i="20"/>
  <c r="J9" i="21"/>
  <c r="I10" i="23"/>
  <c r="J12" i="22"/>
  <c r="J8" i="16"/>
  <c r="I6" i="17"/>
  <c r="K51" i="16"/>
  <c r="J49" i="17"/>
  <c r="O8" i="19"/>
  <c r="Q10" i="18"/>
  <c r="P10" i="18"/>
  <c r="P8" i="19" s="1"/>
  <c r="I10" i="17"/>
  <c r="J12" i="16"/>
  <c r="I50" i="16"/>
  <c r="H48" i="17"/>
  <c r="K58" i="22"/>
  <c r="J56" i="23"/>
  <c r="Y24" i="17"/>
  <c r="Z26" i="16"/>
  <c r="Z24" i="17" s="1"/>
  <c r="AA26" i="16"/>
  <c r="AA24" i="17" s="1"/>
  <c r="K13" i="20"/>
  <c r="J11" i="21"/>
  <c r="I38" i="18"/>
  <c r="H36" i="19"/>
  <c r="I41" i="23"/>
  <c r="J43" i="22"/>
  <c r="K18" i="18"/>
  <c r="J16" i="19"/>
  <c r="V59" i="20"/>
  <c r="U57" i="21"/>
  <c r="V26" i="18"/>
  <c r="Q24" i="19"/>
  <c r="R26" i="18"/>
  <c r="R24" i="19" s="1"/>
  <c r="S26" i="18"/>
  <c r="J67" i="20"/>
  <c r="I65" i="21"/>
  <c r="I41" i="16"/>
  <c r="H39" i="17"/>
  <c r="Q8" i="20"/>
  <c r="P6" i="21"/>
  <c r="K57" i="22"/>
  <c r="J55" i="23"/>
  <c r="V59" i="16"/>
  <c r="T57" i="17"/>
  <c r="U59" i="16"/>
  <c r="U57" i="17" s="1"/>
  <c r="O6" i="19"/>
  <c r="U8" i="18"/>
  <c r="P8" i="18"/>
  <c r="J42" i="22"/>
  <c r="I40" i="23"/>
  <c r="K37" i="22"/>
  <c r="J35" i="23"/>
  <c r="G73" i="17"/>
  <c r="E77" i="17"/>
  <c r="G77" i="17"/>
  <c r="K3" i="17"/>
  <c r="L5" i="16"/>
  <c r="I4" i="23"/>
  <c r="J6" i="22"/>
  <c r="M12" i="18"/>
  <c r="L10" i="19"/>
  <c r="J21" i="18"/>
  <c r="I19" i="19"/>
  <c r="I39" i="23"/>
  <c r="J41" i="22"/>
  <c r="K29" i="20"/>
  <c r="J27" i="21"/>
  <c r="I25" i="17"/>
  <c r="J27" i="16"/>
  <c r="I58" i="23"/>
  <c r="J60" i="22"/>
  <c r="J16" i="21"/>
  <c r="K18" i="20"/>
  <c r="H21" i="19"/>
  <c r="I23" i="18"/>
  <c r="K14" i="22"/>
  <c r="J12" i="23"/>
  <c r="J19" i="20"/>
  <c r="I17" i="21"/>
  <c r="J20" i="16"/>
  <c r="I18" i="17"/>
  <c r="J27" i="22"/>
  <c r="I25" i="23"/>
  <c r="J64" i="20"/>
  <c r="I62" i="21"/>
  <c r="J36" i="22"/>
  <c r="I34" i="23"/>
  <c r="J8" i="18"/>
  <c r="I6" i="19"/>
  <c r="J40" i="16"/>
  <c r="I38" i="17"/>
  <c r="C77" i="17"/>
  <c r="M59" i="22"/>
  <c r="L57" i="23"/>
  <c r="J4" i="20"/>
  <c r="I2" i="21"/>
  <c r="I54" i="18"/>
  <c r="H52" i="19"/>
  <c r="I48" i="23"/>
  <c r="J50" i="22"/>
  <c r="U6" i="17"/>
  <c r="V8" i="16"/>
  <c r="J8" i="19"/>
  <c r="K10" i="18"/>
  <c r="J42" i="20"/>
  <c r="I40" i="21"/>
  <c r="X26" i="16"/>
  <c r="X24" i="17" s="1"/>
  <c r="W24" i="17"/>
  <c r="I59" i="17"/>
  <c r="J61" i="16"/>
  <c r="J32" i="20"/>
  <c r="I30" i="21"/>
  <c r="L60" i="20"/>
  <c r="K58" i="21"/>
  <c r="H63" i="17"/>
  <c r="I65" i="16"/>
  <c r="J16" i="20"/>
  <c r="I14" i="21"/>
  <c r="K53" i="20"/>
  <c r="J51" i="21"/>
  <c r="L31" i="20"/>
  <c r="K29" i="21"/>
  <c r="J49" i="23"/>
  <c r="K51" i="22"/>
  <c r="I33" i="18"/>
  <c r="H31" i="19"/>
  <c r="H23" i="17"/>
  <c r="I25" i="16"/>
  <c r="K46" i="20"/>
  <c r="J44" i="21"/>
  <c r="J57" i="16"/>
  <c r="I55" i="17"/>
  <c r="K28" i="18"/>
  <c r="J26" i="19"/>
  <c r="O16" i="23"/>
  <c r="P18" i="22"/>
  <c r="I9" i="16"/>
  <c r="H7" i="17"/>
  <c r="I58" i="17"/>
  <c r="J60" i="16"/>
  <c r="J5" i="22"/>
  <c r="I3" i="23"/>
  <c r="K33" i="20"/>
  <c r="J31" i="21"/>
  <c r="J40" i="20"/>
  <c r="I38" i="21"/>
  <c r="J35" i="20"/>
  <c r="I33" i="21"/>
  <c r="H60" i="19"/>
  <c r="I62" i="18"/>
  <c r="G68" i="17"/>
  <c r="G70" i="17" s="1"/>
  <c r="H65" i="19"/>
  <c r="I67" i="18"/>
  <c r="J32" i="22"/>
  <c r="I30" i="23"/>
  <c r="H48" i="19"/>
  <c r="I50" i="18"/>
  <c r="J36" i="16"/>
  <c r="I34" i="17"/>
  <c r="I25" i="19"/>
  <c r="J27" i="18"/>
  <c r="K64" i="16"/>
  <c r="J62" i="17"/>
  <c r="I41" i="19"/>
  <c r="J43" i="18"/>
  <c r="I59" i="23"/>
  <c r="J61" i="22"/>
  <c r="J55" i="19"/>
  <c r="K57" i="18"/>
  <c r="K61" i="20"/>
  <c r="J59" i="21"/>
  <c r="I30" i="18"/>
  <c r="H28" i="19"/>
  <c r="I20" i="23"/>
  <c r="J22" i="22"/>
  <c r="I2" i="23"/>
  <c r="J4" i="22"/>
  <c r="J8" i="22"/>
  <c r="I6" i="23"/>
  <c r="H43" i="17"/>
  <c r="I45" i="16"/>
  <c r="J58" i="20"/>
  <c r="I56" i="21"/>
  <c r="R24" i="17"/>
  <c r="T26" i="16"/>
  <c r="T24" i="17" s="1"/>
  <c r="L7" i="22"/>
  <c r="K5" i="23"/>
  <c r="I18" i="23"/>
  <c r="J20" i="22"/>
  <c r="M7" i="20"/>
  <c r="L5" i="21"/>
  <c r="I46" i="16"/>
  <c r="H44" i="17"/>
  <c r="J51" i="20"/>
  <c r="I49" i="21"/>
  <c r="K62" i="22"/>
  <c r="J60" i="23"/>
  <c r="M57" i="19"/>
  <c r="N59" i="18"/>
  <c r="N57" i="19" s="1"/>
  <c r="J36" i="20"/>
  <c r="I34" i="21"/>
  <c r="I34" i="16"/>
  <c r="H32" i="17"/>
  <c r="M44" i="20"/>
  <c r="L42" i="21"/>
  <c r="K35" i="16"/>
  <c r="J33" i="17"/>
  <c r="I65" i="17"/>
  <c r="J67" i="16"/>
  <c r="J44" i="22"/>
  <c r="I42" i="23"/>
  <c r="J4" i="16"/>
  <c r="I2" i="17"/>
  <c r="J23" i="20"/>
  <c r="I21" i="21"/>
  <c r="I65" i="23"/>
  <c r="J67" i="22"/>
  <c r="I33" i="19"/>
  <c r="J35" i="18"/>
  <c r="H28" i="17"/>
  <c r="I30" i="16"/>
  <c r="H5" i="19"/>
  <c r="I7" i="18"/>
  <c r="M6" i="20"/>
  <c r="L4" i="21"/>
  <c r="I63" i="23"/>
  <c r="J65" i="22"/>
  <c r="J21" i="23"/>
  <c r="K23" i="22"/>
  <c r="I13" i="23"/>
  <c r="J15" i="22"/>
  <c r="J50" i="20"/>
  <c r="I48" i="21"/>
  <c r="J13" i="18"/>
  <c r="I11" i="19"/>
  <c r="H12" i="17"/>
  <c r="I14" i="16"/>
  <c r="J31" i="23"/>
  <c r="K33" i="22"/>
  <c r="J11" i="23"/>
  <c r="K13" i="22"/>
  <c r="I26" i="23"/>
  <c r="J28" i="22"/>
  <c r="I54" i="19"/>
  <c r="J56" i="18"/>
  <c r="J49" i="18"/>
  <c r="I47" i="19"/>
  <c r="L5" i="20"/>
  <c r="K3" i="21"/>
  <c r="I22" i="23"/>
  <c r="J24" i="22"/>
  <c r="J9" i="23"/>
  <c r="K11" i="22"/>
  <c r="J63" i="16"/>
  <c r="I61" i="17"/>
  <c r="H62" i="19"/>
  <c r="I64" i="18"/>
  <c r="K51" i="17"/>
  <c r="L53" i="16"/>
  <c r="J17" i="20"/>
  <c r="I15" i="21"/>
  <c r="D77" i="17"/>
  <c r="K38" i="23"/>
  <c r="L40" i="22"/>
  <c r="H46" i="17"/>
  <c r="I48" i="16"/>
  <c r="O26" i="22"/>
  <c r="K24" i="23"/>
  <c r="L26" i="22"/>
  <c r="L24" i="23" s="1"/>
  <c r="J68" i="20"/>
  <c r="I66" i="21"/>
  <c r="J56" i="20"/>
  <c r="I54" i="21"/>
  <c r="L65" i="20"/>
  <c r="K63" i="21"/>
  <c r="J28" i="20"/>
  <c r="I26" i="21"/>
  <c r="K28" i="16"/>
  <c r="J26" i="17"/>
  <c r="H29" i="19"/>
  <c r="I31" i="18"/>
  <c r="G77" i="19"/>
  <c r="C77" i="19"/>
  <c r="D77" i="19"/>
  <c r="G73" i="19"/>
  <c r="G68" i="19"/>
  <c r="G70" i="19" s="1"/>
  <c r="B77" i="19"/>
  <c r="E77" i="19"/>
  <c r="G72" i="19"/>
  <c r="F77" i="19"/>
  <c r="G74" i="19"/>
  <c r="G75" i="19"/>
  <c r="J16" i="22"/>
  <c r="I14" i="23"/>
  <c r="J43" i="20"/>
  <c r="I41" i="21"/>
  <c r="K63" i="18"/>
  <c r="J61" i="19"/>
  <c r="I31" i="17"/>
  <c r="J33" i="16"/>
  <c r="I16" i="16"/>
  <c r="H14" i="17"/>
  <c r="K20" i="18"/>
  <c r="J18" i="19"/>
  <c r="M38" i="20"/>
  <c r="L36" i="21"/>
  <c r="I66" i="18"/>
  <c r="H64" i="19"/>
  <c r="K38" i="16"/>
  <c r="J36" i="17"/>
  <c r="I50" i="17"/>
  <c r="J52" i="16"/>
  <c r="J17" i="23"/>
  <c r="K19" i="22"/>
  <c r="P8" i="16"/>
  <c r="O6" i="17"/>
  <c r="H21" i="17"/>
  <c r="I23" i="16"/>
  <c r="L38" i="22"/>
  <c r="K36" i="23"/>
  <c r="J27" i="20"/>
  <c r="I25" i="21"/>
  <c r="J47" i="20"/>
  <c r="I45" i="21"/>
  <c r="L16" i="23"/>
  <c r="M18" i="22"/>
  <c r="J19" i="16"/>
  <c r="I17" i="17"/>
  <c r="I33" i="23"/>
  <c r="J35" i="22"/>
  <c r="J29" i="17"/>
  <c r="K31" i="16"/>
  <c r="K22" i="20"/>
  <c r="J20" i="21"/>
  <c r="H56" i="19"/>
  <c r="I58" i="18"/>
  <c r="J37" i="23"/>
  <c r="K39" i="22"/>
  <c r="I62" i="16"/>
  <c r="H60" i="17"/>
  <c r="H22" i="19"/>
  <c r="I24" i="18"/>
  <c r="I40" i="17"/>
  <c r="J42" i="16"/>
  <c r="I51" i="23"/>
  <c r="J53" i="22"/>
  <c r="J20" i="20"/>
  <c r="I18" i="21"/>
  <c r="K54" i="20"/>
  <c r="J52" i="21"/>
  <c r="I42" i="18"/>
  <c r="H40" i="19"/>
  <c r="H11" i="17"/>
  <c r="I13" i="16"/>
  <c r="J49" i="20"/>
  <c r="I47" i="21"/>
  <c r="Q59" i="18"/>
  <c r="P57" i="19"/>
  <c r="I14" i="19"/>
  <c r="J16" i="18"/>
  <c r="I46" i="18"/>
  <c r="H44" i="19"/>
  <c r="K45" i="20"/>
  <c r="J43" i="21"/>
  <c r="L39" i="20"/>
  <c r="K37" i="21"/>
  <c r="I41" i="17"/>
  <c r="J43" i="16"/>
  <c r="G75" i="17"/>
  <c r="B77" i="17"/>
  <c r="K30" i="20"/>
  <c r="J28" i="21"/>
  <c r="I24" i="23"/>
  <c r="Q59" i="22"/>
  <c r="O57" i="23"/>
  <c r="K49" i="22"/>
  <c r="J47" i="23"/>
  <c r="I15" i="23"/>
  <c r="J17" i="22"/>
  <c r="I64" i="17"/>
  <c r="J66" i="16"/>
  <c r="H45" i="17"/>
  <c r="I47" i="16"/>
  <c r="I62" i="23"/>
  <c r="J64" i="22"/>
  <c r="K44" i="18"/>
  <c r="J42" i="19"/>
  <c r="I5" i="18"/>
  <c r="H3" i="19"/>
  <c r="L10" i="22"/>
  <c r="K8" i="23"/>
  <c r="O10" i="22"/>
  <c r="I22" i="17"/>
  <c r="J24" i="16"/>
  <c r="J68" i="16"/>
  <c r="I66" i="17"/>
  <c r="H43" i="19"/>
  <c r="I45" i="18"/>
  <c r="I22" i="18"/>
  <c r="H20" i="19"/>
  <c r="J55" i="20"/>
  <c r="I53" i="21"/>
  <c r="I4" i="17"/>
  <c r="J6" i="16"/>
  <c r="L51" i="18"/>
  <c r="K49" i="19"/>
  <c r="J66" i="20"/>
  <c r="I64" i="21"/>
  <c r="I49" i="16"/>
  <c r="H47" i="17"/>
  <c r="I29" i="16"/>
  <c r="H27" i="17"/>
  <c r="J63" i="20"/>
  <c r="I61" i="21"/>
  <c r="C78" i="23"/>
  <c r="D78" i="23"/>
  <c r="E78" i="23"/>
  <c r="F78" i="23"/>
  <c r="G78" i="23"/>
  <c r="H78" i="23"/>
  <c r="B78" i="23"/>
  <c r="H68" i="23"/>
  <c r="H70" i="23" s="1"/>
  <c r="H72" i="23"/>
  <c r="H73" i="23"/>
  <c r="H74" i="23"/>
  <c r="H75" i="23"/>
  <c r="H76" i="23"/>
  <c r="I7" i="23"/>
  <c r="J9" i="22"/>
  <c r="R26" i="20"/>
  <c r="Q24" i="21"/>
  <c r="I14" i="18"/>
  <c r="H12" i="19"/>
  <c r="L41" i="18"/>
  <c r="H39" i="19"/>
  <c r="I41" i="18"/>
  <c r="K25" i="20"/>
  <c r="J23" i="21"/>
  <c r="I46" i="19"/>
  <c r="J48" i="18"/>
  <c r="L57" i="20"/>
  <c r="K55" i="21"/>
  <c r="J62" i="20"/>
  <c r="I60" i="21"/>
  <c r="H13" i="19"/>
  <c r="I15" i="18"/>
  <c r="J24" i="20"/>
  <c r="I22" i="21"/>
  <c r="K64" i="23"/>
  <c r="L66" i="22"/>
  <c r="I40" i="18"/>
  <c r="H38" i="19"/>
  <c r="I9" i="17"/>
  <c r="J11" i="16"/>
  <c r="I61" i="23"/>
  <c r="J63" i="22"/>
  <c r="H77" i="23"/>
  <c r="H4" i="19"/>
  <c r="I6" i="18"/>
  <c r="R10" i="20"/>
  <c r="L8" i="21"/>
  <c r="M10" i="20"/>
  <c r="I10" i="16"/>
  <c r="H8" i="17"/>
  <c r="O10" i="16"/>
  <c r="I52" i="23"/>
  <c r="J54" i="22"/>
  <c r="I29" i="23"/>
  <c r="J31" i="22"/>
  <c r="L15" i="16"/>
  <c r="K13" i="17"/>
  <c r="I50" i="23"/>
  <c r="J52" i="22"/>
  <c r="I66" i="23"/>
  <c r="J68" i="22"/>
  <c r="J12" i="20"/>
  <c r="I10" i="21"/>
  <c r="H27" i="19"/>
  <c r="I29" i="18"/>
  <c r="K19" i="17"/>
  <c r="L21" i="16"/>
  <c r="I32" i="16"/>
  <c r="H30" i="17"/>
  <c r="I7" i="16"/>
  <c r="H5" i="17"/>
  <c r="O16" i="19"/>
  <c r="U18" i="18"/>
  <c r="U16" i="19" s="1"/>
  <c r="P18" i="18"/>
  <c r="K34" i="20"/>
  <c r="J32" i="21"/>
  <c r="K56" i="22"/>
  <c r="J54" i="23"/>
  <c r="O65" i="21"/>
  <c r="P67" i="20"/>
  <c r="J9" i="20"/>
  <c r="I7" i="21"/>
  <c r="L14" i="20"/>
  <c r="K12" i="21"/>
  <c r="K21" i="20"/>
  <c r="J19" i="21"/>
  <c r="H53" i="17"/>
  <c r="I55" i="16"/>
  <c r="H30" i="19"/>
  <c r="I32" i="18"/>
  <c r="J18" i="16"/>
  <c r="H16" i="17"/>
  <c r="O18" i="16"/>
  <c r="U18" i="16"/>
  <c r="U16" i="17" s="1"/>
  <c r="G74" i="17"/>
  <c r="K46" i="22"/>
  <c r="J44" i="23"/>
  <c r="I39" i="16"/>
  <c r="H37" i="17"/>
  <c r="P67" i="16"/>
  <c r="O65" i="17"/>
  <c r="J48" i="20"/>
  <c r="I46" i="21"/>
  <c r="I54" i="16"/>
  <c r="H52" i="17"/>
  <c r="H59" i="19"/>
  <c r="I61" i="18"/>
  <c r="H35" i="19"/>
  <c r="I37" i="18"/>
  <c r="I50" i="19"/>
  <c r="J52" i="18"/>
  <c r="I78" i="23" l="1"/>
  <c r="I78" i="21"/>
  <c r="I58" i="19"/>
  <c r="J60" i="18"/>
  <c r="Q42" i="17"/>
  <c r="R44" i="16"/>
  <c r="N44" i="16"/>
  <c r="N42" i="17" s="1"/>
  <c r="K44" i="16"/>
  <c r="J42" i="17"/>
  <c r="J19" i="18"/>
  <c r="I17" i="19"/>
  <c r="K47" i="22"/>
  <c r="J45" i="23"/>
  <c r="J4" i="18"/>
  <c r="I2" i="19"/>
  <c r="J66" i="19"/>
  <c r="K68" i="18"/>
  <c r="C78" i="17"/>
  <c r="J55" i="18"/>
  <c r="I53" i="19"/>
  <c r="K37" i="16"/>
  <c r="J35" i="17"/>
  <c r="K34" i="18"/>
  <c r="J32" i="19"/>
  <c r="I63" i="19"/>
  <c r="J65" i="18"/>
  <c r="J27" i="23"/>
  <c r="K29" i="22"/>
  <c r="H77" i="19"/>
  <c r="H75" i="17"/>
  <c r="J28" i="23"/>
  <c r="K30" i="22"/>
  <c r="J11" i="18"/>
  <c r="I9" i="19"/>
  <c r="J9" i="18"/>
  <c r="I7" i="19"/>
  <c r="I34" i="19"/>
  <c r="J36" i="18"/>
  <c r="I37" i="19"/>
  <c r="J39" i="18"/>
  <c r="I12" i="19"/>
  <c r="J14" i="18"/>
  <c r="I45" i="17"/>
  <c r="J47" i="16"/>
  <c r="J13" i="16"/>
  <c r="I11" i="17"/>
  <c r="J31" i="17"/>
  <c r="K33" i="16"/>
  <c r="J6" i="19"/>
  <c r="K8" i="18"/>
  <c r="L29" i="20"/>
  <c r="K27" i="21"/>
  <c r="K53" i="23"/>
  <c r="L55" i="22"/>
  <c r="J61" i="18"/>
  <c r="I59" i="19"/>
  <c r="K24" i="20"/>
  <c r="J22" i="21"/>
  <c r="L8" i="23"/>
  <c r="M10" i="22"/>
  <c r="I60" i="17"/>
  <c r="J62" i="16"/>
  <c r="J66" i="18"/>
  <c r="I64" i="19"/>
  <c r="H74" i="17"/>
  <c r="E78" i="17"/>
  <c r="K9" i="23"/>
  <c r="L11" i="22"/>
  <c r="I12" i="17"/>
  <c r="J14" i="16"/>
  <c r="I44" i="17"/>
  <c r="J46" i="16"/>
  <c r="M7" i="22"/>
  <c r="L5" i="23"/>
  <c r="K62" i="17"/>
  <c r="L64" i="16"/>
  <c r="K26" i="19"/>
  <c r="L28" i="18"/>
  <c r="K4" i="20"/>
  <c r="J2" i="21"/>
  <c r="L37" i="22"/>
  <c r="K35" i="23"/>
  <c r="V57" i="17"/>
  <c r="Y59" i="16"/>
  <c r="X59" i="16"/>
  <c r="X57" i="17" s="1"/>
  <c r="L18" i="18"/>
  <c r="K16" i="19"/>
  <c r="J10" i="17"/>
  <c r="K12" i="16"/>
  <c r="M21" i="22"/>
  <c r="L19" i="23"/>
  <c r="K22" i="16"/>
  <c r="J20" i="17"/>
  <c r="K66" i="16"/>
  <c r="J64" i="17"/>
  <c r="K16" i="18"/>
  <c r="J14" i="19"/>
  <c r="J40" i="17"/>
  <c r="K42" i="16"/>
  <c r="L19" i="22"/>
  <c r="K17" i="23"/>
  <c r="H73" i="17"/>
  <c r="K17" i="20"/>
  <c r="J15" i="21"/>
  <c r="K23" i="20"/>
  <c r="J21" i="21"/>
  <c r="L35" i="16"/>
  <c r="K33" i="17"/>
  <c r="J2" i="23"/>
  <c r="K4" i="22"/>
  <c r="K55" i="19"/>
  <c r="L57" i="18"/>
  <c r="J25" i="19"/>
  <c r="K27" i="18"/>
  <c r="J58" i="17"/>
  <c r="K60" i="16"/>
  <c r="L51" i="22"/>
  <c r="K49" i="23"/>
  <c r="J65" i="16"/>
  <c r="I63" i="17"/>
  <c r="Y8" i="16"/>
  <c r="Y6" i="17" s="1"/>
  <c r="V6" i="17"/>
  <c r="W8" i="16"/>
  <c r="K36" i="22"/>
  <c r="J34" i="23"/>
  <c r="K19" i="20"/>
  <c r="J17" i="21"/>
  <c r="T26" i="18"/>
  <c r="T24" i="19" s="1"/>
  <c r="S24" i="19"/>
  <c r="J41" i="23"/>
  <c r="K43" i="22"/>
  <c r="J10" i="23"/>
  <c r="K12" i="22"/>
  <c r="I56" i="17"/>
  <c r="J58" i="16"/>
  <c r="I53" i="17"/>
  <c r="J55" i="16"/>
  <c r="M51" i="18"/>
  <c r="L49" i="19"/>
  <c r="J61" i="17"/>
  <c r="K63" i="16"/>
  <c r="K23" i="19"/>
  <c r="L25" i="18"/>
  <c r="J29" i="23"/>
  <c r="K31" i="22"/>
  <c r="I43" i="19"/>
  <c r="J45" i="18"/>
  <c r="Q57" i="23"/>
  <c r="R59" i="22"/>
  <c r="R57" i="23" s="1"/>
  <c r="S59" i="22"/>
  <c r="I44" i="19"/>
  <c r="J46" i="18"/>
  <c r="K47" i="20"/>
  <c r="J45" i="21"/>
  <c r="Q8" i="16"/>
  <c r="P6" i="17"/>
  <c r="K56" i="18"/>
  <c r="J54" i="19"/>
  <c r="K21" i="23"/>
  <c r="L23" i="22"/>
  <c r="I5" i="19"/>
  <c r="J7" i="18"/>
  <c r="K36" i="20"/>
  <c r="J34" i="21"/>
  <c r="K8" i="22"/>
  <c r="J6" i="23"/>
  <c r="L61" i="20"/>
  <c r="K59" i="21"/>
  <c r="K32" i="22"/>
  <c r="J30" i="23"/>
  <c r="J3" i="23"/>
  <c r="K5" i="22"/>
  <c r="I31" i="19"/>
  <c r="J33" i="18"/>
  <c r="K16" i="20"/>
  <c r="J14" i="21"/>
  <c r="J58" i="23"/>
  <c r="K60" i="22"/>
  <c r="K6" i="22"/>
  <c r="J4" i="23"/>
  <c r="K67" i="20"/>
  <c r="J65" i="21"/>
  <c r="N8" i="16"/>
  <c r="N6" i="17" s="1"/>
  <c r="K8" i="16"/>
  <c r="J6" i="17"/>
  <c r="J23" i="23"/>
  <c r="K25" i="22"/>
  <c r="Q67" i="16"/>
  <c r="P65" i="17"/>
  <c r="I5" i="17"/>
  <c r="J7" i="16"/>
  <c r="U10" i="20"/>
  <c r="R8" i="21"/>
  <c r="K11" i="16"/>
  <c r="J9" i="17"/>
  <c r="J15" i="18"/>
  <c r="I13" i="19"/>
  <c r="S26" i="20"/>
  <c r="R24" i="21"/>
  <c r="H73" i="19"/>
  <c r="H68" i="19"/>
  <c r="H70" i="19" s="1"/>
  <c r="H75" i="19"/>
  <c r="E78" i="19"/>
  <c r="C78" i="19"/>
  <c r="F78" i="19"/>
  <c r="H78" i="19"/>
  <c r="B78" i="19"/>
  <c r="G78" i="19"/>
  <c r="H72" i="19"/>
  <c r="D78" i="19"/>
  <c r="H74" i="19"/>
  <c r="H76" i="19"/>
  <c r="L39" i="22"/>
  <c r="K37" i="23"/>
  <c r="J33" i="23"/>
  <c r="K35" i="22"/>
  <c r="K28" i="20"/>
  <c r="J26" i="21"/>
  <c r="O16" i="17"/>
  <c r="P18" i="16"/>
  <c r="L21" i="20"/>
  <c r="K19" i="21"/>
  <c r="L56" i="22"/>
  <c r="K54" i="23"/>
  <c r="J29" i="18"/>
  <c r="I27" i="19"/>
  <c r="J50" i="23"/>
  <c r="K52" i="22"/>
  <c r="J52" i="23"/>
  <c r="K54" i="22"/>
  <c r="I4" i="19"/>
  <c r="J6" i="18"/>
  <c r="L25" i="20"/>
  <c r="K23" i="21"/>
  <c r="J7" i="23"/>
  <c r="K9" i="22"/>
  <c r="I3" i="19"/>
  <c r="J5" i="18"/>
  <c r="M26" i="22"/>
  <c r="M39" i="20"/>
  <c r="L37" i="21"/>
  <c r="J42" i="18"/>
  <c r="I40" i="19"/>
  <c r="K27" i="20"/>
  <c r="J25" i="21"/>
  <c r="N38" i="20"/>
  <c r="M36" i="21"/>
  <c r="L63" i="18"/>
  <c r="K61" i="19"/>
  <c r="H72" i="17"/>
  <c r="G78" i="17"/>
  <c r="O24" i="23"/>
  <c r="Q26" i="22"/>
  <c r="P26" i="22"/>
  <c r="P24" i="23" s="1"/>
  <c r="M53" i="16"/>
  <c r="L51" i="17"/>
  <c r="J22" i="23"/>
  <c r="K24" i="22"/>
  <c r="K28" i="22"/>
  <c r="J26" i="23"/>
  <c r="I28" i="17"/>
  <c r="J30" i="16"/>
  <c r="N7" i="20"/>
  <c r="M5" i="21"/>
  <c r="I79" i="23"/>
  <c r="C79" i="23"/>
  <c r="D79" i="23"/>
  <c r="I68" i="23"/>
  <c r="I70" i="23" s="1"/>
  <c r="B79" i="23"/>
  <c r="E79" i="23"/>
  <c r="F79" i="23"/>
  <c r="G79" i="23"/>
  <c r="H79" i="23"/>
  <c r="I72" i="23"/>
  <c r="I73" i="23"/>
  <c r="I74" i="23"/>
  <c r="I75" i="23"/>
  <c r="I76" i="23"/>
  <c r="I77" i="23"/>
  <c r="K35" i="20"/>
  <c r="J33" i="21"/>
  <c r="K57" i="16"/>
  <c r="J55" i="17"/>
  <c r="M57" i="23"/>
  <c r="N59" i="22"/>
  <c r="N57" i="23" s="1"/>
  <c r="J39" i="23"/>
  <c r="K41" i="22"/>
  <c r="L3" i="17"/>
  <c r="M5" i="16"/>
  <c r="J40" i="23"/>
  <c r="K42" i="22"/>
  <c r="L57" i="22"/>
  <c r="O57" i="22"/>
  <c r="K55" i="23"/>
  <c r="K48" i="20"/>
  <c r="J46" i="21"/>
  <c r="Q67" i="20"/>
  <c r="P65" i="21"/>
  <c r="K48" i="18"/>
  <c r="J46" i="19"/>
  <c r="J29" i="16"/>
  <c r="I27" i="17"/>
  <c r="K43" i="16"/>
  <c r="J41" i="17"/>
  <c r="I60" i="19"/>
  <c r="J62" i="18"/>
  <c r="K61" i="16"/>
  <c r="J59" i="17"/>
  <c r="K20" i="16"/>
  <c r="J18" i="17"/>
  <c r="K68" i="22"/>
  <c r="J66" i="23"/>
  <c r="J41" i="18"/>
  <c r="I39" i="19"/>
  <c r="J49" i="16"/>
  <c r="I47" i="17"/>
  <c r="J66" i="17"/>
  <c r="K68" i="16"/>
  <c r="M65" i="20"/>
  <c r="L63" i="21"/>
  <c r="J11" i="19"/>
  <c r="K13" i="18"/>
  <c r="J20" i="23"/>
  <c r="K22" i="22"/>
  <c r="L14" i="22"/>
  <c r="K12" i="23"/>
  <c r="L45" i="22"/>
  <c r="K43" i="23"/>
  <c r="K41" i="20"/>
  <c r="J39" i="21"/>
  <c r="L34" i="20"/>
  <c r="K32" i="21"/>
  <c r="L44" i="18"/>
  <c r="K42" i="19"/>
  <c r="Q57" i="19"/>
  <c r="S59" i="18"/>
  <c r="L54" i="20"/>
  <c r="K52" i="21"/>
  <c r="K19" i="16"/>
  <c r="J17" i="17"/>
  <c r="L36" i="23"/>
  <c r="M38" i="22"/>
  <c r="K18" i="19"/>
  <c r="L20" i="18"/>
  <c r="K43" i="20"/>
  <c r="J41" i="21"/>
  <c r="J31" i="18"/>
  <c r="I29" i="19"/>
  <c r="H68" i="17"/>
  <c r="H70" i="17" s="1"/>
  <c r="F78" i="17"/>
  <c r="J64" i="18"/>
  <c r="I62" i="19"/>
  <c r="K11" i="23"/>
  <c r="L13" i="22"/>
  <c r="K65" i="22"/>
  <c r="J63" i="23"/>
  <c r="J33" i="19"/>
  <c r="K35" i="18"/>
  <c r="K60" i="23"/>
  <c r="L62" i="22"/>
  <c r="K58" i="20"/>
  <c r="J56" i="21"/>
  <c r="J34" i="17"/>
  <c r="K36" i="16"/>
  <c r="J67" i="18"/>
  <c r="I65" i="19"/>
  <c r="K40" i="20"/>
  <c r="J38" i="21"/>
  <c r="J9" i="16"/>
  <c r="I7" i="17"/>
  <c r="L46" i="20"/>
  <c r="K44" i="21"/>
  <c r="M31" i="20"/>
  <c r="L29" i="21"/>
  <c r="M60" i="20"/>
  <c r="L58" i="21"/>
  <c r="K42" i="20"/>
  <c r="J40" i="21"/>
  <c r="I21" i="19"/>
  <c r="J23" i="18"/>
  <c r="K27" i="16"/>
  <c r="J25" i="17"/>
  <c r="U6" i="19"/>
  <c r="V8" i="18"/>
  <c r="Q6" i="21"/>
  <c r="R8" i="20"/>
  <c r="R6" i="21" s="1"/>
  <c r="S8" i="20"/>
  <c r="W26" i="18"/>
  <c r="W24" i="19" s="1"/>
  <c r="X26" i="18"/>
  <c r="X24" i="19" s="1"/>
  <c r="V24" i="19"/>
  <c r="Y26" i="18"/>
  <c r="I36" i="19"/>
  <c r="J38" i="18"/>
  <c r="L11" i="20"/>
  <c r="K9" i="21"/>
  <c r="H77" i="17"/>
  <c r="N10" i="20"/>
  <c r="N8" i="21" s="1"/>
  <c r="M8" i="21"/>
  <c r="K53" i="22"/>
  <c r="J51" i="23"/>
  <c r="K26" i="17"/>
  <c r="L28" i="16"/>
  <c r="N6" i="20"/>
  <c r="M4" i="21"/>
  <c r="M10" i="19"/>
  <c r="N12" i="18"/>
  <c r="K17" i="16"/>
  <c r="J15" i="17"/>
  <c r="I37" i="17"/>
  <c r="J39" i="16"/>
  <c r="J15" i="23"/>
  <c r="K17" i="22"/>
  <c r="K52" i="16"/>
  <c r="J50" i="17"/>
  <c r="I46" i="17"/>
  <c r="J48" i="16"/>
  <c r="J18" i="23"/>
  <c r="K20" i="22"/>
  <c r="J48" i="23"/>
  <c r="K50" i="22"/>
  <c r="K47" i="18"/>
  <c r="J45" i="19"/>
  <c r="J53" i="18"/>
  <c r="I51" i="19"/>
  <c r="M14" i="20"/>
  <c r="L12" i="21"/>
  <c r="O8" i="17"/>
  <c r="P10" i="16"/>
  <c r="P8" i="17" s="1"/>
  <c r="Q10" i="16"/>
  <c r="I38" i="19"/>
  <c r="J40" i="18"/>
  <c r="J22" i="17"/>
  <c r="K24" i="16"/>
  <c r="L30" i="20"/>
  <c r="K28" i="21"/>
  <c r="J32" i="18"/>
  <c r="I30" i="19"/>
  <c r="Q18" i="18"/>
  <c r="P16" i="19"/>
  <c r="K12" i="20"/>
  <c r="J10" i="21"/>
  <c r="M15" i="16"/>
  <c r="L13" i="17"/>
  <c r="K63" i="20"/>
  <c r="J61" i="21"/>
  <c r="K64" i="22"/>
  <c r="J62" i="23"/>
  <c r="J24" i="18"/>
  <c r="I22" i="19"/>
  <c r="N18" i="22"/>
  <c r="N16" i="23" s="1"/>
  <c r="M16" i="23"/>
  <c r="I21" i="17"/>
  <c r="J23" i="16"/>
  <c r="H78" i="17"/>
  <c r="K56" i="20"/>
  <c r="J54" i="21"/>
  <c r="L38" i="23"/>
  <c r="M40" i="22"/>
  <c r="M5" i="20"/>
  <c r="L3" i="21"/>
  <c r="K50" i="20"/>
  <c r="J48" i="21"/>
  <c r="J42" i="23"/>
  <c r="K44" i="22"/>
  <c r="J45" i="16"/>
  <c r="I43" i="17"/>
  <c r="J41" i="19"/>
  <c r="K43" i="18"/>
  <c r="I48" i="19"/>
  <c r="J50" i="18"/>
  <c r="Q18" i="22"/>
  <c r="P16" i="23"/>
  <c r="J25" i="16"/>
  <c r="I23" i="17"/>
  <c r="L10" i="18"/>
  <c r="K8" i="19"/>
  <c r="J38" i="17"/>
  <c r="K40" i="16"/>
  <c r="J25" i="23"/>
  <c r="K27" i="22"/>
  <c r="J19" i="19"/>
  <c r="K21" i="18"/>
  <c r="K56" i="23"/>
  <c r="L58" i="22"/>
  <c r="K34" i="22"/>
  <c r="J32" i="23"/>
  <c r="I54" i="17"/>
  <c r="J56" i="16"/>
  <c r="L15" i="20"/>
  <c r="K13" i="21"/>
  <c r="J46" i="23"/>
  <c r="K48" i="22"/>
  <c r="J61" i="23"/>
  <c r="K63" i="22"/>
  <c r="L31" i="16"/>
  <c r="K29" i="17"/>
  <c r="K68" i="20"/>
  <c r="J66" i="21"/>
  <c r="J47" i="19"/>
  <c r="K49" i="18"/>
  <c r="G79" i="21"/>
  <c r="H79" i="21"/>
  <c r="I79" i="21"/>
  <c r="D79" i="21"/>
  <c r="C79" i="21"/>
  <c r="E79" i="21"/>
  <c r="F79" i="21"/>
  <c r="I68" i="21"/>
  <c r="I70" i="21" s="1"/>
  <c r="B79" i="21"/>
  <c r="I72" i="21"/>
  <c r="I73" i="21"/>
  <c r="I74" i="21"/>
  <c r="I75" i="21"/>
  <c r="I76" i="21"/>
  <c r="I77" i="21"/>
  <c r="I48" i="17"/>
  <c r="J50" i="16"/>
  <c r="M37" i="20"/>
  <c r="L35" i="21"/>
  <c r="J4" i="17"/>
  <c r="K6" i="16"/>
  <c r="I52" i="17"/>
  <c r="J54" i="16"/>
  <c r="J32" i="16"/>
  <c r="I30" i="17"/>
  <c r="K55" i="20"/>
  <c r="J53" i="21"/>
  <c r="I56" i="19"/>
  <c r="J58" i="18"/>
  <c r="D78" i="17"/>
  <c r="J2" i="17"/>
  <c r="K4" i="16"/>
  <c r="M42" i="21"/>
  <c r="N44" i="20"/>
  <c r="J59" i="23"/>
  <c r="K61" i="22"/>
  <c r="K64" i="20"/>
  <c r="J62" i="21"/>
  <c r="Q8" i="18"/>
  <c r="P6" i="19"/>
  <c r="S10" i="18"/>
  <c r="S8" i="19" s="1"/>
  <c r="Q8" i="19"/>
  <c r="R10" i="18"/>
  <c r="K17" i="18"/>
  <c r="J15" i="19"/>
  <c r="K52" i="18"/>
  <c r="J50" i="19"/>
  <c r="K18" i="16"/>
  <c r="N18" i="16"/>
  <c r="N16" i="17" s="1"/>
  <c r="J16" i="17"/>
  <c r="M21" i="16"/>
  <c r="L19" i="17"/>
  <c r="K62" i="20"/>
  <c r="J60" i="21"/>
  <c r="L45" i="20"/>
  <c r="K43" i="21"/>
  <c r="L46" i="22"/>
  <c r="K44" i="23"/>
  <c r="L64" i="23"/>
  <c r="M66" i="22"/>
  <c r="L39" i="19"/>
  <c r="M41" i="18"/>
  <c r="M39" i="19" s="1"/>
  <c r="K66" i="20"/>
  <c r="J64" i="21"/>
  <c r="J22" i="18"/>
  <c r="I20" i="19"/>
  <c r="I35" i="19"/>
  <c r="J37" i="18"/>
  <c r="K9" i="20"/>
  <c r="J7" i="21"/>
  <c r="I8" i="17"/>
  <c r="J10" i="16"/>
  <c r="M57" i="20"/>
  <c r="L55" i="21"/>
  <c r="O8" i="23"/>
  <c r="Q10" i="22"/>
  <c r="P10" i="22"/>
  <c r="P8" i="23" s="1"/>
  <c r="K47" i="23"/>
  <c r="L49" i="22"/>
  <c r="K49" i="20"/>
  <c r="J47" i="21"/>
  <c r="K20" i="20"/>
  <c r="J18" i="21"/>
  <c r="L22" i="20"/>
  <c r="K20" i="21"/>
  <c r="K36" i="17"/>
  <c r="L38" i="16"/>
  <c r="I14" i="17"/>
  <c r="J16" i="16"/>
  <c r="K16" i="22"/>
  <c r="J14" i="23"/>
  <c r="H76" i="17"/>
  <c r="B78" i="17"/>
  <c r="K31" i="23"/>
  <c r="L33" i="22"/>
  <c r="J13" i="23"/>
  <c r="K15" i="22"/>
  <c r="J65" i="23"/>
  <c r="K67" i="22"/>
  <c r="J65" i="17"/>
  <c r="K67" i="16"/>
  <c r="N67" i="16"/>
  <c r="N65" i="17" s="1"/>
  <c r="I32" i="17"/>
  <c r="J34" i="16"/>
  <c r="K51" i="20"/>
  <c r="J49" i="21"/>
  <c r="J30" i="18"/>
  <c r="I28" i="19"/>
  <c r="L33" i="20"/>
  <c r="K31" i="21"/>
  <c r="L53" i="20"/>
  <c r="K51" i="21"/>
  <c r="K32" i="20"/>
  <c r="J30" i="21"/>
  <c r="J54" i="18"/>
  <c r="I52" i="19"/>
  <c r="L18" i="20"/>
  <c r="K16" i="21"/>
  <c r="I39" i="17"/>
  <c r="J41" i="16"/>
  <c r="Z59" i="20"/>
  <c r="X59" i="20"/>
  <c r="X57" i="21" s="1"/>
  <c r="V57" i="21"/>
  <c r="Y59" i="20"/>
  <c r="Y57" i="21" s="1"/>
  <c r="L13" i="20"/>
  <c r="K11" i="21"/>
  <c r="L51" i="16"/>
  <c r="K49" i="17"/>
  <c r="K52" i="20"/>
  <c r="J50" i="21"/>
  <c r="C11" i="8"/>
  <c r="E11" i="8"/>
  <c r="F11" i="8"/>
  <c r="H11" i="8"/>
  <c r="J11" i="8"/>
  <c r="K11" i="8"/>
  <c r="O11" i="8"/>
  <c r="Q11" i="8"/>
  <c r="Y11" i="8"/>
  <c r="AB11" i="8"/>
  <c r="AC11" i="8"/>
  <c r="AG11" i="8"/>
  <c r="AN11" i="8"/>
  <c r="AO11" i="8"/>
  <c r="C12" i="8"/>
  <c r="E12" i="8"/>
  <c r="F12" i="8"/>
  <c r="H12" i="8"/>
  <c r="J12" i="8"/>
  <c r="K12" i="8"/>
  <c r="O12" i="8"/>
  <c r="Q12" i="8"/>
  <c r="Y12" i="8"/>
  <c r="AB12" i="8"/>
  <c r="AC12" i="8"/>
  <c r="AG12" i="8"/>
  <c r="AN12" i="8"/>
  <c r="AO12" i="8"/>
  <c r="C14" i="8"/>
  <c r="E14" i="8"/>
  <c r="F14" i="8"/>
  <c r="H14" i="8"/>
  <c r="J14" i="8"/>
  <c r="K14" i="8"/>
  <c r="O14" i="8"/>
  <c r="Q14" i="8"/>
  <c r="Y14" i="8"/>
  <c r="AB14" i="8"/>
  <c r="AC14" i="8"/>
  <c r="AG14" i="8"/>
  <c r="AN14" i="8"/>
  <c r="AO14" i="8"/>
  <c r="C16" i="8"/>
  <c r="E16" i="8"/>
  <c r="F16" i="8"/>
  <c r="H16" i="8"/>
  <c r="J16" i="8"/>
  <c r="K16" i="8"/>
  <c r="O16" i="8"/>
  <c r="Q16" i="8"/>
  <c r="Y16" i="8"/>
  <c r="AB16" i="8"/>
  <c r="AC16" i="8"/>
  <c r="AG16" i="8"/>
  <c r="AN16" i="8"/>
  <c r="AO16" i="8"/>
  <c r="C17" i="8"/>
  <c r="E17" i="8"/>
  <c r="F17" i="8"/>
  <c r="H17" i="8"/>
  <c r="J17" i="8"/>
  <c r="K17" i="8"/>
  <c r="O17" i="8"/>
  <c r="Q17" i="8"/>
  <c r="Y17" i="8"/>
  <c r="AB17" i="8"/>
  <c r="AC17" i="8"/>
  <c r="AG17" i="8"/>
  <c r="AN17" i="8"/>
  <c r="AO17" i="8"/>
  <c r="C21" i="8"/>
  <c r="E21" i="8"/>
  <c r="F21" i="8"/>
  <c r="H21" i="8"/>
  <c r="J21" i="8"/>
  <c r="K21" i="8"/>
  <c r="O21" i="8"/>
  <c r="Q21" i="8"/>
  <c r="Y21" i="8"/>
  <c r="AB21" i="8"/>
  <c r="AC21" i="8"/>
  <c r="AG21" i="8"/>
  <c r="AN21" i="8"/>
  <c r="AO21" i="8"/>
  <c r="C23" i="8"/>
  <c r="E23" i="8"/>
  <c r="F23" i="8"/>
  <c r="H23" i="8"/>
  <c r="J23" i="8"/>
  <c r="K23" i="8"/>
  <c r="O23" i="8"/>
  <c r="Q23" i="8"/>
  <c r="Y23" i="8"/>
  <c r="AB23" i="8"/>
  <c r="AC23" i="8"/>
  <c r="AG23" i="8"/>
  <c r="AN23" i="8"/>
  <c r="AO23" i="8"/>
  <c r="C31" i="8"/>
  <c r="E31" i="8"/>
  <c r="F31" i="8"/>
  <c r="H31" i="8"/>
  <c r="J31" i="8"/>
  <c r="K31" i="8"/>
  <c r="O31" i="8"/>
  <c r="Q31" i="8"/>
  <c r="Y31" i="8"/>
  <c r="AB31" i="8"/>
  <c r="AC31" i="8"/>
  <c r="AG31" i="8"/>
  <c r="AN31" i="8"/>
  <c r="AO31" i="8"/>
  <c r="C34" i="8"/>
  <c r="E34" i="8"/>
  <c r="F34" i="8"/>
  <c r="H34" i="8"/>
  <c r="J34" i="8"/>
  <c r="K34" i="8"/>
  <c r="O34" i="8"/>
  <c r="Q34" i="8"/>
  <c r="Y34" i="8"/>
  <c r="AB34" i="8"/>
  <c r="AC34" i="8"/>
  <c r="AG34" i="8"/>
  <c r="AN34" i="8"/>
  <c r="AO34" i="8"/>
  <c r="C35" i="8"/>
  <c r="E35" i="8"/>
  <c r="F35" i="8"/>
  <c r="H35" i="8"/>
  <c r="J35" i="8"/>
  <c r="K35" i="8"/>
  <c r="O35" i="8"/>
  <c r="Q35" i="8"/>
  <c r="Y35" i="8"/>
  <c r="AB35" i="8"/>
  <c r="AC35" i="8"/>
  <c r="AG35" i="8"/>
  <c r="AN35" i="8"/>
  <c r="AO35" i="8"/>
  <c r="C39" i="8"/>
  <c r="E39" i="8"/>
  <c r="F39" i="8"/>
  <c r="H39" i="8"/>
  <c r="J39" i="8"/>
  <c r="K39" i="8"/>
  <c r="O39" i="8"/>
  <c r="Q39" i="8"/>
  <c r="Y39" i="8"/>
  <c r="AB39" i="8"/>
  <c r="AC39" i="8"/>
  <c r="AG39" i="8"/>
  <c r="AN39" i="8"/>
  <c r="AO39" i="8"/>
  <c r="C46" i="8"/>
  <c r="E46" i="8"/>
  <c r="F46" i="8"/>
  <c r="H46" i="8"/>
  <c r="J46" i="8"/>
  <c r="K46" i="8"/>
  <c r="O46" i="8"/>
  <c r="Q46" i="8"/>
  <c r="Y46" i="8"/>
  <c r="AB46" i="8"/>
  <c r="AC46" i="8"/>
  <c r="AG46" i="8"/>
  <c r="AN46" i="8"/>
  <c r="AO46" i="8"/>
  <c r="C47" i="8"/>
  <c r="E47" i="8"/>
  <c r="F47" i="8"/>
  <c r="H47" i="8"/>
  <c r="J47" i="8"/>
  <c r="K47" i="8"/>
  <c r="O47" i="8"/>
  <c r="Q47" i="8"/>
  <c r="Y47" i="8"/>
  <c r="AB47" i="8"/>
  <c r="AC47" i="8"/>
  <c r="AG47" i="8"/>
  <c r="AN47" i="8"/>
  <c r="AO47" i="8"/>
  <c r="B47" i="8"/>
  <c r="B46" i="8"/>
  <c r="B39" i="8"/>
  <c r="B34" i="8"/>
  <c r="B31" i="8"/>
  <c r="B23" i="8"/>
  <c r="B21" i="8"/>
  <c r="B17" i="8"/>
  <c r="B16" i="8"/>
  <c r="B14" i="8"/>
  <c r="B12" i="8"/>
  <c r="B11" i="8"/>
  <c r="B35" i="8"/>
  <c r="E9" i="8"/>
  <c r="F9" i="8"/>
  <c r="H9" i="8"/>
  <c r="J9" i="8"/>
  <c r="K9" i="8"/>
  <c r="O9" i="8"/>
  <c r="Q9" i="8"/>
  <c r="Y9" i="8"/>
  <c r="AB9" i="8"/>
  <c r="AC9" i="8"/>
  <c r="AG9" i="8"/>
  <c r="AN9" i="8"/>
  <c r="AO9" i="8"/>
  <c r="C9" i="8"/>
  <c r="B9" i="8"/>
  <c r="E8" i="8"/>
  <c r="F8" i="8"/>
  <c r="H8" i="8"/>
  <c r="J8" i="8"/>
  <c r="K8" i="8"/>
  <c r="O8" i="8"/>
  <c r="Q8" i="8"/>
  <c r="Y8" i="8"/>
  <c r="AB8" i="8"/>
  <c r="AC8" i="8"/>
  <c r="AG8" i="8"/>
  <c r="AN8" i="8"/>
  <c r="AO8" i="8"/>
  <c r="C8" i="8"/>
  <c r="C2" i="7"/>
  <c r="E2" i="7"/>
  <c r="F2" i="7"/>
  <c r="H2" i="7"/>
  <c r="J2" i="7"/>
  <c r="K2" i="7"/>
  <c r="O2" i="7"/>
  <c r="Q2" i="7"/>
  <c r="Y2" i="7"/>
  <c r="AB2" i="7"/>
  <c r="AC2" i="7"/>
  <c r="AG2" i="7"/>
  <c r="AN2" i="7"/>
  <c r="AO2" i="7"/>
  <c r="AP2" i="7"/>
  <c r="AQ2" i="7"/>
  <c r="AR2" i="7"/>
  <c r="AT2" i="7"/>
  <c r="AU2" i="7"/>
  <c r="AX2" i="7"/>
  <c r="AZ2" i="7"/>
  <c r="BB2" i="7"/>
  <c r="BE2" i="7"/>
  <c r="BG2" i="7"/>
  <c r="BH2" i="7"/>
  <c r="BI2" i="7"/>
  <c r="BJ2" i="7"/>
  <c r="BK2" i="7"/>
  <c r="BL2" i="7"/>
  <c r="BM2" i="7"/>
  <c r="BN2" i="7"/>
  <c r="BO2" i="7"/>
  <c r="E2" i="8"/>
  <c r="E4" i="8" s="1"/>
  <c r="F2" i="8"/>
  <c r="F4" i="8" s="1"/>
  <c r="H2" i="8"/>
  <c r="H4" i="8" s="1"/>
  <c r="J2" i="8"/>
  <c r="J4" i="8" s="1"/>
  <c r="K2" i="8"/>
  <c r="K4" i="8" s="1"/>
  <c r="O2" i="8"/>
  <c r="O4" i="8" s="1"/>
  <c r="Q2" i="8"/>
  <c r="Q4" i="8" s="1"/>
  <c r="Y2" i="8"/>
  <c r="Y4" i="8" s="1"/>
  <c r="AB2" i="8"/>
  <c r="AB4" i="8" s="1"/>
  <c r="AC2" i="8"/>
  <c r="AC4" i="8" s="1"/>
  <c r="AG2" i="8"/>
  <c r="AG4" i="8" s="1"/>
  <c r="AN2" i="8"/>
  <c r="AN4" i="8" s="1"/>
  <c r="AO2" i="8"/>
  <c r="AO4" i="8" s="1"/>
  <c r="AP2" i="8"/>
  <c r="AP4" i="8" s="1"/>
  <c r="AQ2" i="8"/>
  <c r="AQ4" i="8" s="1"/>
  <c r="AR2" i="8"/>
  <c r="AR4" i="8" s="1"/>
  <c r="AT2" i="8"/>
  <c r="AT4" i="8" s="1"/>
  <c r="AU2" i="8"/>
  <c r="AU4" i="8" s="1"/>
  <c r="AX2" i="8"/>
  <c r="AX4" i="8" s="1"/>
  <c r="AZ2" i="8"/>
  <c r="AZ4" i="8" s="1"/>
  <c r="BB2" i="8"/>
  <c r="BB4" i="8" s="1"/>
  <c r="BE2" i="8"/>
  <c r="BE4" i="8" s="1"/>
  <c r="BG2" i="8"/>
  <c r="BG4" i="8" s="1"/>
  <c r="BH2" i="8"/>
  <c r="BH4" i="8" s="1"/>
  <c r="BI2" i="8"/>
  <c r="BI4" i="8" s="1"/>
  <c r="BJ2" i="8"/>
  <c r="BJ4" i="8" s="1"/>
  <c r="BK2" i="8"/>
  <c r="BK4" i="8" s="1"/>
  <c r="BL2" i="8"/>
  <c r="BL4" i="8" s="1"/>
  <c r="BM2" i="8"/>
  <c r="BM4" i="8" s="1"/>
  <c r="BN2" i="8"/>
  <c r="BN4" i="8" s="1"/>
  <c r="BO2" i="8"/>
  <c r="BO4" i="8" s="1"/>
  <c r="C2" i="8"/>
  <c r="C4" i="8" s="1"/>
  <c r="B2" i="8"/>
  <c r="B4" i="8" s="1"/>
  <c r="H79" i="17" l="1"/>
  <c r="K39" i="18"/>
  <c r="J37" i="19"/>
  <c r="K28" i="23"/>
  <c r="L30" i="22"/>
  <c r="L44" i="16"/>
  <c r="K42" i="17"/>
  <c r="K32" i="19"/>
  <c r="L34" i="18"/>
  <c r="J34" i="19"/>
  <c r="K36" i="18"/>
  <c r="J2" i="19"/>
  <c r="K4" i="18"/>
  <c r="S44" i="16"/>
  <c r="R42" i="17"/>
  <c r="C79" i="17"/>
  <c r="K35" i="17"/>
  <c r="L37" i="16"/>
  <c r="L29" i="22"/>
  <c r="K27" i="23"/>
  <c r="K45" i="23"/>
  <c r="L47" i="22"/>
  <c r="J58" i="19"/>
  <c r="K60" i="18"/>
  <c r="I78" i="19"/>
  <c r="J79" i="23"/>
  <c r="J7" i="19"/>
  <c r="K9" i="18"/>
  <c r="J53" i="19"/>
  <c r="K55" i="18"/>
  <c r="J79" i="21"/>
  <c r="J63" i="19"/>
  <c r="K65" i="18"/>
  <c r="J17" i="19"/>
  <c r="K19" i="18"/>
  <c r="K11" i="18"/>
  <c r="J9" i="19"/>
  <c r="K66" i="19"/>
  <c r="L68" i="18"/>
  <c r="L55" i="20"/>
  <c r="K53" i="21"/>
  <c r="J21" i="17"/>
  <c r="K23" i="16"/>
  <c r="N38" i="22"/>
  <c r="M36" i="23"/>
  <c r="S57" i="19"/>
  <c r="T59" i="18"/>
  <c r="M64" i="16"/>
  <c r="L62" i="17"/>
  <c r="M8" i="23"/>
  <c r="N10" i="22"/>
  <c r="N8" i="23" s="1"/>
  <c r="M13" i="20"/>
  <c r="L11" i="21"/>
  <c r="M33" i="20"/>
  <c r="L31" i="21"/>
  <c r="L18" i="16"/>
  <c r="K16" i="17"/>
  <c r="J37" i="17"/>
  <c r="K39" i="16"/>
  <c r="K37" i="17" s="1"/>
  <c r="L39" i="16"/>
  <c r="K67" i="18"/>
  <c r="J65" i="19"/>
  <c r="I77" i="17"/>
  <c r="K6" i="23"/>
  <c r="O8" i="22"/>
  <c r="L8" i="22"/>
  <c r="L6" i="23" s="1"/>
  <c r="J63" i="17"/>
  <c r="K65" i="16"/>
  <c r="M45" i="20"/>
  <c r="L43" i="21"/>
  <c r="J48" i="17"/>
  <c r="K50" i="16"/>
  <c r="J38" i="19"/>
  <c r="K40" i="18"/>
  <c r="S6" i="21"/>
  <c r="U8" i="20"/>
  <c r="T8" i="20"/>
  <c r="T6" i="21" s="1"/>
  <c r="K66" i="23"/>
  <c r="L68" i="22"/>
  <c r="J4" i="19"/>
  <c r="K6" i="18"/>
  <c r="J13" i="19"/>
  <c r="K15" i="18"/>
  <c r="L5" i="22"/>
  <c r="K3" i="23"/>
  <c r="K10" i="23"/>
  <c r="L12" i="22"/>
  <c r="M29" i="20"/>
  <c r="L27" i="21"/>
  <c r="K56" i="16"/>
  <c r="J54" i="17"/>
  <c r="J30" i="19"/>
  <c r="K32" i="18"/>
  <c r="J46" i="17"/>
  <c r="K48" i="16"/>
  <c r="M11" i="20"/>
  <c r="L9" i="21"/>
  <c r="K39" i="23"/>
  <c r="L41" i="22"/>
  <c r="M56" i="22"/>
  <c r="L54" i="23"/>
  <c r="L36" i="20"/>
  <c r="K34" i="21"/>
  <c r="N7" i="22"/>
  <c r="M5" i="23"/>
  <c r="L64" i="20"/>
  <c r="K62" i="21"/>
  <c r="L29" i="17"/>
  <c r="M31" i="16"/>
  <c r="Q16" i="23"/>
  <c r="R18" i="22"/>
  <c r="R16" i="23" s="1"/>
  <c r="S18" i="22"/>
  <c r="J51" i="19"/>
  <c r="K53" i="18"/>
  <c r="K15" i="17"/>
  <c r="L17" i="16"/>
  <c r="L53" i="22"/>
  <c r="K51" i="23"/>
  <c r="J36" i="19"/>
  <c r="K38" i="18"/>
  <c r="L11" i="23"/>
  <c r="M13" i="22"/>
  <c r="M44" i="18"/>
  <c r="M42" i="19" s="1"/>
  <c r="L42" i="19"/>
  <c r="N44" i="18"/>
  <c r="M14" i="22"/>
  <c r="L12" i="23"/>
  <c r="L35" i="20"/>
  <c r="K33" i="21"/>
  <c r="I74" i="17"/>
  <c r="O38" i="20"/>
  <c r="N36" i="21"/>
  <c r="K5" i="18"/>
  <c r="J3" i="19"/>
  <c r="K52" i="23"/>
  <c r="L54" i="22"/>
  <c r="L11" i="16"/>
  <c r="K9" i="17"/>
  <c r="K58" i="23"/>
  <c r="L60" i="22"/>
  <c r="K7" i="18"/>
  <c r="J5" i="19"/>
  <c r="M49" i="19"/>
  <c r="N51" i="18"/>
  <c r="L43" i="22"/>
  <c r="K41" i="23"/>
  <c r="X8" i="16"/>
  <c r="X6" i="17" s="1"/>
  <c r="W6" i="17"/>
  <c r="L60" i="16"/>
  <c r="K58" i="17"/>
  <c r="M19" i="22"/>
  <c r="L17" i="23"/>
  <c r="L16" i="19"/>
  <c r="M18" i="18"/>
  <c r="B80" i="21"/>
  <c r="F80" i="21"/>
  <c r="G80" i="21"/>
  <c r="H80" i="21"/>
  <c r="C80" i="21"/>
  <c r="J80" i="21"/>
  <c r="D80" i="21"/>
  <c r="E80" i="21"/>
  <c r="J68" i="21"/>
  <c r="J70" i="21" s="1"/>
  <c r="I80" i="21"/>
  <c r="J72" i="21"/>
  <c r="J73" i="21"/>
  <c r="J74" i="21"/>
  <c r="J75" i="21"/>
  <c r="J76" i="21"/>
  <c r="J77" i="21"/>
  <c r="J78" i="21"/>
  <c r="J44" i="17"/>
  <c r="K46" i="16"/>
  <c r="L24" i="20"/>
  <c r="K22" i="21"/>
  <c r="M46" i="22"/>
  <c r="L44" i="23"/>
  <c r="L50" i="20"/>
  <c r="K48" i="21"/>
  <c r="L24" i="16"/>
  <c r="K22" i="17"/>
  <c r="O6" i="20"/>
  <c r="N4" i="21"/>
  <c r="L41" i="20"/>
  <c r="K39" i="21"/>
  <c r="L24" i="22"/>
  <c r="K22" i="23"/>
  <c r="L55" i="19"/>
  <c r="N57" i="18"/>
  <c r="M57" i="18"/>
  <c r="M55" i="19" s="1"/>
  <c r="N21" i="22"/>
  <c r="M19" i="23"/>
  <c r="J11" i="17"/>
  <c r="K13" i="16"/>
  <c r="P18" i="20"/>
  <c r="M18" i="20"/>
  <c r="L16" i="21"/>
  <c r="K13" i="23"/>
  <c r="L15" i="22"/>
  <c r="L9" i="20"/>
  <c r="K7" i="21"/>
  <c r="K62" i="23"/>
  <c r="L64" i="22"/>
  <c r="L26" i="17"/>
  <c r="M28" i="16"/>
  <c r="S67" i="20"/>
  <c r="R67" i="20"/>
  <c r="R65" i="21" s="1"/>
  <c r="Q65" i="21"/>
  <c r="L28" i="20"/>
  <c r="K26" i="21"/>
  <c r="K54" i="19"/>
  <c r="L56" i="18"/>
  <c r="K47" i="16"/>
  <c r="J45" i="17"/>
  <c r="J30" i="17"/>
  <c r="K32" i="16"/>
  <c r="K45" i="16"/>
  <c r="J43" i="17"/>
  <c r="K23" i="18"/>
  <c r="J21" i="19"/>
  <c r="L36" i="16"/>
  <c r="K34" i="17"/>
  <c r="N65" i="20"/>
  <c r="M63" i="21"/>
  <c r="K55" i="17"/>
  <c r="L57" i="16"/>
  <c r="I76" i="17"/>
  <c r="G79" i="17"/>
  <c r="N39" i="20"/>
  <c r="M37" i="21"/>
  <c r="R67" i="16"/>
  <c r="Q65" i="17"/>
  <c r="K2" i="23"/>
  <c r="L4" i="22"/>
  <c r="M38" i="16"/>
  <c r="L36" i="17"/>
  <c r="P57" i="20"/>
  <c r="M55" i="21"/>
  <c r="N57" i="20"/>
  <c r="N55" i="21" s="1"/>
  <c r="L63" i="20"/>
  <c r="K61" i="21"/>
  <c r="L65" i="22"/>
  <c r="K63" i="23"/>
  <c r="L43" i="16"/>
  <c r="K41" i="17"/>
  <c r="I75" i="17"/>
  <c r="I68" i="17"/>
  <c r="I70" i="17" s="1"/>
  <c r="N26" i="22"/>
  <c r="N24" i="23" s="1"/>
  <c r="M24" i="23"/>
  <c r="J43" i="19"/>
  <c r="K45" i="18"/>
  <c r="K34" i="23"/>
  <c r="L36" i="22"/>
  <c r="L8" i="18"/>
  <c r="K6" i="19"/>
  <c r="N10" i="16"/>
  <c r="N8" i="17" s="1"/>
  <c r="K10" i="16"/>
  <c r="J8" i="17"/>
  <c r="N41" i="18"/>
  <c r="K65" i="17"/>
  <c r="L67" i="16"/>
  <c r="M64" i="23"/>
  <c r="N66" i="22"/>
  <c r="L17" i="18"/>
  <c r="K15" i="19"/>
  <c r="K59" i="23"/>
  <c r="L61" i="22"/>
  <c r="J56" i="19"/>
  <c r="K58" i="18"/>
  <c r="L6" i="16"/>
  <c r="K4" i="17"/>
  <c r="K61" i="23"/>
  <c r="L63" i="22"/>
  <c r="K38" i="17"/>
  <c r="L40" i="16"/>
  <c r="J48" i="19"/>
  <c r="K50" i="18"/>
  <c r="K42" i="23"/>
  <c r="L44" i="22"/>
  <c r="J22" i="19"/>
  <c r="K24" i="18"/>
  <c r="N15" i="16"/>
  <c r="M13" i="17"/>
  <c r="N10" i="19"/>
  <c r="O12" i="18"/>
  <c r="L42" i="20"/>
  <c r="K40" i="21"/>
  <c r="K9" i="16"/>
  <c r="J7" i="17"/>
  <c r="L58" i="20"/>
  <c r="K56" i="21"/>
  <c r="L43" i="20"/>
  <c r="K41" i="21"/>
  <c r="K20" i="23"/>
  <c r="L22" i="22"/>
  <c r="K18" i="17"/>
  <c r="L20" i="16"/>
  <c r="K29" i="16"/>
  <c r="J27" i="17"/>
  <c r="O55" i="23"/>
  <c r="Q57" i="22"/>
  <c r="P57" i="22"/>
  <c r="I73" i="17"/>
  <c r="F79" i="17"/>
  <c r="Q24" i="23"/>
  <c r="R26" i="22"/>
  <c r="R24" i="23" s="1"/>
  <c r="S26" i="22"/>
  <c r="G79" i="19"/>
  <c r="I72" i="19"/>
  <c r="C79" i="19"/>
  <c r="I74" i="19"/>
  <c r="E79" i="19"/>
  <c r="I73" i="19"/>
  <c r="F79" i="19"/>
  <c r="B79" i="19"/>
  <c r="I75" i="19"/>
  <c r="I79" i="19"/>
  <c r="D79" i="19"/>
  <c r="H79" i="19"/>
  <c r="I68" i="19"/>
  <c r="I70" i="19" s="1"/>
  <c r="I76" i="19"/>
  <c r="I77" i="19"/>
  <c r="M21" i="20"/>
  <c r="L19" i="21"/>
  <c r="L37" i="23"/>
  <c r="M39" i="22"/>
  <c r="K30" i="23"/>
  <c r="L32" i="22"/>
  <c r="L47" i="20"/>
  <c r="K45" i="21"/>
  <c r="L31" i="22"/>
  <c r="K29" i="23"/>
  <c r="J53" i="17"/>
  <c r="K55" i="16"/>
  <c r="L33" i="17"/>
  <c r="M35" i="16"/>
  <c r="L42" i="16"/>
  <c r="K40" i="17"/>
  <c r="L4" i="20"/>
  <c r="K2" i="21"/>
  <c r="J64" i="19"/>
  <c r="K66" i="18"/>
  <c r="K31" i="17"/>
  <c r="L33" i="16"/>
  <c r="K14" i="23"/>
  <c r="L16" i="22"/>
  <c r="M10" i="18"/>
  <c r="L8" i="19"/>
  <c r="J60" i="19"/>
  <c r="K62" i="18"/>
  <c r="O7" i="20"/>
  <c r="N5" i="21"/>
  <c r="T26" i="20"/>
  <c r="T24" i="21" s="1"/>
  <c r="S24" i="21"/>
  <c r="U26" i="20"/>
  <c r="U24" i="21" s="1"/>
  <c r="L66" i="20"/>
  <c r="K64" i="21"/>
  <c r="V18" i="18"/>
  <c r="Q16" i="19"/>
  <c r="S18" i="18"/>
  <c r="R18" i="18"/>
  <c r="R16" i="19" s="1"/>
  <c r="N31" i="20"/>
  <c r="M29" i="21"/>
  <c r="N5" i="16"/>
  <c r="M3" i="17"/>
  <c r="I79" i="17"/>
  <c r="K29" i="18"/>
  <c r="J27" i="19"/>
  <c r="L17" i="20"/>
  <c r="K15" i="21"/>
  <c r="K10" i="17"/>
  <c r="L12" i="16"/>
  <c r="L68" i="20"/>
  <c r="K66" i="21"/>
  <c r="M15" i="20"/>
  <c r="L13" i="21"/>
  <c r="N14" i="20"/>
  <c r="M12" i="21"/>
  <c r="L61" i="19"/>
  <c r="M63" i="18"/>
  <c r="K33" i="23"/>
  <c r="L35" i="22"/>
  <c r="J28" i="19"/>
  <c r="K30" i="18"/>
  <c r="L47" i="23"/>
  <c r="M49" i="22"/>
  <c r="K25" i="23"/>
  <c r="L27" i="22"/>
  <c r="K31" i="18"/>
  <c r="J29" i="19"/>
  <c r="K17" i="17"/>
  <c r="L19" i="16"/>
  <c r="N53" i="16"/>
  <c r="M51" i="17"/>
  <c r="L6" i="22"/>
  <c r="K4" i="23"/>
  <c r="Q6" i="17"/>
  <c r="R8" i="16"/>
  <c r="S8" i="16"/>
  <c r="S6" i="17" s="1"/>
  <c r="L62" i="20"/>
  <c r="K60" i="21"/>
  <c r="Z57" i="21"/>
  <c r="AA59" i="20"/>
  <c r="AA57" i="21" s="1"/>
  <c r="L52" i="20"/>
  <c r="K50" i="21"/>
  <c r="R8" i="19"/>
  <c r="T10" i="18"/>
  <c r="T8" i="19" s="1"/>
  <c r="L34" i="22"/>
  <c r="K32" i="23"/>
  <c r="Q8" i="17"/>
  <c r="S10" i="16"/>
  <c r="S8" i="17" s="1"/>
  <c r="R10" i="16"/>
  <c r="L60" i="23"/>
  <c r="M62" i="22"/>
  <c r="M20" i="18"/>
  <c r="L18" i="19"/>
  <c r="M34" i="20"/>
  <c r="L32" i="21"/>
  <c r="J47" i="17"/>
  <c r="K49" i="16"/>
  <c r="M57" i="22"/>
  <c r="L55" i="23"/>
  <c r="I72" i="17"/>
  <c r="B79" i="17"/>
  <c r="D79" i="17"/>
  <c r="L27" i="20"/>
  <c r="K25" i="21"/>
  <c r="K7" i="23"/>
  <c r="L9" i="22"/>
  <c r="K50" i="23"/>
  <c r="L52" i="22"/>
  <c r="Q18" i="16"/>
  <c r="P16" i="17"/>
  <c r="V10" i="20"/>
  <c r="U8" i="21"/>
  <c r="L8" i="16"/>
  <c r="K6" i="17"/>
  <c r="M23" i="22"/>
  <c r="L21" i="23"/>
  <c r="J44" i="19"/>
  <c r="K46" i="18"/>
  <c r="L27" i="18"/>
  <c r="K25" i="19"/>
  <c r="K20" i="17"/>
  <c r="L22" i="16"/>
  <c r="Z59" i="16"/>
  <c r="Y57" i="17"/>
  <c r="M28" i="18"/>
  <c r="L26" i="19"/>
  <c r="J12" i="17"/>
  <c r="K14" i="16"/>
  <c r="K62" i="16"/>
  <c r="J60" i="17"/>
  <c r="K61" i="18"/>
  <c r="J59" i="19"/>
  <c r="L20" i="20"/>
  <c r="K18" i="21"/>
  <c r="N37" i="20"/>
  <c r="M35" i="21"/>
  <c r="L35" i="18"/>
  <c r="K33" i="19"/>
  <c r="J39" i="19"/>
  <c r="K41" i="18"/>
  <c r="K39" i="19" s="1"/>
  <c r="J40" i="19"/>
  <c r="K42" i="18"/>
  <c r="J31" i="19"/>
  <c r="K33" i="18"/>
  <c r="S57" i="23"/>
  <c r="T59" i="22"/>
  <c r="L16" i="18"/>
  <c r="K14" i="19"/>
  <c r="M11" i="22"/>
  <c r="L9" i="23"/>
  <c r="L51" i="20"/>
  <c r="K49" i="21"/>
  <c r="J14" i="17"/>
  <c r="K16" i="16"/>
  <c r="L4" i="16"/>
  <c r="K2" i="17"/>
  <c r="K19" i="19"/>
  <c r="L21" i="18"/>
  <c r="L20" i="22"/>
  <c r="K18" i="23"/>
  <c r="L27" i="16"/>
  <c r="K25" i="17"/>
  <c r="M25" i="20"/>
  <c r="L23" i="21"/>
  <c r="L67" i="20"/>
  <c r="K65" i="21"/>
  <c r="L63" i="16"/>
  <c r="K61" i="17"/>
  <c r="L19" i="20"/>
  <c r="K17" i="21"/>
  <c r="L35" i="23"/>
  <c r="M37" i="22"/>
  <c r="J32" i="17"/>
  <c r="K34" i="16"/>
  <c r="L49" i="20"/>
  <c r="K47" i="21"/>
  <c r="Q6" i="19"/>
  <c r="S8" i="18"/>
  <c r="R8" i="18"/>
  <c r="R6" i="19" s="1"/>
  <c r="J23" i="17"/>
  <c r="K25" i="16"/>
  <c r="N5" i="20"/>
  <c r="M3" i="21"/>
  <c r="M45" i="22"/>
  <c r="L43" i="23"/>
  <c r="J28" i="17"/>
  <c r="K30" i="16"/>
  <c r="L66" i="16"/>
  <c r="K64" i="17"/>
  <c r="J52" i="19"/>
  <c r="K54" i="18"/>
  <c r="M33" i="22"/>
  <c r="L31" i="23"/>
  <c r="K50" i="19"/>
  <c r="L52" i="18"/>
  <c r="I78" i="17"/>
  <c r="J52" i="17"/>
  <c r="K54" i="16"/>
  <c r="M38" i="23"/>
  <c r="N40" i="22"/>
  <c r="M46" i="20"/>
  <c r="L44" i="21"/>
  <c r="L68" i="16"/>
  <c r="K66" i="17"/>
  <c r="L48" i="20"/>
  <c r="K46" i="21"/>
  <c r="K23" i="23"/>
  <c r="L25" i="22"/>
  <c r="L49" i="23"/>
  <c r="M51" i="22"/>
  <c r="H80" i="23"/>
  <c r="I80" i="23"/>
  <c r="J80" i="23"/>
  <c r="C80" i="23"/>
  <c r="D80" i="23"/>
  <c r="E80" i="23"/>
  <c r="B80" i="23"/>
  <c r="J68" i="23"/>
  <c r="J70" i="23" s="1"/>
  <c r="F80" i="23"/>
  <c r="G80" i="23"/>
  <c r="J72" i="23"/>
  <c r="J73" i="23"/>
  <c r="J74" i="23"/>
  <c r="J75" i="23"/>
  <c r="J76" i="23"/>
  <c r="J77" i="23"/>
  <c r="J78" i="23"/>
  <c r="J12" i="19"/>
  <c r="K14" i="18"/>
  <c r="K37" i="18"/>
  <c r="J35" i="19"/>
  <c r="L32" i="20"/>
  <c r="K30" i="21"/>
  <c r="J39" i="17"/>
  <c r="K41" i="16"/>
  <c r="K39" i="17" s="1"/>
  <c r="L41" i="16"/>
  <c r="M22" i="20"/>
  <c r="L20" i="21"/>
  <c r="Q8" i="23"/>
  <c r="V10" i="22"/>
  <c r="S10" i="22"/>
  <c r="S8" i="23" s="1"/>
  <c r="T10" i="22"/>
  <c r="R10" i="22"/>
  <c r="R8" i="23" s="1"/>
  <c r="M19" i="17"/>
  <c r="N21" i="16"/>
  <c r="L56" i="20"/>
  <c r="K54" i="21"/>
  <c r="K45" i="19"/>
  <c r="L47" i="18"/>
  <c r="K50" i="17"/>
  <c r="L52" i="16"/>
  <c r="AA26" i="18"/>
  <c r="AA24" i="19" s="1"/>
  <c r="Y24" i="19"/>
  <c r="Z26" i="18"/>
  <c r="Z24" i="19" s="1"/>
  <c r="V6" i="19"/>
  <c r="X8" i="18"/>
  <c r="X6" i="19" s="1"/>
  <c r="Y8" i="18"/>
  <c r="Y6" i="19" s="1"/>
  <c r="W8" i="18"/>
  <c r="W6" i="19" s="1"/>
  <c r="L49" i="17"/>
  <c r="M51" i="16"/>
  <c r="M53" i="20"/>
  <c r="L51" i="21"/>
  <c r="K65" i="23"/>
  <c r="O67" i="22"/>
  <c r="L67" i="22"/>
  <c r="J20" i="19"/>
  <c r="K22" i="18"/>
  <c r="N42" i="21"/>
  <c r="O44" i="20"/>
  <c r="K47" i="19"/>
  <c r="L49" i="18"/>
  <c r="K46" i="23"/>
  <c r="L48" i="22"/>
  <c r="L56" i="23"/>
  <c r="M58" i="22"/>
  <c r="K41" i="19"/>
  <c r="L43" i="18"/>
  <c r="L12" i="20"/>
  <c r="K10" i="21"/>
  <c r="M30" i="20"/>
  <c r="L28" i="21"/>
  <c r="L50" i="22"/>
  <c r="K48" i="23"/>
  <c r="K15" i="23"/>
  <c r="L17" i="22"/>
  <c r="N60" i="20"/>
  <c r="M58" i="21"/>
  <c r="L40" i="20"/>
  <c r="K38" i="21"/>
  <c r="J62" i="19"/>
  <c r="K64" i="18"/>
  <c r="M54" i="20"/>
  <c r="L52" i="21"/>
  <c r="K11" i="19"/>
  <c r="L13" i="18"/>
  <c r="K59" i="17"/>
  <c r="L61" i="16"/>
  <c r="K46" i="19"/>
  <c r="L48" i="18"/>
  <c r="K40" i="23"/>
  <c r="L42" i="22"/>
  <c r="E79" i="17"/>
  <c r="L28" i="22"/>
  <c r="K26" i="23"/>
  <c r="J5" i="17"/>
  <c r="K7" i="16"/>
  <c r="L16" i="20"/>
  <c r="K14" i="21"/>
  <c r="M61" i="20"/>
  <c r="L59" i="21"/>
  <c r="L23" i="19"/>
  <c r="M25" i="18"/>
  <c r="K58" i="16"/>
  <c r="J56" i="17"/>
  <c r="Z8" i="16"/>
  <c r="L23" i="20"/>
  <c r="K21" i="21"/>
  <c r="L53" i="23"/>
  <c r="M55" i="22"/>
  <c r="Y4" i="7"/>
  <c r="AB4" i="7"/>
  <c r="AC4" i="7"/>
  <c r="AG4" i="7"/>
  <c r="AN4" i="7"/>
  <c r="AO4" i="7"/>
  <c r="AP4" i="7"/>
  <c r="AQ4" i="7"/>
  <c r="AR4" i="7"/>
  <c r="AT4" i="7"/>
  <c r="AU4" i="7"/>
  <c r="AX4" i="7"/>
  <c r="AZ4" i="7"/>
  <c r="BB4" i="7"/>
  <c r="BE4" i="7"/>
  <c r="BG4" i="7"/>
  <c r="BH4" i="7"/>
  <c r="BI4" i="7"/>
  <c r="BJ4" i="7"/>
  <c r="BK4" i="7"/>
  <c r="BL4" i="7"/>
  <c r="BM4" i="7"/>
  <c r="BN4" i="7"/>
  <c r="BO4" i="7"/>
  <c r="E4" i="7"/>
  <c r="F4" i="7"/>
  <c r="H4" i="7"/>
  <c r="J4" i="7"/>
  <c r="K4" i="7"/>
  <c r="O4" i="7"/>
  <c r="Q4" i="7"/>
  <c r="C4" i="7"/>
  <c r="B4" i="7"/>
  <c r="B80" i="17" l="1"/>
  <c r="K80" i="21"/>
  <c r="K63" i="19"/>
  <c r="L65" i="18"/>
  <c r="M34" i="18"/>
  <c r="L32" i="19"/>
  <c r="K58" i="19"/>
  <c r="L60" i="18"/>
  <c r="J79" i="19"/>
  <c r="M68" i="18"/>
  <c r="L66" i="19"/>
  <c r="K53" i="19"/>
  <c r="L55" i="18"/>
  <c r="M47" i="22"/>
  <c r="L45" i="23"/>
  <c r="T44" i="16"/>
  <c r="S42" i="17"/>
  <c r="M44" i="16"/>
  <c r="M42" i="17" s="1"/>
  <c r="L42" i="17"/>
  <c r="D80" i="17"/>
  <c r="L4" i="18"/>
  <c r="K2" i="19"/>
  <c r="L28" i="23"/>
  <c r="M30" i="22"/>
  <c r="L11" i="18"/>
  <c r="K9" i="19"/>
  <c r="K7" i="19"/>
  <c r="L9" i="18"/>
  <c r="K17" i="19"/>
  <c r="L19" i="18"/>
  <c r="L27" i="23"/>
  <c r="M29" i="22"/>
  <c r="K34" i="19"/>
  <c r="L36" i="18"/>
  <c r="J76" i="17"/>
  <c r="L35" i="17"/>
  <c r="M37" i="16"/>
  <c r="K37" i="19"/>
  <c r="L39" i="18"/>
  <c r="M56" i="20"/>
  <c r="L54" i="21"/>
  <c r="T8" i="23"/>
  <c r="U10" i="22"/>
  <c r="L14" i="19"/>
  <c r="M16" i="18"/>
  <c r="Q16" i="17"/>
  <c r="R18" i="16"/>
  <c r="S18" i="16"/>
  <c r="S16" i="17" s="1"/>
  <c r="R6" i="17"/>
  <c r="T8" i="16"/>
  <c r="T6" i="17" s="1"/>
  <c r="O31" i="20"/>
  <c r="N29" i="21"/>
  <c r="K64" i="19"/>
  <c r="L66" i="18"/>
  <c r="L30" i="23"/>
  <c r="M32" i="22"/>
  <c r="K7" i="17"/>
  <c r="L9" i="16"/>
  <c r="L38" i="17"/>
  <c r="M40" i="16"/>
  <c r="M67" i="16"/>
  <c r="M65" i="17" s="1"/>
  <c r="L65" i="17"/>
  <c r="L6" i="19"/>
  <c r="M8" i="18"/>
  <c r="G81" i="23"/>
  <c r="H81" i="23"/>
  <c r="I81" i="23"/>
  <c r="J81" i="23"/>
  <c r="K81" i="23"/>
  <c r="B81" i="23"/>
  <c r="K68" i="23"/>
  <c r="K70" i="23" s="1"/>
  <c r="D81" i="23"/>
  <c r="F81" i="23"/>
  <c r="C81" i="23"/>
  <c r="E81" i="23"/>
  <c r="K72" i="23"/>
  <c r="K73" i="23"/>
  <c r="K74" i="23"/>
  <c r="K75" i="23"/>
  <c r="K76" i="23"/>
  <c r="K77" i="23"/>
  <c r="K78" i="23"/>
  <c r="K79" i="23"/>
  <c r="M57" i="16"/>
  <c r="L55" i="17"/>
  <c r="M26" i="17"/>
  <c r="N28" i="16"/>
  <c r="O57" i="18"/>
  <c r="N55" i="19"/>
  <c r="P6" i="20"/>
  <c r="O4" i="21"/>
  <c r="L41" i="23"/>
  <c r="M43" i="22"/>
  <c r="N14" i="22"/>
  <c r="M12" i="23"/>
  <c r="O7" i="22"/>
  <c r="N5" i="23"/>
  <c r="M41" i="22"/>
  <c r="L39" i="23"/>
  <c r="N33" i="20"/>
  <c r="M31" i="21"/>
  <c r="U59" i="18"/>
  <c r="T57" i="19"/>
  <c r="M16" i="20"/>
  <c r="L14" i="21"/>
  <c r="M12" i="20"/>
  <c r="L10" i="21"/>
  <c r="L46" i="23"/>
  <c r="M48" i="22"/>
  <c r="K52" i="17"/>
  <c r="L54" i="16"/>
  <c r="K28" i="17"/>
  <c r="L30" i="16"/>
  <c r="K23" i="17"/>
  <c r="L25" i="16"/>
  <c r="J73" i="17"/>
  <c r="M49" i="20"/>
  <c r="L47" i="21"/>
  <c r="L25" i="17"/>
  <c r="M27" i="16"/>
  <c r="U59" i="22"/>
  <c r="T57" i="23"/>
  <c r="O37" i="20"/>
  <c r="N35" i="21"/>
  <c r="K60" i="17"/>
  <c r="L62" i="16"/>
  <c r="L50" i="23"/>
  <c r="M52" i="22"/>
  <c r="N34" i="20"/>
  <c r="M32" i="21"/>
  <c r="M52" i="20"/>
  <c r="L50" i="21"/>
  <c r="L31" i="18"/>
  <c r="K29" i="19"/>
  <c r="M17" i="20"/>
  <c r="L15" i="21"/>
  <c r="M8" i="19"/>
  <c r="N10" i="18"/>
  <c r="N8" i="19" s="1"/>
  <c r="N13" i="17"/>
  <c r="O15" i="16"/>
  <c r="L59" i="23"/>
  <c r="M61" i="22"/>
  <c r="L34" i="23"/>
  <c r="M36" i="22"/>
  <c r="M63" i="20"/>
  <c r="L61" i="21"/>
  <c r="K43" i="17"/>
  <c r="L45" i="16"/>
  <c r="M16" i="21"/>
  <c r="N18" i="20"/>
  <c r="N16" i="21" s="1"/>
  <c r="M24" i="20"/>
  <c r="L22" i="21"/>
  <c r="L9" i="17"/>
  <c r="M11" i="16"/>
  <c r="N42" i="19"/>
  <c r="O44" i="18"/>
  <c r="M5" i="22"/>
  <c r="L3" i="23"/>
  <c r="M8" i="22"/>
  <c r="L64" i="17"/>
  <c r="M66" i="16"/>
  <c r="O5" i="20"/>
  <c r="N3" i="21"/>
  <c r="J72" i="17"/>
  <c r="N54" i="20"/>
  <c r="M52" i="21"/>
  <c r="L66" i="17"/>
  <c r="M68" i="16"/>
  <c r="G80" i="17"/>
  <c r="L25" i="23"/>
  <c r="M27" i="22"/>
  <c r="M64" i="22"/>
  <c r="L62" i="23"/>
  <c r="M24" i="16"/>
  <c r="L22" i="17"/>
  <c r="L52" i="23"/>
  <c r="M54" i="22"/>
  <c r="L64" i="18"/>
  <c r="K62" i="19"/>
  <c r="L47" i="19"/>
  <c r="M49" i="18"/>
  <c r="L18" i="23"/>
  <c r="M20" i="22"/>
  <c r="K31" i="19"/>
  <c r="L33" i="18"/>
  <c r="M9" i="22"/>
  <c r="L7" i="23"/>
  <c r="N20" i="18"/>
  <c r="M18" i="19"/>
  <c r="L29" i="18"/>
  <c r="K27" i="19"/>
  <c r="V26" i="20"/>
  <c r="K27" i="17"/>
  <c r="L29" i="16"/>
  <c r="O41" i="18"/>
  <c r="N39" i="19"/>
  <c r="K54" i="17"/>
  <c r="L56" i="16"/>
  <c r="N25" i="18"/>
  <c r="M23" i="19"/>
  <c r="L59" i="17"/>
  <c r="M61" i="16"/>
  <c r="L37" i="18"/>
  <c r="K35" i="19"/>
  <c r="N46" i="20"/>
  <c r="M44" i="21"/>
  <c r="J77" i="17"/>
  <c r="J80" i="17"/>
  <c r="M35" i="23"/>
  <c r="N37" i="22"/>
  <c r="L19" i="19"/>
  <c r="M21" i="18"/>
  <c r="L33" i="19"/>
  <c r="M35" i="18"/>
  <c r="M8" i="16"/>
  <c r="M6" i="17" s="1"/>
  <c r="L6" i="17"/>
  <c r="M60" i="23"/>
  <c r="N62" i="22"/>
  <c r="M47" i="23"/>
  <c r="N49" i="22"/>
  <c r="M61" i="19"/>
  <c r="N63" i="18"/>
  <c r="M68" i="20"/>
  <c r="L66" i="21"/>
  <c r="W18" i="18"/>
  <c r="Y18" i="18"/>
  <c r="Y16" i="19" s="1"/>
  <c r="V16" i="19"/>
  <c r="L18" i="17"/>
  <c r="M20" i="16"/>
  <c r="M43" i="20"/>
  <c r="L41" i="21"/>
  <c r="O10" i="19"/>
  <c r="P12" i="18"/>
  <c r="M44" i="22"/>
  <c r="M42" i="23" s="1"/>
  <c r="L42" i="23"/>
  <c r="N44" i="22"/>
  <c r="L45" i="18"/>
  <c r="K43" i="19"/>
  <c r="Q57" i="20"/>
  <c r="P55" i="21"/>
  <c r="M50" i="20"/>
  <c r="L48" i="21"/>
  <c r="L58" i="17"/>
  <c r="M60" i="16"/>
  <c r="C80" i="19"/>
  <c r="B80" i="19"/>
  <c r="J76" i="19"/>
  <c r="E80" i="19"/>
  <c r="D80" i="19"/>
  <c r="J75" i="19"/>
  <c r="F80" i="19"/>
  <c r="J68" i="19"/>
  <c r="J70" i="19" s="1"/>
  <c r="I80" i="19"/>
  <c r="G80" i="19"/>
  <c r="J77" i="19"/>
  <c r="J80" i="19"/>
  <c r="H80" i="19"/>
  <c r="J72" i="19"/>
  <c r="J73" i="19"/>
  <c r="J74" i="19"/>
  <c r="J78" i="19"/>
  <c r="M35" i="20"/>
  <c r="L33" i="21"/>
  <c r="M11" i="23"/>
  <c r="N13" i="22"/>
  <c r="K4" i="19"/>
  <c r="L6" i="18"/>
  <c r="K63" i="17"/>
  <c r="L65" i="16"/>
  <c r="L23" i="16"/>
  <c r="K21" i="17"/>
  <c r="L22" i="18"/>
  <c r="K20" i="19"/>
  <c r="K5" i="17"/>
  <c r="L7" i="16"/>
  <c r="L46" i="19"/>
  <c r="M48" i="18"/>
  <c r="M32" i="20"/>
  <c r="L30" i="21"/>
  <c r="K32" i="17"/>
  <c r="L34" i="16"/>
  <c r="L32" i="23"/>
  <c r="M34" i="22"/>
  <c r="L55" i="16"/>
  <c r="K53" i="17"/>
  <c r="L32" i="16"/>
  <c r="K30" i="17"/>
  <c r="M53" i="22"/>
  <c r="L51" i="23"/>
  <c r="U6" i="21"/>
  <c r="V8" i="20"/>
  <c r="N13" i="20"/>
  <c r="M11" i="21"/>
  <c r="M53" i="23"/>
  <c r="N55" i="22"/>
  <c r="M52" i="16"/>
  <c r="L50" i="17"/>
  <c r="L61" i="17"/>
  <c r="M63" i="16"/>
  <c r="L61" i="23"/>
  <c r="M63" i="22"/>
  <c r="S67" i="16"/>
  <c r="T67" i="16"/>
  <c r="T65" i="17" s="1"/>
  <c r="R65" i="17"/>
  <c r="L22" i="23"/>
  <c r="M24" i="22"/>
  <c r="N31" i="16"/>
  <c r="M29" i="17"/>
  <c r="N45" i="20"/>
  <c r="M43" i="21"/>
  <c r="N36" i="23"/>
  <c r="O38" i="22"/>
  <c r="M43" i="18"/>
  <c r="L41" i="19"/>
  <c r="M25" i="22"/>
  <c r="L23" i="23"/>
  <c r="L26" i="23"/>
  <c r="M28" i="22"/>
  <c r="L48" i="23"/>
  <c r="M50" i="22"/>
  <c r="P44" i="20"/>
  <c r="O42" i="21"/>
  <c r="L45" i="19"/>
  <c r="M47" i="18"/>
  <c r="O21" i="16"/>
  <c r="N19" i="17"/>
  <c r="N22" i="20"/>
  <c r="M20" i="21"/>
  <c r="O40" i="22"/>
  <c r="N38" i="23"/>
  <c r="M52" i="18"/>
  <c r="L50" i="19"/>
  <c r="M67" i="20"/>
  <c r="L65" i="21"/>
  <c r="M9" i="23"/>
  <c r="N11" i="22"/>
  <c r="K40" i="19"/>
  <c r="L42" i="18"/>
  <c r="M20" i="20"/>
  <c r="L18" i="21"/>
  <c r="M26" i="19"/>
  <c r="N28" i="18"/>
  <c r="L25" i="19"/>
  <c r="M27" i="18"/>
  <c r="U10" i="18"/>
  <c r="O53" i="16"/>
  <c r="N51" i="17"/>
  <c r="M12" i="16"/>
  <c r="L10" i="17"/>
  <c r="P7" i="20"/>
  <c r="W7" i="20"/>
  <c r="W5" i="21" s="1"/>
  <c r="O5" i="21"/>
  <c r="L29" i="23"/>
  <c r="M31" i="22"/>
  <c r="N21" i="20"/>
  <c r="M19" i="21"/>
  <c r="L15" i="19"/>
  <c r="M17" i="18"/>
  <c r="K8" i="17"/>
  <c r="L10" i="16"/>
  <c r="L41" i="17"/>
  <c r="M43" i="16"/>
  <c r="O39" i="20"/>
  <c r="N37" i="21"/>
  <c r="L34" i="17"/>
  <c r="M36" i="16"/>
  <c r="S65" i="21"/>
  <c r="U67" i="20"/>
  <c r="T67" i="20"/>
  <c r="T65" i="21" s="1"/>
  <c r="M9" i="20"/>
  <c r="L7" i="21"/>
  <c r="M41" i="20"/>
  <c r="L39" i="21"/>
  <c r="K5" i="19"/>
  <c r="L7" i="18"/>
  <c r="L5" i="18"/>
  <c r="K3" i="19"/>
  <c r="L53" i="18"/>
  <c r="K51" i="19"/>
  <c r="M36" i="20"/>
  <c r="L34" i="21"/>
  <c r="K46" i="17"/>
  <c r="L48" i="16"/>
  <c r="N29" i="20"/>
  <c r="M27" i="21"/>
  <c r="K38" i="19"/>
  <c r="L40" i="18"/>
  <c r="AA8" i="16"/>
  <c r="AA6" i="17" s="1"/>
  <c r="Z6" i="17"/>
  <c r="L15" i="23"/>
  <c r="M17" i="22"/>
  <c r="N51" i="22"/>
  <c r="M49" i="23"/>
  <c r="L14" i="16"/>
  <c r="K12" i="17"/>
  <c r="M22" i="16"/>
  <c r="L20" i="17"/>
  <c r="L33" i="23"/>
  <c r="M35" i="22"/>
  <c r="N15" i="20"/>
  <c r="M13" i="21"/>
  <c r="S16" i="19"/>
  <c r="T18" i="18"/>
  <c r="T16" i="19" s="1"/>
  <c r="L14" i="23"/>
  <c r="M16" i="22"/>
  <c r="E81" i="21"/>
  <c r="F81" i="21"/>
  <c r="G81" i="21"/>
  <c r="J81" i="21"/>
  <c r="C81" i="21"/>
  <c r="D81" i="21"/>
  <c r="K81" i="21"/>
  <c r="K68" i="21"/>
  <c r="K70" i="21" s="1"/>
  <c r="B81" i="21"/>
  <c r="H81" i="21"/>
  <c r="I81" i="21"/>
  <c r="K72" i="21"/>
  <c r="K73" i="21"/>
  <c r="K74" i="21"/>
  <c r="K75" i="21"/>
  <c r="K76" i="21"/>
  <c r="K77" i="21"/>
  <c r="K78" i="21"/>
  <c r="K79" i="21"/>
  <c r="K22" i="19"/>
  <c r="L24" i="18"/>
  <c r="M28" i="20"/>
  <c r="L26" i="21"/>
  <c r="Q18" i="20"/>
  <c r="P16" i="21"/>
  <c r="M17" i="23"/>
  <c r="N19" i="22"/>
  <c r="K56" i="17"/>
  <c r="L58" i="16"/>
  <c r="J79" i="17"/>
  <c r="P67" i="22"/>
  <c r="O65" i="23"/>
  <c r="K52" i="19"/>
  <c r="L54" i="18"/>
  <c r="J78" i="17"/>
  <c r="I80" i="17"/>
  <c r="H80" i="17"/>
  <c r="E80" i="17"/>
  <c r="M51" i="20"/>
  <c r="L49" i="21"/>
  <c r="M55" i="23"/>
  <c r="N57" i="22"/>
  <c r="N55" i="23" s="1"/>
  <c r="M6" i="22"/>
  <c r="L4" i="23"/>
  <c r="M4" i="20"/>
  <c r="L2" i="21"/>
  <c r="O65" i="20"/>
  <c r="N63" i="21"/>
  <c r="K11" i="17"/>
  <c r="L13" i="16"/>
  <c r="L15" i="17"/>
  <c r="M17" i="16"/>
  <c r="N11" i="20"/>
  <c r="M9" i="21"/>
  <c r="M40" i="20"/>
  <c r="L38" i="21"/>
  <c r="N58" i="22"/>
  <c r="M56" i="23"/>
  <c r="N53" i="20"/>
  <c r="M51" i="21"/>
  <c r="Z8" i="18"/>
  <c r="M41" i="16"/>
  <c r="L39" i="17"/>
  <c r="L14" i="18"/>
  <c r="K12" i="19"/>
  <c r="N45" i="22"/>
  <c r="M43" i="23"/>
  <c r="J75" i="17"/>
  <c r="C80" i="17"/>
  <c r="F80" i="17"/>
  <c r="S6" i="19"/>
  <c r="T8" i="18"/>
  <c r="T6" i="19" s="1"/>
  <c r="V8" i="21"/>
  <c r="X10" i="20"/>
  <c r="X8" i="21" s="1"/>
  <c r="W10" i="20"/>
  <c r="W8" i="21" s="1"/>
  <c r="Y10" i="20"/>
  <c r="Y8" i="21" s="1"/>
  <c r="M27" i="20"/>
  <c r="L25" i="21"/>
  <c r="K47" i="17"/>
  <c r="L49" i="16"/>
  <c r="R8" i="17"/>
  <c r="T10" i="16"/>
  <c r="M62" i="20"/>
  <c r="L60" i="21"/>
  <c r="L17" i="17"/>
  <c r="M19" i="16"/>
  <c r="L30" i="18"/>
  <c r="K28" i="19"/>
  <c r="N3" i="17"/>
  <c r="O5" i="16"/>
  <c r="M66" i="20"/>
  <c r="L64" i="21"/>
  <c r="L62" i="18"/>
  <c r="K60" i="19"/>
  <c r="M33" i="16"/>
  <c r="L31" i="17"/>
  <c r="M42" i="16"/>
  <c r="L40" i="17"/>
  <c r="R57" i="22"/>
  <c r="R55" i="23" s="1"/>
  <c r="P55" i="23"/>
  <c r="M58" i="20"/>
  <c r="L56" i="21"/>
  <c r="K48" i="19"/>
  <c r="L50" i="18"/>
  <c r="M6" i="16"/>
  <c r="L4" i="17"/>
  <c r="N64" i="23"/>
  <c r="O66" i="22"/>
  <c r="N38" i="16"/>
  <c r="M36" i="17"/>
  <c r="L47" i="16"/>
  <c r="K45" i="17"/>
  <c r="M15" i="22"/>
  <c r="L13" i="23"/>
  <c r="O21" i="22"/>
  <c r="N19" i="23"/>
  <c r="N18" i="18"/>
  <c r="N16" i="19" s="1"/>
  <c r="M16" i="19"/>
  <c r="M60" i="22"/>
  <c r="L58" i="23"/>
  <c r="L38" i="18"/>
  <c r="K36" i="19"/>
  <c r="T18" i="22"/>
  <c r="S16" i="23"/>
  <c r="M64" i="20"/>
  <c r="L62" i="21"/>
  <c r="L10" i="23"/>
  <c r="M12" i="22"/>
  <c r="K65" i="19"/>
  <c r="L67" i="18"/>
  <c r="L16" i="17"/>
  <c r="M18" i="16"/>
  <c r="M16" i="17" s="1"/>
  <c r="O60" i="20"/>
  <c r="N58" i="21"/>
  <c r="K14" i="17"/>
  <c r="L16" i="16"/>
  <c r="L65" i="23"/>
  <c r="M67" i="22"/>
  <c r="Y10" i="22"/>
  <c r="Y8" i="23" s="1"/>
  <c r="V8" i="23"/>
  <c r="W10" i="22"/>
  <c r="M31" i="23"/>
  <c r="N33" i="22"/>
  <c r="J68" i="17"/>
  <c r="J70" i="17" s="1"/>
  <c r="M21" i="23"/>
  <c r="N23" i="22"/>
  <c r="N39" i="22"/>
  <c r="M37" i="23"/>
  <c r="M42" i="20"/>
  <c r="L40" i="21"/>
  <c r="L46" i="16"/>
  <c r="K44" i="17"/>
  <c r="N49" i="19"/>
  <c r="O51" i="18"/>
  <c r="K13" i="19"/>
  <c r="L15" i="18"/>
  <c r="M23" i="20"/>
  <c r="L21" i="21"/>
  <c r="N61" i="20"/>
  <c r="M59" i="21"/>
  <c r="L40" i="23"/>
  <c r="M42" i="22"/>
  <c r="L11" i="19"/>
  <c r="M13" i="18"/>
  <c r="N30" i="20"/>
  <c r="M28" i="21"/>
  <c r="M49" i="17"/>
  <c r="N51" i="16"/>
  <c r="K80" i="23"/>
  <c r="M48" i="20"/>
  <c r="L46" i="21"/>
  <c r="J74" i="17"/>
  <c r="M19" i="20"/>
  <c r="L17" i="21"/>
  <c r="N25" i="20"/>
  <c r="M23" i="21"/>
  <c r="L2" i="17"/>
  <c r="M4" i="16"/>
  <c r="K59" i="19"/>
  <c r="L61" i="18"/>
  <c r="Z57" i="17"/>
  <c r="AA59" i="16"/>
  <c r="AA57" i="17" s="1"/>
  <c r="K44" i="19"/>
  <c r="L46" i="18"/>
  <c r="O14" i="20"/>
  <c r="N12" i="21"/>
  <c r="M33" i="17"/>
  <c r="N35" i="16"/>
  <c r="M47" i="20"/>
  <c r="L45" i="21"/>
  <c r="T26" i="22"/>
  <c r="T24" i="23" s="1"/>
  <c r="U26" i="22"/>
  <c r="S24" i="23"/>
  <c r="S57" i="22"/>
  <c r="Q55" i="23"/>
  <c r="L20" i="23"/>
  <c r="M22" i="22"/>
  <c r="K56" i="19"/>
  <c r="L58" i="18"/>
  <c r="M65" i="22"/>
  <c r="L63" i="23"/>
  <c r="L2" i="23"/>
  <c r="M4" i="22"/>
  <c r="L23" i="18"/>
  <c r="K21" i="19"/>
  <c r="M56" i="18"/>
  <c r="L54" i="19"/>
  <c r="N46" i="22"/>
  <c r="M44" i="23"/>
  <c r="P38" i="20"/>
  <c r="O36" i="21"/>
  <c r="N56" i="22"/>
  <c r="M54" i="23"/>
  <c r="L32" i="18"/>
  <c r="K30" i="19"/>
  <c r="L66" i="23"/>
  <c r="M68" i="22"/>
  <c r="L50" i="16"/>
  <c r="K48" i="17"/>
  <c r="O6" i="23"/>
  <c r="P8" i="22"/>
  <c r="L37" i="17"/>
  <c r="M39" i="16"/>
  <c r="M62" i="17"/>
  <c r="N64" i="16"/>
  <c r="M55" i="20"/>
  <c r="L53" i="21"/>
  <c r="K79" i="17" l="1"/>
  <c r="L9" i="19"/>
  <c r="M11" i="18"/>
  <c r="M27" i="23"/>
  <c r="N29" i="22"/>
  <c r="N30" i="22"/>
  <c r="M28" i="23"/>
  <c r="U44" i="16"/>
  <c r="T42" i="17"/>
  <c r="M60" i="18"/>
  <c r="L58" i="19"/>
  <c r="L81" i="21"/>
  <c r="E81" i="17"/>
  <c r="L37" i="19"/>
  <c r="M39" i="18"/>
  <c r="L17" i="19"/>
  <c r="M19" i="18"/>
  <c r="N47" i="22"/>
  <c r="M45" i="23"/>
  <c r="N37" i="16"/>
  <c r="M35" i="17"/>
  <c r="L2" i="19"/>
  <c r="M4" i="18"/>
  <c r="L53" i="19"/>
  <c r="M55" i="18"/>
  <c r="N34" i="18"/>
  <c r="M32" i="19"/>
  <c r="L7" i="19"/>
  <c r="M9" i="18"/>
  <c r="L63" i="19"/>
  <c r="M65" i="18"/>
  <c r="K80" i="17"/>
  <c r="M36" i="18"/>
  <c r="L34" i="19"/>
  <c r="M66" i="19"/>
  <c r="N68" i="18"/>
  <c r="N68" i="22"/>
  <c r="M66" i="23"/>
  <c r="O25" i="20"/>
  <c r="N23" i="21"/>
  <c r="M15" i="18"/>
  <c r="L13" i="19"/>
  <c r="N26" i="19"/>
  <c r="O28" i="18"/>
  <c r="S57" i="20"/>
  <c r="R57" i="20"/>
  <c r="R55" i="21" s="1"/>
  <c r="Q55" i="21"/>
  <c r="M64" i="17"/>
  <c r="N66" i="16"/>
  <c r="N63" i="20"/>
  <c r="M61" i="21"/>
  <c r="N52" i="20"/>
  <c r="M50" i="21"/>
  <c r="P37" i="20"/>
  <c r="O35" i="21"/>
  <c r="L23" i="17"/>
  <c r="M25" i="16"/>
  <c r="M41" i="23"/>
  <c r="N43" i="22"/>
  <c r="T18" i="16"/>
  <c r="R16" i="17"/>
  <c r="Q38" i="20"/>
  <c r="P36" i="21"/>
  <c r="F82" i="23"/>
  <c r="G82" i="23"/>
  <c r="H82" i="23"/>
  <c r="I82" i="23"/>
  <c r="C82" i="23"/>
  <c r="D82" i="23"/>
  <c r="E82" i="23"/>
  <c r="L68" i="23"/>
  <c r="L70" i="23" s="1"/>
  <c r="K82" i="23"/>
  <c r="L82" i="23"/>
  <c r="B82" i="23"/>
  <c r="J82" i="23"/>
  <c r="L72" i="23"/>
  <c r="L73" i="23"/>
  <c r="L74" i="23"/>
  <c r="L75" i="23"/>
  <c r="L76" i="23"/>
  <c r="L77" i="23"/>
  <c r="L78" i="23"/>
  <c r="L79" i="23"/>
  <c r="L80" i="23"/>
  <c r="O35" i="16"/>
  <c r="N33" i="17"/>
  <c r="N48" i="20"/>
  <c r="M46" i="21"/>
  <c r="M40" i="23"/>
  <c r="N42" i="22"/>
  <c r="O39" i="22"/>
  <c r="N37" i="23"/>
  <c r="T16" i="23"/>
  <c r="U18" i="22"/>
  <c r="P21" i="22"/>
  <c r="O19" i="23"/>
  <c r="N66" i="20"/>
  <c r="M64" i="21"/>
  <c r="N62" i="20"/>
  <c r="M60" i="21"/>
  <c r="K78" i="17"/>
  <c r="B81" i="17"/>
  <c r="D81" i="17"/>
  <c r="O45" i="22"/>
  <c r="N43" i="23"/>
  <c r="M13" i="16"/>
  <c r="L11" i="17"/>
  <c r="N28" i="20"/>
  <c r="M26" i="21"/>
  <c r="M40" i="18"/>
  <c r="L38" i="19"/>
  <c r="P39" i="20"/>
  <c r="O37" i="21"/>
  <c r="N67" i="20"/>
  <c r="N65" i="21" s="1"/>
  <c r="M65" i="21"/>
  <c r="O19" i="17"/>
  <c r="P21" i="16"/>
  <c r="O45" i="20"/>
  <c r="N43" i="21"/>
  <c r="M61" i="23"/>
  <c r="N63" i="22"/>
  <c r="O55" i="22"/>
  <c r="N53" i="23"/>
  <c r="L32" i="17"/>
  <c r="M34" i="16"/>
  <c r="L5" i="17"/>
  <c r="M7" i="16"/>
  <c r="L4" i="19"/>
  <c r="M6" i="18"/>
  <c r="N43" i="20"/>
  <c r="M41" i="21"/>
  <c r="W26" i="20"/>
  <c r="V24" i="21"/>
  <c r="M66" i="17"/>
  <c r="N68" i="16"/>
  <c r="M34" i="23"/>
  <c r="N36" i="22"/>
  <c r="N12" i="20"/>
  <c r="M10" i="21"/>
  <c r="N41" i="22"/>
  <c r="M39" i="23"/>
  <c r="M55" i="17"/>
  <c r="N57" i="16"/>
  <c r="M38" i="17"/>
  <c r="N40" i="16"/>
  <c r="M2" i="23"/>
  <c r="N4" i="22"/>
  <c r="N22" i="22"/>
  <c r="M20" i="23"/>
  <c r="M58" i="16"/>
  <c r="L56" i="17"/>
  <c r="M20" i="17"/>
  <c r="N22" i="16"/>
  <c r="N36" i="20"/>
  <c r="M34" i="21"/>
  <c r="Q7" i="20"/>
  <c r="P5" i="21"/>
  <c r="V67" i="16"/>
  <c r="S65" i="17"/>
  <c r="X18" i="18"/>
  <c r="W16" i="19"/>
  <c r="N56" i="23"/>
  <c r="O58" i="22"/>
  <c r="L22" i="19"/>
  <c r="M24" i="18"/>
  <c r="M45" i="19"/>
  <c r="N47" i="18"/>
  <c r="M30" i="16"/>
  <c r="L28" i="17"/>
  <c r="M32" i="18"/>
  <c r="L30" i="19"/>
  <c r="M38" i="18"/>
  <c r="L36" i="19"/>
  <c r="N6" i="16"/>
  <c r="M4" i="17"/>
  <c r="K76" i="17"/>
  <c r="M61" i="17"/>
  <c r="N63" i="16"/>
  <c r="M58" i="17"/>
  <c r="N60" i="16"/>
  <c r="O44" i="22"/>
  <c r="N42" i="23"/>
  <c r="N35" i="18"/>
  <c r="M33" i="19"/>
  <c r="M22" i="17"/>
  <c r="N24" i="16"/>
  <c r="M59" i="23"/>
  <c r="N61" i="22"/>
  <c r="N16" i="20"/>
  <c r="M14" i="21"/>
  <c r="N16" i="18"/>
  <c r="M14" i="19"/>
  <c r="P14" i="20"/>
  <c r="O12" i="21"/>
  <c r="O61" i="20"/>
  <c r="N59" i="21"/>
  <c r="L14" i="17"/>
  <c r="M16" i="16"/>
  <c r="M10" i="23"/>
  <c r="N12" i="22"/>
  <c r="M50" i="18"/>
  <c r="L48" i="19"/>
  <c r="K75" i="17"/>
  <c r="N40" i="20"/>
  <c r="M38" i="21"/>
  <c r="P65" i="20"/>
  <c r="O63" i="21"/>
  <c r="N51" i="20"/>
  <c r="M49" i="21"/>
  <c r="N17" i="23"/>
  <c r="O19" i="22"/>
  <c r="O15" i="20"/>
  <c r="N13" i="21"/>
  <c r="N49" i="23"/>
  <c r="O51" i="22"/>
  <c r="O29" i="20"/>
  <c r="N27" i="21"/>
  <c r="L3" i="19"/>
  <c r="M5" i="18"/>
  <c r="U65" i="21"/>
  <c r="V67" i="20"/>
  <c r="L8" i="17"/>
  <c r="M10" i="16"/>
  <c r="M8" i="17" s="1"/>
  <c r="M29" i="23"/>
  <c r="N31" i="22"/>
  <c r="O51" i="17"/>
  <c r="P53" i="16"/>
  <c r="L40" i="19"/>
  <c r="M42" i="18"/>
  <c r="M22" i="23"/>
  <c r="N24" i="22"/>
  <c r="O13" i="20"/>
  <c r="N11" i="21"/>
  <c r="L53" i="17"/>
  <c r="M55" i="16"/>
  <c r="N32" i="20"/>
  <c r="M30" i="21"/>
  <c r="L20" i="19"/>
  <c r="M22" i="18"/>
  <c r="N11" i="23"/>
  <c r="O13" i="22"/>
  <c r="O46" i="20"/>
  <c r="N44" i="21"/>
  <c r="M47" i="19"/>
  <c r="N49" i="18"/>
  <c r="O54" i="20"/>
  <c r="N52" i="21"/>
  <c r="M3" i="23"/>
  <c r="N5" i="22"/>
  <c r="N17" i="20"/>
  <c r="M15" i="21"/>
  <c r="M54" i="16"/>
  <c r="L52" i="17"/>
  <c r="O64" i="23"/>
  <c r="P66" i="22"/>
  <c r="N6" i="22"/>
  <c r="M4" i="23"/>
  <c r="M26" i="23"/>
  <c r="N28" i="22"/>
  <c r="L31" i="19"/>
  <c r="M33" i="18"/>
  <c r="N19" i="20"/>
  <c r="M17" i="21"/>
  <c r="N67" i="22"/>
  <c r="N65" i="23" s="1"/>
  <c r="M65" i="23"/>
  <c r="L51" i="19"/>
  <c r="M53" i="18"/>
  <c r="N9" i="20"/>
  <c r="M7" i="21"/>
  <c r="L43" i="19"/>
  <c r="M45" i="18"/>
  <c r="N23" i="19"/>
  <c r="O25" i="18"/>
  <c r="P31" i="20"/>
  <c r="O29" i="21"/>
  <c r="M63" i="23"/>
  <c r="N65" i="22"/>
  <c r="L59" i="19"/>
  <c r="M61" i="18"/>
  <c r="N42" i="16"/>
  <c r="M40" i="17"/>
  <c r="H81" i="17"/>
  <c r="L52" i="19"/>
  <c r="M54" i="18"/>
  <c r="O21" i="20"/>
  <c r="N19" i="21"/>
  <c r="N20" i="20"/>
  <c r="M18" i="21"/>
  <c r="N25" i="22"/>
  <c r="M23" i="23"/>
  <c r="M56" i="16"/>
  <c r="L54" i="17"/>
  <c r="N27" i="16"/>
  <c r="M25" i="17"/>
  <c r="P7" i="22"/>
  <c r="O5" i="23"/>
  <c r="Q8" i="22"/>
  <c r="P6" i="23"/>
  <c r="N56" i="18"/>
  <c r="M54" i="19"/>
  <c r="L44" i="17"/>
  <c r="M46" i="16"/>
  <c r="N31" i="23"/>
  <c r="O33" i="22"/>
  <c r="N33" i="16"/>
  <c r="M31" i="17"/>
  <c r="L28" i="19"/>
  <c r="M30" i="18"/>
  <c r="L47" i="17"/>
  <c r="M49" i="16"/>
  <c r="Z10" i="20"/>
  <c r="K74" i="17"/>
  <c r="J81" i="17"/>
  <c r="K81" i="17"/>
  <c r="N41" i="16"/>
  <c r="M39" i="17"/>
  <c r="D82" i="21"/>
  <c r="L82" i="21"/>
  <c r="E82" i="21"/>
  <c r="F82" i="21"/>
  <c r="I82" i="21"/>
  <c r="H82" i="21"/>
  <c r="J82" i="21"/>
  <c r="K82" i="21"/>
  <c r="B82" i="21"/>
  <c r="L68" i="21"/>
  <c r="L70" i="21" s="1"/>
  <c r="C82" i="21"/>
  <c r="G82" i="21"/>
  <c r="L72" i="21"/>
  <c r="L73" i="21"/>
  <c r="L74" i="21"/>
  <c r="L75" i="21"/>
  <c r="L76" i="21"/>
  <c r="L77" i="21"/>
  <c r="L78" i="21"/>
  <c r="L79" i="21"/>
  <c r="L80" i="21"/>
  <c r="N35" i="22"/>
  <c r="M33" i="23"/>
  <c r="M15" i="23"/>
  <c r="N17" i="22"/>
  <c r="M48" i="16"/>
  <c r="L46" i="17"/>
  <c r="M7" i="18"/>
  <c r="L5" i="19"/>
  <c r="V10" i="18"/>
  <c r="U8" i="19"/>
  <c r="P40" i="22"/>
  <c r="O38" i="23"/>
  <c r="Q44" i="20"/>
  <c r="P42" i="21"/>
  <c r="N43" i="18"/>
  <c r="M41" i="19"/>
  <c r="Y8" i="20"/>
  <c r="Y6" i="21" s="1"/>
  <c r="X8" i="20"/>
  <c r="X6" i="21" s="1"/>
  <c r="W8" i="20"/>
  <c r="W6" i="21" s="1"/>
  <c r="V6" i="21"/>
  <c r="M32" i="23"/>
  <c r="N34" i="22"/>
  <c r="N47" i="23"/>
  <c r="O49" i="22"/>
  <c r="M19" i="19"/>
  <c r="N21" i="18"/>
  <c r="N18" i="19"/>
  <c r="O20" i="18"/>
  <c r="M62" i="23"/>
  <c r="N64" i="22"/>
  <c r="P44" i="18"/>
  <c r="O42" i="19"/>
  <c r="M45" i="16"/>
  <c r="L43" i="17"/>
  <c r="O13" i="17"/>
  <c r="P15" i="16"/>
  <c r="M62" i="16"/>
  <c r="L60" i="17"/>
  <c r="U57" i="19"/>
  <c r="V59" i="18"/>
  <c r="O14" i="22"/>
  <c r="N12" i="23"/>
  <c r="P57" i="18"/>
  <c r="O55" i="19"/>
  <c r="L81" i="23"/>
  <c r="N8" i="18"/>
  <c r="N6" i="19" s="1"/>
  <c r="M6" i="19"/>
  <c r="M30" i="23"/>
  <c r="N32" i="22"/>
  <c r="N62" i="17"/>
  <c r="O64" i="16"/>
  <c r="N27" i="20"/>
  <c r="M25" i="21"/>
  <c r="N41" i="20"/>
  <c r="M39" i="21"/>
  <c r="M52" i="23"/>
  <c r="N54" i="22"/>
  <c r="P51" i="18"/>
  <c r="O49" i="19"/>
  <c r="N21" i="23"/>
  <c r="O23" i="22"/>
  <c r="N43" i="16"/>
  <c r="M41" i="17"/>
  <c r="M32" i="16"/>
  <c r="L30" i="17"/>
  <c r="M18" i="17"/>
  <c r="N20" i="16"/>
  <c r="M6" i="23"/>
  <c r="N8" i="22"/>
  <c r="N6" i="23" s="1"/>
  <c r="O34" i="20"/>
  <c r="N32" i="21"/>
  <c r="V59" i="22"/>
  <c r="U57" i="23"/>
  <c r="O46" i="22"/>
  <c r="N44" i="23"/>
  <c r="S55" i="23"/>
  <c r="T57" i="22"/>
  <c r="O51" i="16"/>
  <c r="N49" i="17"/>
  <c r="M13" i="23"/>
  <c r="N15" i="22"/>
  <c r="M14" i="18"/>
  <c r="L12" i="19"/>
  <c r="K68" i="19"/>
  <c r="K70" i="19" s="1"/>
  <c r="K72" i="19"/>
  <c r="G81" i="19"/>
  <c r="K81" i="19"/>
  <c r="J81" i="19"/>
  <c r="F81" i="19"/>
  <c r="K75" i="19"/>
  <c r="D81" i="19"/>
  <c r="K76" i="19"/>
  <c r="H81" i="19"/>
  <c r="K77" i="19"/>
  <c r="E81" i="19"/>
  <c r="C81" i="19"/>
  <c r="I81" i="19"/>
  <c r="K74" i="19"/>
  <c r="K73" i="19"/>
  <c r="B81" i="19"/>
  <c r="K78" i="19"/>
  <c r="K79" i="19"/>
  <c r="M50" i="19"/>
  <c r="N52" i="18"/>
  <c r="N29" i="17"/>
  <c r="O31" i="16"/>
  <c r="O63" i="18"/>
  <c r="N61" i="19"/>
  <c r="L27" i="19"/>
  <c r="M29" i="18"/>
  <c r="N52" i="22"/>
  <c r="M50" i="23"/>
  <c r="Q6" i="20"/>
  <c r="P4" i="21"/>
  <c r="L7" i="17"/>
  <c r="M9" i="16"/>
  <c r="Z10" i="22"/>
  <c r="U8" i="23"/>
  <c r="M58" i="18"/>
  <c r="L56" i="19"/>
  <c r="O56" i="22"/>
  <c r="N54" i="23"/>
  <c r="U24" i="23"/>
  <c r="V26" i="22"/>
  <c r="M2" i="17"/>
  <c r="N4" i="16"/>
  <c r="N60" i="22"/>
  <c r="M58" i="23"/>
  <c r="L45" i="17"/>
  <c r="M47" i="16"/>
  <c r="O30" i="20"/>
  <c r="N28" i="21"/>
  <c r="N23" i="20"/>
  <c r="M21" i="21"/>
  <c r="N19" i="16"/>
  <c r="M17" i="17"/>
  <c r="K72" i="17"/>
  <c r="I81" i="17"/>
  <c r="C81" i="17"/>
  <c r="F81" i="17"/>
  <c r="AA8" i="18"/>
  <c r="AA6" i="19" s="1"/>
  <c r="Z6" i="19"/>
  <c r="O11" i="20"/>
  <c r="N9" i="21"/>
  <c r="N4" i="20"/>
  <c r="M2" i="21"/>
  <c r="Q67" i="22"/>
  <c r="P65" i="23"/>
  <c r="M34" i="17"/>
  <c r="N36" i="16"/>
  <c r="M15" i="19"/>
  <c r="N17" i="18"/>
  <c r="N27" i="18"/>
  <c r="M25" i="19"/>
  <c r="N9" i="23"/>
  <c r="O11" i="22"/>
  <c r="M48" i="23"/>
  <c r="N50" i="22"/>
  <c r="O36" i="23"/>
  <c r="P38" i="22"/>
  <c r="M50" i="17"/>
  <c r="N52" i="16"/>
  <c r="M23" i="16"/>
  <c r="L21" i="17"/>
  <c r="K80" i="19"/>
  <c r="N50" i="20"/>
  <c r="M48" i="21"/>
  <c r="P10" i="19"/>
  <c r="Q12" i="18"/>
  <c r="L35" i="19"/>
  <c r="M37" i="18"/>
  <c r="P41" i="18"/>
  <c r="P39" i="19" s="1"/>
  <c r="Q41" i="18"/>
  <c r="Q39" i="19" s="1"/>
  <c r="O39" i="19"/>
  <c r="R41" i="18"/>
  <c r="M25" i="23"/>
  <c r="N27" i="22"/>
  <c r="M31" i="18"/>
  <c r="L29" i="19"/>
  <c r="N49" i="20"/>
  <c r="M47" i="21"/>
  <c r="N48" i="22"/>
  <c r="M46" i="23"/>
  <c r="O28" i="16"/>
  <c r="N26" i="17"/>
  <c r="N56" i="20"/>
  <c r="M54" i="21"/>
  <c r="N47" i="20"/>
  <c r="M45" i="21"/>
  <c r="O53" i="20"/>
  <c r="N51" i="21"/>
  <c r="M51" i="23"/>
  <c r="N53" i="22"/>
  <c r="N39" i="16"/>
  <c r="M37" i="17"/>
  <c r="L65" i="19"/>
  <c r="M67" i="18"/>
  <c r="P5" i="16"/>
  <c r="O3" i="17"/>
  <c r="T8" i="17"/>
  <c r="V10" i="16"/>
  <c r="U10" i="16"/>
  <c r="U8" i="17" s="1"/>
  <c r="K77" i="17"/>
  <c r="K68" i="17"/>
  <c r="K70" i="17" s="1"/>
  <c r="G81" i="17"/>
  <c r="L12" i="17"/>
  <c r="M14" i="16"/>
  <c r="M10" i="17"/>
  <c r="N12" i="16"/>
  <c r="N68" i="20"/>
  <c r="M66" i="21"/>
  <c r="M18" i="23"/>
  <c r="N20" i="22"/>
  <c r="N24" i="20"/>
  <c r="M22" i="21"/>
  <c r="N55" i="20"/>
  <c r="M53" i="21"/>
  <c r="L48" i="17"/>
  <c r="M50" i="16"/>
  <c r="M23" i="18"/>
  <c r="L21" i="19"/>
  <c r="L44" i="19"/>
  <c r="M46" i="18"/>
  <c r="N13" i="18"/>
  <c r="M11" i="19"/>
  <c r="N42" i="20"/>
  <c r="M40" i="21"/>
  <c r="W8" i="23"/>
  <c r="X10" i="22"/>
  <c r="X8" i="23" s="1"/>
  <c r="P60" i="20"/>
  <c r="O58" i="21"/>
  <c r="N64" i="20"/>
  <c r="M62" i="21"/>
  <c r="N36" i="17"/>
  <c r="O38" i="16"/>
  <c r="N58" i="20"/>
  <c r="M56" i="21"/>
  <c r="L60" i="19"/>
  <c r="M62" i="18"/>
  <c r="K73" i="17"/>
  <c r="M15" i="17"/>
  <c r="N17" i="16"/>
  <c r="Q16" i="21"/>
  <c r="S18" i="20"/>
  <c r="R18" i="20"/>
  <c r="R16" i="21" s="1"/>
  <c r="M14" i="23"/>
  <c r="N16" i="22"/>
  <c r="O22" i="20"/>
  <c r="N20" i="21"/>
  <c r="N48" i="18"/>
  <c r="M46" i="19"/>
  <c r="M65" i="16"/>
  <c r="L63" i="17"/>
  <c r="N35" i="20"/>
  <c r="M33" i="21"/>
  <c r="N60" i="23"/>
  <c r="O62" i="22"/>
  <c r="N35" i="23"/>
  <c r="O37" i="22"/>
  <c r="N61" i="16"/>
  <c r="M59" i="17"/>
  <c r="L27" i="17"/>
  <c r="M29" i="16"/>
  <c r="M7" i="23"/>
  <c r="N9" i="22"/>
  <c r="M64" i="18"/>
  <c r="L62" i="19"/>
  <c r="P5" i="20"/>
  <c r="O3" i="21"/>
  <c r="M9" i="17"/>
  <c r="N11" i="16"/>
  <c r="O33" i="20"/>
  <c r="N31" i="21"/>
  <c r="L64" i="19"/>
  <c r="M66" i="18"/>
  <c r="M34" i="19" l="1"/>
  <c r="N36" i="18"/>
  <c r="M53" i="19"/>
  <c r="N55" i="18"/>
  <c r="N19" i="18"/>
  <c r="M17" i="19"/>
  <c r="L81" i="17"/>
  <c r="V44" i="16"/>
  <c r="U42" i="17"/>
  <c r="E82" i="17"/>
  <c r="N65" i="18"/>
  <c r="M63" i="19"/>
  <c r="M2" i="19"/>
  <c r="N4" i="18"/>
  <c r="M37" i="19"/>
  <c r="N39" i="18"/>
  <c r="O30" i="22"/>
  <c r="N28" i="23"/>
  <c r="M82" i="21"/>
  <c r="M7" i="19"/>
  <c r="N9" i="18"/>
  <c r="O29" i="22"/>
  <c r="N27" i="23"/>
  <c r="L81" i="19"/>
  <c r="M82" i="23"/>
  <c r="N66" i="19"/>
  <c r="O68" i="18"/>
  <c r="N35" i="17"/>
  <c r="O37" i="16"/>
  <c r="M9" i="19"/>
  <c r="N11" i="18"/>
  <c r="L74" i="17"/>
  <c r="O34" i="18"/>
  <c r="N32" i="19"/>
  <c r="N45" i="23"/>
  <c r="O47" i="22"/>
  <c r="M58" i="19"/>
  <c r="N60" i="18"/>
  <c r="O36" i="17"/>
  <c r="P38" i="16"/>
  <c r="O49" i="20"/>
  <c r="N47" i="21"/>
  <c r="P14" i="22"/>
  <c r="O12" i="23"/>
  <c r="O43" i="20"/>
  <c r="N41" i="21"/>
  <c r="N37" i="18"/>
  <c r="M35" i="19"/>
  <c r="P49" i="22"/>
  <c r="O47" i="23"/>
  <c r="O41" i="16"/>
  <c r="N39" i="17"/>
  <c r="O20" i="20"/>
  <c r="N18" i="21"/>
  <c r="M59" i="19"/>
  <c r="N61" i="18"/>
  <c r="O37" i="23"/>
  <c r="P39" i="22"/>
  <c r="P33" i="20"/>
  <c r="O31" i="21"/>
  <c r="N18" i="23"/>
  <c r="O20" i="22"/>
  <c r="O60" i="22"/>
  <c r="N58" i="23"/>
  <c r="O20" i="16"/>
  <c r="N18" i="17"/>
  <c r="O66" i="16"/>
  <c r="N64" i="17"/>
  <c r="N7" i="23"/>
  <c r="O9" i="22"/>
  <c r="P46" i="22"/>
  <c r="O44" i="23"/>
  <c r="N33" i="23"/>
  <c r="O35" i="22"/>
  <c r="O66" i="20"/>
  <c r="N64" i="21"/>
  <c r="N15" i="19"/>
  <c r="O17" i="18"/>
  <c r="L77" i="17"/>
  <c r="F82" i="17"/>
  <c r="D82" i="17"/>
  <c r="M60" i="17"/>
  <c r="N62" i="16"/>
  <c r="P33" i="22"/>
  <c r="O31" i="23"/>
  <c r="N54" i="18"/>
  <c r="M52" i="19"/>
  <c r="O9" i="20"/>
  <c r="N7" i="21"/>
  <c r="M52" i="17"/>
  <c r="N54" i="16"/>
  <c r="Q65" i="20"/>
  <c r="P63" i="21"/>
  <c r="M14" i="17"/>
  <c r="N16" i="16"/>
  <c r="N4" i="17"/>
  <c r="O6" i="16"/>
  <c r="V65" i="17"/>
  <c r="X67" i="16"/>
  <c r="W67" i="16"/>
  <c r="W65" i="17" s="1"/>
  <c r="N58" i="16"/>
  <c r="M56" i="17"/>
  <c r="P45" i="20"/>
  <c r="O43" i="21"/>
  <c r="Q39" i="20"/>
  <c r="P37" i="21"/>
  <c r="P45" i="22"/>
  <c r="O43" i="23"/>
  <c r="P25" i="20"/>
  <c r="O23" i="21"/>
  <c r="N65" i="16"/>
  <c r="M63" i="17"/>
  <c r="M12" i="17"/>
  <c r="N14" i="16"/>
  <c r="V8" i="17"/>
  <c r="W10" i="16"/>
  <c r="Y10" i="16"/>
  <c r="O9" i="23"/>
  <c r="P11" i="22"/>
  <c r="L73" i="17"/>
  <c r="N15" i="23"/>
  <c r="O17" i="22"/>
  <c r="M28" i="19"/>
  <c r="N30" i="18"/>
  <c r="O24" i="16"/>
  <c r="N22" i="17"/>
  <c r="O12" i="20"/>
  <c r="N10" i="21"/>
  <c r="O28" i="20"/>
  <c r="N26" i="21"/>
  <c r="O42" i="20"/>
  <c r="N40" i="21"/>
  <c r="M21" i="17"/>
  <c r="N23" i="16"/>
  <c r="P30" i="20"/>
  <c r="W30" i="20"/>
  <c r="O28" i="21"/>
  <c r="L72" i="17"/>
  <c r="L68" i="17"/>
  <c r="L70" i="17" s="1"/>
  <c r="Q66" i="22"/>
  <c r="P64" i="23"/>
  <c r="O11" i="23"/>
  <c r="P13" i="22"/>
  <c r="O62" i="20"/>
  <c r="N60" i="21"/>
  <c r="M29" i="19"/>
  <c r="N31" i="18"/>
  <c r="Q44" i="18"/>
  <c r="P42" i="19"/>
  <c r="O19" i="20"/>
  <c r="N17" i="21"/>
  <c r="P29" i="20"/>
  <c r="O27" i="21"/>
  <c r="M28" i="17"/>
  <c r="N30" i="16"/>
  <c r="Z18" i="18"/>
  <c r="X16" i="19"/>
  <c r="N40" i="23"/>
  <c r="O42" i="22"/>
  <c r="N15" i="18"/>
  <c r="M13" i="19"/>
  <c r="P53" i="20"/>
  <c r="O51" i="21"/>
  <c r="R12" i="18"/>
  <c r="R10" i="19" s="1"/>
  <c r="Q10" i="19"/>
  <c r="S12" i="18"/>
  <c r="I82" i="17"/>
  <c r="N50" i="19"/>
  <c r="O52" i="18"/>
  <c r="V8" i="19"/>
  <c r="Y10" i="18"/>
  <c r="Y8" i="19" s="1"/>
  <c r="X10" i="18"/>
  <c r="X8" i="19" s="1"/>
  <c r="W10" i="18"/>
  <c r="W8" i="19" s="1"/>
  <c r="O33" i="16"/>
  <c r="N31" i="17"/>
  <c r="O27" i="16"/>
  <c r="N25" i="17"/>
  <c r="P21" i="20"/>
  <c r="O19" i="21"/>
  <c r="N47" i="19"/>
  <c r="O49" i="18"/>
  <c r="N45" i="19"/>
  <c r="O47" i="18"/>
  <c r="M60" i="19"/>
  <c r="N62" i="18"/>
  <c r="M65" i="19"/>
  <c r="N67" i="18"/>
  <c r="P36" i="23"/>
  <c r="Q38" i="22"/>
  <c r="O52" i="22"/>
  <c r="N50" i="23"/>
  <c r="N13" i="23"/>
  <c r="O15" i="22"/>
  <c r="O17" i="16"/>
  <c r="N15" i="17"/>
  <c r="O47" i="20"/>
  <c r="N45" i="21"/>
  <c r="N17" i="17"/>
  <c r="O19" i="16"/>
  <c r="L76" i="17"/>
  <c r="B82" i="17"/>
  <c r="G82" i="17"/>
  <c r="M27" i="19"/>
  <c r="N29" i="18"/>
  <c r="Y59" i="22"/>
  <c r="Y57" i="23" s="1"/>
  <c r="W59" i="22"/>
  <c r="W57" i="23" s="1"/>
  <c r="X59" i="22"/>
  <c r="X57" i="23" s="1"/>
  <c r="V57" i="23"/>
  <c r="Z59" i="22"/>
  <c r="M30" i="17"/>
  <c r="N32" i="16"/>
  <c r="P49" i="19"/>
  <c r="Q51" i="18"/>
  <c r="O27" i="20"/>
  <c r="N25" i="21"/>
  <c r="P13" i="17"/>
  <c r="Q15" i="16"/>
  <c r="P20" i="18"/>
  <c r="O18" i="19"/>
  <c r="N32" i="23"/>
  <c r="O34" i="22"/>
  <c r="N41" i="19"/>
  <c r="O43" i="18"/>
  <c r="N7" i="18"/>
  <c r="M5" i="19"/>
  <c r="AA10" i="20"/>
  <c r="AA8" i="21" s="1"/>
  <c r="Z8" i="21"/>
  <c r="R8" i="22"/>
  <c r="Q6" i="23"/>
  <c r="M54" i="17"/>
  <c r="N56" i="16"/>
  <c r="M51" i="19"/>
  <c r="N53" i="18"/>
  <c r="O28" i="22"/>
  <c r="N26" i="23"/>
  <c r="M40" i="19"/>
  <c r="N42" i="18"/>
  <c r="X67" i="20"/>
  <c r="X65" i="21" s="1"/>
  <c r="V65" i="21"/>
  <c r="W67" i="20"/>
  <c r="W65" i="21" s="1"/>
  <c r="O16" i="20"/>
  <c r="N14" i="21"/>
  <c r="P44" i="22"/>
  <c r="O42" i="23"/>
  <c r="M22" i="19"/>
  <c r="N24" i="18"/>
  <c r="M32" i="17"/>
  <c r="N34" i="16"/>
  <c r="Q21" i="16"/>
  <c r="P19" i="17"/>
  <c r="Q21" i="22"/>
  <c r="P19" i="23"/>
  <c r="O48" i="20"/>
  <c r="N46" i="21"/>
  <c r="R38" i="20"/>
  <c r="Q36" i="21"/>
  <c r="Q37" i="20"/>
  <c r="P35" i="21"/>
  <c r="O61" i="16"/>
  <c r="N59" i="17"/>
  <c r="O61" i="19"/>
  <c r="P63" i="18"/>
  <c r="U57" i="22"/>
  <c r="T55" i="23"/>
  <c r="N30" i="23"/>
  <c r="O32" i="22"/>
  <c r="O63" i="16"/>
  <c r="N61" i="17"/>
  <c r="M30" i="19"/>
  <c r="N32" i="18"/>
  <c r="N41" i="23"/>
  <c r="O43" i="22"/>
  <c r="P37" i="22"/>
  <c r="O35" i="23"/>
  <c r="O24" i="20"/>
  <c r="N22" i="21"/>
  <c r="R67" i="22"/>
  <c r="T67" i="22"/>
  <c r="T65" i="23" s="1"/>
  <c r="Q65" i="23"/>
  <c r="L80" i="17"/>
  <c r="X59" i="18"/>
  <c r="X57" i="19" s="1"/>
  <c r="V57" i="19"/>
  <c r="Y59" i="18"/>
  <c r="W59" i="18"/>
  <c r="W57" i="19" s="1"/>
  <c r="N54" i="19"/>
  <c r="O56" i="18"/>
  <c r="N45" i="18"/>
  <c r="M43" i="19"/>
  <c r="Q14" i="20"/>
  <c r="P12" i="21"/>
  <c r="N20" i="17"/>
  <c r="O22" i="16"/>
  <c r="O40" i="16"/>
  <c r="N38" i="17"/>
  <c r="N61" i="23"/>
  <c r="O63" i="22"/>
  <c r="N64" i="18"/>
  <c r="M62" i="19"/>
  <c r="N46" i="19"/>
  <c r="O48" i="18"/>
  <c r="U18" i="20"/>
  <c r="S16" i="21"/>
  <c r="T18" i="20"/>
  <c r="T16" i="21" s="1"/>
  <c r="O52" i="16"/>
  <c r="N50" i="17"/>
  <c r="C83" i="21"/>
  <c r="K83" i="21"/>
  <c r="D83" i="21"/>
  <c r="L83" i="21"/>
  <c r="E83" i="21"/>
  <c r="M83" i="21"/>
  <c r="H83" i="21"/>
  <c r="B83" i="21"/>
  <c r="I83" i="21"/>
  <c r="G83" i="21"/>
  <c r="J83" i="21"/>
  <c r="M68" i="21"/>
  <c r="M70" i="21" s="1"/>
  <c r="F83" i="21"/>
  <c r="M72" i="21"/>
  <c r="M73" i="21"/>
  <c r="M74" i="21"/>
  <c r="M75" i="21"/>
  <c r="M76" i="21"/>
  <c r="M77" i="21"/>
  <c r="M78" i="21"/>
  <c r="M79" i="21"/>
  <c r="M80" i="21"/>
  <c r="M81" i="21"/>
  <c r="L79" i="17"/>
  <c r="K82" i="17"/>
  <c r="R6" i="20"/>
  <c r="Q4" i="21"/>
  <c r="P54" i="20"/>
  <c r="O52" i="21"/>
  <c r="P13" i="20"/>
  <c r="O11" i="21"/>
  <c r="M11" i="17"/>
  <c r="N13" i="16"/>
  <c r="P62" i="22"/>
  <c r="O60" i="23"/>
  <c r="M21" i="19"/>
  <c r="N23" i="18"/>
  <c r="Q5" i="16"/>
  <c r="P3" i="17"/>
  <c r="O27" i="22"/>
  <c r="N25" i="23"/>
  <c r="O4" i="20"/>
  <c r="N2" i="21"/>
  <c r="L78" i="17"/>
  <c r="L82" i="17"/>
  <c r="N2" i="17"/>
  <c r="O4" i="16"/>
  <c r="N14" i="18"/>
  <c r="M12" i="19"/>
  <c r="O41" i="20"/>
  <c r="N39" i="21"/>
  <c r="N63" i="23"/>
  <c r="O65" i="22"/>
  <c r="O49" i="23"/>
  <c r="P51" i="22"/>
  <c r="N33" i="19"/>
  <c r="O35" i="18"/>
  <c r="N66" i="17"/>
  <c r="O68" i="16"/>
  <c r="N7" i="16"/>
  <c r="M5" i="17"/>
  <c r="M48" i="17"/>
  <c r="N50" i="16"/>
  <c r="N58" i="18"/>
  <c r="M56" i="19"/>
  <c r="O11" i="16"/>
  <c r="N9" i="17"/>
  <c r="M27" i="17"/>
  <c r="N29" i="16"/>
  <c r="Q60" i="20"/>
  <c r="P58" i="21"/>
  <c r="O68" i="20"/>
  <c r="N66" i="21"/>
  <c r="R39" i="19"/>
  <c r="S41" i="18"/>
  <c r="P11" i="20"/>
  <c r="O9" i="21"/>
  <c r="O35" i="20"/>
  <c r="N33" i="21"/>
  <c r="P22" i="20"/>
  <c r="O20" i="21"/>
  <c r="N46" i="18"/>
  <c r="M44" i="19"/>
  <c r="O12" i="16"/>
  <c r="N10" i="17"/>
  <c r="O48" i="22"/>
  <c r="N46" i="23"/>
  <c r="O50" i="20"/>
  <c r="N48" i="21"/>
  <c r="N48" i="23"/>
  <c r="O50" i="22"/>
  <c r="N34" i="17"/>
  <c r="O36" i="16"/>
  <c r="L75" i="17"/>
  <c r="H82" i="17"/>
  <c r="AA10" i="22"/>
  <c r="AA8" i="23" s="1"/>
  <c r="Z8" i="23"/>
  <c r="N52" i="23"/>
  <c r="O54" i="22"/>
  <c r="P64" i="16"/>
  <c r="O62" i="17"/>
  <c r="Q57" i="18"/>
  <c r="P55" i="19"/>
  <c r="N49" i="16"/>
  <c r="M47" i="17"/>
  <c r="N46" i="16"/>
  <c r="M44" i="17"/>
  <c r="Q31" i="20"/>
  <c r="P29" i="21"/>
  <c r="O17" i="20"/>
  <c r="N15" i="21"/>
  <c r="P46" i="20"/>
  <c r="O44" i="21"/>
  <c r="O32" i="20"/>
  <c r="N30" i="21"/>
  <c r="P15" i="20"/>
  <c r="O13" i="21"/>
  <c r="O40" i="20"/>
  <c r="N38" i="21"/>
  <c r="N59" i="23"/>
  <c r="O61" i="22"/>
  <c r="O60" i="16"/>
  <c r="N58" i="17"/>
  <c r="N38" i="18"/>
  <c r="M36" i="19"/>
  <c r="Q5" i="21"/>
  <c r="R7" i="20"/>
  <c r="R5" i="21" s="1"/>
  <c r="S7" i="20"/>
  <c r="S5" i="21" s="1"/>
  <c r="N20" i="23"/>
  <c r="O22" i="22"/>
  <c r="O41" i="22"/>
  <c r="N39" i="23"/>
  <c r="X26" i="20"/>
  <c r="W24" i="21"/>
  <c r="M38" i="19"/>
  <c r="N40" i="18"/>
  <c r="U16" i="23"/>
  <c r="V18" i="22"/>
  <c r="T57" i="20"/>
  <c r="T55" i="21" s="1"/>
  <c r="U57" i="20"/>
  <c r="S55" i="21"/>
  <c r="N66" i="23"/>
  <c r="O68" i="22"/>
  <c r="Q5" i="20"/>
  <c r="P3" i="21"/>
  <c r="N51" i="23"/>
  <c r="O53" i="22"/>
  <c r="C82" i="17"/>
  <c r="J82" i="17"/>
  <c r="M43" i="17"/>
  <c r="N45" i="16"/>
  <c r="O42" i="16"/>
  <c r="N40" i="17"/>
  <c r="O6" i="22"/>
  <c r="N4" i="23"/>
  <c r="G82" i="19"/>
  <c r="L77" i="19"/>
  <c r="D82" i="19"/>
  <c r="E82" i="19"/>
  <c r="F82" i="19"/>
  <c r="L78" i="19"/>
  <c r="J82" i="19"/>
  <c r="H82" i="19"/>
  <c r="L73" i="19"/>
  <c r="L68" i="19"/>
  <c r="L70" i="19" s="1"/>
  <c r="L72" i="19"/>
  <c r="C82" i="19"/>
  <c r="L82" i="19"/>
  <c r="L79" i="19"/>
  <c r="K82" i="19"/>
  <c r="L74" i="19"/>
  <c r="I82" i="19"/>
  <c r="L76" i="19"/>
  <c r="B82" i="19"/>
  <c r="L75" i="19"/>
  <c r="L80" i="19"/>
  <c r="O36" i="20"/>
  <c r="N34" i="21"/>
  <c r="E83" i="23"/>
  <c r="M83" i="23"/>
  <c r="F83" i="23"/>
  <c r="G83" i="23"/>
  <c r="H83" i="23"/>
  <c r="I83" i="23"/>
  <c r="J83" i="23"/>
  <c r="K83" i="23"/>
  <c r="L83" i="23"/>
  <c r="C83" i="23"/>
  <c r="B83" i="23"/>
  <c r="D83" i="23"/>
  <c r="M68" i="23"/>
  <c r="M70" i="23" s="1"/>
  <c r="M72" i="23"/>
  <c r="M73" i="23"/>
  <c r="M74" i="23"/>
  <c r="M75" i="23"/>
  <c r="M76" i="23"/>
  <c r="M77" i="23"/>
  <c r="M78" i="23"/>
  <c r="M79" i="23"/>
  <c r="M80" i="23"/>
  <c r="M81" i="23"/>
  <c r="P55" i="22"/>
  <c r="O53" i="23"/>
  <c r="O29" i="17"/>
  <c r="P31" i="16"/>
  <c r="P38" i="23"/>
  <c r="Q40" i="22"/>
  <c r="Q7" i="22"/>
  <c r="P5" i="23"/>
  <c r="N29" i="23"/>
  <c r="O31" i="22"/>
  <c r="M48" i="19"/>
  <c r="N50" i="18"/>
  <c r="O36" i="22"/>
  <c r="N34" i="23"/>
  <c r="N6" i="18"/>
  <c r="M4" i="19"/>
  <c r="O63" i="20"/>
  <c r="N61" i="21"/>
  <c r="O26" i="17"/>
  <c r="P28" i="16"/>
  <c r="P56" i="22"/>
  <c r="O54" i="23"/>
  <c r="O21" i="23"/>
  <c r="P23" i="22"/>
  <c r="O51" i="20"/>
  <c r="N49" i="21"/>
  <c r="N10" i="23"/>
  <c r="O12" i="22"/>
  <c r="M23" i="17"/>
  <c r="N25" i="16"/>
  <c r="O64" i="20"/>
  <c r="N62" i="21"/>
  <c r="N11" i="19"/>
  <c r="O13" i="18"/>
  <c r="N25" i="19"/>
  <c r="O27" i="18"/>
  <c r="N62" i="23"/>
  <c r="O64" i="22"/>
  <c r="Z8" i="20"/>
  <c r="M31" i="19"/>
  <c r="N33" i="18"/>
  <c r="N22" i="18"/>
  <c r="M20" i="19"/>
  <c r="N22" i="23"/>
  <c r="O24" i="22"/>
  <c r="N14" i="19"/>
  <c r="O16" i="18"/>
  <c r="N55" i="17"/>
  <c r="O57" i="16"/>
  <c r="M64" i="19"/>
  <c r="N66" i="18"/>
  <c r="N14" i="23"/>
  <c r="O16" i="22"/>
  <c r="O58" i="20"/>
  <c r="N56" i="21"/>
  <c r="O55" i="20"/>
  <c r="N53" i="21"/>
  <c r="O39" i="16"/>
  <c r="N37" i="17"/>
  <c r="O56" i="20"/>
  <c r="N54" i="21"/>
  <c r="O23" i="20"/>
  <c r="N21" i="21"/>
  <c r="M45" i="17"/>
  <c r="N47" i="16"/>
  <c r="W26" i="22"/>
  <c r="Z26" i="22"/>
  <c r="Z24" i="23" s="1"/>
  <c r="V24" i="23"/>
  <c r="Y26" i="22"/>
  <c r="Y24" i="23" s="1"/>
  <c r="M7" i="17"/>
  <c r="N9" i="16"/>
  <c r="O49" i="17"/>
  <c r="P51" i="16"/>
  <c r="P34" i="20"/>
  <c r="O32" i="21"/>
  <c r="N41" i="17"/>
  <c r="O43" i="16"/>
  <c r="O21" i="18"/>
  <c r="N19" i="19"/>
  <c r="R44" i="20"/>
  <c r="Q42" i="21"/>
  <c r="M46" i="17"/>
  <c r="N48" i="16"/>
  <c r="N23" i="23"/>
  <c r="O25" i="22"/>
  <c r="P25" i="18"/>
  <c r="O23" i="19"/>
  <c r="N3" i="23"/>
  <c r="O5" i="22"/>
  <c r="N55" i="16"/>
  <c r="M53" i="17"/>
  <c r="P51" i="17"/>
  <c r="Q53" i="16"/>
  <c r="N5" i="18"/>
  <c r="M3" i="19"/>
  <c r="O17" i="23"/>
  <c r="P19" i="22"/>
  <c r="P61" i="20"/>
  <c r="O59" i="21"/>
  <c r="O56" i="23"/>
  <c r="P58" i="22"/>
  <c r="N2" i="23"/>
  <c r="O4" i="22"/>
  <c r="O33" i="17"/>
  <c r="P35" i="16"/>
  <c r="V18" i="16"/>
  <c r="T16" i="17"/>
  <c r="O52" i="20"/>
  <c r="N50" i="21"/>
  <c r="P28" i="18"/>
  <c r="O26" i="19"/>
  <c r="Y67" i="20" l="1"/>
  <c r="N83" i="21"/>
  <c r="M82" i="17"/>
  <c r="Z10" i="18"/>
  <c r="N37" i="19"/>
  <c r="O39" i="18"/>
  <c r="W44" i="16"/>
  <c r="V42" i="17"/>
  <c r="Y44" i="16"/>
  <c r="N9" i="19"/>
  <c r="O11" i="18"/>
  <c r="E83" i="17"/>
  <c r="M76" i="17"/>
  <c r="N58" i="19"/>
  <c r="O60" i="18"/>
  <c r="O27" i="23"/>
  <c r="P29" i="22"/>
  <c r="N2" i="19"/>
  <c r="O4" i="18"/>
  <c r="D83" i="17"/>
  <c r="P37" i="16"/>
  <c r="O35" i="17"/>
  <c r="N7" i="19"/>
  <c r="O9" i="18"/>
  <c r="O19" i="18"/>
  <c r="N17" i="19"/>
  <c r="O45" i="23"/>
  <c r="P47" i="22"/>
  <c r="O55" i="18"/>
  <c r="N53" i="19"/>
  <c r="M82" i="19"/>
  <c r="O66" i="19"/>
  <c r="P68" i="18"/>
  <c r="O65" i="18"/>
  <c r="N63" i="19"/>
  <c r="N34" i="19"/>
  <c r="O36" i="18"/>
  <c r="T7" i="20"/>
  <c r="K83" i="17"/>
  <c r="P34" i="18"/>
  <c r="O32" i="19"/>
  <c r="P30" i="22"/>
  <c r="O28" i="23"/>
  <c r="O23" i="23"/>
  <c r="P25" i="22"/>
  <c r="O9" i="16"/>
  <c r="N7" i="17"/>
  <c r="O10" i="23"/>
  <c r="P12" i="22"/>
  <c r="N48" i="19"/>
  <c r="O50" i="18"/>
  <c r="O58" i="18"/>
  <c r="N56" i="19"/>
  <c r="N60" i="19"/>
  <c r="O62" i="18"/>
  <c r="Q64" i="23"/>
  <c r="R66" i="22"/>
  <c r="O30" i="18"/>
  <c r="N28" i="19"/>
  <c r="X10" i="16"/>
  <c r="X8" i="17" s="1"/>
  <c r="W8" i="17"/>
  <c r="R65" i="20"/>
  <c r="Q63" i="21"/>
  <c r="P31" i="23"/>
  <c r="Q33" i="22"/>
  <c r="M78" i="17"/>
  <c r="J83" i="17"/>
  <c r="F83" i="17"/>
  <c r="P66" i="20"/>
  <c r="O64" i="21"/>
  <c r="P66" i="16"/>
  <c r="O64" i="17"/>
  <c r="Q33" i="20"/>
  <c r="P31" i="21"/>
  <c r="Q41" i="16"/>
  <c r="O39" i="17"/>
  <c r="P41" i="16"/>
  <c r="P39" i="17" s="1"/>
  <c r="P43" i="20"/>
  <c r="O41" i="21"/>
  <c r="Q35" i="16"/>
  <c r="P33" i="17"/>
  <c r="Q19" i="22"/>
  <c r="P17" i="23"/>
  <c r="P21" i="18"/>
  <c r="O19" i="19"/>
  <c r="O14" i="19"/>
  <c r="P16" i="18"/>
  <c r="N48" i="17"/>
  <c r="O50" i="16"/>
  <c r="O33" i="19"/>
  <c r="P35" i="18"/>
  <c r="N62" i="19"/>
  <c r="O64" i="18"/>
  <c r="R14" i="20"/>
  <c r="Q12" i="21"/>
  <c r="P24" i="20"/>
  <c r="O22" i="21"/>
  <c r="O61" i="17"/>
  <c r="P63" i="16"/>
  <c r="O59" i="17"/>
  <c r="P61" i="16"/>
  <c r="R21" i="22"/>
  <c r="Q19" i="23"/>
  <c r="Q44" i="22"/>
  <c r="P42" i="23"/>
  <c r="S8" i="22"/>
  <c r="R6" i="23"/>
  <c r="O29" i="18"/>
  <c r="N27" i="19"/>
  <c r="O25" i="17"/>
  <c r="P27" i="16"/>
  <c r="P52" i="18"/>
  <c r="O50" i="19"/>
  <c r="O30" i="16"/>
  <c r="N28" i="17"/>
  <c r="N29" i="19"/>
  <c r="O31" i="18"/>
  <c r="P42" i="20"/>
  <c r="O40" i="21"/>
  <c r="Q45" i="22"/>
  <c r="P43" i="23"/>
  <c r="X65" i="17"/>
  <c r="Y67" i="16"/>
  <c r="O54" i="16"/>
  <c r="N52" i="17"/>
  <c r="M77" i="17"/>
  <c r="B83" i="17"/>
  <c r="C83" i="17"/>
  <c r="O33" i="23"/>
  <c r="P35" i="22"/>
  <c r="P37" i="23"/>
  <c r="Q39" i="22"/>
  <c r="N53" i="17"/>
  <c r="O55" i="16"/>
  <c r="Q28" i="16"/>
  <c r="P26" i="17"/>
  <c r="N43" i="17"/>
  <c r="O45" i="16"/>
  <c r="P50" i="20"/>
  <c r="O48" i="21"/>
  <c r="Q49" i="19"/>
  <c r="R51" i="18"/>
  <c r="O13" i="23"/>
  <c r="P15" i="22"/>
  <c r="AA10" i="18"/>
  <c r="AA8" i="19" s="1"/>
  <c r="Z8" i="19"/>
  <c r="O29" i="23"/>
  <c r="P31" i="22"/>
  <c r="O61" i="23"/>
  <c r="P63" i="22"/>
  <c r="O17" i="17"/>
  <c r="P19" i="16"/>
  <c r="Q14" i="22"/>
  <c r="P12" i="23"/>
  <c r="O14" i="23"/>
  <c r="P16" i="22"/>
  <c r="P51" i="20"/>
  <c r="O49" i="21"/>
  <c r="O34" i="17"/>
  <c r="P36" i="16"/>
  <c r="N27" i="17"/>
  <c r="O29" i="16"/>
  <c r="O45" i="18"/>
  <c r="N43" i="19"/>
  <c r="R21" i="16"/>
  <c r="Q19" i="17"/>
  <c r="P33" i="16"/>
  <c r="O31" i="17"/>
  <c r="Q37" i="21"/>
  <c r="S39" i="20"/>
  <c r="R39" i="20"/>
  <c r="R37" i="21" s="1"/>
  <c r="M75" i="17"/>
  <c r="N59" i="19"/>
  <c r="O61" i="18"/>
  <c r="O51" i="23"/>
  <c r="P53" i="22"/>
  <c r="P62" i="17"/>
  <c r="Q64" i="16"/>
  <c r="O10" i="17"/>
  <c r="P12" i="16"/>
  <c r="Q11" i="20"/>
  <c r="P9" i="21"/>
  <c r="R5" i="16"/>
  <c r="Q3" i="17"/>
  <c r="O54" i="19"/>
  <c r="P56" i="18"/>
  <c r="P43" i="22"/>
  <c r="O41" i="23"/>
  <c r="N32" i="17"/>
  <c r="O34" i="16"/>
  <c r="N51" i="19"/>
  <c r="O53" i="18"/>
  <c r="Q13" i="17"/>
  <c r="R15" i="16"/>
  <c r="Z57" i="23"/>
  <c r="AA59" i="22"/>
  <c r="AA57" i="23" s="1"/>
  <c r="R38" i="22"/>
  <c r="Q36" i="23"/>
  <c r="P49" i="18"/>
  <c r="O47" i="19"/>
  <c r="W12" i="18"/>
  <c r="T12" i="18"/>
  <c r="S10" i="19"/>
  <c r="N13" i="19"/>
  <c r="O15" i="18"/>
  <c r="Q29" i="20"/>
  <c r="P27" i="21"/>
  <c r="P62" i="20"/>
  <c r="O60" i="21"/>
  <c r="W28" i="21"/>
  <c r="X30" i="20"/>
  <c r="P9" i="20"/>
  <c r="O7" i="21"/>
  <c r="M74" i="17"/>
  <c r="H83" i="17"/>
  <c r="Q46" i="22"/>
  <c r="P44" i="23"/>
  <c r="P60" i="22"/>
  <c r="O58" i="23"/>
  <c r="P49" i="20"/>
  <c r="O47" i="21"/>
  <c r="V16" i="17"/>
  <c r="Y18" i="16"/>
  <c r="W18" i="16"/>
  <c r="P55" i="20"/>
  <c r="O53" i="21"/>
  <c r="Q46" i="20"/>
  <c r="P44" i="21"/>
  <c r="N47" i="17"/>
  <c r="O49" i="16"/>
  <c r="Q41" i="20"/>
  <c r="P41" i="20"/>
  <c r="P39" i="21" s="1"/>
  <c r="O39" i="21"/>
  <c r="O32" i="23"/>
  <c r="P34" i="22"/>
  <c r="AA18" i="18"/>
  <c r="AA16" i="19" s="1"/>
  <c r="Z16" i="19"/>
  <c r="O41" i="17"/>
  <c r="P43" i="16"/>
  <c r="O15" i="21"/>
  <c r="W17" i="20"/>
  <c r="W15" i="21" s="1"/>
  <c r="Q17" i="20"/>
  <c r="P17" i="20"/>
  <c r="P15" i="21" s="1"/>
  <c r="P35" i="20"/>
  <c r="O33" i="21"/>
  <c r="R60" i="20"/>
  <c r="Q58" i="21"/>
  <c r="O45" i="19"/>
  <c r="P47" i="18"/>
  <c r="N12" i="17"/>
  <c r="O14" i="16"/>
  <c r="L83" i="17"/>
  <c r="P4" i="22"/>
  <c r="O2" i="23"/>
  <c r="H83" i="19"/>
  <c r="B83" i="19"/>
  <c r="M76" i="19"/>
  <c r="M68" i="19"/>
  <c r="M70" i="19" s="1"/>
  <c r="M83" i="19"/>
  <c r="M75" i="19"/>
  <c r="K83" i="19"/>
  <c r="E83" i="19"/>
  <c r="J83" i="19"/>
  <c r="M79" i="19"/>
  <c r="F83" i="19"/>
  <c r="D83" i="19"/>
  <c r="M77" i="19"/>
  <c r="M72" i="19"/>
  <c r="C83" i="19"/>
  <c r="M78" i="19"/>
  <c r="G83" i="19"/>
  <c r="M80" i="19"/>
  <c r="L83" i="19"/>
  <c r="M73" i="19"/>
  <c r="I83" i="19"/>
  <c r="M74" i="19"/>
  <c r="M81" i="19"/>
  <c r="O22" i="23"/>
  <c r="P24" i="22"/>
  <c r="P49" i="23"/>
  <c r="Q51" i="22"/>
  <c r="Q37" i="22"/>
  <c r="P35" i="23"/>
  <c r="P28" i="22"/>
  <c r="O26" i="23"/>
  <c r="O50" i="23"/>
  <c r="P52" i="22"/>
  <c r="O4" i="17"/>
  <c r="P6" i="16"/>
  <c r="G83" i="17"/>
  <c r="I83" i="17"/>
  <c r="P56" i="20"/>
  <c r="O54" i="21"/>
  <c r="P36" i="20"/>
  <c r="O34" i="21"/>
  <c r="O38" i="18"/>
  <c r="N36" i="19"/>
  <c r="Q15" i="20"/>
  <c r="P13" i="21"/>
  <c r="R31" i="20"/>
  <c r="Q29" i="21"/>
  <c r="Q34" i="20"/>
  <c r="P32" i="21"/>
  <c r="X26" i="22"/>
  <c r="W24" i="23"/>
  <c r="O66" i="18"/>
  <c r="N64" i="19"/>
  <c r="P64" i="20"/>
  <c r="O62" i="21"/>
  <c r="O6" i="18"/>
  <c r="N4" i="19"/>
  <c r="R7" i="22"/>
  <c r="Q5" i="23"/>
  <c r="P53" i="23"/>
  <c r="Q55" i="22"/>
  <c r="P6" i="22"/>
  <c r="O4" i="23"/>
  <c r="W18" i="22"/>
  <c r="V16" i="23"/>
  <c r="Z18" i="22"/>
  <c r="Y18" i="22"/>
  <c r="Y16" i="23" s="1"/>
  <c r="P22" i="22"/>
  <c r="O20" i="23"/>
  <c r="O52" i="23"/>
  <c r="P54" i="22"/>
  <c r="P50" i="22"/>
  <c r="O48" i="23"/>
  <c r="T41" i="18"/>
  <c r="S39" i="19"/>
  <c r="P65" i="22"/>
  <c r="O63" i="23"/>
  <c r="Q62" i="22"/>
  <c r="P60" i="23"/>
  <c r="Q54" i="20"/>
  <c r="P52" i="21"/>
  <c r="U16" i="21"/>
  <c r="V18" i="20"/>
  <c r="O38" i="17"/>
  <c r="P40" i="16"/>
  <c r="U55" i="23"/>
  <c r="V57" i="22"/>
  <c r="S38" i="20"/>
  <c r="R36" i="21"/>
  <c r="O7" i="18"/>
  <c r="N5" i="19"/>
  <c r="P47" i="20"/>
  <c r="O45" i="21"/>
  <c r="P42" i="22"/>
  <c r="O40" i="23"/>
  <c r="P11" i="23"/>
  <c r="Q13" i="22"/>
  <c r="Q30" i="20"/>
  <c r="P28" i="21"/>
  <c r="P12" i="20"/>
  <c r="O10" i="21"/>
  <c r="W12" i="20"/>
  <c r="W10" i="21" s="1"/>
  <c r="P9" i="23"/>
  <c r="Q11" i="22"/>
  <c r="O65" i="16"/>
  <c r="N63" i="17"/>
  <c r="Q45" i="20"/>
  <c r="P43" i="21"/>
  <c r="N14" i="17"/>
  <c r="O16" i="16"/>
  <c r="M81" i="17"/>
  <c r="M72" i="17"/>
  <c r="M68" i="17"/>
  <c r="M70" i="17" s="1"/>
  <c r="P17" i="18"/>
  <c r="P15" i="19" s="1"/>
  <c r="Q17" i="18"/>
  <c r="Q15" i="19" s="1"/>
  <c r="O15" i="19"/>
  <c r="R17" i="18"/>
  <c r="O7" i="23"/>
  <c r="P9" i="22"/>
  <c r="O18" i="23"/>
  <c r="P20" i="22"/>
  <c r="P36" i="17"/>
  <c r="Q38" i="16"/>
  <c r="Q61" i="20"/>
  <c r="P59" i="21"/>
  <c r="P29" i="17"/>
  <c r="Q31" i="16"/>
  <c r="P68" i="20"/>
  <c r="O66" i="21"/>
  <c r="P4" i="20"/>
  <c r="O2" i="21"/>
  <c r="Q53" i="20"/>
  <c r="P51" i="21"/>
  <c r="P58" i="20"/>
  <c r="O56" i="21"/>
  <c r="P13" i="18"/>
  <c r="O11" i="19"/>
  <c r="U7" i="20"/>
  <c r="T5" i="21"/>
  <c r="P40" i="20"/>
  <c r="O38" i="21"/>
  <c r="O46" i="23"/>
  <c r="P48" i="22"/>
  <c r="O14" i="18"/>
  <c r="N12" i="19"/>
  <c r="O25" i="23"/>
  <c r="P27" i="22"/>
  <c r="O30" i="23"/>
  <c r="P32" i="22"/>
  <c r="O32" i="16"/>
  <c r="N30" i="17"/>
  <c r="P20" i="16"/>
  <c r="O18" i="17"/>
  <c r="P63" i="20"/>
  <c r="O61" i="21"/>
  <c r="U55" i="21"/>
  <c r="V57" i="20"/>
  <c r="O2" i="17"/>
  <c r="P4" i="16"/>
  <c r="Q13" i="20"/>
  <c r="P11" i="21"/>
  <c r="R37" i="20"/>
  <c r="Q35" i="21"/>
  <c r="P16" i="20"/>
  <c r="O14" i="21"/>
  <c r="P18" i="19"/>
  <c r="Q20" i="18"/>
  <c r="P28" i="20"/>
  <c r="O26" i="21"/>
  <c r="Q28" i="18"/>
  <c r="P26" i="19"/>
  <c r="D84" i="23"/>
  <c r="L84" i="23"/>
  <c r="E84" i="23"/>
  <c r="M84" i="23"/>
  <c r="F84" i="23"/>
  <c r="N84" i="23"/>
  <c r="G84" i="23"/>
  <c r="C84" i="23"/>
  <c r="H84" i="23"/>
  <c r="I84" i="23"/>
  <c r="B84" i="23"/>
  <c r="J84" i="23"/>
  <c r="N68" i="23"/>
  <c r="N70" i="23" s="1"/>
  <c r="K84" i="23"/>
  <c r="N72" i="23"/>
  <c r="N73" i="23"/>
  <c r="N74" i="23"/>
  <c r="N75" i="23"/>
  <c r="N76" i="23"/>
  <c r="N77" i="23"/>
  <c r="N78" i="23"/>
  <c r="N79" i="23"/>
  <c r="N80" i="23"/>
  <c r="N81" i="23"/>
  <c r="N82" i="23"/>
  <c r="O5" i="18"/>
  <c r="N3" i="19"/>
  <c r="O3" i="23"/>
  <c r="P5" i="22"/>
  <c r="N46" i="17"/>
  <c r="O48" i="16"/>
  <c r="Q23" i="22"/>
  <c r="P21" i="23"/>
  <c r="P41" i="22"/>
  <c r="P39" i="23" s="1"/>
  <c r="O39" i="23"/>
  <c r="Q41" i="22"/>
  <c r="Q51" i="17"/>
  <c r="R53" i="16"/>
  <c r="P52" i="20"/>
  <c r="O50" i="21"/>
  <c r="O47" i="16"/>
  <c r="N45" i="17"/>
  <c r="P39" i="16"/>
  <c r="O37" i="17"/>
  <c r="R39" i="16"/>
  <c r="O22" i="18"/>
  <c r="N20" i="19"/>
  <c r="O25" i="19"/>
  <c r="P27" i="18"/>
  <c r="N23" i="17"/>
  <c r="O25" i="16"/>
  <c r="Q38" i="23"/>
  <c r="R40" i="22"/>
  <c r="N83" i="23"/>
  <c r="P60" i="16"/>
  <c r="O58" i="17"/>
  <c r="P32" i="20"/>
  <c r="O30" i="21"/>
  <c r="O46" i="16"/>
  <c r="N44" i="17"/>
  <c r="N44" i="19"/>
  <c r="O46" i="18"/>
  <c r="O9" i="17"/>
  <c r="P11" i="16"/>
  <c r="O7" i="16"/>
  <c r="N5" i="17"/>
  <c r="N11" i="17"/>
  <c r="O13" i="16"/>
  <c r="O46" i="19"/>
  <c r="P48" i="18"/>
  <c r="O20" i="17"/>
  <c r="P22" i="16"/>
  <c r="N30" i="19"/>
  <c r="O32" i="18"/>
  <c r="P61" i="19"/>
  <c r="Q63" i="18"/>
  <c r="N22" i="19"/>
  <c r="O24" i="18"/>
  <c r="N54" i="17"/>
  <c r="O56" i="16"/>
  <c r="P43" i="18"/>
  <c r="O41" i="19"/>
  <c r="N65" i="19"/>
  <c r="O67" i="18"/>
  <c r="P19" i="20"/>
  <c r="O17" i="21"/>
  <c r="N21" i="17"/>
  <c r="O23" i="16"/>
  <c r="N52" i="19"/>
  <c r="O54" i="18"/>
  <c r="M80" i="17"/>
  <c r="M73" i="17"/>
  <c r="M83" i="17"/>
  <c r="P20" i="20"/>
  <c r="O18" i="21"/>
  <c r="O37" i="18"/>
  <c r="N35" i="19"/>
  <c r="O66" i="23"/>
  <c r="P68" i="22"/>
  <c r="Q22" i="20"/>
  <c r="P20" i="21"/>
  <c r="O50" i="17"/>
  <c r="P52" i="16"/>
  <c r="O42" i="18"/>
  <c r="N40" i="19"/>
  <c r="R44" i="18"/>
  <c r="Q42" i="19"/>
  <c r="S44" i="18"/>
  <c r="S42" i="19" s="1"/>
  <c r="P23" i="20"/>
  <c r="O21" i="21"/>
  <c r="Y26" i="20"/>
  <c r="X24" i="21"/>
  <c r="R57" i="18"/>
  <c r="R55" i="19" s="1"/>
  <c r="Q55" i="19"/>
  <c r="S57" i="18"/>
  <c r="Q17" i="22"/>
  <c r="O15" i="23"/>
  <c r="P17" i="22"/>
  <c r="P15" i="23" s="1"/>
  <c r="Q49" i="22"/>
  <c r="P47" i="23"/>
  <c r="Z6" i="21"/>
  <c r="AA8" i="20"/>
  <c r="AA6" i="21" s="1"/>
  <c r="O62" i="16"/>
  <c r="N60" i="17"/>
  <c r="O62" i="23"/>
  <c r="P64" i="22"/>
  <c r="P56" i="23"/>
  <c r="Q58" i="22"/>
  <c r="P49" i="17"/>
  <c r="Q51" i="16"/>
  <c r="P23" i="19"/>
  <c r="Q25" i="18"/>
  <c r="S44" i="20"/>
  <c r="R42" i="21"/>
  <c r="O55" i="17"/>
  <c r="P57" i="16"/>
  <c r="N31" i="19"/>
  <c r="O33" i="18"/>
  <c r="Q56" i="22"/>
  <c r="P54" i="23"/>
  <c r="P36" i="22"/>
  <c r="O34" i="23"/>
  <c r="P42" i="16"/>
  <c r="O40" i="17"/>
  <c r="R5" i="20"/>
  <c r="Q3" i="21"/>
  <c r="N38" i="19"/>
  <c r="O40" i="18"/>
  <c r="P61" i="22"/>
  <c r="O59" i="23"/>
  <c r="P68" i="16"/>
  <c r="O66" i="17"/>
  <c r="J84" i="21"/>
  <c r="C84" i="21"/>
  <c r="K84" i="21"/>
  <c r="D84" i="21"/>
  <c r="L84" i="21"/>
  <c r="G84" i="21"/>
  <c r="N68" i="21"/>
  <c r="N70" i="21" s="1"/>
  <c r="F84" i="21"/>
  <c r="H84" i="21"/>
  <c r="I84" i="21"/>
  <c r="N84" i="21"/>
  <c r="E84" i="21"/>
  <c r="M84" i="21"/>
  <c r="B84" i="21"/>
  <c r="N72" i="21"/>
  <c r="N73" i="21"/>
  <c r="N74" i="21"/>
  <c r="N75" i="21"/>
  <c r="N76" i="21"/>
  <c r="N77" i="21"/>
  <c r="N78" i="21"/>
  <c r="N79" i="21"/>
  <c r="N80" i="21"/>
  <c r="N81" i="21"/>
  <c r="N82" i="21"/>
  <c r="N21" i="19"/>
  <c r="O23" i="18"/>
  <c r="S6" i="20"/>
  <c r="R4" i="21"/>
  <c r="Y57" i="19"/>
  <c r="Z59" i="18"/>
  <c r="S67" i="22"/>
  <c r="R65" i="23"/>
  <c r="P48" i="20"/>
  <c r="O46" i="21"/>
  <c r="Z67" i="20"/>
  <c r="Y65" i="21"/>
  <c r="P27" i="20"/>
  <c r="O25" i="21"/>
  <c r="W27" i="20"/>
  <c r="Q17" i="16"/>
  <c r="P17" i="16"/>
  <c r="P15" i="17" s="1"/>
  <c r="O15" i="17"/>
  <c r="Q21" i="20"/>
  <c r="P19" i="21"/>
  <c r="O22" i="17"/>
  <c r="P24" i="16"/>
  <c r="Y8" i="17"/>
  <c r="Z10" i="16"/>
  <c r="Q25" i="20"/>
  <c r="P23" i="21"/>
  <c r="N56" i="17"/>
  <c r="O58" i="16"/>
  <c r="M79" i="17"/>
  <c r="P45" i="23" l="1"/>
  <c r="Q47" i="22"/>
  <c r="O84" i="21"/>
  <c r="O84" i="23"/>
  <c r="O2" i="19"/>
  <c r="P4" i="18"/>
  <c r="P11" i="18"/>
  <c r="O9" i="19"/>
  <c r="Q30" i="22"/>
  <c r="P28" i="23"/>
  <c r="O63" i="19"/>
  <c r="P65" i="18"/>
  <c r="P66" i="19"/>
  <c r="Q68" i="18"/>
  <c r="P19" i="18"/>
  <c r="O17" i="19"/>
  <c r="Q29" i="22"/>
  <c r="P27" i="23"/>
  <c r="Y42" i="17"/>
  <c r="Z44" i="16"/>
  <c r="Q34" i="18"/>
  <c r="P32" i="19"/>
  <c r="O7" i="19"/>
  <c r="P9" i="18"/>
  <c r="H84" i="17"/>
  <c r="O58" i="19"/>
  <c r="P60" i="18"/>
  <c r="W42" i="17"/>
  <c r="X44" i="16"/>
  <c r="X42" i="17" s="1"/>
  <c r="N83" i="19"/>
  <c r="V39" i="18"/>
  <c r="P39" i="18"/>
  <c r="O37" i="19"/>
  <c r="O34" i="19"/>
  <c r="P36" i="18"/>
  <c r="O53" i="19"/>
  <c r="P55" i="18"/>
  <c r="P35" i="17"/>
  <c r="Q37" i="16"/>
  <c r="Q68" i="16"/>
  <c r="P66" i="17"/>
  <c r="Q23" i="20"/>
  <c r="P21" i="21"/>
  <c r="Q61" i="19"/>
  <c r="R63" i="18"/>
  <c r="O11" i="17"/>
  <c r="P13" i="16"/>
  <c r="O44" i="19"/>
  <c r="P46" i="18"/>
  <c r="P22" i="18"/>
  <c r="O20" i="19"/>
  <c r="S53" i="16"/>
  <c r="R51" i="17"/>
  <c r="Q28" i="20"/>
  <c r="P26" i="21"/>
  <c r="R13" i="20"/>
  <c r="Q11" i="21"/>
  <c r="Q63" i="20"/>
  <c r="P61" i="21"/>
  <c r="Q40" i="20"/>
  <c r="P38" i="21"/>
  <c r="R53" i="20"/>
  <c r="Q51" i="21"/>
  <c r="R61" i="20"/>
  <c r="Q59" i="21"/>
  <c r="Q12" i="20"/>
  <c r="P10" i="21"/>
  <c r="Q47" i="20"/>
  <c r="P45" i="21"/>
  <c r="P63" i="23"/>
  <c r="Q65" i="22"/>
  <c r="R55" i="22"/>
  <c r="Q53" i="23"/>
  <c r="P2" i="23"/>
  <c r="Q4" i="22"/>
  <c r="R29" i="20"/>
  <c r="Q27" i="21"/>
  <c r="P34" i="16"/>
  <c r="O32" i="17"/>
  <c r="N82" i="17"/>
  <c r="N74" i="17"/>
  <c r="I84" i="17"/>
  <c r="M84" i="17"/>
  <c r="K84" i="17"/>
  <c r="O59" i="19"/>
  <c r="P61" i="18"/>
  <c r="R14" i="22"/>
  <c r="Q12" i="23"/>
  <c r="Z67" i="16"/>
  <c r="Y65" i="17"/>
  <c r="P61" i="17"/>
  <c r="Q63" i="16"/>
  <c r="S41" i="16"/>
  <c r="R41" i="16"/>
  <c r="R39" i="17" s="1"/>
  <c r="Q39" i="17"/>
  <c r="O48" i="19"/>
  <c r="P50" i="18"/>
  <c r="P40" i="17"/>
  <c r="Q42" i="16"/>
  <c r="O52" i="19"/>
  <c r="P54" i="18"/>
  <c r="AA10" i="16"/>
  <c r="AA8" i="17" s="1"/>
  <c r="Z8" i="17"/>
  <c r="P62" i="23"/>
  <c r="Q64" i="22"/>
  <c r="Q15" i="23"/>
  <c r="R17" i="22"/>
  <c r="P50" i="17"/>
  <c r="Q52" i="16"/>
  <c r="R38" i="23"/>
  <c r="S40" i="22"/>
  <c r="R37" i="17"/>
  <c r="S39" i="16"/>
  <c r="P3" i="23"/>
  <c r="Q5" i="22"/>
  <c r="Q18" i="19"/>
  <c r="R20" i="18"/>
  <c r="Q27" i="22"/>
  <c r="P25" i="23"/>
  <c r="I85" i="21"/>
  <c r="J85" i="21"/>
  <c r="C85" i="21"/>
  <c r="K85" i="21"/>
  <c r="F85" i="21"/>
  <c r="N85" i="21"/>
  <c r="M85" i="21"/>
  <c r="O85" i="21"/>
  <c r="G85" i="21"/>
  <c r="O68" i="21"/>
  <c r="O70" i="21" s="1"/>
  <c r="H85" i="21"/>
  <c r="D85" i="21"/>
  <c r="B85" i="21"/>
  <c r="L85" i="21"/>
  <c r="E85" i="21"/>
  <c r="O72" i="21"/>
  <c r="O73" i="21"/>
  <c r="O74" i="21"/>
  <c r="O75" i="21"/>
  <c r="O76" i="21"/>
  <c r="O77" i="21"/>
  <c r="O78" i="21"/>
  <c r="O79" i="21"/>
  <c r="O80" i="21"/>
  <c r="O81" i="21"/>
  <c r="O82" i="21"/>
  <c r="O83" i="21"/>
  <c r="Q36" i="17"/>
  <c r="R38" i="16"/>
  <c r="R45" i="20"/>
  <c r="Q43" i="21"/>
  <c r="W18" i="20"/>
  <c r="V16" i="21"/>
  <c r="Y18" i="20"/>
  <c r="Y16" i="21" s="1"/>
  <c r="P20" i="23"/>
  <c r="Q22" i="22"/>
  <c r="P66" i="18"/>
  <c r="O64" i="19"/>
  <c r="R15" i="20"/>
  <c r="Q13" i="21"/>
  <c r="R37" i="22"/>
  <c r="Q35" i="23"/>
  <c r="Q35" i="20"/>
  <c r="P33" i="21"/>
  <c r="Q49" i="20"/>
  <c r="P47" i="21"/>
  <c r="P15" i="18"/>
  <c r="O13" i="19"/>
  <c r="S38" i="22"/>
  <c r="R36" i="23"/>
  <c r="N81" i="17"/>
  <c r="N73" i="17"/>
  <c r="F84" i="17"/>
  <c r="C84" i="17"/>
  <c r="R11" i="20"/>
  <c r="Q9" i="21"/>
  <c r="P34" i="17"/>
  <c r="Q36" i="16"/>
  <c r="Q19" i="16"/>
  <c r="P17" i="17"/>
  <c r="Q15" i="22"/>
  <c r="P13" i="23"/>
  <c r="P30" i="16"/>
  <c r="O28" i="17"/>
  <c r="S6" i="23"/>
  <c r="T8" i="22"/>
  <c r="T6" i="23" s="1"/>
  <c r="U8" i="22"/>
  <c r="R19" i="22"/>
  <c r="Q17" i="23"/>
  <c r="O28" i="19"/>
  <c r="P30" i="18"/>
  <c r="Q48" i="20"/>
  <c r="P46" i="21"/>
  <c r="O40" i="19"/>
  <c r="P42" i="18"/>
  <c r="Q15" i="17"/>
  <c r="R17" i="16"/>
  <c r="R15" i="17" s="1"/>
  <c r="S17" i="16"/>
  <c r="W25" i="21"/>
  <c r="X27" i="20"/>
  <c r="S65" i="23"/>
  <c r="U67" i="22"/>
  <c r="Q61" i="22"/>
  <c r="P59" i="23"/>
  <c r="P34" i="23"/>
  <c r="Q36" i="22"/>
  <c r="T44" i="20"/>
  <c r="S42" i="21"/>
  <c r="S55" i="19"/>
  <c r="T57" i="18"/>
  <c r="O35" i="19"/>
  <c r="P37" i="18"/>
  <c r="O21" i="17"/>
  <c r="P23" i="16"/>
  <c r="P32" i="18"/>
  <c r="O30" i="19"/>
  <c r="Q39" i="23"/>
  <c r="R41" i="22"/>
  <c r="Q20" i="16"/>
  <c r="P18" i="17"/>
  <c r="X7" i="20"/>
  <c r="V7" i="20"/>
  <c r="V5" i="21" s="1"/>
  <c r="U5" i="21"/>
  <c r="Q4" i="20"/>
  <c r="P2" i="21"/>
  <c r="R30" i="20"/>
  <c r="Q28" i="21"/>
  <c r="P7" i="18"/>
  <c r="O5" i="19"/>
  <c r="P4" i="17"/>
  <c r="Q6" i="16"/>
  <c r="R51" i="22"/>
  <c r="Q49" i="23"/>
  <c r="P14" i="16"/>
  <c r="O12" i="17"/>
  <c r="Q34" i="22"/>
  <c r="P32" i="23"/>
  <c r="Q44" i="21"/>
  <c r="S46" i="20"/>
  <c r="R46" i="20"/>
  <c r="R44" i="21" s="1"/>
  <c r="Q9" i="20"/>
  <c r="P7" i="21"/>
  <c r="N80" i="17"/>
  <c r="N72" i="17"/>
  <c r="L84" i="17"/>
  <c r="P10" i="17"/>
  <c r="Q12" i="16"/>
  <c r="Q26" i="17"/>
  <c r="R28" i="16"/>
  <c r="P14" i="19"/>
  <c r="Q16" i="18"/>
  <c r="R33" i="20"/>
  <c r="Q31" i="21"/>
  <c r="Q31" i="23"/>
  <c r="R33" i="22"/>
  <c r="R64" i="23"/>
  <c r="S66" i="22"/>
  <c r="P10" i="23"/>
  <c r="Q12" i="22"/>
  <c r="AA59" i="18"/>
  <c r="AA57" i="19" s="1"/>
  <c r="Z57" i="19"/>
  <c r="R25" i="18"/>
  <c r="Q23" i="19"/>
  <c r="P25" i="16"/>
  <c r="O23" i="17"/>
  <c r="Q39" i="16"/>
  <c r="Q37" i="17" s="1"/>
  <c r="P37" i="17"/>
  <c r="F84" i="19"/>
  <c r="N72" i="19"/>
  <c r="N80" i="19"/>
  <c r="N84" i="19"/>
  <c r="I84" i="19"/>
  <c r="D84" i="19"/>
  <c r="N74" i="19"/>
  <c r="H84" i="19"/>
  <c r="N73" i="19"/>
  <c r="E84" i="19"/>
  <c r="N68" i="19"/>
  <c r="N70" i="19" s="1"/>
  <c r="G84" i="19"/>
  <c r="K84" i="19"/>
  <c r="B84" i="19"/>
  <c r="N76" i="19"/>
  <c r="N75" i="19"/>
  <c r="N77" i="19"/>
  <c r="M84" i="19"/>
  <c r="J84" i="19"/>
  <c r="L84" i="19"/>
  <c r="N78" i="19"/>
  <c r="C84" i="19"/>
  <c r="N79" i="19"/>
  <c r="N81" i="19"/>
  <c r="N82" i="19"/>
  <c r="P2" i="17"/>
  <c r="Q4" i="16"/>
  <c r="P18" i="23"/>
  <c r="Q20" i="22"/>
  <c r="P65" i="16"/>
  <c r="O63" i="17"/>
  <c r="Q11" i="23"/>
  <c r="R13" i="22"/>
  <c r="T39" i="19"/>
  <c r="U41" i="18"/>
  <c r="AA18" i="22"/>
  <c r="AA16" i="23" s="1"/>
  <c r="Z16" i="23"/>
  <c r="S7" i="22"/>
  <c r="R5" i="23"/>
  <c r="AA26" i="22"/>
  <c r="AA24" i="23" s="1"/>
  <c r="X24" i="23"/>
  <c r="P38" i="18"/>
  <c r="O36" i="19"/>
  <c r="Q15" i="21"/>
  <c r="R17" i="20"/>
  <c r="P58" i="23"/>
  <c r="Q60" i="22"/>
  <c r="Y30" i="20"/>
  <c r="Y28" i="21" s="1"/>
  <c r="X28" i="21"/>
  <c r="Q43" i="22"/>
  <c r="P41" i="23"/>
  <c r="N79" i="17"/>
  <c r="D84" i="17"/>
  <c r="R19" i="17"/>
  <c r="S21" i="16"/>
  <c r="P61" i="23"/>
  <c r="Q63" i="22"/>
  <c r="R49" i="19"/>
  <c r="S51" i="18"/>
  <c r="O53" i="17"/>
  <c r="P55" i="16"/>
  <c r="R45" i="22"/>
  <c r="Q43" i="23"/>
  <c r="Q52" i="18"/>
  <c r="P50" i="19"/>
  <c r="S44" i="22"/>
  <c r="Q42" i="23"/>
  <c r="R44" i="22"/>
  <c r="R42" i="23" s="1"/>
  <c r="Q24" i="20"/>
  <c r="P22" i="21"/>
  <c r="Q33" i="17"/>
  <c r="R35" i="16"/>
  <c r="P41" i="19"/>
  <c r="Q43" i="18"/>
  <c r="P56" i="16"/>
  <c r="O54" i="17"/>
  <c r="Q68" i="20"/>
  <c r="P66" i="21"/>
  <c r="Q9" i="23"/>
  <c r="R11" i="22"/>
  <c r="T38" i="20"/>
  <c r="S36" i="21"/>
  <c r="R54" i="20"/>
  <c r="Q52" i="21"/>
  <c r="P50" i="23"/>
  <c r="Q52" i="22"/>
  <c r="P22" i="23"/>
  <c r="Q24" i="22"/>
  <c r="P45" i="19"/>
  <c r="Q47" i="18"/>
  <c r="Q55" i="20"/>
  <c r="P53" i="21"/>
  <c r="U12" i="18"/>
  <c r="T10" i="19"/>
  <c r="R13" i="17"/>
  <c r="S15" i="16"/>
  <c r="Q56" i="18"/>
  <c r="P54" i="19"/>
  <c r="N78" i="17"/>
  <c r="G84" i="17"/>
  <c r="E84" i="17"/>
  <c r="R64" i="16"/>
  <c r="Q62" i="17"/>
  <c r="U39" i="20"/>
  <c r="S37" i="21"/>
  <c r="T39" i="20"/>
  <c r="Q51" i="20"/>
  <c r="P49" i="21"/>
  <c r="Q27" i="16"/>
  <c r="P25" i="17"/>
  <c r="P33" i="19"/>
  <c r="Q35" i="18"/>
  <c r="P64" i="17"/>
  <c r="Q66" i="16"/>
  <c r="P62" i="18"/>
  <c r="O60" i="19"/>
  <c r="P22" i="17"/>
  <c r="Q24" i="16"/>
  <c r="O60" i="17"/>
  <c r="P62" i="16"/>
  <c r="R22" i="20"/>
  <c r="Q20" i="21"/>
  <c r="P20" i="17"/>
  <c r="Q22" i="16"/>
  <c r="P5" i="18"/>
  <c r="O3" i="19"/>
  <c r="O56" i="17"/>
  <c r="P58" i="16"/>
  <c r="P33" i="18"/>
  <c r="O31" i="19"/>
  <c r="Q49" i="17"/>
  <c r="R51" i="16"/>
  <c r="P66" i="23"/>
  <c r="Q68" i="22"/>
  <c r="Q19" i="20"/>
  <c r="P17" i="21"/>
  <c r="O5" i="17"/>
  <c r="P7" i="16"/>
  <c r="R7" i="16"/>
  <c r="Q32" i="20"/>
  <c r="P30" i="21"/>
  <c r="P25" i="19"/>
  <c r="Q27" i="18"/>
  <c r="O45" i="17"/>
  <c r="P47" i="16"/>
  <c r="W57" i="20"/>
  <c r="W55" i="21" s="1"/>
  <c r="X57" i="20"/>
  <c r="X55" i="21" s="1"/>
  <c r="Z57" i="20"/>
  <c r="V55" i="21"/>
  <c r="Y57" i="20"/>
  <c r="Y55" i="21" s="1"/>
  <c r="P46" i="23"/>
  <c r="Q48" i="22"/>
  <c r="Q29" i="17"/>
  <c r="R31" i="16"/>
  <c r="P7" i="23"/>
  <c r="Q9" i="22"/>
  <c r="V55" i="23"/>
  <c r="Y57" i="22"/>
  <c r="Y55" i="23" s="1"/>
  <c r="W57" i="22"/>
  <c r="Z57" i="22"/>
  <c r="Q50" i="22"/>
  <c r="P48" i="23"/>
  <c r="X18" i="22"/>
  <c r="X16" i="23" s="1"/>
  <c r="W16" i="23"/>
  <c r="P6" i="18"/>
  <c r="O4" i="19"/>
  <c r="R34" i="20"/>
  <c r="Q32" i="21"/>
  <c r="Q36" i="20"/>
  <c r="P34" i="21"/>
  <c r="X18" i="16"/>
  <c r="X16" i="17" s="1"/>
  <c r="W16" i="17"/>
  <c r="R46" i="22"/>
  <c r="Q44" i="23"/>
  <c r="W10" i="19"/>
  <c r="X12" i="18"/>
  <c r="N77" i="17"/>
  <c r="B84" i="17"/>
  <c r="N68" i="17"/>
  <c r="N70" i="17" s="1"/>
  <c r="J84" i="17"/>
  <c r="O43" i="19"/>
  <c r="P45" i="18"/>
  <c r="P14" i="23"/>
  <c r="Q16" i="22"/>
  <c r="Q31" i="22"/>
  <c r="P29" i="23"/>
  <c r="Q37" i="23"/>
  <c r="S39" i="22"/>
  <c r="R39" i="22"/>
  <c r="R37" i="23" s="1"/>
  <c r="Q42" i="20"/>
  <c r="P40" i="21"/>
  <c r="S21" i="22"/>
  <c r="R19" i="23"/>
  <c r="S14" i="20"/>
  <c r="R12" i="21"/>
  <c r="P19" i="19"/>
  <c r="Q21" i="18"/>
  <c r="Q43" i="20"/>
  <c r="P41" i="21"/>
  <c r="S65" i="20"/>
  <c r="R63" i="21"/>
  <c r="P9" i="16"/>
  <c r="O7" i="17"/>
  <c r="O44" i="17"/>
  <c r="P46" i="16"/>
  <c r="P14" i="18"/>
  <c r="O12" i="19"/>
  <c r="AA67" i="20"/>
  <c r="AA65" i="21" s="1"/>
  <c r="Z65" i="21"/>
  <c r="T44" i="18"/>
  <c r="R42" i="19"/>
  <c r="R23" i="22"/>
  <c r="Q21" i="23"/>
  <c r="Q58" i="20"/>
  <c r="P56" i="21"/>
  <c r="R62" i="22"/>
  <c r="Q60" i="23"/>
  <c r="P41" i="17"/>
  <c r="Q43" i="16"/>
  <c r="Q39" i="21"/>
  <c r="R41" i="20"/>
  <c r="R39" i="21" s="1"/>
  <c r="S41" i="20"/>
  <c r="Y16" i="17"/>
  <c r="AA18" i="16"/>
  <c r="AA16" i="17" s="1"/>
  <c r="Z18" i="16"/>
  <c r="Z16" i="17" s="1"/>
  <c r="N83" i="17"/>
  <c r="Q62" i="20"/>
  <c r="P60" i="21"/>
  <c r="O51" i="19"/>
  <c r="P53" i="18"/>
  <c r="N76" i="17"/>
  <c r="P51" i="23"/>
  <c r="Q53" i="22"/>
  <c r="Q50" i="20"/>
  <c r="P48" i="21"/>
  <c r="O29" i="19"/>
  <c r="P31" i="18"/>
  <c r="Q61" i="16"/>
  <c r="P59" i="17"/>
  <c r="O62" i="19"/>
  <c r="P64" i="18"/>
  <c r="O48" i="17"/>
  <c r="P50" i="16"/>
  <c r="Q66" i="20"/>
  <c r="P64" i="21"/>
  <c r="P23" i="23"/>
  <c r="Q25" i="22"/>
  <c r="R25" i="20"/>
  <c r="Q23" i="21"/>
  <c r="P40" i="18"/>
  <c r="O38" i="19"/>
  <c r="Q27" i="20"/>
  <c r="P25" i="21"/>
  <c r="R56" i="22"/>
  <c r="Q54" i="23"/>
  <c r="Q20" i="20"/>
  <c r="P18" i="21"/>
  <c r="R28" i="18"/>
  <c r="Q26" i="19"/>
  <c r="Q16" i="20"/>
  <c r="P14" i="21"/>
  <c r="Q13" i="18"/>
  <c r="P11" i="19"/>
  <c r="R21" i="20"/>
  <c r="Q19" i="21"/>
  <c r="T6" i="20"/>
  <c r="S4" i="21"/>
  <c r="S5" i="20"/>
  <c r="R3" i="21"/>
  <c r="Q47" i="23"/>
  <c r="R49" i="22"/>
  <c r="Z26" i="20"/>
  <c r="Y24" i="21"/>
  <c r="O65" i="19"/>
  <c r="U67" i="18"/>
  <c r="P67" i="18"/>
  <c r="O22" i="19"/>
  <c r="P24" i="18"/>
  <c r="P46" i="19"/>
  <c r="Q48" i="18"/>
  <c r="P9" i="17"/>
  <c r="Q11" i="16"/>
  <c r="S37" i="20"/>
  <c r="R35" i="21"/>
  <c r="O30" i="17"/>
  <c r="P32" i="16"/>
  <c r="O14" i="17"/>
  <c r="P16" i="16"/>
  <c r="P40" i="23"/>
  <c r="Q42" i="22"/>
  <c r="Q54" i="22"/>
  <c r="P52" i="23"/>
  <c r="O21" i="19"/>
  <c r="P23" i="18"/>
  <c r="Q57" i="16"/>
  <c r="P55" i="17"/>
  <c r="Q56" i="23"/>
  <c r="R58" i="22"/>
  <c r="Q60" i="16"/>
  <c r="P58" i="17"/>
  <c r="Q52" i="20"/>
  <c r="P50" i="21"/>
  <c r="P48" i="16"/>
  <c r="O46" i="17"/>
  <c r="P30" i="23"/>
  <c r="Q32" i="22"/>
  <c r="S17" i="18"/>
  <c r="R15" i="19"/>
  <c r="P38" i="17"/>
  <c r="Q40" i="16"/>
  <c r="Q6" i="22"/>
  <c r="P4" i="23"/>
  <c r="Q64" i="20"/>
  <c r="P62" i="21"/>
  <c r="S31" i="20"/>
  <c r="R29" i="21"/>
  <c r="Q56" i="20"/>
  <c r="P54" i="21"/>
  <c r="P26" i="23"/>
  <c r="Q28" i="22"/>
  <c r="C85" i="23"/>
  <c r="K85" i="23"/>
  <c r="D85" i="23"/>
  <c r="L85" i="23"/>
  <c r="E85" i="23"/>
  <c r="M85" i="23"/>
  <c r="F85" i="23"/>
  <c r="N85" i="23"/>
  <c r="G85" i="23"/>
  <c r="H85" i="23"/>
  <c r="I85" i="23"/>
  <c r="J85" i="23"/>
  <c r="O85" i="23"/>
  <c r="B85" i="23"/>
  <c r="O68" i="23"/>
  <c r="O70" i="23" s="1"/>
  <c r="O72" i="23"/>
  <c r="O73" i="23"/>
  <c r="O74" i="23"/>
  <c r="O75" i="23"/>
  <c r="O76" i="23"/>
  <c r="O77" i="23"/>
  <c r="O78" i="23"/>
  <c r="O79" i="23"/>
  <c r="O80" i="23"/>
  <c r="O81" i="23"/>
  <c r="O82" i="23"/>
  <c r="O83" i="23"/>
  <c r="S60" i="20"/>
  <c r="R58" i="21"/>
  <c r="O47" i="17"/>
  <c r="P49" i="16"/>
  <c r="P47" i="19"/>
  <c r="Q49" i="18"/>
  <c r="R3" i="17"/>
  <c r="S5" i="16"/>
  <c r="N75" i="17"/>
  <c r="N84" i="17"/>
  <c r="P31" i="17"/>
  <c r="Q33" i="16"/>
  <c r="P29" i="16"/>
  <c r="O27" i="17"/>
  <c r="P45" i="16"/>
  <c r="O43" i="17"/>
  <c r="P33" i="23"/>
  <c r="Q35" i="22"/>
  <c r="P54" i="16"/>
  <c r="O52" i="17"/>
  <c r="P29" i="18"/>
  <c r="O27" i="19"/>
  <c r="P58" i="18"/>
  <c r="O56" i="19"/>
  <c r="G85" i="17" l="1"/>
  <c r="Q39" i="18"/>
  <c r="P37" i="19"/>
  <c r="P7" i="19"/>
  <c r="Q9" i="18"/>
  <c r="O83" i="17"/>
  <c r="R37" i="16"/>
  <c r="Q35" i="17"/>
  <c r="W39" i="18"/>
  <c r="W37" i="19" s="1"/>
  <c r="V37" i="19"/>
  <c r="X39" i="18"/>
  <c r="Q19" i="18"/>
  <c r="P17" i="19"/>
  <c r="Q11" i="18"/>
  <c r="P9" i="19"/>
  <c r="O75" i="17"/>
  <c r="O84" i="19"/>
  <c r="Q66" i="19"/>
  <c r="R68" i="18"/>
  <c r="Q4" i="18"/>
  <c r="P2" i="19"/>
  <c r="D85" i="17"/>
  <c r="P85" i="23"/>
  <c r="P53" i="19"/>
  <c r="Q55" i="18"/>
  <c r="R34" i="18"/>
  <c r="Q32" i="19"/>
  <c r="AA44" i="16"/>
  <c r="AA42" i="17" s="1"/>
  <c r="Z42" i="17"/>
  <c r="P63" i="19"/>
  <c r="Q65" i="18"/>
  <c r="Q36" i="18"/>
  <c r="P34" i="19"/>
  <c r="P58" i="19"/>
  <c r="Q60" i="18"/>
  <c r="R47" i="22"/>
  <c r="Q45" i="23"/>
  <c r="O84" i="17"/>
  <c r="R29" i="22"/>
  <c r="Q27" i="23"/>
  <c r="Q28" i="23"/>
  <c r="R30" i="22"/>
  <c r="T31" i="20"/>
  <c r="S29" i="21"/>
  <c r="Q41" i="17"/>
  <c r="R43" i="16"/>
  <c r="P3" i="19"/>
  <c r="Q5" i="18"/>
  <c r="S12" i="16"/>
  <c r="R12" i="16"/>
  <c r="R10" i="17" s="1"/>
  <c r="Q10" i="17"/>
  <c r="Q62" i="23"/>
  <c r="R64" i="22"/>
  <c r="R61" i="19"/>
  <c r="S63" i="18"/>
  <c r="Q58" i="17"/>
  <c r="R60" i="16"/>
  <c r="R27" i="16"/>
  <c r="Q25" i="17"/>
  <c r="Q4" i="17"/>
  <c r="R6" i="16"/>
  <c r="S38" i="23"/>
  <c r="T40" i="22"/>
  <c r="Q40" i="17"/>
  <c r="R42" i="16"/>
  <c r="Q30" i="23"/>
  <c r="R32" i="22"/>
  <c r="R56" i="23"/>
  <c r="S58" i="22"/>
  <c r="R42" i="22"/>
  <c r="Q40" i="23"/>
  <c r="Q9" i="17"/>
  <c r="R11" i="16"/>
  <c r="T5" i="20"/>
  <c r="S3" i="21"/>
  <c r="O82" i="17"/>
  <c r="O74" i="17"/>
  <c r="E85" i="17"/>
  <c r="L85" i="17"/>
  <c r="U44" i="18"/>
  <c r="T42" i="19"/>
  <c r="Q9" i="16"/>
  <c r="P7" i="17"/>
  <c r="T14" i="20"/>
  <c r="S12" i="21"/>
  <c r="S31" i="16"/>
  <c r="R29" i="17"/>
  <c r="R32" i="20"/>
  <c r="Q30" i="21"/>
  <c r="S51" i="16"/>
  <c r="R49" i="17"/>
  <c r="Q20" i="17"/>
  <c r="R22" i="16"/>
  <c r="S64" i="16"/>
  <c r="R62" i="17"/>
  <c r="Q50" i="23"/>
  <c r="R52" i="22"/>
  <c r="S45" i="22"/>
  <c r="R43" i="23"/>
  <c r="T7" i="22"/>
  <c r="S5" i="23"/>
  <c r="R23" i="19"/>
  <c r="S25" i="18"/>
  <c r="T55" i="19"/>
  <c r="U57" i="18"/>
  <c r="U55" i="19" s="1"/>
  <c r="V57" i="18"/>
  <c r="U65" i="23"/>
  <c r="V67" i="22"/>
  <c r="R17" i="23"/>
  <c r="S19" i="22"/>
  <c r="Q30" i="16"/>
  <c r="P28" i="17"/>
  <c r="S36" i="23"/>
  <c r="T38" i="22"/>
  <c r="S37" i="22"/>
  <c r="R35" i="23"/>
  <c r="Q61" i="17"/>
  <c r="R63" i="16"/>
  <c r="S29" i="20"/>
  <c r="R27" i="21"/>
  <c r="R47" i="20"/>
  <c r="Q45" i="21"/>
  <c r="R40" i="20"/>
  <c r="Q38" i="21"/>
  <c r="S51" i="17"/>
  <c r="T53" i="16"/>
  <c r="T17" i="18"/>
  <c r="S15" i="19"/>
  <c r="Q52" i="23"/>
  <c r="R54" i="22"/>
  <c r="T37" i="20"/>
  <c r="S35" i="21"/>
  <c r="S56" i="22"/>
  <c r="R54" i="23"/>
  <c r="Q42" i="18"/>
  <c r="P40" i="19"/>
  <c r="P43" i="17"/>
  <c r="Q45" i="16"/>
  <c r="R64" i="20"/>
  <c r="Q62" i="21"/>
  <c r="O81" i="17"/>
  <c r="O73" i="17"/>
  <c r="B85" i="17"/>
  <c r="O68" i="17"/>
  <c r="O70" i="17" s="1"/>
  <c r="J85" i="17"/>
  <c r="R26" i="19"/>
  <c r="S28" i="18"/>
  <c r="R27" i="20"/>
  <c r="Q25" i="21"/>
  <c r="R66" i="20"/>
  <c r="Q64" i="21"/>
  <c r="R31" i="22"/>
  <c r="Q29" i="23"/>
  <c r="R36" i="20"/>
  <c r="Q34" i="21"/>
  <c r="R50" i="22"/>
  <c r="Q48" i="23"/>
  <c r="S7" i="16"/>
  <c r="R5" i="17"/>
  <c r="P60" i="19"/>
  <c r="Q62" i="18"/>
  <c r="V12" i="18"/>
  <c r="V10" i="19" s="1"/>
  <c r="U10" i="19"/>
  <c r="R68" i="20"/>
  <c r="Q66" i="21"/>
  <c r="R24" i="20"/>
  <c r="Q22" i="21"/>
  <c r="Q55" i="16"/>
  <c r="P53" i="17"/>
  <c r="S17" i="20"/>
  <c r="R15" i="21"/>
  <c r="Q65" i="16"/>
  <c r="P63" i="17"/>
  <c r="Y7" i="20"/>
  <c r="X5" i="21"/>
  <c r="Q32" i="18"/>
  <c r="P30" i="19"/>
  <c r="X18" i="20"/>
  <c r="W16" i="21"/>
  <c r="R18" i="19"/>
  <c r="S20" i="18"/>
  <c r="P48" i="19"/>
  <c r="Q50" i="18"/>
  <c r="R4" i="22"/>
  <c r="Q2" i="23"/>
  <c r="R48" i="18"/>
  <c r="Q46" i="19"/>
  <c r="AA26" i="20"/>
  <c r="AA24" i="21" s="1"/>
  <c r="Z24" i="21"/>
  <c r="U6" i="20"/>
  <c r="T4" i="21"/>
  <c r="O80" i="17"/>
  <c r="O72" i="17"/>
  <c r="N85" i="17"/>
  <c r="R61" i="16"/>
  <c r="Q59" i="17"/>
  <c r="S62" i="22"/>
  <c r="R60" i="23"/>
  <c r="T65" i="20"/>
  <c r="S63" i="21"/>
  <c r="T21" i="22"/>
  <c r="S19" i="23"/>
  <c r="R16" i="22"/>
  <c r="Q14" i="23"/>
  <c r="Y12" i="18"/>
  <c r="X10" i="19"/>
  <c r="Z55" i="23"/>
  <c r="AA57" i="22"/>
  <c r="AA55" i="23" s="1"/>
  <c r="R48" i="22"/>
  <c r="Q46" i="23"/>
  <c r="P5" i="17"/>
  <c r="Q7" i="16"/>
  <c r="Q64" i="17"/>
  <c r="R66" i="16"/>
  <c r="R20" i="22"/>
  <c r="Q18" i="23"/>
  <c r="S33" i="20"/>
  <c r="R31" i="21"/>
  <c r="Q32" i="23"/>
  <c r="R34" i="22"/>
  <c r="P5" i="19"/>
  <c r="Q7" i="18"/>
  <c r="Q23" i="16"/>
  <c r="P21" i="17"/>
  <c r="Y27" i="20"/>
  <c r="X25" i="21"/>
  <c r="R15" i="22"/>
  <c r="Q13" i="23"/>
  <c r="S11" i="20"/>
  <c r="R9" i="21"/>
  <c r="P13" i="19"/>
  <c r="Q15" i="18"/>
  <c r="S15" i="20"/>
  <c r="R13" i="21"/>
  <c r="J86" i="23"/>
  <c r="C86" i="23"/>
  <c r="K86" i="23"/>
  <c r="E86" i="23"/>
  <c r="M86" i="23"/>
  <c r="I86" i="23"/>
  <c r="L86" i="23"/>
  <c r="N86" i="23"/>
  <c r="O86" i="23"/>
  <c r="B86" i="23"/>
  <c r="P86" i="23"/>
  <c r="F86" i="23"/>
  <c r="H86" i="23"/>
  <c r="P68" i="23"/>
  <c r="P70" i="23" s="1"/>
  <c r="G86" i="23"/>
  <c r="D86" i="23"/>
  <c r="P72" i="23"/>
  <c r="P73" i="23"/>
  <c r="P74" i="23"/>
  <c r="P75" i="23"/>
  <c r="P76" i="23"/>
  <c r="P77" i="23"/>
  <c r="P78" i="23"/>
  <c r="P79" i="23"/>
  <c r="P80" i="23"/>
  <c r="P81" i="23"/>
  <c r="P82" i="23"/>
  <c r="P83" i="23"/>
  <c r="P84" i="23"/>
  <c r="Q10" i="21"/>
  <c r="R12" i="20"/>
  <c r="R10" i="21" s="1"/>
  <c r="S12" i="20"/>
  <c r="R63" i="20"/>
  <c r="Q61" i="21"/>
  <c r="Q22" i="18"/>
  <c r="P20" i="19"/>
  <c r="R23" i="20"/>
  <c r="Q21" i="21"/>
  <c r="Q51" i="23"/>
  <c r="R53" i="22"/>
  <c r="S44" i="21"/>
  <c r="T46" i="20"/>
  <c r="R61" i="22"/>
  <c r="Q59" i="23"/>
  <c r="P56" i="19"/>
  <c r="Q58" i="18"/>
  <c r="T60" i="20"/>
  <c r="S58" i="21"/>
  <c r="Q26" i="23"/>
  <c r="R28" i="22"/>
  <c r="P14" i="17"/>
  <c r="Q16" i="16"/>
  <c r="Q29" i="18"/>
  <c r="P27" i="19"/>
  <c r="Q29" i="16"/>
  <c r="P27" i="17"/>
  <c r="S3" i="17"/>
  <c r="T5" i="16"/>
  <c r="R6" i="22"/>
  <c r="Q4" i="23"/>
  <c r="Q48" i="16"/>
  <c r="P46" i="17"/>
  <c r="R57" i="16"/>
  <c r="R55" i="17" s="1"/>
  <c r="Q55" i="17"/>
  <c r="S57" i="16"/>
  <c r="S49" i="22"/>
  <c r="R47" i="23"/>
  <c r="O79" i="17"/>
  <c r="H85" i="17"/>
  <c r="R20" i="20"/>
  <c r="Q18" i="21"/>
  <c r="Q40" i="18"/>
  <c r="P38" i="19"/>
  <c r="P29" i="19"/>
  <c r="Q31" i="18"/>
  <c r="S34" i="20"/>
  <c r="R32" i="21"/>
  <c r="W55" i="23"/>
  <c r="X57" i="22"/>
  <c r="X55" i="23" s="1"/>
  <c r="Q47" i="16"/>
  <c r="P45" i="17"/>
  <c r="P31" i="19"/>
  <c r="Q33" i="18"/>
  <c r="S22" i="20"/>
  <c r="R20" i="21"/>
  <c r="R51" i="20"/>
  <c r="Q49" i="21"/>
  <c r="R55" i="20"/>
  <c r="Q53" i="21"/>
  <c r="S54" i="20"/>
  <c r="R52" i="21"/>
  <c r="Q56" i="16"/>
  <c r="P54" i="17"/>
  <c r="S49" i="19"/>
  <c r="T51" i="18"/>
  <c r="U39" i="19"/>
  <c r="V41" i="18"/>
  <c r="Q10" i="23"/>
  <c r="R12" i="22"/>
  <c r="R10" i="23" s="1"/>
  <c r="S12" i="22"/>
  <c r="Q14" i="19"/>
  <c r="R16" i="18"/>
  <c r="Q18" i="17"/>
  <c r="R20" i="16"/>
  <c r="U44" i="20"/>
  <c r="T42" i="21"/>
  <c r="X8" i="22"/>
  <c r="U6" i="23"/>
  <c r="V8" i="22"/>
  <c r="S45" i="20"/>
  <c r="R43" i="21"/>
  <c r="Q3" i="23"/>
  <c r="R5" i="22"/>
  <c r="Q50" i="17"/>
  <c r="R52" i="16"/>
  <c r="Q54" i="18"/>
  <c r="P52" i="19"/>
  <c r="AA67" i="16"/>
  <c r="AA65" i="17" s="1"/>
  <c r="Z65" i="17"/>
  <c r="Q46" i="18"/>
  <c r="P44" i="19"/>
  <c r="R16" i="20"/>
  <c r="Q14" i="21"/>
  <c r="R31" i="23"/>
  <c r="S33" i="22"/>
  <c r="Q38" i="17"/>
  <c r="R40" i="16"/>
  <c r="P30" i="17"/>
  <c r="Q32" i="16"/>
  <c r="S21" i="20"/>
  <c r="R19" i="21"/>
  <c r="O78" i="17"/>
  <c r="M85" i="17"/>
  <c r="K85" i="17"/>
  <c r="S39" i="21"/>
  <c r="U41" i="20"/>
  <c r="T41" i="20"/>
  <c r="Q14" i="18"/>
  <c r="P12" i="19"/>
  <c r="Q45" i="18"/>
  <c r="P43" i="19"/>
  <c r="T37" i="21"/>
  <c r="Q45" i="19"/>
  <c r="R47" i="18"/>
  <c r="Q41" i="19"/>
  <c r="R43" i="18"/>
  <c r="S42" i="23"/>
  <c r="T44" i="22"/>
  <c r="Q41" i="23"/>
  <c r="R43" i="22"/>
  <c r="P36" i="19"/>
  <c r="Q38" i="18"/>
  <c r="Q14" i="16"/>
  <c r="P12" i="17"/>
  <c r="S30" i="20"/>
  <c r="R28" i="21"/>
  <c r="S41" i="22"/>
  <c r="R39" i="23"/>
  <c r="P35" i="19"/>
  <c r="Q37" i="18"/>
  <c r="R36" i="22"/>
  <c r="Q34" i="23"/>
  <c r="S15" i="17"/>
  <c r="T17" i="16"/>
  <c r="R48" i="20"/>
  <c r="Q46" i="21"/>
  <c r="Q17" i="17"/>
  <c r="R19" i="16"/>
  <c r="R49" i="20"/>
  <c r="Q47" i="21"/>
  <c r="Q66" i="18"/>
  <c r="P64" i="19"/>
  <c r="R36" i="17"/>
  <c r="S38" i="16"/>
  <c r="R53" i="23"/>
  <c r="S55" i="22"/>
  <c r="S61" i="20"/>
  <c r="R59" i="21"/>
  <c r="S13" i="20"/>
  <c r="R11" i="21"/>
  <c r="R68" i="16"/>
  <c r="Q66" i="17"/>
  <c r="Q49" i="16"/>
  <c r="P47" i="17"/>
  <c r="U65" i="19"/>
  <c r="V67" i="18"/>
  <c r="R62" i="20"/>
  <c r="Q60" i="21"/>
  <c r="S19" i="17"/>
  <c r="T21" i="16"/>
  <c r="Q53" i="18"/>
  <c r="P51" i="19"/>
  <c r="R42" i="20"/>
  <c r="Q40" i="21"/>
  <c r="Q62" i="16"/>
  <c r="P60" i="17"/>
  <c r="Q31" i="17"/>
  <c r="R33" i="16"/>
  <c r="R52" i="20"/>
  <c r="Q50" i="21"/>
  <c r="O77" i="17"/>
  <c r="I85" i="17"/>
  <c r="S25" i="20"/>
  <c r="R23" i="21"/>
  <c r="P48" i="17"/>
  <c r="Q50" i="16"/>
  <c r="Q46" i="16"/>
  <c r="P44" i="17"/>
  <c r="Q19" i="19"/>
  <c r="R21" i="18"/>
  <c r="S46" i="22"/>
  <c r="R44" i="23"/>
  <c r="P4" i="19"/>
  <c r="Q6" i="18"/>
  <c r="R27" i="18"/>
  <c r="Q25" i="19"/>
  <c r="R19" i="20"/>
  <c r="Q17" i="21"/>
  <c r="R56" i="18"/>
  <c r="Q54" i="19"/>
  <c r="U38" i="20"/>
  <c r="T36" i="21"/>
  <c r="R63" i="22"/>
  <c r="Q61" i="23"/>
  <c r="S64" i="23"/>
  <c r="T66" i="22"/>
  <c r="R26" i="17"/>
  <c r="S28" i="16"/>
  <c r="R9" i="20"/>
  <c r="Q7" i="21"/>
  <c r="H86" i="21"/>
  <c r="P86" i="21"/>
  <c r="I86" i="21"/>
  <c r="J86" i="21"/>
  <c r="E86" i="21"/>
  <c r="M86" i="21"/>
  <c r="D86" i="21"/>
  <c r="P68" i="21"/>
  <c r="P70" i="21" s="1"/>
  <c r="F86" i="21"/>
  <c r="G86" i="21"/>
  <c r="B86" i="21"/>
  <c r="N86" i="21"/>
  <c r="C86" i="21"/>
  <c r="O86" i="21"/>
  <c r="K86" i="21"/>
  <c r="L86" i="21"/>
  <c r="P72" i="21"/>
  <c r="P73" i="21"/>
  <c r="P74" i="21"/>
  <c r="P75" i="21"/>
  <c r="P76" i="21"/>
  <c r="P77" i="21"/>
  <c r="P78" i="21"/>
  <c r="P79" i="21"/>
  <c r="P80" i="21"/>
  <c r="P81" i="21"/>
  <c r="P82" i="21"/>
  <c r="P83" i="21"/>
  <c r="P84" i="21"/>
  <c r="P28" i="19"/>
  <c r="Q30" i="18"/>
  <c r="R36" i="16"/>
  <c r="Q34" i="17"/>
  <c r="Q20" i="23"/>
  <c r="R22" i="22"/>
  <c r="P85" i="21"/>
  <c r="T39" i="16"/>
  <c r="S37" i="17"/>
  <c r="S17" i="22"/>
  <c r="R15" i="23"/>
  <c r="S39" i="17"/>
  <c r="T41" i="16"/>
  <c r="S14" i="22"/>
  <c r="R12" i="23"/>
  <c r="Q63" i="23"/>
  <c r="R65" i="22"/>
  <c r="Q13" i="16"/>
  <c r="P11" i="17"/>
  <c r="Q64" i="18"/>
  <c r="P62" i="19"/>
  <c r="Q58" i="23"/>
  <c r="R60" i="22"/>
  <c r="P21" i="19"/>
  <c r="Q23" i="18"/>
  <c r="Q24" i="18"/>
  <c r="P22" i="19"/>
  <c r="R58" i="20"/>
  <c r="Q56" i="21"/>
  <c r="R43" i="20"/>
  <c r="Q41" i="21"/>
  <c r="P56" i="17"/>
  <c r="Q58" i="16"/>
  <c r="R35" i="18"/>
  <c r="Q33" i="19"/>
  <c r="P52" i="17"/>
  <c r="Q54" i="16"/>
  <c r="R49" i="18"/>
  <c r="Q47" i="19"/>
  <c r="R56" i="20"/>
  <c r="Q54" i="21"/>
  <c r="C85" i="17"/>
  <c r="R35" i="22"/>
  <c r="Q33" i="23"/>
  <c r="P65" i="19"/>
  <c r="Q67" i="18"/>
  <c r="Q11" i="19"/>
  <c r="R13" i="18"/>
  <c r="O76" i="17"/>
  <c r="F85" i="17"/>
  <c r="O85" i="17"/>
  <c r="Q23" i="23"/>
  <c r="R25" i="22"/>
  <c r="R50" i="20"/>
  <c r="Q48" i="21"/>
  <c r="R21" i="23"/>
  <c r="S23" i="22"/>
  <c r="U39" i="22"/>
  <c r="S37" i="23"/>
  <c r="T39" i="22"/>
  <c r="T37" i="23" s="1"/>
  <c r="Q7" i="23"/>
  <c r="R9" i="22"/>
  <c r="Z55" i="21"/>
  <c r="AA57" i="20"/>
  <c r="AA55" i="21" s="1"/>
  <c r="Q66" i="23"/>
  <c r="R68" i="22"/>
  <c r="L85" i="19"/>
  <c r="I85" i="19"/>
  <c r="J85" i="19"/>
  <c r="H85" i="19"/>
  <c r="O78" i="19"/>
  <c r="O73" i="19"/>
  <c r="D85" i="19"/>
  <c r="O68" i="19"/>
  <c r="O70" i="19" s="1"/>
  <c r="O79" i="19"/>
  <c r="O80" i="19"/>
  <c r="F85" i="19"/>
  <c r="C85" i="19"/>
  <c r="O75" i="19"/>
  <c r="O76" i="19"/>
  <c r="E85" i="19"/>
  <c r="K85" i="19"/>
  <c r="O72" i="19"/>
  <c r="O74" i="19"/>
  <c r="O81" i="19"/>
  <c r="O85" i="19"/>
  <c r="N85" i="19"/>
  <c r="G85" i="19"/>
  <c r="O77" i="19"/>
  <c r="M85" i="19"/>
  <c r="B85" i="19"/>
  <c r="O82" i="19"/>
  <c r="O83" i="19"/>
  <c r="Q22" i="17"/>
  <c r="R24" i="16"/>
  <c r="U37" i="21"/>
  <c r="V39" i="20"/>
  <c r="T15" i="16"/>
  <c r="S13" i="17"/>
  <c r="R24" i="22"/>
  <c r="Q22" i="23"/>
  <c r="R9" i="23"/>
  <c r="S11" i="22"/>
  <c r="R33" i="17"/>
  <c r="S35" i="16"/>
  <c r="R52" i="18"/>
  <c r="Q50" i="19"/>
  <c r="R11" i="23"/>
  <c r="S13" i="22"/>
  <c r="R4" i="16"/>
  <c r="Q2" i="17"/>
  <c r="Q25" i="16"/>
  <c r="P23" i="17"/>
  <c r="P73" i="17" s="1"/>
  <c r="R49" i="23"/>
  <c r="S51" i="22"/>
  <c r="R4" i="20"/>
  <c r="Q2" i="21"/>
  <c r="R35" i="20"/>
  <c r="Q33" i="21"/>
  <c r="R27" i="22"/>
  <c r="Q25" i="23"/>
  <c r="P59" i="19"/>
  <c r="Q61" i="18"/>
  <c r="Q34" i="16"/>
  <c r="P32" i="17"/>
  <c r="S53" i="20"/>
  <c r="R51" i="21"/>
  <c r="R28" i="20"/>
  <c r="Q26" i="21"/>
  <c r="P68" i="17" l="1"/>
  <c r="P70" i="17" s="1"/>
  <c r="R55" i="18"/>
  <c r="Q53" i="19"/>
  <c r="Q34" i="19"/>
  <c r="R36" i="18"/>
  <c r="Q86" i="23"/>
  <c r="P85" i="19"/>
  <c r="S29" i="22"/>
  <c r="R27" i="23"/>
  <c r="Q63" i="19"/>
  <c r="R65" i="18"/>
  <c r="R35" i="17"/>
  <c r="S37" i="16"/>
  <c r="Q9" i="19"/>
  <c r="R11" i="18"/>
  <c r="Q7" i="19"/>
  <c r="R9" i="18"/>
  <c r="H86" i="17"/>
  <c r="S47" i="22"/>
  <c r="R45" i="23"/>
  <c r="R4" i="18"/>
  <c r="Q2" i="19"/>
  <c r="Q17" i="19"/>
  <c r="R19" i="18"/>
  <c r="P80" i="17"/>
  <c r="R60" i="18"/>
  <c r="Q58" i="19"/>
  <c r="S68" i="18"/>
  <c r="R66" i="19"/>
  <c r="Y39" i="18"/>
  <c r="X37" i="19"/>
  <c r="R28" i="23"/>
  <c r="S30" i="22"/>
  <c r="S34" i="18"/>
  <c r="R32" i="19"/>
  <c r="Q37" i="19"/>
  <c r="S39" i="18"/>
  <c r="R39" i="18"/>
  <c r="R37" i="19" s="1"/>
  <c r="R23" i="23"/>
  <c r="S25" i="22"/>
  <c r="R22" i="17"/>
  <c r="S24" i="16"/>
  <c r="P76" i="17"/>
  <c r="C86" i="17"/>
  <c r="P83" i="17"/>
  <c r="P75" i="17"/>
  <c r="F86" i="17"/>
  <c r="S22" i="22"/>
  <c r="R20" i="23"/>
  <c r="T19" i="17"/>
  <c r="U21" i="16"/>
  <c r="R41" i="23"/>
  <c r="S43" i="22"/>
  <c r="R38" i="17"/>
  <c r="S40" i="16"/>
  <c r="T54" i="20"/>
  <c r="S52" i="21"/>
  <c r="T49" i="22"/>
  <c r="S47" i="23"/>
  <c r="T3" i="17"/>
  <c r="U5" i="16"/>
  <c r="R26" i="23"/>
  <c r="S28" i="22"/>
  <c r="R13" i="23"/>
  <c r="S15" i="22"/>
  <c r="Q21" i="17"/>
  <c r="R23" i="16"/>
  <c r="S20" i="22"/>
  <c r="R18" i="23"/>
  <c r="U65" i="20"/>
  <c r="T63" i="21"/>
  <c r="Q48" i="19"/>
  <c r="R50" i="18"/>
  <c r="Q60" i="19"/>
  <c r="R62" i="18"/>
  <c r="S26" i="19"/>
  <c r="T28" i="18"/>
  <c r="S64" i="20"/>
  <c r="R62" i="21"/>
  <c r="U37" i="20"/>
  <c r="T35" i="21"/>
  <c r="S40" i="20"/>
  <c r="R38" i="21"/>
  <c r="T37" i="22"/>
  <c r="S35" i="23"/>
  <c r="S22" i="16"/>
  <c r="R20" i="17"/>
  <c r="T58" i="22"/>
  <c r="S56" i="23"/>
  <c r="U40" i="22"/>
  <c r="T38" i="23"/>
  <c r="R58" i="17"/>
  <c r="S60" i="16"/>
  <c r="S10" i="17"/>
  <c r="T12" i="16"/>
  <c r="R34" i="17"/>
  <c r="S36" i="16"/>
  <c r="R58" i="23"/>
  <c r="S60" i="22"/>
  <c r="S9" i="20"/>
  <c r="R7" i="21"/>
  <c r="R2" i="17"/>
  <c r="S4" i="16"/>
  <c r="S13" i="18"/>
  <c r="R11" i="19"/>
  <c r="S35" i="18"/>
  <c r="R33" i="19"/>
  <c r="T14" i="22"/>
  <c r="S12" i="23"/>
  <c r="T28" i="16"/>
  <c r="S26" i="17"/>
  <c r="R6" i="18"/>
  <c r="Q4" i="19"/>
  <c r="Q48" i="17"/>
  <c r="R50" i="16"/>
  <c r="S33" i="16"/>
  <c r="R31" i="17"/>
  <c r="S36" i="17"/>
  <c r="T38" i="16"/>
  <c r="T53" i="20"/>
  <c r="S51" i="21"/>
  <c r="G87" i="21"/>
  <c r="O87" i="21"/>
  <c r="H87" i="21"/>
  <c r="P87" i="21"/>
  <c r="I87" i="21"/>
  <c r="Q87" i="21"/>
  <c r="D87" i="21"/>
  <c r="L87" i="21"/>
  <c r="K87" i="21"/>
  <c r="M87" i="21"/>
  <c r="B87" i="21"/>
  <c r="Q68" i="21"/>
  <c r="Q70" i="21" s="1"/>
  <c r="N87" i="21"/>
  <c r="E87" i="21"/>
  <c r="C87" i="21"/>
  <c r="F87" i="21"/>
  <c r="J87" i="21"/>
  <c r="Q72" i="21"/>
  <c r="Q73" i="21"/>
  <c r="Q74" i="21"/>
  <c r="Q75" i="21"/>
  <c r="Q76" i="21"/>
  <c r="Q77" i="21"/>
  <c r="Q78" i="21"/>
  <c r="Q79" i="21"/>
  <c r="Q80" i="21"/>
  <c r="Q81" i="21"/>
  <c r="Q82" i="21"/>
  <c r="Q83" i="21"/>
  <c r="Q84" i="21"/>
  <c r="Q85" i="21"/>
  <c r="S11" i="23"/>
  <c r="T13" i="22"/>
  <c r="Q56" i="17"/>
  <c r="R58" i="16"/>
  <c r="P82" i="17"/>
  <c r="P74" i="17"/>
  <c r="M86" i="17"/>
  <c r="K86" i="17"/>
  <c r="V41" i="16"/>
  <c r="T39" i="17"/>
  <c r="U41" i="16"/>
  <c r="U39" i="17" s="1"/>
  <c r="Q86" i="21"/>
  <c r="V38" i="20"/>
  <c r="U36" i="21"/>
  <c r="S68" i="16"/>
  <c r="R66" i="17"/>
  <c r="S48" i="20"/>
  <c r="R46" i="21"/>
  <c r="T41" i="22"/>
  <c r="S39" i="23"/>
  <c r="R3" i="23"/>
  <c r="S5" i="22"/>
  <c r="V44" i="20"/>
  <c r="U42" i="21"/>
  <c r="W41" i="18"/>
  <c r="W39" i="19" s="1"/>
  <c r="V39" i="19"/>
  <c r="X41" i="18"/>
  <c r="T57" i="16"/>
  <c r="S55" i="17"/>
  <c r="Q20" i="19"/>
  <c r="R22" i="18"/>
  <c r="S7" i="18"/>
  <c r="R7" i="18"/>
  <c r="R5" i="19" s="1"/>
  <c r="Q5" i="19"/>
  <c r="R64" i="17"/>
  <c r="S66" i="16"/>
  <c r="V6" i="20"/>
  <c r="U4" i="21"/>
  <c r="Z7" i="20"/>
  <c r="Y5" i="21"/>
  <c r="S24" i="20"/>
  <c r="R22" i="21"/>
  <c r="S36" i="20"/>
  <c r="R34" i="21"/>
  <c r="Q43" i="17"/>
  <c r="R45" i="16"/>
  <c r="R52" i="23"/>
  <c r="S54" i="22"/>
  <c r="T36" i="23"/>
  <c r="U38" i="22"/>
  <c r="W67" i="22"/>
  <c r="V65" i="23"/>
  <c r="U7" i="22"/>
  <c r="T5" i="23"/>
  <c r="U14" i="20"/>
  <c r="T12" i="21"/>
  <c r="R5" i="18"/>
  <c r="Q3" i="19"/>
  <c r="S49" i="23"/>
  <c r="T51" i="22"/>
  <c r="S56" i="18"/>
  <c r="R54" i="19"/>
  <c r="R61" i="18"/>
  <c r="Q59" i="19"/>
  <c r="S21" i="23"/>
  <c r="T23" i="22"/>
  <c r="P84" i="17"/>
  <c r="E86" i="17"/>
  <c r="N86" i="17"/>
  <c r="S4" i="20"/>
  <c r="R2" i="21"/>
  <c r="R22" i="23"/>
  <c r="S24" i="22"/>
  <c r="R7" i="23"/>
  <c r="S9" i="22"/>
  <c r="S50" i="20"/>
  <c r="R48" i="21"/>
  <c r="R67" i="18"/>
  <c r="Q65" i="19"/>
  <c r="S56" i="20"/>
  <c r="R54" i="21"/>
  <c r="P81" i="17"/>
  <c r="P72" i="17"/>
  <c r="L86" i="17"/>
  <c r="B86" i="17"/>
  <c r="I86" i="17"/>
  <c r="Q62" i="19"/>
  <c r="R64" i="18"/>
  <c r="T64" i="23"/>
  <c r="U66" i="22"/>
  <c r="U17" i="16"/>
  <c r="U15" i="17" s="1"/>
  <c r="T15" i="17"/>
  <c r="V17" i="16"/>
  <c r="U44" i="22"/>
  <c r="T42" i="23"/>
  <c r="T33" i="22"/>
  <c r="S31" i="23"/>
  <c r="R46" i="18"/>
  <c r="Q44" i="19"/>
  <c r="S20" i="16"/>
  <c r="R18" i="17"/>
  <c r="S55" i="20"/>
  <c r="R53" i="21"/>
  <c r="R47" i="16"/>
  <c r="Q45" i="17"/>
  <c r="R40" i="18"/>
  <c r="Q38" i="19"/>
  <c r="U46" i="20"/>
  <c r="T44" i="21"/>
  <c r="T15" i="20"/>
  <c r="S13" i="21"/>
  <c r="Y10" i="19"/>
  <c r="AA12" i="18"/>
  <c r="AA10" i="19" s="1"/>
  <c r="Z12" i="18"/>
  <c r="Z10" i="19" s="1"/>
  <c r="T62" i="22"/>
  <c r="S60" i="23"/>
  <c r="S18" i="19"/>
  <c r="T20" i="18"/>
  <c r="S47" i="20"/>
  <c r="R45" i="21"/>
  <c r="R30" i="23"/>
  <c r="S32" i="22"/>
  <c r="T63" i="18"/>
  <c r="S61" i="19"/>
  <c r="K86" i="19"/>
  <c r="J86" i="19"/>
  <c r="F86" i="19"/>
  <c r="P78" i="19"/>
  <c r="P76" i="19"/>
  <c r="N86" i="19"/>
  <c r="H86" i="19"/>
  <c r="O86" i="19"/>
  <c r="P79" i="19"/>
  <c r="L86" i="19"/>
  <c r="G86" i="19"/>
  <c r="P82" i="19"/>
  <c r="P83" i="19"/>
  <c r="P86" i="19"/>
  <c r="P72" i="19"/>
  <c r="P80" i="19"/>
  <c r="D86" i="19"/>
  <c r="B86" i="19"/>
  <c r="P74" i="19"/>
  <c r="P81" i="19"/>
  <c r="P73" i="19"/>
  <c r="C86" i="19"/>
  <c r="M86" i="19"/>
  <c r="P77" i="19"/>
  <c r="E86" i="19"/>
  <c r="I86" i="19"/>
  <c r="P68" i="19"/>
  <c r="P70" i="19" s="1"/>
  <c r="P75" i="19"/>
  <c r="P84" i="19"/>
  <c r="T46" i="22"/>
  <c r="S44" i="23"/>
  <c r="T25" i="20"/>
  <c r="S23" i="21"/>
  <c r="Q60" i="17"/>
  <c r="R62" i="16"/>
  <c r="S62" i="20"/>
  <c r="R60" i="21"/>
  <c r="T13" i="20"/>
  <c r="S11" i="21"/>
  <c r="R66" i="18"/>
  <c r="Q64" i="19"/>
  <c r="T30" i="20"/>
  <c r="U30" i="20"/>
  <c r="U28" i="21" s="1"/>
  <c r="S28" i="21"/>
  <c r="Q43" i="19"/>
  <c r="R45" i="18"/>
  <c r="T49" i="19"/>
  <c r="U51" i="18"/>
  <c r="Q27" i="17"/>
  <c r="R29" i="16"/>
  <c r="U60" i="20"/>
  <c r="T58" i="21"/>
  <c r="S63" i="20"/>
  <c r="R61" i="21"/>
  <c r="Q13" i="19"/>
  <c r="R15" i="18"/>
  <c r="R32" i="23"/>
  <c r="S34" i="22"/>
  <c r="Q5" i="17"/>
  <c r="W7" i="16"/>
  <c r="R65" i="16"/>
  <c r="Q63" i="17"/>
  <c r="S68" i="20"/>
  <c r="R66" i="21"/>
  <c r="T7" i="16"/>
  <c r="S5" i="17"/>
  <c r="R29" i="23"/>
  <c r="S31" i="22"/>
  <c r="W57" i="18"/>
  <c r="W55" i="19" s="1"/>
  <c r="Y57" i="18"/>
  <c r="V55" i="19"/>
  <c r="X57" i="18"/>
  <c r="X55" i="19" s="1"/>
  <c r="T45" i="22"/>
  <c r="S43" i="23"/>
  <c r="T51" i="16"/>
  <c r="S49" i="17"/>
  <c r="Q7" i="17"/>
  <c r="R9" i="16"/>
  <c r="U5" i="20"/>
  <c r="T3" i="21"/>
  <c r="S43" i="16"/>
  <c r="R41" i="17"/>
  <c r="S49" i="18"/>
  <c r="R47" i="19"/>
  <c r="T17" i="22"/>
  <c r="T15" i="23" s="1"/>
  <c r="S15" i="23"/>
  <c r="U17" i="22"/>
  <c r="X67" i="18"/>
  <c r="V65" i="19"/>
  <c r="W67" i="18"/>
  <c r="W65" i="19" s="1"/>
  <c r="T45" i="20"/>
  <c r="S43" i="21"/>
  <c r="S51" i="20"/>
  <c r="R49" i="21"/>
  <c r="S20" i="20"/>
  <c r="R18" i="21"/>
  <c r="Q56" i="19"/>
  <c r="R58" i="18"/>
  <c r="R51" i="23"/>
  <c r="S53" i="22"/>
  <c r="S10" i="21"/>
  <c r="U12" i="20"/>
  <c r="T12" i="20"/>
  <c r="P85" i="17"/>
  <c r="S16" i="22"/>
  <c r="R14" i="23"/>
  <c r="S61" i="16"/>
  <c r="R59" i="17"/>
  <c r="Q40" i="19"/>
  <c r="R42" i="18"/>
  <c r="U17" i="18"/>
  <c r="T15" i="19"/>
  <c r="T29" i="20"/>
  <c r="S27" i="21"/>
  <c r="R50" i="23"/>
  <c r="S52" i="22"/>
  <c r="S11" i="16"/>
  <c r="R9" i="17"/>
  <c r="S6" i="16"/>
  <c r="R4" i="17"/>
  <c r="S64" i="22"/>
  <c r="R62" i="23"/>
  <c r="Q32" i="17"/>
  <c r="R34" i="16"/>
  <c r="R50" i="19"/>
  <c r="S52" i="18"/>
  <c r="U15" i="16"/>
  <c r="T13" i="17"/>
  <c r="Q22" i="19"/>
  <c r="R24" i="18"/>
  <c r="P79" i="17"/>
  <c r="D86" i="17"/>
  <c r="R13" i="16"/>
  <c r="Q11" i="17"/>
  <c r="S43" i="18"/>
  <c r="R41" i="19"/>
  <c r="S16" i="18"/>
  <c r="R14" i="19"/>
  <c r="S35" i="20"/>
  <c r="R33" i="21"/>
  <c r="S33" i="17"/>
  <c r="T35" i="16"/>
  <c r="V37" i="21"/>
  <c r="W39" i="20"/>
  <c r="W37" i="21" s="1"/>
  <c r="X39" i="20"/>
  <c r="R33" i="23"/>
  <c r="S35" i="22"/>
  <c r="Q52" i="17"/>
  <c r="R54" i="16"/>
  <c r="R23" i="18"/>
  <c r="Q21" i="19"/>
  <c r="P78" i="17"/>
  <c r="G86" i="17"/>
  <c r="J86" i="17"/>
  <c r="P86" i="17"/>
  <c r="R63" i="23"/>
  <c r="S65" i="22"/>
  <c r="S19" i="20"/>
  <c r="R17" i="21"/>
  <c r="S42" i="20"/>
  <c r="R40" i="21"/>
  <c r="T61" i="20"/>
  <c r="S59" i="21"/>
  <c r="S49" i="20"/>
  <c r="R47" i="21"/>
  <c r="S36" i="22"/>
  <c r="R34" i="23"/>
  <c r="Q12" i="17"/>
  <c r="R14" i="16"/>
  <c r="R14" i="18"/>
  <c r="Q12" i="19"/>
  <c r="T21" i="20"/>
  <c r="S19" i="21"/>
  <c r="S16" i="20"/>
  <c r="R14" i="21"/>
  <c r="V6" i="23"/>
  <c r="W8" i="22"/>
  <c r="W6" i="23" s="1"/>
  <c r="R48" i="16"/>
  <c r="Q46" i="17"/>
  <c r="Q27" i="19"/>
  <c r="R29" i="18"/>
  <c r="S48" i="18"/>
  <c r="R46" i="19"/>
  <c r="Z18" i="20"/>
  <c r="X16" i="21"/>
  <c r="T17" i="20"/>
  <c r="S15" i="21"/>
  <c r="S66" i="20"/>
  <c r="R64" i="21"/>
  <c r="V53" i="16"/>
  <c r="T51" i="17"/>
  <c r="U53" i="16"/>
  <c r="U51" i="17" s="1"/>
  <c r="S63" i="16"/>
  <c r="R61" i="17"/>
  <c r="S32" i="20"/>
  <c r="R30" i="21"/>
  <c r="V44" i="18"/>
  <c r="U42" i="19"/>
  <c r="S43" i="20"/>
  <c r="R41" i="21"/>
  <c r="Q28" i="19"/>
  <c r="R30" i="18"/>
  <c r="R28" i="19" s="1"/>
  <c r="S30" i="18"/>
  <c r="R19" i="19"/>
  <c r="S21" i="18"/>
  <c r="R25" i="16"/>
  <c r="Q23" i="17"/>
  <c r="R66" i="23"/>
  <c r="S68" i="22"/>
  <c r="V39" i="22"/>
  <c r="U37" i="23"/>
  <c r="X39" i="22"/>
  <c r="S58" i="20"/>
  <c r="R56" i="21"/>
  <c r="P77" i="17"/>
  <c r="O86" i="17"/>
  <c r="T37" i="17"/>
  <c r="U39" i="16"/>
  <c r="U37" i="17" s="1"/>
  <c r="V39" i="16"/>
  <c r="S53" i="23"/>
  <c r="T55" i="22"/>
  <c r="R17" i="17"/>
  <c r="S19" i="16"/>
  <c r="R37" i="18"/>
  <c r="Q35" i="19"/>
  <c r="R38" i="18"/>
  <c r="Q36" i="19"/>
  <c r="S47" i="18"/>
  <c r="R45" i="19"/>
  <c r="T39" i="21"/>
  <c r="R32" i="16"/>
  <c r="Q30" i="17"/>
  <c r="R54" i="18"/>
  <c r="Q52" i="19"/>
  <c r="T12" i="22"/>
  <c r="S10" i="23"/>
  <c r="R56" i="16"/>
  <c r="Q54" i="17"/>
  <c r="T22" i="20"/>
  <c r="S20" i="21"/>
  <c r="T34" i="20"/>
  <c r="S32" i="21"/>
  <c r="R16" i="16"/>
  <c r="Q14" i="17"/>
  <c r="T11" i="20"/>
  <c r="S9" i="21"/>
  <c r="Z27" i="20"/>
  <c r="Y25" i="21"/>
  <c r="T33" i="20"/>
  <c r="S31" i="21"/>
  <c r="R46" i="23"/>
  <c r="S48" i="22"/>
  <c r="U21" i="22"/>
  <c r="T19" i="23"/>
  <c r="I87" i="23"/>
  <c r="Q87" i="23"/>
  <c r="J87" i="23"/>
  <c r="D87" i="23"/>
  <c r="L87" i="23"/>
  <c r="K87" i="23"/>
  <c r="Q68" i="23"/>
  <c r="Q70" i="23" s="1"/>
  <c r="M87" i="23"/>
  <c r="N87" i="23"/>
  <c r="B87" i="23"/>
  <c r="C87" i="23"/>
  <c r="O87" i="23"/>
  <c r="P87" i="23"/>
  <c r="F87" i="23"/>
  <c r="G87" i="23"/>
  <c r="H87" i="23"/>
  <c r="E87" i="23"/>
  <c r="Q72" i="23"/>
  <c r="Q73" i="23"/>
  <c r="Q74" i="23"/>
  <c r="Q75" i="23"/>
  <c r="Q76" i="23"/>
  <c r="Q77" i="23"/>
  <c r="Q78" i="23"/>
  <c r="Q79" i="23"/>
  <c r="Q80" i="23"/>
  <c r="Q81" i="23"/>
  <c r="Q82" i="23"/>
  <c r="Q83" i="23"/>
  <c r="Q84" i="23"/>
  <c r="Q85" i="23"/>
  <c r="T56" i="22"/>
  <c r="S54" i="23"/>
  <c r="Q28" i="17"/>
  <c r="S30" i="16"/>
  <c r="R30" i="16"/>
  <c r="R28" i="17" s="1"/>
  <c r="T25" i="18"/>
  <c r="S23" i="19"/>
  <c r="S42" i="16"/>
  <c r="R40" i="17"/>
  <c r="U31" i="20"/>
  <c r="T29" i="21"/>
  <c r="R25" i="23"/>
  <c r="S27" i="22"/>
  <c r="S28" i="20"/>
  <c r="R26" i="21"/>
  <c r="T11" i="22"/>
  <c r="S9" i="23"/>
  <c r="R61" i="23"/>
  <c r="S63" i="22"/>
  <c r="S27" i="18"/>
  <c r="R25" i="19"/>
  <c r="Q44" i="17"/>
  <c r="R46" i="16"/>
  <c r="S52" i="20"/>
  <c r="R50" i="21"/>
  <c r="R53" i="18"/>
  <c r="Q51" i="19"/>
  <c r="R49" i="16"/>
  <c r="Q47" i="17"/>
  <c r="U39" i="21"/>
  <c r="V41" i="20"/>
  <c r="R50" i="17"/>
  <c r="S52" i="16"/>
  <c r="X6" i="23"/>
  <c r="Y8" i="22"/>
  <c r="Q31" i="19"/>
  <c r="R33" i="18"/>
  <c r="Q29" i="19"/>
  <c r="R31" i="18"/>
  <c r="S6" i="22"/>
  <c r="R4" i="23"/>
  <c r="S61" i="22"/>
  <c r="R59" i="23"/>
  <c r="S23" i="20"/>
  <c r="R21" i="21"/>
  <c r="R2" i="23"/>
  <c r="S4" i="22"/>
  <c r="Q30" i="19"/>
  <c r="R32" i="18"/>
  <c r="R55" i="16"/>
  <c r="Q53" i="17"/>
  <c r="S50" i="22"/>
  <c r="R48" i="23"/>
  <c r="S27" i="20"/>
  <c r="R25" i="21"/>
  <c r="T19" i="22"/>
  <c r="S17" i="23"/>
  <c r="T64" i="16"/>
  <c r="S62" i="17"/>
  <c r="T31" i="16"/>
  <c r="S29" i="17"/>
  <c r="S42" i="22"/>
  <c r="R40" i="23"/>
  <c r="R25" i="17"/>
  <c r="S27" i="16"/>
  <c r="R87" i="23" l="1"/>
  <c r="S19" i="18"/>
  <c r="R17" i="19"/>
  <c r="T29" i="22"/>
  <c r="S27" i="23"/>
  <c r="G87" i="17"/>
  <c r="R9" i="19"/>
  <c r="S11" i="18"/>
  <c r="AA39" i="18"/>
  <c r="AA37" i="19" s="1"/>
  <c r="Y37" i="19"/>
  <c r="Z39" i="18"/>
  <c r="Z37" i="19" s="1"/>
  <c r="T39" i="18"/>
  <c r="S37" i="19"/>
  <c r="S4" i="18"/>
  <c r="R2" i="19"/>
  <c r="S35" i="17"/>
  <c r="T37" i="16"/>
  <c r="S36" i="18"/>
  <c r="R34" i="19"/>
  <c r="T68" i="18"/>
  <c r="S66" i="19"/>
  <c r="R87" i="21"/>
  <c r="T47" i="22"/>
  <c r="S45" i="23"/>
  <c r="R63" i="19"/>
  <c r="S65" i="18"/>
  <c r="T34" i="18"/>
  <c r="S32" i="19"/>
  <c r="S60" i="18"/>
  <c r="R58" i="19"/>
  <c r="S55" i="18"/>
  <c r="R53" i="19"/>
  <c r="Q86" i="19"/>
  <c r="S28" i="23"/>
  <c r="T30" i="22"/>
  <c r="R7" i="19"/>
  <c r="S9" i="18"/>
  <c r="S46" i="23"/>
  <c r="T48" i="22"/>
  <c r="S55" i="16"/>
  <c r="R53" i="17"/>
  <c r="S16" i="16"/>
  <c r="R14" i="17"/>
  <c r="S32" i="18"/>
  <c r="R30" i="19"/>
  <c r="V31" i="20"/>
  <c r="U29" i="21"/>
  <c r="R36" i="19"/>
  <c r="S38" i="18"/>
  <c r="AA18" i="20"/>
  <c r="AA16" i="21" s="1"/>
  <c r="Z16" i="21"/>
  <c r="X65" i="19"/>
  <c r="Y67" i="18"/>
  <c r="T4" i="22"/>
  <c r="S2" i="23"/>
  <c r="T52" i="16"/>
  <c r="S50" i="17"/>
  <c r="U56" i="22"/>
  <c r="T54" i="23"/>
  <c r="W39" i="22"/>
  <c r="W37" i="23" s="1"/>
  <c r="V37" i="23"/>
  <c r="S41" i="19"/>
  <c r="T43" i="18"/>
  <c r="V15" i="16"/>
  <c r="U13" i="17"/>
  <c r="S4" i="17"/>
  <c r="T6" i="16"/>
  <c r="X12" i="20"/>
  <c r="T10" i="21"/>
  <c r="T20" i="20"/>
  <c r="S18" i="21"/>
  <c r="S41" i="17"/>
  <c r="T43" i="16"/>
  <c r="U45" i="22"/>
  <c r="T43" i="23"/>
  <c r="U7" i="16"/>
  <c r="U5" i="17" s="1"/>
  <c r="T5" i="17"/>
  <c r="V7" i="16"/>
  <c r="V5" i="17" s="1"/>
  <c r="T50" i="20"/>
  <c r="S48" i="21"/>
  <c r="T49" i="23"/>
  <c r="U51" i="22"/>
  <c r="S64" i="17"/>
  <c r="T66" i="16"/>
  <c r="S3" i="23"/>
  <c r="T5" i="22"/>
  <c r="T11" i="23"/>
  <c r="U13" i="22"/>
  <c r="T26" i="17"/>
  <c r="U28" i="16"/>
  <c r="S11" i="19"/>
  <c r="T13" i="18"/>
  <c r="Q84" i="17"/>
  <c r="Q76" i="17"/>
  <c r="B87" i="17"/>
  <c r="U37" i="22"/>
  <c r="T35" i="23"/>
  <c r="S18" i="23"/>
  <c r="T20" i="22"/>
  <c r="T27" i="22"/>
  <c r="S25" i="23"/>
  <c r="S25" i="19"/>
  <c r="W27" i="18"/>
  <c r="T27" i="18"/>
  <c r="T10" i="23"/>
  <c r="U12" i="22"/>
  <c r="R51" i="19"/>
  <c r="S53" i="18"/>
  <c r="U34" i="20"/>
  <c r="T32" i="21"/>
  <c r="R52" i="19"/>
  <c r="S54" i="18"/>
  <c r="T50" i="22"/>
  <c r="S48" i="23"/>
  <c r="E88" i="23"/>
  <c r="M88" i="23"/>
  <c r="F88" i="23"/>
  <c r="N88" i="23"/>
  <c r="B88" i="23"/>
  <c r="R68" i="23"/>
  <c r="R70" i="23" s="1"/>
  <c r="G88" i="23"/>
  <c r="O88" i="23"/>
  <c r="H88" i="23"/>
  <c r="P88" i="23"/>
  <c r="I88" i="23"/>
  <c r="J88" i="23"/>
  <c r="K88" i="23"/>
  <c r="R88" i="23"/>
  <c r="D88" i="23"/>
  <c r="C88" i="23"/>
  <c r="L88" i="23"/>
  <c r="Q88" i="23"/>
  <c r="R72" i="23"/>
  <c r="R73" i="23"/>
  <c r="R74" i="23"/>
  <c r="R75" i="23"/>
  <c r="R76" i="23"/>
  <c r="R77" i="23"/>
  <c r="R78" i="23"/>
  <c r="R79" i="23"/>
  <c r="R80" i="23"/>
  <c r="R81" i="23"/>
  <c r="R82" i="23"/>
  <c r="R83" i="23"/>
  <c r="R84" i="23"/>
  <c r="R85" i="23"/>
  <c r="R86" i="23"/>
  <c r="T6" i="22"/>
  <c r="S4" i="23"/>
  <c r="U11" i="22"/>
  <c r="T9" i="23"/>
  <c r="AA27" i="20"/>
  <c r="AA25" i="21" s="1"/>
  <c r="Z25" i="21"/>
  <c r="U22" i="20"/>
  <c r="T20" i="21"/>
  <c r="S32" i="16"/>
  <c r="R30" i="17"/>
  <c r="T68" i="22"/>
  <c r="S66" i="23"/>
  <c r="V42" i="19"/>
  <c r="X44" i="18"/>
  <c r="X42" i="19" s="1"/>
  <c r="Y44" i="18"/>
  <c r="W44" i="18"/>
  <c r="W42" i="19" s="1"/>
  <c r="W53" i="16"/>
  <c r="V51" i="17"/>
  <c r="T48" i="18"/>
  <c r="S46" i="19"/>
  <c r="T16" i="20"/>
  <c r="S14" i="21"/>
  <c r="T36" i="22"/>
  <c r="S34" i="23"/>
  <c r="T19" i="20"/>
  <c r="S17" i="21"/>
  <c r="S23" i="18"/>
  <c r="R21" i="19"/>
  <c r="U35" i="16"/>
  <c r="T33" i="17"/>
  <c r="T52" i="18"/>
  <c r="S50" i="19"/>
  <c r="U10" i="21"/>
  <c r="V12" i="20"/>
  <c r="V10" i="21" s="1"/>
  <c r="R13" i="19"/>
  <c r="S15" i="18"/>
  <c r="V51" i="18"/>
  <c r="U49" i="19"/>
  <c r="R64" i="19"/>
  <c r="S66" i="18"/>
  <c r="U25" i="20"/>
  <c r="T23" i="21"/>
  <c r="R38" i="19"/>
  <c r="S40" i="18"/>
  <c r="R44" i="19"/>
  <c r="S46" i="18"/>
  <c r="S7" i="23"/>
  <c r="T9" i="22"/>
  <c r="X67" i="22"/>
  <c r="W65" i="23"/>
  <c r="T36" i="20"/>
  <c r="S34" i="21"/>
  <c r="W38" i="20"/>
  <c r="V36" i="21"/>
  <c r="T4" i="16"/>
  <c r="S2" i="17"/>
  <c r="Q83" i="17"/>
  <c r="Q75" i="17"/>
  <c r="M87" i="17"/>
  <c r="R60" i="19"/>
  <c r="S62" i="18"/>
  <c r="S23" i="16"/>
  <c r="R21" i="17"/>
  <c r="U19" i="17"/>
  <c r="V21" i="16"/>
  <c r="T62" i="17"/>
  <c r="U64" i="16"/>
  <c r="T17" i="23"/>
  <c r="U19" i="22"/>
  <c r="S28" i="17"/>
  <c r="T30" i="16"/>
  <c r="T27" i="20"/>
  <c r="S25" i="21"/>
  <c r="T29" i="17"/>
  <c r="U31" i="16"/>
  <c r="T52" i="20"/>
  <c r="S50" i="21"/>
  <c r="S40" i="17"/>
  <c r="T42" i="16"/>
  <c r="R35" i="19"/>
  <c r="S37" i="18"/>
  <c r="R29" i="19"/>
  <c r="S31" i="18"/>
  <c r="Z41" i="20"/>
  <c r="W41" i="20"/>
  <c r="W39" i="21" s="1"/>
  <c r="V39" i="21"/>
  <c r="X41" i="20"/>
  <c r="R44" i="17"/>
  <c r="S46" i="16"/>
  <c r="S17" i="17"/>
  <c r="T19" i="16"/>
  <c r="S29" i="18"/>
  <c r="R27" i="19"/>
  <c r="S63" i="23"/>
  <c r="T65" i="22"/>
  <c r="R52" i="17"/>
  <c r="S54" i="16"/>
  <c r="R11" i="17"/>
  <c r="S13" i="16"/>
  <c r="U29" i="20"/>
  <c r="T27" i="21"/>
  <c r="S59" i="17"/>
  <c r="T61" i="16"/>
  <c r="T51" i="20"/>
  <c r="S49" i="21"/>
  <c r="V17" i="22"/>
  <c r="U15" i="23"/>
  <c r="V5" i="20"/>
  <c r="U3" i="21"/>
  <c r="T68" i="20"/>
  <c r="S66" i="21"/>
  <c r="T47" i="20"/>
  <c r="S45" i="21"/>
  <c r="U64" i="23"/>
  <c r="V66" i="22"/>
  <c r="T21" i="23"/>
  <c r="U23" i="22"/>
  <c r="D87" i="19"/>
  <c r="Q87" i="19"/>
  <c r="Q76" i="19"/>
  <c r="J87" i="19"/>
  <c r="L87" i="19"/>
  <c r="H87" i="19"/>
  <c r="Q68" i="19"/>
  <c r="Q70" i="19" s="1"/>
  <c r="Q77" i="19"/>
  <c r="M87" i="19"/>
  <c r="Q78" i="19"/>
  <c r="G87" i="19"/>
  <c r="I87" i="19"/>
  <c r="Q79" i="19"/>
  <c r="C87" i="19"/>
  <c r="O87" i="19"/>
  <c r="E87" i="19"/>
  <c r="Q72" i="19"/>
  <c r="Q80" i="19"/>
  <c r="K87" i="19"/>
  <c r="Q74" i="19"/>
  <c r="Q81" i="19"/>
  <c r="N87" i="19"/>
  <c r="F87" i="19"/>
  <c r="Q73" i="19"/>
  <c r="Q82" i="19"/>
  <c r="P87" i="19"/>
  <c r="B87" i="19"/>
  <c r="Q75" i="19"/>
  <c r="Q83" i="19"/>
  <c r="Q84" i="19"/>
  <c r="Q85" i="19"/>
  <c r="U36" i="23"/>
  <c r="V38" i="22"/>
  <c r="U57" i="16"/>
  <c r="U55" i="17" s="1"/>
  <c r="V57" i="16"/>
  <c r="T55" i="17"/>
  <c r="S31" i="17"/>
  <c r="T33" i="16"/>
  <c r="U14" i="22"/>
  <c r="T12" i="23"/>
  <c r="Q82" i="17"/>
  <c r="Q74" i="17"/>
  <c r="N87" i="17"/>
  <c r="E87" i="17"/>
  <c r="P87" i="17"/>
  <c r="U38" i="23"/>
  <c r="V40" i="22"/>
  <c r="T40" i="20"/>
  <c r="S38" i="21"/>
  <c r="T47" i="23"/>
  <c r="U49" i="22"/>
  <c r="T23" i="19"/>
  <c r="U25" i="18"/>
  <c r="V21" i="22"/>
  <c r="U19" i="23"/>
  <c r="U11" i="20"/>
  <c r="T9" i="21"/>
  <c r="S56" i="16"/>
  <c r="R54" i="17"/>
  <c r="T43" i="20"/>
  <c r="S41" i="21"/>
  <c r="T66" i="20"/>
  <c r="S64" i="21"/>
  <c r="U21" i="20"/>
  <c r="T19" i="21"/>
  <c r="T49" i="20"/>
  <c r="S47" i="21"/>
  <c r="S34" i="16"/>
  <c r="R32" i="17"/>
  <c r="S51" i="23"/>
  <c r="T53" i="22"/>
  <c r="S9" i="16"/>
  <c r="R7" i="17"/>
  <c r="Y55" i="19"/>
  <c r="AA57" i="18"/>
  <c r="AA55" i="19" s="1"/>
  <c r="Z57" i="18"/>
  <c r="Z55" i="19" s="1"/>
  <c r="S45" i="18"/>
  <c r="R43" i="19"/>
  <c r="U13" i="20"/>
  <c r="T11" i="21"/>
  <c r="U46" i="22"/>
  <c r="T44" i="23"/>
  <c r="U20" i="18"/>
  <c r="T18" i="19"/>
  <c r="R45" i="17"/>
  <c r="S47" i="16"/>
  <c r="U33" i="22"/>
  <c r="T31" i="23"/>
  <c r="T24" i="22"/>
  <c r="S22" i="23"/>
  <c r="S5" i="18"/>
  <c r="R3" i="19"/>
  <c r="T24" i="20"/>
  <c r="S22" i="21"/>
  <c r="X39" i="19"/>
  <c r="Y41" i="18"/>
  <c r="U41" i="22"/>
  <c r="T39" i="23"/>
  <c r="R48" i="17"/>
  <c r="S50" i="16"/>
  <c r="Q81" i="17"/>
  <c r="Q73" i="17"/>
  <c r="F87" i="17"/>
  <c r="J87" i="17"/>
  <c r="H87" i="17"/>
  <c r="T36" i="16"/>
  <c r="S34" i="17"/>
  <c r="R48" i="19"/>
  <c r="S50" i="18"/>
  <c r="T15" i="22"/>
  <c r="S13" i="23"/>
  <c r="T27" i="16"/>
  <c r="S25" i="17"/>
  <c r="T53" i="23"/>
  <c r="U55" i="22"/>
  <c r="S25" i="16"/>
  <c r="R23" i="17"/>
  <c r="T32" i="20"/>
  <c r="S30" i="21"/>
  <c r="S33" i="23"/>
  <c r="T35" i="22"/>
  <c r="T35" i="20"/>
  <c r="S33" i="21"/>
  <c r="S9" i="17"/>
  <c r="T11" i="16"/>
  <c r="V17" i="18"/>
  <c r="U15" i="19"/>
  <c r="S14" i="23"/>
  <c r="T16" i="22"/>
  <c r="U45" i="20"/>
  <c r="T43" i="21"/>
  <c r="S65" i="16"/>
  <c r="R63" i="17"/>
  <c r="T63" i="20"/>
  <c r="S61" i="21"/>
  <c r="U63" i="18"/>
  <c r="T61" i="19"/>
  <c r="S64" i="18"/>
  <c r="R62" i="19"/>
  <c r="T56" i="20"/>
  <c r="S54" i="21"/>
  <c r="S52" i="23"/>
  <c r="T54" i="22"/>
  <c r="T7" i="18"/>
  <c r="W7" i="18"/>
  <c r="W5" i="19" s="1"/>
  <c r="S5" i="19"/>
  <c r="S33" i="19"/>
  <c r="T35" i="18"/>
  <c r="T9" i="20"/>
  <c r="S7" i="21"/>
  <c r="Q80" i="17"/>
  <c r="Q72" i="17"/>
  <c r="C87" i="17"/>
  <c r="T56" i="23"/>
  <c r="U58" i="22"/>
  <c r="V37" i="20"/>
  <c r="U35" i="21"/>
  <c r="U54" i="20"/>
  <c r="T52" i="21"/>
  <c r="S20" i="23"/>
  <c r="T22" i="22"/>
  <c r="S22" i="17"/>
  <c r="T24" i="16"/>
  <c r="S45" i="19"/>
  <c r="T47" i="18"/>
  <c r="T58" i="20"/>
  <c r="S56" i="21"/>
  <c r="S19" i="19"/>
  <c r="T21" i="18"/>
  <c r="U17" i="20"/>
  <c r="T15" i="21"/>
  <c r="R46" i="17"/>
  <c r="S48" i="16"/>
  <c r="R12" i="19"/>
  <c r="S14" i="18"/>
  <c r="U61" i="20"/>
  <c r="T59" i="21"/>
  <c r="R22" i="19"/>
  <c r="S24" i="18"/>
  <c r="S50" i="23"/>
  <c r="T52" i="22"/>
  <c r="R40" i="19"/>
  <c r="S42" i="18"/>
  <c r="R56" i="19"/>
  <c r="S58" i="18"/>
  <c r="S29" i="23"/>
  <c r="T31" i="22"/>
  <c r="W5" i="17"/>
  <c r="X7" i="16"/>
  <c r="T62" i="20"/>
  <c r="S60" i="21"/>
  <c r="U15" i="20"/>
  <c r="T13" i="21"/>
  <c r="T55" i="20"/>
  <c r="S53" i="21"/>
  <c r="V44" i="22"/>
  <c r="U42" i="23"/>
  <c r="F88" i="21"/>
  <c r="N88" i="21"/>
  <c r="G88" i="21"/>
  <c r="O88" i="21"/>
  <c r="H88" i="21"/>
  <c r="P88" i="21"/>
  <c r="C88" i="21"/>
  <c r="K88" i="21"/>
  <c r="R88" i="21"/>
  <c r="B88" i="21"/>
  <c r="D88" i="21"/>
  <c r="E88" i="21"/>
  <c r="R68" i="21"/>
  <c r="R70" i="21" s="1"/>
  <c r="L88" i="21"/>
  <c r="J88" i="21"/>
  <c r="M88" i="21"/>
  <c r="Q88" i="21"/>
  <c r="I88" i="21"/>
  <c r="R72" i="21"/>
  <c r="R73" i="21"/>
  <c r="R74" i="21"/>
  <c r="R75" i="21"/>
  <c r="R76" i="21"/>
  <c r="R77" i="21"/>
  <c r="R78" i="21"/>
  <c r="R79" i="21"/>
  <c r="R80" i="21"/>
  <c r="R81" i="21"/>
  <c r="R82" i="21"/>
  <c r="R83" i="21"/>
  <c r="R84" i="21"/>
  <c r="R85" i="21"/>
  <c r="R86" i="21"/>
  <c r="S61" i="18"/>
  <c r="R59" i="19"/>
  <c r="V14" i="20"/>
  <c r="U12" i="21"/>
  <c r="AA7" i="20"/>
  <c r="AA5" i="21" s="1"/>
  <c r="Z5" i="21"/>
  <c r="R20" i="19"/>
  <c r="S22" i="18"/>
  <c r="T48" i="20"/>
  <c r="S46" i="21"/>
  <c r="V39" i="17"/>
  <c r="W41" i="16"/>
  <c r="S58" i="23"/>
  <c r="T60" i="22"/>
  <c r="Q79" i="17"/>
  <c r="L87" i="17"/>
  <c r="Q68" i="17"/>
  <c r="Q70" i="17" s="1"/>
  <c r="Q87" i="17"/>
  <c r="V12" i="16"/>
  <c r="V10" i="17" s="1"/>
  <c r="T10" i="17"/>
  <c r="W12" i="16"/>
  <c r="W10" i="17" s="1"/>
  <c r="U12" i="16"/>
  <c r="U10" i="17" s="1"/>
  <c r="S26" i="23"/>
  <c r="T28" i="22"/>
  <c r="T40" i="16"/>
  <c r="S38" i="17"/>
  <c r="T28" i="20"/>
  <c r="S26" i="21"/>
  <c r="T23" i="20"/>
  <c r="S21" i="21"/>
  <c r="S49" i="16"/>
  <c r="R47" i="17"/>
  <c r="Z8" i="22"/>
  <c r="Y6" i="23"/>
  <c r="X37" i="23"/>
  <c r="Y39" i="22"/>
  <c r="T63" i="16"/>
  <c r="S61" i="17"/>
  <c r="S14" i="16"/>
  <c r="R12" i="17"/>
  <c r="X37" i="21"/>
  <c r="Y39" i="20"/>
  <c r="T16" i="18"/>
  <c r="S14" i="19"/>
  <c r="T64" i="22"/>
  <c r="S62" i="23"/>
  <c r="S47" i="19"/>
  <c r="T49" i="18"/>
  <c r="U51" i="16"/>
  <c r="T49" i="17"/>
  <c r="V60" i="20"/>
  <c r="U58" i="21"/>
  <c r="R60" i="17"/>
  <c r="S62" i="16"/>
  <c r="T60" i="23"/>
  <c r="U62" i="22"/>
  <c r="W17" i="16"/>
  <c r="V15" i="17"/>
  <c r="R65" i="19"/>
  <c r="S67" i="18"/>
  <c r="T4" i="20"/>
  <c r="S2" i="21"/>
  <c r="S45" i="16"/>
  <c r="R43" i="17"/>
  <c r="S58" i="16"/>
  <c r="R56" i="17"/>
  <c r="U53" i="20"/>
  <c r="T51" i="21"/>
  <c r="R4" i="19"/>
  <c r="S6" i="18"/>
  <c r="Q78" i="17"/>
  <c r="I87" i="17"/>
  <c r="O87" i="17"/>
  <c r="S20" i="17"/>
  <c r="T22" i="16"/>
  <c r="T64" i="20"/>
  <c r="S62" i="21"/>
  <c r="V65" i="20"/>
  <c r="U63" i="21"/>
  <c r="S23" i="23"/>
  <c r="T25" i="22"/>
  <c r="R31" i="19"/>
  <c r="S33" i="18"/>
  <c r="S61" i="23"/>
  <c r="T63" i="22"/>
  <c r="V37" i="17"/>
  <c r="W39" i="16"/>
  <c r="S40" i="23"/>
  <c r="T42" i="22"/>
  <c r="S59" i="23"/>
  <c r="T61" i="22"/>
  <c r="U33" i="20"/>
  <c r="T31" i="21"/>
  <c r="T30" i="18"/>
  <c r="S28" i="19"/>
  <c r="T42" i="20"/>
  <c r="S40" i="21"/>
  <c r="T34" i="22"/>
  <c r="S32" i="23"/>
  <c r="R27" i="17"/>
  <c r="S29" i="16"/>
  <c r="T28" i="21"/>
  <c r="V30" i="20"/>
  <c r="S30" i="23"/>
  <c r="T32" i="22"/>
  <c r="V46" i="20"/>
  <c r="U44" i="21"/>
  <c r="T20" i="16"/>
  <c r="S18" i="17"/>
  <c r="S54" i="19"/>
  <c r="T56" i="18"/>
  <c r="U5" i="23"/>
  <c r="W7" i="22"/>
  <c r="W5" i="23" s="1"/>
  <c r="V7" i="22"/>
  <c r="V5" i="23" s="1"/>
  <c r="W6" i="20"/>
  <c r="V4" i="21"/>
  <c r="V42" i="21"/>
  <c r="Y44" i="20"/>
  <c r="Y42" i="21" s="1"/>
  <c r="W44" i="20"/>
  <c r="W42" i="21" s="1"/>
  <c r="X44" i="20"/>
  <c r="X42" i="21" s="1"/>
  <c r="S66" i="17"/>
  <c r="T68" i="16"/>
  <c r="Q86" i="17"/>
  <c r="T36" i="17"/>
  <c r="U38" i="16"/>
  <c r="Q85" i="17"/>
  <c r="Q77" i="17"/>
  <c r="K87" i="17"/>
  <c r="D87" i="17"/>
  <c r="S58" i="17"/>
  <c r="T60" i="16"/>
  <c r="T26" i="19"/>
  <c r="U28" i="18"/>
  <c r="U3" i="17"/>
  <c r="V5" i="16"/>
  <c r="S41" i="23"/>
  <c r="T43" i="22"/>
  <c r="BF18" i="5"/>
  <c r="BF17" i="6" s="1"/>
  <c r="BD18" i="5"/>
  <c r="BD17" i="6" s="1"/>
  <c r="BD10" i="5"/>
  <c r="BD9" i="6" s="1"/>
  <c r="BD54" i="5"/>
  <c r="BD53" i="6" s="1"/>
  <c r="BC10" i="5"/>
  <c r="BC9" i="6" s="1"/>
  <c r="BA10" i="5"/>
  <c r="BA9" i="6" s="1"/>
  <c r="BA54" i="5"/>
  <c r="BA53" i="6" s="1"/>
  <c r="AY10" i="5"/>
  <c r="AY9" i="6" s="1"/>
  <c r="AW10" i="5"/>
  <c r="AW9" i="6" s="1"/>
  <c r="AW18" i="5"/>
  <c r="AW17" i="6" s="1"/>
  <c r="AW54" i="5"/>
  <c r="AW53" i="6" s="1"/>
  <c r="AV8" i="5"/>
  <c r="AV7" i="6" s="1"/>
  <c r="AS30" i="5"/>
  <c r="AS29" i="6" s="1"/>
  <c r="AS41" i="5"/>
  <c r="AS40" i="6" s="1"/>
  <c r="AM10" i="5"/>
  <c r="AM9" i="6" s="1"/>
  <c r="AL40" i="5"/>
  <c r="AL39" i="6" s="1"/>
  <c r="AL28" i="5"/>
  <c r="AL27" i="6" s="1"/>
  <c r="AL27" i="5"/>
  <c r="AL26" i="6" s="1"/>
  <c r="AL13" i="5"/>
  <c r="AL12" i="6" s="1"/>
  <c r="AK7" i="5"/>
  <c r="AK6" i="6" s="1"/>
  <c r="AK18" i="5"/>
  <c r="AK17" i="6" s="1"/>
  <c r="AK59" i="5"/>
  <c r="AK58" i="6" s="1"/>
  <c r="AJ65" i="5"/>
  <c r="AJ64" i="6" s="1"/>
  <c r="AJ59" i="5"/>
  <c r="AJ58" i="6" s="1"/>
  <c r="AI59" i="5"/>
  <c r="AI58" i="6" s="1"/>
  <c r="AH10" i="5"/>
  <c r="AH9" i="6" s="1"/>
  <c r="AH26" i="5"/>
  <c r="AH25" i="6" s="1"/>
  <c r="AH41" i="5"/>
  <c r="AH40" i="6" s="1"/>
  <c r="AH44" i="5"/>
  <c r="AH43" i="6" s="1"/>
  <c r="AH59" i="5"/>
  <c r="AH58" i="6" s="1"/>
  <c r="AF41" i="5"/>
  <c r="AF40" i="6" s="1"/>
  <c r="AF39" i="5"/>
  <c r="AF38" i="6" s="1"/>
  <c r="AE8" i="5"/>
  <c r="AE7" i="6" s="1"/>
  <c r="AE18" i="5"/>
  <c r="AE17" i="6" s="1"/>
  <c r="AE26" i="5"/>
  <c r="AE25" i="6" s="1"/>
  <c r="AD67" i="5"/>
  <c r="AD66" i="6" s="1"/>
  <c r="AD10" i="5"/>
  <c r="AD9" i="6" s="1"/>
  <c r="AD8" i="5"/>
  <c r="AD7" i="6" s="1"/>
  <c r="AD4" i="5"/>
  <c r="AD3" i="6" s="1"/>
  <c r="AA46" i="5"/>
  <c r="AA45" i="6" s="1"/>
  <c r="Z41" i="5"/>
  <c r="Z40" i="6" s="1"/>
  <c r="Z39" i="5"/>
  <c r="Z38" i="6" s="1"/>
  <c r="Z26" i="5"/>
  <c r="Z25" i="6" s="1"/>
  <c r="Z12" i="5"/>
  <c r="Z11" i="6" s="1"/>
  <c r="X46" i="5"/>
  <c r="X45" i="6" s="1"/>
  <c r="W8" i="5"/>
  <c r="W7" i="6" s="1"/>
  <c r="W10" i="5"/>
  <c r="W9" i="6" s="1"/>
  <c r="W39" i="5"/>
  <c r="W38" i="6" s="1"/>
  <c r="W44" i="5"/>
  <c r="W43" i="6" s="1"/>
  <c r="W57" i="5"/>
  <c r="W56" i="6" s="1"/>
  <c r="W67" i="5"/>
  <c r="W66" i="6" s="1"/>
  <c r="V30" i="5"/>
  <c r="V29" i="6" s="1"/>
  <c r="V7" i="5"/>
  <c r="V6" i="6" s="1"/>
  <c r="V4" i="5"/>
  <c r="V3" i="6" s="1"/>
  <c r="U12" i="5"/>
  <c r="U11" i="6" s="1"/>
  <c r="U17" i="5"/>
  <c r="U16" i="6" s="1"/>
  <c r="U30" i="5"/>
  <c r="U29" i="6" s="1"/>
  <c r="U39" i="5"/>
  <c r="U38" i="6" s="1"/>
  <c r="U41" i="5"/>
  <c r="U40" i="6" s="1"/>
  <c r="T67" i="5"/>
  <c r="T66" i="6" s="1"/>
  <c r="T26" i="5"/>
  <c r="T25" i="6" s="1"/>
  <c r="T8" i="5"/>
  <c r="T7" i="6" s="1"/>
  <c r="S10" i="5"/>
  <c r="S9" i="6" s="1"/>
  <c r="S59" i="5"/>
  <c r="S58" i="6" s="1"/>
  <c r="R57" i="5"/>
  <c r="R56" i="6" s="1"/>
  <c r="R41" i="5"/>
  <c r="R40" i="6" s="1"/>
  <c r="R30" i="5"/>
  <c r="R29" i="6" s="1"/>
  <c r="R26" i="5"/>
  <c r="R25" i="6" s="1"/>
  <c r="R18" i="5"/>
  <c r="R17" i="6" s="1"/>
  <c r="R17" i="5"/>
  <c r="R16" i="6" s="1"/>
  <c r="R12" i="5"/>
  <c r="R11" i="6" s="1"/>
  <c r="P59" i="5"/>
  <c r="P58" i="6" s="1"/>
  <c r="P41" i="5"/>
  <c r="P40" i="6" s="1"/>
  <c r="P17" i="5"/>
  <c r="P16" i="6" s="1"/>
  <c r="P10" i="5"/>
  <c r="P9" i="6" s="1"/>
  <c r="N8" i="5"/>
  <c r="N7" i="6" s="1"/>
  <c r="N10" i="5"/>
  <c r="N9" i="6" s="1"/>
  <c r="N26" i="5"/>
  <c r="N25" i="6" s="1"/>
  <c r="M44" i="5"/>
  <c r="M43" i="6" s="1"/>
  <c r="M18" i="5"/>
  <c r="M17" i="6" s="1"/>
  <c r="M10" i="5"/>
  <c r="M9" i="6" s="1"/>
  <c r="L41" i="5"/>
  <c r="L40" i="6" s="1"/>
  <c r="L59" i="5"/>
  <c r="L58" i="6" s="1"/>
  <c r="I59" i="5"/>
  <c r="I58" i="6" s="1"/>
  <c r="G26" i="5"/>
  <c r="G25" i="6" s="1"/>
  <c r="G59" i="5"/>
  <c r="G58" i="6" s="1"/>
  <c r="D59" i="5"/>
  <c r="D58" i="6" s="1"/>
  <c r="N18" i="5" l="1"/>
  <c r="N17" i="6" s="1"/>
  <c r="V17" i="5"/>
  <c r="V16" i="6" s="1"/>
  <c r="X12" i="16"/>
  <c r="T35" i="17"/>
  <c r="U37" i="16"/>
  <c r="P2" i="10"/>
  <c r="P4" i="10" s="1"/>
  <c r="Y88" i="6"/>
  <c r="B88" i="6"/>
  <c r="P84" i="6"/>
  <c r="P98" i="6"/>
  <c r="P97" i="6"/>
  <c r="J88" i="6"/>
  <c r="D88" i="6"/>
  <c r="P77" i="6"/>
  <c r="R88" i="6"/>
  <c r="L88" i="6"/>
  <c r="G88" i="6"/>
  <c r="P87" i="6"/>
  <c r="P76" i="6"/>
  <c r="P69" i="6"/>
  <c r="P72" i="6" s="1"/>
  <c r="P90" i="6"/>
  <c r="P89" i="6"/>
  <c r="P74" i="6"/>
  <c r="H88" i="6"/>
  <c r="Z88" i="6"/>
  <c r="O88" i="6"/>
  <c r="P83" i="6"/>
  <c r="P88" i="6"/>
  <c r="C88" i="6"/>
  <c r="E88" i="6"/>
  <c r="P79" i="6"/>
  <c r="P75" i="6"/>
  <c r="P82" i="6"/>
  <c r="P81" i="6"/>
  <c r="K88" i="6"/>
  <c r="P78" i="6"/>
  <c r="I88" i="6"/>
  <c r="P80" i="6"/>
  <c r="P23" i="15"/>
  <c r="Q88" i="6"/>
  <c r="AA88" i="6"/>
  <c r="F88" i="6"/>
  <c r="P99" i="6"/>
  <c r="P23" i="10"/>
  <c r="K22" i="15"/>
  <c r="I22" i="15"/>
  <c r="O22" i="15"/>
  <c r="D22" i="10"/>
  <c r="P67" i="7"/>
  <c r="C22" i="15"/>
  <c r="D22" i="15"/>
  <c r="P22" i="10"/>
  <c r="P8" i="15"/>
  <c r="P24" i="10"/>
  <c r="P13" i="15"/>
  <c r="O22" i="10"/>
  <c r="P18" i="10"/>
  <c r="P10" i="15"/>
  <c r="B22" i="10"/>
  <c r="P11" i="10"/>
  <c r="Z22" i="15"/>
  <c r="P22" i="15"/>
  <c r="P2" i="15"/>
  <c r="P4" i="15" s="1"/>
  <c r="H22" i="10"/>
  <c r="K22" i="10"/>
  <c r="Q22" i="10"/>
  <c r="P18" i="15"/>
  <c r="R22" i="10"/>
  <c r="R22" i="15"/>
  <c r="H22" i="15"/>
  <c r="C22" i="10"/>
  <c r="P13" i="10"/>
  <c r="J22" i="15"/>
  <c r="G22" i="15"/>
  <c r="P21" i="15"/>
  <c r="J22" i="10"/>
  <c r="P9" i="10"/>
  <c r="P31" i="15"/>
  <c r="P15" i="10"/>
  <c r="P49" i="7"/>
  <c r="B22" i="15"/>
  <c r="L22" i="15"/>
  <c r="E22" i="15"/>
  <c r="F22" i="10"/>
  <c r="P21" i="10"/>
  <c r="P14" i="15"/>
  <c r="P14" i="10"/>
  <c r="AA22" i="15"/>
  <c r="Y22" i="15"/>
  <c r="P12" i="15"/>
  <c r="P9" i="15"/>
  <c r="I22" i="10"/>
  <c r="P12" i="10"/>
  <c r="P17" i="15"/>
  <c r="E22" i="10"/>
  <c r="P32" i="15"/>
  <c r="P68" i="7"/>
  <c r="P58" i="7"/>
  <c r="P11" i="15"/>
  <c r="Q22" i="15"/>
  <c r="BK20" i="7"/>
  <c r="P15" i="15"/>
  <c r="F22" i="15"/>
  <c r="P24" i="15"/>
  <c r="P16" i="10"/>
  <c r="G22" i="10"/>
  <c r="P69" i="7"/>
  <c r="P8" i="10"/>
  <c r="L22" i="10"/>
  <c r="P10" i="10"/>
  <c r="P66" i="7"/>
  <c r="P33" i="15"/>
  <c r="P16" i="15"/>
  <c r="P50" i="7"/>
  <c r="P17" i="10"/>
  <c r="P12" i="7"/>
  <c r="O20" i="7"/>
  <c r="BC20" i="7"/>
  <c r="P32" i="7"/>
  <c r="G20" i="7"/>
  <c r="P36" i="7"/>
  <c r="AC20" i="7"/>
  <c r="AT20" i="7"/>
  <c r="P7" i="7"/>
  <c r="P9" i="7"/>
  <c r="P51" i="7"/>
  <c r="P42" i="7"/>
  <c r="AN20" i="7"/>
  <c r="H20" i="7"/>
  <c r="AF20" i="7"/>
  <c r="BH20" i="7"/>
  <c r="P56" i="7"/>
  <c r="P10" i="7"/>
  <c r="AB20" i="7"/>
  <c r="BB20" i="7"/>
  <c r="F20" i="7"/>
  <c r="AU20" i="7"/>
  <c r="AJ20" i="7"/>
  <c r="P8" i="7"/>
  <c r="P48" i="7"/>
  <c r="AM20" i="7"/>
  <c r="E20" i="7"/>
  <c r="P33" i="7"/>
  <c r="BI20" i="7"/>
  <c r="P64" i="7"/>
  <c r="L20" i="7"/>
  <c r="P61" i="7"/>
  <c r="BA20" i="7"/>
  <c r="P20" i="7"/>
  <c r="P16" i="7"/>
  <c r="P40" i="7"/>
  <c r="P65" i="7"/>
  <c r="P44" i="7"/>
  <c r="BL20" i="7"/>
  <c r="AS20" i="7"/>
  <c r="AL20" i="7"/>
  <c r="P30" i="7"/>
  <c r="D20" i="7"/>
  <c r="AI20" i="7"/>
  <c r="AR20" i="7"/>
  <c r="BD20" i="7"/>
  <c r="AY20" i="7"/>
  <c r="P15" i="7"/>
  <c r="BO20" i="7"/>
  <c r="P39" i="7"/>
  <c r="P31" i="7"/>
  <c r="P63" i="7"/>
  <c r="P47" i="7"/>
  <c r="AZ20" i="7"/>
  <c r="BJ20" i="7"/>
  <c r="AA20" i="7"/>
  <c r="K20" i="7"/>
  <c r="AQ20" i="7"/>
  <c r="BG20" i="7"/>
  <c r="P62" i="7"/>
  <c r="AX20" i="7"/>
  <c r="AP20" i="7"/>
  <c r="P46" i="7"/>
  <c r="R20" i="7"/>
  <c r="P71" i="7"/>
  <c r="BF20" i="7"/>
  <c r="P54" i="7"/>
  <c r="Z20" i="7"/>
  <c r="AH20" i="7"/>
  <c r="P14" i="7"/>
  <c r="J20" i="7"/>
  <c r="P70" i="7"/>
  <c r="P22" i="7"/>
  <c r="BN20" i="7"/>
  <c r="BE20" i="7"/>
  <c r="P19" i="7"/>
  <c r="P11" i="7"/>
  <c r="BM20" i="7"/>
  <c r="AG20" i="7"/>
  <c r="P37" i="7"/>
  <c r="P6" i="7"/>
  <c r="AW20" i="7"/>
  <c r="P29" i="7"/>
  <c r="B20" i="7"/>
  <c r="Y20" i="7"/>
  <c r="Q20" i="7"/>
  <c r="C20" i="7"/>
  <c r="AO20" i="7"/>
  <c r="P21" i="7"/>
  <c r="P13" i="7"/>
  <c r="P45" i="7"/>
  <c r="I20" i="7"/>
  <c r="P13" i="8"/>
  <c r="P21" i="8"/>
  <c r="I22" i="8"/>
  <c r="Q22" i="8"/>
  <c r="Y22" i="8"/>
  <c r="AG22" i="8"/>
  <c r="AO22" i="8"/>
  <c r="P12" i="8"/>
  <c r="J22" i="8"/>
  <c r="R22" i="8"/>
  <c r="Z22" i="8"/>
  <c r="AH22" i="8"/>
  <c r="P11" i="8"/>
  <c r="C22" i="8"/>
  <c r="K22" i="8"/>
  <c r="AA22" i="8"/>
  <c r="AI22" i="8"/>
  <c r="P35" i="8"/>
  <c r="P10" i="8"/>
  <c r="P18" i="8"/>
  <c r="D22" i="8"/>
  <c r="L22" i="8"/>
  <c r="AB22" i="8"/>
  <c r="AJ22" i="8"/>
  <c r="P34" i="8"/>
  <c r="P17" i="8"/>
  <c r="E22" i="8"/>
  <c r="AC22" i="8"/>
  <c r="P33" i="8"/>
  <c r="P41" i="8"/>
  <c r="P16" i="8"/>
  <c r="F22" i="8"/>
  <c r="AL22" i="8"/>
  <c r="P24" i="8"/>
  <c r="P32" i="8"/>
  <c r="P15" i="8"/>
  <c r="G22" i="8"/>
  <c r="O22" i="8"/>
  <c r="AM22" i="8"/>
  <c r="P23" i="8"/>
  <c r="P31" i="8"/>
  <c r="P39" i="8"/>
  <c r="P14" i="8"/>
  <c r="H22" i="8"/>
  <c r="P22" i="8"/>
  <c r="AF22" i="8"/>
  <c r="AN22" i="8"/>
  <c r="P47" i="8"/>
  <c r="P46" i="8"/>
  <c r="B22" i="8"/>
  <c r="P2" i="7"/>
  <c r="P4" i="7" s="1"/>
  <c r="P42" i="8"/>
  <c r="P9" i="8"/>
  <c r="P8" i="8"/>
  <c r="P38" i="8"/>
  <c r="P2" i="8"/>
  <c r="P4" i="8" s="1"/>
  <c r="P44" i="8"/>
  <c r="AH2" i="10"/>
  <c r="AH4" i="10" s="1"/>
  <c r="AH2" i="15"/>
  <c r="AH4" i="15" s="1"/>
  <c r="AC38" i="7"/>
  <c r="AB38" i="7"/>
  <c r="AH71" i="7"/>
  <c r="AH15" i="7"/>
  <c r="AH31" i="7"/>
  <c r="I38" i="7"/>
  <c r="AH39" i="7"/>
  <c r="AH33" i="7"/>
  <c r="AH16" i="7"/>
  <c r="AL38" i="7"/>
  <c r="AH38" i="7"/>
  <c r="AR38" i="7"/>
  <c r="AJ38" i="7"/>
  <c r="AM38" i="7"/>
  <c r="AH50" i="7"/>
  <c r="AT38" i="7"/>
  <c r="AG38" i="7"/>
  <c r="AQ38" i="7"/>
  <c r="BA38" i="7"/>
  <c r="BC38" i="7"/>
  <c r="BE38" i="7"/>
  <c r="AH51" i="7"/>
  <c r="BB38" i="7"/>
  <c r="AF38" i="7"/>
  <c r="AP38" i="7"/>
  <c r="AZ38" i="7"/>
  <c r="BK38" i="7"/>
  <c r="AH40" i="7"/>
  <c r="BF38" i="7"/>
  <c r="AH63" i="7"/>
  <c r="BJ38" i="7"/>
  <c r="AO38" i="7"/>
  <c r="AY38" i="7"/>
  <c r="BI38" i="7"/>
  <c r="L38" i="7"/>
  <c r="AA38" i="7"/>
  <c r="AH29" i="7"/>
  <c r="F38" i="7"/>
  <c r="AX38" i="7"/>
  <c r="BH38" i="7"/>
  <c r="H38" i="7"/>
  <c r="AH42" i="7"/>
  <c r="BL38" i="7"/>
  <c r="AH47" i="7"/>
  <c r="AH9" i="7"/>
  <c r="BG38" i="7"/>
  <c r="G38" i="7"/>
  <c r="Q38" i="7"/>
  <c r="AW38" i="7"/>
  <c r="BD38" i="7"/>
  <c r="AN38" i="7"/>
  <c r="AH30" i="7"/>
  <c r="AH22" i="7"/>
  <c r="AH14" i="7"/>
  <c r="AH36" i="7"/>
  <c r="AH54" i="7"/>
  <c r="BN38" i="7"/>
  <c r="AH12" i="7"/>
  <c r="D38" i="7"/>
  <c r="O38" i="7"/>
  <c r="Y38" i="7"/>
  <c r="AI38" i="7"/>
  <c r="R38" i="7"/>
  <c r="K38" i="7"/>
  <c r="AH49" i="7"/>
  <c r="AH45" i="7"/>
  <c r="AH19" i="7"/>
  <c r="AH6" i="7"/>
  <c r="E38" i="7"/>
  <c r="AH70" i="7"/>
  <c r="AH69" i="7"/>
  <c r="AH68" i="7"/>
  <c r="AH67" i="7"/>
  <c r="AH66" i="7"/>
  <c r="AH65" i="7"/>
  <c r="AH64" i="7"/>
  <c r="AH62" i="7"/>
  <c r="AH61" i="7"/>
  <c r="AH58" i="7"/>
  <c r="AH56" i="7"/>
  <c r="AH11" i="7"/>
  <c r="C38" i="7"/>
  <c r="P38" i="7"/>
  <c r="Z38" i="7"/>
  <c r="AU38" i="7"/>
  <c r="AS38" i="7"/>
  <c r="AH37" i="7"/>
  <c r="AH7" i="7"/>
  <c r="BO38" i="7"/>
  <c r="AH46" i="7"/>
  <c r="AH32" i="7"/>
  <c r="AH21" i="7"/>
  <c r="AH8" i="7"/>
  <c r="AH10" i="7"/>
  <c r="AH44" i="7"/>
  <c r="J38" i="7"/>
  <c r="AH13" i="7"/>
  <c r="AH48" i="7"/>
  <c r="BM38" i="7"/>
  <c r="B38" i="7"/>
  <c r="AH15" i="8"/>
  <c r="AH23" i="8"/>
  <c r="AH31" i="8"/>
  <c r="AH39" i="8"/>
  <c r="AH14" i="8"/>
  <c r="AH38" i="8"/>
  <c r="D40" i="8"/>
  <c r="L40" i="8"/>
  <c r="AB40" i="8"/>
  <c r="AJ40" i="8"/>
  <c r="AH13" i="8"/>
  <c r="AH21" i="8"/>
  <c r="E40" i="8"/>
  <c r="AC40" i="8"/>
  <c r="AH12" i="8"/>
  <c r="F40" i="8"/>
  <c r="AL40" i="8"/>
  <c r="AH11" i="8"/>
  <c r="AH35" i="8"/>
  <c r="G40" i="8"/>
  <c r="O40" i="8"/>
  <c r="AM40" i="8"/>
  <c r="AH10" i="8"/>
  <c r="AH18" i="8"/>
  <c r="AH34" i="8"/>
  <c r="H40" i="8"/>
  <c r="P40" i="8"/>
  <c r="AF40" i="8"/>
  <c r="AH17" i="8"/>
  <c r="AH33" i="8"/>
  <c r="I40" i="8"/>
  <c r="Q40" i="8"/>
  <c r="Y40" i="8"/>
  <c r="AG40" i="8"/>
  <c r="AO40" i="8"/>
  <c r="AH41" i="8"/>
  <c r="AH16" i="8"/>
  <c r="AH24" i="8"/>
  <c r="AH32" i="8"/>
  <c r="J40" i="8"/>
  <c r="AN40" i="8"/>
  <c r="K40" i="8"/>
  <c r="B40" i="8"/>
  <c r="R40" i="8"/>
  <c r="AH47" i="8"/>
  <c r="AH44" i="8"/>
  <c r="AH46" i="8"/>
  <c r="Z40" i="8"/>
  <c r="AH2" i="8"/>
  <c r="AH4" i="8" s="1"/>
  <c r="AA40" i="8"/>
  <c r="AH9" i="8"/>
  <c r="AH40" i="8"/>
  <c r="AH42" i="8"/>
  <c r="AH8" i="8"/>
  <c r="AH2" i="7"/>
  <c r="AH4" i="7" s="1"/>
  <c r="C40" i="8"/>
  <c r="AI40" i="8"/>
  <c r="X8" i="5"/>
  <c r="X7" i="6" s="1"/>
  <c r="AW2" i="15"/>
  <c r="AW4" i="15" s="1"/>
  <c r="Q53" i="7"/>
  <c r="AW2" i="10"/>
  <c r="AW4" i="10" s="1"/>
  <c r="AW51" i="7"/>
  <c r="AW69" i="7"/>
  <c r="AW68" i="7"/>
  <c r="AU53" i="7"/>
  <c r="AW36" i="7"/>
  <c r="I53" i="7"/>
  <c r="AR53" i="7"/>
  <c r="AW66" i="7"/>
  <c r="AW50" i="7"/>
  <c r="BA53" i="7"/>
  <c r="AW64" i="7"/>
  <c r="AW67" i="7"/>
  <c r="AJ53" i="7"/>
  <c r="AW65" i="7"/>
  <c r="BM53" i="7"/>
  <c r="AW58" i="7"/>
  <c r="AW56" i="7"/>
  <c r="BL53" i="7"/>
  <c r="AW61" i="7"/>
  <c r="L53" i="7"/>
  <c r="BC53" i="7"/>
  <c r="AW53" i="7"/>
  <c r="AC53" i="7"/>
  <c r="AW49" i="7"/>
  <c r="Z53" i="7"/>
  <c r="AO53" i="7"/>
  <c r="E53" i="7"/>
  <c r="AS53" i="7"/>
  <c r="AY53" i="7"/>
  <c r="AA53" i="7"/>
  <c r="AM53" i="7"/>
  <c r="BD53" i="7"/>
  <c r="AF53" i="7"/>
  <c r="AW39" i="7"/>
  <c r="AW33" i="7"/>
  <c r="BH53" i="7"/>
  <c r="AW32" i="7"/>
  <c r="AW15" i="7"/>
  <c r="K53" i="7"/>
  <c r="D53" i="7"/>
  <c r="BO53" i="7"/>
  <c r="AB53" i="7"/>
  <c r="H53" i="7"/>
  <c r="AW37" i="7"/>
  <c r="AW31" i="7"/>
  <c r="AI53" i="7"/>
  <c r="J53" i="7"/>
  <c r="AN53" i="7"/>
  <c r="BE53" i="7"/>
  <c r="AG53" i="7"/>
  <c r="AW48" i="7"/>
  <c r="BK53" i="7"/>
  <c r="AW46" i="7"/>
  <c r="AW63" i="7"/>
  <c r="AW30" i="7"/>
  <c r="AW22" i="7"/>
  <c r="AW21" i="7"/>
  <c r="AW71" i="7"/>
  <c r="AW62" i="7"/>
  <c r="R53" i="7"/>
  <c r="AW47" i="7"/>
  <c r="BG53" i="7"/>
  <c r="BF53" i="7"/>
  <c r="O53" i="7"/>
  <c r="AW70" i="7"/>
  <c r="AW54" i="7"/>
  <c r="BN53" i="7"/>
  <c r="BI53" i="7"/>
  <c r="AW29" i="7"/>
  <c r="B53" i="7"/>
  <c r="AL53" i="7"/>
  <c r="AW44" i="7"/>
  <c r="C53" i="7"/>
  <c r="AW7" i="7"/>
  <c r="AW6" i="7"/>
  <c r="AW19" i="7"/>
  <c r="AT53" i="7"/>
  <c r="G53" i="7"/>
  <c r="AW9" i="7"/>
  <c r="BB53" i="7"/>
  <c r="P53" i="7"/>
  <c r="AW13" i="7"/>
  <c r="AP53" i="7"/>
  <c r="AW10" i="7"/>
  <c r="BJ53" i="7"/>
  <c r="Y53" i="7"/>
  <c r="AW45" i="7"/>
  <c r="AW11" i="7"/>
  <c r="F53" i="7"/>
  <c r="AW40" i="7"/>
  <c r="AH53" i="7"/>
  <c r="AX53" i="7"/>
  <c r="AW8" i="7"/>
  <c r="AW12" i="7"/>
  <c r="AQ53" i="7"/>
  <c r="AW14" i="7"/>
  <c r="AW16" i="7"/>
  <c r="AW42" i="7"/>
  <c r="AZ53" i="7"/>
  <c r="AW2" i="8"/>
  <c r="AW4" i="8" s="1"/>
  <c r="AW2" i="7"/>
  <c r="AW4" i="7" s="1"/>
  <c r="R87" i="17"/>
  <c r="S9" i="19"/>
  <c r="T11" i="18"/>
  <c r="F41" i="7"/>
  <c r="AK50" i="7"/>
  <c r="AK2" i="10"/>
  <c r="AK4" i="10" s="1"/>
  <c r="AK68" i="7"/>
  <c r="AK67" i="7"/>
  <c r="AK35" i="7"/>
  <c r="AV41" i="7"/>
  <c r="AK2" i="15"/>
  <c r="AK4" i="15" s="1"/>
  <c r="AK69" i="7"/>
  <c r="AK51" i="7"/>
  <c r="AK57" i="7"/>
  <c r="AK60" i="7"/>
  <c r="AK49" i="7"/>
  <c r="BJ41" i="7"/>
  <c r="AK59" i="7"/>
  <c r="AK43" i="7"/>
  <c r="AK44" i="7"/>
  <c r="AK12" i="7"/>
  <c r="BD41" i="7"/>
  <c r="AK33" i="7"/>
  <c r="BL41" i="7"/>
  <c r="AK52" i="7"/>
  <c r="AK65" i="7"/>
  <c r="H41" i="7"/>
  <c r="AT41" i="7"/>
  <c r="AF41" i="7"/>
  <c r="AK16" i="7"/>
  <c r="AK41" i="7"/>
  <c r="AM41" i="7"/>
  <c r="AE41" i="7"/>
  <c r="AJ41" i="7"/>
  <c r="O41" i="7"/>
  <c r="AK56" i="7"/>
  <c r="AL41" i="7"/>
  <c r="AK66" i="7"/>
  <c r="AU41" i="7"/>
  <c r="D41" i="7"/>
  <c r="AK9" i="7"/>
  <c r="AN41" i="7"/>
  <c r="BI41" i="7"/>
  <c r="AZ41" i="7"/>
  <c r="AS41" i="7"/>
  <c r="BA41" i="7"/>
  <c r="AK42" i="7"/>
  <c r="AK20" i="7"/>
  <c r="AK32" i="7"/>
  <c r="BK41" i="7"/>
  <c r="BH41" i="7"/>
  <c r="AK36" i="7"/>
  <c r="AK40" i="7"/>
  <c r="E41" i="7"/>
  <c r="AK48" i="7"/>
  <c r="AK8" i="7"/>
  <c r="AK58" i="7"/>
  <c r="AK6" i="7"/>
  <c r="P41" i="7"/>
  <c r="L41" i="7"/>
  <c r="AR41" i="7"/>
  <c r="AK29" i="7"/>
  <c r="AA41" i="7"/>
  <c r="BC41" i="7"/>
  <c r="AK10" i="7"/>
  <c r="AK31" i="7"/>
  <c r="AB41" i="7"/>
  <c r="BB41" i="7"/>
  <c r="AK55" i="7"/>
  <c r="K41" i="7"/>
  <c r="AC41" i="7"/>
  <c r="AI41" i="7"/>
  <c r="AK64" i="7"/>
  <c r="AK37" i="7"/>
  <c r="G41" i="7"/>
  <c r="AK15" i="7"/>
  <c r="AK61" i="7"/>
  <c r="AK70" i="7"/>
  <c r="AK71" i="7"/>
  <c r="AK30" i="7"/>
  <c r="AK22" i="7"/>
  <c r="R41" i="7"/>
  <c r="BO41" i="7"/>
  <c r="BF41" i="7"/>
  <c r="AY41" i="7"/>
  <c r="Z41" i="7"/>
  <c r="AQ41" i="7"/>
  <c r="BG41" i="7"/>
  <c r="AK46" i="7"/>
  <c r="AH41" i="7"/>
  <c r="AK54" i="7"/>
  <c r="AP41" i="7"/>
  <c r="AK38" i="7"/>
  <c r="AK39" i="7"/>
  <c r="AX41" i="7"/>
  <c r="AK53" i="7"/>
  <c r="BN41" i="7"/>
  <c r="AK47" i="7"/>
  <c r="AK63" i="7"/>
  <c r="AK62" i="7"/>
  <c r="AG41" i="7"/>
  <c r="I41" i="7"/>
  <c r="J41" i="7"/>
  <c r="AK21" i="7"/>
  <c r="Q41" i="7"/>
  <c r="AK13" i="7"/>
  <c r="BE41" i="7"/>
  <c r="AK7" i="7"/>
  <c r="AK19" i="7"/>
  <c r="AK11" i="7"/>
  <c r="AK45" i="7"/>
  <c r="BM41" i="7"/>
  <c r="C41" i="7"/>
  <c r="AK14" i="7"/>
  <c r="AW41" i="7"/>
  <c r="AO41" i="7"/>
  <c r="Y41" i="7"/>
  <c r="B41" i="7"/>
  <c r="AK10" i="8"/>
  <c r="AK18" i="8"/>
  <c r="AK34" i="8"/>
  <c r="AK17" i="8"/>
  <c r="AK33" i="8"/>
  <c r="AK41" i="8"/>
  <c r="AK16" i="8"/>
  <c r="AK24" i="8"/>
  <c r="AK32" i="8"/>
  <c r="AK40" i="8"/>
  <c r="H43" i="8"/>
  <c r="P43" i="8"/>
  <c r="AF43" i="8"/>
  <c r="AN43" i="8"/>
  <c r="AK15" i="8"/>
  <c r="AK23" i="8"/>
  <c r="AK31" i="8"/>
  <c r="AK39" i="8"/>
  <c r="AK14" i="8"/>
  <c r="AK22" i="8"/>
  <c r="AK38" i="8"/>
  <c r="J43" i="8"/>
  <c r="R43" i="8"/>
  <c r="Z43" i="8"/>
  <c r="AH43" i="8"/>
  <c r="AK13" i="8"/>
  <c r="AK21" i="8"/>
  <c r="AK37" i="8"/>
  <c r="AK12" i="8"/>
  <c r="D43" i="8"/>
  <c r="L43" i="8"/>
  <c r="AB43" i="8"/>
  <c r="AJ43" i="8"/>
  <c r="AK11" i="8"/>
  <c r="AK35" i="8"/>
  <c r="AK42" i="8"/>
  <c r="K43" i="8"/>
  <c r="AK43" i="8"/>
  <c r="AK9" i="8"/>
  <c r="Y43" i="8"/>
  <c r="AL43" i="8"/>
  <c r="AK8" i="8"/>
  <c r="AK2" i="7"/>
  <c r="AK4" i="7" s="1"/>
  <c r="AK2" i="8"/>
  <c r="AK4" i="8" s="1"/>
  <c r="AA43" i="8"/>
  <c r="AM43" i="8"/>
  <c r="C43" i="8"/>
  <c r="O43" i="8"/>
  <c r="AC43" i="8"/>
  <c r="AO43" i="8"/>
  <c r="E43" i="8"/>
  <c r="Q43" i="8"/>
  <c r="F43" i="8"/>
  <c r="AE43" i="8"/>
  <c r="AK44" i="8"/>
  <c r="AK47" i="8"/>
  <c r="G43" i="8"/>
  <c r="AG43" i="8"/>
  <c r="AK46" i="8"/>
  <c r="B43" i="8"/>
  <c r="I43" i="8"/>
  <c r="AI43" i="8"/>
  <c r="AK45" i="8"/>
  <c r="T10" i="5"/>
  <c r="T9" i="6" s="1"/>
  <c r="AL67" i="7"/>
  <c r="AL2" i="15"/>
  <c r="AL4" i="15" s="1"/>
  <c r="AS42" i="7"/>
  <c r="AL2" i="10"/>
  <c r="AL4" i="10" s="1"/>
  <c r="AL68" i="7"/>
  <c r="AL50" i="7"/>
  <c r="AL44" i="7"/>
  <c r="AL12" i="7"/>
  <c r="AL56" i="7"/>
  <c r="AL69" i="7"/>
  <c r="AL48" i="7"/>
  <c r="AL9" i="7"/>
  <c r="AL33" i="7"/>
  <c r="AL40" i="7"/>
  <c r="E42" i="7"/>
  <c r="AC42" i="7"/>
  <c r="AN42" i="7"/>
  <c r="AL16" i="7"/>
  <c r="L42" i="7"/>
  <c r="BB42" i="7"/>
  <c r="BL42" i="7"/>
  <c r="H42" i="7"/>
  <c r="F42" i="7"/>
  <c r="AL49" i="7"/>
  <c r="AL10" i="7"/>
  <c r="AL36" i="7"/>
  <c r="AL58" i="7"/>
  <c r="AR42" i="7"/>
  <c r="O42" i="7"/>
  <c r="AL51" i="7"/>
  <c r="AJ42" i="7"/>
  <c r="AL42" i="7"/>
  <c r="AL64" i="7"/>
  <c r="AL8" i="7"/>
  <c r="AU42" i="7"/>
  <c r="BJ42" i="7"/>
  <c r="AZ42" i="7"/>
  <c r="AB42" i="7"/>
  <c r="G42" i="7"/>
  <c r="AL65" i="7"/>
  <c r="AT42" i="7"/>
  <c r="AL66" i="7"/>
  <c r="BO42" i="7"/>
  <c r="AL62" i="7"/>
  <c r="D42" i="7"/>
  <c r="AL70" i="7"/>
  <c r="AL47" i="7"/>
  <c r="BI42" i="7"/>
  <c r="AF42" i="7"/>
  <c r="AL61" i="7"/>
  <c r="AL31" i="7"/>
  <c r="BH42" i="7"/>
  <c r="AI42" i="7"/>
  <c r="AL32" i="7"/>
  <c r="AL39" i="7"/>
  <c r="AA42" i="7"/>
  <c r="AL15" i="7"/>
  <c r="AQ42" i="7"/>
  <c r="BG42" i="7"/>
  <c r="BF42" i="7"/>
  <c r="AL54" i="7"/>
  <c r="AL71" i="7"/>
  <c r="AL46" i="7"/>
  <c r="AP42" i="7"/>
  <c r="AX42" i="7"/>
  <c r="BK42" i="7"/>
  <c r="K42" i="7"/>
  <c r="AL63" i="7"/>
  <c r="BN42" i="7"/>
  <c r="Y42" i="7"/>
  <c r="AG42" i="7"/>
  <c r="AL21" i="7"/>
  <c r="AL13" i="7"/>
  <c r="I42" i="7"/>
  <c r="AL14" i="7"/>
  <c r="J42" i="7"/>
  <c r="Q42" i="7"/>
  <c r="BE42" i="7"/>
  <c r="AL19" i="7"/>
  <c r="AL11" i="7"/>
  <c r="AL29" i="7"/>
  <c r="B42" i="7"/>
  <c r="C42" i="7"/>
  <c r="AL7" i="7"/>
  <c r="AL6" i="7"/>
  <c r="BM42" i="7"/>
  <c r="AL45" i="7"/>
  <c r="AO42" i="7"/>
  <c r="AL37" i="7"/>
  <c r="AL11" i="8"/>
  <c r="AL35" i="8"/>
  <c r="AL10" i="8"/>
  <c r="AL18" i="8"/>
  <c r="AL34" i="8"/>
  <c r="AL17" i="8"/>
  <c r="AL33" i="8"/>
  <c r="AL41" i="8"/>
  <c r="I44" i="8"/>
  <c r="Q44" i="8"/>
  <c r="Y44" i="8"/>
  <c r="AG44" i="8"/>
  <c r="AL16" i="8"/>
  <c r="AL15" i="8"/>
  <c r="AL23" i="8"/>
  <c r="AL31" i="8"/>
  <c r="AL39" i="8"/>
  <c r="C44" i="8"/>
  <c r="K44" i="8"/>
  <c r="AA44" i="8"/>
  <c r="AI44" i="8"/>
  <c r="AL14" i="8"/>
  <c r="AL38" i="8"/>
  <c r="AL13" i="8"/>
  <c r="AL21" i="8"/>
  <c r="AL12" i="8"/>
  <c r="H44" i="8"/>
  <c r="AN44" i="8"/>
  <c r="AL42" i="8"/>
  <c r="J44" i="8"/>
  <c r="AO44" i="8"/>
  <c r="AL9" i="8"/>
  <c r="L44" i="8"/>
  <c r="AF44" i="8"/>
  <c r="AL8" i="8"/>
  <c r="AL2" i="7"/>
  <c r="AL4" i="7" s="1"/>
  <c r="AL2" i="8"/>
  <c r="AL4" i="8" s="1"/>
  <c r="D44" i="8"/>
  <c r="AJ44" i="8"/>
  <c r="E44" i="8"/>
  <c r="O44" i="8"/>
  <c r="B44" i="8"/>
  <c r="F44" i="8"/>
  <c r="AB44" i="8"/>
  <c r="AL44" i="8"/>
  <c r="AL47" i="8"/>
  <c r="G44" i="8"/>
  <c r="AC44" i="8"/>
  <c r="AL46" i="8"/>
  <c r="BD2" i="10"/>
  <c r="BD4" i="10" s="1"/>
  <c r="O60" i="7"/>
  <c r="BD2" i="15"/>
  <c r="BD4" i="15" s="1"/>
  <c r="AZ60" i="7"/>
  <c r="BD64" i="7"/>
  <c r="BD68" i="7"/>
  <c r="BD16" i="7"/>
  <c r="BD40" i="7"/>
  <c r="AL60" i="7"/>
  <c r="AW60" i="7"/>
  <c r="BB60" i="7"/>
  <c r="BD48" i="7"/>
  <c r="BI60" i="7"/>
  <c r="H60" i="7"/>
  <c r="BJ60" i="7"/>
  <c r="BD65" i="7"/>
  <c r="BD60" i="7"/>
  <c r="BD49" i="7"/>
  <c r="BH60" i="7"/>
  <c r="BL60" i="7"/>
  <c r="BD67" i="7"/>
  <c r="BD7" i="7"/>
  <c r="BD56" i="7"/>
  <c r="AO60" i="7"/>
  <c r="BD69" i="7"/>
  <c r="BD12" i="7"/>
  <c r="BD32" i="7"/>
  <c r="BD8" i="7"/>
  <c r="G60" i="7"/>
  <c r="BE60" i="7"/>
  <c r="AU60" i="7"/>
  <c r="BD61" i="7"/>
  <c r="BD50" i="7"/>
  <c r="BD33" i="7"/>
  <c r="F60" i="7"/>
  <c r="Q60" i="7"/>
  <c r="P60" i="7"/>
  <c r="AC60" i="7"/>
  <c r="AS60" i="7"/>
  <c r="I60" i="7"/>
  <c r="E60" i="7"/>
  <c r="Y60" i="7"/>
  <c r="BD66" i="7"/>
  <c r="BA60" i="7"/>
  <c r="BD9" i="7"/>
  <c r="AR60" i="7"/>
  <c r="BD36" i="7"/>
  <c r="AJ60" i="7"/>
  <c r="D60" i="7"/>
  <c r="AB60" i="7"/>
  <c r="L60" i="7"/>
  <c r="AM60" i="7"/>
  <c r="AT60" i="7"/>
  <c r="AG60" i="7"/>
  <c r="BK60" i="7"/>
  <c r="BD58" i="7"/>
  <c r="BD42" i="7"/>
  <c r="BC60" i="7"/>
  <c r="BD45" i="7"/>
  <c r="BD44" i="7"/>
  <c r="BD10" i="7"/>
  <c r="BM60" i="7"/>
  <c r="BD51" i="7"/>
  <c r="AN60" i="7"/>
  <c r="BD37" i="7"/>
  <c r="BD31" i="7"/>
  <c r="K60" i="7"/>
  <c r="BD70" i="7"/>
  <c r="BO60" i="7"/>
  <c r="AI60" i="7"/>
  <c r="AA60" i="7"/>
  <c r="AF60" i="7"/>
  <c r="BD63" i="7"/>
  <c r="AY60" i="7"/>
  <c r="BD39" i="7"/>
  <c r="BD15" i="7"/>
  <c r="BD71" i="7"/>
  <c r="BD14" i="7"/>
  <c r="AQ60" i="7"/>
  <c r="BD22" i="7"/>
  <c r="BD62" i="7"/>
  <c r="BD47" i="7"/>
  <c r="BG60" i="7"/>
  <c r="AP60" i="7"/>
  <c r="C60" i="7"/>
  <c r="B60" i="7"/>
  <c r="BD46" i="7"/>
  <c r="AH60" i="7"/>
  <c r="Z60" i="7"/>
  <c r="R60" i="7"/>
  <c r="BD29" i="7"/>
  <c r="BD21" i="7"/>
  <c r="BD13" i="7"/>
  <c r="J60" i="7"/>
  <c r="BD6" i="7"/>
  <c r="BN60" i="7"/>
  <c r="BD54" i="7"/>
  <c r="BD30" i="7"/>
  <c r="BD19" i="7"/>
  <c r="BD11" i="7"/>
  <c r="BF60" i="7"/>
  <c r="AX60" i="7"/>
  <c r="BD2" i="7"/>
  <c r="BD4" i="7" s="1"/>
  <c r="BD2" i="8"/>
  <c r="BD4" i="8" s="1"/>
  <c r="D89" i="6"/>
  <c r="E76" i="6"/>
  <c r="D82" i="6"/>
  <c r="H76" i="6"/>
  <c r="D75" i="6"/>
  <c r="D69" i="6"/>
  <c r="D72" i="6" s="1"/>
  <c r="E10" i="10"/>
  <c r="D65" i="7"/>
  <c r="B76" i="6"/>
  <c r="F10" i="10"/>
  <c r="D80" i="6"/>
  <c r="F76" i="6"/>
  <c r="C76" i="6"/>
  <c r="D87" i="6"/>
  <c r="D77" i="6"/>
  <c r="I76" i="6"/>
  <c r="K76" i="6"/>
  <c r="D76" i="6"/>
  <c r="Q76" i="6"/>
  <c r="D97" i="6"/>
  <c r="Y76" i="6"/>
  <c r="D74" i="6"/>
  <c r="D78" i="6"/>
  <c r="O76" i="6"/>
  <c r="J76" i="6"/>
  <c r="D83" i="6"/>
  <c r="D23" i="10"/>
  <c r="H10" i="10"/>
  <c r="D12" i="10"/>
  <c r="Q10" i="10"/>
  <c r="D8" i="15"/>
  <c r="O10" i="10"/>
  <c r="D10" i="15"/>
  <c r="H10" i="15"/>
  <c r="D10" i="10"/>
  <c r="I10" i="10"/>
  <c r="D11" i="10"/>
  <c r="D14" i="10"/>
  <c r="K10" i="10"/>
  <c r="D31" i="15"/>
  <c r="D12" i="15"/>
  <c r="D61" i="7"/>
  <c r="D8" i="10"/>
  <c r="D23" i="15"/>
  <c r="O10" i="15"/>
  <c r="D17" i="15"/>
  <c r="K10" i="15"/>
  <c r="D14" i="15"/>
  <c r="F10" i="15"/>
  <c r="Y10" i="15"/>
  <c r="D2" i="10"/>
  <c r="D4" i="10" s="1"/>
  <c r="D9" i="10"/>
  <c r="D51" i="7"/>
  <c r="D2" i="15"/>
  <c r="D4" i="15" s="1"/>
  <c r="I10" i="15"/>
  <c r="D67" i="7"/>
  <c r="J10" i="10"/>
  <c r="D11" i="15"/>
  <c r="D48" i="7"/>
  <c r="D21" i="10"/>
  <c r="E10" i="15"/>
  <c r="B10" i="10"/>
  <c r="AU8" i="7"/>
  <c r="D21" i="15"/>
  <c r="J10" i="15"/>
  <c r="C10" i="15"/>
  <c r="BL8" i="7"/>
  <c r="B10" i="15"/>
  <c r="D17" i="10"/>
  <c r="D16" i="10"/>
  <c r="D56" i="7"/>
  <c r="D66" i="7"/>
  <c r="Q10" i="15"/>
  <c r="D33" i="7"/>
  <c r="D44" i="7"/>
  <c r="D9" i="15"/>
  <c r="C10" i="10"/>
  <c r="BI8" i="7"/>
  <c r="BJ8" i="7"/>
  <c r="H8" i="7"/>
  <c r="AT8" i="7"/>
  <c r="D16" i="15"/>
  <c r="D12" i="7"/>
  <c r="AC8" i="7"/>
  <c r="O8" i="7"/>
  <c r="D68" i="7"/>
  <c r="AN8" i="7"/>
  <c r="AJ8" i="7"/>
  <c r="D9" i="7"/>
  <c r="D58" i="7"/>
  <c r="AR8" i="7"/>
  <c r="D69" i="7"/>
  <c r="D10" i="7"/>
  <c r="D8" i="7"/>
  <c r="D50" i="7"/>
  <c r="D64" i="7"/>
  <c r="AB8" i="7"/>
  <c r="F8" i="7"/>
  <c r="E8" i="7"/>
  <c r="AZ8" i="7"/>
  <c r="D32" i="7"/>
  <c r="BB8" i="7"/>
  <c r="AI8" i="7"/>
  <c r="D15" i="7"/>
  <c r="BH8" i="7"/>
  <c r="K8" i="7"/>
  <c r="BO8" i="7"/>
  <c r="B8" i="7"/>
  <c r="D71" i="7"/>
  <c r="D47" i="7"/>
  <c r="AQ8" i="7"/>
  <c r="BG8" i="7"/>
  <c r="D63" i="7"/>
  <c r="AX8" i="7"/>
  <c r="D14" i="7"/>
  <c r="D54" i="7"/>
  <c r="J8" i="7"/>
  <c r="BN8" i="7"/>
  <c r="AP8" i="7"/>
  <c r="D46" i="7"/>
  <c r="D70" i="7"/>
  <c r="D45" i="7"/>
  <c r="D29" i="7"/>
  <c r="D37" i="7"/>
  <c r="C8" i="7"/>
  <c r="D7" i="7"/>
  <c r="BE8" i="7"/>
  <c r="D21" i="7"/>
  <c r="Q8" i="7"/>
  <c r="BM8" i="7"/>
  <c r="AO8" i="7"/>
  <c r="Y8" i="7"/>
  <c r="I8" i="7"/>
  <c r="BK8" i="7"/>
  <c r="AG8" i="7"/>
  <c r="D19" i="7"/>
  <c r="D6" i="7"/>
  <c r="E10" i="8"/>
  <c r="AC10" i="8"/>
  <c r="D17" i="8"/>
  <c r="F10" i="8"/>
  <c r="D16" i="8"/>
  <c r="O10" i="8"/>
  <c r="D23" i="8"/>
  <c r="D31" i="8"/>
  <c r="D39" i="8"/>
  <c r="H10" i="8"/>
  <c r="AN10" i="8"/>
  <c r="D14" i="8"/>
  <c r="I10" i="8"/>
  <c r="Q10" i="8"/>
  <c r="Y10" i="8"/>
  <c r="AG10" i="8"/>
  <c r="AO10" i="8"/>
  <c r="D21" i="8"/>
  <c r="J10" i="8"/>
  <c r="D12" i="8"/>
  <c r="C10" i="8"/>
  <c r="K10" i="8"/>
  <c r="AI10" i="8"/>
  <c r="D11" i="8"/>
  <c r="D35" i="8"/>
  <c r="D10" i="8"/>
  <c r="AB10" i="8"/>
  <c r="AJ10" i="8"/>
  <c r="D34" i="8"/>
  <c r="D8" i="8"/>
  <c r="D2" i="7"/>
  <c r="D4" i="7" s="1"/>
  <c r="D2" i="8"/>
  <c r="D4" i="8" s="1"/>
  <c r="D47" i="8"/>
  <c r="D46" i="8"/>
  <c r="D9" i="8"/>
  <c r="B10" i="8"/>
  <c r="AE57" i="7"/>
  <c r="AC35" i="7"/>
  <c r="AE2" i="15"/>
  <c r="AE4" i="15" s="1"/>
  <c r="AE2" i="10"/>
  <c r="AE4" i="10" s="1"/>
  <c r="AE67" i="7"/>
  <c r="O35" i="7"/>
  <c r="BK35" i="7"/>
  <c r="AE61" i="7"/>
  <c r="AM35" i="7"/>
  <c r="AS35" i="7"/>
  <c r="AG35" i="7"/>
  <c r="AE68" i="7"/>
  <c r="AU35" i="7"/>
  <c r="BI35" i="7"/>
  <c r="G35" i="7"/>
  <c r="AE69" i="7"/>
  <c r="AE65" i="7"/>
  <c r="AE51" i="7"/>
  <c r="AB35" i="7"/>
  <c r="AZ35" i="7"/>
  <c r="BL35" i="7"/>
  <c r="BH35" i="7"/>
  <c r="AR35" i="7"/>
  <c r="L35" i="7"/>
  <c r="D35" i="7"/>
  <c r="AE40" i="7"/>
  <c r="AJ35" i="7"/>
  <c r="AE35" i="7"/>
  <c r="AE56" i="7"/>
  <c r="BC35" i="7"/>
  <c r="E35" i="7"/>
  <c r="AT35" i="7"/>
  <c r="AE59" i="7"/>
  <c r="BA35" i="7"/>
  <c r="AE19" i="7"/>
  <c r="AE49" i="7"/>
  <c r="AE16" i="7"/>
  <c r="AE60" i="7"/>
  <c r="AE44" i="7"/>
  <c r="AE8" i="7"/>
  <c r="AV35" i="7"/>
  <c r="AE12" i="7"/>
  <c r="AE50" i="7"/>
  <c r="AE64" i="7"/>
  <c r="H35" i="7"/>
  <c r="BJ35" i="7"/>
  <c r="AE66" i="7"/>
  <c r="BD35" i="7"/>
  <c r="AN35" i="7"/>
  <c r="AE36" i="7"/>
  <c r="AE48" i="7"/>
  <c r="BE35" i="7"/>
  <c r="P35" i="7"/>
  <c r="AE58" i="7"/>
  <c r="AF35" i="7"/>
  <c r="BM35" i="7"/>
  <c r="AE42" i="7"/>
  <c r="C35" i="7"/>
  <c r="AE9" i="7"/>
  <c r="AE43" i="7"/>
  <c r="AE20" i="7"/>
  <c r="AE10" i="7"/>
  <c r="AE39" i="7"/>
  <c r="AA35" i="7"/>
  <c r="Y35" i="7"/>
  <c r="AE15" i="7"/>
  <c r="AQ35" i="7"/>
  <c r="AE33" i="7"/>
  <c r="AW35" i="7"/>
  <c r="AE32" i="7"/>
  <c r="AI35" i="7"/>
  <c r="AO35" i="7"/>
  <c r="Q35" i="7"/>
  <c r="AY35" i="7"/>
  <c r="BO35" i="7"/>
  <c r="AE71" i="7"/>
  <c r="BB35" i="7"/>
  <c r="AE53" i="7"/>
  <c r="AE37" i="7"/>
  <c r="AE11" i="7"/>
  <c r="AE55" i="7"/>
  <c r="AL35" i="7"/>
  <c r="F35" i="7"/>
  <c r="R35" i="7"/>
  <c r="AE46" i="7"/>
  <c r="AE31" i="7"/>
  <c r="K35" i="7"/>
  <c r="AE47" i="7"/>
  <c r="BF35" i="7"/>
  <c r="AE22" i="7"/>
  <c r="AE70" i="7"/>
  <c r="AH35" i="7"/>
  <c r="BG35" i="7"/>
  <c r="I35" i="7"/>
  <c r="AX35" i="7"/>
  <c r="AE38" i="7"/>
  <c r="AE30" i="7"/>
  <c r="J35" i="7"/>
  <c r="BN35" i="7"/>
  <c r="AE54" i="7"/>
  <c r="Z35" i="7"/>
  <c r="AE63" i="7"/>
  <c r="AE6" i="7"/>
  <c r="AE14" i="7"/>
  <c r="AP35" i="7"/>
  <c r="AE13" i="7"/>
  <c r="AE62" i="7"/>
  <c r="AE29" i="7"/>
  <c r="AE21" i="7"/>
  <c r="AE45" i="7"/>
  <c r="AE7" i="7"/>
  <c r="B35" i="7"/>
  <c r="AE12" i="8"/>
  <c r="H37" i="8"/>
  <c r="P37" i="8"/>
  <c r="AF37" i="8"/>
  <c r="AN37" i="8"/>
  <c r="AE11" i="8"/>
  <c r="AE35" i="8"/>
  <c r="I37" i="8"/>
  <c r="Q37" i="8"/>
  <c r="Y37" i="8"/>
  <c r="AG37" i="8"/>
  <c r="AO37" i="8"/>
  <c r="AE10" i="8"/>
  <c r="AE18" i="8"/>
  <c r="AE34" i="8"/>
  <c r="J37" i="8"/>
  <c r="R37" i="8"/>
  <c r="Z37" i="8"/>
  <c r="AH37" i="8"/>
  <c r="AE42" i="8"/>
  <c r="AE17" i="8"/>
  <c r="AE33" i="8"/>
  <c r="C37" i="8"/>
  <c r="K37" i="8"/>
  <c r="AA37" i="8"/>
  <c r="AI37" i="8"/>
  <c r="AE16" i="8"/>
  <c r="AE24" i="8"/>
  <c r="AE32" i="8"/>
  <c r="D37" i="8"/>
  <c r="L37" i="8"/>
  <c r="AB37" i="8"/>
  <c r="AJ37" i="8"/>
  <c r="AE40" i="8"/>
  <c r="AE15" i="8"/>
  <c r="AE23" i="8"/>
  <c r="AE31" i="8"/>
  <c r="E37" i="8"/>
  <c r="AC37" i="8"/>
  <c r="AE39" i="8"/>
  <c r="AE14" i="8"/>
  <c r="AE22" i="8"/>
  <c r="F37" i="8"/>
  <c r="AL37" i="8"/>
  <c r="AE38" i="8"/>
  <c r="AE13" i="8"/>
  <c r="AE21" i="8"/>
  <c r="G37" i="8"/>
  <c r="O37" i="8"/>
  <c r="AE37" i="8"/>
  <c r="AE46" i="8"/>
  <c r="AE44" i="8"/>
  <c r="AM37" i="8"/>
  <c r="AE45" i="8"/>
  <c r="AE9" i="8"/>
  <c r="AE8" i="8"/>
  <c r="AE2" i="7"/>
  <c r="AE4" i="7" s="1"/>
  <c r="AE2" i="8"/>
  <c r="AE4" i="8" s="1"/>
  <c r="B37" i="8"/>
  <c r="AE41" i="8"/>
  <c r="AE47" i="8"/>
  <c r="AI2" i="10"/>
  <c r="AI4" i="10" s="1"/>
  <c r="AI2" i="15"/>
  <c r="AI4" i="15" s="1"/>
  <c r="BJ39" i="7"/>
  <c r="AO39" i="7"/>
  <c r="BI39" i="7"/>
  <c r="AI32" i="7"/>
  <c r="BM39" i="7"/>
  <c r="AJ39" i="7"/>
  <c r="AI67" i="7"/>
  <c r="AI15" i="7"/>
  <c r="F39" i="7"/>
  <c r="AX39" i="7"/>
  <c r="BH39" i="7"/>
  <c r="H39" i="7"/>
  <c r="AI33" i="7"/>
  <c r="I39" i="7"/>
  <c r="BO39" i="7"/>
  <c r="AI58" i="7"/>
  <c r="AI68" i="7"/>
  <c r="AI9" i="7"/>
  <c r="BG39" i="7"/>
  <c r="Q39" i="7"/>
  <c r="K39" i="7"/>
  <c r="AI69" i="7"/>
  <c r="AI10" i="7"/>
  <c r="E39" i="7"/>
  <c r="AC39" i="7"/>
  <c r="AI48" i="7"/>
  <c r="AI12" i="7"/>
  <c r="D39" i="7"/>
  <c r="O39" i="7"/>
  <c r="Y39" i="7"/>
  <c r="AI39" i="7"/>
  <c r="BL39" i="7"/>
  <c r="AI50" i="7"/>
  <c r="AI61" i="7"/>
  <c r="AR39" i="7"/>
  <c r="J39" i="7"/>
  <c r="BN39" i="7"/>
  <c r="AI64" i="7"/>
  <c r="AI51" i="7"/>
  <c r="AI71" i="7"/>
  <c r="AI47" i="7"/>
  <c r="AT39" i="7"/>
  <c r="AG39" i="7"/>
  <c r="AQ39" i="7"/>
  <c r="AN39" i="7"/>
  <c r="AB39" i="7"/>
  <c r="AI44" i="7"/>
  <c r="AI65" i="7"/>
  <c r="AI29" i="7"/>
  <c r="AU39" i="7"/>
  <c r="BE39" i="7"/>
  <c r="BB39" i="7"/>
  <c r="AI45" i="7"/>
  <c r="AI56" i="7"/>
  <c r="AI63" i="7"/>
  <c r="AP39" i="7"/>
  <c r="AI66" i="7"/>
  <c r="AZ39" i="7"/>
  <c r="AI54" i="7"/>
  <c r="AI46" i="7"/>
  <c r="AI14" i="7"/>
  <c r="BK39" i="7"/>
  <c r="AI21" i="7"/>
  <c r="C39" i="7"/>
  <c r="AI70" i="7"/>
  <c r="AI7" i="7"/>
  <c r="AI37" i="7"/>
  <c r="AI6" i="7"/>
  <c r="AI19" i="7"/>
  <c r="B39" i="7"/>
  <c r="AI16" i="8"/>
  <c r="AI23" i="8"/>
  <c r="AI31" i="8"/>
  <c r="AI39" i="8"/>
  <c r="E41" i="8"/>
  <c r="AC41" i="8"/>
  <c r="AI14" i="8"/>
  <c r="F41" i="8"/>
  <c r="AI21" i="8"/>
  <c r="AI12" i="8"/>
  <c r="H41" i="8"/>
  <c r="AN41" i="8"/>
  <c r="AI11" i="8"/>
  <c r="AI35" i="8"/>
  <c r="AI34" i="8"/>
  <c r="J41" i="8"/>
  <c r="AI17" i="8"/>
  <c r="AI41" i="8"/>
  <c r="B41" i="8"/>
  <c r="AI2" i="8"/>
  <c r="AI4" i="8" s="1"/>
  <c r="C41" i="8"/>
  <c r="AJ41" i="8"/>
  <c r="D41" i="8"/>
  <c r="I41" i="8"/>
  <c r="Y41" i="8"/>
  <c r="AO41" i="8"/>
  <c r="AI47" i="8"/>
  <c r="K41" i="8"/>
  <c r="AI46" i="8"/>
  <c r="AB41" i="8"/>
  <c r="O41" i="8"/>
  <c r="AI9" i="8"/>
  <c r="Q41" i="8"/>
  <c r="AG41" i="8"/>
  <c r="AI8" i="8"/>
  <c r="AI2" i="7"/>
  <c r="AI4" i="7" s="1"/>
  <c r="BF2" i="10"/>
  <c r="BF4" i="10" s="1"/>
  <c r="BF2" i="15"/>
  <c r="BF4" i="15" s="1"/>
  <c r="BL62" i="7"/>
  <c r="BM62" i="7"/>
  <c r="AT62" i="7"/>
  <c r="H62" i="7"/>
  <c r="AG62" i="7"/>
  <c r="BF31" i="7"/>
  <c r="BB62" i="7"/>
  <c r="AO62" i="7"/>
  <c r="AF62" i="7"/>
  <c r="BF71" i="7"/>
  <c r="BJ62" i="7"/>
  <c r="I62" i="7"/>
  <c r="Q62" i="7"/>
  <c r="BI62" i="7"/>
  <c r="BF40" i="7"/>
  <c r="BF33" i="7"/>
  <c r="BF51" i="7"/>
  <c r="BF14" i="7"/>
  <c r="BF47" i="7"/>
  <c r="E62" i="7"/>
  <c r="AC62" i="7"/>
  <c r="BF15" i="7"/>
  <c r="AN62" i="7"/>
  <c r="BF8" i="7"/>
  <c r="BF36" i="7"/>
  <c r="Y62" i="7"/>
  <c r="BF9" i="7"/>
  <c r="BF44" i="7"/>
  <c r="BE62" i="7"/>
  <c r="F62" i="7"/>
  <c r="BF10" i="7"/>
  <c r="BF45" i="7"/>
  <c r="BF48" i="7"/>
  <c r="BF46" i="7"/>
  <c r="BF63" i="7"/>
  <c r="AS62" i="7"/>
  <c r="BF12" i="7"/>
  <c r="BF49" i="7"/>
  <c r="BF39" i="7"/>
  <c r="BF16" i="7"/>
  <c r="BF32" i="7"/>
  <c r="BF50" i="7"/>
  <c r="D62" i="7"/>
  <c r="AQ62" i="7"/>
  <c r="AP62" i="7"/>
  <c r="BF11" i="7"/>
  <c r="BF7" i="7"/>
  <c r="AU62" i="7"/>
  <c r="BH62" i="7"/>
  <c r="AI62" i="7"/>
  <c r="BF6" i="7"/>
  <c r="B62" i="7"/>
  <c r="AZ62" i="7"/>
  <c r="AA62" i="7"/>
  <c r="BF21" i="7"/>
  <c r="AR62" i="7"/>
  <c r="AJ62" i="7"/>
  <c r="K62" i="7"/>
  <c r="J62" i="7"/>
  <c r="BF29" i="7"/>
  <c r="O62" i="7"/>
  <c r="AB62" i="7"/>
  <c r="BO62" i="7"/>
  <c r="BF54" i="7"/>
  <c r="BN62" i="7"/>
  <c r="G62" i="7"/>
  <c r="BG62" i="7"/>
  <c r="BF70" i="7"/>
  <c r="BF69" i="7"/>
  <c r="BF68" i="7"/>
  <c r="BF67" i="7"/>
  <c r="BF66" i="7"/>
  <c r="BF65" i="7"/>
  <c r="BF64" i="7"/>
  <c r="BF62" i="7"/>
  <c r="BF61" i="7"/>
  <c r="BF58" i="7"/>
  <c r="BF56" i="7"/>
  <c r="BF37" i="7"/>
  <c r="BF13" i="7"/>
  <c r="BF19" i="7"/>
  <c r="C62" i="7"/>
  <c r="BK62" i="7"/>
  <c r="L62" i="7"/>
  <c r="AX62" i="7"/>
  <c r="BF2" i="7"/>
  <c r="BF4" i="7" s="1"/>
  <c r="BF2" i="8"/>
  <c r="BF4" i="8" s="1"/>
  <c r="M59" i="5"/>
  <c r="T59" i="5"/>
  <c r="X10" i="5"/>
  <c r="X9" i="6" s="1"/>
  <c r="AA82" i="6"/>
  <c r="AA81" i="6"/>
  <c r="F99" i="6"/>
  <c r="K99" i="6"/>
  <c r="AA75" i="6"/>
  <c r="I99" i="6"/>
  <c r="AA80" i="6"/>
  <c r="Q99" i="6"/>
  <c r="AA99" i="6"/>
  <c r="AA87" i="6"/>
  <c r="AA77" i="6"/>
  <c r="Y99" i="6"/>
  <c r="D99" i="6"/>
  <c r="E99" i="6"/>
  <c r="O99" i="6"/>
  <c r="J99" i="6"/>
  <c r="AA97" i="6"/>
  <c r="AA74" i="6"/>
  <c r="AA78" i="6"/>
  <c r="AA76" i="6"/>
  <c r="H99" i="6"/>
  <c r="AA83" i="6"/>
  <c r="AA2" i="10"/>
  <c r="AA4" i="10" s="1"/>
  <c r="AA89" i="6"/>
  <c r="B99" i="6"/>
  <c r="C99" i="6"/>
  <c r="AA21" i="15"/>
  <c r="AA14" i="15"/>
  <c r="AA69" i="6"/>
  <c r="AA72" i="6" s="1"/>
  <c r="J33" i="15"/>
  <c r="O33" i="15"/>
  <c r="AA12" i="15"/>
  <c r="AA31" i="15"/>
  <c r="AA23" i="15"/>
  <c r="AA15" i="15"/>
  <c r="AA8" i="15"/>
  <c r="AA33" i="15"/>
  <c r="AA10" i="15"/>
  <c r="AA2" i="15"/>
  <c r="AA4" i="15" s="1"/>
  <c r="AA17" i="15"/>
  <c r="K33" i="15"/>
  <c r="H33" i="15"/>
  <c r="Q33" i="15"/>
  <c r="AA16" i="15"/>
  <c r="C33" i="15"/>
  <c r="F33" i="15"/>
  <c r="E33" i="15"/>
  <c r="I33" i="15"/>
  <c r="AA9" i="15"/>
  <c r="AA11" i="15"/>
  <c r="B33" i="15"/>
  <c r="AA51" i="7"/>
  <c r="D33" i="15"/>
  <c r="Y33" i="15"/>
  <c r="AA9" i="7"/>
  <c r="AO31" i="7"/>
  <c r="Y31" i="7"/>
  <c r="BN31" i="7"/>
  <c r="AA67" i="7"/>
  <c r="BM31" i="7"/>
  <c r="AA10" i="7"/>
  <c r="AC31" i="7"/>
  <c r="BL31" i="7"/>
  <c r="AQ31" i="7"/>
  <c r="AA58" i="7"/>
  <c r="AA68" i="7"/>
  <c r="AA39" i="7"/>
  <c r="AA12" i="7"/>
  <c r="AB31" i="7"/>
  <c r="AN31" i="7"/>
  <c r="BK31" i="7"/>
  <c r="K31" i="7"/>
  <c r="AA69" i="7"/>
  <c r="AA47" i="7"/>
  <c r="AJ31" i="7"/>
  <c r="AX31" i="7"/>
  <c r="E31" i="7"/>
  <c r="AA31" i="7"/>
  <c r="AR31" i="7"/>
  <c r="AT31" i="7"/>
  <c r="BI31" i="7"/>
  <c r="J31" i="7"/>
  <c r="BO31" i="7"/>
  <c r="AA61" i="7"/>
  <c r="AA40" i="7"/>
  <c r="AA71" i="7"/>
  <c r="AZ31" i="7"/>
  <c r="BB31" i="7"/>
  <c r="I31" i="7"/>
  <c r="Q31" i="7"/>
  <c r="AA32" i="7"/>
  <c r="AU31" i="7"/>
  <c r="AA64" i="7"/>
  <c r="AA50" i="7"/>
  <c r="BH31" i="7"/>
  <c r="BJ31" i="7"/>
  <c r="AI31" i="7"/>
  <c r="BE31" i="7"/>
  <c r="AA33" i="7"/>
  <c r="O31" i="7"/>
  <c r="AA65" i="7"/>
  <c r="AA44" i="7"/>
  <c r="H31" i="7"/>
  <c r="AA66" i="7"/>
  <c r="BG31" i="7"/>
  <c r="AG31" i="7"/>
  <c r="AA48" i="7"/>
  <c r="AA54" i="7"/>
  <c r="AP31" i="7"/>
  <c r="AA19" i="7"/>
  <c r="AA63" i="7"/>
  <c r="AA15" i="7"/>
  <c r="AA8" i="7"/>
  <c r="D31" i="7"/>
  <c r="F31" i="7"/>
  <c r="AA56" i="7"/>
  <c r="AA46" i="7"/>
  <c r="AA14" i="7"/>
  <c r="AA37" i="7"/>
  <c r="AA70" i="7"/>
  <c r="AA7" i="7"/>
  <c r="C31" i="7"/>
  <c r="AA6" i="7"/>
  <c r="AA45" i="7"/>
  <c r="B31" i="7"/>
  <c r="AA21" i="7"/>
  <c r="AA13" i="7"/>
  <c r="AA29" i="7"/>
  <c r="AA16" i="8"/>
  <c r="D33" i="8"/>
  <c r="AB33" i="8"/>
  <c r="AJ33" i="8"/>
  <c r="AA15" i="8"/>
  <c r="AA23" i="8"/>
  <c r="AA31" i="8"/>
  <c r="E33" i="8"/>
  <c r="AC33" i="8"/>
  <c r="AA39" i="8"/>
  <c r="AA14" i="8"/>
  <c r="F33" i="8"/>
  <c r="AA21" i="8"/>
  <c r="O33" i="8"/>
  <c r="AA12" i="8"/>
  <c r="H33" i="8"/>
  <c r="AN33" i="8"/>
  <c r="AA11" i="8"/>
  <c r="I33" i="8"/>
  <c r="Q33" i="8"/>
  <c r="Y33" i="8"/>
  <c r="AG33" i="8"/>
  <c r="AO33" i="8"/>
  <c r="AA35" i="8"/>
  <c r="AA10" i="8"/>
  <c r="J33" i="8"/>
  <c r="AA34" i="8"/>
  <c r="AA42" i="8"/>
  <c r="AA17" i="8"/>
  <c r="C33" i="8"/>
  <c r="K33" i="8"/>
  <c r="AA33" i="8"/>
  <c r="AI33" i="8"/>
  <c r="AA2" i="8"/>
  <c r="AA4" i="8" s="1"/>
  <c r="AA47" i="8"/>
  <c r="AA41" i="8"/>
  <c r="AA46" i="8"/>
  <c r="AA9" i="8"/>
  <c r="B33" i="8"/>
  <c r="AA8" i="8"/>
  <c r="AA2" i="7"/>
  <c r="AA4" i="7" s="1"/>
  <c r="AF2" i="15"/>
  <c r="AF4" i="15" s="1"/>
  <c r="AF2" i="10"/>
  <c r="AF4" i="10" s="1"/>
  <c r="AG36" i="7"/>
  <c r="AF12" i="7"/>
  <c r="AF50" i="7"/>
  <c r="BB36" i="7"/>
  <c r="AF68" i="7"/>
  <c r="AF66" i="7"/>
  <c r="AF8" i="7"/>
  <c r="AT36" i="7"/>
  <c r="F36" i="7"/>
  <c r="AC36" i="7"/>
  <c r="AF61" i="7"/>
  <c r="AF10" i="7"/>
  <c r="AF33" i="7"/>
  <c r="AO36" i="7"/>
  <c r="AF67" i="7"/>
  <c r="AF58" i="7"/>
  <c r="AF32" i="7"/>
  <c r="E36" i="7"/>
  <c r="AB36" i="7"/>
  <c r="AN36" i="7"/>
  <c r="BM36" i="7"/>
  <c r="AF69" i="7"/>
  <c r="O36" i="7"/>
  <c r="BK36" i="7"/>
  <c r="BJ36" i="7"/>
  <c r="AF40" i="7"/>
  <c r="AF36" i="7"/>
  <c r="AF44" i="7"/>
  <c r="D36" i="7"/>
  <c r="Y36" i="7"/>
  <c r="Q36" i="7"/>
  <c r="H36" i="7"/>
  <c r="BH36" i="7"/>
  <c r="AR36" i="7"/>
  <c r="AF56" i="7"/>
  <c r="AZ36" i="7"/>
  <c r="AU36" i="7"/>
  <c r="I36" i="7"/>
  <c r="BI36" i="7"/>
  <c r="BL36" i="7"/>
  <c r="AF64" i="7"/>
  <c r="AJ36" i="7"/>
  <c r="K36" i="7"/>
  <c r="J36" i="7"/>
  <c r="AF63" i="7"/>
  <c r="BE36" i="7"/>
  <c r="AA36" i="7"/>
  <c r="AQ36" i="7"/>
  <c r="AF48" i="7"/>
  <c r="AF51" i="7"/>
  <c r="AI36" i="7"/>
  <c r="AF15" i="7"/>
  <c r="AF9" i="7"/>
  <c r="BO36" i="7"/>
  <c r="AF65" i="7"/>
  <c r="AF31" i="7"/>
  <c r="AF70" i="7"/>
  <c r="AF71" i="7"/>
  <c r="AF39" i="7"/>
  <c r="AF46" i="7"/>
  <c r="AF16" i="7"/>
  <c r="AF47" i="7"/>
  <c r="BG36" i="7"/>
  <c r="L36" i="7"/>
  <c r="AX36" i="7"/>
  <c r="AF14" i="7"/>
  <c r="AP36" i="7"/>
  <c r="BN36" i="7"/>
  <c r="AF45" i="7"/>
  <c r="AF21" i="7"/>
  <c r="AF13" i="7"/>
  <c r="AF7" i="7"/>
  <c r="AF54" i="7"/>
  <c r="AF29" i="7"/>
  <c r="AF19" i="7"/>
  <c r="C36" i="7"/>
  <c r="AF37" i="7"/>
  <c r="AF6" i="7"/>
  <c r="B36" i="7"/>
  <c r="AF21" i="8"/>
  <c r="I38" i="8"/>
  <c r="Q38" i="8"/>
  <c r="Y38" i="8"/>
  <c r="AG38" i="8"/>
  <c r="AO38" i="8"/>
  <c r="AF12" i="8"/>
  <c r="J38" i="8"/>
  <c r="AF11" i="8"/>
  <c r="AF35" i="8"/>
  <c r="C38" i="8"/>
  <c r="K38" i="8"/>
  <c r="AA38" i="8"/>
  <c r="AI38" i="8"/>
  <c r="AF10" i="8"/>
  <c r="AF18" i="8"/>
  <c r="AF34" i="8"/>
  <c r="D38" i="8"/>
  <c r="L38" i="8"/>
  <c r="AB38" i="8"/>
  <c r="AJ38" i="8"/>
  <c r="AF17" i="8"/>
  <c r="AF33" i="8"/>
  <c r="E38" i="8"/>
  <c r="AC38" i="8"/>
  <c r="AF41" i="8"/>
  <c r="AF16" i="8"/>
  <c r="F38" i="8"/>
  <c r="AF15" i="8"/>
  <c r="AF23" i="8"/>
  <c r="AF31" i="8"/>
  <c r="O38" i="8"/>
  <c r="AF39" i="8"/>
  <c r="AF14" i="8"/>
  <c r="AF47" i="8"/>
  <c r="AF46" i="8"/>
  <c r="AF2" i="7"/>
  <c r="AF4" i="7" s="1"/>
  <c r="AF2" i="8"/>
  <c r="AF4" i="8" s="1"/>
  <c r="H38" i="8"/>
  <c r="B38" i="8"/>
  <c r="AF9" i="8"/>
  <c r="AF8" i="8"/>
  <c r="AF42" i="8"/>
  <c r="AF38" i="8"/>
  <c r="AN38" i="8"/>
  <c r="AJ2" i="15"/>
  <c r="AJ4" i="15" s="1"/>
  <c r="AJ10" i="7"/>
  <c r="AJ2" i="10"/>
  <c r="AJ4" i="10" s="1"/>
  <c r="AJ66" i="7"/>
  <c r="B40" i="7"/>
  <c r="O40" i="7"/>
  <c r="AJ65" i="7"/>
  <c r="AJ68" i="7"/>
  <c r="AJ67" i="7"/>
  <c r="AJ48" i="7"/>
  <c r="BK40" i="7"/>
  <c r="AT40" i="7"/>
  <c r="BL40" i="7"/>
  <c r="AU40" i="7"/>
  <c r="AJ51" i="7"/>
  <c r="BI40" i="7"/>
  <c r="AJ33" i="7"/>
  <c r="AJ44" i="7"/>
  <c r="AJ50" i="7"/>
  <c r="H40" i="7"/>
  <c r="AJ12" i="7"/>
  <c r="AB40" i="7"/>
  <c r="AN40" i="7"/>
  <c r="AJ64" i="7"/>
  <c r="D40" i="7"/>
  <c r="F40" i="7"/>
  <c r="BH40" i="7"/>
  <c r="E40" i="7"/>
  <c r="AJ32" i="7"/>
  <c r="BB40" i="7"/>
  <c r="AC40" i="7"/>
  <c r="AJ40" i="7"/>
  <c r="AJ69" i="7"/>
  <c r="AJ58" i="7"/>
  <c r="AJ56" i="7"/>
  <c r="AZ40" i="7"/>
  <c r="AJ61" i="7"/>
  <c r="AJ71" i="7"/>
  <c r="AJ47" i="7"/>
  <c r="AJ37" i="7"/>
  <c r="AI40" i="7"/>
  <c r="AR40" i="7"/>
  <c r="AJ9" i="7"/>
  <c r="AJ15" i="7"/>
  <c r="BJ40" i="7"/>
  <c r="BO40" i="7"/>
  <c r="AQ40" i="7"/>
  <c r="BG40" i="7"/>
  <c r="AJ46" i="7"/>
  <c r="AJ54" i="7"/>
  <c r="AP40" i="7"/>
  <c r="K40" i="7"/>
  <c r="AX40" i="7"/>
  <c r="AJ63" i="7"/>
  <c r="BN40" i="7"/>
  <c r="AJ14" i="7"/>
  <c r="J40" i="7"/>
  <c r="Q40" i="7"/>
  <c r="BE40" i="7"/>
  <c r="AJ21" i="7"/>
  <c r="AJ19" i="7"/>
  <c r="AJ7" i="7"/>
  <c r="AJ70" i="7"/>
  <c r="BM40" i="7"/>
  <c r="AJ45" i="7"/>
  <c r="AJ29" i="7"/>
  <c r="AO40" i="7"/>
  <c r="C40" i="7"/>
  <c r="Y40" i="7"/>
  <c r="AJ6" i="7"/>
  <c r="AG40" i="7"/>
  <c r="I40" i="7"/>
  <c r="AJ17" i="8"/>
  <c r="AJ16" i="8"/>
  <c r="F42" i="8"/>
  <c r="AJ23" i="8"/>
  <c r="AJ31" i="8"/>
  <c r="AJ39" i="8"/>
  <c r="O42" i="8"/>
  <c r="AJ14" i="8"/>
  <c r="AJ21" i="8"/>
  <c r="I42" i="8"/>
  <c r="Q42" i="8"/>
  <c r="Y42" i="8"/>
  <c r="AG42" i="8"/>
  <c r="AO42" i="8"/>
  <c r="AJ12" i="8"/>
  <c r="AJ11" i="8"/>
  <c r="AJ35" i="8"/>
  <c r="C42" i="8"/>
  <c r="K42" i="8"/>
  <c r="AI42" i="8"/>
  <c r="AJ34" i="8"/>
  <c r="AJ8" i="8"/>
  <c r="AJ2" i="7"/>
  <c r="AJ4" i="7" s="1"/>
  <c r="AJ2" i="8"/>
  <c r="AJ4" i="8" s="1"/>
  <c r="AB42" i="8"/>
  <c r="AN42" i="8"/>
  <c r="AC42" i="8"/>
  <c r="D42" i="8"/>
  <c r="AJ47" i="8"/>
  <c r="E42" i="8"/>
  <c r="AJ46" i="8"/>
  <c r="H42" i="8"/>
  <c r="J42" i="8"/>
  <c r="AJ42" i="8"/>
  <c r="B42" i="8"/>
  <c r="AJ9" i="8"/>
  <c r="AY2" i="15"/>
  <c r="AY4" i="15" s="1"/>
  <c r="AY2" i="10"/>
  <c r="AY4" i="10" s="1"/>
  <c r="AY54" i="7"/>
  <c r="BM55" i="7"/>
  <c r="AF55" i="7"/>
  <c r="AY42" i="7"/>
  <c r="AO55" i="7"/>
  <c r="AY49" i="7"/>
  <c r="BO55" i="7"/>
  <c r="AY65" i="7"/>
  <c r="AQ55" i="7"/>
  <c r="BK55" i="7"/>
  <c r="AY39" i="7"/>
  <c r="AY32" i="7"/>
  <c r="AB55" i="7"/>
  <c r="AC55" i="7"/>
  <c r="AY50" i="7"/>
  <c r="AY56" i="7"/>
  <c r="AY66" i="7"/>
  <c r="BE55" i="7"/>
  <c r="AY31" i="7"/>
  <c r="AY15" i="7"/>
  <c r="AY33" i="7"/>
  <c r="AJ55" i="7"/>
  <c r="AL55" i="7"/>
  <c r="AY44" i="7"/>
  <c r="H55" i="7"/>
  <c r="AY51" i="7"/>
  <c r="AY67" i="7"/>
  <c r="AU55" i="7"/>
  <c r="AX55" i="7"/>
  <c r="P55" i="7"/>
  <c r="AR55" i="7"/>
  <c r="AS55" i="7"/>
  <c r="AT55" i="7"/>
  <c r="AY45" i="7"/>
  <c r="AY58" i="7"/>
  <c r="AY68" i="7"/>
  <c r="O55" i="7"/>
  <c r="G55" i="7"/>
  <c r="AY9" i="7"/>
  <c r="AY8" i="7"/>
  <c r="AZ55" i="7"/>
  <c r="BA55" i="7"/>
  <c r="BB55" i="7"/>
  <c r="I55" i="7"/>
  <c r="AN55" i="7"/>
  <c r="J55" i="7"/>
  <c r="AY69" i="7"/>
  <c r="BF55" i="7"/>
  <c r="AY55" i="7"/>
  <c r="BG55" i="7"/>
  <c r="AY10" i="7"/>
  <c r="AY36" i="7"/>
  <c r="BH55" i="7"/>
  <c r="BI55" i="7"/>
  <c r="BJ55" i="7"/>
  <c r="Q55" i="7"/>
  <c r="BC55" i="7"/>
  <c r="Z55" i="7"/>
  <c r="R55" i="7"/>
  <c r="BL55" i="7"/>
  <c r="AY12" i="7"/>
  <c r="D55" i="7"/>
  <c r="E55" i="7"/>
  <c r="F55" i="7"/>
  <c r="AY40" i="7"/>
  <c r="Y55" i="7"/>
  <c r="BN55" i="7"/>
  <c r="AP55" i="7"/>
  <c r="AY61" i="7"/>
  <c r="K55" i="7"/>
  <c r="AH55" i="7"/>
  <c r="AW55" i="7"/>
  <c r="AY46" i="7"/>
  <c r="AY47" i="7"/>
  <c r="AG55" i="7"/>
  <c r="AY48" i="7"/>
  <c r="AY16" i="7"/>
  <c r="BD55" i="7"/>
  <c r="AY63" i="7"/>
  <c r="AY22" i="7"/>
  <c r="AY64" i="7"/>
  <c r="AM55" i="7"/>
  <c r="AI55" i="7"/>
  <c r="L55" i="7"/>
  <c r="AA55" i="7"/>
  <c r="AY71" i="7"/>
  <c r="AY21" i="7"/>
  <c r="C55" i="7"/>
  <c r="AY6" i="7"/>
  <c r="AY30" i="7"/>
  <c r="AY13" i="7"/>
  <c r="AY29" i="7"/>
  <c r="AY19" i="7"/>
  <c r="AY37" i="7"/>
  <c r="AY14" i="7"/>
  <c r="AY70" i="7"/>
  <c r="AY62" i="7"/>
  <c r="AY11" i="7"/>
  <c r="AY7" i="7"/>
  <c r="B55" i="7"/>
  <c r="AY2" i="8"/>
  <c r="AY4" i="8" s="1"/>
  <c r="AY2" i="7"/>
  <c r="AY4" i="7" s="1"/>
  <c r="T55" i="18"/>
  <c r="S53" i="19"/>
  <c r="U47" i="22"/>
  <c r="T45" i="23"/>
  <c r="H98" i="6"/>
  <c r="Z98" i="6"/>
  <c r="E98" i="6"/>
  <c r="F98" i="6"/>
  <c r="C98" i="6"/>
  <c r="Z97" i="6"/>
  <c r="Z79" i="6"/>
  <c r="Z77" i="6"/>
  <c r="Z76" i="6"/>
  <c r="Z2" i="10"/>
  <c r="Z4" i="10" s="1"/>
  <c r="K98" i="6"/>
  <c r="Z74" i="6"/>
  <c r="Z78" i="6"/>
  <c r="Z83" i="6"/>
  <c r="Z69" i="6"/>
  <c r="Z72" i="6" s="1"/>
  <c r="I98" i="6"/>
  <c r="Z89" i="6"/>
  <c r="G98" i="6"/>
  <c r="Q98" i="6"/>
  <c r="AA98" i="6"/>
  <c r="Z82" i="6"/>
  <c r="Z81" i="6"/>
  <c r="Z75" i="6"/>
  <c r="O98" i="6"/>
  <c r="Y98" i="6"/>
  <c r="D98" i="6"/>
  <c r="Z80" i="6"/>
  <c r="J98" i="6"/>
  <c r="L98" i="6"/>
  <c r="Z99" i="6"/>
  <c r="B98" i="6"/>
  <c r="R98" i="6"/>
  <c r="Z87" i="6"/>
  <c r="Z84" i="6"/>
  <c r="Z31" i="15"/>
  <c r="Z14" i="15"/>
  <c r="Z15" i="15"/>
  <c r="Z13" i="15"/>
  <c r="Z12" i="15"/>
  <c r="Z18" i="15"/>
  <c r="Z23" i="15"/>
  <c r="Z8" i="15"/>
  <c r="Z21" i="15"/>
  <c r="G32" i="15"/>
  <c r="L32" i="15"/>
  <c r="Z2" i="15"/>
  <c r="Z4" i="15" s="1"/>
  <c r="K32" i="15"/>
  <c r="Z16" i="15"/>
  <c r="Z9" i="15"/>
  <c r="D32" i="15"/>
  <c r="Z32" i="15"/>
  <c r="I32" i="15"/>
  <c r="F32" i="15"/>
  <c r="J32" i="15"/>
  <c r="C32" i="15"/>
  <c r="Z10" i="15"/>
  <c r="Z33" i="15"/>
  <c r="AA32" i="15"/>
  <c r="Z17" i="15"/>
  <c r="H32" i="15"/>
  <c r="Y32" i="15"/>
  <c r="Z11" i="15"/>
  <c r="E32" i="15"/>
  <c r="R32" i="15"/>
  <c r="O32" i="15"/>
  <c r="B32" i="15"/>
  <c r="Q32" i="15"/>
  <c r="O30" i="7"/>
  <c r="Z39" i="7"/>
  <c r="Z31" i="7"/>
  <c r="Z47" i="7"/>
  <c r="Z15" i="7"/>
  <c r="AR30" i="7"/>
  <c r="AT30" i="7"/>
  <c r="BI30" i="7"/>
  <c r="BL30" i="7"/>
  <c r="AS30" i="7"/>
  <c r="G30" i="7"/>
  <c r="Z49" i="7"/>
  <c r="AZ30" i="7"/>
  <c r="BB30" i="7"/>
  <c r="K30" i="7"/>
  <c r="BN30" i="7"/>
  <c r="AA30" i="7"/>
  <c r="Z40" i="7"/>
  <c r="Z50" i="7"/>
  <c r="Z63" i="7"/>
  <c r="Z46" i="7"/>
  <c r="BH30" i="7"/>
  <c r="BJ30" i="7"/>
  <c r="I30" i="7"/>
  <c r="Y30" i="7"/>
  <c r="Z32" i="7"/>
  <c r="Z51" i="7"/>
  <c r="Z8" i="7"/>
  <c r="D30" i="7"/>
  <c r="F30" i="7"/>
  <c r="H30" i="7"/>
  <c r="J30" i="7"/>
  <c r="AG30" i="7"/>
  <c r="AU30" i="7"/>
  <c r="Q30" i="7"/>
  <c r="Z42" i="7"/>
  <c r="Z33" i="7"/>
  <c r="Z54" i="7"/>
  <c r="Z9" i="7"/>
  <c r="L30" i="7"/>
  <c r="R30" i="7"/>
  <c r="AQ30" i="7"/>
  <c r="BO30" i="7"/>
  <c r="BG30" i="7"/>
  <c r="Z10" i="7"/>
  <c r="AC30" i="7"/>
  <c r="AO30" i="7"/>
  <c r="AF30" i="7"/>
  <c r="E30" i="7"/>
  <c r="Z44" i="7"/>
  <c r="Z71" i="7"/>
  <c r="Z16" i="7"/>
  <c r="AJ30" i="7"/>
  <c r="AL30" i="7"/>
  <c r="AX30" i="7"/>
  <c r="BK30" i="7"/>
  <c r="Z45" i="7"/>
  <c r="Z48" i="7"/>
  <c r="Z12" i="7"/>
  <c r="AI30" i="7"/>
  <c r="Z21" i="7"/>
  <c r="AB30" i="7"/>
  <c r="BF30" i="7"/>
  <c r="Z36" i="7"/>
  <c r="Z70" i="7"/>
  <c r="Z69" i="7"/>
  <c r="Z68" i="7"/>
  <c r="Z67" i="7"/>
  <c r="Z66" i="7"/>
  <c r="Z65" i="7"/>
  <c r="Z64" i="7"/>
  <c r="Z62" i="7"/>
  <c r="Z61" i="7"/>
  <c r="Z58" i="7"/>
  <c r="Z56" i="7"/>
  <c r="Z37" i="7"/>
  <c r="C30" i="7"/>
  <c r="AN30" i="7"/>
  <c r="Z29" i="7"/>
  <c r="BE30" i="7"/>
  <c r="Z13" i="7"/>
  <c r="Z19" i="7"/>
  <c r="Z7" i="7"/>
  <c r="Z6" i="7"/>
  <c r="AP30" i="7"/>
  <c r="Z14" i="7"/>
  <c r="BM30" i="7"/>
  <c r="Z11" i="7"/>
  <c r="B30" i="7"/>
  <c r="Z30" i="7"/>
  <c r="Z15" i="8"/>
  <c r="Z23" i="8"/>
  <c r="Z31" i="8"/>
  <c r="C32" i="8"/>
  <c r="K32" i="8"/>
  <c r="AA32" i="8"/>
  <c r="AI32" i="8"/>
  <c r="Z39" i="8"/>
  <c r="Z14" i="8"/>
  <c r="D32" i="8"/>
  <c r="L32" i="8"/>
  <c r="AB32" i="8"/>
  <c r="AJ32" i="8"/>
  <c r="Z38" i="8"/>
  <c r="Z13" i="8"/>
  <c r="Z21" i="8"/>
  <c r="E32" i="8"/>
  <c r="AC32" i="8"/>
  <c r="Z12" i="8"/>
  <c r="F32" i="8"/>
  <c r="AL32" i="8"/>
  <c r="Z11" i="8"/>
  <c r="G32" i="8"/>
  <c r="O32" i="8"/>
  <c r="Z35" i="8"/>
  <c r="Z10" i="8"/>
  <c r="Z18" i="8"/>
  <c r="H32" i="8"/>
  <c r="AF32" i="8"/>
  <c r="AN32" i="8"/>
  <c r="Z34" i="8"/>
  <c r="Z17" i="8"/>
  <c r="I32" i="8"/>
  <c r="Q32" i="8"/>
  <c r="Y32" i="8"/>
  <c r="AG32" i="8"/>
  <c r="AO32" i="8"/>
  <c r="Z33" i="8"/>
  <c r="Z41" i="8"/>
  <c r="Z16" i="8"/>
  <c r="J32" i="8"/>
  <c r="R32" i="8"/>
  <c r="Z32" i="8"/>
  <c r="B32" i="8"/>
  <c r="Z2" i="7"/>
  <c r="Z4" i="7" s="1"/>
  <c r="Z2" i="8"/>
  <c r="Z4" i="8" s="1"/>
  <c r="Z42" i="8"/>
  <c r="Z47" i="8"/>
  <c r="Z46" i="8"/>
  <c r="Z44" i="8"/>
  <c r="Z9" i="8"/>
  <c r="Z8" i="8"/>
  <c r="V41" i="5"/>
  <c r="O88" i="17"/>
  <c r="T4" i="18"/>
  <c r="S2" i="19"/>
  <c r="BC2" i="15"/>
  <c r="BC4" i="15" s="1"/>
  <c r="BC2" i="10"/>
  <c r="BC4" i="10" s="1"/>
  <c r="D59" i="7"/>
  <c r="AR59" i="7"/>
  <c r="BK59" i="7"/>
  <c r="BC16" i="7"/>
  <c r="BC64" i="7"/>
  <c r="BC51" i="7"/>
  <c r="BC67" i="7"/>
  <c r="H59" i="7"/>
  <c r="BC65" i="7"/>
  <c r="BJ59" i="7"/>
  <c r="BC48" i="7"/>
  <c r="BC12" i="7"/>
  <c r="BC56" i="7"/>
  <c r="AZ59" i="7"/>
  <c r="BA59" i="7"/>
  <c r="E59" i="7"/>
  <c r="BL59" i="7"/>
  <c r="BC66" i="7"/>
  <c r="AB59" i="7"/>
  <c r="O59" i="7"/>
  <c r="Y59" i="7"/>
  <c r="BC49" i="7"/>
  <c r="BH59" i="7"/>
  <c r="L59" i="7"/>
  <c r="AU59" i="7"/>
  <c r="BC68" i="7"/>
  <c r="BC50" i="7"/>
  <c r="G59" i="7"/>
  <c r="AS59" i="7"/>
  <c r="BC69" i="7"/>
  <c r="BD59" i="7"/>
  <c r="AC59" i="7"/>
  <c r="BC59" i="7"/>
  <c r="C59" i="7"/>
  <c r="AM59" i="7"/>
  <c r="BC37" i="7"/>
  <c r="BE59" i="7"/>
  <c r="I59" i="7"/>
  <c r="P59" i="7"/>
  <c r="BB59" i="7"/>
  <c r="AJ59" i="7"/>
  <c r="BC36" i="7"/>
  <c r="BC44" i="7"/>
  <c r="BC9" i="7"/>
  <c r="AL59" i="7"/>
  <c r="BC58" i="7"/>
  <c r="AT59" i="7"/>
  <c r="BC42" i="7"/>
  <c r="AF59" i="7"/>
  <c r="AO59" i="7"/>
  <c r="BM59" i="7"/>
  <c r="BC61" i="7"/>
  <c r="BC40" i="7"/>
  <c r="AN59" i="7"/>
  <c r="BC10" i="7"/>
  <c r="BC32" i="7"/>
  <c r="K59" i="7"/>
  <c r="BO59" i="7"/>
  <c r="BC33" i="7"/>
  <c r="AI59" i="7"/>
  <c r="AA59" i="7"/>
  <c r="BC15" i="7"/>
  <c r="F59" i="7"/>
  <c r="BC39" i="7"/>
  <c r="AW59" i="7"/>
  <c r="AY59" i="7"/>
  <c r="BI59" i="7"/>
  <c r="AG59" i="7"/>
  <c r="Q59" i="7"/>
  <c r="BC22" i="7"/>
  <c r="AQ59" i="7"/>
  <c r="BC63" i="7"/>
  <c r="BC47" i="7"/>
  <c r="BC31" i="7"/>
  <c r="BC71" i="7"/>
  <c r="BG59" i="7"/>
  <c r="BC30" i="7"/>
  <c r="BC54" i="7"/>
  <c r="BC62" i="7"/>
  <c r="AP59" i="7"/>
  <c r="BC46" i="7"/>
  <c r="BC70" i="7"/>
  <c r="AH59" i="7"/>
  <c r="BC45" i="7"/>
  <c r="Z59" i="7"/>
  <c r="BC29" i="7"/>
  <c r="BC13" i="7"/>
  <c r="BC19" i="7"/>
  <c r="BC14" i="7"/>
  <c r="R59" i="7"/>
  <c r="BC7" i="7"/>
  <c r="J59" i="7"/>
  <c r="BC11" i="7"/>
  <c r="BN59" i="7"/>
  <c r="BC6" i="7"/>
  <c r="BF59" i="7"/>
  <c r="BC21" i="7"/>
  <c r="AX59" i="7"/>
  <c r="BC8" i="7"/>
  <c r="B59" i="7"/>
  <c r="BC2" i="7"/>
  <c r="BC4" i="7" s="1"/>
  <c r="BC2" i="8"/>
  <c r="BC4" i="8" s="1"/>
  <c r="L74" i="6"/>
  <c r="L78" i="6"/>
  <c r="C84" i="6"/>
  <c r="L83" i="6"/>
  <c r="L89" i="6"/>
  <c r="F84" i="6"/>
  <c r="K84" i="6"/>
  <c r="L82" i="6"/>
  <c r="L81" i="6"/>
  <c r="I84" i="6"/>
  <c r="L75" i="6"/>
  <c r="L12" i="10"/>
  <c r="D84" i="6"/>
  <c r="Q84" i="6"/>
  <c r="AA84" i="6"/>
  <c r="L80" i="6"/>
  <c r="L84" i="6"/>
  <c r="Y84" i="6"/>
  <c r="B84" i="6"/>
  <c r="L99" i="6"/>
  <c r="L87" i="6"/>
  <c r="L77" i="6"/>
  <c r="O84" i="6"/>
  <c r="J84" i="6"/>
  <c r="E84" i="6"/>
  <c r="L76" i="6"/>
  <c r="L31" i="15"/>
  <c r="L97" i="6"/>
  <c r="H84" i="6"/>
  <c r="L8" i="15"/>
  <c r="K18" i="15"/>
  <c r="I18" i="15"/>
  <c r="L2" i="15"/>
  <c r="L4" i="15" s="1"/>
  <c r="L8" i="10"/>
  <c r="L69" i="6"/>
  <c r="L72" i="6" s="1"/>
  <c r="L11" i="10"/>
  <c r="I18" i="10"/>
  <c r="C18" i="15"/>
  <c r="L10" i="15"/>
  <c r="L10" i="10"/>
  <c r="L33" i="15"/>
  <c r="L23" i="15"/>
  <c r="L18" i="15"/>
  <c r="L18" i="10"/>
  <c r="H18" i="10"/>
  <c r="L15" i="15"/>
  <c r="Q18" i="10"/>
  <c r="L14" i="10"/>
  <c r="H18" i="15"/>
  <c r="L15" i="10"/>
  <c r="L12" i="15"/>
  <c r="C18" i="10"/>
  <c r="J18" i="15"/>
  <c r="L23" i="10"/>
  <c r="L21" i="15"/>
  <c r="L14" i="15"/>
  <c r="E18" i="10"/>
  <c r="AA18" i="15"/>
  <c r="E18" i="15"/>
  <c r="K18" i="10"/>
  <c r="L16" i="10"/>
  <c r="AJ16" i="7"/>
  <c r="L67" i="7"/>
  <c r="F18" i="15"/>
  <c r="D18" i="10"/>
  <c r="L2" i="10"/>
  <c r="L4" i="10" s="1"/>
  <c r="AB16" i="7"/>
  <c r="L48" i="7"/>
  <c r="L51" i="7"/>
  <c r="L68" i="7"/>
  <c r="D18" i="15"/>
  <c r="L9" i="10"/>
  <c r="L11" i="15"/>
  <c r="AR16" i="7"/>
  <c r="J18" i="10"/>
  <c r="L21" i="10"/>
  <c r="AZ16" i="7"/>
  <c r="BK16" i="7"/>
  <c r="B18" i="15"/>
  <c r="O18" i="15"/>
  <c r="B18" i="10"/>
  <c r="D16" i="7"/>
  <c r="Y18" i="15"/>
  <c r="O18" i="10"/>
  <c r="F18" i="10"/>
  <c r="L17" i="10"/>
  <c r="L16" i="15"/>
  <c r="L9" i="15"/>
  <c r="BH16" i="7"/>
  <c r="L61" i="7"/>
  <c r="L17" i="15"/>
  <c r="AC16" i="7"/>
  <c r="BL16" i="7"/>
  <c r="L12" i="7"/>
  <c r="L66" i="7"/>
  <c r="AT16" i="7"/>
  <c r="L33" i="7"/>
  <c r="Q18" i="15"/>
  <c r="L56" i="7"/>
  <c r="BJ16" i="7"/>
  <c r="L16" i="7"/>
  <c r="H16" i="7"/>
  <c r="E16" i="7"/>
  <c r="L10" i="7"/>
  <c r="L69" i="7"/>
  <c r="L64" i="7"/>
  <c r="O16" i="7"/>
  <c r="L65" i="7"/>
  <c r="L32" i="7"/>
  <c r="L44" i="7"/>
  <c r="AN16" i="7"/>
  <c r="L8" i="7"/>
  <c r="L9" i="7"/>
  <c r="BI16" i="7"/>
  <c r="L40" i="7"/>
  <c r="L50" i="7"/>
  <c r="F16" i="7"/>
  <c r="L31" i="7"/>
  <c r="L37" i="7"/>
  <c r="L39" i="7"/>
  <c r="L15" i="7"/>
  <c r="I16" i="7"/>
  <c r="AA16" i="7"/>
  <c r="K16" i="7"/>
  <c r="BB16" i="7"/>
  <c r="AU16" i="7"/>
  <c r="AQ16" i="7"/>
  <c r="AI16" i="7"/>
  <c r="L58" i="7"/>
  <c r="AG16" i="7"/>
  <c r="B16" i="7"/>
  <c r="L71" i="7"/>
  <c r="L47" i="7"/>
  <c r="J16" i="7"/>
  <c r="L63" i="7"/>
  <c r="BN16" i="7"/>
  <c r="L14" i="7"/>
  <c r="BO16" i="7"/>
  <c r="BG16" i="7"/>
  <c r="AX16" i="7"/>
  <c r="AP16" i="7"/>
  <c r="L19" i="7"/>
  <c r="L45" i="7"/>
  <c r="AO16" i="7"/>
  <c r="L29" i="7"/>
  <c r="Q16" i="7"/>
  <c r="L54" i="7"/>
  <c r="Y16" i="7"/>
  <c r="L7" i="7"/>
  <c r="L6" i="7"/>
  <c r="L46" i="7"/>
  <c r="BM16" i="7"/>
  <c r="BE16" i="7"/>
  <c r="L21" i="7"/>
  <c r="L13" i="7"/>
  <c r="C16" i="7"/>
  <c r="L70" i="7"/>
  <c r="L17" i="8"/>
  <c r="E18" i="8"/>
  <c r="AC18" i="8"/>
  <c r="L33" i="8"/>
  <c r="L16" i="8"/>
  <c r="F18" i="8"/>
  <c r="L15" i="8"/>
  <c r="O18" i="8"/>
  <c r="L23" i="8"/>
  <c r="L31" i="8"/>
  <c r="L39" i="8"/>
  <c r="L14" i="8"/>
  <c r="H18" i="8"/>
  <c r="AN18" i="8"/>
  <c r="I18" i="8"/>
  <c r="Q18" i="8"/>
  <c r="Y18" i="8"/>
  <c r="AG18" i="8"/>
  <c r="AO18" i="8"/>
  <c r="L21" i="8"/>
  <c r="L12" i="8"/>
  <c r="J18" i="8"/>
  <c r="L11" i="8"/>
  <c r="C18" i="8"/>
  <c r="K18" i="8"/>
  <c r="AA18" i="8"/>
  <c r="AI18" i="8"/>
  <c r="L35" i="8"/>
  <c r="L10" i="8"/>
  <c r="D18" i="8"/>
  <c r="L18" i="8"/>
  <c r="AB18" i="8"/>
  <c r="AJ18" i="8"/>
  <c r="L34" i="8"/>
  <c r="L42" i="8"/>
  <c r="L8" i="8"/>
  <c r="L2" i="7"/>
  <c r="L4" i="7" s="1"/>
  <c r="L2" i="8"/>
  <c r="L4" i="8" s="1"/>
  <c r="L47" i="8"/>
  <c r="L41" i="8"/>
  <c r="L46" i="8"/>
  <c r="B18" i="8"/>
  <c r="L9" i="8"/>
  <c r="G82" i="6"/>
  <c r="G79" i="6"/>
  <c r="G75" i="6"/>
  <c r="G81" i="6"/>
  <c r="B79" i="6"/>
  <c r="O79" i="6"/>
  <c r="G78" i="6"/>
  <c r="C79" i="6"/>
  <c r="E79" i="6"/>
  <c r="K79" i="6"/>
  <c r="H79" i="6"/>
  <c r="G99" i="6"/>
  <c r="G80" i="6"/>
  <c r="I79" i="6"/>
  <c r="G84" i="6"/>
  <c r="F13" i="10"/>
  <c r="G97" i="6"/>
  <c r="Q79" i="6"/>
  <c r="AA79" i="6"/>
  <c r="F79" i="6"/>
  <c r="G77" i="6"/>
  <c r="G87" i="6"/>
  <c r="Y79" i="6"/>
  <c r="D79" i="6"/>
  <c r="G76" i="6"/>
  <c r="G12" i="10"/>
  <c r="G31" i="15"/>
  <c r="G89" i="6"/>
  <c r="G74" i="6"/>
  <c r="J79" i="6"/>
  <c r="L79" i="6"/>
  <c r="G83" i="6"/>
  <c r="D13" i="15"/>
  <c r="K13" i="15"/>
  <c r="C13" i="10"/>
  <c r="G8" i="10"/>
  <c r="L13" i="10"/>
  <c r="G10" i="15"/>
  <c r="B13" i="10"/>
  <c r="G2" i="15"/>
  <c r="G4" i="15" s="1"/>
  <c r="C13" i="15"/>
  <c r="Q13" i="10"/>
  <c r="G12" i="15"/>
  <c r="G14" i="10"/>
  <c r="G13" i="10"/>
  <c r="G23" i="15"/>
  <c r="G23" i="10"/>
  <c r="H13" i="15"/>
  <c r="Y13" i="15"/>
  <c r="Q13" i="15"/>
  <c r="I13" i="10"/>
  <c r="G10" i="10"/>
  <c r="O13" i="10"/>
  <c r="G16" i="10"/>
  <c r="G15" i="10"/>
  <c r="J13" i="15"/>
  <c r="I13" i="15"/>
  <c r="B13" i="15"/>
  <c r="E13" i="15"/>
  <c r="H13" i="10"/>
  <c r="G14" i="15"/>
  <c r="G69" i="6"/>
  <c r="G72" i="6" s="1"/>
  <c r="F13" i="15"/>
  <c r="O13" i="15"/>
  <c r="E13" i="10"/>
  <c r="G2" i="10"/>
  <c r="G4" i="10" s="1"/>
  <c r="G15" i="15"/>
  <c r="G21" i="15"/>
  <c r="G13" i="15"/>
  <c r="J13" i="10"/>
  <c r="G8" i="15"/>
  <c r="AA13" i="15"/>
  <c r="G51" i="7"/>
  <c r="G21" i="10"/>
  <c r="G17" i="10"/>
  <c r="K13" i="10"/>
  <c r="G17" i="15"/>
  <c r="G11" i="15"/>
  <c r="G67" i="7"/>
  <c r="D13" i="10"/>
  <c r="G9" i="10"/>
  <c r="G65" i="7"/>
  <c r="G9" i="15"/>
  <c r="G66" i="7"/>
  <c r="G33" i="15"/>
  <c r="G16" i="15"/>
  <c r="G33" i="7"/>
  <c r="G68" i="7"/>
  <c r="AU11" i="7"/>
  <c r="G50" i="7"/>
  <c r="G56" i="7"/>
  <c r="G44" i="7"/>
  <c r="G49" i="7"/>
  <c r="G40" i="7"/>
  <c r="C11" i="7"/>
  <c r="G12" i="7"/>
  <c r="G48" i="7"/>
  <c r="L13" i="15"/>
  <c r="G32" i="7"/>
  <c r="G18" i="15"/>
  <c r="G16" i="7"/>
  <c r="G64" i="7"/>
  <c r="G69" i="7"/>
  <c r="G61" i="7"/>
  <c r="G18" i="10"/>
  <c r="G36" i="7"/>
  <c r="O11" i="7"/>
  <c r="G11" i="10"/>
  <c r="G71" i="7"/>
  <c r="G39" i="7"/>
  <c r="AA11" i="7"/>
  <c r="G58" i="7"/>
  <c r="Y11" i="7"/>
  <c r="K11" i="7"/>
  <c r="G10" i="7"/>
  <c r="G15" i="7"/>
  <c r="AQ11" i="7"/>
  <c r="G54" i="7"/>
  <c r="G46" i="7"/>
  <c r="G47" i="7"/>
  <c r="G31" i="7"/>
  <c r="G63" i="7"/>
  <c r="BK11" i="7"/>
  <c r="BG11" i="7"/>
  <c r="G37" i="7"/>
  <c r="L11" i="7"/>
  <c r="BO11" i="7"/>
  <c r="BM11" i="7"/>
  <c r="AO11" i="7"/>
  <c r="AG11" i="7"/>
  <c r="G11" i="7"/>
  <c r="G7" i="7"/>
  <c r="G14" i="7"/>
  <c r="AB11" i="7"/>
  <c r="AC11" i="7"/>
  <c r="AF11" i="7"/>
  <c r="AX11" i="7"/>
  <c r="G45" i="7"/>
  <c r="G21" i="7"/>
  <c r="AJ11" i="7"/>
  <c r="AN11" i="7"/>
  <c r="BN11" i="7"/>
  <c r="G6" i="7"/>
  <c r="AR11" i="7"/>
  <c r="AS11" i="7"/>
  <c r="AT11" i="7"/>
  <c r="G8" i="7"/>
  <c r="B11" i="7"/>
  <c r="AZ11" i="7"/>
  <c r="BB11" i="7"/>
  <c r="J11" i="7"/>
  <c r="G70" i="7"/>
  <c r="BE11" i="7"/>
  <c r="G29" i="7"/>
  <c r="BH11" i="7"/>
  <c r="BI11" i="7"/>
  <c r="BJ11" i="7"/>
  <c r="BL11" i="7"/>
  <c r="AI11" i="7"/>
  <c r="Q11" i="7"/>
  <c r="G13" i="7"/>
  <c r="I11" i="7"/>
  <c r="G19" i="7"/>
  <c r="D11" i="7"/>
  <c r="E11" i="7"/>
  <c r="F11" i="7"/>
  <c r="H11" i="7"/>
  <c r="G9" i="7"/>
  <c r="AP11" i="7"/>
  <c r="G12" i="8"/>
  <c r="H13" i="8"/>
  <c r="AF13" i="8"/>
  <c r="AN13" i="8"/>
  <c r="G11" i="8"/>
  <c r="I13" i="8"/>
  <c r="Q13" i="8"/>
  <c r="Y13" i="8"/>
  <c r="AG13" i="8"/>
  <c r="AO13" i="8"/>
  <c r="G35" i="8"/>
  <c r="G10" i="8"/>
  <c r="J13" i="8"/>
  <c r="G18" i="8"/>
  <c r="G34" i="8"/>
  <c r="G42" i="8"/>
  <c r="C13" i="8"/>
  <c r="K13" i="8"/>
  <c r="AA13" i="8"/>
  <c r="AI13" i="8"/>
  <c r="G17" i="8"/>
  <c r="G33" i="8"/>
  <c r="G41" i="8"/>
  <c r="D13" i="8"/>
  <c r="L13" i="8"/>
  <c r="AB13" i="8"/>
  <c r="AJ13" i="8"/>
  <c r="G16" i="8"/>
  <c r="E13" i="8"/>
  <c r="AC13" i="8"/>
  <c r="G15" i="8"/>
  <c r="G23" i="8"/>
  <c r="G31" i="8"/>
  <c r="G39" i="8"/>
  <c r="F13" i="8"/>
  <c r="G14" i="8"/>
  <c r="G38" i="8"/>
  <c r="G13" i="8"/>
  <c r="O13" i="8"/>
  <c r="G21" i="8"/>
  <c r="G46" i="8"/>
  <c r="G9" i="8"/>
  <c r="B13" i="8"/>
  <c r="G8" i="8"/>
  <c r="G2" i="7"/>
  <c r="G4" i="7" s="1"/>
  <c r="G2" i="8"/>
  <c r="G4" i="8" s="1"/>
  <c r="G47" i="8"/>
  <c r="AD33" i="7"/>
  <c r="AD2" i="15"/>
  <c r="AD4" i="15" s="1"/>
  <c r="AD2" i="10"/>
  <c r="AD4" i="10" s="1"/>
  <c r="AD67" i="7"/>
  <c r="AD52" i="7"/>
  <c r="AD69" i="7"/>
  <c r="E34" i="7"/>
  <c r="AD66" i="7"/>
  <c r="G34" i="7"/>
  <c r="AF34" i="7"/>
  <c r="O34" i="7"/>
  <c r="L34" i="7"/>
  <c r="AD16" i="7"/>
  <c r="Y34" i="7"/>
  <c r="AD34" i="7"/>
  <c r="AD8" i="7"/>
  <c r="AS34" i="7"/>
  <c r="AB34" i="7"/>
  <c r="AK34" i="7"/>
  <c r="P34" i="7"/>
  <c r="AC34" i="7"/>
  <c r="AD61" i="7"/>
  <c r="AD68" i="7"/>
  <c r="D34" i="7"/>
  <c r="AE34" i="7"/>
  <c r="BE34" i="7"/>
  <c r="AM34" i="7"/>
  <c r="BI34" i="7"/>
  <c r="AN34" i="7"/>
  <c r="AD48" i="7"/>
  <c r="AV34" i="7"/>
  <c r="AR34" i="7"/>
  <c r="I34" i="7"/>
  <c r="AZ34" i="7"/>
  <c r="AD51" i="7"/>
  <c r="BL34" i="7"/>
  <c r="AD49" i="7"/>
  <c r="BA34" i="7"/>
  <c r="BC34" i="7"/>
  <c r="BK34" i="7"/>
  <c r="Q34" i="7"/>
  <c r="AD57" i="7"/>
  <c r="BB34" i="7"/>
  <c r="AD50" i="7"/>
  <c r="AJ34" i="7"/>
  <c r="AD9" i="7"/>
  <c r="AG34" i="7"/>
  <c r="AD40" i="7"/>
  <c r="AL34" i="7"/>
  <c r="AO34" i="7"/>
  <c r="AD59" i="7"/>
  <c r="AD65" i="7"/>
  <c r="AD32" i="7"/>
  <c r="AT34" i="7"/>
  <c r="H34" i="7"/>
  <c r="AU34" i="7"/>
  <c r="AD41" i="7"/>
  <c r="BJ34" i="7"/>
  <c r="BM34" i="7"/>
  <c r="AW34" i="7"/>
  <c r="F34" i="7"/>
  <c r="AD60" i="7"/>
  <c r="AD44" i="7"/>
  <c r="AD64" i="7"/>
  <c r="AD12" i="7"/>
  <c r="BD34" i="7"/>
  <c r="AD36" i="7"/>
  <c r="AD42" i="7"/>
  <c r="BH34" i="7"/>
  <c r="AD10" i="7"/>
  <c r="AD43" i="7"/>
  <c r="AD56" i="7"/>
  <c r="AD20" i="7"/>
  <c r="AD35" i="7"/>
  <c r="J34" i="7"/>
  <c r="AH34" i="7"/>
  <c r="AD55" i="7"/>
  <c r="AD47" i="7"/>
  <c r="AI34" i="7"/>
  <c r="AD31" i="7"/>
  <c r="AY34" i="7"/>
  <c r="AP34" i="7"/>
  <c r="BO34" i="7"/>
  <c r="AD58" i="7"/>
  <c r="AD39" i="7"/>
  <c r="AD15" i="7"/>
  <c r="K34" i="7"/>
  <c r="AQ34" i="7"/>
  <c r="AD70" i="7"/>
  <c r="BF34" i="7"/>
  <c r="AD54" i="7"/>
  <c r="BG34" i="7"/>
  <c r="AD46" i="7"/>
  <c r="AD63" i="7"/>
  <c r="AX34" i="7"/>
  <c r="BN34" i="7"/>
  <c r="Z34" i="7"/>
  <c r="AA34" i="7"/>
  <c r="AD71" i="7"/>
  <c r="AD62" i="7"/>
  <c r="AD14" i="7"/>
  <c r="AD38" i="7"/>
  <c r="AD22" i="7"/>
  <c r="AD53" i="7"/>
  <c r="AD21" i="7"/>
  <c r="AD13" i="7"/>
  <c r="B34" i="7"/>
  <c r="AD30" i="7"/>
  <c r="R34" i="7"/>
  <c r="AD19" i="7"/>
  <c r="AD11" i="7"/>
  <c r="AD29" i="7"/>
  <c r="AD6" i="7"/>
  <c r="AD45" i="7"/>
  <c r="AD37" i="7"/>
  <c r="C34" i="7"/>
  <c r="AD7" i="7"/>
  <c r="AD11" i="8"/>
  <c r="AD35" i="8"/>
  <c r="G36" i="8"/>
  <c r="O36" i="8"/>
  <c r="AE36" i="8"/>
  <c r="AM36" i="8"/>
  <c r="AD10" i="8"/>
  <c r="AD18" i="8"/>
  <c r="AD34" i="8"/>
  <c r="H36" i="8"/>
  <c r="P36" i="8"/>
  <c r="AF36" i="8"/>
  <c r="AN36" i="8"/>
  <c r="AD17" i="8"/>
  <c r="AD33" i="8"/>
  <c r="I36" i="8"/>
  <c r="Q36" i="8"/>
  <c r="Y36" i="8"/>
  <c r="AG36" i="8"/>
  <c r="AO36" i="8"/>
  <c r="AD41" i="8"/>
  <c r="AD16" i="8"/>
  <c r="AD24" i="8"/>
  <c r="AD32" i="8"/>
  <c r="J36" i="8"/>
  <c r="R36" i="8"/>
  <c r="Z36" i="8"/>
  <c r="AH36" i="8"/>
  <c r="AD40" i="8"/>
  <c r="AD15" i="8"/>
  <c r="AD23" i="8"/>
  <c r="AD31" i="8"/>
  <c r="C36" i="8"/>
  <c r="K36" i="8"/>
  <c r="AA36" i="8"/>
  <c r="AI36" i="8"/>
  <c r="AD39" i="8"/>
  <c r="AD14" i="8"/>
  <c r="AD22" i="8"/>
  <c r="D36" i="8"/>
  <c r="L36" i="8"/>
  <c r="AB36" i="8"/>
  <c r="AJ36" i="8"/>
  <c r="AD38" i="8"/>
  <c r="AD13" i="8"/>
  <c r="AD21" i="8"/>
  <c r="E36" i="8"/>
  <c r="AC36" i="8"/>
  <c r="AK36" i="8"/>
  <c r="AD37" i="8"/>
  <c r="AD12" i="8"/>
  <c r="F36" i="8"/>
  <c r="AD36" i="8"/>
  <c r="AL36" i="8"/>
  <c r="AD44" i="8"/>
  <c r="AD45" i="8"/>
  <c r="AD9" i="8"/>
  <c r="AD8" i="8"/>
  <c r="AD2" i="7"/>
  <c r="AD4" i="7" s="1"/>
  <c r="AD2" i="8"/>
  <c r="AD4" i="8" s="1"/>
  <c r="AD42" i="8"/>
  <c r="AD43" i="8"/>
  <c r="B36" i="8"/>
  <c r="AD47" i="8"/>
  <c r="AD46" i="8"/>
  <c r="AM2" i="15"/>
  <c r="AM4" i="15" s="1"/>
  <c r="AM2" i="10"/>
  <c r="AM4" i="10" s="1"/>
  <c r="BH43" i="7"/>
  <c r="BL43" i="7"/>
  <c r="AM68" i="7"/>
  <c r="AM51" i="7"/>
  <c r="AM64" i="7"/>
  <c r="AM67" i="7"/>
  <c r="L43" i="7"/>
  <c r="BC43" i="7"/>
  <c r="BA43" i="7"/>
  <c r="C43" i="7"/>
  <c r="BJ43" i="7"/>
  <c r="AM43" i="7"/>
  <c r="D43" i="7"/>
  <c r="AM69" i="7"/>
  <c r="AM56" i="7"/>
  <c r="AC43" i="7"/>
  <c r="BD43" i="7"/>
  <c r="AM12" i="7"/>
  <c r="AM65" i="7"/>
  <c r="AM66" i="7"/>
  <c r="O43" i="7"/>
  <c r="AM48" i="7"/>
  <c r="AM44" i="7"/>
  <c r="AJ43" i="7"/>
  <c r="AZ43" i="7"/>
  <c r="G43" i="7"/>
  <c r="AU43" i="7"/>
  <c r="BK43" i="7"/>
  <c r="AS43" i="7"/>
  <c r="AM32" i="7"/>
  <c r="BI43" i="7"/>
  <c r="E43" i="7"/>
  <c r="AB43" i="7"/>
  <c r="BB43" i="7"/>
  <c r="AM10" i="7"/>
  <c r="AM42" i="7"/>
  <c r="AM16" i="7"/>
  <c r="AR43" i="7"/>
  <c r="AF43" i="7"/>
  <c r="AM58" i="7"/>
  <c r="F43" i="7"/>
  <c r="H43" i="7"/>
  <c r="AM40" i="7"/>
  <c r="AN43" i="7"/>
  <c r="AM61" i="7"/>
  <c r="AM36" i="7"/>
  <c r="AM49" i="7"/>
  <c r="AM33" i="7"/>
  <c r="AT43" i="7"/>
  <c r="AL43" i="7"/>
  <c r="AM9" i="7"/>
  <c r="AY43" i="7"/>
  <c r="AM15" i="7"/>
  <c r="BO43" i="7"/>
  <c r="AM39" i="7"/>
  <c r="AM50" i="7"/>
  <c r="P43" i="7"/>
  <c r="AI43" i="7"/>
  <c r="AM31" i="7"/>
  <c r="K43" i="7"/>
  <c r="AM71" i="7"/>
  <c r="AM37" i="7"/>
  <c r="AA43" i="7"/>
  <c r="BG43" i="7"/>
  <c r="AM63" i="7"/>
  <c r="BN43" i="7"/>
  <c r="AM46" i="7"/>
  <c r="AM30" i="7"/>
  <c r="R43" i="7"/>
  <c r="BF43" i="7"/>
  <c r="AM14" i="7"/>
  <c r="AM47" i="7"/>
  <c r="AQ43" i="7"/>
  <c r="Z43" i="7"/>
  <c r="AH43" i="7"/>
  <c r="AX43" i="7"/>
  <c r="AM22" i="7"/>
  <c r="AP43" i="7"/>
  <c r="AW43" i="7"/>
  <c r="AO43" i="7"/>
  <c r="AM8" i="7"/>
  <c r="AM29" i="7"/>
  <c r="Y43" i="7"/>
  <c r="AM13" i="7"/>
  <c r="AM19" i="7"/>
  <c r="AM62" i="7"/>
  <c r="AG43" i="7"/>
  <c r="I43" i="7"/>
  <c r="J43" i="7"/>
  <c r="AM70" i="7"/>
  <c r="Q43" i="7"/>
  <c r="AM11" i="7"/>
  <c r="BE43" i="7"/>
  <c r="AM21" i="7"/>
  <c r="AM7" i="7"/>
  <c r="AM54" i="7"/>
  <c r="B43" i="7"/>
  <c r="BM43" i="7"/>
  <c r="AM45" i="7"/>
  <c r="AM6" i="7"/>
  <c r="AM12" i="8"/>
  <c r="AM11" i="8"/>
  <c r="AM35" i="8"/>
  <c r="AM10" i="8"/>
  <c r="AM18" i="8"/>
  <c r="AM34" i="8"/>
  <c r="AM42" i="8"/>
  <c r="AM17" i="8"/>
  <c r="AM33" i="8"/>
  <c r="AM16" i="8"/>
  <c r="AM24" i="8"/>
  <c r="AM32" i="8"/>
  <c r="D45" i="8"/>
  <c r="L45" i="8"/>
  <c r="AB45" i="8"/>
  <c r="AJ45" i="8"/>
  <c r="AM15" i="8"/>
  <c r="AM23" i="8"/>
  <c r="AM31" i="8"/>
  <c r="AM39" i="8"/>
  <c r="AM14" i="8"/>
  <c r="AM38" i="8"/>
  <c r="AM13" i="8"/>
  <c r="AM21" i="8"/>
  <c r="J45" i="8"/>
  <c r="AC45" i="8"/>
  <c r="AL45" i="8"/>
  <c r="AM46" i="8"/>
  <c r="K45" i="8"/>
  <c r="AM45" i="8"/>
  <c r="AM41" i="8"/>
  <c r="C45" i="8"/>
  <c r="AN45" i="8"/>
  <c r="AM9" i="8"/>
  <c r="E45" i="8"/>
  <c r="AF45" i="8"/>
  <c r="AO45" i="8"/>
  <c r="AM8" i="8"/>
  <c r="AM2" i="7"/>
  <c r="AM4" i="7" s="1"/>
  <c r="AM2" i="8"/>
  <c r="AM4" i="8" s="1"/>
  <c r="F45" i="8"/>
  <c r="O45" i="8"/>
  <c r="AG45" i="8"/>
  <c r="B45" i="8"/>
  <c r="G45" i="8"/>
  <c r="P45" i="8"/>
  <c r="Y45" i="8"/>
  <c r="AH45" i="8"/>
  <c r="H45" i="8"/>
  <c r="Q45" i="8"/>
  <c r="Z45" i="8"/>
  <c r="AI45" i="8"/>
  <c r="AM44" i="8"/>
  <c r="I45" i="8"/>
  <c r="R45" i="8"/>
  <c r="AA45" i="8"/>
  <c r="AM47" i="8"/>
  <c r="Q81" i="6"/>
  <c r="I80" i="6"/>
  <c r="Y81" i="6"/>
  <c r="D81" i="6"/>
  <c r="I23" i="10"/>
  <c r="Y15" i="15"/>
  <c r="J15" i="15"/>
  <c r="I15" i="15"/>
  <c r="Q15" i="15"/>
  <c r="O15" i="10"/>
  <c r="H15" i="10"/>
  <c r="I14" i="10"/>
  <c r="O81" i="6"/>
  <c r="J81" i="6"/>
  <c r="B81" i="6"/>
  <c r="I87" i="6"/>
  <c r="I97" i="6"/>
  <c r="H81" i="6"/>
  <c r="E81" i="6"/>
  <c r="I77" i="6"/>
  <c r="I89" i="6"/>
  <c r="C81" i="6"/>
  <c r="I74" i="6"/>
  <c r="I83" i="6"/>
  <c r="K81" i="6"/>
  <c r="I75" i="6"/>
  <c r="I82" i="6"/>
  <c r="I81" i="6"/>
  <c r="F81" i="6"/>
  <c r="I78" i="6"/>
  <c r="H15" i="15"/>
  <c r="E15" i="15"/>
  <c r="C15" i="10"/>
  <c r="I2" i="10"/>
  <c r="I4" i="10" s="1"/>
  <c r="D15" i="10"/>
  <c r="I69" i="6"/>
  <c r="I72" i="6" s="1"/>
  <c r="I2" i="15"/>
  <c r="I4" i="15" s="1"/>
  <c r="Q15" i="10"/>
  <c r="I8" i="15"/>
  <c r="I15" i="10"/>
  <c r="B15" i="10"/>
  <c r="I14" i="15"/>
  <c r="F15" i="15"/>
  <c r="C15" i="15"/>
  <c r="I8" i="10"/>
  <c r="I31" i="15"/>
  <c r="D15" i="15"/>
  <c r="K15" i="15"/>
  <c r="O15" i="15"/>
  <c r="E15" i="10"/>
  <c r="I21" i="15"/>
  <c r="I21" i="10"/>
  <c r="I23" i="15"/>
  <c r="I11" i="10"/>
  <c r="B15" i="15"/>
  <c r="F15" i="10"/>
  <c r="I12" i="15"/>
  <c r="I16" i="15"/>
  <c r="I9" i="15"/>
  <c r="I16" i="10"/>
  <c r="I11" i="15"/>
  <c r="I48" i="7"/>
  <c r="I17" i="15"/>
  <c r="I66" i="7"/>
  <c r="I12" i="10"/>
  <c r="I9" i="10"/>
  <c r="K15" i="10"/>
  <c r="I64" i="7"/>
  <c r="I67" i="7"/>
  <c r="I61" i="7"/>
  <c r="I68" i="7"/>
  <c r="I65" i="7"/>
  <c r="I17" i="10"/>
  <c r="J15" i="10"/>
  <c r="I50" i="7"/>
  <c r="I69" i="7"/>
  <c r="I58" i="7"/>
  <c r="I45" i="7"/>
  <c r="I51" i="7"/>
  <c r="I56" i="7"/>
  <c r="I15" i="7"/>
  <c r="I63" i="7"/>
  <c r="I33" i="7"/>
  <c r="I32" i="7"/>
  <c r="BK13" i="7"/>
  <c r="I71" i="7"/>
  <c r="BM13" i="7"/>
  <c r="I47" i="7"/>
  <c r="I54" i="7"/>
  <c r="I70" i="7"/>
  <c r="BG13" i="7"/>
  <c r="AB13" i="7"/>
  <c r="AC13" i="7"/>
  <c r="BN13" i="7"/>
  <c r="I13" i="7"/>
  <c r="O13" i="7"/>
  <c r="I12" i="7"/>
  <c r="I46" i="7"/>
  <c r="I29" i="7"/>
  <c r="AJ13" i="7"/>
  <c r="AN13" i="7"/>
  <c r="I9" i="7"/>
  <c r="AO13" i="7"/>
  <c r="AU13" i="7"/>
  <c r="I6" i="7"/>
  <c r="AR13" i="7"/>
  <c r="AT13" i="7"/>
  <c r="I19" i="7"/>
  <c r="Q13" i="7"/>
  <c r="AZ13" i="7"/>
  <c r="BB13" i="7"/>
  <c r="AI13" i="7"/>
  <c r="J13" i="7"/>
  <c r="K13" i="7"/>
  <c r="AG13" i="7"/>
  <c r="I44" i="7"/>
  <c r="B13" i="7"/>
  <c r="BH13" i="7"/>
  <c r="BI13" i="7"/>
  <c r="BJ13" i="7"/>
  <c r="BL13" i="7"/>
  <c r="AQ13" i="7"/>
  <c r="BE13" i="7"/>
  <c r="Y13" i="7"/>
  <c r="I21" i="7"/>
  <c r="D13" i="7"/>
  <c r="E13" i="7"/>
  <c r="F13" i="7"/>
  <c r="H13" i="7"/>
  <c r="BO13" i="7"/>
  <c r="AP13" i="7"/>
  <c r="I7" i="7"/>
  <c r="I10" i="7"/>
  <c r="C13" i="7"/>
  <c r="I14" i="7"/>
  <c r="I37" i="7"/>
  <c r="AX13" i="7"/>
  <c r="I14" i="8"/>
  <c r="J15" i="8"/>
  <c r="C15" i="8"/>
  <c r="K15" i="8"/>
  <c r="AI15" i="8"/>
  <c r="I21" i="8"/>
  <c r="I12" i="8"/>
  <c r="D15" i="8"/>
  <c r="AB15" i="8"/>
  <c r="AJ15" i="8"/>
  <c r="I11" i="8"/>
  <c r="E15" i="8"/>
  <c r="AC15" i="8"/>
  <c r="I35" i="8"/>
  <c r="F15" i="8"/>
  <c r="I34" i="8"/>
  <c r="O15" i="8"/>
  <c r="I17" i="8"/>
  <c r="H15" i="8"/>
  <c r="AN15" i="8"/>
  <c r="I16" i="8"/>
  <c r="I15" i="8"/>
  <c r="Q15" i="8"/>
  <c r="Y15" i="8"/>
  <c r="AG15" i="8"/>
  <c r="AO15" i="8"/>
  <c r="I23" i="8"/>
  <c r="I31" i="8"/>
  <c r="I47" i="8"/>
  <c r="B15" i="8"/>
  <c r="I46" i="8"/>
  <c r="I2" i="8"/>
  <c r="I4" i="8" s="1"/>
  <c r="I39" i="8"/>
  <c r="I9" i="8"/>
  <c r="I8" i="8"/>
  <c r="I2" i="7"/>
  <c r="I4" i="7" s="1"/>
  <c r="J90" i="6"/>
  <c r="L90" i="6"/>
  <c r="R97" i="6"/>
  <c r="R79" i="6"/>
  <c r="R77" i="6"/>
  <c r="R76" i="6"/>
  <c r="B90" i="6"/>
  <c r="R90" i="6"/>
  <c r="R74" i="6"/>
  <c r="R78" i="6"/>
  <c r="R83" i="6"/>
  <c r="R17" i="10"/>
  <c r="H90" i="6"/>
  <c r="Z90" i="6"/>
  <c r="E90" i="6"/>
  <c r="R89" i="6"/>
  <c r="O24" i="10"/>
  <c r="R2" i="10"/>
  <c r="R4" i="10" s="1"/>
  <c r="F90" i="6"/>
  <c r="C90" i="6"/>
  <c r="R82" i="6"/>
  <c r="R81" i="6"/>
  <c r="R75" i="6"/>
  <c r="K90" i="6"/>
  <c r="R80" i="6"/>
  <c r="G24" i="10"/>
  <c r="I90" i="6"/>
  <c r="R99" i="6"/>
  <c r="G90" i="6"/>
  <c r="Q90" i="6"/>
  <c r="AA90" i="6"/>
  <c r="R87" i="6"/>
  <c r="R84" i="6"/>
  <c r="O90" i="6"/>
  <c r="Y90" i="6"/>
  <c r="D90" i="6"/>
  <c r="R23" i="15"/>
  <c r="C24" i="10"/>
  <c r="R8" i="10"/>
  <c r="R9" i="10"/>
  <c r="R15" i="10"/>
  <c r="R14" i="15"/>
  <c r="R14" i="10"/>
  <c r="R13" i="10"/>
  <c r="R13" i="15"/>
  <c r="R12" i="15"/>
  <c r="E24" i="10"/>
  <c r="R18" i="15"/>
  <c r="R12" i="10"/>
  <c r="R15" i="15"/>
  <c r="R8" i="15"/>
  <c r="R21" i="15"/>
  <c r="R69" i="6"/>
  <c r="R72" i="6" s="1"/>
  <c r="R31" i="15"/>
  <c r="R23" i="10"/>
  <c r="R21" i="10"/>
  <c r="H24" i="15"/>
  <c r="K24" i="15"/>
  <c r="E24" i="15"/>
  <c r="R24" i="15"/>
  <c r="I24" i="15"/>
  <c r="R9" i="15"/>
  <c r="R16" i="10"/>
  <c r="H24" i="10"/>
  <c r="O24" i="15"/>
  <c r="B24" i="15"/>
  <c r="C24" i="15"/>
  <c r="R18" i="10"/>
  <c r="R10" i="10"/>
  <c r="K24" i="10"/>
  <c r="G24" i="15"/>
  <c r="L24" i="15"/>
  <c r="R2" i="15"/>
  <c r="R4" i="15" s="1"/>
  <c r="AA24" i="15"/>
  <c r="D24" i="15"/>
  <c r="R16" i="15"/>
  <c r="D24" i="10"/>
  <c r="R10" i="15"/>
  <c r="R33" i="15"/>
  <c r="Z24" i="15"/>
  <c r="Y24" i="15"/>
  <c r="I24" i="10"/>
  <c r="B24" i="10"/>
  <c r="L24" i="10"/>
  <c r="R17" i="15"/>
  <c r="F24" i="15"/>
  <c r="J24" i="15"/>
  <c r="Q24" i="10"/>
  <c r="J24" i="10"/>
  <c r="R11" i="15"/>
  <c r="F24" i="10"/>
  <c r="Q24" i="15"/>
  <c r="R24" i="10"/>
  <c r="R11" i="10"/>
  <c r="R33" i="7"/>
  <c r="R31" i="7"/>
  <c r="R15" i="7"/>
  <c r="R32" i="7"/>
  <c r="R71" i="7"/>
  <c r="R47" i="7"/>
  <c r="R54" i="7"/>
  <c r="R46" i="7"/>
  <c r="AJ22" i="7"/>
  <c r="AL22" i="7"/>
  <c r="AN22" i="7"/>
  <c r="R22" i="7"/>
  <c r="O22" i="7"/>
  <c r="R51" i="7"/>
  <c r="AX22" i="7"/>
  <c r="R63" i="7"/>
  <c r="AR22" i="7"/>
  <c r="AS22" i="7"/>
  <c r="AT22" i="7"/>
  <c r="J22" i="7"/>
  <c r="AZ22" i="7"/>
  <c r="BB22" i="7"/>
  <c r="R8" i="7"/>
  <c r="Z22" i="7"/>
  <c r="BM22" i="7"/>
  <c r="BH22" i="7"/>
  <c r="BI22" i="7"/>
  <c r="BJ22" i="7"/>
  <c r="BL22" i="7"/>
  <c r="R9" i="7"/>
  <c r="AP22" i="7"/>
  <c r="Y22" i="7"/>
  <c r="BO22" i="7"/>
  <c r="R44" i="7"/>
  <c r="D22" i="7"/>
  <c r="E22" i="7"/>
  <c r="F22" i="7"/>
  <c r="H22" i="7"/>
  <c r="R10" i="7"/>
  <c r="BF22" i="7"/>
  <c r="AU22" i="7"/>
  <c r="I22" i="7"/>
  <c r="AG22" i="7"/>
  <c r="R14" i="7"/>
  <c r="R39" i="7"/>
  <c r="L22" i="7"/>
  <c r="R12" i="7"/>
  <c r="G22" i="7"/>
  <c r="Q22" i="7"/>
  <c r="BN22" i="7"/>
  <c r="R37" i="7"/>
  <c r="AB22" i="7"/>
  <c r="AC22" i="7"/>
  <c r="AF22" i="7"/>
  <c r="BK22" i="7"/>
  <c r="BG22" i="7"/>
  <c r="R36" i="7"/>
  <c r="R11" i="7"/>
  <c r="AO22" i="7"/>
  <c r="AI22" i="7"/>
  <c r="R29" i="7"/>
  <c r="AQ22" i="7"/>
  <c r="R40" i="7"/>
  <c r="R42" i="7"/>
  <c r="R48" i="7"/>
  <c r="R70" i="7"/>
  <c r="R69" i="7"/>
  <c r="R68" i="7"/>
  <c r="R67" i="7"/>
  <c r="R66" i="7"/>
  <c r="R65" i="7"/>
  <c r="R64" i="7"/>
  <c r="R62" i="7"/>
  <c r="R61" i="7"/>
  <c r="R58" i="7"/>
  <c r="R56" i="7"/>
  <c r="R21" i="7"/>
  <c r="C22" i="7"/>
  <c r="R49" i="7"/>
  <c r="AA22" i="7"/>
  <c r="R50" i="7"/>
  <c r="R13" i="7"/>
  <c r="R7" i="7"/>
  <c r="B22" i="7"/>
  <c r="K22" i="7"/>
  <c r="R6" i="7"/>
  <c r="R16" i="7"/>
  <c r="BE22" i="7"/>
  <c r="R45" i="7"/>
  <c r="R19" i="7"/>
  <c r="R15" i="8"/>
  <c r="R23" i="8"/>
  <c r="C24" i="8"/>
  <c r="K24" i="8"/>
  <c r="AA24" i="8"/>
  <c r="AI24" i="8"/>
  <c r="R31" i="8"/>
  <c r="R39" i="8"/>
  <c r="R14" i="8"/>
  <c r="D24" i="8"/>
  <c r="L24" i="8"/>
  <c r="AB24" i="8"/>
  <c r="AJ24" i="8"/>
  <c r="R38" i="8"/>
  <c r="R13" i="8"/>
  <c r="R21" i="8"/>
  <c r="E24" i="8"/>
  <c r="AC24" i="8"/>
  <c r="R12" i="8"/>
  <c r="F24" i="8"/>
  <c r="AL24" i="8"/>
  <c r="R11" i="8"/>
  <c r="G24" i="8"/>
  <c r="O24" i="8"/>
  <c r="R35" i="8"/>
  <c r="R10" i="8"/>
  <c r="R18" i="8"/>
  <c r="H24" i="8"/>
  <c r="AF24" i="8"/>
  <c r="AN24" i="8"/>
  <c r="R34" i="8"/>
  <c r="R17" i="8"/>
  <c r="I24" i="8"/>
  <c r="Q24" i="8"/>
  <c r="Y24" i="8"/>
  <c r="AG24" i="8"/>
  <c r="AO24" i="8"/>
  <c r="R33" i="8"/>
  <c r="R41" i="8"/>
  <c r="R16" i="8"/>
  <c r="J24" i="8"/>
  <c r="R24" i="8"/>
  <c r="Z24" i="8"/>
  <c r="B24" i="8"/>
  <c r="R2" i="7"/>
  <c r="R4" i="7" s="1"/>
  <c r="R47" i="8"/>
  <c r="R2" i="8"/>
  <c r="R4" i="8" s="1"/>
  <c r="R46" i="8"/>
  <c r="R42" i="8"/>
  <c r="R9" i="8"/>
  <c r="R8" i="8"/>
  <c r="R44" i="8"/>
  <c r="S18" i="5"/>
  <c r="V12" i="5"/>
  <c r="V11" i="6" s="1"/>
  <c r="X44" i="5"/>
  <c r="X43" i="6" s="1"/>
  <c r="BA2" i="15"/>
  <c r="BA4" i="15" s="1"/>
  <c r="BI57" i="7"/>
  <c r="BA2" i="10"/>
  <c r="BA4" i="10" s="1"/>
  <c r="G57" i="7"/>
  <c r="AG57" i="7"/>
  <c r="H57" i="7"/>
  <c r="BA67" i="7"/>
  <c r="BA68" i="7"/>
  <c r="BE57" i="7"/>
  <c r="BA64" i="7"/>
  <c r="BA51" i="7"/>
  <c r="BA49" i="7"/>
  <c r="BL57" i="7"/>
  <c r="BA33" i="7"/>
  <c r="BA66" i="7"/>
  <c r="BJ57" i="7"/>
  <c r="BA44" i="7"/>
  <c r="BA12" i="7"/>
  <c r="BA65" i="7"/>
  <c r="BA50" i="7"/>
  <c r="BD57" i="7"/>
  <c r="AT57" i="7"/>
  <c r="L57" i="7"/>
  <c r="E57" i="7"/>
  <c r="BA48" i="7"/>
  <c r="AR57" i="7"/>
  <c r="AC57" i="7"/>
  <c r="BA58" i="7"/>
  <c r="BA36" i="7"/>
  <c r="D57" i="7"/>
  <c r="BA57" i="7"/>
  <c r="AS57" i="7"/>
  <c r="AN57" i="7"/>
  <c r="P57" i="7"/>
  <c r="BA32" i="7"/>
  <c r="O57" i="7"/>
  <c r="BC57" i="7"/>
  <c r="BA10" i="7"/>
  <c r="BA8" i="7"/>
  <c r="AB57" i="7"/>
  <c r="AW57" i="7"/>
  <c r="F57" i="7"/>
  <c r="BM57" i="7"/>
  <c r="BA16" i="7"/>
  <c r="AM57" i="7"/>
  <c r="AJ57" i="7"/>
  <c r="Y57" i="7"/>
  <c r="AF57" i="7"/>
  <c r="BA40" i="7"/>
  <c r="AZ57" i="7"/>
  <c r="AU57" i="7"/>
  <c r="BA61" i="7"/>
  <c r="BA9" i="7"/>
  <c r="AI57" i="7"/>
  <c r="BA31" i="7"/>
  <c r="AA57" i="7"/>
  <c r="BA42" i="7"/>
  <c r="I57" i="7"/>
  <c r="AY57" i="7"/>
  <c r="BA56" i="7"/>
  <c r="BA70" i="7"/>
  <c r="BA71" i="7"/>
  <c r="BK57" i="7"/>
  <c r="AO57" i="7"/>
  <c r="BH57" i="7"/>
  <c r="BB57" i="7"/>
  <c r="BA69" i="7"/>
  <c r="BA39" i="7"/>
  <c r="AL57" i="7"/>
  <c r="BA15" i="7"/>
  <c r="BA14" i="7"/>
  <c r="Q57" i="7"/>
  <c r="BA22" i="7"/>
  <c r="BA6" i="7"/>
  <c r="BG57" i="7"/>
  <c r="BA63" i="7"/>
  <c r="BA62" i="7"/>
  <c r="BO57" i="7"/>
  <c r="BA46" i="7"/>
  <c r="BA47" i="7"/>
  <c r="K57" i="7"/>
  <c r="AQ57" i="7"/>
  <c r="BA54" i="7"/>
  <c r="BA30" i="7"/>
  <c r="AP57" i="7"/>
  <c r="B57" i="7"/>
  <c r="AH57" i="7"/>
  <c r="Z57" i="7"/>
  <c r="R57" i="7"/>
  <c r="BA29" i="7"/>
  <c r="BA21" i="7"/>
  <c r="BA13" i="7"/>
  <c r="C57" i="7"/>
  <c r="J57" i="7"/>
  <c r="BA7" i="7"/>
  <c r="BN57" i="7"/>
  <c r="BA37" i="7"/>
  <c r="BA19" i="7"/>
  <c r="BA11" i="7"/>
  <c r="BF57" i="7"/>
  <c r="BA45" i="7"/>
  <c r="AX57" i="7"/>
  <c r="BA2" i="7"/>
  <c r="BA4" i="7" s="1"/>
  <c r="BA2" i="8"/>
  <c r="BA4" i="8" s="1"/>
  <c r="R87" i="19"/>
  <c r="S88" i="21"/>
  <c r="T9" i="18"/>
  <c r="S7" i="19"/>
  <c r="T60" i="18"/>
  <c r="S58" i="19"/>
  <c r="S88" i="23"/>
  <c r="U68" i="18"/>
  <c r="T66" i="19"/>
  <c r="U39" i="18"/>
  <c r="U37" i="19" s="1"/>
  <c r="T37" i="19"/>
  <c r="T27" i="23"/>
  <c r="U29" i="22"/>
  <c r="AS56" i="7"/>
  <c r="AS2" i="10"/>
  <c r="AS4" i="10" s="1"/>
  <c r="I49" i="7"/>
  <c r="AS2" i="15"/>
  <c r="AS4" i="15" s="1"/>
  <c r="BL49" i="7"/>
  <c r="BH49" i="7"/>
  <c r="AS51" i="7"/>
  <c r="AS67" i="7"/>
  <c r="BI49" i="7"/>
  <c r="AS65" i="7"/>
  <c r="AS16" i="7"/>
  <c r="AU49" i="7"/>
  <c r="AS8" i="7"/>
  <c r="AS49" i="7"/>
  <c r="AB49" i="7"/>
  <c r="AS69" i="7"/>
  <c r="AS68" i="7"/>
  <c r="AS32" i="7"/>
  <c r="AO49" i="7"/>
  <c r="AS50" i="7"/>
  <c r="D49" i="7"/>
  <c r="AC49" i="7"/>
  <c r="AS66" i="7"/>
  <c r="AS12" i="7"/>
  <c r="L49" i="7"/>
  <c r="AJ49" i="7"/>
  <c r="AS40" i="7"/>
  <c r="BK49" i="7"/>
  <c r="AR49" i="7"/>
  <c r="E49" i="7"/>
  <c r="AZ49" i="7"/>
  <c r="AS64" i="7"/>
  <c r="AT49" i="7"/>
  <c r="AF49" i="7"/>
  <c r="AS36" i="7"/>
  <c r="BB49" i="7"/>
  <c r="AS10" i="7"/>
  <c r="BM49" i="7"/>
  <c r="AS33" i="7"/>
  <c r="AS58" i="7"/>
  <c r="BE49" i="7"/>
  <c r="AS48" i="7"/>
  <c r="AS44" i="7"/>
  <c r="AN49" i="7"/>
  <c r="AS61" i="7"/>
  <c r="O49" i="7"/>
  <c r="F49" i="7"/>
  <c r="AG49" i="7"/>
  <c r="BJ49" i="7"/>
  <c r="Q49" i="7"/>
  <c r="AS70" i="7"/>
  <c r="AS6" i="7"/>
  <c r="AS9" i="7"/>
  <c r="AS39" i="7"/>
  <c r="AS31" i="7"/>
  <c r="Y49" i="7"/>
  <c r="AI49" i="7"/>
  <c r="H49" i="7"/>
  <c r="AS15" i="7"/>
  <c r="AS71" i="7"/>
  <c r="BN49" i="7"/>
  <c r="AS63" i="7"/>
  <c r="BO49" i="7"/>
  <c r="AP49" i="7"/>
  <c r="AA49" i="7"/>
  <c r="J49" i="7"/>
  <c r="AS54" i="7"/>
  <c r="AQ49" i="7"/>
  <c r="BG49" i="7"/>
  <c r="AS47" i="7"/>
  <c r="K49" i="7"/>
  <c r="AX49" i="7"/>
  <c r="AS37" i="7"/>
  <c r="AS21" i="7"/>
  <c r="AS13" i="7"/>
  <c r="AS19" i="7"/>
  <c r="C49" i="7"/>
  <c r="AS45" i="7"/>
  <c r="AS29" i="7"/>
  <c r="B49" i="7"/>
  <c r="AS46" i="7"/>
  <c r="AS14" i="7"/>
  <c r="AS7" i="7"/>
  <c r="AS2" i="7"/>
  <c r="AS4" i="7" s="1"/>
  <c r="AS2" i="8"/>
  <c r="AS4" i="8" s="1"/>
  <c r="W17" i="5"/>
  <c r="W16" i="6" s="1"/>
  <c r="AV2" i="10"/>
  <c r="AV4" i="10" s="1"/>
  <c r="AC52" i="7"/>
  <c r="AV2" i="15"/>
  <c r="AV4" i="15" s="1"/>
  <c r="AV67" i="7"/>
  <c r="AO52" i="7"/>
  <c r="AR52" i="7"/>
  <c r="BM52" i="7"/>
  <c r="AV43" i="7"/>
  <c r="BA52" i="7"/>
  <c r="BB52" i="7"/>
  <c r="AV48" i="7"/>
  <c r="AL52" i="7"/>
  <c r="AV8" i="7"/>
  <c r="AN52" i="7"/>
  <c r="BK52" i="7"/>
  <c r="BL52" i="7"/>
  <c r="AJ52" i="7"/>
  <c r="AV68" i="7"/>
  <c r="BJ52" i="7"/>
  <c r="AF52" i="7"/>
  <c r="AV51" i="7"/>
  <c r="AW52" i="7"/>
  <c r="AV53" i="7"/>
  <c r="AV12" i="7"/>
  <c r="AV40" i="7"/>
  <c r="I52" i="7"/>
  <c r="AT52" i="7"/>
  <c r="F52" i="7"/>
  <c r="BI52" i="7"/>
  <c r="AM52" i="7"/>
  <c r="AV60" i="7"/>
  <c r="AV59" i="7"/>
  <c r="AB52" i="7"/>
  <c r="AV56" i="7"/>
  <c r="AE52" i="7"/>
  <c r="AG52" i="7"/>
  <c r="E52" i="7"/>
  <c r="AV52" i="7"/>
  <c r="BD52" i="7"/>
  <c r="AV32" i="7"/>
  <c r="AV54" i="7"/>
  <c r="AS52" i="7"/>
  <c r="Y52" i="7"/>
  <c r="O52" i="7"/>
  <c r="Q52" i="7"/>
  <c r="AV50" i="7"/>
  <c r="AV33" i="7"/>
  <c r="AV7" i="7"/>
  <c r="BC52" i="7"/>
  <c r="AU52" i="7"/>
  <c r="P52" i="7"/>
  <c r="AV9" i="7"/>
  <c r="H52" i="7"/>
  <c r="L52" i="7"/>
  <c r="AV49" i="7"/>
  <c r="AV64" i="7"/>
  <c r="BE52" i="7"/>
  <c r="BH52" i="7"/>
  <c r="AV69" i="7"/>
  <c r="D52" i="7"/>
  <c r="AV65" i="7"/>
  <c r="G52" i="7"/>
  <c r="AV44" i="7"/>
  <c r="AV57" i="7"/>
  <c r="AV36" i="7"/>
  <c r="AV42" i="7"/>
  <c r="AV66" i="7"/>
  <c r="AV10" i="7"/>
  <c r="AV16" i="7"/>
  <c r="AV58" i="7"/>
  <c r="AV20" i="7"/>
  <c r="AY52" i="7"/>
  <c r="AV61" i="7"/>
  <c r="AV39" i="7"/>
  <c r="AI52" i="7"/>
  <c r="AV55" i="7"/>
  <c r="AZ52" i="7"/>
  <c r="AV15" i="7"/>
  <c r="K52" i="7"/>
  <c r="AV47" i="7"/>
  <c r="AV63" i="7"/>
  <c r="AV38" i="7"/>
  <c r="BO52" i="7"/>
  <c r="BF52" i="7"/>
  <c r="AV22" i="7"/>
  <c r="AV71" i="7"/>
  <c r="AX52" i="7"/>
  <c r="AH52" i="7"/>
  <c r="AV62" i="7"/>
  <c r="BN52" i="7"/>
  <c r="Z52" i="7"/>
  <c r="AV46" i="7"/>
  <c r="AP52" i="7"/>
  <c r="AV70" i="7"/>
  <c r="AV31" i="7"/>
  <c r="AA52" i="7"/>
  <c r="AQ52" i="7"/>
  <c r="BG52" i="7"/>
  <c r="AV30" i="7"/>
  <c r="AV14" i="7"/>
  <c r="AV45" i="7"/>
  <c r="C52" i="7"/>
  <c r="AV21" i="7"/>
  <c r="AV13" i="7"/>
  <c r="AV29" i="7"/>
  <c r="AV19" i="7"/>
  <c r="AV11" i="7"/>
  <c r="AV6" i="7"/>
  <c r="R52" i="7"/>
  <c r="AV37" i="7"/>
  <c r="B52" i="7"/>
  <c r="J52" i="7"/>
  <c r="AV2" i="8"/>
  <c r="AV4" i="8" s="1"/>
  <c r="AV2" i="7"/>
  <c r="AV4" i="7" s="1"/>
  <c r="T28" i="23"/>
  <c r="U30" i="22"/>
  <c r="T32" i="19"/>
  <c r="U34" i="18"/>
  <c r="S63" i="19"/>
  <c r="T65" i="18"/>
  <c r="T36" i="18"/>
  <c r="S34" i="19"/>
  <c r="T19" i="18"/>
  <c r="S17" i="19"/>
  <c r="T61" i="23"/>
  <c r="U63" i="22"/>
  <c r="V33" i="20"/>
  <c r="U31" i="21"/>
  <c r="Z44" i="20"/>
  <c r="X7" i="22"/>
  <c r="U60" i="23"/>
  <c r="V62" i="22"/>
  <c r="Y12" i="16"/>
  <c r="X10" i="17"/>
  <c r="V42" i="23"/>
  <c r="W44" i="22"/>
  <c r="Y44" i="22"/>
  <c r="Y42" i="23" s="1"/>
  <c r="W37" i="20"/>
  <c r="V35" i="21"/>
  <c r="T33" i="19"/>
  <c r="U35" i="18"/>
  <c r="U7" i="18"/>
  <c r="T5" i="19"/>
  <c r="V63" i="18"/>
  <c r="U61" i="19"/>
  <c r="T33" i="23"/>
  <c r="U35" i="22"/>
  <c r="V41" i="22"/>
  <c r="U39" i="23"/>
  <c r="T22" i="23"/>
  <c r="U24" i="22"/>
  <c r="V20" i="18"/>
  <c r="U18" i="19"/>
  <c r="U47" i="23"/>
  <c r="V49" i="22"/>
  <c r="R81" i="17"/>
  <c r="R73" i="17"/>
  <c r="I88" i="17"/>
  <c r="Q88" i="17"/>
  <c r="W5" i="20"/>
  <c r="V3" i="21"/>
  <c r="V29" i="20"/>
  <c r="U27" i="21"/>
  <c r="U65" i="22"/>
  <c r="T63" i="23"/>
  <c r="X39" i="21"/>
  <c r="Y41" i="20"/>
  <c r="Y39" i="21" s="1"/>
  <c r="T37" i="18"/>
  <c r="S35" i="19"/>
  <c r="V19" i="17"/>
  <c r="W21" i="16"/>
  <c r="Y67" i="22"/>
  <c r="X65" i="23"/>
  <c r="V25" i="20"/>
  <c r="U23" i="21"/>
  <c r="U10" i="23"/>
  <c r="W12" i="22"/>
  <c r="V12" i="22"/>
  <c r="T11" i="19"/>
  <c r="U13" i="18"/>
  <c r="T64" i="17"/>
  <c r="U66" i="16"/>
  <c r="U20" i="20"/>
  <c r="T18" i="21"/>
  <c r="W15" i="16"/>
  <c r="V13" i="17"/>
  <c r="U52" i="16"/>
  <c r="T50" i="17"/>
  <c r="T16" i="16"/>
  <c r="S14" i="17"/>
  <c r="W46" i="20"/>
  <c r="V44" i="21"/>
  <c r="X46" i="20"/>
  <c r="X44" i="21" s="1"/>
  <c r="Y46" i="20"/>
  <c r="Y44" i="21" s="1"/>
  <c r="U60" i="16"/>
  <c r="T58" i="17"/>
  <c r="U43" i="22"/>
  <c r="T41" i="23"/>
  <c r="S27" i="17"/>
  <c r="T29" i="16"/>
  <c r="W37" i="17"/>
  <c r="X39" i="16"/>
  <c r="S43" i="17"/>
  <c r="T45" i="16"/>
  <c r="V51" i="16"/>
  <c r="U49" i="17"/>
  <c r="AA8" i="22"/>
  <c r="AA6" i="23" s="1"/>
  <c r="Z6" i="23"/>
  <c r="T38" i="17"/>
  <c r="U40" i="16"/>
  <c r="X41" i="16"/>
  <c r="W39" i="17"/>
  <c r="U31" i="22"/>
  <c r="T29" i="23"/>
  <c r="T24" i="18"/>
  <c r="S22" i="19"/>
  <c r="U24" i="16"/>
  <c r="T22" i="17"/>
  <c r="U56" i="23"/>
  <c r="V58" i="22"/>
  <c r="T52" i="23"/>
  <c r="U54" i="22"/>
  <c r="U27" i="16"/>
  <c r="T25" i="17"/>
  <c r="Z41" i="18"/>
  <c r="Y39" i="19"/>
  <c r="U49" i="20"/>
  <c r="T47" i="21"/>
  <c r="S54" i="17"/>
  <c r="T56" i="16"/>
  <c r="R80" i="17"/>
  <c r="R72" i="17"/>
  <c r="C88" i="17"/>
  <c r="B88" i="17"/>
  <c r="W66" i="22"/>
  <c r="V64" i="23"/>
  <c r="U27" i="20"/>
  <c r="T25" i="21"/>
  <c r="T7" i="23"/>
  <c r="U9" i="22"/>
  <c r="T66" i="18"/>
  <c r="S64" i="19"/>
  <c r="V35" i="16"/>
  <c r="U33" i="17"/>
  <c r="U16" i="20"/>
  <c r="T14" i="21"/>
  <c r="T48" i="23"/>
  <c r="U50" i="22"/>
  <c r="U43" i="18"/>
  <c r="T41" i="19"/>
  <c r="D89" i="23"/>
  <c r="L89" i="23"/>
  <c r="B89" i="23"/>
  <c r="E89" i="23"/>
  <c r="M89" i="23"/>
  <c r="F89" i="23"/>
  <c r="N89" i="23"/>
  <c r="S68" i="23"/>
  <c r="S70" i="23" s="1"/>
  <c r="G89" i="23"/>
  <c r="O89" i="23"/>
  <c r="P89" i="23"/>
  <c r="Q89" i="23"/>
  <c r="R89" i="23"/>
  <c r="I89" i="23"/>
  <c r="C89" i="23"/>
  <c r="K89" i="23"/>
  <c r="S89" i="23"/>
  <c r="H89" i="23"/>
  <c r="J89" i="23"/>
  <c r="S72" i="23"/>
  <c r="S73" i="23"/>
  <c r="S74" i="23"/>
  <c r="S75" i="23"/>
  <c r="S76" i="23"/>
  <c r="S77" i="23"/>
  <c r="S78" i="23"/>
  <c r="S79" i="23"/>
  <c r="S80" i="23"/>
  <c r="S81" i="23"/>
  <c r="S82" i="23"/>
  <c r="S83" i="23"/>
  <c r="S84" i="23"/>
  <c r="S85" i="23"/>
  <c r="S86" i="23"/>
  <c r="S87" i="23"/>
  <c r="S36" i="19"/>
  <c r="T38" i="18"/>
  <c r="T32" i="23"/>
  <c r="U34" i="22"/>
  <c r="U68" i="16"/>
  <c r="T66" i="17"/>
  <c r="U42" i="20"/>
  <c r="T40" i="21"/>
  <c r="Z39" i="20"/>
  <c r="Y37" i="21"/>
  <c r="X6" i="20"/>
  <c r="W4" i="21"/>
  <c r="U20" i="16"/>
  <c r="T18" i="17"/>
  <c r="U30" i="18"/>
  <c r="U28" i="19" s="1"/>
  <c r="T28" i="19"/>
  <c r="V30" i="18"/>
  <c r="W65" i="20"/>
  <c r="V63" i="21"/>
  <c r="S4" i="19"/>
  <c r="T6" i="18"/>
  <c r="E89" i="21"/>
  <c r="M89" i="21"/>
  <c r="F89" i="21"/>
  <c r="N89" i="21"/>
  <c r="G89" i="21"/>
  <c r="O89" i="21"/>
  <c r="J89" i="21"/>
  <c r="R89" i="21"/>
  <c r="I89" i="21"/>
  <c r="K89" i="21"/>
  <c r="L89" i="21"/>
  <c r="C89" i="21"/>
  <c r="S89" i="21"/>
  <c r="Q89" i="21"/>
  <c r="B89" i="21"/>
  <c r="D89" i="21"/>
  <c r="H89" i="21"/>
  <c r="P89" i="21"/>
  <c r="S68" i="21"/>
  <c r="S70" i="21" s="1"/>
  <c r="S72" i="21"/>
  <c r="S73" i="21"/>
  <c r="S74" i="21"/>
  <c r="S75" i="21"/>
  <c r="S76" i="21"/>
  <c r="S77" i="21"/>
  <c r="S78" i="21"/>
  <c r="S79" i="21"/>
  <c r="S80" i="21"/>
  <c r="S81" i="21"/>
  <c r="S82" i="21"/>
  <c r="S83" i="21"/>
  <c r="S84" i="21"/>
  <c r="S85" i="21"/>
  <c r="S86" i="21"/>
  <c r="S87" i="21"/>
  <c r="T47" i="19"/>
  <c r="U49" i="18"/>
  <c r="T26" i="23"/>
  <c r="U28" i="22"/>
  <c r="W14" i="20"/>
  <c r="V12" i="21"/>
  <c r="U55" i="20"/>
  <c r="T53" i="21"/>
  <c r="X17" i="20"/>
  <c r="U15" i="21"/>
  <c r="V17" i="20"/>
  <c r="U63" i="20"/>
  <c r="T61" i="21"/>
  <c r="W17" i="18"/>
  <c r="V15" i="19"/>
  <c r="U31" i="23"/>
  <c r="V33" i="22"/>
  <c r="V46" i="22"/>
  <c r="U44" i="23"/>
  <c r="R79" i="17"/>
  <c r="K88" i="17"/>
  <c r="P88" i="17"/>
  <c r="Y57" i="16"/>
  <c r="V55" i="17"/>
  <c r="W57" i="16"/>
  <c r="V15" i="23"/>
  <c r="W17" i="22"/>
  <c r="U42" i="16"/>
  <c r="T40" i="17"/>
  <c r="U30" i="16"/>
  <c r="U28" i="17" s="1"/>
  <c r="T28" i="17"/>
  <c r="W30" i="16"/>
  <c r="W28" i="17" s="1"/>
  <c r="V30" i="16"/>
  <c r="V28" i="17" s="1"/>
  <c r="V4" i="16"/>
  <c r="U4" i="16"/>
  <c r="U2" i="17" s="1"/>
  <c r="T2" i="17"/>
  <c r="T54" i="18"/>
  <c r="S52" i="19"/>
  <c r="T25" i="19"/>
  <c r="U27" i="18"/>
  <c r="U35" i="23"/>
  <c r="V37" i="22"/>
  <c r="U26" i="17"/>
  <c r="V28" i="16"/>
  <c r="V51" i="22"/>
  <c r="U49" i="23"/>
  <c r="V45" i="22"/>
  <c r="U43" i="23"/>
  <c r="Y12" i="20"/>
  <c r="X10" i="21"/>
  <c r="U4" i="22"/>
  <c r="T2" i="23"/>
  <c r="T55" i="16"/>
  <c r="S53" i="17"/>
  <c r="V3" i="17"/>
  <c r="W5" i="16"/>
  <c r="U4" i="20"/>
  <c r="T2" i="21"/>
  <c r="S12" i="17"/>
  <c r="T14" i="16"/>
  <c r="S47" i="17"/>
  <c r="T49" i="16"/>
  <c r="T58" i="18"/>
  <c r="S56" i="19"/>
  <c r="T19" i="19"/>
  <c r="U21" i="18"/>
  <c r="T20" i="23"/>
  <c r="U22" i="22"/>
  <c r="U32" i="20"/>
  <c r="T30" i="21"/>
  <c r="U15" i="22"/>
  <c r="T13" i="23"/>
  <c r="T47" i="16"/>
  <c r="S45" i="17"/>
  <c r="S7" i="17"/>
  <c r="T9" i="16"/>
  <c r="V21" i="20"/>
  <c r="U19" i="21"/>
  <c r="V11" i="20"/>
  <c r="U9" i="21"/>
  <c r="U40" i="20"/>
  <c r="T38" i="21"/>
  <c r="R86" i="17"/>
  <c r="R78" i="17"/>
  <c r="J88" i="17"/>
  <c r="R68" i="17"/>
  <c r="R70" i="17" s="1"/>
  <c r="H88" i="17"/>
  <c r="N88" i="17"/>
  <c r="S27" i="19"/>
  <c r="T29" i="18"/>
  <c r="AA41" i="20"/>
  <c r="AA39" i="21" s="1"/>
  <c r="Z39" i="21"/>
  <c r="T23" i="16"/>
  <c r="S21" i="17"/>
  <c r="S44" i="19"/>
  <c r="T46" i="18"/>
  <c r="T23" i="18"/>
  <c r="S21" i="19"/>
  <c r="U48" i="18"/>
  <c r="T46" i="19"/>
  <c r="T66" i="23"/>
  <c r="U68" i="22"/>
  <c r="U9" i="23"/>
  <c r="V11" i="22"/>
  <c r="X27" i="18"/>
  <c r="W25" i="19"/>
  <c r="T41" i="17"/>
  <c r="U43" i="16"/>
  <c r="Z67" i="18"/>
  <c r="Y65" i="19"/>
  <c r="T46" i="23"/>
  <c r="U48" i="22"/>
  <c r="T62" i="16"/>
  <c r="S60" i="17"/>
  <c r="S59" i="19"/>
  <c r="T61" i="18"/>
  <c r="V61" i="20"/>
  <c r="U59" i="21"/>
  <c r="U56" i="20"/>
  <c r="T54" i="21"/>
  <c r="S63" i="17"/>
  <c r="T65" i="16"/>
  <c r="U11" i="16"/>
  <c r="T9" i="17"/>
  <c r="T50" i="18"/>
  <c r="S48" i="19"/>
  <c r="U24" i="20"/>
  <c r="T22" i="21"/>
  <c r="V13" i="20"/>
  <c r="U11" i="21"/>
  <c r="T51" i="23"/>
  <c r="U53" i="22"/>
  <c r="W40" i="22"/>
  <c r="V38" i="23"/>
  <c r="R85" i="17"/>
  <c r="R77" i="17"/>
  <c r="R88" i="17"/>
  <c r="F88" i="17"/>
  <c r="W38" i="22"/>
  <c r="V36" i="23"/>
  <c r="U47" i="20"/>
  <c r="T45" i="21"/>
  <c r="U51" i="20"/>
  <c r="T49" i="21"/>
  <c r="S11" i="17"/>
  <c r="T13" i="16"/>
  <c r="T17" i="17"/>
  <c r="U19" i="16"/>
  <c r="S29" i="19"/>
  <c r="T31" i="18"/>
  <c r="U17" i="23"/>
  <c r="V19" i="22"/>
  <c r="T62" i="18"/>
  <c r="S60" i="19"/>
  <c r="X38" i="20"/>
  <c r="W36" i="21"/>
  <c r="W51" i="18"/>
  <c r="V49" i="19"/>
  <c r="V13" i="22"/>
  <c r="U11" i="23"/>
  <c r="W31" i="20"/>
  <c r="V29" i="21"/>
  <c r="U64" i="20"/>
  <c r="T62" i="21"/>
  <c r="T67" i="18"/>
  <c r="T65" i="19" s="1"/>
  <c r="S65" i="19"/>
  <c r="U48" i="20"/>
  <c r="T46" i="21"/>
  <c r="V15" i="20"/>
  <c r="U13" i="21"/>
  <c r="U26" i="19"/>
  <c r="V28" i="18"/>
  <c r="V38" i="16"/>
  <c r="U36" i="17"/>
  <c r="U32" i="22"/>
  <c r="T30" i="23"/>
  <c r="T59" i="23"/>
  <c r="U61" i="22"/>
  <c r="T33" i="18"/>
  <c r="S31" i="19"/>
  <c r="U22" i="16"/>
  <c r="T20" i="17"/>
  <c r="V53" i="20"/>
  <c r="U51" i="21"/>
  <c r="T62" i="23"/>
  <c r="U64" i="22"/>
  <c r="U63" i="16"/>
  <c r="T61" i="17"/>
  <c r="U23" i="20"/>
  <c r="T21" i="21"/>
  <c r="T58" i="23"/>
  <c r="U60" i="22"/>
  <c r="T22" i="18"/>
  <c r="S20" i="19"/>
  <c r="W22" i="18"/>
  <c r="T42" i="18"/>
  <c r="S40" i="19"/>
  <c r="T14" i="18"/>
  <c r="S12" i="19"/>
  <c r="S23" i="17"/>
  <c r="T25" i="16"/>
  <c r="T50" i="16"/>
  <c r="S48" i="17"/>
  <c r="R88" i="19"/>
  <c r="L88" i="19"/>
  <c r="R74" i="19"/>
  <c r="R81" i="19"/>
  <c r="C88" i="19"/>
  <c r="B88" i="19"/>
  <c r="R75" i="19"/>
  <c r="R83" i="19"/>
  <c r="J88" i="19"/>
  <c r="E88" i="19"/>
  <c r="R72" i="19"/>
  <c r="R80" i="19"/>
  <c r="G88" i="19"/>
  <c r="R73" i="19"/>
  <c r="R82" i="19"/>
  <c r="K88" i="19"/>
  <c r="H88" i="19"/>
  <c r="O88" i="19"/>
  <c r="R76" i="19"/>
  <c r="R84" i="19"/>
  <c r="D88" i="19"/>
  <c r="I88" i="19"/>
  <c r="P88" i="19"/>
  <c r="R77" i="19"/>
  <c r="R85" i="19"/>
  <c r="Q88" i="19"/>
  <c r="N88" i="19"/>
  <c r="R78" i="19"/>
  <c r="F88" i="19"/>
  <c r="R68" i="19"/>
  <c r="R70" i="19" s="1"/>
  <c r="M88" i="19"/>
  <c r="R79" i="19"/>
  <c r="R86" i="19"/>
  <c r="U66" i="20"/>
  <c r="T64" i="21"/>
  <c r="W21" i="22"/>
  <c r="V19" i="23"/>
  <c r="R84" i="17"/>
  <c r="R76" i="17"/>
  <c r="U61" i="16"/>
  <c r="T59" i="17"/>
  <c r="U52" i="20"/>
  <c r="T50" i="21"/>
  <c r="S38" i="19"/>
  <c r="T40" i="18"/>
  <c r="S13" i="19"/>
  <c r="T15" i="18"/>
  <c r="U19" i="20"/>
  <c r="T17" i="21"/>
  <c r="X53" i="16"/>
  <c r="W51" i="17"/>
  <c r="T32" i="16"/>
  <c r="S30" i="17"/>
  <c r="U6" i="22"/>
  <c r="T4" i="23"/>
  <c r="V34" i="20"/>
  <c r="U32" i="21"/>
  <c r="U50" i="20"/>
  <c r="T48" i="21"/>
  <c r="T4" i="17"/>
  <c r="U6" i="16"/>
  <c r="Z39" i="22"/>
  <c r="Y37" i="23"/>
  <c r="U58" i="20"/>
  <c r="T56" i="21"/>
  <c r="V54" i="20"/>
  <c r="U52" i="21"/>
  <c r="S62" i="19"/>
  <c r="T64" i="18"/>
  <c r="V45" i="20"/>
  <c r="U43" i="21"/>
  <c r="U53" i="23"/>
  <c r="V55" i="22"/>
  <c r="T5" i="18"/>
  <c r="S3" i="19"/>
  <c r="T45" i="18"/>
  <c r="S43" i="19"/>
  <c r="V25" i="18"/>
  <c r="U23" i="19"/>
  <c r="R83" i="17"/>
  <c r="R75" i="17"/>
  <c r="E88" i="17"/>
  <c r="L88" i="17"/>
  <c r="V14" i="22"/>
  <c r="U12" i="23"/>
  <c r="U68" i="20"/>
  <c r="T66" i="21"/>
  <c r="S52" i="17"/>
  <c r="T54" i="16"/>
  <c r="S44" i="17"/>
  <c r="T46" i="16"/>
  <c r="V31" i="16"/>
  <c r="U29" i="17"/>
  <c r="U62" i="17"/>
  <c r="V64" i="16"/>
  <c r="U36" i="20"/>
  <c r="T34" i="21"/>
  <c r="T53" i="18"/>
  <c r="S51" i="19"/>
  <c r="W53" i="18"/>
  <c r="U27" i="22"/>
  <c r="T25" i="23"/>
  <c r="U5" i="22"/>
  <c r="T3" i="23"/>
  <c r="V56" i="22"/>
  <c r="U54" i="23"/>
  <c r="X56" i="22"/>
  <c r="S30" i="19"/>
  <c r="T32" i="18"/>
  <c r="U62" i="20"/>
  <c r="T60" i="21"/>
  <c r="T54" i="19"/>
  <c r="U56" i="18"/>
  <c r="V28" i="21"/>
  <c r="Z30" i="20"/>
  <c r="T40" i="23"/>
  <c r="U42" i="22"/>
  <c r="T23" i="23"/>
  <c r="U25" i="22"/>
  <c r="S56" i="17"/>
  <c r="T58" i="16"/>
  <c r="X17" i="16"/>
  <c r="W15" i="17"/>
  <c r="W60" i="20"/>
  <c r="V58" i="21"/>
  <c r="U16" i="18"/>
  <c r="T14" i="19"/>
  <c r="U28" i="20"/>
  <c r="T26" i="21"/>
  <c r="Y7" i="16"/>
  <c r="X5" i="17"/>
  <c r="U52" i="22"/>
  <c r="T50" i="23"/>
  <c r="S46" i="17"/>
  <c r="T48" i="16"/>
  <c r="T45" i="19"/>
  <c r="U47" i="18"/>
  <c r="U9" i="20"/>
  <c r="T7" i="21"/>
  <c r="T14" i="23"/>
  <c r="U16" i="22"/>
  <c r="U35" i="20"/>
  <c r="T33" i="21"/>
  <c r="U36" i="16"/>
  <c r="T34" i="17"/>
  <c r="S32" i="17"/>
  <c r="T34" i="16"/>
  <c r="U43" i="20"/>
  <c r="T41" i="21"/>
  <c r="R82" i="17"/>
  <c r="R74" i="17"/>
  <c r="M88" i="17"/>
  <c r="D88" i="17"/>
  <c r="G88" i="17"/>
  <c r="T31" i="17"/>
  <c r="U33" i="16"/>
  <c r="U21" i="23"/>
  <c r="V23" i="22"/>
  <c r="T50" i="19"/>
  <c r="U52" i="18"/>
  <c r="T34" i="23"/>
  <c r="U36" i="22"/>
  <c r="Y42" i="19"/>
  <c r="Z44" i="18"/>
  <c r="V22" i="20"/>
  <c r="U20" i="21"/>
  <c r="T18" i="23"/>
  <c r="U20" i="22"/>
  <c r="B251" i="4"/>
  <c r="C251" i="4" s="1"/>
  <c r="D251" i="4" s="1"/>
  <c r="E251" i="4" s="1"/>
  <c r="F251" i="4" s="1"/>
  <c r="G251" i="4" s="1"/>
  <c r="H251" i="4" s="1"/>
  <c r="I251" i="4" s="1"/>
  <c r="J251" i="4" s="1"/>
  <c r="K251" i="4" s="1"/>
  <c r="L251" i="4" s="1"/>
  <c r="M251" i="4" s="1"/>
  <c r="N251" i="4" s="1"/>
  <c r="O251" i="4" s="1"/>
  <c r="P251" i="4" s="1"/>
  <c r="Q251" i="4" s="1"/>
  <c r="R251" i="4" s="1"/>
  <c r="S251" i="4" s="1"/>
  <c r="T251" i="4" s="1"/>
  <c r="U251" i="4" s="1"/>
  <c r="V251" i="4" s="1"/>
  <c r="W251" i="4" s="1"/>
  <c r="X251" i="4" s="1"/>
  <c r="Y251" i="4" s="1"/>
  <c r="Z251" i="4" s="1"/>
  <c r="AA251" i="4" s="1"/>
  <c r="AB251" i="4" s="1"/>
  <c r="AC251" i="4" s="1"/>
  <c r="AD251" i="4" s="1"/>
  <c r="AE251" i="4" s="1"/>
  <c r="AF251" i="4" s="1"/>
  <c r="AG251" i="4" s="1"/>
  <c r="AH251" i="4" s="1"/>
  <c r="AI251" i="4" s="1"/>
  <c r="AJ251" i="4" s="1"/>
  <c r="AK251" i="4" s="1"/>
  <c r="AL251" i="4" s="1"/>
  <c r="AM251" i="4" s="1"/>
  <c r="AN251" i="4" s="1"/>
  <c r="AO251" i="4" s="1"/>
  <c r="AP251" i="4" s="1"/>
  <c r="AQ251" i="4" s="1"/>
  <c r="AR251" i="4" s="1"/>
  <c r="AS251" i="4" s="1"/>
  <c r="AT251" i="4" s="1"/>
  <c r="AU251" i="4" s="1"/>
  <c r="AV251" i="4" s="1"/>
  <c r="AW251" i="4" s="1"/>
  <c r="AX251" i="4" s="1"/>
  <c r="AY251" i="4" s="1"/>
  <c r="AZ251" i="4" s="1"/>
  <c r="BA251" i="4" s="1"/>
  <c r="BB251" i="4" s="1"/>
  <c r="BC251" i="4" s="1"/>
  <c r="BD251" i="4" s="1"/>
  <c r="BE251" i="4" s="1"/>
  <c r="BF251" i="4" s="1"/>
  <c r="BG251" i="4" s="1"/>
  <c r="BH251" i="4" s="1"/>
  <c r="BI251" i="4" s="1"/>
  <c r="BJ251" i="4" s="1"/>
  <c r="BK251" i="4" s="1"/>
  <c r="BL251" i="4" s="1"/>
  <c r="BM251" i="4" s="1"/>
  <c r="BN251" i="4" s="1"/>
  <c r="BO251" i="4" s="1"/>
  <c r="BP251" i="4" s="1"/>
  <c r="B250" i="4"/>
  <c r="C250" i="4" s="1"/>
  <c r="D250" i="4" s="1"/>
  <c r="E250" i="4" s="1"/>
  <c r="F250" i="4" s="1"/>
  <c r="G250" i="4" s="1"/>
  <c r="H250" i="4" s="1"/>
  <c r="I250" i="4" s="1"/>
  <c r="J250" i="4" s="1"/>
  <c r="K250" i="4" s="1"/>
  <c r="L250" i="4" s="1"/>
  <c r="M250" i="4" s="1"/>
  <c r="N250" i="4" s="1"/>
  <c r="O250" i="4" s="1"/>
  <c r="P250" i="4" s="1"/>
  <c r="Q250" i="4" s="1"/>
  <c r="R250" i="4" s="1"/>
  <c r="S250" i="4" s="1"/>
  <c r="T250" i="4" s="1"/>
  <c r="U250" i="4" s="1"/>
  <c r="V250" i="4" s="1"/>
  <c r="W250" i="4" s="1"/>
  <c r="X250" i="4" s="1"/>
  <c r="Y250" i="4" s="1"/>
  <c r="Z250" i="4" s="1"/>
  <c r="AA250" i="4" s="1"/>
  <c r="AB250" i="4" s="1"/>
  <c r="AC250" i="4" s="1"/>
  <c r="AD250" i="4" s="1"/>
  <c r="AE250" i="4" s="1"/>
  <c r="AF250" i="4" s="1"/>
  <c r="AG250" i="4" s="1"/>
  <c r="AH250" i="4" s="1"/>
  <c r="AI250" i="4" s="1"/>
  <c r="AJ250" i="4" s="1"/>
  <c r="AK250" i="4" s="1"/>
  <c r="AL250" i="4" s="1"/>
  <c r="AM250" i="4" s="1"/>
  <c r="AN250" i="4" s="1"/>
  <c r="AO250" i="4" s="1"/>
  <c r="AP250" i="4" s="1"/>
  <c r="AQ250" i="4" s="1"/>
  <c r="AR250" i="4" s="1"/>
  <c r="AS250" i="4" s="1"/>
  <c r="AT250" i="4" s="1"/>
  <c r="AU250" i="4" s="1"/>
  <c r="AV250" i="4" s="1"/>
  <c r="AW250" i="4" s="1"/>
  <c r="AX250" i="4" s="1"/>
  <c r="AY250" i="4" s="1"/>
  <c r="AZ250" i="4" s="1"/>
  <c r="BA250" i="4" s="1"/>
  <c r="BB250" i="4" s="1"/>
  <c r="BC250" i="4" s="1"/>
  <c r="BD250" i="4" s="1"/>
  <c r="BE250" i="4" s="1"/>
  <c r="BF250" i="4" s="1"/>
  <c r="BG250" i="4" s="1"/>
  <c r="BH250" i="4" s="1"/>
  <c r="BI250" i="4" s="1"/>
  <c r="BJ250" i="4" s="1"/>
  <c r="BK250" i="4" s="1"/>
  <c r="BL250" i="4" s="1"/>
  <c r="BM250" i="4" s="1"/>
  <c r="BN250" i="4" s="1"/>
  <c r="BO250" i="4" s="1"/>
  <c r="BP250" i="4" s="1"/>
  <c r="B249" i="4"/>
  <c r="C249" i="4" s="1"/>
  <c r="D249" i="4" s="1"/>
  <c r="E249" i="4" s="1"/>
  <c r="F249" i="4" s="1"/>
  <c r="G249" i="4" s="1"/>
  <c r="H249" i="4" s="1"/>
  <c r="I249" i="4" s="1"/>
  <c r="J249" i="4" s="1"/>
  <c r="K249" i="4" s="1"/>
  <c r="L249" i="4" s="1"/>
  <c r="M249" i="4" s="1"/>
  <c r="N249" i="4" s="1"/>
  <c r="O249" i="4" s="1"/>
  <c r="P249" i="4" s="1"/>
  <c r="Q249" i="4" s="1"/>
  <c r="R249" i="4" s="1"/>
  <c r="S249" i="4" s="1"/>
  <c r="T249" i="4" s="1"/>
  <c r="U249" i="4" s="1"/>
  <c r="V249" i="4" s="1"/>
  <c r="W249" i="4" s="1"/>
  <c r="X249" i="4" s="1"/>
  <c r="Y249" i="4" s="1"/>
  <c r="Z249" i="4" s="1"/>
  <c r="AA249" i="4" s="1"/>
  <c r="AB249" i="4" s="1"/>
  <c r="AC249" i="4" s="1"/>
  <c r="AD249" i="4" s="1"/>
  <c r="AE249" i="4" s="1"/>
  <c r="AF249" i="4" s="1"/>
  <c r="AG249" i="4" s="1"/>
  <c r="AH249" i="4" s="1"/>
  <c r="AI249" i="4" s="1"/>
  <c r="AJ249" i="4" s="1"/>
  <c r="AK249" i="4" s="1"/>
  <c r="AL249" i="4" s="1"/>
  <c r="AM249" i="4" s="1"/>
  <c r="AN249" i="4" s="1"/>
  <c r="AO249" i="4" s="1"/>
  <c r="AP249" i="4" s="1"/>
  <c r="AQ249" i="4" s="1"/>
  <c r="AR249" i="4" s="1"/>
  <c r="AS249" i="4" s="1"/>
  <c r="AT249" i="4" s="1"/>
  <c r="AU249" i="4" s="1"/>
  <c r="AV249" i="4" s="1"/>
  <c r="AW249" i="4" s="1"/>
  <c r="AX249" i="4" s="1"/>
  <c r="AY249" i="4" s="1"/>
  <c r="AZ249" i="4" s="1"/>
  <c r="BA249" i="4" s="1"/>
  <c r="BB249" i="4" s="1"/>
  <c r="BC249" i="4" s="1"/>
  <c r="BD249" i="4" s="1"/>
  <c r="BE249" i="4" s="1"/>
  <c r="BF249" i="4" s="1"/>
  <c r="BG249" i="4" s="1"/>
  <c r="BH249" i="4" s="1"/>
  <c r="BI249" i="4" s="1"/>
  <c r="BJ249" i="4" s="1"/>
  <c r="BK249" i="4" s="1"/>
  <c r="BL249" i="4" s="1"/>
  <c r="BM249" i="4" s="1"/>
  <c r="BN249" i="4" s="1"/>
  <c r="BO249" i="4" s="1"/>
  <c r="BP249" i="4" s="1"/>
  <c r="B248" i="4"/>
  <c r="C248" i="4" s="1"/>
  <c r="D248" i="4" s="1"/>
  <c r="E248" i="4" s="1"/>
  <c r="F248" i="4" s="1"/>
  <c r="G248" i="4" s="1"/>
  <c r="H248" i="4" s="1"/>
  <c r="I248" i="4" s="1"/>
  <c r="J248" i="4" s="1"/>
  <c r="K248" i="4" s="1"/>
  <c r="L248" i="4" s="1"/>
  <c r="M248" i="4" s="1"/>
  <c r="N248" i="4" s="1"/>
  <c r="O248" i="4" s="1"/>
  <c r="P248" i="4" s="1"/>
  <c r="Q248" i="4" s="1"/>
  <c r="R248" i="4" s="1"/>
  <c r="S248" i="4" s="1"/>
  <c r="T248" i="4" s="1"/>
  <c r="U248" i="4" s="1"/>
  <c r="V248" i="4" s="1"/>
  <c r="W248" i="4" s="1"/>
  <c r="X248" i="4" s="1"/>
  <c r="Y248" i="4" s="1"/>
  <c r="Z248" i="4" s="1"/>
  <c r="AA248" i="4" s="1"/>
  <c r="AB248" i="4" s="1"/>
  <c r="AC248" i="4" s="1"/>
  <c r="AD248" i="4" s="1"/>
  <c r="AE248" i="4" s="1"/>
  <c r="AF248" i="4" s="1"/>
  <c r="AG248" i="4" s="1"/>
  <c r="AH248" i="4" s="1"/>
  <c r="AI248" i="4" s="1"/>
  <c r="AJ248" i="4" s="1"/>
  <c r="AK248" i="4" s="1"/>
  <c r="AL248" i="4" s="1"/>
  <c r="AM248" i="4" s="1"/>
  <c r="AN248" i="4" s="1"/>
  <c r="AO248" i="4" s="1"/>
  <c r="AP248" i="4" s="1"/>
  <c r="AQ248" i="4" s="1"/>
  <c r="AR248" i="4" s="1"/>
  <c r="AS248" i="4" s="1"/>
  <c r="AT248" i="4" s="1"/>
  <c r="AU248" i="4" s="1"/>
  <c r="AV248" i="4" s="1"/>
  <c r="AW248" i="4" s="1"/>
  <c r="AX248" i="4" s="1"/>
  <c r="AY248" i="4" s="1"/>
  <c r="AZ248" i="4" s="1"/>
  <c r="BA248" i="4" s="1"/>
  <c r="BB248" i="4" s="1"/>
  <c r="BC248" i="4" s="1"/>
  <c r="BD248" i="4" s="1"/>
  <c r="BE248" i="4" s="1"/>
  <c r="BF248" i="4" s="1"/>
  <c r="BG248" i="4" s="1"/>
  <c r="BH248" i="4" s="1"/>
  <c r="BI248" i="4" s="1"/>
  <c r="BJ248" i="4" s="1"/>
  <c r="BK248" i="4" s="1"/>
  <c r="BL248" i="4" s="1"/>
  <c r="BM248" i="4" s="1"/>
  <c r="BN248" i="4" s="1"/>
  <c r="BO248" i="4" s="1"/>
  <c r="BP248" i="4" s="1"/>
  <c r="B247" i="4"/>
  <c r="C247" i="4" s="1"/>
  <c r="D247" i="4" s="1"/>
  <c r="E247" i="4" s="1"/>
  <c r="F247" i="4" s="1"/>
  <c r="G247" i="4" s="1"/>
  <c r="H247" i="4" s="1"/>
  <c r="I247" i="4" s="1"/>
  <c r="J247" i="4" s="1"/>
  <c r="K247" i="4" s="1"/>
  <c r="L247" i="4" s="1"/>
  <c r="M247" i="4" s="1"/>
  <c r="N247" i="4" s="1"/>
  <c r="O247" i="4" s="1"/>
  <c r="P247" i="4" s="1"/>
  <c r="Q247" i="4" s="1"/>
  <c r="R247" i="4" s="1"/>
  <c r="S247" i="4" s="1"/>
  <c r="T247" i="4" s="1"/>
  <c r="U247" i="4" s="1"/>
  <c r="V247" i="4" s="1"/>
  <c r="W247" i="4" s="1"/>
  <c r="X247" i="4" s="1"/>
  <c r="Y247" i="4" s="1"/>
  <c r="Z247" i="4" s="1"/>
  <c r="AA247" i="4" s="1"/>
  <c r="AB247" i="4" s="1"/>
  <c r="AC247" i="4" s="1"/>
  <c r="AD247" i="4" s="1"/>
  <c r="AE247" i="4" s="1"/>
  <c r="AF247" i="4" s="1"/>
  <c r="AG247" i="4" s="1"/>
  <c r="AH247" i="4" s="1"/>
  <c r="AI247" i="4" s="1"/>
  <c r="AJ247" i="4" s="1"/>
  <c r="AK247" i="4" s="1"/>
  <c r="AL247" i="4" s="1"/>
  <c r="AM247" i="4" s="1"/>
  <c r="AN247" i="4" s="1"/>
  <c r="AO247" i="4" s="1"/>
  <c r="AP247" i="4" s="1"/>
  <c r="AQ247" i="4" s="1"/>
  <c r="AR247" i="4" s="1"/>
  <c r="AS247" i="4" s="1"/>
  <c r="AT247" i="4" s="1"/>
  <c r="AU247" i="4" s="1"/>
  <c r="AV247" i="4" s="1"/>
  <c r="AW247" i="4" s="1"/>
  <c r="AX247" i="4" s="1"/>
  <c r="AY247" i="4" s="1"/>
  <c r="AZ247" i="4" s="1"/>
  <c r="BA247" i="4" s="1"/>
  <c r="BB247" i="4" s="1"/>
  <c r="BC247" i="4" s="1"/>
  <c r="BD247" i="4" s="1"/>
  <c r="BE247" i="4" s="1"/>
  <c r="BF247" i="4" s="1"/>
  <c r="BG247" i="4" s="1"/>
  <c r="BH247" i="4" s="1"/>
  <c r="BI247" i="4" s="1"/>
  <c r="BJ247" i="4" s="1"/>
  <c r="BK247" i="4" s="1"/>
  <c r="BL247" i="4" s="1"/>
  <c r="BM247" i="4" s="1"/>
  <c r="BN247" i="4" s="1"/>
  <c r="BO247" i="4" s="1"/>
  <c r="BP247" i="4" s="1"/>
  <c r="B246" i="4"/>
  <c r="C246" i="4" s="1"/>
  <c r="D246" i="4" s="1"/>
  <c r="E246" i="4" s="1"/>
  <c r="F246" i="4" s="1"/>
  <c r="G246" i="4" s="1"/>
  <c r="H246" i="4" s="1"/>
  <c r="I246" i="4" s="1"/>
  <c r="J246" i="4" s="1"/>
  <c r="K246" i="4" s="1"/>
  <c r="L246" i="4" s="1"/>
  <c r="M246" i="4" s="1"/>
  <c r="N246" i="4" s="1"/>
  <c r="O246" i="4" s="1"/>
  <c r="P246" i="4" s="1"/>
  <c r="Q246" i="4" s="1"/>
  <c r="R246" i="4" s="1"/>
  <c r="S246" i="4" s="1"/>
  <c r="T246" i="4" s="1"/>
  <c r="U246" i="4" s="1"/>
  <c r="V246" i="4" s="1"/>
  <c r="W246" i="4" s="1"/>
  <c r="X246" i="4" s="1"/>
  <c r="Y246" i="4" s="1"/>
  <c r="Z246" i="4" s="1"/>
  <c r="AA246" i="4" s="1"/>
  <c r="AB246" i="4" s="1"/>
  <c r="AC246" i="4" s="1"/>
  <c r="AD246" i="4" s="1"/>
  <c r="AE246" i="4" s="1"/>
  <c r="AF246" i="4" s="1"/>
  <c r="AG246" i="4" s="1"/>
  <c r="AH246" i="4" s="1"/>
  <c r="AI246" i="4" s="1"/>
  <c r="AJ246" i="4" s="1"/>
  <c r="AK246" i="4" s="1"/>
  <c r="AL246" i="4" s="1"/>
  <c r="AM246" i="4" s="1"/>
  <c r="AN246" i="4" s="1"/>
  <c r="AO246" i="4" s="1"/>
  <c r="AP246" i="4" s="1"/>
  <c r="AQ246" i="4" s="1"/>
  <c r="AR246" i="4" s="1"/>
  <c r="AS246" i="4" s="1"/>
  <c r="AT246" i="4" s="1"/>
  <c r="AU246" i="4" s="1"/>
  <c r="AV246" i="4" s="1"/>
  <c r="AW246" i="4" s="1"/>
  <c r="AX246" i="4" s="1"/>
  <c r="AY246" i="4" s="1"/>
  <c r="AZ246" i="4" s="1"/>
  <c r="BA246" i="4" s="1"/>
  <c r="BB246" i="4" s="1"/>
  <c r="BC246" i="4" s="1"/>
  <c r="BD246" i="4" s="1"/>
  <c r="BE246" i="4" s="1"/>
  <c r="BF246" i="4" s="1"/>
  <c r="BG246" i="4" s="1"/>
  <c r="BH246" i="4" s="1"/>
  <c r="BI246" i="4" s="1"/>
  <c r="BJ246" i="4" s="1"/>
  <c r="BK246" i="4" s="1"/>
  <c r="BL246" i="4" s="1"/>
  <c r="BM246" i="4" s="1"/>
  <c r="BN246" i="4" s="1"/>
  <c r="BO246" i="4" s="1"/>
  <c r="BP246" i="4" s="1"/>
  <c r="B245" i="4"/>
  <c r="C245" i="4" s="1"/>
  <c r="D245" i="4" s="1"/>
  <c r="E245" i="4" s="1"/>
  <c r="F245" i="4" s="1"/>
  <c r="G245" i="4" s="1"/>
  <c r="H245" i="4" s="1"/>
  <c r="I245" i="4" s="1"/>
  <c r="J245" i="4" s="1"/>
  <c r="K245" i="4" s="1"/>
  <c r="L245" i="4" s="1"/>
  <c r="M245" i="4" s="1"/>
  <c r="N245" i="4" s="1"/>
  <c r="O245" i="4" s="1"/>
  <c r="P245" i="4" s="1"/>
  <c r="Q245" i="4" s="1"/>
  <c r="R245" i="4" s="1"/>
  <c r="S245" i="4" s="1"/>
  <c r="T245" i="4" s="1"/>
  <c r="U245" i="4" s="1"/>
  <c r="V245" i="4" s="1"/>
  <c r="W245" i="4" s="1"/>
  <c r="X245" i="4" s="1"/>
  <c r="Y245" i="4" s="1"/>
  <c r="Z245" i="4" s="1"/>
  <c r="AA245" i="4" s="1"/>
  <c r="AB245" i="4" s="1"/>
  <c r="AC245" i="4" s="1"/>
  <c r="AD245" i="4" s="1"/>
  <c r="AE245" i="4" s="1"/>
  <c r="AF245" i="4" s="1"/>
  <c r="AG245" i="4" s="1"/>
  <c r="AH245" i="4" s="1"/>
  <c r="AI245" i="4" s="1"/>
  <c r="AJ245" i="4" s="1"/>
  <c r="AK245" i="4" s="1"/>
  <c r="AL245" i="4" s="1"/>
  <c r="AM245" i="4" s="1"/>
  <c r="AN245" i="4" s="1"/>
  <c r="AO245" i="4" s="1"/>
  <c r="AP245" i="4" s="1"/>
  <c r="AQ245" i="4" s="1"/>
  <c r="AR245" i="4" s="1"/>
  <c r="AS245" i="4" s="1"/>
  <c r="AT245" i="4" s="1"/>
  <c r="AU245" i="4" s="1"/>
  <c r="AV245" i="4" s="1"/>
  <c r="AW245" i="4" s="1"/>
  <c r="AX245" i="4" s="1"/>
  <c r="AY245" i="4" s="1"/>
  <c r="AZ245" i="4" s="1"/>
  <c r="BA245" i="4" s="1"/>
  <c r="BB245" i="4" s="1"/>
  <c r="BC245" i="4" s="1"/>
  <c r="BD245" i="4" s="1"/>
  <c r="BE245" i="4" s="1"/>
  <c r="BF245" i="4" s="1"/>
  <c r="BG245" i="4" s="1"/>
  <c r="BH245" i="4" s="1"/>
  <c r="BI245" i="4" s="1"/>
  <c r="BJ245" i="4" s="1"/>
  <c r="BK245" i="4" s="1"/>
  <c r="BL245" i="4" s="1"/>
  <c r="BM245" i="4" s="1"/>
  <c r="BN245" i="4" s="1"/>
  <c r="BO245" i="4" s="1"/>
  <c r="BP245" i="4" s="1"/>
  <c r="B244" i="4"/>
  <c r="C244" i="4" s="1"/>
  <c r="D244" i="4" s="1"/>
  <c r="E244" i="4" s="1"/>
  <c r="F244" i="4" s="1"/>
  <c r="G244" i="4" s="1"/>
  <c r="H244" i="4" s="1"/>
  <c r="I244" i="4" s="1"/>
  <c r="J244" i="4" s="1"/>
  <c r="K244" i="4" s="1"/>
  <c r="L244" i="4" s="1"/>
  <c r="M244" i="4" s="1"/>
  <c r="N244" i="4" s="1"/>
  <c r="O244" i="4" s="1"/>
  <c r="P244" i="4" s="1"/>
  <c r="Q244" i="4" s="1"/>
  <c r="R244" i="4" s="1"/>
  <c r="S244" i="4" s="1"/>
  <c r="T244" i="4" s="1"/>
  <c r="U244" i="4" s="1"/>
  <c r="V244" i="4" s="1"/>
  <c r="W244" i="4" s="1"/>
  <c r="X244" i="4" s="1"/>
  <c r="Y244" i="4" s="1"/>
  <c r="Z244" i="4" s="1"/>
  <c r="AA244" i="4" s="1"/>
  <c r="AB244" i="4" s="1"/>
  <c r="AC244" i="4" s="1"/>
  <c r="AD244" i="4" s="1"/>
  <c r="AE244" i="4" s="1"/>
  <c r="AF244" i="4" s="1"/>
  <c r="AG244" i="4" s="1"/>
  <c r="AH244" i="4" s="1"/>
  <c r="AI244" i="4" s="1"/>
  <c r="AJ244" i="4" s="1"/>
  <c r="AK244" i="4" s="1"/>
  <c r="AL244" i="4" s="1"/>
  <c r="AM244" i="4" s="1"/>
  <c r="AN244" i="4" s="1"/>
  <c r="AO244" i="4" s="1"/>
  <c r="AP244" i="4" s="1"/>
  <c r="AQ244" i="4" s="1"/>
  <c r="AR244" i="4" s="1"/>
  <c r="AS244" i="4" s="1"/>
  <c r="AT244" i="4" s="1"/>
  <c r="AU244" i="4" s="1"/>
  <c r="AV244" i="4" s="1"/>
  <c r="AW244" i="4" s="1"/>
  <c r="AX244" i="4" s="1"/>
  <c r="AY244" i="4" s="1"/>
  <c r="AZ244" i="4" s="1"/>
  <c r="BA244" i="4" s="1"/>
  <c r="BB244" i="4" s="1"/>
  <c r="BC244" i="4" s="1"/>
  <c r="BD244" i="4" s="1"/>
  <c r="BE244" i="4" s="1"/>
  <c r="BF244" i="4" s="1"/>
  <c r="BG244" i="4" s="1"/>
  <c r="BH244" i="4" s="1"/>
  <c r="BI244" i="4" s="1"/>
  <c r="BJ244" i="4" s="1"/>
  <c r="BK244" i="4" s="1"/>
  <c r="BL244" i="4" s="1"/>
  <c r="BM244" i="4" s="1"/>
  <c r="BN244" i="4" s="1"/>
  <c r="BO244" i="4" s="1"/>
  <c r="BP244" i="4" s="1"/>
  <c r="B243" i="4"/>
  <c r="C243" i="4" s="1"/>
  <c r="D243" i="4" s="1"/>
  <c r="E243" i="4" s="1"/>
  <c r="F243" i="4" s="1"/>
  <c r="G243" i="4" s="1"/>
  <c r="H243" i="4" s="1"/>
  <c r="I243" i="4" s="1"/>
  <c r="J243" i="4" s="1"/>
  <c r="K243" i="4" s="1"/>
  <c r="L243" i="4" s="1"/>
  <c r="M243" i="4" s="1"/>
  <c r="N243" i="4" s="1"/>
  <c r="O243" i="4" s="1"/>
  <c r="P243" i="4" s="1"/>
  <c r="Q243" i="4" s="1"/>
  <c r="R243" i="4" s="1"/>
  <c r="S243" i="4" s="1"/>
  <c r="T243" i="4" s="1"/>
  <c r="U243" i="4" s="1"/>
  <c r="V243" i="4" s="1"/>
  <c r="W243" i="4" s="1"/>
  <c r="X243" i="4" s="1"/>
  <c r="Y243" i="4" s="1"/>
  <c r="Z243" i="4" s="1"/>
  <c r="AA243" i="4" s="1"/>
  <c r="AB243" i="4" s="1"/>
  <c r="AC243" i="4" s="1"/>
  <c r="AD243" i="4" s="1"/>
  <c r="AE243" i="4" s="1"/>
  <c r="AF243" i="4" s="1"/>
  <c r="AG243" i="4" s="1"/>
  <c r="AH243" i="4" s="1"/>
  <c r="AI243" i="4" s="1"/>
  <c r="AJ243" i="4" s="1"/>
  <c r="AK243" i="4" s="1"/>
  <c r="AL243" i="4" s="1"/>
  <c r="AM243" i="4" s="1"/>
  <c r="AN243" i="4" s="1"/>
  <c r="AO243" i="4" s="1"/>
  <c r="AP243" i="4" s="1"/>
  <c r="AQ243" i="4" s="1"/>
  <c r="AR243" i="4" s="1"/>
  <c r="AS243" i="4" s="1"/>
  <c r="AT243" i="4" s="1"/>
  <c r="AU243" i="4" s="1"/>
  <c r="AV243" i="4" s="1"/>
  <c r="AW243" i="4" s="1"/>
  <c r="AX243" i="4" s="1"/>
  <c r="AY243" i="4" s="1"/>
  <c r="AZ243" i="4" s="1"/>
  <c r="BA243" i="4" s="1"/>
  <c r="BB243" i="4" s="1"/>
  <c r="BC243" i="4" s="1"/>
  <c r="BD243" i="4" s="1"/>
  <c r="BE243" i="4" s="1"/>
  <c r="BF243" i="4" s="1"/>
  <c r="BG243" i="4" s="1"/>
  <c r="BH243" i="4" s="1"/>
  <c r="BI243" i="4" s="1"/>
  <c r="BJ243" i="4" s="1"/>
  <c r="BK243" i="4" s="1"/>
  <c r="BL243" i="4" s="1"/>
  <c r="BM243" i="4" s="1"/>
  <c r="BN243" i="4" s="1"/>
  <c r="BO243" i="4" s="1"/>
  <c r="BP243" i="4" s="1"/>
  <c r="B242" i="4"/>
  <c r="C242" i="4" s="1"/>
  <c r="D242" i="4" s="1"/>
  <c r="E242" i="4" s="1"/>
  <c r="F242" i="4" s="1"/>
  <c r="G242" i="4" s="1"/>
  <c r="H242" i="4" s="1"/>
  <c r="I242" i="4" s="1"/>
  <c r="J242" i="4" s="1"/>
  <c r="K242" i="4" s="1"/>
  <c r="L242" i="4" s="1"/>
  <c r="M242" i="4" s="1"/>
  <c r="N242" i="4" s="1"/>
  <c r="O242" i="4" s="1"/>
  <c r="P242" i="4" s="1"/>
  <c r="Q242" i="4" s="1"/>
  <c r="R242" i="4" s="1"/>
  <c r="S242" i="4" s="1"/>
  <c r="T242" i="4" s="1"/>
  <c r="U242" i="4" s="1"/>
  <c r="V242" i="4" s="1"/>
  <c r="W242" i="4" s="1"/>
  <c r="X242" i="4" s="1"/>
  <c r="Y242" i="4" s="1"/>
  <c r="Z242" i="4" s="1"/>
  <c r="AA242" i="4" s="1"/>
  <c r="AB242" i="4" s="1"/>
  <c r="AC242" i="4" s="1"/>
  <c r="AD242" i="4" s="1"/>
  <c r="AE242" i="4" s="1"/>
  <c r="AF242" i="4" s="1"/>
  <c r="AG242" i="4" s="1"/>
  <c r="AH242" i="4" s="1"/>
  <c r="AI242" i="4" s="1"/>
  <c r="AJ242" i="4" s="1"/>
  <c r="AK242" i="4" s="1"/>
  <c r="AL242" i="4" s="1"/>
  <c r="AM242" i="4" s="1"/>
  <c r="AN242" i="4" s="1"/>
  <c r="AO242" i="4" s="1"/>
  <c r="AP242" i="4" s="1"/>
  <c r="AQ242" i="4" s="1"/>
  <c r="AR242" i="4" s="1"/>
  <c r="AS242" i="4" s="1"/>
  <c r="AT242" i="4" s="1"/>
  <c r="AU242" i="4" s="1"/>
  <c r="AV242" i="4" s="1"/>
  <c r="AW242" i="4" s="1"/>
  <c r="AX242" i="4" s="1"/>
  <c r="AY242" i="4" s="1"/>
  <c r="AZ242" i="4" s="1"/>
  <c r="BA242" i="4" s="1"/>
  <c r="BB242" i="4" s="1"/>
  <c r="BC242" i="4" s="1"/>
  <c r="BD242" i="4" s="1"/>
  <c r="BE242" i="4" s="1"/>
  <c r="BF242" i="4" s="1"/>
  <c r="BG242" i="4" s="1"/>
  <c r="BH242" i="4" s="1"/>
  <c r="BI242" i="4" s="1"/>
  <c r="BJ242" i="4" s="1"/>
  <c r="BK242" i="4" s="1"/>
  <c r="BL242" i="4" s="1"/>
  <c r="BM242" i="4" s="1"/>
  <c r="BN242" i="4" s="1"/>
  <c r="BO242" i="4" s="1"/>
  <c r="BP242" i="4" s="1"/>
  <c r="B241" i="4"/>
  <c r="C241" i="4" s="1"/>
  <c r="D241" i="4" s="1"/>
  <c r="E241" i="4" s="1"/>
  <c r="F241" i="4" s="1"/>
  <c r="G241" i="4" s="1"/>
  <c r="H241" i="4" s="1"/>
  <c r="I241" i="4" s="1"/>
  <c r="J241" i="4" s="1"/>
  <c r="K241" i="4" s="1"/>
  <c r="L241" i="4" s="1"/>
  <c r="M241" i="4" s="1"/>
  <c r="N241" i="4" s="1"/>
  <c r="O241" i="4" s="1"/>
  <c r="P241" i="4" s="1"/>
  <c r="Q241" i="4" s="1"/>
  <c r="R241" i="4" s="1"/>
  <c r="S241" i="4" s="1"/>
  <c r="T241" i="4" s="1"/>
  <c r="U241" i="4" s="1"/>
  <c r="V241" i="4" s="1"/>
  <c r="W241" i="4" s="1"/>
  <c r="X241" i="4" s="1"/>
  <c r="Y241" i="4" s="1"/>
  <c r="Z241" i="4" s="1"/>
  <c r="AA241" i="4" s="1"/>
  <c r="AB241" i="4" s="1"/>
  <c r="AC241" i="4" s="1"/>
  <c r="AD241" i="4" s="1"/>
  <c r="AE241" i="4" s="1"/>
  <c r="AF241" i="4" s="1"/>
  <c r="AG241" i="4" s="1"/>
  <c r="AH241" i="4" s="1"/>
  <c r="AI241" i="4" s="1"/>
  <c r="AJ241" i="4" s="1"/>
  <c r="AK241" i="4" s="1"/>
  <c r="AL241" i="4" s="1"/>
  <c r="AM241" i="4" s="1"/>
  <c r="AN241" i="4" s="1"/>
  <c r="AO241" i="4" s="1"/>
  <c r="AP241" i="4" s="1"/>
  <c r="AQ241" i="4" s="1"/>
  <c r="AR241" i="4" s="1"/>
  <c r="AS241" i="4" s="1"/>
  <c r="AT241" i="4" s="1"/>
  <c r="AU241" i="4" s="1"/>
  <c r="AV241" i="4" s="1"/>
  <c r="AW241" i="4" s="1"/>
  <c r="AX241" i="4" s="1"/>
  <c r="AY241" i="4" s="1"/>
  <c r="AZ241" i="4" s="1"/>
  <c r="BA241" i="4" s="1"/>
  <c r="BB241" i="4" s="1"/>
  <c r="BC241" i="4" s="1"/>
  <c r="BD241" i="4" s="1"/>
  <c r="BE241" i="4" s="1"/>
  <c r="BF241" i="4" s="1"/>
  <c r="BG241" i="4" s="1"/>
  <c r="BH241" i="4" s="1"/>
  <c r="BI241" i="4" s="1"/>
  <c r="BJ241" i="4" s="1"/>
  <c r="BK241" i="4" s="1"/>
  <c r="BL241" i="4" s="1"/>
  <c r="BM241" i="4" s="1"/>
  <c r="BN241" i="4" s="1"/>
  <c r="BO241" i="4" s="1"/>
  <c r="BP241" i="4" s="1"/>
  <c r="B240" i="4"/>
  <c r="C240" i="4" s="1"/>
  <c r="D240" i="4" s="1"/>
  <c r="E240" i="4" s="1"/>
  <c r="F240" i="4" s="1"/>
  <c r="G240" i="4" s="1"/>
  <c r="H240" i="4" s="1"/>
  <c r="I240" i="4" s="1"/>
  <c r="J240" i="4" s="1"/>
  <c r="K240" i="4" s="1"/>
  <c r="L240" i="4" s="1"/>
  <c r="M240" i="4" s="1"/>
  <c r="N240" i="4" s="1"/>
  <c r="O240" i="4" s="1"/>
  <c r="P240" i="4" s="1"/>
  <c r="Q240" i="4" s="1"/>
  <c r="R240" i="4" s="1"/>
  <c r="S240" i="4" s="1"/>
  <c r="T240" i="4" s="1"/>
  <c r="U240" i="4" s="1"/>
  <c r="V240" i="4" s="1"/>
  <c r="W240" i="4" s="1"/>
  <c r="X240" i="4" s="1"/>
  <c r="Y240" i="4" s="1"/>
  <c r="Z240" i="4" s="1"/>
  <c r="AA240" i="4" s="1"/>
  <c r="AB240" i="4" s="1"/>
  <c r="AC240" i="4" s="1"/>
  <c r="AD240" i="4" s="1"/>
  <c r="AE240" i="4" s="1"/>
  <c r="AF240" i="4" s="1"/>
  <c r="AG240" i="4" s="1"/>
  <c r="AH240" i="4" s="1"/>
  <c r="AI240" i="4" s="1"/>
  <c r="AJ240" i="4" s="1"/>
  <c r="AK240" i="4" s="1"/>
  <c r="AL240" i="4" s="1"/>
  <c r="AM240" i="4" s="1"/>
  <c r="AN240" i="4" s="1"/>
  <c r="AO240" i="4" s="1"/>
  <c r="AP240" i="4" s="1"/>
  <c r="AQ240" i="4" s="1"/>
  <c r="AR240" i="4" s="1"/>
  <c r="AS240" i="4" s="1"/>
  <c r="AT240" i="4" s="1"/>
  <c r="AU240" i="4" s="1"/>
  <c r="AV240" i="4" s="1"/>
  <c r="AW240" i="4" s="1"/>
  <c r="AX240" i="4" s="1"/>
  <c r="AY240" i="4" s="1"/>
  <c r="AZ240" i="4" s="1"/>
  <c r="BA240" i="4" s="1"/>
  <c r="BB240" i="4" s="1"/>
  <c r="BC240" i="4" s="1"/>
  <c r="BD240" i="4" s="1"/>
  <c r="BE240" i="4" s="1"/>
  <c r="BF240" i="4" s="1"/>
  <c r="BG240" i="4" s="1"/>
  <c r="BH240" i="4" s="1"/>
  <c r="BI240" i="4" s="1"/>
  <c r="BJ240" i="4" s="1"/>
  <c r="BK240" i="4" s="1"/>
  <c r="BL240" i="4" s="1"/>
  <c r="BM240" i="4" s="1"/>
  <c r="BN240" i="4" s="1"/>
  <c r="BO240" i="4" s="1"/>
  <c r="BP240" i="4" s="1"/>
  <c r="B239" i="4"/>
  <c r="C239" i="4" s="1"/>
  <c r="D239" i="4" s="1"/>
  <c r="E239" i="4" s="1"/>
  <c r="F239" i="4" s="1"/>
  <c r="G239" i="4" s="1"/>
  <c r="H239" i="4" s="1"/>
  <c r="I239" i="4" s="1"/>
  <c r="J239" i="4" s="1"/>
  <c r="K239" i="4" s="1"/>
  <c r="L239" i="4" s="1"/>
  <c r="M239" i="4" s="1"/>
  <c r="N239" i="4" s="1"/>
  <c r="O239" i="4" s="1"/>
  <c r="P239" i="4" s="1"/>
  <c r="Q239" i="4" s="1"/>
  <c r="R239" i="4" s="1"/>
  <c r="S239" i="4" s="1"/>
  <c r="T239" i="4" s="1"/>
  <c r="U239" i="4" s="1"/>
  <c r="V239" i="4" s="1"/>
  <c r="W239" i="4" s="1"/>
  <c r="X239" i="4" s="1"/>
  <c r="Y239" i="4" s="1"/>
  <c r="Z239" i="4" s="1"/>
  <c r="AA239" i="4" s="1"/>
  <c r="AB239" i="4" s="1"/>
  <c r="AC239" i="4" s="1"/>
  <c r="AD239" i="4" s="1"/>
  <c r="AE239" i="4" s="1"/>
  <c r="AF239" i="4" s="1"/>
  <c r="AG239" i="4" s="1"/>
  <c r="AH239" i="4" s="1"/>
  <c r="AI239" i="4" s="1"/>
  <c r="AJ239" i="4" s="1"/>
  <c r="AK239" i="4" s="1"/>
  <c r="AL239" i="4" s="1"/>
  <c r="AM239" i="4" s="1"/>
  <c r="AN239" i="4" s="1"/>
  <c r="AO239" i="4" s="1"/>
  <c r="AP239" i="4" s="1"/>
  <c r="AQ239" i="4" s="1"/>
  <c r="AR239" i="4" s="1"/>
  <c r="AS239" i="4" s="1"/>
  <c r="AT239" i="4" s="1"/>
  <c r="AU239" i="4" s="1"/>
  <c r="AV239" i="4" s="1"/>
  <c r="AW239" i="4" s="1"/>
  <c r="AX239" i="4" s="1"/>
  <c r="AY239" i="4" s="1"/>
  <c r="AZ239" i="4" s="1"/>
  <c r="BA239" i="4" s="1"/>
  <c r="BB239" i="4" s="1"/>
  <c r="BC239" i="4" s="1"/>
  <c r="BD239" i="4" s="1"/>
  <c r="BE239" i="4" s="1"/>
  <c r="BF239" i="4" s="1"/>
  <c r="BG239" i="4" s="1"/>
  <c r="BH239" i="4" s="1"/>
  <c r="BI239" i="4" s="1"/>
  <c r="BJ239" i="4" s="1"/>
  <c r="BK239" i="4" s="1"/>
  <c r="BL239" i="4" s="1"/>
  <c r="BM239" i="4" s="1"/>
  <c r="BN239" i="4" s="1"/>
  <c r="BO239" i="4" s="1"/>
  <c r="BP239" i="4" s="1"/>
  <c r="B238" i="4"/>
  <c r="C238" i="4" s="1"/>
  <c r="D238" i="4" s="1"/>
  <c r="E238" i="4" s="1"/>
  <c r="F238" i="4" s="1"/>
  <c r="G238" i="4" s="1"/>
  <c r="H238" i="4" s="1"/>
  <c r="I238" i="4" s="1"/>
  <c r="J238" i="4" s="1"/>
  <c r="K238" i="4" s="1"/>
  <c r="L238" i="4" s="1"/>
  <c r="M238" i="4" s="1"/>
  <c r="N238" i="4" s="1"/>
  <c r="O238" i="4" s="1"/>
  <c r="P238" i="4" s="1"/>
  <c r="Q238" i="4" s="1"/>
  <c r="R238" i="4" s="1"/>
  <c r="S238" i="4" s="1"/>
  <c r="T238" i="4" s="1"/>
  <c r="U238" i="4" s="1"/>
  <c r="V238" i="4" s="1"/>
  <c r="W238" i="4" s="1"/>
  <c r="X238" i="4" s="1"/>
  <c r="Y238" i="4" s="1"/>
  <c r="Z238" i="4" s="1"/>
  <c r="AA238" i="4" s="1"/>
  <c r="AB238" i="4" s="1"/>
  <c r="AC238" i="4" s="1"/>
  <c r="AD238" i="4" s="1"/>
  <c r="AE238" i="4" s="1"/>
  <c r="AF238" i="4" s="1"/>
  <c r="AG238" i="4" s="1"/>
  <c r="AH238" i="4" s="1"/>
  <c r="AI238" i="4" s="1"/>
  <c r="AJ238" i="4" s="1"/>
  <c r="AK238" i="4" s="1"/>
  <c r="AL238" i="4" s="1"/>
  <c r="AM238" i="4" s="1"/>
  <c r="AN238" i="4" s="1"/>
  <c r="AO238" i="4" s="1"/>
  <c r="AP238" i="4" s="1"/>
  <c r="AQ238" i="4" s="1"/>
  <c r="AR238" i="4" s="1"/>
  <c r="AS238" i="4" s="1"/>
  <c r="AT238" i="4" s="1"/>
  <c r="AU238" i="4" s="1"/>
  <c r="AV238" i="4" s="1"/>
  <c r="AW238" i="4" s="1"/>
  <c r="AX238" i="4" s="1"/>
  <c r="AY238" i="4" s="1"/>
  <c r="AZ238" i="4" s="1"/>
  <c r="BA238" i="4" s="1"/>
  <c r="BB238" i="4" s="1"/>
  <c r="BC238" i="4" s="1"/>
  <c r="BD238" i="4" s="1"/>
  <c r="BE238" i="4" s="1"/>
  <c r="BF238" i="4" s="1"/>
  <c r="BG238" i="4" s="1"/>
  <c r="BH238" i="4" s="1"/>
  <c r="BI238" i="4" s="1"/>
  <c r="BJ238" i="4" s="1"/>
  <c r="BK238" i="4" s="1"/>
  <c r="BL238" i="4" s="1"/>
  <c r="BM238" i="4" s="1"/>
  <c r="BN238" i="4" s="1"/>
  <c r="BO238" i="4" s="1"/>
  <c r="BP238" i="4" s="1"/>
  <c r="B237" i="4"/>
  <c r="C237" i="4" s="1"/>
  <c r="D237" i="4" s="1"/>
  <c r="E237" i="4" s="1"/>
  <c r="F237" i="4" s="1"/>
  <c r="G237" i="4" s="1"/>
  <c r="H237" i="4" s="1"/>
  <c r="I237" i="4" s="1"/>
  <c r="J237" i="4" s="1"/>
  <c r="K237" i="4" s="1"/>
  <c r="L237" i="4" s="1"/>
  <c r="M237" i="4" s="1"/>
  <c r="N237" i="4" s="1"/>
  <c r="O237" i="4" s="1"/>
  <c r="P237" i="4" s="1"/>
  <c r="Q237" i="4" s="1"/>
  <c r="R237" i="4" s="1"/>
  <c r="S237" i="4" s="1"/>
  <c r="T237" i="4" s="1"/>
  <c r="U237" i="4" s="1"/>
  <c r="V237" i="4" s="1"/>
  <c r="W237" i="4" s="1"/>
  <c r="X237" i="4" s="1"/>
  <c r="Y237" i="4" s="1"/>
  <c r="Z237" i="4" s="1"/>
  <c r="AA237" i="4" s="1"/>
  <c r="AB237" i="4" s="1"/>
  <c r="AC237" i="4" s="1"/>
  <c r="AD237" i="4" s="1"/>
  <c r="AE237" i="4" s="1"/>
  <c r="AF237" i="4" s="1"/>
  <c r="AG237" i="4" s="1"/>
  <c r="AH237" i="4" s="1"/>
  <c r="AI237" i="4" s="1"/>
  <c r="AJ237" i="4" s="1"/>
  <c r="AK237" i="4" s="1"/>
  <c r="AL237" i="4" s="1"/>
  <c r="AM237" i="4" s="1"/>
  <c r="AN237" i="4" s="1"/>
  <c r="AO237" i="4" s="1"/>
  <c r="AP237" i="4" s="1"/>
  <c r="AQ237" i="4" s="1"/>
  <c r="AR237" i="4" s="1"/>
  <c r="AS237" i="4" s="1"/>
  <c r="AT237" i="4" s="1"/>
  <c r="AU237" i="4" s="1"/>
  <c r="AV237" i="4" s="1"/>
  <c r="AW237" i="4" s="1"/>
  <c r="AX237" i="4" s="1"/>
  <c r="AY237" i="4" s="1"/>
  <c r="AZ237" i="4" s="1"/>
  <c r="BA237" i="4" s="1"/>
  <c r="BB237" i="4" s="1"/>
  <c r="BC237" i="4" s="1"/>
  <c r="BD237" i="4" s="1"/>
  <c r="BE237" i="4" s="1"/>
  <c r="BF237" i="4" s="1"/>
  <c r="BG237" i="4" s="1"/>
  <c r="BH237" i="4" s="1"/>
  <c r="BI237" i="4" s="1"/>
  <c r="BJ237" i="4" s="1"/>
  <c r="BK237" i="4" s="1"/>
  <c r="BL237" i="4" s="1"/>
  <c r="BM237" i="4" s="1"/>
  <c r="BN237" i="4" s="1"/>
  <c r="BO237" i="4" s="1"/>
  <c r="BP237" i="4" s="1"/>
  <c r="B236" i="4"/>
  <c r="C236" i="4" s="1"/>
  <c r="D236" i="4" s="1"/>
  <c r="E236" i="4" s="1"/>
  <c r="F236" i="4" s="1"/>
  <c r="G236" i="4" s="1"/>
  <c r="H236" i="4" s="1"/>
  <c r="I236" i="4" s="1"/>
  <c r="J236" i="4" s="1"/>
  <c r="K236" i="4" s="1"/>
  <c r="L236" i="4" s="1"/>
  <c r="M236" i="4" s="1"/>
  <c r="N236" i="4" s="1"/>
  <c r="O236" i="4" s="1"/>
  <c r="P236" i="4" s="1"/>
  <c r="Q236" i="4" s="1"/>
  <c r="R236" i="4" s="1"/>
  <c r="S236" i="4" s="1"/>
  <c r="T236" i="4" s="1"/>
  <c r="U236" i="4" s="1"/>
  <c r="V236" i="4" s="1"/>
  <c r="W236" i="4" s="1"/>
  <c r="X236" i="4" s="1"/>
  <c r="Y236" i="4" s="1"/>
  <c r="Z236" i="4" s="1"/>
  <c r="AA236" i="4" s="1"/>
  <c r="AB236" i="4" s="1"/>
  <c r="AC236" i="4" s="1"/>
  <c r="AD236" i="4" s="1"/>
  <c r="AE236" i="4" s="1"/>
  <c r="AF236" i="4" s="1"/>
  <c r="AG236" i="4" s="1"/>
  <c r="AH236" i="4" s="1"/>
  <c r="AI236" i="4" s="1"/>
  <c r="AJ236" i="4" s="1"/>
  <c r="AK236" i="4" s="1"/>
  <c r="AL236" i="4" s="1"/>
  <c r="AM236" i="4" s="1"/>
  <c r="AN236" i="4" s="1"/>
  <c r="AO236" i="4" s="1"/>
  <c r="AP236" i="4" s="1"/>
  <c r="AQ236" i="4" s="1"/>
  <c r="AR236" i="4" s="1"/>
  <c r="AS236" i="4" s="1"/>
  <c r="AT236" i="4" s="1"/>
  <c r="AU236" i="4" s="1"/>
  <c r="AV236" i="4" s="1"/>
  <c r="AW236" i="4" s="1"/>
  <c r="AX236" i="4" s="1"/>
  <c r="AY236" i="4" s="1"/>
  <c r="AZ236" i="4" s="1"/>
  <c r="BA236" i="4" s="1"/>
  <c r="BB236" i="4" s="1"/>
  <c r="BC236" i="4" s="1"/>
  <c r="BD236" i="4" s="1"/>
  <c r="BE236" i="4" s="1"/>
  <c r="BF236" i="4" s="1"/>
  <c r="BG236" i="4" s="1"/>
  <c r="BH236" i="4" s="1"/>
  <c r="BI236" i="4" s="1"/>
  <c r="BJ236" i="4" s="1"/>
  <c r="BK236" i="4" s="1"/>
  <c r="BL236" i="4" s="1"/>
  <c r="BM236" i="4" s="1"/>
  <c r="BN236" i="4" s="1"/>
  <c r="BO236" i="4" s="1"/>
  <c r="BP236" i="4" s="1"/>
  <c r="B235" i="4"/>
  <c r="C235" i="4" s="1"/>
  <c r="D235" i="4" s="1"/>
  <c r="E235" i="4" s="1"/>
  <c r="F235" i="4" s="1"/>
  <c r="G235" i="4" s="1"/>
  <c r="H235" i="4" s="1"/>
  <c r="I235" i="4" s="1"/>
  <c r="J235" i="4" s="1"/>
  <c r="K235" i="4" s="1"/>
  <c r="L235" i="4" s="1"/>
  <c r="M235" i="4" s="1"/>
  <c r="N235" i="4" s="1"/>
  <c r="O235" i="4" s="1"/>
  <c r="P235" i="4" s="1"/>
  <c r="Q235" i="4" s="1"/>
  <c r="R235" i="4" s="1"/>
  <c r="S235" i="4" s="1"/>
  <c r="T235" i="4" s="1"/>
  <c r="U235" i="4" s="1"/>
  <c r="V235" i="4" s="1"/>
  <c r="W235" i="4" s="1"/>
  <c r="X235" i="4" s="1"/>
  <c r="Y235" i="4" s="1"/>
  <c r="Z235" i="4" s="1"/>
  <c r="AA235" i="4" s="1"/>
  <c r="AB235" i="4" s="1"/>
  <c r="AC235" i="4" s="1"/>
  <c r="AD235" i="4" s="1"/>
  <c r="AE235" i="4" s="1"/>
  <c r="AF235" i="4" s="1"/>
  <c r="AG235" i="4" s="1"/>
  <c r="AH235" i="4" s="1"/>
  <c r="AI235" i="4" s="1"/>
  <c r="AJ235" i="4" s="1"/>
  <c r="AK235" i="4" s="1"/>
  <c r="AL235" i="4" s="1"/>
  <c r="AM235" i="4" s="1"/>
  <c r="AN235" i="4" s="1"/>
  <c r="AO235" i="4" s="1"/>
  <c r="AP235" i="4" s="1"/>
  <c r="AQ235" i="4" s="1"/>
  <c r="AR235" i="4" s="1"/>
  <c r="AS235" i="4" s="1"/>
  <c r="AT235" i="4" s="1"/>
  <c r="AU235" i="4" s="1"/>
  <c r="AV235" i="4" s="1"/>
  <c r="AW235" i="4" s="1"/>
  <c r="AX235" i="4" s="1"/>
  <c r="AY235" i="4" s="1"/>
  <c r="AZ235" i="4" s="1"/>
  <c r="BA235" i="4" s="1"/>
  <c r="BB235" i="4" s="1"/>
  <c r="BC235" i="4" s="1"/>
  <c r="BD235" i="4" s="1"/>
  <c r="BE235" i="4" s="1"/>
  <c r="BF235" i="4" s="1"/>
  <c r="BG235" i="4" s="1"/>
  <c r="BH235" i="4" s="1"/>
  <c r="BI235" i="4" s="1"/>
  <c r="BJ235" i="4" s="1"/>
  <c r="BK235" i="4" s="1"/>
  <c r="BL235" i="4" s="1"/>
  <c r="BM235" i="4" s="1"/>
  <c r="BN235" i="4" s="1"/>
  <c r="BO235" i="4" s="1"/>
  <c r="BP235" i="4" s="1"/>
  <c r="B234" i="4"/>
  <c r="C234" i="4" s="1"/>
  <c r="D234" i="4" s="1"/>
  <c r="E234" i="4" s="1"/>
  <c r="F234" i="4" s="1"/>
  <c r="G234" i="4" s="1"/>
  <c r="H234" i="4" s="1"/>
  <c r="I234" i="4" s="1"/>
  <c r="J234" i="4" s="1"/>
  <c r="K234" i="4" s="1"/>
  <c r="L234" i="4" s="1"/>
  <c r="M234" i="4" s="1"/>
  <c r="N234" i="4" s="1"/>
  <c r="O234" i="4" s="1"/>
  <c r="P234" i="4" s="1"/>
  <c r="Q234" i="4" s="1"/>
  <c r="R234" i="4" s="1"/>
  <c r="S234" i="4" s="1"/>
  <c r="T234" i="4" s="1"/>
  <c r="U234" i="4" s="1"/>
  <c r="V234" i="4" s="1"/>
  <c r="W234" i="4" s="1"/>
  <c r="X234" i="4" s="1"/>
  <c r="Y234" i="4" s="1"/>
  <c r="Z234" i="4" s="1"/>
  <c r="AA234" i="4" s="1"/>
  <c r="AB234" i="4" s="1"/>
  <c r="AC234" i="4" s="1"/>
  <c r="AD234" i="4" s="1"/>
  <c r="AE234" i="4" s="1"/>
  <c r="AF234" i="4" s="1"/>
  <c r="AG234" i="4" s="1"/>
  <c r="AH234" i="4" s="1"/>
  <c r="AI234" i="4" s="1"/>
  <c r="AJ234" i="4" s="1"/>
  <c r="AK234" i="4" s="1"/>
  <c r="AL234" i="4" s="1"/>
  <c r="AM234" i="4" s="1"/>
  <c r="AN234" i="4" s="1"/>
  <c r="AO234" i="4" s="1"/>
  <c r="AP234" i="4" s="1"/>
  <c r="AQ234" i="4" s="1"/>
  <c r="AR234" i="4" s="1"/>
  <c r="AS234" i="4" s="1"/>
  <c r="AT234" i="4" s="1"/>
  <c r="AU234" i="4" s="1"/>
  <c r="AV234" i="4" s="1"/>
  <c r="AW234" i="4" s="1"/>
  <c r="AX234" i="4" s="1"/>
  <c r="AY234" i="4" s="1"/>
  <c r="AZ234" i="4" s="1"/>
  <c r="BA234" i="4" s="1"/>
  <c r="BB234" i="4" s="1"/>
  <c r="BC234" i="4" s="1"/>
  <c r="BD234" i="4" s="1"/>
  <c r="BE234" i="4" s="1"/>
  <c r="BF234" i="4" s="1"/>
  <c r="BG234" i="4" s="1"/>
  <c r="BH234" i="4" s="1"/>
  <c r="BI234" i="4" s="1"/>
  <c r="BJ234" i="4" s="1"/>
  <c r="BK234" i="4" s="1"/>
  <c r="BL234" i="4" s="1"/>
  <c r="BM234" i="4" s="1"/>
  <c r="BN234" i="4" s="1"/>
  <c r="BO234" i="4" s="1"/>
  <c r="BP234" i="4" s="1"/>
  <c r="B233" i="4"/>
  <c r="C233" i="4" s="1"/>
  <c r="D233" i="4" s="1"/>
  <c r="E233" i="4" s="1"/>
  <c r="F233" i="4" s="1"/>
  <c r="G233" i="4" s="1"/>
  <c r="H233" i="4" s="1"/>
  <c r="I233" i="4" s="1"/>
  <c r="J233" i="4" s="1"/>
  <c r="K233" i="4" s="1"/>
  <c r="L233" i="4" s="1"/>
  <c r="M233" i="4" s="1"/>
  <c r="N233" i="4" s="1"/>
  <c r="O233" i="4" s="1"/>
  <c r="P233" i="4" s="1"/>
  <c r="Q233" i="4" s="1"/>
  <c r="R233" i="4" s="1"/>
  <c r="S233" i="4" s="1"/>
  <c r="T233" i="4" s="1"/>
  <c r="U233" i="4" s="1"/>
  <c r="V233" i="4" s="1"/>
  <c r="W233" i="4" s="1"/>
  <c r="X233" i="4" s="1"/>
  <c r="Y233" i="4" s="1"/>
  <c r="Z233" i="4" s="1"/>
  <c r="AA233" i="4" s="1"/>
  <c r="AB233" i="4" s="1"/>
  <c r="AC233" i="4" s="1"/>
  <c r="AD233" i="4" s="1"/>
  <c r="AE233" i="4" s="1"/>
  <c r="AF233" i="4" s="1"/>
  <c r="AG233" i="4" s="1"/>
  <c r="AH233" i="4" s="1"/>
  <c r="AI233" i="4" s="1"/>
  <c r="AJ233" i="4" s="1"/>
  <c r="AK233" i="4" s="1"/>
  <c r="AL233" i="4" s="1"/>
  <c r="AM233" i="4" s="1"/>
  <c r="AN233" i="4" s="1"/>
  <c r="AO233" i="4" s="1"/>
  <c r="AP233" i="4" s="1"/>
  <c r="AQ233" i="4" s="1"/>
  <c r="AR233" i="4" s="1"/>
  <c r="AS233" i="4" s="1"/>
  <c r="AT233" i="4" s="1"/>
  <c r="AU233" i="4" s="1"/>
  <c r="AV233" i="4" s="1"/>
  <c r="AW233" i="4" s="1"/>
  <c r="AX233" i="4" s="1"/>
  <c r="AY233" i="4" s="1"/>
  <c r="AZ233" i="4" s="1"/>
  <c r="BA233" i="4" s="1"/>
  <c r="BB233" i="4" s="1"/>
  <c r="BC233" i="4" s="1"/>
  <c r="BD233" i="4" s="1"/>
  <c r="BE233" i="4" s="1"/>
  <c r="BF233" i="4" s="1"/>
  <c r="BG233" i="4" s="1"/>
  <c r="BH233" i="4" s="1"/>
  <c r="BI233" i="4" s="1"/>
  <c r="BJ233" i="4" s="1"/>
  <c r="BK233" i="4" s="1"/>
  <c r="BL233" i="4" s="1"/>
  <c r="BM233" i="4" s="1"/>
  <c r="BN233" i="4" s="1"/>
  <c r="BO233" i="4" s="1"/>
  <c r="BP233" i="4" s="1"/>
  <c r="B232" i="4"/>
  <c r="C232" i="4" s="1"/>
  <c r="D232" i="4" s="1"/>
  <c r="E232" i="4" s="1"/>
  <c r="F232" i="4" s="1"/>
  <c r="G232" i="4" s="1"/>
  <c r="H232" i="4" s="1"/>
  <c r="I232" i="4" s="1"/>
  <c r="J232" i="4" s="1"/>
  <c r="K232" i="4" s="1"/>
  <c r="L232" i="4" s="1"/>
  <c r="M232" i="4" s="1"/>
  <c r="N232" i="4" s="1"/>
  <c r="O232" i="4" s="1"/>
  <c r="P232" i="4" s="1"/>
  <c r="Q232" i="4" s="1"/>
  <c r="R232" i="4" s="1"/>
  <c r="S232" i="4" s="1"/>
  <c r="T232" i="4" s="1"/>
  <c r="U232" i="4" s="1"/>
  <c r="V232" i="4" s="1"/>
  <c r="W232" i="4" s="1"/>
  <c r="X232" i="4" s="1"/>
  <c r="Y232" i="4" s="1"/>
  <c r="Z232" i="4" s="1"/>
  <c r="AA232" i="4" s="1"/>
  <c r="AB232" i="4" s="1"/>
  <c r="AC232" i="4" s="1"/>
  <c r="AD232" i="4" s="1"/>
  <c r="AE232" i="4" s="1"/>
  <c r="AF232" i="4" s="1"/>
  <c r="AG232" i="4" s="1"/>
  <c r="AH232" i="4" s="1"/>
  <c r="AI232" i="4" s="1"/>
  <c r="AJ232" i="4" s="1"/>
  <c r="AK232" i="4" s="1"/>
  <c r="AL232" i="4" s="1"/>
  <c r="AM232" i="4" s="1"/>
  <c r="AN232" i="4" s="1"/>
  <c r="AO232" i="4" s="1"/>
  <c r="AP232" i="4" s="1"/>
  <c r="AQ232" i="4" s="1"/>
  <c r="AR232" i="4" s="1"/>
  <c r="AS232" i="4" s="1"/>
  <c r="AT232" i="4" s="1"/>
  <c r="AU232" i="4" s="1"/>
  <c r="AV232" i="4" s="1"/>
  <c r="AW232" i="4" s="1"/>
  <c r="AX232" i="4" s="1"/>
  <c r="AY232" i="4" s="1"/>
  <c r="AZ232" i="4" s="1"/>
  <c r="BA232" i="4" s="1"/>
  <c r="BB232" i="4" s="1"/>
  <c r="BC232" i="4" s="1"/>
  <c r="BD232" i="4" s="1"/>
  <c r="BE232" i="4" s="1"/>
  <c r="BF232" i="4" s="1"/>
  <c r="BG232" i="4" s="1"/>
  <c r="BH232" i="4" s="1"/>
  <c r="BI232" i="4" s="1"/>
  <c r="BJ232" i="4" s="1"/>
  <c r="BK232" i="4" s="1"/>
  <c r="BL232" i="4" s="1"/>
  <c r="BM232" i="4" s="1"/>
  <c r="BN232" i="4" s="1"/>
  <c r="BO232" i="4" s="1"/>
  <c r="BP232" i="4" s="1"/>
  <c r="B231" i="4"/>
  <c r="C231" i="4" s="1"/>
  <c r="D231" i="4" s="1"/>
  <c r="E231" i="4" s="1"/>
  <c r="F231" i="4" s="1"/>
  <c r="G231" i="4" s="1"/>
  <c r="H231" i="4" s="1"/>
  <c r="I231" i="4" s="1"/>
  <c r="J231" i="4" s="1"/>
  <c r="K231" i="4" s="1"/>
  <c r="L231" i="4" s="1"/>
  <c r="M231" i="4" s="1"/>
  <c r="N231" i="4" s="1"/>
  <c r="O231" i="4" s="1"/>
  <c r="P231" i="4" s="1"/>
  <c r="Q231" i="4" s="1"/>
  <c r="R231" i="4" s="1"/>
  <c r="S231" i="4" s="1"/>
  <c r="T231" i="4" s="1"/>
  <c r="U231" i="4" s="1"/>
  <c r="V231" i="4" s="1"/>
  <c r="W231" i="4" s="1"/>
  <c r="X231" i="4" s="1"/>
  <c r="Y231" i="4" s="1"/>
  <c r="Z231" i="4" s="1"/>
  <c r="AA231" i="4" s="1"/>
  <c r="AB231" i="4" s="1"/>
  <c r="AC231" i="4" s="1"/>
  <c r="AD231" i="4" s="1"/>
  <c r="AE231" i="4" s="1"/>
  <c r="AF231" i="4" s="1"/>
  <c r="AG231" i="4" s="1"/>
  <c r="AH231" i="4" s="1"/>
  <c r="AI231" i="4" s="1"/>
  <c r="AJ231" i="4" s="1"/>
  <c r="AK231" i="4" s="1"/>
  <c r="AL231" i="4" s="1"/>
  <c r="AM231" i="4" s="1"/>
  <c r="AN231" i="4" s="1"/>
  <c r="AO231" i="4" s="1"/>
  <c r="AP231" i="4" s="1"/>
  <c r="AQ231" i="4" s="1"/>
  <c r="AR231" i="4" s="1"/>
  <c r="AS231" i="4" s="1"/>
  <c r="AT231" i="4" s="1"/>
  <c r="AU231" i="4" s="1"/>
  <c r="AV231" i="4" s="1"/>
  <c r="AW231" i="4" s="1"/>
  <c r="AX231" i="4" s="1"/>
  <c r="AY231" i="4" s="1"/>
  <c r="AZ231" i="4" s="1"/>
  <c r="BA231" i="4" s="1"/>
  <c r="BB231" i="4" s="1"/>
  <c r="BC231" i="4" s="1"/>
  <c r="BD231" i="4" s="1"/>
  <c r="BE231" i="4" s="1"/>
  <c r="BF231" i="4" s="1"/>
  <c r="BG231" i="4" s="1"/>
  <c r="BH231" i="4" s="1"/>
  <c r="BI231" i="4" s="1"/>
  <c r="BJ231" i="4" s="1"/>
  <c r="BK231" i="4" s="1"/>
  <c r="BL231" i="4" s="1"/>
  <c r="BM231" i="4" s="1"/>
  <c r="BN231" i="4" s="1"/>
  <c r="BO231" i="4" s="1"/>
  <c r="BP231" i="4" s="1"/>
  <c r="B230" i="4"/>
  <c r="C230" i="4" s="1"/>
  <c r="D230" i="4" s="1"/>
  <c r="E230" i="4" s="1"/>
  <c r="F230" i="4" s="1"/>
  <c r="G230" i="4" s="1"/>
  <c r="H230" i="4" s="1"/>
  <c r="I230" i="4" s="1"/>
  <c r="J230" i="4" s="1"/>
  <c r="K230" i="4" s="1"/>
  <c r="L230" i="4" s="1"/>
  <c r="M230" i="4" s="1"/>
  <c r="N230" i="4" s="1"/>
  <c r="O230" i="4" s="1"/>
  <c r="P230" i="4" s="1"/>
  <c r="Q230" i="4" s="1"/>
  <c r="R230" i="4" s="1"/>
  <c r="S230" i="4" s="1"/>
  <c r="T230" i="4" s="1"/>
  <c r="U230" i="4" s="1"/>
  <c r="V230" i="4" s="1"/>
  <c r="W230" i="4" s="1"/>
  <c r="X230" i="4" s="1"/>
  <c r="Y230" i="4" s="1"/>
  <c r="Z230" i="4" s="1"/>
  <c r="AA230" i="4" s="1"/>
  <c r="AB230" i="4" s="1"/>
  <c r="AC230" i="4" s="1"/>
  <c r="AD230" i="4" s="1"/>
  <c r="AE230" i="4" s="1"/>
  <c r="AF230" i="4" s="1"/>
  <c r="AG230" i="4" s="1"/>
  <c r="AH230" i="4" s="1"/>
  <c r="AI230" i="4" s="1"/>
  <c r="AJ230" i="4" s="1"/>
  <c r="AK230" i="4" s="1"/>
  <c r="AL230" i="4" s="1"/>
  <c r="AM230" i="4" s="1"/>
  <c r="AN230" i="4" s="1"/>
  <c r="AO230" i="4" s="1"/>
  <c r="AP230" i="4" s="1"/>
  <c r="AQ230" i="4" s="1"/>
  <c r="AR230" i="4" s="1"/>
  <c r="AS230" i="4" s="1"/>
  <c r="AT230" i="4" s="1"/>
  <c r="AU230" i="4" s="1"/>
  <c r="AV230" i="4" s="1"/>
  <c r="AW230" i="4" s="1"/>
  <c r="AX230" i="4" s="1"/>
  <c r="AY230" i="4" s="1"/>
  <c r="AZ230" i="4" s="1"/>
  <c r="BA230" i="4" s="1"/>
  <c r="BB230" i="4" s="1"/>
  <c r="BC230" i="4" s="1"/>
  <c r="BD230" i="4" s="1"/>
  <c r="BE230" i="4" s="1"/>
  <c r="BF230" i="4" s="1"/>
  <c r="BG230" i="4" s="1"/>
  <c r="BH230" i="4" s="1"/>
  <c r="BI230" i="4" s="1"/>
  <c r="BJ230" i="4" s="1"/>
  <c r="BK230" i="4" s="1"/>
  <c r="BL230" i="4" s="1"/>
  <c r="BM230" i="4" s="1"/>
  <c r="BN230" i="4" s="1"/>
  <c r="BO230" i="4" s="1"/>
  <c r="BP230" i="4" s="1"/>
  <c r="B229" i="4"/>
  <c r="C229" i="4" s="1"/>
  <c r="D229" i="4" s="1"/>
  <c r="E229" i="4" s="1"/>
  <c r="F229" i="4" s="1"/>
  <c r="G229" i="4" s="1"/>
  <c r="H229" i="4" s="1"/>
  <c r="I229" i="4" s="1"/>
  <c r="J229" i="4" s="1"/>
  <c r="K229" i="4" s="1"/>
  <c r="L229" i="4" s="1"/>
  <c r="M229" i="4" s="1"/>
  <c r="N229" i="4" s="1"/>
  <c r="O229" i="4" s="1"/>
  <c r="P229" i="4" s="1"/>
  <c r="Q229" i="4" s="1"/>
  <c r="R229" i="4" s="1"/>
  <c r="S229" i="4" s="1"/>
  <c r="T229" i="4" s="1"/>
  <c r="U229" i="4" s="1"/>
  <c r="V229" i="4" s="1"/>
  <c r="W229" i="4" s="1"/>
  <c r="X229" i="4" s="1"/>
  <c r="Y229" i="4" s="1"/>
  <c r="Z229" i="4" s="1"/>
  <c r="AA229" i="4" s="1"/>
  <c r="AB229" i="4" s="1"/>
  <c r="AC229" i="4" s="1"/>
  <c r="AD229" i="4" s="1"/>
  <c r="AE229" i="4" s="1"/>
  <c r="AF229" i="4" s="1"/>
  <c r="AG229" i="4" s="1"/>
  <c r="AH229" i="4" s="1"/>
  <c r="AI229" i="4" s="1"/>
  <c r="AJ229" i="4" s="1"/>
  <c r="AK229" i="4" s="1"/>
  <c r="AL229" i="4" s="1"/>
  <c r="AM229" i="4" s="1"/>
  <c r="AN229" i="4" s="1"/>
  <c r="AO229" i="4" s="1"/>
  <c r="AP229" i="4" s="1"/>
  <c r="AQ229" i="4" s="1"/>
  <c r="AR229" i="4" s="1"/>
  <c r="AS229" i="4" s="1"/>
  <c r="AT229" i="4" s="1"/>
  <c r="AU229" i="4" s="1"/>
  <c r="AV229" i="4" s="1"/>
  <c r="AW229" i="4" s="1"/>
  <c r="AX229" i="4" s="1"/>
  <c r="AY229" i="4" s="1"/>
  <c r="AZ229" i="4" s="1"/>
  <c r="BA229" i="4" s="1"/>
  <c r="BB229" i="4" s="1"/>
  <c r="BC229" i="4" s="1"/>
  <c r="BD229" i="4" s="1"/>
  <c r="BE229" i="4" s="1"/>
  <c r="BF229" i="4" s="1"/>
  <c r="BG229" i="4" s="1"/>
  <c r="BH229" i="4" s="1"/>
  <c r="BI229" i="4" s="1"/>
  <c r="BJ229" i="4" s="1"/>
  <c r="BK229" i="4" s="1"/>
  <c r="BL229" i="4" s="1"/>
  <c r="BM229" i="4" s="1"/>
  <c r="BN229" i="4" s="1"/>
  <c r="BO229" i="4" s="1"/>
  <c r="BP229" i="4" s="1"/>
  <c r="B228" i="4"/>
  <c r="C228" i="4" s="1"/>
  <c r="D228" i="4" s="1"/>
  <c r="E228" i="4" s="1"/>
  <c r="F228" i="4" s="1"/>
  <c r="G228" i="4" s="1"/>
  <c r="H228" i="4" s="1"/>
  <c r="I228" i="4" s="1"/>
  <c r="J228" i="4" s="1"/>
  <c r="K228" i="4" s="1"/>
  <c r="L228" i="4" s="1"/>
  <c r="M228" i="4" s="1"/>
  <c r="N228" i="4" s="1"/>
  <c r="O228" i="4" s="1"/>
  <c r="P228" i="4" s="1"/>
  <c r="Q228" i="4" s="1"/>
  <c r="R228" i="4" s="1"/>
  <c r="S228" i="4" s="1"/>
  <c r="T228" i="4" s="1"/>
  <c r="U228" i="4" s="1"/>
  <c r="V228" i="4" s="1"/>
  <c r="W228" i="4" s="1"/>
  <c r="X228" i="4" s="1"/>
  <c r="Y228" i="4" s="1"/>
  <c r="Z228" i="4" s="1"/>
  <c r="AA228" i="4" s="1"/>
  <c r="AB228" i="4" s="1"/>
  <c r="AC228" i="4" s="1"/>
  <c r="AD228" i="4" s="1"/>
  <c r="AE228" i="4" s="1"/>
  <c r="AF228" i="4" s="1"/>
  <c r="AG228" i="4" s="1"/>
  <c r="AH228" i="4" s="1"/>
  <c r="AI228" i="4" s="1"/>
  <c r="AJ228" i="4" s="1"/>
  <c r="AK228" i="4" s="1"/>
  <c r="AL228" i="4" s="1"/>
  <c r="AM228" i="4" s="1"/>
  <c r="AN228" i="4" s="1"/>
  <c r="AO228" i="4" s="1"/>
  <c r="AP228" i="4" s="1"/>
  <c r="AQ228" i="4" s="1"/>
  <c r="AR228" i="4" s="1"/>
  <c r="AS228" i="4" s="1"/>
  <c r="AT228" i="4" s="1"/>
  <c r="AU228" i="4" s="1"/>
  <c r="AV228" i="4" s="1"/>
  <c r="AW228" i="4" s="1"/>
  <c r="AX228" i="4" s="1"/>
  <c r="AY228" i="4" s="1"/>
  <c r="AZ228" i="4" s="1"/>
  <c r="BA228" i="4" s="1"/>
  <c r="BB228" i="4" s="1"/>
  <c r="BC228" i="4" s="1"/>
  <c r="BD228" i="4" s="1"/>
  <c r="BE228" i="4" s="1"/>
  <c r="BF228" i="4" s="1"/>
  <c r="BG228" i="4" s="1"/>
  <c r="BH228" i="4" s="1"/>
  <c r="BI228" i="4" s="1"/>
  <c r="BJ228" i="4" s="1"/>
  <c r="BK228" i="4" s="1"/>
  <c r="BL228" i="4" s="1"/>
  <c r="BM228" i="4" s="1"/>
  <c r="BN228" i="4" s="1"/>
  <c r="BO228" i="4" s="1"/>
  <c r="BP228" i="4" s="1"/>
  <c r="B227" i="4"/>
  <c r="C227" i="4" s="1"/>
  <c r="D227" i="4" s="1"/>
  <c r="E227" i="4" s="1"/>
  <c r="F227" i="4" s="1"/>
  <c r="G227" i="4" s="1"/>
  <c r="H227" i="4" s="1"/>
  <c r="I227" i="4" s="1"/>
  <c r="J227" i="4" s="1"/>
  <c r="K227" i="4" s="1"/>
  <c r="L227" i="4" s="1"/>
  <c r="M227" i="4" s="1"/>
  <c r="N227" i="4" s="1"/>
  <c r="O227" i="4" s="1"/>
  <c r="P227" i="4" s="1"/>
  <c r="Q227" i="4" s="1"/>
  <c r="R227" i="4" s="1"/>
  <c r="S227" i="4" s="1"/>
  <c r="T227" i="4" s="1"/>
  <c r="U227" i="4" s="1"/>
  <c r="V227" i="4" s="1"/>
  <c r="W227" i="4" s="1"/>
  <c r="X227" i="4" s="1"/>
  <c r="Y227" i="4" s="1"/>
  <c r="Z227" i="4" s="1"/>
  <c r="AA227" i="4" s="1"/>
  <c r="AB227" i="4" s="1"/>
  <c r="AC227" i="4" s="1"/>
  <c r="AD227" i="4" s="1"/>
  <c r="AE227" i="4" s="1"/>
  <c r="AF227" i="4" s="1"/>
  <c r="AG227" i="4" s="1"/>
  <c r="AH227" i="4" s="1"/>
  <c r="AI227" i="4" s="1"/>
  <c r="AJ227" i="4" s="1"/>
  <c r="AK227" i="4" s="1"/>
  <c r="AL227" i="4" s="1"/>
  <c r="AM227" i="4" s="1"/>
  <c r="AN227" i="4" s="1"/>
  <c r="AO227" i="4" s="1"/>
  <c r="AP227" i="4" s="1"/>
  <c r="AQ227" i="4" s="1"/>
  <c r="AR227" i="4" s="1"/>
  <c r="AS227" i="4" s="1"/>
  <c r="AT227" i="4" s="1"/>
  <c r="AU227" i="4" s="1"/>
  <c r="AV227" i="4" s="1"/>
  <c r="AW227" i="4" s="1"/>
  <c r="AX227" i="4" s="1"/>
  <c r="AY227" i="4" s="1"/>
  <c r="AZ227" i="4" s="1"/>
  <c r="BA227" i="4" s="1"/>
  <c r="BB227" i="4" s="1"/>
  <c r="BC227" i="4" s="1"/>
  <c r="BD227" i="4" s="1"/>
  <c r="BE227" i="4" s="1"/>
  <c r="BF227" i="4" s="1"/>
  <c r="BG227" i="4" s="1"/>
  <c r="BH227" i="4" s="1"/>
  <c r="BI227" i="4" s="1"/>
  <c r="BJ227" i="4" s="1"/>
  <c r="BK227" i="4" s="1"/>
  <c r="BL227" i="4" s="1"/>
  <c r="BM227" i="4" s="1"/>
  <c r="BN227" i="4" s="1"/>
  <c r="BO227" i="4" s="1"/>
  <c r="BP227" i="4" s="1"/>
  <c r="B226" i="4"/>
  <c r="C226" i="4" s="1"/>
  <c r="D226" i="4" s="1"/>
  <c r="E226" i="4" s="1"/>
  <c r="F226" i="4" s="1"/>
  <c r="G226" i="4" s="1"/>
  <c r="H226" i="4" s="1"/>
  <c r="I226" i="4" s="1"/>
  <c r="J226" i="4" s="1"/>
  <c r="K226" i="4" s="1"/>
  <c r="L226" i="4" s="1"/>
  <c r="M226" i="4" s="1"/>
  <c r="N226" i="4" s="1"/>
  <c r="O226" i="4" s="1"/>
  <c r="P226" i="4" s="1"/>
  <c r="Q226" i="4" s="1"/>
  <c r="R226" i="4" s="1"/>
  <c r="S226" i="4" s="1"/>
  <c r="T226" i="4" s="1"/>
  <c r="U226" i="4" s="1"/>
  <c r="V226" i="4" s="1"/>
  <c r="W226" i="4" s="1"/>
  <c r="X226" i="4" s="1"/>
  <c r="Y226" i="4" s="1"/>
  <c r="Z226" i="4" s="1"/>
  <c r="AA226" i="4" s="1"/>
  <c r="AB226" i="4" s="1"/>
  <c r="AC226" i="4" s="1"/>
  <c r="AD226" i="4" s="1"/>
  <c r="AE226" i="4" s="1"/>
  <c r="AF226" i="4" s="1"/>
  <c r="AG226" i="4" s="1"/>
  <c r="AH226" i="4" s="1"/>
  <c r="AI226" i="4" s="1"/>
  <c r="AJ226" i="4" s="1"/>
  <c r="AK226" i="4" s="1"/>
  <c r="AL226" i="4" s="1"/>
  <c r="AM226" i="4" s="1"/>
  <c r="AN226" i="4" s="1"/>
  <c r="AO226" i="4" s="1"/>
  <c r="AP226" i="4" s="1"/>
  <c r="AQ226" i="4" s="1"/>
  <c r="AR226" i="4" s="1"/>
  <c r="AS226" i="4" s="1"/>
  <c r="AT226" i="4" s="1"/>
  <c r="AU226" i="4" s="1"/>
  <c r="AV226" i="4" s="1"/>
  <c r="AW226" i="4" s="1"/>
  <c r="AX226" i="4" s="1"/>
  <c r="AY226" i="4" s="1"/>
  <c r="AZ226" i="4" s="1"/>
  <c r="BA226" i="4" s="1"/>
  <c r="BB226" i="4" s="1"/>
  <c r="BC226" i="4" s="1"/>
  <c r="BD226" i="4" s="1"/>
  <c r="BE226" i="4" s="1"/>
  <c r="BF226" i="4" s="1"/>
  <c r="BG226" i="4" s="1"/>
  <c r="BH226" i="4" s="1"/>
  <c r="BI226" i="4" s="1"/>
  <c r="BJ226" i="4" s="1"/>
  <c r="BK226" i="4" s="1"/>
  <c r="BL226" i="4" s="1"/>
  <c r="BM226" i="4" s="1"/>
  <c r="BN226" i="4" s="1"/>
  <c r="BO226" i="4" s="1"/>
  <c r="BP226" i="4" s="1"/>
  <c r="B225" i="4"/>
  <c r="C225" i="4" s="1"/>
  <c r="D225" i="4" s="1"/>
  <c r="E225" i="4" s="1"/>
  <c r="F225" i="4" s="1"/>
  <c r="G225" i="4" s="1"/>
  <c r="H225" i="4" s="1"/>
  <c r="I225" i="4" s="1"/>
  <c r="J225" i="4" s="1"/>
  <c r="K225" i="4" s="1"/>
  <c r="L225" i="4" s="1"/>
  <c r="M225" i="4" s="1"/>
  <c r="N225" i="4" s="1"/>
  <c r="O225" i="4" s="1"/>
  <c r="P225" i="4" s="1"/>
  <c r="Q225" i="4" s="1"/>
  <c r="R225" i="4" s="1"/>
  <c r="S225" i="4" s="1"/>
  <c r="T225" i="4" s="1"/>
  <c r="U225" i="4" s="1"/>
  <c r="V225" i="4" s="1"/>
  <c r="W225" i="4" s="1"/>
  <c r="X225" i="4" s="1"/>
  <c r="Y225" i="4" s="1"/>
  <c r="Z225" i="4" s="1"/>
  <c r="AA225" i="4" s="1"/>
  <c r="AB225" i="4" s="1"/>
  <c r="AC225" i="4" s="1"/>
  <c r="AD225" i="4" s="1"/>
  <c r="AE225" i="4" s="1"/>
  <c r="AF225" i="4" s="1"/>
  <c r="AG225" i="4" s="1"/>
  <c r="AH225" i="4" s="1"/>
  <c r="AI225" i="4" s="1"/>
  <c r="AJ225" i="4" s="1"/>
  <c r="AK225" i="4" s="1"/>
  <c r="AL225" i="4" s="1"/>
  <c r="AM225" i="4" s="1"/>
  <c r="AN225" i="4" s="1"/>
  <c r="AO225" i="4" s="1"/>
  <c r="AP225" i="4" s="1"/>
  <c r="AQ225" i="4" s="1"/>
  <c r="AR225" i="4" s="1"/>
  <c r="AS225" i="4" s="1"/>
  <c r="AT225" i="4" s="1"/>
  <c r="AU225" i="4" s="1"/>
  <c r="AV225" i="4" s="1"/>
  <c r="AW225" i="4" s="1"/>
  <c r="AX225" i="4" s="1"/>
  <c r="AY225" i="4" s="1"/>
  <c r="AZ225" i="4" s="1"/>
  <c r="BA225" i="4" s="1"/>
  <c r="BB225" i="4" s="1"/>
  <c r="BC225" i="4" s="1"/>
  <c r="BD225" i="4" s="1"/>
  <c r="BE225" i="4" s="1"/>
  <c r="BF225" i="4" s="1"/>
  <c r="BG225" i="4" s="1"/>
  <c r="BH225" i="4" s="1"/>
  <c r="BI225" i="4" s="1"/>
  <c r="BJ225" i="4" s="1"/>
  <c r="BK225" i="4" s="1"/>
  <c r="BL225" i="4" s="1"/>
  <c r="BM225" i="4" s="1"/>
  <c r="BN225" i="4" s="1"/>
  <c r="BO225" i="4" s="1"/>
  <c r="BP225" i="4" s="1"/>
  <c r="B224" i="4"/>
  <c r="C224" i="4" s="1"/>
  <c r="D224" i="4" s="1"/>
  <c r="E224" i="4" s="1"/>
  <c r="F224" i="4" s="1"/>
  <c r="G224" i="4" s="1"/>
  <c r="H224" i="4" s="1"/>
  <c r="I224" i="4" s="1"/>
  <c r="J224" i="4" s="1"/>
  <c r="K224" i="4" s="1"/>
  <c r="L224" i="4" s="1"/>
  <c r="M224" i="4" s="1"/>
  <c r="N224" i="4" s="1"/>
  <c r="O224" i="4" s="1"/>
  <c r="P224" i="4" s="1"/>
  <c r="Q224" i="4" s="1"/>
  <c r="R224" i="4" s="1"/>
  <c r="S224" i="4" s="1"/>
  <c r="T224" i="4" s="1"/>
  <c r="U224" i="4" s="1"/>
  <c r="V224" i="4" s="1"/>
  <c r="W224" i="4" s="1"/>
  <c r="X224" i="4" s="1"/>
  <c r="Y224" i="4" s="1"/>
  <c r="Z224" i="4" s="1"/>
  <c r="AA224" i="4" s="1"/>
  <c r="AB224" i="4" s="1"/>
  <c r="AC224" i="4" s="1"/>
  <c r="AD224" i="4" s="1"/>
  <c r="AE224" i="4" s="1"/>
  <c r="AF224" i="4" s="1"/>
  <c r="AG224" i="4" s="1"/>
  <c r="AH224" i="4" s="1"/>
  <c r="AI224" i="4" s="1"/>
  <c r="AJ224" i="4" s="1"/>
  <c r="AK224" i="4" s="1"/>
  <c r="AL224" i="4" s="1"/>
  <c r="AM224" i="4" s="1"/>
  <c r="AN224" i="4" s="1"/>
  <c r="AO224" i="4" s="1"/>
  <c r="AP224" i="4" s="1"/>
  <c r="AQ224" i="4" s="1"/>
  <c r="AR224" i="4" s="1"/>
  <c r="AS224" i="4" s="1"/>
  <c r="AT224" i="4" s="1"/>
  <c r="AU224" i="4" s="1"/>
  <c r="AV224" i="4" s="1"/>
  <c r="AW224" i="4" s="1"/>
  <c r="AX224" i="4" s="1"/>
  <c r="AY224" i="4" s="1"/>
  <c r="AZ224" i="4" s="1"/>
  <c r="BA224" i="4" s="1"/>
  <c r="BB224" i="4" s="1"/>
  <c r="BC224" i="4" s="1"/>
  <c r="BD224" i="4" s="1"/>
  <c r="BE224" i="4" s="1"/>
  <c r="BF224" i="4" s="1"/>
  <c r="BG224" i="4" s="1"/>
  <c r="BH224" i="4" s="1"/>
  <c r="BI224" i="4" s="1"/>
  <c r="BJ224" i="4" s="1"/>
  <c r="BK224" i="4" s="1"/>
  <c r="BL224" i="4" s="1"/>
  <c r="BM224" i="4" s="1"/>
  <c r="BN224" i="4" s="1"/>
  <c r="BO224" i="4" s="1"/>
  <c r="BP224" i="4" s="1"/>
  <c r="B223" i="4"/>
  <c r="C223" i="4" s="1"/>
  <c r="D223" i="4" s="1"/>
  <c r="E223" i="4" s="1"/>
  <c r="F223" i="4" s="1"/>
  <c r="G223" i="4" s="1"/>
  <c r="H223" i="4" s="1"/>
  <c r="I223" i="4" s="1"/>
  <c r="J223" i="4" s="1"/>
  <c r="K223" i="4" s="1"/>
  <c r="L223" i="4" s="1"/>
  <c r="M223" i="4" s="1"/>
  <c r="N223" i="4" s="1"/>
  <c r="O223" i="4" s="1"/>
  <c r="P223" i="4" s="1"/>
  <c r="Q223" i="4" s="1"/>
  <c r="R223" i="4" s="1"/>
  <c r="S223" i="4" s="1"/>
  <c r="T223" i="4" s="1"/>
  <c r="U223" i="4" s="1"/>
  <c r="V223" i="4" s="1"/>
  <c r="W223" i="4" s="1"/>
  <c r="X223" i="4" s="1"/>
  <c r="Y223" i="4" s="1"/>
  <c r="Z223" i="4" s="1"/>
  <c r="AA223" i="4" s="1"/>
  <c r="AB223" i="4" s="1"/>
  <c r="AC223" i="4" s="1"/>
  <c r="AD223" i="4" s="1"/>
  <c r="AE223" i="4" s="1"/>
  <c r="AF223" i="4" s="1"/>
  <c r="AG223" i="4" s="1"/>
  <c r="AH223" i="4" s="1"/>
  <c r="AI223" i="4" s="1"/>
  <c r="AJ223" i="4" s="1"/>
  <c r="AK223" i="4" s="1"/>
  <c r="AL223" i="4" s="1"/>
  <c r="AM223" i="4" s="1"/>
  <c r="AN223" i="4" s="1"/>
  <c r="AO223" i="4" s="1"/>
  <c r="AP223" i="4" s="1"/>
  <c r="AQ223" i="4" s="1"/>
  <c r="AR223" i="4" s="1"/>
  <c r="AS223" i="4" s="1"/>
  <c r="AT223" i="4" s="1"/>
  <c r="AU223" i="4" s="1"/>
  <c r="AV223" i="4" s="1"/>
  <c r="AW223" i="4" s="1"/>
  <c r="AX223" i="4" s="1"/>
  <c r="AY223" i="4" s="1"/>
  <c r="AZ223" i="4" s="1"/>
  <c r="BA223" i="4" s="1"/>
  <c r="BB223" i="4" s="1"/>
  <c r="BC223" i="4" s="1"/>
  <c r="BD223" i="4" s="1"/>
  <c r="BE223" i="4" s="1"/>
  <c r="BF223" i="4" s="1"/>
  <c r="BG223" i="4" s="1"/>
  <c r="BH223" i="4" s="1"/>
  <c r="BI223" i="4" s="1"/>
  <c r="BJ223" i="4" s="1"/>
  <c r="BK223" i="4" s="1"/>
  <c r="BL223" i="4" s="1"/>
  <c r="BM223" i="4" s="1"/>
  <c r="BN223" i="4" s="1"/>
  <c r="BO223" i="4" s="1"/>
  <c r="BP223" i="4" s="1"/>
  <c r="B222" i="4"/>
  <c r="C222" i="4" s="1"/>
  <c r="D222" i="4" s="1"/>
  <c r="E222" i="4" s="1"/>
  <c r="F222" i="4" s="1"/>
  <c r="G222" i="4" s="1"/>
  <c r="H222" i="4" s="1"/>
  <c r="I222" i="4" s="1"/>
  <c r="J222" i="4" s="1"/>
  <c r="K222" i="4" s="1"/>
  <c r="L222" i="4" s="1"/>
  <c r="M222" i="4" s="1"/>
  <c r="N222" i="4" s="1"/>
  <c r="O222" i="4" s="1"/>
  <c r="P222" i="4" s="1"/>
  <c r="Q222" i="4" s="1"/>
  <c r="R222" i="4" s="1"/>
  <c r="S222" i="4" s="1"/>
  <c r="T222" i="4" s="1"/>
  <c r="U222" i="4" s="1"/>
  <c r="V222" i="4" s="1"/>
  <c r="W222" i="4" s="1"/>
  <c r="X222" i="4" s="1"/>
  <c r="Y222" i="4" s="1"/>
  <c r="Z222" i="4" s="1"/>
  <c r="AA222" i="4" s="1"/>
  <c r="AB222" i="4" s="1"/>
  <c r="AC222" i="4" s="1"/>
  <c r="AD222" i="4" s="1"/>
  <c r="AE222" i="4" s="1"/>
  <c r="AF222" i="4" s="1"/>
  <c r="AG222" i="4" s="1"/>
  <c r="AH222" i="4" s="1"/>
  <c r="AI222" i="4" s="1"/>
  <c r="AJ222" i="4" s="1"/>
  <c r="AK222" i="4" s="1"/>
  <c r="AL222" i="4" s="1"/>
  <c r="AM222" i="4" s="1"/>
  <c r="AN222" i="4" s="1"/>
  <c r="AO222" i="4" s="1"/>
  <c r="AP222" i="4" s="1"/>
  <c r="AQ222" i="4" s="1"/>
  <c r="AR222" i="4" s="1"/>
  <c r="AS222" i="4" s="1"/>
  <c r="AT222" i="4" s="1"/>
  <c r="AU222" i="4" s="1"/>
  <c r="AV222" i="4" s="1"/>
  <c r="AW222" i="4" s="1"/>
  <c r="AX222" i="4" s="1"/>
  <c r="AY222" i="4" s="1"/>
  <c r="AZ222" i="4" s="1"/>
  <c r="BA222" i="4" s="1"/>
  <c r="BB222" i="4" s="1"/>
  <c r="BC222" i="4" s="1"/>
  <c r="BD222" i="4" s="1"/>
  <c r="BE222" i="4" s="1"/>
  <c r="BF222" i="4" s="1"/>
  <c r="BG222" i="4" s="1"/>
  <c r="BH222" i="4" s="1"/>
  <c r="BI222" i="4" s="1"/>
  <c r="BJ222" i="4" s="1"/>
  <c r="BK222" i="4" s="1"/>
  <c r="BL222" i="4" s="1"/>
  <c r="BM222" i="4" s="1"/>
  <c r="BN222" i="4" s="1"/>
  <c r="BO222" i="4" s="1"/>
  <c r="BP222" i="4" s="1"/>
  <c r="B221" i="4"/>
  <c r="C221" i="4" s="1"/>
  <c r="D221" i="4" s="1"/>
  <c r="E221" i="4" s="1"/>
  <c r="F221" i="4" s="1"/>
  <c r="G221" i="4" s="1"/>
  <c r="H221" i="4" s="1"/>
  <c r="I221" i="4" s="1"/>
  <c r="J221" i="4" s="1"/>
  <c r="K221" i="4" s="1"/>
  <c r="L221" i="4" s="1"/>
  <c r="M221" i="4" s="1"/>
  <c r="N221" i="4" s="1"/>
  <c r="O221" i="4" s="1"/>
  <c r="P221" i="4" s="1"/>
  <c r="Q221" i="4" s="1"/>
  <c r="R221" i="4" s="1"/>
  <c r="S221" i="4" s="1"/>
  <c r="T221" i="4" s="1"/>
  <c r="U221" i="4" s="1"/>
  <c r="V221" i="4" s="1"/>
  <c r="W221" i="4" s="1"/>
  <c r="X221" i="4" s="1"/>
  <c r="Y221" i="4" s="1"/>
  <c r="Z221" i="4" s="1"/>
  <c r="AA221" i="4" s="1"/>
  <c r="AB221" i="4" s="1"/>
  <c r="AC221" i="4" s="1"/>
  <c r="AD221" i="4" s="1"/>
  <c r="AE221" i="4" s="1"/>
  <c r="AF221" i="4" s="1"/>
  <c r="AG221" i="4" s="1"/>
  <c r="AH221" i="4" s="1"/>
  <c r="AI221" i="4" s="1"/>
  <c r="AJ221" i="4" s="1"/>
  <c r="AK221" i="4" s="1"/>
  <c r="AL221" i="4" s="1"/>
  <c r="AM221" i="4" s="1"/>
  <c r="AN221" i="4" s="1"/>
  <c r="AO221" i="4" s="1"/>
  <c r="AP221" i="4" s="1"/>
  <c r="AQ221" i="4" s="1"/>
  <c r="AR221" i="4" s="1"/>
  <c r="AS221" i="4" s="1"/>
  <c r="AT221" i="4" s="1"/>
  <c r="AU221" i="4" s="1"/>
  <c r="AV221" i="4" s="1"/>
  <c r="AW221" i="4" s="1"/>
  <c r="AX221" i="4" s="1"/>
  <c r="AY221" i="4" s="1"/>
  <c r="AZ221" i="4" s="1"/>
  <c r="BA221" i="4" s="1"/>
  <c r="BB221" i="4" s="1"/>
  <c r="BC221" i="4" s="1"/>
  <c r="BD221" i="4" s="1"/>
  <c r="BE221" i="4" s="1"/>
  <c r="BF221" i="4" s="1"/>
  <c r="BG221" i="4" s="1"/>
  <c r="BH221" i="4" s="1"/>
  <c r="BI221" i="4" s="1"/>
  <c r="BJ221" i="4" s="1"/>
  <c r="BK221" i="4" s="1"/>
  <c r="BL221" i="4" s="1"/>
  <c r="BM221" i="4" s="1"/>
  <c r="BN221" i="4" s="1"/>
  <c r="BO221" i="4" s="1"/>
  <c r="BP221" i="4" s="1"/>
  <c r="B220" i="4"/>
  <c r="C220" i="4" s="1"/>
  <c r="D220" i="4" s="1"/>
  <c r="E220" i="4" s="1"/>
  <c r="F220" i="4" s="1"/>
  <c r="G220" i="4" s="1"/>
  <c r="H220" i="4" s="1"/>
  <c r="I220" i="4" s="1"/>
  <c r="J220" i="4" s="1"/>
  <c r="K220" i="4" s="1"/>
  <c r="L220" i="4" s="1"/>
  <c r="M220" i="4" s="1"/>
  <c r="N220" i="4" s="1"/>
  <c r="O220" i="4" s="1"/>
  <c r="P220" i="4" s="1"/>
  <c r="Q220" i="4" s="1"/>
  <c r="R220" i="4" s="1"/>
  <c r="S220" i="4" s="1"/>
  <c r="T220" i="4" s="1"/>
  <c r="U220" i="4" s="1"/>
  <c r="V220" i="4" s="1"/>
  <c r="W220" i="4" s="1"/>
  <c r="X220" i="4" s="1"/>
  <c r="Y220" i="4" s="1"/>
  <c r="Z220" i="4" s="1"/>
  <c r="AA220" i="4" s="1"/>
  <c r="AB220" i="4" s="1"/>
  <c r="AC220" i="4" s="1"/>
  <c r="AD220" i="4" s="1"/>
  <c r="AE220" i="4" s="1"/>
  <c r="AF220" i="4" s="1"/>
  <c r="AG220" i="4" s="1"/>
  <c r="AH220" i="4" s="1"/>
  <c r="AI220" i="4" s="1"/>
  <c r="AJ220" i="4" s="1"/>
  <c r="AK220" i="4" s="1"/>
  <c r="AL220" i="4" s="1"/>
  <c r="AM220" i="4" s="1"/>
  <c r="AN220" i="4" s="1"/>
  <c r="AO220" i="4" s="1"/>
  <c r="AP220" i="4" s="1"/>
  <c r="AQ220" i="4" s="1"/>
  <c r="AR220" i="4" s="1"/>
  <c r="AS220" i="4" s="1"/>
  <c r="AT220" i="4" s="1"/>
  <c r="AU220" i="4" s="1"/>
  <c r="AV220" i="4" s="1"/>
  <c r="AW220" i="4" s="1"/>
  <c r="AX220" i="4" s="1"/>
  <c r="AY220" i="4" s="1"/>
  <c r="AZ220" i="4" s="1"/>
  <c r="BA220" i="4" s="1"/>
  <c r="BB220" i="4" s="1"/>
  <c r="BC220" i="4" s="1"/>
  <c r="BD220" i="4" s="1"/>
  <c r="BE220" i="4" s="1"/>
  <c r="BF220" i="4" s="1"/>
  <c r="BG220" i="4" s="1"/>
  <c r="BH220" i="4" s="1"/>
  <c r="BI220" i="4" s="1"/>
  <c r="BJ220" i="4" s="1"/>
  <c r="BK220" i="4" s="1"/>
  <c r="BL220" i="4" s="1"/>
  <c r="BM220" i="4" s="1"/>
  <c r="BN220" i="4" s="1"/>
  <c r="BO220" i="4" s="1"/>
  <c r="BP220" i="4" s="1"/>
  <c r="B219" i="4"/>
  <c r="C219" i="4" s="1"/>
  <c r="D219" i="4" s="1"/>
  <c r="E219" i="4" s="1"/>
  <c r="F219" i="4" s="1"/>
  <c r="G219" i="4" s="1"/>
  <c r="H219" i="4" s="1"/>
  <c r="I219" i="4" s="1"/>
  <c r="J219" i="4" s="1"/>
  <c r="K219" i="4" s="1"/>
  <c r="L219" i="4" s="1"/>
  <c r="M219" i="4" s="1"/>
  <c r="N219" i="4" s="1"/>
  <c r="O219" i="4" s="1"/>
  <c r="P219" i="4" s="1"/>
  <c r="Q219" i="4" s="1"/>
  <c r="R219" i="4" s="1"/>
  <c r="S219" i="4" s="1"/>
  <c r="T219" i="4" s="1"/>
  <c r="U219" i="4" s="1"/>
  <c r="V219" i="4" s="1"/>
  <c r="W219" i="4" s="1"/>
  <c r="X219" i="4" s="1"/>
  <c r="Y219" i="4" s="1"/>
  <c r="Z219" i="4" s="1"/>
  <c r="AA219" i="4" s="1"/>
  <c r="AB219" i="4" s="1"/>
  <c r="AC219" i="4" s="1"/>
  <c r="AD219" i="4" s="1"/>
  <c r="AE219" i="4" s="1"/>
  <c r="AF219" i="4" s="1"/>
  <c r="AG219" i="4" s="1"/>
  <c r="AH219" i="4" s="1"/>
  <c r="AI219" i="4" s="1"/>
  <c r="AJ219" i="4" s="1"/>
  <c r="AK219" i="4" s="1"/>
  <c r="AL219" i="4" s="1"/>
  <c r="AM219" i="4" s="1"/>
  <c r="AN219" i="4" s="1"/>
  <c r="AO219" i="4" s="1"/>
  <c r="AP219" i="4" s="1"/>
  <c r="AQ219" i="4" s="1"/>
  <c r="AR219" i="4" s="1"/>
  <c r="AS219" i="4" s="1"/>
  <c r="AT219" i="4" s="1"/>
  <c r="AU219" i="4" s="1"/>
  <c r="AV219" i="4" s="1"/>
  <c r="AW219" i="4" s="1"/>
  <c r="AX219" i="4" s="1"/>
  <c r="AY219" i="4" s="1"/>
  <c r="AZ219" i="4" s="1"/>
  <c r="BA219" i="4" s="1"/>
  <c r="BB219" i="4" s="1"/>
  <c r="BC219" i="4" s="1"/>
  <c r="BD219" i="4" s="1"/>
  <c r="BE219" i="4" s="1"/>
  <c r="BF219" i="4" s="1"/>
  <c r="BG219" i="4" s="1"/>
  <c r="BH219" i="4" s="1"/>
  <c r="BI219" i="4" s="1"/>
  <c r="BJ219" i="4" s="1"/>
  <c r="BK219" i="4" s="1"/>
  <c r="BL219" i="4" s="1"/>
  <c r="BM219" i="4" s="1"/>
  <c r="BN219" i="4" s="1"/>
  <c r="BO219" i="4" s="1"/>
  <c r="BP219" i="4" s="1"/>
  <c r="B218" i="4"/>
  <c r="C218" i="4" s="1"/>
  <c r="D218" i="4" s="1"/>
  <c r="E218" i="4" s="1"/>
  <c r="F218" i="4" s="1"/>
  <c r="G218" i="4" s="1"/>
  <c r="H218" i="4" s="1"/>
  <c r="I218" i="4" s="1"/>
  <c r="J218" i="4" s="1"/>
  <c r="K218" i="4" s="1"/>
  <c r="L218" i="4" s="1"/>
  <c r="M218" i="4" s="1"/>
  <c r="N218" i="4" s="1"/>
  <c r="O218" i="4" s="1"/>
  <c r="P218" i="4" s="1"/>
  <c r="Q218" i="4" s="1"/>
  <c r="R218" i="4" s="1"/>
  <c r="S218" i="4" s="1"/>
  <c r="T218" i="4" s="1"/>
  <c r="U218" i="4" s="1"/>
  <c r="V218" i="4" s="1"/>
  <c r="W218" i="4" s="1"/>
  <c r="X218" i="4" s="1"/>
  <c r="Y218" i="4" s="1"/>
  <c r="Z218" i="4" s="1"/>
  <c r="AA218" i="4" s="1"/>
  <c r="AB218" i="4" s="1"/>
  <c r="AC218" i="4" s="1"/>
  <c r="AD218" i="4" s="1"/>
  <c r="AE218" i="4" s="1"/>
  <c r="AF218" i="4" s="1"/>
  <c r="AG218" i="4" s="1"/>
  <c r="AH218" i="4" s="1"/>
  <c r="AI218" i="4" s="1"/>
  <c r="AJ218" i="4" s="1"/>
  <c r="AK218" i="4" s="1"/>
  <c r="AL218" i="4" s="1"/>
  <c r="AM218" i="4" s="1"/>
  <c r="AN218" i="4" s="1"/>
  <c r="AO218" i="4" s="1"/>
  <c r="AP218" i="4" s="1"/>
  <c r="AQ218" i="4" s="1"/>
  <c r="AR218" i="4" s="1"/>
  <c r="AS218" i="4" s="1"/>
  <c r="AT218" i="4" s="1"/>
  <c r="AU218" i="4" s="1"/>
  <c r="AV218" i="4" s="1"/>
  <c r="AW218" i="4" s="1"/>
  <c r="AX218" i="4" s="1"/>
  <c r="AY218" i="4" s="1"/>
  <c r="AZ218" i="4" s="1"/>
  <c r="BA218" i="4" s="1"/>
  <c r="BB218" i="4" s="1"/>
  <c r="BC218" i="4" s="1"/>
  <c r="BD218" i="4" s="1"/>
  <c r="BE218" i="4" s="1"/>
  <c r="BF218" i="4" s="1"/>
  <c r="BG218" i="4" s="1"/>
  <c r="BH218" i="4" s="1"/>
  <c r="BI218" i="4" s="1"/>
  <c r="BJ218" i="4" s="1"/>
  <c r="BK218" i="4" s="1"/>
  <c r="BL218" i="4" s="1"/>
  <c r="BM218" i="4" s="1"/>
  <c r="BN218" i="4" s="1"/>
  <c r="BO218" i="4" s="1"/>
  <c r="BP218" i="4" s="1"/>
  <c r="B217" i="4"/>
  <c r="C217" i="4" s="1"/>
  <c r="D217" i="4" s="1"/>
  <c r="E217" i="4" s="1"/>
  <c r="F217" i="4" s="1"/>
  <c r="G217" i="4" s="1"/>
  <c r="H217" i="4" s="1"/>
  <c r="I217" i="4" s="1"/>
  <c r="J217" i="4" s="1"/>
  <c r="K217" i="4" s="1"/>
  <c r="L217" i="4" s="1"/>
  <c r="M217" i="4" s="1"/>
  <c r="N217" i="4" s="1"/>
  <c r="O217" i="4" s="1"/>
  <c r="P217" i="4" s="1"/>
  <c r="Q217" i="4" s="1"/>
  <c r="R217" i="4" s="1"/>
  <c r="S217" i="4" s="1"/>
  <c r="T217" i="4" s="1"/>
  <c r="U217" i="4" s="1"/>
  <c r="V217" i="4" s="1"/>
  <c r="W217" i="4" s="1"/>
  <c r="X217" i="4" s="1"/>
  <c r="Y217" i="4" s="1"/>
  <c r="Z217" i="4" s="1"/>
  <c r="AA217" i="4" s="1"/>
  <c r="AB217" i="4" s="1"/>
  <c r="AC217" i="4" s="1"/>
  <c r="AD217" i="4" s="1"/>
  <c r="AE217" i="4" s="1"/>
  <c r="AF217" i="4" s="1"/>
  <c r="AG217" i="4" s="1"/>
  <c r="AH217" i="4" s="1"/>
  <c r="AI217" i="4" s="1"/>
  <c r="AJ217" i="4" s="1"/>
  <c r="AK217" i="4" s="1"/>
  <c r="AL217" i="4" s="1"/>
  <c r="AM217" i="4" s="1"/>
  <c r="AN217" i="4" s="1"/>
  <c r="AO217" i="4" s="1"/>
  <c r="AP217" i="4" s="1"/>
  <c r="AQ217" i="4" s="1"/>
  <c r="AR217" i="4" s="1"/>
  <c r="AS217" i="4" s="1"/>
  <c r="AT217" i="4" s="1"/>
  <c r="AU217" i="4" s="1"/>
  <c r="AV217" i="4" s="1"/>
  <c r="AW217" i="4" s="1"/>
  <c r="AX217" i="4" s="1"/>
  <c r="AY217" i="4" s="1"/>
  <c r="AZ217" i="4" s="1"/>
  <c r="BA217" i="4" s="1"/>
  <c r="BB217" i="4" s="1"/>
  <c r="BC217" i="4" s="1"/>
  <c r="BD217" i="4" s="1"/>
  <c r="BE217" i="4" s="1"/>
  <c r="BF217" i="4" s="1"/>
  <c r="BG217" i="4" s="1"/>
  <c r="BH217" i="4" s="1"/>
  <c r="BI217" i="4" s="1"/>
  <c r="BJ217" i="4" s="1"/>
  <c r="BK217" i="4" s="1"/>
  <c r="BL217" i="4" s="1"/>
  <c r="BM217" i="4" s="1"/>
  <c r="BN217" i="4" s="1"/>
  <c r="BO217" i="4" s="1"/>
  <c r="BP217" i="4" s="1"/>
  <c r="B216" i="4"/>
  <c r="C216" i="4" s="1"/>
  <c r="D216" i="4" s="1"/>
  <c r="E216" i="4" s="1"/>
  <c r="F216" i="4" s="1"/>
  <c r="G216" i="4" s="1"/>
  <c r="H216" i="4" s="1"/>
  <c r="I216" i="4" s="1"/>
  <c r="J216" i="4" s="1"/>
  <c r="K216" i="4" s="1"/>
  <c r="L216" i="4" s="1"/>
  <c r="M216" i="4" s="1"/>
  <c r="N216" i="4" s="1"/>
  <c r="O216" i="4" s="1"/>
  <c r="P216" i="4" s="1"/>
  <c r="Q216" i="4" s="1"/>
  <c r="R216" i="4" s="1"/>
  <c r="S216" i="4" s="1"/>
  <c r="T216" i="4" s="1"/>
  <c r="U216" i="4" s="1"/>
  <c r="V216" i="4" s="1"/>
  <c r="W216" i="4" s="1"/>
  <c r="X216" i="4" s="1"/>
  <c r="Y216" i="4" s="1"/>
  <c r="Z216" i="4" s="1"/>
  <c r="AA216" i="4" s="1"/>
  <c r="AB216" i="4" s="1"/>
  <c r="AC216" i="4" s="1"/>
  <c r="AD216" i="4" s="1"/>
  <c r="AE216" i="4" s="1"/>
  <c r="AF216" i="4" s="1"/>
  <c r="AG216" i="4" s="1"/>
  <c r="AH216" i="4" s="1"/>
  <c r="AI216" i="4" s="1"/>
  <c r="AJ216" i="4" s="1"/>
  <c r="AK216" i="4" s="1"/>
  <c r="AL216" i="4" s="1"/>
  <c r="AM216" i="4" s="1"/>
  <c r="AN216" i="4" s="1"/>
  <c r="AO216" i="4" s="1"/>
  <c r="AP216" i="4" s="1"/>
  <c r="AQ216" i="4" s="1"/>
  <c r="AR216" i="4" s="1"/>
  <c r="AS216" i="4" s="1"/>
  <c r="AT216" i="4" s="1"/>
  <c r="AU216" i="4" s="1"/>
  <c r="AV216" i="4" s="1"/>
  <c r="AW216" i="4" s="1"/>
  <c r="AX216" i="4" s="1"/>
  <c r="AY216" i="4" s="1"/>
  <c r="AZ216" i="4" s="1"/>
  <c r="BA216" i="4" s="1"/>
  <c r="BB216" i="4" s="1"/>
  <c r="BC216" i="4" s="1"/>
  <c r="BD216" i="4" s="1"/>
  <c r="BE216" i="4" s="1"/>
  <c r="BF216" i="4" s="1"/>
  <c r="BG216" i="4" s="1"/>
  <c r="BH216" i="4" s="1"/>
  <c r="BI216" i="4" s="1"/>
  <c r="BJ216" i="4" s="1"/>
  <c r="BK216" i="4" s="1"/>
  <c r="BL216" i="4" s="1"/>
  <c r="BM216" i="4" s="1"/>
  <c r="BN216" i="4" s="1"/>
  <c r="BO216" i="4" s="1"/>
  <c r="BP216" i="4" s="1"/>
  <c r="B215" i="4"/>
  <c r="C215" i="4" s="1"/>
  <c r="D215" i="4" s="1"/>
  <c r="E215" i="4" s="1"/>
  <c r="F215" i="4" s="1"/>
  <c r="G215" i="4" s="1"/>
  <c r="H215" i="4" s="1"/>
  <c r="I215" i="4" s="1"/>
  <c r="J215" i="4" s="1"/>
  <c r="K215" i="4" s="1"/>
  <c r="L215" i="4" s="1"/>
  <c r="M215" i="4" s="1"/>
  <c r="N215" i="4" s="1"/>
  <c r="O215" i="4" s="1"/>
  <c r="P215" i="4" s="1"/>
  <c r="Q215" i="4" s="1"/>
  <c r="R215" i="4" s="1"/>
  <c r="S215" i="4" s="1"/>
  <c r="T215" i="4" s="1"/>
  <c r="U215" i="4" s="1"/>
  <c r="V215" i="4" s="1"/>
  <c r="W215" i="4" s="1"/>
  <c r="X215" i="4" s="1"/>
  <c r="Y215" i="4" s="1"/>
  <c r="Z215" i="4" s="1"/>
  <c r="AA215" i="4" s="1"/>
  <c r="AB215" i="4" s="1"/>
  <c r="AC215" i="4" s="1"/>
  <c r="AD215" i="4" s="1"/>
  <c r="AE215" i="4" s="1"/>
  <c r="AF215" i="4" s="1"/>
  <c r="AG215" i="4" s="1"/>
  <c r="AH215" i="4" s="1"/>
  <c r="AI215" i="4" s="1"/>
  <c r="AJ215" i="4" s="1"/>
  <c r="AK215" i="4" s="1"/>
  <c r="AL215" i="4" s="1"/>
  <c r="AM215" i="4" s="1"/>
  <c r="AN215" i="4" s="1"/>
  <c r="AO215" i="4" s="1"/>
  <c r="AP215" i="4" s="1"/>
  <c r="AQ215" i="4" s="1"/>
  <c r="AR215" i="4" s="1"/>
  <c r="AS215" i="4" s="1"/>
  <c r="AT215" i="4" s="1"/>
  <c r="AU215" i="4" s="1"/>
  <c r="AV215" i="4" s="1"/>
  <c r="AW215" i="4" s="1"/>
  <c r="AX215" i="4" s="1"/>
  <c r="AY215" i="4" s="1"/>
  <c r="AZ215" i="4" s="1"/>
  <c r="BA215" i="4" s="1"/>
  <c r="BB215" i="4" s="1"/>
  <c r="BC215" i="4" s="1"/>
  <c r="BD215" i="4" s="1"/>
  <c r="BE215" i="4" s="1"/>
  <c r="BF215" i="4" s="1"/>
  <c r="BG215" i="4" s="1"/>
  <c r="BH215" i="4" s="1"/>
  <c r="BI215" i="4" s="1"/>
  <c r="BJ215" i="4" s="1"/>
  <c r="BK215" i="4" s="1"/>
  <c r="BL215" i="4" s="1"/>
  <c r="BM215" i="4" s="1"/>
  <c r="BN215" i="4" s="1"/>
  <c r="BO215" i="4" s="1"/>
  <c r="BP215" i="4" s="1"/>
  <c r="B214" i="4"/>
  <c r="C214" i="4" s="1"/>
  <c r="D214" i="4" s="1"/>
  <c r="E214" i="4" s="1"/>
  <c r="F214" i="4" s="1"/>
  <c r="G214" i="4" s="1"/>
  <c r="H214" i="4" s="1"/>
  <c r="I214" i="4" s="1"/>
  <c r="J214" i="4" s="1"/>
  <c r="K214" i="4" s="1"/>
  <c r="L214" i="4" s="1"/>
  <c r="M214" i="4" s="1"/>
  <c r="N214" i="4" s="1"/>
  <c r="O214" i="4" s="1"/>
  <c r="P214" i="4" s="1"/>
  <c r="Q214" i="4" s="1"/>
  <c r="R214" i="4" s="1"/>
  <c r="S214" i="4" s="1"/>
  <c r="T214" i="4" s="1"/>
  <c r="U214" i="4" s="1"/>
  <c r="V214" i="4" s="1"/>
  <c r="W214" i="4" s="1"/>
  <c r="X214" i="4" s="1"/>
  <c r="Y214" i="4" s="1"/>
  <c r="Z214" i="4" s="1"/>
  <c r="AA214" i="4" s="1"/>
  <c r="AB214" i="4" s="1"/>
  <c r="AC214" i="4" s="1"/>
  <c r="AD214" i="4" s="1"/>
  <c r="AE214" i="4" s="1"/>
  <c r="AF214" i="4" s="1"/>
  <c r="AG214" i="4" s="1"/>
  <c r="AH214" i="4" s="1"/>
  <c r="AI214" i="4" s="1"/>
  <c r="AJ214" i="4" s="1"/>
  <c r="AK214" i="4" s="1"/>
  <c r="AL214" i="4" s="1"/>
  <c r="AM214" i="4" s="1"/>
  <c r="AN214" i="4" s="1"/>
  <c r="AO214" i="4" s="1"/>
  <c r="AP214" i="4" s="1"/>
  <c r="AQ214" i="4" s="1"/>
  <c r="AR214" i="4" s="1"/>
  <c r="AS214" i="4" s="1"/>
  <c r="AT214" i="4" s="1"/>
  <c r="AU214" i="4" s="1"/>
  <c r="AV214" i="4" s="1"/>
  <c r="AW214" i="4" s="1"/>
  <c r="AX214" i="4" s="1"/>
  <c r="AY214" i="4" s="1"/>
  <c r="AZ214" i="4" s="1"/>
  <c r="BA214" i="4" s="1"/>
  <c r="BB214" i="4" s="1"/>
  <c r="BC214" i="4" s="1"/>
  <c r="BD214" i="4" s="1"/>
  <c r="BE214" i="4" s="1"/>
  <c r="BF214" i="4" s="1"/>
  <c r="BG214" i="4" s="1"/>
  <c r="BH214" i="4" s="1"/>
  <c r="BI214" i="4" s="1"/>
  <c r="BJ214" i="4" s="1"/>
  <c r="BK214" i="4" s="1"/>
  <c r="BL214" i="4" s="1"/>
  <c r="BM214" i="4" s="1"/>
  <c r="BN214" i="4" s="1"/>
  <c r="BO214" i="4" s="1"/>
  <c r="BP214" i="4" s="1"/>
  <c r="B213" i="4"/>
  <c r="C213" i="4" s="1"/>
  <c r="D213" i="4" s="1"/>
  <c r="E213" i="4" s="1"/>
  <c r="F213" i="4" s="1"/>
  <c r="G213" i="4" s="1"/>
  <c r="H213" i="4" s="1"/>
  <c r="I213" i="4" s="1"/>
  <c r="J213" i="4" s="1"/>
  <c r="K213" i="4" s="1"/>
  <c r="L213" i="4" s="1"/>
  <c r="M213" i="4" s="1"/>
  <c r="N213" i="4" s="1"/>
  <c r="O213" i="4" s="1"/>
  <c r="P213" i="4" s="1"/>
  <c r="Q213" i="4" s="1"/>
  <c r="R213" i="4" s="1"/>
  <c r="S213" i="4" s="1"/>
  <c r="T213" i="4" s="1"/>
  <c r="U213" i="4" s="1"/>
  <c r="V213" i="4" s="1"/>
  <c r="W213" i="4" s="1"/>
  <c r="X213" i="4" s="1"/>
  <c r="Y213" i="4" s="1"/>
  <c r="Z213" i="4" s="1"/>
  <c r="AA213" i="4" s="1"/>
  <c r="AB213" i="4" s="1"/>
  <c r="AC213" i="4" s="1"/>
  <c r="AD213" i="4" s="1"/>
  <c r="AE213" i="4" s="1"/>
  <c r="AF213" i="4" s="1"/>
  <c r="AG213" i="4" s="1"/>
  <c r="AH213" i="4" s="1"/>
  <c r="AI213" i="4" s="1"/>
  <c r="AJ213" i="4" s="1"/>
  <c r="AK213" i="4" s="1"/>
  <c r="AL213" i="4" s="1"/>
  <c r="AM213" i="4" s="1"/>
  <c r="AN213" i="4" s="1"/>
  <c r="AO213" i="4" s="1"/>
  <c r="AP213" i="4" s="1"/>
  <c r="AQ213" i="4" s="1"/>
  <c r="AR213" i="4" s="1"/>
  <c r="AS213" i="4" s="1"/>
  <c r="AT213" i="4" s="1"/>
  <c r="AU213" i="4" s="1"/>
  <c r="AV213" i="4" s="1"/>
  <c r="AW213" i="4" s="1"/>
  <c r="AX213" i="4" s="1"/>
  <c r="AY213" i="4" s="1"/>
  <c r="AZ213" i="4" s="1"/>
  <c r="BA213" i="4" s="1"/>
  <c r="BB213" i="4" s="1"/>
  <c r="BC213" i="4" s="1"/>
  <c r="BD213" i="4" s="1"/>
  <c r="BE213" i="4" s="1"/>
  <c r="BF213" i="4" s="1"/>
  <c r="BG213" i="4" s="1"/>
  <c r="BH213" i="4" s="1"/>
  <c r="BI213" i="4" s="1"/>
  <c r="BJ213" i="4" s="1"/>
  <c r="BK213" i="4" s="1"/>
  <c r="BL213" i="4" s="1"/>
  <c r="BM213" i="4" s="1"/>
  <c r="BN213" i="4" s="1"/>
  <c r="BO213" i="4" s="1"/>
  <c r="BP213" i="4" s="1"/>
  <c r="B212" i="4"/>
  <c r="C212" i="4" s="1"/>
  <c r="D212" i="4" s="1"/>
  <c r="E212" i="4" s="1"/>
  <c r="F212" i="4" s="1"/>
  <c r="G212" i="4" s="1"/>
  <c r="H212" i="4" s="1"/>
  <c r="I212" i="4" s="1"/>
  <c r="J212" i="4" s="1"/>
  <c r="K212" i="4" s="1"/>
  <c r="L212" i="4" s="1"/>
  <c r="M212" i="4" s="1"/>
  <c r="N212" i="4" s="1"/>
  <c r="O212" i="4" s="1"/>
  <c r="P212" i="4" s="1"/>
  <c r="Q212" i="4" s="1"/>
  <c r="R212" i="4" s="1"/>
  <c r="S212" i="4" s="1"/>
  <c r="T212" i="4" s="1"/>
  <c r="U212" i="4" s="1"/>
  <c r="V212" i="4" s="1"/>
  <c r="W212" i="4" s="1"/>
  <c r="X212" i="4" s="1"/>
  <c r="Y212" i="4" s="1"/>
  <c r="Z212" i="4" s="1"/>
  <c r="AA212" i="4" s="1"/>
  <c r="AB212" i="4" s="1"/>
  <c r="AC212" i="4" s="1"/>
  <c r="AD212" i="4" s="1"/>
  <c r="AE212" i="4" s="1"/>
  <c r="AF212" i="4" s="1"/>
  <c r="AG212" i="4" s="1"/>
  <c r="AH212" i="4" s="1"/>
  <c r="AI212" i="4" s="1"/>
  <c r="AJ212" i="4" s="1"/>
  <c r="AK212" i="4" s="1"/>
  <c r="AL212" i="4" s="1"/>
  <c r="AM212" i="4" s="1"/>
  <c r="AN212" i="4" s="1"/>
  <c r="AO212" i="4" s="1"/>
  <c r="AP212" i="4" s="1"/>
  <c r="AQ212" i="4" s="1"/>
  <c r="AR212" i="4" s="1"/>
  <c r="AS212" i="4" s="1"/>
  <c r="AT212" i="4" s="1"/>
  <c r="AU212" i="4" s="1"/>
  <c r="AV212" i="4" s="1"/>
  <c r="AW212" i="4" s="1"/>
  <c r="AX212" i="4" s="1"/>
  <c r="AY212" i="4" s="1"/>
  <c r="AZ212" i="4" s="1"/>
  <c r="BA212" i="4" s="1"/>
  <c r="BB212" i="4" s="1"/>
  <c r="BC212" i="4" s="1"/>
  <c r="BD212" i="4" s="1"/>
  <c r="BE212" i="4" s="1"/>
  <c r="BF212" i="4" s="1"/>
  <c r="BG212" i="4" s="1"/>
  <c r="BH212" i="4" s="1"/>
  <c r="BI212" i="4" s="1"/>
  <c r="BJ212" i="4" s="1"/>
  <c r="BK212" i="4" s="1"/>
  <c r="BL212" i="4" s="1"/>
  <c r="BM212" i="4" s="1"/>
  <c r="BN212" i="4" s="1"/>
  <c r="BO212" i="4" s="1"/>
  <c r="BP212" i="4" s="1"/>
  <c r="B211" i="4"/>
  <c r="C211" i="4" s="1"/>
  <c r="D211" i="4" s="1"/>
  <c r="E211" i="4" s="1"/>
  <c r="F211" i="4" s="1"/>
  <c r="G211" i="4" s="1"/>
  <c r="H211" i="4" s="1"/>
  <c r="I211" i="4" s="1"/>
  <c r="J211" i="4" s="1"/>
  <c r="K211" i="4" s="1"/>
  <c r="L211" i="4" s="1"/>
  <c r="M211" i="4" s="1"/>
  <c r="N211" i="4" s="1"/>
  <c r="O211" i="4" s="1"/>
  <c r="P211" i="4" s="1"/>
  <c r="Q211" i="4" s="1"/>
  <c r="R211" i="4" s="1"/>
  <c r="S211" i="4" s="1"/>
  <c r="T211" i="4" s="1"/>
  <c r="U211" i="4" s="1"/>
  <c r="V211" i="4" s="1"/>
  <c r="W211" i="4" s="1"/>
  <c r="X211" i="4" s="1"/>
  <c r="Y211" i="4" s="1"/>
  <c r="Z211" i="4" s="1"/>
  <c r="AA211" i="4" s="1"/>
  <c r="AB211" i="4" s="1"/>
  <c r="AC211" i="4" s="1"/>
  <c r="AD211" i="4" s="1"/>
  <c r="AE211" i="4" s="1"/>
  <c r="AF211" i="4" s="1"/>
  <c r="AG211" i="4" s="1"/>
  <c r="AH211" i="4" s="1"/>
  <c r="AI211" i="4" s="1"/>
  <c r="AJ211" i="4" s="1"/>
  <c r="AK211" i="4" s="1"/>
  <c r="AL211" i="4" s="1"/>
  <c r="AM211" i="4" s="1"/>
  <c r="AN211" i="4" s="1"/>
  <c r="AO211" i="4" s="1"/>
  <c r="AP211" i="4" s="1"/>
  <c r="AQ211" i="4" s="1"/>
  <c r="AR211" i="4" s="1"/>
  <c r="AS211" i="4" s="1"/>
  <c r="AT211" i="4" s="1"/>
  <c r="AU211" i="4" s="1"/>
  <c r="AV211" i="4" s="1"/>
  <c r="AW211" i="4" s="1"/>
  <c r="AX211" i="4" s="1"/>
  <c r="AY211" i="4" s="1"/>
  <c r="AZ211" i="4" s="1"/>
  <c r="BA211" i="4" s="1"/>
  <c r="BB211" i="4" s="1"/>
  <c r="BC211" i="4" s="1"/>
  <c r="BD211" i="4" s="1"/>
  <c r="BE211" i="4" s="1"/>
  <c r="BF211" i="4" s="1"/>
  <c r="BG211" i="4" s="1"/>
  <c r="BH211" i="4" s="1"/>
  <c r="BI211" i="4" s="1"/>
  <c r="BJ211" i="4" s="1"/>
  <c r="BK211" i="4" s="1"/>
  <c r="BL211" i="4" s="1"/>
  <c r="BM211" i="4" s="1"/>
  <c r="BN211" i="4" s="1"/>
  <c r="BO211" i="4" s="1"/>
  <c r="BP211" i="4" s="1"/>
  <c r="B210" i="4"/>
  <c r="C210" i="4" s="1"/>
  <c r="D210" i="4" s="1"/>
  <c r="E210" i="4" s="1"/>
  <c r="F210" i="4" s="1"/>
  <c r="G210" i="4" s="1"/>
  <c r="H210" i="4" s="1"/>
  <c r="I210" i="4" s="1"/>
  <c r="J210" i="4" s="1"/>
  <c r="K210" i="4" s="1"/>
  <c r="L210" i="4" s="1"/>
  <c r="M210" i="4" s="1"/>
  <c r="N210" i="4" s="1"/>
  <c r="O210" i="4" s="1"/>
  <c r="P210" i="4" s="1"/>
  <c r="Q210" i="4" s="1"/>
  <c r="R210" i="4" s="1"/>
  <c r="S210" i="4" s="1"/>
  <c r="T210" i="4" s="1"/>
  <c r="U210" i="4" s="1"/>
  <c r="V210" i="4" s="1"/>
  <c r="W210" i="4" s="1"/>
  <c r="X210" i="4" s="1"/>
  <c r="Y210" i="4" s="1"/>
  <c r="Z210" i="4" s="1"/>
  <c r="AA210" i="4" s="1"/>
  <c r="AB210" i="4" s="1"/>
  <c r="AC210" i="4" s="1"/>
  <c r="AD210" i="4" s="1"/>
  <c r="AE210" i="4" s="1"/>
  <c r="AF210" i="4" s="1"/>
  <c r="AG210" i="4" s="1"/>
  <c r="AH210" i="4" s="1"/>
  <c r="AI210" i="4" s="1"/>
  <c r="AJ210" i="4" s="1"/>
  <c r="AK210" i="4" s="1"/>
  <c r="AL210" i="4" s="1"/>
  <c r="AM210" i="4" s="1"/>
  <c r="AN210" i="4" s="1"/>
  <c r="AO210" i="4" s="1"/>
  <c r="AP210" i="4" s="1"/>
  <c r="AQ210" i="4" s="1"/>
  <c r="AR210" i="4" s="1"/>
  <c r="AS210" i="4" s="1"/>
  <c r="AT210" i="4" s="1"/>
  <c r="AU210" i="4" s="1"/>
  <c r="AV210" i="4" s="1"/>
  <c r="AW210" i="4" s="1"/>
  <c r="AX210" i="4" s="1"/>
  <c r="AY210" i="4" s="1"/>
  <c r="AZ210" i="4" s="1"/>
  <c r="BA210" i="4" s="1"/>
  <c r="BB210" i="4" s="1"/>
  <c r="BC210" i="4" s="1"/>
  <c r="BD210" i="4" s="1"/>
  <c r="BE210" i="4" s="1"/>
  <c r="BF210" i="4" s="1"/>
  <c r="BG210" i="4" s="1"/>
  <c r="BH210" i="4" s="1"/>
  <c r="BI210" i="4" s="1"/>
  <c r="BJ210" i="4" s="1"/>
  <c r="BK210" i="4" s="1"/>
  <c r="BL210" i="4" s="1"/>
  <c r="BM210" i="4" s="1"/>
  <c r="BN210" i="4" s="1"/>
  <c r="BO210" i="4" s="1"/>
  <c r="BP210" i="4" s="1"/>
  <c r="B209" i="4"/>
  <c r="C209" i="4" s="1"/>
  <c r="D209" i="4" s="1"/>
  <c r="E209" i="4" s="1"/>
  <c r="F209" i="4" s="1"/>
  <c r="G209" i="4" s="1"/>
  <c r="H209" i="4" s="1"/>
  <c r="I209" i="4" s="1"/>
  <c r="J209" i="4" s="1"/>
  <c r="K209" i="4" s="1"/>
  <c r="L209" i="4" s="1"/>
  <c r="M209" i="4" s="1"/>
  <c r="N209" i="4" s="1"/>
  <c r="O209" i="4" s="1"/>
  <c r="P209" i="4" s="1"/>
  <c r="Q209" i="4" s="1"/>
  <c r="R209" i="4" s="1"/>
  <c r="S209" i="4" s="1"/>
  <c r="T209" i="4" s="1"/>
  <c r="U209" i="4" s="1"/>
  <c r="V209" i="4" s="1"/>
  <c r="W209" i="4" s="1"/>
  <c r="X209" i="4" s="1"/>
  <c r="Y209" i="4" s="1"/>
  <c r="Z209" i="4" s="1"/>
  <c r="AA209" i="4" s="1"/>
  <c r="AB209" i="4" s="1"/>
  <c r="AC209" i="4" s="1"/>
  <c r="AD209" i="4" s="1"/>
  <c r="AE209" i="4" s="1"/>
  <c r="AF209" i="4" s="1"/>
  <c r="AG209" i="4" s="1"/>
  <c r="AH209" i="4" s="1"/>
  <c r="AI209" i="4" s="1"/>
  <c r="AJ209" i="4" s="1"/>
  <c r="AK209" i="4" s="1"/>
  <c r="AL209" i="4" s="1"/>
  <c r="AM209" i="4" s="1"/>
  <c r="AN209" i="4" s="1"/>
  <c r="AO209" i="4" s="1"/>
  <c r="AP209" i="4" s="1"/>
  <c r="AQ209" i="4" s="1"/>
  <c r="AR209" i="4" s="1"/>
  <c r="AS209" i="4" s="1"/>
  <c r="AT209" i="4" s="1"/>
  <c r="AU209" i="4" s="1"/>
  <c r="AV209" i="4" s="1"/>
  <c r="AW209" i="4" s="1"/>
  <c r="AX209" i="4" s="1"/>
  <c r="AY209" i="4" s="1"/>
  <c r="AZ209" i="4" s="1"/>
  <c r="BA209" i="4" s="1"/>
  <c r="BB209" i="4" s="1"/>
  <c r="BC209" i="4" s="1"/>
  <c r="BD209" i="4" s="1"/>
  <c r="BE209" i="4" s="1"/>
  <c r="BF209" i="4" s="1"/>
  <c r="BG209" i="4" s="1"/>
  <c r="BH209" i="4" s="1"/>
  <c r="BI209" i="4" s="1"/>
  <c r="BJ209" i="4" s="1"/>
  <c r="BK209" i="4" s="1"/>
  <c r="BL209" i="4" s="1"/>
  <c r="BM209" i="4" s="1"/>
  <c r="BN209" i="4" s="1"/>
  <c r="BO209" i="4" s="1"/>
  <c r="BP209" i="4" s="1"/>
  <c r="B208" i="4"/>
  <c r="C208" i="4" s="1"/>
  <c r="D208" i="4" s="1"/>
  <c r="E208" i="4" s="1"/>
  <c r="F208" i="4" s="1"/>
  <c r="G208" i="4" s="1"/>
  <c r="H208" i="4" s="1"/>
  <c r="I208" i="4" s="1"/>
  <c r="J208" i="4" s="1"/>
  <c r="K208" i="4" s="1"/>
  <c r="L208" i="4" s="1"/>
  <c r="M208" i="4" s="1"/>
  <c r="N208" i="4" s="1"/>
  <c r="O208" i="4" s="1"/>
  <c r="P208" i="4" s="1"/>
  <c r="Q208" i="4" s="1"/>
  <c r="R208" i="4" s="1"/>
  <c r="S208" i="4" s="1"/>
  <c r="T208" i="4" s="1"/>
  <c r="U208" i="4" s="1"/>
  <c r="V208" i="4" s="1"/>
  <c r="W208" i="4" s="1"/>
  <c r="X208" i="4" s="1"/>
  <c r="Y208" i="4" s="1"/>
  <c r="Z208" i="4" s="1"/>
  <c r="AA208" i="4" s="1"/>
  <c r="AB208" i="4" s="1"/>
  <c r="AC208" i="4" s="1"/>
  <c r="AD208" i="4" s="1"/>
  <c r="AE208" i="4" s="1"/>
  <c r="AF208" i="4" s="1"/>
  <c r="AG208" i="4" s="1"/>
  <c r="AH208" i="4" s="1"/>
  <c r="AI208" i="4" s="1"/>
  <c r="AJ208" i="4" s="1"/>
  <c r="AK208" i="4" s="1"/>
  <c r="AL208" i="4" s="1"/>
  <c r="AM208" i="4" s="1"/>
  <c r="AN208" i="4" s="1"/>
  <c r="AO208" i="4" s="1"/>
  <c r="AP208" i="4" s="1"/>
  <c r="AQ208" i="4" s="1"/>
  <c r="AR208" i="4" s="1"/>
  <c r="AS208" i="4" s="1"/>
  <c r="AT208" i="4" s="1"/>
  <c r="AU208" i="4" s="1"/>
  <c r="AV208" i="4" s="1"/>
  <c r="AW208" i="4" s="1"/>
  <c r="AX208" i="4" s="1"/>
  <c r="AY208" i="4" s="1"/>
  <c r="AZ208" i="4" s="1"/>
  <c r="BA208" i="4" s="1"/>
  <c r="BB208" i="4" s="1"/>
  <c r="BC208" i="4" s="1"/>
  <c r="BD208" i="4" s="1"/>
  <c r="BE208" i="4" s="1"/>
  <c r="BF208" i="4" s="1"/>
  <c r="BG208" i="4" s="1"/>
  <c r="BH208" i="4" s="1"/>
  <c r="BI208" i="4" s="1"/>
  <c r="BJ208" i="4" s="1"/>
  <c r="BK208" i="4" s="1"/>
  <c r="BL208" i="4" s="1"/>
  <c r="BM208" i="4" s="1"/>
  <c r="BN208" i="4" s="1"/>
  <c r="BO208" i="4" s="1"/>
  <c r="BP208" i="4" s="1"/>
  <c r="B207" i="4"/>
  <c r="C207" i="4" s="1"/>
  <c r="D207" i="4" s="1"/>
  <c r="E207" i="4" s="1"/>
  <c r="F207" i="4" s="1"/>
  <c r="G207" i="4" s="1"/>
  <c r="H207" i="4" s="1"/>
  <c r="I207" i="4" s="1"/>
  <c r="J207" i="4" s="1"/>
  <c r="K207" i="4" s="1"/>
  <c r="L207" i="4" s="1"/>
  <c r="M207" i="4" s="1"/>
  <c r="N207" i="4" s="1"/>
  <c r="O207" i="4" s="1"/>
  <c r="P207" i="4" s="1"/>
  <c r="Q207" i="4" s="1"/>
  <c r="R207" i="4" s="1"/>
  <c r="S207" i="4" s="1"/>
  <c r="T207" i="4" s="1"/>
  <c r="U207" i="4" s="1"/>
  <c r="V207" i="4" s="1"/>
  <c r="W207" i="4" s="1"/>
  <c r="X207" i="4" s="1"/>
  <c r="Y207" i="4" s="1"/>
  <c r="Z207" i="4" s="1"/>
  <c r="AA207" i="4" s="1"/>
  <c r="AB207" i="4" s="1"/>
  <c r="AC207" i="4" s="1"/>
  <c r="AD207" i="4" s="1"/>
  <c r="AE207" i="4" s="1"/>
  <c r="AF207" i="4" s="1"/>
  <c r="AG207" i="4" s="1"/>
  <c r="AH207" i="4" s="1"/>
  <c r="AI207" i="4" s="1"/>
  <c r="AJ207" i="4" s="1"/>
  <c r="AK207" i="4" s="1"/>
  <c r="AL207" i="4" s="1"/>
  <c r="AM207" i="4" s="1"/>
  <c r="AN207" i="4" s="1"/>
  <c r="AO207" i="4" s="1"/>
  <c r="AP207" i="4" s="1"/>
  <c r="AQ207" i="4" s="1"/>
  <c r="AR207" i="4" s="1"/>
  <c r="AS207" i="4" s="1"/>
  <c r="AT207" i="4" s="1"/>
  <c r="AU207" i="4" s="1"/>
  <c r="AV207" i="4" s="1"/>
  <c r="AW207" i="4" s="1"/>
  <c r="AX207" i="4" s="1"/>
  <c r="AY207" i="4" s="1"/>
  <c r="AZ207" i="4" s="1"/>
  <c r="BA207" i="4" s="1"/>
  <c r="BB207" i="4" s="1"/>
  <c r="BC207" i="4" s="1"/>
  <c r="BD207" i="4" s="1"/>
  <c r="BE207" i="4" s="1"/>
  <c r="BF207" i="4" s="1"/>
  <c r="BG207" i="4" s="1"/>
  <c r="BH207" i="4" s="1"/>
  <c r="BI207" i="4" s="1"/>
  <c r="BJ207" i="4" s="1"/>
  <c r="BK207" i="4" s="1"/>
  <c r="BL207" i="4" s="1"/>
  <c r="BM207" i="4" s="1"/>
  <c r="BN207" i="4" s="1"/>
  <c r="BO207" i="4" s="1"/>
  <c r="BP207" i="4" s="1"/>
  <c r="B206" i="4"/>
  <c r="C206" i="4" s="1"/>
  <c r="D206" i="4" s="1"/>
  <c r="E206" i="4" s="1"/>
  <c r="F206" i="4" s="1"/>
  <c r="G206" i="4" s="1"/>
  <c r="H206" i="4" s="1"/>
  <c r="I206" i="4" s="1"/>
  <c r="J206" i="4" s="1"/>
  <c r="K206" i="4" s="1"/>
  <c r="L206" i="4" s="1"/>
  <c r="M206" i="4" s="1"/>
  <c r="N206" i="4" s="1"/>
  <c r="O206" i="4" s="1"/>
  <c r="P206" i="4" s="1"/>
  <c r="Q206" i="4" s="1"/>
  <c r="R206" i="4" s="1"/>
  <c r="S206" i="4" s="1"/>
  <c r="T206" i="4" s="1"/>
  <c r="U206" i="4" s="1"/>
  <c r="V206" i="4" s="1"/>
  <c r="W206" i="4" s="1"/>
  <c r="X206" i="4" s="1"/>
  <c r="Y206" i="4" s="1"/>
  <c r="Z206" i="4" s="1"/>
  <c r="AA206" i="4" s="1"/>
  <c r="AB206" i="4" s="1"/>
  <c r="AC206" i="4" s="1"/>
  <c r="AD206" i="4" s="1"/>
  <c r="AE206" i="4" s="1"/>
  <c r="AF206" i="4" s="1"/>
  <c r="AG206" i="4" s="1"/>
  <c r="AH206" i="4" s="1"/>
  <c r="AI206" i="4" s="1"/>
  <c r="AJ206" i="4" s="1"/>
  <c r="AK206" i="4" s="1"/>
  <c r="AL206" i="4" s="1"/>
  <c r="AM206" i="4" s="1"/>
  <c r="AN206" i="4" s="1"/>
  <c r="AO206" i="4" s="1"/>
  <c r="AP206" i="4" s="1"/>
  <c r="AQ206" i="4" s="1"/>
  <c r="AR206" i="4" s="1"/>
  <c r="AS206" i="4" s="1"/>
  <c r="AT206" i="4" s="1"/>
  <c r="AU206" i="4" s="1"/>
  <c r="AV206" i="4" s="1"/>
  <c r="AW206" i="4" s="1"/>
  <c r="AX206" i="4" s="1"/>
  <c r="AY206" i="4" s="1"/>
  <c r="AZ206" i="4" s="1"/>
  <c r="BA206" i="4" s="1"/>
  <c r="BB206" i="4" s="1"/>
  <c r="BC206" i="4" s="1"/>
  <c r="BD206" i="4" s="1"/>
  <c r="BE206" i="4" s="1"/>
  <c r="BF206" i="4" s="1"/>
  <c r="BG206" i="4" s="1"/>
  <c r="BH206" i="4" s="1"/>
  <c r="BI206" i="4" s="1"/>
  <c r="BJ206" i="4" s="1"/>
  <c r="BK206" i="4" s="1"/>
  <c r="BL206" i="4" s="1"/>
  <c r="BM206" i="4" s="1"/>
  <c r="BN206" i="4" s="1"/>
  <c r="BO206" i="4" s="1"/>
  <c r="BP206" i="4" s="1"/>
  <c r="B205" i="4"/>
  <c r="C205" i="4" s="1"/>
  <c r="D205" i="4" s="1"/>
  <c r="E205" i="4" s="1"/>
  <c r="F205" i="4" s="1"/>
  <c r="G205" i="4" s="1"/>
  <c r="H205" i="4" s="1"/>
  <c r="I205" i="4" s="1"/>
  <c r="J205" i="4" s="1"/>
  <c r="K205" i="4" s="1"/>
  <c r="L205" i="4" s="1"/>
  <c r="M205" i="4" s="1"/>
  <c r="N205" i="4" s="1"/>
  <c r="O205" i="4" s="1"/>
  <c r="P205" i="4" s="1"/>
  <c r="Q205" i="4" s="1"/>
  <c r="R205" i="4" s="1"/>
  <c r="S205" i="4" s="1"/>
  <c r="T205" i="4" s="1"/>
  <c r="U205" i="4" s="1"/>
  <c r="V205" i="4" s="1"/>
  <c r="W205" i="4" s="1"/>
  <c r="X205" i="4" s="1"/>
  <c r="Y205" i="4" s="1"/>
  <c r="Z205" i="4" s="1"/>
  <c r="AA205" i="4" s="1"/>
  <c r="AB205" i="4" s="1"/>
  <c r="AC205" i="4" s="1"/>
  <c r="AD205" i="4" s="1"/>
  <c r="AE205" i="4" s="1"/>
  <c r="AF205" i="4" s="1"/>
  <c r="AG205" i="4" s="1"/>
  <c r="AH205" i="4" s="1"/>
  <c r="AI205" i="4" s="1"/>
  <c r="AJ205" i="4" s="1"/>
  <c r="AK205" i="4" s="1"/>
  <c r="AL205" i="4" s="1"/>
  <c r="AM205" i="4" s="1"/>
  <c r="AN205" i="4" s="1"/>
  <c r="AO205" i="4" s="1"/>
  <c r="AP205" i="4" s="1"/>
  <c r="AQ205" i="4" s="1"/>
  <c r="AR205" i="4" s="1"/>
  <c r="AS205" i="4" s="1"/>
  <c r="AT205" i="4" s="1"/>
  <c r="AU205" i="4" s="1"/>
  <c r="AV205" i="4" s="1"/>
  <c r="AW205" i="4" s="1"/>
  <c r="AX205" i="4" s="1"/>
  <c r="AY205" i="4" s="1"/>
  <c r="AZ205" i="4" s="1"/>
  <c r="BA205" i="4" s="1"/>
  <c r="BB205" i="4" s="1"/>
  <c r="BC205" i="4" s="1"/>
  <c r="BD205" i="4" s="1"/>
  <c r="BE205" i="4" s="1"/>
  <c r="BF205" i="4" s="1"/>
  <c r="BG205" i="4" s="1"/>
  <c r="BH205" i="4" s="1"/>
  <c r="BI205" i="4" s="1"/>
  <c r="BJ205" i="4" s="1"/>
  <c r="BK205" i="4" s="1"/>
  <c r="BL205" i="4" s="1"/>
  <c r="BM205" i="4" s="1"/>
  <c r="BN205" i="4" s="1"/>
  <c r="BO205" i="4" s="1"/>
  <c r="BP205" i="4" s="1"/>
  <c r="B204" i="4"/>
  <c r="C204" i="4" s="1"/>
  <c r="D204" i="4" s="1"/>
  <c r="E204" i="4" s="1"/>
  <c r="F204" i="4" s="1"/>
  <c r="G204" i="4" s="1"/>
  <c r="H204" i="4" s="1"/>
  <c r="I204" i="4" s="1"/>
  <c r="J204" i="4" s="1"/>
  <c r="K204" i="4" s="1"/>
  <c r="L204" i="4" s="1"/>
  <c r="M204" i="4" s="1"/>
  <c r="N204" i="4" s="1"/>
  <c r="O204" i="4" s="1"/>
  <c r="P204" i="4" s="1"/>
  <c r="Q204" i="4" s="1"/>
  <c r="R204" i="4" s="1"/>
  <c r="S204" i="4" s="1"/>
  <c r="T204" i="4" s="1"/>
  <c r="U204" i="4" s="1"/>
  <c r="V204" i="4" s="1"/>
  <c r="W204" i="4" s="1"/>
  <c r="X204" i="4" s="1"/>
  <c r="Y204" i="4" s="1"/>
  <c r="Z204" i="4" s="1"/>
  <c r="AA204" i="4" s="1"/>
  <c r="AB204" i="4" s="1"/>
  <c r="AC204" i="4" s="1"/>
  <c r="AD204" i="4" s="1"/>
  <c r="AE204" i="4" s="1"/>
  <c r="AF204" i="4" s="1"/>
  <c r="AG204" i="4" s="1"/>
  <c r="AH204" i="4" s="1"/>
  <c r="AI204" i="4" s="1"/>
  <c r="AJ204" i="4" s="1"/>
  <c r="AK204" i="4" s="1"/>
  <c r="AL204" i="4" s="1"/>
  <c r="AM204" i="4" s="1"/>
  <c r="AN204" i="4" s="1"/>
  <c r="AO204" i="4" s="1"/>
  <c r="AP204" i="4" s="1"/>
  <c r="AQ204" i="4" s="1"/>
  <c r="AR204" i="4" s="1"/>
  <c r="AS204" i="4" s="1"/>
  <c r="AT204" i="4" s="1"/>
  <c r="AU204" i="4" s="1"/>
  <c r="AV204" i="4" s="1"/>
  <c r="AW204" i="4" s="1"/>
  <c r="AX204" i="4" s="1"/>
  <c r="AY204" i="4" s="1"/>
  <c r="AZ204" i="4" s="1"/>
  <c r="BA204" i="4" s="1"/>
  <c r="BB204" i="4" s="1"/>
  <c r="BC204" i="4" s="1"/>
  <c r="BD204" i="4" s="1"/>
  <c r="BE204" i="4" s="1"/>
  <c r="BF204" i="4" s="1"/>
  <c r="BG204" i="4" s="1"/>
  <c r="BH204" i="4" s="1"/>
  <c r="BI204" i="4" s="1"/>
  <c r="BJ204" i="4" s="1"/>
  <c r="BK204" i="4" s="1"/>
  <c r="BL204" i="4" s="1"/>
  <c r="BM204" i="4" s="1"/>
  <c r="BN204" i="4" s="1"/>
  <c r="BO204" i="4" s="1"/>
  <c r="BP204" i="4" s="1"/>
  <c r="B203" i="4"/>
  <c r="C203" i="4" s="1"/>
  <c r="D203" i="4" s="1"/>
  <c r="E203" i="4" s="1"/>
  <c r="F203" i="4" s="1"/>
  <c r="G203" i="4" s="1"/>
  <c r="H203" i="4" s="1"/>
  <c r="I203" i="4" s="1"/>
  <c r="J203" i="4" s="1"/>
  <c r="K203" i="4" s="1"/>
  <c r="L203" i="4" s="1"/>
  <c r="M203" i="4" s="1"/>
  <c r="N203" i="4" s="1"/>
  <c r="O203" i="4" s="1"/>
  <c r="P203" i="4" s="1"/>
  <c r="Q203" i="4" s="1"/>
  <c r="R203" i="4" s="1"/>
  <c r="S203" i="4" s="1"/>
  <c r="T203" i="4" s="1"/>
  <c r="U203" i="4" s="1"/>
  <c r="V203" i="4" s="1"/>
  <c r="W203" i="4" s="1"/>
  <c r="X203" i="4" s="1"/>
  <c r="Y203" i="4" s="1"/>
  <c r="Z203" i="4" s="1"/>
  <c r="AA203" i="4" s="1"/>
  <c r="AB203" i="4" s="1"/>
  <c r="AC203" i="4" s="1"/>
  <c r="AD203" i="4" s="1"/>
  <c r="AE203" i="4" s="1"/>
  <c r="AF203" i="4" s="1"/>
  <c r="AG203" i="4" s="1"/>
  <c r="AH203" i="4" s="1"/>
  <c r="AI203" i="4" s="1"/>
  <c r="AJ203" i="4" s="1"/>
  <c r="AK203" i="4" s="1"/>
  <c r="AL203" i="4" s="1"/>
  <c r="AM203" i="4" s="1"/>
  <c r="AN203" i="4" s="1"/>
  <c r="AO203" i="4" s="1"/>
  <c r="AP203" i="4" s="1"/>
  <c r="AQ203" i="4" s="1"/>
  <c r="AR203" i="4" s="1"/>
  <c r="AS203" i="4" s="1"/>
  <c r="AT203" i="4" s="1"/>
  <c r="AU203" i="4" s="1"/>
  <c r="AV203" i="4" s="1"/>
  <c r="AW203" i="4" s="1"/>
  <c r="AX203" i="4" s="1"/>
  <c r="AY203" i="4" s="1"/>
  <c r="AZ203" i="4" s="1"/>
  <c r="BA203" i="4" s="1"/>
  <c r="BB203" i="4" s="1"/>
  <c r="BC203" i="4" s="1"/>
  <c r="BD203" i="4" s="1"/>
  <c r="BE203" i="4" s="1"/>
  <c r="BF203" i="4" s="1"/>
  <c r="BG203" i="4" s="1"/>
  <c r="BH203" i="4" s="1"/>
  <c r="BI203" i="4" s="1"/>
  <c r="BJ203" i="4" s="1"/>
  <c r="BK203" i="4" s="1"/>
  <c r="BL203" i="4" s="1"/>
  <c r="BM203" i="4" s="1"/>
  <c r="BN203" i="4" s="1"/>
  <c r="BO203" i="4" s="1"/>
  <c r="BP203" i="4" s="1"/>
  <c r="B202" i="4"/>
  <c r="C202" i="4" s="1"/>
  <c r="D202" i="4" s="1"/>
  <c r="E202" i="4" s="1"/>
  <c r="F202" i="4" s="1"/>
  <c r="G202" i="4" s="1"/>
  <c r="H202" i="4" s="1"/>
  <c r="I202" i="4" s="1"/>
  <c r="J202" i="4" s="1"/>
  <c r="K202" i="4" s="1"/>
  <c r="L202" i="4" s="1"/>
  <c r="M202" i="4" s="1"/>
  <c r="N202" i="4" s="1"/>
  <c r="O202" i="4" s="1"/>
  <c r="P202" i="4" s="1"/>
  <c r="Q202" i="4" s="1"/>
  <c r="R202" i="4" s="1"/>
  <c r="S202" i="4" s="1"/>
  <c r="T202" i="4" s="1"/>
  <c r="U202" i="4" s="1"/>
  <c r="V202" i="4" s="1"/>
  <c r="W202" i="4" s="1"/>
  <c r="X202" i="4" s="1"/>
  <c r="Y202" i="4" s="1"/>
  <c r="Z202" i="4" s="1"/>
  <c r="AA202" i="4" s="1"/>
  <c r="AB202" i="4" s="1"/>
  <c r="AC202" i="4" s="1"/>
  <c r="AD202" i="4" s="1"/>
  <c r="AE202" i="4" s="1"/>
  <c r="AF202" i="4" s="1"/>
  <c r="AG202" i="4" s="1"/>
  <c r="AH202" i="4" s="1"/>
  <c r="AI202" i="4" s="1"/>
  <c r="AJ202" i="4" s="1"/>
  <c r="AK202" i="4" s="1"/>
  <c r="AL202" i="4" s="1"/>
  <c r="AM202" i="4" s="1"/>
  <c r="AN202" i="4" s="1"/>
  <c r="AO202" i="4" s="1"/>
  <c r="AP202" i="4" s="1"/>
  <c r="AQ202" i="4" s="1"/>
  <c r="AR202" i="4" s="1"/>
  <c r="AS202" i="4" s="1"/>
  <c r="AT202" i="4" s="1"/>
  <c r="AU202" i="4" s="1"/>
  <c r="AV202" i="4" s="1"/>
  <c r="AW202" i="4" s="1"/>
  <c r="AX202" i="4" s="1"/>
  <c r="AY202" i="4" s="1"/>
  <c r="AZ202" i="4" s="1"/>
  <c r="BA202" i="4" s="1"/>
  <c r="BB202" i="4" s="1"/>
  <c r="BC202" i="4" s="1"/>
  <c r="BD202" i="4" s="1"/>
  <c r="BE202" i="4" s="1"/>
  <c r="BF202" i="4" s="1"/>
  <c r="BG202" i="4" s="1"/>
  <c r="BH202" i="4" s="1"/>
  <c r="BI202" i="4" s="1"/>
  <c r="BJ202" i="4" s="1"/>
  <c r="BK202" i="4" s="1"/>
  <c r="BL202" i="4" s="1"/>
  <c r="BM202" i="4" s="1"/>
  <c r="BN202" i="4" s="1"/>
  <c r="BO202" i="4" s="1"/>
  <c r="BP202" i="4" s="1"/>
  <c r="B201" i="4"/>
  <c r="C201" i="4" s="1"/>
  <c r="D201" i="4" s="1"/>
  <c r="E201" i="4" s="1"/>
  <c r="F201" i="4" s="1"/>
  <c r="G201" i="4" s="1"/>
  <c r="H201" i="4" s="1"/>
  <c r="I201" i="4" s="1"/>
  <c r="J201" i="4" s="1"/>
  <c r="K201" i="4" s="1"/>
  <c r="L201" i="4" s="1"/>
  <c r="M201" i="4" s="1"/>
  <c r="N201" i="4" s="1"/>
  <c r="O201" i="4" s="1"/>
  <c r="P201" i="4" s="1"/>
  <c r="Q201" i="4" s="1"/>
  <c r="R201" i="4" s="1"/>
  <c r="S201" i="4" s="1"/>
  <c r="T201" i="4" s="1"/>
  <c r="U201" i="4" s="1"/>
  <c r="V201" i="4" s="1"/>
  <c r="W201" i="4" s="1"/>
  <c r="X201" i="4" s="1"/>
  <c r="Y201" i="4" s="1"/>
  <c r="Z201" i="4" s="1"/>
  <c r="AA201" i="4" s="1"/>
  <c r="AB201" i="4" s="1"/>
  <c r="AC201" i="4" s="1"/>
  <c r="AD201" i="4" s="1"/>
  <c r="AE201" i="4" s="1"/>
  <c r="AF201" i="4" s="1"/>
  <c r="AG201" i="4" s="1"/>
  <c r="AH201" i="4" s="1"/>
  <c r="AI201" i="4" s="1"/>
  <c r="AJ201" i="4" s="1"/>
  <c r="AK201" i="4" s="1"/>
  <c r="AL201" i="4" s="1"/>
  <c r="AM201" i="4" s="1"/>
  <c r="AN201" i="4" s="1"/>
  <c r="AO201" i="4" s="1"/>
  <c r="AP201" i="4" s="1"/>
  <c r="AQ201" i="4" s="1"/>
  <c r="AR201" i="4" s="1"/>
  <c r="AS201" i="4" s="1"/>
  <c r="AT201" i="4" s="1"/>
  <c r="AU201" i="4" s="1"/>
  <c r="AV201" i="4" s="1"/>
  <c r="AW201" i="4" s="1"/>
  <c r="AX201" i="4" s="1"/>
  <c r="AY201" i="4" s="1"/>
  <c r="AZ201" i="4" s="1"/>
  <c r="BA201" i="4" s="1"/>
  <c r="BB201" i="4" s="1"/>
  <c r="BC201" i="4" s="1"/>
  <c r="BD201" i="4" s="1"/>
  <c r="BE201" i="4" s="1"/>
  <c r="BF201" i="4" s="1"/>
  <c r="BG201" i="4" s="1"/>
  <c r="BH201" i="4" s="1"/>
  <c r="BI201" i="4" s="1"/>
  <c r="BJ201" i="4" s="1"/>
  <c r="BK201" i="4" s="1"/>
  <c r="BL201" i="4" s="1"/>
  <c r="BM201" i="4" s="1"/>
  <c r="BN201" i="4" s="1"/>
  <c r="BO201" i="4" s="1"/>
  <c r="BP201" i="4" s="1"/>
  <c r="B200" i="4"/>
  <c r="C200" i="4" s="1"/>
  <c r="D200" i="4" s="1"/>
  <c r="E200" i="4" s="1"/>
  <c r="F200" i="4" s="1"/>
  <c r="G200" i="4" s="1"/>
  <c r="H200" i="4" s="1"/>
  <c r="I200" i="4" s="1"/>
  <c r="J200" i="4" s="1"/>
  <c r="K200" i="4" s="1"/>
  <c r="L200" i="4" s="1"/>
  <c r="M200" i="4" s="1"/>
  <c r="N200" i="4" s="1"/>
  <c r="O200" i="4" s="1"/>
  <c r="P200" i="4" s="1"/>
  <c r="Q200" i="4" s="1"/>
  <c r="R200" i="4" s="1"/>
  <c r="S200" i="4" s="1"/>
  <c r="T200" i="4" s="1"/>
  <c r="U200" i="4" s="1"/>
  <c r="V200" i="4" s="1"/>
  <c r="W200" i="4" s="1"/>
  <c r="X200" i="4" s="1"/>
  <c r="Y200" i="4" s="1"/>
  <c r="Z200" i="4" s="1"/>
  <c r="AA200" i="4" s="1"/>
  <c r="AB200" i="4" s="1"/>
  <c r="AC200" i="4" s="1"/>
  <c r="AD200" i="4" s="1"/>
  <c r="AE200" i="4" s="1"/>
  <c r="AF200" i="4" s="1"/>
  <c r="AG200" i="4" s="1"/>
  <c r="AH200" i="4" s="1"/>
  <c r="AI200" i="4" s="1"/>
  <c r="AJ200" i="4" s="1"/>
  <c r="AK200" i="4" s="1"/>
  <c r="AL200" i="4" s="1"/>
  <c r="AM200" i="4" s="1"/>
  <c r="AN200" i="4" s="1"/>
  <c r="AO200" i="4" s="1"/>
  <c r="AP200" i="4" s="1"/>
  <c r="AQ200" i="4" s="1"/>
  <c r="AR200" i="4" s="1"/>
  <c r="AS200" i="4" s="1"/>
  <c r="AT200" i="4" s="1"/>
  <c r="AU200" i="4" s="1"/>
  <c r="AV200" i="4" s="1"/>
  <c r="AW200" i="4" s="1"/>
  <c r="AX200" i="4" s="1"/>
  <c r="AY200" i="4" s="1"/>
  <c r="AZ200" i="4" s="1"/>
  <c r="BA200" i="4" s="1"/>
  <c r="BB200" i="4" s="1"/>
  <c r="BC200" i="4" s="1"/>
  <c r="BD200" i="4" s="1"/>
  <c r="BE200" i="4" s="1"/>
  <c r="BF200" i="4" s="1"/>
  <c r="BG200" i="4" s="1"/>
  <c r="BH200" i="4" s="1"/>
  <c r="BI200" i="4" s="1"/>
  <c r="BJ200" i="4" s="1"/>
  <c r="BK200" i="4" s="1"/>
  <c r="BL200" i="4" s="1"/>
  <c r="BM200" i="4" s="1"/>
  <c r="BN200" i="4" s="1"/>
  <c r="BO200" i="4" s="1"/>
  <c r="BP200" i="4" s="1"/>
  <c r="B199" i="4"/>
  <c r="C199" i="4" s="1"/>
  <c r="D199" i="4" s="1"/>
  <c r="E199" i="4" s="1"/>
  <c r="F199" i="4" s="1"/>
  <c r="G199" i="4" s="1"/>
  <c r="H199" i="4" s="1"/>
  <c r="I199" i="4" s="1"/>
  <c r="J199" i="4" s="1"/>
  <c r="K199" i="4" s="1"/>
  <c r="L199" i="4" s="1"/>
  <c r="M199" i="4" s="1"/>
  <c r="N199" i="4" s="1"/>
  <c r="O199" i="4" s="1"/>
  <c r="P199" i="4" s="1"/>
  <c r="Q199" i="4" s="1"/>
  <c r="R199" i="4" s="1"/>
  <c r="S199" i="4" s="1"/>
  <c r="T199" i="4" s="1"/>
  <c r="U199" i="4" s="1"/>
  <c r="V199" i="4" s="1"/>
  <c r="W199" i="4" s="1"/>
  <c r="X199" i="4" s="1"/>
  <c r="Y199" i="4" s="1"/>
  <c r="Z199" i="4" s="1"/>
  <c r="AA199" i="4" s="1"/>
  <c r="AB199" i="4" s="1"/>
  <c r="AC199" i="4" s="1"/>
  <c r="AD199" i="4" s="1"/>
  <c r="AE199" i="4" s="1"/>
  <c r="AF199" i="4" s="1"/>
  <c r="AG199" i="4" s="1"/>
  <c r="AH199" i="4" s="1"/>
  <c r="AI199" i="4" s="1"/>
  <c r="AJ199" i="4" s="1"/>
  <c r="AK199" i="4" s="1"/>
  <c r="AL199" i="4" s="1"/>
  <c r="AM199" i="4" s="1"/>
  <c r="AN199" i="4" s="1"/>
  <c r="AO199" i="4" s="1"/>
  <c r="AP199" i="4" s="1"/>
  <c r="AQ199" i="4" s="1"/>
  <c r="AR199" i="4" s="1"/>
  <c r="AS199" i="4" s="1"/>
  <c r="AT199" i="4" s="1"/>
  <c r="AU199" i="4" s="1"/>
  <c r="AV199" i="4" s="1"/>
  <c r="AW199" i="4" s="1"/>
  <c r="AX199" i="4" s="1"/>
  <c r="AY199" i="4" s="1"/>
  <c r="AZ199" i="4" s="1"/>
  <c r="BA199" i="4" s="1"/>
  <c r="BB199" i="4" s="1"/>
  <c r="BC199" i="4" s="1"/>
  <c r="BD199" i="4" s="1"/>
  <c r="BE199" i="4" s="1"/>
  <c r="BF199" i="4" s="1"/>
  <c r="BG199" i="4" s="1"/>
  <c r="BH199" i="4" s="1"/>
  <c r="BI199" i="4" s="1"/>
  <c r="BJ199" i="4" s="1"/>
  <c r="BK199" i="4" s="1"/>
  <c r="BL199" i="4" s="1"/>
  <c r="BM199" i="4" s="1"/>
  <c r="BN199" i="4" s="1"/>
  <c r="BO199" i="4" s="1"/>
  <c r="BP199" i="4" s="1"/>
  <c r="B198" i="4"/>
  <c r="C198" i="4" s="1"/>
  <c r="D198" i="4" s="1"/>
  <c r="E198" i="4" s="1"/>
  <c r="F198" i="4" s="1"/>
  <c r="G198" i="4" s="1"/>
  <c r="H198" i="4" s="1"/>
  <c r="I198" i="4" s="1"/>
  <c r="J198" i="4" s="1"/>
  <c r="K198" i="4" s="1"/>
  <c r="L198" i="4" s="1"/>
  <c r="M198" i="4" s="1"/>
  <c r="N198" i="4" s="1"/>
  <c r="O198" i="4" s="1"/>
  <c r="P198" i="4" s="1"/>
  <c r="Q198" i="4" s="1"/>
  <c r="R198" i="4" s="1"/>
  <c r="S198" i="4" s="1"/>
  <c r="T198" i="4" s="1"/>
  <c r="U198" i="4" s="1"/>
  <c r="V198" i="4" s="1"/>
  <c r="W198" i="4" s="1"/>
  <c r="X198" i="4" s="1"/>
  <c r="Y198" i="4" s="1"/>
  <c r="Z198" i="4" s="1"/>
  <c r="AA198" i="4" s="1"/>
  <c r="AB198" i="4" s="1"/>
  <c r="AC198" i="4" s="1"/>
  <c r="AD198" i="4" s="1"/>
  <c r="AE198" i="4" s="1"/>
  <c r="AF198" i="4" s="1"/>
  <c r="AG198" i="4" s="1"/>
  <c r="AH198" i="4" s="1"/>
  <c r="AI198" i="4" s="1"/>
  <c r="AJ198" i="4" s="1"/>
  <c r="AK198" i="4" s="1"/>
  <c r="AL198" i="4" s="1"/>
  <c r="AM198" i="4" s="1"/>
  <c r="AN198" i="4" s="1"/>
  <c r="AO198" i="4" s="1"/>
  <c r="AP198" i="4" s="1"/>
  <c r="AQ198" i="4" s="1"/>
  <c r="AR198" i="4" s="1"/>
  <c r="AS198" i="4" s="1"/>
  <c r="AT198" i="4" s="1"/>
  <c r="AU198" i="4" s="1"/>
  <c r="AV198" i="4" s="1"/>
  <c r="AW198" i="4" s="1"/>
  <c r="AX198" i="4" s="1"/>
  <c r="AY198" i="4" s="1"/>
  <c r="AZ198" i="4" s="1"/>
  <c r="BA198" i="4" s="1"/>
  <c r="BB198" i="4" s="1"/>
  <c r="BC198" i="4" s="1"/>
  <c r="BD198" i="4" s="1"/>
  <c r="BE198" i="4" s="1"/>
  <c r="BF198" i="4" s="1"/>
  <c r="BG198" i="4" s="1"/>
  <c r="BH198" i="4" s="1"/>
  <c r="BI198" i="4" s="1"/>
  <c r="BJ198" i="4" s="1"/>
  <c r="BK198" i="4" s="1"/>
  <c r="BL198" i="4" s="1"/>
  <c r="BM198" i="4" s="1"/>
  <c r="BN198" i="4" s="1"/>
  <c r="BO198" i="4" s="1"/>
  <c r="BP198" i="4" s="1"/>
  <c r="B197" i="4"/>
  <c r="C197" i="4" s="1"/>
  <c r="D197" i="4" s="1"/>
  <c r="E197" i="4" s="1"/>
  <c r="F197" i="4" s="1"/>
  <c r="G197" i="4" s="1"/>
  <c r="H197" i="4" s="1"/>
  <c r="I197" i="4" s="1"/>
  <c r="J197" i="4" s="1"/>
  <c r="K197" i="4" s="1"/>
  <c r="L197" i="4" s="1"/>
  <c r="M197" i="4" s="1"/>
  <c r="N197" i="4" s="1"/>
  <c r="O197" i="4" s="1"/>
  <c r="P197" i="4" s="1"/>
  <c r="Q197" i="4" s="1"/>
  <c r="R197" i="4" s="1"/>
  <c r="S197" i="4" s="1"/>
  <c r="T197" i="4" s="1"/>
  <c r="U197" i="4" s="1"/>
  <c r="V197" i="4" s="1"/>
  <c r="W197" i="4" s="1"/>
  <c r="X197" i="4" s="1"/>
  <c r="Y197" i="4" s="1"/>
  <c r="Z197" i="4" s="1"/>
  <c r="AA197" i="4" s="1"/>
  <c r="AB197" i="4" s="1"/>
  <c r="AC197" i="4" s="1"/>
  <c r="AD197" i="4" s="1"/>
  <c r="AE197" i="4" s="1"/>
  <c r="AF197" i="4" s="1"/>
  <c r="AG197" i="4" s="1"/>
  <c r="AH197" i="4" s="1"/>
  <c r="AI197" i="4" s="1"/>
  <c r="AJ197" i="4" s="1"/>
  <c r="AK197" i="4" s="1"/>
  <c r="AL197" i="4" s="1"/>
  <c r="AM197" i="4" s="1"/>
  <c r="AN197" i="4" s="1"/>
  <c r="AO197" i="4" s="1"/>
  <c r="AP197" i="4" s="1"/>
  <c r="AQ197" i="4" s="1"/>
  <c r="AR197" i="4" s="1"/>
  <c r="AS197" i="4" s="1"/>
  <c r="AT197" i="4" s="1"/>
  <c r="AU197" i="4" s="1"/>
  <c r="AV197" i="4" s="1"/>
  <c r="AW197" i="4" s="1"/>
  <c r="AX197" i="4" s="1"/>
  <c r="AY197" i="4" s="1"/>
  <c r="AZ197" i="4" s="1"/>
  <c r="BA197" i="4" s="1"/>
  <c r="BB197" i="4" s="1"/>
  <c r="BC197" i="4" s="1"/>
  <c r="BD197" i="4" s="1"/>
  <c r="BE197" i="4" s="1"/>
  <c r="BF197" i="4" s="1"/>
  <c r="BG197" i="4" s="1"/>
  <c r="BH197" i="4" s="1"/>
  <c r="BI197" i="4" s="1"/>
  <c r="BJ197" i="4" s="1"/>
  <c r="BK197" i="4" s="1"/>
  <c r="BL197" i="4" s="1"/>
  <c r="BM197" i="4" s="1"/>
  <c r="BN197" i="4" s="1"/>
  <c r="BO197" i="4" s="1"/>
  <c r="BP197" i="4" s="1"/>
  <c r="B196" i="4"/>
  <c r="C196" i="4" s="1"/>
  <c r="D196" i="4" s="1"/>
  <c r="E196" i="4" s="1"/>
  <c r="F196" i="4" s="1"/>
  <c r="G196" i="4" s="1"/>
  <c r="H196" i="4" s="1"/>
  <c r="I196" i="4" s="1"/>
  <c r="J196" i="4" s="1"/>
  <c r="K196" i="4" s="1"/>
  <c r="L196" i="4" s="1"/>
  <c r="M196" i="4" s="1"/>
  <c r="N196" i="4" s="1"/>
  <c r="O196" i="4" s="1"/>
  <c r="P196" i="4" s="1"/>
  <c r="Q196" i="4" s="1"/>
  <c r="R196" i="4" s="1"/>
  <c r="S196" i="4" s="1"/>
  <c r="T196" i="4" s="1"/>
  <c r="U196" i="4" s="1"/>
  <c r="V196" i="4" s="1"/>
  <c r="W196" i="4" s="1"/>
  <c r="X196" i="4" s="1"/>
  <c r="Y196" i="4" s="1"/>
  <c r="Z196" i="4" s="1"/>
  <c r="AA196" i="4" s="1"/>
  <c r="AB196" i="4" s="1"/>
  <c r="AC196" i="4" s="1"/>
  <c r="AD196" i="4" s="1"/>
  <c r="AE196" i="4" s="1"/>
  <c r="AF196" i="4" s="1"/>
  <c r="AG196" i="4" s="1"/>
  <c r="AH196" i="4" s="1"/>
  <c r="AI196" i="4" s="1"/>
  <c r="AJ196" i="4" s="1"/>
  <c r="AK196" i="4" s="1"/>
  <c r="AL196" i="4" s="1"/>
  <c r="AM196" i="4" s="1"/>
  <c r="AN196" i="4" s="1"/>
  <c r="AO196" i="4" s="1"/>
  <c r="AP196" i="4" s="1"/>
  <c r="AQ196" i="4" s="1"/>
  <c r="AR196" i="4" s="1"/>
  <c r="AS196" i="4" s="1"/>
  <c r="AT196" i="4" s="1"/>
  <c r="AU196" i="4" s="1"/>
  <c r="AV196" i="4" s="1"/>
  <c r="AW196" i="4" s="1"/>
  <c r="AX196" i="4" s="1"/>
  <c r="AY196" i="4" s="1"/>
  <c r="AZ196" i="4" s="1"/>
  <c r="BA196" i="4" s="1"/>
  <c r="BB196" i="4" s="1"/>
  <c r="BC196" i="4" s="1"/>
  <c r="BD196" i="4" s="1"/>
  <c r="BE196" i="4" s="1"/>
  <c r="BF196" i="4" s="1"/>
  <c r="BG196" i="4" s="1"/>
  <c r="BH196" i="4" s="1"/>
  <c r="BI196" i="4" s="1"/>
  <c r="BJ196" i="4" s="1"/>
  <c r="BK196" i="4" s="1"/>
  <c r="BL196" i="4" s="1"/>
  <c r="BM196" i="4" s="1"/>
  <c r="BN196" i="4" s="1"/>
  <c r="BO196" i="4" s="1"/>
  <c r="BP196" i="4" s="1"/>
  <c r="B195" i="4"/>
  <c r="C195" i="4" s="1"/>
  <c r="D195" i="4" s="1"/>
  <c r="E195" i="4" s="1"/>
  <c r="F195" i="4" s="1"/>
  <c r="G195" i="4" s="1"/>
  <c r="H195" i="4" s="1"/>
  <c r="I195" i="4" s="1"/>
  <c r="J195" i="4" s="1"/>
  <c r="K195" i="4" s="1"/>
  <c r="L195" i="4" s="1"/>
  <c r="M195" i="4" s="1"/>
  <c r="N195" i="4" s="1"/>
  <c r="O195" i="4" s="1"/>
  <c r="P195" i="4" s="1"/>
  <c r="Q195" i="4" s="1"/>
  <c r="R195" i="4" s="1"/>
  <c r="S195" i="4" s="1"/>
  <c r="T195" i="4" s="1"/>
  <c r="U195" i="4" s="1"/>
  <c r="V195" i="4" s="1"/>
  <c r="W195" i="4" s="1"/>
  <c r="X195" i="4" s="1"/>
  <c r="Y195" i="4" s="1"/>
  <c r="Z195" i="4" s="1"/>
  <c r="AA195" i="4" s="1"/>
  <c r="AB195" i="4" s="1"/>
  <c r="AC195" i="4" s="1"/>
  <c r="AD195" i="4" s="1"/>
  <c r="AE195" i="4" s="1"/>
  <c r="AF195" i="4" s="1"/>
  <c r="AG195" i="4" s="1"/>
  <c r="AH195" i="4" s="1"/>
  <c r="AI195" i="4" s="1"/>
  <c r="AJ195" i="4" s="1"/>
  <c r="AK195" i="4" s="1"/>
  <c r="AL195" i="4" s="1"/>
  <c r="AM195" i="4" s="1"/>
  <c r="AN195" i="4" s="1"/>
  <c r="AO195" i="4" s="1"/>
  <c r="AP195" i="4" s="1"/>
  <c r="AQ195" i="4" s="1"/>
  <c r="AR195" i="4" s="1"/>
  <c r="AS195" i="4" s="1"/>
  <c r="AT195" i="4" s="1"/>
  <c r="AU195" i="4" s="1"/>
  <c r="AV195" i="4" s="1"/>
  <c r="AW195" i="4" s="1"/>
  <c r="AX195" i="4" s="1"/>
  <c r="AY195" i="4" s="1"/>
  <c r="AZ195" i="4" s="1"/>
  <c r="BA195" i="4" s="1"/>
  <c r="BB195" i="4" s="1"/>
  <c r="BC195" i="4" s="1"/>
  <c r="BD195" i="4" s="1"/>
  <c r="BE195" i="4" s="1"/>
  <c r="BF195" i="4" s="1"/>
  <c r="BG195" i="4" s="1"/>
  <c r="BH195" i="4" s="1"/>
  <c r="BI195" i="4" s="1"/>
  <c r="BJ195" i="4" s="1"/>
  <c r="BK195" i="4" s="1"/>
  <c r="BL195" i="4" s="1"/>
  <c r="BM195" i="4" s="1"/>
  <c r="BN195" i="4" s="1"/>
  <c r="BO195" i="4" s="1"/>
  <c r="BP195" i="4" s="1"/>
  <c r="B194" i="4"/>
  <c r="C194" i="4" s="1"/>
  <c r="D194" i="4" s="1"/>
  <c r="E194" i="4" s="1"/>
  <c r="F194" i="4" s="1"/>
  <c r="G194" i="4" s="1"/>
  <c r="H194" i="4" s="1"/>
  <c r="I194" i="4" s="1"/>
  <c r="J194" i="4" s="1"/>
  <c r="K194" i="4" s="1"/>
  <c r="L194" i="4" s="1"/>
  <c r="M194" i="4" s="1"/>
  <c r="N194" i="4" s="1"/>
  <c r="O194" i="4" s="1"/>
  <c r="P194" i="4" s="1"/>
  <c r="Q194" i="4" s="1"/>
  <c r="R194" i="4" s="1"/>
  <c r="S194" i="4" s="1"/>
  <c r="T194" i="4" s="1"/>
  <c r="U194" i="4" s="1"/>
  <c r="V194" i="4" s="1"/>
  <c r="W194" i="4" s="1"/>
  <c r="X194" i="4" s="1"/>
  <c r="Y194" i="4" s="1"/>
  <c r="Z194" i="4" s="1"/>
  <c r="AA194" i="4" s="1"/>
  <c r="AB194" i="4" s="1"/>
  <c r="AC194" i="4" s="1"/>
  <c r="AD194" i="4" s="1"/>
  <c r="AE194" i="4" s="1"/>
  <c r="AF194" i="4" s="1"/>
  <c r="AG194" i="4" s="1"/>
  <c r="AH194" i="4" s="1"/>
  <c r="AI194" i="4" s="1"/>
  <c r="AJ194" i="4" s="1"/>
  <c r="AK194" i="4" s="1"/>
  <c r="AL194" i="4" s="1"/>
  <c r="AM194" i="4" s="1"/>
  <c r="AN194" i="4" s="1"/>
  <c r="AO194" i="4" s="1"/>
  <c r="AP194" i="4" s="1"/>
  <c r="AQ194" i="4" s="1"/>
  <c r="AR194" i="4" s="1"/>
  <c r="AS194" i="4" s="1"/>
  <c r="AT194" i="4" s="1"/>
  <c r="AU194" i="4" s="1"/>
  <c r="AV194" i="4" s="1"/>
  <c r="AW194" i="4" s="1"/>
  <c r="AX194" i="4" s="1"/>
  <c r="AY194" i="4" s="1"/>
  <c r="AZ194" i="4" s="1"/>
  <c r="BA194" i="4" s="1"/>
  <c r="BB194" i="4" s="1"/>
  <c r="BC194" i="4" s="1"/>
  <c r="BD194" i="4" s="1"/>
  <c r="BE194" i="4" s="1"/>
  <c r="BF194" i="4" s="1"/>
  <c r="BG194" i="4" s="1"/>
  <c r="BH194" i="4" s="1"/>
  <c r="BI194" i="4" s="1"/>
  <c r="BJ194" i="4" s="1"/>
  <c r="BK194" i="4" s="1"/>
  <c r="BL194" i="4" s="1"/>
  <c r="BM194" i="4" s="1"/>
  <c r="BN194" i="4" s="1"/>
  <c r="BO194" i="4" s="1"/>
  <c r="BP194" i="4" s="1"/>
  <c r="B193" i="4"/>
  <c r="C193" i="4" s="1"/>
  <c r="D193" i="4" s="1"/>
  <c r="E193" i="4" s="1"/>
  <c r="F193" i="4" s="1"/>
  <c r="G193" i="4" s="1"/>
  <c r="H193" i="4" s="1"/>
  <c r="I193" i="4" s="1"/>
  <c r="J193" i="4" s="1"/>
  <c r="K193" i="4" s="1"/>
  <c r="L193" i="4" s="1"/>
  <c r="M193" i="4" s="1"/>
  <c r="N193" i="4" s="1"/>
  <c r="O193" i="4" s="1"/>
  <c r="P193" i="4" s="1"/>
  <c r="Q193" i="4" s="1"/>
  <c r="R193" i="4" s="1"/>
  <c r="S193" i="4" s="1"/>
  <c r="T193" i="4" s="1"/>
  <c r="U193" i="4" s="1"/>
  <c r="V193" i="4" s="1"/>
  <c r="W193" i="4" s="1"/>
  <c r="X193" i="4" s="1"/>
  <c r="Y193" i="4" s="1"/>
  <c r="Z193" i="4" s="1"/>
  <c r="AA193" i="4" s="1"/>
  <c r="AB193" i="4" s="1"/>
  <c r="AC193" i="4" s="1"/>
  <c r="AD193" i="4" s="1"/>
  <c r="AE193" i="4" s="1"/>
  <c r="AF193" i="4" s="1"/>
  <c r="AG193" i="4" s="1"/>
  <c r="AH193" i="4" s="1"/>
  <c r="AI193" i="4" s="1"/>
  <c r="AJ193" i="4" s="1"/>
  <c r="AK193" i="4" s="1"/>
  <c r="AL193" i="4" s="1"/>
  <c r="AM193" i="4" s="1"/>
  <c r="AN193" i="4" s="1"/>
  <c r="AO193" i="4" s="1"/>
  <c r="AP193" i="4" s="1"/>
  <c r="AQ193" i="4" s="1"/>
  <c r="AR193" i="4" s="1"/>
  <c r="AS193" i="4" s="1"/>
  <c r="AT193" i="4" s="1"/>
  <c r="AU193" i="4" s="1"/>
  <c r="AV193" i="4" s="1"/>
  <c r="AW193" i="4" s="1"/>
  <c r="AX193" i="4" s="1"/>
  <c r="AY193" i="4" s="1"/>
  <c r="AZ193" i="4" s="1"/>
  <c r="BA193" i="4" s="1"/>
  <c r="BB193" i="4" s="1"/>
  <c r="BC193" i="4" s="1"/>
  <c r="BD193" i="4" s="1"/>
  <c r="BE193" i="4" s="1"/>
  <c r="BF193" i="4" s="1"/>
  <c r="BG193" i="4" s="1"/>
  <c r="BH193" i="4" s="1"/>
  <c r="BI193" i="4" s="1"/>
  <c r="BJ193" i="4" s="1"/>
  <c r="BK193" i="4" s="1"/>
  <c r="BL193" i="4" s="1"/>
  <c r="BM193" i="4" s="1"/>
  <c r="BN193" i="4" s="1"/>
  <c r="BO193" i="4" s="1"/>
  <c r="BP193" i="4" s="1"/>
  <c r="B192" i="4"/>
  <c r="C192" i="4" s="1"/>
  <c r="D192" i="4" s="1"/>
  <c r="E192" i="4" s="1"/>
  <c r="F192" i="4" s="1"/>
  <c r="G192" i="4" s="1"/>
  <c r="H192" i="4" s="1"/>
  <c r="I192" i="4" s="1"/>
  <c r="J192" i="4" s="1"/>
  <c r="K192" i="4" s="1"/>
  <c r="L192" i="4" s="1"/>
  <c r="M192" i="4" s="1"/>
  <c r="N192" i="4" s="1"/>
  <c r="O192" i="4" s="1"/>
  <c r="P192" i="4" s="1"/>
  <c r="Q192" i="4" s="1"/>
  <c r="R192" i="4" s="1"/>
  <c r="S192" i="4" s="1"/>
  <c r="T192" i="4" s="1"/>
  <c r="U192" i="4" s="1"/>
  <c r="V192" i="4" s="1"/>
  <c r="W192" i="4" s="1"/>
  <c r="X192" i="4" s="1"/>
  <c r="Y192" i="4" s="1"/>
  <c r="Z192" i="4" s="1"/>
  <c r="AA192" i="4" s="1"/>
  <c r="AB192" i="4" s="1"/>
  <c r="AC192" i="4" s="1"/>
  <c r="AD192" i="4" s="1"/>
  <c r="AE192" i="4" s="1"/>
  <c r="AF192" i="4" s="1"/>
  <c r="AG192" i="4" s="1"/>
  <c r="AH192" i="4" s="1"/>
  <c r="AI192" i="4" s="1"/>
  <c r="AJ192" i="4" s="1"/>
  <c r="AK192" i="4" s="1"/>
  <c r="AL192" i="4" s="1"/>
  <c r="AM192" i="4" s="1"/>
  <c r="AN192" i="4" s="1"/>
  <c r="AO192" i="4" s="1"/>
  <c r="AP192" i="4" s="1"/>
  <c r="AQ192" i="4" s="1"/>
  <c r="AR192" i="4" s="1"/>
  <c r="AS192" i="4" s="1"/>
  <c r="AT192" i="4" s="1"/>
  <c r="AU192" i="4" s="1"/>
  <c r="AV192" i="4" s="1"/>
  <c r="AW192" i="4" s="1"/>
  <c r="AX192" i="4" s="1"/>
  <c r="AY192" i="4" s="1"/>
  <c r="AZ192" i="4" s="1"/>
  <c r="BA192" i="4" s="1"/>
  <c r="BB192" i="4" s="1"/>
  <c r="BC192" i="4" s="1"/>
  <c r="BD192" i="4" s="1"/>
  <c r="BE192" i="4" s="1"/>
  <c r="BF192" i="4" s="1"/>
  <c r="BG192" i="4" s="1"/>
  <c r="BH192" i="4" s="1"/>
  <c r="BI192" i="4" s="1"/>
  <c r="BJ192" i="4" s="1"/>
  <c r="BK192" i="4" s="1"/>
  <c r="BL192" i="4" s="1"/>
  <c r="BM192" i="4" s="1"/>
  <c r="BN192" i="4" s="1"/>
  <c r="BO192" i="4" s="1"/>
  <c r="BP192" i="4" s="1"/>
  <c r="B191" i="4"/>
  <c r="C191" i="4" s="1"/>
  <c r="D191" i="4" s="1"/>
  <c r="E191" i="4" s="1"/>
  <c r="F191" i="4" s="1"/>
  <c r="G191" i="4" s="1"/>
  <c r="H191" i="4" s="1"/>
  <c r="I191" i="4" s="1"/>
  <c r="J191" i="4" s="1"/>
  <c r="K191" i="4" s="1"/>
  <c r="L191" i="4" s="1"/>
  <c r="M191" i="4" s="1"/>
  <c r="N191" i="4" s="1"/>
  <c r="O191" i="4" s="1"/>
  <c r="P191" i="4" s="1"/>
  <c r="Q191" i="4" s="1"/>
  <c r="R191" i="4" s="1"/>
  <c r="S191" i="4" s="1"/>
  <c r="T191" i="4" s="1"/>
  <c r="U191" i="4" s="1"/>
  <c r="V191" i="4" s="1"/>
  <c r="W191" i="4" s="1"/>
  <c r="X191" i="4" s="1"/>
  <c r="Y191" i="4" s="1"/>
  <c r="Z191" i="4" s="1"/>
  <c r="AA191" i="4" s="1"/>
  <c r="AB191" i="4" s="1"/>
  <c r="AC191" i="4" s="1"/>
  <c r="AD191" i="4" s="1"/>
  <c r="AE191" i="4" s="1"/>
  <c r="AF191" i="4" s="1"/>
  <c r="AG191" i="4" s="1"/>
  <c r="AH191" i="4" s="1"/>
  <c r="AI191" i="4" s="1"/>
  <c r="AJ191" i="4" s="1"/>
  <c r="AK191" i="4" s="1"/>
  <c r="AL191" i="4" s="1"/>
  <c r="AM191" i="4" s="1"/>
  <c r="AN191" i="4" s="1"/>
  <c r="AO191" i="4" s="1"/>
  <c r="AP191" i="4" s="1"/>
  <c r="AQ191" i="4" s="1"/>
  <c r="AR191" i="4" s="1"/>
  <c r="AS191" i="4" s="1"/>
  <c r="AT191" i="4" s="1"/>
  <c r="AU191" i="4" s="1"/>
  <c r="AV191" i="4" s="1"/>
  <c r="AW191" i="4" s="1"/>
  <c r="AX191" i="4" s="1"/>
  <c r="AY191" i="4" s="1"/>
  <c r="AZ191" i="4" s="1"/>
  <c r="BA191" i="4" s="1"/>
  <c r="BB191" i="4" s="1"/>
  <c r="BC191" i="4" s="1"/>
  <c r="BD191" i="4" s="1"/>
  <c r="BE191" i="4" s="1"/>
  <c r="BF191" i="4" s="1"/>
  <c r="BG191" i="4" s="1"/>
  <c r="BH191" i="4" s="1"/>
  <c r="BI191" i="4" s="1"/>
  <c r="BJ191" i="4" s="1"/>
  <c r="BK191" i="4" s="1"/>
  <c r="BL191" i="4" s="1"/>
  <c r="BM191" i="4" s="1"/>
  <c r="BN191" i="4" s="1"/>
  <c r="BO191" i="4" s="1"/>
  <c r="BP191" i="4" s="1"/>
  <c r="B190" i="4"/>
  <c r="C190" i="4" s="1"/>
  <c r="D190" i="4" s="1"/>
  <c r="E190" i="4" s="1"/>
  <c r="F190" i="4" s="1"/>
  <c r="G190" i="4" s="1"/>
  <c r="H190" i="4" s="1"/>
  <c r="I190" i="4" s="1"/>
  <c r="J190" i="4" s="1"/>
  <c r="K190" i="4" s="1"/>
  <c r="L190" i="4" s="1"/>
  <c r="M190" i="4" s="1"/>
  <c r="N190" i="4" s="1"/>
  <c r="O190" i="4" s="1"/>
  <c r="P190" i="4" s="1"/>
  <c r="Q190" i="4" s="1"/>
  <c r="R190" i="4" s="1"/>
  <c r="S190" i="4" s="1"/>
  <c r="T190" i="4" s="1"/>
  <c r="U190" i="4" s="1"/>
  <c r="V190" i="4" s="1"/>
  <c r="W190" i="4" s="1"/>
  <c r="X190" i="4" s="1"/>
  <c r="Y190" i="4" s="1"/>
  <c r="Z190" i="4" s="1"/>
  <c r="AA190" i="4" s="1"/>
  <c r="AB190" i="4" s="1"/>
  <c r="AC190" i="4" s="1"/>
  <c r="AD190" i="4" s="1"/>
  <c r="AE190" i="4" s="1"/>
  <c r="AF190" i="4" s="1"/>
  <c r="AG190" i="4" s="1"/>
  <c r="AH190" i="4" s="1"/>
  <c r="AI190" i="4" s="1"/>
  <c r="AJ190" i="4" s="1"/>
  <c r="AK190" i="4" s="1"/>
  <c r="AL190" i="4" s="1"/>
  <c r="AM190" i="4" s="1"/>
  <c r="AN190" i="4" s="1"/>
  <c r="AO190" i="4" s="1"/>
  <c r="AP190" i="4" s="1"/>
  <c r="AQ190" i="4" s="1"/>
  <c r="AR190" i="4" s="1"/>
  <c r="AS190" i="4" s="1"/>
  <c r="AT190" i="4" s="1"/>
  <c r="AU190" i="4" s="1"/>
  <c r="AV190" i="4" s="1"/>
  <c r="AW190" i="4" s="1"/>
  <c r="AX190" i="4" s="1"/>
  <c r="AY190" i="4" s="1"/>
  <c r="AZ190" i="4" s="1"/>
  <c r="BA190" i="4" s="1"/>
  <c r="BB190" i="4" s="1"/>
  <c r="BC190" i="4" s="1"/>
  <c r="BD190" i="4" s="1"/>
  <c r="BE190" i="4" s="1"/>
  <c r="BF190" i="4" s="1"/>
  <c r="BG190" i="4" s="1"/>
  <c r="BH190" i="4" s="1"/>
  <c r="BI190" i="4" s="1"/>
  <c r="BJ190" i="4" s="1"/>
  <c r="BK190" i="4" s="1"/>
  <c r="BL190" i="4" s="1"/>
  <c r="BM190" i="4" s="1"/>
  <c r="BN190" i="4" s="1"/>
  <c r="BO190" i="4" s="1"/>
  <c r="BP190" i="4" s="1"/>
  <c r="B189" i="4"/>
  <c r="C189" i="4" s="1"/>
  <c r="D189" i="4" s="1"/>
  <c r="E189" i="4" s="1"/>
  <c r="F189" i="4" s="1"/>
  <c r="G189" i="4" s="1"/>
  <c r="H189" i="4" s="1"/>
  <c r="I189" i="4" s="1"/>
  <c r="J189" i="4" s="1"/>
  <c r="K189" i="4" s="1"/>
  <c r="L189" i="4" s="1"/>
  <c r="M189" i="4" s="1"/>
  <c r="N189" i="4" s="1"/>
  <c r="O189" i="4" s="1"/>
  <c r="P189" i="4" s="1"/>
  <c r="Q189" i="4" s="1"/>
  <c r="R189" i="4" s="1"/>
  <c r="S189" i="4" s="1"/>
  <c r="T189" i="4" s="1"/>
  <c r="U189" i="4" s="1"/>
  <c r="V189" i="4" s="1"/>
  <c r="W189" i="4" s="1"/>
  <c r="X189" i="4" s="1"/>
  <c r="Y189" i="4" s="1"/>
  <c r="Z189" i="4" s="1"/>
  <c r="AA189" i="4" s="1"/>
  <c r="AB189" i="4" s="1"/>
  <c r="AC189" i="4" s="1"/>
  <c r="AD189" i="4" s="1"/>
  <c r="AE189" i="4" s="1"/>
  <c r="AF189" i="4" s="1"/>
  <c r="AG189" i="4" s="1"/>
  <c r="AH189" i="4" s="1"/>
  <c r="AI189" i="4" s="1"/>
  <c r="AJ189" i="4" s="1"/>
  <c r="AK189" i="4" s="1"/>
  <c r="AL189" i="4" s="1"/>
  <c r="AM189" i="4" s="1"/>
  <c r="AN189" i="4" s="1"/>
  <c r="AO189" i="4" s="1"/>
  <c r="AP189" i="4" s="1"/>
  <c r="AQ189" i="4" s="1"/>
  <c r="AR189" i="4" s="1"/>
  <c r="AS189" i="4" s="1"/>
  <c r="AT189" i="4" s="1"/>
  <c r="AU189" i="4" s="1"/>
  <c r="AV189" i="4" s="1"/>
  <c r="AW189" i="4" s="1"/>
  <c r="AX189" i="4" s="1"/>
  <c r="AY189" i="4" s="1"/>
  <c r="AZ189" i="4" s="1"/>
  <c r="BA189" i="4" s="1"/>
  <c r="BB189" i="4" s="1"/>
  <c r="BC189" i="4" s="1"/>
  <c r="BD189" i="4" s="1"/>
  <c r="BE189" i="4" s="1"/>
  <c r="BF189" i="4" s="1"/>
  <c r="BG189" i="4" s="1"/>
  <c r="BH189" i="4" s="1"/>
  <c r="BI189" i="4" s="1"/>
  <c r="BJ189" i="4" s="1"/>
  <c r="BK189" i="4" s="1"/>
  <c r="BL189" i="4" s="1"/>
  <c r="BM189" i="4" s="1"/>
  <c r="BN189" i="4" s="1"/>
  <c r="BO189" i="4" s="1"/>
  <c r="BP189" i="4" s="1"/>
  <c r="B188" i="4"/>
  <c r="C188" i="4" s="1"/>
  <c r="D188" i="4" s="1"/>
  <c r="E188" i="4" s="1"/>
  <c r="F188" i="4" s="1"/>
  <c r="G188" i="4" s="1"/>
  <c r="H188" i="4" s="1"/>
  <c r="I188" i="4" s="1"/>
  <c r="J188" i="4" s="1"/>
  <c r="K188" i="4" s="1"/>
  <c r="L188" i="4" s="1"/>
  <c r="M188" i="4" s="1"/>
  <c r="N188" i="4" s="1"/>
  <c r="O188" i="4" s="1"/>
  <c r="P188" i="4" s="1"/>
  <c r="Q188" i="4" s="1"/>
  <c r="R188" i="4" s="1"/>
  <c r="S188" i="4" s="1"/>
  <c r="T188" i="4" s="1"/>
  <c r="U188" i="4" s="1"/>
  <c r="V188" i="4" s="1"/>
  <c r="W188" i="4" s="1"/>
  <c r="X188" i="4" s="1"/>
  <c r="Y188" i="4" s="1"/>
  <c r="Z188" i="4" s="1"/>
  <c r="AA188" i="4" s="1"/>
  <c r="AB188" i="4" s="1"/>
  <c r="AC188" i="4" s="1"/>
  <c r="AD188" i="4" s="1"/>
  <c r="AE188" i="4" s="1"/>
  <c r="AF188" i="4" s="1"/>
  <c r="AG188" i="4" s="1"/>
  <c r="AH188" i="4" s="1"/>
  <c r="AI188" i="4" s="1"/>
  <c r="AJ188" i="4" s="1"/>
  <c r="AK188" i="4" s="1"/>
  <c r="AL188" i="4" s="1"/>
  <c r="AM188" i="4" s="1"/>
  <c r="AN188" i="4" s="1"/>
  <c r="AO188" i="4" s="1"/>
  <c r="AP188" i="4" s="1"/>
  <c r="AQ188" i="4" s="1"/>
  <c r="AR188" i="4" s="1"/>
  <c r="AS188" i="4" s="1"/>
  <c r="AT188" i="4" s="1"/>
  <c r="AU188" i="4" s="1"/>
  <c r="AV188" i="4" s="1"/>
  <c r="AW188" i="4" s="1"/>
  <c r="AX188" i="4" s="1"/>
  <c r="AY188" i="4" s="1"/>
  <c r="AZ188" i="4" s="1"/>
  <c r="BA188" i="4" s="1"/>
  <c r="BB188" i="4" s="1"/>
  <c r="BC188" i="4" s="1"/>
  <c r="BD188" i="4" s="1"/>
  <c r="BE188" i="4" s="1"/>
  <c r="BF188" i="4" s="1"/>
  <c r="BG188" i="4" s="1"/>
  <c r="BH188" i="4" s="1"/>
  <c r="BI188" i="4" s="1"/>
  <c r="BJ188" i="4" s="1"/>
  <c r="BK188" i="4" s="1"/>
  <c r="BL188" i="4" s="1"/>
  <c r="BM188" i="4" s="1"/>
  <c r="BN188" i="4" s="1"/>
  <c r="BO188" i="4" s="1"/>
  <c r="BP188" i="4" s="1"/>
  <c r="B187" i="4"/>
  <c r="C187" i="4" s="1"/>
  <c r="D187" i="4" s="1"/>
  <c r="E187" i="4" s="1"/>
  <c r="F187" i="4" s="1"/>
  <c r="G187" i="4" s="1"/>
  <c r="H187" i="4" s="1"/>
  <c r="I187" i="4" s="1"/>
  <c r="J187" i="4" s="1"/>
  <c r="K187" i="4" s="1"/>
  <c r="L187" i="4" s="1"/>
  <c r="M187" i="4" s="1"/>
  <c r="N187" i="4" s="1"/>
  <c r="O187" i="4" s="1"/>
  <c r="P187" i="4" s="1"/>
  <c r="Q187" i="4" s="1"/>
  <c r="R187" i="4" s="1"/>
  <c r="S187" i="4" s="1"/>
  <c r="T187" i="4" s="1"/>
  <c r="U187" i="4" s="1"/>
  <c r="V187" i="4" s="1"/>
  <c r="W187" i="4" s="1"/>
  <c r="X187" i="4" s="1"/>
  <c r="Y187" i="4" s="1"/>
  <c r="Z187" i="4" s="1"/>
  <c r="AA187" i="4" s="1"/>
  <c r="AB187" i="4" s="1"/>
  <c r="AC187" i="4" s="1"/>
  <c r="AD187" i="4" s="1"/>
  <c r="AE187" i="4" s="1"/>
  <c r="AF187" i="4" s="1"/>
  <c r="AG187" i="4" s="1"/>
  <c r="AH187" i="4" s="1"/>
  <c r="AI187" i="4" s="1"/>
  <c r="AJ187" i="4" s="1"/>
  <c r="AK187" i="4" s="1"/>
  <c r="AL187" i="4" s="1"/>
  <c r="AM187" i="4" s="1"/>
  <c r="AN187" i="4" s="1"/>
  <c r="AO187" i="4" s="1"/>
  <c r="AP187" i="4" s="1"/>
  <c r="AQ187" i="4" s="1"/>
  <c r="AR187" i="4" s="1"/>
  <c r="AS187" i="4" s="1"/>
  <c r="AT187" i="4" s="1"/>
  <c r="AU187" i="4" s="1"/>
  <c r="AV187" i="4" s="1"/>
  <c r="AW187" i="4" s="1"/>
  <c r="AX187" i="4" s="1"/>
  <c r="AY187" i="4" s="1"/>
  <c r="AZ187" i="4" s="1"/>
  <c r="BA187" i="4" s="1"/>
  <c r="BB187" i="4" s="1"/>
  <c r="BC187" i="4" s="1"/>
  <c r="BD187" i="4" s="1"/>
  <c r="BE187" i="4" s="1"/>
  <c r="BF187" i="4" s="1"/>
  <c r="BG187" i="4" s="1"/>
  <c r="BH187" i="4" s="1"/>
  <c r="BI187" i="4" s="1"/>
  <c r="BJ187" i="4" s="1"/>
  <c r="BK187" i="4" s="1"/>
  <c r="BL187" i="4" s="1"/>
  <c r="BM187" i="4" s="1"/>
  <c r="BN187" i="4" s="1"/>
  <c r="BO187" i="4" s="1"/>
  <c r="BP187" i="4" s="1"/>
  <c r="B186" i="4"/>
  <c r="C186" i="4" s="1"/>
  <c r="D186" i="4" s="1"/>
  <c r="E186" i="4" s="1"/>
  <c r="F186" i="4" s="1"/>
  <c r="G186" i="4" s="1"/>
  <c r="H186" i="4" s="1"/>
  <c r="I186" i="4" s="1"/>
  <c r="J186" i="4" s="1"/>
  <c r="K186" i="4" s="1"/>
  <c r="L186" i="4" s="1"/>
  <c r="M186" i="4" s="1"/>
  <c r="N186" i="4" s="1"/>
  <c r="O186" i="4" s="1"/>
  <c r="P186" i="4" s="1"/>
  <c r="Q186" i="4" s="1"/>
  <c r="R186" i="4" s="1"/>
  <c r="S186" i="4" s="1"/>
  <c r="T186" i="4" s="1"/>
  <c r="U186" i="4" s="1"/>
  <c r="V186" i="4" s="1"/>
  <c r="W186" i="4" s="1"/>
  <c r="X186" i="4" s="1"/>
  <c r="Y186" i="4" s="1"/>
  <c r="Z186" i="4" s="1"/>
  <c r="AA186" i="4" s="1"/>
  <c r="AB186" i="4" s="1"/>
  <c r="AC186" i="4" s="1"/>
  <c r="AD186" i="4" s="1"/>
  <c r="AE186" i="4" s="1"/>
  <c r="AF186" i="4" s="1"/>
  <c r="AG186" i="4" s="1"/>
  <c r="AH186" i="4" s="1"/>
  <c r="AI186" i="4" s="1"/>
  <c r="AJ186" i="4" s="1"/>
  <c r="AK186" i="4" s="1"/>
  <c r="AL186" i="4" s="1"/>
  <c r="AM186" i="4" s="1"/>
  <c r="AN186" i="4" s="1"/>
  <c r="AO186" i="4" s="1"/>
  <c r="AP186" i="4" s="1"/>
  <c r="AQ186" i="4" s="1"/>
  <c r="AR186" i="4" s="1"/>
  <c r="AS186" i="4" s="1"/>
  <c r="AT186" i="4" s="1"/>
  <c r="AU186" i="4" s="1"/>
  <c r="AV186" i="4" s="1"/>
  <c r="AW186" i="4" s="1"/>
  <c r="AX186" i="4" s="1"/>
  <c r="AY186" i="4" s="1"/>
  <c r="AZ186" i="4" s="1"/>
  <c r="BA186" i="4" s="1"/>
  <c r="BB186" i="4" s="1"/>
  <c r="BC186" i="4" s="1"/>
  <c r="BD186" i="4" s="1"/>
  <c r="BE186" i="4" s="1"/>
  <c r="BF186" i="4" s="1"/>
  <c r="BG186" i="4" s="1"/>
  <c r="BH186" i="4" s="1"/>
  <c r="BI186" i="4" s="1"/>
  <c r="BJ186" i="4" s="1"/>
  <c r="BK186" i="4" s="1"/>
  <c r="BL186" i="4" s="1"/>
  <c r="BM186" i="4" s="1"/>
  <c r="BN186" i="4" s="1"/>
  <c r="BO186" i="4" s="1"/>
  <c r="BP186" i="4" s="1"/>
  <c r="B185" i="4"/>
  <c r="C185" i="4" s="1"/>
  <c r="D185" i="4" s="1"/>
  <c r="E185" i="4" s="1"/>
  <c r="F185" i="4" s="1"/>
  <c r="G185" i="4" s="1"/>
  <c r="H185" i="4" s="1"/>
  <c r="I185" i="4" s="1"/>
  <c r="J185" i="4" s="1"/>
  <c r="K185" i="4" s="1"/>
  <c r="L185" i="4" s="1"/>
  <c r="M185" i="4" s="1"/>
  <c r="N185" i="4" s="1"/>
  <c r="O185" i="4" s="1"/>
  <c r="P185" i="4" s="1"/>
  <c r="Q185" i="4" s="1"/>
  <c r="R185" i="4" s="1"/>
  <c r="S185" i="4" s="1"/>
  <c r="T185" i="4" s="1"/>
  <c r="U185" i="4" s="1"/>
  <c r="V185" i="4" s="1"/>
  <c r="W185" i="4" s="1"/>
  <c r="X185" i="4" s="1"/>
  <c r="Y185" i="4" s="1"/>
  <c r="Z185" i="4" s="1"/>
  <c r="AA185" i="4" s="1"/>
  <c r="AB185" i="4" s="1"/>
  <c r="AC185" i="4" s="1"/>
  <c r="AD185" i="4" s="1"/>
  <c r="AE185" i="4" s="1"/>
  <c r="AF185" i="4" s="1"/>
  <c r="AG185" i="4" s="1"/>
  <c r="AH185" i="4" s="1"/>
  <c r="AI185" i="4" s="1"/>
  <c r="AJ185" i="4" s="1"/>
  <c r="AK185" i="4" s="1"/>
  <c r="AL185" i="4" s="1"/>
  <c r="AM185" i="4" s="1"/>
  <c r="AN185" i="4" s="1"/>
  <c r="AO185" i="4" s="1"/>
  <c r="AP185" i="4" s="1"/>
  <c r="AQ185" i="4" s="1"/>
  <c r="AR185" i="4" s="1"/>
  <c r="AS185" i="4" s="1"/>
  <c r="AT185" i="4" s="1"/>
  <c r="AU185" i="4" s="1"/>
  <c r="AV185" i="4" s="1"/>
  <c r="AW185" i="4" s="1"/>
  <c r="AX185" i="4" s="1"/>
  <c r="AY185" i="4" s="1"/>
  <c r="AZ185" i="4" s="1"/>
  <c r="BA185" i="4" s="1"/>
  <c r="BB185" i="4" s="1"/>
  <c r="BC185" i="4" s="1"/>
  <c r="BD185" i="4" s="1"/>
  <c r="BE185" i="4" s="1"/>
  <c r="BF185" i="4" s="1"/>
  <c r="BG185" i="4" s="1"/>
  <c r="BH185" i="4" s="1"/>
  <c r="BI185" i="4" s="1"/>
  <c r="BJ185" i="4" s="1"/>
  <c r="BK185" i="4" s="1"/>
  <c r="BL185" i="4" s="1"/>
  <c r="BM185" i="4" s="1"/>
  <c r="BN185" i="4" s="1"/>
  <c r="BO185" i="4" s="1"/>
  <c r="BP185" i="4" s="1"/>
  <c r="B184" i="4"/>
  <c r="C184" i="4" s="1"/>
  <c r="D184" i="4" s="1"/>
  <c r="E184" i="4" s="1"/>
  <c r="F184" i="4" s="1"/>
  <c r="G184" i="4" s="1"/>
  <c r="H184" i="4" s="1"/>
  <c r="I184" i="4" s="1"/>
  <c r="J184" i="4" s="1"/>
  <c r="K184" i="4" s="1"/>
  <c r="L184" i="4" s="1"/>
  <c r="M184" i="4" s="1"/>
  <c r="N184" i="4" s="1"/>
  <c r="O184" i="4" s="1"/>
  <c r="P184" i="4" s="1"/>
  <c r="Q184" i="4" s="1"/>
  <c r="R184" i="4" s="1"/>
  <c r="S184" i="4" s="1"/>
  <c r="T184" i="4" s="1"/>
  <c r="U184" i="4" s="1"/>
  <c r="V184" i="4" s="1"/>
  <c r="W184" i="4" s="1"/>
  <c r="X184" i="4" s="1"/>
  <c r="Y184" i="4" s="1"/>
  <c r="Z184" i="4" s="1"/>
  <c r="AA184" i="4" s="1"/>
  <c r="AB184" i="4" s="1"/>
  <c r="AC184" i="4" s="1"/>
  <c r="AD184" i="4" s="1"/>
  <c r="AE184" i="4" s="1"/>
  <c r="AF184" i="4" s="1"/>
  <c r="AG184" i="4" s="1"/>
  <c r="AH184" i="4" s="1"/>
  <c r="AI184" i="4" s="1"/>
  <c r="AJ184" i="4" s="1"/>
  <c r="AK184" i="4" s="1"/>
  <c r="AL184" i="4" s="1"/>
  <c r="AM184" i="4" s="1"/>
  <c r="AN184" i="4" s="1"/>
  <c r="AO184" i="4" s="1"/>
  <c r="AP184" i="4" s="1"/>
  <c r="AQ184" i="4" s="1"/>
  <c r="AR184" i="4" s="1"/>
  <c r="AS184" i="4" s="1"/>
  <c r="AT184" i="4" s="1"/>
  <c r="AU184" i="4" s="1"/>
  <c r="AV184" i="4" s="1"/>
  <c r="AW184" i="4" s="1"/>
  <c r="AX184" i="4" s="1"/>
  <c r="AY184" i="4" s="1"/>
  <c r="AZ184" i="4" s="1"/>
  <c r="BA184" i="4" s="1"/>
  <c r="BB184" i="4" s="1"/>
  <c r="BC184" i="4" s="1"/>
  <c r="BD184" i="4" s="1"/>
  <c r="BE184" i="4" s="1"/>
  <c r="BF184" i="4" s="1"/>
  <c r="BG184" i="4" s="1"/>
  <c r="BH184" i="4" s="1"/>
  <c r="BI184" i="4" s="1"/>
  <c r="BJ184" i="4" s="1"/>
  <c r="BK184" i="4" s="1"/>
  <c r="BL184" i="4" s="1"/>
  <c r="BM184" i="4" s="1"/>
  <c r="BN184" i="4" s="1"/>
  <c r="BO184" i="4" s="1"/>
  <c r="BP184" i="4" s="1"/>
  <c r="B183" i="4"/>
  <c r="C183" i="4" s="1"/>
  <c r="D183" i="4" s="1"/>
  <c r="E183" i="4" s="1"/>
  <c r="F183" i="4" s="1"/>
  <c r="G183" i="4" s="1"/>
  <c r="H183" i="4" s="1"/>
  <c r="I183" i="4" s="1"/>
  <c r="J183" i="4" s="1"/>
  <c r="K183" i="4" s="1"/>
  <c r="L183" i="4" s="1"/>
  <c r="M183" i="4" s="1"/>
  <c r="N183" i="4" s="1"/>
  <c r="O183" i="4" s="1"/>
  <c r="P183" i="4" s="1"/>
  <c r="Q183" i="4" s="1"/>
  <c r="R183" i="4" s="1"/>
  <c r="S183" i="4" s="1"/>
  <c r="T183" i="4" s="1"/>
  <c r="U183" i="4" s="1"/>
  <c r="V183" i="4" s="1"/>
  <c r="W183" i="4" s="1"/>
  <c r="X183" i="4" s="1"/>
  <c r="Y183" i="4" s="1"/>
  <c r="Z183" i="4" s="1"/>
  <c r="AA183" i="4" s="1"/>
  <c r="AB183" i="4" s="1"/>
  <c r="AC183" i="4" s="1"/>
  <c r="AD183" i="4" s="1"/>
  <c r="AE183" i="4" s="1"/>
  <c r="AF183" i="4" s="1"/>
  <c r="AG183" i="4" s="1"/>
  <c r="AH183" i="4" s="1"/>
  <c r="AI183" i="4" s="1"/>
  <c r="AJ183" i="4" s="1"/>
  <c r="AK183" i="4" s="1"/>
  <c r="AL183" i="4" s="1"/>
  <c r="AM183" i="4" s="1"/>
  <c r="AN183" i="4" s="1"/>
  <c r="AO183" i="4" s="1"/>
  <c r="AP183" i="4" s="1"/>
  <c r="AQ183" i="4" s="1"/>
  <c r="AR183" i="4" s="1"/>
  <c r="AS183" i="4" s="1"/>
  <c r="AT183" i="4" s="1"/>
  <c r="AU183" i="4" s="1"/>
  <c r="AV183" i="4" s="1"/>
  <c r="AW183" i="4" s="1"/>
  <c r="AX183" i="4" s="1"/>
  <c r="AY183" i="4" s="1"/>
  <c r="AZ183" i="4" s="1"/>
  <c r="BA183" i="4" s="1"/>
  <c r="BB183" i="4" s="1"/>
  <c r="BC183" i="4" s="1"/>
  <c r="BD183" i="4" s="1"/>
  <c r="BE183" i="4" s="1"/>
  <c r="BF183" i="4" s="1"/>
  <c r="BG183" i="4" s="1"/>
  <c r="BH183" i="4" s="1"/>
  <c r="BI183" i="4" s="1"/>
  <c r="BJ183" i="4" s="1"/>
  <c r="BK183" i="4" s="1"/>
  <c r="BL183" i="4" s="1"/>
  <c r="BM183" i="4" s="1"/>
  <c r="BN183" i="4" s="1"/>
  <c r="BO183" i="4" s="1"/>
  <c r="BP183" i="4" s="1"/>
  <c r="B182" i="4"/>
  <c r="C182" i="4" s="1"/>
  <c r="D182" i="4" s="1"/>
  <c r="E182" i="4" s="1"/>
  <c r="F182" i="4" s="1"/>
  <c r="G182" i="4" s="1"/>
  <c r="H182" i="4" s="1"/>
  <c r="I182" i="4" s="1"/>
  <c r="J182" i="4" s="1"/>
  <c r="K182" i="4" s="1"/>
  <c r="L182" i="4" s="1"/>
  <c r="M182" i="4" s="1"/>
  <c r="N182" i="4" s="1"/>
  <c r="O182" i="4" s="1"/>
  <c r="P182" i="4" s="1"/>
  <c r="Q182" i="4" s="1"/>
  <c r="R182" i="4" s="1"/>
  <c r="S182" i="4" s="1"/>
  <c r="T182" i="4" s="1"/>
  <c r="U182" i="4" s="1"/>
  <c r="V182" i="4" s="1"/>
  <c r="W182" i="4" s="1"/>
  <c r="X182" i="4" s="1"/>
  <c r="Y182" i="4" s="1"/>
  <c r="Z182" i="4" s="1"/>
  <c r="AA182" i="4" s="1"/>
  <c r="AB182" i="4" s="1"/>
  <c r="AC182" i="4" s="1"/>
  <c r="AD182" i="4" s="1"/>
  <c r="AE182" i="4" s="1"/>
  <c r="AF182" i="4" s="1"/>
  <c r="AG182" i="4" s="1"/>
  <c r="AH182" i="4" s="1"/>
  <c r="AI182" i="4" s="1"/>
  <c r="AJ182" i="4" s="1"/>
  <c r="AK182" i="4" s="1"/>
  <c r="AL182" i="4" s="1"/>
  <c r="AM182" i="4" s="1"/>
  <c r="AN182" i="4" s="1"/>
  <c r="AO182" i="4" s="1"/>
  <c r="AP182" i="4" s="1"/>
  <c r="AQ182" i="4" s="1"/>
  <c r="AR182" i="4" s="1"/>
  <c r="AS182" i="4" s="1"/>
  <c r="AT182" i="4" s="1"/>
  <c r="AU182" i="4" s="1"/>
  <c r="AV182" i="4" s="1"/>
  <c r="AW182" i="4" s="1"/>
  <c r="AX182" i="4" s="1"/>
  <c r="AY182" i="4" s="1"/>
  <c r="AZ182" i="4" s="1"/>
  <c r="BA182" i="4" s="1"/>
  <c r="BB182" i="4" s="1"/>
  <c r="BC182" i="4" s="1"/>
  <c r="BD182" i="4" s="1"/>
  <c r="BE182" i="4" s="1"/>
  <c r="BF182" i="4" s="1"/>
  <c r="BG182" i="4" s="1"/>
  <c r="BH182" i="4" s="1"/>
  <c r="BI182" i="4" s="1"/>
  <c r="BJ182" i="4" s="1"/>
  <c r="BK182" i="4" s="1"/>
  <c r="BL182" i="4" s="1"/>
  <c r="BM182" i="4" s="1"/>
  <c r="BN182" i="4" s="1"/>
  <c r="BO182" i="4" s="1"/>
  <c r="BP182" i="4" s="1"/>
  <c r="B181" i="4"/>
  <c r="C181" i="4" s="1"/>
  <c r="D181" i="4" s="1"/>
  <c r="E181" i="4" s="1"/>
  <c r="F181" i="4" s="1"/>
  <c r="G181" i="4" s="1"/>
  <c r="H181" i="4" s="1"/>
  <c r="I181" i="4" s="1"/>
  <c r="J181" i="4" s="1"/>
  <c r="K181" i="4" s="1"/>
  <c r="L181" i="4" s="1"/>
  <c r="M181" i="4" s="1"/>
  <c r="N181" i="4" s="1"/>
  <c r="O181" i="4" s="1"/>
  <c r="P181" i="4" s="1"/>
  <c r="Q181" i="4" s="1"/>
  <c r="R181" i="4" s="1"/>
  <c r="S181" i="4" s="1"/>
  <c r="T181" i="4" s="1"/>
  <c r="U181" i="4" s="1"/>
  <c r="V181" i="4" s="1"/>
  <c r="W181" i="4" s="1"/>
  <c r="X181" i="4" s="1"/>
  <c r="Y181" i="4" s="1"/>
  <c r="Z181" i="4" s="1"/>
  <c r="AA181" i="4" s="1"/>
  <c r="AB181" i="4" s="1"/>
  <c r="AC181" i="4" s="1"/>
  <c r="AD181" i="4" s="1"/>
  <c r="AE181" i="4" s="1"/>
  <c r="AF181" i="4" s="1"/>
  <c r="AG181" i="4" s="1"/>
  <c r="AH181" i="4" s="1"/>
  <c r="AI181" i="4" s="1"/>
  <c r="AJ181" i="4" s="1"/>
  <c r="AK181" i="4" s="1"/>
  <c r="AL181" i="4" s="1"/>
  <c r="AM181" i="4" s="1"/>
  <c r="AN181" i="4" s="1"/>
  <c r="AO181" i="4" s="1"/>
  <c r="AP181" i="4" s="1"/>
  <c r="AQ181" i="4" s="1"/>
  <c r="AR181" i="4" s="1"/>
  <c r="AS181" i="4" s="1"/>
  <c r="AT181" i="4" s="1"/>
  <c r="AU181" i="4" s="1"/>
  <c r="AV181" i="4" s="1"/>
  <c r="AW181" i="4" s="1"/>
  <c r="AX181" i="4" s="1"/>
  <c r="AY181" i="4" s="1"/>
  <c r="AZ181" i="4" s="1"/>
  <c r="BA181" i="4" s="1"/>
  <c r="BB181" i="4" s="1"/>
  <c r="BC181" i="4" s="1"/>
  <c r="BD181" i="4" s="1"/>
  <c r="BE181" i="4" s="1"/>
  <c r="BF181" i="4" s="1"/>
  <c r="BG181" i="4" s="1"/>
  <c r="BH181" i="4" s="1"/>
  <c r="BI181" i="4" s="1"/>
  <c r="BJ181" i="4" s="1"/>
  <c r="BK181" i="4" s="1"/>
  <c r="BL181" i="4" s="1"/>
  <c r="BM181" i="4" s="1"/>
  <c r="BN181" i="4" s="1"/>
  <c r="BO181" i="4" s="1"/>
  <c r="BP181" i="4" s="1"/>
  <c r="B180" i="4"/>
  <c r="C180" i="4" s="1"/>
  <c r="D180" i="4" s="1"/>
  <c r="E180" i="4" s="1"/>
  <c r="F180" i="4" s="1"/>
  <c r="G180" i="4" s="1"/>
  <c r="H180" i="4" s="1"/>
  <c r="I180" i="4" s="1"/>
  <c r="J180" i="4" s="1"/>
  <c r="K180" i="4" s="1"/>
  <c r="L180" i="4" s="1"/>
  <c r="M180" i="4" s="1"/>
  <c r="N180" i="4" s="1"/>
  <c r="O180" i="4" s="1"/>
  <c r="P180" i="4" s="1"/>
  <c r="Q180" i="4" s="1"/>
  <c r="R180" i="4" s="1"/>
  <c r="S180" i="4" s="1"/>
  <c r="T180" i="4" s="1"/>
  <c r="U180" i="4" s="1"/>
  <c r="V180" i="4" s="1"/>
  <c r="W180" i="4" s="1"/>
  <c r="X180" i="4" s="1"/>
  <c r="Y180" i="4" s="1"/>
  <c r="Z180" i="4" s="1"/>
  <c r="AA180" i="4" s="1"/>
  <c r="AB180" i="4" s="1"/>
  <c r="AC180" i="4" s="1"/>
  <c r="AD180" i="4" s="1"/>
  <c r="AE180" i="4" s="1"/>
  <c r="AF180" i="4" s="1"/>
  <c r="AG180" i="4" s="1"/>
  <c r="AH180" i="4" s="1"/>
  <c r="AI180" i="4" s="1"/>
  <c r="AJ180" i="4" s="1"/>
  <c r="AK180" i="4" s="1"/>
  <c r="AL180" i="4" s="1"/>
  <c r="AM180" i="4" s="1"/>
  <c r="AN180" i="4" s="1"/>
  <c r="AO180" i="4" s="1"/>
  <c r="AP180" i="4" s="1"/>
  <c r="AQ180" i="4" s="1"/>
  <c r="AR180" i="4" s="1"/>
  <c r="AS180" i="4" s="1"/>
  <c r="AT180" i="4" s="1"/>
  <c r="AU180" i="4" s="1"/>
  <c r="AV180" i="4" s="1"/>
  <c r="AW180" i="4" s="1"/>
  <c r="AX180" i="4" s="1"/>
  <c r="AY180" i="4" s="1"/>
  <c r="AZ180" i="4" s="1"/>
  <c r="BA180" i="4" s="1"/>
  <c r="BB180" i="4" s="1"/>
  <c r="BC180" i="4" s="1"/>
  <c r="BD180" i="4" s="1"/>
  <c r="BE180" i="4" s="1"/>
  <c r="BF180" i="4" s="1"/>
  <c r="BG180" i="4" s="1"/>
  <c r="BH180" i="4" s="1"/>
  <c r="BI180" i="4" s="1"/>
  <c r="BJ180" i="4" s="1"/>
  <c r="BK180" i="4" s="1"/>
  <c r="BL180" i="4" s="1"/>
  <c r="BM180" i="4" s="1"/>
  <c r="BN180" i="4" s="1"/>
  <c r="BO180" i="4" s="1"/>
  <c r="BP180" i="4" s="1"/>
  <c r="B179" i="4"/>
  <c r="C179" i="4" s="1"/>
  <c r="D179" i="4" s="1"/>
  <c r="E179" i="4" s="1"/>
  <c r="F179" i="4" s="1"/>
  <c r="G179" i="4" s="1"/>
  <c r="H179" i="4" s="1"/>
  <c r="I179" i="4" s="1"/>
  <c r="J179" i="4" s="1"/>
  <c r="K179" i="4" s="1"/>
  <c r="L179" i="4" s="1"/>
  <c r="M179" i="4" s="1"/>
  <c r="N179" i="4" s="1"/>
  <c r="O179" i="4" s="1"/>
  <c r="P179" i="4" s="1"/>
  <c r="Q179" i="4" s="1"/>
  <c r="R179" i="4" s="1"/>
  <c r="S179" i="4" s="1"/>
  <c r="T179" i="4" s="1"/>
  <c r="U179" i="4" s="1"/>
  <c r="V179" i="4" s="1"/>
  <c r="W179" i="4" s="1"/>
  <c r="X179" i="4" s="1"/>
  <c r="Y179" i="4" s="1"/>
  <c r="Z179" i="4" s="1"/>
  <c r="AA179" i="4" s="1"/>
  <c r="AB179" i="4" s="1"/>
  <c r="AC179" i="4" s="1"/>
  <c r="AD179" i="4" s="1"/>
  <c r="AE179" i="4" s="1"/>
  <c r="AF179" i="4" s="1"/>
  <c r="AG179" i="4" s="1"/>
  <c r="AH179" i="4" s="1"/>
  <c r="AI179" i="4" s="1"/>
  <c r="AJ179" i="4" s="1"/>
  <c r="AK179" i="4" s="1"/>
  <c r="AL179" i="4" s="1"/>
  <c r="AM179" i="4" s="1"/>
  <c r="AN179" i="4" s="1"/>
  <c r="AO179" i="4" s="1"/>
  <c r="AP179" i="4" s="1"/>
  <c r="AQ179" i="4" s="1"/>
  <c r="AR179" i="4" s="1"/>
  <c r="AS179" i="4" s="1"/>
  <c r="AT179" i="4" s="1"/>
  <c r="AU179" i="4" s="1"/>
  <c r="AV179" i="4" s="1"/>
  <c r="AW179" i="4" s="1"/>
  <c r="AX179" i="4" s="1"/>
  <c r="AY179" i="4" s="1"/>
  <c r="AZ179" i="4" s="1"/>
  <c r="BA179" i="4" s="1"/>
  <c r="BB179" i="4" s="1"/>
  <c r="BC179" i="4" s="1"/>
  <c r="BD179" i="4" s="1"/>
  <c r="BE179" i="4" s="1"/>
  <c r="BF179" i="4" s="1"/>
  <c r="BG179" i="4" s="1"/>
  <c r="BH179" i="4" s="1"/>
  <c r="BI179" i="4" s="1"/>
  <c r="BJ179" i="4" s="1"/>
  <c r="BK179" i="4" s="1"/>
  <c r="BL179" i="4" s="1"/>
  <c r="BM179" i="4" s="1"/>
  <c r="BN179" i="4" s="1"/>
  <c r="BO179" i="4" s="1"/>
  <c r="BP179" i="4" s="1"/>
  <c r="B178" i="4"/>
  <c r="C178" i="4" s="1"/>
  <c r="D178" i="4" s="1"/>
  <c r="E178" i="4" s="1"/>
  <c r="F178" i="4" s="1"/>
  <c r="G178" i="4" s="1"/>
  <c r="H178" i="4" s="1"/>
  <c r="I178" i="4" s="1"/>
  <c r="J178" i="4" s="1"/>
  <c r="K178" i="4" s="1"/>
  <c r="L178" i="4" s="1"/>
  <c r="M178" i="4" s="1"/>
  <c r="N178" i="4" s="1"/>
  <c r="O178" i="4" s="1"/>
  <c r="P178" i="4" s="1"/>
  <c r="Q178" i="4" s="1"/>
  <c r="R178" i="4" s="1"/>
  <c r="S178" i="4" s="1"/>
  <c r="T178" i="4" s="1"/>
  <c r="U178" i="4" s="1"/>
  <c r="V178" i="4" s="1"/>
  <c r="W178" i="4" s="1"/>
  <c r="X178" i="4" s="1"/>
  <c r="Y178" i="4" s="1"/>
  <c r="Z178" i="4" s="1"/>
  <c r="AA178" i="4" s="1"/>
  <c r="AB178" i="4" s="1"/>
  <c r="AC178" i="4" s="1"/>
  <c r="AD178" i="4" s="1"/>
  <c r="AE178" i="4" s="1"/>
  <c r="AF178" i="4" s="1"/>
  <c r="AG178" i="4" s="1"/>
  <c r="AH178" i="4" s="1"/>
  <c r="AI178" i="4" s="1"/>
  <c r="AJ178" i="4" s="1"/>
  <c r="AK178" i="4" s="1"/>
  <c r="AL178" i="4" s="1"/>
  <c r="AM178" i="4" s="1"/>
  <c r="AN178" i="4" s="1"/>
  <c r="AO178" i="4" s="1"/>
  <c r="AP178" i="4" s="1"/>
  <c r="AQ178" i="4" s="1"/>
  <c r="AR178" i="4" s="1"/>
  <c r="AS178" i="4" s="1"/>
  <c r="AT178" i="4" s="1"/>
  <c r="AU178" i="4" s="1"/>
  <c r="AV178" i="4" s="1"/>
  <c r="AW178" i="4" s="1"/>
  <c r="AX178" i="4" s="1"/>
  <c r="AY178" i="4" s="1"/>
  <c r="AZ178" i="4" s="1"/>
  <c r="BA178" i="4" s="1"/>
  <c r="BB178" i="4" s="1"/>
  <c r="BC178" i="4" s="1"/>
  <c r="BD178" i="4" s="1"/>
  <c r="BE178" i="4" s="1"/>
  <c r="BF178" i="4" s="1"/>
  <c r="BG178" i="4" s="1"/>
  <c r="BH178" i="4" s="1"/>
  <c r="BI178" i="4" s="1"/>
  <c r="BJ178" i="4" s="1"/>
  <c r="BK178" i="4" s="1"/>
  <c r="BL178" i="4" s="1"/>
  <c r="BM178" i="4" s="1"/>
  <c r="BN178" i="4" s="1"/>
  <c r="BO178" i="4" s="1"/>
  <c r="BP178" i="4" s="1"/>
  <c r="B177" i="4"/>
  <c r="C177" i="4" s="1"/>
  <c r="D177" i="4" s="1"/>
  <c r="E177" i="4" s="1"/>
  <c r="F177" i="4" s="1"/>
  <c r="G177" i="4" s="1"/>
  <c r="H177" i="4" s="1"/>
  <c r="I177" i="4" s="1"/>
  <c r="J177" i="4" s="1"/>
  <c r="K177" i="4" s="1"/>
  <c r="L177" i="4" s="1"/>
  <c r="M177" i="4" s="1"/>
  <c r="N177" i="4" s="1"/>
  <c r="O177" i="4" s="1"/>
  <c r="P177" i="4" s="1"/>
  <c r="Q177" i="4" s="1"/>
  <c r="R177" i="4" s="1"/>
  <c r="S177" i="4" s="1"/>
  <c r="T177" i="4" s="1"/>
  <c r="U177" i="4" s="1"/>
  <c r="V177" i="4" s="1"/>
  <c r="W177" i="4" s="1"/>
  <c r="X177" i="4" s="1"/>
  <c r="Y177" i="4" s="1"/>
  <c r="Z177" i="4" s="1"/>
  <c r="AA177" i="4" s="1"/>
  <c r="AB177" i="4" s="1"/>
  <c r="AC177" i="4" s="1"/>
  <c r="AD177" i="4" s="1"/>
  <c r="AE177" i="4" s="1"/>
  <c r="AF177" i="4" s="1"/>
  <c r="AG177" i="4" s="1"/>
  <c r="AH177" i="4" s="1"/>
  <c r="AI177" i="4" s="1"/>
  <c r="AJ177" i="4" s="1"/>
  <c r="AK177" i="4" s="1"/>
  <c r="AL177" i="4" s="1"/>
  <c r="AM177" i="4" s="1"/>
  <c r="AN177" i="4" s="1"/>
  <c r="AO177" i="4" s="1"/>
  <c r="AP177" i="4" s="1"/>
  <c r="AQ177" i="4" s="1"/>
  <c r="AR177" i="4" s="1"/>
  <c r="AS177" i="4" s="1"/>
  <c r="AT177" i="4" s="1"/>
  <c r="AU177" i="4" s="1"/>
  <c r="AV177" i="4" s="1"/>
  <c r="AW177" i="4" s="1"/>
  <c r="AX177" i="4" s="1"/>
  <c r="AY177" i="4" s="1"/>
  <c r="AZ177" i="4" s="1"/>
  <c r="BA177" i="4" s="1"/>
  <c r="BB177" i="4" s="1"/>
  <c r="BC177" i="4" s="1"/>
  <c r="BD177" i="4" s="1"/>
  <c r="BE177" i="4" s="1"/>
  <c r="BF177" i="4" s="1"/>
  <c r="BG177" i="4" s="1"/>
  <c r="BH177" i="4" s="1"/>
  <c r="BI177" i="4" s="1"/>
  <c r="BJ177" i="4" s="1"/>
  <c r="BK177" i="4" s="1"/>
  <c r="BL177" i="4" s="1"/>
  <c r="BM177" i="4" s="1"/>
  <c r="BN177" i="4" s="1"/>
  <c r="BO177" i="4" s="1"/>
  <c r="BP177" i="4" s="1"/>
  <c r="B176" i="4"/>
  <c r="C176" i="4" s="1"/>
  <c r="D176" i="4" s="1"/>
  <c r="E176" i="4" s="1"/>
  <c r="F176" i="4" s="1"/>
  <c r="G176" i="4" s="1"/>
  <c r="H176" i="4" s="1"/>
  <c r="I176" i="4" s="1"/>
  <c r="J176" i="4" s="1"/>
  <c r="K176" i="4" s="1"/>
  <c r="L176" i="4" s="1"/>
  <c r="M176" i="4" s="1"/>
  <c r="N176" i="4" s="1"/>
  <c r="O176" i="4" s="1"/>
  <c r="P176" i="4" s="1"/>
  <c r="Q176" i="4" s="1"/>
  <c r="R176" i="4" s="1"/>
  <c r="S176" i="4" s="1"/>
  <c r="T176" i="4" s="1"/>
  <c r="U176" i="4" s="1"/>
  <c r="V176" i="4" s="1"/>
  <c r="W176" i="4" s="1"/>
  <c r="X176" i="4" s="1"/>
  <c r="Y176" i="4" s="1"/>
  <c r="Z176" i="4" s="1"/>
  <c r="AA176" i="4" s="1"/>
  <c r="AB176" i="4" s="1"/>
  <c r="AC176" i="4" s="1"/>
  <c r="AD176" i="4" s="1"/>
  <c r="AE176" i="4" s="1"/>
  <c r="AF176" i="4" s="1"/>
  <c r="AG176" i="4" s="1"/>
  <c r="AH176" i="4" s="1"/>
  <c r="AI176" i="4" s="1"/>
  <c r="AJ176" i="4" s="1"/>
  <c r="AK176" i="4" s="1"/>
  <c r="AL176" i="4" s="1"/>
  <c r="AM176" i="4" s="1"/>
  <c r="AN176" i="4" s="1"/>
  <c r="AO176" i="4" s="1"/>
  <c r="AP176" i="4" s="1"/>
  <c r="AQ176" i="4" s="1"/>
  <c r="AR176" i="4" s="1"/>
  <c r="AS176" i="4" s="1"/>
  <c r="AT176" i="4" s="1"/>
  <c r="AU176" i="4" s="1"/>
  <c r="AV176" i="4" s="1"/>
  <c r="AW176" i="4" s="1"/>
  <c r="AX176" i="4" s="1"/>
  <c r="AY176" i="4" s="1"/>
  <c r="AZ176" i="4" s="1"/>
  <c r="BA176" i="4" s="1"/>
  <c r="BB176" i="4" s="1"/>
  <c r="BC176" i="4" s="1"/>
  <c r="BD176" i="4" s="1"/>
  <c r="BE176" i="4" s="1"/>
  <c r="BF176" i="4" s="1"/>
  <c r="BG176" i="4" s="1"/>
  <c r="BH176" i="4" s="1"/>
  <c r="BI176" i="4" s="1"/>
  <c r="BJ176" i="4" s="1"/>
  <c r="BK176" i="4" s="1"/>
  <c r="BL176" i="4" s="1"/>
  <c r="BM176" i="4" s="1"/>
  <c r="BN176" i="4" s="1"/>
  <c r="BO176" i="4" s="1"/>
  <c r="BP176" i="4" s="1"/>
  <c r="B175" i="4"/>
  <c r="C175" i="4" s="1"/>
  <c r="D175" i="4" s="1"/>
  <c r="E175" i="4" s="1"/>
  <c r="F175" i="4" s="1"/>
  <c r="G175" i="4" s="1"/>
  <c r="H175" i="4" s="1"/>
  <c r="I175" i="4" s="1"/>
  <c r="J175" i="4" s="1"/>
  <c r="K175" i="4" s="1"/>
  <c r="L175" i="4" s="1"/>
  <c r="M175" i="4" s="1"/>
  <c r="N175" i="4" s="1"/>
  <c r="O175" i="4" s="1"/>
  <c r="P175" i="4" s="1"/>
  <c r="Q175" i="4" s="1"/>
  <c r="R175" i="4" s="1"/>
  <c r="S175" i="4" s="1"/>
  <c r="T175" i="4" s="1"/>
  <c r="U175" i="4" s="1"/>
  <c r="V175" i="4" s="1"/>
  <c r="W175" i="4" s="1"/>
  <c r="X175" i="4" s="1"/>
  <c r="Y175" i="4" s="1"/>
  <c r="Z175" i="4" s="1"/>
  <c r="AA175" i="4" s="1"/>
  <c r="AB175" i="4" s="1"/>
  <c r="AC175" i="4" s="1"/>
  <c r="AD175" i="4" s="1"/>
  <c r="AE175" i="4" s="1"/>
  <c r="AF175" i="4" s="1"/>
  <c r="AG175" i="4" s="1"/>
  <c r="AH175" i="4" s="1"/>
  <c r="AI175" i="4" s="1"/>
  <c r="AJ175" i="4" s="1"/>
  <c r="AK175" i="4" s="1"/>
  <c r="AL175" i="4" s="1"/>
  <c r="AM175" i="4" s="1"/>
  <c r="AN175" i="4" s="1"/>
  <c r="AO175" i="4" s="1"/>
  <c r="AP175" i="4" s="1"/>
  <c r="AQ175" i="4" s="1"/>
  <c r="AR175" i="4" s="1"/>
  <c r="AS175" i="4" s="1"/>
  <c r="AT175" i="4" s="1"/>
  <c r="AU175" i="4" s="1"/>
  <c r="AV175" i="4" s="1"/>
  <c r="AW175" i="4" s="1"/>
  <c r="AX175" i="4" s="1"/>
  <c r="AY175" i="4" s="1"/>
  <c r="AZ175" i="4" s="1"/>
  <c r="BA175" i="4" s="1"/>
  <c r="BB175" i="4" s="1"/>
  <c r="BC175" i="4" s="1"/>
  <c r="BD175" i="4" s="1"/>
  <c r="BE175" i="4" s="1"/>
  <c r="BF175" i="4" s="1"/>
  <c r="BG175" i="4" s="1"/>
  <c r="BH175" i="4" s="1"/>
  <c r="BI175" i="4" s="1"/>
  <c r="BJ175" i="4" s="1"/>
  <c r="BK175" i="4" s="1"/>
  <c r="BL175" i="4" s="1"/>
  <c r="BM175" i="4" s="1"/>
  <c r="BN175" i="4" s="1"/>
  <c r="BO175" i="4" s="1"/>
  <c r="BP175" i="4" s="1"/>
  <c r="B174" i="4"/>
  <c r="C174" i="4" s="1"/>
  <c r="D174" i="4" s="1"/>
  <c r="E174" i="4" s="1"/>
  <c r="F174" i="4" s="1"/>
  <c r="G174" i="4" s="1"/>
  <c r="H174" i="4" s="1"/>
  <c r="I174" i="4" s="1"/>
  <c r="J174" i="4" s="1"/>
  <c r="K174" i="4" s="1"/>
  <c r="L174" i="4" s="1"/>
  <c r="M174" i="4" s="1"/>
  <c r="N174" i="4" s="1"/>
  <c r="O174" i="4" s="1"/>
  <c r="P174" i="4" s="1"/>
  <c r="Q174" i="4" s="1"/>
  <c r="R174" i="4" s="1"/>
  <c r="S174" i="4" s="1"/>
  <c r="T174" i="4" s="1"/>
  <c r="U174" i="4" s="1"/>
  <c r="V174" i="4" s="1"/>
  <c r="W174" i="4" s="1"/>
  <c r="X174" i="4" s="1"/>
  <c r="Y174" i="4" s="1"/>
  <c r="Z174" i="4" s="1"/>
  <c r="AA174" i="4" s="1"/>
  <c r="AB174" i="4" s="1"/>
  <c r="AC174" i="4" s="1"/>
  <c r="AD174" i="4" s="1"/>
  <c r="AE174" i="4" s="1"/>
  <c r="AF174" i="4" s="1"/>
  <c r="AG174" i="4" s="1"/>
  <c r="AH174" i="4" s="1"/>
  <c r="AI174" i="4" s="1"/>
  <c r="AJ174" i="4" s="1"/>
  <c r="AK174" i="4" s="1"/>
  <c r="AL174" i="4" s="1"/>
  <c r="AM174" i="4" s="1"/>
  <c r="AN174" i="4" s="1"/>
  <c r="AO174" i="4" s="1"/>
  <c r="AP174" i="4" s="1"/>
  <c r="AQ174" i="4" s="1"/>
  <c r="AR174" i="4" s="1"/>
  <c r="AS174" i="4" s="1"/>
  <c r="AT174" i="4" s="1"/>
  <c r="AU174" i="4" s="1"/>
  <c r="AV174" i="4" s="1"/>
  <c r="AW174" i="4" s="1"/>
  <c r="AX174" i="4" s="1"/>
  <c r="AY174" i="4" s="1"/>
  <c r="AZ174" i="4" s="1"/>
  <c r="BA174" i="4" s="1"/>
  <c r="BB174" i="4" s="1"/>
  <c r="BC174" i="4" s="1"/>
  <c r="BD174" i="4" s="1"/>
  <c r="BE174" i="4" s="1"/>
  <c r="BF174" i="4" s="1"/>
  <c r="BG174" i="4" s="1"/>
  <c r="BH174" i="4" s="1"/>
  <c r="BI174" i="4" s="1"/>
  <c r="BJ174" i="4" s="1"/>
  <c r="BK174" i="4" s="1"/>
  <c r="BL174" i="4" s="1"/>
  <c r="BM174" i="4" s="1"/>
  <c r="BN174" i="4" s="1"/>
  <c r="BO174" i="4" s="1"/>
  <c r="BP174" i="4" s="1"/>
  <c r="B173" i="4"/>
  <c r="C173" i="4" s="1"/>
  <c r="D173" i="4" s="1"/>
  <c r="E173" i="4" s="1"/>
  <c r="F173" i="4" s="1"/>
  <c r="G173" i="4" s="1"/>
  <c r="H173" i="4" s="1"/>
  <c r="I173" i="4" s="1"/>
  <c r="J173" i="4" s="1"/>
  <c r="K173" i="4" s="1"/>
  <c r="L173" i="4" s="1"/>
  <c r="M173" i="4" s="1"/>
  <c r="N173" i="4" s="1"/>
  <c r="O173" i="4" s="1"/>
  <c r="P173" i="4" s="1"/>
  <c r="Q173" i="4" s="1"/>
  <c r="R173" i="4" s="1"/>
  <c r="S173" i="4" s="1"/>
  <c r="T173" i="4" s="1"/>
  <c r="U173" i="4" s="1"/>
  <c r="V173" i="4" s="1"/>
  <c r="W173" i="4" s="1"/>
  <c r="X173" i="4" s="1"/>
  <c r="Y173" i="4" s="1"/>
  <c r="Z173" i="4" s="1"/>
  <c r="AA173" i="4" s="1"/>
  <c r="AB173" i="4" s="1"/>
  <c r="AC173" i="4" s="1"/>
  <c r="AD173" i="4" s="1"/>
  <c r="AE173" i="4" s="1"/>
  <c r="AF173" i="4" s="1"/>
  <c r="AG173" i="4" s="1"/>
  <c r="AH173" i="4" s="1"/>
  <c r="AI173" i="4" s="1"/>
  <c r="AJ173" i="4" s="1"/>
  <c r="AK173" i="4" s="1"/>
  <c r="AL173" i="4" s="1"/>
  <c r="AM173" i="4" s="1"/>
  <c r="AN173" i="4" s="1"/>
  <c r="AO173" i="4" s="1"/>
  <c r="AP173" i="4" s="1"/>
  <c r="AQ173" i="4" s="1"/>
  <c r="AR173" i="4" s="1"/>
  <c r="AS173" i="4" s="1"/>
  <c r="AT173" i="4" s="1"/>
  <c r="AU173" i="4" s="1"/>
  <c r="AV173" i="4" s="1"/>
  <c r="AW173" i="4" s="1"/>
  <c r="AX173" i="4" s="1"/>
  <c r="AY173" i="4" s="1"/>
  <c r="AZ173" i="4" s="1"/>
  <c r="BA173" i="4" s="1"/>
  <c r="BB173" i="4" s="1"/>
  <c r="BC173" i="4" s="1"/>
  <c r="BD173" i="4" s="1"/>
  <c r="BE173" i="4" s="1"/>
  <c r="BF173" i="4" s="1"/>
  <c r="BG173" i="4" s="1"/>
  <c r="BH173" i="4" s="1"/>
  <c r="BI173" i="4" s="1"/>
  <c r="BJ173" i="4" s="1"/>
  <c r="BK173" i="4" s="1"/>
  <c r="BL173" i="4" s="1"/>
  <c r="BM173" i="4" s="1"/>
  <c r="BN173" i="4" s="1"/>
  <c r="BO173" i="4" s="1"/>
  <c r="BP173" i="4" s="1"/>
  <c r="B172" i="4"/>
  <c r="C172" i="4" s="1"/>
  <c r="D172" i="4" s="1"/>
  <c r="E172" i="4" s="1"/>
  <c r="F172" i="4" s="1"/>
  <c r="G172" i="4" s="1"/>
  <c r="H172" i="4" s="1"/>
  <c r="I172" i="4" s="1"/>
  <c r="J172" i="4" s="1"/>
  <c r="K172" i="4" s="1"/>
  <c r="L172" i="4" s="1"/>
  <c r="M172" i="4" s="1"/>
  <c r="N172" i="4" s="1"/>
  <c r="O172" i="4" s="1"/>
  <c r="P172" i="4" s="1"/>
  <c r="Q172" i="4" s="1"/>
  <c r="R172" i="4" s="1"/>
  <c r="S172" i="4" s="1"/>
  <c r="T172" i="4" s="1"/>
  <c r="U172" i="4" s="1"/>
  <c r="V172" i="4" s="1"/>
  <c r="W172" i="4" s="1"/>
  <c r="X172" i="4" s="1"/>
  <c r="Y172" i="4" s="1"/>
  <c r="Z172" i="4" s="1"/>
  <c r="AA172" i="4" s="1"/>
  <c r="AB172" i="4" s="1"/>
  <c r="AC172" i="4" s="1"/>
  <c r="AD172" i="4" s="1"/>
  <c r="AE172" i="4" s="1"/>
  <c r="AF172" i="4" s="1"/>
  <c r="AG172" i="4" s="1"/>
  <c r="AH172" i="4" s="1"/>
  <c r="AI172" i="4" s="1"/>
  <c r="AJ172" i="4" s="1"/>
  <c r="AK172" i="4" s="1"/>
  <c r="AL172" i="4" s="1"/>
  <c r="AM172" i="4" s="1"/>
  <c r="AN172" i="4" s="1"/>
  <c r="AO172" i="4" s="1"/>
  <c r="AP172" i="4" s="1"/>
  <c r="AQ172" i="4" s="1"/>
  <c r="AR172" i="4" s="1"/>
  <c r="AS172" i="4" s="1"/>
  <c r="AT172" i="4" s="1"/>
  <c r="AU172" i="4" s="1"/>
  <c r="AV172" i="4" s="1"/>
  <c r="AW172" i="4" s="1"/>
  <c r="AX172" i="4" s="1"/>
  <c r="AY172" i="4" s="1"/>
  <c r="AZ172" i="4" s="1"/>
  <c r="BA172" i="4" s="1"/>
  <c r="BB172" i="4" s="1"/>
  <c r="BC172" i="4" s="1"/>
  <c r="BD172" i="4" s="1"/>
  <c r="BE172" i="4" s="1"/>
  <c r="BF172" i="4" s="1"/>
  <c r="BG172" i="4" s="1"/>
  <c r="BH172" i="4" s="1"/>
  <c r="BI172" i="4" s="1"/>
  <c r="BJ172" i="4" s="1"/>
  <c r="BK172" i="4" s="1"/>
  <c r="BL172" i="4" s="1"/>
  <c r="BM172" i="4" s="1"/>
  <c r="BN172" i="4" s="1"/>
  <c r="BO172" i="4" s="1"/>
  <c r="BP172" i="4" s="1"/>
  <c r="B171" i="4"/>
  <c r="C171" i="4" s="1"/>
  <c r="D171" i="4" s="1"/>
  <c r="E171" i="4" s="1"/>
  <c r="F171" i="4" s="1"/>
  <c r="G171" i="4" s="1"/>
  <c r="H171" i="4" s="1"/>
  <c r="I171" i="4" s="1"/>
  <c r="J171" i="4" s="1"/>
  <c r="K171" i="4" s="1"/>
  <c r="L171" i="4" s="1"/>
  <c r="M171" i="4" s="1"/>
  <c r="N171" i="4" s="1"/>
  <c r="O171" i="4" s="1"/>
  <c r="P171" i="4" s="1"/>
  <c r="Q171" i="4" s="1"/>
  <c r="R171" i="4" s="1"/>
  <c r="S171" i="4" s="1"/>
  <c r="T171" i="4" s="1"/>
  <c r="U171" i="4" s="1"/>
  <c r="V171" i="4" s="1"/>
  <c r="W171" i="4" s="1"/>
  <c r="X171" i="4" s="1"/>
  <c r="Y171" i="4" s="1"/>
  <c r="Z171" i="4" s="1"/>
  <c r="AA171" i="4" s="1"/>
  <c r="AB171" i="4" s="1"/>
  <c r="AC171" i="4" s="1"/>
  <c r="AD171" i="4" s="1"/>
  <c r="AE171" i="4" s="1"/>
  <c r="AF171" i="4" s="1"/>
  <c r="AG171" i="4" s="1"/>
  <c r="AH171" i="4" s="1"/>
  <c r="AI171" i="4" s="1"/>
  <c r="AJ171" i="4" s="1"/>
  <c r="AK171" i="4" s="1"/>
  <c r="AL171" i="4" s="1"/>
  <c r="AM171" i="4" s="1"/>
  <c r="AN171" i="4" s="1"/>
  <c r="AO171" i="4" s="1"/>
  <c r="AP171" i="4" s="1"/>
  <c r="AQ171" i="4" s="1"/>
  <c r="AR171" i="4" s="1"/>
  <c r="AS171" i="4" s="1"/>
  <c r="AT171" i="4" s="1"/>
  <c r="AU171" i="4" s="1"/>
  <c r="AV171" i="4" s="1"/>
  <c r="AW171" i="4" s="1"/>
  <c r="AX171" i="4" s="1"/>
  <c r="AY171" i="4" s="1"/>
  <c r="AZ171" i="4" s="1"/>
  <c r="BA171" i="4" s="1"/>
  <c r="BB171" i="4" s="1"/>
  <c r="BC171" i="4" s="1"/>
  <c r="BD171" i="4" s="1"/>
  <c r="BE171" i="4" s="1"/>
  <c r="BF171" i="4" s="1"/>
  <c r="BG171" i="4" s="1"/>
  <c r="BH171" i="4" s="1"/>
  <c r="BI171" i="4" s="1"/>
  <c r="BJ171" i="4" s="1"/>
  <c r="BK171" i="4" s="1"/>
  <c r="BL171" i="4" s="1"/>
  <c r="BM171" i="4" s="1"/>
  <c r="BN171" i="4" s="1"/>
  <c r="BO171" i="4" s="1"/>
  <c r="BP171" i="4" s="1"/>
  <c r="B170" i="4"/>
  <c r="C170" i="4" s="1"/>
  <c r="D170" i="4" s="1"/>
  <c r="E170" i="4" s="1"/>
  <c r="F170" i="4" s="1"/>
  <c r="G170" i="4" s="1"/>
  <c r="H170" i="4" s="1"/>
  <c r="I170" i="4" s="1"/>
  <c r="J170" i="4" s="1"/>
  <c r="K170" i="4" s="1"/>
  <c r="L170" i="4" s="1"/>
  <c r="M170" i="4" s="1"/>
  <c r="N170" i="4" s="1"/>
  <c r="O170" i="4" s="1"/>
  <c r="P170" i="4" s="1"/>
  <c r="Q170" i="4" s="1"/>
  <c r="R170" i="4" s="1"/>
  <c r="S170" i="4" s="1"/>
  <c r="T170" i="4" s="1"/>
  <c r="U170" i="4" s="1"/>
  <c r="V170" i="4" s="1"/>
  <c r="W170" i="4" s="1"/>
  <c r="X170" i="4" s="1"/>
  <c r="Y170" i="4" s="1"/>
  <c r="Z170" i="4" s="1"/>
  <c r="AA170" i="4" s="1"/>
  <c r="AB170" i="4" s="1"/>
  <c r="AC170" i="4" s="1"/>
  <c r="AD170" i="4" s="1"/>
  <c r="AE170" i="4" s="1"/>
  <c r="AF170" i="4" s="1"/>
  <c r="AG170" i="4" s="1"/>
  <c r="AH170" i="4" s="1"/>
  <c r="AI170" i="4" s="1"/>
  <c r="AJ170" i="4" s="1"/>
  <c r="AK170" i="4" s="1"/>
  <c r="AL170" i="4" s="1"/>
  <c r="AM170" i="4" s="1"/>
  <c r="AN170" i="4" s="1"/>
  <c r="AO170" i="4" s="1"/>
  <c r="AP170" i="4" s="1"/>
  <c r="AQ170" i="4" s="1"/>
  <c r="AR170" i="4" s="1"/>
  <c r="AS170" i="4" s="1"/>
  <c r="AT170" i="4" s="1"/>
  <c r="AU170" i="4" s="1"/>
  <c r="AV170" i="4" s="1"/>
  <c r="AW170" i="4" s="1"/>
  <c r="AX170" i="4" s="1"/>
  <c r="AY170" i="4" s="1"/>
  <c r="AZ170" i="4" s="1"/>
  <c r="BA170" i="4" s="1"/>
  <c r="BB170" i="4" s="1"/>
  <c r="BC170" i="4" s="1"/>
  <c r="BD170" i="4" s="1"/>
  <c r="BE170" i="4" s="1"/>
  <c r="BF170" i="4" s="1"/>
  <c r="BG170" i="4" s="1"/>
  <c r="BH170" i="4" s="1"/>
  <c r="BI170" i="4" s="1"/>
  <c r="BJ170" i="4" s="1"/>
  <c r="BK170" i="4" s="1"/>
  <c r="BL170" i="4" s="1"/>
  <c r="BM170" i="4" s="1"/>
  <c r="BN170" i="4" s="1"/>
  <c r="BO170" i="4" s="1"/>
  <c r="BP170" i="4" s="1"/>
  <c r="B169" i="4"/>
  <c r="C169" i="4" s="1"/>
  <c r="D169" i="4" s="1"/>
  <c r="E169" i="4" s="1"/>
  <c r="F169" i="4" s="1"/>
  <c r="G169" i="4" s="1"/>
  <c r="H169" i="4" s="1"/>
  <c r="I169" i="4" s="1"/>
  <c r="J169" i="4" s="1"/>
  <c r="K169" i="4" s="1"/>
  <c r="L169" i="4" s="1"/>
  <c r="M169" i="4" s="1"/>
  <c r="N169" i="4" s="1"/>
  <c r="O169" i="4" s="1"/>
  <c r="P169" i="4" s="1"/>
  <c r="Q169" i="4" s="1"/>
  <c r="R169" i="4" s="1"/>
  <c r="S169" i="4" s="1"/>
  <c r="T169" i="4" s="1"/>
  <c r="U169" i="4" s="1"/>
  <c r="V169" i="4" s="1"/>
  <c r="W169" i="4" s="1"/>
  <c r="X169" i="4" s="1"/>
  <c r="Y169" i="4" s="1"/>
  <c r="Z169" i="4" s="1"/>
  <c r="AA169" i="4" s="1"/>
  <c r="AB169" i="4" s="1"/>
  <c r="AC169" i="4" s="1"/>
  <c r="AD169" i="4" s="1"/>
  <c r="AE169" i="4" s="1"/>
  <c r="AF169" i="4" s="1"/>
  <c r="AG169" i="4" s="1"/>
  <c r="AH169" i="4" s="1"/>
  <c r="AI169" i="4" s="1"/>
  <c r="AJ169" i="4" s="1"/>
  <c r="AK169" i="4" s="1"/>
  <c r="AL169" i="4" s="1"/>
  <c r="AM169" i="4" s="1"/>
  <c r="AN169" i="4" s="1"/>
  <c r="AO169" i="4" s="1"/>
  <c r="AP169" i="4" s="1"/>
  <c r="AQ169" i="4" s="1"/>
  <c r="AR169" i="4" s="1"/>
  <c r="AS169" i="4" s="1"/>
  <c r="AT169" i="4" s="1"/>
  <c r="AU169" i="4" s="1"/>
  <c r="AV169" i="4" s="1"/>
  <c r="AW169" i="4" s="1"/>
  <c r="AX169" i="4" s="1"/>
  <c r="AY169" i="4" s="1"/>
  <c r="AZ169" i="4" s="1"/>
  <c r="BA169" i="4" s="1"/>
  <c r="BB169" i="4" s="1"/>
  <c r="BC169" i="4" s="1"/>
  <c r="BD169" i="4" s="1"/>
  <c r="BE169" i="4" s="1"/>
  <c r="BF169" i="4" s="1"/>
  <c r="BG169" i="4" s="1"/>
  <c r="BH169" i="4" s="1"/>
  <c r="BI169" i="4" s="1"/>
  <c r="BJ169" i="4" s="1"/>
  <c r="BK169" i="4" s="1"/>
  <c r="BL169" i="4" s="1"/>
  <c r="BM169" i="4" s="1"/>
  <c r="BN169" i="4" s="1"/>
  <c r="BO169" i="4" s="1"/>
  <c r="BP169" i="4" s="1"/>
  <c r="B168" i="4"/>
  <c r="C168" i="4" s="1"/>
  <c r="D168" i="4" s="1"/>
  <c r="E168" i="4" s="1"/>
  <c r="F168" i="4" s="1"/>
  <c r="G168" i="4" s="1"/>
  <c r="H168" i="4" s="1"/>
  <c r="I168" i="4" s="1"/>
  <c r="J168" i="4" s="1"/>
  <c r="K168" i="4" s="1"/>
  <c r="L168" i="4" s="1"/>
  <c r="M168" i="4" s="1"/>
  <c r="N168" i="4" s="1"/>
  <c r="O168" i="4" s="1"/>
  <c r="P168" i="4" s="1"/>
  <c r="Q168" i="4" s="1"/>
  <c r="R168" i="4" s="1"/>
  <c r="S168" i="4" s="1"/>
  <c r="T168" i="4" s="1"/>
  <c r="U168" i="4" s="1"/>
  <c r="V168" i="4" s="1"/>
  <c r="W168" i="4" s="1"/>
  <c r="X168" i="4" s="1"/>
  <c r="Y168" i="4" s="1"/>
  <c r="Z168" i="4" s="1"/>
  <c r="AA168" i="4" s="1"/>
  <c r="AB168" i="4" s="1"/>
  <c r="AC168" i="4" s="1"/>
  <c r="AD168" i="4" s="1"/>
  <c r="AE168" i="4" s="1"/>
  <c r="AF168" i="4" s="1"/>
  <c r="AG168" i="4" s="1"/>
  <c r="AH168" i="4" s="1"/>
  <c r="AI168" i="4" s="1"/>
  <c r="AJ168" i="4" s="1"/>
  <c r="AK168" i="4" s="1"/>
  <c r="AL168" i="4" s="1"/>
  <c r="AM168" i="4" s="1"/>
  <c r="AN168" i="4" s="1"/>
  <c r="AO168" i="4" s="1"/>
  <c r="AP168" i="4" s="1"/>
  <c r="AQ168" i="4" s="1"/>
  <c r="AR168" i="4" s="1"/>
  <c r="AS168" i="4" s="1"/>
  <c r="AT168" i="4" s="1"/>
  <c r="AU168" i="4" s="1"/>
  <c r="AV168" i="4" s="1"/>
  <c r="AW168" i="4" s="1"/>
  <c r="AX168" i="4" s="1"/>
  <c r="AY168" i="4" s="1"/>
  <c r="AZ168" i="4" s="1"/>
  <c r="BA168" i="4" s="1"/>
  <c r="BB168" i="4" s="1"/>
  <c r="BC168" i="4" s="1"/>
  <c r="BD168" i="4" s="1"/>
  <c r="BE168" i="4" s="1"/>
  <c r="BF168" i="4" s="1"/>
  <c r="BG168" i="4" s="1"/>
  <c r="BH168" i="4" s="1"/>
  <c r="BI168" i="4" s="1"/>
  <c r="BJ168" i="4" s="1"/>
  <c r="BK168" i="4" s="1"/>
  <c r="BL168" i="4" s="1"/>
  <c r="BM168" i="4" s="1"/>
  <c r="BN168" i="4" s="1"/>
  <c r="BO168" i="4" s="1"/>
  <c r="BP168" i="4" s="1"/>
  <c r="B167" i="4"/>
  <c r="C167" i="4" s="1"/>
  <c r="D167" i="4" s="1"/>
  <c r="E167" i="4" s="1"/>
  <c r="F167" i="4" s="1"/>
  <c r="G167" i="4" s="1"/>
  <c r="H167" i="4" s="1"/>
  <c r="I167" i="4" s="1"/>
  <c r="J167" i="4" s="1"/>
  <c r="K167" i="4" s="1"/>
  <c r="L167" i="4" s="1"/>
  <c r="M167" i="4" s="1"/>
  <c r="N167" i="4" s="1"/>
  <c r="O167" i="4" s="1"/>
  <c r="P167" i="4" s="1"/>
  <c r="Q167" i="4" s="1"/>
  <c r="R167" i="4" s="1"/>
  <c r="S167" i="4" s="1"/>
  <c r="T167" i="4" s="1"/>
  <c r="U167" i="4" s="1"/>
  <c r="V167" i="4" s="1"/>
  <c r="W167" i="4" s="1"/>
  <c r="X167" i="4" s="1"/>
  <c r="Y167" i="4" s="1"/>
  <c r="Z167" i="4" s="1"/>
  <c r="AA167" i="4" s="1"/>
  <c r="AB167" i="4" s="1"/>
  <c r="AC167" i="4" s="1"/>
  <c r="AD167" i="4" s="1"/>
  <c r="AE167" i="4" s="1"/>
  <c r="AF167" i="4" s="1"/>
  <c r="AG167" i="4" s="1"/>
  <c r="AH167" i="4" s="1"/>
  <c r="AI167" i="4" s="1"/>
  <c r="AJ167" i="4" s="1"/>
  <c r="AK167" i="4" s="1"/>
  <c r="AL167" i="4" s="1"/>
  <c r="AM167" i="4" s="1"/>
  <c r="AN167" i="4" s="1"/>
  <c r="AO167" i="4" s="1"/>
  <c r="AP167" i="4" s="1"/>
  <c r="AQ167" i="4" s="1"/>
  <c r="AR167" i="4" s="1"/>
  <c r="AS167" i="4" s="1"/>
  <c r="AT167" i="4" s="1"/>
  <c r="AU167" i="4" s="1"/>
  <c r="AV167" i="4" s="1"/>
  <c r="AW167" i="4" s="1"/>
  <c r="AX167" i="4" s="1"/>
  <c r="AY167" i="4" s="1"/>
  <c r="AZ167" i="4" s="1"/>
  <c r="BA167" i="4" s="1"/>
  <c r="BB167" i="4" s="1"/>
  <c r="BC167" i="4" s="1"/>
  <c r="BD167" i="4" s="1"/>
  <c r="BE167" i="4" s="1"/>
  <c r="BF167" i="4" s="1"/>
  <c r="BG167" i="4" s="1"/>
  <c r="BH167" i="4" s="1"/>
  <c r="BI167" i="4" s="1"/>
  <c r="BJ167" i="4" s="1"/>
  <c r="BK167" i="4" s="1"/>
  <c r="BL167" i="4" s="1"/>
  <c r="BM167" i="4" s="1"/>
  <c r="BN167" i="4" s="1"/>
  <c r="BO167" i="4" s="1"/>
  <c r="BP167" i="4" s="1"/>
  <c r="B166" i="4"/>
  <c r="C166" i="4" s="1"/>
  <c r="D166" i="4" s="1"/>
  <c r="E166" i="4" s="1"/>
  <c r="F166" i="4" s="1"/>
  <c r="G166" i="4" s="1"/>
  <c r="H166" i="4" s="1"/>
  <c r="I166" i="4" s="1"/>
  <c r="J166" i="4" s="1"/>
  <c r="K166" i="4" s="1"/>
  <c r="L166" i="4" s="1"/>
  <c r="M166" i="4" s="1"/>
  <c r="N166" i="4" s="1"/>
  <c r="O166" i="4" s="1"/>
  <c r="P166" i="4" s="1"/>
  <c r="Q166" i="4" s="1"/>
  <c r="R166" i="4" s="1"/>
  <c r="S166" i="4" s="1"/>
  <c r="T166" i="4" s="1"/>
  <c r="U166" i="4" s="1"/>
  <c r="V166" i="4" s="1"/>
  <c r="W166" i="4" s="1"/>
  <c r="X166" i="4" s="1"/>
  <c r="Y166" i="4" s="1"/>
  <c r="Z166" i="4" s="1"/>
  <c r="AA166" i="4" s="1"/>
  <c r="AB166" i="4" s="1"/>
  <c r="AC166" i="4" s="1"/>
  <c r="AD166" i="4" s="1"/>
  <c r="AE166" i="4" s="1"/>
  <c r="AF166" i="4" s="1"/>
  <c r="AG166" i="4" s="1"/>
  <c r="AH166" i="4" s="1"/>
  <c r="AI166" i="4" s="1"/>
  <c r="AJ166" i="4" s="1"/>
  <c r="AK166" i="4" s="1"/>
  <c r="AL166" i="4" s="1"/>
  <c r="AM166" i="4" s="1"/>
  <c r="AN166" i="4" s="1"/>
  <c r="AO166" i="4" s="1"/>
  <c r="AP166" i="4" s="1"/>
  <c r="AQ166" i="4" s="1"/>
  <c r="AR166" i="4" s="1"/>
  <c r="AS166" i="4" s="1"/>
  <c r="AT166" i="4" s="1"/>
  <c r="AU166" i="4" s="1"/>
  <c r="AV166" i="4" s="1"/>
  <c r="AW166" i="4" s="1"/>
  <c r="AX166" i="4" s="1"/>
  <c r="AY166" i="4" s="1"/>
  <c r="AZ166" i="4" s="1"/>
  <c r="BA166" i="4" s="1"/>
  <c r="BB166" i="4" s="1"/>
  <c r="BC166" i="4" s="1"/>
  <c r="BD166" i="4" s="1"/>
  <c r="BE166" i="4" s="1"/>
  <c r="BF166" i="4" s="1"/>
  <c r="BG166" i="4" s="1"/>
  <c r="BH166" i="4" s="1"/>
  <c r="BI166" i="4" s="1"/>
  <c r="BJ166" i="4" s="1"/>
  <c r="BK166" i="4" s="1"/>
  <c r="BL166" i="4" s="1"/>
  <c r="BM166" i="4" s="1"/>
  <c r="BN166" i="4" s="1"/>
  <c r="BO166" i="4" s="1"/>
  <c r="BP166" i="4" s="1"/>
  <c r="B165" i="4"/>
  <c r="C165" i="4" s="1"/>
  <c r="D165" i="4" s="1"/>
  <c r="E165" i="4" s="1"/>
  <c r="F165" i="4" s="1"/>
  <c r="G165" i="4" s="1"/>
  <c r="H165" i="4" s="1"/>
  <c r="I165" i="4" s="1"/>
  <c r="J165" i="4" s="1"/>
  <c r="K165" i="4" s="1"/>
  <c r="L165" i="4" s="1"/>
  <c r="M165" i="4" s="1"/>
  <c r="N165" i="4" s="1"/>
  <c r="O165" i="4" s="1"/>
  <c r="P165" i="4" s="1"/>
  <c r="Q165" i="4" s="1"/>
  <c r="R165" i="4" s="1"/>
  <c r="S165" i="4" s="1"/>
  <c r="T165" i="4" s="1"/>
  <c r="U165" i="4" s="1"/>
  <c r="V165" i="4" s="1"/>
  <c r="W165" i="4" s="1"/>
  <c r="X165" i="4" s="1"/>
  <c r="Y165" i="4" s="1"/>
  <c r="Z165" i="4" s="1"/>
  <c r="AA165" i="4" s="1"/>
  <c r="AB165" i="4" s="1"/>
  <c r="AC165" i="4" s="1"/>
  <c r="AD165" i="4" s="1"/>
  <c r="AE165" i="4" s="1"/>
  <c r="AF165" i="4" s="1"/>
  <c r="AG165" i="4" s="1"/>
  <c r="AH165" i="4" s="1"/>
  <c r="AI165" i="4" s="1"/>
  <c r="AJ165" i="4" s="1"/>
  <c r="AK165" i="4" s="1"/>
  <c r="AL165" i="4" s="1"/>
  <c r="AM165" i="4" s="1"/>
  <c r="AN165" i="4" s="1"/>
  <c r="AO165" i="4" s="1"/>
  <c r="AP165" i="4" s="1"/>
  <c r="AQ165" i="4" s="1"/>
  <c r="AR165" i="4" s="1"/>
  <c r="AS165" i="4" s="1"/>
  <c r="AT165" i="4" s="1"/>
  <c r="AU165" i="4" s="1"/>
  <c r="AV165" i="4" s="1"/>
  <c r="AW165" i="4" s="1"/>
  <c r="AX165" i="4" s="1"/>
  <c r="AY165" i="4" s="1"/>
  <c r="AZ165" i="4" s="1"/>
  <c r="BA165" i="4" s="1"/>
  <c r="BB165" i="4" s="1"/>
  <c r="BC165" i="4" s="1"/>
  <c r="BD165" i="4" s="1"/>
  <c r="BE165" i="4" s="1"/>
  <c r="BF165" i="4" s="1"/>
  <c r="BG165" i="4" s="1"/>
  <c r="BH165" i="4" s="1"/>
  <c r="BI165" i="4" s="1"/>
  <c r="BJ165" i="4" s="1"/>
  <c r="BK165" i="4" s="1"/>
  <c r="BL165" i="4" s="1"/>
  <c r="BM165" i="4" s="1"/>
  <c r="BN165" i="4" s="1"/>
  <c r="BO165" i="4" s="1"/>
  <c r="BP165" i="4" s="1"/>
  <c r="B164" i="4"/>
  <c r="C164" i="4" s="1"/>
  <c r="D164" i="4" s="1"/>
  <c r="E164" i="4" s="1"/>
  <c r="F164" i="4" s="1"/>
  <c r="G164" i="4" s="1"/>
  <c r="H164" i="4" s="1"/>
  <c r="I164" i="4" s="1"/>
  <c r="J164" i="4" s="1"/>
  <c r="K164" i="4" s="1"/>
  <c r="L164" i="4" s="1"/>
  <c r="M164" i="4" s="1"/>
  <c r="N164" i="4" s="1"/>
  <c r="O164" i="4" s="1"/>
  <c r="P164" i="4" s="1"/>
  <c r="Q164" i="4" s="1"/>
  <c r="R164" i="4" s="1"/>
  <c r="S164" i="4" s="1"/>
  <c r="T164" i="4" s="1"/>
  <c r="U164" i="4" s="1"/>
  <c r="V164" i="4" s="1"/>
  <c r="W164" i="4" s="1"/>
  <c r="X164" i="4" s="1"/>
  <c r="Y164" i="4" s="1"/>
  <c r="Z164" i="4" s="1"/>
  <c r="AA164" i="4" s="1"/>
  <c r="AB164" i="4" s="1"/>
  <c r="AC164" i="4" s="1"/>
  <c r="AD164" i="4" s="1"/>
  <c r="AE164" i="4" s="1"/>
  <c r="AF164" i="4" s="1"/>
  <c r="AG164" i="4" s="1"/>
  <c r="AH164" i="4" s="1"/>
  <c r="AI164" i="4" s="1"/>
  <c r="AJ164" i="4" s="1"/>
  <c r="AK164" i="4" s="1"/>
  <c r="AL164" i="4" s="1"/>
  <c r="AM164" i="4" s="1"/>
  <c r="AN164" i="4" s="1"/>
  <c r="AO164" i="4" s="1"/>
  <c r="AP164" i="4" s="1"/>
  <c r="AQ164" i="4" s="1"/>
  <c r="AR164" i="4" s="1"/>
  <c r="AS164" i="4" s="1"/>
  <c r="AT164" i="4" s="1"/>
  <c r="AU164" i="4" s="1"/>
  <c r="AV164" i="4" s="1"/>
  <c r="AW164" i="4" s="1"/>
  <c r="AX164" i="4" s="1"/>
  <c r="AY164" i="4" s="1"/>
  <c r="AZ164" i="4" s="1"/>
  <c r="BA164" i="4" s="1"/>
  <c r="BB164" i="4" s="1"/>
  <c r="BC164" i="4" s="1"/>
  <c r="BD164" i="4" s="1"/>
  <c r="BE164" i="4" s="1"/>
  <c r="BF164" i="4" s="1"/>
  <c r="BG164" i="4" s="1"/>
  <c r="BH164" i="4" s="1"/>
  <c r="BI164" i="4" s="1"/>
  <c r="BJ164" i="4" s="1"/>
  <c r="BK164" i="4" s="1"/>
  <c r="BL164" i="4" s="1"/>
  <c r="BM164" i="4" s="1"/>
  <c r="BN164" i="4" s="1"/>
  <c r="BO164" i="4" s="1"/>
  <c r="BP164" i="4" s="1"/>
  <c r="B163" i="4"/>
  <c r="C163" i="4" s="1"/>
  <c r="D163" i="4" s="1"/>
  <c r="E163" i="4" s="1"/>
  <c r="F163" i="4" s="1"/>
  <c r="G163" i="4" s="1"/>
  <c r="H163" i="4" s="1"/>
  <c r="I163" i="4" s="1"/>
  <c r="J163" i="4" s="1"/>
  <c r="K163" i="4" s="1"/>
  <c r="L163" i="4" s="1"/>
  <c r="M163" i="4" s="1"/>
  <c r="N163" i="4" s="1"/>
  <c r="O163" i="4" s="1"/>
  <c r="P163" i="4" s="1"/>
  <c r="Q163" i="4" s="1"/>
  <c r="R163" i="4" s="1"/>
  <c r="S163" i="4" s="1"/>
  <c r="T163" i="4" s="1"/>
  <c r="U163" i="4" s="1"/>
  <c r="V163" i="4" s="1"/>
  <c r="W163" i="4" s="1"/>
  <c r="X163" i="4" s="1"/>
  <c r="Y163" i="4" s="1"/>
  <c r="Z163" i="4" s="1"/>
  <c r="AA163" i="4" s="1"/>
  <c r="AB163" i="4" s="1"/>
  <c r="AC163" i="4" s="1"/>
  <c r="AD163" i="4" s="1"/>
  <c r="AE163" i="4" s="1"/>
  <c r="AF163" i="4" s="1"/>
  <c r="AG163" i="4" s="1"/>
  <c r="AH163" i="4" s="1"/>
  <c r="AI163" i="4" s="1"/>
  <c r="AJ163" i="4" s="1"/>
  <c r="AK163" i="4" s="1"/>
  <c r="AL163" i="4" s="1"/>
  <c r="AM163" i="4" s="1"/>
  <c r="AN163" i="4" s="1"/>
  <c r="AO163" i="4" s="1"/>
  <c r="AP163" i="4" s="1"/>
  <c r="AQ163" i="4" s="1"/>
  <c r="AR163" i="4" s="1"/>
  <c r="AS163" i="4" s="1"/>
  <c r="AT163" i="4" s="1"/>
  <c r="AU163" i="4" s="1"/>
  <c r="AV163" i="4" s="1"/>
  <c r="AW163" i="4" s="1"/>
  <c r="AX163" i="4" s="1"/>
  <c r="AY163" i="4" s="1"/>
  <c r="AZ163" i="4" s="1"/>
  <c r="BA163" i="4" s="1"/>
  <c r="BB163" i="4" s="1"/>
  <c r="BC163" i="4" s="1"/>
  <c r="BD163" i="4" s="1"/>
  <c r="BE163" i="4" s="1"/>
  <c r="BF163" i="4" s="1"/>
  <c r="BG163" i="4" s="1"/>
  <c r="BH163" i="4" s="1"/>
  <c r="BI163" i="4" s="1"/>
  <c r="BJ163" i="4" s="1"/>
  <c r="BK163" i="4" s="1"/>
  <c r="BL163" i="4" s="1"/>
  <c r="BM163" i="4" s="1"/>
  <c r="BN163" i="4" s="1"/>
  <c r="BO163" i="4" s="1"/>
  <c r="BP163" i="4" s="1"/>
  <c r="B162" i="4"/>
  <c r="C162" i="4" s="1"/>
  <c r="D162" i="4" s="1"/>
  <c r="E162" i="4" s="1"/>
  <c r="F162" i="4" s="1"/>
  <c r="G162" i="4" s="1"/>
  <c r="H162" i="4" s="1"/>
  <c r="I162" i="4" s="1"/>
  <c r="J162" i="4" s="1"/>
  <c r="K162" i="4" s="1"/>
  <c r="L162" i="4" s="1"/>
  <c r="M162" i="4" s="1"/>
  <c r="N162" i="4" s="1"/>
  <c r="O162" i="4" s="1"/>
  <c r="P162" i="4" s="1"/>
  <c r="Q162" i="4" s="1"/>
  <c r="R162" i="4" s="1"/>
  <c r="S162" i="4" s="1"/>
  <c r="T162" i="4" s="1"/>
  <c r="U162" i="4" s="1"/>
  <c r="V162" i="4" s="1"/>
  <c r="W162" i="4" s="1"/>
  <c r="X162" i="4" s="1"/>
  <c r="Y162" i="4" s="1"/>
  <c r="Z162" i="4" s="1"/>
  <c r="AA162" i="4" s="1"/>
  <c r="AB162" i="4" s="1"/>
  <c r="AC162" i="4" s="1"/>
  <c r="AD162" i="4" s="1"/>
  <c r="AE162" i="4" s="1"/>
  <c r="AF162" i="4" s="1"/>
  <c r="AG162" i="4" s="1"/>
  <c r="AH162" i="4" s="1"/>
  <c r="AI162" i="4" s="1"/>
  <c r="AJ162" i="4" s="1"/>
  <c r="AK162" i="4" s="1"/>
  <c r="AL162" i="4" s="1"/>
  <c r="AM162" i="4" s="1"/>
  <c r="AN162" i="4" s="1"/>
  <c r="AO162" i="4" s="1"/>
  <c r="AP162" i="4" s="1"/>
  <c r="AQ162" i="4" s="1"/>
  <c r="AR162" i="4" s="1"/>
  <c r="AS162" i="4" s="1"/>
  <c r="AT162" i="4" s="1"/>
  <c r="AU162" i="4" s="1"/>
  <c r="AV162" i="4" s="1"/>
  <c r="AW162" i="4" s="1"/>
  <c r="AX162" i="4" s="1"/>
  <c r="AY162" i="4" s="1"/>
  <c r="AZ162" i="4" s="1"/>
  <c r="BA162" i="4" s="1"/>
  <c r="BB162" i="4" s="1"/>
  <c r="BC162" i="4" s="1"/>
  <c r="BD162" i="4" s="1"/>
  <c r="BE162" i="4" s="1"/>
  <c r="BF162" i="4" s="1"/>
  <c r="BG162" i="4" s="1"/>
  <c r="BH162" i="4" s="1"/>
  <c r="BI162" i="4" s="1"/>
  <c r="BJ162" i="4" s="1"/>
  <c r="BK162" i="4" s="1"/>
  <c r="BL162" i="4" s="1"/>
  <c r="BM162" i="4" s="1"/>
  <c r="BN162" i="4" s="1"/>
  <c r="BO162" i="4" s="1"/>
  <c r="BP162" i="4" s="1"/>
  <c r="B161" i="4"/>
  <c r="C161" i="4" s="1"/>
  <c r="D161" i="4" s="1"/>
  <c r="E161" i="4" s="1"/>
  <c r="F161" i="4" s="1"/>
  <c r="G161" i="4" s="1"/>
  <c r="H161" i="4" s="1"/>
  <c r="I161" i="4" s="1"/>
  <c r="J161" i="4" s="1"/>
  <c r="K161" i="4" s="1"/>
  <c r="L161" i="4" s="1"/>
  <c r="M161" i="4" s="1"/>
  <c r="N161" i="4" s="1"/>
  <c r="O161" i="4" s="1"/>
  <c r="P161" i="4" s="1"/>
  <c r="Q161" i="4" s="1"/>
  <c r="R161" i="4" s="1"/>
  <c r="S161" i="4" s="1"/>
  <c r="T161" i="4" s="1"/>
  <c r="U161" i="4" s="1"/>
  <c r="V161" i="4" s="1"/>
  <c r="W161" i="4" s="1"/>
  <c r="X161" i="4" s="1"/>
  <c r="Y161" i="4" s="1"/>
  <c r="Z161" i="4" s="1"/>
  <c r="AA161" i="4" s="1"/>
  <c r="AB161" i="4" s="1"/>
  <c r="AC161" i="4" s="1"/>
  <c r="AD161" i="4" s="1"/>
  <c r="AE161" i="4" s="1"/>
  <c r="AF161" i="4" s="1"/>
  <c r="AG161" i="4" s="1"/>
  <c r="AH161" i="4" s="1"/>
  <c r="AI161" i="4" s="1"/>
  <c r="AJ161" i="4" s="1"/>
  <c r="AK161" i="4" s="1"/>
  <c r="AL161" i="4" s="1"/>
  <c r="AM161" i="4" s="1"/>
  <c r="AN161" i="4" s="1"/>
  <c r="AO161" i="4" s="1"/>
  <c r="AP161" i="4" s="1"/>
  <c r="AQ161" i="4" s="1"/>
  <c r="AR161" i="4" s="1"/>
  <c r="AS161" i="4" s="1"/>
  <c r="AT161" i="4" s="1"/>
  <c r="AU161" i="4" s="1"/>
  <c r="AV161" i="4" s="1"/>
  <c r="AW161" i="4" s="1"/>
  <c r="AX161" i="4" s="1"/>
  <c r="AY161" i="4" s="1"/>
  <c r="AZ161" i="4" s="1"/>
  <c r="BA161" i="4" s="1"/>
  <c r="BB161" i="4" s="1"/>
  <c r="BC161" i="4" s="1"/>
  <c r="BD161" i="4" s="1"/>
  <c r="BE161" i="4" s="1"/>
  <c r="BF161" i="4" s="1"/>
  <c r="BG161" i="4" s="1"/>
  <c r="BH161" i="4" s="1"/>
  <c r="BI161" i="4" s="1"/>
  <c r="BJ161" i="4" s="1"/>
  <c r="BK161" i="4" s="1"/>
  <c r="BL161" i="4" s="1"/>
  <c r="BM161" i="4" s="1"/>
  <c r="BN161" i="4" s="1"/>
  <c r="BO161" i="4" s="1"/>
  <c r="BP161" i="4" s="1"/>
  <c r="B160" i="4"/>
  <c r="C160" i="4" s="1"/>
  <c r="D160" i="4" s="1"/>
  <c r="E160" i="4" s="1"/>
  <c r="F160" i="4" s="1"/>
  <c r="G160" i="4" s="1"/>
  <c r="H160" i="4" s="1"/>
  <c r="I160" i="4" s="1"/>
  <c r="J160" i="4" s="1"/>
  <c r="K160" i="4" s="1"/>
  <c r="L160" i="4" s="1"/>
  <c r="M160" i="4" s="1"/>
  <c r="N160" i="4" s="1"/>
  <c r="O160" i="4" s="1"/>
  <c r="P160" i="4" s="1"/>
  <c r="Q160" i="4" s="1"/>
  <c r="R160" i="4" s="1"/>
  <c r="S160" i="4" s="1"/>
  <c r="T160" i="4" s="1"/>
  <c r="U160" i="4" s="1"/>
  <c r="V160" i="4" s="1"/>
  <c r="W160" i="4" s="1"/>
  <c r="X160" i="4" s="1"/>
  <c r="Y160" i="4" s="1"/>
  <c r="Z160" i="4" s="1"/>
  <c r="AA160" i="4" s="1"/>
  <c r="AB160" i="4" s="1"/>
  <c r="AC160" i="4" s="1"/>
  <c r="AD160" i="4" s="1"/>
  <c r="AE160" i="4" s="1"/>
  <c r="AF160" i="4" s="1"/>
  <c r="AG160" i="4" s="1"/>
  <c r="AH160" i="4" s="1"/>
  <c r="AI160" i="4" s="1"/>
  <c r="AJ160" i="4" s="1"/>
  <c r="AK160" i="4" s="1"/>
  <c r="AL160" i="4" s="1"/>
  <c r="AM160" i="4" s="1"/>
  <c r="AN160" i="4" s="1"/>
  <c r="AO160" i="4" s="1"/>
  <c r="AP160" i="4" s="1"/>
  <c r="AQ160" i="4" s="1"/>
  <c r="AR160" i="4" s="1"/>
  <c r="AS160" i="4" s="1"/>
  <c r="AT160" i="4" s="1"/>
  <c r="AU160" i="4" s="1"/>
  <c r="AV160" i="4" s="1"/>
  <c r="AW160" i="4" s="1"/>
  <c r="AX160" i="4" s="1"/>
  <c r="AY160" i="4" s="1"/>
  <c r="AZ160" i="4" s="1"/>
  <c r="BA160" i="4" s="1"/>
  <c r="BB160" i="4" s="1"/>
  <c r="BC160" i="4" s="1"/>
  <c r="BD160" i="4" s="1"/>
  <c r="BE160" i="4" s="1"/>
  <c r="BF160" i="4" s="1"/>
  <c r="BG160" i="4" s="1"/>
  <c r="BH160" i="4" s="1"/>
  <c r="BI160" i="4" s="1"/>
  <c r="BJ160" i="4" s="1"/>
  <c r="BK160" i="4" s="1"/>
  <c r="BL160" i="4" s="1"/>
  <c r="BM160" i="4" s="1"/>
  <c r="BN160" i="4" s="1"/>
  <c r="BO160" i="4" s="1"/>
  <c r="BP160" i="4" s="1"/>
  <c r="B159" i="4"/>
  <c r="C159" i="4" s="1"/>
  <c r="D159" i="4" s="1"/>
  <c r="E159" i="4" s="1"/>
  <c r="F159" i="4" s="1"/>
  <c r="G159" i="4" s="1"/>
  <c r="H159" i="4" s="1"/>
  <c r="I159" i="4" s="1"/>
  <c r="J159" i="4" s="1"/>
  <c r="K159" i="4" s="1"/>
  <c r="L159" i="4" s="1"/>
  <c r="M159" i="4" s="1"/>
  <c r="N159" i="4" s="1"/>
  <c r="O159" i="4" s="1"/>
  <c r="P159" i="4" s="1"/>
  <c r="Q159" i="4" s="1"/>
  <c r="R159" i="4" s="1"/>
  <c r="S159" i="4" s="1"/>
  <c r="T159" i="4" s="1"/>
  <c r="U159" i="4" s="1"/>
  <c r="V159" i="4" s="1"/>
  <c r="W159" i="4" s="1"/>
  <c r="X159" i="4" s="1"/>
  <c r="Y159" i="4" s="1"/>
  <c r="Z159" i="4" s="1"/>
  <c r="AA159" i="4" s="1"/>
  <c r="AB159" i="4" s="1"/>
  <c r="AC159" i="4" s="1"/>
  <c r="AD159" i="4" s="1"/>
  <c r="AE159" i="4" s="1"/>
  <c r="AF159" i="4" s="1"/>
  <c r="AG159" i="4" s="1"/>
  <c r="AH159" i="4" s="1"/>
  <c r="AI159" i="4" s="1"/>
  <c r="AJ159" i="4" s="1"/>
  <c r="AK159" i="4" s="1"/>
  <c r="AL159" i="4" s="1"/>
  <c r="AM159" i="4" s="1"/>
  <c r="AN159" i="4" s="1"/>
  <c r="AO159" i="4" s="1"/>
  <c r="AP159" i="4" s="1"/>
  <c r="AQ159" i="4" s="1"/>
  <c r="AR159" i="4" s="1"/>
  <c r="AS159" i="4" s="1"/>
  <c r="AT159" i="4" s="1"/>
  <c r="AU159" i="4" s="1"/>
  <c r="AV159" i="4" s="1"/>
  <c r="AW159" i="4" s="1"/>
  <c r="AX159" i="4" s="1"/>
  <c r="AY159" i="4" s="1"/>
  <c r="AZ159" i="4" s="1"/>
  <c r="BA159" i="4" s="1"/>
  <c r="BB159" i="4" s="1"/>
  <c r="BC159" i="4" s="1"/>
  <c r="BD159" i="4" s="1"/>
  <c r="BE159" i="4" s="1"/>
  <c r="BF159" i="4" s="1"/>
  <c r="BG159" i="4" s="1"/>
  <c r="BH159" i="4" s="1"/>
  <c r="BI159" i="4" s="1"/>
  <c r="BJ159" i="4" s="1"/>
  <c r="BK159" i="4" s="1"/>
  <c r="BL159" i="4" s="1"/>
  <c r="BM159" i="4" s="1"/>
  <c r="BN159" i="4" s="1"/>
  <c r="BO159" i="4" s="1"/>
  <c r="BP159" i="4" s="1"/>
  <c r="B158" i="4"/>
  <c r="C158" i="4" s="1"/>
  <c r="D158" i="4" s="1"/>
  <c r="E158" i="4" s="1"/>
  <c r="F158" i="4" s="1"/>
  <c r="G158" i="4" s="1"/>
  <c r="H158" i="4" s="1"/>
  <c r="I158" i="4" s="1"/>
  <c r="J158" i="4" s="1"/>
  <c r="K158" i="4" s="1"/>
  <c r="L158" i="4" s="1"/>
  <c r="M158" i="4" s="1"/>
  <c r="N158" i="4" s="1"/>
  <c r="O158" i="4" s="1"/>
  <c r="P158" i="4" s="1"/>
  <c r="Q158" i="4" s="1"/>
  <c r="R158" i="4" s="1"/>
  <c r="S158" i="4" s="1"/>
  <c r="T158" i="4" s="1"/>
  <c r="U158" i="4" s="1"/>
  <c r="V158" i="4" s="1"/>
  <c r="W158" i="4" s="1"/>
  <c r="X158" i="4" s="1"/>
  <c r="Y158" i="4" s="1"/>
  <c r="Z158" i="4" s="1"/>
  <c r="AA158" i="4" s="1"/>
  <c r="AB158" i="4" s="1"/>
  <c r="AC158" i="4" s="1"/>
  <c r="AD158" i="4" s="1"/>
  <c r="AE158" i="4" s="1"/>
  <c r="AF158" i="4" s="1"/>
  <c r="AG158" i="4" s="1"/>
  <c r="AH158" i="4" s="1"/>
  <c r="AI158" i="4" s="1"/>
  <c r="AJ158" i="4" s="1"/>
  <c r="AK158" i="4" s="1"/>
  <c r="AL158" i="4" s="1"/>
  <c r="AM158" i="4" s="1"/>
  <c r="AN158" i="4" s="1"/>
  <c r="AO158" i="4" s="1"/>
  <c r="AP158" i="4" s="1"/>
  <c r="AQ158" i="4" s="1"/>
  <c r="AR158" i="4" s="1"/>
  <c r="AS158" i="4" s="1"/>
  <c r="AT158" i="4" s="1"/>
  <c r="AU158" i="4" s="1"/>
  <c r="AV158" i="4" s="1"/>
  <c r="AW158" i="4" s="1"/>
  <c r="AX158" i="4" s="1"/>
  <c r="AY158" i="4" s="1"/>
  <c r="AZ158" i="4" s="1"/>
  <c r="BA158" i="4" s="1"/>
  <c r="BB158" i="4" s="1"/>
  <c r="BC158" i="4" s="1"/>
  <c r="BD158" i="4" s="1"/>
  <c r="BE158" i="4" s="1"/>
  <c r="BF158" i="4" s="1"/>
  <c r="BG158" i="4" s="1"/>
  <c r="BH158" i="4" s="1"/>
  <c r="BI158" i="4" s="1"/>
  <c r="BJ158" i="4" s="1"/>
  <c r="BK158" i="4" s="1"/>
  <c r="BL158" i="4" s="1"/>
  <c r="BM158" i="4" s="1"/>
  <c r="BN158" i="4" s="1"/>
  <c r="BO158" i="4" s="1"/>
  <c r="BP158" i="4" s="1"/>
  <c r="B157" i="4"/>
  <c r="C157" i="4" s="1"/>
  <c r="D157" i="4" s="1"/>
  <c r="E157" i="4" s="1"/>
  <c r="F157" i="4" s="1"/>
  <c r="G157" i="4" s="1"/>
  <c r="H157" i="4" s="1"/>
  <c r="I157" i="4" s="1"/>
  <c r="J157" i="4" s="1"/>
  <c r="K157" i="4" s="1"/>
  <c r="L157" i="4" s="1"/>
  <c r="M157" i="4" s="1"/>
  <c r="N157" i="4" s="1"/>
  <c r="O157" i="4" s="1"/>
  <c r="P157" i="4" s="1"/>
  <c r="Q157" i="4" s="1"/>
  <c r="R157" i="4" s="1"/>
  <c r="S157" i="4" s="1"/>
  <c r="T157" i="4" s="1"/>
  <c r="U157" i="4" s="1"/>
  <c r="V157" i="4" s="1"/>
  <c r="W157" i="4" s="1"/>
  <c r="X157" i="4" s="1"/>
  <c r="Y157" i="4" s="1"/>
  <c r="Z157" i="4" s="1"/>
  <c r="AA157" i="4" s="1"/>
  <c r="AB157" i="4" s="1"/>
  <c r="AC157" i="4" s="1"/>
  <c r="AD157" i="4" s="1"/>
  <c r="AE157" i="4" s="1"/>
  <c r="AF157" i="4" s="1"/>
  <c r="AG157" i="4" s="1"/>
  <c r="AH157" i="4" s="1"/>
  <c r="AI157" i="4" s="1"/>
  <c r="AJ157" i="4" s="1"/>
  <c r="AK157" i="4" s="1"/>
  <c r="AL157" i="4" s="1"/>
  <c r="AM157" i="4" s="1"/>
  <c r="AN157" i="4" s="1"/>
  <c r="AO157" i="4" s="1"/>
  <c r="AP157" i="4" s="1"/>
  <c r="AQ157" i="4" s="1"/>
  <c r="AR157" i="4" s="1"/>
  <c r="AS157" i="4" s="1"/>
  <c r="AT157" i="4" s="1"/>
  <c r="AU157" i="4" s="1"/>
  <c r="AV157" i="4" s="1"/>
  <c r="AW157" i="4" s="1"/>
  <c r="AX157" i="4" s="1"/>
  <c r="AY157" i="4" s="1"/>
  <c r="AZ157" i="4" s="1"/>
  <c r="BA157" i="4" s="1"/>
  <c r="BB157" i="4" s="1"/>
  <c r="BC157" i="4" s="1"/>
  <c r="BD157" i="4" s="1"/>
  <c r="BE157" i="4" s="1"/>
  <c r="BF157" i="4" s="1"/>
  <c r="BG157" i="4" s="1"/>
  <c r="BH157" i="4" s="1"/>
  <c r="BI157" i="4" s="1"/>
  <c r="BJ157" i="4" s="1"/>
  <c r="BK157" i="4" s="1"/>
  <c r="BL157" i="4" s="1"/>
  <c r="BM157" i="4" s="1"/>
  <c r="BN157" i="4" s="1"/>
  <c r="BO157" i="4" s="1"/>
  <c r="BP157" i="4" s="1"/>
  <c r="B156" i="4"/>
  <c r="C156" i="4" s="1"/>
  <c r="D156" i="4" s="1"/>
  <c r="E156" i="4" s="1"/>
  <c r="F156" i="4" s="1"/>
  <c r="G156" i="4" s="1"/>
  <c r="H156" i="4" s="1"/>
  <c r="I156" i="4" s="1"/>
  <c r="J156" i="4" s="1"/>
  <c r="K156" i="4" s="1"/>
  <c r="L156" i="4" s="1"/>
  <c r="M156" i="4" s="1"/>
  <c r="N156" i="4" s="1"/>
  <c r="O156" i="4" s="1"/>
  <c r="P156" i="4" s="1"/>
  <c r="Q156" i="4" s="1"/>
  <c r="R156" i="4" s="1"/>
  <c r="S156" i="4" s="1"/>
  <c r="T156" i="4" s="1"/>
  <c r="U156" i="4" s="1"/>
  <c r="V156" i="4" s="1"/>
  <c r="W156" i="4" s="1"/>
  <c r="X156" i="4" s="1"/>
  <c r="Y156" i="4" s="1"/>
  <c r="Z156" i="4" s="1"/>
  <c r="AA156" i="4" s="1"/>
  <c r="AB156" i="4" s="1"/>
  <c r="AC156" i="4" s="1"/>
  <c r="AD156" i="4" s="1"/>
  <c r="AE156" i="4" s="1"/>
  <c r="AF156" i="4" s="1"/>
  <c r="AG156" i="4" s="1"/>
  <c r="AH156" i="4" s="1"/>
  <c r="AI156" i="4" s="1"/>
  <c r="AJ156" i="4" s="1"/>
  <c r="AK156" i="4" s="1"/>
  <c r="AL156" i="4" s="1"/>
  <c r="AM156" i="4" s="1"/>
  <c r="AN156" i="4" s="1"/>
  <c r="AO156" i="4" s="1"/>
  <c r="AP156" i="4" s="1"/>
  <c r="AQ156" i="4" s="1"/>
  <c r="AR156" i="4" s="1"/>
  <c r="AS156" i="4" s="1"/>
  <c r="AT156" i="4" s="1"/>
  <c r="AU156" i="4" s="1"/>
  <c r="AV156" i="4" s="1"/>
  <c r="AW156" i="4" s="1"/>
  <c r="AX156" i="4" s="1"/>
  <c r="AY156" i="4" s="1"/>
  <c r="AZ156" i="4" s="1"/>
  <c r="BA156" i="4" s="1"/>
  <c r="BB156" i="4" s="1"/>
  <c r="BC156" i="4" s="1"/>
  <c r="BD156" i="4" s="1"/>
  <c r="BE156" i="4" s="1"/>
  <c r="BF156" i="4" s="1"/>
  <c r="BG156" i="4" s="1"/>
  <c r="BH156" i="4" s="1"/>
  <c r="BI156" i="4" s="1"/>
  <c r="BJ156" i="4" s="1"/>
  <c r="BK156" i="4" s="1"/>
  <c r="BL156" i="4" s="1"/>
  <c r="BM156" i="4" s="1"/>
  <c r="BN156" i="4" s="1"/>
  <c r="BO156" i="4" s="1"/>
  <c r="BP156" i="4" s="1"/>
  <c r="B155" i="4"/>
  <c r="C155" i="4" s="1"/>
  <c r="D155" i="4" s="1"/>
  <c r="E155" i="4" s="1"/>
  <c r="F155" i="4" s="1"/>
  <c r="G155" i="4" s="1"/>
  <c r="H155" i="4" s="1"/>
  <c r="I155" i="4" s="1"/>
  <c r="J155" i="4" s="1"/>
  <c r="K155" i="4" s="1"/>
  <c r="L155" i="4" s="1"/>
  <c r="M155" i="4" s="1"/>
  <c r="N155" i="4" s="1"/>
  <c r="O155" i="4" s="1"/>
  <c r="P155" i="4" s="1"/>
  <c r="Q155" i="4" s="1"/>
  <c r="R155" i="4" s="1"/>
  <c r="S155" i="4" s="1"/>
  <c r="T155" i="4" s="1"/>
  <c r="U155" i="4" s="1"/>
  <c r="V155" i="4" s="1"/>
  <c r="W155" i="4" s="1"/>
  <c r="X155" i="4" s="1"/>
  <c r="Y155" i="4" s="1"/>
  <c r="Z155" i="4" s="1"/>
  <c r="AA155" i="4" s="1"/>
  <c r="AB155" i="4" s="1"/>
  <c r="AC155" i="4" s="1"/>
  <c r="AD155" i="4" s="1"/>
  <c r="AE155" i="4" s="1"/>
  <c r="AF155" i="4" s="1"/>
  <c r="AG155" i="4" s="1"/>
  <c r="AH155" i="4" s="1"/>
  <c r="AI155" i="4" s="1"/>
  <c r="AJ155" i="4" s="1"/>
  <c r="AK155" i="4" s="1"/>
  <c r="AL155" i="4" s="1"/>
  <c r="AM155" i="4" s="1"/>
  <c r="AN155" i="4" s="1"/>
  <c r="AO155" i="4" s="1"/>
  <c r="AP155" i="4" s="1"/>
  <c r="AQ155" i="4" s="1"/>
  <c r="AR155" i="4" s="1"/>
  <c r="AS155" i="4" s="1"/>
  <c r="AT155" i="4" s="1"/>
  <c r="AU155" i="4" s="1"/>
  <c r="AV155" i="4" s="1"/>
  <c r="AW155" i="4" s="1"/>
  <c r="AX155" i="4" s="1"/>
  <c r="AY155" i="4" s="1"/>
  <c r="AZ155" i="4" s="1"/>
  <c r="BA155" i="4" s="1"/>
  <c r="BB155" i="4" s="1"/>
  <c r="BC155" i="4" s="1"/>
  <c r="BD155" i="4" s="1"/>
  <c r="BE155" i="4" s="1"/>
  <c r="BF155" i="4" s="1"/>
  <c r="BG155" i="4" s="1"/>
  <c r="BH155" i="4" s="1"/>
  <c r="BI155" i="4" s="1"/>
  <c r="BJ155" i="4" s="1"/>
  <c r="BK155" i="4" s="1"/>
  <c r="BL155" i="4" s="1"/>
  <c r="BM155" i="4" s="1"/>
  <c r="BN155" i="4" s="1"/>
  <c r="BO155" i="4" s="1"/>
  <c r="BP155" i="4" s="1"/>
  <c r="B154" i="4"/>
  <c r="C154" i="4" s="1"/>
  <c r="D154" i="4" s="1"/>
  <c r="E154" i="4" s="1"/>
  <c r="F154" i="4" s="1"/>
  <c r="G154" i="4" s="1"/>
  <c r="H154" i="4" s="1"/>
  <c r="I154" i="4" s="1"/>
  <c r="J154" i="4" s="1"/>
  <c r="K154" i="4" s="1"/>
  <c r="L154" i="4" s="1"/>
  <c r="M154" i="4" s="1"/>
  <c r="N154" i="4" s="1"/>
  <c r="O154" i="4" s="1"/>
  <c r="P154" i="4" s="1"/>
  <c r="Q154" i="4" s="1"/>
  <c r="R154" i="4" s="1"/>
  <c r="S154" i="4" s="1"/>
  <c r="T154" i="4" s="1"/>
  <c r="U154" i="4" s="1"/>
  <c r="V154" i="4" s="1"/>
  <c r="W154" i="4" s="1"/>
  <c r="X154" i="4" s="1"/>
  <c r="Y154" i="4" s="1"/>
  <c r="Z154" i="4" s="1"/>
  <c r="AA154" i="4" s="1"/>
  <c r="AB154" i="4" s="1"/>
  <c r="AC154" i="4" s="1"/>
  <c r="AD154" i="4" s="1"/>
  <c r="AE154" i="4" s="1"/>
  <c r="AF154" i="4" s="1"/>
  <c r="AG154" i="4" s="1"/>
  <c r="AH154" i="4" s="1"/>
  <c r="AI154" i="4" s="1"/>
  <c r="AJ154" i="4" s="1"/>
  <c r="AK154" i="4" s="1"/>
  <c r="AL154" i="4" s="1"/>
  <c r="AM154" i="4" s="1"/>
  <c r="AN154" i="4" s="1"/>
  <c r="AO154" i="4" s="1"/>
  <c r="AP154" i="4" s="1"/>
  <c r="AQ154" i="4" s="1"/>
  <c r="AR154" i="4" s="1"/>
  <c r="AS154" i="4" s="1"/>
  <c r="AT154" i="4" s="1"/>
  <c r="AU154" i="4" s="1"/>
  <c r="AV154" i="4" s="1"/>
  <c r="AW154" i="4" s="1"/>
  <c r="AX154" i="4" s="1"/>
  <c r="AY154" i="4" s="1"/>
  <c r="AZ154" i="4" s="1"/>
  <c r="BA154" i="4" s="1"/>
  <c r="BB154" i="4" s="1"/>
  <c r="BC154" i="4" s="1"/>
  <c r="BD154" i="4" s="1"/>
  <c r="BE154" i="4" s="1"/>
  <c r="BF154" i="4" s="1"/>
  <c r="BG154" i="4" s="1"/>
  <c r="BH154" i="4" s="1"/>
  <c r="BI154" i="4" s="1"/>
  <c r="BJ154" i="4" s="1"/>
  <c r="BK154" i="4" s="1"/>
  <c r="BL154" i="4" s="1"/>
  <c r="BM154" i="4" s="1"/>
  <c r="BN154" i="4" s="1"/>
  <c r="BO154" i="4" s="1"/>
  <c r="BP154" i="4" s="1"/>
  <c r="B153" i="4"/>
  <c r="C153" i="4" s="1"/>
  <c r="D153" i="4" s="1"/>
  <c r="E153" i="4" s="1"/>
  <c r="F153" i="4" s="1"/>
  <c r="G153" i="4" s="1"/>
  <c r="H153" i="4" s="1"/>
  <c r="I153" i="4" s="1"/>
  <c r="J153" i="4" s="1"/>
  <c r="K153" i="4" s="1"/>
  <c r="L153" i="4" s="1"/>
  <c r="M153" i="4" s="1"/>
  <c r="N153" i="4" s="1"/>
  <c r="O153" i="4" s="1"/>
  <c r="P153" i="4" s="1"/>
  <c r="Q153" i="4" s="1"/>
  <c r="R153" i="4" s="1"/>
  <c r="S153" i="4" s="1"/>
  <c r="T153" i="4" s="1"/>
  <c r="U153" i="4" s="1"/>
  <c r="V153" i="4" s="1"/>
  <c r="W153" i="4" s="1"/>
  <c r="X153" i="4" s="1"/>
  <c r="Y153" i="4" s="1"/>
  <c r="Z153" i="4" s="1"/>
  <c r="AA153" i="4" s="1"/>
  <c r="AB153" i="4" s="1"/>
  <c r="AC153" i="4" s="1"/>
  <c r="AD153" i="4" s="1"/>
  <c r="AE153" i="4" s="1"/>
  <c r="AF153" i="4" s="1"/>
  <c r="AG153" i="4" s="1"/>
  <c r="AH153" i="4" s="1"/>
  <c r="AI153" i="4" s="1"/>
  <c r="AJ153" i="4" s="1"/>
  <c r="AK153" i="4" s="1"/>
  <c r="AL153" i="4" s="1"/>
  <c r="AM153" i="4" s="1"/>
  <c r="AN153" i="4" s="1"/>
  <c r="AO153" i="4" s="1"/>
  <c r="AP153" i="4" s="1"/>
  <c r="AQ153" i="4" s="1"/>
  <c r="AR153" i="4" s="1"/>
  <c r="AS153" i="4" s="1"/>
  <c r="AT153" i="4" s="1"/>
  <c r="AU153" i="4" s="1"/>
  <c r="AV153" i="4" s="1"/>
  <c r="AW153" i="4" s="1"/>
  <c r="AX153" i="4" s="1"/>
  <c r="AY153" i="4" s="1"/>
  <c r="AZ153" i="4" s="1"/>
  <c r="BA153" i="4" s="1"/>
  <c r="BB153" i="4" s="1"/>
  <c r="BC153" i="4" s="1"/>
  <c r="BD153" i="4" s="1"/>
  <c r="BE153" i="4" s="1"/>
  <c r="BF153" i="4" s="1"/>
  <c r="BG153" i="4" s="1"/>
  <c r="BH153" i="4" s="1"/>
  <c r="BI153" i="4" s="1"/>
  <c r="BJ153" i="4" s="1"/>
  <c r="BK153" i="4" s="1"/>
  <c r="BL153" i="4" s="1"/>
  <c r="BM153" i="4" s="1"/>
  <c r="BN153" i="4" s="1"/>
  <c r="BO153" i="4" s="1"/>
  <c r="BP153" i="4" s="1"/>
  <c r="B152" i="4"/>
  <c r="C152" i="4" s="1"/>
  <c r="D152" i="4" s="1"/>
  <c r="E152" i="4" s="1"/>
  <c r="F152" i="4" s="1"/>
  <c r="G152" i="4" s="1"/>
  <c r="H152" i="4" s="1"/>
  <c r="I152" i="4" s="1"/>
  <c r="J152" i="4" s="1"/>
  <c r="K152" i="4" s="1"/>
  <c r="L152" i="4" s="1"/>
  <c r="M152" i="4" s="1"/>
  <c r="N152" i="4" s="1"/>
  <c r="O152" i="4" s="1"/>
  <c r="P152" i="4" s="1"/>
  <c r="Q152" i="4" s="1"/>
  <c r="R152" i="4" s="1"/>
  <c r="S152" i="4" s="1"/>
  <c r="T152" i="4" s="1"/>
  <c r="U152" i="4" s="1"/>
  <c r="V152" i="4" s="1"/>
  <c r="W152" i="4" s="1"/>
  <c r="X152" i="4" s="1"/>
  <c r="Y152" i="4" s="1"/>
  <c r="Z152" i="4" s="1"/>
  <c r="AA152" i="4" s="1"/>
  <c r="AB152" i="4" s="1"/>
  <c r="AC152" i="4" s="1"/>
  <c r="AD152" i="4" s="1"/>
  <c r="AE152" i="4" s="1"/>
  <c r="AF152" i="4" s="1"/>
  <c r="AG152" i="4" s="1"/>
  <c r="AH152" i="4" s="1"/>
  <c r="AI152" i="4" s="1"/>
  <c r="AJ152" i="4" s="1"/>
  <c r="AK152" i="4" s="1"/>
  <c r="AL152" i="4" s="1"/>
  <c r="AM152" i="4" s="1"/>
  <c r="AN152" i="4" s="1"/>
  <c r="AO152" i="4" s="1"/>
  <c r="AP152" i="4" s="1"/>
  <c r="AQ152" i="4" s="1"/>
  <c r="AR152" i="4" s="1"/>
  <c r="AS152" i="4" s="1"/>
  <c r="AT152" i="4" s="1"/>
  <c r="AU152" i="4" s="1"/>
  <c r="AV152" i="4" s="1"/>
  <c r="AW152" i="4" s="1"/>
  <c r="AX152" i="4" s="1"/>
  <c r="AY152" i="4" s="1"/>
  <c r="AZ152" i="4" s="1"/>
  <c r="BA152" i="4" s="1"/>
  <c r="BB152" i="4" s="1"/>
  <c r="BC152" i="4" s="1"/>
  <c r="BD152" i="4" s="1"/>
  <c r="BE152" i="4" s="1"/>
  <c r="BF152" i="4" s="1"/>
  <c r="BG152" i="4" s="1"/>
  <c r="BH152" i="4" s="1"/>
  <c r="BI152" i="4" s="1"/>
  <c r="BJ152" i="4" s="1"/>
  <c r="BK152" i="4" s="1"/>
  <c r="BL152" i="4" s="1"/>
  <c r="BM152" i="4" s="1"/>
  <c r="BN152" i="4" s="1"/>
  <c r="BO152" i="4" s="1"/>
  <c r="BP152" i="4" s="1"/>
  <c r="B151" i="4"/>
  <c r="C151" i="4" s="1"/>
  <c r="D151" i="4" s="1"/>
  <c r="E151" i="4" s="1"/>
  <c r="F151" i="4" s="1"/>
  <c r="G151" i="4" s="1"/>
  <c r="H151" i="4" s="1"/>
  <c r="I151" i="4" s="1"/>
  <c r="J151" i="4" s="1"/>
  <c r="K151" i="4" s="1"/>
  <c r="L151" i="4" s="1"/>
  <c r="M151" i="4" s="1"/>
  <c r="N151" i="4" s="1"/>
  <c r="O151" i="4" s="1"/>
  <c r="P151" i="4" s="1"/>
  <c r="Q151" i="4" s="1"/>
  <c r="R151" i="4" s="1"/>
  <c r="S151" i="4" s="1"/>
  <c r="T151" i="4" s="1"/>
  <c r="U151" i="4" s="1"/>
  <c r="V151" i="4" s="1"/>
  <c r="W151" i="4" s="1"/>
  <c r="X151" i="4" s="1"/>
  <c r="Y151" i="4" s="1"/>
  <c r="Z151" i="4" s="1"/>
  <c r="AA151" i="4" s="1"/>
  <c r="AB151" i="4" s="1"/>
  <c r="AC151" i="4" s="1"/>
  <c r="AD151" i="4" s="1"/>
  <c r="AE151" i="4" s="1"/>
  <c r="AF151" i="4" s="1"/>
  <c r="AG151" i="4" s="1"/>
  <c r="AH151" i="4" s="1"/>
  <c r="AI151" i="4" s="1"/>
  <c r="AJ151" i="4" s="1"/>
  <c r="AK151" i="4" s="1"/>
  <c r="AL151" i="4" s="1"/>
  <c r="AM151" i="4" s="1"/>
  <c r="AN151" i="4" s="1"/>
  <c r="AO151" i="4" s="1"/>
  <c r="AP151" i="4" s="1"/>
  <c r="AQ151" i="4" s="1"/>
  <c r="AR151" i="4" s="1"/>
  <c r="AS151" i="4" s="1"/>
  <c r="AT151" i="4" s="1"/>
  <c r="AU151" i="4" s="1"/>
  <c r="AV151" i="4" s="1"/>
  <c r="AW151" i="4" s="1"/>
  <c r="AX151" i="4" s="1"/>
  <c r="AY151" i="4" s="1"/>
  <c r="AZ151" i="4" s="1"/>
  <c r="BA151" i="4" s="1"/>
  <c r="BB151" i="4" s="1"/>
  <c r="BC151" i="4" s="1"/>
  <c r="BD151" i="4" s="1"/>
  <c r="BE151" i="4" s="1"/>
  <c r="BF151" i="4" s="1"/>
  <c r="BG151" i="4" s="1"/>
  <c r="BH151" i="4" s="1"/>
  <c r="BI151" i="4" s="1"/>
  <c r="BJ151" i="4" s="1"/>
  <c r="BK151" i="4" s="1"/>
  <c r="BL151" i="4" s="1"/>
  <c r="BM151" i="4" s="1"/>
  <c r="BN151" i="4" s="1"/>
  <c r="BO151" i="4" s="1"/>
  <c r="BP151" i="4" s="1"/>
  <c r="B150" i="4"/>
  <c r="C150" i="4" s="1"/>
  <c r="D150" i="4" s="1"/>
  <c r="E150" i="4" s="1"/>
  <c r="F150" i="4" s="1"/>
  <c r="G150" i="4" s="1"/>
  <c r="H150" i="4" s="1"/>
  <c r="I150" i="4" s="1"/>
  <c r="J150" i="4" s="1"/>
  <c r="K150" i="4" s="1"/>
  <c r="L150" i="4" s="1"/>
  <c r="M150" i="4" s="1"/>
  <c r="N150" i="4" s="1"/>
  <c r="O150" i="4" s="1"/>
  <c r="P150" i="4" s="1"/>
  <c r="Q150" i="4" s="1"/>
  <c r="R150" i="4" s="1"/>
  <c r="S150" i="4" s="1"/>
  <c r="T150" i="4" s="1"/>
  <c r="U150" i="4" s="1"/>
  <c r="V150" i="4" s="1"/>
  <c r="W150" i="4" s="1"/>
  <c r="X150" i="4" s="1"/>
  <c r="Y150" i="4" s="1"/>
  <c r="Z150" i="4" s="1"/>
  <c r="AA150" i="4" s="1"/>
  <c r="AB150" i="4" s="1"/>
  <c r="AC150" i="4" s="1"/>
  <c r="AD150" i="4" s="1"/>
  <c r="AE150" i="4" s="1"/>
  <c r="AF150" i="4" s="1"/>
  <c r="AG150" i="4" s="1"/>
  <c r="AH150" i="4" s="1"/>
  <c r="AI150" i="4" s="1"/>
  <c r="AJ150" i="4" s="1"/>
  <c r="AK150" i="4" s="1"/>
  <c r="AL150" i="4" s="1"/>
  <c r="AM150" i="4" s="1"/>
  <c r="AN150" i="4" s="1"/>
  <c r="AO150" i="4" s="1"/>
  <c r="AP150" i="4" s="1"/>
  <c r="AQ150" i="4" s="1"/>
  <c r="AR150" i="4" s="1"/>
  <c r="AS150" i="4" s="1"/>
  <c r="AT150" i="4" s="1"/>
  <c r="AU150" i="4" s="1"/>
  <c r="AV150" i="4" s="1"/>
  <c r="AW150" i="4" s="1"/>
  <c r="AX150" i="4" s="1"/>
  <c r="AY150" i="4" s="1"/>
  <c r="AZ150" i="4" s="1"/>
  <c r="BA150" i="4" s="1"/>
  <c r="BB150" i="4" s="1"/>
  <c r="BC150" i="4" s="1"/>
  <c r="BD150" i="4" s="1"/>
  <c r="BE150" i="4" s="1"/>
  <c r="BF150" i="4" s="1"/>
  <c r="BG150" i="4" s="1"/>
  <c r="BH150" i="4" s="1"/>
  <c r="BI150" i="4" s="1"/>
  <c r="BJ150" i="4" s="1"/>
  <c r="BK150" i="4" s="1"/>
  <c r="BL150" i="4" s="1"/>
  <c r="BM150" i="4" s="1"/>
  <c r="BN150" i="4" s="1"/>
  <c r="BO150" i="4" s="1"/>
  <c r="BP150" i="4" s="1"/>
  <c r="B149" i="4"/>
  <c r="C149" i="4" s="1"/>
  <c r="D149" i="4" s="1"/>
  <c r="E149" i="4" s="1"/>
  <c r="F149" i="4" s="1"/>
  <c r="G149" i="4" s="1"/>
  <c r="H149" i="4" s="1"/>
  <c r="I149" i="4" s="1"/>
  <c r="J149" i="4" s="1"/>
  <c r="K149" i="4" s="1"/>
  <c r="L149" i="4" s="1"/>
  <c r="M149" i="4" s="1"/>
  <c r="N149" i="4" s="1"/>
  <c r="O149" i="4" s="1"/>
  <c r="P149" i="4" s="1"/>
  <c r="Q149" i="4" s="1"/>
  <c r="R149" i="4" s="1"/>
  <c r="S149" i="4" s="1"/>
  <c r="T149" i="4" s="1"/>
  <c r="U149" i="4" s="1"/>
  <c r="V149" i="4" s="1"/>
  <c r="W149" i="4" s="1"/>
  <c r="X149" i="4" s="1"/>
  <c r="Y149" i="4" s="1"/>
  <c r="Z149" i="4" s="1"/>
  <c r="AA149" i="4" s="1"/>
  <c r="AB149" i="4" s="1"/>
  <c r="AC149" i="4" s="1"/>
  <c r="AD149" i="4" s="1"/>
  <c r="AE149" i="4" s="1"/>
  <c r="AF149" i="4" s="1"/>
  <c r="AG149" i="4" s="1"/>
  <c r="AH149" i="4" s="1"/>
  <c r="AI149" i="4" s="1"/>
  <c r="AJ149" i="4" s="1"/>
  <c r="AK149" i="4" s="1"/>
  <c r="AL149" i="4" s="1"/>
  <c r="AM149" i="4" s="1"/>
  <c r="AN149" i="4" s="1"/>
  <c r="AO149" i="4" s="1"/>
  <c r="AP149" i="4" s="1"/>
  <c r="AQ149" i="4" s="1"/>
  <c r="AR149" i="4" s="1"/>
  <c r="AS149" i="4" s="1"/>
  <c r="AT149" i="4" s="1"/>
  <c r="AU149" i="4" s="1"/>
  <c r="AV149" i="4" s="1"/>
  <c r="AW149" i="4" s="1"/>
  <c r="AX149" i="4" s="1"/>
  <c r="AY149" i="4" s="1"/>
  <c r="AZ149" i="4" s="1"/>
  <c r="BA149" i="4" s="1"/>
  <c r="BB149" i="4" s="1"/>
  <c r="BC149" i="4" s="1"/>
  <c r="BD149" i="4" s="1"/>
  <c r="BE149" i="4" s="1"/>
  <c r="BF149" i="4" s="1"/>
  <c r="BG149" i="4" s="1"/>
  <c r="BH149" i="4" s="1"/>
  <c r="BI149" i="4" s="1"/>
  <c r="BJ149" i="4" s="1"/>
  <c r="BK149" i="4" s="1"/>
  <c r="BL149" i="4" s="1"/>
  <c r="BM149" i="4" s="1"/>
  <c r="BN149" i="4" s="1"/>
  <c r="BO149" i="4" s="1"/>
  <c r="BP149" i="4" s="1"/>
  <c r="B148" i="4"/>
  <c r="C148" i="4" s="1"/>
  <c r="D148" i="4" s="1"/>
  <c r="E148" i="4" s="1"/>
  <c r="F148" i="4" s="1"/>
  <c r="G148" i="4" s="1"/>
  <c r="H148" i="4" s="1"/>
  <c r="I148" i="4" s="1"/>
  <c r="J148" i="4" s="1"/>
  <c r="K148" i="4" s="1"/>
  <c r="L148" i="4" s="1"/>
  <c r="M148" i="4" s="1"/>
  <c r="N148" i="4" s="1"/>
  <c r="O148" i="4" s="1"/>
  <c r="P148" i="4" s="1"/>
  <c r="Q148" i="4" s="1"/>
  <c r="R148" i="4" s="1"/>
  <c r="S148" i="4" s="1"/>
  <c r="T148" i="4" s="1"/>
  <c r="U148" i="4" s="1"/>
  <c r="V148" i="4" s="1"/>
  <c r="W148" i="4" s="1"/>
  <c r="X148" i="4" s="1"/>
  <c r="Y148" i="4" s="1"/>
  <c r="Z148" i="4" s="1"/>
  <c r="AA148" i="4" s="1"/>
  <c r="AB148" i="4" s="1"/>
  <c r="AC148" i="4" s="1"/>
  <c r="AD148" i="4" s="1"/>
  <c r="AE148" i="4" s="1"/>
  <c r="AF148" i="4" s="1"/>
  <c r="AG148" i="4" s="1"/>
  <c r="AH148" i="4" s="1"/>
  <c r="AI148" i="4" s="1"/>
  <c r="AJ148" i="4" s="1"/>
  <c r="AK148" i="4" s="1"/>
  <c r="AL148" i="4" s="1"/>
  <c r="AM148" i="4" s="1"/>
  <c r="AN148" i="4" s="1"/>
  <c r="AO148" i="4" s="1"/>
  <c r="AP148" i="4" s="1"/>
  <c r="AQ148" i="4" s="1"/>
  <c r="AR148" i="4" s="1"/>
  <c r="AS148" i="4" s="1"/>
  <c r="AT148" i="4" s="1"/>
  <c r="AU148" i="4" s="1"/>
  <c r="AV148" i="4" s="1"/>
  <c r="AW148" i="4" s="1"/>
  <c r="AX148" i="4" s="1"/>
  <c r="AY148" i="4" s="1"/>
  <c r="AZ148" i="4" s="1"/>
  <c r="BA148" i="4" s="1"/>
  <c r="BB148" i="4" s="1"/>
  <c r="BC148" i="4" s="1"/>
  <c r="BD148" i="4" s="1"/>
  <c r="BE148" i="4" s="1"/>
  <c r="BF148" i="4" s="1"/>
  <c r="BG148" i="4" s="1"/>
  <c r="BH148" i="4" s="1"/>
  <c r="BI148" i="4" s="1"/>
  <c r="BJ148" i="4" s="1"/>
  <c r="BK148" i="4" s="1"/>
  <c r="BL148" i="4" s="1"/>
  <c r="BM148" i="4" s="1"/>
  <c r="BN148" i="4" s="1"/>
  <c r="BO148" i="4" s="1"/>
  <c r="BP148" i="4" s="1"/>
  <c r="B147" i="4"/>
  <c r="C147" i="4" s="1"/>
  <c r="D147" i="4" s="1"/>
  <c r="E147" i="4" s="1"/>
  <c r="F147" i="4" s="1"/>
  <c r="G147" i="4" s="1"/>
  <c r="H147" i="4" s="1"/>
  <c r="I147" i="4" s="1"/>
  <c r="J147" i="4" s="1"/>
  <c r="K147" i="4" s="1"/>
  <c r="L147" i="4" s="1"/>
  <c r="M147" i="4" s="1"/>
  <c r="N147" i="4" s="1"/>
  <c r="O147" i="4" s="1"/>
  <c r="P147" i="4" s="1"/>
  <c r="Q147" i="4" s="1"/>
  <c r="R147" i="4" s="1"/>
  <c r="S147" i="4" s="1"/>
  <c r="T147" i="4" s="1"/>
  <c r="U147" i="4" s="1"/>
  <c r="V147" i="4" s="1"/>
  <c r="W147" i="4" s="1"/>
  <c r="X147" i="4" s="1"/>
  <c r="Y147" i="4" s="1"/>
  <c r="Z147" i="4" s="1"/>
  <c r="AA147" i="4" s="1"/>
  <c r="AB147" i="4" s="1"/>
  <c r="AC147" i="4" s="1"/>
  <c r="AD147" i="4" s="1"/>
  <c r="AE147" i="4" s="1"/>
  <c r="AF147" i="4" s="1"/>
  <c r="AG147" i="4" s="1"/>
  <c r="AH147" i="4" s="1"/>
  <c r="AI147" i="4" s="1"/>
  <c r="AJ147" i="4" s="1"/>
  <c r="AK147" i="4" s="1"/>
  <c r="AL147" i="4" s="1"/>
  <c r="AM147" i="4" s="1"/>
  <c r="AN147" i="4" s="1"/>
  <c r="AO147" i="4" s="1"/>
  <c r="AP147" i="4" s="1"/>
  <c r="AQ147" i="4" s="1"/>
  <c r="AR147" i="4" s="1"/>
  <c r="AS147" i="4" s="1"/>
  <c r="AT147" i="4" s="1"/>
  <c r="AU147" i="4" s="1"/>
  <c r="AV147" i="4" s="1"/>
  <c r="AW147" i="4" s="1"/>
  <c r="AX147" i="4" s="1"/>
  <c r="AY147" i="4" s="1"/>
  <c r="AZ147" i="4" s="1"/>
  <c r="BA147" i="4" s="1"/>
  <c r="BB147" i="4" s="1"/>
  <c r="BC147" i="4" s="1"/>
  <c r="BD147" i="4" s="1"/>
  <c r="BE147" i="4" s="1"/>
  <c r="BF147" i="4" s="1"/>
  <c r="BG147" i="4" s="1"/>
  <c r="BH147" i="4" s="1"/>
  <c r="BI147" i="4" s="1"/>
  <c r="BJ147" i="4" s="1"/>
  <c r="BK147" i="4" s="1"/>
  <c r="BL147" i="4" s="1"/>
  <c r="BM147" i="4" s="1"/>
  <c r="BN147" i="4" s="1"/>
  <c r="BO147" i="4" s="1"/>
  <c r="BP147" i="4" s="1"/>
  <c r="B146" i="4"/>
  <c r="C146" i="4" s="1"/>
  <c r="D146" i="4" s="1"/>
  <c r="E146" i="4" s="1"/>
  <c r="F146" i="4" s="1"/>
  <c r="G146" i="4" s="1"/>
  <c r="H146" i="4" s="1"/>
  <c r="I146" i="4" s="1"/>
  <c r="J146" i="4" s="1"/>
  <c r="K146" i="4" s="1"/>
  <c r="L146" i="4" s="1"/>
  <c r="M146" i="4" s="1"/>
  <c r="N146" i="4" s="1"/>
  <c r="O146" i="4" s="1"/>
  <c r="P146" i="4" s="1"/>
  <c r="Q146" i="4" s="1"/>
  <c r="R146" i="4" s="1"/>
  <c r="S146" i="4" s="1"/>
  <c r="T146" i="4" s="1"/>
  <c r="U146" i="4" s="1"/>
  <c r="V146" i="4" s="1"/>
  <c r="W146" i="4" s="1"/>
  <c r="X146" i="4" s="1"/>
  <c r="Y146" i="4" s="1"/>
  <c r="Z146" i="4" s="1"/>
  <c r="AA146" i="4" s="1"/>
  <c r="AB146" i="4" s="1"/>
  <c r="AC146" i="4" s="1"/>
  <c r="AD146" i="4" s="1"/>
  <c r="AE146" i="4" s="1"/>
  <c r="AF146" i="4" s="1"/>
  <c r="AG146" i="4" s="1"/>
  <c r="AH146" i="4" s="1"/>
  <c r="AI146" i="4" s="1"/>
  <c r="AJ146" i="4" s="1"/>
  <c r="AK146" i="4" s="1"/>
  <c r="AL146" i="4" s="1"/>
  <c r="AM146" i="4" s="1"/>
  <c r="AN146" i="4" s="1"/>
  <c r="AO146" i="4" s="1"/>
  <c r="AP146" i="4" s="1"/>
  <c r="AQ146" i="4" s="1"/>
  <c r="AR146" i="4" s="1"/>
  <c r="AS146" i="4" s="1"/>
  <c r="AT146" i="4" s="1"/>
  <c r="AU146" i="4" s="1"/>
  <c r="AV146" i="4" s="1"/>
  <c r="AW146" i="4" s="1"/>
  <c r="AX146" i="4" s="1"/>
  <c r="AY146" i="4" s="1"/>
  <c r="AZ146" i="4" s="1"/>
  <c r="BA146" i="4" s="1"/>
  <c r="BB146" i="4" s="1"/>
  <c r="BC146" i="4" s="1"/>
  <c r="BD146" i="4" s="1"/>
  <c r="BE146" i="4" s="1"/>
  <c r="BF146" i="4" s="1"/>
  <c r="BG146" i="4" s="1"/>
  <c r="BH146" i="4" s="1"/>
  <c r="BI146" i="4" s="1"/>
  <c r="BJ146" i="4" s="1"/>
  <c r="BK146" i="4" s="1"/>
  <c r="BL146" i="4" s="1"/>
  <c r="BM146" i="4" s="1"/>
  <c r="BN146" i="4" s="1"/>
  <c r="BO146" i="4" s="1"/>
  <c r="BP146" i="4" s="1"/>
  <c r="B145" i="4"/>
  <c r="C145" i="4" s="1"/>
  <c r="D145" i="4" s="1"/>
  <c r="E145" i="4" s="1"/>
  <c r="F145" i="4" s="1"/>
  <c r="G145" i="4" s="1"/>
  <c r="H145" i="4" s="1"/>
  <c r="I145" i="4" s="1"/>
  <c r="J145" i="4" s="1"/>
  <c r="K145" i="4" s="1"/>
  <c r="L145" i="4" s="1"/>
  <c r="M145" i="4" s="1"/>
  <c r="N145" i="4" s="1"/>
  <c r="O145" i="4" s="1"/>
  <c r="P145" i="4" s="1"/>
  <c r="Q145" i="4" s="1"/>
  <c r="R145" i="4" s="1"/>
  <c r="S145" i="4" s="1"/>
  <c r="T145" i="4" s="1"/>
  <c r="U145" i="4" s="1"/>
  <c r="V145" i="4" s="1"/>
  <c r="W145" i="4" s="1"/>
  <c r="X145" i="4" s="1"/>
  <c r="Y145" i="4" s="1"/>
  <c r="Z145" i="4" s="1"/>
  <c r="AA145" i="4" s="1"/>
  <c r="AB145" i="4" s="1"/>
  <c r="AC145" i="4" s="1"/>
  <c r="AD145" i="4" s="1"/>
  <c r="AE145" i="4" s="1"/>
  <c r="AF145" i="4" s="1"/>
  <c r="AG145" i="4" s="1"/>
  <c r="AH145" i="4" s="1"/>
  <c r="AI145" i="4" s="1"/>
  <c r="AJ145" i="4" s="1"/>
  <c r="AK145" i="4" s="1"/>
  <c r="AL145" i="4" s="1"/>
  <c r="AM145" i="4" s="1"/>
  <c r="AN145" i="4" s="1"/>
  <c r="AO145" i="4" s="1"/>
  <c r="AP145" i="4" s="1"/>
  <c r="AQ145" i="4" s="1"/>
  <c r="AR145" i="4" s="1"/>
  <c r="AS145" i="4" s="1"/>
  <c r="AT145" i="4" s="1"/>
  <c r="AU145" i="4" s="1"/>
  <c r="AV145" i="4" s="1"/>
  <c r="AW145" i="4" s="1"/>
  <c r="AX145" i="4" s="1"/>
  <c r="AY145" i="4" s="1"/>
  <c r="AZ145" i="4" s="1"/>
  <c r="BA145" i="4" s="1"/>
  <c r="BB145" i="4" s="1"/>
  <c r="BC145" i="4" s="1"/>
  <c r="BD145" i="4" s="1"/>
  <c r="BE145" i="4" s="1"/>
  <c r="BF145" i="4" s="1"/>
  <c r="BG145" i="4" s="1"/>
  <c r="BH145" i="4" s="1"/>
  <c r="BI145" i="4" s="1"/>
  <c r="BJ145" i="4" s="1"/>
  <c r="BK145" i="4" s="1"/>
  <c r="BL145" i="4" s="1"/>
  <c r="BM145" i="4" s="1"/>
  <c r="BN145" i="4" s="1"/>
  <c r="BO145" i="4" s="1"/>
  <c r="BP145" i="4" s="1"/>
  <c r="B144" i="4"/>
  <c r="C144" i="4" s="1"/>
  <c r="D144" i="4" s="1"/>
  <c r="E144" i="4" s="1"/>
  <c r="F144" i="4" s="1"/>
  <c r="G144" i="4" s="1"/>
  <c r="H144" i="4" s="1"/>
  <c r="I144" i="4" s="1"/>
  <c r="J144" i="4" s="1"/>
  <c r="K144" i="4" s="1"/>
  <c r="L144" i="4" s="1"/>
  <c r="M144" i="4" s="1"/>
  <c r="N144" i="4" s="1"/>
  <c r="O144" i="4" s="1"/>
  <c r="P144" i="4" s="1"/>
  <c r="Q144" i="4" s="1"/>
  <c r="R144" i="4" s="1"/>
  <c r="S144" i="4" s="1"/>
  <c r="T144" i="4" s="1"/>
  <c r="U144" i="4" s="1"/>
  <c r="V144" i="4" s="1"/>
  <c r="W144" i="4" s="1"/>
  <c r="X144" i="4" s="1"/>
  <c r="Y144" i="4" s="1"/>
  <c r="Z144" i="4" s="1"/>
  <c r="AA144" i="4" s="1"/>
  <c r="AB144" i="4" s="1"/>
  <c r="AC144" i="4" s="1"/>
  <c r="AD144" i="4" s="1"/>
  <c r="AE144" i="4" s="1"/>
  <c r="AF144" i="4" s="1"/>
  <c r="AG144" i="4" s="1"/>
  <c r="AH144" i="4" s="1"/>
  <c r="AI144" i="4" s="1"/>
  <c r="AJ144" i="4" s="1"/>
  <c r="AK144" i="4" s="1"/>
  <c r="AL144" i="4" s="1"/>
  <c r="AM144" i="4" s="1"/>
  <c r="AN144" i="4" s="1"/>
  <c r="AO144" i="4" s="1"/>
  <c r="AP144" i="4" s="1"/>
  <c r="AQ144" i="4" s="1"/>
  <c r="AR144" i="4" s="1"/>
  <c r="AS144" i="4" s="1"/>
  <c r="AT144" i="4" s="1"/>
  <c r="AU144" i="4" s="1"/>
  <c r="AV144" i="4" s="1"/>
  <c r="AW144" i="4" s="1"/>
  <c r="AX144" i="4" s="1"/>
  <c r="AY144" i="4" s="1"/>
  <c r="AZ144" i="4" s="1"/>
  <c r="BA144" i="4" s="1"/>
  <c r="BB144" i="4" s="1"/>
  <c r="BC144" i="4" s="1"/>
  <c r="BD144" i="4" s="1"/>
  <c r="BE144" i="4" s="1"/>
  <c r="BF144" i="4" s="1"/>
  <c r="BG144" i="4" s="1"/>
  <c r="BH144" i="4" s="1"/>
  <c r="BI144" i="4" s="1"/>
  <c r="BJ144" i="4" s="1"/>
  <c r="BK144" i="4" s="1"/>
  <c r="BL144" i="4" s="1"/>
  <c r="BM144" i="4" s="1"/>
  <c r="BN144" i="4" s="1"/>
  <c r="BO144" i="4" s="1"/>
  <c r="BP144" i="4" s="1"/>
  <c r="B143" i="4"/>
  <c r="C143" i="4" s="1"/>
  <c r="D143" i="4" s="1"/>
  <c r="E143" i="4" s="1"/>
  <c r="F143" i="4" s="1"/>
  <c r="G143" i="4" s="1"/>
  <c r="H143" i="4" s="1"/>
  <c r="I143" i="4" s="1"/>
  <c r="J143" i="4" s="1"/>
  <c r="K143" i="4" s="1"/>
  <c r="L143" i="4" s="1"/>
  <c r="M143" i="4" s="1"/>
  <c r="N143" i="4" s="1"/>
  <c r="O143" i="4" s="1"/>
  <c r="P143" i="4" s="1"/>
  <c r="Q143" i="4" s="1"/>
  <c r="R143" i="4" s="1"/>
  <c r="S143" i="4" s="1"/>
  <c r="T143" i="4" s="1"/>
  <c r="U143" i="4" s="1"/>
  <c r="V143" i="4" s="1"/>
  <c r="W143" i="4" s="1"/>
  <c r="X143" i="4" s="1"/>
  <c r="Y143" i="4" s="1"/>
  <c r="Z143" i="4" s="1"/>
  <c r="AA143" i="4" s="1"/>
  <c r="AB143" i="4" s="1"/>
  <c r="AC143" i="4" s="1"/>
  <c r="AD143" i="4" s="1"/>
  <c r="AE143" i="4" s="1"/>
  <c r="AF143" i="4" s="1"/>
  <c r="AG143" i="4" s="1"/>
  <c r="AH143" i="4" s="1"/>
  <c r="AI143" i="4" s="1"/>
  <c r="AJ143" i="4" s="1"/>
  <c r="AK143" i="4" s="1"/>
  <c r="AL143" i="4" s="1"/>
  <c r="AM143" i="4" s="1"/>
  <c r="AN143" i="4" s="1"/>
  <c r="AO143" i="4" s="1"/>
  <c r="AP143" i="4" s="1"/>
  <c r="AQ143" i="4" s="1"/>
  <c r="AR143" i="4" s="1"/>
  <c r="AS143" i="4" s="1"/>
  <c r="AT143" i="4" s="1"/>
  <c r="AU143" i="4" s="1"/>
  <c r="AV143" i="4" s="1"/>
  <c r="AW143" i="4" s="1"/>
  <c r="AX143" i="4" s="1"/>
  <c r="AY143" i="4" s="1"/>
  <c r="AZ143" i="4" s="1"/>
  <c r="BA143" i="4" s="1"/>
  <c r="BB143" i="4" s="1"/>
  <c r="BC143" i="4" s="1"/>
  <c r="BD143" i="4" s="1"/>
  <c r="BE143" i="4" s="1"/>
  <c r="BF143" i="4" s="1"/>
  <c r="BG143" i="4" s="1"/>
  <c r="BH143" i="4" s="1"/>
  <c r="BI143" i="4" s="1"/>
  <c r="BJ143" i="4" s="1"/>
  <c r="BK143" i="4" s="1"/>
  <c r="BL143" i="4" s="1"/>
  <c r="BM143" i="4" s="1"/>
  <c r="BN143" i="4" s="1"/>
  <c r="BO143" i="4" s="1"/>
  <c r="BP143" i="4" s="1"/>
  <c r="B142" i="4"/>
  <c r="C142" i="4" s="1"/>
  <c r="D142" i="4" s="1"/>
  <c r="E142" i="4" s="1"/>
  <c r="F142" i="4" s="1"/>
  <c r="G142" i="4" s="1"/>
  <c r="H142" i="4" s="1"/>
  <c r="I142" i="4" s="1"/>
  <c r="J142" i="4" s="1"/>
  <c r="K142" i="4" s="1"/>
  <c r="L142" i="4" s="1"/>
  <c r="M142" i="4" s="1"/>
  <c r="N142" i="4" s="1"/>
  <c r="O142" i="4" s="1"/>
  <c r="P142" i="4" s="1"/>
  <c r="Q142" i="4" s="1"/>
  <c r="R142" i="4" s="1"/>
  <c r="S142" i="4" s="1"/>
  <c r="T142" i="4" s="1"/>
  <c r="U142" i="4" s="1"/>
  <c r="V142" i="4" s="1"/>
  <c r="W142" i="4" s="1"/>
  <c r="X142" i="4" s="1"/>
  <c r="Y142" i="4" s="1"/>
  <c r="Z142" i="4" s="1"/>
  <c r="AA142" i="4" s="1"/>
  <c r="AB142" i="4" s="1"/>
  <c r="AC142" i="4" s="1"/>
  <c r="AD142" i="4" s="1"/>
  <c r="AE142" i="4" s="1"/>
  <c r="AF142" i="4" s="1"/>
  <c r="AG142" i="4" s="1"/>
  <c r="AH142" i="4" s="1"/>
  <c r="AI142" i="4" s="1"/>
  <c r="AJ142" i="4" s="1"/>
  <c r="AK142" i="4" s="1"/>
  <c r="AL142" i="4" s="1"/>
  <c r="AM142" i="4" s="1"/>
  <c r="AN142" i="4" s="1"/>
  <c r="AO142" i="4" s="1"/>
  <c r="AP142" i="4" s="1"/>
  <c r="AQ142" i="4" s="1"/>
  <c r="AR142" i="4" s="1"/>
  <c r="AS142" i="4" s="1"/>
  <c r="AT142" i="4" s="1"/>
  <c r="AU142" i="4" s="1"/>
  <c r="AV142" i="4" s="1"/>
  <c r="AW142" i="4" s="1"/>
  <c r="AX142" i="4" s="1"/>
  <c r="AY142" i="4" s="1"/>
  <c r="AZ142" i="4" s="1"/>
  <c r="BA142" i="4" s="1"/>
  <c r="BB142" i="4" s="1"/>
  <c r="BC142" i="4" s="1"/>
  <c r="BD142" i="4" s="1"/>
  <c r="BE142" i="4" s="1"/>
  <c r="BF142" i="4" s="1"/>
  <c r="BG142" i="4" s="1"/>
  <c r="BH142" i="4" s="1"/>
  <c r="BI142" i="4" s="1"/>
  <c r="BJ142" i="4" s="1"/>
  <c r="BK142" i="4" s="1"/>
  <c r="BL142" i="4" s="1"/>
  <c r="BM142" i="4" s="1"/>
  <c r="BN142" i="4" s="1"/>
  <c r="BO142" i="4" s="1"/>
  <c r="BP142" i="4" s="1"/>
  <c r="B141" i="4"/>
  <c r="C141" i="4" s="1"/>
  <c r="D141" i="4" s="1"/>
  <c r="E141" i="4" s="1"/>
  <c r="F141" i="4" s="1"/>
  <c r="G141" i="4" s="1"/>
  <c r="H141" i="4" s="1"/>
  <c r="I141" i="4" s="1"/>
  <c r="J141" i="4" s="1"/>
  <c r="K141" i="4" s="1"/>
  <c r="L141" i="4" s="1"/>
  <c r="M141" i="4" s="1"/>
  <c r="N141" i="4" s="1"/>
  <c r="O141" i="4" s="1"/>
  <c r="P141" i="4" s="1"/>
  <c r="Q141" i="4" s="1"/>
  <c r="R141" i="4" s="1"/>
  <c r="S141" i="4" s="1"/>
  <c r="T141" i="4" s="1"/>
  <c r="U141" i="4" s="1"/>
  <c r="V141" i="4" s="1"/>
  <c r="W141" i="4" s="1"/>
  <c r="X141" i="4" s="1"/>
  <c r="Y141" i="4" s="1"/>
  <c r="Z141" i="4" s="1"/>
  <c r="AA141" i="4" s="1"/>
  <c r="AB141" i="4" s="1"/>
  <c r="AC141" i="4" s="1"/>
  <c r="AD141" i="4" s="1"/>
  <c r="AE141" i="4" s="1"/>
  <c r="AF141" i="4" s="1"/>
  <c r="AG141" i="4" s="1"/>
  <c r="AH141" i="4" s="1"/>
  <c r="AI141" i="4" s="1"/>
  <c r="AJ141" i="4" s="1"/>
  <c r="AK141" i="4" s="1"/>
  <c r="AL141" i="4" s="1"/>
  <c r="AM141" i="4" s="1"/>
  <c r="AN141" i="4" s="1"/>
  <c r="AO141" i="4" s="1"/>
  <c r="AP141" i="4" s="1"/>
  <c r="AQ141" i="4" s="1"/>
  <c r="AR141" i="4" s="1"/>
  <c r="AS141" i="4" s="1"/>
  <c r="AT141" i="4" s="1"/>
  <c r="AU141" i="4" s="1"/>
  <c r="AV141" i="4" s="1"/>
  <c r="AW141" i="4" s="1"/>
  <c r="AX141" i="4" s="1"/>
  <c r="AY141" i="4" s="1"/>
  <c r="AZ141" i="4" s="1"/>
  <c r="BA141" i="4" s="1"/>
  <c r="BB141" i="4" s="1"/>
  <c r="BC141" i="4" s="1"/>
  <c r="BD141" i="4" s="1"/>
  <c r="BE141" i="4" s="1"/>
  <c r="BF141" i="4" s="1"/>
  <c r="BG141" i="4" s="1"/>
  <c r="BH141" i="4" s="1"/>
  <c r="BI141" i="4" s="1"/>
  <c r="BJ141" i="4" s="1"/>
  <c r="BK141" i="4" s="1"/>
  <c r="BL141" i="4" s="1"/>
  <c r="BM141" i="4" s="1"/>
  <c r="BN141" i="4" s="1"/>
  <c r="BO141" i="4" s="1"/>
  <c r="BP141" i="4" s="1"/>
  <c r="B140" i="4"/>
  <c r="C140" i="4" s="1"/>
  <c r="D140" i="4" s="1"/>
  <c r="E140" i="4" s="1"/>
  <c r="F140" i="4" s="1"/>
  <c r="G140" i="4" s="1"/>
  <c r="H140" i="4" s="1"/>
  <c r="I140" i="4" s="1"/>
  <c r="J140" i="4" s="1"/>
  <c r="K140" i="4" s="1"/>
  <c r="L140" i="4" s="1"/>
  <c r="M140" i="4" s="1"/>
  <c r="N140" i="4" s="1"/>
  <c r="O140" i="4" s="1"/>
  <c r="P140" i="4" s="1"/>
  <c r="Q140" i="4" s="1"/>
  <c r="R140" i="4" s="1"/>
  <c r="S140" i="4" s="1"/>
  <c r="T140" i="4" s="1"/>
  <c r="U140" i="4" s="1"/>
  <c r="V140" i="4" s="1"/>
  <c r="W140" i="4" s="1"/>
  <c r="X140" i="4" s="1"/>
  <c r="Y140" i="4" s="1"/>
  <c r="Z140" i="4" s="1"/>
  <c r="AA140" i="4" s="1"/>
  <c r="AB140" i="4" s="1"/>
  <c r="AC140" i="4" s="1"/>
  <c r="AD140" i="4" s="1"/>
  <c r="AE140" i="4" s="1"/>
  <c r="AF140" i="4" s="1"/>
  <c r="AG140" i="4" s="1"/>
  <c r="AH140" i="4" s="1"/>
  <c r="AI140" i="4" s="1"/>
  <c r="AJ140" i="4" s="1"/>
  <c r="AK140" i="4" s="1"/>
  <c r="AL140" i="4" s="1"/>
  <c r="AM140" i="4" s="1"/>
  <c r="AN140" i="4" s="1"/>
  <c r="AO140" i="4" s="1"/>
  <c r="AP140" i="4" s="1"/>
  <c r="AQ140" i="4" s="1"/>
  <c r="AR140" i="4" s="1"/>
  <c r="AS140" i="4" s="1"/>
  <c r="AT140" i="4" s="1"/>
  <c r="AU140" i="4" s="1"/>
  <c r="AV140" i="4" s="1"/>
  <c r="AW140" i="4" s="1"/>
  <c r="AX140" i="4" s="1"/>
  <c r="AY140" i="4" s="1"/>
  <c r="AZ140" i="4" s="1"/>
  <c r="BA140" i="4" s="1"/>
  <c r="BB140" i="4" s="1"/>
  <c r="BC140" i="4" s="1"/>
  <c r="BD140" i="4" s="1"/>
  <c r="BE140" i="4" s="1"/>
  <c r="BF140" i="4" s="1"/>
  <c r="BG140" i="4" s="1"/>
  <c r="BH140" i="4" s="1"/>
  <c r="BI140" i="4" s="1"/>
  <c r="BJ140" i="4" s="1"/>
  <c r="BK140" i="4" s="1"/>
  <c r="BL140" i="4" s="1"/>
  <c r="BM140" i="4" s="1"/>
  <c r="BN140" i="4" s="1"/>
  <c r="BO140" i="4" s="1"/>
  <c r="BP140" i="4" s="1"/>
  <c r="B139" i="4"/>
  <c r="C139" i="4" s="1"/>
  <c r="D139" i="4" s="1"/>
  <c r="E139" i="4" s="1"/>
  <c r="F139" i="4" s="1"/>
  <c r="G139" i="4" s="1"/>
  <c r="H139" i="4" s="1"/>
  <c r="I139" i="4" s="1"/>
  <c r="J139" i="4" s="1"/>
  <c r="K139" i="4" s="1"/>
  <c r="L139" i="4" s="1"/>
  <c r="M139" i="4" s="1"/>
  <c r="N139" i="4" s="1"/>
  <c r="O139" i="4" s="1"/>
  <c r="P139" i="4" s="1"/>
  <c r="Q139" i="4" s="1"/>
  <c r="R139" i="4" s="1"/>
  <c r="S139" i="4" s="1"/>
  <c r="T139" i="4" s="1"/>
  <c r="U139" i="4" s="1"/>
  <c r="V139" i="4" s="1"/>
  <c r="W139" i="4" s="1"/>
  <c r="X139" i="4" s="1"/>
  <c r="Y139" i="4" s="1"/>
  <c r="Z139" i="4" s="1"/>
  <c r="AA139" i="4" s="1"/>
  <c r="AB139" i="4" s="1"/>
  <c r="AC139" i="4" s="1"/>
  <c r="AD139" i="4" s="1"/>
  <c r="AE139" i="4" s="1"/>
  <c r="AF139" i="4" s="1"/>
  <c r="AG139" i="4" s="1"/>
  <c r="AH139" i="4" s="1"/>
  <c r="AI139" i="4" s="1"/>
  <c r="AJ139" i="4" s="1"/>
  <c r="AK139" i="4" s="1"/>
  <c r="AL139" i="4" s="1"/>
  <c r="AM139" i="4" s="1"/>
  <c r="AN139" i="4" s="1"/>
  <c r="AO139" i="4" s="1"/>
  <c r="AP139" i="4" s="1"/>
  <c r="AQ139" i="4" s="1"/>
  <c r="AR139" i="4" s="1"/>
  <c r="AS139" i="4" s="1"/>
  <c r="AT139" i="4" s="1"/>
  <c r="AU139" i="4" s="1"/>
  <c r="AV139" i="4" s="1"/>
  <c r="AW139" i="4" s="1"/>
  <c r="AX139" i="4" s="1"/>
  <c r="AY139" i="4" s="1"/>
  <c r="AZ139" i="4" s="1"/>
  <c r="BA139" i="4" s="1"/>
  <c r="BB139" i="4" s="1"/>
  <c r="BC139" i="4" s="1"/>
  <c r="BD139" i="4" s="1"/>
  <c r="BE139" i="4" s="1"/>
  <c r="BF139" i="4" s="1"/>
  <c r="BG139" i="4" s="1"/>
  <c r="BH139" i="4" s="1"/>
  <c r="BI139" i="4" s="1"/>
  <c r="BJ139" i="4" s="1"/>
  <c r="BK139" i="4" s="1"/>
  <c r="BL139" i="4" s="1"/>
  <c r="BM139" i="4" s="1"/>
  <c r="BN139" i="4" s="1"/>
  <c r="BO139" i="4" s="1"/>
  <c r="BP139" i="4" s="1"/>
  <c r="B138" i="4"/>
  <c r="C138" i="4" s="1"/>
  <c r="D138" i="4" s="1"/>
  <c r="E138" i="4" s="1"/>
  <c r="F138" i="4" s="1"/>
  <c r="G138" i="4" s="1"/>
  <c r="H138" i="4" s="1"/>
  <c r="I138" i="4" s="1"/>
  <c r="J138" i="4" s="1"/>
  <c r="K138" i="4" s="1"/>
  <c r="L138" i="4" s="1"/>
  <c r="M138" i="4" s="1"/>
  <c r="N138" i="4" s="1"/>
  <c r="O138" i="4" s="1"/>
  <c r="P138" i="4" s="1"/>
  <c r="Q138" i="4" s="1"/>
  <c r="R138" i="4" s="1"/>
  <c r="S138" i="4" s="1"/>
  <c r="T138" i="4" s="1"/>
  <c r="U138" i="4" s="1"/>
  <c r="V138" i="4" s="1"/>
  <c r="W138" i="4" s="1"/>
  <c r="X138" i="4" s="1"/>
  <c r="Y138" i="4" s="1"/>
  <c r="Z138" i="4" s="1"/>
  <c r="AA138" i="4" s="1"/>
  <c r="AB138" i="4" s="1"/>
  <c r="AC138" i="4" s="1"/>
  <c r="AD138" i="4" s="1"/>
  <c r="AE138" i="4" s="1"/>
  <c r="AF138" i="4" s="1"/>
  <c r="AG138" i="4" s="1"/>
  <c r="AH138" i="4" s="1"/>
  <c r="AI138" i="4" s="1"/>
  <c r="AJ138" i="4" s="1"/>
  <c r="AK138" i="4" s="1"/>
  <c r="AL138" i="4" s="1"/>
  <c r="AM138" i="4" s="1"/>
  <c r="AN138" i="4" s="1"/>
  <c r="AO138" i="4" s="1"/>
  <c r="AP138" i="4" s="1"/>
  <c r="AQ138" i="4" s="1"/>
  <c r="AR138" i="4" s="1"/>
  <c r="AS138" i="4" s="1"/>
  <c r="AT138" i="4" s="1"/>
  <c r="AU138" i="4" s="1"/>
  <c r="AV138" i="4" s="1"/>
  <c r="AW138" i="4" s="1"/>
  <c r="AX138" i="4" s="1"/>
  <c r="AY138" i="4" s="1"/>
  <c r="AZ138" i="4" s="1"/>
  <c r="BA138" i="4" s="1"/>
  <c r="BB138" i="4" s="1"/>
  <c r="BC138" i="4" s="1"/>
  <c r="BD138" i="4" s="1"/>
  <c r="BE138" i="4" s="1"/>
  <c r="BF138" i="4" s="1"/>
  <c r="BG138" i="4" s="1"/>
  <c r="BH138" i="4" s="1"/>
  <c r="BI138" i="4" s="1"/>
  <c r="BJ138" i="4" s="1"/>
  <c r="BK138" i="4" s="1"/>
  <c r="BL138" i="4" s="1"/>
  <c r="BM138" i="4" s="1"/>
  <c r="BN138" i="4" s="1"/>
  <c r="BO138" i="4" s="1"/>
  <c r="BP138" i="4" s="1"/>
  <c r="B137" i="4"/>
  <c r="C137" i="4" s="1"/>
  <c r="D137" i="4" s="1"/>
  <c r="E137" i="4" s="1"/>
  <c r="F137" i="4" s="1"/>
  <c r="G137" i="4" s="1"/>
  <c r="H137" i="4" s="1"/>
  <c r="I137" i="4" s="1"/>
  <c r="J137" i="4" s="1"/>
  <c r="K137" i="4" s="1"/>
  <c r="L137" i="4" s="1"/>
  <c r="M137" i="4" s="1"/>
  <c r="N137" i="4" s="1"/>
  <c r="O137" i="4" s="1"/>
  <c r="P137" i="4" s="1"/>
  <c r="Q137" i="4" s="1"/>
  <c r="R137" i="4" s="1"/>
  <c r="S137" i="4" s="1"/>
  <c r="T137" i="4" s="1"/>
  <c r="U137" i="4" s="1"/>
  <c r="V137" i="4" s="1"/>
  <c r="W137" i="4" s="1"/>
  <c r="X137" i="4" s="1"/>
  <c r="Y137" i="4" s="1"/>
  <c r="Z137" i="4" s="1"/>
  <c r="AA137" i="4" s="1"/>
  <c r="AB137" i="4" s="1"/>
  <c r="AC137" i="4" s="1"/>
  <c r="AD137" i="4" s="1"/>
  <c r="AE137" i="4" s="1"/>
  <c r="AF137" i="4" s="1"/>
  <c r="AG137" i="4" s="1"/>
  <c r="AH137" i="4" s="1"/>
  <c r="AI137" i="4" s="1"/>
  <c r="AJ137" i="4" s="1"/>
  <c r="AK137" i="4" s="1"/>
  <c r="AL137" i="4" s="1"/>
  <c r="AM137" i="4" s="1"/>
  <c r="AN137" i="4" s="1"/>
  <c r="AO137" i="4" s="1"/>
  <c r="AP137" i="4" s="1"/>
  <c r="AQ137" i="4" s="1"/>
  <c r="AR137" i="4" s="1"/>
  <c r="AS137" i="4" s="1"/>
  <c r="AT137" i="4" s="1"/>
  <c r="AU137" i="4" s="1"/>
  <c r="AV137" i="4" s="1"/>
  <c r="AW137" i="4" s="1"/>
  <c r="AX137" i="4" s="1"/>
  <c r="AY137" i="4" s="1"/>
  <c r="AZ137" i="4" s="1"/>
  <c r="BA137" i="4" s="1"/>
  <c r="BB137" i="4" s="1"/>
  <c r="BC137" i="4" s="1"/>
  <c r="BD137" i="4" s="1"/>
  <c r="BE137" i="4" s="1"/>
  <c r="BF137" i="4" s="1"/>
  <c r="BG137" i="4" s="1"/>
  <c r="BH137" i="4" s="1"/>
  <c r="BI137" i="4" s="1"/>
  <c r="BJ137" i="4" s="1"/>
  <c r="BK137" i="4" s="1"/>
  <c r="BL137" i="4" s="1"/>
  <c r="BM137" i="4" s="1"/>
  <c r="BN137" i="4" s="1"/>
  <c r="BO137" i="4" s="1"/>
  <c r="BP137" i="4" s="1"/>
  <c r="B136" i="4"/>
  <c r="C136" i="4" s="1"/>
  <c r="D136" i="4" s="1"/>
  <c r="E136" i="4" s="1"/>
  <c r="F136" i="4" s="1"/>
  <c r="G136" i="4" s="1"/>
  <c r="H136" i="4" s="1"/>
  <c r="I136" i="4" s="1"/>
  <c r="J136" i="4" s="1"/>
  <c r="K136" i="4" s="1"/>
  <c r="L136" i="4" s="1"/>
  <c r="M136" i="4" s="1"/>
  <c r="N136" i="4" s="1"/>
  <c r="O136" i="4" s="1"/>
  <c r="P136" i="4" s="1"/>
  <c r="Q136" i="4" s="1"/>
  <c r="R136" i="4" s="1"/>
  <c r="S136" i="4" s="1"/>
  <c r="T136" i="4" s="1"/>
  <c r="U136" i="4" s="1"/>
  <c r="V136" i="4" s="1"/>
  <c r="W136" i="4" s="1"/>
  <c r="X136" i="4" s="1"/>
  <c r="Y136" i="4" s="1"/>
  <c r="Z136" i="4" s="1"/>
  <c r="AA136" i="4" s="1"/>
  <c r="AB136" i="4" s="1"/>
  <c r="AC136" i="4" s="1"/>
  <c r="AD136" i="4" s="1"/>
  <c r="AE136" i="4" s="1"/>
  <c r="AF136" i="4" s="1"/>
  <c r="AG136" i="4" s="1"/>
  <c r="AH136" i="4" s="1"/>
  <c r="AI136" i="4" s="1"/>
  <c r="AJ136" i="4" s="1"/>
  <c r="AK136" i="4" s="1"/>
  <c r="AL136" i="4" s="1"/>
  <c r="AM136" i="4" s="1"/>
  <c r="AN136" i="4" s="1"/>
  <c r="AO136" i="4" s="1"/>
  <c r="AP136" i="4" s="1"/>
  <c r="AQ136" i="4" s="1"/>
  <c r="AR136" i="4" s="1"/>
  <c r="AS136" i="4" s="1"/>
  <c r="AT136" i="4" s="1"/>
  <c r="AU136" i="4" s="1"/>
  <c r="AV136" i="4" s="1"/>
  <c r="AW136" i="4" s="1"/>
  <c r="AX136" i="4" s="1"/>
  <c r="AY136" i="4" s="1"/>
  <c r="AZ136" i="4" s="1"/>
  <c r="BA136" i="4" s="1"/>
  <c r="BB136" i="4" s="1"/>
  <c r="BC136" i="4" s="1"/>
  <c r="BD136" i="4" s="1"/>
  <c r="BE136" i="4" s="1"/>
  <c r="BF136" i="4" s="1"/>
  <c r="BG136" i="4" s="1"/>
  <c r="BH136" i="4" s="1"/>
  <c r="BI136" i="4" s="1"/>
  <c r="BJ136" i="4" s="1"/>
  <c r="BK136" i="4" s="1"/>
  <c r="BL136" i="4" s="1"/>
  <c r="BM136" i="4" s="1"/>
  <c r="BN136" i="4" s="1"/>
  <c r="BO136" i="4" s="1"/>
  <c r="BP136" i="4" s="1"/>
  <c r="B135" i="4"/>
  <c r="C135" i="4" s="1"/>
  <c r="D135" i="4" s="1"/>
  <c r="E135" i="4" s="1"/>
  <c r="F135" i="4" s="1"/>
  <c r="G135" i="4" s="1"/>
  <c r="H135" i="4" s="1"/>
  <c r="I135" i="4" s="1"/>
  <c r="J135" i="4" s="1"/>
  <c r="K135" i="4" s="1"/>
  <c r="L135" i="4" s="1"/>
  <c r="M135" i="4" s="1"/>
  <c r="N135" i="4" s="1"/>
  <c r="O135" i="4" s="1"/>
  <c r="P135" i="4" s="1"/>
  <c r="Q135" i="4" s="1"/>
  <c r="R135" i="4" s="1"/>
  <c r="S135" i="4" s="1"/>
  <c r="T135" i="4" s="1"/>
  <c r="U135" i="4" s="1"/>
  <c r="V135" i="4" s="1"/>
  <c r="W135" i="4" s="1"/>
  <c r="X135" i="4" s="1"/>
  <c r="Y135" i="4" s="1"/>
  <c r="Z135" i="4" s="1"/>
  <c r="AA135" i="4" s="1"/>
  <c r="AB135" i="4" s="1"/>
  <c r="AC135" i="4" s="1"/>
  <c r="AD135" i="4" s="1"/>
  <c r="AE135" i="4" s="1"/>
  <c r="AF135" i="4" s="1"/>
  <c r="AG135" i="4" s="1"/>
  <c r="AH135" i="4" s="1"/>
  <c r="AI135" i="4" s="1"/>
  <c r="AJ135" i="4" s="1"/>
  <c r="AK135" i="4" s="1"/>
  <c r="AL135" i="4" s="1"/>
  <c r="AM135" i="4" s="1"/>
  <c r="AN135" i="4" s="1"/>
  <c r="AO135" i="4" s="1"/>
  <c r="AP135" i="4" s="1"/>
  <c r="AQ135" i="4" s="1"/>
  <c r="AR135" i="4" s="1"/>
  <c r="AS135" i="4" s="1"/>
  <c r="AT135" i="4" s="1"/>
  <c r="AU135" i="4" s="1"/>
  <c r="AV135" i="4" s="1"/>
  <c r="AW135" i="4" s="1"/>
  <c r="AX135" i="4" s="1"/>
  <c r="AY135" i="4" s="1"/>
  <c r="AZ135" i="4" s="1"/>
  <c r="BA135" i="4" s="1"/>
  <c r="BB135" i="4" s="1"/>
  <c r="BC135" i="4" s="1"/>
  <c r="BD135" i="4" s="1"/>
  <c r="BE135" i="4" s="1"/>
  <c r="BF135" i="4" s="1"/>
  <c r="BG135" i="4" s="1"/>
  <c r="BH135" i="4" s="1"/>
  <c r="BI135" i="4" s="1"/>
  <c r="BJ135" i="4" s="1"/>
  <c r="BK135" i="4" s="1"/>
  <c r="BL135" i="4" s="1"/>
  <c r="BM135" i="4" s="1"/>
  <c r="BN135" i="4" s="1"/>
  <c r="BO135" i="4" s="1"/>
  <c r="BP135" i="4" s="1"/>
  <c r="B134" i="4"/>
  <c r="C134" i="4" s="1"/>
  <c r="D134" i="4" s="1"/>
  <c r="E134" i="4" s="1"/>
  <c r="F134" i="4" s="1"/>
  <c r="G134" i="4" s="1"/>
  <c r="H134" i="4" s="1"/>
  <c r="I134" i="4" s="1"/>
  <c r="J134" i="4" s="1"/>
  <c r="K134" i="4" s="1"/>
  <c r="L134" i="4" s="1"/>
  <c r="M134" i="4" s="1"/>
  <c r="N134" i="4" s="1"/>
  <c r="O134" i="4" s="1"/>
  <c r="P134" i="4" s="1"/>
  <c r="Q134" i="4" s="1"/>
  <c r="R134" i="4" s="1"/>
  <c r="S134" i="4" s="1"/>
  <c r="T134" i="4" s="1"/>
  <c r="U134" i="4" s="1"/>
  <c r="V134" i="4" s="1"/>
  <c r="W134" i="4" s="1"/>
  <c r="X134" i="4" s="1"/>
  <c r="Y134" i="4" s="1"/>
  <c r="Z134" i="4" s="1"/>
  <c r="AA134" i="4" s="1"/>
  <c r="AB134" i="4" s="1"/>
  <c r="AC134" i="4" s="1"/>
  <c r="AD134" i="4" s="1"/>
  <c r="AE134" i="4" s="1"/>
  <c r="AF134" i="4" s="1"/>
  <c r="AG134" i="4" s="1"/>
  <c r="AH134" i="4" s="1"/>
  <c r="AI134" i="4" s="1"/>
  <c r="AJ134" i="4" s="1"/>
  <c r="AK134" i="4" s="1"/>
  <c r="AL134" i="4" s="1"/>
  <c r="AM134" i="4" s="1"/>
  <c r="AN134" i="4" s="1"/>
  <c r="AO134" i="4" s="1"/>
  <c r="AP134" i="4" s="1"/>
  <c r="AQ134" i="4" s="1"/>
  <c r="AR134" i="4" s="1"/>
  <c r="AS134" i="4" s="1"/>
  <c r="AT134" i="4" s="1"/>
  <c r="AU134" i="4" s="1"/>
  <c r="AV134" i="4" s="1"/>
  <c r="AW134" i="4" s="1"/>
  <c r="AX134" i="4" s="1"/>
  <c r="AY134" i="4" s="1"/>
  <c r="AZ134" i="4" s="1"/>
  <c r="BA134" i="4" s="1"/>
  <c r="BB134" i="4" s="1"/>
  <c r="BC134" i="4" s="1"/>
  <c r="BD134" i="4" s="1"/>
  <c r="BE134" i="4" s="1"/>
  <c r="BF134" i="4" s="1"/>
  <c r="BG134" i="4" s="1"/>
  <c r="BH134" i="4" s="1"/>
  <c r="BI134" i="4" s="1"/>
  <c r="BJ134" i="4" s="1"/>
  <c r="BK134" i="4" s="1"/>
  <c r="BL134" i="4" s="1"/>
  <c r="BM134" i="4" s="1"/>
  <c r="BN134" i="4" s="1"/>
  <c r="BO134" i="4" s="1"/>
  <c r="BP134" i="4" s="1"/>
  <c r="B133" i="4"/>
  <c r="C133" i="4" s="1"/>
  <c r="D133" i="4" s="1"/>
  <c r="E133" i="4" s="1"/>
  <c r="F133" i="4" s="1"/>
  <c r="G133" i="4" s="1"/>
  <c r="H133" i="4" s="1"/>
  <c r="I133" i="4" s="1"/>
  <c r="J133" i="4" s="1"/>
  <c r="K133" i="4" s="1"/>
  <c r="L133" i="4" s="1"/>
  <c r="M133" i="4" s="1"/>
  <c r="N133" i="4" s="1"/>
  <c r="O133" i="4" s="1"/>
  <c r="P133" i="4" s="1"/>
  <c r="Q133" i="4" s="1"/>
  <c r="R133" i="4" s="1"/>
  <c r="S133" i="4" s="1"/>
  <c r="T133" i="4" s="1"/>
  <c r="U133" i="4" s="1"/>
  <c r="V133" i="4" s="1"/>
  <c r="W133" i="4" s="1"/>
  <c r="X133" i="4" s="1"/>
  <c r="Y133" i="4" s="1"/>
  <c r="Z133" i="4" s="1"/>
  <c r="AA133" i="4" s="1"/>
  <c r="AB133" i="4" s="1"/>
  <c r="AC133" i="4" s="1"/>
  <c r="AD133" i="4" s="1"/>
  <c r="AE133" i="4" s="1"/>
  <c r="AF133" i="4" s="1"/>
  <c r="AG133" i="4" s="1"/>
  <c r="AH133" i="4" s="1"/>
  <c r="AI133" i="4" s="1"/>
  <c r="AJ133" i="4" s="1"/>
  <c r="AK133" i="4" s="1"/>
  <c r="AL133" i="4" s="1"/>
  <c r="AM133" i="4" s="1"/>
  <c r="AN133" i="4" s="1"/>
  <c r="AO133" i="4" s="1"/>
  <c r="AP133" i="4" s="1"/>
  <c r="AQ133" i="4" s="1"/>
  <c r="AR133" i="4" s="1"/>
  <c r="AS133" i="4" s="1"/>
  <c r="AT133" i="4" s="1"/>
  <c r="AU133" i="4" s="1"/>
  <c r="AV133" i="4" s="1"/>
  <c r="AW133" i="4" s="1"/>
  <c r="AX133" i="4" s="1"/>
  <c r="AY133" i="4" s="1"/>
  <c r="AZ133" i="4" s="1"/>
  <c r="BA133" i="4" s="1"/>
  <c r="BB133" i="4" s="1"/>
  <c r="BC133" i="4" s="1"/>
  <c r="BD133" i="4" s="1"/>
  <c r="BE133" i="4" s="1"/>
  <c r="BF133" i="4" s="1"/>
  <c r="BG133" i="4" s="1"/>
  <c r="BH133" i="4" s="1"/>
  <c r="BI133" i="4" s="1"/>
  <c r="BJ133" i="4" s="1"/>
  <c r="BK133" i="4" s="1"/>
  <c r="BL133" i="4" s="1"/>
  <c r="BM133" i="4" s="1"/>
  <c r="BN133" i="4" s="1"/>
  <c r="BO133" i="4" s="1"/>
  <c r="BP133" i="4" s="1"/>
  <c r="B132" i="4"/>
  <c r="C132" i="4" s="1"/>
  <c r="D132" i="4" s="1"/>
  <c r="E132" i="4" s="1"/>
  <c r="F132" i="4" s="1"/>
  <c r="G132" i="4" s="1"/>
  <c r="H132" i="4" s="1"/>
  <c r="I132" i="4" s="1"/>
  <c r="J132" i="4" s="1"/>
  <c r="K132" i="4" s="1"/>
  <c r="L132" i="4" s="1"/>
  <c r="M132" i="4" s="1"/>
  <c r="N132" i="4" s="1"/>
  <c r="O132" i="4" s="1"/>
  <c r="P132" i="4" s="1"/>
  <c r="Q132" i="4" s="1"/>
  <c r="R132" i="4" s="1"/>
  <c r="S132" i="4" s="1"/>
  <c r="T132" i="4" s="1"/>
  <c r="U132" i="4" s="1"/>
  <c r="V132" i="4" s="1"/>
  <c r="W132" i="4" s="1"/>
  <c r="X132" i="4" s="1"/>
  <c r="Y132" i="4" s="1"/>
  <c r="Z132" i="4" s="1"/>
  <c r="AA132" i="4" s="1"/>
  <c r="AB132" i="4" s="1"/>
  <c r="AC132" i="4" s="1"/>
  <c r="AD132" i="4" s="1"/>
  <c r="AE132" i="4" s="1"/>
  <c r="AF132" i="4" s="1"/>
  <c r="AG132" i="4" s="1"/>
  <c r="AH132" i="4" s="1"/>
  <c r="AI132" i="4" s="1"/>
  <c r="AJ132" i="4" s="1"/>
  <c r="AK132" i="4" s="1"/>
  <c r="AL132" i="4" s="1"/>
  <c r="AM132" i="4" s="1"/>
  <c r="AN132" i="4" s="1"/>
  <c r="AO132" i="4" s="1"/>
  <c r="AP132" i="4" s="1"/>
  <c r="AQ132" i="4" s="1"/>
  <c r="AR132" i="4" s="1"/>
  <c r="AS132" i="4" s="1"/>
  <c r="AT132" i="4" s="1"/>
  <c r="AU132" i="4" s="1"/>
  <c r="AV132" i="4" s="1"/>
  <c r="AW132" i="4" s="1"/>
  <c r="AX132" i="4" s="1"/>
  <c r="AY132" i="4" s="1"/>
  <c r="AZ132" i="4" s="1"/>
  <c r="BA132" i="4" s="1"/>
  <c r="BB132" i="4" s="1"/>
  <c r="BC132" i="4" s="1"/>
  <c r="BD132" i="4" s="1"/>
  <c r="BE132" i="4" s="1"/>
  <c r="BF132" i="4" s="1"/>
  <c r="BG132" i="4" s="1"/>
  <c r="BH132" i="4" s="1"/>
  <c r="BI132" i="4" s="1"/>
  <c r="BJ132" i="4" s="1"/>
  <c r="BK132" i="4" s="1"/>
  <c r="BL132" i="4" s="1"/>
  <c r="BM132" i="4" s="1"/>
  <c r="BN132" i="4" s="1"/>
  <c r="BO132" i="4" s="1"/>
  <c r="BP132" i="4" s="1"/>
  <c r="B131" i="4"/>
  <c r="C131" i="4" s="1"/>
  <c r="D131" i="4" s="1"/>
  <c r="E131" i="4" s="1"/>
  <c r="F131" i="4" s="1"/>
  <c r="G131" i="4" s="1"/>
  <c r="H131" i="4" s="1"/>
  <c r="I131" i="4" s="1"/>
  <c r="J131" i="4" s="1"/>
  <c r="K131" i="4" s="1"/>
  <c r="L131" i="4" s="1"/>
  <c r="M131" i="4" s="1"/>
  <c r="N131" i="4" s="1"/>
  <c r="O131" i="4" s="1"/>
  <c r="P131" i="4" s="1"/>
  <c r="Q131" i="4" s="1"/>
  <c r="R131" i="4" s="1"/>
  <c r="S131" i="4" s="1"/>
  <c r="T131" i="4" s="1"/>
  <c r="U131" i="4" s="1"/>
  <c r="V131" i="4" s="1"/>
  <c r="W131" i="4" s="1"/>
  <c r="X131" i="4" s="1"/>
  <c r="Y131" i="4" s="1"/>
  <c r="Z131" i="4" s="1"/>
  <c r="AA131" i="4" s="1"/>
  <c r="AB131" i="4" s="1"/>
  <c r="AC131" i="4" s="1"/>
  <c r="AD131" i="4" s="1"/>
  <c r="AE131" i="4" s="1"/>
  <c r="AF131" i="4" s="1"/>
  <c r="AG131" i="4" s="1"/>
  <c r="AH131" i="4" s="1"/>
  <c r="AI131" i="4" s="1"/>
  <c r="AJ131" i="4" s="1"/>
  <c r="AK131" i="4" s="1"/>
  <c r="AL131" i="4" s="1"/>
  <c r="AM131" i="4" s="1"/>
  <c r="AN131" i="4" s="1"/>
  <c r="AO131" i="4" s="1"/>
  <c r="AP131" i="4" s="1"/>
  <c r="AQ131" i="4" s="1"/>
  <c r="AR131" i="4" s="1"/>
  <c r="AS131" i="4" s="1"/>
  <c r="AT131" i="4" s="1"/>
  <c r="AU131" i="4" s="1"/>
  <c r="AV131" i="4" s="1"/>
  <c r="AW131" i="4" s="1"/>
  <c r="AX131" i="4" s="1"/>
  <c r="AY131" i="4" s="1"/>
  <c r="AZ131" i="4" s="1"/>
  <c r="BA131" i="4" s="1"/>
  <c r="BB131" i="4" s="1"/>
  <c r="BC131" i="4" s="1"/>
  <c r="BD131" i="4" s="1"/>
  <c r="BE131" i="4" s="1"/>
  <c r="BF131" i="4" s="1"/>
  <c r="BG131" i="4" s="1"/>
  <c r="BH131" i="4" s="1"/>
  <c r="BI131" i="4" s="1"/>
  <c r="BJ131" i="4" s="1"/>
  <c r="BK131" i="4" s="1"/>
  <c r="BL131" i="4" s="1"/>
  <c r="BM131" i="4" s="1"/>
  <c r="BN131" i="4" s="1"/>
  <c r="BO131" i="4" s="1"/>
  <c r="BP131" i="4" s="1"/>
  <c r="B130" i="4"/>
  <c r="C130" i="4" s="1"/>
  <c r="D130" i="4" s="1"/>
  <c r="E130" i="4" s="1"/>
  <c r="F130" i="4" s="1"/>
  <c r="G130" i="4" s="1"/>
  <c r="H130" i="4" s="1"/>
  <c r="I130" i="4" s="1"/>
  <c r="J130" i="4" s="1"/>
  <c r="K130" i="4" s="1"/>
  <c r="L130" i="4" s="1"/>
  <c r="M130" i="4" s="1"/>
  <c r="N130" i="4" s="1"/>
  <c r="O130" i="4" s="1"/>
  <c r="P130" i="4" s="1"/>
  <c r="Q130" i="4" s="1"/>
  <c r="R130" i="4" s="1"/>
  <c r="S130" i="4" s="1"/>
  <c r="T130" i="4" s="1"/>
  <c r="U130" i="4" s="1"/>
  <c r="V130" i="4" s="1"/>
  <c r="W130" i="4" s="1"/>
  <c r="X130" i="4" s="1"/>
  <c r="Y130" i="4" s="1"/>
  <c r="Z130" i="4" s="1"/>
  <c r="AA130" i="4" s="1"/>
  <c r="AB130" i="4" s="1"/>
  <c r="AC130" i="4" s="1"/>
  <c r="AD130" i="4" s="1"/>
  <c r="AE130" i="4" s="1"/>
  <c r="AF130" i="4" s="1"/>
  <c r="AG130" i="4" s="1"/>
  <c r="AH130" i="4" s="1"/>
  <c r="AI130" i="4" s="1"/>
  <c r="AJ130" i="4" s="1"/>
  <c r="AK130" i="4" s="1"/>
  <c r="AL130" i="4" s="1"/>
  <c r="AM130" i="4" s="1"/>
  <c r="AN130" i="4" s="1"/>
  <c r="AO130" i="4" s="1"/>
  <c r="AP130" i="4" s="1"/>
  <c r="AQ130" i="4" s="1"/>
  <c r="AR130" i="4" s="1"/>
  <c r="AS130" i="4" s="1"/>
  <c r="AT130" i="4" s="1"/>
  <c r="AU130" i="4" s="1"/>
  <c r="AV130" i="4" s="1"/>
  <c r="AW130" i="4" s="1"/>
  <c r="AX130" i="4" s="1"/>
  <c r="AY130" i="4" s="1"/>
  <c r="AZ130" i="4" s="1"/>
  <c r="BA130" i="4" s="1"/>
  <c r="BB130" i="4" s="1"/>
  <c r="BC130" i="4" s="1"/>
  <c r="BD130" i="4" s="1"/>
  <c r="BE130" i="4" s="1"/>
  <c r="BF130" i="4" s="1"/>
  <c r="BG130" i="4" s="1"/>
  <c r="BH130" i="4" s="1"/>
  <c r="BI130" i="4" s="1"/>
  <c r="BJ130" i="4" s="1"/>
  <c r="BK130" i="4" s="1"/>
  <c r="BL130" i="4" s="1"/>
  <c r="BM130" i="4" s="1"/>
  <c r="BN130" i="4" s="1"/>
  <c r="BO130" i="4" s="1"/>
  <c r="BP130" i="4" s="1"/>
  <c r="B129" i="4"/>
  <c r="C129" i="4" s="1"/>
  <c r="D129" i="4" s="1"/>
  <c r="E129" i="4" s="1"/>
  <c r="F129" i="4" s="1"/>
  <c r="G129" i="4" s="1"/>
  <c r="H129" i="4" s="1"/>
  <c r="I129" i="4" s="1"/>
  <c r="J129" i="4" s="1"/>
  <c r="K129" i="4" s="1"/>
  <c r="L129" i="4" s="1"/>
  <c r="M129" i="4" s="1"/>
  <c r="N129" i="4" s="1"/>
  <c r="O129" i="4" s="1"/>
  <c r="P129" i="4" s="1"/>
  <c r="Q129" i="4" s="1"/>
  <c r="R129" i="4" s="1"/>
  <c r="S129" i="4" s="1"/>
  <c r="T129" i="4" s="1"/>
  <c r="U129" i="4" s="1"/>
  <c r="V129" i="4" s="1"/>
  <c r="W129" i="4" s="1"/>
  <c r="X129" i="4" s="1"/>
  <c r="Y129" i="4" s="1"/>
  <c r="Z129" i="4" s="1"/>
  <c r="AA129" i="4" s="1"/>
  <c r="AB129" i="4" s="1"/>
  <c r="AC129" i="4" s="1"/>
  <c r="AD129" i="4" s="1"/>
  <c r="AE129" i="4" s="1"/>
  <c r="AF129" i="4" s="1"/>
  <c r="AG129" i="4" s="1"/>
  <c r="AH129" i="4" s="1"/>
  <c r="AI129" i="4" s="1"/>
  <c r="AJ129" i="4" s="1"/>
  <c r="AK129" i="4" s="1"/>
  <c r="AL129" i="4" s="1"/>
  <c r="AM129" i="4" s="1"/>
  <c r="AN129" i="4" s="1"/>
  <c r="AO129" i="4" s="1"/>
  <c r="AP129" i="4" s="1"/>
  <c r="AQ129" i="4" s="1"/>
  <c r="AR129" i="4" s="1"/>
  <c r="AS129" i="4" s="1"/>
  <c r="AT129" i="4" s="1"/>
  <c r="AU129" i="4" s="1"/>
  <c r="AV129" i="4" s="1"/>
  <c r="AW129" i="4" s="1"/>
  <c r="AX129" i="4" s="1"/>
  <c r="AY129" i="4" s="1"/>
  <c r="AZ129" i="4" s="1"/>
  <c r="BA129" i="4" s="1"/>
  <c r="BB129" i="4" s="1"/>
  <c r="BC129" i="4" s="1"/>
  <c r="BD129" i="4" s="1"/>
  <c r="BE129" i="4" s="1"/>
  <c r="BF129" i="4" s="1"/>
  <c r="BG129" i="4" s="1"/>
  <c r="BH129" i="4" s="1"/>
  <c r="BI129" i="4" s="1"/>
  <c r="BJ129" i="4" s="1"/>
  <c r="BK129" i="4" s="1"/>
  <c r="BL129" i="4" s="1"/>
  <c r="BM129" i="4" s="1"/>
  <c r="BN129" i="4" s="1"/>
  <c r="BO129" i="4" s="1"/>
  <c r="BP129" i="4" s="1"/>
  <c r="B128" i="4"/>
  <c r="C128" i="4" s="1"/>
  <c r="D128" i="4" s="1"/>
  <c r="E128" i="4" s="1"/>
  <c r="F128" i="4" s="1"/>
  <c r="G128" i="4" s="1"/>
  <c r="H128" i="4" s="1"/>
  <c r="I128" i="4" s="1"/>
  <c r="J128" i="4" s="1"/>
  <c r="K128" i="4" s="1"/>
  <c r="L128" i="4" s="1"/>
  <c r="M128" i="4" s="1"/>
  <c r="N128" i="4" s="1"/>
  <c r="O128" i="4" s="1"/>
  <c r="P128" i="4" s="1"/>
  <c r="Q128" i="4" s="1"/>
  <c r="R128" i="4" s="1"/>
  <c r="S128" i="4" s="1"/>
  <c r="T128" i="4" s="1"/>
  <c r="U128" i="4" s="1"/>
  <c r="V128" i="4" s="1"/>
  <c r="W128" i="4" s="1"/>
  <c r="X128" i="4" s="1"/>
  <c r="Y128" i="4" s="1"/>
  <c r="Z128" i="4" s="1"/>
  <c r="AA128" i="4" s="1"/>
  <c r="AB128" i="4" s="1"/>
  <c r="AC128" i="4" s="1"/>
  <c r="AD128" i="4" s="1"/>
  <c r="AE128" i="4" s="1"/>
  <c r="AF128" i="4" s="1"/>
  <c r="AG128" i="4" s="1"/>
  <c r="AH128" i="4" s="1"/>
  <c r="AI128" i="4" s="1"/>
  <c r="AJ128" i="4" s="1"/>
  <c r="AK128" i="4" s="1"/>
  <c r="AL128" i="4" s="1"/>
  <c r="AM128" i="4" s="1"/>
  <c r="AN128" i="4" s="1"/>
  <c r="AO128" i="4" s="1"/>
  <c r="AP128" i="4" s="1"/>
  <c r="AQ128" i="4" s="1"/>
  <c r="AR128" i="4" s="1"/>
  <c r="AS128" i="4" s="1"/>
  <c r="AT128" i="4" s="1"/>
  <c r="AU128" i="4" s="1"/>
  <c r="AV128" i="4" s="1"/>
  <c r="AW128" i="4" s="1"/>
  <c r="AX128" i="4" s="1"/>
  <c r="AY128" i="4" s="1"/>
  <c r="AZ128" i="4" s="1"/>
  <c r="BA128" i="4" s="1"/>
  <c r="BB128" i="4" s="1"/>
  <c r="BC128" i="4" s="1"/>
  <c r="BD128" i="4" s="1"/>
  <c r="BE128" i="4" s="1"/>
  <c r="BF128" i="4" s="1"/>
  <c r="BG128" i="4" s="1"/>
  <c r="BH128" i="4" s="1"/>
  <c r="BI128" i="4" s="1"/>
  <c r="BJ128" i="4" s="1"/>
  <c r="BK128" i="4" s="1"/>
  <c r="BL128" i="4" s="1"/>
  <c r="BM128" i="4" s="1"/>
  <c r="BN128" i="4" s="1"/>
  <c r="BO128" i="4" s="1"/>
  <c r="BP128" i="4" s="1"/>
  <c r="B127" i="4"/>
  <c r="C127" i="4" s="1"/>
  <c r="D127" i="4" s="1"/>
  <c r="E127" i="4" s="1"/>
  <c r="F127" i="4" s="1"/>
  <c r="G127" i="4" s="1"/>
  <c r="H127" i="4" s="1"/>
  <c r="I127" i="4" s="1"/>
  <c r="J127" i="4" s="1"/>
  <c r="K127" i="4" s="1"/>
  <c r="L127" i="4" s="1"/>
  <c r="M127" i="4" s="1"/>
  <c r="N127" i="4" s="1"/>
  <c r="O127" i="4" s="1"/>
  <c r="P127" i="4" s="1"/>
  <c r="Q127" i="4" s="1"/>
  <c r="R127" i="4" s="1"/>
  <c r="S127" i="4" s="1"/>
  <c r="T127" i="4" s="1"/>
  <c r="U127" i="4" s="1"/>
  <c r="V127" i="4" s="1"/>
  <c r="W127" i="4" s="1"/>
  <c r="X127" i="4" s="1"/>
  <c r="Y127" i="4" s="1"/>
  <c r="Z127" i="4" s="1"/>
  <c r="AA127" i="4" s="1"/>
  <c r="AB127" i="4" s="1"/>
  <c r="AC127" i="4" s="1"/>
  <c r="AD127" i="4" s="1"/>
  <c r="AE127" i="4" s="1"/>
  <c r="AF127" i="4" s="1"/>
  <c r="AG127" i="4" s="1"/>
  <c r="AH127" i="4" s="1"/>
  <c r="AI127" i="4" s="1"/>
  <c r="AJ127" i="4" s="1"/>
  <c r="AK127" i="4" s="1"/>
  <c r="AL127" i="4" s="1"/>
  <c r="AM127" i="4" s="1"/>
  <c r="AN127" i="4" s="1"/>
  <c r="AO127" i="4" s="1"/>
  <c r="AP127" i="4" s="1"/>
  <c r="AQ127" i="4" s="1"/>
  <c r="AR127" i="4" s="1"/>
  <c r="AS127" i="4" s="1"/>
  <c r="AT127" i="4" s="1"/>
  <c r="AU127" i="4" s="1"/>
  <c r="AV127" i="4" s="1"/>
  <c r="AW127" i="4" s="1"/>
  <c r="AX127" i="4" s="1"/>
  <c r="AY127" i="4" s="1"/>
  <c r="AZ127" i="4" s="1"/>
  <c r="BA127" i="4" s="1"/>
  <c r="BB127" i="4" s="1"/>
  <c r="BC127" i="4" s="1"/>
  <c r="BD127" i="4" s="1"/>
  <c r="BE127" i="4" s="1"/>
  <c r="BF127" i="4" s="1"/>
  <c r="BG127" i="4" s="1"/>
  <c r="BH127" i="4" s="1"/>
  <c r="BI127" i="4" s="1"/>
  <c r="BJ127" i="4" s="1"/>
  <c r="BK127" i="4" s="1"/>
  <c r="BL127" i="4" s="1"/>
  <c r="BM127" i="4" s="1"/>
  <c r="BN127" i="4" s="1"/>
  <c r="BO127" i="4" s="1"/>
  <c r="BP127" i="4" s="1"/>
  <c r="B126" i="4"/>
  <c r="C126" i="4" s="1"/>
  <c r="D126" i="4" s="1"/>
  <c r="E126" i="4" s="1"/>
  <c r="F126" i="4" s="1"/>
  <c r="G126" i="4" s="1"/>
  <c r="H126" i="4" s="1"/>
  <c r="I126" i="4" s="1"/>
  <c r="J126" i="4" s="1"/>
  <c r="K126" i="4" s="1"/>
  <c r="L126" i="4" s="1"/>
  <c r="M126" i="4" s="1"/>
  <c r="N126" i="4" s="1"/>
  <c r="O126" i="4" s="1"/>
  <c r="P126" i="4" s="1"/>
  <c r="Q126" i="4" s="1"/>
  <c r="R126" i="4" s="1"/>
  <c r="S126" i="4" s="1"/>
  <c r="T126" i="4" s="1"/>
  <c r="U126" i="4" s="1"/>
  <c r="V126" i="4" s="1"/>
  <c r="W126" i="4" s="1"/>
  <c r="X126" i="4" s="1"/>
  <c r="Y126" i="4" s="1"/>
  <c r="Z126" i="4" s="1"/>
  <c r="AA126" i="4" s="1"/>
  <c r="AB126" i="4" s="1"/>
  <c r="AC126" i="4" s="1"/>
  <c r="AD126" i="4" s="1"/>
  <c r="AE126" i="4" s="1"/>
  <c r="AF126" i="4" s="1"/>
  <c r="AG126" i="4" s="1"/>
  <c r="AH126" i="4" s="1"/>
  <c r="AI126" i="4" s="1"/>
  <c r="AJ126" i="4" s="1"/>
  <c r="AK126" i="4" s="1"/>
  <c r="AL126" i="4" s="1"/>
  <c r="AM126" i="4" s="1"/>
  <c r="AN126" i="4" s="1"/>
  <c r="AO126" i="4" s="1"/>
  <c r="AP126" i="4" s="1"/>
  <c r="AQ126" i="4" s="1"/>
  <c r="AR126" i="4" s="1"/>
  <c r="AS126" i="4" s="1"/>
  <c r="AT126" i="4" s="1"/>
  <c r="AU126" i="4" s="1"/>
  <c r="AV126" i="4" s="1"/>
  <c r="AW126" i="4" s="1"/>
  <c r="AX126" i="4" s="1"/>
  <c r="AY126" i="4" s="1"/>
  <c r="AZ126" i="4" s="1"/>
  <c r="BA126" i="4" s="1"/>
  <c r="BB126" i="4" s="1"/>
  <c r="BC126" i="4" s="1"/>
  <c r="BD126" i="4" s="1"/>
  <c r="BE126" i="4" s="1"/>
  <c r="BF126" i="4" s="1"/>
  <c r="BG126" i="4" s="1"/>
  <c r="BH126" i="4" s="1"/>
  <c r="BI126" i="4" s="1"/>
  <c r="BJ126" i="4" s="1"/>
  <c r="BK126" i="4" s="1"/>
  <c r="BL126" i="4" s="1"/>
  <c r="BM126" i="4" s="1"/>
  <c r="BN126" i="4" s="1"/>
  <c r="BO126" i="4" s="1"/>
  <c r="BP126" i="4" s="1"/>
  <c r="B125" i="4"/>
  <c r="C125" i="4" s="1"/>
  <c r="D125" i="4" s="1"/>
  <c r="E125" i="4" s="1"/>
  <c r="F125" i="4" s="1"/>
  <c r="G125" i="4" s="1"/>
  <c r="H125" i="4" s="1"/>
  <c r="I125" i="4" s="1"/>
  <c r="J125" i="4" s="1"/>
  <c r="K125" i="4" s="1"/>
  <c r="L125" i="4" s="1"/>
  <c r="M125" i="4" s="1"/>
  <c r="N125" i="4" s="1"/>
  <c r="O125" i="4" s="1"/>
  <c r="P125" i="4" s="1"/>
  <c r="Q125" i="4" s="1"/>
  <c r="R125" i="4" s="1"/>
  <c r="S125" i="4" s="1"/>
  <c r="T125" i="4" s="1"/>
  <c r="U125" i="4" s="1"/>
  <c r="V125" i="4" s="1"/>
  <c r="W125" i="4" s="1"/>
  <c r="X125" i="4" s="1"/>
  <c r="Y125" i="4" s="1"/>
  <c r="Z125" i="4" s="1"/>
  <c r="AA125" i="4" s="1"/>
  <c r="AB125" i="4" s="1"/>
  <c r="AC125" i="4" s="1"/>
  <c r="AD125" i="4" s="1"/>
  <c r="AE125" i="4" s="1"/>
  <c r="AF125" i="4" s="1"/>
  <c r="AG125" i="4" s="1"/>
  <c r="AH125" i="4" s="1"/>
  <c r="AI125" i="4" s="1"/>
  <c r="AJ125" i="4" s="1"/>
  <c r="AK125" i="4" s="1"/>
  <c r="AL125" i="4" s="1"/>
  <c r="AM125" i="4" s="1"/>
  <c r="AN125" i="4" s="1"/>
  <c r="AO125" i="4" s="1"/>
  <c r="AP125" i="4" s="1"/>
  <c r="AQ125" i="4" s="1"/>
  <c r="AR125" i="4" s="1"/>
  <c r="AS125" i="4" s="1"/>
  <c r="AT125" i="4" s="1"/>
  <c r="AU125" i="4" s="1"/>
  <c r="AV125" i="4" s="1"/>
  <c r="AW125" i="4" s="1"/>
  <c r="AX125" i="4" s="1"/>
  <c r="AY125" i="4" s="1"/>
  <c r="AZ125" i="4" s="1"/>
  <c r="BA125" i="4" s="1"/>
  <c r="BB125" i="4" s="1"/>
  <c r="BC125" i="4" s="1"/>
  <c r="BD125" i="4" s="1"/>
  <c r="BE125" i="4" s="1"/>
  <c r="BF125" i="4" s="1"/>
  <c r="BG125" i="4" s="1"/>
  <c r="BH125" i="4" s="1"/>
  <c r="BI125" i="4" s="1"/>
  <c r="BJ125" i="4" s="1"/>
  <c r="BK125" i="4" s="1"/>
  <c r="BL125" i="4" s="1"/>
  <c r="BM125" i="4" s="1"/>
  <c r="BN125" i="4" s="1"/>
  <c r="BO125" i="4" s="1"/>
  <c r="BP125" i="4" s="1"/>
  <c r="B124" i="4"/>
  <c r="C124" i="4" s="1"/>
  <c r="D124" i="4" s="1"/>
  <c r="E124" i="4" s="1"/>
  <c r="F124" i="4" s="1"/>
  <c r="G124" i="4" s="1"/>
  <c r="H124" i="4" s="1"/>
  <c r="I124" i="4" s="1"/>
  <c r="J124" i="4" s="1"/>
  <c r="K124" i="4" s="1"/>
  <c r="L124" i="4" s="1"/>
  <c r="M124" i="4" s="1"/>
  <c r="N124" i="4" s="1"/>
  <c r="O124" i="4" s="1"/>
  <c r="P124" i="4" s="1"/>
  <c r="Q124" i="4" s="1"/>
  <c r="R124" i="4" s="1"/>
  <c r="S124" i="4" s="1"/>
  <c r="T124" i="4" s="1"/>
  <c r="U124" i="4" s="1"/>
  <c r="V124" i="4" s="1"/>
  <c r="W124" i="4" s="1"/>
  <c r="X124" i="4" s="1"/>
  <c r="Y124" i="4" s="1"/>
  <c r="Z124" i="4" s="1"/>
  <c r="AA124" i="4" s="1"/>
  <c r="AB124" i="4" s="1"/>
  <c r="AC124" i="4" s="1"/>
  <c r="AD124" i="4" s="1"/>
  <c r="AE124" i="4" s="1"/>
  <c r="AF124" i="4" s="1"/>
  <c r="AG124" i="4" s="1"/>
  <c r="AH124" i="4" s="1"/>
  <c r="AI124" i="4" s="1"/>
  <c r="AJ124" i="4" s="1"/>
  <c r="AK124" i="4" s="1"/>
  <c r="AL124" i="4" s="1"/>
  <c r="AM124" i="4" s="1"/>
  <c r="AN124" i="4" s="1"/>
  <c r="AO124" i="4" s="1"/>
  <c r="AP124" i="4" s="1"/>
  <c r="AQ124" i="4" s="1"/>
  <c r="AR124" i="4" s="1"/>
  <c r="AS124" i="4" s="1"/>
  <c r="AT124" i="4" s="1"/>
  <c r="AU124" i="4" s="1"/>
  <c r="AV124" i="4" s="1"/>
  <c r="AW124" i="4" s="1"/>
  <c r="AX124" i="4" s="1"/>
  <c r="AY124" i="4" s="1"/>
  <c r="AZ124" i="4" s="1"/>
  <c r="BA124" i="4" s="1"/>
  <c r="BB124" i="4" s="1"/>
  <c r="BC124" i="4" s="1"/>
  <c r="BD124" i="4" s="1"/>
  <c r="BE124" i="4" s="1"/>
  <c r="BF124" i="4" s="1"/>
  <c r="BG124" i="4" s="1"/>
  <c r="BH124" i="4" s="1"/>
  <c r="BI124" i="4" s="1"/>
  <c r="BJ124" i="4" s="1"/>
  <c r="BK124" i="4" s="1"/>
  <c r="BL124" i="4" s="1"/>
  <c r="BM124" i="4" s="1"/>
  <c r="BN124" i="4" s="1"/>
  <c r="BO124" i="4" s="1"/>
  <c r="BP124" i="4" s="1"/>
  <c r="B123" i="4"/>
  <c r="C123" i="4" s="1"/>
  <c r="D123" i="4" s="1"/>
  <c r="E123" i="4" s="1"/>
  <c r="F123" i="4" s="1"/>
  <c r="G123" i="4" s="1"/>
  <c r="H123" i="4" s="1"/>
  <c r="I123" i="4" s="1"/>
  <c r="J123" i="4" s="1"/>
  <c r="K123" i="4" s="1"/>
  <c r="L123" i="4" s="1"/>
  <c r="M123" i="4" s="1"/>
  <c r="N123" i="4" s="1"/>
  <c r="O123" i="4" s="1"/>
  <c r="P123" i="4" s="1"/>
  <c r="Q123" i="4" s="1"/>
  <c r="R123" i="4" s="1"/>
  <c r="S123" i="4" s="1"/>
  <c r="T123" i="4" s="1"/>
  <c r="U123" i="4" s="1"/>
  <c r="V123" i="4" s="1"/>
  <c r="W123" i="4" s="1"/>
  <c r="X123" i="4" s="1"/>
  <c r="Y123" i="4" s="1"/>
  <c r="Z123" i="4" s="1"/>
  <c r="AA123" i="4" s="1"/>
  <c r="AB123" i="4" s="1"/>
  <c r="AC123" i="4" s="1"/>
  <c r="AD123" i="4" s="1"/>
  <c r="AE123" i="4" s="1"/>
  <c r="AF123" i="4" s="1"/>
  <c r="AG123" i="4" s="1"/>
  <c r="AH123" i="4" s="1"/>
  <c r="AI123" i="4" s="1"/>
  <c r="AJ123" i="4" s="1"/>
  <c r="AK123" i="4" s="1"/>
  <c r="AL123" i="4" s="1"/>
  <c r="AM123" i="4" s="1"/>
  <c r="AN123" i="4" s="1"/>
  <c r="AO123" i="4" s="1"/>
  <c r="AP123" i="4" s="1"/>
  <c r="AQ123" i="4" s="1"/>
  <c r="AR123" i="4" s="1"/>
  <c r="AS123" i="4" s="1"/>
  <c r="AT123" i="4" s="1"/>
  <c r="AU123" i="4" s="1"/>
  <c r="AV123" i="4" s="1"/>
  <c r="AW123" i="4" s="1"/>
  <c r="AX123" i="4" s="1"/>
  <c r="AY123" i="4" s="1"/>
  <c r="AZ123" i="4" s="1"/>
  <c r="BA123" i="4" s="1"/>
  <c r="BB123" i="4" s="1"/>
  <c r="BC123" i="4" s="1"/>
  <c r="BD123" i="4" s="1"/>
  <c r="BE123" i="4" s="1"/>
  <c r="BF123" i="4" s="1"/>
  <c r="BG123" i="4" s="1"/>
  <c r="BH123" i="4" s="1"/>
  <c r="BI123" i="4" s="1"/>
  <c r="BJ123" i="4" s="1"/>
  <c r="BK123" i="4" s="1"/>
  <c r="BL123" i="4" s="1"/>
  <c r="BM123" i="4" s="1"/>
  <c r="BN123" i="4" s="1"/>
  <c r="BO123" i="4" s="1"/>
  <c r="BP123" i="4" s="1"/>
  <c r="B122" i="4"/>
  <c r="C122" i="4" s="1"/>
  <c r="D122" i="4" s="1"/>
  <c r="E122" i="4" s="1"/>
  <c r="F122" i="4" s="1"/>
  <c r="G122" i="4" s="1"/>
  <c r="H122" i="4" s="1"/>
  <c r="I122" i="4" s="1"/>
  <c r="J122" i="4" s="1"/>
  <c r="K122" i="4" s="1"/>
  <c r="L122" i="4" s="1"/>
  <c r="M122" i="4" s="1"/>
  <c r="N122" i="4" s="1"/>
  <c r="O122" i="4" s="1"/>
  <c r="P122" i="4" s="1"/>
  <c r="Q122" i="4" s="1"/>
  <c r="R122" i="4" s="1"/>
  <c r="S122" i="4" s="1"/>
  <c r="T122" i="4" s="1"/>
  <c r="U122" i="4" s="1"/>
  <c r="V122" i="4" s="1"/>
  <c r="W122" i="4" s="1"/>
  <c r="X122" i="4" s="1"/>
  <c r="Y122" i="4" s="1"/>
  <c r="Z122" i="4" s="1"/>
  <c r="AA122" i="4" s="1"/>
  <c r="AB122" i="4" s="1"/>
  <c r="AC122" i="4" s="1"/>
  <c r="AD122" i="4" s="1"/>
  <c r="AE122" i="4" s="1"/>
  <c r="AF122" i="4" s="1"/>
  <c r="AG122" i="4" s="1"/>
  <c r="AH122" i="4" s="1"/>
  <c r="AI122" i="4" s="1"/>
  <c r="AJ122" i="4" s="1"/>
  <c r="AK122" i="4" s="1"/>
  <c r="AL122" i="4" s="1"/>
  <c r="AM122" i="4" s="1"/>
  <c r="AN122" i="4" s="1"/>
  <c r="AO122" i="4" s="1"/>
  <c r="AP122" i="4" s="1"/>
  <c r="AQ122" i="4" s="1"/>
  <c r="AR122" i="4" s="1"/>
  <c r="AS122" i="4" s="1"/>
  <c r="AT122" i="4" s="1"/>
  <c r="AU122" i="4" s="1"/>
  <c r="AV122" i="4" s="1"/>
  <c r="AW122" i="4" s="1"/>
  <c r="AX122" i="4" s="1"/>
  <c r="AY122" i="4" s="1"/>
  <c r="AZ122" i="4" s="1"/>
  <c r="BA122" i="4" s="1"/>
  <c r="BB122" i="4" s="1"/>
  <c r="BC122" i="4" s="1"/>
  <c r="BD122" i="4" s="1"/>
  <c r="BE122" i="4" s="1"/>
  <c r="BF122" i="4" s="1"/>
  <c r="BG122" i="4" s="1"/>
  <c r="BH122" i="4" s="1"/>
  <c r="BI122" i="4" s="1"/>
  <c r="BJ122" i="4" s="1"/>
  <c r="BK122" i="4" s="1"/>
  <c r="BL122" i="4" s="1"/>
  <c r="BM122" i="4" s="1"/>
  <c r="BN122" i="4" s="1"/>
  <c r="BO122" i="4" s="1"/>
  <c r="BP122" i="4" s="1"/>
  <c r="B121" i="4"/>
  <c r="C121" i="4" s="1"/>
  <c r="D121" i="4" s="1"/>
  <c r="E121" i="4" s="1"/>
  <c r="F121" i="4" s="1"/>
  <c r="G121" i="4" s="1"/>
  <c r="H121" i="4" s="1"/>
  <c r="I121" i="4" s="1"/>
  <c r="J121" i="4" s="1"/>
  <c r="K121" i="4" s="1"/>
  <c r="L121" i="4" s="1"/>
  <c r="M121" i="4" s="1"/>
  <c r="N121" i="4" s="1"/>
  <c r="O121" i="4" s="1"/>
  <c r="P121" i="4" s="1"/>
  <c r="Q121" i="4" s="1"/>
  <c r="R121" i="4" s="1"/>
  <c r="S121" i="4" s="1"/>
  <c r="T121" i="4" s="1"/>
  <c r="U121" i="4" s="1"/>
  <c r="V121" i="4" s="1"/>
  <c r="W121" i="4" s="1"/>
  <c r="X121" i="4" s="1"/>
  <c r="Y121" i="4" s="1"/>
  <c r="Z121" i="4" s="1"/>
  <c r="AA121" i="4" s="1"/>
  <c r="AB121" i="4" s="1"/>
  <c r="AC121" i="4" s="1"/>
  <c r="AD121" i="4" s="1"/>
  <c r="AE121" i="4" s="1"/>
  <c r="AF121" i="4" s="1"/>
  <c r="AG121" i="4" s="1"/>
  <c r="AH121" i="4" s="1"/>
  <c r="AI121" i="4" s="1"/>
  <c r="AJ121" i="4" s="1"/>
  <c r="AK121" i="4" s="1"/>
  <c r="AL121" i="4" s="1"/>
  <c r="AM121" i="4" s="1"/>
  <c r="AN121" i="4" s="1"/>
  <c r="AO121" i="4" s="1"/>
  <c r="AP121" i="4" s="1"/>
  <c r="AQ121" i="4" s="1"/>
  <c r="AR121" i="4" s="1"/>
  <c r="AS121" i="4" s="1"/>
  <c r="AT121" i="4" s="1"/>
  <c r="AU121" i="4" s="1"/>
  <c r="AV121" i="4" s="1"/>
  <c r="AW121" i="4" s="1"/>
  <c r="AX121" i="4" s="1"/>
  <c r="AY121" i="4" s="1"/>
  <c r="AZ121" i="4" s="1"/>
  <c r="BA121" i="4" s="1"/>
  <c r="BB121" i="4" s="1"/>
  <c r="BC121" i="4" s="1"/>
  <c r="BD121" i="4" s="1"/>
  <c r="BE121" i="4" s="1"/>
  <c r="BF121" i="4" s="1"/>
  <c r="BG121" i="4" s="1"/>
  <c r="BH121" i="4" s="1"/>
  <c r="BI121" i="4" s="1"/>
  <c r="BJ121" i="4" s="1"/>
  <c r="BK121" i="4" s="1"/>
  <c r="BL121" i="4" s="1"/>
  <c r="BM121" i="4" s="1"/>
  <c r="BN121" i="4" s="1"/>
  <c r="BO121" i="4" s="1"/>
  <c r="BP121" i="4" s="1"/>
  <c r="B120" i="4"/>
  <c r="C120" i="4" s="1"/>
  <c r="D120" i="4" s="1"/>
  <c r="E120" i="4" s="1"/>
  <c r="F120" i="4" s="1"/>
  <c r="G120" i="4" s="1"/>
  <c r="H120" i="4" s="1"/>
  <c r="I120" i="4" s="1"/>
  <c r="J120" i="4" s="1"/>
  <c r="K120" i="4" s="1"/>
  <c r="L120" i="4" s="1"/>
  <c r="M120" i="4" s="1"/>
  <c r="N120" i="4" s="1"/>
  <c r="O120" i="4" s="1"/>
  <c r="P120" i="4" s="1"/>
  <c r="Q120" i="4" s="1"/>
  <c r="R120" i="4" s="1"/>
  <c r="S120" i="4" s="1"/>
  <c r="T120" i="4" s="1"/>
  <c r="U120" i="4" s="1"/>
  <c r="V120" i="4" s="1"/>
  <c r="W120" i="4" s="1"/>
  <c r="X120" i="4" s="1"/>
  <c r="Y120" i="4" s="1"/>
  <c r="Z120" i="4" s="1"/>
  <c r="AA120" i="4" s="1"/>
  <c r="AB120" i="4" s="1"/>
  <c r="AC120" i="4" s="1"/>
  <c r="AD120" i="4" s="1"/>
  <c r="AE120" i="4" s="1"/>
  <c r="AF120" i="4" s="1"/>
  <c r="AG120" i="4" s="1"/>
  <c r="AH120" i="4" s="1"/>
  <c r="AI120" i="4" s="1"/>
  <c r="AJ120" i="4" s="1"/>
  <c r="AK120" i="4" s="1"/>
  <c r="AL120" i="4" s="1"/>
  <c r="AM120" i="4" s="1"/>
  <c r="AN120" i="4" s="1"/>
  <c r="AO120" i="4" s="1"/>
  <c r="AP120" i="4" s="1"/>
  <c r="AQ120" i="4" s="1"/>
  <c r="AR120" i="4" s="1"/>
  <c r="AS120" i="4" s="1"/>
  <c r="AT120" i="4" s="1"/>
  <c r="AU120" i="4" s="1"/>
  <c r="AV120" i="4" s="1"/>
  <c r="AW120" i="4" s="1"/>
  <c r="AX120" i="4" s="1"/>
  <c r="AY120" i="4" s="1"/>
  <c r="AZ120" i="4" s="1"/>
  <c r="BA120" i="4" s="1"/>
  <c r="BB120" i="4" s="1"/>
  <c r="BC120" i="4" s="1"/>
  <c r="BD120" i="4" s="1"/>
  <c r="BE120" i="4" s="1"/>
  <c r="BF120" i="4" s="1"/>
  <c r="BG120" i="4" s="1"/>
  <c r="BH120" i="4" s="1"/>
  <c r="BI120" i="4" s="1"/>
  <c r="BJ120" i="4" s="1"/>
  <c r="BK120" i="4" s="1"/>
  <c r="BL120" i="4" s="1"/>
  <c r="BM120" i="4" s="1"/>
  <c r="BN120" i="4" s="1"/>
  <c r="BO120" i="4" s="1"/>
  <c r="BP120" i="4" s="1"/>
  <c r="B119" i="4"/>
  <c r="C119" i="4" s="1"/>
  <c r="D119" i="4" s="1"/>
  <c r="E119" i="4" s="1"/>
  <c r="F119" i="4" s="1"/>
  <c r="G119" i="4" s="1"/>
  <c r="H119" i="4" s="1"/>
  <c r="I119" i="4" s="1"/>
  <c r="J119" i="4" s="1"/>
  <c r="K119" i="4" s="1"/>
  <c r="L119" i="4" s="1"/>
  <c r="M119" i="4" s="1"/>
  <c r="N119" i="4" s="1"/>
  <c r="O119" i="4" s="1"/>
  <c r="P119" i="4" s="1"/>
  <c r="Q119" i="4" s="1"/>
  <c r="R119" i="4" s="1"/>
  <c r="S119" i="4" s="1"/>
  <c r="T119" i="4" s="1"/>
  <c r="U119" i="4" s="1"/>
  <c r="V119" i="4" s="1"/>
  <c r="W119" i="4" s="1"/>
  <c r="X119" i="4" s="1"/>
  <c r="Y119" i="4" s="1"/>
  <c r="Z119" i="4" s="1"/>
  <c r="AA119" i="4" s="1"/>
  <c r="AB119" i="4" s="1"/>
  <c r="AC119" i="4" s="1"/>
  <c r="AD119" i="4" s="1"/>
  <c r="AE119" i="4" s="1"/>
  <c r="AF119" i="4" s="1"/>
  <c r="AG119" i="4" s="1"/>
  <c r="AH119" i="4" s="1"/>
  <c r="AI119" i="4" s="1"/>
  <c r="AJ119" i="4" s="1"/>
  <c r="AK119" i="4" s="1"/>
  <c r="AL119" i="4" s="1"/>
  <c r="AM119" i="4" s="1"/>
  <c r="AN119" i="4" s="1"/>
  <c r="AO119" i="4" s="1"/>
  <c r="AP119" i="4" s="1"/>
  <c r="AQ119" i="4" s="1"/>
  <c r="AR119" i="4" s="1"/>
  <c r="AS119" i="4" s="1"/>
  <c r="AT119" i="4" s="1"/>
  <c r="AU119" i="4" s="1"/>
  <c r="AV119" i="4" s="1"/>
  <c r="AW119" i="4" s="1"/>
  <c r="AX119" i="4" s="1"/>
  <c r="AY119" i="4" s="1"/>
  <c r="AZ119" i="4" s="1"/>
  <c r="BA119" i="4" s="1"/>
  <c r="BB119" i="4" s="1"/>
  <c r="BC119" i="4" s="1"/>
  <c r="BD119" i="4" s="1"/>
  <c r="BE119" i="4" s="1"/>
  <c r="BF119" i="4" s="1"/>
  <c r="BG119" i="4" s="1"/>
  <c r="BH119" i="4" s="1"/>
  <c r="BI119" i="4" s="1"/>
  <c r="BJ119" i="4" s="1"/>
  <c r="BK119" i="4" s="1"/>
  <c r="BL119" i="4" s="1"/>
  <c r="BM119" i="4" s="1"/>
  <c r="BN119" i="4" s="1"/>
  <c r="BO119" i="4" s="1"/>
  <c r="BP119" i="4" s="1"/>
  <c r="B118" i="4"/>
  <c r="C118" i="4" s="1"/>
  <c r="D118" i="4" s="1"/>
  <c r="E118" i="4" s="1"/>
  <c r="F118" i="4" s="1"/>
  <c r="G118" i="4" s="1"/>
  <c r="H118" i="4" s="1"/>
  <c r="I118" i="4" s="1"/>
  <c r="J118" i="4" s="1"/>
  <c r="K118" i="4" s="1"/>
  <c r="L118" i="4" s="1"/>
  <c r="M118" i="4" s="1"/>
  <c r="N118" i="4" s="1"/>
  <c r="O118" i="4" s="1"/>
  <c r="P118" i="4" s="1"/>
  <c r="Q118" i="4" s="1"/>
  <c r="R118" i="4" s="1"/>
  <c r="S118" i="4" s="1"/>
  <c r="T118" i="4" s="1"/>
  <c r="U118" i="4" s="1"/>
  <c r="V118" i="4" s="1"/>
  <c r="W118" i="4" s="1"/>
  <c r="X118" i="4" s="1"/>
  <c r="Y118" i="4" s="1"/>
  <c r="Z118" i="4" s="1"/>
  <c r="AA118" i="4" s="1"/>
  <c r="AB118" i="4" s="1"/>
  <c r="AC118" i="4" s="1"/>
  <c r="AD118" i="4" s="1"/>
  <c r="AE118" i="4" s="1"/>
  <c r="AF118" i="4" s="1"/>
  <c r="AG118" i="4" s="1"/>
  <c r="AH118" i="4" s="1"/>
  <c r="AI118" i="4" s="1"/>
  <c r="AJ118" i="4" s="1"/>
  <c r="AK118" i="4" s="1"/>
  <c r="AL118" i="4" s="1"/>
  <c r="AM118" i="4" s="1"/>
  <c r="AN118" i="4" s="1"/>
  <c r="AO118" i="4" s="1"/>
  <c r="AP118" i="4" s="1"/>
  <c r="AQ118" i="4" s="1"/>
  <c r="AR118" i="4" s="1"/>
  <c r="AS118" i="4" s="1"/>
  <c r="AT118" i="4" s="1"/>
  <c r="AU118" i="4" s="1"/>
  <c r="AV118" i="4" s="1"/>
  <c r="AW118" i="4" s="1"/>
  <c r="AX118" i="4" s="1"/>
  <c r="AY118" i="4" s="1"/>
  <c r="AZ118" i="4" s="1"/>
  <c r="BA118" i="4" s="1"/>
  <c r="BB118" i="4" s="1"/>
  <c r="BC118" i="4" s="1"/>
  <c r="BD118" i="4" s="1"/>
  <c r="BE118" i="4" s="1"/>
  <c r="BF118" i="4" s="1"/>
  <c r="BG118" i="4" s="1"/>
  <c r="BH118" i="4" s="1"/>
  <c r="BI118" i="4" s="1"/>
  <c r="BJ118" i="4" s="1"/>
  <c r="BK118" i="4" s="1"/>
  <c r="BL118" i="4" s="1"/>
  <c r="BM118" i="4" s="1"/>
  <c r="BN118" i="4" s="1"/>
  <c r="BO118" i="4" s="1"/>
  <c r="BP118" i="4" s="1"/>
  <c r="B117" i="4"/>
  <c r="C117" i="4" s="1"/>
  <c r="D117" i="4" s="1"/>
  <c r="E117" i="4" s="1"/>
  <c r="F117" i="4" s="1"/>
  <c r="G117" i="4" s="1"/>
  <c r="H117" i="4" s="1"/>
  <c r="I117" i="4" s="1"/>
  <c r="J117" i="4" s="1"/>
  <c r="K117" i="4" s="1"/>
  <c r="L117" i="4" s="1"/>
  <c r="M117" i="4" s="1"/>
  <c r="N117" i="4" s="1"/>
  <c r="O117" i="4" s="1"/>
  <c r="P117" i="4" s="1"/>
  <c r="Q117" i="4" s="1"/>
  <c r="R117" i="4" s="1"/>
  <c r="S117" i="4" s="1"/>
  <c r="T117" i="4" s="1"/>
  <c r="U117" i="4" s="1"/>
  <c r="V117" i="4" s="1"/>
  <c r="W117" i="4" s="1"/>
  <c r="X117" i="4" s="1"/>
  <c r="Y117" i="4" s="1"/>
  <c r="Z117" i="4" s="1"/>
  <c r="AA117" i="4" s="1"/>
  <c r="AB117" i="4" s="1"/>
  <c r="AC117" i="4" s="1"/>
  <c r="AD117" i="4" s="1"/>
  <c r="AE117" i="4" s="1"/>
  <c r="AF117" i="4" s="1"/>
  <c r="AG117" i="4" s="1"/>
  <c r="AH117" i="4" s="1"/>
  <c r="AI117" i="4" s="1"/>
  <c r="AJ117" i="4" s="1"/>
  <c r="AK117" i="4" s="1"/>
  <c r="AL117" i="4" s="1"/>
  <c r="AM117" i="4" s="1"/>
  <c r="AN117" i="4" s="1"/>
  <c r="AO117" i="4" s="1"/>
  <c r="AP117" i="4" s="1"/>
  <c r="AQ117" i="4" s="1"/>
  <c r="AR117" i="4" s="1"/>
  <c r="AS117" i="4" s="1"/>
  <c r="AT117" i="4" s="1"/>
  <c r="AU117" i="4" s="1"/>
  <c r="AV117" i="4" s="1"/>
  <c r="AW117" i="4" s="1"/>
  <c r="AX117" i="4" s="1"/>
  <c r="AY117" i="4" s="1"/>
  <c r="AZ117" i="4" s="1"/>
  <c r="BA117" i="4" s="1"/>
  <c r="BB117" i="4" s="1"/>
  <c r="BC117" i="4" s="1"/>
  <c r="BD117" i="4" s="1"/>
  <c r="BE117" i="4" s="1"/>
  <c r="BF117" i="4" s="1"/>
  <c r="BG117" i="4" s="1"/>
  <c r="BH117" i="4" s="1"/>
  <c r="BI117" i="4" s="1"/>
  <c r="BJ117" i="4" s="1"/>
  <c r="BK117" i="4" s="1"/>
  <c r="BL117" i="4" s="1"/>
  <c r="BM117" i="4" s="1"/>
  <c r="BN117" i="4" s="1"/>
  <c r="BO117" i="4" s="1"/>
  <c r="BP117" i="4" s="1"/>
  <c r="B116" i="4"/>
  <c r="C116" i="4" s="1"/>
  <c r="D116" i="4" s="1"/>
  <c r="E116" i="4" s="1"/>
  <c r="F116" i="4" s="1"/>
  <c r="G116" i="4" s="1"/>
  <c r="H116" i="4" s="1"/>
  <c r="I116" i="4" s="1"/>
  <c r="J116" i="4" s="1"/>
  <c r="K116" i="4" s="1"/>
  <c r="L116" i="4" s="1"/>
  <c r="M116" i="4" s="1"/>
  <c r="N116" i="4" s="1"/>
  <c r="O116" i="4" s="1"/>
  <c r="P116" i="4" s="1"/>
  <c r="Q116" i="4" s="1"/>
  <c r="R116" i="4" s="1"/>
  <c r="S116" i="4" s="1"/>
  <c r="T116" i="4" s="1"/>
  <c r="U116" i="4" s="1"/>
  <c r="V116" i="4" s="1"/>
  <c r="W116" i="4" s="1"/>
  <c r="X116" i="4" s="1"/>
  <c r="Y116" i="4" s="1"/>
  <c r="Z116" i="4" s="1"/>
  <c r="AA116" i="4" s="1"/>
  <c r="AB116" i="4" s="1"/>
  <c r="AC116" i="4" s="1"/>
  <c r="AD116" i="4" s="1"/>
  <c r="AE116" i="4" s="1"/>
  <c r="AF116" i="4" s="1"/>
  <c r="AG116" i="4" s="1"/>
  <c r="AH116" i="4" s="1"/>
  <c r="AI116" i="4" s="1"/>
  <c r="AJ116" i="4" s="1"/>
  <c r="AK116" i="4" s="1"/>
  <c r="AL116" i="4" s="1"/>
  <c r="AM116" i="4" s="1"/>
  <c r="AN116" i="4" s="1"/>
  <c r="AO116" i="4" s="1"/>
  <c r="AP116" i="4" s="1"/>
  <c r="AQ116" i="4" s="1"/>
  <c r="AR116" i="4" s="1"/>
  <c r="AS116" i="4" s="1"/>
  <c r="AT116" i="4" s="1"/>
  <c r="AU116" i="4" s="1"/>
  <c r="AV116" i="4" s="1"/>
  <c r="AW116" i="4" s="1"/>
  <c r="AX116" i="4" s="1"/>
  <c r="AY116" i="4" s="1"/>
  <c r="AZ116" i="4" s="1"/>
  <c r="BA116" i="4" s="1"/>
  <c r="BB116" i="4" s="1"/>
  <c r="BC116" i="4" s="1"/>
  <c r="BD116" i="4" s="1"/>
  <c r="BE116" i="4" s="1"/>
  <c r="BF116" i="4" s="1"/>
  <c r="BG116" i="4" s="1"/>
  <c r="BH116" i="4" s="1"/>
  <c r="BI116" i="4" s="1"/>
  <c r="BJ116" i="4" s="1"/>
  <c r="BK116" i="4" s="1"/>
  <c r="BL116" i="4" s="1"/>
  <c r="BM116" i="4" s="1"/>
  <c r="BN116" i="4" s="1"/>
  <c r="BO116" i="4" s="1"/>
  <c r="BP116" i="4" s="1"/>
  <c r="B115" i="4"/>
  <c r="C115" i="4" s="1"/>
  <c r="D115" i="4" s="1"/>
  <c r="E115" i="4" s="1"/>
  <c r="F115" i="4" s="1"/>
  <c r="G115" i="4" s="1"/>
  <c r="H115" i="4" s="1"/>
  <c r="I115" i="4" s="1"/>
  <c r="J115" i="4" s="1"/>
  <c r="K115" i="4" s="1"/>
  <c r="L115" i="4" s="1"/>
  <c r="M115" i="4" s="1"/>
  <c r="N115" i="4" s="1"/>
  <c r="O115" i="4" s="1"/>
  <c r="P115" i="4" s="1"/>
  <c r="Q115" i="4" s="1"/>
  <c r="R115" i="4" s="1"/>
  <c r="S115" i="4" s="1"/>
  <c r="T115" i="4" s="1"/>
  <c r="U115" i="4" s="1"/>
  <c r="V115" i="4" s="1"/>
  <c r="W115" i="4" s="1"/>
  <c r="X115" i="4" s="1"/>
  <c r="Y115" i="4" s="1"/>
  <c r="Z115" i="4" s="1"/>
  <c r="AA115" i="4" s="1"/>
  <c r="AB115" i="4" s="1"/>
  <c r="AC115" i="4" s="1"/>
  <c r="AD115" i="4" s="1"/>
  <c r="AE115" i="4" s="1"/>
  <c r="AF115" i="4" s="1"/>
  <c r="AG115" i="4" s="1"/>
  <c r="AH115" i="4" s="1"/>
  <c r="AI115" i="4" s="1"/>
  <c r="AJ115" i="4" s="1"/>
  <c r="AK115" i="4" s="1"/>
  <c r="AL115" i="4" s="1"/>
  <c r="AM115" i="4" s="1"/>
  <c r="AN115" i="4" s="1"/>
  <c r="AO115" i="4" s="1"/>
  <c r="AP115" i="4" s="1"/>
  <c r="AQ115" i="4" s="1"/>
  <c r="AR115" i="4" s="1"/>
  <c r="AS115" i="4" s="1"/>
  <c r="AT115" i="4" s="1"/>
  <c r="AU115" i="4" s="1"/>
  <c r="AV115" i="4" s="1"/>
  <c r="AW115" i="4" s="1"/>
  <c r="AX115" i="4" s="1"/>
  <c r="AY115" i="4" s="1"/>
  <c r="AZ115" i="4" s="1"/>
  <c r="BA115" i="4" s="1"/>
  <c r="BB115" i="4" s="1"/>
  <c r="BC115" i="4" s="1"/>
  <c r="BD115" i="4" s="1"/>
  <c r="BE115" i="4" s="1"/>
  <c r="BF115" i="4" s="1"/>
  <c r="BG115" i="4" s="1"/>
  <c r="BH115" i="4" s="1"/>
  <c r="BI115" i="4" s="1"/>
  <c r="BJ115" i="4" s="1"/>
  <c r="BK115" i="4" s="1"/>
  <c r="BL115" i="4" s="1"/>
  <c r="BM115" i="4" s="1"/>
  <c r="BN115" i="4" s="1"/>
  <c r="BO115" i="4" s="1"/>
  <c r="BP115" i="4" s="1"/>
  <c r="B114" i="4"/>
  <c r="C114" i="4" s="1"/>
  <c r="D114" i="4" s="1"/>
  <c r="E114" i="4" s="1"/>
  <c r="F114" i="4" s="1"/>
  <c r="G114" i="4" s="1"/>
  <c r="H114" i="4" s="1"/>
  <c r="I114" i="4" s="1"/>
  <c r="J114" i="4" s="1"/>
  <c r="K114" i="4" s="1"/>
  <c r="L114" i="4" s="1"/>
  <c r="M114" i="4" s="1"/>
  <c r="N114" i="4" s="1"/>
  <c r="O114" i="4" s="1"/>
  <c r="P114" i="4" s="1"/>
  <c r="Q114" i="4" s="1"/>
  <c r="R114" i="4" s="1"/>
  <c r="S114" i="4" s="1"/>
  <c r="T114" i="4" s="1"/>
  <c r="U114" i="4" s="1"/>
  <c r="V114" i="4" s="1"/>
  <c r="W114" i="4" s="1"/>
  <c r="X114" i="4" s="1"/>
  <c r="Y114" i="4" s="1"/>
  <c r="Z114" i="4" s="1"/>
  <c r="AA114" i="4" s="1"/>
  <c r="AB114" i="4" s="1"/>
  <c r="AC114" i="4" s="1"/>
  <c r="AD114" i="4" s="1"/>
  <c r="AE114" i="4" s="1"/>
  <c r="AF114" i="4" s="1"/>
  <c r="AG114" i="4" s="1"/>
  <c r="AH114" i="4" s="1"/>
  <c r="AI114" i="4" s="1"/>
  <c r="AJ114" i="4" s="1"/>
  <c r="AK114" i="4" s="1"/>
  <c r="AL114" i="4" s="1"/>
  <c r="AM114" i="4" s="1"/>
  <c r="AN114" i="4" s="1"/>
  <c r="AO114" i="4" s="1"/>
  <c r="AP114" i="4" s="1"/>
  <c r="AQ114" i="4" s="1"/>
  <c r="AR114" i="4" s="1"/>
  <c r="AS114" i="4" s="1"/>
  <c r="AT114" i="4" s="1"/>
  <c r="AU114" i="4" s="1"/>
  <c r="AV114" i="4" s="1"/>
  <c r="AW114" i="4" s="1"/>
  <c r="AX114" i="4" s="1"/>
  <c r="AY114" i="4" s="1"/>
  <c r="AZ114" i="4" s="1"/>
  <c r="BA114" i="4" s="1"/>
  <c r="BB114" i="4" s="1"/>
  <c r="BC114" i="4" s="1"/>
  <c r="BD114" i="4" s="1"/>
  <c r="BE114" i="4" s="1"/>
  <c r="BF114" i="4" s="1"/>
  <c r="BG114" i="4" s="1"/>
  <c r="BH114" i="4" s="1"/>
  <c r="BI114" i="4" s="1"/>
  <c r="BJ114" i="4" s="1"/>
  <c r="BK114" i="4" s="1"/>
  <c r="BL114" i="4" s="1"/>
  <c r="BM114" i="4" s="1"/>
  <c r="BN114" i="4" s="1"/>
  <c r="BO114" i="4" s="1"/>
  <c r="BP114" i="4" s="1"/>
  <c r="B113" i="4"/>
  <c r="C113" i="4" s="1"/>
  <c r="D113" i="4" s="1"/>
  <c r="E113" i="4" s="1"/>
  <c r="F113" i="4" s="1"/>
  <c r="G113" i="4" s="1"/>
  <c r="H113" i="4" s="1"/>
  <c r="I113" i="4" s="1"/>
  <c r="J113" i="4" s="1"/>
  <c r="K113" i="4" s="1"/>
  <c r="L113" i="4" s="1"/>
  <c r="M113" i="4" s="1"/>
  <c r="N113" i="4" s="1"/>
  <c r="O113" i="4" s="1"/>
  <c r="P113" i="4" s="1"/>
  <c r="Q113" i="4" s="1"/>
  <c r="R113" i="4" s="1"/>
  <c r="S113" i="4" s="1"/>
  <c r="T113" i="4" s="1"/>
  <c r="U113" i="4" s="1"/>
  <c r="V113" i="4" s="1"/>
  <c r="W113" i="4" s="1"/>
  <c r="X113" i="4" s="1"/>
  <c r="Y113" i="4" s="1"/>
  <c r="Z113" i="4" s="1"/>
  <c r="AA113" i="4" s="1"/>
  <c r="AB113" i="4" s="1"/>
  <c r="AC113" i="4" s="1"/>
  <c r="AD113" i="4" s="1"/>
  <c r="AE113" i="4" s="1"/>
  <c r="AF113" i="4" s="1"/>
  <c r="AG113" i="4" s="1"/>
  <c r="AH113" i="4" s="1"/>
  <c r="AI113" i="4" s="1"/>
  <c r="AJ113" i="4" s="1"/>
  <c r="AK113" i="4" s="1"/>
  <c r="AL113" i="4" s="1"/>
  <c r="AM113" i="4" s="1"/>
  <c r="AN113" i="4" s="1"/>
  <c r="AO113" i="4" s="1"/>
  <c r="AP113" i="4" s="1"/>
  <c r="AQ113" i="4" s="1"/>
  <c r="AR113" i="4" s="1"/>
  <c r="AS113" i="4" s="1"/>
  <c r="AT113" i="4" s="1"/>
  <c r="AU113" i="4" s="1"/>
  <c r="AV113" i="4" s="1"/>
  <c r="AW113" i="4" s="1"/>
  <c r="AX113" i="4" s="1"/>
  <c r="AY113" i="4" s="1"/>
  <c r="AZ113" i="4" s="1"/>
  <c r="BA113" i="4" s="1"/>
  <c r="BB113" i="4" s="1"/>
  <c r="BC113" i="4" s="1"/>
  <c r="BD113" i="4" s="1"/>
  <c r="BE113" i="4" s="1"/>
  <c r="BF113" i="4" s="1"/>
  <c r="BG113" i="4" s="1"/>
  <c r="BH113" i="4" s="1"/>
  <c r="BI113" i="4" s="1"/>
  <c r="BJ113" i="4" s="1"/>
  <c r="BK113" i="4" s="1"/>
  <c r="BL113" i="4" s="1"/>
  <c r="BM113" i="4" s="1"/>
  <c r="BN113" i="4" s="1"/>
  <c r="BO113" i="4" s="1"/>
  <c r="BP113" i="4" s="1"/>
  <c r="B112" i="4"/>
  <c r="C112" i="4" s="1"/>
  <c r="D112" i="4" s="1"/>
  <c r="E112" i="4" s="1"/>
  <c r="F112" i="4" s="1"/>
  <c r="G112" i="4" s="1"/>
  <c r="H112" i="4" s="1"/>
  <c r="I112" i="4" s="1"/>
  <c r="J112" i="4" s="1"/>
  <c r="K112" i="4" s="1"/>
  <c r="L112" i="4" s="1"/>
  <c r="M112" i="4" s="1"/>
  <c r="N112" i="4" s="1"/>
  <c r="O112" i="4" s="1"/>
  <c r="P112" i="4" s="1"/>
  <c r="Q112" i="4" s="1"/>
  <c r="R112" i="4" s="1"/>
  <c r="S112" i="4" s="1"/>
  <c r="T112" i="4" s="1"/>
  <c r="U112" i="4" s="1"/>
  <c r="V112" i="4" s="1"/>
  <c r="W112" i="4" s="1"/>
  <c r="X112" i="4" s="1"/>
  <c r="Y112" i="4" s="1"/>
  <c r="Z112" i="4" s="1"/>
  <c r="AA112" i="4" s="1"/>
  <c r="AB112" i="4" s="1"/>
  <c r="AC112" i="4" s="1"/>
  <c r="AD112" i="4" s="1"/>
  <c r="AE112" i="4" s="1"/>
  <c r="AF112" i="4" s="1"/>
  <c r="AG112" i="4" s="1"/>
  <c r="AH112" i="4" s="1"/>
  <c r="AI112" i="4" s="1"/>
  <c r="AJ112" i="4" s="1"/>
  <c r="AK112" i="4" s="1"/>
  <c r="AL112" i="4" s="1"/>
  <c r="AM112" i="4" s="1"/>
  <c r="AN112" i="4" s="1"/>
  <c r="AO112" i="4" s="1"/>
  <c r="AP112" i="4" s="1"/>
  <c r="AQ112" i="4" s="1"/>
  <c r="AR112" i="4" s="1"/>
  <c r="AS112" i="4" s="1"/>
  <c r="AT112" i="4" s="1"/>
  <c r="AU112" i="4" s="1"/>
  <c r="AV112" i="4" s="1"/>
  <c r="AW112" i="4" s="1"/>
  <c r="AX112" i="4" s="1"/>
  <c r="AY112" i="4" s="1"/>
  <c r="AZ112" i="4" s="1"/>
  <c r="BA112" i="4" s="1"/>
  <c r="BB112" i="4" s="1"/>
  <c r="BC112" i="4" s="1"/>
  <c r="BD112" i="4" s="1"/>
  <c r="BE112" i="4" s="1"/>
  <c r="BF112" i="4" s="1"/>
  <c r="BG112" i="4" s="1"/>
  <c r="BH112" i="4" s="1"/>
  <c r="BI112" i="4" s="1"/>
  <c r="BJ112" i="4" s="1"/>
  <c r="BK112" i="4" s="1"/>
  <c r="BL112" i="4" s="1"/>
  <c r="BM112" i="4" s="1"/>
  <c r="BN112" i="4" s="1"/>
  <c r="BO112" i="4" s="1"/>
  <c r="BP112" i="4" s="1"/>
  <c r="B111" i="4"/>
  <c r="C111" i="4" s="1"/>
  <c r="D111" i="4" s="1"/>
  <c r="E111" i="4" s="1"/>
  <c r="F111" i="4" s="1"/>
  <c r="G111" i="4" s="1"/>
  <c r="H111" i="4" s="1"/>
  <c r="I111" i="4" s="1"/>
  <c r="J111" i="4" s="1"/>
  <c r="K111" i="4" s="1"/>
  <c r="L111" i="4" s="1"/>
  <c r="M111" i="4" s="1"/>
  <c r="N111" i="4" s="1"/>
  <c r="O111" i="4" s="1"/>
  <c r="P111" i="4" s="1"/>
  <c r="Q111" i="4" s="1"/>
  <c r="R111" i="4" s="1"/>
  <c r="S111" i="4" s="1"/>
  <c r="T111" i="4" s="1"/>
  <c r="U111" i="4" s="1"/>
  <c r="V111" i="4" s="1"/>
  <c r="W111" i="4" s="1"/>
  <c r="X111" i="4" s="1"/>
  <c r="Y111" i="4" s="1"/>
  <c r="Z111" i="4" s="1"/>
  <c r="AA111" i="4" s="1"/>
  <c r="AB111" i="4" s="1"/>
  <c r="AC111" i="4" s="1"/>
  <c r="AD111" i="4" s="1"/>
  <c r="AE111" i="4" s="1"/>
  <c r="AF111" i="4" s="1"/>
  <c r="AG111" i="4" s="1"/>
  <c r="AH111" i="4" s="1"/>
  <c r="AI111" i="4" s="1"/>
  <c r="AJ111" i="4" s="1"/>
  <c r="AK111" i="4" s="1"/>
  <c r="AL111" i="4" s="1"/>
  <c r="AM111" i="4" s="1"/>
  <c r="AN111" i="4" s="1"/>
  <c r="AO111" i="4" s="1"/>
  <c r="AP111" i="4" s="1"/>
  <c r="AQ111" i="4" s="1"/>
  <c r="AR111" i="4" s="1"/>
  <c r="AS111" i="4" s="1"/>
  <c r="AT111" i="4" s="1"/>
  <c r="AU111" i="4" s="1"/>
  <c r="AV111" i="4" s="1"/>
  <c r="AW111" i="4" s="1"/>
  <c r="AX111" i="4" s="1"/>
  <c r="AY111" i="4" s="1"/>
  <c r="AZ111" i="4" s="1"/>
  <c r="BA111" i="4" s="1"/>
  <c r="BB111" i="4" s="1"/>
  <c r="BC111" i="4" s="1"/>
  <c r="BD111" i="4" s="1"/>
  <c r="BE111" i="4" s="1"/>
  <c r="BF111" i="4" s="1"/>
  <c r="BG111" i="4" s="1"/>
  <c r="BH111" i="4" s="1"/>
  <c r="BI111" i="4" s="1"/>
  <c r="BJ111" i="4" s="1"/>
  <c r="BK111" i="4" s="1"/>
  <c r="BL111" i="4" s="1"/>
  <c r="BM111" i="4" s="1"/>
  <c r="BN111" i="4" s="1"/>
  <c r="BO111" i="4" s="1"/>
  <c r="BP111" i="4" s="1"/>
  <c r="B110" i="4"/>
  <c r="C110" i="4" s="1"/>
  <c r="D110" i="4" s="1"/>
  <c r="E110" i="4" s="1"/>
  <c r="F110" i="4" s="1"/>
  <c r="G110" i="4" s="1"/>
  <c r="H110" i="4" s="1"/>
  <c r="I110" i="4" s="1"/>
  <c r="J110" i="4" s="1"/>
  <c r="K110" i="4" s="1"/>
  <c r="L110" i="4" s="1"/>
  <c r="M110" i="4" s="1"/>
  <c r="N110" i="4" s="1"/>
  <c r="O110" i="4" s="1"/>
  <c r="P110" i="4" s="1"/>
  <c r="Q110" i="4" s="1"/>
  <c r="R110" i="4" s="1"/>
  <c r="S110" i="4" s="1"/>
  <c r="T110" i="4" s="1"/>
  <c r="U110" i="4" s="1"/>
  <c r="V110" i="4" s="1"/>
  <c r="W110" i="4" s="1"/>
  <c r="X110" i="4" s="1"/>
  <c r="Y110" i="4" s="1"/>
  <c r="Z110" i="4" s="1"/>
  <c r="AA110" i="4" s="1"/>
  <c r="AB110" i="4" s="1"/>
  <c r="AC110" i="4" s="1"/>
  <c r="AD110" i="4" s="1"/>
  <c r="AE110" i="4" s="1"/>
  <c r="AF110" i="4" s="1"/>
  <c r="AG110" i="4" s="1"/>
  <c r="AH110" i="4" s="1"/>
  <c r="AI110" i="4" s="1"/>
  <c r="AJ110" i="4" s="1"/>
  <c r="AK110" i="4" s="1"/>
  <c r="AL110" i="4" s="1"/>
  <c r="AM110" i="4" s="1"/>
  <c r="AN110" i="4" s="1"/>
  <c r="AO110" i="4" s="1"/>
  <c r="AP110" i="4" s="1"/>
  <c r="AQ110" i="4" s="1"/>
  <c r="AR110" i="4" s="1"/>
  <c r="AS110" i="4" s="1"/>
  <c r="AT110" i="4" s="1"/>
  <c r="AU110" i="4" s="1"/>
  <c r="AV110" i="4" s="1"/>
  <c r="AW110" i="4" s="1"/>
  <c r="AX110" i="4" s="1"/>
  <c r="AY110" i="4" s="1"/>
  <c r="AZ110" i="4" s="1"/>
  <c r="BA110" i="4" s="1"/>
  <c r="BB110" i="4" s="1"/>
  <c r="BC110" i="4" s="1"/>
  <c r="BD110" i="4" s="1"/>
  <c r="BE110" i="4" s="1"/>
  <c r="BF110" i="4" s="1"/>
  <c r="BG110" i="4" s="1"/>
  <c r="BH110" i="4" s="1"/>
  <c r="BI110" i="4" s="1"/>
  <c r="BJ110" i="4" s="1"/>
  <c r="BK110" i="4" s="1"/>
  <c r="BL110" i="4" s="1"/>
  <c r="BM110" i="4" s="1"/>
  <c r="BN110" i="4" s="1"/>
  <c r="BO110" i="4" s="1"/>
  <c r="BP110" i="4" s="1"/>
  <c r="B109" i="4"/>
  <c r="C109" i="4" s="1"/>
  <c r="D109" i="4" s="1"/>
  <c r="E109" i="4" s="1"/>
  <c r="F109" i="4" s="1"/>
  <c r="G109" i="4" s="1"/>
  <c r="H109" i="4" s="1"/>
  <c r="I109" i="4" s="1"/>
  <c r="J109" i="4" s="1"/>
  <c r="K109" i="4" s="1"/>
  <c r="L109" i="4" s="1"/>
  <c r="M109" i="4" s="1"/>
  <c r="N109" i="4" s="1"/>
  <c r="O109" i="4" s="1"/>
  <c r="P109" i="4" s="1"/>
  <c r="Q109" i="4" s="1"/>
  <c r="R109" i="4" s="1"/>
  <c r="S109" i="4" s="1"/>
  <c r="T109" i="4" s="1"/>
  <c r="U109" i="4" s="1"/>
  <c r="V109" i="4" s="1"/>
  <c r="W109" i="4" s="1"/>
  <c r="X109" i="4" s="1"/>
  <c r="Y109" i="4" s="1"/>
  <c r="Z109" i="4" s="1"/>
  <c r="AA109" i="4" s="1"/>
  <c r="AB109" i="4" s="1"/>
  <c r="AC109" i="4" s="1"/>
  <c r="AD109" i="4" s="1"/>
  <c r="AE109" i="4" s="1"/>
  <c r="AF109" i="4" s="1"/>
  <c r="AG109" i="4" s="1"/>
  <c r="AH109" i="4" s="1"/>
  <c r="AI109" i="4" s="1"/>
  <c r="AJ109" i="4" s="1"/>
  <c r="AK109" i="4" s="1"/>
  <c r="AL109" i="4" s="1"/>
  <c r="AM109" i="4" s="1"/>
  <c r="AN109" i="4" s="1"/>
  <c r="AO109" i="4" s="1"/>
  <c r="AP109" i="4" s="1"/>
  <c r="AQ109" i="4" s="1"/>
  <c r="AR109" i="4" s="1"/>
  <c r="AS109" i="4" s="1"/>
  <c r="AT109" i="4" s="1"/>
  <c r="AU109" i="4" s="1"/>
  <c r="AV109" i="4" s="1"/>
  <c r="AW109" i="4" s="1"/>
  <c r="AX109" i="4" s="1"/>
  <c r="AY109" i="4" s="1"/>
  <c r="AZ109" i="4" s="1"/>
  <c r="BA109" i="4" s="1"/>
  <c r="BB109" i="4" s="1"/>
  <c r="BC109" i="4" s="1"/>
  <c r="BD109" i="4" s="1"/>
  <c r="BE109" i="4" s="1"/>
  <c r="BF109" i="4" s="1"/>
  <c r="BG109" i="4" s="1"/>
  <c r="BH109" i="4" s="1"/>
  <c r="BI109" i="4" s="1"/>
  <c r="BJ109" i="4" s="1"/>
  <c r="BK109" i="4" s="1"/>
  <c r="BL109" i="4" s="1"/>
  <c r="BM109" i="4" s="1"/>
  <c r="BN109" i="4" s="1"/>
  <c r="BO109" i="4" s="1"/>
  <c r="BP109" i="4" s="1"/>
  <c r="B108" i="4"/>
  <c r="C108" i="4" s="1"/>
  <c r="D108" i="4" s="1"/>
  <c r="E108" i="4" s="1"/>
  <c r="F108" i="4" s="1"/>
  <c r="G108" i="4" s="1"/>
  <c r="H108" i="4" s="1"/>
  <c r="I108" i="4" s="1"/>
  <c r="J108" i="4" s="1"/>
  <c r="K108" i="4" s="1"/>
  <c r="L108" i="4" s="1"/>
  <c r="M108" i="4" s="1"/>
  <c r="N108" i="4" s="1"/>
  <c r="O108" i="4" s="1"/>
  <c r="P108" i="4" s="1"/>
  <c r="Q108" i="4" s="1"/>
  <c r="R108" i="4" s="1"/>
  <c r="S108" i="4" s="1"/>
  <c r="T108" i="4" s="1"/>
  <c r="U108" i="4" s="1"/>
  <c r="V108" i="4" s="1"/>
  <c r="W108" i="4" s="1"/>
  <c r="X108" i="4" s="1"/>
  <c r="Y108" i="4" s="1"/>
  <c r="Z108" i="4" s="1"/>
  <c r="AA108" i="4" s="1"/>
  <c r="AB108" i="4" s="1"/>
  <c r="AC108" i="4" s="1"/>
  <c r="AD108" i="4" s="1"/>
  <c r="AE108" i="4" s="1"/>
  <c r="AF108" i="4" s="1"/>
  <c r="AG108" i="4" s="1"/>
  <c r="AH108" i="4" s="1"/>
  <c r="AI108" i="4" s="1"/>
  <c r="AJ108" i="4" s="1"/>
  <c r="AK108" i="4" s="1"/>
  <c r="AL108" i="4" s="1"/>
  <c r="AM108" i="4" s="1"/>
  <c r="AN108" i="4" s="1"/>
  <c r="AO108" i="4" s="1"/>
  <c r="AP108" i="4" s="1"/>
  <c r="AQ108" i="4" s="1"/>
  <c r="AR108" i="4" s="1"/>
  <c r="AS108" i="4" s="1"/>
  <c r="AT108" i="4" s="1"/>
  <c r="AU108" i="4" s="1"/>
  <c r="AV108" i="4" s="1"/>
  <c r="AW108" i="4" s="1"/>
  <c r="AX108" i="4" s="1"/>
  <c r="AY108" i="4" s="1"/>
  <c r="AZ108" i="4" s="1"/>
  <c r="BA108" i="4" s="1"/>
  <c r="BB108" i="4" s="1"/>
  <c r="BC108" i="4" s="1"/>
  <c r="BD108" i="4" s="1"/>
  <c r="BE108" i="4" s="1"/>
  <c r="BF108" i="4" s="1"/>
  <c r="BG108" i="4" s="1"/>
  <c r="BH108" i="4" s="1"/>
  <c r="BI108" i="4" s="1"/>
  <c r="BJ108" i="4" s="1"/>
  <c r="BK108" i="4" s="1"/>
  <c r="BL108" i="4" s="1"/>
  <c r="BM108" i="4" s="1"/>
  <c r="BN108" i="4" s="1"/>
  <c r="BO108" i="4" s="1"/>
  <c r="BP108" i="4" s="1"/>
  <c r="B107" i="4"/>
  <c r="C107" i="4" s="1"/>
  <c r="D107" i="4" s="1"/>
  <c r="E107" i="4" s="1"/>
  <c r="F107" i="4" s="1"/>
  <c r="G107" i="4" s="1"/>
  <c r="H107" i="4" s="1"/>
  <c r="I107" i="4" s="1"/>
  <c r="J107" i="4" s="1"/>
  <c r="K107" i="4" s="1"/>
  <c r="L107" i="4" s="1"/>
  <c r="M107" i="4" s="1"/>
  <c r="N107" i="4" s="1"/>
  <c r="O107" i="4" s="1"/>
  <c r="P107" i="4" s="1"/>
  <c r="Q107" i="4" s="1"/>
  <c r="R107" i="4" s="1"/>
  <c r="S107" i="4" s="1"/>
  <c r="T107" i="4" s="1"/>
  <c r="U107" i="4" s="1"/>
  <c r="V107" i="4" s="1"/>
  <c r="W107" i="4" s="1"/>
  <c r="X107" i="4" s="1"/>
  <c r="Y107" i="4" s="1"/>
  <c r="Z107" i="4" s="1"/>
  <c r="AA107" i="4" s="1"/>
  <c r="AB107" i="4" s="1"/>
  <c r="AC107" i="4" s="1"/>
  <c r="AD107" i="4" s="1"/>
  <c r="AE107" i="4" s="1"/>
  <c r="AF107" i="4" s="1"/>
  <c r="AG107" i="4" s="1"/>
  <c r="AH107" i="4" s="1"/>
  <c r="AI107" i="4" s="1"/>
  <c r="AJ107" i="4" s="1"/>
  <c r="AK107" i="4" s="1"/>
  <c r="AL107" i="4" s="1"/>
  <c r="AM107" i="4" s="1"/>
  <c r="AN107" i="4" s="1"/>
  <c r="AO107" i="4" s="1"/>
  <c r="AP107" i="4" s="1"/>
  <c r="AQ107" i="4" s="1"/>
  <c r="AR107" i="4" s="1"/>
  <c r="AS107" i="4" s="1"/>
  <c r="AT107" i="4" s="1"/>
  <c r="AU107" i="4" s="1"/>
  <c r="AV107" i="4" s="1"/>
  <c r="AW107" i="4" s="1"/>
  <c r="AX107" i="4" s="1"/>
  <c r="AY107" i="4" s="1"/>
  <c r="AZ107" i="4" s="1"/>
  <c r="BA107" i="4" s="1"/>
  <c r="BB107" i="4" s="1"/>
  <c r="BC107" i="4" s="1"/>
  <c r="BD107" i="4" s="1"/>
  <c r="BE107" i="4" s="1"/>
  <c r="BF107" i="4" s="1"/>
  <c r="BG107" i="4" s="1"/>
  <c r="BH107" i="4" s="1"/>
  <c r="BI107" i="4" s="1"/>
  <c r="BJ107" i="4" s="1"/>
  <c r="BK107" i="4" s="1"/>
  <c r="BL107" i="4" s="1"/>
  <c r="BM107" i="4" s="1"/>
  <c r="BN107" i="4" s="1"/>
  <c r="BO107" i="4" s="1"/>
  <c r="BP107" i="4" s="1"/>
  <c r="B106" i="4"/>
  <c r="C106" i="4" s="1"/>
  <c r="D106" i="4" s="1"/>
  <c r="E106" i="4" s="1"/>
  <c r="F106" i="4" s="1"/>
  <c r="G106" i="4" s="1"/>
  <c r="H106" i="4" s="1"/>
  <c r="I106" i="4" s="1"/>
  <c r="J106" i="4" s="1"/>
  <c r="K106" i="4" s="1"/>
  <c r="L106" i="4" s="1"/>
  <c r="M106" i="4" s="1"/>
  <c r="N106" i="4" s="1"/>
  <c r="O106" i="4" s="1"/>
  <c r="P106" i="4" s="1"/>
  <c r="Q106" i="4" s="1"/>
  <c r="R106" i="4" s="1"/>
  <c r="S106" i="4" s="1"/>
  <c r="T106" i="4" s="1"/>
  <c r="U106" i="4" s="1"/>
  <c r="V106" i="4" s="1"/>
  <c r="W106" i="4" s="1"/>
  <c r="X106" i="4" s="1"/>
  <c r="Y106" i="4" s="1"/>
  <c r="Z106" i="4" s="1"/>
  <c r="AA106" i="4" s="1"/>
  <c r="AB106" i="4" s="1"/>
  <c r="AC106" i="4" s="1"/>
  <c r="AD106" i="4" s="1"/>
  <c r="AE106" i="4" s="1"/>
  <c r="AF106" i="4" s="1"/>
  <c r="AG106" i="4" s="1"/>
  <c r="AH106" i="4" s="1"/>
  <c r="AI106" i="4" s="1"/>
  <c r="AJ106" i="4" s="1"/>
  <c r="AK106" i="4" s="1"/>
  <c r="AL106" i="4" s="1"/>
  <c r="AM106" i="4" s="1"/>
  <c r="AN106" i="4" s="1"/>
  <c r="AO106" i="4" s="1"/>
  <c r="AP106" i="4" s="1"/>
  <c r="AQ106" i="4" s="1"/>
  <c r="AR106" i="4" s="1"/>
  <c r="AS106" i="4" s="1"/>
  <c r="AT106" i="4" s="1"/>
  <c r="AU106" i="4" s="1"/>
  <c r="AV106" i="4" s="1"/>
  <c r="AW106" i="4" s="1"/>
  <c r="AX106" i="4" s="1"/>
  <c r="AY106" i="4" s="1"/>
  <c r="AZ106" i="4" s="1"/>
  <c r="BA106" i="4" s="1"/>
  <c r="BB106" i="4" s="1"/>
  <c r="BC106" i="4" s="1"/>
  <c r="BD106" i="4" s="1"/>
  <c r="BE106" i="4" s="1"/>
  <c r="BF106" i="4" s="1"/>
  <c r="BG106" i="4" s="1"/>
  <c r="BH106" i="4" s="1"/>
  <c r="BI106" i="4" s="1"/>
  <c r="BJ106" i="4" s="1"/>
  <c r="BK106" i="4" s="1"/>
  <c r="BL106" i="4" s="1"/>
  <c r="BM106" i="4" s="1"/>
  <c r="BN106" i="4" s="1"/>
  <c r="BO106" i="4" s="1"/>
  <c r="BP106" i="4" s="1"/>
  <c r="B105" i="4"/>
  <c r="C105" i="4" s="1"/>
  <c r="D105" i="4" s="1"/>
  <c r="E105" i="4" s="1"/>
  <c r="F105" i="4" s="1"/>
  <c r="G105" i="4" s="1"/>
  <c r="H105" i="4" s="1"/>
  <c r="I105" i="4" s="1"/>
  <c r="J105" i="4" s="1"/>
  <c r="K105" i="4" s="1"/>
  <c r="L105" i="4" s="1"/>
  <c r="M105" i="4" s="1"/>
  <c r="N105" i="4" s="1"/>
  <c r="O105" i="4" s="1"/>
  <c r="P105" i="4" s="1"/>
  <c r="Q105" i="4" s="1"/>
  <c r="R105" i="4" s="1"/>
  <c r="S105" i="4" s="1"/>
  <c r="T105" i="4" s="1"/>
  <c r="U105" i="4" s="1"/>
  <c r="V105" i="4" s="1"/>
  <c r="W105" i="4" s="1"/>
  <c r="X105" i="4" s="1"/>
  <c r="Y105" i="4" s="1"/>
  <c r="Z105" i="4" s="1"/>
  <c r="AA105" i="4" s="1"/>
  <c r="AB105" i="4" s="1"/>
  <c r="AC105" i="4" s="1"/>
  <c r="AD105" i="4" s="1"/>
  <c r="AE105" i="4" s="1"/>
  <c r="AF105" i="4" s="1"/>
  <c r="AG105" i="4" s="1"/>
  <c r="AH105" i="4" s="1"/>
  <c r="AI105" i="4" s="1"/>
  <c r="AJ105" i="4" s="1"/>
  <c r="AK105" i="4" s="1"/>
  <c r="AL105" i="4" s="1"/>
  <c r="AM105" i="4" s="1"/>
  <c r="AN105" i="4" s="1"/>
  <c r="AO105" i="4" s="1"/>
  <c r="AP105" i="4" s="1"/>
  <c r="AQ105" i="4" s="1"/>
  <c r="AR105" i="4" s="1"/>
  <c r="AS105" i="4" s="1"/>
  <c r="AT105" i="4" s="1"/>
  <c r="AU105" i="4" s="1"/>
  <c r="AV105" i="4" s="1"/>
  <c r="AW105" i="4" s="1"/>
  <c r="AX105" i="4" s="1"/>
  <c r="AY105" i="4" s="1"/>
  <c r="AZ105" i="4" s="1"/>
  <c r="BA105" i="4" s="1"/>
  <c r="BB105" i="4" s="1"/>
  <c r="BC105" i="4" s="1"/>
  <c r="BD105" i="4" s="1"/>
  <c r="BE105" i="4" s="1"/>
  <c r="BF105" i="4" s="1"/>
  <c r="BG105" i="4" s="1"/>
  <c r="BH105" i="4" s="1"/>
  <c r="BI105" i="4" s="1"/>
  <c r="BJ105" i="4" s="1"/>
  <c r="BK105" i="4" s="1"/>
  <c r="BL105" i="4" s="1"/>
  <c r="BM105" i="4" s="1"/>
  <c r="BN105" i="4" s="1"/>
  <c r="BO105" i="4" s="1"/>
  <c r="BP105" i="4" s="1"/>
  <c r="B104" i="4"/>
  <c r="C104" i="4" s="1"/>
  <c r="D104" i="4" s="1"/>
  <c r="E104" i="4" s="1"/>
  <c r="F104" i="4" s="1"/>
  <c r="G104" i="4" s="1"/>
  <c r="H104" i="4" s="1"/>
  <c r="I104" i="4" s="1"/>
  <c r="J104" i="4" s="1"/>
  <c r="K104" i="4" s="1"/>
  <c r="L104" i="4" s="1"/>
  <c r="M104" i="4" s="1"/>
  <c r="N104" i="4" s="1"/>
  <c r="O104" i="4" s="1"/>
  <c r="P104" i="4" s="1"/>
  <c r="Q104" i="4" s="1"/>
  <c r="R104" i="4" s="1"/>
  <c r="S104" i="4" s="1"/>
  <c r="T104" i="4" s="1"/>
  <c r="U104" i="4" s="1"/>
  <c r="V104" i="4" s="1"/>
  <c r="W104" i="4" s="1"/>
  <c r="X104" i="4" s="1"/>
  <c r="Y104" i="4" s="1"/>
  <c r="Z104" i="4" s="1"/>
  <c r="AA104" i="4" s="1"/>
  <c r="AB104" i="4" s="1"/>
  <c r="AC104" i="4" s="1"/>
  <c r="AD104" i="4" s="1"/>
  <c r="AE104" i="4" s="1"/>
  <c r="AF104" i="4" s="1"/>
  <c r="AG104" i="4" s="1"/>
  <c r="AH104" i="4" s="1"/>
  <c r="AI104" i="4" s="1"/>
  <c r="AJ104" i="4" s="1"/>
  <c r="AK104" i="4" s="1"/>
  <c r="AL104" i="4" s="1"/>
  <c r="AM104" i="4" s="1"/>
  <c r="AN104" i="4" s="1"/>
  <c r="AO104" i="4" s="1"/>
  <c r="AP104" i="4" s="1"/>
  <c r="AQ104" i="4" s="1"/>
  <c r="AR104" i="4" s="1"/>
  <c r="AS104" i="4" s="1"/>
  <c r="AT104" i="4" s="1"/>
  <c r="AU104" i="4" s="1"/>
  <c r="AV104" i="4" s="1"/>
  <c r="AW104" i="4" s="1"/>
  <c r="AX104" i="4" s="1"/>
  <c r="AY104" i="4" s="1"/>
  <c r="AZ104" i="4" s="1"/>
  <c r="BA104" i="4" s="1"/>
  <c r="BB104" i="4" s="1"/>
  <c r="BC104" i="4" s="1"/>
  <c r="BD104" i="4" s="1"/>
  <c r="BE104" i="4" s="1"/>
  <c r="BF104" i="4" s="1"/>
  <c r="BG104" i="4" s="1"/>
  <c r="BH104" i="4" s="1"/>
  <c r="BI104" i="4" s="1"/>
  <c r="BJ104" i="4" s="1"/>
  <c r="BK104" i="4" s="1"/>
  <c r="BL104" i="4" s="1"/>
  <c r="BM104" i="4" s="1"/>
  <c r="BN104" i="4" s="1"/>
  <c r="BO104" i="4" s="1"/>
  <c r="BP104" i="4" s="1"/>
  <c r="B103" i="4"/>
  <c r="C103" i="4" s="1"/>
  <c r="D103" i="4" s="1"/>
  <c r="E103" i="4" s="1"/>
  <c r="F103" i="4" s="1"/>
  <c r="G103" i="4" s="1"/>
  <c r="H103" i="4" s="1"/>
  <c r="I103" i="4" s="1"/>
  <c r="J103" i="4" s="1"/>
  <c r="K103" i="4" s="1"/>
  <c r="L103" i="4" s="1"/>
  <c r="M103" i="4" s="1"/>
  <c r="N103" i="4" s="1"/>
  <c r="O103" i="4" s="1"/>
  <c r="P103" i="4" s="1"/>
  <c r="Q103" i="4" s="1"/>
  <c r="R103" i="4" s="1"/>
  <c r="S103" i="4" s="1"/>
  <c r="T103" i="4" s="1"/>
  <c r="U103" i="4" s="1"/>
  <c r="V103" i="4" s="1"/>
  <c r="W103" i="4" s="1"/>
  <c r="X103" i="4" s="1"/>
  <c r="Y103" i="4" s="1"/>
  <c r="Z103" i="4" s="1"/>
  <c r="AA103" i="4" s="1"/>
  <c r="AB103" i="4" s="1"/>
  <c r="AC103" i="4" s="1"/>
  <c r="AD103" i="4" s="1"/>
  <c r="AE103" i="4" s="1"/>
  <c r="AF103" i="4" s="1"/>
  <c r="AG103" i="4" s="1"/>
  <c r="AH103" i="4" s="1"/>
  <c r="AI103" i="4" s="1"/>
  <c r="AJ103" i="4" s="1"/>
  <c r="AK103" i="4" s="1"/>
  <c r="AL103" i="4" s="1"/>
  <c r="AM103" i="4" s="1"/>
  <c r="AN103" i="4" s="1"/>
  <c r="AO103" i="4" s="1"/>
  <c r="AP103" i="4" s="1"/>
  <c r="AQ103" i="4" s="1"/>
  <c r="AR103" i="4" s="1"/>
  <c r="AS103" i="4" s="1"/>
  <c r="AT103" i="4" s="1"/>
  <c r="AU103" i="4" s="1"/>
  <c r="AV103" i="4" s="1"/>
  <c r="AW103" i="4" s="1"/>
  <c r="AX103" i="4" s="1"/>
  <c r="AY103" i="4" s="1"/>
  <c r="AZ103" i="4" s="1"/>
  <c r="BA103" i="4" s="1"/>
  <c r="BB103" i="4" s="1"/>
  <c r="BC103" i="4" s="1"/>
  <c r="BD103" i="4" s="1"/>
  <c r="BE103" i="4" s="1"/>
  <c r="BF103" i="4" s="1"/>
  <c r="BG103" i="4" s="1"/>
  <c r="BH103" i="4" s="1"/>
  <c r="BI103" i="4" s="1"/>
  <c r="BJ103" i="4" s="1"/>
  <c r="BK103" i="4" s="1"/>
  <c r="BL103" i="4" s="1"/>
  <c r="BM103" i="4" s="1"/>
  <c r="BN103" i="4" s="1"/>
  <c r="BO103" i="4" s="1"/>
  <c r="BP103" i="4" s="1"/>
  <c r="B102" i="4"/>
  <c r="C102" i="4" s="1"/>
  <c r="D102" i="4" s="1"/>
  <c r="E102" i="4" s="1"/>
  <c r="F102" i="4" s="1"/>
  <c r="G102" i="4" s="1"/>
  <c r="H102" i="4" s="1"/>
  <c r="I102" i="4" s="1"/>
  <c r="J102" i="4" s="1"/>
  <c r="K102" i="4" s="1"/>
  <c r="L102" i="4" s="1"/>
  <c r="M102" i="4" s="1"/>
  <c r="N102" i="4" s="1"/>
  <c r="O102" i="4" s="1"/>
  <c r="P102" i="4" s="1"/>
  <c r="Q102" i="4" s="1"/>
  <c r="R102" i="4" s="1"/>
  <c r="S102" i="4" s="1"/>
  <c r="T102" i="4" s="1"/>
  <c r="U102" i="4" s="1"/>
  <c r="V102" i="4" s="1"/>
  <c r="W102" i="4" s="1"/>
  <c r="X102" i="4" s="1"/>
  <c r="Y102" i="4" s="1"/>
  <c r="Z102" i="4" s="1"/>
  <c r="AA102" i="4" s="1"/>
  <c r="AB102" i="4" s="1"/>
  <c r="AC102" i="4" s="1"/>
  <c r="AD102" i="4" s="1"/>
  <c r="AE102" i="4" s="1"/>
  <c r="AF102" i="4" s="1"/>
  <c r="AG102" i="4" s="1"/>
  <c r="AH102" i="4" s="1"/>
  <c r="AI102" i="4" s="1"/>
  <c r="AJ102" i="4" s="1"/>
  <c r="AK102" i="4" s="1"/>
  <c r="AL102" i="4" s="1"/>
  <c r="AM102" i="4" s="1"/>
  <c r="AN102" i="4" s="1"/>
  <c r="AO102" i="4" s="1"/>
  <c r="AP102" i="4" s="1"/>
  <c r="AQ102" i="4" s="1"/>
  <c r="AR102" i="4" s="1"/>
  <c r="AS102" i="4" s="1"/>
  <c r="AT102" i="4" s="1"/>
  <c r="AU102" i="4" s="1"/>
  <c r="AV102" i="4" s="1"/>
  <c r="AW102" i="4" s="1"/>
  <c r="AX102" i="4" s="1"/>
  <c r="AY102" i="4" s="1"/>
  <c r="AZ102" i="4" s="1"/>
  <c r="BA102" i="4" s="1"/>
  <c r="BB102" i="4" s="1"/>
  <c r="BC102" i="4" s="1"/>
  <c r="BD102" i="4" s="1"/>
  <c r="BE102" i="4" s="1"/>
  <c r="BF102" i="4" s="1"/>
  <c r="BG102" i="4" s="1"/>
  <c r="BH102" i="4" s="1"/>
  <c r="BI102" i="4" s="1"/>
  <c r="BJ102" i="4" s="1"/>
  <c r="BK102" i="4" s="1"/>
  <c r="BL102" i="4" s="1"/>
  <c r="BM102" i="4" s="1"/>
  <c r="BN102" i="4" s="1"/>
  <c r="BO102" i="4" s="1"/>
  <c r="BP102" i="4" s="1"/>
  <c r="B101" i="4"/>
  <c r="C101" i="4" s="1"/>
  <c r="D101" i="4" s="1"/>
  <c r="E101" i="4" s="1"/>
  <c r="F101" i="4" s="1"/>
  <c r="G101" i="4" s="1"/>
  <c r="H101" i="4" s="1"/>
  <c r="I101" i="4" s="1"/>
  <c r="J101" i="4" s="1"/>
  <c r="K101" i="4" s="1"/>
  <c r="L101" i="4" s="1"/>
  <c r="M101" i="4" s="1"/>
  <c r="N101" i="4" s="1"/>
  <c r="O101" i="4" s="1"/>
  <c r="P101" i="4" s="1"/>
  <c r="Q101" i="4" s="1"/>
  <c r="R101" i="4" s="1"/>
  <c r="S101" i="4" s="1"/>
  <c r="T101" i="4" s="1"/>
  <c r="U101" i="4" s="1"/>
  <c r="V101" i="4" s="1"/>
  <c r="W101" i="4" s="1"/>
  <c r="X101" i="4" s="1"/>
  <c r="Y101" i="4" s="1"/>
  <c r="Z101" i="4" s="1"/>
  <c r="AA101" i="4" s="1"/>
  <c r="AB101" i="4" s="1"/>
  <c r="AC101" i="4" s="1"/>
  <c r="AD101" i="4" s="1"/>
  <c r="AE101" i="4" s="1"/>
  <c r="AF101" i="4" s="1"/>
  <c r="AG101" i="4" s="1"/>
  <c r="AH101" i="4" s="1"/>
  <c r="AI101" i="4" s="1"/>
  <c r="AJ101" i="4" s="1"/>
  <c r="AK101" i="4" s="1"/>
  <c r="AL101" i="4" s="1"/>
  <c r="AM101" i="4" s="1"/>
  <c r="AN101" i="4" s="1"/>
  <c r="AO101" i="4" s="1"/>
  <c r="AP101" i="4" s="1"/>
  <c r="AQ101" i="4" s="1"/>
  <c r="AR101" i="4" s="1"/>
  <c r="AS101" i="4" s="1"/>
  <c r="AT101" i="4" s="1"/>
  <c r="AU101" i="4" s="1"/>
  <c r="AV101" i="4" s="1"/>
  <c r="AW101" i="4" s="1"/>
  <c r="AX101" i="4" s="1"/>
  <c r="AY101" i="4" s="1"/>
  <c r="AZ101" i="4" s="1"/>
  <c r="BA101" i="4" s="1"/>
  <c r="BB101" i="4" s="1"/>
  <c r="BC101" i="4" s="1"/>
  <c r="BD101" i="4" s="1"/>
  <c r="BE101" i="4" s="1"/>
  <c r="BF101" i="4" s="1"/>
  <c r="BG101" i="4" s="1"/>
  <c r="BH101" i="4" s="1"/>
  <c r="BI101" i="4" s="1"/>
  <c r="BJ101" i="4" s="1"/>
  <c r="BK101" i="4" s="1"/>
  <c r="BL101" i="4" s="1"/>
  <c r="BM101" i="4" s="1"/>
  <c r="BN101" i="4" s="1"/>
  <c r="BO101" i="4" s="1"/>
  <c r="BP101" i="4" s="1"/>
  <c r="B100" i="4"/>
  <c r="C100" i="4" s="1"/>
  <c r="D100" i="4" s="1"/>
  <c r="E100" i="4" s="1"/>
  <c r="F100" i="4" s="1"/>
  <c r="G100" i="4" s="1"/>
  <c r="H100" i="4" s="1"/>
  <c r="I100" i="4" s="1"/>
  <c r="J100" i="4" s="1"/>
  <c r="K100" i="4" s="1"/>
  <c r="L100" i="4" s="1"/>
  <c r="M100" i="4" s="1"/>
  <c r="N100" i="4" s="1"/>
  <c r="O100" i="4" s="1"/>
  <c r="P100" i="4" s="1"/>
  <c r="Q100" i="4" s="1"/>
  <c r="R100" i="4" s="1"/>
  <c r="S100" i="4" s="1"/>
  <c r="T100" i="4" s="1"/>
  <c r="U100" i="4" s="1"/>
  <c r="V100" i="4" s="1"/>
  <c r="W100" i="4" s="1"/>
  <c r="X100" i="4" s="1"/>
  <c r="Y100" i="4" s="1"/>
  <c r="Z100" i="4" s="1"/>
  <c r="AA100" i="4" s="1"/>
  <c r="AB100" i="4" s="1"/>
  <c r="AC100" i="4" s="1"/>
  <c r="AD100" i="4" s="1"/>
  <c r="AE100" i="4" s="1"/>
  <c r="AF100" i="4" s="1"/>
  <c r="AG100" i="4" s="1"/>
  <c r="AH100" i="4" s="1"/>
  <c r="AI100" i="4" s="1"/>
  <c r="AJ100" i="4" s="1"/>
  <c r="AK100" i="4" s="1"/>
  <c r="AL100" i="4" s="1"/>
  <c r="AM100" i="4" s="1"/>
  <c r="AN100" i="4" s="1"/>
  <c r="AO100" i="4" s="1"/>
  <c r="AP100" i="4" s="1"/>
  <c r="AQ100" i="4" s="1"/>
  <c r="AR100" i="4" s="1"/>
  <c r="AS100" i="4" s="1"/>
  <c r="AT100" i="4" s="1"/>
  <c r="AU100" i="4" s="1"/>
  <c r="AV100" i="4" s="1"/>
  <c r="AW100" i="4" s="1"/>
  <c r="AX100" i="4" s="1"/>
  <c r="AY100" i="4" s="1"/>
  <c r="AZ100" i="4" s="1"/>
  <c r="BA100" i="4" s="1"/>
  <c r="BB100" i="4" s="1"/>
  <c r="BC100" i="4" s="1"/>
  <c r="BD100" i="4" s="1"/>
  <c r="BE100" i="4" s="1"/>
  <c r="BF100" i="4" s="1"/>
  <c r="BG100" i="4" s="1"/>
  <c r="BH100" i="4" s="1"/>
  <c r="BI100" i="4" s="1"/>
  <c r="BJ100" i="4" s="1"/>
  <c r="BK100" i="4" s="1"/>
  <c r="BL100" i="4" s="1"/>
  <c r="BM100" i="4" s="1"/>
  <c r="BN100" i="4" s="1"/>
  <c r="BO100" i="4" s="1"/>
  <c r="BP100" i="4" s="1"/>
  <c r="B99" i="4"/>
  <c r="C99" i="4" s="1"/>
  <c r="D99" i="4" s="1"/>
  <c r="E99" i="4" s="1"/>
  <c r="F99" i="4" s="1"/>
  <c r="G99" i="4" s="1"/>
  <c r="H99" i="4" s="1"/>
  <c r="I99" i="4" s="1"/>
  <c r="J99" i="4" s="1"/>
  <c r="K99" i="4" s="1"/>
  <c r="L99" i="4" s="1"/>
  <c r="M99" i="4" s="1"/>
  <c r="N99" i="4" s="1"/>
  <c r="O99" i="4" s="1"/>
  <c r="P99" i="4" s="1"/>
  <c r="Q99" i="4" s="1"/>
  <c r="R99" i="4" s="1"/>
  <c r="S99" i="4" s="1"/>
  <c r="T99" i="4" s="1"/>
  <c r="U99" i="4" s="1"/>
  <c r="V99" i="4" s="1"/>
  <c r="W99" i="4" s="1"/>
  <c r="X99" i="4" s="1"/>
  <c r="Y99" i="4" s="1"/>
  <c r="Z99" i="4" s="1"/>
  <c r="AA99" i="4" s="1"/>
  <c r="AB99" i="4" s="1"/>
  <c r="AC99" i="4" s="1"/>
  <c r="AD99" i="4" s="1"/>
  <c r="AE99" i="4" s="1"/>
  <c r="AF99" i="4" s="1"/>
  <c r="AG99" i="4" s="1"/>
  <c r="AH99" i="4" s="1"/>
  <c r="AI99" i="4" s="1"/>
  <c r="AJ99" i="4" s="1"/>
  <c r="AK99" i="4" s="1"/>
  <c r="AL99" i="4" s="1"/>
  <c r="AM99" i="4" s="1"/>
  <c r="AN99" i="4" s="1"/>
  <c r="AO99" i="4" s="1"/>
  <c r="AP99" i="4" s="1"/>
  <c r="AQ99" i="4" s="1"/>
  <c r="AR99" i="4" s="1"/>
  <c r="AS99" i="4" s="1"/>
  <c r="AT99" i="4" s="1"/>
  <c r="AU99" i="4" s="1"/>
  <c r="AV99" i="4" s="1"/>
  <c r="AW99" i="4" s="1"/>
  <c r="AX99" i="4" s="1"/>
  <c r="AY99" i="4" s="1"/>
  <c r="AZ99" i="4" s="1"/>
  <c r="BA99" i="4" s="1"/>
  <c r="BB99" i="4" s="1"/>
  <c r="BC99" i="4" s="1"/>
  <c r="BD99" i="4" s="1"/>
  <c r="BE99" i="4" s="1"/>
  <c r="BF99" i="4" s="1"/>
  <c r="BG99" i="4" s="1"/>
  <c r="BH99" i="4" s="1"/>
  <c r="BI99" i="4" s="1"/>
  <c r="BJ99" i="4" s="1"/>
  <c r="BK99" i="4" s="1"/>
  <c r="BL99" i="4" s="1"/>
  <c r="BM99" i="4" s="1"/>
  <c r="BN99" i="4" s="1"/>
  <c r="BO99" i="4" s="1"/>
  <c r="BP99" i="4" s="1"/>
  <c r="B98" i="4"/>
  <c r="C98" i="4" s="1"/>
  <c r="D98" i="4" s="1"/>
  <c r="E98" i="4" s="1"/>
  <c r="F98" i="4" s="1"/>
  <c r="G98" i="4" s="1"/>
  <c r="H98" i="4" s="1"/>
  <c r="I98" i="4" s="1"/>
  <c r="J98" i="4" s="1"/>
  <c r="K98" i="4" s="1"/>
  <c r="L98" i="4" s="1"/>
  <c r="M98" i="4" s="1"/>
  <c r="N98" i="4" s="1"/>
  <c r="O98" i="4" s="1"/>
  <c r="P98" i="4" s="1"/>
  <c r="Q98" i="4" s="1"/>
  <c r="R98" i="4" s="1"/>
  <c r="S98" i="4" s="1"/>
  <c r="T98" i="4" s="1"/>
  <c r="U98" i="4" s="1"/>
  <c r="V98" i="4" s="1"/>
  <c r="W98" i="4" s="1"/>
  <c r="X98" i="4" s="1"/>
  <c r="Y98" i="4" s="1"/>
  <c r="Z98" i="4" s="1"/>
  <c r="AA98" i="4" s="1"/>
  <c r="AB98" i="4" s="1"/>
  <c r="AC98" i="4" s="1"/>
  <c r="AD98" i="4" s="1"/>
  <c r="AE98" i="4" s="1"/>
  <c r="AF98" i="4" s="1"/>
  <c r="AG98" i="4" s="1"/>
  <c r="AH98" i="4" s="1"/>
  <c r="AI98" i="4" s="1"/>
  <c r="AJ98" i="4" s="1"/>
  <c r="AK98" i="4" s="1"/>
  <c r="AL98" i="4" s="1"/>
  <c r="AM98" i="4" s="1"/>
  <c r="AN98" i="4" s="1"/>
  <c r="AO98" i="4" s="1"/>
  <c r="AP98" i="4" s="1"/>
  <c r="AQ98" i="4" s="1"/>
  <c r="AR98" i="4" s="1"/>
  <c r="AS98" i="4" s="1"/>
  <c r="AT98" i="4" s="1"/>
  <c r="AU98" i="4" s="1"/>
  <c r="AV98" i="4" s="1"/>
  <c r="AW98" i="4" s="1"/>
  <c r="AX98" i="4" s="1"/>
  <c r="AY98" i="4" s="1"/>
  <c r="AZ98" i="4" s="1"/>
  <c r="BA98" i="4" s="1"/>
  <c r="BB98" i="4" s="1"/>
  <c r="BC98" i="4" s="1"/>
  <c r="BD98" i="4" s="1"/>
  <c r="BE98" i="4" s="1"/>
  <c r="BF98" i="4" s="1"/>
  <c r="BG98" i="4" s="1"/>
  <c r="BH98" i="4" s="1"/>
  <c r="BI98" i="4" s="1"/>
  <c r="BJ98" i="4" s="1"/>
  <c r="BK98" i="4" s="1"/>
  <c r="BL98" i="4" s="1"/>
  <c r="BM98" i="4" s="1"/>
  <c r="BN98" i="4" s="1"/>
  <c r="BO98" i="4" s="1"/>
  <c r="BP98" i="4" s="1"/>
  <c r="B97" i="4"/>
  <c r="C97" i="4" s="1"/>
  <c r="D97" i="4" s="1"/>
  <c r="E97" i="4" s="1"/>
  <c r="F97" i="4" s="1"/>
  <c r="G97" i="4" s="1"/>
  <c r="H97" i="4" s="1"/>
  <c r="I97" i="4" s="1"/>
  <c r="J97" i="4" s="1"/>
  <c r="K97" i="4" s="1"/>
  <c r="L97" i="4" s="1"/>
  <c r="M97" i="4" s="1"/>
  <c r="N97" i="4" s="1"/>
  <c r="O97" i="4" s="1"/>
  <c r="P97" i="4" s="1"/>
  <c r="Q97" i="4" s="1"/>
  <c r="R97" i="4" s="1"/>
  <c r="S97" i="4" s="1"/>
  <c r="T97" i="4" s="1"/>
  <c r="U97" i="4" s="1"/>
  <c r="V97" i="4" s="1"/>
  <c r="W97" i="4" s="1"/>
  <c r="X97" i="4" s="1"/>
  <c r="Y97" i="4" s="1"/>
  <c r="Z97" i="4" s="1"/>
  <c r="AA97" i="4" s="1"/>
  <c r="AB97" i="4" s="1"/>
  <c r="AC97" i="4" s="1"/>
  <c r="AD97" i="4" s="1"/>
  <c r="AE97" i="4" s="1"/>
  <c r="AF97" i="4" s="1"/>
  <c r="AG97" i="4" s="1"/>
  <c r="AH97" i="4" s="1"/>
  <c r="AI97" i="4" s="1"/>
  <c r="AJ97" i="4" s="1"/>
  <c r="AK97" i="4" s="1"/>
  <c r="AL97" i="4" s="1"/>
  <c r="AM97" i="4" s="1"/>
  <c r="AN97" i="4" s="1"/>
  <c r="AO97" i="4" s="1"/>
  <c r="AP97" i="4" s="1"/>
  <c r="AQ97" i="4" s="1"/>
  <c r="AR97" i="4" s="1"/>
  <c r="AS97" i="4" s="1"/>
  <c r="AT97" i="4" s="1"/>
  <c r="AU97" i="4" s="1"/>
  <c r="AV97" i="4" s="1"/>
  <c r="AW97" i="4" s="1"/>
  <c r="AX97" i="4" s="1"/>
  <c r="AY97" i="4" s="1"/>
  <c r="AZ97" i="4" s="1"/>
  <c r="BA97" i="4" s="1"/>
  <c r="BB97" i="4" s="1"/>
  <c r="BC97" i="4" s="1"/>
  <c r="BD97" i="4" s="1"/>
  <c r="BE97" i="4" s="1"/>
  <c r="BF97" i="4" s="1"/>
  <c r="BG97" i="4" s="1"/>
  <c r="BH97" i="4" s="1"/>
  <c r="BI97" i="4" s="1"/>
  <c r="BJ97" i="4" s="1"/>
  <c r="BK97" i="4" s="1"/>
  <c r="BL97" i="4" s="1"/>
  <c r="BM97" i="4" s="1"/>
  <c r="BN97" i="4" s="1"/>
  <c r="BO97" i="4" s="1"/>
  <c r="BP97" i="4" s="1"/>
  <c r="B96" i="4"/>
  <c r="C96" i="4" s="1"/>
  <c r="D96" i="4" s="1"/>
  <c r="E96" i="4" s="1"/>
  <c r="F96" i="4" s="1"/>
  <c r="G96" i="4" s="1"/>
  <c r="H96" i="4" s="1"/>
  <c r="I96" i="4" s="1"/>
  <c r="J96" i="4" s="1"/>
  <c r="K96" i="4" s="1"/>
  <c r="L96" i="4" s="1"/>
  <c r="M96" i="4" s="1"/>
  <c r="N96" i="4" s="1"/>
  <c r="O96" i="4" s="1"/>
  <c r="P96" i="4" s="1"/>
  <c r="Q96" i="4" s="1"/>
  <c r="R96" i="4" s="1"/>
  <c r="S96" i="4" s="1"/>
  <c r="T96" i="4" s="1"/>
  <c r="U96" i="4" s="1"/>
  <c r="V96" i="4" s="1"/>
  <c r="W96" i="4" s="1"/>
  <c r="X96" i="4" s="1"/>
  <c r="Y96" i="4" s="1"/>
  <c r="Z96" i="4" s="1"/>
  <c r="AA96" i="4" s="1"/>
  <c r="AB96" i="4" s="1"/>
  <c r="AC96" i="4" s="1"/>
  <c r="AD96" i="4" s="1"/>
  <c r="AE96" i="4" s="1"/>
  <c r="AF96" i="4" s="1"/>
  <c r="AG96" i="4" s="1"/>
  <c r="AH96" i="4" s="1"/>
  <c r="AI96" i="4" s="1"/>
  <c r="AJ96" i="4" s="1"/>
  <c r="AK96" i="4" s="1"/>
  <c r="AL96" i="4" s="1"/>
  <c r="AM96" i="4" s="1"/>
  <c r="AN96" i="4" s="1"/>
  <c r="AO96" i="4" s="1"/>
  <c r="AP96" i="4" s="1"/>
  <c r="AQ96" i="4" s="1"/>
  <c r="AR96" i="4" s="1"/>
  <c r="AS96" i="4" s="1"/>
  <c r="AT96" i="4" s="1"/>
  <c r="AU96" i="4" s="1"/>
  <c r="AV96" i="4" s="1"/>
  <c r="AW96" i="4" s="1"/>
  <c r="AX96" i="4" s="1"/>
  <c r="AY96" i="4" s="1"/>
  <c r="AZ96" i="4" s="1"/>
  <c r="BA96" i="4" s="1"/>
  <c r="BB96" i="4" s="1"/>
  <c r="BC96" i="4" s="1"/>
  <c r="BD96" i="4" s="1"/>
  <c r="BE96" i="4" s="1"/>
  <c r="BF96" i="4" s="1"/>
  <c r="BG96" i="4" s="1"/>
  <c r="BH96" i="4" s="1"/>
  <c r="BI96" i="4" s="1"/>
  <c r="BJ96" i="4" s="1"/>
  <c r="BK96" i="4" s="1"/>
  <c r="BL96" i="4" s="1"/>
  <c r="BM96" i="4" s="1"/>
  <c r="BN96" i="4" s="1"/>
  <c r="BO96" i="4" s="1"/>
  <c r="BP96" i="4" s="1"/>
  <c r="B95" i="4"/>
  <c r="C95" i="4" s="1"/>
  <c r="D95" i="4" s="1"/>
  <c r="E95" i="4" s="1"/>
  <c r="F95" i="4" s="1"/>
  <c r="G95" i="4" s="1"/>
  <c r="H95" i="4" s="1"/>
  <c r="I95" i="4" s="1"/>
  <c r="J95" i="4" s="1"/>
  <c r="K95" i="4" s="1"/>
  <c r="L95" i="4" s="1"/>
  <c r="M95" i="4" s="1"/>
  <c r="N95" i="4" s="1"/>
  <c r="O95" i="4" s="1"/>
  <c r="P95" i="4" s="1"/>
  <c r="Q95" i="4" s="1"/>
  <c r="R95" i="4" s="1"/>
  <c r="S95" i="4" s="1"/>
  <c r="T95" i="4" s="1"/>
  <c r="U95" i="4" s="1"/>
  <c r="V95" i="4" s="1"/>
  <c r="W95" i="4" s="1"/>
  <c r="X95" i="4" s="1"/>
  <c r="Y95" i="4" s="1"/>
  <c r="Z95" i="4" s="1"/>
  <c r="AA95" i="4" s="1"/>
  <c r="AB95" i="4" s="1"/>
  <c r="AC95" i="4" s="1"/>
  <c r="AD95" i="4" s="1"/>
  <c r="AE95" i="4" s="1"/>
  <c r="AF95" i="4" s="1"/>
  <c r="AG95" i="4" s="1"/>
  <c r="AH95" i="4" s="1"/>
  <c r="AI95" i="4" s="1"/>
  <c r="AJ95" i="4" s="1"/>
  <c r="AK95" i="4" s="1"/>
  <c r="AL95" i="4" s="1"/>
  <c r="AM95" i="4" s="1"/>
  <c r="AN95" i="4" s="1"/>
  <c r="AO95" i="4" s="1"/>
  <c r="AP95" i="4" s="1"/>
  <c r="AQ95" i="4" s="1"/>
  <c r="AR95" i="4" s="1"/>
  <c r="AS95" i="4" s="1"/>
  <c r="AT95" i="4" s="1"/>
  <c r="AU95" i="4" s="1"/>
  <c r="AV95" i="4" s="1"/>
  <c r="AW95" i="4" s="1"/>
  <c r="AX95" i="4" s="1"/>
  <c r="AY95" i="4" s="1"/>
  <c r="AZ95" i="4" s="1"/>
  <c r="BA95" i="4" s="1"/>
  <c r="BB95" i="4" s="1"/>
  <c r="BC95" i="4" s="1"/>
  <c r="BD95" i="4" s="1"/>
  <c r="BE95" i="4" s="1"/>
  <c r="BF95" i="4" s="1"/>
  <c r="BG95" i="4" s="1"/>
  <c r="BH95" i="4" s="1"/>
  <c r="BI95" i="4" s="1"/>
  <c r="BJ95" i="4" s="1"/>
  <c r="BK95" i="4" s="1"/>
  <c r="BL95" i="4" s="1"/>
  <c r="BM95" i="4" s="1"/>
  <c r="BN95" i="4" s="1"/>
  <c r="BO95" i="4" s="1"/>
  <c r="BP95" i="4" s="1"/>
  <c r="B94" i="4"/>
  <c r="C94" i="4" s="1"/>
  <c r="D94" i="4" s="1"/>
  <c r="E94" i="4" s="1"/>
  <c r="F94" i="4" s="1"/>
  <c r="G94" i="4" s="1"/>
  <c r="H94" i="4" s="1"/>
  <c r="I94" i="4" s="1"/>
  <c r="J94" i="4" s="1"/>
  <c r="K94" i="4" s="1"/>
  <c r="L94" i="4" s="1"/>
  <c r="M94" i="4" s="1"/>
  <c r="N94" i="4" s="1"/>
  <c r="O94" i="4" s="1"/>
  <c r="P94" i="4" s="1"/>
  <c r="Q94" i="4" s="1"/>
  <c r="R94" i="4" s="1"/>
  <c r="S94" i="4" s="1"/>
  <c r="T94" i="4" s="1"/>
  <c r="U94" i="4" s="1"/>
  <c r="V94" i="4" s="1"/>
  <c r="W94" i="4" s="1"/>
  <c r="X94" i="4" s="1"/>
  <c r="Y94" i="4" s="1"/>
  <c r="Z94" i="4" s="1"/>
  <c r="AA94" i="4" s="1"/>
  <c r="AB94" i="4" s="1"/>
  <c r="AC94" i="4" s="1"/>
  <c r="AD94" i="4" s="1"/>
  <c r="AE94" i="4" s="1"/>
  <c r="AF94" i="4" s="1"/>
  <c r="AG94" i="4" s="1"/>
  <c r="AH94" i="4" s="1"/>
  <c r="AI94" i="4" s="1"/>
  <c r="AJ94" i="4" s="1"/>
  <c r="AK94" i="4" s="1"/>
  <c r="AL94" i="4" s="1"/>
  <c r="AM94" i="4" s="1"/>
  <c r="AN94" i="4" s="1"/>
  <c r="AO94" i="4" s="1"/>
  <c r="AP94" i="4" s="1"/>
  <c r="AQ94" i="4" s="1"/>
  <c r="AR94" i="4" s="1"/>
  <c r="AS94" i="4" s="1"/>
  <c r="AT94" i="4" s="1"/>
  <c r="AU94" i="4" s="1"/>
  <c r="AV94" i="4" s="1"/>
  <c r="AW94" i="4" s="1"/>
  <c r="AX94" i="4" s="1"/>
  <c r="AY94" i="4" s="1"/>
  <c r="AZ94" i="4" s="1"/>
  <c r="BA94" i="4" s="1"/>
  <c r="BB94" i="4" s="1"/>
  <c r="BC94" i="4" s="1"/>
  <c r="BD94" i="4" s="1"/>
  <c r="BE94" i="4" s="1"/>
  <c r="BF94" i="4" s="1"/>
  <c r="BG94" i="4" s="1"/>
  <c r="BH94" i="4" s="1"/>
  <c r="BI94" i="4" s="1"/>
  <c r="BJ94" i="4" s="1"/>
  <c r="BK94" i="4" s="1"/>
  <c r="BL94" i="4" s="1"/>
  <c r="BM94" i="4" s="1"/>
  <c r="BN94" i="4" s="1"/>
  <c r="BO94" i="4" s="1"/>
  <c r="BP94" i="4" s="1"/>
  <c r="B93" i="4"/>
  <c r="C93" i="4" s="1"/>
  <c r="D93" i="4" s="1"/>
  <c r="E93" i="4" s="1"/>
  <c r="F93" i="4" s="1"/>
  <c r="G93" i="4" s="1"/>
  <c r="H93" i="4" s="1"/>
  <c r="I93" i="4" s="1"/>
  <c r="J93" i="4" s="1"/>
  <c r="K93" i="4" s="1"/>
  <c r="L93" i="4" s="1"/>
  <c r="M93" i="4" s="1"/>
  <c r="N93" i="4" s="1"/>
  <c r="O93" i="4" s="1"/>
  <c r="P93" i="4" s="1"/>
  <c r="Q93" i="4" s="1"/>
  <c r="R93" i="4" s="1"/>
  <c r="S93" i="4" s="1"/>
  <c r="T93" i="4" s="1"/>
  <c r="U93" i="4" s="1"/>
  <c r="V93" i="4" s="1"/>
  <c r="W93" i="4" s="1"/>
  <c r="X93" i="4" s="1"/>
  <c r="Y93" i="4" s="1"/>
  <c r="Z93" i="4" s="1"/>
  <c r="AA93" i="4" s="1"/>
  <c r="AB93" i="4" s="1"/>
  <c r="AC93" i="4" s="1"/>
  <c r="AD93" i="4" s="1"/>
  <c r="AE93" i="4" s="1"/>
  <c r="AF93" i="4" s="1"/>
  <c r="AG93" i="4" s="1"/>
  <c r="AH93" i="4" s="1"/>
  <c r="AI93" i="4" s="1"/>
  <c r="AJ93" i="4" s="1"/>
  <c r="AK93" i="4" s="1"/>
  <c r="AL93" i="4" s="1"/>
  <c r="AM93" i="4" s="1"/>
  <c r="AN93" i="4" s="1"/>
  <c r="AO93" i="4" s="1"/>
  <c r="AP93" i="4" s="1"/>
  <c r="AQ93" i="4" s="1"/>
  <c r="AR93" i="4" s="1"/>
  <c r="AS93" i="4" s="1"/>
  <c r="AT93" i="4" s="1"/>
  <c r="AU93" i="4" s="1"/>
  <c r="AV93" i="4" s="1"/>
  <c r="AW93" i="4" s="1"/>
  <c r="AX93" i="4" s="1"/>
  <c r="AY93" i="4" s="1"/>
  <c r="AZ93" i="4" s="1"/>
  <c r="BA93" i="4" s="1"/>
  <c r="BB93" i="4" s="1"/>
  <c r="BC93" i="4" s="1"/>
  <c r="BD93" i="4" s="1"/>
  <c r="BE93" i="4" s="1"/>
  <c r="BF93" i="4" s="1"/>
  <c r="BG93" i="4" s="1"/>
  <c r="BH93" i="4" s="1"/>
  <c r="BI93" i="4" s="1"/>
  <c r="BJ93" i="4" s="1"/>
  <c r="BK93" i="4" s="1"/>
  <c r="BL93" i="4" s="1"/>
  <c r="BM93" i="4" s="1"/>
  <c r="BN93" i="4" s="1"/>
  <c r="BO93" i="4" s="1"/>
  <c r="BP93" i="4" s="1"/>
  <c r="B92" i="4"/>
  <c r="C92" i="4" s="1"/>
  <c r="D92" i="4" s="1"/>
  <c r="E92" i="4" s="1"/>
  <c r="F92" i="4" s="1"/>
  <c r="G92" i="4" s="1"/>
  <c r="H92" i="4" s="1"/>
  <c r="I92" i="4" s="1"/>
  <c r="J92" i="4" s="1"/>
  <c r="K92" i="4" s="1"/>
  <c r="L92" i="4" s="1"/>
  <c r="M92" i="4" s="1"/>
  <c r="N92" i="4" s="1"/>
  <c r="O92" i="4" s="1"/>
  <c r="P92" i="4" s="1"/>
  <c r="Q92" i="4" s="1"/>
  <c r="R92" i="4" s="1"/>
  <c r="S92" i="4" s="1"/>
  <c r="T92" i="4" s="1"/>
  <c r="U92" i="4" s="1"/>
  <c r="V92" i="4" s="1"/>
  <c r="W92" i="4" s="1"/>
  <c r="X92" i="4" s="1"/>
  <c r="Y92" i="4" s="1"/>
  <c r="Z92" i="4" s="1"/>
  <c r="AA92" i="4" s="1"/>
  <c r="AB92" i="4" s="1"/>
  <c r="AC92" i="4" s="1"/>
  <c r="AD92" i="4" s="1"/>
  <c r="AE92" i="4" s="1"/>
  <c r="AF92" i="4" s="1"/>
  <c r="AG92" i="4" s="1"/>
  <c r="AH92" i="4" s="1"/>
  <c r="AI92" i="4" s="1"/>
  <c r="AJ92" i="4" s="1"/>
  <c r="AK92" i="4" s="1"/>
  <c r="AL92" i="4" s="1"/>
  <c r="AM92" i="4" s="1"/>
  <c r="AN92" i="4" s="1"/>
  <c r="AO92" i="4" s="1"/>
  <c r="AP92" i="4" s="1"/>
  <c r="AQ92" i="4" s="1"/>
  <c r="AR92" i="4" s="1"/>
  <c r="AS92" i="4" s="1"/>
  <c r="AT92" i="4" s="1"/>
  <c r="AU92" i="4" s="1"/>
  <c r="AV92" i="4" s="1"/>
  <c r="AW92" i="4" s="1"/>
  <c r="AX92" i="4" s="1"/>
  <c r="AY92" i="4" s="1"/>
  <c r="AZ92" i="4" s="1"/>
  <c r="BA92" i="4" s="1"/>
  <c r="BB92" i="4" s="1"/>
  <c r="BC92" i="4" s="1"/>
  <c r="BD92" i="4" s="1"/>
  <c r="BE92" i="4" s="1"/>
  <c r="BF92" i="4" s="1"/>
  <c r="BG92" i="4" s="1"/>
  <c r="BH92" i="4" s="1"/>
  <c r="BI92" i="4" s="1"/>
  <c r="BJ92" i="4" s="1"/>
  <c r="BK92" i="4" s="1"/>
  <c r="BL92" i="4" s="1"/>
  <c r="BM92" i="4" s="1"/>
  <c r="BN92" i="4" s="1"/>
  <c r="BO92" i="4" s="1"/>
  <c r="BP92" i="4" s="1"/>
  <c r="B91" i="4"/>
  <c r="C91" i="4" s="1"/>
  <c r="D91" i="4" s="1"/>
  <c r="E91" i="4" s="1"/>
  <c r="F91" i="4" s="1"/>
  <c r="G91" i="4" s="1"/>
  <c r="H91" i="4" s="1"/>
  <c r="I91" i="4" s="1"/>
  <c r="J91" i="4" s="1"/>
  <c r="K91" i="4" s="1"/>
  <c r="L91" i="4" s="1"/>
  <c r="M91" i="4" s="1"/>
  <c r="N91" i="4" s="1"/>
  <c r="O91" i="4" s="1"/>
  <c r="P91" i="4" s="1"/>
  <c r="Q91" i="4" s="1"/>
  <c r="R91" i="4" s="1"/>
  <c r="S91" i="4" s="1"/>
  <c r="T91" i="4" s="1"/>
  <c r="U91" i="4" s="1"/>
  <c r="V91" i="4" s="1"/>
  <c r="W91" i="4" s="1"/>
  <c r="X91" i="4" s="1"/>
  <c r="Y91" i="4" s="1"/>
  <c r="Z91" i="4" s="1"/>
  <c r="AA91" i="4" s="1"/>
  <c r="AB91" i="4" s="1"/>
  <c r="AC91" i="4" s="1"/>
  <c r="AD91" i="4" s="1"/>
  <c r="AE91" i="4" s="1"/>
  <c r="AF91" i="4" s="1"/>
  <c r="AG91" i="4" s="1"/>
  <c r="AH91" i="4" s="1"/>
  <c r="AI91" i="4" s="1"/>
  <c r="AJ91" i="4" s="1"/>
  <c r="AK91" i="4" s="1"/>
  <c r="AL91" i="4" s="1"/>
  <c r="AM91" i="4" s="1"/>
  <c r="AN91" i="4" s="1"/>
  <c r="AO91" i="4" s="1"/>
  <c r="AP91" i="4" s="1"/>
  <c r="AQ91" i="4" s="1"/>
  <c r="AR91" i="4" s="1"/>
  <c r="AS91" i="4" s="1"/>
  <c r="AT91" i="4" s="1"/>
  <c r="AU91" i="4" s="1"/>
  <c r="AV91" i="4" s="1"/>
  <c r="AW91" i="4" s="1"/>
  <c r="AX91" i="4" s="1"/>
  <c r="AY91" i="4" s="1"/>
  <c r="AZ91" i="4" s="1"/>
  <c r="BA91" i="4" s="1"/>
  <c r="BB91" i="4" s="1"/>
  <c r="BC91" i="4" s="1"/>
  <c r="BD91" i="4" s="1"/>
  <c r="BE91" i="4" s="1"/>
  <c r="BF91" i="4" s="1"/>
  <c r="BG91" i="4" s="1"/>
  <c r="BH91" i="4" s="1"/>
  <c r="BI91" i="4" s="1"/>
  <c r="BJ91" i="4" s="1"/>
  <c r="BK91" i="4" s="1"/>
  <c r="BL91" i="4" s="1"/>
  <c r="BM91" i="4" s="1"/>
  <c r="BN91" i="4" s="1"/>
  <c r="BO91" i="4" s="1"/>
  <c r="BP91" i="4" s="1"/>
  <c r="B90" i="4"/>
  <c r="C90" i="4" s="1"/>
  <c r="D90" i="4" s="1"/>
  <c r="E90" i="4" s="1"/>
  <c r="F90" i="4" s="1"/>
  <c r="G90" i="4" s="1"/>
  <c r="H90" i="4" s="1"/>
  <c r="I90" i="4" s="1"/>
  <c r="J90" i="4" s="1"/>
  <c r="K90" i="4" s="1"/>
  <c r="L90" i="4" s="1"/>
  <c r="M90" i="4" s="1"/>
  <c r="N90" i="4" s="1"/>
  <c r="O90" i="4" s="1"/>
  <c r="P90" i="4" s="1"/>
  <c r="Q90" i="4" s="1"/>
  <c r="R90" i="4" s="1"/>
  <c r="S90" i="4" s="1"/>
  <c r="T90" i="4" s="1"/>
  <c r="U90" i="4" s="1"/>
  <c r="V90" i="4" s="1"/>
  <c r="W90" i="4" s="1"/>
  <c r="X90" i="4" s="1"/>
  <c r="Y90" i="4" s="1"/>
  <c r="Z90" i="4" s="1"/>
  <c r="AA90" i="4" s="1"/>
  <c r="AB90" i="4" s="1"/>
  <c r="AC90" i="4" s="1"/>
  <c r="AD90" i="4" s="1"/>
  <c r="AE90" i="4" s="1"/>
  <c r="AF90" i="4" s="1"/>
  <c r="AG90" i="4" s="1"/>
  <c r="AH90" i="4" s="1"/>
  <c r="AI90" i="4" s="1"/>
  <c r="AJ90" i="4" s="1"/>
  <c r="AK90" i="4" s="1"/>
  <c r="AL90" i="4" s="1"/>
  <c r="AM90" i="4" s="1"/>
  <c r="AN90" i="4" s="1"/>
  <c r="AO90" i="4" s="1"/>
  <c r="AP90" i="4" s="1"/>
  <c r="AQ90" i="4" s="1"/>
  <c r="AR90" i="4" s="1"/>
  <c r="AS90" i="4" s="1"/>
  <c r="AT90" i="4" s="1"/>
  <c r="AU90" i="4" s="1"/>
  <c r="AV90" i="4" s="1"/>
  <c r="AW90" i="4" s="1"/>
  <c r="AX90" i="4" s="1"/>
  <c r="AY90" i="4" s="1"/>
  <c r="AZ90" i="4" s="1"/>
  <c r="BA90" i="4" s="1"/>
  <c r="BB90" i="4" s="1"/>
  <c r="BC90" i="4" s="1"/>
  <c r="BD90" i="4" s="1"/>
  <c r="BE90" i="4" s="1"/>
  <c r="BF90" i="4" s="1"/>
  <c r="BG90" i="4" s="1"/>
  <c r="BH90" i="4" s="1"/>
  <c r="BI90" i="4" s="1"/>
  <c r="BJ90" i="4" s="1"/>
  <c r="BK90" i="4" s="1"/>
  <c r="BL90" i="4" s="1"/>
  <c r="BM90" i="4" s="1"/>
  <c r="BN90" i="4" s="1"/>
  <c r="BO90" i="4" s="1"/>
  <c r="BP90" i="4" s="1"/>
  <c r="B89" i="4"/>
  <c r="C89" i="4" s="1"/>
  <c r="D89" i="4" s="1"/>
  <c r="E89" i="4" s="1"/>
  <c r="F89" i="4" s="1"/>
  <c r="G89" i="4" s="1"/>
  <c r="H89" i="4" s="1"/>
  <c r="I89" i="4" s="1"/>
  <c r="J89" i="4" s="1"/>
  <c r="K89" i="4" s="1"/>
  <c r="L89" i="4" s="1"/>
  <c r="M89" i="4" s="1"/>
  <c r="N89" i="4" s="1"/>
  <c r="O89" i="4" s="1"/>
  <c r="P89" i="4" s="1"/>
  <c r="Q89" i="4" s="1"/>
  <c r="R89" i="4" s="1"/>
  <c r="S89" i="4" s="1"/>
  <c r="T89" i="4" s="1"/>
  <c r="U89" i="4" s="1"/>
  <c r="V89" i="4" s="1"/>
  <c r="W89" i="4" s="1"/>
  <c r="X89" i="4" s="1"/>
  <c r="Y89" i="4" s="1"/>
  <c r="Z89" i="4" s="1"/>
  <c r="AA89" i="4" s="1"/>
  <c r="AB89" i="4" s="1"/>
  <c r="AC89" i="4" s="1"/>
  <c r="AD89" i="4" s="1"/>
  <c r="AE89" i="4" s="1"/>
  <c r="AF89" i="4" s="1"/>
  <c r="AG89" i="4" s="1"/>
  <c r="AH89" i="4" s="1"/>
  <c r="AI89" i="4" s="1"/>
  <c r="AJ89" i="4" s="1"/>
  <c r="AK89" i="4" s="1"/>
  <c r="AL89" i="4" s="1"/>
  <c r="AM89" i="4" s="1"/>
  <c r="AN89" i="4" s="1"/>
  <c r="AO89" i="4" s="1"/>
  <c r="AP89" i="4" s="1"/>
  <c r="AQ89" i="4" s="1"/>
  <c r="AR89" i="4" s="1"/>
  <c r="AS89" i="4" s="1"/>
  <c r="AT89" i="4" s="1"/>
  <c r="AU89" i="4" s="1"/>
  <c r="AV89" i="4" s="1"/>
  <c r="AW89" i="4" s="1"/>
  <c r="AX89" i="4" s="1"/>
  <c r="AY89" i="4" s="1"/>
  <c r="AZ89" i="4" s="1"/>
  <c r="BA89" i="4" s="1"/>
  <c r="BB89" i="4" s="1"/>
  <c r="BC89" i="4" s="1"/>
  <c r="BD89" i="4" s="1"/>
  <c r="BE89" i="4" s="1"/>
  <c r="BF89" i="4" s="1"/>
  <c r="BG89" i="4" s="1"/>
  <c r="BH89" i="4" s="1"/>
  <c r="BI89" i="4" s="1"/>
  <c r="BJ89" i="4" s="1"/>
  <c r="BK89" i="4" s="1"/>
  <c r="BL89" i="4" s="1"/>
  <c r="BM89" i="4" s="1"/>
  <c r="BN89" i="4" s="1"/>
  <c r="BO89" i="4" s="1"/>
  <c r="BP89" i="4" s="1"/>
  <c r="B88" i="4"/>
  <c r="C88" i="4" s="1"/>
  <c r="D88" i="4" s="1"/>
  <c r="E88" i="4" s="1"/>
  <c r="F88" i="4" s="1"/>
  <c r="G88" i="4" s="1"/>
  <c r="H88" i="4" s="1"/>
  <c r="I88" i="4" s="1"/>
  <c r="J88" i="4" s="1"/>
  <c r="K88" i="4" s="1"/>
  <c r="L88" i="4" s="1"/>
  <c r="M88" i="4" s="1"/>
  <c r="N88" i="4" s="1"/>
  <c r="O88" i="4" s="1"/>
  <c r="P88" i="4" s="1"/>
  <c r="Q88" i="4" s="1"/>
  <c r="R88" i="4" s="1"/>
  <c r="S88" i="4" s="1"/>
  <c r="T88" i="4" s="1"/>
  <c r="U88" i="4" s="1"/>
  <c r="V88" i="4" s="1"/>
  <c r="W88" i="4" s="1"/>
  <c r="X88" i="4" s="1"/>
  <c r="Y88" i="4" s="1"/>
  <c r="Z88" i="4" s="1"/>
  <c r="AA88" i="4" s="1"/>
  <c r="AB88" i="4" s="1"/>
  <c r="AC88" i="4" s="1"/>
  <c r="AD88" i="4" s="1"/>
  <c r="AE88" i="4" s="1"/>
  <c r="AF88" i="4" s="1"/>
  <c r="AG88" i="4" s="1"/>
  <c r="AH88" i="4" s="1"/>
  <c r="AI88" i="4" s="1"/>
  <c r="AJ88" i="4" s="1"/>
  <c r="AK88" i="4" s="1"/>
  <c r="AL88" i="4" s="1"/>
  <c r="AM88" i="4" s="1"/>
  <c r="AN88" i="4" s="1"/>
  <c r="AO88" i="4" s="1"/>
  <c r="AP88" i="4" s="1"/>
  <c r="AQ88" i="4" s="1"/>
  <c r="AR88" i="4" s="1"/>
  <c r="AS88" i="4" s="1"/>
  <c r="AT88" i="4" s="1"/>
  <c r="AU88" i="4" s="1"/>
  <c r="AV88" i="4" s="1"/>
  <c r="AW88" i="4" s="1"/>
  <c r="AX88" i="4" s="1"/>
  <c r="AY88" i="4" s="1"/>
  <c r="AZ88" i="4" s="1"/>
  <c r="BA88" i="4" s="1"/>
  <c r="BB88" i="4" s="1"/>
  <c r="BC88" i="4" s="1"/>
  <c r="BD88" i="4" s="1"/>
  <c r="BE88" i="4" s="1"/>
  <c r="BF88" i="4" s="1"/>
  <c r="BG88" i="4" s="1"/>
  <c r="BH88" i="4" s="1"/>
  <c r="BI88" i="4" s="1"/>
  <c r="BJ88" i="4" s="1"/>
  <c r="BK88" i="4" s="1"/>
  <c r="BL88" i="4" s="1"/>
  <c r="BM88" i="4" s="1"/>
  <c r="BN88" i="4" s="1"/>
  <c r="BO88" i="4" s="1"/>
  <c r="BP88" i="4" s="1"/>
  <c r="B87" i="4"/>
  <c r="C87" i="4" s="1"/>
  <c r="D87" i="4" s="1"/>
  <c r="E87" i="4" s="1"/>
  <c r="F87" i="4" s="1"/>
  <c r="G87" i="4" s="1"/>
  <c r="H87" i="4" s="1"/>
  <c r="I87" i="4" s="1"/>
  <c r="J87" i="4" s="1"/>
  <c r="K87" i="4" s="1"/>
  <c r="L87" i="4" s="1"/>
  <c r="M87" i="4" s="1"/>
  <c r="N87" i="4" s="1"/>
  <c r="O87" i="4" s="1"/>
  <c r="P87" i="4" s="1"/>
  <c r="Q87" i="4" s="1"/>
  <c r="R87" i="4" s="1"/>
  <c r="S87" i="4" s="1"/>
  <c r="T87" i="4" s="1"/>
  <c r="U87" i="4" s="1"/>
  <c r="V87" i="4" s="1"/>
  <c r="W87" i="4" s="1"/>
  <c r="X87" i="4" s="1"/>
  <c r="Y87" i="4" s="1"/>
  <c r="Z87" i="4" s="1"/>
  <c r="AA87" i="4" s="1"/>
  <c r="AB87" i="4" s="1"/>
  <c r="AC87" i="4" s="1"/>
  <c r="AD87" i="4" s="1"/>
  <c r="AE87" i="4" s="1"/>
  <c r="AF87" i="4" s="1"/>
  <c r="AG87" i="4" s="1"/>
  <c r="AH87" i="4" s="1"/>
  <c r="AI87" i="4" s="1"/>
  <c r="AJ87" i="4" s="1"/>
  <c r="AK87" i="4" s="1"/>
  <c r="AL87" i="4" s="1"/>
  <c r="AM87" i="4" s="1"/>
  <c r="AN87" i="4" s="1"/>
  <c r="AO87" i="4" s="1"/>
  <c r="AP87" i="4" s="1"/>
  <c r="AQ87" i="4" s="1"/>
  <c r="AR87" i="4" s="1"/>
  <c r="AS87" i="4" s="1"/>
  <c r="AT87" i="4" s="1"/>
  <c r="AU87" i="4" s="1"/>
  <c r="AV87" i="4" s="1"/>
  <c r="AW87" i="4" s="1"/>
  <c r="AX87" i="4" s="1"/>
  <c r="AY87" i="4" s="1"/>
  <c r="AZ87" i="4" s="1"/>
  <c r="BA87" i="4" s="1"/>
  <c r="BB87" i="4" s="1"/>
  <c r="BC87" i="4" s="1"/>
  <c r="BD87" i="4" s="1"/>
  <c r="BE87" i="4" s="1"/>
  <c r="BF87" i="4" s="1"/>
  <c r="BG87" i="4" s="1"/>
  <c r="BH87" i="4" s="1"/>
  <c r="BI87" i="4" s="1"/>
  <c r="BJ87" i="4" s="1"/>
  <c r="BK87" i="4" s="1"/>
  <c r="BL87" i="4" s="1"/>
  <c r="BM87" i="4" s="1"/>
  <c r="BN87" i="4" s="1"/>
  <c r="BO87" i="4" s="1"/>
  <c r="BP87" i="4" s="1"/>
  <c r="B86" i="4"/>
  <c r="C86" i="4" s="1"/>
  <c r="D86" i="4" s="1"/>
  <c r="E86" i="4" s="1"/>
  <c r="F86" i="4" s="1"/>
  <c r="G86" i="4" s="1"/>
  <c r="H86" i="4" s="1"/>
  <c r="I86" i="4" s="1"/>
  <c r="J86" i="4" s="1"/>
  <c r="K86" i="4" s="1"/>
  <c r="L86" i="4" s="1"/>
  <c r="M86" i="4" s="1"/>
  <c r="N86" i="4" s="1"/>
  <c r="O86" i="4" s="1"/>
  <c r="P86" i="4" s="1"/>
  <c r="Q86" i="4" s="1"/>
  <c r="R86" i="4" s="1"/>
  <c r="S86" i="4" s="1"/>
  <c r="T86" i="4" s="1"/>
  <c r="U86" i="4" s="1"/>
  <c r="V86" i="4" s="1"/>
  <c r="W86" i="4" s="1"/>
  <c r="X86" i="4" s="1"/>
  <c r="Y86" i="4" s="1"/>
  <c r="Z86" i="4" s="1"/>
  <c r="AA86" i="4" s="1"/>
  <c r="AB86" i="4" s="1"/>
  <c r="AC86" i="4" s="1"/>
  <c r="AD86" i="4" s="1"/>
  <c r="AE86" i="4" s="1"/>
  <c r="AF86" i="4" s="1"/>
  <c r="AG86" i="4" s="1"/>
  <c r="AH86" i="4" s="1"/>
  <c r="AI86" i="4" s="1"/>
  <c r="AJ86" i="4" s="1"/>
  <c r="AK86" i="4" s="1"/>
  <c r="AL86" i="4" s="1"/>
  <c r="AM86" i="4" s="1"/>
  <c r="AN86" i="4" s="1"/>
  <c r="AO86" i="4" s="1"/>
  <c r="AP86" i="4" s="1"/>
  <c r="AQ86" i="4" s="1"/>
  <c r="AR86" i="4" s="1"/>
  <c r="AS86" i="4" s="1"/>
  <c r="AT86" i="4" s="1"/>
  <c r="AU86" i="4" s="1"/>
  <c r="AV86" i="4" s="1"/>
  <c r="AW86" i="4" s="1"/>
  <c r="AX86" i="4" s="1"/>
  <c r="AY86" i="4" s="1"/>
  <c r="AZ86" i="4" s="1"/>
  <c r="BA86" i="4" s="1"/>
  <c r="BB86" i="4" s="1"/>
  <c r="BC86" i="4" s="1"/>
  <c r="BD86" i="4" s="1"/>
  <c r="BE86" i="4" s="1"/>
  <c r="BF86" i="4" s="1"/>
  <c r="BG86" i="4" s="1"/>
  <c r="BH86" i="4" s="1"/>
  <c r="BI86" i="4" s="1"/>
  <c r="BJ86" i="4" s="1"/>
  <c r="BK86" i="4" s="1"/>
  <c r="BL86" i="4" s="1"/>
  <c r="BM86" i="4" s="1"/>
  <c r="BN86" i="4" s="1"/>
  <c r="BO86" i="4" s="1"/>
  <c r="BP86" i="4" s="1"/>
  <c r="B85" i="4"/>
  <c r="C85" i="4" s="1"/>
  <c r="D85" i="4" s="1"/>
  <c r="E85" i="4" s="1"/>
  <c r="F85" i="4" s="1"/>
  <c r="G85" i="4" s="1"/>
  <c r="H85" i="4" s="1"/>
  <c r="I85" i="4" s="1"/>
  <c r="J85" i="4" s="1"/>
  <c r="K85" i="4" s="1"/>
  <c r="L85" i="4" s="1"/>
  <c r="M85" i="4" s="1"/>
  <c r="N85" i="4" s="1"/>
  <c r="O85" i="4" s="1"/>
  <c r="P85" i="4" s="1"/>
  <c r="Q85" i="4" s="1"/>
  <c r="R85" i="4" s="1"/>
  <c r="S85" i="4" s="1"/>
  <c r="T85" i="4" s="1"/>
  <c r="U85" i="4" s="1"/>
  <c r="V85" i="4" s="1"/>
  <c r="W85" i="4" s="1"/>
  <c r="X85" i="4" s="1"/>
  <c r="Y85" i="4" s="1"/>
  <c r="Z85" i="4" s="1"/>
  <c r="AA85" i="4" s="1"/>
  <c r="AB85" i="4" s="1"/>
  <c r="AC85" i="4" s="1"/>
  <c r="AD85" i="4" s="1"/>
  <c r="AE85" i="4" s="1"/>
  <c r="AF85" i="4" s="1"/>
  <c r="AG85" i="4" s="1"/>
  <c r="AH85" i="4" s="1"/>
  <c r="AI85" i="4" s="1"/>
  <c r="AJ85" i="4" s="1"/>
  <c r="AK85" i="4" s="1"/>
  <c r="AL85" i="4" s="1"/>
  <c r="AM85" i="4" s="1"/>
  <c r="AN85" i="4" s="1"/>
  <c r="AO85" i="4" s="1"/>
  <c r="AP85" i="4" s="1"/>
  <c r="AQ85" i="4" s="1"/>
  <c r="AR85" i="4" s="1"/>
  <c r="AS85" i="4" s="1"/>
  <c r="AT85" i="4" s="1"/>
  <c r="AU85" i="4" s="1"/>
  <c r="AV85" i="4" s="1"/>
  <c r="AW85" i="4" s="1"/>
  <c r="AX85" i="4" s="1"/>
  <c r="AY85" i="4" s="1"/>
  <c r="AZ85" i="4" s="1"/>
  <c r="BA85" i="4" s="1"/>
  <c r="BB85" i="4" s="1"/>
  <c r="BC85" i="4" s="1"/>
  <c r="BD85" i="4" s="1"/>
  <c r="BE85" i="4" s="1"/>
  <c r="BF85" i="4" s="1"/>
  <c r="BG85" i="4" s="1"/>
  <c r="BH85" i="4" s="1"/>
  <c r="BI85" i="4" s="1"/>
  <c r="BJ85" i="4" s="1"/>
  <c r="BK85" i="4" s="1"/>
  <c r="BL85" i="4" s="1"/>
  <c r="BM85" i="4" s="1"/>
  <c r="BN85" i="4" s="1"/>
  <c r="BO85" i="4" s="1"/>
  <c r="BP85" i="4" s="1"/>
  <c r="B84" i="4"/>
  <c r="C84" i="4" s="1"/>
  <c r="D84" i="4" s="1"/>
  <c r="E84" i="4" s="1"/>
  <c r="F84" i="4" s="1"/>
  <c r="G84" i="4" s="1"/>
  <c r="H84" i="4" s="1"/>
  <c r="I84" i="4" s="1"/>
  <c r="J84" i="4" s="1"/>
  <c r="K84" i="4" s="1"/>
  <c r="L84" i="4" s="1"/>
  <c r="M84" i="4" s="1"/>
  <c r="N84" i="4" s="1"/>
  <c r="O84" i="4" s="1"/>
  <c r="P84" i="4" s="1"/>
  <c r="Q84" i="4" s="1"/>
  <c r="R84" i="4" s="1"/>
  <c r="S84" i="4" s="1"/>
  <c r="T84" i="4" s="1"/>
  <c r="U84" i="4" s="1"/>
  <c r="V84" i="4" s="1"/>
  <c r="W84" i="4" s="1"/>
  <c r="X84" i="4" s="1"/>
  <c r="Y84" i="4" s="1"/>
  <c r="Z84" i="4" s="1"/>
  <c r="AA84" i="4" s="1"/>
  <c r="AB84" i="4" s="1"/>
  <c r="AC84" i="4" s="1"/>
  <c r="AD84" i="4" s="1"/>
  <c r="AE84" i="4" s="1"/>
  <c r="AF84" i="4" s="1"/>
  <c r="AG84" i="4" s="1"/>
  <c r="AH84" i="4" s="1"/>
  <c r="AI84" i="4" s="1"/>
  <c r="AJ84" i="4" s="1"/>
  <c r="AK84" i="4" s="1"/>
  <c r="AL84" i="4" s="1"/>
  <c r="AM84" i="4" s="1"/>
  <c r="AN84" i="4" s="1"/>
  <c r="AO84" i="4" s="1"/>
  <c r="AP84" i="4" s="1"/>
  <c r="AQ84" i="4" s="1"/>
  <c r="AR84" i="4" s="1"/>
  <c r="AS84" i="4" s="1"/>
  <c r="AT84" i="4" s="1"/>
  <c r="AU84" i="4" s="1"/>
  <c r="AV84" i="4" s="1"/>
  <c r="AW84" i="4" s="1"/>
  <c r="AX84" i="4" s="1"/>
  <c r="AY84" i="4" s="1"/>
  <c r="AZ84" i="4" s="1"/>
  <c r="BA84" i="4" s="1"/>
  <c r="BB84" i="4" s="1"/>
  <c r="BC84" i="4" s="1"/>
  <c r="BD84" i="4" s="1"/>
  <c r="BE84" i="4" s="1"/>
  <c r="BF84" i="4" s="1"/>
  <c r="BG84" i="4" s="1"/>
  <c r="BH84" i="4" s="1"/>
  <c r="BI84" i="4" s="1"/>
  <c r="BJ84" i="4" s="1"/>
  <c r="BK84" i="4" s="1"/>
  <c r="BL84" i="4" s="1"/>
  <c r="BM84" i="4" s="1"/>
  <c r="BN84" i="4" s="1"/>
  <c r="BO84" i="4" s="1"/>
  <c r="BP84" i="4" s="1"/>
  <c r="B83" i="4"/>
  <c r="C83" i="4" s="1"/>
  <c r="D83" i="4" s="1"/>
  <c r="E83" i="4" s="1"/>
  <c r="F83" i="4" s="1"/>
  <c r="G83" i="4" s="1"/>
  <c r="H83" i="4" s="1"/>
  <c r="I83" i="4" s="1"/>
  <c r="J83" i="4" s="1"/>
  <c r="K83" i="4" s="1"/>
  <c r="L83" i="4" s="1"/>
  <c r="M83" i="4" s="1"/>
  <c r="N83" i="4" s="1"/>
  <c r="O83" i="4" s="1"/>
  <c r="P83" i="4" s="1"/>
  <c r="Q83" i="4" s="1"/>
  <c r="R83" i="4" s="1"/>
  <c r="S83" i="4" s="1"/>
  <c r="T83" i="4" s="1"/>
  <c r="U83" i="4" s="1"/>
  <c r="V83" i="4" s="1"/>
  <c r="W83" i="4" s="1"/>
  <c r="X83" i="4" s="1"/>
  <c r="Y83" i="4" s="1"/>
  <c r="Z83" i="4" s="1"/>
  <c r="AA83" i="4" s="1"/>
  <c r="AB83" i="4" s="1"/>
  <c r="AC83" i="4" s="1"/>
  <c r="AD83" i="4" s="1"/>
  <c r="AE83" i="4" s="1"/>
  <c r="AF83" i="4" s="1"/>
  <c r="AG83" i="4" s="1"/>
  <c r="AH83" i="4" s="1"/>
  <c r="AI83" i="4" s="1"/>
  <c r="AJ83" i="4" s="1"/>
  <c r="AK83" i="4" s="1"/>
  <c r="AL83" i="4" s="1"/>
  <c r="AM83" i="4" s="1"/>
  <c r="AN83" i="4" s="1"/>
  <c r="AO83" i="4" s="1"/>
  <c r="AP83" i="4" s="1"/>
  <c r="AQ83" i="4" s="1"/>
  <c r="AR83" i="4" s="1"/>
  <c r="AS83" i="4" s="1"/>
  <c r="AT83" i="4" s="1"/>
  <c r="AU83" i="4" s="1"/>
  <c r="AV83" i="4" s="1"/>
  <c r="AW83" i="4" s="1"/>
  <c r="AX83" i="4" s="1"/>
  <c r="AY83" i="4" s="1"/>
  <c r="AZ83" i="4" s="1"/>
  <c r="BA83" i="4" s="1"/>
  <c r="BB83" i="4" s="1"/>
  <c r="BC83" i="4" s="1"/>
  <c r="BD83" i="4" s="1"/>
  <c r="BE83" i="4" s="1"/>
  <c r="BF83" i="4" s="1"/>
  <c r="BG83" i="4" s="1"/>
  <c r="BH83" i="4" s="1"/>
  <c r="BI83" i="4" s="1"/>
  <c r="BJ83" i="4" s="1"/>
  <c r="BK83" i="4" s="1"/>
  <c r="BL83" i="4" s="1"/>
  <c r="BM83" i="4" s="1"/>
  <c r="BN83" i="4" s="1"/>
  <c r="BO83" i="4" s="1"/>
  <c r="BP83" i="4" s="1"/>
  <c r="B82" i="4"/>
  <c r="C82" i="4" s="1"/>
  <c r="D82" i="4" s="1"/>
  <c r="E82" i="4" s="1"/>
  <c r="F82" i="4" s="1"/>
  <c r="G82" i="4" s="1"/>
  <c r="H82" i="4" s="1"/>
  <c r="I82" i="4" s="1"/>
  <c r="J82" i="4" s="1"/>
  <c r="K82" i="4" s="1"/>
  <c r="L82" i="4" s="1"/>
  <c r="M82" i="4" s="1"/>
  <c r="N82" i="4" s="1"/>
  <c r="O82" i="4" s="1"/>
  <c r="P82" i="4" s="1"/>
  <c r="Q82" i="4" s="1"/>
  <c r="R82" i="4" s="1"/>
  <c r="S82" i="4" s="1"/>
  <c r="T82" i="4" s="1"/>
  <c r="U82" i="4" s="1"/>
  <c r="V82" i="4" s="1"/>
  <c r="W82" i="4" s="1"/>
  <c r="X82" i="4" s="1"/>
  <c r="Y82" i="4" s="1"/>
  <c r="Z82" i="4" s="1"/>
  <c r="AA82" i="4" s="1"/>
  <c r="AB82" i="4" s="1"/>
  <c r="AC82" i="4" s="1"/>
  <c r="AD82" i="4" s="1"/>
  <c r="AE82" i="4" s="1"/>
  <c r="AF82" i="4" s="1"/>
  <c r="AG82" i="4" s="1"/>
  <c r="AH82" i="4" s="1"/>
  <c r="AI82" i="4" s="1"/>
  <c r="AJ82" i="4" s="1"/>
  <c r="AK82" i="4" s="1"/>
  <c r="AL82" i="4" s="1"/>
  <c r="AM82" i="4" s="1"/>
  <c r="AN82" i="4" s="1"/>
  <c r="AO82" i="4" s="1"/>
  <c r="AP82" i="4" s="1"/>
  <c r="AQ82" i="4" s="1"/>
  <c r="AR82" i="4" s="1"/>
  <c r="AS82" i="4" s="1"/>
  <c r="AT82" i="4" s="1"/>
  <c r="AU82" i="4" s="1"/>
  <c r="AV82" i="4" s="1"/>
  <c r="AW82" i="4" s="1"/>
  <c r="AX82" i="4" s="1"/>
  <c r="AY82" i="4" s="1"/>
  <c r="AZ82" i="4" s="1"/>
  <c r="BA82" i="4" s="1"/>
  <c r="BB82" i="4" s="1"/>
  <c r="BC82" i="4" s="1"/>
  <c r="BD82" i="4" s="1"/>
  <c r="BE82" i="4" s="1"/>
  <c r="BF82" i="4" s="1"/>
  <c r="BG82" i="4" s="1"/>
  <c r="BH82" i="4" s="1"/>
  <c r="BI82" i="4" s="1"/>
  <c r="BJ82" i="4" s="1"/>
  <c r="BK82" i="4" s="1"/>
  <c r="BL82" i="4" s="1"/>
  <c r="BM82" i="4" s="1"/>
  <c r="BN82" i="4" s="1"/>
  <c r="BO82" i="4" s="1"/>
  <c r="BP82" i="4" s="1"/>
  <c r="B81" i="4"/>
  <c r="C81" i="4" s="1"/>
  <c r="D81" i="4" s="1"/>
  <c r="E81" i="4" s="1"/>
  <c r="F81" i="4" s="1"/>
  <c r="G81" i="4" s="1"/>
  <c r="H81" i="4" s="1"/>
  <c r="I81" i="4" s="1"/>
  <c r="J81" i="4" s="1"/>
  <c r="K81" i="4" s="1"/>
  <c r="L81" i="4" s="1"/>
  <c r="M81" i="4" s="1"/>
  <c r="N81" i="4" s="1"/>
  <c r="O81" i="4" s="1"/>
  <c r="P81" i="4" s="1"/>
  <c r="Q81" i="4" s="1"/>
  <c r="R81" i="4" s="1"/>
  <c r="S81" i="4" s="1"/>
  <c r="T81" i="4" s="1"/>
  <c r="U81" i="4" s="1"/>
  <c r="V81" i="4" s="1"/>
  <c r="W81" i="4" s="1"/>
  <c r="X81" i="4" s="1"/>
  <c r="Y81" i="4" s="1"/>
  <c r="Z81" i="4" s="1"/>
  <c r="AA81" i="4" s="1"/>
  <c r="AB81" i="4" s="1"/>
  <c r="AC81" i="4" s="1"/>
  <c r="AD81" i="4" s="1"/>
  <c r="AE81" i="4" s="1"/>
  <c r="AF81" i="4" s="1"/>
  <c r="AG81" i="4" s="1"/>
  <c r="AH81" i="4" s="1"/>
  <c r="AI81" i="4" s="1"/>
  <c r="AJ81" i="4" s="1"/>
  <c r="AK81" i="4" s="1"/>
  <c r="AL81" i="4" s="1"/>
  <c r="AM81" i="4" s="1"/>
  <c r="AN81" i="4" s="1"/>
  <c r="AO81" i="4" s="1"/>
  <c r="AP81" i="4" s="1"/>
  <c r="AQ81" i="4" s="1"/>
  <c r="AR81" i="4" s="1"/>
  <c r="AS81" i="4" s="1"/>
  <c r="AT81" i="4" s="1"/>
  <c r="AU81" i="4" s="1"/>
  <c r="AV81" i="4" s="1"/>
  <c r="AW81" i="4" s="1"/>
  <c r="AX81" i="4" s="1"/>
  <c r="AY81" i="4" s="1"/>
  <c r="AZ81" i="4" s="1"/>
  <c r="BA81" i="4" s="1"/>
  <c r="BB81" i="4" s="1"/>
  <c r="BC81" i="4" s="1"/>
  <c r="BD81" i="4" s="1"/>
  <c r="BE81" i="4" s="1"/>
  <c r="BF81" i="4" s="1"/>
  <c r="BG81" i="4" s="1"/>
  <c r="BH81" i="4" s="1"/>
  <c r="BI81" i="4" s="1"/>
  <c r="BJ81" i="4" s="1"/>
  <c r="BK81" i="4" s="1"/>
  <c r="BL81" i="4" s="1"/>
  <c r="BM81" i="4" s="1"/>
  <c r="BN81" i="4" s="1"/>
  <c r="BO81" i="4" s="1"/>
  <c r="BP81" i="4" s="1"/>
  <c r="B80" i="4"/>
  <c r="C80" i="4" s="1"/>
  <c r="D80" i="4" s="1"/>
  <c r="E80" i="4" s="1"/>
  <c r="F80" i="4" s="1"/>
  <c r="G80" i="4" s="1"/>
  <c r="H80" i="4" s="1"/>
  <c r="I80" i="4" s="1"/>
  <c r="J80" i="4" s="1"/>
  <c r="K80" i="4" s="1"/>
  <c r="L80" i="4" s="1"/>
  <c r="M80" i="4" s="1"/>
  <c r="N80" i="4" s="1"/>
  <c r="O80" i="4" s="1"/>
  <c r="P80" i="4" s="1"/>
  <c r="Q80" i="4" s="1"/>
  <c r="R80" i="4" s="1"/>
  <c r="S80" i="4" s="1"/>
  <c r="T80" i="4" s="1"/>
  <c r="U80" i="4" s="1"/>
  <c r="V80" i="4" s="1"/>
  <c r="W80" i="4" s="1"/>
  <c r="X80" i="4" s="1"/>
  <c r="Y80" i="4" s="1"/>
  <c r="Z80" i="4" s="1"/>
  <c r="AA80" i="4" s="1"/>
  <c r="AB80" i="4" s="1"/>
  <c r="AC80" i="4" s="1"/>
  <c r="AD80" i="4" s="1"/>
  <c r="AE80" i="4" s="1"/>
  <c r="AF80" i="4" s="1"/>
  <c r="AG80" i="4" s="1"/>
  <c r="AH80" i="4" s="1"/>
  <c r="AI80" i="4" s="1"/>
  <c r="AJ80" i="4" s="1"/>
  <c r="AK80" i="4" s="1"/>
  <c r="AL80" i="4" s="1"/>
  <c r="AM80" i="4" s="1"/>
  <c r="AN80" i="4" s="1"/>
  <c r="AO80" i="4" s="1"/>
  <c r="AP80" i="4" s="1"/>
  <c r="AQ80" i="4" s="1"/>
  <c r="AR80" i="4" s="1"/>
  <c r="AS80" i="4" s="1"/>
  <c r="AT80" i="4" s="1"/>
  <c r="AU80" i="4" s="1"/>
  <c r="AV80" i="4" s="1"/>
  <c r="AW80" i="4" s="1"/>
  <c r="AX80" i="4" s="1"/>
  <c r="AY80" i="4" s="1"/>
  <c r="AZ80" i="4" s="1"/>
  <c r="BA80" i="4" s="1"/>
  <c r="BB80" i="4" s="1"/>
  <c r="BC80" i="4" s="1"/>
  <c r="BD80" i="4" s="1"/>
  <c r="BE80" i="4" s="1"/>
  <c r="BF80" i="4" s="1"/>
  <c r="BG80" i="4" s="1"/>
  <c r="BH80" i="4" s="1"/>
  <c r="BI80" i="4" s="1"/>
  <c r="BJ80" i="4" s="1"/>
  <c r="BK80" i="4" s="1"/>
  <c r="BL80" i="4" s="1"/>
  <c r="BM80" i="4" s="1"/>
  <c r="BN80" i="4" s="1"/>
  <c r="BO80" i="4" s="1"/>
  <c r="BP80" i="4" s="1"/>
  <c r="B79" i="4"/>
  <c r="C79" i="4" s="1"/>
  <c r="D79" i="4" s="1"/>
  <c r="E79" i="4" s="1"/>
  <c r="F79" i="4" s="1"/>
  <c r="G79" i="4" s="1"/>
  <c r="H79" i="4" s="1"/>
  <c r="I79" i="4" s="1"/>
  <c r="J79" i="4" s="1"/>
  <c r="K79" i="4" s="1"/>
  <c r="L79" i="4" s="1"/>
  <c r="M79" i="4" s="1"/>
  <c r="N79" i="4" s="1"/>
  <c r="O79" i="4" s="1"/>
  <c r="P79" i="4" s="1"/>
  <c r="Q79" i="4" s="1"/>
  <c r="R79" i="4" s="1"/>
  <c r="S79" i="4" s="1"/>
  <c r="T79" i="4" s="1"/>
  <c r="U79" i="4" s="1"/>
  <c r="V79" i="4" s="1"/>
  <c r="W79" i="4" s="1"/>
  <c r="X79" i="4" s="1"/>
  <c r="Y79" i="4" s="1"/>
  <c r="Z79" i="4" s="1"/>
  <c r="AA79" i="4" s="1"/>
  <c r="AB79" i="4" s="1"/>
  <c r="AC79" i="4" s="1"/>
  <c r="AD79" i="4" s="1"/>
  <c r="AE79" i="4" s="1"/>
  <c r="AF79" i="4" s="1"/>
  <c r="AG79" i="4" s="1"/>
  <c r="AH79" i="4" s="1"/>
  <c r="AI79" i="4" s="1"/>
  <c r="AJ79" i="4" s="1"/>
  <c r="AK79" i="4" s="1"/>
  <c r="AL79" i="4" s="1"/>
  <c r="AM79" i="4" s="1"/>
  <c r="AN79" i="4" s="1"/>
  <c r="AO79" i="4" s="1"/>
  <c r="AP79" i="4" s="1"/>
  <c r="AQ79" i="4" s="1"/>
  <c r="AR79" i="4" s="1"/>
  <c r="AS79" i="4" s="1"/>
  <c r="AT79" i="4" s="1"/>
  <c r="AU79" i="4" s="1"/>
  <c r="AV79" i="4" s="1"/>
  <c r="AW79" i="4" s="1"/>
  <c r="AX79" i="4" s="1"/>
  <c r="AY79" i="4" s="1"/>
  <c r="AZ79" i="4" s="1"/>
  <c r="BA79" i="4" s="1"/>
  <c r="BB79" i="4" s="1"/>
  <c r="BC79" i="4" s="1"/>
  <c r="BD79" i="4" s="1"/>
  <c r="BE79" i="4" s="1"/>
  <c r="BF79" i="4" s="1"/>
  <c r="BG79" i="4" s="1"/>
  <c r="BH79" i="4" s="1"/>
  <c r="BI79" i="4" s="1"/>
  <c r="BJ79" i="4" s="1"/>
  <c r="BK79" i="4" s="1"/>
  <c r="BL79" i="4" s="1"/>
  <c r="BM79" i="4" s="1"/>
  <c r="BN79" i="4" s="1"/>
  <c r="BO79" i="4" s="1"/>
  <c r="BP79" i="4" s="1"/>
  <c r="B78" i="4"/>
  <c r="C78" i="4" s="1"/>
  <c r="D78" i="4" s="1"/>
  <c r="E78" i="4" s="1"/>
  <c r="F78" i="4" s="1"/>
  <c r="G78" i="4" s="1"/>
  <c r="H78" i="4" s="1"/>
  <c r="I78" i="4" s="1"/>
  <c r="J78" i="4" s="1"/>
  <c r="K78" i="4" s="1"/>
  <c r="L78" i="4" s="1"/>
  <c r="M78" i="4" s="1"/>
  <c r="N78" i="4" s="1"/>
  <c r="O78" i="4" s="1"/>
  <c r="P78" i="4" s="1"/>
  <c r="Q78" i="4" s="1"/>
  <c r="R78" i="4" s="1"/>
  <c r="S78" i="4" s="1"/>
  <c r="T78" i="4" s="1"/>
  <c r="U78" i="4" s="1"/>
  <c r="V78" i="4" s="1"/>
  <c r="W78" i="4" s="1"/>
  <c r="X78" i="4" s="1"/>
  <c r="Y78" i="4" s="1"/>
  <c r="Z78" i="4" s="1"/>
  <c r="AA78" i="4" s="1"/>
  <c r="AB78" i="4" s="1"/>
  <c r="AC78" i="4" s="1"/>
  <c r="AD78" i="4" s="1"/>
  <c r="AE78" i="4" s="1"/>
  <c r="AF78" i="4" s="1"/>
  <c r="AG78" i="4" s="1"/>
  <c r="AH78" i="4" s="1"/>
  <c r="AI78" i="4" s="1"/>
  <c r="AJ78" i="4" s="1"/>
  <c r="AK78" i="4" s="1"/>
  <c r="AL78" i="4" s="1"/>
  <c r="AM78" i="4" s="1"/>
  <c r="AN78" i="4" s="1"/>
  <c r="AO78" i="4" s="1"/>
  <c r="AP78" i="4" s="1"/>
  <c r="AQ78" i="4" s="1"/>
  <c r="AR78" i="4" s="1"/>
  <c r="AS78" i="4" s="1"/>
  <c r="AT78" i="4" s="1"/>
  <c r="AU78" i="4" s="1"/>
  <c r="AV78" i="4" s="1"/>
  <c r="AW78" i="4" s="1"/>
  <c r="AX78" i="4" s="1"/>
  <c r="AY78" i="4" s="1"/>
  <c r="AZ78" i="4" s="1"/>
  <c r="BA78" i="4" s="1"/>
  <c r="BB78" i="4" s="1"/>
  <c r="BC78" i="4" s="1"/>
  <c r="BD78" i="4" s="1"/>
  <c r="BE78" i="4" s="1"/>
  <c r="BF78" i="4" s="1"/>
  <c r="BG78" i="4" s="1"/>
  <c r="BH78" i="4" s="1"/>
  <c r="BI78" i="4" s="1"/>
  <c r="BJ78" i="4" s="1"/>
  <c r="BK78" i="4" s="1"/>
  <c r="BL78" i="4" s="1"/>
  <c r="BM78" i="4" s="1"/>
  <c r="BN78" i="4" s="1"/>
  <c r="BO78" i="4" s="1"/>
  <c r="BP78" i="4" s="1"/>
  <c r="B77" i="4"/>
  <c r="C77" i="4" s="1"/>
  <c r="D77" i="4" s="1"/>
  <c r="E77" i="4" s="1"/>
  <c r="F77" i="4" s="1"/>
  <c r="G77" i="4" s="1"/>
  <c r="H77" i="4" s="1"/>
  <c r="I77" i="4" s="1"/>
  <c r="J77" i="4" s="1"/>
  <c r="K77" i="4" s="1"/>
  <c r="L77" i="4" s="1"/>
  <c r="M77" i="4" s="1"/>
  <c r="N77" i="4" s="1"/>
  <c r="O77" i="4" s="1"/>
  <c r="P77" i="4" s="1"/>
  <c r="Q77" i="4" s="1"/>
  <c r="R77" i="4" s="1"/>
  <c r="S77" i="4" s="1"/>
  <c r="T77" i="4" s="1"/>
  <c r="U77" i="4" s="1"/>
  <c r="V77" i="4" s="1"/>
  <c r="W77" i="4" s="1"/>
  <c r="X77" i="4" s="1"/>
  <c r="Y77" i="4" s="1"/>
  <c r="Z77" i="4" s="1"/>
  <c r="AA77" i="4" s="1"/>
  <c r="AB77" i="4" s="1"/>
  <c r="AC77" i="4" s="1"/>
  <c r="AD77" i="4" s="1"/>
  <c r="AE77" i="4" s="1"/>
  <c r="AF77" i="4" s="1"/>
  <c r="AG77" i="4" s="1"/>
  <c r="AH77" i="4" s="1"/>
  <c r="AI77" i="4" s="1"/>
  <c r="AJ77" i="4" s="1"/>
  <c r="AK77" i="4" s="1"/>
  <c r="AL77" i="4" s="1"/>
  <c r="AM77" i="4" s="1"/>
  <c r="AN77" i="4" s="1"/>
  <c r="AO77" i="4" s="1"/>
  <c r="AP77" i="4" s="1"/>
  <c r="AQ77" i="4" s="1"/>
  <c r="AR77" i="4" s="1"/>
  <c r="AS77" i="4" s="1"/>
  <c r="AT77" i="4" s="1"/>
  <c r="AU77" i="4" s="1"/>
  <c r="AV77" i="4" s="1"/>
  <c r="AW77" i="4" s="1"/>
  <c r="AX77" i="4" s="1"/>
  <c r="AY77" i="4" s="1"/>
  <c r="AZ77" i="4" s="1"/>
  <c r="BA77" i="4" s="1"/>
  <c r="BB77" i="4" s="1"/>
  <c r="BC77" i="4" s="1"/>
  <c r="BD77" i="4" s="1"/>
  <c r="BE77" i="4" s="1"/>
  <c r="BF77" i="4" s="1"/>
  <c r="BG77" i="4" s="1"/>
  <c r="BH77" i="4" s="1"/>
  <c r="BI77" i="4" s="1"/>
  <c r="BJ77" i="4" s="1"/>
  <c r="BK77" i="4" s="1"/>
  <c r="BL77" i="4" s="1"/>
  <c r="BM77" i="4" s="1"/>
  <c r="BN77" i="4" s="1"/>
  <c r="BO77" i="4" s="1"/>
  <c r="BP77" i="4" s="1"/>
  <c r="B76" i="4"/>
  <c r="C76" i="4" s="1"/>
  <c r="D76" i="4" s="1"/>
  <c r="E76" i="4" s="1"/>
  <c r="F76" i="4" s="1"/>
  <c r="G76" i="4" s="1"/>
  <c r="H76" i="4" s="1"/>
  <c r="I76" i="4" s="1"/>
  <c r="J76" i="4" s="1"/>
  <c r="K76" i="4" s="1"/>
  <c r="L76" i="4" s="1"/>
  <c r="M76" i="4" s="1"/>
  <c r="N76" i="4" s="1"/>
  <c r="O76" i="4" s="1"/>
  <c r="P76" i="4" s="1"/>
  <c r="Q76" i="4" s="1"/>
  <c r="R76" i="4" s="1"/>
  <c r="S76" i="4" s="1"/>
  <c r="T76" i="4" s="1"/>
  <c r="U76" i="4" s="1"/>
  <c r="V76" i="4" s="1"/>
  <c r="W76" i="4" s="1"/>
  <c r="X76" i="4" s="1"/>
  <c r="Y76" i="4" s="1"/>
  <c r="Z76" i="4" s="1"/>
  <c r="AA76" i="4" s="1"/>
  <c r="AB76" i="4" s="1"/>
  <c r="AC76" i="4" s="1"/>
  <c r="AD76" i="4" s="1"/>
  <c r="AE76" i="4" s="1"/>
  <c r="AF76" i="4" s="1"/>
  <c r="AG76" i="4" s="1"/>
  <c r="AH76" i="4" s="1"/>
  <c r="AI76" i="4" s="1"/>
  <c r="AJ76" i="4" s="1"/>
  <c r="AK76" i="4" s="1"/>
  <c r="AL76" i="4" s="1"/>
  <c r="AM76" i="4" s="1"/>
  <c r="AN76" i="4" s="1"/>
  <c r="AO76" i="4" s="1"/>
  <c r="AP76" i="4" s="1"/>
  <c r="AQ76" i="4" s="1"/>
  <c r="AR76" i="4" s="1"/>
  <c r="AS76" i="4" s="1"/>
  <c r="AT76" i="4" s="1"/>
  <c r="AU76" i="4" s="1"/>
  <c r="AV76" i="4" s="1"/>
  <c r="AW76" i="4" s="1"/>
  <c r="AX76" i="4" s="1"/>
  <c r="AY76" i="4" s="1"/>
  <c r="AZ76" i="4" s="1"/>
  <c r="BA76" i="4" s="1"/>
  <c r="BB76" i="4" s="1"/>
  <c r="BC76" i="4" s="1"/>
  <c r="BD76" i="4" s="1"/>
  <c r="BE76" i="4" s="1"/>
  <c r="BF76" i="4" s="1"/>
  <c r="BG76" i="4" s="1"/>
  <c r="BH76" i="4" s="1"/>
  <c r="BI76" i="4" s="1"/>
  <c r="BJ76" i="4" s="1"/>
  <c r="BK76" i="4" s="1"/>
  <c r="BL76" i="4" s="1"/>
  <c r="BM76" i="4" s="1"/>
  <c r="BN76" i="4" s="1"/>
  <c r="BO76" i="4" s="1"/>
  <c r="BP76" i="4" s="1"/>
  <c r="B68" i="4"/>
  <c r="C68" i="4" s="1"/>
  <c r="D68" i="4" s="1"/>
  <c r="E68" i="4" s="1"/>
  <c r="F68" i="4" s="1"/>
  <c r="G68" i="4" s="1"/>
  <c r="H68" i="4" s="1"/>
  <c r="I68" i="4" s="1"/>
  <c r="J68" i="4" s="1"/>
  <c r="K68" i="4" s="1"/>
  <c r="L68" i="4" s="1"/>
  <c r="M68" i="4" s="1"/>
  <c r="N68" i="4" s="1"/>
  <c r="O68" i="4" s="1"/>
  <c r="P68" i="4" s="1"/>
  <c r="Q68" i="4" s="1"/>
  <c r="R68" i="4" s="1"/>
  <c r="S68" i="4" s="1"/>
  <c r="T68" i="4" s="1"/>
  <c r="U68" i="4" s="1"/>
  <c r="V68" i="4" s="1"/>
  <c r="W68" i="4" s="1"/>
  <c r="X68" i="4" s="1"/>
  <c r="Y68" i="4" s="1"/>
  <c r="Z68" i="4" s="1"/>
  <c r="B67" i="4"/>
  <c r="C67" i="4" s="1"/>
  <c r="D67" i="4" s="1"/>
  <c r="E67" i="4" s="1"/>
  <c r="F67" i="4" s="1"/>
  <c r="G67" i="4" s="1"/>
  <c r="H67" i="4" s="1"/>
  <c r="I67" i="4" s="1"/>
  <c r="J67" i="4" s="1"/>
  <c r="K67" i="4" s="1"/>
  <c r="L67" i="4" s="1"/>
  <c r="M67" i="4" s="1"/>
  <c r="N67" i="4" s="1"/>
  <c r="B66" i="4"/>
  <c r="C66" i="4" s="1"/>
  <c r="D66" i="4" s="1"/>
  <c r="E66" i="4" s="1"/>
  <c r="F66" i="4" s="1"/>
  <c r="G66" i="4" s="1"/>
  <c r="H66" i="4" s="1"/>
  <c r="I66" i="4" s="1"/>
  <c r="J66" i="4" s="1"/>
  <c r="K66" i="4" s="1"/>
  <c r="L66" i="4" s="1"/>
  <c r="M66" i="4" s="1"/>
  <c r="N66" i="4" s="1"/>
  <c r="O66" i="4" s="1"/>
  <c r="P66" i="4" s="1"/>
  <c r="Q66" i="4" s="1"/>
  <c r="R66" i="4" s="1"/>
  <c r="S66" i="4" s="1"/>
  <c r="T66" i="4" s="1"/>
  <c r="U66" i="4" s="1"/>
  <c r="V66" i="4" s="1"/>
  <c r="W66" i="4" s="1"/>
  <c r="X66" i="4" s="1"/>
  <c r="Y66" i="4" s="1"/>
  <c r="Z66" i="4" s="1"/>
  <c r="AA66" i="4" s="1"/>
  <c r="AB66" i="4" s="1"/>
  <c r="AC66" i="4" s="1"/>
  <c r="AD66" i="4" s="1"/>
  <c r="AE66" i="4" s="1"/>
  <c r="AF66" i="4" s="1"/>
  <c r="AG66" i="4" s="1"/>
  <c r="AH66" i="4" s="1"/>
  <c r="AI66" i="4" s="1"/>
  <c r="AJ66" i="4" s="1"/>
  <c r="AK66" i="4" s="1"/>
  <c r="AL66" i="4" s="1"/>
  <c r="AM66" i="4" s="1"/>
  <c r="AN66" i="4" s="1"/>
  <c r="B65" i="4"/>
  <c r="C65" i="4" s="1"/>
  <c r="D65" i="4" s="1"/>
  <c r="E65" i="4" s="1"/>
  <c r="F65" i="4" s="1"/>
  <c r="G65" i="4" s="1"/>
  <c r="H65" i="4" s="1"/>
  <c r="I65" i="4" s="1"/>
  <c r="J65" i="4" s="1"/>
  <c r="K65" i="4" s="1"/>
  <c r="L65" i="4" s="1"/>
  <c r="M65" i="4" s="1"/>
  <c r="N65" i="4" s="1"/>
  <c r="O65" i="4" s="1"/>
  <c r="P65" i="4" s="1"/>
  <c r="Q65" i="4" s="1"/>
  <c r="R65" i="4" s="1"/>
  <c r="S65" i="4" s="1"/>
  <c r="T65" i="4" s="1"/>
  <c r="U65" i="4" s="1"/>
  <c r="V65" i="4" s="1"/>
  <c r="W65" i="4" s="1"/>
  <c r="X65" i="4" s="1"/>
  <c r="Y65" i="4" s="1"/>
  <c r="B64" i="4"/>
  <c r="C64" i="4" s="1"/>
  <c r="D64" i="4" s="1"/>
  <c r="E64" i="4" s="1"/>
  <c r="F64" i="4" s="1"/>
  <c r="G64" i="4" s="1"/>
  <c r="H64" i="4" s="1"/>
  <c r="I64" i="4" s="1"/>
  <c r="J64" i="4" s="1"/>
  <c r="K64" i="4" s="1"/>
  <c r="L64" i="4" s="1"/>
  <c r="M64" i="4" s="1"/>
  <c r="N64" i="4" s="1"/>
  <c r="O64" i="4" s="1"/>
  <c r="P64" i="4" s="1"/>
  <c r="Q64" i="4" s="1"/>
  <c r="R64" i="4" s="1"/>
  <c r="S64" i="4" s="1"/>
  <c r="T64" i="4" s="1"/>
  <c r="U64" i="4" s="1"/>
  <c r="V64" i="4" s="1"/>
  <c r="W64" i="4" s="1"/>
  <c r="X64" i="4" s="1"/>
  <c r="Y64" i="4" s="1"/>
  <c r="Z64" i="4" s="1"/>
  <c r="AA64" i="4" s="1"/>
  <c r="AB64" i="4" s="1"/>
  <c r="AC64" i="4" s="1"/>
  <c r="AD64" i="4" s="1"/>
  <c r="AE64" i="4" s="1"/>
  <c r="AF64" i="4" s="1"/>
  <c r="AG64" i="4" s="1"/>
  <c r="AH64" i="4" s="1"/>
  <c r="AI64" i="4" s="1"/>
  <c r="AJ64" i="4" s="1"/>
  <c r="AK64" i="4" s="1"/>
  <c r="AL64" i="4" s="1"/>
  <c r="AM64" i="4" s="1"/>
  <c r="AN64" i="4" s="1"/>
  <c r="B63" i="4"/>
  <c r="C63" i="4" s="1"/>
  <c r="D63" i="4" s="1"/>
  <c r="E63" i="4" s="1"/>
  <c r="F63" i="4" s="1"/>
  <c r="G63" i="4" s="1"/>
  <c r="H63" i="4" s="1"/>
  <c r="I63" i="4" s="1"/>
  <c r="J63" i="4" s="1"/>
  <c r="K63" i="4" s="1"/>
  <c r="L63" i="4" s="1"/>
  <c r="M63" i="4" s="1"/>
  <c r="N63" i="4" s="1"/>
  <c r="O63" i="4" s="1"/>
  <c r="P63" i="4" s="1"/>
  <c r="Q63" i="4" s="1"/>
  <c r="R63" i="4" s="1"/>
  <c r="S63" i="4" s="1"/>
  <c r="T63" i="4" s="1"/>
  <c r="U63" i="4" s="1"/>
  <c r="V63" i="4" s="1"/>
  <c r="W63" i="4" s="1"/>
  <c r="X63" i="4" s="1"/>
  <c r="Y63" i="4" s="1"/>
  <c r="Z63" i="4" s="1"/>
  <c r="AA63" i="4" s="1"/>
  <c r="B62" i="4"/>
  <c r="C62" i="4" s="1"/>
  <c r="D62" i="4" s="1"/>
  <c r="E62" i="4" s="1"/>
  <c r="F62" i="4" s="1"/>
  <c r="G62" i="4" s="1"/>
  <c r="H62" i="4" s="1"/>
  <c r="I62" i="4" s="1"/>
  <c r="J62" i="4" s="1"/>
  <c r="K62" i="4" s="1"/>
  <c r="L62" i="4" s="1"/>
  <c r="M62" i="4" s="1"/>
  <c r="N62" i="4" s="1"/>
  <c r="O62" i="4" s="1"/>
  <c r="P62" i="4" s="1"/>
  <c r="Q62" i="4" s="1"/>
  <c r="R62" i="4" s="1"/>
  <c r="S62" i="4" s="1"/>
  <c r="T62" i="4" s="1"/>
  <c r="U62" i="4" s="1"/>
  <c r="V62" i="4" s="1"/>
  <c r="W62" i="4" s="1"/>
  <c r="B61" i="4"/>
  <c r="C61" i="4" s="1"/>
  <c r="D61" i="4" s="1"/>
  <c r="E61" i="4" s="1"/>
  <c r="F61" i="4" s="1"/>
  <c r="G61" i="4" s="1"/>
  <c r="H61" i="4" s="1"/>
  <c r="I61" i="4" s="1"/>
  <c r="J61" i="4" s="1"/>
  <c r="K61" i="4" s="1"/>
  <c r="L61" i="4" s="1"/>
  <c r="M61" i="4" s="1"/>
  <c r="N61" i="4" s="1"/>
  <c r="O61" i="4" s="1"/>
  <c r="P61" i="4" s="1"/>
  <c r="Q61" i="4" s="1"/>
  <c r="R61" i="4" s="1"/>
  <c r="S61" i="4" s="1"/>
  <c r="T61" i="4" s="1"/>
  <c r="U61" i="4" s="1"/>
  <c r="V61" i="4" s="1"/>
  <c r="W61" i="4" s="1"/>
  <c r="X61" i="4" s="1"/>
  <c r="Y61" i="4" s="1"/>
  <c r="Z61" i="4" s="1"/>
  <c r="AA61" i="4" s="1"/>
  <c r="AB61" i="4" s="1"/>
  <c r="AC61" i="4" s="1"/>
  <c r="AD61" i="4" s="1"/>
  <c r="AE61" i="4" s="1"/>
  <c r="AF61" i="4" s="1"/>
  <c r="AG61" i="4" s="1"/>
  <c r="AH61" i="4" s="1"/>
  <c r="AI61" i="4" s="1"/>
  <c r="AJ61" i="4" s="1"/>
  <c r="AK61" i="4" s="1"/>
  <c r="AL61" i="4" s="1"/>
  <c r="AM61" i="4" s="1"/>
  <c r="AN61" i="4" s="1"/>
  <c r="B70" i="4"/>
  <c r="B60" i="4"/>
  <c r="C60" i="4" s="1"/>
  <c r="D60" i="4" s="1"/>
  <c r="E60" i="4" s="1"/>
  <c r="F60" i="4" s="1"/>
  <c r="G60" i="4" s="1"/>
  <c r="H60" i="4" s="1"/>
  <c r="I60" i="4" s="1"/>
  <c r="J60" i="4" s="1"/>
  <c r="K60" i="4" s="1"/>
  <c r="L60" i="4" s="1"/>
  <c r="M60" i="4" s="1"/>
  <c r="N60" i="4" s="1"/>
  <c r="O60" i="4" s="1"/>
  <c r="P60" i="4" s="1"/>
  <c r="Q60" i="4" s="1"/>
  <c r="R60" i="4" s="1"/>
  <c r="S60" i="4" s="1"/>
  <c r="T60" i="4" s="1"/>
  <c r="U60" i="4" s="1"/>
  <c r="V60" i="4" s="1"/>
  <c r="W60" i="4" s="1"/>
  <c r="X60" i="4" s="1"/>
  <c r="Y60" i="4" s="1"/>
  <c r="Z60" i="4" s="1"/>
  <c r="AA60" i="4" s="1"/>
  <c r="AB60" i="4" s="1"/>
  <c r="AC60" i="4" s="1"/>
  <c r="AD60" i="4" s="1"/>
  <c r="AE60" i="4" s="1"/>
  <c r="AF60" i="4" s="1"/>
  <c r="AG60" i="4" s="1"/>
  <c r="AH60" i="4" s="1"/>
  <c r="AI60" i="4" s="1"/>
  <c r="AJ60" i="4" s="1"/>
  <c r="AK60" i="4" s="1"/>
  <c r="AL60" i="4" s="1"/>
  <c r="AM60" i="4" s="1"/>
  <c r="AN60" i="4" s="1"/>
  <c r="B59" i="4"/>
  <c r="E59" i="4" s="1"/>
  <c r="F59" i="4" s="1"/>
  <c r="Q59" i="4" s="1"/>
  <c r="V59" i="4" s="1"/>
  <c r="B58" i="4"/>
  <c r="C58" i="4" s="1"/>
  <c r="D58" i="4" s="1"/>
  <c r="E58" i="4" s="1"/>
  <c r="F58" i="4" s="1"/>
  <c r="G58" i="4" s="1"/>
  <c r="H58" i="4" s="1"/>
  <c r="I58" i="4" s="1"/>
  <c r="J58" i="4" s="1"/>
  <c r="K58" i="4" s="1"/>
  <c r="L58" i="4" s="1"/>
  <c r="M58" i="4" s="1"/>
  <c r="N58" i="4" s="1"/>
  <c r="O58" i="4" s="1"/>
  <c r="P58" i="4" s="1"/>
  <c r="Q58" i="4" s="1"/>
  <c r="R58" i="4" s="1"/>
  <c r="S58" i="4" s="1"/>
  <c r="T58" i="4" s="1"/>
  <c r="U58" i="4" s="1"/>
  <c r="V58" i="4" s="1"/>
  <c r="W58" i="4" s="1"/>
  <c r="X58" i="4" s="1"/>
  <c r="Y58" i="4" s="1"/>
  <c r="Z58" i="4" s="1"/>
  <c r="AA58" i="4" s="1"/>
  <c r="B57" i="4"/>
  <c r="C57" i="4" s="1"/>
  <c r="D57" i="4" s="1"/>
  <c r="E57" i="4" s="1"/>
  <c r="F57" i="4" s="1"/>
  <c r="G57" i="4" s="1"/>
  <c r="H57" i="4" s="1"/>
  <c r="I57" i="4" s="1"/>
  <c r="J57" i="4" s="1"/>
  <c r="K57" i="4" s="1"/>
  <c r="B56" i="4"/>
  <c r="C56" i="4" s="1"/>
  <c r="D56" i="4" s="1"/>
  <c r="E56" i="4" s="1"/>
  <c r="F56" i="4" s="1"/>
  <c r="G56" i="4" s="1"/>
  <c r="H56" i="4" s="1"/>
  <c r="I56" i="4" s="1"/>
  <c r="J56" i="4" s="1"/>
  <c r="K56" i="4" s="1"/>
  <c r="L56" i="4" s="1"/>
  <c r="M56" i="4" s="1"/>
  <c r="N56" i="4" s="1"/>
  <c r="O56" i="4" s="1"/>
  <c r="P56" i="4" s="1"/>
  <c r="Q56" i="4" s="1"/>
  <c r="R56" i="4" s="1"/>
  <c r="S56" i="4" s="1"/>
  <c r="T56" i="4" s="1"/>
  <c r="U56" i="4" s="1"/>
  <c r="V56" i="4" s="1"/>
  <c r="W56" i="4" s="1"/>
  <c r="X56" i="4" s="1"/>
  <c r="Y56" i="4" s="1"/>
  <c r="Z56" i="4" s="1"/>
  <c r="AA56" i="4" s="1"/>
  <c r="B55" i="4"/>
  <c r="C55" i="4" s="1"/>
  <c r="D55" i="4" s="1"/>
  <c r="E55" i="4" s="1"/>
  <c r="F55" i="4" s="1"/>
  <c r="G55" i="4" s="1"/>
  <c r="H55" i="4" s="1"/>
  <c r="I55" i="4" s="1"/>
  <c r="J55" i="4" s="1"/>
  <c r="K55" i="4" s="1"/>
  <c r="L55" i="4" s="1"/>
  <c r="M55" i="4" s="1"/>
  <c r="N55" i="4" s="1"/>
  <c r="O55" i="4" s="1"/>
  <c r="P55" i="4" s="1"/>
  <c r="Q55" i="4" s="1"/>
  <c r="R55" i="4" s="1"/>
  <c r="S55" i="4" s="1"/>
  <c r="T55" i="4" s="1"/>
  <c r="U55" i="4" s="1"/>
  <c r="V55" i="4" s="1"/>
  <c r="W55" i="4" s="1"/>
  <c r="X55" i="4" s="1"/>
  <c r="Y55" i="4" s="1"/>
  <c r="Z55" i="4" s="1"/>
  <c r="AA55" i="4" s="1"/>
  <c r="AB55" i="4" s="1"/>
  <c r="AC55" i="4" s="1"/>
  <c r="AD55" i="4" s="1"/>
  <c r="AE55" i="4" s="1"/>
  <c r="AF55" i="4" s="1"/>
  <c r="AG55" i="4" s="1"/>
  <c r="AH55" i="4" s="1"/>
  <c r="AI55" i="4" s="1"/>
  <c r="AJ55" i="4" s="1"/>
  <c r="AK55" i="4" s="1"/>
  <c r="AL55" i="4" s="1"/>
  <c r="AM55" i="4" s="1"/>
  <c r="AN55" i="4" s="1"/>
  <c r="B54" i="4"/>
  <c r="C54" i="4" s="1"/>
  <c r="D54" i="4" s="1"/>
  <c r="E54" i="4" s="1"/>
  <c r="F54" i="4" s="1"/>
  <c r="G54" i="4" s="1"/>
  <c r="H54" i="4" s="1"/>
  <c r="I54" i="4" s="1"/>
  <c r="J54" i="4" s="1"/>
  <c r="K54" i="4" s="1"/>
  <c r="L54" i="4" s="1"/>
  <c r="M54" i="4" s="1"/>
  <c r="N54" i="4" s="1"/>
  <c r="O54" i="4" s="1"/>
  <c r="P54" i="4" s="1"/>
  <c r="Q54" i="4" s="1"/>
  <c r="R54" i="4" s="1"/>
  <c r="S54" i="4" s="1"/>
  <c r="T54" i="4" s="1"/>
  <c r="U54" i="4" s="1"/>
  <c r="V54" i="4" s="1"/>
  <c r="W54" i="4" s="1"/>
  <c r="X54" i="4" s="1"/>
  <c r="Y54" i="4" s="1"/>
  <c r="B53" i="4"/>
  <c r="C53" i="4" s="1"/>
  <c r="D53" i="4" s="1"/>
  <c r="E53" i="4" s="1"/>
  <c r="F53" i="4" s="1"/>
  <c r="G53" i="4" s="1"/>
  <c r="H53" i="4" s="1"/>
  <c r="I53" i="4" s="1"/>
  <c r="J53" i="4" s="1"/>
  <c r="K53" i="4" s="1"/>
  <c r="L53" i="4" s="1"/>
  <c r="M53" i="4" s="1"/>
  <c r="N53" i="4" s="1"/>
  <c r="O53" i="4" s="1"/>
  <c r="P53" i="4" s="1"/>
  <c r="Q53" i="4" s="1"/>
  <c r="R53" i="4" s="1"/>
  <c r="S53" i="4" s="1"/>
  <c r="T53" i="4" s="1"/>
  <c r="U53" i="4" s="1"/>
  <c r="V53" i="4" s="1"/>
  <c r="W53" i="4" s="1"/>
  <c r="X53" i="4" s="1"/>
  <c r="Y53" i="4" s="1"/>
  <c r="Z53" i="4" s="1"/>
  <c r="AA53" i="4" s="1"/>
  <c r="B52" i="4"/>
  <c r="C52" i="4" s="1"/>
  <c r="D52" i="4" s="1"/>
  <c r="E52" i="4" s="1"/>
  <c r="F52" i="4" s="1"/>
  <c r="G52" i="4" s="1"/>
  <c r="H52" i="4" s="1"/>
  <c r="I52" i="4" s="1"/>
  <c r="J52" i="4" s="1"/>
  <c r="K52" i="4" s="1"/>
  <c r="L52" i="4" s="1"/>
  <c r="M52" i="4" s="1"/>
  <c r="N52" i="4" s="1"/>
  <c r="O52" i="4" s="1"/>
  <c r="P52" i="4" s="1"/>
  <c r="Q52" i="4" s="1"/>
  <c r="R52" i="4" s="1"/>
  <c r="S52" i="4" s="1"/>
  <c r="T52" i="4" s="1"/>
  <c r="U52" i="4" s="1"/>
  <c r="V52" i="4" s="1"/>
  <c r="W52" i="4" s="1"/>
  <c r="X52" i="4" s="1"/>
  <c r="Y52" i="4" s="1"/>
  <c r="Z52" i="4" s="1"/>
  <c r="AA52" i="4" s="1"/>
  <c r="AB52" i="4" s="1"/>
  <c r="AC52" i="4" s="1"/>
  <c r="AD52" i="4" s="1"/>
  <c r="AE52" i="4" s="1"/>
  <c r="AF52" i="4" s="1"/>
  <c r="AG52" i="4" s="1"/>
  <c r="AH52" i="4" s="1"/>
  <c r="AI52" i="4" s="1"/>
  <c r="AJ52" i="4" s="1"/>
  <c r="AK52" i="4" s="1"/>
  <c r="AL52" i="4" s="1"/>
  <c r="AM52" i="4" s="1"/>
  <c r="AN52" i="4" s="1"/>
  <c r="B51" i="4"/>
  <c r="C51" i="4" s="1"/>
  <c r="D51" i="4" s="1"/>
  <c r="E51" i="4" s="1"/>
  <c r="F51" i="4" s="1"/>
  <c r="G51" i="4" s="1"/>
  <c r="H51" i="4" s="1"/>
  <c r="I51" i="4" s="1"/>
  <c r="J51" i="4" s="1"/>
  <c r="K51" i="4" s="1"/>
  <c r="L51" i="4" s="1"/>
  <c r="M51" i="4" s="1"/>
  <c r="N51" i="4" s="1"/>
  <c r="O51" i="4" s="1"/>
  <c r="P51" i="4" s="1"/>
  <c r="Q51" i="4" s="1"/>
  <c r="R51" i="4" s="1"/>
  <c r="S51" i="4" s="1"/>
  <c r="T51" i="4" s="1"/>
  <c r="U51" i="4" s="1"/>
  <c r="V51" i="4" s="1"/>
  <c r="W51" i="4" s="1"/>
  <c r="X51" i="4" s="1"/>
  <c r="Y51" i="4" s="1"/>
  <c r="Z51" i="4" s="1"/>
  <c r="AA51" i="4" s="1"/>
  <c r="AB51" i="4" s="1"/>
  <c r="AC51" i="4" s="1"/>
  <c r="AD51" i="4" s="1"/>
  <c r="AE51" i="4" s="1"/>
  <c r="AF51" i="4" s="1"/>
  <c r="AG51" i="4" s="1"/>
  <c r="AH51" i="4" s="1"/>
  <c r="AI51" i="4" s="1"/>
  <c r="AJ51" i="4" s="1"/>
  <c r="AK51" i="4" s="1"/>
  <c r="AL51" i="4" s="1"/>
  <c r="AM51" i="4" s="1"/>
  <c r="AN51" i="4" s="1"/>
  <c r="B50" i="4"/>
  <c r="C50" i="4" s="1"/>
  <c r="D50" i="4" s="1"/>
  <c r="E50" i="4" s="1"/>
  <c r="F50" i="4" s="1"/>
  <c r="G50" i="4" s="1"/>
  <c r="H50" i="4" s="1"/>
  <c r="I50" i="4" s="1"/>
  <c r="J50" i="4" s="1"/>
  <c r="K50" i="4" s="1"/>
  <c r="L50" i="4" s="1"/>
  <c r="M50" i="4" s="1"/>
  <c r="N50" i="4" s="1"/>
  <c r="O50" i="4" s="1"/>
  <c r="P50" i="4" s="1"/>
  <c r="Q50" i="4" s="1"/>
  <c r="R50" i="4" s="1"/>
  <c r="S50" i="4" s="1"/>
  <c r="T50" i="4" s="1"/>
  <c r="U50" i="4" s="1"/>
  <c r="V50" i="4" s="1"/>
  <c r="W50" i="4" s="1"/>
  <c r="X50" i="4" s="1"/>
  <c r="Y50" i="4" s="1"/>
  <c r="Z50" i="4" s="1"/>
  <c r="AA50" i="4" s="1"/>
  <c r="AB50" i="4" s="1"/>
  <c r="AC50" i="4" s="1"/>
  <c r="AD50" i="4" s="1"/>
  <c r="AE50" i="4" s="1"/>
  <c r="AF50" i="4" s="1"/>
  <c r="AG50" i="4" s="1"/>
  <c r="AH50" i="4" s="1"/>
  <c r="AI50" i="4" s="1"/>
  <c r="AJ50" i="4" s="1"/>
  <c r="AK50" i="4" s="1"/>
  <c r="AL50" i="4" s="1"/>
  <c r="AM50" i="4" s="1"/>
  <c r="AN50" i="4" s="1"/>
  <c r="B49" i="4"/>
  <c r="C49" i="4" s="1"/>
  <c r="D49" i="4" s="1"/>
  <c r="E49" i="4" s="1"/>
  <c r="F49" i="4" s="1"/>
  <c r="G49" i="4" s="1"/>
  <c r="H49" i="4" s="1"/>
  <c r="I49" i="4" s="1"/>
  <c r="J49" i="4" s="1"/>
  <c r="K49" i="4" s="1"/>
  <c r="L49" i="4" s="1"/>
  <c r="M49" i="4" s="1"/>
  <c r="N49" i="4" s="1"/>
  <c r="O49" i="4" s="1"/>
  <c r="P49" i="4" s="1"/>
  <c r="Q49" i="4" s="1"/>
  <c r="R49" i="4" s="1"/>
  <c r="S49" i="4" s="1"/>
  <c r="T49" i="4" s="1"/>
  <c r="U49" i="4" s="1"/>
  <c r="V49" i="4" s="1"/>
  <c r="W49" i="4" s="1"/>
  <c r="X49" i="4" s="1"/>
  <c r="Y49" i="4" s="1"/>
  <c r="Z49" i="4" s="1"/>
  <c r="AA49" i="4" s="1"/>
  <c r="B48" i="4"/>
  <c r="C48" i="4" s="1"/>
  <c r="D48" i="4" s="1"/>
  <c r="E48" i="4" s="1"/>
  <c r="F48" i="4" s="1"/>
  <c r="G48" i="4" s="1"/>
  <c r="H48" i="4" s="1"/>
  <c r="I48" i="4" s="1"/>
  <c r="J48" i="4" s="1"/>
  <c r="K48" i="4" s="1"/>
  <c r="L48" i="4" s="1"/>
  <c r="M48" i="4" s="1"/>
  <c r="N48" i="4" s="1"/>
  <c r="O48" i="4" s="1"/>
  <c r="P48" i="4" s="1"/>
  <c r="Q48" i="4" s="1"/>
  <c r="R48" i="4" s="1"/>
  <c r="S48" i="4" s="1"/>
  <c r="T48" i="4" s="1"/>
  <c r="U48" i="4" s="1"/>
  <c r="V48" i="4" s="1"/>
  <c r="W48" i="4" s="1"/>
  <c r="X48" i="4" s="1"/>
  <c r="Y48" i="4" s="1"/>
  <c r="Z48" i="4" s="1"/>
  <c r="AA48" i="4" s="1"/>
  <c r="AB48" i="4" s="1"/>
  <c r="AC48" i="4" s="1"/>
  <c r="AD48" i="4" s="1"/>
  <c r="AE48" i="4" s="1"/>
  <c r="AF48" i="4" s="1"/>
  <c r="AG48" i="4" s="1"/>
  <c r="AH48" i="4" s="1"/>
  <c r="AI48" i="4" s="1"/>
  <c r="AJ48" i="4" s="1"/>
  <c r="AK48" i="4" s="1"/>
  <c r="AL48" i="4" s="1"/>
  <c r="AM48" i="4" s="1"/>
  <c r="AN48" i="4" s="1"/>
  <c r="B47" i="4"/>
  <c r="C47" i="4" s="1"/>
  <c r="D47" i="4" s="1"/>
  <c r="E47" i="4" s="1"/>
  <c r="F47" i="4" s="1"/>
  <c r="G47" i="4" s="1"/>
  <c r="H47" i="4" s="1"/>
  <c r="I47" i="4" s="1"/>
  <c r="J47" i="4" s="1"/>
  <c r="K47" i="4" s="1"/>
  <c r="L47" i="4" s="1"/>
  <c r="M47" i="4" s="1"/>
  <c r="N47" i="4" s="1"/>
  <c r="O47" i="4" s="1"/>
  <c r="P47" i="4" s="1"/>
  <c r="Q47" i="4" s="1"/>
  <c r="R47" i="4" s="1"/>
  <c r="S47" i="4" s="1"/>
  <c r="T47" i="4" s="1"/>
  <c r="U47" i="4" s="1"/>
  <c r="V47" i="4" s="1"/>
  <c r="W47" i="4" s="1"/>
  <c r="X47" i="4" s="1"/>
  <c r="Y47" i="4" s="1"/>
  <c r="Z47" i="4" s="1"/>
  <c r="AA47" i="4" s="1"/>
  <c r="AB47" i="4" s="1"/>
  <c r="AC47" i="4" s="1"/>
  <c r="AD47" i="4" s="1"/>
  <c r="AE47" i="4" s="1"/>
  <c r="AF47" i="4" s="1"/>
  <c r="AG47" i="4" s="1"/>
  <c r="AH47" i="4" s="1"/>
  <c r="AI47" i="4" s="1"/>
  <c r="AJ47" i="4" s="1"/>
  <c r="AK47" i="4" s="1"/>
  <c r="AL47" i="4" s="1"/>
  <c r="AM47" i="4" s="1"/>
  <c r="AN47" i="4" s="1"/>
  <c r="B46" i="4"/>
  <c r="C46" i="4" s="1"/>
  <c r="D46" i="4" s="1"/>
  <c r="E46" i="4" s="1"/>
  <c r="F46" i="4" s="1"/>
  <c r="G46" i="4" s="1"/>
  <c r="H46" i="4" s="1"/>
  <c r="I46" i="4" s="1"/>
  <c r="J46" i="4" s="1"/>
  <c r="K46" i="4" s="1"/>
  <c r="L46" i="4" s="1"/>
  <c r="M46" i="4" s="1"/>
  <c r="N46" i="4" s="1"/>
  <c r="O46" i="4" s="1"/>
  <c r="P46" i="4" s="1"/>
  <c r="Q46" i="4" s="1"/>
  <c r="B45" i="4"/>
  <c r="C45" i="4" s="1"/>
  <c r="D45" i="4" s="1"/>
  <c r="E45" i="4" s="1"/>
  <c r="F45" i="4" s="1"/>
  <c r="G45" i="4" s="1"/>
  <c r="H45" i="4" s="1"/>
  <c r="I45" i="4" s="1"/>
  <c r="J45" i="4" s="1"/>
  <c r="K45" i="4" s="1"/>
  <c r="L45" i="4" s="1"/>
  <c r="M45" i="4" s="1"/>
  <c r="N45" i="4" s="1"/>
  <c r="O45" i="4" s="1"/>
  <c r="P45" i="4" s="1"/>
  <c r="Q45" i="4" s="1"/>
  <c r="R45" i="4" s="1"/>
  <c r="S45" i="4" s="1"/>
  <c r="T45" i="4" s="1"/>
  <c r="U45" i="4" s="1"/>
  <c r="V45" i="4" s="1"/>
  <c r="W45" i="4" s="1"/>
  <c r="X45" i="4" s="1"/>
  <c r="Y45" i="4" s="1"/>
  <c r="B44" i="4"/>
  <c r="C44" i="4" s="1"/>
  <c r="D44" i="4" s="1"/>
  <c r="E44" i="4" s="1"/>
  <c r="F44" i="4" s="1"/>
  <c r="B43" i="4"/>
  <c r="C43" i="4" s="1"/>
  <c r="D43" i="4" s="1"/>
  <c r="E43" i="4" s="1"/>
  <c r="F43" i="4" s="1"/>
  <c r="G43" i="4" s="1"/>
  <c r="H43" i="4" s="1"/>
  <c r="I43" i="4" s="1"/>
  <c r="J43" i="4" s="1"/>
  <c r="K43" i="4" s="1"/>
  <c r="L43" i="4" s="1"/>
  <c r="M43" i="4" s="1"/>
  <c r="N43" i="4" s="1"/>
  <c r="O43" i="4" s="1"/>
  <c r="P43" i="4" s="1"/>
  <c r="Q43" i="4" s="1"/>
  <c r="R43" i="4" s="1"/>
  <c r="S43" i="4" s="1"/>
  <c r="T43" i="4" s="1"/>
  <c r="U43" i="4" s="1"/>
  <c r="V43" i="4" s="1"/>
  <c r="W43" i="4" s="1"/>
  <c r="X43" i="4" s="1"/>
  <c r="Y43" i="4" s="1"/>
  <c r="Z43" i="4" s="1"/>
  <c r="AA43" i="4" s="1"/>
  <c r="AB43" i="4" s="1"/>
  <c r="AC43" i="4" s="1"/>
  <c r="AD43" i="4" s="1"/>
  <c r="AE43" i="4" s="1"/>
  <c r="AF43" i="4" s="1"/>
  <c r="AG43" i="4" s="1"/>
  <c r="AH43" i="4" s="1"/>
  <c r="AI43" i="4" s="1"/>
  <c r="AJ43" i="4" s="1"/>
  <c r="AK43" i="4" s="1"/>
  <c r="AL43" i="4" s="1"/>
  <c r="AM43" i="4" s="1"/>
  <c r="AN43" i="4" s="1"/>
  <c r="B42" i="4"/>
  <c r="C42" i="4" s="1"/>
  <c r="D42" i="4" s="1"/>
  <c r="E42" i="4" s="1"/>
  <c r="F42" i="4" s="1"/>
  <c r="G42" i="4" s="1"/>
  <c r="H42" i="4" s="1"/>
  <c r="I42" i="4" s="1"/>
  <c r="J42" i="4" s="1"/>
  <c r="K42" i="4" s="1"/>
  <c r="L42" i="4" s="1"/>
  <c r="M42" i="4" s="1"/>
  <c r="N42" i="4" s="1"/>
  <c r="O42" i="4" s="1"/>
  <c r="P42" i="4" s="1"/>
  <c r="Q42" i="4" s="1"/>
  <c r="R42" i="4" s="1"/>
  <c r="S42" i="4" s="1"/>
  <c r="T42" i="4" s="1"/>
  <c r="U42" i="4" s="1"/>
  <c r="V42" i="4" s="1"/>
  <c r="W42" i="4" s="1"/>
  <c r="X42" i="4" s="1"/>
  <c r="Y42" i="4" s="1"/>
  <c r="Z42" i="4" s="1"/>
  <c r="AA42" i="4" s="1"/>
  <c r="B41" i="4"/>
  <c r="C41" i="4" s="1"/>
  <c r="D41" i="4" s="1"/>
  <c r="E41" i="4" s="1"/>
  <c r="F41" i="4" s="1"/>
  <c r="Q41" i="4" s="1"/>
  <c r="B40" i="4"/>
  <c r="C40" i="4" s="1"/>
  <c r="D40" i="4" s="1"/>
  <c r="E40" i="4" s="1"/>
  <c r="F40" i="4" s="1"/>
  <c r="G40" i="4" s="1"/>
  <c r="H40" i="4" s="1"/>
  <c r="I40" i="4" s="1"/>
  <c r="J40" i="4" s="1"/>
  <c r="K40" i="4" s="1"/>
  <c r="L40" i="4" s="1"/>
  <c r="M40" i="4" s="1"/>
  <c r="N40" i="4" s="1"/>
  <c r="O40" i="4" s="1"/>
  <c r="P40" i="4" s="1"/>
  <c r="Q40" i="4" s="1"/>
  <c r="R40" i="4" s="1"/>
  <c r="S40" i="4" s="1"/>
  <c r="T40" i="4" s="1"/>
  <c r="U40" i="4" s="1"/>
  <c r="V40" i="4" s="1"/>
  <c r="W40" i="4" s="1"/>
  <c r="X40" i="4" s="1"/>
  <c r="Y40" i="4" s="1"/>
  <c r="Z40" i="4" s="1"/>
  <c r="B39" i="4"/>
  <c r="C39" i="4" s="1"/>
  <c r="D39" i="4" s="1"/>
  <c r="E39" i="4" s="1"/>
  <c r="F39" i="4" s="1"/>
  <c r="G39" i="4" s="1"/>
  <c r="H39" i="4" s="1"/>
  <c r="I39" i="4" s="1"/>
  <c r="J39" i="4" s="1"/>
  <c r="K39" i="4" s="1"/>
  <c r="L39" i="4" s="1"/>
  <c r="M39" i="4" s="1"/>
  <c r="N39" i="4" s="1"/>
  <c r="O39" i="4" s="1"/>
  <c r="P39" i="4" s="1"/>
  <c r="Q39" i="4" s="1"/>
  <c r="B38" i="4"/>
  <c r="C38" i="4" s="1"/>
  <c r="D38" i="4" s="1"/>
  <c r="E38" i="4" s="1"/>
  <c r="F38" i="4" s="1"/>
  <c r="G38" i="4" s="1"/>
  <c r="H38" i="4" s="1"/>
  <c r="I38" i="4" s="1"/>
  <c r="J38" i="4" s="1"/>
  <c r="K38" i="4" s="1"/>
  <c r="L38" i="4" s="1"/>
  <c r="M38" i="4" s="1"/>
  <c r="N38" i="4" s="1"/>
  <c r="O38" i="4" s="1"/>
  <c r="P38" i="4" s="1"/>
  <c r="Q38" i="4" s="1"/>
  <c r="R38" i="4" s="1"/>
  <c r="S38" i="4" s="1"/>
  <c r="T38" i="4" s="1"/>
  <c r="U38" i="4" s="1"/>
  <c r="V38" i="4" s="1"/>
  <c r="W38" i="4" s="1"/>
  <c r="X38" i="4" s="1"/>
  <c r="Y38" i="4" s="1"/>
  <c r="Z38" i="4" s="1"/>
  <c r="AA38" i="4" s="1"/>
  <c r="B37" i="4"/>
  <c r="C37" i="4" s="1"/>
  <c r="D37" i="4" s="1"/>
  <c r="E37" i="4" s="1"/>
  <c r="F37" i="4" s="1"/>
  <c r="G37" i="4" s="1"/>
  <c r="H37" i="4" s="1"/>
  <c r="I37" i="4" s="1"/>
  <c r="J37" i="4" s="1"/>
  <c r="K37" i="4" s="1"/>
  <c r="L37" i="4" s="1"/>
  <c r="M37" i="4" s="1"/>
  <c r="N37" i="4" s="1"/>
  <c r="O37" i="4" s="1"/>
  <c r="P37" i="4" s="1"/>
  <c r="Q37" i="4" s="1"/>
  <c r="R37" i="4" s="1"/>
  <c r="S37" i="4" s="1"/>
  <c r="T37" i="4" s="1"/>
  <c r="U37" i="4" s="1"/>
  <c r="V37" i="4" s="1"/>
  <c r="W37" i="4" s="1"/>
  <c r="X37" i="4" s="1"/>
  <c r="Y37" i="4" s="1"/>
  <c r="Z37" i="4" s="1"/>
  <c r="AA37" i="4" s="1"/>
  <c r="B36" i="4"/>
  <c r="C36" i="4" s="1"/>
  <c r="D36" i="4" s="1"/>
  <c r="E36" i="4" s="1"/>
  <c r="F36" i="4" s="1"/>
  <c r="G36" i="4" s="1"/>
  <c r="H36" i="4" s="1"/>
  <c r="I36" i="4" s="1"/>
  <c r="J36" i="4" s="1"/>
  <c r="K36" i="4" s="1"/>
  <c r="L36" i="4" s="1"/>
  <c r="M36" i="4" s="1"/>
  <c r="N36" i="4" s="1"/>
  <c r="O36" i="4" s="1"/>
  <c r="P36" i="4" s="1"/>
  <c r="Q36" i="4" s="1"/>
  <c r="R36" i="4" s="1"/>
  <c r="S36" i="4" s="1"/>
  <c r="T36" i="4" s="1"/>
  <c r="U36" i="4" s="1"/>
  <c r="V36" i="4" s="1"/>
  <c r="W36" i="4" s="1"/>
  <c r="X36" i="4" s="1"/>
  <c r="Y36" i="4" s="1"/>
  <c r="Z36" i="4" s="1"/>
  <c r="AA36" i="4" s="1"/>
  <c r="AB36" i="4" s="1"/>
  <c r="AC36" i="4" s="1"/>
  <c r="AD36" i="4" s="1"/>
  <c r="AE36" i="4" s="1"/>
  <c r="AF36" i="4" s="1"/>
  <c r="AG36" i="4" s="1"/>
  <c r="AH36" i="4" s="1"/>
  <c r="AI36" i="4" s="1"/>
  <c r="AJ36" i="4" s="1"/>
  <c r="AK36" i="4" s="1"/>
  <c r="AL36" i="4" s="1"/>
  <c r="AM36" i="4" s="1"/>
  <c r="AN36" i="4" s="1"/>
  <c r="B35" i="4"/>
  <c r="C35" i="4" s="1"/>
  <c r="D35" i="4" s="1"/>
  <c r="E35" i="4" s="1"/>
  <c r="F35" i="4" s="1"/>
  <c r="G35" i="4" s="1"/>
  <c r="H35" i="4" s="1"/>
  <c r="I35" i="4" s="1"/>
  <c r="J35" i="4" s="1"/>
  <c r="K35" i="4" s="1"/>
  <c r="L35" i="4" s="1"/>
  <c r="M35" i="4" s="1"/>
  <c r="N35" i="4" s="1"/>
  <c r="O35" i="4" s="1"/>
  <c r="P35" i="4" s="1"/>
  <c r="Q35" i="4" s="1"/>
  <c r="R35" i="4" s="1"/>
  <c r="S35" i="4" s="1"/>
  <c r="T35" i="4" s="1"/>
  <c r="U35" i="4" s="1"/>
  <c r="V35" i="4" s="1"/>
  <c r="W35" i="4" s="1"/>
  <c r="X35" i="4" s="1"/>
  <c r="Y35" i="4" s="1"/>
  <c r="Z35" i="4" s="1"/>
  <c r="AA35" i="4" s="1"/>
  <c r="AB35" i="4" s="1"/>
  <c r="AC35" i="4" s="1"/>
  <c r="AD35" i="4" s="1"/>
  <c r="AE35" i="4" s="1"/>
  <c r="AF35" i="4" s="1"/>
  <c r="AG35" i="4" s="1"/>
  <c r="AH35" i="4" s="1"/>
  <c r="AI35" i="4" s="1"/>
  <c r="AJ35" i="4" s="1"/>
  <c r="AK35" i="4" s="1"/>
  <c r="AL35" i="4" s="1"/>
  <c r="AM35" i="4" s="1"/>
  <c r="AN35" i="4" s="1"/>
  <c r="AO35" i="4" s="1"/>
  <c r="AP35" i="4" s="1"/>
  <c r="AQ35" i="4" s="1"/>
  <c r="AR35" i="4" s="1"/>
  <c r="AS35" i="4" s="1"/>
  <c r="AT35" i="4" s="1"/>
  <c r="AU35" i="4" s="1"/>
  <c r="AV35" i="4" s="1"/>
  <c r="AW35" i="4" s="1"/>
  <c r="AX35" i="4" s="1"/>
  <c r="AY35" i="4" s="1"/>
  <c r="AZ35" i="4" s="1"/>
  <c r="BA35" i="4" s="1"/>
  <c r="BB35" i="4" s="1"/>
  <c r="BC35" i="4" s="1"/>
  <c r="BD35" i="4" s="1"/>
  <c r="BE35" i="4" s="1"/>
  <c r="BF35" i="4" s="1"/>
  <c r="BG35" i="4" s="1"/>
  <c r="BH35" i="4" s="1"/>
  <c r="BI35" i="4" s="1"/>
  <c r="BJ35" i="4" s="1"/>
  <c r="BK35" i="4" s="1"/>
  <c r="BL35" i="4" s="1"/>
  <c r="BM35" i="4" s="1"/>
  <c r="BN35" i="4" s="1"/>
  <c r="BO35" i="4" s="1"/>
  <c r="BP35" i="4" s="1"/>
  <c r="B34" i="4"/>
  <c r="C34" i="4" s="1"/>
  <c r="D34" i="4" s="1"/>
  <c r="E34" i="4" s="1"/>
  <c r="F34" i="4" s="1"/>
  <c r="G34" i="4" s="1"/>
  <c r="H34" i="4" s="1"/>
  <c r="I34" i="4" s="1"/>
  <c r="J34" i="4" s="1"/>
  <c r="K34" i="4" s="1"/>
  <c r="L34" i="4" s="1"/>
  <c r="M34" i="4" s="1"/>
  <c r="N34" i="4" s="1"/>
  <c r="O34" i="4" s="1"/>
  <c r="P34" i="4" s="1"/>
  <c r="Q34" i="4" s="1"/>
  <c r="R34" i="4" s="1"/>
  <c r="S34" i="4" s="1"/>
  <c r="T34" i="4" s="1"/>
  <c r="U34" i="4" s="1"/>
  <c r="V34" i="4" s="1"/>
  <c r="W34" i="4" s="1"/>
  <c r="X34" i="4" s="1"/>
  <c r="Y34" i="4" s="1"/>
  <c r="Z34" i="4" s="1"/>
  <c r="B33" i="4"/>
  <c r="C33" i="4" s="1"/>
  <c r="D33" i="4" s="1"/>
  <c r="E33" i="4" s="1"/>
  <c r="F33" i="4" s="1"/>
  <c r="G33" i="4" s="1"/>
  <c r="H33" i="4" s="1"/>
  <c r="I33" i="4" s="1"/>
  <c r="J33" i="4" s="1"/>
  <c r="K33" i="4" s="1"/>
  <c r="L33" i="4" s="1"/>
  <c r="M33" i="4" s="1"/>
  <c r="N33" i="4" s="1"/>
  <c r="O33" i="4" s="1"/>
  <c r="P33" i="4" s="1"/>
  <c r="Q33" i="4" s="1"/>
  <c r="R33" i="4" s="1"/>
  <c r="S33" i="4" s="1"/>
  <c r="T33" i="4" s="1"/>
  <c r="U33" i="4" s="1"/>
  <c r="V33" i="4" s="1"/>
  <c r="W33" i="4" s="1"/>
  <c r="X33" i="4" s="1"/>
  <c r="Y33" i="4" s="1"/>
  <c r="Z33" i="4" s="1"/>
  <c r="B32" i="4"/>
  <c r="C32" i="4" s="1"/>
  <c r="D32" i="4" s="1"/>
  <c r="E32" i="4" s="1"/>
  <c r="F32" i="4" s="1"/>
  <c r="G32" i="4" s="1"/>
  <c r="H32" i="4" s="1"/>
  <c r="I32" i="4" s="1"/>
  <c r="J32" i="4" s="1"/>
  <c r="K32" i="4" s="1"/>
  <c r="L32" i="4" s="1"/>
  <c r="M32" i="4" s="1"/>
  <c r="N32" i="4" s="1"/>
  <c r="O32" i="4" s="1"/>
  <c r="P32" i="4" s="1"/>
  <c r="Q32" i="4" s="1"/>
  <c r="R32" i="4" s="1"/>
  <c r="S32" i="4" s="1"/>
  <c r="T32" i="4" s="1"/>
  <c r="U32" i="4" s="1"/>
  <c r="V32" i="4" s="1"/>
  <c r="W32" i="4" s="1"/>
  <c r="X32" i="4" s="1"/>
  <c r="Y32" i="4" s="1"/>
  <c r="Z32" i="4" s="1"/>
  <c r="AA32" i="4" s="1"/>
  <c r="AB32" i="4" s="1"/>
  <c r="AC32" i="4" s="1"/>
  <c r="AD32" i="4" s="1"/>
  <c r="AE32" i="4" s="1"/>
  <c r="AF32" i="4" s="1"/>
  <c r="AG32" i="4" s="1"/>
  <c r="AH32" i="4" s="1"/>
  <c r="AI32" i="4" s="1"/>
  <c r="AJ32" i="4" s="1"/>
  <c r="AK32" i="4" s="1"/>
  <c r="AL32" i="4" s="1"/>
  <c r="AM32" i="4" s="1"/>
  <c r="AN32" i="4" s="1"/>
  <c r="B72" i="4"/>
  <c r="E72" i="4" s="1"/>
  <c r="F72" i="4" s="1"/>
  <c r="B71" i="4"/>
  <c r="B31" i="4"/>
  <c r="C31" i="4" s="1"/>
  <c r="D31" i="4" s="1"/>
  <c r="E31" i="4" s="1"/>
  <c r="F31" i="4" s="1"/>
  <c r="G31" i="4" s="1"/>
  <c r="H31" i="4" s="1"/>
  <c r="I31" i="4" s="1"/>
  <c r="J31" i="4" s="1"/>
  <c r="K31" i="4" s="1"/>
  <c r="L31" i="4" s="1"/>
  <c r="M31" i="4" s="1"/>
  <c r="N31" i="4" s="1"/>
  <c r="O31" i="4" s="1"/>
  <c r="P31" i="4" s="1"/>
  <c r="Q31" i="4" s="1"/>
  <c r="R31" i="4" s="1"/>
  <c r="S31" i="4" s="1"/>
  <c r="T31" i="4" s="1"/>
  <c r="U31" i="4" s="1"/>
  <c r="V31" i="4" s="1"/>
  <c r="W31" i="4" s="1"/>
  <c r="X31" i="4" s="1"/>
  <c r="Y31" i="4" s="1"/>
  <c r="Z31" i="4" s="1"/>
  <c r="AA31" i="4" s="1"/>
  <c r="AB31" i="4" s="1"/>
  <c r="AC31" i="4" s="1"/>
  <c r="B30" i="4"/>
  <c r="C30" i="4" s="1"/>
  <c r="D30" i="4" s="1"/>
  <c r="E30" i="4" s="1"/>
  <c r="F30" i="4" s="1"/>
  <c r="G30" i="4" s="1"/>
  <c r="H30" i="4" s="1"/>
  <c r="I30" i="4" s="1"/>
  <c r="J30" i="4" s="1"/>
  <c r="K30" i="4" s="1"/>
  <c r="B29" i="4"/>
  <c r="C29" i="4" s="1"/>
  <c r="D29" i="4" s="1"/>
  <c r="E29" i="4" s="1"/>
  <c r="F29" i="4" s="1"/>
  <c r="G29" i="4" s="1"/>
  <c r="H29" i="4" s="1"/>
  <c r="I29" i="4" s="1"/>
  <c r="J29" i="4" s="1"/>
  <c r="K29" i="4" s="1"/>
  <c r="L29" i="4" s="1"/>
  <c r="M29" i="4" s="1"/>
  <c r="N29" i="4" s="1"/>
  <c r="O29" i="4" s="1"/>
  <c r="P29" i="4" s="1"/>
  <c r="Q29" i="4" s="1"/>
  <c r="R29" i="4" s="1"/>
  <c r="S29" i="4" s="1"/>
  <c r="T29" i="4" s="1"/>
  <c r="U29" i="4" s="1"/>
  <c r="V29" i="4" s="1"/>
  <c r="W29" i="4" s="1"/>
  <c r="X29" i="4" s="1"/>
  <c r="Y29" i="4" s="1"/>
  <c r="Z29" i="4" s="1"/>
  <c r="AA29" i="4" s="1"/>
  <c r="AB29" i="4" s="1"/>
  <c r="AC29" i="4" s="1"/>
  <c r="AD29" i="4" s="1"/>
  <c r="AE29" i="4" s="1"/>
  <c r="AF29" i="4" s="1"/>
  <c r="AG29" i="4" s="1"/>
  <c r="AH29" i="4" s="1"/>
  <c r="AI29" i="4" s="1"/>
  <c r="AJ29" i="4" s="1"/>
  <c r="AK29" i="4" s="1"/>
  <c r="AL29" i="4" s="1"/>
  <c r="AM29" i="4" s="1"/>
  <c r="AN29" i="4" s="1"/>
  <c r="B28" i="4"/>
  <c r="C28" i="4" s="1"/>
  <c r="D28" i="4" s="1"/>
  <c r="E28" i="4" s="1"/>
  <c r="F28" i="4" s="1"/>
  <c r="G28" i="4" s="1"/>
  <c r="H28" i="4" s="1"/>
  <c r="I28" i="4" s="1"/>
  <c r="J28" i="4" s="1"/>
  <c r="K28" i="4" s="1"/>
  <c r="L28" i="4" s="1"/>
  <c r="M28" i="4" s="1"/>
  <c r="N28" i="4" s="1"/>
  <c r="O28" i="4" s="1"/>
  <c r="P28" i="4" s="1"/>
  <c r="Q28" i="4" s="1"/>
  <c r="R28" i="4" s="1"/>
  <c r="S28" i="4" s="1"/>
  <c r="T28" i="4" s="1"/>
  <c r="U28" i="4" s="1"/>
  <c r="V28" i="4" s="1"/>
  <c r="W28" i="4" s="1"/>
  <c r="X28" i="4" s="1"/>
  <c r="Y28" i="4" s="1"/>
  <c r="Z28" i="4" s="1"/>
  <c r="B27" i="4"/>
  <c r="C27" i="4" s="1"/>
  <c r="D27" i="4" s="1"/>
  <c r="E27" i="4" s="1"/>
  <c r="F27" i="4" s="1"/>
  <c r="G27" i="4" s="1"/>
  <c r="H27" i="4" s="1"/>
  <c r="I27" i="4" s="1"/>
  <c r="J27" i="4" s="1"/>
  <c r="K27" i="4" s="1"/>
  <c r="L27" i="4" s="1"/>
  <c r="M27" i="4" s="1"/>
  <c r="N27" i="4" s="1"/>
  <c r="O27" i="4" s="1"/>
  <c r="P27" i="4" s="1"/>
  <c r="Q27" i="4" s="1"/>
  <c r="R27" i="4" s="1"/>
  <c r="S27" i="4" s="1"/>
  <c r="T27" i="4" s="1"/>
  <c r="U27" i="4" s="1"/>
  <c r="V27" i="4" s="1"/>
  <c r="W27" i="4" s="1"/>
  <c r="X27" i="4" s="1"/>
  <c r="Y27" i="4" s="1"/>
  <c r="B26" i="4"/>
  <c r="F26" i="4" s="1"/>
  <c r="B25" i="4"/>
  <c r="C25" i="4" s="1"/>
  <c r="D25" i="4" s="1"/>
  <c r="E25" i="4" s="1"/>
  <c r="F25" i="4" s="1"/>
  <c r="G25" i="4" s="1"/>
  <c r="H25" i="4" s="1"/>
  <c r="I25" i="4" s="1"/>
  <c r="J25" i="4" s="1"/>
  <c r="K25" i="4" s="1"/>
  <c r="L25" i="4" s="1"/>
  <c r="M25" i="4" s="1"/>
  <c r="N25" i="4" s="1"/>
  <c r="O25" i="4" s="1"/>
  <c r="P25" i="4" s="1"/>
  <c r="Q25" i="4" s="1"/>
  <c r="R25" i="4" s="1"/>
  <c r="S25" i="4" s="1"/>
  <c r="T25" i="4" s="1"/>
  <c r="U25" i="4" s="1"/>
  <c r="V25" i="4" s="1"/>
  <c r="W25" i="4" s="1"/>
  <c r="X25" i="4" s="1"/>
  <c r="Y25" i="4" s="1"/>
  <c r="B24" i="4"/>
  <c r="C24" i="4" s="1"/>
  <c r="D24" i="4" s="1"/>
  <c r="E24" i="4" s="1"/>
  <c r="F24" i="4" s="1"/>
  <c r="G24" i="4" s="1"/>
  <c r="H24" i="4" s="1"/>
  <c r="I24" i="4" s="1"/>
  <c r="J24" i="4" s="1"/>
  <c r="K24" i="4" s="1"/>
  <c r="L24" i="4" s="1"/>
  <c r="M24" i="4" s="1"/>
  <c r="N24" i="4" s="1"/>
  <c r="O24" i="4" s="1"/>
  <c r="P24" i="4" s="1"/>
  <c r="Q24" i="4" s="1"/>
  <c r="R24" i="4" s="1"/>
  <c r="S24" i="4" s="1"/>
  <c r="T24" i="4" s="1"/>
  <c r="U24" i="4" s="1"/>
  <c r="V24" i="4" s="1"/>
  <c r="W24" i="4" s="1"/>
  <c r="X24" i="4" s="1"/>
  <c r="Y24" i="4" s="1"/>
  <c r="Z24" i="4" s="1"/>
  <c r="AA24" i="4" s="1"/>
  <c r="B23" i="4"/>
  <c r="C23" i="4" s="1"/>
  <c r="D23" i="4" s="1"/>
  <c r="E23" i="4" s="1"/>
  <c r="F23" i="4" s="1"/>
  <c r="G23" i="4" s="1"/>
  <c r="H23" i="4" s="1"/>
  <c r="I23" i="4" s="1"/>
  <c r="J23" i="4" s="1"/>
  <c r="K23" i="4" s="1"/>
  <c r="L23" i="4" s="1"/>
  <c r="M23" i="4" s="1"/>
  <c r="N23" i="4" s="1"/>
  <c r="O23" i="4" s="1"/>
  <c r="P23" i="4" s="1"/>
  <c r="Q23" i="4" s="1"/>
  <c r="R23" i="4" s="1"/>
  <c r="S23" i="4" s="1"/>
  <c r="T23" i="4" s="1"/>
  <c r="U23" i="4" s="1"/>
  <c r="V23" i="4" s="1"/>
  <c r="W23" i="4" s="1"/>
  <c r="X23" i="4" s="1"/>
  <c r="Y23" i="4" s="1"/>
  <c r="Z23" i="4" s="1"/>
  <c r="AA23" i="4" s="1"/>
  <c r="B22" i="4"/>
  <c r="C22" i="4" s="1"/>
  <c r="D22" i="4" s="1"/>
  <c r="E22" i="4" s="1"/>
  <c r="F22" i="4" s="1"/>
  <c r="G22" i="4" s="1"/>
  <c r="H22" i="4" s="1"/>
  <c r="I22" i="4" s="1"/>
  <c r="J22" i="4" s="1"/>
  <c r="K22" i="4" s="1"/>
  <c r="L22" i="4" s="1"/>
  <c r="M22" i="4" s="1"/>
  <c r="N22" i="4" s="1"/>
  <c r="O22" i="4" s="1"/>
  <c r="P22" i="4" s="1"/>
  <c r="Q22" i="4" s="1"/>
  <c r="R22" i="4" s="1"/>
  <c r="S22" i="4" s="1"/>
  <c r="T22" i="4" s="1"/>
  <c r="U22" i="4" s="1"/>
  <c r="V22" i="4" s="1"/>
  <c r="W22" i="4" s="1"/>
  <c r="X22" i="4" s="1"/>
  <c r="Y22" i="4" s="1"/>
  <c r="Z22" i="4" s="1"/>
  <c r="AA22" i="4" s="1"/>
  <c r="B21" i="4"/>
  <c r="C21" i="4" s="1"/>
  <c r="D21" i="4" s="1"/>
  <c r="E21" i="4" s="1"/>
  <c r="F21" i="4" s="1"/>
  <c r="G21" i="4" s="1"/>
  <c r="H21" i="4" s="1"/>
  <c r="I21" i="4" s="1"/>
  <c r="J21" i="4" s="1"/>
  <c r="K21" i="4" s="1"/>
  <c r="L21" i="4" s="1"/>
  <c r="M21" i="4" s="1"/>
  <c r="N21" i="4" s="1"/>
  <c r="O21" i="4" s="1"/>
  <c r="P21" i="4" s="1"/>
  <c r="Q21" i="4" s="1"/>
  <c r="R21" i="4" s="1"/>
  <c r="S21" i="4" s="1"/>
  <c r="T21" i="4" s="1"/>
  <c r="U21" i="4" s="1"/>
  <c r="V21" i="4" s="1"/>
  <c r="W21" i="4" s="1"/>
  <c r="X21" i="4" s="1"/>
  <c r="Y21" i="4" s="1"/>
  <c r="Z21" i="4" s="1"/>
  <c r="AA21" i="4" s="1"/>
  <c r="AB21" i="4" s="1"/>
  <c r="AC21" i="4" s="1"/>
  <c r="AD21" i="4" s="1"/>
  <c r="AE21" i="4" s="1"/>
  <c r="AF21" i="4" s="1"/>
  <c r="AG21" i="4" s="1"/>
  <c r="AH21" i="4" s="1"/>
  <c r="AI21" i="4" s="1"/>
  <c r="AJ21" i="4" s="1"/>
  <c r="AK21" i="4" s="1"/>
  <c r="AL21" i="4" s="1"/>
  <c r="AM21" i="4" s="1"/>
  <c r="AN21" i="4" s="1"/>
  <c r="B20" i="4"/>
  <c r="C20" i="4" s="1"/>
  <c r="D20" i="4" s="1"/>
  <c r="E20" i="4" s="1"/>
  <c r="F20" i="4" s="1"/>
  <c r="G20" i="4" s="1"/>
  <c r="H20" i="4" s="1"/>
  <c r="I20" i="4" s="1"/>
  <c r="J20" i="4" s="1"/>
  <c r="K20" i="4" s="1"/>
  <c r="L20" i="4" s="1"/>
  <c r="M20" i="4" s="1"/>
  <c r="N20" i="4" s="1"/>
  <c r="O20" i="4" s="1"/>
  <c r="P20" i="4" s="1"/>
  <c r="Q20" i="4" s="1"/>
  <c r="R20" i="4" s="1"/>
  <c r="S20" i="4" s="1"/>
  <c r="T20" i="4" s="1"/>
  <c r="U20" i="4" s="1"/>
  <c r="V20" i="4" s="1"/>
  <c r="W20" i="4" s="1"/>
  <c r="X20" i="4" s="1"/>
  <c r="Y20" i="4" s="1"/>
  <c r="Z20" i="4" s="1"/>
  <c r="AA20" i="4" s="1"/>
  <c r="B19" i="4"/>
  <c r="C19" i="4" s="1"/>
  <c r="D19" i="4" s="1"/>
  <c r="E19" i="4" s="1"/>
  <c r="F19" i="4" s="1"/>
  <c r="G19" i="4" s="1"/>
  <c r="H19" i="4" s="1"/>
  <c r="I19" i="4" s="1"/>
  <c r="J19" i="4" s="1"/>
  <c r="K19" i="4" s="1"/>
  <c r="L19" i="4" s="1"/>
  <c r="M19" i="4" s="1"/>
  <c r="N19" i="4" s="1"/>
  <c r="O19" i="4" s="1"/>
  <c r="P19" i="4" s="1"/>
  <c r="Q19" i="4" s="1"/>
  <c r="R19" i="4" s="1"/>
  <c r="S19" i="4" s="1"/>
  <c r="T19" i="4" s="1"/>
  <c r="U19" i="4" s="1"/>
  <c r="V19" i="4" s="1"/>
  <c r="W19" i="4" s="1"/>
  <c r="X19" i="4" s="1"/>
  <c r="Y19" i="4" s="1"/>
  <c r="Z19" i="4" s="1"/>
  <c r="AA19" i="4" s="1"/>
  <c r="B69" i="4"/>
  <c r="D69" i="4" s="1"/>
  <c r="E69" i="4" s="1"/>
  <c r="F69" i="4" s="1"/>
  <c r="K69" i="4" s="1"/>
  <c r="O69" i="4" s="1"/>
  <c r="B18" i="4"/>
  <c r="C18" i="4" s="1"/>
  <c r="D18" i="4" s="1"/>
  <c r="E18" i="4" s="1"/>
  <c r="F18" i="4" s="1"/>
  <c r="G18" i="4" s="1"/>
  <c r="H18" i="4" s="1"/>
  <c r="I18" i="4" s="1"/>
  <c r="J18" i="4" s="1"/>
  <c r="K18" i="4" s="1"/>
  <c r="B17" i="4"/>
  <c r="C17" i="4" s="1"/>
  <c r="D17" i="4" s="1"/>
  <c r="E17" i="4" s="1"/>
  <c r="F17" i="4" s="1"/>
  <c r="G17" i="4" s="1"/>
  <c r="H17" i="4" s="1"/>
  <c r="I17" i="4" s="1"/>
  <c r="J17" i="4" s="1"/>
  <c r="K17" i="4" s="1"/>
  <c r="L17" i="4" s="1"/>
  <c r="M17" i="4" s="1"/>
  <c r="N17" i="4" s="1"/>
  <c r="O17" i="4" s="1"/>
  <c r="S17" i="4" s="1"/>
  <c r="B16" i="4"/>
  <c r="C16" i="4" s="1"/>
  <c r="D16" i="4" s="1"/>
  <c r="E16" i="4" s="1"/>
  <c r="F16" i="4" s="1"/>
  <c r="G16" i="4" s="1"/>
  <c r="H16" i="4" s="1"/>
  <c r="I16" i="4" s="1"/>
  <c r="J16" i="4" s="1"/>
  <c r="K16" i="4" s="1"/>
  <c r="L16" i="4" s="1"/>
  <c r="M16" i="4" s="1"/>
  <c r="N16" i="4" s="1"/>
  <c r="O16" i="4" s="1"/>
  <c r="P16" i="4" s="1"/>
  <c r="Q16" i="4" s="1"/>
  <c r="R16" i="4" s="1"/>
  <c r="S16" i="4" s="1"/>
  <c r="T16" i="4" s="1"/>
  <c r="U16" i="4" s="1"/>
  <c r="V16" i="4" s="1"/>
  <c r="W16" i="4" s="1"/>
  <c r="X16" i="4" s="1"/>
  <c r="Y16" i="4" s="1"/>
  <c r="Z16" i="4" s="1"/>
  <c r="AA16" i="4" s="1"/>
  <c r="AB16" i="4" s="1"/>
  <c r="AC16" i="4" s="1"/>
  <c r="AD16" i="4" s="1"/>
  <c r="AE16" i="4" s="1"/>
  <c r="AF16" i="4" s="1"/>
  <c r="AG16" i="4" s="1"/>
  <c r="AH16" i="4" s="1"/>
  <c r="AI16" i="4" s="1"/>
  <c r="AJ16" i="4" s="1"/>
  <c r="AK16" i="4" s="1"/>
  <c r="AL16" i="4" s="1"/>
  <c r="AM16" i="4" s="1"/>
  <c r="AN16" i="4" s="1"/>
  <c r="B15" i="4"/>
  <c r="C15" i="4" s="1"/>
  <c r="D15" i="4" s="1"/>
  <c r="E15" i="4" s="1"/>
  <c r="F15" i="4" s="1"/>
  <c r="G15" i="4" s="1"/>
  <c r="H15" i="4" s="1"/>
  <c r="I15" i="4" s="1"/>
  <c r="J15" i="4" s="1"/>
  <c r="K15" i="4" s="1"/>
  <c r="L15" i="4" s="1"/>
  <c r="M15" i="4" s="1"/>
  <c r="N15" i="4" s="1"/>
  <c r="O15" i="4" s="1"/>
  <c r="P15" i="4" s="1"/>
  <c r="Q15" i="4" s="1"/>
  <c r="R15" i="4" s="1"/>
  <c r="S15" i="4" s="1"/>
  <c r="T15" i="4" s="1"/>
  <c r="U15" i="4" s="1"/>
  <c r="V15" i="4" s="1"/>
  <c r="W15" i="4" s="1"/>
  <c r="X15" i="4" s="1"/>
  <c r="Y15" i="4" s="1"/>
  <c r="Z15" i="4" s="1"/>
  <c r="AA15" i="4" s="1"/>
  <c r="AB15" i="4" s="1"/>
  <c r="AC15" i="4" s="1"/>
  <c r="AD15" i="4" s="1"/>
  <c r="AE15" i="4" s="1"/>
  <c r="AF15" i="4" s="1"/>
  <c r="AG15" i="4" s="1"/>
  <c r="AH15" i="4" s="1"/>
  <c r="AI15" i="4" s="1"/>
  <c r="AJ15" i="4" s="1"/>
  <c r="AK15" i="4" s="1"/>
  <c r="AL15" i="4" s="1"/>
  <c r="AM15" i="4" s="1"/>
  <c r="AN15" i="4" s="1"/>
  <c r="B14" i="4"/>
  <c r="C14" i="4" s="1"/>
  <c r="D14" i="4" s="1"/>
  <c r="E14" i="4" s="1"/>
  <c r="F14" i="4" s="1"/>
  <c r="G14" i="4" s="1"/>
  <c r="H14" i="4" s="1"/>
  <c r="I14" i="4" s="1"/>
  <c r="J14" i="4" s="1"/>
  <c r="K14" i="4" s="1"/>
  <c r="L14" i="4" s="1"/>
  <c r="M14" i="4" s="1"/>
  <c r="N14" i="4" s="1"/>
  <c r="O14" i="4" s="1"/>
  <c r="P14" i="4" s="1"/>
  <c r="Q14" i="4" s="1"/>
  <c r="R14" i="4" s="1"/>
  <c r="S14" i="4" s="1"/>
  <c r="T14" i="4" s="1"/>
  <c r="U14" i="4" s="1"/>
  <c r="V14" i="4" s="1"/>
  <c r="W14" i="4" s="1"/>
  <c r="X14" i="4" s="1"/>
  <c r="Y14" i="4" s="1"/>
  <c r="Z14" i="4" s="1"/>
  <c r="AA14" i="4" s="1"/>
  <c r="AB14" i="4" s="1"/>
  <c r="AC14" i="4" s="1"/>
  <c r="AD14" i="4" s="1"/>
  <c r="AE14" i="4" s="1"/>
  <c r="AF14" i="4" s="1"/>
  <c r="AG14" i="4" s="1"/>
  <c r="AH14" i="4" s="1"/>
  <c r="AI14" i="4" s="1"/>
  <c r="AJ14" i="4" s="1"/>
  <c r="AK14" i="4" s="1"/>
  <c r="AL14" i="4" s="1"/>
  <c r="AM14" i="4" s="1"/>
  <c r="AN14" i="4" s="1"/>
  <c r="B13" i="4"/>
  <c r="C13" i="4" s="1"/>
  <c r="D13" i="4" s="1"/>
  <c r="E13" i="4" s="1"/>
  <c r="F13" i="4" s="1"/>
  <c r="G13" i="4" s="1"/>
  <c r="H13" i="4" s="1"/>
  <c r="I13" i="4" s="1"/>
  <c r="J13" i="4" s="1"/>
  <c r="K13" i="4" s="1"/>
  <c r="L13" i="4" s="1"/>
  <c r="M13" i="4" s="1"/>
  <c r="N13" i="4" s="1"/>
  <c r="O13" i="4" s="1"/>
  <c r="P13" i="4" s="1"/>
  <c r="Q13" i="4" s="1"/>
  <c r="R13" i="4" s="1"/>
  <c r="S13" i="4" s="1"/>
  <c r="T13" i="4" s="1"/>
  <c r="U13" i="4" s="1"/>
  <c r="V13" i="4" s="1"/>
  <c r="W13" i="4" s="1"/>
  <c r="X13" i="4" s="1"/>
  <c r="Y13" i="4" s="1"/>
  <c r="Z13" i="4" s="1"/>
  <c r="B12" i="4"/>
  <c r="C12" i="4" s="1"/>
  <c r="D12" i="4" s="1"/>
  <c r="E12" i="4" s="1"/>
  <c r="F12" i="4" s="1"/>
  <c r="G12" i="4" s="1"/>
  <c r="H12" i="4" s="1"/>
  <c r="I12" i="4" s="1"/>
  <c r="J12" i="4" s="1"/>
  <c r="K12" i="4" s="1"/>
  <c r="L12" i="4" s="1"/>
  <c r="M12" i="4" s="1"/>
  <c r="N12" i="4" s="1"/>
  <c r="O12" i="4" s="1"/>
  <c r="P12" i="4" s="1"/>
  <c r="Q12" i="4" s="1"/>
  <c r="B11" i="4"/>
  <c r="C11" i="4" s="1"/>
  <c r="D11" i="4" s="1"/>
  <c r="E11" i="4" s="1"/>
  <c r="F11" i="4" s="1"/>
  <c r="G11" i="4" s="1"/>
  <c r="H11" i="4" s="1"/>
  <c r="I11" i="4" s="1"/>
  <c r="J11" i="4" s="1"/>
  <c r="K11" i="4" s="1"/>
  <c r="L11" i="4" s="1"/>
  <c r="M11" i="4" s="1"/>
  <c r="N11" i="4" s="1"/>
  <c r="O11" i="4" s="1"/>
  <c r="P11" i="4" s="1"/>
  <c r="Q11" i="4" s="1"/>
  <c r="R11" i="4" s="1"/>
  <c r="S11" i="4" s="1"/>
  <c r="T11" i="4" s="1"/>
  <c r="U11" i="4" s="1"/>
  <c r="V11" i="4" s="1"/>
  <c r="W11" i="4" s="1"/>
  <c r="X11" i="4" s="1"/>
  <c r="Y11" i="4" s="1"/>
  <c r="Z11" i="4" s="1"/>
  <c r="AA11" i="4" s="1"/>
  <c r="B10" i="4"/>
  <c r="C10" i="4" s="1"/>
  <c r="D10" i="4" s="1"/>
  <c r="E10" i="4" s="1"/>
  <c r="F10" i="4" s="1"/>
  <c r="G10" i="4" s="1"/>
  <c r="H10" i="4" s="1"/>
  <c r="I10" i="4" s="1"/>
  <c r="J10" i="4" s="1"/>
  <c r="K10" i="4" s="1"/>
  <c r="B9" i="4"/>
  <c r="C9" i="4" s="1"/>
  <c r="D9" i="4" s="1"/>
  <c r="E9" i="4" s="1"/>
  <c r="F9" i="4" s="1"/>
  <c r="G9" i="4" s="1"/>
  <c r="H9" i="4" s="1"/>
  <c r="I9" i="4" s="1"/>
  <c r="J9" i="4" s="1"/>
  <c r="K9" i="4" s="1"/>
  <c r="L9" i="4" s="1"/>
  <c r="M9" i="4" s="1"/>
  <c r="N9" i="4" s="1"/>
  <c r="O9" i="4" s="1"/>
  <c r="P9" i="4" s="1"/>
  <c r="Q9" i="4" s="1"/>
  <c r="R9" i="4" s="1"/>
  <c r="S9" i="4" s="1"/>
  <c r="T9" i="4" s="1"/>
  <c r="U9" i="4" s="1"/>
  <c r="V9" i="4" s="1"/>
  <c r="W9" i="4" s="1"/>
  <c r="X9" i="4" s="1"/>
  <c r="Y9" i="4" s="1"/>
  <c r="Z9" i="4" s="1"/>
  <c r="AA9" i="4" s="1"/>
  <c r="B74" i="4"/>
  <c r="F74" i="4" s="1"/>
  <c r="B8" i="4"/>
  <c r="C8" i="4" s="1"/>
  <c r="D8" i="4" s="1"/>
  <c r="E8" i="4" s="1"/>
  <c r="F8" i="4" s="1"/>
  <c r="G8" i="4" s="1"/>
  <c r="H8" i="4" s="1"/>
  <c r="I8" i="4" s="1"/>
  <c r="J8" i="4" s="1"/>
  <c r="K8" i="4" s="1"/>
  <c r="B7" i="4"/>
  <c r="C7" i="4" s="1"/>
  <c r="D7" i="4" s="1"/>
  <c r="E7" i="4" s="1"/>
  <c r="F7" i="4" s="1"/>
  <c r="G7" i="4" s="1"/>
  <c r="H7" i="4" s="1"/>
  <c r="I7" i="4" s="1"/>
  <c r="J7" i="4" s="1"/>
  <c r="K7" i="4" s="1"/>
  <c r="L7" i="4" s="1"/>
  <c r="M7" i="4" s="1"/>
  <c r="N7" i="4" s="1"/>
  <c r="O7" i="4" s="1"/>
  <c r="P7" i="4" s="1"/>
  <c r="Q7" i="4" s="1"/>
  <c r="V7" i="4" s="1"/>
  <c r="B6" i="4"/>
  <c r="C6" i="4" s="1"/>
  <c r="D6" i="4" s="1"/>
  <c r="E6" i="4" s="1"/>
  <c r="F6" i="4" s="1"/>
  <c r="G6" i="4" s="1"/>
  <c r="H6" i="4" s="1"/>
  <c r="I6" i="4" s="1"/>
  <c r="J6" i="4" s="1"/>
  <c r="K6" i="4" s="1"/>
  <c r="L6" i="4" s="1"/>
  <c r="M6" i="4" s="1"/>
  <c r="N6" i="4" s="1"/>
  <c r="O6" i="4" s="1"/>
  <c r="P6" i="4" s="1"/>
  <c r="Q6" i="4" s="1"/>
  <c r="R6" i="4" s="1"/>
  <c r="S6" i="4" s="1"/>
  <c r="T6" i="4" s="1"/>
  <c r="U6" i="4" s="1"/>
  <c r="V6" i="4" s="1"/>
  <c r="W6" i="4" s="1"/>
  <c r="X6" i="4" s="1"/>
  <c r="Y6" i="4" s="1"/>
  <c r="Z6" i="4" s="1"/>
  <c r="AA6" i="4" s="1"/>
  <c r="AB6" i="4" s="1"/>
  <c r="AC6" i="4" s="1"/>
  <c r="AD6" i="4" s="1"/>
  <c r="AE6" i="4" s="1"/>
  <c r="AF6" i="4" s="1"/>
  <c r="AG6" i="4" s="1"/>
  <c r="AH6" i="4" s="1"/>
  <c r="AI6" i="4" s="1"/>
  <c r="AJ6" i="4" s="1"/>
  <c r="AK6" i="4" s="1"/>
  <c r="AL6" i="4" s="1"/>
  <c r="AM6" i="4" s="1"/>
  <c r="AN6" i="4" s="1"/>
  <c r="B5" i="4"/>
  <c r="C5" i="4" s="1"/>
  <c r="D5" i="4" s="1"/>
  <c r="E5" i="4" s="1"/>
  <c r="F5" i="4" s="1"/>
  <c r="G5" i="4" s="1"/>
  <c r="H5" i="4" s="1"/>
  <c r="I5" i="4" s="1"/>
  <c r="J5" i="4" s="1"/>
  <c r="K5" i="4" s="1"/>
  <c r="L5" i="4" s="1"/>
  <c r="M5" i="4" s="1"/>
  <c r="N5" i="4" s="1"/>
  <c r="O5" i="4" s="1"/>
  <c r="P5" i="4" s="1"/>
  <c r="Q5" i="4" s="1"/>
  <c r="R5" i="4" s="1"/>
  <c r="S5" i="4" s="1"/>
  <c r="T5" i="4" s="1"/>
  <c r="U5" i="4" s="1"/>
  <c r="V5" i="4" s="1"/>
  <c r="W5" i="4" s="1"/>
  <c r="X5" i="4" s="1"/>
  <c r="Y5" i="4" s="1"/>
  <c r="Z5" i="4" s="1"/>
  <c r="AA5" i="4" s="1"/>
  <c r="AB5" i="4" s="1"/>
  <c r="AC5" i="4" s="1"/>
  <c r="AD5" i="4" s="1"/>
  <c r="AE5" i="4" s="1"/>
  <c r="AF5" i="4" s="1"/>
  <c r="AG5" i="4" s="1"/>
  <c r="AH5" i="4" s="1"/>
  <c r="AI5" i="4" s="1"/>
  <c r="AJ5" i="4" s="1"/>
  <c r="AK5" i="4" s="1"/>
  <c r="AL5" i="4" s="1"/>
  <c r="AM5" i="4" s="1"/>
  <c r="AN5" i="4" s="1"/>
  <c r="B75" i="4"/>
  <c r="I75" i="4" s="1"/>
  <c r="B4" i="4"/>
  <c r="C4" i="4" s="1"/>
  <c r="D4" i="4" s="1"/>
  <c r="E4" i="4" s="1"/>
  <c r="F4" i="4" s="1"/>
  <c r="G4" i="4" s="1"/>
  <c r="H4" i="4" s="1"/>
  <c r="I4" i="4" s="1"/>
  <c r="J4" i="4" s="1"/>
  <c r="K4" i="4" s="1"/>
  <c r="L4" i="4" s="1"/>
  <c r="M4" i="4" s="1"/>
  <c r="N4" i="4" s="1"/>
  <c r="O4" i="4" s="1"/>
  <c r="P4" i="4" s="1"/>
  <c r="Q4" i="4" s="1"/>
  <c r="R4" i="4" s="1"/>
  <c r="S4" i="4" s="1"/>
  <c r="T4" i="4" s="1"/>
  <c r="U4" i="4" s="1"/>
  <c r="B3" i="4"/>
  <c r="C3" i="4" s="1"/>
  <c r="D3" i="4" s="1"/>
  <c r="E3" i="4" s="1"/>
  <c r="F3" i="4" s="1"/>
  <c r="G3" i="4" s="1"/>
  <c r="H3" i="4" s="1"/>
  <c r="I3" i="4" s="1"/>
  <c r="J3" i="4" s="1"/>
  <c r="K3" i="4" s="1"/>
  <c r="L3" i="4" s="1"/>
  <c r="M3" i="4" s="1"/>
  <c r="N3" i="4" s="1"/>
  <c r="O3" i="4" s="1"/>
  <c r="P3" i="4" s="1"/>
  <c r="Q3" i="4" s="1"/>
  <c r="R3" i="4" s="1"/>
  <c r="S3" i="4" s="1"/>
  <c r="T3" i="4" s="1"/>
  <c r="U3" i="4" s="1"/>
  <c r="V3" i="4" s="1"/>
  <c r="W3" i="4" s="1"/>
  <c r="X3" i="4" s="1"/>
  <c r="Y3" i="4" s="1"/>
  <c r="Z3" i="4" s="1"/>
  <c r="AA3" i="4" s="1"/>
  <c r="AB3" i="4" s="1"/>
  <c r="AC3" i="4" s="1"/>
  <c r="B73" i="4"/>
  <c r="D73" i="4" s="1"/>
  <c r="B2" i="4"/>
  <c r="C2" i="4" s="1"/>
  <c r="D2" i="4" s="1"/>
  <c r="E2" i="4" s="1"/>
  <c r="F2" i="4" s="1"/>
  <c r="G2" i="4" s="1"/>
  <c r="H2" i="4" s="1"/>
  <c r="I2" i="4" s="1"/>
  <c r="J2" i="4" s="1"/>
  <c r="K2" i="4" s="1"/>
  <c r="L2" i="4" s="1"/>
  <c r="M2" i="4" s="1"/>
  <c r="N2" i="4" s="1"/>
  <c r="O2" i="4" s="1"/>
  <c r="P2" i="4" s="1"/>
  <c r="Q2" i="4" s="1"/>
  <c r="R2" i="4" s="1"/>
  <c r="S2" i="4" s="1"/>
  <c r="T2" i="4" s="1"/>
  <c r="U2" i="4" s="1"/>
  <c r="V2" i="4" s="1"/>
  <c r="W2" i="4" s="1"/>
  <c r="X2" i="4" s="1"/>
  <c r="Y2" i="4" s="1"/>
  <c r="Z2" i="4" s="1"/>
  <c r="AA2" i="4" s="1"/>
  <c r="AB2" i="4" s="1"/>
  <c r="AC2" i="4" s="1"/>
  <c r="AD2" i="4" s="1"/>
  <c r="AE2" i="4" s="1"/>
  <c r="AF2" i="4" s="1"/>
  <c r="AG2" i="4" s="1"/>
  <c r="AH2" i="4" s="1"/>
  <c r="AI2" i="4" s="1"/>
  <c r="AJ2" i="4" s="1"/>
  <c r="AK2" i="4" s="1"/>
  <c r="AL2" i="4" s="1"/>
  <c r="AM2" i="4" s="1"/>
  <c r="AN2" i="4" s="1"/>
  <c r="X30" i="16" l="1"/>
  <c r="T89" i="23"/>
  <c r="U19" i="18"/>
  <c r="T17" i="19"/>
  <c r="T2" i="19"/>
  <c r="U4" i="18"/>
  <c r="F89" i="17"/>
  <c r="V47" i="22"/>
  <c r="U45" i="23"/>
  <c r="T34" i="19"/>
  <c r="U36" i="18"/>
  <c r="V29" i="22"/>
  <c r="U27" i="23"/>
  <c r="U60" i="18"/>
  <c r="T58" i="19"/>
  <c r="V40" i="6"/>
  <c r="W41" i="5"/>
  <c r="U65" i="18"/>
  <c r="T63" i="19"/>
  <c r="U55" i="18"/>
  <c r="T53" i="19"/>
  <c r="Z44" i="22"/>
  <c r="T7" i="19"/>
  <c r="U9" i="18"/>
  <c r="U32" i="19"/>
  <c r="V34" i="18"/>
  <c r="S17" i="6"/>
  <c r="T18" i="5"/>
  <c r="T17" i="6" s="1"/>
  <c r="AS24" i="7" s="1"/>
  <c r="U28" i="23"/>
  <c r="V30" i="22"/>
  <c r="U66" i="19"/>
  <c r="V68" i="18"/>
  <c r="U35" i="17"/>
  <c r="V37" i="16"/>
  <c r="U11" i="18"/>
  <c r="T9" i="19"/>
  <c r="T58" i="6"/>
  <c r="K24" i="7" s="1"/>
  <c r="U59" i="5"/>
  <c r="T43" i="8"/>
  <c r="T8" i="8"/>
  <c r="T38" i="8"/>
  <c r="T15" i="8"/>
  <c r="T21" i="7"/>
  <c r="T11" i="7"/>
  <c r="AX24" i="7"/>
  <c r="F24" i="7"/>
  <c r="T40" i="7"/>
  <c r="T32" i="7"/>
  <c r="AT24" i="7"/>
  <c r="T67" i="7"/>
  <c r="T2" i="10"/>
  <c r="T4" i="10" s="1"/>
  <c r="T21" i="15"/>
  <c r="I26" i="10"/>
  <c r="T10" i="10"/>
  <c r="T84" i="6"/>
  <c r="E92" i="6"/>
  <c r="T82" i="6"/>
  <c r="T83" i="6"/>
  <c r="I92" i="6"/>
  <c r="M58" i="6"/>
  <c r="N59" i="5"/>
  <c r="N58" i="6" s="1"/>
  <c r="B26" i="8"/>
  <c r="T44" i="8"/>
  <c r="T10" i="8"/>
  <c r="T19" i="8"/>
  <c r="AO26" i="8"/>
  <c r="AN26" i="8"/>
  <c r="T31" i="8"/>
  <c r="T40" i="8"/>
  <c r="AC26" i="8"/>
  <c r="AW24" i="7"/>
  <c r="T6" i="7"/>
  <c r="T19" i="7"/>
  <c r="BC24" i="7"/>
  <c r="BG24" i="7"/>
  <c r="AY24" i="7"/>
  <c r="AQ24" i="7"/>
  <c r="T53" i="7"/>
  <c r="T20" i="7"/>
  <c r="P24" i="7"/>
  <c r="AZ24" i="7"/>
  <c r="T32" i="15"/>
  <c r="BI24" i="7"/>
  <c r="T19" i="15"/>
  <c r="T9" i="15"/>
  <c r="Y26" i="15"/>
  <c r="T11" i="15"/>
  <c r="BL24" i="7"/>
  <c r="B26" i="15"/>
  <c r="E26" i="10"/>
  <c r="T31" i="15"/>
  <c r="K26" i="10"/>
  <c r="T12" i="10"/>
  <c r="T10" i="15"/>
  <c r="T22" i="15"/>
  <c r="T98" i="6"/>
  <c r="Z92" i="6"/>
  <c r="T85" i="6"/>
  <c r="B92" i="6"/>
  <c r="AA92" i="6"/>
  <c r="AK24" i="7"/>
  <c r="T46" i="8"/>
  <c r="T34" i="8"/>
  <c r="T35" i="8"/>
  <c r="T11" i="8"/>
  <c r="AG26" i="8"/>
  <c r="AF26" i="8"/>
  <c r="AM26" i="8"/>
  <c r="T32" i="8"/>
  <c r="BM24" i="7"/>
  <c r="AG24" i="7"/>
  <c r="BE24" i="7"/>
  <c r="T30" i="7"/>
  <c r="T71" i="7"/>
  <c r="T42" i="7"/>
  <c r="AA24" i="7"/>
  <c r="T68" i="7"/>
  <c r="D24" i="7"/>
  <c r="T36" i="7"/>
  <c r="AB24" i="7"/>
  <c r="M24" i="7"/>
  <c r="BD24" i="7"/>
  <c r="T24" i="7"/>
  <c r="T24" i="10"/>
  <c r="T16" i="15"/>
  <c r="T8" i="15"/>
  <c r="T24" i="15"/>
  <c r="S26" i="10"/>
  <c r="T13" i="15"/>
  <c r="T23" i="10"/>
  <c r="H26" i="10"/>
  <c r="P26" i="10"/>
  <c r="T18" i="10"/>
  <c r="B26" i="10"/>
  <c r="T19" i="10"/>
  <c r="C92" i="6"/>
  <c r="H92" i="6"/>
  <c r="T75" i="6"/>
  <c r="Y92" i="6"/>
  <c r="Q92" i="6"/>
  <c r="T79" i="6"/>
  <c r="AK26" i="8"/>
  <c r="T41" i="7"/>
  <c r="T42" i="8"/>
  <c r="AJ26" i="8"/>
  <c r="AH26" i="8"/>
  <c r="Y26" i="8"/>
  <c r="AE26" i="8"/>
  <c r="AL26" i="8"/>
  <c r="M26" i="8"/>
  <c r="T54" i="7"/>
  <c r="AO24" i="7"/>
  <c r="C24" i="7"/>
  <c r="T14" i="7"/>
  <c r="AP24" i="7"/>
  <c r="BO24" i="7"/>
  <c r="T31" i="7"/>
  <c r="T8" i="7"/>
  <c r="AF24" i="7"/>
  <c r="AN24" i="7"/>
  <c r="T66" i="7"/>
  <c r="T33" i="7"/>
  <c r="BJ24" i="7"/>
  <c r="AU24" i="7"/>
  <c r="T17" i="15"/>
  <c r="T17" i="10"/>
  <c r="T51" i="7"/>
  <c r="T18" i="15"/>
  <c r="T25" i="10"/>
  <c r="T22" i="10"/>
  <c r="T69" i="7"/>
  <c r="L26" i="10"/>
  <c r="T26" i="10"/>
  <c r="T8" i="10"/>
  <c r="M26" i="15"/>
  <c r="T69" i="6"/>
  <c r="T72" i="6" s="1"/>
  <c r="P92" i="6"/>
  <c r="M92" i="6"/>
  <c r="J92" i="6"/>
  <c r="G92" i="6"/>
  <c r="D92" i="6"/>
  <c r="V9" i="20"/>
  <c r="U7" i="21"/>
  <c r="Z7" i="16"/>
  <c r="Z5" i="17" s="1"/>
  <c r="Y5" i="17"/>
  <c r="AA7" i="16"/>
  <c r="AA5" i="17" s="1"/>
  <c r="X60" i="20"/>
  <c r="W58" i="21"/>
  <c r="T51" i="19"/>
  <c r="U53" i="18"/>
  <c r="U32" i="16"/>
  <c r="T30" i="17"/>
  <c r="X21" i="22"/>
  <c r="W19" i="23"/>
  <c r="U25" i="16"/>
  <c r="T23" i="17"/>
  <c r="U22" i="18"/>
  <c r="T20" i="19"/>
  <c r="V64" i="20"/>
  <c r="U62" i="21"/>
  <c r="Y38" i="20"/>
  <c r="X36" i="21"/>
  <c r="W36" i="23"/>
  <c r="X38" i="22"/>
  <c r="U9" i="17"/>
  <c r="V11" i="16"/>
  <c r="W61" i="20"/>
  <c r="V59" i="21"/>
  <c r="AA67" i="18"/>
  <c r="AA65" i="19" s="1"/>
  <c r="Z65" i="19"/>
  <c r="T27" i="19"/>
  <c r="U29" i="18"/>
  <c r="X5" i="16"/>
  <c r="W3" i="17"/>
  <c r="U25" i="19"/>
  <c r="V27" i="18"/>
  <c r="V25" i="19" s="1"/>
  <c r="W15" i="23"/>
  <c r="X17" i="22"/>
  <c r="V63" i="20"/>
  <c r="U61" i="21"/>
  <c r="U38" i="18"/>
  <c r="T36" i="19"/>
  <c r="S80" i="17"/>
  <c r="S72" i="17"/>
  <c r="J89" i="17"/>
  <c r="H89" i="17"/>
  <c r="P89" i="17"/>
  <c r="U29" i="16"/>
  <c r="T27" i="17"/>
  <c r="T35" i="19"/>
  <c r="U37" i="18"/>
  <c r="X5" i="20"/>
  <c r="W3" i="21"/>
  <c r="V18" i="19"/>
  <c r="W20" i="18"/>
  <c r="Y7" i="22"/>
  <c r="X5" i="23"/>
  <c r="V47" i="18"/>
  <c r="U45" i="19"/>
  <c r="Z28" i="21"/>
  <c r="AA30" i="20"/>
  <c r="AA28" i="21" s="1"/>
  <c r="U32" i="18"/>
  <c r="T30" i="19"/>
  <c r="T52" i="17"/>
  <c r="U54" i="16"/>
  <c r="P89" i="19"/>
  <c r="F89" i="19"/>
  <c r="N89" i="19"/>
  <c r="O89" i="19"/>
  <c r="S78" i="19"/>
  <c r="S86" i="19"/>
  <c r="D89" i="19"/>
  <c r="S89" i="19"/>
  <c r="S79" i="19"/>
  <c r="I89" i="19"/>
  <c r="G89" i="19"/>
  <c r="E89" i="19"/>
  <c r="S73" i="19"/>
  <c r="S80" i="19"/>
  <c r="Q89" i="19"/>
  <c r="L89" i="19"/>
  <c r="S74" i="19"/>
  <c r="S81" i="19"/>
  <c r="K89" i="19"/>
  <c r="S72" i="19"/>
  <c r="S82" i="19"/>
  <c r="J89" i="19"/>
  <c r="S68" i="19"/>
  <c r="S70" i="19" s="1"/>
  <c r="S75" i="19"/>
  <c r="S83" i="19"/>
  <c r="R89" i="19"/>
  <c r="B89" i="19"/>
  <c r="M89" i="19"/>
  <c r="S76" i="19"/>
  <c r="S84" i="19"/>
  <c r="H89" i="19"/>
  <c r="C89" i="19"/>
  <c r="S77" i="19"/>
  <c r="S85" i="19"/>
  <c r="S87" i="19"/>
  <c r="U58" i="23"/>
  <c r="V60" i="22"/>
  <c r="U13" i="16"/>
  <c r="T11" i="17"/>
  <c r="T63" i="17"/>
  <c r="U65" i="16"/>
  <c r="T59" i="19"/>
  <c r="U61" i="18"/>
  <c r="Y27" i="18"/>
  <c r="X25" i="19"/>
  <c r="U23" i="18"/>
  <c r="T21" i="19"/>
  <c r="W11" i="20"/>
  <c r="V9" i="21"/>
  <c r="U13" i="23"/>
  <c r="V15" i="22"/>
  <c r="T56" i="19"/>
  <c r="U58" i="18"/>
  <c r="W45" i="22"/>
  <c r="V43" i="23"/>
  <c r="X14" i="20"/>
  <c r="W12" i="21"/>
  <c r="V42" i="20"/>
  <c r="U40" i="21"/>
  <c r="S87" i="17"/>
  <c r="S79" i="17"/>
  <c r="I89" i="17"/>
  <c r="B89" i="17"/>
  <c r="U25" i="17"/>
  <c r="V27" i="16"/>
  <c r="U24" i="18"/>
  <c r="T22" i="19"/>
  <c r="Z46" i="20"/>
  <c r="W44" i="21"/>
  <c r="V20" i="20"/>
  <c r="U18" i="21"/>
  <c r="U22" i="23"/>
  <c r="V24" i="22"/>
  <c r="W63" i="18"/>
  <c r="V61" i="19"/>
  <c r="W42" i="23"/>
  <c r="X44" i="22"/>
  <c r="X42" i="23" s="1"/>
  <c r="AA44" i="20"/>
  <c r="AA42" i="21" s="1"/>
  <c r="Z42" i="21"/>
  <c r="W22" i="20"/>
  <c r="V20" i="21"/>
  <c r="U34" i="17"/>
  <c r="V36" i="16"/>
  <c r="X15" i="17"/>
  <c r="Y17" i="16"/>
  <c r="V36" i="20"/>
  <c r="U34" i="21"/>
  <c r="T3" i="19"/>
  <c r="U5" i="18"/>
  <c r="W54" i="20"/>
  <c r="V52" i="21"/>
  <c r="V50" i="20"/>
  <c r="U48" i="21"/>
  <c r="Y53" i="16"/>
  <c r="X51" i="17"/>
  <c r="V52" i="20"/>
  <c r="U50" i="21"/>
  <c r="V66" i="20"/>
  <c r="U64" i="21"/>
  <c r="W53" i="20"/>
  <c r="V51" i="21"/>
  <c r="W15" i="20"/>
  <c r="V13" i="21"/>
  <c r="X31" i="20"/>
  <c r="W29" i="21"/>
  <c r="U62" i="18"/>
  <c r="T60" i="19"/>
  <c r="W13" i="20"/>
  <c r="V11" i="21"/>
  <c r="V9" i="23"/>
  <c r="W11" i="22"/>
  <c r="U46" i="18"/>
  <c r="T44" i="19"/>
  <c r="T47" i="17"/>
  <c r="U49" i="16"/>
  <c r="X57" i="16"/>
  <c r="X55" i="17" s="1"/>
  <c r="W55" i="17"/>
  <c r="W46" i="22"/>
  <c r="V44" i="23"/>
  <c r="Y46" i="22"/>
  <c r="Y44" i="23" s="1"/>
  <c r="U26" i="23"/>
  <c r="V28" i="22"/>
  <c r="V16" i="20"/>
  <c r="U14" i="21"/>
  <c r="S86" i="17"/>
  <c r="S78" i="17"/>
  <c r="R89" i="17"/>
  <c r="O89" i="17"/>
  <c r="M89" i="17"/>
  <c r="T54" i="17"/>
  <c r="U56" i="16"/>
  <c r="U52" i="23"/>
  <c r="V54" i="22"/>
  <c r="V66" i="16"/>
  <c r="U64" i="17"/>
  <c r="W25" i="20"/>
  <c r="V23" i="21"/>
  <c r="AA44" i="18"/>
  <c r="AA42" i="19" s="1"/>
  <c r="Z42" i="19"/>
  <c r="U48" i="16"/>
  <c r="T46" i="17"/>
  <c r="U58" i="16"/>
  <c r="T56" i="17"/>
  <c r="V56" i="18"/>
  <c r="U54" i="19"/>
  <c r="U3" i="23"/>
  <c r="V5" i="22"/>
  <c r="W64" i="16"/>
  <c r="V62" i="17"/>
  <c r="V53" i="23"/>
  <c r="W55" i="22"/>
  <c r="T12" i="19"/>
  <c r="U14" i="18"/>
  <c r="V17" i="23"/>
  <c r="W19" i="22"/>
  <c r="V43" i="16"/>
  <c r="U41" i="17"/>
  <c r="W21" i="20"/>
  <c r="V19" i="21"/>
  <c r="V32" i="20"/>
  <c r="U30" i="21"/>
  <c r="T53" i="17"/>
  <c r="U55" i="16"/>
  <c r="W51" i="22"/>
  <c r="V49" i="23"/>
  <c r="U54" i="18"/>
  <c r="T52" i="19"/>
  <c r="Y30" i="16"/>
  <c r="X28" i="17"/>
  <c r="V31" i="23"/>
  <c r="W33" i="22"/>
  <c r="V15" i="21"/>
  <c r="Z17" i="20"/>
  <c r="T4" i="19"/>
  <c r="U6" i="18"/>
  <c r="U18" i="17"/>
  <c r="V20" i="16"/>
  <c r="S85" i="17"/>
  <c r="S77" i="17"/>
  <c r="D89" i="17"/>
  <c r="S68" i="17"/>
  <c r="S70" i="17" s="1"/>
  <c r="G89" i="17"/>
  <c r="E89" i="17"/>
  <c r="V31" i="22"/>
  <c r="U29" i="23"/>
  <c r="V49" i="17"/>
  <c r="W51" i="16"/>
  <c r="U41" i="23"/>
  <c r="V43" i="22"/>
  <c r="T14" i="17"/>
  <c r="U16" i="16"/>
  <c r="X7" i="18"/>
  <c r="U5" i="19"/>
  <c r="V7" i="18"/>
  <c r="V5" i="19" s="1"/>
  <c r="AA44" i="22"/>
  <c r="AA42" i="23" s="1"/>
  <c r="Z42" i="23"/>
  <c r="W33" i="20"/>
  <c r="V31" i="21"/>
  <c r="V21" i="23"/>
  <c r="W23" i="22"/>
  <c r="V35" i="20"/>
  <c r="U33" i="21"/>
  <c r="V28" i="20"/>
  <c r="U26" i="21"/>
  <c r="V68" i="20"/>
  <c r="U66" i="21"/>
  <c r="V23" i="19"/>
  <c r="W25" i="18"/>
  <c r="V58" i="20"/>
  <c r="U56" i="21"/>
  <c r="W34" i="20"/>
  <c r="V32" i="21"/>
  <c r="V19" i="20"/>
  <c r="U17" i="21"/>
  <c r="U59" i="17"/>
  <c r="V61" i="16"/>
  <c r="V23" i="20"/>
  <c r="U21" i="21"/>
  <c r="V22" i="16"/>
  <c r="U20" i="17"/>
  <c r="V32" i="22"/>
  <c r="U30" i="23"/>
  <c r="V48" i="20"/>
  <c r="U46" i="21"/>
  <c r="V11" i="23"/>
  <c r="W13" i="22"/>
  <c r="V51" i="20"/>
  <c r="U49" i="21"/>
  <c r="V24" i="20"/>
  <c r="U22" i="21"/>
  <c r="V56" i="20"/>
  <c r="U54" i="21"/>
  <c r="T60" i="17"/>
  <c r="U62" i="16"/>
  <c r="U66" i="23"/>
  <c r="V68" i="22"/>
  <c r="U9" i="16"/>
  <c r="T7" i="17"/>
  <c r="U20" i="23"/>
  <c r="V22" i="22"/>
  <c r="T12" i="17"/>
  <c r="U14" i="16"/>
  <c r="C90" i="23"/>
  <c r="K90" i="23"/>
  <c r="S90" i="23"/>
  <c r="D90" i="23"/>
  <c r="L90" i="23"/>
  <c r="T90" i="23"/>
  <c r="E90" i="23"/>
  <c r="M90" i="23"/>
  <c r="F90" i="23"/>
  <c r="N90" i="23"/>
  <c r="T68" i="23"/>
  <c r="T70" i="23" s="1"/>
  <c r="G90" i="23"/>
  <c r="H90" i="23"/>
  <c r="I90" i="23"/>
  <c r="P90" i="23"/>
  <c r="J90" i="23"/>
  <c r="R90" i="23"/>
  <c r="B90" i="23"/>
  <c r="Q90" i="23"/>
  <c r="O90" i="23"/>
  <c r="T72" i="23"/>
  <c r="T73" i="23"/>
  <c r="T74" i="23"/>
  <c r="T75" i="23"/>
  <c r="T76" i="23"/>
  <c r="T77" i="23"/>
  <c r="T78" i="23"/>
  <c r="T79" i="23"/>
  <c r="T80" i="23"/>
  <c r="T81" i="23"/>
  <c r="T82" i="23"/>
  <c r="T83" i="23"/>
  <c r="T84" i="23"/>
  <c r="T85" i="23"/>
  <c r="T86" i="23"/>
  <c r="T87" i="23"/>
  <c r="T88" i="23"/>
  <c r="W28" i="16"/>
  <c r="V26" i="17"/>
  <c r="Z57" i="16"/>
  <c r="Z55" i="17" s="1"/>
  <c r="Y55" i="17"/>
  <c r="AA57" i="16"/>
  <c r="AA55" i="17" s="1"/>
  <c r="U47" i="19"/>
  <c r="V49" i="18"/>
  <c r="V33" i="17"/>
  <c r="W35" i="16"/>
  <c r="S84" i="17"/>
  <c r="S76" i="17"/>
  <c r="Q89" i="17"/>
  <c r="V56" i="23"/>
  <c r="W58" i="22"/>
  <c r="T43" i="17"/>
  <c r="U45" i="16"/>
  <c r="U11" i="19"/>
  <c r="V13" i="18"/>
  <c r="Z67" i="22"/>
  <c r="Y65" i="23"/>
  <c r="U63" i="23"/>
  <c r="V65" i="22"/>
  <c r="V39" i="23"/>
  <c r="W41" i="22"/>
  <c r="U33" i="19"/>
  <c r="V35" i="18"/>
  <c r="V63" i="22"/>
  <c r="U61" i="23"/>
  <c r="U34" i="23"/>
  <c r="V36" i="22"/>
  <c r="U14" i="23"/>
  <c r="V16" i="22"/>
  <c r="V25" i="22"/>
  <c r="U23" i="23"/>
  <c r="X54" i="23"/>
  <c r="Y56" i="22"/>
  <c r="U25" i="23"/>
  <c r="V27" i="22"/>
  <c r="T13" i="19"/>
  <c r="U15" i="18"/>
  <c r="S88" i="19"/>
  <c r="T40" i="19"/>
  <c r="U42" i="18"/>
  <c r="U31" i="18"/>
  <c r="T29" i="19"/>
  <c r="U46" i="23"/>
  <c r="V48" i="22"/>
  <c r="T21" i="17"/>
  <c r="U23" i="16"/>
  <c r="U2" i="23"/>
  <c r="X4" i="22"/>
  <c r="V4" i="22"/>
  <c r="V42" i="16"/>
  <c r="U40" i="17"/>
  <c r="Y17" i="20"/>
  <c r="Y15" i="21" s="1"/>
  <c r="X15" i="21"/>
  <c r="Y6" i="20"/>
  <c r="X4" i="21"/>
  <c r="U66" i="17"/>
  <c r="V68" i="16"/>
  <c r="S83" i="17"/>
  <c r="S75" i="17"/>
  <c r="S89" i="17"/>
  <c r="V27" i="20"/>
  <c r="V25" i="21" s="1"/>
  <c r="U25" i="21"/>
  <c r="X66" i="22"/>
  <c r="W64" i="23"/>
  <c r="V49" i="20"/>
  <c r="U47" i="21"/>
  <c r="X39" i="17"/>
  <c r="Y41" i="16"/>
  <c r="U58" i="17"/>
  <c r="V60" i="16"/>
  <c r="U50" i="17"/>
  <c r="V52" i="16"/>
  <c r="X21" i="16"/>
  <c r="W19" i="17"/>
  <c r="V47" i="23"/>
  <c r="W49" i="22"/>
  <c r="Z12" i="16"/>
  <c r="Y10" i="17"/>
  <c r="U31" i="17"/>
  <c r="V33" i="16"/>
  <c r="V43" i="20"/>
  <c r="U41" i="21"/>
  <c r="V52" i="22"/>
  <c r="U50" i="23"/>
  <c r="U14" i="19"/>
  <c r="V16" i="18"/>
  <c r="V62" i="20"/>
  <c r="U60" i="21"/>
  <c r="W51" i="19"/>
  <c r="X53" i="18"/>
  <c r="W31" i="16"/>
  <c r="V29" i="17"/>
  <c r="W14" i="22"/>
  <c r="V12" i="23"/>
  <c r="T43" i="19"/>
  <c r="U45" i="18"/>
  <c r="W45" i="20"/>
  <c r="V43" i="21"/>
  <c r="Z37" i="23"/>
  <c r="AA39" i="22"/>
  <c r="AA37" i="23" s="1"/>
  <c r="V6" i="22"/>
  <c r="U4" i="23"/>
  <c r="W20" i="19"/>
  <c r="X22" i="18"/>
  <c r="U61" i="17"/>
  <c r="V63" i="16"/>
  <c r="T31" i="19"/>
  <c r="U33" i="18"/>
  <c r="W38" i="16"/>
  <c r="V36" i="17"/>
  <c r="X51" i="18"/>
  <c r="W49" i="19"/>
  <c r="V47" i="20"/>
  <c r="U45" i="21"/>
  <c r="X40" i="22"/>
  <c r="W38" i="23"/>
  <c r="U50" i="18"/>
  <c r="T48" i="19"/>
  <c r="U19" i="19"/>
  <c r="V21" i="18"/>
  <c r="D90" i="21"/>
  <c r="L90" i="21"/>
  <c r="T90" i="21"/>
  <c r="E90" i="21"/>
  <c r="M90" i="21"/>
  <c r="F90" i="21"/>
  <c r="N90" i="21"/>
  <c r="I90" i="21"/>
  <c r="Q90" i="21"/>
  <c r="P90" i="21"/>
  <c r="R90" i="21"/>
  <c r="C90" i="21"/>
  <c r="S90" i="21"/>
  <c r="J90" i="21"/>
  <c r="B90" i="21"/>
  <c r="K90" i="21"/>
  <c r="G90" i="21"/>
  <c r="O90" i="21"/>
  <c r="T68" i="21"/>
  <c r="T70" i="21" s="1"/>
  <c r="H90" i="21"/>
  <c r="T72" i="21"/>
  <c r="T73" i="21"/>
  <c r="T74" i="21"/>
  <c r="T75" i="21"/>
  <c r="T76" i="21"/>
  <c r="T77" i="21"/>
  <c r="T78" i="21"/>
  <c r="T79" i="21"/>
  <c r="T80" i="21"/>
  <c r="T81" i="21"/>
  <c r="T82" i="21"/>
  <c r="T83" i="21"/>
  <c r="T84" i="21"/>
  <c r="T85" i="21"/>
  <c r="T86" i="21"/>
  <c r="T87" i="21"/>
  <c r="T88" i="21"/>
  <c r="V35" i="23"/>
  <c r="W37" i="22"/>
  <c r="W4" i="16"/>
  <c r="V2" i="17"/>
  <c r="W15" i="19"/>
  <c r="X17" i="18"/>
  <c r="T89" i="21"/>
  <c r="X65" i="20"/>
  <c r="W63" i="21"/>
  <c r="U32" i="23"/>
  <c r="V34" i="22"/>
  <c r="V43" i="18"/>
  <c r="U41" i="19"/>
  <c r="T64" i="19"/>
  <c r="U66" i="18"/>
  <c r="S82" i="17"/>
  <c r="S74" i="17"/>
  <c r="K89" i="17"/>
  <c r="N89" i="17"/>
  <c r="U38" i="17"/>
  <c r="V40" i="16"/>
  <c r="X37" i="17"/>
  <c r="Y39" i="16"/>
  <c r="Z12" i="22"/>
  <c r="V10" i="23"/>
  <c r="W29" i="20"/>
  <c r="V27" i="21"/>
  <c r="V35" i="22"/>
  <c r="U33" i="23"/>
  <c r="V60" i="23"/>
  <c r="W62" i="22"/>
  <c r="U18" i="23"/>
  <c r="V20" i="22"/>
  <c r="U50" i="19"/>
  <c r="V52" i="18"/>
  <c r="U34" i="16"/>
  <c r="T32" i="17"/>
  <c r="U40" i="23"/>
  <c r="V42" i="22"/>
  <c r="V54" i="23"/>
  <c r="W56" i="22"/>
  <c r="W54" i="23" s="1"/>
  <c r="T44" i="17"/>
  <c r="U46" i="16"/>
  <c r="U64" i="18"/>
  <c r="T62" i="19"/>
  <c r="V6" i="16"/>
  <c r="U4" i="17"/>
  <c r="U40" i="18"/>
  <c r="T38" i="19"/>
  <c r="U50" i="16"/>
  <c r="T48" i="17"/>
  <c r="V64" i="22"/>
  <c r="U62" i="23"/>
  <c r="U59" i="23"/>
  <c r="V61" i="22"/>
  <c r="V26" i="19"/>
  <c r="W28" i="18"/>
  <c r="U17" i="17"/>
  <c r="V19" i="16"/>
  <c r="V53" i="22"/>
  <c r="U51" i="23"/>
  <c r="U46" i="19"/>
  <c r="V48" i="18"/>
  <c r="V40" i="20"/>
  <c r="U38" i="21"/>
  <c r="U47" i="16"/>
  <c r="T45" i="17"/>
  <c r="U2" i="21"/>
  <c r="V4" i="20"/>
  <c r="Z12" i="20"/>
  <c r="Y10" i="21"/>
  <c r="S88" i="17"/>
  <c r="V55" i="20"/>
  <c r="U53" i="21"/>
  <c r="V28" i="19"/>
  <c r="W30" i="18"/>
  <c r="AA39" i="20"/>
  <c r="AA37" i="21" s="1"/>
  <c r="Z37" i="21"/>
  <c r="V50" i="22"/>
  <c r="U48" i="23"/>
  <c r="U7" i="23"/>
  <c r="V9" i="22"/>
  <c r="S81" i="17"/>
  <c r="S73" i="17"/>
  <c r="L89" i="17"/>
  <c r="C89" i="17"/>
  <c r="AA41" i="18"/>
  <c r="AA39" i="19" s="1"/>
  <c r="Z39" i="19"/>
  <c r="U22" i="17"/>
  <c r="V24" i="16"/>
  <c r="W13" i="17"/>
  <c r="X15" i="16"/>
  <c r="W10" i="23"/>
  <c r="X12" i="22"/>
  <c r="X37" i="20"/>
  <c r="W35" i="21"/>
  <c r="AO32" i="4"/>
  <c r="AP32" i="4" s="1"/>
  <c r="AQ32" i="4" s="1"/>
  <c r="AR32" i="4" s="1"/>
  <c r="AS32" i="4" s="1"/>
  <c r="AT32" i="4" s="1"/>
  <c r="BN32" i="4"/>
  <c r="BH32" i="4"/>
  <c r="BG32" i="4"/>
  <c r="BO32" i="4"/>
  <c r="BJ32" i="4"/>
  <c r="BP32" i="4"/>
  <c r="BK32" i="4"/>
  <c r="BI32" i="4"/>
  <c r="BL32" i="4"/>
  <c r="BM32" i="4"/>
  <c r="AU32" i="4"/>
  <c r="BE32" i="4"/>
  <c r="BA32" i="4"/>
  <c r="AA40" i="4"/>
  <c r="AL40" i="4"/>
  <c r="AO5" i="4"/>
  <c r="AP5" i="4" s="1"/>
  <c r="AQ5" i="4" s="1"/>
  <c r="AR5" i="4" s="1"/>
  <c r="AS5" i="4" s="1"/>
  <c r="AT5" i="4" s="1"/>
  <c r="AU5" i="4" s="1"/>
  <c r="AV5" i="4" s="1"/>
  <c r="AW5" i="4" s="1"/>
  <c r="AX5" i="4" s="1"/>
  <c r="AY5" i="4" s="1"/>
  <c r="AZ5" i="4" s="1"/>
  <c r="BA5" i="4" s="1"/>
  <c r="BB5" i="4" s="1"/>
  <c r="BC5" i="4" s="1"/>
  <c r="BD5" i="4" s="1"/>
  <c r="BF5" i="4"/>
  <c r="BK5" i="4"/>
  <c r="BP5" i="4"/>
  <c r="BO5" i="4"/>
  <c r="BN5" i="4"/>
  <c r="BG5" i="4"/>
  <c r="BM5" i="4"/>
  <c r="BL5" i="4"/>
  <c r="BI5" i="4"/>
  <c r="BH5" i="4"/>
  <c r="BE5" i="4"/>
  <c r="AB19" i="4"/>
  <c r="AC19" i="4" s="1"/>
  <c r="AM19" i="4"/>
  <c r="AR19" i="4"/>
  <c r="AA33" i="4"/>
  <c r="AL33" i="4"/>
  <c r="AB49" i="4"/>
  <c r="AC49" i="4" s="1"/>
  <c r="AM49" i="4"/>
  <c r="AR49" i="4"/>
  <c r="AO64" i="4"/>
  <c r="AP64" i="4" s="1"/>
  <c r="AQ64" i="4" s="1"/>
  <c r="AR64" i="4" s="1"/>
  <c r="AS64" i="4" s="1"/>
  <c r="AT64" i="4" s="1"/>
  <c r="AU64" i="4" s="1"/>
  <c r="AV64" i="4" s="1"/>
  <c r="AW64" i="4" s="1"/>
  <c r="AX64" i="4" s="1"/>
  <c r="BK64" i="4"/>
  <c r="BO64" i="4"/>
  <c r="BP64" i="4"/>
  <c r="BL64" i="4"/>
  <c r="BH64" i="4"/>
  <c r="BI64" i="4"/>
  <c r="BN64" i="4"/>
  <c r="BM64" i="4"/>
  <c r="BJ64" i="4"/>
  <c r="BG64" i="4"/>
  <c r="BB64" i="4"/>
  <c r="BD64" i="4"/>
  <c r="AY64" i="4"/>
  <c r="BA64" i="4"/>
  <c r="AO6" i="4"/>
  <c r="AP6" i="4" s="1"/>
  <c r="AQ6" i="4" s="1"/>
  <c r="AR6" i="4" s="1"/>
  <c r="AS6" i="4" s="1"/>
  <c r="AT6" i="4" s="1"/>
  <c r="AU6" i="4" s="1"/>
  <c r="AV6" i="4" s="1"/>
  <c r="AW6" i="4" s="1"/>
  <c r="AX6" i="4" s="1"/>
  <c r="AY6" i="4" s="1"/>
  <c r="AZ6" i="4" s="1"/>
  <c r="BA6" i="4" s="1"/>
  <c r="BB6" i="4" s="1"/>
  <c r="BC6" i="4" s="1"/>
  <c r="BD6" i="4" s="1"/>
  <c r="BE6" i="4" s="1"/>
  <c r="BF6" i="4" s="1"/>
  <c r="BG6" i="4" s="1"/>
  <c r="BH6" i="4" s="1"/>
  <c r="BI6" i="4" s="1"/>
  <c r="BJ6" i="4" s="1"/>
  <c r="BK6" i="4" s="1"/>
  <c r="BL6" i="4" s="1"/>
  <c r="BM6" i="4" s="1"/>
  <c r="BN6" i="4" s="1"/>
  <c r="BP6" i="4"/>
  <c r="BO6" i="4"/>
  <c r="AB42" i="4"/>
  <c r="AC42" i="4" s="1"/>
  <c r="AD42" i="4" s="1"/>
  <c r="AE42" i="4" s="1"/>
  <c r="AF42" i="4" s="1"/>
  <c r="AG42" i="4" s="1"/>
  <c r="AH42" i="4" s="1"/>
  <c r="AI42" i="4" s="1"/>
  <c r="AJ42" i="4" s="1"/>
  <c r="AK42" i="4" s="1"/>
  <c r="AL42" i="4" s="1"/>
  <c r="AS42" i="4"/>
  <c r="AM42" i="4"/>
  <c r="AB56" i="4"/>
  <c r="AC56" i="4" s="1"/>
  <c r="AR56" i="4"/>
  <c r="AM56" i="4"/>
  <c r="AA28" i="4"/>
  <c r="AL28" i="4"/>
  <c r="AO29" i="4"/>
  <c r="AP29" i="4" s="1"/>
  <c r="AQ29" i="4" s="1"/>
  <c r="AR29" i="4" s="1"/>
  <c r="AS29" i="4" s="1"/>
  <c r="AT29" i="4" s="1"/>
  <c r="AU29" i="4" s="1"/>
  <c r="AV29" i="4" s="1"/>
  <c r="AW29" i="4" s="1"/>
  <c r="AX29" i="4" s="1"/>
  <c r="AY29" i="4" s="1"/>
  <c r="AZ29" i="4" s="1"/>
  <c r="BA29" i="4" s="1"/>
  <c r="BP29" i="4"/>
  <c r="BM29" i="4"/>
  <c r="BK29" i="4"/>
  <c r="BO29" i="4"/>
  <c r="BL29" i="4"/>
  <c r="BF29" i="4"/>
  <c r="BH29" i="4"/>
  <c r="BJ29" i="4"/>
  <c r="BI29" i="4"/>
  <c r="BG29" i="4"/>
  <c r="BN29" i="4"/>
  <c r="BB29" i="4"/>
  <c r="BD29" i="4"/>
  <c r="BE29" i="4"/>
  <c r="AO51" i="4"/>
  <c r="AP51" i="4" s="1"/>
  <c r="AQ51" i="4" s="1"/>
  <c r="AR51" i="4" s="1"/>
  <c r="AS51" i="4" s="1"/>
  <c r="AT51" i="4" s="1"/>
  <c r="AU51" i="4" s="1"/>
  <c r="AV51" i="4" s="1"/>
  <c r="AW51" i="4" s="1"/>
  <c r="AX51" i="4" s="1"/>
  <c r="AY51" i="4" s="1"/>
  <c r="AZ51" i="4" s="1"/>
  <c r="BO51" i="4"/>
  <c r="BL51" i="4"/>
  <c r="BI51" i="4"/>
  <c r="BH51" i="4"/>
  <c r="BK51" i="4"/>
  <c r="BP51" i="4"/>
  <c r="BG51" i="4"/>
  <c r="BJ51" i="4"/>
  <c r="BM51" i="4"/>
  <c r="BN51" i="4"/>
  <c r="BA51" i="4"/>
  <c r="AO21" i="4"/>
  <c r="BP21" i="4"/>
  <c r="BN21" i="4"/>
  <c r="BM21" i="4"/>
  <c r="BJ21" i="4"/>
  <c r="BI21" i="4"/>
  <c r="BO21" i="4"/>
  <c r="BH21" i="4"/>
  <c r="BD21" i="4"/>
  <c r="BA21" i="4"/>
  <c r="AO36" i="4"/>
  <c r="AP36" i="4" s="1"/>
  <c r="AQ36" i="4" s="1"/>
  <c r="AR36" i="4" s="1"/>
  <c r="AS36" i="4" s="1"/>
  <c r="AT36" i="4" s="1"/>
  <c r="AU36" i="4" s="1"/>
  <c r="AV36" i="4" s="1"/>
  <c r="AW36" i="4" s="1"/>
  <c r="AX36" i="4" s="1"/>
  <c r="AY36" i="4" s="1"/>
  <c r="AZ36" i="4" s="1"/>
  <c r="BA36" i="4" s="1"/>
  <c r="BB36" i="4" s="1"/>
  <c r="BC36" i="4" s="1"/>
  <c r="BD36" i="4" s="1"/>
  <c r="BE36" i="4" s="1"/>
  <c r="BP36" i="4"/>
  <c r="BG36" i="4"/>
  <c r="BO36" i="4"/>
  <c r="BM36" i="4"/>
  <c r="BF36" i="4"/>
  <c r="BN36" i="4"/>
  <c r="AB63" i="4"/>
  <c r="AC63" i="4" s="1"/>
  <c r="AD63" i="4" s="1"/>
  <c r="AE63" i="4" s="1"/>
  <c r="AF63" i="4" s="1"/>
  <c r="AM63" i="4"/>
  <c r="AO63" i="4" s="1"/>
  <c r="AS63" i="4"/>
  <c r="BH63" i="4" s="1"/>
  <c r="AB20" i="4"/>
  <c r="AC20" i="4" s="1"/>
  <c r="AD20" i="4" s="1"/>
  <c r="AE20" i="4" s="1"/>
  <c r="AF20" i="4" s="1"/>
  <c r="AG20" i="4" s="1"/>
  <c r="AH20" i="4" s="1"/>
  <c r="AI20" i="4" s="1"/>
  <c r="AJ20" i="4" s="1"/>
  <c r="AK20" i="4" s="1"/>
  <c r="AL20" i="4" s="1"/>
  <c r="AM20" i="4"/>
  <c r="AO50" i="4"/>
  <c r="AP50" i="4" s="1"/>
  <c r="AQ50" i="4" s="1"/>
  <c r="AR50" i="4" s="1"/>
  <c r="AS50" i="4" s="1"/>
  <c r="AT50" i="4" s="1"/>
  <c r="AU50" i="4" s="1"/>
  <c r="AV50" i="4" s="1"/>
  <c r="AW50" i="4" s="1"/>
  <c r="AX50" i="4" s="1"/>
  <c r="AY50" i="4" s="1"/>
  <c r="AZ50" i="4" s="1"/>
  <c r="BA50" i="4" s="1"/>
  <c r="BB50" i="4" s="1"/>
  <c r="BG50" i="4"/>
  <c r="BL50" i="4"/>
  <c r="BI50" i="4"/>
  <c r="BP50" i="4"/>
  <c r="BN50" i="4"/>
  <c r="BM50" i="4"/>
  <c r="BK50" i="4"/>
  <c r="BH50" i="4"/>
  <c r="BO50" i="4"/>
  <c r="BC50" i="4"/>
  <c r="BD50" i="4"/>
  <c r="AO66" i="4"/>
  <c r="AP66" i="4" s="1"/>
  <c r="AQ66" i="4" s="1"/>
  <c r="AR66" i="4" s="1"/>
  <c r="AS66" i="4" s="1"/>
  <c r="AT66" i="4" s="1"/>
  <c r="AU66" i="4" s="1"/>
  <c r="AV66" i="4" s="1"/>
  <c r="AW66" i="4" s="1"/>
  <c r="AX66" i="4" s="1"/>
  <c r="AY66" i="4" s="1"/>
  <c r="AZ66" i="4" s="1"/>
  <c r="BN66" i="4"/>
  <c r="BL66" i="4"/>
  <c r="BP66" i="4"/>
  <c r="BI66" i="4"/>
  <c r="BM66" i="4"/>
  <c r="BO66" i="4"/>
  <c r="BK66" i="4"/>
  <c r="BH66" i="4"/>
  <c r="BG66" i="4"/>
  <c r="BB66" i="4"/>
  <c r="BA66" i="4"/>
  <c r="BD66" i="4"/>
  <c r="AO52" i="4"/>
  <c r="AP52" i="4" s="1"/>
  <c r="AQ52" i="4" s="1"/>
  <c r="AR52" i="4" s="1"/>
  <c r="AS52" i="4" s="1"/>
  <c r="AT52" i="4" s="1"/>
  <c r="AU52" i="4" s="1"/>
  <c r="AV52" i="4" s="1"/>
  <c r="AW52" i="4" s="1"/>
  <c r="BP52" i="4"/>
  <c r="BM52" i="4"/>
  <c r="BH52" i="4"/>
  <c r="BN52" i="4"/>
  <c r="BL52" i="4"/>
  <c r="BJ52" i="4"/>
  <c r="BK52" i="4"/>
  <c r="BG52" i="4"/>
  <c r="BB52" i="4"/>
  <c r="BD52" i="4"/>
  <c r="BA52" i="4"/>
  <c r="AX52" i="4"/>
  <c r="AY52" i="4"/>
  <c r="AD31" i="4"/>
  <c r="AE31" i="4" s="1"/>
  <c r="AF31" i="4" s="1"/>
  <c r="AG31" i="4" s="1"/>
  <c r="AH31" i="4" s="1"/>
  <c r="AI31" i="4" s="1"/>
  <c r="AJ31" i="4" s="1"/>
  <c r="AK31" i="4" s="1"/>
  <c r="AL31" i="4" s="1"/>
  <c r="AM31" i="4" s="1"/>
  <c r="AN31" i="4" s="1"/>
  <c r="AT31" i="4"/>
  <c r="AB11" i="4"/>
  <c r="AC11" i="4" s="1"/>
  <c r="AD11" i="4" s="1"/>
  <c r="AE11" i="4" s="1"/>
  <c r="AF11" i="4" s="1"/>
  <c r="AG11" i="4" s="1"/>
  <c r="AH11" i="4" s="1"/>
  <c r="AI11" i="4" s="1"/>
  <c r="AJ11" i="4" s="1"/>
  <c r="AK11" i="4" s="1"/>
  <c r="AL11" i="4" s="1"/>
  <c r="AM11" i="4" s="1"/>
  <c r="AN11" i="4" s="1"/>
  <c r="AR11" i="4"/>
  <c r="AO48" i="4"/>
  <c r="AP48" i="4" s="1"/>
  <c r="AQ48" i="4" s="1"/>
  <c r="AR48" i="4" s="1"/>
  <c r="AS48" i="4" s="1"/>
  <c r="AT48" i="4" s="1"/>
  <c r="AU48" i="4" s="1"/>
  <c r="AV48" i="4" s="1"/>
  <c r="AW48" i="4" s="1"/>
  <c r="AX48" i="4" s="1"/>
  <c r="AY48" i="4" s="1"/>
  <c r="AZ48" i="4" s="1"/>
  <c r="BA48" i="4" s="1"/>
  <c r="BN48" i="4"/>
  <c r="BG48" i="4"/>
  <c r="BF48" i="4"/>
  <c r="BP48" i="4"/>
  <c r="BM48" i="4"/>
  <c r="BK48" i="4"/>
  <c r="BJ48" i="4"/>
  <c r="BH48" i="4"/>
  <c r="BO48" i="4"/>
  <c r="BI48" i="4"/>
  <c r="BL48" i="4"/>
  <c r="BB48" i="4"/>
  <c r="BD48" i="4"/>
  <c r="BC48" i="4"/>
  <c r="AA13" i="4"/>
  <c r="AL13" i="4"/>
  <c r="AA34" i="4"/>
  <c r="AL34" i="4"/>
  <c r="AB22" i="4"/>
  <c r="AC22" i="4" s="1"/>
  <c r="AD22" i="4" s="1"/>
  <c r="AE22" i="4" s="1"/>
  <c r="AF22" i="4" s="1"/>
  <c r="AS22" i="4"/>
  <c r="AR22" i="4"/>
  <c r="BL60" i="4"/>
  <c r="BI60" i="4"/>
  <c r="BH60" i="4"/>
  <c r="BO60" i="4"/>
  <c r="BJ60" i="4"/>
  <c r="BF60" i="4"/>
  <c r="BP60" i="4"/>
  <c r="BN60" i="4"/>
  <c r="BG60" i="4"/>
  <c r="BK60" i="4"/>
  <c r="BM60" i="4"/>
  <c r="AD3" i="4"/>
  <c r="AE3" i="4" s="1"/>
  <c r="AF3" i="4" s="1"/>
  <c r="AG3" i="4" s="1"/>
  <c r="AH3" i="4" s="1"/>
  <c r="AI3" i="4" s="1"/>
  <c r="AJ3" i="4" s="1"/>
  <c r="AK3" i="4" s="1"/>
  <c r="AL3" i="4" s="1"/>
  <c r="AM3" i="4" s="1"/>
  <c r="AN3" i="4" s="1"/>
  <c r="AT3" i="4"/>
  <c r="AB9" i="4"/>
  <c r="AC9" i="4" s="1"/>
  <c r="AD9" i="4" s="1"/>
  <c r="AE9" i="4" s="1"/>
  <c r="AF9" i="4" s="1"/>
  <c r="AG9" i="4" s="1"/>
  <c r="AH9" i="4" s="1"/>
  <c r="AI9" i="4" s="1"/>
  <c r="AJ9" i="4" s="1"/>
  <c r="AK9" i="4" s="1"/>
  <c r="AL9" i="4" s="1"/>
  <c r="AM9" i="4"/>
  <c r="AB24" i="4"/>
  <c r="AC24" i="4" s="1"/>
  <c r="AD24" i="4" s="1"/>
  <c r="AE24" i="4" s="1"/>
  <c r="AF24" i="4" s="1"/>
  <c r="AG24" i="4" s="1"/>
  <c r="AH24" i="4" s="1"/>
  <c r="AI24" i="4" s="1"/>
  <c r="AJ24" i="4" s="1"/>
  <c r="AK24" i="4" s="1"/>
  <c r="AL24" i="4" s="1"/>
  <c r="AM24" i="4" s="1"/>
  <c r="AN24" i="4" s="1"/>
  <c r="AR24" i="4"/>
  <c r="AS24" i="4"/>
  <c r="AB38" i="4"/>
  <c r="AC38" i="4" s="1"/>
  <c r="AD38" i="4" s="1"/>
  <c r="AE38" i="4" s="1"/>
  <c r="AF38" i="4" s="1"/>
  <c r="AG38" i="4" s="1"/>
  <c r="AH38" i="4" s="1"/>
  <c r="AI38" i="4" s="1"/>
  <c r="AJ38" i="4" s="1"/>
  <c r="AK38" i="4" s="1"/>
  <c r="AL38" i="4" s="1"/>
  <c r="AM38" i="4" s="1"/>
  <c r="AN38" i="4" s="1"/>
  <c r="AR38" i="4"/>
  <c r="AO61" i="4"/>
  <c r="AP61" i="4" s="1"/>
  <c r="AQ61" i="4" s="1"/>
  <c r="AR61" i="4" s="1"/>
  <c r="AS61" i="4" s="1"/>
  <c r="AT61" i="4" s="1"/>
  <c r="AU61" i="4" s="1"/>
  <c r="AV61" i="4" s="1"/>
  <c r="AW61" i="4" s="1"/>
  <c r="AX61" i="4" s="1"/>
  <c r="AY61" i="4" s="1"/>
  <c r="AZ61" i="4" s="1"/>
  <c r="BA61" i="4" s="1"/>
  <c r="BB61" i="4" s="1"/>
  <c r="BC61" i="4" s="1"/>
  <c r="BD61" i="4" s="1"/>
  <c r="BE61" i="4" s="1"/>
  <c r="BF61" i="4" s="1"/>
  <c r="BP61" i="4"/>
  <c r="BG61" i="4"/>
  <c r="BN61" i="4"/>
  <c r="BJ61" i="4"/>
  <c r="BO61" i="4"/>
  <c r="BM61" i="4"/>
  <c r="AO14" i="4"/>
  <c r="AP14" i="4" s="1"/>
  <c r="AQ14" i="4" s="1"/>
  <c r="AR14" i="4" s="1"/>
  <c r="AS14" i="4" s="1"/>
  <c r="AT14" i="4" s="1"/>
  <c r="AU14" i="4" s="1"/>
  <c r="BJ14" i="4"/>
  <c r="BP14" i="4"/>
  <c r="BI14" i="4"/>
  <c r="BO14" i="4"/>
  <c r="BM14" i="4"/>
  <c r="BL14" i="4"/>
  <c r="BF14" i="4"/>
  <c r="BG14" i="4"/>
  <c r="BN14" i="4"/>
  <c r="BH14" i="4"/>
  <c r="BD14" i="4"/>
  <c r="BE14" i="4"/>
  <c r="BB14" i="4"/>
  <c r="AV14" i="4"/>
  <c r="AO43" i="4"/>
  <c r="AP43" i="4" s="1"/>
  <c r="AQ43" i="4" s="1"/>
  <c r="AR43" i="4" s="1"/>
  <c r="AS43" i="4" s="1"/>
  <c r="AT43" i="4" s="1"/>
  <c r="AU43" i="4" s="1"/>
  <c r="AV43" i="4" s="1"/>
  <c r="AW43" i="4" s="1"/>
  <c r="AX43" i="4" s="1"/>
  <c r="AZ43" i="4" s="1"/>
  <c r="BP43" i="4"/>
  <c r="BN43" i="4"/>
  <c r="BG43" i="4"/>
  <c r="BO43" i="4"/>
  <c r="BK43" i="4"/>
  <c r="BJ43" i="4"/>
  <c r="BH43" i="4"/>
  <c r="BM43" i="4"/>
  <c r="BI43" i="4"/>
  <c r="BL43" i="4"/>
  <c r="BD43" i="4"/>
  <c r="BC43" i="4"/>
  <c r="AY43" i="4"/>
  <c r="BA43" i="4"/>
  <c r="BB43" i="4"/>
  <c r="AO2" i="4"/>
  <c r="BK2" i="4"/>
  <c r="BP2" i="4"/>
  <c r="BN2" i="4"/>
  <c r="BF2" i="4"/>
  <c r="BI2" i="4"/>
  <c r="BL2" i="4"/>
  <c r="BJ2" i="4"/>
  <c r="BO2" i="4"/>
  <c r="BM2" i="4"/>
  <c r="BA2" i="4"/>
  <c r="BD2" i="4"/>
  <c r="BC2" i="4"/>
  <c r="AX2" i="4"/>
  <c r="AO15" i="4"/>
  <c r="AP15" i="4" s="1"/>
  <c r="AQ15" i="4" s="1"/>
  <c r="AR15" i="4" s="1"/>
  <c r="AS15" i="4" s="1"/>
  <c r="AT15" i="4" s="1"/>
  <c r="BI15" i="4"/>
  <c r="BH15" i="4"/>
  <c r="BP15" i="4"/>
  <c r="BM15" i="4"/>
  <c r="BL15" i="4"/>
  <c r="BJ15" i="4"/>
  <c r="BF15" i="4"/>
  <c r="BO15" i="4"/>
  <c r="BN15" i="4"/>
  <c r="BG15" i="4"/>
  <c r="BK15" i="4"/>
  <c r="BC15" i="4"/>
  <c r="AY15" i="4"/>
  <c r="AX15" i="4"/>
  <c r="BB15" i="4"/>
  <c r="BA15" i="4"/>
  <c r="BE15" i="4"/>
  <c r="AU15" i="4"/>
  <c r="AO16" i="4"/>
  <c r="AP16" i="4" s="1"/>
  <c r="AQ16" i="4" s="1"/>
  <c r="AR16" i="4" s="1"/>
  <c r="AS16" i="4" s="1"/>
  <c r="AT16" i="4" s="1"/>
  <c r="AU16" i="4" s="1"/>
  <c r="AV16" i="4" s="1"/>
  <c r="AW16" i="4" s="1"/>
  <c r="AX16" i="4" s="1"/>
  <c r="AY16" i="4" s="1"/>
  <c r="AZ16" i="4" s="1"/>
  <c r="BA16" i="4" s="1"/>
  <c r="BB16" i="4" s="1"/>
  <c r="BC16" i="4" s="1"/>
  <c r="BD16" i="4" s="1"/>
  <c r="BE16" i="4" s="1"/>
  <c r="BF16" i="4" s="1"/>
  <c r="BG16" i="4"/>
  <c r="BH16" i="4"/>
  <c r="BP16" i="4"/>
  <c r="BJ16" i="4"/>
  <c r="BO16" i="4"/>
  <c r="AB23" i="4"/>
  <c r="AC23" i="4" s="1"/>
  <c r="AD23" i="4" s="1"/>
  <c r="AE23" i="4" s="1"/>
  <c r="AF23" i="4" s="1"/>
  <c r="AR23" i="4"/>
  <c r="AB37" i="4"/>
  <c r="AC37" i="4" s="1"/>
  <c r="AM37" i="4"/>
  <c r="AO37" i="4" s="1"/>
  <c r="AB53" i="4"/>
  <c r="AC53" i="4" s="1"/>
  <c r="AD53" i="4" s="1"/>
  <c r="AE53" i="4" s="1"/>
  <c r="AF53" i="4" s="1"/>
  <c r="AR53" i="4"/>
  <c r="Z25" i="4"/>
  <c r="AA25" i="4" s="1"/>
  <c r="AL25" i="4"/>
  <c r="AO47" i="4"/>
  <c r="AP47" i="4" s="1"/>
  <c r="AQ47" i="4" s="1"/>
  <c r="AR47" i="4" s="1"/>
  <c r="AS47" i="4" s="1"/>
  <c r="AT47" i="4" s="1"/>
  <c r="AU47" i="4" s="1"/>
  <c r="AV47" i="4" s="1"/>
  <c r="BM47" i="4"/>
  <c r="BJ47" i="4"/>
  <c r="BO47" i="4"/>
  <c r="BK47" i="4"/>
  <c r="BP47" i="4"/>
  <c r="BN47" i="4"/>
  <c r="BG47" i="4"/>
  <c r="BL47" i="4"/>
  <c r="BF47" i="4"/>
  <c r="BH47" i="4"/>
  <c r="BI47" i="4"/>
  <c r="BA47" i="4"/>
  <c r="BB47" i="4"/>
  <c r="AW47" i="4"/>
  <c r="BD47" i="4"/>
  <c r="AY47" i="4"/>
  <c r="AO55" i="4"/>
  <c r="AP55" i="4" s="1"/>
  <c r="AQ55" i="4" s="1"/>
  <c r="AR55" i="4" s="1"/>
  <c r="AS55" i="4" s="1"/>
  <c r="AT55" i="4" s="1"/>
  <c r="AU55" i="4" s="1"/>
  <c r="AV55" i="4" s="1"/>
  <c r="AW55" i="4" s="1"/>
  <c r="AX55" i="4" s="1"/>
  <c r="AY55" i="4" s="1"/>
  <c r="AZ55" i="4" s="1"/>
  <c r="BA55" i="4" s="1"/>
  <c r="BC55" i="4" s="1"/>
  <c r="BJ55" i="4"/>
  <c r="BI55" i="4"/>
  <c r="BO55" i="4"/>
  <c r="BM55" i="4"/>
  <c r="BP55" i="4"/>
  <c r="BG55" i="4"/>
  <c r="BN55" i="4"/>
  <c r="BL55" i="4"/>
  <c r="BF55" i="4"/>
  <c r="BK55" i="4"/>
  <c r="BH55" i="4"/>
  <c r="BE55" i="4"/>
  <c r="BB55" i="4"/>
  <c r="BD55" i="4"/>
  <c r="AO60" i="4"/>
  <c r="AP60" i="4" s="1"/>
  <c r="AQ60" i="4" s="1"/>
  <c r="AR60" i="4" s="1"/>
  <c r="AS60" i="4" s="1"/>
  <c r="AT60" i="4" s="1"/>
  <c r="AU60" i="4" s="1"/>
  <c r="AV60" i="4" s="1"/>
  <c r="AW60" i="4" s="1"/>
  <c r="AX60" i="4" s="1"/>
  <c r="AY60" i="4" s="1"/>
  <c r="AZ60" i="4" s="1"/>
  <c r="BA60" i="4" s="1"/>
  <c r="BB60" i="4"/>
  <c r="BD60" i="4"/>
  <c r="BE60" i="4"/>
  <c r="AA68" i="4"/>
  <c r="AL68" i="4"/>
  <c r="AB58" i="4"/>
  <c r="AC58" i="4" s="1"/>
  <c r="AD58" i="4" s="1"/>
  <c r="AE58" i="4" s="1"/>
  <c r="AF58" i="4" s="1"/>
  <c r="AG58" i="4" s="1"/>
  <c r="AH58" i="4" s="1"/>
  <c r="AI58" i="4" s="1"/>
  <c r="AJ58" i="4" s="1"/>
  <c r="AK58" i="4" s="1"/>
  <c r="AL58" i="4" s="1"/>
  <c r="AM58" i="4" s="1"/>
  <c r="AN58" i="4" s="1"/>
  <c r="AR58" i="4"/>
  <c r="R39" i="4"/>
  <c r="S39" i="4" s="1"/>
  <c r="T39" i="4" s="1"/>
  <c r="AA39" i="4"/>
  <c r="V12" i="4"/>
  <c r="AA12" i="4"/>
  <c r="Z27" i="4"/>
  <c r="AK27" i="4"/>
  <c r="AH27" i="4"/>
  <c r="AJ27" i="4"/>
  <c r="V41" i="4"/>
  <c r="AA41" i="4"/>
  <c r="Z65" i="4"/>
  <c r="AA65" i="4" s="1"/>
  <c r="AK65" i="4"/>
  <c r="AJ65" i="4"/>
  <c r="Z45" i="4"/>
  <c r="AA45" i="4" s="1"/>
  <c r="AK45" i="4"/>
  <c r="R46" i="4"/>
  <c r="S46" i="4" s="1"/>
  <c r="T46" i="4" s="1"/>
  <c r="U46" i="4" s="1"/>
  <c r="V46" i="4" s="1"/>
  <c r="W46" i="4" s="1"/>
  <c r="AA46" i="4"/>
  <c r="Z54" i="4"/>
  <c r="AA54" i="4" s="1"/>
  <c r="AJ54" i="4"/>
  <c r="V69" i="4"/>
  <c r="X69" i="4"/>
  <c r="X17" i="4"/>
  <c r="X39" i="4"/>
  <c r="Y39" i="4" s="1"/>
  <c r="AL39" i="4" s="1"/>
  <c r="Z69" i="4"/>
  <c r="W17" i="4"/>
  <c r="X41" i="4"/>
  <c r="Y46" i="4"/>
  <c r="W4" i="4"/>
  <c r="W39" i="4"/>
  <c r="W7" i="4"/>
  <c r="X62" i="4"/>
  <c r="X46" i="4"/>
  <c r="Y62" i="4"/>
  <c r="Z12" i="4"/>
  <c r="W12" i="4"/>
  <c r="Z39" i="4"/>
  <c r="W59" i="4"/>
  <c r="Z41" i="4"/>
  <c r="V4" i="4"/>
  <c r="U12" i="4"/>
  <c r="T67" i="4"/>
  <c r="V39" i="4"/>
  <c r="U39" i="4"/>
  <c r="S69" i="4"/>
  <c r="S7" i="4"/>
  <c r="S12" i="4"/>
  <c r="T12" i="4" s="1"/>
  <c r="R12" i="4"/>
  <c r="R17" i="4"/>
  <c r="L30" i="4"/>
  <c r="L57" i="4"/>
  <c r="Q69" i="4"/>
  <c r="P41" i="4"/>
  <c r="U41" i="4" s="1"/>
  <c r="P59" i="4"/>
  <c r="U59" i="4" s="1"/>
  <c r="Q10" i="4"/>
  <c r="X10" i="4" s="1"/>
  <c r="Q17" i="4"/>
  <c r="V17" i="4" s="1"/>
  <c r="R7" i="4"/>
  <c r="P10" i="4"/>
  <c r="C69" i="4"/>
  <c r="P17" i="4"/>
  <c r="U17" i="4" s="1"/>
  <c r="T17" i="4"/>
  <c r="O10" i="4"/>
  <c r="N10" i="4"/>
  <c r="O18" i="4"/>
  <c r="N18" i="4"/>
  <c r="G69" i="4"/>
  <c r="I69" i="4"/>
  <c r="O8" i="4"/>
  <c r="O67" i="4"/>
  <c r="N8" i="4"/>
  <c r="L8" i="4"/>
  <c r="J72" i="4"/>
  <c r="K72" i="4"/>
  <c r="L72" i="4" s="1"/>
  <c r="R72" i="4" s="1"/>
  <c r="L10" i="4"/>
  <c r="T10" i="4" s="1"/>
  <c r="M10" i="4"/>
  <c r="M69" i="4"/>
  <c r="N69" i="4"/>
  <c r="P69" i="4" s="1"/>
  <c r="G41" i="4"/>
  <c r="H41" i="4" s="1"/>
  <c r="I41" i="4" s="1"/>
  <c r="J41" i="4" s="1"/>
  <c r="K41" i="4" s="1"/>
  <c r="M41" i="4"/>
  <c r="N41" i="4" s="1"/>
  <c r="O41" i="4" s="1"/>
  <c r="L41" i="4"/>
  <c r="R41" i="4" s="1"/>
  <c r="L18" i="4"/>
  <c r="M18" i="4"/>
  <c r="L59" i="4"/>
  <c r="T59" i="4" s="1"/>
  <c r="J59" i="4"/>
  <c r="K59" i="4" s="1"/>
  <c r="H74" i="4"/>
  <c r="C72" i="4"/>
  <c r="F75" i="4"/>
  <c r="H26" i="4"/>
  <c r="I26" i="4" s="1"/>
  <c r="J26" i="4" s="1"/>
  <c r="H72" i="4"/>
  <c r="C73" i="4"/>
  <c r="I73" i="4"/>
  <c r="H73" i="4"/>
  <c r="N73" i="4" s="1"/>
  <c r="G73" i="4"/>
  <c r="F73" i="4"/>
  <c r="P73" i="4" s="1"/>
  <c r="L69" i="4"/>
  <c r="J69" i="4"/>
  <c r="L70" i="4"/>
  <c r="H70" i="4"/>
  <c r="G70" i="4"/>
  <c r="D75" i="4"/>
  <c r="H44" i="4"/>
  <c r="I44" i="4" s="1"/>
  <c r="C26" i="4"/>
  <c r="D26" i="4" s="1"/>
  <c r="G26" i="4"/>
  <c r="C70" i="4"/>
  <c r="D72" i="4"/>
  <c r="D70" i="4"/>
  <c r="E70" i="4" s="1"/>
  <c r="F70" i="4" s="1"/>
  <c r="G72" i="4"/>
  <c r="C75" i="4"/>
  <c r="H75" i="4"/>
  <c r="G75" i="4"/>
  <c r="L75" i="4"/>
  <c r="C74" i="4"/>
  <c r="G74" i="4"/>
  <c r="L74" i="4"/>
  <c r="E74" i="4"/>
  <c r="D74" i="4"/>
  <c r="I74" i="4"/>
  <c r="C59" i="4"/>
  <c r="H59" i="4"/>
  <c r="D59" i="4"/>
  <c r="E73" i="4"/>
  <c r="I72" i="4"/>
  <c r="C71" i="4"/>
  <c r="D71" i="4"/>
  <c r="E71" i="4" s="1"/>
  <c r="F71" i="4" s="1"/>
  <c r="P71" i="4" s="1"/>
  <c r="E75" i="4"/>
  <c r="G59" i="4"/>
  <c r="I59" i="4"/>
  <c r="H69" i="4"/>
  <c r="J75" i="4"/>
  <c r="K75" i="4" s="1"/>
  <c r="T14" i="10" l="1"/>
  <c r="BB24" i="7"/>
  <c r="T15" i="15"/>
  <c r="BK24" i="7"/>
  <c r="AM24" i="7"/>
  <c r="T39" i="8"/>
  <c r="H26" i="15"/>
  <c r="T39" i="7"/>
  <c r="T89" i="6"/>
  <c r="T11" i="10"/>
  <c r="T47" i="7"/>
  <c r="Z26" i="15"/>
  <c r="R26" i="15"/>
  <c r="L24" i="7"/>
  <c r="T23" i="7"/>
  <c r="T45" i="8"/>
  <c r="S92" i="6"/>
  <c r="T16" i="10"/>
  <c r="BN24" i="7"/>
  <c r="T50" i="7"/>
  <c r="C26" i="8"/>
  <c r="Q26" i="10"/>
  <c r="J26" i="15"/>
  <c r="T45" i="7"/>
  <c r="T15" i="7"/>
  <c r="F26" i="15"/>
  <c r="T57" i="7"/>
  <c r="I24" i="7"/>
  <c r="T18" i="8"/>
  <c r="T81" i="6"/>
  <c r="AV24" i="7"/>
  <c r="T14" i="8"/>
  <c r="G26" i="8"/>
  <c r="T99" i="6"/>
  <c r="H24" i="7"/>
  <c r="T12" i="8"/>
  <c r="F92" i="6"/>
  <c r="T49" i="7"/>
  <c r="O24" i="7"/>
  <c r="T33" i="8"/>
  <c r="T9" i="8"/>
  <c r="T21" i="10"/>
  <c r="V26" i="15"/>
  <c r="AN42" i="4"/>
  <c r="U90" i="21"/>
  <c r="D90" i="17"/>
  <c r="B90" i="17"/>
  <c r="U58" i="6"/>
  <c r="V59" i="5"/>
  <c r="V58" i="6" s="1"/>
  <c r="V25" i="10" s="1"/>
  <c r="T70" i="7"/>
  <c r="D26" i="8"/>
  <c r="R92" i="6"/>
  <c r="T12" i="7"/>
  <c r="T63" i="7"/>
  <c r="T21" i="8"/>
  <c r="D26" i="10"/>
  <c r="BH24" i="7"/>
  <c r="J24" i="7"/>
  <c r="H26" i="8"/>
  <c r="O92" i="6"/>
  <c r="O26" i="10"/>
  <c r="AC24" i="7"/>
  <c r="S24" i="7"/>
  <c r="P26" i="8"/>
  <c r="V23" i="7"/>
  <c r="S28" i="8"/>
  <c r="V20" i="10"/>
  <c r="S94" i="6"/>
  <c r="V36" i="18"/>
  <c r="U34" i="19"/>
  <c r="AC26" i="7"/>
  <c r="BN26" i="7"/>
  <c r="V41" i="8"/>
  <c r="V45" i="23"/>
  <c r="W47" i="22"/>
  <c r="V16" i="8"/>
  <c r="K26" i="15"/>
  <c r="T13" i="10"/>
  <c r="C26" i="10"/>
  <c r="T13" i="7"/>
  <c r="T2" i="7"/>
  <c r="T4" i="7" s="1"/>
  <c r="T87" i="6"/>
  <c r="R26" i="10"/>
  <c r="T43" i="7"/>
  <c r="T46" i="7"/>
  <c r="J26" i="8"/>
  <c r="T92" i="6"/>
  <c r="T14" i="15"/>
  <c r="T56" i="7"/>
  <c r="BF24" i="7"/>
  <c r="I26" i="8"/>
  <c r="T80" i="6"/>
  <c r="T23" i="15"/>
  <c r="AJ24" i="7"/>
  <c r="AH24" i="7"/>
  <c r="Q26" i="8"/>
  <c r="V17" i="7"/>
  <c r="V20" i="15"/>
  <c r="S28" i="10"/>
  <c r="U53" i="19"/>
  <c r="V55" i="18"/>
  <c r="V17" i="15"/>
  <c r="V65" i="7"/>
  <c r="V34" i="8"/>
  <c r="W40" i="6"/>
  <c r="X41" i="5"/>
  <c r="X40" i="6" s="1"/>
  <c r="X26" i="15" s="1"/>
  <c r="G26" i="7"/>
  <c r="AX26" i="7"/>
  <c r="V40" i="8"/>
  <c r="AJ26" i="7"/>
  <c r="V14" i="7"/>
  <c r="V15" i="8"/>
  <c r="V36" i="8"/>
  <c r="T55" i="7"/>
  <c r="T16" i="8"/>
  <c r="K92" i="6"/>
  <c r="T16" i="7"/>
  <c r="U24" i="7"/>
  <c r="T29" i="7"/>
  <c r="S26" i="8"/>
  <c r="F26" i="10"/>
  <c r="T15" i="10"/>
  <c r="T61" i="7"/>
  <c r="T38" i="7"/>
  <c r="R26" i="8"/>
  <c r="U92" i="6"/>
  <c r="O26" i="15"/>
  <c r="N24" i="7"/>
  <c r="Q24" i="7"/>
  <c r="Z26" i="8"/>
  <c r="V24" i="7"/>
  <c r="C94" i="6"/>
  <c r="BI26" i="7"/>
  <c r="BM26" i="7"/>
  <c r="V31" i="8"/>
  <c r="V48" i="7"/>
  <c r="AW26" i="7"/>
  <c r="V39" i="8"/>
  <c r="U90" i="23"/>
  <c r="N92" i="6"/>
  <c r="T12" i="15"/>
  <c r="AR24" i="7"/>
  <c r="T37" i="7"/>
  <c r="T23" i="8"/>
  <c r="U9" i="19"/>
  <c r="V11" i="18"/>
  <c r="S26" i="15"/>
  <c r="G26" i="10"/>
  <c r="T17" i="7"/>
  <c r="T62" i="7"/>
  <c r="L26" i="8"/>
  <c r="T77" i="6"/>
  <c r="AA26" i="15"/>
  <c r="T58" i="7"/>
  <c r="T22" i="7"/>
  <c r="AA26" i="8"/>
  <c r="T91" i="6"/>
  <c r="J26" i="10"/>
  <c r="T10" i="7"/>
  <c r="R24" i="7"/>
  <c r="AI26" i="8"/>
  <c r="S95" i="6"/>
  <c r="W25" i="15"/>
  <c r="V92" i="6"/>
  <c r="AR26" i="7"/>
  <c r="BG26" i="7"/>
  <c r="V32" i="8"/>
  <c r="V34" i="7"/>
  <c r="V80" i="6"/>
  <c r="W26" i="7"/>
  <c r="V22" i="7"/>
  <c r="AJ28" i="8"/>
  <c r="T94" i="6"/>
  <c r="V36" i="7"/>
  <c r="AO26" i="7"/>
  <c r="V19" i="18"/>
  <c r="U17" i="19"/>
  <c r="AK20" i="8"/>
  <c r="N35" i="7"/>
  <c r="N37" i="8"/>
  <c r="N41" i="7"/>
  <c r="AK18" i="7"/>
  <c r="N43" i="8"/>
  <c r="E86" i="6"/>
  <c r="C20" i="10"/>
  <c r="AA86" i="6"/>
  <c r="D20" i="10"/>
  <c r="N75" i="6"/>
  <c r="N2" i="10"/>
  <c r="N4" i="10" s="1"/>
  <c r="N31" i="15"/>
  <c r="N12" i="10"/>
  <c r="N23" i="10"/>
  <c r="H20" i="15"/>
  <c r="I20" i="10"/>
  <c r="N11" i="10"/>
  <c r="N10" i="10"/>
  <c r="F18" i="7"/>
  <c r="AF18" i="7"/>
  <c r="AE18" i="7"/>
  <c r="AS18" i="7"/>
  <c r="R20" i="15"/>
  <c r="N17" i="10"/>
  <c r="AJ18" i="7"/>
  <c r="G18" i="7"/>
  <c r="N64" i="7"/>
  <c r="AY18" i="7"/>
  <c r="K18" i="7"/>
  <c r="N38" i="7"/>
  <c r="N11" i="7"/>
  <c r="B18" i="7"/>
  <c r="N13" i="7"/>
  <c r="AM20" i="8"/>
  <c r="AF20" i="8"/>
  <c r="AO20" i="8"/>
  <c r="AH20" i="8"/>
  <c r="AA20" i="8"/>
  <c r="U20" i="8"/>
  <c r="N42" i="8"/>
  <c r="N46" i="8"/>
  <c r="N98" i="6"/>
  <c r="F86" i="6"/>
  <c r="N86" i="6"/>
  <c r="N82" i="6"/>
  <c r="G20" i="10"/>
  <c r="N8" i="10"/>
  <c r="U20" i="15"/>
  <c r="N15" i="15"/>
  <c r="O20" i="10"/>
  <c r="N2" i="15"/>
  <c r="N4" i="15" s="1"/>
  <c r="C20" i="15"/>
  <c r="Y20" i="15"/>
  <c r="Q20" i="10"/>
  <c r="U18" i="7"/>
  <c r="N70" i="7"/>
  <c r="AT18" i="7"/>
  <c r="BH18" i="7"/>
  <c r="BD18" i="7"/>
  <c r="N66" i="7"/>
  <c r="BJ18" i="7"/>
  <c r="N58" i="7"/>
  <c r="AR18" i="7"/>
  <c r="N71" i="7"/>
  <c r="N63" i="7"/>
  <c r="BF18" i="7"/>
  <c r="N22" i="7"/>
  <c r="C18" i="7"/>
  <c r="N45" i="7"/>
  <c r="BE18" i="7"/>
  <c r="AN20" i="8"/>
  <c r="N24" i="8"/>
  <c r="AI20" i="8"/>
  <c r="AB20" i="8"/>
  <c r="AC20" i="8"/>
  <c r="N8" i="8"/>
  <c r="AD18" i="7"/>
  <c r="C86" i="6"/>
  <c r="N80" i="6"/>
  <c r="P86" i="6"/>
  <c r="N79" i="6"/>
  <c r="N89" i="6"/>
  <c r="N14" i="10"/>
  <c r="P20" i="15"/>
  <c r="N9" i="10"/>
  <c r="N14" i="15"/>
  <c r="N22" i="15"/>
  <c r="N20" i="10"/>
  <c r="F20" i="10"/>
  <c r="L20" i="10"/>
  <c r="N9" i="15"/>
  <c r="BI18" i="7"/>
  <c r="N16" i="7"/>
  <c r="L18" i="7"/>
  <c r="H18" i="7"/>
  <c r="AV18" i="7"/>
  <c r="BA18" i="7"/>
  <c r="AU18" i="7"/>
  <c r="N36" i="7"/>
  <c r="N62" i="7"/>
  <c r="AQ18" i="7"/>
  <c r="Z18" i="7"/>
  <c r="N7" i="7"/>
  <c r="N37" i="7"/>
  <c r="N11" i="8"/>
  <c r="N35" i="8"/>
  <c r="N34" i="8"/>
  <c r="N33" i="8"/>
  <c r="N32" i="8"/>
  <c r="N23" i="8"/>
  <c r="AJ20" i="8"/>
  <c r="N21" i="8"/>
  <c r="N2" i="7"/>
  <c r="N4" i="7" s="1"/>
  <c r="M86" i="6"/>
  <c r="K86" i="6"/>
  <c r="N77" i="6"/>
  <c r="N76" i="6"/>
  <c r="J86" i="6"/>
  <c r="R86" i="6"/>
  <c r="F20" i="15"/>
  <c r="Q20" i="15"/>
  <c r="N22" i="10"/>
  <c r="N13" i="10"/>
  <c r="N18" i="10"/>
  <c r="N33" i="15"/>
  <c r="N68" i="7"/>
  <c r="N8" i="7"/>
  <c r="BL18" i="7"/>
  <c r="M18" i="7"/>
  <c r="AL18" i="7"/>
  <c r="BK18" i="7"/>
  <c r="N32" i="7"/>
  <c r="N48" i="7"/>
  <c r="N20" i="7"/>
  <c r="N49" i="7"/>
  <c r="BO18" i="7"/>
  <c r="N46" i="7"/>
  <c r="AH18" i="7"/>
  <c r="BG18" i="7"/>
  <c r="AW18" i="7"/>
  <c r="Y18" i="7"/>
  <c r="N10" i="8"/>
  <c r="N17" i="8"/>
  <c r="N41" i="8"/>
  <c r="N40" i="8"/>
  <c r="N31" i="8"/>
  <c r="N22" i="8"/>
  <c r="N12" i="8"/>
  <c r="N2" i="8"/>
  <c r="N4" i="8" s="1"/>
  <c r="N34" i="7"/>
  <c r="N52" i="7"/>
  <c r="B86" i="6"/>
  <c r="U86" i="6"/>
  <c r="N97" i="6"/>
  <c r="L86" i="6"/>
  <c r="B20" i="15"/>
  <c r="P20" i="10"/>
  <c r="M20" i="15"/>
  <c r="E20" i="15"/>
  <c r="N8" i="15"/>
  <c r="N15" i="10"/>
  <c r="D20" i="15"/>
  <c r="M20" i="10"/>
  <c r="N24" i="15"/>
  <c r="AM18" i="7"/>
  <c r="N43" i="7"/>
  <c r="O18" i="7"/>
  <c r="AN18" i="7"/>
  <c r="AB18" i="7"/>
  <c r="N56" i="7"/>
  <c r="N33" i="7"/>
  <c r="N60" i="7"/>
  <c r="N44" i="7"/>
  <c r="R18" i="7"/>
  <c r="J18" i="7"/>
  <c r="AX18" i="7"/>
  <c r="N29" i="7"/>
  <c r="I18" i="7"/>
  <c r="G20" i="8"/>
  <c r="N18" i="8"/>
  <c r="I20" i="8"/>
  <c r="N16" i="8"/>
  <c r="N15" i="8"/>
  <c r="N39" i="8"/>
  <c r="N38" i="8"/>
  <c r="F20" i="8"/>
  <c r="N45" i="8"/>
  <c r="AD20" i="8"/>
  <c r="N81" i="6"/>
  <c r="H86" i="6"/>
  <c r="N90" i="6"/>
  <c r="D86" i="6"/>
  <c r="G86" i="6"/>
  <c r="O86" i="6"/>
  <c r="N12" i="15"/>
  <c r="Z20" i="15"/>
  <c r="J20" i="15"/>
  <c r="N13" i="15"/>
  <c r="N21" i="15"/>
  <c r="AA20" i="15"/>
  <c r="N16" i="15"/>
  <c r="N17" i="15"/>
  <c r="N11" i="15"/>
  <c r="E18" i="7"/>
  <c r="BC18" i="7"/>
  <c r="AZ18" i="7"/>
  <c r="N9" i="7"/>
  <c r="D18" i="7"/>
  <c r="BB18" i="7"/>
  <c r="N69" i="7"/>
  <c r="N12" i="7"/>
  <c r="N6" i="7"/>
  <c r="N39" i="7"/>
  <c r="N55" i="7"/>
  <c r="N14" i="7"/>
  <c r="N54" i="7"/>
  <c r="AO18" i="7"/>
  <c r="BM18" i="7"/>
  <c r="O20" i="8"/>
  <c r="H20" i="8"/>
  <c r="Q20" i="8"/>
  <c r="J20" i="8"/>
  <c r="C20" i="8"/>
  <c r="N14" i="8"/>
  <c r="N13" i="8"/>
  <c r="N20" i="8"/>
  <c r="N44" i="8"/>
  <c r="N88" i="6"/>
  <c r="N99" i="6"/>
  <c r="N84" i="6"/>
  <c r="N74" i="6"/>
  <c r="I86" i="6"/>
  <c r="Q86" i="6"/>
  <c r="Y86" i="6"/>
  <c r="B20" i="10"/>
  <c r="K20" i="10"/>
  <c r="K20" i="15"/>
  <c r="I20" i="15"/>
  <c r="O20" i="15"/>
  <c r="G20" i="15"/>
  <c r="R20" i="10"/>
  <c r="J20" i="10"/>
  <c r="N32" i="15"/>
  <c r="N20" i="15"/>
  <c r="N50" i="7"/>
  <c r="N40" i="7"/>
  <c r="N51" i="7"/>
  <c r="P18" i="7"/>
  <c r="N67" i="7"/>
  <c r="N57" i="7"/>
  <c r="N18" i="7"/>
  <c r="N31" i="7"/>
  <c r="N15" i="7"/>
  <c r="AI18" i="7"/>
  <c r="N30" i="7"/>
  <c r="AP18" i="7"/>
  <c r="AG18" i="7"/>
  <c r="N53" i="7"/>
  <c r="P20" i="8"/>
  <c r="Y20" i="8"/>
  <c r="R20" i="8"/>
  <c r="K20" i="8"/>
  <c r="D20" i="8"/>
  <c r="E20" i="8"/>
  <c r="AL20" i="8"/>
  <c r="B20" i="8"/>
  <c r="N36" i="8"/>
  <c r="Z86" i="6"/>
  <c r="N69" i="6"/>
  <c r="N72" i="6" s="1"/>
  <c r="N21" i="10"/>
  <c r="N87" i="6"/>
  <c r="N83" i="6"/>
  <c r="N78" i="6"/>
  <c r="E20" i="10"/>
  <c r="N18" i="15"/>
  <c r="H20" i="10"/>
  <c r="N23" i="15"/>
  <c r="L20" i="15"/>
  <c r="U20" i="10"/>
  <c r="N10" i="15"/>
  <c r="N16" i="10"/>
  <c r="N24" i="10"/>
  <c r="N61" i="7"/>
  <c r="N59" i="7"/>
  <c r="N65" i="7"/>
  <c r="N42" i="7"/>
  <c r="N10" i="7"/>
  <c r="AC18" i="7"/>
  <c r="AA18" i="7"/>
  <c r="N47" i="7"/>
  <c r="BN18" i="7"/>
  <c r="N19" i="7"/>
  <c r="Q18" i="7"/>
  <c r="N21" i="7"/>
  <c r="AE20" i="8"/>
  <c r="AG20" i="8"/>
  <c r="Z20" i="8"/>
  <c r="L20" i="8"/>
  <c r="M20" i="8"/>
  <c r="N9" i="8"/>
  <c r="N47" i="8"/>
  <c r="I26" i="15"/>
  <c r="T9" i="10"/>
  <c r="T9" i="7"/>
  <c r="T17" i="8"/>
  <c r="T2" i="8"/>
  <c r="T4" i="8" s="1"/>
  <c r="T76" i="6"/>
  <c r="BA24" i="7"/>
  <c r="Y24" i="7"/>
  <c r="T26" i="8"/>
  <c r="D26" i="15"/>
  <c r="AL24" i="7"/>
  <c r="T65" i="7"/>
  <c r="T7" i="7"/>
  <c r="AB26" i="8"/>
  <c r="V66" i="19"/>
  <c r="W68" i="18"/>
  <c r="V26" i="10"/>
  <c r="AN28" i="8"/>
  <c r="U63" i="19"/>
  <c r="V65" i="18"/>
  <c r="AF26" i="7"/>
  <c r="Y26" i="7"/>
  <c r="AI28" i="8"/>
  <c r="R28" i="15"/>
  <c r="V10" i="7"/>
  <c r="V13" i="7"/>
  <c r="AC28" i="8"/>
  <c r="V90" i="6"/>
  <c r="V16" i="7"/>
  <c r="I26" i="7"/>
  <c r="AK28" i="8"/>
  <c r="E90" i="17"/>
  <c r="AA85" i="6"/>
  <c r="M90" i="6"/>
  <c r="M89" i="6"/>
  <c r="M99" i="6"/>
  <c r="P85" i="6"/>
  <c r="M8" i="10"/>
  <c r="M8" i="15"/>
  <c r="M13" i="15"/>
  <c r="C19" i="15"/>
  <c r="C19" i="10"/>
  <c r="K19" i="10"/>
  <c r="M14" i="15"/>
  <c r="Z19" i="15"/>
  <c r="M11" i="10"/>
  <c r="M32" i="7"/>
  <c r="E17" i="7"/>
  <c r="BL17" i="7"/>
  <c r="M17" i="7"/>
  <c r="AC17" i="7"/>
  <c r="M58" i="7"/>
  <c r="M70" i="7"/>
  <c r="K17" i="7"/>
  <c r="M62" i="7"/>
  <c r="AG17" i="7"/>
  <c r="M46" i="7"/>
  <c r="BE17" i="7"/>
  <c r="AL19" i="8"/>
  <c r="M16" i="8"/>
  <c r="I19" i="8"/>
  <c r="M14" i="8"/>
  <c r="K19" i="8"/>
  <c r="AB19" i="8"/>
  <c r="M35" i="8"/>
  <c r="B19" i="8"/>
  <c r="M38" i="7"/>
  <c r="M53" i="7"/>
  <c r="I85" i="6"/>
  <c r="M74" i="6"/>
  <c r="C85" i="6"/>
  <c r="Z85" i="6"/>
  <c r="M16" i="10"/>
  <c r="M13" i="10"/>
  <c r="M18" i="10"/>
  <c r="F19" i="10"/>
  <c r="E19" i="10"/>
  <c r="M19" i="10"/>
  <c r="M12" i="10"/>
  <c r="AM17" i="7"/>
  <c r="M69" i="7"/>
  <c r="H17" i="7"/>
  <c r="M16" i="7"/>
  <c r="M48" i="7"/>
  <c r="M40" i="7"/>
  <c r="BO17" i="7"/>
  <c r="M9" i="7"/>
  <c r="M54" i="7"/>
  <c r="BN17" i="7"/>
  <c r="M19" i="7"/>
  <c r="BM17" i="7"/>
  <c r="M21" i="7"/>
  <c r="M34" i="8"/>
  <c r="H19" i="8"/>
  <c r="Q19" i="8"/>
  <c r="J19" i="8"/>
  <c r="AJ19" i="8"/>
  <c r="M9" i="8"/>
  <c r="M46" i="8"/>
  <c r="M35" i="7"/>
  <c r="M76" i="6"/>
  <c r="M79" i="6"/>
  <c r="O85" i="6"/>
  <c r="M85" i="6"/>
  <c r="M84" i="6"/>
  <c r="M64" i="7"/>
  <c r="L19" i="10"/>
  <c r="M10" i="15"/>
  <c r="M9" i="15"/>
  <c r="F19" i="15"/>
  <c r="P19" i="15"/>
  <c r="M33" i="15"/>
  <c r="G19" i="10"/>
  <c r="O19" i="15"/>
  <c r="M56" i="7"/>
  <c r="BD17" i="7"/>
  <c r="AJ17" i="7"/>
  <c r="D17" i="7"/>
  <c r="BJ17" i="7"/>
  <c r="O17" i="7"/>
  <c r="BB17" i="7"/>
  <c r="AU17" i="7"/>
  <c r="BF17" i="7"/>
  <c r="M22" i="7"/>
  <c r="M11" i="7"/>
  <c r="M37" i="7"/>
  <c r="M13" i="7"/>
  <c r="M17" i="8"/>
  <c r="P19" i="8"/>
  <c r="Y19" i="8"/>
  <c r="R19" i="8"/>
  <c r="AA19" i="8"/>
  <c r="M11" i="8"/>
  <c r="M42" i="8"/>
  <c r="M37" i="8"/>
  <c r="AK17" i="7"/>
  <c r="M87" i="6"/>
  <c r="M83" i="6"/>
  <c r="M78" i="6"/>
  <c r="B85" i="6"/>
  <c r="H85" i="6"/>
  <c r="M24" i="10"/>
  <c r="Q19" i="10"/>
  <c r="M15" i="15"/>
  <c r="D19" i="10"/>
  <c r="I19" i="15"/>
  <c r="AA19" i="15"/>
  <c r="L19" i="15"/>
  <c r="M17" i="15"/>
  <c r="M32" i="15"/>
  <c r="K19" i="15"/>
  <c r="M50" i="7"/>
  <c r="M44" i="7"/>
  <c r="AB17" i="7"/>
  <c r="BK17" i="7"/>
  <c r="AN17" i="7"/>
  <c r="P17" i="7"/>
  <c r="M10" i="7"/>
  <c r="M39" i="7"/>
  <c r="Z17" i="7"/>
  <c r="BG17" i="7"/>
  <c r="C17" i="7"/>
  <c r="Y17" i="7"/>
  <c r="I17" i="7"/>
  <c r="G19" i="8"/>
  <c r="AF19" i="8"/>
  <c r="AG19" i="8"/>
  <c r="Z19" i="8"/>
  <c r="AI19" i="8"/>
  <c r="E19" i="8"/>
  <c r="M8" i="8"/>
  <c r="AE17" i="7"/>
  <c r="M88" i="6"/>
  <c r="M22" i="15"/>
  <c r="M40" i="8"/>
  <c r="M97" i="6"/>
  <c r="L85" i="6"/>
  <c r="M82" i="6"/>
  <c r="R85" i="6"/>
  <c r="P19" i="10"/>
  <c r="I19" i="10"/>
  <c r="M31" i="15"/>
  <c r="M24" i="15"/>
  <c r="B19" i="15"/>
  <c r="M68" i="7"/>
  <c r="U19" i="15"/>
  <c r="M14" i="10"/>
  <c r="J19" i="15"/>
  <c r="M51" i="7"/>
  <c r="E19" i="15"/>
  <c r="BH17" i="7"/>
  <c r="AT17" i="7"/>
  <c r="Y19" i="15"/>
  <c r="M61" i="7"/>
  <c r="M15" i="7"/>
  <c r="AQ17" i="7"/>
  <c r="M30" i="7"/>
  <c r="M63" i="7"/>
  <c r="M7" i="7"/>
  <c r="AP17" i="7"/>
  <c r="M6" i="7"/>
  <c r="O19" i="8"/>
  <c r="AN19" i="8"/>
  <c r="AO19" i="8"/>
  <c r="AH19" i="8"/>
  <c r="M21" i="8"/>
  <c r="M19" i="8"/>
  <c r="M2" i="7"/>
  <c r="M4" i="7" s="1"/>
  <c r="M22" i="10"/>
  <c r="M22" i="8"/>
  <c r="F85" i="6"/>
  <c r="D85" i="6"/>
  <c r="G85" i="6"/>
  <c r="M81" i="6"/>
  <c r="M80" i="6"/>
  <c r="M12" i="15"/>
  <c r="H19" i="10"/>
  <c r="M23" i="15"/>
  <c r="M2" i="15"/>
  <c r="M4" i="15" s="1"/>
  <c r="M17" i="10"/>
  <c r="M11" i="15"/>
  <c r="R19" i="10"/>
  <c r="M19" i="15"/>
  <c r="D19" i="15"/>
  <c r="M12" i="7"/>
  <c r="AZ17" i="7"/>
  <c r="AF17" i="7"/>
  <c r="M65" i="7"/>
  <c r="G19" i="15"/>
  <c r="F17" i="7"/>
  <c r="M71" i="7"/>
  <c r="AL17" i="7"/>
  <c r="AH17" i="7"/>
  <c r="AX17" i="7"/>
  <c r="M45" i="7"/>
  <c r="AO17" i="7"/>
  <c r="M10" i="8"/>
  <c r="AM19" i="8"/>
  <c r="M24" i="8"/>
  <c r="M23" i="8"/>
  <c r="M38" i="8"/>
  <c r="M12" i="8"/>
  <c r="U19" i="8"/>
  <c r="M2" i="8"/>
  <c r="M4" i="8" s="1"/>
  <c r="AE19" i="8"/>
  <c r="M77" i="6"/>
  <c r="Q85" i="6"/>
  <c r="Y85" i="6"/>
  <c r="E85" i="6"/>
  <c r="K85" i="6"/>
  <c r="M10" i="10"/>
  <c r="M21" i="15"/>
  <c r="M15" i="10"/>
  <c r="Q19" i="15"/>
  <c r="B19" i="10"/>
  <c r="M16" i="15"/>
  <c r="M67" i="7"/>
  <c r="O19" i="10"/>
  <c r="M49" i="7"/>
  <c r="U17" i="7"/>
  <c r="BC17" i="7"/>
  <c r="BI17" i="7"/>
  <c r="M33" i="7"/>
  <c r="M42" i="7"/>
  <c r="M36" i="7"/>
  <c r="AA17" i="7"/>
  <c r="G17" i="7"/>
  <c r="M47" i="7"/>
  <c r="R17" i="7"/>
  <c r="M29" i="7"/>
  <c r="B17" i="7"/>
  <c r="M18" i="8"/>
  <c r="M33" i="8"/>
  <c r="M32" i="8"/>
  <c r="M31" i="8"/>
  <c r="M13" i="8"/>
  <c r="D19" i="8"/>
  <c r="AC19" i="8"/>
  <c r="M44" i="8"/>
  <c r="M60" i="7"/>
  <c r="M20" i="7"/>
  <c r="M41" i="7"/>
  <c r="AK19" i="8"/>
  <c r="M43" i="8"/>
  <c r="M98" i="6"/>
  <c r="M69" i="6"/>
  <c r="M72" i="6" s="1"/>
  <c r="M75" i="6"/>
  <c r="J85" i="6"/>
  <c r="U85" i="6"/>
  <c r="M23" i="10"/>
  <c r="U19" i="10"/>
  <c r="M21" i="10"/>
  <c r="R19" i="15"/>
  <c r="M9" i="10"/>
  <c r="J19" i="10"/>
  <c r="M2" i="10"/>
  <c r="M4" i="10" s="1"/>
  <c r="H19" i="15"/>
  <c r="M18" i="15"/>
  <c r="AS17" i="7"/>
  <c r="M8" i="7"/>
  <c r="AR17" i="7"/>
  <c r="BA17" i="7"/>
  <c r="L17" i="7"/>
  <c r="M66" i="7"/>
  <c r="AY17" i="7"/>
  <c r="M31" i="7"/>
  <c r="AI17" i="7"/>
  <c r="M14" i="7"/>
  <c r="AW17" i="7"/>
  <c r="Q17" i="7"/>
  <c r="J17" i="7"/>
  <c r="F19" i="8"/>
  <c r="M41" i="8"/>
  <c r="M15" i="8"/>
  <c r="M39" i="8"/>
  <c r="C19" i="8"/>
  <c r="L19" i="8"/>
  <c r="M47" i="8"/>
  <c r="AD17" i="7"/>
  <c r="M52" i="7"/>
  <c r="M57" i="7"/>
  <c r="N19" i="15"/>
  <c r="M45" i="8"/>
  <c r="N19" i="10"/>
  <c r="N19" i="8"/>
  <c r="M43" i="7"/>
  <c r="M55" i="7"/>
  <c r="N17" i="7"/>
  <c r="N85" i="6"/>
  <c r="M59" i="7"/>
  <c r="AD19" i="8"/>
  <c r="M36" i="8"/>
  <c r="AV17" i="7"/>
  <c r="M34" i="7"/>
  <c r="N26" i="10"/>
  <c r="T13" i="8"/>
  <c r="T90" i="6"/>
  <c r="C26" i="15"/>
  <c r="T60" i="7"/>
  <c r="E24" i="7"/>
  <c r="T24" i="8"/>
  <c r="V35" i="17"/>
  <c r="W37" i="16"/>
  <c r="Q26" i="15"/>
  <c r="T48" i="7"/>
  <c r="T44" i="7"/>
  <c r="T25" i="8"/>
  <c r="T41" i="8"/>
  <c r="G26" i="15"/>
  <c r="T25" i="15"/>
  <c r="T64" i="7"/>
  <c r="E26" i="8"/>
  <c r="T47" i="8"/>
  <c r="T35" i="7"/>
  <c r="T37" i="8"/>
  <c r="T20" i="10"/>
  <c r="T20" i="8"/>
  <c r="AD26" i="8"/>
  <c r="T34" i="7"/>
  <c r="T86" i="6"/>
  <c r="T36" i="8"/>
  <c r="T20" i="15"/>
  <c r="T18" i="7"/>
  <c r="AD24" i="7"/>
  <c r="T52" i="7"/>
  <c r="T29" i="8"/>
  <c r="V85" i="6"/>
  <c r="T28" i="10"/>
  <c r="U7" i="19"/>
  <c r="V9" i="18"/>
  <c r="V18" i="7"/>
  <c r="R26" i="7"/>
  <c r="AO28" i="8"/>
  <c r="V99" i="6"/>
  <c r="L26" i="7"/>
  <c r="AB28" i="8"/>
  <c r="V60" i="18"/>
  <c r="U58" i="19"/>
  <c r="J28" i="15"/>
  <c r="V8" i="7"/>
  <c r="V27" i="8"/>
  <c r="V28" i="8"/>
  <c r="V17" i="10"/>
  <c r="V25" i="7"/>
  <c r="G28" i="8"/>
  <c r="AD28" i="8"/>
  <c r="V93" i="6"/>
  <c r="T2" i="15"/>
  <c r="T4" i="15" s="1"/>
  <c r="T26" i="15"/>
  <c r="B24" i="7"/>
  <c r="F26" i="8"/>
  <c r="T78" i="6"/>
  <c r="N26" i="15"/>
  <c r="T33" i="15"/>
  <c r="AI24" i="7"/>
  <c r="N26" i="8"/>
  <c r="W30" i="22"/>
  <c r="V28" i="23"/>
  <c r="Z30" i="22"/>
  <c r="T97" i="6"/>
  <c r="S88" i="6"/>
  <c r="S17" i="7"/>
  <c r="S22" i="10"/>
  <c r="AK23" i="7"/>
  <c r="S19" i="15"/>
  <c r="S19" i="8"/>
  <c r="S37" i="8"/>
  <c r="AK25" i="8"/>
  <c r="S22" i="15"/>
  <c r="S20" i="7"/>
  <c r="S38" i="7"/>
  <c r="S53" i="7"/>
  <c r="S41" i="7"/>
  <c r="S85" i="6"/>
  <c r="AE23" i="7"/>
  <c r="S19" i="10"/>
  <c r="S60" i="7"/>
  <c r="S35" i="7"/>
  <c r="AE25" i="8"/>
  <c r="S22" i="8"/>
  <c r="S40" i="8"/>
  <c r="S43" i="8"/>
  <c r="S86" i="6"/>
  <c r="S18" i="7"/>
  <c r="AD25" i="8"/>
  <c r="S57" i="7"/>
  <c r="Z91" i="6"/>
  <c r="S84" i="6"/>
  <c r="Q91" i="6"/>
  <c r="D91" i="6"/>
  <c r="S82" i="6"/>
  <c r="S8" i="10"/>
  <c r="S69" i="6"/>
  <c r="S72" i="6" s="1"/>
  <c r="S12" i="15"/>
  <c r="S14" i="10"/>
  <c r="S25" i="15"/>
  <c r="D25" i="10"/>
  <c r="S18" i="15"/>
  <c r="G25" i="10"/>
  <c r="S32" i="15"/>
  <c r="M25" i="10"/>
  <c r="BC23" i="7"/>
  <c r="AN23" i="7"/>
  <c r="AT23" i="7"/>
  <c r="AZ23" i="7"/>
  <c r="BG23" i="7"/>
  <c r="BL23" i="7"/>
  <c r="S22" i="7"/>
  <c r="R23" i="7"/>
  <c r="S15" i="7"/>
  <c r="AI23" i="7"/>
  <c r="I23" i="7"/>
  <c r="S62" i="7"/>
  <c r="S16" i="8"/>
  <c r="S23" i="8"/>
  <c r="F25" i="8"/>
  <c r="S12" i="8"/>
  <c r="Q25" i="8"/>
  <c r="J25" i="8"/>
  <c r="K25" i="8"/>
  <c r="S9" i="8"/>
  <c r="AV23" i="7"/>
  <c r="S20" i="10"/>
  <c r="N25" i="8"/>
  <c r="S45" i="8"/>
  <c r="S80" i="6"/>
  <c r="F91" i="6"/>
  <c r="AA91" i="6"/>
  <c r="S83" i="6"/>
  <c r="S81" i="6"/>
  <c r="S24" i="10"/>
  <c r="S15" i="15"/>
  <c r="P25" i="10"/>
  <c r="Q23" i="7"/>
  <c r="G25" i="15"/>
  <c r="S17" i="15"/>
  <c r="E25" i="15"/>
  <c r="S27" i="15"/>
  <c r="S24" i="15"/>
  <c r="S71" i="7"/>
  <c r="S23" i="7"/>
  <c r="J23" i="7"/>
  <c r="Z23" i="7"/>
  <c r="BA23" i="7"/>
  <c r="S44" i="7"/>
  <c r="S9" i="7"/>
  <c r="S14" i="7"/>
  <c r="BN23" i="7"/>
  <c r="S47" i="7"/>
  <c r="S36" i="7"/>
  <c r="S48" i="7"/>
  <c r="S19" i="7"/>
  <c r="S24" i="8"/>
  <c r="E25" i="8"/>
  <c r="AL25" i="8"/>
  <c r="H25" i="8"/>
  <c r="Y25" i="8"/>
  <c r="R25" i="8"/>
  <c r="S25" i="8"/>
  <c r="B25" i="8"/>
  <c r="N23" i="7"/>
  <c r="S99" i="6"/>
  <c r="K91" i="6"/>
  <c r="S90" i="6"/>
  <c r="S89" i="6"/>
  <c r="M91" i="6"/>
  <c r="S10" i="15"/>
  <c r="K25" i="10"/>
  <c r="S12" i="10"/>
  <c r="S15" i="10"/>
  <c r="L25" i="10"/>
  <c r="S27" i="10"/>
  <c r="R25" i="15"/>
  <c r="L25" i="15"/>
  <c r="S9" i="15"/>
  <c r="S39" i="7"/>
  <c r="BO23" i="7"/>
  <c r="AQ23" i="7"/>
  <c r="BM23" i="7"/>
  <c r="BB23" i="7"/>
  <c r="S64" i="7"/>
  <c r="BF23" i="7"/>
  <c r="D23" i="7"/>
  <c r="AH23" i="7"/>
  <c r="L23" i="7"/>
  <c r="S67" i="7"/>
  <c r="S40" i="7"/>
  <c r="S7" i="7"/>
  <c r="D25" i="8"/>
  <c r="M25" i="8"/>
  <c r="S38" i="8"/>
  <c r="P25" i="8"/>
  <c r="AG25" i="8"/>
  <c r="Z25" i="8"/>
  <c r="AA25" i="8"/>
  <c r="S8" i="8"/>
  <c r="S59" i="7"/>
  <c r="N25" i="10"/>
  <c r="B91" i="6"/>
  <c r="S98" i="6"/>
  <c r="S74" i="6"/>
  <c r="S93" i="6"/>
  <c r="R91" i="6"/>
  <c r="M25" i="15"/>
  <c r="S14" i="15"/>
  <c r="R25" i="10"/>
  <c r="S13" i="10"/>
  <c r="S2" i="10"/>
  <c r="S4" i="10" s="1"/>
  <c r="C25" i="10"/>
  <c r="Y25" i="15"/>
  <c r="B25" i="15"/>
  <c r="S11" i="10"/>
  <c r="S31" i="7"/>
  <c r="AX23" i="7"/>
  <c r="S42" i="7"/>
  <c r="S25" i="7"/>
  <c r="BD23" i="7"/>
  <c r="S49" i="7"/>
  <c r="AU23" i="7"/>
  <c r="E23" i="7"/>
  <c r="K23" i="7"/>
  <c r="M23" i="7"/>
  <c r="U23" i="7"/>
  <c r="S58" i="7"/>
  <c r="C23" i="7"/>
  <c r="L25" i="8"/>
  <c r="U25" i="8"/>
  <c r="S13" i="8"/>
  <c r="AF25" i="8"/>
  <c r="AO25" i="8"/>
  <c r="AH25" i="8"/>
  <c r="AI25" i="8"/>
  <c r="S2" i="7"/>
  <c r="S4" i="7" s="1"/>
  <c r="N91" i="6"/>
  <c r="N25" i="15"/>
  <c r="P91" i="6"/>
  <c r="I91" i="6"/>
  <c r="S78" i="6"/>
  <c r="E91" i="6"/>
  <c r="S75" i="6"/>
  <c r="C25" i="15"/>
  <c r="S17" i="10"/>
  <c r="S31" i="15"/>
  <c r="AA25" i="15"/>
  <c r="J25" i="10"/>
  <c r="U25" i="15"/>
  <c r="O25" i="10"/>
  <c r="Q25" i="15"/>
  <c r="D25" i="15"/>
  <c r="S54" i="7"/>
  <c r="AY23" i="7"/>
  <c r="S37" i="7"/>
  <c r="S32" i="7"/>
  <c r="S8" i="7"/>
  <c r="S30" i="7"/>
  <c r="AG23" i="7"/>
  <c r="F23" i="7"/>
  <c r="S56" i="7"/>
  <c r="P23" i="7"/>
  <c r="S16" i="7"/>
  <c r="S68" i="7"/>
  <c r="B23" i="7"/>
  <c r="AB25" i="8"/>
  <c r="AC25" i="8"/>
  <c r="S21" i="8"/>
  <c r="AN25" i="8"/>
  <c r="S27" i="8"/>
  <c r="S34" i="8"/>
  <c r="S33" i="8"/>
  <c r="S2" i="8"/>
  <c r="S4" i="8" s="1"/>
  <c r="S52" i="7"/>
  <c r="S20" i="15"/>
  <c r="AD23" i="7"/>
  <c r="S36" i="8"/>
  <c r="C91" i="6"/>
  <c r="S91" i="6"/>
  <c r="S76" i="6"/>
  <c r="O91" i="6"/>
  <c r="S21" i="10"/>
  <c r="H25" i="15"/>
  <c r="B25" i="10"/>
  <c r="S23" i="15"/>
  <c r="O25" i="15"/>
  <c r="S9" i="10"/>
  <c r="Z25" i="15"/>
  <c r="F25" i="10"/>
  <c r="U25" i="10"/>
  <c r="P25" i="15"/>
  <c r="AB23" i="7"/>
  <c r="S69" i="7"/>
  <c r="S63" i="7"/>
  <c r="BE23" i="7"/>
  <c r="AP23" i="7"/>
  <c r="BH23" i="7"/>
  <c r="S45" i="7"/>
  <c r="H23" i="7"/>
  <c r="S66" i="7"/>
  <c r="S12" i="7"/>
  <c r="AM23" i="7"/>
  <c r="S29" i="7"/>
  <c r="S6" i="7"/>
  <c r="AJ25" i="8"/>
  <c r="S31" i="8"/>
  <c r="G25" i="8"/>
  <c r="S44" i="8"/>
  <c r="S35" i="8"/>
  <c r="S42" i="8"/>
  <c r="S41" i="8"/>
  <c r="S34" i="7"/>
  <c r="S43" i="7"/>
  <c r="U91" i="6"/>
  <c r="S87" i="6"/>
  <c r="S97" i="6"/>
  <c r="G91" i="6"/>
  <c r="J91" i="6"/>
  <c r="S13" i="15"/>
  <c r="I25" i="15"/>
  <c r="S18" i="10"/>
  <c r="S23" i="10"/>
  <c r="S10" i="10"/>
  <c r="K25" i="15"/>
  <c r="F25" i="15"/>
  <c r="S16" i="15"/>
  <c r="S16" i="10"/>
  <c r="S2" i="15"/>
  <c r="S4" i="15" s="1"/>
  <c r="AC23" i="7"/>
  <c r="AJ23" i="7"/>
  <c r="AR23" i="7"/>
  <c r="S61" i="7"/>
  <c r="Y23" i="7"/>
  <c r="BI23" i="7"/>
  <c r="S65" i="7"/>
  <c r="S10" i="7"/>
  <c r="S51" i="7"/>
  <c r="AO23" i="7"/>
  <c r="BK23" i="7"/>
  <c r="S13" i="7"/>
  <c r="S11" i="7"/>
  <c r="S32" i="8"/>
  <c r="S39" i="8"/>
  <c r="O25" i="8"/>
  <c r="S11" i="8"/>
  <c r="S10" i="8"/>
  <c r="S17" i="8"/>
  <c r="S47" i="8"/>
  <c r="S55" i="7"/>
  <c r="S20" i="8"/>
  <c r="H91" i="6"/>
  <c r="S77" i="6"/>
  <c r="S79" i="6"/>
  <c r="Y91" i="6"/>
  <c r="L91" i="6"/>
  <c r="S21" i="15"/>
  <c r="E25" i="10"/>
  <c r="S25" i="10"/>
  <c r="S8" i="15"/>
  <c r="S33" i="15"/>
  <c r="Q25" i="10"/>
  <c r="I25" i="10"/>
  <c r="J25" i="15"/>
  <c r="H25" i="10"/>
  <c r="S11" i="15"/>
  <c r="AF23" i="7"/>
  <c r="AL23" i="7"/>
  <c r="AS23" i="7"/>
  <c r="O23" i="7"/>
  <c r="S33" i="7"/>
  <c r="BJ23" i="7"/>
  <c r="S50" i="7"/>
  <c r="G23" i="7"/>
  <c r="S46" i="7"/>
  <c r="AA23" i="7"/>
  <c r="AW23" i="7"/>
  <c r="S70" i="7"/>
  <c r="S21" i="7"/>
  <c r="S15" i="8"/>
  <c r="S14" i="8"/>
  <c r="AM25" i="8"/>
  <c r="I25" i="8"/>
  <c r="S18" i="8"/>
  <c r="C25" i="8"/>
  <c r="S46" i="8"/>
  <c r="S27" i="7"/>
  <c r="S29" i="8"/>
  <c r="W23" i="7"/>
  <c r="S29" i="15"/>
  <c r="T28" i="15"/>
  <c r="V19" i="15"/>
  <c r="V79" i="6"/>
  <c r="AN26" i="7"/>
  <c r="AP26" i="7"/>
  <c r="AH28" i="8"/>
  <c r="K28" i="10"/>
  <c r="V62" i="7"/>
  <c r="V21" i="7"/>
  <c r="U28" i="8"/>
  <c r="V25" i="15"/>
  <c r="AI26" i="7"/>
  <c r="V18" i="8"/>
  <c r="V2" i="8"/>
  <c r="V4" i="8" s="1"/>
  <c r="V15" i="7"/>
  <c r="V26" i="8"/>
  <c r="B28" i="8"/>
  <c r="K26" i="8"/>
  <c r="T88" i="6"/>
  <c r="E26" i="15"/>
  <c r="M26" i="10"/>
  <c r="Z24" i="7"/>
  <c r="T22" i="8"/>
  <c r="T74" i="6"/>
  <c r="P26" i="15"/>
  <c r="T59" i="7"/>
  <c r="AE24" i="7"/>
  <c r="O26" i="8"/>
  <c r="L92" i="6"/>
  <c r="L26" i="15"/>
  <c r="G24" i="7"/>
  <c r="W34" i="18"/>
  <c r="V32" i="19"/>
  <c r="S26" i="7"/>
  <c r="V91" i="6"/>
  <c r="S28" i="15"/>
  <c r="V86" i="6"/>
  <c r="W28" i="15"/>
  <c r="V60" i="7"/>
  <c r="V19" i="8"/>
  <c r="N28" i="8"/>
  <c r="V27" i="23"/>
  <c r="W29" i="22"/>
  <c r="V50" i="7"/>
  <c r="AS26" i="7"/>
  <c r="V17" i="8"/>
  <c r="I28" i="10"/>
  <c r="V25" i="8"/>
  <c r="V4" i="18"/>
  <c r="U2" i="19"/>
  <c r="W55" i="20"/>
  <c r="V53" i="21"/>
  <c r="W40" i="20"/>
  <c r="V38" i="21"/>
  <c r="V40" i="18"/>
  <c r="U38" i="19"/>
  <c r="V34" i="16"/>
  <c r="U32" i="17"/>
  <c r="W35" i="22"/>
  <c r="V33" i="23"/>
  <c r="W47" i="20"/>
  <c r="V45" i="21"/>
  <c r="X45" i="20"/>
  <c r="W43" i="21"/>
  <c r="W43" i="20"/>
  <c r="V41" i="21"/>
  <c r="X19" i="17"/>
  <c r="Y21" i="16"/>
  <c r="W49" i="20"/>
  <c r="V47" i="21"/>
  <c r="W68" i="16"/>
  <c r="V66" i="17"/>
  <c r="V33" i="19"/>
  <c r="W35" i="18"/>
  <c r="V11" i="19"/>
  <c r="W13" i="18"/>
  <c r="T88" i="17"/>
  <c r="T80" i="17"/>
  <c r="T72" i="17"/>
  <c r="G90" i="17"/>
  <c r="O90" i="17"/>
  <c r="V66" i="23"/>
  <c r="W68" i="22"/>
  <c r="Y28" i="17"/>
  <c r="AA30" i="16"/>
  <c r="AA28" i="17" s="1"/>
  <c r="Z30" i="16"/>
  <c r="Z28" i="17" s="1"/>
  <c r="W32" i="20"/>
  <c r="V30" i="21"/>
  <c r="U12" i="19"/>
  <c r="V14" i="18"/>
  <c r="V65" i="16"/>
  <c r="U63" i="17"/>
  <c r="V32" i="18"/>
  <c r="U30" i="19"/>
  <c r="Y17" i="22"/>
  <c r="X15" i="23"/>
  <c r="Y37" i="20"/>
  <c r="X35" i="21"/>
  <c r="V46" i="19"/>
  <c r="W48" i="18"/>
  <c r="V59" i="23"/>
  <c r="W61" i="22"/>
  <c r="V50" i="19"/>
  <c r="W52" i="18"/>
  <c r="V41" i="19"/>
  <c r="W43" i="18"/>
  <c r="Y17" i="18"/>
  <c r="X15" i="19"/>
  <c r="Y22" i="18"/>
  <c r="X20" i="19"/>
  <c r="U43" i="19"/>
  <c r="V45" i="18"/>
  <c r="V31" i="17"/>
  <c r="W33" i="16"/>
  <c r="W52" i="16"/>
  <c r="V50" i="17"/>
  <c r="V23" i="23"/>
  <c r="W25" i="22"/>
  <c r="W33" i="17"/>
  <c r="X35" i="16"/>
  <c r="T87" i="17"/>
  <c r="T79" i="17"/>
  <c r="I90" i="17"/>
  <c r="Q90" i="17"/>
  <c r="T90" i="17"/>
  <c r="W51" i="20"/>
  <c r="V49" i="21"/>
  <c r="V20" i="17"/>
  <c r="W22" i="16"/>
  <c r="X34" i="20"/>
  <c r="W32" i="21"/>
  <c r="X33" i="20"/>
  <c r="W31" i="21"/>
  <c r="V41" i="23"/>
  <c r="W43" i="22"/>
  <c r="U4" i="19"/>
  <c r="V6" i="18"/>
  <c r="V54" i="19"/>
  <c r="W56" i="18"/>
  <c r="X25" i="20"/>
  <c r="W23" i="21"/>
  <c r="U44" i="19"/>
  <c r="V46" i="18"/>
  <c r="V62" i="18"/>
  <c r="U60" i="19"/>
  <c r="W66" i="20"/>
  <c r="V64" i="21"/>
  <c r="X54" i="20"/>
  <c r="W52" i="21"/>
  <c r="W20" i="20"/>
  <c r="V18" i="21"/>
  <c r="X11" i="20"/>
  <c r="W9" i="21"/>
  <c r="Z38" i="20"/>
  <c r="Y36" i="21"/>
  <c r="Y21" i="22"/>
  <c r="X19" i="23"/>
  <c r="Y60" i="20"/>
  <c r="X58" i="21"/>
  <c r="Y12" i="22"/>
  <c r="Y10" i="23" s="1"/>
  <c r="X10" i="23"/>
  <c r="V48" i="23"/>
  <c r="W50" i="22"/>
  <c r="AA12" i="20"/>
  <c r="AA10" i="21" s="1"/>
  <c r="Z10" i="21"/>
  <c r="W6" i="16"/>
  <c r="V4" i="17"/>
  <c r="X29" i="20"/>
  <c r="W27" i="21"/>
  <c r="W34" i="22"/>
  <c r="V32" i="23"/>
  <c r="X49" i="19"/>
  <c r="Y51" i="18"/>
  <c r="W62" i="20"/>
  <c r="V60" i="21"/>
  <c r="X64" i="23"/>
  <c r="Y66" i="22"/>
  <c r="V15" i="18"/>
  <c r="U13" i="19"/>
  <c r="W16" i="22"/>
  <c r="V14" i="23"/>
  <c r="W39" i="23"/>
  <c r="X41" i="22"/>
  <c r="V45" i="16"/>
  <c r="U43" i="17"/>
  <c r="T86" i="17"/>
  <c r="T78" i="17"/>
  <c r="H90" i="17"/>
  <c r="K90" i="17"/>
  <c r="N90" i="17"/>
  <c r="L90" i="17"/>
  <c r="U12" i="17"/>
  <c r="V14" i="16"/>
  <c r="U60" i="17"/>
  <c r="V62" i="16"/>
  <c r="W11" i="23"/>
  <c r="X13" i="22"/>
  <c r="U52" i="19"/>
  <c r="V54" i="18"/>
  <c r="X21" i="20"/>
  <c r="W19" i="21"/>
  <c r="X55" i="22"/>
  <c r="W53" i="23"/>
  <c r="W9" i="23"/>
  <c r="X11" i="22"/>
  <c r="V5" i="18"/>
  <c r="U3" i="19"/>
  <c r="W36" i="16"/>
  <c r="V34" i="17"/>
  <c r="Y5" i="20"/>
  <c r="X3" i="21"/>
  <c r="V2" i="21"/>
  <c r="W4" i="20"/>
  <c r="W2" i="21" s="1"/>
  <c r="X4" i="20"/>
  <c r="V18" i="23"/>
  <c r="W20" i="22"/>
  <c r="T89" i="17"/>
  <c r="V14" i="19"/>
  <c r="W16" i="18"/>
  <c r="W60" i="16"/>
  <c r="V58" i="17"/>
  <c r="Z6" i="20"/>
  <c r="Y4" i="21"/>
  <c r="V46" i="23"/>
  <c r="W48" i="22"/>
  <c r="W49" i="18"/>
  <c r="V47" i="19"/>
  <c r="T85" i="17"/>
  <c r="T77" i="17"/>
  <c r="P90" i="17"/>
  <c r="F90" i="17"/>
  <c r="W23" i="20"/>
  <c r="V21" i="21"/>
  <c r="W58" i="20"/>
  <c r="V56" i="21"/>
  <c r="W28" i="20"/>
  <c r="V26" i="21"/>
  <c r="W49" i="17"/>
  <c r="X51" i="16"/>
  <c r="AA17" i="20"/>
  <c r="AA15" i="21" s="1"/>
  <c r="Z15" i="21"/>
  <c r="V58" i="16"/>
  <c r="U56" i="17"/>
  <c r="W66" i="16"/>
  <c r="V64" i="17"/>
  <c r="Z46" i="22"/>
  <c r="X46" i="22"/>
  <c r="X44" i="23" s="1"/>
  <c r="W44" i="23"/>
  <c r="Y31" i="20"/>
  <c r="X29" i="21"/>
  <c r="W52" i="20"/>
  <c r="V50" i="21"/>
  <c r="G90" i="19"/>
  <c r="D90" i="19"/>
  <c r="T68" i="19"/>
  <c r="T70" i="19" s="1"/>
  <c r="T77" i="19"/>
  <c r="T85" i="19"/>
  <c r="H90" i="19"/>
  <c r="B90" i="19"/>
  <c r="T78" i="19"/>
  <c r="T86" i="19"/>
  <c r="I90" i="19"/>
  <c r="K90" i="19"/>
  <c r="E90" i="19"/>
  <c r="M90" i="19"/>
  <c r="T79" i="19"/>
  <c r="T87" i="19"/>
  <c r="F90" i="19"/>
  <c r="S90" i="19"/>
  <c r="T72" i="19"/>
  <c r="T80" i="19"/>
  <c r="Q90" i="19"/>
  <c r="L90" i="19"/>
  <c r="T74" i="19"/>
  <c r="T81" i="19"/>
  <c r="C90" i="19"/>
  <c r="T90" i="19"/>
  <c r="T73" i="19"/>
  <c r="T82" i="19"/>
  <c r="J90" i="19"/>
  <c r="N90" i="19"/>
  <c r="O90" i="19"/>
  <c r="T75" i="19"/>
  <c r="T83" i="19"/>
  <c r="R90" i="19"/>
  <c r="P90" i="19"/>
  <c r="T76" i="19"/>
  <c r="T84" i="19"/>
  <c r="T88" i="19"/>
  <c r="Z44" i="21"/>
  <c r="AA46" i="20"/>
  <c r="AA44" i="21" s="1"/>
  <c r="X45" i="22"/>
  <c r="W43" i="23"/>
  <c r="U21" i="19"/>
  <c r="V23" i="18"/>
  <c r="U11" i="17"/>
  <c r="V13" i="16"/>
  <c r="V37" i="18"/>
  <c r="U35" i="19"/>
  <c r="X61" i="20"/>
  <c r="W59" i="21"/>
  <c r="W64" i="20"/>
  <c r="V62" i="21"/>
  <c r="U30" i="17"/>
  <c r="V32" i="16"/>
  <c r="Y15" i="16"/>
  <c r="X13" i="17"/>
  <c r="C91" i="21"/>
  <c r="K91" i="21"/>
  <c r="S91" i="21"/>
  <c r="D91" i="21"/>
  <c r="L91" i="21"/>
  <c r="T91" i="21"/>
  <c r="E91" i="21"/>
  <c r="M91" i="21"/>
  <c r="U91" i="21"/>
  <c r="H91" i="21"/>
  <c r="P91" i="21"/>
  <c r="B91" i="21"/>
  <c r="G91" i="21"/>
  <c r="I91" i="21"/>
  <c r="J91" i="21"/>
  <c r="Q91" i="21"/>
  <c r="U68" i="21"/>
  <c r="U70" i="21" s="1"/>
  <c r="F91" i="21"/>
  <c r="R91" i="21"/>
  <c r="N91" i="21"/>
  <c r="O91" i="21"/>
  <c r="U72" i="21"/>
  <c r="U73" i="21"/>
  <c r="U74" i="21"/>
  <c r="U75" i="21"/>
  <c r="U76" i="21"/>
  <c r="U77" i="21"/>
  <c r="U78" i="21"/>
  <c r="U79" i="21"/>
  <c r="U80" i="21"/>
  <c r="U81" i="21"/>
  <c r="U82" i="21"/>
  <c r="U83" i="21"/>
  <c r="U84" i="21"/>
  <c r="U85" i="21"/>
  <c r="U86" i="21"/>
  <c r="U87" i="21"/>
  <c r="U88" i="21"/>
  <c r="U89" i="21"/>
  <c r="V51" i="23"/>
  <c r="W53" i="22"/>
  <c r="W64" i="22"/>
  <c r="V62" i="23"/>
  <c r="U62" i="19"/>
  <c r="V64" i="18"/>
  <c r="AA12" i="22"/>
  <c r="AA10" i="23" s="1"/>
  <c r="Z10" i="23"/>
  <c r="U48" i="19"/>
  <c r="V50" i="18"/>
  <c r="W36" i="17"/>
  <c r="X38" i="16"/>
  <c r="W6" i="22"/>
  <c r="V4" i="23"/>
  <c r="X14" i="22"/>
  <c r="W12" i="23"/>
  <c r="AA12" i="16"/>
  <c r="AA10" i="17" s="1"/>
  <c r="Z10" i="17"/>
  <c r="V2" i="23"/>
  <c r="W4" i="22"/>
  <c r="W2" i="23" s="1"/>
  <c r="Y4" i="22"/>
  <c r="Y2" i="23" s="1"/>
  <c r="V25" i="23"/>
  <c r="W27" i="22"/>
  <c r="V34" i="23"/>
  <c r="W36" i="22"/>
  <c r="V63" i="23"/>
  <c r="W65" i="22"/>
  <c r="X58" i="22"/>
  <c r="W56" i="23"/>
  <c r="T84" i="17"/>
  <c r="T76" i="17"/>
  <c r="W22" i="22"/>
  <c r="V20" i="23"/>
  <c r="W61" i="16"/>
  <c r="V59" i="17"/>
  <c r="W23" i="19"/>
  <c r="X25" i="18"/>
  <c r="W49" i="23"/>
  <c r="X51" i="22"/>
  <c r="W54" i="22"/>
  <c r="V52" i="23"/>
  <c r="U56" i="19"/>
  <c r="V58" i="18"/>
  <c r="V45" i="19"/>
  <c r="W47" i="18"/>
  <c r="V9" i="17"/>
  <c r="W11" i="16"/>
  <c r="U51" i="19"/>
  <c r="V53" i="18"/>
  <c r="V51" i="19" s="1"/>
  <c r="X30" i="18"/>
  <c r="W28" i="19"/>
  <c r="V17" i="17"/>
  <c r="W19" i="16"/>
  <c r="V40" i="23"/>
  <c r="W42" i="22"/>
  <c r="W40" i="23" s="1"/>
  <c r="W60" i="23"/>
  <c r="X62" i="22"/>
  <c r="Y37" i="17"/>
  <c r="AA39" i="16"/>
  <c r="AA37" i="17" s="1"/>
  <c r="Z39" i="16"/>
  <c r="Z37" i="17" s="1"/>
  <c r="Y65" i="20"/>
  <c r="X63" i="21"/>
  <c r="W21" i="18"/>
  <c r="V19" i="19"/>
  <c r="U31" i="19"/>
  <c r="V33" i="18"/>
  <c r="W47" i="23"/>
  <c r="X49" i="22"/>
  <c r="AA41" i="16"/>
  <c r="AA39" i="17" s="1"/>
  <c r="Z41" i="16"/>
  <c r="Z39" i="17" s="1"/>
  <c r="Y39" i="17"/>
  <c r="X2" i="23"/>
  <c r="T83" i="17"/>
  <c r="T75" i="17"/>
  <c r="C90" i="17"/>
  <c r="W26" i="17"/>
  <c r="X28" i="16"/>
  <c r="W56" i="20"/>
  <c r="V54" i="21"/>
  <c r="W48" i="20"/>
  <c r="V46" i="21"/>
  <c r="W35" i="20"/>
  <c r="V33" i="21"/>
  <c r="X33" i="22"/>
  <c r="W31" i="23"/>
  <c r="V55" i="16"/>
  <c r="U53" i="17"/>
  <c r="V41" i="17"/>
  <c r="W43" i="16"/>
  <c r="W62" i="17"/>
  <c r="X64" i="16"/>
  <c r="U46" i="17"/>
  <c r="V48" i="16"/>
  <c r="X15" i="20"/>
  <c r="W13" i="21"/>
  <c r="Z53" i="16"/>
  <c r="Y51" i="17"/>
  <c r="W36" i="20"/>
  <c r="V34" i="21"/>
  <c r="X63" i="18"/>
  <c r="W61" i="19"/>
  <c r="V24" i="18"/>
  <c r="U22" i="19"/>
  <c r="W42" i="20"/>
  <c r="V40" i="21"/>
  <c r="Z27" i="18"/>
  <c r="Y25" i="19"/>
  <c r="V54" i="16"/>
  <c r="U52" i="17"/>
  <c r="U36" i="19"/>
  <c r="V38" i="18"/>
  <c r="X3" i="17"/>
  <c r="Y5" i="16"/>
  <c r="U20" i="19"/>
  <c r="V22" i="18"/>
  <c r="V20" i="19" s="1"/>
  <c r="V22" i="17"/>
  <c r="W24" i="16"/>
  <c r="U45" i="17"/>
  <c r="V47" i="16"/>
  <c r="U48" i="17"/>
  <c r="V50" i="16"/>
  <c r="V66" i="18"/>
  <c r="U64" i="19"/>
  <c r="W2" i="17"/>
  <c r="X4" i="16"/>
  <c r="X38" i="23"/>
  <c r="Y40" i="22"/>
  <c r="W29" i="17"/>
  <c r="X31" i="16"/>
  <c r="W52" i="22"/>
  <c r="V50" i="23"/>
  <c r="J91" i="23"/>
  <c r="R91" i="23"/>
  <c r="C91" i="23"/>
  <c r="K91" i="23"/>
  <c r="S91" i="23"/>
  <c r="D91" i="23"/>
  <c r="L91" i="23"/>
  <c r="T91" i="23"/>
  <c r="E91" i="23"/>
  <c r="M91" i="23"/>
  <c r="U91" i="23"/>
  <c r="N91" i="23"/>
  <c r="U68" i="23"/>
  <c r="U70" i="23" s="1"/>
  <c r="O91" i="23"/>
  <c r="P91" i="23"/>
  <c r="G91" i="23"/>
  <c r="H91" i="23"/>
  <c r="I91" i="23"/>
  <c r="Q91" i="23"/>
  <c r="B91" i="23"/>
  <c r="F91" i="23"/>
  <c r="U72" i="23"/>
  <c r="U73" i="23"/>
  <c r="U74" i="23"/>
  <c r="U75" i="23"/>
  <c r="U76" i="23"/>
  <c r="U77" i="23"/>
  <c r="U78" i="23"/>
  <c r="U79" i="23"/>
  <c r="U80" i="23"/>
  <c r="U81" i="23"/>
  <c r="U82" i="23"/>
  <c r="U83" i="23"/>
  <c r="U84" i="23"/>
  <c r="U85" i="23"/>
  <c r="U86" i="23"/>
  <c r="U87" i="23"/>
  <c r="U88" i="23"/>
  <c r="U89" i="23"/>
  <c r="V31" i="18"/>
  <c r="U29" i="19"/>
  <c r="Z56" i="22"/>
  <c r="Y54" i="23"/>
  <c r="T82" i="17"/>
  <c r="T74" i="17"/>
  <c r="T68" i="17"/>
  <c r="T70" i="17" s="1"/>
  <c r="R90" i="17"/>
  <c r="M90" i="17"/>
  <c r="W21" i="23"/>
  <c r="X23" i="22"/>
  <c r="Y7" i="18"/>
  <c r="X5" i="19"/>
  <c r="V29" i="23"/>
  <c r="W31" i="22"/>
  <c r="W17" i="23"/>
  <c r="X19" i="22"/>
  <c r="V3" i="23"/>
  <c r="W5" i="22"/>
  <c r="U54" i="17"/>
  <c r="V56" i="16"/>
  <c r="W16" i="20"/>
  <c r="V14" i="21"/>
  <c r="U47" i="17"/>
  <c r="V49" i="16"/>
  <c r="Z17" i="16"/>
  <c r="Z15" i="17" s="1"/>
  <c r="AA17" i="16"/>
  <c r="AA15" i="17" s="1"/>
  <c r="Y15" i="17"/>
  <c r="V22" i="23"/>
  <c r="W24" i="22"/>
  <c r="V25" i="17"/>
  <c r="W27" i="16"/>
  <c r="V13" i="23"/>
  <c r="W15" i="22"/>
  <c r="V61" i="18"/>
  <c r="U59" i="19"/>
  <c r="V58" i="23"/>
  <c r="W60" i="22"/>
  <c r="T89" i="19"/>
  <c r="Z7" i="22"/>
  <c r="Y5" i="23"/>
  <c r="U27" i="17"/>
  <c r="V29" i="16"/>
  <c r="V29" i="18"/>
  <c r="U27" i="19"/>
  <c r="X36" i="23"/>
  <c r="Y38" i="22"/>
  <c r="W9" i="20"/>
  <c r="V7" i="21"/>
  <c r="V7" i="23"/>
  <c r="W9" i="22"/>
  <c r="X28" i="18"/>
  <c r="W26" i="19"/>
  <c r="V46" i="16"/>
  <c r="U44" i="17"/>
  <c r="W40" i="16"/>
  <c r="V38" i="17"/>
  <c r="W35" i="23"/>
  <c r="X37" i="22"/>
  <c r="V61" i="17"/>
  <c r="W63" i="16"/>
  <c r="Y53" i="18"/>
  <c r="X51" i="19"/>
  <c r="V40" i="17"/>
  <c r="W42" i="16"/>
  <c r="U21" i="17"/>
  <c r="V23" i="16"/>
  <c r="U40" i="19"/>
  <c r="V42" i="18"/>
  <c r="V61" i="23"/>
  <c r="W63" i="22"/>
  <c r="AA67" i="22"/>
  <c r="AA65" i="23" s="1"/>
  <c r="Z65" i="23"/>
  <c r="T81" i="17"/>
  <c r="T73" i="17"/>
  <c r="S90" i="17"/>
  <c r="J90" i="17"/>
  <c r="U7" i="17"/>
  <c r="U89" i="17" s="1"/>
  <c r="V9" i="16"/>
  <c r="W24" i="20"/>
  <c r="V22" i="21"/>
  <c r="V30" i="23"/>
  <c r="W32" i="22"/>
  <c r="W19" i="20"/>
  <c r="V17" i="21"/>
  <c r="W68" i="20"/>
  <c r="V66" i="21"/>
  <c r="U14" i="17"/>
  <c r="V16" i="16"/>
  <c r="W20" i="16"/>
  <c r="V18" i="17"/>
  <c r="W28" i="22"/>
  <c r="V26" i="23"/>
  <c r="X13" i="20"/>
  <c r="W11" i="21"/>
  <c r="X53" i="20"/>
  <c r="W51" i="21"/>
  <c r="W50" i="20"/>
  <c r="V48" i="21"/>
  <c r="X22" i="20"/>
  <c r="W20" i="21"/>
  <c r="Y14" i="20"/>
  <c r="X12" i="21"/>
  <c r="X20" i="18"/>
  <c r="W18" i="19"/>
  <c r="W63" i="20"/>
  <c r="V61" i="21"/>
  <c r="V25" i="16"/>
  <c r="U23" i="17"/>
  <c r="BE43" i="4"/>
  <c r="BF43" i="4" s="1"/>
  <c r="BC29" i="4"/>
  <c r="AZ64" i="4"/>
  <c r="BC64" i="4" s="1"/>
  <c r="BE64" i="4" s="1"/>
  <c r="BF64" i="4" s="1"/>
  <c r="BI16" i="4"/>
  <c r="BK16" i="4" s="1"/>
  <c r="BL16" i="4" s="1"/>
  <c r="BM16" i="4" s="1"/>
  <c r="BN16" i="4" s="1"/>
  <c r="AW14" i="4"/>
  <c r="AX14" i="4" s="1"/>
  <c r="AY14" i="4" s="1"/>
  <c r="AZ14" i="4" s="1"/>
  <c r="BA14" i="4" s="1"/>
  <c r="BC14" i="4" s="1"/>
  <c r="BK14" i="4" s="1"/>
  <c r="BC66" i="4"/>
  <c r="BE66" i="4" s="1"/>
  <c r="BF66" i="4" s="1"/>
  <c r="BJ66" i="4" s="1"/>
  <c r="BJ5" i="4"/>
  <c r="AV32" i="4"/>
  <c r="AW32" i="4" s="1"/>
  <c r="AX32" i="4" s="1"/>
  <c r="AY32" i="4" s="1"/>
  <c r="AZ32" i="4" s="1"/>
  <c r="BB32" i="4" s="1"/>
  <c r="BC32" i="4" s="1"/>
  <c r="BD32" i="4" s="1"/>
  <c r="BF32" i="4" s="1"/>
  <c r="BH36" i="4"/>
  <c r="BI36" i="4" s="1"/>
  <c r="BJ36" i="4" s="1"/>
  <c r="BK36" i="4" s="1"/>
  <c r="BL36" i="4" s="1"/>
  <c r="AZ52" i="4"/>
  <c r="BC52" i="4" s="1"/>
  <c r="BE52" i="4" s="1"/>
  <c r="BF52" i="4" s="1"/>
  <c r="K26" i="4"/>
  <c r="E26" i="4"/>
  <c r="J44" i="4"/>
  <c r="K44" i="4" s="1"/>
  <c r="L44" i="4" s="1"/>
  <c r="G44" i="4"/>
  <c r="BE48" i="4"/>
  <c r="BN58" i="4"/>
  <c r="BK58" i="4"/>
  <c r="BL58" i="4"/>
  <c r="BI58" i="4"/>
  <c r="BO58" i="4"/>
  <c r="BM58" i="4"/>
  <c r="BH58" i="4"/>
  <c r="BP58" i="4"/>
  <c r="BG58" i="4"/>
  <c r="BJ58" i="4"/>
  <c r="AB25" i="4"/>
  <c r="AC25" i="4" s="1"/>
  <c r="AD25" i="4" s="1"/>
  <c r="AE25" i="4" s="1"/>
  <c r="AF25" i="4" s="1"/>
  <c r="AG25" i="4" s="1"/>
  <c r="AH25" i="4" s="1"/>
  <c r="AI25" i="4" s="1"/>
  <c r="AJ25" i="4" s="1"/>
  <c r="AK25" i="4" s="1"/>
  <c r="AN25" i="4" s="1"/>
  <c r="AM25" i="4"/>
  <c r="AO24" i="4"/>
  <c r="AP24" i="4" s="1"/>
  <c r="AQ24" i="4" s="1"/>
  <c r="AT24" i="4" s="1"/>
  <c r="BH24" i="4"/>
  <c r="BP24" i="4"/>
  <c r="BO24" i="4"/>
  <c r="BM24" i="4"/>
  <c r="BN24" i="4"/>
  <c r="BL24" i="4"/>
  <c r="BK24" i="4"/>
  <c r="BF24" i="4"/>
  <c r="BI24" i="4"/>
  <c r="BG24" i="4"/>
  <c r="BJ24" i="4"/>
  <c r="BD24" i="4"/>
  <c r="BE24" i="4"/>
  <c r="BA24" i="4"/>
  <c r="AU24" i="4"/>
  <c r="AY24" i="4"/>
  <c r="AZ24" i="4"/>
  <c r="AW24" i="4"/>
  <c r="BB24" i="4"/>
  <c r="AX24" i="4"/>
  <c r="BC24" i="4"/>
  <c r="BE50" i="4"/>
  <c r="BF50" i="4" s="1"/>
  <c r="BJ50" i="4" s="1"/>
  <c r="AB33" i="4"/>
  <c r="AC33" i="4" s="1"/>
  <c r="AR33" i="4"/>
  <c r="AM33" i="4"/>
  <c r="AB45" i="4"/>
  <c r="AC45" i="4" s="1"/>
  <c r="AD45" i="4" s="1"/>
  <c r="AE45" i="4" s="1"/>
  <c r="AF45" i="4" s="1"/>
  <c r="AR45" i="4"/>
  <c r="AO31" i="4"/>
  <c r="AP31" i="4" s="1"/>
  <c r="AQ31" i="4" s="1"/>
  <c r="AR31" i="4" s="1"/>
  <c r="AS31" i="4" s="1"/>
  <c r="BL31" i="4"/>
  <c r="BJ31" i="4"/>
  <c r="BN31" i="4"/>
  <c r="BM31" i="4"/>
  <c r="BH31" i="4"/>
  <c r="BP31" i="4"/>
  <c r="BO31" i="4"/>
  <c r="BI31" i="4"/>
  <c r="BG31" i="4"/>
  <c r="BK31" i="4"/>
  <c r="BF31" i="4"/>
  <c r="BE31" i="4"/>
  <c r="AU31" i="4"/>
  <c r="BA31" i="4"/>
  <c r="BB31" i="4"/>
  <c r="BC31" i="4"/>
  <c r="BD31" i="4"/>
  <c r="AO42" i="4"/>
  <c r="AP42" i="4" s="1"/>
  <c r="AQ42" i="4" s="1"/>
  <c r="AR42" i="4" s="1"/>
  <c r="AT42" i="4" s="1"/>
  <c r="AU42" i="4" s="1"/>
  <c r="AV42" i="4" s="1"/>
  <c r="BC42" i="4" s="1"/>
  <c r="BI42" i="4" s="1"/>
  <c r="BO42" i="4"/>
  <c r="BL42" i="4"/>
  <c r="BH42" i="4"/>
  <c r="BF42" i="4"/>
  <c r="BM42" i="4"/>
  <c r="BK42" i="4"/>
  <c r="BP42" i="4"/>
  <c r="BJ42" i="4"/>
  <c r="BG42" i="4"/>
  <c r="BN42" i="4"/>
  <c r="BD42" i="4"/>
  <c r="AY42" i="4"/>
  <c r="AW42" i="4"/>
  <c r="BA42" i="4"/>
  <c r="AZ42" i="4"/>
  <c r="BE42" i="4"/>
  <c r="BB42" i="4"/>
  <c r="AX42" i="4"/>
  <c r="AB40" i="4"/>
  <c r="AC40" i="4" s="1"/>
  <c r="AD40" i="4" s="1"/>
  <c r="AE40" i="4" s="1"/>
  <c r="AF40" i="4" s="1"/>
  <c r="AG40" i="4" s="1"/>
  <c r="AH40" i="4" s="1"/>
  <c r="AI40" i="4" s="1"/>
  <c r="AJ40" i="4" s="1"/>
  <c r="AK40" i="4" s="1"/>
  <c r="AR40" i="4"/>
  <c r="AM40" i="4"/>
  <c r="AB65" i="4"/>
  <c r="AC65" i="4" s="1"/>
  <c r="AD65" i="4" s="1"/>
  <c r="AE65" i="4" s="1"/>
  <c r="AF65" i="4" s="1"/>
  <c r="AR65" i="4"/>
  <c r="AA27" i="4"/>
  <c r="AL27" i="4"/>
  <c r="AG53" i="4"/>
  <c r="AH53" i="4" s="1"/>
  <c r="AI53" i="4" s="1"/>
  <c r="AJ53" i="4" s="1"/>
  <c r="AK53" i="4" s="1"/>
  <c r="AL53" i="4" s="1"/>
  <c r="AM53" i="4" s="1"/>
  <c r="AQ53" i="4"/>
  <c r="AN9" i="4"/>
  <c r="AG22" i="4"/>
  <c r="AH22" i="4" s="1"/>
  <c r="AI22" i="4" s="1"/>
  <c r="AJ22" i="4" s="1"/>
  <c r="AK22" i="4" s="1"/>
  <c r="AL22" i="4" s="1"/>
  <c r="AM22" i="4" s="1"/>
  <c r="AN22" i="4" s="1"/>
  <c r="AQ22" i="4"/>
  <c r="AN20" i="4"/>
  <c r="BB51" i="4"/>
  <c r="BC51" i="4" s="1"/>
  <c r="BD51" i="4" s="1"/>
  <c r="BE51" i="4" s="1"/>
  <c r="BF51" i="4" s="1"/>
  <c r="AS12" i="4"/>
  <c r="AM12" i="4"/>
  <c r="BF37" i="4"/>
  <c r="BG37" i="4"/>
  <c r="BH61" i="4"/>
  <c r="BI61" i="4" s="1"/>
  <c r="BK61" i="4" s="1"/>
  <c r="BL61" i="4" s="1"/>
  <c r="AB28" i="4"/>
  <c r="AC28" i="4" s="1"/>
  <c r="AS28" i="4"/>
  <c r="AR28" i="4"/>
  <c r="AM28" i="4"/>
  <c r="AD19" i="4"/>
  <c r="AE19" i="4" s="1"/>
  <c r="AF19" i="4" s="1"/>
  <c r="AG19" i="4" s="1"/>
  <c r="AH19" i="4" s="1"/>
  <c r="AI19" i="4" s="1"/>
  <c r="AJ19" i="4" s="1"/>
  <c r="AK19" i="4" s="1"/>
  <c r="AL19" i="4" s="1"/>
  <c r="AN19" i="4" s="1"/>
  <c r="AT19" i="4"/>
  <c r="AO3" i="4"/>
  <c r="BH3" i="4"/>
  <c r="BG3" i="4"/>
  <c r="BC3" i="4"/>
  <c r="AZ3" i="4"/>
  <c r="AV3" i="4"/>
  <c r="BD3" i="4"/>
  <c r="AW3" i="4"/>
  <c r="AY3" i="4"/>
  <c r="AU3" i="4"/>
  <c r="BE3" i="4"/>
  <c r="AX3" i="4"/>
  <c r="BB3" i="4"/>
  <c r="BA3" i="4"/>
  <c r="AB34" i="4"/>
  <c r="AC34" i="4" s="1"/>
  <c r="AD34" i="4" s="1"/>
  <c r="AE34" i="4" s="1"/>
  <c r="AF34" i="4" s="1"/>
  <c r="AG34" i="4" s="1"/>
  <c r="AH34" i="4" s="1"/>
  <c r="AI34" i="4" s="1"/>
  <c r="AJ34" i="4" s="1"/>
  <c r="AK34" i="4" s="1"/>
  <c r="AM34" i="4"/>
  <c r="AR34" i="4"/>
  <c r="BG63" i="4"/>
  <c r="AX63" i="4"/>
  <c r="AD37" i="4"/>
  <c r="AE37" i="4" s="1"/>
  <c r="AF37" i="4" s="1"/>
  <c r="AG37" i="4" s="1"/>
  <c r="AH37" i="4" s="1"/>
  <c r="AI37" i="4" s="1"/>
  <c r="AJ37" i="4" s="1"/>
  <c r="AK37" i="4" s="1"/>
  <c r="AL37" i="4" s="1"/>
  <c r="AP37" i="4" s="1"/>
  <c r="AQ37" i="4" s="1"/>
  <c r="AR37" i="4" s="1"/>
  <c r="AS37" i="4" s="1"/>
  <c r="AN37" i="4"/>
  <c r="AP2" i="4"/>
  <c r="AQ2" i="4" s="1"/>
  <c r="AR2" i="4" s="1"/>
  <c r="AS2" i="4" s="1"/>
  <c r="AT2" i="4" s="1"/>
  <c r="AU2" i="4" s="1"/>
  <c r="AV2" i="4" s="1"/>
  <c r="AW2" i="4" s="1"/>
  <c r="AY2" i="4" s="1"/>
  <c r="AZ2" i="4" s="1"/>
  <c r="BB2" i="4" s="1"/>
  <c r="BG2" i="4" s="1"/>
  <c r="BH2" i="4" s="1"/>
  <c r="BE2" i="4"/>
  <c r="AO38" i="4"/>
  <c r="AP38" i="4" s="1"/>
  <c r="AQ38" i="4" s="1"/>
  <c r="AS38" i="4" s="1"/>
  <c r="AT38" i="4" s="1"/>
  <c r="BJ38" i="4"/>
  <c r="BK38" i="4"/>
  <c r="BI38" i="4"/>
  <c r="BP38" i="4"/>
  <c r="BO38" i="4"/>
  <c r="BN38" i="4"/>
  <c r="BF38" i="4"/>
  <c r="BL38" i="4"/>
  <c r="BH38" i="4"/>
  <c r="BG38" i="4"/>
  <c r="BM38" i="4"/>
  <c r="BE38" i="4"/>
  <c r="BA38" i="4"/>
  <c r="AX38" i="4"/>
  <c r="AW38" i="4"/>
  <c r="AY38" i="4"/>
  <c r="BD38" i="4"/>
  <c r="BB38" i="4"/>
  <c r="BC38" i="4"/>
  <c r="AU38" i="4"/>
  <c r="AG63" i="4"/>
  <c r="AH63" i="4" s="1"/>
  <c r="AI63" i="4" s="1"/>
  <c r="AJ63" i="4" s="1"/>
  <c r="AK63" i="4" s="1"/>
  <c r="AQ63" i="4"/>
  <c r="AO49" i="4"/>
  <c r="AP49" i="4"/>
  <c r="AB54" i="4"/>
  <c r="AC54" i="4" s="1"/>
  <c r="AD54" i="4" s="1"/>
  <c r="AE54" i="4" s="1"/>
  <c r="AF54" i="4" s="1"/>
  <c r="AM54" i="4"/>
  <c r="AP54" i="4" s="1"/>
  <c r="AR54" i="4"/>
  <c r="AS54" i="4"/>
  <c r="AM41" i="4"/>
  <c r="AR41" i="4"/>
  <c r="AS39" i="4"/>
  <c r="AR39" i="4"/>
  <c r="AM39" i="4"/>
  <c r="AP39" i="4" s="1"/>
  <c r="BC60" i="4"/>
  <c r="AX47" i="4"/>
  <c r="AZ47" i="4" s="1"/>
  <c r="BC47" i="4" s="1"/>
  <c r="BE47" i="4" s="1"/>
  <c r="AG23" i="4"/>
  <c r="AH23" i="4" s="1"/>
  <c r="AI23" i="4" s="1"/>
  <c r="AJ23" i="4" s="1"/>
  <c r="AK23" i="4" s="1"/>
  <c r="AL23" i="4" s="1"/>
  <c r="AM23" i="4" s="1"/>
  <c r="AN23" i="4" s="1"/>
  <c r="AQ23" i="4"/>
  <c r="AB13" i="4"/>
  <c r="AC13" i="4" s="1"/>
  <c r="AD13" i="4" s="1"/>
  <c r="AE13" i="4" s="1"/>
  <c r="AF13" i="4" s="1"/>
  <c r="AG13" i="4" s="1"/>
  <c r="AH13" i="4" s="1"/>
  <c r="AI13" i="4" s="1"/>
  <c r="AJ13" i="4" s="1"/>
  <c r="AK13" i="4" s="1"/>
  <c r="AM13" i="4"/>
  <c r="AP21" i="4"/>
  <c r="AQ21" i="4" s="1"/>
  <c r="AR21" i="4" s="1"/>
  <c r="AS21" i="4" s="1"/>
  <c r="BE21" i="4"/>
  <c r="AD56" i="4"/>
  <c r="AE56" i="4" s="1"/>
  <c r="AF56" i="4" s="1"/>
  <c r="AG56" i="4" s="1"/>
  <c r="AH56" i="4" s="1"/>
  <c r="AI56" i="4" s="1"/>
  <c r="AJ56" i="4" s="1"/>
  <c r="AK56" i="4" s="1"/>
  <c r="AL56" i="4" s="1"/>
  <c r="AN56" i="4" s="1"/>
  <c r="AT56" i="4"/>
  <c r="AD49" i="4"/>
  <c r="AE49" i="4" s="1"/>
  <c r="AF49" i="4" s="1"/>
  <c r="AN49" i="4"/>
  <c r="AV15" i="4"/>
  <c r="AW15" i="4" s="1"/>
  <c r="AZ15" i="4" s="1"/>
  <c r="BD15" i="4" s="1"/>
  <c r="AO11" i="4"/>
  <c r="AP11" i="4" s="1"/>
  <c r="AQ11" i="4" s="1"/>
  <c r="AS11" i="4" s="1"/>
  <c r="AT11" i="4" s="1"/>
  <c r="BO11" i="4"/>
  <c r="BF11" i="4"/>
  <c r="BL11" i="4"/>
  <c r="BG11" i="4"/>
  <c r="BK11" i="4"/>
  <c r="BN11" i="4"/>
  <c r="BM11" i="4"/>
  <c r="BP11" i="4"/>
  <c r="BJ11" i="4"/>
  <c r="BH11" i="4"/>
  <c r="BE11" i="4"/>
  <c r="BB11" i="4"/>
  <c r="AX11" i="4"/>
  <c r="BA11" i="4"/>
  <c r="AY11" i="4"/>
  <c r="BC11" i="4"/>
  <c r="AU11" i="4"/>
  <c r="BI52" i="4"/>
  <c r="BO52" i="4" s="1"/>
  <c r="AO58" i="4"/>
  <c r="AP58" i="4" s="1"/>
  <c r="AQ58" i="4" s="1"/>
  <c r="AS58" i="4" s="1"/>
  <c r="AT58" i="4" s="1"/>
  <c r="AU58" i="4" s="1"/>
  <c r="AV58" i="4" s="1"/>
  <c r="AW58" i="4" s="1"/>
  <c r="AX58" i="4" s="1"/>
  <c r="AZ58" i="4" s="1"/>
  <c r="BD58" i="4"/>
  <c r="BB58" i="4"/>
  <c r="BA58" i="4"/>
  <c r="AY58" i="4"/>
  <c r="AB68" i="4"/>
  <c r="AC68" i="4" s="1"/>
  <c r="AM68" i="4"/>
  <c r="AR68" i="4"/>
  <c r="AH39" i="4"/>
  <c r="AF39" i="4"/>
  <c r="AJ39" i="4"/>
  <c r="AG39" i="4"/>
  <c r="AK39" i="4"/>
  <c r="Z46" i="4"/>
  <c r="AJ46" i="4"/>
  <c r="AK46" i="4"/>
  <c r="AH46" i="4"/>
  <c r="AB46" i="4"/>
  <c r="AE46" i="4" s="1"/>
  <c r="AK54" i="4"/>
  <c r="AL54" i="4" s="1"/>
  <c r="Z62" i="4"/>
  <c r="AA62" i="4" s="1"/>
  <c r="AI62" i="4"/>
  <c r="X4" i="4"/>
  <c r="Y4" i="4" s="1"/>
  <c r="Z4" i="4" s="1"/>
  <c r="AA4" i="4" s="1"/>
  <c r="T7" i="4"/>
  <c r="U7" i="4" s="1"/>
  <c r="X7" i="4" s="1"/>
  <c r="Y7" i="4" s="1"/>
  <c r="AB39" i="4"/>
  <c r="AC39" i="4" s="1"/>
  <c r="AD39" i="4" s="1"/>
  <c r="AE39" i="4" s="1"/>
  <c r="I70" i="4"/>
  <c r="J70" i="4" s="1"/>
  <c r="K70" i="4" s="1"/>
  <c r="M70" i="4" s="1"/>
  <c r="R10" i="4"/>
  <c r="X12" i="4"/>
  <c r="Y12" i="4" s="1"/>
  <c r="AL12" i="4" s="1"/>
  <c r="Y69" i="4"/>
  <c r="U18" i="4"/>
  <c r="Y18" i="4"/>
  <c r="AL18" i="4" s="1"/>
  <c r="S41" i="4"/>
  <c r="T41" i="4" s="1"/>
  <c r="AB41" i="4" s="1"/>
  <c r="W41" i="4"/>
  <c r="Y41" i="4"/>
  <c r="AL41" i="4" s="1"/>
  <c r="U10" i="4"/>
  <c r="V10" i="4" s="1"/>
  <c r="Y10" i="4"/>
  <c r="W10" i="4"/>
  <c r="M75" i="4"/>
  <c r="N75" i="4" s="1"/>
  <c r="O75" i="4" s="1"/>
  <c r="U67" i="4"/>
  <c r="W67" i="4"/>
  <c r="X67" i="4"/>
  <c r="U8" i="4"/>
  <c r="Y8" i="4"/>
  <c r="W8" i="4"/>
  <c r="W69" i="4"/>
  <c r="AA69" i="4" s="1"/>
  <c r="AB69" i="4" s="1"/>
  <c r="AC69" i="4" s="1"/>
  <c r="AD69" i="4" s="1"/>
  <c r="AE69" i="4" s="1"/>
  <c r="AF69" i="4" s="1"/>
  <c r="AG69" i="4" s="1"/>
  <c r="AH69" i="4" s="1"/>
  <c r="AI69" i="4" s="1"/>
  <c r="AJ69" i="4" s="1"/>
  <c r="AK69" i="4" s="1"/>
  <c r="AL69" i="4" s="1"/>
  <c r="AM69" i="4" s="1"/>
  <c r="AN69" i="4" s="1"/>
  <c r="AO69" i="4" s="1"/>
  <c r="AP69" i="4" s="1"/>
  <c r="AQ69" i="4" s="1"/>
  <c r="AR69" i="4" s="1"/>
  <c r="AS69" i="4" s="1"/>
  <c r="AT69" i="4" s="1"/>
  <c r="AU69" i="4" s="1"/>
  <c r="AV69" i="4" s="1"/>
  <c r="AW69" i="4" s="1"/>
  <c r="AX69" i="4" s="1"/>
  <c r="AY69" i="4" s="1"/>
  <c r="AZ69" i="4" s="1"/>
  <c r="BA69" i="4" s="1"/>
  <c r="BB69" i="4" s="1"/>
  <c r="BC69" i="4" s="1"/>
  <c r="BD69" i="4" s="1"/>
  <c r="BE69" i="4" s="1"/>
  <c r="BF69" i="4" s="1"/>
  <c r="BG69" i="4" s="1"/>
  <c r="BH69" i="4" s="1"/>
  <c r="BI69" i="4" s="1"/>
  <c r="BJ69" i="4" s="1"/>
  <c r="BK69" i="4" s="1"/>
  <c r="BL69" i="4" s="1"/>
  <c r="BM69" i="4" s="1"/>
  <c r="BN69" i="4" s="1"/>
  <c r="BO69" i="4" s="1"/>
  <c r="BP69" i="4" s="1"/>
  <c r="U69" i="4"/>
  <c r="Y17" i="4"/>
  <c r="AL17" i="4" s="1"/>
  <c r="R70" i="4"/>
  <c r="T70" i="4"/>
  <c r="R18" i="4"/>
  <c r="T18" i="4"/>
  <c r="R69" i="4"/>
  <c r="T69" i="4"/>
  <c r="M8" i="4"/>
  <c r="T8" i="4"/>
  <c r="P67" i="4"/>
  <c r="Q67" i="4" s="1"/>
  <c r="R67" i="4" s="1"/>
  <c r="S67" i="4" s="1"/>
  <c r="M57" i="4"/>
  <c r="N57" i="4" s="1"/>
  <c r="O57" i="4" s="1"/>
  <c r="R57" i="4"/>
  <c r="M30" i="4"/>
  <c r="N30" i="4" s="1"/>
  <c r="O30" i="4" s="1"/>
  <c r="R30" i="4"/>
  <c r="S18" i="4"/>
  <c r="S10" i="4"/>
  <c r="Q72" i="4"/>
  <c r="P8" i="4"/>
  <c r="Q8" i="4" s="1"/>
  <c r="O70" i="4"/>
  <c r="P70" i="4" s="1"/>
  <c r="U70" i="4" s="1"/>
  <c r="N70" i="4"/>
  <c r="P72" i="4"/>
  <c r="U72" i="4" s="1"/>
  <c r="O72" i="4"/>
  <c r="X72" i="4" s="1"/>
  <c r="O59" i="4"/>
  <c r="N59" i="4"/>
  <c r="N26" i="4"/>
  <c r="O26" i="4"/>
  <c r="O74" i="4"/>
  <c r="X74" i="4" s="1"/>
  <c r="N74" i="4"/>
  <c r="R59" i="4"/>
  <c r="Y59" i="4" s="1"/>
  <c r="M59" i="4"/>
  <c r="L26" i="4"/>
  <c r="T26" i="4" s="1"/>
  <c r="J74" i="4"/>
  <c r="K74" i="4" s="1"/>
  <c r="M74" i="4" s="1"/>
  <c r="N44" i="4"/>
  <c r="P18" i="4"/>
  <c r="Q18" i="4" s="1"/>
  <c r="J73" i="4"/>
  <c r="K73" i="4"/>
  <c r="L73" i="4"/>
  <c r="N72" i="4"/>
  <c r="M72" i="4"/>
  <c r="G71" i="4"/>
  <c r="H71" i="4" s="1"/>
  <c r="L71" i="4"/>
  <c r="R71" i="4" s="1"/>
  <c r="M71" i="4"/>
  <c r="N71" i="4" s="1"/>
  <c r="K71" i="4"/>
  <c r="Q71" i="4" s="1"/>
  <c r="B76" i="1"/>
  <c r="C76" i="1" s="1"/>
  <c r="D76" i="1" s="1"/>
  <c r="E76" i="1" s="1"/>
  <c r="F76" i="1" s="1"/>
  <c r="G76" i="1" s="1"/>
  <c r="H76" i="1" s="1"/>
  <c r="I76" i="1" s="1"/>
  <c r="J76" i="1" s="1"/>
  <c r="K76" i="1" s="1"/>
  <c r="L76" i="1" s="1"/>
  <c r="M76" i="1" s="1"/>
  <c r="N76" i="1" s="1"/>
  <c r="O76" i="1" s="1"/>
  <c r="P76" i="1" s="1"/>
  <c r="Q76" i="1" s="1"/>
  <c r="R76" i="1" s="1"/>
  <c r="S76" i="1" s="1"/>
  <c r="T76" i="1" s="1"/>
  <c r="U76" i="1" s="1"/>
  <c r="V76" i="1" s="1"/>
  <c r="W76" i="1" s="1"/>
  <c r="X76" i="1" s="1"/>
  <c r="Y76" i="1" s="1"/>
  <c r="Z76" i="1" s="1"/>
  <c r="AA76" i="1" s="1"/>
  <c r="AB76" i="1" s="1"/>
  <c r="AC76" i="1" s="1"/>
  <c r="AD76" i="1" s="1"/>
  <c r="AE76" i="1" s="1"/>
  <c r="AF76" i="1" s="1"/>
  <c r="AG76" i="1" s="1"/>
  <c r="AH76" i="1" s="1"/>
  <c r="AI76" i="1" s="1"/>
  <c r="AJ76" i="1" s="1"/>
  <c r="AK76" i="1" s="1"/>
  <c r="AL76" i="1" s="1"/>
  <c r="AM76" i="1" s="1"/>
  <c r="AN76" i="1" s="1"/>
  <c r="AO76" i="1" s="1"/>
  <c r="AP76" i="1" s="1"/>
  <c r="AQ76" i="1" s="1"/>
  <c r="AR76" i="1" s="1"/>
  <c r="AS76" i="1" s="1"/>
  <c r="AT76" i="1" s="1"/>
  <c r="AU76" i="1" s="1"/>
  <c r="AV76" i="1" s="1"/>
  <c r="AW76" i="1" s="1"/>
  <c r="AX76" i="1" s="1"/>
  <c r="AY76" i="1" s="1"/>
  <c r="AZ76" i="1" s="1"/>
  <c r="BA76" i="1" s="1"/>
  <c r="BB76" i="1" s="1"/>
  <c r="BC76" i="1" s="1"/>
  <c r="BD76" i="1" s="1"/>
  <c r="BE76" i="1" s="1"/>
  <c r="BF76" i="1" s="1"/>
  <c r="BG76" i="1" s="1"/>
  <c r="BH76" i="1" s="1"/>
  <c r="BI76" i="1" s="1"/>
  <c r="BJ76" i="1" s="1"/>
  <c r="BK76" i="1" s="1"/>
  <c r="BL76" i="1" s="1"/>
  <c r="BM76" i="1" s="1"/>
  <c r="BN76" i="1" s="1"/>
  <c r="BO76" i="1" s="1"/>
  <c r="BP76" i="1" s="1"/>
  <c r="B77" i="1"/>
  <c r="C77" i="1" s="1"/>
  <c r="D77" i="1" s="1"/>
  <c r="E77" i="1" s="1"/>
  <c r="F77" i="1" s="1"/>
  <c r="G77" i="1" s="1"/>
  <c r="H77" i="1" s="1"/>
  <c r="I77" i="1" s="1"/>
  <c r="J77" i="1" s="1"/>
  <c r="K77" i="1" s="1"/>
  <c r="L77" i="1" s="1"/>
  <c r="M77" i="1" s="1"/>
  <c r="N77" i="1" s="1"/>
  <c r="O77" i="1" s="1"/>
  <c r="P77" i="1" s="1"/>
  <c r="Q77" i="1" s="1"/>
  <c r="R77" i="1" s="1"/>
  <c r="S77" i="1" s="1"/>
  <c r="T77" i="1" s="1"/>
  <c r="U77" i="1" s="1"/>
  <c r="V77" i="1" s="1"/>
  <c r="W77" i="1" s="1"/>
  <c r="X77" i="1" s="1"/>
  <c r="Y77" i="1" s="1"/>
  <c r="Z77" i="1" s="1"/>
  <c r="AA77" i="1" s="1"/>
  <c r="AB77" i="1" s="1"/>
  <c r="AC77" i="1" s="1"/>
  <c r="AD77" i="1" s="1"/>
  <c r="AE77" i="1" s="1"/>
  <c r="AF77" i="1" s="1"/>
  <c r="AG77" i="1" s="1"/>
  <c r="AH77" i="1" s="1"/>
  <c r="AI77" i="1" s="1"/>
  <c r="AJ77" i="1" s="1"/>
  <c r="AK77" i="1" s="1"/>
  <c r="AL77" i="1" s="1"/>
  <c r="AM77" i="1" s="1"/>
  <c r="AN77" i="1" s="1"/>
  <c r="AO77" i="1" s="1"/>
  <c r="AP77" i="1" s="1"/>
  <c r="AQ77" i="1" s="1"/>
  <c r="AR77" i="1" s="1"/>
  <c r="AS77" i="1" s="1"/>
  <c r="AT77" i="1" s="1"/>
  <c r="AU77" i="1" s="1"/>
  <c r="AV77" i="1" s="1"/>
  <c r="AW77" i="1" s="1"/>
  <c r="AX77" i="1" s="1"/>
  <c r="AY77" i="1" s="1"/>
  <c r="AZ77" i="1" s="1"/>
  <c r="BA77" i="1" s="1"/>
  <c r="BB77" i="1" s="1"/>
  <c r="BC77" i="1" s="1"/>
  <c r="BD77" i="1" s="1"/>
  <c r="BE77" i="1" s="1"/>
  <c r="BF77" i="1" s="1"/>
  <c r="BG77" i="1" s="1"/>
  <c r="BH77" i="1" s="1"/>
  <c r="BI77" i="1" s="1"/>
  <c r="BJ77" i="1" s="1"/>
  <c r="BK77" i="1" s="1"/>
  <c r="BL77" i="1" s="1"/>
  <c r="BM77" i="1" s="1"/>
  <c r="BN77" i="1" s="1"/>
  <c r="BO77" i="1" s="1"/>
  <c r="BP77" i="1" s="1"/>
  <c r="B5" i="1"/>
  <c r="C5" i="1" s="1"/>
  <c r="D5" i="1" s="1"/>
  <c r="E5" i="1" s="1"/>
  <c r="F5" i="1" s="1"/>
  <c r="G5" i="1" s="1"/>
  <c r="H5" i="1" s="1"/>
  <c r="I5" i="1" s="1"/>
  <c r="J5" i="1" s="1"/>
  <c r="K5" i="1" s="1"/>
  <c r="L5" i="1" s="1"/>
  <c r="M5" i="1" s="1"/>
  <c r="N5" i="1" s="1"/>
  <c r="O5" i="1" s="1"/>
  <c r="P5" i="1" s="1"/>
  <c r="Q5" i="1" s="1"/>
  <c r="R5" i="1" s="1"/>
  <c r="S5" i="1" s="1"/>
  <c r="T5" i="1" s="1"/>
  <c r="U5" i="1" s="1"/>
  <c r="V5" i="1" s="1"/>
  <c r="W5" i="1" s="1"/>
  <c r="X5" i="1" s="1"/>
  <c r="B4" i="1"/>
  <c r="C4" i="1" s="1"/>
  <c r="D4" i="1" s="1"/>
  <c r="E4" i="1" s="1"/>
  <c r="F4" i="1" s="1"/>
  <c r="G4" i="1" s="1"/>
  <c r="H4" i="1" s="1"/>
  <c r="I4" i="1" s="1"/>
  <c r="J4" i="1" s="1"/>
  <c r="K4" i="1" s="1"/>
  <c r="L4" i="1" s="1"/>
  <c r="M4" i="1" s="1"/>
  <c r="N4" i="1" s="1"/>
  <c r="O4" i="1" s="1"/>
  <c r="P4" i="1" s="1"/>
  <c r="Q4" i="1" s="1"/>
  <c r="R4" i="1" s="1"/>
  <c r="S4" i="1" s="1"/>
  <c r="T4" i="1" s="1"/>
  <c r="U4" i="1" s="1"/>
  <c r="V4" i="1" s="1"/>
  <c r="W4" i="1" s="1"/>
  <c r="X4" i="1" s="1"/>
  <c r="Y4" i="1" s="1"/>
  <c r="Z4" i="1" s="1"/>
  <c r="AA4" i="1" s="1"/>
  <c r="AB4" i="1" s="1"/>
  <c r="AC4" i="1" s="1"/>
  <c r="AD4" i="1" s="1"/>
  <c r="AE4" i="1" s="1"/>
  <c r="AF4" i="1" s="1"/>
  <c r="AG4" i="1" s="1"/>
  <c r="AH4" i="1" s="1"/>
  <c r="AI4" i="1" s="1"/>
  <c r="AJ4" i="1" s="1"/>
  <c r="AK4" i="1" s="1"/>
  <c r="AL4" i="1" s="1"/>
  <c r="AM4" i="1" s="1"/>
  <c r="AN4" i="1" s="1"/>
  <c r="AO4" i="1" s="1"/>
  <c r="AP4" i="1" s="1"/>
  <c r="AQ4" i="1" s="1"/>
  <c r="AR4" i="1" s="1"/>
  <c r="AS4" i="1" s="1"/>
  <c r="AT4" i="1" s="1"/>
  <c r="AU4" i="1" s="1"/>
  <c r="AV4" i="1" s="1"/>
  <c r="AW4" i="1" s="1"/>
  <c r="AX4" i="1" s="1"/>
  <c r="AY4" i="1" s="1"/>
  <c r="AZ4" i="1" s="1"/>
  <c r="BA4" i="1" s="1"/>
  <c r="BB4" i="1" s="1"/>
  <c r="BC4" i="1" s="1"/>
  <c r="BD4" i="1" s="1"/>
  <c r="BE4" i="1" s="1"/>
  <c r="BF4" i="1" s="1"/>
  <c r="BG4" i="1" s="1"/>
  <c r="BH4" i="1" s="1"/>
  <c r="BI4" i="1" s="1"/>
  <c r="BJ4" i="1" s="1"/>
  <c r="BK4" i="1" s="1"/>
  <c r="BL4" i="1" s="1"/>
  <c r="BM4" i="1" s="1"/>
  <c r="BN4" i="1" s="1"/>
  <c r="BO4" i="1" s="1"/>
  <c r="BP4" i="1" s="1"/>
  <c r="B3" i="1"/>
  <c r="B6" i="1"/>
  <c r="C6" i="1" s="1"/>
  <c r="B7" i="1"/>
  <c r="C7" i="1" s="1"/>
  <c r="D7" i="1" s="1"/>
  <c r="E7" i="1" s="1"/>
  <c r="F7" i="1" s="1"/>
  <c r="G7" i="1" s="1"/>
  <c r="H7" i="1" s="1"/>
  <c r="I7" i="1" s="1"/>
  <c r="J7" i="1" s="1"/>
  <c r="K7" i="1" s="1"/>
  <c r="L7" i="1" s="1"/>
  <c r="M7" i="1" s="1"/>
  <c r="N7" i="1" s="1"/>
  <c r="O7" i="1" s="1"/>
  <c r="P7" i="1" s="1"/>
  <c r="Q7" i="1" s="1"/>
  <c r="R7" i="1" s="1"/>
  <c r="S7" i="1" s="1"/>
  <c r="T7" i="1" s="1"/>
  <c r="U7" i="1" s="1"/>
  <c r="V7" i="1" s="1"/>
  <c r="W7" i="1" s="1"/>
  <c r="X7" i="1" s="1"/>
  <c r="Y7" i="1" s="1"/>
  <c r="Z7" i="1" s="1"/>
  <c r="AA7" i="1" s="1"/>
  <c r="AB7" i="1" s="1"/>
  <c r="AC7" i="1" s="1"/>
  <c r="AD7" i="1" s="1"/>
  <c r="AE7" i="1" s="1"/>
  <c r="AF7" i="1" s="1"/>
  <c r="AG7" i="1" s="1"/>
  <c r="AH7" i="1" s="1"/>
  <c r="AI7" i="1" s="1"/>
  <c r="AJ7" i="1" s="1"/>
  <c r="AK7" i="1" s="1"/>
  <c r="AL7" i="1" s="1"/>
  <c r="AM7" i="1" s="1"/>
  <c r="AN7" i="1" s="1"/>
  <c r="AO7" i="1" s="1"/>
  <c r="AP7" i="1" s="1"/>
  <c r="AQ7" i="1" s="1"/>
  <c r="AR7" i="1" s="1"/>
  <c r="AS7" i="1" s="1"/>
  <c r="AT7" i="1" s="1"/>
  <c r="AU7" i="1" s="1"/>
  <c r="AV7" i="1" s="1"/>
  <c r="AW7" i="1" s="1"/>
  <c r="AX7" i="1" s="1"/>
  <c r="AY7" i="1" s="1"/>
  <c r="AZ7" i="1" s="1"/>
  <c r="BA7" i="1" s="1"/>
  <c r="BB7" i="1" s="1"/>
  <c r="BC7" i="1" s="1"/>
  <c r="BD7" i="1" s="1"/>
  <c r="BE7" i="1" s="1"/>
  <c r="BF7" i="1" s="1"/>
  <c r="BG7" i="1" s="1"/>
  <c r="BH7" i="1" s="1"/>
  <c r="BI7" i="1" s="1"/>
  <c r="BJ7" i="1" s="1"/>
  <c r="BK7" i="1" s="1"/>
  <c r="BL7" i="1" s="1"/>
  <c r="BM7" i="1" s="1"/>
  <c r="BN7" i="1" s="1"/>
  <c r="BO7" i="1" s="1"/>
  <c r="BP7" i="1" s="1"/>
  <c r="B78" i="1"/>
  <c r="C78" i="1" s="1"/>
  <c r="D78" i="1" s="1"/>
  <c r="E78" i="1" s="1"/>
  <c r="F78" i="1" s="1"/>
  <c r="G78" i="1" s="1"/>
  <c r="H78" i="1" s="1"/>
  <c r="I78" i="1" s="1"/>
  <c r="J78" i="1" s="1"/>
  <c r="K78" i="1" s="1"/>
  <c r="L78" i="1" s="1"/>
  <c r="M78" i="1" s="1"/>
  <c r="N78" i="1" s="1"/>
  <c r="O78" i="1" s="1"/>
  <c r="P78" i="1" s="1"/>
  <c r="Q78" i="1" s="1"/>
  <c r="R78" i="1" s="1"/>
  <c r="S78" i="1" s="1"/>
  <c r="T78" i="1" s="1"/>
  <c r="U78" i="1" s="1"/>
  <c r="V78" i="1" s="1"/>
  <c r="W78" i="1" s="1"/>
  <c r="X78" i="1" s="1"/>
  <c r="Y78" i="1" s="1"/>
  <c r="Z78" i="1" s="1"/>
  <c r="AA78" i="1" s="1"/>
  <c r="AB78" i="1" s="1"/>
  <c r="AC78" i="1" s="1"/>
  <c r="AD78" i="1" s="1"/>
  <c r="AE78" i="1" s="1"/>
  <c r="AF78" i="1" s="1"/>
  <c r="AG78" i="1" s="1"/>
  <c r="AH78" i="1" s="1"/>
  <c r="AI78" i="1" s="1"/>
  <c r="AJ78" i="1" s="1"/>
  <c r="AK78" i="1" s="1"/>
  <c r="AL78" i="1" s="1"/>
  <c r="AM78" i="1" s="1"/>
  <c r="AN78" i="1" s="1"/>
  <c r="AO78" i="1" s="1"/>
  <c r="AP78" i="1" s="1"/>
  <c r="AQ78" i="1" s="1"/>
  <c r="AR78" i="1" s="1"/>
  <c r="AS78" i="1" s="1"/>
  <c r="AT78" i="1" s="1"/>
  <c r="AU78" i="1" s="1"/>
  <c r="AV78" i="1" s="1"/>
  <c r="AW78" i="1" s="1"/>
  <c r="AX78" i="1" s="1"/>
  <c r="AY78" i="1" s="1"/>
  <c r="AZ78" i="1" s="1"/>
  <c r="BA78" i="1" s="1"/>
  <c r="BB78" i="1" s="1"/>
  <c r="BC78" i="1" s="1"/>
  <c r="BD78" i="1" s="1"/>
  <c r="BE78" i="1" s="1"/>
  <c r="BF78" i="1" s="1"/>
  <c r="BG78" i="1" s="1"/>
  <c r="BH78" i="1" s="1"/>
  <c r="BI78" i="1" s="1"/>
  <c r="BJ78" i="1" s="1"/>
  <c r="BK78" i="1" s="1"/>
  <c r="BL78" i="1" s="1"/>
  <c r="BM78" i="1" s="1"/>
  <c r="BN78" i="1" s="1"/>
  <c r="BO78" i="1" s="1"/>
  <c r="BP78" i="1" s="1"/>
  <c r="B79" i="1"/>
  <c r="C79" i="1" s="1"/>
  <c r="D79" i="1" s="1"/>
  <c r="E79" i="1" s="1"/>
  <c r="F79" i="1" s="1"/>
  <c r="G79" i="1" s="1"/>
  <c r="H79" i="1" s="1"/>
  <c r="I79" i="1" s="1"/>
  <c r="J79" i="1" s="1"/>
  <c r="K79" i="1" s="1"/>
  <c r="L79" i="1" s="1"/>
  <c r="M79" i="1" s="1"/>
  <c r="N79" i="1" s="1"/>
  <c r="O79" i="1" s="1"/>
  <c r="P79" i="1" s="1"/>
  <c r="Q79" i="1" s="1"/>
  <c r="R79" i="1" s="1"/>
  <c r="S79" i="1" s="1"/>
  <c r="T79" i="1" s="1"/>
  <c r="U79" i="1" s="1"/>
  <c r="V79" i="1" s="1"/>
  <c r="W79" i="1" s="1"/>
  <c r="X79" i="1" s="1"/>
  <c r="Y79" i="1" s="1"/>
  <c r="Z79" i="1" s="1"/>
  <c r="AA79" i="1" s="1"/>
  <c r="AB79" i="1" s="1"/>
  <c r="AC79" i="1" s="1"/>
  <c r="AD79" i="1" s="1"/>
  <c r="AE79" i="1" s="1"/>
  <c r="AF79" i="1" s="1"/>
  <c r="AG79" i="1" s="1"/>
  <c r="AH79" i="1" s="1"/>
  <c r="AI79" i="1" s="1"/>
  <c r="AJ79" i="1" s="1"/>
  <c r="AK79" i="1" s="1"/>
  <c r="AL79" i="1" s="1"/>
  <c r="AM79" i="1" s="1"/>
  <c r="AN79" i="1" s="1"/>
  <c r="AO79" i="1" s="1"/>
  <c r="AP79" i="1" s="1"/>
  <c r="AQ79" i="1" s="1"/>
  <c r="AR79" i="1" s="1"/>
  <c r="AS79" i="1" s="1"/>
  <c r="AT79" i="1" s="1"/>
  <c r="AU79" i="1" s="1"/>
  <c r="AV79" i="1" s="1"/>
  <c r="AW79" i="1" s="1"/>
  <c r="AX79" i="1" s="1"/>
  <c r="AY79" i="1" s="1"/>
  <c r="AZ79" i="1" s="1"/>
  <c r="BA79" i="1" s="1"/>
  <c r="BB79" i="1" s="1"/>
  <c r="BC79" i="1" s="1"/>
  <c r="BD79" i="1" s="1"/>
  <c r="BE79" i="1" s="1"/>
  <c r="BF79" i="1" s="1"/>
  <c r="BG79" i="1" s="1"/>
  <c r="BH79" i="1" s="1"/>
  <c r="BI79" i="1" s="1"/>
  <c r="BJ79" i="1" s="1"/>
  <c r="BK79" i="1" s="1"/>
  <c r="BL79" i="1" s="1"/>
  <c r="BM79" i="1" s="1"/>
  <c r="BN79" i="1" s="1"/>
  <c r="BO79" i="1" s="1"/>
  <c r="BP79" i="1" s="1"/>
  <c r="B80" i="1"/>
  <c r="C80" i="1" s="1"/>
  <c r="D80" i="1" s="1"/>
  <c r="E80" i="1" s="1"/>
  <c r="F80" i="1" s="1"/>
  <c r="G80" i="1" s="1"/>
  <c r="H80" i="1" s="1"/>
  <c r="I80" i="1" s="1"/>
  <c r="J80" i="1" s="1"/>
  <c r="K80" i="1" s="1"/>
  <c r="L80" i="1" s="1"/>
  <c r="M80" i="1" s="1"/>
  <c r="N80" i="1" s="1"/>
  <c r="O80" i="1" s="1"/>
  <c r="P80" i="1" s="1"/>
  <c r="Q80" i="1" s="1"/>
  <c r="R80" i="1" s="1"/>
  <c r="S80" i="1" s="1"/>
  <c r="T80" i="1" s="1"/>
  <c r="U80" i="1" s="1"/>
  <c r="V80" i="1" s="1"/>
  <c r="W80" i="1" s="1"/>
  <c r="X80" i="1" s="1"/>
  <c r="Y80" i="1" s="1"/>
  <c r="Z80" i="1" s="1"/>
  <c r="AA80" i="1" s="1"/>
  <c r="AB80" i="1" s="1"/>
  <c r="AC80" i="1" s="1"/>
  <c r="AD80" i="1" s="1"/>
  <c r="AE80" i="1" s="1"/>
  <c r="AF80" i="1" s="1"/>
  <c r="AG80" i="1" s="1"/>
  <c r="AH80" i="1" s="1"/>
  <c r="AI80" i="1" s="1"/>
  <c r="AJ80" i="1" s="1"/>
  <c r="AK80" i="1" s="1"/>
  <c r="AL80" i="1" s="1"/>
  <c r="AM80" i="1" s="1"/>
  <c r="AN80" i="1" s="1"/>
  <c r="AO80" i="1" s="1"/>
  <c r="AP80" i="1" s="1"/>
  <c r="AQ80" i="1" s="1"/>
  <c r="AR80" i="1" s="1"/>
  <c r="AS80" i="1" s="1"/>
  <c r="AT80" i="1" s="1"/>
  <c r="AU80" i="1" s="1"/>
  <c r="AV80" i="1" s="1"/>
  <c r="AW80" i="1" s="1"/>
  <c r="AX80" i="1" s="1"/>
  <c r="AY80" i="1" s="1"/>
  <c r="AZ80" i="1" s="1"/>
  <c r="BA80" i="1" s="1"/>
  <c r="BB80" i="1" s="1"/>
  <c r="BC80" i="1" s="1"/>
  <c r="BD80" i="1" s="1"/>
  <c r="BE80" i="1" s="1"/>
  <c r="BF80" i="1" s="1"/>
  <c r="BG80" i="1" s="1"/>
  <c r="BH80" i="1" s="1"/>
  <c r="BI80" i="1" s="1"/>
  <c r="BJ80" i="1" s="1"/>
  <c r="BK80" i="1" s="1"/>
  <c r="BL80" i="1" s="1"/>
  <c r="BM80" i="1" s="1"/>
  <c r="BN80" i="1" s="1"/>
  <c r="BO80" i="1" s="1"/>
  <c r="BP80" i="1" s="1"/>
  <c r="B81" i="1"/>
  <c r="C81" i="1" s="1"/>
  <c r="D81" i="1" s="1"/>
  <c r="E81" i="1" s="1"/>
  <c r="F81" i="1" s="1"/>
  <c r="G81" i="1" s="1"/>
  <c r="H81" i="1" s="1"/>
  <c r="I81" i="1" s="1"/>
  <c r="J81" i="1" s="1"/>
  <c r="K81" i="1" s="1"/>
  <c r="L81" i="1" s="1"/>
  <c r="M81" i="1" s="1"/>
  <c r="N81" i="1" s="1"/>
  <c r="O81" i="1" s="1"/>
  <c r="P81" i="1" s="1"/>
  <c r="Q81" i="1" s="1"/>
  <c r="R81" i="1" s="1"/>
  <c r="S81" i="1" s="1"/>
  <c r="T81" i="1" s="1"/>
  <c r="U81" i="1" s="1"/>
  <c r="V81" i="1" s="1"/>
  <c r="W81" i="1" s="1"/>
  <c r="X81" i="1" s="1"/>
  <c r="Y81" i="1" s="1"/>
  <c r="Z81" i="1" s="1"/>
  <c r="AA81" i="1" s="1"/>
  <c r="AB81" i="1" s="1"/>
  <c r="AC81" i="1" s="1"/>
  <c r="AD81" i="1" s="1"/>
  <c r="AE81" i="1" s="1"/>
  <c r="AF81" i="1" s="1"/>
  <c r="AG81" i="1" s="1"/>
  <c r="AH81" i="1" s="1"/>
  <c r="AI81" i="1" s="1"/>
  <c r="AJ81" i="1" s="1"/>
  <c r="AK81" i="1" s="1"/>
  <c r="AL81" i="1" s="1"/>
  <c r="AM81" i="1" s="1"/>
  <c r="AN81" i="1" s="1"/>
  <c r="AO81" i="1" s="1"/>
  <c r="AP81" i="1" s="1"/>
  <c r="AQ81" i="1" s="1"/>
  <c r="AR81" i="1" s="1"/>
  <c r="AS81" i="1" s="1"/>
  <c r="AT81" i="1" s="1"/>
  <c r="AU81" i="1" s="1"/>
  <c r="AV81" i="1" s="1"/>
  <c r="AW81" i="1" s="1"/>
  <c r="AX81" i="1" s="1"/>
  <c r="AY81" i="1" s="1"/>
  <c r="AZ81" i="1" s="1"/>
  <c r="BA81" i="1" s="1"/>
  <c r="BB81" i="1" s="1"/>
  <c r="BC81" i="1" s="1"/>
  <c r="BD81" i="1" s="1"/>
  <c r="BE81" i="1" s="1"/>
  <c r="BF81" i="1" s="1"/>
  <c r="BG81" i="1" s="1"/>
  <c r="BH81" i="1" s="1"/>
  <c r="BI81" i="1" s="1"/>
  <c r="BJ81" i="1" s="1"/>
  <c r="BK81" i="1" s="1"/>
  <c r="BL81" i="1" s="1"/>
  <c r="BM81" i="1" s="1"/>
  <c r="BN81" i="1" s="1"/>
  <c r="BO81" i="1" s="1"/>
  <c r="BP81" i="1" s="1"/>
  <c r="B8" i="1"/>
  <c r="C8" i="1" s="1"/>
  <c r="D8" i="1" s="1"/>
  <c r="E8" i="1" s="1"/>
  <c r="F8" i="1" s="1"/>
  <c r="G8" i="1" s="1"/>
  <c r="H8" i="1" s="1"/>
  <c r="I8" i="1" s="1"/>
  <c r="J8" i="1" s="1"/>
  <c r="K8" i="1" s="1"/>
  <c r="L8" i="1" s="1"/>
  <c r="M8" i="1" s="1"/>
  <c r="N8" i="1" s="1"/>
  <c r="O8" i="1" s="1"/>
  <c r="P8" i="1" s="1"/>
  <c r="Q8" i="1" s="1"/>
  <c r="R8" i="1" s="1"/>
  <c r="S8" i="1" s="1"/>
  <c r="T8" i="1" s="1"/>
  <c r="U8" i="1" s="1"/>
  <c r="V8" i="1" s="1"/>
  <c r="W8" i="1" s="1"/>
  <c r="X8" i="1" s="1"/>
  <c r="Y8" i="1" s="1"/>
  <c r="Z8" i="1" s="1"/>
  <c r="AA8" i="1" s="1"/>
  <c r="AB8" i="1" s="1"/>
  <c r="AC8" i="1" s="1"/>
  <c r="AD8" i="1" s="1"/>
  <c r="AE8" i="1" s="1"/>
  <c r="AF8" i="1" s="1"/>
  <c r="AG8" i="1" s="1"/>
  <c r="AH8" i="1" s="1"/>
  <c r="AI8" i="1" s="1"/>
  <c r="AJ8" i="1" s="1"/>
  <c r="AK8" i="1" s="1"/>
  <c r="AL8" i="1" s="1"/>
  <c r="AM8" i="1" s="1"/>
  <c r="AN8" i="1" s="1"/>
  <c r="AO8" i="1" s="1"/>
  <c r="AP8" i="1" s="1"/>
  <c r="AQ8" i="1" s="1"/>
  <c r="AR8" i="1" s="1"/>
  <c r="AS8" i="1" s="1"/>
  <c r="AT8" i="1" s="1"/>
  <c r="AU8" i="1" s="1"/>
  <c r="AV8" i="1" s="1"/>
  <c r="AW8" i="1" s="1"/>
  <c r="AX8" i="1" s="1"/>
  <c r="AY8" i="1" s="1"/>
  <c r="AZ8" i="1" s="1"/>
  <c r="BA8" i="1" s="1"/>
  <c r="BB8" i="1" s="1"/>
  <c r="BC8" i="1" s="1"/>
  <c r="BD8" i="1" s="1"/>
  <c r="BE8" i="1" s="1"/>
  <c r="BF8" i="1" s="1"/>
  <c r="BG8" i="1" s="1"/>
  <c r="BH8" i="1" s="1"/>
  <c r="BI8" i="1" s="1"/>
  <c r="BJ8" i="1" s="1"/>
  <c r="BK8" i="1" s="1"/>
  <c r="BL8" i="1" s="1"/>
  <c r="BM8" i="1" s="1"/>
  <c r="BN8" i="1" s="1"/>
  <c r="BO8" i="1" s="1"/>
  <c r="BP8" i="1" s="1"/>
  <c r="B82" i="1"/>
  <c r="C82" i="1" s="1"/>
  <c r="D82" i="1" s="1"/>
  <c r="E82" i="1" s="1"/>
  <c r="F82" i="1" s="1"/>
  <c r="G82" i="1" s="1"/>
  <c r="H82" i="1" s="1"/>
  <c r="I82" i="1" s="1"/>
  <c r="J82" i="1" s="1"/>
  <c r="K82" i="1" s="1"/>
  <c r="L82" i="1" s="1"/>
  <c r="M82" i="1" s="1"/>
  <c r="N82" i="1" s="1"/>
  <c r="O82" i="1" s="1"/>
  <c r="P82" i="1" s="1"/>
  <c r="Q82" i="1" s="1"/>
  <c r="R82" i="1" s="1"/>
  <c r="S82" i="1" s="1"/>
  <c r="T82" i="1" s="1"/>
  <c r="U82" i="1" s="1"/>
  <c r="V82" i="1" s="1"/>
  <c r="W82" i="1" s="1"/>
  <c r="X82" i="1" s="1"/>
  <c r="Y82" i="1" s="1"/>
  <c r="Z82" i="1" s="1"/>
  <c r="AA82" i="1" s="1"/>
  <c r="AB82" i="1" s="1"/>
  <c r="AC82" i="1" s="1"/>
  <c r="AD82" i="1" s="1"/>
  <c r="AE82" i="1" s="1"/>
  <c r="AF82" i="1" s="1"/>
  <c r="AG82" i="1" s="1"/>
  <c r="AH82" i="1" s="1"/>
  <c r="AI82" i="1" s="1"/>
  <c r="AJ82" i="1" s="1"/>
  <c r="AK82" i="1" s="1"/>
  <c r="AL82" i="1" s="1"/>
  <c r="AM82" i="1" s="1"/>
  <c r="AN82" i="1" s="1"/>
  <c r="AO82" i="1" s="1"/>
  <c r="AP82" i="1" s="1"/>
  <c r="AQ82" i="1" s="1"/>
  <c r="AR82" i="1" s="1"/>
  <c r="AS82" i="1" s="1"/>
  <c r="AT82" i="1" s="1"/>
  <c r="AU82" i="1" s="1"/>
  <c r="AV82" i="1" s="1"/>
  <c r="AW82" i="1" s="1"/>
  <c r="AX82" i="1" s="1"/>
  <c r="AY82" i="1" s="1"/>
  <c r="AZ82" i="1" s="1"/>
  <c r="BA82" i="1" s="1"/>
  <c r="BB82" i="1" s="1"/>
  <c r="BC82" i="1" s="1"/>
  <c r="BD82" i="1" s="1"/>
  <c r="BE82" i="1" s="1"/>
  <c r="BF82" i="1" s="1"/>
  <c r="BG82" i="1" s="1"/>
  <c r="BH82" i="1" s="1"/>
  <c r="BI82" i="1" s="1"/>
  <c r="BJ82" i="1" s="1"/>
  <c r="BK82" i="1" s="1"/>
  <c r="BL82" i="1" s="1"/>
  <c r="BM82" i="1" s="1"/>
  <c r="BN82" i="1" s="1"/>
  <c r="BO82" i="1" s="1"/>
  <c r="BP82" i="1" s="1"/>
  <c r="B9" i="1"/>
  <c r="C9" i="1" s="1"/>
  <c r="D9" i="1" s="1"/>
  <c r="E9" i="1" s="1"/>
  <c r="F9" i="1" s="1"/>
  <c r="G9" i="1" s="1"/>
  <c r="H9" i="1" s="1"/>
  <c r="I9" i="1" s="1"/>
  <c r="J9" i="1" s="1"/>
  <c r="K9" i="1" s="1"/>
  <c r="L9" i="1" s="1"/>
  <c r="M9" i="1" s="1"/>
  <c r="N9" i="1" s="1"/>
  <c r="O9" i="1" s="1"/>
  <c r="P9" i="1" s="1"/>
  <c r="Q9" i="1" s="1"/>
  <c r="R9" i="1" s="1"/>
  <c r="S9" i="1" s="1"/>
  <c r="T9" i="1" s="1"/>
  <c r="U9" i="1" s="1"/>
  <c r="V9" i="1" s="1"/>
  <c r="W9" i="1" s="1"/>
  <c r="X9" i="1" s="1"/>
  <c r="Y9" i="1" s="1"/>
  <c r="Z9" i="1" s="1"/>
  <c r="AA9" i="1" s="1"/>
  <c r="AB9" i="1" s="1"/>
  <c r="AC9" i="1" s="1"/>
  <c r="AD9" i="1" s="1"/>
  <c r="AE9" i="1" s="1"/>
  <c r="AF9" i="1" s="1"/>
  <c r="AG9" i="1" s="1"/>
  <c r="AH9" i="1" s="1"/>
  <c r="AI9" i="1" s="1"/>
  <c r="AJ9" i="1" s="1"/>
  <c r="AK9" i="1" s="1"/>
  <c r="AL9" i="1" s="1"/>
  <c r="AM9" i="1" s="1"/>
  <c r="AN9" i="1" s="1"/>
  <c r="AO9" i="1" s="1"/>
  <c r="AP9" i="1" s="1"/>
  <c r="AQ9" i="1" s="1"/>
  <c r="AR9" i="1" s="1"/>
  <c r="AS9" i="1" s="1"/>
  <c r="AT9" i="1" s="1"/>
  <c r="AU9" i="1" s="1"/>
  <c r="AV9" i="1" s="1"/>
  <c r="AW9" i="1" s="1"/>
  <c r="AX9" i="1" s="1"/>
  <c r="AY9" i="1" s="1"/>
  <c r="AZ9" i="1" s="1"/>
  <c r="BA9" i="1" s="1"/>
  <c r="BB9" i="1" s="1"/>
  <c r="BC9" i="1" s="1"/>
  <c r="BD9" i="1" s="1"/>
  <c r="BE9" i="1" s="1"/>
  <c r="BF9" i="1" s="1"/>
  <c r="BG9" i="1" s="1"/>
  <c r="BH9" i="1" s="1"/>
  <c r="BI9" i="1" s="1"/>
  <c r="BJ9" i="1" s="1"/>
  <c r="BK9" i="1" s="1"/>
  <c r="BL9" i="1" s="1"/>
  <c r="BM9" i="1" s="1"/>
  <c r="BN9" i="1" s="1"/>
  <c r="BO9" i="1" s="1"/>
  <c r="BP9" i="1" s="1"/>
  <c r="B83" i="1"/>
  <c r="C83" i="1" s="1"/>
  <c r="D83" i="1" s="1"/>
  <c r="E83" i="1" s="1"/>
  <c r="F83" i="1" s="1"/>
  <c r="G83" i="1" s="1"/>
  <c r="H83" i="1" s="1"/>
  <c r="I83" i="1" s="1"/>
  <c r="J83" i="1" s="1"/>
  <c r="K83" i="1" s="1"/>
  <c r="L83" i="1" s="1"/>
  <c r="M83" i="1" s="1"/>
  <c r="N83" i="1" s="1"/>
  <c r="O83" i="1" s="1"/>
  <c r="P83" i="1" s="1"/>
  <c r="Q83" i="1" s="1"/>
  <c r="R83" i="1" s="1"/>
  <c r="S83" i="1" s="1"/>
  <c r="T83" i="1" s="1"/>
  <c r="U83" i="1" s="1"/>
  <c r="V83" i="1" s="1"/>
  <c r="W83" i="1" s="1"/>
  <c r="X83" i="1" s="1"/>
  <c r="Y83" i="1" s="1"/>
  <c r="Z83" i="1" s="1"/>
  <c r="AA83" i="1" s="1"/>
  <c r="AB83" i="1" s="1"/>
  <c r="AC83" i="1" s="1"/>
  <c r="AD83" i="1" s="1"/>
  <c r="AE83" i="1" s="1"/>
  <c r="AF83" i="1" s="1"/>
  <c r="AG83" i="1" s="1"/>
  <c r="AH83" i="1" s="1"/>
  <c r="AI83" i="1" s="1"/>
  <c r="AJ83" i="1" s="1"/>
  <c r="AK83" i="1" s="1"/>
  <c r="AL83" i="1" s="1"/>
  <c r="AM83" i="1" s="1"/>
  <c r="AN83" i="1" s="1"/>
  <c r="AO83" i="1" s="1"/>
  <c r="AP83" i="1" s="1"/>
  <c r="AQ83" i="1" s="1"/>
  <c r="AR83" i="1" s="1"/>
  <c r="AS83" i="1" s="1"/>
  <c r="AT83" i="1" s="1"/>
  <c r="AU83" i="1" s="1"/>
  <c r="AV83" i="1" s="1"/>
  <c r="AW83" i="1" s="1"/>
  <c r="AX83" i="1" s="1"/>
  <c r="AY83" i="1" s="1"/>
  <c r="AZ83" i="1" s="1"/>
  <c r="BA83" i="1" s="1"/>
  <c r="BB83" i="1" s="1"/>
  <c r="BC83" i="1" s="1"/>
  <c r="BD83" i="1" s="1"/>
  <c r="BE83" i="1" s="1"/>
  <c r="BF83" i="1" s="1"/>
  <c r="BG83" i="1" s="1"/>
  <c r="BH83" i="1" s="1"/>
  <c r="BI83" i="1" s="1"/>
  <c r="BJ83" i="1" s="1"/>
  <c r="BK83" i="1" s="1"/>
  <c r="BL83" i="1" s="1"/>
  <c r="BM83" i="1" s="1"/>
  <c r="BN83" i="1" s="1"/>
  <c r="BO83" i="1" s="1"/>
  <c r="BP83" i="1" s="1"/>
  <c r="B10" i="1"/>
  <c r="C10" i="1" s="1"/>
  <c r="D10" i="1" s="1"/>
  <c r="E10" i="1" s="1"/>
  <c r="F10" i="1" s="1"/>
  <c r="G10" i="1" s="1"/>
  <c r="H10" i="1" s="1"/>
  <c r="I10" i="1" s="1"/>
  <c r="J10" i="1" s="1"/>
  <c r="K10" i="1" s="1"/>
  <c r="L10" i="1" s="1"/>
  <c r="M10" i="1" s="1"/>
  <c r="N10" i="1" s="1"/>
  <c r="O10" i="1" s="1"/>
  <c r="P10" i="1" s="1"/>
  <c r="Q10" i="1" s="1"/>
  <c r="R10" i="1" s="1"/>
  <c r="S10" i="1" s="1"/>
  <c r="T10" i="1" s="1"/>
  <c r="U10" i="1" s="1"/>
  <c r="V10" i="1" s="1"/>
  <c r="W10" i="1" s="1"/>
  <c r="X10" i="1" s="1"/>
  <c r="Y10" i="1" s="1"/>
  <c r="Z10" i="1" s="1"/>
  <c r="AA10" i="1" s="1"/>
  <c r="AB10" i="1" s="1"/>
  <c r="AC10" i="1" s="1"/>
  <c r="AD10" i="1" s="1"/>
  <c r="AE10" i="1" s="1"/>
  <c r="AF10" i="1" s="1"/>
  <c r="AG10" i="1" s="1"/>
  <c r="AH10" i="1" s="1"/>
  <c r="AI10" i="1" s="1"/>
  <c r="AJ10" i="1" s="1"/>
  <c r="AK10" i="1" s="1"/>
  <c r="AL10" i="1" s="1"/>
  <c r="AM10" i="1" s="1"/>
  <c r="AN10" i="1" s="1"/>
  <c r="AO10" i="1" s="1"/>
  <c r="AP10" i="1" s="1"/>
  <c r="AQ10" i="1" s="1"/>
  <c r="AR10" i="1" s="1"/>
  <c r="AS10" i="1" s="1"/>
  <c r="AT10" i="1" s="1"/>
  <c r="AU10" i="1" s="1"/>
  <c r="AV10" i="1" s="1"/>
  <c r="AW10" i="1" s="1"/>
  <c r="AX10" i="1" s="1"/>
  <c r="AY10" i="1" s="1"/>
  <c r="AZ10" i="1" s="1"/>
  <c r="BA10" i="1" s="1"/>
  <c r="BB10" i="1" s="1"/>
  <c r="BC10" i="1" s="1"/>
  <c r="BD10" i="1" s="1"/>
  <c r="BE10" i="1" s="1"/>
  <c r="BF10" i="1" s="1"/>
  <c r="BG10" i="1" s="1"/>
  <c r="BH10" i="1" s="1"/>
  <c r="BI10" i="1" s="1"/>
  <c r="BJ10" i="1" s="1"/>
  <c r="BK10" i="1" s="1"/>
  <c r="BL10" i="1" s="1"/>
  <c r="BM10" i="1" s="1"/>
  <c r="BN10" i="1" s="1"/>
  <c r="BO10" i="1" s="1"/>
  <c r="BP10" i="1" s="1"/>
  <c r="B84" i="1"/>
  <c r="C84" i="1" s="1"/>
  <c r="D84" i="1" s="1"/>
  <c r="E84" i="1" s="1"/>
  <c r="F84" i="1" s="1"/>
  <c r="G84" i="1" s="1"/>
  <c r="H84" i="1" s="1"/>
  <c r="I84" i="1" s="1"/>
  <c r="J84" i="1" s="1"/>
  <c r="K84" i="1" s="1"/>
  <c r="L84" i="1" s="1"/>
  <c r="M84" i="1" s="1"/>
  <c r="N84" i="1" s="1"/>
  <c r="O84" i="1" s="1"/>
  <c r="P84" i="1" s="1"/>
  <c r="Q84" i="1" s="1"/>
  <c r="R84" i="1" s="1"/>
  <c r="S84" i="1" s="1"/>
  <c r="T84" i="1" s="1"/>
  <c r="U84" i="1" s="1"/>
  <c r="V84" i="1" s="1"/>
  <c r="W84" i="1" s="1"/>
  <c r="X84" i="1" s="1"/>
  <c r="Y84" i="1" s="1"/>
  <c r="Z84" i="1" s="1"/>
  <c r="AA84" i="1" s="1"/>
  <c r="AB84" i="1" s="1"/>
  <c r="AC84" i="1" s="1"/>
  <c r="AD84" i="1" s="1"/>
  <c r="AE84" i="1" s="1"/>
  <c r="AF84" i="1" s="1"/>
  <c r="AG84" i="1" s="1"/>
  <c r="AH84" i="1" s="1"/>
  <c r="AI84" i="1" s="1"/>
  <c r="AJ84" i="1" s="1"/>
  <c r="AK84" i="1" s="1"/>
  <c r="AL84" i="1" s="1"/>
  <c r="AM84" i="1" s="1"/>
  <c r="AN84" i="1" s="1"/>
  <c r="AO84" i="1" s="1"/>
  <c r="AP84" i="1" s="1"/>
  <c r="AQ84" i="1" s="1"/>
  <c r="AR84" i="1" s="1"/>
  <c r="AS84" i="1" s="1"/>
  <c r="AT84" i="1" s="1"/>
  <c r="AU84" i="1" s="1"/>
  <c r="AV84" i="1" s="1"/>
  <c r="AW84" i="1" s="1"/>
  <c r="AX84" i="1" s="1"/>
  <c r="AY84" i="1" s="1"/>
  <c r="AZ84" i="1" s="1"/>
  <c r="BA84" i="1" s="1"/>
  <c r="BB84" i="1" s="1"/>
  <c r="BC84" i="1" s="1"/>
  <c r="BD84" i="1" s="1"/>
  <c r="BE84" i="1" s="1"/>
  <c r="BF84" i="1" s="1"/>
  <c r="BG84" i="1" s="1"/>
  <c r="BH84" i="1" s="1"/>
  <c r="BI84" i="1" s="1"/>
  <c r="BJ84" i="1" s="1"/>
  <c r="BK84" i="1" s="1"/>
  <c r="BL84" i="1" s="1"/>
  <c r="BM84" i="1" s="1"/>
  <c r="BN84" i="1" s="1"/>
  <c r="BO84" i="1" s="1"/>
  <c r="BP84" i="1" s="1"/>
  <c r="B85" i="1"/>
  <c r="C85" i="1" s="1"/>
  <c r="D85" i="1" s="1"/>
  <c r="E85" i="1" s="1"/>
  <c r="F85" i="1" s="1"/>
  <c r="G85" i="1" s="1"/>
  <c r="H85" i="1" s="1"/>
  <c r="I85" i="1" s="1"/>
  <c r="J85" i="1" s="1"/>
  <c r="K85" i="1" s="1"/>
  <c r="L85" i="1" s="1"/>
  <c r="M85" i="1" s="1"/>
  <c r="N85" i="1" s="1"/>
  <c r="O85" i="1" s="1"/>
  <c r="P85" i="1" s="1"/>
  <c r="Q85" i="1" s="1"/>
  <c r="R85" i="1" s="1"/>
  <c r="S85" i="1" s="1"/>
  <c r="T85" i="1" s="1"/>
  <c r="U85" i="1" s="1"/>
  <c r="V85" i="1" s="1"/>
  <c r="W85" i="1" s="1"/>
  <c r="X85" i="1" s="1"/>
  <c r="Y85" i="1" s="1"/>
  <c r="Z85" i="1" s="1"/>
  <c r="AA85" i="1" s="1"/>
  <c r="AB85" i="1" s="1"/>
  <c r="AC85" i="1" s="1"/>
  <c r="AD85" i="1" s="1"/>
  <c r="AE85" i="1" s="1"/>
  <c r="AF85" i="1" s="1"/>
  <c r="AG85" i="1" s="1"/>
  <c r="AH85" i="1" s="1"/>
  <c r="AI85" i="1" s="1"/>
  <c r="AJ85" i="1" s="1"/>
  <c r="AK85" i="1" s="1"/>
  <c r="AL85" i="1" s="1"/>
  <c r="AM85" i="1" s="1"/>
  <c r="AN85" i="1" s="1"/>
  <c r="AO85" i="1" s="1"/>
  <c r="AP85" i="1" s="1"/>
  <c r="AQ85" i="1" s="1"/>
  <c r="AR85" i="1" s="1"/>
  <c r="AS85" i="1" s="1"/>
  <c r="AT85" i="1" s="1"/>
  <c r="AU85" i="1" s="1"/>
  <c r="AV85" i="1" s="1"/>
  <c r="AW85" i="1" s="1"/>
  <c r="AX85" i="1" s="1"/>
  <c r="AY85" i="1" s="1"/>
  <c r="AZ85" i="1" s="1"/>
  <c r="BA85" i="1" s="1"/>
  <c r="BB85" i="1" s="1"/>
  <c r="BC85" i="1" s="1"/>
  <c r="BD85" i="1" s="1"/>
  <c r="BE85" i="1" s="1"/>
  <c r="BF85" i="1" s="1"/>
  <c r="BG85" i="1" s="1"/>
  <c r="BH85" i="1" s="1"/>
  <c r="BI85" i="1" s="1"/>
  <c r="BJ85" i="1" s="1"/>
  <c r="BK85" i="1" s="1"/>
  <c r="BL85" i="1" s="1"/>
  <c r="BM85" i="1" s="1"/>
  <c r="BN85" i="1" s="1"/>
  <c r="BO85" i="1" s="1"/>
  <c r="BP85" i="1" s="1"/>
  <c r="B86" i="1"/>
  <c r="C86" i="1" s="1"/>
  <c r="D86" i="1" s="1"/>
  <c r="E86" i="1" s="1"/>
  <c r="F86" i="1" s="1"/>
  <c r="G86" i="1" s="1"/>
  <c r="H86" i="1" s="1"/>
  <c r="I86" i="1" s="1"/>
  <c r="J86" i="1" s="1"/>
  <c r="K86" i="1" s="1"/>
  <c r="L86" i="1" s="1"/>
  <c r="M86" i="1" s="1"/>
  <c r="N86" i="1" s="1"/>
  <c r="O86" i="1" s="1"/>
  <c r="P86" i="1" s="1"/>
  <c r="Q86" i="1" s="1"/>
  <c r="R86" i="1" s="1"/>
  <c r="S86" i="1" s="1"/>
  <c r="T86" i="1" s="1"/>
  <c r="U86" i="1" s="1"/>
  <c r="V86" i="1" s="1"/>
  <c r="W86" i="1" s="1"/>
  <c r="X86" i="1" s="1"/>
  <c r="Y86" i="1" s="1"/>
  <c r="Z86" i="1" s="1"/>
  <c r="AA86" i="1" s="1"/>
  <c r="AB86" i="1" s="1"/>
  <c r="AC86" i="1" s="1"/>
  <c r="AD86" i="1" s="1"/>
  <c r="AE86" i="1" s="1"/>
  <c r="AF86" i="1" s="1"/>
  <c r="AG86" i="1" s="1"/>
  <c r="AH86" i="1" s="1"/>
  <c r="AI86" i="1" s="1"/>
  <c r="AJ86" i="1" s="1"/>
  <c r="AK86" i="1" s="1"/>
  <c r="AL86" i="1" s="1"/>
  <c r="AM86" i="1" s="1"/>
  <c r="AN86" i="1" s="1"/>
  <c r="AO86" i="1" s="1"/>
  <c r="AP86" i="1" s="1"/>
  <c r="AQ86" i="1" s="1"/>
  <c r="AR86" i="1" s="1"/>
  <c r="AS86" i="1" s="1"/>
  <c r="AT86" i="1" s="1"/>
  <c r="AU86" i="1" s="1"/>
  <c r="AV86" i="1" s="1"/>
  <c r="AW86" i="1" s="1"/>
  <c r="AX86" i="1" s="1"/>
  <c r="AY86" i="1" s="1"/>
  <c r="AZ86" i="1" s="1"/>
  <c r="BA86" i="1" s="1"/>
  <c r="BB86" i="1" s="1"/>
  <c r="BC86" i="1" s="1"/>
  <c r="BD86" i="1" s="1"/>
  <c r="BE86" i="1" s="1"/>
  <c r="BF86" i="1" s="1"/>
  <c r="BG86" i="1" s="1"/>
  <c r="BH86" i="1" s="1"/>
  <c r="BI86" i="1" s="1"/>
  <c r="BJ86" i="1" s="1"/>
  <c r="BK86" i="1" s="1"/>
  <c r="BL86" i="1" s="1"/>
  <c r="BM86" i="1" s="1"/>
  <c r="BN86" i="1" s="1"/>
  <c r="BO86" i="1" s="1"/>
  <c r="BP86" i="1" s="1"/>
  <c r="B87" i="1"/>
  <c r="C87" i="1" s="1"/>
  <c r="D87" i="1" s="1"/>
  <c r="E87" i="1" s="1"/>
  <c r="F87" i="1" s="1"/>
  <c r="G87" i="1" s="1"/>
  <c r="H87" i="1" s="1"/>
  <c r="I87" i="1" s="1"/>
  <c r="J87" i="1" s="1"/>
  <c r="K87" i="1" s="1"/>
  <c r="L87" i="1" s="1"/>
  <c r="M87" i="1" s="1"/>
  <c r="N87" i="1" s="1"/>
  <c r="O87" i="1" s="1"/>
  <c r="P87" i="1" s="1"/>
  <c r="Q87" i="1" s="1"/>
  <c r="R87" i="1" s="1"/>
  <c r="S87" i="1" s="1"/>
  <c r="T87" i="1" s="1"/>
  <c r="U87" i="1" s="1"/>
  <c r="V87" i="1" s="1"/>
  <c r="W87" i="1" s="1"/>
  <c r="X87" i="1" s="1"/>
  <c r="Y87" i="1" s="1"/>
  <c r="Z87" i="1" s="1"/>
  <c r="AA87" i="1" s="1"/>
  <c r="AB87" i="1" s="1"/>
  <c r="AC87" i="1" s="1"/>
  <c r="AD87" i="1" s="1"/>
  <c r="AE87" i="1" s="1"/>
  <c r="AF87" i="1" s="1"/>
  <c r="AG87" i="1" s="1"/>
  <c r="AH87" i="1" s="1"/>
  <c r="AI87" i="1" s="1"/>
  <c r="AJ87" i="1" s="1"/>
  <c r="AK87" i="1" s="1"/>
  <c r="AL87" i="1" s="1"/>
  <c r="AM87" i="1" s="1"/>
  <c r="AN87" i="1" s="1"/>
  <c r="AO87" i="1" s="1"/>
  <c r="AP87" i="1" s="1"/>
  <c r="AQ87" i="1" s="1"/>
  <c r="AR87" i="1" s="1"/>
  <c r="AS87" i="1" s="1"/>
  <c r="AT87" i="1" s="1"/>
  <c r="AU87" i="1" s="1"/>
  <c r="AV87" i="1" s="1"/>
  <c r="AW87" i="1" s="1"/>
  <c r="AX87" i="1" s="1"/>
  <c r="AY87" i="1" s="1"/>
  <c r="AZ87" i="1" s="1"/>
  <c r="BA87" i="1" s="1"/>
  <c r="BB87" i="1" s="1"/>
  <c r="BC87" i="1" s="1"/>
  <c r="BD87" i="1" s="1"/>
  <c r="BE87" i="1" s="1"/>
  <c r="BF87" i="1" s="1"/>
  <c r="BG87" i="1" s="1"/>
  <c r="BH87" i="1" s="1"/>
  <c r="BI87" i="1" s="1"/>
  <c r="BJ87" i="1" s="1"/>
  <c r="BK87" i="1" s="1"/>
  <c r="BL87" i="1" s="1"/>
  <c r="BM87" i="1" s="1"/>
  <c r="BN87" i="1" s="1"/>
  <c r="BO87" i="1" s="1"/>
  <c r="BP87" i="1" s="1"/>
  <c r="B88" i="1"/>
  <c r="C88" i="1" s="1"/>
  <c r="D88" i="1" s="1"/>
  <c r="E88" i="1" s="1"/>
  <c r="F88" i="1" s="1"/>
  <c r="G88" i="1" s="1"/>
  <c r="H88" i="1" s="1"/>
  <c r="I88" i="1" s="1"/>
  <c r="J88" i="1" s="1"/>
  <c r="K88" i="1" s="1"/>
  <c r="L88" i="1" s="1"/>
  <c r="M88" i="1" s="1"/>
  <c r="N88" i="1" s="1"/>
  <c r="O88" i="1" s="1"/>
  <c r="P88" i="1" s="1"/>
  <c r="Q88" i="1" s="1"/>
  <c r="R88" i="1" s="1"/>
  <c r="S88" i="1" s="1"/>
  <c r="T88" i="1" s="1"/>
  <c r="U88" i="1" s="1"/>
  <c r="V88" i="1" s="1"/>
  <c r="W88" i="1" s="1"/>
  <c r="X88" i="1" s="1"/>
  <c r="Y88" i="1" s="1"/>
  <c r="Z88" i="1" s="1"/>
  <c r="AA88" i="1" s="1"/>
  <c r="AB88" i="1" s="1"/>
  <c r="AC88" i="1" s="1"/>
  <c r="AD88" i="1" s="1"/>
  <c r="AE88" i="1" s="1"/>
  <c r="AF88" i="1" s="1"/>
  <c r="AG88" i="1" s="1"/>
  <c r="AH88" i="1" s="1"/>
  <c r="AI88" i="1" s="1"/>
  <c r="AJ88" i="1" s="1"/>
  <c r="AK88" i="1" s="1"/>
  <c r="AL88" i="1" s="1"/>
  <c r="AM88" i="1" s="1"/>
  <c r="AN88" i="1" s="1"/>
  <c r="AO88" i="1" s="1"/>
  <c r="AP88" i="1" s="1"/>
  <c r="AQ88" i="1" s="1"/>
  <c r="AR88" i="1" s="1"/>
  <c r="AS88" i="1" s="1"/>
  <c r="AT88" i="1" s="1"/>
  <c r="AU88" i="1" s="1"/>
  <c r="AV88" i="1" s="1"/>
  <c r="AW88" i="1" s="1"/>
  <c r="AX88" i="1" s="1"/>
  <c r="AY88" i="1" s="1"/>
  <c r="AZ88" i="1" s="1"/>
  <c r="BA88" i="1" s="1"/>
  <c r="BB88" i="1" s="1"/>
  <c r="BC88" i="1" s="1"/>
  <c r="BD88" i="1" s="1"/>
  <c r="BE88" i="1" s="1"/>
  <c r="BF88" i="1" s="1"/>
  <c r="BG88" i="1" s="1"/>
  <c r="BH88" i="1" s="1"/>
  <c r="BI88" i="1" s="1"/>
  <c r="BJ88" i="1" s="1"/>
  <c r="BK88" i="1" s="1"/>
  <c r="BL88" i="1" s="1"/>
  <c r="BM88" i="1" s="1"/>
  <c r="BN88" i="1" s="1"/>
  <c r="BO88" i="1" s="1"/>
  <c r="BP88" i="1" s="1"/>
  <c r="B89" i="1"/>
  <c r="C89" i="1" s="1"/>
  <c r="D89" i="1" s="1"/>
  <c r="E89" i="1" s="1"/>
  <c r="F89" i="1" s="1"/>
  <c r="G89" i="1" s="1"/>
  <c r="H89" i="1" s="1"/>
  <c r="I89" i="1" s="1"/>
  <c r="J89" i="1" s="1"/>
  <c r="K89" i="1" s="1"/>
  <c r="L89" i="1" s="1"/>
  <c r="M89" i="1" s="1"/>
  <c r="N89" i="1" s="1"/>
  <c r="O89" i="1" s="1"/>
  <c r="P89" i="1" s="1"/>
  <c r="Q89" i="1" s="1"/>
  <c r="R89" i="1" s="1"/>
  <c r="S89" i="1" s="1"/>
  <c r="T89" i="1" s="1"/>
  <c r="U89" i="1" s="1"/>
  <c r="V89" i="1" s="1"/>
  <c r="W89" i="1" s="1"/>
  <c r="X89" i="1" s="1"/>
  <c r="Y89" i="1" s="1"/>
  <c r="Z89" i="1" s="1"/>
  <c r="AA89" i="1" s="1"/>
  <c r="AB89" i="1" s="1"/>
  <c r="AC89" i="1" s="1"/>
  <c r="AD89" i="1" s="1"/>
  <c r="AE89" i="1" s="1"/>
  <c r="AF89" i="1" s="1"/>
  <c r="AG89" i="1" s="1"/>
  <c r="AH89" i="1" s="1"/>
  <c r="AI89" i="1" s="1"/>
  <c r="AJ89" i="1" s="1"/>
  <c r="AK89" i="1" s="1"/>
  <c r="AL89" i="1" s="1"/>
  <c r="AM89" i="1" s="1"/>
  <c r="AN89" i="1" s="1"/>
  <c r="AO89" i="1" s="1"/>
  <c r="AP89" i="1" s="1"/>
  <c r="AQ89" i="1" s="1"/>
  <c r="AR89" i="1" s="1"/>
  <c r="AS89" i="1" s="1"/>
  <c r="AT89" i="1" s="1"/>
  <c r="AU89" i="1" s="1"/>
  <c r="AV89" i="1" s="1"/>
  <c r="AW89" i="1" s="1"/>
  <c r="AX89" i="1" s="1"/>
  <c r="AY89" i="1" s="1"/>
  <c r="AZ89" i="1" s="1"/>
  <c r="BA89" i="1" s="1"/>
  <c r="BB89" i="1" s="1"/>
  <c r="BC89" i="1" s="1"/>
  <c r="BD89" i="1" s="1"/>
  <c r="BE89" i="1" s="1"/>
  <c r="BF89" i="1" s="1"/>
  <c r="BG89" i="1" s="1"/>
  <c r="BH89" i="1" s="1"/>
  <c r="BI89" i="1" s="1"/>
  <c r="BJ89" i="1" s="1"/>
  <c r="BK89" i="1" s="1"/>
  <c r="BL89" i="1" s="1"/>
  <c r="BM89" i="1" s="1"/>
  <c r="BN89" i="1" s="1"/>
  <c r="BO89" i="1" s="1"/>
  <c r="BP89" i="1" s="1"/>
  <c r="B90" i="1"/>
  <c r="C90" i="1" s="1"/>
  <c r="D90" i="1" s="1"/>
  <c r="E90" i="1" s="1"/>
  <c r="F90" i="1" s="1"/>
  <c r="G90" i="1" s="1"/>
  <c r="H90" i="1" s="1"/>
  <c r="I90" i="1" s="1"/>
  <c r="J90" i="1" s="1"/>
  <c r="K90" i="1" s="1"/>
  <c r="L90" i="1" s="1"/>
  <c r="M90" i="1" s="1"/>
  <c r="N90" i="1" s="1"/>
  <c r="O90" i="1" s="1"/>
  <c r="P90" i="1" s="1"/>
  <c r="Q90" i="1" s="1"/>
  <c r="R90" i="1" s="1"/>
  <c r="S90" i="1" s="1"/>
  <c r="T90" i="1" s="1"/>
  <c r="U90" i="1" s="1"/>
  <c r="V90" i="1" s="1"/>
  <c r="W90" i="1" s="1"/>
  <c r="X90" i="1" s="1"/>
  <c r="Y90" i="1" s="1"/>
  <c r="Z90" i="1" s="1"/>
  <c r="AA90" i="1" s="1"/>
  <c r="AB90" i="1" s="1"/>
  <c r="AC90" i="1" s="1"/>
  <c r="AD90" i="1" s="1"/>
  <c r="AE90" i="1" s="1"/>
  <c r="AF90" i="1" s="1"/>
  <c r="AG90" i="1" s="1"/>
  <c r="AH90" i="1" s="1"/>
  <c r="AI90" i="1" s="1"/>
  <c r="AJ90" i="1" s="1"/>
  <c r="AK90" i="1" s="1"/>
  <c r="AL90" i="1" s="1"/>
  <c r="AM90" i="1" s="1"/>
  <c r="AN90" i="1" s="1"/>
  <c r="AO90" i="1" s="1"/>
  <c r="AP90" i="1" s="1"/>
  <c r="AQ90" i="1" s="1"/>
  <c r="AR90" i="1" s="1"/>
  <c r="AS90" i="1" s="1"/>
  <c r="AT90" i="1" s="1"/>
  <c r="AU90" i="1" s="1"/>
  <c r="AV90" i="1" s="1"/>
  <c r="AW90" i="1" s="1"/>
  <c r="AX90" i="1" s="1"/>
  <c r="AY90" i="1" s="1"/>
  <c r="AZ90" i="1" s="1"/>
  <c r="BA90" i="1" s="1"/>
  <c r="BB90" i="1" s="1"/>
  <c r="BC90" i="1" s="1"/>
  <c r="BD90" i="1" s="1"/>
  <c r="BE90" i="1" s="1"/>
  <c r="BF90" i="1" s="1"/>
  <c r="BG90" i="1" s="1"/>
  <c r="BH90" i="1" s="1"/>
  <c r="BI90" i="1" s="1"/>
  <c r="BJ90" i="1" s="1"/>
  <c r="BK90" i="1" s="1"/>
  <c r="BL90" i="1" s="1"/>
  <c r="BM90" i="1" s="1"/>
  <c r="BN90" i="1" s="1"/>
  <c r="BO90" i="1" s="1"/>
  <c r="BP90" i="1" s="1"/>
  <c r="B91" i="1"/>
  <c r="C91" i="1" s="1"/>
  <c r="D91" i="1" s="1"/>
  <c r="E91" i="1" s="1"/>
  <c r="F91" i="1" s="1"/>
  <c r="G91" i="1" s="1"/>
  <c r="H91" i="1" s="1"/>
  <c r="I91" i="1" s="1"/>
  <c r="J91" i="1" s="1"/>
  <c r="K91" i="1" s="1"/>
  <c r="L91" i="1" s="1"/>
  <c r="M91" i="1" s="1"/>
  <c r="N91" i="1" s="1"/>
  <c r="O91" i="1" s="1"/>
  <c r="P91" i="1" s="1"/>
  <c r="Q91" i="1" s="1"/>
  <c r="R91" i="1" s="1"/>
  <c r="S91" i="1" s="1"/>
  <c r="T91" i="1" s="1"/>
  <c r="U91" i="1" s="1"/>
  <c r="V91" i="1" s="1"/>
  <c r="W91" i="1" s="1"/>
  <c r="X91" i="1" s="1"/>
  <c r="Y91" i="1" s="1"/>
  <c r="Z91" i="1" s="1"/>
  <c r="AA91" i="1" s="1"/>
  <c r="AB91" i="1" s="1"/>
  <c r="AC91" i="1" s="1"/>
  <c r="AD91" i="1" s="1"/>
  <c r="AE91" i="1" s="1"/>
  <c r="AF91" i="1" s="1"/>
  <c r="AG91" i="1" s="1"/>
  <c r="AH91" i="1" s="1"/>
  <c r="AI91" i="1" s="1"/>
  <c r="AJ91" i="1" s="1"/>
  <c r="AK91" i="1" s="1"/>
  <c r="AL91" i="1" s="1"/>
  <c r="AM91" i="1" s="1"/>
  <c r="AN91" i="1" s="1"/>
  <c r="AO91" i="1" s="1"/>
  <c r="AP91" i="1" s="1"/>
  <c r="AQ91" i="1" s="1"/>
  <c r="AR91" i="1" s="1"/>
  <c r="AS91" i="1" s="1"/>
  <c r="AT91" i="1" s="1"/>
  <c r="AU91" i="1" s="1"/>
  <c r="AV91" i="1" s="1"/>
  <c r="AW91" i="1" s="1"/>
  <c r="AX91" i="1" s="1"/>
  <c r="AY91" i="1" s="1"/>
  <c r="AZ91" i="1" s="1"/>
  <c r="BA91" i="1" s="1"/>
  <c r="BB91" i="1" s="1"/>
  <c r="BC91" i="1" s="1"/>
  <c r="BD91" i="1" s="1"/>
  <c r="BE91" i="1" s="1"/>
  <c r="BF91" i="1" s="1"/>
  <c r="BG91" i="1" s="1"/>
  <c r="BH91" i="1" s="1"/>
  <c r="BI91" i="1" s="1"/>
  <c r="BJ91" i="1" s="1"/>
  <c r="BK91" i="1" s="1"/>
  <c r="BL91" i="1" s="1"/>
  <c r="BM91" i="1" s="1"/>
  <c r="BN91" i="1" s="1"/>
  <c r="BO91" i="1" s="1"/>
  <c r="BP91" i="1" s="1"/>
  <c r="B92" i="1"/>
  <c r="C92" i="1" s="1"/>
  <c r="D92" i="1" s="1"/>
  <c r="E92" i="1" s="1"/>
  <c r="F92" i="1" s="1"/>
  <c r="G92" i="1" s="1"/>
  <c r="H92" i="1" s="1"/>
  <c r="I92" i="1" s="1"/>
  <c r="J92" i="1" s="1"/>
  <c r="K92" i="1" s="1"/>
  <c r="L92" i="1" s="1"/>
  <c r="M92" i="1" s="1"/>
  <c r="N92" i="1" s="1"/>
  <c r="O92" i="1" s="1"/>
  <c r="P92" i="1" s="1"/>
  <c r="Q92" i="1" s="1"/>
  <c r="R92" i="1" s="1"/>
  <c r="S92" i="1" s="1"/>
  <c r="T92" i="1" s="1"/>
  <c r="U92" i="1" s="1"/>
  <c r="V92" i="1" s="1"/>
  <c r="W92" i="1" s="1"/>
  <c r="X92" i="1" s="1"/>
  <c r="Y92" i="1" s="1"/>
  <c r="Z92" i="1" s="1"/>
  <c r="AA92" i="1" s="1"/>
  <c r="AB92" i="1" s="1"/>
  <c r="AC92" i="1" s="1"/>
  <c r="AD92" i="1" s="1"/>
  <c r="AE92" i="1" s="1"/>
  <c r="AF92" i="1" s="1"/>
  <c r="AG92" i="1" s="1"/>
  <c r="AH92" i="1" s="1"/>
  <c r="AI92" i="1" s="1"/>
  <c r="AJ92" i="1" s="1"/>
  <c r="AK92" i="1" s="1"/>
  <c r="AL92" i="1" s="1"/>
  <c r="AM92" i="1" s="1"/>
  <c r="AN92" i="1" s="1"/>
  <c r="AO92" i="1" s="1"/>
  <c r="AP92" i="1" s="1"/>
  <c r="AQ92" i="1" s="1"/>
  <c r="AR92" i="1" s="1"/>
  <c r="AS92" i="1" s="1"/>
  <c r="AT92" i="1" s="1"/>
  <c r="AU92" i="1" s="1"/>
  <c r="AV92" i="1" s="1"/>
  <c r="AW92" i="1" s="1"/>
  <c r="AX92" i="1" s="1"/>
  <c r="AY92" i="1" s="1"/>
  <c r="AZ92" i="1" s="1"/>
  <c r="BA92" i="1" s="1"/>
  <c r="BB92" i="1" s="1"/>
  <c r="BC92" i="1" s="1"/>
  <c r="BD92" i="1" s="1"/>
  <c r="BE92" i="1" s="1"/>
  <c r="BF92" i="1" s="1"/>
  <c r="BG92" i="1" s="1"/>
  <c r="BH92" i="1" s="1"/>
  <c r="BI92" i="1" s="1"/>
  <c r="BJ92" i="1" s="1"/>
  <c r="BK92" i="1" s="1"/>
  <c r="BL92" i="1" s="1"/>
  <c r="BM92" i="1" s="1"/>
  <c r="BN92" i="1" s="1"/>
  <c r="BO92" i="1" s="1"/>
  <c r="BP92" i="1" s="1"/>
  <c r="B93" i="1"/>
  <c r="C93" i="1" s="1"/>
  <c r="D93" i="1" s="1"/>
  <c r="E93" i="1" s="1"/>
  <c r="F93" i="1" s="1"/>
  <c r="G93" i="1" s="1"/>
  <c r="H93" i="1" s="1"/>
  <c r="I93" i="1" s="1"/>
  <c r="J93" i="1" s="1"/>
  <c r="K93" i="1" s="1"/>
  <c r="L93" i="1" s="1"/>
  <c r="M93" i="1" s="1"/>
  <c r="N93" i="1" s="1"/>
  <c r="O93" i="1" s="1"/>
  <c r="P93" i="1" s="1"/>
  <c r="Q93" i="1" s="1"/>
  <c r="R93" i="1" s="1"/>
  <c r="S93" i="1" s="1"/>
  <c r="T93" i="1" s="1"/>
  <c r="U93" i="1" s="1"/>
  <c r="V93" i="1" s="1"/>
  <c r="W93" i="1" s="1"/>
  <c r="X93" i="1" s="1"/>
  <c r="Y93" i="1" s="1"/>
  <c r="Z93" i="1" s="1"/>
  <c r="AA93" i="1" s="1"/>
  <c r="AB93" i="1" s="1"/>
  <c r="AC93" i="1" s="1"/>
  <c r="AD93" i="1" s="1"/>
  <c r="AE93" i="1" s="1"/>
  <c r="AF93" i="1" s="1"/>
  <c r="AG93" i="1" s="1"/>
  <c r="AH93" i="1" s="1"/>
  <c r="AI93" i="1" s="1"/>
  <c r="AJ93" i="1" s="1"/>
  <c r="AK93" i="1" s="1"/>
  <c r="AL93" i="1" s="1"/>
  <c r="AM93" i="1" s="1"/>
  <c r="AN93" i="1" s="1"/>
  <c r="AO93" i="1" s="1"/>
  <c r="AP93" i="1" s="1"/>
  <c r="AQ93" i="1" s="1"/>
  <c r="AR93" i="1" s="1"/>
  <c r="AS93" i="1" s="1"/>
  <c r="AT93" i="1" s="1"/>
  <c r="AU93" i="1" s="1"/>
  <c r="AV93" i="1" s="1"/>
  <c r="AW93" i="1" s="1"/>
  <c r="AX93" i="1" s="1"/>
  <c r="AY93" i="1" s="1"/>
  <c r="AZ93" i="1" s="1"/>
  <c r="BA93" i="1" s="1"/>
  <c r="BB93" i="1" s="1"/>
  <c r="BC93" i="1" s="1"/>
  <c r="BD93" i="1" s="1"/>
  <c r="BE93" i="1" s="1"/>
  <c r="BF93" i="1" s="1"/>
  <c r="BG93" i="1" s="1"/>
  <c r="BH93" i="1" s="1"/>
  <c r="BI93" i="1" s="1"/>
  <c r="BJ93" i="1" s="1"/>
  <c r="BK93" i="1" s="1"/>
  <c r="BL93" i="1" s="1"/>
  <c r="BM93" i="1" s="1"/>
  <c r="BN93" i="1" s="1"/>
  <c r="BO93" i="1" s="1"/>
  <c r="BP93" i="1" s="1"/>
  <c r="B94" i="1"/>
  <c r="C94" i="1" s="1"/>
  <c r="D94" i="1" s="1"/>
  <c r="E94" i="1" s="1"/>
  <c r="F94" i="1" s="1"/>
  <c r="G94" i="1" s="1"/>
  <c r="H94" i="1" s="1"/>
  <c r="I94" i="1" s="1"/>
  <c r="J94" i="1" s="1"/>
  <c r="K94" i="1" s="1"/>
  <c r="L94" i="1" s="1"/>
  <c r="M94" i="1" s="1"/>
  <c r="N94" i="1" s="1"/>
  <c r="O94" i="1" s="1"/>
  <c r="P94" i="1" s="1"/>
  <c r="Q94" i="1" s="1"/>
  <c r="R94" i="1" s="1"/>
  <c r="S94" i="1" s="1"/>
  <c r="T94" i="1" s="1"/>
  <c r="U94" i="1" s="1"/>
  <c r="V94" i="1" s="1"/>
  <c r="W94" i="1" s="1"/>
  <c r="X94" i="1" s="1"/>
  <c r="Y94" i="1" s="1"/>
  <c r="Z94" i="1" s="1"/>
  <c r="AA94" i="1" s="1"/>
  <c r="AB94" i="1" s="1"/>
  <c r="AC94" i="1" s="1"/>
  <c r="AD94" i="1" s="1"/>
  <c r="AE94" i="1" s="1"/>
  <c r="AF94" i="1" s="1"/>
  <c r="AG94" i="1" s="1"/>
  <c r="AH94" i="1" s="1"/>
  <c r="AI94" i="1" s="1"/>
  <c r="AJ94" i="1" s="1"/>
  <c r="AK94" i="1" s="1"/>
  <c r="AL94" i="1" s="1"/>
  <c r="AM94" i="1" s="1"/>
  <c r="AN94" i="1" s="1"/>
  <c r="AO94" i="1" s="1"/>
  <c r="AP94" i="1" s="1"/>
  <c r="AQ94" i="1" s="1"/>
  <c r="AR94" i="1" s="1"/>
  <c r="AS94" i="1" s="1"/>
  <c r="AT94" i="1" s="1"/>
  <c r="AU94" i="1" s="1"/>
  <c r="AV94" i="1" s="1"/>
  <c r="AW94" i="1" s="1"/>
  <c r="AX94" i="1" s="1"/>
  <c r="AY94" i="1" s="1"/>
  <c r="AZ94" i="1" s="1"/>
  <c r="BA94" i="1" s="1"/>
  <c r="BB94" i="1" s="1"/>
  <c r="BC94" i="1" s="1"/>
  <c r="BD94" i="1" s="1"/>
  <c r="BE94" i="1" s="1"/>
  <c r="BF94" i="1" s="1"/>
  <c r="BG94" i="1" s="1"/>
  <c r="BH94" i="1" s="1"/>
  <c r="BI94" i="1" s="1"/>
  <c r="BJ94" i="1" s="1"/>
  <c r="BK94" i="1" s="1"/>
  <c r="BL94" i="1" s="1"/>
  <c r="BM94" i="1" s="1"/>
  <c r="BN94" i="1" s="1"/>
  <c r="BO94" i="1" s="1"/>
  <c r="BP94" i="1" s="1"/>
  <c r="B12" i="1"/>
  <c r="C12" i="1" s="1"/>
  <c r="D12" i="1" s="1"/>
  <c r="E12" i="1" s="1"/>
  <c r="F12" i="1" s="1"/>
  <c r="G12" i="1" s="1"/>
  <c r="H12" i="1" s="1"/>
  <c r="I12" i="1" s="1"/>
  <c r="J12" i="1" s="1"/>
  <c r="K12" i="1" s="1"/>
  <c r="L12" i="1" s="1"/>
  <c r="M12" i="1" s="1"/>
  <c r="N12" i="1" s="1"/>
  <c r="O12" i="1" s="1"/>
  <c r="P12" i="1" s="1"/>
  <c r="Q12" i="1" s="1"/>
  <c r="R12" i="1" s="1"/>
  <c r="S12" i="1" s="1"/>
  <c r="T12" i="1" s="1"/>
  <c r="U12" i="1" s="1"/>
  <c r="V12" i="1" s="1"/>
  <c r="W12" i="1" s="1"/>
  <c r="X12" i="1" s="1"/>
  <c r="Y12" i="1" s="1"/>
  <c r="Z12" i="1" s="1"/>
  <c r="AA12" i="1" s="1"/>
  <c r="AB12" i="1" s="1"/>
  <c r="AC12" i="1" s="1"/>
  <c r="AD12" i="1" s="1"/>
  <c r="AE12" i="1" s="1"/>
  <c r="AF12" i="1" s="1"/>
  <c r="AG12" i="1" s="1"/>
  <c r="AH12" i="1" s="1"/>
  <c r="AI12" i="1" s="1"/>
  <c r="AJ12" i="1" s="1"/>
  <c r="AK12" i="1" s="1"/>
  <c r="AL12" i="1" s="1"/>
  <c r="AM12" i="1" s="1"/>
  <c r="AN12" i="1" s="1"/>
  <c r="AO12" i="1" s="1"/>
  <c r="AP12" i="1" s="1"/>
  <c r="AQ12" i="1" s="1"/>
  <c r="AR12" i="1" s="1"/>
  <c r="AS12" i="1" s="1"/>
  <c r="AT12" i="1" s="1"/>
  <c r="AU12" i="1" s="1"/>
  <c r="AV12" i="1" s="1"/>
  <c r="AW12" i="1" s="1"/>
  <c r="AX12" i="1" s="1"/>
  <c r="AY12" i="1" s="1"/>
  <c r="AZ12" i="1" s="1"/>
  <c r="BA12" i="1" s="1"/>
  <c r="BB12" i="1" s="1"/>
  <c r="BC12" i="1" s="1"/>
  <c r="BD12" i="1" s="1"/>
  <c r="BE12" i="1" s="1"/>
  <c r="BF12" i="1" s="1"/>
  <c r="BG12" i="1" s="1"/>
  <c r="BH12" i="1" s="1"/>
  <c r="BI12" i="1" s="1"/>
  <c r="BJ12" i="1" s="1"/>
  <c r="BK12" i="1" s="1"/>
  <c r="BL12" i="1" s="1"/>
  <c r="BM12" i="1" s="1"/>
  <c r="BN12" i="1" s="1"/>
  <c r="BO12" i="1" s="1"/>
  <c r="BP12" i="1" s="1"/>
  <c r="B11" i="1"/>
  <c r="C11" i="1" s="1"/>
  <c r="B95" i="1"/>
  <c r="C95" i="1" s="1"/>
  <c r="D95" i="1" s="1"/>
  <c r="E95" i="1" s="1"/>
  <c r="F95" i="1" s="1"/>
  <c r="G95" i="1" s="1"/>
  <c r="H95" i="1" s="1"/>
  <c r="I95" i="1" s="1"/>
  <c r="J95" i="1" s="1"/>
  <c r="K95" i="1" s="1"/>
  <c r="L95" i="1" s="1"/>
  <c r="M95" i="1" s="1"/>
  <c r="N95" i="1" s="1"/>
  <c r="O95" i="1" s="1"/>
  <c r="P95" i="1" s="1"/>
  <c r="Q95" i="1" s="1"/>
  <c r="R95" i="1" s="1"/>
  <c r="S95" i="1" s="1"/>
  <c r="T95" i="1" s="1"/>
  <c r="U95" i="1" s="1"/>
  <c r="V95" i="1" s="1"/>
  <c r="W95" i="1" s="1"/>
  <c r="X95" i="1" s="1"/>
  <c r="Y95" i="1" s="1"/>
  <c r="Z95" i="1" s="1"/>
  <c r="AA95" i="1" s="1"/>
  <c r="AB95" i="1" s="1"/>
  <c r="AC95" i="1" s="1"/>
  <c r="AD95" i="1" s="1"/>
  <c r="AE95" i="1" s="1"/>
  <c r="AF95" i="1" s="1"/>
  <c r="AG95" i="1" s="1"/>
  <c r="AH95" i="1" s="1"/>
  <c r="AI95" i="1" s="1"/>
  <c r="AJ95" i="1" s="1"/>
  <c r="AK95" i="1" s="1"/>
  <c r="AL95" i="1" s="1"/>
  <c r="AM95" i="1" s="1"/>
  <c r="AN95" i="1" s="1"/>
  <c r="AO95" i="1" s="1"/>
  <c r="AP95" i="1" s="1"/>
  <c r="AQ95" i="1" s="1"/>
  <c r="AR95" i="1" s="1"/>
  <c r="AS95" i="1" s="1"/>
  <c r="AT95" i="1" s="1"/>
  <c r="AU95" i="1" s="1"/>
  <c r="AV95" i="1" s="1"/>
  <c r="AW95" i="1" s="1"/>
  <c r="AX95" i="1" s="1"/>
  <c r="AY95" i="1" s="1"/>
  <c r="AZ95" i="1" s="1"/>
  <c r="BA95" i="1" s="1"/>
  <c r="BB95" i="1" s="1"/>
  <c r="BC95" i="1" s="1"/>
  <c r="BD95" i="1" s="1"/>
  <c r="BE95" i="1" s="1"/>
  <c r="BF95" i="1" s="1"/>
  <c r="BG95" i="1" s="1"/>
  <c r="BH95" i="1" s="1"/>
  <c r="BI95" i="1" s="1"/>
  <c r="BJ95" i="1" s="1"/>
  <c r="BK95" i="1" s="1"/>
  <c r="BL95" i="1" s="1"/>
  <c r="BM95" i="1" s="1"/>
  <c r="BN95" i="1" s="1"/>
  <c r="BO95" i="1" s="1"/>
  <c r="BP95" i="1" s="1"/>
  <c r="B96" i="1"/>
  <c r="C96" i="1" s="1"/>
  <c r="D96" i="1" s="1"/>
  <c r="E96" i="1" s="1"/>
  <c r="F96" i="1" s="1"/>
  <c r="G96" i="1" s="1"/>
  <c r="H96" i="1" s="1"/>
  <c r="I96" i="1" s="1"/>
  <c r="J96" i="1" s="1"/>
  <c r="K96" i="1" s="1"/>
  <c r="L96" i="1" s="1"/>
  <c r="M96" i="1" s="1"/>
  <c r="N96" i="1" s="1"/>
  <c r="O96" i="1" s="1"/>
  <c r="P96" i="1" s="1"/>
  <c r="Q96" i="1" s="1"/>
  <c r="R96" i="1" s="1"/>
  <c r="S96" i="1" s="1"/>
  <c r="T96" i="1" s="1"/>
  <c r="U96" i="1" s="1"/>
  <c r="V96" i="1" s="1"/>
  <c r="W96" i="1" s="1"/>
  <c r="X96" i="1" s="1"/>
  <c r="Y96" i="1" s="1"/>
  <c r="Z96" i="1" s="1"/>
  <c r="AA96" i="1" s="1"/>
  <c r="AB96" i="1" s="1"/>
  <c r="AC96" i="1" s="1"/>
  <c r="AD96" i="1" s="1"/>
  <c r="AE96" i="1" s="1"/>
  <c r="AF96" i="1" s="1"/>
  <c r="AG96" i="1" s="1"/>
  <c r="AH96" i="1" s="1"/>
  <c r="AI96" i="1" s="1"/>
  <c r="AJ96" i="1" s="1"/>
  <c r="AK96" i="1" s="1"/>
  <c r="AL96" i="1" s="1"/>
  <c r="AM96" i="1" s="1"/>
  <c r="AN96" i="1" s="1"/>
  <c r="AO96" i="1" s="1"/>
  <c r="AP96" i="1" s="1"/>
  <c r="AQ96" i="1" s="1"/>
  <c r="AR96" i="1" s="1"/>
  <c r="AS96" i="1" s="1"/>
  <c r="AT96" i="1" s="1"/>
  <c r="AU96" i="1" s="1"/>
  <c r="AV96" i="1" s="1"/>
  <c r="AW96" i="1" s="1"/>
  <c r="AX96" i="1" s="1"/>
  <c r="AY96" i="1" s="1"/>
  <c r="AZ96" i="1" s="1"/>
  <c r="BA96" i="1" s="1"/>
  <c r="BB96" i="1" s="1"/>
  <c r="BC96" i="1" s="1"/>
  <c r="BD96" i="1" s="1"/>
  <c r="BE96" i="1" s="1"/>
  <c r="BF96" i="1" s="1"/>
  <c r="BG96" i="1" s="1"/>
  <c r="BH96" i="1" s="1"/>
  <c r="BI96" i="1" s="1"/>
  <c r="BJ96" i="1" s="1"/>
  <c r="BK96" i="1" s="1"/>
  <c r="BL96" i="1" s="1"/>
  <c r="BM96" i="1" s="1"/>
  <c r="BN96" i="1" s="1"/>
  <c r="BO96" i="1" s="1"/>
  <c r="BP96" i="1" s="1"/>
  <c r="B97" i="1"/>
  <c r="C97" i="1" s="1"/>
  <c r="D97" i="1" s="1"/>
  <c r="E97" i="1" s="1"/>
  <c r="F97" i="1" s="1"/>
  <c r="G97" i="1" s="1"/>
  <c r="H97" i="1" s="1"/>
  <c r="I97" i="1" s="1"/>
  <c r="J97" i="1" s="1"/>
  <c r="K97" i="1" s="1"/>
  <c r="L97" i="1" s="1"/>
  <c r="M97" i="1" s="1"/>
  <c r="N97" i="1" s="1"/>
  <c r="O97" i="1" s="1"/>
  <c r="P97" i="1" s="1"/>
  <c r="Q97" i="1" s="1"/>
  <c r="R97" i="1" s="1"/>
  <c r="S97" i="1" s="1"/>
  <c r="T97" i="1" s="1"/>
  <c r="U97" i="1" s="1"/>
  <c r="V97" i="1" s="1"/>
  <c r="W97" i="1" s="1"/>
  <c r="X97" i="1" s="1"/>
  <c r="Y97" i="1" s="1"/>
  <c r="Z97" i="1" s="1"/>
  <c r="AA97" i="1" s="1"/>
  <c r="AB97" i="1" s="1"/>
  <c r="AC97" i="1" s="1"/>
  <c r="AD97" i="1" s="1"/>
  <c r="AE97" i="1" s="1"/>
  <c r="AF97" i="1" s="1"/>
  <c r="AG97" i="1" s="1"/>
  <c r="AH97" i="1" s="1"/>
  <c r="AI97" i="1" s="1"/>
  <c r="AJ97" i="1" s="1"/>
  <c r="AK97" i="1" s="1"/>
  <c r="AL97" i="1" s="1"/>
  <c r="AM97" i="1" s="1"/>
  <c r="AN97" i="1" s="1"/>
  <c r="AO97" i="1" s="1"/>
  <c r="AP97" i="1" s="1"/>
  <c r="AQ97" i="1" s="1"/>
  <c r="AR97" i="1" s="1"/>
  <c r="AS97" i="1" s="1"/>
  <c r="AT97" i="1" s="1"/>
  <c r="AU97" i="1" s="1"/>
  <c r="AV97" i="1" s="1"/>
  <c r="AW97" i="1" s="1"/>
  <c r="AX97" i="1" s="1"/>
  <c r="AY97" i="1" s="1"/>
  <c r="AZ97" i="1" s="1"/>
  <c r="BA97" i="1" s="1"/>
  <c r="BB97" i="1" s="1"/>
  <c r="BC97" i="1" s="1"/>
  <c r="BD97" i="1" s="1"/>
  <c r="BE97" i="1" s="1"/>
  <c r="BF97" i="1" s="1"/>
  <c r="BG97" i="1" s="1"/>
  <c r="BH97" i="1" s="1"/>
  <c r="BI97" i="1" s="1"/>
  <c r="BJ97" i="1" s="1"/>
  <c r="BK97" i="1" s="1"/>
  <c r="BL97" i="1" s="1"/>
  <c r="BM97" i="1" s="1"/>
  <c r="BN97" i="1" s="1"/>
  <c r="BO97" i="1" s="1"/>
  <c r="BP97" i="1" s="1"/>
  <c r="B13" i="1"/>
  <c r="C13" i="1" s="1"/>
  <c r="D13" i="1" s="1"/>
  <c r="E13" i="1" s="1"/>
  <c r="F13" i="1" s="1"/>
  <c r="G13" i="1" s="1"/>
  <c r="H13" i="1" s="1"/>
  <c r="I13" i="1" s="1"/>
  <c r="J13" i="1" s="1"/>
  <c r="K13" i="1" s="1"/>
  <c r="L13" i="1" s="1"/>
  <c r="M13" i="1" s="1"/>
  <c r="N13" i="1" s="1"/>
  <c r="O13" i="1" s="1"/>
  <c r="P13" i="1" s="1"/>
  <c r="Q13" i="1" s="1"/>
  <c r="R13" i="1" s="1"/>
  <c r="S13" i="1" s="1"/>
  <c r="T13" i="1" s="1"/>
  <c r="U13" i="1" s="1"/>
  <c r="V13" i="1" s="1"/>
  <c r="W13" i="1" s="1"/>
  <c r="X13" i="1" s="1"/>
  <c r="Y13" i="1" s="1"/>
  <c r="Z13" i="1" s="1"/>
  <c r="AA13" i="1" s="1"/>
  <c r="AB13" i="1" s="1"/>
  <c r="AC13" i="1" s="1"/>
  <c r="AD13" i="1" s="1"/>
  <c r="AE13" i="1" s="1"/>
  <c r="AF13" i="1" s="1"/>
  <c r="AG13" i="1" s="1"/>
  <c r="AH13" i="1" s="1"/>
  <c r="AI13" i="1" s="1"/>
  <c r="AJ13" i="1" s="1"/>
  <c r="AK13" i="1" s="1"/>
  <c r="AL13" i="1" s="1"/>
  <c r="AM13" i="1" s="1"/>
  <c r="AN13" i="1" s="1"/>
  <c r="AO13" i="1" s="1"/>
  <c r="AP13" i="1" s="1"/>
  <c r="AQ13" i="1" s="1"/>
  <c r="AR13" i="1" s="1"/>
  <c r="AS13" i="1" s="1"/>
  <c r="AT13" i="1" s="1"/>
  <c r="AU13" i="1" s="1"/>
  <c r="AV13" i="1" s="1"/>
  <c r="AW13" i="1" s="1"/>
  <c r="AX13" i="1" s="1"/>
  <c r="AY13" i="1" s="1"/>
  <c r="AZ13" i="1" s="1"/>
  <c r="BA13" i="1" s="1"/>
  <c r="BB13" i="1" s="1"/>
  <c r="BC13" i="1" s="1"/>
  <c r="BD13" i="1" s="1"/>
  <c r="BE13" i="1" s="1"/>
  <c r="BF13" i="1" s="1"/>
  <c r="BG13" i="1" s="1"/>
  <c r="BH13" i="1" s="1"/>
  <c r="BI13" i="1" s="1"/>
  <c r="BJ13" i="1" s="1"/>
  <c r="BK13" i="1" s="1"/>
  <c r="BL13" i="1" s="1"/>
  <c r="BM13" i="1" s="1"/>
  <c r="BN13" i="1" s="1"/>
  <c r="BO13" i="1" s="1"/>
  <c r="BP13" i="1" s="1"/>
  <c r="B98" i="1"/>
  <c r="C98" i="1" s="1"/>
  <c r="D98" i="1" s="1"/>
  <c r="E98" i="1" s="1"/>
  <c r="F98" i="1" s="1"/>
  <c r="G98" i="1" s="1"/>
  <c r="H98" i="1" s="1"/>
  <c r="I98" i="1" s="1"/>
  <c r="J98" i="1" s="1"/>
  <c r="K98" i="1" s="1"/>
  <c r="L98" i="1" s="1"/>
  <c r="M98" i="1" s="1"/>
  <c r="N98" i="1" s="1"/>
  <c r="O98" i="1" s="1"/>
  <c r="P98" i="1" s="1"/>
  <c r="Q98" i="1" s="1"/>
  <c r="R98" i="1" s="1"/>
  <c r="S98" i="1" s="1"/>
  <c r="T98" i="1" s="1"/>
  <c r="U98" i="1" s="1"/>
  <c r="V98" i="1" s="1"/>
  <c r="W98" i="1" s="1"/>
  <c r="X98" i="1" s="1"/>
  <c r="Y98" i="1" s="1"/>
  <c r="Z98" i="1" s="1"/>
  <c r="AA98" i="1" s="1"/>
  <c r="AB98" i="1" s="1"/>
  <c r="AC98" i="1" s="1"/>
  <c r="AD98" i="1" s="1"/>
  <c r="AE98" i="1" s="1"/>
  <c r="AF98" i="1" s="1"/>
  <c r="AG98" i="1" s="1"/>
  <c r="AH98" i="1" s="1"/>
  <c r="AI98" i="1" s="1"/>
  <c r="AJ98" i="1" s="1"/>
  <c r="AK98" i="1" s="1"/>
  <c r="AL98" i="1" s="1"/>
  <c r="AM98" i="1" s="1"/>
  <c r="AN98" i="1" s="1"/>
  <c r="AO98" i="1" s="1"/>
  <c r="AP98" i="1" s="1"/>
  <c r="AQ98" i="1" s="1"/>
  <c r="AR98" i="1" s="1"/>
  <c r="AS98" i="1" s="1"/>
  <c r="AT98" i="1" s="1"/>
  <c r="AU98" i="1" s="1"/>
  <c r="AV98" i="1" s="1"/>
  <c r="AW98" i="1" s="1"/>
  <c r="AX98" i="1" s="1"/>
  <c r="AY98" i="1" s="1"/>
  <c r="AZ98" i="1" s="1"/>
  <c r="BA98" i="1" s="1"/>
  <c r="BB98" i="1" s="1"/>
  <c r="BC98" i="1" s="1"/>
  <c r="BD98" i="1" s="1"/>
  <c r="BE98" i="1" s="1"/>
  <c r="BF98" i="1" s="1"/>
  <c r="BG98" i="1" s="1"/>
  <c r="BH98" i="1" s="1"/>
  <c r="BI98" i="1" s="1"/>
  <c r="BJ98" i="1" s="1"/>
  <c r="BK98" i="1" s="1"/>
  <c r="BL98" i="1" s="1"/>
  <c r="BM98" i="1" s="1"/>
  <c r="BN98" i="1" s="1"/>
  <c r="BO98" i="1" s="1"/>
  <c r="BP98" i="1" s="1"/>
  <c r="B99" i="1"/>
  <c r="C99" i="1" s="1"/>
  <c r="D99" i="1" s="1"/>
  <c r="E99" i="1" s="1"/>
  <c r="F99" i="1" s="1"/>
  <c r="G99" i="1" s="1"/>
  <c r="H99" i="1" s="1"/>
  <c r="I99" i="1" s="1"/>
  <c r="J99" i="1" s="1"/>
  <c r="K99" i="1" s="1"/>
  <c r="L99" i="1" s="1"/>
  <c r="M99" i="1" s="1"/>
  <c r="N99" i="1" s="1"/>
  <c r="O99" i="1" s="1"/>
  <c r="P99" i="1" s="1"/>
  <c r="Q99" i="1" s="1"/>
  <c r="R99" i="1" s="1"/>
  <c r="S99" i="1" s="1"/>
  <c r="T99" i="1" s="1"/>
  <c r="U99" i="1" s="1"/>
  <c r="V99" i="1" s="1"/>
  <c r="W99" i="1" s="1"/>
  <c r="X99" i="1" s="1"/>
  <c r="Y99" i="1" s="1"/>
  <c r="Z99" i="1" s="1"/>
  <c r="AA99" i="1" s="1"/>
  <c r="AB99" i="1" s="1"/>
  <c r="AC99" i="1" s="1"/>
  <c r="AD99" i="1" s="1"/>
  <c r="AE99" i="1" s="1"/>
  <c r="AF99" i="1" s="1"/>
  <c r="AG99" i="1" s="1"/>
  <c r="AH99" i="1" s="1"/>
  <c r="AI99" i="1" s="1"/>
  <c r="AJ99" i="1" s="1"/>
  <c r="AK99" i="1" s="1"/>
  <c r="AL99" i="1" s="1"/>
  <c r="AM99" i="1" s="1"/>
  <c r="AN99" i="1" s="1"/>
  <c r="AO99" i="1" s="1"/>
  <c r="AP99" i="1" s="1"/>
  <c r="AQ99" i="1" s="1"/>
  <c r="AR99" i="1" s="1"/>
  <c r="AS99" i="1" s="1"/>
  <c r="AT99" i="1" s="1"/>
  <c r="AU99" i="1" s="1"/>
  <c r="AV99" i="1" s="1"/>
  <c r="AW99" i="1" s="1"/>
  <c r="AX99" i="1" s="1"/>
  <c r="AY99" i="1" s="1"/>
  <c r="AZ99" i="1" s="1"/>
  <c r="BA99" i="1" s="1"/>
  <c r="BB99" i="1" s="1"/>
  <c r="BC99" i="1" s="1"/>
  <c r="BD99" i="1" s="1"/>
  <c r="BE99" i="1" s="1"/>
  <c r="BF99" i="1" s="1"/>
  <c r="BG99" i="1" s="1"/>
  <c r="BH99" i="1" s="1"/>
  <c r="BI99" i="1" s="1"/>
  <c r="BJ99" i="1" s="1"/>
  <c r="BK99" i="1" s="1"/>
  <c r="BL99" i="1" s="1"/>
  <c r="BM99" i="1" s="1"/>
  <c r="BN99" i="1" s="1"/>
  <c r="BO99" i="1" s="1"/>
  <c r="BP99" i="1" s="1"/>
  <c r="B100" i="1"/>
  <c r="C100" i="1" s="1"/>
  <c r="D100" i="1" s="1"/>
  <c r="E100" i="1" s="1"/>
  <c r="F100" i="1" s="1"/>
  <c r="G100" i="1" s="1"/>
  <c r="H100" i="1" s="1"/>
  <c r="I100" i="1" s="1"/>
  <c r="J100" i="1" s="1"/>
  <c r="K100" i="1" s="1"/>
  <c r="L100" i="1" s="1"/>
  <c r="M100" i="1" s="1"/>
  <c r="N100" i="1" s="1"/>
  <c r="O100" i="1" s="1"/>
  <c r="P100" i="1" s="1"/>
  <c r="Q100" i="1" s="1"/>
  <c r="R100" i="1" s="1"/>
  <c r="S100" i="1" s="1"/>
  <c r="T100" i="1" s="1"/>
  <c r="U100" i="1" s="1"/>
  <c r="V100" i="1" s="1"/>
  <c r="W100" i="1" s="1"/>
  <c r="X100" i="1" s="1"/>
  <c r="Y100" i="1" s="1"/>
  <c r="Z100" i="1" s="1"/>
  <c r="AA100" i="1" s="1"/>
  <c r="AB100" i="1" s="1"/>
  <c r="AC100" i="1" s="1"/>
  <c r="AD100" i="1" s="1"/>
  <c r="AE100" i="1" s="1"/>
  <c r="AF100" i="1" s="1"/>
  <c r="AG100" i="1" s="1"/>
  <c r="AH100" i="1" s="1"/>
  <c r="AI100" i="1" s="1"/>
  <c r="AJ100" i="1" s="1"/>
  <c r="AK100" i="1" s="1"/>
  <c r="AL100" i="1" s="1"/>
  <c r="AM100" i="1" s="1"/>
  <c r="AN100" i="1" s="1"/>
  <c r="AO100" i="1" s="1"/>
  <c r="AP100" i="1" s="1"/>
  <c r="AQ100" i="1" s="1"/>
  <c r="AR100" i="1" s="1"/>
  <c r="AS100" i="1" s="1"/>
  <c r="AT100" i="1" s="1"/>
  <c r="AU100" i="1" s="1"/>
  <c r="AV100" i="1" s="1"/>
  <c r="AW100" i="1" s="1"/>
  <c r="AX100" i="1" s="1"/>
  <c r="AY100" i="1" s="1"/>
  <c r="AZ100" i="1" s="1"/>
  <c r="BA100" i="1" s="1"/>
  <c r="BB100" i="1" s="1"/>
  <c r="BC100" i="1" s="1"/>
  <c r="BD100" i="1" s="1"/>
  <c r="BE100" i="1" s="1"/>
  <c r="BF100" i="1" s="1"/>
  <c r="BG100" i="1" s="1"/>
  <c r="BH100" i="1" s="1"/>
  <c r="BI100" i="1" s="1"/>
  <c r="BJ100" i="1" s="1"/>
  <c r="BK100" i="1" s="1"/>
  <c r="BL100" i="1" s="1"/>
  <c r="BM100" i="1" s="1"/>
  <c r="BN100" i="1" s="1"/>
  <c r="BO100" i="1" s="1"/>
  <c r="BP100" i="1" s="1"/>
  <c r="B101" i="1"/>
  <c r="C101" i="1" s="1"/>
  <c r="D101" i="1" s="1"/>
  <c r="E101" i="1" s="1"/>
  <c r="F101" i="1" s="1"/>
  <c r="G101" i="1" s="1"/>
  <c r="H101" i="1" s="1"/>
  <c r="I101" i="1" s="1"/>
  <c r="J101" i="1" s="1"/>
  <c r="K101" i="1" s="1"/>
  <c r="L101" i="1" s="1"/>
  <c r="M101" i="1" s="1"/>
  <c r="N101" i="1" s="1"/>
  <c r="O101" i="1" s="1"/>
  <c r="P101" i="1" s="1"/>
  <c r="Q101" i="1" s="1"/>
  <c r="R101" i="1" s="1"/>
  <c r="S101" i="1" s="1"/>
  <c r="T101" i="1" s="1"/>
  <c r="U101" i="1" s="1"/>
  <c r="V101" i="1" s="1"/>
  <c r="W101" i="1" s="1"/>
  <c r="X101" i="1" s="1"/>
  <c r="Y101" i="1" s="1"/>
  <c r="Z101" i="1" s="1"/>
  <c r="AA101" i="1" s="1"/>
  <c r="AB101" i="1" s="1"/>
  <c r="AC101" i="1" s="1"/>
  <c r="AD101" i="1" s="1"/>
  <c r="AE101" i="1" s="1"/>
  <c r="AF101" i="1" s="1"/>
  <c r="AG101" i="1" s="1"/>
  <c r="AH101" i="1" s="1"/>
  <c r="AI101" i="1" s="1"/>
  <c r="AJ101" i="1" s="1"/>
  <c r="AK101" i="1" s="1"/>
  <c r="AL101" i="1" s="1"/>
  <c r="AM101" i="1" s="1"/>
  <c r="AN101" i="1" s="1"/>
  <c r="AO101" i="1" s="1"/>
  <c r="AP101" i="1" s="1"/>
  <c r="AQ101" i="1" s="1"/>
  <c r="AR101" i="1" s="1"/>
  <c r="AS101" i="1" s="1"/>
  <c r="AT101" i="1" s="1"/>
  <c r="AU101" i="1" s="1"/>
  <c r="AV101" i="1" s="1"/>
  <c r="AW101" i="1" s="1"/>
  <c r="AX101" i="1" s="1"/>
  <c r="AY101" i="1" s="1"/>
  <c r="AZ101" i="1" s="1"/>
  <c r="BA101" i="1" s="1"/>
  <c r="BB101" i="1" s="1"/>
  <c r="BC101" i="1" s="1"/>
  <c r="BD101" i="1" s="1"/>
  <c r="BE101" i="1" s="1"/>
  <c r="BF101" i="1" s="1"/>
  <c r="BG101" i="1" s="1"/>
  <c r="BH101" i="1" s="1"/>
  <c r="BI101" i="1" s="1"/>
  <c r="BJ101" i="1" s="1"/>
  <c r="BK101" i="1" s="1"/>
  <c r="BL101" i="1" s="1"/>
  <c r="BM101" i="1" s="1"/>
  <c r="BN101" i="1" s="1"/>
  <c r="BO101" i="1" s="1"/>
  <c r="BP101" i="1" s="1"/>
  <c r="B14" i="1"/>
  <c r="C14" i="1" s="1"/>
  <c r="D14" i="1" s="1"/>
  <c r="E14" i="1" s="1"/>
  <c r="F14" i="1" s="1"/>
  <c r="G14" i="1" s="1"/>
  <c r="H14" i="1" s="1"/>
  <c r="I14" i="1" s="1"/>
  <c r="J14" i="1" s="1"/>
  <c r="K14" i="1" s="1"/>
  <c r="L14" i="1" s="1"/>
  <c r="M14" i="1" s="1"/>
  <c r="N14" i="1" s="1"/>
  <c r="O14" i="1" s="1"/>
  <c r="P14" i="1" s="1"/>
  <c r="Q14" i="1" s="1"/>
  <c r="R14" i="1" s="1"/>
  <c r="S14" i="1" s="1"/>
  <c r="T14" i="1" s="1"/>
  <c r="U14" i="1" s="1"/>
  <c r="V14" i="1" s="1"/>
  <c r="W14" i="1" s="1"/>
  <c r="X14" i="1" s="1"/>
  <c r="Y14" i="1" s="1"/>
  <c r="Z14" i="1" s="1"/>
  <c r="AA14" i="1" s="1"/>
  <c r="AB14" i="1" s="1"/>
  <c r="AC14" i="1" s="1"/>
  <c r="AD14" i="1" s="1"/>
  <c r="AE14" i="1" s="1"/>
  <c r="AF14" i="1" s="1"/>
  <c r="AG14" i="1" s="1"/>
  <c r="AH14" i="1" s="1"/>
  <c r="AI14" i="1" s="1"/>
  <c r="AJ14" i="1" s="1"/>
  <c r="AK14" i="1" s="1"/>
  <c r="AL14" i="1" s="1"/>
  <c r="AM14" i="1" s="1"/>
  <c r="AN14" i="1" s="1"/>
  <c r="AO14" i="1" s="1"/>
  <c r="AP14" i="1" s="1"/>
  <c r="AQ14" i="1" s="1"/>
  <c r="B15" i="1"/>
  <c r="C15" i="1" s="1"/>
  <c r="D15" i="1" s="1"/>
  <c r="E15" i="1" s="1"/>
  <c r="F15" i="1" s="1"/>
  <c r="G15" i="1" s="1"/>
  <c r="H15" i="1" s="1"/>
  <c r="I15" i="1" s="1"/>
  <c r="J15" i="1" s="1"/>
  <c r="K15" i="1" s="1"/>
  <c r="L15" i="1" s="1"/>
  <c r="M15" i="1" s="1"/>
  <c r="N15" i="1" s="1"/>
  <c r="O15" i="1" s="1"/>
  <c r="P15" i="1" s="1"/>
  <c r="Q15" i="1" s="1"/>
  <c r="R15" i="1" s="1"/>
  <c r="S15" i="1" s="1"/>
  <c r="T15" i="1" s="1"/>
  <c r="U15" i="1" s="1"/>
  <c r="V15" i="1" s="1"/>
  <c r="W15" i="1" s="1"/>
  <c r="X15" i="1" s="1"/>
  <c r="Y15" i="1" s="1"/>
  <c r="Z15" i="1" s="1"/>
  <c r="AA15" i="1" s="1"/>
  <c r="AB15" i="1" s="1"/>
  <c r="AC15" i="1" s="1"/>
  <c r="AD15" i="1" s="1"/>
  <c r="AE15" i="1" s="1"/>
  <c r="AF15" i="1" s="1"/>
  <c r="AG15" i="1" s="1"/>
  <c r="AH15" i="1" s="1"/>
  <c r="AI15" i="1" s="1"/>
  <c r="AJ15" i="1" s="1"/>
  <c r="AK15" i="1" s="1"/>
  <c r="AL15" i="1" s="1"/>
  <c r="AM15" i="1" s="1"/>
  <c r="AN15" i="1" s="1"/>
  <c r="AO15" i="1" s="1"/>
  <c r="AP15" i="1" s="1"/>
  <c r="AQ15" i="1" s="1"/>
  <c r="AR15" i="1" s="1"/>
  <c r="AS15" i="1" s="1"/>
  <c r="AT15" i="1" s="1"/>
  <c r="AU15" i="1" s="1"/>
  <c r="AV15" i="1" s="1"/>
  <c r="AW15" i="1" s="1"/>
  <c r="AX15" i="1" s="1"/>
  <c r="AY15" i="1" s="1"/>
  <c r="AZ15" i="1" s="1"/>
  <c r="BA15" i="1" s="1"/>
  <c r="BB15" i="1" s="1"/>
  <c r="BC15" i="1" s="1"/>
  <c r="BD15" i="1" s="1"/>
  <c r="BE15" i="1" s="1"/>
  <c r="BF15" i="1" s="1"/>
  <c r="BG15" i="1" s="1"/>
  <c r="BH15" i="1" s="1"/>
  <c r="BI15" i="1" s="1"/>
  <c r="BJ15" i="1" s="1"/>
  <c r="BK15" i="1" s="1"/>
  <c r="BL15" i="1" s="1"/>
  <c r="BM15" i="1" s="1"/>
  <c r="BN15" i="1" s="1"/>
  <c r="BO15" i="1" s="1"/>
  <c r="BP15" i="1" s="1"/>
  <c r="B17" i="1"/>
  <c r="C17" i="1" s="1"/>
  <c r="D17" i="1" s="1"/>
  <c r="E17" i="1" s="1"/>
  <c r="F17" i="1" s="1"/>
  <c r="G17" i="1" s="1"/>
  <c r="H17" i="1" s="1"/>
  <c r="I17" i="1" s="1"/>
  <c r="J17" i="1" s="1"/>
  <c r="K17" i="1" s="1"/>
  <c r="L17" i="1" s="1"/>
  <c r="M17" i="1" s="1"/>
  <c r="N17" i="1" s="1"/>
  <c r="O17" i="1" s="1"/>
  <c r="P17" i="1" s="1"/>
  <c r="Q17" i="1" s="1"/>
  <c r="R17" i="1" s="1"/>
  <c r="S17" i="1" s="1"/>
  <c r="T17" i="1" s="1"/>
  <c r="U17" i="1" s="1"/>
  <c r="V17" i="1" s="1"/>
  <c r="W17" i="1" s="1"/>
  <c r="X17" i="1" s="1"/>
  <c r="Y17" i="1" s="1"/>
  <c r="Z17" i="1" s="1"/>
  <c r="AA17" i="1" s="1"/>
  <c r="AB17" i="1" s="1"/>
  <c r="AC17" i="1" s="1"/>
  <c r="AD17" i="1" s="1"/>
  <c r="AE17" i="1" s="1"/>
  <c r="AF17" i="1" s="1"/>
  <c r="AG17" i="1" s="1"/>
  <c r="AH17" i="1" s="1"/>
  <c r="AI17" i="1" s="1"/>
  <c r="AJ17" i="1" s="1"/>
  <c r="AK17" i="1" s="1"/>
  <c r="AL17" i="1" s="1"/>
  <c r="AM17" i="1" s="1"/>
  <c r="AN17" i="1" s="1"/>
  <c r="AO17" i="1" s="1"/>
  <c r="AP17" i="1" s="1"/>
  <c r="AQ17" i="1" s="1"/>
  <c r="AR17" i="1" s="1"/>
  <c r="AS17" i="1" s="1"/>
  <c r="AT17" i="1" s="1"/>
  <c r="AU17" i="1" s="1"/>
  <c r="AV17" i="1" s="1"/>
  <c r="AW17" i="1" s="1"/>
  <c r="AX17" i="1" s="1"/>
  <c r="AY17" i="1" s="1"/>
  <c r="AZ17" i="1" s="1"/>
  <c r="BA17" i="1" s="1"/>
  <c r="BB17" i="1" s="1"/>
  <c r="BC17" i="1" s="1"/>
  <c r="BD17" i="1" s="1"/>
  <c r="BE17" i="1" s="1"/>
  <c r="BF17" i="1" s="1"/>
  <c r="BG17" i="1" s="1"/>
  <c r="BH17" i="1" s="1"/>
  <c r="BI17" i="1" s="1"/>
  <c r="BJ17" i="1" s="1"/>
  <c r="BK17" i="1" s="1"/>
  <c r="BL17" i="1" s="1"/>
  <c r="BM17" i="1" s="1"/>
  <c r="BN17" i="1" s="1"/>
  <c r="BO17" i="1" s="1"/>
  <c r="BP17" i="1" s="1"/>
  <c r="B102" i="1"/>
  <c r="C102" i="1" s="1"/>
  <c r="D102" i="1" s="1"/>
  <c r="E102" i="1" s="1"/>
  <c r="F102" i="1" s="1"/>
  <c r="G102" i="1" s="1"/>
  <c r="H102" i="1" s="1"/>
  <c r="I102" i="1" s="1"/>
  <c r="J102" i="1" s="1"/>
  <c r="K102" i="1" s="1"/>
  <c r="L102" i="1" s="1"/>
  <c r="M102" i="1" s="1"/>
  <c r="N102" i="1" s="1"/>
  <c r="O102" i="1" s="1"/>
  <c r="P102" i="1" s="1"/>
  <c r="Q102" i="1" s="1"/>
  <c r="R102" i="1" s="1"/>
  <c r="S102" i="1" s="1"/>
  <c r="T102" i="1" s="1"/>
  <c r="U102" i="1" s="1"/>
  <c r="V102" i="1" s="1"/>
  <c r="W102" i="1" s="1"/>
  <c r="X102" i="1" s="1"/>
  <c r="Y102" i="1" s="1"/>
  <c r="Z102" i="1" s="1"/>
  <c r="AA102" i="1" s="1"/>
  <c r="AB102" i="1" s="1"/>
  <c r="AC102" i="1" s="1"/>
  <c r="AD102" i="1" s="1"/>
  <c r="AE102" i="1" s="1"/>
  <c r="AF102" i="1" s="1"/>
  <c r="AG102" i="1" s="1"/>
  <c r="AH102" i="1" s="1"/>
  <c r="AI102" i="1" s="1"/>
  <c r="AJ102" i="1" s="1"/>
  <c r="AK102" i="1" s="1"/>
  <c r="AL102" i="1" s="1"/>
  <c r="AM102" i="1" s="1"/>
  <c r="AN102" i="1" s="1"/>
  <c r="AO102" i="1" s="1"/>
  <c r="AP102" i="1" s="1"/>
  <c r="AQ102" i="1" s="1"/>
  <c r="AR102" i="1" s="1"/>
  <c r="AS102" i="1" s="1"/>
  <c r="AT102" i="1" s="1"/>
  <c r="AU102" i="1" s="1"/>
  <c r="AV102" i="1" s="1"/>
  <c r="AW102" i="1" s="1"/>
  <c r="AX102" i="1" s="1"/>
  <c r="AY102" i="1" s="1"/>
  <c r="AZ102" i="1" s="1"/>
  <c r="BA102" i="1" s="1"/>
  <c r="BB102" i="1" s="1"/>
  <c r="BC102" i="1" s="1"/>
  <c r="BD102" i="1" s="1"/>
  <c r="BE102" i="1" s="1"/>
  <c r="BF102" i="1" s="1"/>
  <c r="BG102" i="1" s="1"/>
  <c r="BH102" i="1" s="1"/>
  <c r="BI102" i="1" s="1"/>
  <c r="BJ102" i="1" s="1"/>
  <c r="BK102" i="1" s="1"/>
  <c r="BL102" i="1" s="1"/>
  <c r="BM102" i="1" s="1"/>
  <c r="BN102" i="1" s="1"/>
  <c r="BO102" i="1" s="1"/>
  <c r="BP102" i="1" s="1"/>
  <c r="B103" i="1"/>
  <c r="C103" i="1" s="1"/>
  <c r="D103" i="1" s="1"/>
  <c r="E103" i="1" s="1"/>
  <c r="F103" i="1" s="1"/>
  <c r="G103" i="1" s="1"/>
  <c r="H103" i="1" s="1"/>
  <c r="I103" i="1" s="1"/>
  <c r="J103" i="1" s="1"/>
  <c r="K103" i="1" s="1"/>
  <c r="L103" i="1" s="1"/>
  <c r="M103" i="1" s="1"/>
  <c r="N103" i="1" s="1"/>
  <c r="O103" i="1" s="1"/>
  <c r="P103" i="1" s="1"/>
  <c r="Q103" i="1" s="1"/>
  <c r="R103" i="1" s="1"/>
  <c r="S103" i="1" s="1"/>
  <c r="T103" i="1" s="1"/>
  <c r="U103" i="1" s="1"/>
  <c r="V103" i="1" s="1"/>
  <c r="W103" i="1" s="1"/>
  <c r="X103" i="1" s="1"/>
  <c r="Y103" i="1" s="1"/>
  <c r="Z103" i="1" s="1"/>
  <c r="AA103" i="1" s="1"/>
  <c r="AB103" i="1" s="1"/>
  <c r="AC103" i="1" s="1"/>
  <c r="AD103" i="1" s="1"/>
  <c r="AE103" i="1" s="1"/>
  <c r="AF103" i="1" s="1"/>
  <c r="AG103" i="1" s="1"/>
  <c r="AH103" i="1" s="1"/>
  <c r="AI103" i="1" s="1"/>
  <c r="AJ103" i="1" s="1"/>
  <c r="AK103" i="1" s="1"/>
  <c r="AL103" i="1" s="1"/>
  <c r="AM103" i="1" s="1"/>
  <c r="AN103" i="1" s="1"/>
  <c r="AO103" i="1" s="1"/>
  <c r="AP103" i="1" s="1"/>
  <c r="AQ103" i="1" s="1"/>
  <c r="AR103" i="1" s="1"/>
  <c r="AS103" i="1" s="1"/>
  <c r="AT103" i="1" s="1"/>
  <c r="AU103" i="1" s="1"/>
  <c r="AV103" i="1" s="1"/>
  <c r="AW103" i="1" s="1"/>
  <c r="AX103" i="1" s="1"/>
  <c r="AY103" i="1" s="1"/>
  <c r="AZ103" i="1" s="1"/>
  <c r="BA103" i="1" s="1"/>
  <c r="BB103" i="1" s="1"/>
  <c r="BC103" i="1" s="1"/>
  <c r="BD103" i="1" s="1"/>
  <c r="BE103" i="1" s="1"/>
  <c r="BF103" i="1" s="1"/>
  <c r="BG103" i="1" s="1"/>
  <c r="BH103" i="1" s="1"/>
  <c r="BI103" i="1" s="1"/>
  <c r="BJ103" i="1" s="1"/>
  <c r="BK103" i="1" s="1"/>
  <c r="BL103" i="1" s="1"/>
  <c r="BM103" i="1" s="1"/>
  <c r="BN103" i="1" s="1"/>
  <c r="BO103" i="1" s="1"/>
  <c r="BP103" i="1" s="1"/>
  <c r="B104" i="1"/>
  <c r="C104" i="1" s="1"/>
  <c r="D104" i="1" s="1"/>
  <c r="E104" i="1" s="1"/>
  <c r="F104" i="1" s="1"/>
  <c r="G104" i="1" s="1"/>
  <c r="H104" i="1" s="1"/>
  <c r="I104" i="1" s="1"/>
  <c r="J104" i="1" s="1"/>
  <c r="K104" i="1" s="1"/>
  <c r="L104" i="1" s="1"/>
  <c r="M104" i="1" s="1"/>
  <c r="N104" i="1" s="1"/>
  <c r="O104" i="1" s="1"/>
  <c r="P104" i="1" s="1"/>
  <c r="Q104" i="1" s="1"/>
  <c r="R104" i="1" s="1"/>
  <c r="S104" i="1" s="1"/>
  <c r="T104" i="1" s="1"/>
  <c r="U104" i="1" s="1"/>
  <c r="V104" i="1" s="1"/>
  <c r="W104" i="1" s="1"/>
  <c r="X104" i="1" s="1"/>
  <c r="Y104" i="1" s="1"/>
  <c r="Z104" i="1" s="1"/>
  <c r="AA104" i="1" s="1"/>
  <c r="AB104" i="1" s="1"/>
  <c r="AC104" i="1" s="1"/>
  <c r="AD104" i="1" s="1"/>
  <c r="AE104" i="1" s="1"/>
  <c r="AF104" i="1" s="1"/>
  <c r="AG104" i="1" s="1"/>
  <c r="AH104" i="1" s="1"/>
  <c r="AI104" i="1" s="1"/>
  <c r="AJ104" i="1" s="1"/>
  <c r="AK104" i="1" s="1"/>
  <c r="AL104" i="1" s="1"/>
  <c r="AM104" i="1" s="1"/>
  <c r="AN104" i="1" s="1"/>
  <c r="AO104" i="1" s="1"/>
  <c r="AP104" i="1" s="1"/>
  <c r="AQ104" i="1" s="1"/>
  <c r="AR104" i="1" s="1"/>
  <c r="AS104" i="1" s="1"/>
  <c r="AT104" i="1" s="1"/>
  <c r="AU104" i="1" s="1"/>
  <c r="AV104" i="1" s="1"/>
  <c r="AW104" i="1" s="1"/>
  <c r="AX104" i="1" s="1"/>
  <c r="AY104" i="1" s="1"/>
  <c r="AZ104" i="1" s="1"/>
  <c r="BA104" i="1" s="1"/>
  <c r="BB104" i="1" s="1"/>
  <c r="BC104" i="1" s="1"/>
  <c r="BD104" i="1" s="1"/>
  <c r="BE104" i="1" s="1"/>
  <c r="BF104" i="1" s="1"/>
  <c r="BG104" i="1" s="1"/>
  <c r="BH104" i="1" s="1"/>
  <c r="BI104" i="1" s="1"/>
  <c r="BJ104" i="1" s="1"/>
  <c r="BK104" i="1" s="1"/>
  <c r="BL104" i="1" s="1"/>
  <c r="BM104" i="1" s="1"/>
  <c r="BN104" i="1" s="1"/>
  <c r="BO104" i="1" s="1"/>
  <c r="BP104" i="1" s="1"/>
  <c r="B16" i="1"/>
  <c r="C16" i="1" s="1"/>
  <c r="D16" i="1" s="1"/>
  <c r="E16" i="1" s="1"/>
  <c r="F16" i="1" s="1"/>
  <c r="G16" i="1" s="1"/>
  <c r="H16" i="1" s="1"/>
  <c r="I16" i="1" s="1"/>
  <c r="J16" i="1" s="1"/>
  <c r="K16" i="1" s="1"/>
  <c r="L16" i="1" s="1"/>
  <c r="M16" i="1" s="1"/>
  <c r="N16" i="1" s="1"/>
  <c r="O16" i="1" s="1"/>
  <c r="P16" i="1" s="1"/>
  <c r="Q16" i="1" s="1"/>
  <c r="R16" i="1" s="1"/>
  <c r="S16" i="1" s="1"/>
  <c r="T16" i="1" s="1"/>
  <c r="U16" i="1" s="1"/>
  <c r="V16" i="1" s="1"/>
  <c r="W16" i="1" s="1"/>
  <c r="X16" i="1" s="1"/>
  <c r="Y16" i="1" s="1"/>
  <c r="Z16" i="1" s="1"/>
  <c r="AA16" i="1" s="1"/>
  <c r="AB16" i="1" s="1"/>
  <c r="AC16" i="1" s="1"/>
  <c r="AD16" i="1" s="1"/>
  <c r="AE16" i="1" s="1"/>
  <c r="AF16" i="1" s="1"/>
  <c r="AG16" i="1" s="1"/>
  <c r="AH16" i="1" s="1"/>
  <c r="AI16" i="1" s="1"/>
  <c r="AJ16" i="1" s="1"/>
  <c r="AK16" i="1" s="1"/>
  <c r="AL16" i="1" s="1"/>
  <c r="AM16" i="1" s="1"/>
  <c r="AN16" i="1" s="1"/>
  <c r="AO16" i="1" s="1"/>
  <c r="AP16" i="1" s="1"/>
  <c r="AQ16" i="1" s="1"/>
  <c r="AR16" i="1" s="1"/>
  <c r="AS16" i="1" s="1"/>
  <c r="AT16" i="1" s="1"/>
  <c r="AU16" i="1" s="1"/>
  <c r="AV16" i="1" s="1"/>
  <c r="AW16" i="1" s="1"/>
  <c r="AX16" i="1" s="1"/>
  <c r="AY16" i="1" s="1"/>
  <c r="AZ16" i="1" s="1"/>
  <c r="BA16" i="1" s="1"/>
  <c r="BB16" i="1" s="1"/>
  <c r="BC16" i="1" s="1"/>
  <c r="BD16" i="1" s="1"/>
  <c r="BE16" i="1" s="1"/>
  <c r="BF16" i="1" s="1"/>
  <c r="BG16" i="1" s="1"/>
  <c r="BH16" i="1" s="1"/>
  <c r="BI16" i="1" s="1"/>
  <c r="BJ16" i="1" s="1"/>
  <c r="BK16" i="1" s="1"/>
  <c r="BL16" i="1" s="1"/>
  <c r="BM16" i="1" s="1"/>
  <c r="BN16" i="1" s="1"/>
  <c r="BO16" i="1" s="1"/>
  <c r="BP16" i="1" s="1"/>
  <c r="B105" i="1"/>
  <c r="C105" i="1" s="1"/>
  <c r="D105" i="1" s="1"/>
  <c r="E105" i="1" s="1"/>
  <c r="F105" i="1" s="1"/>
  <c r="G105" i="1" s="1"/>
  <c r="H105" i="1" s="1"/>
  <c r="I105" i="1" s="1"/>
  <c r="J105" i="1" s="1"/>
  <c r="K105" i="1" s="1"/>
  <c r="L105" i="1" s="1"/>
  <c r="M105" i="1" s="1"/>
  <c r="N105" i="1" s="1"/>
  <c r="O105" i="1" s="1"/>
  <c r="P105" i="1" s="1"/>
  <c r="Q105" i="1" s="1"/>
  <c r="R105" i="1" s="1"/>
  <c r="S105" i="1" s="1"/>
  <c r="T105" i="1" s="1"/>
  <c r="U105" i="1" s="1"/>
  <c r="V105" i="1" s="1"/>
  <c r="W105" i="1" s="1"/>
  <c r="X105" i="1" s="1"/>
  <c r="Y105" i="1" s="1"/>
  <c r="Z105" i="1" s="1"/>
  <c r="AA105" i="1" s="1"/>
  <c r="AB105" i="1" s="1"/>
  <c r="AC105" i="1" s="1"/>
  <c r="AD105" i="1" s="1"/>
  <c r="AE105" i="1" s="1"/>
  <c r="AF105" i="1" s="1"/>
  <c r="AG105" i="1" s="1"/>
  <c r="AH105" i="1" s="1"/>
  <c r="AI105" i="1" s="1"/>
  <c r="AJ105" i="1" s="1"/>
  <c r="AK105" i="1" s="1"/>
  <c r="AL105" i="1" s="1"/>
  <c r="AM105" i="1" s="1"/>
  <c r="AN105" i="1" s="1"/>
  <c r="AO105" i="1" s="1"/>
  <c r="AP105" i="1" s="1"/>
  <c r="AQ105" i="1" s="1"/>
  <c r="AR105" i="1" s="1"/>
  <c r="AS105" i="1" s="1"/>
  <c r="AT105" i="1" s="1"/>
  <c r="AU105" i="1" s="1"/>
  <c r="AV105" i="1" s="1"/>
  <c r="AW105" i="1" s="1"/>
  <c r="AX105" i="1" s="1"/>
  <c r="AY105" i="1" s="1"/>
  <c r="AZ105" i="1" s="1"/>
  <c r="BA105" i="1" s="1"/>
  <c r="BB105" i="1" s="1"/>
  <c r="BC105" i="1" s="1"/>
  <c r="BD105" i="1" s="1"/>
  <c r="BE105" i="1" s="1"/>
  <c r="BF105" i="1" s="1"/>
  <c r="BG105" i="1" s="1"/>
  <c r="BH105" i="1" s="1"/>
  <c r="BI105" i="1" s="1"/>
  <c r="BJ105" i="1" s="1"/>
  <c r="BK105" i="1" s="1"/>
  <c r="BL105" i="1" s="1"/>
  <c r="BM105" i="1" s="1"/>
  <c r="BN105" i="1" s="1"/>
  <c r="BO105" i="1" s="1"/>
  <c r="BP105" i="1" s="1"/>
  <c r="B106" i="1"/>
  <c r="C106" i="1" s="1"/>
  <c r="D106" i="1" s="1"/>
  <c r="E106" i="1" s="1"/>
  <c r="F106" i="1" s="1"/>
  <c r="G106" i="1" s="1"/>
  <c r="H106" i="1" s="1"/>
  <c r="I106" i="1" s="1"/>
  <c r="J106" i="1" s="1"/>
  <c r="K106" i="1" s="1"/>
  <c r="L106" i="1" s="1"/>
  <c r="M106" i="1" s="1"/>
  <c r="N106" i="1" s="1"/>
  <c r="O106" i="1" s="1"/>
  <c r="P106" i="1" s="1"/>
  <c r="Q106" i="1" s="1"/>
  <c r="R106" i="1" s="1"/>
  <c r="S106" i="1" s="1"/>
  <c r="T106" i="1" s="1"/>
  <c r="U106" i="1" s="1"/>
  <c r="V106" i="1" s="1"/>
  <c r="W106" i="1" s="1"/>
  <c r="X106" i="1" s="1"/>
  <c r="Y106" i="1" s="1"/>
  <c r="Z106" i="1" s="1"/>
  <c r="AA106" i="1" s="1"/>
  <c r="AB106" i="1" s="1"/>
  <c r="AC106" i="1" s="1"/>
  <c r="AD106" i="1" s="1"/>
  <c r="AE106" i="1" s="1"/>
  <c r="AF106" i="1" s="1"/>
  <c r="AG106" i="1" s="1"/>
  <c r="AH106" i="1" s="1"/>
  <c r="AI106" i="1" s="1"/>
  <c r="AJ106" i="1" s="1"/>
  <c r="AK106" i="1" s="1"/>
  <c r="AL106" i="1" s="1"/>
  <c r="AM106" i="1" s="1"/>
  <c r="AN106" i="1" s="1"/>
  <c r="AO106" i="1" s="1"/>
  <c r="AP106" i="1" s="1"/>
  <c r="AQ106" i="1" s="1"/>
  <c r="AR106" i="1" s="1"/>
  <c r="AS106" i="1" s="1"/>
  <c r="AT106" i="1" s="1"/>
  <c r="AU106" i="1" s="1"/>
  <c r="AV106" i="1" s="1"/>
  <c r="AW106" i="1" s="1"/>
  <c r="AX106" i="1" s="1"/>
  <c r="AY106" i="1" s="1"/>
  <c r="AZ106" i="1" s="1"/>
  <c r="BA106" i="1" s="1"/>
  <c r="BB106" i="1" s="1"/>
  <c r="BC106" i="1" s="1"/>
  <c r="BD106" i="1" s="1"/>
  <c r="BE106" i="1" s="1"/>
  <c r="BF106" i="1" s="1"/>
  <c r="BG106" i="1" s="1"/>
  <c r="BH106" i="1" s="1"/>
  <c r="BI106" i="1" s="1"/>
  <c r="BJ106" i="1" s="1"/>
  <c r="BK106" i="1" s="1"/>
  <c r="BL106" i="1" s="1"/>
  <c r="BM106" i="1" s="1"/>
  <c r="BN106" i="1" s="1"/>
  <c r="BO106" i="1" s="1"/>
  <c r="BP106" i="1" s="1"/>
  <c r="B107" i="1"/>
  <c r="C107" i="1" s="1"/>
  <c r="D107" i="1" s="1"/>
  <c r="E107" i="1" s="1"/>
  <c r="F107" i="1" s="1"/>
  <c r="G107" i="1" s="1"/>
  <c r="H107" i="1" s="1"/>
  <c r="I107" i="1" s="1"/>
  <c r="J107" i="1" s="1"/>
  <c r="K107" i="1" s="1"/>
  <c r="L107" i="1" s="1"/>
  <c r="M107" i="1" s="1"/>
  <c r="N107" i="1" s="1"/>
  <c r="O107" i="1" s="1"/>
  <c r="P107" i="1" s="1"/>
  <c r="Q107" i="1" s="1"/>
  <c r="R107" i="1" s="1"/>
  <c r="S107" i="1" s="1"/>
  <c r="T107" i="1" s="1"/>
  <c r="U107" i="1" s="1"/>
  <c r="V107" i="1" s="1"/>
  <c r="W107" i="1" s="1"/>
  <c r="X107" i="1" s="1"/>
  <c r="Y107" i="1" s="1"/>
  <c r="Z107" i="1" s="1"/>
  <c r="AA107" i="1" s="1"/>
  <c r="AB107" i="1" s="1"/>
  <c r="AC107" i="1" s="1"/>
  <c r="AD107" i="1" s="1"/>
  <c r="AE107" i="1" s="1"/>
  <c r="AF107" i="1" s="1"/>
  <c r="AG107" i="1" s="1"/>
  <c r="AH107" i="1" s="1"/>
  <c r="AI107" i="1" s="1"/>
  <c r="AJ107" i="1" s="1"/>
  <c r="AK107" i="1" s="1"/>
  <c r="AL107" i="1" s="1"/>
  <c r="AM107" i="1" s="1"/>
  <c r="AN107" i="1" s="1"/>
  <c r="AO107" i="1" s="1"/>
  <c r="AP107" i="1" s="1"/>
  <c r="AQ107" i="1" s="1"/>
  <c r="AR107" i="1" s="1"/>
  <c r="AS107" i="1" s="1"/>
  <c r="AT107" i="1" s="1"/>
  <c r="AU107" i="1" s="1"/>
  <c r="AV107" i="1" s="1"/>
  <c r="AW107" i="1" s="1"/>
  <c r="AX107" i="1" s="1"/>
  <c r="AY107" i="1" s="1"/>
  <c r="AZ107" i="1" s="1"/>
  <c r="BA107" i="1" s="1"/>
  <c r="BB107" i="1" s="1"/>
  <c r="BC107" i="1" s="1"/>
  <c r="BD107" i="1" s="1"/>
  <c r="BE107" i="1" s="1"/>
  <c r="BF107" i="1" s="1"/>
  <c r="BG107" i="1" s="1"/>
  <c r="BH107" i="1" s="1"/>
  <c r="BI107" i="1" s="1"/>
  <c r="BJ107" i="1" s="1"/>
  <c r="BK107" i="1" s="1"/>
  <c r="BL107" i="1" s="1"/>
  <c r="BM107" i="1" s="1"/>
  <c r="BN107" i="1" s="1"/>
  <c r="BO107" i="1" s="1"/>
  <c r="BP107" i="1" s="1"/>
  <c r="B108" i="1"/>
  <c r="C108" i="1" s="1"/>
  <c r="D108" i="1" s="1"/>
  <c r="E108" i="1" s="1"/>
  <c r="F108" i="1" s="1"/>
  <c r="G108" i="1" s="1"/>
  <c r="H108" i="1" s="1"/>
  <c r="I108" i="1" s="1"/>
  <c r="J108" i="1" s="1"/>
  <c r="K108" i="1" s="1"/>
  <c r="L108" i="1" s="1"/>
  <c r="M108" i="1" s="1"/>
  <c r="N108" i="1" s="1"/>
  <c r="O108" i="1" s="1"/>
  <c r="P108" i="1" s="1"/>
  <c r="Q108" i="1" s="1"/>
  <c r="R108" i="1" s="1"/>
  <c r="S108" i="1" s="1"/>
  <c r="T108" i="1" s="1"/>
  <c r="U108" i="1" s="1"/>
  <c r="V108" i="1" s="1"/>
  <c r="W108" i="1" s="1"/>
  <c r="X108" i="1" s="1"/>
  <c r="Y108" i="1" s="1"/>
  <c r="Z108" i="1" s="1"/>
  <c r="AA108" i="1" s="1"/>
  <c r="AB108" i="1" s="1"/>
  <c r="AC108" i="1" s="1"/>
  <c r="AD108" i="1" s="1"/>
  <c r="AE108" i="1" s="1"/>
  <c r="AF108" i="1" s="1"/>
  <c r="AG108" i="1" s="1"/>
  <c r="AH108" i="1" s="1"/>
  <c r="AI108" i="1" s="1"/>
  <c r="AJ108" i="1" s="1"/>
  <c r="AK108" i="1" s="1"/>
  <c r="AL108" i="1" s="1"/>
  <c r="AM108" i="1" s="1"/>
  <c r="AN108" i="1" s="1"/>
  <c r="AO108" i="1" s="1"/>
  <c r="AP108" i="1" s="1"/>
  <c r="AQ108" i="1" s="1"/>
  <c r="AR108" i="1" s="1"/>
  <c r="AS108" i="1" s="1"/>
  <c r="AT108" i="1" s="1"/>
  <c r="AU108" i="1" s="1"/>
  <c r="AV108" i="1" s="1"/>
  <c r="AW108" i="1" s="1"/>
  <c r="AX108" i="1" s="1"/>
  <c r="AY108" i="1" s="1"/>
  <c r="AZ108" i="1" s="1"/>
  <c r="BA108" i="1" s="1"/>
  <c r="BB108" i="1" s="1"/>
  <c r="BC108" i="1" s="1"/>
  <c r="BD108" i="1" s="1"/>
  <c r="BE108" i="1" s="1"/>
  <c r="BF108" i="1" s="1"/>
  <c r="BG108" i="1" s="1"/>
  <c r="BH108" i="1" s="1"/>
  <c r="BI108" i="1" s="1"/>
  <c r="BJ108" i="1" s="1"/>
  <c r="BK108" i="1" s="1"/>
  <c r="BL108" i="1" s="1"/>
  <c r="BM108" i="1" s="1"/>
  <c r="BN108" i="1" s="1"/>
  <c r="BO108" i="1" s="1"/>
  <c r="BP108" i="1" s="1"/>
  <c r="B109" i="1"/>
  <c r="C109" i="1" s="1"/>
  <c r="D109" i="1" s="1"/>
  <c r="E109" i="1" s="1"/>
  <c r="F109" i="1" s="1"/>
  <c r="G109" i="1" s="1"/>
  <c r="H109" i="1" s="1"/>
  <c r="I109" i="1" s="1"/>
  <c r="J109" i="1" s="1"/>
  <c r="K109" i="1" s="1"/>
  <c r="L109" i="1" s="1"/>
  <c r="M109" i="1" s="1"/>
  <c r="N109" i="1" s="1"/>
  <c r="O109" i="1" s="1"/>
  <c r="P109" i="1" s="1"/>
  <c r="Q109" i="1" s="1"/>
  <c r="R109" i="1" s="1"/>
  <c r="S109" i="1" s="1"/>
  <c r="T109" i="1" s="1"/>
  <c r="U109" i="1" s="1"/>
  <c r="V109" i="1" s="1"/>
  <c r="W109" i="1" s="1"/>
  <c r="X109" i="1" s="1"/>
  <c r="Y109" i="1" s="1"/>
  <c r="Z109" i="1" s="1"/>
  <c r="AA109" i="1" s="1"/>
  <c r="AB109" i="1" s="1"/>
  <c r="AC109" i="1" s="1"/>
  <c r="AD109" i="1" s="1"/>
  <c r="AE109" i="1" s="1"/>
  <c r="AF109" i="1" s="1"/>
  <c r="AG109" i="1" s="1"/>
  <c r="AH109" i="1" s="1"/>
  <c r="AI109" i="1" s="1"/>
  <c r="AJ109" i="1" s="1"/>
  <c r="AK109" i="1" s="1"/>
  <c r="AL109" i="1" s="1"/>
  <c r="AM109" i="1" s="1"/>
  <c r="AN109" i="1" s="1"/>
  <c r="AO109" i="1" s="1"/>
  <c r="AP109" i="1" s="1"/>
  <c r="AQ109" i="1" s="1"/>
  <c r="AR109" i="1" s="1"/>
  <c r="AS109" i="1" s="1"/>
  <c r="AT109" i="1" s="1"/>
  <c r="AU109" i="1" s="1"/>
  <c r="AV109" i="1" s="1"/>
  <c r="AW109" i="1" s="1"/>
  <c r="AX109" i="1" s="1"/>
  <c r="AY109" i="1" s="1"/>
  <c r="AZ109" i="1" s="1"/>
  <c r="BA109" i="1" s="1"/>
  <c r="BB109" i="1" s="1"/>
  <c r="BC109" i="1" s="1"/>
  <c r="BD109" i="1" s="1"/>
  <c r="BE109" i="1" s="1"/>
  <c r="BF109" i="1" s="1"/>
  <c r="BG109" i="1" s="1"/>
  <c r="BH109" i="1" s="1"/>
  <c r="BI109" i="1" s="1"/>
  <c r="BJ109" i="1" s="1"/>
  <c r="BK109" i="1" s="1"/>
  <c r="BL109" i="1" s="1"/>
  <c r="BM109" i="1" s="1"/>
  <c r="BN109" i="1" s="1"/>
  <c r="BO109" i="1" s="1"/>
  <c r="BP109" i="1" s="1"/>
  <c r="B110" i="1"/>
  <c r="C110" i="1" s="1"/>
  <c r="D110" i="1" s="1"/>
  <c r="E110" i="1" s="1"/>
  <c r="F110" i="1" s="1"/>
  <c r="G110" i="1" s="1"/>
  <c r="H110" i="1" s="1"/>
  <c r="I110" i="1" s="1"/>
  <c r="J110" i="1" s="1"/>
  <c r="K110" i="1" s="1"/>
  <c r="L110" i="1" s="1"/>
  <c r="M110" i="1" s="1"/>
  <c r="N110" i="1" s="1"/>
  <c r="O110" i="1" s="1"/>
  <c r="P110" i="1" s="1"/>
  <c r="Q110" i="1" s="1"/>
  <c r="R110" i="1" s="1"/>
  <c r="S110" i="1" s="1"/>
  <c r="T110" i="1" s="1"/>
  <c r="U110" i="1" s="1"/>
  <c r="V110" i="1" s="1"/>
  <c r="W110" i="1" s="1"/>
  <c r="X110" i="1" s="1"/>
  <c r="Y110" i="1" s="1"/>
  <c r="Z110" i="1" s="1"/>
  <c r="AA110" i="1" s="1"/>
  <c r="AB110" i="1" s="1"/>
  <c r="AC110" i="1" s="1"/>
  <c r="AD110" i="1" s="1"/>
  <c r="AE110" i="1" s="1"/>
  <c r="AF110" i="1" s="1"/>
  <c r="AG110" i="1" s="1"/>
  <c r="AH110" i="1" s="1"/>
  <c r="AI110" i="1" s="1"/>
  <c r="AJ110" i="1" s="1"/>
  <c r="AK110" i="1" s="1"/>
  <c r="AL110" i="1" s="1"/>
  <c r="AM110" i="1" s="1"/>
  <c r="AN110" i="1" s="1"/>
  <c r="AO110" i="1" s="1"/>
  <c r="AP110" i="1" s="1"/>
  <c r="AQ110" i="1" s="1"/>
  <c r="AR110" i="1" s="1"/>
  <c r="AS110" i="1" s="1"/>
  <c r="AT110" i="1" s="1"/>
  <c r="AU110" i="1" s="1"/>
  <c r="AV110" i="1" s="1"/>
  <c r="AW110" i="1" s="1"/>
  <c r="AX110" i="1" s="1"/>
  <c r="AY110" i="1" s="1"/>
  <c r="AZ110" i="1" s="1"/>
  <c r="BA110" i="1" s="1"/>
  <c r="BB110" i="1" s="1"/>
  <c r="BC110" i="1" s="1"/>
  <c r="BD110" i="1" s="1"/>
  <c r="BE110" i="1" s="1"/>
  <c r="BF110" i="1" s="1"/>
  <c r="BG110" i="1" s="1"/>
  <c r="BH110" i="1" s="1"/>
  <c r="BI110" i="1" s="1"/>
  <c r="BJ110" i="1" s="1"/>
  <c r="BK110" i="1" s="1"/>
  <c r="BL110" i="1" s="1"/>
  <c r="BM110" i="1" s="1"/>
  <c r="BN110" i="1" s="1"/>
  <c r="BO110" i="1" s="1"/>
  <c r="BP110" i="1" s="1"/>
  <c r="B18" i="1"/>
  <c r="C18" i="1" s="1"/>
  <c r="D18" i="1" s="1"/>
  <c r="E18" i="1" s="1"/>
  <c r="F18" i="1" s="1"/>
  <c r="G18" i="1" s="1"/>
  <c r="H18" i="1" s="1"/>
  <c r="I18" i="1" s="1"/>
  <c r="J18" i="1" s="1"/>
  <c r="K18" i="1" s="1"/>
  <c r="L18" i="1" s="1"/>
  <c r="M18" i="1" s="1"/>
  <c r="N18" i="1" s="1"/>
  <c r="O18" i="1" s="1"/>
  <c r="P18" i="1" s="1"/>
  <c r="Q18" i="1" s="1"/>
  <c r="R18" i="1" s="1"/>
  <c r="S18" i="1" s="1"/>
  <c r="T18" i="1" s="1"/>
  <c r="U18" i="1" s="1"/>
  <c r="V18" i="1" s="1"/>
  <c r="W18" i="1" s="1"/>
  <c r="X18" i="1" s="1"/>
  <c r="Y18" i="1" s="1"/>
  <c r="Z18" i="1" s="1"/>
  <c r="AA18" i="1" s="1"/>
  <c r="AB18" i="1" s="1"/>
  <c r="AC18" i="1" s="1"/>
  <c r="AD18" i="1" s="1"/>
  <c r="AE18" i="1" s="1"/>
  <c r="AF18" i="1" s="1"/>
  <c r="AG18" i="1" s="1"/>
  <c r="AH18" i="1" s="1"/>
  <c r="AI18" i="1" s="1"/>
  <c r="AJ18" i="1" s="1"/>
  <c r="AK18" i="1" s="1"/>
  <c r="AL18" i="1" s="1"/>
  <c r="AM18" i="1" s="1"/>
  <c r="AN18" i="1" s="1"/>
  <c r="AO18" i="1" s="1"/>
  <c r="AP18" i="1" s="1"/>
  <c r="AQ18" i="1" s="1"/>
  <c r="AR18" i="1" s="1"/>
  <c r="AS18" i="1" s="1"/>
  <c r="AT18" i="1" s="1"/>
  <c r="AU18" i="1" s="1"/>
  <c r="AV18" i="1" s="1"/>
  <c r="AW18" i="1" s="1"/>
  <c r="AX18" i="1" s="1"/>
  <c r="AY18" i="1" s="1"/>
  <c r="AZ18" i="1" s="1"/>
  <c r="BA18" i="1" s="1"/>
  <c r="BB18" i="1" s="1"/>
  <c r="BC18" i="1" s="1"/>
  <c r="BD18" i="1" s="1"/>
  <c r="BE18" i="1" s="1"/>
  <c r="BF18" i="1" s="1"/>
  <c r="BG18" i="1" s="1"/>
  <c r="BH18" i="1" s="1"/>
  <c r="BI18" i="1" s="1"/>
  <c r="BJ18" i="1" s="1"/>
  <c r="BK18" i="1" s="1"/>
  <c r="BL18" i="1" s="1"/>
  <c r="BM18" i="1" s="1"/>
  <c r="BN18" i="1" s="1"/>
  <c r="BO18" i="1" s="1"/>
  <c r="BP18" i="1" s="1"/>
  <c r="B111" i="1"/>
  <c r="C111" i="1" s="1"/>
  <c r="D111" i="1" s="1"/>
  <c r="E111" i="1" s="1"/>
  <c r="F111" i="1" s="1"/>
  <c r="G111" i="1" s="1"/>
  <c r="H111" i="1" s="1"/>
  <c r="I111" i="1" s="1"/>
  <c r="J111" i="1" s="1"/>
  <c r="K111" i="1" s="1"/>
  <c r="L111" i="1" s="1"/>
  <c r="M111" i="1" s="1"/>
  <c r="N111" i="1" s="1"/>
  <c r="O111" i="1" s="1"/>
  <c r="P111" i="1" s="1"/>
  <c r="Q111" i="1" s="1"/>
  <c r="R111" i="1" s="1"/>
  <c r="S111" i="1" s="1"/>
  <c r="T111" i="1" s="1"/>
  <c r="U111" i="1" s="1"/>
  <c r="V111" i="1" s="1"/>
  <c r="W111" i="1" s="1"/>
  <c r="X111" i="1" s="1"/>
  <c r="Y111" i="1" s="1"/>
  <c r="Z111" i="1" s="1"/>
  <c r="AA111" i="1" s="1"/>
  <c r="AB111" i="1" s="1"/>
  <c r="AC111" i="1" s="1"/>
  <c r="AD111" i="1" s="1"/>
  <c r="AE111" i="1" s="1"/>
  <c r="AF111" i="1" s="1"/>
  <c r="AG111" i="1" s="1"/>
  <c r="AH111" i="1" s="1"/>
  <c r="AI111" i="1" s="1"/>
  <c r="AJ111" i="1" s="1"/>
  <c r="AK111" i="1" s="1"/>
  <c r="AL111" i="1" s="1"/>
  <c r="AM111" i="1" s="1"/>
  <c r="AN111" i="1" s="1"/>
  <c r="AO111" i="1" s="1"/>
  <c r="AP111" i="1" s="1"/>
  <c r="AQ111" i="1" s="1"/>
  <c r="AR111" i="1" s="1"/>
  <c r="AS111" i="1" s="1"/>
  <c r="AT111" i="1" s="1"/>
  <c r="AU111" i="1" s="1"/>
  <c r="AV111" i="1" s="1"/>
  <c r="AW111" i="1" s="1"/>
  <c r="AX111" i="1" s="1"/>
  <c r="AY111" i="1" s="1"/>
  <c r="AZ111" i="1" s="1"/>
  <c r="BA111" i="1" s="1"/>
  <c r="BB111" i="1" s="1"/>
  <c r="BC111" i="1" s="1"/>
  <c r="BD111" i="1" s="1"/>
  <c r="BE111" i="1" s="1"/>
  <c r="BF111" i="1" s="1"/>
  <c r="BG111" i="1" s="1"/>
  <c r="BH111" i="1" s="1"/>
  <c r="BI111" i="1" s="1"/>
  <c r="BJ111" i="1" s="1"/>
  <c r="BK111" i="1" s="1"/>
  <c r="BL111" i="1" s="1"/>
  <c r="BM111" i="1" s="1"/>
  <c r="BN111" i="1" s="1"/>
  <c r="BO111" i="1" s="1"/>
  <c r="BP111" i="1" s="1"/>
  <c r="B21" i="1"/>
  <c r="C21" i="1" s="1"/>
  <c r="D21" i="1" s="1"/>
  <c r="E21" i="1" s="1"/>
  <c r="F21" i="1" s="1"/>
  <c r="G21" i="1" s="1"/>
  <c r="H21" i="1" s="1"/>
  <c r="I21" i="1" s="1"/>
  <c r="J21" i="1" s="1"/>
  <c r="K21" i="1" s="1"/>
  <c r="L21" i="1" s="1"/>
  <c r="M21" i="1" s="1"/>
  <c r="N21" i="1" s="1"/>
  <c r="O21" i="1" s="1"/>
  <c r="P21" i="1" s="1"/>
  <c r="Q21" i="1" s="1"/>
  <c r="R21" i="1" s="1"/>
  <c r="S21" i="1" s="1"/>
  <c r="T21" i="1" s="1"/>
  <c r="U21" i="1" s="1"/>
  <c r="V21" i="1" s="1"/>
  <c r="W21" i="1" s="1"/>
  <c r="X21" i="1" s="1"/>
  <c r="Y21" i="1" s="1"/>
  <c r="Z21" i="1" s="1"/>
  <c r="AA21" i="1" s="1"/>
  <c r="AB21" i="1" s="1"/>
  <c r="AC21" i="1" s="1"/>
  <c r="AD21" i="1" s="1"/>
  <c r="AE21" i="1" s="1"/>
  <c r="AF21" i="1" s="1"/>
  <c r="AG21" i="1" s="1"/>
  <c r="AH21" i="1" s="1"/>
  <c r="AI21" i="1" s="1"/>
  <c r="AJ21" i="1" s="1"/>
  <c r="AK21" i="1" s="1"/>
  <c r="AL21" i="1" s="1"/>
  <c r="AM21" i="1" s="1"/>
  <c r="AN21" i="1" s="1"/>
  <c r="AO21" i="1" s="1"/>
  <c r="AP21" i="1" s="1"/>
  <c r="AQ21" i="1" s="1"/>
  <c r="AR21" i="1" s="1"/>
  <c r="AS21" i="1" s="1"/>
  <c r="AT21" i="1" s="1"/>
  <c r="AU21" i="1" s="1"/>
  <c r="AV21" i="1" s="1"/>
  <c r="AW21" i="1" s="1"/>
  <c r="AX21" i="1" s="1"/>
  <c r="AY21" i="1" s="1"/>
  <c r="AZ21" i="1" s="1"/>
  <c r="BA21" i="1" s="1"/>
  <c r="BB21" i="1" s="1"/>
  <c r="BC21" i="1" s="1"/>
  <c r="BD21" i="1" s="1"/>
  <c r="BE21" i="1" s="1"/>
  <c r="BF21" i="1" s="1"/>
  <c r="BG21" i="1" s="1"/>
  <c r="BH21" i="1" s="1"/>
  <c r="BI21" i="1" s="1"/>
  <c r="BJ21" i="1" s="1"/>
  <c r="BK21" i="1" s="1"/>
  <c r="BL21" i="1" s="1"/>
  <c r="BM21" i="1" s="1"/>
  <c r="BN21" i="1" s="1"/>
  <c r="BO21" i="1" s="1"/>
  <c r="BP21" i="1" s="1"/>
  <c r="B112" i="1"/>
  <c r="C112" i="1" s="1"/>
  <c r="D112" i="1" s="1"/>
  <c r="E112" i="1" s="1"/>
  <c r="F112" i="1" s="1"/>
  <c r="G112" i="1" s="1"/>
  <c r="H112" i="1" s="1"/>
  <c r="I112" i="1" s="1"/>
  <c r="J112" i="1" s="1"/>
  <c r="K112" i="1" s="1"/>
  <c r="L112" i="1" s="1"/>
  <c r="M112" i="1" s="1"/>
  <c r="N112" i="1" s="1"/>
  <c r="O112" i="1" s="1"/>
  <c r="P112" i="1" s="1"/>
  <c r="Q112" i="1" s="1"/>
  <c r="R112" i="1" s="1"/>
  <c r="S112" i="1" s="1"/>
  <c r="T112" i="1" s="1"/>
  <c r="U112" i="1" s="1"/>
  <c r="V112" i="1" s="1"/>
  <c r="W112" i="1" s="1"/>
  <c r="X112" i="1" s="1"/>
  <c r="Y112" i="1" s="1"/>
  <c r="Z112" i="1" s="1"/>
  <c r="AA112" i="1" s="1"/>
  <c r="AB112" i="1" s="1"/>
  <c r="AC112" i="1" s="1"/>
  <c r="AD112" i="1" s="1"/>
  <c r="AE112" i="1" s="1"/>
  <c r="AF112" i="1" s="1"/>
  <c r="AG112" i="1" s="1"/>
  <c r="AH112" i="1" s="1"/>
  <c r="AI112" i="1" s="1"/>
  <c r="AJ112" i="1" s="1"/>
  <c r="AK112" i="1" s="1"/>
  <c r="AL112" i="1" s="1"/>
  <c r="AM112" i="1" s="1"/>
  <c r="AN112" i="1" s="1"/>
  <c r="AO112" i="1" s="1"/>
  <c r="AP112" i="1" s="1"/>
  <c r="AQ112" i="1" s="1"/>
  <c r="AR112" i="1" s="1"/>
  <c r="AS112" i="1" s="1"/>
  <c r="AT112" i="1" s="1"/>
  <c r="AU112" i="1" s="1"/>
  <c r="AV112" i="1" s="1"/>
  <c r="AW112" i="1" s="1"/>
  <c r="AX112" i="1" s="1"/>
  <c r="AY112" i="1" s="1"/>
  <c r="AZ112" i="1" s="1"/>
  <c r="BA112" i="1" s="1"/>
  <c r="BB112" i="1" s="1"/>
  <c r="BC112" i="1" s="1"/>
  <c r="BD112" i="1" s="1"/>
  <c r="BE112" i="1" s="1"/>
  <c r="BF112" i="1" s="1"/>
  <c r="BG112" i="1" s="1"/>
  <c r="BH112" i="1" s="1"/>
  <c r="BI112" i="1" s="1"/>
  <c r="BJ112" i="1" s="1"/>
  <c r="BK112" i="1" s="1"/>
  <c r="BL112" i="1" s="1"/>
  <c r="BM112" i="1" s="1"/>
  <c r="BN112" i="1" s="1"/>
  <c r="BO112" i="1" s="1"/>
  <c r="BP112" i="1" s="1"/>
  <c r="B113" i="1"/>
  <c r="C113" i="1" s="1"/>
  <c r="D113" i="1" s="1"/>
  <c r="E113" i="1" s="1"/>
  <c r="F113" i="1" s="1"/>
  <c r="G113" i="1" s="1"/>
  <c r="H113" i="1" s="1"/>
  <c r="I113" i="1" s="1"/>
  <c r="J113" i="1" s="1"/>
  <c r="K113" i="1" s="1"/>
  <c r="L113" i="1" s="1"/>
  <c r="M113" i="1" s="1"/>
  <c r="N113" i="1" s="1"/>
  <c r="O113" i="1" s="1"/>
  <c r="P113" i="1" s="1"/>
  <c r="Q113" i="1" s="1"/>
  <c r="R113" i="1" s="1"/>
  <c r="S113" i="1" s="1"/>
  <c r="T113" i="1" s="1"/>
  <c r="U113" i="1" s="1"/>
  <c r="V113" i="1" s="1"/>
  <c r="W113" i="1" s="1"/>
  <c r="X113" i="1" s="1"/>
  <c r="Y113" i="1" s="1"/>
  <c r="Z113" i="1" s="1"/>
  <c r="AA113" i="1" s="1"/>
  <c r="AB113" i="1" s="1"/>
  <c r="AC113" i="1" s="1"/>
  <c r="AD113" i="1" s="1"/>
  <c r="AE113" i="1" s="1"/>
  <c r="AF113" i="1" s="1"/>
  <c r="AG113" i="1" s="1"/>
  <c r="AH113" i="1" s="1"/>
  <c r="AI113" i="1" s="1"/>
  <c r="AJ113" i="1" s="1"/>
  <c r="AK113" i="1" s="1"/>
  <c r="AL113" i="1" s="1"/>
  <c r="AM113" i="1" s="1"/>
  <c r="AN113" i="1" s="1"/>
  <c r="AO113" i="1" s="1"/>
  <c r="AP113" i="1" s="1"/>
  <c r="AQ113" i="1" s="1"/>
  <c r="AR113" i="1" s="1"/>
  <c r="AS113" i="1" s="1"/>
  <c r="AT113" i="1" s="1"/>
  <c r="AU113" i="1" s="1"/>
  <c r="AV113" i="1" s="1"/>
  <c r="AW113" i="1" s="1"/>
  <c r="AX113" i="1" s="1"/>
  <c r="AY113" i="1" s="1"/>
  <c r="AZ113" i="1" s="1"/>
  <c r="BA113" i="1" s="1"/>
  <c r="BB113" i="1" s="1"/>
  <c r="BC113" i="1" s="1"/>
  <c r="BD113" i="1" s="1"/>
  <c r="BE113" i="1" s="1"/>
  <c r="BF113" i="1" s="1"/>
  <c r="BG113" i="1" s="1"/>
  <c r="BH113" i="1" s="1"/>
  <c r="BI113" i="1" s="1"/>
  <c r="BJ113" i="1" s="1"/>
  <c r="BK113" i="1" s="1"/>
  <c r="BL113" i="1" s="1"/>
  <c r="BM113" i="1" s="1"/>
  <c r="BN113" i="1" s="1"/>
  <c r="BO113" i="1" s="1"/>
  <c r="BP113" i="1" s="1"/>
  <c r="B19" i="1"/>
  <c r="C19" i="1" s="1"/>
  <c r="D19" i="1" s="1"/>
  <c r="E19" i="1" s="1"/>
  <c r="F19" i="1" s="1"/>
  <c r="G19" i="1" s="1"/>
  <c r="H19" i="1" s="1"/>
  <c r="I19" i="1" s="1"/>
  <c r="J19" i="1" s="1"/>
  <c r="K19" i="1" s="1"/>
  <c r="L19" i="1" s="1"/>
  <c r="M19" i="1" s="1"/>
  <c r="N19" i="1" s="1"/>
  <c r="O19" i="1" s="1"/>
  <c r="P19" i="1" s="1"/>
  <c r="Q19" i="1" s="1"/>
  <c r="R19" i="1" s="1"/>
  <c r="S19" i="1" s="1"/>
  <c r="T19" i="1" s="1"/>
  <c r="U19" i="1" s="1"/>
  <c r="V19" i="1" s="1"/>
  <c r="W19" i="1" s="1"/>
  <c r="X19" i="1" s="1"/>
  <c r="Y19" i="1" s="1"/>
  <c r="Z19" i="1" s="1"/>
  <c r="AA19" i="1" s="1"/>
  <c r="AB19" i="1" s="1"/>
  <c r="AC19" i="1" s="1"/>
  <c r="AD19" i="1" s="1"/>
  <c r="AE19" i="1" s="1"/>
  <c r="AF19" i="1" s="1"/>
  <c r="AG19" i="1" s="1"/>
  <c r="AH19" i="1" s="1"/>
  <c r="AI19" i="1" s="1"/>
  <c r="AJ19" i="1" s="1"/>
  <c r="AK19" i="1" s="1"/>
  <c r="AL19" i="1" s="1"/>
  <c r="AM19" i="1" s="1"/>
  <c r="AN19" i="1" s="1"/>
  <c r="AO19" i="1" s="1"/>
  <c r="AP19" i="1" s="1"/>
  <c r="AQ19" i="1" s="1"/>
  <c r="AR19" i="1" s="1"/>
  <c r="AS19" i="1" s="1"/>
  <c r="AT19" i="1" s="1"/>
  <c r="AU19" i="1" s="1"/>
  <c r="AV19" i="1" s="1"/>
  <c r="AW19" i="1" s="1"/>
  <c r="AX19" i="1" s="1"/>
  <c r="AY19" i="1" s="1"/>
  <c r="AZ19" i="1" s="1"/>
  <c r="BA19" i="1" s="1"/>
  <c r="BB19" i="1" s="1"/>
  <c r="BC19" i="1" s="1"/>
  <c r="BD19" i="1" s="1"/>
  <c r="BE19" i="1" s="1"/>
  <c r="BF19" i="1" s="1"/>
  <c r="BG19" i="1" s="1"/>
  <c r="BH19" i="1" s="1"/>
  <c r="BI19" i="1" s="1"/>
  <c r="BJ19" i="1" s="1"/>
  <c r="BK19" i="1" s="1"/>
  <c r="BL19" i="1" s="1"/>
  <c r="BM19" i="1" s="1"/>
  <c r="BN19" i="1" s="1"/>
  <c r="BO19" i="1" s="1"/>
  <c r="BP19" i="1" s="1"/>
  <c r="B20" i="1"/>
  <c r="C20" i="1" s="1"/>
  <c r="D20" i="1" s="1"/>
  <c r="E20" i="1" s="1"/>
  <c r="F20" i="1" s="1"/>
  <c r="G20" i="1" s="1"/>
  <c r="H20" i="1" s="1"/>
  <c r="I20" i="1" s="1"/>
  <c r="J20" i="1" s="1"/>
  <c r="K20" i="1" s="1"/>
  <c r="L20" i="1" s="1"/>
  <c r="M20" i="1" s="1"/>
  <c r="N20" i="1" s="1"/>
  <c r="O20" i="1" s="1"/>
  <c r="P20" i="1" s="1"/>
  <c r="Q20" i="1" s="1"/>
  <c r="R20" i="1" s="1"/>
  <c r="S20" i="1" s="1"/>
  <c r="T20" i="1" s="1"/>
  <c r="U20" i="1" s="1"/>
  <c r="V20" i="1" s="1"/>
  <c r="W20" i="1" s="1"/>
  <c r="X20" i="1" s="1"/>
  <c r="Y20" i="1" s="1"/>
  <c r="Z20" i="1" s="1"/>
  <c r="AA20" i="1" s="1"/>
  <c r="AB20" i="1" s="1"/>
  <c r="AC20" i="1" s="1"/>
  <c r="AD20" i="1" s="1"/>
  <c r="AE20" i="1" s="1"/>
  <c r="AF20" i="1" s="1"/>
  <c r="AG20" i="1" s="1"/>
  <c r="AH20" i="1" s="1"/>
  <c r="AI20" i="1" s="1"/>
  <c r="AJ20" i="1" s="1"/>
  <c r="AK20" i="1" s="1"/>
  <c r="AL20" i="1" s="1"/>
  <c r="AM20" i="1" s="1"/>
  <c r="AN20" i="1" s="1"/>
  <c r="AO20" i="1" s="1"/>
  <c r="AP20" i="1" s="1"/>
  <c r="AQ20" i="1" s="1"/>
  <c r="AR20" i="1" s="1"/>
  <c r="AS20" i="1" s="1"/>
  <c r="AT20" i="1" s="1"/>
  <c r="AU20" i="1" s="1"/>
  <c r="AV20" i="1" s="1"/>
  <c r="AW20" i="1" s="1"/>
  <c r="AX20" i="1" s="1"/>
  <c r="AY20" i="1" s="1"/>
  <c r="AZ20" i="1" s="1"/>
  <c r="BA20" i="1" s="1"/>
  <c r="BB20" i="1" s="1"/>
  <c r="BC20" i="1" s="1"/>
  <c r="BD20" i="1" s="1"/>
  <c r="BE20" i="1" s="1"/>
  <c r="BF20" i="1" s="1"/>
  <c r="BG20" i="1" s="1"/>
  <c r="BH20" i="1" s="1"/>
  <c r="BI20" i="1" s="1"/>
  <c r="BJ20" i="1" s="1"/>
  <c r="BK20" i="1" s="1"/>
  <c r="BL20" i="1" s="1"/>
  <c r="BM20" i="1" s="1"/>
  <c r="BN20" i="1" s="1"/>
  <c r="BO20" i="1" s="1"/>
  <c r="BP20" i="1" s="1"/>
  <c r="B114" i="1"/>
  <c r="C114" i="1" s="1"/>
  <c r="D114" i="1" s="1"/>
  <c r="E114" i="1" s="1"/>
  <c r="F114" i="1" s="1"/>
  <c r="G114" i="1" s="1"/>
  <c r="H114" i="1" s="1"/>
  <c r="I114" i="1" s="1"/>
  <c r="J114" i="1" s="1"/>
  <c r="K114" i="1" s="1"/>
  <c r="L114" i="1" s="1"/>
  <c r="M114" i="1" s="1"/>
  <c r="N114" i="1" s="1"/>
  <c r="O114" i="1" s="1"/>
  <c r="P114" i="1" s="1"/>
  <c r="Q114" i="1" s="1"/>
  <c r="R114" i="1" s="1"/>
  <c r="S114" i="1" s="1"/>
  <c r="T114" i="1" s="1"/>
  <c r="U114" i="1" s="1"/>
  <c r="V114" i="1" s="1"/>
  <c r="W114" i="1" s="1"/>
  <c r="X114" i="1" s="1"/>
  <c r="Y114" i="1" s="1"/>
  <c r="Z114" i="1" s="1"/>
  <c r="AA114" i="1" s="1"/>
  <c r="AB114" i="1" s="1"/>
  <c r="AC114" i="1" s="1"/>
  <c r="AD114" i="1" s="1"/>
  <c r="AE114" i="1" s="1"/>
  <c r="AF114" i="1" s="1"/>
  <c r="AG114" i="1" s="1"/>
  <c r="AH114" i="1" s="1"/>
  <c r="AI114" i="1" s="1"/>
  <c r="AJ114" i="1" s="1"/>
  <c r="AK114" i="1" s="1"/>
  <c r="AL114" i="1" s="1"/>
  <c r="AM114" i="1" s="1"/>
  <c r="AN114" i="1" s="1"/>
  <c r="AO114" i="1" s="1"/>
  <c r="AP114" i="1" s="1"/>
  <c r="AQ114" i="1" s="1"/>
  <c r="AR114" i="1" s="1"/>
  <c r="AS114" i="1" s="1"/>
  <c r="AT114" i="1" s="1"/>
  <c r="AU114" i="1" s="1"/>
  <c r="AV114" i="1" s="1"/>
  <c r="AW114" i="1" s="1"/>
  <c r="AX114" i="1" s="1"/>
  <c r="AY114" i="1" s="1"/>
  <c r="AZ114" i="1" s="1"/>
  <c r="BA114" i="1" s="1"/>
  <c r="BB114" i="1" s="1"/>
  <c r="BC114" i="1" s="1"/>
  <c r="BD114" i="1" s="1"/>
  <c r="BE114" i="1" s="1"/>
  <c r="BF114" i="1" s="1"/>
  <c r="BG114" i="1" s="1"/>
  <c r="BH114" i="1" s="1"/>
  <c r="BI114" i="1" s="1"/>
  <c r="BJ114" i="1" s="1"/>
  <c r="BK114" i="1" s="1"/>
  <c r="BL114" i="1" s="1"/>
  <c r="BM114" i="1" s="1"/>
  <c r="BN114" i="1" s="1"/>
  <c r="BO114" i="1" s="1"/>
  <c r="BP114" i="1" s="1"/>
  <c r="B115" i="1"/>
  <c r="C115" i="1" s="1"/>
  <c r="D115" i="1" s="1"/>
  <c r="E115" i="1" s="1"/>
  <c r="F115" i="1" s="1"/>
  <c r="G115" i="1" s="1"/>
  <c r="H115" i="1" s="1"/>
  <c r="I115" i="1" s="1"/>
  <c r="J115" i="1" s="1"/>
  <c r="K115" i="1" s="1"/>
  <c r="L115" i="1" s="1"/>
  <c r="M115" i="1" s="1"/>
  <c r="N115" i="1" s="1"/>
  <c r="O115" i="1" s="1"/>
  <c r="P115" i="1" s="1"/>
  <c r="Q115" i="1" s="1"/>
  <c r="R115" i="1" s="1"/>
  <c r="S115" i="1" s="1"/>
  <c r="T115" i="1" s="1"/>
  <c r="U115" i="1" s="1"/>
  <c r="V115" i="1" s="1"/>
  <c r="W115" i="1" s="1"/>
  <c r="X115" i="1" s="1"/>
  <c r="Y115" i="1" s="1"/>
  <c r="Z115" i="1" s="1"/>
  <c r="AA115" i="1" s="1"/>
  <c r="AB115" i="1" s="1"/>
  <c r="AC115" i="1" s="1"/>
  <c r="AD115" i="1" s="1"/>
  <c r="AE115" i="1" s="1"/>
  <c r="AF115" i="1" s="1"/>
  <c r="AG115" i="1" s="1"/>
  <c r="AH115" i="1" s="1"/>
  <c r="AI115" i="1" s="1"/>
  <c r="AJ115" i="1" s="1"/>
  <c r="AK115" i="1" s="1"/>
  <c r="AL115" i="1" s="1"/>
  <c r="AM115" i="1" s="1"/>
  <c r="AN115" i="1" s="1"/>
  <c r="AO115" i="1" s="1"/>
  <c r="AP115" i="1" s="1"/>
  <c r="AQ115" i="1" s="1"/>
  <c r="AR115" i="1" s="1"/>
  <c r="AS115" i="1" s="1"/>
  <c r="AT115" i="1" s="1"/>
  <c r="AU115" i="1" s="1"/>
  <c r="AV115" i="1" s="1"/>
  <c r="AW115" i="1" s="1"/>
  <c r="AX115" i="1" s="1"/>
  <c r="AY115" i="1" s="1"/>
  <c r="AZ115" i="1" s="1"/>
  <c r="BA115" i="1" s="1"/>
  <c r="BB115" i="1" s="1"/>
  <c r="BC115" i="1" s="1"/>
  <c r="BD115" i="1" s="1"/>
  <c r="BE115" i="1" s="1"/>
  <c r="BF115" i="1" s="1"/>
  <c r="BG115" i="1" s="1"/>
  <c r="BH115" i="1" s="1"/>
  <c r="BI115" i="1" s="1"/>
  <c r="BJ115" i="1" s="1"/>
  <c r="BK115" i="1" s="1"/>
  <c r="BL115" i="1" s="1"/>
  <c r="BM115" i="1" s="1"/>
  <c r="BN115" i="1" s="1"/>
  <c r="BO115" i="1" s="1"/>
  <c r="BP115" i="1" s="1"/>
  <c r="B116" i="1"/>
  <c r="C116" i="1" s="1"/>
  <c r="D116" i="1" s="1"/>
  <c r="E116" i="1" s="1"/>
  <c r="F116" i="1" s="1"/>
  <c r="G116" i="1" s="1"/>
  <c r="H116" i="1" s="1"/>
  <c r="I116" i="1" s="1"/>
  <c r="J116" i="1" s="1"/>
  <c r="K116" i="1" s="1"/>
  <c r="L116" i="1" s="1"/>
  <c r="M116" i="1" s="1"/>
  <c r="N116" i="1" s="1"/>
  <c r="O116" i="1" s="1"/>
  <c r="P116" i="1" s="1"/>
  <c r="Q116" i="1" s="1"/>
  <c r="R116" i="1" s="1"/>
  <c r="S116" i="1" s="1"/>
  <c r="T116" i="1" s="1"/>
  <c r="U116" i="1" s="1"/>
  <c r="V116" i="1" s="1"/>
  <c r="W116" i="1" s="1"/>
  <c r="X116" i="1" s="1"/>
  <c r="Y116" i="1" s="1"/>
  <c r="Z116" i="1" s="1"/>
  <c r="AA116" i="1" s="1"/>
  <c r="AB116" i="1" s="1"/>
  <c r="AC116" i="1" s="1"/>
  <c r="AD116" i="1" s="1"/>
  <c r="AE116" i="1" s="1"/>
  <c r="AF116" i="1" s="1"/>
  <c r="AG116" i="1" s="1"/>
  <c r="AH116" i="1" s="1"/>
  <c r="AI116" i="1" s="1"/>
  <c r="AJ116" i="1" s="1"/>
  <c r="AK116" i="1" s="1"/>
  <c r="AL116" i="1" s="1"/>
  <c r="AM116" i="1" s="1"/>
  <c r="AN116" i="1" s="1"/>
  <c r="AO116" i="1" s="1"/>
  <c r="AP116" i="1" s="1"/>
  <c r="AQ116" i="1" s="1"/>
  <c r="AR116" i="1" s="1"/>
  <c r="AS116" i="1" s="1"/>
  <c r="AT116" i="1" s="1"/>
  <c r="AU116" i="1" s="1"/>
  <c r="AV116" i="1" s="1"/>
  <c r="AW116" i="1" s="1"/>
  <c r="AX116" i="1" s="1"/>
  <c r="AY116" i="1" s="1"/>
  <c r="AZ116" i="1" s="1"/>
  <c r="BA116" i="1" s="1"/>
  <c r="BB116" i="1" s="1"/>
  <c r="BC116" i="1" s="1"/>
  <c r="BD116" i="1" s="1"/>
  <c r="BE116" i="1" s="1"/>
  <c r="BF116" i="1" s="1"/>
  <c r="BG116" i="1" s="1"/>
  <c r="BH116" i="1" s="1"/>
  <c r="BI116" i="1" s="1"/>
  <c r="BJ116" i="1" s="1"/>
  <c r="BK116" i="1" s="1"/>
  <c r="BL116" i="1" s="1"/>
  <c r="BM116" i="1" s="1"/>
  <c r="BN116" i="1" s="1"/>
  <c r="BO116" i="1" s="1"/>
  <c r="BP116" i="1" s="1"/>
  <c r="B117" i="1"/>
  <c r="C117" i="1" s="1"/>
  <c r="D117" i="1" s="1"/>
  <c r="E117" i="1" s="1"/>
  <c r="F117" i="1" s="1"/>
  <c r="G117" i="1" s="1"/>
  <c r="H117" i="1" s="1"/>
  <c r="I117" i="1" s="1"/>
  <c r="J117" i="1" s="1"/>
  <c r="K117" i="1" s="1"/>
  <c r="L117" i="1" s="1"/>
  <c r="M117" i="1" s="1"/>
  <c r="N117" i="1" s="1"/>
  <c r="O117" i="1" s="1"/>
  <c r="P117" i="1" s="1"/>
  <c r="Q117" i="1" s="1"/>
  <c r="R117" i="1" s="1"/>
  <c r="S117" i="1" s="1"/>
  <c r="T117" i="1" s="1"/>
  <c r="U117" i="1" s="1"/>
  <c r="V117" i="1" s="1"/>
  <c r="W117" i="1" s="1"/>
  <c r="X117" i="1" s="1"/>
  <c r="Y117" i="1" s="1"/>
  <c r="Z117" i="1" s="1"/>
  <c r="AA117" i="1" s="1"/>
  <c r="AB117" i="1" s="1"/>
  <c r="AC117" i="1" s="1"/>
  <c r="AD117" i="1" s="1"/>
  <c r="AE117" i="1" s="1"/>
  <c r="AF117" i="1" s="1"/>
  <c r="AG117" i="1" s="1"/>
  <c r="AH117" i="1" s="1"/>
  <c r="AI117" i="1" s="1"/>
  <c r="AJ117" i="1" s="1"/>
  <c r="AK117" i="1" s="1"/>
  <c r="AL117" i="1" s="1"/>
  <c r="AM117" i="1" s="1"/>
  <c r="AN117" i="1" s="1"/>
  <c r="AO117" i="1" s="1"/>
  <c r="AP117" i="1" s="1"/>
  <c r="AQ117" i="1" s="1"/>
  <c r="AR117" i="1" s="1"/>
  <c r="AS117" i="1" s="1"/>
  <c r="AT117" i="1" s="1"/>
  <c r="AU117" i="1" s="1"/>
  <c r="AV117" i="1" s="1"/>
  <c r="AW117" i="1" s="1"/>
  <c r="AX117" i="1" s="1"/>
  <c r="AY117" i="1" s="1"/>
  <c r="AZ117" i="1" s="1"/>
  <c r="BA117" i="1" s="1"/>
  <c r="BB117" i="1" s="1"/>
  <c r="BC117" i="1" s="1"/>
  <c r="BD117" i="1" s="1"/>
  <c r="BE117" i="1" s="1"/>
  <c r="BF117" i="1" s="1"/>
  <c r="BG117" i="1" s="1"/>
  <c r="BH117" i="1" s="1"/>
  <c r="BI117" i="1" s="1"/>
  <c r="BJ117" i="1" s="1"/>
  <c r="BK117" i="1" s="1"/>
  <c r="BL117" i="1" s="1"/>
  <c r="BM117" i="1" s="1"/>
  <c r="BN117" i="1" s="1"/>
  <c r="BO117" i="1" s="1"/>
  <c r="BP117" i="1" s="1"/>
  <c r="B22" i="1"/>
  <c r="C22" i="1" s="1"/>
  <c r="B31" i="1"/>
  <c r="C31" i="1" s="1"/>
  <c r="D31" i="1" s="1"/>
  <c r="E31" i="1" s="1"/>
  <c r="F31" i="1" s="1"/>
  <c r="G31" i="1" s="1"/>
  <c r="H31" i="1" s="1"/>
  <c r="I31" i="1" s="1"/>
  <c r="J31" i="1" s="1"/>
  <c r="K31" i="1" s="1"/>
  <c r="L31" i="1" s="1"/>
  <c r="M31" i="1" s="1"/>
  <c r="N31" i="1" s="1"/>
  <c r="O31" i="1" s="1"/>
  <c r="P31" i="1" s="1"/>
  <c r="Q31" i="1" s="1"/>
  <c r="R31" i="1" s="1"/>
  <c r="S31" i="1" s="1"/>
  <c r="T31" i="1" s="1"/>
  <c r="U31" i="1" s="1"/>
  <c r="V31" i="1" s="1"/>
  <c r="W31" i="1" s="1"/>
  <c r="X31" i="1" s="1"/>
  <c r="Y31" i="1" s="1"/>
  <c r="Z31" i="1" s="1"/>
  <c r="AA31" i="1" s="1"/>
  <c r="AB31" i="1" s="1"/>
  <c r="AC31" i="1" s="1"/>
  <c r="AD31" i="1" s="1"/>
  <c r="AE31" i="1" s="1"/>
  <c r="AF31" i="1" s="1"/>
  <c r="AG31" i="1" s="1"/>
  <c r="AH31" i="1" s="1"/>
  <c r="AI31" i="1" s="1"/>
  <c r="AJ31" i="1" s="1"/>
  <c r="AK31" i="1" s="1"/>
  <c r="AL31" i="1" s="1"/>
  <c r="AM31" i="1" s="1"/>
  <c r="AN31" i="1" s="1"/>
  <c r="AO31" i="1" s="1"/>
  <c r="AP31" i="1" s="1"/>
  <c r="AQ31" i="1" s="1"/>
  <c r="AR31" i="1" s="1"/>
  <c r="AS31" i="1" s="1"/>
  <c r="AT31" i="1" s="1"/>
  <c r="AU31" i="1" s="1"/>
  <c r="AV31" i="1" s="1"/>
  <c r="AW31" i="1" s="1"/>
  <c r="AX31" i="1" s="1"/>
  <c r="AY31" i="1" s="1"/>
  <c r="AZ31" i="1" s="1"/>
  <c r="BA31" i="1" s="1"/>
  <c r="BB31" i="1" s="1"/>
  <c r="BC31" i="1" s="1"/>
  <c r="BD31" i="1" s="1"/>
  <c r="BE31" i="1" s="1"/>
  <c r="BF31" i="1" s="1"/>
  <c r="BG31" i="1" s="1"/>
  <c r="BH31" i="1" s="1"/>
  <c r="BI31" i="1" s="1"/>
  <c r="BJ31" i="1" s="1"/>
  <c r="BK31" i="1" s="1"/>
  <c r="BL31" i="1" s="1"/>
  <c r="BM31" i="1" s="1"/>
  <c r="BN31" i="1" s="1"/>
  <c r="BO31" i="1" s="1"/>
  <c r="BP31" i="1" s="1"/>
  <c r="B34" i="1"/>
  <c r="C34" i="1" s="1"/>
  <c r="D34" i="1" s="1"/>
  <c r="E34" i="1" s="1"/>
  <c r="F34" i="1" s="1"/>
  <c r="G34" i="1" s="1"/>
  <c r="H34" i="1" s="1"/>
  <c r="I34" i="1" s="1"/>
  <c r="J34" i="1" s="1"/>
  <c r="K34" i="1" s="1"/>
  <c r="L34" i="1" s="1"/>
  <c r="M34" i="1" s="1"/>
  <c r="N34" i="1" s="1"/>
  <c r="O34" i="1" s="1"/>
  <c r="P34" i="1" s="1"/>
  <c r="Q34" i="1" s="1"/>
  <c r="R34" i="1" s="1"/>
  <c r="S34" i="1" s="1"/>
  <c r="T34" i="1" s="1"/>
  <c r="U34" i="1" s="1"/>
  <c r="V34" i="1" s="1"/>
  <c r="W34" i="1" s="1"/>
  <c r="X34" i="1" s="1"/>
  <c r="Y34" i="1" s="1"/>
  <c r="Z34" i="1" s="1"/>
  <c r="AA34" i="1" s="1"/>
  <c r="AB34" i="1" s="1"/>
  <c r="AC34" i="1" s="1"/>
  <c r="AD34" i="1" s="1"/>
  <c r="AE34" i="1" s="1"/>
  <c r="AF34" i="1" s="1"/>
  <c r="AG34" i="1" s="1"/>
  <c r="AH34" i="1" s="1"/>
  <c r="AI34" i="1" s="1"/>
  <c r="AJ34" i="1" s="1"/>
  <c r="AK34" i="1" s="1"/>
  <c r="AL34" i="1" s="1"/>
  <c r="AM34" i="1" s="1"/>
  <c r="AN34" i="1" s="1"/>
  <c r="AO34" i="1" s="1"/>
  <c r="AP34" i="1" s="1"/>
  <c r="AQ34" i="1" s="1"/>
  <c r="AR34" i="1" s="1"/>
  <c r="AS34" i="1" s="1"/>
  <c r="AT34" i="1" s="1"/>
  <c r="AU34" i="1" s="1"/>
  <c r="AV34" i="1" s="1"/>
  <c r="AW34" i="1" s="1"/>
  <c r="AX34" i="1" s="1"/>
  <c r="AY34" i="1" s="1"/>
  <c r="AZ34" i="1" s="1"/>
  <c r="BA34" i="1" s="1"/>
  <c r="BB34" i="1" s="1"/>
  <c r="BC34" i="1" s="1"/>
  <c r="BD34" i="1" s="1"/>
  <c r="BE34" i="1" s="1"/>
  <c r="BF34" i="1" s="1"/>
  <c r="BG34" i="1" s="1"/>
  <c r="BH34" i="1" s="1"/>
  <c r="BI34" i="1" s="1"/>
  <c r="BJ34" i="1" s="1"/>
  <c r="BK34" i="1" s="1"/>
  <c r="BL34" i="1" s="1"/>
  <c r="BM34" i="1" s="1"/>
  <c r="BN34" i="1" s="1"/>
  <c r="BO34" i="1" s="1"/>
  <c r="BP34" i="1" s="1"/>
  <c r="B118" i="1"/>
  <c r="C118" i="1" s="1"/>
  <c r="D118" i="1" s="1"/>
  <c r="E118" i="1" s="1"/>
  <c r="F118" i="1" s="1"/>
  <c r="G118" i="1" s="1"/>
  <c r="H118" i="1" s="1"/>
  <c r="I118" i="1" s="1"/>
  <c r="J118" i="1" s="1"/>
  <c r="K118" i="1" s="1"/>
  <c r="L118" i="1" s="1"/>
  <c r="M118" i="1" s="1"/>
  <c r="N118" i="1" s="1"/>
  <c r="O118" i="1" s="1"/>
  <c r="P118" i="1" s="1"/>
  <c r="Q118" i="1" s="1"/>
  <c r="R118" i="1" s="1"/>
  <c r="S118" i="1" s="1"/>
  <c r="T118" i="1" s="1"/>
  <c r="U118" i="1" s="1"/>
  <c r="V118" i="1" s="1"/>
  <c r="W118" i="1" s="1"/>
  <c r="X118" i="1" s="1"/>
  <c r="Y118" i="1" s="1"/>
  <c r="Z118" i="1" s="1"/>
  <c r="AA118" i="1" s="1"/>
  <c r="AB118" i="1" s="1"/>
  <c r="AC118" i="1" s="1"/>
  <c r="AD118" i="1" s="1"/>
  <c r="AE118" i="1" s="1"/>
  <c r="AF118" i="1" s="1"/>
  <c r="AG118" i="1" s="1"/>
  <c r="AH118" i="1" s="1"/>
  <c r="AI118" i="1" s="1"/>
  <c r="AJ118" i="1" s="1"/>
  <c r="AK118" i="1" s="1"/>
  <c r="AL118" i="1" s="1"/>
  <c r="AM118" i="1" s="1"/>
  <c r="AN118" i="1" s="1"/>
  <c r="AO118" i="1" s="1"/>
  <c r="AP118" i="1" s="1"/>
  <c r="AQ118" i="1" s="1"/>
  <c r="AR118" i="1" s="1"/>
  <c r="AS118" i="1" s="1"/>
  <c r="AT118" i="1" s="1"/>
  <c r="AU118" i="1" s="1"/>
  <c r="AV118" i="1" s="1"/>
  <c r="AW118" i="1" s="1"/>
  <c r="AX118" i="1" s="1"/>
  <c r="AY118" i="1" s="1"/>
  <c r="AZ118" i="1" s="1"/>
  <c r="BA118" i="1" s="1"/>
  <c r="BB118" i="1" s="1"/>
  <c r="BC118" i="1" s="1"/>
  <c r="BD118" i="1" s="1"/>
  <c r="BE118" i="1" s="1"/>
  <c r="BF118" i="1" s="1"/>
  <c r="BG118" i="1" s="1"/>
  <c r="BH118" i="1" s="1"/>
  <c r="BI118" i="1" s="1"/>
  <c r="BJ118" i="1" s="1"/>
  <c r="BK118" i="1" s="1"/>
  <c r="BL118" i="1" s="1"/>
  <c r="BM118" i="1" s="1"/>
  <c r="BN118" i="1" s="1"/>
  <c r="BO118" i="1" s="1"/>
  <c r="BP118" i="1" s="1"/>
  <c r="B30" i="1"/>
  <c r="C30" i="1" s="1"/>
  <c r="D30" i="1" s="1"/>
  <c r="B23" i="1"/>
  <c r="C23" i="1" s="1"/>
  <c r="D23" i="1" s="1"/>
  <c r="E23" i="1" s="1"/>
  <c r="F23" i="1" s="1"/>
  <c r="G23" i="1" s="1"/>
  <c r="H23" i="1" s="1"/>
  <c r="I23" i="1" s="1"/>
  <c r="J23" i="1" s="1"/>
  <c r="K23" i="1" s="1"/>
  <c r="L23" i="1" s="1"/>
  <c r="M23" i="1" s="1"/>
  <c r="N23" i="1" s="1"/>
  <c r="O23" i="1" s="1"/>
  <c r="P23" i="1" s="1"/>
  <c r="Q23" i="1" s="1"/>
  <c r="R23" i="1" s="1"/>
  <c r="S23" i="1" s="1"/>
  <c r="T23" i="1" s="1"/>
  <c r="U23" i="1" s="1"/>
  <c r="V23" i="1" s="1"/>
  <c r="W23" i="1" s="1"/>
  <c r="X23" i="1" s="1"/>
  <c r="Y23" i="1" s="1"/>
  <c r="Z23" i="1" s="1"/>
  <c r="AA23" i="1" s="1"/>
  <c r="AB23" i="1" s="1"/>
  <c r="AC23" i="1" s="1"/>
  <c r="AD23" i="1" s="1"/>
  <c r="AE23" i="1" s="1"/>
  <c r="AF23" i="1" s="1"/>
  <c r="AG23" i="1" s="1"/>
  <c r="AH23" i="1" s="1"/>
  <c r="AI23" i="1" s="1"/>
  <c r="AJ23" i="1" s="1"/>
  <c r="AK23" i="1" s="1"/>
  <c r="AL23" i="1" s="1"/>
  <c r="AM23" i="1" s="1"/>
  <c r="AN23" i="1" s="1"/>
  <c r="AO23" i="1" s="1"/>
  <c r="AP23" i="1" s="1"/>
  <c r="AQ23" i="1" s="1"/>
  <c r="AR23" i="1" s="1"/>
  <c r="AS23" i="1" s="1"/>
  <c r="AT23" i="1" s="1"/>
  <c r="AU23" i="1" s="1"/>
  <c r="AV23" i="1" s="1"/>
  <c r="AW23" i="1" s="1"/>
  <c r="AX23" i="1" s="1"/>
  <c r="AY23" i="1" s="1"/>
  <c r="AZ23" i="1" s="1"/>
  <c r="BA23" i="1" s="1"/>
  <c r="BB23" i="1" s="1"/>
  <c r="BC23" i="1" s="1"/>
  <c r="BD23" i="1" s="1"/>
  <c r="BE23" i="1" s="1"/>
  <c r="BF23" i="1" s="1"/>
  <c r="BG23" i="1" s="1"/>
  <c r="BH23" i="1" s="1"/>
  <c r="BI23" i="1" s="1"/>
  <c r="BJ23" i="1" s="1"/>
  <c r="BK23" i="1" s="1"/>
  <c r="BL23" i="1" s="1"/>
  <c r="BM23" i="1" s="1"/>
  <c r="BN23" i="1" s="1"/>
  <c r="BO23" i="1" s="1"/>
  <c r="BP23" i="1" s="1"/>
  <c r="B119" i="1"/>
  <c r="C119" i="1" s="1"/>
  <c r="D119" i="1" s="1"/>
  <c r="E119" i="1" s="1"/>
  <c r="F119" i="1" s="1"/>
  <c r="G119" i="1" s="1"/>
  <c r="H119" i="1" s="1"/>
  <c r="I119" i="1" s="1"/>
  <c r="J119" i="1" s="1"/>
  <c r="K119" i="1" s="1"/>
  <c r="L119" i="1" s="1"/>
  <c r="M119" i="1" s="1"/>
  <c r="N119" i="1" s="1"/>
  <c r="O119" i="1" s="1"/>
  <c r="P119" i="1" s="1"/>
  <c r="Q119" i="1" s="1"/>
  <c r="R119" i="1" s="1"/>
  <c r="S119" i="1" s="1"/>
  <c r="T119" i="1" s="1"/>
  <c r="U119" i="1" s="1"/>
  <c r="V119" i="1" s="1"/>
  <c r="W119" i="1" s="1"/>
  <c r="X119" i="1" s="1"/>
  <c r="Y119" i="1" s="1"/>
  <c r="Z119" i="1" s="1"/>
  <c r="AA119" i="1" s="1"/>
  <c r="AB119" i="1" s="1"/>
  <c r="AC119" i="1" s="1"/>
  <c r="AD119" i="1" s="1"/>
  <c r="AE119" i="1" s="1"/>
  <c r="AF119" i="1" s="1"/>
  <c r="AG119" i="1" s="1"/>
  <c r="AH119" i="1" s="1"/>
  <c r="AI119" i="1" s="1"/>
  <c r="AJ119" i="1" s="1"/>
  <c r="AK119" i="1" s="1"/>
  <c r="AL119" i="1" s="1"/>
  <c r="AM119" i="1" s="1"/>
  <c r="AN119" i="1" s="1"/>
  <c r="AO119" i="1" s="1"/>
  <c r="AP119" i="1" s="1"/>
  <c r="AQ119" i="1" s="1"/>
  <c r="AR119" i="1" s="1"/>
  <c r="AS119" i="1" s="1"/>
  <c r="AT119" i="1" s="1"/>
  <c r="AU119" i="1" s="1"/>
  <c r="AV119" i="1" s="1"/>
  <c r="AW119" i="1" s="1"/>
  <c r="AX119" i="1" s="1"/>
  <c r="AY119" i="1" s="1"/>
  <c r="AZ119" i="1" s="1"/>
  <c r="BA119" i="1" s="1"/>
  <c r="BB119" i="1" s="1"/>
  <c r="BC119" i="1" s="1"/>
  <c r="BD119" i="1" s="1"/>
  <c r="BE119" i="1" s="1"/>
  <c r="BF119" i="1" s="1"/>
  <c r="BG119" i="1" s="1"/>
  <c r="BH119" i="1" s="1"/>
  <c r="BI119" i="1" s="1"/>
  <c r="BJ119" i="1" s="1"/>
  <c r="BK119" i="1" s="1"/>
  <c r="BL119" i="1" s="1"/>
  <c r="BM119" i="1" s="1"/>
  <c r="BN119" i="1" s="1"/>
  <c r="BO119" i="1" s="1"/>
  <c r="BP119" i="1" s="1"/>
  <c r="B28" i="1"/>
  <c r="C28" i="1" s="1"/>
  <c r="D28" i="1" s="1"/>
  <c r="E28" i="1" s="1"/>
  <c r="F28" i="1" s="1"/>
  <c r="G28" i="1" s="1"/>
  <c r="H28" i="1" s="1"/>
  <c r="I28" i="1" s="1"/>
  <c r="J28" i="1" s="1"/>
  <c r="K28" i="1" s="1"/>
  <c r="L28" i="1" s="1"/>
  <c r="M28" i="1" s="1"/>
  <c r="N28" i="1" s="1"/>
  <c r="O28" i="1" s="1"/>
  <c r="P28" i="1" s="1"/>
  <c r="Q28" i="1" s="1"/>
  <c r="R28" i="1" s="1"/>
  <c r="S28" i="1" s="1"/>
  <c r="T28" i="1" s="1"/>
  <c r="U28" i="1" s="1"/>
  <c r="V28" i="1" s="1"/>
  <c r="W28" i="1" s="1"/>
  <c r="X28" i="1" s="1"/>
  <c r="Y28" i="1" s="1"/>
  <c r="Z28" i="1" s="1"/>
  <c r="AA28" i="1" s="1"/>
  <c r="AB28" i="1" s="1"/>
  <c r="AC28" i="1" s="1"/>
  <c r="AD28" i="1" s="1"/>
  <c r="AE28" i="1" s="1"/>
  <c r="AF28" i="1" s="1"/>
  <c r="AG28" i="1" s="1"/>
  <c r="AH28" i="1" s="1"/>
  <c r="AI28" i="1" s="1"/>
  <c r="AJ28" i="1" s="1"/>
  <c r="AK28" i="1" s="1"/>
  <c r="AL28" i="1" s="1"/>
  <c r="AM28" i="1" s="1"/>
  <c r="AN28" i="1" s="1"/>
  <c r="AO28" i="1" s="1"/>
  <c r="AP28" i="1" s="1"/>
  <c r="AQ28" i="1" s="1"/>
  <c r="B120" i="1"/>
  <c r="C120" i="1" s="1"/>
  <c r="D120" i="1" s="1"/>
  <c r="E120" i="1" s="1"/>
  <c r="F120" i="1" s="1"/>
  <c r="G120" i="1" s="1"/>
  <c r="H120" i="1" s="1"/>
  <c r="I120" i="1" s="1"/>
  <c r="J120" i="1" s="1"/>
  <c r="K120" i="1" s="1"/>
  <c r="L120" i="1" s="1"/>
  <c r="M120" i="1" s="1"/>
  <c r="N120" i="1" s="1"/>
  <c r="O120" i="1" s="1"/>
  <c r="P120" i="1" s="1"/>
  <c r="Q120" i="1" s="1"/>
  <c r="R120" i="1" s="1"/>
  <c r="S120" i="1" s="1"/>
  <c r="T120" i="1" s="1"/>
  <c r="U120" i="1" s="1"/>
  <c r="V120" i="1" s="1"/>
  <c r="W120" i="1" s="1"/>
  <c r="X120" i="1" s="1"/>
  <c r="Y120" i="1" s="1"/>
  <c r="Z120" i="1" s="1"/>
  <c r="AA120" i="1" s="1"/>
  <c r="AB120" i="1" s="1"/>
  <c r="AC120" i="1" s="1"/>
  <c r="AD120" i="1" s="1"/>
  <c r="AE120" i="1" s="1"/>
  <c r="AF120" i="1" s="1"/>
  <c r="AG120" i="1" s="1"/>
  <c r="AH120" i="1" s="1"/>
  <c r="AI120" i="1" s="1"/>
  <c r="AJ120" i="1" s="1"/>
  <c r="AK120" i="1" s="1"/>
  <c r="AL120" i="1" s="1"/>
  <c r="AM120" i="1" s="1"/>
  <c r="AN120" i="1" s="1"/>
  <c r="AO120" i="1" s="1"/>
  <c r="AP120" i="1" s="1"/>
  <c r="AQ120" i="1" s="1"/>
  <c r="AR120" i="1" s="1"/>
  <c r="AS120" i="1" s="1"/>
  <c r="AT120" i="1" s="1"/>
  <c r="AU120" i="1" s="1"/>
  <c r="AV120" i="1" s="1"/>
  <c r="AW120" i="1" s="1"/>
  <c r="AX120" i="1" s="1"/>
  <c r="AY120" i="1" s="1"/>
  <c r="AZ120" i="1" s="1"/>
  <c r="BA120" i="1" s="1"/>
  <c r="BB120" i="1" s="1"/>
  <c r="BC120" i="1" s="1"/>
  <c r="BD120" i="1" s="1"/>
  <c r="BE120" i="1" s="1"/>
  <c r="BF120" i="1" s="1"/>
  <c r="BG120" i="1" s="1"/>
  <c r="BH120" i="1" s="1"/>
  <c r="BI120" i="1" s="1"/>
  <c r="BJ120" i="1" s="1"/>
  <c r="BK120" i="1" s="1"/>
  <c r="BL120" i="1" s="1"/>
  <c r="BM120" i="1" s="1"/>
  <c r="BN120" i="1" s="1"/>
  <c r="BO120" i="1" s="1"/>
  <c r="BP120" i="1" s="1"/>
  <c r="B121" i="1"/>
  <c r="C121" i="1" s="1"/>
  <c r="D121" i="1" s="1"/>
  <c r="E121" i="1" s="1"/>
  <c r="F121" i="1" s="1"/>
  <c r="G121" i="1" s="1"/>
  <c r="H121" i="1" s="1"/>
  <c r="I121" i="1" s="1"/>
  <c r="J121" i="1" s="1"/>
  <c r="K121" i="1" s="1"/>
  <c r="L121" i="1" s="1"/>
  <c r="M121" i="1" s="1"/>
  <c r="N121" i="1" s="1"/>
  <c r="O121" i="1" s="1"/>
  <c r="P121" i="1" s="1"/>
  <c r="Q121" i="1" s="1"/>
  <c r="R121" i="1" s="1"/>
  <c r="S121" i="1" s="1"/>
  <c r="T121" i="1" s="1"/>
  <c r="U121" i="1" s="1"/>
  <c r="V121" i="1" s="1"/>
  <c r="W121" i="1" s="1"/>
  <c r="X121" i="1" s="1"/>
  <c r="Y121" i="1" s="1"/>
  <c r="Z121" i="1" s="1"/>
  <c r="AA121" i="1" s="1"/>
  <c r="AB121" i="1" s="1"/>
  <c r="AC121" i="1" s="1"/>
  <c r="AD121" i="1" s="1"/>
  <c r="AE121" i="1" s="1"/>
  <c r="AF121" i="1" s="1"/>
  <c r="AG121" i="1" s="1"/>
  <c r="AH121" i="1" s="1"/>
  <c r="AI121" i="1" s="1"/>
  <c r="AJ121" i="1" s="1"/>
  <c r="AK121" i="1" s="1"/>
  <c r="AL121" i="1" s="1"/>
  <c r="AM121" i="1" s="1"/>
  <c r="AN121" i="1" s="1"/>
  <c r="AO121" i="1" s="1"/>
  <c r="AP121" i="1" s="1"/>
  <c r="AQ121" i="1" s="1"/>
  <c r="AR121" i="1" s="1"/>
  <c r="AS121" i="1" s="1"/>
  <c r="AT121" i="1" s="1"/>
  <c r="AU121" i="1" s="1"/>
  <c r="AV121" i="1" s="1"/>
  <c r="AW121" i="1" s="1"/>
  <c r="AX121" i="1" s="1"/>
  <c r="AY121" i="1" s="1"/>
  <c r="AZ121" i="1" s="1"/>
  <c r="BA121" i="1" s="1"/>
  <c r="BB121" i="1" s="1"/>
  <c r="BC121" i="1" s="1"/>
  <c r="BD121" i="1" s="1"/>
  <c r="BE121" i="1" s="1"/>
  <c r="BF121" i="1" s="1"/>
  <c r="BG121" i="1" s="1"/>
  <c r="BH121" i="1" s="1"/>
  <c r="BI121" i="1" s="1"/>
  <c r="BJ121" i="1" s="1"/>
  <c r="BK121" i="1" s="1"/>
  <c r="BL121" i="1" s="1"/>
  <c r="BM121" i="1" s="1"/>
  <c r="BN121" i="1" s="1"/>
  <c r="BO121" i="1" s="1"/>
  <c r="BP121" i="1" s="1"/>
  <c r="B122" i="1"/>
  <c r="C122" i="1" s="1"/>
  <c r="D122" i="1" s="1"/>
  <c r="E122" i="1" s="1"/>
  <c r="F122" i="1" s="1"/>
  <c r="G122" i="1" s="1"/>
  <c r="H122" i="1" s="1"/>
  <c r="I122" i="1" s="1"/>
  <c r="J122" i="1" s="1"/>
  <c r="K122" i="1" s="1"/>
  <c r="L122" i="1" s="1"/>
  <c r="M122" i="1" s="1"/>
  <c r="N122" i="1" s="1"/>
  <c r="O122" i="1" s="1"/>
  <c r="P122" i="1" s="1"/>
  <c r="Q122" i="1" s="1"/>
  <c r="R122" i="1" s="1"/>
  <c r="S122" i="1" s="1"/>
  <c r="T122" i="1" s="1"/>
  <c r="U122" i="1" s="1"/>
  <c r="V122" i="1" s="1"/>
  <c r="W122" i="1" s="1"/>
  <c r="X122" i="1" s="1"/>
  <c r="Y122" i="1" s="1"/>
  <c r="Z122" i="1" s="1"/>
  <c r="AA122" i="1" s="1"/>
  <c r="AB122" i="1" s="1"/>
  <c r="AC122" i="1" s="1"/>
  <c r="AD122" i="1" s="1"/>
  <c r="AE122" i="1" s="1"/>
  <c r="AF122" i="1" s="1"/>
  <c r="AG122" i="1" s="1"/>
  <c r="AH122" i="1" s="1"/>
  <c r="AI122" i="1" s="1"/>
  <c r="AJ122" i="1" s="1"/>
  <c r="AK122" i="1" s="1"/>
  <c r="AL122" i="1" s="1"/>
  <c r="AM122" i="1" s="1"/>
  <c r="AN122" i="1" s="1"/>
  <c r="AO122" i="1" s="1"/>
  <c r="AP122" i="1" s="1"/>
  <c r="AQ122" i="1" s="1"/>
  <c r="AR122" i="1" s="1"/>
  <c r="AS122" i="1" s="1"/>
  <c r="AT122" i="1" s="1"/>
  <c r="AU122" i="1" s="1"/>
  <c r="AV122" i="1" s="1"/>
  <c r="AW122" i="1" s="1"/>
  <c r="AX122" i="1" s="1"/>
  <c r="AY122" i="1" s="1"/>
  <c r="AZ122" i="1" s="1"/>
  <c r="BA122" i="1" s="1"/>
  <c r="BB122" i="1" s="1"/>
  <c r="BC122" i="1" s="1"/>
  <c r="BD122" i="1" s="1"/>
  <c r="BE122" i="1" s="1"/>
  <c r="BF122" i="1" s="1"/>
  <c r="BG122" i="1" s="1"/>
  <c r="BH122" i="1" s="1"/>
  <c r="BI122" i="1" s="1"/>
  <c r="BJ122" i="1" s="1"/>
  <c r="BK122" i="1" s="1"/>
  <c r="BL122" i="1" s="1"/>
  <c r="BM122" i="1" s="1"/>
  <c r="BN122" i="1" s="1"/>
  <c r="BO122" i="1" s="1"/>
  <c r="BP122" i="1" s="1"/>
  <c r="B32" i="1"/>
  <c r="C32" i="1" s="1"/>
  <c r="D32" i="1" s="1"/>
  <c r="E32" i="1" s="1"/>
  <c r="F32" i="1" s="1"/>
  <c r="G32" i="1" s="1"/>
  <c r="H32" i="1" s="1"/>
  <c r="I32" i="1" s="1"/>
  <c r="J32" i="1" s="1"/>
  <c r="K32" i="1" s="1"/>
  <c r="L32" i="1" s="1"/>
  <c r="M32" i="1" s="1"/>
  <c r="N32" i="1" s="1"/>
  <c r="O32" i="1" s="1"/>
  <c r="P32" i="1" s="1"/>
  <c r="Q32" i="1" s="1"/>
  <c r="R32" i="1" s="1"/>
  <c r="S32" i="1" s="1"/>
  <c r="T32" i="1" s="1"/>
  <c r="U32" i="1" s="1"/>
  <c r="V32" i="1" s="1"/>
  <c r="W32" i="1" s="1"/>
  <c r="X32" i="1" s="1"/>
  <c r="Y32" i="1" s="1"/>
  <c r="Z32" i="1" s="1"/>
  <c r="AA32" i="1" s="1"/>
  <c r="AB32" i="1" s="1"/>
  <c r="AC32" i="1" s="1"/>
  <c r="AD32" i="1" s="1"/>
  <c r="AE32" i="1" s="1"/>
  <c r="AF32" i="1" s="1"/>
  <c r="AG32" i="1" s="1"/>
  <c r="AH32" i="1" s="1"/>
  <c r="AI32" i="1" s="1"/>
  <c r="AJ32" i="1" s="1"/>
  <c r="AK32" i="1" s="1"/>
  <c r="AL32" i="1" s="1"/>
  <c r="AM32" i="1" s="1"/>
  <c r="AN32" i="1" s="1"/>
  <c r="AO32" i="1" s="1"/>
  <c r="AP32" i="1" s="1"/>
  <c r="AQ32" i="1" s="1"/>
  <c r="AR32" i="1" s="1"/>
  <c r="AS32" i="1" s="1"/>
  <c r="AT32" i="1" s="1"/>
  <c r="AU32" i="1" s="1"/>
  <c r="AV32" i="1" s="1"/>
  <c r="AW32" i="1" s="1"/>
  <c r="AX32" i="1" s="1"/>
  <c r="AY32" i="1" s="1"/>
  <c r="AZ32" i="1" s="1"/>
  <c r="BA32" i="1" s="1"/>
  <c r="BB32" i="1" s="1"/>
  <c r="BC32" i="1" s="1"/>
  <c r="BD32" i="1" s="1"/>
  <c r="BE32" i="1" s="1"/>
  <c r="BF32" i="1" s="1"/>
  <c r="BG32" i="1" s="1"/>
  <c r="BH32" i="1" s="1"/>
  <c r="BI32" i="1" s="1"/>
  <c r="BJ32" i="1" s="1"/>
  <c r="BK32" i="1" s="1"/>
  <c r="BL32" i="1" s="1"/>
  <c r="BM32" i="1" s="1"/>
  <c r="BN32" i="1" s="1"/>
  <c r="BO32" i="1" s="1"/>
  <c r="BP32" i="1" s="1"/>
  <c r="B26" i="1"/>
  <c r="C26" i="1" s="1"/>
  <c r="D26" i="1" s="1"/>
  <c r="E26" i="1" s="1"/>
  <c r="F26" i="1" s="1"/>
  <c r="G26" i="1" s="1"/>
  <c r="H26" i="1" s="1"/>
  <c r="I26" i="1" s="1"/>
  <c r="J26" i="1" s="1"/>
  <c r="K26" i="1" s="1"/>
  <c r="L26" i="1" s="1"/>
  <c r="M26" i="1" s="1"/>
  <c r="N26" i="1" s="1"/>
  <c r="O26" i="1" s="1"/>
  <c r="P26" i="1" s="1"/>
  <c r="Q26" i="1" s="1"/>
  <c r="R26" i="1" s="1"/>
  <c r="S26" i="1" s="1"/>
  <c r="T26" i="1" s="1"/>
  <c r="U26" i="1" s="1"/>
  <c r="V26" i="1" s="1"/>
  <c r="W26" i="1" s="1"/>
  <c r="X26" i="1" s="1"/>
  <c r="Y26" i="1" s="1"/>
  <c r="Z26" i="1" s="1"/>
  <c r="AA26" i="1" s="1"/>
  <c r="AB26" i="1" s="1"/>
  <c r="AC26" i="1" s="1"/>
  <c r="AD26" i="1" s="1"/>
  <c r="AE26" i="1" s="1"/>
  <c r="AF26" i="1" s="1"/>
  <c r="AG26" i="1" s="1"/>
  <c r="AH26" i="1" s="1"/>
  <c r="AI26" i="1" s="1"/>
  <c r="AJ26" i="1" s="1"/>
  <c r="AK26" i="1" s="1"/>
  <c r="AL26" i="1" s="1"/>
  <c r="AM26" i="1" s="1"/>
  <c r="AN26" i="1" s="1"/>
  <c r="AO26" i="1" s="1"/>
  <c r="AP26" i="1" s="1"/>
  <c r="AQ26" i="1" s="1"/>
  <c r="AR26" i="1" s="1"/>
  <c r="AS26" i="1" s="1"/>
  <c r="AT26" i="1" s="1"/>
  <c r="AU26" i="1" s="1"/>
  <c r="AV26" i="1" s="1"/>
  <c r="AW26" i="1" s="1"/>
  <c r="AX26" i="1" s="1"/>
  <c r="AY26" i="1" s="1"/>
  <c r="AZ26" i="1" s="1"/>
  <c r="BA26" i="1" s="1"/>
  <c r="BB26" i="1" s="1"/>
  <c r="BC26" i="1" s="1"/>
  <c r="BD26" i="1" s="1"/>
  <c r="BE26" i="1" s="1"/>
  <c r="BF26" i="1" s="1"/>
  <c r="BG26" i="1" s="1"/>
  <c r="BH26" i="1" s="1"/>
  <c r="BI26" i="1" s="1"/>
  <c r="BJ26" i="1" s="1"/>
  <c r="BK26" i="1" s="1"/>
  <c r="BL26" i="1" s="1"/>
  <c r="BM26" i="1" s="1"/>
  <c r="BN26" i="1" s="1"/>
  <c r="BO26" i="1" s="1"/>
  <c r="BP26" i="1" s="1"/>
  <c r="B24" i="1"/>
  <c r="C24" i="1" s="1"/>
  <c r="D24" i="1" s="1"/>
  <c r="E24" i="1" s="1"/>
  <c r="F24" i="1" s="1"/>
  <c r="G24" i="1" s="1"/>
  <c r="H24" i="1" s="1"/>
  <c r="I24" i="1" s="1"/>
  <c r="J24" i="1" s="1"/>
  <c r="K24" i="1" s="1"/>
  <c r="L24" i="1" s="1"/>
  <c r="M24" i="1" s="1"/>
  <c r="N24" i="1" s="1"/>
  <c r="O24" i="1" s="1"/>
  <c r="P24" i="1" s="1"/>
  <c r="Q24" i="1" s="1"/>
  <c r="R24" i="1" s="1"/>
  <c r="S24" i="1" s="1"/>
  <c r="T24" i="1" s="1"/>
  <c r="U24" i="1" s="1"/>
  <c r="V24" i="1" s="1"/>
  <c r="W24" i="1" s="1"/>
  <c r="X24" i="1" s="1"/>
  <c r="Y24" i="1" s="1"/>
  <c r="Z24" i="1" s="1"/>
  <c r="AA24" i="1" s="1"/>
  <c r="AB24" i="1" s="1"/>
  <c r="AC24" i="1" s="1"/>
  <c r="AD24" i="1" s="1"/>
  <c r="AE24" i="1" s="1"/>
  <c r="AF24" i="1" s="1"/>
  <c r="AG24" i="1" s="1"/>
  <c r="AH24" i="1" s="1"/>
  <c r="AI24" i="1" s="1"/>
  <c r="AJ24" i="1" s="1"/>
  <c r="AK24" i="1" s="1"/>
  <c r="AL24" i="1" s="1"/>
  <c r="AM24" i="1" s="1"/>
  <c r="AN24" i="1" s="1"/>
  <c r="AO24" i="1" s="1"/>
  <c r="AP24" i="1" s="1"/>
  <c r="AQ24" i="1" s="1"/>
  <c r="AR24" i="1" s="1"/>
  <c r="AS24" i="1" s="1"/>
  <c r="AT24" i="1" s="1"/>
  <c r="AU24" i="1" s="1"/>
  <c r="AV24" i="1" s="1"/>
  <c r="AW24" i="1" s="1"/>
  <c r="AX24" i="1" s="1"/>
  <c r="AY24" i="1" s="1"/>
  <c r="AZ24" i="1" s="1"/>
  <c r="BA24" i="1" s="1"/>
  <c r="BB24" i="1" s="1"/>
  <c r="BC24" i="1" s="1"/>
  <c r="BD24" i="1" s="1"/>
  <c r="BE24" i="1" s="1"/>
  <c r="BF24" i="1" s="1"/>
  <c r="BG24" i="1" s="1"/>
  <c r="BH24" i="1" s="1"/>
  <c r="BI24" i="1" s="1"/>
  <c r="BJ24" i="1" s="1"/>
  <c r="BK24" i="1" s="1"/>
  <c r="BL24" i="1" s="1"/>
  <c r="BM24" i="1" s="1"/>
  <c r="BN24" i="1" s="1"/>
  <c r="BO24" i="1" s="1"/>
  <c r="BP24" i="1" s="1"/>
  <c r="B123" i="1"/>
  <c r="C123" i="1" s="1"/>
  <c r="D123" i="1" s="1"/>
  <c r="E123" i="1" s="1"/>
  <c r="F123" i="1" s="1"/>
  <c r="G123" i="1" s="1"/>
  <c r="H123" i="1" s="1"/>
  <c r="I123" i="1" s="1"/>
  <c r="J123" i="1" s="1"/>
  <c r="K123" i="1" s="1"/>
  <c r="L123" i="1" s="1"/>
  <c r="M123" i="1" s="1"/>
  <c r="N123" i="1" s="1"/>
  <c r="O123" i="1" s="1"/>
  <c r="P123" i="1" s="1"/>
  <c r="Q123" i="1" s="1"/>
  <c r="R123" i="1" s="1"/>
  <c r="S123" i="1" s="1"/>
  <c r="T123" i="1" s="1"/>
  <c r="U123" i="1" s="1"/>
  <c r="V123" i="1" s="1"/>
  <c r="W123" i="1" s="1"/>
  <c r="X123" i="1" s="1"/>
  <c r="Y123" i="1" s="1"/>
  <c r="Z123" i="1" s="1"/>
  <c r="AA123" i="1" s="1"/>
  <c r="AB123" i="1" s="1"/>
  <c r="AC123" i="1" s="1"/>
  <c r="AD123" i="1" s="1"/>
  <c r="AE123" i="1" s="1"/>
  <c r="AF123" i="1" s="1"/>
  <c r="AG123" i="1" s="1"/>
  <c r="AH123" i="1" s="1"/>
  <c r="AI123" i="1" s="1"/>
  <c r="AJ123" i="1" s="1"/>
  <c r="AK123" i="1" s="1"/>
  <c r="AL123" i="1" s="1"/>
  <c r="AM123" i="1" s="1"/>
  <c r="AN123" i="1" s="1"/>
  <c r="AO123" i="1" s="1"/>
  <c r="AP123" i="1" s="1"/>
  <c r="AQ123" i="1" s="1"/>
  <c r="AR123" i="1" s="1"/>
  <c r="AS123" i="1" s="1"/>
  <c r="AT123" i="1" s="1"/>
  <c r="AU123" i="1" s="1"/>
  <c r="AV123" i="1" s="1"/>
  <c r="AW123" i="1" s="1"/>
  <c r="AX123" i="1" s="1"/>
  <c r="AY123" i="1" s="1"/>
  <c r="AZ123" i="1" s="1"/>
  <c r="BA123" i="1" s="1"/>
  <c r="BB123" i="1" s="1"/>
  <c r="BC123" i="1" s="1"/>
  <c r="BD123" i="1" s="1"/>
  <c r="BE123" i="1" s="1"/>
  <c r="BF123" i="1" s="1"/>
  <c r="BG123" i="1" s="1"/>
  <c r="BH123" i="1" s="1"/>
  <c r="BI123" i="1" s="1"/>
  <c r="BJ123" i="1" s="1"/>
  <c r="BK123" i="1" s="1"/>
  <c r="BL123" i="1" s="1"/>
  <c r="BM123" i="1" s="1"/>
  <c r="BN123" i="1" s="1"/>
  <c r="BO123" i="1" s="1"/>
  <c r="BP123" i="1" s="1"/>
  <c r="B27" i="1"/>
  <c r="C27" i="1" s="1"/>
  <c r="D27" i="1" s="1"/>
  <c r="E27" i="1" s="1"/>
  <c r="F27" i="1" s="1"/>
  <c r="G27" i="1" s="1"/>
  <c r="H27" i="1" s="1"/>
  <c r="I27" i="1" s="1"/>
  <c r="J27" i="1" s="1"/>
  <c r="K27" i="1" s="1"/>
  <c r="L27" i="1" s="1"/>
  <c r="M27" i="1" s="1"/>
  <c r="N27" i="1" s="1"/>
  <c r="O27" i="1" s="1"/>
  <c r="P27" i="1" s="1"/>
  <c r="Q27" i="1" s="1"/>
  <c r="R27" i="1" s="1"/>
  <c r="S27" i="1" s="1"/>
  <c r="T27" i="1" s="1"/>
  <c r="U27" i="1" s="1"/>
  <c r="V27" i="1" s="1"/>
  <c r="W27" i="1" s="1"/>
  <c r="X27" i="1" s="1"/>
  <c r="Y27" i="1" s="1"/>
  <c r="Z27" i="1" s="1"/>
  <c r="AA27" i="1" s="1"/>
  <c r="AB27" i="1" s="1"/>
  <c r="AC27" i="1" s="1"/>
  <c r="AD27" i="1" s="1"/>
  <c r="AE27" i="1" s="1"/>
  <c r="AF27" i="1" s="1"/>
  <c r="AG27" i="1" s="1"/>
  <c r="AH27" i="1" s="1"/>
  <c r="AI27" i="1" s="1"/>
  <c r="AJ27" i="1" s="1"/>
  <c r="AK27" i="1" s="1"/>
  <c r="AL27" i="1" s="1"/>
  <c r="AM27" i="1" s="1"/>
  <c r="AN27" i="1" s="1"/>
  <c r="AO27" i="1" s="1"/>
  <c r="AP27" i="1" s="1"/>
  <c r="AQ27" i="1" s="1"/>
  <c r="AR27" i="1" s="1"/>
  <c r="AS27" i="1" s="1"/>
  <c r="AT27" i="1" s="1"/>
  <c r="AU27" i="1" s="1"/>
  <c r="AV27" i="1" s="1"/>
  <c r="AW27" i="1" s="1"/>
  <c r="AX27" i="1" s="1"/>
  <c r="AY27" i="1" s="1"/>
  <c r="AZ27" i="1" s="1"/>
  <c r="BA27" i="1" s="1"/>
  <c r="BB27" i="1" s="1"/>
  <c r="BC27" i="1" s="1"/>
  <c r="BD27" i="1" s="1"/>
  <c r="BE27" i="1" s="1"/>
  <c r="BF27" i="1" s="1"/>
  <c r="BG27" i="1" s="1"/>
  <c r="BH27" i="1" s="1"/>
  <c r="BI27" i="1" s="1"/>
  <c r="BJ27" i="1" s="1"/>
  <c r="BK27" i="1" s="1"/>
  <c r="BL27" i="1" s="1"/>
  <c r="BM27" i="1" s="1"/>
  <c r="BN27" i="1" s="1"/>
  <c r="BO27" i="1" s="1"/>
  <c r="BP27" i="1" s="1"/>
  <c r="B124" i="1"/>
  <c r="C124" i="1" s="1"/>
  <c r="D124" i="1" s="1"/>
  <c r="E124" i="1" s="1"/>
  <c r="F124" i="1" s="1"/>
  <c r="G124" i="1" s="1"/>
  <c r="H124" i="1" s="1"/>
  <c r="I124" i="1" s="1"/>
  <c r="J124" i="1" s="1"/>
  <c r="K124" i="1" s="1"/>
  <c r="L124" i="1" s="1"/>
  <c r="M124" i="1" s="1"/>
  <c r="N124" i="1" s="1"/>
  <c r="O124" i="1" s="1"/>
  <c r="P124" i="1" s="1"/>
  <c r="Q124" i="1" s="1"/>
  <c r="R124" i="1" s="1"/>
  <c r="S124" i="1" s="1"/>
  <c r="T124" i="1" s="1"/>
  <c r="U124" i="1" s="1"/>
  <c r="V124" i="1" s="1"/>
  <c r="W124" i="1" s="1"/>
  <c r="X124" i="1" s="1"/>
  <c r="Y124" i="1" s="1"/>
  <c r="Z124" i="1" s="1"/>
  <c r="AA124" i="1" s="1"/>
  <c r="AB124" i="1" s="1"/>
  <c r="AC124" i="1" s="1"/>
  <c r="AD124" i="1" s="1"/>
  <c r="AE124" i="1" s="1"/>
  <c r="AF124" i="1" s="1"/>
  <c r="AG124" i="1" s="1"/>
  <c r="AH124" i="1" s="1"/>
  <c r="AI124" i="1" s="1"/>
  <c r="AJ124" i="1" s="1"/>
  <c r="AK124" i="1" s="1"/>
  <c r="AL124" i="1" s="1"/>
  <c r="AM124" i="1" s="1"/>
  <c r="AN124" i="1" s="1"/>
  <c r="AO124" i="1" s="1"/>
  <c r="AP124" i="1" s="1"/>
  <c r="AQ124" i="1" s="1"/>
  <c r="AR124" i="1" s="1"/>
  <c r="AS124" i="1" s="1"/>
  <c r="AT124" i="1" s="1"/>
  <c r="AU124" i="1" s="1"/>
  <c r="AV124" i="1" s="1"/>
  <c r="AW124" i="1" s="1"/>
  <c r="AX124" i="1" s="1"/>
  <c r="AY124" i="1" s="1"/>
  <c r="AZ124" i="1" s="1"/>
  <c r="BA124" i="1" s="1"/>
  <c r="BB124" i="1" s="1"/>
  <c r="BC124" i="1" s="1"/>
  <c r="BD124" i="1" s="1"/>
  <c r="BE124" i="1" s="1"/>
  <c r="BF124" i="1" s="1"/>
  <c r="BG124" i="1" s="1"/>
  <c r="BH124" i="1" s="1"/>
  <c r="BI124" i="1" s="1"/>
  <c r="BJ124" i="1" s="1"/>
  <c r="BK124" i="1" s="1"/>
  <c r="BL124" i="1" s="1"/>
  <c r="BM124" i="1" s="1"/>
  <c r="BN124" i="1" s="1"/>
  <c r="BO124" i="1" s="1"/>
  <c r="BP124" i="1" s="1"/>
  <c r="B125" i="1"/>
  <c r="C125" i="1" s="1"/>
  <c r="D125" i="1" s="1"/>
  <c r="E125" i="1" s="1"/>
  <c r="F125" i="1" s="1"/>
  <c r="G125" i="1" s="1"/>
  <c r="H125" i="1" s="1"/>
  <c r="I125" i="1" s="1"/>
  <c r="J125" i="1" s="1"/>
  <c r="K125" i="1" s="1"/>
  <c r="L125" i="1" s="1"/>
  <c r="M125" i="1" s="1"/>
  <c r="N125" i="1" s="1"/>
  <c r="O125" i="1" s="1"/>
  <c r="P125" i="1" s="1"/>
  <c r="Q125" i="1" s="1"/>
  <c r="R125" i="1" s="1"/>
  <c r="S125" i="1" s="1"/>
  <c r="T125" i="1" s="1"/>
  <c r="U125" i="1" s="1"/>
  <c r="V125" i="1" s="1"/>
  <c r="W125" i="1" s="1"/>
  <c r="X125" i="1" s="1"/>
  <c r="Y125" i="1" s="1"/>
  <c r="Z125" i="1" s="1"/>
  <c r="AA125" i="1" s="1"/>
  <c r="AB125" i="1" s="1"/>
  <c r="AC125" i="1" s="1"/>
  <c r="AD125" i="1" s="1"/>
  <c r="AE125" i="1" s="1"/>
  <c r="AF125" i="1" s="1"/>
  <c r="AG125" i="1" s="1"/>
  <c r="AH125" i="1" s="1"/>
  <c r="AI125" i="1" s="1"/>
  <c r="AJ125" i="1" s="1"/>
  <c r="AK125" i="1" s="1"/>
  <c r="AL125" i="1" s="1"/>
  <c r="AM125" i="1" s="1"/>
  <c r="AN125" i="1" s="1"/>
  <c r="AO125" i="1" s="1"/>
  <c r="AP125" i="1" s="1"/>
  <c r="AQ125" i="1" s="1"/>
  <c r="AR125" i="1" s="1"/>
  <c r="AS125" i="1" s="1"/>
  <c r="AT125" i="1" s="1"/>
  <c r="AU125" i="1" s="1"/>
  <c r="AV125" i="1" s="1"/>
  <c r="AW125" i="1" s="1"/>
  <c r="AX125" i="1" s="1"/>
  <c r="AY125" i="1" s="1"/>
  <c r="AZ125" i="1" s="1"/>
  <c r="BA125" i="1" s="1"/>
  <c r="BB125" i="1" s="1"/>
  <c r="BC125" i="1" s="1"/>
  <c r="BD125" i="1" s="1"/>
  <c r="BE125" i="1" s="1"/>
  <c r="BF125" i="1" s="1"/>
  <c r="BG125" i="1" s="1"/>
  <c r="BH125" i="1" s="1"/>
  <c r="BI125" i="1" s="1"/>
  <c r="BJ125" i="1" s="1"/>
  <c r="BK125" i="1" s="1"/>
  <c r="BL125" i="1" s="1"/>
  <c r="BM125" i="1" s="1"/>
  <c r="BN125" i="1" s="1"/>
  <c r="BO125" i="1" s="1"/>
  <c r="BP125" i="1" s="1"/>
  <c r="B126" i="1"/>
  <c r="C126" i="1" s="1"/>
  <c r="D126" i="1" s="1"/>
  <c r="E126" i="1" s="1"/>
  <c r="F126" i="1" s="1"/>
  <c r="G126" i="1" s="1"/>
  <c r="H126" i="1" s="1"/>
  <c r="I126" i="1" s="1"/>
  <c r="J126" i="1" s="1"/>
  <c r="K126" i="1" s="1"/>
  <c r="L126" i="1" s="1"/>
  <c r="M126" i="1" s="1"/>
  <c r="N126" i="1" s="1"/>
  <c r="O126" i="1" s="1"/>
  <c r="P126" i="1" s="1"/>
  <c r="Q126" i="1" s="1"/>
  <c r="R126" i="1" s="1"/>
  <c r="S126" i="1" s="1"/>
  <c r="T126" i="1" s="1"/>
  <c r="U126" i="1" s="1"/>
  <c r="V126" i="1" s="1"/>
  <c r="W126" i="1" s="1"/>
  <c r="X126" i="1" s="1"/>
  <c r="Y126" i="1" s="1"/>
  <c r="Z126" i="1" s="1"/>
  <c r="AA126" i="1" s="1"/>
  <c r="AB126" i="1" s="1"/>
  <c r="AC126" i="1" s="1"/>
  <c r="AD126" i="1" s="1"/>
  <c r="AE126" i="1" s="1"/>
  <c r="AF126" i="1" s="1"/>
  <c r="AG126" i="1" s="1"/>
  <c r="AH126" i="1" s="1"/>
  <c r="AI126" i="1" s="1"/>
  <c r="AJ126" i="1" s="1"/>
  <c r="AK126" i="1" s="1"/>
  <c r="AL126" i="1" s="1"/>
  <c r="AM126" i="1" s="1"/>
  <c r="AN126" i="1" s="1"/>
  <c r="AO126" i="1" s="1"/>
  <c r="AP126" i="1" s="1"/>
  <c r="AQ126" i="1" s="1"/>
  <c r="AR126" i="1" s="1"/>
  <c r="AS126" i="1" s="1"/>
  <c r="AT126" i="1" s="1"/>
  <c r="AU126" i="1" s="1"/>
  <c r="AV126" i="1" s="1"/>
  <c r="AW126" i="1" s="1"/>
  <c r="AX126" i="1" s="1"/>
  <c r="AY126" i="1" s="1"/>
  <c r="AZ126" i="1" s="1"/>
  <c r="BA126" i="1" s="1"/>
  <c r="BB126" i="1" s="1"/>
  <c r="BC126" i="1" s="1"/>
  <c r="BD126" i="1" s="1"/>
  <c r="BE126" i="1" s="1"/>
  <c r="BF126" i="1" s="1"/>
  <c r="BG126" i="1" s="1"/>
  <c r="BH126" i="1" s="1"/>
  <c r="BI126" i="1" s="1"/>
  <c r="BJ126" i="1" s="1"/>
  <c r="BK126" i="1" s="1"/>
  <c r="BL126" i="1" s="1"/>
  <c r="BM126" i="1" s="1"/>
  <c r="BN126" i="1" s="1"/>
  <c r="BO126" i="1" s="1"/>
  <c r="BP126" i="1" s="1"/>
  <c r="B29" i="1"/>
  <c r="C29" i="1" s="1"/>
  <c r="D29" i="1" s="1"/>
  <c r="E29" i="1" s="1"/>
  <c r="F29" i="1" s="1"/>
  <c r="G29" i="1" s="1"/>
  <c r="H29" i="1" s="1"/>
  <c r="I29" i="1" s="1"/>
  <c r="J29" i="1" s="1"/>
  <c r="K29" i="1" s="1"/>
  <c r="L29" i="1" s="1"/>
  <c r="M29" i="1" s="1"/>
  <c r="N29" i="1" s="1"/>
  <c r="O29" i="1" s="1"/>
  <c r="P29" i="1" s="1"/>
  <c r="Q29" i="1" s="1"/>
  <c r="R29" i="1" s="1"/>
  <c r="S29" i="1" s="1"/>
  <c r="T29" i="1" s="1"/>
  <c r="U29" i="1" s="1"/>
  <c r="V29" i="1" s="1"/>
  <c r="W29" i="1" s="1"/>
  <c r="X29" i="1" s="1"/>
  <c r="Y29" i="1" s="1"/>
  <c r="Z29" i="1" s="1"/>
  <c r="AA29" i="1" s="1"/>
  <c r="AB29" i="1" s="1"/>
  <c r="AC29" i="1" s="1"/>
  <c r="AD29" i="1" s="1"/>
  <c r="AE29" i="1" s="1"/>
  <c r="AF29" i="1" s="1"/>
  <c r="AG29" i="1" s="1"/>
  <c r="AH29" i="1" s="1"/>
  <c r="AI29" i="1" s="1"/>
  <c r="AJ29" i="1" s="1"/>
  <c r="AK29" i="1" s="1"/>
  <c r="AL29" i="1" s="1"/>
  <c r="AM29" i="1" s="1"/>
  <c r="AN29" i="1" s="1"/>
  <c r="AO29" i="1" s="1"/>
  <c r="AP29" i="1" s="1"/>
  <c r="AQ29" i="1" s="1"/>
  <c r="AR29" i="1" s="1"/>
  <c r="AS29" i="1" s="1"/>
  <c r="AT29" i="1" s="1"/>
  <c r="AU29" i="1" s="1"/>
  <c r="AV29" i="1" s="1"/>
  <c r="AW29" i="1" s="1"/>
  <c r="AX29" i="1" s="1"/>
  <c r="AY29" i="1" s="1"/>
  <c r="AZ29" i="1" s="1"/>
  <c r="BA29" i="1" s="1"/>
  <c r="BB29" i="1" s="1"/>
  <c r="BC29" i="1" s="1"/>
  <c r="BD29" i="1" s="1"/>
  <c r="BE29" i="1" s="1"/>
  <c r="BF29" i="1" s="1"/>
  <c r="BG29" i="1" s="1"/>
  <c r="BH29" i="1" s="1"/>
  <c r="BI29" i="1" s="1"/>
  <c r="BJ29" i="1" s="1"/>
  <c r="BK29" i="1" s="1"/>
  <c r="BL29" i="1" s="1"/>
  <c r="BM29" i="1" s="1"/>
  <c r="BN29" i="1" s="1"/>
  <c r="BO29" i="1" s="1"/>
  <c r="BP29" i="1" s="1"/>
  <c r="B127" i="1"/>
  <c r="C127" i="1" s="1"/>
  <c r="D127" i="1" s="1"/>
  <c r="E127" i="1" s="1"/>
  <c r="F127" i="1" s="1"/>
  <c r="G127" i="1" s="1"/>
  <c r="H127" i="1" s="1"/>
  <c r="I127" i="1" s="1"/>
  <c r="J127" i="1" s="1"/>
  <c r="K127" i="1" s="1"/>
  <c r="L127" i="1" s="1"/>
  <c r="M127" i="1" s="1"/>
  <c r="N127" i="1" s="1"/>
  <c r="O127" i="1" s="1"/>
  <c r="P127" i="1" s="1"/>
  <c r="Q127" i="1" s="1"/>
  <c r="R127" i="1" s="1"/>
  <c r="S127" i="1" s="1"/>
  <c r="T127" i="1" s="1"/>
  <c r="U127" i="1" s="1"/>
  <c r="V127" i="1" s="1"/>
  <c r="W127" i="1" s="1"/>
  <c r="X127" i="1" s="1"/>
  <c r="Y127" i="1" s="1"/>
  <c r="Z127" i="1" s="1"/>
  <c r="AA127" i="1" s="1"/>
  <c r="AB127" i="1" s="1"/>
  <c r="AC127" i="1" s="1"/>
  <c r="AD127" i="1" s="1"/>
  <c r="AE127" i="1" s="1"/>
  <c r="AF127" i="1" s="1"/>
  <c r="AG127" i="1" s="1"/>
  <c r="AH127" i="1" s="1"/>
  <c r="AI127" i="1" s="1"/>
  <c r="AJ127" i="1" s="1"/>
  <c r="AK127" i="1" s="1"/>
  <c r="AL127" i="1" s="1"/>
  <c r="AM127" i="1" s="1"/>
  <c r="AN127" i="1" s="1"/>
  <c r="AO127" i="1" s="1"/>
  <c r="AP127" i="1" s="1"/>
  <c r="AQ127" i="1" s="1"/>
  <c r="AR127" i="1" s="1"/>
  <c r="AS127" i="1" s="1"/>
  <c r="AT127" i="1" s="1"/>
  <c r="AU127" i="1" s="1"/>
  <c r="AV127" i="1" s="1"/>
  <c r="AW127" i="1" s="1"/>
  <c r="AX127" i="1" s="1"/>
  <c r="AY127" i="1" s="1"/>
  <c r="AZ127" i="1" s="1"/>
  <c r="BA127" i="1" s="1"/>
  <c r="BB127" i="1" s="1"/>
  <c r="BC127" i="1" s="1"/>
  <c r="BD127" i="1" s="1"/>
  <c r="BE127" i="1" s="1"/>
  <c r="BF127" i="1" s="1"/>
  <c r="BG127" i="1" s="1"/>
  <c r="BH127" i="1" s="1"/>
  <c r="BI127" i="1" s="1"/>
  <c r="BJ127" i="1" s="1"/>
  <c r="BK127" i="1" s="1"/>
  <c r="BL127" i="1" s="1"/>
  <c r="BM127" i="1" s="1"/>
  <c r="BN127" i="1" s="1"/>
  <c r="BO127" i="1" s="1"/>
  <c r="BP127" i="1" s="1"/>
  <c r="B128" i="1"/>
  <c r="C128" i="1" s="1"/>
  <c r="D128" i="1" s="1"/>
  <c r="E128" i="1" s="1"/>
  <c r="F128" i="1" s="1"/>
  <c r="G128" i="1" s="1"/>
  <c r="H128" i="1" s="1"/>
  <c r="I128" i="1" s="1"/>
  <c r="J128" i="1" s="1"/>
  <c r="K128" i="1" s="1"/>
  <c r="L128" i="1" s="1"/>
  <c r="M128" i="1" s="1"/>
  <c r="N128" i="1" s="1"/>
  <c r="O128" i="1" s="1"/>
  <c r="P128" i="1" s="1"/>
  <c r="Q128" i="1" s="1"/>
  <c r="R128" i="1" s="1"/>
  <c r="S128" i="1" s="1"/>
  <c r="T128" i="1" s="1"/>
  <c r="U128" i="1" s="1"/>
  <c r="V128" i="1" s="1"/>
  <c r="W128" i="1" s="1"/>
  <c r="X128" i="1" s="1"/>
  <c r="Y128" i="1" s="1"/>
  <c r="Z128" i="1" s="1"/>
  <c r="AA128" i="1" s="1"/>
  <c r="AB128" i="1" s="1"/>
  <c r="AC128" i="1" s="1"/>
  <c r="AD128" i="1" s="1"/>
  <c r="AE128" i="1" s="1"/>
  <c r="AF128" i="1" s="1"/>
  <c r="AG128" i="1" s="1"/>
  <c r="AH128" i="1" s="1"/>
  <c r="AI128" i="1" s="1"/>
  <c r="AJ128" i="1" s="1"/>
  <c r="AK128" i="1" s="1"/>
  <c r="AL128" i="1" s="1"/>
  <c r="AM128" i="1" s="1"/>
  <c r="AN128" i="1" s="1"/>
  <c r="AO128" i="1" s="1"/>
  <c r="AP128" i="1" s="1"/>
  <c r="AQ128" i="1" s="1"/>
  <c r="AR128" i="1" s="1"/>
  <c r="AS128" i="1" s="1"/>
  <c r="AT128" i="1" s="1"/>
  <c r="AU128" i="1" s="1"/>
  <c r="AV128" i="1" s="1"/>
  <c r="AW128" i="1" s="1"/>
  <c r="AX128" i="1" s="1"/>
  <c r="AY128" i="1" s="1"/>
  <c r="AZ128" i="1" s="1"/>
  <c r="BA128" i="1" s="1"/>
  <c r="BB128" i="1" s="1"/>
  <c r="BC128" i="1" s="1"/>
  <c r="BD128" i="1" s="1"/>
  <c r="BE128" i="1" s="1"/>
  <c r="BF128" i="1" s="1"/>
  <c r="BG128" i="1" s="1"/>
  <c r="BH128" i="1" s="1"/>
  <c r="BI128" i="1" s="1"/>
  <c r="BJ128" i="1" s="1"/>
  <c r="BK128" i="1" s="1"/>
  <c r="BL128" i="1" s="1"/>
  <c r="BM128" i="1" s="1"/>
  <c r="BN128" i="1" s="1"/>
  <c r="BO128" i="1" s="1"/>
  <c r="BP128" i="1" s="1"/>
  <c r="B129" i="1"/>
  <c r="C129" i="1" s="1"/>
  <c r="D129" i="1" s="1"/>
  <c r="E129" i="1" s="1"/>
  <c r="F129" i="1" s="1"/>
  <c r="G129" i="1" s="1"/>
  <c r="H129" i="1" s="1"/>
  <c r="I129" i="1" s="1"/>
  <c r="J129" i="1" s="1"/>
  <c r="K129" i="1" s="1"/>
  <c r="L129" i="1" s="1"/>
  <c r="M129" i="1" s="1"/>
  <c r="N129" i="1" s="1"/>
  <c r="O129" i="1" s="1"/>
  <c r="P129" i="1" s="1"/>
  <c r="Q129" i="1" s="1"/>
  <c r="R129" i="1" s="1"/>
  <c r="S129" i="1" s="1"/>
  <c r="T129" i="1" s="1"/>
  <c r="U129" i="1" s="1"/>
  <c r="V129" i="1" s="1"/>
  <c r="W129" i="1" s="1"/>
  <c r="X129" i="1" s="1"/>
  <c r="Y129" i="1" s="1"/>
  <c r="Z129" i="1" s="1"/>
  <c r="AA129" i="1" s="1"/>
  <c r="AB129" i="1" s="1"/>
  <c r="AC129" i="1" s="1"/>
  <c r="AD129" i="1" s="1"/>
  <c r="AE129" i="1" s="1"/>
  <c r="AF129" i="1" s="1"/>
  <c r="AG129" i="1" s="1"/>
  <c r="AH129" i="1" s="1"/>
  <c r="AI129" i="1" s="1"/>
  <c r="AJ129" i="1" s="1"/>
  <c r="AK129" i="1" s="1"/>
  <c r="AL129" i="1" s="1"/>
  <c r="AM129" i="1" s="1"/>
  <c r="AN129" i="1" s="1"/>
  <c r="AO129" i="1" s="1"/>
  <c r="AP129" i="1" s="1"/>
  <c r="AQ129" i="1" s="1"/>
  <c r="AR129" i="1" s="1"/>
  <c r="AS129" i="1" s="1"/>
  <c r="AT129" i="1" s="1"/>
  <c r="AU129" i="1" s="1"/>
  <c r="AV129" i="1" s="1"/>
  <c r="AW129" i="1" s="1"/>
  <c r="AX129" i="1" s="1"/>
  <c r="AY129" i="1" s="1"/>
  <c r="AZ129" i="1" s="1"/>
  <c r="BA129" i="1" s="1"/>
  <c r="BB129" i="1" s="1"/>
  <c r="BC129" i="1" s="1"/>
  <c r="BD129" i="1" s="1"/>
  <c r="BE129" i="1" s="1"/>
  <c r="BF129" i="1" s="1"/>
  <c r="BG129" i="1" s="1"/>
  <c r="BH129" i="1" s="1"/>
  <c r="BI129" i="1" s="1"/>
  <c r="BJ129" i="1" s="1"/>
  <c r="BK129" i="1" s="1"/>
  <c r="BL129" i="1" s="1"/>
  <c r="BM129" i="1" s="1"/>
  <c r="BN129" i="1" s="1"/>
  <c r="BO129" i="1" s="1"/>
  <c r="BP129" i="1" s="1"/>
  <c r="B130" i="1"/>
  <c r="C130" i="1" s="1"/>
  <c r="D130" i="1" s="1"/>
  <c r="E130" i="1" s="1"/>
  <c r="F130" i="1" s="1"/>
  <c r="G130" i="1" s="1"/>
  <c r="H130" i="1" s="1"/>
  <c r="I130" i="1" s="1"/>
  <c r="J130" i="1" s="1"/>
  <c r="K130" i="1" s="1"/>
  <c r="L130" i="1" s="1"/>
  <c r="M130" i="1" s="1"/>
  <c r="N130" i="1" s="1"/>
  <c r="O130" i="1" s="1"/>
  <c r="P130" i="1" s="1"/>
  <c r="Q130" i="1" s="1"/>
  <c r="R130" i="1" s="1"/>
  <c r="S130" i="1" s="1"/>
  <c r="T130" i="1" s="1"/>
  <c r="U130" i="1" s="1"/>
  <c r="V130" i="1" s="1"/>
  <c r="W130" i="1" s="1"/>
  <c r="X130" i="1" s="1"/>
  <c r="Y130" i="1" s="1"/>
  <c r="Z130" i="1" s="1"/>
  <c r="AA130" i="1" s="1"/>
  <c r="AB130" i="1" s="1"/>
  <c r="AC130" i="1" s="1"/>
  <c r="AD130" i="1" s="1"/>
  <c r="AE130" i="1" s="1"/>
  <c r="AF130" i="1" s="1"/>
  <c r="AG130" i="1" s="1"/>
  <c r="AH130" i="1" s="1"/>
  <c r="AI130" i="1" s="1"/>
  <c r="AJ130" i="1" s="1"/>
  <c r="AK130" i="1" s="1"/>
  <c r="AL130" i="1" s="1"/>
  <c r="AM130" i="1" s="1"/>
  <c r="AN130" i="1" s="1"/>
  <c r="AO130" i="1" s="1"/>
  <c r="AP130" i="1" s="1"/>
  <c r="AQ130" i="1" s="1"/>
  <c r="AR130" i="1" s="1"/>
  <c r="AS130" i="1" s="1"/>
  <c r="AT130" i="1" s="1"/>
  <c r="AU130" i="1" s="1"/>
  <c r="AV130" i="1" s="1"/>
  <c r="AW130" i="1" s="1"/>
  <c r="AX130" i="1" s="1"/>
  <c r="AY130" i="1" s="1"/>
  <c r="AZ130" i="1" s="1"/>
  <c r="BA130" i="1" s="1"/>
  <c r="BB130" i="1" s="1"/>
  <c r="BC130" i="1" s="1"/>
  <c r="BD130" i="1" s="1"/>
  <c r="BE130" i="1" s="1"/>
  <c r="BF130" i="1" s="1"/>
  <c r="BG130" i="1" s="1"/>
  <c r="BH130" i="1" s="1"/>
  <c r="BI130" i="1" s="1"/>
  <c r="BJ130" i="1" s="1"/>
  <c r="BK130" i="1" s="1"/>
  <c r="BL130" i="1" s="1"/>
  <c r="BM130" i="1" s="1"/>
  <c r="BN130" i="1" s="1"/>
  <c r="BO130" i="1" s="1"/>
  <c r="BP130" i="1" s="1"/>
  <c r="B131" i="1"/>
  <c r="C131" i="1" s="1"/>
  <c r="D131" i="1" s="1"/>
  <c r="E131" i="1" s="1"/>
  <c r="F131" i="1" s="1"/>
  <c r="G131" i="1" s="1"/>
  <c r="H131" i="1" s="1"/>
  <c r="I131" i="1" s="1"/>
  <c r="J131" i="1" s="1"/>
  <c r="K131" i="1" s="1"/>
  <c r="L131" i="1" s="1"/>
  <c r="M131" i="1" s="1"/>
  <c r="N131" i="1" s="1"/>
  <c r="O131" i="1" s="1"/>
  <c r="P131" i="1" s="1"/>
  <c r="Q131" i="1" s="1"/>
  <c r="R131" i="1" s="1"/>
  <c r="S131" i="1" s="1"/>
  <c r="T131" i="1" s="1"/>
  <c r="U131" i="1" s="1"/>
  <c r="V131" i="1" s="1"/>
  <c r="W131" i="1" s="1"/>
  <c r="X131" i="1" s="1"/>
  <c r="Y131" i="1" s="1"/>
  <c r="Z131" i="1" s="1"/>
  <c r="AA131" i="1" s="1"/>
  <c r="AB131" i="1" s="1"/>
  <c r="AC131" i="1" s="1"/>
  <c r="AD131" i="1" s="1"/>
  <c r="AE131" i="1" s="1"/>
  <c r="AF131" i="1" s="1"/>
  <c r="AG131" i="1" s="1"/>
  <c r="AH131" i="1" s="1"/>
  <c r="AI131" i="1" s="1"/>
  <c r="AJ131" i="1" s="1"/>
  <c r="AK131" i="1" s="1"/>
  <c r="AL131" i="1" s="1"/>
  <c r="AM131" i="1" s="1"/>
  <c r="AN131" i="1" s="1"/>
  <c r="AO131" i="1" s="1"/>
  <c r="AP131" i="1" s="1"/>
  <c r="AQ131" i="1" s="1"/>
  <c r="AR131" i="1" s="1"/>
  <c r="AS131" i="1" s="1"/>
  <c r="AT131" i="1" s="1"/>
  <c r="AU131" i="1" s="1"/>
  <c r="AV131" i="1" s="1"/>
  <c r="AW131" i="1" s="1"/>
  <c r="AX131" i="1" s="1"/>
  <c r="AY131" i="1" s="1"/>
  <c r="AZ131" i="1" s="1"/>
  <c r="BA131" i="1" s="1"/>
  <c r="BB131" i="1" s="1"/>
  <c r="BC131" i="1" s="1"/>
  <c r="BD131" i="1" s="1"/>
  <c r="BE131" i="1" s="1"/>
  <c r="BF131" i="1" s="1"/>
  <c r="BG131" i="1" s="1"/>
  <c r="BH131" i="1" s="1"/>
  <c r="BI131" i="1" s="1"/>
  <c r="BJ131" i="1" s="1"/>
  <c r="BK131" i="1" s="1"/>
  <c r="BL131" i="1" s="1"/>
  <c r="BM131" i="1" s="1"/>
  <c r="BN131" i="1" s="1"/>
  <c r="BO131" i="1" s="1"/>
  <c r="BP131" i="1" s="1"/>
  <c r="B132" i="1"/>
  <c r="C132" i="1" s="1"/>
  <c r="D132" i="1" s="1"/>
  <c r="E132" i="1" s="1"/>
  <c r="F132" i="1" s="1"/>
  <c r="G132" i="1" s="1"/>
  <c r="H132" i="1" s="1"/>
  <c r="I132" i="1" s="1"/>
  <c r="J132" i="1" s="1"/>
  <c r="K132" i="1" s="1"/>
  <c r="L132" i="1" s="1"/>
  <c r="M132" i="1" s="1"/>
  <c r="N132" i="1" s="1"/>
  <c r="O132" i="1" s="1"/>
  <c r="P132" i="1" s="1"/>
  <c r="Q132" i="1" s="1"/>
  <c r="R132" i="1" s="1"/>
  <c r="S132" i="1" s="1"/>
  <c r="T132" i="1" s="1"/>
  <c r="U132" i="1" s="1"/>
  <c r="V132" i="1" s="1"/>
  <c r="W132" i="1" s="1"/>
  <c r="X132" i="1" s="1"/>
  <c r="Y132" i="1" s="1"/>
  <c r="Z132" i="1" s="1"/>
  <c r="AA132" i="1" s="1"/>
  <c r="AB132" i="1" s="1"/>
  <c r="AC132" i="1" s="1"/>
  <c r="AD132" i="1" s="1"/>
  <c r="AE132" i="1" s="1"/>
  <c r="AF132" i="1" s="1"/>
  <c r="AG132" i="1" s="1"/>
  <c r="AH132" i="1" s="1"/>
  <c r="AI132" i="1" s="1"/>
  <c r="AJ132" i="1" s="1"/>
  <c r="AK132" i="1" s="1"/>
  <c r="AL132" i="1" s="1"/>
  <c r="AM132" i="1" s="1"/>
  <c r="AN132" i="1" s="1"/>
  <c r="AO132" i="1" s="1"/>
  <c r="AP132" i="1" s="1"/>
  <c r="AQ132" i="1" s="1"/>
  <c r="AR132" i="1" s="1"/>
  <c r="AS132" i="1" s="1"/>
  <c r="AT132" i="1" s="1"/>
  <c r="AU132" i="1" s="1"/>
  <c r="AV132" i="1" s="1"/>
  <c r="AW132" i="1" s="1"/>
  <c r="AX132" i="1" s="1"/>
  <c r="AY132" i="1" s="1"/>
  <c r="AZ132" i="1" s="1"/>
  <c r="BA132" i="1" s="1"/>
  <c r="BB132" i="1" s="1"/>
  <c r="BC132" i="1" s="1"/>
  <c r="BD132" i="1" s="1"/>
  <c r="BE132" i="1" s="1"/>
  <c r="BF132" i="1" s="1"/>
  <c r="BG132" i="1" s="1"/>
  <c r="BH132" i="1" s="1"/>
  <c r="BI132" i="1" s="1"/>
  <c r="BJ132" i="1" s="1"/>
  <c r="BK132" i="1" s="1"/>
  <c r="BL132" i="1" s="1"/>
  <c r="BM132" i="1" s="1"/>
  <c r="BN132" i="1" s="1"/>
  <c r="BO132" i="1" s="1"/>
  <c r="BP132" i="1" s="1"/>
  <c r="B133" i="1"/>
  <c r="C133" i="1" s="1"/>
  <c r="D133" i="1" s="1"/>
  <c r="E133" i="1" s="1"/>
  <c r="F133" i="1" s="1"/>
  <c r="G133" i="1" s="1"/>
  <c r="H133" i="1" s="1"/>
  <c r="I133" i="1" s="1"/>
  <c r="J133" i="1" s="1"/>
  <c r="K133" i="1" s="1"/>
  <c r="L133" i="1" s="1"/>
  <c r="M133" i="1" s="1"/>
  <c r="N133" i="1" s="1"/>
  <c r="O133" i="1" s="1"/>
  <c r="P133" i="1" s="1"/>
  <c r="Q133" i="1" s="1"/>
  <c r="R133" i="1" s="1"/>
  <c r="S133" i="1" s="1"/>
  <c r="T133" i="1" s="1"/>
  <c r="U133" i="1" s="1"/>
  <c r="V133" i="1" s="1"/>
  <c r="W133" i="1" s="1"/>
  <c r="X133" i="1" s="1"/>
  <c r="Y133" i="1" s="1"/>
  <c r="Z133" i="1" s="1"/>
  <c r="AA133" i="1" s="1"/>
  <c r="AB133" i="1" s="1"/>
  <c r="AC133" i="1" s="1"/>
  <c r="AD133" i="1" s="1"/>
  <c r="AE133" i="1" s="1"/>
  <c r="AF133" i="1" s="1"/>
  <c r="AG133" i="1" s="1"/>
  <c r="AH133" i="1" s="1"/>
  <c r="AI133" i="1" s="1"/>
  <c r="AJ133" i="1" s="1"/>
  <c r="AK133" i="1" s="1"/>
  <c r="AL133" i="1" s="1"/>
  <c r="AM133" i="1" s="1"/>
  <c r="AN133" i="1" s="1"/>
  <c r="AO133" i="1" s="1"/>
  <c r="AP133" i="1" s="1"/>
  <c r="AQ133" i="1" s="1"/>
  <c r="AR133" i="1" s="1"/>
  <c r="AS133" i="1" s="1"/>
  <c r="AT133" i="1" s="1"/>
  <c r="AU133" i="1" s="1"/>
  <c r="AV133" i="1" s="1"/>
  <c r="AW133" i="1" s="1"/>
  <c r="AX133" i="1" s="1"/>
  <c r="AY133" i="1" s="1"/>
  <c r="AZ133" i="1" s="1"/>
  <c r="BA133" i="1" s="1"/>
  <c r="BB133" i="1" s="1"/>
  <c r="BC133" i="1" s="1"/>
  <c r="BD133" i="1" s="1"/>
  <c r="BE133" i="1" s="1"/>
  <c r="BF133" i="1" s="1"/>
  <c r="BG133" i="1" s="1"/>
  <c r="BH133" i="1" s="1"/>
  <c r="BI133" i="1" s="1"/>
  <c r="BJ133" i="1" s="1"/>
  <c r="BK133" i="1" s="1"/>
  <c r="BL133" i="1" s="1"/>
  <c r="BM133" i="1" s="1"/>
  <c r="BN133" i="1" s="1"/>
  <c r="BO133" i="1" s="1"/>
  <c r="BP133" i="1" s="1"/>
  <c r="B33" i="1"/>
  <c r="C33" i="1" s="1"/>
  <c r="D33" i="1" s="1"/>
  <c r="E33" i="1" s="1"/>
  <c r="F33" i="1" s="1"/>
  <c r="G33" i="1" s="1"/>
  <c r="H33" i="1" s="1"/>
  <c r="I33" i="1" s="1"/>
  <c r="J33" i="1" s="1"/>
  <c r="K33" i="1" s="1"/>
  <c r="L33" i="1" s="1"/>
  <c r="M33" i="1" s="1"/>
  <c r="N33" i="1" s="1"/>
  <c r="O33" i="1" s="1"/>
  <c r="P33" i="1" s="1"/>
  <c r="Q33" i="1" s="1"/>
  <c r="R33" i="1" s="1"/>
  <c r="S33" i="1" s="1"/>
  <c r="T33" i="1" s="1"/>
  <c r="U33" i="1" s="1"/>
  <c r="V33" i="1" s="1"/>
  <c r="W33" i="1" s="1"/>
  <c r="X33" i="1" s="1"/>
  <c r="Y33" i="1" s="1"/>
  <c r="Z33" i="1" s="1"/>
  <c r="AA33" i="1" s="1"/>
  <c r="AB33" i="1" s="1"/>
  <c r="AC33" i="1" s="1"/>
  <c r="AD33" i="1" s="1"/>
  <c r="AE33" i="1" s="1"/>
  <c r="AF33" i="1" s="1"/>
  <c r="AG33" i="1" s="1"/>
  <c r="AH33" i="1" s="1"/>
  <c r="AI33" i="1" s="1"/>
  <c r="AJ33" i="1" s="1"/>
  <c r="AK33" i="1" s="1"/>
  <c r="AL33" i="1" s="1"/>
  <c r="AM33" i="1" s="1"/>
  <c r="AN33" i="1" s="1"/>
  <c r="AO33" i="1" s="1"/>
  <c r="AP33" i="1" s="1"/>
  <c r="AQ33" i="1" s="1"/>
  <c r="AR33" i="1" s="1"/>
  <c r="AS33" i="1" s="1"/>
  <c r="AT33" i="1" s="1"/>
  <c r="AU33" i="1" s="1"/>
  <c r="AV33" i="1" s="1"/>
  <c r="AW33" i="1" s="1"/>
  <c r="AX33" i="1" s="1"/>
  <c r="AY33" i="1" s="1"/>
  <c r="AZ33" i="1" s="1"/>
  <c r="BA33" i="1" s="1"/>
  <c r="BB33" i="1" s="1"/>
  <c r="BC33" i="1" s="1"/>
  <c r="BD33" i="1" s="1"/>
  <c r="BE33" i="1" s="1"/>
  <c r="BF33" i="1" s="1"/>
  <c r="BG33" i="1" s="1"/>
  <c r="BH33" i="1" s="1"/>
  <c r="BI33" i="1" s="1"/>
  <c r="BJ33" i="1" s="1"/>
  <c r="BK33" i="1" s="1"/>
  <c r="BL33" i="1" s="1"/>
  <c r="BM33" i="1" s="1"/>
  <c r="BN33" i="1" s="1"/>
  <c r="BO33" i="1" s="1"/>
  <c r="BP33" i="1" s="1"/>
  <c r="B25" i="1"/>
  <c r="C25" i="1" s="1"/>
  <c r="D25" i="1" s="1"/>
  <c r="E25" i="1" s="1"/>
  <c r="F25" i="1" s="1"/>
  <c r="G25" i="1" s="1"/>
  <c r="H25" i="1" s="1"/>
  <c r="I25" i="1" s="1"/>
  <c r="J25" i="1" s="1"/>
  <c r="K25" i="1" s="1"/>
  <c r="L25" i="1" s="1"/>
  <c r="M25" i="1" s="1"/>
  <c r="N25" i="1" s="1"/>
  <c r="O25" i="1" s="1"/>
  <c r="P25" i="1" s="1"/>
  <c r="Q25" i="1" s="1"/>
  <c r="R25" i="1" s="1"/>
  <c r="S25" i="1" s="1"/>
  <c r="T25" i="1" s="1"/>
  <c r="U25" i="1" s="1"/>
  <c r="V25" i="1" s="1"/>
  <c r="W25" i="1" s="1"/>
  <c r="X25" i="1" s="1"/>
  <c r="Y25" i="1" s="1"/>
  <c r="Z25" i="1" s="1"/>
  <c r="AA25" i="1" s="1"/>
  <c r="AB25" i="1" s="1"/>
  <c r="AC25" i="1" s="1"/>
  <c r="AD25" i="1" s="1"/>
  <c r="AE25" i="1" s="1"/>
  <c r="AF25" i="1" s="1"/>
  <c r="AG25" i="1" s="1"/>
  <c r="AH25" i="1" s="1"/>
  <c r="AI25" i="1" s="1"/>
  <c r="AJ25" i="1" s="1"/>
  <c r="AK25" i="1" s="1"/>
  <c r="AL25" i="1" s="1"/>
  <c r="AM25" i="1" s="1"/>
  <c r="AN25" i="1" s="1"/>
  <c r="AO25" i="1" s="1"/>
  <c r="AP25" i="1" s="1"/>
  <c r="AQ25" i="1" s="1"/>
  <c r="AR25" i="1" s="1"/>
  <c r="AS25" i="1" s="1"/>
  <c r="AT25" i="1" s="1"/>
  <c r="AU25" i="1" s="1"/>
  <c r="AV25" i="1" s="1"/>
  <c r="AW25" i="1" s="1"/>
  <c r="AX25" i="1" s="1"/>
  <c r="AY25" i="1" s="1"/>
  <c r="AZ25" i="1" s="1"/>
  <c r="BA25" i="1" s="1"/>
  <c r="BB25" i="1" s="1"/>
  <c r="BC25" i="1" s="1"/>
  <c r="BD25" i="1" s="1"/>
  <c r="BE25" i="1" s="1"/>
  <c r="BF25" i="1" s="1"/>
  <c r="BG25" i="1" s="1"/>
  <c r="BH25" i="1" s="1"/>
  <c r="BI25" i="1" s="1"/>
  <c r="BJ25" i="1" s="1"/>
  <c r="BK25" i="1" s="1"/>
  <c r="BL25" i="1" s="1"/>
  <c r="BM25" i="1" s="1"/>
  <c r="BN25" i="1" s="1"/>
  <c r="BO25" i="1" s="1"/>
  <c r="BP25" i="1" s="1"/>
  <c r="B35" i="1"/>
  <c r="C35" i="1" s="1"/>
  <c r="D35" i="1" s="1"/>
  <c r="E35" i="1" s="1"/>
  <c r="F35" i="1" s="1"/>
  <c r="G35" i="1" s="1"/>
  <c r="H35" i="1" s="1"/>
  <c r="I35" i="1" s="1"/>
  <c r="J35" i="1" s="1"/>
  <c r="K35" i="1" s="1"/>
  <c r="L35" i="1" s="1"/>
  <c r="M35" i="1" s="1"/>
  <c r="N35" i="1" s="1"/>
  <c r="O35" i="1" s="1"/>
  <c r="P35" i="1" s="1"/>
  <c r="Q35" i="1" s="1"/>
  <c r="R35" i="1" s="1"/>
  <c r="S35" i="1" s="1"/>
  <c r="T35" i="1" s="1"/>
  <c r="U35" i="1" s="1"/>
  <c r="V35" i="1" s="1"/>
  <c r="W35" i="1" s="1"/>
  <c r="X35" i="1" s="1"/>
  <c r="Y35" i="1" s="1"/>
  <c r="Z35" i="1" s="1"/>
  <c r="AA35" i="1" s="1"/>
  <c r="AB35" i="1" s="1"/>
  <c r="AC35" i="1" s="1"/>
  <c r="AD35" i="1" s="1"/>
  <c r="AE35" i="1" s="1"/>
  <c r="AF35" i="1" s="1"/>
  <c r="AG35" i="1" s="1"/>
  <c r="AH35" i="1" s="1"/>
  <c r="AI35" i="1" s="1"/>
  <c r="AJ35" i="1" s="1"/>
  <c r="AK35" i="1" s="1"/>
  <c r="AL35" i="1" s="1"/>
  <c r="AM35" i="1" s="1"/>
  <c r="AN35" i="1" s="1"/>
  <c r="AO35" i="1" s="1"/>
  <c r="AP35" i="1" s="1"/>
  <c r="AQ35" i="1" s="1"/>
  <c r="AR35" i="1" s="1"/>
  <c r="AS35" i="1" s="1"/>
  <c r="AT35" i="1" s="1"/>
  <c r="AU35" i="1" s="1"/>
  <c r="AV35" i="1" s="1"/>
  <c r="AW35" i="1" s="1"/>
  <c r="AX35" i="1" s="1"/>
  <c r="AY35" i="1" s="1"/>
  <c r="AZ35" i="1" s="1"/>
  <c r="BA35" i="1" s="1"/>
  <c r="BB35" i="1" s="1"/>
  <c r="BC35" i="1" s="1"/>
  <c r="BD35" i="1" s="1"/>
  <c r="BE35" i="1" s="1"/>
  <c r="BF35" i="1" s="1"/>
  <c r="BG35" i="1" s="1"/>
  <c r="BH35" i="1" s="1"/>
  <c r="BI35" i="1" s="1"/>
  <c r="BJ35" i="1" s="1"/>
  <c r="BK35" i="1" s="1"/>
  <c r="BL35" i="1" s="1"/>
  <c r="BM35" i="1" s="1"/>
  <c r="BN35" i="1" s="1"/>
  <c r="BO35" i="1" s="1"/>
  <c r="BP35" i="1" s="1"/>
  <c r="B134" i="1"/>
  <c r="C134" i="1" s="1"/>
  <c r="D134" i="1" s="1"/>
  <c r="E134" i="1" s="1"/>
  <c r="F134" i="1" s="1"/>
  <c r="G134" i="1" s="1"/>
  <c r="H134" i="1" s="1"/>
  <c r="I134" i="1" s="1"/>
  <c r="J134" i="1" s="1"/>
  <c r="K134" i="1" s="1"/>
  <c r="L134" i="1" s="1"/>
  <c r="M134" i="1" s="1"/>
  <c r="N134" i="1" s="1"/>
  <c r="O134" i="1" s="1"/>
  <c r="P134" i="1" s="1"/>
  <c r="Q134" i="1" s="1"/>
  <c r="R134" i="1" s="1"/>
  <c r="S134" i="1" s="1"/>
  <c r="T134" i="1" s="1"/>
  <c r="U134" i="1" s="1"/>
  <c r="V134" i="1" s="1"/>
  <c r="W134" i="1" s="1"/>
  <c r="X134" i="1" s="1"/>
  <c r="Y134" i="1" s="1"/>
  <c r="Z134" i="1" s="1"/>
  <c r="AA134" i="1" s="1"/>
  <c r="AB134" i="1" s="1"/>
  <c r="AC134" i="1" s="1"/>
  <c r="AD134" i="1" s="1"/>
  <c r="AE134" i="1" s="1"/>
  <c r="AF134" i="1" s="1"/>
  <c r="AG134" i="1" s="1"/>
  <c r="AH134" i="1" s="1"/>
  <c r="AI134" i="1" s="1"/>
  <c r="AJ134" i="1" s="1"/>
  <c r="AK134" i="1" s="1"/>
  <c r="AL134" i="1" s="1"/>
  <c r="AM134" i="1" s="1"/>
  <c r="AN134" i="1" s="1"/>
  <c r="AO134" i="1" s="1"/>
  <c r="AP134" i="1" s="1"/>
  <c r="AQ134" i="1" s="1"/>
  <c r="AR134" i="1" s="1"/>
  <c r="AS134" i="1" s="1"/>
  <c r="AT134" i="1" s="1"/>
  <c r="AU134" i="1" s="1"/>
  <c r="AV134" i="1" s="1"/>
  <c r="AW134" i="1" s="1"/>
  <c r="AX134" i="1" s="1"/>
  <c r="AY134" i="1" s="1"/>
  <c r="AZ134" i="1" s="1"/>
  <c r="BA134" i="1" s="1"/>
  <c r="BB134" i="1" s="1"/>
  <c r="BC134" i="1" s="1"/>
  <c r="BD134" i="1" s="1"/>
  <c r="BE134" i="1" s="1"/>
  <c r="BF134" i="1" s="1"/>
  <c r="BG134" i="1" s="1"/>
  <c r="BH134" i="1" s="1"/>
  <c r="BI134" i="1" s="1"/>
  <c r="BJ134" i="1" s="1"/>
  <c r="BK134" i="1" s="1"/>
  <c r="BL134" i="1" s="1"/>
  <c r="BM134" i="1" s="1"/>
  <c r="BN134" i="1" s="1"/>
  <c r="BO134" i="1" s="1"/>
  <c r="BP134" i="1" s="1"/>
  <c r="B42" i="1"/>
  <c r="C42" i="1" s="1"/>
  <c r="D42" i="1" s="1"/>
  <c r="E42" i="1" s="1"/>
  <c r="F42" i="1" s="1"/>
  <c r="G42" i="1" s="1"/>
  <c r="H42" i="1" s="1"/>
  <c r="I42" i="1" s="1"/>
  <c r="J42" i="1" s="1"/>
  <c r="K42" i="1" s="1"/>
  <c r="L42" i="1" s="1"/>
  <c r="M42" i="1" s="1"/>
  <c r="N42" i="1" s="1"/>
  <c r="O42" i="1" s="1"/>
  <c r="P42" i="1" s="1"/>
  <c r="Q42" i="1" s="1"/>
  <c r="R42" i="1" s="1"/>
  <c r="S42" i="1" s="1"/>
  <c r="T42" i="1" s="1"/>
  <c r="U42" i="1" s="1"/>
  <c r="V42" i="1" s="1"/>
  <c r="W42" i="1" s="1"/>
  <c r="X42" i="1" s="1"/>
  <c r="Y42" i="1" s="1"/>
  <c r="Z42" i="1" s="1"/>
  <c r="AA42" i="1" s="1"/>
  <c r="AB42" i="1" s="1"/>
  <c r="AC42" i="1" s="1"/>
  <c r="AD42" i="1" s="1"/>
  <c r="AE42" i="1" s="1"/>
  <c r="AF42" i="1" s="1"/>
  <c r="AG42" i="1" s="1"/>
  <c r="AH42" i="1" s="1"/>
  <c r="AI42" i="1" s="1"/>
  <c r="AJ42" i="1" s="1"/>
  <c r="AK42" i="1" s="1"/>
  <c r="AL42" i="1" s="1"/>
  <c r="AM42" i="1" s="1"/>
  <c r="AN42" i="1" s="1"/>
  <c r="AO42" i="1" s="1"/>
  <c r="AP42" i="1" s="1"/>
  <c r="AQ42" i="1" s="1"/>
  <c r="AR42" i="1" s="1"/>
  <c r="AS42" i="1" s="1"/>
  <c r="AT42" i="1" s="1"/>
  <c r="AU42" i="1" s="1"/>
  <c r="AV42" i="1" s="1"/>
  <c r="AW42" i="1" s="1"/>
  <c r="AX42" i="1" s="1"/>
  <c r="AY42" i="1" s="1"/>
  <c r="AZ42" i="1" s="1"/>
  <c r="BA42" i="1" s="1"/>
  <c r="BB42" i="1" s="1"/>
  <c r="BC42" i="1" s="1"/>
  <c r="BD42" i="1" s="1"/>
  <c r="BE42" i="1" s="1"/>
  <c r="BF42" i="1" s="1"/>
  <c r="BG42" i="1" s="1"/>
  <c r="BH42" i="1" s="1"/>
  <c r="BI42" i="1" s="1"/>
  <c r="BJ42" i="1" s="1"/>
  <c r="BK42" i="1" s="1"/>
  <c r="BL42" i="1" s="1"/>
  <c r="BM42" i="1" s="1"/>
  <c r="BN42" i="1" s="1"/>
  <c r="BO42" i="1" s="1"/>
  <c r="BP42" i="1" s="1"/>
  <c r="B48" i="1"/>
  <c r="C48" i="1" s="1"/>
  <c r="D48" i="1" s="1"/>
  <c r="E48" i="1" s="1"/>
  <c r="F48" i="1" s="1"/>
  <c r="G48" i="1" s="1"/>
  <c r="H48" i="1" s="1"/>
  <c r="I48" i="1" s="1"/>
  <c r="J48" i="1" s="1"/>
  <c r="K48" i="1" s="1"/>
  <c r="L48" i="1" s="1"/>
  <c r="M48" i="1" s="1"/>
  <c r="N48" i="1" s="1"/>
  <c r="O48" i="1" s="1"/>
  <c r="P48" i="1" s="1"/>
  <c r="Q48" i="1" s="1"/>
  <c r="R48" i="1" s="1"/>
  <c r="S48" i="1" s="1"/>
  <c r="T48" i="1" s="1"/>
  <c r="U48" i="1" s="1"/>
  <c r="V48" i="1" s="1"/>
  <c r="W48" i="1" s="1"/>
  <c r="X48" i="1" s="1"/>
  <c r="Y48" i="1" s="1"/>
  <c r="Z48" i="1" s="1"/>
  <c r="AA48" i="1" s="1"/>
  <c r="AB48" i="1" s="1"/>
  <c r="AC48" i="1" s="1"/>
  <c r="AD48" i="1" s="1"/>
  <c r="AE48" i="1" s="1"/>
  <c r="AF48" i="1" s="1"/>
  <c r="AG48" i="1" s="1"/>
  <c r="AH48" i="1" s="1"/>
  <c r="AI48" i="1" s="1"/>
  <c r="AJ48" i="1" s="1"/>
  <c r="AK48" i="1" s="1"/>
  <c r="AL48" i="1" s="1"/>
  <c r="AM48" i="1" s="1"/>
  <c r="AN48" i="1" s="1"/>
  <c r="AO48" i="1" s="1"/>
  <c r="AP48" i="1" s="1"/>
  <c r="AQ48" i="1" s="1"/>
  <c r="AR48" i="1" s="1"/>
  <c r="AS48" i="1" s="1"/>
  <c r="AT48" i="1" s="1"/>
  <c r="AU48" i="1" s="1"/>
  <c r="AV48" i="1" s="1"/>
  <c r="AW48" i="1" s="1"/>
  <c r="AX48" i="1" s="1"/>
  <c r="AY48" i="1" s="1"/>
  <c r="AZ48" i="1" s="1"/>
  <c r="BA48" i="1" s="1"/>
  <c r="BB48" i="1" s="1"/>
  <c r="BC48" i="1" s="1"/>
  <c r="BD48" i="1" s="1"/>
  <c r="BE48" i="1" s="1"/>
  <c r="BF48" i="1" s="1"/>
  <c r="BG48" i="1" s="1"/>
  <c r="BH48" i="1" s="1"/>
  <c r="BI48" i="1" s="1"/>
  <c r="BJ48" i="1" s="1"/>
  <c r="BK48" i="1" s="1"/>
  <c r="BL48" i="1" s="1"/>
  <c r="BM48" i="1" s="1"/>
  <c r="BN48" i="1" s="1"/>
  <c r="BO48" i="1" s="1"/>
  <c r="BP48" i="1" s="1"/>
  <c r="B41" i="1"/>
  <c r="C41" i="1" s="1"/>
  <c r="D41" i="1" s="1"/>
  <c r="E41" i="1" s="1"/>
  <c r="F41" i="1" s="1"/>
  <c r="G41" i="1" s="1"/>
  <c r="H41" i="1" s="1"/>
  <c r="I41" i="1" s="1"/>
  <c r="J41" i="1" s="1"/>
  <c r="K41" i="1" s="1"/>
  <c r="L41" i="1" s="1"/>
  <c r="M41" i="1" s="1"/>
  <c r="N41" i="1" s="1"/>
  <c r="O41" i="1" s="1"/>
  <c r="P41" i="1" s="1"/>
  <c r="Q41" i="1" s="1"/>
  <c r="R41" i="1" s="1"/>
  <c r="S41" i="1" s="1"/>
  <c r="T41" i="1" s="1"/>
  <c r="U41" i="1" s="1"/>
  <c r="V41" i="1" s="1"/>
  <c r="W41" i="1" s="1"/>
  <c r="X41" i="1" s="1"/>
  <c r="Y41" i="1" s="1"/>
  <c r="Z41" i="1" s="1"/>
  <c r="AA41" i="1" s="1"/>
  <c r="AB41" i="1" s="1"/>
  <c r="AC41" i="1" s="1"/>
  <c r="AD41" i="1" s="1"/>
  <c r="AE41" i="1" s="1"/>
  <c r="AF41" i="1" s="1"/>
  <c r="AG41" i="1" s="1"/>
  <c r="AH41" i="1" s="1"/>
  <c r="AI41" i="1" s="1"/>
  <c r="AJ41" i="1" s="1"/>
  <c r="AK41" i="1" s="1"/>
  <c r="AL41" i="1" s="1"/>
  <c r="AM41" i="1" s="1"/>
  <c r="AN41" i="1" s="1"/>
  <c r="AO41" i="1" s="1"/>
  <c r="AP41" i="1" s="1"/>
  <c r="AQ41" i="1" s="1"/>
  <c r="AR41" i="1" s="1"/>
  <c r="AS41" i="1" s="1"/>
  <c r="AT41" i="1" s="1"/>
  <c r="AU41" i="1" s="1"/>
  <c r="AV41" i="1" s="1"/>
  <c r="AW41" i="1" s="1"/>
  <c r="AX41" i="1" s="1"/>
  <c r="AY41" i="1" s="1"/>
  <c r="AZ41" i="1" s="1"/>
  <c r="BA41" i="1" s="1"/>
  <c r="BB41" i="1" s="1"/>
  <c r="BC41" i="1" s="1"/>
  <c r="BD41" i="1" s="1"/>
  <c r="BE41" i="1" s="1"/>
  <c r="BF41" i="1" s="1"/>
  <c r="BG41" i="1" s="1"/>
  <c r="BH41" i="1" s="1"/>
  <c r="BI41" i="1" s="1"/>
  <c r="BJ41" i="1" s="1"/>
  <c r="BK41" i="1" s="1"/>
  <c r="BL41" i="1" s="1"/>
  <c r="BM41" i="1" s="1"/>
  <c r="BN41" i="1" s="1"/>
  <c r="BO41" i="1" s="1"/>
  <c r="BP41" i="1" s="1"/>
  <c r="B135" i="1"/>
  <c r="C135" i="1" s="1"/>
  <c r="D135" i="1" s="1"/>
  <c r="E135" i="1" s="1"/>
  <c r="F135" i="1" s="1"/>
  <c r="G135" i="1" s="1"/>
  <c r="H135" i="1" s="1"/>
  <c r="I135" i="1" s="1"/>
  <c r="J135" i="1" s="1"/>
  <c r="K135" i="1" s="1"/>
  <c r="L135" i="1" s="1"/>
  <c r="M135" i="1" s="1"/>
  <c r="N135" i="1" s="1"/>
  <c r="O135" i="1" s="1"/>
  <c r="P135" i="1" s="1"/>
  <c r="Q135" i="1" s="1"/>
  <c r="R135" i="1" s="1"/>
  <c r="S135" i="1" s="1"/>
  <c r="T135" i="1" s="1"/>
  <c r="U135" i="1" s="1"/>
  <c r="V135" i="1" s="1"/>
  <c r="W135" i="1" s="1"/>
  <c r="X135" i="1" s="1"/>
  <c r="Y135" i="1" s="1"/>
  <c r="Z135" i="1" s="1"/>
  <c r="AA135" i="1" s="1"/>
  <c r="AB135" i="1" s="1"/>
  <c r="AC135" i="1" s="1"/>
  <c r="AD135" i="1" s="1"/>
  <c r="AE135" i="1" s="1"/>
  <c r="AF135" i="1" s="1"/>
  <c r="AG135" i="1" s="1"/>
  <c r="AH135" i="1" s="1"/>
  <c r="AI135" i="1" s="1"/>
  <c r="AJ135" i="1" s="1"/>
  <c r="AK135" i="1" s="1"/>
  <c r="AL135" i="1" s="1"/>
  <c r="AM135" i="1" s="1"/>
  <c r="AN135" i="1" s="1"/>
  <c r="AO135" i="1" s="1"/>
  <c r="AP135" i="1" s="1"/>
  <c r="AQ135" i="1" s="1"/>
  <c r="AR135" i="1" s="1"/>
  <c r="AS135" i="1" s="1"/>
  <c r="AT135" i="1" s="1"/>
  <c r="AU135" i="1" s="1"/>
  <c r="AV135" i="1" s="1"/>
  <c r="AW135" i="1" s="1"/>
  <c r="AX135" i="1" s="1"/>
  <c r="AY135" i="1" s="1"/>
  <c r="AZ135" i="1" s="1"/>
  <c r="BA135" i="1" s="1"/>
  <c r="BB135" i="1" s="1"/>
  <c r="BC135" i="1" s="1"/>
  <c r="BD135" i="1" s="1"/>
  <c r="BE135" i="1" s="1"/>
  <c r="BF135" i="1" s="1"/>
  <c r="BG135" i="1" s="1"/>
  <c r="BH135" i="1" s="1"/>
  <c r="BI135" i="1" s="1"/>
  <c r="BJ135" i="1" s="1"/>
  <c r="BK135" i="1" s="1"/>
  <c r="BL135" i="1" s="1"/>
  <c r="BM135" i="1" s="1"/>
  <c r="BN135" i="1" s="1"/>
  <c r="BO135" i="1" s="1"/>
  <c r="BP135" i="1" s="1"/>
  <c r="B51" i="1"/>
  <c r="C51" i="1" s="1"/>
  <c r="D51" i="1" s="1"/>
  <c r="E51" i="1" s="1"/>
  <c r="F51" i="1" s="1"/>
  <c r="G51" i="1" s="1"/>
  <c r="H51" i="1" s="1"/>
  <c r="I51" i="1" s="1"/>
  <c r="J51" i="1" s="1"/>
  <c r="K51" i="1" s="1"/>
  <c r="L51" i="1" s="1"/>
  <c r="M51" i="1" s="1"/>
  <c r="N51" i="1" s="1"/>
  <c r="O51" i="1" s="1"/>
  <c r="P51" i="1" s="1"/>
  <c r="Q51" i="1" s="1"/>
  <c r="R51" i="1" s="1"/>
  <c r="S51" i="1" s="1"/>
  <c r="T51" i="1" s="1"/>
  <c r="U51" i="1" s="1"/>
  <c r="V51" i="1" s="1"/>
  <c r="W51" i="1" s="1"/>
  <c r="X51" i="1" s="1"/>
  <c r="Y51" i="1" s="1"/>
  <c r="Z51" i="1" s="1"/>
  <c r="AA51" i="1" s="1"/>
  <c r="AB51" i="1" s="1"/>
  <c r="AC51" i="1" s="1"/>
  <c r="AD51" i="1" s="1"/>
  <c r="AE51" i="1" s="1"/>
  <c r="AF51" i="1" s="1"/>
  <c r="AG51" i="1" s="1"/>
  <c r="AH51" i="1" s="1"/>
  <c r="AI51" i="1" s="1"/>
  <c r="AJ51" i="1" s="1"/>
  <c r="AK51" i="1" s="1"/>
  <c r="AL51" i="1" s="1"/>
  <c r="AM51" i="1" s="1"/>
  <c r="AN51" i="1" s="1"/>
  <c r="AO51" i="1" s="1"/>
  <c r="AP51" i="1" s="1"/>
  <c r="AQ51" i="1" s="1"/>
  <c r="AR51" i="1" s="1"/>
  <c r="AS51" i="1" s="1"/>
  <c r="AT51" i="1" s="1"/>
  <c r="AU51" i="1" s="1"/>
  <c r="AV51" i="1" s="1"/>
  <c r="AW51" i="1" s="1"/>
  <c r="AX51" i="1" s="1"/>
  <c r="AY51" i="1" s="1"/>
  <c r="AZ51" i="1" s="1"/>
  <c r="BA51" i="1" s="1"/>
  <c r="BB51" i="1" s="1"/>
  <c r="BC51" i="1" s="1"/>
  <c r="BD51" i="1" s="1"/>
  <c r="BE51" i="1" s="1"/>
  <c r="BF51" i="1" s="1"/>
  <c r="BG51" i="1" s="1"/>
  <c r="BH51" i="1" s="1"/>
  <c r="BI51" i="1" s="1"/>
  <c r="BJ51" i="1" s="1"/>
  <c r="BK51" i="1" s="1"/>
  <c r="BL51" i="1" s="1"/>
  <c r="BM51" i="1" s="1"/>
  <c r="BN51" i="1" s="1"/>
  <c r="BO51" i="1" s="1"/>
  <c r="BP51" i="1" s="1"/>
  <c r="B36" i="1"/>
  <c r="C36" i="1" s="1"/>
  <c r="B136" i="1"/>
  <c r="C136" i="1" s="1"/>
  <c r="D136" i="1" s="1"/>
  <c r="E136" i="1" s="1"/>
  <c r="F136" i="1" s="1"/>
  <c r="G136" i="1" s="1"/>
  <c r="H136" i="1" s="1"/>
  <c r="I136" i="1" s="1"/>
  <c r="J136" i="1" s="1"/>
  <c r="K136" i="1" s="1"/>
  <c r="L136" i="1" s="1"/>
  <c r="M136" i="1" s="1"/>
  <c r="N136" i="1" s="1"/>
  <c r="O136" i="1" s="1"/>
  <c r="P136" i="1" s="1"/>
  <c r="Q136" i="1" s="1"/>
  <c r="R136" i="1" s="1"/>
  <c r="S136" i="1" s="1"/>
  <c r="T136" i="1" s="1"/>
  <c r="U136" i="1" s="1"/>
  <c r="V136" i="1" s="1"/>
  <c r="W136" i="1" s="1"/>
  <c r="X136" i="1" s="1"/>
  <c r="Y136" i="1" s="1"/>
  <c r="Z136" i="1" s="1"/>
  <c r="AA136" i="1" s="1"/>
  <c r="AB136" i="1" s="1"/>
  <c r="AC136" i="1" s="1"/>
  <c r="AD136" i="1" s="1"/>
  <c r="AE136" i="1" s="1"/>
  <c r="AF136" i="1" s="1"/>
  <c r="AG136" i="1" s="1"/>
  <c r="AH136" i="1" s="1"/>
  <c r="AI136" i="1" s="1"/>
  <c r="AJ136" i="1" s="1"/>
  <c r="AK136" i="1" s="1"/>
  <c r="AL136" i="1" s="1"/>
  <c r="AM136" i="1" s="1"/>
  <c r="AN136" i="1" s="1"/>
  <c r="AO136" i="1" s="1"/>
  <c r="AP136" i="1" s="1"/>
  <c r="AQ136" i="1" s="1"/>
  <c r="AR136" i="1" s="1"/>
  <c r="AS136" i="1" s="1"/>
  <c r="AT136" i="1" s="1"/>
  <c r="AU136" i="1" s="1"/>
  <c r="AV136" i="1" s="1"/>
  <c r="AW136" i="1" s="1"/>
  <c r="AX136" i="1" s="1"/>
  <c r="AY136" i="1" s="1"/>
  <c r="AZ136" i="1" s="1"/>
  <c r="BA136" i="1" s="1"/>
  <c r="BB136" i="1" s="1"/>
  <c r="BC136" i="1" s="1"/>
  <c r="BD136" i="1" s="1"/>
  <c r="BE136" i="1" s="1"/>
  <c r="BF136" i="1" s="1"/>
  <c r="BG136" i="1" s="1"/>
  <c r="BH136" i="1" s="1"/>
  <c r="BI136" i="1" s="1"/>
  <c r="BJ136" i="1" s="1"/>
  <c r="BK136" i="1" s="1"/>
  <c r="BL136" i="1" s="1"/>
  <c r="BM136" i="1" s="1"/>
  <c r="BN136" i="1" s="1"/>
  <c r="BO136" i="1" s="1"/>
  <c r="BP136" i="1" s="1"/>
  <c r="B137" i="1"/>
  <c r="C137" i="1" s="1"/>
  <c r="D137" i="1" s="1"/>
  <c r="E137" i="1" s="1"/>
  <c r="F137" i="1" s="1"/>
  <c r="G137" i="1" s="1"/>
  <c r="H137" i="1" s="1"/>
  <c r="I137" i="1" s="1"/>
  <c r="J137" i="1" s="1"/>
  <c r="K137" i="1" s="1"/>
  <c r="L137" i="1" s="1"/>
  <c r="M137" i="1" s="1"/>
  <c r="N137" i="1" s="1"/>
  <c r="O137" i="1" s="1"/>
  <c r="P137" i="1" s="1"/>
  <c r="Q137" i="1" s="1"/>
  <c r="R137" i="1" s="1"/>
  <c r="S137" i="1" s="1"/>
  <c r="T137" i="1" s="1"/>
  <c r="U137" i="1" s="1"/>
  <c r="V137" i="1" s="1"/>
  <c r="W137" i="1" s="1"/>
  <c r="X137" i="1" s="1"/>
  <c r="Y137" i="1" s="1"/>
  <c r="Z137" i="1" s="1"/>
  <c r="AA137" i="1" s="1"/>
  <c r="AB137" i="1" s="1"/>
  <c r="AC137" i="1" s="1"/>
  <c r="AD137" i="1" s="1"/>
  <c r="AE137" i="1" s="1"/>
  <c r="AF137" i="1" s="1"/>
  <c r="AG137" i="1" s="1"/>
  <c r="AH137" i="1" s="1"/>
  <c r="AI137" i="1" s="1"/>
  <c r="AJ137" i="1" s="1"/>
  <c r="AK137" i="1" s="1"/>
  <c r="AL137" i="1" s="1"/>
  <c r="AM137" i="1" s="1"/>
  <c r="AN137" i="1" s="1"/>
  <c r="AO137" i="1" s="1"/>
  <c r="AP137" i="1" s="1"/>
  <c r="AQ137" i="1" s="1"/>
  <c r="AR137" i="1" s="1"/>
  <c r="AS137" i="1" s="1"/>
  <c r="AT137" i="1" s="1"/>
  <c r="AU137" i="1" s="1"/>
  <c r="AV137" i="1" s="1"/>
  <c r="AW137" i="1" s="1"/>
  <c r="AX137" i="1" s="1"/>
  <c r="AY137" i="1" s="1"/>
  <c r="AZ137" i="1" s="1"/>
  <c r="BA137" i="1" s="1"/>
  <c r="BB137" i="1" s="1"/>
  <c r="BC137" i="1" s="1"/>
  <c r="BD137" i="1" s="1"/>
  <c r="BE137" i="1" s="1"/>
  <c r="BF137" i="1" s="1"/>
  <c r="BG137" i="1" s="1"/>
  <c r="BH137" i="1" s="1"/>
  <c r="BI137" i="1" s="1"/>
  <c r="BJ137" i="1" s="1"/>
  <c r="BK137" i="1" s="1"/>
  <c r="BL137" i="1" s="1"/>
  <c r="BM137" i="1" s="1"/>
  <c r="BN137" i="1" s="1"/>
  <c r="BO137" i="1" s="1"/>
  <c r="BP137" i="1" s="1"/>
  <c r="B138" i="1"/>
  <c r="C138" i="1" s="1"/>
  <c r="D138" i="1" s="1"/>
  <c r="E138" i="1" s="1"/>
  <c r="F138" i="1" s="1"/>
  <c r="G138" i="1" s="1"/>
  <c r="H138" i="1" s="1"/>
  <c r="I138" i="1" s="1"/>
  <c r="J138" i="1" s="1"/>
  <c r="K138" i="1" s="1"/>
  <c r="L138" i="1" s="1"/>
  <c r="M138" i="1" s="1"/>
  <c r="N138" i="1" s="1"/>
  <c r="O138" i="1" s="1"/>
  <c r="P138" i="1" s="1"/>
  <c r="Q138" i="1" s="1"/>
  <c r="R138" i="1" s="1"/>
  <c r="S138" i="1" s="1"/>
  <c r="T138" i="1" s="1"/>
  <c r="U138" i="1" s="1"/>
  <c r="V138" i="1" s="1"/>
  <c r="W138" i="1" s="1"/>
  <c r="X138" i="1" s="1"/>
  <c r="Y138" i="1" s="1"/>
  <c r="Z138" i="1" s="1"/>
  <c r="AA138" i="1" s="1"/>
  <c r="AB138" i="1" s="1"/>
  <c r="AC138" i="1" s="1"/>
  <c r="AD138" i="1" s="1"/>
  <c r="AE138" i="1" s="1"/>
  <c r="AF138" i="1" s="1"/>
  <c r="AG138" i="1" s="1"/>
  <c r="AH138" i="1" s="1"/>
  <c r="AI138" i="1" s="1"/>
  <c r="AJ138" i="1" s="1"/>
  <c r="AK138" i="1" s="1"/>
  <c r="AL138" i="1" s="1"/>
  <c r="AM138" i="1" s="1"/>
  <c r="AN138" i="1" s="1"/>
  <c r="AO138" i="1" s="1"/>
  <c r="AP138" i="1" s="1"/>
  <c r="AQ138" i="1" s="1"/>
  <c r="AR138" i="1" s="1"/>
  <c r="AS138" i="1" s="1"/>
  <c r="AT138" i="1" s="1"/>
  <c r="AU138" i="1" s="1"/>
  <c r="AV138" i="1" s="1"/>
  <c r="AW138" i="1" s="1"/>
  <c r="AX138" i="1" s="1"/>
  <c r="AY138" i="1" s="1"/>
  <c r="AZ138" i="1" s="1"/>
  <c r="BA138" i="1" s="1"/>
  <c r="BB138" i="1" s="1"/>
  <c r="BC138" i="1" s="1"/>
  <c r="BD138" i="1" s="1"/>
  <c r="BE138" i="1" s="1"/>
  <c r="BF138" i="1" s="1"/>
  <c r="BG138" i="1" s="1"/>
  <c r="BH138" i="1" s="1"/>
  <c r="BI138" i="1" s="1"/>
  <c r="BJ138" i="1" s="1"/>
  <c r="BK138" i="1" s="1"/>
  <c r="BL138" i="1" s="1"/>
  <c r="BM138" i="1" s="1"/>
  <c r="BN138" i="1" s="1"/>
  <c r="BO138" i="1" s="1"/>
  <c r="BP138" i="1" s="1"/>
  <c r="B37" i="1"/>
  <c r="C37" i="1" s="1"/>
  <c r="B139" i="1"/>
  <c r="C139" i="1" s="1"/>
  <c r="D139" i="1" s="1"/>
  <c r="E139" i="1" s="1"/>
  <c r="F139" i="1" s="1"/>
  <c r="G139" i="1" s="1"/>
  <c r="H139" i="1" s="1"/>
  <c r="I139" i="1" s="1"/>
  <c r="J139" i="1" s="1"/>
  <c r="K139" i="1" s="1"/>
  <c r="L139" i="1" s="1"/>
  <c r="M139" i="1" s="1"/>
  <c r="N139" i="1" s="1"/>
  <c r="O139" i="1" s="1"/>
  <c r="P139" i="1" s="1"/>
  <c r="Q139" i="1" s="1"/>
  <c r="R139" i="1" s="1"/>
  <c r="S139" i="1" s="1"/>
  <c r="T139" i="1" s="1"/>
  <c r="U139" i="1" s="1"/>
  <c r="V139" i="1" s="1"/>
  <c r="W139" i="1" s="1"/>
  <c r="X139" i="1" s="1"/>
  <c r="Y139" i="1" s="1"/>
  <c r="Z139" i="1" s="1"/>
  <c r="AA139" i="1" s="1"/>
  <c r="AB139" i="1" s="1"/>
  <c r="AC139" i="1" s="1"/>
  <c r="AD139" i="1" s="1"/>
  <c r="AE139" i="1" s="1"/>
  <c r="AF139" i="1" s="1"/>
  <c r="AG139" i="1" s="1"/>
  <c r="AH139" i="1" s="1"/>
  <c r="AI139" i="1" s="1"/>
  <c r="AJ139" i="1" s="1"/>
  <c r="AK139" i="1" s="1"/>
  <c r="AL139" i="1" s="1"/>
  <c r="AM139" i="1" s="1"/>
  <c r="AN139" i="1" s="1"/>
  <c r="AO139" i="1" s="1"/>
  <c r="AP139" i="1" s="1"/>
  <c r="AQ139" i="1" s="1"/>
  <c r="AR139" i="1" s="1"/>
  <c r="AS139" i="1" s="1"/>
  <c r="AT139" i="1" s="1"/>
  <c r="AU139" i="1" s="1"/>
  <c r="AV139" i="1" s="1"/>
  <c r="AW139" i="1" s="1"/>
  <c r="AX139" i="1" s="1"/>
  <c r="AY139" i="1" s="1"/>
  <c r="AZ139" i="1" s="1"/>
  <c r="BA139" i="1" s="1"/>
  <c r="BB139" i="1" s="1"/>
  <c r="BC139" i="1" s="1"/>
  <c r="BD139" i="1" s="1"/>
  <c r="BE139" i="1" s="1"/>
  <c r="BF139" i="1" s="1"/>
  <c r="BG139" i="1" s="1"/>
  <c r="BH139" i="1" s="1"/>
  <c r="BI139" i="1" s="1"/>
  <c r="BJ139" i="1" s="1"/>
  <c r="BK139" i="1" s="1"/>
  <c r="BL139" i="1" s="1"/>
  <c r="BM139" i="1" s="1"/>
  <c r="BN139" i="1" s="1"/>
  <c r="BO139" i="1" s="1"/>
  <c r="BP139" i="1" s="1"/>
  <c r="B38" i="1"/>
  <c r="C38" i="1" s="1"/>
  <c r="D38" i="1" s="1"/>
  <c r="E38" i="1" s="1"/>
  <c r="F38" i="1" s="1"/>
  <c r="G38" i="1" s="1"/>
  <c r="H38" i="1" s="1"/>
  <c r="I38" i="1" s="1"/>
  <c r="J38" i="1" s="1"/>
  <c r="K38" i="1" s="1"/>
  <c r="L38" i="1" s="1"/>
  <c r="M38" i="1" s="1"/>
  <c r="N38" i="1" s="1"/>
  <c r="O38" i="1" s="1"/>
  <c r="P38" i="1" s="1"/>
  <c r="Q38" i="1" s="1"/>
  <c r="R38" i="1" s="1"/>
  <c r="S38" i="1" s="1"/>
  <c r="T38" i="1" s="1"/>
  <c r="U38" i="1" s="1"/>
  <c r="V38" i="1" s="1"/>
  <c r="W38" i="1" s="1"/>
  <c r="X38" i="1" s="1"/>
  <c r="Y38" i="1" s="1"/>
  <c r="Z38" i="1" s="1"/>
  <c r="AA38" i="1" s="1"/>
  <c r="AB38" i="1" s="1"/>
  <c r="AC38" i="1" s="1"/>
  <c r="AD38" i="1" s="1"/>
  <c r="AE38" i="1" s="1"/>
  <c r="AF38" i="1" s="1"/>
  <c r="AG38" i="1" s="1"/>
  <c r="AH38" i="1" s="1"/>
  <c r="AI38" i="1" s="1"/>
  <c r="AJ38" i="1" s="1"/>
  <c r="AK38" i="1" s="1"/>
  <c r="AL38" i="1" s="1"/>
  <c r="AM38" i="1" s="1"/>
  <c r="AN38" i="1" s="1"/>
  <c r="AO38" i="1" s="1"/>
  <c r="AP38" i="1" s="1"/>
  <c r="AQ38" i="1" s="1"/>
  <c r="AR38" i="1" s="1"/>
  <c r="AS38" i="1" s="1"/>
  <c r="AT38" i="1" s="1"/>
  <c r="AU38" i="1" s="1"/>
  <c r="AV38" i="1" s="1"/>
  <c r="AW38" i="1" s="1"/>
  <c r="AX38" i="1" s="1"/>
  <c r="AY38" i="1" s="1"/>
  <c r="AZ38" i="1" s="1"/>
  <c r="BA38" i="1" s="1"/>
  <c r="BB38" i="1" s="1"/>
  <c r="BC38" i="1" s="1"/>
  <c r="BD38" i="1" s="1"/>
  <c r="BE38" i="1" s="1"/>
  <c r="BF38" i="1" s="1"/>
  <c r="BG38" i="1" s="1"/>
  <c r="BH38" i="1" s="1"/>
  <c r="BI38" i="1" s="1"/>
  <c r="BJ38" i="1" s="1"/>
  <c r="BK38" i="1" s="1"/>
  <c r="BL38" i="1" s="1"/>
  <c r="BM38" i="1" s="1"/>
  <c r="BN38" i="1" s="1"/>
  <c r="BO38" i="1" s="1"/>
  <c r="BP38" i="1" s="1"/>
  <c r="B140" i="1"/>
  <c r="C140" i="1" s="1"/>
  <c r="D140" i="1" s="1"/>
  <c r="E140" i="1" s="1"/>
  <c r="F140" i="1" s="1"/>
  <c r="G140" i="1" s="1"/>
  <c r="H140" i="1" s="1"/>
  <c r="I140" i="1" s="1"/>
  <c r="J140" i="1" s="1"/>
  <c r="K140" i="1" s="1"/>
  <c r="L140" i="1" s="1"/>
  <c r="M140" i="1" s="1"/>
  <c r="N140" i="1" s="1"/>
  <c r="O140" i="1" s="1"/>
  <c r="P140" i="1" s="1"/>
  <c r="Q140" i="1" s="1"/>
  <c r="R140" i="1" s="1"/>
  <c r="S140" i="1" s="1"/>
  <c r="T140" i="1" s="1"/>
  <c r="U140" i="1" s="1"/>
  <c r="V140" i="1" s="1"/>
  <c r="W140" i="1" s="1"/>
  <c r="X140" i="1" s="1"/>
  <c r="Y140" i="1" s="1"/>
  <c r="Z140" i="1" s="1"/>
  <c r="AA140" i="1" s="1"/>
  <c r="AB140" i="1" s="1"/>
  <c r="AC140" i="1" s="1"/>
  <c r="AD140" i="1" s="1"/>
  <c r="AE140" i="1" s="1"/>
  <c r="AF140" i="1" s="1"/>
  <c r="AG140" i="1" s="1"/>
  <c r="AH140" i="1" s="1"/>
  <c r="AI140" i="1" s="1"/>
  <c r="AJ140" i="1" s="1"/>
  <c r="AK140" i="1" s="1"/>
  <c r="AL140" i="1" s="1"/>
  <c r="AM140" i="1" s="1"/>
  <c r="AN140" i="1" s="1"/>
  <c r="AO140" i="1" s="1"/>
  <c r="AP140" i="1" s="1"/>
  <c r="AQ140" i="1" s="1"/>
  <c r="AR140" i="1" s="1"/>
  <c r="AS140" i="1" s="1"/>
  <c r="AT140" i="1" s="1"/>
  <c r="AU140" i="1" s="1"/>
  <c r="AV140" i="1" s="1"/>
  <c r="AW140" i="1" s="1"/>
  <c r="AX140" i="1" s="1"/>
  <c r="AY140" i="1" s="1"/>
  <c r="AZ140" i="1" s="1"/>
  <c r="BA140" i="1" s="1"/>
  <c r="BB140" i="1" s="1"/>
  <c r="BC140" i="1" s="1"/>
  <c r="BD140" i="1" s="1"/>
  <c r="BE140" i="1" s="1"/>
  <c r="BF140" i="1" s="1"/>
  <c r="BG140" i="1" s="1"/>
  <c r="BH140" i="1" s="1"/>
  <c r="BI140" i="1" s="1"/>
  <c r="BJ140" i="1" s="1"/>
  <c r="BK140" i="1" s="1"/>
  <c r="BL140" i="1" s="1"/>
  <c r="BM140" i="1" s="1"/>
  <c r="BN140" i="1" s="1"/>
  <c r="BO140" i="1" s="1"/>
  <c r="BP140" i="1" s="1"/>
  <c r="B50" i="1"/>
  <c r="C50" i="1" s="1"/>
  <c r="D50" i="1" s="1"/>
  <c r="E50" i="1" s="1"/>
  <c r="F50" i="1" s="1"/>
  <c r="G50" i="1" s="1"/>
  <c r="H50" i="1" s="1"/>
  <c r="I50" i="1" s="1"/>
  <c r="J50" i="1" s="1"/>
  <c r="K50" i="1" s="1"/>
  <c r="L50" i="1" s="1"/>
  <c r="M50" i="1" s="1"/>
  <c r="N50" i="1" s="1"/>
  <c r="O50" i="1" s="1"/>
  <c r="P50" i="1" s="1"/>
  <c r="Q50" i="1" s="1"/>
  <c r="R50" i="1" s="1"/>
  <c r="S50" i="1" s="1"/>
  <c r="T50" i="1" s="1"/>
  <c r="U50" i="1" s="1"/>
  <c r="V50" i="1" s="1"/>
  <c r="W50" i="1" s="1"/>
  <c r="X50" i="1" s="1"/>
  <c r="Y50" i="1" s="1"/>
  <c r="Z50" i="1" s="1"/>
  <c r="AA50" i="1" s="1"/>
  <c r="AB50" i="1" s="1"/>
  <c r="AC50" i="1" s="1"/>
  <c r="AD50" i="1" s="1"/>
  <c r="AE50" i="1" s="1"/>
  <c r="AF50" i="1" s="1"/>
  <c r="AG50" i="1" s="1"/>
  <c r="AH50" i="1" s="1"/>
  <c r="AI50" i="1" s="1"/>
  <c r="AJ50" i="1" s="1"/>
  <c r="AK50" i="1" s="1"/>
  <c r="AL50" i="1" s="1"/>
  <c r="AM50" i="1" s="1"/>
  <c r="AN50" i="1" s="1"/>
  <c r="AO50" i="1" s="1"/>
  <c r="AP50" i="1" s="1"/>
  <c r="AQ50" i="1" s="1"/>
  <c r="AR50" i="1" s="1"/>
  <c r="AS50" i="1" s="1"/>
  <c r="AT50" i="1" s="1"/>
  <c r="AU50" i="1" s="1"/>
  <c r="AV50" i="1" s="1"/>
  <c r="AW50" i="1" s="1"/>
  <c r="AX50" i="1" s="1"/>
  <c r="AY50" i="1" s="1"/>
  <c r="AZ50" i="1" s="1"/>
  <c r="BA50" i="1" s="1"/>
  <c r="BB50" i="1" s="1"/>
  <c r="BC50" i="1" s="1"/>
  <c r="BD50" i="1" s="1"/>
  <c r="BE50" i="1" s="1"/>
  <c r="BF50" i="1" s="1"/>
  <c r="BG50" i="1" s="1"/>
  <c r="BH50" i="1" s="1"/>
  <c r="BI50" i="1" s="1"/>
  <c r="BJ50" i="1" s="1"/>
  <c r="BK50" i="1" s="1"/>
  <c r="BL50" i="1" s="1"/>
  <c r="BM50" i="1" s="1"/>
  <c r="BN50" i="1" s="1"/>
  <c r="BO50" i="1" s="1"/>
  <c r="BP50" i="1" s="1"/>
  <c r="B53" i="1"/>
  <c r="C53" i="1" s="1"/>
  <c r="D53" i="1" s="1"/>
  <c r="E53" i="1" s="1"/>
  <c r="F53" i="1" s="1"/>
  <c r="G53" i="1" s="1"/>
  <c r="H53" i="1" s="1"/>
  <c r="I53" i="1" s="1"/>
  <c r="J53" i="1" s="1"/>
  <c r="K53" i="1" s="1"/>
  <c r="L53" i="1" s="1"/>
  <c r="M53" i="1" s="1"/>
  <c r="N53" i="1" s="1"/>
  <c r="O53" i="1" s="1"/>
  <c r="P53" i="1" s="1"/>
  <c r="Q53" i="1" s="1"/>
  <c r="R53" i="1" s="1"/>
  <c r="S53" i="1" s="1"/>
  <c r="T53" i="1" s="1"/>
  <c r="U53" i="1" s="1"/>
  <c r="V53" i="1" s="1"/>
  <c r="W53" i="1" s="1"/>
  <c r="X53" i="1" s="1"/>
  <c r="Y53" i="1" s="1"/>
  <c r="Z53" i="1" s="1"/>
  <c r="AA53" i="1" s="1"/>
  <c r="AB53" i="1" s="1"/>
  <c r="AC53" i="1" s="1"/>
  <c r="AD53" i="1" s="1"/>
  <c r="AE53" i="1" s="1"/>
  <c r="AF53" i="1" s="1"/>
  <c r="AG53" i="1" s="1"/>
  <c r="AH53" i="1" s="1"/>
  <c r="AI53" i="1" s="1"/>
  <c r="AJ53" i="1" s="1"/>
  <c r="AK53" i="1" s="1"/>
  <c r="AL53" i="1" s="1"/>
  <c r="AM53" i="1" s="1"/>
  <c r="AN53" i="1" s="1"/>
  <c r="AO53" i="1" s="1"/>
  <c r="AP53" i="1" s="1"/>
  <c r="AQ53" i="1" s="1"/>
  <c r="AR53" i="1" s="1"/>
  <c r="AS53" i="1" s="1"/>
  <c r="AT53" i="1" s="1"/>
  <c r="AU53" i="1" s="1"/>
  <c r="AV53" i="1" s="1"/>
  <c r="AW53" i="1" s="1"/>
  <c r="AX53" i="1" s="1"/>
  <c r="AY53" i="1" s="1"/>
  <c r="AZ53" i="1" s="1"/>
  <c r="BA53" i="1" s="1"/>
  <c r="BB53" i="1" s="1"/>
  <c r="BC53" i="1" s="1"/>
  <c r="BD53" i="1" s="1"/>
  <c r="BE53" i="1" s="1"/>
  <c r="BF53" i="1" s="1"/>
  <c r="BG53" i="1" s="1"/>
  <c r="BH53" i="1" s="1"/>
  <c r="BI53" i="1" s="1"/>
  <c r="BJ53" i="1" s="1"/>
  <c r="BK53" i="1" s="1"/>
  <c r="BL53" i="1" s="1"/>
  <c r="BM53" i="1" s="1"/>
  <c r="BN53" i="1" s="1"/>
  <c r="BO53" i="1" s="1"/>
  <c r="BP53" i="1" s="1"/>
  <c r="B39" i="1"/>
  <c r="C39" i="1" s="1"/>
  <c r="D39" i="1" s="1"/>
  <c r="E39" i="1" s="1"/>
  <c r="F39" i="1" s="1"/>
  <c r="G39" i="1" s="1"/>
  <c r="H39" i="1" s="1"/>
  <c r="I39" i="1" s="1"/>
  <c r="J39" i="1" s="1"/>
  <c r="K39" i="1" s="1"/>
  <c r="L39" i="1" s="1"/>
  <c r="M39" i="1" s="1"/>
  <c r="N39" i="1" s="1"/>
  <c r="O39" i="1" s="1"/>
  <c r="P39" i="1" s="1"/>
  <c r="Q39" i="1" s="1"/>
  <c r="R39" i="1" s="1"/>
  <c r="S39" i="1" s="1"/>
  <c r="T39" i="1" s="1"/>
  <c r="U39" i="1" s="1"/>
  <c r="V39" i="1" s="1"/>
  <c r="W39" i="1" s="1"/>
  <c r="X39" i="1" s="1"/>
  <c r="Y39" i="1" s="1"/>
  <c r="Z39" i="1" s="1"/>
  <c r="AA39" i="1" s="1"/>
  <c r="AB39" i="1" s="1"/>
  <c r="AC39" i="1" s="1"/>
  <c r="AD39" i="1" s="1"/>
  <c r="AE39" i="1" s="1"/>
  <c r="AF39" i="1" s="1"/>
  <c r="AG39" i="1" s="1"/>
  <c r="AH39" i="1" s="1"/>
  <c r="AI39" i="1" s="1"/>
  <c r="AJ39" i="1" s="1"/>
  <c r="AK39" i="1" s="1"/>
  <c r="AL39" i="1" s="1"/>
  <c r="AM39" i="1" s="1"/>
  <c r="AN39" i="1" s="1"/>
  <c r="AO39" i="1" s="1"/>
  <c r="AP39" i="1" s="1"/>
  <c r="AQ39" i="1" s="1"/>
  <c r="AR39" i="1" s="1"/>
  <c r="AS39" i="1" s="1"/>
  <c r="AT39" i="1" s="1"/>
  <c r="AU39" i="1" s="1"/>
  <c r="AV39" i="1" s="1"/>
  <c r="AW39" i="1" s="1"/>
  <c r="AX39" i="1" s="1"/>
  <c r="AY39" i="1" s="1"/>
  <c r="AZ39" i="1" s="1"/>
  <c r="BA39" i="1" s="1"/>
  <c r="BB39" i="1" s="1"/>
  <c r="BC39" i="1" s="1"/>
  <c r="BD39" i="1" s="1"/>
  <c r="BE39" i="1" s="1"/>
  <c r="BF39" i="1" s="1"/>
  <c r="BG39" i="1" s="1"/>
  <c r="BH39" i="1" s="1"/>
  <c r="BI39" i="1" s="1"/>
  <c r="BJ39" i="1" s="1"/>
  <c r="BK39" i="1" s="1"/>
  <c r="BL39" i="1" s="1"/>
  <c r="BM39" i="1" s="1"/>
  <c r="BN39" i="1" s="1"/>
  <c r="BO39" i="1" s="1"/>
  <c r="BP39" i="1" s="1"/>
  <c r="B49" i="1"/>
  <c r="C49" i="1" s="1"/>
  <c r="D49" i="1" s="1"/>
  <c r="E49" i="1" s="1"/>
  <c r="F49" i="1" s="1"/>
  <c r="G49" i="1" s="1"/>
  <c r="H49" i="1" s="1"/>
  <c r="I49" i="1" s="1"/>
  <c r="J49" i="1" s="1"/>
  <c r="K49" i="1" s="1"/>
  <c r="L49" i="1" s="1"/>
  <c r="M49" i="1" s="1"/>
  <c r="N49" i="1" s="1"/>
  <c r="O49" i="1" s="1"/>
  <c r="P49" i="1" s="1"/>
  <c r="Q49" i="1" s="1"/>
  <c r="R49" i="1" s="1"/>
  <c r="S49" i="1" s="1"/>
  <c r="T49" i="1" s="1"/>
  <c r="U49" i="1" s="1"/>
  <c r="V49" i="1" s="1"/>
  <c r="W49" i="1" s="1"/>
  <c r="X49" i="1" s="1"/>
  <c r="Y49" i="1" s="1"/>
  <c r="Z49" i="1" s="1"/>
  <c r="AA49" i="1" s="1"/>
  <c r="AB49" i="1" s="1"/>
  <c r="AC49" i="1" s="1"/>
  <c r="AD49" i="1" s="1"/>
  <c r="AE49" i="1" s="1"/>
  <c r="AF49" i="1" s="1"/>
  <c r="AG49" i="1" s="1"/>
  <c r="AH49" i="1" s="1"/>
  <c r="AI49" i="1" s="1"/>
  <c r="AJ49" i="1" s="1"/>
  <c r="AK49" i="1" s="1"/>
  <c r="AL49" i="1" s="1"/>
  <c r="AM49" i="1" s="1"/>
  <c r="AN49" i="1" s="1"/>
  <c r="AO49" i="1" s="1"/>
  <c r="AP49" i="1" s="1"/>
  <c r="AQ49" i="1" s="1"/>
  <c r="AR49" i="1" s="1"/>
  <c r="AS49" i="1" s="1"/>
  <c r="AT49" i="1" s="1"/>
  <c r="AU49" i="1" s="1"/>
  <c r="AV49" i="1" s="1"/>
  <c r="AW49" i="1" s="1"/>
  <c r="AX49" i="1" s="1"/>
  <c r="AY49" i="1" s="1"/>
  <c r="AZ49" i="1" s="1"/>
  <c r="BA49" i="1" s="1"/>
  <c r="BB49" i="1" s="1"/>
  <c r="BC49" i="1" s="1"/>
  <c r="BD49" i="1" s="1"/>
  <c r="BE49" i="1" s="1"/>
  <c r="BF49" i="1" s="1"/>
  <c r="BG49" i="1" s="1"/>
  <c r="BH49" i="1" s="1"/>
  <c r="BI49" i="1" s="1"/>
  <c r="BJ49" i="1" s="1"/>
  <c r="BK49" i="1" s="1"/>
  <c r="BL49" i="1" s="1"/>
  <c r="BM49" i="1" s="1"/>
  <c r="BN49" i="1" s="1"/>
  <c r="BO49" i="1" s="1"/>
  <c r="BP49" i="1" s="1"/>
  <c r="B141" i="1"/>
  <c r="C141" i="1" s="1"/>
  <c r="D141" i="1" s="1"/>
  <c r="E141" i="1" s="1"/>
  <c r="F141" i="1" s="1"/>
  <c r="G141" i="1" s="1"/>
  <c r="H141" i="1" s="1"/>
  <c r="I141" i="1" s="1"/>
  <c r="J141" i="1" s="1"/>
  <c r="K141" i="1" s="1"/>
  <c r="L141" i="1" s="1"/>
  <c r="M141" i="1" s="1"/>
  <c r="N141" i="1" s="1"/>
  <c r="O141" i="1" s="1"/>
  <c r="P141" i="1" s="1"/>
  <c r="Q141" i="1" s="1"/>
  <c r="R141" i="1" s="1"/>
  <c r="S141" i="1" s="1"/>
  <c r="T141" i="1" s="1"/>
  <c r="U141" i="1" s="1"/>
  <c r="V141" i="1" s="1"/>
  <c r="W141" i="1" s="1"/>
  <c r="X141" i="1" s="1"/>
  <c r="Y141" i="1" s="1"/>
  <c r="Z141" i="1" s="1"/>
  <c r="AA141" i="1" s="1"/>
  <c r="AB141" i="1" s="1"/>
  <c r="AC141" i="1" s="1"/>
  <c r="AD141" i="1" s="1"/>
  <c r="AE141" i="1" s="1"/>
  <c r="AF141" i="1" s="1"/>
  <c r="AG141" i="1" s="1"/>
  <c r="AH141" i="1" s="1"/>
  <c r="AI141" i="1" s="1"/>
  <c r="AJ141" i="1" s="1"/>
  <c r="AK141" i="1" s="1"/>
  <c r="AL141" i="1" s="1"/>
  <c r="AM141" i="1" s="1"/>
  <c r="AN141" i="1" s="1"/>
  <c r="AO141" i="1" s="1"/>
  <c r="AP141" i="1" s="1"/>
  <c r="AQ141" i="1" s="1"/>
  <c r="AR141" i="1" s="1"/>
  <c r="AS141" i="1" s="1"/>
  <c r="AT141" i="1" s="1"/>
  <c r="AU141" i="1" s="1"/>
  <c r="AV141" i="1" s="1"/>
  <c r="AW141" i="1" s="1"/>
  <c r="AX141" i="1" s="1"/>
  <c r="AY141" i="1" s="1"/>
  <c r="AZ141" i="1" s="1"/>
  <c r="BA141" i="1" s="1"/>
  <c r="BB141" i="1" s="1"/>
  <c r="BC141" i="1" s="1"/>
  <c r="BD141" i="1" s="1"/>
  <c r="BE141" i="1" s="1"/>
  <c r="BF141" i="1" s="1"/>
  <c r="BG141" i="1" s="1"/>
  <c r="BH141" i="1" s="1"/>
  <c r="BI141" i="1" s="1"/>
  <c r="BJ141" i="1" s="1"/>
  <c r="BK141" i="1" s="1"/>
  <c r="BL141" i="1" s="1"/>
  <c r="BM141" i="1" s="1"/>
  <c r="BN141" i="1" s="1"/>
  <c r="BO141" i="1" s="1"/>
  <c r="BP141" i="1" s="1"/>
  <c r="B52" i="1"/>
  <c r="C52" i="1" s="1"/>
  <c r="D52" i="1" s="1"/>
  <c r="E52" i="1" s="1"/>
  <c r="F52" i="1" s="1"/>
  <c r="G52" i="1" s="1"/>
  <c r="H52" i="1" s="1"/>
  <c r="I52" i="1" s="1"/>
  <c r="J52" i="1" s="1"/>
  <c r="K52" i="1" s="1"/>
  <c r="L52" i="1" s="1"/>
  <c r="M52" i="1" s="1"/>
  <c r="N52" i="1" s="1"/>
  <c r="O52" i="1" s="1"/>
  <c r="P52" i="1" s="1"/>
  <c r="Q52" i="1" s="1"/>
  <c r="R52" i="1" s="1"/>
  <c r="S52" i="1" s="1"/>
  <c r="T52" i="1" s="1"/>
  <c r="U52" i="1" s="1"/>
  <c r="V52" i="1" s="1"/>
  <c r="W52" i="1" s="1"/>
  <c r="X52" i="1" s="1"/>
  <c r="Y52" i="1" s="1"/>
  <c r="Z52" i="1" s="1"/>
  <c r="AA52" i="1" s="1"/>
  <c r="AB52" i="1" s="1"/>
  <c r="AC52" i="1" s="1"/>
  <c r="AD52" i="1" s="1"/>
  <c r="AE52" i="1" s="1"/>
  <c r="AF52" i="1" s="1"/>
  <c r="AG52" i="1" s="1"/>
  <c r="AH52" i="1" s="1"/>
  <c r="AI52" i="1" s="1"/>
  <c r="AJ52" i="1" s="1"/>
  <c r="AK52" i="1" s="1"/>
  <c r="AL52" i="1" s="1"/>
  <c r="AM52" i="1" s="1"/>
  <c r="AN52" i="1" s="1"/>
  <c r="AO52" i="1" s="1"/>
  <c r="AP52" i="1" s="1"/>
  <c r="AQ52" i="1" s="1"/>
  <c r="AR52" i="1" s="1"/>
  <c r="AS52" i="1" s="1"/>
  <c r="AT52" i="1" s="1"/>
  <c r="AU52" i="1" s="1"/>
  <c r="AV52" i="1" s="1"/>
  <c r="AW52" i="1" s="1"/>
  <c r="AX52" i="1" s="1"/>
  <c r="AY52" i="1" s="1"/>
  <c r="AZ52" i="1" s="1"/>
  <c r="BA52" i="1" s="1"/>
  <c r="BB52" i="1" s="1"/>
  <c r="BC52" i="1" s="1"/>
  <c r="BD52" i="1" s="1"/>
  <c r="BE52" i="1" s="1"/>
  <c r="BF52" i="1" s="1"/>
  <c r="BG52" i="1" s="1"/>
  <c r="BH52" i="1" s="1"/>
  <c r="BI52" i="1" s="1"/>
  <c r="BJ52" i="1" s="1"/>
  <c r="BK52" i="1" s="1"/>
  <c r="BL52" i="1" s="1"/>
  <c r="BM52" i="1" s="1"/>
  <c r="BN52" i="1" s="1"/>
  <c r="BO52" i="1" s="1"/>
  <c r="BP52" i="1" s="1"/>
  <c r="B142" i="1"/>
  <c r="C142" i="1" s="1"/>
  <c r="D142" i="1" s="1"/>
  <c r="E142" i="1" s="1"/>
  <c r="F142" i="1" s="1"/>
  <c r="G142" i="1" s="1"/>
  <c r="H142" i="1" s="1"/>
  <c r="I142" i="1" s="1"/>
  <c r="J142" i="1" s="1"/>
  <c r="K142" i="1" s="1"/>
  <c r="L142" i="1" s="1"/>
  <c r="M142" i="1" s="1"/>
  <c r="N142" i="1" s="1"/>
  <c r="O142" i="1" s="1"/>
  <c r="P142" i="1" s="1"/>
  <c r="Q142" i="1" s="1"/>
  <c r="R142" i="1" s="1"/>
  <c r="S142" i="1" s="1"/>
  <c r="T142" i="1" s="1"/>
  <c r="U142" i="1" s="1"/>
  <c r="V142" i="1" s="1"/>
  <c r="W142" i="1" s="1"/>
  <c r="X142" i="1" s="1"/>
  <c r="Y142" i="1" s="1"/>
  <c r="Z142" i="1" s="1"/>
  <c r="AA142" i="1" s="1"/>
  <c r="AB142" i="1" s="1"/>
  <c r="AC142" i="1" s="1"/>
  <c r="AD142" i="1" s="1"/>
  <c r="AE142" i="1" s="1"/>
  <c r="AF142" i="1" s="1"/>
  <c r="AG142" i="1" s="1"/>
  <c r="AH142" i="1" s="1"/>
  <c r="AI142" i="1" s="1"/>
  <c r="AJ142" i="1" s="1"/>
  <c r="AK142" i="1" s="1"/>
  <c r="AL142" i="1" s="1"/>
  <c r="AM142" i="1" s="1"/>
  <c r="AN142" i="1" s="1"/>
  <c r="AO142" i="1" s="1"/>
  <c r="AP142" i="1" s="1"/>
  <c r="AQ142" i="1" s="1"/>
  <c r="AR142" i="1" s="1"/>
  <c r="AS142" i="1" s="1"/>
  <c r="AT142" i="1" s="1"/>
  <c r="AU142" i="1" s="1"/>
  <c r="AV142" i="1" s="1"/>
  <c r="AW142" i="1" s="1"/>
  <c r="AX142" i="1" s="1"/>
  <c r="AY142" i="1" s="1"/>
  <c r="AZ142" i="1" s="1"/>
  <c r="BA142" i="1" s="1"/>
  <c r="BB142" i="1" s="1"/>
  <c r="BC142" i="1" s="1"/>
  <c r="BD142" i="1" s="1"/>
  <c r="BE142" i="1" s="1"/>
  <c r="BF142" i="1" s="1"/>
  <c r="BG142" i="1" s="1"/>
  <c r="BH142" i="1" s="1"/>
  <c r="BI142" i="1" s="1"/>
  <c r="BJ142" i="1" s="1"/>
  <c r="BK142" i="1" s="1"/>
  <c r="BL142" i="1" s="1"/>
  <c r="BM142" i="1" s="1"/>
  <c r="BN142" i="1" s="1"/>
  <c r="BO142" i="1" s="1"/>
  <c r="BP142" i="1" s="1"/>
  <c r="B40" i="1"/>
  <c r="C40" i="1" s="1"/>
  <c r="D40" i="1" s="1"/>
  <c r="E40" i="1" s="1"/>
  <c r="F40" i="1" s="1"/>
  <c r="G40" i="1" s="1"/>
  <c r="H40" i="1" s="1"/>
  <c r="I40" i="1" s="1"/>
  <c r="J40" i="1" s="1"/>
  <c r="K40" i="1" s="1"/>
  <c r="L40" i="1" s="1"/>
  <c r="M40" i="1" s="1"/>
  <c r="N40" i="1" s="1"/>
  <c r="O40" i="1" s="1"/>
  <c r="P40" i="1" s="1"/>
  <c r="Q40" i="1" s="1"/>
  <c r="R40" i="1" s="1"/>
  <c r="S40" i="1" s="1"/>
  <c r="T40" i="1" s="1"/>
  <c r="U40" i="1" s="1"/>
  <c r="V40" i="1" s="1"/>
  <c r="W40" i="1" s="1"/>
  <c r="X40" i="1" s="1"/>
  <c r="Y40" i="1" s="1"/>
  <c r="Z40" i="1" s="1"/>
  <c r="AA40" i="1" s="1"/>
  <c r="AB40" i="1" s="1"/>
  <c r="AC40" i="1" s="1"/>
  <c r="AD40" i="1" s="1"/>
  <c r="AE40" i="1" s="1"/>
  <c r="AF40" i="1" s="1"/>
  <c r="AG40" i="1" s="1"/>
  <c r="AH40" i="1" s="1"/>
  <c r="AI40" i="1" s="1"/>
  <c r="AJ40" i="1" s="1"/>
  <c r="AK40" i="1" s="1"/>
  <c r="AL40" i="1" s="1"/>
  <c r="AM40" i="1" s="1"/>
  <c r="AN40" i="1" s="1"/>
  <c r="AO40" i="1" s="1"/>
  <c r="AP40" i="1" s="1"/>
  <c r="AQ40" i="1" s="1"/>
  <c r="AR40" i="1" s="1"/>
  <c r="AS40" i="1" s="1"/>
  <c r="AT40" i="1" s="1"/>
  <c r="AU40" i="1" s="1"/>
  <c r="AV40" i="1" s="1"/>
  <c r="AW40" i="1" s="1"/>
  <c r="AX40" i="1" s="1"/>
  <c r="AY40" i="1" s="1"/>
  <c r="AZ40" i="1" s="1"/>
  <c r="BA40" i="1" s="1"/>
  <c r="BB40" i="1" s="1"/>
  <c r="BC40" i="1" s="1"/>
  <c r="BD40" i="1" s="1"/>
  <c r="BE40" i="1" s="1"/>
  <c r="BF40" i="1" s="1"/>
  <c r="BG40" i="1" s="1"/>
  <c r="BH40" i="1" s="1"/>
  <c r="BI40" i="1" s="1"/>
  <c r="BJ40" i="1" s="1"/>
  <c r="BK40" i="1" s="1"/>
  <c r="BL40" i="1" s="1"/>
  <c r="BM40" i="1" s="1"/>
  <c r="BN40" i="1" s="1"/>
  <c r="BO40" i="1" s="1"/>
  <c r="BP40" i="1" s="1"/>
  <c r="B143" i="1"/>
  <c r="C143" i="1" s="1"/>
  <c r="D143" i="1" s="1"/>
  <c r="E143" i="1" s="1"/>
  <c r="F143" i="1" s="1"/>
  <c r="G143" i="1" s="1"/>
  <c r="H143" i="1" s="1"/>
  <c r="I143" i="1" s="1"/>
  <c r="J143" i="1" s="1"/>
  <c r="K143" i="1" s="1"/>
  <c r="L143" i="1" s="1"/>
  <c r="M143" i="1" s="1"/>
  <c r="N143" i="1" s="1"/>
  <c r="O143" i="1" s="1"/>
  <c r="P143" i="1" s="1"/>
  <c r="Q143" i="1" s="1"/>
  <c r="R143" i="1" s="1"/>
  <c r="S143" i="1" s="1"/>
  <c r="T143" i="1" s="1"/>
  <c r="U143" i="1" s="1"/>
  <c r="V143" i="1" s="1"/>
  <c r="W143" i="1" s="1"/>
  <c r="X143" i="1" s="1"/>
  <c r="Y143" i="1" s="1"/>
  <c r="Z143" i="1" s="1"/>
  <c r="AA143" i="1" s="1"/>
  <c r="AB143" i="1" s="1"/>
  <c r="AC143" i="1" s="1"/>
  <c r="AD143" i="1" s="1"/>
  <c r="AE143" i="1" s="1"/>
  <c r="AF143" i="1" s="1"/>
  <c r="AG143" i="1" s="1"/>
  <c r="AH143" i="1" s="1"/>
  <c r="AI143" i="1" s="1"/>
  <c r="AJ143" i="1" s="1"/>
  <c r="AK143" i="1" s="1"/>
  <c r="AL143" i="1" s="1"/>
  <c r="AM143" i="1" s="1"/>
  <c r="AN143" i="1" s="1"/>
  <c r="AO143" i="1" s="1"/>
  <c r="AP143" i="1" s="1"/>
  <c r="AQ143" i="1" s="1"/>
  <c r="AR143" i="1" s="1"/>
  <c r="AS143" i="1" s="1"/>
  <c r="AT143" i="1" s="1"/>
  <c r="AU143" i="1" s="1"/>
  <c r="AV143" i="1" s="1"/>
  <c r="AW143" i="1" s="1"/>
  <c r="AX143" i="1" s="1"/>
  <c r="AY143" i="1" s="1"/>
  <c r="AZ143" i="1" s="1"/>
  <c r="BA143" i="1" s="1"/>
  <c r="BB143" i="1" s="1"/>
  <c r="BC143" i="1" s="1"/>
  <c r="BD143" i="1" s="1"/>
  <c r="BE143" i="1" s="1"/>
  <c r="BF143" i="1" s="1"/>
  <c r="BG143" i="1" s="1"/>
  <c r="BH143" i="1" s="1"/>
  <c r="BI143" i="1" s="1"/>
  <c r="BJ143" i="1" s="1"/>
  <c r="BK143" i="1" s="1"/>
  <c r="BL143" i="1" s="1"/>
  <c r="BM143" i="1" s="1"/>
  <c r="BN143" i="1" s="1"/>
  <c r="BO143" i="1" s="1"/>
  <c r="BP143" i="1" s="1"/>
  <c r="B144" i="1"/>
  <c r="C144" i="1" s="1"/>
  <c r="D144" i="1" s="1"/>
  <c r="E144" i="1" s="1"/>
  <c r="F144" i="1" s="1"/>
  <c r="G144" i="1" s="1"/>
  <c r="H144" i="1" s="1"/>
  <c r="I144" i="1" s="1"/>
  <c r="J144" i="1" s="1"/>
  <c r="K144" i="1" s="1"/>
  <c r="L144" i="1" s="1"/>
  <c r="M144" i="1" s="1"/>
  <c r="N144" i="1" s="1"/>
  <c r="O144" i="1" s="1"/>
  <c r="P144" i="1" s="1"/>
  <c r="Q144" i="1" s="1"/>
  <c r="R144" i="1" s="1"/>
  <c r="S144" i="1" s="1"/>
  <c r="T144" i="1" s="1"/>
  <c r="U144" i="1" s="1"/>
  <c r="V144" i="1" s="1"/>
  <c r="W144" i="1" s="1"/>
  <c r="X144" i="1" s="1"/>
  <c r="Y144" i="1" s="1"/>
  <c r="Z144" i="1" s="1"/>
  <c r="AA144" i="1" s="1"/>
  <c r="AB144" i="1" s="1"/>
  <c r="AC144" i="1" s="1"/>
  <c r="AD144" i="1" s="1"/>
  <c r="AE144" i="1" s="1"/>
  <c r="AF144" i="1" s="1"/>
  <c r="AG144" i="1" s="1"/>
  <c r="AH144" i="1" s="1"/>
  <c r="AI144" i="1" s="1"/>
  <c r="AJ144" i="1" s="1"/>
  <c r="AK144" i="1" s="1"/>
  <c r="AL144" i="1" s="1"/>
  <c r="AM144" i="1" s="1"/>
  <c r="AN144" i="1" s="1"/>
  <c r="AO144" i="1" s="1"/>
  <c r="AP144" i="1" s="1"/>
  <c r="AQ144" i="1" s="1"/>
  <c r="AR144" i="1" s="1"/>
  <c r="AS144" i="1" s="1"/>
  <c r="AT144" i="1" s="1"/>
  <c r="AU144" i="1" s="1"/>
  <c r="AV144" i="1" s="1"/>
  <c r="AW144" i="1" s="1"/>
  <c r="AX144" i="1" s="1"/>
  <c r="AY144" i="1" s="1"/>
  <c r="AZ144" i="1" s="1"/>
  <c r="BA144" i="1" s="1"/>
  <c r="BB144" i="1" s="1"/>
  <c r="BC144" i="1" s="1"/>
  <c r="BD144" i="1" s="1"/>
  <c r="BE144" i="1" s="1"/>
  <c r="BF144" i="1" s="1"/>
  <c r="BG144" i="1" s="1"/>
  <c r="BH144" i="1" s="1"/>
  <c r="BI144" i="1" s="1"/>
  <c r="BJ144" i="1" s="1"/>
  <c r="BK144" i="1" s="1"/>
  <c r="BL144" i="1" s="1"/>
  <c r="BM144" i="1" s="1"/>
  <c r="BN144" i="1" s="1"/>
  <c r="BO144" i="1" s="1"/>
  <c r="BP144" i="1" s="1"/>
  <c r="B44" i="1"/>
  <c r="C44" i="1" s="1"/>
  <c r="D44" i="1" s="1"/>
  <c r="E44" i="1" s="1"/>
  <c r="F44" i="1" s="1"/>
  <c r="G44" i="1" s="1"/>
  <c r="H44" i="1" s="1"/>
  <c r="I44" i="1" s="1"/>
  <c r="J44" i="1" s="1"/>
  <c r="K44" i="1" s="1"/>
  <c r="L44" i="1" s="1"/>
  <c r="M44" i="1" s="1"/>
  <c r="N44" i="1" s="1"/>
  <c r="O44" i="1" s="1"/>
  <c r="P44" i="1" s="1"/>
  <c r="Q44" i="1" s="1"/>
  <c r="R44" i="1" s="1"/>
  <c r="S44" i="1" s="1"/>
  <c r="T44" i="1" s="1"/>
  <c r="U44" i="1" s="1"/>
  <c r="V44" i="1" s="1"/>
  <c r="W44" i="1" s="1"/>
  <c r="X44" i="1" s="1"/>
  <c r="Y44" i="1" s="1"/>
  <c r="Z44" i="1" s="1"/>
  <c r="AA44" i="1" s="1"/>
  <c r="AB44" i="1" s="1"/>
  <c r="AC44" i="1" s="1"/>
  <c r="AD44" i="1" s="1"/>
  <c r="AE44" i="1" s="1"/>
  <c r="AF44" i="1" s="1"/>
  <c r="AG44" i="1" s="1"/>
  <c r="AH44" i="1" s="1"/>
  <c r="AI44" i="1" s="1"/>
  <c r="AJ44" i="1" s="1"/>
  <c r="AK44" i="1" s="1"/>
  <c r="AL44" i="1" s="1"/>
  <c r="AM44" i="1" s="1"/>
  <c r="AN44" i="1" s="1"/>
  <c r="AO44" i="1" s="1"/>
  <c r="AP44" i="1" s="1"/>
  <c r="AQ44" i="1" s="1"/>
  <c r="AR44" i="1" s="1"/>
  <c r="AS44" i="1" s="1"/>
  <c r="AT44" i="1" s="1"/>
  <c r="AU44" i="1" s="1"/>
  <c r="AV44" i="1" s="1"/>
  <c r="AW44" i="1" s="1"/>
  <c r="AX44" i="1" s="1"/>
  <c r="AY44" i="1" s="1"/>
  <c r="AZ44" i="1" s="1"/>
  <c r="BA44" i="1" s="1"/>
  <c r="BB44" i="1" s="1"/>
  <c r="BC44" i="1" s="1"/>
  <c r="BD44" i="1" s="1"/>
  <c r="BE44" i="1" s="1"/>
  <c r="BF44" i="1" s="1"/>
  <c r="BG44" i="1" s="1"/>
  <c r="BH44" i="1" s="1"/>
  <c r="BI44" i="1" s="1"/>
  <c r="BJ44" i="1" s="1"/>
  <c r="BK44" i="1" s="1"/>
  <c r="BL44" i="1" s="1"/>
  <c r="BM44" i="1" s="1"/>
  <c r="BN44" i="1" s="1"/>
  <c r="BO44" i="1" s="1"/>
  <c r="BP44" i="1" s="1"/>
  <c r="B145" i="1"/>
  <c r="C145" i="1" s="1"/>
  <c r="D145" i="1" s="1"/>
  <c r="E145" i="1" s="1"/>
  <c r="F145" i="1" s="1"/>
  <c r="G145" i="1" s="1"/>
  <c r="H145" i="1" s="1"/>
  <c r="I145" i="1" s="1"/>
  <c r="J145" i="1" s="1"/>
  <c r="K145" i="1" s="1"/>
  <c r="L145" i="1" s="1"/>
  <c r="M145" i="1" s="1"/>
  <c r="N145" i="1" s="1"/>
  <c r="O145" i="1" s="1"/>
  <c r="P145" i="1" s="1"/>
  <c r="Q145" i="1" s="1"/>
  <c r="R145" i="1" s="1"/>
  <c r="S145" i="1" s="1"/>
  <c r="T145" i="1" s="1"/>
  <c r="U145" i="1" s="1"/>
  <c r="V145" i="1" s="1"/>
  <c r="W145" i="1" s="1"/>
  <c r="X145" i="1" s="1"/>
  <c r="Y145" i="1" s="1"/>
  <c r="Z145" i="1" s="1"/>
  <c r="AA145" i="1" s="1"/>
  <c r="AB145" i="1" s="1"/>
  <c r="AC145" i="1" s="1"/>
  <c r="AD145" i="1" s="1"/>
  <c r="AE145" i="1" s="1"/>
  <c r="AF145" i="1" s="1"/>
  <c r="AG145" i="1" s="1"/>
  <c r="AH145" i="1" s="1"/>
  <c r="AI145" i="1" s="1"/>
  <c r="AJ145" i="1" s="1"/>
  <c r="AK145" i="1" s="1"/>
  <c r="AL145" i="1" s="1"/>
  <c r="AM145" i="1" s="1"/>
  <c r="AN145" i="1" s="1"/>
  <c r="AO145" i="1" s="1"/>
  <c r="AP145" i="1" s="1"/>
  <c r="AQ145" i="1" s="1"/>
  <c r="AR145" i="1" s="1"/>
  <c r="AS145" i="1" s="1"/>
  <c r="AT145" i="1" s="1"/>
  <c r="AU145" i="1" s="1"/>
  <c r="AV145" i="1" s="1"/>
  <c r="AW145" i="1" s="1"/>
  <c r="AX145" i="1" s="1"/>
  <c r="AY145" i="1" s="1"/>
  <c r="AZ145" i="1" s="1"/>
  <c r="BA145" i="1" s="1"/>
  <c r="BB145" i="1" s="1"/>
  <c r="BC145" i="1" s="1"/>
  <c r="BD145" i="1" s="1"/>
  <c r="BE145" i="1" s="1"/>
  <c r="BF145" i="1" s="1"/>
  <c r="BG145" i="1" s="1"/>
  <c r="BH145" i="1" s="1"/>
  <c r="BI145" i="1" s="1"/>
  <c r="BJ145" i="1" s="1"/>
  <c r="BK145" i="1" s="1"/>
  <c r="BL145" i="1" s="1"/>
  <c r="BM145" i="1" s="1"/>
  <c r="BN145" i="1" s="1"/>
  <c r="BO145" i="1" s="1"/>
  <c r="BP145" i="1" s="1"/>
  <c r="B47" i="1"/>
  <c r="C47" i="1" s="1"/>
  <c r="D47" i="1" s="1"/>
  <c r="E47" i="1" s="1"/>
  <c r="F47" i="1" s="1"/>
  <c r="G47" i="1" s="1"/>
  <c r="H47" i="1" s="1"/>
  <c r="I47" i="1" s="1"/>
  <c r="J47" i="1" s="1"/>
  <c r="K47" i="1" s="1"/>
  <c r="L47" i="1" s="1"/>
  <c r="M47" i="1" s="1"/>
  <c r="N47" i="1" s="1"/>
  <c r="O47" i="1" s="1"/>
  <c r="P47" i="1" s="1"/>
  <c r="Q47" i="1" s="1"/>
  <c r="R47" i="1" s="1"/>
  <c r="S47" i="1" s="1"/>
  <c r="T47" i="1" s="1"/>
  <c r="U47" i="1" s="1"/>
  <c r="V47" i="1" s="1"/>
  <c r="W47" i="1" s="1"/>
  <c r="X47" i="1" s="1"/>
  <c r="Y47" i="1" s="1"/>
  <c r="Z47" i="1" s="1"/>
  <c r="AA47" i="1" s="1"/>
  <c r="AB47" i="1" s="1"/>
  <c r="AC47" i="1" s="1"/>
  <c r="AD47" i="1" s="1"/>
  <c r="AE47" i="1" s="1"/>
  <c r="AF47" i="1" s="1"/>
  <c r="AG47" i="1" s="1"/>
  <c r="AH47" i="1" s="1"/>
  <c r="AI47" i="1" s="1"/>
  <c r="AJ47" i="1" s="1"/>
  <c r="AK47" i="1" s="1"/>
  <c r="AL47" i="1" s="1"/>
  <c r="AM47" i="1" s="1"/>
  <c r="AN47" i="1" s="1"/>
  <c r="AO47" i="1" s="1"/>
  <c r="AP47" i="1" s="1"/>
  <c r="AQ47" i="1" s="1"/>
  <c r="AR47" i="1" s="1"/>
  <c r="AS47" i="1" s="1"/>
  <c r="AT47" i="1" s="1"/>
  <c r="AU47" i="1" s="1"/>
  <c r="AV47" i="1" s="1"/>
  <c r="AW47" i="1" s="1"/>
  <c r="AX47" i="1" s="1"/>
  <c r="AY47" i="1" s="1"/>
  <c r="AZ47" i="1" s="1"/>
  <c r="BA47" i="1" s="1"/>
  <c r="BB47" i="1" s="1"/>
  <c r="BC47" i="1" s="1"/>
  <c r="BD47" i="1" s="1"/>
  <c r="BE47" i="1" s="1"/>
  <c r="BF47" i="1" s="1"/>
  <c r="BG47" i="1" s="1"/>
  <c r="BH47" i="1" s="1"/>
  <c r="BI47" i="1" s="1"/>
  <c r="BJ47" i="1" s="1"/>
  <c r="BK47" i="1" s="1"/>
  <c r="BL47" i="1" s="1"/>
  <c r="BM47" i="1" s="1"/>
  <c r="BN47" i="1" s="1"/>
  <c r="BO47" i="1" s="1"/>
  <c r="BP47" i="1" s="1"/>
  <c r="B45" i="1"/>
  <c r="C45" i="1" s="1"/>
  <c r="D45" i="1" s="1"/>
  <c r="E45" i="1" s="1"/>
  <c r="F45" i="1" s="1"/>
  <c r="G45" i="1" s="1"/>
  <c r="H45" i="1" s="1"/>
  <c r="I45" i="1" s="1"/>
  <c r="J45" i="1" s="1"/>
  <c r="K45" i="1" s="1"/>
  <c r="L45" i="1" s="1"/>
  <c r="M45" i="1" s="1"/>
  <c r="N45" i="1" s="1"/>
  <c r="O45" i="1" s="1"/>
  <c r="P45" i="1" s="1"/>
  <c r="Q45" i="1" s="1"/>
  <c r="R45" i="1" s="1"/>
  <c r="S45" i="1" s="1"/>
  <c r="T45" i="1" s="1"/>
  <c r="U45" i="1" s="1"/>
  <c r="V45" i="1" s="1"/>
  <c r="W45" i="1" s="1"/>
  <c r="X45" i="1" s="1"/>
  <c r="Y45" i="1" s="1"/>
  <c r="Z45" i="1" s="1"/>
  <c r="AA45" i="1" s="1"/>
  <c r="AB45" i="1" s="1"/>
  <c r="AC45" i="1" s="1"/>
  <c r="AD45" i="1" s="1"/>
  <c r="AE45" i="1" s="1"/>
  <c r="AF45" i="1" s="1"/>
  <c r="AG45" i="1" s="1"/>
  <c r="AH45" i="1" s="1"/>
  <c r="AI45" i="1" s="1"/>
  <c r="AJ45" i="1" s="1"/>
  <c r="AK45" i="1" s="1"/>
  <c r="AL45" i="1" s="1"/>
  <c r="AM45" i="1" s="1"/>
  <c r="AN45" i="1" s="1"/>
  <c r="AO45" i="1" s="1"/>
  <c r="AP45" i="1" s="1"/>
  <c r="AQ45" i="1" s="1"/>
  <c r="AR45" i="1" s="1"/>
  <c r="AS45" i="1" s="1"/>
  <c r="AT45" i="1" s="1"/>
  <c r="AU45" i="1" s="1"/>
  <c r="AV45" i="1" s="1"/>
  <c r="AW45" i="1" s="1"/>
  <c r="AX45" i="1" s="1"/>
  <c r="AY45" i="1" s="1"/>
  <c r="AZ45" i="1" s="1"/>
  <c r="BA45" i="1" s="1"/>
  <c r="BB45" i="1" s="1"/>
  <c r="BC45" i="1" s="1"/>
  <c r="BD45" i="1" s="1"/>
  <c r="BE45" i="1" s="1"/>
  <c r="BF45" i="1" s="1"/>
  <c r="BG45" i="1" s="1"/>
  <c r="BH45" i="1" s="1"/>
  <c r="BI45" i="1" s="1"/>
  <c r="BJ45" i="1" s="1"/>
  <c r="BK45" i="1" s="1"/>
  <c r="BL45" i="1" s="1"/>
  <c r="BM45" i="1" s="1"/>
  <c r="BN45" i="1" s="1"/>
  <c r="BO45" i="1" s="1"/>
  <c r="BP45" i="1" s="1"/>
  <c r="B146" i="1"/>
  <c r="C146" i="1" s="1"/>
  <c r="D146" i="1" s="1"/>
  <c r="E146" i="1" s="1"/>
  <c r="F146" i="1" s="1"/>
  <c r="G146" i="1" s="1"/>
  <c r="H146" i="1" s="1"/>
  <c r="I146" i="1" s="1"/>
  <c r="J146" i="1" s="1"/>
  <c r="K146" i="1" s="1"/>
  <c r="L146" i="1" s="1"/>
  <c r="M146" i="1" s="1"/>
  <c r="N146" i="1" s="1"/>
  <c r="O146" i="1" s="1"/>
  <c r="P146" i="1" s="1"/>
  <c r="Q146" i="1" s="1"/>
  <c r="R146" i="1" s="1"/>
  <c r="S146" i="1" s="1"/>
  <c r="T146" i="1" s="1"/>
  <c r="U146" i="1" s="1"/>
  <c r="V146" i="1" s="1"/>
  <c r="W146" i="1" s="1"/>
  <c r="X146" i="1" s="1"/>
  <c r="Y146" i="1" s="1"/>
  <c r="Z146" i="1" s="1"/>
  <c r="AA146" i="1" s="1"/>
  <c r="AB146" i="1" s="1"/>
  <c r="AC146" i="1" s="1"/>
  <c r="AD146" i="1" s="1"/>
  <c r="AE146" i="1" s="1"/>
  <c r="AF146" i="1" s="1"/>
  <c r="AG146" i="1" s="1"/>
  <c r="AH146" i="1" s="1"/>
  <c r="AI146" i="1" s="1"/>
  <c r="AJ146" i="1" s="1"/>
  <c r="AK146" i="1" s="1"/>
  <c r="AL146" i="1" s="1"/>
  <c r="AM146" i="1" s="1"/>
  <c r="AN146" i="1" s="1"/>
  <c r="AO146" i="1" s="1"/>
  <c r="AP146" i="1" s="1"/>
  <c r="AQ146" i="1" s="1"/>
  <c r="AR146" i="1" s="1"/>
  <c r="AS146" i="1" s="1"/>
  <c r="AT146" i="1" s="1"/>
  <c r="AU146" i="1" s="1"/>
  <c r="AV146" i="1" s="1"/>
  <c r="AW146" i="1" s="1"/>
  <c r="AX146" i="1" s="1"/>
  <c r="AY146" i="1" s="1"/>
  <c r="AZ146" i="1" s="1"/>
  <c r="BA146" i="1" s="1"/>
  <c r="BB146" i="1" s="1"/>
  <c r="BC146" i="1" s="1"/>
  <c r="BD146" i="1" s="1"/>
  <c r="BE146" i="1" s="1"/>
  <c r="BF146" i="1" s="1"/>
  <c r="BG146" i="1" s="1"/>
  <c r="BH146" i="1" s="1"/>
  <c r="BI146" i="1" s="1"/>
  <c r="BJ146" i="1" s="1"/>
  <c r="BK146" i="1" s="1"/>
  <c r="BL146" i="1" s="1"/>
  <c r="BM146" i="1" s="1"/>
  <c r="BN146" i="1" s="1"/>
  <c r="BO146" i="1" s="1"/>
  <c r="BP146" i="1" s="1"/>
  <c r="B43" i="1"/>
  <c r="C43" i="1" s="1"/>
  <c r="D43" i="1" s="1"/>
  <c r="E43" i="1" s="1"/>
  <c r="F43" i="1" s="1"/>
  <c r="G43" i="1" s="1"/>
  <c r="H43" i="1" s="1"/>
  <c r="I43" i="1" s="1"/>
  <c r="J43" i="1" s="1"/>
  <c r="K43" i="1" s="1"/>
  <c r="L43" i="1" s="1"/>
  <c r="M43" i="1" s="1"/>
  <c r="N43" i="1" s="1"/>
  <c r="O43" i="1" s="1"/>
  <c r="P43" i="1" s="1"/>
  <c r="Q43" i="1" s="1"/>
  <c r="R43" i="1" s="1"/>
  <c r="S43" i="1" s="1"/>
  <c r="T43" i="1" s="1"/>
  <c r="U43" i="1" s="1"/>
  <c r="V43" i="1" s="1"/>
  <c r="W43" i="1" s="1"/>
  <c r="X43" i="1" s="1"/>
  <c r="Y43" i="1" s="1"/>
  <c r="Z43" i="1" s="1"/>
  <c r="AA43" i="1" s="1"/>
  <c r="AB43" i="1" s="1"/>
  <c r="AC43" i="1" s="1"/>
  <c r="AD43" i="1" s="1"/>
  <c r="AE43" i="1" s="1"/>
  <c r="AF43" i="1" s="1"/>
  <c r="AG43" i="1" s="1"/>
  <c r="AH43" i="1" s="1"/>
  <c r="AI43" i="1" s="1"/>
  <c r="AJ43" i="1" s="1"/>
  <c r="AK43" i="1" s="1"/>
  <c r="AL43" i="1" s="1"/>
  <c r="AM43" i="1" s="1"/>
  <c r="AN43" i="1" s="1"/>
  <c r="AO43" i="1" s="1"/>
  <c r="AP43" i="1" s="1"/>
  <c r="AQ43" i="1" s="1"/>
  <c r="AR43" i="1" s="1"/>
  <c r="AS43" i="1" s="1"/>
  <c r="AT43" i="1" s="1"/>
  <c r="AU43" i="1" s="1"/>
  <c r="AV43" i="1" s="1"/>
  <c r="AW43" i="1" s="1"/>
  <c r="AX43" i="1" s="1"/>
  <c r="AY43" i="1" s="1"/>
  <c r="AZ43" i="1" s="1"/>
  <c r="BA43" i="1" s="1"/>
  <c r="BB43" i="1" s="1"/>
  <c r="BC43" i="1" s="1"/>
  <c r="BD43" i="1" s="1"/>
  <c r="BE43" i="1" s="1"/>
  <c r="BF43" i="1" s="1"/>
  <c r="BG43" i="1" s="1"/>
  <c r="BH43" i="1" s="1"/>
  <c r="BI43" i="1" s="1"/>
  <c r="BJ43" i="1" s="1"/>
  <c r="BK43" i="1" s="1"/>
  <c r="BL43" i="1" s="1"/>
  <c r="BM43" i="1" s="1"/>
  <c r="BN43" i="1" s="1"/>
  <c r="BO43" i="1" s="1"/>
  <c r="BP43" i="1" s="1"/>
  <c r="B46" i="1"/>
  <c r="C46" i="1" s="1"/>
  <c r="D46" i="1" s="1"/>
  <c r="E46" i="1" s="1"/>
  <c r="F46" i="1" s="1"/>
  <c r="G46" i="1" s="1"/>
  <c r="H46" i="1" s="1"/>
  <c r="I46" i="1" s="1"/>
  <c r="J46" i="1" s="1"/>
  <c r="K46" i="1" s="1"/>
  <c r="L46" i="1" s="1"/>
  <c r="M46" i="1" s="1"/>
  <c r="N46" i="1" s="1"/>
  <c r="O46" i="1" s="1"/>
  <c r="P46" i="1" s="1"/>
  <c r="Q46" i="1" s="1"/>
  <c r="R46" i="1" s="1"/>
  <c r="S46" i="1" s="1"/>
  <c r="T46" i="1" s="1"/>
  <c r="U46" i="1" s="1"/>
  <c r="V46" i="1" s="1"/>
  <c r="W46" i="1" s="1"/>
  <c r="X46" i="1" s="1"/>
  <c r="Y46" i="1" s="1"/>
  <c r="Z46" i="1" s="1"/>
  <c r="AA46" i="1" s="1"/>
  <c r="AB46" i="1" s="1"/>
  <c r="AC46" i="1" s="1"/>
  <c r="AD46" i="1" s="1"/>
  <c r="AE46" i="1" s="1"/>
  <c r="AF46" i="1" s="1"/>
  <c r="AG46" i="1" s="1"/>
  <c r="AH46" i="1" s="1"/>
  <c r="AI46" i="1" s="1"/>
  <c r="AJ46" i="1" s="1"/>
  <c r="AK46" i="1" s="1"/>
  <c r="AL46" i="1" s="1"/>
  <c r="AM46" i="1" s="1"/>
  <c r="AN46" i="1" s="1"/>
  <c r="AO46" i="1" s="1"/>
  <c r="AP46" i="1" s="1"/>
  <c r="AQ46" i="1" s="1"/>
  <c r="AR46" i="1" s="1"/>
  <c r="AS46" i="1" s="1"/>
  <c r="AT46" i="1" s="1"/>
  <c r="AU46" i="1" s="1"/>
  <c r="AV46" i="1" s="1"/>
  <c r="AW46" i="1" s="1"/>
  <c r="AX46" i="1" s="1"/>
  <c r="AY46" i="1" s="1"/>
  <c r="AZ46" i="1" s="1"/>
  <c r="BA46" i="1" s="1"/>
  <c r="BB46" i="1" s="1"/>
  <c r="BC46" i="1" s="1"/>
  <c r="BD46" i="1" s="1"/>
  <c r="BE46" i="1" s="1"/>
  <c r="BF46" i="1" s="1"/>
  <c r="BG46" i="1" s="1"/>
  <c r="BH46" i="1" s="1"/>
  <c r="BI46" i="1" s="1"/>
  <c r="BJ46" i="1" s="1"/>
  <c r="BK46" i="1" s="1"/>
  <c r="BL46" i="1" s="1"/>
  <c r="BM46" i="1" s="1"/>
  <c r="BN46" i="1" s="1"/>
  <c r="BO46" i="1" s="1"/>
  <c r="BP46" i="1" s="1"/>
  <c r="B54" i="1"/>
  <c r="C54" i="1" s="1"/>
  <c r="D54" i="1" s="1"/>
  <c r="E54" i="1" s="1"/>
  <c r="F54" i="1" s="1"/>
  <c r="G54" i="1" s="1"/>
  <c r="H54" i="1" s="1"/>
  <c r="I54" i="1" s="1"/>
  <c r="J54" i="1" s="1"/>
  <c r="K54" i="1" s="1"/>
  <c r="L54" i="1" s="1"/>
  <c r="M54" i="1" s="1"/>
  <c r="N54" i="1" s="1"/>
  <c r="O54" i="1" s="1"/>
  <c r="P54" i="1" s="1"/>
  <c r="Q54" i="1" s="1"/>
  <c r="R54" i="1" s="1"/>
  <c r="S54" i="1" s="1"/>
  <c r="T54" i="1" s="1"/>
  <c r="U54" i="1" s="1"/>
  <c r="V54" i="1" s="1"/>
  <c r="W54" i="1" s="1"/>
  <c r="X54" i="1" s="1"/>
  <c r="Y54" i="1" s="1"/>
  <c r="Z54" i="1" s="1"/>
  <c r="AA54" i="1" s="1"/>
  <c r="AB54" i="1" s="1"/>
  <c r="AC54" i="1" s="1"/>
  <c r="AD54" i="1" s="1"/>
  <c r="AE54" i="1" s="1"/>
  <c r="AF54" i="1" s="1"/>
  <c r="AG54" i="1" s="1"/>
  <c r="AH54" i="1" s="1"/>
  <c r="AI54" i="1" s="1"/>
  <c r="AJ54" i="1" s="1"/>
  <c r="AK54" i="1" s="1"/>
  <c r="AL54" i="1" s="1"/>
  <c r="AM54" i="1" s="1"/>
  <c r="AN54" i="1" s="1"/>
  <c r="AO54" i="1" s="1"/>
  <c r="AP54" i="1" s="1"/>
  <c r="AQ54" i="1" s="1"/>
  <c r="AR54" i="1" s="1"/>
  <c r="AS54" i="1" s="1"/>
  <c r="AT54" i="1" s="1"/>
  <c r="AU54" i="1" s="1"/>
  <c r="AV54" i="1" s="1"/>
  <c r="AW54" i="1" s="1"/>
  <c r="AX54" i="1" s="1"/>
  <c r="AY54" i="1" s="1"/>
  <c r="AZ54" i="1" s="1"/>
  <c r="BA54" i="1" s="1"/>
  <c r="BB54" i="1" s="1"/>
  <c r="BC54" i="1" s="1"/>
  <c r="BD54" i="1" s="1"/>
  <c r="BE54" i="1" s="1"/>
  <c r="BF54" i="1" s="1"/>
  <c r="BG54" i="1" s="1"/>
  <c r="BH54" i="1" s="1"/>
  <c r="BI54" i="1" s="1"/>
  <c r="BJ54" i="1" s="1"/>
  <c r="BK54" i="1" s="1"/>
  <c r="BL54" i="1" s="1"/>
  <c r="BM54" i="1" s="1"/>
  <c r="BN54" i="1" s="1"/>
  <c r="BO54" i="1" s="1"/>
  <c r="BP54" i="1" s="1"/>
  <c r="B58" i="1"/>
  <c r="C58" i="1" s="1"/>
  <c r="D58" i="1" s="1"/>
  <c r="E58" i="1" s="1"/>
  <c r="F58" i="1" s="1"/>
  <c r="G58" i="1" s="1"/>
  <c r="H58" i="1" s="1"/>
  <c r="I58" i="1" s="1"/>
  <c r="J58" i="1" s="1"/>
  <c r="K58" i="1" s="1"/>
  <c r="L58" i="1" s="1"/>
  <c r="M58" i="1" s="1"/>
  <c r="N58" i="1" s="1"/>
  <c r="O58" i="1" s="1"/>
  <c r="P58" i="1" s="1"/>
  <c r="Q58" i="1" s="1"/>
  <c r="R58" i="1" s="1"/>
  <c r="S58" i="1" s="1"/>
  <c r="T58" i="1" s="1"/>
  <c r="U58" i="1" s="1"/>
  <c r="V58" i="1" s="1"/>
  <c r="W58" i="1" s="1"/>
  <c r="X58" i="1" s="1"/>
  <c r="Y58" i="1" s="1"/>
  <c r="Z58" i="1" s="1"/>
  <c r="AA58" i="1" s="1"/>
  <c r="AB58" i="1" s="1"/>
  <c r="AC58" i="1" s="1"/>
  <c r="AD58" i="1" s="1"/>
  <c r="AE58" i="1" s="1"/>
  <c r="AF58" i="1" s="1"/>
  <c r="AG58" i="1" s="1"/>
  <c r="AH58" i="1" s="1"/>
  <c r="AI58" i="1" s="1"/>
  <c r="AJ58" i="1" s="1"/>
  <c r="AK58" i="1" s="1"/>
  <c r="AL58" i="1" s="1"/>
  <c r="AM58" i="1" s="1"/>
  <c r="AN58" i="1" s="1"/>
  <c r="AO58" i="1" s="1"/>
  <c r="AP58" i="1" s="1"/>
  <c r="AQ58" i="1" s="1"/>
  <c r="AR58" i="1" s="1"/>
  <c r="AS58" i="1" s="1"/>
  <c r="AT58" i="1" s="1"/>
  <c r="AU58" i="1" s="1"/>
  <c r="AV58" i="1" s="1"/>
  <c r="AW58" i="1" s="1"/>
  <c r="AX58" i="1" s="1"/>
  <c r="AY58" i="1" s="1"/>
  <c r="AZ58" i="1" s="1"/>
  <c r="BA58" i="1" s="1"/>
  <c r="BB58" i="1" s="1"/>
  <c r="BC58" i="1" s="1"/>
  <c r="BD58" i="1" s="1"/>
  <c r="BE58" i="1" s="1"/>
  <c r="BF58" i="1" s="1"/>
  <c r="BG58" i="1" s="1"/>
  <c r="BH58" i="1" s="1"/>
  <c r="BI58" i="1" s="1"/>
  <c r="BJ58" i="1" s="1"/>
  <c r="BK58" i="1" s="1"/>
  <c r="BL58" i="1" s="1"/>
  <c r="BM58" i="1" s="1"/>
  <c r="BN58" i="1" s="1"/>
  <c r="BO58" i="1" s="1"/>
  <c r="BP58" i="1" s="1"/>
  <c r="B63" i="1"/>
  <c r="C63" i="1" s="1"/>
  <c r="D63" i="1" s="1"/>
  <c r="E63" i="1" s="1"/>
  <c r="F63" i="1" s="1"/>
  <c r="G63" i="1" s="1"/>
  <c r="H63" i="1" s="1"/>
  <c r="I63" i="1" s="1"/>
  <c r="J63" i="1" s="1"/>
  <c r="K63" i="1" s="1"/>
  <c r="L63" i="1" s="1"/>
  <c r="M63" i="1" s="1"/>
  <c r="N63" i="1" s="1"/>
  <c r="O63" i="1" s="1"/>
  <c r="P63" i="1" s="1"/>
  <c r="Q63" i="1" s="1"/>
  <c r="R63" i="1" s="1"/>
  <c r="S63" i="1" s="1"/>
  <c r="T63" i="1" s="1"/>
  <c r="U63" i="1" s="1"/>
  <c r="V63" i="1" s="1"/>
  <c r="W63" i="1" s="1"/>
  <c r="X63" i="1" s="1"/>
  <c r="Y63" i="1" s="1"/>
  <c r="Z63" i="1" s="1"/>
  <c r="AA63" i="1" s="1"/>
  <c r="AB63" i="1" s="1"/>
  <c r="AC63" i="1" s="1"/>
  <c r="AD63" i="1" s="1"/>
  <c r="AE63" i="1" s="1"/>
  <c r="AF63" i="1" s="1"/>
  <c r="AG63" i="1" s="1"/>
  <c r="AH63" i="1" s="1"/>
  <c r="AI63" i="1" s="1"/>
  <c r="AJ63" i="1" s="1"/>
  <c r="AK63" i="1" s="1"/>
  <c r="AL63" i="1" s="1"/>
  <c r="AM63" i="1" s="1"/>
  <c r="AN63" i="1" s="1"/>
  <c r="AO63" i="1" s="1"/>
  <c r="AP63" i="1" s="1"/>
  <c r="AQ63" i="1" s="1"/>
  <c r="AR63" i="1" s="1"/>
  <c r="AS63" i="1" s="1"/>
  <c r="AT63" i="1" s="1"/>
  <c r="AU63" i="1" s="1"/>
  <c r="AV63" i="1" s="1"/>
  <c r="AW63" i="1" s="1"/>
  <c r="AX63" i="1" s="1"/>
  <c r="AY63" i="1" s="1"/>
  <c r="AZ63" i="1" s="1"/>
  <c r="BA63" i="1" s="1"/>
  <c r="BB63" i="1" s="1"/>
  <c r="BC63" i="1" s="1"/>
  <c r="BD63" i="1" s="1"/>
  <c r="BE63" i="1" s="1"/>
  <c r="BF63" i="1" s="1"/>
  <c r="BG63" i="1" s="1"/>
  <c r="BH63" i="1" s="1"/>
  <c r="BI63" i="1" s="1"/>
  <c r="BJ63" i="1" s="1"/>
  <c r="BK63" i="1" s="1"/>
  <c r="BL63" i="1" s="1"/>
  <c r="BM63" i="1" s="1"/>
  <c r="BN63" i="1" s="1"/>
  <c r="BO63" i="1" s="1"/>
  <c r="BP63" i="1" s="1"/>
  <c r="B147" i="1"/>
  <c r="C147" i="1" s="1"/>
  <c r="D147" i="1" s="1"/>
  <c r="E147" i="1" s="1"/>
  <c r="F147" i="1" s="1"/>
  <c r="G147" i="1" s="1"/>
  <c r="H147" i="1" s="1"/>
  <c r="I147" i="1" s="1"/>
  <c r="J147" i="1" s="1"/>
  <c r="K147" i="1" s="1"/>
  <c r="L147" i="1" s="1"/>
  <c r="M147" i="1" s="1"/>
  <c r="N147" i="1" s="1"/>
  <c r="O147" i="1" s="1"/>
  <c r="P147" i="1" s="1"/>
  <c r="Q147" i="1" s="1"/>
  <c r="R147" i="1" s="1"/>
  <c r="S147" i="1" s="1"/>
  <c r="T147" i="1" s="1"/>
  <c r="U147" i="1" s="1"/>
  <c r="V147" i="1" s="1"/>
  <c r="W147" i="1" s="1"/>
  <c r="X147" i="1" s="1"/>
  <c r="Y147" i="1" s="1"/>
  <c r="Z147" i="1" s="1"/>
  <c r="AA147" i="1" s="1"/>
  <c r="AB147" i="1" s="1"/>
  <c r="AC147" i="1" s="1"/>
  <c r="AD147" i="1" s="1"/>
  <c r="AE147" i="1" s="1"/>
  <c r="AF147" i="1" s="1"/>
  <c r="AG147" i="1" s="1"/>
  <c r="AH147" i="1" s="1"/>
  <c r="AI147" i="1" s="1"/>
  <c r="AJ147" i="1" s="1"/>
  <c r="AK147" i="1" s="1"/>
  <c r="AL147" i="1" s="1"/>
  <c r="AM147" i="1" s="1"/>
  <c r="AN147" i="1" s="1"/>
  <c r="AO147" i="1" s="1"/>
  <c r="AP147" i="1" s="1"/>
  <c r="AQ147" i="1" s="1"/>
  <c r="AR147" i="1" s="1"/>
  <c r="AS147" i="1" s="1"/>
  <c r="AT147" i="1" s="1"/>
  <c r="AU147" i="1" s="1"/>
  <c r="AV147" i="1" s="1"/>
  <c r="AW147" i="1" s="1"/>
  <c r="AX147" i="1" s="1"/>
  <c r="AY147" i="1" s="1"/>
  <c r="AZ147" i="1" s="1"/>
  <c r="BA147" i="1" s="1"/>
  <c r="BB147" i="1" s="1"/>
  <c r="BC147" i="1" s="1"/>
  <c r="BD147" i="1" s="1"/>
  <c r="BE147" i="1" s="1"/>
  <c r="BF147" i="1" s="1"/>
  <c r="BG147" i="1" s="1"/>
  <c r="BH147" i="1" s="1"/>
  <c r="BI147" i="1" s="1"/>
  <c r="BJ147" i="1" s="1"/>
  <c r="BK147" i="1" s="1"/>
  <c r="BL147" i="1" s="1"/>
  <c r="BM147" i="1" s="1"/>
  <c r="BN147" i="1" s="1"/>
  <c r="BO147" i="1" s="1"/>
  <c r="BP147" i="1" s="1"/>
  <c r="B148" i="1"/>
  <c r="C148" i="1" s="1"/>
  <c r="D148" i="1" s="1"/>
  <c r="E148" i="1" s="1"/>
  <c r="F148" i="1" s="1"/>
  <c r="G148" i="1" s="1"/>
  <c r="H148" i="1" s="1"/>
  <c r="I148" i="1" s="1"/>
  <c r="J148" i="1" s="1"/>
  <c r="K148" i="1" s="1"/>
  <c r="L148" i="1" s="1"/>
  <c r="M148" i="1" s="1"/>
  <c r="N148" i="1" s="1"/>
  <c r="O148" i="1" s="1"/>
  <c r="P148" i="1" s="1"/>
  <c r="Q148" i="1" s="1"/>
  <c r="R148" i="1" s="1"/>
  <c r="S148" i="1" s="1"/>
  <c r="T148" i="1" s="1"/>
  <c r="U148" i="1" s="1"/>
  <c r="V148" i="1" s="1"/>
  <c r="W148" i="1" s="1"/>
  <c r="X148" i="1" s="1"/>
  <c r="Y148" i="1" s="1"/>
  <c r="Z148" i="1" s="1"/>
  <c r="AA148" i="1" s="1"/>
  <c r="AB148" i="1" s="1"/>
  <c r="AC148" i="1" s="1"/>
  <c r="AD148" i="1" s="1"/>
  <c r="AE148" i="1" s="1"/>
  <c r="AF148" i="1" s="1"/>
  <c r="AG148" i="1" s="1"/>
  <c r="AH148" i="1" s="1"/>
  <c r="AI148" i="1" s="1"/>
  <c r="AJ148" i="1" s="1"/>
  <c r="AK148" i="1" s="1"/>
  <c r="AL148" i="1" s="1"/>
  <c r="AM148" i="1" s="1"/>
  <c r="AN148" i="1" s="1"/>
  <c r="AO148" i="1" s="1"/>
  <c r="AP148" i="1" s="1"/>
  <c r="AQ148" i="1" s="1"/>
  <c r="AR148" i="1" s="1"/>
  <c r="AS148" i="1" s="1"/>
  <c r="AT148" i="1" s="1"/>
  <c r="AU148" i="1" s="1"/>
  <c r="AV148" i="1" s="1"/>
  <c r="AW148" i="1" s="1"/>
  <c r="AX148" i="1" s="1"/>
  <c r="AY148" i="1" s="1"/>
  <c r="AZ148" i="1" s="1"/>
  <c r="BA148" i="1" s="1"/>
  <c r="BB148" i="1" s="1"/>
  <c r="BC148" i="1" s="1"/>
  <c r="BD148" i="1" s="1"/>
  <c r="BE148" i="1" s="1"/>
  <c r="BF148" i="1" s="1"/>
  <c r="BG148" i="1" s="1"/>
  <c r="BH148" i="1" s="1"/>
  <c r="BI148" i="1" s="1"/>
  <c r="BJ148" i="1" s="1"/>
  <c r="BK148" i="1" s="1"/>
  <c r="BL148" i="1" s="1"/>
  <c r="BM148" i="1" s="1"/>
  <c r="BN148" i="1" s="1"/>
  <c r="BO148" i="1" s="1"/>
  <c r="BP148" i="1" s="1"/>
  <c r="B149" i="1"/>
  <c r="C149" i="1" s="1"/>
  <c r="D149" i="1" s="1"/>
  <c r="E149" i="1" s="1"/>
  <c r="F149" i="1" s="1"/>
  <c r="G149" i="1" s="1"/>
  <c r="H149" i="1" s="1"/>
  <c r="I149" i="1" s="1"/>
  <c r="J149" i="1" s="1"/>
  <c r="K149" i="1" s="1"/>
  <c r="L149" i="1" s="1"/>
  <c r="M149" i="1" s="1"/>
  <c r="N149" i="1" s="1"/>
  <c r="O149" i="1" s="1"/>
  <c r="P149" i="1" s="1"/>
  <c r="Q149" i="1" s="1"/>
  <c r="R149" i="1" s="1"/>
  <c r="S149" i="1" s="1"/>
  <c r="T149" i="1" s="1"/>
  <c r="U149" i="1" s="1"/>
  <c r="V149" i="1" s="1"/>
  <c r="W149" i="1" s="1"/>
  <c r="X149" i="1" s="1"/>
  <c r="Y149" i="1" s="1"/>
  <c r="Z149" i="1" s="1"/>
  <c r="AA149" i="1" s="1"/>
  <c r="AB149" i="1" s="1"/>
  <c r="AC149" i="1" s="1"/>
  <c r="AD149" i="1" s="1"/>
  <c r="AE149" i="1" s="1"/>
  <c r="AF149" i="1" s="1"/>
  <c r="AG149" i="1" s="1"/>
  <c r="AH149" i="1" s="1"/>
  <c r="AI149" i="1" s="1"/>
  <c r="AJ149" i="1" s="1"/>
  <c r="AK149" i="1" s="1"/>
  <c r="AL149" i="1" s="1"/>
  <c r="AM149" i="1" s="1"/>
  <c r="AN149" i="1" s="1"/>
  <c r="AO149" i="1" s="1"/>
  <c r="AP149" i="1" s="1"/>
  <c r="AQ149" i="1" s="1"/>
  <c r="AR149" i="1" s="1"/>
  <c r="AS149" i="1" s="1"/>
  <c r="AT149" i="1" s="1"/>
  <c r="AU149" i="1" s="1"/>
  <c r="AV149" i="1" s="1"/>
  <c r="AW149" i="1" s="1"/>
  <c r="AX149" i="1" s="1"/>
  <c r="AY149" i="1" s="1"/>
  <c r="AZ149" i="1" s="1"/>
  <c r="BA149" i="1" s="1"/>
  <c r="BB149" i="1" s="1"/>
  <c r="BC149" i="1" s="1"/>
  <c r="BD149" i="1" s="1"/>
  <c r="BE149" i="1" s="1"/>
  <c r="BF149" i="1" s="1"/>
  <c r="BG149" i="1" s="1"/>
  <c r="BH149" i="1" s="1"/>
  <c r="BI149" i="1" s="1"/>
  <c r="BJ149" i="1" s="1"/>
  <c r="BK149" i="1" s="1"/>
  <c r="BL149" i="1" s="1"/>
  <c r="BM149" i="1" s="1"/>
  <c r="BN149" i="1" s="1"/>
  <c r="BO149" i="1" s="1"/>
  <c r="BP149" i="1" s="1"/>
  <c r="B55" i="1"/>
  <c r="C55" i="1" s="1"/>
  <c r="D55" i="1" s="1"/>
  <c r="E55" i="1" s="1"/>
  <c r="F55" i="1" s="1"/>
  <c r="G55" i="1" s="1"/>
  <c r="H55" i="1" s="1"/>
  <c r="I55" i="1" s="1"/>
  <c r="J55" i="1" s="1"/>
  <c r="K55" i="1" s="1"/>
  <c r="L55" i="1" s="1"/>
  <c r="M55" i="1" s="1"/>
  <c r="N55" i="1" s="1"/>
  <c r="O55" i="1" s="1"/>
  <c r="P55" i="1" s="1"/>
  <c r="Q55" i="1" s="1"/>
  <c r="R55" i="1" s="1"/>
  <c r="S55" i="1" s="1"/>
  <c r="T55" i="1" s="1"/>
  <c r="U55" i="1" s="1"/>
  <c r="V55" i="1" s="1"/>
  <c r="W55" i="1" s="1"/>
  <c r="X55" i="1" s="1"/>
  <c r="Y55" i="1" s="1"/>
  <c r="Z55" i="1" s="1"/>
  <c r="AA55" i="1" s="1"/>
  <c r="AB55" i="1" s="1"/>
  <c r="AC55" i="1" s="1"/>
  <c r="AD55" i="1" s="1"/>
  <c r="AE55" i="1" s="1"/>
  <c r="AF55" i="1" s="1"/>
  <c r="AG55" i="1" s="1"/>
  <c r="AH55" i="1" s="1"/>
  <c r="AI55" i="1" s="1"/>
  <c r="AJ55" i="1" s="1"/>
  <c r="AK55" i="1" s="1"/>
  <c r="AL55" i="1" s="1"/>
  <c r="AM55" i="1" s="1"/>
  <c r="AN55" i="1" s="1"/>
  <c r="AO55" i="1" s="1"/>
  <c r="AP55" i="1" s="1"/>
  <c r="AQ55" i="1" s="1"/>
  <c r="AR55" i="1" s="1"/>
  <c r="AS55" i="1" s="1"/>
  <c r="AT55" i="1" s="1"/>
  <c r="AU55" i="1" s="1"/>
  <c r="AV55" i="1" s="1"/>
  <c r="AW55" i="1" s="1"/>
  <c r="AX55" i="1" s="1"/>
  <c r="AY55" i="1" s="1"/>
  <c r="AZ55" i="1" s="1"/>
  <c r="BA55" i="1" s="1"/>
  <c r="BB55" i="1" s="1"/>
  <c r="BC55" i="1" s="1"/>
  <c r="BD55" i="1" s="1"/>
  <c r="BE55" i="1" s="1"/>
  <c r="BF55" i="1" s="1"/>
  <c r="BG55" i="1" s="1"/>
  <c r="BH55" i="1" s="1"/>
  <c r="BI55" i="1" s="1"/>
  <c r="BJ55" i="1" s="1"/>
  <c r="BK55" i="1" s="1"/>
  <c r="BL55" i="1" s="1"/>
  <c r="BM55" i="1" s="1"/>
  <c r="BN55" i="1" s="1"/>
  <c r="BO55" i="1" s="1"/>
  <c r="BP55" i="1" s="1"/>
  <c r="B65" i="1"/>
  <c r="C65" i="1" s="1"/>
  <c r="B150" i="1"/>
  <c r="C150" i="1" s="1"/>
  <c r="D150" i="1" s="1"/>
  <c r="E150" i="1" s="1"/>
  <c r="F150" i="1" s="1"/>
  <c r="G150" i="1" s="1"/>
  <c r="H150" i="1" s="1"/>
  <c r="I150" i="1" s="1"/>
  <c r="J150" i="1" s="1"/>
  <c r="K150" i="1" s="1"/>
  <c r="L150" i="1" s="1"/>
  <c r="M150" i="1" s="1"/>
  <c r="N150" i="1" s="1"/>
  <c r="O150" i="1" s="1"/>
  <c r="P150" i="1" s="1"/>
  <c r="Q150" i="1" s="1"/>
  <c r="R150" i="1" s="1"/>
  <c r="S150" i="1" s="1"/>
  <c r="T150" i="1" s="1"/>
  <c r="U150" i="1" s="1"/>
  <c r="V150" i="1" s="1"/>
  <c r="W150" i="1" s="1"/>
  <c r="X150" i="1" s="1"/>
  <c r="Y150" i="1" s="1"/>
  <c r="Z150" i="1" s="1"/>
  <c r="AA150" i="1" s="1"/>
  <c r="AB150" i="1" s="1"/>
  <c r="AC150" i="1" s="1"/>
  <c r="AD150" i="1" s="1"/>
  <c r="AE150" i="1" s="1"/>
  <c r="AF150" i="1" s="1"/>
  <c r="AG150" i="1" s="1"/>
  <c r="AH150" i="1" s="1"/>
  <c r="AI150" i="1" s="1"/>
  <c r="AJ150" i="1" s="1"/>
  <c r="AK150" i="1" s="1"/>
  <c r="AL150" i="1" s="1"/>
  <c r="AM150" i="1" s="1"/>
  <c r="AN150" i="1" s="1"/>
  <c r="AO150" i="1" s="1"/>
  <c r="AP150" i="1" s="1"/>
  <c r="AQ150" i="1" s="1"/>
  <c r="AR150" i="1" s="1"/>
  <c r="AS150" i="1" s="1"/>
  <c r="AT150" i="1" s="1"/>
  <c r="AU150" i="1" s="1"/>
  <c r="AV150" i="1" s="1"/>
  <c r="AW150" i="1" s="1"/>
  <c r="AX150" i="1" s="1"/>
  <c r="AY150" i="1" s="1"/>
  <c r="AZ150" i="1" s="1"/>
  <c r="BA150" i="1" s="1"/>
  <c r="BB150" i="1" s="1"/>
  <c r="BC150" i="1" s="1"/>
  <c r="BD150" i="1" s="1"/>
  <c r="BE150" i="1" s="1"/>
  <c r="BF150" i="1" s="1"/>
  <c r="BG150" i="1" s="1"/>
  <c r="BH150" i="1" s="1"/>
  <c r="BI150" i="1" s="1"/>
  <c r="BJ150" i="1" s="1"/>
  <c r="BK150" i="1" s="1"/>
  <c r="BL150" i="1" s="1"/>
  <c r="BM150" i="1" s="1"/>
  <c r="BN150" i="1" s="1"/>
  <c r="BO150" i="1" s="1"/>
  <c r="BP150" i="1" s="1"/>
  <c r="B151" i="1"/>
  <c r="C151" i="1" s="1"/>
  <c r="D151" i="1" s="1"/>
  <c r="E151" i="1" s="1"/>
  <c r="F151" i="1" s="1"/>
  <c r="G151" i="1" s="1"/>
  <c r="H151" i="1" s="1"/>
  <c r="I151" i="1" s="1"/>
  <c r="J151" i="1" s="1"/>
  <c r="K151" i="1" s="1"/>
  <c r="L151" i="1" s="1"/>
  <c r="M151" i="1" s="1"/>
  <c r="N151" i="1" s="1"/>
  <c r="O151" i="1" s="1"/>
  <c r="P151" i="1" s="1"/>
  <c r="Q151" i="1" s="1"/>
  <c r="R151" i="1" s="1"/>
  <c r="S151" i="1" s="1"/>
  <c r="T151" i="1" s="1"/>
  <c r="U151" i="1" s="1"/>
  <c r="V151" i="1" s="1"/>
  <c r="W151" i="1" s="1"/>
  <c r="X151" i="1" s="1"/>
  <c r="Y151" i="1" s="1"/>
  <c r="Z151" i="1" s="1"/>
  <c r="AA151" i="1" s="1"/>
  <c r="AB151" i="1" s="1"/>
  <c r="AC151" i="1" s="1"/>
  <c r="AD151" i="1" s="1"/>
  <c r="AE151" i="1" s="1"/>
  <c r="AF151" i="1" s="1"/>
  <c r="AG151" i="1" s="1"/>
  <c r="AH151" i="1" s="1"/>
  <c r="AI151" i="1" s="1"/>
  <c r="AJ151" i="1" s="1"/>
  <c r="AK151" i="1" s="1"/>
  <c r="AL151" i="1" s="1"/>
  <c r="AM151" i="1" s="1"/>
  <c r="AN151" i="1" s="1"/>
  <c r="AO151" i="1" s="1"/>
  <c r="AP151" i="1" s="1"/>
  <c r="AQ151" i="1" s="1"/>
  <c r="AR151" i="1" s="1"/>
  <c r="AS151" i="1" s="1"/>
  <c r="AT151" i="1" s="1"/>
  <c r="AU151" i="1" s="1"/>
  <c r="AV151" i="1" s="1"/>
  <c r="AW151" i="1" s="1"/>
  <c r="AX151" i="1" s="1"/>
  <c r="AY151" i="1" s="1"/>
  <c r="AZ151" i="1" s="1"/>
  <c r="BA151" i="1" s="1"/>
  <c r="BB151" i="1" s="1"/>
  <c r="BC151" i="1" s="1"/>
  <c r="BD151" i="1" s="1"/>
  <c r="BE151" i="1" s="1"/>
  <c r="BF151" i="1" s="1"/>
  <c r="BG151" i="1" s="1"/>
  <c r="BH151" i="1" s="1"/>
  <c r="BI151" i="1" s="1"/>
  <c r="BJ151" i="1" s="1"/>
  <c r="BK151" i="1" s="1"/>
  <c r="BL151" i="1" s="1"/>
  <c r="BM151" i="1" s="1"/>
  <c r="BN151" i="1" s="1"/>
  <c r="BO151" i="1" s="1"/>
  <c r="BP151" i="1" s="1"/>
  <c r="B152" i="1"/>
  <c r="C152" i="1" s="1"/>
  <c r="D152" i="1" s="1"/>
  <c r="E152" i="1" s="1"/>
  <c r="F152" i="1" s="1"/>
  <c r="G152" i="1" s="1"/>
  <c r="H152" i="1" s="1"/>
  <c r="I152" i="1" s="1"/>
  <c r="J152" i="1" s="1"/>
  <c r="K152" i="1" s="1"/>
  <c r="L152" i="1" s="1"/>
  <c r="M152" i="1" s="1"/>
  <c r="N152" i="1" s="1"/>
  <c r="O152" i="1" s="1"/>
  <c r="P152" i="1" s="1"/>
  <c r="Q152" i="1" s="1"/>
  <c r="R152" i="1" s="1"/>
  <c r="S152" i="1" s="1"/>
  <c r="T152" i="1" s="1"/>
  <c r="U152" i="1" s="1"/>
  <c r="V152" i="1" s="1"/>
  <c r="W152" i="1" s="1"/>
  <c r="X152" i="1" s="1"/>
  <c r="Y152" i="1" s="1"/>
  <c r="Z152" i="1" s="1"/>
  <c r="AA152" i="1" s="1"/>
  <c r="AB152" i="1" s="1"/>
  <c r="AC152" i="1" s="1"/>
  <c r="AD152" i="1" s="1"/>
  <c r="AE152" i="1" s="1"/>
  <c r="AF152" i="1" s="1"/>
  <c r="AG152" i="1" s="1"/>
  <c r="AH152" i="1" s="1"/>
  <c r="AI152" i="1" s="1"/>
  <c r="AJ152" i="1" s="1"/>
  <c r="AK152" i="1" s="1"/>
  <c r="AL152" i="1" s="1"/>
  <c r="AM152" i="1" s="1"/>
  <c r="AN152" i="1" s="1"/>
  <c r="AO152" i="1" s="1"/>
  <c r="AP152" i="1" s="1"/>
  <c r="AQ152" i="1" s="1"/>
  <c r="AR152" i="1" s="1"/>
  <c r="AS152" i="1" s="1"/>
  <c r="AT152" i="1" s="1"/>
  <c r="AU152" i="1" s="1"/>
  <c r="AV152" i="1" s="1"/>
  <c r="AW152" i="1" s="1"/>
  <c r="AX152" i="1" s="1"/>
  <c r="AY152" i="1" s="1"/>
  <c r="AZ152" i="1" s="1"/>
  <c r="BA152" i="1" s="1"/>
  <c r="BB152" i="1" s="1"/>
  <c r="BC152" i="1" s="1"/>
  <c r="BD152" i="1" s="1"/>
  <c r="BE152" i="1" s="1"/>
  <c r="BF152" i="1" s="1"/>
  <c r="BG152" i="1" s="1"/>
  <c r="BH152" i="1" s="1"/>
  <c r="BI152" i="1" s="1"/>
  <c r="BJ152" i="1" s="1"/>
  <c r="BK152" i="1" s="1"/>
  <c r="BL152" i="1" s="1"/>
  <c r="BM152" i="1" s="1"/>
  <c r="BN152" i="1" s="1"/>
  <c r="BO152" i="1" s="1"/>
  <c r="BP152" i="1" s="1"/>
  <c r="B153" i="1"/>
  <c r="C153" i="1" s="1"/>
  <c r="D153" i="1" s="1"/>
  <c r="E153" i="1" s="1"/>
  <c r="F153" i="1" s="1"/>
  <c r="G153" i="1" s="1"/>
  <c r="H153" i="1" s="1"/>
  <c r="I153" i="1" s="1"/>
  <c r="J153" i="1" s="1"/>
  <c r="K153" i="1" s="1"/>
  <c r="L153" i="1" s="1"/>
  <c r="M153" i="1" s="1"/>
  <c r="N153" i="1" s="1"/>
  <c r="O153" i="1" s="1"/>
  <c r="P153" i="1" s="1"/>
  <c r="Q153" i="1" s="1"/>
  <c r="R153" i="1" s="1"/>
  <c r="S153" i="1" s="1"/>
  <c r="T153" i="1" s="1"/>
  <c r="U153" i="1" s="1"/>
  <c r="V153" i="1" s="1"/>
  <c r="W153" i="1" s="1"/>
  <c r="X153" i="1" s="1"/>
  <c r="Y153" i="1" s="1"/>
  <c r="Z153" i="1" s="1"/>
  <c r="AA153" i="1" s="1"/>
  <c r="AB153" i="1" s="1"/>
  <c r="AC153" i="1" s="1"/>
  <c r="AD153" i="1" s="1"/>
  <c r="AE153" i="1" s="1"/>
  <c r="AF153" i="1" s="1"/>
  <c r="AG153" i="1" s="1"/>
  <c r="AH153" i="1" s="1"/>
  <c r="AI153" i="1" s="1"/>
  <c r="AJ153" i="1" s="1"/>
  <c r="AK153" i="1" s="1"/>
  <c r="AL153" i="1" s="1"/>
  <c r="AM153" i="1" s="1"/>
  <c r="AN153" i="1" s="1"/>
  <c r="AO153" i="1" s="1"/>
  <c r="AP153" i="1" s="1"/>
  <c r="AQ153" i="1" s="1"/>
  <c r="AR153" i="1" s="1"/>
  <c r="AS153" i="1" s="1"/>
  <c r="AT153" i="1" s="1"/>
  <c r="AU153" i="1" s="1"/>
  <c r="AV153" i="1" s="1"/>
  <c r="AW153" i="1" s="1"/>
  <c r="AX153" i="1" s="1"/>
  <c r="AY153" i="1" s="1"/>
  <c r="AZ153" i="1" s="1"/>
  <c r="BA153" i="1" s="1"/>
  <c r="BB153" i="1" s="1"/>
  <c r="BC153" i="1" s="1"/>
  <c r="BD153" i="1" s="1"/>
  <c r="BE153" i="1" s="1"/>
  <c r="BF153" i="1" s="1"/>
  <c r="BG153" i="1" s="1"/>
  <c r="BH153" i="1" s="1"/>
  <c r="BI153" i="1" s="1"/>
  <c r="BJ153" i="1" s="1"/>
  <c r="BK153" i="1" s="1"/>
  <c r="BL153" i="1" s="1"/>
  <c r="BM153" i="1" s="1"/>
  <c r="BN153" i="1" s="1"/>
  <c r="BO153" i="1" s="1"/>
  <c r="BP153" i="1" s="1"/>
  <c r="B154" i="1"/>
  <c r="C154" i="1" s="1"/>
  <c r="D154" i="1" s="1"/>
  <c r="E154" i="1" s="1"/>
  <c r="F154" i="1" s="1"/>
  <c r="G154" i="1" s="1"/>
  <c r="H154" i="1" s="1"/>
  <c r="I154" i="1" s="1"/>
  <c r="J154" i="1" s="1"/>
  <c r="K154" i="1" s="1"/>
  <c r="L154" i="1" s="1"/>
  <c r="M154" i="1" s="1"/>
  <c r="N154" i="1" s="1"/>
  <c r="O154" i="1" s="1"/>
  <c r="P154" i="1" s="1"/>
  <c r="Q154" i="1" s="1"/>
  <c r="R154" i="1" s="1"/>
  <c r="S154" i="1" s="1"/>
  <c r="T154" i="1" s="1"/>
  <c r="U154" i="1" s="1"/>
  <c r="V154" i="1" s="1"/>
  <c r="W154" i="1" s="1"/>
  <c r="X154" i="1" s="1"/>
  <c r="Y154" i="1" s="1"/>
  <c r="Z154" i="1" s="1"/>
  <c r="AA154" i="1" s="1"/>
  <c r="AB154" i="1" s="1"/>
  <c r="AC154" i="1" s="1"/>
  <c r="AD154" i="1" s="1"/>
  <c r="AE154" i="1" s="1"/>
  <c r="AF154" i="1" s="1"/>
  <c r="AG154" i="1" s="1"/>
  <c r="AH154" i="1" s="1"/>
  <c r="AI154" i="1" s="1"/>
  <c r="AJ154" i="1" s="1"/>
  <c r="AK154" i="1" s="1"/>
  <c r="AL154" i="1" s="1"/>
  <c r="AM154" i="1" s="1"/>
  <c r="AN154" i="1" s="1"/>
  <c r="AO154" i="1" s="1"/>
  <c r="AP154" i="1" s="1"/>
  <c r="AQ154" i="1" s="1"/>
  <c r="AR154" i="1" s="1"/>
  <c r="AS154" i="1" s="1"/>
  <c r="AT154" i="1" s="1"/>
  <c r="AU154" i="1" s="1"/>
  <c r="AV154" i="1" s="1"/>
  <c r="AW154" i="1" s="1"/>
  <c r="AX154" i="1" s="1"/>
  <c r="AY154" i="1" s="1"/>
  <c r="AZ154" i="1" s="1"/>
  <c r="BA154" i="1" s="1"/>
  <c r="BB154" i="1" s="1"/>
  <c r="BC154" i="1" s="1"/>
  <c r="BD154" i="1" s="1"/>
  <c r="BE154" i="1" s="1"/>
  <c r="BF154" i="1" s="1"/>
  <c r="BG154" i="1" s="1"/>
  <c r="BH154" i="1" s="1"/>
  <c r="BI154" i="1" s="1"/>
  <c r="BJ154" i="1" s="1"/>
  <c r="BK154" i="1" s="1"/>
  <c r="BL154" i="1" s="1"/>
  <c r="BM154" i="1" s="1"/>
  <c r="BN154" i="1" s="1"/>
  <c r="BO154" i="1" s="1"/>
  <c r="BP154" i="1" s="1"/>
  <c r="B155" i="1"/>
  <c r="C155" i="1" s="1"/>
  <c r="D155" i="1" s="1"/>
  <c r="E155" i="1" s="1"/>
  <c r="F155" i="1" s="1"/>
  <c r="G155" i="1" s="1"/>
  <c r="H155" i="1" s="1"/>
  <c r="I155" i="1" s="1"/>
  <c r="J155" i="1" s="1"/>
  <c r="K155" i="1" s="1"/>
  <c r="L155" i="1" s="1"/>
  <c r="M155" i="1" s="1"/>
  <c r="N155" i="1" s="1"/>
  <c r="O155" i="1" s="1"/>
  <c r="P155" i="1" s="1"/>
  <c r="Q155" i="1" s="1"/>
  <c r="R155" i="1" s="1"/>
  <c r="S155" i="1" s="1"/>
  <c r="T155" i="1" s="1"/>
  <c r="U155" i="1" s="1"/>
  <c r="V155" i="1" s="1"/>
  <c r="W155" i="1" s="1"/>
  <c r="X155" i="1" s="1"/>
  <c r="Y155" i="1" s="1"/>
  <c r="Z155" i="1" s="1"/>
  <c r="AA155" i="1" s="1"/>
  <c r="AB155" i="1" s="1"/>
  <c r="AC155" i="1" s="1"/>
  <c r="AD155" i="1" s="1"/>
  <c r="AE155" i="1" s="1"/>
  <c r="AF155" i="1" s="1"/>
  <c r="AG155" i="1" s="1"/>
  <c r="AH155" i="1" s="1"/>
  <c r="AI155" i="1" s="1"/>
  <c r="AJ155" i="1" s="1"/>
  <c r="AK155" i="1" s="1"/>
  <c r="AL155" i="1" s="1"/>
  <c r="AM155" i="1" s="1"/>
  <c r="AN155" i="1" s="1"/>
  <c r="AO155" i="1" s="1"/>
  <c r="AP155" i="1" s="1"/>
  <c r="AQ155" i="1" s="1"/>
  <c r="AR155" i="1" s="1"/>
  <c r="AS155" i="1" s="1"/>
  <c r="AT155" i="1" s="1"/>
  <c r="AU155" i="1" s="1"/>
  <c r="AV155" i="1" s="1"/>
  <c r="AW155" i="1" s="1"/>
  <c r="AX155" i="1" s="1"/>
  <c r="AY155" i="1" s="1"/>
  <c r="AZ155" i="1" s="1"/>
  <c r="BA155" i="1" s="1"/>
  <c r="BB155" i="1" s="1"/>
  <c r="BC155" i="1" s="1"/>
  <c r="BD155" i="1" s="1"/>
  <c r="BE155" i="1" s="1"/>
  <c r="BF155" i="1" s="1"/>
  <c r="BG155" i="1" s="1"/>
  <c r="BH155" i="1" s="1"/>
  <c r="BI155" i="1" s="1"/>
  <c r="BJ155" i="1" s="1"/>
  <c r="BK155" i="1" s="1"/>
  <c r="BL155" i="1" s="1"/>
  <c r="BM155" i="1" s="1"/>
  <c r="BN155" i="1" s="1"/>
  <c r="BO155" i="1" s="1"/>
  <c r="BP155" i="1" s="1"/>
  <c r="B156" i="1"/>
  <c r="C156" i="1" s="1"/>
  <c r="D156" i="1" s="1"/>
  <c r="E156" i="1" s="1"/>
  <c r="F156" i="1" s="1"/>
  <c r="G156" i="1" s="1"/>
  <c r="H156" i="1" s="1"/>
  <c r="I156" i="1" s="1"/>
  <c r="J156" i="1" s="1"/>
  <c r="K156" i="1" s="1"/>
  <c r="L156" i="1" s="1"/>
  <c r="M156" i="1" s="1"/>
  <c r="N156" i="1" s="1"/>
  <c r="O156" i="1" s="1"/>
  <c r="P156" i="1" s="1"/>
  <c r="Q156" i="1" s="1"/>
  <c r="R156" i="1" s="1"/>
  <c r="S156" i="1" s="1"/>
  <c r="T156" i="1" s="1"/>
  <c r="U156" i="1" s="1"/>
  <c r="V156" i="1" s="1"/>
  <c r="W156" i="1" s="1"/>
  <c r="X156" i="1" s="1"/>
  <c r="Y156" i="1" s="1"/>
  <c r="Z156" i="1" s="1"/>
  <c r="AA156" i="1" s="1"/>
  <c r="AB156" i="1" s="1"/>
  <c r="AC156" i="1" s="1"/>
  <c r="AD156" i="1" s="1"/>
  <c r="AE156" i="1" s="1"/>
  <c r="AF156" i="1" s="1"/>
  <c r="AG156" i="1" s="1"/>
  <c r="AH156" i="1" s="1"/>
  <c r="AI156" i="1" s="1"/>
  <c r="AJ156" i="1" s="1"/>
  <c r="AK156" i="1" s="1"/>
  <c r="AL156" i="1" s="1"/>
  <c r="AM156" i="1" s="1"/>
  <c r="AN156" i="1" s="1"/>
  <c r="AO156" i="1" s="1"/>
  <c r="AP156" i="1" s="1"/>
  <c r="AQ156" i="1" s="1"/>
  <c r="AR156" i="1" s="1"/>
  <c r="AS156" i="1" s="1"/>
  <c r="AT156" i="1" s="1"/>
  <c r="AU156" i="1" s="1"/>
  <c r="AV156" i="1" s="1"/>
  <c r="AW156" i="1" s="1"/>
  <c r="AX156" i="1" s="1"/>
  <c r="AY156" i="1" s="1"/>
  <c r="AZ156" i="1" s="1"/>
  <c r="BA156" i="1" s="1"/>
  <c r="BB156" i="1" s="1"/>
  <c r="BC156" i="1" s="1"/>
  <c r="BD156" i="1" s="1"/>
  <c r="BE156" i="1" s="1"/>
  <c r="BF156" i="1" s="1"/>
  <c r="BG156" i="1" s="1"/>
  <c r="BH156" i="1" s="1"/>
  <c r="BI156" i="1" s="1"/>
  <c r="BJ156" i="1" s="1"/>
  <c r="BK156" i="1" s="1"/>
  <c r="BL156" i="1" s="1"/>
  <c r="BM156" i="1" s="1"/>
  <c r="BN156" i="1" s="1"/>
  <c r="BO156" i="1" s="1"/>
  <c r="BP156" i="1" s="1"/>
  <c r="B57" i="1"/>
  <c r="C57" i="1" s="1"/>
  <c r="D57" i="1" s="1"/>
  <c r="E57" i="1" s="1"/>
  <c r="F57" i="1" s="1"/>
  <c r="G57" i="1" s="1"/>
  <c r="H57" i="1" s="1"/>
  <c r="I57" i="1" s="1"/>
  <c r="J57" i="1" s="1"/>
  <c r="K57" i="1" s="1"/>
  <c r="L57" i="1" s="1"/>
  <c r="M57" i="1" s="1"/>
  <c r="N57" i="1" s="1"/>
  <c r="O57" i="1" s="1"/>
  <c r="P57" i="1" s="1"/>
  <c r="Q57" i="1" s="1"/>
  <c r="R57" i="1" s="1"/>
  <c r="S57" i="1" s="1"/>
  <c r="T57" i="1" s="1"/>
  <c r="U57" i="1" s="1"/>
  <c r="V57" i="1" s="1"/>
  <c r="W57" i="1" s="1"/>
  <c r="X57" i="1" s="1"/>
  <c r="Y57" i="1" s="1"/>
  <c r="Z57" i="1" s="1"/>
  <c r="AA57" i="1" s="1"/>
  <c r="AB57" i="1" s="1"/>
  <c r="AC57" i="1" s="1"/>
  <c r="AD57" i="1" s="1"/>
  <c r="AE57" i="1" s="1"/>
  <c r="AF57" i="1" s="1"/>
  <c r="AG57" i="1" s="1"/>
  <c r="AH57" i="1" s="1"/>
  <c r="AI57" i="1" s="1"/>
  <c r="AJ57" i="1" s="1"/>
  <c r="AK57" i="1" s="1"/>
  <c r="AL57" i="1" s="1"/>
  <c r="AM57" i="1" s="1"/>
  <c r="AN57" i="1" s="1"/>
  <c r="AO57" i="1" s="1"/>
  <c r="AP57" i="1" s="1"/>
  <c r="AQ57" i="1" s="1"/>
  <c r="AR57" i="1" s="1"/>
  <c r="AS57" i="1" s="1"/>
  <c r="AT57" i="1" s="1"/>
  <c r="AU57" i="1" s="1"/>
  <c r="AV57" i="1" s="1"/>
  <c r="AW57" i="1" s="1"/>
  <c r="AX57" i="1" s="1"/>
  <c r="AY57" i="1" s="1"/>
  <c r="AZ57" i="1" s="1"/>
  <c r="BA57" i="1" s="1"/>
  <c r="BB57" i="1" s="1"/>
  <c r="BC57" i="1" s="1"/>
  <c r="BD57" i="1" s="1"/>
  <c r="BE57" i="1" s="1"/>
  <c r="BF57" i="1" s="1"/>
  <c r="BG57" i="1" s="1"/>
  <c r="BH57" i="1" s="1"/>
  <c r="BI57" i="1" s="1"/>
  <c r="BJ57" i="1" s="1"/>
  <c r="BK57" i="1" s="1"/>
  <c r="BL57" i="1" s="1"/>
  <c r="BM57" i="1" s="1"/>
  <c r="BN57" i="1" s="1"/>
  <c r="BO57" i="1" s="1"/>
  <c r="BP57" i="1" s="1"/>
  <c r="B157" i="1"/>
  <c r="C157" i="1" s="1"/>
  <c r="D157" i="1" s="1"/>
  <c r="E157" i="1" s="1"/>
  <c r="F157" i="1" s="1"/>
  <c r="G157" i="1" s="1"/>
  <c r="H157" i="1" s="1"/>
  <c r="I157" i="1" s="1"/>
  <c r="J157" i="1" s="1"/>
  <c r="K157" i="1" s="1"/>
  <c r="L157" i="1" s="1"/>
  <c r="M157" i="1" s="1"/>
  <c r="N157" i="1" s="1"/>
  <c r="O157" i="1" s="1"/>
  <c r="P157" i="1" s="1"/>
  <c r="Q157" i="1" s="1"/>
  <c r="R157" i="1" s="1"/>
  <c r="S157" i="1" s="1"/>
  <c r="T157" i="1" s="1"/>
  <c r="U157" i="1" s="1"/>
  <c r="V157" i="1" s="1"/>
  <c r="W157" i="1" s="1"/>
  <c r="X157" i="1" s="1"/>
  <c r="Y157" i="1" s="1"/>
  <c r="Z157" i="1" s="1"/>
  <c r="AA157" i="1" s="1"/>
  <c r="AB157" i="1" s="1"/>
  <c r="AC157" i="1" s="1"/>
  <c r="AD157" i="1" s="1"/>
  <c r="AE157" i="1" s="1"/>
  <c r="AF157" i="1" s="1"/>
  <c r="AG157" i="1" s="1"/>
  <c r="AH157" i="1" s="1"/>
  <c r="AI157" i="1" s="1"/>
  <c r="AJ157" i="1" s="1"/>
  <c r="AK157" i="1" s="1"/>
  <c r="AL157" i="1" s="1"/>
  <c r="AM157" i="1" s="1"/>
  <c r="AN157" i="1" s="1"/>
  <c r="AO157" i="1" s="1"/>
  <c r="AP157" i="1" s="1"/>
  <c r="AQ157" i="1" s="1"/>
  <c r="AR157" i="1" s="1"/>
  <c r="AS157" i="1" s="1"/>
  <c r="AT157" i="1" s="1"/>
  <c r="AU157" i="1" s="1"/>
  <c r="AV157" i="1" s="1"/>
  <c r="AW157" i="1" s="1"/>
  <c r="AX157" i="1" s="1"/>
  <c r="AY157" i="1" s="1"/>
  <c r="AZ157" i="1" s="1"/>
  <c r="BA157" i="1" s="1"/>
  <c r="BB157" i="1" s="1"/>
  <c r="BC157" i="1" s="1"/>
  <c r="BD157" i="1" s="1"/>
  <c r="BE157" i="1" s="1"/>
  <c r="BF157" i="1" s="1"/>
  <c r="BG157" i="1" s="1"/>
  <c r="BH157" i="1" s="1"/>
  <c r="BI157" i="1" s="1"/>
  <c r="BJ157" i="1" s="1"/>
  <c r="BK157" i="1" s="1"/>
  <c r="BL157" i="1" s="1"/>
  <c r="BM157" i="1" s="1"/>
  <c r="BN157" i="1" s="1"/>
  <c r="BO157" i="1" s="1"/>
  <c r="BP157" i="1" s="1"/>
  <c r="B64" i="1"/>
  <c r="C64" i="1" s="1"/>
  <c r="D64" i="1" s="1"/>
  <c r="E64" i="1" s="1"/>
  <c r="F64" i="1" s="1"/>
  <c r="G64" i="1" s="1"/>
  <c r="H64" i="1" s="1"/>
  <c r="I64" i="1" s="1"/>
  <c r="J64" i="1" s="1"/>
  <c r="K64" i="1" s="1"/>
  <c r="L64" i="1" s="1"/>
  <c r="M64" i="1" s="1"/>
  <c r="N64" i="1" s="1"/>
  <c r="O64" i="1" s="1"/>
  <c r="P64" i="1" s="1"/>
  <c r="Q64" i="1" s="1"/>
  <c r="R64" i="1" s="1"/>
  <c r="S64" i="1" s="1"/>
  <c r="T64" i="1" s="1"/>
  <c r="U64" i="1" s="1"/>
  <c r="V64" i="1" s="1"/>
  <c r="W64" i="1" s="1"/>
  <c r="X64" i="1" s="1"/>
  <c r="Y64" i="1" s="1"/>
  <c r="Z64" i="1" s="1"/>
  <c r="AA64" i="1" s="1"/>
  <c r="AB64" i="1" s="1"/>
  <c r="AC64" i="1" s="1"/>
  <c r="AD64" i="1" s="1"/>
  <c r="AE64" i="1" s="1"/>
  <c r="AF64" i="1" s="1"/>
  <c r="AG64" i="1" s="1"/>
  <c r="AH64" i="1" s="1"/>
  <c r="AI64" i="1" s="1"/>
  <c r="AJ64" i="1" s="1"/>
  <c r="AK64" i="1" s="1"/>
  <c r="AL64" i="1" s="1"/>
  <c r="AM64" i="1" s="1"/>
  <c r="AN64" i="1" s="1"/>
  <c r="AO64" i="1" s="1"/>
  <c r="AP64" i="1" s="1"/>
  <c r="AQ64" i="1" s="1"/>
  <c r="AR64" i="1" s="1"/>
  <c r="AS64" i="1" s="1"/>
  <c r="AT64" i="1" s="1"/>
  <c r="AU64" i="1" s="1"/>
  <c r="AV64" i="1" s="1"/>
  <c r="AW64" i="1" s="1"/>
  <c r="AX64" i="1" s="1"/>
  <c r="AY64" i="1" s="1"/>
  <c r="AZ64" i="1" s="1"/>
  <c r="BA64" i="1" s="1"/>
  <c r="BB64" i="1" s="1"/>
  <c r="BC64" i="1" s="1"/>
  <c r="BD64" i="1" s="1"/>
  <c r="BE64" i="1" s="1"/>
  <c r="BF64" i="1" s="1"/>
  <c r="BG64" i="1" s="1"/>
  <c r="BH64" i="1" s="1"/>
  <c r="BI64" i="1" s="1"/>
  <c r="BJ64" i="1" s="1"/>
  <c r="BK64" i="1" s="1"/>
  <c r="BL64" i="1" s="1"/>
  <c r="BM64" i="1" s="1"/>
  <c r="BN64" i="1" s="1"/>
  <c r="BO64" i="1" s="1"/>
  <c r="BP64" i="1" s="1"/>
  <c r="B56" i="1"/>
  <c r="C56" i="1" s="1"/>
  <c r="D56" i="1" s="1"/>
  <c r="E56" i="1" s="1"/>
  <c r="F56" i="1" s="1"/>
  <c r="G56" i="1" s="1"/>
  <c r="H56" i="1" s="1"/>
  <c r="I56" i="1" s="1"/>
  <c r="J56" i="1" s="1"/>
  <c r="K56" i="1" s="1"/>
  <c r="L56" i="1" s="1"/>
  <c r="M56" i="1" s="1"/>
  <c r="N56" i="1" s="1"/>
  <c r="O56" i="1" s="1"/>
  <c r="P56" i="1" s="1"/>
  <c r="Q56" i="1" s="1"/>
  <c r="R56" i="1" s="1"/>
  <c r="S56" i="1" s="1"/>
  <c r="T56" i="1" s="1"/>
  <c r="U56" i="1" s="1"/>
  <c r="V56" i="1" s="1"/>
  <c r="W56" i="1" s="1"/>
  <c r="X56" i="1" s="1"/>
  <c r="Y56" i="1" s="1"/>
  <c r="Z56" i="1" s="1"/>
  <c r="AA56" i="1" s="1"/>
  <c r="AB56" i="1" s="1"/>
  <c r="AC56" i="1" s="1"/>
  <c r="AD56" i="1" s="1"/>
  <c r="AE56" i="1" s="1"/>
  <c r="AF56" i="1" s="1"/>
  <c r="AG56" i="1" s="1"/>
  <c r="AH56" i="1" s="1"/>
  <c r="AI56" i="1" s="1"/>
  <c r="AJ56" i="1" s="1"/>
  <c r="AK56" i="1" s="1"/>
  <c r="AL56" i="1" s="1"/>
  <c r="AM56" i="1" s="1"/>
  <c r="AN56" i="1" s="1"/>
  <c r="AO56" i="1" s="1"/>
  <c r="AP56" i="1" s="1"/>
  <c r="AQ56" i="1" s="1"/>
  <c r="AR56" i="1" s="1"/>
  <c r="AS56" i="1" s="1"/>
  <c r="AT56" i="1" s="1"/>
  <c r="AU56" i="1" s="1"/>
  <c r="AV56" i="1" s="1"/>
  <c r="AW56" i="1" s="1"/>
  <c r="AX56" i="1" s="1"/>
  <c r="AY56" i="1" s="1"/>
  <c r="AZ56" i="1" s="1"/>
  <c r="BA56" i="1" s="1"/>
  <c r="BB56" i="1" s="1"/>
  <c r="BC56" i="1" s="1"/>
  <c r="BD56" i="1" s="1"/>
  <c r="BE56" i="1" s="1"/>
  <c r="BF56" i="1" s="1"/>
  <c r="BG56" i="1" s="1"/>
  <c r="BH56" i="1" s="1"/>
  <c r="BI56" i="1" s="1"/>
  <c r="BJ56" i="1" s="1"/>
  <c r="BK56" i="1" s="1"/>
  <c r="BL56" i="1" s="1"/>
  <c r="BM56" i="1" s="1"/>
  <c r="BN56" i="1" s="1"/>
  <c r="BO56" i="1" s="1"/>
  <c r="BP56" i="1" s="1"/>
  <c r="B158" i="1"/>
  <c r="C158" i="1" s="1"/>
  <c r="D158" i="1" s="1"/>
  <c r="E158" i="1" s="1"/>
  <c r="F158" i="1" s="1"/>
  <c r="G158" i="1" s="1"/>
  <c r="H158" i="1" s="1"/>
  <c r="I158" i="1" s="1"/>
  <c r="J158" i="1" s="1"/>
  <c r="K158" i="1" s="1"/>
  <c r="L158" i="1" s="1"/>
  <c r="M158" i="1" s="1"/>
  <c r="N158" i="1" s="1"/>
  <c r="O158" i="1" s="1"/>
  <c r="P158" i="1" s="1"/>
  <c r="Q158" i="1" s="1"/>
  <c r="R158" i="1" s="1"/>
  <c r="S158" i="1" s="1"/>
  <c r="T158" i="1" s="1"/>
  <c r="U158" i="1" s="1"/>
  <c r="V158" i="1" s="1"/>
  <c r="W158" i="1" s="1"/>
  <c r="X158" i="1" s="1"/>
  <c r="Y158" i="1" s="1"/>
  <c r="Z158" i="1" s="1"/>
  <c r="AA158" i="1" s="1"/>
  <c r="AB158" i="1" s="1"/>
  <c r="AC158" i="1" s="1"/>
  <c r="AD158" i="1" s="1"/>
  <c r="AE158" i="1" s="1"/>
  <c r="AF158" i="1" s="1"/>
  <c r="AG158" i="1" s="1"/>
  <c r="AH158" i="1" s="1"/>
  <c r="AI158" i="1" s="1"/>
  <c r="AJ158" i="1" s="1"/>
  <c r="AK158" i="1" s="1"/>
  <c r="AL158" i="1" s="1"/>
  <c r="AM158" i="1" s="1"/>
  <c r="AN158" i="1" s="1"/>
  <c r="AO158" i="1" s="1"/>
  <c r="AP158" i="1" s="1"/>
  <c r="AQ158" i="1" s="1"/>
  <c r="AR158" i="1" s="1"/>
  <c r="AS158" i="1" s="1"/>
  <c r="AT158" i="1" s="1"/>
  <c r="AU158" i="1" s="1"/>
  <c r="AV158" i="1" s="1"/>
  <c r="AW158" i="1" s="1"/>
  <c r="AX158" i="1" s="1"/>
  <c r="AY158" i="1" s="1"/>
  <c r="AZ158" i="1" s="1"/>
  <c r="BA158" i="1" s="1"/>
  <c r="BB158" i="1" s="1"/>
  <c r="BC158" i="1" s="1"/>
  <c r="BD158" i="1" s="1"/>
  <c r="BE158" i="1" s="1"/>
  <c r="BF158" i="1" s="1"/>
  <c r="BG158" i="1" s="1"/>
  <c r="BH158" i="1" s="1"/>
  <c r="BI158" i="1" s="1"/>
  <c r="BJ158" i="1" s="1"/>
  <c r="BK158" i="1" s="1"/>
  <c r="BL158" i="1" s="1"/>
  <c r="BM158" i="1" s="1"/>
  <c r="BN158" i="1" s="1"/>
  <c r="BO158" i="1" s="1"/>
  <c r="BP158" i="1" s="1"/>
  <c r="B60" i="1"/>
  <c r="C60" i="1" s="1"/>
  <c r="D60" i="1" s="1"/>
  <c r="E60" i="1" s="1"/>
  <c r="F60" i="1" s="1"/>
  <c r="G60" i="1" s="1"/>
  <c r="H60" i="1" s="1"/>
  <c r="I60" i="1" s="1"/>
  <c r="J60" i="1" s="1"/>
  <c r="K60" i="1" s="1"/>
  <c r="L60" i="1" s="1"/>
  <c r="M60" i="1" s="1"/>
  <c r="N60" i="1" s="1"/>
  <c r="O60" i="1" s="1"/>
  <c r="P60" i="1" s="1"/>
  <c r="Q60" i="1" s="1"/>
  <c r="R60" i="1" s="1"/>
  <c r="S60" i="1" s="1"/>
  <c r="T60" i="1" s="1"/>
  <c r="U60" i="1" s="1"/>
  <c r="V60" i="1" s="1"/>
  <c r="W60" i="1" s="1"/>
  <c r="X60" i="1" s="1"/>
  <c r="Y60" i="1" s="1"/>
  <c r="Z60" i="1" s="1"/>
  <c r="AA60" i="1" s="1"/>
  <c r="AB60" i="1" s="1"/>
  <c r="AC60" i="1" s="1"/>
  <c r="AD60" i="1" s="1"/>
  <c r="AE60" i="1" s="1"/>
  <c r="AF60" i="1" s="1"/>
  <c r="AG60" i="1" s="1"/>
  <c r="AH60" i="1" s="1"/>
  <c r="AI60" i="1" s="1"/>
  <c r="AJ60" i="1" s="1"/>
  <c r="AK60" i="1" s="1"/>
  <c r="AL60" i="1" s="1"/>
  <c r="AM60" i="1" s="1"/>
  <c r="AN60" i="1" s="1"/>
  <c r="AO60" i="1" s="1"/>
  <c r="AP60" i="1" s="1"/>
  <c r="AQ60" i="1" s="1"/>
  <c r="AR60" i="1" s="1"/>
  <c r="AS60" i="1" s="1"/>
  <c r="AT60" i="1" s="1"/>
  <c r="AU60" i="1" s="1"/>
  <c r="AV60" i="1" s="1"/>
  <c r="AW60" i="1" s="1"/>
  <c r="AX60" i="1" s="1"/>
  <c r="AY60" i="1" s="1"/>
  <c r="AZ60" i="1" s="1"/>
  <c r="BA60" i="1" s="1"/>
  <c r="BB60" i="1" s="1"/>
  <c r="BC60" i="1" s="1"/>
  <c r="BD60" i="1" s="1"/>
  <c r="BE60" i="1" s="1"/>
  <c r="BF60" i="1" s="1"/>
  <c r="BG60" i="1" s="1"/>
  <c r="BH60" i="1" s="1"/>
  <c r="BI60" i="1" s="1"/>
  <c r="BJ60" i="1" s="1"/>
  <c r="BK60" i="1" s="1"/>
  <c r="BL60" i="1" s="1"/>
  <c r="BM60" i="1" s="1"/>
  <c r="BN60" i="1" s="1"/>
  <c r="BO60" i="1" s="1"/>
  <c r="BP60" i="1" s="1"/>
  <c r="B159" i="1"/>
  <c r="C159" i="1" s="1"/>
  <c r="D159" i="1" s="1"/>
  <c r="E159" i="1" s="1"/>
  <c r="F159" i="1" s="1"/>
  <c r="G159" i="1" s="1"/>
  <c r="H159" i="1" s="1"/>
  <c r="I159" i="1" s="1"/>
  <c r="J159" i="1" s="1"/>
  <c r="K159" i="1" s="1"/>
  <c r="L159" i="1" s="1"/>
  <c r="M159" i="1" s="1"/>
  <c r="N159" i="1" s="1"/>
  <c r="O159" i="1" s="1"/>
  <c r="P159" i="1" s="1"/>
  <c r="Q159" i="1" s="1"/>
  <c r="R159" i="1" s="1"/>
  <c r="S159" i="1" s="1"/>
  <c r="T159" i="1" s="1"/>
  <c r="U159" i="1" s="1"/>
  <c r="V159" i="1" s="1"/>
  <c r="W159" i="1" s="1"/>
  <c r="X159" i="1" s="1"/>
  <c r="Y159" i="1" s="1"/>
  <c r="Z159" i="1" s="1"/>
  <c r="AA159" i="1" s="1"/>
  <c r="AB159" i="1" s="1"/>
  <c r="AC159" i="1" s="1"/>
  <c r="AD159" i="1" s="1"/>
  <c r="AE159" i="1" s="1"/>
  <c r="AF159" i="1" s="1"/>
  <c r="AG159" i="1" s="1"/>
  <c r="AH159" i="1" s="1"/>
  <c r="AI159" i="1" s="1"/>
  <c r="AJ159" i="1" s="1"/>
  <c r="AK159" i="1" s="1"/>
  <c r="AL159" i="1" s="1"/>
  <c r="AM159" i="1" s="1"/>
  <c r="AN159" i="1" s="1"/>
  <c r="AO159" i="1" s="1"/>
  <c r="AP159" i="1" s="1"/>
  <c r="AQ159" i="1" s="1"/>
  <c r="AR159" i="1" s="1"/>
  <c r="AS159" i="1" s="1"/>
  <c r="AT159" i="1" s="1"/>
  <c r="AU159" i="1" s="1"/>
  <c r="AV159" i="1" s="1"/>
  <c r="AW159" i="1" s="1"/>
  <c r="AX159" i="1" s="1"/>
  <c r="AY159" i="1" s="1"/>
  <c r="AZ159" i="1" s="1"/>
  <c r="BA159" i="1" s="1"/>
  <c r="BB159" i="1" s="1"/>
  <c r="BC159" i="1" s="1"/>
  <c r="BD159" i="1" s="1"/>
  <c r="BE159" i="1" s="1"/>
  <c r="BF159" i="1" s="1"/>
  <c r="BG159" i="1" s="1"/>
  <c r="BH159" i="1" s="1"/>
  <c r="BI159" i="1" s="1"/>
  <c r="BJ159" i="1" s="1"/>
  <c r="BK159" i="1" s="1"/>
  <c r="BL159" i="1" s="1"/>
  <c r="BM159" i="1" s="1"/>
  <c r="BN159" i="1" s="1"/>
  <c r="BO159" i="1" s="1"/>
  <c r="BP159" i="1" s="1"/>
  <c r="B160" i="1"/>
  <c r="C160" i="1" s="1"/>
  <c r="D160" i="1" s="1"/>
  <c r="E160" i="1" s="1"/>
  <c r="F160" i="1" s="1"/>
  <c r="G160" i="1" s="1"/>
  <c r="H160" i="1" s="1"/>
  <c r="I160" i="1" s="1"/>
  <c r="J160" i="1" s="1"/>
  <c r="K160" i="1" s="1"/>
  <c r="L160" i="1" s="1"/>
  <c r="M160" i="1" s="1"/>
  <c r="N160" i="1" s="1"/>
  <c r="O160" i="1" s="1"/>
  <c r="P160" i="1" s="1"/>
  <c r="Q160" i="1" s="1"/>
  <c r="R160" i="1" s="1"/>
  <c r="S160" i="1" s="1"/>
  <c r="T160" i="1" s="1"/>
  <c r="U160" i="1" s="1"/>
  <c r="V160" i="1" s="1"/>
  <c r="W160" i="1" s="1"/>
  <c r="X160" i="1" s="1"/>
  <c r="Y160" i="1" s="1"/>
  <c r="Z160" i="1" s="1"/>
  <c r="AA160" i="1" s="1"/>
  <c r="AB160" i="1" s="1"/>
  <c r="AC160" i="1" s="1"/>
  <c r="AD160" i="1" s="1"/>
  <c r="AE160" i="1" s="1"/>
  <c r="AF160" i="1" s="1"/>
  <c r="AG160" i="1" s="1"/>
  <c r="AH160" i="1" s="1"/>
  <c r="AI160" i="1" s="1"/>
  <c r="AJ160" i="1" s="1"/>
  <c r="AK160" i="1" s="1"/>
  <c r="AL160" i="1" s="1"/>
  <c r="AM160" i="1" s="1"/>
  <c r="AN160" i="1" s="1"/>
  <c r="AO160" i="1" s="1"/>
  <c r="AP160" i="1" s="1"/>
  <c r="AQ160" i="1" s="1"/>
  <c r="AR160" i="1" s="1"/>
  <c r="AS160" i="1" s="1"/>
  <c r="AT160" i="1" s="1"/>
  <c r="AU160" i="1" s="1"/>
  <c r="AV160" i="1" s="1"/>
  <c r="AW160" i="1" s="1"/>
  <c r="AX160" i="1" s="1"/>
  <c r="AY160" i="1" s="1"/>
  <c r="AZ160" i="1" s="1"/>
  <c r="BA160" i="1" s="1"/>
  <c r="BB160" i="1" s="1"/>
  <c r="BC160" i="1" s="1"/>
  <c r="BD160" i="1" s="1"/>
  <c r="BE160" i="1" s="1"/>
  <c r="BF160" i="1" s="1"/>
  <c r="BG160" i="1" s="1"/>
  <c r="BH160" i="1" s="1"/>
  <c r="BI160" i="1" s="1"/>
  <c r="BJ160" i="1" s="1"/>
  <c r="BK160" i="1" s="1"/>
  <c r="BL160" i="1" s="1"/>
  <c r="BM160" i="1" s="1"/>
  <c r="BN160" i="1" s="1"/>
  <c r="BO160" i="1" s="1"/>
  <c r="BP160" i="1" s="1"/>
  <c r="B61" i="1"/>
  <c r="C61" i="1" s="1"/>
  <c r="D61" i="1" s="1"/>
  <c r="E61" i="1" s="1"/>
  <c r="F61" i="1" s="1"/>
  <c r="G61" i="1" s="1"/>
  <c r="H61" i="1" s="1"/>
  <c r="I61" i="1" s="1"/>
  <c r="J61" i="1" s="1"/>
  <c r="K61" i="1" s="1"/>
  <c r="L61" i="1" s="1"/>
  <c r="M61" i="1" s="1"/>
  <c r="N61" i="1" s="1"/>
  <c r="O61" i="1" s="1"/>
  <c r="P61" i="1" s="1"/>
  <c r="Q61" i="1" s="1"/>
  <c r="R61" i="1" s="1"/>
  <c r="S61" i="1" s="1"/>
  <c r="T61" i="1" s="1"/>
  <c r="U61" i="1" s="1"/>
  <c r="V61" i="1" s="1"/>
  <c r="W61" i="1" s="1"/>
  <c r="X61" i="1" s="1"/>
  <c r="Y61" i="1" s="1"/>
  <c r="Z61" i="1" s="1"/>
  <c r="AA61" i="1" s="1"/>
  <c r="AB61" i="1" s="1"/>
  <c r="AC61" i="1" s="1"/>
  <c r="AD61" i="1" s="1"/>
  <c r="AE61" i="1" s="1"/>
  <c r="AF61" i="1" s="1"/>
  <c r="AG61" i="1" s="1"/>
  <c r="AH61" i="1" s="1"/>
  <c r="AI61" i="1" s="1"/>
  <c r="AJ61" i="1" s="1"/>
  <c r="AK61" i="1" s="1"/>
  <c r="AL61" i="1" s="1"/>
  <c r="AM61" i="1" s="1"/>
  <c r="AN61" i="1" s="1"/>
  <c r="AO61" i="1" s="1"/>
  <c r="AP61" i="1" s="1"/>
  <c r="AQ61" i="1" s="1"/>
  <c r="AR61" i="1" s="1"/>
  <c r="AS61" i="1" s="1"/>
  <c r="AT61" i="1" s="1"/>
  <c r="AU61" i="1" s="1"/>
  <c r="AV61" i="1" s="1"/>
  <c r="AW61" i="1" s="1"/>
  <c r="AX61" i="1" s="1"/>
  <c r="AY61" i="1" s="1"/>
  <c r="AZ61" i="1" s="1"/>
  <c r="BA61" i="1" s="1"/>
  <c r="BB61" i="1" s="1"/>
  <c r="BC61" i="1" s="1"/>
  <c r="BD61" i="1" s="1"/>
  <c r="BE61" i="1" s="1"/>
  <c r="BF61" i="1" s="1"/>
  <c r="BG61" i="1" s="1"/>
  <c r="BH61" i="1" s="1"/>
  <c r="BI61" i="1" s="1"/>
  <c r="BJ61" i="1" s="1"/>
  <c r="BK61" i="1" s="1"/>
  <c r="BL61" i="1" s="1"/>
  <c r="BM61" i="1" s="1"/>
  <c r="BN61" i="1" s="1"/>
  <c r="BO61" i="1" s="1"/>
  <c r="BP61" i="1" s="1"/>
  <c r="B66" i="1"/>
  <c r="C66" i="1" s="1"/>
  <c r="D66" i="1" s="1"/>
  <c r="E66" i="1" s="1"/>
  <c r="F66" i="1" s="1"/>
  <c r="G66" i="1" s="1"/>
  <c r="H66" i="1" s="1"/>
  <c r="I66" i="1" s="1"/>
  <c r="J66" i="1" s="1"/>
  <c r="K66" i="1" s="1"/>
  <c r="L66" i="1" s="1"/>
  <c r="M66" i="1" s="1"/>
  <c r="N66" i="1" s="1"/>
  <c r="O66" i="1" s="1"/>
  <c r="P66" i="1" s="1"/>
  <c r="Q66" i="1" s="1"/>
  <c r="R66" i="1" s="1"/>
  <c r="S66" i="1" s="1"/>
  <c r="T66" i="1" s="1"/>
  <c r="U66" i="1" s="1"/>
  <c r="V66" i="1" s="1"/>
  <c r="W66" i="1" s="1"/>
  <c r="X66" i="1" s="1"/>
  <c r="Y66" i="1" s="1"/>
  <c r="Z66" i="1" s="1"/>
  <c r="AA66" i="1" s="1"/>
  <c r="AB66" i="1" s="1"/>
  <c r="AC66" i="1" s="1"/>
  <c r="AD66" i="1" s="1"/>
  <c r="AE66" i="1" s="1"/>
  <c r="AF66" i="1" s="1"/>
  <c r="AG66" i="1" s="1"/>
  <c r="AH66" i="1" s="1"/>
  <c r="AI66" i="1" s="1"/>
  <c r="AJ66" i="1" s="1"/>
  <c r="AK66" i="1" s="1"/>
  <c r="AL66" i="1" s="1"/>
  <c r="AM66" i="1" s="1"/>
  <c r="AN66" i="1" s="1"/>
  <c r="AO66" i="1" s="1"/>
  <c r="AP66" i="1" s="1"/>
  <c r="AQ66" i="1" s="1"/>
  <c r="AR66" i="1" s="1"/>
  <c r="AS66" i="1" s="1"/>
  <c r="AT66" i="1" s="1"/>
  <c r="AU66" i="1" s="1"/>
  <c r="AV66" i="1" s="1"/>
  <c r="AW66" i="1" s="1"/>
  <c r="AX66" i="1" s="1"/>
  <c r="AY66" i="1" s="1"/>
  <c r="AZ66" i="1" s="1"/>
  <c r="BA66" i="1" s="1"/>
  <c r="BB66" i="1" s="1"/>
  <c r="BC66" i="1" s="1"/>
  <c r="BD66" i="1" s="1"/>
  <c r="BE66" i="1" s="1"/>
  <c r="BF66" i="1" s="1"/>
  <c r="BG66" i="1" s="1"/>
  <c r="BH66" i="1" s="1"/>
  <c r="BI66" i="1" s="1"/>
  <c r="BJ66" i="1" s="1"/>
  <c r="BK66" i="1" s="1"/>
  <c r="BL66" i="1" s="1"/>
  <c r="BM66" i="1" s="1"/>
  <c r="BN66" i="1" s="1"/>
  <c r="BO66" i="1" s="1"/>
  <c r="BP66" i="1" s="1"/>
  <c r="B161" i="1"/>
  <c r="C161" i="1" s="1"/>
  <c r="D161" i="1" s="1"/>
  <c r="E161" i="1" s="1"/>
  <c r="F161" i="1" s="1"/>
  <c r="G161" i="1" s="1"/>
  <c r="H161" i="1" s="1"/>
  <c r="I161" i="1" s="1"/>
  <c r="J161" i="1" s="1"/>
  <c r="K161" i="1" s="1"/>
  <c r="L161" i="1" s="1"/>
  <c r="M161" i="1" s="1"/>
  <c r="N161" i="1" s="1"/>
  <c r="O161" i="1" s="1"/>
  <c r="P161" i="1" s="1"/>
  <c r="Q161" i="1" s="1"/>
  <c r="R161" i="1" s="1"/>
  <c r="S161" i="1" s="1"/>
  <c r="T161" i="1" s="1"/>
  <c r="U161" i="1" s="1"/>
  <c r="V161" i="1" s="1"/>
  <c r="W161" i="1" s="1"/>
  <c r="X161" i="1" s="1"/>
  <c r="Y161" i="1" s="1"/>
  <c r="Z161" i="1" s="1"/>
  <c r="AA161" i="1" s="1"/>
  <c r="AB161" i="1" s="1"/>
  <c r="AC161" i="1" s="1"/>
  <c r="AD161" i="1" s="1"/>
  <c r="AE161" i="1" s="1"/>
  <c r="AF161" i="1" s="1"/>
  <c r="AG161" i="1" s="1"/>
  <c r="AH161" i="1" s="1"/>
  <c r="AI161" i="1" s="1"/>
  <c r="AJ161" i="1" s="1"/>
  <c r="AK161" i="1" s="1"/>
  <c r="AL161" i="1" s="1"/>
  <c r="AM161" i="1" s="1"/>
  <c r="AN161" i="1" s="1"/>
  <c r="AO161" i="1" s="1"/>
  <c r="AP161" i="1" s="1"/>
  <c r="AQ161" i="1" s="1"/>
  <c r="AR161" i="1" s="1"/>
  <c r="AS161" i="1" s="1"/>
  <c r="AT161" i="1" s="1"/>
  <c r="AU161" i="1" s="1"/>
  <c r="AV161" i="1" s="1"/>
  <c r="AW161" i="1" s="1"/>
  <c r="AX161" i="1" s="1"/>
  <c r="AY161" i="1" s="1"/>
  <c r="AZ161" i="1" s="1"/>
  <c r="BA161" i="1" s="1"/>
  <c r="BB161" i="1" s="1"/>
  <c r="BC161" i="1" s="1"/>
  <c r="BD161" i="1" s="1"/>
  <c r="BE161" i="1" s="1"/>
  <c r="BF161" i="1" s="1"/>
  <c r="BG161" i="1" s="1"/>
  <c r="BH161" i="1" s="1"/>
  <c r="BI161" i="1" s="1"/>
  <c r="BJ161" i="1" s="1"/>
  <c r="BK161" i="1" s="1"/>
  <c r="BL161" i="1" s="1"/>
  <c r="BM161" i="1" s="1"/>
  <c r="BN161" i="1" s="1"/>
  <c r="BO161" i="1" s="1"/>
  <c r="BP161" i="1" s="1"/>
  <c r="B62" i="1"/>
  <c r="C62" i="1" s="1"/>
  <c r="D62" i="1" s="1"/>
  <c r="E62" i="1" s="1"/>
  <c r="F62" i="1" s="1"/>
  <c r="G62" i="1" s="1"/>
  <c r="H62" i="1" s="1"/>
  <c r="I62" i="1" s="1"/>
  <c r="J62" i="1" s="1"/>
  <c r="K62" i="1" s="1"/>
  <c r="L62" i="1" s="1"/>
  <c r="M62" i="1" s="1"/>
  <c r="N62" i="1" s="1"/>
  <c r="O62" i="1" s="1"/>
  <c r="P62" i="1" s="1"/>
  <c r="Q62" i="1" s="1"/>
  <c r="R62" i="1" s="1"/>
  <c r="S62" i="1" s="1"/>
  <c r="T62" i="1" s="1"/>
  <c r="U62" i="1" s="1"/>
  <c r="V62" i="1" s="1"/>
  <c r="W62" i="1" s="1"/>
  <c r="X62" i="1" s="1"/>
  <c r="Y62" i="1" s="1"/>
  <c r="Z62" i="1" s="1"/>
  <c r="AA62" i="1" s="1"/>
  <c r="AB62" i="1" s="1"/>
  <c r="AC62" i="1" s="1"/>
  <c r="AD62" i="1" s="1"/>
  <c r="AE62" i="1" s="1"/>
  <c r="AF62" i="1" s="1"/>
  <c r="AG62" i="1" s="1"/>
  <c r="AH62" i="1" s="1"/>
  <c r="AI62" i="1" s="1"/>
  <c r="AJ62" i="1" s="1"/>
  <c r="AK62" i="1" s="1"/>
  <c r="AL62" i="1" s="1"/>
  <c r="AM62" i="1" s="1"/>
  <c r="AN62" i="1" s="1"/>
  <c r="AO62" i="1" s="1"/>
  <c r="AP62" i="1" s="1"/>
  <c r="AQ62" i="1" s="1"/>
  <c r="AR62" i="1" s="1"/>
  <c r="AS62" i="1" s="1"/>
  <c r="AT62" i="1" s="1"/>
  <c r="AU62" i="1" s="1"/>
  <c r="AV62" i="1" s="1"/>
  <c r="AW62" i="1" s="1"/>
  <c r="AX62" i="1" s="1"/>
  <c r="AY62" i="1" s="1"/>
  <c r="AZ62" i="1" s="1"/>
  <c r="BA62" i="1" s="1"/>
  <c r="BB62" i="1" s="1"/>
  <c r="BC62" i="1" s="1"/>
  <c r="BD62" i="1" s="1"/>
  <c r="BE62" i="1" s="1"/>
  <c r="BF62" i="1" s="1"/>
  <c r="BG62" i="1" s="1"/>
  <c r="BH62" i="1" s="1"/>
  <c r="BI62" i="1" s="1"/>
  <c r="BJ62" i="1" s="1"/>
  <c r="BK62" i="1" s="1"/>
  <c r="BL62" i="1" s="1"/>
  <c r="BM62" i="1" s="1"/>
  <c r="BN62" i="1" s="1"/>
  <c r="BO62" i="1" s="1"/>
  <c r="BP62" i="1" s="1"/>
  <c r="B59" i="1"/>
  <c r="C59" i="1" s="1"/>
  <c r="D59" i="1" s="1"/>
  <c r="E59" i="1" s="1"/>
  <c r="F59" i="1" s="1"/>
  <c r="G59" i="1" s="1"/>
  <c r="H59" i="1" s="1"/>
  <c r="I59" i="1" s="1"/>
  <c r="J59" i="1" s="1"/>
  <c r="K59" i="1" s="1"/>
  <c r="L59" i="1" s="1"/>
  <c r="M59" i="1" s="1"/>
  <c r="N59" i="1" s="1"/>
  <c r="O59" i="1" s="1"/>
  <c r="P59" i="1" s="1"/>
  <c r="Q59" i="1" s="1"/>
  <c r="R59" i="1" s="1"/>
  <c r="S59" i="1" s="1"/>
  <c r="T59" i="1" s="1"/>
  <c r="U59" i="1" s="1"/>
  <c r="V59" i="1" s="1"/>
  <c r="W59" i="1" s="1"/>
  <c r="X59" i="1" s="1"/>
  <c r="Y59" i="1" s="1"/>
  <c r="Z59" i="1" s="1"/>
  <c r="AA59" i="1" s="1"/>
  <c r="AB59" i="1" s="1"/>
  <c r="AC59" i="1" s="1"/>
  <c r="AD59" i="1" s="1"/>
  <c r="AE59" i="1" s="1"/>
  <c r="AF59" i="1" s="1"/>
  <c r="AG59" i="1" s="1"/>
  <c r="AH59" i="1" s="1"/>
  <c r="AI59" i="1" s="1"/>
  <c r="AJ59" i="1" s="1"/>
  <c r="AK59" i="1" s="1"/>
  <c r="AL59" i="1" s="1"/>
  <c r="AM59" i="1" s="1"/>
  <c r="AN59" i="1" s="1"/>
  <c r="AO59" i="1" s="1"/>
  <c r="AP59" i="1" s="1"/>
  <c r="AQ59" i="1" s="1"/>
  <c r="AR59" i="1" s="1"/>
  <c r="AS59" i="1" s="1"/>
  <c r="AT59" i="1" s="1"/>
  <c r="AU59" i="1" s="1"/>
  <c r="AV59" i="1" s="1"/>
  <c r="AW59" i="1" s="1"/>
  <c r="AX59" i="1" s="1"/>
  <c r="AY59" i="1" s="1"/>
  <c r="AZ59" i="1" s="1"/>
  <c r="BA59" i="1" s="1"/>
  <c r="BB59" i="1" s="1"/>
  <c r="BC59" i="1" s="1"/>
  <c r="BD59" i="1" s="1"/>
  <c r="BE59" i="1" s="1"/>
  <c r="BF59" i="1" s="1"/>
  <c r="BG59" i="1" s="1"/>
  <c r="BH59" i="1" s="1"/>
  <c r="BI59" i="1" s="1"/>
  <c r="BJ59" i="1" s="1"/>
  <c r="BK59" i="1" s="1"/>
  <c r="BL59" i="1" s="1"/>
  <c r="BM59" i="1" s="1"/>
  <c r="BN59" i="1" s="1"/>
  <c r="BO59" i="1" s="1"/>
  <c r="BP59" i="1" s="1"/>
  <c r="B162" i="1"/>
  <c r="C162" i="1" s="1"/>
  <c r="D162" i="1" s="1"/>
  <c r="E162" i="1" s="1"/>
  <c r="F162" i="1" s="1"/>
  <c r="G162" i="1" s="1"/>
  <c r="H162" i="1" s="1"/>
  <c r="I162" i="1" s="1"/>
  <c r="J162" i="1" s="1"/>
  <c r="K162" i="1" s="1"/>
  <c r="L162" i="1" s="1"/>
  <c r="M162" i="1" s="1"/>
  <c r="N162" i="1" s="1"/>
  <c r="O162" i="1" s="1"/>
  <c r="P162" i="1" s="1"/>
  <c r="Q162" i="1" s="1"/>
  <c r="R162" i="1" s="1"/>
  <c r="S162" i="1" s="1"/>
  <c r="T162" i="1" s="1"/>
  <c r="U162" i="1" s="1"/>
  <c r="V162" i="1" s="1"/>
  <c r="W162" i="1" s="1"/>
  <c r="X162" i="1" s="1"/>
  <c r="Y162" i="1" s="1"/>
  <c r="Z162" i="1" s="1"/>
  <c r="AA162" i="1" s="1"/>
  <c r="AB162" i="1" s="1"/>
  <c r="AC162" i="1" s="1"/>
  <c r="AD162" i="1" s="1"/>
  <c r="AE162" i="1" s="1"/>
  <c r="AF162" i="1" s="1"/>
  <c r="AG162" i="1" s="1"/>
  <c r="AH162" i="1" s="1"/>
  <c r="AI162" i="1" s="1"/>
  <c r="AJ162" i="1" s="1"/>
  <c r="AK162" i="1" s="1"/>
  <c r="AL162" i="1" s="1"/>
  <c r="AM162" i="1" s="1"/>
  <c r="AN162" i="1" s="1"/>
  <c r="AO162" i="1" s="1"/>
  <c r="AP162" i="1" s="1"/>
  <c r="AQ162" i="1" s="1"/>
  <c r="AR162" i="1" s="1"/>
  <c r="AS162" i="1" s="1"/>
  <c r="AT162" i="1" s="1"/>
  <c r="AU162" i="1" s="1"/>
  <c r="AV162" i="1" s="1"/>
  <c r="AW162" i="1" s="1"/>
  <c r="AX162" i="1" s="1"/>
  <c r="AY162" i="1" s="1"/>
  <c r="AZ162" i="1" s="1"/>
  <c r="BA162" i="1" s="1"/>
  <c r="BB162" i="1" s="1"/>
  <c r="BC162" i="1" s="1"/>
  <c r="BD162" i="1" s="1"/>
  <c r="BE162" i="1" s="1"/>
  <c r="BF162" i="1" s="1"/>
  <c r="BG162" i="1" s="1"/>
  <c r="BH162" i="1" s="1"/>
  <c r="BI162" i="1" s="1"/>
  <c r="BJ162" i="1" s="1"/>
  <c r="BK162" i="1" s="1"/>
  <c r="BL162" i="1" s="1"/>
  <c r="BM162" i="1" s="1"/>
  <c r="BN162" i="1" s="1"/>
  <c r="BO162" i="1" s="1"/>
  <c r="BP162" i="1" s="1"/>
  <c r="B163" i="1"/>
  <c r="C163" i="1" s="1"/>
  <c r="D163" i="1" s="1"/>
  <c r="E163" i="1" s="1"/>
  <c r="F163" i="1" s="1"/>
  <c r="G163" i="1" s="1"/>
  <c r="H163" i="1" s="1"/>
  <c r="I163" i="1" s="1"/>
  <c r="J163" i="1" s="1"/>
  <c r="K163" i="1" s="1"/>
  <c r="L163" i="1" s="1"/>
  <c r="M163" i="1" s="1"/>
  <c r="N163" i="1" s="1"/>
  <c r="O163" i="1" s="1"/>
  <c r="P163" i="1" s="1"/>
  <c r="Q163" i="1" s="1"/>
  <c r="R163" i="1" s="1"/>
  <c r="S163" i="1" s="1"/>
  <c r="T163" i="1" s="1"/>
  <c r="U163" i="1" s="1"/>
  <c r="V163" i="1" s="1"/>
  <c r="W163" i="1" s="1"/>
  <c r="X163" i="1" s="1"/>
  <c r="Y163" i="1" s="1"/>
  <c r="Z163" i="1" s="1"/>
  <c r="AA163" i="1" s="1"/>
  <c r="AB163" i="1" s="1"/>
  <c r="AC163" i="1" s="1"/>
  <c r="AD163" i="1" s="1"/>
  <c r="AE163" i="1" s="1"/>
  <c r="AF163" i="1" s="1"/>
  <c r="AG163" i="1" s="1"/>
  <c r="AH163" i="1" s="1"/>
  <c r="AI163" i="1" s="1"/>
  <c r="AJ163" i="1" s="1"/>
  <c r="AK163" i="1" s="1"/>
  <c r="AL163" i="1" s="1"/>
  <c r="AM163" i="1" s="1"/>
  <c r="AN163" i="1" s="1"/>
  <c r="AO163" i="1" s="1"/>
  <c r="AP163" i="1" s="1"/>
  <c r="AQ163" i="1" s="1"/>
  <c r="AR163" i="1" s="1"/>
  <c r="AS163" i="1" s="1"/>
  <c r="AT163" i="1" s="1"/>
  <c r="AU163" i="1" s="1"/>
  <c r="AV163" i="1" s="1"/>
  <c r="AW163" i="1" s="1"/>
  <c r="AX163" i="1" s="1"/>
  <c r="AY163" i="1" s="1"/>
  <c r="AZ163" i="1" s="1"/>
  <c r="BA163" i="1" s="1"/>
  <c r="BB163" i="1" s="1"/>
  <c r="BC163" i="1" s="1"/>
  <c r="BD163" i="1" s="1"/>
  <c r="BE163" i="1" s="1"/>
  <c r="BF163" i="1" s="1"/>
  <c r="BG163" i="1" s="1"/>
  <c r="BH163" i="1" s="1"/>
  <c r="BI163" i="1" s="1"/>
  <c r="BJ163" i="1" s="1"/>
  <c r="BK163" i="1" s="1"/>
  <c r="BL163" i="1" s="1"/>
  <c r="BM163" i="1" s="1"/>
  <c r="BN163" i="1" s="1"/>
  <c r="BO163" i="1" s="1"/>
  <c r="BP163" i="1" s="1"/>
  <c r="B164" i="1"/>
  <c r="C164" i="1" s="1"/>
  <c r="D164" i="1" s="1"/>
  <c r="E164" i="1" s="1"/>
  <c r="F164" i="1" s="1"/>
  <c r="G164" i="1" s="1"/>
  <c r="H164" i="1" s="1"/>
  <c r="I164" i="1" s="1"/>
  <c r="J164" i="1" s="1"/>
  <c r="K164" i="1" s="1"/>
  <c r="L164" i="1" s="1"/>
  <c r="M164" i="1" s="1"/>
  <c r="N164" i="1" s="1"/>
  <c r="O164" i="1" s="1"/>
  <c r="P164" i="1" s="1"/>
  <c r="Q164" i="1" s="1"/>
  <c r="R164" i="1" s="1"/>
  <c r="S164" i="1" s="1"/>
  <c r="T164" i="1" s="1"/>
  <c r="U164" i="1" s="1"/>
  <c r="V164" i="1" s="1"/>
  <c r="W164" i="1" s="1"/>
  <c r="X164" i="1" s="1"/>
  <c r="Y164" i="1" s="1"/>
  <c r="Z164" i="1" s="1"/>
  <c r="AA164" i="1" s="1"/>
  <c r="AB164" i="1" s="1"/>
  <c r="AC164" i="1" s="1"/>
  <c r="AD164" i="1" s="1"/>
  <c r="AE164" i="1" s="1"/>
  <c r="AF164" i="1" s="1"/>
  <c r="AG164" i="1" s="1"/>
  <c r="AH164" i="1" s="1"/>
  <c r="AI164" i="1" s="1"/>
  <c r="AJ164" i="1" s="1"/>
  <c r="AK164" i="1" s="1"/>
  <c r="AL164" i="1" s="1"/>
  <c r="AM164" i="1" s="1"/>
  <c r="AN164" i="1" s="1"/>
  <c r="AO164" i="1" s="1"/>
  <c r="AP164" i="1" s="1"/>
  <c r="AQ164" i="1" s="1"/>
  <c r="AR164" i="1" s="1"/>
  <c r="AS164" i="1" s="1"/>
  <c r="AT164" i="1" s="1"/>
  <c r="AU164" i="1" s="1"/>
  <c r="AV164" i="1" s="1"/>
  <c r="AW164" i="1" s="1"/>
  <c r="AX164" i="1" s="1"/>
  <c r="AY164" i="1" s="1"/>
  <c r="AZ164" i="1" s="1"/>
  <c r="BA164" i="1" s="1"/>
  <c r="BB164" i="1" s="1"/>
  <c r="BC164" i="1" s="1"/>
  <c r="BD164" i="1" s="1"/>
  <c r="BE164" i="1" s="1"/>
  <c r="BF164" i="1" s="1"/>
  <c r="BG164" i="1" s="1"/>
  <c r="BH164" i="1" s="1"/>
  <c r="BI164" i="1" s="1"/>
  <c r="BJ164" i="1" s="1"/>
  <c r="BK164" i="1" s="1"/>
  <c r="BL164" i="1" s="1"/>
  <c r="BM164" i="1" s="1"/>
  <c r="BN164" i="1" s="1"/>
  <c r="BO164" i="1" s="1"/>
  <c r="BP164" i="1" s="1"/>
  <c r="B165" i="1"/>
  <c r="C165" i="1" s="1"/>
  <c r="D165" i="1" s="1"/>
  <c r="E165" i="1" s="1"/>
  <c r="F165" i="1" s="1"/>
  <c r="G165" i="1" s="1"/>
  <c r="H165" i="1" s="1"/>
  <c r="I165" i="1" s="1"/>
  <c r="J165" i="1" s="1"/>
  <c r="K165" i="1" s="1"/>
  <c r="L165" i="1" s="1"/>
  <c r="M165" i="1" s="1"/>
  <c r="N165" i="1" s="1"/>
  <c r="O165" i="1" s="1"/>
  <c r="P165" i="1" s="1"/>
  <c r="Q165" i="1" s="1"/>
  <c r="R165" i="1" s="1"/>
  <c r="S165" i="1" s="1"/>
  <c r="T165" i="1" s="1"/>
  <c r="U165" i="1" s="1"/>
  <c r="V165" i="1" s="1"/>
  <c r="W165" i="1" s="1"/>
  <c r="X165" i="1" s="1"/>
  <c r="Y165" i="1" s="1"/>
  <c r="Z165" i="1" s="1"/>
  <c r="AA165" i="1" s="1"/>
  <c r="AB165" i="1" s="1"/>
  <c r="AC165" i="1" s="1"/>
  <c r="AD165" i="1" s="1"/>
  <c r="AE165" i="1" s="1"/>
  <c r="AF165" i="1" s="1"/>
  <c r="AG165" i="1" s="1"/>
  <c r="AH165" i="1" s="1"/>
  <c r="AI165" i="1" s="1"/>
  <c r="AJ165" i="1" s="1"/>
  <c r="AK165" i="1" s="1"/>
  <c r="AL165" i="1" s="1"/>
  <c r="AM165" i="1" s="1"/>
  <c r="AN165" i="1" s="1"/>
  <c r="AO165" i="1" s="1"/>
  <c r="AP165" i="1" s="1"/>
  <c r="AQ165" i="1" s="1"/>
  <c r="AR165" i="1" s="1"/>
  <c r="AS165" i="1" s="1"/>
  <c r="AT165" i="1" s="1"/>
  <c r="AU165" i="1" s="1"/>
  <c r="AV165" i="1" s="1"/>
  <c r="AW165" i="1" s="1"/>
  <c r="AX165" i="1" s="1"/>
  <c r="AY165" i="1" s="1"/>
  <c r="AZ165" i="1" s="1"/>
  <c r="BA165" i="1" s="1"/>
  <c r="BB165" i="1" s="1"/>
  <c r="BC165" i="1" s="1"/>
  <c r="BD165" i="1" s="1"/>
  <c r="BE165" i="1" s="1"/>
  <c r="BF165" i="1" s="1"/>
  <c r="BG165" i="1" s="1"/>
  <c r="BH165" i="1" s="1"/>
  <c r="BI165" i="1" s="1"/>
  <c r="BJ165" i="1" s="1"/>
  <c r="BK165" i="1" s="1"/>
  <c r="BL165" i="1" s="1"/>
  <c r="BM165" i="1" s="1"/>
  <c r="BN165" i="1" s="1"/>
  <c r="BO165" i="1" s="1"/>
  <c r="BP165" i="1" s="1"/>
  <c r="B69" i="1"/>
  <c r="C69" i="1" s="1"/>
  <c r="D69" i="1" s="1"/>
  <c r="E69" i="1" s="1"/>
  <c r="F69" i="1" s="1"/>
  <c r="G69" i="1" s="1"/>
  <c r="H69" i="1" s="1"/>
  <c r="I69" i="1" s="1"/>
  <c r="J69" i="1" s="1"/>
  <c r="K69" i="1" s="1"/>
  <c r="L69" i="1" s="1"/>
  <c r="M69" i="1" s="1"/>
  <c r="N69" i="1" s="1"/>
  <c r="O69" i="1" s="1"/>
  <c r="P69" i="1" s="1"/>
  <c r="Q69" i="1" s="1"/>
  <c r="R69" i="1" s="1"/>
  <c r="S69" i="1" s="1"/>
  <c r="T69" i="1" s="1"/>
  <c r="U69" i="1" s="1"/>
  <c r="V69" i="1" s="1"/>
  <c r="W69" i="1" s="1"/>
  <c r="X69" i="1" s="1"/>
  <c r="Y69" i="1" s="1"/>
  <c r="Z69" i="1" s="1"/>
  <c r="AA69" i="1" s="1"/>
  <c r="AB69" i="1" s="1"/>
  <c r="AC69" i="1" s="1"/>
  <c r="AD69" i="1" s="1"/>
  <c r="AE69" i="1" s="1"/>
  <c r="AF69" i="1" s="1"/>
  <c r="AG69" i="1" s="1"/>
  <c r="AH69" i="1" s="1"/>
  <c r="AI69" i="1" s="1"/>
  <c r="AJ69" i="1" s="1"/>
  <c r="AK69" i="1" s="1"/>
  <c r="AL69" i="1" s="1"/>
  <c r="AM69" i="1" s="1"/>
  <c r="AN69" i="1" s="1"/>
  <c r="AO69" i="1" s="1"/>
  <c r="AP69" i="1" s="1"/>
  <c r="AQ69" i="1" s="1"/>
  <c r="AR69" i="1" s="1"/>
  <c r="AS69" i="1" s="1"/>
  <c r="AT69" i="1" s="1"/>
  <c r="AU69" i="1" s="1"/>
  <c r="AV69" i="1" s="1"/>
  <c r="AW69" i="1" s="1"/>
  <c r="AX69" i="1" s="1"/>
  <c r="AY69" i="1" s="1"/>
  <c r="AZ69" i="1" s="1"/>
  <c r="BA69" i="1" s="1"/>
  <c r="BB69" i="1" s="1"/>
  <c r="BC69" i="1" s="1"/>
  <c r="BD69" i="1" s="1"/>
  <c r="BE69" i="1" s="1"/>
  <c r="BF69" i="1" s="1"/>
  <c r="BG69" i="1" s="1"/>
  <c r="BH69" i="1" s="1"/>
  <c r="BI69" i="1" s="1"/>
  <c r="BJ69" i="1" s="1"/>
  <c r="BK69" i="1" s="1"/>
  <c r="BL69" i="1" s="1"/>
  <c r="BM69" i="1" s="1"/>
  <c r="BN69" i="1" s="1"/>
  <c r="BO69" i="1" s="1"/>
  <c r="BP69" i="1" s="1"/>
  <c r="B166" i="1"/>
  <c r="C166" i="1" s="1"/>
  <c r="D166" i="1" s="1"/>
  <c r="E166" i="1" s="1"/>
  <c r="F166" i="1" s="1"/>
  <c r="G166" i="1" s="1"/>
  <c r="H166" i="1" s="1"/>
  <c r="I166" i="1" s="1"/>
  <c r="J166" i="1" s="1"/>
  <c r="K166" i="1" s="1"/>
  <c r="L166" i="1" s="1"/>
  <c r="M166" i="1" s="1"/>
  <c r="N166" i="1" s="1"/>
  <c r="O166" i="1" s="1"/>
  <c r="P166" i="1" s="1"/>
  <c r="Q166" i="1" s="1"/>
  <c r="R166" i="1" s="1"/>
  <c r="S166" i="1" s="1"/>
  <c r="T166" i="1" s="1"/>
  <c r="U166" i="1" s="1"/>
  <c r="V166" i="1" s="1"/>
  <c r="W166" i="1" s="1"/>
  <c r="X166" i="1" s="1"/>
  <c r="Y166" i="1" s="1"/>
  <c r="Z166" i="1" s="1"/>
  <c r="AA166" i="1" s="1"/>
  <c r="AB166" i="1" s="1"/>
  <c r="AC166" i="1" s="1"/>
  <c r="AD166" i="1" s="1"/>
  <c r="AE166" i="1" s="1"/>
  <c r="AF166" i="1" s="1"/>
  <c r="AG166" i="1" s="1"/>
  <c r="AH166" i="1" s="1"/>
  <c r="AI166" i="1" s="1"/>
  <c r="AJ166" i="1" s="1"/>
  <c r="AK166" i="1" s="1"/>
  <c r="AL166" i="1" s="1"/>
  <c r="AM166" i="1" s="1"/>
  <c r="AN166" i="1" s="1"/>
  <c r="AO166" i="1" s="1"/>
  <c r="AP166" i="1" s="1"/>
  <c r="AQ166" i="1" s="1"/>
  <c r="AR166" i="1" s="1"/>
  <c r="AS166" i="1" s="1"/>
  <c r="AT166" i="1" s="1"/>
  <c r="AU166" i="1" s="1"/>
  <c r="AV166" i="1" s="1"/>
  <c r="AW166" i="1" s="1"/>
  <c r="AX166" i="1" s="1"/>
  <c r="AY166" i="1" s="1"/>
  <c r="AZ166" i="1" s="1"/>
  <c r="BA166" i="1" s="1"/>
  <c r="BB166" i="1" s="1"/>
  <c r="BC166" i="1" s="1"/>
  <c r="BD166" i="1" s="1"/>
  <c r="BE166" i="1" s="1"/>
  <c r="BF166" i="1" s="1"/>
  <c r="BG166" i="1" s="1"/>
  <c r="BH166" i="1" s="1"/>
  <c r="BI166" i="1" s="1"/>
  <c r="BJ166" i="1" s="1"/>
  <c r="BK166" i="1" s="1"/>
  <c r="BL166" i="1" s="1"/>
  <c r="BM166" i="1" s="1"/>
  <c r="BN166" i="1" s="1"/>
  <c r="BO166" i="1" s="1"/>
  <c r="BP166" i="1" s="1"/>
  <c r="B71" i="1"/>
  <c r="C71" i="1" s="1"/>
  <c r="D71" i="1" s="1"/>
  <c r="E71" i="1" s="1"/>
  <c r="F71" i="1" s="1"/>
  <c r="G71" i="1" s="1"/>
  <c r="H71" i="1" s="1"/>
  <c r="I71" i="1" s="1"/>
  <c r="J71" i="1" s="1"/>
  <c r="K71" i="1" s="1"/>
  <c r="L71" i="1" s="1"/>
  <c r="M71" i="1" s="1"/>
  <c r="N71" i="1" s="1"/>
  <c r="O71" i="1" s="1"/>
  <c r="P71" i="1" s="1"/>
  <c r="Q71" i="1" s="1"/>
  <c r="R71" i="1" s="1"/>
  <c r="S71" i="1" s="1"/>
  <c r="T71" i="1" s="1"/>
  <c r="U71" i="1" s="1"/>
  <c r="V71" i="1" s="1"/>
  <c r="W71" i="1" s="1"/>
  <c r="X71" i="1" s="1"/>
  <c r="Y71" i="1" s="1"/>
  <c r="Z71" i="1" s="1"/>
  <c r="AA71" i="1" s="1"/>
  <c r="AB71" i="1" s="1"/>
  <c r="AC71" i="1" s="1"/>
  <c r="AD71" i="1" s="1"/>
  <c r="AE71" i="1" s="1"/>
  <c r="AF71" i="1" s="1"/>
  <c r="AG71" i="1" s="1"/>
  <c r="AH71" i="1" s="1"/>
  <c r="AI71" i="1" s="1"/>
  <c r="AJ71" i="1" s="1"/>
  <c r="AK71" i="1" s="1"/>
  <c r="AL71" i="1" s="1"/>
  <c r="AM71" i="1" s="1"/>
  <c r="AN71" i="1" s="1"/>
  <c r="AO71" i="1" s="1"/>
  <c r="AP71" i="1" s="1"/>
  <c r="AQ71" i="1" s="1"/>
  <c r="AR71" i="1" s="1"/>
  <c r="AS71" i="1" s="1"/>
  <c r="AT71" i="1" s="1"/>
  <c r="AU71" i="1" s="1"/>
  <c r="AV71" i="1" s="1"/>
  <c r="AW71" i="1" s="1"/>
  <c r="AX71" i="1" s="1"/>
  <c r="AY71" i="1" s="1"/>
  <c r="AZ71" i="1" s="1"/>
  <c r="BA71" i="1" s="1"/>
  <c r="BB71" i="1" s="1"/>
  <c r="BC71" i="1" s="1"/>
  <c r="BD71" i="1" s="1"/>
  <c r="BE71" i="1" s="1"/>
  <c r="BF71" i="1" s="1"/>
  <c r="BG71" i="1" s="1"/>
  <c r="BH71" i="1" s="1"/>
  <c r="BI71" i="1" s="1"/>
  <c r="BJ71" i="1" s="1"/>
  <c r="BK71" i="1" s="1"/>
  <c r="BL71" i="1" s="1"/>
  <c r="BM71" i="1" s="1"/>
  <c r="BN71" i="1" s="1"/>
  <c r="BO71" i="1" s="1"/>
  <c r="BP71" i="1" s="1"/>
  <c r="B68" i="1"/>
  <c r="C68" i="1" s="1"/>
  <c r="D68" i="1" s="1"/>
  <c r="E68" i="1" s="1"/>
  <c r="F68" i="1" s="1"/>
  <c r="G68" i="1" s="1"/>
  <c r="H68" i="1" s="1"/>
  <c r="I68" i="1" s="1"/>
  <c r="J68" i="1" s="1"/>
  <c r="K68" i="1" s="1"/>
  <c r="L68" i="1" s="1"/>
  <c r="M68" i="1" s="1"/>
  <c r="N68" i="1" s="1"/>
  <c r="O68" i="1" s="1"/>
  <c r="P68" i="1" s="1"/>
  <c r="Q68" i="1" s="1"/>
  <c r="R68" i="1" s="1"/>
  <c r="S68" i="1" s="1"/>
  <c r="T68" i="1" s="1"/>
  <c r="U68" i="1" s="1"/>
  <c r="V68" i="1" s="1"/>
  <c r="W68" i="1" s="1"/>
  <c r="X68" i="1" s="1"/>
  <c r="Y68" i="1" s="1"/>
  <c r="Z68" i="1" s="1"/>
  <c r="AA68" i="1" s="1"/>
  <c r="AB68" i="1" s="1"/>
  <c r="AC68" i="1" s="1"/>
  <c r="AD68" i="1" s="1"/>
  <c r="AE68" i="1" s="1"/>
  <c r="AF68" i="1" s="1"/>
  <c r="AG68" i="1" s="1"/>
  <c r="AH68" i="1" s="1"/>
  <c r="AI68" i="1" s="1"/>
  <c r="AJ68" i="1" s="1"/>
  <c r="AK68" i="1" s="1"/>
  <c r="AL68" i="1" s="1"/>
  <c r="AM68" i="1" s="1"/>
  <c r="AN68" i="1" s="1"/>
  <c r="AO68" i="1" s="1"/>
  <c r="AP68" i="1" s="1"/>
  <c r="AQ68" i="1" s="1"/>
  <c r="AR68" i="1" s="1"/>
  <c r="AS68" i="1" s="1"/>
  <c r="AT68" i="1" s="1"/>
  <c r="AU68" i="1" s="1"/>
  <c r="AV68" i="1" s="1"/>
  <c r="AW68" i="1" s="1"/>
  <c r="AX68" i="1" s="1"/>
  <c r="AY68" i="1" s="1"/>
  <c r="AZ68" i="1" s="1"/>
  <c r="BA68" i="1" s="1"/>
  <c r="BB68" i="1" s="1"/>
  <c r="BC68" i="1" s="1"/>
  <c r="BD68" i="1" s="1"/>
  <c r="BE68" i="1" s="1"/>
  <c r="BF68" i="1" s="1"/>
  <c r="BG68" i="1" s="1"/>
  <c r="BH68" i="1" s="1"/>
  <c r="BI68" i="1" s="1"/>
  <c r="BJ68" i="1" s="1"/>
  <c r="BK68" i="1" s="1"/>
  <c r="BL68" i="1" s="1"/>
  <c r="BM68" i="1" s="1"/>
  <c r="BN68" i="1" s="1"/>
  <c r="BO68" i="1" s="1"/>
  <c r="BP68" i="1" s="1"/>
  <c r="B167" i="1"/>
  <c r="C167" i="1" s="1"/>
  <c r="D167" i="1" s="1"/>
  <c r="E167" i="1" s="1"/>
  <c r="F167" i="1" s="1"/>
  <c r="G167" i="1" s="1"/>
  <c r="H167" i="1" s="1"/>
  <c r="I167" i="1" s="1"/>
  <c r="J167" i="1" s="1"/>
  <c r="K167" i="1" s="1"/>
  <c r="L167" i="1" s="1"/>
  <c r="M167" i="1" s="1"/>
  <c r="N167" i="1" s="1"/>
  <c r="O167" i="1" s="1"/>
  <c r="P167" i="1" s="1"/>
  <c r="Q167" i="1" s="1"/>
  <c r="R167" i="1" s="1"/>
  <c r="S167" i="1" s="1"/>
  <c r="T167" i="1" s="1"/>
  <c r="U167" i="1" s="1"/>
  <c r="V167" i="1" s="1"/>
  <c r="W167" i="1" s="1"/>
  <c r="X167" i="1" s="1"/>
  <c r="Y167" i="1" s="1"/>
  <c r="Z167" i="1" s="1"/>
  <c r="AA167" i="1" s="1"/>
  <c r="AB167" i="1" s="1"/>
  <c r="AC167" i="1" s="1"/>
  <c r="AD167" i="1" s="1"/>
  <c r="AE167" i="1" s="1"/>
  <c r="AF167" i="1" s="1"/>
  <c r="AG167" i="1" s="1"/>
  <c r="AH167" i="1" s="1"/>
  <c r="AI167" i="1" s="1"/>
  <c r="AJ167" i="1" s="1"/>
  <c r="AK167" i="1" s="1"/>
  <c r="AL167" i="1" s="1"/>
  <c r="AM167" i="1" s="1"/>
  <c r="AN167" i="1" s="1"/>
  <c r="AO167" i="1" s="1"/>
  <c r="AP167" i="1" s="1"/>
  <c r="AQ167" i="1" s="1"/>
  <c r="AR167" i="1" s="1"/>
  <c r="AS167" i="1" s="1"/>
  <c r="AT167" i="1" s="1"/>
  <c r="AU167" i="1" s="1"/>
  <c r="AV167" i="1" s="1"/>
  <c r="AW167" i="1" s="1"/>
  <c r="AX167" i="1" s="1"/>
  <c r="AY167" i="1" s="1"/>
  <c r="AZ167" i="1" s="1"/>
  <c r="BA167" i="1" s="1"/>
  <c r="BB167" i="1" s="1"/>
  <c r="BC167" i="1" s="1"/>
  <c r="BD167" i="1" s="1"/>
  <c r="BE167" i="1" s="1"/>
  <c r="BF167" i="1" s="1"/>
  <c r="BG167" i="1" s="1"/>
  <c r="BH167" i="1" s="1"/>
  <c r="BI167" i="1" s="1"/>
  <c r="BJ167" i="1" s="1"/>
  <c r="BK167" i="1" s="1"/>
  <c r="BL167" i="1" s="1"/>
  <c r="BM167" i="1" s="1"/>
  <c r="BN167" i="1" s="1"/>
  <c r="BO167" i="1" s="1"/>
  <c r="BP167" i="1" s="1"/>
  <c r="B168" i="1"/>
  <c r="C168" i="1" s="1"/>
  <c r="D168" i="1" s="1"/>
  <c r="E168" i="1" s="1"/>
  <c r="F168" i="1" s="1"/>
  <c r="G168" i="1" s="1"/>
  <c r="H168" i="1" s="1"/>
  <c r="I168" i="1" s="1"/>
  <c r="J168" i="1" s="1"/>
  <c r="K168" i="1" s="1"/>
  <c r="L168" i="1" s="1"/>
  <c r="M168" i="1" s="1"/>
  <c r="N168" i="1" s="1"/>
  <c r="O168" i="1" s="1"/>
  <c r="P168" i="1" s="1"/>
  <c r="Q168" i="1" s="1"/>
  <c r="R168" i="1" s="1"/>
  <c r="S168" i="1" s="1"/>
  <c r="T168" i="1" s="1"/>
  <c r="U168" i="1" s="1"/>
  <c r="V168" i="1" s="1"/>
  <c r="W168" i="1" s="1"/>
  <c r="X168" i="1" s="1"/>
  <c r="Y168" i="1" s="1"/>
  <c r="Z168" i="1" s="1"/>
  <c r="AA168" i="1" s="1"/>
  <c r="AB168" i="1" s="1"/>
  <c r="AC168" i="1" s="1"/>
  <c r="AD168" i="1" s="1"/>
  <c r="AE168" i="1" s="1"/>
  <c r="AF168" i="1" s="1"/>
  <c r="AG168" i="1" s="1"/>
  <c r="AH168" i="1" s="1"/>
  <c r="AI168" i="1" s="1"/>
  <c r="AJ168" i="1" s="1"/>
  <c r="AK168" i="1" s="1"/>
  <c r="AL168" i="1" s="1"/>
  <c r="AM168" i="1" s="1"/>
  <c r="AN168" i="1" s="1"/>
  <c r="AO168" i="1" s="1"/>
  <c r="AP168" i="1" s="1"/>
  <c r="AQ168" i="1" s="1"/>
  <c r="AR168" i="1" s="1"/>
  <c r="AS168" i="1" s="1"/>
  <c r="AT168" i="1" s="1"/>
  <c r="AU168" i="1" s="1"/>
  <c r="AV168" i="1" s="1"/>
  <c r="AW168" i="1" s="1"/>
  <c r="AX168" i="1" s="1"/>
  <c r="AY168" i="1" s="1"/>
  <c r="AZ168" i="1" s="1"/>
  <c r="BA168" i="1" s="1"/>
  <c r="BB168" i="1" s="1"/>
  <c r="BC168" i="1" s="1"/>
  <c r="BD168" i="1" s="1"/>
  <c r="BE168" i="1" s="1"/>
  <c r="BF168" i="1" s="1"/>
  <c r="BG168" i="1" s="1"/>
  <c r="BH168" i="1" s="1"/>
  <c r="BI168" i="1" s="1"/>
  <c r="BJ168" i="1" s="1"/>
  <c r="BK168" i="1" s="1"/>
  <c r="BL168" i="1" s="1"/>
  <c r="BM168" i="1" s="1"/>
  <c r="BN168" i="1" s="1"/>
  <c r="BO168" i="1" s="1"/>
  <c r="BP168" i="1" s="1"/>
  <c r="B169" i="1"/>
  <c r="C169" i="1" s="1"/>
  <c r="D169" i="1" s="1"/>
  <c r="E169" i="1" s="1"/>
  <c r="F169" i="1" s="1"/>
  <c r="G169" i="1" s="1"/>
  <c r="H169" i="1" s="1"/>
  <c r="I169" i="1" s="1"/>
  <c r="J169" i="1" s="1"/>
  <c r="K169" i="1" s="1"/>
  <c r="L169" i="1" s="1"/>
  <c r="M169" i="1" s="1"/>
  <c r="N169" i="1" s="1"/>
  <c r="O169" i="1" s="1"/>
  <c r="P169" i="1" s="1"/>
  <c r="Q169" i="1" s="1"/>
  <c r="R169" i="1" s="1"/>
  <c r="S169" i="1" s="1"/>
  <c r="T169" i="1" s="1"/>
  <c r="U169" i="1" s="1"/>
  <c r="V169" i="1" s="1"/>
  <c r="W169" i="1" s="1"/>
  <c r="X169" i="1" s="1"/>
  <c r="Y169" i="1" s="1"/>
  <c r="Z169" i="1" s="1"/>
  <c r="AA169" i="1" s="1"/>
  <c r="AB169" i="1" s="1"/>
  <c r="AC169" i="1" s="1"/>
  <c r="AD169" i="1" s="1"/>
  <c r="AE169" i="1" s="1"/>
  <c r="AF169" i="1" s="1"/>
  <c r="AG169" i="1" s="1"/>
  <c r="AH169" i="1" s="1"/>
  <c r="AI169" i="1" s="1"/>
  <c r="AJ169" i="1" s="1"/>
  <c r="AK169" i="1" s="1"/>
  <c r="AL169" i="1" s="1"/>
  <c r="AM169" i="1" s="1"/>
  <c r="AN169" i="1" s="1"/>
  <c r="AO169" i="1" s="1"/>
  <c r="AP169" i="1" s="1"/>
  <c r="AQ169" i="1" s="1"/>
  <c r="AR169" i="1" s="1"/>
  <c r="AS169" i="1" s="1"/>
  <c r="AT169" i="1" s="1"/>
  <c r="AU169" i="1" s="1"/>
  <c r="AV169" i="1" s="1"/>
  <c r="AW169" i="1" s="1"/>
  <c r="AX169" i="1" s="1"/>
  <c r="AY169" i="1" s="1"/>
  <c r="AZ169" i="1" s="1"/>
  <c r="BA169" i="1" s="1"/>
  <c r="BB169" i="1" s="1"/>
  <c r="BC169" i="1" s="1"/>
  <c r="BD169" i="1" s="1"/>
  <c r="BE169" i="1" s="1"/>
  <c r="BF169" i="1" s="1"/>
  <c r="BG169" i="1" s="1"/>
  <c r="BH169" i="1" s="1"/>
  <c r="BI169" i="1" s="1"/>
  <c r="BJ169" i="1" s="1"/>
  <c r="BK169" i="1" s="1"/>
  <c r="BL169" i="1" s="1"/>
  <c r="BM169" i="1" s="1"/>
  <c r="BN169" i="1" s="1"/>
  <c r="BO169" i="1" s="1"/>
  <c r="BP169" i="1" s="1"/>
  <c r="B170" i="1"/>
  <c r="C170" i="1" s="1"/>
  <c r="D170" i="1" s="1"/>
  <c r="E170" i="1" s="1"/>
  <c r="F170" i="1" s="1"/>
  <c r="G170" i="1" s="1"/>
  <c r="H170" i="1" s="1"/>
  <c r="I170" i="1" s="1"/>
  <c r="J170" i="1" s="1"/>
  <c r="K170" i="1" s="1"/>
  <c r="L170" i="1" s="1"/>
  <c r="M170" i="1" s="1"/>
  <c r="N170" i="1" s="1"/>
  <c r="O170" i="1" s="1"/>
  <c r="P170" i="1" s="1"/>
  <c r="Q170" i="1" s="1"/>
  <c r="R170" i="1" s="1"/>
  <c r="S170" i="1" s="1"/>
  <c r="T170" i="1" s="1"/>
  <c r="U170" i="1" s="1"/>
  <c r="V170" i="1" s="1"/>
  <c r="W170" i="1" s="1"/>
  <c r="X170" i="1" s="1"/>
  <c r="Y170" i="1" s="1"/>
  <c r="Z170" i="1" s="1"/>
  <c r="AA170" i="1" s="1"/>
  <c r="AB170" i="1" s="1"/>
  <c r="AC170" i="1" s="1"/>
  <c r="AD170" i="1" s="1"/>
  <c r="AE170" i="1" s="1"/>
  <c r="AF170" i="1" s="1"/>
  <c r="AG170" i="1" s="1"/>
  <c r="AH170" i="1" s="1"/>
  <c r="AI170" i="1" s="1"/>
  <c r="AJ170" i="1" s="1"/>
  <c r="AK170" i="1" s="1"/>
  <c r="AL170" i="1" s="1"/>
  <c r="AM170" i="1" s="1"/>
  <c r="AN170" i="1" s="1"/>
  <c r="AO170" i="1" s="1"/>
  <c r="AP170" i="1" s="1"/>
  <c r="AQ170" i="1" s="1"/>
  <c r="AR170" i="1" s="1"/>
  <c r="AS170" i="1" s="1"/>
  <c r="AT170" i="1" s="1"/>
  <c r="AU170" i="1" s="1"/>
  <c r="AV170" i="1" s="1"/>
  <c r="AW170" i="1" s="1"/>
  <c r="AX170" i="1" s="1"/>
  <c r="AY170" i="1" s="1"/>
  <c r="AZ170" i="1" s="1"/>
  <c r="BA170" i="1" s="1"/>
  <c r="BB170" i="1" s="1"/>
  <c r="BC170" i="1" s="1"/>
  <c r="BD170" i="1" s="1"/>
  <c r="BE170" i="1" s="1"/>
  <c r="BF170" i="1" s="1"/>
  <c r="BG170" i="1" s="1"/>
  <c r="BH170" i="1" s="1"/>
  <c r="BI170" i="1" s="1"/>
  <c r="BJ170" i="1" s="1"/>
  <c r="BK170" i="1" s="1"/>
  <c r="BL170" i="1" s="1"/>
  <c r="BM170" i="1" s="1"/>
  <c r="BN170" i="1" s="1"/>
  <c r="BO170" i="1" s="1"/>
  <c r="BP170" i="1" s="1"/>
  <c r="B171" i="1"/>
  <c r="C171" i="1" s="1"/>
  <c r="D171" i="1" s="1"/>
  <c r="E171" i="1" s="1"/>
  <c r="F171" i="1" s="1"/>
  <c r="G171" i="1" s="1"/>
  <c r="H171" i="1" s="1"/>
  <c r="I171" i="1" s="1"/>
  <c r="J171" i="1" s="1"/>
  <c r="K171" i="1" s="1"/>
  <c r="L171" i="1" s="1"/>
  <c r="M171" i="1" s="1"/>
  <c r="N171" i="1" s="1"/>
  <c r="O171" i="1" s="1"/>
  <c r="P171" i="1" s="1"/>
  <c r="Q171" i="1" s="1"/>
  <c r="R171" i="1" s="1"/>
  <c r="S171" i="1" s="1"/>
  <c r="T171" i="1" s="1"/>
  <c r="U171" i="1" s="1"/>
  <c r="V171" i="1" s="1"/>
  <c r="W171" i="1" s="1"/>
  <c r="X171" i="1" s="1"/>
  <c r="Y171" i="1" s="1"/>
  <c r="Z171" i="1" s="1"/>
  <c r="AA171" i="1" s="1"/>
  <c r="AB171" i="1" s="1"/>
  <c r="AC171" i="1" s="1"/>
  <c r="AD171" i="1" s="1"/>
  <c r="AE171" i="1" s="1"/>
  <c r="AF171" i="1" s="1"/>
  <c r="AG171" i="1" s="1"/>
  <c r="AH171" i="1" s="1"/>
  <c r="AI171" i="1" s="1"/>
  <c r="AJ171" i="1" s="1"/>
  <c r="AK171" i="1" s="1"/>
  <c r="AL171" i="1" s="1"/>
  <c r="AM171" i="1" s="1"/>
  <c r="AN171" i="1" s="1"/>
  <c r="AO171" i="1" s="1"/>
  <c r="AP171" i="1" s="1"/>
  <c r="AQ171" i="1" s="1"/>
  <c r="AR171" i="1" s="1"/>
  <c r="AS171" i="1" s="1"/>
  <c r="AT171" i="1" s="1"/>
  <c r="AU171" i="1" s="1"/>
  <c r="AV171" i="1" s="1"/>
  <c r="AW171" i="1" s="1"/>
  <c r="AX171" i="1" s="1"/>
  <c r="AY171" i="1" s="1"/>
  <c r="AZ171" i="1" s="1"/>
  <c r="BA171" i="1" s="1"/>
  <c r="BB171" i="1" s="1"/>
  <c r="BC171" i="1" s="1"/>
  <c r="BD171" i="1" s="1"/>
  <c r="BE171" i="1" s="1"/>
  <c r="BF171" i="1" s="1"/>
  <c r="BG171" i="1" s="1"/>
  <c r="BH171" i="1" s="1"/>
  <c r="BI171" i="1" s="1"/>
  <c r="BJ171" i="1" s="1"/>
  <c r="BK171" i="1" s="1"/>
  <c r="BL171" i="1" s="1"/>
  <c r="BM171" i="1" s="1"/>
  <c r="BN171" i="1" s="1"/>
  <c r="BO171" i="1" s="1"/>
  <c r="BP171" i="1" s="1"/>
  <c r="B70" i="1"/>
  <c r="C70" i="1" s="1"/>
  <c r="D70" i="1" s="1"/>
  <c r="E70" i="1" s="1"/>
  <c r="F70" i="1" s="1"/>
  <c r="G70" i="1" s="1"/>
  <c r="H70" i="1" s="1"/>
  <c r="I70" i="1" s="1"/>
  <c r="J70" i="1" s="1"/>
  <c r="K70" i="1" s="1"/>
  <c r="L70" i="1" s="1"/>
  <c r="M70" i="1" s="1"/>
  <c r="N70" i="1" s="1"/>
  <c r="O70" i="1" s="1"/>
  <c r="P70" i="1" s="1"/>
  <c r="Q70" i="1" s="1"/>
  <c r="R70" i="1" s="1"/>
  <c r="S70" i="1" s="1"/>
  <c r="T70" i="1" s="1"/>
  <c r="U70" i="1" s="1"/>
  <c r="V70" i="1" s="1"/>
  <c r="W70" i="1" s="1"/>
  <c r="X70" i="1" s="1"/>
  <c r="Y70" i="1" s="1"/>
  <c r="Z70" i="1" s="1"/>
  <c r="AA70" i="1" s="1"/>
  <c r="AB70" i="1" s="1"/>
  <c r="AC70" i="1" s="1"/>
  <c r="AD70" i="1" s="1"/>
  <c r="AE70" i="1" s="1"/>
  <c r="AF70" i="1" s="1"/>
  <c r="AG70" i="1" s="1"/>
  <c r="AH70" i="1" s="1"/>
  <c r="AI70" i="1" s="1"/>
  <c r="AJ70" i="1" s="1"/>
  <c r="AK70" i="1" s="1"/>
  <c r="AL70" i="1" s="1"/>
  <c r="AM70" i="1" s="1"/>
  <c r="AN70" i="1" s="1"/>
  <c r="AO70" i="1" s="1"/>
  <c r="AP70" i="1" s="1"/>
  <c r="AQ70" i="1" s="1"/>
  <c r="AR70" i="1" s="1"/>
  <c r="AS70" i="1" s="1"/>
  <c r="AT70" i="1" s="1"/>
  <c r="AU70" i="1" s="1"/>
  <c r="AV70" i="1" s="1"/>
  <c r="AW70" i="1" s="1"/>
  <c r="AX70" i="1" s="1"/>
  <c r="AY70" i="1" s="1"/>
  <c r="AZ70" i="1" s="1"/>
  <c r="BA70" i="1" s="1"/>
  <c r="BB70" i="1" s="1"/>
  <c r="BC70" i="1" s="1"/>
  <c r="BD70" i="1" s="1"/>
  <c r="BE70" i="1" s="1"/>
  <c r="BF70" i="1" s="1"/>
  <c r="BG70" i="1" s="1"/>
  <c r="BH70" i="1" s="1"/>
  <c r="BI70" i="1" s="1"/>
  <c r="BJ70" i="1" s="1"/>
  <c r="BK70" i="1" s="1"/>
  <c r="BL70" i="1" s="1"/>
  <c r="BM70" i="1" s="1"/>
  <c r="BN70" i="1" s="1"/>
  <c r="BO70" i="1" s="1"/>
  <c r="BP70" i="1" s="1"/>
  <c r="B172" i="1"/>
  <c r="C172" i="1" s="1"/>
  <c r="D172" i="1" s="1"/>
  <c r="E172" i="1" s="1"/>
  <c r="F172" i="1" s="1"/>
  <c r="G172" i="1" s="1"/>
  <c r="H172" i="1" s="1"/>
  <c r="I172" i="1" s="1"/>
  <c r="J172" i="1" s="1"/>
  <c r="K172" i="1" s="1"/>
  <c r="L172" i="1" s="1"/>
  <c r="M172" i="1" s="1"/>
  <c r="N172" i="1" s="1"/>
  <c r="O172" i="1" s="1"/>
  <c r="P172" i="1" s="1"/>
  <c r="Q172" i="1" s="1"/>
  <c r="R172" i="1" s="1"/>
  <c r="S172" i="1" s="1"/>
  <c r="T172" i="1" s="1"/>
  <c r="U172" i="1" s="1"/>
  <c r="V172" i="1" s="1"/>
  <c r="W172" i="1" s="1"/>
  <c r="X172" i="1" s="1"/>
  <c r="Y172" i="1" s="1"/>
  <c r="Z172" i="1" s="1"/>
  <c r="AA172" i="1" s="1"/>
  <c r="AB172" i="1" s="1"/>
  <c r="AC172" i="1" s="1"/>
  <c r="AD172" i="1" s="1"/>
  <c r="AE172" i="1" s="1"/>
  <c r="AF172" i="1" s="1"/>
  <c r="AG172" i="1" s="1"/>
  <c r="AH172" i="1" s="1"/>
  <c r="AI172" i="1" s="1"/>
  <c r="AJ172" i="1" s="1"/>
  <c r="AK172" i="1" s="1"/>
  <c r="AL172" i="1" s="1"/>
  <c r="AM172" i="1" s="1"/>
  <c r="AN172" i="1" s="1"/>
  <c r="AO172" i="1" s="1"/>
  <c r="AP172" i="1" s="1"/>
  <c r="AQ172" i="1" s="1"/>
  <c r="AR172" i="1" s="1"/>
  <c r="AS172" i="1" s="1"/>
  <c r="AT172" i="1" s="1"/>
  <c r="AU172" i="1" s="1"/>
  <c r="AV172" i="1" s="1"/>
  <c r="AW172" i="1" s="1"/>
  <c r="AX172" i="1" s="1"/>
  <c r="AY172" i="1" s="1"/>
  <c r="AZ172" i="1" s="1"/>
  <c r="BA172" i="1" s="1"/>
  <c r="BB172" i="1" s="1"/>
  <c r="BC172" i="1" s="1"/>
  <c r="BD172" i="1" s="1"/>
  <c r="BE172" i="1" s="1"/>
  <c r="BF172" i="1" s="1"/>
  <c r="BG172" i="1" s="1"/>
  <c r="BH172" i="1" s="1"/>
  <c r="BI172" i="1" s="1"/>
  <c r="BJ172" i="1" s="1"/>
  <c r="BK172" i="1" s="1"/>
  <c r="BL172" i="1" s="1"/>
  <c r="BM172" i="1" s="1"/>
  <c r="BN172" i="1" s="1"/>
  <c r="BO172" i="1" s="1"/>
  <c r="BP172" i="1" s="1"/>
  <c r="B67" i="1"/>
  <c r="C67" i="1" s="1"/>
  <c r="B173" i="1"/>
  <c r="C173" i="1" s="1"/>
  <c r="D173" i="1" s="1"/>
  <c r="E173" i="1" s="1"/>
  <c r="F173" i="1" s="1"/>
  <c r="G173" i="1" s="1"/>
  <c r="H173" i="1" s="1"/>
  <c r="I173" i="1" s="1"/>
  <c r="J173" i="1" s="1"/>
  <c r="K173" i="1" s="1"/>
  <c r="L173" i="1" s="1"/>
  <c r="M173" i="1" s="1"/>
  <c r="N173" i="1" s="1"/>
  <c r="O173" i="1" s="1"/>
  <c r="P173" i="1" s="1"/>
  <c r="Q173" i="1" s="1"/>
  <c r="R173" i="1" s="1"/>
  <c r="S173" i="1" s="1"/>
  <c r="T173" i="1" s="1"/>
  <c r="U173" i="1" s="1"/>
  <c r="V173" i="1" s="1"/>
  <c r="W173" i="1" s="1"/>
  <c r="X173" i="1" s="1"/>
  <c r="Y173" i="1" s="1"/>
  <c r="Z173" i="1" s="1"/>
  <c r="AA173" i="1" s="1"/>
  <c r="AB173" i="1" s="1"/>
  <c r="AC173" i="1" s="1"/>
  <c r="AD173" i="1" s="1"/>
  <c r="AE173" i="1" s="1"/>
  <c r="AF173" i="1" s="1"/>
  <c r="AG173" i="1" s="1"/>
  <c r="AH173" i="1" s="1"/>
  <c r="AI173" i="1" s="1"/>
  <c r="AJ173" i="1" s="1"/>
  <c r="AK173" i="1" s="1"/>
  <c r="AL173" i="1" s="1"/>
  <c r="AM173" i="1" s="1"/>
  <c r="AN173" i="1" s="1"/>
  <c r="AO173" i="1" s="1"/>
  <c r="AP173" i="1" s="1"/>
  <c r="AQ173" i="1" s="1"/>
  <c r="AR173" i="1" s="1"/>
  <c r="AS173" i="1" s="1"/>
  <c r="AT173" i="1" s="1"/>
  <c r="AU173" i="1" s="1"/>
  <c r="AV173" i="1" s="1"/>
  <c r="AW173" i="1" s="1"/>
  <c r="AX173" i="1" s="1"/>
  <c r="AY173" i="1" s="1"/>
  <c r="AZ173" i="1" s="1"/>
  <c r="BA173" i="1" s="1"/>
  <c r="BB173" i="1" s="1"/>
  <c r="BC173" i="1" s="1"/>
  <c r="BD173" i="1" s="1"/>
  <c r="BE173" i="1" s="1"/>
  <c r="BF173" i="1" s="1"/>
  <c r="BG173" i="1" s="1"/>
  <c r="BH173" i="1" s="1"/>
  <c r="BI173" i="1" s="1"/>
  <c r="BJ173" i="1" s="1"/>
  <c r="BK173" i="1" s="1"/>
  <c r="BL173" i="1" s="1"/>
  <c r="BM173" i="1" s="1"/>
  <c r="BN173" i="1" s="1"/>
  <c r="BO173" i="1" s="1"/>
  <c r="BP173" i="1" s="1"/>
  <c r="B174" i="1"/>
  <c r="C174" i="1" s="1"/>
  <c r="D174" i="1" s="1"/>
  <c r="E174" i="1" s="1"/>
  <c r="F174" i="1" s="1"/>
  <c r="G174" i="1" s="1"/>
  <c r="H174" i="1" s="1"/>
  <c r="I174" i="1" s="1"/>
  <c r="J174" i="1" s="1"/>
  <c r="K174" i="1" s="1"/>
  <c r="L174" i="1" s="1"/>
  <c r="M174" i="1" s="1"/>
  <c r="N174" i="1" s="1"/>
  <c r="O174" i="1" s="1"/>
  <c r="P174" i="1" s="1"/>
  <c r="Q174" i="1" s="1"/>
  <c r="R174" i="1" s="1"/>
  <c r="S174" i="1" s="1"/>
  <c r="T174" i="1" s="1"/>
  <c r="U174" i="1" s="1"/>
  <c r="V174" i="1" s="1"/>
  <c r="W174" i="1" s="1"/>
  <c r="X174" i="1" s="1"/>
  <c r="Y174" i="1" s="1"/>
  <c r="Z174" i="1" s="1"/>
  <c r="AA174" i="1" s="1"/>
  <c r="AB174" i="1" s="1"/>
  <c r="AC174" i="1" s="1"/>
  <c r="AD174" i="1" s="1"/>
  <c r="AE174" i="1" s="1"/>
  <c r="AF174" i="1" s="1"/>
  <c r="AG174" i="1" s="1"/>
  <c r="AH174" i="1" s="1"/>
  <c r="AI174" i="1" s="1"/>
  <c r="AJ174" i="1" s="1"/>
  <c r="AK174" i="1" s="1"/>
  <c r="AL174" i="1" s="1"/>
  <c r="AM174" i="1" s="1"/>
  <c r="AN174" i="1" s="1"/>
  <c r="AO174" i="1" s="1"/>
  <c r="AP174" i="1" s="1"/>
  <c r="AQ174" i="1" s="1"/>
  <c r="AR174" i="1" s="1"/>
  <c r="AS174" i="1" s="1"/>
  <c r="AT174" i="1" s="1"/>
  <c r="AU174" i="1" s="1"/>
  <c r="AV174" i="1" s="1"/>
  <c r="AW174" i="1" s="1"/>
  <c r="AX174" i="1" s="1"/>
  <c r="AY174" i="1" s="1"/>
  <c r="AZ174" i="1" s="1"/>
  <c r="BA174" i="1" s="1"/>
  <c r="BB174" i="1" s="1"/>
  <c r="BC174" i="1" s="1"/>
  <c r="BD174" i="1" s="1"/>
  <c r="BE174" i="1" s="1"/>
  <c r="BF174" i="1" s="1"/>
  <c r="BG174" i="1" s="1"/>
  <c r="BH174" i="1" s="1"/>
  <c r="BI174" i="1" s="1"/>
  <c r="BJ174" i="1" s="1"/>
  <c r="BK174" i="1" s="1"/>
  <c r="BL174" i="1" s="1"/>
  <c r="BM174" i="1" s="1"/>
  <c r="BN174" i="1" s="1"/>
  <c r="BO174" i="1" s="1"/>
  <c r="BP174" i="1" s="1"/>
  <c r="B175" i="1"/>
  <c r="C175" i="1" s="1"/>
  <c r="D175" i="1" s="1"/>
  <c r="E175" i="1" s="1"/>
  <c r="F175" i="1" s="1"/>
  <c r="G175" i="1" s="1"/>
  <c r="H175" i="1" s="1"/>
  <c r="I175" i="1" s="1"/>
  <c r="J175" i="1" s="1"/>
  <c r="K175" i="1" s="1"/>
  <c r="L175" i="1" s="1"/>
  <c r="M175" i="1" s="1"/>
  <c r="N175" i="1" s="1"/>
  <c r="O175" i="1" s="1"/>
  <c r="P175" i="1" s="1"/>
  <c r="Q175" i="1" s="1"/>
  <c r="R175" i="1" s="1"/>
  <c r="S175" i="1" s="1"/>
  <c r="T175" i="1" s="1"/>
  <c r="U175" i="1" s="1"/>
  <c r="V175" i="1" s="1"/>
  <c r="W175" i="1" s="1"/>
  <c r="X175" i="1" s="1"/>
  <c r="Y175" i="1" s="1"/>
  <c r="Z175" i="1" s="1"/>
  <c r="AA175" i="1" s="1"/>
  <c r="AB175" i="1" s="1"/>
  <c r="AC175" i="1" s="1"/>
  <c r="AD175" i="1" s="1"/>
  <c r="AE175" i="1" s="1"/>
  <c r="AF175" i="1" s="1"/>
  <c r="AG175" i="1" s="1"/>
  <c r="AH175" i="1" s="1"/>
  <c r="AI175" i="1" s="1"/>
  <c r="AJ175" i="1" s="1"/>
  <c r="AK175" i="1" s="1"/>
  <c r="AL175" i="1" s="1"/>
  <c r="AM175" i="1" s="1"/>
  <c r="AN175" i="1" s="1"/>
  <c r="AO175" i="1" s="1"/>
  <c r="AP175" i="1" s="1"/>
  <c r="AQ175" i="1" s="1"/>
  <c r="AR175" i="1" s="1"/>
  <c r="AS175" i="1" s="1"/>
  <c r="AT175" i="1" s="1"/>
  <c r="AU175" i="1" s="1"/>
  <c r="AV175" i="1" s="1"/>
  <c r="AW175" i="1" s="1"/>
  <c r="AX175" i="1" s="1"/>
  <c r="AY175" i="1" s="1"/>
  <c r="AZ175" i="1" s="1"/>
  <c r="BA175" i="1" s="1"/>
  <c r="BB175" i="1" s="1"/>
  <c r="BC175" i="1" s="1"/>
  <c r="BD175" i="1" s="1"/>
  <c r="BE175" i="1" s="1"/>
  <c r="BF175" i="1" s="1"/>
  <c r="BG175" i="1" s="1"/>
  <c r="BH175" i="1" s="1"/>
  <c r="BI175" i="1" s="1"/>
  <c r="BJ175" i="1" s="1"/>
  <c r="BK175" i="1" s="1"/>
  <c r="BL175" i="1" s="1"/>
  <c r="BM175" i="1" s="1"/>
  <c r="BN175" i="1" s="1"/>
  <c r="BO175" i="1" s="1"/>
  <c r="BP175" i="1" s="1"/>
  <c r="B176" i="1"/>
  <c r="C176" i="1" s="1"/>
  <c r="D176" i="1" s="1"/>
  <c r="E176" i="1" s="1"/>
  <c r="F176" i="1" s="1"/>
  <c r="G176" i="1" s="1"/>
  <c r="H176" i="1" s="1"/>
  <c r="I176" i="1" s="1"/>
  <c r="J176" i="1" s="1"/>
  <c r="K176" i="1" s="1"/>
  <c r="L176" i="1" s="1"/>
  <c r="M176" i="1" s="1"/>
  <c r="N176" i="1" s="1"/>
  <c r="O176" i="1" s="1"/>
  <c r="P176" i="1" s="1"/>
  <c r="Q176" i="1" s="1"/>
  <c r="R176" i="1" s="1"/>
  <c r="S176" i="1" s="1"/>
  <c r="T176" i="1" s="1"/>
  <c r="U176" i="1" s="1"/>
  <c r="V176" i="1" s="1"/>
  <c r="W176" i="1" s="1"/>
  <c r="X176" i="1" s="1"/>
  <c r="Y176" i="1" s="1"/>
  <c r="Z176" i="1" s="1"/>
  <c r="AA176" i="1" s="1"/>
  <c r="AB176" i="1" s="1"/>
  <c r="AC176" i="1" s="1"/>
  <c r="AD176" i="1" s="1"/>
  <c r="AE176" i="1" s="1"/>
  <c r="AF176" i="1" s="1"/>
  <c r="AG176" i="1" s="1"/>
  <c r="AH176" i="1" s="1"/>
  <c r="AI176" i="1" s="1"/>
  <c r="AJ176" i="1" s="1"/>
  <c r="AK176" i="1" s="1"/>
  <c r="AL176" i="1" s="1"/>
  <c r="AM176" i="1" s="1"/>
  <c r="AN176" i="1" s="1"/>
  <c r="AO176" i="1" s="1"/>
  <c r="AP176" i="1" s="1"/>
  <c r="AQ176" i="1" s="1"/>
  <c r="AR176" i="1" s="1"/>
  <c r="AS176" i="1" s="1"/>
  <c r="AT176" i="1" s="1"/>
  <c r="AU176" i="1" s="1"/>
  <c r="AV176" i="1" s="1"/>
  <c r="AW176" i="1" s="1"/>
  <c r="AX176" i="1" s="1"/>
  <c r="AY176" i="1" s="1"/>
  <c r="AZ176" i="1" s="1"/>
  <c r="BA176" i="1" s="1"/>
  <c r="BB176" i="1" s="1"/>
  <c r="BC176" i="1" s="1"/>
  <c r="BD176" i="1" s="1"/>
  <c r="BE176" i="1" s="1"/>
  <c r="BF176" i="1" s="1"/>
  <c r="BG176" i="1" s="1"/>
  <c r="BH176" i="1" s="1"/>
  <c r="BI176" i="1" s="1"/>
  <c r="BJ176" i="1" s="1"/>
  <c r="BK176" i="1" s="1"/>
  <c r="BL176" i="1" s="1"/>
  <c r="BM176" i="1" s="1"/>
  <c r="BN176" i="1" s="1"/>
  <c r="BO176" i="1" s="1"/>
  <c r="BP176" i="1" s="1"/>
  <c r="B177" i="1"/>
  <c r="C177" i="1" s="1"/>
  <c r="D177" i="1" s="1"/>
  <c r="E177" i="1" s="1"/>
  <c r="F177" i="1" s="1"/>
  <c r="G177" i="1" s="1"/>
  <c r="H177" i="1" s="1"/>
  <c r="I177" i="1" s="1"/>
  <c r="J177" i="1" s="1"/>
  <c r="K177" i="1" s="1"/>
  <c r="L177" i="1" s="1"/>
  <c r="M177" i="1" s="1"/>
  <c r="N177" i="1" s="1"/>
  <c r="O177" i="1" s="1"/>
  <c r="P177" i="1" s="1"/>
  <c r="Q177" i="1" s="1"/>
  <c r="R177" i="1" s="1"/>
  <c r="S177" i="1" s="1"/>
  <c r="T177" i="1" s="1"/>
  <c r="U177" i="1" s="1"/>
  <c r="V177" i="1" s="1"/>
  <c r="W177" i="1" s="1"/>
  <c r="X177" i="1" s="1"/>
  <c r="Y177" i="1" s="1"/>
  <c r="Z177" i="1" s="1"/>
  <c r="AA177" i="1" s="1"/>
  <c r="AB177" i="1" s="1"/>
  <c r="AC177" i="1" s="1"/>
  <c r="AD177" i="1" s="1"/>
  <c r="AE177" i="1" s="1"/>
  <c r="AF177" i="1" s="1"/>
  <c r="AG177" i="1" s="1"/>
  <c r="AH177" i="1" s="1"/>
  <c r="AI177" i="1" s="1"/>
  <c r="AJ177" i="1" s="1"/>
  <c r="AK177" i="1" s="1"/>
  <c r="AL177" i="1" s="1"/>
  <c r="AM177" i="1" s="1"/>
  <c r="AN177" i="1" s="1"/>
  <c r="AO177" i="1" s="1"/>
  <c r="AP177" i="1" s="1"/>
  <c r="AQ177" i="1" s="1"/>
  <c r="AR177" i="1" s="1"/>
  <c r="AS177" i="1" s="1"/>
  <c r="AT177" i="1" s="1"/>
  <c r="AU177" i="1" s="1"/>
  <c r="AV177" i="1" s="1"/>
  <c r="AW177" i="1" s="1"/>
  <c r="AX177" i="1" s="1"/>
  <c r="AY177" i="1" s="1"/>
  <c r="AZ177" i="1" s="1"/>
  <c r="BA177" i="1" s="1"/>
  <c r="BB177" i="1" s="1"/>
  <c r="BC177" i="1" s="1"/>
  <c r="BD177" i="1" s="1"/>
  <c r="BE177" i="1" s="1"/>
  <c r="BF177" i="1" s="1"/>
  <c r="BG177" i="1" s="1"/>
  <c r="BH177" i="1" s="1"/>
  <c r="BI177" i="1" s="1"/>
  <c r="BJ177" i="1" s="1"/>
  <c r="BK177" i="1" s="1"/>
  <c r="BL177" i="1" s="1"/>
  <c r="BM177" i="1" s="1"/>
  <c r="BN177" i="1" s="1"/>
  <c r="BO177" i="1" s="1"/>
  <c r="BP177" i="1" s="1"/>
  <c r="B178" i="1"/>
  <c r="C178" i="1" s="1"/>
  <c r="D178" i="1" s="1"/>
  <c r="E178" i="1" s="1"/>
  <c r="F178" i="1" s="1"/>
  <c r="G178" i="1" s="1"/>
  <c r="H178" i="1" s="1"/>
  <c r="I178" i="1" s="1"/>
  <c r="J178" i="1" s="1"/>
  <c r="K178" i="1" s="1"/>
  <c r="L178" i="1" s="1"/>
  <c r="M178" i="1" s="1"/>
  <c r="N178" i="1" s="1"/>
  <c r="O178" i="1" s="1"/>
  <c r="P178" i="1" s="1"/>
  <c r="Q178" i="1" s="1"/>
  <c r="R178" i="1" s="1"/>
  <c r="S178" i="1" s="1"/>
  <c r="T178" i="1" s="1"/>
  <c r="U178" i="1" s="1"/>
  <c r="V178" i="1" s="1"/>
  <c r="W178" i="1" s="1"/>
  <c r="X178" i="1" s="1"/>
  <c r="Y178" i="1" s="1"/>
  <c r="Z178" i="1" s="1"/>
  <c r="AA178" i="1" s="1"/>
  <c r="AB178" i="1" s="1"/>
  <c r="AC178" i="1" s="1"/>
  <c r="AD178" i="1" s="1"/>
  <c r="AE178" i="1" s="1"/>
  <c r="AF178" i="1" s="1"/>
  <c r="AG178" i="1" s="1"/>
  <c r="AH178" i="1" s="1"/>
  <c r="AI178" i="1" s="1"/>
  <c r="AJ178" i="1" s="1"/>
  <c r="AK178" i="1" s="1"/>
  <c r="AL178" i="1" s="1"/>
  <c r="AM178" i="1" s="1"/>
  <c r="AN178" i="1" s="1"/>
  <c r="AO178" i="1" s="1"/>
  <c r="AP178" i="1" s="1"/>
  <c r="AQ178" i="1" s="1"/>
  <c r="AR178" i="1" s="1"/>
  <c r="AS178" i="1" s="1"/>
  <c r="AT178" i="1" s="1"/>
  <c r="AU178" i="1" s="1"/>
  <c r="AV178" i="1" s="1"/>
  <c r="AW178" i="1" s="1"/>
  <c r="AX178" i="1" s="1"/>
  <c r="AY178" i="1" s="1"/>
  <c r="AZ178" i="1" s="1"/>
  <c r="BA178" i="1" s="1"/>
  <c r="BB178" i="1" s="1"/>
  <c r="BC178" i="1" s="1"/>
  <c r="BD178" i="1" s="1"/>
  <c r="BE178" i="1" s="1"/>
  <c r="BF178" i="1" s="1"/>
  <c r="BG178" i="1" s="1"/>
  <c r="BH178" i="1" s="1"/>
  <c r="BI178" i="1" s="1"/>
  <c r="BJ178" i="1" s="1"/>
  <c r="BK178" i="1" s="1"/>
  <c r="BL178" i="1" s="1"/>
  <c r="BM178" i="1" s="1"/>
  <c r="BN178" i="1" s="1"/>
  <c r="BO178" i="1" s="1"/>
  <c r="BP178" i="1" s="1"/>
  <c r="B72" i="1"/>
  <c r="C72" i="1" s="1"/>
  <c r="D72" i="1" s="1"/>
  <c r="E72" i="1" s="1"/>
  <c r="F72" i="1" s="1"/>
  <c r="G72" i="1" s="1"/>
  <c r="H72" i="1" s="1"/>
  <c r="I72" i="1" s="1"/>
  <c r="J72" i="1" s="1"/>
  <c r="K72" i="1" s="1"/>
  <c r="L72" i="1" s="1"/>
  <c r="M72" i="1" s="1"/>
  <c r="N72" i="1" s="1"/>
  <c r="O72" i="1" s="1"/>
  <c r="P72" i="1" s="1"/>
  <c r="Q72" i="1" s="1"/>
  <c r="R72" i="1" s="1"/>
  <c r="S72" i="1" s="1"/>
  <c r="T72" i="1" s="1"/>
  <c r="U72" i="1" s="1"/>
  <c r="V72" i="1" s="1"/>
  <c r="W72" i="1" s="1"/>
  <c r="X72" i="1" s="1"/>
  <c r="Y72" i="1" s="1"/>
  <c r="Z72" i="1" s="1"/>
  <c r="AA72" i="1" s="1"/>
  <c r="AB72" i="1" s="1"/>
  <c r="AC72" i="1" s="1"/>
  <c r="AD72" i="1" s="1"/>
  <c r="AE72" i="1" s="1"/>
  <c r="AF72" i="1" s="1"/>
  <c r="AG72" i="1" s="1"/>
  <c r="AH72" i="1" s="1"/>
  <c r="AI72" i="1" s="1"/>
  <c r="AJ72" i="1" s="1"/>
  <c r="AK72" i="1" s="1"/>
  <c r="AL72" i="1" s="1"/>
  <c r="AM72" i="1" s="1"/>
  <c r="AN72" i="1" s="1"/>
  <c r="AO72" i="1" s="1"/>
  <c r="AP72" i="1" s="1"/>
  <c r="AQ72" i="1" s="1"/>
  <c r="AR72" i="1" s="1"/>
  <c r="AS72" i="1" s="1"/>
  <c r="AT72" i="1" s="1"/>
  <c r="AU72" i="1" s="1"/>
  <c r="AV72" i="1" s="1"/>
  <c r="AW72" i="1" s="1"/>
  <c r="AX72" i="1" s="1"/>
  <c r="AY72" i="1" s="1"/>
  <c r="AZ72" i="1" s="1"/>
  <c r="BA72" i="1" s="1"/>
  <c r="BB72" i="1" s="1"/>
  <c r="BC72" i="1" s="1"/>
  <c r="BD72" i="1" s="1"/>
  <c r="BE72" i="1" s="1"/>
  <c r="BF72" i="1" s="1"/>
  <c r="BG72" i="1" s="1"/>
  <c r="BH72" i="1" s="1"/>
  <c r="BI72" i="1" s="1"/>
  <c r="BJ72" i="1" s="1"/>
  <c r="BK72" i="1" s="1"/>
  <c r="BL72" i="1" s="1"/>
  <c r="BM72" i="1" s="1"/>
  <c r="BN72" i="1" s="1"/>
  <c r="BO72" i="1" s="1"/>
  <c r="BP72" i="1" s="1"/>
  <c r="B73" i="1"/>
  <c r="C73" i="1" s="1"/>
  <c r="D73" i="1" s="1"/>
  <c r="E73" i="1" s="1"/>
  <c r="F73" i="1" s="1"/>
  <c r="G73" i="1" s="1"/>
  <c r="H73" i="1" s="1"/>
  <c r="I73" i="1" s="1"/>
  <c r="J73" i="1" s="1"/>
  <c r="K73" i="1" s="1"/>
  <c r="L73" i="1" s="1"/>
  <c r="M73" i="1" s="1"/>
  <c r="N73" i="1" s="1"/>
  <c r="O73" i="1" s="1"/>
  <c r="P73" i="1" s="1"/>
  <c r="Q73" i="1" s="1"/>
  <c r="R73" i="1" s="1"/>
  <c r="S73" i="1" s="1"/>
  <c r="T73" i="1" s="1"/>
  <c r="U73" i="1" s="1"/>
  <c r="V73" i="1" s="1"/>
  <c r="W73" i="1" s="1"/>
  <c r="X73" i="1" s="1"/>
  <c r="Y73" i="1" s="1"/>
  <c r="Z73" i="1" s="1"/>
  <c r="AA73" i="1" s="1"/>
  <c r="AB73" i="1" s="1"/>
  <c r="AC73" i="1" s="1"/>
  <c r="AD73" i="1" s="1"/>
  <c r="AE73" i="1" s="1"/>
  <c r="AF73" i="1" s="1"/>
  <c r="AG73" i="1" s="1"/>
  <c r="AH73" i="1" s="1"/>
  <c r="AI73" i="1" s="1"/>
  <c r="AJ73" i="1" s="1"/>
  <c r="AK73" i="1" s="1"/>
  <c r="AL73" i="1" s="1"/>
  <c r="AM73" i="1" s="1"/>
  <c r="AN73" i="1" s="1"/>
  <c r="AO73" i="1" s="1"/>
  <c r="AP73" i="1" s="1"/>
  <c r="AQ73" i="1" s="1"/>
  <c r="AR73" i="1" s="1"/>
  <c r="AS73" i="1" s="1"/>
  <c r="AT73" i="1" s="1"/>
  <c r="AU73" i="1" s="1"/>
  <c r="AV73" i="1" s="1"/>
  <c r="AW73" i="1" s="1"/>
  <c r="AX73" i="1" s="1"/>
  <c r="AY73" i="1" s="1"/>
  <c r="AZ73" i="1" s="1"/>
  <c r="BA73" i="1" s="1"/>
  <c r="BB73" i="1" s="1"/>
  <c r="BC73" i="1" s="1"/>
  <c r="BD73" i="1" s="1"/>
  <c r="BE73" i="1" s="1"/>
  <c r="BF73" i="1" s="1"/>
  <c r="BG73" i="1" s="1"/>
  <c r="BH73" i="1" s="1"/>
  <c r="BI73" i="1" s="1"/>
  <c r="BJ73" i="1" s="1"/>
  <c r="BK73" i="1" s="1"/>
  <c r="BL73" i="1" s="1"/>
  <c r="BM73" i="1" s="1"/>
  <c r="BN73" i="1" s="1"/>
  <c r="BO73" i="1" s="1"/>
  <c r="BP73" i="1" s="1"/>
  <c r="B179" i="1"/>
  <c r="C179" i="1" s="1"/>
  <c r="D179" i="1" s="1"/>
  <c r="E179" i="1" s="1"/>
  <c r="F179" i="1" s="1"/>
  <c r="G179" i="1" s="1"/>
  <c r="H179" i="1" s="1"/>
  <c r="I179" i="1" s="1"/>
  <c r="J179" i="1" s="1"/>
  <c r="K179" i="1" s="1"/>
  <c r="L179" i="1" s="1"/>
  <c r="M179" i="1" s="1"/>
  <c r="N179" i="1" s="1"/>
  <c r="O179" i="1" s="1"/>
  <c r="P179" i="1" s="1"/>
  <c r="Q179" i="1" s="1"/>
  <c r="R179" i="1" s="1"/>
  <c r="S179" i="1" s="1"/>
  <c r="T179" i="1" s="1"/>
  <c r="U179" i="1" s="1"/>
  <c r="V179" i="1" s="1"/>
  <c r="W179" i="1" s="1"/>
  <c r="X179" i="1" s="1"/>
  <c r="Y179" i="1" s="1"/>
  <c r="Z179" i="1" s="1"/>
  <c r="AA179" i="1" s="1"/>
  <c r="AB179" i="1" s="1"/>
  <c r="AC179" i="1" s="1"/>
  <c r="AD179" i="1" s="1"/>
  <c r="AE179" i="1" s="1"/>
  <c r="AF179" i="1" s="1"/>
  <c r="AG179" i="1" s="1"/>
  <c r="AH179" i="1" s="1"/>
  <c r="AI179" i="1" s="1"/>
  <c r="AJ179" i="1" s="1"/>
  <c r="AK179" i="1" s="1"/>
  <c r="AL179" i="1" s="1"/>
  <c r="AM179" i="1" s="1"/>
  <c r="AN179" i="1" s="1"/>
  <c r="AO179" i="1" s="1"/>
  <c r="AP179" i="1" s="1"/>
  <c r="AQ179" i="1" s="1"/>
  <c r="AR179" i="1" s="1"/>
  <c r="AS179" i="1" s="1"/>
  <c r="AT179" i="1" s="1"/>
  <c r="AU179" i="1" s="1"/>
  <c r="AV179" i="1" s="1"/>
  <c r="AW179" i="1" s="1"/>
  <c r="AX179" i="1" s="1"/>
  <c r="AY179" i="1" s="1"/>
  <c r="AZ179" i="1" s="1"/>
  <c r="BA179" i="1" s="1"/>
  <c r="BB179" i="1" s="1"/>
  <c r="BC179" i="1" s="1"/>
  <c r="BD179" i="1" s="1"/>
  <c r="BE179" i="1" s="1"/>
  <c r="BF179" i="1" s="1"/>
  <c r="BG179" i="1" s="1"/>
  <c r="BH179" i="1" s="1"/>
  <c r="BI179" i="1" s="1"/>
  <c r="BJ179" i="1" s="1"/>
  <c r="BK179" i="1" s="1"/>
  <c r="BL179" i="1" s="1"/>
  <c r="BM179" i="1" s="1"/>
  <c r="BN179" i="1" s="1"/>
  <c r="BO179" i="1" s="1"/>
  <c r="BP179" i="1" s="1"/>
  <c r="B180" i="1"/>
  <c r="C180" i="1" s="1"/>
  <c r="D180" i="1" s="1"/>
  <c r="E180" i="1" s="1"/>
  <c r="F180" i="1" s="1"/>
  <c r="G180" i="1" s="1"/>
  <c r="H180" i="1" s="1"/>
  <c r="I180" i="1" s="1"/>
  <c r="J180" i="1" s="1"/>
  <c r="K180" i="1" s="1"/>
  <c r="L180" i="1" s="1"/>
  <c r="M180" i="1" s="1"/>
  <c r="N180" i="1" s="1"/>
  <c r="O180" i="1" s="1"/>
  <c r="P180" i="1" s="1"/>
  <c r="Q180" i="1" s="1"/>
  <c r="R180" i="1" s="1"/>
  <c r="S180" i="1" s="1"/>
  <c r="T180" i="1" s="1"/>
  <c r="U180" i="1" s="1"/>
  <c r="V180" i="1" s="1"/>
  <c r="W180" i="1" s="1"/>
  <c r="X180" i="1" s="1"/>
  <c r="Y180" i="1" s="1"/>
  <c r="Z180" i="1" s="1"/>
  <c r="AA180" i="1" s="1"/>
  <c r="AB180" i="1" s="1"/>
  <c r="AC180" i="1" s="1"/>
  <c r="AD180" i="1" s="1"/>
  <c r="AE180" i="1" s="1"/>
  <c r="AF180" i="1" s="1"/>
  <c r="AG180" i="1" s="1"/>
  <c r="AH180" i="1" s="1"/>
  <c r="AI180" i="1" s="1"/>
  <c r="AJ180" i="1" s="1"/>
  <c r="AK180" i="1" s="1"/>
  <c r="AL180" i="1" s="1"/>
  <c r="AM180" i="1" s="1"/>
  <c r="AN180" i="1" s="1"/>
  <c r="AO180" i="1" s="1"/>
  <c r="AP180" i="1" s="1"/>
  <c r="AQ180" i="1" s="1"/>
  <c r="AR180" i="1" s="1"/>
  <c r="AS180" i="1" s="1"/>
  <c r="AT180" i="1" s="1"/>
  <c r="AU180" i="1" s="1"/>
  <c r="AV180" i="1" s="1"/>
  <c r="AW180" i="1" s="1"/>
  <c r="AX180" i="1" s="1"/>
  <c r="AY180" i="1" s="1"/>
  <c r="AZ180" i="1" s="1"/>
  <c r="BA180" i="1" s="1"/>
  <c r="BB180" i="1" s="1"/>
  <c r="BC180" i="1" s="1"/>
  <c r="BD180" i="1" s="1"/>
  <c r="BE180" i="1" s="1"/>
  <c r="BF180" i="1" s="1"/>
  <c r="BG180" i="1" s="1"/>
  <c r="BH180" i="1" s="1"/>
  <c r="BI180" i="1" s="1"/>
  <c r="BJ180" i="1" s="1"/>
  <c r="BK180" i="1" s="1"/>
  <c r="BL180" i="1" s="1"/>
  <c r="BM180" i="1" s="1"/>
  <c r="BN180" i="1" s="1"/>
  <c r="BO180" i="1" s="1"/>
  <c r="BP180" i="1" s="1"/>
  <c r="B181" i="1"/>
  <c r="C181" i="1" s="1"/>
  <c r="D181" i="1" s="1"/>
  <c r="E181" i="1" s="1"/>
  <c r="F181" i="1" s="1"/>
  <c r="G181" i="1" s="1"/>
  <c r="H181" i="1" s="1"/>
  <c r="I181" i="1" s="1"/>
  <c r="J181" i="1" s="1"/>
  <c r="K181" i="1" s="1"/>
  <c r="L181" i="1" s="1"/>
  <c r="M181" i="1" s="1"/>
  <c r="N181" i="1" s="1"/>
  <c r="O181" i="1" s="1"/>
  <c r="P181" i="1" s="1"/>
  <c r="Q181" i="1" s="1"/>
  <c r="R181" i="1" s="1"/>
  <c r="S181" i="1" s="1"/>
  <c r="T181" i="1" s="1"/>
  <c r="U181" i="1" s="1"/>
  <c r="V181" i="1" s="1"/>
  <c r="W181" i="1" s="1"/>
  <c r="X181" i="1" s="1"/>
  <c r="Y181" i="1" s="1"/>
  <c r="Z181" i="1" s="1"/>
  <c r="AA181" i="1" s="1"/>
  <c r="AB181" i="1" s="1"/>
  <c r="AC181" i="1" s="1"/>
  <c r="AD181" i="1" s="1"/>
  <c r="AE181" i="1" s="1"/>
  <c r="AF181" i="1" s="1"/>
  <c r="AG181" i="1" s="1"/>
  <c r="AH181" i="1" s="1"/>
  <c r="AI181" i="1" s="1"/>
  <c r="AJ181" i="1" s="1"/>
  <c r="AK181" i="1" s="1"/>
  <c r="AL181" i="1" s="1"/>
  <c r="AM181" i="1" s="1"/>
  <c r="AN181" i="1" s="1"/>
  <c r="AO181" i="1" s="1"/>
  <c r="AP181" i="1" s="1"/>
  <c r="AQ181" i="1" s="1"/>
  <c r="AR181" i="1" s="1"/>
  <c r="AS181" i="1" s="1"/>
  <c r="AT181" i="1" s="1"/>
  <c r="AU181" i="1" s="1"/>
  <c r="AV181" i="1" s="1"/>
  <c r="AW181" i="1" s="1"/>
  <c r="AX181" i="1" s="1"/>
  <c r="AY181" i="1" s="1"/>
  <c r="AZ181" i="1" s="1"/>
  <c r="BA181" i="1" s="1"/>
  <c r="BB181" i="1" s="1"/>
  <c r="BC181" i="1" s="1"/>
  <c r="BD181" i="1" s="1"/>
  <c r="BE181" i="1" s="1"/>
  <c r="BF181" i="1" s="1"/>
  <c r="BG181" i="1" s="1"/>
  <c r="BH181" i="1" s="1"/>
  <c r="BI181" i="1" s="1"/>
  <c r="BJ181" i="1" s="1"/>
  <c r="BK181" i="1" s="1"/>
  <c r="BL181" i="1" s="1"/>
  <c r="BM181" i="1" s="1"/>
  <c r="BN181" i="1" s="1"/>
  <c r="BO181" i="1" s="1"/>
  <c r="BP181" i="1" s="1"/>
  <c r="B182" i="1"/>
  <c r="C182" i="1" s="1"/>
  <c r="D182" i="1" s="1"/>
  <c r="E182" i="1" s="1"/>
  <c r="F182" i="1" s="1"/>
  <c r="G182" i="1" s="1"/>
  <c r="H182" i="1" s="1"/>
  <c r="I182" i="1" s="1"/>
  <c r="J182" i="1" s="1"/>
  <c r="K182" i="1" s="1"/>
  <c r="L182" i="1" s="1"/>
  <c r="M182" i="1" s="1"/>
  <c r="N182" i="1" s="1"/>
  <c r="O182" i="1" s="1"/>
  <c r="P182" i="1" s="1"/>
  <c r="Q182" i="1" s="1"/>
  <c r="R182" i="1" s="1"/>
  <c r="S182" i="1" s="1"/>
  <c r="T182" i="1" s="1"/>
  <c r="U182" i="1" s="1"/>
  <c r="V182" i="1" s="1"/>
  <c r="W182" i="1" s="1"/>
  <c r="X182" i="1" s="1"/>
  <c r="Y182" i="1" s="1"/>
  <c r="Z182" i="1" s="1"/>
  <c r="AA182" i="1" s="1"/>
  <c r="AB182" i="1" s="1"/>
  <c r="AC182" i="1" s="1"/>
  <c r="AD182" i="1" s="1"/>
  <c r="AE182" i="1" s="1"/>
  <c r="AF182" i="1" s="1"/>
  <c r="AG182" i="1" s="1"/>
  <c r="AH182" i="1" s="1"/>
  <c r="AI182" i="1" s="1"/>
  <c r="AJ182" i="1" s="1"/>
  <c r="AK182" i="1" s="1"/>
  <c r="AL182" i="1" s="1"/>
  <c r="AM182" i="1" s="1"/>
  <c r="AN182" i="1" s="1"/>
  <c r="AO182" i="1" s="1"/>
  <c r="AP182" i="1" s="1"/>
  <c r="AQ182" i="1" s="1"/>
  <c r="AR182" i="1" s="1"/>
  <c r="AS182" i="1" s="1"/>
  <c r="AT182" i="1" s="1"/>
  <c r="AU182" i="1" s="1"/>
  <c r="AV182" i="1" s="1"/>
  <c r="AW182" i="1" s="1"/>
  <c r="AX182" i="1" s="1"/>
  <c r="AY182" i="1" s="1"/>
  <c r="AZ182" i="1" s="1"/>
  <c r="BA182" i="1" s="1"/>
  <c r="BB182" i="1" s="1"/>
  <c r="BC182" i="1" s="1"/>
  <c r="BD182" i="1" s="1"/>
  <c r="BE182" i="1" s="1"/>
  <c r="BF182" i="1" s="1"/>
  <c r="BG182" i="1" s="1"/>
  <c r="BH182" i="1" s="1"/>
  <c r="BI182" i="1" s="1"/>
  <c r="BJ182" i="1" s="1"/>
  <c r="BK182" i="1" s="1"/>
  <c r="BL182" i="1" s="1"/>
  <c r="BM182" i="1" s="1"/>
  <c r="BN182" i="1" s="1"/>
  <c r="BO182" i="1" s="1"/>
  <c r="BP182" i="1" s="1"/>
  <c r="B183" i="1"/>
  <c r="C183" i="1" s="1"/>
  <c r="D183" i="1" s="1"/>
  <c r="E183" i="1" s="1"/>
  <c r="F183" i="1" s="1"/>
  <c r="G183" i="1" s="1"/>
  <c r="H183" i="1" s="1"/>
  <c r="I183" i="1" s="1"/>
  <c r="J183" i="1" s="1"/>
  <c r="K183" i="1" s="1"/>
  <c r="L183" i="1" s="1"/>
  <c r="M183" i="1" s="1"/>
  <c r="N183" i="1" s="1"/>
  <c r="O183" i="1" s="1"/>
  <c r="P183" i="1" s="1"/>
  <c r="Q183" i="1" s="1"/>
  <c r="R183" i="1" s="1"/>
  <c r="S183" i="1" s="1"/>
  <c r="T183" i="1" s="1"/>
  <c r="U183" i="1" s="1"/>
  <c r="V183" i="1" s="1"/>
  <c r="W183" i="1" s="1"/>
  <c r="X183" i="1" s="1"/>
  <c r="Y183" i="1" s="1"/>
  <c r="Z183" i="1" s="1"/>
  <c r="AA183" i="1" s="1"/>
  <c r="AB183" i="1" s="1"/>
  <c r="AC183" i="1" s="1"/>
  <c r="AD183" i="1" s="1"/>
  <c r="AE183" i="1" s="1"/>
  <c r="AF183" i="1" s="1"/>
  <c r="AG183" i="1" s="1"/>
  <c r="AH183" i="1" s="1"/>
  <c r="AI183" i="1" s="1"/>
  <c r="AJ183" i="1" s="1"/>
  <c r="AK183" i="1" s="1"/>
  <c r="AL183" i="1" s="1"/>
  <c r="AM183" i="1" s="1"/>
  <c r="AN183" i="1" s="1"/>
  <c r="AO183" i="1" s="1"/>
  <c r="AP183" i="1" s="1"/>
  <c r="AQ183" i="1" s="1"/>
  <c r="AR183" i="1" s="1"/>
  <c r="AS183" i="1" s="1"/>
  <c r="AT183" i="1" s="1"/>
  <c r="AU183" i="1" s="1"/>
  <c r="AV183" i="1" s="1"/>
  <c r="AW183" i="1" s="1"/>
  <c r="AX183" i="1" s="1"/>
  <c r="AY183" i="1" s="1"/>
  <c r="AZ183" i="1" s="1"/>
  <c r="BA183" i="1" s="1"/>
  <c r="BB183" i="1" s="1"/>
  <c r="BC183" i="1" s="1"/>
  <c r="BD183" i="1" s="1"/>
  <c r="BE183" i="1" s="1"/>
  <c r="BF183" i="1" s="1"/>
  <c r="BG183" i="1" s="1"/>
  <c r="BH183" i="1" s="1"/>
  <c r="BI183" i="1" s="1"/>
  <c r="BJ183" i="1" s="1"/>
  <c r="BK183" i="1" s="1"/>
  <c r="BL183" i="1" s="1"/>
  <c r="BM183" i="1" s="1"/>
  <c r="BN183" i="1" s="1"/>
  <c r="BO183" i="1" s="1"/>
  <c r="BP183" i="1" s="1"/>
  <c r="B74" i="1"/>
  <c r="C74" i="1" s="1"/>
  <c r="D74" i="1" s="1"/>
  <c r="E74" i="1" s="1"/>
  <c r="F74" i="1" s="1"/>
  <c r="G74" i="1" s="1"/>
  <c r="H74" i="1" s="1"/>
  <c r="I74" i="1" s="1"/>
  <c r="J74" i="1" s="1"/>
  <c r="K74" i="1" s="1"/>
  <c r="L74" i="1" s="1"/>
  <c r="M74" i="1" s="1"/>
  <c r="N74" i="1" s="1"/>
  <c r="O74" i="1" s="1"/>
  <c r="P74" i="1" s="1"/>
  <c r="Q74" i="1" s="1"/>
  <c r="R74" i="1" s="1"/>
  <c r="S74" i="1" s="1"/>
  <c r="T74" i="1" s="1"/>
  <c r="U74" i="1" s="1"/>
  <c r="V74" i="1" s="1"/>
  <c r="W74" i="1" s="1"/>
  <c r="X74" i="1" s="1"/>
  <c r="Y74" i="1" s="1"/>
  <c r="Z74" i="1" s="1"/>
  <c r="AA74" i="1" s="1"/>
  <c r="AB74" i="1" s="1"/>
  <c r="AC74" i="1" s="1"/>
  <c r="AD74" i="1" s="1"/>
  <c r="AE74" i="1" s="1"/>
  <c r="AF74" i="1" s="1"/>
  <c r="AG74" i="1" s="1"/>
  <c r="AH74" i="1" s="1"/>
  <c r="AI74" i="1" s="1"/>
  <c r="AJ74" i="1" s="1"/>
  <c r="AK74" i="1" s="1"/>
  <c r="AL74" i="1" s="1"/>
  <c r="AM74" i="1" s="1"/>
  <c r="AN74" i="1" s="1"/>
  <c r="AO74" i="1" s="1"/>
  <c r="AP74" i="1" s="1"/>
  <c r="AQ74" i="1" s="1"/>
  <c r="AR74" i="1" s="1"/>
  <c r="AS74" i="1" s="1"/>
  <c r="AT74" i="1" s="1"/>
  <c r="AU74" i="1" s="1"/>
  <c r="AV74" i="1" s="1"/>
  <c r="AW74" i="1" s="1"/>
  <c r="AX74" i="1" s="1"/>
  <c r="AY74" i="1" s="1"/>
  <c r="AZ74" i="1" s="1"/>
  <c r="BA74" i="1" s="1"/>
  <c r="BB74" i="1" s="1"/>
  <c r="BC74" i="1" s="1"/>
  <c r="BD74" i="1" s="1"/>
  <c r="BE74" i="1" s="1"/>
  <c r="BF74" i="1" s="1"/>
  <c r="BG74" i="1" s="1"/>
  <c r="BH74" i="1" s="1"/>
  <c r="BI74" i="1" s="1"/>
  <c r="BJ74" i="1" s="1"/>
  <c r="BK74" i="1" s="1"/>
  <c r="BL74" i="1" s="1"/>
  <c r="BM74" i="1" s="1"/>
  <c r="BN74" i="1" s="1"/>
  <c r="BO74" i="1" s="1"/>
  <c r="BP74" i="1" s="1"/>
  <c r="B184" i="1"/>
  <c r="C184" i="1" s="1"/>
  <c r="D184" i="1" s="1"/>
  <c r="E184" i="1" s="1"/>
  <c r="F184" i="1" s="1"/>
  <c r="G184" i="1" s="1"/>
  <c r="H184" i="1" s="1"/>
  <c r="I184" i="1" s="1"/>
  <c r="J184" i="1" s="1"/>
  <c r="K184" i="1" s="1"/>
  <c r="L184" i="1" s="1"/>
  <c r="M184" i="1" s="1"/>
  <c r="N184" i="1" s="1"/>
  <c r="O184" i="1" s="1"/>
  <c r="P184" i="1" s="1"/>
  <c r="Q184" i="1" s="1"/>
  <c r="R184" i="1" s="1"/>
  <c r="S184" i="1" s="1"/>
  <c r="T184" i="1" s="1"/>
  <c r="U184" i="1" s="1"/>
  <c r="V184" i="1" s="1"/>
  <c r="W184" i="1" s="1"/>
  <c r="X184" i="1" s="1"/>
  <c r="Y184" i="1" s="1"/>
  <c r="Z184" i="1" s="1"/>
  <c r="AA184" i="1" s="1"/>
  <c r="AB184" i="1" s="1"/>
  <c r="AC184" i="1" s="1"/>
  <c r="AD184" i="1" s="1"/>
  <c r="AE184" i="1" s="1"/>
  <c r="AF184" i="1" s="1"/>
  <c r="AG184" i="1" s="1"/>
  <c r="AH184" i="1" s="1"/>
  <c r="AI184" i="1" s="1"/>
  <c r="AJ184" i="1" s="1"/>
  <c r="AK184" i="1" s="1"/>
  <c r="AL184" i="1" s="1"/>
  <c r="AM184" i="1" s="1"/>
  <c r="AN184" i="1" s="1"/>
  <c r="AO184" i="1" s="1"/>
  <c r="AP184" i="1" s="1"/>
  <c r="AQ184" i="1" s="1"/>
  <c r="AR184" i="1" s="1"/>
  <c r="AS184" i="1" s="1"/>
  <c r="AT184" i="1" s="1"/>
  <c r="AU184" i="1" s="1"/>
  <c r="AV184" i="1" s="1"/>
  <c r="AW184" i="1" s="1"/>
  <c r="AX184" i="1" s="1"/>
  <c r="AY184" i="1" s="1"/>
  <c r="AZ184" i="1" s="1"/>
  <c r="BA184" i="1" s="1"/>
  <c r="BB184" i="1" s="1"/>
  <c r="BC184" i="1" s="1"/>
  <c r="BD184" i="1" s="1"/>
  <c r="BE184" i="1" s="1"/>
  <c r="BF184" i="1" s="1"/>
  <c r="BG184" i="1" s="1"/>
  <c r="BH184" i="1" s="1"/>
  <c r="BI184" i="1" s="1"/>
  <c r="BJ184" i="1" s="1"/>
  <c r="BK184" i="1" s="1"/>
  <c r="BL184" i="1" s="1"/>
  <c r="BM184" i="1" s="1"/>
  <c r="BN184" i="1" s="1"/>
  <c r="BO184" i="1" s="1"/>
  <c r="BP184" i="1" s="1"/>
  <c r="B185" i="1"/>
  <c r="C185" i="1" s="1"/>
  <c r="D185" i="1" s="1"/>
  <c r="E185" i="1" s="1"/>
  <c r="F185" i="1" s="1"/>
  <c r="G185" i="1" s="1"/>
  <c r="H185" i="1" s="1"/>
  <c r="I185" i="1" s="1"/>
  <c r="J185" i="1" s="1"/>
  <c r="K185" i="1" s="1"/>
  <c r="L185" i="1" s="1"/>
  <c r="M185" i="1" s="1"/>
  <c r="N185" i="1" s="1"/>
  <c r="O185" i="1" s="1"/>
  <c r="P185" i="1" s="1"/>
  <c r="Q185" i="1" s="1"/>
  <c r="R185" i="1" s="1"/>
  <c r="S185" i="1" s="1"/>
  <c r="T185" i="1" s="1"/>
  <c r="U185" i="1" s="1"/>
  <c r="V185" i="1" s="1"/>
  <c r="W185" i="1" s="1"/>
  <c r="X185" i="1" s="1"/>
  <c r="Y185" i="1" s="1"/>
  <c r="Z185" i="1" s="1"/>
  <c r="AA185" i="1" s="1"/>
  <c r="AB185" i="1" s="1"/>
  <c r="AC185" i="1" s="1"/>
  <c r="AD185" i="1" s="1"/>
  <c r="AE185" i="1" s="1"/>
  <c r="AF185" i="1" s="1"/>
  <c r="AG185" i="1" s="1"/>
  <c r="AH185" i="1" s="1"/>
  <c r="AI185" i="1" s="1"/>
  <c r="AJ185" i="1" s="1"/>
  <c r="AK185" i="1" s="1"/>
  <c r="AL185" i="1" s="1"/>
  <c r="AM185" i="1" s="1"/>
  <c r="AN185" i="1" s="1"/>
  <c r="AO185" i="1" s="1"/>
  <c r="AP185" i="1" s="1"/>
  <c r="AQ185" i="1" s="1"/>
  <c r="AR185" i="1" s="1"/>
  <c r="AS185" i="1" s="1"/>
  <c r="AT185" i="1" s="1"/>
  <c r="AU185" i="1" s="1"/>
  <c r="AV185" i="1" s="1"/>
  <c r="AW185" i="1" s="1"/>
  <c r="AX185" i="1" s="1"/>
  <c r="AY185" i="1" s="1"/>
  <c r="AZ185" i="1" s="1"/>
  <c r="BA185" i="1" s="1"/>
  <c r="BB185" i="1" s="1"/>
  <c r="BC185" i="1" s="1"/>
  <c r="BD185" i="1" s="1"/>
  <c r="BE185" i="1" s="1"/>
  <c r="BF185" i="1" s="1"/>
  <c r="BG185" i="1" s="1"/>
  <c r="BH185" i="1" s="1"/>
  <c r="BI185" i="1" s="1"/>
  <c r="BJ185" i="1" s="1"/>
  <c r="BK185" i="1" s="1"/>
  <c r="BL185" i="1" s="1"/>
  <c r="BM185" i="1" s="1"/>
  <c r="BN185" i="1" s="1"/>
  <c r="BO185" i="1" s="1"/>
  <c r="BP185" i="1" s="1"/>
  <c r="B186" i="1"/>
  <c r="C186" i="1" s="1"/>
  <c r="D186" i="1" s="1"/>
  <c r="E186" i="1" s="1"/>
  <c r="F186" i="1" s="1"/>
  <c r="G186" i="1" s="1"/>
  <c r="H186" i="1" s="1"/>
  <c r="I186" i="1" s="1"/>
  <c r="J186" i="1" s="1"/>
  <c r="K186" i="1" s="1"/>
  <c r="L186" i="1" s="1"/>
  <c r="M186" i="1" s="1"/>
  <c r="N186" i="1" s="1"/>
  <c r="O186" i="1" s="1"/>
  <c r="P186" i="1" s="1"/>
  <c r="Q186" i="1" s="1"/>
  <c r="R186" i="1" s="1"/>
  <c r="S186" i="1" s="1"/>
  <c r="T186" i="1" s="1"/>
  <c r="U186" i="1" s="1"/>
  <c r="V186" i="1" s="1"/>
  <c r="W186" i="1" s="1"/>
  <c r="X186" i="1" s="1"/>
  <c r="Y186" i="1" s="1"/>
  <c r="Z186" i="1" s="1"/>
  <c r="AA186" i="1" s="1"/>
  <c r="AB186" i="1" s="1"/>
  <c r="AC186" i="1" s="1"/>
  <c r="AD186" i="1" s="1"/>
  <c r="AE186" i="1" s="1"/>
  <c r="AF186" i="1" s="1"/>
  <c r="AG186" i="1" s="1"/>
  <c r="AH186" i="1" s="1"/>
  <c r="AI186" i="1" s="1"/>
  <c r="AJ186" i="1" s="1"/>
  <c r="AK186" i="1" s="1"/>
  <c r="AL186" i="1" s="1"/>
  <c r="AM186" i="1" s="1"/>
  <c r="AN186" i="1" s="1"/>
  <c r="AO186" i="1" s="1"/>
  <c r="AP186" i="1" s="1"/>
  <c r="AQ186" i="1" s="1"/>
  <c r="AR186" i="1" s="1"/>
  <c r="AS186" i="1" s="1"/>
  <c r="AT186" i="1" s="1"/>
  <c r="AU186" i="1" s="1"/>
  <c r="AV186" i="1" s="1"/>
  <c r="AW186" i="1" s="1"/>
  <c r="AX186" i="1" s="1"/>
  <c r="AY186" i="1" s="1"/>
  <c r="AZ186" i="1" s="1"/>
  <c r="BA186" i="1" s="1"/>
  <c r="BB186" i="1" s="1"/>
  <c r="BC186" i="1" s="1"/>
  <c r="BD186" i="1" s="1"/>
  <c r="BE186" i="1" s="1"/>
  <c r="BF186" i="1" s="1"/>
  <c r="BG186" i="1" s="1"/>
  <c r="BH186" i="1" s="1"/>
  <c r="BI186" i="1" s="1"/>
  <c r="BJ186" i="1" s="1"/>
  <c r="BK186" i="1" s="1"/>
  <c r="BL186" i="1" s="1"/>
  <c r="BM186" i="1" s="1"/>
  <c r="BN186" i="1" s="1"/>
  <c r="BO186" i="1" s="1"/>
  <c r="BP186" i="1" s="1"/>
  <c r="B187" i="1"/>
  <c r="C187" i="1" s="1"/>
  <c r="D187" i="1" s="1"/>
  <c r="E187" i="1" s="1"/>
  <c r="F187" i="1" s="1"/>
  <c r="G187" i="1" s="1"/>
  <c r="H187" i="1" s="1"/>
  <c r="I187" i="1" s="1"/>
  <c r="J187" i="1" s="1"/>
  <c r="K187" i="1" s="1"/>
  <c r="L187" i="1" s="1"/>
  <c r="M187" i="1" s="1"/>
  <c r="N187" i="1" s="1"/>
  <c r="O187" i="1" s="1"/>
  <c r="P187" i="1" s="1"/>
  <c r="Q187" i="1" s="1"/>
  <c r="R187" i="1" s="1"/>
  <c r="S187" i="1" s="1"/>
  <c r="T187" i="1" s="1"/>
  <c r="U187" i="1" s="1"/>
  <c r="V187" i="1" s="1"/>
  <c r="W187" i="1" s="1"/>
  <c r="X187" i="1" s="1"/>
  <c r="Y187" i="1" s="1"/>
  <c r="Z187" i="1" s="1"/>
  <c r="AA187" i="1" s="1"/>
  <c r="AB187" i="1" s="1"/>
  <c r="AC187" i="1" s="1"/>
  <c r="AD187" i="1" s="1"/>
  <c r="AE187" i="1" s="1"/>
  <c r="AF187" i="1" s="1"/>
  <c r="AG187" i="1" s="1"/>
  <c r="AH187" i="1" s="1"/>
  <c r="AI187" i="1" s="1"/>
  <c r="AJ187" i="1" s="1"/>
  <c r="AK187" i="1" s="1"/>
  <c r="AL187" i="1" s="1"/>
  <c r="AM187" i="1" s="1"/>
  <c r="AN187" i="1" s="1"/>
  <c r="AO187" i="1" s="1"/>
  <c r="AP187" i="1" s="1"/>
  <c r="AQ187" i="1" s="1"/>
  <c r="AR187" i="1" s="1"/>
  <c r="AS187" i="1" s="1"/>
  <c r="AT187" i="1" s="1"/>
  <c r="AU187" i="1" s="1"/>
  <c r="AV187" i="1" s="1"/>
  <c r="AW187" i="1" s="1"/>
  <c r="AX187" i="1" s="1"/>
  <c r="AY187" i="1" s="1"/>
  <c r="AZ187" i="1" s="1"/>
  <c r="BA187" i="1" s="1"/>
  <c r="BB187" i="1" s="1"/>
  <c r="BC187" i="1" s="1"/>
  <c r="BD187" i="1" s="1"/>
  <c r="BE187" i="1" s="1"/>
  <c r="BF187" i="1" s="1"/>
  <c r="BG187" i="1" s="1"/>
  <c r="BH187" i="1" s="1"/>
  <c r="BI187" i="1" s="1"/>
  <c r="BJ187" i="1" s="1"/>
  <c r="BK187" i="1" s="1"/>
  <c r="BL187" i="1" s="1"/>
  <c r="BM187" i="1" s="1"/>
  <c r="BN187" i="1" s="1"/>
  <c r="BO187" i="1" s="1"/>
  <c r="BP187" i="1" s="1"/>
  <c r="B75" i="1"/>
  <c r="C75" i="1" s="1"/>
  <c r="D75" i="1" s="1"/>
  <c r="E75" i="1" s="1"/>
  <c r="F75" i="1" s="1"/>
  <c r="G75" i="1" s="1"/>
  <c r="H75" i="1" s="1"/>
  <c r="I75" i="1" s="1"/>
  <c r="J75" i="1" s="1"/>
  <c r="K75" i="1" s="1"/>
  <c r="L75" i="1" s="1"/>
  <c r="M75" i="1" s="1"/>
  <c r="N75" i="1" s="1"/>
  <c r="O75" i="1" s="1"/>
  <c r="P75" i="1" s="1"/>
  <c r="Q75" i="1" s="1"/>
  <c r="R75" i="1" s="1"/>
  <c r="S75" i="1" s="1"/>
  <c r="T75" i="1" s="1"/>
  <c r="U75" i="1" s="1"/>
  <c r="V75" i="1" s="1"/>
  <c r="W75" i="1" s="1"/>
  <c r="X75" i="1" s="1"/>
  <c r="Y75" i="1" s="1"/>
  <c r="Z75" i="1" s="1"/>
  <c r="AA75" i="1" s="1"/>
  <c r="AB75" i="1" s="1"/>
  <c r="AC75" i="1" s="1"/>
  <c r="AD75" i="1" s="1"/>
  <c r="AE75" i="1" s="1"/>
  <c r="AF75" i="1" s="1"/>
  <c r="AG75" i="1" s="1"/>
  <c r="AH75" i="1" s="1"/>
  <c r="AI75" i="1" s="1"/>
  <c r="AJ75" i="1" s="1"/>
  <c r="AK75" i="1" s="1"/>
  <c r="AL75" i="1" s="1"/>
  <c r="AM75" i="1" s="1"/>
  <c r="AN75" i="1" s="1"/>
  <c r="AO75" i="1" s="1"/>
  <c r="AP75" i="1" s="1"/>
  <c r="AQ75" i="1" s="1"/>
  <c r="AR75" i="1" s="1"/>
  <c r="AS75" i="1" s="1"/>
  <c r="AT75" i="1" s="1"/>
  <c r="AU75" i="1" s="1"/>
  <c r="AV75" i="1" s="1"/>
  <c r="AW75" i="1" s="1"/>
  <c r="AX75" i="1" s="1"/>
  <c r="AY75" i="1" s="1"/>
  <c r="AZ75" i="1" s="1"/>
  <c r="BA75" i="1" s="1"/>
  <c r="BB75" i="1" s="1"/>
  <c r="BC75" i="1" s="1"/>
  <c r="BD75" i="1" s="1"/>
  <c r="BE75" i="1" s="1"/>
  <c r="BF75" i="1" s="1"/>
  <c r="BG75" i="1" s="1"/>
  <c r="BH75" i="1" s="1"/>
  <c r="BI75" i="1" s="1"/>
  <c r="BJ75" i="1" s="1"/>
  <c r="BK75" i="1" s="1"/>
  <c r="BL75" i="1" s="1"/>
  <c r="BM75" i="1" s="1"/>
  <c r="BN75" i="1" s="1"/>
  <c r="BO75" i="1" s="1"/>
  <c r="BP75" i="1" s="1"/>
  <c r="B188" i="1"/>
  <c r="C188" i="1" s="1"/>
  <c r="D188" i="1" s="1"/>
  <c r="E188" i="1" s="1"/>
  <c r="F188" i="1" s="1"/>
  <c r="G188" i="1" s="1"/>
  <c r="H188" i="1" s="1"/>
  <c r="I188" i="1" s="1"/>
  <c r="J188" i="1" s="1"/>
  <c r="K188" i="1" s="1"/>
  <c r="L188" i="1" s="1"/>
  <c r="M188" i="1" s="1"/>
  <c r="N188" i="1" s="1"/>
  <c r="O188" i="1" s="1"/>
  <c r="P188" i="1" s="1"/>
  <c r="Q188" i="1" s="1"/>
  <c r="R188" i="1" s="1"/>
  <c r="S188" i="1" s="1"/>
  <c r="T188" i="1" s="1"/>
  <c r="U188" i="1" s="1"/>
  <c r="V188" i="1" s="1"/>
  <c r="W188" i="1" s="1"/>
  <c r="X188" i="1" s="1"/>
  <c r="Y188" i="1" s="1"/>
  <c r="Z188" i="1" s="1"/>
  <c r="AA188" i="1" s="1"/>
  <c r="AB188" i="1" s="1"/>
  <c r="AC188" i="1" s="1"/>
  <c r="AD188" i="1" s="1"/>
  <c r="AE188" i="1" s="1"/>
  <c r="AF188" i="1" s="1"/>
  <c r="AG188" i="1" s="1"/>
  <c r="AH188" i="1" s="1"/>
  <c r="AI188" i="1" s="1"/>
  <c r="AJ188" i="1" s="1"/>
  <c r="AK188" i="1" s="1"/>
  <c r="AL188" i="1" s="1"/>
  <c r="AM188" i="1" s="1"/>
  <c r="AN188" i="1" s="1"/>
  <c r="AO188" i="1" s="1"/>
  <c r="AP188" i="1" s="1"/>
  <c r="AQ188" i="1" s="1"/>
  <c r="AR188" i="1" s="1"/>
  <c r="AS188" i="1" s="1"/>
  <c r="AT188" i="1" s="1"/>
  <c r="AU188" i="1" s="1"/>
  <c r="AV188" i="1" s="1"/>
  <c r="AW188" i="1" s="1"/>
  <c r="AX188" i="1" s="1"/>
  <c r="AY188" i="1" s="1"/>
  <c r="AZ188" i="1" s="1"/>
  <c r="BA188" i="1" s="1"/>
  <c r="BB188" i="1" s="1"/>
  <c r="BC188" i="1" s="1"/>
  <c r="BD188" i="1" s="1"/>
  <c r="BE188" i="1" s="1"/>
  <c r="BF188" i="1" s="1"/>
  <c r="BG188" i="1" s="1"/>
  <c r="BH188" i="1" s="1"/>
  <c r="BI188" i="1" s="1"/>
  <c r="BJ188" i="1" s="1"/>
  <c r="BK188" i="1" s="1"/>
  <c r="BL188" i="1" s="1"/>
  <c r="BM188" i="1" s="1"/>
  <c r="BN188" i="1" s="1"/>
  <c r="BO188" i="1" s="1"/>
  <c r="BP188" i="1" s="1"/>
  <c r="B189" i="1"/>
  <c r="C189" i="1" s="1"/>
  <c r="D189" i="1" s="1"/>
  <c r="E189" i="1" s="1"/>
  <c r="F189" i="1" s="1"/>
  <c r="G189" i="1" s="1"/>
  <c r="H189" i="1" s="1"/>
  <c r="I189" i="1" s="1"/>
  <c r="J189" i="1" s="1"/>
  <c r="K189" i="1" s="1"/>
  <c r="L189" i="1" s="1"/>
  <c r="M189" i="1" s="1"/>
  <c r="N189" i="1" s="1"/>
  <c r="O189" i="1" s="1"/>
  <c r="P189" i="1" s="1"/>
  <c r="Q189" i="1" s="1"/>
  <c r="R189" i="1" s="1"/>
  <c r="S189" i="1" s="1"/>
  <c r="T189" i="1" s="1"/>
  <c r="U189" i="1" s="1"/>
  <c r="V189" i="1" s="1"/>
  <c r="W189" i="1" s="1"/>
  <c r="X189" i="1" s="1"/>
  <c r="Y189" i="1" s="1"/>
  <c r="Z189" i="1" s="1"/>
  <c r="AA189" i="1" s="1"/>
  <c r="AB189" i="1" s="1"/>
  <c r="AC189" i="1" s="1"/>
  <c r="AD189" i="1" s="1"/>
  <c r="AE189" i="1" s="1"/>
  <c r="AF189" i="1" s="1"/>
  <c r="AG189" i="1" s="1"/>
  <c r="AH189" i="1" s="1"/>
  <c r="AI189" i="1" s="1"/>
  <c r="AJ189" i="1" s="1"/>
  <c r="AK189" i="1" s="1"/>
  <c r="AL189" i="1" s="1"/>
  <c r="AM189" i="1" s="1"/>
  <c r="AN189" i="1" s="1"/>
  <c r="AO189" i="1" s="1"/>
  <c r="AP189" i="1" s="1"/>
  <c r="AQ189" i="1" s="1"/>
  <c r="AR189" i="1" s="1"/>
  <c r="AS189" i="1" s="1"/>
  <c r="AT189" i="1" s="1"/>
  <c r="AU189" i="1" s="1"/>
  <c r="AV189" i="1" s="1"/>
  <c r="AW189" i="1" s="1"/>
  <c r="AX189" i="1" s="1"/>
  <c r="AY189" i="1" s="1"/>
  <c r="AZ189" i="1" s="1"/>
  <c r="BA189" i="1" s="1"/>
  <c r="BB189" i="1" s="1"/>
  <c r="BC189" i="1" s="1"/>
  <c r="BD189" i="1" s="1"/>
  <c r="BE189" i="1" s="1"/>
  <c r="BF189" i="1" s="1"/>
  <c r="BG189" i="1" s="1"/>
  <c r="BH189" i="1" s="1"/>
  <c r="BI189" i="1" s="1"/>
  <c r="BJ189" i="1" s="1"/>
  <c r="BK189" i="1" s="1"/>
  <c r="BL189" i="1" s="1"/>
  <c r="BM189" i="1" s="1"/>
  <c r="BN189" i="1" s="1"/>
  <c r="BO189" i="1" s="1"/>
  <c r="BP189" i="1" s="1"/>
  <c r="B190" i="1"/>
  <c r="C190" i="1" s="1"/>
  <c r="D190" i="1" s="1"/>
  <c r="E190" i="1" s="1"/>
  <c r="F190" i="1" s="1"/>
  <c r="G190" i="1" s="1"/>
  <c r="H190" i="1" s="1"/>
  <c r="I190" i="1" s="1"/>
  <c r="J190" i="1" s="1"/>
  <c r="K190" i="1" s="1"/>
  <c r="L190" i="1" s="1"/>
  <c r="M190" i="1" s="1"/>
  <c r="N190" i="1" s="1"/>
  <c r="O190" i="1" s="1"/>
  <c r="P190" i="1" s="1"/>
  <c r="Q190" i="1" s="1"/>
  <c r="R190" i="1" s="1"/>
  <c r="S190" i="1" s="1"/>
  <c r="T190" i="1" s="1"/>
  <c r="U190" i="1" s="1"/>
  <c r="V190" i="1" s="1"/>
  <c r="W190" i="1" s="1"/>
  <c r="X190" i="1" s="1"/>
  <c r="Y190" i="1" s="1"/>
  <c r="Z190" i="1" s="1"/>
  <c r="AA190" i="1" s="1"/>
  <c r="AB190" i="1" s="1"/>
  <c r="AC190" i="1" s="1"/>
  <c r="AD190" i="1" s="1"/>
  <c r="AE190" i="1" s="1"/>
  <c r="AF190" i="1" s="1"/>
  <c r="AG190" i="1" s="1"/>
  <c r="AH190" i="1" s="1"/>
  <c r="AI190" i="1" s="1"/>
  <c r="AJ190" i="1" s="1"/>
  <c r="AK190" i="1" s="1"/>
  <c r="AL190" i="1" s="1"/>
  <c r="AM190" i="1" s="1"/>
  <c r="AN190" i="1" s="1"/>
  <c r="AO190" i="1" s="1"/>
  <c r="AP190" i="1" s="1"/>
  <c r="AQ190" i="1" s="1"/>
  <c r="AR190" i="1" s="1"/>
  <c r="AS190" i="1" s="1"/>
  <c r="AT190" i="1" s="1"/>
  <c r="AU190" i="1" s="1"/>
  <c r="AV190" i="1" s="1"/>
  <c r="AW190" i="1" s="1"/>
  <c r="AX190" i="1" s="1"/>
  <c r="AY190" i="1" s="1"/>
  <c r="AZ190" i="1" s="1"/>
  <c r="BA190" i="1" s="1"/>
  <c r="BB190" i="1" s="1"/>
  <c r="BC190" i="1" s="1"/>
  <c r="BD190" i="1" s="1"/>
  <c r="BE190" i="1" s="1"/>
  <c r="BF190" i="1" s="1"/>
  <c r="BG190" i="1" s="1"/>
  <c r="BH190" i="1" s="1"/>
  <c r="BI190" i="1" s="1"/>
  <c r="BJ190" i="1" s="1"/>
  <c r="BK190" i="1" s="1"/>
  <c r="BL190" i="1" s="1"/>
  <c r="BM190" i="1" s="1"/>
  <c r="BN190" i="1" s="1"/>
  <c r="BO190" i="1" s="1"/>
  <c r="BP190" i="1" s="1"/>
  <c r="B191" i="1"/>
  <c r="C191" i="1" s="1"/>
  <c r="D191" i="1" s="1"/>
  <c r="E191" i="1" s="1"/>
  <c r="F191" i="1" s="1"/>
  <c r="G191" i="1" s="1"/>
  <c r="H191" i="1" s="1"/>
  <c r="I191" i="1" s="1"/>
  <c r="J191" i="1" s="1"/>
  <c r="K191" i="1" s="1"/>
  <c r="L191" i="1" s="1"/>
  <c r="M191" i="1" s="1"/>
  <c r="N191" i="1" s="1"/>
  <c r="O191" i="1" s="1"/>
  <c r="P191" i="1" s="1"/>
  <c r="Q191" i="1" s="1"/>
  <c r="R191" i="1" s="1"/>
  <c r="S191" i="1" s="1"/>
  <c r="T191" i="1" s="1"/>
  <c r="U191" i="1" s="1"/>
  <c r="V191" i="1" s="1"/>
  <c r="W191" i="1" s="1"/>
  <c r="X191" i="1" s="1"/>
  <c r="Y191" i="1" s="1"/>
  <c r="Z191" i="1" s="1"/>
  <c r="AA191" i="1" s="1"/>
  <c r="AB191" i="1" s="1"/>
  <c r="AC191" i="1" s="1"/>
  <c r="AD191" i="1" s="1"/>
  <c r="AE191" i="1" s="1"/>
  <c r="AF191" i="1" s="1"/>
  <c r="AG191" i="1" s="1"/>
  <c r="AH191" i="1" s="1"/>
  <c r="AI191" i="1" s="1"/>
  <c r="AJ191" i="1" s="1"/>
  <c r="AK191" i="1" s="1"/>
  <c r="AL191" i="1" s="1"/>
  <c r="AM191" i="1" s="1"/>
  <c r="AN191" i="1" s="1"/>
  <c r="AO191" i="1" s="1"/>
  <c r="AP191" i="1" s="1"/>
  <c r="AQ191" i="1" s="1"/>
  <c r="AR191" i="1" s="1"/>
  <c r="AS191" i="1" s="1"/>
  <c r="AT191" i="1" s="1"/>
  <c r="AU191" i="1" s="1"/>
  <c r="AV191" i="1" s="1"/>
  <c r="AW191" i="1" s="1"/>
  <c r="AX191" i="1" s="1"/>
  <c r="AY191" i="1" s="1"/>
  <c r="AZ191" i="1" s="1"/>
  <c r="BA191" i="1" s="1"/>
  <c r="BB191" i="1" s="1"/>
  <c r="BC191" i="1" s="1"/>
  <c r="BD191" i="1" s="1"/>
  <c r="BE191" i="1" s="1"/>
  <c r="BF191" i="1" s="1"/>
  <c r="BG191" i="1" s="1"/>
  <c r="BH191" i="1" s="1"/>
  <c r="BI191" i="1" s="1"/>
  <c r="BJ191" i="1" s="1"/>
  <c r="BK191" i="1" s="1"/>
  <c r="BL191" i="1" s="1"/>
  <c r="BM191" i="1" s="1"/>
  <c r="BN191" i="1" s="1"/>
  <c r="BO191" i="1" s="1"/>
  <c r="BP191" i="1" s="1"/>
  <c r="B192" i="1"/>
  <c r="C192" i="1" s="1"/>
  <c r="D192" i="1" s="1"/>
  <c r="E192" i="1" s="1"/>
  <c r="F192" i="1" s="1"/>
  <c r="G192" i="1" s="1"/>
  <c r="H192" i="1" s="1"/>
  <c r="I192" i="1" s="1"/>
  <c r="J192" i="1" s="1"/>
  <c r="K192" i="1" s="1"/>
  <c r="L192" i="1" s="1"/>
  <c r="M192" i="1" s="1"/>
  <c r="N192" i="1" s="1"/>
  <c r="O192" i="1" s="1"/>
  <c r="P192" i="1" s="1"/>
  <c r="Q192" i="1" s="1"/>
  <c r="R192" i="1" s="1"/>
  <c r="S192" i="1" s="1"/>
  <c r="T192" i="1" s="1"/>
  <c r="U192" i="1" s="1"/>
  <c r="V192" i="1" s="1"/>
  <c r="W192" i="1" s="1"/>
  <c r="X192" i="1" s="1"/>
  <c r="Y192" i="1" s="1"/>
  <c r="Z192" i="1" s="1"/>
  <c r="AA192" i="1" s="1"/>
  <c r="AB192" i="1" s="1"/>
  <c r="AC192" i="1" s="1"/>
  <c r="AD192" i="1" s="1"/>
  <c r="AE192" i="1" s="1"/>
  <c r="AF192" i="1" s="1"/>
  <c r="AG192" i="1" s="1"/>
  <c r="AH192" i="1" s="1"/>
  <c r="AI192" i="1" s="1"/>
  <c r="AJ192" i="1" s="1"/>
  <c r="AK192" i="1" s="1"/>
  <c r="AL192" i="1" s="1"/>
  <c r="AM192" i="1" s="1"/>
  <c r="AN192" i="1" s="1"/>
  <c r="AO192" i="1" s="1"/>
  <c r="AP192" i="1" s="1"/>
  <c r="AQ192" i="1" s="1"/>
  <c r="AR192" i="1" s="1"/>
  <c r="AS192" i="1" s="1"/>
  <c r="AT192" i="1" s="1"/>
  <c r="AU192" i="1" s="1"/>
  <c r="AV192" i="1" s="1"/>
  <c r="AW192" i="1" s="1"/>
  <c r="AX192" i="1" s="1"/>
  <c r="AY192" i="1" s="1"/>
  <c r="AZ192" i="1" s="1"/>
  <c r="BA192" i="1" s="1"/>
  <c r="BB192" i="1" s="1"/>
  <c r="BC192" i="1" s="1"/>
  <c r="BD192" i="1" s="1"/>
  <c r="BE192" i="1" s="1"/>
  <c r="BF192" i="1" s="1"/>
  <c r="BG192" i="1" s="1"/>
  <c r="BH192" i="1" s="1"/>
  <c r="BI192" i="1" s="1"/>
  <c r="BJ192" i="1" s="1"/>
  <c r="BK192" i="1" s="1"/>
  <c r="BL192" i="1" s="1"/>
  <c r="BM192" i="1" s="1"/>
  <c r="BN192" i="1" s="1"/>
  <c r="BO192" i="1" s="1"/>
  <c r="BP192" i="1" s="1"/>
  <c r="B193" i="1"/>
  <c r="C193" i="1" s="1"/>
  <c r="D193" i="1" s="1"/>
  <c r="E193" i="1" s="1"/>
  <c r="F193" i="1" s="1"/>
  <c r="G193" i="1" s="1"/>
  <c r="H193" i="1" s="1"/>
  <c r="I193" i="1" s="1"/>
  <c r="J193" i="1" s="1"/>
  <c r="K193" i="1" s="1"/>
  <c r="L193" i="1" s="1"/>
  <c r="M193" i="1" s="1"/>
  <c r="N193" i="1" s="1"/>
  <c r="O193" i="1" s="1"/>
  <c r="P193" i="1" s="1"/>
  <c r="Q193" i="1" s="1"/>
  <c r="R193" i="1" s="1"/>
  <c r="S193" i="1" s="1"/>
  <c r="T193" i="1" s="1"/>
  <c r="U193" i="1" s="1"/>
  <c r="V193" i="1" s="1"/>
  <c r="W193" i="1" s="1"/>
  <c r="X193" i="1" s="1"/>
  <c r="Y193" i="1" s="1"/>
  <c r="Z193" i="1" s="1"/>
  <c r="AA193" i="1" s="1"/>
  <c r="AB193" i="1" s="1"/>
  <c r="AC193" i="1" s="1"/>
  <c r="AD193" i="1" s="1"/>
  <c r="AE193" i="1" s="1"/>
  <c r="AF193" i="1" s="1"/>
  <c r="AG193" i="1" s="1"/>
  <c r="AH193" i="1" s="1"/>
  <c r="AI193" i="1" s="1"/>
  <c r="AJ193" i="1" s="1"/>
  <c r="AK193" i="1" s="1"/>
  <c r="AL193" i="1" s="1"/>
  <c r="AM193" i="1" s="1"/>
  <c r="AN193" i="1" s="1"/>
  <c r="AO193" i="1" s="1"/>
  <c r="AP193" i="1" s="1"/>
  <c r="AQ193" i="1" s="1"/>
  <c r="AR193" i="1" s="1"/>
  <c r="AS193" i="1" s="1"/>
  <c r="AT193" i="1" s="1"/>
  <c r="AU193" i="1" s="1"/>
  <c r="AV193" i="1" s="1"/>
  <c r="AW193" i="1" s="1"/>
  <c r="AX193" i="1" s="1"/>
  <c r="AY193" i="1" s="1"/>
  <c r="AZ193" i="1" s="1"/>
  <c r="BA193" i="1" s="1"/>
  <c r="BB193" i="1" s="1"/>
  <c r="BC193" i="1" s="1"/>
  <c r="BD193" i="1" s="1"/>
  <c r="BE193" i="1" s="1"/>
  <c r="BF193" i="1" s="1"/>
  <c r="BG193" i="1" s="1"/>
  <c r="BH193" i="1" s="1"/>
  <c r="BI193" i="1" s="1"/>
  <c r="BJ193" i="1" s="1"/>
  <c r="BK193" i="1" s="1"/>
  <c r="BL193" i="1" s="1"/>
  <c r="BM193" i="1" s="1"/>
  <c r="BN193" i="1" s="1"/>
  <c r="BO193" i="1" s="1"/>
  <c r="BP193" i="1" s="1"/>
  <c r="B194" i="1"/>
  <c r="C194" i="1" s="1"/>
  <c r="D194" i="1" s="1"/>
  <c r="E194" i="1" s="1"/>
  <c r="F194" i="1" s="1"/>
  <c r="G194" i="1" s="1"/>
  <c r="H194" i="1" s="1"/>
  <c r="I194" i="1" s="1"/>
  <c r="J194" i="1" s="1"/>
  <c r="K194" i="1" s="1"/>
  <c r="L194" i="1" s="1"/>
  <c r="M194" i="1" s="1"/>
  <c r="N194" i="1" s="1"/>
  <c r="O194" i="1" s="1"/>
  <c r="P194" i="1" s="1"/>
  <c r="Q194" i="1" s="1"/>
  <c r="R194" i="1" s="1"/>
  <c r="S194" i="1" s="1"/>
  <c r="T194" i="1" s="1"/>
  <c r="U194" i="1" s="1"/>
  <c r="V194" i="1" s="1"/>
  <c r="W194" i="1" s="1"/>
  <c r="X194" i="1" s="1"/>
  <c r="Y194" i="1" s="1"/>
  <c r="Z194" i="1" s="1"/>
  <c r="AA194" i="1" s="1"/>
  <c r="AB194" i="1" s="1"/>
  <c r="AC194" i="1" s="1"/>
  <c r="AD194" i="1" s="1"/>
  <c r="AE194" i="1" s="1"/>
  <c r="AF194" i="1" s="1"/>
  <c r="AG194" i="1" s="1"/>
  <c r="AH194" i="1" s="1"/>
  <c r="AI194" i="1" s="1"/>
  <c r="AJ194" i="1" s="1"/>
  <c r="AK194" i="1" s="1"/>
  <c r="AL194" i="1" s="1"/>
  <c r="AM194" i="1" s="1"/>
  <c r="AN194" i="1" s="1"/>
  <c r="AO194" i="1" s="1"/>
  <c r="AP194" i="1" s="1"/>
  <c r="AQ194" i="1" s="1"/>
  <c r="AR194" i="1" s="1"/>
  <c r="AS194" i="1" s="1"/>
  <c r="AT194" i="1" s="1"/>
  <c r="AU194" i="1" s="1"/>
  <c r="AV194" i="1" s="1"/>
  <c r="AW194" i="1" s="1"/>
  <c r="AX194" i="1" s="1"/>
  <c r="AY194" i="1" s="1"/>
  <c r="AZ194" i="1" s="1"/>
  <c r="BA194" i="1" s="1"/>
  <c r="BB194" i="1" s="1"/>
  <c r="BC194" i="1" s="1"/>
  <c r="BD194" i="1" s="1"/>
  <c r="BE194" i="1" s="1"/>
  <c r="BF194" i="1" s="1"/>
  <c r="BG194" i="1" s="1"/>
  <c r="BH194" i="1" s="1"/>
  <c r="BI194" i="1" s="1"/>
  <c r="BJ194" i="1" s="1"/>
  <c r="BK194" i="1" s="1"/>
  <c r="BL194" i="1" s="1"/>
  <c r="BM194" i="1" s="1"/>
  <c r="BN194" i="1" s="1"/>
  <c r="BO194" i="1" s="1"/>
  <c r="BP194" i="1" s="1"/>
  <c r="B195" i="1"/>
  <c r="C195" i="1" s="1"/>
  <c r="D195" i="1" s="1"/>
  <c r="E195" i="1" s="1"/>
  <c r="F195" i="1" s="1"/>
  <c r="G195" i="1" s="1"/>
  <c r="H195" i="1" s="1"/>
  <c r="I195" i="1" s="1"/>
  <c r="J195" i="1" s="1"/>
  <c r="K195" i="1" s="1"/>
  <c r="L195" i="1" s="1"/>
  <c r="M195" i="1" s="1"/>
  <c r="N195" i="1" s="1"/>
  <c r="O195" i="1" s="1"/>
  <c r="P195" i="1" s="1"/>
  <c r="Q195" i="1" s="1"/>
  <c r="R195" i="1" s="1"/>
  <c r="S195" i="1" s="1"/>
  <c r="T195" i="1" s="1"/>
  <c r="U195" i="1" s="1"/>
  <c r="V195" i="1" s="1"/>
  <c r="W195" i="1" s="1"/>
  <c r="X195" i="1" s="1"/>
  <c r="Y195" i="1" s="1"/>
  <c r="Z195" i="1" s="1"/>
  <c r="AA195" i="1" s="1"/>
  <c r="AB195" i="1" s="1"/>
  <c r="AC195" i="1" s="1"/>
  <c r="AD195" i="1" s="1"/>
  <c r="AE195" i="1" s="1"/>
  <c r="AF195" i="1" s="1"/>
  <c r="AG195" i="1" s="1"/>
  <c r="AH195" i="1" s="1"/>
  <c r="AI195" i="1" s="1"/>
  <c r="AJ195" i="1" s="1"/>
  <c r="AK195" i="1" s="1"/>
  <c r="AL195" i="1" s="1"/>
  <c r="AM195" i="1" s="1"/>
  <c r="AN195" i="1" s="1"/>
  <c r="AO195" i="1" s="1"/>
  <c r="AP195" i="1" s="1"/>
  <c r="AQ195" i="1" s="1"/>
  <c r="AR195" i="1" s="1"/>
  <c r="AS195" i="1" s="1"/>
  <c r="AT195" i="1" s="1"/>
  <c r="AU195" i="1" s="1"/>
  <c r="AV195" i="1" s="1"/>
  <c r="AW195" i="1" s="1"/>
  <c r="AX195" i="1" s="1"/>
  <c r="AY195" i="1" s="1"/>
  <c r="AZ195" i="1" s="1"/>
  <c r="BA195" i="1" s="1"/>
  <c r="BB195" i="1" s="1"/>
  <c r="BC195" i="1" s="1"/>
  <c r="BD195" i="1" s="1"/>
  <c r="BE195" i="1" s="1"/>
  <c r="BF195" i="1" s="1"/>
  <c r="BG195" i="1" s="1"/>
  <c r="BH195" i="1" s="1"/>
  <c r="BI195" i="1" s="1"/>
  <c r="BJ195" i="1" s="1"/>
  <c r="BK195" i="1" s="1"/>
  <c r="BL195" i="1" s="1"/>
  <c r="BM195" i="1" s="1"/>
  <c r="BN195" i="1" s="1"/>
  <c r="BO195" i="1" s="1"/>
  <c r="BP195" i="1" s="1"/>
  <c r="B196" i="1"/>
  <c r="C196" i="1" s="1"/>
  <c r="D196" i="1" s="1"/>
  <c r="E196" i="1" s="1"/>
  <c r="F196" i="1" s="1"/>
  <c r="G196" i="1" s="1"/>
  <c r="H196" i="1" s="1"/>
  <c r="I196" i="1" s="1"/>
  <c r="J196" i="1" s="1"/>
  <c r="K196" i="1" s="1"/>
  <c r="L196" i="1" s="1"/>
  <c r="M196" i="1" s="1"/>
  <c r="N196" i="1" s="1"/>
  <c r="O196" i="1" s="1"/>
  <c r="P196" i="1" s="1"/>
  <c r="Q196" i="1" s="1"/>
  <c r="R196" i="1" s="1"/>
  <c r="S196" i="1" s="1"/>
  <c r="T196" i="1" s="1"/>
  <c r="U196" i="1" s="1"/>
  <c r="V196" i="1" s="1"/>
  <c r="W196" i="1" s="1"/>
  <c r="X196" i="1" s="1"/>
  <c r="Y196" i="1" s="1"/>
  <c r="Z196" i="1" s="1"/>
  <c r="AA196" i="1" s="1"/>
  <c r="AB196" i="1" s="1"/>
  <c r="AC196" i="1" s="1"/>
  <c r="AD196" i="1" s="1"/>
  <c r="AE196" i="1" s="1"/>
  <c r="AF196" i="1" s="1"/>
  <c r="AG196" i="1" s="1"/>
  <c r="AH196" i="1" s="1"/>
  <c r="AI196" i="1" s="1"/>
  <c r="AJ196" i="1" s="1"/>
  <c r="AK196" i="1" s="1"/>
  <c r="AL196" i="1" s="1"/>
  <c r="AM196" i="1" s="1"/>
  <c r="AN196" i="1" s="1"/>
  <c r="AO196" i="1" s="1"/>
  <c r="AP196" i="1" s="1"/>
  <c r="AQ196" i="1" s="1"/>
  <c r="AR196" i="1" s="1"/>
  <c r="AS196" i="1" s="1"/>
  <c r="AT196" i="1" s="1"/>
  <c r="AU196" i="1" s="1"/>
  <c r="AV196" i="1" s="1"/>
  <c r="AW196" i="1" s="1"/>
  <c r="AX196" i="1" s="1"/>
  <c r="AY196" i="1" s="1"/>
  <c r="AZ196" i="1" s="1"/>
  <c r="BA196" i="1" s="1"/>
  <c r="BB196" i="1" s="1"/>
  <c r="BC196" i="1" s="1"/>
  <c r="BD196" i="1" s="1"/>
  <c r="BE196" i="1" s="1"/>
  <c r="BF196" i="1" s="1"/>
  <c r="BG196" i="1" s="1"/>
  <c r="BH196" i="1" s="1"/>
  <c r="BI196" i="1" s="1"/>
  <c r="BJ196" i="1" s="1"/>
  <c r="BK196" i="1" s="1"/>
  <c r="BL196" i="1" s="1"/>
  <c r="BM196" i="1" s="1"/>
  <c r="BN196" i="1" s="1"/>
  <c r="BO196" i="1" s="1"/>
  <c r="BP196" i="1" s="1"/>
  <c r="B197" i="1"/>
  <c r="C197" i="1" s="1"/>
  <c r="D197" i="1" s="1"/>
  <c r="E197" i="1" s="1"/>
  <c r="F197" i="1" s="1"/>
  <c r="G197" i="1" s="1"/>
  <c r="H197" i="1" s="1"/>
  <c r="I197" i="1" s="1"/>
  <c r="J197" i="1" s="1"/>
  <c r="K197" i="1" s="1"/>
  <c r="L197" i="1" s="1"/>
  <c r="M197" i="1" s="1"/>
  <c r="N197" i="1" s="1"/>
  <c r="O197" i="1" s="1"/>
  <c r="P197" i="1" s="1"/>
  <c r="Q197" i="1" s="1"/>
  <c r="R197" i="1" s="1"/>
  <c r="S197" i="1" s="1"/>
  <c r="T197" i="1" s="1"/>
  <c r="U197" i="1" s="1"/>
  <c r="V197" i="1" s="1"/>
  <c r="W197" i="1" s="1"/>
  <c r="X197" i="1" s="1"/>
  <c r="Y197" i="1" s="1"/>
  <c r="Z197" i="1" s="1"/>
  <c r="AA197" i="1" s="1"/>
  <c r="AB197" i="1" s="1"/>
  <c r="AC197" i="1" s="1"/>
  <c r="AD197" i="1" s="1"/>
  <c r="AE197" i="1" s="1"/>
  <c r="AF197" i="1" s="1"/>
  <c r="AG197" i="1" s="1"/>
  <c r="AH197" i="1" s="1"/>
  <c r="AI197" i="1" s="1"/>
  <c r="AJ197" i="1" s="1"/>
  <c r="AK197" i="1" s="1"/>
  <c r="AL197" i="1" s="1"/>
  <c r="AM197" i="1" s="1"/>
  <c r="AN197" i="1" s="1"/>
  <c r="AO197" i="1" s="1"/>
  <c r="AP197" i="1" s="1"/>
  <c r="AQ197" i="1" s="1"/>
  <c r="AR197" i="1" s="1"/>
  <c r="AS197" i="1" s="1"/>
  <c r="AT197" i="1" s="1"/>
  <c r="AU197" i="1" s="1"/>
  <c r="AV197" i="1" s="1"/>
  <c r="AW197" i="1" s="1"/>
  <c r="AX197" i="1" s="1"/>
  <c r="AY197" i="1" s="1"/>
  <c r="AZ197" i="1" s="1"/>
  <c r="BA197" i="1" s="1"/>
  <c r="BB197" i="1" s="1"/>
  <c r="BC197" i="1" s="1"/>
  <c r="BD197" i="1" s="1"/>
  <c r="BE197" i="1" s="1"/>
  <c r="BF197" i="1" s="1"/>
  <c r="BG197" i="1" s="1"/>
  <c r="BH197" i="1" s="1"/>
  <c r="BI197" i="1" s="1"/>
  <c r="BJ197" i="1" s="1"/>
  <c r="BK197" i="1" s="1"/>
  <c r="BL197" i="1" s="1"/>
  <c r="BM197" i="1" s="1"/>
  <c r="BN197" i="1" s="1"/>
  <c r="BO197" i="1" s="1"/>
  <c r="BP197" i="1" s="1"/>
  <c r="B198" i="1"/>
  <c r="C198" i="1" s="1"/>
  <c r="D198" i="1" s="1"/>
  <c r="E198" i="1" s="1"/>
  <c r="F198" i="1" s="1"/>
  <c r="G198" i="1" s="1"/>
  <c r="H198" i="1" s="1"/>
  <c r="I198" i="1" s="1"/>
  <c r="J198" i="1" s="1"/>
  <c r="K198" i="1" s="1"/>
  <c r="L198" i="1" s="1"/>
  <c r="M198" i="1" s="1"/>
  <c r="N198" i="1" s="1"/>
  <c r="O198" i="1" s="1"/>
  <c r="P198" i="1" s="1"/>
  <c r="Q198" i="1" s="1"/>
  <c r="R198" i="1" s="1"/>
  <c r="S198" i="1" s="1"/>
  <c r="T198" i="1" s="1"/>
  <c r="U198" i="1" s="1"/>
  <c r="V198" i="1" s="1"/>
  <c r="W198" i="1" s="1"/>
  <c r="X198" i="1" s="1"/>
  <c r="Y198" i="1" s="1"/>
  <c r="Z198" i="1" s="1"/>
  <c r="AA198" i="1" s="1"/>
  <c r="AB198" i="1" s="1"/>
  <c r="AC198" i="1" s="1"/>
  <c r="AD198" i="1" s="1"/>
  <c r="AE198" i="1" s="1"/>
  <c r="AF198" i="1" s="1"/>
  <c r="AG198" i="1" s="1"/>
  <c r="AH198" i="1" s="1"/>
  <c r="AI198" i="1" s="1"/>
  <c r="AJ198" i="1" s="1"/>
  <c r="AK198" i="1" s="1"/>
  <c r="AL198" i="1" s="1"/>
  <c r="AM198" i="1" s="1"/>
  <c r="AN198" i="1" s="1"/>
  <c r="AO198" i="1" s="1"/>
  <c r="AP198" i="1" s="1"/>
  <c r="AQ198" i="1" s="1"/>
  <c r="AR198" i="1" s="1"/>
  <c r="AS198" i="1" s="1"/>
  <c r="AT198" i="1" s="1"/>
  <c r="AU198" i="1" s="1"/>
  <c r="AV198" i="1" s="1"/>
  <c r="AW198" i="1" s="1"/>
  <c r="AX198" i="1" s="1"/>
  <c r="AY198" i="1" s="1"/>
  <c r="AZ198" i="1" s="1"/>
  <c r="BA198" i="1" s="1"/>
  <c r="BB198" i="1" s="1"/>
  <c r="BC198" i="1" s="1"/>
  <c r="BD198" i="1" s="1"/>
  <c r="BE198" i="1" s="1"/>
  <c r="BF198" i="1" s="1"/>
  <c r="BG198" i="1" s="1"/>
  <c r="BH198" i="1" s="1"/>
  <c r="BI198" i="1" s="1"/>
  <c r="BJ198" i="1" s="1"/>
  <c r="BK198" i="1" s="1"/>
  <c r="BL198" i="1" s="1"/>
  <c r="BM198" i="1" s="1"/>
  <c r="BN198" i="1" s="1"/>
  <c r="BO198" i="1" s="1"/>
  <c r="BP198" i="1" s="1"/>
  <c r="B199" i="1"/>
  <c r="C199" i="1" s="1"/>
  <c r="D199" i="1" s="1"/>
  <c r="E199" i="1" s="1"/>
  <c r="F199" i="1" s="1"/>
  <c r="G199" i="1" s="1"/>
  <c r="H199" i="1" s="1"/>
  <c r="I199" i="1" s="1"/>
  <c r="J199" i="1" s="1"/>
  <c r="K199" i="1" s="1"/>
  <c r="L199" i="1" s="1"/>
  <c r="M199" i="1" s="1"/>
  <c r="N199" i="1" s="1"/>
  <c r="O199" i="1" s="1"/>
  <c r="P199" i="1" s="1"/>
  <c r="Q199" i="1" s="1"/>
  <c r="R199" i="1" s="1"/>
  <c r="S199" i="1" s="1"/>
  <c r="T199" i="1" s="1"/>
  <c r="U199" i="1" s="1"/>
  <c r="V199" i="1" s="1"/>
  <c r="W199" i="1" s="1"/>
  <c r="X199" i="1" s="1"/>
  <c r="Y199" i="1" s="1"/>
  <c r="Z199" i="1" s="1"/>
  <c r="AA199" i="1" s="1"/>
  <c r="AB199" i="1" s="1"/>
  <c r="AC199" i="1" s="1"/>
  <c r="AD199" i="1" s="1"/>
  <c r="AE199" i="1" s="1"/>
  <c r="AF199" i="1" s="1"/>
  <c r="AG199" i="1" s="1"/>
  <c r="AH199" i="1" s="1"/>
  <c r="AI199" i="1" s="1"/>
  <c r="AJ199" i="1" s="1"/>
  <c r="AK199" i="1" s="1"/>
  <c r="AL199" i="1" s="1"/>
  <c r="AM199" i="1" s="1"/>
  <c r="AN199" i="1" s="1"/>
  <c r="AO199" i="1" s="1"/>
  <c r="AP199" i="1" s="1"/>
  <c r="AQ199" i="1" s="1"/>
  <c r="AR199" i="1" s="1"/>
  <c r="AS199" i="1" s="1"/>
  <c r="AT199" i="1" s="1"/>
  <c r="AU199" i="1" s="1"/>
  <c r="AV199" i="1" s="1"/>
  <c r="AW199" i="1" s="1"/>
  <c r="AX199" i="1" s="1"/>
  <c r="AY199" i="1" s="1"/>
  <c r="AZ199" i="1" s="1"/>
  <c r="BA199" i="1" s="1"/>
  <c r="BB199" i="1" s="1"/>
  <c r="BC199" i="1" s="1"/>
  <c r="BD199" i="1" s="1"/>
  <c r="BE199" i="1" s="1"/>
  <c r="BF199" i="1" s="1"/>
  <c r="BG199" i="1" s="1"/>
  <c r="BH199" i="1" s="1"/>
  <c r="BI199" i="1" s="1"/>
  <c r="BJ199" i="1" s="1"/>
  <c r="BK199" i="1" s="1"/>
  <c r="BL199" i="1" s="1"/>
  <c r="BM199" i="1" s="1"/>
  <c r="BN199" i="1" s="1"/>
  <c r="BO199" i="1" s="1"/>
  <c r="BP199" i="1" s="1"/>
  <c r="B200" i="1"/>
  <c r="C200" i="1" s="1"/>
  <c r="D200" i="1" s="1"/>
  <c r="E200" i="1" s="1"/>
  <c r="F200" i="1" s="1"/>
  <c r="G200" i="1" s="1"/>
  <c r="H200" i="1" s="1"/>
  <c r="I200" i="1" s="1"/>
  <c r="J200" i="1" s="1"/>
  <c r="K200" i="1" s="1"/>
  <c r="L200" i="1" s="1"/>
  <c r="M200" i="1" s="1"/>
  <c r="N200" i="1" s="1"/>
  <c r="O200" i="1" s="1"/>
  <c r="P200" i="1" s="1"/>
  <c r="Q200" i="1" s="1"/>
  <c r="R200" i="1" s="1"/>
  <c r="S200" i="1" s="1"/>
  <c r="T200" i="1" s="1"/>
  <c r="U200" i="1" s="1"/>
  <c r="V200" i="1" s="1"/>
  <c r="W200" i="1" s="1"/>
  <c r="X200" i="1" s="1"/>
  <c r="Y200" i="1" s="1"/>
  <c r="Z200" i="1" s="1"/>
  <c r="AA200" i="1" s="1"/>
  <c r="AB200" i="1" s="1"/>
  <c r="AC200" i="1" s="1"/>
  <c r="AD200" i="1" s="1"/>
  <c r="AE200" i="1" s="1"/>
  <c r="AF200" i="1" s="1"/>
  <c r="AG200" i="1" s="1"/>
  <c r="AH200" i="1" s="1"/>
  <c r="AI200" i="1" s="1"/>
  <c r="AJ200" i="1" s="1"/>
  <c r="AK200" i="1" s="1"/>
  <c r="AL200" i="1" s="1"/>
  <c r="AM200" i="1" s="1"/>
  <c r="AN200" i="1" s="1"/>
  <c r="AO200" i="1" s="1"/>
  <c r="AP200" i="1" s="1"/>
  <c r="AQ200" i="1" s="1"/>
  <c r="AR200" i="1" s="1"/>
  <c r="AS200" i="1" s="1"/>
  <c r="AT200" i="1" s="1"/>
  <c r="AU200" i="1" s="1"/>
  <c r="AV200" i="1" s="1"/>
  <c r="AW200" i="1" s="1"/>
  <c r="AX200" i="1" s="1"/>
  <c r="AY200" i="1" s="1"/>
  <c r="AZ200" i="1" s="1"/>
  <c r="BA200" i="1" s="1"/>
  <c r="BB200" i="1" s="1"/>
  <c r="BC200" i="1" s="1"/>
  <c r="BD200" i="1" s="1"/>
  <c r="BE200" i="1" s="1"/>
  <c r="BF200" i="1" s="1"/>
  <c r="BG200" i="1" s="1"/>
  <c r="BH200" i="1" s="1"/>
  <c r="BI200" i="1" s="1"/>
  <c r="BJ200" i="1" s="1"/>
  <c r="BK200" i="1" s="1"/>
  <c r="BL200" i="1" s="1"/>
  <c r="BM200" i="1" s="1"/>
  <c r="BN200" i="1" s="1"/>
  <c r="BO200" i="1" s="1"/>
  <c r="BP200" i="1" s="1"/>
  <c r="B201" i="1"/>
  <c r="C201" i="1" s="1"/>
  <c r="D201" i="1" s="1"/>
  <c r="E201" i="1" s="1"/>
  <c r="F201" i="1" s="1"/>
  <c r="G201" i="1" s="1"/>
  <c r="H201" i="1" s="1"/>
  <c r="I201" i="1" s="1"/>
  <c r="J201" i="1" s="1"/>
  <c r="K201" i="1" s="1"/>
  <c r="L201" i="1" s="1"/>
  <c r="M201" i="1" s="1"/>
  <c r="N201" i="1" s="1"/>
  <c r="O201" i="1" s="1"/>
  <c r="P201" i="1" s="1"/>
  <c r="Q201" i="1" s="1"/>
  <c r="R201" i="1" s="1"/>
  <c r="S201" i="1" s="1"/>
  <c r="T201" i="1" s="1"/>
  <c r="U201" i="1" s="1"/>
  <c r="V201" i="1" s="1"/>
  <c r="W201" i="1" s="1"/>
  <c r="X201" i="1" s="1"/>
  <c r="Y201" i="1" s="1"/>
  <c r="Z201" i="1" s="1"/>
  <c r="AA201" i="1" s="1"/>
  <c r="AB201" i="1" s="1"/>
  <c r="AC201" i="1" s="1"/>
  <c r="AD201" i="1" s="1"/>
  <c r="AE201" i="1" s="1"/>
  <c r="AF201" i="1" s="1"/>
  <c r="AG201" i="1" s="1"/>
  <c r="AH201" i="1" s="1"/>
  <c r="AI201" i="1" s="1"/>
  <c r="AJ201" i="1" s="1"/>
  <c r="AK201" i="1" s="1"/>
  <c r="AL201" i="1" s="1"/>
  <c r="AM201" i="1" s="1"/>
  <c r="AN201" i="1" s="1"/>
  <c r="AO201" i="1" s="1"/>
  <c r="AP201" i="1" s="1"/>
  <c r="AQ201" i="1" s="1"/>
  <c r="AR201" i="1" s="1"/>
  <c r="AS201" i="1" s="1"/>
  <c r="AT201" i="1" s="1"/>
  <c r="AU201" i="1" s="1"/>
  <c r="AV201" i="1" s="1"/>
  <c r="AW201" i="1" s="1"/>
  <c r="AX201" i="1" s="1"/>
  <c r="AY201" i="1" s="1"/>
  <c r="AZ201" i="1" s="1"/>
  <c r="BA201" i="1" s="1"/>
  <c r="BB201" i="1" s="1"/>
  <c r="BC201" i="1" s="1"/>
  <c r="BD201" i="1" s="1"/>
  <c r="BE201" i="1" s="1"/>
  <c r="BF201" i="1" s="1"/>
  <c r="BG201" i="1" s="1"/>
  <c r="BH201" i="1" s="1"/>
  <c r="BI201" i="1" s="1"/>
  <c r="BJ201" i="1" s="1"/>
  <c r="BK201" i="1" s="1"/>
  <c r="BL201" i="1" s="1"/>
  <c r="BM201" i="1" s="1"/>
  <c r="BN201" i="1" s="1"/>
  <c r="BO201" i="1" s="1"/>
  <c r="BP201" i="1" s="1"/>
  <c r="B202" i="1"/>
  <c r="C202" i="1" s="1"/>
  <c r="D202" i="1" s="1"/>
  <c r="E202" i="1" s="1"/>
  <c r="F202" i="1" s="1"/>
  <c r="G202" i="1" s="1"/>
  <c r="H202" i="1" s="1"/>
  <c r="I202" i="1" s="1"/>
  <c r="J202" i="1" s="1"/>
  <c r="K202" i="1" s="1"/>
  <c r="L202" i="1" s="1"/>
  <c r="M202" i="1" s="1"/>
  <c r="N202" i="1" s="1"/>
  <c r="O202" i="1" s="1"/>
  <c r="P202" i="1" s="1"/>
  <c r="Q202" i="1" s="1"/>
  <c r="R202" i="1" s="1"/>
  <c r="S202" i="1" s="1"/>
  <c r="T202" i="1" s="1"/>
  <c r="U202" i="1" s="1"/>
  <c r="V202" i="1" s="1"/>
  <c r="W202" i="1" s="1"/>
  <c r="X202" i="1" s="1"/>
  <c r="Y202" i="1" s="1"/>
  <c r="Z202" i="1" s="1"/>
  <c r="AA202" i="1" s="1"/>
  <c r="AB202" i="1" s="1"/>
  <c r="AC202" i="1" s="1"/>
  <c r="AD202" i="1" s="1"/>
  <c r="AE202" i="1" s="1"/>
  <c r="AF202" i="1" s="1"/>
  <c r="AG202" i="1" s="1"/>
  <c r="AH202" i="1" s="1"/>
  <c r="AI202" i="1" s="1"/>
  <c r="AJ202" i="1" s="1"/>
  <c r="AK202" i="1" s="1"/>
  <c r="AL202" i="1" s="1"/>
  <c r="AM202" i="1" s="1"/>
  <c r="AN202" i="1" s="1"/>
  <c r="AO202" i="1" s="1"/>
  <c r="AP202" i="1" s="1"/>
  <c r="AQ202" i="1" s="1"/>
  <c r="AR202" i="1" s="1"/>
  <c r="AS202" i="1" s="1"/>
  <c r="AT202" i="1" s="1"/>
  <c r="AU202" i="1" s="1"/>
  <c r="AV202" i="1" s="1"/>
  <c r="AW202" i="1" s="1"/>
  <c r="AX202" i="1" s="1"/>
  <c r="AY202" i="1" s="1"/>
  <c r="AZ202" i="1" s="1"/>
  <c r="BA202" i="1" s="1"/>
  <c r="BB202" i="1" s="1"/>
  <c r="BC202" i="1" s="1"/>
  <c r="BD202" i="1" s="1"/>
  <c r="BE202" i="1" s="1"/>
  <c r="BF202" i="1" s="1"/>
  <c r="BG202" i="1" s="1"/>
  <c r="BH202" i="1" s="1"/>
  <c r="BI202" i="1" s="1"/>
  <c r="BJ202" i="1" s="1"/>
  <c r="BK202" i="1" s="1"/>
  <c r="BL202" i="1" s="1"/>
  <c r="BM202" i="1" s="1"/>
  <c r="BN202" i="1" s="1"/>
  <c r="BO202" i="1" s="1"/>
  <c r="BP202" i="1" s="1"/>
  <c r="B203" i="1"/>
  <c r="C203" i="1" s="1"/>
  <c r="D203" i="1" s="1"/>
  <c r="E203" i="1" s="1"/>
  <c r="F203" i="1" s="1"/>
  <c r="G203" i="1" s="1"/>
  <c r="H203" i="1" s="1"/>
  <c r="I203" i="1" s="1"/>
  <c r="J203" i="1" s="1"/>
  <c r="K203" i="1" s="1"/>
  <c r="L203" i="1" s="1"/>
  <c r="M203" i="1" s="1"/>
  <c r="N203" i="1" s="1"/>
  <c r="O203" i="1" s="1"/>
  <c r="P203" i="1" s="1"/>
  <c r="Q203" i="1" s="1"/>
  <c r="R203" i="1" s="1"/>
  <c r="S203" i="1" s="1"/>
  <c r="T203" i="1" s="1"/>
  <c r="U203" i="1" s="1"/>
  <c r="V203" i="1" s="1"/>
  <c r="W203" i="1" s="1"/>
  <c r="X203" i="1" s="1"/>
  <c r="Y203" i="1" s="1"/>
  <c r="Z203" i="1" s="1"/>
  <c r="AA203" i="1" s="1"/>
  <c r="AB203" i="1" s="1"/>
  <c r="AC203" i="1" s="1"/>
  <c r="AD203" i="1" s="1"/>
  <c r="AE203" i="1" s="1"/>
  <c r="AF203" i="1" s="1"/>
  <c r="AG203" i="1" s="1"/>
  <c r="AH203" i="1" s="1"/>
  <c r="AI203" i="1" s="1"/>
  <c r="AJ203" i="1" s="1"/>
  <c r="AK203" i="1" s="1"/>
  <c r="AL203" i="1" s="1"/>
  <c r="AM203" i="1" s="1"/>
  <c r="AN203" i="1" s="1"/>
  <c r="AO203" i="1" s="1"/>
  <c r="AP203" i="1" s="1"/>
  <c r="AQ203" i="1" s="1"/>
  <c r="AR203" i="1" s="1"/>
  <c r="AS203" i="1" s="1"/>
  <c r="AT203" i="1" s="1"/>
  <c r="AU203" i="1" s="1"/>
  <c r="AV203" i="1" s="1"/>
  <c r="AW203" i="1" s="1"/>
  <c r="AX203" i="1" s="1"/>
  <c r="AY203" i="1" s="1"/>
  <c r="AZ203" i="1" s="1"/>
  <c r="BA203" i="1" s="1"/>
  <c r="BB203" i="1" s="1"/>
  <c r="BC203" i="1" s="1"/>
  <c r="BD203" i="1" s="1"/>
  <c r="BE203" i="1" s="1"/>
  <c r="BF203" i="1" s="1"/>
  <c r="BG203" i="1" s="1"/>
  <c r="BH203" i="1" s="1"/>
  <c r="BI203" i="1" s="1"/>
  <c r="BJ203" i="1" s="1"/>
  <c r="BK203" i="1" s="1"/>
  <c r="BL203" i="1" s="1"/>
  <c r="BM203" i="1" s="1"/>
  <c r="BN203" i="1" s="1"/>
  <c r="BO203" i="1" s="1"/>
  <c r="BP203" i="1" s="1"/>
  <c r="B204" i="1"/>
  <c r="C204" i="1" s="1"/>
  <c r="D204" i="1" s="1"/>
  <c r="E204" i="1" s="1"/>
  <c r="F204" i="1" s="1"/>
  <c r="G204" i="1" s="1"/>
  <c r="H204" i="1" s="1"/>
  <c r="I204" i="1" s="1"/>
  <c r="J204" i="1" s="1"/>
  <c r="K204" i="1" s="1"/>
  <c r="L204" i="1" s="1"/>
  <c r="M204" i="1" s="1"/>
  <c r="N204" i="1" s="1"/>
  <c r="O204" i="1" s="1"/>
  <c r="P204" i="1" s="1"/>
  <c r="Q204" i="1" s="1"/>
  <c r="R204" i="1" s="1"/>
  <c r="S204" i="1" s="1"/>
  <c r="T204" i="1" s="1"/>
  <c r="U204" i="1" s="1"/>
  <c r="V204" i="1" s="1"/>
  <c r="W204" i="1" s="1"/>
  <c r="X204" i="1" s="1"/>
  <c r="Y204" i="1" s="1"/>
  <c r="Z204" i="1" s="1"/>
  <c r="AA204" i="1" s="1"/>
  <c r="AB204" i="1" s="1"/>
  <c r="AC204" i="1" s="1"/>
  <c r="AD204" i="1" s="1"/>
  <c r="AE204" i="1" s="1"/>
  <c r="AF204" i="1" s="1"/>
  <c r="AG204" i="1" s="1"/>
  <c r="AH204" i="1" s="1"/>
  <c r="AI204" i="1" s="1"/>
  <c r="AJ204" i="1" s="1"/>
  <c r="AK204" i="1" s="1"/>
  <c r="AL204" i="1" s="1"/>
  <c r="AM204" i="1" s="1"/>
  <c r="AN204" i="1" s="1"/>
  <c r="AO204" i="1" s="1"/>
  <c r="AP204" i="1" s="1"/>
  <c r="AQ204" i="1" s="1"/>
  <c r="AR204" i="1" s="1"/>
  <c r="AS204" i="1" s="1"/>
  <c r="AT204" i="1" s="1"/>
  <c r="AU204" i="1" s="1"/>
  <c r="AV204" i="1" s="1"/>
  <c r="AW204" i="1" s="1"/>
  <c r="AX204" i="1" s="1"/>
  <c r="AY204" i="1" s="1"/>
  <c r="AZ204" i="1" s="1"/>
  <c r="BA204" i="1" s="1"/>
  <c r="BB204" i="1" s="1"/>
  <c r="BC204" i="1" s="1"/>
  <c r="BD204" i="1" s="1"/>
  <c r="BE204" i="1" s="1"/>
  <c r="BF204" i="1" s="1"/>
  <c r="BG204" i="1" s="1"/>
  <c r="BH204" i="1" s="1"/>
  <c r="BI204" i="1" s="1"/>
  <c r="BJ204" i="1" s="1"/>
  <c r="BK204" i="1" s="1"/>
  <c r="BL204" i="1" s="1"/>
  <c r="BM204" i="1" s="1"/>
  <c r="BN204" i="1" s="1"/>
  <c r="BO204" i="1" s="1"/>
  <c r="BP204" i="1" s="1"/>
  <c r="B205" i="1"/>
  <c r="C205" i="1" s="1"/>
  <c r="D205" i="1" s="1"/>
  <c r="E205" i="1" s="1"/>
  <c r="F205" i="1" s="1"/>
  <c r="G205" i="1" s="1"/>
  <c r="H205" i="1" s="1"/>
  <c r="I205" i="1" s="1"/>
  <c r="J205" i="1" s="1"/>
  <c r="K205" i="1" s="1"/>
  <c r="L205" i="1" s="1"/>
  <c r="M205" i="1" s="1"/>
  <c r="N205" i="1" s="1"/>
  <c r="O205" i="1" s="1"/>
  <c r="P205" i="1" s="1"/>
  <c r="Q205" i="1" s="1"/>
  <c r="R205" i="1" s="1"/>
  <c r="S205" i="1" s="1"/>
  <c r="T205" i="1" s="1"/>
  <c r="U205" i="1" s="1"/>
  <c r="V205" i="1" s="1"/>
  <c r="W205" i="1" s="1"/>
  <c r="X205" i="1" s="1"/>
  <c r="Y205" i="1" s="1"/>
  <c r="Z205" i="1" s="1"/>
  <c r="AA205" i="1" s="1"/>
  <c r="AB205" i="1" s="1"/>
  <c r="AC205" i="1" s="1"/>
  <c r="AD205" i="1" s="1"/>
  <c r="AE205" i="1" s="1"/>
  <c r="AF205" i="1" s="1"/>
  <c r="AG205" i="1" s="1"/>
  <c r="AH205" i="1" s="1"/>
  <c r="AI205" i="1" s="1"/>
  <c r="AJ205" i="1" s="1"/>
  <c r="AK205" i="1" s="1"/>
  <c r="AL205" i="1" s="1"/>
  <c r="AM205" i="1" s="1"/>
  <c r="AN205" i="1" s="1"/>
  <c r="AO205" i="1" s="1"/>
  <c r="AP205" i="1" s="1"/>
  <c r="AQ205" i="1" s="1"/>
  <c r="AR205" i="1" s="1"/>
  <c r="AS205" i="1" s="1"/>
  <c r="AT205" i="1" s="1"/>
  <c r="AU205" i="1" s="1"/>
  <c r="AV205" i="1" s="1"/>
  <c r="AW205" i="1" s="1"/>
  <c r="AX205" i="1" s="1"/>
  <c r="AY205" i="1" s="1"/>
  <c r="AZ205" i="1" s="1"/>
  <c r="BA205" i="1" s="1"/>
  <c r="BB205" i="1" s="1"/>
  <c r="BC205" i="1" s="1"/>
  <c r="BD205" i="1" s="1"/>
  <c r="BE205" i="1" s="1"/>
  <c r="BF205" i="1" s="1"/>
  <c r="BG205" i="1" s="1"/>
  <c r="BH205" i="1" s="1"/>
  <c r="BI205" i="1" s="1"/>
  <c r="BJ205" i="1" s="1"/>
  <c r="BK205" i="1" s="1"/>
  <c r="BL205" i="1" s="1"/>
  <c r="BM205" i="1" s="1"/>
  <c r="BN205" i="1" s="1"/>
  <c r="BO205" i="1" s="1"/>
  <c r="BP205" i="1" s="1"/>
  <c r="B206" i="1"/>
  <c r="C206" i="1" s="1"/>
  <c r="D206" i="1" s="1"/>
  <c r="E206" i="1" s="1"/>
  <c r="F206" i="1" s="1"/>
  <c r="G206" i="1" s="1"/>
  <c r="H206" i="1" s="1"/>
  <c r="I206" i="1" s="1"/>
  <c r="J206" i="1" s="1"/>
  <c r="K206" i="1" s="1"/>
  <c r="L206" i="1" s="1"/>
  <c r="M206" i="1" s="1"/>
  <c r="N206" i="1" s="1"/>
  <c r="O206" i="1" s="1"/>
  <c r="P206" i="1" s="1"/>
  <c r="Q206" i="1" s="1"/>
  <c r="R206" i="1" s="1"/>
  <c r="S206" i="1" s="1"/>
  <c r="T206" i="1" s="1"/>
  <c r="U206" i="1" s="1"/>
  <c r="V206" i="1" s="1"/>
  <c r="W206" i="1" s="1"/>
  <c r="X206" i="1" s="1"/>
  <c r="Y206" i="1" s="1"/>
  <c r="Z206" i="1" s="1"/>
  <c r="AA206" i="1" s="1"/>
  <c r="AB206" i="1" s="1"/>
  <c r="AC206" i="1" s="1"/>
  <c r="AD206" i="1" s="1"/>
  <c r="AE206" i="1" s="1"/>
  <c r="AF206" i="1" s="1"/>
  <c r="AG206" i="1" s="1"/>
  <c r="AH206" i="1" s="1"/>
  <c r="AI206" i="1" s="1"/>
  <c r="AJ206" i="1" s="1"/>
  <c r="AK206" i="1" s="1"/>
  <c r="AL206" i="1" s="1"/>
  <c r="AM206" i="1" s="1"/>
  <c r="AN206" i="1" s="1"/>
  <c r="AO206" i="1" s="1"/>
  <c r="AP206" i="1" s="1"/>
  <c r="AQ206" i="1" s="1"/>
  <c r="AR206" i="1" s="1"/>
  <c r="AS206" i="1" s="1"/>
  <c r="AT206" i="1" s="1"/>
  <c r="AU206" i="1" s="1"/>
  <c r="AV206" i="1" s="1"/>
  <c r="AW206" i="1" s="1"/>
  <c r="AX206" i="1" s="1"/>
  <c r="AY206" i="1" s="1"/>
  <c r="AZ206" i="1" s="1"/>
  <c r="BA206" i="1" s="1"/>
  <c r="BB206" i="1" s="1"/>
  <c r="BC206" i="1" s="1"/>
  <c r="BD206" i="1" s="1"/>
  <c r="BE206" i="1" s="1"/>
  <c r="BF206" i="1" s="1"/>
  <c r="BG206" i="1" s="1"/>
  <c r="BH206" i="1" s="1"/>
  <c r="BI206" i="1" s="1"/>
  <c r="BJ206" i="1" s="1"/>
  <c r="BK206" i="1" s="1"/>
  <c r="BL206" i="1" s="1"/>
  <c r="BM206" i="1" s="1"/>
  <c r="BN206" i="1" s="1"/>
  <c r="BO206" i="1" s="1"/>
  <c r="BP206" i="1" s="1"/>
  <c r="B207" i="1"/>
  <c r="C207" i="1" s="1"/>
  <c r="D207" i="1" s="1"/>
  <c r="E207" i="1" s="1"/>
  <c r="F207" i="1" s="1"/>
  <c r="G207" i="1" s="1"/>
  <c r="H207" i="1" s="1"/>
  <c r="I207" i="1" s="1"/>
  <c r="J207" i="1" s="1"/>
  <c r="K207" i="1" s="1"/>
  <c r="L207" i="1" s="1"/>
  <c r="M207" i="1" s="1"/>
  <c r="N207" i="1" s="1"/>
  <c r="O207" i="1" s="1"/>
  <c r="P207" i="1" s="1"/>
  <c r="Q207" i="1" s="1"/>
  <c r="R207" i="1" s="1"/>
  <c r="S207" i="1" s="1"/>
  <c r="T207" i="1" s="1"/>
  <c r="U207" i="1" s="1"/>
  <c r="V207" i="1" s="1"/>
  <c r="W207" i="1" s="1"/>
  <c r="X207" i="1" s="1"/>
  <c r="Y207" i="1" s="1"/>
  <c r="Z207" i="1" s="1"/>
  <c r="AA207" i="1" s="1"/>
  <c r="AB207" i="1" s="1"/>
  <c r="AC207" i="1" s="1"/>
  <c r="AD207" i="1" s="1"/>
  <c r="AE207" i="1" s="1"/>
  <c r="AF207" i="1" s="1"/>
  <c r="AG207" i="1" s="1"/>
  <c r="AH207" i="1" s="1"/>
  <c r="AI207" i="1" s="1"/>
  <c r="AJ207" i="1" s="1"/>
  <c r="AK207" i="1" s="1"/>
  <c r="AL207" i="1" s="1"/>
  <c r="AM207" i="1" s="1"/>
  <c r="AN207" i="1" s="1"/>
  <c r="AO207" i="1" s="1"/>
  <c r="AP207" i="1" s="1"/>
  <c r="AQ207" i="1" s="1"/>
  <c r="AR207" i="1" s="1"/>
  <c r="AS207" i="1" s="1"/>
  <c r="AT207" i="1" s="1"/>
  <c r="AU207" i="1" s="1"/>
  <c r="AV207" i="1" s="1"/>
  <c r="AW207" i="1" s="1"/>
  <c r="AX207" i="1" s="1"/>
  <c r="AY207" i="1" s="1"/>
  <c r="AZ207" i="1" s="1"/>
  <c r="BA207" i="1" s="1"/>
  <c r="BB207" i="1" s="1"/>
  <c r="BC207" i="1" s="1"/>
  <c r="BD207" i="1" s="1"/>
  <c r="BE207" i="1" s="1"/>
  <c r="BF207" i="1" s="1"/>
  <c r="BG207" i="1" s="1"/>
  <c r="BH207" i="1" s="1"/>
  <c r="BI207" i="1" s="1"/>
  <c r="BJ207" i="1" s="1"/>
  <c r="BK207" i="1" s="1"/>
  <c r="BL207" i="1" s="1"/>
  <c r="BM207" i="1" s="1"/>
  <c r="BN207" i="1" s="1"/>
  <c r="BO207" i="1" s="1"/>
  <c r="BP207" i="1" s="1"/>
  <c r="B208" i="1"/>
  <c r="C208" i="1" s="1"/>
  <c r="D208" i="1" s="1"/>
  <c r="E208" i="1" s="1"/>
  <c r="F208" i="1" s="1"/>
  <c r="G208" i="1" s="1"/>
  <c r="H208" i="1" s="1"/>
  <c r="I208" i="1" s="1"/>
  <c r="J208" i="1" s="1"/>
  <c r="K208" i="1" s="1"/>
  <c r="L208" i="1" s="1"/>
  <c r="M208" i="1" s="1"/>
  <c r="N208" i="1" s="1"/>
  <c r="O208" i="1" s="1"/>
  <c r="P208" i="1" s="1"/>
  <c r="Q208" i="1" s="1"/>
  <c r="R208" i="1" s="1"/>
  <c r="S208" i="1" s="1"/>
  <c r="T208" i="1" s="1"/>
  <c r="U208" i="1" s="1"/>
  <c r="V208" i="1" s="1"/>
  <c r="W208" i="1" s="1"/>
  <c r="X208" i="1" s="1"/>
  <c r="Y208" i="1" s="1"/>
  <c r="Z208" i="1" s="1"/>
  <c r="AA208" i="1" s="1"/>
  <c r="AB208" i="1" s="1"/>
  <c r="AC208" i="1" s="1"/>
  <c r="AD208" i="1" s="1"/>
  <c r="AE208" i="1" s="1"/>
  <c r="AF208" i="1" s="1"/>
  <c r="AG208" i="1" s="1"/>
  <c r="AH208" i="1" s="1"/>
  <c r="AI208" i="1" s="1"/>
  <c r="AJ208" i="1" s="1"/>
  <c r="AK208" i="1" s="1"/>
  <c r="AL208" i="1" s="1"/>
  <c r="AM208" i="1" s="1"/>
  <c r="AN208" i="1" s="1"/>
  <c r="AO208" i="1" s="1"/>
  <c r="AP208" i="1" s="1"/>
  <c r="AQ208" i="1" s="1"/>
  <c r="AR208" i="1" s="1"/>
  <c r="AS208" i="1" s="1"/>
  <c r="AT208" i="1" s="1"/>
  <c r="AU208" i="1" s="1"/>
  <c r="AV208" i="1" s="1"/>
  <c r="AW208" i="1" s="1"/>
  <c r="AX208" i="1" s="1"/>
  <c r="AY208" i="1" s="1"/>
  <c r="AZ208" i="1" s="1"/>
  <c r="BA208" i="1" s="1"/>
  <c r="BB208" i="1" s="1"/>
  <c r="BC208" i="1" s="1"/>
  <c r="BD208" i="1" s="1"/>
  <c r="BE208" i="1" s="1"/>
  <c r="BF208" i="1" s="1"/>
  <c r="BG208" i="1" s="1"/>
  <c r="BH208" i="1" s="1"/>
  <c r="BI208" i="1" s="1"/>
  <c r="BJ208" i="1" s="1"/>
  <c r="BK208" i="1" s="1"/>
  <c r="BL208" i="1" s="1"/>
  <c r="BM208" i="1" s="1"/>
  <c r="BN208" i="1" s="1"/>
  <c r="BO208" i="1" s="1"/>
  <c r="BP208" i="1" s="1"/>
  <c r="B209" i="1"/>
  <c r="C209" i="1" s="1"/>
  <c r="D209" i="1" s="1"/>
  <c r="E209" i="1" s="1"/>
  <c r="F209" i="1" s="1"/>
  <c r="G209" i="1" s="1"/>
  <c r="H209" i="1" s="1"/>
  <c r="I209" i="1" s="1"/>
  <c r="J209" i="1" s="1"/>
  <c r="K209" i="1" s="1"/>
  <c r="L209" i="1" s="1"/>
  <c r="M209" i="1" s="1"/>
  <c r="N209" i="1" s="1"/>
  <c r="O209" i="1" s="1"/>
  <c r="P209" i="1" s="1"/>
  <c r="Q209" i="1" s="1"/>
  <c r="R209" i="1" s="1"/>
  <c r="S209" i="1" s="1"/>
  <c r="T209" i="1" s="1"/>
  <c r="U209" i="1" s="1"/>
  <c r="V209" i="1" s="1"/>
  <c r="W209" i="1" s="1"/>
  <c r="X209" i="1" s="1"/>
  <c r="Y209" i="1" s="1"/>
  <c r="Z209" i="1" s="1"/>
  <c r="AA209" i="1" s="1"/>
  <c r="AB209" i="1" s="1"/>
  <c r="AC209" i="1" s="1"/>
  <c r="AD209" i="1" s="1"/>
  <c r="AE209" i="1" s="1"/>
  <c r="AF209" i="1" s="1"/>
  <c r="AG209" i="1" s="1"/>
  <c r="AH209" i="1" s="1"/>
  <c r="AI209" i="1" s="1"/>
  <c r="AJ209" i="1" s="1"/>
  <c r="AK209" i="1" s="1"/>
  <c r="AL209" i="1" s="1"/>
  <c r="AM209" i="1" s="1"/>
  <c r="AN209" i="1" s="1"/>
  <c r="AO209" i="1" s="1"/>
  <c r="AP209" i="1" s="1"/>
  <c r="AQ209" i="1" s="1"/>
  <c r="AR209" i="1" s="1"/>
  <c r="AS209" i="1" s="1"/>
  <c r="AT209" i="1" s="1"/>
  <c r="AU209" i="1" s="1"/>
  <c r="AV209" i="1" s="1"/>
  <c r="AW209" i="1" s="1"/>
  <c r="AX209" i="1" s="1"/>
  <c r="AY209" i="1" s="1"/>
  <c r="AZ209" i="1" s="1"/>
  <c r="BA209" i="1" s="1"/>
  <c r="BB209" i="1" s="1"/>
  <c r="BC209" i="1" s="1"/>
  <c r="BD209" i="1" s="1"/>
  <c r="BE209" i="1" s="1"/>
  <c r="BF209" i="1" s="1"/>
  <c r="BG209" i="1" s="1"/>
  <c r="BH209" i="1" s="1"/>
  <c r="BI209" i="1" s="1"/>
  <c r="BJ209" i="1" s="1"/>
  <c r="BK209" i="1" s="1"/>
  <c r="BL209" i="1" s="1"/>
  <c r="BM209" i="1" s="1"/>
  <c r="BN209" i="1" s="1"/>
  <c r="BO209" i="1" s="1"/>
  <c r="BP209" i="1" s="1"/>
  <c r="B210" i="1"/>
  <c r="C210" i="1" s="1"/>
  <c r="D210" i="1" s="1"/>
  <c r="E210" i="1" s="1"/>
  <c r="F210" i="1" s="1"/>
  <c r="G210" i="1" s="1"/>
  <c r="H210" i="1" s="1"/>
  <c r="I210" i="1" s="1"/>
  <c r="J210" i="1" s="1"/>
  <c r="K210" i="1" s="1"/>
  <c r="L210" i="1" s="1"/>
  <c r="M210" i="1" s="1"/>
  <c r="N210" i="1" s="1"/>
  <c r="O210" i="1" s="1"/>
  <c r="P210" i="1" s="1"/>
  <c r="Q210" i="1" s="1"/>
  <c r="R210" i="1" s="1"/>
  <c r="S210" i="1" s="1"/>
  <c r="T210" i="1" s="1"/>
  <c r="U210" i="1" s="1"/>
  <c r="V210" i="1" s="1"/>
  <c r="W210" i="1" s="1"/>
  <c r="X210" i="1" s="1"/>
  <c r="Y210" i="1" s="1"/>
  <c r="Z210" i="1" s="1"/>
  <c r="AA210" i="1" s="1"/>
  <c r="AB210" i="1" s="1"/>
  <c r="AC210" i="1" s="1"/>
  <c r="AD210" i="1" s="1"/>
  <c r="AE210" i="1" s="1"/>
  <c r="AF210" i="1" s="1"/>
  <c r="AG210" i="1" s="1"/>
  <c r="AH210" i="1" s="1"/>
  <c r="AI210" i="1" s="1"/>
  <c r="AJ210" i="1" s="1"/>
  <c r="AK210" i="1" s="1"/>
  <c r="AL210" i="1" s="1"/>
  <c r="AM210" i="1" s="1"/>
  <c r="AN210" i="1" s="1"/>
  <c r="AO210" i="1" s="1"/>
  <c r="AP210" i="1" s="1"/>
  <c r="AQ210" i="1" s="1"/>
  <c r="AR210" i="1" s="1"/>
  <c r="AS210" i="1" s="1"/>
  <c r="AT210" i="1" s="1"/>
  <c r="AU210" i="1" s="1"/>
  <c r="AV210" i="1" s="1"/>
  <c r="AW210" i="1" s="1"/>
  <c r="AX210" i="1" s="1"/>
  <c r="AY210" i="1" s="1"/>
  <c r="AZ210" i="1" s="1"/>
  <c r="BA210" i="1" s="1"/>
  <c r="BB210" i="1" s="1"/>
  <c r="BC210" i="1" s="1"/>
  <c r="BD210" i="1" s="1"/>
  <c r="BE210" i="1" s="1"/>
  <c r="BF210" i="1" s="1"/>
  <c r="BG210" i="1" s="1"/>
  <c r="BH210" i="1" s="1"/>
  <c r="BI210" i="1" s="1"/>
  <c r="BJ210" i="1" s="1"/>
  <c r="BK210" i="1" s="1"/>
  <c r="BL210" i="1" s="1"/>
  <c r="BM210" i="1" s="1"/>
  <c r="BN210" i="1" s="1"/>
  <c r="BO210" i="1" s="1"/>
  <c r="BP210" i="1" s="1"/>
  <c r="B211" i="1"/>
  <c r="C211" i="1" s="1"/>
  <c r="D211" i="1" s="1"/>
  <c r="E211" i="1" s="1"/>
  <c r="F211" i="1" s="1"/>
  <c r="G211" i="1" s="1"/>
  <c r="H211" i="1" s="1"/>
  <c r="I211" i="1" s="1"/>
  <c r="J211" i="1" s="1"/>
  <c r="K211" i="1" s="1"/>
  <c r="L211" i="1" s="1"/>
  <c r="M211" i="1" s="1"/>
  <c r="N211" i="1" s="1"/>
  <c r="O211" i="1" s="1"/>
  <c r="P211" i="1" s="1"/>
  <c r="Q211" i="1" s="1"/>
  <c r="R211" i="1" s="1"/>
  <c r="S211" i="1" s="1"/>
  <c r="T211" i="1" s="1"/>
  <c r="U211" i="1" s="1"/>
  <c r="V211" i="1" s="1"/>
  <c r="W211" i="1" s="1"/>
  <c r="X211" i="1" s="1"/>
  <c r="Y211" i="1" s="1"/>
  <c r="Z211" i="1" s="1"/>
  <c r="AA211" i="1" s="1"/>
  <c r="AB211" i="1" s="1"/>
  <c r="AC211" i="1" s="1"/>
  <c r="AD211" i="1" s="1"/>
  <c r="AE211" i="1" s="1"/>
  <c r="AF211" i="1" s="1"/>
  <c r="AG211" i="1" s="1"/>
  <c r="AH211" i="1" s="1"/>
  <c r="AI211" i="1" s="1"/>
  <c r="AJ211" i="1" s="1"/>
  <c r="AK211" i="1" s="1"/>
  <c r="AL211" i="1" s="1"/>
  <c r="AM211" i="1" s="1"/>
  <c r="AN211" i="1" s="1"/>
  <c r="AO211" i="1" s="1"/>
  <c r="AP211" i="1" s="1"/>
  <c r="AQ211" i="1" s="1"/>
  <c r="AR211" i="1" s="1"/>
  <c r="AS211" i="1" s="1"/>
  <c r="AT211" i="1" s="1"/>
  <c r="AU211" i="1" s="1"/>
  <c r="AV211" i="1" s="1"/>
  <c r="AW211" i="1" s="1"/>
  <c r="AX211" i="1" s="1"/>
  <c r="AY211" i="1" s="1"/>
  <c r="AZ211" i="1" s="1"/>
  <c r="BA211" i="1" s="1"/>
  <c r="BB211" i="1" s="1"/>
  <c r="BC211" i="1" s="1"/>
  <c r="BD211" i="1" s="1"/>
  <c r="BE211" i="1" s="1"/>
  <c r="BF211" i="1" s="1"/>
  <c r="BG211" i="1" s="1"/>
  <c r="BH211" i="1" s="1"/>
  <c r="BI211" i="1" s="1"/>
  <c r="BJ211" i="1" s="1"/>
  <c r="BK211" i="1" s="1"/>
  <c r="BL211" i="1" s="1"/>
  <c r="BM211" i="1" s="1"/>
  <c r="BN211" i="1" s="1"/>
  <c r="BO211" i="1" s="1"/>
  <c r="BP211" i="1" s="1"/>
  <c r="B212" i="1"/>
  <c r="C212" i="1" s="1"/>
  <c r="D212" i="1" s="1"/>
  <c r="E212" i="1" s="1"/>
  <c r="F212" i="1" s="1"/>
  <c r="G212" i="1" s="1"/>
  <c r="H212" i="1" s="1"/>
  <c r="I212" i="1" s="1"/>
  <c r="J212" i="1" s="1"/>
  <c r="K212" i="1" s="1"/>
  <c r="L212" i="1" s="1"/>
  <c r="M212" i="1" s="1"/>
  <c r="N212" i="1" s="1"/>
  <c r="O212" i="1" s="1"/>
  <c r="P212" i="1" s="1"/>
  <c r="Q212" i="1" s="1"/>
  <c r="R212" i="1" s="1"/>
  <c r="S212" i="1" s="1"/>
  <c r="T212" i="1" s="1"/>
  <c r="U212" i="1" s="1"/>
  <c r="V212" i="1" s="1"/>
  <c r="W212" i="1" s="1"/>
  <c r="X212" i="1" s="1"/>
  <c r="Y212" i="1" s="1"/>
  <c r="Z212" i="1" s="1"/>
  <c r="AA212" i="1" s="1"/>
  <c r="AB212" i="1" s="1"/>
  <c r="AC212" i="1" s="1"/>
  <c r="AD212" i="1" s="1"/>
  <c r="AE212" i="1" s="1"/>
  <c r="AF212" i="1" s="1"/>
  <c r="AG212" i="1" s="1"/>
  <c r="AH212" i="1" s="1"/>
  <c r="AI212" i="1" s="1"/>
  <c r="AJ212" i="1" s="1"/>
  <c r="AK212" i="1" s="1"/>
  <c r="AL212" i="1" s="1"/>
  <c r="AM212" i="1" s="1"/>
  <c r="AN212" i="1" s="1"/>
  <c r="AO212" i="1" s="1"/>
  <c r="AP212" i="1" s="1"/>
  <c r="AQ212" i="1" s="1"/>
  <c r="AR212" i="1" s="1"/>
  <c r="AS212" i="1" s="1"/>
  <c r="AT212" i="1" s="1"/>
  <c r="AU212" i="1" s="1"/>
  <c r="AV212" i="1" s="1"/>
  <c r="AW212" i="1" s="1"/>
  <c r="AX212" i="1" s="1"/>
  <c r="AY212" i="1" s="1"/>
  <c r="AZ212" i="1" s="1"/>
  <c r="BA212" i="1" s="1"/>
  <c r="BB212" i="1" s="1"/>
  <c r="BC212" i="1" s="1"/>
  <c r="BD212" i="1" s="1"/>
  <c r="BE212" i="1" s="1"/>
  <c r="BF212" i="1" s="1"/>
  <c r="BG212" i="1" s="1"/>
  <c r="BH212" i="1" s="1"/>
  <c r="BI212" i="1" s="1"/>
  <c r="BJ212" i="1" s="1"/>
  <c r="BK212" i="1" s="1"/>
  <c r="BL212" i="1" s="1"/>
  <c r="BM212" i="1" s="1"/>
  <c r="BN212" i="1" s="1"/>
  <c r="BO212" i="1" s="1"/>
  <c r="BP212" i="1" s="1"/>
  <c r="B213" i="1"/>
  <c r="C213" i="1" s="1"/>
  <c r="D213" i="1" s="1"/>
  <c r="E213" i="1" s="1"/>
  <c r="F213" i="1" s="1"/>
  <c r="G213" i="1" s="1"/>
  <c r="H213" i="1" s="1"/>
  <c r="I213" i="1" s="1"/>
  <c r="J213" i="1" s="1"/>
  <c r="K213" i="1" s="1"/>
  <c r="L213" i="1" s="1"/>
  <c r="M213" i="1" s="1"/>
  <c r="N213" i="1" s="1"/>
  <c r="O213" i="1" s="1"/>
  <c r="P213" i="1" s="1"/>
  <c r="Q213" i="1" s="1"/>
  <c r="R213" i="1" s="1"/>
  <c r="S213" i="1" s="1"/>
  <c r="T213" i="1" s="1"/>
  <c r="U213" i="1" s="1"/>
  <c r="V213" i="1" s="1"/>
  <c r="W213" i="1" s="1"/>
  <c r="X213" i="1" s="1"/>
  <c r="Y213" i="1" s="1"/>
  <c r="Z213" i="1" s="1"/>
  <c r="AA213" i="1" s="1"/>
  <c r="AB213" i="1" s="1"/>
  <c r="AC213" i="1" s="1"/>
  <c r="AD213" i="1" s="1"/>
  <c r="AE213" i="1" s="1"/>
  <c r="AF213" i="1" s="1"/>
  <c r="AG213" i="1" s="1"/>
  <c r="AH213" i="1" s="1"/>
  <c r="AI213" i="1" s="1"/>
  <c r="AJ213" i="1" s="1"/>
  <c r="AK213" i="1" s="1"/>
  <c r="AL213" i="1" s="1"/>
  <c r="AM213" i="1" s="1"/>
  <c r="AN213" i="1" s="1"/>
  <c r="AO213" i="1" s="1"/>
  <c r="AP213" i="1" s="1"/>
  <c r="AQ213" i="1" s="1"/>
  <c r="AR213" i="1" s="1"/>
  <c r="AS213" i="1" s="1"/>
  <c r="AT213" i="1" s="1"/>
  <c r="AU213" i="1" s="1"/>
  <c r="AV213" i="1" s="1"/>
  <c r="AW213" i="1" s="1"/>
  <c r="AX213" i="1" s="1"/>
  <c r="AY213" i="1" s="1"/>
  <c r="AZ213" i="1" s="1"/>
  <c r="BA213" i="1" s="1"/>
  <c r="BB213" i="1" s="1"/>
  <c r="BC213" i="1" s="1"/>
  <c r="BD213" i="1" s="1"/>
  <c r="BE213" i="1" s="1"/>
  <c r="BF213" i="1" s="1"/>
  <c r="BG213" i="1" s="1"/>
  <c r="BH213" i="1" s="1"/>
  <c r="BI213" i="1" s="1"/>
  <c r="BJ213" i="1" s="1"/>
  <c r="BK213" i="1" s="1"/>
  <c r="BL213" i="1" s="1"/>
  <c r="BM213" i="1" s="1"/>
  <c r="BN213" i="1" s="1"/>
  <c r="BO213" i="1" s="1"/>
  <c r="BP213" i="1" s="1"/>
  <c r="B214" i="1"/>
  <c r="C214" i="1" s="1"/>
  <c r="D214" i="1" s="1"/>
  <c r="E214" i="1" s="1"/>
  <c r="F214" i="1" s="1"/>
  <c r="G214" i="1" s="1"/>
  <c r="H214" i="1" s="1"/>
  <c r="I214" i="1" s="1"/>
  <c r="J214" i="1" s="1"/>
  <c r="K214" i="1" s="1"/>
  <c r="L214" i="1" s="1"/>
  <c r="M214" i="1" s="1"/>
  <c r="N214" i="1" s="1"/>
  <c r="O214" i="1" s="1"/>
  <c r="P214" i="1" s="1"/>
  <c r="Q214" i="1" s="1"/>
  <c r="R214" i="1" s="1"/>
  <c r="S214" i="1" s="1"/>
  <c r="T214" i="1" s="1"/>
  <c r="U214" i="1" s="1"/>
  <c r="V214" i="1" s="1"/>
  <c r="W214" i="1" s="1"/>
  <c r="X214" i="1" s="1"/>
  <c r="Y214" i="1" s="1"/>
  <c r="Z214" i="1" s="1"/>
  <c r="AA214" i="1" s="1"/>
  <c r="AB214" i="1" s="1"/>
  <c r="AC214" i="1" s="1"/>
  <c r="AD214" i="1" s="1"/>
  <c r="AE214" i="1" s="1"/>
  <c r="AF214" i="1" s="1"/>
  <c r="AG214" i="1" s="1"/>
  <c r="AH214" i="1" s="1"/>
  <c r="AI214" i="1" s="1"/>
  <c r="AJ214" i="1" s="1"/>
  <c r="AK214" i="1" s="1"/>
  <c r="AL214" i="1" s="1"/>
  <c r="AM214" i="1" s="1"/>
  <c r="AN214" i="1" s="1"/>
  <c r="AO214" i="1" s="1"/>
  <c r="AP214" i="1" s="1"/>
  <c r="AQ214" i="1" s="1"/>
  <c r="AR214" i="1" s="1"/>
  <c r="AS214" i="1" s="1"/>
  <c r="AT214" i="1" s="1"/>
  <c r="AU214" i="1" s="1"/>
  <c r="AV214" i="1" s="1"/>
  <c r="AW214" i="1" s="1"/>
  <c r="AX214" i="1" s="1"/>
  <c r="AY214" i="1" s="1"/>
  <c r="AZ214" i="1" s="1"/>
  <c r="BA214" i="1" s="1"/>
  <c r="BB214" i="1" s="1"/>
  <c r="BC214" i="1" s="1"/>
  <c r="BD214" i="1" s="1"/>
  <c r="BE214" i="1" s="1"/>
  <c r="BF214" i="1" s="1"/>
  <c r="BG214" i="1" s="1"/>
  <c r="BH214" i="1" s="1"/>
  <c r="BI214" i="1" s="1"/>
  <c r="BJ214" i="1" s="1"/>
  <c r="BK214" i="1" s="1"/>
  <c r="BL214" i="1" s="1"/>
  <c r="BM214" i="1" s="1"/>
  <c r="BN214" i="1" s="1"/>
  <c r="BO214" i="1" s="1"/>
  <c r="BP214" i="1" s="1"/>
  <c r="B215" i="1"/>
  <c r="C215" i="1" s="1"/>
  <c r="D215" i="1" s="1"/>
  <c r="E215" i="1" s="1"/>
  <c r="F215" i="1" s="1"/>
  <c r="G215" i="1" s="1"/>
  <c r="H215" i="1" s="1"/>
  <c r="I215" i="1" s="1"/>
  <c r="J215" i="1" s="1"/>
  <c r="K215" i="1" s="1"/>
  <c r="L215" i="1" s="1"/>
  <c r="M215" i="1" s="1"/>
  <c r="N215" i="1" s="1"/>
  <c r="O215" i="1" s="1"/>
  <c r="P215" i="1" s="1"/>
  <c r="Q215" i="1" s="1"/>
  <c r="R215" i="1" s="1"/>
  <c r="S215" i="1" s="1"/>
  <c r="T215" i="1" s="1"/>
  <c r="U215" i="1" s="1"/>
  <c r="V215" i="1" s="1"/>
  <c r="W215" i="1" s="1"/>
  <c r="X215" i="1" s="1"/>
  <c r="Y215" i="1" s="1"/>
  <c r="Z215" i="1" s="1"/>
  <c r="AA215" i="1" s="1"/>
  <c r="AB215" i="1" s="1"/>
  <c r="AC215" i="1" s="1"/>
  <c r="AD215" i="1" s="1"/>
  <c r="AE215" i="1" s="1"/>
  <c r="AF215" i="1" s="1"/>
  <c r="AG215" i="1" s="1"/>
  <c r="AH215" i="1" s="1"/>
  <c r="AI215" i="1" s="1"/>
  <c r="AJ215" i="1" s="1"/>
  <c r="AK215" i="1" s="1"/>
  <c r="AL215" i="1" s="1"/>
  <c r="AM215" i="1" s="1"/>
  <c r="AN215" i="1" s="1"/>
  <c r="AO215" i="1" s="1"/>
  <c r="AP215" i="1" s="1"/>
  <c r="AQ215" i="1" s="1"/>
  <c r="AR215" i="1" s="1"/>
  <c r="AS215" i="1" s="1"/>
  <c r="AT215" i="1" s="1"/>
  <c r="AU215" i="1" s="1"/>
  <c r="AV215" i="1" s="1"/>
  <c r="AW215" i="1" s="1"/>
  <c r="AX215" i="1" s="1"/>
  <c r="AY215" i="1" s="1"/>
  <c r="AZ215" i="1" s="1"/>
  <c r="BA215" i="1" s="1"/>
  <c r="BB215" i="1" s="1"/>
  <c r="BC215" i="1" s="1"/>
  <c r="BD215" i="1" s="1"/>
  <c r="BE215" i="1" s="1"/>
  <c r="BF215" i="1" s="1"/>
  <c r="BG215" i="1" s="1"/>
  <c r="BH215" i="1" s="1"/>
  <c r="BI215" i="1" s="1"/>
  <c r="BJ215" i="1" s="1"/>
  <c r="BK215" i="1" s="1"/>
  <c r="BL215" i="1" s="1"/>
  <c r="BM215" i="1" s="1"/>
  <c r="BN215" i="1" s="1"/>
  <c r="BO215" i="1" s="1"/>
  <c r="BP215" i="1" s="1"/>
  <c r="B216" i="1"/>
  <c r="C216" i="1" s="1"/>
  <c r="D216" i="1" s="1"/>
  <c r="E216" i="1" s="1"/>
  <c r="F216" i="1" s="1"/>
  <c r="G216" i="1" s="1"/>
  <c r="H216" i="1" s="1"/>
  <c r="I216" i="1" s="1"/>
  <c r="J216" i="1" s="1"/>
  <c r="K216" i="1" s="1"/>
  <c r="L216" i="1" s="1"/>
  <c r="M216" i="1" s="1"/>
  <c r="N216" i="1" s="1"/>
  <c r="O216" i="1" s="1"/>
  <c r="P216" i="1" s="1"/>
  <c r="Q216" i="1" s="1"/>
  <c r="R216" i="1" s="1"/>
  <c r="S216" i="1" s="1"/>
  <c r="T216" i="1" s="1"/>
  <c r="U216" i="1" s="1"/>
  <c r="V216" i="1" s="1"/>
  <c r="W216" i="1" s="1"/>
  <c r="X216" i="1" s="1"/>
  <c r="Y216" i="1" s="1"/>
  <c r="Z216" i="1" s="1"/>
  <c r="AA216" i="1" s="1"/>
  <c r="AB216" i="1" s="1"/>
  <c r="AC216" i="1" s="1"/>
  <c r="AD216" i="1" s="1"/>
  <c r="AE216" i="1" s="1"/>
  <c r="AF216" i="1" s="1"/>
  <c r="AG216" i="1" s="1"/>
  <c r="AH216" i="1" s="1"/>
  <c r="AI216" i="1" s="1"/>
  <c r="AJ216" i="1" s="1"/>
  <c r="AK216" i="1" s="1"/>
  <c r="AL216" i="1" s="1"/>
  <c r="AM216" i="1" s="1"/>
  <c r="AN216" i="1" s="1"/>
  <c r="AO216" i="1" s="1"/>
  <c r="AP216" i="1" s="1"/>
  <c r="AQ216" i="1" s="1"/>
  <c r="AR216" i="1" s="1"/>
  <c r="AS216" i="1" s="1"/>
  <c r="AT216" i="1" s="1"/>
  <c r="AU216" i="1" s="1"/>
  <c r="AV216" i="1" s="1"/>
  <c r="AW216" i="1" s="1"/>
  <c r="AX216" i="1" s="1"/>
  <c r="AY216" i="1" s="1"/>
  <c r="AZ216" i="1" s="1"/>
  <c r="BA216" i="1" s="1"/>
  <c r="BB216" i="1" s="1"/>
  <c r="BC216" i="1" s="1"/>
  <c r="BD216" i="1" s="1"/>
  <c r="BE216" i="1" s="1"/>
  <c r="BF216" i="1" s="1"/>
  <c r="BG216" i="1" s="1"/>
  <c r="BH216" i="1" s="1"/>
  <c r="BI216" i="1" s="1"/>
  <c r="BJ216" i="1" s="1"/>
  <c r="BK216" i="1" s="1"/>
  <c r="BL216" i="1" s="1"/>
  <c r="BM216" i="1" s="1"/>
  <c r="BN216" i="1" s="1"/>
  <c r="BO216" i="1" s="1"/>
  <c r="BP216" i="1" s="1"/>
  <c r="B217" i="1"/>
  <c r="C217" i="1" s="1"/>
  <c r="D217" i="1" s="1"/>
  <c r="E217" i="1" s="1"/>
  <c r="F217" i="1" s="1"/>
  <c r="G217" i="1" s="1"/>
  <c r="H217" i="1" s="1"/>
  <c r="I217" i="1" s="1"/>
  <c r="J217" i="1" s="1"/>
  <c r="K217" i="1" s="1"/>
  <c r="L217" i="1" s="1"/>
  <c r="M217" i="1" s="1"/>
  <c r="N217" i="1" s="1"/>
  <c r="O217" i="1" s="1"/>
  <c r="P217" i="1" s="1"/>
  <c r="Q217" i="1" s="1"/>
  <c r="R217" i="1" s="1"/>
  <c r="S217" i="1" s="1"/>
  <c r="T217" i="1" s="1"/>
  <c r="U217" i="1" s="1"/>
  <c r="V217" i="1" s="1"/>
  <c r="W217" i="1" s="1"/>
  <c r="X217" i="1" s="1"/>
  <c r="Y217" i="1" s="1"/>
  <c r="Z217" i="1" s="1"/>
  <c r="AA217" i="1" s="1"/>
  <c r="AB217" i="1" s="1"/>
  <c r="AC217" i="1" s="1"/>
  <c r="AD217" i="1" s="1"/>
  <c r="AE217" i="1" s="1"/>
  <c r="AF217" i="1" s="1"/>
  <c r="AG217" i="1" s="1"/>
  <c r="AH217" i="1" s="1"/>
  <c r="AI217" i="1" s="1"/>
  <c r="AJ217" i="1" s="1"/>
  <c r="AK217" i="1" s="1"/>
  <c r="AL217" i="1" s="1"/>
  <c r="AM217" i="1" s="1"/>
  <c r="AN217" i="1" s="1"/>
  <c r="AO217" i="1" s="1"/>
  <c r="AP217" i="1" s="1"/>
  <c r="AQ217" i="1" s="1"/>
  <c r="AR217" i="1" s="1"/>
  <c r="AS217" i="1" s="1"/>
  <c r="AT217" i="1" s="1"/>
  <c r="AU217" i="1" s="1"/>
  <c r="AV217" i="1" s="1"/>
  <c r="AW217" i="1" s="1"/>
  <c r="AX217" i="1" s="1"/>
  <c r="AY217" i="1" s="1"/>
  <c r="AZ217" i="1" s="1"/>
  <c r="BA217" i="1" s="1"/>
  <c r="BB217" i="1" s="1"/>
  <c r="BC217" i="1" s="1"/>
  <c r="BD217" i="1" s="1"/>
  <c r="BE217" i="1" s="1"/>
  <c r="BF217" i="1" s="1"/>
  <c r="BG217" i="1" s="1"/>
  <c r="BH217" i="1" s="1"/>
  <c r="BI217" i="1" s="1"/>
  <c r="BJ217" i="1" s="1"/>
  <c r="BK217" i="1" s="1"/>
  <c r="BL217" i="1" s="1"/>
  <c r="BM217" i="1" s="1"/>
  <c r="BN217" i="1" s="1"/>
  <c r="BO217" i="1" s="1"/>
  <c r="BP217" i="1" s="1"/>
  <c r="B218" i="1"/>
  <c r="C218" i="1" s="1"/>
  <c r="D218" i="1" s="1"/>
  <c r="E218" i="1" s="1"/>
  <c r="F218" i="1" s="1"/>
  <c r="G218" i="1" s="1"/>
  <c r="H218" i="1" s="1"/>
  <c r="I218" i="1" s="1"/>
  <c r="J218" i="1" s="1"/>
  <c r="K218" i="1" s="1"/>
  <c r="L218" i="1" s="1"/>
  <c r="M218" i="1" s="1"/>
  <c r="N218" i="1" s="1"/>
  <c r="O218" i="1" s="1"/>
  <c r="P218" i="1" s="1"/>
  <c r="Q218" i="1" s="1"/>
  <c r="R218" i="1" s="1"/>
  <c r="S218" i="1" s="1"/>
  <c r="T218" i="1" s="1"/>
  <c r="U218" i="1" s="1"/>
  <c r="V218" i="1" s="1"/>
  <c r="W218" i="1" s="1"/>
  <c r="X218" i="1" s="1"/>
  <c r="Y218" i="1" s="1"/>
  <c r="Z218" i="1" s="1"/>
  <c r="AA218" i="1" s="1"/>
  <c r="AB218" i="1" s="1"/>
  <c r="AC218" i="1" s="1"/>
  <c r="AD218" i="1" s="1"/>
  <c r="AE218" i="1" s="1"/>
  <c r="AF218" i="1" s="1"/>
  <c r="AG218" i="1" s="1"/>
  <c r="AH218" i="1" s="1"/>
  <c r="AI218" i="1" s="1"/>
  <c r="AJ218" i="1" s="1"/>
  <c r="AK218" i="1" s="1"/>
  <c r="AL218" i="1" s="1"/>
  <c r="AM218" i="1" s="1"/>
  <c r="AN218" i="1" s="1"/>
  <c r="AO218" i="1" s="1"/>
  <c r="AP218" i="1" s="1"/>
  <c r="AQ218" i="1" s="1"/>
  <c r="AR218" i="1" s="1"/>
  <c r="AS218" i="1" s="1"/>
  <c r="AT218" i="1" s="1"/>
  <c r="AU218" i="1" s="1"/>
  <c r="AV218" i="1" s="1"/>
  <c r="AW218" i="1" s="1"/>
  <c r="AX218" i="1" s="1"/>
  <c r="AY218" i="1" s="1"/>
  <c r="AZ218" i="1" s="1"/>
  <c r="BA218" i="1" s="1"/>
  <c r="BB218" i="1" s="1"/>
  <c r="BC218" i="1" s="1"/>
  <c r="BD218" i="1" s="1"/>
  <c r="BE218" i="1" s="1"/>
  <c r="BF218" i="1" s="1"/>
  <c r="BG218" i="1" s="1"/>
  <c r="BH218" i="1" s="1"/>
  <c r="BI218" i="1" s="1"/>
  <c r="BJ218" i="1" s="1"/>
  <c r="BK218" i="1" s="1"/>
  <c r="BL218" i="1" s="1"/>
  <c r="BM218" i="1" s="1"/>
  <c r="BN218" i="1" s="1"/>
  <c r="BO218" i="1" s="1"/>
  <c r="BP218" i="1" s="1"/>
  <c r="B219" i="1"/>
  <c r="C219" i="1" s="1"/>
  <c r="D219" i="1" s="1"/>
  <c r="E219" i="1" s="1"/>
  <c r="F219" i="1" s="1"/>
  <c r="G219" i="1" s="1"/>
  <c r="H219" i="1" s="1"/>
  <c r="I219" i="1" s="1"/>
  <c r="J219" i="1" s="1"/>
  <c r="K219" i="1" s="1"/>
  <c r="L219" i="1" s="1"/>
  <c r="M219" i="1" s="1"/>
  <c r="N219" i="1" s="1"/>
  <c r="O219" i="1" s="1"/>
  <c r="P219" i="1" s="1"/>
  <c r="Q219" i="1" s="1"/>
  <c r="R219" i="1" s="1"/>
  <c r="S219" i="1" s="1"/>
  <c r="T219" i="1" s="1"/>
  <c r="U219" i="1" s="1"/>
  <c r="V219" i="1" s="1"/>
  <c r="W219" i="1" s="1"/>
  <c r="X219" i="1" s="1"/>
  <c r="Y219" i="1" s="1"/>
  <c r="Z219" i="1" s="1"/>
  <c r="AA219" i="1" s="1"/>
  <c r="AB219" i="1" s="1"/>
  <c r="AC219" i="1" s="1"/>
  <c r="AD219" i="1" s="1"/>
  <c r="AE219" i="1" s="1"/>
  <c r="AF219" i="1" s="1"/>
  <c r="AG219" i="1" s="1"/>
  <c r="AH219" i="1" s="1"/>
  <c r="AI219" i="1" s="1"/>
  <c r="AJ219" i="1" s="1"/>
  <c r="AK219" i="1" s="1"/>
  <c r="AL219" i="1" s="1"/>
  <c r="AM219" i="1" s="1"/>
  <c r="AN219" i="1" s="1"/>
  <c r="AO219" i="1" s="1"/>
  <c r="AP219" i="1" s="1"/>
  <c r="AQ219" i="1" s="1"/>
  <c r="AR219" i="1" s="1"/>
  <c r="AS219" i="1" s="1"/>
  <c r="AT219" i="1" s="1"/>
  <c r="AU219" i="1" s="1"/>
  <c r="AV219" i="1" s="1"/>
  <c r="AW219" i="1" s="1"/>
  <c r="AX219" i="1" s="1"/>
  <c r="AY219" i="1" s="1"/>
  <c r="AZ219" i="1" s="1"/>
  <c r="BA219" i="1" s="1"/>
  <c r="BB219" i="1" s="1"/>
  <c r="BC219" i="1" s="1"/>
  <c r="BD219" i="1" s="1"/>
  <c r="BE219" i="1" s="1"/>
  <c r="BF219" i="1" s="1"/>
  <c r="BG219" i="1" s="1"/>
  <c r="BH219" i="1" s="1"/>
  <c r="BI219" i="1" s="1"/>
  <c r="BJ219" i="1" s="1"/>
  <c r="BK219" i="1" s="1"/>
  <c r="BL219" i="1" s="1"/>
  <c r="BM219" i="1" s="1"/>
  <c r="BN219" i="1" s="1"/>
  <c r="BO219" i="1" s="1"/>
  <c r="BP219" i="1" s="1"/>
  <c r="B220" i="1"/>
  <c r="C220" i="1" s="1"/>
  <c r="D220" i="1" s="1"/>
  <c r="E220" i="1" s="1"/>
  <c r="F220" i="1" s="1"/>
  <c r="G220" i="1" s="1"/>
  <c r="H220" i="1" s="1"/>
  <c r="I220" i="1" s="1"/>
  <c r="J220" i="1" s="1"/>
  <c r="K220" i="1" s="1"/>
  <c r="L220" i="1" s="1"/>
  <c r="M220" i="1" s="1"/>
  <c r="N220" i="1" s="1"/>
  <c r="O220" i="1" s="1"/>
  <c r="P220" i="1" s="1"/>
  <c r="Q220" i="1" s="1"/>
  <c r="R220" i="1" s="1"/>
  <c r="S220" i="1" s="1"/>
  <c r="T220" i="1" s="1"/>
  <c r="U220" i="1" s="1"/>
  <c r="V220" i="1" s="1"/>
  <c r="W220" i="1" s="1"/>
  <c r="X220" i="1" s="1"/>
  <c r="Y220" i="1" s="1"/>
  <c r="Z220" i="1" s="1"/>
  <c r="AA220" i="1" s="1"/>
  <c r="AB220" i="1" s="1"/>
  <c r="AC220" i="1" s="1"/>
  <c r="AD220" i="1" s="1"/>
  <c r="AE220" i="1" s="1"/>
  <c r="AF220" i="1" s="1"/>
  <c r="AG220" i="1" s="1"/>
  <c r="AH220" i="1" s="1"/>
  <c r="AI220" i="1" s="1"/>
  <c r="AJ220" i="1" s="1"/>
  <c r="AK220" i="1" s="1"/>
  <c r="AL220" i="1" s="1"/>
  <c r="AM220" i="1" s="1"/>
  <c r="AN220" i="1" s="1"/>
  <c r="AO220" i="1" s="1"/>
  <c r="AP220" i="1" s="1"/>
  <c r="AQ220" i="1" s="1"/>
  <c r="AR220" i="1" s="1"/>
  <c r="AS220" i="1" s="1"/>
  <c r="AT220" i="1" s="1"/>
  <c r="AU220" i="1" s="1"/>
  <c r="AV220" i="1" s="1"/>
  <c r="AW220" i="1" s="1"/>
  <c r="AX220" i="1" s="1"/>
  <c r="AY220" i="1" s="1"/>
  <c r="AZ220" i="1" s="1"/>
  <c r="BA220" i="1" s="1"/>
  <c r="BB220" i="1" s="1"/>
  <c r="BC220" i="1" s="1"/>
  <c r="BD220" i="1" s="1"/>
  <c r="BE220" i="1" s="1"/>
  <c r="BF220" i="1" s="1"/>
  <c r="BG220" i="1" s="1"/>
  <c r="BH220" i="1" s="1"/>
  <c r="BI220" i="1" s="1"/>
  <c r="BJ220" i="1" s="1"/>
  <c r="BK220" i="1" s="1"/>
  <c r="BL220" i="1" s="1"/>
  <c r="BM220" i="1" s="1"/>
  <c r="BN220" i="1" s="1"/>
  <c r="BO220" i="1" s="1"/>
  <c r="BP220" i="1" s="1"/>
  <c r="B221" i="1"/>
  <c r="C221" i="1" s="1"/>
  <c r="D221" i="1" s="1"/>
  <c r="E221" i="1" s="1"/>
  <c r="F221" i="1" s="1"/>
  <c r="G221" i="1" s="1"/>
  <c r="H221" i="1" s="1"/>
  <c r="I221" i="1" s="1"/>
  <c r="J221" i="1" s="1"/>
  <c r="K221" i="1" s="1"/>
  <c r="L221" i="1" s="1"/>
  <c r="M221" i="1" s="1"/>
  <c r="N221" i="1" s="1"/>
  <c r="O221" i="1" s="1"/>
  <c r="P221" i="1" s="1"/>
  <c r="Q221" i="1" s="1"/>
  <c r="R221" i="1" s="1"/>
  <c r="S221" i="1" s="1"/>
  <c r="T221" i="1" s="1"/>
  <c r="U221" i="1" s="1"/>
  <c r="V221" i="1" s="1"/>
  <c r="W221" i="1" s="1"/>
  <c r="X221" i="1" s="1"/>
  <c r="Y221" i="1" s="1"/>
  <c r="Z221" i="1" s="1"/>
  <c r="AA221" i="1" s="1"/>
  <c r="AB221" i="1" s="1"/>
  <c r="AC221" i="1" s="1"/>
  <c r="AD221" i="1" s="1"/>
  <c r="AE221" i="1" s="1"/>
  <c r="AF221" i="1" s="1"/>
  <c r="AG221" i="1" s="1"/>
  <c r="AH221" i="1" s="1"/>
  <c r="AI221" i="1" s="1"/>
  <c r="AJ221" i="1" s="1"/>
  <c r="AK221" i="1" s="1"/>
  <c r="AL221" i="1" s="1"/>
  <c r="AM221" i="1" s="1"/>
  <c r="AN221" i="1" s="1"/>
  <c r="AO221" i="1" s="1"/>
  <c r="AP221" i="1" s="1"/>
  <c r="AQ221" i="1" s="1"/>
  <c r="AR221" i="1" s="1"/>
  <c r="AS221" i="1" s="1"/>
  <c r="AT221" i="1" s="1"/>
  <c r="AU221" i="1" s="1"/>
  <c r="AV221" i="1" s="1"/>
  <c r="AW221" i="1" s="1"/>
  <c r="AX221" i="1" s="1"/>
  <c r="AY221" i="1" s="1"/>
  <c r="AZ221" i="1" s="1"/>
  <c r="BA221" i="1" s="1"/>
  <c r="BB221" i="1" s="1"/>
  <c r="BC221" i="1" s="1"/>
  <c r="BD221" i="1" s="1"/>
  <c r="BE221" i="1" s="1"/>
  <c r="BF221" i="1" s="1"/>
  <c r="BG221" i="1" s="1"/>
  <c r="BH221" i="1" s="1"/>
  <c r="BI221" i="1" s="1"/>
  <c r="BJ221" i="1" s="1"/>
  <c r="BK221" i="1" s="1"/>
  <c r="BL221" i="1" s="1"/>
  <c r="BM221" i="1" s="1"/>
  <c r="BN221" i="1" s="1"/>
  <c r="BO221" i="1" s="1"/>
  <c r="BP221" i="1" s="1"/>
  <c r="B222" i="1"/>
  <c r="C222" i="1" s="1"/>
  <c r="D222" i="1" s="1"/>
  <c r="E222" i="1" s="1"/>
  <c r="F222" i="1" s="1"/>
  <c r="G222" i="1" s="1"/>
  <c r="H222" i="1" s="1"/>
  <c r="I222" i="1" s="1"/>
  <c r="J222" i="1" s="1"/>
  <c r="K222" i="1" s="1"/>
  <c r="L222" i="1" s="1"/>
  <c r="M222" i="1" s="1"/>
  <c r="N222" i="1" s="1"/>
  <c r="O222" i="1" s="1"/>
  <c r="P222" i="1" s="1"/>
  <c r="Q222" i="1" s="1"/>
  <c r="R222" i="1" s="1"/>
  <c r="S222" i="1" s="1"/>
  <c r="T222" i="1" s="1"/>
  <c r="U222" i="1" s="1"/>
  <c r="V222" i="1" s="1"/>
  <c r="W222" i="1" s="1"/>
  <c r="X222" i="1" s="1"/>
  <c r="Y222" i="1" s="1"/>
  <c r="Z222" i="1" s="1"/>
  <c r="AA222" i="1" s="1"/>
  <c r="AB222" i="1" s="1"/>
  <c r="AC222" i="1" s="1"/>
  <c r="AD222" i="1" s="1"/>
  <c r="AE222" i="1" s="1"/>
  <c r="AF222" i="1" s="1"/>
  <c r="AG222" i="1" s="1"/>
  <c r="AH222" i="1" s="1"/>
  <c r="AI222" i="1" s="1"/>
  <c r="AJ222" i="1" s="1"/>
  <c r="AK222" i="1" s="1"/>
  <c r="AL222" i="1" s="1"/>
  <c r="AM222" i="1" s="1"/>
  <c r="AN222" i="1" s="1"/>
  <c r="AO222" i="1" s="1"/>
  <c r="AP222" i="1" s="1"/>
  <c r="AQ222" i="1" s="1"/>
  <c r="AR222" i="1" s="1"/>
  <c r="AS222" i="1" s="1"/>
  <c r="AT222" i="1" s="1"/>
  <c r="AU222" i="1" s="1"/>
  <c r="AV222" i="1" s="1"/>
  <c r="AW222" i="1" s="1"/>
  <c r="AX222" i="1" s="1"/>
  <c r="AY222" i="1" s="1"/>
  <c r="AZ222" i="1" s="1"/>
  <c r="BA222" i="1" s="1"/>
  <c r="BB222" i="1" s="1"/>
  <c r="BC222" i="1" s="1"/>
  <c r="BD222" i="1" s="1"/>
  <c r="BE222" i="1" s="1"/>
  <c r="BF222" i="1" s="1"/>
  <c r="BG222" i="1" s="1"/>
  <c r="BH222" i="1" s="1"/>
  <c r="BI222" i="1" s="1"/>
  <c r="BJ222" i="1" s="1"/>
  <c r="BK222" i="1" s="1"/>
  <c r="BL222" i="1" s="1"/>
  <c r="BM222" i="1" s="1"/>
  <c r="BN222" i="1" s="1"/>
  <c r="BO222" i="1" s="1"/>
  <c r="BP222" i="1" s="1"/>
  <c r="B223" i="1"/>
  <c r="C223" i="1" s="1"/>
  <c r="D223" i="1" s="1"/>
  <c r="E223" i="1" s="1"/>
  <c r="F223" i="1" s="1"/>
  <c r="G223" i="1" s="1"/>
  <c r="H223" i="1" s="1"/>
  <c r="I223" i="1" s="1"/>
  <c r="J223" i="1" s="1"/>
  <c r="K223" i="1" s="1"/>
  <c r="L223" i="1" s="1"/>
  <c r="M223" i="1" s="1"/>
  <c r="N223" i="1" s="1"/>
  <c r="O223" i="1" s="1"/>
  <c r="P223" i="1" s="1"/>
  <c r="Q223" i="1" s="1"/>
  <c r="R223" i="1" s="1"/>
  <c r="S223" i="1" s="1"/>
  <c r="T223" i="1" s="1"/>
  <c r="U223" i="1" s="1"/>
  <c r="V223" i="1" s="1"/>
  <c r="W223" i="1" s="1"/>
  <c r="X223" i="1" s="1"/>
  <c r="Y223" i="1" s="1"/>
  <c r="Z223" i="1" s="1"/>
  <c r="AA223" i="1" s="1"/>
  <c r="AB223" i="1" s="1"/>
  <c r="AC223" i="1" s="1"/>
  <c r="AD223" i="1" s="1"/>
  <c r="AE223" i="1" s="1"/>
  <c r="AF223" i="1" s="1"/>
  <c r="AG223" i="1" s="1"/>
  <c r="AH223" i="1" s="1"/>
  <c r="AI223" i="1" s="1"/>
  <c r="AJ223" i="1" s="1"/>
  <c r="AK223" i="1" s="1"/>
  <c r="AL223" i="1" s="1"/>
  <c r="AM223" i="1" s="1"/>
  <c r="AN223" i="1" s="1"/>
  <c r="AO223" i="1" s="1"/>
  <c r="AP223" i="1" s="1"/>
  <c r="AQ223" i="1" s="1"/>
  <c r="AR223" i="1" s="1"/>
  <c r="AS223" i="1" s="1"/>
  <c r="AT223" i="1" s="1"/>
  <c r="AU223" i="1" s="1"/>
  <c r="AV223" i="1" s="1"/>
  <c r="AW223" i="1" s="1"/>
  <c r="AX223" i="1" s="1"/>
  <c r="AY223" i="1" s="1"/>
  <c r="AZ223" i="1" s="1"/>
  <c r="BA223" i="1" s="1"/>
  <c r="BB223" i="1" s="1"/>
  <c r="BC223" i="1" s="1"/>
  <c r="BD223" i="1" s="1"/>
  <c r="BE223" i="1" s="1"/>
  <c r="BF223" i="1" s="1"/>
  <c r="BG223" i="1" s="1"/>
  <c r="BH223" i="1" s="1"/>
  <c r="BI223" i="1" s="1"/>
  <c r="BJ223" i="1" s="1"/>
  <c r="BK223" i="1" s="1"/>
  <c r="BL223" i="1" s="1"/>
  <c r="BM223" i="1" s="1"/>
  <c r="BN223" i="1" s="1"/>
  <c r="BO223" i="1" s="1"/>
  <c r="BP223" i="1" s="1"/>
  <c r="B224" i="1"/>
  <c r="C224" i="1" s="1"/>
  <c r="D224" i="1" s="1"/>
  <c r="E224" i="1" s="1"/>
  <c r="F224" i="1" s="1"/>
  <c r="G224" i="1" s="1"/>
  <c r="H224" i="1" s="1"/>
  <c r="I224" i="1" s="1"/>
  <c r="J224" i="1" s="1"/>
  <c r="K224" i="1" s="1"/>
  <c r="L224" i="1" s="1"/>
  <c r="M224" i="1" s="1"/>
  <c r="N224" i="1" s="1"/>
  <c r="O224" i="1" s="1"/>
  <c r="P224" i="1" s="1"/>
  <c r="Q224" i="1" s="1"/>
  <c r="R224" i="1" s="1"/>
  <c r="S224" i="1" s="1"/>
  <c r="T224" i="1" s="1"/>
  <c r="U224" i="1" s="1"/>
  <c r="V224" i="1" s="1"/>
  <c r="W224" i="1" s="1"/>
  <c r="X224" i="1" s="1"/>
  <c r="Y224" i="1" s="1"/>
  <c r="Z224" i="1" s="1"/>
  <c r="AA224" i="1" s="1"/>
  <c r="AB224" i="1" s="1"/>
  <c r="AC224" i="1" s="1"/>
  <c r="AD224" i="1" s="1"/>
  <c r="AE224" i="1" s="1"/>
  <c r="AF224" i="1" s="1"/>
  <c r="AG224" i="1" s="1"/>
  <c r="AH224" i="1" s="1"/>
  <c r="AI224" i="1" s="1"/>
  <c r="AJ224" i="1" s="1"/>
  <c r="AK224" i="1" s="1"/>
  <c r="AL224" i="1" s="1"/>
  <c r="AM224" i="1" s="1"/>
  <c r="AN224" i="1" s="1"/>
  <c r="AO224" i="1" s="1"/>
  <c r="AP224" i="1" s="1"/>
  <c r="AQ224" i="1" s="1"/>
  <c r="AR224" i="1" s="1"/>
  <c r="AS224" i="1" s="1"/>
  <c r="AT224" i="1" s="1"/>
  <c r="AU224" i="1" s="1"/>
  <c r="AV224" i="1" s="1"/>
  <c r="AW224" i="1" s="1"/>
  <c r="AX224" i="1" s="1"/>
  <c r="AY224" i="1" s="1"/>
  <c r="AZ224" i="1" s="1"/>
  <c r="BA224" i="1" s="1"/>
  <c r="BB224" i="1" s="1"/>
  <c r="BC224" i="1" s="1"/>
  <c r="BD224" i="1" s="1"/>
  <c r="BE224" i="1" s="1"/>
  <c r="BF224" i="1" s="1"/>
  <c r="BG224" i="1" s="1"/>
  <c r="BH224" i="1" s="1"/>
  <c r="BI224" i="1" s="1"/>
  <c r="BJ224" i="1" s="1"/>
  <c r="BK224" i="1" s="1"/>
  <c r="BL224" i="1" s="1"/>
  <c r="BM224" i="1" s="1"/>
  <c r="BN224" i="1" s="1"/>
  <c r="BO224" i="1" s="1"/>
  <c r="BP224" i="1" s="1"/>
  <c r="B225" i="1"/>
  <c r="C225" i="1" s="1"/>
  <c r="D225" i="1" s="1"/>
  <c r="E225" i="1" s="1"/>
  <c r="F225" i="1" s="1"/>
  <c r="G225" i="1" s="1"/>
  <c r="H225" i="1" s="1"/>
  <c r="I225" i="1" s="1"/>
  <c r="J225" i="1" s="1"/>
  <c r="K225" i="1" s="1"/>
  <c r="L225" i="1" s="1"/>
  <c r="M225" i="1" s="1"/>
  <c r="N225" i="1" s="1"/>
  <c r="O225" i="1" s="1"/>
  <c r="P225" i="1" s="1"/>
  <c r="Q225" i="1" s="1"/>
  <c r="R225" i="1" s="1"/>
  <c r="S225" i="1" s="1"/>
  <c r="T225" i="1" s="1"/>
  <c r="U225" i="1" s="1"/>
  <c r="V225" i="1" s="1"/>
  <c r="W225" i="1" s="1"/>
  <c r="X225" i="1" s="1"/>
  <c r="Y225" i="1" s="1"/>
  <c r="Z225" i="1" s="1"/>
  <c r="AA225" i="1" s="1"/>
  <c r="AB225" i="1" s="1"/>
  <c r="AC225" i="1" s="1"/>
  <c r="AD225" i="1" s="1"/>
  <c r="AE225" i="1" s="1"/>
  <c r="AF225" i="1" s="1"/>
  <c r="AG225" i="1" s="1"/>
  <c r="AH225" i="1" s="1"/>
  <c r="AI225" i="1" s="1"/>
  <c r="AJ225" i="1" s="1"/>
  <c r="AK225" i="1" s="1"/>
  <c r="AL225" i="1" s="1"/>
  <c r="AM225" i="1" s="1"/>
  <c r="AN225" i="1" s="1"/>
  <c r="AO225" i="1" s="1"/>
  <c r="AP225" i="1" s="1"/>
  <c r="AQ225" i="1" s="1"/>
  <c r="AR225" i="1" s="1"/>
  <c r="AS225" i="1" s="1"/>
  <c r="AT225" i="1" s="1"/>
  <c r="AU225" i="1" s="1"/>
  <c r="AV225" i="1" s="1"/>
  <c r="AW225" i="1" s="1"/>
  <c r="AX225" i="1" s="1"/>
  <c r="AY225" i="1" s="1"/>
  <c r="AZ225" i="1" s="1"/>
  <c r="BA225" i="1" s="1"/>
  <c r="BB225" i="1" s="1"/>
  <c r="BC225" i="1" s="1"/>
  <c r="BD225" i="1" s="1"/>
  <c r="BE225" i="1" s="1"/>
  <c r="BF225" i="1" s="1"/>
  <c r="BG225" i="1" s="1"/>
  <c r="BH225" i="1" s="1"/>
  <c r="BI225" i="1" s="1"/>
  <c r="BJ225" i="1" s="1"/>
  <c r="BK225" i="1" s="1"/>
  <c r="BL225" i="1" s="1"/>
  <c r="BM225" i="1" s="1"/>
  <c r="BN225" i="1" s="1"/>
  <c r="BO225" i="1" s="1"/>
  <c r="BP225" i="1" s="1"/>
  <c r="B226" i="1"/>
  <c r="C226" i="1" s="1"/>
  <c r="D226" i="1" s="1"/>
  <c r="E226" i="1" s="1"/>
  <c r="F226" i="1" s="1"/>
  <c r="G226" i="1" s="1"/>
  <c r="H226" i="1" s="1"/>
  <c r="I226" i="1" s="1"/>
  <c r="J226" i="1" s="1"/>
  <c r="K226" i="1" s="1"/>
  <c r="L226" i="1" s="1"/>
  <c r="M226" i="1" s="1"/>
  <c r="N226" i="1" s="1"/>
  <c r="O226" i="1" s="1"/>
  <c r="P226" i="1" s="1"/>
  <c r="Q226" i="1" s="1"/>
  <c r="R226" i="1" s="1"/>
  <c r="S226" i="1" s="1"/>
  <c r="T226" i="1" s="1"/>
  <c r="U226" i="1" s="1"/>
  <c r="V226" i="1" s="1"/>
  <c r="W226" i="1" s="1"/>
  <c r="X226" i="1" s="1"/>
  <c r="Y226" i="1" s="1"/>
  <c r="Z226" i="1" s="1"/>
  <c r="AA226" i="1" s="1"/>
  <c r="AB226" i="1" s="1"/>
  <c r="AC226" i="1" s="1"/>
  <c r="AD226" i="1" s="1"/>
  <c r="AE226" i="1" s="1"/>
  <c r="AF226" i="1" s="1"/>
  <c r="AG226" i="1" s="1"/>
  <c r="AH226" i="1" s="1"/>
  <c r="AI226" i="1" s="1"/>
  <c r="AJ226" i="1" s="1"/>
  <c r="AK226" i="1" s="1"/>
  <c r="AL226" i="1" s="1"/>
  <c r="AM226" i="1" s="1"/>
  <c r="AN226" i="1" s="1"/>
  <c r="AO226" i="1" s="1"/>
  <c r="AP226" i="1" s="1"/>
  <c r="AQ226" i="1" s="1"/>
  <c r="AR226" i="1" s="1"/>
  <c r="AS226" i="1" s="1"/>
  <c r="AT226" i="1" s="1"/>
  <c r="AU226" i="1" s="1"/>
  <c r="AV226" i="1" s="1"/>
  <c r="AW226" i="1" s="1"/>
  <c r="AX226" i="1" s="1"/>
  <c r="AY226" i="1" s="1"/>
  <c r="AZ226" i="1" s="1"/>
  <c r="BA226" i="1" s="1"/>
  <c r="BB226" i="1" s="1"/>
  <c r="BC226" i="1" s="1"/>
  <c r="BD226" i="1" s="1"/>
  <c r="BE226" i="1" s="1"/>
  <c r="BF226" i="1" s="1"/>
  <c r="BG226" i="1" s="1"/>
  <c r="BH226" i="1" s="1"/>
  <c r="BI226" i="1" s="1"/>
  <c r="BJ226" i="1" s="1"/>
  <c r="BK226" i="1" s="1"/>
  <c r="BL226" i="1" s="1"/>
  <c r="BM226" i="1" s="1"/>
  <c r="BN226" i="1" s="1"/>
  <c r="BO226" i="1" s="1"/>
  <c r="BP226" i="1" s="1"/>
  <c r="B227" i="1"/>
  <c r="C227" i="1" s="1"/>
  <c r="D227" i="1" s="1"/>
  <c r="E227" i="1" s="1"/>
  <c r="F227" i="1" s="1"/>
  <c r="G227" i="1" s="1"/>
  <c r="H227" i="1" s="1"/>
  <c r="I227" i="1" s="1"/>
  <c r="J227" i="1" s="1"/>
  <c r="K227" i="1" s="1"/>
  <c r="L227" i="1" s="1"/>
  <c r="M227" i="1" s="1"/>
  <c r="N227" i="1" s="1"/>
  <c r="O227" i="1" s="1"/>
  <c r="P227" i="1" s="1"/>
  <c r="Q227" i="1" s="1"/>
  <c r="R227" i="1" s="1"/>
  <c r="S227" i="1" s="1"/>
  <c r="T227" i="1" s="1"/>
  <c r="U227" i="1" s="1"/>
  <c r="V227" i="1" s="1"/>
  <c r="W227" i="1" s="1"/>
  <c r="X227" i="1" s="1"/>
  <c r="Y227" i="1" s="1"/>
  <c r="Z227" i="1" s="1"/>
  <c r="AA227" i="1" s="1"/>
  <c r="AB227" i="1" s="1"/>
  <c r="AC227" i="1" s="1"/>
  <c r="AD227" i="1" s="1"/>
  <c r="AE227" i="1" s="1"/>
  <c r="AF227" i="1" s="1"/>
  <c r="AG227" i="1" s="1"/>
  <c r="AH227" i="1" s="1"/>
  <c r="AI227" i="1" s="1"/>
  <c r="AJ227" i="1" s="1"/>
  <c r="AK227" i="1" s="1"/>
  <c r="AL227" i="1" s="1"/>
  <c r="AM227" i="1" s="1"/>
  <c r="AN227" i="1" s="1"/>
  <c r="AO227" i="1" s="1"/>
  <c r="AP227" i="1" s="1"/>
  <c r="AQ227" i="1" s="1"/>
  <c r="AR227" i="1" s="1"/>
  <c r="AS227" i="1" s="1"/>
  <c r="AT227" i="1" s="1"/>
  <c r="AU227" i="1" s="1"/>
  <c r="AV227" i="1" s="1"/>
  <c r="AW227" i="1" s="1"/>
  <c r="AX227" i="1" s="1"/>
  <c r="AY227" i="1" s="1"/>
  <c r="AZ227" i="1" s="1"/>
  <c r="BA227" i="1" s="1"/>
  <c r="BB227" i="1" s="1"/>
  <c r="BC227" i="1" s="1"/>
  <c r="BD227" i="1" s="1"/>
  <c r="BE227" i="1" s="1"/>
  <c r="BF227" i="1" s="1"/>
  <c r="BG227" i="1" s="1"/>
  <c r="BH227" i="1" s="1"/>
  <c r="BI227" i="1" s="1"/>
  <c r="BJ227" i="1" s="1"/>
  <c r="BK227" i="1" s="1"/>
  <c r="BL227" i="1" s="1"/>
  <c r="BM227" i="1" s="1"/>
  <c r="BN227" i="1" s="1"/>
  <c r="BO227" i="1" s="1"/>
  <c r="BP227" i="1" s="1"/>
  <c r="B228" i="1"/>
  <c r="C228" i="1" s="1"/>
  <c r="D228" i="1" s="1"/>
  <c r="E228" i="1" s="1"/>
  <c r="F228" i="1" s="1"/>
  <c r="G228" i="1" s="1"/>
  <c r="H228" i="1" s="1"/>
  <c r="I228" i="1" s="1"/>
  <c r="J228" i="1" s="1"/>
  <c r="K228" i="1" s="1"/>
  <c r="L228" i="1" s="1"/>
  <c r="M228" i="1" s="1"/>
  <c r="N228" i="1" s="1"/>
  <c r="O228" i="1" s="1"/>
  <c r="P228" i="1" s="1"/>
  <c r="Q228" i="1" s="1"/>
  <c r="R228" i="1" s="1"/>
  <c r="S228" i="1" s="1"/>
  <c r="T228" i="1" s="1"/>
  <c r="U228" i="1" s="1"/>
  <c r="V228" i="1" s="1"/>
  <c r="W228" i="1" s="1"/>
  <c r="X228" i="1" s="1"/>
  <c r="Y228" i="1" s="1"/>
  <c r="Z228" i="1" s="1"/>
  <c r="AA228" i="1" s="1"/>
  <c r="AB228" i="1" s="1"/>
  <c r="AC228" i="1" s="1"/>
  <c r="AD228" i="1" s="1"/>
  <c r="AE228" i="1" s="1"/>
  <c r="AF228" i="1" s="1"/>
  <c r="AG228" i="1" s="1"/>
  <c r="AH228" i="1" s="1"/>
  <c r="AI228" i="1" s="1"/>
  <c r="AJ228" i="1" s="1"/>
  <c r="AK228" i="1" s="1"/>
  <c r="AL228" i="1" s="1"/>
  <c r="AM228" i="1" s="1"/>
  <c r="AN228" i="1" s="1"/>
  <c r="AO228" i="1" s="1"/>
  <c r="AP228" i="1" s="1"/>
  <c r="AQ228" i="1" s="1"/>
  <c r="AR228" i="1" s="1"/>
  <c r="AS228" i="1" s="1"/>
  <c r="AT228" i="1" s="1"/>
  <c r="AU228" i="1" s="1"/>
  <c r="AV228" i="1" s="1"/>
  <c r="AW228" i="1" s="1"/>
  <c r="AX228" i="1" s="1"/>
  <c r="AY228" i="1" s="1"/>
  <c r="AZ228" i="1" s="1"/>
  <c r="BA228" i="1" s="1"/>
  <c r="BB228" i="1" s="1"/>
  <c r="BC228" i="1" s="1"/>
  <c r="BD228" i="1" s="1"/>
  <c r="BE228" i="1" s="1"/>
  <c r="BF228" i="1" s="1"/>
  <c r="BG228" i="1" s="1"/>
  <c r="BH228" i="1" s="1"/>
  <c r="BI228" i="1" s="1"/>
  <c r="BJ228" i="1" s="1"/>
  <c r="BK228" i="1" s="1"/>
  <c r="BL228" i="1" s="1"/>
  <c r="BM228" i="1" s="1"/>
  <c r="BN228" i="1" s="1"/>
  <c r="BO228" i="1" s="1"/>
  <c r="BP228" i="1" s="1"/>
  <c r="B229" i="1"/>
  <c r="C229" i="1" s="1"/>
  <c r="D229" i="1" s="1"/>
  <c r="E229" i="1" s="1"/>
  <c r="F229" i="1" s="1"/>
  <c r="G229" i="1" s="1"/>
  <c r="H229" i="1" s="1"/>
  <c r="I229" i="1" s="1"/>
  <c r="J229" i="1" s="1"/>
  <c r="K229" i="1" s="1"/>
  <c r="L229" i="1" s="1"/>
  <c r="M229" i="1" s="1"/>
  <c r="N229" i="1" s="1"/>
  <c r="O229" i="1" s="1"/>
  <c r="P229" i="1" s="1"/>
  <c r="Q229" i="1" s="1"/>
  <c r="R229" i="1" s="1"/>
  <c r="S229" i="1" s="1"/>
  <c r="T229" i="1" s="1"/>
  <c r="U229" i="1" s="1"/>
  <c r="V229" i="1" s="1"/>
  <c r="W229" i="1" s="1"/>
  <c r="X229" i="1" s="1"/>
  <c r="Y229" i="1" s="1"/>
  <c r="Z229" i="1" s="1"/>
  <c r="AA229" i="1" s="1"/>
  <c r="AB229" i="1" s="1"/>
  <c r="AC229" i="1" s="1"/>
  <c r="AD229" i="1" s="1"/>
  <c r="AE229" i="1" s="1"/>
  <c r="AF229" i="1" s="1"/>
  <c r="AG229" i="1" s="1"/>
  <c r="AH229" i="1" s="1"/>
  <c r="AI229" i="1" s="1"/>
  <c r="AJ229" i="1" s="1"/>
  <c r="AK229" i="1" s="1"/>
  <c r="AL229" i="1" s="1"/>
  <c r="AM229" i="1" s="1"/>
  <c r="AN229" i="1" s="1"/>
  <c r="AO229" i="1" s="1"/>
  <c r="AP229" i="1" s="1"/>
  <c r="AQ229" i="1" s="1"/>
  <c r="AR229" i="1" s="1"/>
  <c r="AS229" i="1" s="1"/>
  <c r="AT229" i="1" s="1"/>
  <c r="AU229" i="1" s="1"/>
  <c r="AV229" i="1" s="1"/>
  <c r="AW229" i="1" s="1"/>
  <c r="AX229" i="1" s="1"/>
  <c r="AY229" i="1" s="1"/>
  <c r="AZ229" i="1" s="1"/>
  <c r="BA229" i="1" s="1"/>
  <c r="BB229" i="1" s="1"/>
  <c r="BC229" i="1" s="1"/>
  <c r="BD229" i="1" s="1"/>
  <c r="BE229" i="1" s="1"/>
  <c r="BF229" i="1" s="1"/>
  <c r="BG229" i="1" s="1"/>
  <c r="BH229" i="1" s="1"/>
  <c r="BI229" i="1" s="1"/>
  <c r="BJ229" i="1" s="1"/>
  <c r="BK229" i="1" s="1"/>
  <c r="BL229" i="1" s="1"/>
  <c r="BM229" i="1" s="1"/>
  <c r="BN229" i="1" s="1"/>
  <c r="BO229" i="1" s="1"/>
  <c r="BP229" i="1" s="1"/>
  <c r="B230" i="1"/>
  <c r="C230" i="1" s="1"/>
  <c r="D230" i="1" s="1"/>
  <c r="E230" i="1" s="1"/>
  <c r="F230" i="1" s="1"/>
  <c r="G230" i="1" s="1"/>
  <c r="H230" i="1" s="1"/>
  <c r="I230" i="1" s="1"/>
  <c r="J230" i="1" s="1"/>
  <c r="K230" i="1" s="1"/>
  <c r="L230" i="1" s="1"/>
  <c r="M230" i="1" s="1"/>
  <c r="N230" i="1" s="1"/>
  <c r="O230" i="1" s="1"/>
  <c r="P230" i="1" s="1"/>
  <c r="Q230" i="1" s="1"/>
  <c r="R230" i="1" s="1"/>
  <c r="S230" i="1" s="1"/>
  <c r="T230" i="1" s="1"/>
  <c r="U230" i="1" s="1"/>
  <c r="V230" i="1" s="1"/>
  <c r="W230" i="1" s="1"/>
  <c r="X230" i="1" s="1"/>
  <c r="Y230" i="1" s="1"/>
  <c r="Z230" i="1" s="1"/>
  <c r="AA230" i="1" s="1"/>
  <c r="AB230" i="1" s="1"/>
  <c r="AC230" i="1" s="1"/>
  <c r="AD230" i="1" s="1"/>
  <c r="AE230" i="1" s="1"/>
  <c r="AF230" i="1" s="1"/>
  <c r="AG230" i="1" s="1"/>
  <c r="AH230" i="1" s="1"/>
  <c r="AI230" i="1" s="1"/>
  <c r="AJ230" i="1" s="1"/>
  <c r="AK230" i="1" s="1"/>
  <c r="AL230" i="1" s="1"/>
  <c r="AM230" i="1" s="1"/>
  <c r="AN230" i="1" s="1"/>
  <c r="AO230" i="1" s="1"/>
  <c r="AP230" i="1" s="1"/>
  <c r="AQ230" i="1" s="1"/>
  <c r="AR230" i="1" s="1"/>
  <c r="AS230" i="1" s="1"/>
  <c r="AT230" i="1" s="1"/>
  <c r="AU230" i="1" s="1"/>
  <c r="AV230" i="1" s="1"/>
  <c r="AW230" i="1" s="1"/>
  <c r="AX230" i="1" s="1"/>
  <c r="AY230" i="1" s="1"/>
  <c r="AZ230" i="1" s="1"/>
  <c r="BA230" i="1" s="1"/>
  <c r="BB230" i="1" s="1"/>
  <c r="BC230" i="1" s="1"/>
  <c r="BD230" i="1" s="1"/>
  <c r="BE230" i="1" s="1"/>
  <c r="BF230" i="1" s="1"/>
  <c r="BG230" i="1" s="1"/>
  <c r="BH230" i="1" s="1"/>
  <c r="BI230" i="1" s="1"/>
  <c r="BJ230" i="1" s="1"/>
  <c r="BK230" i="1" s="1"/>
  <c r="BL230" i="1" s="1"/>
  <c r="BM230" i="1" s="1"/>
  <c r="BN230" i="1" s="1"/>
  <c r="BO230" i="1" s="1"/>
  <c r="BP230" i="1" s="1"/>
  <c r="B231" i="1"/>
  <c r="C231" i="1" s="1"/>
  <c r="D231" i="1" s="1"/>
  <c r="E231" i="1" s="1"/>
  <c r="F231" i="1" s="1"/>
  <c r="G231" i="1" s="1"/>
  <c r="H231" i="1" s="1"/>
  <c r="I231" i="1" s="1"/>
  <c r="J231" i="1" s="1"/>
  <c r="K231" i="1" s="1"/>
  <c r="L231" i="1" s="1"/>
  <c r="M231" i="1" s="1"/>
  <c r="N231" i="1" s="1"/>
  <c r="O231" i="1" s="1"/>
  <c r="P231" i="1" s="1"/>
  <c r="Q231" i="1" s="1"/>
  <c r="R231" i="1" s="1"/>
  <c r="S231" i="1" s="1"/>
  <c r="T231" i="1" s="1"/>
  <c r="U231" i="1" s="1"/>
  <c r="V231" i="1" s="1"/>
  <c r="W231" i="1" s="1"/>
  <c r="X231" i="1" s="1"/>
  <c r="Y231" i="1" s="1"/>
  <c r="Z231" i="1" s="1"/>
  <c r="AA231" i="1" s="1"/>
  <c r="AB231" i="1" s="1"/>
  <c r="AC231" i="1" s="1"/>
  <c r="AD231" i="1" s="1"/>
  <c r="AE231" i="1" s="1"/>
  <c r="AF231" i="1" s="1"/>
  <c r="AG231" i="1" s="1"/>
  <c r="AH231" i="1" s="1"/>
  <c r="AI231" i="1" s="1"/>
  <c r="AJ231" i="1" s="1"/>
  <c r="AK231" i="1" s="1"/>
  <c r="AL231" i="1" s="1"/>
  <c r="AM231" i="1" s="1"/>
  <c r="AN231" i="1" s="1"/>
  <c r="AO231" i="1" s="1"/>
  <c r="AP231" i="1" s="1"/>
  <c r="AQ231" i="1" s="1"/>
  <c r="AR231" i="1" s="1"/>
  <c r="AS231" i="1" s="1"/>
  <c r="AT231" i="1" s="1"/>
  <c r="AU231" i="1" s="1"/>
  <c r="AV231" i="1" s="1"/>
  <c r="AW231" i="1" s="1"/>
  <c r="AX231" i="1" s="1"/>
  <c r="AY231" i="1" s="1"/>
  <c r="AZ231" i="1" s="1"/>
  <c r="BA231" i="1" s="1"/>
  <c r="BB231" i="1" s="1"/>
  <c r="BC231" i="1" s="1"/>
  <c r="BD231" i="1" s="1"/>
  <c r="BE231" i="1" s="1"/>
  <c r="BF231" i="1" s="1"/>
  <c r="BG231" i="1" s="1"/>
  <c r="BH231" i="1" s="1"/>
  <c r="BI231" i="1" s="1"/>
  <c r="BJ231" i="1" s="1"/>
  <c r="BK231" i="1" s="1"/>
  <c r="BL231" i="1" s="1"/>
  <c r="BM231" i="1" s="1"/>
  <c r="BN231" i="1" s="1"/>
  <c r="BO231" i="1" s="1"/>
  <c r="BP231" i="1" s="1"/>
  <c r="B232" i="1"/>
  <c r="C232" i="1" s="1"/>
  <c r="D232" i="1" s="1"/>
  <c r="E232" i="1" s="1"/>
  <c r="F232" i="1" s="1"/>
  <c r="G232" i="1" s="1"/>
  <c r="H232" i="1" s="1"/>
  <c r="I232" i="1" s="1"/>
  <c r="J232" i="1" s="1"/>
  <c r="K232" i="1" s="1"/>
  <c r="L232" i="1" s="1"/>
  <c r="M232" i="1" s="1"/>
  <c r="N232" i="1" s="1"/>
  <c r="O232" i="1" s="1"/>
  <c r="P232" i="1" s="1"/>
  <c r="Q232" i="1" s="1"/>
  <c r="R232" i="1" s="1"/>
  <c r="S232" i="1" s="1"/>
  <c r="T232" i="1" s="1"/>
  <c r="U232" i="1" s="1"/>
  <c r="V232" i="1" s="1"/>
  <c r="W232" i="1" s="1"/>
  <c r="X232" i="1" s="1"/>
  <c r="Y232" i="1" s="1"/>
  <c r="Z232" i="1" s="1"/>
  <c r="AA232" i="1" s="1"/>
  <c r="AB232" i="1" s="1"/>
  <c r="AC232" i="1" s="1"/>
  <c r="AD232" i="1" s="1"/>
  <c r="AE232" i="1" s="1"/>
  <c r="AF232" i="1" s="1"/>
  <c r="AG232" i="1" s="1"/>
  <c r="AH232" i="1" s="1"/>
  <c r="AI232" i="1" s="1"/>
  <c r="AJ232" i="1" s="1"/>
  <c r="AK232" i="1" s="1"/>
  <c r="AL232" i="1" s="1"/>
  <c r="AM232" i="1" s="1"/>
  <c r="AN232" i="1" s="1"/>
  <c r="AO232" i="1" s="1"/>
  <c r="AP232" i="1" s="1"/>
  <c r="AQ232" i="1" s="1"/>
  <c r="AR232" i="1" s="1"/>
  <c r="AS232" i="1" s="1"/>
  <c r="AT232" i="1" s="1"/>
  <c r="AU232" i="1" s="1"/>
  <c r="AV232" i="1" s="1"/>
  <c r="AW232" i="1" s="1"/>
  <c r="AX232" i="1" s="1"/>
  <c r="AY232" i="1" s="1"/>
  <c r="AZ232" i="1" s="1"/>
  <c r="BA232" i="1" s="1"/>
  <c r="BB232" i="1" s="1"/>
  <c r="BC232" i="1" s="1"/>
  <c r="BD232" i="1" s="1"/>
  <c r="BE232" i="1" s="1"/>
  <c r="BF232" i="1" s="1"/>
  <c r="BG232" i="1" s="1"/>
  <c r="BH232" i="1" s="1"/>
  <c r="BI232" i="1" s="1"/>
  <c r="BJ232" i="1" s="1"/>
  <c r="BK232" i="1" s="1"/>
  <c r="BL232" i="1" s="1"/>
  <c r="BM232" i="1" s="1"/>
  <c r="BN232" i="1" s="1"/>
  <c r="BO232" i="1" s="1"/>
  <c r="BP232" i="1" s="1"/>
  <c r="B233" i="1"/>
  <c r="C233" i="1" s="1"/>
  <c r="D233" i="1" s="1"/>
  <c r="E233" i="1" s="1"/>
  <c r="F233" i="1" s="1"/>
  <c r="G233" i="1" s="1"/>
  <c r="H233" i="1" s="1"/>
  <c r="I233" i="1" s="1"/>
  <c r="J233" i="1" s="1"/>
  <c r="K233" i="1" s="1"/>
  <c r="L233" i="1" s="1"/>
  <c r="M233" i="1" s="1"/>
  <c r="N233" i="1" s="1"/>
  <c r="O233" i="1" s="1"/>
  <c r="P233" i="1" s="1"/>
  <c r="Q233" i="1" s="1"/>
  <c r="R233" i="1" s="1"/>
  <c r="S233" i="1" s="1"/>
  <c r="T233" i="1" s="1"/>
  <c r="U233" i="1" s="1"/>
  <c r="V233" i="1" s="1"/>
  <c r="W233" i="1" s="1"/>
  <c r="X233" i="1" s="1"/>
  <c r="Y233" i="1" s="1"/>
  <c r="Z233" i="1" s="1"/>
  <c r="AA233" i="1" s="1"/>
  <c r="AB233" i="1" s="1"/>
  <c r="AC233" i="1" s="1"/>
  <c r="AD233" i="1" s="1"/>
  <c r="AE233" i="1" s="1"/>
  <c r="AF233" i="1" s="1"/>
  <c r="AG233" i="1" s="1"/>
  <c r="AH233" i="1" s="1"/>
  <c r="AI233" i="1" s="1"/>
  <c r="AJ233" i="1" s="1"/>
  <c r="AK233" i="1" s="1"/>
  <c r="AL233" i="1" s="1"/>
  <c r="AM233" i="1" s="1"/>
  <c r="AN233" i="1" s="1"/>
  <c r="AO233" i="1" s="1"/>
  <c r="AP233" i="1" s="1"/>
  <c r="AQ233" i="1" s="1"/>
  <c r="AR233" i="1" s="1"/>
  <c r="AS233" i="1" s="1"/>
  <c r="AT233" i="1" s="1"/>
  <c r="AU233" i="1" s="1"/>
  <c r="AV233" i="1" s="1"/>
  <c r="AW233" i="1" s="1"/>
  <c r="AX233" i="1" s="1"/>
  <c r="AY233" i="1" s="1"/>
  <c r="AZ233" i="1" s="1"/>
  <c r="BA233" i="1" s="1"/>
  <c r="BB233" i="1" s="1"/>
  <c r="BC233" i="1" s="1"/>
  <c r="BD233" i="1" s="1"/>
  <c r="BE233" i="1" s="1"/>
  <c r="BF233" i="1" s="1"/>
  <c r="BG233" i="1" s="1"/>
  <c r="BH233" i="1" s="1"/>
  <c r="BI233" i="1" s="1"/>
  <c r="BJ233" i="1" s="1"/>
  <c r="BK233" i="1" s="1"/>
  <c r="BL233" i="1" s="1"/>
  <c r="BM233" i="1" s="1"/>
  <c r="BN233" i="1" s="1"/>
  <c r="BO233" i="1" s="1"/>
  <c r="BP233" i="1" s="1"/>
  <c r="B234" i="1"/>
  <c r="C234" i="1" s="1"/>
  <c r="D234" i="1" s="1"/>
  <c r="E234" i="1" s="1"/>
  <c r="F234" i="1" s="1"/>
  <c r="G234" i="1" s="1"/>
  <c r="H234" i="1" s="1"/>
  <c r="I234" i="1" s="1"/>
  <c r="J234" i="1" s="1"/>
  <c r="K234" i="1" s="1"/>
  <c r="L234" i="1" s="1"/>
  <c r="M234" i="1" s="1"/>
  <c r="N234" i="1" s="1"/>
  <c r="O234" i="1" s="1"/>
  <c r="P234" i="1" s="1"/>
  <c r="Q234" i="1" s="1"/>
  <c r="R234" i="1" s="1"/>
  <c r="S234" i="1" s="1"/>
  <c r="T234" i="1" s="1"/>
  <c r="U234" i="1" s="1"/>
  <c r="V234" i="1" s="1"/>
  <c r="W234" i="1" s="1"/>
  <c r="X234" i="1" s="1"/>
  <c r="Y234" i="1" s="1"/>
  <c r="Z234" i="1" s="1"/>
  <c r="AA234" i="1" s="1"/>
  <c r="AB234" i="1" s="1"/>
  <c r="AC234" i="1" s="1"/>
  <c r="AD234" i="1" s="1"/>
  <c r="AE234" i="1" s="1"/>
  <c r="AF234" i="1" s="1"/>
  <c r="AG234" i="1" s="1"/>
  <c r="AH234" i="1" s="1"/>
  <c r="AI234" i="1" s="1"/>
  <c r="AJ234" i="1" s="1"/>
  <c r="AK234" i="1" s="1"/>
  <c r="AL234" i="1" s="1"/>
  <c r="AM234" i="1" s="1"/>
  <c r="AN234" i="1" s="1"/>
  <c r="AO234" i="1" s="1"/>
  <c r="AP234" i="1" s="1"/>
  <c r="AQ234" i="1" s="1"/>
  <c r="AR234" i="1" s="1"/>
  <c r="AS234" i="1" s="1"/>
  <c r="AT234" i="1" s="1"/>
  <c r="AU234" i="1" s="1"/>
  <c r="AV234" i="1" s="1"/>
  <c r="AW234" i="1" s="1"/>
  <c r="AX234" i="1" s="1"/>
  <c r="AY234" i="1" s="1"/>
  <c r="AZ234" i="1" s="1"/>
  <c r="BA234" i="1" s="1"/>
  <c r="BB234" i="1" s="1"/>
  <c r="BC234" i="1" s="1"/>
  <c r="BD234" i="1" s="1"/>
  <c r="BE234" i="1" s="1"/>
  <c r="BF234" i="1" s="1"/>
  <c r="BG234" i="1" s="1"/>
  <c r="BH234" i="1" s="1"/>
  <c r="BI234" i="1" s="1"/>
  <c r="BJ234" i="1" s="1"/>
  <c r="BK234" i="1" s="1"/>
  <c r="BL234" i="1" s="1"/>
  <c r="BM234" i="1" s="1"/>
  <c r="BN234" i="1" s="1"/>
  <c r="BO234" i="1" s="1"/>
  <c r="BP234" i="1" s="1"/>
  <c r="B235" i="1"/>
  <c r="C235" i="1" s="1"/>
  <c r="D235" i="1" s="1"/>
  <c r="E235" i="1" s="1"/>
  <c r="F235" i="1" s="1"/>
  <c r="G235" i="1" s="1"/>
  <c r="H235" i="1" s="1"/>
  <c r="I235" i="1" s="1"/>
  <c r="J235" i="1" s="1"/>
  <c r="K235" i="1" s="1"/>
  <c r="L235" i="1" s="1"/>
  <c r="M235" i="1" s="1"/>
  <c r="N235" i="1" s="1"/>
  <c r="O235" i="1" s="1"/>
  <c r="P235" i="1" s="1"/>
  <c r="Q235" i="1" s="1"/>
  <c r="R235" i="1" s="1"/>
  <c r="S235" i="1" s="1"/>
  <c r="T235" i="1" s="1"/>
  <c r="U235" i="1" s="1"/>
  <c r="V235" i="1" s="1"/>
  <c r="W235" i="1" s="1"/>
  <c r="X235" i="1" s="1"/>
  <c r="Y235" i="1" s="1"/>
  <c r="Z235" i="1" s="1"/>
  <c r="AA235" i="1" s="1"/>
  <c r="AB235" i="1" s="1"/>
  <c r="AC235" i="1" s="1"/>
  <c r="AD235" i="1" s="1"/>
  <c r="AE235" i="1" s="1"/>
  <c r="AF235" i="1" s="1"/>
  <c r="AG235" i="1" s="1"/>
  <c r="AH235" i="1" s="1"/>
  <c r="AI235" i="1" s="1"/>
  <c r="AJ235" i="1" s="1"/>
  <c r="AK235" i="1" s="1"/>
  <c r="AL235" i="1" s="1"/>
  <c r="AM235" i="1" s="1"/>
  <c r="AN235" i="1" s="1"/>
  <c r="AO235" i="1" s="1"/>
  <c r="AP235" i="1" s="1"/>
  <c r="AQ235" i="1" s="1"/>
  <c r="AR235" i="1" s="1"/>
  <c r="AS235" i="1" s="1"/>
  <c r="AT235" i="1" s="1"/>
  <c r="AU235" i="1" s="1"/>
  <c r="AV235" i="1" s="1"/>
  <c r="AW235" i="1" s="1"/>
  <c r="AX235" i="1" s="1"/>
  <c r="AY235" i="1" s="1"/>
  <c r="AZ235" i="1" s="1"/>
  <c r="BA235" i="1" s="1"/>
  <c r="BB235" i="1" s="1"/>
  <c r="BC235" i="1" s="1"/>
  <c r="BD235" i="1" s="1"/>
  <c r="BE235" i="1" s="1"/>
  <c r="BF235" i="1" s="1"/>
  <c r="BG235" i="1" s="1"/>
  <c r="BH235" i="1" s="1"/>
  <c r="BI235" i="1" s="1"/>
  <c r="BJ235" i="1" s="1"/>
  <c r="BK235" i="1" s="1"/>
  <c r="BL235" i="1" s="1"/>
  <c r="BM235" i="1" s="1"/>
  <c r="BN235" i="1" s="1"/>
  <c r="BO235" i="1" s="1"/>
  <c r="BP235" i="1" s="1"/>
  <c r="B236" i="1"/>
  <c r="C236" i="1" s="1"/>
  <c r="D236" i="1" s="1"/>
  <c r="E236" i="1" s="1"/>
  <c r="F236" i="1" s="1"/>
  <c r="G236" i="1" s="1"/>
  <c r="H236" i="1" s="1"/>
  <c r="I236" i="1" s="1"/>
  <c r="J236" i="1" s="1"/>
  <c r="K236" i="1" s="1"/>
  <c r="L236" i="1" s="1"/>
  <c r="M236" i="1" s="1"/>
  <c r="N236" i="1" s="1"/>
  <c r="O236" i="1" s="1"/>
  <c r="P236" i="1" s="1"/>
  <c r="Q236" i="1" s="1"/>
  <c r="R236" i="1" s="1"/>
  <c r="S236" i="1" s="1"/>
  <c r="T236" i="1" s="1"/>
  <c r="U236" i="1" s="1"/>
  <c r="V236" i="1" s="1"/>
  <c r="W236" i="1" s="1"/>
  <c r="X236" i="1" s="1"/>
  <c r="Y236" i="1" s="1"/>
  <c r="Z236" i="1" s="1"/>
  <c r="AA236" i="1" s="1"/>
  <c r="AB236" i="1" s="1"/>
  <c r="AC236" i="1" s="1"/>
  <c r="AD236" i="1" s="1"/>
  <c r="AE236" i="1" s="1"/>
  <c r="AF236" i="1" s="1"/>
  <c r="AG236" i="1" s="1"/>
  <c r="AH236" i="1" s="1"/>
  <c r="AI236" i="1" s="1"/>
  <c r="AJ236" i="1" s="1"/>
  <c r="AK236" i="1" s="1"/>
  <c r="AL236" i="1" s="1"/>
  <c r="AM236" i="1" s="1"/>
  <c r="AN236" i="1" s="1"/>
  <c r="AO236" i="1" s="1"/>
  <c r="AP236" i="1" s="1"/>
  <c r="AQ236" i="1" s="1"/>
  <c r="AR236" i="1" s="1"/>
  <c r="AS236" i="1" s="1"/>
  <c r="AT236" i="1" s="1"/>
  <c r="AU236" i="1" s="1"/>
  <c r="AV236" i="1" s="1"/>
  <c r="AW236" i="1" s="1"/>
  <c r="AX236" i="1" s="1"/>
  <c r="AY236" i="1" s="1"/>
  <c r="AZ236" i="1" s="1"/>
  <c r="BA236" i="1" s="1"/>
  <c r="BB236" i="1" s="1"/>
  <c r="BC236" i="1" s="1"/>
  <c r="BD236" i="1" s="1"/>
  <c r="BE236" i="1" s="1"/>
  <c r="BF236" i="1" s="1"/>
  <c r="BG236" i="1" s="1"/>
  <c r="BH236" i="1" s="1"/>
  <c r="BI236" i="1" s="1"/>
  <c r="BJ236" i="1" s="1"/>
  <c r="BK236" i="1" s="1"/>
  <c r="BL236" i="1" s="1"/>
  <c r="BM236" i="1" s="1"/>
  <c r="BN236" i="1" s="1"/>
  <c r="BO236" i="1" s="1"/>
  <c r="BP236" i="1" s="1"/>
  <c r="B237" i="1"/>
  <c r="C237" i="1" s="1"/>
  <c r="D237" i="1" s="1"/>
  <c r="E237" i="1" s="1"/>
  <c r="F237" i="1" s="1"/>
  <c r="G237" i="1" s="1"/>
  <c r="H237" i="1" s="1"/>
  <c r="I237" i="1" s="1"/>
  <c r="J237" i="1" s="1"/>
  <c r="K237" i="1" s="1"/>
  <c r="L237" i="1" s="1"/>
  <c r="M237" i="1" s="1"/>
  <c r="N237" i="1" s="1"/>
  <c r="O237" i="1" s="1"/>
  <c r="P237" i="1" s="1"/>
  <c r="Q237" i="1" s="1"/>
  <c r="R237" i="1" s="1"/>
  <c r="S237" i="1" s="1"/>
  <c r="T237" i="1" s="1"/>
  <c r="U237" i="1" s="1"/>
  <c r="V237" i="1" s="1"/>
  <c r="W237" i="1" s="1"/>
  <c r="X237" i="1" s="1"/>
  <c r="Y237" i="1" s="1"/>
  <c r="Z237" i="1" s="1"/>
  <c r="AA237" i="1" s="1"/>
  <c r="AB237" i="1" s="1"/>
  <c r="AC237" i="1" s="1"/>
  <c r="AD237" i="1" s="1"/>
  <c r="AE237" i="1" s="1"/>
  <c r="AF237" i="1" s="1"/>
  <c r="AG237" i="1" s="1"/>
  <c r="AH237" i="1" s="1"/>
  <c r="AI237" i="1" s="1"/>
  <c r="AJ237" i="1" s="1"/>
  <c r="AK237" i="1" s="1"/>
  <c r="AL237" i="1" s="1"/>
  <c r="AM237" i="1" s="1"/>
  <c r="AN237" i="1" s="1"/>
  <c r="AO237" i="1" s="1"/>
  <c r="AP237" i="1" s="1"/>
  <c r="AQ237" i="1" s="1"/>
  <c r="AR237" i="1" s="1"/>
  <c r="AS237" i="1" s="1"/>
  <c r="AT237" i="1" s="1"/>
  <c r="AU237" i="1" s="1"/>
  <c r="AV237" i="1" s="1"/>
  <c r="AW237" i="1" s="1"/>
  <c r="AX237" i="1" s="1"/>
  <c r="AY237" i="1" s="1"/>
  <c r="AZ237" i="1" s="1"/>
  <c r="BA237" i="1" s="1"/>
  <c r="BB237" i="1" s="1"/>
  <c r="BC237" i="1" s="1"/>
  <c r="BD237" i="1" s="1"/>
  <c r="BE237" i="1" s="1"/>
  <c r="BF237" i="1" s="1"/>
  <c r="BG237" i="1" s="1"/>
  <c r="BH237" i="1" s="1"/>
  <c r="BI237" i="1" s="1"/>
  <c r="BJ237" i="1" s="1"/>
  <c r="BK237" i="1" s="1"/>
  <c r="BL237" i="1" s="1"/>
  <c r="BM237" i="1" s="1"/>
  <c r="BN237" i="1" s="1"/>
  <c r="BO237" i="1" s="1"/>
  <c r="BP237" i="1" s="1"/>
  <c r="B238" i="1"/>
  <c r="C238" i="1" s="1"/>
  <c r="D238" i="1" s="1"/>
  <c r="E238" i="1" s="1"/>
  <c r="F238" i="1" s="1"/>
  <c r="G238" i="1" s="1"/>
  <c r="H238" i="1" s="1"/>
  <c r="I238" i="1" s="1"/>
  <c r="J238" i="1" s="1"/>
  <c r="K238" i="1" s="1"/>
  <c r="L238" i="1" s="1"/>
  <c r="M238" i="1" s="1"/>
  <c r="N238" i="1" s="1"/>
  <c r="O238" i="1" s="1"/>
  <c r="P238" i="1" s="1"/>
  <c r="Q238" i="1" s="1"/>
  <c r="R238" i="1" s="1"/>
  <c r="S238" i="1" s="1"/>
  <c r="T238" i="1" s="1"/>
  <c r="U238" i="1" s="1"/>
  <c r="V238" i="1" s="1"/>
  <c r="W238" i="1" s="1"/>
  <c r="X238" i="1" s="1"/>
  <c r="Y238" i="1" s="1"/>
  <c r="Z238" i="1" s="1"/>
  <c r="AA238" i="1" s="1"/>
  <c r="AB238" i="1" s="1"/>
  <c r="AC238" i="1" s="1"/>
  <c r="AD238" i="1" s="1"/>
  <c r="AE238" i="1" s="1"/>
  <c r="AF238" i="1" s="1"/>
  <c r="AG238" i="1" s="1"/>
  <c r="AH238" i="1" s="1"/>
  <c r="AI238" i="1" s="1"/>
  <c r="AJ238" i="1" s="1"/>
  <c r="AK238" i="1" s="1"/>
  <c r="AL238" i="1" s="1"/>
  <c r="AM238" i="1" s="1"/>
  <c r="AN238" i="1" s="1"/>
  <c r="AO238" i="1" s="1"/>
  <c r="AP238" i="1" s="1"/>
  <c r="AQ238" i="1" s="1"/>
  <c r="AR238" i="1" s="1"/>
  <c r="AS238" i="1" s="1"/>
  <c r="AT238" i="1" s="1"/>
  <c r="AU238" i="1" s="1"/>
  <c r="AV238" i="1" s="1"/>
  <c r="AW238" i="1" s="1"/>
  <c r="AX238" i="1" s="1"/>
  <c r="AY238" i="1" s="1"/>
  <c r="AZ238" i="1" s="1"/>
  <c r="BA238" i="1" s="1"/>
  <c r="BB238" i="1" s="1"/>
  <c r="BC238" i="1" s="1"/>
  <c r="BD238" i="1" s="1"/>
  <c r="BE238" i="1" s="1"/>
  <c r="BF238" i="1" s="1"/>
  <c r="BG238" i="1" s="1"/>
  <c r="BH238" i="1" s="1"/>
  <c r="BI238" i="1" s="1"/>
  <c r="BJ238" i="1" s="1"/>
  <c r="BK238" i="1" s="1"/>
  <c r="BL238" i="1" s="1"/>
  <c r="BM238" i="1" s="1"/>
  <c r="BN238" i="1" s="1"/>
  <c r="BO238" i="1" s="1"/>
  <c r="BP238" i="1" s="1"/>
  <c r="B239" i="1"/>
  <c r="C239" i="1" s="1"/>
  <c r="D239" i="1" s="1"/>
  <c r="E239" i="1" s="1"/>
  <c r="F239" i="1" s="1"/>
  <c r="G239" i="1" s="1"/>
  <c r="H239" i="1" s="1"/>
  <c r="I239" i="1" s="1"/>
  <c r="J239" i="1" s="1"/>
  <c r="K239" i="1" s="1"/>
  <c r="L239" i="1" s="1"/>
  <c r="M239" i="1" s="1"/>
  <c r="N239" i="1" s="1"/>
  <c r="O239" i="1" s="1"/>
  <c r="P239" i="1" s="1"/>
  <c r="Q239" i="1" s="1"/>
  <c r="R239" i="1" s="1"/>
  <c r="S239" i="1" s="1"/>
  <c r="T239" i="1" s="1"/>
  <c r="U239" i="1" s="1"/>
  <c r="V239" i="1" s="1"/>
  <c r="W239" i="1" s="1"/>
  <c r="X239" i="1" s="1"/>
  <c r="Y239" i="1" s="1"/>
  <c r="Z239" i="1" s="1"/>
  <c r="AA239" i="1" s="1"/>
  <c r="AB239" i="1" s="1"/>
  <c r="AC239" i="1" s="1"/>
  <c r="AD239" i="1" s="1"/>
  <c r="AE239" i="1" s="1"/>
  <c r="AF239" i="1" s="1"/>
  <c r="AG239" i="1" s="1"/>
  <c r="AH239" i="1" s="1"/>
  <c r="AI239" i="1" s="1"/>
  <c r="AJ239" i="1" s="1"/>
  <c r="AK239" i="1" s="1"/>
  <c r="AL239" i="1" s="1"/>
  <c r="AM239" i="1" s="1"/>
  <c r="AN239" i="1" s="1"/>
  <c r="AO239" i="1" s="1"/>
  <c r="AP239" i="1" s="1"/>
  <c r="AQ239" i="1" s="1"/>
  <c r="AR239" i="1" s="1"/>
  <c r="AS239" i="1" s="1"/>
  <c r="AT239" i="1" s="1"/>
  <c r="AU239" i="1" s="1"/>
  <c r="AV239" i="1" s="1"/>
  <c r="AW239" i="1" s="1"/>
  <c r="AX239" i="1" s="1"/>
  <c r="AY239" i="1" s="1"/>
  <c r="AZ239" i="1" s="1"/>
  <c r="BA239" i="1" s="1"/>
  <c r="BB239" i="1" s="1"/>
  <c r="BC239" i="1" s="1"/>
  <c r="BD239" i="1" s="1"/>
  <c r="BE239" i="1" s="1"/>
  <c r="BF239" i="1" s="1"/>
  <c r="BG239" i="1" s="1"/>
  <c r="BH239" i="1" s="1"/>
  <c r="BI239" i="1" s="1"/>
  <c r="BJ239" i="1" s="1"/>
  <c r="BK239" i="1" s="1"/>
  <c r="BL239" i="1" s="1"/>
  <c r="BM239" i="1" s="1"/>
  <c r="BN239" i="1" s="1"/>
  <c r="BO239" i="1" s="1"/>
  <c r="BP239" i="1" s="1"/>
  <c r="B240" i="1"/>
  <c r="C240" i="1" s="1"/>
  <c r="D240" i="1" s="1"/>
  <c r="E240" i="1" s="1"/>
  <c r="F240" i="1" s="1"/>
  <c r="G240" i="1" s="1"/>
  <c r="H240" i="1" s="1"/>
  <c r="I240" i="1" s="1"/>
  <c r="J240" i="1" s="1"/>
  <c r="K240" i="1" s="1"/>
  <c r="L240" i="1" s="1"/>
  <c r="M240" i="1" s="1"/>
  <c r="N240" i="1" s="1"/>
  <c r="O240" i="1" s="1"/>
  <c r="P240" i="1" s="1"/>
  <c r="Q240" i="1" s="1"/>
  <c r="R240" i="1" s="1"/>
  <c r="S240" i="1" s="1"/>
  <c r="T240" i="1" s="1"/>
  <c r="U240" i="1" s="1"/>
  <c r="V240" i="1" s="1"/>
  <c r="W240" i="1" s="1"/>
  <c r="X240" i="1" s="1"/>
  <c r="Y240" i="1" s="1"/>
  <c r="Z240" i="1" s="1"/>
  <c r="AA240" i="1" s="1"/>
  <c r="AB240" i="1" s="1"/>
  <c r="AC240" i="1" s="1"/>
  <c r="AD240" i="1" s="1"/>
  <c r="AE240" i="1" s="1"/>
  <c r="AF240" i="1" s="1"/>
  <c r="AG240" i="1" s="1"/>
  <c r="AH240" i="1" s="1"/>
  <c r="AI240" i="1" s="1"/>
  <c r="AJ240" i="1" s="1"/>
  <c r="AK240" i="1" s="1"/>
  <c r="AL240" i="1" s="1"/>
  <c r="AM240" i="1" s="1"/>
  <c r="AN240" i="1" s="1"/>
  <c r="AO240" i="1" s="1"/>
  <c r="AP240" i="1" s="1"/>
  <c r="AQ240" i="1" s="1"/>
  <c r="AR240" i="1" s="1"/>
  <c r="AS240" i="1" s="1"/>
  <c r="AT240" i="1" s="1"/>
  <c r="AU240" i="1" s="1"/>
  <c r="AV240" i="1" s="1"/>
  <c r="AW240" i="1" s="1"/>
  <c r="AX240" i="1" s="1"/>
  <c r="AY240" i="1" s="1"/>
  <c r="AZ240" i="1" s="1"/>
  <c r="BA240" i="1" s="1"/>
  <c r="BB240" i="1" s="1"/>
  <c r="BC240" i="1" s="1"/>
  <c r="BD240" i="1" s="1"/>
  <c r="BE240" i="1" s="1"/>
  <c r="BF240" i="1" s="1"/>
  <c r="BG240" i="1" s="1"/>
  <c r="BH240" i="1" s="1"/>
  <c r="BI240" i="1" s="1"/>
  <c r="BJ240" i="1" s="1"/>
  <c r="BK240" i="1" s="1"/>
  <c r="BL240" i="1" s="1"/>
  <c r="BM240" i="1" s="1"/>
  <c r="BN240" i="1" s="1"/>
  <c r="BO240" i="1" s="1"/>
  <c r="BP240" i="1" s="1"/>
  <c r="B241" i="1"/>
  <c r="C241" i="1" s="1"/>
  <c r="D241" i="1" s="1"/>
  <c r="E241" i="1" s="1"/>
  <c r="F241" i="1" s="1"/>
  <c r="G241" i="1" s="1"/>
  <c r="H241" i="1" s="1"/>
  <c r="I241" i="1" s="1"/>
  <c r="J241" i="1" s="1"/>
  <c r="K241" i="1" s="1"/>
  <c r="L241" i="1" s="1"/>
  <c r="M241" i="1" s="1"/>
  <c r="N241" i="1" s="1"/>
  <c r="O241" i="1" s="1"/>
  <c r="P241" i="1" s="1"/>
  <c r="Q241" i="1" s="1"/>
  <c r="R241" i="1" s="1"/>
  <c r="S241" i="1" s="1"/>
  <c r="T241" i="1" s="1"/>
  <c r="U241" i="1" s="1"/>
  <c r="V241" i="1" s="1"/>
  <c r="W241" i="1" s="1"/>
  <c r="X241" i="1" s="1"/>
  <c r="Y241" i="1" s="1"/>
  <c r="Z241" i="1" s="1"/>
  <c r="AA241" i="1" s="1"/>
  <c r="AB241" i="1" s="1"/>
  <c r="AC241" i="1" s="1"/>
  <c r="AD241" i="1" s="1"/>
  <c r="AE241" i="1" s="1"/>
  <c r="AF241" i="1" s="1"/>
  <c r="AG241" i="1" s="1"/>
  <c r="AH241" i="1" s="1"/>
  <c r="AI241" i="1" s="1"/>
  <c r="AJ241" i="1" s="1"/>
  <c r="AK241" i="1" s="1"/>
  <c r="AL241" i="1" s="1"/>
  <c r="AM241" i="1" s="1"/>
  <c r="AN241" i="1" s="1"/>
  <c r="AO241" i="1" s="1"/>
  <c r="AP241" i="1" s="1"/>
  <c r="AQ241" i="1" s="1"/>
  <c r="AR241" i="1" s="1"/>
  <c r="AS241" i="1" s="1"/>
  <c r="AT241" i="1" s="1"/>
  <c r="AU241" i="1" s="1"/>
  <c r="AV241" i="1" s="1"/>
  <c r="AW241" i="1" s="1"/>
  <c r="AX241" i="1" s="1"/>
  <c r="AY241" i="1" s="1"/>
  <c r="AZ241" i="1" s="1"/>
  <c r="BA241" i="1" s="1"/>
  <c r="BB241" i="1" s="1"/>
  <c r="BC241" i="1" s="1"/>
  <c r="BD241" i="1" s="1"/>
  <c r="BE241" i="1" s="1"/>
  <c r="BF241" i="1" s="1"/>
  <c r="BG241" i="1" s="1"/>
  <c r="BH241" i="1" s="1"/>
  <c r="BI241" i="1" s="1"/>
  <c r="BJ241" i="1" s="1"/>
  <c r="BK241" i="1" s="1"/>
  <c r="BL241" i="1" s="1"/>
  <c r="BM241" i="1" s="1"/>
  <c r="BN241" i="1" s="1"/>
  <c r="BO241" i="1" s="1"/>
  <c r="BP241" i="1" s="1"/>
  <c r="B242" i="1"/>
  <c r="C242" i="1" s="1"/>
  <c r="D242" i="1" s="1"/>
  <c r="E242" i="1" s="1"/>
  <c r="F242" i="1" s="1"/>
  <c r="G242" i="1" s="1"/>
  <c r="H242" i="1" s="1"/>
  <c r="I242" i="1" s="1"/>
  <c r="J242" i="1" s="1"/>
  <c r="K242" i="1" s="1"/>
  <c r="L242" i="1" s="1"/>
  <c r="M242" i="1" s="1"/>
  <c r="N242" i="1" s="1"/>
  <c r="O242" i="1" s="1"/>
  <c r="P242" i="1" s="1"/>
  <c r="Q242" i="1" s="1"/>
  <c r="R242" i="1" s="1"/>
  <c r="S242" i="1" s="1"/>
  <c r="T242" i="1" s="1"/>
  <c r="U242" i="1" s="1"/>
  <c r="V242" i="1" s="1"/>
  <c r="W242" i="1" s="1"/>
  <c r="X242" i="1" s="1"/>
  <c r="Y242" i="1" s="1"/>
  <c r="Z242" i="1" s="1"/>
  <c r="AA242" i="1" s="1"/>
  <c r="AB242" i="1" s="1"/>
  <c r="AC242" i="1" s="1"/>
  <c r="AD242" i="1" s="1"/>
  <c r="AE242" i="1" s="1"/>
  <c r="AF242" i="1" s="1"/>
  <c r="AG242" i="1" s="1"/>
  <c r="AH242" i="1" s="1"/>
  <c r="AI242" i="1" s="1"/>
  <c r="AJ242" i="1" s="1"/>
  <c r="AK242" i="1" s="1"/>
  <c r="AL242" i="1" s="1"/>
  <c r="AM242" i="1" s="1"/>
  <c r="AN242" i="1" s="1"/>
  <c r="AO242" i="1" s="1"/>
  <c r="AP242" i="1" s="1"/>
  <c r="AQ242" i="1" s="1"/>
  <c r="AR242" i="1" s="1"/>
  <c r="AS242" i="1" s="1"/>
  <c r="AT242" i="1" s="1"/>
  <c r="AU242" i="1" s="1"/>
  <c r="AV242" i="1" s="1"/>
  <c r="AW242" i="1" s="1"/>
  <c r="AX242" i="1" s="1"/>
  <c r="AY242" i="1" s="1"/>
  <c r="AZ242" i="1" s="1"/>
  <c r="BA242" i="1" s="1"/>
  <c r="BB242" i="1" s="1"/>
  <c r="BC242" i="1" s="1"/>
  <c r="BD242" i="1" s="1"/>
  <c r="BE242" i="1" s="1"/>
  <c r="BF242" i="1" s="1"/>
  <c r="BG242" i="1" s="1"/>
  <c r="BH242" i="1" s="1"/>
  <c r="BI242" i="1" s="1"/>
  <c r="BJ242" i="1" s="1"/>
  <c r="BK242" i="1" s="1"/>
  <c r="BL242" i="1" s="1"/>
  <c r="BM242" i="1" s="1"/>
  <c r="BN242" i="1" s="1"/>
  <c r="BO242" i="1" s="1"/>
  <c r="BP242" i="1" s="1"/>
  <c r="B243" i="1"/>
  <c r="C243" i="1" s="1"/>
  <c r="D243" i="1" s="1"/>
  <c r="E243" i="1" s="1"/>
  <c r="F243" i="1" s="1"/>
  <c r="G243" i="1" s="1"/>
  <c r="H243" i="1" s="1"/>
  <c r="I243" i="1" s="1"/>
  <c r="J243" i="1" s="1"/>
  <c r="K243" i="1" s="1"/>
  <c r="L243" i="1" s="1"/>
  <c r="M243" i="1" s="1"/>
  <c r="N243" i="1" s="1"/>
  <c r="O243" i="1" s="1"/>
  <c r="P243" i="1" s="1"/>
  <c r="Q243" i="1" s="1"/>
  <c r="R243" i="1" s="1"/>
  <c r="S243" i="1" s="1"/>
  <c r="T243" i="1" s="1"/>
  <c r="U243" i="1" s="1"/>
  <c r="V243" i="1" s="1"/>
  <c r="W243" i="1" s="1"/>
  <c r="X243" i="1" s="1"/>
  <c r="Y243" i="1" s="1"/>
  <c r="Z243" i="1" s="1"/>
  <c r="AA243" i="1" s="1"/>
  <c r="AB243" i="1" s="1"/>
  <c r="AC243" i="1" s="1"/>
  <c r="AD243" i="1" s="1"/>
  <c r="AE243" i="1" s="1"/>
  <c r="AF243" i="1" s="1"/>
  <c r="AG243" i="1" s="1"/>
  <c r="AH243" i="1" s="1"/>
  <c r="AI243" i="1" s="1"/>
  <c r="AJ243" i="1" s="1"/>
  <c r="AK243" i="1" s="1"/>
  <c r="AL243" i="1" s="1"/>
  <c r="AM243" i="1" s="1"/>
  <c r="AN243" i="1" s="1"/>
  <c r="AO243" i="1" s="1"/>
  <c r="AP243" i="1" s="1"/>
  <c r="AQ243" i="1" s="1"/>
  <c r="AR243" i="1" s="1"/>
  <c r="AS243" i="1" s="1"/>
  <c r="AT243" i="1" s="1"/>
  <c r="AU243" i="1" s="1"/>
  <c r="AV243" i="1" s="1"/>
  <c r="AW243" i="1" s="1"/>
  <c r="AX243" i="1" s="1"/>
  <c r="AY243" i="1" s="1"/>
  <c r="AZ243" i="1" s="1"/>
  <c r="BA243" i="1" s="1"/>
  <c r="BB243" i="1" s="1"/>
  <c r="BC243" i="1" s="1"/>
  <c r="BD243" i="1" s="1"/>
  <c r="BE243" i="1" s="1"/>
  <c r="BF243" i="1" s="1"/>
  <c r="BG243" i="1" s="1"/>
  <c r="BH243" i="1" s="1"/>
  <c r="BI243" i="1" s="1"/>
  <c r="BJ243" i="1" s="1"/>
  <c r="BK243" i="1" s="1"/>
  <c r="BL243" i="1" s="1"/>
  <c r="BM243" i="1" s="1"/>
  <c r="BN243" i="1" s="1"/>
  <c r="BO243" i="1" s="1"/>
  <c r="BP243" i="1" s="1"/>
  <c r="B244" i="1"/>
  <c r="C244" i="1" s="1"/>
  <c r="D244" i="1" s="1"/>
  <c r="E244" i="1" s="1"/>
  <c r="F244" i="1" s="1"/>
  <c r="G244" i="1" s="1"/>
  <c r="H244" i="1" s="1"/>
  <c r="I244" i="1" s="1"/>
  <c r="J244" i="1" s="1"/>
  <c r="K244" i="1" s="1"/>
  <c r="L244" i="1" s="1"/>
  <c r="M244" i="1" s="1"/>
  <c r="N244" i="1" s="1"/>
  <c r="O244" i="1" s="1"/>
  <c r="P244" i="1" s="1"/>
  <c r="Q244" i="1" s="1"/>
  <c r="R244" i="1" s="1"/>
  <c r="S244" i="1" s="1"/>
  <c r="T244" i="1" s="1"/>
  <c r="U244" i="1" s="1"/>
  <c r="V244" i="1" s="1"/>
  <c r="W244" i="1" s="1"/>
  <c r="X244" i="1" s="1"/>
  <c r="Y244" i="1" s="1"/>
  <c r="Z244" i="1" s="1"/>
  <c r="AA244" i="1" s="1"/>
  <c r="AB244" i="1" s="1"/>
  <c r="AC244" i="1" s="1"/>
  <c r="AD244" i="1" s="1"/>
  <c r="AE244" i="1" s="1"/>
  <c r="AF244" i="1" s="1"/>
  <c r="AG244" i="1" s="1"/>
  <c r="AH244" i="1" s="1"/>
  <c r="AI244" i="1" s="1"/>
  <c r="AJ244" i="1" s="1"/>
  <c r="AK244" i="1" s="1"/>
  <c r="AL244" i="1" s="1"/>
  <c r="AM244" i="1" s="1"/>
  <c r="AN244" i="1" s="1"/>
  <c r="AO244" i="1" s="1"/>
  <c r="AP244" i="1" s="1"/>
  <c r="AQ244" i="1" s="1"/>
  <c r="AR244" i="1" s="1"/>
  <c r="AS244" i="1" s="1"/>
  <c r="AT244" i="1" s="1"/>
  <c r="AU244" i="1" s="1"/>
  <c r="AV244" i="1" s="1"/>
  <c r="AW244" i="1" s="1"/>
  <c r="AX244" i="1" s="1"/>
  <c r="AY244" i="1" s="1"/>
  <c r="AZ244" i="1" s="1"/>
  <c r="BA244" i="1" s="1"/>
  <c r="BB244" i="1" s="1"/>
  <c r="BC244" i="1" s="1"/>
  <c r="BD244" i="1" s="1"/>
  <c r="BE244" i="1" s="1"/>
  <c r="BF244" i="1" s="1"/>
  <c r="BG244" i="1" s="1"/>
  <c r="BH244" i="1" s="1"/>
  <c r="BI244" i="1" s="1"/>
  <c r="BJ244" i="1" s="1"/>
  <c r="BK244" i="1" s="1"/>
  <c r="BL244" i="1" s="1"/>
  <c r="BM244" i="1" s="1"/>
  <c r="BN244" i="1" s="1"/>
  <c r="BO244" i="1" s="1"/>
  <c r="BP244" i="1" s="1"/>
  <c r="B245" i="1"/>
  <c r="C245" i="1" s="1"/>
  <c r="D245" i="1" s="1"/>
  <c r="E245" i="1" s="1"/>
  <c r="F245" i="1" s="1"/>
  <c r="G245" i="1" s="1"/>
  <c r="H245" i="1" s="1"/>
  <c r="I245" i="1" s="1"/>
  <c r="J245" i="1" s="1"/>
  <c r="K245" i="1" s="1"/>
  <c r="L245" i="1" s="1"/>
  <c r="M245" i="1" s="1"/>
  <c r="N245" i="1" s="1"/>
  <c r="O245" i="1" s="1"/>
  <c r="P245" i="1" s="1"/>
  <c r="Q245" i="1" s="1"/>
  <c r="R245" i="1" s="1"/>
  <c r="S245" i="1" s="1"/>
  <c r="T245" i="1" s="1"/>
  <c r="U245" i="1" s="1"/>
  <c r="V245" i="1" s="1"/>
  <c r="W245" i="1" s="1"/>
  <c r="X245" i="1" s="1"/>
  <c r="Y245" i="1" s="1"/>
  <c r="Z245" i="1" s="1"/>
  <c r="AA245" i="1" s="1"/>
  <c r="AB245" i="1" s="1"/>
  <c r="AC245" i="1" s="1"/>
  <c r="AD245" i="1" s="1"/>
  <c r="AE245" i="1" s="1"/>
  <c r="AF245" i="1" s="1"/>
  <c r="AG245" i="1" s="1"/>
  <c r="AH245" i="1" s="1"/>
  <c r="AI245" i="1" s="1"/>
  <c r="AJ245" i="1" s="1"/>
  <c r="AK245" i="1" s="1"/>
  <c r="AL245" i="1" s="1"/>
  <c r="AM245" i="1" s="1"/>
  <c r="AN245" i="1" s="1"/>
  <c r="AO245" i="1" s="1"/>
  <c r="AP245" i="1" s="1"/>
  <c r="AQ245" i="1" s="1"/>
  <c r="AR245" i="1" s="1"/>
  <c r="AS245" i="1" s="1"/>
  <c r="AT245" i="1" s="1"/>
  <c r="AU245" i="1" s="1"/>
  <c r="AV245" i="1" s="1"/>
  <c r="AW245" i="1" s="1"/>
  <c r="AX245" i="1" s="1"/>
  <c r="AY245" i="1" s="1"/>
  <c r="AZ245" i="1" s="1"/>
  <c r="BA245" i="1" s="1"/>
  <c r="BB245" i="1" s="1"/>
  <c r="BC245" i="1" s="1"/>
  <c r="BD245" i="1" s="1"/>
  <c r="BE245" i="1" s="1"/>
  <c r="BF245" i="1" s="1"/>
  <c r="BG245" i="1" s="1"/>
  <c r="BH245" i="1" s="1"/>
  <c r="BI245" i="1" s="1"/>
  <c r="BJ245" i="1" s="1"/>
  <c r="BK245" i="1" s="1"/>
  <c r="BL245" i="1" s="1"/>
  <c r="BM245" i="1" s="1"/>
  <c r="BN245" i="1" s="1"/>
  <c r="BO245" i="1" s="1"/>
  <c r="BP245" i="1" s="1"/>
  <c r="B246" i="1"/>
  <c r="C246" i="1" s="1"/>
  <c r="D246" i="1" s="1"/>
  <c r="E246" i="1" s="1"/>
  <c r="F246" i="1" s="1"/>
  <c r="G246" i="1" s="1"/>
  <c r="H246" i="1" s="1"/>
  <c r="I246" i="1" s="1"/>
  <c r="J246" i="1" s="1"/>
  <c r="K246" i="1" s="1"/>
  <c r="L246" i="1" s="1"/>
  <c r="M246" i="1" s="1"/>
  <c r="N246" i="1" s="1"/>
  <c r="O246" i="1" s="1"/>
  <c r="P246" i="1" s="1"/>
  <c r="Q246" i="1" s="1"/>
  <c r="R246" i="1" s="1"/>
  <c r="S246" i="1" s="1"/>
  <c r="T246" i="1" s="1"/>
  <c r="U246" i="1" s="1"/>
  <c r="V246" i="1" s="1"/>
  <c r="W246" i="1" s="1"/>
  <c r="X246" i="1" s="1"/>
  <c r="Y246" i="1" s="1"/>
  <c r="Z246" i="1" s="1"/>
  <c r="AA246" i="1" s="1"/>
  <c r="AB246" i="1" s="1"/>
  <c r="AC246" i="1" s="1"/>
  <c r="AD246" i="1" s="1"/>
  <c r="AE246" i="1" s="1"/>
  <c r="AF246" i="1" s="1"/>
  <c r="AG246" i="1" s="1"/>
  <c r="AH246" i="1" s="1"/>
  <c r="AI246" i="1" s="1"/>
  <c r="AJ246" i="1" s="1"/>
  <c r="AK246" i="1" s="1"/>
  <c r="AL246" i="1" s="1"/>
  <c r="AM246" i="1" s="1"/>
  <c r="AN246" i="1" s="1"/>
  <c r="AO246" i="1" s="1"/>
  <c r="AP246" i="1" s="1"/>
  <c r="AQ246" i="1" s="1"/>
  <c r="AR246" i="1" s="1"/>
  <c r="AS246" i="1" s="1"/>
  <c r="AT246" i="1" s="1"/>
  <c r="AU246" i="1" s="1"/>
  <c r="AV246" i="1" s="1"/>
  <c r="AW246" i="1" s="1"/>
  <c r="AX246" i="1" s="1"/>
  <c r="AY246" i="1" s="1"/>
  <c r="AZ246" i="1" s="1"/>
  <c r="BA246" i="1" s="1"/>
  <c r="BB246" i="1" s="1"/>
  <c r="BC246" i="1" s="1"/>
  <c r="BD246" i="1" s="1"/>
  <c r="BE246" i="1" s="1"/>
  <c r="BF246" i="1" s="1"/>
  <c r="BG246" i="1" s="1"/>
  <c r="BH246" i="1" s="1"/>
  <c r="BI246" i="1" s="1"/>
  <c r="BJ246" i="1" s="1"/>
  <c r="BK246" i="1" s="1"/>
  <c r="BL246" i="1" s="1"/>
  <c r="BM246" i="1" s="1"/>
  <c r="BN246" i="1" s="1"/>
  <c r="BO246" i="1" s="1"/>
  <c r="BP246" i="1" s="1"/>
  <c r="B247" i="1"/>
  <c r="C247" i="1" s="1"/>
  <c r="D247" i="1" s="1"/>
  <c r="E247" i="1" s="1"/>
  <c r="F247" i="1" s="1"/>
  <c r="G247" i="1" s="1"/>
  <c r="H247" i="1" s="1"/>
  <c r="I247" i="1" s="1"/>
  <c r="J247" i="1" s="1"/>
  <c r="K247" i="1" s="1"/>
  <c r="L247" i="1" s="1"/>
  <c r="M247" i="1" s="1"/>
  <c r="N247" i="1" s="1"/>
  <c r="O247" i="1" s="1"/>
  <c r="P247" i="1" s="1"/>
  <c r="Q247" i="1" s="1"/>
  <c r="R247" i="1" s="1"/>
  <c r="S247" i="1" s="1"/>
  <c r="T247" i="1" s="1"/>
  <c r="U247" i="1" s="1"/>
  <c r="V247" i="1" s="1"/>
  <c r="W247" i="1" s="1"/>
  <c r="X247" i="1" s="1"/>
  <c r="Y247" i="1" s="1"/>
  <c r="Z247" i="1" s="1"/>
  <c r="AA247" i="1" s="1"/>
  <c r="AB247" i="1" s="1"/>
  <c r="AC247" i="1" s="1"/>
  <c r="AD247" i="1" s="1"/>
  <c r="AE247" i="1" s="1"/>
  <c r="AF247" i="1" s="1"/>
  <c r="AG247" i="1" s="1"/>
  <c r="AH247" i="1" s="1"/>
  <c r="AI247" i="1" s="1"/>
  <c r="AJ247" i="1" s="1"/>
  <c r="AK247" i="1" s="1"/>
  <c r="AL247" i="1" s="1"/>
  <c r="AM247" i="1" s="1"/>
  <c r="AN247" i="1" s="1"/>
  <c r="AO247" i="1" s="1"/>
  <c r="AP247" i="1" s="1"/>
  <c r="AQ247" i="1" s="1"/>
  <c r="AR247" i="1" s="1"/>
  <c r="AS247" i="1" s="1"/>
  <c r="AT247" i="1" s="1"/>
  <c r="AU247" i="1" s="1"/>
  <c r="AV247" i="1" s="1"/>
  <c r="AW247" i="1" s="1"/>
  <c r="AX247" i="1" s="1"/>
  <c r="AY247" i="1" s="1"/>
  <c r="AZ247" i="1" s="1"/>
  <c r="BA247" i="1" s="1"/>
  <c r="BB247" i="1" s="1"/>
  <c r="BC247" i="1" s="1"/>
  <c r="BD247" i="1" s="1"/>
  <c r="BE247" i="1" s="1"/>
  <c r="BF247" i="1" s="1"/>
  <c r="BG247" i="1" s="1"/>
  <c r="BH247" i="1" s="1"/>
  <c r="BI247" i="1" s="1"/>
  <c r="BJ247" i="1" s="1"/>
  <c r="BK247" i="1" s="1"/>
  <c r="BL247" i="1" s="1"/>
  <c r="BM247" i="1" s="1"/>
  <c r="BN247" i="1" s="1"/>
  <c r="BO247" i="1" s="1"/>
  <c r="BP247" i="1" s="1"/>
  <c r="B248" i="1"/>
  <c r="C248" i="1" s="1"/>
  <c r="D248" i="1" s="1"/>
  <c r="E248" i="1" s="1"/>
  <c r="F248" i="1" s="1"/>
  <c r="G248" i="1" s="1"/>
  <c r="H248" i="1" s="1"/>
  <c r="I248" i="1" s="1"/>
  <c r="J248" i="1" s="1"/>
  <c r="K248" i="1" s="1"/>
  <c r="L248" i="1" s="1"/>
  <c r="M248" i="1" s="1"/>
  <c r="N248" i="1" s="1"/>
  <c r="O248" i="1" s="1"/>
  <c r="P248" i="1" s="1"/>
  <c r="Q248" i="1" s="1"/>
  <c r="R248" i="1" s="1"/>
  <c r="S248" i="1" s="1"/>
  <c r="T248" i="1" s="1"/>
  <c r="U248" i="1" s="1"/>
  <c r="V248" i="1" s="1"/>
  <c r="W248" i="1" s="1"/>
  <c r="X248" i="1" s="1"/>
  <c r="Y248" i="1" s="1"/>
  <c r="Z248" i="1" s="1"/>
  <c r="AA248" i="1" s="1"/>
  <c r="AB248" i="1" s="1"/>
  <c r="AC248" i="1" s="1"/>
  <c r="AD248" i="1" s="1"/>
  <c r="AE248" i="1" s="1"/>
  <c r="AF248" i="1" s="1"/>
  <c r="AG248" i="1" s="1"/>
  <c r="AH248" i="1" s="1"/>
  <c r="AI248" i="1" s="1"/>
  <c r="AJ248" i="1" s="1"/>
  <c r="AK248" i="1" s="1"/>
  <c r="AL248" i="1" s="1"/>
  <c r="AM248" i="1" s="1"/>
  <c r="AN248" i="1" s="1"/>
  <c r="AO248" i="1" s="1"/>
  <c r="AP248" i="1" s="1"/>
  <c r="AQ248" i="1" s="1"/>
  <c r="AR248" i="1" s="1"/>
  <c r="AS248" i="1" s="1"/>
  <c r="AT248" i="1" s="1"/>
  <c r="AU248" i="1" s="1"/>
  <c r="AV248" i="1" s="1"/>
  <c r="AW248" i="1" s="1"/>
  <c r="AX248" i="1" s="1"/>
  <c r="AY248" i="1" s="1"/>
  <c r="AZ248" i="1" s="1"/>
  <c r="BA248" i="1" s="1"/>
  <c r="BB248" i="1" s="1"/>
  <c r="BC248" i="1" s="1"/>
  <c r="BD248" i="1" s="1"/>
  <c r="BE248" i="1" s="1"/>
  <c r="BF248" i="1" s="1"/>
  <c r="BG248" i="1" s="1"/>
  <c r="BH248" i="1" s="1"/>
  <c r="BI248" i="1" s="1"/>
  <c r="BJ248" i="1" s="1"/>
  <c r="BK248" i="1" s="1"/>
  <c r="BL248" i="1" s="1"/>
  <c r="BM248" i="1" s="1"/>
  <c r="BN248" i="1" s="1"/>
  <c r="BO248" i="1" s="1"/>
  <c r="BP248" i="1" s="1"/>
  <c r="B249" i="1"/>
  <c r="C249" i="1" s="1"/>
  <c r="D249" i="1" s="1"/>
  <c r="E249" i="1" s="1"/>
  <c r="F249" i="1" s="1"/>
  <c r="G249" i="1" s="1"/>
  <c r="H249" i="1" s="1"/>
  <c r="I249" i="1" s="1"/>
  <c r="J249" i="1" s="1"/>
  <c r="K249" i="1" s="1"/>
  <c r="L249" i="1" s="1"/>
  <c r="M249" i="1" s="1"/>
  <c r="N249" i="1" s="1"/>
  <c r="O249" i="1" s="1"/>
  <c r="P249" i="1" s="1"/>
  <c r="Q249" i="1" s="1"/>
  <c r="R249" i="1" s="1"/>
  <c r="S249" i="1" s="1"/>
  <c r="T249" i="1" s="1"/>
  <c r="U249" i="1" s="1"/>
  <c r="V249" i="1" s="1"/>
  <c r="W249" i="1" s="1"/>
  <c r="X249" i="1" s="1"/>
  <c r="Y249" i="1" s="1"/>
  <c r="Z249" i="1" s="1"/>
  <c r="AA249" i="1" s="1"/>
  <c r="AB249" i="1" s="1"/>
  <c r="AC249" i="1" s="1"/>
  <c r="AD249" i="1" s="1"/>
  <c r="AE249" i="1" s="1"/>
  <c r="AF249" i="1" s="1"/>
  <c r="AG249" i="1" s="1"/>
  <c r="AH249" i="1" s="1"/>
  <c r="AI249" i="1" s="1"/>
  <c r="AJ249" i="1" s="1"/>
  <c r="AK249" i="1" s="1"/>
  <c r="AL249" i="1" s="1"/>
  <c r="AM249" i="1" s="1"/>
  <c r="AN249" i="1" s="1"/>
  <c r="AO249" i="1" s="1"/>
  <c r="AP249" i="1" s="1"/>
  <c r="AQ249" i="1" s="1"/>
  <c r="AR249" i="1" s="1"/>
  <c r="AS249" i="1" s="1"/>
  <c r="AT249" i="1" s="1"/>
  <c r="AU249" i="1" s="1"/>
  <c r="AV249" i="1" s="1"/>
  <c r="AW249" i="1" s="1"/>
  <c r="AX249" i="1" s="1"/>
  <c r="AY249" i="1" s="1"/>
  <c r="AZ249" i="1" s="1"/>
  <c r="BA249" i="1" s="1"/>
  <c r="BB249" i="1" s="1"/>
  <c r="BC249" i="1" s="1"/>
  <c r="BD249" i="1" s="1"/>
  <c r="BE249" i="1" s="1"/>
  <c r="BF249" i="1" s="1"/>
  <c r="BG249" i="1" s="1"/>
  <c r="BH249" i="1" s="1"/>
  <c r="BI249" i="1" s="1"/>
  <c r="BJ249" i="1" s="1"/>
  <c r="BK249" i="1" s="1"/>
  <c r="BL249" i="1" s="1"/>
  <c r="BM249" i="1" s="1"/>
  <c r="BN249" i="1" s="1"/>
  <c r="BO249" i="1" s="1"/>
  <c r="BP249" i="1" s="1"/>
  <c r="B250" i="1"/>
  <c r="C250" i="1" s="1"/>
  <c r="D250" i="1" s="1"/>
  <c r="E250" i="1" s="1"/>
  <c r="F250" i="1" s="1"/>
  <c r="G250" i="1" s="1"/>
  <c r="H250" i="1" s="1"/>
  <c r="I250" i="1" s="1"/>
  <c r="J250" i="1" s="1"/>
  <c r="K250" i="1" s="1"/>
  <c r="L250" i="1" s="1"/>
  <c r="M250" i="1" s="1"/>
  <c r="N250" i="1" s="1"/>
  <c r="O250" i="1" s="1"/>
  <c r="P250" i="1" s="1"/>
  <c r="Q250" i="1" s="1"/>
  <c r="R250" i="1" s="1"/>
  <c r="S250" i="1" s="1"/>
  <c r="T250" i="1" s="1"/>
  <c r="U250" i="1" s="1"/>
  <c r="V250" i="1" s="1"/>
  <c r="W250" i="1" s="1"/>
  <c r="X250" i="1" s="1"/>
  <c r="Y250" i="1" s="1"/>
  <c r="Z250" i="1" s="1"/>
  <c r="AA250" i="1" s="1"/>
  <c r="AB250" i="1" s="1"/>
  <c r="AC250" i="1" s="1"/>
  <c r="AD250" i="1" s="1"/>
  <c r="AE250" i="1" s="1"/>
  <c r="AF250" i="1" s="1"/>
  <c r="AG250" i="1" s="1"/>
  <c r="AH250" i="1" s="1"/>
  <c r="AI250" i="1" s="1"/>
  <c r="AJ250" i="1" s="1"/>
  <c r="AK250" i="1" s="1"/>
  <c r="AL250" i="1" s="1"/>
  <c r="AM250" i="1" s="1"/>
  <c r="AN250" i="1" s="1"/>
  <c r="AO250" i="1" s="1"/>
  <c r="AP250" i="1" s="1"/>
  <c r="AQ250" i="1" s="1"/>
  <c r="AR250" i="1" s="1"/>
  <c r="AS250" i="1" s="1"/>
  <c r="AT250" i="1" s="1"/>
  <c r="AU250" i="1" s="1"/>
  <c r="AV250" i="1" s="1"/>
  <c r="AW250" i="1" s="1"/>
  <c r="AX250" i="1" s="1"/>
  <c r="AY250" i="1" s="1"/>
  <c r="AZ250" i="1" s="1"/>
  <c r="BA250" i="1" s="1"/>
  <c r="BB250" i="1" s="1"/>
  <c r="BC250" i="1" s="1"/>
  <c r="BD250" i="1" s="1"/>
  <c r="BE250" i="1" s="1"/>
  <c r="BF250" i="1" s="1"/>
  <c r="BG250" i="1" s="1"/>
  <c r="BH250" i="1" s="1"/>
  <c r="BI250" i="1" s="1"/>
  <c r="BJ250" i="1" s="1"/>
  <c r="BK250" i="1" s="1"/>
  <c r="BL250" i="1" s="1"/>
  <c r="BM250" i="1" s="1"/>
  <c r="BN250" i="1" s="1"/>
  <c r="BO250" i="1" s="1"/>
  <c r="BP250" i="1" s="1"/>
  <c r="B251" i="1"/>
  <c r="C251" i="1" s="1"/>
  <c r="D251" i="1" s="1"/>
  <c r="E251" i="1" s="1"/>
  <c r="F251" i="1" s="1"/>
  <c r="G251" i="1" s="1"/>
  <c r="H251" i="1" s="1"/>
  <c r="I251" i="1" s="1"/>
  <c r="J251" i="1" s="1"/>
  <c r="K251" i="1" s="1"/>
  <c r="L251" i="1" s="1"/>
  <c r="M251" i="1" s="1"/>
  <c r="N251" i="1" s="1"/>
  <c r="O251" i="1" s="1"/>
  <c r="P251" i="1" s="1"/>
  <c r="Q251" i="1" s="1"/>
  <c r="R251" i="1" s="1"/>
  <c r="S251" i="1" s="1"/>
  <c r="T251" i="1" s="1"/>
  <c r="U251" i="1" s="1"/>
  <c r="V251" i="1" s="1"/>
  <c r="W251" i="1" s="1"/>
  <c r="X251" i="1" s="1"/>
  <c r="Y251" i="1" s="1"/>
  <c r="Z251" i="1" s="1"/>
  <c r="AA251" i="1" s="1"/>
  <c r="AB251" i="1" s="1"/>
  <c r="AC251" i="1" s="1"/>
  <c r="AD251" i="1" s="1"/>
  <c r="AE251" i="1" s="1"/>
  <c r="AF251" i="1" s="1"/>
  <c r="AG251" i="1" s="1"/>
  <c r="AH251" i="1" s="1"/>
  <c r="AI251" i="1" s="1"/>
  <c r="AJ251" i="1" s="1"/>
  <c r="AK251" i="1" s="1"/>
  <c r="AL251" i="1" s="1"/>
  <c r="AM251" i="1" s="1"/>
  <c r="AN251" i="1" s="1"/>
  <c r="AO251" i="1" s="1"/>
  <c r="AP251" i="1" s="1"/>
  <c r="AQ251" i="1" s="1"/>
  <c r="AR251" i="1" s="1"/>
  <c r="AS251" i="1" s="1"/>
  <c r="AT251" i="1" s="1"/>
  <c r="AU251" i="1" s="1"/>
  <c r="AV251" i="1" s="1"/>
  <c r="AW251" i="1" s="1"/>
  <c r="AX251" i="1" s="1"/>
  <c r="AY251" i="1" s="1"/>
  <c r="AZ251" i="1" s="1"/>
  <c r="BA251" i="1" s="1"/>
  <c r="BB251" i="1" s="1"/>
  <c r="BC251" i="1" s="1"/>
  <c r="BD251" i="1" s="1"/>
  <c r="BE251" i="1" s="1"/>
  <c r="BF251" i="1" s="1"/>
  <c r="BG251" i="1" s="1"/>
  <c r="BH251" i="1" s="1"/>
  <c r="BI251" i="1" s="1"/>
  <c r="BJ251" i="1" s="1"/>
  <c r="BK251" i="1" s="1"/>
  <c r="BL251" i="1" s="1"/>
  <c r="BM251" i="1" s="1"/>
  <c r="BN251" i="1" s="1"/>
  <c r="BO251" i="1" s="1"/>
  <c r="BP251" i="1" s="1"/>
  <c r="B2" i="1"/>
  <c r="C2" i="1" s="1"/>
  <c r="D2" i="1" s="1"/>
  <c r="E2" i="1" s="1"/>
  <c r="F2" i="1" s="1"/>
  <c r="G2" i="1" s="1"/>
  <c r="H2" i="1" s="1"/>
  <c r="I2" i="1" s="1"/>
  <c r="J2" i="1" s="1"/>
  <c r="K2" i="1" s="1"/>
  <c r="L2" i="1" s="1"/>
  <c r="M2" i="1" s="1"/>
  <c r="N2" i="1" s="1"/>
  <c r="O2" i="1" s="1"/>
  <c r="P2" i="1" s="1"/>
  <c r="Q2" i="1" s="1"/>
  <c r="R2" i="1" s="1"/>
  <c r="S2" i="1" s="1"/>
  <c r="T2" i="1" s="1"/>
  <c r="U2" i="1" s="1"/>
  <c r="V2" i="1" s="1"/>
  <c r="W2" i="1" s="1"/>
  <c r="X2" i="1" s="1"/>
  <c r="Y2" i="1" s="1"/>
  <c r="Z2" i="1" s="1"/>
  <c r="AA2" i="1" s="1"/>
  <c r="AB2" i="1" s="1"/>
  <c r="AC2" i="1" s="1"/>
  <c r="AD2" i="1" s="1"/>
  <c r="AE2" i="1" s="1"/>
  <c r="AF2" i="1" s="1"/>
  <c r="AG2" i="1" s="1"/>
  <c r="AH2" i="1" s="1"/>
  <c r="AI2" i="1" s="1"/>
  <c r="AJ2" i="1" s="1"/>
  <c r="AK2" i="1" s="1"/>
  <c r="AL2" i="1" s="1"/>
  <c r="AM2" i="1" s="1"/>
  <c r="AN2" i="1" s="1"/>
  <c r="AO2" i="1" s="1"/>
  <c r="AP2" i="1" s="1"/>
  <c r="AQ2" i="1" s="1"/>
  <c r="AR2" i="1" s="1"/>
  <c r="AS2" i="1" s="1"/>
  <c r="AT2" i="1" s="1"/>
  <c r="AU2" i="1" s="1"/>
  <c r="AV2" i="1" s="1"/>
  <c r="AW2" i="1" s="1"/>
  <c r="AX2" i="1" s="1"/>
  <c r="AY2" i="1" s="1"/>
  <c r="AZ2" i="1" s="1"/>
  <c r="BA2" i="1" s="1"/>
  <c r="BB2" i="1" s="1"/>
  <c r="BC2" i="1" s="1"/>
  <c r="BD2" i="1" s="1"/>
  <c r="BE2" i="1" s="1"/>
  <c r="BF2" i="1" s="1"/>
  <c r="BG2" i="1" s="1"/>
  <c r="BH2" i="1" s="1"/>
  <c r="BI2" i="1" s="1"/>
  <c r="BJ2" i="1" s="1"/>
  <c r="BK2" i="1" s="1"/>
  <c r="BL2" i="1" s="1"/>
  <c r="BM2" i="1" s="1"/>
  <c r="BN2" i="1" s="1"/>
  <c r="BO2" i="1" s="1"/>
  <c r="BP2" i="1" s="1"/>
  <c r="V91" i="23" l="1"/>
  <c r="X42" i="22"/>
  <c r="X40" i="23" s="1"/>
  <c r="V91" i="21"/>
  <c r="U90" i="19"/>
  <c r="U91" i="17"/>
  <c r="Z4" i="22"/>
  <c r="O91" i="17"/>
  <c r="U82" i="17"/>
  <c r="U84" i="17"/>
  <c r="K91" i="17"/>
  <c r="S91" i="17"/>
  <c r="W66" i="19"/>
  <c r="X68" i="18"/>
  <c r="W52" i="7"/>
  <c r="W20" i="15"/>
  <c r="AD27" i="7"/>
  <c r="D29" i="15"/>
  <c r="W25" i="7"/>
  <c r="AQ27" i="7"/>
  <c r="W14" i="8"/>
  <c r="W85" i="6"/>
  <c r="W19" i="15"/>
  <c r="Z27" i="7"/>
  <c r="I29" i="8"/>
  <c r="I95" i="6"/>
  <c r="W2" i="15"/>
  <c r="W4" i="15" s="1"/>
  <c r="W47" i="7"/>
  <c r="W70" i="7"/>
  <c r="E29" i="8"/>
  <c r="W98" i="6"/>
  <c r="W48" i="7"/>
  <c r="BN27" i="7"/>
  <c r="Z29" i="8"/>
  <c r="W43" i="8"/>
  <c r="W8" i="15"/>
  <c r="W9" i="7"/>
  <c r="Y27" i="7"/>
  <c r="AB29" i="8"/>
  <c r="W81" i="6"/>
  <c r="C29" i="15"/>
  <c r="W71" i="7"/>
  <c r="BD27" i="7"/>
  <c r="W46" i="8"/>
  <c r="W91" i="6"/>
  <c r="W53" i="7"/>
  <c r="W6" i="7"/>
  <c r="W33" i="8"/>
  <c r="L95" i="6"/>
  <c r="F29" i="15"/>
  <c r="W8" i="7"/>
  <c r="W7" i="7"/>
  <c r="W9" i="8"/>
  <c r="W26" i="8"/>
  <c r="W26" i="15"/>
  <c r="V29" i="15"/>
  <c r="X95" i="6"/>
  <c r="W34" i="7"/>
  <c r="W89" i="6"/>
  <c r="W15" i="7"/>
  <c r="BI27" i="7"/>
  <c r="G29" i="8"/>
  <c r="W97" i="6"/>
  <c r="BH27" i="7"/>
  <c r="J29" i="8"/>
  <c r="Q95" i="6"/>
  <c r="O29" i="15"/>
  <c r="E27" i="7"/>
  <c r="AN27" i="7"/>
  <c r="F29" i="8"/>
  <c r="U95" i="6"/>
  <c r="AM27" i="7"/>
  <c r="W64" i="7"/>
  <c r="B95" i="6"/>
  <c r="W69" i="6"/>
  <c r="W72" i="6" s="1"/>
  <c r="BK27" i="7"/>
  <c r="W37" i="7"/>
  <c r="U29" i="8"/>
  <c r="G95" i="6"/>
  <c r="W16" i="15"/>
  <c r="W32" i="7"/>
  <c r="AN29" i="8"/>
  <c r="W2" i="8"/>
  <c r="W4" i="8" s="1"/>
  <c r="W12" i="15"/>
  <c r="W27" i="7"/>
  <c r="J27" i="7"/>
  <c r="W32" i="8"/>
  <c r="E95" i="6"/>
  <c r="W67" i="7"/>
  <c r="W19" i="8"/>
  <c r="V27" i="7"/>
  <c r="X27" i="7"/>
  <c r="Y95" i="6"/>
  <c r="W33" i="15"/>
  <c r="L27" i="7"/>
  <c r="W12" i="8"/>
  <c r="W44" i="8"/>
  <c r="E29" i="15"/>
  <c r="W60" i="7"/>
  <c r="W19" i="7"/>
  <c r="C29" i="8"/>
  <c r="N95" i="6"/>
  <c r="M29" i="15"/>
  <c r="AA27" i="7"/>
  <c r="W54" i="7"/>
  <c r="W29" i="8"/>
  <c r="P29" i="15"/>
  <c r="BC27" i="7"/>
  <c r="H27" i="7"/>
  <c r="F95" i="6"/>
  <c r="W22" i="15"/>
  <c r="AC27" i="7"/>
  <c r="AZ27" i="7"/>
  <c r="AL29" i="8"/>
  <c r="C95" i="6"/>
  <c r="W49" i="7"/>
  <c r="W14" i="7"/>
  <c r="AO29" i="8"/>
  <c r="W41" i="7"/>
  <c r="J29" i="15"/>
  <c r="AI27" i="7"/>
  <c r="AF27" i="7"/>
  <c r="W31" i="8"/>
  <c r="W95" i="6"/>
  <c r="W43" i="7"/>
  <c r="BF27" i="7"/>
  <c r="W10" i="8"/>
  <c r="W86" i="6"/>
  <c r="W92" i="6"/>
  <c r="X29" i="15"/>
  <c r="W78" i="6"/>
  <c r="C27" i="7"/>
  <c r="AJ27" i="7"/>
  <c r="W27" i="8"/>
  <c r="W37" i="8"/>
  <c r="R29" i="15"/>
  <c r="BJ27" i="7"/>
  <c r="I27" i="7"/>
  <c r="D29" i="8"/>
  <c r="W88" i="6"/>
  <c r="G29" i="15"/>
  <c r="BA27" i="7"/>
  <c r="P29" i="8"/>
  <c r="B29" i="8"/>
  <c r="W2" i="10"/>
  <c r="W4" i="10" s="1"/>
  <c r="W42" i="7"/>
  <c r="M27" i="7"/>
  <c r="M29" i="8"/>
  <c r="W75" i="6"/>
  <c r="W11" i="15"/>
  <c r="W55" i="7"/>
  <c r="W29" i="7"/>
  <c r="AM29" i="8"/>
  <c r="W77" i="6"/>
  <c r="W51" i="7"/>
  <c r="W22" i="7"/>
  <c r="W34" i="8"/>
  <c r="W87" i="6"/>
  <c r="K29" i="15"/>
  <c r="W61" i="7"/>
  <c r="AV27" i="7"/>
  <c r="W13" i="8"/>
  <c r="W23" i="15"/>
  <c r="T27" i="7"/>
  <c r="BL27" i="7"/>
  <c r="W17" i="8"/>
  <c r="W18" i="7"/>
  <c r="W24" i="7"/>
  <c r="O95" i="6"/>
  <c r="W38" i="7"/>
  <c r="W18" i="8"/>
  <c r="W90" i="6"/>
  <c r="B29" i="15"/>
  <c r="W10" i="7"/>
  <c r="AH27" i="7"/>
  <c r="W23" i="8"/>
  <c r="W99" i="6"/>
  <c r="W32" i="15"/>
  <c r="AS27" i="7"/>
  <c r="Q29" i="8"/>
  <c r="W14" i="15"/>
  <c r="W20" i="7"/>
  <c r="W62" i="7"/>
  <c r="N29" i="8"/>
  <c r="W17" i="15"/>
  <c r="G27" i="7"/>
  <c r="AF29" i="8"/>
  <c r="W2" i="7"/>
  <c r="W4" i="7" s="1"/>
  <c r="W21" i="15"/>
  <c r="AR27" i="7"/>
  <c r="O27" i="7"/>
  <c r="AI29" i="8"/>
  <c r="W83" i="6"/>
  <c r="W27" i="15"/>
  <c r="AL27" i="7"/>
  <c r="BG27" i="7"/>
  <c r="W41" i="8"/>
  <c r="W18" i="15"/>
  <c r="W44" i="7"/>
  <c r="BM27" i="7"/>
  <c r="W16" i="8"/>
  <c r="W28" i="8"/>
  <c r="AD29" i="8"/>
  <c r="W84" i="6"/>
  <c r="W40" i="7"/>
  <c r="BO27" i="7"/>
  <c r="W74" i="6"/>
  <c r="H29" i="15"/>
  <c r="W58" i="7"/>
  <c r="W45" i="7"/>
  <c r="W22" i="8"/>
  <c r="K95" i="6"/>
  <c r="W59" i="7"/>
  <c r="W63" i="7"/>
  <c r="R29" i="8"/>
  <c r="AA95" i="6"/>
  <c r="W13" i="15"/>
  <c r="W33" i="7"/>
  <c r="AO27" i="7"/>
  <c r="AE29" i="8"/>
  <c r="W80" i="6"/>
  <c r="W12" i="7"/>
  <c r="W30" i="7"/>
  <c r="AG29" i="8"/>
  <c r="AK27" i="7"/>
  <c r="L29" i="15"/>
  <c r="W66" i="7"/>
  <c r="W11" i="7"/>
  <c r="AJ29" i="8"/>
  <c r="J95" i="6"/>
  <c r="W9" i="15"/>
  <c r="W39" i="7"/>
  <c r="W11" i="8"/>
  <c r="W47" i="8"/>
  <c r="W29" i="15"/>
  <c r="W57" i="7"/>
  <c r="AG27" i="7"/>
  <c r="W40" i="8"/>
  <c r="W20" i="8"/>
  <c r="X29" i="8"/>
  <c r="W94" i="6"/>
  <c r="W15" i="15"/>
  <c r="W56" i="7"/>
  <c r="F27" i="7"/>
  <c r="W24" i="8"/>
  <c r="D95" i="6"/>
  <c r="W31" i="15"/>
  <c r="AY27" i="7"/>
  <c r="W46" i="7"/>
  <c r="O29" i="8"/>
  <c r="Z29" i="15"/>
  <c r="N27" i="7"/>
  <c r="Q27" i="7"/>
  <c r="K29" i="8"/>
  <c r="W79" i="6"/>
  <c r="W24" i="15"/>
  <c r="K27" i="7"/>
  <c r="BE27" i="7"/>
  <c r="W8" i="8"/>
  <c r="H95" i="6"/>
  <c r="U27" i="7"/>
  <c r="AP27" i="7"/>
  <c r="AH29" i="8"/>
  <c r="AK29" i="8"/>
  <c r="AA29" i="15"/>
  <c r="AU27" i="7"/>
  <c r="W21" i="7"/>
  <c r="AC29" i="8"/>
  <c r="Z95" i="6"/>
  <c r="W50" i="7"/>
  <c r="R27" i="7"/>
  <c r="W35" i="8"/>
  <c r="W76" i="6"/>
  <c r="Q29" i="15"/>
  <c r="W31" i="7"/>
  <c r="AE27" i="7"/>
  <c r="W39" i="8"/>
  <c r="V29" i="8"/>
  <c r="V95" i="6"/>
  <c r="W36" i="8"/>
  <c r="W36" i="7"/>
  <c r="AW27" i="7"/>
  <c r="W15" i="8"/>
  <c r="W93" i="6"/>
  <c r="W68" i="7"/>
  <c r="W16" i="7"/>
  <c r="H29" i="8"/>
  <c r="W45" i="8"/>
  <c r="N29" i="15"/>
  <c r="BB27" i="7"/>
  <c r="P27" i="7"/>
  <c r="L29" i="8"/>
  <c r="R95" i="6"/>
  <c r="W10" i="15"/>
  <c r="AB27" i="7"/>
  <c r="Y29" i="8"/>
  <c r="W35" i="7"/>
  <c r="Y29" i="15"/>
  <c r="W69" i="7"/>
  <c r="D27" i="7"/>
  <c r="AA29" i="8"/>
  <c r="P95" i="6"/>
  <c r="U29" i="15"/>
  <c r="W17" i="7"/>
  <c r="B27" i="7"/>
  <c r="W38" i="8"/>
  <c r="M95" i="6"/>
  <c r="W65" i="7"/>
  <c r="W13" i="7"/>
  <c r="W42" i="8"/>
  <c r="W82" i="6"/>
  <c r="I29" i="15"/>
  <c r="AT27" i="7"/>
  <c r="AX27" i="7"/>
  <c r="W21" i="8"/>
  <c r="X47" i="22"/>
  <c r="W45" i="23"/>
  <c r="U72" i="17"/>
  <c r="D91" i="17"/>
  <c r="J91" i="17"/>
  <c r="E91" i="17"/>
  <c r="V2" i="19"/>
  <c r="X4" i="18"/>
  <c r="W4" i="18"/>
  <c r="W2" i="19" s="1"/>
  <c r="AA30" i="22"/>
  <c r="AA28" i="23" s="1"/>
  <c r="Z28" i="23"/>
  <c r="W35" i="17"/>
  <c r="X37" i="16"/>
  <c r="U81" i="17"/>
  <c r="I91" i="17"/>
  <c r="C91" i="17"/>
  <c r="B91" i="17"/>
  <c r="R91" i="17"/>
  <c r="X34" i="18"/>
  <c r="W32" i="19"/>
  <c r="U90" i="17"/>
  <c r="H91" i="17"/>
  <c r="T91" i="17"/>
  <c r="U78" i="17"/>
  <c r="U79" i="17"/>
  <c r="M91" i="17"/>
  <c r="X30" i="22"/>
  <c r="W28" i="23"/>
  <c r="N91" i="17"/>
  <c r="U75" i="17"/>
  <c r="L91" i="17"/>
  <c r="U77" i="17"/>
  <c r="U86" i="17"/>
  <c r="U87" i="17"/>
  <c r="U73" i="17"/>
  <c r="V63" i="19"/>
  <c r="W65" i="18"/>
  <c r="V53" i="19"/>
  <c r="W55" i="18"/>
  <c r="F91" i="17"/>
  <c r="U83" i="17"/>
  <c r="Q91" i="17"/>
  <c r="U85" i="17"/>
  <c r="U80" i="17"/>
  <c r="W25" i="8"/>
  <c r="T29" i="15"/>
  <c r="AA28" i="8"/>
  <c r="AH26" i="7"/>
  <c r="BC26" i="7"/>
  <c r="M26" i="7"/>
  <c r="F94" i="6"/>
  <c r="I28" i="15"/>
  <c r="D26" i="7"/>
  <c r="V21" i="10"/>
  <c r="H28" i="15"/>
  <c r="V22" i="15"/>
  <c r="G94" i="6"/>
  <c r="V23" i="15"/>
  <c r="V98" i="6"/>
  <c r="E28" i="15"/>
  <c r="Z28" i="8"/>
  <c r="AZ26" i="7"/>
  <c r="D28" i="8"/>
  <c r="V29" i="7"/>
  <c r="V33" i="7"/>
  <c r="B94" i="6"/>
  <c r="C28" i="8"/>
  <c r="AY26" i="7"/>
  <c r="V56" i="7"/>
  <c r="V14" i="8"/>
  <c r="V19" i="7"/>
  <c r="V42" i="7"/>
  <c r="M94" i="6"/>
  <c r="V57" i="7"/>
  <c r="P94" i="6"/>
  <c r="V13" i="15"/>
  <c r="Q28" i="10"/>
  <c r="V39" i="7"/>
  <c r="M28" i="10"/>
  <c r="V24" i="15"/>
  <c r="V97" i="6"/>
  <c r="V11" i="10"/>
  <c r="Q94" i="6"/>
  <c r="C28" i="15"/>
  <c r="V74" i="6"/>
  <c r="AG28" i="8"/>
  <c r="V54" i="7"/>
  <c r="V12" i="7"/>
  <c r="K28" i="8"/>
  <c r="BF26" i="7"/>
  <c r="AM26" i="7"/>
  <c r="J28" i="8"/>
  <c r="Z26" i="7"/>
  <c r="H26" i="7"/>
  <c r="V23" i="8"/>
  <c r="V30" i="7"/>
  <c r="AL26" i="7"/>
  <c r="V12" i="15"/>
  <c r="V9" i="15"/>
  <c r="V49" i="7"/>
  <c r="V88" i="6"/>
  <c r="M28" i="15"/>
  <c r="N26" i="7"/>
  <c r="AA94" i="6"/>
  <c r="B28" i="10"/>
  <c r="V28" i="15"/>
  <c r="V32" i="15"/>
  <c r="H28" i="10"/>
  <c r="V82" i="6"/>
  <c r="V18" i="15"/>
  <c r="V46" i="8"/>
  <c r="AF28" i="8"/>
  <c r="AQ26" i="7"/>
  <c r="F28" i="10"/>
  <c r="R28" i="8"/>
  <c r="J26" i="7"/>
  <c r="AU26" i="7"/>
  <c r="Q28" i="8"/>
  <c r="BO26" i="7"/>
  <c r="V24" i="8"/>
  <c r="V47" i="7"/>
  <c r="BD26" i="7"/>
  <c r="AE26" i="7"/>
  <c r="K94" i="6"/>
  <c r="K28" i="15"/>
  <c r="V8" i="10"/>
  <c r="AK26" i="7"/>
  <c r="V84" i="6"/>
  <c r="V28" i="10"/>
  <c r="AB26" i="7"/>
  <c r="N94" i="6"/>
  <c r="U28" i="15"/>
  <c r="V66" i="7"/>
  <c r="V31" i="15"/>
  <c r="V33" i="15"/>
  <c r="R94" i="6"/>
  <c r="R28" i="10"/>
  <c r="V45" i="8"/>
  <c r="AM28" i="8"/>
  <c r="O26" i="7"/>
  <c r="C28" i="10"/>
  <c r="Y28" i="8"/>
  <c r="V63" i="7"/>
  <c r="V18" i="10"/>
  <c r="V42" i="8"/>
  <c r="P28" i="8"/>
  <c r="V35" i="7"/>
  <c r="V16" i="10"/>
  <c r="I28" i="8"/>
  <c r="K26" i="7"/>
  <c r="V16" i="15"/>
  <c r="V8" i="8"/>
  <c r="V35" i="8"/>
  <c r="V26" i="7"/>
  <c r="V10" i="15"/>
  <c r="U94" i="6"/>
  <c r="B28" i="15"/>
  <c r="V41" i="7"/>
  <c r="V76" i="6"/>
  <c r="N28" i="10"/>
  <c r="V20" i="7"/>
  <c r="Z28" i="15"/>
  <c r="D94" i="6"/>
  <c r="V12" i="10"/>
  <c r="V11" i="15"/>
  <c r="V83" i="6"/>
  <c r="Z94" i="6"/>
  <c r="N28" i="15"/>
  <c r="V68" i="7"/>
  <c r="V6" i="7"/>
  <c r="V64" i="7"/>
  <c r="P28" i="10"/>
  <c r="V43" i="8"/>
  <c r="AA26" i="7"/>
  <c r="V13" i="10"/>
  <c r="V9" i="8"/>
  <c r="V31" i="7"/>
  <c r="V47" i="8"/>
  <c r="H28" i="8"/>
  <c r="P26" i="7"/>
  <c r="V9" i="10"/>
  <c r="V33" i="8"/>
  <c r="V43" i="7"/>
  <c r="V52" i="7"/>
  <c r="F28" i="8"/>
  <c r="V11" i="8"/>
  <c r="V70" i="7"/>
  <c r="G28" i="10"/>
  <c r="H94" i="6"/>
  <c r="V59" i="7"/>
  <c r="V44" i="7"/>
  <c r="V55" i="7"/>
  <c r="V78" i="6"/>
  <c r="V24" i="10"/>
  <c r="BK26" i="7"/>
  <c r="V77" i="6"/>
  <c r="V69" i="6"/>
  <c r="V72" i="6" s="1"/>
  <c r="V94" i="6"/>
  <c r="E28" i="10"/>
  <c r="V61" i="7"/>
  <c r="D28" i="15"/>
  <c r="E94" i="6"/>
  <c r="V14" i="15"/>
  <c r="D28" i="10"/>
  <c r="E28" i="8"/>
  <c r="V38" i="7"/>
  <c r="V40" i="7"/>
  <c r="Q28" i="15"/>
  <c r="V44" i="8"/>
  <c r="AE28" i="8"/>
  <c r="V71" i="7"/>
  <c r="V37" i="8"/>
  <c r="V7" i="7"/>
  <c r="T26" i="7"/>
  <c r="V23" i="10"/>
  <c r="AL28" i="8"/>
  <c r="O28" i="8"/>
  <c r="O28" i="15"/>
  <c r="M28" i="8"/>
  <c r="V53" i="7"/>
  <c r="U26" i="7"/>
  <c r="U28" i="10"/>
  <c r="V81" i="6"/>
  <c r="V15" i="10"/>
  <c r="V58" i="7"/>
  <c r="AV26" i="7"/>
  <c r="V2" i="10"/>
  <c r="V4" i="10" s="1"/>
  <c r="AT26" i="7"/>
  <c r="V10" i="10"/>
  <c r="I94" i="6"/>
  <c r="P28" i="15"/>
  <c r="J94" i="6"/>
  <c r="V15" i="15"/>
  <c r="V22" i="10"/>
  <c r="V14" i="10"/>
  <c r="L28" i="8"/>
  <c r="Q26" i="7"/>
  <c r="V32" i="7"/>
  <c r="Y94" i="6"/>
  <c r="V12" i="8"/>
  <c r="B26" i="7"/>
  <c r="V51" i="7"/>
  <c r="V8" i="15"/>
  <c r="V13" i="8"/>
  <c r="V37" i="7"/>
  <c r="V9" i="7"/>
  <c r="L28" i="10"/>
  <c r="C26" i="7"/>
  <c r="F28" i="15"/>
  <c r="V2" i="7"/>
  <c r="V4" i="7" s="1"/>
  <c r="V10" i="8"/>
  <c r="E26" i="7"/>
  <c r="L28" i="15"/>
  <c r="BE26" i="7"/>
  <c r="BH26" i="7"/>
  <c r="Y28" i="15"/>
  <c r="V69" i="7"/>
  <c r="J28" i="10"/>
  <c r="V2" i="15"/>
  <c r="V4" i="15" s="1"/>
  <c r="BJ26" i="7"/>
  <c r="V75" i="6"/>
  <c r="G28" i="15"/>
  <c r="O28" i="10"/>
  <c r="AA28" i="15"/>
  <c r="L94" i="6"/>
  <c r="V21" i="15"/>
  <c r="V89" i="6"/>
  <c r="BB26" i="7"/>
  <c r="V21" i="8"/>
  <c r="AG26" i="7"/>
  <c r="F26" i="7"/>
  <c r="V22" i="8"/>
  <c r="V11" i="7"/>
  <c r="BA26" i="7"/>
  <c r="O94" i="6"/>
  <c r="V38" i="8"/>
  <c r="V45" i="7"/>
  <c r="BL26" i="7"/>
  <c r="V87" i="6"/>
  <c r="V19" i="10"/>
  <c r="U68" i="17"/>
  <c r="U70" i="17" s="1"/>
  <c r="G91" i="17"/>
  <c r="P91" i="17"/>
  <c r="U88" i="17"/>
  <c r="V7" i="19"/>
  <c r="W9" i="18"/>
  <c r="T95" i="6"/>
  <c r="W11" i="18"/>
  <c r="V9" i="19"/>
  <c r="V46" i="7"/>
  <c r="V34" i="19"/>
  <c r="W36" i="18"/>
  <c r="U87" i="6"/>
  <c r="U61" i="7"/>
  <c r="U79" i="6"/>
  <c r="U93" i="6"/>
  <c r="I93" i="6"/>
  <c r="U10" i="15"/>
  <c r="U31" i="15"/>
  <c r="J27" i="10"/>
  <c r="K27" i="10"/>
  <c r="J27" i="15"/>
  <c r="AA27" i="15"/>
  <c r="U15" i="15"/>
  <c r="U12" i="7"/>
  <c r="U49" i="7"/>
  <c r="AS25" i="7"/>
  <c r="BH25" i="7"/>
  <c r="AC25" i="7"/>
  <c r="U36" i="7"/>
  <c r="U33" i="7"/>
  <c r="BN25" i="7"/>
  <c r="BF25" i="7"/>
  <c r="BE25" i="7"/>
  <c r="U46" i="7"/>
  <c r="U10" i="8"/>
  <c r="U33" i="8"/>
  <c r="I27" i="8"/>
  <c r="J27" i="8"/>
  <c r="AA27" i="8"/>
  <c r="E27" i="8"/>
  <c r="U2" i="8"/>
  <c r="U4" i="8" s="1"/>
  <c r="U53" i="7"/>
  <c r="AK27" i="8"/>
  <c r="U35" i="7"/>
  <c r="U88" i="6"/>
  <c r="L93" i="6"/>
  <c r="U76" i="6"/>
  <c r="U78" i="6"/>
  <c r="Z93" i="6"/>
  <c r="U14" i="15"/>
  <c r="U23" i="10"/>
  <c r="U23" i="15"/>
  <c r="C27" i="10"/>
  <c r="H27" i="15"/>
  <c r="U2" i="15"/>
  <c r="U4" i="15" s="1"/>
  <c r="U11" i="15"/>
  <c r="Q27" i="15"/>
  <c r="E27" i="10"/>
  <c r="K27" i="15"/>
  <c r="G25" i="7"/>
  <c r="U64" i="7"/>
  <c r="U56" i="7"/>
  <c r="BK25" i="7"/>
  <c r="U39" i="7"/>
  <c r="Z25" i="7"/>
  <c r="U47" i="7"/>
  <c r="U45" i="7"/>
  <c r="I25" i="7"/>
  <c r="U18" i="8"/>
  <c r="U41" i="8"/>
  <c r="Q27" i="8"/>
  <c r="R27" i="8"/>
  <c r="AI27" i="8"/>
  <c r="U27" i="8"/>
  <c r="U47" i="8"/>
  <c r="M93" i="6"/>
  <c r="M27" i="15"/>
  <c r="P27" i="8"/>
  <c r="G93" i="6"/>
  <c r="U83" i="6"/>
  <c r="C93" i="6"/>
  <c r="U82" i="6"/>
  <c r="U14" i="10"/>
  <c r="U15" i="10"/>
  <c r="D27" i="10"/>
  <c r="L27" i="15"/>
  <c r="Z27" i="15"/>
  <c r="O27" i="10"/>
  <c r="U18" i="15"/>
  <c r="R27" i="15"/>
  <c r="U44" i="7"/>
  <c r="U67" i="7"/>
  <c r="U48" i="7"/>
  <c r="BB25" i="7"/>
  <c r="U69" i="7"/>
  <c r="AI25" i="7"/>
  <c r="U31" i="7"/>
  <c r="AP25" i="7"/>
  <c r="AR25" i="7"/>
  <c r="U6" i="7"/>
  <c r="U7" i="7"/>
  <c r="F27" i="8"/>
  <c r="U16" i="8"/>
  <c r="Y27" i="8"/>
  <c r="Z27" i="8"/>
  <c r="U12" i="8"/>
  <c r="AC27" i="8"/>
  <c r="B27" i="8"/>
  <c r="U60" i="7"/>
  <c r="AE25" i="7"/>
  <c r="P27" i="15"/>
  <c r="U20" i="7"/>
  <c r="AH27" i="8"/>
  <c r="Y93" i="6"/>
  <c r="U10" i="10"/>
  <c r="H93" i="6"/>
  <c r="U81" i="6"/>
  <c r="Q27" i="10"/>
  <c r="U8" i="15"/>
  <c r="U12" i="10"/>
  <c r="E27" i="15"/>
  <c r="C27" i="15"/>
  <c r="U16" i="10"/>
  <c r="Y27" i="15"/>
  <c r="F27" i="10"/>
  <c r="H25" i="7"/>
  <c r="BJ25" i="7"/>
  <c r="U9" i="7"/>
  <c r="U10" i="7"/>
  <c r="U32" i="7"/>
  <c r="U70" i="7"/>
  <c r="K25" i="7"/>
  <c r="BG25" i="7"/>
  <c r="BM25" i="7"/>
  <c r="R25" i="7"/>
  <c r="Y25" i="7"/>
  <c r="AL27" i="8"/>
  <c r="H27" i="8"/>
  <c r="AG27" i="8"/>
  <c r="U38" i="8"/>
  <c r="D27" i="8"/>
  <c r="U35" i="8"/>
  <c r="U42" i="8"/>
  <c r="AK25" i="7"/>
  <c r="BD25" i="7"/>
  <c r="U37" i="8"/>
  <c r="U22" i="15"/>
  <c r="U80" i="6"/>
  <c r="U77" i="6"/>
  <c r="U97" i="6"/>
  <c r="R93" i="6"/>
  <c r="F93" i="6"/>
  <c r="I27" i="10"/>
  <c r="U13" i="10"/>
  <c r="U11" i="10"/>
  <c r="U51" i="7"/>
  <c r="G27" i="10"/>
  <c r="U33" i="15"/>
  <c r="G27" i="15"/>
  <c r="U18" i="10"/>
  <c r="U50" i="7"/>
  <c r="U16" i="7"/>
  <c r="AL25" i="7"/>
  <c r="D25" i="7"/>
  <c r="AJ25" i="7"/>
  <c r="AA25" i="7"/>
  <c r="BO25" i="7"/>
  <c r="AX25" i="7"/>
  <c r="U29" i="7"/>
  <c r="AO25" i="7"/>
  <c r="U21" i="7"/>
  <c r="U34" i="8"/>
  <c r="AF27" i="8"/>
  <c r="AO27" i="8"/>
  <c r="U13" i="8"/>
  <c r="L27" i="8"/>
  <c r="U9" i="8"/>
  <c r="U46" i="8"/>
  <c r="U43" i="8"/>
  <c r="M25" i="7"/>
  <c r="U22" i="10"/>
  <c r="U38" i="7"/>
  <c r="U40" i="8"/>
  <c r="D93" i="6"/>
  <c r="U69" i="6"/>
  <c r="U72" i="6" s="1"/>
  <c r="E93" i="6"/>
  <c r="U75" i="6"/>
  <c r="U99" i="6"/>
  <c r="U21" i="15"/>
  <c r="U8" i="10"/>
  <c r="U2" i="10"/>
  <c r="U4" i="10" s="1"/>
  <c r="U13" i="15"/>
  <c r="BL25" i="7"/>
  <c r="U17" i="15"/>
  <c r="D27" i="15"/>
  <c r="I27" i="15"/>
  <c r="U58" i="7"/>
  <c r="U8" i="7"/>
  <c r="AT25" i="7"/>
  <c r="AU25" i="7"/>
  <c r="BI25" i="7"/>
  <c r="U15" i="7"/>
  <c r="U71" i="7"/>
  <c r="U54" i="7"/>
  <c r="Q25" i="7"/>
  <c r="AG25" i="7"/>
  <c r="U13" i="7"/>
  <c r="U17" i="8"/>
  <c r="AN27" i="8"/>
  <c r="U31" i="8"/>
  <c r="U21" i="8"/>
  <c r="AB27" i="8"/>
  <c r="U44" i="8"/>
  <c r="U41" i="7"/>
  <c r="M27" i="10"/>
  <c r="P93" i="6"/>
  <c r="P27" i="10"/>
  <c r="P25" i="7"/>
  <c r="U22" i="8"/>
  <c r="Q93" i="6"/>
  <c r="O93" i="6"/>
  <c r="J93" i="6"/>
  <c r="U89" i="6"/>
  <c r="L27" i="10"/>
  <c r="U12" i="15"/>
  <c r="U66" i="7"/>
  <c r="U21" i="10"/>
  <c r="U9" i="15"/>
  <c r="U17" i="10"/>
  <c r="U9" i="10"/>
  <c r="U27" i="15"/>
  <c r="B27" i="15"/>
  <c r="U68" i="7"/>
  <c r="AF25" i="7"/>
  <c r="AN25" i="7"/>
  <c r="L25" i="7"/>
  <c r="AZ25" i="7"/>
  <c r="AQ25" i="7"/>
  <c r="E25" i="7"/>
  <c r="U14" i="7"/>
  <c r="U19" i="7"/>
  <c r="U37" i="7"/>
  <c r="C25" i="7"/>
  <c r="G27" i="8"/>
  <c r="U15" i="8"/>
  <c r="U39" i="8"/>
  <c r="C27" i="8"/>
  <c r="AJ27" i="8"/>
  <c r="U8" i="8"/>
  <c r="AE27" i="8"/>
  <c r="AH25" i="7"/>
  <c r="U84" i="6"/>
  <c r="B93" i="6"/>
  <c r="U74" i="6"/>
  <c r="K93" i="6"/>
  <c r="AA93" i="6"/>
  <c r="U27" i="10"/>
  <c r="U65" i="7"/>
  <c r="H27" i="10"/>
  <c r="R27" i="10"/>
  <c r="U16" i="15"/>
  <c r="O27" i="15"/>
  <c r="U42" i="7"/>
  <c r="B27" i="10"/>
  <c r="F27" i="15"/>
  <c r="AB25" i="7"/>
  <c r="U25" i="7"/>
  <c r="U40" i="7"/>
  <c r="O25" i="7"/>
  <c r="F25" i="7"/>
  <c r="U63" i="7"/>
  <c r="U62" i="7"/>
  <c r="U11" i="7"/>
  <c r="J25" i="7"/>
  <c r="B25" i="7"/>
  <c r="O27" i="8"/>
  <c r="U23" i="8"/>
  <c r="U14" i="8"/>
  <c r="K27" i="8"/>
  <c r="U11" i="8"/>
  <c r="U2" i="7"/>
  <c r="U4" i="7" s="1"/>
  <c r="AW25" i="7"/>
  <c r="M27" i="8"/>
  <c r="U43" i="7"/>
  <c r="U24" i="15"/>
  <c r="U22" i="7"/>
  <c r="AY25" i="7"/>
  <c r="U32" i="8"/>
  <c r="U59" i="7"/>
  <c r="N27" i="10"/>
  <c r="N27" i="8"/>
  <c r="AD25" i="7"/>
  <c r="AM27" i="8"/>
  <c r="U90" i="6"/>
  <c r="U24" i="10"/>
  <c r="U32" i="15"/>
  <c r="U98" i="6"/>
  <c r="U34" i="7"/>
  <c r="U57" i="7"/>
  <c r="BC25" i="7"/>
  <c r="AM25" i="7"/>
  <c r="U55" i="7"/>
  <c r="BA25" i="7"/>
  <c r="U30" i="7"/>
  <c r="U45" i="8"/>
  <c r="U24" i="8"/>
  <c r="AV25" i="7"/>
  <c r="N93" i="6"/>
  <c r="N27" i="15"/>
  <c r="N25" i="7"/>
  <c r="AD27" i="8"/>
  <c r="U36" i="8"/>
  <c r="U52" i="7"/>
  <c r="V27" i="15"/>
  <c r="T25" i="7"/>
  <c r="U26" i="15"/>
  <c r="T27" i="15"/>
  <c r="U26" i="10"/>
  <c r="T27" i="8"/>
  <c r="V27" i="10"/>
  <c r="T93" i="6"/>
  <c r="T27" i="10"/>
  <c r="U26" i="8"/>
  <c r="V67" i="7"/>
  <c r="U74" i="17"/>
  <c r="U76" i="17"/>
  <c r="W27" i="23"/>
  <c r="X29" i="22"/>
  <c r="V58" i="19"/>
  <c r="W60" i="18"/>
  <c r="W19" i="18"/>
  <c r="V17" i="19"/>
  <c r="X20" i="15"/>
  <c r="X52" i="7"/>
  <c r="X86" i="6"/>
  <c r="AD28" i="7"/>
  <c r="X34" i="7"/>
  <c r="AD30" i="8"/>
  <c r="X36" i="8"/>
  <c r="X18" i="7"/>
  <c r="X20" i="8"/>
  <c r="AK28" i="7"/>
  <c r="AK30" i="8"/>
  <c r="H96" i="6"/>
  <c r="X97" i="6"/>
  <c r="K96" i="6"/>
  <c r="S96" i="6"/>
  <c r="X75" i="6"/>
  <c r="J96" i="6"/>
  <c r="F30" i="15"/>
  <c r="X18" i="15"/>
  <c r="R30" i="15"/>
  <c r="X23" i="15"/>
  <c r="X11" i="15"/>
  <c r="X61" i="7"/>
  <c r="X7" i="7"/>
  <c r="X49" i="7"/>
  <c r="X65" i="7"/>
  <c r="AF28" i="7"/>
  <c r="BJ28" i="7"/>
  <c r="AT28" i="7"/>
  <c r="X25" i="7"/>
  <c r="X10" i="7"/>
  <c r="BL28" i="7"/>
  <c r="X45" i="7"/>
  <c r="X38" i="7"/>
  <c r="S28" i="7"/>
  <c r="X11" i="7"/>
  <c r="X29" i="7"/>
  <c r="X21" i="7"/>
  <c r="AO30" i="8"/>
  <c r="X27" i="8"/>
  <c r="X18" i="8"/>
  <c r="X25" i="8"/>
  <c r="X24" i="8"/>
  <c r="G30" i="8"/>
  <c r="X22" i="8"/>
  <c r="X46" i="8"/>
  <c r="X38" i="8"/>
  <c r="X92" i="6"/>
  <c r="V28" i="7"/>
  <c r="X41" i="7"/>
  <c r="Z96" i="6"/>
  <c r="P96" i="6"/>
  <c r="M96" i="6"/>
  <c r="U96" i="6"/>
  <c r="X82" i="6"/>
  <c r="D96" i="6"/>
  <c r="G30" i="15"/>
  <c r="X2" i="10"/>
  <c r="X4" i="10" s="1"/>
  <c r="H30" i="15"/>
  <c r="W28" i="7"/>
  <c r="X16" i="15"/>
  <c r="Y30" i="15"/>
  <c r="X48" i="7"/>
  <c r="X56" i="7"/>
  <c r="X50" i="7"/>
  <c r="X9" i="7"/>
  <c r="AL28" i="7"/>
  <c r="X51" i="7"/>
  <c r="X67" i="7"/>
  <c r="X70" i="7"/>
  <c r="X36" i="7"/>
  <c r="X55" i="7"/>
  <c r="AH28" i="7"/>
  <c r="X23" i="7"/>
  <c r="Q28" i="7"/>
  <c r="I28" i="7"/>
  <c r="X13" i="7"/>
  <c r="X12" i="8"/>
  <c r="C30" i="8"/>
  <c r="D30" i="8"/>
  <c r="E30" i="8"/>
  <c r="F30" i="8"/>
  <c r="O30" i="8"/>
  <c r="H30" i="8"/>
  <c r="X2" i="7"/>
  <c r="X4" i="7" s="1"/>
  <c r="X35" i="7"/>
  <c r="V30" i="15"/>
  <c r="T96" i="6"/>
  <c r="C96" i="6"/>
  <c r="X87" i="6"/>
  <c r="X83" i="6"/>
  <c r="X81" i="6"/>
  <c r="X80" i="6"/>
  <c r="X10" i="15"/>
  <c r="C30" i="15"/>
  <c r="W30" i="15"/>
  <c r="B30" i="15"/>
  <c r="X19" i="15"/>
  <c r="X66" i="7"/>
  <c r="U28" i="7"/>
  <c r="AC28" i="7"/>
  <c r="X60" i="7"/>
  <c r="X71" i="7"/>
  <c r="AZ28" i="7"/>
  <c r="X57" i="7"/>
  <c r="M28" i="7"/>
  <c r="AV28" i="7"/>
  <c r="X64" i="7"/>
  <c r="X15" i="7"/>
  <c r="BN28" i="7"/>
  <c r="BG28" i="7"/>
  <c r="X54" i="7"/>
  <c r="C28" i="7"/>
  <c r="X13" i="8"/>
  <c r="J30" i="8"/>
  <c r="K30" i="8"/>
  <c r="L30" i="8"/>
  <c r="M30" i="8"/>
  <c r="N30" i="8"/>
  <c r="W30" i="8"/>
  <c r="P30" i="8"/>
  <c r="B30" i="8"/>
  <c r="X37" i="8"/>
  <c r="R96" i="6"/>
  <c r="O96" i="6"/>
  <c r="E96" i="6"/>
  <c r="X76" i="6"/>
  <c r="Q96" i="6"/>
  <c r="Y96" i="6"/>
  <c r="X8" i="15"/>
  <c r="X22" i="15"/>
  <c r="X30" i="15"/>
  <c r="X14" i="15"/>
  <c r="L30" i="15"/>
  <c r="X68" i="7"/>
  <c r="X59" i="7"/>
  <c r="X28" i="7"/>
  <c r="X16" i="7"/>
  <c r="X44" i="7"/>
  <c r="X12" i="7"/>
  <c r="X62" i="7"/>
  <c r="BA28" i="7"/>
  <c r="X24" i="15"/>
  <c r="BK28" i="7"/>
  <c r="AY28" i="7"/>
  <c r="X31" i="7"/>
  <c r="X14" i="7"/>
  <c r="BF28" i="7"/>
  <c r="BM28" i="7"/>
  <c r="Y28" i="7"/>
  <c r="X21" i="8"/>
  <c r="R30" i="8"/>
  <c r="S30" i="8"/>
  <c r="T30" i="8"/>
  <c r="U30" i="8"/>
  <c r="AL30" i="8"/>
  <c r="AE30" i="8"/>
  <c r="X30" i="8"/>
  <c r="X9" i="8"/>
  <c r="V30" i="8"/>
  <c r="X26" i="7"/>
  <c r="X28" i="8"/>
  <c r="X28" i="15"/>
  <c r="L96" i="6"/>
  <c r="X84" i="6"/>
  <c r="W96" i="6"/>
  <c r="X90" i="6"/>
  <c r="AA96" i="6"/>
  <c r="B96" i="6"/>
  <c r="X21" i="15"/>
  <c r="K30" i="15"/>
  <c r="D30" i="15"/>
  <c r="J30" i="15"/>
  <c r="O30" i="15"/>
  <c r="X15" i="15"/>
  <c r="D28" i="7"/>
  <c r="O28" i="7"/>
  <c r="G28" i="7"/>
  <c r="X27" i="15"/>
  <c r="AB28" i="7"/>
  <c r="AM28" i="7"/>
  <c r="P28" i="7"/>
  <c r="H28" i="7"/>
  <c r="X42" i="7"/>
  <c r="K28" i="7"/>
  <c r="X63" i="7"/>
  <c r="BD28" i="7"/>
  <c r="X30" i="7"/>
  <c r="X37" i="7"/>
  <c r="B28" i="7"/>
  <c r="I30" i="8"/>
  <c r="Z30" i="8"/>
  <c r="AA30" i="8"/>
  <c r="AB30" i="8"/>
  <c r="AC30" i="8"/>
  <c r="X32" i="8"/>
  <c r="AM30" i="8"/>
  <c r="AF30" i="8"/>
  <c r="X2" i="8"/>
  <c r="X4" i="8" s="1"/>
  <c r="X94" i="6"/>
  <c r="G96" i="6"/>
  <c r="X69" i="6"/>
  <c r="X72" i="6" s="1"/>
  <c r="X77" i="6"/>
  <c r="X89" i="6"/>
  <c r="F96" i="6"/>
  <c r="N96" i="6"/>
  <c r="X13" i="15"/>
  <c r="I30" i="15"/>
  <c r="Z30" i="15"/>
  <c r="N30" i="15"/>
  <c r="M30" i="15"/>
  <c r="X17" i="15"/>
  <c r="AR28" i="7"/>
  <c r="BC28" i="7"/>
  <c r="L28" i="7"/>
  <c r="N28" i="7"/>
  <c r="BB28" i="7"/>
  <c r="E28" i="7"/>
  <c r="AS28" i="7"/>
  <c r="X20" i="7"/>
  <c r="X9" i="15"/>
  <c r="BO28" i="7"/>
  <c r="X39" i="7"/>
  <c r="X47" i="7"/>
  <c r="Z28" i="7"/>
  <c r="R28" i="7"/>
  <c r="X22" i="7"/>
  <c r="Q30" i="8"/>
  <c r="AH30" i="8"/>
  <c r="AI30" i="8"/>
  <c r="AJ30" i="8"/>
  <c r="X33" i="8"/>
  <c r="X40" i="8"/>
  <c r="X31" i="8"/>
  <c r="AN30" i="8"/>
  <c r="X44" i="8"/>
  <c r="X85" i="6"/>
  <c r="X31" i="15"/>
  <c r="X91" i="6"/>
  <c r="X74" i="6"/>
  <c r="X88" i="6"/>
  <c r="X78" i="6"/>
  <c r="S30" i="15"/>
  <c r="T30" i="15"/>
  <c r="P30" i="15"/>
  <c r="U30" i="15"/>
  <c r="X33" i="15"/>
  <c r="X32" i="15"/>
  <c r="X33" i="7"/>
  <c r="X17" i="7"/>
  <c r="AU28" i="7"/>
  <c r="AN28" i="7"/>
  <c r="T28" i="7"/>
  <c r="AE28" i="7"/>
  <c r="J28" i="7"/>
  <c r="X53" i="7"/>
  <c r="X69" i="7"/>
  <c r="AI28" i="7"/>
  <c r="AA28" i="7"/>
  <c r="AX28" i="7"/>
  <c r="X6" i="7"/>
  <c r="BE28" i="7"/>
  <c r="AG28" i="7"/>
  <c r="Y30" i="8"/>
  <c r="X11" i="8"/>
  <c r="X35" i="8"/>
  <c r="X34" i="8"/>
  <c r="X41" i="8"/>
  <c r="X15" i="8"/>
  <c r="X39" i="8"/>
  <c r="X42" i="8"/>
  <c r="X45" i="8"/>
  <c r="X24" i="7"/>
  <c r="X43" i="8"/>
  <c r="V96" i="6"/>
  <c r="X99" i="6"/>
  <c r="X98" i="6"/>
  <c r="X96" i="6"/>
  <c r="I96" i="6"/>
  <c r="X79" i="6"/>
  <c r="X93" i="6"/>
  <c r="Q30" i="15"/>
  <c r="E30" i="15"/>
  <c r="X2" i="15"/>
  <c r="X4" i="15" s="1"/>
  <c r="X12" i="15"/>
  <c r="X25" i="15"/>
  <c r="AA30" i="15"/>
  <c r="AJ28" i="7"/>
  <c r="BI28" i="7"/>
  <c r="X8" i="7"/>
  <c r="F28" i="7"/>
  <c r="BH28" i="7"/>
  <c r="X40" i="7"/>
  <c r="X32" i="7"/>
  <c r="X43" i="7"/>
  <c r="X58" i="7"/>
  <c r="AQ28" i="7"/>
  <c r="AP28" i="7"/>
  <c r="X46" i="7"/>
  <c r="X19" i="7"/>
  <c r="AW28" i="7"/>
  <c r="AO28" i="7"/>
  <c r="AG30" i="8"/>
  <c r="X19" i="8"/>
  <c r="X10" i="8"/>
  <c r="X17" i="8"/>
  <c r="X16" i="8"/>
  <c r="X23" i="8"/>
  <c r="X14" i="8"/>
  <c r="X47" i="8"/>
  <c r="X8" i="8"/>
  <c r="X26" i="8"/>
  <c r="AD26" i="7"/>
  <c r="T28" i="8"/>
  <c r="V20" i="8"/>
  <c r="V23" i="17"/>
  <c r="W25" i="16"/>
  <c r="X63" i="20"/>
  <c r="W61" i="21"/>
  <c r="Y20" i="18"/>
  <c r="X18" i="19"/>
  <c r="Z14" i="20"/>
  <c r="Y12" i="21"/>
  <c r="Y22" i="20"/>
  <c r="X20" i="21"/>
  <c r="X50" i="20"/>
  <c r="W48" i="21"/>
  <c r="Y53" i="20"/>
  <c r="X51" i="21"/>
  <c r="Y13" i="20"/>
  <c r="X11" i="21"/>
  <c r="W26" i="23"/>
  <c r="X28" i="22"/>
  <c r="W18" i="17"/>
  <c r="X20" i="16"/>
  <c r="V14" i="17"/>
  <c r="W16" i="16"/>
  <c r="X68" i="20"/>
  <c r="W66" i="21"/>
  <c r="X19" i="20"/>
  <c r="W17" i="21"/>
  <c r="W30" i="23"/>
  <c r="X32" i="22"/>
  <c r="X24" i="20"/>
  <c r="W22" i="21"/>
  <c r="V7" i="17"/>
  <c r="W9" i="16"/>
  <c r="W61" i="23"/>
  <c r="X63" i="22"/>
  <c r="V40" i="19"/>
  <c r="W42" i="18"/>
  <c r="V21" i="17"/>
  <c r="W23" i="16"/>
  <c r="X42" i="16"/>
  <c r="W40" i="17"/>
  <c r="Z53" i="18"/>
  <c r="Y51" i="19"/>
  <c r="W61" i="17"/>
  <c r="X63" i="16"/>
  <c r="X35" i="23"/>
  <c r="Y37" i="22"/>
  <c r="W38" i="17"/>
  <c r="X40" i="16"/>
  <c r="Y46" i="16"/>
  <c r="V44" i="17"/>
  <c r="W46" i="16"/>
  <c r="X26" i="19"/>
  <c r="Y28" i="18"/>
  <c r="W7" i="23"/>
  <c r="X9" i="22"/>
  <c r="X9" i="20"/>
  <c r="W7" i="21"/>
  <c r="Y36" i="23"/>
  <c r="Z38" i="22"/>
  <c r="W29" i="18"/>
  <c r="V27" i="19"/>
  <c r="W29" i="16"/>
  <c r="V27" i="17"/>
  <c r="Z5" i="23"/>
  <c r="AA7" i="22"/>
  <c r="AA5" i="23" s="1"/>
  <c r="W58" i="23"/>
  <c r="X60" i="22"/>
  <c r="V59" i="19"/>
  <c r="W61" i="18"/>
  <c r="W13" i="23"/>
  <c r="X15" i="22"/>
  <c r="W25" i="17"/>
  <c r="X27" i="16"/>
  <c r="X24" i="22"/>
  <c r="W22" i="23"/>
  <c r="W49" i="16"/>
  <c r="V47" i="17"/>
  <c r="X16" i="20"/>
  <c r="W14" i="21"/>
  <c r="V54" i="17"/>
  <c r="W56" i="16"/>
  <c r="W3" i="23"/>
  <c r="X5" i="22"/>
  <c r="Y19" i="22"/>
  <c r="X17" i="23"/>
  <c r="W29" i="23"/>
  <c r="X31" i="22"/>
  <c r="Z7" i="18"/>
  <c r="Z5" i="19" s="1"/>
  <c r="AA7" i="18"/>
  <c r="AA5" i="19" s="1"/>
  <c r="Y5" i="19"/>
  <c r="Y23" i="22"/>
  <c r="X21" i="23"/>
  <c r="AA56" i="22"/>
  <c r="AA54" i="23" s="1"/>
  <c r="Z54" i="23"/>
  <c r="V29" i="19"/>
  <c r="W31" i="18"/>
  <c r="W50" i="23"/>
  <c r="X52" i="22"/>
  <c r="X29" i="17"/>
  <c r="Y31" i="16"/>
  <c r="Z40" i="22"/>
  <c r="Y38" i="23"/>
  <c r="X2" i="17"/>
  <c r="Y4" i="16"/>
  <c r="V64" i="19"/>
  <c r="W66" i="18"/>
  <c r="V48" i="17"/>
  <c r="W50" i="16"/>
  <c r="V45" i="17"/>
  <c r="W47" i="16"/>
  <c r="W22" i="17"/>
  <c r="X24" i="16"/>
  <c r="Z5" i="16"/>
  <c r="Y3" i="17"/>
  <c r="W38" i="18"/>
  <c r="V36" i="19"/>
  <c r="V52" i="17"/>
  <c r="W54" i="16"/>
  <c r="AA27" i="18"/>
  <c r="AA25" i="19" s="1"/>
  <c r="Z25" i="19"/>
  <c r="X42" i="20"/>
  <c r="W40" i="21"/>
  <c r="V22" i="19"/>
  <c r="W24" i="18"/>
  <c r="X61" i="19"/>
  <c r="Y63" i="18"/>
  <c r="X36" i="20"/>
  <c r="W34" i="21"/>
  <c r="AA53" i="16"/>
  <c r="AA51" i="17" s="1"/>
  <c r="Z51" i="17"/>
  <c r="Y15" i="20"/>
  <c r="X13" i="21"/>
  <c r="W48" i="16"/>
  <c r="V46" i="17"/>
  <c r="Y64" i="16"/>
  <c r="X62" i="17"/>
  <c r="W41" i="17"/>
  <c r="X43" i="16"/>
  <c r="W55" i="16"/>
  <c r="V53" i="17"/>
  <c r="Y33" i="22"/>
  <c r="X31" i="23"/>
  <c r="X35" i="20"/>
  <c r="W33" i="21"/>
  <c r="X48" i="20"/>
  <c r="W46" i="21"/>
  <c r="X56" i="20"/>
  <c r="W54" i="21"/>
  <c r="X26" i="17"/>
  <c r="Y28" i="16"/>
  <c r="AA4" i="22"/>
  <c r="AA2" i="23" s="1"/>
  <c r="Z2" i="23"/>
  <c r="Y49" i="22"/>
  <c r="X47" i="23"/>
  <c r="W33" i="18"/>
  <c r="V31" i="19"/>
  <c r="X21" i="18"/>
  <c r="W19" i="19"/>
  <c r="Z65" i="20"/>
  <c r="Y63" i="21"/>
  <c r="X60" i="23"/>
  <c r="Y62" i="22"/>
  <c r="W17" i="17"/>
  <c r="X19" i="16"/>
  <c r="Y30" i="18"/>
  <c r="X28" i="19"/>
  <c r="W9" i="17"/>
  <c r="X11" i="16"/>
  <c r="W45" i="19"/>
  <c r="X47" i="18"/>
  <c r="V56" i="19"/>
  <c r="W58" i="18"/>
  <c r="X54" i="22"/>
  <c r="W52" i="23"/>
  <c r="X49" i="23"/>
  <c r="Y51" i="22"/>
  <c r="X23" i="19"/>
  <c r="Y25" i="18"/>
  <c r="W59" i="17"/>
  <c r="X61" i="16"/>
  <c r="W20" i="23"/>
  <c r="X22" i="22"/>
  <c r="X56" i="23"/>
  <c r="Y58" i="22"/>
  <c r="X65" i="22"/>
  <c r="W63" i="23"/>
  <c r="W34" i="23"/>
  <c r="X36" i="22"/>
  <c r="X27" i="22"/>
  <c r="W25" i="23"/>
  <c r="I92" i="23"/>
  <c r="Q92" i="23"/>
  <c r="J92" i="23"/>
  <c r="R92" i="23"/>
  <c r="C92" i="23"/>
  <c r="K92" i="23"/>
  <c r="S92" i="23"/>
  <c r="D92" i="23"/>
  <c r="L92" i="23"/>
  <c r="T92" i="23"/>
  <c r="E92" i="23"/>
  <c r="U92" i="23"/>
  <c r="F92" i="23"/>
  <c r="V92" i="23"/>
  <c r="V68" i="23"/>
  <c r="V70" i="23" s="1"/>
  <c r="G92" i="23"/>
  <c r="N92" i="23"/>
  <c r="B92" i="23"/>
  <c r="O92" i="23"/>
  <c r="P92" i="23"/>
  <c r="H92" i="23"/>
  <c r="M92" i="23"/>
  <c r="V72" i="23"/>
  <c r="V73" i="23"/>
  <c r="V74" i="23"/>
  <c r="V75" i="23"/>
  <c r="V76" i="23"/>
  <c r="V77" i="23"/>
  <c r="V78" i="23"/>
  <c r="V79" i="23"/>
  <c r="V80" i="23"/>
  <c r="V81" i="23"/>
  <c r="V82" i="23"/>
  <c r="V83" i="23"/>
  <c r="V84" i="23"/>
  <c r="V85" i="23"/>
  <c r="V86" i="23"/>
  <c r="V87" i="23"/>
  <c r="V88" i="23"/>
  <c r="V89" i="23"/>
  <c r="V90" i="23"/>
  <c r="Y14" i="22"/>
  <c r="X12" i="23"/>
  <c r="X6" i="22"/>
  <c r="W4" i="23"/>
  <c r="X36" i="17"/>
  <c r="Y38" i="16"/>
  <c r="W50" i="18"/>
  <c r="V48" i="19"/>
  <c r="V62" i="19"/>
  <c r="W64" i="18"/>
  <c r="W62" i="23"/>
  <c r="X64" i="22"/>
  <c r="X53" i="22"/>
  <c r="W51" i="23"/>
  <c r="Y13" i="17"/>
  <c r="Z15" i="16"/>
  <c r="V30" i="17"/>
  <c r="W32" i="16"/>
  <c r="X64" i="20"/>
  <c r="W62" i="21"/>
  <c r="Y61" i="20"/>
  <c r="X59" i="21"/>
  <c r="V35" i="19"/>
  <c r="W37" i="18"/>
  <c r="V11" i="17"/>
  <c r="W13" i="16"/>
  <c r="V21" i="19"/>
  <c r="W23" i="18"/>
  <c r="Y45" i="22"/>
  <c r="X43" i="23"/>
  <c r="X52" i="20"/>
  <c r="W50" i="21"/>
  <c r="Z31" i="20"/>
  <c r="Y29" i="21"/>
  <c r="Z44" i="23"/>
  <c r="AA46" i="22"/>
  <c r="AA44" i="23" s="1"/>
  <c r="X66" i="16"/>
  <c r="W64" i="17"/>
  <c r="W58" i="16"/>
  <c r="V56" i="17"/>
  <c r="X49" i="17"/>
  <c r="Y51" i="16"/>
  <c r="X28" i="20"/>
  <c r="W26" i="21"/>
  <c r="X58" i="20"/>
  <c r="W56" i="21"/>
  <c r="X23" i="20"/>
  <c r="W21" i="21"/>
  <c r="W47" i="19"/>
  <c r="X49" i="18"/>
  <c r="W46" i="23"/>
  <c r="X48" i="22"/>
  <c r="AA6" i="20"/>
  <c r="AA4" i="21" s="1"/>
  <c r="Z4" i="21"/>
  <c r="X60" i="16"/>
  <c r="W58" i="17"/>
  <c r="X16" i="18"/>
  <c r="W14" i="19"/>
  <c r="W18" i="23"/>
  <c r="X20" i="22"/>
  <c r="X2" i="21"/>
  <c r="Y4" i="20"/>
  <c r="J92" i="21"/>
  <c r="R92" i="21"/>
  <c r="C92" i="21"/>
  <c r="K92" i="21"/>
  <c r="S92" i="21"/>
  <c r="D92" i="21"/>
  <c r="L92" i="21"/>
  <c r="T92" i="21"/>
  <c r="G92" i="21"/>
  <c r="O92" i="21"/>
  <c r="V68" i="21"/>
  <c r="V70" i="21" s="1"/>
  <c r="N92" i="21"/>
  <c r="P92" i="21"/>
  <c r="Q92" i="21"/>
  <c r="H92" i="21"/>
  <c r="B92" i="21"/>
  <c r="F92" i="21"/>
  <c r="I92" i="21"/>
  <c r="M92" i="21"/>
  <c r="E92" i="21"/>
  <c r="U92" i="21"/>
  <c r="V92" i="21"/>
  <c r="V72" i="21"/>
  <c r="V73" i="21"/>
  <c r="V74" i="21"/>
  <c r="V75" i="21"/>
  <c r="V76" i="21"/>
  <c r="V77" i="21"/>
  <c r="V78" i="21"/>
  <c r="V79" i="21"/>
  <c r="V80" i="21"/>
  <c r="V81" i="21"/>
  <c r="V82" i="21"/>
  <c r="V83" i="21"/>
  <c r="V84" i="21"/>
  <c r="V85" i="21"/>
  <c r="V86" i="21"/>
  <c r="V87" i="21"/>
  <c r="V88" i="21"/>
  <c r="V89" i="21"/>
  <c r="V90" i="21"/>
  <c r="Z5" i="20"/>
  <c r="Y3" i="21"/>
  <c r="W34" i="17"/>
  <c r="X36" i="16"/>
  <c r="Q91" i="19"/>
  <c r="N91" i="19"/>
  <c r="U76" i="19"/>
  <c r="U83" i="19"/>
  <c r="O91" i="19"/>
  <c r="L91" i="19"/>
  <c r="U75" i="19"/>
  <c r="U84" i="19"/>
  <c r="H91" i="19"/>
  <c r="J91" i="19"/>
  <c r="C91" i="19"/>
  <c r="T91" i="19"/>
  <c r="U77" i="19"/>
  <c r="U85" i="19"/>
  <c r="P91" i="19"/>
  <c r="R91" i="19"/>
  <c r="S91" i="19"/>
  <c r="F91" i="19"/>
  <c r="U78" i="19"/>
  <c r="U86" i="19"/>
  <c r="K91" i="19"/>
  <c r="G91" i="19"/>
  <c r="U79" i="19"/>
  <c r="U87" i="19"/>
  <c r="B91" i="19"/>
  <c r="E91" i="19"/>
  <c r="U74" i="19"/>
  <c r="U80" i="19"/>
  <c r="U68" i="19"/>
  <c r="U70" i="19" s="1"/>
  <c r="M91" i="19"/>
  <c r="U73" i="19"/>
  <c r="U81" i="19"/>
  <c r="I91" i="19"/>
  <c r="U91" i="19"/>
  <c r="D91" i="19"/>
  <c r="U72" i="19"/>
  <c r="U82" i="19"/>
  <c r="U88" i="19"/>
  <c r="U89" i="19"/>
  <c r="V3" i="19"/>
  <c r="W5" i="18"/>
  <c r="Y11" i="22"/>
  <c r="X9" i="23"/>
  <c r="X53" i="23"/>
  <c r="Y55" i="22"/>
  <c r="Y21" i="20"/>
  <c r="X19" i="21"/>
  <c r="W54" i="18"/>
  <c r="V52" i="19"/>
  <c r="Y13" i="22"/>
  <c r="X11" i="23"/>
  <c r="V60" i="17"/>
  <c r="W62" i="16"/>
  <c r="W14" i="16"/>
  <c r="V12" i="17"/>
  <c r="V43" i="17"/>
  <c r="W45" i="16"/>
  <c r="Y41" i="22"/>
  <c r="X39" i="23"/>
  <c r="X16" i="22"/>
  <c r="W14" i="23"/>
  <c r="V13" i="19"/>
  <c r="W15" i="18"/>
  <c r="Z66" i="22"/>
  <c r="Y64" i="23"/>
  <c r="X62" i="20"/>
  <c r="W60" i="21"/>
  <c r="Z51" i="18"/>
  <c r="Y49" i="19"/>
  <c r="W32" i="23"/>
  <c r="X34" i="22"/>
  <c r="Y29" i="20"/>
  <c r="X27" i="21"/>
  <c r="X6" i="16"/>
  <c r="W4" i="17"/>
  <c r="W48" i="23"/>
  <c r="X50" i="22"/>
  <c r="Z60" i="20"/>
  <c r="Y58" i="21"/>
  <c r="Z21" i="22"/>
  <c r="Y19" i="23"/>
  <c r="AA38" i="20"/>
  <c r="AA36" i="21" s="1"/>
  <c r="Z36" i="21"/>
  <c r="Y11" i="20"/>
  <c r="X9" i="21"/>
  <c r="X20" i="20"/>
  <c r="W18" i="21"/>
  <c r="Y54" i="20"/>
  <c r="X52" i="21"/>
  <c r="X66" i="20"/>
  <c r="W64" i="21"/>
  <c r="V60" i="19"/>
  <c r="W62" i="18"/>
  <c r="W46" i="18"/>
  <c r="V44" i="19"/>
  <c r="Y25" i="20"/>
  <c r="X23" i="21"/>
  <c r="W54" i="19"/>
  <c r="X56" i="18"/>
  <c r="W6" i="18"/>
  <c r="V4" i="19"/>
  <c r="W41" i="23"/>
  <c r="X43" i="22"/>
  <c r="Y33" i="20"/>
  <c r="X31" i="21"/>
  <c r="Y34" i="20"/>
  <c r="X32" i="21"/>
  <c r="X22" i="16"/>
  <c r="W20" i="17"/>
  <c r="X51" i="20"/>
  <c r="W49" i="21"/>
  <c r="Y35" i="16"/>
  <c r="X33" i="17"/>
  <c r="X25" i="22"/>
  <c r="W23" i="23"/>
  <c r="X52" i="16"/>
  <c r="W50" i="17"/>
  <c r="X33" i="16"/>
  <c r="W31" i="17"/>
  <c r="W45" i="18"/>
  <c r="V43" i="19"/>
  <c r="Z22" i="18"/>
  <c r="Y20" i="19"/>
  <c r="Z17" i="18"/>
  <c r="Y15" i="19"/>
  <c r="W41" i="19"/>
  <c r="X43" i="18"/>
  <c r="X52" i="18"/>
  <c r="W50" i="19"/>
  <c r="X61" i="22"/>
  <c r="W59" i="23"/>
  <c r="W46" i="19"/>
  <c r="X48" i="18"/>
  <c r="Z37" i="20"/>
  <c r="Y35" i="21"/>
  <c r="Z17" i="22"/>
  <c r="Y15" i="23"/>
  <c r="V30" i="19"/>
  <c r="W32" i="18"/>
  <c r="V63" i="17"/>
  <c r="W65" i="16"/>
  <c r="W14" i="18"/>
  <c r="V12" i="19"/>
  <c r="X32" i="20"/>
  <c r="W30" i="21"/>
  <c r="X68" i="22"/>
  <c r="W66" i="23"/>
  <c r="W11" i="19"/>
  <c r="X13" i="18"/>
  <c r="W33" i="19"/>
  <c r="X35" i="18"/>
  <c r="X68" i="16"/>
  <c r="W66" i="17"/>
  <c r="X49" i="20"/>
  <c r="W47" i="21"/>
  <c r="Z21" i="16"/>
  <c r="Y19" i="17"/>
  <c r="X43" i="20"/>
  <c r="W41" i="21"/>
  <c r="Y45" i="20"/>
  <c r="X43" i="21"/>
  <c r="X47" i="20"/>
  <c r="W45" i="21"/>
  <c r="X35" i="22"/>
  <c r="W33" i="23"/>
  <c r="V32" i="17"/>
  <c r="W34" i="16"/>
  <c r="V38" i="19"/>
  <c r="W40" i="18"/>
  <c r="X40" i="20"/>
  <c r="W38" i="21"/>
  <c r="W75" i="21" s="1"/>
  <c r="X55" i="20"/>
  <c r="W53" i="21"/>
  <c r="AN54" i="4"/>
  <c r="BA54" i="4" s="1"/>
  <c r="BC58" i="4"/>
  <c r="BE58" i="4" s="1"/>
  <c r="BF58" i="4" s="1"/>
  <c r="M44" i="4"/>
  <c r="AV11" i="4"/>
  <c r="AW11" i="4" s="1"/>
  <c r="AZ11" i="4" s="1"/>
  <c r="AN34" i="4"/>
  <c r="BL34" i="4" s="1"/>
  <c r="AV31" i="4"/>
  <c r="AW31" i="4" s="1"/>
  <c r="AX31" i="4" s="1"/>
  <c r="AY31" i="4" s="1"/>
  <c r="AZ31" i="4" s="1"/>
  <c r="AK59" i="4"/>
  <c r="AJ59" i="4"/>
  <c r="AI59" i="4"/>
  <c r="AH59" i="4"/>
  <c r="AI39" i="4"/>
  <c r="AN39" i="4" s="1"/>
  <c r="AO39" i="4" s="1"/>
  <c r="AT39" i="4" s="1"/>
  <c r="AO56" i="4"/>
  <c r="BP56" i="4"/>
  <c r="BM56" i="4"/>
  <c r="BH56" i="4"/>
  <c r="BO56" i="4"/>
  <c r="BK56" i="4"/>
  <c r="BI56" i="4"/>
  <c r="BF56" i="4"/>
  <c r="BJ56" i="4"/>
  <c r="BN56" i="4"/>
  <c r="BL56" i="4"/>
  <c r="BG56" i="4"/>
  <c r="BD56" i="4"/>
  <c r="BC56" i="4"/>
  <c r="AZ56" i="4"/>
  <c r="BA56" i="4"/>
  <c r="BE56" i="4"/>
  <c r="AW56" i="4"/>
  <c r="AO22" i="4"/>
  <c r="AP22" i="4" s="1"/>
  <c r="AT22" i="4" s="1"/>
  <c r="BI22" i="4"/>
  <c r="BJ22" i="4"/>
  <c r="BH22" i="4"/>
  <c r="BG22" i="4"/>
  <c r="BF22" i="4"/>
  <c r="BO22" i="4"/>
  <c r="BN22" i="4"/>
  <c r="BL22" i="4"/>
  <c r="BP22" i="4"/>
  <c r="BK22" i="4"/>
  <c r="BM22" i="4"/>
  <c r="BE22" i="4"/>
  <c r="BB22" i="4"/>
  <c r="BC22" i="4"/>
  <c r="AY22" i="4"/>
  <c r="AX22" i="4"/>
  <c r="BD22" i="4"/>
  <c r="AW22" i="4"/>
  <c r="BA22" i="4"/>
  <c r="AU22" i="4"/>
  <c r="AG54" i="4"/>
  <c r="AH54" i="4" s="1"/>
  <c r="AI54" i="4" s="1"/>
  <c r="AQ54" i="4"/>
  <c r="AP3" i="4"/>
  <c r="AQ3" i="4" s="1"/>
  <c r="BF3" i="4"/>
  <c r="AO9" i="4"/>
  <c r="AP9" i="4" s="1"/>
  <c r="AQ9" i="4" s="1"/>
  <c r="AR9" i="4" s="1"/>
  <c r="AS9" i="4" s="1"/>
  <c r="AT9" i="4" s="1"/>
  <c r="AU9" i="4" s="1"/>
  <c r="AV9" i="4" s="1"/>
  <c r="AW9" i="4" s="1"/>
  <c r="AX9" i="4" s="1"/>
  <c r="AY9" i="4" s="1"/>
  <c r="AZ9" i="4" s="1"/>
  <c r="BO9" i="4"/>
  <c r="BJ9" i="4"/>
  <c r="BH9" i="4"/>
  <c r="BK9" i="4"/>
  <c r="BI9" i="4"/>
  <c r="BG9" i="4"/>
  <c r="BN9" i="4"/>
  <c r="BL9" i="4"/>
  <c r="BM9" i="4"/>
  <c r="BP9" i="4"/>
  <c r="BE9" i="4"/>
  <c r="BD9" i="4"/>
  <c r="AG45" i="4"/>
  <c r="AH45" i="4" s="1"/>
  <c r="AI45" i="4" s="1"/>
  <c r="AJ45" i="4" s="1"/>
  <c r="AL45" i="4" s="1"/>
  <c r="AM45" i="4" s="1"/>
  <c r="AN45" i="4" s="1"/>
  <c r="AQ45" i="4"/>
  <c r="AB4" i="4"/>
  <c r="AC4" i="4" s="1"/>
  <c r="AS4" i="4"/>
  <c r="AR4" i="4"/>
  <c r="AC46" i="4"/>
  <c r="AD46" i="4" s="1"/>
  <c r="AF46" i="4" s="1"/>
  <c r="AT21" i="4"/>
  <c r="AU21" i="4" s="1"/>
  <c r="AV21" i="4" s="1"/>
  <c r="AW21" i="4" s="1"/>
  <c r="AX21" i="4" s="1"/>
  <c r="AY21" i="4" s="1"/>
  <c r="AZ21" i="4" s="1"/>
  <c r="BB21" i="4" s="1"/>
  <c r="BC21" i="4" s="1"/>
  <c r="BF21" i="4" s="1"/>
  <c r="BG21" i="4" s="1"/>
  <c r="BK21" i="4"/>
  <c r="AV38" i="4"/>
  <c r="AZ38" i="4" s="1"/>
  <c r="AN40" i="4"/>
  <c r="BD11" i="4"/>
  <c r="BI11" i="4" s="1"/>
  <c r="BG49" i="4"/>
  <c r="BF49" i="4"/>
  <c r="BB49" i="4"/>
  <c r="AY49" i="4"/>
  <c r="BM34" i="4"/>
  <c r="BO34" i="4"/>
  <c r="BF34" i="4"/>
  <c r="AO19" i="4"/>
  <c r="AP19" i="4" s="1"/>
  <c r="AQ19" i="4" s="1"/>
  <c r="AS19" i="4" s="1"/>
  <c r="BG19" i="4"/>
  <c r="BO19" i="4"/>
  <c r="BM19" i="4"/>
  <c r="BJ19" i="4"/>
  <c r="BH19" i="4"/>
  <c r="BK19" i="4"/>
  <c r="BI19" i="4"/>
  <c r="BL19" i="4"/>
  <c r="BP19" i="4"/>
  <c r="BF19" i="4"/>
  <c r="BN19" i="4"/>
  <c r="AU19" i="4"/>
  <c r="BB19" i="4"/>
  <c r="BE19" i="4"/>
  <c r="BC19" i="4"/>
  <c r="BD19" i="4"/>
  <c r="AN53" i="4"/>
  <c r="AP53" i="4"/>
  <c r="AV24" i="4"/>
  <c r="AB62" i="4"/>
  <c r="AC62" i="4" s="1"/>
  <c r="AD62" i="4" s="1"/>
  <c r="AE62" i="4" s="1"/>
  <c r="AF62" i="4" s="1"/>
  <c r="AG62" i="4" s="1"/>
  <c r="AH62" i="4" s="1"/>
  <c r="AJ62" i="4" s="1"/>
  <c r="AK62" i="4" s="1"/>
  <c r="AL62" i="4" s="1"/>
  <c r="AM62" i="4" s="1"/>
  <c r="AR62" i="4"/>
  <c r="AN13" i="4"/>
  <c r="AD33" i="4"/>
  <c r="AE33" i="4" s="1"/>
  <c r="AF33" i="4" s="1"/>
  <c r="AT33" i="4"/>
  <c r="AO54" i="4"/>
  <c r="AW54" i="4"/>
  <c r="BD54" i="4"/>
  <c r="BE49" i="4"/>
  <c r="BD49" i="4"/>
  <c r="BC49" i="4"/>
  <c r="AL63" i="4"/>
  <c r="AP63" i="4" s="1"/>
  <c r="AR63" i="4" s="1"/>
  <c r="AT63" i="4" s="1"/>
  <c r="AU63" i="4" s="1"/>
  <c r="AV63" i="4" s="1"/>
  <c r="AN63" i="4"/>
  <c r="BD37" i="4"/>
  <c r="BA37" i="4"/>
  <c r="BE37" i="4"/>
  <c r="AU37" i="4"/>
  <c r="BC37" i="4"/>
  <c r="AY37" i="4"/>
  <c r="BB37" i="4"/>
  <c r="AB27" i="4"/>
  <c r="AC27" i="4" s="1"/>
  <c r="AD27" i="4" s="1"/>
  <c r="AE27" i="4" s="1"/>
  <c r="AF27" i="4" s="1"/>
  <c r="AM27" i="4"/>
  <c r="AN27" i="4" s="1"/>
  <c r="AR27" i="4"/>
  <c r="AS27" i="4"/>
  <c r="AO25" i="4"/>
  <c r="AP25" i="4" s="1"/>
  <c r="AQ25" i="4" s="1"/>
  <c r="AR25" i="4" s="1"/>
  <c r="AS25" i="4" s="1"/>
  <c r="AT25" i="4" s="1"/>
  <c r="AU25" i="4" s="1"/>
  <c r="AV25" i="4" s="1"/>
  <c r="AW25" i="4" s="1"/>
  <c r="AX25" i="4" s="1"/>
  <c r="BI25" i="4"/>
  <c r="BN25" i="4"/>
  <c r="BP25" i="4"/>
  <c r="BG25" i="4"/>
  <c r="BF25" i="4"/>
  <c r="BO25" i="4"/>
  <c r="BM25" i="4"/>
  <c r="BJ25" i="4"/>
  <c r="BK25" i="4"/>
  <c r="BL25" i="4"/>
  <c r="BH25" i="4"/>
  <c r="BD25" i="4"/>
  <c r="BA25" i="4"/>
  <c r="BB25" i="4"/>
  <c r="BE25" i="4"/>
  <c r="BC25" i="4"/>
  <c r="AY25" i="4"/>
  <c r="AG49" i="4"/>
  <c r="AH49" i="4" s="1"/>
  <c r="AI49" i="4" s="1"/>
  <c r="AJ49" i="4" s="1"/>
  <c r="AK49" i="4" s="1"/>
  <c r="AL49" i="4" s="1"/>
  <c r="AS49" i="4" s="1"/>
  <c r="AQ49" i="4"/>
  <c r="AO23" i="4"/>
  <c r="AP23" i="4" s="1"/>
  <c r="AS23" i="4" s="1"/>
  <c r="AT23" i="4" s="1"/>
  <c r="BN23" i="4"/>
  <c r="BJ23" i="4"/>
  <c r="BG23" i="4"/>
  <c r="BO23" i="4"/>
  <c r="BL23" i="4"/>
  <c r="BH23" i="4"/>
  <c r="BP23" i="4"/>
  <c r="BK23" i="4"/>
  <c r="BF23" i="4"/>
  <c r="BI23" i="4"/>
  <c r="BE23" i="4"/>
  <c r="BD23" i="4"/>
  <c r="AU23" i="4"/>
  <c r="AY23" i="4"/>
  <c r="BB23" i="4"/>
  <c r="AX23" i="4"/>
  <c r="BA23" i="4"/>
  <c r="BO54" i="4"/>
  <c r="BL54" i="4"/>
  <c r="BP54" i="4"/>
  <c r="BM54" i="4"/>
  <c r="BI54" i="4"/>
  <c r="BN54" i="4"/>
  <c r="BK54" i="4"/>
  <c r="BJ54" i="4"/>
  <c r="BH54" i="4"/>
  <c r="AT37" i="4"/>
  <c r="BK37" i="4"/>
  <c r="BP37" i="4"/>
  <c r="BL37" i="4"/>
  <c r="BJ37" i="4"/>
  <c r="BH37" i="4"/>
  <c r="BN37" i="4"/>
  <c r="BI37" i="4"/>
  <c r="BM37" i="4"/>
  <c r="BO37" i="4"/>
  <c r="BM28" i="4"/>
  <c r="BN28" i="4"/>
  <c r="BL28" i="4"/>
  <c r="AO20" i="4"/>
  <c r="AP20" i="4" s="1"/>
  <c r="AQ20" i="4" s="1"/>
  <c r="AR20" i="4" s="1"/>
  <c r="AS20" i="4" s="1"/>
  <c r="AT20" i="4" s="1"/>
  <c r="AU20" i="4" s="1"/>
  <c r="AV20" i="4" s="1"/>
  <c r="AW20" i="4" s="1"/>
  <c r="AX20" i="4" s="1"/>
  <c r="BO20" i="4"/>
  <c r="BM20" i="4"/>
  <c r="BK20" i="4"/>
  <c r="BP20" i="4"/>
  <c r="BN20" i="4"/>
  <c r="BH20" i="4"/>
  <c r="BJ20" i="4"/>
  <c r="BI20" i="4"/>
  <c r="BF20" i="4"/>
  <c r="BL20" i="4"/>
  <c r="BG20" i="4"/>
  <c r="BB20" i="4"/>
  <c r="BC20" i="4"/>
  <c r="BE20" i="4"/>
  <c r="BD20" i="4"/>
  <c r="AY20" i="4"/>
  <c r="AD28" i="4"/>
  <c r="AE28" i="4" s="1"/>
  <c r="AF28" i="4" s="1"/>
  <c r="AT28" i="4"/>
  <c r="AG65" i="4"/>
  <c r="AH65" i="4" s="1"/>
  <c r="AI65" i="4" s="1"/>
  <c r="AL65" i="4" s="1"/>
  <c r="AM65" i="4" s="1"/>
  <c r="AN65" i="4" s="1"/>
  <c r="AQ65" i="4"/>
  <c r="AD68" i="4"/>
  <c r="AE68" i="4" s="1"/>
  <c r="AF68" i="4" s="1"/>
  <c r="AG68" i="4" s="1"/>
  <c r="AH68" i="4" s="1"/>
  <c r="AI68" i="4" s="1"/>
  <c r="AJ68" i="4" s="1"/>
  <c r="AK68" i="4" s="1"/>
  <c r="AN68" i="4" s="1"/>
  <c r="AT68" i="4"/>
  <c r="AL46" i="4"/>
  <c r="AM46" i="4" s="1"/>
  <c r="AN46" i="4" s="1"/>
  <c r="Z7" i="4"/>
  <c r="AC7" i="4"/>
  <c r="AT7" i="4" s="1"/>
  <c r="AK7" i="4"/>
  <c r="AJ7" i="4"/>
  <c r="Z17" i="4"/>
  <c r="AA17" i="4" s="1"/>
  <c r="AJ17" i="4"/>
  <c r="AK17" i="4"/>
  <c r="AH17" i="4"/>
  <c r="AJ18" i="4"/>
  <c r="AF18" i="4"/>
  <c r="AK18" i="4"/>
  <c r="AC18" i="4"/>
  <c r="AH18" i="4"/>
  <c r="AH10" i="4"/>
  <c r="AJ10" i="4"/>
  <c r="AI10" i="4"/>
  <c r="AK10" i="4"/>
  <c r="AB12" i="4"/>
  <c r="AC12" i="4" s="1"/>
  <c r="AD12" i="4" s="1"/>
  <c r="AE12" i="4" s="1"/>
  <c r="AF12" i="4" s="1"/>
  <c r="AK12" i="4"/>
  <c r="AH12" i="4"/>
  <c r="AF8" i="4"/>
  <c r="AQ8" i="4" s="1"/>
  <c r="AJ8" i="4"/>
  <c r="AC8" i="4"/>
  <c r="AI41" i="4"/>
  <c r="AH41" i="4"/>
  <c r="AC41" i="4"/>
  <c r="AD41" i="4" s="1"/>
  <c r="AE41" i="4" s="1"/>
  <c r="AJ41" i="4"/>
  <c r="AG41" i="4"/>
  <c r="AF41" i="4"/>
  <c r="AK41" i="4"/>
  <c r="V67" i="4"/>
  <c r="Q70" i="4"/>
  <c r="V70" i="4" s="1"/>
  <c r="W70" i="4" s="1"/>
  <c r="P75" i="4"/>
  <c r="Q75" i="4" s="1"/>
  <c r="R75" i="4" s="1"/>
  <c r="S75" i="4" s="1"/>
  <c r="T75" i="4" s="1"/>
  <c r="U75" i="4" s="1"/>
  <c r="V75" i="4" s="1"/>
  <c r="W75" i="4" s="1"/>
  <c r="X75" i="4"/>
  <c r="C3" i="1"/>
  <c r="D3" i="1" s="1"/>
  <c r="E3" i="1" s="1"/>
  <c r="F3" i="1" s="1"/>
  <c r="G3" i="1" s="1"/>
  <c r="H3" i="1" s="1"/>
  <c r="I3" i="1" s="1"/>
  <c r="J3" i="1" s="1"/>
  <c r="K3" i="1" s="1"/>
  <c r="L3" i="1" s="1"/>
  <c r="M3" i="1" s="1"/>
  <c r="N3" i="1" s="1"/>
  <c r="O3" i="1" s="1"/>
  <c r="P3" i="1" s="1"/>
  <c r="Q3" i="1" s="1"/>
  <c r="R3" i="1" s="1"/>
  <c r="S3" i="1" s="1"/>
  <c r="T3" i="1" s="1"/>
  <c r="U3" i="1" s="1"/>
  <c r="V3" i="1" s="1"/>
  <c r="W3" i="1" s="1"/>
  <c r="X3" i="1" s="1"/>
  <c r="Y3" i="1" s="1"/>
  <c r="Z3" i="1" s="1"/>
  <c r="AA3" i="1" s="1"/>
  <c r="AB3" i="1" s="1"/>
  <c r="AC3" i="1" s="1"/>
  <c r="AD3" i="1" s="1"/>
  <c r="AE3" i="1" s="1"/>
  <c r="AF3" i="1" s="1"/>
  <c r="AG3" i="1" s="1"/>
  <c r="AH3" i="1" s="1"/>
  <c r="AI3" i="1" s="1"/>
  <c r="AJ3" i="1" s="1"/>
  <c r="AK3" i="1" s="1"/>
  <c r="AL3" i="1" s="1"/>
  <c r="AM3" i="1" s="1"/>
  <c r="AN3" i="1" s="1"/>
  <c r="AO3" i="1" s="1"/>
  <c r="AP3" i="1" s="1"/>
  <c r="AQ3" i="1" s="1"/>
  <c r="AR3" i="1" s="1"/>
  <c r="AS3" i="1" s="1"/>
  <c r="AT3" i="1" s="1"/>
  <c r="AU3" i="1" s="1"/>
  <c r="AV3" i="1" s="1"/>
  <c r="AW3" i="1" s="1"/>
  <c r="AX3" i="1" s="1"/>
  <c r="AY3" i="1" s="1"/>
  <c r="AZ3" i="1" s="1"/>
  <c r="BA3" i="1" s="1"/>
  <c r="BB3" i="1" s="1"/>
  <c r="BC3" i="1" s="1"/>
  <c r="BD3" i="1" s="1"/>
  <c r="BE3" i="1" s="1"/>
  <c r="BF3" i="1" s="1"/>
  <c r="BG3" i="1" s="1"/>
  <c r="BH3" i="1" s="1"/>
  <c r="BI3" i="1" s="1"/>
  <c r="BJ3" i="1" s="1"/>
  <c r="BK3" i="1" s="1"/>
  <c r="BL3" i="1" s="1"/>
  <c r="BM3" i="1" s="1"/>
  <c r="BN3" i="1" s="1"/>
  <c r="BO3" i="1" s="1"/>
  <c r="BP3" i="1" s="1"/>
  <c r="Y70" i="4"/>
  <c r="X70" i="4"/>
  <c r="Y67" i="4"/>
  <c r="Z10" i="4"/>
  <c r="D65" i="1"/>
  <c r="E65" i="1" s="1"/>
  <c r="F65" i="1" s="1"/>
  <c r="G65" i="1" s="1"/>
  <c r="H65" i="1" s="1"/>
  <c r="I65" i="1" s="1"/>
  <c r="J65" i="1" s="1"/>
  <c r="K65" i="1" s="1"/>
  <c r="L65" i="1" s="1"/>
  <c r="M65" i="1" s="1"/>
  <c r="N65" i="1" s="1"/>
  <c r="O65" i="1" s="1"/>
  <c r="P65" i="1" s="1"/>
  <c r="Q65" i="1" s="1"/>
  <c r="R65" i="1" s="1"/>
  <c r="S65" i="1" s="1"/>
  <c r="T65" i="1" s="1"/>
  <c r="U65" i="1" s="1"/>
  <c r="V65" i="1" s="1"/>
  <c r="W65" i="1" s="1"/>
  <c r="X65" i="1" s="1"/>
  <c r="Y65" i="1" s="1"/>
  <c r="Z65" i="1" s="1"/>
  <c r="AA65" i="1" s="1"/>
  <c r="AB65" i="1" s="1"/>
  <c r="AC65" i="1" s="1"/>
  <c r="AD65" i="1" s="1"/>
  <c r="AE65" i="1" s="1"/>
  <c r="AF65" i="1" s="1"/>
  <c r="AG65" i="1" s="1"/>
  <c r="AH65" i="1" s="1"/>
  <c r="AI65" i="1" s="1"/>
  <c r="AJ65" i="1" s="1"/>
  <c r="AK65" i="1" s="1"/>
  <c r="AL65" i="1" s="1"/>
  <c r="AM65" i="1" s="1"/>
  <c r="AN65" i="1" s="1"/>
  <c r="AO65" i="1" s="1"/>
  <c r="AP65" i="1" s="1"/>
  <c r="AQ65" i="1" s="1"/>
  <c r="AR65" i="1" s="1"/>
  <c r="AS65" i="1" s="1"/>
  <c r="AT65" i="1" s="1"/>
  <c r="AU65" i="1" s="1"/>
  <c r="AV65" i="1" s="1"/>
  <c r="AW65" i="1" s="1"/>
  <c r="AX65" i="1" s="1"/>
  <c r="AY65" i="1" s="1"/>
  <c r="AZ65" i="1" s="1"/>
  <c r="BA65" i="1" s="1"/>
  <c r="BB65" i="1" s="1"/>
  <c r="BC65" i="1" s="1"/>
  <c r="BD65" i="1" s="1"/>
  <c r="BE65" i="1" s="1"/>
  <c r="BF65" i="1" s="1"/>
  <c r="BG65" i="1" s="1"/>
  <c r="BH65" i="1" s="1"/>
  <c r="BI65" i="1" s="1"/>
  <c r="BJ65" i="1" s="1"/>
  <c r="BK65" i="1" s="1"/>
  <c r="BL65" i="1" s="1"/>
  <c r="BM65" i="1" s="1"/>
  <c r="BN65" i="1" s="1"/>
  <c r="BO65" i="1" s="1"/>
  <c r="BP65" i="1" s="1"/>
  <c r="D36" i="1"/>
  <c r="E36" i="1" s="1"/>
  <c r="F36" i="1" s="1"/>
  <c r="G36" i="1" s="1"/>
  <c r="H36" i="1" s="1"/>
  <c r="I36" i="1" s="1"/>
  <c r="J36" i="1" s="1"/>
  <c r="K36" i="1" s="1"/>
  <c r="L36" i="1" s="1"/>
  <c r="M36" i="1" s="1"/>
  <c r="N36" i="1" s="1"/>
  <c r="O36" i="1" s="1"/>
  <c r="P36" i="1" s="1"/>
  <c r="Q36" i="1" s="1"/>
  <c r="R36" i="1" s="1"/>
  <c r="S36" i="1" s="1"/>
  <c r="T36" i="1" s="1"/>
  <c r="U36" i="1" s="1"/>
  <c r="V36" i="1" s="1"/>
  <c r="W36" i="1" s="1"/>
  <c r="X36" i="1" s="1"/>
  <c r="Y36" i="1" s="1"/>
  <c r="Z36" i="1" s="1"/>
  <c r="AA36" i="1" s="1"/>
  <c r="AB36" i="1" s="1"/>
  <c r="AC36" i="1" s="1"/>
  <c r="AD36" i="1" s="1"/>
  <c r="AE36" i="1" s="1"/>
  <c r="AF36" i="1" s="1"/>
  <c r="AG36" i="1" s="1"/>
  <c r="AH36" i="1" s="1"/>
  <c r="AI36" i="1" s="1"/>
  <c r="AJ36" i="1" s="1"/>
  <c r="AK36" i="1" s="1"/>
  <c r="AL36" i="1" s="1"/>
  <c r="AM36" i="1" s="1"/>
  <c r="AN36" i="1" s="1"/>
  <c r="AO36" i="1" s="1"/>
  <c r="AP36" i="1" s="1"/>
  <c r="AQ36" i="1" s="1"/>
  <c r="AR36" i="1" s="1"/>
  <c r="AS36" i="1" s="1"/>
  <c r="AT36" i="1" s="1"/>
  <c r="AU36" i="1" s="1"/>
  <c r="AV36" i="1" s="1"/>
  <c r="AW36" i="1" s="1"/>
  <c r="AX36" i="1" s="1"/>
  <c r="AY36" i="1" s="1"/>
  <c r="AZ36" i="1" s="1"/>
  <c r="BA36" i="1" s="1"/>
  <c r="BB36" i="1" s="1"/>
  <c r="BC36" i="1" s="1"/>
  <c r="BD36" i="1" s="1"/>
  <c r="BE36" i="1" s="1"/>
  <c r="BF36" i="1" s="1"/>
  <c r="BG36" i="1" s="1"/>
  <c r="BH36" i="1" s="1"/>
  <c r="BI36" i="1" s="1"/>
  <c r="BJ36" i="1" s="1"/>
  <c r="BK36" i="1" s="1"/>
  <c r="BL36" i="1" s="1"/>
  <c r="BM36" i="1" s="1"/>
  <c r="BN36" i="1" s="1"/>
  <c r="BO36" i="1" s="1"/>
  <c r="BP36" i="1" s="1"/>
  <c r="D67" i="1"/>
  <c r="E67" i="1" s="1"/>
  <c r="F67" i="1" s="1"/>
  <c r="G67" i="1" s="1"/>
  <c r="H67" i="1" s="1"/>
  <c r="I67" i="1" s="1"/>
  <c r="J67" i="1" s="1"/>
  <c r="K67" i="1" s="1"/>
  <c r="L67" i="1" s="1"/>
  <c r="M67" i="1" s="1"/>
  <c r="N67" i="1" s="1"/>
  <c r="O67" i="1" s="1"/>
  <c r="P67" i="1" s="1"/>
  <c r="Q67" i="1" s="1"/>
  <c r="R67" i="1" s="1"/>
  <c r="S67" i="1" s="1"/>
  <c r="T67" i="1" s="1"/>
  <c r="U67" i="1" s="1"/>
  <c r="V67" i="1" s="1"/>
  <c r="W67" i="1" s="1"/>
  <c r="X67" i="1" s="1"/>
  <c r="Y67" i="1" s="1"/>
  <c r="Z67" i="1" s="1"/>
  <c r="AA67" i="1" s="1"/>
  <c r="AB67" i="1" s="1"/>
  <c r="AC67" i="1" s="1"/>
  <c r="AD67" i="1" s="1"/>
  <c r="AE67" i="1" s="1"/>
  <c r="AF67" i="1" s="1"/>
  <c r="AG67" i="1" s="1"/>
  <c r="AH67" i="1" s="1"/>
  <c r="AI67" i="1" s="1"/>
  <c r="AJ67" i="1" s="1"/>
  <c r="AK67" i="1" s="1"/>
  <c r="AL67" i="1" s="1"/>
  <c r="AM67" i="1" s="1"/>
  <c r="AN67" i="1" s="1"/>
  <c r="AO67" i="1" s="1"/>
  <c r="AP67" i="1" s="1"/>
  <c r="AQ67" i="1" s="1"/>
  <c r="AR67" i="1" s="1"/>
  <c r="AS67" i="1" s="1"/>
  <c r="AT67" i="1" s="1"/>
  <c r="AU67" i="1" s="1"/>
  <c r="AV67" i="1" s="1"/>
  <c r="AW67" i="1" s="1"/>
  <c r="AX67" i="1" s="1"/>
  <c r="AY67" i="1" s="1"/>
  <c r="AZ67" i="1" s="1"/>
  <c r="BA67" i="1" s="1"/>
  <c r="BB67" i="1" s="1"/>
  <c r="BC67" i="1" s="1"/>
  <c r="BD67" i="1" s="1"/>
  <c r="BE67" i="1" s="1"/>
  <c r="BF67" i="1" s="1"/>
  <c r="BG67" i="1" s="1"/>
  <c r="BH67" i="1" s="1"/>
  <c r="BI67" i="1" s="1"/>
  <c r="BJ67" i="1" s="1"/>
  <c r="BK67" i="1" s="1"/>
  <c r="BL67" i="1" s="1"/>
  <c r="BM67" i="1" s="1"/>
  <c r="BN67" i="1" s="1"/>
  <c r="BO67" i="1" s="1"/>
  <c r="BP67" i="1" s="1"/>
  <c r="D37" i="1"/>
  <c r="E37" i="1" s="1"/>
  <c r="F37" i="1" s="1"/>
  <c r="G37" i="1" s="1"/>
  <c r="H37" i="1" s="1"/>
  <c r="I37" i="1" s="1"/>
  <c r="J37" i="1" s="1"/>
  <c r="K37" i="1" s="1"/>
  <c r="L37" i="1" s="1"/>
  <c r="M37" i="1" s="1"/>
  <c r="N37" i="1" s="1"/>
  <c r="O37" i="1" s="1"/>
  <c r="P37" i="1" s="1"/>
  <c r="Q37" i="1" s="1"/>
  <c r="R37" i="1" s="1"/>
  <c r="S37" i="1" s="1"/>
  <c r="T37" i="1" s="1"/>
  <c r="U37" i="1" s="1"/>
  <c r="V37" i="1" s="1"/>
  <c r="W37" i="1" s="1"/>
  <c r="X37" i="1" s="1"/>
  <c r="Y37" i="1" s="1"/>
  <c r="Z37" i="1" s="1"/>
  <c r="AA37" i="1" s="1"/>
  <c r="AB37" i="1" s="1"/>
  <c r="AC37" i="1" s="1"/>
  <c r="AD37" i="1" s="1"/>
  <c r="AE37" i="1" s="1"/>
  <c r="AF37" i="1" s="1"/>
  <c r="AG37" i="1" s="1"/>
  <c r="AH37" i="1" s="1"/>
  <c r="AI37" i="1" s="1"/>
  <c r="AJ37" i="1" s="1"/>
  <c r="AK37" i="1" s="1"/>
  <c r="AL37" i="1" s="1"/>
  <c r="AM37" i="1" s="1"/>
  <c r="AN37" i="1" s="1"/>
  <c r="AO37" i="1" s="1"/>
  <c r="AP37" i="1" s="1"/>
  <c r="AQ37" i="1" s="1"/>
  <c r="AR37" i="1" s="1"/>
  <c r="AS37" i="1" s="1"/>
  <c r="AT37" i="1" s="1"/>
  <c r="AU37" i="1" s="1"/>
  <c r="AV37" i="1" s="1"/>
  <c r="AW37" i="1" s="1"/>
  <c r="AX37" i="1" s="1"/>
  <c r="AY37" i="1" s="1"/>
  <c r="AZ37" i="1" s="1"/>
  <c r="BA37" i="1" s="1"/>
  <c r="BB37" i="1" s="1"/>
  <c r="BC37" i="1" s="1"/>
  <c r="BD37" i="1" s="1"/>
  <c r="BE37" i="1" s="1"/>
  <c r="BF37" i="1" s="1"/>
  <c r="BG37" i="1" s="1"/>
  <c r="BH37" i="1" s="1"/>
  <c r="BI37" i="1" s="1"/>
  <c r="BJ37" i="1" s="1"/>
  <c r="BK37" i="1" s="1"/>
  <c r="BL37" i="1" s="1"/>
  <c r="BM37" i="1" s="1"/>
  <c r="BN37" i="1" s="1"/>
  <c r="BO37" i="1" s="1"/>
  <c r="BP37" i="1" s="1"/>
  <c r="D22" i="1"/>
  <c r="E22" i="1" s="1"/>
  <c r="F22" i="1" s="1"/>
  <c r="G22" i="1" s="1"/>
  <c r="H22" i="1" s="1"/>
  <c r="I22" i="1" s="1"/>
  <c r="J22" i="1" s="1"/>
  <c r="K22" i="1" s="1"/>
  <c r="L22" i="1" s="1"/>
  <c r="M22" i="1" s="1"/>
  <c r="N22" i="1" s="1"/>
  <c r="O22" i="1" s="1"/>
  <c r="P22" i="1" s="1"/>
  <c r="Q22" i="1" s="1"/>
  <c r="R22" i="1" s="1"/>
  <c r="S22" i="1" s="1"/>
  <c r="T22" i="1" s="1"/>
  <c r="U22" i="1" s="1"/>
  <c r="V22" i="1" s="1"/>
  <c r="W22" i="1" s="1"/>
  <c r="X22" i="1" s="1"/>
  <c r="Y22" i="1" s="1"/>
  <c r="Z22" i="1" s="1"/>
  <c r="AA22" i="1" s="1"/>
  <c r="AB22" i="1" s="1"/>
  <c r="AC22" i="1" s="1"/>
  <c r="AD22" i="1" s="1"/>
  <c r="AE22" i="1" s="1"/>
  <c r="AF22" i="1" s="1"/>
  <c r="AG22" i="1" s="1"/>
  <c r="AH22" i="1" s="1"/>
  <c r="AI22" i="1" s="1"/>
  <c r="AJ22" i="1" s="1"/>
  <c r="AK22" i="1" s="1"/>
  <c r="AL22" i="1" s="1"/>
  <c r="AM22" i="1" s="1"/>
  <c r="AN22" i="1" s="1"/>
  <c r="AO22" i="1" s="1"/>
  <c r="AP22" i="1" s="1"/>
  <c r="AQ22" i="1" s="1"/>
  <c r="AR22" i="1" s="1"/>
  <c r="AS22" i="1" s="1"/>
  <c r="AT22" i="1" s="1"/>
  <c r="AU22" i="1" s="1"/>
  <c r="AV22" i="1" s="1"/>
  <c r="AW22" i="1" s="1"/>
  <c r="AX22" i="1" s="1"/>
  <c r="AY22" i="1" s="1"/>
  <c r="AZ22" i="1" s="1"/>
  <c r="BA22" i="1" s="1"/>
  <c r="BB22" i="1" s="1"/>
  <c r="BC22" i="1" s="1"/>
  <c r="BD22" i="1" s="1"/>
  <c r="BE22" i="1" s="1"/>
  <c r="BF22" i="1" s="1"/>
  <c r="BG22" i="1" s="1"/>
  <c r="BH22" i="1" s="1"/>
  <c r="BI22" i="1" s="1"/>
  <c r="BJ22" i="1" s="1"/>
  <c r="BK22" i="1" s="1"/>
  <c r="BL22" i="1" s="1"/>
  <c r="BM22" i="1" s="1"/>
  <c r="BN22" i="1" s="1"/>
  <c r="BO22" i="1" s="1"/>
  <c r="BP22" i="1" s="1"/>
  <c r="AR14" i="1"/>
  <c r="AS14" i="1" s="1"/>
  <c r="AT14" i="1" s="1"/>
  <c r="AU14" i="1" s="1"/>
  <c r="AV14" i="1" s="1"/>
  <c r="AW14" i="1" s="1"/>
  <c r="AX14" i="1" s="1"/>
  <c r="AY14" i="1" s="1"/>
  <c r="AZ14" i="1" s="1"/>
  <c r="BA14" i="1" s="1"/>
  <c r="BB14" i="1" s="1"/>
  <c r="BC14" i="1" s="1"/>
  <c r="BD14" i="1" s="1"/>
  <c r="BE14" i="1" s="1"/>
  <c r="BF14" i="1" s="1"/>
  <c r="BG14" i="1" s="1"/>
  <c r="BH14" i="1" s="1"/>
  <c r="BI14" i="1" s="1"/>
  <c r="BJ14" i="1" s="1"/>
  <c r="BK14" i="1" s="1"/>
  <c r="BL14" i="1" s="1"/>
  <c r="BM14" i="1" s="1"/>
  <c r="BN14" i="1" s="1"/>
  <c r="BO14" i="1" s="1"/>
  <c r="BP14" i="1" s="1"/>
  <c r="D6" i="1"/>
  <c r="E6" i="1" s="1"/>
  <c r="F6" i="1" s="1"/>
  <c r="G6" i="1" s="1"/>
  <c r="H6" i="1" s="1"/>
  <c r="I6" i="1" s="1"/>
  <c r="J6" i="1" s="1"/>
  <c r="K6" i="1" s="1"/>
  <c r="L6" i="1" s="1"/>
  <c r="M6" i="1" s="1"/>
  <c r="N6" i="1" s="1"/>
  <c r="O6" i="1" s="1"/>
  <c r="P6" i="1" s="1"/>
  <c r="Q6" i="1" s="1"/>
  <c r="R6" i="1" s="1"/>
  <c r="S6" i="1" s="1"/>
  <c r="T6" i="1" s="1"/>
  <c r="U6" i="1" s="1"/>
  <c r="V6" i="1" s="1"/>
  <c r="W6" i="1" s="1"/>
  <c r="X6" i="1" s="1"/>
  <c r="Y6" i="1" s="1"/>
  <c r="Z6" i="1" s="1"/>
  <c r="AA6" i="1" s="1"/>
  <c r="AB6" i="1" s="1"/>
  <c r="AC6" i="1" s="1"/>
  <c r="AD6" i="1" s="1"/>
  <c r="AE6" i="1" s="1"/>
  <c r="AF6" i="1" s="1"/>
  <c r="AG6" i="1" s="1"/>
  <c r="AH6" i="1" s="1"/>
  <c r="AI6" i="1" s="1"/>
  <c r="AJ6" i="1" s="1"/>
  <c r="AK6" i="1" s="1"/>
  <c r="AL6" i="1" s="1"/>
  <c r="AM6" i="1" s="1"/>
  <c r="AN6" i="1" s="1"/>
  <c r="AO6" i="1" s="1"/>
  <c r="AP6" i="1" s="1"/>
  <c r="AQ6" i="1" s="1"/>
  <c r="AR6" i="1" s="1"/>
  <c r="AS6" i="1" s="1"/>
  <c r="AT6" i="1" s="1"/>
  <c r="AU6" i="1" s="1"/>
  <c r="AV6" i="1" s="1"/>
  <c r="AW6" i="1" s="1"/>
  <c r="AX6" i="1" s="1"/>
  <c r="AY6" i="1" s="1"/>
  <c r="AZ6" i="1" s="1"/>
  <c r="BA6" i="1" s="1"/>
  <c r="BB6" i="1" s="1"/>
  <c r="BC6" i="1" s="1"/>
  <c r="BD6" i="1" s="1"/>
  <c r="BE6" i="1" s="1"/>
  <c r="BF6" i="1" s="1"/>
  <c r="BG6" i="1" s="1"/>
  <c r="BH6" i="1" s="1"/>
  <c r="BI6" i="1" s="1"/>
  <c r="BJ6" i="1" s="1"/>
  <c r="BK6" i="1" s="1"/>
  <c r="BL6" i="1" s="1"/>
  <c r="BM6" i="1" s="1"/>
  <c r="BN6" i="1" s="1"/>
  <c r="BO6" i="1" s="1"/>
  <c r="BP6" i="1" s="1"/>
  <c r="AR28" i="1"/>
  <c r="AS28" i="1" s="1"/>
  <c r="AT28" i="1" s="1"/>
  <c r="AU28" i="1" s="1"/>
  <c r="AV28" i="1" s="1"/>
  <c r="AW28" i="1" s="1"/>
  <c r="AX28" i="1" s="1"/>
  <c r="AY28" i="1" s="1"/>
  <c r="AZ28" i="1" s="1"/>
  <c r="BA28" i="1" s="1"/>
  <c r="BB28" i="1" s="1"/>
  <c r="BC28" i="1" s="1"/>
  <c r="BD28" i="1" s="1"/>
  <c r="BE28" i="1" s="1"/>
  <c r="BF28" i="1" s="1"/>
  <c r="BG28" i="1" s="1"/>
  <c r="BH28" i="1" s="1"/>
  <c r="BI28" i="1" s="1"/>
  <c r="BJ28" i="1" s="1"/>
  <c r="BK28" i="1" s="1"/>
  <c r="BL28" i="1" s="1"/>
  <c r="BM28" i="1" s="1"/>
  <c r="BN28" i="1" s="1"/>
  <c r="BO28" i="1" s="1"/>
  <c r="BP28" i="1" s="1"/>
  <c r="D11" i="1"/>
  <c r="E11" i="1" s="1"/>
  <c r="F11" i="1" s="1"/>
  <c r="G11" i="1" s="1"/>
  <c r="H11" i="1" s="1"/>
  <c r="I11" i="1" s="1"/>
  <c r="J11" i="1" s="1"/>
  <c r="K11" i="1" s="1"/>
  <c r="L11" i="1" s="1"/>
  <c r="M11" i="1" s="1"/>
  <c r="N11" i="1" s="1"/>
  <c r="O11" i="1" s="1"/>
  <c r="P11" i="1" s="1"/>
  <c r="Q11" i="1" s="1"/>
  <c r="R11" i="1" s="1"/>
  <c r="S11" i="1" s="1"/>
  <c r="T11" i="1" s="1"/>
  <c r="U11" i="1" s="1"/>
  <c r="V11" i="1" s="1"/>
  <c r="W11" i="1" s="1"/>
  <c r="X11" i="1" s="1"/>
  <c r="Y11" i="1" s="1"/>
  <c r="Z11" i="1" s="1"/>
  <c r="AA11" i="1" s="1"/>
  <c r="AB11" i="1" s="1"/>
  <c r="AC11" i="1" s="1"/>
  <c r="AD11" i="1" s="1"/>
  <c r="AE11" i="1" s="1"/>
  <c r="AF11" i="1" s="1"/>
  <c r="AG11" i="1" s="1"/>
  <c r="AH11" i="1" s="1"/>
  <c r="AI11" i="1" s="1"/>
  <c r="AJ11" i="1" s="1"/>
  <c r="AK11" i="1" s="1"/>
  <c r="AL11" i="1" s="1"/>
  <c r="AM11" i="1" s="1"/>
  <c r="AN11" i="1" s="1"/>
  <c r="AO11" i="1" s="1"/>
  <c r="AP11" i="1" s="1"/>
  <c r="AQ11" i="1" s="1"/>
  <c r="AR11" i="1" s="1"/>
  <c r="AS11" i="1" s="1"/>
  <c r="AT11" i="1" s="1"/>
  <c r="AU11" i="1" s="1"/>
  <c r="AV11" i="1" s="1"/>
  <c r="AW11" i="1" s="1"/>
  <c r="AX11" i="1" s="1"/>
  <c r="AY11" i="1" s="1"/>
  <c r="AZ11" i="1" s="1"/>
  <c r="BA11" i="1" s="1"/>
  <c r="BB11" i="1" s="1"/>
  <c r="BC11" i="1" s="1"/>
  <c r="BD11" i="1" s="1"/>
  <c r="BE11" i="1" s="1"/>
  <c r="BF11" i="1" s="1"/>
  <c r="BG11" i="1" s="1"/>
  <c r="BH11" i="1" s="1"/>
  <c r="BI11" i="1" s="1"/>
  <c r="BJ11" i="1" s="1"/>
  <c r="BK11" i="1" s="1"/>
  <c r="BL11" i="1" s="1"/>
  <c r="BM11" i="1" s="1"/>
  <c r="BN11" i="1" s="1"/>
  <c r="BO11" i="1" s="1"/>
  <c r="BP11" i="1" s="1"/>
  <c r="U26" i="4"/>
  <c r="Y26" i="4"/>
  <c r="R8" i="4"/>
  <c r="S8" i="4" s="1"/>
  <c r="V8" i="4" s="1"/>
  <c r="Z8" i="4" s="1"/>
  <c r="AA8" i="4" s="1"/>
  <c r="X8" i="4"/>
  <c r="V57" i="4"/>
  <c r="W57" i="4"/>
  <c r="Y57" i="4"/>
  <c r="AL57" i="4" s="1"/>
  <c r="X57" i="4"/>
  <c r="Z59" i="4"/>
  <c r="X59" i="4"/>
  <c r="P74" i="4"/>
  <c r="Q74" i="4" s="1"/>
  <c r="R74" i="4" s="1"/>
  <c r="S74" i="4" s="1"/>
  <c r="T74" i="4" s="1"/>
  <c r="U74" i="4" s="1"/>
  <c r="V74" i="4" s="1"/>
  <c r="W74" i="4" s="1"/>
  <c r="Y74" i="4" s="1"/>
  <c r="Z74" i="4" s="1"/>
  <c r="AA74" i="4" s="1"/>
  <c r="AB74" i="4" s="1"/>
  <c r="AC74" i="4" s="1"/>
  <c r="AD74" i="4" s="1"/>
  <c r="AE74" i="4" s="1"/>
  <c r="AF74" i="4" s="1"/>
  <c r="AG74" i="4" s="1"/>
  <c r="AH74" i="4" s="1"/>
  <c r="AI74" i="4" s="1"/>
  <c r="AJ74" i="4" s="1"/>
  <c r="AK74" i="4" s="1"/>
  <c r="AL74" i="4" s="1"/>
  <c r="AM74" i="4" s="1"/>
  <c r="AN74" i="4" s="1"/>
  <c r="AO74" i="4" s="1"/>
  <c r="AP74" i="4" s="1"/>
  <c r="AQ74" i="4" s="1"/>
  <c r="AR74" i="4" s="1"/>
  <c r="AS74" i="4" s="1"/>
  <c r="AT74" i="4" s="1"/>
  <c r="AU74" i="4" s="1"/>
  <c r="AV74" i="4" s="1"/>
  <c r="AW74" i="4" s="1"/>
  <c r="AX74" i="4" s="1"/>
  <c r="AY74" i="4" s="1"/>
  <c r="AZ74" i="4" s="1"/>
  <c r="BA74" i="4" s="1"/>
  <c r="BB74" i="4" s="1"/>
  <c r="BC74" i="4" s="1"/>
  <c r="BD74" i="4" s="1"/>
  <c r="BE74" i="4" s="1"/>
  <c r="BF74" i="4" s="1"/>
  <c r="BG74" i="4" s="1"/>
  <c r="BH74" i="4" s="1"/>
  <c r="BI74" i="4" s="1"/>
  <c r="BJ74" i="4" s="1"/>
  <c r="BK74" i="4" s="1"/>
  <c r="BL74" i="4" s="1"/>
  <c r="BM74" i="4" s="1"/>
  <c r="BN74" i="4" s="1"/>
  <c r="BO74" i="4" s="1"/>
  <c r="BP74" i="4" s="1"/>
  <c r="S70" i="4"/>
  <c r="P30" i="4"/>
  <c r="S30" i="4"/>
  <c r="S59" i="4"/>
  <c r="P57" i="4"/>
  <c r="S57" i="4"/>
  <c r="S26" i="4"/>
  <c r="M26" i="4"/>
  <c r="R26" i="4"/>
  <c r="V18" i="4"/>
  <c r="W18" i="4" s="1"/>
  <c r="X18" i="4" s="1"/>
  <c r="Z18" i="4" s="1"/>
  <c r="AA18" i="4" s="1"/>
  <c r="AB18" i="4" s="1"/>
  <c r="T72" i="4"/>
  <c r="V72" i="4" s="1"/>
  <c r="W72" i="4" s="1"/>
  <c r="Y72" i="4" s="1"/>
  <c r="Z72" i="4" s="1"/>
  <c r="AA72" i="4" s="1"/>
  <c r="AB72" i="4" s="1"/>
  <c r="AC72" i="4" s="1"/>
  <c r="AD72" i="4" s="1"/>
  <c r="AE72" i="4" s="1"/>
  <c r="AF72" i="4" s="1"/>
  <c r="AG72" i="4" s="1"/>
  <c r="AH72" i="4" s="1"/>
  <c r="AI72" i="4" s="1"/>
  <c r="AJ72" i="4" s="1"/>
  <c r="AK72" i="4" s="1"/>
  <c r="AL72" i="4" s="1"/>
  <c r="AM72" i="4" s="1"/>
  <c r="AN72" i="4" s="1"/>
  <c r="AO72" i="4" s="1"/>
  <c r="AP72" i="4" s="1"/>
  <c r="AQ72" i="4" s="1"/>
  <c r="AR72" i="4" s="1"/>
  <c r="AS72" i="4" s="1"/>
  <c r="AT72" i="4" s="1"/>
  <c r="AU72" i="4" s="1"/>
  <c r="AV72" i="4" s="1"/>
  <c r="AW72" i="4" s="1"/>
  <c r="AX72" i="4" s="1"/>
  <c r="AY72" i="4" s="1"/>
  <c r="AZ72" i="4" s="1"/>
  <c r="BA72" i="4" s="1"/>
  <c r="BB72" i="4" s="1"/>
  <c r="BC72" i="4" s="1"/>
  <c r="BD72" i="4" s="1"/>
  <c r="BE72" i="4" s="1"/>
  <c r="BF72" i="4" s="1"/>
  <c r="BG72" i="4" s="1"/>
  <c r="BH72" i="4" s="1"/>
  <c r="BI72" i="4" s="1"/>
  <c r="BJ72" i="4" s="1"/>
  <c r="BK72" i="4" s="1"/>
  <c r="BL72" i="4" s="1"/>
  <c r="BM72" i="4" s="1"/>
  <c r="BN72" i="4" s="1"/>
  <c r="BO72" i="4" s="1"/>
  <c r="BP72" i="4" s="1"/>
  <c r="S72" i="4"/>
  <c r="P26" i="4"/>
  <c r="Q26" i="4" s="1"/>
  <c r="AA26" i="4" s="1"/>
  <c r="Q73" i="4"/>
  <c r="R73" i="4"/>
  <c r="S73" i="4" s="1"/>
  <c r="T73" i="4" s="1"/>
  <c r="U73" i="4" s="1"/>
  <c r="V73" i="4" s="1"/>
  <c r="W73" i="4" s="1"/>
  <c r="O73" i="4"/>
  <c r="X73" i="4" s="1"/>
  <c r="I71" i="4"/>
  <c r="J71" i="4" s="1"/>
  <c r="O71" i="4"/>
  <c r="X71" i="4" s="1"/>
  <c r="O44" i="4"/>
  <c r="M73" i="4"/>
  <c r="E30" i="1"/>
  <c r="F30" i="1" s="1"/>
  <c r="G30" i="1" s="1"/>
  <c r="H30" i="1" s="1"/>
  <c r="I30" i="1" s="1"/>
  <c r="J30" i="1" s="1"/>
  <c r="K30" i="1" s="1"/>
  <c r="L30" i="1" s="1"/>
  <c r="M30" i="1" s="1"/>
  <c r="N30" i="1" s="1"/>
  <c r="O30" i="1" s="1"/>
  <c r="P30" i="1" s="1"/>
  <c r="Q30" i="1" s="1"/>
  <c r="R30" i="1" s="1"/>
  <c r="S30" i="1" s="1"/>
  <c r="T30" i="1" s="1"/>
  <c r="U30" i="1" s="1"/>
  <c r="V30" i="1" s="1"/>
  <c r="W30" i="1" s="1"/>
  <c r="X30" i="1" s="1"/>
  <c r="Y30" i="1" s="1"/>
  <c r="Z30" i="1" s="1"/>
  <c r="AA30" i="1" s="1"/>
  <c r="AB30" i="1" s="1"/>
  <c r="AC30" i="1" s="1"/>
  <c r="AD30" i="1" s="1"/>
  <c r="AE30" i="1" s="1"/>
  <c r="AF30" i="1" s="1"/>
  <c r="AG30" i="1" s="1"/>
  <c r="AH30" i="1" s="1"/>
  <c r="AI30" i="1" s="1"/>
  <c r="AJ30" i="1" s="1"/>
  <c r="AK30" i="1" s="1"/>
  <c r="AL30" i="1" s="1"/>
  <c r="AM30" i="1" s="1"/>
  <c r="AN30" i="1" s="1"/>
  <c r="AO30" i="1" s="1"/>
  <c r="AP30" i="1" s="1"/>
  <c r="AQ30" i="1" s="1"/>
  <c r="AR30" i="1" s="1"/>
  <c r="AS30" i="1" s="1"/>
  <c r="AT30" i="1" s="1"/>
  <c r="AU30" i="1" s="1"/>
  <c r="AV30" i="1" s="1"/>
  <c r="AW30" i="1" s="1"/>
  <c r="AX30" i="1" s="1"/>
  <c r="AY30" i="1" s="1"/>
  <c r="AZ30" i="1" s="1"/>
  <c r="BA30" i="1" s="1"/>
  <c r="BB30" i="1" s="1"/>
  <c r="BC30" i="1" s="1"/>
  <c r="BD30" i="1" s="1"/>
  <c r="BE30" i="1" s="1"/>
  <c r="BF30" i="1" s="1"/>
  <c r="BG30" i="1" s="1"/>
  <c r="BH30" i="1" s="1"/>
  <c r="BI30" i="1" s="1"/>
  <c r="BJ30" i="1" s="1"/>
  <c r="BK30" i="1" s="1"/>
  <c r="BL30" i="1" s="1"/>
  <c r="BM30" i="1" s="1"/>
  <c r="BN30" i="1" s="1"/>
  <c r="BO30" i="1" s="1"/>
  <c r="BP30" i="1" s="1"/>
  <c r="Y5" i="1"/>
  <c r="Z5" i="1" s="1"/>
  <c r="AA5" i="1" s="1"/>
  <c r="AB5" i="1" s="1"/>
  <c r="AC5" i="1" s="1"/>
  <c r="AD5" i="1" s="1"/>
  <c r="AE5" i="1" s="1"/>
  <c r="AF5" i="1" s="1"/>
  <c r="AG5" i="1" s="1"/>
  <c r="AH5" i="1" s="1"/>
  <c r="AI5" i="1" s="1"/>
  <c r="AJ5" i="1" s="1"/>
  <c r="AK5" i="1" s="1"/>
  <c r="AL5" i="1" s="1"/>
  <c r="AM5" i="1" s="1"/>
  <c r="AN5" i="1" s="1"/>
  <c r="AO5" i="1" s="1"/>
  <c r="AP5" i="1" s="1"/>
  <c r="AQ5" i="1" s="1"/>
  <c r="AR5" i="1" s="1"/>
  <c r="AS5" i="1" s="1"/>
  <c r="AT5" i="1" s="1"/>
  <c r="AU5" i="1" s="1"/>
  <c r="AV5" i="1" s="1"/>
  <c r="AW5" i="1" s="1"/>
  <c r="AX5" i="1" s="1"/>
  <c r="AY5" i="1" s="1"/>
  <c r="AZ5" i="1" s="1"/>
  <c r="BA5" i="1" s="1"/>
  <c r="BB5" i="1" s="1"/>
  <c r="BC5" i="1" s="1"/>
  <c r="BD5" i="1" s="1"/>
  <c r="BE5" i="1" s="1"/>
  <c r="BF5" i="1" s="1"/>
  <c r="BG5" i="1" s="1"/>
  <c r="BH5" i="1" s="1"/>
  <c r="BI5" i="1" s="1"/>
  <c r="BJ5" i="1" s="1"/>
  <c r="BK5" i="1" s="1"/>
  <c r="BL5" i="1" s="1"/>
  <c r="BM5" i="1" s="1"/>
  <c r="BN5" i="1" s="1"/>
  <c r="BO5" i="1" s="1"/>
  <c r="BP5" i="1" s="1"/>
  <c r="AU34" i="4" l="1"/>
  <c r="BP34" i="4"/>
  <c r="AE4" i="4"/>
  <c r="BB34" i="4"/>
  <c r="C93" i="21"/>
  <c r="Y42" i="22"/>
  <c r="AZ34" i="4"/>
  <c r="AO34" i="4"/>
  <c r="AP34" i="4" s="1"/>
  <c r="AQ34" i="4" s="1"/>
  <c r="AS34" i="4" s="1"/>
  <c r="AT34" i="4" s="1"/>
  <c r="BA34" i="4"/>
  <c r="B73" i="7" a="1"/>
  <c r="B75" i="8" a="1"/>
  <c r="J99" i="8" s="1"/>
  <c r="BH34" i="4"/>
  <c r="B101" i="6" a="1"/>
  <c r="B75" i="15" a="1"/>
  <c r="B75" i="10" a="1"/>
  <c r="H78" i="10" s="1"/>
  <c r="AC77" i="8"/>
  <c r="AH81" i="8"/>
  <c r="Y99" i="8"/>
  <c r="B81" i="8"/>
  <c r="AG77" i="8"/>
  <c r="H81" i="8"/>
  <c r="U100" i="8"/>
  <c r="E91" i="8"/>
  <c r="AH76" i="8"/>
  <c r="W98" i="8"/>
  <c r="X75" i="8"/>
  <c r="T95" i="8"/>
  <c r="L86" i="8"/>
  <c r="W111" i="8"/>
  <c r="U107" i="8"/>
  <c r="T87" i="8"/>
  <c r="J84" i="8"/>
  <c r="C100" i="8"/>
  <c r="I103" i="8"/>
  <c r="AM100" i="8"/>
  <c r="AG109" i="8"/>
  <c r="AM105" i="8"/>
  <c r="AL109" i="8"/>
  <c r="AA76" i="8"/>
  <c r="Y112" i="8"/>
  <c r="K91" i="8"/>
  <c r="AL98" i="8"/>
  <c r="G96" i="8"/>
  <c r="AM107" i="8"/>
  <c r="AL106" i="8"/>
  <c r="AO106" i="8"/>
  <c r="AE80" i="8"/>
  <c r="AI75" i="8"/>
  <c r="S105" i="8"/>
  <c r="K114" i="8"/>
  <c r="I79" i="8"/>
  <c r="AB113" i="8"/>
  <c r="H84" i="8"/>
  <c r="T88" i="8"/>
  <c r="R111" i="8"/>
  <c r="AB107" i="8"/>
  <c r="AO107" i="8"/>
  <c r="I113" i="8"/>
  <c r="AC114" i="8"/>
  <c r="AA92" i="8"/>
  <c r="M84" i="8"/>
  <c r="B106" i="8"/>
  <c r="N81" i="8"/>
  <c r="AF79" i="8"/>
  <c r="J92" i="8"/>
  <c r="AG110" i="8"/>
  <c r="I114" i="8"/>
  <c r="U78" i="8"/>
  <c r="AE75" i="8"/>
  <c r="AG95" i="8"/>
  <c r="Z108" i="8"/>
  <c r="H110" i="8"/>
  <c r="AN103" i="8"/>
  <c r="J75" i="8"/>
  <c r="X95" i="8"/>
  <c r="I90" i="8"/>
  <c r="Z93" i="8"/>
  <c r="P80" i="8"/>
  <c r="AG81" i="8"/>
  <c r="T92" i="8"/>
  <c r="I80" i="8"/>
  <c r="V92" i="8"/>
  <c r="O111" i="8"/>
  <c r="K105" i="8"/>
  <c r="AF111" i="8"/>
  <c r="AH92" i="8"/>
  <c r="AC94" i="8"/>
  <c r="S104" i="8"/>
  <c r="S76" i="8"/>
  <c r="AH84" i="8"/>
  <c r="R98" i="8"/>
  <c r="L81" i="8"/>
  <c r="D89" i="8"/>
  <c r="N86" i="8"/>
  <c r="K103" i="8"/>
  <c r="B103" i="8"/>
  <c r="AJ99" i="8"/>
  <c r="AH86" i="8"/>
  <c r="AJ83" i="8"/>
  <c r="D104" i="8"/>
  <c r="L98" i="8"/>
  <c r="C112" i="8"/>
  <c r="S108" i="8"/>
  <c r="S107" i="8"/>
  <c r="AF110" i="8"/>
  <c r="P75" i="8"/>
  <c r="K102" i="8"/>
  <c r="D112" i="8"/>
  <c r="L110" i="8"/>
  <c r="T108" i="8"/>
  <c r="AA102" i="8"/>
  <c r="V100" i="8"/>
  <c r="N82" i="8"/>
  <c r="AH91" i="8"/>
  <c r="AL85" i="8"/>
  <c r="H113" i="8"/>
  <c r="K112" i="8"/>
  <c r="AN77" i="8"/>
  <c r="R89" i="8"/>
  <c r="AA86" i="8"/>
  <c r="AB99" i="8"/>
  <c r="Z89" i="8"/>
  <c r="D81" i="8"/>
  <c r="AF78" i="8"/>
  <c r="N84" i="8"/>
  <c r="J100" i="8"/>
  <c r="C101" i="8"/>
  <c r="T102" i="8"/>
  <c r="L99" i="8"/>
  <c r="AK95" i="8"/>
  <c r="Y85" i="8"/>
  <c r="E84" i="8"/>
  <c r="U84" i="8"/>
  <c r="V86" i="8"/>
  <c r="M85" i="8"/>
  <c r="AN86" i="8"/>
  <c r="U90" i="8"/>
  <c r="T78" i="8"/>
  <c r="N91" i="8"/>
  <c r="P82" i="8"/>
  <c r="F104" i="8"/>
  <c r="AG106" i="8"/>
  <c r="W114" i="8"/>
  <c r="T104" i="8"/>
  <c r="S89" i="8"/>
  <c r="U81" i="8"/>
  <c r="H87" i="8"/>
  <c r="O96" i="8"/>
  <c r="AF89" i="8"/>
  <c r="Q86" i="8"/>
  <c r="B109" i="8"/>
  <c r="S85" i="8"/>
  <c r="Y97" i="8"/>
  <c r="AA75" i="8"/>
  <c r="AN114" i="8"/>
  <c r="D90" i="8"/>
  <c r="AA77" i="8"/>
  <c r="AL108" i="8"/>
  <c r="I102" i="8"/>
  <c r="H95" i="8"/>
  <c r="AJ108" i="8"/>
  <c r="AI103" i="8"/>
  <c r="T96" i="8"/>
  <c r="L114" i="8"/>
  <c r="H75" i="8"/>
  <c r="AO87" i="8"/>
  <c r="AA78" i="8"/>
  <c r="G76" i="8"/>
  <c r="AH112" i="8"/>
  <c r="H108" i="8"/>
  <c r="AF87" i="8"/>
  <c r="AJ75" i="8"/>
  <c r="D92" i="8"/>
  <c r="AJ88" i="8"/>
  <c r="AM112" i="8"/>
  <c r="AB75" i="8"/>
  <c r="H83" i="8"/>
  <c r="W76" i="8"/>
  <c r="R86" i="8"/>
  <c r="AF100" i="8"/>
  <c r="AL90" i="8"/>
  <c r="B107" i="8"/>
  <c r="D80" i="8"/>
  <c r="N80" i="8"/>
  <c r="W80" i="8"/>
  <c r="AD81" i="8"/>
  <c r="U77" i="8"/>
  <c r="C89" i="8"/>
  <c r="Q96" i="8"/>
  <c r="AB84" i="8"/>
  <c r="E80" i="8"/>
  <c r="AF96" i="8"/>
  <c r="AM92" i="8"/>
  <c r="G98" i="8"/>
  <c r="Q100" i="8"/>
  <c r="P79" i="8"/>
  <c r="F85" i="8"/>
  <c r="U85" i="8"/>
  <c r="F105" i="8"/>
  <c r="M91" i="8"/>
  <c r="AO100" i="8"/>
  <c r="U80" i="8"/>
  <c r="E83" i="8"/>
  <c r="AC101" i="8"/>
  <c r="AL100" i="8"/>
  <c r="N106" i="8"/>
  <c r="T114" i="8"/>
  <c r="AG107" i="8"/>
  <c r="N108" i="8"/>
  <c r="Q104" i="8"/>
  <c r="M75" i="8"/>
  <c r="U106" i="8"/>
  <c r="N105" i="8"/>
  <c r="L93" i="8"/>
  <c r="Q99" i="8"/>
  <c r="AJ103" i="8"/>
  <c r="P103" i="8"/>
  <c r="R100" i="8"/>
  <c r="J94" i="8"/>
  <c r="G93" i="8"/>
  <c r="V107" i="8"/>
  <c r="AK78" i="8"/>
  <c r="G77" i="8"/>
  <c r="AL76" i="8"/>
  <c r="AF83" i="8"/>
  <c r="N99" i="8"/>
  <c r="AN104" i="8"/>
  <c r="AH104" i="8"/>
  <c r="AI111" i="8"/>
  <c r="E105" i="8"/>
  <c r="T77" i="8"/>
  <c r="K75" i="8"/>
  <c r="AK108" i="8"/>
  <c r="T110" i="8"/>
  <c r="AA81" i="8"/>
  <c r="AE92" i="8"/>
  <c r="AF113" i="8"/>
  <c r="AB92" i="8"/>
  <c r="AO99" i="8"/>
  <c r="G100" i="8"/>
  <c r="AG100" i="8"/>
  <c r="T111" i="8"/>
  <c r="C113" i="8"/>
  <c r="AB88" i="8"/>
  <c r="O89" i="8"/>
  <c r="M76" i="8"/>
  <c r="AN82" i="8"/>
  <c r="AJ94" i="8"/>
  <c r="K98" i="8"/>
  <c r="AM87" i="8"/>
  <c r="AM103" i="8"/>
  <c r="K84" i="8"/>
  <c r="AM90" i="8"/>
  <c r="G90" i="8"/>
  <c r="R92" i="8"/>
  <c r="AN84" i="8"/>
  <c r="K90" i="8"/>
  <c r="X83" i="8"/>
  <c r="M99" i="8"/>
  <c r="T94" i="8"/>
  <c r="V87" i="8"/>
  <c r="AD77" i="8"/>
  <c r="F93" i="8"/>
  <c r="AF90" i="8"/>
  <c r="AF93" i="8"/>
  <c r="H98" i="8"/>
  <c r="AH94" i="8"/>
  <c r="AF86" i="8"/>
  <c r="Z86" i="8"/>
  <c r="AM91" i="8"/>
  <c r="U109" i="8"/>
  <c r="AM79" i="8"/>
  <c r="X105" i="8"/>
  <c r="L103" i="8"/>
  <c r="H100" i="8"/>
  <c r="AK110" i="8"/>
  <c r="AA111" i="8"/>
  <c r="AL79" i="8"/>
  <c r="AC95" i="8"/>
  <c r="AD105" i="8"/>
  <c r="AN96" i="8"/>
  <c r="AK109" i="8"/>
  <c r="V77" i="8"/>
  <c r="AA96" i="8"/>
  <c r="L95" i="8"/>
  <c r="S110" i="8"/>
  <c r="AA108" i="8"/>
  <c r="AF105" i="8"/>
  <c r="AB93" i="8"/>
  <c r="V91" i="8"/>
  <c r="AE113" i="8"/>
  <c r="J109" i="8"/>
  <c r="AE114" i="8"/>
  <c r="J113" i="8"/>
  <c r="U111" i="8"/>
  <c r="P112" i="8"/>
  <c r="AF109" i="8"/>
  <c r="G78" i="8"/>
  <c r="AN101" i="8"/>
  <c r="AN89" i="8"/>
  <c r="C77" i="8"/>
  <c r="AC87" i="8"/>
  <c r="U88" i="8"/>
  <c r="O88" i="8"/>
  <c r="AK88" i="8"/>
  <c r="AG88" i="8"/>
  <c r="E90" i="8"/>
  <c r="K78" i="8"/>
  <c r="D91" i="8"/>
  <c r="G82" i="8"/>
  <c r="AI109" i="8"/>
  <c r="V85" i="8"/>
  <c r="AJ97" i="8"/>
  <c r="T112" i="8"/>
  <c r="D82" i="8"/>
  <c r="U99" i="8"/>
  <c r="J83" i="8"/>
  <c r="X87" i="8"/>
  <c r="E95" i="8"/>
  <c r="R91" i="8"/>
  <c r="N85" i="8"/>
  <c r="U108" i="8"/>
  <c r="H99" i="8"/>
  <c r="S100" i="8"/>
  <c r="E97" i="8"/>
  <c r="AF99" i="8"/>
  <c r="J112" i="8"/>
  <c r="AM106" i="8"/>
  <c r="C105" i="8"/>
  <c r="AL97" i="8"/>
  <c r="AB85" i="8"/>
  <c r="AJ114" i="8"/>
  <c r="X110" i="8"/>
  <c r="AM89" i="8"/>
  <c r="V75" i="8"/>
  <c r="Z90" i="8"/>
  <c r="O77" i="8"/>
  <c r="AG85" i="8"/>
  <c r="C78" i="8"/>
  <c r="AC80" i="8"/>
  <c r="Y96" i="8"/>
  <c r="AO86" i="8"/>
  <c r="AE78" i="8"/>
  <c r="AI85" i="8"/>
  <c r="AO96" i="8"/>
  <c r="J85" i="8"/>
  <c r="S75" i="8"/>
  <c r="P99" i="8"/>
  <c r="AK79" i="8"/>
  <c r="AC88" i="8"/>
  <c r="AE94" i="8"/>
  <c r="AM88" i="8"/>
  <c r="AG91" i="8"/>
  <c r="AB114" i="8"/>
  <c r="Z102" i="8"/>
  <c r="C76" i="8"/>
  <c r="AJ92" i="8"/>
  <c r="Z103" i="8"/>
  <c r="AE106" i="8"/>
  <c r="W103" i="8"/>
  <c r="L104" i="8"/>
  <c r="M96" i="8"/>
  <c r="AD79" i="8"/>
  <c r="AI82" i="8"/>
  <c r="AE93" i="8"/>
  <c r="X113" i="8"/>
  <c r="AI100" i="8"/>
  <c r="B112" i="8"/>
  <c r="E85" i="8"/>
  <c r="L83" i="8"/>
  <c r="W78" i="8"/>
  <c r="V81" i="8"/>
  <c r="AK96" i="8"/>
  <c r="AA90" i="8"/>
  <c r="M82" i="8"/>
  <c r="AC89" i="8"/>
  <c r="M86" i="8"/>
  <c r="P96" i="8"/>
  <c r="AK102" i="8"/>
  <c r="Z81" i="8"/>
  <c r="J108" i="8"/>
  <c r="AL107" i="8"/>
  <c r="D99" i="8"/>
  <c r="L105" i="8"/>
  <c r="V82" i="8"/>
  <c r="AN110" i="8"/>
  <c r="W112" i="8"/>
  <c r="F96" i="8"/>
  <c r="L77" i="8"/>
  <c r="AF84" i="8"/>
  <c r="AG112" i="8"/>
  <c r="AE87" i="8"/>
  <c r="AE89" i="8"/>
  <c r="L113" i="8"/>
  <c r="AB91" i="8"/>
  <c r="W109" i="8"/>
  <c r="N76" i="8"/>
  <c r="AJ102" i="8"/>
  <c r="O102" i="8"/>
  <c r="AG89" i="8"/>
  <c r="AI86" i="8"/>
  <c r="E110" i="8"/>
  <c r="AG103" i="8"/>
  <c r="Z92" i="8"/>
  <c r="AE90" i="8"/>
  <c r="C103" i="8"/>
  <c r="P90" i="8"/>
  <c r="W108" i="8"/>
  <c r="AM82" i="8"/>
  <c r="T84" i="8"/>
  <c r="AO111" i="8"/>
  <c r="AF104" i="8"/>
  <c r="AF114" i="8"/>
  <c r="F84" i="8"/>
  <c r="W82" i="8"/>
  <c r="T99" i="8"/>
  <c r="AD94" i="8"/>
  <c r="AN79" i="8"/>
  <c r="Y75" i="8"/>
  <c r="P114" i="8"/>
  <c r="N95" i="8"/>
  <c r="D111" i="8"/>
  <c r="Z84" i="8"/>
  <c r="L79" i="8"/>
  <c r="C108" i="8"/>
  <c r="U104" i="8"/>
  <c r="U103" i="8"/>
  <c r="AB98" i="8"/>
  <c r="T97" i="8"/>
  <c r="AE108" i="8"/>
  <c r="V79" i="8"/>
  <c r="O113" i="8"/>
  <c r="H90" i="8"/>
  <c r="AJ76" i="8"/>
  <c r="AI90" i="8"/>
  <c r="C83" i="8"/>
  <c r="AC86" i="8"/>
  <c r="AM86" i="8"/>
  <c r="O107" i="8"/>
  <c r="AB81" i="8"/>
  <c r="AG101" i="8"/>
  <c r="AK85" i="8"/>
  <c r="AD84" i="8"/>
  <c r="AG99" i="8"/>
  <c r="S84" i="8"/>
  <c r="M105" i="8"/>
  <c r="B113" i="8"/>
  <c r="Q112" i="8"/>
  <c r="U105" i="8"/>
  <c r="AK112" i="8"/>
  <c r="AO110" i="8"/>
  <c r="U83" i="8"/>
  <c r="Z76" i="8"/>
  <c r="AB102" i="8"/>
  <c r="R90" i="8"/>
  <c r="T93" i="8"/>
  <c r="W92" i="8"/>
  <c r="AJ112" i="8"/>
  <c r="P94" i="8"/>
  <c r="AD88" i="8"/>
  <c r="N89" i="8"/>
  <c r="AL93" i="8"/>
  <c r="K106" i="8"/>
  <c r="W88" i="8"/>
  <c r="P77" i="8"/>
  <c r="P78" i="8"/>
  <c r="N109" i="8"/>
  <c r="Y108" i="8"/>
  <c r="M113" i="8"/>
  <c r="AB111" i="8"/>
  <c r="AM77" i="8"/>
  <c r="AK91" i="8"/>
  <c r="M109" i="8"/>
  <c r="Q103" i="8"/>
  <c r="Z96" i="8"/>
  <c r="V95" i="8"/>
  <c r="E93" i="8"/>
  <c r="V102" i="8"/>
  <c r="Y90" i="8"/>
  <c r="AN98" i="8"/>
  <c r="D88" i="8"/>
  <c r="I107" i="8"/>
  <c r="S98" i="8"/>
  <c r="AD76" i="8"/>
  <c r="I86" i="8"/>
  <c r="E108" i="8"/>
  <c r="B95" i="8"/>
  <c r="T109" i="8"/>
  <c r="AJ89" i="8"/>
  <c r="X106" i="8"/>
  <c r="AC100" i="8"/>
  <c r="C111" i="8"/>
  <c r="AC104" i="8"/>
  <c r="T100" i="8"/>
  <c r="AL77" i="8"/>
  <c r="J80" i="8"/>
  <c r="AD113" i="8"/>
  <c r="AF102" i="8"/>
  <c r="AN87" i="8"/>
  <c r="Q80" i="8"/>
  <c r="AJ113" i="8"/>
  <c r="AD87" i="8"/>
  <c r="AA89" i="8"/>
  <c r="M106" i="8"/>
  <c r="P87" i="8"/>
  <c r="AB80" i="8"/>
  <c r="AD106" i="8"/>
  <c r="J103" i="8"/>
  <c r="AF103" i="8"/>
  <c r="C94" i="8"/>
  <c r="AD100" i="8"/>
  <c r="P84" i="8"/>
  <c r="K87" i="8"/>
  <c r="D105" i="8"/>
  <c r="H79" i="8"/>
  <c r="AO91" i="8"/>
  <c r="I92" i="8"/>
  <c r="AO80" i="8"/>
  <c r="X85" i="8"/>
  <c r="AH77" i="8"/>
  <c r="G95" i="8"/>
  <c r="AH89" i="8"/>
  <c r="B76" i="8"/>
  <c r="AJ98" i="8"/>
  <c r="AF85" i="8"/>
  <c r="AK76" i="8"/>
  <c r="X89" i="8"/>
  <c r="AH98" i="8"/>
  <c r="AN94" i="8"/>
  <c r="V113" i="8"/>
  <c r="AC78" i="8"/>
  <c r="AG108" i="8"/>
  <c r="AK83" i="8"/>
  <c r="U86" i="8"/>
  <c r="V98" i="8"/>
  <c r="S103" i="8"/>
  <c r="R108" i="8"/>
  <c r="C114" i="8"/>
  <c r="AE109" i="8"/>
  <c r="Z87" i="8"/>
  <c r="AI81" i="8"/>
  <c r="U102" i="8"/>
  <c r="AI104" i="8"/>
  <c r="AO94" i="8"/>
  <c r="AM96" i="8"/>
  <c r="AO95" i="8"/>
  <c r="F81" i="8"/>
  <c r="G80" i="8"/>
  <c r="X84" i="8"/>
  <c r="AA91" i="8"/>
  <c r="AL80" i="8"/>
  <c r="D113" i="8"/>
  <c r="AG90" i="8"/>
  <c r="M88" i="8"/>
  <c r="D75" i="8"/>
  <c r="AM93" i="8"/>
  <c r="AK97" i="8"/>
  <c r="Y113" i="8"/>
  <c r="C80" i="8"/>
  <c r="AN111" i="8"/>
  <c r="AF92" i="8"/>
  <c r="AC75" i="8"/>
  <c r="AH105" i="8"/>
  <c r="I105" i="8"/>
  <c r="W85" i="8"/>
  <c r="E100" i="8"/>
  <c r="Z88" i="8"/>
  <c r="AD102" i="8"/>
  <c r="Y105" i="8"/>
  <c r="J89" i="8"/>
  <c r="AE96" i="8"/>
  <c r="O98" i="8"/>
  <c r="O86" i="8"/>
  <c r="S80" i="8"/>
  <c r="Q82" i="8"/>
  <c r="Q78" i="8"/>
  <c r="AD85" i="8"/>
  <c r="E76" i="8"/>
  <c r="AF76" i="8"/>
  <c r="K85" i="8"/>
  <c r="AL89" i="8"/>
  <c r="B100" i="8"/>
  <c r="D93" i="8"/>
  <c r="B79" i="8"/>
  <c r="Q102" i="8"/>
  <c r="Y107" i="8"/>
  <c r="M83" i="8"/>
  <c r="G103" i="8"/>
  <c r="AC108" i="8"/>
  <c r="AB94" i="8"/>
  <c r="X96" i="8"/>
  <c r="AL83" i="8"/>
  <c r="L76" i="8"/>
  <c r="I99" i="8"/>
  <c r="T106" i="8"/>
  <c r="K109" i="8"/>
  <c r="C87" i="8"/>
  <c r="X78" i="8"/>
  <c r="X94" i="8"/>
  <c r="AM75" i="8"/>
  <c r="X92" i="8"/>
  <c r="AD91" i="8"/>
  <c r="AJ106" i="8"/>
  <c r="R97" i="8"/>
  <c r="Y87" i="8"/>
  <c r="AF108" i="8"/>
  <c r="AF91" i="8"/>
  <c r="Q92" i="8"/>
  <c r="I88" i="8"/>
  <c r="B83" i="8"/>
  <c r="Q95" i="8"/>
  <c r="D95" i="8"/>
  <c r="AI97" i="8"/>
  <c r="P88" i="8"/>
  <c r="K83" i="8"/>
  <c r="F94" i="8"/>
  <c r="AD86" i="8"/>
  <c r="AC76" i="8"/>
  <c r="AO113" i="8"/>
  <c r="Z85" i="8"/>
  <c r="U95" i="8"/>
  <c r="K97" i="8"/>
  <c r="P92" i="8"/>
  <c r="F109" i="8"/>
  <c r="U113" i="8"/>
  <c r="AO102" i="8"/>
  <c r="Q111" i="8"/>
  <c r="AE97" i="8"/>
  <c r="W101" i="8"/>
  <c r="C96" i="8"/>
  <c r="AK114" i="8"/>
  <c r="M90" i="8"/>
  <c r="AJ77" i="8"/>
  <c r="AE98" i="8"/>
  <c r="AB77" i="8"/>
  <c r="AI110" i="8"/>
  <c r="G104" i="8"/>
  <c r="Y104" i="8"/>
  <c r="H78" i="8"/>
  <c r="AM110" i="8"/>
  <c r="B80" i="8"/>
  <c r="AE112" i="8"/>
  <c r="N75" i="8"/>
  <c r="AM81" i="8"/>
  <c r="AH93" i="8"/>
  <c r="S99" i="8"/>
  <c r="S94" i="8"/>
  <c r="AG82" i="8"/>
  <c r="H97" i="8"/>
  <c r="E79" i="8"/>
  <c r="W75" i="8"/>
  <c r="D107" i="8"/>
  <c r="S102" i="8"/>
  <c r="AI98" i="8"/>
  <c r="F101" i="8"/>
  <c r="L107" i="8"/>
  <c r="L111" i="8"/>
  <c r="AC81" i="8"/>
  <c r="S78" i="8"/>
  <c r="K86" i="8"/>
  <c r="F77" i="8"/>
  <c r="U87" i="8"/>
  <c r="V84" i="8"/>
  <c r="E87" i="8"/>
  <c r="K93" i="8"/>
  <c r="W97" i="8"/>
  <c r="C91" i="8"/>
  <c r="D96" i="8"/>
  <c r="W94" i="8"/>
  <c r="Z82" i="8"/>
  <c r="AK93" i="8"/>
  <c r="AK81" i="8"/>
  <c r="AE81" i="8"/>
  <c r="AO79" i="8"/>
  <c r="C79" i="8"/>
  <c r="W102" i="8"/>
  <c r="R106" i="8"/>
  <c r="AE82" i="8"/>
  <c r="C86" i="8"/>
  <c r="AE110" i="8"/>
  <c r="Z78" i="8"/>
  <c r="G101" i="8"/>
  <c r="Q83" i="8"/>
  <c r="O103" i="8"/>
  <c r="J86" i="8"/>
  <c r="L87" i="8"/>
  <c r="I109" i="8"/>
  <c r="AI112" i="8"/>
  <c r="J107" i="8"/>
  <c r="AD109" i="8"/>
  <c r="AD111" i="8"/>
  <c r="AC110" i="8"/>
  <c r="Q113" i="8"/>
  <c r="W113" i="8"/>
  <c r="AB86" i="8"/>
  <c r="N78" i="8"/>
  <c r="Y101" i="8"/>
  <c r="Q79" i="8"/>
  <c r="AM111" i="8"/>
  <c r="H104" i="8"/>
  <c r="H89" i="8"/>
  <c r="R95" i="8"/>
  <c r="AE102" i="8"/>
  <c r="Q109" i="8"/>
  <c r="AG96" i="8"/>
  <c r="T85" i="8"/>
  <c r="G92" i="8"/>
  <c r="AO88" i="8"/>
  <c r="S101" i="8"/>
  <c r="W110" i="8"/>
  <c r="L106" i="8"/>
  <c r="AK94" i="8"/>
  <c r="Y94" i="8"/>
  <c r="I101" i="8"/>
  <c r="C110" i="8"/>
  <c r="Q106" i="8"/>
  <c r="Y98" i="8"/>
  <c r="Q108" i="8"/>
  <c r="AB79" i="8"/>
  <c r="AB97" i="8"/>
  <c r="AO82" i="8"/>
  <c r="I96" i="8"/>
  <c r="AM102" i="8"/>
  <c r="V89" i="8"/>
  <c r="E88" i="8"/>
  <c r="AC84" i="8"/>
  <c r="U79" i="8"/>
  <c r="Z91" i="8"/>
  <c r="AB100" i="8"/>
  <c r="Y79" i="8"/>
  <c r="E101" i="8"/>
  <c r="S83" i="8"/>
  <c r="AN97" i="8"/>
  <c r="B99" i="8"/>
  <c r="Q89" i="8"/>
  <c r="AD108" i="8"/>
  <c r="AM114" i="8"/>
  <c r="AE105" i="8"/>
  <c r="AM97" i="8"/>
  <c r="O101" i="8"/>
  <c r="AK89" i="8"/>
  <c r="P111" i="8"/>
  <c r="M110" i="8"/>
  <c r="AF106" i="8"/>
  <c r="AF80" i="8"/>
  <c r="AL96" i="8"/>
  <c r="R99" i="8"/>
  <c r="H103" i="8"/>
  <c r="F102" i="8"/>
  <c r="Z77" i="8"/>
  <c r="AC97" i="8"/>
  <c r="K101" i="8"/>
  <c r="M114" i="8"/>
  <c r="G106" i="8"/>
  <c r="L82" i="8"/>
  <c r="R109" i="8"/>
  <c r="B105" i="8"/>
  <c r="D87" i="8"/>
  <c r="S91" i="8"/>
  <c r="I97" i="8"/>
  <c r="AL114" i="8"/>
  <c r="C107" i="8"/>
  <c r="V80" i="8"/>
  <c r="AJ81" i="8"/>
  <c r="H109" i="8"/>
  <c r="P102" i="8"/>
  <c r="B88" i="8"/>
  <c r="E109" i="8"/>
  <c r="F100" i="8"/>
  <c r="Y114" i="8"/>
  <c r="AA114" i="8"/>
  <c r="K95" i="8"/>
  <c r="F95" i="8"/>
  <c r="E94" i="8"/>
  <c r="G99" i="8"/>
  <c r="AO98" i="8"/>
  <c r="E75" i="8"/>
  <c r="AL91" i="8"/>
  <c r="J102" i="8"/>
  <c r="K99" i="8"/>
  <c r="D100" i="8"/>
  <c r="AF97" i="8"/>
  <c r="AH79" i="8"/>
  <c r="P113" i="8"/>
  <c r="L85" i="8"/>
  <c r="U96" i="8"/>
  <c r="AN92" i="8"/>
  <c r="AE88" i="8"/>
  <c r="Y86" i="8"/>
  <c r="AN95" i="8"/>
  <c r="T75" i="8"/>
  <c r="AK113" i="8"/>
  <c r="D86" i="8"/>
  <c r="G83" i="8"/>
  <c r="X99" i="8"/>
  <c r="W106" i="8"/>
  <c r="V104" i="8"/>
  <c r="AF101" i="8"/>
  <c r="T98" i="8"/>
  <c r="AH80" i="8"/>
  <c r="G89" i="8"/>
  <c r="N88" i="8"/>
  <c r="N110" i="8"/>
  <c r="E107" i="8"/>
  <c r="H77" i="8"/>
  <c r="X101" i="8"/>
  <c r="AB104" i="8"/>
  <c r="B102" i="8"/>
  <c r="AD98" i="8"/>
  <c r="AI96" i="8"/>
  <c r="AM108" i="8"/>
  <c r="J105" i="8"/>
  <c r="B75" i="8"/>
  <c r="E102" i="8"/>
  <c r="AK99" i="8"/>
  <c r="G79" i="8"/>
  <c r="N111" i="8"/>
  <c r="V109" i="8"/>
  <c r="AD107" i="8"/>
  <c r="AL105" i="8"/>
  <c r="AD99" i="8"/>
  <c r="P100" i="8"/>
  <c r="E98" i="8"/>
  <c r="Y80" i="8"/>
  <c r="V76" i="8"/>
  <c r="AA88" i="8"/>
  <c r="AB82" i="8"/>
  <c r="Y76" i="8"/>
  <c r="B114" i="8"/>
  <c r="O112" i="8"/>
  <c r="S111" i="8"/>
  <c r="K76" i="8"/>
  <c r="G114" i="8"/>
  <c r="S86" i="8"/>
  <c r="T83" i="8"/>
  <c r="AA103" i="8"/>
  <c r="E99" i="8"/>
  <c r="V97" i="8"/>
  <c r="AG87" i="8"/>
  <c r="Y83" i="8"/>
  <c r="J79" i="8"/>
  <c r="F86" i="8"/>
  <c r="T86" i="8"/>
  <c r="AA83" i="8"/>
  <c r="AF75" i="8"/>
  <c r="I81" i="8"/>
  <c r="AO75" i="8"/>
  <c r="AG78" i="8"/>
  <c r="J76" i="8"/>
  <c r="O76" i="8"/>
  <c r="AB76" i="8"/>
  <c r="N92" i="8"/>
  <c r="K81" i="8"/>
  <c r="U82" i="8"/>
  <c r="G85" i="8"/>
  <c r="M87" i="8"/>
  <c r="AA87" i="8"/>
  <c r="AA99" i="8"/>
  <c r="AK87" i="8"/>
  <c r="AM76" i="8"/>
  <c r="B92" i="8"/>
  <c r="Z83" i="8"/>
  <c r="J82" i="8"/>
  <c r="AF77" i="8"/>
  <c r="B101" i="8"/>
  <c r="AJ101" i="8"/>
  <c r="D85" i="8"/>
  <c r="J91" i="8"/>
  <c r="AJ109" i="8"/>
  <c r="V96" i="8"/>
  <c r="AL88" i="8"/>
  <c r="AE84" i="8"/>
  <c r="P89" i="8"/>
  <c r="AD92" i="8"/>
  <c r="AB108" i="8"/>
  <c r="AL78" i="8"/>
  <c r="I89" i="8"/>
  <c r="B85" i="8"/>
  <c r="S90" i="8"/>
  <c r="AH108" i="8"/>
  <c r="AE79" i="8"/>
  <c r="AE76" i="8"/>
  <c r="AD104" i="8"/>
  <c r="AF98" i="8"/>
  <c r="S95" i="8"/>
  <c r="N77" i="8"/>
  <c r="U92" i="8"/>
  <c r="S93" i="8"/>
  <c r="AB109" i="8"/>
  <c r="AJ107" i="8"/>
  <c r="AJ104" i="8"/>
  <c r="AI88" i="8"/>
  <c r="X91" i="8"/>
  <c r="F91" i="8"/>
  <c r="AH106" i="8"/>
  <c r="AG76" i="8"/>
  <c r="V112" i="8"/>
  <c r="AD110" i="8"/>
  <c r="V78" i="8"/>
  <c r="AM98" i="8"/>
  <c r="O97" i="8"/>
  <c r="AE95" i="8"/>
  <c r="AJ79" i="8"/>
  <c r="O80" i="8"/>
  <c r="E82" i="8"/>
  <c r="AK86" i="8"/>
  <c r="AC91" i="8"/>
  <c r="AD89" i="8"/>
  <c r="G97" i="8"/>
  <c r="K82" i="8"/>
  <c r="Q76" i="8"/>
  <c r="E96" i="8"/>
  <c r="W87" i="8"/>
  <c r="AJ90" i="8"/>
  <c r="M77" i="8"/>
  <c r="B78" i="8"/>
  <c r="AJ96" i="8"/>
  <c r="J93" i="8"/>
  <c r="X77" i="8"/>
  <c r="AF82" i="8"/>
  <c r="O95" i="8"/>
  <c r="K100" i="8"/>
  <c r="I95" i="8"/>
  <c r="AB78" i="8"/>
  <c r="R94" i="8"/>
  <c r="V99" i="8"/>
  <c r="AG97" i="8"/>
  <c r="Z104" i="8"/>
  <c r="Y109" i="8"/>
  <c r="U89" i="8"/>
  <c r="AH107" i="8"/>
  <c r="G108" i="8"/>
  <c r="AG94" i="8"/>
  <c r="AI79" i="8"/>
  <c r="I108" i="8"/>
  <c r="W90" i="8"/>
  <c r="AH99" i="8"/>
  <c r="Z109" i="8"/>
  <c r="P101" i="8"/>
  <c r="S112" i="8"/>
  <c r="AO103" i="8"/>
  <c r="N114" i="8"/>
  <c r="I104" i="8"/>
  <c r="F108" i="8"/>
  <c r="W105" i="8"/>
  <c r="I112" i="8"/>
  <c r="AM94" i="8"/>
  <c r="H101" i="8"/>
  <c r="E92" i="8"/>
  <c r="Q77" i="8"/>
  <c r="R77" i="8"/>
  <c r="X103" i="8"/>
  <c r="S113" i="8"/>
  <c r="G91" i="8"/>
  <c r="AB101" i="8"/>
  <c r="I111" i="8"/>
  <c r="Y106" i="8"/>
  <c r="G109" i="8"/>
  <c r="AK101" i="8"/>
  <c r="H80" i="8"/>
  <c r="AA110" i="8"/>
  <c r="S92" i="8"/>
  <c r="X98" i="8"/>
  <c r="AO108" i="8"/>
  <c r="AG114" i="8"/>
  <c r="K113" i="8"/>
  <c r="P107" i="8"/>
  <c r="D114" i="8"/>
  <c r="AA107" i="8"/>
  <c r="U98" i="8"/>
  <c r="F99" i="8"/>
  <c r="AL95" i="8"/>
  <c r="Y110" i="8"/>
  <c r="Q91" i="8"/>
  <c r="AE104" i="8"/>
  <c r="AC93" i="8"/>
  <c r="W95" i="8"/>
  <c r="V88" i="8"/>
  <c r="F103" i="8"/>
  <c r="D109" i="8"/>
  <c r="I75" i="8"/>
  <c r="AB105" i="8"/>
  <c r="H91" i="8"/>
  <c r="M101" i="8"/>
  <c r="R102" i="8"/>
  <c r="M103" i="8"/>
  <c r="AH88" i="8"/>
  <c r="D108" i="8"/>
  <c r="AI92" i="8"/>
  <c r="F82" i="8"/>
  <c r="J87" i="8"/>
  <c r="E77" i="8"/>
  <c r="AN78" i="8"/>
  <c r="R113" i="8"/>
  <c r="B110" i="8"/>
  <c r="AC82" i="8"/>
  <c r="AI102" i="8"/>
  <c r="T76" i="8"/>
  <c r="L101" i="8"/>
  <c r="X76" i="8"/>
  <c r="D98" i="8"/>
  <c r="V94" i="8"/>
  <c r="Y95" i="8"/>
  <c r="R80" i="8"/>
  <c r="S109" i="8"/>
  <c r="AJ86" i="8"/>
  <c r="C85" i="8"/>
  <c r="B111" i="8"/>
  <c r="AH75" i="8"/>
  <c r="Y111" i="8"/>
  <c r="L78" i="8"/>
  <c r="AI107" i="8"/>
  <c r="AM84" i="8"/>
  <c r="W86" i="8"/>
  <c r="AB87" i="8"/>
  <c r="R107" i="8"/>
  <c r="B84" i="8"/>
  <c r="AN109" i="8"/>
  <c r="N79" i="8"/>
  <c r="AL92" i="8"/>
  <c r="K107" i="8"/>
  <c r="C88" i="8"/>
  <c r="B91" i="8"/>
  <c r="AI80" i="8"/>
  <c r="AK77" i="8"/>
  <c r="C106" i="8"/>
  <c r="AM104" i="8"/>
  <c r="AN106" i="8"/>
  <c r="H107" i="8"/>
  <c r="T103" i="8"/>
  <c r="V90" i="8"/>
  <c r="U114" i="8"/>
  <c r="H88" i="8"/>
  <c r="AD90" i="8"/>
  <c r="C93" i="8"/>
  <c r="O93" i="8"/>
  <c r="J95" i="8"/>
  <c r="P110" i="8"/>
  <c r="P93" i="8"/>
  <c r="T82" i="8"/>
  <c r="L109" i="8"/>
  <c r="P91" i="8"/>
  <c r="C102" i="8"/>
  <c r="T107" i="8"/>
  <c r="AD103" i="8"/>
  <c r="AO89" i="8"/>
  <c r="N90" i="8"/>
  <c r="D106" i="8"/>
  <c r="AM85" i="8"/>
  <c r="AL111" i="8"/>
  <c r="F114" i="8"/>
  <c r="W100" i="8"/>
  <c r="R79" i="8"/>
  <c r="AA79" i="8"/>
  <c r="G94" i="8"/>
  <c r="AL84" i="8"/>
  <c r="R87" i="8"/>
  <c r="B82" i="8"/>
  <c r="F90" i="8"/>
  <c r="M80" i="8"/>
  <c r="O110" i="8"/>
  <c r="AA109" i="8"/>
  <c r="AG98" i="8"/>
  <c r="Z100" i="8"/>
  <c r="AN81" i="8"/>
  <c r="AJ93" i="8"/>
  <c r="Y103" i="8"/>
  <c r="AG105" i="8"/>
  <c r="V106" i="8"/>
  <c r="X112" i="8"/>
  <c r="AF95" i="8"/>
  <c r="F113" i="8"/>
  <c r="D77" i="8"/>
  <c r="AH78" i="8"/>
  <c r="J110" i="8"/>
  <c r="AI91" i="8"/>
  <c r="AF81" i="8"/>
  <c r="AK111" i="8"/>
  <c r="O79" i="8"/>
  <c r="C97" i="8"/>
  <c r="V114" i="8"/>
  <c r="N98" i="8"/>
  <c r="H85" i="8"/>
  <c r="AD96" i="8"/>
  <c r="AJ85" i="8"/>
  <c r="Y89" i="8"/>
  <c r="AG83" i="8"/>
  <c r="AK92" i="8"/>
  <c r="AD95" i="8"/>
  <c r="H94" i="8"/>
  <c r="AC109" i="8"/>
  <c r="U76" i="8"/>
  <c r="AC79" i="8"/>
  <c r="M81" i="8"/>
  <c r="AK90" i="8"/>
  <c r="W96" i="8"/>
  <c r="AG84" i="8"/>
  <c r="Y91" i="8"/>
  <c r="X102" i="8"/>
  <c r="B98" i="8"/>
  <c r="G81" i="8"/>
  <c r="S77" i="8"/>
  <c r="Y82" i="8"/>
  <c r="AO97" i="8"/>
  <c r="AA105" i="8"/>
  <c r="AK105" i="8"/>
  <c r="F79" i="8"/>
  <c r="AC98" i="8"/>
  <c r="H92" i="8"/>
  <c r="N104" i="8"/>
  <c r="X90" i="8"/>
  <c r="X100" i="8"/>
  <c r="H111" i="8"/>
  <c r="AI76" i="8"/>
  <c r="J114" i="8"/>
  <c r="AI78" i="8"/>
  <c r="AK100" i="8"/>
  <c r="AN83" i="8"/>
  <c r="T81" i="8"/>
  <c r="V111" i="8"/>
  <c r="AG104" i="8"/>
  <c r="L89" i="8"/>
  <c r="I106" i="8"/>
  <c r="AN105" i="8"/>
  <c r="L88" i="8"/>
  <c r="AM83" i="8"/>
  <c r="AJ111" i="8"/>
  <c r="D110" i="8"/>
  <c r="W107" i="8"/>
  <c r="Z97" i="8"/>
  <c r="AM113" i="8"/>
  <c r="E104" i="8"/>
  <c r="AA104" i="8"/>
  <c r="AH82" i="8"/>
  <c r="AA84" i="8"/>
  <c r="C84" i="8"/>
  <c r="J96" i="8"/>
  <c r="Y77" i="8"/>
  <c r="AG80" i="8"/>
  <c r="B108" i="8"/>
  <c r="F106" i="8"/>
  <c r="AF107" i="8"/>
  <c r="G113" i="8"/>
  <c r="AH90" i="8"/>
  <c r="L108" i="8"/>
  <c r="AJ84" i="8"/>
  <c r="O81" i="8"/>
  <c r="AO77" i="8"/>
  <c r="E113" i="8"/>
  <c r="X93" i="8"/>
  <c r="AA100" i="8"/>
  <c r="F110" i="8"/>
  <c r="D83" i="8"/>
  <c r="W91" i="8"/>
  <c r="R75" i="8"/>
  <c r="X82" i="8"/>
  <c r="AC92" i="8"/>
  <c r="Z98" i="8"/>
  <c r="AB103" i="8"/>
  <c r="P106" i="8"/>
  <c r="O109" i="8"/>
  <c r="AA106" i="8"/>
  <c r="P81" i="8"/>
  <c r="F92" i="8"/>
  <c r="Y81" i="8"/>
  <c r="AN93" i="8"/>
  <c r="AI105" i="8"/>
  <c r="AG79" i="8"/>
  <c r="M112" i="8"/>
  <c r="Q94" i="8"/>
  <c r="M111" i="8"/>
  <c r="Z110" i="8"/>
  <c r="V93" i="8"/>
  <c r="R101" i="8"/>
  <c r="Q101" i="8"/>
  <c r="AJ78" i="8"/>
  <c r="AI87" i="8"/>
  <c r="AO85" i="8"/>
  <c r="S87" i="8"/>
  <c r="AA112" i="8"/>
  <c r="AC102" i="8"/>
  <c r="AC90" i="8"/>
  <c r="S114" i="8"/>
  <c r="S106" i="8"/>
  <c r="G110" i="8"/>
  <c r="AK104" i="8"/>
  <c r="C92" i="8"/>
  <c r="AC113" i="8"/>
  <c r="AK98" i="8"/>
  <c r="D78" i="8"/>
  <c r="D97" i="8"/>
  <c r="W84" i="8"/>
  <c r="Q85" i="8"/>
  <c r="I82" i="8"/>
  <c r="AC96" i="8"/>
  <c r="AD93" i="8"/>
  <c r="N97" i="8"/>
  <c r="AK107" i="8"/>
  <c r="H82" i="8"/>
  <c r="N83" i="8"/>
  <c r="AO83" i="8"/>
  <c r="T89" i="8"/>
  <c r="B93" i="8"/>
  <c r="W104" i="8"/>
  <c r="Q110" i="8"/>
  <c r="AI89" i="8"/>
  <c r="G87" i="8"/>
  <c r="Z80" i="8"/>
  <c r="AM99" i="8"/>
  <c r="N102" i="8"/>
  <c r="AC105" i="8"/>
  <c r="AN100" i="8"/>
  <c r="N94" i="8"/>
  <c r="V101" i="8"/>
  <c r="AL112" i="8"/>
  <c r="AC99" i="8"/>
  <c r="N96" i="8"/>
  <c r="N112" i="8"/>
  <c r="AE91" i="8"/>
  <c r="K96" i="8"/>
  <c r="Q93" i="8"/>
  <c r="O105" i="8"/>
  <c r="I78" i="8"/>
  <c r="Q97" i="8"/>
  <c r="AO76" i="8"/>
  <c r="AA85" i="8"/>
  <c r="T90" i="8"/>
  <c r="AJ110" i="8"/>
  <c r="J97" i="8"/>
  <c r="Z95" i="8"/>
  <c r="AH96" i="8"/>
  <c r="U101" i="8"/>
  <c r="Z114" i="8"/>
  <c r="J106" i="8"/>
  <c r="AB106" i="8"/>
  <c r="H105" i="8"/>
  <c r="E106" i="8"/>
  <c r="AK80" i="8"/>
  <c r="AD78" i="8"/>
  <c r="M79" i="8"/>
  <c r="P98" i="8"/>
  <c r="E103" i="8"/>
  <c r="AN113" i="8"/>
  <c r="AI95" i="8"/>
  <c r="AA94" i="8"/>
  <c r="L94" i="8"/>
  <c r="L90" i="8"/>
  <c r="H86" i="8"/>
  <c r="AE100" i="8"/>
  <c r="AC112" i="8"/>
  <c r="O75" i="8"/>
  <c r="AJ80" i="8"/>
  <c r="J90" i="8"/>
  <c r="C109" i="8"/>
  <c r="AG111" i="8"/>
  <c r="AD82" i="8"/>
  <c r="AA80" i="8"/>
  <c r="L112" i="8"/>
  <c r="P109" i="8"/>
  <c r="X111" i="8"/>
  <c r="H112" i="8"/>
  <c r="R110" i="8"/>
  <c r="X97" i="8"/>
  <c r="AG93" i="8"/>
  <c r="AK82" i="8"/>
  <c r="AF88" i="8"/>
  <c r="I91" i="8"/>
  <c r="AO114" i="8"/>
  <c r="M102" i="8"/>
  <c r="E114" i="8"/>
  <c r="P83" i="8"/>
  <c r="AN75" i="8"/>
  <c r="W89" i="8"/>
  <c r="AB90" i="8"/>
  <c r="X107" i="8"/>
  <c r="U112" i="8"/>
  <c r="O108" i="8"/>
  <c r="R82" i="8"/>
  <c r="AO81" i="8"/>
  <c r="J78" i="8"/>
  <c r="C81" i="8"/>
  <c r="L102" i="8"/>
  <c r="C95" i="8"/>
  <c r="E78" i="8"/>
  <c r="E86" i="8"/>
  <c r="X114" i="8"/>
  <c r="AO105" i="8"/>
  <c r="Q88" i="8"/>
  <c r="AH102" i="8"/>
  <c r="X108" i="8"/>
  <c r="O78" i="8"/>
  <c r="X80" i="8"/>
  <c r="W79" i="8"/>
  <c r="AJ105" i="8"/>
  <c r="E112" i="8"/>
  <c r="AL101" i="8"/>
  <c r="AL102" i="8"/>
  <c r="AJ100" i="8"/>
  <c r="AM101" i="8"/>
  <c r="M94" i="8"/>
  <c r="AE77" i="8"/>
  <c r="AI99" i="8"/>
  <c r="Y78" i="8"/>
  <c r="F111" i="8"/>
  <c r="AB83" i="8"/>
  <c r="AH97" i="8"/>
  <c r="Z107" i="8"/>
  <c r="O82" i="8"/>
  <c r="F83" i="8"/>
  <c r="Q87" i="8"/>
  <c r="AN80" i="8"/>
  <c r="N87" i="8"/>
  <c r="K94" i="8"/>
  <c r="AE83" i="8"/>
  <c r="I84" i="8"/>
  <c r="P85" i="8"/>
  <c r="O85" i="8"/>
  <c r="K111" i="8"/>
  <c r="L92" i="8"/>
  <c r="Z113" i="8"/>
  <c r="AI113" i="8"/>
  <c r="C99" i="8"/>
  <c r="W83" i="8"/>
  <c r="AI101" i="8"/>
  <c r="C90" i="8"/>
  <c r="P104" i="8"/>
  <c r="S96" i="8"/>
  <c r="I83" i="8"/>
  <c r="Y93" i="8"/>
  <c r="M104" i="8"/>
  <c r="G105" i="8"/>
  <c r="Z94" i="8"/>
  <c r="L97" i="8"/>
  <c r="AI84" i="8"/>
  <c r="Z99" i="8"/>
  <c r="AA82" i="8"/>
  <c r="AO109" i="8"/>
  <c r="E89" i="8"/>
  <c r="AD83" i="8"/>
  <c r="R83" i="8"/>
  <c r="W93" i="8"/>
  <c r="AH100" i="8"/>
  <c r="O114" i="8"/>
  <c r="AF112" i="8"/>
  <c r="M97" i="8"/>
  <c r="AL103" i="8"/>
  <c r="I87" i="8"/>
  <c r="P97" i="8"/>
  <c r="AN91" i="8"/>
  <c r="O106" i="8"/>
  <c r="D101" i="8"/>
  <c r="AO104" i="8"/>
  <c r="Z112" i="8"/>
  <c r="AD80" i="8"/>
  <c r="P76" i="8"/>
  <c r="AO78" i="8"/>
  <c r="AO93" i="8"/>
  <c r="O99" i="8"/>
  <c r="F80" i="8"/>
  <c r="AM95" i="8"/>
  <c r="O126" i="6"/>
  <c r="M103" i="6"/>
  <c r="Q110" i="6"/>
  <c r="M117" i="6"/>
  <c r="Z114" i="6"/>
  <c r="D119" i="6"/>
  <c r="N103" i="6"/>
  <c r="Y122" i="6"/>
  <c r="H106" i="6"/>
  <c r="R124" i="6"/>
  <c r="U114" i="6"/>
  <c r="S126" i="6"/>
  <c r="X105" i="6"/>
  <c r="L107" i="6"/>
  <c r="G122" i="6"/>
  <c r="AA109" i="6"/>
  <c r="R126" i="6"/>
  <c r="X109" i="6"/>
  <c r="Z101" i="6"/>
  <c r="Q109" i="6"/>
  <c r="J126" i="6"/>
  <c r="V102" i="6"/>
  <c r="O109" i="6"/>
  <c r="F119" i="6"/>
  <c r="D106" i="6"/>
  <c r="K102" i="6"/>
  <c r="B117" i="6"/>
  <c r="T103" i="6"/>
  <c r="H120" i="6"/>
  <c r="V118" i="6"/>
  <c r="Y108" i="6"/>
  <c r="S117" i="6"/>
  <c r="D126" i="6"/>
  <c r="L124" i="6"/>
  <c r="F126" i="6"/>
  <c r="Z122" i="6"/>
  <c r="L116" i="6"/>
  <c r="M110" i="6"/>
  <c r="G114" i="6"/>
  <c r="B108" i="6"/>
  <c r="G118" i="6"/>
  <c r="G109" i="6"/>
  <c r="B105" i="6"/>
  <c r="Z107" i="6"/>
  <c r="P111" i="6"/>
  <c r="J125" i="6"/>
  <c r="U119" i="6"/>
  <c r="S114" i="6"/>
  <c r="O108" i="6"/>
  <c r="S118" i="6"/>
  <c r="U108" i="6"/>
  <c r="R104" i="6"/>
  <c r="R107" i="6"/>
  <c r="Z110" i="6"/>
  <c r="U103" i="6"/>
  <c r="Z112" i="6"/>
  <c r="I121" i="6"/>
  <c r="B104" i="6"/>
  <c r="Y121" i="6"/>
  <c r="Q107" i="6"/>
  <c r="S122" i="6"/>
  <c r="F121" i="6"/>
  <c r="V124" i="6"/>
  <c r="J102" i="6"/>
  <c r="L117" i="6"/>
  <c r="X117" i="6"/>
  <c r="I112" i="6"/>
  <c r="Q106" i="6"/>
  <c r="L120" i="6"/>
  <c r="E111" i="6"/>
  <c r="C121" i="6"/>
  <c r="F111" i="6"/>
  <c r="P112" i="6"/>
  <c r="X115" i="6"/>
  <c r="AA126" i="6"/>
  <c r="R118" i="6"/>
  <c r="H112" i="6"/>
  <c r="D107" i="6"/>
  <c r="O107" i="6"/>
  <c r="I124" i="6"/>
  <c r="Q118" i="6"/>
  <c r="I107" i="6"/>
  <c r="P110" i="6"/>
  <c r="T107" i="6"/>
  <c r="I118" i="6"/>
  <c r="V120" i="6"/>
  <c r="D112" i="6"/>
  <c r="M102" i="6"/>
  <c r="Y104" i="6"/>
  <c r="C120" i="6"/>
  <c r="Z104" i="6"/>
  <c r="M121" i="6"/>
  <c r="F109" i="6"/>
  <c r="AA101" i="6"/>
  <c r="W108" i="6"/>
  <c r="N114" i="6"/>
  <c r="B103" i="6"/>
  <c r="E103" i="6"/>
  <c r="O111" i="6"/>
  <c r="Q102" i="6"/>
  <c r="J118" i="6"/>
  <c r="K118" i="6"/>
  <c r="C112" i="6"/>
  <c r="G102" i="6"/>
  <c r="B118" i="6"/>
  <c r="T112" i="6"/>
  <c r="H105" i="6"/>
  <c r="E107" i="6"/>
  <c r="F124" i="6"/>
  <c r="Y101" i="6"/>
  <c r="Z108" i="6"/>
  <c r="C113" i="6"/>
  <c r="Z111" i="6"/>
  <c r="X102" i="6"/>
  <c r="Z117" i="6"/>
  <c r="J104" i="6"/>
  <c r="Z119" i="6"/>
  <c r="Y120" i="6"/>
  <c r="L123" i="6"/>
  <c r="F120" i="6"/>
  <c r="S120" i="6"/>
  <c r="Q114" i="6"/>
  <c r="M118" i="6"/>
  <c r="O112" i="6"/>
  <c r="M122" i="6"/>
  <c r="O105" i="6"/>
  <c r="I101" i="6"/>
  <c r="F105" i="6"/>
  <c r="N108" i="6"/>
  <c r="C110" i="6"/>
  <c r="B124" i="6"/>
  <c r="X118" i="6"/>
  <c r="AA112" i="6"/>
  <c r="X122" i="6"/>
  <c r="C105" i="6"/>
  <c r="P101" i="6"/>
  <c r="P104" i="6"/>
  <c r="F108" i="6"/>
  <c r="S108" i="6"/>
  <c r="R101" i="6"/>
  <c r="K107" i="6"/>
  <c r="C117" i="6"/>
  <c r="P126" i="6"/>
  <c r="E112" i="6"/>
  <c r="AA118" i="6"/>
  <c r="L118" i="6"/>
  <c r="B122" i="6"/>
  <c r="Q125" i="6"/>
  <c r="T123" i="6"/>
  <c r="O122" i="6"/>
  <c r="M116" i="6"/>
  <c r="L111" i="6"/>
  <c r="T104" i="6"/>
  <c r="L115" i="6"/>
  <c r="I125" i="6"/>
  <c r="N107" i="6"/>
  <c r="N109" i="6"/>
  <c r="D113" i="6"/>
  <c r="L101" i="6"/>
  <c r="D121" i="6"/>
  <c r="T114" i="6"/>
  <c r="K110" i="6"/>
  <c r="G126" i="6"/>
  <c r="O120" i="6"/>
  <c r="W114" i="6"/>
  <c r="AA124" i="6"/>
  <c r="O125" i="6"/>
  <c r="I103" i="6"/>
  <c r="P114" i="6"/>
  <c r="G119" i="6"/>
  <c r="T119" i="6"/>
  <c r="AA113" i="6"/>
  <c r="U112" i="6"/>
  <c r="AA122" i="6"/>
  <c r="I117" i="6"/>
  <c r="K125" i="6"/>
  <c r="N125" i="6"/>
  <c r="I111" i="6"/>
  <c r="O121" i="6"/>
  <c r="I126" i="6"/>
  <c r="V117" i="6"/>
  <c r="E114" i="6"/>
  <c r="J105" i="6"/>
  <c r="B120" i="6"/>
  <c r="B121" i="6"/>
  <c r="F104" i="6"/>
  <c r="AA110" i="6"/>
  <c r="M120" i="6"/>
  <c r="R120" i="6"/>
  <c r="B110" i="6"/>
  <c r="G121" i="6"/>
  <c r="K114" i="6"/>
  <c r="P125" i="6"/>
  <c r="T117" i="6"/>
  <c r="Y103" i="6"/>
  <c r="C111" i="6"/>
  <c r="P121" i="6"/>
  <c r="V105" i="6"/>
  <c r="O103" i="6"/>
  <c r="O110" i="6"/>
  <c r="P113" i="6"/>
  <c r="R111" i="6"/>
  <c r="P122" i="6"/>
  <c r="E109" i="6"/>
  <c r="R114" i="6"/>
  <c r="Y124" i="6"/>
  <c r="W118" i="6"/>
  <c r="Q122" i="6"/>
  <c r="T116" i="6"/>
  <c r="Q126" i="6"/>
  <c r="W101" i="6"/>
  <c r="X124" i="6"/>
  <c r="D102" i="6"/>
  <c r="G123" i="6"/>
  <c r="F123" i="6"/>
  <c r="F106" i="6"/>
  <c r="E123" i="6"/>
  <c r="G117" i="6"/>
  <c r="O101" i="6"/>
  <c r="J101" i="6"/>
  <c r="H124" i="6"/>
  <c r="V101" i="6"/>
  <c r="L105" i="6"/>
  <c r="E113" i="6"/>
  <c r="P106" i="6"/>
  <c r="W121" i="6"/>
  <c r="G106" i="6"/>
  <c r="W105" i="6"/>
  <c r="K116" i="6"/>
  <c r="I115" i="6"/>
  <c r="R115" i="6"/>
  <c r="H119" i="6"/>
  <c r="M105" i="6"/>
  <c r="G112" i="6"/>
  <c r="U126" i="6"/>
  <c r="T120" i="6"/>
  <c r="Q115" i="6"/>
  <c r="R109" i="6"/>
  <c r="Q119" i="6"/>
  <c r="AA107" i="6"/>
  <c r="L103" i="6"/>
  <c r="T106" i="6"/>
  <c r="J110" i="6"/>
  <c r="X103" i="6"/>
  <c r="P123" i="6"/>
  <c r="F117" i="6"/>
  <c r="R113" i="6"/>
  <c r="N122" i="6"/>
  <c r="U116" i="6"/>
  <c r="D111" i="6"/>
  <c r="H121" i="6"/>
  <c r="S111" i="6"/>
  <c r="N120" i="6"/>
  <c r="J124" i="6"/>
  <c r="X108" i="6"/>
  <c r="J103" i="6"/>
  <c r="W102" i="6"/>
  <c r="S121" i="6"/>
  <c r="J111" i="6"/>
  <c r="N117" i="6"/>
  <c r="H113" i="6"/>
  <c r="P117" i="6"/>
  <c r="W115" i="6"/>
  <c r="L106" i="6"/>
  <c r="U107" i="6"/>
  <c r="F118" i="6"/>
  <c r="C107" i="6"/>
  <c r="K115" i="6"/>
  <c r="U101" i="6"/>
  <c r="E122" i="6"/>
  <c r="AA121" i="6"/>
  <c r="H107" i="6"/>
  <c r="J119" i="6"/>
  <c r="S107" i="6"/>
  <c r="C118" i="6"/>
  <c r="Z120" i="6"/>
  <c r="S119" i="6"/>
  <c r="B119" i="6"/>
  <c r="J114" i="6"/>
  <c r="C106" i="6"/>
  <c r="E101" i="6"/>
  <c r="G110" i="6"/>
  <c r="L119" i="6"/>
  <c r="L110" i="6"/>
  <c r="H103" i="6"/>
  <c r="K111" i="6"/>
  <c r="K119" i="6"/>
  <c r="Y114" i="6"/>
  <c r="K126" i="6"/>
  <c r="B107" i="6"/>
  <c r="L122" i="6"/>
  <c r="I109" i="6"/>
  <c r="M109" i="6"/>
  <c r="W107" i="6"/>
  <c r="D108" i="6"/>
  <c r="L126" i="6"/>
  <c r="T121" i="6"/>
  <c r="V108" i="6"/>
  <c r="V109" i="6"/>
  <c r="N123" i="6"/>
  <c r="B113" i="6"/>
  <c r="Q104" i="6"/>
  <c r="W126" i="6"/>
  <c r="L108" i="6"/>
  <c r="R108" i="6"/>
  <c r="Q101" i="6"/>
  <c r="E117" i="6"/>
  <c r="V112" i="6"/>
  <c r="N112" i="6"/>
  <c r="U120" i="6"/>
  <c r="K101" i="6"/>
  <c r="E116" i="6"/>
  <c r="L121" i="6"/>
  <c r="AA102" i="6"/>
  <c r="N119" i="6"/>
  <c r="H125" i="6"/>
  <c r="P103" i="6"/>
  <c r="Q116" i="6"/>
  <c r="V110" i="6"/>
  <c r="AA115" i="6"/>
  <c r="U123" i="6"/>
  <c r="X123" i="6"/>
  <c r="R116" i="6"/>
  <c r="I106" i="6"/>
  <c r="E124" i="6"/>
  <c r="V113" i="6"/>
  <c r="V106" i="6"/>
  <c r="M104" i="6"/>
  <c r="G125" i="6"/>
  <c r="W123" i="6"/>
  <c r="H116" i="6"/>
  <c r="G103" i="6"/>
  <c r="X110" i="6"/>
  <c r="S115" i="6"/>
  <c r="M114" i="6"/>
  <c r="T115" i="6"/>
  <c r="D125" i="6"/>
  <c r="O104" i="6"/>
  <c r="B116" i="6"/>
  <c r="Q123" i="6"/>
  <c r="E119" i="6"/>
  <c r="Q111" i="6"/>
  <c r="H104" i="6"/>
  <c r="P116" i="6"/>
  <c r="Q113" i="6"/>
  <c r="U122" i="6"/>
  <c r="Y113" i="6"/>
  <c r="R112" i="6"/>
  <c r="R123" i="6"/>
  <c r="Z118" i="6"/>
  <c r="H111" i="6"/>
  <c r="R119" i="6"/>
  <c r="V126" i="6"/>
  <c r="C109" i="6"/>
  <c r="AA117" i="6"/>
  <c r="C123" i="6"/>
  <c r="W125" i="6"/>
  <c r="M108" i="6"/>
  <c r="E120" i="6"/>
  <c r="Y117" i="6"/>
  <c r="I110" i="6"/>
  <c r="G105" i="6"/>
  <c r="U125" i="6"/>
  <c r="O102" i="6"/>
  <c r="J109" i="6"/>
  <c r="N104" i="6"/>
  <c r="B123" i="6"/>
  <c r="AA111" i="6"/>
  <c r="U109" i="6"/>
  <c r="AA105" i="6"/>
  <c r="Y125" i="6"/>
  <c r="F102" i="6"/>
  <c r="G113" i="6"/>
  <c r="C108" i="6"/>
  <c r="P115" i="6"/>
  <c r="G116" i="6"/>
  <c r="T124" i="6"/>
  <c r="F122" i="6"/>
  <c r="H108" i="6"/>
  <c r="U121" i="6"/>
  <c r="K109" i="6"/>
  <c r="E104" i="6"/>
  <c r="Y123" i="6"/>
  <c r="N113" i="6"/>
  <c r="E108" i="6"/>
  <c r="D115" i="6"/>
  <c r="G101" i="6"/>
  <c r="N106" i="6"/>
  <c r="B112" i="6"/>
  <c r="J122" i="6"/>
  <c r="Z102" i="6"/>
  <c r="I120" i="6"/>
  <c r="C119" i="6"/>
  <c r="K123" i="6"/>
  <c r="Y107" i="6"/>
  <c r="N101" i="6"/>
  <c r="B111" i="6"/>
  <c r="J113" i="6"/>
  <c r="AA108" i="6"/>
  <c r="E118" i="6"/>
  <c r="W116" i="6"/>
  <c r="X120" i="6"/>
  <c r="P107" i="6"/>
  <c r="T113" i="6"/>
  <c r="D122" i="6"/>
  <c r="I104" i="6"/>
  <c r="U104" i="6"/>
  <c r="O117" i="6"/>
  <c r="I119" i="6"/>
  <c r="C122" i="6"/>
  <c r="AA116" i="6"/>
  <c r="U115" i="6"/>
  <c r="Y102" i="6"/>
  <c r="I102" i="6"/>
  <c r="W111" i="6"/>
  <c r="O116" i="6"/>
  <c r="W104" i="6"/>
  <c r="X101" i="6"/>
  <c r="S103" i="6"/>
  <c r="B115" i="6"/>
  <c r="G107" i="6"/>
  <c r="H118" i="6"/>
  <c r="N115" i="6"/>
  <c r="I123" i="6"/>
  <c r="P120" i="6"/>
  <c r="R121" i="6"/>
  <c r="H117" i="6"/>
  <c r="L109" i="6"/>
  <c r="M112" i="6"/>
  <c r="J117" i="6"/>
  <c r="M126" i="6"/>
  <c r="T102" i="6"/>
  <c r="E110" i="6"/>
  <c r="X126" i="6"/>
  <c r="S109" i="6"/>
  <c r="V119" i="6"/>
  <c r="T110" i="6"/>
  <c r="S112" i="6"/>
  <c r="Y119" i="6"/>
  <c r="Q117" i="6"/>
  <c r="T111" i="6"/>
  <c r="J108" i="6"/>
  <c r="P119" i="6"/>
  <c r="K117" i="6"/>
  <c r="M124" i="6"/>
  <c r="D104" i="6"/>
  <c r="C102" i="6"/>
  <c r="G104" i="6"/>
  <c r="N116" i="6"/>
  <c r="N105" i="6"/>
  <c r="N126" i="6"/>
  <c r="S101" i="6"/>
  <c r="W122" i="6"/>
  <c r="W103" i="6"/>
  <c r="D118" i="6"/>
  <c r="V104" i="6"/>
  <c r="F116" i="6"/>
  <c r="P124" i="6"/>
  <c r="U118" i="6"/>
  <c r="E126" i="6"/>
  <c r="U113" i="6"/>
  <c r="O115" i="6"/>
  <c r="W110" i="6"/>
  <c r="Y126" i="6"/>
  <c r="W120" i="6"/>
  <c r="I113" i="6"/>
  <c r="J120" i="6"/>
  <c r="S106" i="6"/>
  <c r="J123" i="6"/>
  <c r="Z126" i="6"/>
  <c r="AA103" i="6"/>
  <c r="O113" i="6"/>
  <c r="P108" i="6"/>
  <c r="C116" i="6"/>
  <c r="W112" i="6"/>
  <c r="AA123" i="6"/>
  <c r="M107" i="6"/>
  <c r="D114" i="6"/>
  <c r="F115" i="6"/>
  <c r="U106" i="6"/>
  <c r="C125" i="6"/>
  <c r="K106" i="6"/>
  <c r="P109" i="6"/>
  <c r="B125" i="6"/>
  <c r="X111" i="6"/>
  <c r="I122" i="6"/>
  <c r="H114" i="6"/>
  <c r="Z113" i="6"/>
  <c r="D116" i="6"/>
  <c r="L125" i="6"/>
  <c r="Y116" i="6"/>
  <c r="S105" i="6"/>
  <c r="Q103" i="6"/>
  <c r="Y115" i="6"/>
  <c r="N121" i="6"/>
  <c r="V116" i="6"/>
  <c r="Q121" i="6"/>
  <c r="V107" i="6"/>
  <c r="B109" i="6"/>
  <c r="Q120" i="6"/>
  <c r="T126" i="6"/>
  <c r="L113" i="6"/>
  <c r="T125" i="6"/>
  <c r="I114" i="6"/>
  <c r="W119" i="6"/>
  <c r="M101" i="6"/>
  <c r="Z125" i="6"/>
  <c r="J115" i="6"/>
  <c r="B102" i="6"/>
  <c r="B126" i="6"/>
  <c r="H101" i="6"/>
  <c r="AA114" i="6"/>
  <c r="K122" i="6"/>
  <c r="Y109" i="6"/>
  <c r="V111" i="6"/>
  <c r="O106" i="6"/>
  <c r="D124" i="6"/>
  <c r="J112" i="6"/>
  <c r="I116" i="6"/>
  <c r="X113" i="6"/>
  <c r="J121" i="6"/>
  <c r="E105" i="6"/>
  <c r="Z106" i="6"/>
  <c r="R106" i="6"/>
  <c r="O124" i="6"/>
  <c r="U124" i="6"/>
  <c r="K105" i="6"/>
  <c r="M125" i="6"/>
  <c r="P102" i="6"/>
  <c r="Y118" i="6"/>
  <c r="J116" i="6"/>
  <c r="T109" i="6"/>
  <c r="V114" i="6"/>
  <c r="E125" i="6"/>
  <c r="W109" i="6"/>
  <c r="V115" i="6"/>
  <c r="R103" i="6"/>
  <c r="S124" i="6"/>
  <c r="D109" i="6"/>
  <c r="P105" i="6"/>
  <c r="AA125" i="6"/>
  <c r="Z105" i="6"/>
  <c r="L112" i="6"/>
  <c r="R122" i="6"/>
  <c r="E121" i="6"/>
  <c r="AA119" i="6"/>
  <c r="K121" i="6"/>
  <c r="D120" i="6"/>
  <c r="T118" i="6"/>
  <c r="B114" i="6"/>
  <c r="H126" i="6"/>
  <c r="E106" i="6"/>
  <c r="M113" i="6"/>
  <c r="W124" i="6"/>
  <c r="Z123" i="6"/>
  <c r="R110" i="6"/>
  <c r="C104" i="6"/>
  <c r="H102" i="6"/>
  <c r="C124" i="6"/>
  <c r="M106" i="6"/>
  <c r="H122" i="6"/>
  <c r="Z103" i="6"/>
  <c r="V122" i="6"/>
  <c r="L102" i="6"/>
  <c r="V103" i="6"/>
  <c r="G111" i="6"/>
  <c r="X106" i="6"/>
  <c r="Q105" i="6"/>
  <c r="O118" i="6"/>
  <c r="E102" i="6"/>
  <c r="M111" i="6"/>
  <c r="Y112" i="6"/>
  <c r="Q112" i="6"/>
  <c r="X121" i="6"/>
  <c r="O119" i="6"/>
  <c r="G108" i="6"/>
  <c r="U111" i="6"/>
  <c r="F114" i="6"/>
  <c r="Y105" i="6"/>
  <c r="H109" i="6"/>
  <c r="C115" i="6"/>
  <c r="S123" i="6"/>
  <c r="T122" i="6"/>
  <c r="K112" i="6"/>
  <c r="S125" i="6"/>
  <c r="T101" i="6"/>
  <c r="I108" i="6"/>
  <c r="U117" i="6"/>
  <c r="L104" i="6"/>
  <c r="G124" i="6"/>
  <c r="H123" i="6"/>
  <c r="Z121" i="6"/>
  <c r="B106" i="6"/>
  <c r="O123" i="6"/>
  <c r="G115" i="6"/>
  <c r="U110" i="6"/>
  <c r="T108" i="6"/>
  <c r="X119" i="6"/>
  <c r="N111" i="6"/>
  <c r="AA104" i="6"/>
  <c r="R125" i="6"/>
  <c r="K124" i="6"/>
  <c r="Z115" i="6"/>
  <c r="R102" i="6"/>
  <c r="Y111" i="6"/>
  <c r="Y110" i="6"/>
  <c r="R117" i="6"/>
  <c r="K108" i="6"/>
  <c r="X112" i="6"/>
  <c r="X107" i="6"/>
  <c r="T105" i="6"/>
  <c r="F107" i="6"/>
  <c r="R105" i="6"/>
  <c r="V123" i="6"/>
  <c r="P118" i="6"/>
  <c r="F101" i="6"/>
  <c r="D101" i="6"/>
  <c r="X104" i="6"/>
  <c r="Z116" i="6"/>
  <c r="AA106" i="6"/>
  <c r="N102" i="6"/>
  <c r="C101" i="6"/>
  <c r="W106" i="6"/>
  <c r="F110" i="6"/>
  <c r="C103" i="6"/>
  <c r="O114" i="6"/>
  <c r="V125" i="6"/>
  <c r="AA120" i="6"/>
  <c r="X125" i="6"/>
  <c r="K103" i="6"/>
  <c r="X116" i="6"/>
  <c r="C114" i="6"/>
  <c r="W117" i="6"/>
  <c r="M123" i="6"/>
  <c r="Y106" i="6"/>
  <c r="L114" i="6"/>
  <c r="K113" i="6"/>
  <c r="H110" i="6"/>
  <c r="F112" i="6"/>
  <c r="U105" i="6"/>
  <c r="Z109" i="6"/>
  <c r="S113" i="6"/>
  <c r="Q108" i="6"/>
  <c r="H115" i="6"/>
  <c r="F125" i="6"/>
  <c r="U102" i="6"/>
  <c r="N118" i="6"/>
  <c r="D103" i="6"/>
  <c r="M115" i="6"/>
  <c r="V121" i="6"/>
  <c r="D117" i="6"/>
  <c r="B101" i="6"/>
  <c r="N110" i="6"/>
  <c r="I105" i="6"/>
  <c r="D123" i="6"/>
  <c r="F113" i="6"/>
  <c r="C126" i="6"/>
  <c r="Q124" i="6"/>
  <c r="E115" i="6"/>
  <c r="S110" i="6"/>
  <c r="S104" i="6"/>
  <c r="D110" i="6"/>
  <c r="D105" i="6"/>
  <c r="K104" i="6"/>
  <c r="Z124" i="6"/>
  <c r="M119" i="6"/>
  <c r="F103" i="6"/>
  <c r="X114" i="6"/>
  <c r="N124" i="6"/>
  <c r="J106" i="6"/>
  <c r="J107" i="6"/>
  <c r="G120" i="6"/>
  <c r="S102" i="6"/>
  <c r="S116" i="6"/>
  <c r="W113" i="6"/>
  <c r="K120" i="6"/>
  <c r="H81" i="15"/>
  <c r="X89" i="15"/>
  <c r="S97" i="15"/>
  <c r="H80" i="15"/>
  <c r="X88" i="15"/>
  <c r="Z96" i="15"/>
  <c r="AA77" i="15"/>
  <c r="X86" i="15"/>
  <c r="I95" i="15"/>
  <c r="V76" i="15"/>
  <c r="Y85" i="15"/>
  <c r="O94" i="15"/>
  <c r="O75" i="15"/>
  <c r="O91" i="15"/>
  <c r="H83" i="15"/>
  <c r="E99" i="15"/>
  <c r="E77" i="15"/>
  <c r="T94" i="15"/>
  <c r="N86" i="15"/>
  <c r="B81" i="15"/>
  <c r="N96" i="15"/>
  <c r="D83" i="15"/>
  <c r="X93" i="15"/>
  <c r="W79" i="15"/>
  <c r="O95" i="15"/>
  <c r="M100" i="15"/>
  <c r="Q99" i="15"/>
  <c r="R98" i="15"/>
  <c r="U97" i="15"/>
  <c r="C75" i="15"/>
  <c r="U94" i="15"/>
  <c r="V90" i="15"/>
  <c r="P99" i="15"/>
  <c r="M96" i="15"/>
  <c r="P95" i="15"/>
  <c r="L91" i="15"/>
  <c r="S75" i="15"/>
  <c r="N91" i="15"/>
  <c r="B96" i="15"/>
  <c r="L97" i="15"/>
  <c r="G78" i="15"/>
  <c r="C77" i="15"/>
  <c r="X75" i="15"/>
  <c r="P100" i="15"/>
  <c r="Z75" i="15"/>
  <c r="Q92" i="15"/>
  <c r="E91" i="15"/>
  <c r="J87" i="15"/>
  <c r="J77" i="15"/>
  <c r="F83" i="15"/>
  <c r="I93" i="15"/>
  <c r="P91" i="15"/>
  <c r="K93" i="15"/>
  <c r="O89" i="15"/>
  <c r="O98" i="15"/>
  <c r="B79" i="15"/>
  <c r="Y77" i="15"/>
  <c r="E82" i="15"/>
  <c r="C90" i="15"/>
  <c r="Q91" i="15"/>
  <c r="V89" i="15"/>
  <c r="V77" i="15"/>
  <c r="R81" i="15"/>
  <c r="D79" i="15"/>
  <c r="B77" i="15"/>
  <c r="D82" i="15"/>
  <c r="C99" i="15"/>
  <c r="B90" i="15"/>
  <c r="K88" i="15"/>
  <c r="U91" i="15"/>
  <c r="S91" i="15"/>
  <c r="AA100" i="15"/>
  <c r="F90" i="15"/>
  <c r="U83" i="15"/>
  <c r="L95" i="15"/>
  <c r="L93" i="15"/>
  <c r="U75" i="15"/>
  <c r="P76" i="15"/>
  <c r="L100" i="15"/>
  <c r="P80" i="15"/>
  <c r="Q76" i="15"/>
  <c r="Y76" i="15"/>
  <c r="M84" i="15"/>
  <c r="Y80" i="15"/>
  <c r="J76" i="15"/>
  <c r="M85" i="15"/>
  <c r="D94" i="15"/>
  <c r="X100" i="15"/>
  <c r="R84" i="15"/>
  <c r="D93" i="15"/>
  <c r="E100" i="15"/>
  <c r="Q82" i="15"/>
  <c r="D91" i="15"/>
  <c r="S98" i="15"/>
  <c r="S81" i="15"/>
  <c r="H90" i="15"/>
  <c r="Z97" i="15"/>
  <c r="AA82" i="15"/>
  <c r="Z98" i="15"/>
  <c r="X91" i="15"/>
  <c r="V81" i="15"/>
  <c r="H86" i="15"/>
  <c r="M77" i="15"/>
  <c r="Y94" i="15"/>
  <c r="D99" i="15"/>
  <c r="T92" i="15"/>
  <c r="N100" i="15"/>
  <c r="B85" i="15"/>
  <c r="I98" i="15"/>
  <c r="M88" i="15"/>
  <c r="P87" i="15"/>
  <c r="T86" i="15"/>
  <c r="U85" i="15"/>
  <c r="Z84" i="15"/>
  <c r="Y84" i="15"/>
  <c r="O79" i="15"/>
  <c r="E76" i="15"/>
  <c r="L84" i="15"/>
  <c r="P83" i="15"/>
  <c r="T82" i="15"/>
  <c r="AA96" i="15"/>
  <c r="K95" i="15"/>
  <c r="G87" i="15"/>
  <c r="K98" i="15"/>
  <c r="H91" i="15"/>
  <c r="K90" i="15"/>
  <c r="P89" i="15"/>
  <c r="P88" i="15"/>
  <c r="U87" i="15"/>
  <c r="U82" i="15"/>
  <c r="Z76" i="15"/>
  <c r="M79" i="15"/>
  <c r="C83" i="15"/>
  <c r="Y99" i="15"/>
  <c r="I82" i="15"/>
  <c r="L92" i="15"/>
  <c r="Q90" i="15"/>
  <c r="F77" i="15"/>
  <c r="Z80" i="15"/>
  <c r="B80" i="15"/>
  <c r="B78" i="15"/>
  <c r="Y82" i="15"/>
  <c r="M98" i="15"/>
  <c r="M92" i="15"/>
  <c r="T90" i="15"/>
  <c r="P92" i="15"/>
  <c r="C91" i="15"/>
  <c r="H100" i="15"/>
  <c r="C78" i="15"/>
  <c r="U76" i="15"/>
  <c r="S83" i="15"/>
  <c r="W91" i="15"/>
  <c r="F89" i="15"/>
  <c r="L87" i="15"/>
  <c r="I76" i="15"/>
  <c r="L83" i="15"/>
  <c r="Z81" i="15"/>
  <c r="H75" i="15"/>
  <c r="Q88" i="15"/>
  <c r="H89" i="15"/>
  <c r="O81" i="15"/>
  <c r="E87" i="15"/>
  <c r="O92" i="15"/>
  <c r="T85" i="15"/>
  <c r="B100" i="15"/>
  <c r="L82" i="15"/>
  <c r="AA93" i="15"/>
  <c r="M99" i="15"/>
  <c r="F98" i="15"/>
  <c r="F80" i="15"/>
  <c r="Y91" i="15"/>
  <c r="K76" i="15"/>
  <c r="W87" i="15"/>
  <c r="P98" i="15"/>
  <c r="R83" i="15"/>
  <c r="J94" i="15"/>
  <c r="L79" i="15"/>
  <c r="I91" i="15"/>
  <c r="K100" i="15"/>
  <c r="U95" i="15"/>
  <c r="Y93" i="15"/>
  <c r="G88" i="15"/>
  <c r="D98" i="15"/>
  <c r="T96" i="15"/>
  <c r="N92" i="15"/>
  <c r="N93" i="15"/>
  <c r="I90" i="15"/>
  <c r="M91" i="15"/>
  <c r="B94" i="15"/>
  <c r="O83" i="15"/>
  <c r="E75" i="15"/>
  <c r="AA79" i="15"/>
  <c r="J82" i="15"/>
  <c r="Z93" i="15"/>
  <c r="AA89" i="15"/>
  <c r="L75" i="15"/>
  <c r="H77" i="15"/>
  <c r="AA76" i="15"/>
  <c r="Z91" i="15"/>
  <c r="Q81" i="15"/>
  <c r="Z95" i="15"/>
  <c r="K85" i="15"/>
  <c r="X77" i="15"/>
  <c r="O97" i="15"/>
  <c r="AA84" i="15"/>
  <c r="W97" i="15"/>
  <c r="F95" i="15"/>
  <c r="AA85" i="15"/>
  <c r="AA98" i="15"/>
  <c r="E98" i="15"/>
  <c r="L98" i="15"/>
  <c r="V83" i="15"/>
  <c r="U90" i="15"/>
  <c r="B86" i="15"/>
  <c r="G96" i="15"/>
  <c r="K83" i="15"/>
  <c r="O78" i="15"/>
  <c r="Y83" i="15"/>
  <c r="AA75" i="15"/>
  <c r="T95" i="15"/>
  <c r="V94" i="15"/>
  <c r="N80" i="15"/>
  <c r="H87" i="15"/>
  <c r="O80" i="15"/>
  <c r="T80" i="15"/>
  <c r="G95" i="15"/>
  <c r="K89" i="15"/>
  <c r="O93" i="15"/>
  <c r="X76" i="15"/>
  <c r="L99" i="15"/>
  <c r="M97" i="15"/>
  <c r="AA80" i="15"/>
  <c r="W75" i="15"/>
  <c r="T87" i="15"/>
  <c r="I99" i="15"/>
  <c r="S86" i="15"/>
  <c r="J99" i="15"/>
  <c r="V85" i="15"/>
  <c r="Y97" i="15"/>
  <c r="X84" i="15"/>
  <c r="E97" i="15"/>
  <c r="M89" i="15"/>
  <c r="S89" i="15"/>
  <c r="V79" i="15"/>
  <c r="C80" i="15"/>
  <c r="D87" i="15"/>
  <c r="S96" i="15"/>
  <c r="N97" i="15"/>
  <c r="S80" i="15"/>
  <c r="H97" i="15"/>
  <c r="J80" i="15"/>
  <c r="J91" i="15"/>
  <c r="W89" i="15"/>
  <c r="L96" i="15"/>
  <c r="R77" i="15"/>
  <c r="E89" i="15"/>
  <c r="E84" i="15"/>
  <c r="S93" i="15"/>
  <c r="AA78" i="15"/>
  <c r="R93" i="15"/>
  <c r="Y79" i="15"/>
  <c r="Z90" i="15"/>
  <c r="E90" i="15"/>
  <c r="X90" i="15"/>
  <c r="B83" i="15"/>
  <c r="S100" i="15"/>
  <c r="D85" i="15"/>
  <c r="M78" i="15"/>
  <c r="U77" i="15"/>
  <c r="R96" i="15"/>
  <c r="M86" i="15"/>
  <c r="Q79" i="15"/>
  <c r="I77" i="15"/>
  <c r="U98" i="15"/>
  <c r="G91" i="15"/>
  <c r="E92" i="15"/>
  <c r="AA81" i="15"/>
  <c r="M75" i="15"/>
  <c r="B75" i="15"/>
  <c r="C96" i="15"/>
  <c r="AA91" i="15"/>
  <c r="W99" i="15"/>
  <c r="J75" i="15"/>
  <c r="J89" i="15"/>
  <c r="V99" i="15"/>
  <c r="W85" i="15"/>
  <c r="F86" i="15"/>
  <c r="G89" i="15"/>
  <c r="Z78" i="15"/>
  <c r="D95" i="15"/>
  <c r="N82" i="15"/>
  <c r="E96" i="15"/>
  <c r="S84" i="15"/>
  <c r="N99" i="15"/>
  <c r="D88" i="15"/>
  <c r="V75" i="15"/>
  <c r="Y78" i="15"/>
  <c r="R79" i="15"/>
  <c r="O96" i="15"/>
  <c r="Z99" i="15"/>
  <c r="X99" i="15"/>
  <c r="S78" i="15"/>
  <c r="R95" i="15"/>
  <c r="Q77" i="15"/>
  <c r="P82" i="15"/>
  <c r="M82" i="15"/>
  <c r="Q93" i="15"/>
  <c r="R99" i="15"/>
  <c r="X97" i="15"/>
  <c r="M90" i="15"/>
  <c r="V92" i="15"/>
  <c r="W84" i="15"/>
  <c r="J86" i="15"/>
  <c r="F94" i="15"/>
  <c r="C95" i="15"/>
  <c r="U93" i="15"/>
  <c r="N90" i="15"/>
  <c r="L80" i="15"/>
  <c r="Z88" i="15"/>
  <c r="T89" i="15"/>
  <c r="T84" i="15"/>
  <c r="E94" i="15"/>
  <c r="F85" i="15"/>
  <c r="O82" i="15"/>
  <c r="J95" i="15"/>
  <c r="L89" i="15"/>
  <c r="S95" i="15"/>
  <c r="V82" i="15"/>
  <c r="S79" i="15"/>
  <c r="H95" i="15"/>
  <c r="J85" i="15"/>
  <c r="P81" i="15"/>
  <c r="V100" i="15"/>
  <c r="N81" i="15"/>
  <c r="AA86" i="15"/>
  <c r="D80" i="15"/>
  <c r="Q87" i="15"/>
  <c r="H82" i="15"/>
  <c r="D96" i="15"/>
  <c r="N83" i="15"/>
  <c r="T97" i="15"/>
  <c r="X87" i="15"/>
  <c r="J100" i="15"/>
  <c r="D89" i="15"/>
  <c r="L78" i="15"/>
  <c r="C81" i="15"/>
  <c r="X83" i="15"/>
  <c r="U99" i="15"/>
  <c r="T91" i="15"/>
  <c r="L77" i="15"/>
  <c r="S94" i="15"/>
  <c r="R91" i="15"/>
  <c r="K96" i="15"/>
  <c r="I79" i="15"/>
  <c r="K87" i="15"/>
  <c r="G99" i="15"/>
  <c r="F93" i="15"/>
  <c r="Q94" i="15"/>
  <c r="I100" i="15"/>
  <c r="K86" i="15"/>
  <c r="C100" i="15"/>
  <c r="E83" i="15"/>
  <c r="O84" i="15"/>
  <c r="AA99" i="15"/>
  <c r="X80" i="15"/>
  <c r="H99" i="15"/>
  <c r="W98" i="15"/>
  <c r="I83" i="15"/>
  <c r="R94" i="15"/>
  <c r="G90" i="15"/>
  <c r="D76" i="15"/>
  <c r="Q78" i="15"/>
  <c r="F76" i="15"/>
  <c r="C92" i="15"/>
  <c r="Z82" i="15"/>
  <c r="D78" i="15"/>
  <c r="Y81" i="15"/>
  <c r="AA83" i="15"/>
  <c r="W100" i="15"/>
  <c r="L88" i="15"/>
  <c r="O87" i="15"/>
  <c r="B93" i="15"/>
  <c r="R92" i="15"/>
  <c r="Q96" i="15"/>
  <c r="Y88" i="15"/>
  <c r="D75" i="15"/>
  <c r="C93" i="15"/>
  <c r="Y89" i="15"/>
  <c r="J79" i="15"/>
  <c r="C97" i="15"/>
  <c r="M93" i="15"/>
  <c r="T93" i="15"/>
  <c r="W76" i="15"/>
  <c r="H84" i="15"/>
  <c r="T99" i="15"/>
  <c r="T100" i="15"/>
  <c r="B82" i="15"/>
  <c r="M95" i="15"/>
  <c r="O77" i="15"/>
  <c r="N85" i="15"/>
  <c r="V98" i="15"/>
  <c r="O85" i="15"/>
  <c r="P85" i="15"/>
  <c r="U80" i="15"/>
  <c r="K97" i="15"/>
  <c r="S82" i="15"/>
  <c r="Y92" i="15"/>
  <c r="W86" i="15"/>
  <c r="W81" i="15"/>
  <c r="Q85" i="15"/>
  <c r="U78" i="15"/>
  <c r="J84" i="15"/>
  <c r="T77" i="15"/>
  <c r="W95" i="15"/>
  <c r="R100" i="15"/>
  <c r="G76" i="15"/>
  <c r="R89" i="15"/>
  <c r="D84" i="15"/>
  <c r="W78" i="15"/>
  <c r="L94" i="15"/>
  <c r="K94" i="15"/>
  <c r="Z94" i="15"/>
  <c r="C76" i="15"/>
  <c r="X96" i="15"/>
  <c r="B91" i="15"/>
  <c r="M80" i="15"/>
  <c r="G75" i="15"/>
  <c r="N95" i="15"/>
  <c r="J97" i="15"/>
  <c r="C86" i="15"/>
  <c r="R88" i="15"/>
  <c r="X82" i="15"/>
  <c r="C98" i="15"/>
  <c r="R78" i="15"/>
  <c r="G92" i="15"/>
  <c r="I92" i="15"/>
  <c r="O76" i="15"/>
  <c r="K92" i="15"/>
  <c r="G80" i="15"/>
  <c r="AA90" i="15"/>
  <c r="F99" i="15"/>
  <c r="J81" i="15"/>
  <c r="J88" i="15"/>
  <c r="S88" i="15"/>
  <c r="N79" i="15"/>
  <c r="E86" i="15"/>
  <c r="Q97" i="15"/>
  <c r="I81" i="15"/>
  <c r="P77" i="15"/>
  <c r="P86" i="15"/>
  <c r="P96" i="15"/>
  <c r="X78" i="15"/>
  <c r="F96" i="15"/>
  <c r="Y87" i="15"/>
  <c r="B88" i="15"/>
  <c r="W88" i="15"/>
  <c r="Q84" i="15"/>
  <c r="Q86" i="15"/>
  <c r="T79" i="15"/>
  <c r="R86" i="15"/>
  <c r="E79" i="15"/>
  <c r="Z100" i="15"/>
  <c r="H92" i="15"/>
  <c r="W83" i="15"/>
  <c r="W80" i="15"/>
  <c r="Y95" i="15"/>
  <c r="O90" i="15"/>
  <c r="X95" i="15"/>
  <c r="K78" i="15"/>
  <c r="I86" i="15"/>
  <c r="E93" i="15"/>
  <c r="T81" i="15"/>
  <c r="E85" i="15"/>
  <c r="V86" i="15"/>
  <c r="J78" i="15"/>
  <c r="V80" i="15"/>
  <c r="W96" i="15"/>
  <c r="V91" i="15"/>
  <c r="G85" i="15"/>
  <c r="H76" i="15"/>
  <c r="U88" i="15"/>
  <c r="F84" i="15"/>
  <c r="W92" i="15"/>
  <c r="O88" i="15"/>
  <c r="F78" i="15"/>
  <c r="C79" i="15"/>
  <c r="U84" i="15"/>
  <c r="C87" i="15"/>
  <c r="G100" i="15"/>
  <c r="K99" i="15"/>
  <c r="B89" i="15"/>
  <c r="E80" i="15"/>
  <c r="F79" i="15"/>
  <c r="V88" i="15"/>
  <c r="N75" i="15"/>
  <c r="T88" i="15"/>
  <c r="L81" i="15"/>
  <c r="F75" i="15"/>
  <c r="J93" i="15"/>
  <c r="B87" i="15"/>
  <c r="C85" i="15"/>
  <c r="P97" i="15"/>
  <c r="S92" i="15"/>
  <c r="C82" i="15"/>
  <c r="G84" i="15"/>
  <c r="Y98" i="15"/>
  <c r="Z89" i="15"/>
  <c r="I78" i="15"/>
  <c r="Z87" i="15"/>
  <c r="K80" i="15"/>
  <c r="P90" i="15"/>
  <c r="D77" i="15"/>
  <c r="F87" i="15"/>
  <c r="F82" i="15"/>
  <c r="S87" i="15"/>
  <c r="E78" i="15"/>
  <c r="G94" i="15"/>
  <c r="U79" i="15"/>
  <c r="L86" i="15"/>
  <c r="T76" i="15"/>
  <c r="B98" i="15"/>
  <c r="U86" i="15"/>
  <c r="V96" i="15"/>
  <c r="K91" i="15"/>
  <c r="V93" i="15"/>
  <c r="N78" i="15"/>
  <c r="I75" i="15"/>
  <c r="U89" i="15"/>
  <c r="K77" i="15"/>
  <c r="D81" i="15"/>
  <c r="K82" i="15"/>
  <c r="Y90" i="15"/>
  <c r="S85" i="15"/>
  <c r="S76" i="15"/>
  <c r="H96" i="15"/>
  <c r="J92" i="15"/>
  <c r="I87" i="15"/>
  <c r="U100" i="15"/>
  <c r="G82" i="15"/>
  <c r="M87" i="15"/>
  <c r="N89" i="15"/>
  <c r="H85" i="15"/>
  <c r="L76" i="15"/>
  <c r="R75" i="15"/>
  <c r="G79" i="15"/>
  <c r="M76" i="15"/>
  <c r="Q80" i="15"/>
  <c r="Z79" i="15"/>
  <c r="Z83" i="15"/>
  <c r="V78" i="15"/>
  <c r="X79" i="15"/>
  <c r="AA87" i="15"/>
  <c r="V87" i="15"/>
  <c r="T78" i="15"/>
  <c r="B92" i="15"/>
  <c r="N77" i="15"/>
  <c r="F97" i="15"/>
  <c r="M94" i="15"/>
  <c r="J90" i="15"/>
  <c r="Y86" i="15"/>
  <c r="K81" i="15"/>
  <c r="F92" i="15"/>
  <c r="T83" i="15"/>
  <c r="G93" i="15"/>
  <c r="G83" i="15"/>
  <c r="H93" i="15"/>
  <c r="P93" i="15"/>
  <c r="H94" i="15"/>
  <c r="J96" i="15"/>
  <c r="H88" i="15"/>
  <c r="R90" i="15"/>
  <c r="G97" i="15"/>
  <c r="U81" i="15"/>
  <c r="H98" i="15"/>
  <c r="I94" i="15"/>
  <c r="V84" i="15"/>
  <c r="G98" i="15"/>
  <c r="Q83" i="15"/>
  <c r="G81" i="15"/>
  <c r="X92" i="15"/>
  <c r="S77" i="15"/>
  <c r="E95" i="15"/>
  <c r="T98" i="15"/>
  <c r="S90" i="15"/>
  <c r="X94" i="15"/>
  <c r="S99" i="15"/>
  <c r="X85" i="15"/>
  <c r="B95" i="15"/>
  <c r="Q89" i="15"/>
  <c r="F91" i="15"/>
  <c r="Z86" i="15"/>
  <c r="R76" i="15"/>
  <c r="G77" i="15"/>
  <c r="W82" i="15"/>
  <c r="N84" i="15"/>
  <c r="C89" i="15"/>
  <c r="O100" i="15"/>
  <c r="J98" i="15"/>
  <c r="K84" i="15"/>
  <c r="C94" i="15"/>
  <c r="B84" i="15"/>
  <c r="W77" i="15"/>
  <c r="AA97" i="15"/>
  <c r="AA92" i="15"/>
  <c r="R85" i="15"/>
  <c r="D86" i="15"/>
  <c r="V97" i="15"/>
  <c r="Y96" i="15"/>
  <c r="N98" i="15"/>
  <c r="D90" i="15"/>
  <c r="L85" i="15"/>
  <c r="N88" i="15"/>
  <c r="E81" i="15"/>
  <c r="R87" i="15"/>
  <c r="P84" i="15"/>
  <c r="I80" i="15"/>
  <c r="P78" i="15"/>
  <c r="G86" i="15"/>
  <c r="R97" i="15"/>
  <c r="I88" i="15"/>
  <c r="W94" i="15"/>
  <c r="B76" i="15"/>
  <c r="D100" i="15"/>
  <c r="H78" i="15"/>
  <c r="N87" i="15"/>
  <c r="I89" i="15"/>
  <c r="AA88" i="15"/>
  <c r="F81" i="15"/>
  <c r="N94" i="15"/>
  <c r="U96" i="15"/>
  <c r="B97" i="15"/>
  <c r="AA94" i="15"/>
  <c r="O86" i="15"/>
  <c r="AA95" i="15"/>
  <c r="Q75" i="15"/>
  <c r="Y100" i="15"/>
  <c r="Z77" i="15"/>
  <c r="R80" i="15"/>
  <c r="X81" i="15"/>
  <c r="I97" i="15"/>
  <c r="P94" i="15"/>
  <c r="Z85" i="15"/>
  <c r="C88" i="15"/>
  <c r="P79" i="15"/>
  <c r="W93" i="15"/>
  <c r="X98" i="15"/>
  <c r="P75" i="15"/>
  <c r="B99" i="15"/>
  <c r="I84" i="15"/>
  <c r="D92" i="15"/>
  <c r="R82" i="15"/>
  <c r="C84" i="15"/>
  <c r="I85" i="15"/>
  <c r="E88" i="15"/>
  <c r="F88" i="15"/>
  <c r="U92" i="15"/>
  <c r="F100" i="15"/>
  <c r="T75" i="15"/>
  <c r="J83" i="15"/>
  <c r="K79" i="15"/>
  <c r="H79" i="15"/>
  <c r="I96" i="15"/>
  <c r="M83" i="15"/>
  <c r="Y75" i="15"/>
  <c r="M81" i="15"/>
  <c r="Q98" i="15"/>
  <c r="L90" i="15"/>
  <c r="O99" i="15"/>
  <c r="Z92" i="15"/>
  <c r="Q95" i="15"/>
  <c r="W90" i="15"/>
  <c r="Q100" i="15"/>
  <c r="N76" i="15"/>
  <c r="V95" i="15"/>
  <c r="D97" i="15"/>
  <c r="K75" i="15"/>
  <c r="F75" i="10"/>
  <c r="F84" i="10"/>
  <c r="D85" i="10"/>
  <c r="R95" i="10"/>
  <c r="G80" i="10"/>
  <c r="H93" i="10"/>
  <c r="S75" i="10"/>
  <c r="I82" i="10"/>
  <c r="E82" i="10"/>
  <c r="I78" i="10"/>
  <c r="G77" i="10"/>
  <c r="I90" i="10"/>
  <c r="E92" i="10"/>
  <c r="N75" i="10"/>
  <c r="H95" i="10"/>
  <c r="V92" i="10"/>
  <c r="Q92" i="10"/>
  <c r="P94" i="10"/>
  <c r="G86" i="10"/>
  <c r="E93" i="10"/>
  <c r="S95" i="10"/>
  <c r="B89" i="10"/>
  <c r="D92" i="10"/>
  <c r="T87" i="10"/>
  <c r="D79" i="10"/>
  <c r="I121" i="7"/>
  <c r="AG115" i="7"/>
  <c r="BH115" i="7"/>
  <c r="L78" i="7"/>
  <c r="BK75" i="7"/>
  <c r="G73" i="7"/>
  <c r="BL81" i="7"/>
  <c r="BG89" i="7"/>
  <c r="AM84" i="7"/>
  <c r="BO92" i="7"/>
  <c r="AQ115" i="7"/>
  <c r="M129" i="7"/>
  <c r="X76" i="7"/>
  <c r="H75" i="7"/>
  <c r="AH73" i="7"/>
  <c r="AM83" i="7"/>
  <c r="BB76" i="7"/>
  <c r="AW88" i="7"/>
  <c r="AG97" i="7"/>
  <c r="BL84" i="7"/>
  <c r="BF80" i="7"/>
  <c r="AV109" i="7"/>
  <c r="AV131" i="7"/>
  <c r="T74" i="7"/>
  <c r="D82" i="7"/>
  <c r="Z80" i="7"/>
  <c r="AI77" i="7"/>
  <c r="BO85" i="7"/>
  <c r="BD78" i="7"/>
  <c r="BO88" i="7"/>
  <c r="I129" i="7"/>
  <c r="AB109" i="7"/>
  <c r="BF102" i="7"/>
  <c r="AV80" i="7"/>
  <c r="G80" i="7"/>
  <c r="AG78" i="7"/>
  <c r="E88" i="7"/>
  <c r="AO83" i="7"/>
  <c r="Y93" i="7"/>
  <c r="AI78" i="7"/>
  <c r="H74" i="7"/>
  <c r="AN130" i="7"/>
  <c r="AJ137" i="7"/>
  <c r="R75" i="7"/>
  <c r="BD74" i="7"/>
  <c r="U75" i="7"/>
  <c r="BM86" i="7"/>
  <c r="S83" i="7"/>
  <c r="BK94" i="7"/>
  <c r="BG138" i="7"/>
  <c r="J75" i="7"/>
  <c r="AO77" i="7"/>
  <c r="BG79" i="7"/>
  <c r="K75" i="7"/>
  <c r="M91" i="7"/>
  <c r="N80" i="7"/>
  <c r="L79" i="7"/>
  <c r="U76" i="7"/>
  <c r="Y88" i="7"/>
  <c r="AC97" i="7"/>
  <c r="S105" i="7"/>
  <c r="C113" i="7"/>
  <c r="AI83" i="7"/>
  <c r="BM95" i="7"/>
  <c r="BN89" i="7"/>
  <c r="AQ79" i="7"/>
  <c r="AR90" i="7"/>
  <c r="C132" i="7"/>
  <c r="AN76" i="7"/>
  <c r="AZ76" i="7"/>
  <c r="AT76" i="7"/>
  <c r="AM87" i="7"/>
  <c r="AV84" i="7"/>
  <c r="AC95" i="7"/>
  <c r="AW83" i="7"/>
  <c r="T81" i="7"/>
  <c r="BB102" i="7"/>
  <c r="Y122" i="7"/>
  <c r="R79" i="7"/>
  <c r="BC79" i="7"/>
  <c r="AN79" i="7"/>
  <c r="AS73" i="7"/>
  <c r="AY87" i="7"/>
  <c r="BE97" i="7"/>
  <c r="BF86" i="7"/>
  <c r="BM84" i="7"/>
  <c r="AL126" i="7"/>
  <c r="I104" i="7"/>
  <c r="BJ81" i="7"/>
  <c r="BO82" i="7"/>
  <c r="BA82" i="7"/>
  <c r="AW77" i="7"/>
  <c r="AU90" i="7"/>
  <c r="AA76" i="7"/>
  <c r="BH73" i="7"/>
  <c r="BO127" i="7"/>
  <c r="O138" i="7"/>
  <c r="AJ74" i="7"/>
  <c r="AC74" i="7"/>
  <c r="W74" i="7"/>
  <c r="AI85" i="7"/>
  <c r="AO81" i="7"/>
  <c r="AG93" i="7"/>
  <c r="AJ86" i="7"/>
  <c r="AT107" i="7"/>
  <c r="B83" i="7"/>
  <c r="N74" i="7"/>
  <c r="BK87" i="7"/>
  <c r="BA86" i="7"/>
  <c r="AC78" i="7"/>
  <c r="AI119" i="7"/>
  <c r="BH82" i="7"/>
  <c r="BO75" i="7"/>
  <c r="AG73" i="7"/>
  <c r="S92" i="7"/>
  <c r="AK83" i="7"/>
  <c r="AE85" i="7"/>
  <c r="D83" i="7"/>
  <c r="H94" i="7"/>
  <c r="W103" i="7"/>
  <c r="E112" i="7"/>
  <c r="AV85" i="7"/>
  <c r="L76" i="7"/>
  <c r="AZ93" i="7"/>
  <c r="AT83" i="7"/>
  <c r="BB116" i="7"/>
  <c r="BJ73" i="7"/>
  <c r="AA75" i="7"/>
  <c r="F78" i="7"/>
  <c r="T73" i="7"/>
  <c r="J89" i="7"/>
  <c r="BM75" i="7"/>
  <c r="Y75" i="7"/>
  <c r="AI138" i="7"/>
  <c r="AO127" i="7"/>
  <c r="AF80" i="7"/>
  <c r="BF82" i="7"/>
  <c r="BK83" i="7"/>
  <c r="Q81" i="7"/>
  <c r="W94" i="7"/>
  <c r="BI83" i="7"/>
  <c r="Z83" i="7"/>
  <c r="AW111" i="7"/>
  <c r="AB74" i="7"/>
  <c r="AS75" i="7"/>
  <c r="BM76" i="7"/>
  <c r="S89" i="7"/>
  <c r="C88" i="7"/>
  <c r="AH74" i="7"/>
  <c r="B76" i="7"/>
  <c r="V136" i="7"/>
  <c r="AX126" i="7"/>
  <c r="AH79" i="7"/>
  <c r="AY81" i="7"/>
  <c r="BJ82" i="7"/>
  <c r="AZ79" i="7"/>
  <c r="AU94" i="7"/>
  <c r="AI82" i="7"/>
  <c r="C80" i="7"/>
  <c r="X77" i="7"/>
  <c r="AH90" i="7"/>
  <c r="U100" i="7"/>
  <c r="S109" i="7"/>
  <c r="K76" i="7"/>
  <c r="BI93" i="7"/>
  <c r="Q89" i="7"/>
  <c r="AQ74" i="7"/>
  <c r="AL92" i="7"/>
  <c r="J102" i="7"/>
  <c r="BO110" i="7"/>
  <c r="AH119" i="7"/>
  <c r="BO138" i="7"/>
  <c r="BN79" i="7"/>
  <c r="AL80" i="7"/>
  <c r="AN88" i="7"/>
  <c r="BB87" i="7"/>
  <c r="N78" i="7"/>
  <c r="AD92" i="7"/>
  <c r="O103" i="7"/>
  <c r="AV96" i="7"/>
  <c r="N77" i="7"/>
  <c r="AG81" i="7"/>
  <c r="E84" i="7"/>
  <c r="AT85" i="7"/>
  <c r="AE129" i="7"/>
  <c r="BF84" i="7"/>
  <c r="BE78" i="7"/>
  <c r="AS84" i="7"/>
  <c r="P86" i="7"/>
  <c r="BE76" i="7"/>
  <c r="I84" i="7"/>
  <c r="AL84" i="7"/>
  <c r="V96" i="7"/>
  <c r="O107" i="7"/>
  <c r="BI116" i="7"/>
  <c r="AD93" i="7"/>
  <c r="Q91" i="7"/>
  <c r="B81" i="7"/>
  <c r="AY75" i="7"/>
  <c r="BB77" i="7"/>
  <c r="E81" i="7"/>
  <c r="BC83" i="7"/>
  <c r="BI82" i="7"/>
  <c r="AW97" i="7"/>
  <c r="AF73" i="7"/>
  <c r="F127" i="7"/>
  <c r="X105" i="7"/>
  <c r="J74" i="7"/>
  <c r="BC76" i="7"/>
  <c r="AI75" i="7"/>
  <c r="BA91" i="7"/>
  <c r="H82" i="7"/>
  <c r="AB86" i="7"/>
  <c r="BO134" i="7"/>
  <c r="D78" i="7"/>
  <c r="AP81" i="7"/>
  <c r="AA85" i="7"/>
  <c r="I85" i="7"/>
  <c r="BM97" i="7"/>
  <c r="BH77" i="7"/>
  <c r="AP90" i="7"/>
  <c r="BC101" i="7"/>
  <c r="BB75" i="7"/>
  <c r="AY78" i="7"/>
  <c r="E76" i="7"/>
  <c r="K92" i="7"/>
  <c r="T84" i="7"/>
  <c r="AX83" i="7"/>
  <c r="Q83" i="7"/>
  <c r="AP95" i="7"/>
  <c r="BG105" i="7"/>
  <c r="BC115" i="7"/>
  <c r="AG92" i="7"/>
  <c r="AY90" i="7"/>
  <c r="AW80" i="7"/>
  <c r="Y96" i="7"/>
  <c r="AL106" i="7"/>
  <c r="AJ116" i="7"/>
  <c r="D124" i="7"/>
  <c r="AL77" i="7"/>
  <c r="AE83" i="7"/>
  <c r="BE93" i="7"/>
  <c r="AY82" i="7"/>
  <c r="K86" i="7"/>
  <c r="AM99" i="7"/>
  <c r="BE110" i="7"/>
  <c r="K84" i="7"/>
  <c r="BE77" i="7"/>
  <c r="AV117" i="7"/>
  <c r="BJ80" i="7"/>
  <c r="BL74" i="7"/>
  <c r="BG73" i="7"/>
  <c r="F86" i="7"/>
  <c r="AE86" i="7"/>
  <c r="Y98" i="7"/>
  <c r="AK108" i="7"/>
  <c r="AH77" i="7"/>
  <c r="T96" i="7"/>
  <c r="BD104" i="7"/>
  <c r="L73" i="7"/>
  <c r="AC84" i="7"/>
  <c r="AA92" i="7"/>
  <c r="AC76" i="7"/>
  <c r="AX80" i="7"/>
  <c r="Q94" i="7"/>
  <c r="BI104" i="7"/>
  <c r="G115" i="7"/>
  <c r="AJ91" i="7"/>
  <c r="AB107" i="7"/>
  <c r="BN75" i="7"/>
  <c r="J76" i="7"/>
  <c r="G84" i="7"/>
  <c r="BL82" i="7"/>
  <c r="Z74" i="7"/>
  <c r="F90" i="7"/>
  <c r="K101" i="7"/>
  <c r="W111" i="7"/>
  <c r="O85" i="7"/>
  <c r="AJ79" i="7"/>
  <c r="M73" i="7"/>
  <c r="AS90" i="7"/>
  <c r="AV101" i="7"/>
  <c r="BD111" i="7"/>
  <c r="V121" i="7"/>
  <c r="BM77" i="7"/>
  <c r="AY98" i="7"/>
  <c r="BG108" i="7"/>
  <c r="AG90" i="7"/>
  <c r="N103" i="7"/>
  <c r="W113" i="7"/>
  <c r="AD97" i="7"/>
  <c r="Y92" i="7"/>
  <c r="Z104" i="7"/>
  <c r="AI114" i="7"/>
  <c r="AT123" i="7"/>
  <c r="E132" i="7"/>
  <c r="L81" i="7"/>
  <c r="BN107" i="7"/>
  <c r="AM120" i="7"/>
  <c r="BK95" i="7"/>
  <c r="AJ113" i="7"/>
  <c r="F124" i="7"/>
  <c r="BN102" i="7"/>
  <c r="AL85" i="7"/>
  <c r="H109" i="7"/>
  <c r="T121" i="7"/>
  <c r="BD79" i="7"/>
  <c r="AM134" i="7"/>
  <c r="J79" i="7"/>
  <c r="AN82" i="7"/>
  <c r="C85" i="7"/>
  <c r="BH87" i="7"/>
  <c r="J130" i="7"/>
  <c r="D74" i="7"/>
  <c r="X81" i="7"/>
  <c r="AY85" i="7"/>
  <c r="AG87" i="7"/>
  <c r="BG81" i="7"/>
  <c r="AV86" i="7"/>
  <c r="BD85" i="7"/>
  <c r="AG98" i="7"/>
  <c r="M108" i="7"/>
  <c r="AF75" i="7"/>
  <c r="AV94" i="7"/>
  <c r="AH92" i="7"/>
  <c r="BE85" i="7"/>
  <c r="B136" i="7"/>
  <c r="B79" i="7"/>
  <c r="AE82" i="7"/>
  <c r="K85" i="7"/>
  <c r="G86" i="7"/>
  <c r="G74" i="7"/>
  <c r="S77" i="7"/>
  <c r="AO136" i="7"/>
  <c r="K88" i="7"/>
  <c r="AJ75" i="7"/>
  <c r="O78" i="7"/>
  <c r="AK77" i="7"/>
  <c r="I93" i="7"/>
  <c r="AD85" i="7"/>
  <c r="P130" i="7"/>
  <c r="BL130" i="7"/>
  <c r="Z79" i="7"/>
  <c r="R84" i="7"/>
  <c r="AO86" i="7"/>
  <c r="AI86" i="7"/>
  <c r="V78" i="7"/>
  <c r="BB79" i="7"/>
  <c r="K135" i="7"/>
  <c r="N73" i="7"/>
  <c r="W77" i="7"/>
  <c r="K80" i="7"/>
  <c r="BI77" i="7"/>
  <c r="BI95" i="7"/>
  <c r="AX85" i="7"/>
  <c r="U85" i="7"/>
  <c r="BG84" i="7"/>
  <c r="BF96" i="7"/>
  <c r="BM106" i="7"/>
  <c r="H73" i="7"/>
  <c r="W95" i="7"/>
  <c r="N92" i="7"/>
  <c r="BN83" i="7"/>
  <c r="AQ97" i="7"/>
  <c r="AS107" i="7"/>
  <c r="AL117" i="7"/>
  <c r="AN131" i="7"/>
  <c r="AJ82" i="7"/>
  <c r="I86" i="7"/>
  <c r="S96" i="7"/>
  <c r="BJ85" i="7"/>
  <c r="BG87" i="7"/>
  <c r="BA100" i="7"/>
  <c r="M112" i="7"/>
  <c r="AX86" i="7"/>
  <c r="P81" i="7"/>
  <c r="O93" i="7"/>
  <c r="AZ83" i="7"/>
  <c r="C79" i="7"/>
  <c r="AS77" i="7"/>
  <c r="AF88" i="7"/>
  <c r="D88" i="7"/>
  <c r="AU99" i="7"/>
  <c r="AY109" i="7"/>
  <c r="M81" i="7"/>
  <c r="BE74" i="7"/>
  <c r="BH133" i="7"/>
  <c r="F76" i="7"/>
  <c r="G87" i="7"/>
  <c r="BC94" i="7"/>
  <c r="O80" i="7"/>
  <c r="BD82" i="7"/>
  <c r="AY95" i="7"/>
  <c r="I106" i="7"/>
  <c r="BI124" i="7"/>
  <c r="F81" i="7"/>
  <c r="AW79" i="7"/>
  <c r="BA81" i="7"/>
  <c r="AP122" i="7"/>
  <c r="BB81" i="7"/>
  <c r="Y82" i="7"/>
  <c r="AE94" i="7"/>
  <c r="BA75" i="7"/>
  <c r="Y81" i="7"/>
  <c r="AC100" i="7"/>
  <c r="BO113" i="7"/>
  <c r="M92" i="7"/>
  <c r="U96" i="7"/>
  <c r="L106" i="7"/>
  <c r="Z75" i="7"/>
  <c r="AZ73" i="7"/>
  <c r="L77" i="7"/>
  <c r="AQ96" i="7"/>
  <c r="M83" i="7"/>
  <c r="X135" i="7"/>
  <c r="J83" i="7"/>
  <c r="AQ82" i="7"/>
  <c r="Z86" i="7"/>
  <c r="BO79" i="7"/>
  <c r="AB137" i="7"/>
  <c r="F73" i="7"/>
  <c r="BL79" i="7"/>
  <c r="BE73" i="7"/>
  <c r="AM94" i="7"/>
  <c r="AD88" i="7"/>
  <c r="BJ106" i="7"/>
  <c r="BD80" i="7"/>
  <c r="H77" i="7"/>
  <c r="R85" i="7"/>
  <c r="AO76" i="7"/>
  <c r="BI81" i="7"/>
  <c r="AW87" i="7"/>
  <c r="AO102" i="7"/>
  <c r="AW114" i="7"/>
  <c r="AG75" i="7"/>
  <c r="O75" i="7"/>
  <c r="H95" i="7"/>
  <c r="BH109" i="7"/>
  <c r="AB122" i="7"/>
  <c r="BH74" i="7"/>
  <c r="BA74" i="7"/>
  <c r="BB84" i="7"/>
  <c r="Y84" i="7"/>
  <c r="AK104" i="7"/>
  <c r="BA73" i="7"/>
  <c r="AG74" i="7"/>
  <c r="AT77" i="7"/>
  <c r="AU83" i="7"/>
  <c r="AA96" i="7"/>
  <c r="G76" i="7"/>
  <c r="BL93" i="7"/>
  <c r="W107" i="7"/>
  <c r="BN86" i="7"/>
  <c r="BI109" i="7"/>
  <c r="BL80" i="7"/>
  <c r="R76" i="7"/>
  <c r="AX82" i="7"/>
  <c r="AO78" i="7"/>
  <c r="AO98" i="7"/>
  <c r="O111" i="7"/>
  <c r="AF87" i="7"/>
  <c r="AS135" i="7"/>
  <c r="AR78" i="7"/>
  <c r="BC81" i="7"/>
  <c r="AI92" i="7"/>
  <c r="AD80" i="7"/>
  <c r="N85" i="7"/>
  <c r="AW98" i="7"/>
  <c r="BO109" i="7"/>
  <c r="BO87" i="7"/>
  <c r="AW85" i="7"/>
  <c r="BN76" i="7"/>
  <c r="AJ96" i="7"/>
  <c r="G108" i="7"/>
  <c r="J119" i="7"/>
  <c r="AN128" i="7"/>
  <c r="B100" i="7"/>
  <c r="AC111" i="7"/>
  <c r="AL96" i="7"/>
  <c r="S108" i="7"/>
  <c r="AI91" i="7"/>
  <c r="AQ87" i="7"/>
  <c r="I103" i="7"/>
  <c r="AZ115" i="7"/>
  <c r="BH125" i="7"/>
  <c r="BM134" i="7"/>
  <c r="AO99" i="7"/>
  <c r="AY116" i="7"/>
  <c r="BH86" i="7"/>
  <c r="AJ111" i="7"/>
  <c r="Y125" i="7"/>
  <c r="C107" i="7"/>
  <c r="AH98" i="7"/>
  <c r="J116" i="7"/>
  <c r="AQ127" i="7"/>
  <c r="AP136" i="7"/>
  <c r="AM113" i="7"/>
  <c r="AL74" i="7"/>
  <c r="AO93" i="7"/>
  <c r="BO81" i="7"/>
  <c r="AI105" i="7"/>
  <c r="W92" i="7"/>
  <c r="AT95" i="7"/>
  <c r="BN90" i="7"/>
  <c r="AI103" i="7"/>
  <c r="B115" i="7"/>
  <c r="V125" i="7"/>
  <c r="AQ136" i="7"/>
  <c r="AC80" i="7"/>
  <c r="AR87" i="7"/>
  <c r="U92" i="7"/>
  <c r="S113" i="7"/>
  <c r="AE84" i="7"/>
  <c r="BL75" i="7"/>
  <c r="E96" i="7"/>
  <c r="BL107" i="7"/>
  <c r="R119" i="7"/>
  <c r="BK73" i="7"/>
  <c r="V81" i="7"/>
  <c r="O90" i="7"/>
  <c r="E79" i="7"/>
  <c r="BK103" i="7"/>
  <c r="S90" i="7"/>
  <c r="R94" i="7"/>
  <c r="AT89" i="7"/>
  <c r="V82" i="7"/>
  <c r="AZ75" i="7"/>
  <c r="R87" i="7"/>
  <c r="C109" i="7"/>
  <c r="K73" i="7"/>
  <c r="AK75" i="7"/>
  <c r="N93" i="7"/>
  <c r="V105" i="7"/>
  <c r="F117" i="7"/>
  <c r="BH126" i="7"/>
  <c r="R96" i="7"/>
  <c r="R108" i="7"/>
  <c r="AY91" i="7"/>
  <c r="AC105" i="7"/>
  <c r="BH85" i="7"/>
  <c r="AY80" i="7"/>
  <c r="BH100" i="7"/>
  <c r="AE112" i="7"/>
  <c r="I123" i="7"/>
  <c r="AS132" i="7"/>
  <c r="BC91" i="7"/>
  <c r="AT113" i="7"/>
  <c r="BC125" i="7"/>
  <c r="BO107" i="7"/>
  <c r="C122" i="7"/>
  <c r="BL101" i="7"/>
  <c r="AG89" i="7"/>
  <c r="AQ112" i="7"/>
  <c r="BK124" i="7"/>
  <c r="AR135" i="7"/>
  <c r="AE73" i="7"/>
  <c r="AM81" i="7"/>
  <c r="BE91" i="7"/>
  <c r="AI90" i="7"/>
  <c r="L110" i="7"/>
  <c r="B127" i="7"/>
  <c r="X100" i="7"/>
  <c r="W73" i="7"/>
  <c r="BD100" i="7"/>
  <c r="AB75" i="7"/>
  <c r="AO75" i="7"/>
  <c r="O101" i="7"/>
  <c r="X114" i="7"/>
  <c r="V126" i="7"/>
  <c r="AS136" i="7"/>
  <c r="AE106" i="7"/>
  <c r="AQ122" i="7"/>
  <c r="BM105" i="7"/>
  <c r="X122" i="7"/>
  <c r="P105" i="7"/>
  <c r="AY99" i="7"/>
  <c r="O92" i="7"/>
  <c r="E77" i="7"/>
  <c r="AE115" i="7"/>
  <c r="BO78" i="7"/>
  <c r="BF105" i="7"/>
  <c r="BC128" i="7"/>
  <c r="AW73" i="7"/>
  <c r="BE80" i="7"/>
  <c r="G90" i="7"/>
  <c r="AT135" i="7"/>
  <c r="BF73" i="7"/>
  <c r="BE86" i="7"/>
  <c r="AK95" i="7"/>
  <c r="AG77" i="7"/>
  <c r="H87" i="7"/>
  <c r="AA101" i="7"/>
  <c r="BM114" i="7"/>
  <c r="AI73" i="7"/>
  <c r="O74" i="7"/>
  <c r="AT137" i="7"/>
  <c r="X80" i="7"/>
  <c r="L75" i="7"/>
  <c r="O79" i="7"/>
  <c r="BF77" i="7"/>
  <c r="BC84" i="7"/>
  <c r="X131" i="7"/>
  <c r="BI76" i="7"/>
  <c r="S85" i="7"/>
  <c r="T89" i="7"/>
  <c r="S88" i="7"/>
  <c r="AM124" i="7"/>
  <c r="AP75" i="7"/>
  <c r="E74" i="7"/>
  <c r="AU75" i="7"/>
  <c r="BA95" i="7"/>
  <c r="AV81" i="7"/>
  <c r="P134" i="7"/>
  <c r="L82" i="7"/>
  <c r="AJ81" i="7"/>
  <c r="AR86" i="7"/>
  <c r="AW78" i="7"/>
  <c r="BG86" i="7"/>
  <c r="L89" i="7"/>
  <c r="AU103" i="7"/>
  <c r="N79" i="7"/>
  <c r="AL78" i="7"/>
  <c r="Q78" i="7"/>
  <c r="BB98" i="7"/>
  <c r="H112" i="7"/>
  <c r="Z123" i="7"/>
  <c r="BM74" i="7"/>
  <c r="AS78" i="7"/>
  <c r="BK74" i="7"/>
  <c r="AF89" i="7"/>
  <c r="AY105" i="7"/>
  <c r="K77" i="7"/>
  <c r="BF122" i="7"/>
  <c r="P80" i="7"/>
  <c r="Q86" i="7"/>
  <c r="AF81" i="7"/>
  <c r="AA78" i="7"/>
  <c r="AG95" i="7"/>
  <c r="BM110" i="7"/>
  <c r="AZ89" i="7"/>
  <c r="H121" i="7"/>
  <c r="BN78" i="7"/>
  <c r="BK79" i="7"/>
  <c r="BI85" i="7"/>
  <c r="D85" i="7"/>
  <c r="BC99" i="7"/>
  <c r="AC112" i="7"/>
  <c r="BL89" i="7"/>
  <c r="U119" i="7"/>
  <c r="N81" i="7"/>
  <c r="AK84" i="7"/>
  <c r="E95" i="7"/>
  <c r="V84" i="7"/>
  <c r="AZ86" i="7"/>
  <c r="BK99" i="7"/>
  <c r="AS112" i="7"/>
  <c r="I90" i="7"/>
  <c r="AJ88" i="7"/>
  <c r="Y80" i="7"/>
  <c r="BK97" i="7"/>
  <c r="W109" i="7"/>
  <c r="P120" i="7"/>
  <c r="AS82" i="7"/>
  <c r="T101" i="7"/>
  <c r="AU112" i="7"/>
  <c r="K98" i="7"/>
  <c r="AK109" i="7"/>
  <c r="AL93" i="7"/>
  <c r="V90" i="7"/>
  <c r="AR105" i="7"/>
  <c r="C117" i="7"/>
  <c r="BO126" i="7"/>
  <c r="BK135" i="7"/>
  <c r="BH101" i="7"/>
  <c r="E118" i="7"/>
  <c r="BH91" i="7"/>
  <c r="BL114" i="7"/>
  <c r="Z76" i="7"/>
  <c r="B109" i="7"/>
  <c r="BO100" i="7"/>
  <c r="AH117" i="7"/>
  <c r="BF128" i="7"/>
  <c r="AW137" i="7"/>
  <c r="T116" i="7"/>
  <c r="AI80" i="7"/>
  <c r="B73" i="7"/>
  <c r="AS85" i="7"/>
  <c r="BK107" i="7"/>
  <c r="AR95" i="7"/>
  <c r="BD73" i="7"/>
  <c r="AW92" i="7"/>
  <c r="BH104" i="7"/>
  <c r="AA116" i="7"/>
  <c r="AB126" i="7"/>
  <c r="H137" i="7"/>
  <c r="BG85" i="7"/>
  <c r="AK78" i="7"/>
  <c r="F95" i="7"/>
  <c r="AU115" i="7"/>
  <c r="AJ87" i="7"/>
  <c r="AU79" i="7"/>
  <c r="BA97" i="7"/>
  <c r="AF109" i="7"/>
  <c r="AN120" i="7"/>
  <c r="BJ79" i="7"/>
  <c r="AH76" i="7"/>
  <c r="M95" i="7"/>
  <c r="AQ83" i="7"/>
  <c r="AG106" i="7"/>
  <c r="AN93" i="7"/>
  <c r="BN95" i="7"/>
  <c r="Q95" i="7"/>
  <c r="AK76" i="7"/>
  <c r="Y83" i="7"/>
  <c r="Y90" i="7"/>
  <c r="AU111" i="7"/>
  <c r="R80" i="7"/>
  <c r="T79" i="7"/>
  <c r="AZ94" i="7"/>
  <c r="BN106" i="7"/>
  <c r="T118" i="7"/>
  <c r="BN127" i="7"/>
  <c r="J98" i="7"/>
  <c r="AT109" i="7"/>
  <c r="C94" i="7"/>
  <c r="BF106" i="7"/>
  <c r="AW89" i="7"/>
  <c r="M85" i="7"/>
  <c r="V102" i="7"/>
  <c r="BF113" i="7"/>
  <c r="Z124" i="7"/>
  <c r="AY133" i="7"/>
  <c r="Z96" i="7"/>
  <c r="AH115" i="7"/>
  <c r="W81" i="7"/>
  <c r="S110" i="7"/>
  <c r="AE123" i="7"/>
  <c r="Q104" i="7"/>
  <c r="I94" i="7"/>
  <c r="AH114" i="7"/>
  <c r="AI126" i="7"/>
  <c r="BH136" i="7"/>
  <c r="Y73" i="7"/>
  <c r="AT88" i="7"/>
  <c r="AJ76" i="7"/>
  <c r="X93" i="7"/>
  <c r="AI112" i="7"/>
  <c r="AF128" i="7"/>
  <c r="BJ101" i="7"/>
  <c r="BM79" i="7"/>
  <c r="AC102" i="7"/>
  <c r="N82" i="7"/>
  <c r="BD81" i="7"/>
  <c r="BA102" i="7"/>
  <c r="G116" i="7"/>
  <c r="AU127" i="7"/>
  <c r="BO137" i="7"/>
  <c r="BN108" i="7"/>
  <c r="AK124" i="7"/>
  <c r="AI108" i="7"/>
  <c r="BJ123" i="7"/>
  <c r="AY107" i="7"/>
  <c r="AI102" i="7"/>
  <c r="BB73" i="7"/>
  <c r="G89" i="7"/>
  <c r="BG82" i="7"/>
  <c r="H86" i="7"/>
  <c r="P108" i="7"/>
  <c r="N135" i="7"/>
  <c r="V73" i="7"/>
  <c r="AR83" i="7"/>
  <c r="BH75" i="7"/>
  <c r="BD137" i="7"/>
  <c r="AD77" i="7"/>
  <c r="AX74" i="7"/>
  <c r="BN81" i="7"/>
  <c r="O86" i="7"/>
  <c r="AP74" i="7"/>
  <c r="BN92" i="7"/>
  <c r="K109" i="7"/>
  <c r="AX87" i="7"/>
  <c r="S86" i="7"/>
  <c r="AZ132" i="7"/>
  <c r="G117" i="7"/>
  <c r="U78" i="7"/>
  <c r="Y86" i="7"/>
  <c r="AS91" i="7"/>
  <c r="AU86" i="7"/>
  <c r="BB127" i="7"/>
  <c r="AV76" i="7"/>
  <c r="BI73" i="7"/>
  <c r="AA79" i="7"/>
  <c r="U74" i="7"/>
  <c r="AO79" i="7"/>
  <c r="O127" i="7"/>
  <c r="S74" i="7"/>
  <c r="AA81" i="7"/>
  <c r="AC89" i="7"/>
  <c r="H84" i="7"/>
  <c r="BO111" i="7"/>
  <c r="AX75" i="7"/>
  <c r="K83" i="7"/>
  <c r="AA89" i="7"/>
  <c r="BO96" i="7"/>
  <c r="V74" i="7"/>
  <c r="Q79" i="7"/>
  <c r="I98" i="7"/>
  <c r="AE111" i="7"/>
  <c r="AB89" i="7"/>
  <c r="AP93" i="7"/>
  <c r="C90" i="7"/>
  <c r="X104" i="7"/>
  <c r="AJ118" i="7"/>
  <c r="AH129" i="7"/>
  <c r="BG74" i="7"/>
  <c r="AR73" i="7"/>
  <c r="BG75" i="7"/>
  <c r="AW96" i="7"/>
  <c r="AA113" i="7"/>
  <c r="BB92" i="7"/>
  <c r="AB136" i="7"/>
  <c r="C75" i="7"/>
  <c r="BF88" i="7"/>
  <c r="BL78" i="7"/>
  <c r="BA89" i="7"/>
  <c r="AE103" i="7"/>
  <c r="M116" i="7"/>
  <c r="P78" i="7"/>
  <c r="AD73" i="7"/>
  <c r="BI78" i="7"/>
  <c r="I97" i="7"/>
  <c r="AP88" i="7"/>
  <c r="W91" i="7"/>
  <c r="AE107" i="7"/>
  <c r="BD77" i="7"/>
  <c r="N75" i="7"/>
  <c r="BE125" i="7"/>
  <c r="C82" i="7"/>
  <c r="AH80" i="7"/>
  <c r="E86" i="7"/>
  <c r="BC78" i="7"/>
  <c r="AI94" i="7"/>
  <c r="Y106" i="7"/>
  <c r="BB74" i="7"/>
  <c r="AO96" i="7"/>
  <c r="AI95" i="7"/>
  <c r="G92" i="7"/>
  <c r="O104" i="7"/>
  <c r="AV115" i="7"/>
  <c r="AT125" i="7"/>
  <c r="AH93" i="7"/>
  <c r="X106" i="7"/>
  <c r="BI87" i="7"/>
  <c r="AF104" i="7"/>
  <c r="BB82" i="7"/>
  <c r="BI74" i="7"/>
  <c r="U99" i="7"/>
  <c r="AU110" i="7"/>
  <c r="AF121" i="7"/>
  <c r="G131" i="7"/>
  <c r="AA88" i="7"/>
  <c r="B112" i="7"/>
  <c r="AA124" i="7"/>
  <c r="AF105" i="7"/>
  <c r="T120" i="7"/>
  <c r="AB98" i="7"/>
  <c r="AY76" i="7"/>
  <c r="K111" i="7"/>
  <c r="BD123" i="7"/>
  <c r="U133" i="7"/>
  <c r="AG101" i="7"/>
  <c r="E120" i="7"/>
  <c r="P74" i="7"/>
  <c r="AO85" i="7"/>
  <c r="BD97" i="7"/>
  <c r="AG76" i="7"/>
  <c r="BB89" i="7"/>
  <c r="P126" i="7"/>
  <c r="P76" i="7"/>
  <c r="AB76" i="7"/>
  <c r="Y77" i="7"/>
  <c r="AF116" i="7"/>
  <c r="AJ78" i="7"/>
  <c r="Q77" i="7"/>
  <c r="BN84" i="7"/>
  <c r="AH87" i="7"/>
  <c r="BN77" i="7"/>
  <c r="O95" i="7"/>
  <c r="I110" i="7"/>
  <c r="AN89" i="7"/>
  <c r="R88" i="7"/>
  <c r="B120" i="7"/>
  <c r="AA106" i="7"/>
  <c r="AT79" i="7"/>
  <c r="BA88" i="7"/>
  <c r="BG92" i="7"/>
  <c r="I88" i="7"/>
  <c r="BC113" i="7"/>
  <c r="BJ77" i="7"/>
  <c r="AD75" i="7"/>
  <c r="G83" i="7"/>
  <c r="M76" i="7"/>
  <c r="AH81" i="7"/>
  <c r="BA121" i="7"/>
  <c r="M77" i="7"/>
  <c r="M84" i="7"/>
  <c r="BI91" i="7"/>
  <c r="AN85" i="7"/>
  <c r="BA122" i="7"/>
  <c r="BL76" i="7"/>
  <c r="Z84" i="7"/>
  <c r="C74" i="7"/>
  <c r="G98" i="7"/>
  <c r="N76" i="7"/>
  <c r="K81" i="7"/>
  <c r="O99" i="7"/>
  <c r="AK112" i="7"/>
  <c r="F91" i="7"/>
  <c r="N95" i="7"/>
  <c r="T91" i="7"/>
  <c r="AE105" i="7"/>
  <c r="AF120" i="7"/>
  <c r="V118" i="7"/>
  <c r="BA77" i="7"/>
  <c r="AE77" i="7"/>
  <c r="U80" i="7"/>
  <c r="Q98" i="7"/>
  <c r="AO114" i="7"/>
  <c r="AA94" i="7"/>
  <c r="Z128" i="7"/>
  <c r="BK77" i="7"/>
  <c r="AK91" i="7"/>
  <c r="BM82" i="7"/>
  <c r="N91" i="7"/>
  <c r="AS104" i="7"/>
  <c r="I74" i="7"/>
  <c r="R82" i="7"/>
  <c r="BF75" i="7"/>
  <c r="AS81" i="7"/>
  <c r="BJ74" i="7"/>
  <c r="M74" i="7"/>
  <c r="AV92" i="7"/>
  <c r="AS108" i="7"/>
  <c r="AK81" i="7"/>
  <c r="P79" i="7"/>
  <c r="BN110" i="7"/>
  <c r="P73" i="7"/>
  <c r="E87" i="7"/>
  <c r="F89" i="7"/>
  <c r="BK80" i="7"/>
  <c r="BH95" i="7"/>
  <c r="AM107" i="7"/>
  <c r="AH78" i="7"/>
  <c r="BD75" i="7"/>
  <c r="AL76" i="7"/>
  <c r="AI93" i="7"/>
  <c r="AN105" i="7"/>
  <c r="BL116" i="7"/>
  <c r="AR126" i="7"/>
  <c r="AJ95" i="7"/>
  <c r="AP107" i="7"/>
  <c r="AJ92" i="7"/>
  <c r="AX105" i="7"/>
  <c r="V86" i="7"/>
  <c r="L80" i="7"/>
  <c r="AM100" i="7"/>
  <c r="BN111" i="7"/>
  <c r="AM122" i="7"/>
  <c r="C133" i="7"/>
  <c r="BD92" i="7"/>
  <c r="BE113" i="7"/>
  <c r="AR125" i="7"/>
  <c r="AH107" i="7"/>
  <c r="AK121" i="7"/>
  <c r="BK100" i="7"/>
  <c r="C91" i="7"/>
  <c r="J113" i="7"/>
  <c r="H125" i="7"/>
  <c r="AB134" i="7"/>
  <c r="AJ105" i="7"/>
  <c r="AR74" i="7"/>
  <c r="K82" i="7"/>
  <c r="J73" i="7"/>
  <c r="AK100" i="7"/>
  <c r="P83" i="7"/>
  <c r="AV91" i="7"/>
  <c r="AW133" i="7"/>
  <c r="H80" i="7"/>
  <c r="AP78" i="7"/>
  <c r="V80" i="7"/>
  <c r="AP132" i="7"/>
  <c r="AP79" i="7"/>
  <c r="I81" i="7"/>
  <c r="BM89" i="7"/>
  <c r="AY88" i="7"/>
  <c r="AS79" i="7"/>
  <c r="AE99" i="7"/>
  <c r="G111" i="7"/>
  <c r="BH90" i="7"/>
  <c r="C95" i="7"/>
  <c r="W128" i="7"/>
  <c r="AT90" i="7"/>
  <c r="B84" i="7"/>
  <c r="W75" i="7"/>
  <c r="O94" i="7"/>
  <c r="Y79" i="7"/>
  <c r="P138" i="7"/>
  <c r="AT81" i="7"/>
  <c r="R81" i="7"/>
  <c r="BE84" i="7"/>
  <c r="G78" i="7"/>
  <c r="K114" i="7"/>
  <c r="H115" i="7"/>
  <c r="AM78" i="7"/>
  <c r="BC87" i="7"/>
  <c r="Q93" i="7"/>
  <c r="B87" i="7"/>
  <c r="BB123" i="7"/>
  <c r="T78" i="7"/>
  <c r="AV75" i="7"/>
  <c r="AY83" i="7"/>
  <c r="AV74" i="7"/>
  <c r="I78" i="7"/>
  <c r="U86" i="7"/>
  <c r="AI101" i="7"/>
  <c r="AQ113" i="7"/>
  <c r="AZ96" i="7"/>
  <c r="AP96" i="7"/>
  <c r="BD93" i="7"/>
  <c r="AZ108" i="7"/>
  <c r="AD121" i="7"/>
  <c r="AU95" i="7"/>
  <c r="AK88" i="7"/>
  <c r="S81" i="7"/>
  <c r="AC82" i="7"/>
  <c r="BO101" i="7"/>
  <c r="E116" i="7"/>
  <c r="I96" i="7"/>
  <c r="B75" i="7"/>
  <c r="AU80" i="7"/>
  <c r="G94" i="7"/>
  <c r="BM73" i="7"/>
  <c r="AM92" i="7"/>
  <c r="BO105" i="7"/>
  <c r="AD84" i="7"/>
  <c r="AW136" i="7"/>
  <c r="AB78" i="7"/>
  <c r="AI89" i="7"/>
  <c r="BK78" i="7"/>
  <c r="AI76" i="7"/>
  <c r="K97" i="7"/>
  <c r="BG109" i="7"/>
  <c r="AU84" i="7"/>
  <c r="AO82" i="7"/>
  <c r="AL73" i="7"/>
  <c r="D79" i="7"/>
  <c r="BD89" i="7"/>
  <c r="AR76" i="7"/>
  <c r="AF83" i="7"/>
  <c r="T97" i="7"/>
  <c r="BA108" i="7"/>
  <c r="BF81" i="7"/>
  <c r="BK82" i="7"/>
  <c r="AO73" i="7"/>
  <c r="BL94" i="7"/>
  <c r="BD106" i="7"/>
  <c r="D118" i="7"/>
  <c r="AP127" i="7"/>
  <c r="AA97" i="7"/>
  <c r="K110" i="7"/>
  <c r="AJ94" i="7"/>
  <c r="B107" i="7"/>
  <c r="AE89" i="7"/>
  <c r="X84" i="7"/>
  <c r="BD101" i="7"/>
  <c r="Q113" i="7"/>
  <c r="BA124" i="7"/>
  <c r="BO133" i="7"/>
  <c r="BH96" i="7"/>
  <c r="V115" i="7"/>
  <c r="F79" i="7"/>
  <c r="AH109" i="7"/>
  <c r="BC122" i="7"/>
  <c r="BN104" i="7"/>
  <c r="I95" i="7"/>
  <c r="AT114" i="7"/>
  <c r="Y126" i="7"/>
  <c r="AI135" i="7"/>
  <c r="AM109" i="7"/>
  <c r="AX79" i="7"/>
  <c r="V88" i="7"/>
  <c r="AM77" i="7"/>
  <c r="BM102" i="7"/>
  <c r="AX88" i="7"/>
  <c r="P125" i="7"/>
  <c r="AA74" i="7"/>
  <c r="AW82" i="7"/>
  <c r="AL82" i="7"/>
  <c r="Q106" i="7"/>
  <c r="AQ75" i="7"/>
  <c r="AE79" i="7"/>
  <c r="T85" i="7"/>
  <c r="O81" i="7"/>
  <c r="AU73" i="7"/>
  <c r="R83" i="7"/>
  <c r="AB80" i="7"/>
  <c r="C73" i="7"/>
  <c r="BC90" i="7"/>
  <c r="J93" i="7"/>
  <c r="BK81" i="7"/>
  <c r="Q103" i="7"/>
  <c r="BA80" i="7"/>
  <c r="D91" i="7"/>
  <c r="P91" i="7"/>
  <c r="AV82" i="7"/>
  <c r="B97" i="7"/>
  <c r="AK94" i="7"/>
  <c r="BJ86" i="7"/>
  <c r="C101" i="7"/>
  <c r="AD96" i="7"/>
  <c r="AQ89" i="7"/>
  <c r="AI88" i="7"/>
  <c r="AC116" i="7"/>
  <c r="BD86" i="7"/>
  <c r="AJ122" i="7"/>
  <c r="G105" i="7"/>
  <c r="F112" i="7"/>
  <c r="BI106" i="7"/>
  <c r="I130" i="7"/>
  <c r="BE121" i="7"/>
  <c r="V85" i="7"/>
  <c r="F107" i="7"/>
  <c r="BL86" i="7"/>
  <c r="BC80" i="7"/>
  <c r="AM115" i="7"/>
  <c r="F83" i="7"/>
  <c r="BN101" i="7"/>
  <c r="B119" i="7"/>
  <c r="F84" i="7"/>
  <c r="AO74" i="7"/>
  <c r="X73" i="7"/>
  <c r="AQ105" i="7"/>
  <c r="AJ77" i="7"/>
  <c r="I87" i="7"/>
  <c r="AR103" i="7"/>
  <c r="BJ117" i="7"/>
  <c r="AG100" i="7"/>
  <c r="W87" i="7"/>
  <c r="BC74" i="7"/>
  <c r="AM111" i="7"/>
  <c r="AZ87" i="7"/>
  <c r="Z87" i="7"/>
  <c r="AE87" i="7"/>
  <c r="D75" i="7"/>
  <c r="AO106" i="7"/>
  <c r="B88" i="7"/>
  <c r="AO87" i="7"/>
  <c r="BJ103" i="7"/>
  <c r="BD120" i="7"/>
  <c r="E89" i="7"/>
  <c r="BC106" i="7"/>
  <c r="U98" i="7"/>
  <c r="AV112" i="7"/>
  <c r="Q74" i="7"/>
  <c r="L105" i="7"/>
  <c r="AA119" i="7"/>
  <c r="AM131" i="7"/>
  <c r="Z102" i="7"/>
  <c r="Z121" i="7"/>
  <c r="AU105" i="7"/>
  <c r="AV73" i="7"/>
  <c r="AK113" i="7"/>
  <c r="Z110" i="7"/>
  <c r="T129" i="7"/>
  <c r="AL134" i="7"/>
  <c r="BK88" i="7"/>
  <c r="AA91" i="7"/>
  <c r="H103" i="7"/>
  <c r="F125" i="7"/>
  <c r="Q105" i="7"/>
  <c r="D95" i="7"/>
  <c r="AA112" i="7"/>
  <c r="E90" i="7"/>
  <c r="T109" i="7"/>
  <c r="BJ124" i="7"/>
  <c r="BB86" i="7"/>
  <c r="AX117" i="7"/>
  <c r="BJ102" i="7"/>
  <c r="AB81" i="7"/>
  <c r="BC82" i="7"/>
  <c r="BB133" i="7"/>
  <c r="BD88" i="7"/>
  <c r="AL91" i="7"/>
  <c r="Z103" i="7"/>
  <c r="N125" i="7"/>
  <c r="BI98" i="7"/>
  <c r="D112" i="7"/>
  <c r="R99" i="7"/>
  <c r="AL112" i="7"/>
  <c r="BH99" i="7"/>
  <c r="BA99" i="7"/>
  <c r="BJ112" i="7"/>
  <c r="E125" i="7"/>
  <c r="AM135" i="7"/>
  <c r="L104" i="7"/>
  <c r="P121" i="7"/>
  <c r="AV103" i="7"/>
  <c r="BJ120" i="7"/>
  <c r="AU102" i="7"/>
  <c r="AR96" i="7"/>
  <c r="H134" i="7"/>
  <c r="AF84" i="7"/>
  <c r="BC111" i="7"/>
  <c r="S73" i="7"/>
  <c r="BA103" i="7"/>
  <c r="AL121" i="7"/>
  <c r="AY94" i="7"/>
  <c r="D109" i="7"/>
  <c r="AL95" i="7"/>
  <c r="Z109" i="7"/>
  <c r="X96" i="7"/>
  <c r="L96" i="7"/>
  <c r="BJ109" i="7"/>
  <c r="U122" i="7"/>
  <c r="S133" i="7"/>
  <c r="AR98" i="7"/>
  <c r="O118" i="7"/>
  <c r="AT97" i="7"/>
  <c r="BI117" i="7"/>
  <c r="BM96" i="7"/>
  <c r="AY84" i="7"/>
  <c r="BA113" i="7"/>
  <c r="K96" i="7"/>
  <c r="BE106" i="7"/>
  <c r="BA96" i="7"/>
  <c r="AM101" i="7"/>
  <c r="BF119" i="7"/>
  <c r="AF92" i="7"/>
  <c r="AF107" i="7"/>
  <c r="R93" i="7"/>
  <c r="BM107" i="7"/>
  <c r="D94" i="7"/>
  <c r="BG93" i="7"/>
  <c r="AG108" i="7"/>
  <c r="D121" i="7"/>
  <c r="M132" i="7"/>
  <c r="BE94" i="7"/>
  <c r="AN116" i="7"/>
  <c r="AA93" i="7"/>
  <c r="P116" i="7"/>
  <c r="AC92" i="7"/>
  <c r="F74" i="7"/>
  <c r="AQ111" i="7"/>
  <c r="BG125" i="7"/>
  <c r="BF137" i="7"/>
  <c r="AC119" i="7"/>
  <c r="AA132" i="7"/>
  <c r="AK101" i="7"/>
  <c r="AH124" i="7"/>
  <c r="AN135" i="7"/>
  <c r="BH79" i="7"/>
  <c r="M90" i="7"/>
  <c r="T126" i="7"/>
  <c r="L113" i="7"/>
  <c r="B74" i="7"/>
  <c r="AW100" i="7"/>
  <c r="C126" i="7"/>
  <c r="AT105" i="7"/>
  <c r="BM104" i="7"/>
  <c r="AH104" i="7"/>
  <c r="M117" i="7"/>
  <c r="BI131" i="7"/>
  <c r="F111" i="7"/>
  <c r="M130" i="7"/>
  <c r="AK98" i="7"/>
  <c r="AJ125" i="7"/>
  <c r="AR137" i="7"/>
  <c r="BJ116" i="7"/>
  <c r="BF130" i="7"/>
  <c r="AH96" i="7"/>
  <c r="AN122" i="7"/>
  <c r="U91" i="7"/>
  <c r="AW94" i="7"/>
  <c r="AZ118" i="7"/>
  <c r="AS106" i="7"/>
  <c r="V107" i="7"/>
  <c r="AO92" i="7"/>
  <c r="O120" i="7"/>
  <c r="V92" i="7"/>
  <c r="BF90" i="7"/>
  <c r="U89" i="7"/>
  <c r="H110" i="7"/>
  <c r="AW128" i="7"/>
  <c r="V100" i="7"/>
  <c r="W127" i="7"/>
  <c r="X74" i="7"/>
  <c r="O121" i="7"/>
  <c r="BK134" i="7"/>
  <c r="N111" i="7"/>
  <c r="AE128" i="7"/>
  <c r="AP138" i="7"/>
  <c r="BA118" i="7"/>
  <c r="AB79" i="7"/>
  <c r="L95" i="7"/>
  <c r="AB111" i="7"/>
  <c r="I101" i="7"/>
  <c r="AP101" i="7"/>
  <c r="R78" i="7"/>
  <c r="J115" i="7"/>
  <c r="AA137" i="7"/>
  <c r="AN123" i="7"/>
  <c r="K123" i="7"/>
  <c r="AH101" i="7"/>
  <c r="AB125" i="7"/>
  <c r="BN138" i="7"/>
  <c r="O123" i="7"/>
  <c r="Y136" i="7"/>
  <c r="BH116" i="7"/>
  <c r="R132" i="7"/>
  <c r="AO103" i="7"/>
  <c r="AK125" i="7"/>
  <c r="Q136" i="7"/>
  <c r="AF114" i="7"/>
  <c r="AP129" i="7"/>
  <c r="Q76" i="7"/>
  <c r="T98" i="7"/>
  <c r="E80" i="7"/>
  <c r="L117" i="7"/>
  <c r="BK114" i="7"/>
  <c r="AD94" i="7"/>
  <c r="BO123" i="7"/>
  <c r="AP112" i="7"/>
  <c r="J137" i="7"/>
  <c r="AP128" i="7"/>
  <c r="P113" i="7"/>
  <c r="T135" i="7"/>
  <c r="W123" i="7"/>
  <c r="AX136" i="7"/>
  <c r="AG127" i="7"/>
  <c r="AK128" i="7"/>
  <c r="BD102" i="7"/>
  <c r="BN82" i="7"/>
  <c r="AG126" i="7"/>
  <c r="BB101" i="7"/>
  <c r="D138" i="7"/>
  <c r="BE102" i="7"/>
  <c r="L122" i="7"/>
  <c r="BJ98" i="7"/>
  <c r="AF102" i="7"/>
  <c r="X83" i="7"/>
  <c r="BA114" i="7"/>
  <c r="J114" i="7"/>
  <c r="B138" i="7"/>
  <c r="BC130" i="7"/>
  <c r="AD119" i="7"/>
  <c r="BL88" i="7"/>
  <c r="R129" i="7"/>
  <c r="X112" i="7"/>
  <c r="H133" i="7"/>
  <c r="S116" i="7"/>
  <c r="BK136" i="7"/>
  <c r="N94" i="7"/>
  <c r="BC127" i="7"/>
  <c r="D135" i="7"/>
  <c r="AT75" i="7"/>
  <c r="Y129" i="7"/>
  <c r="AK86" i="7"/>
  <c r="BJ108" i="7"/>
  <c r="AC79" i="7"/>
  <c r="AJ89" i="7"/>
  <c r="AC132" i="7"/>
  <c r="V99" i="7"/>
  <c r="BC97" i="7"/>
  <c r="BG132" i="7"/>
  <c r="Q126" i="7"/>
  <c r="J110" i="7"/>
  <c r="D136" i="7"/>
  <c r="AJ124" i="7"/>
  <c r="BO99" i="7"/>
  <c r="AX130" i="7"/>
  <c r="X102" i="7"/>
  <c r="BF135" i="7"/>
  <c r="BB113" i="7"/>
  <c r="N97" i="7"/>
  <c r="S98" i="7"/>
  <c r="BH107" i="7"/>
  <c r="AX94" i="7"/>
  <c r="BH78" i="7"/>
  <c r="AP94" i="7"/>
  <c r="BK104" i="7"/>
  <c r="G95" i="7"/>
  <c r="Q124" i="7"/>
  <c r="M122" i="7"/>
  <c r="U109" i="7"/>
  <c r="G128" i="7"/>
  <c r="K119" i="7"/>
  <c r="L93" i="7"/>
  <c r="AP131" i="7"/>
  <c r="AF118" i="7"/>
  <c r="BM137" i="7"/>
  <c r="P127" i="7"/>
  <c r="AH138" i="7"/>
  <c r="I131" i="7"/>
  <c r="L123" i="7"/>
  <c r="R131" i="7"/>
  <c r="BK126" i="7"/>
  <c r="K120" i="7"/>
  <c r="BB129" i="7"/>
  <c r="AG117" i="7"/>
  <c r="W104" i="7"/>
  <c r="D126" i="7"/>
  <c r="BB105" i="7"/>
  <c r="AP120" i="7"/>
  <c r="E91" i="7"/>
  <c r="BH83" i="7"/>
  <c r="BN87" i="7"/>
  <c r="BK115" i="7"/>
  <c r="Y78" i="7"/>
  <c r="BN80" i="7"/>
  <c r="R86" i="7"/>
  <c r="J84" i="7"/>
  <c r="AN75" i="7"/>
  <c r="AM75" i="7"/>
  <c r="U82" i="7"/>
  <c r="AV78" i="7"/>
  <c r="AP80" i="7"/>
  <c r="Z94" i="7"/>
  <c r="AX84" i="7"/>
  <c r="O113" i="7"/>
  <c r="AJ83" i="7"/>
  <c r="BC93" i="7"/>
  <c r="AL130" i="7"/>
  <c r="BL85" i="7"/>
  <c r="BI100" i="7"/>
  <c r="AC134" i="7"/>
  <c r="AU89" i="7"/>
  <c r="Q102" i="7"/>
  <c r="AK131" i="7"/>
  <c r="AD76" i="7"/>
  <c r="AF91" i="7"/>
  <c r="AU91" i="7"/>
  <c r="I89" i="7"/>
  <c r="AP123" i="7"/>
  <c r="V75" i="7"/>
  <c r="E78" i="7"/>
  <c r="L108" i="7"/>
  <c r="BI136" i="7"/>
  <c r="H123" i="7"/>
  <c r="BG90" i="7"/>
  <c r="AY118" i="7"/>
  <c r="BO95" i="7"/>
  <c r="V87" i="7"/>
  <c r="O77" i="7"/>
  <c r="AN86" i="7"/>
  <c r="T106" i="7"/>
  <c r="X120" i="7"/>
  <c r="BE87" i="7"/>
  <c r="AN74" i="7"/>
  <c r="AZ77" i="7"/>
  <c r="U108" i="7"/>
  <c r="J90" i="7"/>
  <c r="AH89" i="7"/>
  <c r="D105" i="7"/>
  <c r="BB121" i="7"/>
  <c r="AZ130" i="7"/>
  <c r="AP76" i="7"/>
  <c r="BK86" i="7"/>
  <c r="I114" i="7"/>
  <c r="T90" i="7"/>
  <c r="AT129" i="7"/>
  <c r="BO76" i="7"/>
  <c r="AF79" i="7"/>
  <c r="Q114" i="7"/>
  <c r="AO90" i="7"/>
  <c r="BF89" i="7"/>
  <c r="Y108" i="7"/>
  <c r="D122" i="7"/>
  <c r="AW91" i="7"/>
  <c r="H111" i="7"/>
  <c r="AW99" i="7"/>
  <c r="D76" i="7"/>
  <c r="BE88" i="7"/>
  <c r="AN106" i="7"/>
  <c r="AQ120" i="7"/>
  <c r="BE134" i="7"/>
  <c r="AT104" i="7"/>
  <c r="BB122" i="7"/>
  <c r="AM112" i="7"/>
  <c r="AI84" i="7"/>
  <c r="M115" i="7"/>
  <c r="V116" i="7"/>
  <c r="AJ130" i="7"/>
  <c r="BE99" i="7"/>
  <c r="AR94" i="7"/>
  <c r="BG94" i="7"/>
  <c r="AW105" i="7"/>
  <c r="F82" i="7"/>
  <c r="BO106" i="7"/>
  <c r="AB97" i="7"/>
  <c r="J87" i="7"/>
  <c r="BF92" i="7"/>
  <c r="M111" i="7"/>
  <c r="C129" i="7"/>
  <c r="W93" i="7"/>
  <c r="AF119" i="7"/>
  <c r="D111" i="7"/>
  <c r="BH89" i="7"/>
  <c r="AK90" i="7"/>
  <c r="AN73" i="7"/>
  <c r="BA94" i="7"/>
  <c r="Y95" i="7"/>
  <c r="U110" i="7"/>
  <c r="J127" i="7"/>
  <c r="AH100" i="7"/>
  <c r="BN73" i="7"/>
  <c r="BN100" i="7"/>
  <c r="AX76" i="7"/>
  <c r="T76" i="7"/>
  <c r="Y101" i="7"/>
  <c r="AS114" i="7"/>
  <c r="AE126" i="7"/>
  <c r="BA136" i="7"/>
  <c r="AV106" i="7"/>
  <c r="BL122" i="7"/>
  <c r="P106" i="7"/>
  <c r="AH122" i="7"/>
  <c r="AH105" i="7"/>
  <c r="G100" i="7"/>
  <c r="T130" i="7"/>
  <c r="I82" i="7"/>
  <c r="BA116" i="7"/>
  <c r="AW81" i="7"/>
  <c r="B106" i="7"/>
  <c r="AX123" i="7"/>
  <c r="O97" i="7"/>
  <c r="AQ110" i="7"/>
  <c r="AZ97" i="7"/>
  <c r="I111" i="7"/>
  <c r="AF98" i="7"/>
  <c r="X98" i="7"/>
  <c r="AH111" i="7"/>
  <c r="BC123" i="7"/>
  <c r="AG134" i="7"/>
  <c r="AR101" i="7"/>
  <c r="BA119" i="7"/>
  <c r="M101" i="7"/>
  <c r="AG119" i="7"/>
  <c r="T100" i="7"/>
  <c r="F92" i="7"/>
  <c r="AT132" i="7"/>
  <c r="AQ84" i="7"/>
  <c r="BK111" i="7"/>
  <c r="BL73" i="7"/>
  <c r="F104" i="7"/>
  <c r="BJ121" i="7"/>
  <c r="BO94" i="7"/>
  <c r="O109" i="7"/>
  <c r="BB95" i="7"/>
  <c r="AU109" i="7"/>
  <c r="BE96" i="7"/>
  <c r="AS96" i="7"/>
  <c r="F110" i="7"/>
  <c r="AD122" i="7"/>
  <c r="AA133" i="7"/>
  <c r="BN98" i="7"/>
  <c r="Y118" i="7"/>
  <c r="Z98" i="7"/>
  <c r="F118" i="7"/>
  <c r="X97" i="7"/>
  <c r="X86" i="7"/>
  <c r="BL113" i="7"/>
  <c r="AF127" i="7"/>
  <c r="AE76" i="7"/>
  <c r="AC121" i="7"/>
  <c r="AS133" i="7"/>
  <c r="AO105" i="7"/>
  <c r="AD126" i="7"/>
  <c r="BE136" i="7"/>
  <c r="AK93" i="7"/>
  <c r="AB95" i="7"/>
  <c r="AE80" i="7"/>
  <c r="O84" i="7"/>
  <c r="AJ85" i="7"/>
  <c r="D104" i="7"/>
  <c r="BA128" i="7"/>
  <c r="B111" i="7"/>
  <c r="AJ110" i="7"/>
  <c r="BB109" i="7"/>
  <c r="F119" i="7"/>
  <c r="AV133" i="7"/>
  <c r="Z115" i="7"/>
  <c r="AO131" i="7"/>
  <c r="AL103" i="7"/>
  <c r="X127" i="7"/>
  <c r="Y74" i="7"/>
  <c r="BL118" i="7"/>
  <c r="I132" i="7"/>
  <c r="AW101" i="7"/>
  <c r="AO124" i="7"/>
  <c r="AW74" i="7"/>
  <c r="BO77" i="7"/>
  <c r="AZ122" i="7"/>
  <c r="BN109" i="7"/>
  <c r="AH110" i="7"/>
  <c r="AH97" i="7"/>
  <c r="S123" i="7"/>
  <c r="BF100" i="7"/>
  <c r="BM99" i="7"/>
  <c r="C99" i="7"/>
  <c r="D115" i="7"/>
  <c r="AA130" i="7"/>
  <c r="AK106" i="7"/>
  <c r="BJ128" i="7"/>
  <c r="I91" i="7"/>
  <c r="AG123" i="7"/>
  <c r="Z136" i="7"/>
  <c r="AV114" i="7"/>
  <c r="AX129" i="7"/>
  <c r="X89" i="7"/>
  <c r="BB120" i="7"/>
  <c r="AY89" i="7"/>
  <c r="AD89" i="7"/>
  <c r="BN115" i="7"/>
  <c r="AE104" i="7"/>
  <c r="BL104" i="7"/>
  <c r="AB88" i="7"/>
  <c r="AC118" i="7"/>
  <c r="S82" i="7"/>
  <c r="AV77" i="7"/>
  <c r="E75" i="7"/>
  <c r="AM106" i="7"/>
  <c r="L127" i="7"/>
  <c r="BL91" i="7"/>
  <c r="AX125" i="7"/>
  <c r="BA137" i="7"/>
  <c r="N119" i="7"/>
  <c r="AT133" i="7"/>
  <c r="AR107" i="7"/>
  <c r="N127" i="7"/>
  <c r="AH137" i="7"/>
  <c r="BO116" i="7"/>
  <c r="AY100" i="7"/>
  <c r="Q92" i="7"/>
  <c r="C103" i="7"/>
  <c r="BB91" i="7"/>
  <c r="AX121" i="7"/>
  <c r="AX120" i="7"/>
  <c r="AZ106" i="7"/>
  <c r="AT126" i="7"/>
  <c r="AQ117" i="7"/>
  <c r="BM83" i="7"/>
  <c r="K131" i="7"/>
  <c r="AU117" i="7"/>
  <c r="B137" i="7"/>
  <c r="H126" i="7"/>
  <c r="C138" i="7"/>
  <c r="L130" i="7"/>
  <c r="BH124" i="7"/>
  <c r="AI134" i="7"/>
  <c r="F130" i="7"/>
  <c r="BH121" i="7"/>
  <c r="G133" i="7"/>
  <c r="AA127" i="7"/>
  <c r="M80" i="7"/>
  <c r="P128" i="7"/>
  <c r="H105" i="7"/>
  <c r="P107" i="7"/>
  <c r="T99" i="7"/>
  <c r="AD120" i="7"/>
  <c r="U118" i="7"/>
  <c r="BN94" i="7"/>
  <c r="BF132" i="7"/>
  <c r="AX122" i="7"/>
  <c r="F101" i="7"/>
  <c r="AG131" i="7"/>
  <c r="Q117" i="7"/>
  <c r="Z134" i="7"/>
  <c r="AA120" i="7"/>
  <c r="D134" i="7"/>
  <c r="W136" i="7"/>
  <c r="S119" i="7"/>
  <c r="L132" i="7"/>
  <c r="S131" i="7"/>
  <c r="I122" i="7"/>
  <c r="AL87" i="7"/>
  <c r="R116" i="7"/>
  <c r="BA93" i="7"/>
  <c r="H97" i="7"/>
  <c r="M136" i="7"/>
  <c r="Q108" i="7"/>
  <c r="X107" i="7"/>
  <c r="BJ135" i="7"/>
  <c r="AB128" i="7"/>
  <c r="AB115" i="7"/>
  <c r="AN138" i="7"/>
  <c r="AK127" i="7"/>
  <c r="T107" i="7"/>
  <c r="BO131" i="7"/>
  <c r="AE110" i="7"/>
  <c r="AA138" i="7"/>
  <c r="AR104" i="7"/>
  <c r="AZ133" i="7"/>
  <c r="AM137" i="7"/>
  <c r="O98" i="7"/>
  <c r="BD134" i="7"/>
  <c r="S78" i="7"/>
  <c r="AT102" i="7"/>
  <c r="R111" i="7"/>
  <c r="AU100" i="7"/>
  <c r="AJ128" i="7"/>
  <c r="AG83" i="7"/>
  <c r="AG79" i="7"/>
  <c r="BK130" i="7"/>
  <c r="AE122" i="7"/>
  <c r="AJ102" i="7"/>
  <c r="L134" i="7"/>
  <c r="BN121" i="7"/>
  <c r="AD91" i="7"/>
  <c r="L129" i="7"/>
  <c r="AT91" i="7"/>
  <c r="AR133" i="7"/>
  <c r="AM118" i="7"/>
  <c r="AX118" i="7"/>
  <c r="AL114" i="7"/>
  <c r="R115" i="7"/>
  <c r="H118" i="7"/>
  <c r="AE136" i="7"/>
  <c r="L91" i="7"/>
  <c r="AZ95" i="7"/>
  <c r="BJ115" i="7"/>
  <c r="D77" i="7"/>
  <c r="BM93" i="7"/>
  <c r="AF78" i="7"/>
  <c r="AP89" i="7"/>
  <c r="BH80" i="7"/>
  <c r="B128" i="7"/>
  <c r="D81" i="7"/>
  <c r="Q118" i="7"/>
  <c r="AU87" i="7"/>
  <c r="BF98" i="7"/>
  <c r="B80" i="7"/>
  <c r="J85" i="7"/>
  <c r="U84" i="7"/>
  <c r="AO88" i="7"/>
  <c r="E108" i="7"/>
  <c r="AQ77" i="7"/>
  <c r="AC115" i="7"/>
  <c r="BC85" i="7"/>
  <c r="G107" i="7"/>
  <c r="C118" i="7"/>
  <c r="BM87" i="7"/>
  <c r="U112" i="7"/>
  <c r="R112" i="7"/>
  <c r="BL83" i="7"/>
  <c r="AY113" i="7"/>
  <c r="AG133" i="7"/>
  <c r="X75" i="7"/>
  <c r="AG102" i="7"/>
  <c r="B95" i="7"/>
  <c r="AF100" i="7"/>
  <c r="M86" i="7"/>
  <c r="AP84" i="7"/>
  <c r="BA98" i="7"/>
  <c r="J118" i="7"/>
  <c r="BE138" i="7"/>
  <c r="AB101" i="7"/>
  <c r="E111" i="7"/>
  <c r="AL122" i="7"/>
  <c r="Z78" i="7"/>
  <c r="BN88" i="7"/>
  <c r="S87" i="7"/>
  <c r="U94" i="7"/>
  <c r="N109" i="7"/>
  <c r="BH122" i="7"/>
  <c r="BC118" i="7"/>
  <c r="AE88" i="7"/>
  <c r="BN85" i="7"/>
  <c r="BA76" i="7"/>
  <c r="F94" i="7"/>
  <c r="BH92" i="7"/>
  <c r="BF110" i="7"/>
  <c r="P124" i="7"/>
  <c r="BK109" i="7"/>
  <c r="AL75" i="7"/>
  <c r="S93" i="7"/>
  <c r="BF78" i="7"/>
  <c r="BF74" i="7"/>
  <c r="BF108" i="7"/>
  <c r="W90" i="7"/>
  <c r="AB93" i="7"/>
  <c r="AI79" i="7"/>
  <c r="AB94" i="7"/>
  <c r="AT96" i="7"/>
  <c r="S111" i="7"/>
  <c r="AN124" i="7"/>
  <c r="AK99" i="7"/>
  <c r="C76" i="7"/>
  <c r="AM102" i="7"/>
  <c r="E92" i="7"/>
  <c r="AQ93" i="7"/>
  <c r="AN109" i="7"/>
  <c r="AP125" i="7"/>
  <c r="K137" i="7"/>
  <c r="Q109" i="7"/>
  <c r="R89" i="7"/>
  <c r="D116" i="7"/>
  <c r="BL95" i="7"/>
  <c r="M98" i="7"/>
  <c r="P119" i="7"/>
  <c r="B133" i="7"/>
  <c r="BA84" i="7"/>
  <c r="K105" i="7"/>
  <c r="AT78" i="7"/>
  <c r="AX114" i="7"/>
  <c r="O91" i="7"/>
  <c r="V110" i="7"/>
  <c r="K104" i="7"/>
  <c r="E93" i="7"/>
  <c r="AS97" i="7"/>
  <c r="AN117" i="7"/>
  <c r="AU131" i="7"/>
  <c r="H101" i="7"/>
  <c r="I126" i="7"/>
  <c r="AI115" i="7"/>
  <c r="AS99" i="7"/>
  <c r="U105" i="7"/>
  <c r="BI84" i="7"/>
  <c r="AA105" i="7"/>
  <c r="BD90" i="7"/>
  <c r="BG114" i="7"/>
  <c r="I83" i="7"/>
  <c r="AS103" i="7"/>
  <c r="T86" i="7"/>
  <c r="V104" i="7"/>
  <c r="AK87" i="7"/>
  <c r="BC86" i="7"/>
  <c r="AU104" i="7"/>
  <c r="AW117" i="7"/>
  <c r="S129" i="7"/>
  <c r="AC77" i="7"/>
  <c r="S112" i="7"/>
  <c r="AP73" i="7"/>
  <c r="U111" i="7"/>
  <c r="BD125" i="7"/>
  <c r="AL110" i="7"/>
  <c r="AK105" i="7"/>
  <c r="AF77" i="7"/>
  <c r="BO83" i="7"/>
  <c r="E94" i="7"/>
  <c r="AE91" i="7"/>
  <c r="AD110" i="7"/>
  <c r="R127" i="7"/>
  <c r="AR100" i="7"/>
  <c r="AS74" i="7"/>
  <c r="V101" i="7"/>
  <c r="AB77" i="7"/>
  <c r="BK76" i="7"/>
  <c r="AJ101" i="7"/>
  <c r="BC114" i="7"/>
  <c r="AN126" i="7"/>
  <c r="C137" i="7"/>
  <c r="N107" i="7"/>
  <c r="T123" i="7"/>
  <c r="AF106" i="7"/>
  <c r="AS122" i="7"/>
  <c r="K78" i="7"/>
  <c r="AE132" i="7"/>
  <c r="J80" i="7"/>
  <c r="AZ90" i="7"/>
  <c r="BG78" i="7"/>
  <c r="BI122" i="7"/>
  <c r="AP87" i="7"/>
  <c r="AH116" i="7"/>
  <c r="C89" i="7"/>
  <c r="BE135" i="7"/>
  <c r="AM79" i="7"/>
  <c r="AL86" i="7"/>
  <c r="AW86" i="7"/>
  <c r="T88" i="7"/>
  <c r="Y110" i="7"/>
  <c r="W86" i="7"/>
  <c r="X124" i="7"/>
  <c r="AC91" i="7"/>
  <c r="AC108" i="7"/>
  <c r="AR82" i="7"/>
  <c r="M75" i="7"/>
  <c r="AI113" i="7"/>
  <c r="BH81" i="7"/>
  <c r="C87" i="7"/>
  <c r="U116" i="7"/>
  <c r="U73" i="7"/>
  <c r="K79" i="7"/>
  <c r="BC103" i="7"/>
  <c r="AD90" i="7"/>
  <c r="BL102" i="7"/>
  <c r="Y89" i="7"/>
  <c r="AB99" i="7"/>
  <c r="F100" i="7"/>
  <c r="Q119" i="7"/>
  <c r="BI103" i="7"/>
  <c r="AD103" i="7"/>
  <c r="H113" i="7"/>
  <c r="BM129" i="7"/>
  <c r="BH137" i="7"/>
  <c r="L92" i="7"/>
  <c r="AE93" i="7"/>
  <c r="BG95" i="7"/>
  <c r="AV110" i="7"/>
  <c r="H124" i="7"/>
  <c r="AZ74" i="7"/>
  <c r="AW93" i="7"/>
  <c r="V89" i="7"/>
  <c r="BE83" i="7"/>
  <c r="BD95" i="7"/>
  <c r="AF94" i="7"/>
  <c r="Z112" i="7"/>
  <c r="AD125" i="7"/>
  <c r="H76" i="7"/>
  <c r="L83" i="7"/>
  <c r="D96" i="7"/>
  <c r="AF85" i="7"/>
  <c r="BJ78" i="7"/>
  <c r="AF76" i="7"/>
  <c r="U95" i="7"/>
  <c r="M96" i="7"/>
  <c r="BM85" i="7"/>
  <c r="J96" i="7"/>
  <c r="R98" i="7"/>
  <c r="AR112" i="7"/>
  <c r="BB125" i="7"/>
  <c r="BM100" i="7"/>
  <c r="AQ81" i="7"/>
  <c r="BO103" i="7"/>
  <c r="V94" i="7"/>
  <c r="BJ95" i="7"/>
  <c r="C111" i="7"/>
  <c r="BF126" i="7"/>
  <c r="Q138" i="7"/>
  <c r="AI111" i="7"/>
  <c r="BH93" i="7"/>
  <c r="AO117" i="7"/>
  <c r="X99" i="7"/>
  <c r="Q101" i="7"/>
  <c r="AS120" i="7"/>
  <c r="S134" i="7"/>
  <c r="AT80" i="7"/>
  <c r="Q110" i="7"/>
  <c r="AM85" i="7"/>
  <c r="N117" i="7"/>
  <c r="S94" i="7"/>
  <c r="BH111" i="7"/>
  <c r="BI105" i="7"/>
  <c r="BE95" i="7"/>
  <c r="AP99" i="7"/>
  <c r="BM118" i="7"/>
  <c r="BI132" i="7"/>
  <c r="AQ103" i="7"/>
  <c r="AA84" i="7"/>
  <c r="S117" i="7"/>
  <c r="AE102" i="7"/>
  <c r="BE107" i="7"/>
  <c r="BG80" i="7"/>
  <c r="AG110" i="7"/>
  <c r="AS93" i="7"/>
  <c r="V117" i="7"/>
  <c r="AR88" i="7"/>
  <c r="AL105" i="7"/>
  <c r="BO89" i="7"/>
  <c r="E106" i="7"/>
  <c r="BA90" i="7"/>
  <c r="AL90" i="7"/>
  <c r="S106" i="7"/>
  <c r="H119" i="7"/>
  <c r="AO130" i="7"/>
  <c r="AN87" i="7"/>
  <c r="AB114" i="7"/>
  <c r="Q85" i="7"/>
  <c r="BH113" i="7"/>
  <c r="AF82" i="7"/>
  <c r="Y113" i="7"/>
  <c r="X108" i="7"/>
  <c r="Z77" i="7"/>
  <c r="AQ90" i="7"/>
  <c r="AM80" i="7"/>
  <c r="BO93" i="7"/>
  <c r="BK112" i="7"/>
  <c r="BJ75" i="7"/>
  <c r="P102" i="7"/>
  <c r="J82" i="7"/>
  <c r="BH102" i="7"/>
  <c r="BA83" i="7"/>
  <c r="S79" i="7"/>
  <c r="AS124" i="7"/>
  <c r="AI96" i="7"/>
  <c r="BG91" i="7"/>
  <c r="AN81" i="7"/>
  <c r="AL81" i="7"/>
  <c r="AE90" i="7"/>
  <c r="L74" i="7"/>
  <c r="AM90" i="7"/>
  <c r="AK138" i="7"/>
  <c r="AC81" i="7"/>
  <c r="AP130" i="7"/>
  <c r="M88" i="7"/>
  <c r="AK73" i="7"/>
  <c r="Q82" i="7"/>
  <c r="Z88" i="7"/>
  <c r="I119" i="7"/>
  <c r="AX78" i="7"/>
  <c r="AQ109" i="7"/>
  <c r="Q75" i="7"/>
  <c r="AJ80" i="7"/>
  <c r="BE114" i="7"/>
  <c r="AH84" i="7"/>
  <c r="AP86" i="7"/>
  <c r="AE74" i="7"/>
  <c r="O76" i="7"/>
  <c r="M87" i="7"/>
  <c r="C105" i="7"/>
  <c r="D92" i="7"/>
  <c r="AM110" i="7"/>
  <c r="AG91" i="7"/>
  <c r="AT100" i="7"/>
  <c r="Y94" i="7"/>
  <c r="Y120" i="7"/>
  <c r="BK105" i="7"/>
  <c r="AD116" i="7"/>
  <c r="AQ114" i="7"/>
  <c r="F131" i="7"/>
  <c r="AF74" i="7"/>
  <c r="BJ94" i="7"/>
  <c r="BL77" i="7"/>
  <c r="AF97" i="7"/>
  <c r="Q112" i="7"/>
  <c r="AH127" i="7"/>
  <c r="BF79" i="7"/>
  <c r="Q73" i="7"/>
  <c r="BN97" i="7"/>
  <c r="B89" i="7"/>
  <c r="AK74" i="7"/>
  <c r="Y99" i="7"/>
  <c r="AZ113" i="7"/>
  <c r="AJ126" i="7"/>
  <c r="M82" i="7"/>
  <c r="D73" i="7"/>
  <c r="BE98" i="7"/>
  <c r="BJ96" i="7"/>
  <c r="V76" i="7"/>
  <c r="AD81" i="7"/>
  <c r="R73" i="7"/>
  <c r="BM98" i="7"/>
  <c r="AC90" i="7"/>
  <c r="AS76" i="7"/>
  <c r="AQ99" i="7"/>
  <c r="D114" i="7"/>
  <c r="S75" i="7"/>
  <c r="AA102" i="7"/>
  <c r="BF85" i="7"/>
  <c r="AD108" i="7"/>
  <c r="AM96" i="7"/>
  <c r="BF97" i="7"/>
  <c r="U115" i="7"/>
  <c r="R128" i="7"/>
  <c r="I76" i="7"/>
  <c r="H117" i="7"/>
  <c r="D98" i="7"/>
  <c r="M119" i="7"/>
  <c r="AH106" i="7"/>
  <c r="AK103" i="7"/>
  <c r="G122" i="7"/>
  <c r="K138" i="7"/>
  <c r="AQ92" i="7"/>
  <c r="W115" i="7"/>
  <c r="AW95" i="7"/>
  <c r="BH118" i="7"/>
  <c r="BB96" i="7"/>
  <c r="AC85" i="7"/>
  <c r="AG107" i="7"/>
  <c r="BO97" i="7"/>
  <c r="AJ104" i="7"/>
  <c r="AH120" i="7"/>
  <c r="Q134" i="7"/>
  <c r="AZ111" i="7"/>
  <c r="Y91" i="7"/>
  <c r="BF118" i="7"/>
  <c r="T110" i="7"/>
  <c r="AP110" i="7"/>
  <c r="AY92" i="7"/>
  <c r="BO91" i="7"/>
  <c r="O96" i="7"/>
  <c r="Z119" i="7"/>
  <c r="BM91" i="7"/>
  <c r="K107" i="7"/>
  <c r="AZ92" i="7"/>
  <c r="AQ107" i="7"/>
  <c r="V93" i="7"/>
  <c r="G93" i="7"/>
  <c r="BF107" i="7"/>
  <c r="AZ120" i="7"/>
  <c r="BC131" i="7"/>
  <c r="BF93" i="7"/>
  <c r="O116" i="7"/>
  <c r="Z92" i="7"/>
  <c r="AT115" i="7"/>
  <c r="AA90" i="7"/>
  <c r="Y115" i="7"/>
  <c r="BH110" i="7"/>
  <c r="U88" i="7"/>
  <c r="AE96" i="7"/>
  <c r="BB88" i="7"/>
  <c r="BD96" i="7"/>
  <c r="T115" i="7"/>
  <c r="AS83" i="7"/>
  <c r="AJ138" i="7"/>
  <c r="E83" i="7"/>
  <c r="AD113" i="7"/>
  <c r="AC73" i="7"/>
  <c r="Y102" i="7"/>
  <c r="L84" i="7"/>
  <c r="AZ82" i="7"/>
  <c r="BA79" i="7"/>
  <c r="AH75" i="7"/>
  <c r="AS95" i="7"/>
  <c r="BD76" i="7"/>
  <c r="AD83" i="7"/>
  <c r="K121" i="7"/>
  <c r="L88" i="7"/>
  <c r="AE75" i="7"/>
  <c r="BK84" i="7"/>
  <c r="BI99" i="7"/>
  <c r="AZ136" i="7"/>
  <c r="J88" i="7"/>
  <c r="AK80" i="7"/>
  <c r="B78" i="7"/>
  <c r="AP82" i="7"/>
  <c r="Z91" i="7"/>
  <c r="BE75" i="7"/>
  <c r="O88" i="7"/>
  <c r="H93" i="7"/>
  <c r="I79" i="7"/>
  <c r="AZ88" i="7"/>
  <c r="BG113" i="7"/>
  <c r="BJ93" i="7"/>
  <c r="F113" i="7"/>
  <c r="AL102" i="7"/>
  <c r="BK101" i="7"/>
  <c r="AB96" i="7"/>
  <c r="I128" i="7"/>
  <c r="BM109" i="7"/>
  <c r="AY117" i="7"/>
  <c r="B103" i="7"/>
  <c r="N132" i="7"/>
  <c r="T80" i="7"/>
  <c r="AO110" i="7"/>
  <c r="T75" i="7"/>
  <c r="F99" i="7"/>
  <c r="AP113" i="7"/>
  <c r="O73" i="7"/>
  <c r="AU74" i="7"/>
  <c r="C81" i="7"/>
  <c r="AS100" i="7"/>
  <c r="AR92" i="7"/>
  <c r="AN78" i="7"/>
  <c r="AX100" i="7"/>
  <c r="K115" i="7"/>
  <c r="AX127" i="7"/>
  <c r="S76" i="7"/>
  <c r="AQ80" i="7"/>
  <c r="S101" i="7"/>
  <c r="BI79" i="7"/>
  <c r="D80" i="7"/>
  <c r="AQ76" i="7"/>
  <c r="G81" i="7"/>
  <c r="AQ101" i="7"/>
  <c r="AY93" i="7"/>
  <c r="Z81" i="7"/>
  <c r="L101" i="7"/>
  <c r="AL115" i="7"/>
  <c r="BO80" i="7"/>
  <c r="BN103" i="7"/>
  <c r="Z89" i="7"/>
  <c r="BE109" i="7"/>
  <c r="V98" i="7"/>
  <c r="AF99" i="7"/>
  <c r="AW116" i="7"/>
  <c r="AA129" i="7"/>
  <c r="BK85" i="7"/>
  <c r="AI118" i="7"/>
  <c r="BJ100" i="7"/>
  <c r="AO120" i="7"/>
  <c r="BB108" i="7"/>
  <c r="BC105" i="7"/>
  <c r="AI123" i="7"/>
  <c r="H79" i="7"/>
  <c r="X79" i="7"/>
  <c r="AM82" i="7"/>
  <c r="AJ98" i="7"/>
  <c r="F121" i="7"/>
  <c r="AN98" i="7"/>
  <c r="AV89" i="7"/>
  <c r="F109" i="7"/>
  <c r="AN99" i="7"/>
  <c r="H106" i="7"/>
  <c r="B122" i="7"/>
  <c r="AE135" i="7"/>
  <c r="P114" i="7"/>
  <c r="BL96" i="7"/>
  <c r="AY120" i="7"/>
  <c r="BD112" i="7"/>
  <c r="AC113" i="7"/>
  <c r="AL79" i="7"/>
  <c r="BG76" i="7"/>
  <c r="AS98" i="7"/>
  <c r="N121" i="7"/>
  <c r="AH94" i="7"/>
  <c r="AW108" i="7"/>
  <c r="T95" i="7"/>
  <c r="P109" i="7"/>
  <c r="G96" i="7"/>
  <c r="AQ95" i="7"/>
  <c r="AZ109" i="7"/>
  <c r="K122" i="7"/>
  <c r="K133" i="7"/>
  <c r="W98" i="7"/>
  <c r="BH117" i="7"/>
  <c r="W97" i="7"/>
  <c r="AC117" i="7"/>
  <c r="AG96" i="7"/>
  <c r="BB83" i="7"/>
  <c r="AN113" i="7"/>
  <c r="AB85" i="7"/>
  <c r="AY101" i="7"/>
  <c r="BC92" i="7"/>
  <c r="BK98" i="7"/>
  <c r="AD117" i="7"/>
  <c r="AS89" i="7"/>
  <c r="AV105" i="7"/>
  <c r="Q90" i="7"/>
  <c r="O106" i="7"/>
  <c r="B91" i="7"/>
  <c r="BG103" i="7"/>
  <c r="BI88" i="7"/>
  <c r="Y76" i="7"/>
  <c r="I75" i="7"/>
  <c r="U104" i="7"/>
  <c r="BH76" i="7"/>
  <c r="BO73" i="7"/>
  <c r="AU81" i="7"/>
  <c r="AD78" i="7"/>
  <c r="AY96" i="7"/>
  <c r="AN80" i="7"/>
  <c r="BG96" i="7"/>
  <c r="L114" i="7"/>
  <c r="AL89" i="7"/>
  <c r="AX91" i="7"/>
  <c r="Q87" i="7"/>
  <c r="B101" i="7"/>
  <c r="BG77" i="7"/>
  <c r="AY73" i="7"/>
  <c r="P89" i="7"/>
  <c r="AS88" i="7"/>
  <c r="AW84" i="7"/>
  <c r="BL92" i="7"/>
  <c r="BJ83" i="7"/>
  <c r="BK89" i="7"/>
  <c r="BF94" i="7"/>
  <c r="O87" i="7"/>
  <c r="AW76" i="7"/>
  <c r="O115" i="7"/>
  <c r="S84" i="7"/>
  <c r="AE114" i="7"/>
  <c r="BD103" i="7"/>
  <c r="BB110" i="7"/>
  <c r="C98" i="7"/>
  <c r="K129" i="7"/>
  <c r="V119" i="7"/>
  <c r="C119" i="7"/>
  <c r="E105" i="7"/>
  <c r="BD138" i="7"/>
  <c r="AQ85" i="7"/>
  <c r="K113" i="7"/>
  <c r="W79" i="7"/>
  <c r="AO100" i="7"/>
  <c r="BB117" i="7"/>
  <c r="U79" i="7"/>
  <c r="AR80" i="7"/>
  <c r="AZ85" i="7"/>
  <c r="G103" i="7"/>
  <c r="BC95" i="7"/>
  <c r="AA83" i="7"/>
  <c r="S102" i="7"/>
  <c r="AT116" i="7"/>
  <c r="AO84" i="7"/>
  <c r="G82" i="7"/>
  <c r="Y87" i="7"/>
  <c r="BI108" i="7"/>
  <c r="BO84" i="7"/>
  <c r="AN84" i="7"/>
  <c r="P82" i="7"/>
  <c r="AI87" i="7"/>
  <c r="E104" i="7"/>
  <c r="P85" i="7"/>
  <c r="BD84" i="7"/>
  <c r="AK102" i="7"/>
  <c r="AP119" i="7"/>
  <c r="Z85" i="7"/>
  <c r="AB105" i="7"/>
  <c r="W96" i="7"/>
  <c r="T111" i="7"/>
  <c r="AX99" i="7"/>
  <c r="AX103" i="7"/>
  <c r="BO117" i="7"/>
  <c r="AG130" i="7"/>
  <c r="BJ99" i="7"/>
  <c r="BL119" i="7"/>
  <c r="L103" i="7"/>
  <c r="BG124" i="7"/>
  <c r="V111" i="7"/>
  <c r="F108" i="7"/>
  <c r="BK127" i="7"/>
  <c r="BK92" i="7"/>
  <c r="BF76" i="7"/>
  <c r="AH86" i="7"/>
  <c r="BG100" i="7"/>
  <c r="J123" i="7"/>
  <c r="AH103" i="7"/>
  <c r="R92" i="7"/>
  <c r="AR110" i="7"/>
  <c r="AC86" i="7"/>
  <c r="AV107" i="7"/>
  <c r="AB123" i="7"/>
  <c r="AY74" i="7"/>
  <c r="C116" i="7"/>
  <c r="S100" i="7"/>
  <c r="AS125" i="7"/>
  <c r="BO114" i="7"/>
  <c r="P115" i="7"/>
  <c r="AZ81" i="7"/>
  <c r="AY86" i="7"/>
  <c r="U101" i="7"/>
  <c r="AH123" i="7"/>
  <c r="D97" i="7"/>
  <c r="AF110" i="7"/>
  <c r="AN97" i="7"/>
  <c r="BL110" i="7"/>
  <c r="L98" i="7"/>
  <c r="N98" i="7"/>
  <c r="X111" i="7"/>
  <c r="AK123" i="7"/>
  <c r="Y134" i="7"/>
  <c r="Z101" i="7"/>
  <c r="AQ119" i="7"/>
  <c r="AN100" i="7"/>
  <c r="W119" i="7"/>
  <c r="BN99" i="7"/>
  <c r="AM91" i="7"/>
  <c r="AA115" i="7"/>
  <c r="C96" i="7"/>
  <c r="AW106" i="7"/>
  <c r="AF96" i="7"/>
  <c r="AD101" i="7"/>
  <c r="AX119" i="7"/>
  <c r="P92" i="7"/>
  <c r="K89" i="7"/>
  <c r="X78" i="7"/>
  <c r="X95" i="7"/>
  <c r="Q97" i="7"/>
  <c r="BG137" i="7"/>
  <c r="BB107" i="7"/>
  <c r="AC106" i="7"/>
  <c r="AB84" i="7"/>
  <c r="AJ112" i="7"/>
  <c r="O124" i="7"/>
  <c r="P77" i="7"/>
  <c r="Y130" i="7"/>
  <c r="AN77" i="7"/>
  <c r="BK102" i="7"/>
  <c r="C108" i="7"/>
  <c r="E99" i="7"/>
  <c r="BA107" i="7"/>
  <c r="Z93" i="7"/>
  <c r="BF117" i="7"/>
  <c r="AU135" i="7"/>
  <c r="AM114" i="7"/>
  <c r="BO108" i="7"/>
  <c r="BJ91" i="7"/>
  <c r="AA100" i="7"/>
  <c r="AR77" i="7"/>
  <c r="BG101" i="7"/>
  <c r="H88" i="7"/>
  <c r="X113" i="7"/>
  <c r="BJ89" i="7"/>
  <c r="Y112" i="7"/>
  <c r="D103" i="7"/>
  <c r="S91" i="7"/>
  <c r="H100" i="7"/>
  <c r="AM116" i="7"/>
  <c r="BE130" i="7"/>
  <c r="BJ104" i="7"/>
  <c r="B125" i="7"/>
  <c r="R114" i="7"/>
  <c r="AF103" i="7"/>
  <c r="AZ103" i="7"/>
  <c r="U124" i="7"/>
  <c r="BL100" i="7"/>
  <c r="AO128" i="7"/>
  <c r="N96" i="7"/>
  <c r="Q129" i="7"/>
  <c r="N83" i="7"/>
  <c r="U77" i="7"/>
  <c r="B96" i="7"/>
  <c r="AT103" i="7"/>
  <c r="U97" i="7"/>
  <c r="BG133" i="7"/>
  <c r="AH125" i="7"/>
  <c r="AV98" i="7"/>
  <c r="D123" i="7"/>
  <c r="BI89" i="7"/>
  <c r="AY128" i="7"/>
  <c r="AT112" i="7"/>
  <c r="Y133" i="7"/>
  <c r="Z114" i="7"/>
  <c r="AR134" i="7"/>
  <c r="AE116" i="7"/>
  <c r="W83" i="7"/>
  <c r="AM95" i="7"/>
  <c r="AK96" i="7"/>
  <c r="BE103" i="7"/>
  <c r="P104" i="7"/>
  <c r="I134" i="7"/>
  <c r="BM125" i="7"/>
  <c r="E110" i="7"/>
  <c r="N123" i="7"/>
  <c r="BL90" i="7"/>
  <c r="AY131" i="7"/>
  <c r="N113" i="7"/>
  <c r="AJ133" i="7"/>
  <c r="O119" i="7"/>
  <c r="BB134" i="7"/>
  <c r="AV116" i="7"/>
  <c r="AG84" i="7"/>
  <c r="L97" i="7"/>
  <c r="AY97" i="7"/>
  <c r="AO111" i="7"/>
  <c r="W105" i="7"/>
  <c r="AW134" i="7"/>
  <c r="BI101" i="7"/>
  <c r="BE111" i="7"/>
  <c r="X123" i="7"/>
  <c r="D107" i="7"/>
  <c r="BJ131" i="7"/>
  <c r="BM113" i="7"/>
  <c r="AJ136" i="7"/>
  <c r="AE119" i="7"/>
  <c r="BN134" i="7"/>
  <c r="C121" i="7"/>
  <c r="AW102" i="7"/>
  <c r="N90" i="7"/>
  <c r="AZ84" i="7"/>
  <c r="AW138" i="7"/>
  <c r="C125" i="7"/>
  <c r="AO132" i="7"/>
  <c r="AR130" i="7"/>
  <c r="R126" i="7"/>
  <c r="C124" i="7"/>
  <c r="BF111" i="7"/>
  <c r="AG135" i="7"/>
  <c r="P135" i="7"/>
  <c r="AU96" i="7"/>
  <c r="M107" i="7"/>
  <c r="O110" i="7"/>
  <c r="AE130" i="7"/>
  <c r="AB87" i="7"/>
  <c r="AD98" i="7"/>
  <c r="AC99" i="7"/>
  <c r="W135" i="7"/>
  <c r="AV97" i="7"/>
  <c r="BD129" i="7"/>
  <c r="O128" i="7"/>
  <c r="AZ128" i="7"/>
  <c r="AW120" i="7"/>
  <c r="T105" i="7"/>
  <c r="BJ136" i="7"/>
  <c r="BO132" i="7"/>
  <c r="BD105" i="7"/>
  <c r="AZ138" i="7"/>
  <c r="AU116" i="7"/>
  <c r="AJ135" i="7"/>
  <c r="Q88" i="7"/>
  <c r="AA99" i="7"/>
  <c r="AJ100" i="7"/>
  <c r="Q100" i="7"/>
  <c r="E98" i="7"/>
  <c r="H130" i="7"/>
  <c r="AH133" i="7"/>
  <c r="AM129" i="7"/>
  <c r="AY121" i="7"/>
  <c r="AI117" i="7"/>
  <c r="F137" i="7"/>
  <c r="W133" i="7"/>
  <c r="BH134" i="7"/>
  <c r="T137" i="7"/>
  <c r="BM115" i="7"/>
  <c r="B121" i="7"/>
  <c r="AH88" i="7"/>
  <c r="AV99" i="7"/>
  <c r="BD98" i="7"/>
  <c r="BI102" i="7"/>
  <c r="AC101" i="7"/>
  <c r="F136" i="7"/>
  <c r="BC133" i="7"/>
  <c r="AW129" i="7"/>
  <c r="AW127" i="7"/>
  <c r="AZ117" i="7"/>
  <c r="P137" i="7"/>
  <c r="AV138" i="7"/>
  <c r="AF133" i="7"/>
  <c r="R136" i="7"/>
  <c r="Q96" i="7"/>
  <c r="BD119" i="7"/>
  <c r="AE113" i="7"/>
  <c r="AU88" i="7"/>
  <c r="AH113" i="7"/>
  <c r="BG122" i="7"/>
  <c r="BD136" i="7"/>
  <c r="N112" i="7"/>
  <c r="F122" i="7"/>
  <c r="AY126" i="7"/>
  <c r="BJ110" i="7"/>
  <c r="S127" i="7"/>
  <c r="AT94" i="7"/>
  <c r="AR93" i="7"/>
  <c r="AR79" i="7"/>
  <c r="AG136" i="7"/>
  <c r="AN132" i="7"/>
  <c r="AJ132" i="7"/>
  <c r="B114" i="7"/>
  <c r="BO112" i="7"/>
  <c r="U113" i="7"/>
  <c r="AG124" i="7"/>
  <c r="AQ116" i="7"/>
  <c r="BH98" i="7"/>
  <c r="AC109" i="7"/>
  <c r="C128" i="7"/>
  <c r="BI119" i="7"/>
  <c r="N115" i="7"/>
  <c r="BI114" i="7"/>
  <c r="AM126" i="7"/>
  <c r="BI75" i="7"/>
  <c r="Z73" i="7"/>
  <c r="E114" i="7"/>
  <c r="AS123" i="7"/>
  <c r="BN136" i="7"/>
  <c r="AW112" i="7"/>
  <c r="V122" i="7"/>
  <c r="H127" i="7"/>
  <c r="W106" i="7"/>
  <c r="BI126" i="7"/>
  <c r="I77" i="7"/>
  <c r="N88" i="7"/>
  <c r="M89" i="7"/>
  <c r="AW125" i="7"/>
  <c r="F116" i="7"/>
  <c r="X138" i="7"/>
  <c r="BN135" i="7"/>
  <c r="G99" i="7"/>
  <c r="BC96" i="7"/>
  <c r="AY137" i="7"/>
  <c r="K112" i="7"/>
  <c r="AV129" i="7"/>
  <c r="I105" i="7"/>
  <c r="T119" i="7"/>
  <c r="BJ122" i="7"/>
  <c r="AR136" i="7"/>
  <c r="AF112" i="7"/>
  <c r="Y135" i="7"/>
  <c r="BJ132" i="7"/>
  <c r="BD124" i="7"/>
  <c r="BH103" i="7"/>
  <c r="BI86" i="7"/>
  <c r="D108" i="7"/>
  <c r="AB132" i="7"/>
  <c r="P101" i="7"/>
  <c r="BL125" i="7"/>
  <c r="K130" i="7"/>
  <c r="AS105" i="7"/>
  <c r="P117" i="7"/>
  <c r="L118" i="7"/>
  <c r="BO98" i="7"/>
  <c r="D110" i="7"/>
  <c r="O136" i="7"/>
  <c r="K117" i="7"/>
  <c r="BI127" i="7"/>
  <c r="V132" i="7"/>
  <c r="AT138" i="7"/>
  <c r="T132" i="7"/>
  <c r="AU93" i="7"/>
  <c r="AH132" i="7"/>
  <c r="AV130" i="7"/>
  <c r="BO130" i="7"/>
  <c r="Y128" i="7"/>
  <c r="AA131" i="7"/>
  <c r="U93" i="7"/>
  <c r="F97" i="7"/>
  <c r="P118" i="7"/>
  <c r="G132" i="7"/>
  <c r="BC121" i="7"/>
  <c r="AF138" i="7"/>
  <c r="BD121" i="7"/>
  <c r="AC87" i="7"/>
  <c r="BE129" i="7"/>
  <c r="BB103" i="7"/>
  <c r="M78" i="7"/>
  <c r="AJ108" i="7"/>
  <c r="BA131" i="7"/>
  <c r="AY104" i="7"/>
  <c r="W110" i="7"/>
  <c r="AR99" i="7"/>
  <c r="BD126" i="7"/>
  <c r="AE134" i="7"/>
  <c r="P136" i="7"/>
  <c r="AK120" i="7"/>
  <c r="M105" i="7"/>
  <c r="AT86" i="7"/>
  <c r="AA73" i="7"/>
  <c r="D90" i="7"/>
  <c r="AW115" i="7"/>
  <c r="BK118" i="7"/>
  <c r="Q123" i="7"/>
  <c r="BE124" i="7"/>
  <c r="BK110" i="7"/>
  <c r="BB111" i="7"/>
  <c r="V112" i="7"/>
  <c r="BB130" i="7"/>
  <c r="AZ134" i="7"/>
  <c r="AY79" i="7"/>
  <c r="AB90" i="7"/>
  <c r="AN83" i="7"/>
  <c r="L102" i="7"/>
  <c r="AO94" i="7"/>
  <c r="R135" i="7"/>
  <c r="H129" i="7"/>
  <c r="K100" i="7"/>
  <c r="AV126" i="7"/>
  <c r="BB80" i="7"/>
  <c r="R74" i="7"/>
  <c r="BI96" i="7"/>
  <c r="S114" i="7"/>
  <c r="BD133" i="7"/>
  <c r="AM123" i="7"/>
  <c r="F138" i="7"/>
  <c r="AN118" i="7"/>
  <c r="BL136" i="7"/>
  <c r="AJ109" i="7"/>
  <c r="R117" i="7"/>
  <c r="C97" i="7"/>
  <c r="B134" i="7"/>
  <c r="BE123" i="7"/>
  <c r="AP133" i="7"/>
  <c r="AU82" i="7"/>
  <c r="BM108" i="7"/>
  <c r="AN107" i="7"/>
  <c r="R138" i="7"/>
  <c r="BB131" i="7"/>
  <c r="AG111" i="7"/>
  <c r="D84" i="7"/>
  <c r="AX128" i="7"/>
  <c r="BJ76" i="7"/>
  <c r="AD104" i="7"/>
  <c r="L112" i="7"/>
  <c r="Z131" i="7"/>
  <c r="Y137" i="7"/>
  <c r="M133" i="7"/>
  <c r="BG129" i="7"/>
  <c r="R118" i="7"/>
  <c r="J132" i="7"/>
  <c r="BE81" i="7"/>
  <c r="BI134" i="7"/>
  <c r="AB127" i="7"/>
  <c r="AX133" i="7"/>
  <c r="BE126" i="7"/>
  <c r="BH94" i="7"/>
  <c r="AT134" i="7"/>
  <c r="AF126" i="7"/>
  <c r="AD137" i="7"/>
  <c r="H102" i="7"/>
  <c r="AK117" i="7"/>
  <c r="D99" i="7"/>
  <c r="BJ130" i="7"/>
  <c r="AQ88" i="7"/>
  <c r="BE118" i="7"/>
  <c r="AV79" i="7"/>
  <c r="G130" i="7"/>
  <c r="BG130" i="7"/>
  <c r="AG128" i="7"/>
  <c r="D106" i="7"/>
  <c r="AX101" i="7"/>
  <c r="P95" i="7"/>
  <c r="AH136" i="7"/>
  <c r="AV128" i="7"/>
  <c r="E73" i="7"/>
  <c r="AL83" i="7"/>
  <c r="Z138" i="7"/>
  <c r="BE92" i="7"/>
  <c r="B99" i="7"/>
  <c r="AT121" i="7"/>
  <c r="B123" i="7"/>
  <c r="BD83" i="7"/>
  <c r="J101" i="7"/>
  <c r="AC114" i="7"/>
  <c r="AJ107" i="7"/>
  <c r="B98" i="7"/>
  <c r="BB112" i="7"/>
  <c r="Q116" i="7"/>
  <c r="AZ102" i="7"/>
  <c r="J104" i="7"/>
  <c r="BF112" i="7"/>
  <c r="BL99" i="7"/>
  <c r="AJ119" i="7"/>
  <c r="Y138" i="7"/>
  <c r="Z116" i="7"/>
  <c r="BA111" i="7"/>
  <c r="P103" i="7"/>
  <c r="T103" i="7"/>
  <c r="AC88" i="7"/>
  <c r="AB73" i="7"/>
  <c r="AZ91" i="7"/>
  <c r="BE115" i="7"/>
  <c r="AM97" i="7"/>
  <c r="AU76" i="7"/>
  <c r="BB104" i="7"/>
  <c r="AQ98" i="7"/>
  <c r="AT101" i="7"/>
  <c r="S118" i="7"/>
  <c r="AO134" i="7"/>
  <c r="AD107" i="7"/>
  <c r="W76" i="7"/>
  <c r="AR119" i="7"/>
  <c r="BN105" i="7"/>
  <c r="V106" i="7"/>
  <c r="J129" i="7"/>
  <c r="C106" i="7"/>
  <c r="BF129" i="7"/>
  <c r="AR109" i="7"/>
  <c r="AI130" i="7"/>
  <c r="BK90" i="7"/>
  <c r="N100" i="7"/>
  <c r="BF99" i="7"/>
  <c r="L107" i="7"/>
  <c r="Z107" i="7"/>
  <c r="AC136" i="7"/>
  <c r="Z90" i="7"/>
  <c r="AD114" i="7"/>
  <c r="AZ124" i="7"/>
  <c r="AT99" i="7"/>
  <c r="D133" i="7"/>
  <c r="B116" i="7"/>
  <c r="BA134" i="7"/>
  <c r="BO120" i="7"/>
  <c r="BI135" i="7"/>
  <c r="AH118" i="7"/>
  <c r="F80" i="7"/>
  <c r="W100" i="7"/>
  <c r="L100" i="7"/>
  <c r="AT74" i="7"/>
  <c r="AK107" i="7"/>
  <c r="AK136" i="7"/>
  <c r="O105" i="7"/>
  <c r="BB114" i="7"/>
  <c r="R125" i="7"/>
  <c r="AP111" i="7"/>
  <c r="N133" i="7"/>
  <c r="AP116" i="7"/>
  <c r="BB137" i="7"/>
  <c r="R121" i="7"/>
  <c r="G136" i="7"/>
  <c r="BD122" i="7"/>
  <c r="X85" i="7"/>
  <c r="BE101" i="7"/>
  <c r="AZ107" i="7"/>
  <c r="AD79" i="7"/>
  <c r="AR108" i="7"/>
  <c r="Z95" i="7"/>
  <c r="BL106" i="7"/>
  <c r="AC75" i="7"/>
  <c r="BO128" i="7"/>
  <c r="I112" i="7"/>
  <c r="X133" i="7"/>
  <c r="AG121" i="7"/>
  <c r="BL137" i="7"/>
  <c r="AH121" i="7"/>
  <c r="F75" i="7"/>
  <c r="F123" i="7"/>
  <c r="BE79" i="7"/>
  <c r="AB108" i="7"/>
  <c r="J95" i="7"/>
  <c r="AR97" i="7"/>
  <c r="G114" i="7"/>
  <c r="BC134" i="7"/>
  <c r="AV132" i="7"/>
  <c r="O133" i="7"/>
  <c r="AQ126" i="7"/>
  <c r="K116" i="7"/>
  <c r="H83" i="7"/>
  <c r="AZ137" i="7"/>
  <c r="AC137" i="7"/>
  <c r="AY119" i="7"/>
  <c r="BB100" i="7"/>
  <c r="V123" i="7"/>
  <c r="AO89" i="7"/>
  <c r="AO104" i="7"/>
  <c r="O89" i="7"/>
  <c r="AF108" i="7"/>
  <c r="S107" i="7"/>
  <c r="AX132" i="7"/>
  <c r="AB135" i="7"/>
  <c r="U131" i="7"/>
  <c r="T124" i="7"/>
  <c r="D120" i="7"/>
  <c r="M138" i="7"/>
  <c r="AK135" i="7"/>
  <c r="AQ124" i="7"/>
  <c r="X129" i="7"/>
  <c r="BL108" i="7"/>
  <c r="AX110" i="7"/>
  <c r="BJ90" i="7"/>
  <c r="AZ104" i="7"/>
  <c r="AQ102" i="7"/>
  <c r="AV108" i="7"/>
  <c r="AI107" i="7"/>
  <c r="T138" i="7"/>
  <c r="AL135" i="7"/>
  <c r="AF131" i="7"/>
  <c r="AD129" i="7"/>
  <c r="U120" i="7"/>
  <c r="W138" i="7"/>
  <c r="AM136" i="7"/>
  <c r="S122" i="7"/>
  <c r="M128" i="7"/>
  <c r="N138" i="7"/>
  <c r="Z108" i="7"/>
  <c r="G91" i="7"/>
  <c r="O83" i="7"/>
  <c r="AN103" i="7"/>
  <c r="AI110" i="7"/>
  <c r="BC98" i="7"/>
  <c r="AC138" i="7"/>
  <c r="AW135" i="7"/>
  <c r="AU136" i="7"/>
  <c r="E130" i="7"/>
  <c r="U121" i="7"/>
  <c r="AA103" i="7"/>
  <c r="K136" i="7"/>
  <c r="X119" i="7"/>
  <c r="AS94" i="7"/>
  <c r="G137" i="7"/>
  <c r="BJ105" i="7"/>
  <c r="AB83" i="7"/>
  <c r="R102" i="7"/>
  <c r="E124" i="7"/>
  <c r="AC129" i="7"/>
  <c r="J97" i="7"/>
  <c r="BO119" i="7"/>
  <c r="AZ127" i="7"/>
  <c r="F132" i="7"/>
  <c r="AE127" i="7"/>
  <c r="AG118" i="7"/>
  <c r="AQ138" i="7"/>
  <c r="G120" i="7"/>
  <c r="P110" i="7"/>
  <c r="AL116" i="7"/>
  <c r="AF93" i="7"/>
  <c r="G101" i="7"/>
  <c r="BG131" i="7"/>
  <c r="AX108" i="7"/>
  <c r="BM103" i="7"/>
  <c r="C130" i="7"/>
  <c r="BL128" i="7"/>
  <c r="BJ114" i="7"/>
  <c r="BE105" i="7"/>
  <c r="BA117" i="7"/>
  <c r="AT136" i="7"/>
  <c r="AN127" i="7"/>
  <c r="BG123" i="7"/>
  <c r="BJ138" i="7"/>
  <c r="AA98" i="7"/>
  <c r="I99" i="7"/>
  <c r="L125" i="7"/>
  <c r="AL129" i="7"/>
  <c r="BG97" i="7"/>
  <c r="Q120" i="7"/>
  <c r="AH128" i="7"/>
  <c r="Z132" i="7"/>
  <c r="AU125" i="7"/>
  <c r="BD117" i="7"/>
  <c r="BI137" i="7"/>
  <c r="U125" i="7"/>
  <c r="K99" i="7"/>
  <c r="Y131" i="7"/>
  <c r="F128" i="7"/>
  <c r="AK126" i="7"/>
  <c r="AR132" i="7"/>
  <c r="K74" i="7"/>
  <c r="AN108" i="7"/>
  <c r="N105" i="7"/>
  <c r="M120" i="7"/>
  <c r="U134" i="7"/>
  <c r="X116" i="7"/>
  <c r="AO125" i="7"/>
  <c r="AJ129" i="7"/>
  <c r="BL111" i="7"/>
  <c r="BM88" i="7"/>
  <c r="AW131" i="7"/>
  <c r="BL109" i="7"/>
  <c r="AX93" i="7"/>
  <c r="AF115" i="7"/>
  <c r="AL109" i="7"/>
  <c r="AT119" i="7"/>
  <c r="BO136" i="7"/>
  <c r="BD114" i="7"/>
  <c r="AC131" i="7"/>
  <c r="AA87" i="7"/>
  <c r="BB115" i="7"/>
  <c r="BK108" i="7"/>
  <c r="AQ78" i="7"/>
  <c r="I109" i="7"/>
  <c r="U123" i="7"/>
  <c r="AC98" i="7"/>
  <c r="S124" i="7"/>
  <c r="BM131" i="7"/>
  <c r="BF134" i="7"/>
  <c r="BK132" i="7"/>
  <c r="AO115" i="7"/>
  <c r="AM127" i="7"/>
  <c r="N129" i="7"/>
  <c r="AJ117" i="7"/>
  <c r="BA123" i="7"/>
  <c r="AZ129" i="7"/>
  <c r="E123" i="7"/>
  <c r="V97" i="7"/>
  <c r="AG105" i="7"/>
  <c r="G112" i="7"/>
  <c r="K95" i="7"/>
  <c r="N131" i="7"/>
  <c r="AX96" i="7"/>
  <c r="BG107" i="7"/>
  <c r="BG102" i="7"/>
  <c r="AY114" i="7"/>
  <c r="Q127" i="7"/>
  <c r="AS130" i="7"/>
  <c r="M103" i="7"/>
  <c r="BM138" i="7"/>
  <c r="BC88" i="7"/>
  <c r="B105" i="7"/>
  <c r="AS118" i="7"/>
  <c r="N137" i="7"/>
  <c r="AT93" i="7"/>
  <c r="X103" i="7"/>
  <c r="BG110" i="7"/>
  <c r="AZ110" i="7"/>
  <c r="BN126" i="7"/>
  <c r="AP134" i="7"/>
  <c r="G77" i="7"/>
  <c r="X137" i="7"/>
  <c r="AL97" i="7"/>
  <c r="AV88" i="7"/>
  <c r="AR102" i="7"/>
  <c r="F93" i="7"/>
  <c r="BO115" i="7"/>
  <c r="AW123" i="7"/>
  <c r="AJ123" i="7"/>
  <c r="I125" i="7"/>
  <c r="C78" i="7"/>
  <c r="O108" i="7"/>
  <c r="AN137" i="7"/>
  <c r="AX135" i="7"/>
  <c r="AZ119" i="7"/>
  <c r="R137" i="7"/>
  <c r="AP103" i="7"/>
  <c r="BM112" i="7"/>
  <c r="Y109" i="7"/>
  <c r="I115" i="7"/>
  <c r="H135" i="7"/>
  <c r="Y127" i="7"/>
  <c r="AM86" i="7"/>
  <c r="BG98" i="7"/>
  <c r="AI99" i="7"/>
  <c r="BN74" i="7"/>
  <c r="BC108" i="7"/>
  <c r="J78" i="7"/>
  <c r="G138" i="7"/>
  <c r="AR131" i="7"/>
  <c r="AR89" i="7"/>
  <c r="AU92" i="7"/>
  <c r="L116" i="7"/>
  <c r="BC129" i="7"/>
  <c r="AH135" i="7"/>
  <c r="T94" i="7"/>
  <c r="AB117" i="7"/>
  <c r="AX97" i="7"/>
  <c r="AY138" i="7"/>
  <c r="I124" i="7"/>
  <c r="T133" i="7"/>
  <c r="Q137" i="7"/>
  <c r="F134" i="7"/>
  <c r="M113" i="7"/>
  <c r="AK134" i="7"/>
  <c r="S126" i="7"/>
  <c r="I137" i="7"/>
  <c r="U103" i="7"/>
  <c r="X87" i="7"/>
  <c r="K134" i="7"/>
  <c r="AX137" i="7"/>
  <c r="AB100" i="7"/>
  <c r="BF136" i="7"/>
  <c r="AZ135" i="7"/>
  <c r="AS111" i="7"/>
  <c r="Y124" i="7"/>
  <c r="AG113" i="7"/>
  <c r="AV104" i="7"/>
  <c r="W114" i="7"/>
  <c r="AJ131" i="7"/>
  <c r="BL135" i="7"/>
  <c r="BD132" i="7"/>
  <c r="BK119" i="7"/>
  <c r="AL136" i="7"/>
  <c r="AV135" i="7"/>
  <c r="B90" i="7"/>
  <c r="E126" i="7"/>
  <c r="AY122" i="7"/>
  <c r="AN134" i="7"/>
  <c r="K125" i="7"/>
  <c r="AK79" i="7"/>
  <c r="AI124" i="7"/>
  <c r="AO126" i="7"/>
  <c r="AM121" i="7"/>
  <c r="G125" i="7"/>
  <c r="Q80" i="7"/>
  <c r="H85" i="7"/>
  <c r="T93" i="7"/>
  <c r="BM94" i="7"/>
  <c r="AV125" i="7"/>
  <c r="J133" i="7"/>
  <c r="AS116" i="7"/>
  <c r="AR81" i="7"/>
  <c r="AB91" i="7"/>
  <c r="P88" i="7"/>
  <c r="E121" i="7"/>
  <c r="AM74" i="7"/>
  <c r="BD127" i="7"/>
  <c r="F77" i="7"/>
  <c r="U107" i="7"/>
  <c r="BJ87" i="7"/>
  <c r="S103" i="7"/>
  <c r="BI120" i="7"/>
  <c r="BB78" i="7"/>
  <c r="AJ121" i="7"/>
  <c r="F114" i="7"/>
  <c r="AZ105" i="7"/>
  <c r="F106" i="7"/>
  <c r="AK85" i="7"/>
  <c r="AF86" i="7"/>
  <c r="K94" i="7"/>
  <c r="AT117" i="7"/>
  <c r="Q99" i="7"/>
  <c r="AT82" i="7"/>
  <c r="Z106" i="7"/>
  <c r="Z100" i="7"/>
  <c r="AC103" i="7"/>
  <c r="AS119" i="7"/>
  <c r="BC135" i="7"/>
  <c r="R110" i="7"/>
  <c r="AT87" i="7"/>
  <c r="Q121" i="7"/>
  <c r="BE108" i="7"/>
  <c r="AN110" i="7"/>
  <c r="J131" i="7"/>
  <c r="AO113" i="7"/>
  <c r="AI74" i="7"/>
  <c r="AK110" i="7"/>
  <c r="C123" i="7"/>
  <c r="AU106" i="7"/>
  <c r="BK137" i="7"/>
  <c r="AR128" i="7"/>
  <c r="L87" i="7"/>
  <c r="I102" i="7"/>
  <c r="P99" i="7"/>
  <c r="C120" i="7"/>
  <c r="X82" i="7"/>
  <c r="Q84" i="7"/>
  <c r="AS92" i="7"/>
  <c r="X91" i="7"/>
  <c r="AX81" i="7"/>
  <c r="AM108" i="7"/>
  <c r="AU113" i="7"/>
  <c r="F102" i="7"/>
  <c r="I138" i="7"/>
  <c r="P75" i="7"/>
  <c r="O112" i="7"/>
  <c r="BB93" i="7"/>
  <c r="BE104" i="7"/>
  <c r="O125" i="7"/>
  <c r="N89" i="7"/>
  <c r="BF124" i="7"/>
  <c r="BG115" i="7"/>
  <c r="T108" i="7"/>
  <c r="AO108" i="7"/>
  <c r="W82" i="7"/>
  <c r="P94" i="7"/>
  <c r="BN96" i="7"/>
  <c r="BF123" i="7"/>
  <c r="BC100" i="7"/>
  <c r="F87" i="7"/>
  <c r="AD111" i="7"/>
  <c r="AP77" i="7"/>
  <c r="BO104" i="7"/>
  <c r="BL123" i="7"/>
  <c r="S137" i="7"/>
  <c r="AZ112" i="7"/>
  <c r="AS101" i="7"/>
  <c r="BM122" i="7"/>
  <c r="AL111" i="7"/>
  <c r="AY115" i="7"/>
  <c r="D132" i="7"/>
  <c r="AR114" i="7"/>
  <c r="BJ134" i="7"/>
  <c r="W116" i="7"/>
  <c r="E133" i="7"/>
  <c r="M104" i="7"/>
  <c r="AO109" i="7"/>
  <c r="AI106" i="7"/>
  <c r="AK92" i="7"/>
  <c r="C114" i="7"/>
  <c r="V91" i="7"/>
  <c r="L115" i="7"/>
  <c r="J99" i="7"/>
  <c r="AM128" i="7"/>
  <c r="K118" i="7"/>
  <c r="BG135" i="7"/>
  <c r="BM120" i="7"/>
  <c r="K90" i="7"/>
  <c r="D125" i="7"/>
  <c r="AE138" i="7"/>
  <c r="AH126" i="7"/>
  <c r="AC104" i="7"/>
  <c r="C110" i="7"/>
  <c r="V113" i="7"/>
  <c r="BA92" i="7"/>
  <c r="N114" i="7"/>
  <c r="M106" i="7"/>
  <c r="X115" i="7"/>
  <c r="AD99" i="7"/>
  <c r="W132" i="7"/>
  <c r="AA118" i="7"/>
  <c r="C136" i="7"/>
  <c r="AZ125" i="7"/>
  <c r="K91" i="7"/>
  <c r="T125" i="7"/>
  <c r="Z97" i="7"/>
  <c r="AU126" i="7"/>
  <c r="AU107" i="7"/>
  <c r="BN119" i="7"/>
  <c r="AA77" i="7"/>
  <c r="AN94" i="7"/>
  <c r="M121" i="7"/>
  <c r="AW107" i="7"/>
  <c r="AO116" i="7"/>
  <c r="BG111" i="7"/>
  <c r="AF132" i="7"/>
  <c r="AQ118" i="7"/>
  <c r="B77" i="7"/>
  <c r="B126" i="7"/>
  <c r="J92" i="7"/>
  <c r="AQ128" i="7"/>
  <c r="F98" i="7"/>
  <c r="BG126" i="7"/>
  <c r="AZ99" i="7"/>
  <c r="BO90" i="7"/>
  <c r="E107" i="7"/>
  <c r="W125" i="7"/>
  <c r="S104" i="7"/>
  <c r="AM88" i="7"/>
  <c r="AD100" i="7"/>
  <c r="S138" i="7"/>
  <c r="V131" i="7"/>
  <c r="AT128" i="7"/>
  <c r="AE108" i="7"/>
  <c r="AA134" i="7"/>
  <c r="BH123" i="7"/>
  <c r="V138" i="7"/>
  <c r="B132" i="7"/>
  <c r="AL137" i="7"/>
  <c r="AB92" i="7"/>
  <c r="AU78" i="7"/>
  <c r="AO112" i="7"/>
  <c r="BH120" i="7"/>
  <c r="AO95" i="7"/>
  <c r="B104" i="7"/>
  <c r="AR85" i="7"/>
  <c r="BH135" i="7"/>
  <c r="P133" i="7"/>
  <c r="W126" i="7"/>
  <c r="X101" i="7"/>
  <c r="H131" i="7"/>
  <c r="AE133" i="7"/>
  <c r="R101" i="7"/>
  <c r="AL120" i="7"/>
  <c r="AN125" i="7"/>
  <c r="D93" i="7"/>
  <c r="C100" i="7"/>
  <c r="AL113" i="7"/>
  <c r="BO121" i="7"/>
  <c r="U114" i="7"/>
  <c r="AI104" i="7"/>
  <c r="BH88" i="7"/>
  <c r="M93" i="7"/>
  <c r="BF133" i="7"/>
  <c r="E127" i="7"/>
  <c r="BD116" i="7"/>
  <c r="AY130" i="7"/>
  <c r="X132" i="7"/>
  <c r="AV134" i="7"/>
  <c r="BB118" i="7"/>
  <c r="H122" i="7"/>
  <c r="E109" i="7"/>
  <c r="O100" i="7"/>
  <c r="AV113" i="7"/>
  <c r="M102" i="7"/>
  <c r="BL115" i="7"/>
  <c r="AL107" i="7"/>
  <c r="AS110" i="7"/>
  <c r="M94" i="7"/>
  <c r="C134" i="7"/>
  <c r="AH82" i="7"/>
  <c r="BA104" i="7"/>
  <c r="X126" i="7"/>
  <c r="AV124" i="7"/>
  <c r="G127" i="7"/>
  <c r="O82" i="7"/>
  <c r="P90" i="7"/>
  <c r="AP91" i="7"/>
  <c r="B108" i="7"/>
  <c r="BC117" i="7"/>
  <c r="H99" i="7"/>
  <c r="AE95" i="7"/>
  <c r="H81" i="7"/>
  <c r="AG109" i="7"/>
  <c r="N86" i="7"/>
  <c r="AS86" i="7"/>
  <c r="P100" i="7"/>
  <c r="AD106" i="7"/>
  <c r="BM127" i="7"/>
  <c r="X94" i="7"/>
  <c r="BO74" i="7"/>
  <c r="G121" i="7"/>
  <c r="BC110" i="7"/>
  <c r="Z111" i="7"/>
  <c r="AR75" i="7"/>
  <c r="BI80" i="7"/>
  <c r="AH99" i="7"/>
  <c r="BJ125" i="7"/>
  <c r="AV102" i="7"/>
  <c r="AW90" i="7"/>
  <c r="B113" i="7"/>
  <c r="AC83" i="7"/>
  <c r="AY106" i="7"/>
  <c r="X125" i="7"/>
  <c r="AG138" i="7"/>
  <c r="AZ114" i="7"/>
  <c r="N104" i="7"/>
  <c r="AL124" i="7"/>
  <c r="BJ113" i="7"/>
  <c r="AR117" i="7"/>
  <c r="AM133" i="7"/>
  <c r="Z117" i="7"/>
  <c r="N136" i="7"/>
  <c r="AD118" i="7"/>
  <c r="V134" i="7"/>
  <c r="Y114" i="7"/>
  <c r="M114" i="7"/>
  <c r="BD109" i="7"/>
  <c r="AP97" i="7"/>
  <c r="U117" i="7"/>
  <c r="AL100" i="7"/>
  <c r="AK118" i="7"/>
  <c r="AL104" i="7"/>
  <c r="R130" i="7"/>
  <c r="AB120" i="7"/>
  <c r="U137" i="7"/>
  <c r="P123" i="7"/>
  <c r="BH97" i="7"/>
  <c r="BC126" i="7"/>
  <c r="BA87" i="7"/>
  <c r="BL127" i="7"/>
  <c r="AG114" i="7"/>
  <c r="AN114" i="7"/>
  <c r="E85" i="7"/>
  <c r="BB97" i="7"/>
  <c r="AE117" i="7"/>
  <c r="Q111" i="7"/>
  <c r="AV118" i="7"/>
  <c r="BC104" i="7"/>
  <c r="BE133" i="7"/>
  <c r="AT120" i="7"/>
  <c r="AP137" i="7"/>
  <c r="AJ127" i="7"/>
  <c r="AL98" i="7"/>
  <c r="C127" i="7"/>
  <c r="O102" i="7"/>
  <c r="K128" i="7"/>
  <c r="G75" i="7"/>
  <c r="BN123" i="7"/>
  <c r="AD87" i="7"/>
  <c r="BL98" i="7"/>
  <c r="G124" i="7"/>
  <c r="D113" i="7"/>
  <c r="BC119" i="7"/>
  <c r="AN115" i="7"/>
  <c r="BN133" i="7"/>
  <c r="BK120" i="7"/>
  <c r="I92" i="7"/>
  <c r="AV127" i="7"/>
  <c r="M99" i="7"/>
  <c r="BI129" i="7"/>
  <c r="AY102" i="7"/>
  <c r="V128" i="7"/>
  <c r="R107" i="7"/>
  <c r="AZ98" i="7"/>
  <c r="T112" i="7"/>
  <c r="AC96" i="7"/>
  <c r="BH112" i="7"/>
  <c r="AG103" i="7"/>
  <c r="H107" i="7"/>
  <c r="U87" i="7"/>
  <c r="F133" i="7"/>
  <c r="AC130" i="7"/>
  <c r="AR115" i="7"/>
  <c r="AS131" i="7"/>
  <c r="BO86" i="7"/>
  <c r="BJ88" i="7"/>
  <c r="AG80" i="7"/>
  <c r="W78" i="7"/>
  <c r="AW110" i="7"/>
  <c r="AK116" i="7"/>
  <c r="AX109" i="7"/>
  <c r="BG121" i="7"/>
  <c r="AZ131" i="7"/>
  <c r="AJ90" i="7"/>
  <c r="H96" i="7"/>
  <c r="AX102" i="7"/>
  <c r="AU124" i="7"/>
  <c r="BF87" i="7"/>
  <c r="C93" i="7"/>
  <c r="BE82" i="7"/>
  <c r="W108" i="7"/>
  <c r="AI129" i="7"/>
  <c r="AB104" i="7"/>
  <c r="D86" i="7"/>
  <c r="AB124" i="7"/>
  <c r="AW113" i="7"/>
  <c r="BJ129" i="7"/>
  <c r="N84" i="7"/>
  <c r="D89" i="7"/>
  <c r="K106" i="7"/>
  <c r="Z127" i="7"/>
  <c r="T104" i="7"/>
  <c r="BL97" i="7"/>
  <c r="BA78" i="7"/>
  <c r="F88" i="7"/>
  <c r="AR111" i="7"/>
  <c r="AW126" i="7"/>
  <c r="I80" i="7"/>
  <c r="I120" i="7"/>
  <c r="AX106" i="7"/>
  <c r="J126" i="7"/>
  <c r="AN92" i="7"/>
  <c r="AB119" i="7"/>
  <c r="BL134" i="7"/>
  <c r="AF123" i="7"/>
  <c r="AF137" i="7"/>
  <c r="AE120" i="7"/>
  <c r="H138" i="7"/>
  <c r="AN90" i="7"/>
  <c r="AR118" i="7"/>
  <c r="AH91" i="7"/>
  <c r="BE100" i="7"/>
  <c r="F120" i="7"/>
  <c r="AS115" i="7"/>
  <c r="BF121" i="7"/>
  <c r="BF109" i="7"/>
  <c r="Q135" i="7"/>
  <c r="AU122" i="7"/>
  <c r="BH138" i="7"/>
  <c r="BK128" i="7"/>
  <c r="AN102" i="7"/>
  <c r="T128" i="7"/>
  <c r="BA105" i="7"/>
  <c r="V129" i="7"/>
  <c r="AX90" i="7"/>
  <c r="AZ126" i="7"/>
  <c r="BN91" i="7"/>
  <c r="AM73" i="7"/>
  <c r="M126" i="7"/>
  <c r="BF115" i="7"/>
  <c r="N122" i="7"/>
  <c r="X117" i="7"/>
  <c r="Z135" i="7"/>
  <c r="BK122" i="7"/>
  <c r="L99" i="7"/>
  <c r="G129" i="7"/>
  <c r="F103" i="7"/>
  <c r="B131" i="7"/>
  <c r="U106" i="7"/>
  <c r="AF129" i="7"/>
  <c r="BK96" i="7"/>
  <c r="BF127" i="7"/>
  <c r="AJ93" i="7"/>
  <c r="J94" i="7"/>
  <c r="K127" i="7"/>
  <c r="BK116" i="7"/>
  <c r="BJ92" i="7"/>
  <c r="BM117" i="7"/>
  <c r="BA135" i="7"/>
  <c r="AI127" i="7"/>
  <c r="BB99" i="7"/>
  <c r="AB129" i="7"/>
  <c r="AJ97" i="7"/>
  <c r="AG86" i="7"/>
  <c r="V114" i="7"/>
  <c r="AM103" i="7"/>
  <c r="AN95" i="7"/>
  <c r="BF83" i="7"/>
  <c r="BF91" i="7"/>
  <c r="X92" i="7"/>
  <c r="R123" i="7"/>
  <c r="E136" i="7"/>
  <c r="AT73" i="7"/>
  <c r="AA95" i="7"/>
  <c r="AQ73" i="7"/>
  <c r="V83" i="7"/>
  <c r="AY108" i="7"/>
  <c r="AH108" i="7"/>
  <c r="AL99" i="7"/>
  <c r="P87" i="7"/>
  <c r="G113" i="7"/>
  <c r="AW130" i="7"/>
  <c r="AW109" i="7"/>
  <c r="BI92" i="7"/>
  <c r="BN125" i="7"/>
  <c r="AJ115" i="7"/>
  <c r="V77" i="7"/>
  <c r="BI90" i="7"/>
  <c r="BM92" i="7"/>
  <c r="AQ108" i="7"/>
  <c r="AM76" i="7"/>
  <c r="BH105" i="7"/>
  <c r="BG99" i="7"/>
  <c r="P84" i="7"/>
  <c r="H91" i="7"/>
  <c r="AB113" i="7"/>
  <c r="AA128" i="7"/>
  <c r="AX89" i="7"/>
  <c r="AU121" i="7"/>
  <c r="R109" i="7"/>
  <c r="J86" i="7"/>
  <c r="AE97" i="7"/>
  <c r="BN120" i="7"/>
  <c r="X136" i="7"/>
  <c r="AF125" i="7"/>
  <c r="AX138" i="7"/>
  <c r="AF122" i="7"/>
  <c r="AI121" i="7"/>
  <c r="AG85" i="7"/>
  <c r="AR122" i="7"/>
  <c r="E97" i="7"/>
  <c r="AP85" i="7"/>
  <c r="BN122" i="7"/>
  <c r="BO118" i="7"/>
  <c r="M125" i="7"/>
  <c r="BF114" i="7"/>
  <c r="D137" i="7"/>
  <c r="BN124" i="7"/>
  <c r="H90" i="7"/>
  <c r="X130" i="7"/>
  <c r="AQ106" i="7"/>
  <c r="AN129" i="7"/>
  <c r="BC109" i="7"/>
  <c r="V120" i="7"/>
  <c r="B86" i="7"/>
  <c r="AI81" i="7"/>
  <c r="P97" i="7"/>
  <c r="C86" i="7"/>
  <c r="BI128" i="7"/>
  <c r="L119" i="7"/>
  <c r="AI125" i="7"/>
  <c r="AL119" i="7"/>
  <c r="M137" i="7"/>
  <c r="Q125" i="7"/>
  <c r="G104" i="7"/>
  <c r="AT130" i="7"/>
  <c r="J107" i="7"/>
  <c r="S132" i="7"/>
  <c r="X110" i="7"/>
  <c r="J124" i="7"/>
  <c r="AA82" i="7"/>
  <c r="BB85" i="7"/>
  <c r="AE98" i="7"/>
  <c r="AT98" i="7"/>
  <c r="AY129" i="7"/>
  <c r="S120" i="7"/>
  <c r="N101" i="7"/>
  <c r="AV119" i="7"/>
  <c r="V137" i="7"/>
  <c r="F129" i="7"/>
  <c r="AM104" i="7"/>
  <c r="BD130" i="7"/>
  <c r="C92" i="7"/>
  <c r="AU77" i="7"/>
  <c r="AK82" i="7"/>
  <c r="W102" i="7"/>
  <c r="AD109" i="7"/>
  <c r="W89" i="7"/>
  <c r="J91" i="7"/>
  <c r="BC132" i="7"/>
  <c r="B94" i="7"/>
  <c r="BK106" i="7"/>
  <c r="E100" i="7"/>
  <c r="AY112" i="7"/>
  <c r="M100" i="7"/>
  <c r="Z82" i="7"/>
  <c r="R124" i="7"/>
  <c r="AL125" i="7"/>
  <c r="AQ104" i="7"/>
  <c r="BE90" i="7"/>
  <c r="AB116" i="7"/>
  <c r="BK131" i="7"/>
  <c r="AH112" i="7"/>
  <c r="BL103" i="7"/>
  <c r="AH83" i="7"/>
  <c r="G97" i="7"/>
  <c r="AX77" i="7"/>
  <c r="AN96" i="7"/>
  <c r="E82" i="7"/>
  <c r="J111" i="7"/>
  <c r="B85" i="7"/>
  <c r="BA110" i="7"/>
  <c r="AF101" i="7"/>
  <c r="X88" i="7"/>
  <c r="AI98" i="7"/>
  <c r="BN114" i="7"/>
  <c r="AQ129" i="7"/>
  <c r="K102" i="7"/>
  <c r="AD123" i="7"/>
  <c r="C112" i="7"/>
  <c r="AP100" i="7"/>
  <c r="AV100" i="7"/>
  <c r="AW122" i="7"/>
  <c r="BN93" i="7"/>
  <c r="I127" i="7"/>
  <c r="T87" i="7"/>
  <c r="BH127" i="7"/>
  <c r="T82" i="7"/>
  <c r="AL94" i="7"/>
  <c r="AV90" i="7"/>
  <c r="Y100" i="7"/>
  <c r="H92" i="7"/>
  <c r="W131" i="7"/>
  <c r="W122" i="7"/>
  <c r="AL88" i="7"/>
  <c r="J121" i="7"/>
  <c r="AL138" i="7"/>
  <c r="BL126" i="7"/>
  <c r="J108" i="7"/>
  <c r="BL131" i="7"/>
  <c r="AT110" i="7"/>
  <c r="Z133" i="7"/>
  <c r="AX113" i="7"/>
  <c r="AB82" i="7"/>
  <c r="X90" i="7"/>
  <c r="BM90" i="7"/>
  <c r="AI100" i="7"/>
  <c r="E101" i="7"/>
  <c r="AE131" i="7"/>
  <c r="AG122" i="7"/>
  <c r="AW104" i="7"/>
  <c r="AE121" i="7"/>
  <c r="AU138" i="7"/>
  <c r="W130" i="7"/>
  <c r="AP108" i="7"/>
  <c r="H132" i="7"/>
  <c r="O117" i="7"/>
  <c r="AK133" i="7"/>
  <c r="H114" i="7"/>
  <c r="Y97" i="7"/>
  <c r="BK91" i="7"/>
  <c r="AX92" i="7"/>
  <c r="I108" i="7"/>
  <c r="B102" i="7"/>
  <c r="U132" i="7"/>
  <c r="AC94" i="7"/>
  <c r="R106" i="7"/>
  <c r="AP121" i="7"/>
  <c r="BM101" i="7"/>
  <c r="AH130" i="7"/>
  <c r="J109" i="7"/>
  <c r="I135" i="7"/>
  <c r="AF117" i="7"/>
  <c r="AU133" i="7"/>
  <c r="D119" i="7"/>
  <c r="AH85" i="7"/>
  <c r="H128" i="7"/>
  <c r="S99" i="7"/>
  <c r="O135" i="7"/>
  <c r="J120" i="7"/>
  <c r="AU129" i="7"/>
  <c r="D128" i="7"/>
  <c r="P122" i="7"/>
  <c r="AG120" i="7"/>
  <c r="AX104" i="7"/>
  <c r="O134" i="7"/>
  <c r="AU132" i="7"/>
  <c r="F115" i="7"/>
  <c r="BL120" i="7"/>
  <c r="AI120" i="7"/>
  <c r="AX98" i="7"/>
  <c r="BH106" i="7"/>
  <c r="T117" i="7"/>
  <c r="AA86" i="7"/>
  <c r="T92" i="7"/>
  <c r="AY77" i="7"/>
  <c r="BO125" i="7"/>
  <c r="BL117" i="7"/>
  <c r="AQ135" i="7"/>
  <c r="AK114" i="7"/>
  <c r="X121" i="7"/>
  <c r="BC107" i="7"/>
  <c r="BD94" i="7"/>
  <c r="G79" i="7"/>
  <c r="BN130" i="7"/>
  <c r="N118" i="7"/>
  <c r="BB135" i="7"/>
  <c r="AR91" i="7"/>
  <c r="BA120" i="7"/>
  <c r="AA109" i="7"/>
  <c r="BC89" i="7"/>
  <c r="W80" i="7"/>
  <c r="T131" i="7"/>
  <c r="BB124" i="7"/>
  <c r="AU134" i="7"/>
  <c r="U127" i="7"/>
  <c r="W101" i="7"/>
  <c r="C83" i="7"/>
  <c r="BI112" i="7"/>
  <c r="AQ133" i="7"/>
  <c r="G109" i="7"/>
  <c r="M97" i="7"/>
  <c r="BL138" i="7"/>
  <c r="AT122" i="7"/>
  <c r="AV137" i="7"/>
  <c r="AG104" i="7"/>
  <c r="BG119" i="7"/>
  <c r="AF113" i="7"/>
  <c r="AT124" i="7"/>
  <c r="AD105" i="7"/>
  <c r="AP106" i="7"/>
  <c r="BB132" i="7"/>
  <c r="BJ84" i="7"/>
  <c r="J134" i="7"/>
  <c r="BC136" i="7"/>
  <c r="AI116" i="7"/>
  <c r="H89" i="7"/>
  <c r="BK93" i="7"/>
  <c r="AL132" i="7"/>
  <c r="AA80" i="7"/>
  <c r="AX134" i="7"/>
  <c r="AS138" i="7"/>
  <c r="BI125" i="7"/>
  <c r="F96" i="7"/>
  <c r="AA117" i="7"/>
  <c r="BH114" i="7"/>
  <c r="BN112" i="7"/>
  <c r="R100" i="7"/>
  <c r="BL87" i="7"/>
  <c r="BO124" i="7"/>
  <c r="AQ132" i="7"/>
  <c r="AJ99" i="7"/>
  <c r="BI110" i="7"/>
  <c r="AD74" i="7"/>
  <c r="BI111" i="7"/>
  <c r="AG116" i="7"/>
  <c r="L111" i="7"/>
  <c r="I136" i="7"/>
  <c r="E117" i="7"/>
  <c r="AD86" i="7"/>
  <c r="BC102" i="7"/>
  <c r="AS128" i="7"/>
  <c r="BJ118" i="7"/>
  <c r="E103" i="7"/>
  <c r="AE92" i="7"/>
  <c r="BI121" i="7"/>
  <c r="D117" i="7"/>
  <c r="Y116" i="7"/>
  <c r="AK129" i="7"/>
  <c r="F135" i="7"/>
  <c r="BN129" i="7"/>
  <c r="T83" i="7"/>
  <c r="P112" i="7"/>
  <c r="AA122" i="7"/>
  <c r="AW119" i="7"/>
  <c r="BM80" i="7"/>
  <c r="C77" i="7"/>
  <c r="AW124" i="7"/>
  <c r="BO135" i="7"/>
  <c r="AD132" i="7"/>
  <c r="AX124" i="7"/>
  <c r="M135" i="7"/>
  <c r="AA107" i="7"/>
  <c r="BC120" i="7"/>
  <c r="AS137" i="7"/>
  <c r="AN101" i="7"/>
  <c r="T122" i="7"/>
  <c r="AZ121" i="7"/>
  <c r="BM124" i="7"/>
  <c r="BI130" i="7"/>
  <c r="AK132" i="7"/>
  <c r="BJ119" i="7"/>
  <c r="Y117" i="7"/>
  <c r="AB131" i="7"/>
  <c r="H98" i="7"/>
  <c r="AT127" i="7"/>
  <c r="BG118" i="7"/>
  <c r="BL129" i="7"/>
  <c r="AY124" i="7"/>
  <c r="N130" i="7"/>
  <c r="S125" i="7"/>
  <c r="Q131" i="7"/>
  <c r="AB110" i="7"/>
  <c r="BL105" i="7"/>
  <c r="AD128" i="7"/>
  <c r="BE120" i="7"/>
  <c r="Q115" i="7"/>
  <c r="BM81" i="7"/>
  <c r="AP104" i="7"/>
  <c r="AY136" i="7"/>
  <c r="AU137" i="7"/>
  <c r="N116" i="7"/>
  <c r="AN91" i="7"/>
  <c r="AS109" i="7"/>
  <c r="AM89" i="7"/>
  <c r="AN111" i="7"/>
  <c r="P131" i="7"/>
  <c r="B118" i="7"/>
  <c r="BL112" i="7"/>
  <c r="W117" i="7"/>
  <c r="AA123" i="7"/>
  <c r="AR124" i="7"/>
  <c r="R103" i="7"/>
  <c r="U83" i="7"/>
  <c r="AV87" i="7"/>
  <c r="K124" i="7"/>
  <c r="AE124" i="7"/>
  <c r="N128" i="7"/>
  <c r="BE119" i="7"/>
  <c r="U136" i="7"/>
  <c r="BD107" i="7"/>
  <c r="AK89" i="7"/>
  <c r="AL133" i="7"/>
  <c r="AC93" i="7"/>
  <c r="BC77" i="7"/>
  <c r="BK138" i="7"/>
  <c r="AT106" i="7"/>
  <c r="AL131" i="7"/>
  <c r="AB112" i="7"/>
  <c r="C135" i="7"/>
  <c r="AO133" i="7"/>
  <c r="BG116" i="7"/>
  <c r="BH132" i="7"/>
  <c r="BI107" i="7"/>
  <c r="Y105" i="7"/>
  <c r="BD108" i="7"/>
  <c r="H120" i="7"/>
  <c r="AH102" i="7"/>
  <c r="AK97" i="7"/>
  <c r="AD130" i="7"/>
  <c r="BA132" i="7"/>
  <c r="AW118" i="7"/>
  <c r="BK133" i="7"/>
  <c r="BB94" i="7"/>
  <c r="C115" i="7"/>
  <c r="W124" i="7"/>
  <c r="BG136" i="7"/>
  <c r="AD112" i="7"/>
  <c r="Y107" i="7"/>
  <c r="AI133" i="7"/>
  <c r="R113" i="7"/>
  <c r="AY123" i="7"/>
  <c r="AS127" i="7"/>
  <c r="AU97" i="7"/>
  <c r="AQ91" i="7"/>
  <c r="BI94" i="7"/>
  <c r="AY132" i="7"/>
  <c r="L124" i="7"/>
  <c r="U90" i="7"/>
  <c r="O130" i="7"/>
  <c r="J128" i="7"/>
  <c r="AJ106" i="7"/>
  <c r="AV123" i="7"/>
  <c r="BA129" i="7"/>
  <c r="E131" i="7"/>
  <c r="O132" i="7"/>
  <c r="S95" i="7"/>
  <c r="BA126" i="7"/>
  <c r="E138" i="7"/>
  <c r="N120" i="7"/>
  <c r="G85" i="7"/>
  <c r="Z129" i="7"/>
  <c r="U102" i="7"/>
  <c r="AA114" i="7"/>
  <c r="AO137" i="7"/>
  <c r="BI123" i="7"/>
  <c r="AX131" i="7"/>
  <c r="AP98" i="7"/>
  <c r="U130" i="7"/>
  <c r="BM78" i="7"/>
  <c r="R122" i="7"/>
  <c r="Y132" i="7"/>
  <c r="J103" i="7"/>
  <c r="AC125" i="7"/>
  <c r="AM132" i="7"/>
  <c r="AO138" i="7"/>
  <c r="AC122" i="7"/>
  <c r="I117" i="7"/>
  <c r="AG112" i="7"/>
  <c r="AR116" i="7"/>
  <c r="L131" i="7"/>
  <c r="AJ103" i="7"/>
  <c r="AS121" i="7"/>
  <c r="AT131" i="7"/>
  <c r="BG104" i="7"/>
  <c r="AR121" i="7"/>
  <c r="D100" i="7"/>
  <c r="AL118" i="7"/>
  <c r="BB106" i="7"/>
  <c r="D101" i="7"/>
  <c r="AD135" i="7"/>
  <c r="AE109" i="7"/>
  <c r="J122" i="7"/>
  <c r="AI97" i="7"/>
  <c r="AB102" i="7"/>
  <c r="AU118" i="7"/>
  <c r="AE118" i="7"/>
  <c r="D102" i="7"/>
  <c r="AO135" i="7"/>
  <c r="BG120" i="7"/>
  <c r="AJ120" i="7"/>
  <c r="G88" i="7"/>
  <c r="BC116" i="7"/>
  <c r="BD118" i="7"/>
  <c r="AO118" i="7"/>
  <c r="AX115" i="7"/>
  <c r="AY135" i="7"/>
  <c r="BM135" i="7"/>
  <c r="AX112" i="7"/>
  <c r="X134" i="7"/>
  <c r="G134" i="7"/>
  <c r="AJ73" i="7"/>
  <c r="BF95" i="7"/>
  <c r="L120" i="7"/>
  <c r="AK130" i="7"/>
  <c r="AB106" i="7"/>
  <c r="AP92" i="7"/>
  <c r="AQ125" i="7"/>
  <c r="AQ86" i="7"/>
  <c r="F105" i="7"/>
  <c r="O129" i="7"/>
  <c r="BF101" i="7"/>
  <c r="AC120" i="7"/>
  <c r="BK117" i="7"/>
  <c r="V135" i="7"/>
  <c r="BA133" i="7"/>
  <c r="E128" i="7"/>
  <c r="AS129" i="7"/>
  <c r="AV95" i="7"/>
  <c r="Y103" i="7"/>
  <c r="AN112" i="7"/>
  <c r="BM121" i="7"/>
  <c r="R104" i="7"/>
  <c r="BM128" i="7"/>
  <c r="BE132" i="7"/>
  <c r="AR120" i="7"/>
  <c r="AQ137" i="7"/>
  <c r="D130" i="7"/>
  <c r="BD113" i="7"/>
  <c r="AO97" i="7"/>
  <c r="AA110" i="7"/>
  <c r="AH131" i="7"/>
  <c r="S135" i="7"/>
  <c r="L135" i="7"/>
  <c r="AG129" i="7"/>
  <c r="BH131" i="7"/>
  <c r="AS87" i="7"/>
  <c r="V95" i="7"/>
  <c r="Q122" i="7"/>
  <c r="M127" i="7"/>
  <c r="AR138" i="7"/>
  <c r="AM98" i="7"/>
  <c r="C131" i="7"/>
  <c r="AE101" i="7"/>
  <c r="AI137" i="7"/>
  <c r="AM125" i="7"/>
  <c r="BH129" i="7"/>
  <c r="V108" i="7"/>
  <c r="BH128" i="7"/>
  <c r="AY134" i="7"/>
  <c r="AB133" i="7"/>
  <c r="Z125" i="7"/>
  <c r="AF95" i="7"/>
  <c r="AA111" i="7"/>
  <c r="BD87" i="7"/>
  <c r="AP115" i="7"/>
  <c r="AC128" i="7"/>
  <c r="Z130" i="7"/>
  <c r="B82" i="7"/>
  <c r="W99" i="7"/>
  <c r="BO102" i="7"/>
  <c r="BI97" i="7"/>
  <c r="BH108" i="7"/>
  <c r="BL132" i="7"/>
  <c r="Y123" i="7"/>
  <c r="AV122" i="7"/>
  <c r="AO107" i="7"/>
  <c r="AD124" i="7"/>
  <c r="BN131" i="7"/>
  <c r="BE122" i="7"/>
  <c r="BC137" i="7"/>
  <c r="D127" i="7"/>
  <c r="AF124" i="7"/>
  <c r="BK121" i="7"/>
  <c r="AQ100" i="7"/>
  <c r="V103" i="7"/>
  <c r="U128" i="7"/>
  <c r="Z118" i="7"/>
  <c r="AH134" i="7"/>
  <c r="M123" i="7"/>
  <c r="AX111" i="7"/>
  <c r="T134" i="7"/>
  <c r="AM93" i="7"/>
  <c r="BF131" i="7"/>
  <c r="L137" i="7"/>
  <c r="M79" i="7"/>
  <c r="C104" i="7"/>
  <c r="BD115" i="7"/>
  <c r="I133" i="7"/>
  <c r="AT118" i="7"/>
  <c r="AC110" i="7"/>
  <c r="W121" i="7"/>
  <c r="C84" i="7"/>
  <c r="BJ111" i="7"/>
  <c r="AI109" i="7"/>
  <c r="S128" i="7"/>
  <c r="AA104" i="7"/>
  <c r="Z122" i="7"/>
  <c r="K103" i="7"/>
  <c r="AF134" i="7"/>
  <c r="BL133" i="7"/>
  <c r="AP118" i="7"/>
  <c r="S130" i="7"/>
  <c r="BA112" i="7"/>
  <c r="AE81" i="7"/>
  <c r="E119" i="7"/>
  <c r="AP105" i="7"/>
  <c r="AC127" i="7"/>
  <c r="BO122" i="7"/>
  <c r="G118" i="7"/>
  <c r="T77" i="7"/>
  <c r="AP124" i="7"/>
  <c r="AB121" i="7"/>
  <c r="AI128" i="7"/>
  <c r="BM111" i="7"/>
  <c r="Q132" i="7"/>
  <c r="E135" i="7"/>
  <c r="Z126" i="7"/>
  <c r="AQ134" i="7"/>
  <c r="G123" i="7"/>
  <c r="H116" i="7"/>
  <c r="N110" i="7"/>
  <c r="J77" i="7"/>
  <c r="B117" i="7"/>
  <c r="E134" i="7"/>
  <c r="J105" i="7"/>
  <c r="BC112" i="7"/>
  <c r="AR123" i="7"/>
  <c r="BO129" i="7"/>
  <c r="BB128" i="7"/>
  <c r="P132" i="7"/>
  <c r="K93" i="7"/>
  <c r="AD133" i="7"/>
  <c r="BE117" i="7"/>
  <c r="BB138" i="7"/>
  <c r="AM117" i="7"/>
  <c r="BI138" i="7"/>
  <c r="BJ126" i="7"/>
  <c r="BM132" i="7"/>
  <c r="BE137" i="7"/>
  <c r="AT111" i="7"/>
  <c r="S136" i="7"/>
  <c r="BG88" i="7"/>
  <c r="U138" i="7"/>
  <c r="BC75" i="7"/>
  <c r="J125" i="7"/>
  <c r="BK129" i="7"/>
  <c r="D87" i="7"/>
  <c r="BF116" i="7"/>
  <c r="O114" i="7"/>
  <c r="R95" i="7"/>
  <c r="AX73" i="7"/>
  <c r="BD135" i="7"/>
  <c r="N87" i="7"/>
  <c r="AG88" i="7"/>
  <c r="H104" i="7"/>
  <c r="BN117" i="7"/>
  <c r="H136" i="7"/>
  <c r="B129" i="7"/>
  <c r="BB90" i="7"/>
  <c r="X118" i="7"/>
  <c r="AV120" i="7"/>
  <c r="E129" i="7"/>
  <c r="B92" i="7"/>
  <c r="BA115" i="7"/>
  <c r="M124" i="7"/>
  <c r="R90" i="7"/>
  <c r="AG99" i="7"/>
  <c r="AU120" i="7"/>
  <c r="I100" i="7"/>
  <c r="D131" i="7"/>
  <c r="AH95" i="7"/>
  <c r="BM133" i="7"/>
  <c r="AJ114" i="7"/>
  <c r="AD95" i="7"/>
  <c r="BA125" i="7"/>
  <c r="AF135" i="7"/>
  <c r="AK122" i="7"/>
  <c r="AO129" i="7"/>
  <c r="AS117" i="7"/>
  <c r="BA101" i="7"/>
  <c r="X109" i="7"/>
  <c r="BH84" i="7"/>
  <c r="Q130" i="7"/>
  <c r="AU119" i="7"/>
  <c r="BA106" i="7"/>
  <c r="T127" i="7"/>
  <c r="AU114" i="7"/>
  <c r="BH119" i="7"/>
  <c r="D129" i="7"/>
  <c r="BF103" i="7"/>
  <c r="I116" i="7"/>
  <c r="E115" i="7"/>
  <c r="AJ84" i="7"/>
  <c r="BE127" i="7"/>
  <c r="AD134" i="7"/>
  <c r="AQ121" i="7"/>
  <c r="X128" i="7"/>
  <c r="AL127" i="7"/>
  <c r="L86" i="7"/>
  <c r="B124" i="7"/>
  <c r="AC135" i="7"/>
  <c r="AL108" i="7"/>
  <c r="BG83" i="7"/>
  <c r="BF125" i="7"/>
  <c r="Y119" i="7"/>
  <c r="AO101" i="7"/>
  <c r="AZ80" i="7"/>
  <c r="V109" i="7"/>
  <c r="BG134" i="7"/>
  <c r="AZ100" i="7"/>
  <c r="L94" i="7"/>
  <c r="AD127" i="7"/>
  <c r="AB138" i="7"/>
  <c r="BC138" i="7"/>
  <c r="AQ131" i="7"/>
  <c r="G102" i="7"/>
  <c r="AL123" i="7"/>
  <c r="BD110" i="7"/>
  <c r="BM130" i="7"/>
  <c r="M118" i="7"/>
  <c r="BK123" i="7"/>
  <c r="Z120" i="7"/>
  <c r="T136" i="7"/>
  <c r="AF90" i="7"/>
  <c r="O131" i="7"/>
  <c r="V127" i="7"/>
  <c r="AP126" i="7"/>
  <c r="Z99" i="7"/>
  <c r="AF130" i="7"/>
  <c r="BF104" i="7"/>
  <c r="J100" i="7"/>
  <c r="B93" i="7"/>
  <c r="W84" i="7"/>
  <c r="BA127" i="7"/>
  <c r="BB126" i="7"/>
  <c r="BG112" i="7"/>
  <c r="BA130" i="7"/>
  <c r="AP102" i="7"/>
  <c r="AU128" i="7"/>
  <c r="P93" i="7"/>
  <c r="L85" i="7"/>
  <c r="L133" i="7"/>
  <c r="BM126" i="7"/>
  <c r="Z113" i="7"/>
  <c r="AE125" i="7"/>
  <c r="AT92" i="7"/>
  <c r="BC124" i="7"/>
  <c r="AQ130" i="7"/>
  <c r="BJ107" i="7"/>
  <c r="W112" i="7"/>
  <c r="AW121" i="7"/>
  <c r="AY103" i="7"/>
  <c r="W129" i="7"/>
  <c r="Q133" i="7"/>
  <c r="S121" i="7"/>
  <c r="AB103" i="7"/>
  <c r="AN104" i="7"/>
  <c r="V133" i="7"/>
  <c r="I107" i="7"/>
  <c r="W120" i="7"/>
  <c r="AU85" i="7"/>
  <c r="P98" i="7"/>
  <c r="BL124" i="7"/>
  <c r="F126" i="7"/>
  <c r="AY125" i="7"/>
  <c r="Y85" i="7"/>
  <c r="AG137" i="7"/>
  <c r="AN136" i="7"/>
  <c r="BF138" i="7"/>
  <c r="N102" i="7"/>
  <c r="N108" i="7"/>
  <c r="AC123" i="7"/>
  <c r="AS102" i="7"/>
  <c r="J117" i="7"/>
  <c r="U81" i="7"/>
  <c r="BA85" i="7"/>
  <c r="E137" i="7"/>
  <c r="E122" i="7"/>
  <c r="V79" i="7"/>
  <c r="Q107" i="7"/>
  <c r="AE100" i="7"/>
  <c r="AI131" i="7"/>
  <c r="AA135" i="7"/>
  <c r="AS134" i="7"/>
  <c r="R91" i="7"/>
  <c r="S80" i="7"/>
  <c r="I113" i="7"/>
  <c r="AD138" i="7"/>
  <c r="BD128" i="7"/>
  <c r="L128" i="7"/>
  <c r="BJ137" i="7"/>
  <c r="O137" i="7"/>
  <c r="R105" i="7"/>
  <c r="AD82" i="7"/>
  <c r="BK113" i="7"/>
  <c r="AL101" i="7"/>
  <c r="BN128" i="7"/>
  <c r="AY127" i="7"/>
  <c r="BD131" i="7"/>
  <c r="BB136" i="7"/>
  <c r="AM105" i="7"/>
  <c r="BA109" i="7"/>
  <c r="T114" i="7"/>
  <c r="E102" i="7"/>
  <c r="BH130" i="7"/>
  <c r="AL128" i="7"/>
  <c r="BN132" i="7"/>
  <c r="BG106" i="7"/>
  <c r="AR127" i="7"/>
  <c r="R97" i="7"/>
  <c r="T102" i="7"/>
  <c r="Q128" i="7"/>
  <c r="AK115" i="7"/>
  <c r="Y121" i="7"/>
  <c r="N134" i="7"/>
  <c r="BI115" i="7"/>
  <c r="BE89" i="7"/>
  <c r="AI122" i="7"/>
  <c r="AF136" i="7"/>
  <c r="J112" i="7"/>
  <c r="O126" i="7"/>
  <c r="Y111" i="7"/>
  <c r="AP135" i="7"/>
  <c r="BD91" i="7"/>
  <c r="W134" i="7"/>
  <c r="Y104" i="7"/>
  <c r="L126" i="7"/>
  <c r="G135" i="7"/>
  <c r="G110" i="7"/>
  <c r="BD99" i="7"/>
  <c r="AE78" i="7"/>
  <c r="AN121" i="7"/>
  <c r="BM136" i="7"/>
  <c r="W85" i="7"/>
  <c r="AP109" i="7"/>
  <c r="B135" i="7"/>
  <c r="BE128" i="7"/>
  <c r="AZ101" i="7"/>
  <c r="E113" i="7"/>
  <c r="N124" i="7"/>
  <c r="AV136" i="7"/>
  <c r="BN137" i="7"/>
  <c r="J136" i="7"/>
  <c r="W118" i="7"/>
  <c r="AK111" i="7"/>
  <c r="AY110" i="7"/>
  <c r="AD131" i="7"/>
  <c r="M134" i="7"/>
  <c r="B130" i="7"/>
  <c r="AN119" i="7"/>
  <c r="AU101" i="7"/>
  <c r="Z137" i="7"/>
  <c r="N106" i="7"/>
  <c r="W88" i="7"/>
  <c r="AO122" i="7"/>
  <c r="C102" i="7"/>
  <c r="AM138" i="7"/>
  <c r="AX116" i="7"/>
  <c r="AN133" i="7"/>
  <c r="AA136" i="7"/>
  <c r="M131" i="7"/>
  <c r="K126" i="7"/>
  <c r="R77" i="7"/>
  <c r="AP114" i="7"/>
  <c r="J106" i="7"/>
  <c r="R120" i="7"/>
  <c r="AI132" i="7"/>
  <c r="N99" i="7"/>
  <c r="B110" i="7"/>
  <c r="AU98" i="7"/>
  <c r="BG117" i="7"/>
  <c r="K108" i="7"/>
  <c r="AM130" i="7"/>
  <c r="V124" i="7"/>
  <c r="U129" i="7"/>
  <c r="AZ78" i="7"/>
  <c r="M110" i="7"/>
  <c r="AZ116" i="7"/>
  <c r="BI118" i="7"/>
  <c r="AT108" i="7"/>
  <c r="R133" i="7"/>
  <c r="AU123" i="7"/>
  <c r="BG128" i="7"/>
  <c r="AR84" i="7"/>
  <c r="AY111" i="7"/>
  <c r="BM116" i="7"/>
  <c r="AC126" i="7"/>
  <c r="L109" i="7"/>
  <c r="K132" i="7"/>
  <c r="L136" i="7"/>
  <c r="N126" i="7"/>
  <c r="AP117" i="7"/>
  <c r="AQ123" i="7"/>
  <c r="AQ94" i="7"/>
  <c r="BE116" i="7"/>
  <c r="AW132" i="7"/>
  <c r="BI133" i="7"/>
  <c r="M109" i="7"/>
  <c r="AU108" i="7"/>
  <c r="AR106" i="7"/>
  <c r="AO123" i="7"/>
  <c r="AG132" i="7"/>
  <c r="AS113" i="7"/>
  <c r="AO121" i="7"/>
  <c r="AE137" i="7"/>
  <c r="AK119" i="7"/>
  <c r="AA108" i="7"/>
  <c r="T113" i="7"/>
  <c r="Z105" i="7"/>
  <c r="U135" i="7"/>
  <c r="BJ97" i="7"/>
  <c r="S97" i="7"/>
  <c r="L121" i="7"/>
  <c r="AU130" i="7"/>
  <c r="AC107" i="7"/>
  <c r="L90" i="7"/>
  <c r="AC124" i="7"/>
  <c r="AB118" i="7"/>
  <c r="BM123" i="7"/>
  <c r="AX95" i="7"/>
  <c r="AM119" i="7"/>
  <c r="BE112" i="7"/>
  <c r="AZ123" i="7"/>
  <c r="G106" i="7"/>
  <c r="AG94" i="7"/>
  <c r="G126" i="7"/>
  <c r="V130" i="7"/>
  <c r="P111" i="7"/>
  <c r="AV83" i="7"/>
  <c r="AD102" i="7"/>
  <c r="AI136" i="7"/>
  <c r="J138" i="7"/>
  <c r="AF111" i="7"/>
  <c r="BA138" i="7"/>
  <c r="AS80" i="7"/>
  <c r="AV93" i="7"/>
  <c r="BJ133" i="7"/>
  <c r="J135" i="7"/>
  <c r="BB119" i="7"/>
  <c r="P96" i="7"/>
  <c r="AV111" i="7"/>
  <c r="BI113" i="7"/>
  <c r="I118" i="7"/>
  <c r="AG82" i="7"/>
  <c r="S115" i="7"/>
  <c r="AR129" i="7"/>
  <c r="I73" i="7"/>
  <c r="AO80" i="7"/>
  <c r="AX107" i="7"/>
  <c r="BL121" i="7"/>
  <c r="AR113" i="7"/>
  <c r="BE131" i="7"/>
  <c r="AO119" i="7"/>
  <c r="BK125" i="7"/>
  <c r="H78" i="7"/>
  <c r="J81" i="7"/>
  <c r="AA121" i="7"/>
  <c r="O122" i="7"/>
  <c r="BN113" i="7"/>
  <c r="AJ134" i="7"/>
  <c r="G119" i="7"/>
  <c r="AA125" i="7"/>
  <c r="AO91" i="7"/>
  <c r="AT84" i="7"/>
  <c r="AV121" i="7"/>
  <c r="P129" i="7"/>
  <c r="AD115" i="7"/>
  <c r="AC133" i="7"/>
  <c r="AB130" i="7"/>
  <c r="BN116" i="7"/>
  <c r="L138" i="7"/>
  <c r="BN118" i="7"/>
  <c r="AG125" i="7"/>
  <c r="AP83" i="7"/>
  <c r="W137" i="7"/>
  <c r="AD136" i="7"/>
  <c r="AW75" i="7"/>
  <c r="AS126" i="7"/>
  <c r="BC73" i="7"/>
  <c r="K87" i="7"/>
  <c r="AK137" i="7"/>
  <c r="U126" i="7"/>
  <c r="AA126" i="7"/>
  <c r="BJ127" i="7"/>
  <c r="H108" i="7"/>
  <c r="BM119" i="7"/>
  <c r="BG127" i="7"/>
  <c r="BF120" i="7"/>
  <c r="AW103" i="7"/>
  <c r="F85" i="7"/>
  <c r="R134" i="7"/>
  <c r="F93" i="21"/>
  <c r="W9" i="19"/>
  <c r="X11" i="18"/>
  <c r="Y34" i="18"/>
  <c r="X32" i="19"/>
  <c r="W87" i="21"/>
  <c r="Y68" i="18"/>
  <c r="X66" i="19"/>
  <c r="R93" i="21"/>
  <c r="Q93" i="21"/>
  <c r="W83" i="21"/>
  <c r="W7" i="19"/>
  <c r="X9" i="18"/>
  <c r="X55" i="18"/>
  <c r="W53" i="19"/>
  <c r="W79" i="21"/>
  <c r="X19" i="18"/>
  <c r="W17" i="19"/>
  <c r="X45" i="23"/>
  <c r="Y47" i="22"/>
  <c r="W34" i="19"/>
  <c r="X36" i="18"/>
  <c r="X65" i="18"/>
  <c r="W63" i="19"/>
  <c r="X2" i="19"/>
  <c r="Y4" i="18"/>
  <c r="L93" i="21"/>
  <c r="W58" i="19"/>
  <c r="X60" i="18"/>
  <c r="P93" i="23"/>
  <c r="W92" i="21"/>
  <c r="P93" i="21"/>
  <c r="R93" i="23"/>
  <c r="Y30" i="22"/>
  <c r="Y28" i="23" s="1"/>
  <c r="X28" i="23"/>
  <c r="U93" i="21"/>
  <c r="K93" i="23"/>
  <c r="X27" i="23"/>
  <c r="Y29" i="22"/>
  <c r="Y37" i="16"/>
  <c r="X35" i="17"/>
  <c r="W85" i="21"/>
  <c r="W77" i="21"/>
  <c r="W68" i="21"/>
  <c r="W70" i="21" s="1"/>
  <c r="W93" i="21"/>
  <c r="S93" i="21"/>
  <c r="I93" i="21"/>
  <c r="W85" i="23"/>
  <c r="W77" i="23"/>
  <c r="T93" i="23"/>
  <c r="W68" i="23"/>
  <c r="W70" i="23" s="1"/>
  <c r="H93" i="23"/>
  <c r="BD34" i="4"/>
  <c r="BN34" i="4"/>
  <c r="W84" i="21"/>
  <c r="W76" i="21"/>
  <c r="T93" i="21"/>
  <c r="G93" i="21"/>
  <c r="K93" i="21"/>
  <c r="W84" i="23"/>
  <c r="W76" i="23"/>
  <c r="O93" i="23"/>
  <c r="N93" i="23"/>
  <c r="V91" i="19"/>
  <c r="W83" i="23"/>
  <c r="W75" i="23"/>
  <c r="F93" i="23"/>
  <c r="M93" i="23"/>
  <c r="J93" i="23"/>
  <c r="BE34" i="4"/>
  <c r="BK34" i="4"/>
  <c r="BI34" i="4"/>
  <c r="W90" i="21"/>
  <c r="W82" i="21"/>
  <c r="W74" i="21"/>
  <c r="B93" i="21"/>
  <c r="E93" i="21"/>
  <c r="W90" i="23"/>
  <c r="W82" i="23"/>
  <c r="W74" i="23"/>
  <c r="G93" i="23"/>
  <c r="L93" i="23"/>
  <c r="W89" i="21"/>
  <c r="W81" i="21"/>
  <c r="W73" i="21"/>
  <c r="M93" i="21"/>
  <c r="V93" i="21"/>
  <c r="W89" i="23"/>
  <c r="W81" i="23"/>
  <c r="W73" i="23"/>
  <c r="W93" i="23"/>
  <c r="Q93" i="23"/>
  <c r="W91" i="23"/>
  <c r="AY34" i="4"/>
  <c r="BG34" i="4"/>
  <c r="W88" i="21"/>
  <c r="W80" i="21"/>
  <c r="W72" i="21"/>
  <c r="O93" i="21"/>
  <c r="N93" i="21"/>
  <c r="J93" i="21"/>
  <c r="W88" i="23"/>
  <c r="W80" i="23"/>
  <c r="W72" i="23"/>
  <c r="V93" i="23"/>
  <c r="S93" i="23"/>
  <c r="I93" i="23"/>
  <c r="W91" i="21"/>
  <c r="V90" i="19"/>
  <c r="W87" i="23"/>
  <c r="W79" i="23"/>
  <c r="B93" i="23"/>
  <c r="U93" i="23"/>
  <c r="BC34" i="4"/>
  <c r="W86" i="21"/>
  <c r="W78" i="21"/>
  <c r="D93" i="21"/>
  <c r="H93" i="21"/>
  <c r="W92" i="23"/>
  <c r="W86" i="23"/>
  <c r="W78" i="23"/>
  <c r="D93" i="23"/>
  <c r="E93" i="23"/>
  <c r="C93" i="23"/>
  <c r="C92" i="17"/>
  <c r="T92" i="17"/>
  <c r="V92" i="17"/>
  <c r="V72" i="17"/>
  <c r="V81" i="17"/>
  <c r="V89" i="17"/>
  <c r="K92" i="17"/>
  <c r="E92" i="17"/>
  <c r="N92" i="17"/>
  <c r="V74" i="17"/>
  <c r="V82" i="17"/>
  <c r="V91" i="17"/>
  <c r="V90" i="17"/>
  <c r="S92" i="17"/>
  <c r="H92" i="17"/>
  <c r="B92" i="17"/>
  <c r="V75" i="17"/>
  <c r="V83" i="17"/>
  <c r="P92" i="17"/>
  <c r="V76" i="17"/>
  <c r="V84" i="17"/>
  <c r="J92" i="17"/>
  <c r="V68" i="17"/>
  <c r="V70" i="17" s="1"/>
  <c r="O92" i="17"/>
  <c r="V77" i="17"/>
  <c r="V85" i="17"/>
  <c r="R92" i="17"/>
  <c r="U92" i="17"/>
  <c r="G92" i="17"/>
  <c r="Q92" i="17"/>
  <c r="V78" i="17"/>
  <c r="V86" i="17"/>
  <c r="D92" i="17"/>
  <c r="F92" i="17"/>
  <c r="V79" i="17"/>
  <c r="V87" i="17"/>
  <c r="M92" i="17"/>
  <c r="L92" i="17"/>
  <c r="I92" i="17"/>
  <c r="V73" i="17"/>
  <c r="V80" i="17"/>
  <c r="V88" i="17"/>
  <c r="Y55" i="20"/>
  <c r="X53" i="21"/>
  <c r="Y40" i="20"/>
  <c r="X38" i="21"/>
  <c r="X40" i="18"/>
  <c r="W38" i="19"/>
  <c r="W32" i="17"/>
  <c r="X34" i="16"/>
  <c r="X33" i="23"/>
  <c r="Y35" i="22"/>
  <c r="Y47" i="20"/>
  <c r="X45" i="21"/>
  <c r="Z45" i="20"/>
  <c r="Y43" i="21"/>
  <c r="Y43" i="20"/>
  <c r="X41" i="21"/>
  <c r="AA21" i="16"/>
  <c r="AA19" i="17" s="1"/>
  <c r="Z19" i="17"/>
  <c r="Y49" i="20"/>
  <c r="X47" i="21"/>
  <c r="X66" i="17"/>
  <c r="Y68" i="16"/>
  <c r="X33" i="19"/>
  <c r="Y35" i="18"/>
  <c r="X11" i="19"/>
  <c r="Y13" i="18"/>
  <c r="X66" i="23"/>
  <c r="Y68" i="22"/>
  <c r="Y32" i="20"/>
  <c r="X30" i="21"/>
  <c r="X14" i="18"/>
  <c r="W12" i="19"/>
  <c r="X65" i="16"/>
  <c r="W63" i="17"/>
  <c r="X32" i="18"/>
  <c r="W30" i="19"/>
  <c r="AA17" i="22"/>
  <c r="AA15" i="23" s="1"/>
  <c r="Z15" i="23"/>
  <c r="AA37" i="20"/>
  <c r="AA35" i="21" s="1"/>
  <c r="Z35" i="21"/>
  <c r="X46" i="19"/>
  <c r="Y48" i="18"/>
  <c r="Y61" i="22"/>
  <c r="X59" i="23"/>
  <c r="Y52" i="18"/>
  <c r="X50" i="19"/>
  <c r="X41" i="19"/>
  <c r="Y43" i="18"/>
  <c r="AA17" i="18"/>
  <c r="AA15" i="19" s="1"/>
  <c r="Z15" i="19"/>
  <c r="AA22" i="18"/>
  <c r="AA20" i="19" s="1"/>
  <c r="Z20" i="19"/>
  <c r="X45" i="18"/>
  <c r="W43" i="19"/>
  <c r="Y33" i="16"/>
  <c r="X31" i="17"/>
  <c r="X50" i="17"/>
  <c r="Y52" i="16"/>
  <c r="Y25" i="22"/>
  <c r="X23" i="23"/>
  <c r="Y33" i="17"/>
  <c r="Z35" i="16"/>
  <c r="Y51" i="20"/>
  <c r="X49" i="21"/>
  <c r="X20" i="17"/>
  <c r="Y22" i="16"/>
  <c r="Z34" i="20"/>
  <c r="Y32" i="21"/>
  <c r="Z33" i="20"/>
  <c r="Y31" i="21"/>
  <c r="Y43" i="22"/>
  <c r="X41" i="23"/>
  <c r="X6" i="18"/>
  <c r="W4" i="19"/>
  <c r="X54" i="19"/>
  <c r="Y56" i="18"/>
  <c r="Z25" i="20"/>
  <c r="Y23" i="21"/>
  <c r="W44" i="19"/>
  <c r="X46" i="18"/>
  <c r="W60" i="19"/>
  <c r="X62" i="18"/>
  <c r="Y66" i="20"/>
  <c r="X64" i="21"/>
  <c r="Z54" i="20"/>
  <c r="Y52" i="21"/>
  <c r="Y20" i="20"/>
  <c r="X18" i="21"/>
  <c r="Z11" i="20"/>
  <c r="Y9" i="21"/>
  <c r="AA21" i="22"/>
  <c r="AA19" i="23" s="1"/>
  <c r="Z19" i="23"/>
  <c r="AA60" i="20"/>
  <c r="AA58" i="21" s="1"/>
  <c r="Z58" i="21"/>
  <c r="X48" i="23"/>
  <c r="Y50" i="22"/>
  <c r="X4" i="17"/>
  <c r="Y6" i="16"/>
  <c r="Z29" i="20"/>
  <c r="Y27" i="21"/>
  <c r="Y34" i="22"/>
  <c r="X32" i="23"/>
  <c r="Z49" i="19"/>
  <c r="AA51" i="18"/>
  <c r="AA49" i="19" s="1"/>
  <c r="Y62" i="20"/>
  <c r="X60" i="21"/>
  <c r="Z64" i="23"/>
  <c r="AA66" i="22"/>
  <c r="AA64" i="23" s="1"/>
  <c r="X15" i="18"/>
  <c r="W13" i="19"/>
  <c r="X14" i="23"/>
  <c r="Y16" i="22"/>
  <c r="Z41" i="22"/>
  <c r="Y39" i="23"/>
  <c r="W43" i="17"/>
  <c r="X45" i="16"/>
  <c r="W12" i="17"/>
  <c r="X14" i="16"/>
  <c r="W60" i="17"/>
  <c r="X62" i="16"/>
  <c r="Y11" i="23"/>
  <c r="Z13" i="22"/>
  <c r="W52" i="19"/>
  <c r="X54" i="18"/>
  <c r="Z21" i="20"/>
  <c r="Y19" i="21"/>
  <c r="Y53" i="23"/>
  <c r="Z55" i="22"/>
  <c r="Y9" i="23"/>
  <c r="Z11" i="22"/>
  <c r="W3" i="19"/>
  <c r="X5" i="18"/>
  <c r="G92" i="19"/>
  <c r="Q92" i="19"/>
  <c r="V92" i="19"/>
  <c r="V77" i="19"/>
  <c r="V85" i="19"/>
  <c r="O92" i="19"/>
  <c r="J92" i="19"/>
  <c r="M92" i="19"/>
  <c r="V78" i="19"/>
  <c r="V86" i="19"/>
  <c r="D92" i="19"/>
  <c r="N92" i="19"/>
  <c r="V79" i="19"/>
  <c r="V87" i="19"/>
  <c r="H92" i="19"/>
  <c r="L92" i="19"/>
  <c r="R92" i="19"/>
  <c r="V72" i="19"/>
  <c r="V80" i="19"/>
  <c r="V88" i="19"/>
  <c r="P92" i="19"/>
  <c r="T92" i="19"/>
  <c r="B92" i="19"/>
  <c r="V74" i="19"/>
  <c r="V81" i="19"/>
  <c r="E92" i="19"/>
  <c r="K92" i="19"/>
  <c r="V73" i="19"/>
  <c r="V82" i="19"/>
  <c r="V68" i="19"/>
  <c r="V70" i="19" s="1"/>
  <c r="U92" i="19"/>
  <c r="C92" i="19"/>
  <c r="V75" i="19"/>
  <c r="V83" i="19"/>
  <c r="I92" i="19"/>
  <c r="F92" i="19"/>
  <c r="S92" i="19"/>
  <c r="V76" i="19"/>
  <c r="V84" i="19"/>
  <c r="V89" i="19"/>
  <c r="X34" i="17"/>
  <c r="Y36" i="16"/>
  <c r="AA5" i="20"/>
  <c r="AA3" i="21" s="1"/>
  <c r="Z3" i="21"/>
  <c r="Z4" i="20"/>
  <c r="Y2" i="21"/>
  <c r="X18" i="23"/>
  <c r="Y20" i="22"/>
  <c r="X14" i="19"/>
  <c r="Y16" i="18"/>
  <c r="Y60" i="16"/>
  <c r="X58" i="17"/>
  <c r="X46" i="23"/>
  <c r="Y48" i="22"/>
  <c r="X47" i="19"/>
  <c r="Y49" i="18"/>
  <c r="Y23" i="20"/>
  <c r="X21" i="21"/>
  <c r="Y58" i="20"/>
  <c r="X56" i="21"/>
  <c r="Y28" i="20"/>
  <c r="X26" i="21"/>
  <c r="Z51" i="16"/>
  <c r="Y49" i="17"/>
  <c r="W56" i="17"/>
  <c r="X58" i="16"/>
  <c r="X64" i="17"/>
  <c r="Y66" i="16"/>
  <c r="AA31" i="20"/>
  <c r="AA29" i="21" s="1"/>
  <c r="Z29" i="21"/>
  <c r="Y52" i="20"/>
  <c r="X50" i="21"/>
  <c r="Z45" i="22"/>
  <c r="Y43" i="23"/>
  <c r="W21" i="19"/>
  <c r="X23" i="18"/>
  <c r="W11" i="17"/>
  <c r="X13" i="16"/>
  <c r="W35" i="19"/>
  <c r="X37" i="18"/>
  <c r="Z61" i="20"/>
  <c r="Y59" i="21"/>
  <c r="Y64" i="20"/>
  <c r="X62" i="21"/>
  <c r="X32" i="16"/>
  <c r="W30" i="17"/>
  <c r="AA15" i="16"/>
  <c r="AA13" i="17" s="1"/>
  <c r="Z13" i="17"/>
  <c r="Y53" i="22"/>
  <c r="X51" i="23"/>
  <c r="X62" i="23"/>
  <c r="Y64" i="22"/>
  <c r="X64" i="18"/>
  <c r="W62" i="19"/>
  <c r="X50" i="18"/>
  <c r="W48" i="19"/>
  <c r="Y36" i="17"/>
  <c r="Z38" i="16"/>
  <c r="Y6" i="22"/>
  <c r="X4" i="23"/>
  <c r="Z14" i="22"/>
  <c r="Y12" i="23"/>
  <c r="Y27" i="22"/>
  <c r="X25" i="23"/>
  <c r="X34" i="23"/>
  <c r="Y36" i="22"/>
  <c r="Y65" i="22"/>
  <c r="X63" i="23"/>
  <c r="Y56" i="23"/>
  <c r="Z58" i="22"/>
  <c r="Y22" i="22"/>
  <c r="X20" i="23"/>
  <c r="Y61" i="16"/>
  <c r="X59" i="17"/>
  <c r="Y23" i="19"/>
  <c r="Z25" i="18"/>
  <c r="Y49" i="23"/>
  <c r="Z51" i="22"/>
  <c r="X52" i="23"/>
  <c r="Y54" i="22"/>
  <c r="X58" i="18"/>
  <c r="W56" i="19"/>
  <c r="X45" i="19"/>
  <c r="Y47" i="18"/>
  <c r="Y11" i="16"/>
  <c r="X9" i="17"/>
  <c r="Z30" i="18"/>
  <c r="Z28" i="19" s="1"/>
  <c r="AA30" i="18"/>
  <c r="AA28" i="19" s="1"/>
  <c r="Y28" i="19"/>
  <c r="Y19" i="16"/>
  <c r="X17" i="17"/>
  <c r="Z42" i="22"/>
  <c r="Y40" i="23"/>
  <c r="Z62" i="22"/>
  <c r="Y60" i="23"/>
  <c r="AA65" i="20"/>
  <c r="AA63" i="21" s="1"/>
  <c r="Z63" i="21"/>
  <c r="Y21" i="18"/>
  <c r="X19" i="19"/>
  <c r="W31" i="19"/>
  <c r="X33" i="18"/>
  <c r="Z49" i="22"/>
  <c r="Y47" i="23"/>
  <c r="Z28" i="16"/>
  <c r="Y26" i="17"/>
  <c r="Y56" i="20"/>
  <c r="X54" i="21"/>
  <c r="Y48" i="20"/>
  <c r="X46" i="21"/>
  <c r="Y35" i="20"/>
  <c r="X33" i="21"/>
  <c r="Y31" i="23"/>
  <c r="Z33" i="22"/>
  <c r="W53" i="17"/>
  <c r="X55" i="16"/>
  <c r="Y43" i="16"/>
  <c r="X41" i="17"/>
  <c r="Z64" i="16"/>
  <c r="Y62" i="17"/>
  <c r="W46" i="17"/>
  <c r="X48" i="16"/>
  <c r="Z15" i="20"/>
  <c r="Y13" i="21"/>
  <c r="Y36" i="20"/>
  <c r="X34" i="21"/>
  <c r="Y61" i="19"/>
  <c r="Z63" i="18"/>
  <c r="W22" i="19"/>
  <c r="X24" i="18"/>
  <c r="Y42" i="20"/>
  <c r="X40" i="21"/>
  <c r="W52" i="17"/>
  <c r="X54" i="16"/>
  <c r="X38" i="18"/>
  <c r="W36" i="19"/>
  <c r="Z3" i="17"/>
  <c r="AA5" i="16"/>
  <c r="AA3" i="17" s="1"/>
  <c r="Y24" i="16"/>
  <c r="X22" i="17"/>
  <c r="W45" i="17"/>
  <c r="X47" i="16"/>
  <c r="W48" i="17"/>
  <c r="X50" i="16"/>
  <c r="X66" i="18"/>
  <c r="W64" i="19"/>
  <c r="Z4" i="16"/>
  <c r="Y2" i="17"/>
  <c r="Z38" i="23"/>
  <c r="AA40" i="22"/>
  <c r="AA38" i="23" s="1"/>
  <c r="Y29" i="17"/>
  <c r="Z31" i="16"/>
  <c r="X50" i="23"/>
  <c r="Y52" i="22"/>
  <c r="X31" i="18"/>
  <c r="W29" i="19"/>
  <c r="Z23" i="22"/>
  <c r="Y21" i="23"/>
  <c r="X29" i="23"/>
  <c r="Y31" i="22"/>
  <c r="Z19" i="22"/>
  <c r="Y17" i="23"/>
  <c r="X3" i="23"/>
  <c r="Y5" i="22"/>
  <c r="X56" i="16"/>
  <c r="W54" i="17"/>
  <c r="Y16" i="20"/>
  <c r="X14" i="21"/>
  <c r="W47" i="17"/>
  <c r="X49" i="16"/>
  <c r="X22" i="23"/>
  <c r="Y24" i="22"/>
  <c r="X25" i="17"/>
  <c r="Y27" i="16"/>
  <c r="X13" i="23"/>
  <c r="Y15" i="22"/>
  <c r="X61" i="18"/>
  <c r="W59" i="19"/>
  <c r="X58" i="23"/>
  <c r="Y60" i="22"/>
  <c r="W27" i="17"/>
  <c r="X29" i="16"/>
  <c r="W27" i="19"/>
  <c r="X29" i="18"/>
  <c r="Z36" i="23"/>
  <c r="AA38" i="22"/>
  <c r="AA36" i="23" s="1"/>
  <c r="Y9" i="20"/>
  <c r="X7" i="21"/>
  <c r="X7" i="23"/>
  <c r="Y9" i="22"/>
  <c r="Y26" i="19"/>
  <c r="Z28" i="18"/>
  <c r="X46" i="16"/>
  <c r="X44" i="17" s="1"/>
  <c r="W44" i="17"/>
  <c r="Z46" i="16"/>
  <c r="Z44" i="17" s="1"/>
  <c r="Y44" i="17"/>
  <c r="AA46" i="16"/>
  <c r="AA44" i="17" s="1"/>
  <c r="Y40" i="16"/>
  <c r="X38" i="17"/>
  <c r="Z37" i="22"/>
  <c r="Y35" i="23"/>
  <c r="X61" i="17"/>
  <c r="Y63" i="16"/>
  <c r="AA53" i="18"/>
  <c r="AA51" i="19" s="1"/>
  <c r="Z51" i="19"/>
  <c r="Y42" i="16"/>
  <c r="X40" i="17"/>
  <c r="W21" i="17"/>
  <c r="X23" i="16"/>
  <c r="W40" i="19"/>
  <c r="X42" i="18"/>
  <c r="X61" i="23"/>
  <c r="Y63" i="22"/>
  <c r="W7" i="17"/>
  <c r="X9" i="16"/>
  <c r="Y24" i="20"/>
  <c r="X22" i="21"/>
  <c r="X30" i="23"/>
  <c r="Y32" i="22"/>
  <c r="Y19" i="20"/>
  <c r="X17" i="21"/>
  <c r="Y68" i="20"/>
  <c r="X66" i="21"/>
  <c r="W14" i="17"/>
  <c r="X16" i="16"/>
  <c r="X18" i="17"/>
  <c r="Y20" i="16"/>
  <c r="X26" i="23"/>
  <c r="Y28" i="22"/>
  <c r="Z13" i="20"/>
  <c r="Y11" i="21"/>
  <c r="Z53" i="20"/>
  <c r="Y51" i="21"/>
  <c r="Y50" i="20"/>
  <c r="X48" i="21"/>
  <c r="Z22" i="20"/>
  <c r="Y20" i="21"/>
  <c r="AA14" i="20"/>
  <c r="AA12" i="21" s="1"/>
  <c r="Z12" i="21"/>
  <c r="Z20" i="18"/>
  <c r="Y18" i="19"/>
  <c r="Y63" i="20"/>
  <c r="X61" i="21"/>
  <c r="W23" i="17"/>
  <c r="X25" i="16"/>
  <c r="AD4" i="4"/>
  <c r="AV34" i="4"/>
  <c r="AW34" i="4" s="1"/>
  <c r="AX34" i="4" s="1"/>
  <c r="AZ25" i="4"/>
  <c r="BJ34" i="4"/>
  <c r="AU39" i="4"/>
  <c r="AV39" i="4"/>
  <c r="AV23" i="4"/>
  <c r="AW23" i="4" s="1"/>
  <c r="BN39" i="4"/>
  <c r="AZ23" i="4"/>
  <c r="AS26" i="4"/>
  <c r="AR26" i="4"/>
  <c r="AF26" i="4"/>
  <c r="AA59" i="4"/>
  <c r="AL59" i="4"/>
  <c r="AK26" i="4"/>
  <c r="AN26" i="4" s="1"/>
  <c r="AH26" i="4"/>
  <c r="AG26" i="4"/>
  <c r="AJ26" i="4"/>
  <c r="AI26" i="4"/>
  <c r="AW39" i="4"/>
  <c r="BE39" i="4"/>
  <c r="BF39" i="4"/>
  <c r="AY39" i="4"/>
  <c r="BB39" i="4"/>
  <c r="BO39" i="4"/>
  <c r="AX39" i="4"/>
  <c r="BC39" i="4"/>
  <c r="BP39" i="4"/>
  <c r="BC23" i="4"/>
  <c r="BM23" i="4" s="1"/>
  <c r="BA39" i="4"/>
  <c r="BH39" i="4"/>
  <c r="BI39" i="4"/>
  <c r="AZ39" i="4"/>
  <c r="BK39" i="4"/>
  <c r="BG39" i="4"/>
  <c r="BD39" i="4"/>
  <c r="BJ39" i="4"/>
  <c r="BM39" i="4"/>
  <c r="AQ39" i="4"/>
  <c r="BL39" i="4"/>
  <c r="AG12" i="4"/>
  <c r="AI12" i="4" s="1"/>
  <c r="AJ12" i="4" s="1"/>
  <c r="AN12" i="4" s="1"/>
  <c r="AQ12" i="4"/>
  <c r="AO65" i="4"/>
  <c r="AS65" i="4" s="1"/>
  <c r="AT65" i="4" s="1"/>
  <c r="BO65" i="4"/>
  <c r="BM65" i="4"/>
  <c r="BH65" i="4"/>
  <c r="BF65" i="4"/>
  <c r="BK65" i="4"/>
  <c r="BP65" i="4"/>
  <c r="BL65" i="4"/>
  <c r="BN65" i="4"/>
  <c r="BJ65" i="4"/>
  <c r="BG65" i="4"/>
  <c r="BI65" i="4"/>
  <c r="BD65" i="4"/>
  <c r="BB65" i="4"/>
  <c r="AP65" i="4"/>
  <c r="BE65" i="4"/>
  <c r="AZ65" i="4"/>
  <c r="AY65" i="4"/>
  <c r="AU65" i="4"/>
  <c r="AW65" i="4"/>
  <c r="BA65" i="4"/>
  <c r="AV37" i="4"/>
  <c r="AW37" i="4" s="1"/>
  <c r="AX37" i="4" s="1"/>
  <c r="AZ37" i="4" s="1"/>
  <c r="AN62" i="4"/>
  <c r="AO62" i="4"/>
  <c r="BL21" i="4"/>
  <c r="AG46" i="4"/>
  <c r="AI46" i="4" s="1"/>
  <c r="AQ46" i="4"/>
  <c r="AA10" i="4"/>
  <c r="AL10" i="4"/>
  <c r="AN18" i="4"/>
  <c r="AQ18" i="4"/>
  <c r="AG28" i="4"/>
  <c r="AH28" i="4" s="1"/>
  <c r="AI28" i="4" s="1"/>
  <c r="AJ28" i="4" s="1"/>
  <c r="AK28" i="4" s="1"/>
  <c r="AN28" i="4" s="1"/>
  <c r="AQ28" i="4"/>
  <c r="AO27" i="4"/>
  <c r="AP27" i="4" s="1"/>
  <c r="AT27" i="4" s="1"/>
  <c r="BF27" i="4"/>
  <c r="BK27" i="4"/>
  <c r="BJ27" i="4"/>
  <c r="BI27" i="4"/>
  <c r="BG27" i="4"/>
  <c r="BO27" i="4"/>
  <c r="BN27" i="4"/>
  <c r="BM27" i="4"/>
  <c r="BL27" i="4"/>
  <c r="BH27" i="4"/>
  <c r="BP27" i="4"/>
  <c r="BA27" i="4"/>
  <c r="AZ27" i="4"/>
  <c r="BC27" i="4"/>
  <c r="AY27" i="4"/>
  <c r="AX27" i="4"/>
  <c r="AW27" i="4"/>
  <c r="BE27" i="4"/>
  <c r="AU27" i="4"/>
  <c r="BB27" i="4"/>
  <c r="BD27" i="4"/>
  <c r="AA7" i="4"/>
  <c r="AL7" i="4"/>
  <c r="AZ20" i="4"/>
  <c r="BA20" i="4" s="1"/>
  <c r="AG27" i="4"/>
  <c r="AI27" i="4" s="1"/>
  <c r="AQ27" i="4"/>
  <c r="BN63" i="4"/>
  <c r="BO63" i="4"/>
  <c r="BL63" i="4"/>
  <c r="BJ63" i="4"/>
  <c r="BK63" i="4"/>
  <c r="BF63" i="4"/>
  <c r="BM63" i="4"/>
  <c r="BP63" i="4"/>
  <c r="BI63" i="4"/>
  <c r="BD63" i="4"/>
  <c r="BA63" i="4"/>
  <c r="AW63" i="4"/>
  <c r="BB63" i="4"/>
  <c r="AY63" i="4"/>
  <c r="AZ63" i="4" s="1"/>
  <c r="BE63" i="4"/>
  <c r="AT54" i="4"/>
  <c r="BG54" i="4"/>
  <c r="BF54" i="4"/>
  <c r="BE54" i="4"/>
  <c r="AU54" i="4"/>
  <c r="BB54" i="4"/>
  <c r="AY54" i="4"/>
  <c r="AX54" i="4"/>
  <c r="AZ54" i="4"/>
  <c r="AV54" i="4"/>
  <c r="AO53" i="4"/>
  <c r="AS53" i="4" s="1"/>
  <c r="AT53" i="4" s="1"/>
  <c r="BK53" i="4"/>
  <c r="BP53" i="4"/>
  <c r="BO53" i="4"/>
  <c r="BN53" i="4"/>
  <c r="BI53" i="4"/>
  <c r="BF53" i="4"/>
  <c r="BG53" i="4"/>
  <c r="BJ53" i="4"/>
  <c r="BL53" i="4"/>
  <c r="BM53" i="4"/>
  <c r="BH53" i="4"/>
  <c r="BB53" i="4"/>
  <c r="AU53" i="4"/>
  <c r="BC53" i="4"/>
  <c r="BE53" i="4"/>
  <c r="BD53" i="4"/>
  <c r="BA53" i="4"/>
  <c r="AY53" i="4"/>
  <c r="AX53" i="4"/>
  <c r="BH4" i="4"/>
  <c r="BP4" i="4"/>
  <c r="BO4" i="4"/>
  <c r="BK4" i="4"/>
  <c r="BJ4" i="4"/>
  <c r="BI4" i="4"/>
  <c r="BA9" i="4"/>
  <c r="BB9" i="4"/>
  <c r="AO46" i="4"/>
  <c r="BF46" i="4"/>
  <c r="BL46" i="4"/>
  <c r="BN46" i="4"/>
  <c r="BI46" i="4"/>
  <c r="BP46" i="4"/>
  <c r="BG46" i="4"/>
  <c r="BH46" i="4"/>
  <c r="BO46" i="4"/>
  <c r="BK46" i="4"/>
  <c r="BM46" i="4"/>
  <c r="BJ46" i="4"/>
  <c r="AX46" i="4"/>
  <c r="AP46" i="4"/>
  <c r="BA46" i="4"/>
  <c r="BC46" i="4"/>
  <c r="AY46" i="4"/>
  <c r="AS46" i="4"/>
  <c r="BB46" i="4"/>
  <c r="AR46" i="4"/>
  <c r="BE46" i="4"/>
  <c r="BD46" i="4"/>
  <c r="AW46" i="4"/>
  <c r="AV19" i="4"/>
  <c r="AW19" i="4" s="1"/>
  <c r="AX19" i="4" s="1"/>
  <c r="AY19" i="4" s="1"/>
  <c r="AZ19" i="4" s="1"/>
  <c r="BA19" i="4" s="1"/>
  <c r="AV22" i="4"/>
  <c r="AZ22" i="4" s="1"/>
  <c r="AB8" i="4"/>
  <c r="AE8" i="4" s="1"/>
  <c r="AS8" i="4"/>
  <c r="AM8" i="4"/>
  <c r="AN41" i="4"/>
  <c r="AT49" i="4"/>
  <c r="AU49" i="4" s="1"/>
  <c r="AV49" i="4" s="1"/>
  <c r="AW49" i="4" s="1"/>
  <c r="AX49" i="4" s="1"/>
  <c r="AZ49" i="4" s="1"/>
  <c r="BA49" i="4" s="1"/>
  <c r="BN49" i="4"/>
  <c r="BJ49" i="4"/>
  <c r="BI49" i="4"/>
  <c r="BP49" i="4"/>
  <c r="BO49" i="4"/>
  <c r="BL49" i="4"/>
  <c r="BK49" i="4"/>
  <c r="BM49" i="4"/>
  <c r="BH49" i="4"/>
  <c r="AG33" i="4"/>
  <c r="AH33" i="4" s="1"/>
  <c r="AI33" i="4" s="1"/>
  <c r="AJ33" i="4" s="1"/>
  <c r="AK33" i="4" s="1"/>
  <c r="AN33" i="4" s="1"/>
  <c r="AQ33" i="4"/>
  <c r="AO40" i="4"/>
  <c r="AP40" i="4" s="1"/>
  <c r="AQ40" i="4" s="1"/>
  <c r="AS40" i="4" s="1"/>
  <c r="BN40" i="4"/>
  <c r="BL40" i="4"/>
  <c r="BG40" i="4"/>
  <c r="BH40" i="4"/>
  <c r="BM40" i="4"/>
  <c r="BF40" i="4"/>
  <c r="AV40" i="4"/>
  <c r="BE40" i="4"/>
  <c r="BC40" i="4"/>
  <c r="BB40" i="4"/>
  <c r="BD40" i="4"/>
  <c r="AW40" i="4"/>
  <c r="AZ40" i="4"/>
  <c r="AR3" i="4"/>
  <c r="BI3" i="4"/>
  <c r="BJ68" i="4"/>
  <c r="BH68" i="4"/>
  <c r="BM68" i="4"/>
  <c r="BP68" i="4"/>
  <c r="BK68" i="4"/>
  <c r="BN68" i="4"/>
  <c r="BG68" i="4"/>
  <c r="BI68" i="4"/>
  <c r="BL68" i="4"/>
  <c r="BF68" i="4"/>
  <c r="BO68" i="4"/>
  <c r="AO13" i="4"/>
  <c r="AP13" i="4" s="1"/>
  <c r="AQ13" i="4" s="1"/>
  <c r="AR13" i="4" s="1"/>
  <c r="AS13" i="4" s="1"/>
  <c r="AT13" i="4" s="1"/>
  <c r="AU13" i="4" s="1"/>
  <c r="AV13" i="4" s="1"/>
  <c r="AW13" i="4" s="1"/>
  <c r="AX13" i="4" s="1"/>
  <c r="AY13" i="4" s="1"/>
  <c r="BN13" i="4"/>
  <c r="BM13" i="4"/>
  <c r="BG13" i="4"/>
  <c r="BF13" i="4"/>
  <c r="BO13" i="4"/>
  <c r="BP13" i="4"/>
  <c r="BJ13" i="4"/>
  <c r="BK13" i="4"/>
  <c r="BH13" i="4"/>
  <c r="BI13" i="4"/>
  <c r="BL13" i="4"/>
  <c r="BA13" i="4"/>
  <c r="BD13" i="4"/>
  <c r="BC13" i="4"/>
  <c r="BE13" i="4"/>
  <c r="AZ13" i="4"/>
  <c r="BB13" i="4"/>
  <c r="AO45" i="4"/>
  <c r="AP45" i="4" s="1"/>
  <c r="AS45" i="4" s="1"/>
  <c r="AT45" i="4" s="1"/>
  <c r="BM45" i="4"/>
  <c r="BH45" i="4"/>
  <c r="BN45" i="4"/>
  <c r="BJ45" i="4"/>
  <c r="BO45" i="4"/>
  <c r="BL45" i="4"/>
  <c r="BK45" i="4"/>
  <c r="BI45" i="4"/>
  <c r="BP45" i="4"/>
  <c r="BG45" i="4"/>
  <c r="BF45" i="4"/>
  <c r="AW45" i="4"/>
  <c r="BD45" i="4"/>
  <c r="AZ45" i="4"/>
  <c r="AX45" i="4"/>
  <c r="AU45" i="4"/>
  <c r="BB45" i="4"/>
  <c r="BC45" i="4"/>
  <c r="AY45" i="4"/>
  <c r="BA45" i="4"/>
  <c r="AP56" i="4"/>
  <c r="AQ56" i="4" s="1"/>
  <c r="AS56" i="4" s="1"/>
  <c r="AU56" i="4" s="1"/>
  <c r="AX56" i="4" s="1"/>
  <c r="AY56" i="4" s="1"/>
  <c r="BB56" i="4" s="1"/>
  <c r="AV56" i="4"/>
  <c r="AB17" i="4"/>
  <c r="AC17" i="4" s="1"/>
  <c r="AD17" i="4" s="1"/>
  <c r="AE17" i="4" s="1"/>
  <c r="AF17" i="4" s="1"/>
  <c r="AR17" i="4"/>
  <c r="AM17" i="4"/>
  <c r="AS17" i="4"/>
  <c r="AO68" i="4"/>
  <c r="AP68" i="4" s="1"/>
  <c r="AQ68" i="4" s="1"/>
  <c r="AS68" i="4" s="1"/>
  <c r="BD68" i="4"/>
  <c r="AV68" i="4"/>
  <c r="AU68" i="4"/>
  <c r="BB68" i="4"/>
  <c r="BA68" i="4"/>
  <c r="BE68" i="4"/>
  <c r="AZ68" i="4"/>
  <c r="AI17" i="4"/>
  <c r="AF4" i="4"/>
  <c r="AG8" i="4"/>
  <c r="AH8" i="4" s="1"/>
  <c r="AI8" i="4" s="1"/>
  <c r="AK8" i="4" s="1"/>
  <c r="AL8" i="4" s="1"/>
  <c r="AK57" i="4"/>
  <c r="AG57" i="4"/>
  <c r="AH57" i="4"/>
  <c r="Z67" i="4"/>
  <c r="AA67" i="4" s="1"/>
  <c r="AG67" i="4"/>
  <c r="AD18" i="4"/>
  <c r="AG18" i="4" s="1"/>
  <c r="AI18" i="4" s="1"/>
  <c r="AM18" i="4" s="1"/>
  <c r="AE18" i="4"/>
  <c r="Y75" i="4"/>
  <c r="Z75" i="4" s="1"/>
  <c r="AA75" i="4" s="1"/>
  <c r="AB75" i="4" s="1"/>
  <c r="AC75" i="4" s="1"/>
  <c r="AD75" i="4" s="1"/>
  <c r="AE75" i="4" s="1"/>
  <c r="AF75" i="4" s="1"/>
  <c r="AG75" i="4" s="1"/>
  <c r="AH75" i="4" s="1"/>
  <c r="AI75" i="4" s="1"/>
  <c r="AJ75" i="4" s="1"/>
  <c r="AK75" i="4" s="1"/>
  <c r="AL75" i="4" s="1"/>
  <c r="AM75" i="4" s="1"/>
  <c r="AN75" i="4" s="1"/>
  <c r="AO75" i="4" s="1"/>
  <c r="AP75" i="4" s="1"/>
  <c r="AQ75" i="4" s="1"/>
  <c r="AR75" i="4" s="1"/>
  <c r="AS75" i="4" s="1"/>
  <c r="AT75" i="4" s="1"/>
  <c r="AU75" i="4" s="1"/>
  <c r="AV75" i="4" s="1"/>
  <c r="AW75" i="4" s="1"/>
  <c r="AX75" i="4" s="1"/>
  <c r="AY75" i="4" s="1"/>
  <c r="AZ75" i="4" s="1"/>
  <c r="BA75" i="4" s="1"/>
  <c r="BB75" i="4" s="1"/>
  <c r="BC75" i="4" s="1"/>
  <c r="BD75" i="4" s="1"/>
  <c r="BE75" i="4" s="1"/>
  <c r="BF75" i="4" s="1"/>
  <c r="BG75" i="4" s="1"/>
  <c r="BH75" i="4" s="1"/>
  <c r="BI75" i="4" s="1"/>
  <c r="BJ75" i="4" s="1"/>
  <c r="BK75" i="4" s="1"/>
  <c r="BL75" i="4" s="1"/>
  <c r="BM75" i="4" s="1"/>
  <c r="BN75" i="4" s="1"/>
  <c r="BO75" i="4" s="1"/>
  <c r="BP75" i="4" s="1"/>
  <c r="Y73" i="4"/>
  <c r="Z73" i="4" s="1"/>
  <c r="AA73" i="4" s="1"/>
  <c r="AB73" i="4" s="1"/>
  <c r="AC73" i="4" s="1"/>
  <c r="AD73" i="4" s="1"/>
  <c r="AE73" i="4" s="1"/>
  <c r="AF73" i="4" s="1"/>
  <c r="AG73" i="4" s="1"/>
  <c r="AH73" i="4" s="1"/>
  <c r="AI73" i="4" s="1"/>
  <c r="AJ73" i="4" s="1"/>
  <c r="AK73" i="4" s="1"/>
  <c r="AL73" i="4" s="1"/>
  <c r="AM73" i="4" s="1"/>
  <c r="AN73" i="4" s="1"/>
  <c r="AO73" i="4" s="1"/>
  <c r="AP73" i="4" s="1"/>
  <c r="AQ73" i="4" s="1"/>
  <c r="AR73" i="4" s="1"/>
  <c r="AS73" i="4" s="1"/>
  <c r="AT73" i="4" s="1"/>
  <c r="AU73" i="4" s="1"/>
  <c r="AV73" i="4" s="1"/>
  <c r="AW73" i="4" s="1"/>
  <c r="AX73" i="4" s="1"/>
  <c r="AY73" i="4" s="1"/>
  <c r="AZ73" i="4" s="1"/>
  <c r="BA73" i="4" s="1"/>
  <c r="BB73" i="4" s="1"/>
  <c r="BC73" i="4" s="1"/>
  <c r="BD73" i="4" s="1"/>
  <c r="BE73" i="4" s="1"/>
  <c r="BF73" i="4" s="1"/>
  <c r="BG73" i="4" s="1"/>
  <c r="BH73" i="4" s="1"/>
  <c r="BI73" i="4" s="1"/>
  <c r="BJ73" i="4" s="1"/>
  <c r="BK73" i="4" s="1"/>
  <c r="BL73" i="4" s="1"/>
  <c r="BM73" i="4" s="1"/>
  <c r="BN73" i="4" s="1"/>
  <c r="BO73" i="4" s="1"/>
  <c r="BP73" i="4" s="1"/>
  <c r="Z70" i="4"/>
  <c r="AA70" i="4" s="1"/>
  <c r="AB70" i="4" s="1"/>
  <c r="AC70" i="4" s="1"/>
  <c r="AD70" i="4" s="1"/>
  <c r="AE70" i="4" s="1"/>
  <c r="AF70" i="4" s="1"/>
  <c r="AG70" i="4" s="1"/>
  <c r="AH70" i="4" s="1"/>
  <c r="AI70" i="4" s="1"/>
  <c r="AJ70" i="4" s="1"/>
  <c r="AK70" i="4" s="1"/>
  <c r="AL70" i="4" s="1"/>
  <c r="AM70" i="4" s="1"/>
  <c r="AN70" i="4" s="1"/>
  <c r="AO70" i="4" s="1"/>
  <c r="AP70" i="4" s="1"/>
  <c r="AQ70" i="4" s="1"/>
  <c r="AR70" i="4" s="1"/>
  <c r="AS70" i="4" s="1"/>
  <c r="AT70" i="4" s="1"/>
  <c r="AU70" i="4" s="1"/>
  <c r="AV70" i="4" s="1"/>
  <c r="AW70" i="4" s="1"/>
  <c r="AX70" i="4" s="1"/>
  <c r="AY70" i="4" s="1"/>
  <c r="AZ70" i="4" s="1"/>
  <c r="BA70" i="4" s="1"/>
  <c r="BB70" i="4" s="1"/>
  <c r="BC70" i="4" s="1"/>
  <c r="BD70" i="4" s="1"/>
  <c r="BE70" i="4" s="1"/>
  <c r="BF70" i="4" s="1"/>
  <c r="BG70" i="4" s="1"/>
  <c r="BH70" i="4" s="1"/>
  <c r="BI70" i="4" s="1"/>
  <c r="BJ70" i="4" s="1"/>
  <c r="BK70" i="4" s="1"/>
  <c r="BL70" i="4" s="1"/>
  <c r="BM70" i="4" s="1"/>
  <c r="BN70" i="4" s="1"/>
  <c r="BO70" i="4" s="1"/>
  <c r="BP70" i="4" s="1"/>
  <c r="P44" i="4"/>
  <c r="Q44" i="4" s="1"/>
  <c r="W44" i="4"/>
  <c r="Z44" i="4"/>
  <c r="AL44" i="4" s="1"/>
  <c r="V26" i="4"/>
  <c r="W26" i="4" s="1"/>
  <c r="AC26" i="4" s="1"/>
  <c r="Z26" i="4"/>
  <c r="X26" i="4"/>
  <c r="Q57" i="4"/>
  <c r="U57" i="4"/>
  <c r="Q30" i="4"/>
  <c r="U30" i="4"/>
  <c r="T71" i="4"/>
  <c r="U71" i="4" s="1"/>
  <c r="V71" i="4" s="1"/>
  <c r="W71" i="4" s="1"/>
  <c r="Y71" i="4" s="1"/>
  <c r="Z71" i="4" s="1"/>
  <c r="AA71" i="4" s="1"/>
  <c r="AB71" i="4" s="1"/>
  <c r="AC71" i="4" s="1"/>
  <c r="AD71" i="4" s="1"/>
  <c r="AE71" i="4" s="1"/>
  <c r="AF71" i="4" s="1"/>
  <c r="AG71" i="4" s="1"/>
  <c r="AH71" i="4" s="1"/>
  <c r="AI71" i="4" s="1"/>
  <c r="AJ71" i="4" s="1"/>
  <c r="AK71" i="4" s="1"/>
  <c r="AL71" i="4" s="1"/>
  <c r="AM71" i="4" s="1"/>
  <c r="AN71" i="4" s="1"/>
  <c r="AO71" i="4" s="1"/>
  <c r="AP71" i="4" s="1"/>
  <c r="AQ71" i="4" s="1"/>
  <c r="AR71" i="4" s="1"/>
  <c r="AS71" i="4" s="1"/>
  <c r="AT71" i="4" s="1"/>
  <c r="AU71" i="4" s="1"/>
  <c r="AV71" i="4" s="1"/>
  <c r="AW71" i="4" s="1"/>
  <c r="AX71" i="4" s="1"/>
  <c r="AY71" i="4" s="1"/>
  <c r="AZ71" i="4" s="1"/>
  <c r="BA71" i="4" s="1"/>
  <c r="BB71" i="4" s="1"/>
  <c r="BC71" i="4" s="1"/>
  <c r="BD71" i="4" s="1"/>
  <c r="BE71" i="4" s="1"/>
  <c r="BF71" i="4" s="1"/>
  <c r="BG71" i="4" s="1"/>
  <c r="BH71" i="4" s="1"/>
  <c r="BI71" i="4" s="1"/>
  <c r="BJ71" i="4" s="1"/>
  <c r="BK71" i="4" s="1"/>
  <c r="BL71" i="4" s="1"/>
  <c r="BM71" i="4" s="1"/>
  <c r="BN71" i="4" s="1"/>
  <c r="BO71" i="4" s="1"/>
  <c r="BP71" i="4" s="1"/>
  <c r="S71" i="4"/>
  <c r="T57" i="4"/>
  <c r="Z57" i="4" s="1"/>
  <c r="AA57" i="4" s="1"/>
  <c r="J81" i="10" l="1"/>
  <c r="E78" i="10"/>
  <c r="T85" i="10"/>
  <c r="U76" i="10"/>
  <c r="T88" i="10"/>
  <c r="N76" i="10"/>
  <c r="U81" i="10"/>
  <c r="N92" i="10"/>
  <c r="D80" i="10"/>
  <c r="N91" i="10"/>
  <c r="F87" i="10"/>
  <c r="M76" i="10"/>
  <c r="S91" i="10"/>
  <c r="V90" i="10"/>
  <c r="K77" i="10"/>
  <c r="V81" i="10"/>
  <c r="L81" i="10"/>
  <c r="M88" i="10"/>
  <c r="M80" i="10"/>
  <c r="T86" i="10"/>
  <c r="Q83" i="10"/>
  <c r="F79" i="10"/>
  <c r="T94" i="10"/>
  <c r="O82" i="10"/>
  <c r="V95" i="10"/>
  <c r="O86" i="10"/>
  <c r="M87" i="10"/>
  <c r="G75" i="10"/>
  <c r="N89" i="10"/>
  <c r="H77" i="10"/>
  <c r="K80" i="10"/>
  <c r="J77" i="10"/>
  <c r="S80" i="10"/>
  <c r="H86" i="10"/>
  <c r="H94" i="10"/>
  <c r="C82" i="10"/>
  <c r="S86" i="10"/>
  <c r="B92" i="10"/>
  <c r="S77" i="10"/>
  <c r="S84" i="10"/>
  <c r="F77" i="10"/>
  <c r="P83" i="10"/>
  <c r="B87" i="10"/>
  <c r="C88" i="10"/>
  <c r="E91" i="10"/>
  <c r="N81" i="10"/>
  <c r="V85" i="10"/>
  <c r="D76" i="10"/>
  <c r="B88" i="10"/>
  <c r="O93" i="10"/>
  <c r="Q81" i="10"/>
  <c r="B80" i="10"/>
  <c r="L75" i="10"/>
  <c r="H81" i="10"/>
  <c r="K93" i="10"/>
  <c r="R88" i="10"/>
  <c r="H89" i="10"/>
  <c r="O79" i="10"/>
  <c r="L89" i="10"/>
  <c r="T84" i="10"/>
  <c r="B95" i="10"/>
  <c r="C76" i="10"/>
  <c r="U83" i="10"/>
  <c r="U85" i="10"/>
  <c r="C89" i="10"/>
  <c r="O78" i="10"/>
  <c r="I86" i="10"/>
  <c r="E75" i="10"/>
  <c r="H80" i="10"/>
  <c r="M83" i="10"/>
  <c r="H84" i="10"/>
  <c r="D94" i="10"/>
  <c r="U77" i="10"/>
  <c r="P76" i="10"/>
  <c r="M77" i="10"/>
  <c r="P91" i="10"/>
  <c r="E83" i="10"/>
  <c r="I87" i="10"/>
  <c r="C80" i="10"/>
  <c r="T82" i="10"/>
  <c r="R82" i="10"/>
  <c r="S79" i="10"/>
  <c r="B84" i="10"/>
  <c r="T92" i="10"/>
  <c r="F91" i="10"/>
  <c r="T78" i="10"/>
  <c r="D90" i="10"/>
  <c r="U86" i="10"/>
  <c r="B77" i="10"/>
  <c r="O89" i="10"/>
  <c r="I79" i="10"/>
  <c r="N82" i="10"/>
  <c r="R78" i="10"/>
  <c r="O84" i="10"/>
  <c r="L86" i="10"/>
  <c r="F94" i="10"/>
  <c r="T76" i="10"/>
  <c r="D93" i="10"/>
  <c r="J76" i="10"/>
  <c r="T91" i="10"/>
  <c r="F95" i="10"/>
  <c r="M84" i="10"/>
  <c r="I91" i="10"/>
  <c r="J80" i="10"/>
  <c r="V82" i="10"/>
  <c r="U94" i="10"/>
  <c r="C83" i="10"/>
  <c r="N87" i="10"/>
  <c r="M79" i="10"/>
  <c r="S78" i="10"/>
  <c r="F76" i="10"/>
  <c r="P93" i="10"/>
  <c r="O95" i="10"/>
  <c r="I85" i="10"/>
  <c r="S89" i="10"/>
  <c r="M90" i="10"/>
  <c r="P88" i="10"/>
  <c r="V77" i="10"/>
  <c r="R91" i="10"/>
  <c r="D84" i="10"/>
  <c r="J84" i="10"/>
  <c r="J78" i="10"/>
  <c r="H76" i="10"/>
  <c r="K90" i="10"/>
  <c r="O85" i="10"/>
  <c r="R77" i="10"/>
  <c r="O92" i="10"/>
  <c r="L93" i="10"/>
  <c r="V86" i="10"/>
  <c r="B86" i="10"/>
  <c r="N79" i="10"/>
  <c r="E76" i="10"/>
  <c r="J87" i="10"/>
  <c r="N78" i="10"/>
  <c r="J86" i="10"/>
  <c r="S93" i="10"/>
  <c r="P78" i="10"/>
  <c r="E88" i="10"/>
  <c r="C75" i="10"/>
  <c r="E84" i="10"/>
  <c r="B76" i="10"/>
  <c r="Q77" i="10"/>
  <c r="H88" i="10"/>
  <c r="O91" i="10"/>
  <c r="M85" i="10"/>
  <c r="L90" i="10"/>
  <c r="V75" i="10"/>
  <c r="G76" i="10"/>
  <c r="P87" i="10"/>
  <c r="D89" i="10"/>
  <c r="G78" i="10"/>
  <c r="D81" i="10"/>
  <c r="E87" i="10"/>
  <c r="F86" i="10"/>
  <c r="S82" i="10"/>
  <c r="F81" i="10"/>
  <c r="B91" i="10"/>
  <c r="G83" i="10"/>
  <c r="R79" i="10"/>
  <c r="O88" i="10"/>
  <c r="K89" i="10"/>
  <c r="J89" i="10"/>
  <c r="L76" i="10"/>
  <c r="J94" i="10"/>
  <c r="T80" i="10"/>
  <c r="C95" i="10"/>
  <c r="O81" i="10"/>
  <c r="V76" i="10"/>
  <c r="F85" i="10"/>
  <c r="F82" i="10"/>
  <c r="G79" i="10"/>
  <c r="O75" i="10"/>
  <c r="D75" i="10"/>
  <c r="J82" i="10"/>
  <c r="B83" i="10"/>
  <c r="G89" i="10"/>
  <c r="Q82" i="10"/>
  <c r="G94" i="10"/>
  <c r="I84" i="10"/>
  <c r="C93" i="10"/>
  <c r="U87" i="10"/>
  <c r="B90" i="10"/>
  <c r="K92" i="10"/>
  <c r="E80" i="10"/>
  <c r="N95" i="10"/>
  <c r="E85" i="10"/>
  <c r="S87" i="10"/>
  <c r="R75" i="10"/>
  <c r="P81" i="10"/>
  <c r="Q87" i="10"/>
  <c r="U79" i="10"/>
  <c r="U78" i="10"/>
  <c r="R85" i="10"/>
  <c r="R84" i="10"/>
  <c r="S81" i="10"/>
  <c r="N93" i="10"/>
  <c r="U91" i="10"/>
  <c r="M75" i="10"/>
  <c r="Q95" i="10"/>
  <c r="H87" i="10"/>
  <c r="I83" i="10"/>
  <c r="K83" i="10"/>
  <c r="H90" i="10"/>
  <c r="H79" i="10"/>
  <c r="T90" i="10"/>
  <c r="E89" i="10"/>
  <c r="G82" i="10"/>
  <c r="L84" i="10"/>
  <c r="M91" i="10"/>
  <c r="D83" i="10"/>
  <c r="S76" i="10"/>
  <c r="F90" i="10"/>
  <c r="Q93" i="10"/>
  <c r="P85" i="10"/>
  <c r="V78" i="10"/>
  <c r="P84" i="10"/>
  <c r="M82" i="10"/>
  <c r="L82" i="10"/>
  <c r="L92" i="10"/>
  <c r="U75" i="10"/>
  <c r="N90" i="10"/>
  <c r="R93" i="10"/>
  <c r="J91" i="10"/>
  <c r="P82" i="10"/>
  <c r="V91" i="10"/>
  <c r="D91" i="10"/>
  <c r="K79" i="10"/>
  <c r="O83" i="10"/>
  <c r="M92" i="10"/>
  <c r="O94" i="10"/>
  <c r="K76" i="10"/>
  <c r="V83" i="10"/>
  <c r="G84" i="10"/>
  <c r="T75" i="10"/>
  <c r="E94" i="10"/>
  <c r="U89" i="10"/>
  <c r="I92" i="10"/>
  <c r="V94" i="10"/>
  <c r="S92" i="10"/>
  <c r="Q94" i="10"/>
  <c r="I77" i="10"/>
  <c r="Q76" i="10"/>
  <c r="C84" i="10"/>
  <c r="S90" i="10"/>
  <c r="T93" i="10"/>
  <c r="O77" i="10"/>
  <c r="H91" i="10"/>
  <c r="I88" i="10"/>
  <c r="H85" i="10"/>
  <c r="R89" i="10"/>
  <c r="B79" i="10"/>
  <c r="U80" i="10"/>
  <c r="N83" i="10"/>
  <c r="B93" i="10"/>
  <c r="D78" i="10"/>
  <c r="L87" i="10"/>
  <c r="G88" i="10"/>
  <c r="R87" i="10"/>
  <c r="I80" i="10"/>
  <c r="E95" i="10"/>
  <c r="K88" i="10"/>
  <c r="M94" i="10"/>
  <c r="P95" i="10"/>
  <c r="H82" i="10"/>
  <c r="C87" i="10"/>
  <c r="Q86" i="10"/>
  <c r="Q78" i="10"/>
  <c r="J92" i="10"/>
  <c r="V84" i="10"/>
  <c r="N84" i="10"/>
  <c r="T95" i="10"/>
  <c r="C91" i="10"/>
  <c r="L83" i="10"/>
  <c r="M81" i="10"/>
  <c r="H92" i="10"/>
  <c r="R92" i="10"/>
  <c r="V79" i="10"/>
  <c r="K87" i="10"/>
  <c r="K95" i="10"/>
  <c r="E90" i="10"/>
  <c r="J93" i="10"/>
  <c r="U84" i="10"/>
  <c r="G90" i="10"/>
  <c r="T77" i="10"/>
  <c r="H75" i="10"/>
  <c r="J90" i="10"/>
  <c r="M95" i="10"/>
  <c r="P77" i="10"/>
  <c r="D86" i="10"/>
  <c r="N94" i="10"/>
  <c r="I95" i="10"/>
  <c r="J75" i="10"/>
  <c r="R86" i="10"/>
  <c r="M86" i="10"/>
  <c r="L88" i="10"/>
  <c r="K86" i="10"/>
  <c r="H83" i="10"/>
  <c r="K78" i="10"/>
  <c r="C85" i="10"/>
  <c r="C92" i="10"/>
  <c r="R80" i="10"/>
  <c r="O87" i="10"/>
  <c r="G81" i="10"/>
  <c r="G93" i="10"/>
  <c r="J88" i="10"/>
  <c r="L85" i="10"/>
  <c r="B85" i="10"/>
  <c r="R94" i="10"/>
  <c r="P80" i="10"/>
  <c r="L77" i="10"/>
  <c r="B78" i="10"/>
  <c r="E79" i="10"/>
  <c r="K81" i="10"/>
  <c r="D77" i="10"/>
  <c r="C94" i="10"/>
  <c r="Q80" i="10"/>
  <c r="P89" i="10"/>
  <c r="T83" i="10"/>
  <c r="Q90" i="10"/>
  <c r="Q84" i="10"/>
  <c r="L91" i="10"/>
  <c r="U93" i="10"/>
  <c r="F89" i="10"/>
  <c r="L79" i="10"/>
  <c r="G85" i="10"/>
  <c r="R76" i="10"/>
  <c r="P92" i="10"/>
  <c r="D82" i="10"/>
  <c r="K85" i="10"/>
  <c r="J83" i="10"/>
  <c r="M78" i="10"/>
  <c r="D87" i="10"/>
  <c r="K84" i="10"/>
  <c r="P90" i="10"/>
  <c r="I76" i="10"/>
  <c r="L78" i="10"/>
  <c r="F92" i="10"/>
  <c r="U82" i="10"/>
  <c r="I75" i="10"/>
  <c r="T81" i="10"/>
  <c r="U95" i="10"/>
  <c r="F78" i="10"/>
  <c r="V93" i="10"/>
  <c r="U92" i="10"/>
  <c r="E77" i="10"/>
  <c r="N86" i="10"/>
  <c r="B94" i="10"/>
  <c r="Q75" i="10"/>
  <c r="S83" i="10"/>
  <c r="V89" i="10"/>
  <c r="C81" i="10"/>
  <c r="E86" i="10"/>
  <c r="B82" i="10"/>
  <c r="G87" i="10"/>
  <c r="O90" i="10"/>
  <c r="C90" i="10"/>
  <c r="V87" i="10"/>
  <c r="F88" i="10"/>
  <c r="N85" i="10"/>
  <c r="Q91" i="10"/>
  <c r="F80" i="10"/>
  <c r="R90" i="10"/>
  <c r="C77" i="10"/>
  <c r="G91" i="10"/>
  <c r="E81" i="10"/>
  <c r="P86" i="10"/>
  <c r="R81" i="10"/>
  <c r="M93" i="10"/>
  <c r="G92" i="10"/>
  <c r="I89" i="10"/>
  <c r="Q89" i="10"/>
  <c r="C79" i="10"/>
  <c r="K91" i="10"/>
  <c r="K75" i="10"/>
  <c r="K94" i="10"/>
  <c r="T89" i="10"/>
  <c r="T79" i="10"/>
  <c r="R83" i="10"/>
  <c r="P75" i="10"/>
  <c r="I93" i="10"/>
  <c r="S88" i="10"/>
  <c r="C86" i="10"/>
  <c r="P79" i="10"/>
  <c r="U90" i="10"/>
  <c r="S94" i="10"/>
  <c r="S85" i="10"/>
  <c r="B81" i="10"/>
  <c r="Q79" i="10"/>
  <c r="N88" i="10"/>
  <c r="B75" i="10"/>
  <c r="C78" i="10"/>
  <c r="L94" i="10"/>
  <c r="L80" i="10"/>
  <c r="N77" i="10"/>
  <c r="J85" i="10"/>
  <c r="O80" i="10"/>
  <c r="D88" i="10"/>
  <c r="O76" i="10"/>
  <c r="F93" i="10"/>
  <c r="V88" i="10"/>
  <c r="U88" i="10"/>
  <c r="Q85" i="10"/>
  <c r="D95" i="10"/>
  <c r="J79" i="10"/>
  <c r="L95" i="10"/>
  <c r="M89" i="10"/>
  <c r="K82" i="10"/>
  <c r="N80" i="10"/>
  <c r="V80" i="10"/>
  <c r="F83" i="10"/>
  <c r="I81" i="10"/>
  <c r="I94" i="10"/>
  <c r="J95" i="10"/>
  <c r="G95" i="10"/>
  <c r="Q88" i="10"/>
  <c r="AG92" i="8"/>
  <c r="M95" i="8"/>
  <c r="F87" i="8"/>
  <c r="AF94" i="8"/>
  <c r="AK106" i="8"/>
  <c r="N113" i="8"/>
  <c r="U94" i="8"/>
  <c r="U93" i="8"/>
  <c r="AI114" i="8"/>
  <c r="AI108" i="8"/>
  <c r="I94" i="8"/>
  <c r="W99" i="8"/>
  <c r="AE99" i="8"/>
  <c r="J81" i="8"/>
  <c r="AM78" i="8"/>
  <c r="O104" i="8"/>
  <c r="G75" i="8"/>
  <c r="AD75" i="8"/>
  <c r="AI83" i="8"/>
  <c r="S82" i="8"/>
  <c r="R76" i="8"/>
  <c r="AA95" i="8"/>
  <c r="F107" i="8"/>
  <c r="AJ82" i="8"/>
  <c r="AO90" i="8"/>
  <c r="AO92" i="8"/>
  <c r="X88" i="8"/>
  <c r="AE85" i="8"/>
  <c r="K92" i="8"/>
  <c r="D94" i="8"/>
  <c r="AB95" i="8"/>
  <c r="R103" i="8"/>
  <c r="J98" i="8"/>
  <c r="T91" i="8"/>
  <c r="AA93" i="8"/>
  <c r="U110" i="8"/>
  <c r="AN102" i="8"/>
  <c r="AE111" i="8"/>
  <c r="AH109" i="8"/>
  <c r="M78" i="8"/>
  <c r="D84" i="8"/>
  <c r="Y88" i="8"/>
  <c r="R96" i="8"/>
  <c r="G86" i="8"/>
  <c r="J111" i="8"/>
  <c r="AN88" i="8"/>
  <c r="AH110" i="8"/>
  <c r="O90" i="8"/>
  <c r="K77" i="8"/>
  <c r="Z79" i="8"/>
  <c r="Y92" i="8"/>
  <c r="AL104" i="8"/>
  <c r="AH83" i="8"/>
  <c r="X104" i="8"/>
  <c r="F78" i="8"/>
  <c r="AH101" i="8"/>
  <c r="H114" i="8"/>
  <c r="G111" i="8"/>
  <c r="F97" i="8"/>
  <c r="I93" i="8"/>
  <c r="AE86" i="8"/>
  <c r="O92" i="8"/>
  <c r="R104" i="8"/>
  <c r="H106" i="8"/>
  <c r="R78" i="8"/>
  <c r="AC106" i="8"/>
  <c r="AC107" i="8"/>
  <c r="AH103" i="8"/>
  <c r="M107" i="8"/>
  <c r="AJ87" i="8"/>
  <c r="AN108" i="8"/>
  <c r="S88" i="8"/>
  <c r="L75" i="8"/>
  <c r="W81" i="8"/>
  <c r="B96" i="8"/>
  <c r="L100" i="8"/>
  <c r="G84" i="8"/>
  <c r="C104" i="8"/>
  <c r="M98" i="8"/>
  <c r="S81" i="8"/>
  <c r="Z106" i="8"/>
  <c r="AN76" i="8"/>
  <c r="AL87" i="8"/>
  <c r="J88" i="8"/>
  <c r="G88" i="8"/>
  <c r="W77" i="8"/>
  <c r="C75" i="8"/>
  <c r="P95" i="8"/>
  <c r="AI94" i="8"/>
  <c r="O84" i="8"/>
  <c r="AO101" i="8"/>
  <c r="T113" i="8"/>
  <c r="J104" i="8"/>
  <c r="AM109" i="8"/>
  <c r="O100" i="8"/>
  <c r="AN107" i="8"/>
  <c r="Y100" i="8"/>
  <c r="E81" i="8"/>
  <c r="G107" i="8"/>
  <c r="AG113" i="8"/>
  <c r="AO112" i="8"/>
  <c r="Q107" i="8"/>
  <c r="AE101" i="8"/>
  <c r="M92" i="8"/>
  <c r="AI93" i="8"/>
  <c r="AL81" i="8"/>
  <c r="Z111" i="8"/>
  <c r="V110" i="8"/>
  <c r="U97" i="8"/>
  <c r="R88" i="8"/>
  <c r="C98" i="8"/>
  <c r="B89" i="8"/>
  <c r="F88" i="8"/>
  <c r="K80" i="8"/>
  <c r="X79" i="8"/>
  <c r="AI106" i="8"/>
  <c r="T80" i="8"/>
  <c r="AL82" i="8"/>
  <c r="AC103" i="8"/>
  <c r="AN90" i="8"/>
  <c r="B104" i="8"/>
  <c r="S79" i="8"/>
  <c r="AH87" i="8"/>
  <c r="AN85" i="8"/>
  <c r="X109" i="8"/>
  <c r="H102" i="8"/>
  <c r="O94" i="8"/>
  <c r="AL110" i="8"/>
  <c r="U91" i="8"/>
  <c r="N107" i="8"/>
  <c r="F76" i="8"/>
  <c r="T105" i="8"/>
  <c r="Q114" i="8"/>
  <c r="F89" i="8"/>
  <c r="I76" i="8"/>
  <c r="AK75" i="8"/>
  <c r="AK103" i="8"/>
  <c r="O87" i="8"/>
  <c r="H76" i="8"/>
  <c r="B87" i="8"/>
  <c r="AA98" i="8"/>
  <c r="Y84" i="8"/>
  <c r="AM80" i="8"/>
  <c r="Q75" i="8"/>
  <c r="F112" i="8"/>
  <c r="K89" i="8"/>
  <c r="AH85" i="8"/>
  <c r="Q81" i="8"/>
  <c r="R85" i="8"/>
  <c r="C82" i="8"/>
  <c r="P86" i="8"/>
  <c r="AO84" i="8"/>
  <c r="K110" i="8"/>
  <c r="R114" i="8"/>
  <c r="J77" i="8"/>
  <c r="AL75" i="8"/>
  <c r="AH95" i="8"/>
  <c r="AL94" i="8"/>
  <c r="V105" i="8"/>
  <c r="I85" i="8"/>
  <c r="K79" i="8"/>
  <c r="I100" i="8"/>
  <c r="E111" i="8"/>
  <c r="X81" i="8"/>
  <c r="F98" i="8"/>
  <c r="AH111" i="8"/>
  <c r="P108" i="8"/>
  <c r="I98" i="8"/>
  <c r="D76" i="8"/>
  <c r="L84" i="8"/>
  <c r="G102" i="8"/>
  <c r="AD112" i="8"/>
  <c r="X86" i="8"/>
  <c r="AA97" i="8"/>
  <c r="J101" i="8"/>
  <c r="Z75" i="8"/>
  <c r="S97" i="8"/>
  <c r="AJ95" i="8"/>
  <c r="B77" i="8"/>
  <c r="D103" i="8"/>
  <c r="D79" i="8"/>
  <c r="AL113" i="8"/>
  <c r="U75" i="8"/>
  <c r="R84" i="8"/>
  <c r="T79" i="8"/>
  <c r="Q105" i="8"/>
  <c r="AN112" i="8"/>
  <c r="H96" i="8"/>
  <c r="L80" i="8"/>
  <c r="M93" i="8"/>
  <c r="Q90" i="8"/>
  <c r="AA113" i="8"/>
  <c r="AD101" i="8"/>
  <c r="AH114" i="8"/>
  <c r="AG86" i="8"/>
  <c r="B86" i="8"/>
  <c r="M89" i="8"/>
  <c r="R81" i="8"/>
  <c r="AJ91" i="8"/>
  <c r="B94" i="8"/>
  <c r="N93" i="8"/>
  <c r="N100" i="8"/>
  <c r="R93" i="8"/>
  <c r="G112" i="8"/>
  <c r="AC111" i="8"/>
  <c r="AH113" i="8"/>
  <c r="AB112" i="8"/>
  <c r="K88" i="8"/>
  <c r="AA101" i="8"/>
  <c r="I110" i="8"/>
  <c r="L91" i="8"/>
  <c r="B97" i="8"/>
  <c r="L96" i="8"/>
  <c r="P105" i="8"/>
  <c r="V83" i="8"/>
  <c r="V108" i="8"/>
  <c r="AB110" i="8"/>
  <c r="O83" i="8"/>
  <c r="AD97" i="8"/>
  <c r="B90" i="8"/>
  <c r="AE103" i="8"/>
  <c r="Z101" i="8"/>
  <c r="M108" i="8"/>
  <c r="N101" i="8"/>
  <c r="AE107" i="8"/>
  <c r="T101" i="8"/>
  <c r="AB96" i="8"/>
  <c r="AG102" i="8"/>
  <c r="O91" i="8"/>
  <c r="H93" i="8"/>
  <c r="AC85" i="8"/>
  <c r="AC83" i="8"/>
  <c r="K104" i="8"/>
  <c r="N103" i="8"/>
  <c r="AD114" i="8"/>
  <c r="AG75" i="8"/>
  <c r="AI77" i="8"/>
  <c r="AL99" i="8"/>
  <c r="R105" i="8"/>
  <c r="AK84" i="8"/>
  <c r="Q84" i="8"/>
  <c r="I77" i="8"/>
  <c r="F75" i="8"/>
  <c r="Z105" i="8"/>
  <c r="K108" i="8"/>
  <c r="R112" i="8"/>
  <c r="AN99" i="8"/>
  <c r="AB89" i="8"/>
  <c r="D102" i="8"/>
  <c r="AL86" i="8"/>
  <c r="Y102" i="8"/>
  <c r="V103" i="8"/>
  <c r="Q98" i="8"/>
  <c r="M100" i="8"/>
  <c r="X9" i="19"/>
  <c r="Y11" i="18"/>
  <c r="Z4" i="18"/>
  <c r="Y2" i="19"/>
  <c r="B140" i="7" a="1"/>
  <c r="Q94" i="21"/>
  <c r="X17" i="19"/>
  <c r="Y19" i="18"/>
  <c r="Y35" i="17"/>
  <c r="Z37" i="16"/>
  <c r="B142" i="8" a="1"/>
  <c r="Z29" i="22"/>
  <c r="Y27" i="23"/>
  <c r="X63" i="19"/>
  <c r="Y65" i="18"/>
  <c r="Z68" i="18"/>
  <c r="Y66" i="19"/>
  <c r="B128" i="6" a="1"/>
  <c r="Y36" i="18"/>
  <c r="X34" i="19"/>
  <c r="X53" i="19"/>
  <c r="Y55" i="18"/>
  <c r="B142" i="15" a="1"/>
  <c r="Y60" i="18"/>
  <c r="X58" i="19"/>
  <c r="Y9" i="18"/>
  <c r="X7" i="19"/>
  <c r="Z47" i="22"/>
  <c r="Y45" i="23"/>
  <c r="Z34" i="18"/>
  <c r="Y32" i="19"/>
  <c r="B142" i="10" a="1"/>
  <c r="X93" i="21"/>
  <c r="X92" i="21"/>
  <c r="X91" i="21"/>
  <c r="N94" i="21"/>
  <c r="K94" i="21"/>
  <c r="X74" i="21"/>
  <c r="X82" i="21"/>
  <c r="X90" i="21"/>
  <c r="R94" i="21"/>
  <c r="F94" i="21"/>
  <c r="C94" i="21"/>
  <c r="X76" i="21"/>
  <c r="X84" i="21"/>
  <c r="E94" i="21"/>
  <c r="X75" i="21"/>
  <c r="X86" i="21"/>
  <c r="H94" i="21"/>
  <c r="M94" i="21"/>
  <c r="G94" i="21"/>
  <c r="X77" i="21"/>
  <c r="X87" i="21"/>
  <c r="P94" i="21"/>
  <c r="U94" i="21"/>
  <c r="S94" i="21"/>
  <c r="X78" i="21"/>
  <c r="X88" i="21"/>
  <c r="X94" i="21"/>
  <c r="L94" i="21"/>
  <c r="D94" i="21"/>
  <c r="X79" i="21"/>
  <c r="X89" i="21"/>
  <c r="I94" i="21"/>
  <c r="O94" i="21"/>
  <c r="B94" i="21"/>
  <c r="X80" i="21"/>
  <c r="J94" i="21"/>
  <c r="T94" i="21"/>
  <c r="X72" i="21"/>
  <c r="X83" i="21"/>
  <c r="W94" i="21"/>
  <c r="X73" i="21"/>
  <c r="X85" i="21"/>
  <c r="X91" i="23"/>
  <c r="Q94" i="23"/>
  <c r="D94" i="23"/>
  <c r="X68" i="23"/>
  <c r="X70" i="23" s="1"/>
  <c r="X76" i="23"/>
  <c r="X84" i="23"/>
  <c r="G94" i="23"/>
  <c r="T94" i="23"/>
  <c r="X77" i="23"/>
  <c r="X85" i="23"/>
  <c r="X93" i="23"/>
  <c r="O94" i="23"/>
  <c r="J94" i="23"/>
  <c r="E94" i="23"/>
  <c r="K94" i="23"/>
  <c r="X78" i="23"/>
  <c r="X86" i="23"/>
  <c r="W94" i="23"/>
  <c r="R94" i="23"/>
  <c r="U94" i="23"/>
  <c r="M94" i="23"/>
  <c r="X79" i="23"/>
  <c r="X87" i="23"/>
  <c r="H94" i="23"/>
  <c r="L94" i="23"/>
  <c r="X72" i="23"/>
  <c r="X80" i="23"/>
  <c r="X88" i="23"/>
  <c r="P94" i="23"/>
  <c r="B94" i="23"/>
  <c r="F94" i="23"/>
  <c r="X73" i="23"/>
  <c r="X81" i="23"/>
  <c r="X89" i="23"/>
  <c r="X92" i="23"/>
  <c r="X94" i="23"/>
  <c r="C94" i="23"/>
  <c r="N94" i="23"/>
  <c r="X74" i="23"/>
  <c r="X82" i="23"/>
  <c r="X90" i="23"/>
  <c r="I94" i="23"/>
  <c r="S94" i="23"/>
  <c r="V94" i="23"/>
  <c r="X75" i="23"/>
  <c r="X83" i="23"/>
  <c r="X81" i="21"/>
  <c r="X68" i="21"/>
  <c r="X70" i="21" s="1"/>
  <c r="L93" i="17"/>
  <c r="W90" i="17"/>
  <c r="W80" i="17"/>
  <c r="M93" i="17"/>
  <c r="G93" i="17"/>
  <c r="W82" i="17"/>
  <c r="W72" i="17"/>
  <c r="W86" i="17"/>
  <c r="W93" i="17"/>
  <c r="W74" i="17"/>
  <c r="W89" i="17"/>
  <c r="B93" i="17"/>
  <c r="W87" i="17"/>
  <c r="W78" i="17"/>
  <c r="C93" i="17"/>
  <c r="F93" i="17"/>
  <c r="W81" i="17"/>
  <c r="W79" i="17"/>
  <c r="P93" i="17"/>
  <c r="I93" i="17"/>
  <c r="W84" i="17"/>
  <c r="D93" i="17"/>
  <c r="W73" i="17"/>
  <c r="U93" i="17"/>
  <c r="E93" i="17"/>
  <c r="W76" i="17"/>
  <c r="W91" i="17"/>
  <c r="R93" i="17"/>
  <c r="V93" i="17"/>
  <c r="K93" i="17"/>
  <c r="N93" i="17"/>
  <c r="W83" i="17"/>
  <c r="W68" i="17"/>
  <c r="W70" i="17" s="1"/>
  <c r="W92" i="17"/>
  <c r="S93" i="17"/>
  <c r="Q93" i="17"/>
  <c r="W85" i="17"/>
  <c r="O93" i="17"/>
  <c r="W75" i="17"/>
  <c r="J93" i="17"/>
  <c r="W88" i="17"/>
  <c r="W77" i="17"/>
  <c r="T93" i="17"/>
  <c r="H93" i="17"/>
  <c r="V94" i="21"/>
  <c r="W90" i="19"/>
  <c r="W91" i="19"/>
  <c r="W92" i="19"/>
  <c r="Y25" i="16"/>
  <c r="X23" i="17"/>
  <c r="Z63" i="20"/>
  <c r="Y61" i="21"/>
  <c r="AA20" i="18"/>
  <c r="AA18" i="19" s="1"/>
  <c r="Z18" i="19"/>
  <c r="AA22" i="20"/>
  <c r="AA20" i="21" s="1"/>
  <c r="Z20" i="21"/>
  <c r="Z50" i="20"/>
  <c r="Y48" i="21"/>
  <c r="AA53" i="20"/>
  <c r="AA51" i="21" s="1"/>
  <c r="Z51" i="21"/>
  <c r="AA13" i="20"/>
  <c r="AA11" i="21" s="1"/>
  <c r="Z11" i="21"/>
  <c r="Y26" i="23"/>
  <c r="Z28" i="22"/>
  <c r="Y18" i="17"/>
  <c r="Z20" i="16"/>
  <c r="X14" i="17"/>
  <c r="Y16" i="16"/>
  <c r="Z68" i="20"/>
  <c r="Y66" i="21"/>
  <c r="Z19" i="20"/>
  <c r="Y17" i="21"/>
  <c r="Y30" i="23"/>
  <c r="Z32" i="22"/>
  <c r="Z24" i="20"/>
  <c r="Y22" i="21"/>
  <c r="X7" i="17"/>
  <c r="Y9" i="16"/>
  <c r="Z63" i="22"/>
  <c r="Y61" i="23"/>
  <c r="X40" i="19"/>
  <c r="Y42" i="18"/>
  <c r="Y23" i="16"/>
  <c r="X21" i="17"/>
  <c r="Y40" i="17"/>
  <c r="Z42" i="16"/>
  <c r="Z63" i="16"/>
  <c r="Y61" i="17"/>
  <c r="Z35" i="23"/>
  <c r="AA37" i="22"/>
  <c r="AA35" i="23" s="1"/>
  <c r="Z40" i="16"/>
  <c r="Y38" i="17"/>
  <c r="AA28" i="18"/>
  <c r="AA26" i="19" s="1"/>
  <c r="Z26" i="19"/>
  <c r="Y7" i="23"/>
  <c r="Z9" i="22"/>
  <c r="Z9" i="20"/>
  <c r="Y7" i="21"/>
  <c r="X27" i="19"/>
  <c r="Y29" i="18"/>
  <c r="X27" i="17"/>
  <c r="Y29" i="16"/>
  <c r="Z60" i="22"/>
  <c r="Y58" i="23"/>
  <c r="X59" i="19"/>
  <c r="Y61" i="18"/>
  <c r="Y13" i="23"/>
  <c r="Z15" i="22"/>
  <c r="Y25" i="17"/>
  <c r="Z27" i="16"/>
  <c r="Z24" i="22"/>
  <c r="Y22" i="23"/>
  <c r="Y49" i="16"/>
  <c r="X47" i="17"/>
  <c r="Z16" i="20"/>
  <c r="Y14" i="21"/>
  <c r="Y56" i="16"/>
  <c r="X54" i="17"/>
  <c r="Y3" i="23"/>
  <c r="Z5" i="22"/>
  <c r="Z17" i="23"/>
  <c r="AA19" i="22"/>
  <c r="AA17" i="23" s="1"/>
  <c r="Y29" i="23"/>
  <c r="Z31" i="22"/>
  <c r="Z21" i="23"/>
  <c r="AA23" i="22"/>
  <c r="AA21" i="23" s="1"/>
  <c r="X29" i="19"/>
  <c r="Y31" i="18"/>
  <c r="Y50" i="23"/>
  <c r="Z52" i="22"/>
  <c r="Z29" i="17"/>
  <c r="AA31" i="16"/>
  <c r="AA29" i="17" s="1"/>
  <c r="AA4" i="16"/>
  <c r="AA2" i="17" s="1"/>
  <c r="Z2" i="17"/>
  <c r="Y66" i="18"/>
  <c r="X64" i="19"/>
  <c r="Y50" i="16"/>
  <c r="X48" i="17"/>
  <c r="X45" i="17"/>
  <c r="Y47" i="16"/>
  <c r="Z24" i="16"/>
  <c r="Y22" i="17"/>
  <c r="Y38" i="18"/>
  <c r="X36" i="19"/>
  <c r="Y54" i="16"/>
  <c r="X52" i="17"/>
  <c r="Z42" i="20"/>
  <c r="Y40" i="21"/>
  <c r="X22" i="19"/>
  <c r="Y24" i="18"/>
  <c r="Z61" i="19"/>
  <c r="AA63" i="18"/>
  <c r="AA61" i="19" s="1"/>
  <c r="Z36" i="20"/>
  <c r="Y34" i="21"/>
  <c r="AA15" i="20"/>
  <c r="AA13" i="21" s="1"/>
  <c r="Z13" i="21"/>
  <c r="Y48" i="16"/>
  <c r="X46" i="17"/>
  <c r="Z62" i="17"/>
  <c r="AA64" i="16"/>
  <c r="AA62" i="17" s="1"/>
  <c r="Y41" i="17"/>
  <c r="Z43" i="16"/>
  <c r="X53" i="17"/>
  <c r="Y55" i="16"/>
  <c r="Z31" i="23"/>
  <c r="AA33" i="22"/>
  <c r="AA31" i="23" s="1"/>
  <c r="Z35" i="20"/>
  <c r="Y33" i="21"/>
  <c r="Z48" i="20"/>
  <c r="Y46" i="21"/>
  <c r="Z56" i="20"/>
  <c r="Y54" i="21"/>
  <c r="Z26" i="17"/>
  <c r="AA28" i="16"/>
  <c r="AA26" i="17" s="1"/>
  <c r="AA49" i="22"/>
  <c r="AA47" i="23" s="1"/>
  <c r="Z47" i="23"/>
  <c r="Y33" i="18"/>
  <c r="X31" i="19"/>
  <c r="Z21" i="18"/>
  <c r="Y19" i="19"/>
  <c r="AA62" i="22"/>
  <c r="AA60" i="23" s="1"/>
  <c r="Z60" i="23"/>
  <c r="AA42" i="22"/>
  <c r="AA40" i="23" s="1"/>
  <c r="Z40" i="23"/>
  <c r="Y17" i="17"/>
  <c r="Z19" i="16"/>
  <c r="Y9" i="17"/>
  <c r="Z11" i="16"/>
  <c r="Y45" i="19"/>
  <c r="Z47" i="18"/>
  <c r="Y58" i="18"/>
  <c r="X56" i="19"/>
  <c r="Z54" i="22"/>
  <c r="Y52" i="23"/>
  <c r="Z49" i="23"/>
  <c r="AA51" i="22"/>
  <c r="AA49" i="23" s="1"/>
  <c r="Z23" i="19"/>
  <c r="AA25" i="18"/>
  <c r="AA23" i="19" s="1"/>
  <c r="Z61" i="16"/>
  <c r="Y59" i="17"/>
  <c r="Z22" i="22"/>
  <c r="Y20" i="23"/>
  <c r="Z56" i="23"/>
  <c r="AA58" i="22"/>
  <c r="AA56" i="23" s="1"/>
  <c r="Y63" i="23"/>
  <c r="Z65" i="22"/>
  <c r="Z36" i="22"/>
  <c r="Y34" i="23"/>
  <c r="Z27" i="22"/>
  <c r="Y25" i="23"/>
  <c r="AA14" i="22"/>
  <c r="AA12" i="23" s="1"/>
  <c r="Z12" i="23"/>
  <c r="Z6" i="22"/>
  <c r="Y4" i="23"/>
  <c r="Z36" i="17"/>
  <c r="AA38" i="16"/>
  <c r="AA36" i="17" s="1"/>
  <c r="X48" i="19"/>
  <c r="Y50" i="18"/>
  <c r="X62" i="19"/>
  <c r="Y64" i="18"/>
  <c r="Y62" i="23"/>
  <c r="Z64" i="22"/>
  <c r="Z53" i="22"/>
  <c r="Y51" i="23"/>
  <c r="X30" i="17"/>
  <c r="Y32" i="16"/>
  <c r="Z64" i="20"/>
  <c r="Y62" i="21"/>
  <c r="AA61" i="20"/>
  <c r="AA59" i="21" s="1"/>
  <c r="Z59" i="21"/>
  <c r="X35" i="19"/>
  <c r="Y37" i="18"/>
  <c r="Y13" i="16"/>
  <c r="X11" i="17"/>
  <c r="X21" i="19"/>
  <c r="Y23" i="18"/>
  <c r="AA45" i="22"/>
  <c r="AA43" i="23" s="1"/>
  <c r="Z43" i="23"/>
  <c r="Z52" i="20"/>
  <c r="Y50" i="21"/>
  <c r="Y64" i="17"/>
  <c r="Z66" i="16"/>
  <c r="X56" i="17"/>
  <c r="Y58" i="16"/>
  <c r="Z49" i="17"/>
  <c r="AA51" i="16"/>
  <c r="AA49" i="17" s="1"/>
  <c r="Z28" i="20"/>
  <c r="Y26" i="21"/>
  <c r="Z58" i="20"/>
  <c r="Y56" i="21"/>
  <c r="Z23" i="20"/>
  <c r="Y21" i="21"/>
  <c r="Z49" i="18"/>
  <c r="Y47" i="19"/>
  <c r="Z48" i="22"/>
  <c r="Y46" i="23"/>
  <c r="Z60" i="16"/>
  <c r="Y58" i="17"/>
  <c r="Z16" i="18"/>
  <c r="Y14" i="19"/>
  <c r="Z20" i="22"/>
  <c r="Y18" i="23"/>
  <c r="AA4" i="20"/>
  <c r="AA2" i="21" s="1"/>
  <c r="Z2" i="21"/>
  <c r="Y34" i="17"/>
  <c r="Z36" i="16"/>
  <c r="X3" i="19"/>
  <c r="Y5" i="18"/>
  <c r="O93" i="19"/>
  <c r="S93" i="19"/>
  <c r="B93" i="19"/>
  <c r="W74" i="19"/>
  <c r="W81" i="19"/>
  <c r="W93" i="19"/>
  <c r="E93" i="19"/>
  <c r="W72" i="19"/>
  <c r="W82" i="19"/>
  <c r="H93" i="19"/>
  <c r="L93" i="19"/>
  <c r="J93" i="19"/>
  <c r="W75" i="19"/>
  <c r="W83" i="19"/>
  <c r="P93" i="19"/>
  <c r="M93" i="19"/>
  <c r="R93" i="19"/>
  <c r="W76" i="19"/>
  <c r="W84" i="19"/>
  <c r="F93" i="19"/>
  <c r="Q93" i="19"/>
  <c r="W77" i="19"/>
  <c r="W85" i="19"/>
  <c r="N93" i="19"/>
  <c r="W68" i="19"/>
  <c r="W70" i="19" s="1"/>
  <c r="I93" i="19"/>
  <c r="T93" i="19"/>
  <c r="W78" i="19"/>
  <c r="W86" i="19"/>
  <c r="V93" i="19"/>
  <c r="C93" i="19"/>
  <c r="U93" i="19"/>
  <c r="W79" i="19"/>
  <c r="W87" i="19"/>
  <c r="G93" i="19"/>
  <c r="K93" i="19"/>
  <c r="D93" i="19"/>
  <c r="W73" i="19"/>
  <c r="W80" i="19"/>
  <c r="W88" i="19"/>
  <c r="W89" i="19"/>
  <c r="Z9" i="23"/>
  <c r="AA11" i="22"/>
  <c r="AA9" i="23" s="1"/>
  <c r="Z53" i="23"/>
  <c r="AA55" i="22"/>
  <c r="AA53" i="23" s="1"/>
  <c r="AA21" i="20"/>
  <c r="AA19" i="21" s="1"/>
  <c r="Z19" i="21"/>
  <c r="X52" i="19"/>
  <c r="Y54" i="18"/>
  <c r="Z11" i="23"/>
  <c r="AA13" i="22"/>
  <c r="AA11" i="23" s="1"/>
  <c r="Y62" i="16"/>
  <c r="X60" i="17"/>
  <c r="Y14" i="16"/>
  <c r="X12" i="17"/>
  <c r="X43" i="17"/>
  <c r="Y45" i="16"/>
  <c r="AA41" i="22"/>
  <c r="AA39" i="23" s="1"/>
  <c r="Z39" i="23"/>
  <c r="Z16" i="22"/>
  <c r="Y14" i="23"/>
  <c r="X13" i="19"/>
  <c r="Y15" i="18"/>
  <c r="Z62" i="20"/>
  <c r="Y60" i="21"/>
  <c r="Z34" i="22"/>
  <c r="Y32" i="23"/>
  <c r="AA29" i="20"/>
  <c r="AA27" i="21" s="1"/>
  <c r="Z27" i="21"/>
  <c r="Y4" i="17"/>
  <c r="Z6" i="16"/>
  <c r="Z50" i="22"/>
  <c r="Y48" i="23"/>
  <c r="AA11" i="20"/>
  <c r="AA9" i="21" s="1"/>
  <c r="Z9" i="21"/>
  <c r="Z20" i="20"/>
  <c r="Y18" i="21"/>
  <c r="AA54" i="20"/>
  <c r="AA52" i="21" s="1"/>
  <c r="Z52" i="21"/>
  <c r="Z66" i="20"/>
  <c r="Y64" i="21"/>
  <c r="X60" i="19"/>
  <c r="Y62" i="18"/>
  <c r="Y46" i="18"/>
  <c r="X44" i="19"/>
  <c r="AA25" i="20"/>
  <c r="AA23" i="21" s="1"/>
  <c r="Z23" i="21"/>
  <c r="Z56" i="18"/>
  <c r="Y54" i="19"/>
  <c r="Y6" i="18"/>
  <c r="X4" i="19"/>
  <c r="Y41" i="23"/>
  <c r="Z43" i="22"/>
  <c r="AA33" i="20"/>
  <c r="AA31" i="21" s="1"/>
  <c r="Z31" i="21"/>
  <c r="AA34" i="20"/>
  <c r="AA32" i="21" s="1"/>
  <c r="Z32" i="21"/>
  <c r="Y20" i="17"/>
  <c r="Z22" i="16"/>
  <c r="Z51" i="20"/>
  <c r="Y49" i="21"/>
  <c r="AA35" i="16"/>
  <c r="AA33" i="17" s="1"/>
  <c r="Z33" i="17"/>
  <c r="Y23" i="23"/>
  <c r="Z25" i="22"/>
  <c r="Y50" i="17"/>
  <c r="Z52" i="16"/>
  <c r="Z33" i="16"/>
  <c r="Y31" i="17"/>
  <c r="X43" i="19"/>
  <c r="Y45" i="18"/>
  <c r="Y41" i="19"/>
  <c r="Z43" i="18"/>
  <c r="Z52" i="18"/>
  <c r="Y50" i="19"/>
  <c r="Z61" i="22"/>
  <c r="Y59" i="23"/>
  <c r="Y46" i="19"/>
  <c r="Z48" i="18"/>
  <c r="X30" i="19"/>
  <c r="Y32" i="18"/>
  <c r="X63" i="17"/>
  <c r="Y65" i="16"/>
  <c r="X12" i="19"/>
  <c r="Y14" i="18"/>
  <c r="Z32" i="20"/>
  <c r="Y30" i="21"/>
  <c r="Z68" i="22"/>
  <c r="Y66" i="23"/>
  <c r="Z13" i="18"/>
  <c r="Y11" i="19"/>
  <c r="Y33" i="19"/>
  <c r="Z35" i="18"/>
  <c r="Z68" i="16"/>
  <c r="Y66" i="17"/>
  <c r="Z49" i="20"/>
  <c r="Y47" i="21"/>
  <c r="Z43" i="20"/>
  <c r="Y41" i="21"/>
  <c r="AA45" i="20"/>
  <c r="AA43" i="21" s="1"/>
  <c r="Z43" i="21"/>
  <c r="Z47" i="20"/>
  <c r="Y45" i="21"/>
  <c r="Z35" i="22"/>
  <c r="Y33" i="23"/>
  <c r="X32" i="17"/>
  <c r="Y34" i="16"/>
  <c r="X38" i="19"/>
  <c r="Y40" i="18"/>
  <c r="Z40" i="20"/>
  <c r="Y38" i="21"/>
  <c r="Z55" i="20"/>
  <c r="Y53" i="21"/>
  <c r="BC63" i="4"/>
  <c r="AV65" i="4"/>
  <c r="AV27" i="4"/>
  <c r="AV53" i="4"/>
  <c r="AW53" i="4" s="1"/>
  <c r="AZ53" i="4" s="1"/>
  <c r="BJ26" i="4"/>
  <c r="BG26" i="4"/>
  <c r="BI26" i="4"/>
  <c r="BN26" i="4"/>
  <c r="BF26" i="4"/>
  <c r="BK26" i="4"/>
  <c r="BP26" i="4"/>
  <c r="BH26" i="4"/>
  <c r="BM26" i="4"/>
  <c r="BO26" i="4"/>
  <c r="BL26" i="4"/>
  <c r="AV26" i="4"/>
  <c r="BD26" i="4"/>
  <c r="AX26" i="4"/>
  <c r="AT26" i="4"/>
  <c r="AW26" i="4"/>
  <c r="BB26" i="4"/>
  <c r="AP26" i="4"/>
  <c r="BC26" i="4"/>
  <c r="AQ26" i="4"/>
  <c r="AZ26" i="4"/>
  <c r="AB59" i="4"/>
  <c r="AS59" i="4"/>
  <c r="AR59" i="4"/>
  <c r="AM59" i="4"/>
  <c r="BC9" i="4"/>
  <c r="BF9" i="4" s="1"/>
  <c r="BC54" i="4"/>
  <c r="AG4" i="4"/>
  <c r="AH4" i="4" s="1"/>
  <c r="AI4" i="4" s="1"/>
  <c r="AJ4" i="4" s="1"/>
  <c r="AK4" i="4" s="1"/>
  <c r="AL4" i="4" s="1"/>
  <c r="AM4" i="4" s="1"/>
  <c r="AN4" i="4" s="1"/>
  <c r="AQ4" i="4"/>
  <c r="BD18" i="4"/>
  <c r="AU18" i="4"/>
  <c r="AS18" i="4"/>
  <c r="AT18" i="4" s="1"/>
  <c r="AW18" i="4"/>
  <c r="AY18" i="4"/>
  <c r="AV18" i="4"/>
  <c r="AP18" i="4"/>
  <c r="BB18" i="4"/>
  <c r="BA18" i="4"/>
  <c r="AR18" i="4"/>
  <c r="AZ18" i="4"/>
  <c r="AX18" i="4"/>
  <c r="AN17" i="4"/>
  <c r="AT40" i="4"/>
  <c r="AU40" i="4" s="1"/>
  <c r="AX40" i="4" s="1"/>
  <c r="AY40" i="4" s="1"/>
  <c r="BA40" i="4" s="1"/>
  <c r="BP40" i="4"/>
  <c r="BI40" i="4"/>
  <c r="BO40" i="4"/>
  <c r="BJ40" i="4"/>
  <c r="BK40" i="4"/>
  <c r="AB10" i="4"/>
  <c r="AR10" i="4"/>
  <c r="AS10" i="4"/>
  <c r="AM10" i="4"/>
  <c r="AB57" i="4"/>
  <c r="AC57" i="4" s="1"/>
  <c r="AM57" i="4"/>
  <c r="AS57" i="4"/>
  <c r="AS3" i="4"/>
  <c r="BN3" i="4"/>
  <c r="BK3" i="4"/>
  <c r="BP3" i="4"/>
  <c r="BM3" i="4"/>
  <c r="BO3" i="4"/>
  <c r="BL3" i="4"/>
  <c r="BJ3" i="4"/>
  <c r="AO33" i="4"/>
  <c r="AP33" i="4" s="1"/>
  <c r="AS33" i="4" s="1"/>
  <c r="BP33" i="4"/>
  <c r="BL33" i="4"/>
  <c r="BF33" i="4"/>
  <c r="BO33" i="4"/>
  <c r="BH33" i="4"/>
  <c r="BJ33" i="4"/>
  <c r="BK33" i="4"/>
  <c r="BI33" i="4"/>
  <c r="BM33" i="4"/>
  <c r="BN33" i="4"/>
  <c r="BG33" i="4"/>
  <c r="BD33" i="4"/>
  <c r="BC33" i="4"/>
  <c r="AU33" i="4"/>
  <c r="BB33" i="4"/>
  <c r="BA33" i="4"/>
  <c r="AX33" i="4"/>
  <c r="AY33" i="4"/>
  <c r="AW33" i="4"/>
  <c r="BE33" i="4"/>
  <c r="AO18" i="4"/>
  <c r="BF18" i="4" s="1"/>
  <c r="AV45" i="4"/>
  <c r="BE45" i="4" s="1"/>
  <c r="AT46" i="4"/>
  <c r="AU46" i="4" s="1"/>
  <c r="AV46" i="4" s="1"/>
  <c r="AZ46" i="4" s="1"/>
  <c r="AD8" i="4"/>
  <c r="AX65" i="4"/>
  <c r="BC65" i="4" s="1"/>
  <c r="BG41" i="4"/>
  <c r="BJ41" i="4"/>
  <c r="BH41" i="4"/>
  <c r="BF41" i="4"/>
  <c r="BO41" i="4"/>
  <c r="BM41" i="4"/>
  <c r="BP41" i="4"/>
  <c r="BN41" i="4"/>
  <c r="BL41" i="4"/>
  <c r="BI41" i="4"/>
  <c r="BK41" i="4"/>
  <c r="BC41" i="4"/>
  <c r="BB41" i="4"/>
  <c r="AT41" i="4"/>
  <c r="AQ41" i="4"/>
  <c r="AY41" i="4"/>
  <c r="AP41" i="4"/>
  <c r="BE41" i="4"/>
  <c r="AW41" i="4"/>
  <c r="AZ41" i="4"/>
  <c r="AU41" i="4"/>
  <c r="AS41" i="4"/>
  <c r="BD41" i="4"/>
  <c r="BA41" i="4"/>
  <c r="AX41" i="4"/>
  <c r="AV41" i="4"/>
  <c r="AB7" i="4"/>
  <c r="AD7" i="4" s="1"/>
  <c r="AE7" i="4" s="1"/>
  <c r="AF7" i="4" s="1"/>
  <c r="AS7" i="4"/>
  <c r="AO28" i="4"/>
  <c r="BO28" i="4"/>
  <c r="BJ28" i="4"/>
  <c r="BH28" i="4"/>
  <c r="BI28" i="4"/>
  <c r="BP28" i="4"/>
  <c r="BK28" i="4"/>
  <c r="BG28" i="4"/>
  <c r="AY28" i="4"/>
  <c r="AX28" i="4"/>
  <c r="AW28" i="4"/>
  <c r="BB28" i="4"/>
  <c r="BE28" i="4"/>
  <c r="BD28" i="4"/>
  <c r="AU28" i="4"/>
  <c r="BA28" i="4"/>
  <c r="AN8" i="4"/>
  <c r="AO41" i="4"/>
  <c r="BF62" i="4"/>
  <c r="BP62" i="4"/>
  <c r="BM62" i="4"/>
  <c r="BL62" i="4"/>
  <c r="BG62" i="4"/>
  <c r="BN62" i="4"/>
  <c r="BJ62" i="4"/>
  <c r="BO62" i="4"/>
  <c r="BH62" i="4"/>
  <c r="BK62" i="4"/>
  <c r="BI62" i="4"/>
  <c r="BE62" i="4"/>
  <c r="BA62" i="4"/>
  <c r="AW62" i="4"/>
  <c r="BC62" i="4"/>
  <c r="AZ62" i="4"/>
  <c r="AU62" i="4"/>
  <c r="AY62" i="4"/>
  <c r="BD62" i="4"/>
  <c r="AP62" i="4"/>
  <c r="AQ62" i="4" s="1"/>
  <c r="AS62" i="4" s="1"/>
  <c r="AT62" i="4" s="1"/>
  <c r="BB62" i="4"/>
  <c r="AO12" i="4"/>
  <c r="AR12" i="4" s="1"/>
  <c r="AT12" i="4" s="1"/>
  <c r="AU12" i="4" s="1"/>
  <c r="AV12" i="4" s="1"/>
  <c r="BP12" i="4"/>
  <c r="BN12" i="4"/>
  <c r="BM12" i="4"/>
  <c r="BJ12" i="4"/>
  <c r="BH12" i="4"/>
  <c r="BI12" i="4"/>
  <c r="BK12" i="4"/>
  <c r="BO12" i="4"/>
  <c r="BG12" i="4"/>
  <c r="BF12" i="4"/>
  <c r="BL12" i="4"/>
  <c r="AX12" i="4"/>
  <c r="BC12" i="4"/>
  <c r="BA12" i="4"/>
  <c r="AY12" i="4"/>
  <c r="AZ12" i="4"/>
  <c r="AP12" i="4"/>
  <c r="BE12" i="4"/>
  <c r="BB12" i="4"/>
  <c r="AW12" i="4"/>
  <c r="BD12" i="4"/>
  <c r="AR67" i="4"/>
  <c r="AS67" i="4"/>
  <c r="BH67" i="4" s="1"/>
  <c r="AO17" i="4"/>
  <c r="AT17" i="4" s="1"/>
  <c r="BA17" i="4"/>
  <c r="AZ17" i="4"/>
  <c r="AV17" i="4"/>
  <c r="AU17" i="4"/>
  <c r="BB17" i="4"/>
  <c r="BD17" i="4"/>
  <c r="BC17" i="4"/>
  <c r="AY17" i="4"/>
  <c r="AX17" i="4"/>
  <c r="AW17" i="4"/>
  <c r="BE17" i="4"/>
  <c r="AW68" i="4"/>
  <c r="AX68" i="4" s="1"/>
  <c r="AY68" i="4" s="1"/>
  <c r="BC68" i="4" s="1"/>
  <c r="AG17" i="4"/>
  <c r="AP17" i="4"/>
  <c r="AQ17" i="4"/>
  <c r="W30" i="4"/>
  <c r="AA30" i="4"/>
  <c r="AB67" i="4"/>
  <c r="AF67" i="4"/>
  <c r="AQ67" i="4" s="1"/>
  <c r="AB26" i="4"/>
  <c r="R44" i="4"/>
  <c r="S44" i="4" s="1"/>
  <c r="T44" i="4" s="1"/>
  <c r="U44" i="4" s="1"/>
  <c r="X44" i="4"/>
  <c r="T30" i="4"/>
  <c r="V30" i="4"/>
  <c r="O142" i="10" l="1"/>
  <c r="V142" i="10"/>
  <c r="U142" i="10"/>
  <c r="N142" i="10"/>
  <c r="Q142" i="10"/>
  <c r="T142" i="10"/>
  <c r="M142" i="10"/>
  <c r="K142" i="10"/>
  <c r="G142" i="10"/>
  <c r="I142" i="10"/>
  <c r="L142" i="10"/>
  <c r="R142" i="10"/>
  <c r="C142" i="10"/>
  <c r="J142" i="10"/>
  <c r="B142" i="10"/>
  <c r="S142" i="10"/>
  <c r="D142" i="10"/>
  <c r="H142" i="10"/>
  <c r="P142" i="10"/>
  <c r="E142" i="10"/>
  <c r="F142" i="10"/>
  <c r="Y58" i="19"/>
  <c r="Z60" i="18"/>
  <c r="AA68" i="18"/>
  <c r="AA66" i="19" s="1"/>
  <c r="Z66" i="19"/>
  <c r="Y17" i="19"/>
  <c r="Z19" i="18"/>
  <c r="Y142" i="15"/>
  <c r="G142" i="15"/>
  <c r="S142" i="15"/>
  <c r="T142" i="15"/>
  <c r="O142" i="15"/>
  <c r="N142" i="15"/>
  <c r="B142" i="15"/>
  <c r="W142" i="15"/>
  <c r="Z142" i="15"/>
  <c r="X142" i="15"/>
  <c r="K142" i="15"/>
  <c r="M142" i="15"/>
  <c r="F142" i="15"/>
  <c r="D142" i="15"/>
  <c r="V142" i="15"/>
  <c r="J142" i="15"/>
  <c r="R142" i="15"/>
  <c r="C142" i="15"/>
  <c r="P142" i="15"/>
  <c r="AA142" i="15"/>
  <c r="H142" i="15"/>
  <c r="L142" i="15"/>
  <c r="Q142" i="15"/>
  <c r="I142" i="15"/>
  <c r="U142" i="15"/>
  <c r="E142" i="15"/>
  <c r="Z65" i="18"/>
  <c r="Y63" i="19"/>
  <c r="AA34" i="18"/>
  <c r="AA32" i="19" s="1"/>
  <c r="Z32" i="19"/>
  <c r="Y53" i="19"/>
  <c r="Z55" i="18"/>
  <c r="Y95" i="21"/>
  <c r="B140" i="7"/>
  <c r="W140" i="7"/>
  <c r="AV140" i="7"/>
  <c r="AH140" i="7"/>
  <c r="K140" i="7"/>
  <c r="AJ140" i="7"/>
  <c r="AS140" i="7"/>
  <c r="T140" i="7"/>
  <c r="L140" i="7"/>
  <c r="F140" i="7"/>
  <c r="AZ140" i="7"/>
  <c r="AE140" i="7"/>
  <c r="AM140" i="7"/>
  <c r="AK140" i="7"/>
  <c r="BO140" i="7"/>
  <c r="AY140" i="7"/>
  <c r="V140" i="7"/>
  <c r="Y140" i="7"/>
  <c r="AI140" i="7"/>
  <c r="AD140" i="7"/>
  <c r="AQ140" i="7"/>
  <c r="BA140" i="7"/>
  <c r="AN140" i="7"/>
  <c r="AR140" i="7"/>
  <c r="AX140" i="7"/>
  <c r="BK140" i="7"/>
  <c r="Q140" i="7"/>
  <c r="M140" i="7"/>
  <c r="X140" i="7"/>
  <c r="R140" i="7"/>
  <c r="AG140" i="7"/>
  <c r="AA140" i="7"/>
  <c r="AB140" i="7"/>
  <c r="U140" i="7"/>
  <c r="AL140" i="7"/>
  <c r="BC140" i="7"/>
  <c r="BD140" i="7"/>
  <c r="AW140" i="7"/>
  <c r="BL140" i="7"/>
  <c r="BI140" i="7"/>
  <c r="N140" i="7"/>
  <c r="H140" i="7"/>
  <c r="P140" i="7"/>
  <c r="S140" i="7"/>
  <c r="I140" i="7"/>
  <c r="BF140" i="7"/>
  <c r="BE140" i="7"/>
  <c r="BN140" i="7"/>
  <c r="AU140" i="7"/>
  <c r="AC140" i="7"/>
  <c r="AF140" i="7"/>
  <c r="Z140" i="7"/>
  <c r="BJ140" i="7"/>
  <c r="AT140" i="7"/>
  <c r="E140" i="7"/>
  <c r="G140" i="7"/>
  <c r="J140" i="7"/>
  <c r="BG140" i="7"/>
  <c r="AP140" i="7"/>
  <c r="BH140" i="7"/>
  <c r="BB140" i="7"/>
  <c r="D140" i="7"/>
  <c r="AO140" i="7"/>
  <c r="O140" i="7"/>
  <c r="BM140" i="7"/>
  <c r="C140" i="7"/>
  <c r="AA47" i="22"/>
  <c r="AA45" i="23" s="1"/>
  <c r="Z45" i="23"/>
  <c r="AA29" i="22"/>
  <c r="AA27" i="23" s="1"/>
  <c r="Z27" i="23"/>
  <c r="Y34" i="19"/>
  <c r="Z36" i="18"/>
  <c r="AB142" i="8"/>
  <c r="Q142" i="8"/>
  <c r="I142" i="8"/>
  <c r="AN142" i="8"/>
  <c r="E142" i="8"/>
  <c r="X142" i="8"/>
  <c r="AG142" i="8"/>
  <c r="AL142" i="8"/>
  <c r="M142" i="8"/>
  <c r="AA142" i="8"/>
  <c r="B142" i="8"/>
  <c r="P142" i="8"/>
  <c r="AE142" i="8"/>
  <c r="AF142" i="8"/>
  <c r="N142" i="8"/>
  <c r="AI142" i="8"/>
  <c r="J142" i="8"/>
  <c r="V142" i="8"/>
  <c r="AJ142" i="8"/>
  <c r="K142" i="8"/>
  <c r="S142" i="8"/>
  <c r="D142" i="8"/>
  <c r="O142" i="8"/>
  <c r="AM142" i="8"/>
  <c r="U142" i="8"/>
  <c r="AC142" i="8"/>
  <c r="R142" i="8"/>
  <c r="T142" i="8"/>
  <c r="AK142" i="8"/>
  <c r="Y142" i="8"/>
  <c r="Z142" i="8"/>
  <c r="AD142" i="8"/>
  <c r="AH142" i="8"/>
  <c r="W142" i="8"/>
  <c r="C142" i="8"/>
  <c r="H142" i="8"/>
  <c r="F142" i="8"/>
  <c r="G142" i="8"/>
  <c r="L142" i="8"/>
  <c r="AO142" i="8"/>
  <c r="AA4" i="18"/>
  <c r="AA2" i="19" s="1"/>
  <c r="Z2" i="19"/>
  <c r="Y7" i="19"/>
  <c r="Z9" i="18"/>
  <c r="B128" i="6"/>
  <c r="H128" i="6"/>
  <c r="Y128" i="6"/>
  <c r="F128" i="6"/>
  <c r="G128" i="6"/>
  <c r="N128" i="6"/>
  <c r="C128" i="6"/>
  <c r="T128" i="6"/>
  <c r="P128" i="6"/>
  <c r="K128" i="6"/>
  <c r="AA128" i="6"/>
  <c r="S128" i="6"/>
  <c r="W128" i="6"/>
  <c r="R128" i="6"/>
  <c r="U128" i="6"/>
  <c r="J128" i="6"/>
  <c r="M128" i="6"/>
  <c r="X128" i="6"/>
  <c r="E128" i="6"/>
  <c r="Q128" i="6"/>
  <c r="O128" i="6"/>
  <c r="L128" i="6"/>
  <c r="D128" i="6"/>
  <c r="I128" i="6"/>
  <c r="Z128" i="6"/>
  <c r="V128" i="6"/>
  <c r="Z35" i="17"/>
  <c r="AA37" i="16"/>
  <c r="AA35" i="17" s="1"/>
  <c r="Y9" i="19"/>
  <c r="Z11" i="18"/>
  <c r="Y83" i="21"/>
  <c r="Y75" i="21"/>
  <c r="N95" i="21"/>
  <c r="C95" i="21"/>
  <c r="H95" i="21"/>
  <c r="Y90" i="21"/>
  <c r="Y82" i="21"/>
  <c r="Y74" i="21"/>
  <c r="M95" i="21"/>
  <c r="T95" i="21"/>
  <c r="W95" i="21"/>
  <c r="Y89" i="21"/>
  <c r="Y81" i="21"/>
  <c r="Y73" i="21"/>
  <c r="B95" i="21"/>
  <c r="L95" i="21"/>
  <c r="O95" i="21"/>
  <c r="Y88" i="21"/>
  <c r="Y80" i="21"/>
  <c r="Y72" i="21"/>
  <c r="V95" i="21"/>
  <c r="D95" i="21"/>
  <c r="G95" i="21"/>
  <c r="X91" i="19"/>
  <c r="X92" i="19"/>
  <c r="Y87" i="21"/>
  <c r="Y79" i="21"/>
  <c r="K95" i="21"/>
  <c r="F95" i="21"/>
  <c r="X95" i="21"/>
  <c r="S95" i="21"/>
  <c r="Y86" i="21"/>
  <c r="Y78" i="21"/>
  <c r="U95" i="21"/>
  <c r="Q95" i="21"/>
  <c r="X93" i="19"/>
  <c r="Y85" i="21"/>
  <c r="Y77" i="21"/>
  <c r="R95" i="21"/>
  <c r="E95" i="21"/>
  <c r="I95" i="21"/>
  <c r="Y84" i="21"/>
  <c r="Y76" i="21"/>
  <c r="J95" i="21"/>
  <c r="Y68" i="21"/>
  <c r="Y70" i="21" s="1"/>
  <c r="P95" i="21"/>
  <c r="Y94" i="21"/>
  <c r="Y91" i="21"/>
  <c r="Y93" i="21"/>
  <c r="Y92" i="21"/>
  <c r="Y91" i="23"/>
  <c r="H95" i="23"/>
  <c r="M95" i="23"/>
  <c r="Y76" i="23"/>
  <c r="Y84" i="23"/>
  <c r="F95" i="23"/>
  <c r="P95" i="23"/>
  <c r="K95" i="23"/>
  <c r="U95" i="23"/>
  <c r="Y77" i="23"/>
  <c r="Y85" i="23"/>
  <c r="N95" i="23"/>
  <c r="X95" i="23"/>
  <c r="T95" i="23"/>
  <c r="Y78" i="23"/>
  <c r="Y86" i="23"/>
  <c r="V95" i="23"/>
  <c r="B95" i="23"/>
  <c r="L95" i="23"/>
  <c r="R95" i="23"/>
  <c r="Y79" i="23"/>
  <c r="Y87" i="23"/>
  <c r="Y68" i="23"/>
  <c r="Y70" i="23" s="1"/>
  <c r="I95" i="23"/>
  <c r="C95" i="23"/>
  <c r="Y72" i="23"/>
  <c r="Y80" i="23"/>
  <c r="Y88" i="23"/>
  <c r="Y93" i="23"/>
  <c r="G95" i="23"/>
  <c r="Q95" i="23"/>
  <c r="S95" i="23"/>
  <c r="Y73" i="23"/>
  <c r="Y81" i="23"/>
  <c r="Y89" i="23"/>
  <c r="O95" i="23"/>
  <c r="Y95" i="23"/>
  <c r="D95" i="23"/>
  <c r="Y74" i="23"/>
  <c r="Y82" i="23"/>
  <c r="Y90" i="23"/>
  <c r="W95" i="23"/>
  <c r="J95" i="23"/>
  <c r="E95" i="23"/>
  <c r="Y75" i="23"/>
  <c r="Y83" i="23"/>
  <c r="Y92" i="23"/>
  <c r="Y94" i="23"/>
  <c r="H94" i="17"/>
  <c r="J94" i="17"/>
  <c r="V94" i="17"/>
  <c r="M94" i="17"/>
  <c r="X77" i="17"/>
  <c r="X85" i="17"/>
  <c r="P94" i="17"/>
  <c r="R94" i="17"/>
  <c r="U94" i="17"/>
  <c r="G94" i="17"/>
  <c r="X78" i="17"/>
  <c r="X86" i="17"/>
  <c r="X94" i="17"/>
  <c r="D94" i="17"/>
  <c r="X68" i="17"/>
  <c r="X70" i="17" s="1"/>
  <c r="X79" i="17"/>
  <c r="X87" i="17"/>
  <c r="K94" i="17"/>
  <c r="B94" i="17"/>
  <c r="W94" i="17"/>
  <c r="X72" i="17"/>
  <c r="X80" i="17"/>
  <c r="X88" i="17"/>
  <c r="I94" i="17"/>
  <c r="C94" i="17"/>
  <c r="L94" i="17"/>
  <c r="X73" i="17"/>
  <c r="X81" i="17"/>
  <c r="X89" i="17"/>
  <c r="Q94" i="17"/>
  <c r="O94" i="17"/>
  <c r="X74" i="17"/>
  <c r="X82" i="17"/>
  <c r="X90" i="17"/>
  <c r="F94" i="17"/>
  <c r="T94" i="17"/>
  <c r="X75" i="17"/>
  <c r="X83" i="17"/>
  <c r="X91" i="17"/>
  <c r="S94" i="17"/>
  <c r="N94" i="17"/>
  <c r="E94" i="17"/>
  <c r="X76" i="17"/>
  <c r="X84" i="17"/>
  <c r="X93" i="17"/>
  <c r="X92" i="17"/>
  <c r="AA55" i="20"/>
  <c r="AA53" i="21" s="1"/>
  <c r="Z53" i="21"/>
  <c r="AA40" i="20"/>
  <c r="AA38" i="21" s="1"/>
  <c r="Z38" i="21"/>
  <c r="Z40" i="18"/>
  <c r="Y38" i="19"/>
  <c r="Y32" i="17"/>
  <c r="Z34" i="16"/>
  <c r="Z33" i="23"/>
  <c r="AA35" i="22"/>
  <c r="AA33" i="23" s="1"/>
  <c r="AA47" i="20"/>
  <c r="AA45" i="21" s="1"/>
  <c r="Z45" i="21"/>
  <c r="AA43" i="20"/>
  <c r="AA41" i="21" s="1"/>
  <c r="Z41" i="21"/>
  <c r="AA49" i="20"/>
  <c r="AA47" i="21" s="1"/>
  <c r="Z47" i="21"/>
  <c r="AA68" i="16"/>
  <c r="AA66" i="17" s="1"/>
  <c r="Z66" i="17"/>
  <c r="AA35" i="18"/>
  <c r="AA33" i="19" s="1"/>
  <c r="Z33" i="19"/>
  <c r="Z11" i="19"/>
  <c r="AA13" i="18"/>
  <c r="AA11" i="19" s="1"/>
  <c r="Z66" i="23"/>
  <c r="AA68" i="22"/>
  <c r="AA66" i="23" s="1"/>
  <c r="AA32" i="20"/>
  <c r="AA30" i="21" s="1"/>
  <c r="Z30" i="21"/>
  <c r="Y12" i="19"/>
  <c r="Z14" i="18"/>
  <c r="Z65" i="16"/>
  <c r="Y63" i="17"/>
  <c r="Y30" i="19"/>
  <c r="Z32" i="18"/>
  <c r="Z46" i="19"/>
  <c r="AA48" i="18"/>
  <c r="AA46" i="19" s="1"/>
  <c r="AA61" i="22"/>
  <c r="AA59" i="23" s="1"/>
  <c r="Z59" i="23"/>
  <c r="Z50" i="19"/>
  <c r="AA52" i="18"/>
  <c r="AA50" i="19" s="1"/>
  <c r="AA43" i="18"/>
  <c r="AA41" i="19" s="1"/>
  <c r="Z41" i="19"/>
  <c r="Z45" i="18"/>
  <c r="Y43" i="19"/>
  <c r="Z31" i="17"/>
  <c r="AA33" i="16"/>
  <c r="AA31" i="17" s="1"/>
  <c r="Z50" i="17"/>
  <c r="AA52" i="16"/>
  <c r="AA50" i="17" s="1"/>
  <c r="Z23" i="23"/>
  <c r="AA25" i="22"/>
  <c r="AA23" i="23" s="1"/>
  <c r="AA51" i="20"/>
  <c r="AA49" i="21" s="1"/>
  <c r="Z49" i="21"/>
  <c r="Z20" i="17"/>
  <c r="AA22" i="16"/>
  <c r="AA20" i="17" s="1"/>
  <c r="Z41" i="23"/>
  <c r="AA43" i="22"/>
  <c r="AA41" i="23" s="1"/>
  <c r="Y4" i="19"/>
  <c r="Z6" i="18"/>
  <c r="Z54" i="19"/>
  <c r="AA56" i="18"/>
  <c r="AA54" i="19" s="1"/>
  <c r="AA46" i="18"/>
  <c r="AA44" i="19" s="1"/>
  <c r="Y44" i="19"/>
  <c r="Z46" i="18"/>
  <c r="Z44" i="19" s="1"/>
  <c r="Y60" i="19"/>
  <c r="AA62" i="18"/>
  <c r="AA60" i="19" s="1"/>
  <c r="Z62" i="18"/>
  <c r="Z60" i="19" s="1"/>
  <c r="AA66" i="20"/>
  <c r="AA64" i="21" s="1"/>
  <c r="Z64" i="21"/>
  <c r="AA20" i="20"/>
  <c r="AA18" i="21" s="1"/>
  <c r="Z18" i="21"/>
  <c r="AA50" i="22"/>
  <c r="AA48" i="23" s="1"/>
  <c r="Z48" i="23"/>
  <c r="AA6" i="16"/>
  <c r="AA4" i="17" s="1"/>
  <c r="Z4" i="17"/>
  <c r="Z32" i="23"/>
  <c r="AA34" i="22"/>
  <c r="AA32" i="23" s="1"/>
  <c r="AA62" i="20"/>
  <c r="AA60" i="21" s="1"/>
  <c r="Z60" i="21"/>
  <c r="Z15" i="18"/>
  <c r="Y13" i="19"/>
  <c r="AA16" i="22"/>
  <c r="AA14" i="23" s="1"/>
  <c r="Z14" i="23"/>
  <c r="Z45" i="16"/>
  <c r="Y43" i="17"/>
  <c r="Y12" i="17"/>
  <c r="Z14" i="16"/>
  <c r="Y60" i="17"/>
  <c r="Z62" i="16"/>
  <c r="Z54" i="18"/>
  <c r="Y52" i="19"/>
  <c r="Z5" i="18"/>
  <c r="Y3" i="19"/>
  <c r="M94" i="19"/>
  <c r="J94" i="19"/>
  <c r="H94" i="19"/>
  <c r="I94" i="19"/>
  <c r="X78" i="19"/>
  <c r="X86" i="19"/>
  <c r="U94" i="19"/>
  <c r="R94" i="19"/>
  <c r="X94" i="19"/>
  <c r="X79" i="19"/>
  <c r="X87" i="19"/>
  <c r="F94" i="19"/>
  <c r="P94" i="19"/>
  <c r="X73" i="19"/>
  <c r="X80" i="19"/>
  <c r="X88" i="19"/>
  <c r="N94" i="19"/>
  <c r="B94" i="19"/>
  <c r="X68" i="19"/>
  <c r="X70" i="19" s="1"/>
  <c r="X72" i="19"/>
  <c r="X81" i="19"/>
  <c r="X89" i="19"/>
  <c r="V94" i="19"/>
  <c r="C94" i="19"/>
  <c r="K94" i="19"/>
  <c r="X74" i="19"/>
  <c r="X82" i="19"/>
  <c r="X90" i="19"/>
  <c r="G94" i="19"/>
  <c r="S94" i="19"/>
  <c r="X75" i="19"/>
  <c r="X83" i="19"/>
  <c r="O94" i="19"/>
  <c r="D94" i="19"/>
  <c r="L94" i="19"/>
  <c r="X76" i="19"/>
  <c r="X84" i="19"/>
  <c r="E94" i="19"/>
  <c r="W94" i="19"/>
  <c r="T94" i="19"/>
  <c r="Q94" i="19"/>
  <c r="X77" i="19"/>
  <c r="X85" i="19"/>
  <c r="Z34" i="17"/>
  <c r="AA36" i="16"/>
  <c r="AA34" i="17" s="1"/>
  <c r="Z18" i="23"/>
  <c r="AA20" i="22"/>
  <c r="AA18" i="23" s="1"/>
  <c r="AA16" i="18"/>
  <c r="AA14" i="19" s="1"/>
  <c r="Z14" i="19"/>
  <c r="Z58" i="17"/>
  <c r="AA60" i="16"/>
  <c r="AA58" i="17" s="1"/>
  <c r="Z46" i="23"/>
  <c r="AA48" i="22"/>
  <c r="AA46" i="23" s="1"/>
  <c r="Z47" i="19"/>
  <c r="AA49" i="18"/>
  <c r="AA47" i="19" s="1"/>
  <c r="AA23" i="20"/>
  <c r="AA21" i="21" s="1"/>
  <c r="Z21" i="21"/>
  <c r="AA58" i="20"/>
  <c r="AA56" i="21" s="1"/>
  <c r="Z56" i="21"/>
  <c r="AA28" i="20"/>
  <c r="AA26" i="21" s="1"/>
  <c r="Z26" i="21"/>
  <c r="Y56" i="17"/>
  <c r="Z58" i="16"/>
  <c r="AA66" i="16"/>
  <c r="AA64" i="17" s="1"/>
  <c r="Z64" i="17"/>
  <c r="AA52" i="20"/>
  <c r="AA50" i="21" s="1"/>
  <c r="Z50" i="21"/>
  <c r="Z23" i="18"/>
  <c r="Y21" i="19"/>
  <c r="Y11" i="17"/>
  <c r="Z13" i="16"/>
  <c r="Z37" i="18"/>
  <c r="Y35" i="19"/>
  <c r="AA64" i="20"/>
  <c r="AA62" i="21" s="1"/>
  <c r="Z62" i="21"/>
  <c r="Y30" i="17"/>
  <c r="Z32" i="16"/>
  <c r="AA53" i="22"/>
  <c r="AA51" i="23" s="1"/>
  <c r="Z51" i="23"/>
  <c r="Z62" i="23"/>
  <c r="AA64" i="22"/>
  <c r="AA62" i="23" s="1"/>
  <c r="Z64" i="18"/>
  <c r="Y62" i="19"/>
  <c r="Z50" i="18"/>
  <c r="Y48" i="19"/>
  <c r="AA6" i="22"/>
  <c r="AA4" i="23" s="1"/>
  <c r="Z4" i="23"/>
  <c r="AA27" i="22"/>
  <c r="AA25" i="23" s="1"/>
  <c r="Z25" i="23"/>
  <c r="AA36" i="22"/>
  <c r="AA34" i="23" s="1"/>
  <c r="Z34" i="23"/>
  <c r="Z63" i="23"/>
  <c r="AA65" i="22"/>
  <c r="AA63" i="23" s="1"/>
  <c r="AA22" i="22"/>
  <c r="AA20" i="23" s="1"/>
  <c r="Z20" i="23"/>
  <c r="Z59" i="17"/>
  <c r="AA61" i="16"/>
  <c r="AA59" i="17" s="1"/>
  <c r="AA54" i="22"/>
  <c r="AA52" i="23" s="1"/>
  <c r="Z52" i="23"/>
  <c r="Y56" i="19"/>
  <c r="Z58" i="18"/>
  <c r="Z45" i="19"/>
  <c r="AA47" i="18"/>
  <c r="AA45" i="19" s="1"/>
  <c r="Z9" i="17"/>
  <c r="AA11" i="16"/>
  <c r="AA9" i="17" s="1"/>
  <c r="AA19" i="16"/>
  <c r="AA17" i="17" s="1"/>
  <c r="Z17" i="17"/>
  <c r="AA21" i="18"/>
  <c r="AA19" i="19" s="1"/>
  <c r="Z19" i="19"/>
  <c r="Y31" i="19"/>
  <c r="Z33" i="18"/>
  <c r="AA56" i="20"/>
  <c r="AA54" i="21" s="1"/>
  <c r="Z54" i="21"/>
  <c r="AA48" i="20"/>
  <c r="AA46" i="21" s="1"/>
  <c r="Z46" i="21"/>
  <c r="AA35" i="20"/>
  <c r="AA33" i="21" s="1"/>
  <c r="Z33" i="21"/>
  <c r="Z55" i="16"/>
  <c r="Y53" i="17"/>
  <c r="AA43" i="16"/>
  <c r="AA41" i="17" s="1"/>
  <c r="Z41" i="17"/>
  <c r="Y46" i="17"/>
  <c r="Z48" i="16"/>
  <c r="AA36" i="20"/>
  <c r="AA34" i="21" s="1"/>
  <c r="Z34" i="21"/>
  <c r="Y22" i="19"/>
  <c r="Z24" i="18"/>
  <c r="AA42" i="20"/>
  <c r="AA40" i="21" s="1"/>
  <c r="Z40" i="21"/>
  <c r="Y52" i="17"/>
  <c r="Z54" i="16"/>
  <c r="Y36" i="19"/>
  <c r="Z38" i="18"/>
  <c r="Z22" i="17"/>
  <c r="AA24" i="16"/>
  <c r="AA22" i="17" s="1"/>
  <c r="Z47" i="16"/>
  <c r="Y45" i="17"/>
  <c r="Y48" i="17"/>
  <c r="Z50" i="16"/>
  <c r="Z66" i="18"/>
  <c r="Y64" i="19"/>
  <c r="Z50" i="23"/>
  <c r="AA52" i="22"/>
  <c r="AA50" i="23" s="1"/>
  <c r="Y29" i="19"/>
  <c r="Z31" i="18"/>
  <c r="Z29" i="23"/>
  <c r="AA31" i="22"/>
  <c r="AA29" i="23" s="1"/>
  <c r="AA5" i="22"/>
  <c r="AA3" i="23" s="1"/>
  <c r="Z3" i="23"/>
  <c r="Y54" i="17"/>
  <c r="Z56" i="16"/>
  <c r="AA16" i="20"/>
  <c r="AA14" i="21" s="1"/>
  <c r="Z14" i="21"/>
  <c r="Z49" i="16"/>
  <c r="Y47" i="17"/>
  <c r="AA24" i="22"/>
  <c r="AA22" i="23" s="1"/>
  <c r="Z22" i="23"/>
  <c r="Z25" i="17"/>
  <c r="AA27" i="16"/>
  <c r="AA25" i="17" s="1"/>
  <c r="Z13" i="23"/>
  <c r="AA15" i="22"/>
  <c r="AA13" i="23" s="1"/>
  <c r="Z61" i="18"/>
  <c r="Y59" i="19"/>
  <c r="Z58" i="23"/>
  <c r="AA60" i="22"/>
  <c r="AA58" i="23" s="1"/>
  <c r="Y27" i="17"/>
  <c r="Z29" i="16"/>
  <c r="Z29" i="18"/>
  <c r="Y27" i="19"/>
  <c r="AA9" i="20"/>
  <c r="AA7" i="21" s="1"/>
  <c r="Z7" i="21"/>
  <c r="Z7" i="23"/>
  <c r="AA9" i="22"/>
  <c r="AA7" i="23" s="1"/>
  <c r="Z38" i="17"/>
  <c r="AA40" i="16"/>
  <c r="AA38" i="17" s="1"/>
  <c r="Z61" i="17"/>
  <c r="AA63" i="16"/>
  <c r="AA61" i="17" s="1"/>
  <c r="AA42" i="16"/>
  <c r="AA40" i="17" s="1"/>
  <c r="Z40" i="17"/>
  <c r="Y21" i="17"/>
  <c r="Z23" i="16"/>
  <c r="Z42" i="18"/>
  <c r="Y40" i="19"/>
  <c r="Z61" i="23"/>
  <c r="AA63" i="22"/>
  <c r="AA61" i="23" s="1"/>
  <c r="Y7" i="17"/>
  <c r="Z9" i="16"/>
  <c r="AA24" i="20"/>
  <c r="AA22" i="21" s="1"/>
  <c r="Z22" i="21"/>
  <c r="Z30" i="23"/>
  <c r="AA32" i="22"/>
  <c r="AA30" i="23" s="1"/>
  <c r="AA19" i="20"/>
  <c r="AA17" i="21" s="1"/>
  <c r="Z17" i="21"/>
  <c r="AA68" i="20"/>
  <c r="AA66" i="21" s="1"/>
  <c r="Z66" i="21"/>
  <c r="Z16" i="16"/>
  <c r="Y14" i="17"/>
  <c r="Z18" i="17"/>
  <c r="AA20" i="16"/>
  <c r="AA18" i="17" s="1"/>
  <c r="AA28" i="22"/>
  <c r="AA26" i="23" s="1"/>
  <c r="Z26" i="23"/>
  <c r="AA50" i="20"/>
  <c r="AA48" i="21" s="1"/>
  <c r="Z48" i="21"/>
  <c r="AA63" i="20"/>
  <c r="AA61" i="21" s="1"/>
  <c r="Z61" i="21"/>
  <c r="Y23" i="17"/>
  <c r="Z25" i="16"/>
  <c r="AV62" i="4"/>
  <c r="AX62" i="4"/>
  <c r="AV33" i="4"/>
  <c r="AZ33" i="4" s="1"/>
  <c r="AD26" i="4"/>
  <c r="AL26" i="4" s="1"/>
  <c r="AM26" i="4" s="1"/>
  <c r="AO26" i="4" s="1"/>
  <c r="AU26" i="4" s="1"/>
  <c r="AY26" i="4" s="1"/>
  <c r="BA26" i="4" s="1"/>
  <c r="BE26" i="4" s="1"/>
  <c r="AE26" i="4"/>
  <c r="AC59" i="4"/>
  <c r="AE59" i="4"/>
  <c r="BL17" i="4"/>
  <c r="BK17" i="4"/>
  <c r="BN17" i="4"/>
  <c r="BM17" i="4"/>
  <c r="BH17" i="4"/>
  <c r="BP17" i="4"/>
  <c r="BO17" i="4"/>
  <c r="BI17" i="4"/>
  <c r="BF17" i="4"/>
  <c r="BJ17" i="4"/>
  <c r="BG17" i="4"/>
  <c r="AC10" i="4"/>
  <c r="AD10" i="4"/>
  <c r="AE10" i="4"/>
  <c r="AF10" i="4" s="1"/>
  <c r="BK18" i="4"/>
  <c r="BN18" i="4"/>
  <c r="BI18" i="4"/>
  <c r="BJ18" i="4"/>
  <c r="BH18" i="4"/>
  <c r="BP18" i="4"/>
  <c r="BM18" i="4"/>
  <c r="BG18" i="4"/>
  <c r="BO18" i="4"/>
  <c r="BL18" i="4"/>
  <c r="BE18" i="4"/>
  <c r="BC18" i="4"/>
  <c r="AO8" i="4"/>
  <c r="BL8" i="4"/>
  <c r="BK8" i="4"/>
  <c r="BG8" i="4"/>
  <c r="BO8" i="4"/>
  <c r="BN8" i="4"/>
  <c r="BI8" i="4"/>
  <c r="BF8" i="4"/>
  <c r="BM8" i="4"/>
  <c r="BP8" i="4"/>
  <c r="BJ8" i="4"/>
  <c r="BH8" i="4"/>
  <c r="AW8" i="4"/>
  <c r="BE8" i="4"/>
  <c r="BB8" i="4"/>
  <c r="BC8" i="4"/>
  <c r="BD8" i="4"/>
  <c r="BA8" i="4"/>
  <c r="AX8" i="4"/>
  <c r="AP8" i="4"/>
  <c r="AP28" i="4"/>
  <c r="AV28" i="4" s="1"/>
  <c r="AZ28" i="4" s="1"/>
  <c r="BC28" i="4" s="1"/>
  <c r="BF28" i="4"/>
  <c r="AR30" i="4"/>
  <c r="AM30" i="4"/>
  <c r="AG7" i="4"/>
  <c r="AH7" i="4" s="1"/>
  <c r="AI7" i="4" s="1"/>
  <c r="AM7" i="4" s="1"/>
  <c r="AN7" i="4" s="1"/>
  <c r="AQ7" i="4"/>
  <c r="AD57" i="4"/>
  <c r="AE57" i="4" s="1"/>
  <c r="AF57" i="4" s="1"/>
  <c r="AI57" i="4" s="1"/>
  <c r="AT57" i="4"/>
  <c r="AN57" i="4"/>
  <c r="AO4" i="4"/>
  <c r="BL4" i="4"/>
  <c r="BM4" i="4"/>
  <c r="BN4" i="4"/>
  <c r="BF4" i="4"/>
  <c r="BD4" i="4"/>
  <c r="BE4" i="4"/>
  <c r="BC4" i="4"/>
  <c r="BB4" i="4"/>
  <c r="BA4" i="4"/>
  <c r="AU4" i="4"/>
  <c r="AV4" i="4"/>
  <c r="AY4" i="4"/>
  <c r="AZ4" i="4"/>
  <c r="AX4" i="4"/>
  <c r="X30" i="4"/>
  <c r="Y30" i="4" s="1"/>
  <c r="AL30" i="4" s="1"/>
  <c r="AC67" i="4"/>
  <c r="AE67" i="4"/>
  <c r="AD67" i="4"/>
  <c r="V44" i="4"/>
  <c r="AA44" i="4" s="1"/>
  <c r="Y44" i="4"/>
  <c r="Z7" i="19" l="1"/>
  <c r="AA9" i="18"/>
  <c r="AA7" i="19" s="1"/>
  <c r="W21" i="24" a="1"/>
  <c r="W21" i="24" s="1"/>
  <c r="D48" i="3" a="1"/>
  <c r="D48" i="3" s="1"/>
  <c r="D44" i="3" a="1"/>
  <c r="D44" i="3" s="1"/>
  <c r="D51" i="3" a="1"/>
  <c r="D51" i="3" s="1"/>
  <c r="D52" i="3" a="1"/>
  <c r="D52" i="3" s="1"/>
  <c r="D46" i="3" a="1"/>
  <c r="D46" i="3" s="1"/>
  <c r="D47" i="3" a="1"/>
  <c r="D47" i="3" s="1"/>
  <c r="D18" i="3" a="1"/>
  <c r="D18" i="3" s="1"/>
  <c r="D26" i="3" a="1"/>
  <c r="D26" i="3" s="1"/>
  <c r="D68" i="3" a="1"/>
  <c r="D68" i="3" s="1"/>
  <c r="D57" i="3" a="1"/>
  <c r="D57" i="3" s="1"/>
  <c r="D59" i="3" a="1"/>
  <c r="D59" i="3" s="1"/>
  <c r="D7" i="3" a="1"/>
  <c r="D7" i="3" s="1"/>
  <c r="D60" i="3" a="1"/>
  <c r="D60" i="3" s="1"/>
  <c r="D62" i="3" a="1"/>
  <c r="D62" i="3" s="1"/>
  <c r="D58" i="3" a="1"/>
  <c r="D58" i="3" s="1"/>
  <c r="D24" i="3" a="1"/>
  <c r="D24" i="3" s="1"/>
  <c r="D22" i="3" a="1"/>
  <c r="D22" i="3" s="1"/>
  <c r="D61" i="3" a="1"/>
  <c r="D61" i="3" s="1"/>
  <c r="B144" i="8" a="1"/>
  <c r="B144" i="8" s="1"/>
  <c r="D66" i="3" a="1"/>
  <c r="D66" i="3" s="1"/>
  <c r="D10" i="3" a="1"/>
  <c r="D10" i="3" s="1"/>
  <c r="D5" i="3" a="1"/>
  <c r="D5" i="3" s="1"/>
  <c r="D50" i="3" a="1"/>
  <c r="D50" i="3" s="1"/>
  <c r="D63" i="3" a="1"/>
  <c r="D63" i="3" s="1"/>
  <c r="D31" i="3" a="1"/>
  <c r="D31" i="3" s="1"/>
  <c r="D36" i="3" a="1"/>
  <c r="D36" i="3" s="1"/>
  <c r="D4" i="3" a="1"/>
  <c r="D4" i="3" s="1"/>
  <c r="D14" i="3" a="1"/>
  <c r="D14" i="3" s="1"/>
  <c r="D41" i="3" a="1"/>
  <c r="D41" i="3" s="1"/>
  <c r="D8" i="3" a="1"/>
  <c r="D8" i="3" s="1"/>
  <c r="D3" i="3" a="1"/>
  <c r="D3" i="3" s="1"/>
  <c r="D15" i="3" a="1"/>
  <c r="D15" i="3" s="1"/>
  <c r="D16" i="3" a="1"/>
  <c r="D16" i="3" s="1"/>
  <c r="D6" i="3" a="1"/>
  <c r="D6" i="3" s="1"/>
  <c r="D29" i="3" a="1"/>
  <c r="D29" i="3" s="1"/>
  <c r="D49" i="3" a="1"/>
  <c r="D49" i="3" s="1"/>
  <c r="D53" i="3" a="1"/>
  <c r="D53" i="3" s="1"/>
  <c r="D32" i="3" a="1"/>
  <c r="D32" i="3" s="1"/>
  <c r="D13" i="3" a="1"/>
  <c r="D13" i="3" s="1"/>
  <c r="D28" i="3" a="1"/>
  <c r="D28" i="3" s="1"/>
  <c r="D20" i="3" a="1"/>
  <c r="D20" i="3" s="1"/>
  <c r="D38" i="3" a="1"/>
  <c r="D38" i="3" s="1"/>
  <c r="D27" i="3" a="1"/>
  <c r="D27" i="3" s="1"/>
  <c r="D34" i="3" a="1"/>
  <c r="D34" i="3" s="1"/>
  <c r="D17" i="3" a="1"/>
  <c r="D17" i="3" s="1"/>
  <c r="D64" i="3" a="1"/>
  <c r="D64" i="3" s="1"/>
  <c r="D21" i="3" a="1"/>
  <c r="D21" i="3" s="1"/>
  <c r="D42" i="3" a="1"/>
  <c r="D42" i="3" s="1"/>
  <c r="D25" i="3" a="1"/>
  <c r="D25" i="3" s="1"/>
  <c r="D55" i="3" a="1"/>
  <c r="D55" i="3" s="1"/>
  <c r="D33" i="3" a="1"/>
  <c r="D33" i="3" s="1"/>
  <c r="D40" i="3" a="1"/>
  <c r="D40" i="3" s="1"/>
  <c r="D23" i="3" a="1"/>
  <c r="D23" i="3" s="1"/>
  <c r="D19" i="3" a="1"/>
  <c r="D19" i="3" s="1"/>
  <c r="D56" i="3" a="1"/>
  <c r="D56" i="3" s="1"/>
  <c r="D54" i="3" a="1"/>
  <c r="D54" i="3" s="1"/>
  <c r="D67" i="3" a="1"/>
  <c r="D67" i="3" s="1"/>
  <c r="D37" i="3" a="1"/>
  <c r="D37" i="3" s="1"/>
  <c r="D9" i="3" a="1"/>
  <c r="D9" i="3" s="1"/>
  <c r="D39" i="3" a="1"/>
  <c r="D39" i="3" s="1"/>
  <c r="D45" i="3" a="1"/>
  <c r="D45" i="3" s="1"/>
  <c r="D35" i="3" a="1"/>
  <c r="D35" i="3" s="1"/>
  <c r="D30" i="3" a="1"/>
  <c r="D30" i="3" s="1"/>
  <c r="D12" i="3" a="1"/>
  <c r="D12" i="3" s="1"/>
  <c r="D65" i="3" a="1"/>
  <c r="D65" i="3" s="1"/>
  <c r="D43" i="3" a="1"/>
  <c r="D43" i="3" s="1"/>
  <c r="D11" i="3" a="1"/>
  <c r="D11" i="3" s="1"/>
  <c r="Z58" i="19"/>
  <c r="AA60" i="18"/>
  <c r="AA58" i="19" s="1"/>
  <c r="F63" i="3" a="1"/>
  <c r="F63" i="3" s="1"/>
  <c r="F20" i="3" a="1"/>
  <c r="F20" i="3" s="1"/>
  <c r="F45" i="3" a="1"/>
  <c r="F45" i="3" s="1"/>
  <c r="F44" i="3" a="1"/>
  <c r="F44" i="3" s="1"/>
  <c r="F17" i="3" a="1"/>
  <c r="F17" i="3" s="1"/>
  <c r="F60" i="3" a="1"/>
  <c r="F60" i="3" s="1"/>
  <c r="F23" i="3" a="1"/>
  <c r="F23" i="3" s="1"/>
  <c r="F37" i="3" a="1"/>
  <c r="F37" i="3" s="1"/>
  <c r="F59" i="3" a="1"/>
  <c r="F59" i="3" s="1"/>
  <c r="F67" i="3" a="1"/>
  <c r="F67" i="3" s="1"/>
  <c r="F18" i="3" a="1"/>
  <c r="F18" i="3" s="1"/>
  <c r="F52" i="3" a="1"/>
  <c r="F52" i="3" s="1"/>
  <c r="F5" i="3" a="1"/>
  <c r="F5" i="3" s="1"/>
  <c r="F10" i="3" a="1"/>
  <c r="F10" i="3" s="1"/>
  <c r="F51" i="3" a="1"/>
  <c r="F51" i="3" s="1"/>
  <c r="F26" i="3" a="1"/>
  <c r="F26" i="3" s="1"/>
  <c r="F15" i="3" a="1"/>
  <c r="F15" i="3" s="1"/>
  <c r="F34" i="3" a="1"/>
  <c r="F34" i="3" s="1"/>
  <c r="F36" i="3" a="1"/>
  <c r="F36" i="3" s="1"/>
  <c r="F40" i="3" a="1"/>
  <c r="F40" i="3" s="1"/>
  <c r="F13" i="3" a="1"/>
  <c r="F13" i="3" s="1"/>
  <c r="F41" i="3" a="1"/>
  <c r="F41" i="3" s="1"/>
  <c r="F16" i="3" a="1"/>
  <c r="F16" i="3" s="1"/>
  <c r="F50" i="3" a="1"/>
  <c r="F50" i="3" s="1"/>
  <c r="F8" i="3" a="1"/>
  <c r="F8" i="3" s="1"/>
  <c r="F24" i="3" a="1"/>
  <c r="F24" i="3" s="1"/>
  <c r="F25" i="3" a="1"/>
  <c r="F25" i="3" s="1"/>
  <c r="F3" i="3" a="1"/>
  <c r="F3" i="3" s="1"/>
  <c r="F21" i="3" a="1"/>
  <c r="F21" i="3" s="1"/>
  <c r="F68" i="3" a="1"/>
  <c r="F68" i="3" s="1"/>
  <c r="F33" i="3" a="1"/>
  <c r="F33" i="3" s="1"/>
  <c r="B144" i="10" a="1"/>
  <c r="B144" i="10" s="1"/>
  <c r="F32" i="3" a="1"/>
  <c r="F32" i="3" s="1"/>
  <c r="F30" i="3" a="1"/>
  <c r="F30" i="3" s="1"/>
  <c r="F14" i="3" a="1"/>
  <c r="F14" i="3" s="1"/>
  <c r="F46" i="3" a="1"/>
  <c r="F46" i="3" s="1"/>
  <c r="F47" i="3" a="1"/>
  <c r="F47" i="3" s="1"/>
  <c r="F9" i="3" a="1"/>
  <c r="F9" i="3" s="1"/>
  <c r="F38" i="3" a="1"/>
  <c r="F38" i="3" s="1"/>
  <c r="F6" i="3" a="1"/>
  <c r="F6" i="3" s="1"/>
  <c r="F62" i="3" a="1"/>
  <c r="F62" i="3" s="1"/>
  <c r="F11" i="3" a="1"/>
  <c r="F11" i="3" s="1"/>
  <c r="F42" i="3" a="1"/>
  <c r="F42" i="3" s="1"/>
  <c r="F29" i="3" a="1"/>
  <c r="F29" i="3" s="1"/>
  <c r="F65" i="3" a="1"/>
  <c r="F65" i="3" s="1"/>
  <c r="F55" i="3" a="1"/>
  <c r="F55" i="3" s="1"/>
  <c r="F54" i="3" a="1"/>
  <c r="F54" i="3" s="1"/>
  <c r="F49" i="3" a="1"/>
  <c r="F49" i="3" s="1"/>
  <c r="F57" i="3" a="1"/>
  <c r="F57" i="3" s="1"/>
  <c r="F27" i="3" a="1"/>
  <c r="F27" i="3" s="1"/>
  <c r="F31" i="3" a="1"/>
  <c r="F31" i="3" s="1"/>
  <c r="F43" i="3" a="1"/>
  <c r="F43" i="3" s="1"/>
  <c r="F19" i="3" a="1"/>
  <c r="F19" i="3" s="1"/>
  <c r="F22" i="3" a="1"/>
  <c r="F22" i="3" s="1"/>
  <c r="F56" i="3" a="1"/>
  <c r="F56" i="3" s="1"/>
  <c r="F35" i="3" a="1"/>
  <c r="F35" i="3" s="1"/>
  <c r="F7" i="3" a="1"/>
  <c r="F7" i="3" s="1"/>
  <c r="F66" i="3" a="1"/>
  <c r="F66" i="3" s="1"/>
  <c r="F28" i="3" a="1"/>
  <c r="F28" i="3" s="1"/>
  <c r="F64" i="3" a="1"/>
  <c r="F64" i="3" s="1"/>
  <c r="F53" i="3" a="1"/>
  <c r="F53" i="3" s="1"/>
  <c r="F61" i="3" a="1"/>
  <c r="F61" i="3" s="1"/>
  <c r="F48" i="3" a="1"/>
  <c r="F48" i="3" s="1"/>
  <c r="F12" i="3" a="1"/>
  <c r="F12" i="3" s="1"/>
  <c r="F4" i="3" a="1"/>
  <c r="F4" i="3" s="1"/>
  <c r="F58" i="3" a="1"/>
  <c r="F58" i="3" s="1"/>
  <c r="F39" i="3" a="1"/>
  <c r="F39" i="3" s="1"/>
  <c r="Z9" i="19"/>
  <c r="AA11" i="18"/>
  <c r="AA9" i="19" s="1"/>
  <c r="AA65" i="18"/>
  <c r="AA63" i="19" s="1"/>
  <c r="Z63" i="19"/>
  <c r="C4" i="3" a="1"/>
  <c r="C4" i="3" s="1"/>
  <c r="C35" i="3" a="1"/>
  <c r="C35" i="3" s="1"/>
  <c r="C18" i="3" a="1"/>
  <c r="C18" i="3" s="1"/>
  <c r="C39" i="3" a="1"/>
  <c r="C39" i="3" s="1"/>
  <c r="C42" i="3" a="1"/>
  <c r="C42" i="3" s="1"/>
  <c r="C34" i="3" a="1"/>
  <c r="C34" i="3" s="1"/>
  <c r="C23" i="3" a="1"/>
  <c r="C23" i="3" s="1"/>
  <c r="C13" i="3" a="1"/>
  <c r="C13" i="3" s="1"/>
  <c r="B142" i="7" a="1"/>
  <c r="B142" i="7" s="1"/>
  <c r="C25" i="3" a="1"/>
  <c r="C25" i="3" s="1"/>
  <c r="C14" i="3" a="1"/>
  <c r="C14" i="3" s="1"/>
  <c r="C67" i="3" a="1"/>
  <c r="C67" i="3" s="1"/>
  <c r="C61" i="3" a="1"/>
  <c r="C61" i="3" s="1"/>
  <c r="C31" i="3" a="1"/>
  <c r="C31" i="3" s="1"/>
  <c r="C17" i="3" a="1"/>
  <c r="C17" i="3" s="1"/>
  <c r="C49" i="3" a="1"/>
  <c r="C49" i="3" s="1"/>
  <c r="C5" i="3" a="1"/>
  <c r="C5" i="3" s="1"/>
  <c r="C15" i="3" a="1"/>
  <c r="C15" i="3" s="1"/>
  <c r="C29" i="3" a="1"/>
  <c r="C29" i="3" s="1"/>
  <c r="C52" i="3" a="1"/>
  <c r="C52" i="3" s="1"/>
  <c r="C3" i="3" a="1"/>
  <c r="C3" i="3" s="1"/>
  <c r="C65" i="3" a="1"/>
  <c r="C65" i="3" s="1"/>
  <c r="C8" i="3" a="1"/>
  <c r="C8" i="3" s="1"/>
  <c r="C47" i="3" a="1"/>
  <c r="C47" i="3" s="1"/>
  <c r="C41" i="3" a="1"/>
  <c r="C41" i="3" s="1"/>
  <c r="C9" i="3" a="1"/>
  <c r="C9" i="3" s="1"/>
  <c r="C51" i="3" a="1"/>
  <c r="C51" i="3" s="1"/>
  <c r="C21" i="3" a="1"/>
  <c r="C21" i="3" s="1"/>
  <c r="C20" i="3" a="1"/>
  <c r="C20" i="3" s="1"/>
  <c r="C10" i="3" a="1"/>
  <c r="C10" i="3" s="1"/>
  <c r="C22" i="3" a="1"/>
  <c r="C22" i="3" s="1"/>
  <c r="C46" i="3" a="1"/>
  <c r="C46" i="3" s="1"/>
  <c r="C11" i="3" a="1"/>
  <c r="C11" i="3" s="1"/>
  <c r="C56" i="3" a="1"/>
  <c r="C56" i="3" s="1"/>
  <c r="C40" i="3" a="1"/>
  <c r="C40" i="3" s="1"/>
  <c r="C19" i="3" a="1"/>
  <c r="C19" i="3" s="1"/>
  <c r="C60" i="3" a="1"/>
  <c r="C60" i="3" s="1"/>
  <c r="C7" i="3" a="1"/>
  <c r="C7" i="3" s="1"/>
  <c r="C30" i="3" a="1"/>
  <c r="C30" i="3" s="1"/>
  <c r="C16" i="3" a="1"/>
  <c r="C16" i="3" s="1"/>
  <c r="C28" i="3" a="1"/>
  <c r="C28" i="3" s="1"/>
  <c r="C66" i="3" a="1"/>
  <c r="C66" i="3" s="1"/>
  <c r="C24" i="3" a="1"/>
  <c r="C24" i="3" s="1"/>
  <c r="C43" i="3" a="1"/>
  <c r="C43" i="3" s="1"/>
  <c r="C62" i="3" a="1"/>
  <c r="C62" i="3" s="1"/>
  <c r="C58" i="3" a="1"/>
  <c r="C58" i="3" s="1"/>
  <c r="C50" i="3" a="1"/>
  <c r="C50" i="3" s="1"/>
  <c r="C32" i="3" a="1"/>
  <c r="C32" i="3" s="1"/>
  <c r="C63" i="3" a="1"/>
  <c r="C63" i="3" s="1"/>
  <c r="C54" i="3" a="1"/>
  <c r="C54" i="3" s="1"/>
  <c r="C45" i="3" a="1"/>
  <c r="C45" i="3" s="1"/>
  <c r="C38" i="3" a="1"/>
  <c r="C38" i="3" s="1"/>
  <c r="C44" i="3" a="1"/>
  <c r="C44" i="3" s="1"/>
  <c r="C33" i="3" a="1"/>
  <c r="C33" i="3" s="1"/>
  <c r="C12" i="3" a="1"/>
  <c r="C12" i="3" s="1"/>
  <c r="C26" i="3" a="1"/>
  <c r="C26" i="3" s="1"/>
  <c r="C36" i="3" a="1"/>
  <c r="C36" i="3" s="1"/>
  <c r="C53" i="3" a="1"/>
  <c r="C53" i="3" s="1"/>
  <c r="C55" i="3" a="1"/>
  <c r="C55" i="3" s="1"/>
  <c r="C6" i="3" a="1"/>
  <c r="C6" i="3" s="1"/>
  <c r="C68" i="3" a="1"/>
  <c r="C68" i="3" s="1"/>
  <c r="C64" i="3" a="1"/>
  <c r="C64" i="3" s="1"/>
  <c r="C59" i="3" a="1"/>
  <c r="C59" i="3" s="1"/>
  <c r="C27" i="3" a="1"/>
  <c r="C27" i="3" s="1"/>
  <c r="C37" i="3" a="1"/>
  <c r="C37" i="3" s="1"/>
  <c r="C57" i="3" a="1"/>
  <c r="C57" i="3" s="1"/>
  <c r="C48" i="3" a="1"/>
  <c r="C48" i="3" s="1"/>
  <c r="AA95" i="23"/>
  <c r="AA36" i="18"/>
  <c r="AA34" i="19" s="1"/>
  <c r="Z34" i="19"/>
  <c r="Z91" i="21"/>
  <c r="AA55" i="18"/>
  <c r="AA53" i="19" s="1"/>
  <c r="Z53" i="19"/>
  <c r="Z17" i="19"/>
  <c r="AA19" i="18"/>
  <c r="AA17" i="19" s="1"/>
  <c r="Y95" i="17"/>
  <c r="AA91" i="21"/>
  <c r="E24" i="3" a="1"/>
  <c r="E24" i="3" s="1"/>
  <c r="E13" i="3" a="1"/>
  <c r="E13" i="3" s="1"/>
  <c r="E11" i="3" a="1"/>
  <c r="E11" i="3" s="1"/>
  <c r="E37" i="3" a="1"/>
  <c r="E37" i="3" s="1"/>
  <c r="B144" i="15" a="1"/>
  <c r="B144" i="15" s="1"/>
  <c r="E18" i="3" a="1"/>
  <c r="E18" i="3" s="1"/>
  <c r="E59" i="3" a="1"/>
  <c r="E59" i="3" s="1"/>
  <c r="E5" i="3" a="1"/>
  <c r="E5" i="3" s="1"/>
  <c r="E43" i="3" a="1"/>
  <c r="E43" i="3" s="1"/>
  <c r="E67" i="3" a="1"/>
  <c r="E67" i="3" s="1"/>
  <c r="E35" i="3" a="1"/>
  <c r="E35" i="3" s="1"/>
  <c r="E31" i="3" a="1"/>
  <c r="E31" i="3" s="1"/>
  <c r="E68" i="3" a="1"/>
  <c r="E68" i="3" s="1"/>
  <c r="E26" i="3" a="1"/>
  <c r="E26" i="3" s="1"/>
  <c r="E38" i="3" a="1"/>
  <c r="E38" i="3" s="1"/>
  <c r="E52" i="3" a="1"/>
  <c r="E52" i="3" s="1"/>
  <c r="E36" i="3" a="1"/>
  <c r="E36" i="3" s="1"/>
  <c r="E14" i="3" a="1"/>
  <c r="E14" i="3" s="1"/>
  <c r="E55" i="3" a="1"/>
  <c r="E55" i="3" s="1"/>
  <c r="E23" i="3" a="1"/>
  <c r="E23" i="3" s="1"/>
  <c r="E41" i="3" a="1"/>
  <c r="E41" i="3" s="1"/>
  <c r="E16" i="3" a="1"/>
  <c r="E16" i="3" s="1"/>
  <c r="E42" i="3" a="1"/>
  <c r="E42" i="3" s="1"/>
  <c r="E50" i="3" a="1"/>
  <c r="E50" i="3" s="1"/>
  <c r="E7" i="3" a="1"/>
  <c r="E7" i="3" s="1"/>
  <c r="E40" i="3" a="1"/>
  <c r="E40" i="3" s="1"/>
  <c r="E49" i="3" a="1"/>
  <c r="E49" i="3" s="1"/>
  <c r="E56" i="3" a="1"/>
  <c r="E56" i="3" s="1"/>
  <c r="E27" i="3" a="1"/>
  <c r="E27" i="3" s="1"/>
  <c r="E6" i="3" a="1"/>
  <c r="E6" i="3" s="1"/>
  <c r="E62" i="3" a="1"/>
  <c r="E62" i="3" s="1"/>
  <c r="E22" i="3" a="1"/>
  <c r="E22" i="3" s="1"/>
  <c r="E33" i="3" a="1"/>
  <c r="E33" i="3" s="1"/>
  <c r="E63" i="3" a="1"/>
  <c r="E63" i="3" s="1"/>
  <c r="E60" i="3" a="1"/>
  <c r="E60" i="3" s="1"/>
  <c r="E64" i="3" a="1"/>
  <c r="E64" i="3" s="1"/>
  <c r="E29" i="3" a="1"/>
  <c r="E29" i="3" s="1"/>
  <c r="E19" i="3" a="1"/>
  <c r="E19" i="3" s="1"/>
  <c r="E47" i="3" a="1"/>
  <c r="E47" i="3" s="1"/>
  <c r="E51" i="3" a="1"/>
  <c r="E51" i="3" s="1"/>
  <c r="E12" i="3" a="1"/>
  <c r="E12" i="3" s="1"/>
  <c r="E39" i="3" a="1"/>
  <c r="E39" i="3" s="1"/>
  <c r="E9" i="3" a="1"/>
  <c r="E9" i="3" s="1"/>
  <c r="E32" i="3" a="1"/>
  <c r="E32" i="3" s="1"/>
  <c r="E20" i="3" a="1"/>
  <c r="E20" i="3" s="1"/>
  <c r="E8" i="3" a="1"/>
  <c r="E8" i="3" s="1"/>
  <c r="E30" i="3" a="1"/>
  <c r="E30" i="3" s="1"/>
  <c r="E3" i="3" a="1"/>
  <c r="E3" i="3" s="1"/>
  <c r="E57" i="3" a="1"/>
  <c r="E57" i="3" s="1"/>
  <c r="E15" i="3" a="1"/>
  <c r="E15" i="3" s="1"/>
  <c r="E48" i="3" a="1"/>
  <c r="E48" i="3" s="1"/>
  <c r="E25" i="3" a="1"/>
  <c r="E25" i="3" s="1"/>
  <c r="E53" i="3" a="1"/>
  <c r="E53" i="3" s="1"/>
  <c r="E61" i="3" a="1"/>
  <c r="E61" i="3" s="1"/>
  <c r="E28" i="3" a="1"/>
  <c r="E28" i="3" s="1"/>
  <c r="E45" i="3" a="1"/>
  <c r="E45" i="3" s="1"/>
  <c r="E65" i="3" a="1"/>
  <c r="E65" i="3" s="1"/>
  <c r="E17" i="3" a="1"/>
  <c r="E17" i="3" s="1"/>
  <c r="E21" i="3" a="1"/>
  <c r="E21" i="3" s="1"/>
  <c r="E66" i="3" a="1"/>
  <c r="E66" i="3" s="1"/>
  <c r="E46" i="3" a="1"/>
  <c r="E46" i="3" s="1"/>
  <c r="E44" i="3" a="1"/>
  <c r="E44" i="3" s="1"/>
  <c r="E4" i="3" a="1"/>
  <c r="E4" i="3" s="1"/>
  <c r="E54" i="3" a="1"/>
  <c r="E54" i="3" s="1"/>
  <c r="E58" i="3" a="1"/>
  <c r="E58" i="3" s="1"/>
  <c r="E34" i="3" a="1"/>
  <c r="E34" i="3" s="1"/>
  <c r="E10" i="3" a="1"/>
  <c r="E10" i="3" s="1"/>
  <c r="W43" i="24" a="1"/>
  <c r="W43" i="24" s="1"/>
  <c r="W15" i="24" a="1"/>
  <c r="W15" i="24" s="1"/>
  <c r="W17" i="24" a="1"/>
  <c r="W17" i="24" s="1"/>
  <c r="W63" i="24" a="1"/>
  <c r="W63" i="24" s="1"/>
  <c r="W56" i="24" a="1"/>
  <c r="W56" i="24" s="1"/>
  <c r="W12" i="24" a="1"/>
  <c r="W12" i="24" s="1"/>
  <c r="W66" i="24" a="1"/>
  <c r="W66" i="24" s="1"/>
  <c r="W40" i="24" a="1"/>
  <c r="W40" i="24" s="1"/>
  <c r="W11" i="24" a="1"/>
  <c r="W11" i="24" s="1"/>
  <c r="W67" i="24" a="1"/>
  <c r="W67" i="24" s="1"/>
  <c r="W45" i="24" a="1"/>
  <c r="W45" i="24" s="1"/>
  <c r="W23" i="24" a="1"/>
  <c r="W23" i="24" s="1"/>
  <c r="W8" i="24" a="1"/>
  <c r="W8" i="24" s="1"/>
  <c r="W30" i="24" a="1"/>
  <c r="W30" i="24" s="1"/>
  <c r="W32" i="24" a="1"/>
  <c r="W32" i="24" s="1"/>
  <c r="W48" i="24" a="1"/>
  <c r="W48" i="24" s="1"/>
  <c r="B130" i="6" a="1"/>
  <c r="B130" i="6" s="1"/>
  <c r="W37" i="24" a="1"/>
  <c r="W37" i="24" s="1"/>
  <c r="W25" i="24" a="1"/>
  <c r="W25" i="24" s="1"/>
  <c r="W55" i="24" a="1"/>
  <c r="W55" i="24" s="1"/>
  <c r="W6" i="24" a="1"/>
  <c r="W6" i="24" s="1"/>
  <c r="W47" i="24" a="1"/>
  <c r="W47" i="24" s="1"/>
  <c r="W46" i="24" a="1"/>
  <c r="W46" i="24" s="1"/>
  <c r="W39" i="24" a="1"/>
  <c r="W39" i="24" s="1"/>
  <c r="W28" i="24" a="1"/>
  <c r="W28" i="24" s="1"/>
  <c r="W5" i="24" a="1"/>
  <c r="W5" i="24" s="1"/>
  <c r="W59" i="24" a="1"/>
  <c r="W59" i="24" s="1"/>
  <c r="W24" i="24" a="1"/>
  <c r="W24" i="24" s="1"/>
  <c r="W4" i="24" a="1"/>
  <c r="W4" i="24" s="1"/>
  <c r="W61" i="24" a="1"/>
  <c r="W61" i="24" s="1"/>
  <c r="W65" i="24" a="1"/>
  <c r="W65" i="24" s="1"/>
  <c r="W53" i="24" a="1"/>
  <c r="W53" i="24" s="1"/>
  <c r="W9" i="24" a="1"/>
  <c r="W9" i="24" s="1"/>
  <c r="W33" i="24" a="1"/>
  <c r="W33" i="24" s="1"/>
  <c r="W44" i="24" a="1"/>
  <c r="W44" i="24" s="1"/>
  <c r="W54" i="24" a="1"/>
  <c r="W54" i="24" s="1"/>
  <c r="W14" i="24" a="1"/>
  <c r="W14" i="24" s="1"/>
  <c r="W50" i="24" a="1"/>
  <c r="W50" i="24" s="1"/>
  <c r="W31" i="24" a="1"/>
  <c r="W31" i="24" s="1"/>
  <c r="W64" i="24" a="1"/>
  <c r="W64" i="24" s="1"/>
  <c r="W22" i="24" a="1"/>
  <c r="W22" i="24" s="1"/>
  <c r="W13" i="24" a="1"/>
  <c r="W13" i="24" s="1"/>
  <c r="W57" i="24" a="1"/>
  <c r="W57" i="24" s="1"/>
  <c r="W49" i="24" a="1"/>
  <c r="W49" i="24" s="1"/>
  <c r="W36" i="24" a="1"/>
  <c r="W36" i="24" s="1"/>
  <c r="W35" i="24" a="1"/>
  <c r="W35" i="24" s="1"/>
  <c r="W51" i="24" a="1"/>
  <c r="W51" i="24" s="1"/>
  <c r="W58" i="24" a="1"/>
  <c r="W58" i="24" s="1"/>
  <c r="W10" i="24" a="1"/>
  <c r="W10" i="24" s="1"/>
  <c r="W16" i="24" a="1"/>
  <c r="W16" i="24" s="1"/>
  <c r="W7" i="24" a="1"/>
  <c r="W7" i="24" s="1"/>
  <c r="W34" i="24" a="1"/>
  <c r="W34" i="24" s="1"/>
  <c r="W52" i="24" a="1"/>
  <c r="W52" i="24" s="1"/>
  <c r="W38" i="24" a="1"/>
  <c r="W38" i="24" s="1"/>
  <c r="W26" i="24" a="1"/>
  <c r="W26" i="24" s="1"/>
  <c r="W18" i="24" a="1"/>
  <c r="W18" i="24" s="1"/>
  <c r="W27" i="24" a="1"/>
  <c r="W27" i="24" s="1"/>
  <c r="W20" i="24" a="1"/>
  <c r="W20" i="24" s="1"/>
  <c r="W3" i="24" a="1"/>
  <c r="W3" i="24" s="1"/>
  <c r="W42" i="24" a="1"/>
  <c r="W42" i="24" s="1"/>
  <c r="W62" i="24" a="1"/>
  <c r="W62" i="24" s="1"/>
  <c r="W29" i="24" a="1"/>
  <c r="W29" i="24" s="1"/>
  <c r="W19" i="24" a="1"/>
  <c r="W19" i="24" s="1"/>
  <c r="W41" i="24" a="1"/>
  <c r="W41" i="24" s="1"/>
  <c r="W60" i="24" a="1"/>
  <c r="W60" i="24" s="1"/>
  <c r="AA89" i="21"/>
  <c r="AA81" i="21"/>
  <c r="AA73" i="21"/>
  <c r="L97" i="21"/>
  <c r="C97" i="21"/>
  <c r="G97" i="21"/>
  <c r="Z87" i="21"/>
  <c r="Z79" i="21"/>
  <c r="R96" i="21"/>
  <c r="M96" i="21"/>
  <c r="K96" i="21"/>
  <c r="V96" i="21"/>
  <c r="L95" i="19"/>
  <c r="I95" i="19"/>
  <c r="G95" i="19"/>
  <c r="B95" i="19"/>
  <c r="Y78" i="19"/>
  <c r="Y86" i="19"/>
  <c r="T95" i="19"/>
  <c r="Q95" i="19"/>
  <c r="W95" i="19"/>
  <c r="C95" i="19"/>
  <c r="Y79" i="19"/>
  <c r="Y87" i="19"/>
  <c r="E95" i="19"/>
  <c r="Y95" i="19"/>
  <c r="R95" i="19"/>
  <c r="Y72" i="19"/>
  <c r="Y80" i="19"/>
  <c r="Y88" i="19"/>
  <c r="M95" i="19"/>
  <c r="J95" i="19"/>
  <c r="S95" i="19"/>
  <c r="Y74" i="19"/>
  <c r="Y81" i="19"/>
  <c r="Y89" i="19"/>
  <c r="U95" i="19"/>
  <c r="X95" i="19"/>
  <c r="Y73" i="19"/>
  <c r="Y82" i="19"/>
  <c r="Y90" i="19"/>
  <c r="F95" i="19"/>
  <c r="K95" i="19"/>
  <c r="Y68" i="19"/>
  <c r="Y70" i="19" s="1"/>
  <c r="Y76" i="19"/>
  <c r="Y83" i="19"/>
  <c r="Y91" i="19"/>
  <c r="N95" i="19"/>
  <c r="H95" i="19"/>
  <c r="Y75" i="19"/>
  <c r="Y84" i="19"/>
  <c r="D95" i="19"/>
  <c r="V95" i="19"/>
  <c r="O95" i="19"/>
  <c r="P95" i="19"/>
  <c r="Y77" i="19"/>
  <c r="Y85" i="19"/>
  <c r="Y92" i="19"/>
  <c r="Y93" i="19"/>
  <c r="L95" i="17"/>
  <c r="B95" i="17"/>
  <c r="P95" i="17"/>
  <c r="G95" i="17"/>
  <c r="Y72" i="17"/>
  <c r="J95" i="17"/>
  <c r="AA88" i="21"/>
  <c r="AA80" i="21"/>
  <c r="AA72" i="21"/>
  <c r="I97" i="21"/>
  <c r="B97" i="21"/>
  <c r="V97" i="21"/>
  <c r="Z86" i="21"/>
  <c r="Z78" i="21"/>
  <c r="Q96" i="21"/>
  <c r="Z68" i="21"/>
  <c r="Z70" i="21" s="1"/>
  <c r="C96" i="21"/>
  <c r="N96" i="21"/>
  <c r="Q95" i="17"/>
  <c r="Y91" i="17"/>
  <c r="Y85" i="17"/>
  <c r="Y86" i="17"/>
  <c r="C95" i="17"/>
  <c r="Y93" i="17"/>
  <c r="AA87" i="21"/>
  <c r="AA79" i="21"/>
  <c r="AA97" i="21"/>
  <c r="X97" i="21"/>
  <c r="P97" i="21"/>
  <c r="N97" i="21"/>
  <c r="Z85" i="21"/>
  <c r="Z77" i="21"/>
  <c r="Y96" i="21"/>
  <c r="B96" i="21"/>
  <c r="X96" i="21"/>
  <c r="F96" i="21"/>
  <c r="Y79" i="17"/>
  <c r="Y76" i="17"/>
  <c r="Y74" i="17"/>
  <c r="Y78" i="17"/>
  <c r="H95" i="17"/>
  <c r="Y92" i="17"/>
  <c r="AA86" i="21"/>
  <c r="AA78" i="21"/>
  <c r="U97" i="21"/>
  <c r="K97" i="21"/>
  <c r="Z97" i="21"/>
  <c r="F97" i="21"/>
  <c r="Z84" i="21"/>
  <c r="Z76" i="21"/>
  <c r="U96" i="21"/>
  <c r="L96" i="21"/>
  <c r="P96" i="21"/>
  <c r="Z94" i="21"/>
  <c r="Y94" i="19"/>
  <c r="Y68" i="17"/>
  <c r="Y70" i="17" s="1"/>
  <c r="K95" i="17"/>
  <c r="U95" i="17"/>
  <c r="F95" i="17"/>
  <c r="Y88" i="17"/>
  <c r="Y94" i="17"/>
  <c r="AA95" i="21"/>
  <c r="AA85" i="21"/>
  <c r="AA77" i="21"/>
  <c r="T97" i="21"/>
  <c r="AA68" i="21"/>
  <c r="AA70" i="21" s="1"/>
  <c r="R97" i="21"/>
  <c r="E97" i="21"/>
  <c r="Z83" i="21"/>
  <c r="Z75" i="21"/>
  <c r="I96" i="21"/>
  <c r="Z96" i="21"/>
  <c r="H96" i="21"/>
  <c r="Z92" i="21"/>
  <c r="Y83" i="17"/>
  <c r="R95" i="17"/>
  <c r="X95" i="17"/>
  <c r="W95" i="17"/>
  <c r="I95" i="17"/>
  <c r="Y80" i="17"/>
  <c r="AA94" i="21"/>
  <c r="Z92" i="23"/>
  <c r="Z93" i="23"/>
  <c r="Z91" i="23"/>
  <c r="M96" i="23"/>
  <c r="O96" i="23"/>
  <c r="S96" i="23"/>
  <c r="AA96" i="23"/>
  <c r="Z78" i="23"/>
  <c r="B96" i="23"/>
  <c r="R96" i="23"/>
  <c r="I96" i="23"/>
  <c r="Z79" i="23"/>
  <c r="Z87" i="23"/>
  <c r="Z68" i="23"/>
  <c r="Z70" i="23" s="1"/>
  <c r="C96" i="23"/>
  <c r="Y96" i="23"/>
  <c r="Z80" i="23"/>
  <c r="Z88" i="23"/>
  <c r="G96" i="23"/>
  <c r="J96" i="23"/>
  <c r="Z72" i="23"/>
  <c r="Z81" i="23"/>
  <c r="Z89" i="23"/>
  <c r="E96" i="23"/>
  <c r="W96" i="23"/>
  <c r="Z96" i="23"/>
  <c r="Z73" i="23"/>
  <c r="Z82" i="23"/>
  <c r="Z90" i="23"/>
  <c r="U96" i="23"/>
  <c r="H96" i="23"/>
  <c r="K96" i="23"/>
  <c r="Z74" i="23"/>
  <c r="Z83" i="23"/>
  <c r="F96" i="23"/>
  <c r="P96" i="23"/>
  <c r="L96" i="23"/>
  <c r="Z75" i="23"/>
  <c r="Z84" i="23"/>
  <c r="N96" i="23"/>
  <c r="X96" i="23"/>
  <c r="T96" i="23"/>
  <c r="Z76" i="23"/>
  <c r="Z85" i="23"/>
  <c r="V96" i="23"/>
  <c r="Q96" i="23"/>
  <c r="D96" i="23"/>
  <c r="Z77" i="23"/>
  <c r="Z86" i="23"/>
  <c r="Z94" i="23"/>
  <c r="AA84" i="21"/>
  <c r="AA76" i="21"/>
  <c r="H97" i="21"/>
  <c r="S97" i="21"/>
  <c r="J97" i="21"/>
  <c r="Z90" i="21"/>
  <c r="Z82" i="21"/>
  <c r="Z74" i="21"/>
  <c r="E96" i="21"/>
  <c r="J96" i="21"/>
  <c r="W96" i="21"/>
  <c r="Z93" i="21"/>
  <c r="D95" i="17"/>
  <c r="Y90" i="17"/>
  <c r="Y87" i="17"/>
  <c r="Y84" i="17"/>
  <c r="O95" i="17"/>
  <c r="Y73" i="17"/>
  <c r="AA92" i="21"/>
  <c r="AA93" i="23"/>
  <c r="AA92" i="23"/>
  <c r="AA91" i="23"/>
  <c r="E97" i="23"/>
  <c r="O97" i="23"/>
  <c r="Q97" i="23"/>
  <c r="AA73" i="23"/>
  <c r="AA81" i="23"/>
  <c r="AA89" i="23"/>
  <c r="M97" i="23"/>
  <c r="W97" i="23"/>
  <c r="R97" i="23"/>
  <c r="AA74" i="23"/>
  <c r="AA82" i="23"/>
  <c r="AA90" i="23"/>
  <c r="U97" i="23"/>
  <c r="H97" i="23"/>
  <c r="S97" i="23"/>
  <c r="AA75" i="23"/>
  <c r="AA83" i="23"/>
  <c r="F97" i="23"/>
  <c r="X97" i="23"/>
  <c r="AA97" i="23"/>
  <c r="AA76" i="23"/>
  <c r="AA84" i="23"/>
  <c r="D97" i="23"/>
  <c r="N97" i="23"/>
  <c r="I97" i="23"/>
  <c r="C97" i="23"/>
  <c r="AA77" i="23"/>
  <c r="AA85" i="23"/>
  <c r="L97" i="23"/>
  <c r="V97" i="23"/>
  <c r="Y97" i="23"/>
  <c r="K97" i="23"/>
  <c r="AA78" i="23"/>
  <c r="AA86" i="23"/>
  <c r="T97" i="23"/>
  <c r="AA68" i="23"/>
  <c r="AA70" i="23" s="1"/>
  <c r="J97" i="23"/>
  <c r="P97" i="23"/>
  <c r="AA79" i="23"/>
  <c r="AA87" i="23"/>
  <c r="B97" i="23"/>
  <c r="G97" i="23"/>
  <c r="Z97" i="23"/>
  <c r="AA72" i="23"/>
  <c r="AA80" i="23"/>
  <c r="AA88" i="23"/>
  <c r="AA94" i="23"/>
  <c r="AA83" i="21"/>
  <c r="AA75" i="21"/>
  <c r="Y97" i="21"/>
  <c r="D97" i="21"/>
  <c r="W97" i="21"/>
  <c r="Z89" i="21"/>
  <c r="Z81" i="21"/>
  <c r="Z73" i="21"/>
  <c r="T96" i="21"/>
  <c r="AA96" i="21"/>
  <c r="O96" i="21"/>
  <c r="E95" i="17"/>
  <c r="Y77" i="17"/>
  <c r="Y75" i="17"/>
  <c r="N95" i="17"/>
  <c r="Y89" i="17"/>
  <c r="T95" i="17"/>
  <c r="AA93" i="21"/>
  <c r="Z95" i="21"/>
  <c r="AA90" i="21"/>
  <c r="AA82" i="21"/>
  <c r="AA74" i="21"/>
  <c r="M97" i="21"/>
  <c r="Q97" i="21"/>
  <c r="O97" i="21"/>
  <c r="Z88" i="21"/>
  <c r="Z80" i="21"/>
  <c r="Z72" i="21"/>
  <c r="D96" i="21"/>
  <c r="S96" i="21"/>
  <c r="G96" i="21"/>
  <c r="Z95" i="23"/>
  <c r="Y82" i="17"/>
  <c r="V95" i="17"/>
  <c r="S95" i="17"/>
  <c r="M95" i="17"/>
  <c r="Y81" i="17"/>
  <c r="AA25" i="16"/>
  <c r="AA23" i="17" s="1"/>
  <c r="Z23" i="17"/>
  <c r="Z14" i="17"/>
  <c r="AA16" i="16"/>
  <c r="AA14" i="17" s="1"/>
  <c r="AA9" i="16"/>
  <c r="AA7" i="17" s="1"/>
  <c r="Z7" i="17"/>
  <c r="Z40" i="19"/>
  <c r="AA42" i="18"/>
  <c r="AA40" i="19" s="1"/>
  <c r="AA23" i="16"/>
  <c r="AA21" i="17" s="1"/>
  <c r="Z21" i="17"/>
  <c r="AA29" i="18"/>
  <c r="AA27" i="19" s="1"/>
  <c r="Z27" i="19"/>
  <c r="Z27" i="17"/>
  <c r="AA29" i="16"/>
  <c r="AA27" i="17" s="1"/>
  <c r="Z59" i="19"/>
  <c r="AA61" i="18"/>
  <c r="AA59" i="19" s="1"/>
  <c r="AA49" i="16"/>
  <c r="AA47" i="17" s="1"/>
  <c r="Z47" i="17"/>
  <c r="AA56" i="16"/>
  <c r="AA54" i="17" s="1"/>
  <c r="Z54" i="17"/>
  <c r="AA31" i="18"/>
  <c r="AA29" i="19" s="1"/>
  <c r="Z29" i="19"/>
  <c r="Z64" i="19"/>
  <c r="AA66" i="18"/>
  <c r="AA64" i="19" s="1"/>
  <c r="Z48" i="17"/>
  <c r="AA50" i="16"/>
  <c r="AA48" i="17" s="1"/>
  <c r="AA47" i="16"/>
  <c r="AA45" i="17" s="1"/>
  <c r="Z45" i="17"/>
  <c r="Z36" i="19"/>
  <c r="AA38" i="18"/>
  <c r="AA36" i="19" s="1"/>
  <c r="Z52" i="17"/>
  <c r="AA54" i="16"/>
  <c r="AA52" i="17" s="1"/>
  <c r="Z22" i="19"/>
  <c r="AA24" i="18"/>
  <c r="AA22" i="19" s="1"/>
  <c r="AA48" i="16"/>
  <c r="AA46" i="17" s="1"/>
  <c r="Z46" i="17"/>
  <c r="AA55" i="16"/>
  <c r="AA53" i="17" s="1"/>
  <c r="Z53" i="17"/>
  <c r="AA33" i="18"/>
  <c r="AA31" i="19" s="1"/>
  <c r="Z31" i="19"/>
  <c r="Z56" i="19"/>
  <c r="AA58" i="18"/>
  <c r="AA56" i="19" s="1"/>
  <c r="Z48" i="19"/>
  <c r="AA50" i="18"/>
  <c r="AA48" i="19" s="1"/>
  <c r="Z62" i="19"/>
  <c r="AA64" i="18"/>
  <c r="AA62" i="19" s="1"/>
  <c r="AA32" i="16"/>
  <c r="AA30" i="17" s="1"/>
  <c r="Z30" i="17"/>
  <c r="Z35" i="19"/>
  <c r="AA37" i="18"/>
  <c r="AA35" i="19" s="1"/>
  <c r="Z11" i="17"/>
  <c r="AA13" i="16"/>
  <c r="AA11" i="17" s="1"/>
  <c r="AA23" i="18"/>
  <c r="AA21" i="19" s="1"/>
  <c r="Z21" i="19"/>
  <c r="AA58" i="16"/>
  <c r="AA56" i="17" s="1"/>
  <c r="Z56" i="17"/>
  <c r="Z3" i="19"/>
  <c r="AA5" i="18"/>
  <c r="AA3" i="19" s="1"/>
  <c r="Z52" i="19"/>
  <c r="AA54" i="18"/>
  <c r="AA52" i="19" s="1"/>
  <c r="AA62" i="16"/>
  <c r="AA60" i="17" s="1"/>
  <c r="Z60" i="17"/>
  <c r="AA14" i="16"/>
  <c r="AA12" i="17" s="1"/>
  <c r="Z12" i="17"/>
  <c r="AA45" i="16"/>
  <c r="AA43" i="17" s="1"/>
  <c r="Z43" i="17"/>
  <c r="AA15" i="18"/>
  <c r="AA13" i="19" s="1"/>
  <c r="Z13" i="19"/>
  <c r="Z4" i="19"/>
  <c r="AA6" i="18"/>
  <c r="AA4" i="19" s="1"/>
  <c r="Z43" i="19"/>
  <c r="AA45" i="18"/>
  <c r="AA43" i="19" s="1"/>
  <c r="Z30" i="19"/>
  <c r="AA32" i="18"/>
  <c r="AA30" i="19" s="1"/>
  <c r="Z63" i="17"/>
  <c r="AA65" i="16"/>
  <c r="AA63" i="17" s="1"/>
  <c r="Z12" i="19"/>
  <c r="AA14" i="18"/>
  <c r="AA12" i="19" s="1"/>
  <c r="AA34" i="16"/>
  <c r="AA32" i="17" s="1"/>
  <c r="Z32" i="17"/>
  <c r="Z38" i="19"/>
  <c r="AA40" i="18"/>
  <c r="AA38" i="19" s="1"/>
  <c r="AH44" i="4"/>
  <c r="AI44" i="4"/>
  <c r="AB44" i="4"/>
  <c r="AS44" i="4"/>
  <c r="AR44" i="4"/>
  <c r="AM44" i="4"/>
  <c r="AD59" i="4"/>
  <c r="AF59" i="4" s="1"/>
  <c r="AT59" i="4"/>
  <c r="BO57" i="4"/>
  <c r="BM57" i="4"/>
  <c r="BL57" i="4"/>
  <c r="BN57" i="4"/>
  <c r="BH57" i="4"/>
  <c r="BK57" i="4"/>
  <c r="BI57" i="4"/>
  <c r="BP57" i="4"/>
  <c r="BG57" i="4"/>
  <c r="BF57" i="4"/>
  <c r="BJ57" i="4"/>
  <c r="BD57" i="4"/>
  <c r="AY57" i="4"/>
  <c r="AX57" i="4"/>
  <c r="BB57" i="4"/>
  <c r="AU57" i="4"/>
  <c r="BE57" i="4"/>
  <c r="AP57" i="4"/>
  <c r="BA57" i="4"/>
  <c r="AZ57" i="4"/>
  <c r="BC57" i="4"/>
  <c r="AW57" i="4"/>
  <c r="AG10" i="4"/>
  <c r="AQ10" i="4"/>
  <c r="AJ57" i="4"/>
  <c r="AO57" i="4" s="1"/>
  <c r="AQ57" i="4"/>
  <c r="AN10" i="4"/>
  <c r="AT10" i="4"/>
  <c r="AP4" i="4"/>
  <c r="AT4" i="4" s="1"/>
  <c r="AW4" i="4" s="1"/>
  <c r="BG4" i="4"/>
  <c r="AO7" i="4"/>
  <c r="BL7" i="4"/>
  <c r="BI7" i="4"/>
  <c r="BN7" i="4"/>
  <c r="BO7" i="4"/>
  <c r="BG7" i="4"/>
  <c r="BP7" i="4"/>
  <c r="BK7" i="4"/>
  <c r="BH7" i="4"/>
  <c r="BJ7" i="4"/>
  <c r="BA7" i="4"/>
  <c r="BC7" i="4"/>
  <c r="BE7" i="4"/>
  <c r="AZ7" i="4"/>
  <c r="BD7" i="4"/>
  <c r="AV7" i="4"/>
  <c r="BM7" i="4" s="1"/>
  <c r="AR8" i="4"/>
  <c r="AT8" i="4" s="1"/>
  <c r="AU8" i="4" s="1"/>
  <c r="AY8" i="4" s="1"/>
  <c r="AZ8" i="4" s="1"/>
  <c r="AV8" i="4"/>
  <c r="AH67" i="4"/>
  <c r="AI67" i="4" s="1"/>
  <c r="AJ67" i="4" s="1"/>
  <c r="AK67" i="4" s="1"/>
  <c r="AL67" i="4" s="1"/>
  <c r="AM67" i="4" s="1"/>
  <c r="AN67" i="4"/>
  <c r="Z30" i="4"/>
  <c r="AB30" i="4" s="1"/>
  <c r="AC30" i="4" s="1"/>
  <c r="AD30" i="4" s="1"/>
  <c r="AE30" i="4" s="1"/>
  <c r="AF30" i="4" s="1"/>
  <c r="AI30" i="4"/>
  <c r="AH30" i="4"/>
  <c r="AJ30" i="4"/>
  <c r="AK30" i="4"/>
  <c r="L12" i="3" l="1"/>
  <c r="K34" i="3"/>
  <c r="J11" i="3"/>
  <c r="J43" i="3"/>
  <c r="AA19" i="24"/>
  <c r="W70" i="24"/>
  <c r="AA60" i="24"/>
  <c r="AA27" i="24"/>
  <c r="AA10" i="24"/>
  <c r="AA22" i="24"/>
  <c r="AA9" i="24"/>
  <c r="AA28" i="24"/>
  <c r="AA11" i="24"/>
  <c r="AA43" i="24"/>
  <c r="K66" i="3"/>
  <c r="K25" i="3"/>
  <c r="K32" i="3"/>
  <c r="K64" i="3"/>
  <c r="K56" i="3"/>
  <c r="K23" i="3"/>
  <c r="K31" i="3"/>
  <c r="K37" i="3"/>
  <c r="L35" i="3"/>
  <c r="L49" i="3"/>
  <c r="L6" i="3"/>
  <c r="U6" i="10"/>
  <c r="D6" i="10"/>
  <c r="E6" i="10"/>
  <c r="I6" i="10"/>
  <c r="T6" i="10"/>
  <c r="P6" i="10"/>
  <c r="V6" i="10"/>
  <c r="L6" i="10"/>
  <c r="F6" i="10"/>
  <c r="S6" i="10"/>
  <c r="G6" i="10"/>
  <c r="J6" i="10"/>
  <c r="N6" i="10"/>
  <c r="Q6" i="10"/>
  <c r="R6" i="10"/>
  <c r="B6" i="10"/>
  <c r="O6" i="10"/>
  <c r="H6" i="10"/>
  <c r="C6" i="10"/>
  <c r="K6" i="10"/>
  <c r="M6" i="10"/>
  <c r="L50" i="3"/>
  <c r="L26" i="3"/>
  <c r="L37" i="3"/>
  <c r="J45" i="3"/>
  <c r="J23" i="3"/>
  <c r="J17" i="3"/>
  <c r="J53" i="3"/>
  <c r="J41" i="3"/>
  <c r="J10" i="3"/>
  <c r="J60" i="3"/>
  <c r="J46" i="3"/>
  <c r="AA41" i="24"/>
  <c r="AA18" i="24"/>
  <c r="AA58" i="24"/>
  <c r="AA64" i="24"/>
  <c r="AA53" i="24"/>
  <c r="AA39" i="24"/>
  <c r="AA48" i="24"/>
  <c r="AA40" i="24"/>
  <c r="K10" i="3"/>
  <c r="K21" i="3"/>
  <c r="K48" i="3"/>
  <c r="K9" i="3"/>
  <c r="K60" i="3"/>
  <c r="K49" i="3"/>
  <c r="K55" i="3"/>
  <c r="K35" i="3"/>
  <c r="K11" i="3"/>
  <c r="L48" i="3"/>
  <c r="L56" i="3"/>
  <c r="L54" i="3"/>
  <c r="L38" i="3"/>
  <c r="L33" i="3"/>
  <c r="L16" i="3"/>
  <c r="L51" i="3"/>
  <c r="L23" i="3"/>
  <c r="J39" i="3"/>
  <c r="J40" i="3"/>
  <c r="J34" i="3"/>
  <c r="J49" i="3"/>
  <c r="J14" i="3"/>
  <c r="J66" i="3"/>
  <c r="J7" i="3"/>
  <c r="J52" i="3"/>
  <c r="AA26" i="24"/>
  <c r="AA51" i="24"/>
  <c r="AA31" i="24"/>
  <c r="AA65" i="24"/>
  <c r="AA46" i="24"/>
  <c r="AA32" i="24"/>
  <c r="AA66" i="24"/>
  <c r="K17" i="3"/>
  <c r="K15" i="3"/>
  <c r="K39" i="3"/>
  <c r="K63" i="3"/>
  <c r="K40" i="3"/>
  <c r="K14" i="3"/>
  <c r="K67" i="3"/>
  <c r="K13" i="3"/>
  <c r="L61" i="3"/>
  <c r="L22" i="3"/>
  <c r="L55" i="3"/>
  <c r="L9" i="3"/>
  <c r="L68" i="3"/>
  <c r="L41" i="3"/>
  <c r="L10" i="3"/>
  <c r="L60" i="3"/>
  <c r="J9" i="3"/>
  <c r="J33" i="3"/>
  <c r="J27" i="3"/>
  <c r="J29" i="3"/>
  <c r="J4" i="3"/>
  <c r="C6" i="8"/>
  <c r="Z6" i="8"/>
  <c r="J6" i="8"/>
  <c r="AO6" i="8"/>
  <c r="L6" i="8"/>
  <c r="AC6" i="8"/>
  <c r="AM6" i="8"/>
  <c r="AI6" i="8"/>
  <c r="E6" i="8"/>
  <c r="AN6" i="8"/>
  <c r="G6" i="8"/>
  <c r="AH6" i="8"/>
  <c r="R6" i="8"/>
  <c r="T6" i="8"/>
  <c r="AK6" i="8"/>
  <c r="F6" i="8"/>
  <c r="O6" i="8"/>
  <c r="H6" i="8"/>
  <c r="K6" i="8"/>
  <c r="AB6" i="8"/>
  <c r="AF6" i="8"/>
  <c r="AL6" i="8"/>
  <c r="M6" i="8"/>
  <c r="Q6" i="8"/>
  <c r="AG6" i="8"/>
  <c r="Y6" i="8"/>
  <c r="D6" i="8"/>
  <c r="U6" i="8"/>
  <c r="N6" i="8"/>
  <c r="W6" i="8"/>
  <c r="P6" i="8"/>
  <c r="S6" i="8"/>
  <c r="AJ6" i="8"/>
  <c r="V6" i="8"/>
  <c r="X6" i="8"/>
  <c r="B6" i="8"/>
  <c r="AE6" i="8"/>
  <c r="AA6" i="8"/>
  <c r="AD6" i="8"/>
  <c r="I6" i="8"/>
  <c r="J59" i="3"/>
  <c r="J51" i="3"/>
  <c r="AA29" i="24"/>
  <c r="AA38" i="24"/>
  <c r="AA35" i="24"/>
  <c r="AA50" i="24"/>
  <c r="AA61" i="24"/>
  <c r="AA47" i="24"/>
  <c r="AA30" i="24"/>
  <c r="AA12" i="24"/>
  <c r="K58" i="3"/>
  <c r="K65" i="3"/>
  <c r="K57" i="3"/>
  <c r="K12" i="3"/>
  <c r="K33" i="3"/>
  <c r="K7" i="3"/>
  <c r="K36" i="3"/>
  <c r="K43" i="3"/>
  <c r="K24" i="3"/>
  <c r="L53" i="3"/>
  <c r="L19" i="3"/>
  <c r="L65" i="3"/>
  <c r="L47" i="3"/>
  <c r="L21" i="3"/>
  <c r="L13" i="3"/>
  <c r="L5" i="3"/>
  <c r="L17" i="3"/>
  <c r="J37" i="3"/>
  <c r="J55" i="3"/>
  <c r="J38" i="3"/>
  <c r="J6" i="3"/>
  <c r="J36" i="3"/>
  <c r="J61" i="3"/>
  <c r="J57" i="3"/>
  <c r="J44" i="3"/>
  <c r="AA62" i="24"/>
  <c r="AA52" i="24"/>
  <c r="AA36" i="24"/>
  <c r="AA14" i="24"/>
  <c r="AA4" i="24"/>
  <c r="AA6" i="24"/>
  <c r="AA8" i="24"/>
  <c r="AA56" i="24"/>
  <c r="K54" i="3"/>
  <c r="K45" i="3"/>
  <c r="K3" i="3"/>
  <c r="E70" i="3"/>
  <c r="E71" i="3"/>
  <c r="K51" i="3"/>
  <c r="K22" i="3"/>
  <c r="K50" i="3"/>
  <c r="K52" i="3"/>
  <c r="K5" i="3"/>
  <c r="C70" i="3"/>
  <c r="L64" i="3"/>
  <c r="L43" i="3"/>
  <c r="L29" i="3"/>
  <c r="L46" i="3"/>
  <c r="F70" i="3"/>
  <c r="F71" i="3"/>
  <c r="L3" i="3"/>
  <c r="L40" i="3"/>
  <c r="L52" i="3"/>
  <c r="L44" i="3"/>
  <c r="J65" i="3"/>
  <c r="J67" i="3"/>
  <c r="J25" i="3"/>
  <c r="J20" i="3"/>
  <c r="J16" i="3"/>
  <c r="J31" i="3"/>
  <c r="J22" i="3"/>
  <c r="J68" i="3"/>
  <c r="J48" i="3"/>
  <c r="AA42" i="24"/>
  <c r="AA34" i="24"/>
  <c r="AA49" i="24"/>
  <c r="AA54" i="24"/>
  <c r="AA24" i="24"/>
  <c r="AA55" i="24"/>
  <c r="AA23" i="24"/>
  <c r="AA63" i="24"/>
  <c r="K4" i="3"/>
  <c r="K28" i="3"/>
  <c r="K30" i="3"/>
  <c r="K47" i="3"/>
  <c r="K62" i="3"/>
  <c r="K42" i="3"/>
  <c r="K38" i="3"/>
  <c r="K59" i="3"/>
  <c r="L39" i="3"/>
  <c r="L28" i="3"/>
  <c r="L31" i="3"/>
  <c r="L42" i="3"/>
  <c r="L14" i="3"/>
  <c r="L25" i="3"/>
  <c r="L36" i="3"/>
  <c r="L18" i="3"/>
  <c r="L45" i="3"/>
  <c r="J12" i="3"/>
  <c r="J54" i="3"/>
  <c r="J42" i="3"/>
  <c r="J28" i="3"/>
  <c r="J15" i="3"/>
  <c r="J63" i="3"/>
  <c r="J24" i="3"/>
  <c r="J26" i="3"/>
  <c r="AA21" i="24"/>
  <c r="AA3" i="24"/>
  <c r="W69" i="24"/>
  <c r="AA7" i="24"/>
  <c r="AA57" i="24"/>
  <c r="AA44" i="24"/>
  <c r="AA59" i="24"/>
  <c r="AA25" i="24"/>
  <c r="AA45" i="24"/>
  <c r="AA17" i="24"/>
  <c r="K44" i="3"/>
  <c r="K61" i="3"/>
  <c r="K8" i="3"/>
  <c r="K19" i="3"/>
  <c r="K6" i="3"/>
  <c r="K16" i="3"/>
  <c r="K26" i="3"/>
  <c r="K18" i="3"/>
  <c r="L58" i="3"/>
  <c r="L66" i="3"/>
  <c r="L27" i="3"/>
  <c r="L11" i="3"/>
  <c r="L30" i="3"/>
  <c r="L24" i="3"/>
  <c r="L34" i="3"/>
  <c r="L67" i="3"/>
  <c r="L20" i="3"/>
  <c r="J30" i="3"/>
  <c r="J56" i="3"/>
  <c r="J21" i="3"/>
  <c r="J13" i="3"/>
  <c r="D71" i="3"/>
  <c r="J3" i="3"/>
  <c r="D70" i="3"/>
  <c r="J50" i="3"/>
  <c r="J58" i="3"/>
  <c r="J18" i="3"/>
  <c r="AA20" i="24"/>
  <c r="AA16" i="24"/>
  <c r="AA13" i="24"/>
  <c r="AA33" i="24"/>
  <c r="AA5" i="24"/>
  <c r="AA37" i="24"/>
  <c r="AA67" i="24"/>
  <c r="AA15" i="24"/>
  <c r="K46" i="3"/>
  <c r="K53" i="3"/>
  <c r="K20" i="3"/>
  <c r="K29" i="3"/>
  <c r="K27" i="3"/>
  <c r="K41" i="3"/>
  <c r="K68" i="3"/>
  <c r="BB6" i="15"/>
  <c r="AG6" i="15"/>
  <c r="G6" i="15"/>
  <c r="L6" i="15"/>
  <c r="BH6" i="15"/>
  <c r="S6" i="15"/>
  <c r="Y6" i="15"/>
  <c r="AI6" i="15"/>
  <c r="BA6" i="15"/>
  <c r="AO6" i="15"/>
  <c r="AH6" i="15"/>
  <c r="AY6" i="15"/>
  <c r="T6" i="15"/>
  <c r="BC6" i="15"/>
  <c r="BE6" i="15"/>
  <c r="AT6" i="15"/>
  <c r="AA6" i="15"/>
  <c r="AB6" i="15"/>
  <c r="J6" i="15"/>
  <c r="BO6" i="15"/>
  <c r="X6" i="15"/>
  <c r="AZ6" i="15"/>
  <c r="B6" i="15"/>
  <c r="C6" i="15"/>
  <c r="M6" i="15"/>
  <c r="Z6" i="15"/>
  <c r="AK6" i="15"/>
  <c r="K6" i="15"/>
  <c r="R6" i="15"/>
  <c r="BG6" i="15"/>
  <c r="O6" i="15"/>
  <c r="Q6" i="15"/>
  <c r="BJ6" i="15"/>
  <c r="AL6" i="15"/>
  <c r="AQ6" i="15"/>
  <c r="BM6" i="15"/>
  <c r="AN6" i="15"/>
  <c r="AM6" i="15"/>
  <c r="D6" i="15"/>
  <c r="AV6" i="15"/>
  <c r="AF6" i="15"/>
  <c r="BK6" i="15"/>
  <c r="BN6" i="15"/>
  <c r="AW6" i="15"/>
  <c r="W6" i="15"/>
  <c r="AE6" i="15"/>
  <c r="AD6" i="15"/>
  <c r="I6" i="15"/>
  <c r="H6" i="15"/>
  <c r="V6" i="15"/>
  <c r="U6" i="15"/>
  <c r="P6" i="15"/>
  <c r="AR6" i="15"/>
  <c r="BI6" i="15"/>
  <c r="AC6" i="15"/>
  <c r="BD6" i="15"/>
  <c r="AX6" i="15"/>
  <c r="N6" i="15"/>
  <c r="AP6" i="15"/>
  <c r="F6" i="15"/>
  <c r="BF6" i="15"/>
  <c r="AU6" i="15"/>
  <c r="E6" i="15"/>
  <c r="BL6" i="15"/>
  <c r="AS6" i="15"/>
  <c r="AJ6" i="15"/>
  <c r="L4" i="3"/>
  <c r="L7" i="3"/>
  <c r="L57" i="3"/>
  <c r="L62" i="3"/>
  <c r="L32" i="3"/>
  <c r="L8" i="3"/>
  <c r="L15" i="3"/>
  <c r="L59" i="3"/>
  <c r="L63" i="3"/>
  <c r="J35" i="3"/>
  <c r="J19" i="3"/>
  <c r="J64" i="3"/>
  <c r="J32" i="3"/>
  <c r="J8" i="3"/>
  <c r="J5" i="3"/>
  <c r="J62" i="3"/>
  <c r="J47" i="3"/>
  <c r="C97" i="19"/>
  <c r="G97" i="19"/>
  <c r="M97" i="19"/>
  <c r="AA72" i="19"/>
  <c r="AA80" i="19"/>
  <c r="AA88" i="19"/>
  <c r="K97" i="19"/>
  <c r="O97" i="19"/>
  <c r="E97" i="19"/>
  <c r="AA74" i="19"/>
  <c r="AA81" i="19"/>
  <c r="AA89" i="19"/>
  <c r="S97" i="19"/>
  <c r="W97" i="19"/>
  <c r="U97" i="19"/>
  <c r="AA73" i="19"/>
  <c r="AA82" i="19"/>
  <c r="AA90" i="19"/>
  <c r="AA97" i="19"/>
  <c r="H97" i="19"/>
  <c r="F97" i="19"/>
  <c r="AA75" i="19"/>
  <c r="AA83" i="19"/>
  <c r="AA91" i="19"/>
  <c r="D97" i="19"/>
  <c r="X97" i="19"/>
  <c r="N97" i="19"/>
  <c r="AA76" i="19"/>
  <c r="AA84" i="19"/>
  <c r="J97" i="19"/>
  <c r="L97" i="19"/>
  <c r="AA68" i="19"/>
  <c r="AA70" i="19" s="1"/>
  <c r="V97" i="19"/>
  <c r="AA77" i="19"/>
  <c r="AA85" i="19"/>
  <c r="R97" i="19"/>
  <c r="T97" i="19"/>
  <c r="I97" i="19"/>
  <c r="P97" i="19"/>
  <c r="AA78" i="19"/>
  <c r="AA86" i="19"/>
  <c r="Z97" i="19"/>
  <c r="B97" i="19"/>
  <c r="Y97" i="19"/>
  <c r="Q97" i="19"/>
  <c r="AA79" i="19"/>
  <c r="AA87" i="19"/>
  <c r="AA92" i="19"/>
  <c r="AA93" i="19"/>
  <c r="AA94" i="19"/>
  <c r="AA95" i="19"/>
  <c r="L96" i="19"/>
  <c r="Z68" i="19"/>
  <c r="Z70" i="19" s="1"/>
  <c r="Z96" i="19"/>
  <c r="Z73" i="19"/>
  <c r="Z82" i="19"/>
  <c r="Z90" i="19"/>
  <c r="T96" i="19"/>
  <c r="Q96" i="19"/>
  <c r="G96" i="19"/>
  <c r="Z76" i="19"/>
  <c r="Z83" i="19"/>
  <c r="Z91" i="19"/>
  <c r="E96" i="19"/>
  <c r="R96" i="19"/>
  <c r="O96" i="19"/>
  <c r="Z75" i="19"/>
  <c r="Z84" i="19"/>
  <c r="C96" i="19"/>
  <c r="M96" i="19"/>
  <c r="F96" i="19"/>
  <c r="W96" i="19"/>
  <c r="Z77" i="19"/>
  <c r="Z85" i="19"/>
  <c r="K96" i="19"/>
  <c r="U96" i="19"/>
  <c r="V96" i="19"/>
  <c r="I96" i="19"/>
  <c r="Z78" i="19"/>
  <c r="Z86" i="19"/>
  <c r="S96" i="19"/>
  <c r="H96" i="19"/>
  <c r="B96" i="19"/>
  <c r="J96" i="19"/>
  <c r="Z79" i="19"/>
  <c r="Z87" i="19"/>
  <c r="AA96" i="19"/>
  <c r="P96" i="19"/>
  <c r="N96" i="19"/>
  <c r="Z72" i="19"/>
  <c r="Z80" i="19"/>
  <c r="Z88" i="19"/>
  <c r="D96" i="19"/>
  <c r="X96" i="19"/>
  <c r="Y96" i="19"/>
  <c r="Z74" i="19"/>
  <c r="Z81" i="19"/>
  <c r="Z89" i="19"/>
  <c r="Z92" i="19"/>
  <c r="Z93" i="19"/>
  <c r="Z94" i="19"/>
  <c r="Z95" i="19"/>
  <c r="Z92" i="17"/>
  <c r="N97" i="17"/>
  <c r="AA97" i="17"/>
  <c r="Q97" i="17"/>
  <c r="AA72" i="17"/>
  <c r="AA81" i="17"/>
  <c r="AA89" i="17"/>
  <c r="V97" i="17"/>
  <c r="AA68" i="17"/>
  <c r="AA70" i="17" s="1"/>
  <c r="R97" i="17"/>
  <c r="AA74" i="17"/>
  <c r="AA82" i="17"/>
  <c r="AA90" i="17"/>
  <c r="G97" i="17"/>
  <c r="D97" i="17"/>
  <c r="I97" i="17"/>
  <c r="AA75" i="17"/>
  <c r="AA83" i="17"/>
  <c r="AA91" i="17"/>
  <c r="O97" i="17"/>
  <c r="T97" i="17"/>
  <c r="Y97" i="17"/>
  <c r="AA76" i="17"/>
  <c r="AA84" i="17"/>
  <c r="E97" i="17"/>
  <c r="W97" i="17"/>
  <c r="B97" i="17"/>
  <c r="P97" i="17"/>
  <c r="AA77" i="17"/>
  <c r="AA85" i="17"/>
  <c r="M97" i="17"/>
  <c r="C97" i="17"/>
  <c r="H97" i="17"/>
  <c r="J97" i="17"/>
  <c r="AA78" i="17"/>
  <c r="AA86" i="17"/>
  <c r="U97" i="17"/>
  <c r="K97" i="17"/>
  <c r="X97" i="17"/>
  <c r="Z97" i="17"/>
  <c r="AA79" i="17"/>
  <c r="AA87" i="17"/>
  <c r="F97" i="17"/>
  <c r="S97" i="17"/>
  <c r="L97" i="17"/>
  <c r="AA73" i="17"/>
  <c r="AA80" i="17"/>
  <c r="AA88" i="17"/>
  <c r="Z94" i="17"/>
  <c r="AA93" i="17"/>
  <c r="Z95" i="17"/>
  <c r="Z93" i="17"/>
  <c r="B99" i="21" a="1"/>
  <c r="AA92" i="17"/>
  <c r="B99" i="23" a="1"/>
  <c r="AA94" i="17"/>
  <c r="B96" i="17"/>
  <c r="D96" i="17"/>
  <c r="Z68" i="17"/>
  <c r="Z70" i="17" s="1"/>
  <c r="Z72" i="17"/>
  <c r="Z80" i="17"/>
  <c r="Z88" i="17"/>
  <c r="L96" i="17"/>
  <c r="R96" i="17"/>
  <c r="Z73" i="17"/>
  <c r="Z81" i="17"/>
  <c r="Z89" i="17"/>
  <c r="G96" i="17"/>
  <c r="T96" i="17"/>
  <c r="U96" i="17"/>
  <c r="Z74" i="17"/>
  <c r="Z82" i="17"/>
  <c r="Z90" i="17"/>
  <c r="O96" i="17"/>
  <c r="M96" i="17"/>
  <c r="K96" i="17"/>
  <c r="Z75" i="17"/>
  <c r="Z83" i="17"/>
  <c r="Z91" i="17"/>
  <c r="W96" i="17"/>
  <c r="J96" i="17"/>
  <c r="S96" i="17"/>
  <c r="Z76" i="17"/>
  <c r="Z84" i="17"/>
  <c r="F96" i="17"/>
  <c r="H96" i="17"/>
  <c r="AA96" i="17"/>
  <c r="C96" i="17"/>
  <c r="Z77" i="17"/>
  <c r="Z85" i="17"/>
  <c r="N96" i="17"/>
  <c r="P96" i="17"/>
  <c r="Q96" i="17"/>
  <c r="Y96" i="17"/>
  <c r="Z78" i="17"/>
  <c r="Z86" i="17"/>
  <c r="V96" i="17"/>
  <c r="X96" i="17"/>
  <c r="E96" i="17"/>
  <c r="Z96" i="17"/>
  <c r="Z79" i="17"/>
  <c r="Z87" i="17"/>
  <c r="AA95" i="17"/>
  <c r="I96" i="17"/>
  <c r="AR57" i="4"/>
  <c r="AG59" i="4"/>
  <c r="AN59" i="4" s="1"/>
  <c r="AQ59" i="4"/>
  <c r="AC44" i="4"/>
  <c r="AE44" i="4"/>
  <c r="AO10" i="4"/>
  <c r="AU10" i="4" s="1"/>
  <c r="AP7" i="4"/>
  <c r="AR7" i="4" s="1"/>
  <c r="AU7" i="4" s="1"/>
  <c r="AW7" i="4" s="1"/>
  <c r="BF7" i="4"/>
  <c r="BB7" i="4"/>
  <c r="AX7" i="4"/>
  <c r="AY7" i="4" s="1"/>
  <c r="AG30" i="4"/>
  <c r="AN30" i="4" s="1"/>
  <c r="AQ30" i="4"/>
  <c r="BG10" i="4"/>
  <c r="BP10" i="4"/>
  <c r="BK10" i="4"/>
  <c r="BF10" i="4"/>
  <c r="BO10" i="4"/>
  <c r="BH10" i="4"/>
  <c r="BL10" i="4"/>
  <c r="BN10" i="4"/>
  <c r="BM10" i="4"/>
  <c r="BJ10" i="4"/>
  <c r="BI10" i="4"/>
  <c r="AW10" i="4"/>
  <c r="BD10" i="4"/>
  <c r="BC10" i="4"/>
  <c r="BA10" i="4"/>
  <c r="AY10" i="4"/>
  <c r="AP10" i="4"/>
  <c r="AP67" i="4"/>
  <c r="BK67" i="4"/>
  <c r="BI67" i="4"/>
  <c r="BJ67" i="4"/>
  <c r="BF67" i="4"/>
  <c r="BN67" i="4"/>
  <c r="BL67" i="4"/>
  <c r="BP67" i="4"/>
  <c r="BM67" i="4"/>
  <c r="BO67" i="4"/>
  <c r="AV57" i="4"/>
  <c r="AT67" i="4"/>
  <c r="AO67" i="4"/>
  <c r="BG67" i="4" s="1"/>
  <c r="AB33" i="24" l="1"/>
  <c r="F62" i="25" s="1"/>
  <c r="AB67" i="24"/>
  <c r="F83" i="25" s="1"/>
  <c r="AB7" i="24"/>
  <c r="F99" i="25" s="1"/>
  <c r="AB24" i="24"/>
  <c r="F45" i="25" s="1"/>
  <c r="AB36" i="24"/>
  <c r="F88" i="25" s="1"/>
  <c r="AB50" i="24"/>
  <c r="F82" i="25" s="1"/>
  <c r="AB51" i="24"/>
  <c r="F72" i="25" s="1"/>
  <c r="AB58" i="24"/>
  <c r="F39" i="25" s="1"/>
  <c r="AB28" i="24"/>
  <c r="F100" i="25" s="1"/>
  <c r="AB37" i="24"/>
  <c r="F87" i="25" s="1"/>
  <c r="AB54" i="24"/>
  <c r="F61" i="25" s="1"/>
  <c r="AB52" i="24"/>
  <c r="F51" i="25" s="1"/>
  <c r="AB35" i="24"/>
  <c r="F58" i="25" s="1"/>
  <c r="AB26" i="24"/>
  <c r="F93" i="25" s="1"/>
  <c r="AB18" i="24"/>
  <c r="F52" i="25" s="1"/>
  <c r="AB9" i="24"/>
  <c r="F53" i="25" s="1"/>
  <c r="AB5" i="24"/>
  <c r="F94" i="25" s="1"/>
  <c r="AB17" i="24"/>
  <c r="F74" i="25" s="1"/>
  <c r="AB3" i="24"/>
  <c r="F86" i="25" s="1"/>
  <c r="F112" i="25" s="1"/>
  <c r="AB49" i="24"/>
  <c r="F68" i="25" s="1"/>
  <c r="AB62" i="24"/>
  <c r="F67" i="25" s="1"/>
  <c r="AB38" i="24"/>
  <c r="F54" i="25" s="1"/>
  <c r="AB41" i="24"/>
  <c r="F71" i="25" s="1"/>
  <c r="AB22" i="24"/>
  <c r="F47" i="25" s="1"/>
  <c r="AB45" i="24"/>
  <c r="F55" i="25" s="1"/>
  <c r="AB21" i="24"/>
  <c r="F41" i="25" s="1"/>
  <c r="AB34" i="24"/>
  <c r="F78" i="25" s="1"/>
  <c r="AB56" i="24"/>
  <c r="F102" i="25" s="1"/>
  <c r="AB29" i="24"/>
  <c r="F90" i="25" s="1"/>
  <c r="AB66" i="24"/>
  <c r="F57" i="25" s="1"/>
  <c r="AB40" i="24"/>
  <c r="F48" i="25" s="1"/>
  <c r="AB10" i="24"/>
  <c r="F46" i="25" s="1"/>
  <c r="AB13" i="24"/>
  <c r="F96" i="25" s="1"/>
  <c r="AB25" i="24"/>
  <c r="F42" i="25" s="1"/>
  <c r="AB42" i="24"/>
  <c r="F77" i="25" s="1"/>
  <c r="AB8" i="24"/>
  <c r="F66" i="25" s="1"/>
  <c r="AB12" i="24"/>
  <c r="F65" i="25" s="1"/>
  <c r="AB32" i="24"/>
  <c r="F85" i="25" s="1"/>
  <c r="AB48" i="24"/>
  <c r="F50" i="25" s="1"/>
  <c r="AB27" i="24"/>
  <c r="F64" i="25" s="1"/>
  <c r="AB16" i="24"/>
  <c r="F43" i="25" s="1"/>
  <c r="AB59" i="24"/>
  <c r="F56" i="25" s="1"/>
  <c r="AB63" i="24"/>
  <c r="F84" i="25" s="1"/>
  <c r="AB6" i="24"/>
  <c r="F40" i="25" s="1"/>
  <c r="AB30" i="24"/>
  <c r="F101" i="25" s="1"/>
  <c r="AB46" i="24"/>
  <c r="F92" i="25" s="1"/>
  <c r="AB39" i="24"/>
  <c r="F69" i="25" s="1"/>
  <c r="AB60" i="24"/>
  <c r="F97" i="25" s="1"/>
  <c r="AB20" i="24"/>
  <c r="F98" i="25" s="1"/>
  <c r="AB44" i="24"/>
  <c r="F95" i="25" s="1"/>
  <c r="AB23" i="24"/>
  <c r="F70" i="25" s="1"/>
  <c r="AB4" i="24"/>
  <c r="F89" i="25" s="1"/>
  <c r="AB47" i="24"/>
  <c r="F44" i="25" s="1"/>
  <c r="AB65" i="24"/>
  <c r="F80" i="25" s="1"/>
  <c r="AB53" i="24"/>
  <c r="F75" i="25" s="1"/>
  <c r="AB43" i="24"/>
  <c r="F59" i="25" s="1"/>
  <c r="AB15" i="24"/>
  <c r="F49" i="25" s="1"/>
  <c r="AB57" i="24"/>
  <c r="F60" i="25" s="1"/>
  <c r="AB55" i="24"/>
  <c r="F76" i="25" s="1"/>
  <c r="AB14" i="24"/>
  <c r="F79" i="25" s="1"/>
  <c r="AB61" i="24"/>
  <c r="F73" i="25" s="1"/>
  <c r="AB31" i="24"/>
  <c r="F38" i="25" s="1"/>
  <c r="AB64" i="24"/>
  <c r="F91" i="25" s="1"/>
  <c r="F113" i="25" s="1"/>
  <c r="AB11" i="24"/>
  <c r="F81" i="25" s="1"/>
  <c r="AB19" i="24"/>
  <c r="F63" i="25" s="1"/>
  <c r="AA75" i="24"/>
  <c r="AA80" i="24"/>
  <c r="AA70" i="24"/>
  <c r="AA69" i="24"/>
  <c r="K71" i="3"/>
  <c r="K70" i="3"/>
  <c r="L71" i="3"/>
  <c r="L70" i="3"/>
  <c r="AB5" i="8"/>
  <c r="U5" i="8"/>
  <c r="W5" i="8"/>
  <c r="AK5" i="8"/>
  <c r="AL5" i="8"/>
  <c r="AG5" i="8"/>
  <c r="AA5" i="8"/>
  <c r="AE5" i="8"/>
  <c r="O5" i="8"/>
  <c r="G5" i="8"/>
  <c r="AO5" i="8"/>
  <c r="AI5" i="8"/>
  <c r="AJ5" i="8"/>
  <c r="Q5" i="8"/>
  <c r="H5" i="8"/>
  <c r="P5" i="8"/>
  <c r="AM5" i="8"/>
  <c r="J5" i="8"/>
  <c r="B5" i="8"/>
  <c r="D5" i="8"/>
  <c r="AN5" i="8"/>
  <c r="AF5" i="8"/>
  <c r="X5" i="8"/>
  <c r="R5" i="8"/>
  <c r="E5" i="8"/>
  <c r="F5" i="8"/>
  <c r="C5" i="8"/>
  <c r="T5" i="8"/>
  <c r="M5" i="8"/>
  <c r="N5" i="8"/>
  <c r="AH5" i="8"/>
  <c r="K5" i="8"/>
  <c r="AC5" i="8"/>
  <c r="S5" i="8"/>
  <c r="L5" i="8"/>
  <c r="Z5" i="8"/>
  <c r="Y5" i="8"/>
  <c r="I5" i="8"/>
  <c r="V5" i="8"/>
  <c r="AD5" i="8"/>
  <c r="M20" i="3"/>
  <c r="M37" i="3"/>
  <c r="J71" i="3"/>
  <c r="J70" i="3"/>
  <c r="M3" i="3"/>
  <c r="M12" i="3"/>
  <c r="I5" i="10"/>
  <c r="K5" i="10"/>
  <c r="T5" i="10"/>
  <c r="N5" i="10"/>
  <c r="H5" i="10"/>
  <c r="V5" i="10"/>
  <c r="U5" i="10"/>
  <c r="O5" i="10"/>
  <c r="P5" i="10"/>
  <c r="E5" i="10"/>
  <c r="L5" i="10"/>
  <c r="Q5" i="10"/>
  <c r="R5" i="10"/>
  <c r="D5" i="10"/>
  <c r="S5" i="10"/>
  <c r="G5" i="10"/>
  <c r="J5" i="10"/>
  <c r="C5" i="10"/>
  <c r="B5" i="10"/>
  <c r="F5" i="10"/>
  <c r="M5" i="10"/>
  <c r="M44" i="3"/>
  <c r="M9" i="3"/>
  <c r="M52" i="3"/>
  <c r="M45" i="3"/>
  <c r="M51" i="3"/>
  <c r="M7" i="3"/>
  <c r="M59" i="3"/>
  <c r="M66" i="3"/>
  <c r="Y5" i="15"/>
  <c r="AW5" i="15"/>
  <c r="D5" i="15"/>
  <c r="H5" i="15"/>
  <c r="BI5" i="15"/>
  <c r="L5" i="15"/>
  <c r="BB5" i="15"/>
  <c r="AI5" i="15"/>
  <c r="AJ5" i="15"/>
  <c r="BC5" i="15"/>
  <c r="AG5" i="15"/>
  <c r="AT5" i="15"/>
  <c r="BN5" i="15"/>
  <c r="G5" i="15"/>
  <c r="AA5" i="15"/>
  <c r="Z5" i="15"/>
  <c r="AM5" i="15"/>
  <c r="BG5" i="15"/>
  <c r="BA5" i="15"/>
  <c r="I5" i="15"/>
  <c r="AS5" i="15"/>
  <c r="BF5" i="15"/>
  <c r="AX5" i="15"/>
  <c r="BD5" i="15"/>
  <c r="B5" i="15"/>
  <c r="AV5" i="15"/>
  <c r="AE5" i="15"/>
  <c r="J5" i="15"/>
  <c r="AO5" i="15"/>
  <c r="AD5" i="15"/>
  <c r="AK5" i="15"/>
  <c r="BH5" i="15"/>
  <c r="AH5" i="15"/>
  <c r="K5" i="15"/>
  <c r="BJ5" i="15"/>
  <c r="X5" i="15"/>
  <c r="AB5" i="15"/>
  <c r="R5" i="15"/>
  <c r="U5" i="15"/>
  <c r="AZ5" i="15"/>
  <c r="AR5" i="15"/>
  <c r="AQ5" i="15"/>
  <c r="AU5" i="15"/>
  <c r="S5" i="15"/>
  <c r="BE5" i="15"/>
  <c r="W5" i="15"/>
  <c r="AN5" i="15"/>
  <c r="E5" i="15"/>
  <c r="AY5" i="15"/>
  <c r="T5" i="15"/>
  <c r="V5" i="15"/>
  <c r="AP5" i="15"/>
  <c r="Q5" i="15"/>
  <c r="P5" i="15"/>
  <c r="AC5" i="15"/>
  <c r="O5" i="15"/>
  <c r="AL5" i="15"/>
  <c r="AF5" i="15"/>
  <c r="F5" i="15"/>
  <c r="BO5" i="15"/>
  <c r="C5" i="15"/>
  <c r="BM5" i="15"/>
  <c r="BL5" i="15"/>
  <c r="N5" i="15"/>
  <c r="M5" i="15"/>
  <c r="BK5" i="15"/>
  <c r="B99" i="23"/>
  <c r="O102" i="23"/>
  <c r="N106" i="23"/>
  <c r="K110" i="23"/>
  <c r="J114" i="23"/>
  <c r="I118" i="23"/>
  <c r="I101" i="23"/>
  <c r="H105" i="23"/>
  <c r="E109" i="23"/>
  <c r="D113" i="23"/>
  <c r="C117" i="23"/>
  <c r="K100" i="23"/>
  <c r="Q105" i="23"/>
  <c r="W110" i="23"/>
  <c r="E116" i="23"/>
  <c r="C121" i="23"/>
  <c r="AA124" i="23"/>
  <c r="T103" i="23"/>
  <c r="AA108" i="23"/>
  <c r="G114" i="23"/>
  <c r="M119" i="23"/>
  <c r="P123" i="23"/>
  <c r="N102" i="23"/>
  <c r="U107" i="23"/>
  <c r="AA112" i="23"/>
  <c r="G118" i="23"/>
  <c r="R122" i="23"/>
  <c r="S102" i="23"/>
  <c r="G111" i="23"/>
  <c r="Q119" i="23"/>
  <c r="U100" i="23"/>
  <c r="H109" i="23"/>
  <c r="S117" i="23"/>
  <c r="M124" i="23"/>
  <c r="H107" i="23"/>
  <c r="T115" i="23"/>
  <c r="Z122" i="23"/>
  <c r="I105" i="23"/>
  <c r="T113" i="23"/>
  <c r="M121" i="23"/>
  <c r="O106" i="23"/>
  <c r="K122" i="23"/>
  <c r="U112" i="23"/>
  <c r="Q102" i="23"/>
  <c r="G119" i="23"/>
  <c r="V108" i="23"/>
  <c r="J124" i="23"/>
  <c r="L103" i="23"/>
  <c r="W107" i="23"/>
  <c r="Y113" i="23"/>
  <c r="B114" i="23"/>
  <c r="K118" i="23"/>
  <c r="K105" i="23"/>
  <c r="R121" i="23"/>
  <c r="Z101" i="23"/>
  <c r="I108" i="23"/>
  <c r="T114" i="23"/>
  <c r="J121" i="23"/>
  <c r="R101" i="23"/>
  <c r="AA107" i="23"/>
  <c r="L114" i="23"/>
  <c r="B121" i="23"/>
  <c r="J101" i="23"/>
  <c r="S107" i="23"/>
  <c r="D114" i="23"/>
  <c r="D120" i="23"/>
  <c r="L100" i="23"/>
  <c r="U106" i="23"/>
  <c r="F113" i="23"/>
  <c r="J113" i="23"/>
  <c r="AA99" i="23"/>
  <c r="B113" i="23"/>
  <c r="S99" i="23"/>
  <c r="L112" i="23"/>
  <c r="C99" i="23"/>
  <c r="P110" i="23"/>
  <c r="J123" i="23"/>
  <c r="O113" i="23"/>
  <c r="D99" i="23"/>
  <c r="O103" i="23"/>
  <c r="Y107" i="23"/>
  <c r="K112" i="23"/>
  <c r="V116" i="23"/>
  <c r="J100" i="23"/>
  <c r="U104" i="23"/>
  <c r="S109" i="23"/>
  <c r="C114" i="23"/>
  <c r="O118" i="23"/>
  <c r="Z102" i="23"/>
  <c r="W108" i="23"/>
  <c r="V114" i="23"/>
  <c r="O120" i="23"/>
  <c r="E99" i="23"/>
  <c r="C105" i="23"/>
  <c r="Z110" i="23"/>
  <c r="W116" i="23"/>
  <c r="C122" i="23"/>
  <c r="E101" i="23"/>
  <c r="D107" i="23"/>
  <c r="S113" i="23"/>
  <c r="P119" i="23"/>
  <c r="E124" i="23"/>
  <c r="W106" i="23"/>
  <c r="M116" i="23"/>
  <c r="K124" i="23"/>
  <c r="C108" i="23"/>
  <c r="Q118" i="23"/>
  <c r="W100" i="23"/>
  <c r="N110" i="23"/>
  <c r="W119" i="23"/>
  <c r="C102" i="23"/>
  <c r="M111" i="23"/>
  <c r="V120" i="23"/>
  <c r="O108" i="23"/>
  <c r="F100" i="23"/>
  <c r="E119" i="23"/>
  <c r="V110" i="23"/>
  <c r="R102" i="23"/>
  <c r="H121" i="23"/>
  <c r="H99" i="23"/>
  <c r="Y111" i="23"/>
  <c r="U121" i="23"/>
  <c r="X107" i="23"/>
  <c r="U113" i="23"/>
  <c r="J118" i="23"/>
  <c r="X106" i="23"/>
  <c r="U110" i="23"/>
  <c r="H112" i="23"/>
  <c r="L116" i="23"/>
  <c r="I120" i="23"/>
  <c r="H124" i="23"/>
  <c r="D102" i="23"/>
  <c r="H106" i="23"/>
  <c r="E110" i="23"/>
  <c r="R111" i="23"/>
  <c r="F115" i="23"/>
  <c r="C119" i="23"/>
  <c r="B123" i="23"/>
  <c r="X100" i="23"/>
  <c r="W109" i="23"/>
  <c r="Z117" i="23"/>
  <c r="X120" i="23"/>
  <c r="P102" i="23"/>
  <c r="L110" i="23"/>
  <c r="Y116" i="23"/>
  <c r="B117" i="23"/>
  <c r="Z105" i="23"/>
  <c r="B105" i="23"/>
  <c r="B101" i="23"/>
  <c r="C111" i="23"/>
  <c r="M106" i="23"/>
  <c r="Y120" i="23"/>
  <c r="D112" i="23"/>
  <c r="P99" i="23"/>
  <c r="B104" i="23"/>
  <c r="M108" i="23"/>
  <c r="W112" i="23"/>
  <c r="I117" i="23"/>
  <c r="V100" i="23"/>
  <c r="T105" i="23"/>
  <c r="F110" i="23"/>
  <c r="Q114" i="23"/>
  <c r="AA118" i="23"/>
  <c r="Q103" i="23"/>
  <c r="P109" i="23"/>
  <c r="M115" i="23"/>
  <c r="P121" i="23"/>
  <c r="U99" i="23"/>
  <c r="S105" i="23"/>
  <c r="P111" i="23"/>
  <c r="M117" i="23"/>
  <c r="Q122" i="23"/>
  <c r="X101" i="23"/>
  <c r="K108" i="23"/>
  <c r="I114" i="23"/>
  <c r="F120" i="23"/>
  <c r="R124" i="23"/>
  <c r="B108" i="23"/>
  <c r="K117" i="23"/>
  <c r="Q99" i="23"/>
  <c r="C110" i="23"/>
  <c r="T119" i="23"/>
  <c r="AA101" i="23"/>
  <c r="I111" i="23"/>
  <c r="U120" i="23"/>
  <c r="G103" i="23"/>
  <c r="O112" i="23"/>
  <c r="J122" i="23"/>
  <c r="Q110" i="23"/>
  <c r="G102" i="23"/>
  <c r="Z120" i="23"/>
  <c r="C113" i="23"/>
  <c r="S104" i="23"/>
  <c r="V122" i="23"/>
  <c r="O107" i="23"/>
  <c r="B116" i="23"/>
  <c r="W124" i="23"/>
  <c r="K116" i="23"/>
  <c r="P103" i="23"/>
  <c r="H101" i="23"/>
  <c r="L104" i="23"/>
  <c r="W105" i="23"/>
  <c r="V109" i="23"/>
  <c r="Z113" i="23"/>
  <c r="W117" i="23"/>
  <c r="V121" i="23"/>
  <c r="R99" i="23"/>
  <c r="V103" i="23"/>
  <c r="G105" i="23"/>
  <c r="F109" i="23"/>
  <c r="T112" i="23"/>
  <c r="Q116" i="23"/>
  <c r="P120" i="23"/>
  <c r="F123" i="23"/>
  <c r="Y104" i="23"/>
  <c r="D108" i="23"/>
  <c r="Z115" i="23"/>
  <c r="S123" i="23"/>
  <c r="N105" i="23"/>
  <c r="AA111" i="23"/>
  <c r="F107" i="23"/>
  <c r="E122" i="23"/>
  <c r="G121" i="23"/>
  <c r="G117" i="23"/>
  <c r="N117" i="23"/>
  <c r="X112" i="23"/>
  <c r="R107" i="23"/>
  <c r="R109" i="23"/>
  <c r="C100" i="23"/>
  <c r="N104" i="23"/>
  <c r="Z108" i="23"/>
  <c r="K113" i="23"/>
  <c r="U117" i="23"/>
  <c r="U101" i="23"/>
  <c r="G106" i="23"/>
  <c r="R110" i="23"/>
  <c r="D115" i="23"/>
  <c r="O119" i="23"/>
  <c r="J104" i="23"/>
  <c r="G110" i="23"/>
  <c r="U116" i="23"/>
  <c r="B122" i="23"/>
  <c r="M100" i="23"/>
  <c r="J106" i="23"/>
  <c r="G112" i="23"/>
  <c r="F118" i="23"/>
  <c r="D123" i="23"/>
  <c r="E103" i="23"/>
  <c r="C109" i="23"/>
  <c r="Z114" i="23"/>
  <c r="S120" i="23"/>
  <c r="O99" i="23"/>
  <c r="D109" i="23"/>
  <c r="N118" i="23"/>
  <c r="Y101" i="23"/>
  <c r="H111" i="23"/>
  <c r="N120" i="23"/>
  <c r="Y102" i="23"/>
  <c r="N112" i="23"/>
  <c r="L121" i="23"/>
  <c r="E104" i="23"/>
  <c r="R114" i="23"/>
  <c r="G123" i="23"/>
  <c r="S112" i="23"/>
  <c r="O104" i="23"/>
  <c r="N122" i="23"/>
  <c r="E115" i="23"/>
  <c r="V106" i="23"/>
  <c r="I103" i="23"/>
  <c r="W111" i="23"/>
  <c r="J120" i="23"/>
  <c r="P105" i="23"/>
  <c r="M123" i="23"/>
  <c r="K120" i="23"/>
  <c r="D124" i="23"/>
  <c r="N99" i="23"/>
  <c r="K103" i="23"/>
  <c r="J107" i="23"/>
  <c r="N111" i="23"/>
  <c r="K115" i="23"/>
  <c r="J119" i="23"/>
  <c r="N123" i="23"/>
  <c r="Y124" i="23"/>
  <c r="U102" i="23"/>
  <c r="T106" i="23"/>
  <c r="H110" i="23"/>
  <c r="E114" i="23"/>
  <c r="D118" i="23"/>
  <c r="H118" i="23"/>
  <c r="F121" i="23"/>
  <c r="F103" i="23"/>
  <c r="B111" i="23"/>
  <c r="U118" i="23"/>
  <c r="P100" i="23"/>
  <c r="C107" i="23"/>
  <c r="K123" i="23"/>
  <c r="I112" i="23"/>
  <c r="K111" i="23"/>
  <c r="K107" i="23"/>
  <c r="Z121" i="23"/>
  <c r="Z109" i="23"/>
  <c r="M118" i="23"/>
  <c r="AA115" i="23"/>
  <c r="O100" i="23"/>
  <c r="AA104" i="23"/>
  <c r="L109" i="23"/>
  <c r="X113" i="23"/>
  <c r="V118" i="23"/>
  <c r="I102" i="23"/>
  <c r="S106" i="23"/>
  <c r="E111" i="23"/>
  <c r="P115" i="23"/>
  <c r="B120" i="23"/>
  <c r="Z104" i="23"/>
  <c r="O111" i="23"/>
  <c r="L117" i="23"/>
  <c r="O122" i="23"/>
  <c r="D101" i="23"/>
  <c r="AA106" i="23"/>
  <c r="Z112" i="23"/>
  <c r="W118" i="23"/>
  <c r="C124" i="23"/>
  <c r="W103" i="23"/>
  <c r="T109" i="23"/>
  <c r="Q115" i="23"/>
  <c r="E121" i="23"/>
  <c r="S100" i="23"/>
  <c r="B110" i="23"/>
  <c r="M120" i="23"/>
  <c r="W102" i="23"/>
  <c r="M112" i="23"/>
  <c r="K121" i="23"/>
  <c r="C104" i="23"/>
  <c r="L113" i="23"/>
  <c r="I122" i="23"/>
  <c r="F106" i="23"/>
  <c r="U115" i="23"/>
  <c r="X123" i="23"/>
  <c r="S114" i="23"/>
  <c r="Q106" i="23"/>
  <c r="F124" i="23"/>
  <c r="E117" i="23"/>
  <c r="D111" i="23"/>
  <c r="L107" i="23"/>
  <c r="Y115" i="23"/>
  <c r="L123" i="23"/>
  <c r="AA113" i="23"/>
  <c r="M101" i="23"/>
  <c r="L101" i="23"/>
  <c r="F119" i="23"/>
  <c r="C123" i="23"/>
  <c r="Y100" i="23"/>
  <c r="X104" i="23"/>
  <c r="B109" i="23"/>
  <c r="Y112" i="23"/>
  <c r="X116" i="23"/>
  <c r="P118" i="23"/>
  <c r="M122" i="23"/>
  <c r="I100" i="23"/>
  <c r="H104" i="23"/>
  <c r="V107" i="23"/>
  <c r="S111" i="23"/>
  <c r="R115" i="23"/>
  <c r="L108" i="23"/>
  <c r="H116" i="23"/>
  <c r="I124" i="23"/>
  <c r="D106" i="23"/>
  <c r="W113" i="23"/>
  <c r="L120" i="23"/>
  <c r="E102" i="23"/>
  <c r="S103" i="23"/>
  <c r="M102" i="23"/>
  <c r="O101" i="23"/>
  <c r="R123" i="23"/>
  <c r="H102" i="23"/>
  <c r="I116" i="23"/>
  <c r="F105" i="23"/>
  <c r="G101" i="23"/>
  <c r="C101" i="23"/>
  <c r="M105" i="23"/>
  <c r="Y109" i="23"/>
  <c r="W114" i="23"/>
  <c r="H119" i="23"/>
  <c r="V102" i="23"/>
  <c r="G107" i="23"/>
  <c r="Q111" i="23"/>
  <c r="C116" i="23"/>
  <c r="T99" i="23"/>
  <c r="I106" i="23"/>
  <c r="F112" i="23"/>
  <c r="C118" i="23"/>
  <c r="AA122" i="23"/>
  <c r="T101" i="23"/>
  <c r="Q107" i="23"/>
  <c r="P113" i="23"/>
  <c r="E120" i="23"/>
  <c r="O124" i="23"/>
  <c r="M104" i="23"/>
  <c r="J110" i="23"/>
  <c r="G116" i="23"/>
  <c r="S121" i="23"/>
  <c r="Q101" i="23"/>
  <c r="C112" i="23"/>
  <c r="I121" i="23"/>
  <c r="Y103" i="23"/>
  <c r="I113" i="23"/>
  <c r="G122" i="23"/>
  <c r="E105" i="23"/>
  <c r="O114" i="23"/>
  <c r="W123" i="23"/>
  <c r="I107" i="23"/>
  <c r="S116" i="23"/>
  <c r="U124" i="23"/>
  <c r="AA116" i="23"/>
  <c r="R108" i="23"/>
  <c r="G100" i="23"/>
  <c r="AA120" i="23"/>
  <c r="E113" i="23"/>
  <c r="U111" i="23"/>
  <c r="G120" i="23"/>
  <c r="K101" i="23"/>
  <c r="X121" i="23"/>
  <c r="AA109" i="23"/>
  <c r="M109" i="23"/>
  <c r="T116" i="23"/>
  <c r="Q120" i="23"/>
  <c r="P124" i="23"/>
  <c r="L102" i="23"/>
  <c r="P106" i="23"/>
  <c r="M110" i="23"/>
  <c r="Z111" i="23"/>
  <c r="D116" i="23"/>
  <c r="AA119" i="23"/>
  <c r="Z123" i="23"/>
  <c r="V101" i="23"/>
  <c r="J105" i="23"/>
  <c r="G109" i="23"/>
  <c r="T110" i="23"/>
  <c r="N103" i="23"/>
  <c r="J111" i="23"/>
  <c r="K119" i="23"/>
  <c r="F101" i="23"/>
  <c r="Y108" i="23"/>
  <c r="N115" i="23"/>
  <c r="L118" i="23"/>
  <c r="Z119" i="23"/>
  <c r="T118" i="23"/>
  <c r="V117" i="23"/>
  <c r="V113" i="23"/>
  <c r="Q108" i="23"/>
  <c r="T122" i="23"/>
  <c r="N119" i="23"/>
  <c r="L122" i="23"/>
  <c r="P101" i="23"/>
  <c r="AA105" i="23"/>
  <c r="Y110" i="23"/>
  <c r="I115" i="23"/>
  <c r="U119" i="23"/>
  <c r="H103" i="23"/>
  <c r="T107" i="23"/>
  <c r="E112" i="23"/>
  <c r="O116" i="23"/>
  <c r="AA100" i="23"/>
  <c r="Y106" i="23"/>
  <c r="V112" i="23"/>
  <c r="S118" i="23"/>
  <c r="O123" i="23"/>
  <c r="K102" i="23"/>
  <c r="J108" i="23"/>
  <c r="Y114" i="23"/>
  <c r="R120" i="23"/>
  <c r="G99" i="23"/>
  <c r="D105" i="23"/>
  <c r="AA110" i="23"/>
  <c r="Z116" i="23"/>
  <c r="F122" i="23"/>
  <c r="X103" i="23"/>
  <c r="H113" i="23"/>
  <c r="AA121" i="23"/>
  <c r="W104" i="23"/>
  <c r="N114" i="23"/>
  <c r="Y122" i="23"/>
  <c r="C106" i="23"/>
  <c r="R116" i="23"/>
  <c r="S124" i="23"/>
  <c r="N108" i="23"/>
  <c r="X117" i="23"/>
  <c r="E100" i="23"/>
  <c r="D119" i="23"/>
  <c r="S110" i="23"/>
  <c r="R104" i="23"/>
  <c r="S122" i="23"/>
  <c r="G115" i="23"/>
  <c r="X115" i="23"/>
  <c r="I123" i="23"/>
  <c r="L105" i="23"/>
  <c r="X105" i="23"/>
  <c r="X109" i="23"/>
  <c r="T121" i="23"/>
  <c r="H114" i="23"/>
  <c r="E118" i="23"/>
  <c r="D122" i="23"/>
  <c r="Z99" i="23"/>
  <c r="D104" i="23"/>
  <c r="O105" i="23"/>
  <c r="N109" i="23"/>
  <c r="R113" i="23"/>
  <c r="O117" i="23"/>
  <c r="N121" i="23"/>
  <c r="J99" i="23"/>
  <c r="X102" i="23"/>
  <c r="I104" i="23"/>
  <c r="H108" i="23"/>
  <c r="Q124" i="23"/>
  <c r="L106" i="23"/>
  <c r="M114" i="23"/>
  <c r="H122" i="23"/>
  <c r="AA103" i="23"/>
  <c r="R105" i="23"/>
  <c r="N113" i="23"/>
  <c r="D110" i="23"/>
  <c r="X108" i="23"/>
  <c r="Z107" i="23"/>
  <c r="Z103" i="23"/>
  <c r="B115" i="23"/>
  <c r="B103" i="23"/>
  <c r="E106" i="23"/>
  <c r="X124" i="23"/>
  <c r="B102" i="23"/>
  <c r="Z106" i="23"/>
  <c r="L111" i="23"/>
  <c r="W115" i="23"/>
  <c r="I99" i="23"/>
  <c r="U103" i="23"/>
  <c r="F108" i="23"/>
  <c r="R112" i="23"/>
  <c r="P117" i="23"/>
  <c r="S101" i="23"/>
  <c r="P107" i="23"/>
  <c r="M113" i="23"/>
  <c r="L119" i="23"/>
  <c r="B124" i="23"/>
  <c r="D103" i="23"/>
  <c r="Q109" i="23"/>
  <c r="O115" i="23"/>
  <c r="D121" i="23"/>
  <c r="X99" i="23"/>
  <c r="U105" i="23"/>
  <c r="T111" i="23"/>
  <c r="Q117" i="23"/>
  <c r="E123" i="23"/>
  <c r="V104" i="23"/>
  <c r="K114" i="23"/>
  <c r="W122" i="23"/>
  <c r="B106" i="23"/>
  <c r="L115" i="23"/>
  <c r="U123" i="23"/>
  <c r="E108" i="23"/>
  <c r="T117" i="23"/>
  <c r="B100" i="23"/>
  <c r="K109" i="23"/>
  <c r="Z118" i="23"/>
  <c r="F102" i="23"/>
  <c r="W120" i="23"/>
  <c r="AA114" i="23"/>
  <c r="R106" i="23"/>
  <c r="G124" i="23"/>
  <c r="H117" i="23"/>
  <c r="Y119" i="23"/>
  <c r="L99" i="23"/>
  <c r="U109" i="23"/>
  <c r="Y121" i="23"/>
  <c r="Z124" i="23"/>
  <c r="V124" i="23"/>
  <c r="V111" i="23"/>
  <c r="S115" i="23"/>
  <c r="R119" i="23"/>
  <c r="V123" i="23"/>
  <c r="F99" i="23"/>
  <c r="C103" i="23"/>
  <c r="B107" i="23"/>
  <c r="F111" i="23"/>
  <c r="C115" i="23"/>
  <c r="B119" i="23"/>
  <c r="P122" i="23"/>
  <c r="AA123" i="23"/>
  <c r="W101" i="23"/>
  <c r="V105" i="23"/>
  <c r="S119" i="23"/>
  <c r="N101" i="23"/>
  <c r="O109" i="23"/>
  <c r="J117" i="23"/>
  <c r="H120" i="23"/>
  <c r="T100" i="23"/>
  <c r="P108" i="23"/>
  <c r="H100" i="23"/>
  <c r="T124" i="23"/>
  <c r="T120" i="23"/>
  <c r="L124" i="23"/>
  <c r="V119" i="23"/>
  <c r="V99" i="23"/>
  <c r="T102" i="23"/>
  <c r="W99" i="23"/>
  <c r="C120" i="23"/>
  <c r="J112" i="23"/>
  <c r="Y99" i="23"/>
  <c r="D117" i="23"/>
  <c r="B112" i="23"/>
  <c r="P104" i="23"/>
  <c r="U114" i="23"/>
  <c r="X114" i="23"/>
  <c r="G104" i="23"/>
  <c r="N124" i="23"/>
  <c r="Y118" i="23"/>
  <c r="I109" i="23"/>
  <c r="U108" i="23"/>
  <c r="Y117" i="23"/>
  <c r="T108" i="23"/>
  <c r="X122" i="23"/>
  <c r="X110" i="23"/>
  <c r="S108" i="23"/>
  <c r="K104" i="23"/>
  <c r="Q123" i="23"/>
  <c r="R118" i="23"/>
  <c r="R100" i="23"/>
  <c r="J109" i="23"/>
  <c r="Q112" i="23"/>
  <c r="Q104" i="23"/>
  <c r="T104" i="23"/>
  <c r="Q113" i="23"/>
  <c r="I110" i="23"/>
  <c r="Y105" i="23"/>
  <c r="Z100" i="23"/>
  <c r="I119" i="23"/>
  <c r="G113" i="23"/>
  <c r="P116" i="23"/>
  <c r="N107" i="23"/>
  <c r="D100" i="23"/>
  <c r="AA102" i="23"/>
  <c r="B118" i="23"/>
  <c r="F116" i="23"/>
  <c r="H115" i="23"/>
  <c r="O110" i="23"/>
  <c r="H123" i="23"/>
  <c r="F117" i="23"/>
  <c r="R117" i="23"/>
  <c r="J115" i="23"/>
  <c r="P112" i="23"/>
  <c r="M107" i="23"/>
  <c r="J102" i="23"/>
  <c r="Q121" i="23"/>
  <c r="T123" i="23"/>
  <c r="X119" i="23"/>
  <c r="M103" i="23"/>
  <c r="X118" i="23"/>
  <c r="O121" i="23"/>
  <c r="W121" i="23"/>
  <c r="P114" i="23"/>
  <c r="X111" i="23"/>
  <c r="G108" i="23"/>
  <c r="N100" i="23"/>
  <c r="E107" i="23"/>
  <c r="F104" i="23"/>
  <c r="AA117" i="23"/>
  <c r="U122" i="23"/>
  <c r="K99" i="23"/>
  <c r="R103" i="23"/>
  <c r="J116" i="23"/>
  <c r="F114" i="23"/>
  <c r="K106" i="23"/>
  <c r="N116" i="23"/>
  <c r="Y123" i="23"/>
  <c r="M99" i="23"/>
  <c r="Q100" i="23"/>
  <c r="J103" i="23"/>
  <c r="V115" i="23"/>
  <c r="S99" i="21"/>
  <c r="C107" i="21"/>
  <c r="B113" i="21"/>
  <c r="R99" i="21"/>
  <c r="E108" i="21"/>
  <c r="S114" i="21"/>
  <c r="T120" i="21"/>
  <c r="U100" i="21"/>
  <c r="D109" i="21"/>
  <c r="N115" i="21"/>
  <c r="M121" i="21"/>
  <c r="C102" i="21"/>
  <c r="Y109" i="21"/>
  <c r="M116" i="21"/>
  <c r="G122" i="21"/>
  <c r="O103" i="21"/>
  <c r="F111" i="21"/>
  <c r="O117" i="21"/>
  <c r="G123" i="21"/>
  <c r="M110" i="21"/>
  <c r="P122" i="21"/>
  <c r="AA111" i="21"/>
  <c r="I105" i="21"/>
  <c r="I112" i="21"/>
  <c r="T100" i="21"/>
  <c r="V109" i="21"/>
  <c r="Y116" i="21"/>
  <c r="O123" i="21"/>
  <c r="B106" i="21"/>
  <c r="AA113" i="21"/>
  <c r="U120" i="21"/>
  <c r="E103" i="21"/>
  <c r="P111" i="21"/>
  <c r="S118" i="21"/>
  <c r="I99" i="21"/>
  <c r="T108" i="21"/>
  <c r="X115" i="21"/>
  <c r="O122" i="21"/>
  <c r="Z111" i="21"/>
  <c r="L100" i="21"/>
  <c r="X116" i="21"/>
  <c r="J105" i="21"/>
  <c r="Y118" i="21"/>
  <c r="Z105" i="21"/>
  <c r="H119" i="21"/>
  <c r="G111" i="21"/>
  <c r="R111" i="21"/>
  <c r="X111" i="21"/>
  <c r="J113" i="21"/>
  <c r="E102" i="21"/>
  <c r="R106" i="21"/>
  <c r="Z118" i="21"/>
  <c r="S105" i="21"/>
  <c r="M117" i="21"/>
  <c r="G120" i="21"/>
  <c r="C124" i="21"/>
  <c r="C103" i="21"/>
  <c r="W105" i="21"/>
  <c r="Q108" i="21"/>
  <c r="M112" i="21"/>
  <c r="H116" i="21"/>
  <c r="T103" i="21"/>
  <c r="L123" i="21"/>
  <c r="E111" i="21"/>
  <c r="Y113" i="21"/>
  <c r="T117" i="21"/>
  <c r="O121" i="21"/>
  <c r="D99" i="21"/>
  <c r="V118" i="21"/>
  <c r="O118" i="21"/>
  <c r="I121" i="21"/>
  <c r="O99" i="21"/>
  <c r="Q102" i="21"/>
  <c r="L106" i="21"/>
  <c r="J112" i="21"/>
  <c r="G119" i="21"/>
  <c r="N99" i="21"/>
  <c r="L112" i="21"/>
  <c r="D119" i="21"/>
  <c r="R121" i="21"/>
  <c r="I103" i="21"/>
  <c r="L103" i="21"/>
  <c r="E118" i="21"/>
  <c r="U124" i="21"/>
  <c r="J111" i="21"/>
  <c r="B120" i="21"/>
  <c r="M124" i="21"/>
  <c r="U105" i="21"/>
  <c r="B99" i="21"/>
  <c r="D108" i="21"/>
  <c r="E115" i="21"/>
  <c r="Y104" i="21"/>
  <c r="U113" i="21"/>
  <c r="D122" i="21"/>
  <c r="AA104" i="21"/>
  <c r="T114" i="21"/>
  <c r="X122" i="21"/>
  <c r="J106" i="21"/>
  <c r="U114" i="21"/>
  <c r="Y122" i="21"/>
  <c r="S106" i="21"/>
  <c r="C115" i="21"/>
  <c r="Y123" i="21"/>
  <c r="F115" i="21"/>
  <c r="AA106" i="21"/>
  <c r="U122" i="21"/>
  <c r="C114" i="21"/>
  <c r="T101" i="21"/>
  <c r="R117" i="21"/>
  <c r="K114" i="21"/>
  <c r="G118" i="21"/>
  <c r="C121" i="21"/>
  <c r="L101" i="21"/>
  <c r="Z110" i="21"/>
  <c r="V115" i="21"/>
  <c r="S124" i="21"/>
  <c r="R114" i="21"/>
  <c r="Q114" i="21"/>
  <c r="Q115" i="21"/>
  <c r="D117" i="21"/>
  <c r="C117" i="21"/>
  <c r="C118" i="21"/>
  <c r="C119" i="21"/>
  <c r="F106" i="21"/>
  <c r="T102" i="21"/>
  <c r="S102" i="21"/>
  <c r="R102" i="21"/>
  <c r="R103" i="21"/>
  <c r="S104" i="21"/>
  <c r="J116" i="21"/>
  <c r="S115" i="21"/>
  <c r="R115" i="21"/>
  <c r="S116" i="21"/>
  <c r="S117" i="21"/>
  <c r="Z104" i="21"/>
  <c r="F105" i="21"/>
  <c r="D105" i="21"/>
  <c r="F108" i="21"/>
  <c r="W104" i="21"/>
  <c r="U104" i="21"/>
  <c r="S111" i="21"/>
  <c r="D123" i="21"/>
  <c r="S109" i="21"/>
  <c r="P115" i="21"/>
  <c r="B124" i="21"/>
  <c r="F113" i="21"/>
  <c r="K118" i="21"/>
  <c r="H113" i="21"/>
  <c r="U118" i="21"/>
  <c r="J124" i="21"/>
  <c r="D106" i="21"/>
  <c r="Z106" i="21"/>
  <c r="Q122" i="21"/>
  <c r="E105" i="21"/>
  <c r="E101" i="21"/>
  <c r="H122" i="21"/>
  <c r="N101" i="21"/>
  <c r="F114" i="21"/>
  <c r="U103" i="21"/>
  <c r="R104" i="21"/>
  <c r="V117" i="21"/>
  <c r="J120" i="21"/>
  <c r="Q99" i="21"/>
  <c r="V108" i="21"/>
  <c r="W115" i="21"/>
  <c r="AA105" i="21"/>
  <c r="M115" i="21"/>
  <c r="W122" i="21"/>
  <c r="J107" i="21"/>
  <c r="G116" i="21"/>
  <c r="P123" i="21"/>
  <c r="K107" i="21"/>
  <c r="O115" i="21"/>
  <c r="Q123" i="21"/>
  <c r="U107" i="21"/>
  <c r="V116" i="21"/>
  <c r="Q124" i="21"/>
  <c r="W116" i="21"/>
  <c r="W108" i="21"/>
  <c r="F124" i="21"/>
  <c r="U115" i="21"/>
  <c r="W103" i="21"/>
  <c r="S120" i="21"/>
  <c r="Q117" i="21"/>
  <c r="B121" i="21"/>
  <c r="X123" i="21"/>
  <c r="O109" i="21"/>
  <c r="N117" i="21"/>
  <c r="Q105" i="21"/>
  <c r="K120" i="21"/>
  <c r="W111" i="21"/>
  <c r="V111" i="21"/>
  <c r="V112" i="21"/>
  <c r="I114" i="21"/>
  <c r="H114" i="21"/>
  <c r="H115" i="21"/>
  <c r="M113" i="21"/>
  <c r="R108" i="21"/>
  <c r="G99" i="21"/>
  <c r="F99" i="21"/>
  <c r="W99" i="21"/>
  <c r="W100" i="21"/>
  <c r="W101" i="21"/>
  <c r="H121" i="21"/>
  <c r="X112" i="21"/>
  <c r="W112" i="21"/>
  <c r="W113" i="21"/>
  <c r="X114" i="21"/>
  <c r="L107" i="21"/>
  <c r="W124" i="21"/>
  <c r="F120" i="21"/>
  <c r="H103" i="21"/>
  <c r="N124" i="21"/>
  <c r="E99" i="21"/>
  <c r="E107" i="21"/>
  <c r="E104" i="21"/>
  <c r="C104" i="21"/>
  <c r="U106" i="21"/>
  <c r="R107" i="21"/>
  <c r="P107" i="21"/>
  <c r="E114" i="21"/>
  <c r="P117" i="21"/>
  <c r="O107" i="21"/>
  <c r="AA107" i="21"/>
  <c r="R123" i="21"/>
  <c r="AA120" i="21"/>
  <c r="V113" i="21"/>
  <c r="F119" i="21"/>
  <c r="H105" i="21"/>
  <c r="Z103" i="21"/>
  <c r="R112" i="21"/>
  <c r="J115" i="21"/>
  <c r="J110" i="21"/>
  <c r="AA100" i="21"/>
  <c r="AA110" i="21"/>
  <c r="Q121" i="21"/>
  <c r="S100" i="21"/>
  <c r="N109" i="21"/>
  <c r="O116" i="21"/>
  <c r="B107" i="21"/>
  <c r="F116" i="21"/>
  <c r="G124" i="21"/>
  <c r="K108" i="21"/>
  <c r="E117" i="21"/>
  <c r="H124" i="21"/>
  <c r="L108" i="21"/>
  <c r="F117" i="21"/>
  <c r="I124" i="21"/>
  <c r="M109" i="21"/>
  <c r="I118" i="21"/>
  <c r="K100" i="21"/>
  <c r="J118" i="21"/>
  <c r="O110" i="21"/>
  <c r="C101" i="21"/>
  <c r="I117" i="21"/>
  <c r="C108" i="21"/>
  <c r="C122" i="21"/>
  <c r="M120" i="21"/>
  <c r="W123" i="21"/>
  <c r="D102" i="21"/>
  <c r="D116" i="21"/>
  <c r="F123" i="21"/>
  <c r="Q112" i="21"/>
  <c r="U121" i="21"/>
  <c r="B109" i="21"/>
  <c r="AA108" i="21"/>
  <c r="AA109" i="21"/>
  <c r="N111" i="21"/>
  <c r="M111" i="21"/>
  <c r="R109" i="21"/>
  <c r="R110" i="21"/>
  <c r="D111" i="21"/>
  <c r="K122" i="21"/>
  <c r="J122" i="21"/>
  <c r="J123" i="21"/>
  <c r="K124" i="21"/>
  <c r="P101" i="21"/>
  <c r="T123" i="21"/>
  <c r="C110" i="21"/>
  <c r="B110" i="21"/>
  <c r="B111" i="21"/>
  <c r="C112" i="21"/>
  <c r="X109" i="21"/>
  <c r="Q113" i="21"/>
  <c r="P114" i="21"/>
  <c r="L99" i="21"/>
  <c r="X118" i="21"/>
  <c r="W119" i="21"/>
  <c r="Y102" i="21"/>
  <c r="V123" i="21"/>
  <c r="E119" i="21"/>
  <c r="P102" i="21"/>
  <c r="B102" i="21"/>
  <c r="Z101" i="21"/>
  <c r="Q109" i="21"/>
  <c r="P121" i="21"/>
  <c r="AA123" i="21"/>
  <c r="B122" i="21"/>
  <c r="O114" i="21"/>
  <c r="T109" i="21"/>
  <c r="I104" i="21"/>
  <c r="Y107" i="21"/>
  <c r="Z112" i="21"/>
  <c r="N110" i="21"/>
  <c r="J101" i="21"/>
  <c r="D118" i="21"/>
  <c r="U99" i="21"/>
  <c r="O106" i="21"/>
  <c r="AA114" i="21"/>
  <c r="F118" i="21"/>
  <c r="M101" i="21"/>
  <c r="G110" i="21"/>
  <c r="G117" i="21"/>
  <c r="C109" i="21"/>
  <c r="W117" i="21"/>
  <c r="Y124" i="21"/>
  <c r="W109" i="21"/>
  <c r="Y117" i="21"/>
  <c r="AA124" i="21"/>
  <c r="E109" i="21"/>
  <c r="AA117" i="21"/>
  <c r="I100" i="21"/>
  <c r="H110" i="21"/>
  <c r="AA118" i="21"/>
  <c r="O102" i="21"/>
  <c r="U119" i="21"/>
  <c r="S113" i="21"/>
  <c r="F103" i="21"/>
  <c r="I120" i="21"/>
  <c r="U109" i="21"/>
  <c r="N123" i="21"/>
  <c r="H123" i="21"/>
  <c r="C100" i="21"/>
  <c r="K106" i="21"/>
  <c r="W121" i="21"/>
  <c r="K113" i="21"/>
  <c r="P124" i="21"/>
  <c r="H106" i="21"/>
  <c r="G106" i="21"/>
  <c r="E106" i="21"/>
  <c r="F107" i="21"/>
  <c r="S108" i="21"/>
  <c r="V105" i="21"/>
  <c r="W106" i="21"/>
  <c r="W107" i="21"/>
  <c r="P113" i="21"/>
  <c r="P119" i="21"/>
  <c r="O119" i="21"/>
  <c r="O120" i="21"/>
  <c r="T118" i="21"/>
  <c r="B104" i="21"/>
  <c r="I107" i="21"/>
  <c r="H107" i="21"/>
  <c r="G107" i="21"/>
  <c r="G108" i="21"/>
  <c r="G109" i="21"/>
  <c r="V114" i="21"/>
  <c r="Z107" i="21"/>
  <c r="Y108" i="21"/>
  <c r="D103" i="21"/>
  <c r="G113" i="21"/>
  <c r="G114" i="21"/>
  <c r="T99" i="21"/>
  <c r="O112" i="21"/>
  <c r="N113" i="21"/>
  <c r="J100" i="21"/>
  <c r="S121" i="21"/>
  <c r="R122" i="21"/>
  <c r="K105" i="21"/>
  <c r="M123" i="21"/>
  <c r="G115" i="21"/>
  <c r="U110" i="21"/>
  <c r="T105" i="21"/>
  <c r="U123" i="21"/>
  <c r="F102" i="21"/>
  <c r="AA122" i="21"/>
  <c r="R120" i="21"/>
  <c r="V103" i="21"/>
  <c r="D104" i="21"/>
  <c r="Z121" i="21"/>
  <c r="K123" i="21"/>
  <c r="J117" i="21"/>
  <c r="O108" i="21"/>
  <c r="N122" i="21"/>
  <c r="M102" i="21"/>
  <c r="Y110" i="21"/>
  <c r="Z117" i="21"/>
  <c r="P110" i="21"/>
  <c r="Q118" i="21"/>
  <c r="Y99" i="21"/>
  <c r="Q110" i="21"/>
  <c r="R118" i="21"/>
  <c r="Z99" i="21"/>
  <c r="W110" i="21"/>
  <c r="K119" i="21"/>
  <c r="K101" i="21"/>
  <c r="Y111" i="21"/>
  <c r="S119" i="21"/>
  <c r="Q104" i="21"/>
  <c r="E121" i="21"/>
  <c r="K115" i="21"/>
  <c r="M107" i="21"/>
  <c r="T121" i="21"/>
  <c r="H111" i="21"/>
  <c r="X124" i="21"/>
  <c r="AA99" i="21"/>
  <c r="O104" i="21"/>
  <c r="D110" i="21"/>
  <c r="E110" i="21"/>
  <c r="R119" i="21"/>
  <c r="S107" i="21"/>
  <c r="M103" i="21"/>
  <c r="K103" i="21"/>
  <c r="J103" i="21"/>
  <c r="Y105" i="21"/>
  <c r="B103" i="21"/>
  <c r="AA102" i="21"/>
  <c r="AA103" i="21"/>
  <c r="B105" i="21"/>
  <c r="B116" i="21"/>
  <c r="U116" i="21"/>
  <c r="T116" i="21"/>
  <c r="Y114" i="21"/>
  <c r="Y115" i="21"/>
  <c r="N106" i="21"/>
  <c r="N104" i="21"/>
  <c r="M104" i="21"/>
  <c r="L104" i="21"/>
  <c r="L105" i="21"/>
  <c r="Q103" i="21"/>
  <c r="H117" i="21"/>
  <c r="J102" i="21"/>
  <c r="K104" i="21"/>
  <c r="D107" i="21"/>
  <c r="Q107" i="21"/>
  <c r="P108" i="21"/>
  <c r="T107" i="21"/>
  <c r="Y106" i="21"/>
  <c r="X107" i="21"/>
  <c r="J104" i="21"/>
  <c r="C116" i="21"/>
  <c r="B117" i="21"/>
  <c r="M100" i="21"/>
  <c r="F112" i="21"/>
  <c r="C106" i="21"/>
  <c r="V124" i="21"/>
  <c r="Z100" i="21"/>
  <c r="N112" i="21"/>
  <c r="F110" i="21"/>
  <c r="U111" i="21"/>
  <c r="Q106" i="21"/>
  <c r="P106" i="21"/>
  <c r="X106" i="21"/>
  <c r="N100" i="21"/>
  <c r="T104" i="21"/>
  <c r="N114" i="21"/>
  <c r="U117" i="21"/>
  <c r="N103" i="21"/>
  <c r="Q111" i="21"/>
  <c r="U101" i="21"/>
  <c r="I111" i="21"/>
  <c r="I119" i="21"/>
  <c r="V101" i="21"/>
  <c r="O111" i="21"/>
  <c r="J119" i="21"/>
  <c r="B101" i="21"/>
  <c r="K112" i="21"/>
  <c r="D120" i="21"/>
  <c r="L102" i="21"/>
  <c r="S112" i="21"/>
  <c r="L120" i="21"/>
  <c r="T106" i="21"/>
  <c r="Z123" i="21"/>
  <c r="P118" i="21"/>
  <c r="F109" i="21"/>
  <c r="E123" i="21"/>
  <c r="Y112" i="21"/>
  <c r="J99" i="21"/>
  <c r="G104" i="21"/>
  <c r="N108" i="21"/>
  <c r="N116" i="21"/>
  <c r="P116" i="21"/>
  <c r="H99" i="21"/>
  <c r="L109" i="21"/>
  <c r="Q100" i="21"/>
  <c r="P100" i="21"/>
  <c r="O100" i="21"/>
  <c r="H100" i="21"/>
  <c r="G100" i="21"/>
  <c r="F100" i="21"/>
  <c r="F101" i="21"/>
  <c r="G102" i="21"/>
  <c r="N118" i="21"/>
  <c r="Z113" i="21"/>
  <c r="C111" i="21"/>
  <c r="D112" i="21"/>
  <c r="D113" i="21"/>
  <c r="Z108" i="21"/>
  <c r="S101" i="21"/>
  <c r="R101" i="21"/>
  <c r="Q101" i="21"/>
  <c r="V99" i="21"/>
  <c r="V100" i="21"/>
  <c r="T119" i="21"/>
  <c r="AA121" i="21"/>
  <c r="M99" i="21"/>
  <c r="V110" i="21"/>
  <c r="AA101" i="21"/>
  <c r="C99" i="21"/>
  <c r="T111" i="21"/>
  <c r="I101" i="21"/>
  <c r="Z102" i="21"/>
  <c r="B108" i="21"/>
  <c r="L110" i="21"/>
  <c r="K111" i="21"/>
  <c r="X101" i="21"/>
  <c r="Y100" i="21"/>
  <c r="R100" i="21"/>
  <c r="O113" i="21"/>
  <c r="H109" i="21"/>
  <c r="G101" i="21"/>
  <c r="X117" i="21"/>
  <c r="Y101" i="21"/>
  <c r="K109" i="21"/>
  <c r="J109" i="21"/>
  <c r="S110" i="21"/>
  <c r="X108" i="21"/>
  <c r="V102" i="21"/>
  <c r="E100" i="21"/>
  <c r="X100" i="21"/>
  <c r="H104" i="21"/>
  <c r="T113" i="21"/>
  <c r="W102" i="21"/>
  <c r="G112" i="21"/>
  <c r="AA119" i="21"/>
  <c r="X102" i="21"/>
  <c r="H112" i="21"/>
  <c r="C120" i="21"/>
  <c r="F104" i="21"/>
  <c r="I113" i="21"/>
  <c r="V120" i="21"/>
  <c r="P104" i="21"/>
  <c r="L113" i="21"/>
  <c r="D121" i="21"/>
  <c r="U108" i="21"/>
  <c r="U102" i="21"/>
  <c r="Z119" i="21"/>
  <c r="X110" i="21"/>
  <c r="O124" i="21"/>
  <c r="M114" i="21"/>
  <c r="P103" i="21"/>
  <c r="M108" i="21"/>
  <c r="B115" i="21"/>
  <c r="Q119" i="21"/>
  <c r="M122" i="21"/>
  <c r="D114" i="21"/>
  <c r="B119" i="21"/>
  <c r="C123" i="21"/>
  <c r="B123" i="21"/>
  <c r="G121" i="21"/>
  <c r="T122" i="21"/>
  <c r="S122" i="21"/>
  <c r="S123" i="21"/>
  <c r="T124" i="21"/>
  <c r="K99" i="21"/>
  <c r="Z120" i="21"/>
  <c r="I108" i="21"/>
  <c r="H108" i="21"/>
  <c r="I109" i="21"/>
  <c r="I110" i="21"/>
  <c r="L111" i="21"/>
  <c r="E124" i="21"/>
  <c r="D124" i="21"/>
  <c r="I122" i="21"/>
  <c r="I123" i="21"/>
  <c r="B100" i="21"/>
  <c r="F122" i="21"/>
  <c r="K116" i="21"/>
  <c r="F121" i="21"/>
  <c r="D115" i="21"/>
  <c r="AA115" i="21"/>
  <c r="W120" i="21"/>
  <c r="L115" i="21"/>
  <c r="Y120" i="21"/>
  <c r="X99" i="21"/>
  <c r="B112" i="21"/>
  <c r="V104" i="21"/>
  <c r="O101" i="21"/>
  <c r="P105" i="21"/>
  <c r="Z114" i="21"/>
  <c r="J108" i="21"/>
  <c r="I102" i="21"/>
  <c r="Z116" i="21"/>
  <c r="I116" i="21"/>
  <c r="K102" i="21"/>
  <c r="M119" i="21"/>
  <c r="E112" i="21"/>
  <c r="E113" i="21"/>
  <c r="B118" i="21"/>
  <c r="X105" i="21"/>
  <c r="P120" i="21"/>
  <c r="Q120" i="21"/>
  <c r="L124" i="21"/>
  <c r="I106" i="21"/>
  <c r="L114" i="21"/>
  <c r="X103" i="21"/>
  <c r="AA112" i="21"/>
  <c r="L121" i="21"/>
  <c r="Y103" i="21"/>
  <c r="C113" i="21"/>
  <c r="E122" i="21"/>
  <c r="G105" i="21"/>
  <c r="B114" i="21"/>
  <c r="N121" i="21"/>
  <c r="R105" i="21"/>
  <c r="J114" i="21"/>
  <c r="V121" i="21"/>
  <c r="R113" i="21"/>
  <c r="X104" i="21"/>
  <c r="K121" i="21"/>
  <c r="P112" i="21"/>
  <c r="P99" i="21"/>
  <c r="E116" i="21"/>
  <c r="V107" i="21"/>
  <c r="W114" i="21"/>
  <c r="H118" i="21"/>
  <c r="L122" i="21"/>
  <c r="G103" i="21"/>
  <c r="D101" i="21"/>
  <c r="T112" i="21"/>
  <c r="H120" i="21"/>
  <c r="L117" i="21"/>
  <c r="L118" i="21"/>
  <c r="Y119" i="21"/>
  <c r="X119" i="21"/>
  <c r="X120" i="21"/>
  <c r="Y121" i="21"/>
  <c r="H101" i="21"/>
  <c r="O105" i="21"/>
  <c r="N105" i="21"/>
  <c r="M105" i="21"/>
  <c r="M106" i="21"/>
  <c r="N107" i="21"/>
  <c r="X113" i="21"/>
  <c r="J121" i="21"/>
  <c r="M118" i="21"/>
  <c r="N119" i="21"/>
  <c r="N120" i="21"/>
  <c r="N102" i="21"/>
  <c r="R124" i="21"/>
  <c r="T110" i="21"/>
  <c r="AA116" i="21"/>
  <c r="V122" i="21"/>
  <c r="K110" i="21"/>
  <c r="Q116" i="21"/>
  <c r="L119" i="21"/>
  <c r="I115" i="21"/>
  <c r="E120" i="21"/>
  <c r="T115" i="21"/>
  <c r="W118" i="21"/>
  <c r="Z122" i="21"/>
  <c r="P109" i="21"/>
  <c r="S103" i="21"/>
  <c r="R116" i="21"/>
  <c r="K117" i="21"/>
  <c r="Z124" i="21"/>
  <c r="C105" i="21"/>
  <c r="L116" i="21"/>
  <c r="Z109" i="21"/>
  <c r="Z115" i="21"/>
  <c r="V119" i="21"/>
  <c r="D100" i="21"/>
  <c r="X121" i="21"/>
  <c r="H102" i="21"/>
  <c r="U112" i="21"/>
  <c r="V106" i="21"/>
  <c r="B99" i="19" a="1"/>
  <c r="B99" i="17" a="1"/>
  <c r="BE10" i="4"/>
  <c r="AV10" i="4"/>
  <c r="BB10" i="4"/>
  <c r="AD44" i="4"/>
  <c r="AF44" i="4" s="1"/>
  <c r="AN44" i="4"/>
  <c r="AT44" i="4"/>
  <c r="AO59" i="4"/>
  <c r="AP59" i="4" s="1"/>
  <c r="BL59" i="4"/>
  <c r="BN59" i="4"/>
  <c r="BK59" i="4"/>
  <c r="BP59" i="4"/>
  <c r="BH59" i="4"/>
  <c r="BM59" i="4"/>
  <c r="BJ59" i="4"/>
  <c r="BO59" i="4"/>
  <c r="BG59" i="4"/>
  <c r="BI59" i="4"/>
  <c r="BF59" i="4"/>
  <c r="BE59" i="4"/>
  <c r="BB59" i="4"/>
  <c r="AY59" i="4"/>
  <c r="AX59" i="4"/>
  <c r="BD59" i="4"/>
  <c r="AU59" i="4"/>
  <c r="BA59" i="4"/>
  <c r="BC59" i="4"/>
  <c r="AZ59" i="4"/>
  <c r="AW59" i="4"/>
  <c r="AX10" i="4"/>
  <c r="AZ10" i="4"/>
  <c r="AO30" i="4"/>
  <c r="BI30" i="4"/>
  <c r="BG30" i="4"/>
  <c r="BP30" i="4"/>
  <c r="BK30" i="4"/>
  <c r="BF30" i="4"/>
  <c r="BH30" i="4"/>
  <c r="BO30" i="4"/>
  <c r="BM30" i="4"/>
  <c r="BL30" i="4"/>
  <c r="BJ30" i="4"/>
  <c r="BN30" i="4"/>
  <c r="BE30" i="4"/>
  <c r="BC30" i="4"/>
  <c r="BB30" i="4"/>
  <c r="AS30" i="4"/>
  <c r="AT30" i="4"/>
  <c r="BD30" i="4"/>
  <c r="AX30" i="4"/>
  <c r="BA30" i="4"/>
  <c r="AU30" i="4"/>
  <c r="AZ30" i="4"/>
  <c r="AV30" i="4"/>
  <c r="AY30" i="4"/>
  <c r="AW30" i="4"/>
  <c r="AP30" i="4"/>
  <c r="BE67" i="4"/>
  <c r="BD67" i="4"/>
  <c r="AV67" i="4"/>
  <c r="AW67" i="4" s="1"/>
  <c r="AX67" i="4" s="1"/>
  <c r="AY67" i="4" s="1"/>
  <c r="BB67" i="4"/>
  <c r="AU67" i="4"/>
  <c r="AZ67" i="4"/>
  <c r="M57" i="3" l="1"/>
  <c r="F107" i="25"/>
  <c r="F111" i="25"/>
  <c r="F109" i="25"/>
  <c r="F108" i="25"/>
  <c r="F110" i="25"/>
  <c r="AB70" i="24"/>
  <c r="F106" i="25" s="1"/>
  <c r="AB75" i="24"/>
  <c r="AB80" i="24"/>
  <c r="AB69" i="24"/>
  <c r="F104" i="25" s="1"/>
  <c r="F105" i="25" s="1"/>
  <c r="M38" i="3"/>
  <c r="M22" i="3"/>
  <c r="M36" i="3"/>
  <c r="M61" i="3"/>
  <c r="M50" i="3"/>
  <c r="M11" i="3"/>
  <c r="M43" i="3"/>
  <c r="M54" i="3"/>
  <c r="M16" i="3"/>
  <c r="M15" i="3"/>
  <c r="M68" i="3"/>
  <c r="M65" i="3"/>
  <c r="M67" i="3"/>
  <c r="M64" i="3"/>
  <c r="M42" i="3"/>
  <c r="M31" i="3"/>
  <c r="M10" i="3"/>
  <c r="M56" i="3"/>
  <c r="M63" i="3"/>
  <c r="M48" i="3"/>
  <c r="M26" i="3"/>
  <c r="M19" i="3"/>
  <c r="M53" i="3"/>
  <c r="M32" i="3"/>
  <c r="M28" i="3"/>
  <c r="M14" i="3"/>
  <c r="M18" i="3"/>
  <c r="M21" i="3"/>
  <c r="M24" i="3"/>
  <c r="M35" i="3"/>
  <c r="M17" i="3"/>
  <c r="M34" i="3"/>
  <c r="M41" i="3"/>
  <c r="M30" i="3"/>
  <c r="M4" i="3"/>
  <c r="M5" i="3"/>
  <c r="M62" i="3"/>
  <c r="M13" i="3"/>
  <c r="M23" i="3"/>
  <c r="M40" i="3"/>
  <c r="M27" i="3"/>
  <c r="M49" i="3"/>
  <c r="M58" i="3"/>
  <c r="M6" i="3"/>
  <c r="M60" i="3"/>
  <c r="M46" i="3"/>
  <c r="M47" i="3"/>
  <c r="M39" i="3"/>
  <c r="M25" i="3"/>
  <c r="M33" i="3"/>
  <c r="M55" i="3"/>
  <c r="M29" i="3"/>
  <c r="M8" i="3"/>
  <c r="B126" i="21" a="1"/>
  <c r="U104" i="17"/>
  <c r="Y110" i="17"/>
  <c r="O116" i="17"/>
  <c r="E122" i="17"/>
  <c r="D102" i="17"/>
  <c r="W108" i="17"/>
  <c r="M114" i="17"/>
  <c r="D120" i="17"/>
  <c r="O100" i="17"/>
  <c r="T107" i="17"/>
  <c r="K113" i="17"/>
  <c r="AA118" i="17"/>
  <c r="Q124" i="17"/>
  <c r="X109" i="17"/>
  <c r="Z118" i="17"/>
  <c r="P103" i="17"/>
  <c r="L113" i="17"/>
  <c r="M122" i="17"/>
  <c r="X106" i="17"/>
  <c r="V115" i="17"/>
  <c r="V124" i="17"/>
  <c r="S109" i="17"/>
  <c r="Q118" i="17"/>
  <c r="C107" i="17"/>
  <c r="L101" i="17"/>
  <c r="T120" i="17"/>
  <c r="Q104" i="17"/>
  <c r="H123" i="17"/>
  <c r="G103" i="17"/>
  <c r="D122" i="17"/>
  <c r="AA115" i="17"/>
  <c r="R105" i="17"/>
  <c r="L108" i="17"/>
  <c r="V102" i="17"/>
  <c r="V116" i="17"/>
  <c r="H120" i="17"/>
  <c r="M116" i="17"/>
  <c r="Y119" i="17"/>
  <c r="K115" i="17"/>
  <c r="X118" i="17"/>
  <c r="I122" i="17"/>
  <c r="V99" i="17"/>
  <c r="H103" i="17"/>
  <c r="E115" i="17"/>
  <c r="W117" i="17"/>
  <c r="T109" i="17"/>
  <c r="AA109" i="17"/>
  <c r="I110" i="17"/>
  <c r="U111" i="17"/>
  <c r="N117" i="17"/>
  <c r="K109" i="17"/>
  <c r="R109" i="17"/>
  <c r="Z109" i="17"/>
  <c r="C112" i="17"/>
  <c r="E117" i="17"/>
  <c r="B109" i="17"/>
  <c r="H109" i="17"/>
  <c r="P109" i="17"/>
  <c r="K112" i="17"/>
  <c r="B115" i="17"/>
  <c r="Z107" i="17"/>
  <c r="X107" i="17"/>
  <c r="F108" i="17"/>
  <c r="Q113" i="17"/>
  <c r="C103" i="17"/>
  <c r="C99" i="17"/>
  <c r="I121" i="17"/>
  <c r="L124" i="17"/>
  <c r="E99" i="17"/>
  <c r="Z100" i="17"/>
  <c r="AA123" i="17"/>
  <c r="G122" i="17"/>
  <c r="G121" i="17"/>
  <c r="Y101" i="17"/>
  <c r="T103" i="17"/>
  <c r="I107" i="17"/>
  <c r="O118" i="17"/>
  <c r="N101" i="17"/>
  <c r="O107" i="17"/>
  <c r="E101" i="17"/>
  <c r="P121" i="17"/>
  <c r="S108" i="17"/>
  <c r="Y108" i="17"/>
  <c r="B99" i="17"/>
  <c r="S105" i="17"/>
  <c r="Q111" i="17"/>
  <c r="G117" i="17"/>
  <c r="X122" i="17"/>
  <c r="AA102" i="17"/>
  <c r="O109" i="17"/>
  <c r="F115" i="17"/>
  <c r="V120" i="17"/>
  <c r="M101" i="17"/>
  <c r="M108" i="17"/>
  <c r="C114" i="17"/>
  <c r="S119" i="17"/>
  <c r="L100" i="17"/>
  <c r="C111" i="17"/>
  <c r="AA119" i="17"/>
  <c r="D105" i="17"/>
  <c r="Q114" i="17"/>
  <c r="O123" i="17"/>
  <c r="Y107" i="17"/>
  <c r="Y116" i="17"/>
  <c r="AA99" i="17"/>
  <c r="T110" i="17"/>
  <c r="T119" i="17"/>
  <c r="J109" i="17"/>
  <c r="L104" i="17"/>
  <c r="B123" i="17"/>
  <c r="P107" i="17"/>
  <c r="N99" i="17"/>
  <c r="J106" i="17"/>
  <c r="M124" i="17"/>
  <c r="H118" i="17"/>
  <c r="Z114" i="17"/>
  <c r="L117" i="17"/>
  <c r="W112" i="17"/>
  <c r="AA113" i="17"/>
  <c r="M117" i="17"/>
  <c r="R113" i="17"/>
  <c r="D117" i="17"/>
  <c r="P112" i="17"/>
  <c r="B116" i="17"/>
  <c r="N119" i="17"/>
  <c r="Z122" i="17"/>
  <c r="M100" i="17"/>
  <c r="Q117" i="17"/>
  <c r="H113" i="17"/>
  <c r="P106" i="17"/>
  <c r="V106" i="17"/>
  <c r="D107" i="17"/>
  <c r="O114" i="17"/>
  <c r="Y112" i="17"/>
  <c r="F106" i="17"/>
  <c r="M106" i="17"/>
  <c r="U106" i="17"/>
  <c r="W114" i="17"/>
  <c r="G112" i="17"/>
  <c r="W105" i="17"/>
  <c r="D106" i="17"/>
  <c r="L106" i="17"/>
  <c r="M115" i="17"/>
  <c r="M110" i="17"/>
  <c r="M104" i="17"/>
  <c r="T104" i="17"/>
  <c r="B105" i="17"/>
  <c r="K116" i="17"/>
  <c r="P119" i="17"/>
  <c r="T118" i="17"/>
  <c r="D103" i="17"/>
  <c r="C118" i="17"/>
  <c r="S104" i="17"/>
  <c r="E118" i="17"/>
  <c r="S117" i="17"/>
  <c r="O124" i="17"/>
  <c r="Y114" i="17"/>
  <c r="M107" i="17"/>
  <c r="B117" i="17"/>
  <c r="J115" i="17"/>
  <c r="N123" i="17"/>
  <c r="K108" i="17"/>
  <c r="W120" i="17"/>
  <c r="U119" i="17"/>
  <c r="X121" i="17"/>
  <c r="Z105" i="17"/>
  <c r="AA112" i="17"/>
  <c r="C110" i="17"/>
  <c r="C101" i="17"/>
  <c r="D108" i="17"/>
  <c r="T113" i="17"/>
  <c r="J119" i="17"/>
  <c r="Z124" i="17"/>
  <c r="V105" i="17"/>
  <c r="R111" i="17"/>
  <c r="H117" i="17"/>
  <c r="Y122" i="17"/>
  <c r="H104" i="17"/>
  <c r="P110" i="17"/>
  <c r="F116" i="17"/>
  <c r="V121" i="17"/>
  <c r="Z104" i="17"/>
  <c r="K114" i="17"/>
  <c r="K123" i="17"/>
  <c r="Z108" i="17"/>
  <c r="X117" i="17"/>
  <c r="U100" i="17"/>
  <c r="I111" i="17"/>
  <c r="J120" i="17"/>
  <c r="P104" i="17"/>
  <c r="D114" i="17"/>
  <c r="F123" i="17"/>
  <c r="E116" i="17"/>
  <c r="V111" i="17"/>
  <c r="Q112" i="17"/>
  <c r="H114" i="17"/>
  <c r="V114" i="17"/>
  <c r="F113" i="17"/>
  <c r="AA106" i="17"/>
  <c r="Y124" i="17"/>
  <c r="Q110" i="17"/>
  <c r="U121" i="17"/>
  <c r="C102" i="17"/>
  <c r="O105" i="17"/>
  <c r="T101" i="17"/>
  <c r="F105" i="17"/>
  <c r="R100" i="17"/>
  <c r="E104" i="17"/>
  <c r="Q107" i="17"/>
  <c r="B111" i="17"/>
  <c r="N114" i="17"/>
  <c r="I105" i="17"/>
  <c r="AA124" i="17"/>
  <c r="H100" i="17"/>
  <c r="AA122" i="17"/>
  <c r="I123" i="17"/>
  <c r="S100" i="17"/>
  <c r="E123" i="17"/>
  <c r="G99" i="17"/>
  <c r="R122" i="17"/>
  <c r="Q122" i="17"/>
  <c r="AA100" i="17"/>
  <c r="M123" i="17"/>
  <c r="W124" i="17"/>
  <c r="Z121" i="17"/>
  <c r="H122" i="17"/>
  <c r="I101" i="17"/>
  <c r="U123" i="17"/>
  <c r="L123" i="17"/>
  <c r="X120" i="17"/>
  <c r="F121" i="17"/>
  <c r="G102" i="17"/>
  <c r="S124" i="17"/>
  <c r="U124" i="17"/>
  <c r="K99" i="17"/>
  <c r="B102" i="17"/>
  <c r="T124" i="17"/>
  <c r="Q121" i="17"/>
  <c r="S123" i="17"/>
  <c r="U99" i="17"/>
  <c r="V123" i="17"/>
  <c r="O121" i="17"/>
  <c r="K124" i="17"/>
  <c r="I104" i="17"/>
  <c r="H102" i="17"/>
  <c r="Y100" i="17"/>
  <c r="S114" i="17"/>
  <c r="Y113" i="17"/>
  <c r="R123" i="17"/>
  <c r="D123" i="17"/>
  <c r="P118" i="17"/>
  <c r="G114" i="17"/>
  <c r="N107" i="17"/>
  <c r="X102" i="17"/>
  <c r="B113" i="17"/>
  <c r="M121" i="17"/>
  <c r="T106" i="17"/>
  <c r="X115" i="17"/>
  <c r="I124" i="17"/>
  <c r="W109" i="17"/>
  <c r="I118" i="17"/>
  <c r="K106" i="17"/>
  <c r="E121" i="17"/>
  <c r="G111" i="17"/>
  <c r="J99" i="17"/>
  <c r="T114" i="17"/>
  <c r="B106" i="17"/>
  <c r="Y120" i="17"/>
  <c r="P120" i="17"/>
  <c r="B108" i="17"/>
  <c r="C121" i="17"/>
  <c r="L115" i="17"/>
  <c r="M120" i="17"/>
  <c r="H108" i="17"/>
  <c r="X104" i="17"/>
  <c r="C123" i="17"/>
  <c r="K102" i="17"/>
  <c r="U109" i="17"/>
  <c r="AA101" i="17"/>
  <c r="J117" i="17"/>
  <c r="S112" i="17"/>
  <c r="J121" i="17"/>
  <c r="R103" i="17"/>
  <c r="G106" i="17"/>
  <c r="V103" i="17"/>
  <c r="V112" i="17"/>
  <c r="U103" i="17"/>
  <c r="R107" i="17"/>
  <c r="Q115" i="17"/>
  <c r="T99" i="17"/>
  <c r="Z119" i="17"/>
  <c r="T117" i="17"/>
  <c r="W101" i="17"/>
  <c r="R120" i="17"/>
  <c r="T105" i="17"/>
  <c r="E105" i="17"/>
  <c r="L102" i="17"/>
  <c r="AA110" i="17"/>
  <c r="I108" i="17"/>
  <c r="W118" i="17"/>
  <c r="Q99" i="17"/>
  <c r="F114" i="17"/>
  <c r="W107" i="17"/>
  <c r="W122" i="17"/>
  <c r="E103" i="17"/>
  <c r="G109" i="17"/>
  <c r="S106" i="17"/>
  <c r="D115" i="17"/>
  <c r="H124" i="17"/>
  <c r="E108" i="17"/>
  <c r="AA117" i="17"/>
  <c r="M102" i="17"/>
  <c r="Z111" i="17"/>
  <c r="D121" i="17"/>
  <c r="U108" i="17"/>
  <c r="P124" i="17"/>
  <c r="R115" i="17"/>
  <c r="S103" i="17"/>
  <c r="F119" i="17"/>
  <c r="N108" i="17"/>
  <c r="G124" i="17"/>
  <c r="G107" i="17"/>
  <c r="R121" i="17"/>
  <c r="K110" i="17"/>
  <c r="X119" i="17"/>
  <c r="S99" i="17"/>
  <c r="R102" i="17"/>
  <c r="L122" i="17"/>
  <c r="O104" i="17"/>
  <c r="T122" i="17"/>
  <c r="J101" i="17"/>
  <c r="R116" i="17"/>
  <c r="X108" i="17"/>
  <c r="O122" i="17"/>
  <c r="X112" i="17"/>
  <c r="V119" i="17"/>
  <c r="I117" i="17"/>
  <c r="L116" i="17"/>
  <c r="E100" i="17"/>
  <c r="I109" i="17"/>
  <c r="Q120" i="17"/>
  <c r="Z102" i="17"/>
  <c r="W106" i="17"/>
  <c r="S101" i="17"/>
  <c r="K111" i="17"/>
  <c r="AA104" i="17"/>
  <c r="W111" i="17"/>
  <c r="Y109" i="17"/>
  <c r="C105" i="17"/>
  <c r="D110" i="17"/>
  <c r="Q105" i="17"/>
  <c r="P108" i="17"/>
  <c r="L109" i="17"/>
  <c r="H115" i="17"/>
  <c r="E114" i="17"/>
  <c r="W104" i="17"/>
  <c r="Q101" i="17"/>
  <c r="M111" i="17"/>
  <c r="Y106" i="17"/>
  <c r="K107" i="17"/>
  <c r="W115" i="17"/>
  <c r="I99" i="17"/>
  <c r="H110" i="17"/>
  <c r="S118" i="17"/>
  <c r="J103" i="17"/>
  <c r="R112" i="17"/>
  <c r="N122" i="17"/>
  <c r="E112" i="17"/>
  <c r="T100" i="17"/>
  <c r="W116" i="17"/>
  <c r="J105" i="17"/>
  <c r="L121" i="17"/>
  <c r="Y111" i="17"/>
  <c r="G101" i="17"/>
  <c r="M109" i="17"/>
  <c r="U101" i="17"/>
  <c r="I119" i="17"/>
  <c r="X100" i="17"/>
  <c r="N110" i="17"/>
  <c r="T112" i="17"/>
  <c r="Q119" i="17"/>
  <c r="X124" i="17"/>
  <c r="I106" i="17"/>
  <c r="N124" i="17"/>
  <c r="W113" i="17"/>
  <c r="C106" i="17"/>
  <c r="P105" i="17"/>
  <c r="K103" i="17"/>
  <c r="Q116" i="17"/>
  <c r="K120" i="17"/>
  <c r="O112" i="17"/>
  <c r="L119" i="17"/>
  <c r="Y117" i="17"/>
  <c r="S115" i="17"/>
  <c r="L99" i="17"/>
  <c r="Q109" i="17"/>
  <c r="N118" i="17"/>
  <c r="O101" i="17"/>
  <c r="C108" i="17"/>
  <c r="N105" i="17"/>
  <c r="U115" i="17"/>
  <c r="K118" i="17"/>
  <c r="U110" i="17"/>
  <c r="E111" i="17"/>
  <c r="X101" i="17"/>
  <c r="V117" i="17"/>
  <c r="P115" i="17"/>
  <c r="M119" i="17"/>
  <c r="P100" i="17"/>
  <c r="C124" i="17"/>
  <c r="D116" i="17"/>
  <c r="R108" i="17"/>
  <c r="V108" i="17"/>
  <c r="Z117" i="17"/>
  <c r="F100" i="17"/>
  <c r="Z110" i="17"/>
  <c r="K119" i="17"/>
  <c r="H105" i="17"/>
  <c r="U114" i="17"/>
  <c r="G123" i="17"/>
  <c r="J113" i="17"/>
  <c r="E102" i="17"/>
  <c r="B119" i="17"/>
  <c r="D109" i="17"/>
  <c r="P122" i="17"/>
  <c r="Z112" i="17"/>
  <c r="G104" i="17"/>
  <c r="B114" i="17"/>
  <c r="V109" i="17"/>
  <c r="X123" i="17"/>
  <c r="B104" i="17"/>
  <c r="O119" i="17"/>
  <c r="AA105" i="17"/>
  <c r="F111" i="17"/>
  <c r="C122" i="17"/>
  <c r="N103" i="17"/>
  <c r="S121" i="17"/>
  <c r="G108" i="17"/>
  <c r="K100" i="17"/>
  <c r="B101" i="17"/>
  <c r="G100" i="17"/>
  <c r="M113" i="17"/>
  <c r="G105" i="17"/>
  <c r="B103" i="17"/>
  <c r="H116" i="17"/>
  <c r="S120" i="17"/>
  <c r="F112" i="17"/>
  <c r="C119" i="17"/>
  <c r="G118" i="17"/>
  <c r="I114" i="17"/>
  <c r="J124" i="17"/>
  <c r="W110" i="17"/>
  <c r="L118" i="17"/>
  <c r="I120" i="17"/>
  <c r="B112" i="17"/>
  <c r="D104" i="17"/>
  <c r="S116" i="17"/>
  <c r="G115" i="17"/>
  <c r="AA103" i="17"/>
  <c r="P102" i="17"/>
  <c r="R106" i="17"/>
  <c r="W100" i="17"/>
  <c r="P113" i="17"/>
  <c r="J114" i="17"/>
  <c r="D99" i="17"/>
  <c r="N109" i="17"/>
  <c r="R118" i="17"/>
  <c r="D101" i="17"/>
  <c r="J112" i="17"/>
  <c r="N121" i="17"/>
  <c r="E106" i="17"/>
  <c r="N115" i="17"/>
  <c r="Y123" i="17"/>
  <c r="O115" i="17"/>
  <c r="N106" i="17"/>
  <c r="G120" i="17"/>
  <c r="E110" i="17"/>
  <c r="T123" i="17"/>
  <c r="I115" i="17"/>
  <c r="P111" i="17"/>
  <c r="G116" i="17"/>
  <c r="AA111" i="17"/>
  <c r="J100" i="17"/>
  <c r="F109" i="17"/>
  <c r="Z123" i="17"/>
  <c r="C115" i="17"/>
  <c r="J108" i="17"/>
  <c r="H119" i="17"/>
  <c r="W123" i="17"/>
  <c r="G113" i="17"/>
  <c r="L105" i="17"/>
  <c r="W102" i="17"/>
  <c r="U122" i="17"/>
  <c r="W119" i="17"/>
  <c r="Z103" i="17"/>
  <c r="I100" i="17"/>
  <c r="X99" i="17"/>
  <c r="D113" i="17"/>
  <c r="F104" i="17"/>
  <c r="S102" i="17"/>
  <c r="Y115" i="17"/>
  <c r="AA120" i="17"/>
  <c r="D111" i="17"/>
  <c r="B118" i="17"/>
  <c r="E119" i="17"/>
  <c r="D112" i="17"/>
  <c r="O111" i="17"/>
  <c r="K105" i="17"/>
  <c r="K117" i="17"/>
  <c r="T115" i="17"/>
  <c r="O108" i="17"/>
  <c r="Z116" i="17"/>
  <c r="E107" i="17"/>
  <c r="K122" i="17"/>
  <c r="Q100" i="17"/>
  <c r="N113" i="17"/>
  <c r="F107" i="17"/>
  <c r="B100" i="17"/>
  <c r="F110" i="17"/>
  <c r="B120" i="17"/>
  <c r="Y103" i="17"/>
  <c r="C113" i="17"/>
  <c r="F122" i="17"/>
  <c r="B107" i="17"/>
  <c r="X116" i="17"/>
  <c r="V101" i="17"/>
  <c r="T116" i="17"/>
  <c r="V107" i="17"/>
  <c r="H121" i="17"/>
  <c r="N112" i="17"/>
  <c r="P101" i="17"/>
  <c r="J116" i="17"/>
  <c r="X113" i="17"/>
  <c r="M118" i="17"/>
  <c r="N116" i="17"/>
  <c r="Q108" i="17"/>
  <c r="L111" i="17"/>
  <c r="W99" i="17"/>
  <c r="D124" i="17"/>
  <c r="T102" i="17"/>
  <c r="V110" i="17"/>
  <c r="B121" i="17"/>
  <c r="L110" i="17"/>
  <c r="Q102" i="17"/>
  <c r="U107" i="17"/>
  <c r="C109" i="17"/>
  <c r="I116" i="17"/>
  <c r="V100" i="17"/>
  <c r="T121" i="17"/>
  <c r="D119" i="17"/>
  <c r="Q103" i="17"/>
  <c r="Z99" i="17"/>
  <c r="O99" i="17"/>
  <c r="U112" i="17"/>
  <c r="U102" i="17"/>
  <c r="H101" i="17"/>
  <c r="X114" i="17"/>
  <c r="Y121" i="17"/>
  <c r="U105" i="17"/>
  <c r="G119" i="17"/>
  <c r="O110" i="17"/>
  <c r="S110" i="17"/>
  <c r="Q106" i="17"/>
  <c r="F102" i="17"/>
  <c r="Y105" i="17"/>
  <c r="X105" i="17"/>
  <c r="H107" i="17"/>
  <c r="J123" i="17"/>
  <c r="V113" i="17"/>
  <c r="N120" i="17"/>
  <c r="I112" i="17"/>
  <c r="Q123" i="17"/>
  <c r="U117" i="17"/>
  <c r="F103" i="17"/>
  <c r="V118" i="17"/>
  <c r="W121" i="17"/>
  <c r="V104" i="17"/>
  <c r="E113" i="17"/>
  <c r="D100" i="17"/>
  <c r="F124" i="17"/>
  <c r="L112" i="17"/>
  <c r="AA114" i="17"/>
  <c r="O120" i="17"/>
  <c r="L114" i="17"/>
  <c r="R99" i="17"/>
  <c r="J122" i="17"/>
  <c r="J107" i="17"/>
  <c r="M105" i="17"/>
  <c r="H99" i="17"/>
  <c r="F99" i="17"/>
  <c r="N100" i="17"/>
  <c r="O106" i="17"/>
  <c r="H106" i="17"/>
  <c r="K104" i="17"/>
  <c r="R101" i="17"/>
  <c r="O102" i="17"/>
  <c r="U120" i="17"/>
  <c r="E109" i="17"/>
  <c r="B110" i="17"/>
  <c r="O117" i="17"/>
  <c r="X110" i="17"/>
  <c r="Y99" i="17"/>
  <c r="E120" i="17"/>
  <c r="M103" i="17"/>
  <c r="K121" i="17"/>
  <c r="B124" i="17"/>
  <c r="N111" i="17"/>
  <c r="I113" i="17"/>
  <c r="C100" i="17"/>
  <c r="P123" i="17"/>
  <c r="H111" i="17"/>
  <c r="H112" i="17"/>
  <c r="AA121" i="17"/>
  <c r="R117" i="17"/>
  <c r="R114" i="17"/>
  <c r="S111" i="17"/>
  <c r="AA108" i="17"/>
  <c r="L103" i="17"/>
  <c r="P114" i="17"/>
  <c r="T111" i="17"/>
  <c r="K101" i="17"/>
  <c r="E124" i="17"/>
  <c r="Y104" i="17"/>
  <c r="P117" i="17"/>
  <c r="R124" i="17"/>
  <c r="J118" i="17"/>
  <c r="S113" i="17"/>
  <c r="AA107" i="17"/>
  <c r="G110" i="17"/>
  <c r="T108" i="17"/>
  <c r="U118" i="17"/>
  <c r="J111" i="17"/>
  <c r="C116" i="17"/>
  <c r="AA116" i="17"/>
  <c r="F120" i="17"/>
  <c r="L107" i="17"/>
  <c r="L120" i="17"/>
  <c r="I102" i="17"/>
  <c r="V122" i="17"/>
  <c r="S122" i="17"/>
  <c r="P99" i="17"/>
  <c r="C120" i="17"/>
  <c r="Z120" i="17"/>
  <c r="M112" i="17"/>
  <c r="M99" i="17"/>
  <c r="Y118" i="17"/>
  <c r="J102" i="17"/>
  <c r="J110" i="17"/>
  <c r="Z101" i="17"/>
  <c r="U113" i="17"/>
  <c r="O103" i="17"/>
  <c r="O113" i="17"/>
  <c r="N102" i="17"/>
  <c r="R119" i="17"/>
  <c r="F118" i="17"/>
  <c r="N104" i="17"/>
  <c r="Z115" i="17"/>
  <c r="Y102" i="17"/>
  <c r="W103" i="17"/>
  <c r="J104" i="17"/>
  <c r="Z113" i="17"/>
  <c r="R110" i="17"/>
  <c r="X103" i="17"/>
  <c r="P116" i="17"/>
  <c r="S107" i="17"/>
  <c r="D118" i="17"/>
  <c r="C117" i="17"/>
  <c r="F117" i="17"/>
  <c r="Z106" i="17"/>
  <c r="U116" i="17"/>
  <c r="I103" i="17"/>
  <c r="C104" i="17"/>
  <c r="X111" i="17"/>
  <c r="R104" i="17"/>
  <c r="F101" i="17"/>
  <c r="B122" i="17"/>
  <c r="B102" i="19"/>
  <c r="AA105" i="19"/>
  <c r="Y109" i="19"/>
  <c r="X113" i="19"/>
  <c r="U117" i="19"/>
  <c r="T121" i="19"/>
  <c r="F102" i="19"/>
  <c r="R106" i="19"/>
  <c r="E111" i="19"/>
  <c r="Q115" i="19"/>
  <c r="E120" i="19"/>
  <c r="E124" i="19"/>
  <c r="G102" i="19"/>
  <c r="S106" i="19"/>
  <c r="G111" i="19"/>
  <c r="T115" i="19"/>
  <c r="F120" i="19"/>
  <c r="F124" i="19"/>
  <c r="I102" i="19"/>
  <c r="V106" i="19"/>
  <c r="H111" i="19"/>
  <c r="U115" i="19"/>
  <c r="J120" i="19"/>
  <c r="G124" i="19"/>
  <c r="N102" i="19"/>
  <c r="AA106" i="19"/>
  <c r="O111" i="19"/>
  <c r="B116" i="19"/>
  <c r="N120" i="19"/>
  <c r="K124" i="19"/>
  <c r="Y106" i="19"/>
  <c r="Y115" i="19"/>
  <c r="J124" i="19"/>
  <c r="D107" i="19"/>
  <c r="C116" i="19"/>
  <c r="M124" i="19"/>
  <c r="E107" i="19"/>
  <c r="E116" i="19"/>
  <c r="N124" i="19"/>
  <c r="Q107" i="19"/>
  <c r="R116" i="19"/>
  <c r="W124" i="19"/>
  <c r="P115" i="19"/>
  <c r="W106" i="19"/>
  <c r="H124" i="19"/>
  <c r="M116" i="19"/>
  <c r="I106" i="19"/>
  <c r="X123" i="19"/>
  <c r="T105" i="19"/>
  <c r="U124" i="19"/>
  <c r="AA120" i="19"/>
  <c r="H105" i="19"/>
  <c r="B108" i="19"/>
  <c r="D124" i="19"/>
  <c r="L104" i="19"/>
  <c r="U110" i="19"/>
  <c r="T114" i="19"/>
  <c r="J121" i="19"/>
  <c r="R101" i="19"/>
  <c r="AA107" i="19"/>
  <c r="Z111" i="19"/>
  <c r="Z117" i="19"/>
  <c r="I124" i="19"/>
  <c r="Q104" i="19"/>
  <c r="P108" i="19"/>
  <c r="N107" i="19"/>
  <c r="W101" i="19"/>
  <c r="P118" i="19"/>
  <c r="O113" i="19"/>
  <c r="N105" i="19"/>
  <c r="Q124" i="19"/>
  <c r="P116" i="19"/>
  <c r="T112" i="19"/>
  <c r="K107" i="19"/>
  <c r="P99" i="19"/>
  <c r="B104" i="19"/>
  <c r="M108" i="19"/>
  <c r="W112" i="19"/>
  <c r="I117" i="19"/>
  <c r="G122" i="19"/>
  <c r="H103" i="19"/>
  <c r="J108" i="19"/>
  <c r="L113" i="19"/>
  <c r="N118" i="19"/>
  <c r="I123" i="19"/>
  <c r="S101" i="19"/>
  <c r="H107" i="19"/>
  <c r="J112" i="19"/>
  <c r="L117" i="19"/>
  <c r="N122" i="19"/>
  <c r="R100" i="19"/>
  <c r="S105" i="19"/>
  <c r="S110" i="19"/>
  <c r="K116" i="19"/>
  <c r="L121" i="19"/>
  <c r="T99" i="19"/>
  <c r="U104" i="19"/>
  <c r="U109" i="19"/>
  <c r="Y114" i="19"/>
  <c r="Y119" i="19"/>
  <c r="V124" i="19"/>
  <c r="E109" i="19"/>
  <c r="I119" i="19"/>
  <c r="Q102" i="19"/>
  <c r="S112" i="19"/>
  <c r="V122" i="19"/>
  <c r="B106" i="19"/>
  <c r="H117" i="19"/>
  <c r="W100" i="19"/>
  <c r="AA110" i="19"/>
  <c r="D121" i="19"/>
  <c r="V108" i="19"/>
  <c r="J102" i="19"/>
  <c r="Q122" i="19"/>
  <c r="R118" i="19"/>
  <c r="V110" i="19"/>
  <c r="AA109" i="19"/>
  <c r="M123" i="19"/>
  <c r="X119" i="19"/>
  <c r="C122" i="19"/>
  <c r="E121" i="19"/>
  <c r="R121" i="19"/>
  <c r="N99" i="19"/>
  <c r="K103" i="19"/>
  <c r="X104" i="19"/>
  <c r="B109" i="19"/>
  <c r="Y112" i="19"/>
  <c r="L114" i="19"/>
  <c r="N115" i="19"/>
  <c r="K119" i="19"/>
  <c r="X120" i="19"/>
  <c r="F123" i="19"/>
  <c r="W113" i="19"/>
  <c r="V101" i="19"/>
  <c r="G117" i="19"/>
  <c r="N101" i="19"/>
  <c r="Q116" i="19"/>
  <c r="F105" i="19"/>
  <c r="K123" i="19"/>
  <c r="J111" i="19"/>
  <c r="I112" i="19"/>
  <c r="S119" i="19"/>
  <c r="L108" i="19"/>
  <c r="B121" i="19"/>
  <c r="Z107" i="19"/>
  <c r="Z105" i="19"/>
  <c r="T106" i="19"/>
  <c r="V115" i="19"/>
  <c r="D112" i="19"/>
  <c r="O100" i="19"/>
  <c r="AA104" i="19"/>
  <c r="L109" i="19"/>
  <c r="J114" i="19"/>
  <c r="V118" i="19"/>
  <c r="I99" i="19"/>
  <c r="K104" i="19"/>
  <c r="M109" i="19"/>
  <c r="O114" i="19"/>
  <c r="P119" i="19"/>
  <c r="O124" i="19"/>
  <c r="I103" i="19"/>
  <c r="K108" i="19"/>
  <c r="M113" i="19"/>
  <c r="O118" i="19"/>
  <c r="J123" i="19"/>
  <c r="T101" i="19"/>
  <c r="I107" i="19"/>
  <c r="M112" i="19"/>
  <c r="M117" i="19"/>
  <c r="O122" i="19"/>
  <c r="V100" i="19"/>
  <c r="X105" i="19"/>
  <c r="Z110" i="19"/>
  <c r="O116" i="19"/>
  <c r="Q121" i="19"/>
  <c r="I101" i="19"/>
  <c r="M111" i="19"/>
  <c r="P121" i="19"/>
  <c r="V104" i="19"/>
  <c r="Z114" i="19"/>
  <c r="H99" i="19"/>
  <c r="K109" i="19"/>
  <c r="O119" i="19"/>
  <c r="E103" i="19"/>
  <c r="H113" i="19"/>
  <c r="G123" i="19"/>
  <c r="I113" i="19"/>
  <c r="D109" i="19"/>
  <c r="Y102" i="19"/>
  <c r="B123" i="19"/>
  <c r="H115" i="19"/>
  <c r="Z118" i="19"/>
  <c r="B112" i="19"/>
  <c r="O107" i="19"/>
  <c r="T109" i="19"/>
  <c r="AA116" i="19"/>
  <c r="T116" i="19"/>
  <c r="Q120" i="19"/>
  <c r="D122" i="19"/>
  <c r="Z99" i="19"/>
  <c r="D104" i="19"/>
  <c r="O105" i="19"/>
  <c r="B107" i="19"/>
  <c r="P110" i="19"/>
  <c r="M114" i="19"/>
  <c r="Z115" i="19"/>
  <c r="F115" i="19"/>
  <c r="E106" i="19"/>
  <c r="X114" i="19"/>
  <c r="G105" i="19"/>
  <c r="H118" i="19"/>
  <c r="Y108" i="19"/>
  <c r="T124" i="19"/>
  <c r="C115" i="19"/>
  <c r="J103" i="19"/>
  <c r="H120" i="19"/>
  <c r="AA103" i="19"/>
  <c r="U118" i="19"/>
  <c r="J105" i="19"/>
  <c r="N123" i="19"/>
  <c r="I100" i="19"/>
  <c r="M122" i="19"/>
  <c r="T102" i="19"/>
  <c r="AA123" i="19"/>
  <c r="C101" i="19"/>
  <c r="M105" i="19"/>
  <c r="K110" i="19"/>
  <c r="W114" i="19"/>
  <c r="H119" i="19"/>
  <c r="X99" i="19"/>
  <c r="Z104" i="19"/>
  <c r="B110" i="19"/>
  <c r="D115" i="19"/>
  <c r="S120" i="19"/>
  <c r="Z124" i="19"/>
  <c r="X103" i="19"/>
  <c r="AA108" i="19"/>
  <c r="B114" i="19"/>
  <c r="D119" i="19"/>
  <c r="U123" i="19"/>
  <c r="W102" i="19"/>
  <c r="X107" i="19"/>
  <c r="AA112" i="19"/>
  <c r="B118" i="19"/>
  <c r="AA122" i="19"/>
  <c r="K101" i="19"/>
  <c r="K106" i="19"/>
  <c r="C112" i="19"/>
  <c r="D117" i="19"/>
  <c r="F122" i="19"/>
  <c r="K102" i="19"/>
  <c r="O112" i="19"/>
  <c r="R122" i="19"/>
  <c r="Y105" i="19"/>
  <c r="E117" i="19"/>
  <c r="K100" i="19"/>
  <c r="O110" i="19"/>
  <c r="R120" i="19"/>
  <c r="G104" i="19"/>
  <c r="K114" i="19"/>
  <c r="B124" i="19"/>
  <c r="X117" i="19"/>
  <c r="I111" i="19"/>
  <c r="E105" i="19"/>
  <c r="S124" i="19"/>
  <c r="P117" i="19"/>
  <c r="H123" i="19"/>
  <c r="N116" i="19"/>
  <c r="Q99" i="19"/>
  <c r="G114" i="19"/>
  <c r="G103" i="19"/>
  <c r="H114" i="19"/>
  <c r="E118" i="19"/>
  <c r="R119" i="19"/>
  <c r="V123" i="19"/>
  <c r="F99" i="19"/>
  <c r="C103" i="19"/>
  <c r="P104" i="19"/>
  <c r="D108" i="19"/>
  <c r="AA111" i="19"/>
  <c r="N113" i="19"/>
  <c r="F111" i="19"/>
  <c r="N121" i="19"/>
  <c r="X110" i="19"/>
  <c r="O101" i="19"/>
  <c r="P114" i="19"/>
  <c r="Y104" i="19"/>
  <c r="T120" i="19"/>
  <c r="K111" i="19"/>
  <c r="J99" i="19"/>
  <c r="P112" i="19"/>
  <c r="Z119" i="19"/>
  <c r="C111" i="19"/>
  <c r="S123" i="19"/>
  <c r="V107" i="19"/>
  <c r="H108" i="19"/>
  <c r="U106" i="19"/>
  <c r="R113" i="19"/>
  <c r="E122" i="19"/>
  <c r="B99" i="19"/>
  <c r="AA102" i="19"/>
  <c r="M107" i="19"/>
  <c r="X111" i="19"/>
  <c r="J116" i="19"/>
  <c r="U120" i="19"/>
  <c r="Q101" i="19"/>
  <c r="G107" i="19"/>
  <c r="G112" i="19"/>
  <c r="K117" i="19"/>
  <c r="K122" i="19"/>
  <c r="N100" i="19"/>
  <c r="Q105" i="19"/>
  <c r="R110" i="19"/>
  <c r="G116" i="19"/>
  <c r="K121" i="19"/>
  <c r="M99" i="19"/>
  <c r="O104" i="19"/>
  <c r="Q109" i="19"/>
  <c r="R114" i="19"/>
  <c r="T119" i="19"/>
  <c r="R124" i="19"/>
  <c r="Q103" i="19"/>
  <c r="S108" i="19"/>
  <c r="T113" i="19"/>
  <c r="W118" i="19"/>
  <c r="P123" i="19"/>
  <c r="U105" i="19"/>
  <c r="C117" i="19"/>
  <c r="J100" i="19"/>
  <c r="N110" i="19"/>
  <c r="O120" i="19"/>
  <c r="U103" i="19"/>
  <c r="Y113" i="19"/>
  <c r="R123" i="19"/>
  <c r="U108" i="19"/>
  <c r="Y118" i="19"/>
  <c r="J104" i="19"/>
  <c r="C124" i="19"/>
  <c r="C118" i="19"/>
  <c r="Y111" i="19"/>
  <c r="C104" i="19"/>
  <c r="Z100" i="19"/>
  <c r="S114" i="19"/>
  <c r="W110" i="19"/>
  <c r="D113" i="19"/>
  <c r="T107" i="19"/>
  <c r="S116" i="19"/>
  <c r="X106" i="19"/>
  <c r="I108" i="19"/>
  <c r="V109" i="19"/>
  <c r="Z113" i="19"/>
  <c r="W117" i="19"/>
  <c r="J119" i="19"/>
  <c r="X122" i="19"/>
  <c r="T100" i="19"/>
  <c r="E102" i="19"/>
  <c r="R103" i="19"/>
  <c r="O121" i="19"/>
  <c r="D110" i="19"/>
  <c r="Y124" i="19"/>
  <c r="F113" i="19"/>
  <c r="P102" i="19"/>
  <c r="X112" i="19"/>
  <c r="B105" i="19"/>
  <c r="B119" i="19"/>
  <c r="H102" i="19"/>
  <c r="R109" i="19"/>
  <c r="L124" i="19"/>
  <c r="T110" i="19"/>
  <c r="AA99" i="19"/>
  <c r="L110" i="19"/>
  <c r="U114" i="19"/>
  <c r="E114" i="19"/>
  <c r="V103" i="19"/>
  <c r="H116" i="19"/>
  <c r="O102" i="19"/>
  <c r="L111" i="19"/>
  <c r="G120" i="19"/>
  <c r="C106" i="19"/>
  <c r="U116" i="19"/>
  <c r="Y99" i="19"/>
  <c r="C110" i="19"/>
  <c r="V120" i="19"/>
  <c r="Y103" i="19"/>
  <c r="C114" i="19"/>
  <c r="W123" i="19"/>
  <c r="E108" i="19"/>
  <c r="G118" i="19"/>
  <c r="S104" i="19"/>
  <c r="G99" i="19"/>
  <c r="M119" i="19"/>
  <c r="U112" i="19"/>
  <c r="O106" i="19"/>
  <c r="C102" i="19"/>
  <c r="X115" i="19"/>
  <c r="U101" i="19"/>
  <c r="G110" i="19"/>
  <c r="R108" i="19"/>
  <c r="N112" i="19"/>
  <c r="G113" i="19"/>
  <c r="L116" i="19"/>
  <c r="V121" i="19"/>
  <c r="F103" i="19"/>
  <c r="D106" i="19"/>
  <c r="V113" i="19"/>
  <c r="N117" i="19"/>
  <c r="P120" i="19"/>
  <c r="K99" i="19"/>
  <c r="J117" i="19"/>
  <c r="T118" i="19"/>
  <c r="M102" i="19"/>
  <c r="V119" i="19"/>
  <c r="D118" i="19"/>
  <c r="O103" i="19"/>
  <c r="K112" i="19"/>
  <c r="H121" i="19"/>
  <c r="U107" i="19"/>
  <c r="Y117" i="19"/>
  <c r="D101" i="19"/>
  <c r="U111" i="19"/>
  <c r="Y121" i="19"/>
  <c r="D105" i="19"/>
  <c r="G115" i="19"/>
  <c r="E99" i="19"/>
  <c r="H109" i="19"/>
  <c r="L119" i="19"/>
  <c r="C108" i="19"/>
  <c r="L101" i="19"/>
  <c r="S121" i="19"/>
  <c r="AA114" i="19"/>
  <c r="X109" i="19"/>
  <c r="Q106" i="19"/>
  <c r="K120" i="19"/>
  <c r="O108" i="19"/>
  <c r="G119" i="19"/>
  <c r="Q117" i="19"/>
  <c r="M103" i="19"/>
  <c r="W105" i="19"/>
  <c r="N111" i="19"/>
  <c r="X116" i="19"/>
  <c r="W121" i="19"/>
  <c r="F101" i="19"/>
  <c r="V105" i="19"/>
  <c r="F109" i="19"/>
  <c r="X108" i="19"/>
  <c r="J115" i="19"/>
  <c r="J101" i="19"/>
  <c r="B103" i="19"/>
  <c r="Z121" i="19"/>
  <c r="L106" i="19"/>
  <c r="D114" i="19"/>
  <c r="N104" i="19"/>
  <c r="K113" i="19"/>
  <c r="S122" i="19"/>
  <c r="W108" i="19"/>
  <c r="AA118" i="19"/>
  <c r="V102" i="19"/>
  <c r="Z112" i="19"/>
  <c r="Z122" i="19"/>
  <c r="G106" i="19"/>
  <c r="Z116" i="19"/>
  <c r="G100" i="19"/>
  <c r="J110" i="19"/>
  <c r="C121" i="19"/>
  <c r="I110" i="19"/>
  <c r="T103" i="19"/>
  <c r="Q123" i="19"/>
  <c r="K118" i="19"/>
  <c r="E112" i="19"/>
  <c r="D111" i="19"/>
  <c r="S100" i="19"/>
  <c r="C113" i="19"/>
  <c r="Z102" i="19"/>
  <c r="U100" i="19"/>
  <c r="F119" i="19"/>
  <c r="Y100" i="19"/>
  <c r="P106" i="19"/>
  <c r="N109" i="19"/>
  <c r="Y116" i="19"/>
  <c r="N119" i="19"/>
  <c r="P122" i="19"/>
  <c r="H122" i="19"/>
  <c r="X100" i="19"/>
  <c r="R107" i="19"/>
  <c r="S111" i="19"/>
  <c r="J113" i="19"/>
  <c r="I116" i="19"/>
  <c r="E110" i="19"/>
  <c r="N106" i="19"/>
  <c r="I115" i="19"/>
  <c r="M100" i="19"/>
  <c r="Q110" i="19"/>
  <c r="I121" i="19"/>
  <c r="M104" i="19"/>
  <c r="Q114" i="19"/>
  <c r="P124" i="19"/>
  <c r="N108" i="19"/>
  <c r="Q118" i="19"/>
  <c r="Y101" i="19"/>
  <c r="R112" i="19"/>
  <c r="T122" i="19"/>
  <c r="S113" i="19"/>
  <c r="F108" i="19"/>
  <c r="M101" i="19"/>
  <c r="U121" i="19"/>
  <c r="O115" i="19"/>
  <c r="C120" i="19"/>
  <c r="L107" i="19"/>
  <c r="W119" i="19"/>
  <c r="X101" i="19"/>
  <c r="S118" i="19"/>
  <c r="V111" i="19"/>
  <c r="F117" i="19"/>
  <c r="U122" i="19"/>
  <c r="D102" i="19"/>
  <c r="O109" i="19"/>
  <c r="N103" i="19"/>
  <c r="F107" i="19"/>
  <c r="H110" i="19"/>
  <c r="B117" i="19"/>
  <c r="R117" i="19"/>
  <c r="R111" i="19"/>
  <c r="AA115" i="19"/>
  <c r="D120" i="19"/>
  <c r="Q108" i="19"/>
  <c r="Z106" i="19"/>
  <c r="W115" i="19"/>
  <c r="AA100" i="19"/>
  <c r="T111" i="19"/>
  <c r="X121" i="19"/>
  <c r="C105" i="19"/>
  <c r="E115" i="19"/>
  <c r="AA124" i="19"/>
  <c r="C109" i="19"/>
  <c r="E119" i="19"/>
  <c r="D103" i="19"/>
  <c r="E113" i="19"/>
  <c r="E123" i="19"/>
  <c r="V114" i="19"/>
  <c r="I109" i="19"/>
  <c r="R102" i="19"/>
  <c r="W122" i="19"/>
  <c r="T117" i="19"/>
  <c r="J122" i="19"/>
  <c r="S109" i="19"/>
  <c r="B122" i="19"/>
  <c r="J106" i="19"/>
  <c r="D123" i="19"/>
  <c r="J109" i="19"/>
  <c r="H112" i="19"/>
  <c r="I120" i="19"/>
  <c r="R99" i="19"/>
  <c r="C107" i="19"/>
  <c r="V99" i="19"/>
  <c r="X102" i="19"/>
  <c r="H106" i="19"/>
  <c r="T108" i="19"/>
  <c r="Z109" i="19"/>
  <c r="Z103" i="19"/>
  <c r="S107" i="19"/>
  <c r="T104" i="19"/>
  <c r="P100" i="19"/>
  <c r="D99" i="19"/>
  <c r="Y107" i="19"/>
  <c r="V116" i="19"/>
  <c r="S102" i="19"/>
  <c r="V112" i="19"/>
  <c r="Y122" i="19"/>
  <c r="F106" i="19"/>
  <c r="W116" i="19"/>
  <c r="B100" i="19"/>
  <c r="F110" i="19"/>
  <c r="W120" i="19"/>
  <c r="F104" i="19"/>
  <c r="I114" i="19"/>
  <c r="Z123" i="19"/>
  <c r="F118" i="19"/>
  <c r="P111" i="19"/>
  <c r="W104" i="19"/>
  <c r="U99" i="19"/>
  <c r="B120" i="19"/>
  <c r="E100" i="19"/>
  <c r="F114" i="19"/>
  <c r="L105" i="19"/>
  <c r="L115" i="19"/>
  <c r="X124" i="19"/>
  <c r="Z101" i="19"/>
  <c r="J107" i="19"/>
  <c r="K115" i="19"/>
  <c r="L120" i="19"/>
  <c r="S99" i="19"/>
  <c r="O117" i="19"/>
  <c r="G121" i="19"/>
  <c r="Y120" i="19"/>
  <c r="B101" i="19"/>
  <c r="AA119" i="19"/>
  <c r="D116" i="19"/>
  <c r="R115" i="19"/>
  <c r="C99" i="19"/>
  <c r="L122" i="19"/>
  <c r="C100" i="19"/>
  <c r="Z108" i="19"/>
  <c r="I118" i="19"/>
  <c r="W103" i="19"/>
  <c r="AA113" i="19"/>
  <c r="T123" i="19"/>
  <c r="W107" i="19"/>
  <c r="AA117" i="19"/>
  <c r="E101" i="19"/>
  <c r="W111" i="19"/>
  <c r="AA121" i="19"/>
  <c r="I105" i="19"/>
  <c r="M115" i="19"/>
  <c r="F100" i="19"/>
  <c r="M120" i="19"/>
  <c r="U113" i="19"/>
  <c r="G108" i="19"/>
  <c r="AA101" i="19"/>
  <c r="I122" i="19"/>
  <c r="R104" i="19"/>
  <c r="Z120" i="19"/>
  <c r="N114" i="19"/>
  <c r="Y123" i="19"/>
  <c r="F112" i="19"/>
  <c r="C123" i="19"/>
  <c r="L102" i="19"/>
  <c r="M110" i="19"/>
  <c r="B113" i="19"/>
  <c r="L118" i="19"/>
  <c r="W109" i="19"/>
  <c r="G109" i="19"/>
  <c r="Q112" i="19"/>
  <c r="C119" i="19"/>
  <c r="I104" i="19"/>
  <c r="L100" i="19"/>
  <c r="H100" i="19"/>
  <c r="L112" i="19"/>
  <c r="D100" i="19"/>
  <c r="P101" i="19"/>
  <c r="Y110" i="19"/>
  <c r="U119" i="19"/>
  <c r="P105" i="19"/>
  <c r="F116" i="19"/>
  <c r="L99" i="19"/>
  <c r="P109" i="19"/>
  <c r="Q119" i="19"/>
  <c r="L103" i="19"/>
  <c r="P113" i="19"/>
  <c r="L123" i="19"/>
  <c r="P107" i="19"/>
  <c r="S117" i="19"/>
  <c r="P103" i="19"/>
  <c r="O123" i="19"/>
  <c r="J118" i="19"/>
  <c r="Q111" i="19"/>
  <c r="K105" i="19"/>
  <c r="W99" i="19"/>
  <c r="Q113" i="19"/>
  <c r="O99" i="19"/>
  <c r="H101" i="19"/>
  <c r="E104" i="19"/>
  <c r="M121" i="19"/>
  <c r="S115" i="19"/>
  <c r="X118" i="19"/>
  <c r="Q100" i="19"/>
  <c r="R105" i="19"/>
  <c r="B111" i="19"/>
  <c r="V117" i="19"/>
  <c r="F121" i="19"/>
  <c r="G101" i="19"/>
  <c r="S103" i="19"/>
  <c r="H104" i="19"/>
  <c r="U102" i="19"/>
  <c r="M118" i="19"/>
  <c r="B115" i="19"/>
  <c r="M106" i="19"/>
  <c r="B126" i="23" a="1"/>
  <c r="BA67" i="4"/>
  <c r="BC67" i="4"/>
  <c r="AV59" i="4"/>
  <c r="BO44" i="4"/>
  <c r="BL44" i="4"/>
  <c r="BN44" i="4"/>
  <c r="BI44" i="4"/>
  <c r="BK44" i="4"/>
  <c r="BF44" i="4"/>
  <c r="BP44" i="4"/>
  <c r="BH44" i="4"/>
  <c r="BM44" i="4"/>
  <c r="BJ44" i="4"/>
  <c r="BG44" i="4"/>
  <c r="AG44" i="4"/>
  <c r="AJ44" i="4" s="1"/>
  <c r="AQ44" i="4"/>
  <c r="AP44" i="4"/>
  <c r="M70" i="3" l="1"/>
  <c r="M71" i="3"/>
  <c r="B126" i="17" a="1"/>
  <c r="W126" i="23"/>
  <c r="T126" i="23"/>
  <c r="K126" i="23"/>
  <c r="G126" i="23"/>
  <c r="R126" i="23"/>
  <c r="L126" i="23"/>
  <c r="Y126" i="23"/>
  <c r="C126" i="23"/>
  <c r="S126" i="23"/>
  <c r="AA126" i="23"/>
  <c r="N126" i="23"/>
  <c r="P126" i="23"/>
  <c r="J126" i="23"/>
  <c r="F126" i="23"/>
  <c r="H126" i="23"/>
  <c r="X126" i="23"/>
  <c r="I126" i="23"/>
  <c r="O126" i="23"/>
  <c r="V126" i="23"/>
  <c r="U126" i="23"/>
  <c r="Q126" i="23"/>
  <c r="Z126" i="23"/>
  <c r="D126" i="23"/>
  <c r="M126" i="23"/>
  <c r="E126" i="23"/>
  <c r="B126" i="23"/>
  <c r="B126" i="19" a="1"/>
  <c r="W126" i="21"/>
  <c r="S126" i="21"/>
  <c r="P126" i="21"/>
  <c r="AA126" i="21"/>
  <c r="G126" i="21"/>
  <c r="V126" i="21"/>
  <c r="E126" i="21"/>
  <c r="F126" i="21"/>
  <c r="L126" i="21"/>
  <c r="T126" i="21"/>
  <c r="Z126" i="21"/>
  <c r="N126" i="21"/>
  <c r="R126" i="21"/>
  <c r="M126" i="21"/>
  <c r="Y126" i="21"/>
  <c r="Q126" i="21"/>
  <c r="K126" i="21"/>
  <c r="J126" i="21"/>
  <c r="O126" i="21"/>
  <c r="I126" i="21"/>
  <c r="X126" i="21"/>
  <c r="H126" i="21"/>
  <c r="B126" i="21"/>
  <c r="U126" i="21"/>
  <c r="C126" i="21"/>
  <c r="D126" i="21"/>
  <c r="AK44" i="4"/>
  <c r="AO44" i="4"/>
  <c r="H29" i="24" l="1" a="1"/>
  <c r="H29" i="24" s="1"/>
  <c r="H3" i="24" a="1"/>
  <c r="H3" i="24" s="1"/>
  <c r="H26" i="24" a="1"/>
  <c r="H26" i="24" s="1"/>
  <c r="H6" i="24" a="1"/>
  <c r="H6" i="24" s="1"/>
  <c r="H33" i="24" a="1"/>
  <c r="H33" i="24" s="1"/>
  <c r="H25" i="24" a="1"/>
  <c r="H25" i="24" s="1"/>
  <c r="H48" i="24" a="1"/>
  <c r="H48" i="24" s="1"/>
  <c r="H31" i="24" a="1"/>
  <c r="H31" i="24" s="1"/>
  <c r="H45" i="24" a="1"/>
  <c r="H45" i="24" s="1"/>
  <c r="H44" i="24" a="1"/>
  <c r="H44" i="24" s="1"/>
  <c r="H43" i="24" a="1"/>
  <c r="H43" i="24" s="1"/>
  <c r="H64" i="24" a="1"/>
  <c r="H64" i="24" s="1"/>
  <c r="H54" i="24" a="1"/>
  <c r="H54" i="24" s="1"/>
  <c r="H27" i="24" a="1"/>
  <c r="H27" i="24" s="1"/>
  <c r="H23" i="24" a="1"/>
  <c r="H23" i="24" s="1"/>
  <c r="H65" i="24" a="1"/>
  <c r="H65" i="24" s="1"/>
  <c r="H51" i="24" a="1"/>
  <c r="H51" i="24" s="1"/>
  <c r="H18" i="24" a="1"/>
  <c r="H18" i="24" s="1"/>
  <c r="H53" i="24" a="1"/>
  <c r="H53" i="24" s="1"/>
  <c r="H55" i="24" a="1"/>
  <c r="H55" i="24" s="1"/>
  <c r="H62" i="24" a="1"/>
  <c r="H62" i="24" s="1"/>
  <c r="H66" i="24" a="1"/>
  <c r="H66" i="24" s="1"/>
  <c r="H24" i="24" a="1"/>
  <c r="H24" i="24" s="1"/>
  <c r="H63" i="24" a="1"/>
  <c r="H63" i="24" s="1"/>
  <c r="H40" i="24" a="1"/>
  <c r="H40" i="24" s="1"/>
  <c r="H52" i="24" a="1"/>
  <c r="H52" i="24" s="1"/>
  <c r="H30" i="24" a="1"/>
  <c r="H30" i="24" s="1"/>
  <c r="H36" i="24" a="1"/>
  <c r="H36" i="24" s="1"/>
  <c r="H58" i="24" a="1"/>
  <c r="H58" i="24" s="1"/>
  <c r="H17" i="24" a="1"/>
  <c r="H17" i="24" s="1"/>
  <c r="H37" i="24" a="1"/>
  <c r="H37" i="24" s="1"/>
  <c r="H60" i="24" a="1"/>
  <c r="H60" i="24" s="1"/>
  <c r="H38" i="24" a="1"/>
  <c r="H38" i="24" s="1"/>
  <c r="H49" i="24" a="1"/>
  <c r="H49" i="24" s="1"/>
  <c r="H57" i="24" a="1"/>
  <c r="H57" i="24" s="1"/>
  <c r="H32" i="24" a="1"/>
  <c r="H32" i="24" s="1"/>
  <c r="H13" i="24" a="1"/>
  <c r="H13" i="24" s="1"/>
  <c r="H19" i="24" a="1"/>
  <c r="H19" i="24" s="1"/>
  <c r="H42" i="24" a="1"/>
  <c r="H42" i="24" s="1"/>
  <c r="B128" i="21" a="1"/>
  <c r="B128" i="21" s="1"/>
  <c r="H34" i="24" a="1"/>
  <c r="H34" i="24" s="1"/>
  <c r="H14" i="24" a="1"/>
  <c r="H14" i="24" s="1"/>
  <c r="H16" i="24" a="1"/>
  <c r="H16" i="24" s="1"/>
  <c r="H41" i="24" a="1"/>
  <c r="H41" i="24" s="1"/>
  <c r="H35" i="24" a="1"/>
  <c r="H35" i="24" s="1"/>
  <c r="H50" i="24" a="1"/>
  <c r="H50" i="24" s="1"/>
  <c r="H46" i="24" a="1"/>
  <c r="H46" i="24" s="1"/>
  <c r="H10" i="24" a="1"/>
  <c r="H10" i="24" s="1"/>
  <c r="H4" i="24" a="1"/>
  <c r="H4" i="24" s="1"/>
  <c r="H9" i="24" a="1"/>
  <c r="H9" i="24" s="1"/>
  <c r="H8" i="24" a="1"/>
  <c r="H8" i="24" s="1"/>
  <c r="H21" i="24" a="1"/>
  <c r="H21" i="24" s="1"/>
  <c r="H39" i="24" a="1"/>
  <c r="H39" i="24" s="1"/>
  <c r="H11" i="24" a="1"/>
  <c r="H11" i="24" s="1"/>
  <c r="H67" i="24" a="1"/>
  <c r="H67" i="24" s="1"/>
  <c r="H5" i="24" a="1"/>
  <c r="H5" i="24" s="1"/>
  <c r="H47" i="24" a="1"/>
  <c r="H47" i="24" s="1"/>
  <c r="H59" i="24" a="1"/>
  <c r="H59" i="24" s="1"/>
  <c r="H28" i="24" a="1"/>
  <c r="H28" i="24" s="1"/>
  <c r="H12" i="24" a="1"/>
  <c r="H12" i="24" s="1"/>
  <c r="H22" i="24" a="1"/>
  <c r="H22" i="24" s="1"/>
  <c r="H61" i="24" a="1"/>
  <c r="H61" i="24" s="1"/>
  <c r="H7" i="24" a="1"/>
  <c r="H7" i="24" s="1"/>
  <c r="H56" i="24" a="1"/>
  <c r="H56" i="24" s="1"/>
  <c r="H15" i="24" a="1"/>
  <c r="H15" i="24" s="1"/>
  <c r="H20" i="24" a="1"/>
  <c r="H20" i="24" s="1"/>
  <c r="O126" i="19"/>
  <c r="N126" i="19"/>
  <c r="C126" i="19"/>
  <c r="L126" i="19"/>
  <c r="T126" i="19"/>
  <c r="D126" i="19"/>
  <c r="B126" i="19"/>
  <c r="Q126" i="19"/>
  <c r="P126" i="19"/>
  <c r="U126" i="19"/>
  <c r="I126" i="19"/>
  <c r="S126" i="19"/>
  <c r="K126" i="19"/>
  <c r="X126" i="19"/>
  <c r="AA126" i="19"/>
  <c r="W126" i="19"/>
  <c r="Y126" i="19"/>
  <c r="F126" i="19"/>
  <c r="Z126" i="19"/>
  <c r="H126" i="19"/>
  <c r="G126" i="19"/>
  <c r="J126" i="19"/>
  <c r="R126" i="19"/>
  <c r="E126" i="19"/>
  <c r="M126" i="19"/>
  <c r="V126" i="19"/>
  <c r="C4" i="24" a="1"/>
  <c r="C4" i="24" s="1"/>
  <c r="C50" i="24" a="1"/>
  <c r="C50" i="24" s="1"/>
  <c r="C58" i="24" a="1"/>
  <c r="C58" i="24" s="1"/>
  <c r="C11" i="24" a="1"/>
  <c r="C11" i="24" s="1"/>
  <c r="C28" i="24" a="1"/>
  <c r="C28" i="24" s="1"/>
  <c r="C48" i="24" a="1"/>
  <c r="C48" i="24" s="1"/>
  <c r="C57" i="24" a="1"/>
  <c r="C57" i="24" s="1"/>
  <c r="C24" i="24" a="1"/>
  <c r="C24" i="24" s="1"/>
  <c r="C7" i="24" a="1"/>
  <c r="C7" i="24" s="1"/>
  <c r="C6" i="24" a="1"/>
  <c r="C6" i="24" s="1"/>
  <c r="C65" i="24" a="1"/>
  <c r="C65" i="24" s="1"/>
  <c r="C47" i="24" a="1"/>
  <c r="C47" i="24" s="1"/>
  <c r="C17" i="24" a="1"/>
  <c r="C17" i="24" s="1"/>
  <c r="C29" i="24" a="1"/>
  <c r="C29" i="24" s="1"/>
  <c r="C67" i="24" a="1"/>
  <c r="C67" i="24" s="1"/>
  <c r="C13" i="24" a="1"/>
  <c r="C13" i="24" s="1"/>
  <c r="C8" i="24" a="1"/>
  <c r="C8" i="24" s="1"/>
  <c r="C41" i="24" a="1"/>
  <c r="C41" i="24" s="1"/>
  <c r="C18" i="24" a="1"/>
  <c r="C18" i="24" s="1"/>
  <c r="C12" i="24" a="1"/>
  <c r="C12" i="24" s="1"/>
  <c r="C64" i="24" a="1"/>
  <c r="C64" i="24" s="1"/>
  <c r="C66" i="24" a="1"/>
  <c r="C66" i="24" s="1"/>
  <c r="C31" i="24" a="1"/>
  <c r="C31" i="24" s="1"/>
  <c r="C35" i="24" a="1"/>
  <c r="C35" i="24" s="1"/>
  <c r="C54" i="24" a="1"/>
  <c r="C54" i="24" s="1"/>
  <c r="C14" i="24" a="1"/>
  <c r="C14" i="24" s="1"/>
  <c r="C53" i="24" a="1"/>
  <c r="C53" i="24" s="1"/>
  <c r="C40" i="24" a="1"/>
  <c r="C40" i="24" s="1"/>
  <c r="C22" i="24" a="1"/>
  <c r="C22" i="24" s="1"/>
  <c r="C26" i="24" a="1"/>
  <c r="C26" i="24" s="1"/>
  <c r="C49" i="24" a="1"/>
  <c r="C49" i="24" s="1"/>
  <c r="C63" i="24" a="1"/>
  <c r="C63" i="24" s="1"/>
  <c r="C51" i="24" a="1"/>
  <c r="C51" i="24" s="1"/>
  <c r="C34" i="24" a="1"/>
  <c r="C34" i="24" s="1"/>
  <c r="C60" i="24" a="1"/>
  <c r="C60" i="24" s="1"/>
  <c r="C20" i="24" a="1"/>
  <c r="C20" i="24" s="1"/>
  <c r="C33" i="24" a="1"/>
  <c r="C33" i="24" s="1"/>
  <c r="C52" i="24" a="1"/>
  <c r="C52" i="24" s="1"/>
  <c r="C10" i="24" a="1"/>
  <c r="C10" i="24" s="1"/>
  <c r="C42" i="24" a="1"/>
  <c r="C42" i="24" s="1"/>
  <c r="C61" i="24" a="1"/>
  <c r="C61" i="24" s="1"/>
  <c r="C15" i="24" a="1"/>
  <c r="C15" i="24" s="1"/>
  <c r="C3" i="24" a="1"/>
  <c r="C3" i="24" s="1"/>
  <c r="C16" i="24" a="1"/>
  <c r="C16" i="24" s="1"/>
  <c r="C25" i="24" a="1"/>
  <c r="C25" i="24" s="1"/>
  <c r="C27" i="24" a="1"/>
  <c r="C27" i="24" s="1"/>
  <c r="C62" i="24" a="1"/>
  <c r="C62" i="24" s="1"/>
  <c r="C43" i="24" a="1"/>
  <c r="C43" i="24" s="1"/>
  <c r="C56" i="24" a="1"/>
  <c r="C56" i="24" s="1"/>
  <c r="C46" i="24" a="1"/>
  <c r="C46" i="24" s="1"/>
  <c r="C30" i="24" a="1"/>
  <c r="C30" i="24" s="1"/>
  <c r="C44" i="24" a="1"/>
  <c r="C44" i="24" s="1"/>
  <c r="C59" i="24" a="1"/>
  <c r="C59" i="24" s="1"/>
  <c r="C9" i="24" a="1"/>
  <c r="C9" i="24" s="1"/>
  <c r="C45" i="24" a="1"/>
  <c r="C45" i="24" s="1"/>
  <c r="C55" i="24" a="1"/>
  <c r="C55" i="24" s="1"/>
  <c r="C23" i="24" a="1"/>
  <c r="C23" i="24" s="1"/>
  <c r="C37" i="24" a="1"/>
  <c r="C37" i="24" s="1"/>
  <c r="C39" i="24" a="1"/>
  <c r="C39" i="24" s="1"/>
  <c r="C32" i="24" a="1"/>
  <c r="C32" i="24" s="1"/>
  <c r="C5" i="24" a="1"/>
  <c r="C5" i="24" s="1"/>
  <c r="C38" i="24" a="1"/>
  <c r="C38" i="24" s="1"/>
  <c r="C21" i="24" a="1"/>
  <c r="C21" i="24" s="1"/>
  <c r="B128" i="23" a="1"/>
  <c r="B128" i="23" s="1"/>
  <c r="C19" i="24" a="1"/>
  <c r="C19" i="24" s="1"/>
  <c r="C36" i="24" a="1"/>
  <c r="C36" i="24" s="1"/>
  <c r="U126" i="17"/>
  <c r="S126" i="17"/>
  <c r="Z126" i="17"/>
  <c r="M126" i="17"/>
  <c r="B126" i="17"/>
  <c r="V126" i="17"/>
  <c r="C126" i="17"/>
  <c r="E126" i="17"/>
  <c r="Q126" i="17"/>
  <c r="G126" i="17"/>
  <c r="P126" i="17"/>
  <c r="N126" i="17"/>
  <c r="J126" i="17"/>
  <c r="I126" i="17"/>
  <c r="H126" i="17"/>
  <c r="L126" i="17"/>
  <c r="F126" i="17"/>
  <c r="R126" i="17"/>
  <c r="AA126" i="17"/>
  <c r="K126" i="17"/>
  <c r="D126" i="17"/>
  <c r="W126" i="17"/>
  <c r="X126" i="17"/>
  <c r="T126" i="17"/>
  <c r="Y126" i="17"/>
  <c r="O126" i="17"/>
  <c r="BE44" i="4"/>
  <c r="BB44" i="4"/>
  <c r="AY44" i="4"/>
  <c r="AV44" i="4"/>
  <c r="AZ44" i="4"/>
  <c r="BD44" i="4"/>
  <c r="AX44" i="4"/>
  <c r="AU44" i="4"/>
  <c r="BA44" i="4"/>
  <c r="BC44" i="4"/>
  <c r="AW44" i="4"/>
  <c r="J7" i="24" l="1"/>
  <c r="H70" i="24"/>
  <c r="C70" i="24"/>
  <c r="J56" i="24"/>
  <c r="E36" i="24"/>
  <c r="E19" i="24"/>
  <c r="E32" i="24"/>
  <c r="E44" i="24"/>
  <c r="E16" i="24"/>
  <c r="E20" i="24"/>
  <c r="E40" i="24"/>
  <c r="E12" i="24"/>
  <c r="E47" i="24"/>
  <c r="E11" i="24"/>
  <c r="J5" i="24"/>
  <c r="J10" i="24"/>
  <c r="J60" i="24"/>
  <c r="J63" i="24"/>
  <c r="J65" i="24"/>
  <c r="J31" i="24"/>
  <c r="E39" i="24"/>
  <c r="E30" i="24"/>
  <c r="E3" i="24"/>
  <c r="C69" i="24"/>
  <c r="E60" i="24"/>
  <c r="E53" i="24"/>
  <c r="E18" i="24"/>
  <c r="E65" i="24"/>
  <c r="E58" i="24"/>
  <c r="J67" i="24"/>
  <c r="J46" i="24"/>
  <c r="J42" i="24"/>
  <c r="J37" i="24"/>
  <c r="J24" i="24"/>
  <c r="J23" i="24"/>
  <c r="J48" i="24"/>
  <c r="E37" i="24"/>
  <c r="E46" i="24"/>
  <c r="E15" i="24"/>
  <c r="E34" i="24"/>
  <c r="E14" i="24"/>
  <c r="E41" i="24"/>
  <c r="E6" i="24"/>
  <c r="E50" i="24"/>
  <c r="J61" i="24"/>
  <c r="J11" i="24"/>
  <c r="J50" i="24"/>
  <c r="J19" i="24"/>
  <c r="J17" i="24"/>
  <c r="J66" i="24"/>
  <c r="J27" i="24"/>
  <c r="J25" i="24"/>
  <c r="E23" i="24"/>
  <c r="E56" i="24"/>
  <c r="E61" i="24"/>
  <c r="E51" i="24"/>
  <c r="E54" i="24"/>
  <c r="E8" i="24"/>
  <c r="E7" i="24"/>
  <c r="E4" i="24"/>
  <c r="J22" i="24"/>
  <c r="J39" i="24"/>
  <c r="J35" i="24"/>
  <c r="J13" i="24"/>
  <c r="J58" i="24"/>
  <c r="J62" i="24"/>
  <c r="J54" i="24"/>
  <c r="J33" i="24"/>
  <c r="E55" i="24"/>
  <c r="E43" i="24"/>
  <c r="E42" i="24"/>
  <c r="E63" i="24"/>
  <c r="E35" i="24"/>
  <c r="E13" i="24"/>
  <c r="E24" i="24"/>
  <c r="J12" i="24"/>
  <c r="J21" i="24"/>
  <c r="J41" i="24"/>
  <c r="J32" i="24"/>
  <c r="J36" i="24"/>
  <c r="J55" i="24"/>
  <c r="J64" i="24"/>
  <c r="J6" i="24"/>
  <c r="R23" i="24" a="1"/>
  <c r="R23" i="24" s="1"/>
  <c r="R5" i="24" a="1"/>
  <c r="R5" i="24" s="1"/>
  <c r="R49" i="24" a="1"/>
  <c r="R49" i="24" s="1"/>
  <c r="R54" i="24" a="1"/>
  <c r="R54" i="24" s="1"/>
  <c r="R10" i="24" a="1"/>
  <c r="R10" i="24" s="1"/>
  <c r="R47" i="24" a="1"/>
  <c r="R47" i="24" s="1"/>
  <c r="R41" i="24" a="1"/>
  <c r="R41" i="24" s="1"/>
  <c r="R16" i="24" a="1"/>
  <c r="R16" i="24" s="1"/>
  <c r="R59" i="24" a="1"/>
  <c r="R59" i="24" s="1"/>
  <c r="R37" i="24" a="1"/>
  <c r="R37" i="24" s="1"/>
  <c r="R29" i="24" a="1"/>
  <c r="R29" i="24" s="1"/>
  <c r="R7" i="24" a="1"/>
  <c r="R7" i="24" s="1"/>
  <c r="R57" i="24" a="1"/>
  <c r="R57" i="24" s="1"/>
  <c r="R27" i="24" a="1"/>
  <c r="R27" i="24" s="1"/>
  <c r="R65" i="24" a="1"/>
  <c r="R65" i="24" s="1"/>
  <c r="R63" i="24" a="1"/>
  <c r="R63" i="24" s="1"/>
  <c r="R66" i="24" a="1"/>
  <c r="R66" i="24" s="1"/>
  <c r="R55" i="24" a="1"/>
  <c r="R55" i="24" s="1"/>
  <c r="R33" i="24" a="1"/>
  <c r="R33" i="24" s="1"/>
  <c r="R17" i="24" a="1"/>
  <c r="R17" i="24" s="1"/>
  <c r="B128" i="17" a="1"/>
  <c r="B128" i="17" s="1"/>
  <c r="R50" i="24" a="1"/>
  <c r="R50" i="24" s="1"/>
  <c r="R31" i="24" a="1"/>
  <c r="R31" i="24" s="1"/>
  <c r="R45" i="24" a="1"/>
  <c r="R45" i="24" s="1"/>
  <c r="R58" i="24" a="1"/>
  <c r="R58" i="24" s="1"/>
  <c r="R39" i="24" a="1"/>
  <c r="R39" i="24" s="1"/>
  <c r="R20" i="24" a="1"/>
  <c r="R20" i="24" s="1"/>
  <c r="R46" i="24" a="1"/>
  <c r="R46" i="24" s="1"/>
  <c r="R14" i="24" a="1"/>
  <c r="R14" i="24" s="1"/>
  <c r="R25" i="24" a="1"/>
  <c r="R25" i="24" s="1"/>
  <c r="R6" i="24" a="1"/>
  <c r="R6" i="24" s="1"/>
  <c r="R18" i="24" a="1"/>
  <c r="R18" i="24" s="1"/>
  <c r="R56" i="24" a="1"/>
  <c r="R56" i="24" s="1"/>
  <c r="R30" i="24" a="1"/>
  <c r="R30" i="24" s="1"/>
  <c r="R40" i="24" a="1"/>
  <c r="R40" i="24" s="1"/>
  <c r="R44" i="24" a="1"/>
  <c r="R44" i="24" s="1"/>
  <c r="R12" i="24" a="1"/>
  <c r="R12" i="24" s="1"/>
  <c r="R62" i="24" a="1"/>
  <c r="R62" i="24" s="1"/>
  <c r="R32" i="24" a="1"/>
  <c r="R32" i="24" s="1"/>
  <c r="R21" i="24" a="1"/>
  <c r="R21" i="24" s="1"/>
  <c r="R9" i="24" a="1"/>
  <c r="R9" i="24" s="1"/>
  <c r="R48" i="24" a="1"/>
  <c r="R48" i="24" s="1"/>
  <c r="R22" i="24" a="1"/>
  <c r="R22" i="24" s="1"/>
  <c r="R52" i="24" a="1"/>
  <c r="R52" i="24" s="1"/>
  <c r="R13" i="24" a="1"/>
  <c r="R13" i="24" s="1"/>
  <c r="R34" i="24" a="1"/>
  <c r="R34" i="24" s="1"/>
  <c r="R38" i="24" a="1"/>
  <c r="R38" i="24" s="1"/>
  <c r="R8" i="24" a="1"/>
  <c r="R8" i="24" s="1"/>
  <c r="R67" i="24" a="1"/>
  <c r="R67" i="24" s="1"/>
  <c r="R43" i="24" a="1"/>
  <c r="R43" i="24" s="1"/>
  <c r="R35" i="24" a="1"/>
  <c r="R35" i="24" s="1"/>
  <c r="R3" i="24" a="1"/>
  <c r="R3" i="24" s="1"/>
  <c r="R51" i="24" a="1"/>
  <c r="R51" i="24" s="1"/>
  <c r="R11" i="24" a="1"/>
  <c r="R11" i="24" s="1"/>
  <c r="R24" i="24" a="1"/>
  <c r="R24" i="24" s="1"/>
  <c r="R28" i="24" a="1"/>
  <c r="R28" i="24" s="1"/>
  <c r="R53" i="24" a="1"/>
  <c r="R53" i="24" s="1"/>
  <c r="R61" i="24" a="1"/>
  <c r="R61" i="24" s="1"/>
  <c r="R26" i="24" a="1"/>
  <c r="R26" i="24" s="1"/>
  <c r="R64" i="24" a="1"/>
  <c r="R64" i="24" s="1"/>
  <c r="R19" i="24" a="1"/>
  <c r="R19" i="24" s="1"/>
  <c r="R36" i="24" a="1"/>
  <c r="R36" i="24" s="1"/>
  <c r="R4" i="24" a="1"/>
  <c r="R4" i="24" s="1"/>
  <c r="R15" i="24" a="1"/>
  <c r="R15" i="24" s="1"/>
  <c r="R60" i="24" a="1"/>
  <c r="R60" i="24" s="1"/>
  <c r="R42" i="24" a="1"/>
  <c r="R42" i="24" s="1"/>
  <c r="E21" i="24"/>
  <c r="E45" i="24"/>
  <c r="E62" i="24"/>
  <c r="E10" i="24"/>
  <c r="E49" i="24"/>
  <c r="E31" i="24"/>
  <c r="E67" i="24"/>
  <c r="E57" i="24"/>
  <c r="J28" i="24"/>
  <c r="J8" i="24"/>
  <c r="J16" i="24"/>
  <c r="J57" i="24"/>
  <c r="J30" i="24"/>
  <c r="J53" i="24"/>
  <c r="J43" i="24"/>
  <c r="J26" i="24"/>
  <c r="E38" i="24"/>
  <c r="E9" i="24"/>
  <c r="E27" i="24"/>
  <c r="E52" i="24"/>
  <c r="E26" i="24"/>
  <c r="E66" i="24"/>
  <c r="E29" i="24"/>
  <c r="E48" i="24"/>
  <c r="J20" i="24"/>
  <c r="J59" i="24"/>
  <c r="J9" i="24"/>
  <c r="J14" i="24"/>
  <c r="J49" i="24"/>
  <c r="J52" i="24"/>
  <c r="J18" i="24"/>
  <c r="J44" i="24"/>
  <c r="J3" i="24"/>
  <c r="H69" i="24"/>
  <c r="E5" i="24"/>
  <c r="E59" i="24"/>
  <c r="E25" i="24"/>
  <c r="E33" i="24"/>
  <c r="E22" i="24"/>
  <c r="E64" i="24"/>
  <c r="E17" i="24"/>
  <c r="E28" i="24"/>
  <c r="M62" i="24" a="1"/>
  <c r="M62" i="24" s="1"/>
  <c r="M5" i="24" a="1"/>
  <c r="M5" i="24" s="1"/>
  <c r="M67" i="24" a="1"/>
  <c r="M67" i="24" s="1"/>
  <c r="M41" i="24" a="1"/>
  <c r="M41" i="24" s="1"/>
  <c r="M13" i="24" a="1"/>
  <c r="M13" i="24" s="1"/>
  <c r="M49" i="24" a="1"/>
  <c r="M49" i="24" s="1"/>
  <c r="M26" i="24" a="1"/>
  <c r="M26" i="24" s="1"/>
  <c r="M18" i="24" a="1"/>
  <c r="M18" i="24" s="1"/>
  <c r="B128" i="19" a="1"/>
  <c r="B128" i="19" s="1"/>
  <c r="M60" i="24" a="1"/>
  <c r="M60" i="24" s="1"/>
  <c r="M27" i="24" a="1"/>
  <c r="M27" i="24" s="1"/>
  <c r="M54" i="24" a="1"/>
  <c r="M54" i="24" s="1"/>
  <c r="M28" i="24" a="1"/>
  <c r="M28" i="24" s="1"/>
  <c r="M43" i="24" a="1"/>
  <c r="M43" i="24" s="1"/>
  <c r="M52" i="24" a="1"/>
  <c r="M52" i="24" s="1"/>
  <c r="M65" i="24" a="1"/>
  <c r="M65" i="24" s="1"/>
  <c r="M25" i="24" a="1"/>
  <c r="M25" i="24" s="1"/>
  <c r="M34" i="24" a="1"/>
  <c r="M34" i="24" s="1"/>
  <c r="M38" i="24" a="1"/>
  <c r="M38" i="24" s="1"/>
  <c r="M46" i="24" a="1"/>
  <c r="M46" i="24" s="1"/>
  <c r="M3" i="24" a="1"/>
  <c r="M3" i="24" s="1"/>
  <c r="M23" i="24" a="1"/>
  <c r="M23" i="24" s="1"/>
  <c r="M19" i="24" a="1"/>
  <c r="M19" i="24" s="1"/>
  <c r="M22" i="24" a="1"/>
  <c r="M22" i="24" s="1"/>
  <c r="M58" i="24" a="1"/>
  <c r="M58" i="24" s="1"/>
  <c r="M8" i="24" a="1"/>
  <c r="M8" i="24" s="1"/>
  <c r="M14" i="24" a="1"/>
  <c r="M14" i="24" s="1"/>
  <c r="M39" i="24" a="1"/>
  <c r="M39" i="24" s="1"/>
  <c r="M10" i="24" a="1"/>
  <c r="M10" i="24" s="1"/>
  <c r="M44" i="24" a="1"/>
  <c r="M44" i="24" s="1"/>
  <c r="M6" i="24" a="1"/>
  <c r="M6" i="24" s="1"/>
  <c r="M64" i="24" a="1"/>
  <c r="M64" i="24" s="1"/>
  <c r="M66" i="24" a="1"/>
  <c r="M66" i="24" s="1"/>
  <c r="M32" i="24" a="1"/>
  <c r="M32" i="24" s="1"/>
  <c r="M21" i="24" a="1"/>
  <c r="M21" i="24" s="1"/>
  <c r="M11" i="24" a="1"/>
  <c r="M11" i="24" s="1"/>
  <c r="M4" i="24" a="1"/>
  <c r="M4" i="24" s="1"/>
  <c r="M30" i="24" a="1"/>
  <c r="M30" i="24" s="1"/>
  <c r="M56" i="24" a="1"/>
  <c r="M56" i="24" s="1"/>
  <c r="M31" i="24" a="1"/>
  <c r="M31" i="24" s="1"/>
  <c r="M48" i="24" a="1"/>
  <c r="M48" i="24" s="1"/>
  <c r="M17" i="24" a="1"/>
  <c r="M17" i="24" s="1"/>
  <c r="M47" i="24" a="1"/>
  <c r="M47" i="24" s="1"/>
  <c r="M35" i="24" a="1"/>
  <c r="M35" i="24" s="1"/>
  <c r="M57" i="24" a="1"/>
  <c r="M57" i="24" s="1"/>
  <c r="M51" i="24" a="1"/>
  <c r="M51" i="24" s="1"/>
  <c r="M29" i="24" a="1"/>
  <c r="M29" i="24" s="1"/>
  <c r="M59" i="24" a="1"/>
  <c r="M59" i="24" s="1"/>
  <c r="M53" i="24" a="1"/>
  <c r="M53" i="24" s="1"/>
  <c r="M42" i="24" a="1"/>
  <c r="M42" i="24" s="1"/>
  <c r="M33" i="24" a="1"/>
  <c r="M33" i="24" s="1"/>
  <c r="M61" i="24" a="1"/>
  <c r="M61" i="24" s="1"/>
  <c r="M40" i="24" a="1"/>
  <c r="M40" i="24" s="1"/>
  <c r="M15" i="24" a="1"/>
  <c r="M15" i="24" s="1"/>
  <c r="M7" i="24" a="1"/>
  <c r="M7" i="24" s="1"/>
  <c r="M20" i="24" a="1"/>
  <c r="M20" i="24" s="1"/>
  <c r="M36" i="24" a="1"/>
  <c r="M36" i="24" s="1"/>
  <c r="M63" i="24" a="1"/>
  <c r="M63" i="24" s="1"/>
  <c r="M37" i="24" a="1"/>
  <c r="M37" i="24" s="1"/>
  <c r="M55" i="24" a="1"/>
  <c r="M55" i="24" s="1"/>
  <c r="M16" i="24" a="1"/>
  <c r="M16" i="24" s="1"/>
  <c r="M9" i="24" a="1"/>
  <c r="M9" i="24" s="1"/>
  <c r="M24" i="24" a="1"/>
  <c r="M24" i="24" s="1"/>
  <c r="M12" i="24" a="1"/>
  <c r="M12" i="24" s="1"/>
  <c r="M50" i="24" a="1"/>
  <c r="M50" i="24" s="1"/>
  <c r="M45" i="24" a="1"/>
  <c r="M45" i="24" s="1"/>
  <c r="J15" i="24"/>
  <c r="J47" i="24"/>
  <c r="J4" i="24"/>
  <c r="J34" i="24"/>
  <c r="J38" i="24"/>
  <c r="J40" i="24"/>
  <c r="J51" i="24"/>
  <c r="J45" i="24"/>
  <c r="J29" i="24"/>
  <c r="K51" i="24" l="1"/>
  <c r="C72" i="25" s="1"/>
  <c r="F5" i="24"/>
  <c r="B94" i="25" s="1"/>
  <c r="F63" i="24"/>
  <c r="B84" i="25" s="1"/>
  <c r="F28" i="24"/>
  <c r="B100" i="25" s="1"/>
  <c r="K59" i="24"/>
  <c r="C56" i="25" s="1"/>
  <c r="F9" i="24"/>
  <c r="B53" i="25" s="1"/>
  <c r="K8" i="24"/>
  <c r="C66" i="25" s="1"/>
  <c r="F45" i="24"/>
  <c r="B55" i="25" s="1"/>
  <c r="K32" i="24"/>
  <c r="C85" i="25" s="1"/>
  <c r="F42" i="24"/>
  <c r="B77" i="25" s="1"/>
  <c r="K35" i="24"/>
  <c r="C58" i="25" s="1"/>
  <c r="F61" i="24"/>
  <c r="B73" i="25" s="1"/>
  <c r="K50" i="24"/>
  <c r="C82" i="25" s="1"/>
  <c r="F15" i="24"/>
  <c r="B49" i="25" s="1"/>
  <c r="K46" i="24"/>
  <c r="C92" i="25" s="1"/>
  <c r="F3" i="24"/>
  <c r="B86" i="25" s="1"/>
  <c r="K5" i="24"/>
  <c r="C94" i="25" s="1"/>
  <c r="F32" i="24"/>
  <c r="B85" i="25" s="1"/>
  <c r="F27" i="24"/>
  <c r="B64" i="25" s="1"/>
  <c r="K10" i="24"/>
  <c r="C46" i="25" s="1"/>
  <c r="F17" i="24"/>
  <c r="B74" i="25" s="1"/>
  <c r="K3" i="24"/>
  <c r="C86" i="25" s="1"/>
  <c r="C112" i="25" s="1"/>
  <c r="K20" i="24"/>
  <c r="C98" i="25" s="1"/>
  <c r="F38" i="24"/>
  <c r="B54" i="25" s="1"/>
  <c r="K28" i="24"/>
  <c r="C100" i="25" s="1"/>
  <c r="F21" i="24"/>
  <c r="B41" i="25" s="1"/>
  <c r="K41" i="24"/>
  <c r="C71" i="25" s="1"/>
  <c r="F43" i="24"/>
  <c r="B59" i="25" s="1"/>
  <c r="K39" i="24"/>
  <c r="C69" i="25" s="1"/>
  <c r="F56" i="24"/>
  <c r="B102" i="25" s="1"/>
  <c r="K11" i="24"/>
  <c r="C81" i="25" s="1"/>
  <c r="F46" i="24"/>
  <c r="B92" i="25" s="1"/>
  <c r="K67" i="24"/>
  <c r="C83" i="25" s="1"/>
  <c r="F30" i="24"/>
  <c r="B101" i="25" s="1"/>
  <c r="F11" i="24"/>
  <c r="B81" i="25" s="1"/>
  <c r="F19" i="24"/>
  <c r="B63" i="25" s="1"/>
  <c r="K16" i="24"/>
  <c r="C43" i="25" s="1"/>
  <c r="F34" i="24"/>
  <c r="B78" i="25" s="1"/>
  <c r="K38" i="24"/>
  <c r="C54" i="25" s="1"/>
  <c r="K34" i="24"/>
  <c r="C78" i="25" s="1"/>
  <c r="F64" i="24"/>
  <c r="B91" i="25" s="1"/>
  <c r="K44" i="24"/>
  <c r="C95" i="25" s="1"/>
  <c r="F48" i="24"/>
  <c r="B50" i="25" s="1"/>
  <c r="K26" i="24"/>
  <c r="C93" i="25" s="1"/>
  <c r="F57" i="24"/>
  <c r="B60" i="25" s="1"/>
  <c r="K21" i="24"/>
  <c r="C41" i="25" s="1"/>
  <c r="F55" i="24"/>
  <c r="B76" i="25" s="1"/>
  <c r="K22" i="24"/>
  <c r="C47" i="25" s="1"/>
  <c r="F23" i="24"/>
  <c r="B70" i="25" s="1"/>
  <c r="K61" i="24"/>
  <c r="C73" i="25" s="1"/>
  <c r="F37" i="24"/>
  <c r="B87" i="25" s="1"/>
  <c r="F58" i="24"/>
  <c r="B39" i="25" s="1"/>
  <c r="F39" i="24"/>
  <c r="B69" i="25" s="1"/>
  <c r="F47" i="24"/>
  <c r="B44" i="25" s="1"/>
  <c r="F36" i="24"/>
  <c r="B88" i="25" s="1"/>
  <c r="K13" i="24"/>
  <c r="C96" i="25" s="1"/>
  <c r="K42" i="24"/>
  <c r="C77" i="25" s="1"/>
  <c r="K4" i="24"/>
  <c r="C89" i="25" s="1"/>
  <c r="F22" i="24"/>
  <c r="B47" i="25" s="1"/>
  <c r="K18" i="24"/>
  <c r="C52" i="25" s="1"/>
  <c r="F29" i="24"/>
  <c r="B90" i="25" s="1"/>
  <c r="K43" i="24"/>
  <c r="C59" i="25" s="1"/>
  <c r="F67" i="24"/>
  <c r="B83" i="25" s="1"/>
  <c r="K12" i="24"/>
  <c r="C65" i="25" s="1"/>
  <c r="K33" i="24"/>
  <c r="C62" i="25" s="1"/>
  <c r="F4" i="24"/>
  <c r="B89" i="25" s="1"/>
  <c r="K25" i="24"/>
  <c r="C42" i="25" s="1"/>
  <c r="F50" i="24"/>
  <c r="B82" i="25" s="1"/>
  <c r="K48" i="24"/>
  <c r="C50" i="25" s="1"/>
  <c r="F65" i="24"/>
  <c r="B80" i="25" s="1"/>
  <c r="K31" i="24"/>
  <c r="C38" i="25" s="1"/>
  <c r="F12" i="24"/>
  <c r="B65" i="25" s="1"/>
  <c r="K56" i="24"/>
  <c r="C102" i="25" s="1"/>
  <c r="F62" i="24"/>
  <c r="B67" i="25" s="1"/>
  <c r="K19" i="24"/>
  <c r="C63" i="25" s="1"/>
  <c r="K40" i="24"/>
  <c r="C48" i="25" s="1"/>
  <c r="F33" i="24"/>
  <c r="B62" i="25" s="1"/>
  <c r="K52" i="24"/>
  <c r="C51" i="25" s="1"/>
  <c r="F66" i="24"/>
  <c r="B57" i="25" s="1"/>
  <c r="K53" i="24"/>
  <c r="C75" i="25" s="1"/>
  <c r="F31" i="24"/>
  <c r="B38" i="25" s="1"/>
  <c r="K6" i="24"/>
  <c r="C40" i="25" s="1"/>
  <c r="F24" i="24"/>
  <c r="B45" i="25" s="1"/>
  <c r="K54" i="24"/>
  <c r="C61" i="25" s="1"/>
  <c r="F7" i="24"/>
  <c r="B99" i="25" s="1"/>
  <c r="K27" i="24"/>
  <c r="C64" i="25" s="1"/>
  <c r="F6" i="24"/>
  <c r="B40" i="25" s="1"/>
  <c r="K23" i="24"/>
  <c r="C70" i="25" s="1"/>
  <c r="F18" i="24"/>
  <c r="B52" i="25" s="1"/>
  <c r="K65" i="24"/>
  <c r="C80" i="25" s="1"/>
  <c r="F40" i="24"/>
  <c r="B48" i="25" s="1"/>
  <c r="K36" i="24"/>
  <c r="C88" i="25" s="1"/>
  <c r="F44" i="24"/>
  <c r="B95" i="25" s="1"/>
  <c r="K47" i="24"/>
  <c r="C44" i="25" s="1"/>
  <c r="K29" i="24"/>
  <c r="C90" i="25" s="1"/>
  <c r="K15" i="24"/>
  <c r="C49" i="25" s="1"/>
  <c r="F25" i="24"/>
  <c r="B42" i="25" s="1"/>
  <c r="K49" i="24"/>
  <c r="C68" i="25" s="1"/>
  <c r="F26" i="24"/>
  <c r="B93" i="25" s="1"/>
  <c r="K30" i="24"/>
  <c r="C101" i="25" s="1"/>
  <c r="F49" i="24"/>
  <c r="B68" i="25" s="1"/>
  <c r="K64" i="24"/>
  <c r="C91" i="25" s="1"/>
  <c r="F13" i="24"/>
  <c r="B96" i="25" s="1"/>
  <c r="K62" i="24"/>
  <c r="C67" i="25" s="1"/>
  <c r="F8" i="24"/>
  <c r="B66" i="25" s="1"/>
  <c r="K66" i="24"/>
  <c r="C57" i="25" s="1"/>
  <c r="F41" i="24"/>
  <c r="B71" i="25" s="1"/>
  <c r="K24" i="24"/>
  <c r="C45" i="25" s="1"/>
  <c r="F53" i="24"/>
  <c r="B75" i="25" s="1"/>
  <c r="K63" i="24"/>
  <c r="C84" i="25" s="1"/>
  <c r="F20" i="24"/>
  <c r="B98" i="25" s="1"/>
  <c r="K9" i="24"/>
  <c r="C53" i="25" s="1"/>
  <c r="F51" i="24"/>
  <c r="B72" i="25" s="1"/>
  <c r="K45" i="24"/>
  <c r="C55" i="25" s="1"/>
  <c r="F59" i="24"/>
  <c r="B56" i="25" s="1"/>
  <c r="K14" i="24"/>
  <c r="C79" i="25" s="1"/>
  <c r="F52" i="24"/>
  <c r="B51" i="25" s="1"/>
  <c r="K57" i="24"/>
  <c r="C60" i="25" s="1"/>
  <c r="F10" i="24"/>
  <c r="B46" i="25" s="1"/>
  <c r="K55" i="24"/>
  <c r="C76" i="25" s="1"/>
  <c r="F35" i="24"/>
  <c r="B58" i="25" s="1"/>
  <c r="K58" i="24"/>
  <c r="C39" i="25" s="1"/>
  <c r="F54" i="24"/>
  <c r="B61" i="25" s="1"/>
  <c r="K17" i="24"/>
  <c r="C74" i="25" s="1"/>
  <c r="F14" i="24"/>
  <c r="B79" i="25" s="1"/>
  <c r="K37" i="24"/>
  <c r="C87" i="25" s="1"/>
  <c r="F60" i="24"/>
  <c r="B97" i="25" s="1"/>
  <c r="K60" i="24"/>
  <c r="C97" i="25" s="1"/>
  <c r="F16" i="24"/>
  <c r="B43" i="25" s="1"/>
  <c r="K7" i="24"/>
  <c r="C99" i="25" s="1"/>
  <c r="J76" i="24"/>
  <c r="E76" i="24"/>
  <c r="AA76" i="24"/>
  <c r="E80" i="24"/>
  <c r="J77" i="24"/>
  <c r="AA77" i="24"/>
  <c r="E77" i="24"/>
  <c r="J80" i="24"/>
  <c r="E75" i="24"/>
  <c r="J75" i="24"/>
  <c r="R70" i="24"/>
  <c r="E70" i="24"/>
  <c r="M70" i="24"/>
  <c r="J70" i="24"/>
  <c r="E69" i="24"/>
  <c r="J69" i="24"/>
  <c r="T60" i="24"/>
  <c r="O9" i="24"/>
  <c r="T42" i="24"/>
  <c r="O24" i="24"/>
  <c r="O7" i="24"/>
  <c r="O29" i="24"/>
  <c r="O56" i="24"/>
  <c r="O6" i="24"/>
  <c r="O19" i="24"/>
  <c r="O52" i="24"/>
  <c r="O26" i="24"/>
  <c r="T26" i="24"/>
  <c r="T35" i="24"/>
  <c r="T22" i="24"/>
  <c r="T40" i="24"/>
  <c r="T20" i="24"/>
  <c r="T33" i="24"/>
  <c r="T29" i="24"/>
  <c r="T49" i="24"/>
  <c r="O15" i="24"/>
  <c r="O51" i="24"/>
  <c r="O30" i="24"/>
  <c r="O44" i="24"/>
  <c r="O23" i="24"/>
  <c r="O43" i="24"/>
  <c r="O49" i="24"/>
  <c r="T61" i="24"/>
  <c r="T43" i="24"/>
  <c r="T48" i="24"/>
  <c r="T30" i="24"/>
  <c r="T39" i="24"/>
  <c r="T55" i="24"/>
  <c r="T37" i="24"/>
  <c r="T5" i="24"/>
  <c r="O40" i="24"/>
  <c r="O57" i="24"/>
  <c r="O4" i="24"/>
  <c r="O10" i="24"/>
  <c r="M69" i="24"/>
  <c r="O3" i="24"/>
  <c r="O28" i="24"/>
  <c r="O13" i="24"/>
  <c r="T53" i="24"/>
  <c r="T67" i="24"/>
  <c r="T9" i="24"/>
  <c r="T56" i="24"/>
  <c r="T58" i="24"/>
  <c r="T66" i="24"/>
  <c r="T59" i="24"/>
  <c r="T23" i="24"/>
  <c r="O16" i="24"/>
  <c r="O55" i="24"/>
  <c r="O61" i="24"/>
  <c r="O35" i="24"/>
  <c r="O11" i="24"/>
  <c r="O39" i="24"/>
  <c r="O46" i="24"/>
  <c r="O54" i="24"/>
  <c r="O41" i="24"/>
  <c r="T15" i="24"/>
  <c r="T28" i="24"/>
  <c r="T8" i="24"/>
  <c r="T21" i="24"/>
  <c r="T18" i="24"/>
  <c r="T45" i="24"/>
  <c r="T63" i="24"/>
  <c r="T16" i="24"/>
  <c r="O37" i="24"/>
  <c r="O33" i="24"/>
  <c r="O47" i="24"/>
  <c r="O21" i="24"/>
  <c r="O14" i="24"/>
  <c r="O38" i="24"/>
  <c r="O27" i="24"/>
  <c r="O67" i="24"/>
  <c r="T4" i="24"/>
  <c r="T24" i="24"/>
  <c r="T38" i="24"/>
  <c r="T32" i="24"/>
  <c r="T6" i="24"/>
  <c r="T31" i="24"/>
  <c r="T65" i="24"/>
  <c r="T41" i="24"/>
  <c r="O45" i="24"/>
  <c r="O63" i="24"/>
  <c r="O42" i="24"/>
  <c r="O17" i="24"/>
  <c r="O32" i="24"/>
  <c r="O8" i="24"/>
  <c r="O34" i="24"/>
  <c r="O60" i="24"/>
  <c r="O5" i="24"/>
  <c r="T36" i="24"/>
  <c r="T11" i="24"/>
  <c r="T34" i="24"/>
  <c r="T62" i="24"/>
  <c r="T25" i="24"/>
  <c r="T50" i="24"/>
  <c r="T27" i="24"/>
  <c r="T47" i="24"/>
  <c r="O50" i="24"/>
  <c r="O36" i="24"/>
  <c r="O53" i="24"/>
  <c r="O48" i="24"/>
  <c r="O66" i="24"/>
  <c r="O58" i="24"/>
  <c r="O25" i="24"/>
  <c r="O62" i="24"/>
  <c r="T19" i="24"/>
  <c r="T51" i="24"/>
  <c r="T13" i="24"/>
  <c r="T12" i="24"/>
  <c r="T14" i="24"/>
  <c r="C23" i="14"/>
  <c r="T57" i="24"/>
  <c r="T10" i="24"/>
  <c r="O12" i="24"/>
  <c r="O20" i="24"/>
  <c r="O59" i="24"/>
  <c r="O31" i="24"/>
  <c r="O64" i="24"/>
  <c r="O22" i="24"/>
  <c r="O65" i="24"/>
  <c r="O18" i="24"/>
  <c r="T64" i="24"/>
  <c r="R69" i="24"/>
  <c r="T3" i="24"/>
  <c r="T52" i="24"/>
  <c r="T44" i="24"/>
  <c r="T46" i="24"/>
  <c r="T17" i="24"/>
  <c r="T7" i="24"/>
  <c r="T54" i="24"/>
  <c r="C113" i="25" l="1"/>
  <c r="B111" i="25"/>
  <c r="C111" i="25"/>
  <c r="B112" i="25"/>
  <c r="B109" i="25"/>
  <c r="B108" i="25"/>
  <c r="C108" i="25"/>
  <c r="B107" i="25"/>
  <c r="B110" i="25"/>
  <c r="C109" i="25"/>
  <c r="B113" i="25"/>
  <c r="C110" i="25"/>
  <c r="C107" i="25"/>
  <c r="F70" i="24"/>
  <c r="B106" i="25" s="1"/>
  <c r="F69" i="24"/>
  <c r="B104" i="25" s="1"/>
  <c r="B105" i="25" s="1"/>
  <c r="K76" i="24"/>
  <c r="AB76" i="24"/>
  <c r="F76" i="24"/>
  <c r="F75" i="24"/>
  <c r="F80" i="24"/>
  <c r="U52" i="24"/>
  <c r="E51" i="25" s="1"/>
  <c r="K77" i="24"/>
  <c r="F77" i="24"/>
  <c r="AB77" i="24"/>
  <c r="K75" i="24"/>
  <c r="K69" i="24"/>
  <c r="C104" i="25" s="1"/>
  <c r="C105" i="25" s="1"/>
  <c r="K70" i="24"/>
  <c r="C106" i="25" s="1"/>
  <c r="K80" i="24"/>
  <c r="U62" i="24"/>
  <c r="E67" i="25" s="1"/>
  <c r="U66" i="24"/>
  <c r="E57" i="25" s="1"/>
  <c r="P6" i="24"/>
  <c r="D40" i="25" s="1"/>
  <c r="U3" i="24"/>
  <c r="E86" i="25" s="1"/>
  <c r="AF28" i="24"/>
  <c r="P59" i="24"/>
  <c r="D56" i="25" s="1"/>
  <c r="U13" i="24"/>
  <c r="E96" i="25" s="1"/>
  <c r="P53" i="24"/>
  <c r="D75" i="25" s="1"/>
  <c r="U34" i="24"/>
  <c r="E78" i="25" s="1"/>
  <c r="P17" i="24"/>
  <c r="D74" i="25" s="1"/>
  <c r="U32" i="24"/>
  <c r="E85" i="25" s="1"/>
  <c r="P21" i="24"/>
  <c r="U21" i="24"/>
  <c r="E41" i="25" s="1"/>
  <c r="P11" i="24"/>
  <c r="U58" i="24"/>
  <c r="E39" i="25" s="1"/>
  <c r="U39" i="24"/>
  <c r="E69" i="25" s="1"/>
  <c r="P44" i="24"/>
  <c r="D95" i="25" s="1"/>
  <c r="U40" i="24"/>
  <c r="E48" i="25" s="1"/>
  <c r="P56" i="24"/>
  <c r="D102" i="25" s="1"/>
  <c r="U6" i="24"/>
  <c r="E40" i="25" s="1"/>
  <c r="U55" i="24"/>
  <c r="E76" i="25" s="1"/>
  <c r="P20" i="24"/>
  <c r="D98" i="25" s="1"/>
  <c r="U51" i="24"/>
  <c r="E72" i="25" s="1"/>
  <c r="P36" i="24"/>
  <c r="D88" i="25" s="1"/>
  <c r="U11" i="24"/>
  <c r="E81" i="25" s="1"/>
  <c r="P42" i="24"/>
  <c r="D77" i="25" s="1"/>
  <c r="U38" i="24"/>
  <c r="E54" i="25" s="1"/>
  <c r="P47" i="24"/>
  <c r="U8" i="24"/>
  <c r="E66" i="25" s="1"/>
  <c r="P35" i="24"/>
  <c r="D58" i="25" s="1"/>
  <c r="U56" i="24"/>
  <c r="E102" i="25" s="1"/>
  <c r="P10" i="24"/>
  <c r="D46" i="25" s="1"/>
  <c r="U30" i="24"/>
  <c r="E101" i="25" s="1"/>
  <c r="P30" i="24"/>
  <c r="D101" i="25" s="1"/>
  <c r="U22" i="24"/>
  <c r="E47" i="25" s="1"/>
  <c r="P29" i="24"/>
  <c r="D90" i="25" s="1"/>
  <c r="AF56" i="24"/>
  <c r="P31" i="24"/>
  <c r="D38" i="25" s="1"/>
  <c r="P14" i="24"/>
  <c r="D79" i="25" s="1"/>
  <c r="U20" i="24"/>
  <c r="E98" i="25" s="1"/>
  <c r="U64" i="24"/>
  <c r="E91" i="25" s="1"/>
  <c r="U19" i="24"/>
  <c r="E63" i="25" s="1"/>
  <c r="P50" i="24"/>
  <c r="D82" i="25" s="1"/>
  <c r="U36" i="24"/>
  <c r="E88" i="25" s="1"/>
  <c r="P63" i="24"/>
  <c r="D84" i="25" s="1"/>
  <c r="U24" i="24"/>
  <c r="E45" i="25" s="1"/>
  <c r="P33" i="24"/>
  <c r="D62" i="25" s="1"/>
  <c r="U28" i="24"/>
  <c r="E100" i="25" s="1"/>
  <c r="P61" i="24"/>
  <c r="D73" i="25" s="1"/>
  <c r="U9" i="24"/>
  <c r="E53" i="25" s="1"/>
  <c r="P4" i="24"/>
  <c r="D89" i="25" s="1"/>
  <c r="U48" i="24"/>
  <c r="E50" i="25" s="1"/>
  <c r="P51" i="24"/>
  <c r="U35" i="24"/>
  <c r="E58" i="25" s="1"/>
  <c r="P7" i="24"/>
  <c r="U54" i="24"/>
  <c r="E61" i="25" s="1"/>
  <c r="P12" i="24"/>
  <c r="D65" i="25" s="1"/>
  <c r="U7" i="24"/>
  <c r="E99" i="25" s="1"/>
  <c r="P18" i="24"/>
  <c r="D52" i="25" s="1"/>
  <c r="U10" i="24"/>
  <c r="E46" i="25" s="1"/>
  <c r="P62" i="24"/>
  <c r="U47" i="24"/>
  <c r="E44" i="25" s="1"/>
  <c r="P5" i="24"/>
  <c r="D94" i="25" s="1"/>
  <c r="P45" i="24"/>
  <c r="D55" i="25" s="1"/>
  <c r="U4" i="24"/>
  <c r="E89" i="25" s="1"/>
  <c r="P37" i="24"/>
  <c r="D87" i="25" s="1"/>
  <c r="U15" i="24"/>
  <c r="E49" i="25" s="1"/>
  <c r="P55" i="24"/>
  <c r="U67" i="24"/>
  <c r="E83" i="25" s="1"/>
  <c r="P57" i="24"/>
  <c r="D60" i="25" s="1"/>
  <c r="U43" i="24"/>
  <c r="E59" i="25" s="1"/>
  <c r="P15" i="24"/>
  <c r="U26" i="24"/>
  <c r="E93" i="25" s="1"/>
  <c r="P24" i="24"/>
  <c r="U12" i="24"/>
  <c r="E65" i="25" s="1"/>
  <c r="U18" i="24"/>
  <c r="E52" i="25" s="1"/>
  <c r="P23" i="24"/>
  <c r="P65" i="24"/>
  <c r="D80" i="25" s="1"/>
  <c r="P25" i="24"/>
  <c r="D42" i="25" s="1"/>
  <c r="U27" i="24"/>
  <c r="E64" i="25" s="1"/>
  <c r="P60" i="24"/>
  <c r="D97" i="25" s="1"/>
  <c r="U41" i="24"/>
  <c r="E71" i="25" s="1"/>
  <c r="P67" i="24"/>
  <c r="D83" i="25" s="1"/>
  <c r="U16" i="24"/>
  <c r="E43" i="25" s="1"/>
  <c r="P41" i="24"/>
  <c r="P16" i="24"/>
  <c r="D43" i="25" s="1"/>
  <c r="G43" i="25" s="1"/>
  <c r="U53" i="24"/>
  <c r="E75" i="25" s="1"/>
  <c r="P40" i="24"/>
  <c r="U61" i="24"/>
  <c r="E73" i="25" s="1"/>
  <c r="U49" i="24"/>
  <c r="E68" i="25" s="1"/>
  <c r="P26" i="24"/>
  <c r="U42" i="24"/>
  <c r="E77" i="25" s="1"/>
  <c r="G77" i="25" s="1"/>
  <c r="P32" i="24"/>
  <c r="P3" i="24"/>
  <c r="U17" i="24"/>
  <c r="E74" i="25" s="1"/>
  <c r="G74" i="25" s="1"/>
  <c r="U57" i="24"/>
  <c r="E60" i="25" s="1"/>
  <c r="U46" i="24"/>
  <c r="E92" i="25" s="1"/>
  <c r="P22" i="24"/>
  <c r="P58" i="24"/>
  <c r="U50" i="24"/>
  <c r="E82" i="25" s="1"/>
  <c r="P34" i="24"/>
  <c r="U65" i="24"/>
  <c r="E80" i="25" s="1"/>
  <c r="P27" i="24"/>
  <c r="U63" i="24"/>
  <c r="E84" i="25" s="1"/>
  <c r="P54" i="24"/>
  <c r="D61" i="25" s="1"/>
  <c r="U23" i="24"/>
  <c r="E70" i="25" s="1"/>
  <c r="P13" i="24"/>
  <c r="U5" i="24"/>
  <c r="E94" i="25" s="1"/>
  <c r="E110" i="25" s="1"/>
  <c r="P49" i="24"/>
  <c r="U29" i="24"/>
  <c r="E90" i="25" s="1"/>
  <c r="P52" i="24"/>
  <c r="P9" i="24"/>
  <c r="P48" i="24"/>
  <c r="D50" i="25" s="1"/>
  <c r="P39" i="24"/>
  <c r="U44" i="24"/>
  <c r="E95" i="25" s="1"/>
  <c r="P64" i="24"/>
  <c r="U14" i="24"/>
  <c r="E79" i="25" s="1"/>
  <c r="P66" i="24"/>
  <c r="U25" i="24"/>
  <c r="E42" i="25" s="1"/>
  <c r="P8" i="24"/>
  <c r="U31" i="24"/>
  <c r="E38" i="25" s="1"/>
  <c r="P38" i="24"/>
  <c r="U45" i="24"/>
  <c r="E55" i="25" s="1"/>
  <c r="P46" i="24"/>
  <c r="U59" i="24"/>
  <c r="E56" i="25" s="1"/>
  <c r="P28" i="24"/>
  <c r="U37" i="24"/>
  <c r="E87" i="25" s="1"/>
  <c r="P43" i="24"/>
  <c r="U33" i="24"/>
  <c r="E62" i="25" s="1"/>
  <c r="P19" i="24"/>
  <c r="U60" i="24"/>
  <c r="E97" i="25" s="1"/>
  <c r="AF22" i="24"/>
  <c r="AF46" i="24"/>
  <c r="AF54" i="24"/>
  <c r="AF17" i="24"/>
  <c r="AF48" i="24"/>
  <c r="AF53" i="24"/>
  <c r="AF24" i="24"/>
  <c r="AF63" i="24"/>
  <c r="AF36" i="24"/>
  <c r="AF49" i="24"/>
  <c r="AF4" i="24"/>
  <c r="AF64" i="24"/>
  <c r="AF55" i="24"/>
  <c r="AF65" i="24"/>
  <c r="AF29" i="24"/>
  <c r="AF31" i="24"/>
  <c r="AF18" i="24"/>
  <c r="AF8" i="24"/>
  <c r="AF20" i="24"/>
  <c r="AF58" i="24"/>
  <c r="AF41" i="24"/>
  <c r="AF9" i="24"/>
  <c r="AF19" i="24"/>
  <c r="AF52" i="24"/>
  <c r="AF45" i="24"/>
  <c r="AF60" i="24"/>
  <c r="AF50" i="24"/>
  <c r="AF59" i="24"/>
  <c r="AF7" i="24"/>
  <c r="AF32" i="24"/>
  <c r="AF67" i="24"/>
  <c r="AF11" i="24"/>
  <c r="AF23" i="24"/>
  <c r="AF10" i="24"/>
  <c r="AF30" i="24"/>
  <c r="AF43" i="24"/>
  <c r="AF25" i="24"/>
  <c r="AF27" i="24"/>
  <c r="AF42" i="24"/>
  <c r="AF6" i="24"/>
  <c r="AF34" i="24"/>
  <c r="AF57" i="24"/>
  <c r="AF5" i="24"/>
  <c r="AF61" i="24"/>
  <c r="AF12" i="24"/>
  <c r="AF44" i="24"/>
  <c r="AF38" i="24"/>
  <c r="AF39" i="24"/>
  <c r="AF40" i="24"/>
  <c r="AF66" i="24"/>
  <c r="AF62" i="24"/>
  <c r="AF35" i="24"/>
  <c r="AF51" i="24"/>
  <c r="AF13" i="24"/>
  <c r="AF15" i="24"/>
  <c r="AF37" i="24"/>
  <c r="AF14" i="24"/>
  <c r="AF26" i="24"/>
  <c r="AF33" i="24"/>
  <c r="AF47" i="24"/>
  <c r="AF21" i="24"/>
  <c r="AF3" i="24"/>
  <c r="AF16" i="24"/>
  <c r="AA78" i="24"/>
  <c r="O78" i="24"/>
  <c r="E78" i="24"/>
  <c r="J78" i="24"/>
  <c r="T78" i="24"/>
  <c r="O80" i="24"/>
  <c r="O76" i="24"/>
  <c r="AA79" i="24"/>
  <c r="O79" i="24"/>
  <c r="E79" i="24"/>
  <c r="T79" i="24"/>
  <c r="J79" i="24"/>
  <c r="T80" i="24"/>
  <c r="T77" i="24"/>
  <c r="T76" i="24"/>
  <c r="O77" i="24"/>
  <c r="O75" i="24"/>
  <c r="T75" i="24"/>
  <c r="O70" i="24"/>
  <c r="T70" i="24"/>
  <c r="O69" i="24"/>
  <c r="T69" i="24"/>
  <c r="G46" i="25" l="1"/>
  <c r="G88" i="25"/>
  <c r="E112" i="25"/>
  <c r="E111" i="25"/>
  <c r="E107" i="25"/>
  <c r="E108" i="25"/>
  <c r="E113" i="25"/>
  <c r="E109" i="25"/>
  <c r="G52" i="25"/>
  <c r="G94" i="25"/>
  <c r="G79" i="25"/>
  <c r="G56" i="25"/>
  <c r="G40" i="25"/>
  <c r="G83" i="25"/>
  <c r="G82" i="25"/>
  <c r="G61" i="25"/>
  <c r="G38" i="25"/>
  <c r="G89" i="25"/>
  <c r="G102" i="25"/>
  <c r="G42" i="25"/>
  <c r="G62" i="25"/>
  <c r="G60" i="25"/>
  <c r="G58" i="25"/>
  <c r="G98" i="25"/>
  <c r="G80" i="25"/>
  <c r="G84" i="25"/>
  <c r="G50" i="25"/>
  <c r="G90" i="25"/>
  <c r="G87" i="25"/>
  <c r="G101" i="25"/>
  <c r="G97" i="25"/>
  <c r="G65" i="25"/>
  <c r="G73" i="25"/>
  <c r="G95" i="25"/>
  <c r="G55" i="25"/>
  <c r="G75" i="25"/>
  <c r="AG43" i="24"/>
  <c r="D59" i="25"/>
  <c r="G59" i="25" s="1"/>
  <c r="AG8" i="24"/>
  <c r="D66" i="25"/>
  <c r="G66" i="25" s="1"/>
  <c r="AG9" i="24"/>
  <c r="D53" i="25"/>
  <c r="G53" i="25" s="1"/>
  <c r="AG40" i="24"/>
  <c r="D48" i="25"/>
  <c r="G48" i="25" s="1"/>
  <c r="AG15" i="24"/>
  <c r="D49" i="25"/>
  <c r="G49" i="25" s="1"/>
  <c r="AG52" i="24"/>
  <c r="D51" i="25"/>
  <c r="G51" i="25" s="1"/>
  <c r="AG27" i="24"/>
  <c r="D64" i="25"/>
  <c r="G64" i="25" s="1"/>
  <c r="AG7" i="24"/>
  <c r="D99" i="25"/>
  <c r="AG28" i="24"/>
  <c r="D100" i="25"/>
  <c r="G100" i="25" s="1"/>
  <c r="AG66" i="24"/>
  <c r="D57" i="25"/>
  <c r="G57" i="25" s="1"/>
  <c r="AG3" i="24"/>
  <c r="D86" i="25"/>
  <c r="AG11" i="24"/>
  <c r="D81" i="25"/>
  <c r="G81" i="25" s="1"/>
  <c r="AG49" i="24"/>
  <c r="D68" i="25"/>
  <c r="G68" i="25" s="1"/>
  <c r="AG34" i="24"/>
  <c r="D78" i="25"/>
  <c r="G78" i="25" s="1"/>
  <c r="AG32" i="24"/>
  <c r="D85" i="25"/>
  <c r="AG41" i="24"/>
  <c r="D71" i="25"/>
  <c r="G71" i="25" s="1"/>
  <c r="AG23" i="24"/>
  <c r="D70" i="25"/>
  <c r="G70" i="25" s="1"/>
  <c r="AG62" i="24"/>
  <c r="D67" i="25"/>
  <c r="G67" i="25" s="1"/>
  <c r="AG51" i="24"/>
  <c r="D72" i="25"/>
  <c r="G72" i="25" s="1"/>
  <c r="AG46" i="24"/>
  <c r="D92" i="25"/>
  <c r="G92" i="25" s="1"/>
  <c r="AG64" i="24"/>
  <c r="D91" i="25"/>
  <c r="AG55" i="24"/>
  <c r="D76" i="25"/>
  <c r="G76" i="25" s="1"/>
  <c r="AG47" i="24"/>
  <c r="D44" i="25"/>
  <c r="G44" i="25" s="1"/>
  <c r="AG21" i="24"/>
  <c r="D41" i="25"/>
  <c r="G41" i="25" s="1"/>
  <c r="AG13" i="24"/>
  <c r="D96" i="25"/>
  <c r="G96" i="25" s="1"/>
  <c r="AG58" i="24"/>
  <c r="D39" i="25"/>
  <c r="G39" i="25" s="1"/>
  <c r="AG26" i="24"/>
  <c r="D93" i="25"/>
  <c r="G93" i="25" s="1"/>
  <c r="AG19" i="24"/>
  <c r="D63" i="25"/>
  <c r="G63" i="25" s="1"/>
  <c r="AG38" i="24"/>
  <c r="D54" i="25"/>
  <c r="G54" i="25" s="1"/>
  <c r="AG39" i="24"/>
  <c r="D69" i="25"/>
  <c r="G69" i="25" s="1"/>
  <c r="AG22" i="24"/>
  <c r="D47" i="25"/>
  <c r="G47" i="25" s="1"/>
  <c r="AG24" i="24"/>
  <c r="D45" i="25"/>
  <c r="G45" i="25" s="1"/>
  <c r="AG48" i="24"/>
  <c r="AG54" i="24"/>
  <c r="AG60" i="24"/>
  <c r="AG12" i="24"/>
  <c r="AG61" i="24"/>
  <c r="AG44" i="24"/>
  <c r="AG45" i="24"/>
  <c r="AG10" i="24"/>
  <c r="AG36" i="24"/>
  <c r="AG53" i="24"/>
  <c r="AG25" i="24"/>
  <c r="AG5" i="24"/>
  <c r="AG33" i="24"/>
  <c r="AG14" i="24"/>
  <c r="AG16" i="24"/>
  <c r="AG65" i="24"/>
  <c r="AG57" i="24"/>
  <c r="AG31" i="24"/>
  <c r="AG35" i="24"/>
  <c r="AG20" i="24"/>
  <c r="AG59" i="24"/>
  <c r="U76" i="24"/>
  <c r="AG63" i="24"/>
  <c r="AG29" i="24"/>
  <c r="P77" i="24"/>
  <c r="AG18" i="24"/>
  <c r="AG4" i="24"/>
  <c r="AG50" i="24"/>
  <c r="AG56" i="24"/>
  <c r="AG6" i="24"/>
  <c r="AG37" i="24"/>
  <c r="AG30" i="24"/>
  <c r="AG42" i="24"/>
  <c r="AG17" i="24"/>
  <c r="AG67" i="24"/>
  <c r="U77" i="24"/>
  <c r="P76" i="24"/>
  <c r="AB79" i="24"/>
  <c r="U75" i="24"/>
  <c r="U70" i="24"/>
  <c r="E106" i="25" s="1"/>
  <c r="P79" i="24"/>
  <c r="U69" i="24"/>
  <c r="E104" i="25" s="1"/>
  <c r="E105" i="25" s="1"/>
  <c r="F79" i="24"/>
  <c r="K79" i="24"/>
  <c r="U79" i="24"/>
  <c r="U80" i="24"/>
  <c r="K78" i="24"/>
  <c r="F78" i="24"/>
  <c r="AB78" i="24"/>
  <c r="P75" i="24"/>
  <c r="P78" i="24"/>
  <c r="P70" i="24"/>
  <c r="D106" i="25" s="1"/>
  <c r="P69" i="24"/>
  <c r="D104" i="25" s="1"/>
  <c r="D105" i="25" s="1"/>
  <c r="U78" i="24"/>
  <c r="P80" i="24"/>
  <c r="AF80" i="24"/>
  <c r="AF79" i="24"/>
  <c r="AF70" i="24"/>
  <c r="AF75" i="24"/>
  <c r="AF78" i="24"/>
  <c r="AF76" i="24"/>
  <c r="AF77" i="24"/>
  <c r="AF69" i="24"/>
  <c r="G91" i="25" l="1"/>
  <c r="D113" i="25"/>
  <c r="D110" i="25"/>
  <c r="D111" i="25"/>
  <c r="G99" i="25"/>
  <c r="D108" i="25"/>
  <c r="G85" i="25"/>
  <c r="D107" i="25"/>
  <c r="G86" i="25"/>
  <c r="D112" i="25"/>
  <c r="D109" i="25"/>
  <c r="AG78" i="24"/>
  <c r="AG79" i="24"/>
  <c r="AG70" i="24"/>
  <c r="AG75" i="24"/>
  <c r="AG69" i="24"/>
  <c r="AG80" i="24"/>
  <c r="AG77" i="24"/>
  <c r="AG76" i="2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Serhat</author>
  </authors>
  <commentList>
    <comment ref="B3" authorId="0" shapeId="0" xr:uid="{00000000-0006-0000-0000-000001000000}">
      <text>
        <r>
          <rPr>
            <b/>
            <sz val="9"/>
            <color rgb="FF000000"/>
            <rFont val="Tahoma"/>
            <charset val="1"/>
          </rPr>
          <t>Serhat:</t>
        </r>
        <r>
          <rPr>
            <sz val="9"/>
            <color rgb="FF000000"/>
            <rFont val="Tahoma"/>
            <charset val="1"/>
          </rPr>
          <t xml:space="preserve">
</t>
        </r>
        <r>
          <rPr>
            <sz val="9"/>
            <color rgb="FF000000"/>
            <rFont val="Tahoma"/>
            <charset val="1"/>
          </rPr>
          <t>https://support.google.com/trends/answer/4365533?hl=en&amp;ref_topic=6248052</t>
        </r>
      </text>
    </comment>
    <comment ref="C28" authorId="0" shapeId="0" xr:uid="{00000000-0006-0000-0000-000002000000}">
      <text>
        <r>
          <rPr>
            <b/>
            <sz val="9"/>
            <color rgb="FF000000"/>
            <rFont val="Tahoma"/>
            <charset val="1"/>
          </rPr>
          <t>Serhat:</t>
        </r>
        <r>
          <rPr>
            <sz val="9"/>
            <color rgb="FF000000"/>
            <rFont val="Tahoma"/>
            <charset val="1"/>
          </rPr>
          <t xml:space="preserve">
</t>
        </r>
        <r>
          <rPr>
            <sz val="9"/>
            <color rgb="FF000000"/>
            <rFont val="Tahoma"/>
            <charset val="1"/>
          </rPr>
          <t>https://support.google.com/trends/answer/4359550?hl=en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Serhat</author>
    <author>Serhat Arslan</author>
  </authors>
  <commentList>
    <comment ref="D2" authorId="0" shapeId="0" xr:uid="{00000000-0006-0000-0200-000001000000}">
      <text>
        <r>
          <rPr>
            <b/>
            <sz val="9"/>
            <color rgb="FF000000"/>
            <rFont val="Tahoma"/>
            <charset val="1"/>
          </rPr>
          <t>Serhat:</t>
        </r>
        <r>
          <rPr>
            <sz val="9"/>
            <color rgb="FF000000"/>
            <rFont val="Tahoma"/>
            <charset val="1"/>
          </rPr>
          <t xml:space="preserve">
</t>
        </r>
        <r>
          <rPr>
            <sz val="9"/>
            <color rgb="FF000000"/>
            <rFont val="Tahoma"/>
            <charset val="1"/>
          </rPr>
          <t>https://www.itu.int/en/ITU-D/Statistics/Pages/stat/default.aspx</t>
        </r>
      </text>
    </comment>
    <comment ref="I2" authorId="0" shapeId="0" xr:uid="{00000000-0006-0000-0200-000002000000}">
      <text>
        <r>
          <rPr>
            <b/>
            <sz val="9"/>
            <color rgb="FF000000"/>
            <rFont val="Tahoma"/>
            <charset val="1"/>
          </rPr>
          <t>Serhat:</t>
        </r>
        <r>
          <rPr>
            <sz val="9"/>
            <color rgb="FF000000"/>
            <rFont val="Tahoma"/>
            <charset val="1"/>
          </rPr>
          <t xml:space="preserve">
</t>
        </r>
        <r>
          <rPr>
            <sz val="9"/>
            <color rgb="FF000000"/>
            <rFont val="Tahoma"/>
            <charset val="1"/>
          </rPr>
          <t>https://www.itu.int/en/ITU-D/Statistics/Pages/stat/default.aspx</t>
        </r>
      </text>
    </comment>
    <comment ref="N2" authorId="0" shapeId="0" xr:uid="{00000000-0006-0000-0200-000003000000}">
      <text>
        <r>
          <rPr>
            <b/>
            <sz val="9"/>
            <color indexed="81"/>
            <rFont val="Tahoma"/>
            <charset val="1"/>
          </rPr>
          <t>Serhat:</t>
        </r>
        <r>
          <rPr>
            <sz val="9"/>
            <color indexed="81"/>
            <rFont val="Tahoma"/>
            <charset val="1"/>
          </rPr>
          <t xml:space="preserve">
https://www.itu.int/en/ITU-D/Statistics/Pages/stat/default.aspx</t>
        </r>
      </text>
    </comment>
    <comment ref="S2" authorId="0" shapeId="0" xr:uid="{00000000-0006-0000-0200-000004000000}">
      <text>
        <r>
          <rPr>
            <b/>
            <sz val="9"/>
            <color indexed="81"/>
            <rFont val="Tahoma"/>
            <charset val="1"/>
          </rPr>
          <t>Serhat:</t>
        </r>
        <r>
          <rPr>
            <sz val="9"/>
            <color indexed="81"/>
            <rFont val="Tahoma"/>
            <charset val="1"/>
          </rPr>
          <t xml:space="preserve">
https://www.itu.int/en/ITU-D/Statistics/Pages/stat/default.aspx</t>
        </r>
      </text>
    </comment>
    <comment ref="X2" authorId="0" shapeId="0" xr:uid="{00000000-0006-0000-0200-000005000000}">
      <text>
        <r>
          <rPr>
            <b/>
            <sz val="9"/>
            <color indexed="81"/>
            <rFont val="Tahoma"/>
            <charset val="1"/>
          </rPr>
          <t>Serhat:</t>
        </r>
        <r>
          <rPr>
            <sz val="9"/>
            <color indexed="81"/>
            <rFont val="Tahoma"/>
            <charset val="1"/>
          </rPr>
          <t xml:space="preserve">
https://www.itu.int/en/ITU-D/Statistics/Pages/stat/default.aspx</t>
        </r>
      </text>
    </comment>
    <comment ref="Y2" authorId="0" shapeId="0" xr:uid="{00000000-0006-0000-0200-000006000000}">
      <text>
        <r>
          <rPr>
            <b/>
            <sz val="9"/>
            <color indexed="81"/>
            <rFont val="Tahoma"/>
            <charset val="1"/>
          </rPr>
          <t>Serhat:</t>
        </r>
        <r>
          <rPr>
            <sz val="9"/>
            <color indexed="81"/>
            <rFont val="Tahoma"/>
            <charset val="1"/>
          </rPr>
          <t xml:space="preserve">
https://population.un.org/wpp/</t>
        </r>
      </text>
    </comment>
    <comment ref="X3" authorId="0" shapeId="0" xr:uid="{00000000-0006-0000-0200-000007000000}">
      <text>
        <r>
          <rPr>
            <b/>
            <sz val="9"/>
            <color indexed="81"/>
            <rFont val="Tahoma"/>
            <family val="2"/>
            <charset val="162"/>
          </rPr>
          <t>Serhat:</t>
        </r>
        <r>
          <rPr>
            <sz val="9"/>
            <color indexed="81"/>
            <rFont val="Tahoma"/>
            <family val="2"/>
            <charset val="162"/>
          </rPr>
          <t xml:space="preserve">
calculated from the hidden cells</t>
        </r>
      </text>
    </comment>
    <comment ref="Z3" authorId="0" shapeId="0" xr:uid="{00000000-0006-0000-0200-000008000000}">
      <text>
        <r>
          <rPr>
            <b/>
            <sz val="9"/>
            <color indexed="81"/>
            <rFont val="Tahoma"/>
            <family val="2"/>
            <charset val="162"/>
          </rPr>
          <t>Serhat:</t>
        </r>
        <r>
          <rPr>
            <sz val="9"/>
            <color indexed="81"/>
            <rFont val="Tahoma"/>
            <family val="2"/>
            <charset val="162"/>
          </rPr>
          <t xml:space="preserve">
https://www.statista.com/study/12322/global-internet-usage-statista-dossier/</t>
        </r>
      </text>
    </comment>
    <comment ref="X5" authorId="0" shapeId="0" xr:uid="{00000000-0006-0000-0200-000009000000}">
      <text>
        <r>
          <rPr>
            <b/>
            <sz val="9"/>
            <color indexed="81"/>
            <rFont val="Tahoma"/>
            <family val="2"/>
            <charset val="162"/>
          </rPr>
          <t>Serhat:</t>
        </r>
        <r>
          <rPr>
            <sz val="9"/>
            <color indexed="81"/>
            <rFont val="Tahoma"/>
            <family val="2"/>
            <charset val="162"/>
          </rPr>
          <t xml:space="preserve">
calculated from the hidden cells</t>
        </r>
      </text>
    </comment>
    <comment ref="Z5" authorId="0" shapeId="0" xr:uid="{00000000-0006-0000-0200-00000A000000}">
      <text>
        <r>
          <rPr>
            <b/>
            <sz val="9"/>
            <color indexed="81"/>
            <rFont val="Tahoma"/>
            <family val="2"/>
            <charset val="162"/>
          </rPr>
          <t>Serhat:</t>
        </r>
        <r>
          <rPr>
            <sz val="9"/>
            <color indexed="81"/>
            <rFont val="Tahoma"/>
            <family val="2"/>
            <charset val="162"/>
          </rPr>
          <t xml:space="preserve">
https://www.statista.com/statistics/974318/israel-number-of-internet-users/</t>
        </r>
      </text>
    </comment>
    <comment ref="X7" authorId="0" shapeId="0" xr:uid="{00000000-0006-0000-0200-00000F000000}">
      <text>
        <r>
          <rPr>
            <b/>
            <sz val="9"/>
            <color indexed="81"/>
            <rFont val="Tahoma"/>
            <charset val="1"/>
          </rPr>
          <t>Serhat:</t>
        </r>
        <r>
          <rPr>
            <sz val="9"/>
            <color indexed="81"/>
            <rFont val="Tahoma"/>
            <charset val="1"/>
          </rPr>
          <t xml:space="preserve">
https://www.statista.com/study/12322/global-internet-usage-statista-dossier/</t>
        </r>
      </text>
    </comment>
    <comment ref="X8" authorId="0" shapeId="0" xr:uid="{00000000-0006-0000-0200-00000B000000}">
      <text>
        <r>
          <rPr>
            <b/>
            <sz val="9"/>
            <color indexed="81"/>
            <rFont val="Tahoma"/>
            <family val="2"/>
            <charset val="162"/>
          </rPr>
          <t>Serhat:</t>
        </r>
        <r>
          <rPr>
            <sz val="9"/>
            <color indexed="81"/>
            <rFont val="Tahoma"/>
            <family val="2"/>
            <charset val="162"/>
          </rPr>
          <t xml:space="preserve">
calculated from the hidden cells</t>
        </r>
      </text>
    </comment>
    <comment ref="Z8" authorId="0" shapeId="0" xr:uid="{00000000-0006-0000-0200-00000C000000}">
      <text>
        <r>
          <rPr>
            <b/>
            <sz val="9"/>
            <color indexed="81"/>
            <rFont val="Tahoma"/>
            <family val="2"/>
            <charset val="162"/>
          </rPr>
          <t>Serhat:</t>
        </r>
        <r>
          <rPr>
            <sz val="9"/>
            <color indexed="81"/>
            <rFont val="Tahoma"/>
            <family val="2"/>
            <charset val="162"/>
          </rPr>
          <t xml:space="preserve">
https://www.statista.com/study/12322/global-internet-usage-statista-dossier/</t>
        </r>
      </text>
    </comment>
    <comment ref="AI8" authorId="1" shapeId="0" xr:uid="{C09C6995-24B2-8740-BA36-C0BBB2B76423}">
      <text>
        <r>
          <rPr>
            <b/>
            <sz val="10"/>
            <color rgb="FF000000"/>
            <rFont val="Tahoma"/>
            <family val="2"/>
          </rPr>
          <t>Serhat Arslan:</t>
        </r>
        <r>
          <rPr>
            <sz val="10"/>
            <color rgb="FF000000"/>
            <rFont val="Tahoma"/>
            <family val="2"/>
          </rPr>
          <t xml:space="preserve">
</t>
        </r>
        <r>
          <rPr>
            <sz val="10"/>
            <color rgb="FF000000"/>
            <rFont val="Tahoma"/>
            <family val="2"/>
          </rPr>
          <t>The last HDI calculated for Taiwan is in 2014.</t>
        </r>
      </text>
    </comment>
    <comment ref="X12" authorId="0" shapeId="0" xr:uid="{00000000-0006-0000-0200-000011000000}">
      <text>
        <r>
          <rPr>
            <b/>
            <sz val="9"/>
            <color indexed="81"/>
            <rFont val="Tahoma"/>
            <charset val="1"/>
          </rPr>
          <t>Serhat:</t>
        </r>
        <r>
          <rPr>
            <sz val="9"/>
            <color indexed="81"/>
            <rFont val="Tahoma"/>
            <charset val="1"/>
          </rPr>
          <t xml:space="preserve">
https://www.statista.com/study/12322/global-internet-usage-statista-dossier/</t>
        </r>
      </text>
    </comment>
    <comment ref="X31" authorId="0" shapeId="0" xr:uid="{00000000-0006-0000-0200-000012000000}">
      <text>
        <r>
          <rPr>
            <b/>
            <sz val="9"/>
            <color indexed="81"/>
            <rFont val="Tahoma"/>
            <charset val="1"/>
          </rPr>
          <t>Serhat:</t>
        </r>
        <r>
          <rPr>
            <sz val="9"/>
            <color indexed="81"/>
            <rFont val="Tahoma"/>
            <charset val="1"/>
          </rPr>
          <t xml:space="preserve">
https://www.statista.com/study/12322/global-internet-usage-statista-dossier/</t>
        </r>
      </text>
    </comment>
    <comment ref="X32" authorId="0" shapeId="0" xr:uid="{00000000-0006-0000-0200-00001C000000}">
      <text>
        <r>
          <rPr>
            <b/>
            <sz val="9"/>
            <color indexed="81"/>
            <rFont val="Tahoma"/>
            <family val="2"/>
            <charset val="162"/>
          </rPr>
          <t>Serhat:</t>
        </r>
        <r>
          <rPr>
            <sz val="9"/>
            <color indexed="81"/>
            <rFont val="Tahoma"/>
            <family val="2"/>
            <charset val="162"/>
          </rPr>
          <t xml:space="preserve">
calculated from the hidden cells</t>
        </r>
      </text>
    </comment>
    <comment ref="Z32" authorId="0" shapeId="0" xr:uid="{00000000-0006-0000-0200-00001D000000}">
      <text>
        <r>
          <rPr>
            <b/>
            <sz val="9"/>
            <color indexed="81"/>
            <rFont val="Tahoma"/>
            <family val="2"/>
            <charset val="162"/>
          </rPr>
          <t>Serhat:</t>
        </r>
        <r>
          <rPr>
            <sz val="9"/>
            <color indexed="81"/>
            <rFont val="Tahoma"/>
            <family val="2"/>
            <charset val="162"/>
          </rPr>
          <t xml:space="preserve">
https://www.statista.com/study/12322/global-internet-usage-statista-dossier/</t>
        </r>
      </text>
    </comment>
    <comment ref="X35" authorId="0" shapeId="0" xr:uid="{00000000-0006-0000-0200-000010000000}">
      <text>
        <r>
          <rPr>
            <b/>
            <sz val="9"/>
            <color indexed="81"/>
            <rFont val="Tahoma"/>
            <charset val="1"/>
          </rPr>
          <t>Serhat:</t>
        </r>
        <r>
          <rPr>
            <sz val="9"/>
            <color indexed="81"/>
            <rFont val="Tahoma"/>
            <charset val="1"/>
          </rPr>
          <t xml:space="preserve">
https://www.statista.com/study/12322/global-internet-usage-statista-dossier/</t>
        </r>
      </text>
    </comment>
    <comment ref="X41" authorId="0" shapeId="0" xr:uid="{00000000-0006-0000-0200-000018000000}">
      <text>
        <r>
          <rPr>
            <b/>
            <sz val="9"/>
            <color indexed="81"/>
            <rFont val="Tahoma"/>
            <family val="2"/>
            <charset val="162"/>
          </rPr>
          <t>Serhat:</t>
        </r>
        <r>
          <rPr>
            <sz val="9"/>
            <color indexed="81"/>
            <rFont val="Tahoma"/>
            <family val="2"/>
            <charset val="162"/>
          </rPr>
          <t xml:space="preserve">
calculated from the hidden cells</t>
        </r>
      </text>
    </comment>
    <comment ref="Z41" authorId="0" shapeId="0" xr:uid="{00000000-0006-0000-0200-000019000000}">
      <text>
        <r>
          <rPr>
            <b/>
            <sz val="9"/>
            <color indexed="81"/>
            <rFont val="Tahoma"/>
            <family val="2"/>
            <charset val="162"/>
          </rPr>
          <t>Serhat:</t>
        </r>
        <r>
          <rPr>
            <sz val="9"/>
            <color indexed="81"/>
            <rFont val="Tahoma"/>
            <family val="2"/>
            <charset val="162"/>
          </rPr>
          <t xml:space="preserve">
https://www.statista.com/study/12322/global-internet-usage-statista-dossier/</t>
        </r>
      </text>
    </comment>
    <comment ref="X43" authorId="0" shapeId="0" xr:uid="{00000000-0006-0000-0200-000013000000}">
      <text>
        <r>
          <rPr>
            <b/>
            <sz val="9"/>
            <color indexed="81"/>
            <rFont val="Tahoma"/>
            <family val="2"/>
            <charset val="162"/>
          </rPr>
          <t>Serhat:</t>
        </r>
        <r>
          <rPr>
            <sz val="9"/>
            <color indexed="81"/>
            <rFont val="Tahoma"/>
            <family val="2"/>
            <charset val="162"/>
          </rPr>
          <t xml:space="preserve">
calculated from the hidden cells</t>
        </r>
      </text>
    </comment>
    <comment ref="Z43" authorId="0" shapeId="0" xr:uid="{00000000-0006-0000-0200-000014000000}">
      <text>
        <r>
          <rPr>
            <b/>
            <sz val="9"/>
            <color indexed="81"/>
            <rFont val="Tahoma"/>
            <family val="2"/>
            <charset val="162"/>
          </rPr>
          <t>Serhat:</t>
        </r>
        <r>
          <rPr>
            <sz val="9"/>
            <color indexed="81"/>
            <rFont val="Tahoma"/>
            <family val="2"/>
            <charset val="162"/>
          </rPr>
          <t xml:space="preserve">
https://www.statista.com/study/12322/global-internet-usage-statista-dossier/</t>
        </r>
      </text>
    </comment>
    <comment ref="X46" authorId="0" shapeId="0" xr:uid="{00000000-0006-0000-0200-000022000000}">
      <text>
        <r>
          <rPr>
            <b/>
            <sz val="9"/>
            <color indexed="81"/>
            <rFont val="Tahoma"/>
            <charset val="1"/>
          </rPr>
          <t>Serhat:</t>
        </r>
        <r>
          <rPr>
            <sz val="9"/>
            <color indexed="81"/>
            <rFont val="Tahoma"/>
            <charset val="1"/>
          </rPr>
          <t xml:space="preserve">
https://www.statista.com/study/12322/global-internet-usage-statista-dossier/</t>
        </r>
      </text>
    </comment>
    <comment ref="X47" authorId="0" shapeId="0" xr:uid="{00000000-0006-0000-0200-000015000000}">
      <text>
        <r>
          <rPr>
            <b/>
            <sz val="9"/>
            <color indexed="81"/>
            <rFont val="Tahoma"/>
            <charset val="1"/>
          </rPr>
          <t>Serhat:</t>
        </r>
        <r>
          <rPr>
            <sz val="9"/>
            <color indexed="81"/>
            <rFont val="Tahoma"/>
            <charset val="1"/>
          </rPr>
          <t xml:space="preserve">
https://www.statista.com/study/12322/global-internet-usage-statista-dossier/</t>
        </r>
      </text>
    </comment>
    <comment ref="X48" authorId="0" shapeId="0" xr:uid="{00000000-0006-0000-0200-00001A000000}">
      <text>
        <r>
          <rPr>
            <b/>
            <sz val="9"/>
            <color indexed="81"/>
            <rFont val="Tahoma"/>
            <family val="2"/>
            <charset val="162"/>
          </rPr>
          <t>Serhat:</t>
        </r>
        <r>
          <rPr>
            <sz val="9"/>
            <color indexed="81"/>
            <rFont val="Tahoma"/>
            <family val="2"/>
            <charset val="162"/>
          </rPr>
          <t xml:space="preserve">
https://www.statista.com/statistics/1023197/ukraine-internet-penetration/</t>
        </r>
      </text>
    </comment>
    <comment ref="X49" authorId="0" shapeId="0" xr:uid="{00000000-0006-0000-0200-000020000000}">
      <text>
        <r>
          <rPr>
            <b/>
            <sz val="9"/>
            <color indexed="81"/>
            <rFont val="Tahoma"/>
            <family val="2"/>
            <charset val="162"/>
          </rPr>
          <t>Serhat:</t>
        </r>
        <r>
          <rPr>
            <sz val="9"/>
            <color indexed="81"/>
            <rFont val="Tahoma"/>
            <family val="2"/>
            <charset val="162"/>
          </rPr>
          <t xml:space="preserve">
calculated from the hidden cells</t>
        </r>
      </text>
    </comment>
    <comment ref="Z49" authorId="0" shapeId="0" xr:uid="{00000000-0006-0000-0200-000021000000}">
      <text>
        <r>
          <rPr>
            <b/>
            <sz val="9"/>
            <color indexed="81"/>
            <rFont val="Tahoma"/>
            <family val="2"/>
            <charset val="162"/>
          </rPr>
          <t>Serhat:</t>
        </r>
        <r>
          <rPr>
            <sz val="9"/>
            <color indexed="81"/>
            <rFont val="Tahoma"/>
            <family val="2"/>
            <charset val="162"/>
          </rPr>
          <t xml:space="preserve">
https://www.statista.com/study/12322/global-internet-usage-statista-dossier/</t>
        </r>
      </text>
    </comment>
    <comment ref="X50" authorId="0" shapeId="0" xr:uid="{00000000-0006-0000-0200-00001B000000}">
      <text>
        <r>
          <rPr>
            <b/>
            <sz val="9"/>
            <color indexed="81"/>
            <rFont val="Tahoma"/>
            <charset val="1"/>
          </rPr>
          <t>Serhat:</t>
        </r>
        <r>
          <rPr>
            <sz val="9"/>
            <color indexed="81"/>
            <rFont val="Tahoma"/>
            <charset val="1"/>
          </rPr>
          <t xml:space="preserve">
https://www.statista.com/study/12322/global-internet-usage-statista-dossier/</t>
        </r>
      </text>
    </comment>
    <comment ref="X51" authorId="0" shapeId="0" xr:uid="{00000000-0006-0000-0200-00001E000000}">
      <text>
        <r>
          <rPr>
            <b/>
            <sz val="9"/>
            <color indexed="81"/>
            <rFont val="Tahoma"/>
            <family val="2"/>
            <charset val="162"/>
          </rPr>
          <t>Serhat:</t>
        </r>
        <r>
          <rPr>
            <sz val="9"/>
            <color indexed="81"/>
            <rFont val="Tahoma"/>
            <family val="2"/>
            <charset val="162"/>
          </rPr>
          <t xml:space="preserve">
calculated from the hidden cells</t>
        </r>
      </text>
    </comment>
    <comment ref="Z51" authorId="0" shapeId="0" xr:uid="{00000000-0006-0000-0200-00001F000000}">
      <text>
        <r>
          <rPr>
            <b/>
            <sz val="9"/>
            <color indexed="81"/>
            <rFont val="Tahoma"/>
            <family val="2"/>
            <charset val="162"/>
          </rPr>
          <t>Serhat:</t>
        </r>
        <r>
          <rPr>
            <sz val="9"/>
            <color indexed="81"/>
            <rFont val="Tahoma"/>
            <family val="2"/>
            <charset val="162"/>
          </rPr>
          <t xml:space="preserve">
https://www.statista.com/study/12322/global-internet-usage-statista-dossier/</t>
        </r>
      </text>
    </comment>
    <comment ref="X57" authorId="0" shapeId="0" xr:uid="{00000000-0006-0000-0200-000016000000}">
      <text>
        <r>
          <rPr>
            <b/>
            <sz val="9"/>
            <color indexed="81"/>
            <rFont val="Tahoma"/>
            <family val="2"/>
            <charset val="162"/>
          </rPr>
          <t>Serhat:</t>
        </r>
        <r>
          <rPr>
            <sz val="9"/>
            <color indexed="81"/>
            <rFont val="Tahoma"/>
            <family val="2"/>
            <charset val="162"/>
          </rPr>
          <t xml:space="preserve">
calculated from the hidden cells</t>
        </r>
      </text>
    </comment>
    <comment ref="Z57" authorId="0" shapeId="0" xr:uid="{00000000-0006-0000-0200-000017000000}">
      <text>
        <r>
          <rPr>
            <b/>
            <sz val="9"/>
            <color indexed="81"/>
            <rFont val="Tahoma"/>
            <family val="2"/>
            <charset val="162"/>
          </rPr>
          <t>Serhat:</t>
        </r>
        <r>
          <rPr>
            <sz val="9"/>
            <color indexed="81"/>
            <rFont val="Tahoma"/>
            <family val="2"/>
            <charset val="162"/>
          </rPr>
          <t xml:space="preserve">
https://www.statista.com/study/12322/global-internet-usage-statista-dossier/</t>
        </r>
      </text>
    </comment>
    <comment ref="X58" authorId="0" shapeId="0" xr:uid="{00000000-0006-0000-0200-00000D000000}">
      <text>
        <r>
          <rPr>
            <b/>
            <sz val="9"/>
            <color indexed="81"/>
            <rFont val="Tahoma"/>
            <family val="2"/>
            <charset val="162"/>
          </rPr>
          <t>Serhat:</t>
        </r>
        <r>
          <rPr>
            <sz val="9"/>
            <color indexed="81"/>
            <rFont val="Tahoma"/>
            <family val="2"/>
            <charset val="162"/>
          </rPr>
          <t xml:space="preserve">
calculated from the hidden cells</t>
        </r>
      </text>
    </comment>
    <comment ref="Z58" authorId="0" shapeId="0" xr:uid="{00000000-0006-0000-0200-00000E000000}">
      <text>
        <r>
          <rPr>
            <b/>
            <sz val="9"/>
            <color indexed="81"/>
            <rFont val="Tahoma"/>
            <family val="2"/>
            <charset val="162"/>
          </rPr>
          <t>Serhat:</t>
        </r>
        <r>
          <rPr>
            <sz val="9"/>
            <color indexed="81"/>
            <rFont val="Tahoma"/>
            <family val="2"/>
            <charset val="162"/>
          </rPr>
          <t xml:space="preserve">
https://www.statista.com/study/12322/global-internet-usage-statista-dossier/</t>
        </r>
      </text>
    </comment>
    <comment ref="X62" authorId="0" shapeId="0" xr:uid="{00000000-0006-0000-0200-000023000000}">
      <text>
        <r>
          <rPr>
            <b/>
            <sz val="9"/>
            <color indexed="81"/>
            <rFont val="Tahoma"/>
            <family val="2"/>
            <charset val="162"/>
          </rPr>
          <t>Serhat:</t>
        </r>
        <r>
          <rPr>
            <sz val="9"/>
            <color indexed="81"/>
            <rFont val="Tahoma"/>
            <family val="2"/>
            <charset val="162"/>
          </rPr>
          <t xml:space="preserve">
calculated from the hidden cells</t>
        </r>
      </text>
    </comment>
    <comment ref="Z62" authorId="0" shapeId="0" xr:uid="{00000000-0006-0000-0200-000024000000}">
      <text>
        <r>
          <rPr>
            <b/>
            <sz val="9"/>
            <color indexed="81"/>
            <rFont val="Tahoma"/>
            <family val="2"/>
            <charset val="162"/>
          </rPr>
          <t>Serhat:</t>
        </r>
        <r>
          <rPr>
            <sz val="9"/>
            <color indexed="81"/>
            <rFont val="Tahoma"/>
            <family val="2"/>
            <charset val="162"/>
          </rPr>
          <t xml:space="preserve">
https://www.statista.com/study/12322/global-internet-usage-statista-dossier/</t>
        </r>
      </text>
    </comment>
    <comment ref="X63" authorId="0" shapeId="0" xr:uid="{00000000-0006-0000-0200-000027000000}">
      <text>
        <r>
          <rPr>
            <b/>
            <sz val="9"/>
            <color indexed="81"/>
            <rFont val="Tahoma"/>
            <family val="2"/>
            <charset val="162"/>
          </rPr>
          <t>Serhat:</t>
        </r>
        <r>
          <rPr>
            <sz val="9"/>
            <color indexed="81"/>
            <rFont val="Tahoma"/>
            <family val="2"/>
            <charset val="162"/>
          </rPr>
          <t xml:space="preserve">
calculated from the hidden cells</t>
        </r>
      </text>
    </comment>
    <comment ref="Z63" authorId="0" shapeId="0" xr:uid="{00000000-0006-0000-0200-000028000000}">
      <text>
        <r>
          <rPr>
            <b/>
            <sz val="9"/>
            <color indexed="81"/>
            <rFont val="Tahoma"/>
            <family val="2"/>
            <charset val="162"/>
          </rPr>
          <t>Serhat:</t>
        </r>
        <r>
          <rPr>
            <sz val="9"/>
            <color indexed="81"/>
            <rFont val="Tahoma"/>
            <family val="2"/>
            <charset val="162"/>
          </rPr>
          <t xml:space="preserve">
https://www.statista.com/study/12322/global-internet-usage-statista-dossier/</t>
        </r>
      </text>
    </comment>
    <comment ref="X64" authorId="0" shapeId="0" xr:uid="{00000000-0006-0000-0200-000029000000}">
      <text>
        <r>
          <rPr>
            <b/>
            <sz val="9"/>
            <color indexed="81"/>
            <rFont val="Tahoma"/>
            <family val="2"/>
            <charset val="162"/>
          </rPr>
          <t>Serhat:</t>
        </r>
        <r>
          <rPr>
            <sz val="9"/>
            <color indexed="81"/>
            <rFont val="Tahoma"/>
            <family val="2"/>
            <charset val="162"/>
          </rPr>
          <t xml:space="preserve">
calculated from the hidden cells</t>
        </r>
      </text>
    </comment>
    <comment ref="Z64" authorId="0" shapeId="0" xr:uid="{00000000-0006-0000-0200-00002A000000}">
      <text>
        <r>
          <rPr>
            <b/>
            <sz val="9"/>
            <color indexed="81"/>
            <rFont val="Tahoma"/>
            <family val="2"/>
            <charset val="162"/>
          </rPr>
          <t>Serhat:</t>
        </r>
        <r>
          <rPr>
            <sz val="9"/>
            <color indexed="81"/>
            <rFont val="Tahoma"/>
            <family val="2"/>
            <charset val="162"/>
          </rPr>
          <t xml:space="preserve">
https://www.statista.com/study/12322/global-internet-usage-statista-dossier/</t>
        </r>
      </text>
    </comment>
    <comment ref="X65" authorId="0" shapeId="0" xr:uid="{00000000-0006-0000-0200-00002B000000}">
      <text>
        <r>
          <rPr>
            <b/>
            <sz val="9"/>
            <color indexed="81"/>
            <rFont val="Tahoma"/>
            <family val="2"/>
            <charset val="162"/>
          </rPr>
          <t>Serhat:</t>
        </r>
        <r>
          <rPr>
            <sz val="9"/>
            <color indexed="81"/>
            <rFont val="Tahoma"/>
            <family val="2"/>
            <charset val="162"/>
          </rPr>
          <t xml:space="preserve">
calculated from the hidden cells</t>
        </r>
      </text>
    </comment>
    <comment ref="Z65" authorId="0" shapeId="0" xr:uid="{00000000-0006-0000-0200-00002C000000}">
      <text>
        <r>
          <rPr>
            <b/>
            <sz val="9"/>
            <color indexed="81"/>
            <rFont val="Tahoma"/>
            <family val="2"/>
            <charset val="162"/>
          </rPr>
          <t>Serhat:</t>
        </r>
        <r>
          <rPr>
            <sz val="9"/>
            <color indexed="81"/>
            <rFont val="Tahoma"/>
            <family val="2"/>
            <charset val="162"/>
          </rPr>
          <t xml:space="preserve">
https://www.statista.com/study/12322/global-internet-usage-statista-dossier/</t>
        </r>
      </text>
    </comment>
    <comment ref="X66" authorId="0" shapeId="0" xr:uid="{00000000-0006-0000-0200-000025000000}">
      <text>
        <r>
          <rPr>
            <b/>
            <sz val="9"/>
            <color indexed="81"/>
            <rFont val="Tahoma"/>
            <family val="2"/>
            <charset val="162"/>
          </rPr>
          <t>Serhat:</t>
        </r>
        <r>
          <rPr>
            <sz val="9"/>
            <color indexed="81"/>
            <rFont val="Tahoma"/>
            <family val="2"/>
            <charset val="162"/>
          </rPr>
          <t xml:space="preserve">
calculated from the hidden cells</t>
        </r>
      </text>
    </comment>
    <comment ref="Z66" authorId="0" shapeId="0" xr:uid="{00000000-0006-0000-0200-000026000000}">
      <text>
        <r>
          <rPr>
            <b/>
            <sz val="9"/>
            <color indexed="81"/>
            <rFont val="Tahoma"/>
            <family val="2"/>
            <charset val="162"/>
          </rPr>
          <t>Serhat:</t>
        </r>
        <r>
          <rPr>
            <sz val="9"/>
            <color indexed="81"/>
            <rFont val="Tahoma"/>
            <family val="2"/>
            <charset val="162"/>
          </rPr>
          <t xml:space="preserve">
https://www.statista.com/study/12322/global-internet-usage-statista-dossier/</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Serhat</author>
  </authors>
  <commentList>
    <comment ref="G2" authorId="0" shapeId="0" xr:uid="{00000000-0006-0000-0300-000001000000}">
      <text>
        <r>
          <rPr>
            <b/>
            <sz val="9"/>
            <color indexed="81"/>
            <rFont val="Tahoma"/>
            <charset val="1"/>
          </rPr>
          <t>Serhat:</t>
        </r>
        <r>
          <rPr>
            <sz val="9"/>
            <color indexed="81"/>
            <rFont val="Tahoma"/>
            <charset val="1"/>
          </rPr>
          <t xml:space="preserve">
https://www.itu.int/en/ITU-D/Statistics/Pages/stat/default.aspx</t>
        </r>
      </text>
    </comment>
    <comment ref="H2" authorId="0" shapeId="0" xr:uid="{00000000-0006-0000-0300-000002000000}">
      <text>
        <r>
          <rPr>
            <b/>
            <sz val="9"/>
            <color indexed="81"/>
            <rFont val="Tahoma"/>
            <charset val="1"/>
          </rPr>
          <t>Serhat:</t>
        </r>
        <r>
          <rPr>
            <sz val="9"/>
            <color indexed="81"/>
            <rFont val="Tahoma"/>
            <charset val="1"/>
          </rPr>
          <t xml:space="preserve">
https://population.un.org/wpp/</t>
        </r>
      </text>
    </comment>
    <comment ref="G3" authorId="0" shapeId="0" xr:uid="{00000000-0006-0000-0300-000003000000}">
      <text>
        <r>
          <rPr>
            <b/>
            <sz val="9"/>
            <color indexed="81"/>
            <rFont val="Tahoma"/>
            <family val="2"/>
            <charset val="162"/>
          </rPr>
          <t>Serhat:</t>
        </r>
        <r>
          <rPr>
            <sz val="9"/>
            <color indexed="81"/>
            <rFont val="Tahoma"/>
            <family val="2"/>
            <charset val="162"/>
          </rPr>
          <t xml:space="preserve">
https://www.internetworldstats.com/africa.htm</t>
        </r>
      </text>
    </comment>
    <comment ref="G4" authorId="0" shapeId="0" xr:uid="{00000000-0006-0000-0300-000004000000}">
      <text>
        <r>
          <rPr>
            <b/>
            <sz val="9"/>
            <color indexed="81"/>
            <rFont val="Tahoma"/>
            <family val="2"/>
            <charset val="162"/>
          </rPr>
          <t>Serhat:</t>
        </r>
        <r>
          <rPr>
            <sz val="9"/>
            <color indexed="81"/>
            <rFont val="Tahoma"/>
            <family val="2"/>
            <charset val="162"/>
          </rPr>
          <t xml:space="preserve">
calculated from column G and H</t>
        </r>
      </text>
    </comment>
    <comment ref="I4" authorId="0" shapeId="0" xr:uid="{00000000-0006-0000-0300-000005000000}">
      <text>
        <r>
          <rPr>
            <b/>
            <sz val="9"/>
            <color indexed="81"/>
            <rFont val="Tahoma"/>
            <family val="2"/>
            <charset val="162"/>
          </rPr>
          <t>Serhat:</t>
        </r>
        <r>
          <rPr>
            <sz val="9"/>
            <color indexed="81"/>
            <rFont val="Tahoma"/>
            <family val="2"/>
            <charset val="162"/>
          </rPr>
          <t xml:space="preserve">
https://www.statista.com/study/12322/global-internet-usage-statista-dossier/</t>
        </r>
      </text>
    </comment>
    <comment ref="G6" authorId="0" shapeId="0" xr:uid="{00000000-0006-0000-0300-000006000000}">
      <text>
        <r>
          <rPr>
            <b/>
            <sz val="9"/>
            <color indexed="81"/>
            <rFont val="Tahoma"/>
            <family val="2"/>
            <charset val="162"/>
          </rPr>
          <t>Serhat:</t>
        </r>
        <r>
          <rPr>
            <sz val="9"/>
            <color indexed="81"/>
            <rFont val="Tahoma"/>
            <family val="2"/>
            <charset val="162"/>
          </rPr>
          <t xml:space="preserve">
calculated from column G and H</t>
        </r>
      </text>
    </comment>
    <comment ref="I6" authorId="0" shapeId="0" xr:uid="{00000000-0006-0000-0300-000007000000}">
      <text>
        <r>
          <rPr>
            <b/>
            <sz val="9"/>
            <color indexed="81"/>
            <rFont val="Tahoma"/>
            <family val="2"/>
            <charset val="162"/>
          </rPr>
          <t>Serhat:</t>
        </r>
        <r>
          <rPr>
            <sz val="9"/>
            <color indexed="81"/>
            <rFont val="Tahoma"/>
            <family val="2"/>
            <charset val="162"/>
          </rPr>
          <t xml:space="preserve">
https://www.statista.com/study/12322/global-internet-usage-statista-dossier/</t>
        </r>
      </text>
    </comment>
    <comment ref="G7" authorId="0" shapeId="0" xr:uid="{00000000-0006-0000-0300-000008000000}">
      <text>
        <r>
          <rPr>
            <b/>
            <sz val="9"/>
            <color indexed="81"/>
            <rFont val="Tahoma"/>
            <family val="2"/>
            <charset val="162"/>
          </rPr>
          <t>Serhat:</t>
        </r>
        <r>
          <rPr>
            <sz val="9"/>
            <color indexed="81"/>
            <rFont val="Tahoma"/>
            <family val="2"/>
            <charset val="162"/>
          </rPr>
          <t xml:space="preserve">
calculated from column G and H</t>
        </r>
      </text>
    </comment>
    <comment ref="I7" authorId="0" shapeId="0" xr:uid="{00000000-0006-0000-0300-000009000000}">
      <text>
        <r>
          <rPr>
            <b/>
            <sz val="9"/>
            <color indexed="81"/>
            <rFont val="Tahoma"/>
            <family val="2"/>
            <charset val="162"/>
          </rPr>
          <t>Serhat:</t>
        </r>
        <r>
          <rPr>
            <sz val="9"/>
            <color indexed="81"/>
            <rFont val="Tahoma"/>
            <family val="2"/>
            <charset val="162"/>
          </rPr>
          <t xml:space="preserve">
https://www.statista.com/study/12322/global-internet-usage-statista-dossier/</t>
        </r>
      </text>
    </comment>
    <comment ref="G8" authorId="0" shapeId="0" xr:uid="{00000000-0006-0000-0300-00000A000000}">
      <text>
        <r>
          <rPr>
            <b/>
            <sz val="9"/>
            <color indexed="81"/>
            <rFont val="Tahoma"/>
            <family val="2"/>
            <charset val="162"/>
          </rPr>
          <t>Serhat:</t>
        </r>
        <r>
          <rPr>
            <sz val="9"/>
            <color indexed="81"/>
            <rFont val="Tahoma"/>
            <family val="2"/>
            <charset val="162"/>
          </rPr>
          <t xml:space="preserve">
calculated from column G and H</t>
        </r>
      </text>
    </comment>
    <comment ref="I8" authorId="0" shapeId="0" xr:uid="{00000000-0006-0000-0300-00000B000000}">
      <text>
        <r>
          <rPr>
            <b/>
            <sz val="9"/>
            <color indexed="81"/>
            <rFont val="Tahoma"/>
            <family val="2"/>
            <charset val="162"/>
          </rPr>
          <t>Serhat:</t>
        </r>
        <r>
          <rPr>
            <sz val="9"/>
            <color indexed="81"/>
            <rFont val="Tahoma"/>
            <family val="2"/>
            <charset val="162"/>
          </rPr>
          <t xml:space="preserve">
https://www.statista.com/study/12322/global-internet-usage-statista-dossier/</t>
        </r>
      </text>
    </comment>
    <comment ref="G11" authorId="0" shapeId="0" xr:uid="{00000000-0006-0000-0300-00000C000000}">
      <text>
        <r>
          <rPr>
            <b/>
            <sz val="9"/>
            <color indexed="81"/>
            <rFont val="Tahoma"/>
            <family val="2"/>
            <charset val="162"/>
          </rPr>
          <t>Serhat:</t>
        </r>
        <r>
          <rPr>
            <sz val="9"/>
            <color indexed="81"/>
            <rFont val="Tahoma"/>
            <family val="2"/>
            <charset val="162"/>
          </rPr>
          <t xml:space="preserve">
calculated from column G and H</t>
        </r>
      </text>
    </comment>
    <comment ref="I11" authorId="0" shapeId="0" xr:uid="{00000000-0006-0000-0300-00000D000000}">
      <text>
        <r>
          <rPr>
            <b/>
            <sz val="9"/>
            <color indexed="81"/>
            <rFont val="Tahoma"/>
            <family val="2"/>
            <charset val="162"/>
          </rPr>
          <t>Serhat:</t>
        </r>
        <r>
          <rPr>
            <sz val="9"/>
            <color indexed="81"/>
            <rFont val="Tahoma"/>
            <family val="2"/>
            <charset val="162"/>
          </rPr>
          <t xml:space="preserve">
https://www.statista.com/statistics/974318/israel-number-of-internet-users/</t>
        </r>
      </text>
    </comment>
    <comment ref="G13" authorId="0" shapeId="0" xr:uid="{00000000-0006-0000-0300-00000E000000}">
      <text>
        <r>
          <rPr>
            <b/>
            <sz val="9"/>
            <color indexed="81"/>
            <rFont val="Tahoma"/>
            <charset val="1"/>
          </rPr>
          <t>Serhat:</t>
        </r>
        <r>
          <rPr>
            <sz val="9"/>
            <color indexed="81"/>
            <rFont val="Tahoma"/>
            <charset val="1"/>
          </rPr>
          <t xml:space="preserve">
https://www.statista.com/study/12322/global-internet-usage-statista-dossier/</t>
        </r>
      </text>
    </comment>
    <comment ref="G14" authorId="0" shapeId="0" xr:uid="{00000000-0006-0000-0300-00000F000000}">
      <text>
        <r>
          <rPr>
            <b/>
            <sz val="9"/>
            <color indexed="81"/>
            <rFont val="Tahoma"/>
            <family val="2"/>
            <charset val="162"/>
          </rPr>
          <t>Serhat:</t>
        </r>
        <r>
          <rPr>
            <sz val="9"/>
            <color indexed="81"/>
            <rFont val="Tahoma"/>
            <family val="2"/>
            <charset val="162"/>
          </rPr>
          <t xml:space="preserve">
calculated from column G and H</t>
        </r>
      </text>
    </comment>
    <comment ref="I14" authorId="0" shapeId="0" xr:uid="{00000000-0006-0000-0300-000010000000}">
      <text>
        <r>
          <rPr>
            <b/>
            <sz val="9"/>
            <color indexed="81"/>
            <rFont val="Tahoma"/>
            <family val="2"/>
            <charset val="162"/>
          </rPr>
          <t>Serhat:</t>
        </r>
        <r>
          <rPr>
            <sz val="9"/>
            <color indexed="81"/>
            <rFont val="Tahoma"/>
            <family val="2"/>
            <charset val="162"/>
          </rPr>
          <t xml:space="preserve">
https://www.statista.com/study/12322/global-internet-usage-statista-dossier/</t>
        </r>
      </text>
    </comment>
    <comment ref="G15" authorId="0" shapeId="0" xr:uid="{00000000-0006-0000-0300-000011000000}">
      <text>
        <r>
          <rPr>
            <b/>
            <sz val="9"/>
            <color indexed="81"/>
            <rFont val="Tahoma"/>
            <charset val="1"/>
          </rPr>
          <t>Serhat:</t>
        </r>
        <r>
          <rPr>
            <sz val="9"/>
            <color indexed="81"/>
            <rFont val="Tahoma"/>
            <charset val="1"/>
          </rPr>
          <t xml:space="preserve">
https://www.statista.com/study/12322/global-internet-usage-statista-dossier/</t>
        </r>
      </text>
    </comment>
    <comment ref="G18" authorId="0" shapeId="0" xr:uid="{00000000-0006-0000-0300-000012000000}">
      <text>
        <r>
          <rPr>
            <b/>
            <sz val="9"/>
            <color indexed="81"/>
            <rFont val="Tahoma"/>
            <family val="2"/>
            <charset val="162"/>
          </rPr>
          <t>Serhat:</t>
        </r>
        <r>
          <rPr>
            <sz val="9"/>
            <color indexed="81"/>
            <rFont val="Tahoma"/>
            <family val="2"/>
            <charset val="162"/>
          </rPr>
          <t xml:space="preserve">
calculated from column G and H</t>
        </r>
      </text>
    </comment>
    <comment ref="I18" authorId="0" shapeId="0" xr:uid="{00000000-0006-0000-0300-000013000000}">
      <text>
        <r>
          <rPr>
            <b/>
            <sz val="9"/>
            <color indexed="81"/>
            <rFont val="Tahoma"/>
            <family val="2"/>
            <charset val="162"/>
          </rPr>
          <t>Serhat:</t>
        </r>
        <r>
          <rPr>
            <sz val="9"/>
            <color indexed="81"/>
            <rFont val="Tahoma"/>
            <family val="2"/>
            <charset val="162"/>
          </rPr>
          <t xml:space="preserve">
https://www.statista.com/study/12322/global-internet-usage-statista-dossier/</t>
        </r>
      </text>
    </comment>
    <comment ref="G21" authorId="0" shapeId="0" xr:uid="{00000000-0006-0000-0300-000014000000}">
      <text>
        <r>
          <rPr>
            <b/>
            <sz val="9"/>
            <color indexed="81"/>
            <rFont val="Tahoma"/>
            <charset val="1"/>
          </rPr>
          <t>Serhat:</t>
        </r>
        <r>
          <rPr>
            <sz val="9"/>
            <color indexed="81"/>
            <rFont val="Tahoma"/>
            <charset val="1"/>
          </rPr>
          <t xml:space="preserve">
https://www.statista.com/study/12322/global-internet-usage-statista-dossier/</t>
        </r>
      </text>
    </comment>
    <comment ref="G26" authorId="0" shapeId="0" xr:uid="{00000000-0006-0000-0300-000015000000}">
      <text>
        <r>
          <rPr>
            <b/>
            <sz val="9"/>
            <color indexed="81"/>
            <rFont val="Tahoma"/>
            <family val="2"/>
            <charset val="162"/>
          </rPr>
          <t>Serhat:</t>
        </r>
        <r>
          <rPr>
            <sz val="9"/>
            <color indexed="81"/>
            <rFont val="Tahoma"/>
            <family val="2"/>
            <charset val="162"/>
          </rPr>
          <t xml:space="preserve">
calculated from column G and H</t>
        </r>
      </text>
    </comment>
    <comment ref="I26" authorId="0" shapeId="0" xr:uid="{00000000-0006-0000-0300-000016000000}">
      <text>
        <r>
          <rPr>
            <b/>
            <sz val="9"/>
            <color indexed="81"/>
            <rFont val="Tahoma"/>
            <family val="2"/>
            <charset val="162"/>
          </rPr>
          <t>Serhat:</t>
        </r>
        <r>
          <rPr>
            <sz val="9"/>
            <color indexed="81"/>
            <rFont val="Tahoma"/>
            <family val="2"/>
            <charset val="162"/>
          </rPr>
          <t xml:space="preserve">
https://www.statista.com/study/12322/global-internet-usage-statista-dossier/</t>
        </r>
      </text>
    </comment>
    <comment ref="G29" authorId="0" shapeId="0" xr:uid="{00000000-0006-0000-0300-000017000000}">
      <text>
        <r>
          <rPr>
            <b/>
            <sz val="9"/>
            <color indexed="81"/>
            <rFont val="Tahoma"/>
            <family val="2"/>
            <charset val="162"/>
          </rPr>
          <t>Serhat:</t>
        </r>
        <r>
          <rPr>
            <sz val="9"/>
            <color indexed="81"/>
            <rFont val="Tahoma"/>
            <family val="2"/>
            <charset val="162"/>
          </rPr>
          <t xml:space="preserve">
calculated from column G and H</t>
        </r>
      </text>
    </comment>
    <comment ref="I29" authorId="0" shapeId="0" xr:uid="{00000000-0006-0000-0300-000018000000}">
      <text>
        <r>
          <rPr>
            <b/>
            <sz val="9"/>
            <color indexed="81"/>
            <rFont val="Tahoma"/>
            <family val="2"/>
            <charset val="162"/>
          </rPr>
          <t>Serhat:</t>
        </r>
        <r>
          <rPr>
            <sz val="9"/>
            <color indexed="81"/>
            <rFont val="Tahoma"/>
            <family val="2"/>
            <charset val="162"/>
          </rPr>
          <t xml:space="preserve">
https://www.statista.com/study/12322/global-internet-usage-statista-dossier/</t>
        </r>
      </text>
    </comment>
    <comment ref="G32" authorId="0" shapeId="0" xr:uid="{00000000-0006-0000-0300-000019000000}">
      <text>
        <r>
          <rPr>
            <b/>
            <sz val="9"/>
            <color indexed="81"/>
            <rFont val="Tahoma"/>
            <family val="2"/>
            <charset val="162"/>
          </rPr>
          <t>Serhat:</t>
        </r>
        <r>
          <rPr>
            <sz val="9"/>
            <color indexed="81"/>
            <rFont val="Tahoma"/>
            <family val="2"/>
            <charset val="162"/>
          </rPr>
          <t xml:space="preserve">
calculated from column G and H</t>
        </r>
      </text>
    </comment>
    <comment ref="I32" authorId="0" shapeId="0" xr:uid="{00000000-0006-0000-0300-00001A000000}">
      <text>
        <r>
          <rPr>
            <b/>
            <sz val="9"/>
            <color indexed="81"/>
            <rFont val="Tahoma"/>
            <family val="2"/>
            <charset val="162"/>
          </rPr>
          <t>Serhat:</t>
        </r>
        <r>
          <rPr>
            <sz val="9"/>
            <color indexed="81"/>
            <rFont val="Tahoma"/>
            <family val="2"/>
            <charset val="162"/>
          </rPr>
          <t xml:space="preserve">
https://www.statista.com/study/12322/global-internet-usage-statista-dossier/</t>
        </r>
      </text>
    </comment>
    <comment ref="G35" authorId="0" shapeId="0" xr:uid="{00000000-0006-0000-0300-00001B000000}">
      <text>
        <r>
          <rPr>
            <b/>
            <sz val="9"/>
            <color indexed="81"/>
            <rFont val="Tahoma"/>
            <charset val="1"/>
          </rPr>
          <t>Serhat:</t>
        </r>
        <r>
          <rPr>
            <sz val="9"/>
            <color indexed="81"/>
            <rFont val="Tahoma"/>
            <charset val="1"/>
          </rPr>
          <t xml:space="preserve">
https://www.statista.com/study/12322/global-internet-usage-statista-dossier/</t>
        </r>
      </text>
    </comment>
    <comment ref="G36" authorId="0" shapeId="0" xr:uid="{00000000-0006-0000-0300-00001C000000}">
      <text>
        <r>
          <rPr>
            <b/>
            <sz val="9"/>
            <color indexed="81"/>
            <rFont val="Tahoma"/>
            <charset val="1"/>
          </rPr>
          <t>Serhat:</t>
        </r>
        <r>
          <rPr>
            <sz val="9"/>
            <color indexed="81"/>
            <rFont val="Tahoma"/>
            <charset val="1"/>
          </rPr>
          <t xml:space="preserve">
https://www.statista.com/study/12322/global-internet-usage-statista-dossier/</t>
        </r>
      </text>
    </comment>
    <comment ref="G40" authorId="0" shapeId="0" xr:uid="{00000000-0006-0000-0300-00001D000000}">
      <text>
        <r>
          <rPr>
            <b/>
            <sz val="9"/>
            <color indexed="81"/>
            <rFont val="Tahoma"/>
            <family val="2"/>
            <charset val="162"/>
          </rPr>
          <t>Serhat:</t>
        </r>
        <r>
          <rPr>
            <sz val="9"/>
            <color indexed="81"/>
            <rFont val="Tahoma"/>
            <family val="2"/>
            <charset val="162"/>
          </rPr>
          <t xml:space="preserve">
calculated from column G and H</t>
        </r>
      </text>
    </comment>
    <comment ref="I40" authorId="0" shapeId="0" xr:uid="{00000000-0006-0000-0300-00001E000000}">
      <text>
        <r>
          <rPr>
            <b/>
            <sz val="9"/>
            <color indexed="81"/>
            <rFont val="Tahoma"/>
            <family val="2"/>
            <charset val="162"/>
          </rPr>
          <t>Serhat:</t>
        </r>
        <r>
          <rPr>
            <sz val="9"/>
            <color indexed="81"/>
            <rFont val="Tahoma"/>
            <family val="2"/>
            <charset val="162"/>
          </rPr>
          <t xml:space="preserve">
https://www.statista.com/study/12322/global-internet-usage-statista-dossier/</t>
        </r>
      </text>
    </comment>
    <comment ref="G42" authorId="0" shapeId="0" xr:uid="{00000000-0006-0000-0300-00001F000000}">
      <text>
        <r>
          <rPr>
            <b/>
            <sz val="9"/>
            <color indexed="81"/>
            <rFont val="Tahoma"/>
            <family val="2"/>
            <charset val="162"/>
          </rPr>
          <t>Serhat:</t>
        </r>
        <r>
          <rPr>
            <sz val="9"/>
            <color indexed="81"/>
            <rFont val="Tahoma"/>
            <family val="2"/>
            <charset val="162"/>
          </rPr>
          <t xml:space="preserve">
https://www.statista.com/statistics/1023197/ukraine-internet-penetration/</t>
        </r>
      </text>
    </comment>
    <comment ref="G45" authorId="0" shapeId="0" xr:uid="{00000000-0006-0000-0300-000020000000}">
      <text>
        <r>
          <rPr>
            <b/>
            <sz val="9"/>
            <color indexed="81"/>
            <rFont val="Tahoma"/>
            <family val="2"/>
            <charset val="162"/>
          </rPr>
          <t>Serhat:</t>
        </r>
        <r>
          <rPr>
            <sz val="9"/>
            <color indexed="81"/>
            <rFont val="Tahoma"/>
            <family val="2"/>
            <charset val="162"/>
          </rPr>
          <t xml:space="preserve">
calculated from column G and H</t>
        </r>
      </text>
    </comment>
    <comment ref="I45" authorId="0" shapeId="0" xr:uid="{00000000-0006-0000-0300-000021000000}">
      <text>
        <r>
          <rPr>
            <b/>
            <sz val="9"/>
            <color indexed="81"/>
            <rFont val="Tahoma"/>
            <family val="2"/>
            <charset val="162"/>
          </rPr>
          <t>Serhat:</t>
        </r>
        <r>
          <rPr>
            <sz val="9"/>
            <color indexed="81"/>
            <rFont val="Tahoma"/>
            <family val="2"/>
            <charset val="162"/>
          </rPr>
          <t xml:space="preserve">
https://www.statista.com/study/12322/global-internet-usage-statista-dossier/</t>
        </r>
      </text>
    </comment>
    <comment ref="G49" authorId="0" shapeId="0" xr:uid="{00000000-0006-0000-0300-000022000000}">
      <text>
        <r>
          <rPr>
            <b/>
            <sz val="9"/>
            <color indexed="81"/>
            <rFont val="Tahoma"/>
            <charset val="1"/>
          </rPr>
          <t>Serhat:</t>
        </r>
        <r>
          <rPr>
            <sz val="9"/>
            <color indexed="81"/>
            <rFont val="Tahoma"/>
            <charset val="1"/>
          </rPr>
          <t xml:space="preserve">
https://www.statista.com/study/12322/global-internet-usage-statista-dossier/</t>
        </r>
      </text>
    </comment>
    <comment ref="G50" authorId="0" shapeId="0" xr:uid="{00000000-0006-0000-0300-000023000000}">
      <text>
        <r>
          <rPr>
            <b/>
            <sz val="9"/>
            <color indexed="81"/>
            <rFont val="Tahoma"/>
            <family val="2"/>
            <charset val="162"/>
          </rPr>
          <t>Serhat:</t>
        </r>
        <r>
          <rPr>
            <sz val="9"/>
            <color indexed="81"/>
            <rFont val="Tahoma"/>
            <family val="2"/>
            <charset val="162"/>
          </rPr>
          <t xml:space="preserve">
calculated from column G and H</t>
        </r>
      </text>
    </comment>
    <comment ref="I50" authorId="0" shapeId="0" xr:uid="{00000000-0006-0000-0300-000024000000}">
      <text>
        <r>
          <rPr>
            <b/>
            <sz val="9"/>
            <color indexed="81"/>
            <rFont val="Tahoma"/>
            <family val="2"/>
            <charset val="162"/>
          </rPr>
          <t>Serhat:</t>
        </r>
        <r>
          <rPr>
            <sz val="9"/>
            <color indexed="81"/>
            <rFont val="Tahoma"/>
            <family val="2"/>
            <charset val="162"/>
          </rPr>
          <t xml:space="preserve">
https://www.statista.com/study/12322/global-internet-usage-statista-dossier/</t>
        </r>
      </text>
    </comment>
    <comment ref="G58" authorId="0" shapeId="0" xr:uid="{00000000-0006-0000-0300-000025000000}">
      <text>
        <r>
          <rPr>
            <b/>
            <sz val="9"/>
            <color indexed="81"/>
            <rFont val="Tahoma"/>
            <family val="2"/>
            <charset val="162"/>
          </rPr>
          <t>Serhat:</t>
        </r>
        <r>
          <rPr>
            <sz val="9"/>
            <color indexed="81"/>
            <rFont val="Tahoma"/>
            <family val="2"/>
            <charset val="162"/>
          </rPr>
          <t xml:space="preserve">
calculated from column G and H</t>
        </r>
      </text>
    </comment>
    <comment ref="I58" authorId="0" shapeId="0" xr:uid="{00000000-0006-0000-0300-000026000000}">
      <text>
        <r>
          <rPr>
            <b/>
            <sz val="9"/>
            <color indexed="81"/>
            <rFont val="Tahoma"/>
            <family val="2"/>
            <charset val="162"/>
          </rPr>
          <t>Serhat:</t>
        </r>
        <r>
          <rPr>
            <sz val="9"/>
            <color indexed="81"/>
            <rFont val="Tahoma"/>
            <family val="2"/>
            <charset val="162"/>
          </rPr>
          <t xml:space="preserve">
https://www.statista.com/study/12322/global-internet-usage-statista-dossier/</t>
        </r>
      </text>
    </comment>
    <comment ref="G62" authorId="0" shapeId="0" xr:uid="{00000000-0006-0000-0300-000027000000}">
      <text>
        <r>
          <rPr>
            <b/>
            <sz val="9"/>
            <color indexed="81"/>
            <rFont val="Tahoma"/>
            <family val="2"/>
            <charset val="162"/>
          </rPr>
          <t>Serhat:</t>
        </r>
        <r>
          <rPr>
            <sz val="9"/>
            <color indexed="81"/>
            <rFont val="Tahoma"/>
            <family val="2"/>
            <charset val="162"/>
          </rPr>
          <t xml:space="preserve">
calculated from column G and H</t>
        </r>
      </text>
    </comment>
    <comment ref="I62" authorId="0" shapeId="0" xr:uid="{00000000-0006-0000-0300-000028000000}">
      <text>
        <r>
          <rPr>
            <b/>
            <sz val="9"/>
            <color indexed="81"/>
            <rFont val="Tahoma"/>
            <family val="2"/>
            <charset val="162"/>
          </rPr>
          <t>Serhat:</t>
        </r>
        <r>
          <rPr>
            <sz val="9"/>
            <color indexed="81"/>
            <rFont val="Tahoma"/>
            <family val="2"/>
            <charset val="162"/>
          </rPr>
          <t xml:space="preserve">
https://www.statista.com/study/12322/global-internet-usage-statista-dossier/</t>
        </r>
      </text>
    </comment>
    <comment ref="G65" authorId="0" shapeId="0" xr:uid="{00000000-0006-0000-0300-000029000000}">
      <text>
        <r>
          <rPr>
            <b/>
            <sz val="9"/>
            <color indexed="81"/>
            <rFont val="Tahoma"/>
            <charset val="1"/>
          </rPr>
          <t>Serhat:</t>
        </r>
        <r>
          <rPr>
            <sz val="9"/>
            <color indexed="81"/>
            <rFont val="Tahoma"/>
            <charset val="1"/>
          </rPr>
          <t xml:space="preserve">
https://www.statista.com/study/12322/global-internet-usage-statista-dossier/</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Serhat</author>
  </authors>
  <commentList>
    <comment ref="A1" authorId="0" shapeId="0" xr:uid="{00000000-0006-0000-0400-000001000000}">
      <text>
        <r>
          <rPr>
            <b/>
            <sz val="9"/>
            <color indexed="81"/>
            <rFont val="Tahoma"/>
            <family val="2"/>
            <charset val="162"/>
          </rPr>
          <t>Serhat:</t>
        </r>
        <r>
          <rPr>
            <sz val="9"/>
            <color indexed="81"/>
            <rFont val="Tahoma"/>
            <family val="2"/>
            <charset val="162"/>
          </rPr>
          <t xml:space="preserve">
https://www.itu.int/en/ITU-D/Statistics/Pages/stat/default.aspx</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Serhat</author>
  </authors>
  <commentList>
    <comment ref="A1" authorId="0" shapeId="0" xr:uid="{00000000-0006-0000-0500-000001000000}">
      <text>
        <r>
          <rPr>
            <b/>
            <sz val="9"/>
            <color indexed="81"/>
            <rFont val="Tahoma"/>
            <charset val="1"/>
          </rPr>
          <t>Serhat: Colums increase with decreasing popularity order.
Each keyword is compared with previous keyword to make sure two items are comparable.</t>
        </r>
        <r>
          <rPr>
            <sz val="9"/>
            <color indexed="81"/>
            <rFont val="Tahoma"/>
            <charset val="1"/>
          </rPr>
          <t xml:space="preserve">
First column is directly the distribution of Java's popularity for countries.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Serhat</author>
  </authors>
  <commentList>
    <comment ref="A1" authorId="0" shapeId="0" xr:uid="{00000000-0006-0000-0600-000001000000}">
      <text>
        <r>
          <rPr>
            <b/>
            <sz val="9"/>
            <color indexed="81"/>
            <rFont val="Tahoma"/>
            <charset val="1"/>
          </rPr>
          <t>Serhat: Cells with no data are due to inaccuracy with the comparison to the previous term. In order to solve it, empty cells' terms are compared with different keywords choosen at a pseudo-random fashion.</t>
        </r>
        <r>
          <rPr>
            <sz val="9"/>
            <color indexed="81"/>
            <rFont val="Tahoma"/>
            <charset val="1"/>
          </rPr>
          <t xml:space="preserve">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Serhat</author>
  </authors>
  <commentList>
    <comment ref="A2" authorId="0" shapeId="0" xr:uid="{00000000-0006-0000-0900-000001000000}">
      <text>
        <r>
          <rPr>
            <b/>
            <sz val="9"/>
            <color indexed="81"/>
            <rFont val="Tahoma"/>
            <family val="2"/>
            <charset val="162"/>
          </rPr>
          <t>Serhat:</t>
        </r>
        <r>
          <rPr>
            <sz val="9"/>
            <color indexed="81"/>
            <rFont val="Tahoma"/>
            <family val="2"/>
            <charset val="162"/>
          </rPr>
          <t xml:space="preserve">
St. Helena is excluded in analysis with different years as it is a low search region for other years.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Serhat</author>
  </authors>
  <commentList>
    <comment ref="B3" authorId="0" shapeId="0" xr:uid="{00000000-0006-0000-1000-000001000000}">
      <text>
        <r>
          <rPr>
            <b/>
            <sz val="9"/>
            <color indexed="81"/>
            <rFont val="Tahoma"/>
            <charset val="1"/>
          </rPr>
          <t>Serhat:</t>
        </r>
        <r>
          <rPr>
            <sz val="9"/>
            <color indexed="81"/>
            <rFont val="Tahoma"/>
            <charset val="1"/>
          </rPr>
          <t xml:space="preserve">
Data taken from low search results</t>
        </r>
      </text>
    </comment>
  </commentList>
</comments>
</file>

<file path=xl/sharedStrings.xml><?xml version="1.0" encoding="utf-8"?>
<sst xmlns="http://schemas.openxmlformats.org/spreadsheetml/2006/main" count="7017" uniqueCount="1372">
  <si>
    <t>Region</t>
  </si>
  <si>
    <t>Multiplier Factor:</t>
  </si>
  <si>
    <t>The popularity distribution of the first term is scaled by this number to deal with less significant figures throughout the analysis</t>
  </si>
  <si>
    <t xml:space="preserve">The data in this analysis is exported from Google Trends.  </t>
  </si>
  <si>
    <t>China</t>
  </si>
  <si>
    <t>Madagascar</t>
  </si>
  <si>
    <t>Eritrea</t>
  </si>
  <si>
    <t>Bangladesh</t>
  </si>
  <si>
    <t>St. Helena</t>
  </si>
  <si>
    <t>Ethiopia</t>
  </si>
  <si>
    <t>Cameroon</t>
  </si>
  <si>
    <t>South Korea</t>
  </si>
  <si>
    <t>Burundi</t>
  </si>
  <si>
    <t>Sierra Leone</t>
  </si>
  <si>
    <t>Togo</t>
  </si>
  <si>
    <t>Benin</t>
  </si>
  <si>
    <t>India</t>
  </si>
  <si>
    <t>Zambia</t>
  </si>
  <si>
    <t>Sri Lanka</t>
  </si>
  <si>
    <t>Malawi</t>
  </si>
  <si>
    <t>Nigeria</t>
  </si>
  <si>
    <t>Cuba</t>
  </si>
  <si>
    <t>Uganda</t>
  </si>
  <si>
    <t>Ã…land Islands</t>
  </si>
  <si>
    <t>Congo - Kinshasa</t>
  </si>
  <si>
    <t>Rwanda</t>
  </si>
  <si>
    <t>SÃ£o TomÃ© &amp; PrÃ­ncipe</t>
  </si>
  <si>
    <t>Guinea</t>
  </si>
  <si>
    <t>Myanmar (Burma)</t>
  </si>
  <si>
    <t>Congo - Brazzaville</t>
  </si>
  <si>
    <t>Mozambique</t>
  </si>
  <si>
    <t>Burkina Faso</t>
  </si>
  <si>
    <t>Singapore</t>
  </si>
  <si>
    <t>Uzbekistan</t>
  </si>
  <si>
    <t>Guinea-Bissau</t>
  </si>
  <si>
    <t>Botswana</t>
  </si>
  <si>
    <t>Luxembourg</t>
  </si>
  <si>
    <t>Tunisia</t>
  </si>
  <si>
    <t>CÃ´te dâ€™Ivoire</t>
  </si>
  <si>
    <t>Nepal</t>
  </si>
  <si>
    <t>Estonia</t>
  </si>
  <si>
    <t>Niger</t>
  </si>
  <si>
    <t>Israel</t>
  </si>
  <si>
    <t>Belarus</t>
  </si>
  <si>
    <t>Pakistan</t>
  </si>
  <si>
    <t>Angola</t>
  </si>
  <si>
    <t>Central African Republic</t>
  </si>
  <si>
    <t>Chad</t>
  </si>
  <si>
    <t>Hong Kong</t>
  </si>
  <si>
    <t>Zimbabwe</t>
  </si>
  <si>
    <t>North Macedonia</t>
  </si>
  <si>
    <t>Armenia</t>
  </si>
  <si>
    <t>Lesotho</t>
  </si>
  <si>
    <t>Tanzania</t>
  </si>
  <si>
    <t>Mauritius</t>
  </si>
  <si>
    <t>Switzerland</t>
  </si>
  <si>
    <t>Eswatini</t>
  </si>
  <si>
    <t>Ecuador</t>
  </si>
  <si>
    <t>Albania</t>
  </si>
  <si>
    <t>Mali</t>
  </si>
  <si>
    <t>Germany</t>
  </si>
  <si>
    <t>Serbia</t>
  </si>
  <si>
    <t>Senegal</t>
  </si>
  <si>
    <t>Tonga</t>
  </si>
  <si>
    <t>Ghana</t>
  </si>
  <si>
    <t>Cape Verde</t>
  </si>
  <si>
    <t>Costa Rica</t>
  </si>
  <si>
    <t>Hungary</t>
  </si>
  <si>
    <t>Bulgaria</t>
  </si>
  <si>
    <t>Gabon</t>
  </si>
  <si>
    <t>Kenya</t>
  </si>
  <si>
    <t>Ireland</t>
  </si>
  <si>
    <t>Equatorial Guinea</t>
  </si>
  <si>
    <t>Portugal</t>
  </si>
  <si>
    <t>Bhutan</t>
  </si>
  <si>
    <t>Papua New Guinea</t>
  </si>
  <si>
    <t>Latvia</t>
  </si>
  <si>
    <t>Romania</t>
  </si>
  <si>
    <t>Czechia</t>
  </si>
  <si>
    <t>Sweden</t>
  </si>
  <si>
    <t>Kosovo</t>
  </si>
  <si>
    <t>Austria</t>
  </si>
  <si>
    <t>Afghanistan</t>
  </si>
  <si>
    <t>El Salvador</t>
  </si>
  <si>
    <t>Sudan</t>
  </si>
  <si>
    <t>Poland</t>
  </si>
  <si>
    <t>Mongolia</t>
  </si>
  <si>
    <t>Gibraltar</t>
  </si>
  <si>
    <t>Palestine</t>
  </si>
  <si>
    <t>Moldova</t>
  </si>
  <si>
    <t>Iceland</t>
  </si>
  <si>
    <t>Laos</t>
  </si>
  <si>
    <t>Cambodia</t>
  </si>
  <si>
    <t>Philippines</t>
  </si>
  <si>
    <t>Japan</t>
  </si>
  <si>
    <t>Vietnam</t>
  </si>
  <si>
    <t>Liechtenstein</t>
  </si>
  <si>
    <t>Canada</t>
  </si>
  <si>
    <t>Ukraine</t>
  </si>
  <si>
    <t>United States</t>
  </si>
  <si>
    <t>Gambia</t>
  </si>
  <si>
    <t>Colombia</t>
  </si>
  <si>
    <t>Lithuania</t>
  </si>
  <si>
    <t>Lebanon</t>
  </si>
  <si>
    <t>Malta</t>
  </si>
  <si>
    <t>Namibia</t>
  </si>
  <si>
    <t>Guatemala</t>
  </si>
  <si>
    <t>Bolivia</t>
  </si>
  <si>
    <t>Taiwan</t>
  </si>
  <si>
    <t>Liberia</t>
  </si>
  <si>
    <t>Morocco</t>
  </si>
  <si>
    <t>Mexico</t>
  </si>
  <si>
    <t>Finland</t>
  </si>
  <si>
    <t>Spain</t>
  </si>
  <si>
    <t>Andorra</t>
  </si>
  <si>
    <t>Peru</t>
  </si>
  <si>
    <t>Slovenia</t>
  </si>
  <si>
    <t>Norway</t>
  </si>
  <si>
    <t>Mauritania</t>
  </si>
  <si>
    <t>Cyprus</t>
  </si>
  <si>
    <t>Belgium</t>
  </si>
  <si>
    <t>Uruguay</t>
  </si>
  <si>
    <t>Slovakia</t>
  </si>
  <si>
    <t>Croatia</t>
  </si>
  <si>
    <t>Kyrgyzstan</t>
  </si>
  <si>
    <t>Denmark</t>
  </si>
  <si>
    <t>South Africa</t>
  </si>
  <si>
    <t>Netherlands</t>
  </si>
  <si>
    <t>Russia</t>
  </si>
  <si>
    <t>Kazakhstan</t>
  </si>
  <si>
    <t>Timor-Leste</t>
  </si>
  <si>
    <t>Bosnia &amp; Herzegovina</t>
  </si>
  <si>
    <t>Somalia</t>
  </si>
  <si>
    <t>New Zealand</t>
  </si>
  <si>
    <t>Algeria</t>
  </si>
  <si>
    <t>Haiti</t>
  </si>
  <si>
    <t>Azerbaijan</t>
  </si>
  <si>
    <t>Macao</t>
  </si>
  <si>
    <t>South Sudan</t>
  </si>
  <si>
    <t>Comoros</t>
  </si>
  <si>
    <t>Paraguay</t>
  </si>
  <si>
    <t>Dominica</t>
  </si>
  <si>
    <t>France</t>
  </si>
  <si>
    <t>Jordan</t>
  </si>
  <si>
    <t>Brazil</t>
  </si>
  <si>
    <t>Australia</t>
  </si>
  <si>
    <t>Djibouti</t>
  </si>
  <si>
    <t>United Arab Emirates</t>
  </si>
  <si>
    <t>Honduras</t>
  </si>
  <si>
    <t>Syria</t>
  </si>
  <si>
    <t>Malaysia</t>
  </si>
  <si>
    <t>Indonesia</t>
  </si>
  <si>
    <t>Monaco</t>
  </si>
  <si>
    <t>Iran</t>
  </si>
  <si>
    <t>Greece</t>
  </si>
  <si>
    <t>Maldives</t>
  </si>
  <si>
    <t>Brunei</t>
  </si>
  <si>
    <t>Nicaragua</t>
  </si>
  <si>
    <t>New Caledonia</t>
  </si>
  <si>
    <t>Chile</t>
  </si>
  <si>
    <t>San Marino</t>
  </si>
  <si>
    <t>Italy</t>
  </si>
  <si>
    <t>United Kingdom</t>
  </si>
  <si>
    <t>Montenegro</t>
  </si>
  <si>
    <t>Yemen</t>
  </si>
  <si>
    <t>Faroe Islands</t>
  </si>
  <si>
    <t>Bahrain</t>
  </si>
  <si>
    <t>Fiji</t>
  </si>
  <si>
    <t>Egypt</t>
  </si>
  <si>
    <t>Turkmenistan</t>
  </si>
  <si>
    <t>Venezuela</t>
  </si>
  <si>
    <t>French Polynesia</t>
  </si>
  <si>
    <t>Seychelles</t>
  </si>
  <si>
    <t>Oman</t>
  </si>
  <si>
    <t>Tajikistan</t>
  </si>
  <si>
    <t>Panama</t>
  </si>
  <si>
    <t>Jamaica</t>
  </si>
  <si>
    <t>Argentina</t>
  </si>
  <si>
    <t>Turkey</t>
  </si>
  <si>
    <t>Suriname</t>
  </si>
  <si>
    <t>Western Sahara</t>
  </si>
  <si>
    <t>Georgia</t>
  </si>
  <si>
    <t>Libya</t>
  </si>
  <si>
    <t>Qatar</t>
  </si>
  <si>
    <t>Saudi Arabia</t>
  </si>
  <si>
    <t>Barbados</t>
  </si>
  <si>
    <t>Isle of Man</t>
  </si>
  <si>
    <t>U.S. Virgin Islands</t>
  </si>
  <si>
    <t>Samoa</t>
  </si>
  <si>
    <t>Thailand</t>
  </si>
  <si>
    <t>St. Kitts &amp; Nevis</t>
  </si>
  <si>
    <t>Vanuatu</t>
  </si>
  <si>
    <t>Antigua &amp; Barbuda</t>
  </si>
  <si>
    <t>Northern Mariana Islands</t>
  </si>
  <si>
    <t>Dominican Republic</t>
  </si>
  <si>
    <t>Puerto Rico</t>
  </si>
  <si>
    <t>Mayotte</t>
  </si>
  <si>
    <t>CuraÃ§ao</t>
  </si>
  <si>
    <t>Trinidad &amp; Tobago</t>
  </si>
  <si>
    <t>Cayman Islands</t>
  </si>
  <si>
    <t>Guam</t>
  </si>
  <si>
    <t>Greenland</t>
  </si>
  <si>
    <t>Solomon Islands</t>
  </si>
  <si>
    <t>Guadeloupe</t>
  </si>
  <si>
    <t>RÃ©union</t>
  </si>
  <si>
    <t>Iraq</t>
  </si>
  <si>
    <t>Kuwait</t>
  </si>
  <si>
    <t>Jersey</t>
  </si>
  <si>
    <t>Guyana</t>
  </si>
  <si>
    <t>Grenada</t>
  </si>
  <si>
    <t>St. Vincent &amp; Grenadines</t>
  </si>
  <si>
    <t>St. BarthÃ©lemy</t>
  </si>
  <si>
    <t>Aruba</t>
  </si>
  <si>
    <t>Bermuda</t>
  </si>
  <si>
    <t>St. Lucia</t>
  </si>
  <si>
    <t>Martinique</t>
  </si>
  <si>
    <t>French Guiana</t>
  </si>
  <si>
    <t>Belize</t>
  </si>
  <si>
    <t>Guernsey</t>
  </si>
  <si>
    <t>Bahamas</t>
  </si>
  <si>
    <t>Sint Maarten</t>
  </si>
  <si>
    <t>Caribbean Netherlands</t>
  </si>
  <si>
    <t>North Korea</t>
  </si>
  <si>
    <t>Montserrat</t>
  </si>
  <si>
    <t>Falkland Islands (Islas Malvinas)</t>
  </si>
  <si>
    <t>Micronesia</t>
  </si>
  <si>
    <t>St. Pierre &amp; Miquelon</t>
  </si>
  <si>
    <t>Cook Islands</t>
  </si>
  <si>
    <t>Svalbard &amp; Jan Mayen</t>
  </si>
  <si>
    <t>American Samoa</t>
  </si>
  <si>
    <t>St. Martin</t>
  </si>
  <si>
    <t>Anguilla</t>
  </si>
  <si>
    <t>Palau</t>
  </si>
  <si>
    <t>Turks &amp; Caicos Islands</t>
  </si>
  <si>
    <t>British Virgin Islands</t>
  </si>
  <si>
    <t>Antarctica</t>
  </si>
  <si>
    <t>French Southern Territories</t>
  </si>
  <si>
    <t>Bouvet Island</t>
  </si>
  <si>
    <t>Cocos (Keeling) Islands</t>
  </si>
  <si>
    <t>Christmas Island</t>
  </si>
  <si>
    <t>Heard &amp; McDonald Islands</t>
  </si>
  <si>
    <t>British Indian Ocean Territory</t>
  </si>
  <si>
    <t>Kiribati</t>
  </si>
  <si>
    <t>Marshall Islands</t>
  </si>
  <si>
    <t>Norfolk Island</t>
  </si>
  <si>
    <t>Niue</t>
  </si>
  <si>
    <t>Nauru</t>
  </si>
  <si>
    <t>Pitcairn Islands</t>
  </si>
  <si>
    <t>South Georgia &amp; South Sandwich Islands</t>
  </si>
  <si>
    <t>Tokelau</t>
  </si>
  <si>
    <t>Tuvalu</t>
  </si>
  <si>
    <t>U.S. Outlying Islands</t>
  </si>
  <si>
    <t>Vatican City</t>
  </si>
  <si>
    <t>Wallis &amp; Futuna</t>
  </si>
  <si>
    <t>Java</t>
  </si>
  <si>
    <t>Pyhton</t>
  </si>
  <si>
    <t>JavaScript</t>
  </si>
  <si>
    <t>SQL</t>
  </si>
  <si>
    <t>Database</t>
  </si>
  <si>
    <t>String</t>
  </si>
  <si>
    <t>C++</t>
  </si>
  <si>
    <t>ReactJS</t>
  </si>
  <si>
    <t>Cache</t>
  </si>
  <si>
    <t>HTTP</t>
  </si>
  <si>
    <t>For Loop</t>
  </si>
  <si>
    <t>Stack</t>
  </si>
  <si>
    <t>Regular Expression</t>
  </si>
  <si>
    <t>TCP</t>
  </si>
  <si>
    <t>NaN</t>
  </si>
  <si>
    <t>Artificial neural network</t>
  </si>
  <si>
    <t>Deep Learning</t>
  </si>
  <si>
    <t>Heap</t>
  </si>
  <si>
    <t>Hash Table</t>
  </si>
  <si>
    <t>Logistic Regression</t>
  </si>
  <si>
    <t>Design Thinking</t>
  </si>
  <si>
    <t>Garbage collection</t>
  </si>
  <si>
    <t>Null Pointer</t>
  </si>
  <si>
    <t>Finite-state Machine</t>
  </si>
  <si>
    <t>K-means Clustering</t>
  </si>
  <si>
    <t>Semaphore</t>
  </si>
  <si>
    <t>Segmentation Fault</t>
  </si>
  <si>
    <t>Computer Vision</t>
  </si>
  <si>
    <t>Memory Leak</t>
  </si>
  <si>
    <t>Dijkstra's algorithm</t>
  </si>
  <si>
    <t>MapReduce</t>
  </si>
  <si>
    <t>Integer Overflow</t>
  </si>
  <si>
    <t>Type System</t>
  </si>
  <si>
    <t>Gradient Descent</t>
  </si>
  <si>
    <t>Image Segmentation</t>
  </si>
  <si>
    <t>Interaction design</t>
  </si>
  <si>
    <t>Instruction Pipelining</t>
  </si>
  <si>
    <t>B-Tree</t>
  </si>
  <si>
    <t>Mutual Exclusion</t>
  </si>
  <si>
    <t>Edge Detection</t>
  </si>
  <si>
    <t>ImageNet</t>
  </si>
  <si>
    <t>Interrupt Handler</t>
  </si>
  <si>
    <t>Markov chain Monte Carlo</t>
  </si>
  <si>
    <t>P vs NP problem</t>
  </si>
  <si>
    <t>Query optimization</t>
  </si>
  <si>
    <t>Lambda Calculus</t>
  </si>
  <si>
    <t>TCP congestion control</t>
  </si>
  <si>
    <t>Two-phase locking</t>
  </si>
  <si>
    <t>Concurrency control</t>
  </si>
  <si>
    <t>Halting Problem</t>
  </si>
  <si>
    <t>Heuristic evaluation</t>
  </si>
  <si>
    <t>Spectral clustering</t>
  </si>
  <si>
    <t>Register File</t>
  </si>
  <si>
    <t>Chernoff bound</t>
  </si>
  <si>
    <t>Church-Turing Thesis</t>
  </si>
  <si>
    <t>System F</t>
  </si>
  <si>
    <t>Matrix completion</t>
  </si>
  <si>
    <t>Spectral graph theory</t>
  </si>
  <si>
    <t>Cook–Levin theorem</t>
  </si>
  <si>
    <t>Extendible hashing</t>
  </si>
  <si>
    <t>Post correspondence problem</t>
  </si>
  <si>
    <t>Polynomial-time Reduction</t>
  </si>
  <si>
    <t>Linear hashing</t>
  </si>
  <si>
    <t>Count–min sketch</t>
  </si>
  <si>
    <t>Polynomial hierarchy</t>
  </si>
  <si>
    <t>Lovász local lemma</t>
  </si>
  <si>
    <t>Logical relations</t>
  </si>
  <si>
    <t>Explanation of pages:</t>
  </si>
  <si>
    <t>Country comparison of the term "Java" (Programming Language) is exported from Google Trends.</t>
  </si>
  <si>
    <t>Then, every next term is compared with the previous keyword until the end.</t>
  </si>
  <si>
    <t>Due to non-comparability of some keyword couples, there are empty cells in the raw data.</t>
  </si>
  <si>
    <t>Empty cells are filled with comparison of the corresponding keyword to another keyword.</t>
  </si>
  <si>
    <t>Due to low search volume of some keywords in some countries compared to rest of the world, there were still empty cells.</t>
  </si>
  <si>
    <t>Those empty cells could not be filled with worldwide comparison with another keyword because corresponding countries were excluded from those comparisons.</t>
  </si>
  <si>
    <t xml:space="preserve">Instead, empty cells are filled with country wide comparison of keywords. </t>
  </si>
  <si>
    <t>(The keywords are compared only within the corresponding country and the ratio of average popularity is uded)</t>
  </si>
  <si>
    <t>Notes:</t>
  </si>
  <si>
    <t>The keyword "logical relations" is excluded from the analysis due to absence of any search data for that keyword.</t>
  </si>
  <si>
    <t>Parameters</t>
  </si>
  <si>
    <t>(hidden)</t>
  </si>
  <si>
    <r>
      <t>Standard Deviation (σ_</t>
    </r>
    <r>
      <rPr>
        <b/>
        <sz val="10"/>
        <color theme="1"/>
        <rFont val="Calibri"/>
        <family val="2"/>
        <charset val="162"/>
        <scheme val="minor"/>
      </rPr>
      <t>W</t>
    </r>
    <r>
      <rPr>
        <b/>
        <sz val="11"/>
        <color theme="1"/>
        <rFont val="Calibri"/>
        <family val="2"/>
        <charset val="162"/>
        <scheme val="minor"/>
      </rPr>
      <t>)</t>
    </r>
  </si>
  <si>
    <r>
      <t>Covariance Matrix (</t>
    </r>
    <r>
      <rPr>
        <b/>
        <sz val="11"/>
        <color theme="1"/>
        <rFont val="Arial"/>
        <family val="2"/>
        <charset val="162"/>
      </rPr>
      <t>Σ_W</t>
    </r>
    <r>
      <rPr>
        <b/>
        <sz val="11"/>
        <color theme="1"/>
        <rFont val="Calibri"/>
        <family val="2"/>
        <charset val="162"/>
        <scheme val="minor"/>
      </rPr>
      <t>)</t>
    </r>
  </si>
  <si>
    <t>Inverse Covariance Matrix (Σ_W^(-1))</t>
  </si>
  <si>
    <t>Estimated STD of Knowledge:</t>
  </si>
  <si>
    <r>
      <t>This number is a constant to be used for the calculation of σ_W</t>
    </r>
    <r>
      <rPr>
        <sz val="11"/>
        <color theme="1"/>
        <rFont val="Arial"/>
        <family val="2"/>
        <charset val="162"/>
      </rPr>
      <t>Θ for each keyword</t>
    </r>
  </si>
  <si>
    <r>
      <t>Correlation of Searching for X with being a Computer Scientists (</t>
    </r>
    <r>
      <rPr>
        <b/>
        <sz val="11"/>
        <color theme="1"/>
        <rFont val="Arial"/>
        <family val="2"/>
        <charset val="162"/>
      </rPr>
      <t>ρ</t>
    </r>
    <r>
      <rPr>
        <b/>
        <sz val="11"/>
        <color theme="1"/>
        <rFont val="Calibri"/>
        <family val="2"/>
        <charset val="162"/>
        <scheme val="minor"/>
      </rPr>
      <t>_W</t>
    </r>
    <r>
      <rPr>
        <b/>
        <sz val="11"/>
        <color theme="1"/>
        <rFont val="Arial"/>
        <family val="2"/>
        <charset val="162"/>
      </rPr>
      <t>Θ</t>
    </r>
    <r>
      <rPr>
        <b/>
        <sz val="11"/>
        <color theme="1"/>
        <rFont val="Calibri"/>
        <family val="2"/>
        <charset val="162"/>
        <scheme val="minor"/>
      </rPr>
      <t>)</t>
    </r>
  </si>
  <si>
    <r>
      <t>σ_W</t>
    </r>
    <r>
      <rPr>
        <b/>
        <sz val="11"/>
        <color theme="1"/>
        <rFont val="Arial"/>
        <family val="2"/>
        <charset val="162"/>
      </rPr>
      <t>Θ</t>
    </r>
  </si>
  <si>
    <r>
      <t xml:space="preserve">σ_WΘ * </t>
    </r>
    <r>
      <rPr>
        <sz val="11"/>
        <color theme="1"/>
        <rFont val="Arial"/>
        <family val="2"/>
        <charset val="162"/>
      </rPr>
      <t>Σ</t>
    </r>
    <r>
      <rPr>
        <sz val="7.7"/>
        <color theme="1"/>
        <rFont val="Calibri"/>
        <family val="2"/>
        <charset val="162"/>
      </rPr>
      <t>_W^(-1)</t>
    </r>
  </si>
  <si>
    <r>
      <t>Estimated Relative CS Knowledge (</t>
    </r>
    <r>
      <rPr>
        <b/>
        <sz val="11"/>
        <color theme="1"/>
        <rFont val="Arial"/>
        <family val="2"/>
        <charset val="162"/>
      </rPr>
      <t>Θ</t>
    </r>
    <r>
      <rPr>
        <b/>
        <sz val="8.8000000000000007"/>
        <color theme="1"/>
        <rFont val="Calibri"/>
        <family val="2"/>
        <charset val="162"/>
      </rPr>
      <t>) (2)</t>
    </r>
  </si>
  <si>
    <r>
      <t>Σ_W</t>
    </r>
    <r>
      <rPr>
        <b/>
        <sz val="11"/>
        <color theme="1"/>
        <rFont val="Arial"/>
        <family val="2"/>
        <charset val="162"/>
      </rPr>
      <t>Θ</t>
    </r>
  </si>
  <si>
    <r>
      <t xml:space="preserve">Σ_WΘ * </t>
    </r>
    <r>
      <rPr>
        <sz val="11"/>
        <color theme="1"/>
        <rFont val="Arial"/>
        <family val="2"/>
        <charset val="162"/>
      </rPr>
      <t>Σ</t>
    </r>
    <r>
      <rPr>
        <sz val="7.7"/>
        <color theme="1"/>
        <rFont val="Calibri"/>
        <family val="2"/>
        <charset val="162"/>
      </rPr>
      <t>_W^(-1)</t>
    </r>
  </si>
  <si>
    <t>MSE</t>
  </si>
  <si>
    <t>MSE:</t>
  </si>
  <si>
    <r>
      <t>Estimated Relative CS Knowledge (</t>
    </r>
    <r>
      <rPr>
        <b/>
        <sz val="11"/>
        <color theme="1"/>
        <rFont val="Arial"/>
        <family val="2"/>
        <charset val="162"/>
      </rPr>
      <t>Θ</t>
    </r>
    <r>
      <rPr>
        <b/>
        <sz val="8.8000000000000007"/>
        <color theme="1"/>
        <rFont val="Calibri"/>
        <family val="2"/>
        <charset val="162"/>
      </rPr>
      <t>) (3)</t>
    </r>
  </si>
  <si>
    <t>MetaData:</t>
  </si>
  <si>
    <t xml:space="preserve">Percentage of Individuals using the Internet </t>
  </si>
  <si>
    <t xml:space="preserve">Metadata for Percentage of Individuals using the Internet </t>
  </si>
  <si>
    <t>Notes 2000</t>
  </si>
  <si>
    <t>Source 2000</t>
  </si>
  <si>
    <t>Notes 2001</t>
  </si>
  <si>
    <t>Source 2001</t>
  </si>
  <si>
    <t>Notes 2002</t>
  </si>
  <si>
    <t>Source 2002</t>
  </si>
  <si>
    <t>Notes 2003</t>
  </si>
  <si>
    <t>Source 2003</t>
  </si>
  <si>
    <t>Notes 2004</t>
  </si>
  <si>
    <t>Source 2004</t>
  </si>
  <si>
    <t>Notes 2005</t>
  </si>
  <si>
    <t>Source 2005</t>
  </si>
  <si>
    <t>Notes 2006</t>
  </si>
  <si>
    <t>Source 2006</t>
  </si>
  <si>
    <t>Notes 2007</t>
  </si>
  <si>
    <t>Source 2007</t>
  </si>
  <si>
    <t>Notes 2008</t>
  </si>
  <si>
    <t>Source 2008</t>
  </si>
  <si>
    <t>Notes 2009</t>
  </si>
  <si>
    <t>Source 2009</t>
  </si>
  <si>
    <t>Notes 2010</t>
  </si>
  <si>
    <t>Source 2010</t>
  </si>
  <si>
    <t>Notes 2011</t>
  </si>
  <si>
    <t>Source 2011</t>
  </si>
  <si>
    <t>Notes 2012</t>
  </si>
  <si>
    <t>Source 2012</t>
  </si>
  <si>
    <t>Notes 2013</t>
  </si>
  <si>
    <t>Source 2013</t>
  </si>
  <si>
    <t>Notes 2014</t>
  </si>
  <si>
    <t>Source 2014</t>
  </si>
  <si>
    <t>Notes 2015</t>
  </si>
  <si>
    <t>Source 2015</t>
  </si>
  <si>
    <t>Notes 2016</t>
  </si>
  <si>
    <t>Source 2016</t>
  </si>
  <si>
    <t>Notes 2017</t>
  </si>
  <si>
    <t>Source 2017</t>
  </si>
  <si>
    <t>Notes 2018</t>
  </si>
  <si>
    <t>Source 2018</t>
  </si>
  <si>
    <t>ITU estimate.</t>
  </si>
  <si>
    <t>Ministry of Communications.</t>
  </si>
  <si>
    <t>ITU estimate.
ITU estimate.
ITU estimate.</t>
  </si>
  <si>
    <t>Ministry of Communications &amp; Information Technology</t>
  </si>
  <si>
    <t xml:space="preserve">ITU estimate. </t>
  </si>
  <si>
    <t>18+</t>
  </si>
  <si>
    <t>Asia Foundation</t>
  </si>
  <si>
    <t>Albanian Telecom Enterprise.</t>
  </si>
  <si>
    <t>Ministry of Transport and Telecommunications.</t>
  </si>
  <si>
    <t>Minister for Innovation and ICT</t>
  </si>
  <si>
    <t>Autorité de Régulation de la Poste et des Télecommunications (ARPT).</t>
  </si>
  <si>
    <t>Autorité de Régulation de la Poste et des Télécommunications</t>
  </si>
  <si>
    <t>ITU Estimate.</t>
  </si>
  <si>
    <t>Office National des Statistiques</t>
  </si>
  <si>
    <t>Servei de Telecomunicacions d'Andorra (STA).</t>
  </si>
  <si>
    <t>Andorra Telecom</t>
  </si>
  <si>
    <t>Servei de Telecomunicacions d'Andorra</t>
  </si>
  <si>
    <t>Servei d'studis - Ministeri de Finances</t>
  </si>
  <si>
    <t xml:space="preserve">2014 Census. Share of population aged 5+ accessing the Internet in the past 12 months. </t>
  </si>
  <si>
    <t>Instituto Nacional de Estatística.</t>
  </si>
  <si>
    <t>Antigua and Barbuda</t>
  </si>
  <si>
    <t>Cable and Wireless (W.I.) Ltd. (C&amp;W). A.P.U.A. Telephones. Digicel.</t>
  </si>
  <si>
    <t>Population age 5+. Census.</t>
  </si>
  <si>
    <t>Statistics Division, Census.</t>
  </si>
  <si>
    <t>SECOM.</t>
  </si>
  <si>
    <t>Comisión Nacional de Comunicaciones</t>
  </si>
  <si>
    <t>Population aged 10+. Estimated based on survey results for urban population.</t>
  </si>
  <si>
    <t>ITU estimate based on INDEC's survey.</t>
  </si>
  <si>
    <t>Instituto Nacional de Estadistica y Censos.</t>
  </si>
  <si>
    <t>NATIONAL INSTITUTE OF STATISTICS AND CENSUS (INDEC)</t>
  </si>
  <si>
    <t>Ministry of Transport and Communications</t>
  </si>
  <si>
    <t>All population.</t>
  </si>
  <si>
    <t>National Statistical Service</t>
  </si>
  <si>
    <t>All population</t>
  </si>
  <si>
    <t>ARMSTAT</t>
  </si>
  <si>
    <t>Servicio di Telecomunicacion di Aruba (SETAR).</t>
  </si>
  <si>
    <t>Ascension</t>
  </si>
  <si>
    <t>Cable &amp; Wireless plc. (C&amp;W).</t>
  </si>
  <si>
    <t>Data refer to 31st December.</t>
  </si>
  <si>
    <t>Cable &amp; Wireless</t>
  </si>
  <si>
    <t>Cable &amp; Wireless South Atlantic Ltd</t>
  </si>
  <si>
    <t>ABS Household Use of Information Technology Survey.</t>
  </si>
  <si>
    <t>Population age 15+.</t>
  </si>
  <si>
    <t>Australian Bureau of Statistics.</t>
  </si>
  <si>
    <t xml:space="preserve">Australian Bureau of Statistics. </t>
  </si>
  <si>
    <t>Individuals aged 15 years and over</t>
  </si>
  <si>
    <t>Australian Bureau of Statistics</t>
  </si>
  <si>
    <t xml:space="preserve"> 
Individuals aged 15 years and over</t>
  </si>
  <si>
    <t>ITU Estimate2.</t>
  </si>
  <si>
    <t>Internet users are persons aged 15 years and over who accessed the internet for personal use in a typical week.</t>
  </si>
  <si>
    <t>Regular users of the Internet, Population age 14+.</t>
  </si>
  <si>
    <t>Austria Internet Monitor.</t>
  </si>
  <si>
    <t>Population age 16-74 using Internet in the last 3 months.</t>
  </si>
  <si>
    <t>Eurostat.</t>
  </si>
  <si>
    <t>Population age 16-74.</t>
  </si>
  <si>
    <t xml:space="preserve"> Users in the last 3 months. Age 16-74.</t>
  </si>
  <si>
    <t xml:space="preserve"> Users in the last 3 months.</t>
  </si>
  <si>
    <t>Statistik Austria.</t>
  </si>
  <si>
    <t>Individuals aged 16 to 74 years who used the Internet in the last 3 months</t>
  </si>
  <si>
    <t>Statistics Austria</t>
  </si>
  <si>
    <t>Eurostat</t>
  </si>
  <si>
    <t>Population age 7+.</t>
  </si>
  <si>
    <t>State Statistical Committee</t>
  </si>
  <si>
    <t>State Statistical Committee of Azerbaijan Republic</t>
  </si>
  <si>
    <t>State Statistical Committee of the Republic of Azerbaijan</t>
  </si>
  <si>
    <t>Estimated based on 3 times the number of subscribers.</t>
  </si>
  <si>
    <t>BAHAMAS TELECOMMUNICATIONS COMPANY LTD.</t>
  </si>
  <si>
    <t>Bahamas Telecommunications Company Ltd.</t>
  </si>
  <si>
    <t>Telecommunications Regulatory Authority (TRA)</t>
  </si>
  <si>
    <t>Estimated based on TRA 2011 Residential consumer survey</t>
  </si>
  <si>
    <t>Population age 15+. Estimated based on  2011 Residential consumer survey result and TRA analysis of the growth</t>
  </si>
  <si>
    <t>Estimated based on TRA 2016 Residential consumer survey</t>
  </si>
  <si>
    <t>Information and E-Government Authority</t>
  </si>
  <si>
    <t>Estimated based on TRA 2017 Residential consumer survey</t>
  </si>
  <si>
    <t>Labour Force Survey 2013</t>
  </si>
  <si>
    <t>Bangladesh Bureau of Statistics</t>
  </si>
  <si>
    <t>IRI</t>
  </si>
  <si>
    <t>Cable and Wireless (Barbados) Limited.</t>
  </si>
  <si>
    <t>Ministry of Energy and Public Utilities.</t>
  </si>
  <si>
    <t>National Council for Science and Technology (NCST).</t>
  </si>
  <si>
    <t>Beltelecom.</t>
  </si>
  <si>
    <t>Population age 16+.</t>
  </si>
  <si>
    <t>National Statistical Committee.</t>
  </si>
  <si>
    <t>National Statistical Committee of the Republic of Belarus (Belstat)</t>
  </si>
  <si>
    <t>National Statistical Committee of the Republic of Belarus</t>
  </si>
  <si>
    <t>Population age 6+ (break in comparability, before 16+).</t>
  </si>
  <si>
    <t>Population age 6+.</t>
  </si>
  <si>
    <t>During the recent 12 months.</t>
  </si>
  <si>
    <t>during the recent 12 months</t>
  </si>
  <si>
    <t>Institut belge des services postaux et des télécommunications (IBPT).</t>
  </si>
  <si>
    <t xml:space="preserve">Institut belge des services postaux et des télécommunications </t>
  </si>
  <si>
    <t xml:space="preserve">Belgian Institute for Postal Services and Telecommunications </t>
  </si>
  <si>
    <t xml:space="preserve">Population age 16-74. Last three months. </t>
  </si>
  <si>
    <t>In accordance with the explanation of indicator HH7, individuals using the Internet (or Internet users) are understood to be individuals who have used the internet from any location in the last three months.</t>
  </si>
  <si>
    <t>Direction Générale Statistique - Statistics Belgium</t>
  </si>
  <si>
    <t>Belize Telecommunications Ltd (BTL).</t>
  </si>
  <si>
    <t>Population age 5+.</t>
  </si>
  <si>
    <t>Staistical Institute of Belize</t>
  </si>
  <si>
    <t>Autorité Transitoire de Régulation des Postes et Télécommunications</t>
  </si>
  <si>
    <t>Population 6+</t>
  </si>
  <si>
    <t>NSO.</t>
  </si>
  <si>
    <t>18+ at least once a month</t>
  </si>
  <si>
    <t>AfroBarometer</t>
  </si>
  <si>
    <t>Population age 18+.</t>
  </si>
  <si>
    <t>Bermuda Government Department of Statistics.</t>
  </si>
  <si>
    <t xml:space="preserve"> Bermuda Government Department of Statistics.</t>
  </si>
  <si>
    <t>Bhutan InfoComm and Media Authority</t>
  </si>
  <si>
    <t xml:space="preserve">Country estimate. </t>
  </si>
  <si>
    <t>Ministry of Information &amp; Communications</t>
  </si>
  <si>
    <t xml:space="preserve">ITU estimate.
</t>
  </si>
  <si>
    <t>Bolivia (Plurinational State of)</t>
  </si>
  <si>
    <t>SITTEL. ITU estimate.</t>
  </si>
  <si>
    <t>Superintendencia de Telecomunicaciones.</t>
  </si>
  <si>
    <t>Population age 5+ in the last 12 months.</t>
  </si>
  <si>
    <t>Instituto Nacional de Estadística</t>
  </si>
  <si>
    <t>Population age 5+ in the last 3 months.</t>
  </si>
  <si>
    <t>Statistic National Institute</t>
  </si>
  <si>
    <t>Bosnia and Herzegovina</t>
  </si>
  <si>
    <t>Public Enterprise PTT Bosnia and Herzegovina (PTT BIH).</t>
  </si>
  <si>
    <t>Communications Regulatory Agency B &amp; H.</t>
  </si>
  <si>
    <t>Communication Regulatory Agency</t>
  </si>
  <si>
    <t>The data is corrected</t>
  </si>
  <si>
    <t>Agency for Statistics of Bosnia and Herzegovina</t>
  </si>
  <si>
    <t>Agency for statistics of Bosnia and Herzegovina</t>
  </si>
  <si>
    <t>Botswana Telecommunication Corporation.</t>
  </si>
  <si>
    <t>Botswana Telecommunications Authority (BTA).</t>
  </si>
  <si>
    <t>BOTSWANA TELECOMMUNICATIONS AUTHORITY</t>
  </si>
  <si>
    <t>Estimate from BOTSWANA TELECOMMUNICATIONS AUTHORITY</t>
  </si>
  <si>
    <t>Botswana Telecommunications Authority</t>
  </si>
  <si>
    <t>RIA.</t>
  </si>
  <si>
    <t>Central Statistics Office.</t>
  </si>
  <si>
    <t>Population age 10+ using internet in the last 3 months.</t>
  </si>
  <si>
    <t>IBGE.</t>
  </si>
  <si>
    <t>Population age 10+. Estimated based on urban/rural distribution of Internet users in 2008 (as 2006 Survey collected only urban data).</t>
  </si>
  <si>
    <t>ITU estimate based on Brazilian Internet Steering Committee.</t>
  </si>
  <si>
    <t>Brazilian Internet Steering Committee.</t>
  </si>
  <si>
    <t>In the last 3 months. Population 10+.</t>
  </si>
  <si>
    <t>Population age 10+.</t>
  </si>
  <si>
    <t>NIC.br</t>
  </si>
  <si>
    <t>Telecommunications Regulatory Commission</t>
  </si>
  <si>
    <t>Brunei Darussalam</t>
  </si>
  <si>
    <t>Jabatan Telekom Brunei (JTB). Ministry of Communications.</t>
  </si>
  <si>
    <t>AiTi.</t>
  </si>
  <si>
    <t>Authority for Info-communications Technology Industry of Brunei Darussalam (AITI)</t>
  </si>
  <si>
    <t>Estimate.</t>
  </si>
  <si>
    <t>Authority for Info-communications Technology Industry of Brunei Darussalam</t>
  </si>
  <si>
    <t>Bulgarian Telecommunications Company Ltd.</t>
  </si>
  <si>
    <t>Communications Regulation Commission.</t>
  </si>
  <si>
    <t>Communications Regulation Commission</t>
  </si>
  <si>
    <t xml:space="preserve">Population age 16-74.
</t>
  </si>
  <si>
    <t>National Statistical Institute</t>
  </si>
  <si>
    <t>Autorité de Régulation des Télécommunications Électroniques (ARCE)</t>
  </si>
  <si>
    <t>Agence de Régulation et de Contrôle des Télécommunications (ARCT)</t>
  </si>
  <si>
    <t>Institut de Statistiques et d'tudes Economiques</t>
  </si>
  <si>
    <t>Cabo Verde</t>
  </si>
  <si>
    <t>Cabo Verde Telecom.</t>
  </si>
  <si>
    <t>Instituto das Comunicações e das Tecnologias de Informação.</t>
  </si>
  <si>
    <t>Instituto Nacional de Estatística</t>
  </si>
  <si>
    <t>Population 10 years of age or older
source - IMC 2016 survey</t>
  </si>
  <si>
    <t>Population 10 years of age or older
source - IMC 2017 survey</t>
  </si>
  <si>
    <t>Ministry of Post and Telecommunications (MPTC).</t>
  </si>
  <si>
    <t>MINISTRY OF POSTS &amp; TELECOMMUNICATIONS OF CAMBODIA (MPTC)</t>
  </si>
  <si>
    <t>Ministry of Posts and Telecommunications</t>
  </si>
  <si>
    <t>National Institute of Statistics</t>
  </si>
  <si>
    <t>Based on Cambodia's Inter-censal Population Survey 2013 and growth of mobile broadband.</t>
  </si>
  <si>
    <t>ITU estimate based on National Institute of Statistics</t>
  </si>
  <si>
    <t>Agence de Régulation des Statistiques</t>
  </si>
  <si>
    <t>Institut National de la Statistique</t>
  </si>
  <si>
    <t>masculin + féminin</t>
  </si>
  <si>
    <t>Survey result, scope age unknown.</t>
  </si>
  <si>
    <t>Statistics Canada.</t>
  </si>
  <si>
    <t>Estimated based on Survey's results 2005 and 2007. Population age 16+.</t>
  </si>
  <si>
    <t>Estimate based on Survey's results 2007 and 2009. Population age 16+.</t>
  </si>
  <si>
    <t>Population age 16+. Survey was redesigned, therefore comparison with previous years should not be done.</t>
  </si>
  <si>
    <t>Residents of Canada 16 years of age or older excluding: Residents of the Yukon, Northwest Territories and Nunavut, Inmates of Institutions, Persons living on Indian Reserves, and Full time members of the Canadian Forces.</t>
  </si>
  <si>
    <t>CIUS.</t>
  </si>
  <si>
    <t>Pew</t>
  </si>
  <si>
    <t>Statistics Canada</t>
  </si>
  <si>
    <t>Source: Tower Omnibus Survey.</t>
  </si>
  <si>
    <t xml:space="preserve">Information and Communications Technology Authority </t>
  </si>
  <si>
    <t xml:space="preserve">ITU estimate confirmed by the Information and Communications Technology Authority </t>
  </si>
  <si>
    <t>Central African Rep.</t>
  </si>
  <si>
    <t>Société Centrafricaine des Télécommunications.</t>
  </si>
  <si>
    <t>SOTEL.</t>
  </si>
  <si>
    <t>Office Tchadien de Régulation des Télécommunications.</t>
  </si>
  <si>
    <t>Office Tchadien de Régulation des Télécommunications</t>
  </si>
  <si>
    <t>Internet users 5+ over the total population.</t>
  </si>
  <si>
    <t>OSILAC, ECLAC.</t>
  </si>
  <si>
    <t>Estimated based on surveys' results. Internet users 5+ over the total population.</t>
  </si>
  <si>
    <t>Ministerio de Planificación.</t>
  </si>
  <si>
    <t>Estimated based on surveys' results. Population age 5+.</t>
  </si>
  <si>
    <t>Ministerio Desarrollo Social</t>
  </si>
  <si>
    <t>ITU  estimate.</t>
  </si>
  <si>
    <t>Undersecretariat of Telecommunications</t>
  </si>
  <si>
    <t>older than 15 years</t>
  </si>
  <si>
    <t>Subsecretaría de Telecomunicaciones</t>
  </si>
  <si>
    <t>CNNIC.</t>
  </si>
  <si>
    <t>Population age 6+. Online at least one hour per week.</t>
  </si>
  <si>
    <t>Ministry of Information Industry (MII).</t>
  </si>
  <si>
    <t>Ministry of Industry and Information Technology</t>
  </si>
  <si>
    <t xml:space="preserve"> Permanent residents at the age of 6 or above. In the last 6 months.</t>
  </si>
  <si>
    <t>ITU Research based on CNNIC report.</t>
  </si>
  <si>
    <t>Cocos Keeling Islands</t>
  </si>
  <si>
    <t>Ministerio de Comunicaciones.</t>
  </si>
  <si>
    <t>Ministry of Communications' estimate.</t>
  </si>
  <si>
    <t>June.</t>
  </si>
  <si>
    <t>Departamento Administrativo Nacional de Estadística-DANE.</t>
  </si>
  <si>
    <t>Departamento Administrativo Nacional de Estadística - DANE</t>
  </si>
  <si>
    <t>Departamento Administrativo Nacional de Estadistica (DANE)</t>
  </si>
  <si>
    <t>Los datos son expandidos con proyecciones de población, elaboradas con base en los resultados del censo 2005. La población objetivo de la encuesta corresponde a las personas de 5 años y más de edad.</t>
  </si>
  <si>
    <t>Congo (Rep. of the)</t>
  </si>
  <si>
    <t>Direction Génerale de l'Administration Centrale des Postes et Télécommunications du Congo.</t>
  </si>
  <si>
    <t xml:space="preserve">Estimate based on the number of fixed and mobile broadband subscriptions. </t>
  </si>
  <si>
    <t>Agence de Régulation des Postes et des Communications Electroniques</t>
  </si>
  <si>
    <t>Instituto Nacional de Estadística y Censos</t>
  </si>
  <si>
    <t>Estimated based on 2005 and 2008 surveys' results. Population age 5+</t>
  </si>
  <si>
    <t>Population age 5+ using Internet in the last 3 months.</t>
  </si>
  <si>
    <t>ICE-Telecomunicaciones</t>
  </si>
  <si>
    <t>Instituto Nacional de Estadisticas y Censos (INEC)</t>
  </si>
  <si>
    <t>Total population. In the last three months.</t>
  </si>
  <si>
    <t>In the last 3 months. Population 5+.</t>
  </si>
  <si>
    <t>Break in comparability. Total population. In the last three months.</t>
  </si>
  <si>
    <t>Population age 5+ in the last three months.</t>
  </si>
  <si>
    <t>Côte d'Ivoire</t>
  </si>
  <si>
    <t>ARTCI</t>
  </si>
  <si>
    <t xml:space="preserve">Croatian Post and Electronic Communications Agency (HAKOM). </t>
  </si>
  <si>
    <t>Croatian Post and Electronic Communications Agency (HAKOM)</t>
  </si>
  <si>
    <t>Last 3 months.</t>
  </si>
  <si>
    <t>Croatian Bureau of Statistics</t>
  </si>
  <si>
    <t>Refers only to users with access to the international network.</t>
  </si>
  <si>
    <t>Ministerio de la Informática y las Comunicaciones.</t>
  </si>
  <si>
    <t>Incl. users of the international network and also those having access only to the Cuban network.</t>
  </si>
  <si>
    <t>ONE.</t>
  </si>
  <si>
    <t>Ministerio de la Informática y las Comunicaciones</t>
  </si>
  <si>
    <t>Incl. users of the international network and also those having access only to the Cuban network. Users of international network account for 2.9%.</t>
  </si>
  <si>
    <t>Population age 6+. Incl. users of the international network and also those having access only to the Cuban network.</t>
  </si>
  <si>
    <t>Oficina Nacional de Estadisticas (ONE)</t>
  </si>
  <si>
    <t>Oficina Nacional de Estadisticas e Información (ONEI)</t>
  </si>
  <si>
    <t>Oficina Nacional de Estadística e Información (ONEI)</t>
  </si>
  <si>
    <t xml:space="preserve">Oficina Nacional de Estadisticas e Informacion </t>
  </si>
  <si>
    <t>ONEI</t>
  </si>
  <si>
    <t>Curacao</t>
  </si>
  <si>
    <t>CBS Curaçao</t>
  </si>
  <si>
    <t>ESIS.</t>
  </si>
  <si>
    <t>ESIS. ESIS. ESIS.</t>
  </si>
  <si>
    <t>ITU estimate based on Eurostat.</t>
  </si>
  <si>
    <t>Statistical Service of Cyprus</t>
  </si>
  <si>
    <t>STATISTICAL SERVICE OF CYPRUS</t>
  </si>
  <si>
    <t>Ministry of Economy. Czech Telecommunication Office.</t>
  </si>
  <si>
    <t>Ministry of Economy. Czech Telecommunication Office estimate.</t>
  </si>
  <si>
    <t>Czech Statistical Office.</t>
  </si>
  <si>
    <t>Czech Statistical Office</t>
  </si>
  <si>
    <t>reference period: 3 months prior to questioning</t>
  </si>
  <si>
    <t>Dem. People's Rep. of Korea</t>
  </si>
  <si>
    <t>Commercially not available. Local Intranet available in country.</t>
  </si>
  <si>
    <t>Ministry of Posts and Telecommunications.</t>
  </si>
  <si>
    <t>Dem. Rep. of the Congo</t>
  </si>
  <si>
    <t>Country estimate.</t>
  </si>
  <si>
    <t>E-mail users.</t>
  </si>
  <si>
    <t>MR&amp;IT.</t>
  </si>
  <si>
    <t>National IT- and Telecom Agency NITA</t>
  </si>
  <si>
    <t xml:space="preserve"> internet used past 3 months</t>
  </si>
  <si>
    <t>Statistics Denmark</t>
  </si>
  <si>
    <t xml:space="preserve">
internet used past 3 months</t>
  </si>
  <si>
    <t>Ministére de la Communication et de la Culture, chargé des Postes et des Télécommunications</t>
  </si>
  <si>
    <t>Direction de la Statistique et des Etudes Démographiques</t>
  </si>
  <si>
    <t>National Telecommunications Regulatory Commission</t>
  </si>
  <si>
    <t>ECTEL</t>
  </si>
  <si>
    <t>Dominican Rep.</t>
  </si>
  <si>
    <t>Instituto Dominicano de las Telecomunicaciones (INDOTEL).</t>
  </si>
  <si>
    <t>Instituto Dominicano de las Telecomunicaciones (INDOTEL)</t>
  </si>
  <si>
    <t>Calculated using a multiplying factor of 3.9 to residencial subscriptions and 16 to business subscriptions.</t>
  </si>
  <si>
    <t>12+ years.</t>
  </si>
  <si>
    <t>Oficina Nacional Estadistica.</t>
  </si>
  <si>
    <t>12+ years</t>
  </si>
  <si>
    <t>Oficina Nacional de Estadistica</t>
  </si>
  <si>
    <t>Population age 12+.</t>
  </si>
  <si>
    <t>Individuals using the Internet (from any location) in the last 12 months.</t>
  </si>
  <si>
    <t>National Bureau of Statistics</t>
  </si>
  <si>
    <t>Estimated based on survey results.</t>
  </si>
  <si>
    <t>Secretaría Nacional de Telecomunicaciones (SENATEL)</t>
  </si>
  <si>
    <t>Population age 5+ (Source: INEC, households survey)</t>
  </si>
  <si>
    <t>Instituto Nacional de Estadistica y Censos</t>
  </si>
  <si>
    <t>Instituto Nacional de Estadistica y Censos - INEC</t>
  </si>
  <si>
    <t>INSTITUTO NACIONAL DE ESTADISTICA Y CENSOS - INEC</t>
  </si>
  <si>
    <t>Population age 5+. Direct respondent as of 15.</t>
  </si>
  <si>
    <t>Population age 5+</t>
  </si>
  <si>
    <t>PERSONAS DE 5 AÑOS Y MÁS, INFORMANTE DIRECTO DE 15 AÑOS Y MÁS</t>
  </si>
  <si>
    <t>Telecom Egypt estimate.</t>
  </si>
  <si>
    <t>MICT.</t>
  </si>
  <si>
    <t>Ministry of Communications and Information Technology.</t>
  </si>
  <si>
    <t>Ministry of Communcations and Information Technology</t>
  </si>
  <si>
    <t>Ministry of Communications and Information Technology</t>
  </si>
  <si>
    <t>central agency for public mobilization and statistics-capmas</t>
  </si>
  <si>
    <t>Central Agency For Public Mobilization And Statistics (CAPMAS)</t>
  </si>
  <si>
    <t>Superintendencia General de Electricidad y Telecomunicaciones.</t>
  </si>
  <si>
    <t>Estimated based on Survey results. Population age 10+.</t>
  </si>
  <si>
    <t>DIGESTYC</t>
  </si>
  <si>
    <t>Dirección General de Estadística y Censos. (DIGESTYC)</t>
  </si>
  <si>
    <t>In the last 12 months. Individuals aged 10 and above.</t>
  </si>
  <si>
    <t>Dirección General de Estadística y Censos. (DIGESTYC).</t>
  </si>
  <si>
    <t>La Société Anonyme de Télécommunications de la République de Guinée Equatoriale</t>
  </si>
  <si>
    <t>ITU estimate</t>
  </si>
  <si>
    <t>Ministry of Economic Affairs and Communications.</t>
  </si>
  <si>
    <t>Ministry of Economic Affairs and Communications estimate.</t>
  </si>
  <si>
    <t>Population age 16-74 in the last 3 months.</t>
  </si>
  <si>
    <t>Estonian Competition Authority</t>
  </si>
  <si>
    <t>Statistical Office of Estonia.</t>
  </si>
  <si>
    <t>Statistical Office of Estonia</t>
  </si>
  <si>
    <t>Swaziland Posts and Telecommunications Corporation (STPC).</t>
  </si>
  <si>
    <t>Swaziland Posts and Telecommunications Corporation</t>
  </si>
  <si>
    <t xml:space="preserve">SwaziMTN 3G Network
&amp; SPTC 1x EV DO + ISPs
Networks +ISPs
</t>
  </si>
  <si>
    <t>Ethiopian Telecommunications Corporation (ETC). Ethiopian Telecommunication Agency.</t>
  </si>
  <si>
    <t>Ethiopian Telecommunication Agency</t>
  </si>
  <si>
    <t>Falkland (Malvinas) Is.</t>
  </si>
  <si>
    <t>Post and Telecom Surveillance Authority</t>
  </si>
  <si>
    <t>Telecom Fiji.</t>
  </si>
  <si>
    <t>Ministry of Information, Communications &amp; Media Relations.</t>
  </si>
  <si>
    <t>Has used at least one other Internet application besides e-mail in last 3 months. Population age 15+.</t>
  </si>
  <si>
    <t>www.toy.fi.</t>
  </si>
  <si>
    <t>Using at least one other Internet application besides e-mail in last 3 months. Population age 15+.</t>
  </si>
  <si>
    <t>Break in series. Population aged 16-89.</t>
  </si>
  <si>
    <t>Statistics Finland.</t>
  </si>
  <si>
    <t>Population aged 16-89.</t>
  </si>
  <si>
    <t>Statistics Finland</t>
  </si>
  <si>
    <t>Population age 15+ using internet in the last year.</t>
  </si>
  <si>
    <t>Médiamétrie.</t>
  </si>
  <si>
    <t>Population age 11+, used in the last month.</t>
  </si>
  <si>
    <t>Scope : 15 years old and more. Break in comparability.</t>
  </si>
  <si>
    <t>Institut National de la Statistique et des Etudes Economiques</t>
  </si>
  <si>
    <t>Scope : 15 years old and more
Last 3 months.</t>
  </si>
  <si>
    <t>INSEE</t>
  </si>
  <si>
    <t>Service des postes et télécommunications</t>
  </si>
  <si>
    <t>Service des Postes et Télécommunications</t>
  </si>
  <si>
    <t>Office des postes et des télécommunications (OPT).</t>
  </si>
  <si>
    <t>Gabon Telecom S.A.</t>
  </si>
  <si>
    <t>The Gambia Public Utilities Regulatory Authority.</t>
  </si>
  <si>
    <t>The Gambia Public Utilities Regulatory Authority</t>
  </si>
  <si>
    <t>Georgian National Communications Commission (GNCC).</t>
  </si>
  <si>
    <t>Georgian National Communications Commission</t>
  </si>
  <si>
    <t>Ministry of Economy and Sustainable Development of Georgia</t>
  </si>
  <si>
    <t>Population age 6+ in the last 12 months.</t>
  </si>
  <si>
    <t>National Statistics Office of Georgia</t>
  </si>
  <si>
    <t>Survey value is 49.1% for population age 6+ using Internet in the last 12 months. The current value is an ITU estimate provided for comparability reasons with 2015 value, which corresponds to users in the last 3 months.</t>
  </si>
  <si>
    <t>Population age 6+. Break in comparability, reference period in the last 3 months.</t>
  </si>
  <si>
    <t>National Statistics Office of Georgia (Geostat)</t>
  </si>
  <si>
    <t>6 years and older, reference period is the last 3 months</t>
  </si>
  <si>
    <t>(N)onliner-Atlas.</t>
  </si>
  <si>
    <t>Destatis</t>
  </si>
  <si>
    <t>Federal Statistical Office</t>
  </si>
  <si>
    <t>Ghana Telecom.</t>
  </si>
  <si>
    <t>Ghana Telecom estimate.</t>
  </si>
  <si>
    <t>National Communications Authority (NCA).</t>
  </si>
  <si>
    <t>National Communications Authority</t>
  </si>
  <si>
    <t>Break in comparability: persons 12 years and older. Based on Census 2010 results.</t>
  </si>
  <si>
    <t>Ghana Statistical Service.</t>
  </si>
  <si>
    <t>Ghana Living Standards Survey 2012/2013. The estimate is based on weighting households who use internet by the household size over the total estimated population. Sample weights have also been applied. The question was asked at household level.</t>
  </si>
  <si>
    <t>Ghana Statistical Service</t>
  </si>
  <si>
    <t>GNC Networks Limited.</t>
  </si>
  <si>
    <t>Gibraltar Regulatory Authority</t>
  </si>
  <si>
    <t>Hellenic Telecommunications &amp; Post Commission (EETT).</t>
  </si>
  <si>
    <t>Population age 16-74, in the last 3 months.</t>
  </si>
  <si>
    <t>Hellenic Telecommunications &amp; Post Commission and EL.STAT</t>
  </si>
  <si>
    <t>Hellenic Telecommunications &amp; Post Commission</t>
  </si>
  <si>
    <t>Hellenic Statistical Authority</t>
  </si>
  <si>
    <t>TELE Greenland</t>
  </si>
  <si>
    <t>Tele Greenland A/S</t>
  </si>
  <si>
    <t>Cable &amp; Wireless Grenada Ltd. trading as LIME</t>
  </si>
  <si>
    <t>Guam Telephone Authority.</t>
  </si>
  <si>
    <t>Age 15-65</t>
  </si>
  <si>
    <t>AfterAccess</t>
  </si>
  <si>
    <t>Cable &amp; Wireless Guernsey.</t>
  </si>
  <si>
    <t>CRC based on survey.</t>
  </si>
  <si>
    <t>2004 HH ICT survey.</t>
  </si>
  <si>
    <t>Ministère de la Communication et des Nouvelles Technologies de l'Information.</t>
  </si>
  <si>
    <t>Based on operators' information.</t>
  </si>
  <si>
    <t>Ministère de la Communication et des Nouvelles Technologies de l'Information</t>
  </si>
  <si>
    <t>Instituto das Comunicaçoes da Guiné-Bissau.</t>
  </si>
  <si>
    <t>National Frequency Management Unit</t>
  </si>
  <si>
    <t>CONATEL</t>
  </si>
  <si>
    <t>Estimated based on Survey's results. Population age 5+.</t>
  </si>
  <si>
    <t>ITU based on ECLAC, OSILAC.</t>
  </si>
  <si>
    <t>Instituto Nacional de Estadistica de Honduras (INE)</t>
  </si>
  <si>
    <t>Comisión Nacional de Telecomunicaciones (CONATEL)</t>
  </si>
  <si>
    <t>Instituto Nacional de Estadistica</t>
  </si>
  <si>
    <t>Last 3 months</t>
  </si>
  <si>
    <t>INE</t>
  </si>
  <si>
    <t>Population age 10+ who accessed Internet in previous year.</t>
  </si>
  <si>
    <t>Census and Statistics Department</t>
  </si>
  <si>
    <t>Census and Statistics Department.</t>
  </si>
  <si>
    <t>Office of the Telecommunications Authority</t>
  </si>
  <si>
    <t>All persons aged 10 and over</t>
  </si>
  <si>
    <t>The figure should be 5'577'500 (data input as 5'577'600 temporarily for by-passing the validation rule).
Number of individuals aged 10 and over who used the Internet (from any location) in the last twelve months</t>
  </si>
  <si>
    <t>Number of individuals aged 10 and over who used the Internet (from any location) in the last twelve months</t>
  </si>
  <si>
    <t>National Communications Authority.</t>
  </si>
  <si>
    <t xml:space="preserve">Eurostat.
</t>
  </si>
  <si>
    <t>Usage within the last 3 months.</t>
  </si>
  <si>
    <t>ITU</t>
  </si>
  <si>
    <t>Hungarian Central Statistical Office</t>
  </si>
  <si>
    <t>Iceland Telecom Ltd.</t>
  </si>
  <si>
    <t>Break in comparability, from this year on data based on Eurostat.</t>
  </si>
  <si>
    <t>Post and Telecom Administration</t>
  </si>
  <si>
    <t>OECD.</t>
  </si>
  <si>
    <t>Department of Telecommunications (DOT). Ministry of Communications and Information Technology.</t>
  </si>
  <si>
    <t>December.</t>
  </si>
  <si>
    <t xml:space="preserve">September. </t>
  </si>
  <si>
    <t xml:space="preserve">Internet in India [I Cube] Report 2007. </t>
  </si>
  <si>
    <t>Department of Telecommunications, Ministry of Communications &amp; IT</t>
  </si>
  <si>
    <t>Estimate based on market research reports indicating 121 million Internet users by 12/2011. India has 20.99  million Internet connections (incl. broad- and narrowband subscript. excl. mobile phone subscript. with data capabilities) in 09/2011.</t>
  </si>
  <si>
    <t>DoT / TRAI.</t>
  </si>
  <si>
    <t>Indonesian Internet Service Provider Association.</t>
  </si>
  <si>
    <t>Ministry of Communication and Information Technology</t>
  </si>
  <si>
    <t>Refers to total population.</t>
  </si>
  <si>
    <t>Break in comparability. Population age 5+. (value for all population is 11.11%).</t>
  </si>
  <si>
    <t>Badan Pusat Statistik.</t>
  </si>
  <si>
    <t xml:space="preserve"> Population age 5+.</t>
  </si>
  <si>
    <t>BPS-Statistics Indonesia</t>
  </si>
  <si>
    <t>Ministry of Information and Communications Technology.</t>
  </si>
  <si>
    <t>Communications Regulatory Authority (CRA).</t>
  </si>
  <si>
    <t>Statistical Centre of Iran (SCI)</t>
  </si>
  <si>
    <t>Statistical Center of Iran.</t>
  </si>
  <si>
    <t xml:space="preserve">1. Age 6 and over
2. HH7. Proportion of individuals using the Internet is 53.23%
</t>
  </si>
  <si>
    <t>1. Non-final results from ICT survey
2. The results of the ICT survey will be finalized in July 2018.
3. Age 6 and over
4. HH7. Proportion of individuals using the Internet is 60.42%</t>
  </si>
  <si>
    <t>Ministry of Communications</t>
  </si>
  <si>
    <t>Central Statistical Organization</t>
  </si>
  <si>
    <t>15+, used last week</t>
  </si>
  <si>
    <t>Gallup</t>
  </si>
  <si>
    <t>Communications and Media Commission</t>
  </si>
  <si>
    <t>Amarach.</t>
  </si>
  <si>
    <t>age 15+.</t>
  </si>
  <si>
    <t>Population age 16-74. Last three months.</t>
  </si>
  <si>
    <t>0.85</t>
  </si>
  <si>
    <t>Central Statistics Office</t>
  </si>
  <si>
    <t>Population age 20+.</t>
  </si>
  <si>
    <t>Central Bureau of Statistics.</t>
  </si>
  <si>
    <t>Central Bureau of Statistics</t>
  </si>
  <si>
    <t>Age 20+.
in the last 3 months</t>
  </si>
  <si>
    <t>Age 20+. in the last 3 months</t>
  </si>
  <si>
    <t>CENTRAL BUREAU OF STATISTICS</t>
  </si>
  <si>
    <t>Israel Central Bureau of Statistics</t>
  </si>
  <si>
    <t xml:space="preserve">starting from 2014, the ISS asks about internet usage via a computer, or a mobile cellular phone  </t>
  </si>
  <si>
    <t>IDC.</t>
  </si>
  <si>
    <t>Break in series. Population age 6+.</t>
  </si>
  <si>
    <t>Istat/ Italian National Institute of Statistics.</t>
  </si>
  <si>
    <t>Italian National Institute of Statistics</t>
  </si>
  <si>
    <t>Cable &amp; Wireless.</t>
  </si>
  <si>
    <t>Office of Utilities Regulation</t>
  </si>
  <si>
    <t>Population age 14+.</t>
  </si>
  <si>
    <t>Statistical Institute of Jamaica</t>
  </si>
  <si>
    <t>Break in comparability. Individuals 3+. Census result.Penetration is estimated by ITU at 31.5 for population 14+.</t>
  </si>
  <si>
    <t xml:space="preserve">Statistical Institute of Jamaica (STATIN) </t>
  </si>
  <si>
    <t>PC-based only.</t>
  </si>
  <si>
    <t>Ministry of Internal Affairs and Communications (MIC).</t>
  </si>
  <si>
    <t>Incl. users accessing internet through cellphones, PHS and game console.</t>
  </si>
  <si>
    <t>Ministry of Internal Affairs and Communications (MIC); Telecommunications Carriers Associations (TCA).</t>
  </si>
  <si>
    <t>Ministry of Internal Affairs and Communications.</t>
  </si>
  <si>
    <t xml:space="preserve">Ministry of Internal Affairs and Communications. </t>
  </si>
  <si>
    <t>Ministry of Internal Affairs and Communications</t>
  </si>
  <si>
    <t xml:space="preserve">Ministry of Internal Affairs and Communications </t>
  </si>
  <si>
    <t>estimated by the following method. (The estimation population of more than 6 years old)×(Survey result(%)). Used in the last 12 months</t>
  </si>
  <si>
    <t>Telecommunications Regulatory Commission.</t>
  </si>
  <si>
    <t>Department of Statistics.</t>
  </si>
  <si>
    <t>Department of Statistics of Jordan</t>
  </si>
  <si>
    <t>Ministry of the Republic of Kazakhstan for Communications and Information</t>
  </si>
  <si>
    <t>According to annual sample surveys. Population age 16-74.</t>
  </si>
  <si>
    <t>The Agency of the Republic of Kazakhstan on Statistics</t>
  </si>
  <si>
    <t>Agency of the Republic of Kazakhstan on Statistics.</t>
  </si>
  <si>
    <t>Population age 6-74.</t>
  </si>
  <si>
    <t xml:space="preserve">Ministry of National Economy Committee on Statistics. </t>
  </si>
  <si>
    <t>Committee on Statistics, Ministry of National Economy of the Republic of Kazakhstan</t>
  </si>
  <si>
    <t>Kenya National Bureau of Statistics</t>
  </si>
  <si>
    <t>National Bureau of Statistics and Communications Commission of Kenya.</t>
  </si>
  <si>
    <t>KENYA NATIONAL BUREAU OF STATISTICS</t>
  </si>
  <si>
    <t>NSO, 2006 Kiribati HIES</t>
  </si>
  <si>
    <t>Telecommunications Authority of Kiribati</t>
  </si>
  <si>
    <t>In the last month. Population age 3+.</t>
  </si>
  <si>
    <t>KRNIC.</t>
  </si>
  <si>
    <t>NIDA.</t>
  </si>
  <si>
    <t>Population age 3+.</t>
  </si>
  <si>
    <t>KISA.</t>
  </si>
  <si>
    <t>Korea Communications Commission</t>
  </si>
  <si>
    <t>KCC and KISA.</t>
  </si>
  <si>
    <t>Korea Communications Commission (KCC)</t>
  </si>
  <si>
    <t>Ministry of Science, ICT &amp; Future Planning(MSIP)</t>
  </si>
  <si>
    <t>Ministry of Science, ICT and Future Planning</t>
  </si>
  <si>
    <t>Individuals aged 16-74</t>
  </si>
  <si>
    <t>Ministry of Science and ICT</t>
  </si>
  <si>
    <t>Central Statistical Bureau</t>
  </si>
  <si>
    <t>last year, all ages</t>
  </si>
  <si>
    <t>CAIT</t>
  </si>
  <si>
    <t>comminucations and information technology regulatory authority</t>
  </si>
  <si>
    <t>Communication and Information Technology Regulatory Authority</t>
  </si>
  <si>
    <t>State Communication Agency under the Government of the Kyrgyz Republic</t>
  </si>
  <si>
    <t>Baltic/Gallup</t>
  </si>
  <si>
    <t>Lao P.D.R.</t>
  </si>
  <si>
    <t>National Authority of Post and Telecommunication</t>
  </si>
  <si>
    <t xml:space="preserve">Ministry of Posts and Telecommunications </t>
  </si>
  <si>
    <t>Ministry of Transport.</t>
  </si>
  <si>
    <t>Ministry of Transport</t>
  </si>
  <si>
    <t>Central Statistical Bureau of Latvia</t>
  </si>
  <si>
    <t>Lebanese Broadcasting International.</t>
  </si>
  <si>
    <t>Ministère des Télécommunications</t>
  </si>
  <si>
    <t xml:space="preserve">TRA estimates the number of Internet users based on the number of Internet subscriptions (3 users for every subscription). </t>
  </si>
  <si>
    <t>Estimate based on population aged 15+.</t>
  </si>
  <si>
    <t>Presidency of the Council of Ministers</t>
  </si>
  <si>
    <t>Telecomm Lesotho (TCL).</t>
  </si>
  <si>
    <t>Lesotho Telecommunications Authority (LTA).</t>
  </si>
  <si>
    <t>Lesotho Telecommunications Authority</t>
  </si>
  <si>
    <t>Research ICT Africa.</t>
  </si>
  <si>
    <t xml:space="preserve">Liberia Telecommunications Authority </t>
  </si>
  <si>
    <t>18+ used in last month</t>
  </si>
  <si>
    <t>Ministry of Transport and Communications.</t>
  </si>
  <si>
    <t>Office for Communications</t>
  </si>
  <si>
    <t>Lithuanian Telecom.</t>
  </si>
  <si>
    <t>Population age 16-74 using Internet in the last 12 months.</t>
  </si>
  <si>
    <t>Statistics Lithuania.</t>
  </si>
  <si>
    <t>individuals between 16 and 74</t>
  </si>
  <si>
    <t>Statistics Lithuania</t>
  </si>
  <si>
    <t>Institut Luxembourgeois de Régulation.</t>
  </si>
  <si>
    <t>ILRES.</t>
  </si>
  <si>
    <t>Eurostat and Statec.</t>
  </si>
  <si>
    <t>Service Central de la Statistique et des Etudes Economiques (STATEC)</t>
  </si>
  <si>
    <t>Macao, China</t>
  </si>
  <si>
    <t>Estimated by DSTR.</t>
  </si>
  <si>
    <t>Population age 3+. (Break in comparability)</t>
  </si>
  <si>
    <t>Statistics and Census Service</t>
  </si>
  <si>
    <t>Estimated based on survey's results. Population age 3+.</t>
  </si>
  <si>
    <t>last 3 months.</t>
  </si>
  <si>
    <t>Statisitics and Census Service</t>
  </si>
  <si>
    <t>Individuals aged 3 and above using computer/Internet/mobile in the last 3 months prior to the date of interview.</t>
  </si>
  <si>
    <t>Malawi Communications Regulatory Authority.</t>
  </si>
  <si>
    <t>Malawi Communications Regulatory Authority</t>
  </si>
  <si>
    <t xml:space="preserve">Malawi Communications Regulatory Authority
</t>
  </si>
  <si>
    <t>MACRA</t>
  </si>
  <si>
    <t>National Statistical Office of Malawi</t>
  </si>
  <si>
    <t>PIKOM.</t>
  </si>
  <si>
    <t>Malaysian Communications and Multimedia Malaysia</t>
  </si>
  <si>
    <t>Malaysian Communications and Multimedia Commission</t>
  </si>
  <si>
    <t>Department of Statistics</t>
  </si>
  <si>
    <t>Department of Statistics, Malaysia (DOSM)</t>
  </si>
  <si>
    <t>Estimates by DOSM</t>
  </si>
  <si>
    <t>Department of Statistics Malaysia</t>
  </si>
  <si>
    <t>Not from official survey data. Country estimate based on the assumption that every connection (except leased lines) serves 4 users (average household size is 6) and a leased line serves 10 users. Mobile Internet users are not included.</t>
  </si>
  <si>
    <t>Dhivehi Raajjey Ge Gulhun Private Limited (DHIRAAGU).</t>
  </si>
  <si>
    <t>Country estimate based on the assumption that every connection (except leased lines) serves 4 users (average household size is 6) and a leased line serves 10 users. Excl. mobile Internet users.</t>
  </si>
  <si>
    <t>Telecommunications Authority of Maldives (TAM).</t>
  </si>
  <si>
    <t>Communications Authority of Maldives</t>
  </si>
  <si>
    <t>Population age 15+. Census.</t>
  </si>
  <si>
    <t>Statistics Division, Department of National Planning</t>
  </si>
  <si>
    <t>Comité de Régulation des Télécommnications CRT</t>
  </si>
  <si>
    <t>Institut National de la Statistique (ex Direction Nationale de la Statistique et de l'Informatique)</t>
  </si>
  <si>
    <t>Institut National de la Statistique.</t>
  </si>
  <si>
    <t>Malta Communications Authority.</t>
  </si>
  <si>
    <t>Malta Communications Authority</t>
  </si>
  <si>
    <t>Individuals who have used the internet 3 months prior to the survey - 2015</t>
  </si>
  <si>
    <t>National Statistics Office</t>
  </si>
  <si>
    <t>Individuals who have used the internet 3 months prior to the survey - 2016</t>
  </si>
  <si>
    <t>Individuals who have used the internet 3 months prior to the survey - 2017</t>
  </si>
  <si>
    <t>National Telecommunications Authority.</t>
  </si>
  <si>
    <t>Mauritius Telecom.</t>
  </si>
  <si>
    <t>Information Communication Technologies Authority</t>
  </si>
  <si>
    <t>Individuals aged 5 years and above</t>
  </si>
  <si>
    <t>Statistics Mauritius</t>
  </si>
  <si>
    <t>COFETEL.</t>
  </si>
  <si>
    <t>INEGI.</t>
  </si>
  <si>
    <t>Estimated based on 2002 and 2004 surveys' results. Population age 6+.</t>
  </si>
  <si>
    <t>Estimate to December based on ENDUTIH survey. Refers to total population.</t>
  </si>
  <si>
    <t>Comisión Federal de Telecomunicaciones</t>
  </si>
  <si>
    <t>Comisión Federal de Telecomunicaciones de México</t>
  </si>
  <si>
    <t>INEGI</t>
  </si>
  <si>
    <t>Instituto Nacional de Estadística y Geografía (INEGI)</t>
  </si>
  <si>
    <t>Population age 6+. Break in comparability: as of 2015 the respondent of ICT use questions is a self-respondent randomly selected and the survey is a stand-alone ICT survey. Before the ICTsurvey was a module attached to a main survey and respondent was an informed person of the household who responded about self and the other members of the household.</t>
  </si>
  <si>
    <t>Figures for the population aged 6 and over. Data referring to the month of May 2016.</t>
  </si>
  <si>
    <t>Figures for the population aged 6 and over. Data referring to the month of May 2017.</t>
  </si>
  <si>
    <t>Department of Transportation, Communications and Infrastructure</t>
  </si>
  <si>
    <t>National Regulatory Agency for Electronic Communications and Information Technology</t>
  </si>
  <si>
    <t>Based on RCC data.</t>
  </si>
  <si>
    <t>Government of Moldova E-Government Center.</t>
  </si>
  <si>
    <t>Ministry of Information Technologies and Communication</t>
  </si>
  <si>
    <t>According to the Analytical Survey report “Citizens” perception, uptake and support for the e-Transformation of Governance in the Republic of  Moldova” – 2016, the share of Internet users who accessed the Internet over the past 12 months at least once a d</t>
  </si>
  <si>
    <t>National Bureau of Statistics of the Republic of Moldova</t>
  </si>
  <si>
    <t>Direction des Communications Electroniques</t>
  </si>
  <si>
    <t>ITU estimate based on survey results 2010 and previous data from Communications Regulatory Commission of Mongolia</t>
  </si>
  <si>
    <t>National Statistical Office of Mongolia</t>
  </si>
  <si>
    <t>from Household Socio-Economic survey-2012</t>
  </si>
  <si>
    <t>Agency for Telecommunications and Postal Services.</t>
  </si>
  <si>
    <t>Statistical Office of Montenegro - MONSTAT</t>
  </si>
  <si>
    <t>Statistical Office of Montenegro</t>
  </si>
  <si>
    <t>Ministry of Communications &amp; Works</t>
  </si>
  <si>
    <t>Statistics Department</t>
  </si>
  <si>
    <t>Agence nationale de réglementation des télécommunications.</t>
  </si>
  <si>
    <t>Population age 12-65 using Internet at least once during the last month.</t>
  </si>
  <si>
    <t>Agence Nationale de Réglementation des Télécommunications</t>
  </si>
  <si>
    <t>Population age 12-65.</t>
  </si>
  <si>
    <t>Estimate for population age 6-74 in electrified areas (98% of households are in electrified areas (with 86,4% in rural areas)).</t>
  </si>
  <si>
    <t>Population age 12-65. Living in electrified areas.</t>
  </si>
  <si>
    <t>Population aged 6 to 74 using Internet in the last 12 months.</t>
  </si>
  <si>
    <t>AGENCE NATIONALE DE REGLEMENTATION DES TELECOMMUJNICATIONS</t>
  </si>
  <si>
    <t>Population aged 5 to 75 using Internet in the last 12 months.</t>
  </si>
  <si>
    <t>Population aged 5 to 75 using Internet in the last 3 months.</t>
  </si>
  <si>
    <t>Telecomunicaçoes de Moçambique (TDM).</t>
  </si>
  <si>
    <t>Instituto Nacional das Comunicações de Moçambique (INCM).</t>
  </si>
  <si>
    <t>INCM</t>
  </si>
  <si>
    <t>Instituto Nacional das Comunicaçőes de Moçambique</t>
  </si>
  <si>
    <t>15-65</t>
  </si>
  <si>
    <t>RIA</t>
  </si>
  <si>
    <t>Myanmar</t>
  </si>
  <si>
    <t>Ministry of Communications, Posts and Telegraphs.</t>
  </si>
  <si>
    <t>Ministry of Communications, Posts and Telegraphs</t>
  </si>
  <si>
    <t>Telecom Namibia.</t>
  </si>
  <si>
    <t>Namibian Communications Commission (NCC).</t>
  </si>
  <si>
    <t>Nauru Bureau of Statistics
Government Ministry of Finance</t>
  </si>
  <si>
    <t>Nepal (Republic of)</t>
  </si>
  <si>
    <t>Nepal Telecom.</t>
  </si>
  <si>
    <t>December 2001.</t>
  </si>
  <si>
    <t>Nepal Telecommunications Authority (NTA).</t>
  </si>
  <si>
    <t>Nepal Telecommunications Authority</t>
  </si>
  <si>
    <t>NULL</t>
  </si>
  <si>
    <t>LirneAsia</t>
  </si>
  <si>
    <t>Neth. Antilles</t>
  </si>
  <si>
    <t>KPN, Libertel.</t>
  </si>
  <si>
    <t>Independent Post and Telecommunications Authority (OPTA).</t>
  </si>
  <si>
    <t>Break in series. Population age 12+.</t>
  </si>
  <si>
    <t>Statistics Netherlands.</t>
  </si>
  <si>
    <t>Statistics Netherlands</t>
  </si>
  <si>
    <t>Office des Postes et des Télécommunications (OPT).</t>
  </si>
  <si>
    <t>Office des Postes et Télécommunications de Nouvelle-Calédonie</t>
  </si>
  <si>
    <t>Statistics New Zealand.</t>
  </si>
  <si>
    <t>Estimate based on survey's results. Population age 15+.</t>
  </si>
  <si>
    <t>ITU estimates.</t>
  </si>
  <si>
    <t>Recent users are those who used the Internet in the last 12 months. Individuals age 15+.</t>
  </si>
  <si>
    <t>Statistics New Zealand</t>
  </si>
  <si>
    <t>Instituto Nacional de Información de Desarrollo</t>
  </si>
  <si>
    <t>Instituto Nicaraguense de Telecomunicaciones y Correos</t>
  </si>
  <si>
    <t>Institut National de la Statistique (INS).</t>
  </si>
  <si>
    <t>Ministère des Postes, des Télécommunications et de l'Economie Numérique</t>
  </si>
  <si>
    <t>Nigerian Telecommunications Plc (NITEL).</t>
  </si>
  <si>
    <t>Nigerian Communications Commission (NCC).</t>
  </si>
  <si>
    <t>NCC estimate.</t>
  </si>
  <si>
    <t>Norfolk Islands</t>
  </si>
  <si>
    <t>Makedonski Telekomunikacii A.D.</t>
  </si>
  <si>
    <t xml:space="preserve">Population age 15-74.
</t>
  </si>
  <si>
    <t>Agency for Electronic Communications</t>
  </si>
  <si>
    <t>Population age 15-74.</t>
  </si>
  <si>
    <t xml:space="preserve"> Population age 16-74 using in the last 3 months.</t>
  </si>
  <si>
    <t>State Statistical Office</t>
  </si>
  <si>
    <t>Northern Marianas</t>
  </si>
  <si>
    <t>Statistics Norway</t>
  </si>
  <si>
    <t xml:space="preserve">Based on the number of Internet subscriptions, a multiplier of 3.54 was used to estimate the proportion of Internet users. </t>
  </si>
  <si>
    <t xml:space="preserve">Excl. mobile Internet users. </t>
  </si>
  <si>
    <t>Telecommunications Regulatory Authority</t>
  </si>
  <si>
    <t>Telecommunication Regulatory Authority</t>
  </si>
  <si>
    <t>Population age 5+. Excluding population living in workers’ camps.</t>
  </si>
  <si>
    <t>ITA.</t>
  </si>
  <si>
    <t xml:space="preserve">Information Technology Authority </t>
  </si>
  <si>
    <t>PAKISTAN BUREAU OF STATISTICS</t>
  </si>
  <si>
    <t>BPS.</t>
  </si>
  <si>
    <t>Palestinian Central Bureau of Statistics</t>
  </si>
  <si>
    <t>ITU estimate based on Palestinian Central Bureau of Statistics</t>
  </si>
  <si>
    <t>Autoridad Nacional de los Servicios Públicos</t>
  </si>
  <si>
    <t>Multipliers were applied to residential and commercial suscriptions, taking into account the average size of households and employees per business.</t>
  </si>
  <si>
    <t>Autoridad Nacional de los Servicios Públicos (ASEP)</t>
  </si>
  <si>
    <t xml:space="preserve">
Multipliers were applied to residential and commercial suscriptions, taking into account the average size of households and employees per business.</t>
  </si>
  <si>
    <t>Preliminary.</t>
  </si>
  <si>
    <t>last 6 months. Population age 10+.</t>
  </si>
  <si>
    <t>Instituto Nacional de Estadística y Censo</t>
  </si>
  <si>
    <t>Population age 10+</t>
  </si>
  <si>
    <t>CONTRALORIA GENERAL - INSTITUTO NACIONAL DE ESTADÌSTICA Y CENSO</t>
  </si>
  <si>
    <t>Telikom PNG.</t>
  </si>
  <si>
    <t>National Information &amp; Communications Technology Authority</t>
  </si>
  <si>
    <t>Comisión Nacional de Telecomunicaciones.</t>
  </si>
  <si>
    <t xml:space="preserve">Population age 10+ using internet in the last 3 months. </t>
  </si>
  <si>
    <t>Dirección General de Estadística, Encuestas y Censos</t>
  </si>
  <si>
    <t>Estimated based on Survey's results. Population age 10+.</t>
  </si>
  <si>
    <t>Comisión Nacional de Telecomunicaciones</t>
  </si>
  <si>
    <t>Dirección General de Estadística, Encuestas y Censos (DGEEC)</t>
  </si>
  <si>
    <t>Direccion General de Estadistica, Encuestas y Censos</t>
  </si>
  <si>
    <t>Dirección de Encuestas a Hogares, DGEEC</t>
  </si>
  <si>
    <t>Maximixe estimate.</t>
  </si>
  <si>
    <t>Instituto Nacional de Estadística e Informática</t>
  </si>
  <si>
    <t>Estimated based on Survey's results (2003 and 2008).</t>
  </si>
  <si>
    <t>ITU estimate based on INEI.</t>
  </si>
  <si>
    <t>Population age 6+ using Internet in the last month.</t>
  </si>
  <si>
    <t>Ministerio de Transportes y Comunicaciones</t>
  </si>
  <si>
    <t>Población de 6 y más  años de edad</t>
  </si>
  <si>
    <t>INSTITUTO NACIONAL DE ESTADÍSTICA E INFORMÁTICA (INEI)</t>
  </si>
  <si>
    <t>Instituto Nacional de Estadistica e Informatica</t>
  </si>
  <si>
    <t>El periodo de referencia es el mes anterior.</t>
  </si>
  <si>
    <t>National Telecommunications Commission (NTC).</t>
  </si>
  <si>
    <t>NATIONAL TELECOMMUNICATIONS COMMISSION</t>
  </si>
  <si>
    <t>Population aged 10-64.</t>
  </si>
  <si>
    <t>Office of the National Statistician.</t>
  </si>
  <si>
    <t>Office of Electronic Communications.</t>
  </si>
  <si>
    <t>Central Statistical Office.</t>
  </si>
  <si>
    <t>Central Statistical Office</t>
  </si>
  <si>
    <t xml:space="preserve">individuals aged 16-74 who use the Internet in the last 3 months </t>
  </si>
  <si>
    <t>Statistics Poland</t>
  </si>
  <si>
    <t>EuroBarometer. ITU estimate. UMIC.</t>
  </si>
  <si>
    <t>Instituto Nacional de Estatistica</t>
  </si>
  <si>
    <t>Puerto Rico Telephone Company (PRTC).</t>
  </si>
  <si>
    <t>Instituto de Estadísticas de Puerto Rico</t>
  </si>
  <si>
    <t xml:space="preserve">Source: Estudios Técnicos, Inc., Internet Pulse, 2008.  Reference population: All inhabitants 12 years and older.  </t>
  </si>
  <si>
    <t>Puerto Rico Institute of Statistics</t>
  </si>
  <si>
    <t xml:space="preserve">Population age 12+. </t>
  </si>
  <si>
    <t xml:space="preserve">Source: Estudios Técnicos, Inc., Internet Pulse, 2010.  Reference population: All inhabitants 12 years and older.  </t>
  </si>
  <si>
    <t xml:space="preserve">Source: Estudios Técnicos, Inc., Estudio de comportamiento sobre el uso de medios digitales y móviles, 2011.  Reference population: All inhabitants 12 years and older.  </t>
  </si>
  <si>
    <t>Source: Connect Puerto Rico. 2012 Connect Puerto Rico Residential Technology Assessment. www.connectpr.org</t>
  </si>
  <si>
    <t>Instituto de Estadisticas de Puerto Rico</t>
  </si>
  <si>
    <t xml:space="preserve">Number of individuals who used the Internet in the last three months at home. </t>
  </si>
  <si>
    <t>U.S. Census Bureau, 2017 ACS 1-Year Estimates – PUMS. Release date: October 31, 2018.</t>
  </si>
  <si>
    <t>ictQATAR</t>
  </si>
  <si>
    <t xml:space="preserve">Refers to overall population. </t>
  </si>
  <si>
    <t xml:space="preserve">Supreme Council of Information &amp; Communication Technology </t>
  </si>
  <si>
    <t>Refers to overall population.</t>
  </si>
  <si>
    <t>Overall population.</t>
  </si>
  <si>
    <t>Ministry Of Information &amp; Communication Technology (ictQATAR)</t>
  </si>
  <si>
    <t>Preliminary. Refers to overall population.</t>
  </si>
  <si>
    <t xml:space="preserve">"Mainstream" population age 15+ living in households. </t>
  </si>
  <si>
    <t>Ministry Of Transport and Communications</t>
  </si>
  <si>
    <t>Rom-Telecom.</t>
  </si>
  <si>
    <t>National Regulatory Authority for Communications.</t>
  </si>
  <si>
    <t>Estimated based on Survey's results. Population age 16-74.</t>
  </si>
  <si>
    <t>Number of individuals internet user in the last 3 months</t>
  </si>
  <si>
    <t>Ministry of Telecom and Mass Communications of the Russian Federation</t>
  </si>
  <si>
    <t>Population age less tan 74.</t>
  </si>
  <si>
    <t>State Statistics Committe.</t>
  </si>
  <si>
    <t>Federal State Statistics Service of the Russian Federation</t>
  </si>
  <si>
    <t>Population age 15-72.</t>
  </si>
  <si>
    <t>Population age 15-72 who used the Internet in the last 12 months.</t>
  </si>
  <si>
    <t>Percentage of population aged 15-72 years who used the Internet in the last 3 months.</t>
  </si>
  <si>
    <t>Federal State Statistics Service (Rosstat)</t>
  </si>
  <si>
    <t>Number of population aged 15-72 years who used the Internet in the last 3 months</t>
  </si>
  <si>
    <t xml:space="preserve">Number of population aged 15-74 years who used the Internet in the last 3 months </t>
  </si>
  <si>
    <t>Agence Rwandaise de Régulation des Services d'Utilité Publique (RURA)</t>
  </si>
  <si>
    <t>Survey conducted by Rwanda Utilities Regulatory Agency in February 2010</t>
  </si>
  <si>
    <t>ITU based on RURA report.</t>
  </si>
  <si>
    <t>Saint Kitts and Nevis</t>
  </si>
  <si>
    <t>Statistics Departments in St. Kitts and Nevis</t>
  </si>
  <si>
    <t>Saint Lucia</t>
  </si>
  <si>
    <t>Census.</t>
  </si>
  <si>
    <t>15 years and older. Last 12 months.</t>
  </si>
  <si>
    <t>Ministry of the Public Service, Information and Broadcasting.</t>
  </si>
  <si>
    <t>ECTEL.</t>
  </si>
  <si>
    <t>Saint Vincent and the Grenadines</t>
  </si>
  <si>
    <t>Estimation based on GPRS subscribers, fixed and mobile.</t>
  </si>
  <si>
    <t>Cable and Wireless (W.I.) Ltd.  (C&amp;W).</t>
  </si>
  <si>
    <t>National Telecommunications Regulatory Commission.</t>
  </si>
  <si>
    <t>Total Fixed broadband Internet Subscribers</t>
  </si>
  <si>
    <t>Statistical Office</t>
  </si>
  <si>
    <t>Statistical Office of St Vincent and the Grenadines</t>
  </si>
  <si>
    <t>Samoa Communications Ltd.</t>
  </si>
  <si>
    <t>Direzione Generale Poste e Telecomunicazioni.</t>
  </si>
  <si>
    <t>Direzione Generale Poste e Telecomunicazioni</t>
  </si>
  <si>
    <t>Sao Tome and Principe</t>
  </si>
  <si>
    <t>Companhia Santomense de Telecomuniçaôes s.a.r.l. (CST).</t>
  </si>
  <si>
    <t>Autoridade Geral de Regulação</t>
  </si>
  <si>
    <t>Saudi Telecommunications Company.</t>
  </si>
  <si>
    <t>Communication and Information Technology Commission.</t>
  </si>
  <si>
    <t>CITC Market Studies Department.</t>
  </si>
  <si>
    <t xml:space="preserve">CITC Market Studies Department. </t>
  </si>
  <si>
    <t>CITC</t>
  </si>
  <si>
    <t>Communication and Information Technology Commission</t>
  </si>
  <si>
    <t>Population age 12-65 over total population</t>
  </si>
  <si>
    <t>Communications &amp; IT Commission</t>
  </si>
  <si>
    <t>Société Nationale des Télécommunications du Sénégal (SONATEL).</t>
  </si>
  <si>
    <t>Agence de Régulation des Télécommunications.</t>
  </si>
  <si>
    <t>Refers to total population. Survey result: 14.5% for population age 12+.</t>
  </si>
  <si>
    <t>Refers to total population. Survey result: 16% for population age 12+.</t>
  </si>
  <si>
    <t>Refers to total population. Country estimates 17.5% for population age 12+.</t>
  </si>
  <si>
    <t>Statistical Office of the Republic of Serbia.</t>
  </si>
  <si>
    <t>Republic Agency for Electronic Communications (RATEL)</t>
  </si>
  <si>
    <t>Statistical Office of the Republic of Serbia</t>
  </si>
  <si>
    <t>Data at 31st December 2001.</t>
  </si>
  <si>
    <t>Ministry of Information Technology and Communication.</t>
  </si>
  <si>
    <t>MInistry of National Development</t>
  </si>
  <si>
    <t>15-49 in last 3 months</t>
  </si>
  <si>
    <t>UNICEF</t>
  </si>
  <si>
    <t>Infocomm Development Authority of Singapore</t>
  </si>
  <si>
    <t>Infocomm Development Authority of Singapore.</t>
  </si>
  <si>
    <t xml:space="preserve">Estimated based on proportion of resident Internet users (aged 7 &amp; above) from IDA's annual survey on infocomm usage in household and by individuals. </t>
  </si>
  <si>
    <t>Residents aged 7 years and above.</t>
  </si>
  <si>
    <t>Populatin age 7+.</t>
  </si>
  <si>
    <t xml:space="preserve">Infocomm Media Development Authority </t>
  </si>
  <si>
    <t>Infocomm Media Development Authority</t>
  </si>
  <si>
    <t>Ministry of Transport, Posts and Telecommunications.</t>
  </si>
  <si>
    <t>Population age 16-74 in the last 3 months (source: Eurostat).</t>
  </si>
  <si>
    <t xml:space="preserve">Eurostat.
Eurostat.
Eurostat.
</t>
  </si>
  <si>
    <t xml:space="preserve">Ministry of Transport, Construction and Regional Development of the Slovak Republic  </t>
  </si>
  <si>
    <t>Population 16-74. Last three months.</t>
  </si>
  <si>
    <t>Statistical Office of the Slovak Republic.</t>
  </si>
  <si>
    <t>The population at age of 16 -74. Last three months.</t>
  </si>
  <si>
    <t>Statistical Office of the Slovak Republic</t>
  </si>
  <si>
    <t>The population at  age of 16 -74. Last three months.</t>
  </si>
  <si>
    <t>Telecommunications, Broadcasting and Post Agency.</t>
  </si>
  <si>
    <t>In the last 3 months.</t>
  </si>
  <si>
    <t>Statistical Office of the Republic of Slovenia.</t>
  </si>
  <si>
    <t>Individuals aged 16-74 years who used the Internet in the last 3 months.</t>
  </si>
  <si>
    <t>Statistical Office of the Republic of Slovenia</t>
  </si>
  <si>
    <t>Media Africa, Internet Solutions, W2003-2004.</t>
  </si>
  <si>
    <t>World Wide Worx.</t>
  </si>
  <si>
    <t>Independent Communications Authority of South Africa</t>
  </si>
  <si>
    <t>ITU estimate based on SAARF.</t>
  </si>
  <si>
    <t>Statistics South Africa</t>
  </si>
  <si>
    <t>November. Population age 14+.</t>
  </si>
  <si>
    <t>red.es. Spanish Internet Users Association.</t>
  </si>
  <si>
    <t>CMT's survey. Population age 10+.</t>
  </si>
  <si>
    <t>Comisión del Mercado de las Telecomunicaciones</t>
  </si>
  <si>
    <t>Instituto Nacional de Estadistica.</t>
  </si>
  <si>
    <t>Users of Internet in the last 3 months.</t>
  </si>
  <si>
    <t>Telecommunications Regulatory Commission of Sri Lanka.</t>
  </si>
  <si>
    <t>Telecommunications Regulatory Commission of Sri Lanka</t>
  </si>
  <si>
    <t>Department of Census and Statistics</t>
  </si>
  <si>
    <t>5 – 69 years used in last year, DC&amp;S.</t>
  </si>
  <si>
    <t>DC&amp;S</t>
  </si>
  <si>
    <t>Dec.</t>
  </si>
  <si>
    <t>Cable &amp; Wireless South Atlantic Ltd.</t>
  </si>
  <si>
    <t>NTC.</t>
  </si>
  <si>
    <t>Telecommunicatiebedrijf Suriname (TELESUR).</t>
  </si>
  <si>
    <t>Telecommunications Authority Suriname (TAS)</t>
  </si>
  <si>
    <t>Swedish Institute for Transport and Communications Analysis.</t>
  </si>
  <si>
    <t>Population age 16-75.</t>
  </si>
  <si>
    <t>Swedish Post and Telecom Agency</t>
  </si>
  <si>
    <t>Statistics Sweden.</t>
  </si>
  <si>
    <t>Numbers are rounded in the calculations, hence the sum of the parts may not equal the total.</t>
  </si>
  <si>
    <t>Statistics Sweden</t>
  </si>
  <si>
    <t>In the last 6 months. Population age 14+</t>
  </si>
  <si>
    <t>Office fédéral de la statistique.</t>
  </si>
  <si>
    <t>In the last 6 months. Population age 14+.</t>
  </si>
  <si>
    <t>Swiss Federal Statistical Office</t>
  </si>
  <si>
    <t>Syrian Arab Republic</t>
  </si>
  <si>
    <t>Syrian Telecommunication Establishment</t>
  </si>
  <si>
    <t>Directorate General of Telecommunications (DGT).</t>
  </si>
  <si>
    <t>National Communications Commission</t>
  </si>
  <si>
    <t>The National Development Council.</t>
  </si>
  <si>
    <t>Tajiktelecom.</t>
  </si>
  <si>
    <t>RCC.</t>
  </si>
  <si>
    <t>Communication Service under the Government of the Republic of Tajikistan</t>
  </si>
  <si>
    <t>Tanzania Telecommunications Company Ltd (TTCL).</t>
  </si>
  <si>
    <t>TCRA</t>
  </si>
  <si>
    <t>ITU estimate based on RIA.</t>
  </si>
  <si>
    <t>NECTEC.</t>
  </si>
  <si>
    <t>Ministry of Information and Communication Technology</t>
  </si>
  <si>
    <t>National Statistical Office</t>
  </si>
  <si>
    <t>Excluding game machine and digital TV.</t>
  </si>
  <si>
    <t>Population age 6+. Slight break in comparability since total population estimates were revised and they are lower than in 2013.</t>
  </si>
  <si>
    <t>Individuals 6 years and older</t>
  </si>
  <si>
    <t>Communication Regulatory Authority.</t>
  </si>
  <si>
    <t xml:space="preserve">Institut national de la statistique et des études économiques et démographiques </t>
  </si>
  <si>
    <t>Prime Minister's Office.</t>
  </si>
  <si>
    <t>Ministry of Information and Communication</t>
  </si>
  <si>
    <t>Trinidad and Tobago</t>
  </si>
  <si>
    <t>Telecommunications Services of Trinidad and Tobago (TSTT).</t>
  </si>
  <si>
    <t>Telecommunications Authority of Trinidad and Tobago</t>
  </si>
  <si>
    <t>Telecommunications Authority of Trinidad and Tobago (TATT)</t>
  </si>
  <si>
    <t>Ministère des Technologies de la Communication</t>
  </si>
  <si>
    <t>Secrétariat d'Etat des Technologies de la Communication</t>
  </si>
  <si>
    <t>Ministère des Technologies de l'Information et de la Communication</t>
  </si>
  <si>
    <t>National Institute of Statistics (INS).</t>
  </si>
  <si>
    <t>Institut National de la statistique</t>
  </si>
  <si>
    <t>Türk Telekomünikasyon A.S.</t>
  </si>
  <si>
    <t>Population age 16-74 in the last 12 months.</t>
  </si>
  <si>
    <t>Estimated based on % of Internet users as reported in surveys in 2005 and 2007.</t>
  </si>
  <si>
    <t>Telecommunications Authority.</t>
  </si>
  <si>
    <t>Turkish Statistical Institution.</t>
  </si>
  <si>
    <t>Information and Communication Technologies Authority (ICTA)</t>
  </si>
  <si>
    <t>Turkish Statistical Institute</t>
  </si>
  <si>
    <t>Turkish Statistical Institute.</t>
  </si>
  <si>
    <t>In the last 3 months</t>
  </si>
  <si>
    <t>Turks &amp; Caicos Is.</t>
  </si>
  <si>
    <t>Uganda Communications Commission (UCC).</t>
  </si>
  <si>
    <t>Uganda Communications Commission</t>
  </si>
  <si>
    <t>State Department of Communications &amp; Information Technology.</t>
  </si>
  <si>
    <t>Population age 15-59 who used the Internet in the last 4 weeks.</t>
  </si>
  <si>
    <t>State Statistics Committee of Ukraine</t>
  </si>
  <si>
    <t>State Service of Special Communications and Information Protection of Ukraine</t>
  </si>
  <si>
    <t>State Statistics Service of Ukraine</t>
  </si>
  <si>
    <t>State Statistics Service of Ukraine.</t>
  </si>
  <si>
    <t>Emirates Telecommunications Corporation (ETISALAT).</t>
  </si>
  <si>
    <t xml:space="preserve">Refers to the total population. </t>
  </si>
  <si>
    <t>Break in comparability. Population age 15-74 in the last 3 months (exc. population living in working camps).</t>
  </si>
  <si>
    <t xml:space="preserve">ITU estimate based on TRA. </t>
  </si>
  <si>
    <t>Population age 15-74 in the last 3 months.</t>
  </si>
  <si>
    <t xml:space="preserve">Telecommunications Regulatory Authority </t>
  </si>
  <si>
    <t>Reference period for computer &amp; Internet  usage is 3 months only</t>
  </si>
  <si>
    <t>Estimated 94.82% individuals using the internet
Reference period for computer &amp; Internet  usage is 3 months only (Age 15 to 74 yrs)</t>
  </si>
  <si>
    <t>Population age 16+ using internet in the last 3 months.</t>
  </si>
  <si>
    <t>ONS.</t>
  </si>
  <si>
    <t>Population age 16+ using the Internet in the last 3 months.</t>
  </si>
  <si>
    <t>Federal Communications Commission</t>
  </si>
  <si>
    <t xml:space="preserve">Pew Internet Project, "Internet, Broadband and cell phone statistics,” January 5, 2010, http://www.pewinternet.org/~/media//Files/Reports/2010/PIP_December09_update.pdf.  </t>
  </si>
  <si>
    <t>Populatio age 3+.</t>
  </si>
  <si>
    <t>United States Census Bureau</t>
  </si>
  <si>
    <t>US Census Bureau</t>
  </si>
  <si>
    <t>U.S. Census Bureau</t>
  </si>
  <si>
    <t>Administración Nacional de Telecomunicaciones (ANTEL).</t>
  </si>
  <si>
    <t>Estimated based on Survey's results. Population age 6+.</t>
  </si>
  <si>
    <t>Instituto Nacional de Estadística (INE).</t>
  </si>
  <si>
    <t>Unidad Reguladora de Servicios de Comunicaciones</t>
  </si>
  <si>
    <t>Communication and Information Agency of Uzbekistan.</t>
  </si>
  <si>
    <t>Vanuatu National Statistics Office.</t>
  </si>
  <si>
    <t>Office of the Vanuatu Telecom Regulator</t>
  </si>
  <si>
    <t>Vatican</t>
  </si>
  <si>
    <t>Comisión Nacional de Telecomunicaciones (CONATEL).</t>
  </si>
  <si>
    <t>Comisión Nacional de Telecomunicaciones CONATEL</t>
  </si>
  <si>
    <t>Preliminary. Country estimate.</t>
  </si>
  <si>
    <t>Vietnam Post &amp; Telecommunications Corp. (VNPT).</t>
  </si>
  <si>
    <t>Ministry of Posts and Telematics (MPT).</t>
  </si>
  <si>
    <t>Business Monitor International Report.</t>
  </si>
  <si>
    <t>Ministry of Information and Communications</t>
  </si>
  <si>
    <t>VNNIC</t>
  </si>
  <si>
    <t>Virgin Islands (US)</t>
  </si>
  <si>
    <t>Virgin Islands Telephone Corporation (Vitelco).</t>
  </si>
  <si>
    <t>Wallis and Futuna</t>
  </si>
  <si>
    <t>Service des Postes et Telecommunications</t>
  </si>
  <si>
    <t>Ministry of Telecommunications and Information Technology.</t>
  </si>
  <si>
    <t>Ministry of Telecommunications and Information Technology</t>
  </si>
  <si>
    <t>Zambia Telecommunications Company Limited (Zamtel).</t>
  </si>
  <si>
    <t>Communications Authority.</t>
  </si>
  <si>
    <t>Communications Authority</t>
  </si>
  <si>
    <t>ZICTA.</t>
  </si>
  <si>
    <t xml:space="preserve">The methodology used to estimated the figure for 2011 is based on Zambians in formal employment which stand slightly above 500, 000, schools and colleges connected to the internet as well as average number of Citizens that visit cyber cafes.  Nevertheless, this figure is not inclusive of mobile internet users as a survey is yet to be done.  </t>
  </si>
  <si>
    <t>ZICTA</t>
  </si>
  <si>
    <t>PTC, ZISPA, ITU estimate.</t>
  </si>
  <si>
    <t>Zimbabwe National Statistics Agency (ZIMSTAT)</t>
  </si>
  <si>
    <t>2018 Population (Thousands)</t>
  </si>
  <si>
    <t>Number of Internet Users (Thousands)</t>
  </si>
  <si>
    <t>Before Internet Penetration Adjustment</t>
  </si>
  <si>
    <t>After Internet Penetration Adjustment</t>
  </si>
  <si>
    <t>Correlation with Internet Penetration:</t>
  </si>
  <si>
    <t>Average Scoring</t>
  </si>
  <si>
    <r>
      <t>Estimated Relative CS Knowledge (</t>
    </r>
    <r>
      <rPr>
        <b/>
        <sz val="11"/>
        <color theme="1"/>
        <rFont val="Arial"/>
        <family val="2"/>
        <charset val="162"/>
      </rPr>
      <t>Θ</t>
    </r>
    <r>
      <rPr>
        <b/>
        <sz val="8.8000000000000007"/>
        <color theme="1"/>
        <rFont val="Calibri"/>
        <family val="2"/>
        <charset val="162"/>
      </rPr>
      <t>) (4)</t>
    </r>
  </si>
  <si>
    <t>KeywordInfo:</t>
  </si>
  <si>
    <t>China is excluded in the analysis due to ban on Google in China.</t>
  </si>
  <si>
    <t>Countries that use a different alphabet may get lower ranking because Google Trends, although it includes searches in other languages, only shows data for searhes in Latin alphabet. (ex.: Scandinavian Countries)</t>
  </si>
  <si>
    <t>Data_Raw:</t>
  </si>
  <si>
    <t>MetaData (40):</t>
  </si>
  <si>
    <t>MetaData (21):</t>
  </si>
  <si>
    <t>MetaData (67):</t>
  </si>
  <si>
    <r>
      <t xml:space="preserve">Σ_WΘ * </t>
    </r>
    <r>
      <rPr>
        <b/>
        <sz val="11"/>
        <color theme="1"/>
        <rFont val="Arial"/>
        <family val="2"/>
        <charset val="162"/>
      </rPr>
      <t>Σ</t>
    </r>
    <r>
      <rPr>
        <b/>
        <sz val="7.7"/>
        <color theme="1"/>
        <rFont val="Calibri"/>
        <family val="2"/>
        <charset val="162"/>
      </rPr>
      <t>_W^(-1)</t>
    </r>
  </si>
  <si>
    <t>MMSE analysis for all the keywords listed. (only for the year of 2018)</t>
  </si>
  <si>
    <t>MMSE analysis for the most popular 40 keywords listed. (only for the year of 2018)</t>
  </si>
  <si>
    <t>MMSE analysis for the most popular 26 keywords listed. (only for the year of 2018)</t>
  </si>
  <si>
    <t>MMSE analysis for the most popular 21 keywords listed. (only for the year of 2018)</t>
  </si>
  <si>
    <t>Distribution of standard deviations of search ratios per keyword. (only for the year of 2018) The large drop after first 26 keywords suggests that rest of the keywords don't bring much information to ranking estimations. Since the data has a rounding error noise, keywords with less information should be excluded from the analysis.</t>
  </si>
  <si>
    <t>Data_Raw+:</t>
  </si>
  <si>
    <t>Data_Raw++:</t>
  </si>
  <si>
    <r>
      <t>STD of Exposure (</t>
    </r>
    <r>
      <rPr>
        <b/>
        <sz val="11"/>
        <color theme="1"/>
        <rFont val="Arial"/>
        <family val="2"/>
        <charset val="162"/>
      </rPr>
      <t>σ</t>
    </r>
    <r>
      <rPr>
        <b/>
        <sz val="8.8000000000000007"/>
        <color theme="1"/>
        <rFont val="Calibri"/>
        <family val="2"/>
        <charset val="162"/>
      </rPr>
      <t>_</t>
    </r>
    <r>
      <rPr>
        <b/>
        <sz val="8.8000000000000007"/>
        <color theme="1"/>
        <rFont val="Arial"/>
        <family val="2"/>
        <charset val="162"/>
      </rPr>
      <t>Θ</t>
    </r>
    <r>
      <rPr>
        <b/>
        <sz val="11"/>
        <color theme="1"/>
        <rFont val="Calibri"/>
        <family val="2"/>
        <charset val="162"/>
        <scheme val="minor"/>
      </rPr>
      <t>):</t>
    </r>
  </si>
  <si>
    <t>CSLI</t>
  </si>
  <si>
    <t>Total MSE^2 for all years</t>
  </si>
  <si>
    <t>MMSE</t>
  </si>
  <si>
    <t>Population (Thousands)</t>
  </si>
  <si>
    <r>
      <t>Estimated Relative CS Knowledge (</t>
    </r>
    <r>
      <rPr>
        <b/>
        <sz val="11"/>
        <color theme="1"/>
        <rFont val="Arial"/>
        <family val="2"/>
        <charset val="162"/>
      </rPr>
      <t>Θ</t>
    </r>
    <r>
      <rPr>
        <b/>
        <sz val="8.8000000000000007"/>
        <color theme="1"/>
        <rFont val="Calibri"/>
        <family val="2"/>
        <charset val="162"/>
      </rPr>
      <t>) (40)</t>
    </r>
  </si>
  <si>
    <r>
      <t>Estimated Relative CS Knowledge (</t>
    </r>
    <r>
      <rPr>
        <b/>
        <sz val="11"/>
        <color theme="1"/>
        <rFont val="Arial"/>
        <family val="2"/>
        <charset val="162"/>
      </rPr>
      <t>Θ</t>
    </r>
    <r>
      <rPr>
        <b/>
        <sz val="8.8000000000000007"/>
        <color theme="1"/>
        <rFont val="Calibri"/>
        <family val="2"/>
        <charset val="162"/>
      </rPr>
      <t>) (26)</t>
    </r>
  </si>
  <si>
    <r>
      <t>Estimated Relative CS Knowledge (</t>
    </r>
    <r>
      <rPr>
        <b/>
        <sz val="11"/>
        <color theme="1"/>
        <rFont val="Arial"/>
        <family val="2"/>
        <charset val="162"/>
      </rPr>
      <t>Θ</t>
    </r>
    <r>
      <rPr>
        <b/>
        <sz val="8.8000000000000007"/>
        <color theme="1"/>
        <rFont val="Calibri"/>
        <family val="2"/>
        <charset val="162"/>
      </rPr>
      <t>) (21)</t>
    </r>
  </si>
  <si>
    <r>
      <t>Estimated Relative CS Knowledge (</t>
    </r>
    <r>
      <rPr>
        <b/>
        <sz val="11"/>
        <color theme="1"/>
        <rFont val="Arial"/>
        <family val="2"/>
        <charset val="162"/>
      </rPr>
      <t>Θ</t>
    </r>
    <r>
      <rPr>
        <b/>
        <sz val="8.8000000000000007"/>
        <color theme="1"/>
        <rFont val="Calibri"/>
        <family val="2"/>
        <charset val="162"/>
      </rPr>
      <t>) (67)</t>
    </r>
  </si>
  <si>
    <t>*</t>
  </si>
  <si>
    <t>The ρ_WΘ values for keywords are also shown here.</t>
  </si>
  <si>
    <t>Mean of Exposure:</t>
  </si>
  <si>
    <t>HDI 2017</t>
  </si>
  <si>
    <t>Correlation with HDI:</t>
  </si>
  <si>
    <t>* ITU does not provide data for these countries in 2018. Accuracy differences may occur since data for such countries are collected from a different source.</t>
  </si>
  <si>
    <t>Correlation with each other:</t>
  </si>
  <si>
    <t>Ave. CSLI</t>
  </si>
  <si>
    <t>CSLI Ranking</t>
  </si>
  <si>
    <t>Ave. Ranking</t>
  </si>
  <si>
    <t>Slope of Ranking</t>
  </si>
  <si>
    <t>Slope</t>
  </si>
  <si>
    <t>CSLI-s</t>
  </si>
  <si>
    <t>Asia</t>
  </si>
  <si>
    <t>Africa</t>
  </si>
  <si>
    <t>Europe</t>
  </si>
  <si>
    <t>North America</t>
  </si>
  <si>
    <t>Oceania</t>
  </si>
  <si>
    <t>South America</t>
  </si>
  <si>
    <t>Middle East</t>
  </si>
  <si>
    <t>Continent</t>
  </si>
  <si>
    <t>2014 CSLI</t>
  </si>
  <si>
    <t>2015 CSLI</t>
  </si>
  <si>
    <t>2016 CSLI</t>
  </si>
  <si>
    <t>2017 CSLI</t>
  </si>
  <si>
    <t>2018 CSLI</t>
  </si>
  <si>
    <t>The analysis is for the worldwide popularity of some selected Computer Science related keywords for the years of 20174 to 2018.</t>
  </si>
  <si>
    <t>The estimated rankings of "Internet usage when training for CS" is presented in the CSLI page.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</si>
</sst>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 _T_L_-;\-* #,##0.00\ _T_L_-;_-* &quot;-&quot;??\ _T_L_-;_-@_-"/>
    <numFmt numFmtId="165" formatCode="_-* #,##0.000000\ _T_L_-;\-* #,##0.000000\ _T_L_-;_-* &quot;-&quot;??\ _T_L_-;_-@_-"/>
    <numFmt numFmtId="166" formatCode="_-* #,##0.000\ _T_L_-;\-* #,##0.000\ _T_L_-;_-* &quot;-&quot;??\ _T_L_-;_-@_-"/>
    <numFmt numFmtId="167" formatCode="0.000E+00"/>
    <numFmt numFmtId="168" formatCode="0.000"/>
  </numFmts>
  <fonts count="27" x14ac:knownFonts="1">
    <font>
      <sz val="11"/>
      <color theme="1"/>
      <name val="Calibri"/>
      <family val="2"/>
      <charset val="162"/>
      <scheme val="minor"/>
    </font>
    <font>
      <sz val="11"/>
      <color theme="1"/>
      <name val="Calibri"/>
      <family val="2"/>
      <charset val="162"/>
      <scheme val="minor"/>
    </font>
    <font>
      <b/>
      <sz val="11"/>
      <color theme="1"/>
      <name val="Calibri"/>
      <family val="2"/>
      <charset val="162"/>
      <scheme val="minor"/>
    </font>
    <font>
      <sz val="9"/>
      <color indexed="81"/>
      <name val="Tahoma"/>
      <charset val="1"/>
    </font>
    <font>
      <b/>
      <sz val="9"/>
      <color indexed="81"/>
      <name val="Tahoma"/>
      <charset val="1"/>
    </font>
    <font>
      <i/>
      <sz val="11"/>
      <color theme="1"/>
      <name val="Calibri"/>
      <family val="2"/>
      <charset val="162"/>
      <scheme val="minor"/>
    </font>
    <font>
      <b/>
      <sz val="11"/>
      <color theme="1"/>
      <name val="Arial"/>
      <family val="2"/>
      <charset val="162"/>
    </font>
    <font>
      <b/>
      <sz val="10"/>
      <color theme="1"/>
      <name val="Calibri"/>
      <family val="2"/>
      <charset val="162"/>
      <scheme val="minor"/>
    </font>
    <font>
      <sz val="11"/>
      <color theme="1"/>
      <name val="Arial"/>
      <family val="2"/>
      <charset val="162"/>
    </font>
    <font>
      <sz val="7.7"/>
      <color theme="1"/>
      <name val="Calibri"/>
      <family val="2"/>
      <charset val="162"/>
    </font>
    <font>
      <b/>
      <sz val="8.8000000000000007"/>
      <color theme="1"/>
      <name val="Calibri"/>
      <family val="2"/>
      <charset val="162"/>
    </font>
    <font>
      <sz val="10"/>
      <name val="Arial"/>
      <family val="2"/>
    </font>
    <font>
      <sz val="11"/>
      <name val="Calibri"/>
      <family val="2"/>
      <scheme val="minor"/>
    </font>
    <font>
      <b/>
      <sz val="16"/>
      <color indexed="8"/>
      <name val="Calibri"/>
      <family val="2"/>
    </font>
    <font>
      <b/>
      <sz val="11"/>
      <color indexed="8"/>
      <name val="Calibri"/>
      <family val="2"/>
      <scheme val="minor"/>
    </font>
    <font>
      <b/>
      <sz val="11"/>
      <color theme="1" tint="0.499984740745262"/>
      <name val="Calibri"/>
      <family val="2"/>
      <scheme val="minor"/>
    </font>
    <font>
      <sz val="11"/>
      <color theme="0"/>
      <name val="Calibri"/>
      <family val="2"/>
      <scheme val="minor"/>
    </font>
    <font>
      <sz val="11"/>
      <color indexed="8"/>
      <name val="Calibri"/>
      <family val="2"/>
      <scheme val="minor"/>
    </font>
    <font>
      <sz val="11"/>
      <color theme="1" tint="0.499984740745262"/>
      <name val="Calibri"/>
      <family val="2"/>
      <scheme val="minor"/>
    </font>
    <font>
      <b/>
      <sz val="8.8000000000000007"/>
      <color theme="1"/>
      <name val="Arial"/>
      <family val="2"/>
      <charset val="162"/>
    </font>
    <font>
      <sz val="9"/>
      <color indexed="81"/>
      <name val="Tahoma"/>
      <family val="2"/>
      <charset val="162"/>
    </font>
    <font>
      <b/>
      <sz val="9"/>
      <color indexed="81"/>
      <name val="Tahoma"/>
      <family val="2"/>
      <charset val="162"/>
    </font>
    <font>
      <b/>
      <sz val="7.7"/>
      <color theme="1"/>
      <name val="Calibri"/>
      <family val="2"/>
      <charset val="162"/>
    </font>
    <font>
      <b/>
      <sz val="9"/>
      <color rgb="FF000000"/>
      <name val="Tahoma"/>
      <charset val="1"/>
    </font>
    <font>
      <sz val="9"/>
      <color rgb="FF000000"/>
      <name val="Tahoma"/>
      <charset val="1"/>
    </font>
    <font>
      <sz val="10"/>
      <color rgb="FF000000"/>
      <name val="Tahoma"/>
      <family val="2"/>
    </font>
    <font>
      <b/>
      <sz val="10"/>
      <color rgb="FF000000"/>
      <name val="Tahoma"/>
      <family val="2"/>
    </font>
  </fonts>
  <fills count="4">
    <fill>
      <patternFill patternType="none"/>
    </fill>
    <fill>
      <patternFill patternType="gray125"/>
    </fill>
    <fill>
      <patternFill patternType="solid">
        <fgColor theme="8"/>
      </patternFill>
    </fill>
    <fill>
      <patternFill patternType="solid">
        <fgColor theme="1"/>
        <bgColor indexed="64"/>
      </patternFill>
    </fill>
  </fills>
  <borders count="20">
    <border>
      <left/>
      <right/>
      <top/>
      <bottom/>
      <diagonal/>
    </border>
    <border>
      <left style="thin">
        <color indexed="64"/>
      </left>
      <right/>
      <top/>
      <bottom style="thin">
        <color indexed="8"/>
      </bottom>
      <diagonal/>
    </border>
    <border>
      <left/>
      <right/>
      <top/>
      <bottom style="thin">
        <color indexed="8"/>
      </bottom>
      <diagonal/>
    </border>
    <border>
      <left style="thin">
        <color indexed="8"/>
      </left>
      <right style="thin">
        <color indexed="8"/>
      </right>
      <top style="thin">
        <color indexed="8"/>
      </top>
      <bottom style="thin">
        <color indexed="8"/>
      </bottom>
      <diagonal/>
    </border>
    <border>
      <left style="thin">
        <color indexed="64"/>
      </left>
      <right style="thin">
        <color indexed="64"/>
      </right>
      <top style="thin">
        <color indexed="64"/>
      </top>
      <bottom style="thin">
        <color indexed="64"/>
      </bottom>
      <diagonal/>
    </border>
    <border>
      <left style="thin">
        <color indexed="8"/>
      </left>
      <right/>
      <top style="thin">
        <color indexed="8"/>
      </top>
      <bottom style="thin">
        <color indexed="8"/>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bottom/>
      <diagonal/>
    </border>
    <border>
      <left/>
      <right style="medium">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
    <xf numFmtId="0" fontId="0" fillId="0" borderId="0"/>
    <xf numFmtId="164" fontId="1" fillId="0" borderId="0" applyFont="0" applyFill="0" applyBorder="0" applyAlignment="0" applyProtection="0"/>
    <xf numFmtId="0" fontId="11" fillId="0" borderId="0">
      <alignment wrapText="1"/>
    </xf>
    <xf numFmtId="0" fontId="16" fillId="2" borderId="0" applyNumberFormat="0" applyBorder="0" applyAlignment="0" applyProtection="0"/>
  </cellStyleXfs>
  <cellXfs count="120">
    <xf numFmtId="0" fontId="0" fillId="0" borderId="0" xfId="0"/>
    <xf numFmtId="164" fontId="0" fillId="0" borderId="0" xfId="1" applyFont="1"/>
    <xf numFmtId="164" fontId="2" fillId="0" borderId="0" xfId="1" applyFont="1" applyAlignment="1">
      <alignment horizontal="center" vertical="center" wrapText="1"/>
    </xf>
    <xf numFmtId="164" fontId="2" fillId="0" borderId="0" xfId="1" applyFont="1" applyAlignment="1">
      <alignment horizontal="center" vertical="center" textRotation="90" wrapText="1"/>
    </xf>
    <xf numFmtId="0" fontId="0" fillId="0" borderId="0" xfId="1" applyNumberFormat="1" applyFont="1"/>
    <xf numFmtId="0" fontId="0" fillId="0" borderId="0" xfId="0" applyAlignment="1">
      <alignment horizontal="center"/>
    </xf>
    <xf numFmtId="0" fontId="2" fillId="0" borderId="0" xfId="0" applyFont="1"/>
    <xf numFmtId="0" fontId="5" fillId="0" borderId="0" xfId="0" applyFont="1" applyAlignment="1">
      <alignment horizontal="center"/>
    </xf>
    <xf numFmtId="164" fontId="0" fillId="0" borderId="0" xfId="1" applyFont="1" applyAlignment="1">
      <alignment horizontal="center" vertical="center"/>
    </xf>
    <xf numFmtId="165" fontId="0" fillId="0" borderId="0" xfId="1" applyNumberFormat="1" applyFont="1" applyAlignment="1">
      <alignment horizontal="center" vertical="center"/>
    </xf>
    <xf numFmtId="164" fontId="2" fillId="0" borderId="0" xfId="1" applyFont="1" applyAlignment="1">
      <alignment horizontal="center" vertical="center" wrapText="1"/>
    </xf>
    <xf numFmtId="2" fontId="5" fillId="0" borderId="0" xfId="0" applyNumberFormat="1" applyFont="1" applyAlignment="1">
      <alignment horizontal="center"/>
    </xf>
    <xf numFmtId="164" fontId="2" fillId="0" borderId="0" xfId="1" applyFont="1" applyAlignment="1">
      <alignment horizontal="center" vertical="center" wrapText="1"/>
    </xf>
    <xf numFmtId="164" fontId="0" fillId="0" borderId="0" xfId="1" applyNumberFormat="1" applyFont="1" applyAlignment="1">
      <alignment horizontal="center" vertical="center"/>
    </xf>
    <xf numFmtId="164" fontId="0" fillId="0" borderId="0" xfId="1" applyFont="1" applyFill="1"/>
    <xf numFmtId="164" fontId="2" fillId="0" borderId="0" xfId="1" applyFont="1" applyAlignment="1">
      <alignment horizontal="center" vertical="center" wrapText="1"/>
    </xf>
    <xf numFmtId="0" fontId="13" fillId="0" borderId="0" xfId="2" applyFont="1" applyFill="1" applyBorder="1" applyAlignment="1">
      <alignment horizontal="center" vertical="center" wrapText="1"/>
    </xf>
    <xf numFmtId="0" fontId="13" fillId="3" borderId="0" xfId="2" applyFont="1" applyFill="1" applyBorder="1" applyAlignment="1">
      <alignment horizontal="center" vertical="center" wrapText="1"/>
    </xf>
    <xf numFmtId="0" fontId="11" fillId="0" borderId="0" xfId="2">
      <alignment wrapText="1"/>
    </xf>
    <xf numFmtId="0" fontId="14" fillId="0" borderId="3" xfId="2" applyFont="1" applyFill="1" applyBorder="1" applyAlignment="1">
      <alignment horizontal="center" vertical="top" wrapText="1"/>
    </xf>
    <xf numFmtId="0" fontId="14" fillId="3" borderId="3" xfId="2" applyFont="1" applyFill="1" applyBorder="1" applyAlignment="1">
      <alignment horizontal="center" vertical="top" wrapText="1"/>
    </xf>
    <xf numFmtId="0" fontId="15" fillId="0" borderId="3" xfId="2" applyFont="1" applyFill="1" applyBorder="1" applyAlignment="1">
      <alignment horizontal="left" vertical="top" wrapText="1"/>
    </xf>
    <xf numFmtId="0" fontId="15" fillId="0" borderId="3" xfId="2" applyFont="1" applyFill="1" applyBorder="1" applyAlignment="1">
      <alignment horizontal="center" vertical="top" wrapText="1"/>
    </xf>
    <xf numFmtId="0" fontId="16" fillId="2" borderId="4" xfId="3" applyBorder="1" applyAlignment="1">
      <alignment vertical="center" wrapText="1"/>
    </xf>
    <xf numFmtId="2" fontId="17" fillId="0" borderId="3" xfId="2" applyNumberFormat="1" applyFont="1" applyBorder="1" applyAlignment="1" applyProtection="1">
      <alignment horizontal="right" vertical="center" wrapText="1" readingOrder="1"/>
      <protection locked="0"/>
    </xf>
    <xf numFmtId="2" fontId="17" fillId="3" borderId="3" xfId="2" applyNumberFormat="1" applyFont="1" applyFill="1" applyBorder="1" applyAlignment="1">
      <alignment horizontal="right" vertical="center" wrapText="1"/>
    </xf>
    <xf numFmtId="2" fontId="18" fillId="0" borderId="3" xfId="2" applyNumberFormat="1" applyFont="1" applyFill="1" applyBorder="1" applyAlignment="1">
      <alignment horizontal="left" vertical="top" wrapText="1"/>
    </xf>
    <xf numFmtId="0" fontId="17" fillId="0" borderId="3" xfId="2" applyFont="1" applyBorder="1" applyAlignment="1" applyProtection="1">
      <alignment horizontal="right" vertical="center" wrapText="1" readingOrder="1"/>
      <protection locked="0"/>
    </xf>
    <xf numFmtId="2" fontId="17" fillId="3" borderId="5" xfId="2" applyNumberFormat="1" applyFont="1" applyFill="1" applyBorder="1" applyAlignment="1">
      <alignment horizontal="right" vertical="center" wrapText="1"/>
    </xf>
    <xf numFmtId="0" fontId="17" fillId="3" borderId="0" xfId="2" applyFont="1" applyFill="1" applyAlignment="1">
      <alignment vertical="top" wrapText="1"/>
    </xf>
    <xf numFmtId="0" fontId="17" fillId="3" borderId="0" xfId="2" applyFont="1" applyFill="1" applyBorder="1" applyAlignment="1">
      <alignment vertical="top" wrapText="1"/>
    </xf>
    <xf numFmtId="0" fontId="12" fillId="3" borderId="0" xfId="2" applyFont="1" applyFill="1">
      <alignment wrapText="1"/>
    </xf>
    <xf numFmtId="164" fontId="0" fillId="0" borderId="0" xfId="1" applyFont="1" applyAlignment="1">
      <alignment horizontal="center"/>
    </xf>
    <xf numFmtId="164" fontId="2" fillId="0" borderId="0" xfId="1" applyFont="1" applyAlignment="1">
      <alignment horizontal="center" vertical="center" wrapText="1"/>
    </xf>
    <xf numFmtId="164" fontId="0" fillId="0" borderId="0" xfId="1" applyFont="1" applyAlignment="1">
      <alignment horizontal="left"/>
    </xf>
    <xf numFmtId="164" fontId="2" fillId="0" borderId="0" xfId="1" applyFont="1"/>
    <xf numFmtId="165" fontId="0" fillId="0" borderId="0" xfId="0" applyNumberFormat="1"/>
    <xf numFmtId="166" fontId="0" fillId="0" borderId="0" xfId="1" applyNumberFormat="1" applyFont="1" applyAlignment="1">
      <alignment horizontal="center" vertical="center"/>
    </xf>
    <xf numFmtId="165" fontId="2" fillId="0" borderId="0" xfId="1" applyNumberFormat="1" applyFont="1" applyAlignment="1">
      <alignment horizontal="center" vertical="center" wrapText="1"/>
    </xf>
    <xf numFmtId="165" fontId="0" fillId="0" borderId="0" xfId="0" applyNumberFormat="1" applyAlignment="1">
      <alignment horizontal="center"/>
    </xf>
    <xf numFmtId="164" fontId="2" fillId="0" borderId="0" xfId="1" applyFont="1" applyAlignment="1">
      <alignment horizontal="center" vertical="center" wrapText="1"/>
    </xf>
    <xf numFmtId="164" fontId="2" fillId="0" borderId="0" xfId="1" applyFont="1" applyAlignment="1">
      <alignment horizontal="center" vertical="center" wrapText="1"/>
    </xf>
    <xf numFmtId="164" fontId="0" fillId="0" borderId="0" xfId="0" applyNumberFormat="1"/>
    <xf numFmtId="164" fontId="2" fillId="0" borderId="0" xfId="1" applyFont="1" applyAlignment="1">
      <alignment horizontal="center" vertical="center" wrapText="1"/>
    </xf>
    <xf numFmtId="164" fontId="0" fillId="0" borderId="0" xfId="1" applyNumberFormat="1" applyFont="1"/>
    <xf numFmtId="164" fontId="2" fillId="0" borderId="0" xfId="1" applyFont="1" applyAlignment="1">
      <alignment horizontal="center" vertical="center"/>
    </xf>
    <xf numFmtId="164" fontId="2" fillId="0" borderId="9" xfId="1" applyFont="1" applyBorder="1" applyAlignment="1">
      <alignment horizontal="center" vertical="center" wrapText="1"/>
    </xf>
    <xf numFmtId="164" fontId="2" fillId="0" borderId="4" xfId="1" applyFont="1" applyBorder="1" applyAlignment="1">
      <alignment horizontal="center" vertical="center" wrapText="1"/>
    </xf>
    <xf numFmtId="164" fontId="2" fillId="0" borderId="4" xfId="1" applyFont="1" applyBorder="1" applyAlignment="1">
      <alignment horizontal="center" vertical="center" textRotation="90" wrapText="1"/>
    </xf>
    <xf numFmtId="11" fontId="0" fillId="0" borderId="0" xfId="1" applyNumberFormat="1" applyFont="1" applyAlignment="1">
      <alignment horizontal="center"/>
    </xf>
    <xf numFmtId="167" fontId="0" fillId="0" borderId="0" xfId="1" applyNumberFormat="1" applyFont="1" applyAlignment="1">
      <alignment horizontal="center" vertical="center"/>
    </xf>
    <xf numFmtId="0" fontId="0" fillId="0" borderId="0" xfId="0" applyNumberFormat="1" applyAlignment="1">
      <alignment horizontal="center"/>
    </xf>
    <xf numFmtId="0" fontId="0" fillId="0" borderId="6" xfId="0" applyBorder="1" applyAlignment="1">
      <alignment horizontal="center"/>
    </xf>
    <xf numFmtId="0" fontId="0" fillId="0" borderId="7" xfId="0" applyBorder="1" applyAlignment="1">
      <alignment horizontal="center"/>
    </xf>
    <xf numFmtId="0" fontId="2" fillId="0" borderId="7" xfId="0" applyFont="1" applyBorder="1" applyAlignment="1">
      <alignment horizontal="center"/>
    </xf>
    <xf numFmtId="0" fontId="2" fillId="0" borderId="8" xfId="0" applyFont="1" applyBorder="1" applyAlignment="1">
      <alignment horizontal="center"/>
    </xf>
    <xf numFmtId="164" fontId="0" fillId="0" borderId="15" xfId="1" applyFont="1" applyFill="1" applyBorder="1"/>
    <xf numFmtId="164" fontId="2" fillId="0" borderId="10" xfId="1" applyFont="1" applyBorder="1" applyAlignment="1">
      <alignment horizontal="center" vertical="center" wrapText="1"/>
    </xf>
    <xf numFmtId="164" fontId="2" fillId="0" borderId="11" xfId="1" applyFont="1" applyBorder="1" applyAlignment="1">
      <alignment horizontal="center" vertical="center" wrapText="1"/>
    </xf>
    <xf numFmtId="164" fontId="1" fillId="0" borderId="10" xfId="1" applyFont="1" applyBorder="1" applyAlignment="1">
      <alignment horizontal="center" vertical="center" wrapText="1"/>
    </xf>
    <xf numFmtId="164" fontId="0" fillId="0" borderId="0" xfId="1" applyFont="1" applyBorder="1" applyAlignment="1">
      <alignment horizontal="center" vertical="center"/>
    </xf>
    <xf numFmtId="164" fontId="0" fillId="0" borderId="10" xfId="1" applyFont="1" applyBorder="1" applyAlignment="1">
      <alignment horizontal="center" vertical="center"/>
    </xf>
    <xf numFmtId="2" fontId="0" fillId="0" borderId="0" xfId="0" applyNumberFormat="1" applyBorder="1" applyAlignment="1">
      <alignment horizontal="center" vertical="center"/>
    </xf>
    <xf numFmtId="2" fontId="0" fillId="0" borderId="0" xfId="1" applyNumberFormat="1" applyFont="1" applyBorder="1" applyAlignment="1">
      <alignment horizontal="center" vertical="center"/>
    </xf>
    <xf numFmtId="2" fontId="0" fillId="0" borderId="10" xfId="0" applyNumberFormat="1" applyBorder="1" applyAlignment="1">
      <alignment horizontal="center" vertical="center"/>
    </xf>
    <xf numFmtId="2" fontId="0" fillId="0" borderId="10" xfId="1" applyNumberFormat="1" applyFont="1" applyBorder="1" applyAlignment="1">
      <alignment horizontal="center" vertical="center"/>
    </xf>
    <xf numFmtId="164" fontId="0" fillId="0" borderId="10" xfId="1" applyFont="1" applyBorder="1" applyAlignment="1">
      <alignment horizontal="center" vertical="center" wrapText="1"/>
    </xf>
    <xf numFmtId="0" fontId="0" fillId="0" borderId="0" xfId="0" applyAlignment="1">
      <alignment horizontal="left" vertical="top"/>
    </xf>
    <xf numFmtId="164" fontId="2" fillId="0" borderId="0" xfId="1" applyFont="1" applyBorder="1" applyAlignment="1">
      <alignment horizontal="center" vertical="center" wrapText="1"/>
    </xf>
    <xf numFmtId="0" fontId="0" fillId="0" borderId="0" xfId="0" applyBorder="1" applyAlignment="1">
      <alignment horizontal="center"/>
    </xf>
    <xf numFmtId="0" fontId="0" fillId="0" borderId="0" xfId="0" applyBorder="1"/>
    <xf numFmtId="168" fontId="0" fillId="0" borderId="0" xfId="0" applyNumberFormat="1" applyBorder="1" applyAlignment="1">
      <alignment horizontal="center" vertical="center"/>
    </xf>
    <xf numFmtId="165" fontId="0" fillId="0" borderId="0" xfId="0" applyNumberFormat="1" applyBorder="1"/>
    <xf numFmtId="164" fontId="0" fillId="0" borderId="0" xfId="1" applyFont="1" applyBorder="1" applyAlignment="1">
      <alignment horizontal="left"/>
    </xf>
    <xf numFmtId="164" fontId="0" fillId="0" borderId="0" xfId="1" applyFont="1" applyBorder="1"/>
    <xf numFmtId="164" fontId="2" fillId="0" borderId="0" xfId="1" applyFont="1" applyBorder="1"/>
    <xf numFmtId="165" fontId="0" fillId="0" borderId="0" xfId="0" applyNumberFormat="1" applyBorder="1" applyAlignment="1">
      <alignment horizontal="center"/>
    </xf>
    <xf numFmtId="2" fontId="0" fillId="0" borderId="0" xfId="0" applyNumberFormat="1" applyBorder="1" applyAlignment="1">
      <alignment horizontal="center"/>
    </xf>
    <xf numFmtId="0" fontId="0" fillId="0" borderId="0" xfId="0" applyBorder="1" applyAlignment="1">
      <alignment horizontal="left" vertical="center" wrapText="1"/>
    </xf>
    <xf numFmtId="164" fontId="0" fillId="0" borderId="0" xfId="0" applyNumberFormat="1" applyBorder="1" applyAlignment="1">
      <alignment horizontal="center" vertical="center"/>
    </xf>
    <xf numFmtId="0" fontId="0" fillId="0" borderId="17" xfId="0" applyBorder="1" applyAlignment="1">
      <alignment horizontal="center"/>
    </xf>
    <xf numFmtId="164" fontId="2" fillId="0" borderId="18" xfId="1" applyFont="1" applyBorder="1" applyAlignment="1">
      <alignment horizontal="center" vertical="center" wrapText="1"/>
    </xf>
    <xf numFmtId="164" fontId="0" fillId="0" borderId="19" xfId="1" applyFont="1" applyFill="1" applyBorder="1"/>
    <xf numFmtId="164" fontId="0" fillId="0" borderId="18" xfId="1" applyFont="1" applyFill="1" applyBorder="1"/>
    <xf numFmtId="164" fontId="1" fillId="0" borderId="9" xfId="1" applyFont="1" applyBorder="1" applyAlignment="1">
      <alignment horizontal="center" vertical="center" wrapText="1"/>
    </xf>
    <xf numFmtId="2" fontId="0" fillId="0" borderId="15" xfId="0" applyNumberFormat="1" applyBorder="1" applyAlignment="1">
      <alignment horizontal="center" vertical="center"/>
    </xf>
    <xf numFmtId="2" fontId="0" fillId="0" borderId="9" xfId="0" applyNumberFormat="1" applyBorder="1" applyAlignment="1">
      <alignment horizontal="center" vertical="center"/>
    </xf>
    <xf numFmtId="1" fontId="0" fillId="0" borderId="16" xfId="1" applyNumberFormat="1" applyFont="1" applyBorder="1" applyAlignment="1">
      <alignment horizontal="center" vertical="center"/>
    </xf>
    <xf numFmtId="1" fontId="0" fillId="0" borderId="16" xfId="0" applyNumberFormat="1" applyBorder="1" applyAlignment="1">
      <alignment horizontal="center" vertical="center"/>
    </xf>
    <xf numFmtId="0" fontId="0" fillId="0" borderId="15" xfId="0" applyBorder="1"/>
    <xf numFmtId="0" fontId="0" fillId="0" borderId="9" xfId="0" applyBorder="1"/>
    <xf numFmtId="1" fontId="0" fillId="0" borderId="11" xfId="1" applyNumberFormat="1" applyFont="1" applyBorder="1" applyAlignment="1">
      <alignment horizontal="center" vertical="center"/>
    </xf>
    <xf numFmtId="1" fontId="0" fillId="0" borderId="11" xfId="0" applyNumberFormat="1" applyBorder="1" applyAlignment="1">
      <alignment horizontal="center" vertical="center"/>
    </xf>
    <xf numFmtId="2" fontId="0" fillId="0" borderId="15" xfId="1" applyNumberFormat="1" applyFont="1" applyBorder="1" applyAlignment="1">
      <alignment horizontal="center" vertical="center"/>
    </xf>
    <xf numFmtId="2" fontId="0" fillId="0" borderId="9" xfId="1" applyNumberFormat="1" applyFont="1" applyBorder="1" applyAlignment="1">
      <alignment horizontal="center" vertical="center"/>
    </xf>
    <xf numFmtId="2" fontId="0" fillId="0" borderId="0" xfId="0" applyNumberFormat="1" applyBorder="1"/>
    <xf numFmtId="164" fontId="2" fillId="0" borderId="0" xfId="1" applyFont="1" applyFill="1" applyBorder="1" applyAlignment="1">
      <alignment horizontal="center" vertical="center" wrapText="1"/>
    </xf>
    <xf numFmtId="1" fontId="0" fillId="0" borderId="0" xfId="0" applyNumberFormat="1" applyBorder="1"/>
    <xf numFmtId="1" fontId="0" fillId="0" borderId="0" xfId="1" applyNumberFormat="1" applyFont="1" applyBorder="1"/>
    <xf numFmtId="164" fontId="2" fillId="0" borderId="0" xfId="1" applyFont="1" applyFill="1" applyBorder="1"/>
    <xf numFmtId="2" fontId="0" fillId="0" borderId="0" xfId="0" applyNumberFormat="1" applyFill="1" applyBorder="1"/>
    <xf numFmtId="0" fontId="0" fillId="0" borderId="0" xfId="0" applyAlignment="1">
      <alignment horizontal="center" vertical="top"/>
    </xf>
    <xf numFmtId="0" fontId="0" fillId="0" borderId="0" xfId="0" applyAlignment="1">
      <alignment horizontal="left"/>
    </xf>
    <xf numFmtId="0" fontId="0" fillId="0" borderId="0" xfId="0" applyAlignment="1">
      <alignment horizontal="left" vertical="center" wrapText="1"/>
    </xf>
    <xf numFmtId="0" fontId="0" fillId="0" borderId="0" xfId="0" applyAlignment="1">
      <alignment horizontal="left" vertical="top"/>
    </xf>
    <xf numFmtId="0" fontId="0" fillId="0" borderId="0" xfId="0" applyAlignment="1">
      <alignment horizontal="left" vertical="top" wrapText="1"/>
    </xf>
    <xf numFmtId="0" fontId="0" fillId="0" borderId="0" xfId="0" applyAlignment="1">
      <alignment horizontal="left" wrapText="1"/>
    </xf>
    <xf numFmtId="164" fontId="2" fillId="0" borderId="13" xfId="1" applyFont="1" applyBorder="1" applyAlignment="1">
      <alignment horizontal="center" vertical="center" wrapText="1"/>
    </xf>
    <xf numFmtId="164" fontId="2" fillId="0" borderId="14" xfId="1" applyFont="1" applyBorder="1" applyAlignment="1">
      <alignment horizontal="center" vertical="center" wrapText="1"/>
    </xf>
    <xf numFmtId="0" fontId="0" fillId="0" borderId="12" xfId="0" applyBorder="1" applyAlignment="1">
      <alignment horizontal="center" vertical="center"/>
    </xf>
    <xf numFmtId="0" fontId="0" fillId="0" borderId="0" xfId="0" applyAlignment="1">
      <alignment horizontal="center" vertical="center"/>
    </xf>
    <xf numFmtId="0" fontId="0" fillId="0" borderId="0" xfId="0" applyBorder="1" applyAlignment="1">
      <alignment horizontal="left" vertical="center" wrapText="1"/>
    </xf>
    <xf numFmtId="165" fontId="2" fillId="0" borderId="0" xfId="1" applyNumberFormat="1" applyFont="1" applyAlignment="1">
      <alignment horizontal="center" vertical="center" wrapText="1"/>
    </xf>
    <xf numFmtId="165" fontId="0" fillId="0" borderId="0" xfId="0" applyNumberFormat="1" applyAlignment="1">
      <alignment horizontal="center" vertical="center"/>
    </xf>
    <xf numFmtId="164" fontId="2" fillId="0" borderId="0" xfId="1" applyFont="1" applyAlignment="1">
      <alignment horizontal="center" vertical="center" wrapText="1"/>
    </xf>
    <xf numFmtId="0" fontId="12" fillId="0" borderId="0" xfId="2" applyFont="1" applyAlignment="1">
      <alignment horizontal="center" wrapText="1"/>
    </xf>
    <xf numFmtId="0" fontId="12" fillId="0" borderId="2" xfId="2" applyFont="1" applyBorder="1" applyAlignment="1">
      <alignment horizontal="center" wrapText="1"/>
    </xf>
    <xf numFmtId="0" fontId="13" fillId="0" borderId="1" xfId="2" applyFont="1" applyFill="1" applyBorder="1" applyAlignment="1">
      <alignment horizontal="center" vertical="center" wrapText="1"/>
    </xf>
    <xf numFmtId="0" fontId="13" fillId="0" borderId="2" xfId="2" applyFont="1" applyFill="1" applyBorder="1" applyAlignment="1">
      <alignment horizontal="center" vertical="center" wrapText="1"/>
    </xf>
    <xf numFmtId="164" fontId="0" fillId="0" borderId="0" xfId="1" applyFont="1" applyAlignment="1">
      <alignment horizontal="center" vertical="center"/>
    </xf>
  </cellXfs>
  <cellStyles count="4">
    <cellStyle name="Comma" xfId="1" builtinId="3"/>
    <cellStyle name="Normal" xfId="0" builtinId="0"/>
    <cellStyle name="Normal 2" xfId="2" xr:uid="{00000000-0005-0000-0000-000001000000}"/>
    <cellStyle name="Vurgu5 2" xfId="3" xr:uid="{00000000-0005-0000-0000-000003000000}"/>
  </cellStyles>
  <dxfs count="39">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externalLink" Target="externalLinks/externalLink95.xml"/><Relationship Id="rId299" Type="http://schemas.openxmlformats.org/officeDocument/2006/relationships/externalLink" Target="externalLinks/externalLink277.xml"/><Relationship Id="rId21" Type="http://schemas.openxmlformats.org/officeDocument/2006/relationships/worksheet" Target="worksheets/sheet21.xml"/><Relationship Id="rId63" Type="http://schemas.openxmlformats.org/officeDocument/2006/relationships/externalLink" Target="externalLinks/externalLink41.xml"/><Relationship Id="rId159" Type="http://schemas.openxmlformats.org/officeDocument/2006/relationships/externalLink" Target="externalLinks/externalLink137.xml"/><Relationship Id="rId324" Type="http://schemas.openxmlformats.org/officeDocument/2006/relationships/externalLink" Target="externalLinks/externalLink302.xml"/><Relationship Id="rId170" Type="http://schemas.openxmlformats.org/officeDocument/2006/relationships/externalLink" Target="externalLinks/externalLink148.xml"/><Relationship Id="rId226" Type="http://schemas.openxmlformats.org/officeDocument/2006/relationships/externalLink" Target="externalLinks/externalLink204.xml"/><Relationship Id="rId268" Type="http://schemas.openxmlformats.org/officeDocument/2006/relationships/externalLink" Target="externalLinks/externalLink246.xml"/><Relationship Id="rId32" Type="http://schemas.openxmlformats.org/officeDocument/2006/relationships/externalLink" Target="externalLinks/externalLink10.xml"/><Relationship Id="rId74" Type="http://schemas.openxmlformats.org/officeDocument/2006/relationships/externalLink" Target="externalLinks/externalLink52.xml"/><Relationship Id="rId128" Type="http://schemas.openxmlformats.org/officeDocument/2006/relationships/externalLink" Target="externalLinks/externalLink106.xml"/><Relationship Id="rId335" Type="http://schemas.openxmlformats.org/officeDocument/2006/relationships/sharedStrings" Target="sharedStrings.xml"/><Relationship Id="rId5" Type="http://schemas.openxmlformats.org/officeDocument/2006/relationships/worksheet" Target="worksheets/sheet5.xml"/><Relationship Id="rId181" Type="http://schemas.openxmlformats.org/officeDocument/2006/relationships/externalLink" Target="externalLinks/externalLink159.xml"/><Relationship Id="rId237" Type="http://schemas.openxmlformats.org/officeDocument/2006/relationships/externalLink" Target="externalLinks/externalLink215.xml"/><Relationship Id="rId279" Type="http://schemas.openxmlformats.org/officeDocument/2006/relationships/externalLink" Target="externalLinks/externalLink257.xml"/><Relationship Id="rId43" Type="http://schemas.openxmlformats.org/officeDocument/2006/relationships/externalLink" Target="externalLinks/externalLink21.xml"/><Relationship Id="rId139" Type="http://schemas.openxmlformats.org/officeDocument/2006/relationships/externalLink" Target="externalLinks/externalLink117.xml"/><Relationship Id="rId290" Type="http://schemas.openxmlformats.org/officeDocument/2006/relationships/externalLink" Target="externalLinks/externalLink268.xml"/><Relationship Id="rId304" Type="http://schemas.openxmlformats.org/officeDocument/2006/relationships/externalLink" Target="externalLinks/externalLink282.xml"/><Relationship Id="rId85" Type="http://schemas.openxmlformats.org/officeDocument/2006/relationships/externalLink" Target="externalLinks/externalLink63.xml"/><Relationship Id="rId150" Type="http://schemas.openxmlformats.org/officeDocument/2006/relationships/externalLink" Target="externalLinks/externalLink128.xml"/><Relationship Id="rId192" Type="http://schemas.openxmlformats.org/officeDocument/2006/relationships/externalLink" Target="externalLinks/externalLink170.xml"/><Relationship Id="rId206" Type="http://schemas.openxmlformats.org/officeDocument/2006/relationships/externalLink" Target="externalLinks/externalLink184.xml"/><Relationship Id="rId248" Type="http://schemas.openxmlformats.org/officeDocument/2006/relationships/externalLink" Target="externalLinks/externalLink226.xml"/><Relationship Id="rId12" Type="http://schemas.openxmlformats.org/officeDocument/2006/relationships/worksheet" Target="worksheets/sheet12.xml"/><Relationship Id="rId108" Type="http://schemas.openxmlformats.org/officeDocument/2006/relationships/externalLink" Target="externalLinks/externalLink86.xml"/><Relationship Id="rId315" Type="http://schemas.openxmlformats.org/officeDocument/2006/relationships/externalLink" Target="externalLinks/externalLink293.xml"/><Relationship Id="rId54" Type="http://schemas.openxmlformats.org/officeDocument/2006/relationships/externalLink" Target="externalLinks/externalLink32.xml"/><Relationship Id="rId96" Type="http://schemas.openxmlformats.org/officeDocument/2006/relationships/externalLink" Target="externalLinks/externalLink74.xml"/><Relationship Id="rId161" Type="http://schemas.openxmlformats.org/officeDocument/2006/relationships/externalLink" Target="externalLinks/externalLink139.xml"/><Relationship Id="rId217" Type="http://schemas.openxmlformats.org/officeDocument/2006/relationships/externalLink" Target="externalLinks/externalLink195.xml"/><Relationship Id="rId259" Type="http://schemas.openxmlformats.org/officeDocument/2006/relationships/externalLink" Target="externalLinks/externalLink237.xml"/><Relationship Id="rId23" Type="http://schemas.openxmlformats.org/officeDocument/2006/relationships/externalLink" Target="externalLinks/externalLink1.xml"/><Relationship Id="rId119" Type="http://schemas.openxmlformats.org/officeDocument/2006/relationships/externalLink" Target="externalLinks/externalLink97.xml"/><Relationship Id="rId270" Type="http://schemas.openxmlformats.org/officeDocument/2006/relationships/externalLink" Target="externalLinks/externalLink248.xml"/><Relationship Id="rId326" Type="http://schemas.openxmlformats.org/officeDocument/2006/relationships/externalLink" Target="externalLinks/externalLink304.xml"/><Relationship Id="rId65" Type="http://schemas.openxmlformats.org/officeDocument/2006/relationships/externalLink" Target="externalLinks/externalLink43.xml"/><Relationship Id="rId130" Type="http://schemas.openxmlformats.org/officeDocument/2006/relationships/externalLink" Target="externalLinks/externalLink108.xml"/><Relationship Id="rId172" Type="http://schemas.openxmlformats.org/officeDocument/2006/relationships/externalLink" Target="externalLinks/externalLink150.xml"/><Relationship Id="rId228" Type="http://schemas.openxmlformats.org/officeDocument/2006/relationships/externalLink" Target="externalLinks/externalLink206.xml"/><Relationship Id="rId281" Type="http://schemas.openxmlformats.org/officeDocument/2006/relationships/externalLink" Target="externalLinks/externalLink259.xml"/><Relationship Id="rId34" Type="http://schemas.openxmlformats.org/officeDocument/2006/relationships/externalLink" Target="externalLinks/externalLink12.xml"/><Relationship Id="rId76" Type="http://schemas.openxmlformats.org/officeDocument/2006/relationships/externalLink" Target="externalLinks/externalLink54.xml"/><Relationship Id="rId141" Type="http://schemas.openxmlformats.org/officeDocument/2006/relationships/externalLink" Target="externalLinks/externalLink119.xml"/><Relationship Id="rId7" Type="http://schemas.openxmlformats.org/officeDocument/2006/relationships/worksheet" Target="worksheets/sheet7.xml"/><Relationship Id="rId183" Type="http://schemas.openxmlformats.org/officeDocument/2006/relationships/externalLink" Target="externalLinks/externalLink161.xml"/><Relationship Id="rId239" Type="http://schemas.openxmlformats.org/officeDocument/2006/relationships/externalLink" Target="externalLinks/externalLink217.xml"/><Relationship Id="rId250" Type="http://schemas.openxmlformats.org/officeDocument/2006/relationships/externalLink" Target="externalLinks/externalLink228.xml"/><Relationship Id="rId292" Type="http://schemas.openxmlformats.org/officeDocument/2006/relationships/externalLink" Target="externalLinks/externalLink270.xml"/><Relationship Id="rId306" Type="http://schemas.openxmlformats.org/officeDocument/2006/relationships/externalLink" Target="externalLinks/externalLink284.xml"/><Relationship Id="rId24" Type="http://schemas.openxmlformats.org/officeDocument/2006/relationships/externalLink" Target="externalLinks/externalLink2.xml"/><Relationship Id="rId45" Type="http://schemas.openxmlformats.org/officeDocument/2006/relationships/externalLink" Target="externalLinks/externalLink23.xml"/><Relationship Id="rId66" Type="http://schemas.openxmlformats.org/officeDocument/2006/relationships/externalLink" Target="externalLinks/externalLink44.xml"/><Relationship Id="rId87" Type="http://schemas.openxmlformats.org/officeDocument/2006/relationships/externalLink" Target="externalLinks/externalLink65.xml"/><Relationship Id="rId110" Type="http://schemas.openxmlformats.org/officeDocument/2006/relationships/externalLink" Target="externalLinks/externalLink88.xml"/><Relationship Id="rId131" Type="http://schemas.openxmlformats.org/officeDocument/2006/relationships/externalLink" Target="externalLinks/externalLink109.xml"/><Relationship Id="rId327" Type="http://schemas.openxmlformats.org/officeDocument/2006/relationships/externalLink" Target="externalLinks/externalLink305.xml"/><Relationship Id="rId152" Type="http://schemas.openxmlformats.org/officeDocument/2006/relationships/externalLink" Target="externalLinks/externalLink130.xml"/><Relationship Id="rId173" Type="http://schemas.openxmlformats.org/officeDocument/2006/relationships/externalLink" Target="externalLinks/externalLink151.xml"/><Relationship Id="rId194" Type="http://schemas.openxmlformats.org/officeDocument/2006/relationships/externalLink" Target="externalLinks/externalLink172.xml"/><Relationship Id="rId208" Type="http://schemas.openxmlformats.org/officeDocument/2006/relationships/externalLink" Target="externalLinks/externalLink186.xml"/><Relationship Id="rId229" Type="http://schemas.openxmlformats.org/officeDocument/2006/relationships/externalLink" Target="externalLinks/externalLink207.xml"/><Relationship Id="rId240" Type="http://schemas.openxmlformats.org/officeDocument/2006/relationships/externalLink" Target="externalLinks/externalLink218.xml"/><Relationship Id="rId261" Type="http://schemas.openxmlformats.org/officeDocument/2006/relationships/externalLink" Target="externalLinks/externalLink239.xml"/><Relationship Id="rId14" Type="http://schemas.openxmlformats.org/officeDocument/2006/relationships/worksheet" Target="worksheets/sheet14.xml"/><Relationship Id="rId35" Type="http://schemas.openxmlformats.org/officeDocument/2006/relationships/externalLink" Target="externalLinks/externalLink13.xml"/><Relationship Id="rId56" Type="http://schemas.openxmlformats.org/officeDocument/2006/relationships/externalLink" Target="externalLinks/externalLink34.xml"/><Relationship Id="rId77" Type="http://schemas.openxmlformats.org/officeDocument/2006/relationships/externalLink" Target="externalLinks/externalLink55.xml"/><Relationship Id="rId100" Type="http://schemas.openxmlformats.org/officeDocument/2006/relationships/externalLink" Target="externalLinks/externalLink78.xml"/><Relationship Id="rId282" Type="http://schemas.openxmlformats.org/officeDocument/2006/relationships/externalLink" Target="externalLinks/externalLink260.xml"/><Relationship Id="rId317" Type="http://schemas.openxmlformats.org/officeDocument/2006/relationships/externalLink" Target="externalLinks/externalLink295.xml"/><Relationship Id="rId8" Type="http://schemas.openxmlformats.org/officeDocument/2006/relationships/worksheet" Target="worksheets/sheet8.xml"/><Relationship Id="rId98" Type="http://schemas.openxmlformats.org/officeDocument/2006/relationships/externalLink" Target="externalLinks/externalLink76.xml"/><Relationship Id="rId121" Type="http://schemas.openxmlformats.org/officeDocument/2006/relationships/externalLink" Target="externalLinks/externalLink99.xml"/><Relationship Id="rId142" Type="http://schemas.openxmlformats.org/officeDocument/2006/relationships/externalLink" Target="externalLinks/externalLink120.xml"/><Relationship Id="rId163" Type="http://schemas.openxmlformats.org/officeDocument/2006/relationships/externalLink" Target="externalLinks/externalLink141.xml"/><Relationship Id="rId184" Type="http://schemas.openxmlformats.org/officeDocument/2006/relationships/externalLink" Target="externalLinks/externalLink162.xml"/><Relationship Id="rId219" Type="http://schemas.openxmlformats.org/officeDocument/2006/relationships/externalLink" Target="externalLinks/externalLink197.xml"/><Relationship Id="rId230" Type="http://schemas.openxmlformats.org/officeDocument/2006/relationships/externalLink" Target="externalLinks/externalLink208.xml"/><Relationship Id="rId251" Type="http://schemas.openxmlformats.org/officeDocument/2006/relationships/externalLink" Target="externalLinks/externalLink229.xml"/><Relationship Id="rId25" Type="http://schemas.openxmlformats.org/officeDocument/2006/relationships/externalLink" Target="externalLinks/externalLink3.xml"/><Relationship Id="rId46" Type="http://schemas.openxmlformats.org/officeDocument/2006/relationships/externalLink" Target="externalLinks/externalLink24.xml"/><Relationship Id="rId67" Type="http://schemas.openxmlformats.org/officeDocument/2006/relationships/externalLink" Target="externalLinks/externalLink45.xml"/><Relationship Id="rId272" Type="http://schemas.openxmlformats.org/officeDocument/2006/relationships/externalLink" Target="externalLinks/externalLink250.xml"/><Relationship Id="rId293" Type="http://schemas.openxmlformats.org/officeDocument/2006/relationships/externalLink" Target="externalLinks/externalLink271.xml"/><Relationship Id="rId307" Type="http://schemas.openxmlformats.org/officeDocument/2006/relationships/externalLink" Target="externalLinks/externalLink285.xml"/><Relationship Id="rId328" Type="http://schemas.openxmlformats.org/officeDocument/2006/relationships/externalLink" Target="externalLinks/externalLink306.xml"/><Relationship Id="rId88" Type="http://schemas.openxmlformats.org/officeDocument/2006/relationships/externalLink" Target="externalLinks/externalLink66.xml"/><Relationship Id="rId111" Type="http://schemas.openxmlformats.org/officeDocument/2006/relationships/externalLink" Target="externalLinks/externalLink89.xml"/><Relationship Id="rId132" Type="http://schemas.openxmlformats.org/officeDocument/2006/relationships/externalLink" Target="externalLinks/externalLink110.xml"/><Relationship Id="rId153" Type="http://schemas.openxmlformats.org/officeDocument/2006/relationships/externalLink" Target="externalLinks/externalLink131.xml"/><Relationship Id="rId174" Type="http://schemas.openxmlformats.org/officeDocument/2006/relationships/externalLink" Target="externalLinks/externalLink152.xml"/><Relationship Id="rId195" Type="http://schemas.openxmlformats.org/officeDocument/2006/relationships/externalLink" Target="externalLinks/externalLink173.xml"/><Relationship Id="rId209" Type="http://schemas.openxmlformats.org/officeDocument/2006/relationships/externalLink" Target="externalLinks/externalLink187.xml"/><Relationship Id="rId220" Type="http://schemas.openxmlformats.org/officeDocument/2006/relationships/externalLink" Target="externalLinks/externalLink198.xml"/><Relationship Id="rId241" Type="http://schemas.openxmlformats.org/officeDocument/2006/relationships/externalLink" Target="externalLinks/externalLink219.xml"/><Relationship Id="rId15" Type="http://schemas.openxmlformats.org/officeDocument/2006/relationships/worksheet" Target="worksheets/sheet15.xml"/><Relationship Id="rId36" Type="http://schemas.openxmlformats.org/officeDocument/2006/relationships/externalLink" Target="externalLinks/externalLink14.xml"/><Relationship Id="rId57" Type="http://schemas.openxmlformats.org/officeDocument/2006/relationships/externalLink" Target="externalLinks/externalLink35.xml"/><Relationship Id="rId262" Type="http://schemas.openxmlformats.org/officeDocument/2006/relationships/externalLink" Target="externalLinks/externalLink240.xml"/><Relationship Id="rId283" Type="http://schemas.openxmlformats.org/officeDocument/2006/relationships/externalLink" Target="externalLinks/externalLink261.xml"/><Relationship Id="rId318" Type="http://schemas.openxmlformats.org/officeDocument/2006/relationships/externalLink" Target="externalLinks/externalLink296.xml"/><Relationship Id="rId78" Type="http://schemas.openxmlformats.org/officeDocument/2006/relationships/externalLink" Target="externalLinks/externalLink56.xml"/><Relationship Id="rId99" Type="http://schemas.openxmlformats.org/officeDocument/2006/relationships/externalLink" Target="externalLinks/externalLink77.xml"/><Relationship Id="rId101" Type="http://schemas.openxmlformats.org/officeDocument/2006/relationships/externalLink" Target="externalLinks/externalLink79.xml"/><Relationship Id="rId122" Type="http://schemas.openxmlformats.org/officeDocument/2006/relationships/externalLink" Target="externalLinks/externalLink100.xml"/><Relationship Id="rId143" Type="http://schemas.openxmlformats.org/officeDocument/2006/relationships/externalLink" Target="externalLinks/externalLink121.xml"/><Relationship Id="rId164" Type="http://schemas.openxmlformats.org/officeDocument/2006/relationships/externalLink" Target="externalLinks/externalLink142.xml"/><Relationship Id="rId185" Type="http://schemas.openxmlformats.org/officeDocument/2006/relationships/externalLink" Target="externalLinks/externalLink163.xml"/><Relationship Id="rId9" Type="http://schemas.openxmlformats.org/officeDocument/2006/relationships/worksheet" Target="worksheets/sheet9.xml"/><Relationship Id="rId210" Type="http://schemas.openxmlformats.org/officeDocument/2006/relationships/externalLink" Target="externalLinks/externalLink188.xml"/><Relationship Id="rId26" Type="http://schemas.openxmlformats.org/officeDocument/2006/relationships/externalLink" Target="externalLinks/externalLink4.xml"/><Relationship Id="rId231" Type="http://schemas.openxmlformats.org/officeDocument/2006/relationships/externalLink" Target="externalLinks/externalLink209.xml"/><Relationship Id="rId252" Type="http://schemas.openxmlformats.org/officeDocument/2006/relationships/externalLink" Target="externalLinks/externalLink230.xml"/><Relationship Id="rId273" Type="http://schemas.openxmlformats.org/officeDocument/2006/relationships/externalLink" Target="externalLinks/externalLink251.xml"/><Relationship Id="rId294" Type="http://schemas.openxmlformats.org/officeDocument/2006/relationships/externalLink" Target="externalLinks/externalLink272.xml"/><Relationship Id="rId308" Type="http://schemas.openxmlformats.org/officeDocument/2006/relationships/externalLink" Target="externalLinks/externalLink286.xml"/><Relationship Id="rId329" Type="http://schemas.openxmlformats.org/officeDocument/2006/relationships/externalLink" Target="externalLinks/externalLink307.xml"/><Relationship Id="rId47" Type="http://schemas.openxmlformats.org/officeDocument/2006/relationships/externalLink" Target="externalLinks/externalLink25.xml"/><Relationship Id="rId68" Type="http://schemas.openxmlformats.org/officeDocument/2006/relationships/externalLink" Target="externalLinks/externalLink46.xml"/><Relationship Id="rId89" Type="http://schemas.openxmlformats.org/officeDocument/2006/relationships/externalLink" Target="externalLinks/externalLink67.xml"/><Relationship Id="rId112" Type="http://schemas.openxmlformats.org/officeDocument/2006/relationships/externalLink" Target="externalLinks/externalLink90.xml"/><Relationship Id="rId133" Type="http://schemas.openxmlformats.org/officeDocument/2006/relationships/externalLink" Target="externalLinks/externalLink111.xml"/><Relationship Id="rId154" Type="http://schemas.openxmlformats.org/officeDocument/2006/relationships/externalLink" Target="externalLinks/externalLink132.xml"/><Relationship Id="rId175" Type="http://schemas.openxmlformats.org/officeDocument/2006/relationships/externalLink" Target="externalLinks/externalLink153.xml"/><Relationship Id="rId196" Type="http://schemas.openxmlformats.org/officeDocument/2006/relationships/externalLink" Target="externalLinks/externalLink174.xml"/><Relationship Id="rId200" Type="http://schemas.openxmlformats.org/officeDocument/2006/relationships/externalLink" Target="externalLinks/externalLink178.xml"/><Relationship Id="rId16" Type="http://schemas.openxmlformats.org/officeDocument/2006/relationships/worksheet" Target="worksheets/sheet16.xml"/><Relationship Id="rId221" Type="http://schemas.openxmlformats.org/officeDocument/2006/relationships/externalLink" Target="externalLinks/externalLink199.xml"/><Relationship Id="rId242" Type="http://schemas.openxmlformats.org/officeDocument/2006/relationships/externalLink" Target="externalLinks/externalLink220.xml"/><Relationship Id="rId263" Type="http://schemas.openxmlformats.org/officeDocument/2006/relationships/externalLink" Target="externalLinks/externalLink241.xml"/><Relationship Id="rId284" Type="http://schemas.openxmlformats.org/officeDocument/2006/relationships/externalLink" Target="externalLinks/externalLink262.xml"/><Relationship Id="rId319" Type="http://schemas.openxmlformats.org/officeDocument/2006/relationships/externalLink" Target="externalLinks/externalLink297.xml"/><Relationship Id="rId37" Type="http://schemas.openxmlformats.org/officeDocument/2006/relationships/externalLink" Target="externalLinks/externalLink15.xml"/><Relationship Id="rId58" Type="http://schemas.openxmlformats.org/officeDocument/2006/relationships/externalLink" Target="externalLinks/externalLink36.xml"/><Relationship Id="rId79" Type="http://schemas.openxmlformats.org/officeDocument/2006/relationships/externalLink" Target="externalLinks/externalLink57.xml"/><Relationship Id="rId102" Type="http://schemas.openxmlformats.org/officeDocument/2006/relationships/externalLink" Target="externalLinks/externalLink80.xml"/><Relationship Id="rId123" Type="http://schemas.openxmlformats.org/officeDocument/2006/relationships/externalLink" Target="externalLinks/externalLink101.xml"/><Relationship Id="rId144" Type="http://schemas.openxmlformats.org/officeDocument/2006/relationships/externalLink" Target="externalLinks/externalLink122.xml"/><Relationship Id="rId330" Type="http://schemas.openxmlformats.org/officeDocument/2006/relationships/externalLink" Target="externalLinks/externalLink308.xml"/><Relationship Id="rId90" Type="http://schemas.openxmlformats.org/officeDocument/2006/relationships/externalLink" Target="externalLinks/externalLink68.xml"/><Relationship Id="rId165" Type="http://schemas.openxmlformats.org/officeDocument/2006/relationships/externalLink" Target="externalLinks/externalLink143.xml"/><Relationship Id="rId186" Type="http://schemas.openxmlformats.org/officeDocument/2006/relationships/externalLink" Target="externalLinks/externalLink164.xml"/><Relationship Id="rId211" Type="http://schemas.openxmlformats.org/officeDocument/2006/relationships/externalLink" Target="externalLinks/externalLink189.xml"/><Relationship Id="rId232" Type="http://schemas.openxmlformats.org/officeDocument/2006/relationships/externalLink" Target="externalLinks/externalLink210.xml"/><Relationship Id="rId253" Type="http://schemas.openxmlformats.org/officeDocument/2006/relationships/externalLink" Target="externalLinks/externalLink231.xml"/><Relationship Id="rId274" Type="http://schemas.openxmlformats.org/officeDocument/2006/relationships/externalLink" Target="externalLinks/externalLink252.xml"/><Relationship Id="rId295" Type="http://schemas.openxmlformats.org/officeDocument/2006/relationships/externalLink" Target="externalLinks/externalLink273.xml"/><Relationship Id="rId309" Type="http://schemas.openxmlformats.org/officeDocument/2006/relationships/externalLink" Target="externalLinks/externalLink287.xml"/><Relationship Id="rId27" Type="http://schemas.openxmlformats.org/officeDocument/2006/relationships/externalLink" Target="externalLinks/externalLink5.xml"/><Relationship Id="rId48" Type="http://schemas.openxmlformats.org/officeDocument/2006/relationships/externalLink" Target="externalLinks/externalLink26.xml"/><Relationship Id="rId69" Type="http://schemas.openxmlformats.org/officeDocument/2006/relationships/externalLink" Target="externalLinks/externalLink47.xml"/><Relationship Id="rId113" Type="http://schemas.openxmlformats.org/officeDocument/2006/relationships/externalLink" Target="externalLinks/externalLink91.xml"/><Relationship Id="rId134" Type="http://schemas.openxmlformats.org/officeDocument/2006/relationships/externalLink" Target="externalLinks/externalLink112.xml"/><Relationship Id="rId320" Type="http://schemas.openxmlformats.org/officeDocument/2006/relationships/externalLink" Target="externalLinks/externalLink298.xml"/><Relationship Id="rId80" Type="http://schemas.openxmlformats.org/officeDocument/2006/relationships/externalLink" Target="externalLinks/externalLink58.xml"/><Relationship Id="rId155" Type="http://schemas.openxmlformats.org/officeDocument/2006/relationships/externalLink" Target="externalLinks/externalLink133.xml"/><Relationship Id="rId176" Type="http://schemas.openxmlformats.org/officeDocument/2006/relationships/externalLink" Target="externalLinks/externalLink154.xml"/><Relationship Id="rId197" Type="http://schemas.openxmlformats.org/officeDocument/2006/relationships/externalLink" Target="externalLinks/externalLink175.xml"/><Relationship Id="rId201" Type="http://schemas.openxmlformats.org/officeDocument/2006/relationships/externalLink" Target="externalLinks/externalLink179.xml"/><Relationship Id="rId222" Type="http://schemas.openxmlformats.org/officeDocument/2006/relationships/externalLink" Target="externalLinks/externalLink200.xml"/><Relationship Id="rId243" Type="http://schemas.openxmlformats.org/officeDocument/2006/relationships/externalLink" Target="externalLinks/externalLink221.xml"/><Relationship Id="rId264" Type="http://schemas.openxmlformats.org/officeDocument/2006/relationships/externalLink" Target="externalLinks/externalLink242.xml"/><Relationship Id="rId285" Type="http://schemas.openxmlformats.org/officeDocument/2006/relationships/externalLink" Target="externalLinks/externalLink263.xml"/><Relationship Id="rId17" Type="http://schemas.openxmlformats.org/officeDocument/2006/relationships/worksheet" Target="worksheets/sheet17.xml"/><Relationship Id="rId38" Type="http://schemas.openxmlformats.org/officeDocument/2006/relationships/externalLink" Target="externalLinks/externalLink16.xml"/><Relationship Id="rId59" Type="http://schemas.openxmlformats.org/officeDocument/2006/relationships/externalLink" Target="externalLinks/externalLink37.xml"/><Relationship Id="rId103" Type="http://schemas.openxmlformats.org/officeDocument/2006/relationships/externalLink" Target="externalLinks/externalLink81.xml"/><Relationship Id="rId124" Type="http://schemas.openxmlformats.org/officeDocument/2006/relationships/externalLink" Target="externalLinks/externalLink102.xml"/><Relationship Id="rId310" Type="http://schemas.openxmlformats.org/officeDocument/2006/relationships/externalLink" Target="externalLinks/externalLink288.xml"/><Relationship Id="rId70" Type="http://schemas.openxmlformats.org/officeDocument/2006/relationships/externalLink" Target="externalLinks/externalLink48.xml"/><Relationship Id="rId91" Type="http://schemas.openxmlformats.org/officeDocument/2006/relationships/externalLink" Target="externalLinks/externalLink69.xml"/><Relationship Id="rId145" Type="http://schemas.openxmlformats.org/officeDocument/2006/relationships/externalLink" Target="externalLinks/externalLink123.xml"/><Relationship Id="rId166" Type="http://schemas.openxmlformats.org/officeDocument/2006/relationships/externalLink" Target="externalLinks/externalLink144.xml"/><Relationship Id="rId187" Type="http://schemas.openxmlformats.org/officeDocument/2006/relationships/externalLink" Target="externalLinks/externalLink165.xml"/><Relationship Id="rId331" Type="http://schemas.openxmlformats.org/officeDocument/2006/relationships/externalLink" Target="externalLinks/externalLink309.xml"/><Relationship Id="rId1" Type="http://schemas.openxmlformats.org/officeDocument/2006/relationships/worksheet" Target="worksheets/sheet1.xml"/><Relationship Id="rId212" Type="http://schemas.openxmlformats.org/officeDocument/2006/relationships/externalLink" Target="externalLinks/externalLink190.xml"/><Relationship Id="rId233" Type="http://schemas.openxmlformats.org/officeDocument/2006/relationships/externalLink" Target="externalLinks/externalLink211.xml"/><Relationship Id="rId254" Type="http://schemas.openxmlformats.org/officeDocument/2006/relationships/externalLink" Target="externalLinks/externalLink232.xml"/><Relationship Id="rId28" Type="http://schemas.openxmlformats.org/officeDocument/2006/relationships/externalLink" Target="externalLinks/externalLink6.xml"/><Relationship Id="rId49" Type="http://schemas.openxmlformats.org/officeDocument/2006/relationships/externalLink" Target="externalLinks/externalLink27.xml"/><Relationship Id="rId114" Type="http://schemas.openxmlformats.org/officeDocument/2006/relationships/externalLink" Target="externalLinks/externalLink92.xml"/><Relationship Id="rId275" Type="http://schemas.openxmlformats.org/officeDocument/2006/relationships/externalLink" Target="externalLinks/externalLink253.xml"/><Relationship Id="rId296" Type="http://schemas.openxmlformats.org/officeDocument/2006/relationships/externalLink" Target="externalLinks/externalLink274.xml"/><Relationship Id="rId300" Type="http://schemas.openxmlformats.org/officeDocument/2006/relationships/externalLink" Target="externalLinks/externalLink278.xml"/><Relationship Id="rId60" Type="http://schemas.openxmlformats.org/officeDocument/2006/relationships/externalLink" Target="externalLinks/externalLink38.xml"/><Relationship Id="rId81" Type="http://schemas.openxmlformats.org/officeDocument/2006/relationships/externalLink" Target="externalLinks/externalLink59.xml"/><Relationship Id="rId135" Type="http://schemas.openxmlformats.org/officeDocument/2006/relationships/externalLink" Target="externalLinks/externalLink113.xml"/><Relationship Id="rId156" Type="http://schemas.openxmlformats.org/officeDocument/2006/relationships/externalLink" Target="externalLinks/externalLink134.xml"/><Relationship Id="rId177" Type="http://schemas.openxmlformats.org/officeDocument/2006/relationships/externalLink" Target="externalLinks/externalLink155.xml"/><Relationship Id="rId198" Type="http://schemas.openxmlformats.org/officeDocument/2006/relationships/externalLink" Target="externalLinks/externalLink176.xml"/><Relationship Id="rId321" Type="http://schemas.openxmlformats.org/officeDocument/2006/relationships/externalLink" Target="externalLinks/externalLink299.xml"/><Relationship Id="rId202" Type="http://schemas.openxmlformats.org/officeDocument/2006/relationships/externalLink" Target="externalLinks/externalLink180.xml"/><Relationship Id="rId223" Type="http://schemas.openxmlformats.org/officeDocument/2006/relationships/externalLink" Target="externalLinks/externalLink201.xml"/><Relationship Id="rId244" Type="http://schemas.openxmlformats.org/officeDocument/2006/relationships/externalLink" Target="externalLinks/externalLink222.xml"/><Relationship Id="rId18" Type="http://schemas.openxmlformats.org/officeDocument/2006/relationships/worksheet" Target="worksheets/sheet18.xml"/><Relationship Id="rId39" Type="http://schemas.openxmlformats.org/officeDocument/2006/relationships/externalLink" Target="externalLinks/externalLink17.xml"/><Relationship Id="rId265" Type="http://schemas.openxmlformats.org/officeDocument/2006/relationships/externalLink" Target="externalLinks/externalLink243.xml"/><Relationship Id="rId286" Type="http://schemas.openxmlformats.org/officeDocument/2006/relationships/externalLink" Target="externalLinks/externalLink264.xml"/><Relationship Id="rId50" Type="http://schemas.openxmlformats.org/officeDocument/2006/relationships/externalLink" Target="externalLinks/externalLink28.xml"/><Relationship Id="rId104" Type="http://schemas.openxmlformats.org/officeDocument/2006/relationships/externalLink" Target="externalLinks/externalLink82.xml"/><Relationship Id="rId125" Type="http://schemas.openxmlformats.org/officeDocument/2006/relationships/externalLink" Target="externalLinks/externalLink103.xml"/><Relationship Id="rId146" Type="http://schemas.openxmlformats.org/officeDocument/2006/relationships/externalLink" Target="externalLinks/externalLink124.xml"/><Relationship Id="rId167" Type="http://schemas.openxmlformats.org/officeDocument/2006/relationships/externalLink" Target="externalLinks/externalLink145.xml"/><Relationship Id="rId188" Type="http://schemas.openxmlformats.org/officeDocument/2006/relationships/externalLink" Target="externalLinks/externalLink166.xml"/><Relationship Id="rId311" Type="http://schemas.openxmlformats.org/officeDocument/2006/relationships/externalLink" Target="externalLinks/externalLink289.xml"/><Relationship Id="rId332" Type="http://schemas.openxmlformats.org/officeDocument/2006/relationships/externalLink" Target="externalLinks/externalLink310.xml"/><Relationship Id="rId71" Type="http://schemas.openxmlformats.org/officeDocument/2006/relationships/externalLink" Target="externalLinks/externalLink49.xml"/><Relationship Id="rId92" Type="http://schemas.openxmlformats.org/officeDocument/2006/relationships/externalLink" Target="externalLinks/externalLink70.xml"/><Relationship Id="rId213" Type="http://schemas.openxmlformats.org/officeDocument/2006/relationships/externalLink" Target="externalLinks/externalLink191.xml"/><Relationship Id="rId234" Type="http://schemas.openxmlformats.org/officeDocument/2006/relationships/externalLink" Target="externalLinks/externalLink212.xml"/><Relationship Id="rId2" Type="http://schemas.openxmlformats.org/officeDocument/2006/relationships/worksheet" Target="worksheets/sheet2.xml"/><Relationship Id="rId29" Type="http://schemas.openxmlformats.org/officeDocument/2006/relationships/externalLink" Target="externalLinks/externalLink7.xml"/><Relationship Id="rId255" Type="http://schemas.openxmlformats.org/officeDocument/2006/relationships/externalLink" Target="externalLinks/externalLink233.xml"/><Relationship Id="rId276" Type="http://schemas.openxmlformats.org/officeDocument/2006/relationships/externalLink" Target="externalLinks/externalLink254.xml"/><Relationship Id="rId297" Type="http://schemas.openxmlformats.org/officeDocument/2006/relationships/externalLink" Target="externalLinks/externalLink275.xml"/><Relationship Id="rId40" Type="http://schemas.openxmlformats.org/officeDocument/2006/relationships/externalLink" Target="externalLinks/externalLink18.xml"/><Relationship Id="rId115" Type="http://schemas.openxmlformats.org/officeDocument/2006/relationships/externalLink" Target="externalLinks/externalLink93.xml"/><Relationship Id="rId136" Type="http://schemas.openxmlformats.org/officeDocument/2006/relationships/externalLink" Target="externalLinks/externalLink114.xml"/><Relationship Id="rId157" Type="http://schemas.openxmlformats.org/officeDocument/2006/relationships/externalLink" Target="externalLinks/externalLink135.xml"/><Relationship Id="rId178" Type="http://schemas.openxmlformats.org/officeDocument/2006/relationships/externalLink" Target="externalLinks/externalLink156.xml"/><Relationship Id="rId301" Type="http://schemas.openxmlformats.org/officeDocument/2006/relationships/externalLink" Target="externalLinks/externalLink279.xml"/><Relationship Id="rId322" Type="http://schemas.openxmlformats.org/officeDocument/2006/relationships/externalLink" Target="externalLinks/externalLink300.xml"/><Relationship Id="rId61" Type="http://schemas.openxmlformats.org/officeDocument/2006/relationships/externalLink" Target="externalLinks/externalLink39.xml"/><Relationship Id="rId82" Type="http://schemas.openxmlformats.org/officeDocument/2006/relationships/externalLink" Target="externalLinks/externalLink60.xml"/><Relationship Id="rId199" Type="http://schemas.openxmlformats.org/officeDocument/2006/relationships/externalLink" Target="externalLinks/externalLink177.xml"/><Relationship Id="rId203" Type="http://schemas.openxmlformats.org/officeDocument/2006/relationships/externalLink" Target="externalLinks/externalLink181.xml"/><Relationship Id="rId19" Type="http://schemas.openxmlformats.org/officeDocument/2006/relationships/worksheet" Target="worksheets/sheet19.xml"/><Relationship Id="rId224" Type="http://schemas.openxmlformats.org/officeDocument/2006/relationships/externalLink" Target="externalLinks/externalLink202.xml"/><Relationship Id="rId245" Type="http://schemas.openxmlformats.org/officeDocument/2006/relationships/externalLink" Target="externalLinks/externalLink223.xml"/><Relationship Id="rId266" Type="http://schemas.openxmlformats.org/officeDocument/2006/relationships/externalLink" Target="externalLinks/externalLink244.xml"/><Relationship Id="rId287" Type="http://schemas.openxmlformats.org/officeDocument/2006/relationships/externalLink" Target="externalLinks/externalLink265.xml"/><Relationship Id="rId30" Type="http://schemas.openxmlformats.org/officeDocument/2006/relationships/externalLink" Target="externalLinks/externalLink8.xml"/><Relationship Id="rId105" Type="http://schemas.openxmlformats.org/officeDocument/2006/relationships/externalLink" Target="externalLinks/externalLink83.xml"/><Relationship Id="rId126" Type="http://schemas.openxmlformats.org/officeDocument/2006/relationships/externalLink" Target="externalLinks/externalLink104.xml"/><Relationship Id="rId147" Type="http://schemas.openxmlformats.org/officeDocument/2006/relationships/externalLink" Target="externalLinks/externalLink125.xml"/><Relationship Id="rId168" Type="http://schemas.openxmlformats.org/officeDocument/2006/relationships/externalLink" Target="externalLinks/externalLink146.xml"/><Relationship Id="rId312" Type="http://schemas.openxmlformats.org/officeDocument/2006/relationships/externalLink" Target="externalLinks/externalLink290.xml"/><Relationship Id="rId333" Type="http://schemas.openxmlformats.org/officeDocument/2006/relationships/theme" Target="theme/theme1.xml"/><Relationship Id="rId51" Type="http://schemas.openxmlformats.org/officeDocument/2006/relationships/externalLink" Target="externalLinks/externalLink29.xml"/><Relationship Id="rId72" Type="http://schemas.openxmlformats.org/officeDocument/2006/relationships/externalLink" Target="externalLinks/externalLink50.xml"/><Relationship Id="rId93" Type="http://schemas.openxmlformats.org/officeDocument/2006/relationships/externalLink" Target="externalLinks/externalLink71.xml"/><Relationship Id="rId189" Type="http://schemas.openxmlformats.org/officeDocument/2006/relationships/externalLink" Target="externalLinks/externalLink167.xml"/><Relationship Id="rId3" Type="http://schemas.openxmlformats.org/officeDocument/2006/relationships/worksheet" Target="worksheets/sheet3.xml"/><Relationship Id="rId214" Type="http://schemas.openxmlformats.org/officeDocument/2006/relationships/externalLink" Target="externalLinks/externalLink192.xml"/><Relationship Id="rId235" Type="http://schemas.openxmlformats.org/officeDocument/2006/relationships/externalLink" Target="externalLinks/externalLink213.xml"/><Relationship Id="rId256" Type="http://schemas.openxmlformats.org/officeDocument/2006/relationships/externalLink" Target="externalLinks/externalLink234.xml"/><Relationship Id="rId277" Type="http://schemas.openxmlformats.org/officeDocument/2006/relationships/externalLink" Target="externalLinks/externalLink255.xml"/><Relationship Id="rId298" Type="http://schemas.openxmlformats.org/officeDocument/2006/relationships/externalLink" Target="externalLinks/externalLink276.xml"/><Relationship Id="rId116" Type="http://schemas.openxmlformats.org/officeDocument/2006/relationships/externalLink" Target="externalLinks/externalLink94.xml"/><Relationship Id="rId137" Type="http://schemas.openxmlformats.org/officeDocument/2006/relationships/externalLink" Target="externalLinks/externalLink115.xml"/><Relationship Id="rId158" Type="http://schemas.openxmlformats.org/officeDocument/2006/relationships/externalLink" Target="externalLinks/externalLink136.xml"/><Relationship Id="rId302" Type="http://schemas.openxmlformats.org/officeDocument/2006/relationships/externalLink" Target="externalLinks/externalLink280.xml"/><Relationship Id="rId323" Type="http://schemas.openxmlformats.org/officeDocument/2006/relationships/externalLink" Target="externalLinks/externalLink301.xml"/><Relationship Id="rId20" Type="http://schemas.openxmlformats.org/officeDocument/2006/relationships/worksheet" Target="worksheets/sheet20.xml"/><Relationship Id="rId41" Type="http://schemas.openxmlformats.org/officeDocument/2006/relationships/externalLink" Target="externalLinks/externalLink19.xml"/><Relationship Id="rId62" Type="http://schemas.openxmlformats.org/officeDocument/2006/relationships/externalLink" Target="externalLinks/externalLink40.xml"/><Relationship Id="rId83" Type="http://schemas.openxmlformats.org/officeDocument/2006/relationships/externalLink" Target="externalLinks/externalLink61.xml"/><Relationship Id="rId179" Type="http://schemas.openxmlformats.org/officeDocument/2006/relationships/externalLink" Target="externalLinks/externalLink157.xml"/><Relationship Id="rId190" Type="http://schemas.openxmlformats.org/officeDocument/2006/relationships/externalLink" Target="externalLinks/externalLink168.xml"/><Relationship Id="rId204" Type="http://schemas.openxmlformats.org/officeDocument/2006/relationships/externalLink" Target="externalLinks/externalLink182.xml"/><Relationship Id="rId225" Type="http://schemas.openxmlformats.org/officeDocument/2006/relationships/externalLink" Target="externalLinks/externalLink203.xml"/><Relationship Id="rId246" Type="http://schemas.openxmlformats.org/officeDocument/2006/relationships/externalLink" Target="externalLinks/externalLink224.xml"/><Relationship Id="rId267" Type="http://schemas.openxmlformats.org/officeDocument/2006/relationships/externalLink" Target="externalLinks/externalLink245.xml"/><Relationship Id="rId288" Type="http://schemas.openxmlformats.org/officeDocument/2006/relationships/externalLink" Target="externalLinks/externalLink266.xml"/><Relationship Id="rId106" Type="http://schemas.openxmlformats.org/officeDocument/2006/relationships/externalLink" Target="externalLinks/externalLink84.xml"/><Relationship Id="rId127" Type="http://schemas.openxmlformats.org/officeDocument/2006/relationships/externalLink" Target="externalLinks/externalLink105.xml"/><Relationship Id="rId313" Type="http://schemas.openxmlformats.org/officeDocument/2006/relationships/externalLink" Target="externalLinks/externalLink291.xml"/><Relationship Id="rId10" Type="http://schemas.openxmlformats.org/officeDocument/2006/relationships/worksheet" Target="worksheets/sheet10.xml"/><Relationship Id="rId31" Type="http://schemas.openxmlformats.org/officeDocument/2006/relationships/externalLink" Target="externalLinks/externalLink9.xml"/><Relationship Id="rId52" Type="http://schemas.openxmlformats.org/officeDocument/2006/relationships/externalLink" Target="externalLinks/externalLink30.xml"/><Relationship Id="rId73" Type="http://schemas.openxmlformats.org/officeDocument/2006/relationships/externalLink" Target="externalLinks/externalLink51.xml"/><Relationship Id="rId94" Type="http://schemas.openxmlformats.org/officeDocument/2006/relationships/externalLink" Target="externalLinks/externalLink72.xml"/><Relationship Id="rId148" Type="http://schemas.openxmlformats.org/officeDocument/2006/relationships/externalLink" Target="externalLinks/externalLink126.xml"/><Relationship Id="rId169" Type="http://schemas.openxmlformats.org/officeDocument/2006/relationships/externalLink" Target="externalLinks/externalLink147.xml"/><Relationship Id="rId334" Type="http://schemas.openxmlformats.org/officeDocument/2006/relationships/styles" Target="styles.xml"/><Relationship Id="rId4" Type="http://schemas.openxmlformats.org/officeDocument/2006/relationships/worksheet" Target="worksheets/sheet4.xml"/><Relationship Id="rId180" Type="http://schemas.openxmlformats.org/officeDocument/2006/relationships/externalLink" Target="externalLinks/externalLink158.xml"/><Relationship Id="rId215" Type="http://schemas.openxmlformats.org/officeDocument/2006/relationships/externalLink" Target="externalLinks/externalLink193.xml"/><Relationship Id="rId236" Type="http://schemas.openxmlformats.org/officeDocument/2006/relationships/externalLink" Target="externalLinks/externalLink214.xml"/><Relationship Id="rId257" Type="http://schemas.openxmlformats.org/officeDocument/2006/relationships/externalLink" Target="externalLinks/externalLink235.xml"/><Relationship Id="rId278" Type="http://schemas.openxmlformats.org/officeDocument/2006/relationships/externalLink" Target="externalLinks/externalLink256.xml"/><Relationship Id="rId303" Type="http://schemas.openxmlformats.org/officeDocument/2006/relationships/externalLink" Target="externalLinks/externalLink281.xml"/><Relationship Id="rId42" Type="http://schemas.openxmlformats.org/officeDocument/2006/relationships/externalLink" Target="externalLinks/externalLink20.xml"/><Relationship Id="rId84" Type="http://schemas.openxmlformats.org/officeDocument/2006/relationships/externalLink" Target="externalLinks/externalLink62.xml"/><Relationship Id="rId138" Type="http://schemas.openxmlformats.org/officeDocument/2006/relationships/externalLink" Target="externalLinks/externalLink116.xml"/><Relationship Id="rId191" Type="http://schemas.openxmlformats.org/officeDocument/2006/relationships/externalLink" Target="externalLinks/externalLink169.xml"/><Relationship Id="rId205" Type="http://schemas.openxmlformats.org/officeDocument/2006/relationships/externalLink" Target="externalLinks/externalLink183.xml"/><Relationship Id="rId247" Type="http://schemas.openxmlformats.org/officeDocument/2006/relationships/externalLink" Target="externalLinks/externalLink225.xml"/><Relationship Id="rId107" Type="http://schemas.openxmlformats.org/officeDocument/2006/relationships/externalLink" Target="externalLinks/externalLink85.xml"/><Relationship Id="rId289" Type="http://schemas.openxmlformats.org/officeDocument/2006/relationships/externalLink" Target="externalLinks/externalLink267.xml"/><Relationship Id="rId11" Type="http://schemas.openxmlformats.org/officeDocument/2006/relationships/worksheet" Target="worksheets/sheet11.xml"/><Relationship Id="rId53" Type="http://schemas.openxmlformats.org/officeDocument/2006/relationships/externalLink" Target="externalLinks/externalLink31.xml"/><Relationship Id="rId149" Type="http://schemas.openxmlformats.org/officeDocument/2006/relationships/externalLink" Target="externalLinks/externalLink127.xml"/><Relationship Id="rId314" Type="http://schemas.openxmlformats.org/officeDocument/2006/relationships/externalLink" Target="externalLinks/externalLink292.xml"/><Relationship Id="rId95" Type="http://schemas.openxmlformats.org/officeDocument/2006/relationships/externalLink" Target="externalLinks/externalLink73.xml"/><Relationship Id="rId160" Type="http://schemas.openxmlformats.org/officeDocument/2006/relationships/externalLink" Target="externalLinks/externalLink138.xml"/><Relationship Id="rId216" Type="http://schemas.openxmlformats.org/officeDocument/2006/relationships/externalLink" Target="externalLinks/externalLink194.xml"/><Relationship Id="rId258" Type="http://schemas.openxmlformats.org/officeDocument/2006/relationships/externalLink" Target="externalLinks/externalLink236.xml"/><Relationship Id="rId22" Type="http://schemas.openxmlformats.org/officeDocument/2006/relationships/worksheet" Target="worksheets/sheet22.xml"/><Relationship Id="rId64" Type="http://schemas.openxmlformats.org/officeDocument/2006/relationships/externalLink" Target="externalLinks/externalLink42.xml"/><Relationship Id="rId118" Type="http://schemas.openxmlformats.org/officeDocument/2006/relationships/externalLink" Target="externalLinks/externalLink96.xml"/><Relationship Id="rId325" Type="http://schemas.openxmlformats.org/officeDocument/2006/relationships/externalLink" Target="externalLinks/externalLink303.xml"/><Relationship Id="rId171" Type="http://schemas.openxmlformats.org/officeDocument/2006/relationships/externalLink" Target="externalLinks/externalLink149.xml"/><Relationship Id="rId227" Type="http://schemas.openxmlformats.org/officeDocument/2006/relationships/externalLink" Target="externalLinks/externalLink205.xml"/><Relationship Id="rId269" Type="http://schemas.openxmlformats.org/officeDocument/2006/relationships/externalLink" Target="externalLinks/externalLink247.xml"/><Relationship Id="rId33" Type="http://schemas.openxmlformats.org/officeDocument/2006/relationships/externalLink" Target="externalLinks/externalLink11.xml"/><Relationship Id="rId129" Type="http://schemas.openxmlformats.org/officeDocument/2006/relationships/externalLink" Target="externalLinks/externalLink107.xml"/><Relationship Id="rId280" Type="http://schemas.openxmlformats.org/officeDocument/2006/relationships/externalLink" Target="externalLinks/externalLink258.xml"/><Relationship Id="rId336" Type="http://schemas.openxmlformats.org/officeDocument/2006/relationships/calcChain" Target="calcChain.xml"/><Relationship Id="rId75" Type="http://schemas.openxmlformats.org/officeDocument/2006/relationships/externalLink" Target="externalLinks/externalLink53.xml"/><Relationship Id="rId140" Type="http://schemas.openxmlformats.org/officeDocument/2006/relationships/externalLink" Target="externalLinks/externalLink118.xml"/><Relationship Id="rId182" Type="http://schemas.openxmlformats.org/officeDocument/2006/relationships/externalLink" Target="externalLinks/externalLink160.xml"/><Relationship Id="rId6" Type="http://schemas.openxmlformats.org/officeDocument/2006/relationships/worksheet" Target="worksheets/sheet6.xml"/><Relationship Id="rId238" Type="http://schemas.openxmlformats.org/officeDocument/2006/relationships/externalLink" Target="externalLinks/externalLink216.xml"/><Relationship Id="rId291" Type="http://schemas.openxmlformats.org/officeDocument/2006/relationships/externalLink" Target="externalLinks/externalLink269.xml"/><Relationship Id="rId305" Type="http://schemas.openxmlformats.org/officeDocument/2006/relationships/externalLink" Target="externalLinks/externalLink283.xml"/><Relationship Id="rId44" Type="http://schemas.openxmlformats.org/officeDocument/2006/relationships/externalLink" Target="externalLinks/externalLink22.xml"/><Relationship Id="rId86" Type="http://schemas.openxmlformats.org/officeDocument/2006/relationships/externalLink" Target="externalLinks/externalLink64.xml"/><Relationship Id="rId151" Type="http://schemas.openxmlformats.org/officeDocument/2006/relationships/externalLink" Target="externalLinks/externalLink129.xml"/><Relationship Id="rId193" Type="http://schemas.openxmlformats.org/officeDocument/2006/relationships/externalLink" Target="externalLinks/externalLink171.xml"/><Relationship Id="rId207" Type="http://schemas.openxmlformats.org/officeDocument/2006/relationships/externalLink" Target="externalLinks/externalLink185.xml"/><Relationship Id="rId249" Type="http://schemas.openxmlformats.org/officeDocument/2006/relationships/externalLink" Target="externalLinks/externalLink227.xml"/><Relationship Id="rId13" Type="http://schemas.openxmlformats.org/officeDocument/2006/relationships/worksheet" Target="worksheets/sheet13.xml"/><Relationship Id="rId109" Type="http://schemas.openxmlformats.org/officeDocument/2006/relationships/externalLink" Target="externalLinks/externalLink87.xml"/><Relationship Id="rId260" Type="http://schemas.openxmlformats.org/officeDocument/2006/relationships/externalLink" Target="externalLinks/externalLink238.xml"/><Relationship Id="rId316" Type="http://schemas.openxmlformats.org/officeDocument/2006/relationships/externalLink" Target="externalLinks/externalLink294.xml"/><Relationship Id="rId55" Type="http://schemas.openxmlformats.org/officeDocument/2006/relationships/externalLink" Target="externalLinks/externalLink33.xml"/><Relationship Id="rId97" Type="http://schemas.openxmlformats.org/officeDocument/2006/relationships/externalLink" Target="externalLinks/externalLink75.xml"/><Relationship Id="rId120" Type="http://schemas.openxmlformats.org/officeDocument/2006/relationships/externalLink" Target="externalLinks/externalLink98.xml"/><Relationship Id="rId162" Type="http://schemas.openxmlformats.org/officeDocument/2006/relationships/externalLink" Target="externalLinks/externalLink140.xml"/><Relationship Id="rId218" Type="http://schemas.openxmlformats.org/officeDocument/2006/relationships/externalLink" Target="externalLinks/externalLink196.xml"/><Relationship Id="rId271" Type="http://schemas.openxmlformats.org/officeDocument/2006/relationships/externalLink" Target="externalLinks/externalLink249.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'MetaData (21) (2018)'!$A$2</c:f>
              <c:strCache>
                <c:ptCount val="1"/>
                <c:pt idx="0">
                  <c:v> Standard Deviation (σ_W) </c:v>
                </c:pt>
              </c:strCache>
            </c:strRef>
          </c:tx>
          <c:marker>
            <c:symbol val="none"/>
          </c:marker>
          <c:cat>
            <c:strRef>
              <c:f>'MetaData (21) (2018)'!$B$1:$BO$1</c:f>
              <c:strCache>
                <c:ptCount val="66"/>
                <c:pt idx="0">
                  <c:v> Java </c:v>
                </c:pt>
                <c:pt idx="1">
                  <c:v> Pyhton </c:v>
                </c:pt>
                <c:pt idx="2">
                  <c:v> JavaScript </c:v>
                </c:pt>
                <c:pt idx="3">
                  <c:v> SQL </c:v>
                </c:pt>
                <c:pt idx="4">
                  <c:v> Database </c:v>
                </c:pt>
                <c:pt idx="5">
                  <c:v> String </c:v>
                </c:pt>
                <c:pt idx="6">
                  <c:v> C++ </c:v>
                </c:pt>
                <c:pt idx="7">
                  <c:v> ReactJS </c:v>
                </c:pt>
                <c:pt idx="8">
                  <c:v> Cache </c:v>
                </c:pt>
                <c:pt idx="9">
                  <c:v> HTTP </c:v>
                </c:pt>
                <c:pt idx="10">
                  <c:v> For Loop </c:v>
                </c:pt>
                <c:pt idx="11">
                  <c:v> Stack </c:v>
                </c:pt>
                <c:pt idx="12">
                  <c:v> Regular Expression </c:v>
                </c:pt>
                <c:pt idx="13">
                  <c:v> TCP </c:v>
                </c:pt>
                <c:pt idx="14">
                  <c:v> NaN </c:v>
                </c:pt>
                <c:pt idx="15">
                  <c:v> Artificial neural network </c:v>
                </c:pt>
                <c:pt idx="16">
                  <c:v> Deep Learning </c:v>
                </c:pt>
                <c:pt idx="17">
                  <c:v> Heap </c:v>
                </c:pt>
                <c:pt idx="18">
                  <c:v> Hash Table </c:v>
                </c:pt>
                <c:pt idx="19">
                  <c:v> Logistic Regression </c:v>
                </c:pt>
                <c:pt idx="20">
                  <c:v> Design Thinking </c:v>
                </c:pt>
                <c:pt idx="21">
                  <c:v> Garbage collection </c:v>
                </c:pt>
                <c:pt idx="22">
                  <c:v> Null Pointer </c:v>
                </c:pt>
                <c:pt idx="23">
                  <c:v> Finite-state Machine </c:v>
                </c:pt>
                <c:pt idx="24">
                  <c:v> K-means Clustering </c:v>
                </c:pt>
                <c:pt idx="25">
                  <c:v> Semaphore </c:v>
                </c:pt>
                <c:pt idx="26">
                  <c:v> Segmentation Fault </c:v>
                </c:pt>
                <c:pt idx="27">
                  <c:v> Computer Vision </c:v>
                </c:pt>
                <c:pt idx="28">
                  <c:v> Memory Leak </c:v>
                </c:pt>
                <c:pt idx="29">
                  <c:v> Dijkstra's algorithm </c:v>
                </c:pt>
                <c:pt idx="30">
                  <c:v> MapReduce </c:v>
                </c:pt>
                <c:pt idx="31">
                  <c:v> Integer Overflow </c:v>
                </c:pt>
                <c:pt idx="32">
                  <c:v> Type System </c:v>
                </c:pt>
                <c:pt idx="33">
                  <c:v> Gradient Descent </c:v>
                </c:pt>
                <c:pt idx="34">
                  <c:v> Image Segmentation </c:v>
                </c:pt>
                <c:pt idx="35">
                  <c:v> Interaction design </c:v>
                </c:pt>
                <c:pt idx="36">
                  <c:v> Instruction Pipelining </c:v>
                </c:pt>
                <c:pt idx="37">
                  <c:v> B-Tree </c:v>
                </c:pt>
                <c:pt idx="38">
                  <c:v> Mutual Exclusion </c:v>
                </c:pt>
                <c:pt idx="39">
                  <c:v> Edge Detection </c:v>
                </c:pt>
                <c:pt idx="40">
                  <c:v> ImageNet </c:v>
                </c:pt>
                <c:pt idx="41">
                  <c:v> Interrupt Handler </c:v>
                </c:pt>
                <c:pt idx="42">
                  <c:v> Markov chain Monte Carlo </c:v>
                </c:pt>
                <c:pt idx="43">
                  <c:v> P vs NP problem </c:v>
                </c:pt>
                <c:pt idx="44">
                  <c:v> Query optimization </c:v>
                </c:pt>
                <c:pt idx="45">
                  <c:v> Lambda Calculus </c:v>
                </c:pt>
                <c:pt idx="46">
                  <c:v> TCP congestion control </c:v>
                </c:pt>
                <c:pt idx="47">
                  <c:v> Two-phase locking </c:v>
                </c:pt>
                <c:pt idx="48">
                  <c:v> Concurrency control </c:v>
                </c:pt>
                <c:pt idx="49">
                  <c:v> Halting Problem </c:v>
                </c:pt>
                <c:pt idx="50">
                  <c:v> Heuristic evaluation </c:v>
                </c:pt>
                <c:pt idx="51">
                  <c:v> Spectral clustering </c:v>
                </c:pt>
                <c:pt idx="52">
                  <c:v> Register File </c:v>
                </c:pt>
                <c:pt idx="53">
                  <c:v> Chernoff bound </c:v>
                </c:pt>
                <c:pt idx="54">
                  <c:v> Church-Turing Thesis </c:v>
                </c:pt>
                <c:pt idx="55">
                  <c:v> System F </c:v>
                </c:pt>
                <c:pt idx="56">
                  <c:v> Matrix completion </c:v>
                </c:pt>
                <c:pt idx="57">
                  <c:v> Spectral graph theory </c:v>
                </c:pt>
                <c:pt idx="58">
                  <c:v> Cook–Levin theorem </c:v>
                </c:pt>
                <c:pt idx="59">
                  <c:v> Extendible hashing </c:v>
                </c:pt>
                <c:pt idx="60">
                  <c:v> Post correspondence problem </c:v>
                </c:pt>
                <c:pt idx="61">
                  <c:v> Polynomial-time Reduction </c:v>
                </c:pt>
                <c:pt idx="62">
                  <c:v> Linear hashing </c:v>
                </c:pt>
                <c:pt idx="63">
                  <c:v> Count–min sketch </c:v>
                </c:pt>
                <c:pt idx="64">
                  <c:v> Polynomial hierarchy </c:v>
                </c:pt>
                <c:pt idx="65">
                  <c:v> Lovász local lemma </c:v>
                </c:pt>
              </c:strCache>
            </c:strRef>
          </c:cat>
          <c:val>
            <c:numRef>
              <c:f>'MetaData (21) (2018)'!$B$2:$BO$2</c:f>
              <c:numCache>
                <c:formatCode>_-* #,##0.000000\ _T_L_-;\-* #,##0.000000\ _T_L_-;_-* "-"??\ _T_L_-;_-@_-</c:formatCode>
                <c:ptCount val="66"/>
                <c:pt idx="0">
                  <c:v>4510.0896987653241</c:v>
                </c:pt>
                <c:pt idx="1">
                  <c:v>3923.7443721263412</c:v>
                </c:pt>
                <c:pt idx="2">
                  <c:v>2718.7645753087368</c:v>
                </c:pt>
                <c:pt idx="3">
                  <c:v>2469.0998905148695</c:v>
                </c:pt>
                <c:pt idx="4">
                  <c:v>1434.4735219279539</c:v>
                </c:pt>
                <c:pt idx="5">
                  <c:v>1993.784397118751</c:v>
                </c:pt>
                <c:pt idx="6">
                  <c:v>1135.1533083514978</c:v>
                </c:pt>
                <c:pt idx="7">
                  <c:v>890.55165582770451</c:v>
                </c:pt>
                <c:pt idx="8">
                  <c:v>560.31315858967014</c:v>
                </c:pt>
                <c:pt idx="9">
                  <c:v>532.27023775813586</c:v>
                </c:pt>
                <c:pt idx="10">
                  <c:v>411.51709795413188</c:v>
                </c:pt>
                <c:pt idx="11">
                  <c:v>403.77259069351311</c:v>
                </c:pt>
                <c:pt idx="12">
                  <c:v>415.93908530906464</c:v>
                </c:pt>
                <c:pt idx="13">
                  <c:v>188.0626356993609</c:v>
                </c:pt>
                <c:pt idx="14">
                  <c:v>162.22869696873528</c:v>
                </c:pt>
                <c:pt idx="15">
                  <c:v>187.48203408899548</c:v>
                </c:pt>
                <c:pt idx="16">
                  <c:v>240.58451749350169</c:v>
                </c:pt>
                <c:pt idx="17">
                  <c:v>131.43454182353361</c:v>
                </c:pt>
                <c:pt idx="18">
                  <c:v>80.812219500334692</c:v>
                </c:pt>
                <c:pt idx="19">
                  <c:v>56.954858223455901</c:v>
                </c:pt>
                <c:pt idx="20">
                  <c:v>69.872455291148142</c:v>
                </c:pt>
                <c:pt idx="21">
                  <c:v>38.624508103524263</c:v>
                </c:pt>
                <c:pt idx="22">
                  <c:v>49.698408800084891</c:v>
                </c:pt>
                <c:pt idx="23">
                  <c:v>45.789085271870974</c:v>
                </c:pt>
                <c:pt idx="24">
                  <c:v>27.303593444979413</c:v>
                </c:pt>
                <c:pt idx="25">
                  <c:v>41.082314503437296</c:v>
                </c:pt>
                <c:pt idx="26">
                  <c:v>6.6056698626908483</c:v>
                </c:pt>
                <c:pt idx="27">
                  <c:v>9.6273390732961026</c:v>
                </c:pt>
                <c:pt idx="28">
                  <c:v>8.2651443746735112</c:v>
                </c:pt>
                <c:pt idx="29">
                  <c:v>7.9280053724301025</c:v>
                </c:pt>
                <c:pt idx="30">
                  <c:v>7.5012339473477665</c:v>
                </c:pt>
                <c:pt idx="31">
                  <c:v>7.6707419540886885</c:v>
                </c:pt>
                <c:pt idx="32">
                  <c:v>8.088996608664532</c:v>
                </c:pt>
                <c:pt idx="33">
                  <c:v>4.0223527870451488</c:v>
                </c:pt>
                <c:pt idx="34">
                  <c:v>5.9087394188888425</c:v>
                </c:pt>
                <c:pt idx="35">
                  <c:v>7.1844007351472996</c:v>
                </c:pt>
                <c:pt idx="36">
                  <c:v>18.60373568215466</c:v>
                </c:pt>
                <c:pt idx="37">
                  <c:v>5.4272072889352216</c:v>
                </c:pt>
                <c:pt idx="38">
                  <c:v>6.0492766684882815</c:v>
                </c:pt>
                <c:pt idx="39">
                  <c:v>4.4674623630022756</c:v>
                </c:pt>
                <c:pt idx="40">
                  <c:v>6.5100082343979597</c:v>
                </c:pt>
                <c:pt idx="41">
                  <c:v>3.686150238685745</c:v>
                </c:pt>
                <c:pt idx="42">
                  <c:v>3.9225015120805922</c:v>
                </c:pt>
                <c:pt idx="43">
                  <c:v>3.9545889998736614</c:v>
                </c:pt>
                <c:pt idx="44">
                  <c:v>2.0822057124574878</c:v>
                </c:pt>
                <c:pt idx="45">
                  <c:v>1.9538045899433674</c:v>
                </c:pt>
                <c:pt idx="46">
                  <c:v>2.1833848732639352</c:v>
                </c:pt>
                <c:pt idx="47">
                  <c:v>3.7016473981228799</c:v>
                </c:pt>
                <c:pt idx="48">
                  <c:v>3.7756205099482867</c:v>
                </c:pt>
                <c:pt idx="49">
                  <c:v>1.0262855671175186</c:v>
                </c:pt>
                <c:pt idx="50">
                  <c:v>2.1146278706444819</c:v>
                </c:pt>
                <c:pt idx="51">
                  <c:v>0.2793459775018956</c:v>
                </c:pt>
                <c:pt idx="52">
                  <c:v>0.77140517839969958</c:v>
                </c:pt>
                <c:pt idx="53">
                  <c:v>0.51895436720386623</c:v>
                </c:pt>
                <c:pt idx="54">
                  <c:v>0.52013500002706514</c:v>
                </c:pt>
                <c:pt idx="55">
                  <c:v>0.23254324707788551</c:v>
                </c:pt>
                <c:pt idx="56">
                  <c:v>4.7190166233119481E-2</c:v>
                </c:pt>
                <c:pt idx="57">
                  <c:v>4.2615979320582441E-2</c:v>
                </c:pt>
                <c:pt idx="58">
                  <c:v>0.23917666710139085</c:v>
                </c:pt>
                <c:pt idx="59">
                  <c:v>0.13253959560046738</c:v>
                </c:pt>
                <c:pt idx="60">
                  <c:v>9.5798196917550094E-2</c:v>
                </c:pt>
                <c:pt idx="61">
                  <c:v>6.2049370427997026E-2</c:v>
                </c:pt>
                <c:pt idx="62">
                  <c:v>0.17656078370947278</c:v>
                </c:pt>
                <c:pt idx="63">
                  <c:v>1.5535596818801524E-2</c:v>
                </c:pt>
                <c:pt idx="64">
                  <c:v>1.4047695255943763E-2</c:v>
                </c:pt>
                <c:pt idx="65">
                  <c:v>2.1636087766101486E-3</c:v>
                </c:pt>
              </c:numCache>
            </c:numRef>
          </c:val>
          <c:smooth val="0"/>
          <c:extLst>
            <c:ext xmlns:c16="http://schemas.microsoft.com/office/drawing/2014/chart" uri="{C3380CC4-5D6E-409C-BE32-E72D297353CC}">
              <c16:uniqueId val="{00000000-7C9E-8946-8DF5-3FC03577A8A8}"/>
            </c:ext>
          </c:extLst>
        </c:ser>
        <c:dLbls>
          <c:showLegendKey val="0"/>
          <c:showVal val="0"/>
          <c:showCatName val="0"/>
          <c:showSerName val="0"/>
          <c:showPercent val="0"/>
          <c:showBubbleSize val="0"/>
        </c:dLbls>
        <c:smooth val="0"/>
        <c:axId val="95657984"/>
        <c:axId val="95659904"/>
      </c:lineChart>
      <c:catAx>
        <c:axId val="95657984"/>
        <c:scaling>
          <c:orientation val="minMax"/>
        </c:scaling>
        <c:delete val="0"/>
        <c:axPos val="b"/>
        <c:title>
          <c:tx>
            <c:rich>
              <a:bodyPr/>
              <a:lstStyle/>
              <a:p>
                <a:pPr>
                  <a:defRPr/>
                </a:pPr>
                <a:r>
                  <a:rPr lang="tr-TR"/>
                  <a:t>Keywords</a:t>
                </a:r>
                <a:r>
                  <a:rPr lang="tr-TR" baseline="0"/>
                  <a:t> / Concepts that are nominated by faculty</a:t>
                </a:r>
                <a:endParaRPr lang="en-US"/>
              </a:p>
            </c:rich>
          </c:tx>
          <c:overlay val="0"/>
        </c:title>
        <c:numFmt formatCode="General" sourceLinked="0"/>
        <c:majorTickMark val="out"/>
        <c:minorTickMark val="none"/>
        <c:tickLblPos val="nextTo"/>
        <c:crossAx val="95659904"/>
        <c:crosses val="autoZero"/>
        <c:auto val="1"/>
        <c:lblAlgn val="ctr"/>
        <c:lblOffset val="100"/>
        <c:noMultiLvlLbl val="0"/>
      </c:catAx>
      <c:valAx>
        <c:axId val="95659904"/>
        <c:scaling>
          <c:logBase val="10"/>
          <c:orientation val="minMax"/>
        </c:scaling>
        <c:delete val="0"/>
        <c:axPos val="l"/>
        <c:majorGridlines>
          <c:spPr>
            <a:ln>
              <a:solidFill>
                <a:schemeClr val="accent1">
                  <a:alpha val="20000"/>
                </a:schemeClr>
              </a:solidFill>
            </a:ln>
          </c:spPr>
        </c:majorGridlines>
        <c:title>
          <c:tx>
            <c:rich>
              <a:bodyPr rot="-5400000" vert="horz"/>
              <a:lstStyle/>
              <a:p>
                <a:pPr>
                  <a:defRPr/>
                </a:pPr>
                <a:r>
                  <a:rPr lang="en-US"/>
                  <a:t>Standard Deviation (</a:t>
                </a:r>
                <a:r>
                  <a:rPr lang="el-GR"/>
                  <a:t>σ_</a:t>
                </a:r>
                <a:r>
                  <a:rPr lang="en-US"/>
                  <a:t>W) for Keyword Search</a:t>
                </a:r>
              </a:p>
            </c:rich>
          </c:tx>
          <c:overlay val="0"/>
        </c:title>
        <c:numFmt formatCode="#,##0.000" sourceLinked="0"/>
        <c:majorTickMark val="out"/>
        <c:minorTickMark val="out"/>
        <c:tickLblPos val="nextTo"/>
        <c:crossAx val="95657984"/>
        <c:crosses val="autoZero"/>
        <c:crossBetween val="between"/>
      </c:valAx>
    </c:plotArea>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CSLI-s Scores in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CSLI_Visual!$A$38</c:f>
              <c:strCache>
                <c:ptCount val="1"/>
                <c:pt idx="0">
                  <c:v> Japan </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CSLI_Visual!$B$38:$F$38</c:f>
            </c:numRef>
          </c:val>
          <c:smooth val="0"/>
          <c:extLst>
            <c:ext xmlns:c15="http://schemas.microsoft.com/office/drawing/2012/chart" uri="{02D57815-91ED-43cb-92C2-25804820EDAC}">
              <c15:filteredCategoryTitle>
                <c15:cat>
                  <c:multiLvlStrRef>
                    <c:extLst>
                      <c:ext uri="{02D57815-91ED-43cb-92C2-25804820EDAC}">
                        <c15:formulaRef>
                          <c15:sqref>CSLI_Visual!#REF!</c15:sqref>
                        </c15:formulaRef>
                      </c:ext>
                    </c:extLst>
                  </c:multiLvlStrRef>
                </c15:cat>
              </c15:filteredCategoryTitle>
            </c:ext>
            <c:ext xmlns:c16="http://schemas.microsoft.com/office/drawing/2014/chart" uri="{C3380CC4-5D6E-409C-BE32-E72D297353CC}">
              <c16:uniqueId val="{00000001-3B83-8041-8797-833180B1B3B5}"/>
            </c:ext>
          </c:extLst>
        </c:ser>
        <c:ser>
          <c:idx val="2"/>
          <c:order val="1"/>
          <c:tx>
            <c:strRef>
              <c:f>CSLI_Visual!$A$39</c:f>
              <c:strCache>
                <c:ptCount val="1"/>
                <c:pt idx="0">
                  <c:v> Kenya </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CSLI_Visual!$B$39:$F$39</c:f>
            </c:numRef>
          </c:val>
          <c:smooth val="0"/>
          <c:extLst>
            <c:ext xmlns:c15="http://schemas.microsoft.com/office/drawing/2012/chart" uri="{02D57815-91ED-43cb-92C2-25804820EDAC}">
              <c15:filteredCategoryTitle>
                <c15:cat>
                  <c:multiLvlStrRef>
                    <c:extLst>
                      <c:ext uri="{02D57815-91ED-43cb-92C2-25804820EDAC}">
                        <c15:formulaRef>
                          <c15:sqref>CSLI_Visual!#REF!</c15:sqref>
                        </c15:formulaRef>
                      </c:ext>
                    </c:extLst>
                  </c:multiLvlStrRef>
                </c15:cat>
              </c15:filteredCategoryTitle>
            </c:ext>
            <c:ext xmlns:c16="http://schemas.microsoft.com/office/drawing/2014/chart" uri="{C3380CC4-5D6E-409C-BE32-E72D297353CC}">
              <c16:uniqueId val="{00000002-3B83-8041-8797-833180B1B3B5}"/>
            </c:ext>
          </c:extLst>
        </c:ser>
        <c:ser>
          <c:idx val="3"/>
          <c:order val="2"/>
          <c:tx>
            <c:strRef>
              <c:f>CSLI_Visual!$A$40</c:f>
              <c:strCache>
                <c:ptCount val="1"/>
                <c:pt idx="0">
                  <c:v> Singapore </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CSLI_Visual!$B$40:$F$40</c:f>
            </c:numRef>
          </c:val>
          <c:smooth val="0"/>
          <c:extLst>
            <c:ext xmlns:c15="http://schemas.microsoft.com/office/drawing/2012/chart" uri="{02D57815-91ED-43cb-92C2-25804820EDAC}">
              <c15:filteredCategoryTitle>
                <c15:cat>
                  <c:multiLvlStrRef>
                    <c:extLst>
                      <c:ext uri="{02D57815-91ED-43cb-92C2-25804820EDAC}">
                        <c15:formulaRef>
                          <c15:sqref>CSLI_Visual!#REF!</c15:sqref>
                        </c15:formulaRef>
                      </c:ext>
                    </c:extLst>
                  </c:multiLvlStrRef>
                </c15:cat>
              </c15:filteredCategoryTitle>
            </c:ext>
            <c:ext xmlns:c16="http://schemas.microsoft.com/office/drawing/2014/chart" uri="{C3380CC4-5D6E-409C-BE32-E72D297353CC}">
              <c16:uniqueId val="{00000003-3B83-8041-8797-833180B1B3B5}"/>
            </c:ext>
          </c:extLst>
        </c:ser>
        <c:ser>
          <c:idx val="4"/>
          <c:order val="3"/>
          <c:tx>
            <c:strRef>
              <c:f>CSLI_Visual!$A$41</c:f>
              <c:strCache>
                <c:ptCount val="1"/>
                <c:pt idx="0">
                  <c:v> Romania </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val>
            <c:numRef>
              <c:f>CSLI_Visual!$B$41:$F$41</c:f>
            </c:numRef>
          </c:val>
          <c:smooth val="0"/>
          <c:extLst>
            <c:ext xmlns:c15="http://schemas.microsoft.com/office/drawing/2012/chart" uri="{02D57815-91ED-43cb-92C2-25804820EDAC}">
              <c15:filteredCategoryTitle>
                <c15:cat>
                  <c:multiLvlStrRef>
                    <c:extLst>
                      <c:ext uri="{02D57815-91ED-43cb-92C2-25804820EDAC}">
                        <c15:formulaRef>
                          <c15:sqref>CSLI_Visual!#REF!</c15:sqref>
                        </c15:formulaRef>
                      </c:ext>
                    </c:extLst>
                  </c:multiLvlStrRef>
                </c15:cat>
              </c15:filteredCategoryTitle>
            </c:ext>
            <c:ext xmlns:c16="http://schemas.microsoft.com/office/drawing/2014/chart" uri="{C3380CC4-5D6E-409C-BE32-E72D297353CC}">
              <c16:uniqueId val="{00000004-3B83-8041-8797-833180B1B3B5}"/>
            </c:ext>
          </c:extLst>
        </c:ser>
        <c:ser>
          <c:idx val="5"/>
          <c:order val="4"/>
          <c:tx>
            <c:strRef>
              <c:f>CSLI_Visual!$A$42</c:f>
              <c:strCache>
                <c:ptCount val="1"/>
                <c:pt idx="0">
                  <c:v> Saudi Arabia </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CSLI_Visual!$B$42:$F$42</c:f>
            </c:numRef>
          </c:val>
          <c:smooth val="0"/>
          <c:extLst>
            <c:ext xmlns:c15="http://schemas.microsoft.com/office/drawing/2012/chart" uri="{02D57815-91ED-43cb-92C2-25804820EDAC}">
              <c15:filteredCategoryTitle>
                <c15:cat>
                  <c:multiLvlStrRef>
                    <c:extLst>
                      <c:ext uri="{02D57815-91ED-43cb-92C2-25804820EDAC}">
                        <c15:formulaRef>
                          <c15:sqref>CSLI_Visual!#REF!</c15:sqref>
                        </c15:formulaRef>
                      </c:ext>
                    </c:extLst>
                  </c:multiLvlStrRef>
                </c15:cat>
              </c15:filteredCategoryTitle>
            </c:ext>
            <c:ext xmlns:c16="http://schemas.microsoft.com/office/drawing/2014/chart" uri="{C3380CC4-5D6E-409C-BE32-E72D297353CC}">
              <c16:uniqueId val="{00000005-3B83-8041-8797-833180B1B3B5}"/>
            </c:ext>
          </c:extLst>
        </c:ser>
        <c:ser>
          <c:idx val="6"/>
          <c:order val="5"/>
          <c:tx>
            <c:strRef>
              <c:f>CSLI_Visual!$A$43</c:f>
              <c:strCache>
                <c:ptCount val="1"/>
                <c:pt idx="0">
                  <c:v> Serbia </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val>
            <c:numRef>
              <c:f>CSLI_Visual!$B$43:$F$43</c:f>
            </c:numRef>
          </c:val>
          <c:smooth val="0"/>
          <c:extLst>
            <c:ext xmlns:c15="http://schemas.microsoft.com/office/drawing/2012/chart" uri="{02D57815-91ED-43cb-92C2-25804820EDAC}">
              <c15:filteredCategoryTitle>
                <c15:cat>
                  <c:multiLvlStrRef>
                    <c:extLst>
                      <c:ext uri="{02D57815-91ED-43cb-92C2-25804820EDAC}">
                        <c15:formulaRef>
                          <c15:sqref>CSLI_Visual!#REF!</c15:sqref>
                        </c15:formulaRef>
                      </c:ext>
                    </c:extLst>
                  </c:multiLvlStrRef>
                </c15:cat>
              </c15:filteredCategoryTitle>
            </c:ext>
            <c:ext xmlns:c16="http://schemas.microsoft.com/office/drawing/2014/chart" uri="{C3380CC4-5D6E-409C-BE32-E72D297353CC}">
              <c16:uniqueId val="{00000006-3B83-8041-8797-833180B1B3B5}"/>
            </c:ext>
          </c:extLst>
        </c:ser>
        <c:ser>
          <c:idx val="7"/>
          <c:order val="6"/>
          <c:tx>
            <c:strRef>
              <c:f>CSLI_Visual!$A$44</c:f>
              <c:strCache>
                <c:ptCount val="1"/>
                <c:pt idx="0">
                  <c:v> Canada </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val>
            <c:numRef>
              <c:f>CSLI_Visual!$B$44:$F$44</c:f>
            </c:numRef>
          </c:val>
          <c:smooth val="0"/>
          <c:extLst>
            <c:ext xmlns:c15="http://schemas.microsoft.com/office/drawing/2012/chart" uri="{02D57815-91ED-43cb-92C2-25804820EDAC}">
              <c15:filteredCategoryTitle>
                <c15:cat>
                  <c:multiLvlStrRef>
                    <c:extLst>
                      <c:ext uri="{02D57815-91ED-43cb-92C2-25804820EDAC}">
                        <c15:formulaRef>
                          <c15:sqref>CSLI_Visual!#REF!</c15:sqref>
                        </c15:formulaRef>
                      </c:ext>
                    </c:extLst>
                  </c:multiLvlStrRef>
                </c15:cat>
              </c15:filteredCategoryTitle>
            </c:ext>
            <c:ext xmlns:c16="http://schemas.microsoft.com/office/drawing/2014/chart" uri="{C3380CC4-5D6E-409C-BE32-E72D297353CC}">
              <c16:uniqueId val="{00000007-3B83-8041-8797-833180B1B3B5}"/>
            </c:ext>
          </c:extLst>
        </c:ser>
        <c:ser>
          <c:idx val="8"/>
          <c:order val="7"/>
          <c:tx>
            <c:strRef>
              <c:f>CSLI_Visual!$A$45</c:f>
              <c:strCache>
                <c:ptCount val="1"/>
                <c:pt idx="0">
                  <c:v> Turkey </c:v>
                </c:pt>
              </c:strCache>
            </c:strRef>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val>
            <c:numRef>
              <c:f>CSLI_Visual!$B$45:$F$45</c:f>
              <c:numCache>
                <c:formatCode>0.00</c:formatCode>
                <c:ptCount val="5"/>
                <c:pt idx="0">
                  <c:v>0.21259367305676546</c:v>
                </c:pt>
                <c:pt idx="1">
                  <c:v>0.24902756041191751</c:v>
                </c:pt>
                <c:pt idx="2">
                  <c:v>0.40060132331152509</c:v>
                </c:pt>
                <c:pt idx="3">
                  <c:v>0.36510479957710135</c:v>
                </c:pt>
                <c:pt idx="4">
                  <c:v>0.48527252781194113</c:v>
                </c:pt>
              </c:numCache>
            </c:numRef>
          </c:val>
          <c:smooth val="0"/>
          <c:extLst>
            <c:ext xmlns:c15="http://schemas.microsoft.com/office/drawing/2012/chart" uri="{02D57815-91ED-43cb-92C2-25804820EDAC}">
              <c15:filteredCategoryTitle>
                <c15:cat>
                  <c:multiLvlStrRef>
                    <c:extLst>
                      <c:ext uri="{02D57815-91ED-43cb-92C2-25804820EDAC}">
                        <c15:formulaRef>
                          <c15:sqref>CSLI_Visual!#REF!</c15:sqref>
                        </c15:formulaRef>
                      </c:ext>
                    </c:extLst>
                  </c:multiLvlStrRef>
                </c15:cat>
              </c15:filteredCategoryTitle>
            </c:ext>
            <c:ext xmlns:c16="http://schemas.microsoft.com/office/drawing/2014/chart" uri="{C3380CC4-5D6E-409C-BE32-E72D297353CC}">
              <c16:uniqueId val="{00000008-3B83-8041-8797-833180B1B3B5}"/>
            </c:ext>
          </c:extLst>
        </c:ser>
        <c:ser>
          <c:idx val="9"/>
          <c:order val="8"/>
          <c:tx>
            <c:strRef>
              <c:f>CSLI_Visual!$A$46</c:f>
              <c:strCache>
                <c:ptCount val="1"/>
                <c:pt idx="0">
                  <c:v> United Kingdom </c:v>
                </c:pt>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CSLI_Visual!$B$46:$F$46</c:f>
            </c:numRef>
          </c:val>
          <c:smooth val="0"/>
          <c:extLst>
            <c:ext xmlns:c15="http://schemas.microsoft.com/office/drawing/2012/chart" uri="{02D57815-91ED-43cb-92C2-25804820EDAC}">
              <c15:filteredCategoryTitle>
                <c15:cat>
                  <c:multiLvlStrRef>
                    <c:extLst>
                      <c:ext uri="{02D57815-91ED-43cb-92C2-25804820EDAC}">
                        <c15:formulaRef>
                          <c15:sqref>CSLI_Visual!#REF!</c15:sqref>
                        </c15:formulaRef>
                      </c:ext>
                    </c:extLst>
                  </c:multiLvlStrRef>
                </c15:cat>
              </c15:filteredCategoryTitle>
            </c:ext>
            <c:ext xmlns:c16="http://schemas.microsoft.com/office/drawing/2014/chart" uri="{C3380CC4-5D6E-409C-BE32-E72D297353CC}">
              <c16:uniqueId val="{00000009-3B83-8041-8797-833180B1B3B5}"/>
            </c:ext>
          </c:extLst>
        </c:ser>
        <c:ser>
          <c:idx val="10"/>
          <c:order val="9"/>
          <c:tx>
            <c:strRef>
              <c:f>CSLI_Visual!$A$47</c:f>
              <c:strCache>
                <c:ptCount val="1"/>
                <c:pt idx="0">
                  <c:v> Denmark </c:v>
                </c:pt>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CSLI_Visual!$B$47:$F$47</c:f>
            </c:numRef>
          </c:val>
          <c:smooth val="0"/>
          <c:extLst>
            <c:ext xmlns:c15="http://schemas.microsoft.com/office/drawing/2012/chart" uri="{02D57815-91ED-43cb-92C2-25804820EDAC}">
              <c15:filteredCategoryTitle>
                <c15:cat>
                  <c:multiLvlStrRef>
                    <c:extLst>
                      <c:ext uri="{02D57815-91ED-43cb-92C2-25804820EDAC}">
                        <c15:formulaRef>
                          <c15:sqref>CSLI_Visual!#REF!</c15:sqref>
                        </c15:formulaRef>
                      </c:ext>
                    </c:extLst>
                  </c:multiLvlStrRef>
                </c15:cat>
              </c15:filteredCategoryTitle>
            </c:ext>
            <c:ext xmlns:c16="http://schemas.microsoft.com/office/drawing/2014/chart" uri="{C3380CC4-5D6E-409C-BE32-E72D297353CC}">
              <c16:uniqueId val="{0000000A-3B83-8041-8797-833180B1B3B5}"/>
            </c:ext>
          </c:extLst>
        </c:ser>
        <c:ser>
          <c:idx val="11"/>
          <c:order val="10"/>
          <c:tx>
            <c:strRef>
              <c:f>CSLI_Visual!$A$48</c:f>
              <c:strCache>
                <c:ptCount val="1"/>
                <c:pt idx="0">
                  <c:v> Bulgaria </c:v>
                </c:pt>
              </c:strCache>
            </c:strRef>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val>
            <c:numRef>
              <c:f>CSLI_Visual!$B$48:$F$48</c:f>
            </c:numRef>
          </c:val>
          <c:smooth val="0"/>
          <c:extLst>
            <c:ext xmlns:c15="http://schemas.microsoft.com/office/drawing/2012/chart" uri="{02D57815-91ED-43cb-92C2-25804820EDAC}">
              <c15:filteredCategoryTitle>
                <c15:cat>
                  <c:multiLvlStrRef>
                    <c:extLst>
                      <c:ext uri="{02D57815-91ED-43cb-92C2-25804820EDAC}">
                        <c15:formulaRef>
                          <c15:sqref>CSLI_Visual!#REF!</c15:sqref>
                        </c15:formulaRef>
                      </c:ext>
                    </c:extLst>
                  </c:multiLvlStrRef>
                </c15:cat>
              </c15:filteredCategoryTitle>
            </c:ext>
            <c:ext xmlns:c16="http://schemas.microsoft.com/office/drawing/2014/chart" uri="{C3380CC4-5D6E-409C-BE32-E72D297353CC}">
              <c16:uniqueId val="{0000000B-3B83-8041-8797-833180B1B3B5}"/>
            </c:ext>
          </c:extLst>
        </c:ser>
        <c:ser>
          <c:idx val="12"/>
          <c:order val="11"/>
          <c:tx>
            <c:strRef>
              <c:f>CSLI_Visual!$A$49</c:f>
              <c:strCache>
                <c:ptCount val="1"/>
                <c:pt idx="0">
                  <c:v> Malaysia </c:v>
                </c:pt>
              </c:strCache>
            </c:strRef>
          </c:tx>
          <c:spPr>
            <a:ln w="28575" cap="rnd">
              <a:solidFill>
                <a:schemeClr val="accent1">
                  <a:lumMod val="80000"/>
                  <a:lumOff val="20000"/>
                </a:schemeClr>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val>
            <c:numRef>
              <c:f>CSLI_Visual!$B$49:$F$49</c:f>
            </c:numRef>
          </c:val>
          <c:smooth val="0"/>
          <c:extLst>
            <c:ext xmlns:c15="http://schemas.microsoft.com/office/drawing/2012/chart" uri="{02D57815-91ED-43cb-92C2-25804820EDAC}">
              <c15:filteredCategoryTitle>
                <c15:cat>
                  <c:multiLvlStrRef>
                    <c:extLst>
                      <c:ext uri="{02D57815-91ED-43cb-92C2-25804820EDAC}">
                        <c15:formulaRef>
                          <c15:sqref>CSLI_Visual!#REF!</c15:sqref>
                        </c15:formulaRef>
                      </c:ext>
                    </c:extLst>
                  </c:multiLvlStrRef>
                </c15:cat>
              </c15:filteredCategoryTitle>
            </c:ext>
            <c:ext xmlns:c16="http://schemas.microsoft.com/office/drawing/2014/chart" uri="{C3380CC4-5D6E-409C-BE32-E72D297353CC}">
              <c16:uniqueId val="{0000000C-3B83-8041-8797-833180B1B3B5}"/>
            </c:ext>
          </c:extLst>
        </c:ser>
        <c:ser>
          <c:idx val="13"/>
          <c:order val="12"/>
          <c:tx>
            <c:strRef>
              <c:f>CSLI_Visual!$A$50</c:f>
              <c:strCache>
                <c:ptCount val="1"/>
                <c:pt idx="0">
                  <c:v> Ukraine </c:v>
                </c:pt>
              </c:strCache>
            </c:strRef>
          </c:tx>
          <c:spPr>
            <a:ln w="28575" cap="rnd">
              <a:solidFill>
                <a:schemeClr val="accent2">
                  <a:lumMod val="80000"/>
                  <a:lumOff val="20000"/>
                </a:schemeClr>
              </a:solidFill>
              <a:round/>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val>
            <c:numRef>
              <c:f>CSLI_Visual!$B$50:$F$50</c:f>
            </c:numRef>
          </c:val>
          <c:smooth val="0"/>
          <c:extLst>
            <c:ext xmlns:c15="http://schemas.microsoft.com/office/drawing/2012/chart" uri="{02D57815-91ED-43cb-92C2-25804820EDAC}">
              <c15:filteredCategoryTitle>
                <c15:cat>
                  <c:multiLvlStrRef>
                    <c:extLst>
                      <c:ext uri="{02D57815-91ED-43cb-92C2-25804820EDAC}">
                        <c15:formulaRef>
                          <c15:sqref>CSLI_Visual!#REF!</c15:sqref>
                        </c15:formulaRef>
                      </c:ext>
                    </c:extLst>
                  </c:multiLvlStrRef>
                </c15:cat>
              </c15:filteredCategoryTitle>
            </c:ext>
            <c:ext xmlns:c16="http://schemas.microsoft.com/office/drawing/2014/chart" uri="{C3380CC4-5D6E-409C-BE32-E72D297353CC}">
              <c16:uniqueId val="{0000000D-3B83-8041-8797-833180B1B3B5}"/>
            </c:ext>
          </c:extLst>
        </c:ser>
        <c:ser>
          <c:idx val="14"/>
          <c:order val="13"/>
          <c:tx>
            <c:strRef>
              <c:f>CSLI_Visual!$A$51</c:f>
              <c:strCache>
                <c:ptCount val="1"/>
                <c:pt idx="0">
                  <c:v> Vietnam </c:v>
                </c:pt>
              </c:strCache>
            </c:strRef>
          </c:tx>
          <c:spPr>
            <a:ln w="28575" cap="rnd">
              <a:solidFill>
                <a:schemeClr val="accent3">
                  <a:lumMod val="80000"/>
                  <a:lumOff val="20000"/>
                </a:schemeClr>
              </a:solidFill>
              <a:round/>
            </a:ln>
            <a:effectLst/>
          </c:spPr>
          <c:marker>
            <c:symbol val="circle"/>
            <c:size val="5"/>
            <c:spPr>
              <a:solidFill>
                <a:schemeClr val="accent3">
                  <a:lumMod val="80000"/>
                  <a:lumOff val="20000"/>
                </a:schemeClr>
              </a:solidFill>
              <a:ln w="9525">
                <a:solidFill>
                  <a:schemeClr val="accent3">
                    <a:lumMod val="80000"/>
                    <a:lumOff val="20000"/>
                  </a:schemeClr>
                </a:solidFill>
              </a:ln>
              <a:effectLst/>
            </c:spPr>
          </c:marker>
          <c:val>
            <c:numRef>
              <c:f>CSLI_Visual!$B$51:$F$51</c:f>
            </c:numRef>
          </c:val>
          <c:smooth val="0"/>
          <c:extLst>
            <c:ext xmlns:c15="http://schemas.microsoft.com/office/drawing/2012/chart" uri="{02D57815-91ED-43cb-92C2-25804820EDAC}">
              <c15:filteredCategoryTitle>
                <c15:cat>
                  <c:multiLvlStrRef>
                    <c:extLst>
                      <c:ext uri="{02D57815-91ED-43cb-92C2-25804820EDAC}">
                        <c15:formulaRef>
                          <c15:sqref>CSLI_Visual!#REF!</c15:sqref>
                        </c15:formulaRef>
                      </c:ext>
                    </c:extLst>
                  </c:multiLvlStrRef>
                </c15:cat>
              </c15:filteredCategoryTitle>
            </c:ext>
            <c:ext xmlns:c16="http://schemas.microsoft.com/office/drawing/2014/chart" uri="{C3380CC4-5D6E-409C-BE32-E72D297353CC}">
              <c16:uniqueId val="{0000000E-3B83-8041-8797-833180B1B3B5}"/>
            </c:ext>
          </c:extLst>
        </c:ser>
        <c:ser>
          <c:idx val="15"/>
          <c:order val="14"/>
          <c:tx>
            <c:strRef>
              <c:f>CSLI_Visual!$A$52</c:f>
              <c:strCache>
                <c:ptCount val="1"/>
                <c:pt idx="0">
                  <c:v> Poland </c:v>
                </c:pt>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CSLI_Visual!$B$52:$F$52</c:f>
            </c:numRef>
          </c:val>
          <c:smooth val="0"/>
          <c:extLst>
            <c:ext xmlns:c15="http://schemas.microsoft.com/office/drawing/2012/chart" uri="{02D57815-91ED-43cb-92C2-25804820EDAC}">
              <c15:filteredCategoryTitle>
                <c15:cat>
                  <c:multiLvlStrRef>
                    <c:extLst>
                      <c:ext uri="{02D57815-91ED-43cb-92C2-25804820EDAC}">
                        <c15:formulaRef>
                          <c15:sqref>CSLI_Visual!#REF!</c15:sqref>
                        </c15:formulaRef>
                      </c:ext>
                    </c:extLst>
                  </c:multiLvlStrRef>
                </c15:cat>
              </c15:filteredCategoryTitle>
            </c:ext>
            <c:ext xmlns:c16="http://schemas.microsoft.com/office/drawing/2014/chart" uri="{C3380CC4-5D6E-409C-BE32-E72D297353CC}">
              <c16:uniqueId val="{0000000F-3B83-8041-8797-833180B1B3B5}"/>
            </c:ext>
          </c:extLst>
        </c:ser>
        <c:ser>
          <c:idx val="16"/>
          <c:order val="15"/>
          <c:tx>
            <c:strRef>
              <c:f>CSLI_Visual!$A$53</c:f>
              <c:strCache>
                <c:ptCount val="1"/>
                <c:pt idx="0">
                  <c:v> Slovakia </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CSLI_Visual!$B$53:$F$53</c:f>
            </c:numRef>
          </c:val>
          <c:smooth val="0"/>
          <c:extLst>
            <c:ext xmlns:c15="http://schemas.microsoft.com/office/drawing/2012/chart" uri="{02D57815-91ED-43cb-92C2-25804820EDAC}">
              <c15:filteredCategoryTitle>
                <c15:cat>
                  <c:multiLvlStrRef>
                    <c:extLst>
                      <c:ext uri="{02D57815-91ED-43cb-92C2-25804820EDAC}">
                        <c15:formulaRef>
                          <c15:sqref>CSLI_Visual!#REF!</c15:sqref>
                        </c15:formulaRef>
                      </c:ext>
                    </c:extLst>
                  </c:multiLvlStrRef>
                </c15:cat>
              </c15:filteredCategoryTitle>
            </c:ext>
            <c:ext xmlns:c16="http://schemas.microsoft.com/office/drawing/2014/chart" uri="{C3380CC4-5D6E-409C-BE32-E72D297353CC}">
              <c16:uniqueId val="{00000010-3B83-8041-8797-833180B1B3B5}"/>
            </c:ext>
          </c:extLst>
        </c:ser>
        <c:ser>
          <c:idx val="17"/>
          <c:order val="16"/>
          <c:tx>
            <c:strRef>
              <c:f>CSLI_Visual!$A$54</c:f>
              <c:strCache>
                <c:ptCount val="1"/>
                <c:pt idx="0">
                  <c:v> Belarus </c:v>
                </c:pt>
              </c:strCache>
            </c:strRef>
          </c:tx>
          <c:spPr>
            <a:ln w="28575" cap="rnd">
              <a:solidFill>
                <a:schemeClr val="accent6">
                  <a:lumMod val="80000"/>
                  <a:lumOff val="20000"/>
                </a:schemeClr>
              </a:solidFill>
              <a:round/>
            </a:ln>
            <a:effectLst/>
          </c:spPr>
          <c:marker>
            <c:symbol val="circle"/>
            <c:size val="5"/>
            <c:spPr>
              <a:solidFill>
                <a:schemeClr val="accent6">
                  <a:lumMod val="80000"/>
                  <a:lumOff val="20000"/>
                </a:schemeClr>
              </a:solidFill>
              <a:ln w="9525">
                <a:solidFill>
                  <a:schemeClr val="accent6">
                    <a:lumMod val="80000"/>
                    <a:lumOff val="20000"/>
                  </a:schemeClr>
                </a:solidFill>
              </a:ln>
              <a:effectLst/>
            </c:spPr>
          </c:marker>
          <c:val>
            <c:numRef>
              <c:f>CSLI_Visual!$B$54:$F$54</c:f>
            </c:numRef>
          </c:val>
          <c:smooth val="0"/>
          <c:extLst>
            <c:ext xmlns:c15="http://schemas.microsoft.com/office/drawing/2012/chart" uri="{02D57815-91ED-43cb-92C2-25804820EDAC}">
              <c15:filteredCategoryTitle>
                <c15:cat>
                  <c:multiLvlStrRef>
                    <c:extLst>
                      <c:ext uri="{02D57815-91ED-43cb-92C2-25804820EDAC}">
                        <c15:formulaRef>
                          <c15:sqref>CSLI_Visual!#REF!</c15:sqref>
                        </c15:formulaRef>
                      </c:ext>
                    </c:extLst>
                  </c:multiLvlStrRef>
                </c15:cat>
              </c15:filteredCategoryTitle>
            </c:ext>
            <c:ext xmlns:c16="http://schemas.microsoft.com/office/drawing/2014/chart" uri="{C3380CC4-5D6E-409C-BE32-E72D297353CC}">
              <c16:uniqueId val="{00000011-3B83-8041-8797-833180B1B3B5}"/>
            </c:ext>
          </c:extLst>
        </c:ser>
        <c:ser>
          <c:idx val="18"/>
          <c:order val="17"/>
          <c:tx>
            <c:strRef>
              <c:f>CSLI_Visual!$A$55</c:f>
              <c:strCache>
                <c:ptCount val="1"/>
                <c:pt idx="0">
                  <c:v> Mexico </c:v>
                </c:pt>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CSLI_Visual!$B$55:$F$55</c:f>
            </c:numRef>
          </c:val>
          <c:smooth val="0"/>
          <c:extLst>
            <c:ext xmlns:c15="http://schemas.microsoft.com/office/drawing/2012/chart" uri="{02D57815-91ED-43cb-92C2-25804820EDAC}">
              <c15:filteredCategoryTitle>
                <c15:cat>
                  <c:multiLvlStrRef>
                    <c:extLst>
                      <c:ext uri="{02D57815-91ED-43cb-92C2-25804820EDAC}">
                        <c15:formulaRef>
                          <c15:sqref>CSLI_Visual!#REF!</c15:sqref>
                        </c15:formulaRef>
                      </c:ext>
                    </c:extLst>
                  </c:multiLvlStrRef>
                </c15:cat>
              </c15:filteredCategoryTitle>
            </c:ext>
            <c:ext xmlns:c16="http://schemas.microsoft.com/office/drawing/2014/chart" uri="{C3380CC4-5D6E-409C-BE32-E72D297353CC}">
              <c16:uniqueId val="{00000012-3B83-8041-8797-833180B1B3B5}"/>
            </c:ext>
          </c:extLst>
        </c:ser>
        <c:ser>
          <c:idx val="19"/>
          <c:order val="18"/>
          <c:tx>
            <c:strRef>
              <c:f>CSLI_Visual!$A$56</c:f>
              <c:strCache>
                <c:ptCount val="1"/>
                <c:pt idx="0">
                  <c:v> Egypt </c:v>
                </c:pt>
              </c:strCache>
            </c:strRef>
          </c:tx>
          <c:spPr>
            <a:ln w="28575" cap="rnd">
              <a:solidFill>
                <a:schemeClr val="accent2">
                  <a:lumMod val="80000"/>
                </a:schemeClr>
              </a:solidFill>
              <a:round/>
            </a:ln>
            <a:effectLst/>
          </c:spPr>
          <c:marker>
            <c:symbol val="circle"/>
            <c:size val="5"/>
            <c:spPr>
              <a:solidFill>
                <a:schemeClr val="accent2">
                  <a:lumMod val="80000"/>
                </a:schemeClr>
              </a:solidFill>
              <a:ln w="9525">
                <a:solidFill>
                  <a:schemeClr val="accent2">
                    <a:lumMod val="80000"/>
                  </a:schemeClr>
                </a:solidFill>
              </a:ln>
              <a:effectLst/>
            </c:spPr>
          </c:marker>
          <c:val>
            <c:numRef>
              <c:f>CSLI_Visual!$B$56:$F$56</c:f>
              <c:numCache>
                <c:formatCode>0.00</c:formatCode>
                <c:ptCount val="5"/>
                <c:pt idx="0">
                  <c:v>0.13014789053874143</c:v>
                </c:pt>
                <c:pt idx="1">
                  <c:v>0.1627870457012052</c:v>
                </c:pt>
                <c:pt idx="2">
                  <c:v>0.19188015618808363</c:v>
                </c:pt>
                <c:pt idx="3">
                  <c:v>0.192772568353511</c:v>
                </c:pt>
                <c:pt idx="4">
                  <c:v>0.2724985155011565</c:v>
                </c:pt>
              </c:numCache>
            </c:numRef>
          </c:val>
          <c:smooth val="0"/>
          <c:extLst>
            <c:ext xmlns:c15="http://schemas.microsoft.com/office/drawing/2012/chart" uri="{02D57815-91ED-43cb-92C2-25804820EDAC}">
              <c15:filteredCategoryTitle>
                <c15:cat>
                  <c:multiLvlStrRef>
                    <c:extLst>
                      <c:ext uri="{02D57815-91ED-43cb-92C2-25804820EDAC}">
                        <c15:formulaRef>
                          <c15:sqref>CSLI_Visual!#REF!</c15:sqref>
                        </c15:formulaRef>
                      </c:ext>
                    </c:extLst>
                  </c:multiLvlStrRef>
                </c15:cat>
              </c15:filteredCategoryTitle>
            </c:ext>
            <c:ext xmlns:c16="http://schemas.microsoft.com/office/drawing/2014/chart" uri="{C3380CC4-5D6E-409C-BE32-E72D297353CC}">
              <c16:uniqueId val="{00000013-3B83-8041-8797-833180B1B3B5}"/>
            </c:ext>
          </c:extLst>
        </c:ser>
        <c:ser>
          <c:idx val="20"/>
          <c:order val="19"/>
          <c:tx>
            <c:strRef>
              <c:f>CSLI_Visual!$A$57</c:f>
              <c:strCache>
                <c:ptCount val="1"/>
                <c:pt idx="0">
                  <c:v> Bangladesh </c:v>
                </c:pt>
              </c:strCache>
            </c:strRef>
          </c:tx>
          <c:spPr>
            <a:ln w="28575" cap="rnd">
              <a:solidFill>
                <a:schemeClr val="accent3">
                  <a:lumMod val="80000"/>
                </a:schemeClr>
              </a:solidFill>
              <a:round/>
            </a:ln>
            <a:effectLst/>
          </c:spPr>
          <c:marker>
            <c:symbol val="circle"/>
            <c:size val="5"/>
            <c:spPr>
              <a:solidFill>
                <a:schemeClr val="accent3">
                  <a:lumMod val="80000"/>
                </a:schemeClr>
              </a:solidFill>
              <a:ln w="9525">
                <a:solidFill>
                  <a:schemeClr val="accent3">
                    <a:lumMod val="80000"/>
                  </a:schemeClr>
                </a:solidFill>
              </a:ln>
              <a:effectLst/>
            </c:spPr>
          </c:marker>
          <c:val>
            <c:numRef>
              <c:f>CSLI_Visual!$B$57:$F$57</c:f>
            </c:numRef>
          </c:val>
          <c:smooth val="0"/>
          <c:extLst>
            <c:ext xmlns:c15="http://schemas.microsoft.com/office/drawing/2012/chart" uri="{02D57815-91ED-43cb-92C2-25804820EDAC}">
              <c15:filteredCategoryTitle>
                <c15:cat>
                  <c:multiLvlStrRef>
                    <c:extLst>
                      <c:ext uri="{02D57815-91ED-43cb-92C2-25804820EDAC}">
                        <c15:formulaRef>
                          <c15:sqref>CSLI_Visual!#REF!</c15:sqref>
                        </c15:formulaRef>
                      </c:ext>
                    </c:extLst>
                  </c:multiLvlStrRef>
                </c15:cat>
              </c15:filteredCategoryTitle>
            </c:ext>
            <c:ext xmlns:c16="http://schemas.microsoft.com/office/drawing/2014/chart" uri="{C3380CC4-5D6E-409C-BE32-E72D297353CC}">
              <c16:uniqueId val="{00000014-3B83-8041-8797-833180B1B3B5}"/>
            </c:ext>
          </c:extLst>
        </c:ser>
        <c:ser>
          <c:idx val="21"/>
          <c:order val="20"/>
          <c:tx>
            <c:strRef>
              <c:f>CSLI_Visual!$A$58</c:f>
              <c:strCache>
                <c:ptCount val="1"/>
                <c:pt idx="0">
                  <c:v> New Zealand </c:v>
                </c:pt>
              </c:strCache>
            </c:strRef>
          </c:tx>
          <c:spPr>
            <a:ln w="28575" cap="rnd">
              <a:solidFill>
                <a:schemeClr val="accent4">
                  <a:lumMod val="80000"/>
                </a:schemeClr>
              </a:solidFill>
              <a:round/>
            </a:ln>
            <a:effectLst/>
          </c:spPr>
          <c:marker>
            <c:symbol val="circle"/>
            <c:size val="5"/>
            <c:spPr>
              <a:solidFill>
                <a:schemeClr val="accent4">
                  <a:lumMod val="80000"/>
                </a:schemeClr>
              </a:solidFill>
              <a:ln w="9525">
                <a:solidFill>
                  <a:schemeClr val="accent4">
                    <a:lumMod val="80000"/>
                  </a:schemeClr>
                </a:solidFill>
              </a:ln>
              <a:effectLst/>
            </c:spPr>
          </c:marker>
          <c:val>
            <c:numRef>
              <c:f>CSLI_Visual!$B$58:$F$58</c:f>
            </c:numRef>
          </c:val>
          <c:smooth val="0"/>
          <c:extLst>
            <c:ext xmlns:c15="http://schemas.microsoft.com/office/drawing/2012/chart" uri="{02D57815-91ED-43cb-92C2-25804820EDAC}">
              <c15:filteredCategoryTitle>
                <c15:cat>
                  <c:multiLvlStrRef>
                    <c:extLst>
                      <c:ext uri="{02D57815-91ED-43cb-92C2-25804820EDAC}">
                        <c15:formulaRef>
                          <c15:sqref>CSLI_Visual!#REF!</c15:sqref>
                        </c15:formulaRef>
                      </c:ext>
                    </c:extLst>
                  </c:multiLvlStrRef>
                </c15:cat>
              </c15:filteredCategoryTitle>
            </c:ext>
            <c:ext xmlns:c16="http://schemas.microsoft.com/office/drawing/2014/chart" uri="{C3380CC4-5D6E-409C-BE32-E72D297353CC}">
              <c16:uniqueId val="{00000015-3B83-8041-8797-833180B1B3B5}"/>
            </c:ext>
          </c:extLst>
        </c:ser>
        <c:ser>
          <c:idx val="22"/>
          <c:order val="21"/>
          <c:tx>
            <c:strRef>
              <c:f>CSLI_Visual!$A$59</c:f>
              <c:strCache>
                <c:ptCount val="1"/>
                <c:pt idx="0">
                  <c:v> Chile </c:v>
                </c:pt>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CSLI_Visual!$B$59:$F$59</c:f>
            </c:numRef>
          </c:val>
          <c:smooth val="0"/>
          <c:extLst>
            <c:ext xmlns:c15="http://schemas.microsoft.com/office/drawing/2012/chart" uri="{02D57815-91ED-43cb-92C2-25804820EDAC}">
              <c15:filteredCategoryTitle>
                <c15:cat>
                  <c:multiLvlStrRef>
                    <c:extLst>
                      <c:ext uri="{02D57815-91ED-43cb-92C2-25804820EDAC}">
                        <c15:formulaRef>
                          <c15:sqref>CSLI_Visual!#REF!</c15:sqref>
                        </c15:formulaRef>
                      </c:ext>
                    </c:extLst>
                  </c:multiLvlStrRef>
                </c15:cat>
              </c15:filteredCategoryTitle>
            </c:ext>
            <c:ext xmlns:c16="http://schemas.microsoft.com/office/drawing/2014/chart" uri="{C3380CC4-5D6E-409C-BE32-E72D297353CC}">
              <c16:uniqueId val="{00000016-3B83-8041-8797-833180B1B3B5}"/>
            </c:ext>
          </c:extLst>
        </c:ser>
        <c:ser>
          <c:idx val="23"/>
          <c:order val="22"/>
          <c:tx>
            <c:strRef>
              <c:f>CSLI_Visual!$A$60</c:f>
              <c:strCache>
                <c:ptCount val="1"/>
                <c:pt idx="0">
                  <c:v> Ecuador </c:v>
                </c:pt>
              </c:strCache>
            </c:strRef>
          </c:tx>
          <c:spPr>
            <a:ln w="28575" cap="rnd">
              <a:solidFill>
                <a:schemeClr val="accent6">
                  <a:lumMod val="80000"/>
                </a:schemeClr>
              </a:solidFill>
              <a:round/>
            </a:ln>
            <a:effectLst/>
          </c:spPr>
          <c:marker>
            <c:symbol val="circle"/>
            <c:size val="5"/>
            <c:spPr>
              <a:solidFill>
                <a:schemeClr val="accent6">
                  <a:lumMod val="80000"/>
                </a:schemeClr>
              </a:solidFill>
              <a:ln w="9525">
                <a:solidFill>
                  <a:schemeClr val="accent6">
                    <a:lumMod val="80000"/>
                  </a:schemeClr>
                </a:solidFill>
              </a:ln>
              <a:effectLst/>
            </c:spPr>
          </c:marker>
          <c:val>
            <c:numRef>
              <c:f>CSLI_Visual!$B$60:$F$60</c:f>
            </c:numRef>
          </c:val>
          <c:smooth val="0"/>
          <c:extLst>
            <c:ext xmlns:c15="http://schemas.microsoft.com/office/drawing/2012/chart" uri="{02D57815-91ED-43cb-92C2-25804820EDAC}">
              <c15:filteredCategoryTitle>
                <c15:cat>
                  <c:multiLvlStrRef>
                    <c:extLst>
                      <c:ext uri="{02D57815-91ED-43cb-92C2-25804820EDAC}">
                        <c15:formulaRef>
                          <c15:sqref>CSLI_Visual!#REF!</c15:sqref>
                        </c15:formulaRef>
                      </c:ext>
                    </c:extLst>
                  </c:multiLvlStrRef>
                </c15:cat>
              </c15:filteredCategoryTitle>
            </c:ext>
            <c:ext xmlns:c16="http://schemas.microsoft.com/office/drawing/2014/chart" uri="{C3380CC4-5D6E-409C-BE32-E72D297353CC}">
              <c16:uniqueId val="{00000017-3B83-8041-8797-833180B1B3B5}"/>
            </c:ext>
          </c:extLst>
        </c:ser>
        <c:ser>
          <c:idx val="24"/>
          <c:order val="23"/>
          <c:tx>
            <c:strRef>
              <c:f>CSLI_Visual!$A$61</c:f>
              <c:strCache>
                <c:ptCount val="1"/>
                <c:pt idx="0">
                  <c:v> Thailand </c:v>
                </c:pt>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CSLI_Visual!$B$61:$F$61</c:f>
            </c:numRef>
          </c:val>
          <c:smooth val="0"/>
          <c:extLst>
            <c:ext xmlns:c15="http://schemas.microsoft.com/office/drawing/2012/chart" uri="{02D57815-91ED-43cb-92C2-25804820EDAC}">
              <c15:filteredCategoryTitle>
                <c15:cat>
                  <c:multiLvlStrRef>
                    <c:extLst>
                      <c:ext uri="{02D57815-91ED-43cb-92C2-25804820EDAC}">
                        <c15:formulaRef>
                          <c15:sqref>CSLI_Visual!#REF!</c15:sqref>
                        </c15:formulaRef>
                      </c:ext>
                    </c:extLst>
                  </c:multiLvlStrRef>
                </c15:cat>
              </c15:filteredCategoryTitle>
            </c:ext>
            <c:ext xmlns:c16="http://schemas.microsoft.com/office/drawing/2014/chart" uri="{C3380CC4-5D6E-409C-BE32-E72D297353CC}">
              <c16:uniqueId val="{00000018-3B83-8041-8797-833180B1B3B5}"/>
            </c:ext>
          </c:extLst>
        </c:ser>
        <c:ser>
          <c:idx val="25"/>
          <c:order val="24"/>
          <c:tx>
            <c:strRef>
              <c:f>CSLI_Visual!$A$62</c:f>
              <c:strCache>
                <c:ptCount val="1"/>
                <c:pt idx="0">
                  <c:v> Morocco </c:v>
                </c:pt>
              </c:strCache>
            </c:strRef>
          </c:tx>
          <c:spPr>
            <a:ln w="28575" cap="rnd">
              <a:solidFill>
                <a:schemeClr val="accent2">
                  <a:lumMod val="60000"/>
                  <a:lumOff val="40000"/>
                </a:schemeClr>
              </a:solidFill>
              <a:round/>
            </a:ln>
            <a:effectLst/>
          </c:spPr>
          <c:marker>
            <c:symbol val="circle"/>
            <c:size val="5"/>
            <c:spPr>
              <a:solidFill>
                <a:schemeClr val="accent2">
                  <a:lumMod val="60000"/>
                  <a:lumOff val="40000"/>
                </a:schemeClr>
              </a:solidFill>
              <a:ln w="9525">
                <a:solidFill>
                  <a:schemeClr val="accent2">
                    <a:lumMod val="60000"/>
                    <a:lumOff val="40000"/>
                  </a:schemeClr>
                </a:solidFill>
              </a:ln>
              <a:effectLst/>
            </c:spPr>
          </c:marker>
          <c:val>
            <c:numRef>
              <c:f>CSLI_Visual!$B$62:$F$62</c:f>
            </c:numRef>
          </c:val>
          <c:smooth val="0"/>
          <c:extLst>
            <c:ext xmlns:c15="http://schemas.microsoft.com/office/drawing/2012/chart" uri="{02D57815-91ED-43cb-92C2-25804820EDAC}">
              <c15:filteredCategoryTitle>
                <c15:cat>
                  <c:multiLvlStrRef>
                    <c:extLst>
                      <c:ext uri="{02D57815-91ED-43cb-92C2-25804820EDAC}">
                        <c15:formulaRef>
                          <c15:sqref>CSLI_Visual!#REF!</c15:sqref>
                        </c15:formulaRef>
                      </c:ext>
                    </c:extLst>
                  </c:multiLvlStrRef>
                </c15:cat>
              </c15:filteredCategoryTitle>
            </c:ext>
            <c:ext xmlns:c16="http://schemas.microsoft.com/office/drawing/2014/chart" uri="{C3380CC4-5D6E-409C-BE32-E72D297353CC}">
              <c16:uniqueId val="{00000019-3B83-8041-8797-833180B1B3B5}"/>
            </c:ext>
          </c:extLst>
        </c:ser>
        <c:ser>
          <c:idx val="26"/>
          <c:order val="25"/>
          <c:tx>
            <c:strRef>
              <c:f>CSLI_Visual!$A$63</c:f>
              <c:strCache>
                <c:ptCount val="1"/>
                <c:pt idx="0">
                  <c:v> Greece </c:v>
                </c:pt>
              </c:strCache>
            </c:strRef>
          </c:tx>
          <c:spPr>
            <a:ln w="28575" cap="rnd">
              <a:solidFill>
                <a:schemeClr val="accent3">
                  <a:lumMod val="60000"/>
                  <a:lumOff val="40000"/>
                </a:schemeClr>
              </a:solidFill>
              <a:round/>
            </a:ln>
            <a:effectLst/>
          </c:spPr>
          <c:marker>
            <c:symbol val="circle"/>
            <c:size val="5"/>
            <c:spPr>
              <a:solidFill>
                <a:schemeClr val="accent3">
                  <a:lumMod val="60000"/>
                  <a:lumOff val="40000"/>
                </a:schemeClr>
              </a:solidFill>
              <a:ln w="9525">
                <a:solidFill>
                  <a:schemeClr val="accent3">
                    <a:lumMod val="60000"/>
                    <a:lumOff val="40000"/>
                  </a:schemeClr>
                </a:solidFill>
              </a:ln>
              <a:effectLst/>
            </c:spPr>
          </c:marker>
          <c:val>
            <c:numRef>
              <c:f>CSLI_Visual!$B$63:$F$63</c:f>
            </c:numRef>
          </c:val>
          <c:smooth val="0"/>
          <c:extLst>
            <c:ext xmlns:c15="http://schemas.microsoft.com/office/drawing/2012/chart" uri="{02D57815-91ED-43cb-92C2-25804820EDAC}">
              <c15:filteredCategoryTitle>
                <c15:cat>
                  <c:multiLvlStrRef>
                    <c:extLst>
                      <c:ext uri="{02D57815-91ED-43cb-92C2-25804820EDAC}">
                        <c15:formulaRef>
                          <c15:sqref>CSLI_Visual!#REF!</c15:sqref>
                        </c15:formulaRef>
                      </c:ext>
                    </c:extLst>
                  </c:multiLvlStrRef>
                </c15:cat>
              </c15:filteredCategoryTitle>
            </c:ext>
            <c:ext xmlns:c16="http://schemas.microsoft.com/office/drawing/2014/chart" uri="{C3380CC4-5D6E-409C-BE32-E72D297353CC}">
              <c16:uniqueId val="{0000001A-3B83-8041-8797-833180B1B3B5}"/>
            </c:ext>
          </c:extLst>
        </c:ser>
        <c:ser>
          <c:idx val="27"/>
          <c:order val="26"/>
          <c:tx>
            <c:strRef>
              <c:f>CSLI_Visual!$A$64</c:f>
              <c:strCache>
                <c:ptCount val="1"/>
                <c:pt idx="0">
                  <c:v> Ireland </c:v>
                </c:pt>
              </c:strCache>
            </c:strRef>
          </c:tx>
          <c:spPr>
            <a:ln w="28575" cap="rnd">
              <a:solidFill>
                <a:schemeClr val="accent4">
                  <a:lumMod val="60000"/>
                  <a:lumOff val="40000"/>
                </a:schemeClr>
              </a:solidFill>
              <a:round/>
            </a:ln>
            <a:effectLst/>
          </c:spPr>
          <c:marker>
            <c:symbol val="circle"/>
            <c:size val="5"/>
            <c:spPr>
              <a:solidFill>
                <a:schemeClr val="accent4">
                  <a:lumMod val="60000"/>
                  <a:lumOff val="40000"/>
                </a:schemeClr>
              </a:solidFill>
              <a:ln w="9525">
                <a:solidFill>
                  <a:schemeClr val="accent4">
                    <a:lumMod val="60000"/>
                    <a:lumOff val="40000"/>
                  </a:schemeClr>
                </a:solidFill>
              </a:ln>
              <a:effectLst/>
            </c:spPr>
          </c:marker>
          <c:val>
            <c:numRef>
              <c:f>CSLI_Visual!$B$64:$F$64</c:f>
            </c:numRef>
          </c:val>
          <c:smooth val="0"/>
          <c:extLst>
            <c:ext xmlns:c15="http://schemas.microsoft.com/office/drawing/2012/chart" uri="{02D57815-91ED-43cb-92C2-25804820EDAC}">
              <c15:filteredCategoryTitle>
                <c15:cat>
                  <c:multiLvlStrRef>
                    <c:extLst>
                      <c:ext uri="{02D57815-91ED-43cb-92C2-25804820EDAC}">
                        <c15:formulaRef>
                          <c15:sqref>CSLI_Visual!#REF!</c15:sqref>
                        </c15:formulaRef>
                      </c:ext>
                    </c:extLst>
                  </c:multiLvlStrRef>
                </c15:cat>
              </c15:filteredCategoryTitle>
            </c:ext>
            <c:ext xmlns:c16="http://schemas.microsoft.com/office/drawing/2014/chart" uri="{C3380CC4-5D6E-409C-BE32-E72D297353CC}">
              <c16:uniqueId val="{0000001B-3B83-8041-8797-833180B1B3B5}"/>
            </c:ext>
          </c:extLst>
        </c:ser>
        <c:ser>
          <c:idx val="28"/>
          <c:order val="27"/>
          <c:tx>
            <c:strRef>
              <c:f>CSLI_Visual!$A$65</c:f>
              <c:strCache>
                <c:ptCount val="1"/>
                <c:pt idx="0">
                  <c:v> United States </c:v>
                </c:pt>
              </c:strCache>
            </c:strRef>
          </c:tx>
          <c:spPr>
            <a:ln w="28575" cap="rnd">
              <a:solidFill>
                <a:schemeClr val="accent5">
                  <a:lumMod val="60000"/>
                  <a:lumOff val="40000"/>
                </a:schemeClr>
              </a:solidFill>
              <a:round/>
            </a:ln>
            <a:effectLst/>
          </c:spPr>
          <c:marker>
            <c:symbol val="circle"/>
            <c:size val="5"/>
            <c:spPr>
              <a:solidFill>
                <a:schemeClr val="accent5">
                  <a:lumMod val="60000"/>
                  <a:lumOff val="40000"/>
                </a:schemeClr>
              </a:solidFill>
              <a:ln w="9525">
                <a:solidFill>
                  <a:schemeClr val="accent5">
                    <a:lumMod val="60000"/>
                    <a:lumOff val="40000"/>
                  </a:schemeClr>
                </a:solidFill>
              </a:ln>
              <a:effectLst/>
            </c:spPr>
          </c:marker>
          <c:val>
            <c:numRef>
              <c:f>CSLI_Visual!$B$65:$F$65</c:f>
            </c:numRef>
          </c:val>
          <c:smooth val="0"/>
          <c:extLst>
            <c:ext xmlns:c15="http://schemas.microsoft.com/office/drawing/2012/chart" uri="{02D57815-91ED-43cb-92C2-25804820EDAC}">
              <c15:filteredCategoryTitle>
                <c15:cat>
                  <c:multiLvlStrRef>
                    <c:extLst>
                      <c:ext uri="{02D57815-91ED-43cb-92C2-25804820EDAC}">
                        <c15:formulaRef>
                          <c15:sqref>CSLI_Visual!#REF!</c15:sqref>
                        </c15:formulaRef>
                      </c:ext>
                    </c:extLst>
                  </c:multiLvlStrRef>
                </c15:cat>
              </c15:filteredCategoryTitle>
            </c:ext>
            <c:ext xmlns:c16="http://schemas.microsoft.com/office/drawing/2014/chart" uri="{C3380CC4-5D6E-409C-BE32-E72D297353CC}">
              <c16:uniqueId val="{0000001C-3B83-8041-8797-833180B1B3B5}"/>
            </c:ext>
          </c:extLst>
        </c:ser>
        <c:ser>
          <c:idx val="29"/>
          <c:order val="28"/>
          <c:tx>
            <c:strRef>
              <c:f>CSLI_Visual!$A$66</c:f>
              <c:strCache>
                <c:ptCount val="1"/>
                <c:pt idx="0">
                  <c:v> Taiwan </c:v>
                </c:pt>
              </c:strCache>
            </c:strRef>
          </c:tx>
          <c:spPr>
            <a:ln w="28575" cap="rnd">
              <a:solidFill>
                <a:schemeClr val="accent6">
                  <a:lumMod val="60000"/>
                  <a:lumOff val="40000"/>
                </a:schemeClr>
              </a:solidFill>
              <a:round/>
            </a:ln>
            <a:effectLst/>
          </c:spPr>
          <c:marker>
            <c:symbol val="circle"/>
            <c:size val="5"/>
            <c:spPr>
              <a:solidFill>
                <a:schemeClr val="accent6">
                  <a:lumMod val="60000"/>
                  <a:lumOff val="40000"/>
                </a:schemeClr>
              </a:solidFill>
              <a:ln w="9525">
                <a:solidFill>
                  <a:schemeClr val="accent6">
                    <a:lumMod val="60000"/>
                    <a:lumOff val="40000"/>
                  </a:schemeClr>
                </a:solidFill>
              </a:ln>
              <a:effectLst/>
            </c:spPr>
          </c:marker>
          <c:val>
            <c:numRef>
              <c:f>CSLI_Visual!$B$66:$F$66</c:f>
            </c:numRef>
          </c:val>
          <c:smooth val="0"/>
          <c:extLst>
            <c:ext xmlns:c15="http://schemas.microsoft.com/office/drawing/2012/chart" uri="{02D57815-91ED-43cb-92C2-25804820EDAC}">
              <c15:filteredCategoryTitle>
                <c15:cat>
                  <c:multiLvlStrRef>
                    <c:extLst>
                      <c:ext uri="{02D57815-91ED-43cb-92C2-25804820EDAC}">
                        <c15:formulaRef>
                          <c15:sqref>CSLI_Visual!#REF!</c15:sqref>
                        </c15:formulaRef>
                      </c:ext>
                    </c:extLst>
                  </c:multiLvlStrRef>
                </c15:cat>
              </c15:filteredCategoryTitle>
            </c:ext>
            <c:ext xmlns:c16="http://schemas.microsoft.com/office/drawing/2014/chart" uri="{C3380CC4-5D6E-409C-BE32-E72D297353CC}">
              <c16:uniqueId val="{0000001D-3B83-8041-8797-833180B1B3B5}"/>
            </c:ext>
          </c:extLst>
        </c:ser>
        <c:ser>
          <c:idx val="30"/>
          <c:order val="29"/>
          <c:tx>
            <c:strRef>
              <c:f>CSLI_Visual!$A$67</c:f>
              <c:strCache>
                <c:ptCount val="1"/>
                <c:pt idx="0">
                  <c:v> Nigeria </c:v>
                </c:pt>
              </c:strCache>
            </c:strRef>
          </c:tx>
          <c:spPr>
            <a:ln w="28575" cap="rnd">
              <a:solidFill>
                <a:schemeClr val="accent1">
                  <a:lumMod val="50000"/>
                </a:schemeClr>
              </a:solidFill>
              <a:round/>
            </a:ln>
            <a:effectLst/>
          </c:spPr>
          <c:marker>
            <c:symbol val="circle"/>
            <c:size val="5"/>
            <c:spPr>
              <a:solidFill>
                <a:schemeClr val="accent1">
                  <a:lumMod val="50000"/>
                </a:schemeClr>
              </a:solidFill>
              <a:ln w="9525">
                <a:solidFill>
                  <a:schemeClr val="accent1">
                    <a:lumMod val="50000"/>
                  </a:schemeClr>
                </a:solidFill>
              </a:ln>
              <a:effectLst/>
            </c:spPr>
          </c:marker>
          <c:val>
            <c:numRef>
              <c:f>CSLI_Visual!$B$67:$F$67</c:f>
            </c:numRef>
          </c:val>
          <c:smooth val="0"/>
          <c:extLst>
            <c:ext xmlns:c15="http://schemas.microsoft.com/office/drawing/2012/chart" uri="{02D57815-91ED-43cb-92C2-25804820EDAC}">
              <c15:filteredCategoryTitle>
                <c15:cat>
                  <c:multiLvlStrRef>
                    <c:extLst>
                      <c:ext uri="{02D57815-91ED-43cb-92C2-25804820EDAC}">
                        <c15:formulaRef>
                          <c15:sqref>CSLI_Visual!#REF!</c15:sqref>
                        </c15:formulaRef>
                      </c:ext>
                    </c:extLst>
                  </c:multiLvlStrRef>
                </c15:cat>
              </c15:filteredCategoryTitle>
            </c:ext>
            <c:ext xmlns:c16="http://schemas.microsoft.com/office/drawing/2014/chart" uri="{C3380CC4-5D6E-409C-BE32-E72D297353CC}">
              <c16:uniqueId val="{0000001E-3B83-8041-8797-833180B1B3B5}"/>
            </c:ext>
          </c:extLst>
        </c:ser>
        <c:ser>
          <c:idx val="31"/>
          <c:order val="30"/>
          <c:tx>
            <c:strRef>
              <c:f>CSLI_Visual!$A$68</c:f>
              <c:strCache>
                <c:ptCount val="1"/>
                <c:pt idx="0">
                  <c:v> India </c:v>
                </c:pt>
              </c:strCache>
            </c:strRef>
          </c:tx>
          <c:spPr>
            <a:ln w="28575" cap="rnd">
              <a:solidFill>
                <a:schemeClr val="accent2">
                  <a:lumMod val="50000"/>
                </a:schemeClr>
              </a:solidFill>
              <a:round/>
            </a:ln>
            <a:effectLst/>
          </c:spPr>
          <c:marker>
            <c:symbol val="circle"/>
            <c:size val="5"/>
            <c:spPr>
              <a:solidFill>
                <a:schemeClr val="accent2">
                  <a:lumMod val="50000"/>
                </a:schemeClr>
              </a:solidFill>
              <a:ln w="9525">
                <a:solidFill>
                  <a:schemeClr val="accent2">
                    <a:lumMod val="50000"/>
                  </a:schemeClr>
                </a:solidFill>
              </a:ln>
              <a:effectLst/>
            </c:spPr>
          </c:marker>
          <c:val>
            <c:numRef>
              <c:f>CSLI_Visual!$B$68:$F$68</c:f>
            </c:numRef>
          </c:val>
          <c:smooth val="0"/>
          <c:extLst>
            <c:ext xmlns:c15="http://schemas.microsoft.com/office/drawing/2012/chart" uri="{02D57815-91ED-43cb-92C2-25804820EDAC}">
              <c15:filteredCategoryTitle>
                <c15:cat>
                  <c:multiLvlStrRef>
                    <c:extLst>
                      <c:ext uri="{02D57815-91ED-43cb-92C2-25804820EDAC}">
                        <c15:formulaRef>
                          <c15:sqref>CSLI_Visual!#REF!</c15:sqref>
                        </c15:formulaRef>
                      </c:ext>
                    </c:extLst>
                  </c:multiLvlStrRef>
                </c15:cat>
              </c15:filteredCategoryTitle>
            </c:ext>
            <c:ext xmlns:c16="http://schemas.microsoft.com/office/drawing/2014/chart" uri="{C3380CC4-5D6E-409C-BE32-E72D297353CC}">
              <c16:uniqueId val="{0000001F-3B83-8041-8797-833180B1B3B5}"/>
            </c:ext>
          </c:extLst>
        </c:ser>
        <c:ser>
          <c:idx val="32"/>
          <c:order val="31"/>
          <c:tx>
            <c:strRef>
              <c:f>CSLI_Visual!$A$69</c:f>
              <c:strCache>
                <c:ptCount val="1"/>
                <c:pt idx="0">
                  <c:v> Hungary </c:v>
                </c:pt>
              </c:strCache>
            </c:strRef>
          </c:tx>
          <c:spPr>
            <a:ln w="28575" cap="rnd">
              <a:solidFill>
                <a:schemeClr val="accent3">
                  <a:lumMod val="50000"/>
                </a:schemeClr>
              </a:solidFill>
              <a:round/>
            </a:ln>
            <a:effectLst/>
          </c:spPr>
          <c:marker>
            <c:symbol val="circle"/>
            <c:size val="5"/>
            <c:spPr>
              <a:solidFill>
                <a:schemeClr val="accent3">
                  <a:lumMod val="50000"/>
                </a:schemeClr>
              </a:solidFill>
              <a:ln w="9525">
                <a:solidFill>
                  <a:schemeClr val="accent3">
                    <a:lumMod val="50000"/>
                  </a:schemeClr>
                </a:solidFill>
              </a:ln>
              <a:effectLst/>
            </c:spPr>
          </c:marker>
          <c:val>
            <c:numRef>
              <c:f>CSLI_Visual!$B$69:$F$69</c:f>
            </c:numRef>
          </c:val>
          <c:smooth val="0"/>
          <c:extLst>
            <c:ext xmlns:c15="http://schemas.microsoft.com/office/drawing/2012/chart" uri="{02D57815-91ED-43cb-92C2-25804820EDAC}">
              <c15:filteredCategoryTitle>
                <c15:cat>
                  <c:multiLvlStrRef>
                    <c:extLst>
                      <c:ext uri="{02D57815-91ED-43cb-92C2-25804820EDAC}">
                        <c15:formulaRef>
                          <c15:sqref>CSLI_Visual!#REF!</c15:sqref>
                        </c15:formulaRef>
                      </c:ext>
                    </c:extLst>
                  </c:multiLvlStrRef>
                </c15:cat>
              </c15:filteredCategoryTitle>
            </c:ext>
            <c:ext xmlns:c16="http://schemas.microsoft.com/office/drawing/2014/chart" uri="{C3380CC4-5D6E-409C-BE32-E72D297353CC}">
              <c16:uniqueId val="{00000020-3B83-8041-8797-833180B1B3B5}"/>
            </c:ext>
          </c:extLst>
        </c:ser>
        <c:ser>
          <c:idx val="33"/>
          <c:order val="32"/>
          <c:tx>
            <c:strRef>
              <c:f>CSLI_Visual!$A$70</c:f>
              <c:strCache>
                <c:ptCount val="1"/>
                <c:pt idx="0">
                  <c:v> Tunisia </c:v>
                </c:pt>
              </c:strCache>
            </c:strRef>
          </c:tx>
          <c:spPr>
            <a:ln w="28575" cap="rnd">
              <a:solidFill>
                <a:schemeClr val="accent4">
                  <a:lumMod val="50000"/>
                </a:schemeClr>
              </a:solidFill>
              <a:round/>
            </a:ln>
            <a:effectLst/>
          </c:spPr>
          <c:marker>
            <c:symbol val="circle"/>
            <c:size val="5"/>
            <c:spPr>
              <a:solidFill>
                <a:schemeClr val="accent4">
                  <a:lumMod val="50000"/>
                </a:schemeClr>
              </a:solidFill>
              <a:ln w="9525">
                <a:solidFill>
                  <a:schemeClr val="accent4">
                    <a:lumMod val="50000"/>
                  </a:schemeClr>
                </a:solidFill>
              </a:ln>
              <a:effectLst/>
            </c:spPr>
          </c:marker>
          <c:val>
            <c:numRef>
              <c:f>CSLI_Visual!$B$70:$F$70</c:f>
            </c:numRef>
          </c:val>
          <c:smooth val="0"/>
          <c:extLst>
            <c:ext xmlns:c15="http://schemas.microsoft.com/office/drawing/2012/chart" uri="{02D57815-91ED-43cb-92C2-25804820EDAC}">
              <c15:filteredCategoryTitle>
                <c15:cat>
                  <c:multiLvlStrRef>
                    <c:extLst>
                      <c:ext uri="{02D57815-91ED-43cb-92C2-25804820EDAC}">
                        <c15:formulaRef>
                          <c15:sqref>CSLI_Visual!#REF!</c15:sqref>
                        </c15:formulaRef>
                      </c:ext>
                    </c:extLst>
                  </c:multiLvlStrRef>
                </c15:cat>
              </c15:filteredCategoryTitle>
            </c:ext>
            <c:ext xmlns:c16="http://schemas.microsoft.com/office/drawing/2014/chart" uri="{C3380CC4-5D6E-409C-BE32-E72D297353CC}">
              <c16:uniqueId val="{00000021-3B83-8041-8797-833180B1B3B5}"/>
            </c:ext>
          </c:extLst>
        </c:ser>
        <c:ser>
          <c:idx val="34"/>
          <c:order val="33"/>
          <c:tx>
            <c:strRef>
              <c:f>CSLI_Visual!$A$71</c:f>
              <c:strCache>
                <c:ptCount val="1"/>
                <c:pt idx="0">
                  <c:v> Philippines </c:v>
                </c:pt>
              </c:strCache>
            </c:strRef>
          </c:tx>
          <c:spPr>
            <a:ln w="28575" cap="rnd">
              <a:solidFill>
                <a:schemeClr val="accent5">
                  <a:lumMod val="50000"/>
                </a:schemeClr>
              </a:solidFill>
              <a:round/>
            </a:ln>
            <a:effectLst/>
          </c:spPr>
          <c:marker>
            <c:symbol val="circle"/>
            <c:size val="5"/>
            <c:spPr>
              <a:solidFill>
                <a:schemeClr val="accent5">
                  <a:lumMod val="50000"/>
                </a:schemeClr>
              </a:solidFill>
              <a:ln w="9525">
                <a:solidFill>
                  <a:schemeClr val="accent5">
                    <a:lumMod val="50000"/>
                  </a:schemeClr>
                </a:solidFill>
              </a:ln>
              <a:effectLst/>
            </c:spPr>
          </c:marker>
          <c:val>
            <c:numRef>
              <c:f>CSLI_Visual!$B$71:$F$71</c:f>
            </c:numRef>
          </c:val>
          <c:smooth val="0"/>
          <c:extLst>
            <c:ext xmlns:c15="http://schemas.microsoft.com/office/drawing/2012/chart" uri="{02D57815-91ED-43cb-92C2-25804820EDAC}">
              <c15:filteredCategoryTitle>
                <c15:cat>
                  <c:multiLvlStrRef>
                    <c:extLst>
                      <c:ext uri="{02D57815-91ED-43cb-92C2-25804820EDAC}">
                        <c15:formulaRef>
                          <c15:sqref>CSLI_Visual!#REF!</c15:sqref>
                        </c15:formulaRef>
                      </c:ext>
                    </c:extLst>
                  </c:multiLvlStrRef>
                </c15:cat>
              </c15:filteredCategoryTitle>
            </c:ext>
            <c:ext xmlns:c16="http://schemas.microsoft.com/office/drawing/2014/chart" uri="{C3380CC4-5D6E-409C-BE32-E72D297353CC}">
              <c16:uniqueId val="{00000022-3B83-8041-8797-833180B1B3B5}"/>
            </c:ext>
          </c:extLst>
        </c:ser>
        <c:ser>
          <c:idx val="35"/>
          <c:order val="34"/>
          <c:tx>
            <c:strRef>
              <c:f>CSLI_Visual!$A$72</c:f>
              <c:strCache>
                <c:ptCount val="1"/>
                <c:pt idx="0">
                  <c:v> Colombia </c:v>
                </c:pt>
              </c:strCache>
            </c:strRef>
          </c:tx>
          <c:spPr>
            <a:ln w="28575" cap="rnd">
              <a:solidFill>
                <a:schemeClr val="accent6">
                  <a:lumMod val="50000"/>
                </a:schemeClr>
              </a:solidFill>
              <a:round/>
            </a:ln>
            <a:effectLst/>
          </c:spPr>
          <c:marker>
            <c:symbol val="circle"/>
            <c:size val="5"/>
            <c:spPr>
              <a:solidFill>
                <a:schemeClr val="accent6">
                  <a:lumMod val="50000"/>
                </a:schemeClr>
              </a:solidFill>
              <a:ln w="9525">
                <a:solidFill>
                  <a:schemeClr val="accent6">
                    <a:lumMod val="50000"/>
                  </a:schemeClr>
                </a:solidFill>
              </a:ln>
              <a:effectLst/>
            </c:spPr>
          </c:marker>
          <c:val>
            <c:numRef>
              <c:f>CSLI_Visual!$B$72:$F$72</c:f>
            </c:numRef>
          </c:val>
          <c:smooth val="0"/>
          <c:extLst>
            <c:ext xmlns:c15="http://schemas.microsoft.com/office/drawing/2012/chart" uri="{02D57815-91ED-43cb-92C2-25804820EDAC}">
              <c15:filteredCategoryTitle>
                <c15:cat>
                  <c:multiLvlStrRef>
                    <c:extLst>
                      <c:ext uri="{02D57815-91ED-43cb-92C2-25804820EDAC}">
                        <c15:formulaRef>
                          <c15:sqref>CSLI_Visual!#REF!</c15:sqref>
                        </c15:formulaRef>
                      </c:ext>
                    </c:extLst>
                  </c:multiLvlStrRef>
                </c15:cat>
              </c15:filteredCategoryTitle>
            </c:ext>
            <c:ext xmlns:c16="http://schemas.microsoft.com/office/drawing/2014/chart" uri="{C3380CC4-5D6E-409C-BE32-E72D297353CC}">
              <c16:uniqueId val="{00000023-3B83-8041-8797-833180B1B3B5}"/>
            </c:ext>
          </c:extLst>
        </c:ser>
        <c:ser>
          <c:idx val="36"/>
          <c:order val="35"/>
          <c:tx>
            <c:strRef>
              <c:f>CSLI_Visual!$A$73</c:f>
              <c:strCache>
                <c:ptCount val="1"/>
                <c:pt idx="0">
                  <c:v> Algeria </c:v>
                </c:pt>
              </c:strCache>
            </c:strRef>
          </c:tx>
          <c:spPr>
            <a:ln w="28575" cap="rnd">
              <a:solidFill>
                <a:schemeClr val="accent1">
                  <a:lumMod val="70000"/>
                  <a:lumOff val="30000"/>
                </a:schemeClr>
              </a:solidFill>
              <a:round/>
            </a:ln>
            <a:effectLst/>
          </c:spPr>
          <c:marker>
            <c:symbol val="circle"/>
            <c:size val="5"/>
            <c:spPr>
              <a:solidFill>
                <a:schemeClr val="accent1">
                  <a:lumMod val="70000"/>
                  <a:lumOff val="30000"/>
                </a:schemeClr>
              </a:solidFill>
              <a:ln w="9525">
                <a:solidFill>
                  <a:schemeClr val="accent1">
                    <a:lumMod val="70000"/>
                    <a:lumOff val="30000"/>
                  </a:schemeClr>
                </a:solidFill>
              </a:ln>
              <a:effectLst/>
            </c:spPr>
          </c:marker>
          <c:val>
            <c:numRef>
              <c:f>CSLI_Visual!$B$73:$F$73</c:f>
            </c:numRef>
          </c:val>
          <c:smooth val="0"/>
          <c:extLst>
            <c:ext xmlns:c15="http://schemas.microsoft.com/office/drawing/2012/chart" uri="{02D57815-91ED-43cb-92C2-25804820EDAC}">
              <c15:filteredCategoryTitle>
                <c15:cat>
                  <c:multiLvlStrRef>
                    <c:extLst>
                      <c:ext uri="{02D57815-91ED-43cb-92C2-25804820EDAC}">
                        <c15:formulaRef>
                          <c15:sqref>CSLI_Visual!#REF!</c15:sqref>
                        </c15:formulaRef>
                      </c:ext>
                    </c:extLst>
                  </c:multiLvlStrRef>
                </c15:cat>
              </c15:filteredCategoryTitle>
            </c:ext>
            <c:ext xmlns:c16="http://schemas.microsoft.com/office/drawing/2014/chart" uri="{C3380CC4-5D6E-409C-BE32-E72D297353CC}">
              <c16:uniqueId val="{00000024-3B83-8041-8797-833180B1B3B5}"/>
            </c:ext>
          </c:extLst>
        </c:ser>
        <c:ser>
          <c:idx val="37"/>
          <c:order val="36"/>
          <c:tx>
            <c:strRef>
              <c:f>CSLI_Visual!$A$74</c:f>
              <c:strCache>
                <c:ptCount val="1"/>
                <c:pt idx="0">
                  <c:v> Netherlands </c:v>
                </c:pt>
              </c:strCache>
            </c:strRef>
          </c:tx>
          <c:spPr>
            <a:ln w="28575" cap="rnd">
              <a:solidFill>
                <a:schemeClr val="accent2">
                  <a:lumMod val="70000"/>
                  <a:lumOff val="30000"/>
                </a:schemeClr>
              </a:solidFill>
              <a:round/>
            </a:ln>
            <a:effectLst/>
          </c:spPr>
          <c:marker>
            <c:symbol val="circle"/>
            <c:size val="5"/>
            <c:spPr>
              <a:solidFill>
                <a:schemeClr val="accent2">
                  <a:lumMod val="70000"/>
                  <a:lumOff val="30000"/>
                </a:schemeClr>
              </a:solidFill>
              <a:ln w="9525">
                <a:solidFill>
                  <a:schemeClr val="accent2">
                    <a:lumMod val="70000"/>
                    <a:lumOff val="30000"/>
                  </a:schemeClr>
                </a:solidFill>
              </a:ln>
              <a:effectLst/>
            </c:spPr>
          </c:marker>
          <c:val>
            <c:numRef>
              <c:f>CSLI_Visual!$B$74:$F$74</c:f>
            </c:numRef>
          </c:val>
          <c:smooth val="0"/>
          <c:extLst>
            <c:ext xmlns:c15="http://schemas.microsoft.com/office/drawing/2012/chart" uri="{02D57815-91ED-43cb-92C2-25804820EDAC}">
              <c15:filteredCategoryTitle>
                <c15:cat>
                  <c:multiLvlStrRef>
                    <c:extLst>
                      <c:ext uri="{02D57815-91ED-43cb-92C2-25804820EDAC}">
                        <c15:formulaRef>
                          <c15:sqref>CSLI_Visual!#REF!</c15:sqref>
                        </c15:formulaRef>
                      </c:ext>
                    </c:extLst>
                  </c:multiLvlStrRef>
                </c15:cat>
              </c15:filteredCategoryTitle>
            </c:ext>
            <c:ext xmlns:c16="http://schemas.microsoft.com/office/drawing/2014/chart" uri="{C3380CC4-5D6E-409C-BE32-E72D297353CC}">
              <c16:uniqueId val="{00000025-3B83-8041-8797-833180B1B3B5}"/>
            </c:ext>
          </c:extLst>
        </c:ser>
        <c:ser>
          <c:idx val="38"/>
          <c:order val="37"/>
          <c:tx>
            <c:strRef>
              <c:f>CSLI_Visual!$A$75</c:f>
              <c:strCache>
                <c:ptCount val="1"/>
                <c:pt idx="0">
                  <c:v> Spain </c:v>
                </c:pt>
              </c:strCache>
            </c:strRef>
          </c:tx>
          <c:spPr>
            <a:ln w="28575" cap="rnd">
              <a:solidFill>
                <a:schemeClr val="accent3">
                  <a:lumMod val="70000"/>
                  <a:lumOff val="30000"/>
                </a:schemeClr>
              </a:solidFill>
              <a:round/>
            </a:ln>
            <a:effectLst/>
          </c:spPr>
          <c:marker>
            <c:symbol val="circle"/>
            <c:size val="5"/>
            <c:spPr>
              <a:solidFill>
                <a:schemeClr val="accent3">
                  <a:lumMod val="70000"/>
                  <a:lumOff val="30000"/>
                </a:schemeClr>
              </a:solidFill>
              <a:ln w="9525">
                <a:solidFill>
                  <a:schemeClr val="accent3">
                    <a:lumMod val="70000"/>
                    <a:lumOff val="30000"/>
                  </a:schemeClr>
                </a:solidFill>
              </a:ln>
              <a:effectLst/>
            </c:spPr>
          </c:marker>
          <c:val>
            <c:numRef>
              <c:f>CSLI_Visual!$B$75:$F$75</c:f>
            </c:numRef>
          </c:val>
          <c:smooth val="0"/>
          <c:extLst>
            <c:ext xmlns:c15="http://schemas.microsoft.com/office/drawing/2012/chart" uri="{02D57815-91ED-43cb-92C2-25804820EDAC}">
              <c15:filteredCategoryTitle>
                <c15:cat>
                  <c:multiLvlStrRef>
                    <c:extLst>
                      <c:ext uri="{02D57815-91ED-43cb-92C2-25804820EDAC}">
                        <c15:formulaRef>
                          <c15:sqref>CSLI_Visual!#REF!</c15:sqref>
                        </c15:formulaRef>
                      </c:ext>
                    </c:extLst>
                  </c:multiLvlStrRef>
                </c15:cat>
              </c15:filteredCategoryTitle>
            </c:ext>
            <c:ext xmlns:c16="http://schemas.microsoft.com/office/drawing/2014/chart" uri="{C3380CC4-5D6E-409C-BE32-E72D297353CC}">
              <c16:uniqueId val="{00000026-3B83-8041-8797-833180B1B3B5}"/>
            </c:ext>
          </c:extLst>
        </c:ser>
        <c:ser>
          <c:idx val="39"/>
          <c:order val="38"/>
          <c:tx>
            <c:strRef>
              <c:f>CSLI_Visual!$A$76</c:f>
              <c:strCache>
                <c:ptCount val="1"/>
                <c:pt idx="0">
                  <c:v> Russia </c:v>
                </c:pt>
              </c:strCache>
            </c:strRef>
          </c:tx>
          <c:spPr>
            <a:ln w="28575" cap="rnd">
              <a:solidFill>
                <a:schemeClr val="accent4">
                  <a:lumMod val="70000"/>
                  <a:lumOff val="30000"/>
                </a:schemeClr>
              </a:solidFill>
              <a:round/>
            </a:ln>
            <a:effectLst/>
          </c:spPr>
          <c:marker>
            <c:symbol val="circle"/>
            <c:size val="5"/>
            <c:spPr>
              <a:solidFill>
                <a:schemeClr val="accent4">
                  <a:lumMod val="70000"/>
                  <a:lumOff val="30000"/>
                </a:schemeClr>
              </a:solidFill>
              <a:ln w="9525">
                <a:solidFill>
                  <a:schemeClr val="accent4">
                    <a:lumMod val="70000"/>
                    <a:lumOff val="30000"/>
                  </a:schemeClr>
                </a:solidFill>
              </a:ln>
              <a:effectLst/>
            </c:spPr>
          </c:marker>
          <c:val>
            <c:numRef>
              <c:f>CSLI_Visual!$B$76:$F$76</c:f>
            </c:numRef>
          </c:val>
          <c:smooth val="0"/>
          <c:extLst>
            <c:ext xmlns:c15="http://schemas.microsoft.com/office/drawing/2012/chart" uri="{02D57815-91ED-43cb-92C2-25804820EDAC}">
              <c15:filteredCategoryTitle>
                <c15:cat>
                  <c:multiLvlStrRef>
                    <c:extLst>
                      <c:ext uri="{02D57815-91ED-43cb-92C2-25804820EDAC}">
                        <c15:formulaRef>
                          <c15:sqref>CSLI_Visual!#REF!</c15:sqref>
                        </c15:formulaRef>
                      </c:ext>
                    </c:extLst>
                  </c:multiLvlStrRef>
                </c15:cat>
              </c15:filteredCategoryTitle>
            </c:ext>
            <c:ext xmlns:c16="http://schemas.microsoft.com/office/drawing/2014/chart" uri="{C3380CC4-5D6E-409C-BE32-E72D297353CC}">
              <c16:uniqueId val="{00000027-3B83-8041-8797-833180B1B3B5}"/>
            </c:ext>
          </c:extLst>
        </c:ser>
        <c:ser>
          <c:idx val="40"/>
          <c:order val="39"/>
          <c:tx>
            <c:strRef>
              <c:f>CSLI_Visual!$A$77</c:f>
              <c:strCache>
                <c:ptCount val="1"/>
                <c:pt idx="0">
                  <c:v> Iran </c:v>
                </c:pt>
              </c:strCache>
            </c:strRef>
          </c:tx>
          <c:spPr>
            <a:ln w="28575" cap="rnd">
              <a:solidFill>
                <a:schemeClr val="accent5">
                  <a:lumMod val="70000"/>
                  <a:lumOff val="30000"/>
                </a:schemeClr>
              </a:solidFill>
              <a:round/>
            </a:ln>
            <a:effectLst/>
          </c:spPr>
          <c:marker>
            <c:symbol val="circle"/>
            <c:size val="5"/>
            <c:spPr>
              <a:solidFill>
                <a:schemeClr val="accent5">
                  <a:lumMod val="70000"/>
                  <a:lumOff val="30000"/>
                </a:schemeClr>
              </a:solidFill>
              <a:ln w="9525">
                <a:solidFill>
                  <a:schemeClr val="accent5">
                    <a:lumMod val="70000"/>
                    <a:lumOff val="30000"/>
                  </a:schemeClr>
                </a:solidFill>
              </a:ln>
              <a:effectLst/>
            </c:spPr>
          </c:marker>
          <c:val>
            <c:numRef>
              <c:f>CSLI_Visual!$B$77:$F$77</c:f>
              <c:numCache>
                <c:formatCode>0.00</c:formatCode>
                <c:ptCount val="5"/>
                <c:pt idx="0">
                  <c:v>0.27806250919712167</c:v>
                </c:pt>
                <c:pt idx="1">
                  <c:v>0.19090563319527126</c:v>
                </c:pt>
                <c:pt idx="2">
                  <c:v>0.26238486338517936</c:v>
                </c:pt>
                <c:pt idx="3">
                  <c:v>0.2990133373457709</c:v>
                </c:pt>
                <c:pt idx="4">
                  <c:v>0.27685995997562152</c:v>
                </c:pt>
              </c:numCache>
            </c:numRef>
          </c:val>
          <c:smooth val="0"/>
          <c:extLst>
            <c:ext xmlns:c15="http://schemas.microsoft.com/office/drawing/2012/chart" uri="{02D57815-91ED-43cb-92C2-25804820EDAC}">
              <c15:filteredCategoryTitle>
                <c15:cat>
                  <c:multiLvlStrRef>
                    <c:extLst>
                      <c:ext uri="{02D57815-91ED-43cb-92C2-25804820EDAC}">
                        <c15:formulaRef>
                          <c15:sqref>CSLI_Visual!#REF!</c15:sqref>
                        </c15:formulaRef>
                      </c:ext>
                    </c:extLst>
                  </c:multiLvlStrRef>
                </c15:cat>
              </c15:filteredCategoryTitle>
            </c:ext>
            <c:ext xmlns:c16="http://schemas.microsoft.com/office/drawing/2014/chart" uri="{C3380CC4-5D6E-409C-BE32-E72D297353CC}">
              <c16:uniqueId val="{00000028-3B83-8041-8797-833180B1B3B5}"/>
            </c:ext>
          </c:extLst>
        </c:ser>
        <c:ser>
          <c:idx val="41"/>
          <c:order val="40"/>
          <c:tx>
            <c:strRef>
              <c:f>CSLI_Visual!$A$78</c:f>
              <c:strCache>
                <c:ptCount val="1"/>
                <c:pt idx="0">
                  <c:v> Portugal </c:v>
                </c:pt>
              </c:strCache>
            </c:strRef>
          </c:tx>
          <c:spPr>
            <a:ln w="28575" cap="rnd">
              <a:solidFill>
                <a:schemeClr val="accent6">
                  <a:lumMod val="70000"/>
                  <a:lumOff val="30000"/>
                </a:schemeClr>
              </a:solidFill>
              <a:round/>
            </a:ln>
            <a:effectLst/>
          </c:spPr>
          <c:marker>
            <c:symbol val="circle"/>
            <c:size val="5"/>
            <c:spPr>
              <a:solidFill>
                <a:schemeClr val="accent6">
                  <a:lumMod val="70000"/>
                  <a:lumOff val="30000"/>
                </a:schemeClr>
              </a:solidFill>
              <a:ln w="9525">
                <a:solidFill>
                  <a:schemeClr val="accent6">
                    <a:lumMod val="70000"/>
                    <a:lumOff val="30000"/>
                  </a:schemeClr>
                </a:solidFill>
              </a:ln>
              <a:effectLst/>
            </c:spPr>
          </c:marker>
          <c:val>
            <c:numRef>
              <c:f>CSLI_Visual!$B$78:$F$78</c:f>
            </c:numRef>
          </c:val>
          <c:smooth val="0"/>
          <c:extLst>
            <c:ext xmlns:c15="http://schemas.microsoft.com/office/drawing/2012/chart" uri="{02D57815-91ED-43cb-92C2-25804820EDAC}">
              <c15:filteredCategoryTitle>
                <c15:cat>
                  <c:multiLvlStrRef>
                    <c:extLst>
                      <c:ext uri="{02D57815-91ED-43cb-92C2-25804820EDAC}">
                        <c15:formulaRef>
                          <c15:sqref>CSLI_Visual!#REF!</c15:sqref>
                        </c15:formulaRef>
                      </c:ext>
                    </c:extLst>
                  </c:multiLvlStrRef>
                </c15:cat>
              </c15:filteredCategoryTitle>
            </c:ext>
            <c:ext xmlns:c16="http://schemas.microsoft.com/office/drawing/2014/chart" uri="{C3380CC4-5D6E-409C-BE32-E72D297353CC}">
              <c16:uniqueId val="{00000029-3B83-8041-8797-833180B1B3B5}"/>
            </c:ext>
          </c:extLst>
        </c:ser>
        <c:ser>
          <c:idx val="42"/>
          <c:order val="41"/>
          <c:tx>
            <c:strRef>
              <c:f>CSLI_Visual!$A$79</c:f>
              <c:strCache>
                <c:ptCount val="1"/>
                <c:pt idx="0">
                  <c:v> Sweden </c:v>
                </c:pt>
              </c:strCache>
            </c:strRef>
          </c:tx>
          <c:spPr>
            <a:ln w="28575" cap="rnd">
              <a:solidFill>
                <a:schemeClr val="accent1">
                  <a:lumMod val="70000"/>
                </a:schemeClr>
              </a:solidFill>
              <a:round/>
            </a:ln>
            <a:effectLst/>
          </c:spPr>
          <c:marker>
            <c:symbol val="circle"/>
            <c:size val="5"/>
            <c:spPr>
              <a:solidFill>
                <a:schemeClr val="accent1">
                  <a:lumMod val="70000"/>
                </a:schemeClr>
              </a:solidFill>
              <a:ln w="9525">
                <a:solidFill>
                  <a:schemeClr val="accent1">
                    <a:lumMod val="70000"/>
                  </a:schemeClr>
                </a:solidFill>
              </a:ln>
              <a:effectLst/>
            </c:spPr>
          </c:marker>
          <c:val>
            <c:numRef>
              <c:f>CSLI_Visual!$B$79:$F$79</c:f>
            </c:numRef>
          </c:val>
          <c:smooth val="0"/>
          <c:extLst>
            <c:ext xmlns:c15="http://schemas.microsoft.com/office/drawing/2012/chart" uri="{02D57815-91ED-43cb-92C2-25804820EDAC}">
              <c15:filteredCategoryTitle>
                <c15:cat>
                  <c:multiLvlStrRef>
                    <c:extLst>
                      <c:ext uri="{02D57815-91ED-43cb-92C2-25804820EDAC}">
                        <c15:formulaRef>
                          <c15:sqref>CSLI_Visual!#REF!</c15:sqref>
                        </c15:formulaRef>
                      </c:ext>
                    </c:extLst>
                  </c:multiLvlStrRef>
                </c15:cat>
              </c15:filteredCategoryTitle>
            </c:ext>
            <c:ext xmlns:c16="http://schemas.microsoft.com/office/drawing/2014/chart" uri="{C3380CC4-5D6E-409C-BE32-E72D297353CC}">
              <c16:uniqueId val="{0000002A-3B83-8041-8797-833180B1B3B5}"/>
            </c:ext>
          </c:extLst>
        </c:ser>
        <c:ser>
          <c:idx val="43"/>
          <c:order val="42"/>
          <c:tx>
            <c:strRef>
              <c:f>CSLI_Visual!$A$80</c:f>
              <c:strCache>
                <c:ptCount val="1"/>
                <c:pt idx="0">
                  <c:v> Pakistan </c:v>
                </c:pt>
              </c:strCache>
            </c:strRef>
          </c:tx>
          <c:spPr>
            <a:ln w="28575" cap="rnd">
              <a:solidFill>
                <a:schemeClr val="accent2">
                  <a:lumMod val="70000"/>
                </a:schemeClr>
              </a:solidFill>
              <a:round/>
            </a:ln>
            <a:effectLst/>
          </c:spPr>
          <c:marker>
            <c:symbol val="circle"/>
            <c:size val="5"/>
            <c:spPr>
              <a:solidFill>
                <a:schemeClr val="accent2">
                  <a:lumMod val="70000"/>
                </a:schemeClr>
              </a:solidFill>
              <a:ln w="9525">
                <a:solidFill>
                  <a:schemeClr val="accent2">
                    <a:lumMod val="70000"/>
                  </a:schemeClr>
                </a:solidFill>
              </a:ln>
              <a:effectLst/>
            </c:spPr>
          </c:marker>
          <c:val>
            <c:numRef>
              <c:f>CSLI_Visual!$B$80:$F$80</c:f>
            </c:numRef>
          </c:val>
          <c:smooth val="0"/>
          <c:extLst>
            <c:ext xmlns:c15="http://schemas.microsoft.com/office/drawing/2012/chart" uri="{02D57815-91ED-43cb-92C2-25804820EDAC}">
              <c15:filteredCategoryTitle>
                <c15:cat>
                  <c:multiLvlStrRef>
                    <c:extLst>
                      <c:ext uri="{02D57815-91ED-43cb-92C2-25804820EDAC}">
                        <c15:formulaRef>
                          <c15:sqref>CSLI_Visual!#REF!</c15:sqref>
                        </c15:formulaRef>
                      </c:ext>
                    </c:extLst>
                  </c:multiLvlStrRef>
                </c15:cat>
              </c15:filteredCategoryTitle>
            </c:ext>
            <c:ext xmlns:c16="http://schemas.microsoft.com/office/drawing/2014/chart" uri="{C3380CC4-5D6E-409C-BE32-E72D297353CC}">
              <c16:uniqueId val="{0000002B-3B83-8041-8797-833180B1B3B5}"/>
            </c:ext>
          </c:extLst>
        </c:ser>
        <c:ser>
          <c:idx val="44"/>
          <c:order val="43"/>
          <c:tx>
            <c:strRef>
              <c:f>CSLI_Visual!$A$81</c:f>
              <c:strCache>
                <c:ptCount val="1"/>
                <c:pt idx="0">
                  <c:v> Belgium </c:v>
                </c:pt>
              </c:strCache>
            </c:strRef>
          </c:tx>
          <c:spPr>
            <a:ln w="28575" cap="rnd">
              <a:solidFill>
                <a:schemeClr val="accent3">
                  <a:lumMod val="70000"/>
                </a:schemeClr>
              </a:solidFill>
              <a:round/>
            </a:ln>
            <a:effectLst/>
          </c:spPr>
          <c:marker>
            <c:symbol val="circle"/>
            <c:size val="5"/>
            <c:spPr>
              <a:solidFill>
                <a:schemeClr val="accent3">
                  <a:lumMod val="70000"/>
                </a:schemeClr>
              </a:solidFill>
              <a:ln w="9525">
                <a:solidFill>
                  <a:schemeClr val="accent3">
                    <a:lumMod val="70000"/>
                  </a:schemeClr>
                </a:solidFill>
              </a:ln>
              <a:effectLst/>
            </c:spPr>
          </c:marker>
          <c:val>
            <c:numRef>
              <c:f>CSLI_Visual!$B$81:$F$81</c:f>
            </c:numRef>
          </c:val>
          <c:smooth val="0"/>
          <c:extLst>
            <c:ext xmlns:c15="http://schemas.microsoft.com/office/drawing/2012/chart" uri="{02D57815-91ED-43cb-92C2-25804820EDAC}">
              <c15:filteredCategoryTitle>
                <c15:cat>
                  <c:multiLvlStrRef>
                    <c:extLst>
                      <c:ext uri="{02D57815-91ED-43cb-92C2-25804820EDAC}">
                        <c15:formulaRef>
                          <c15:sqref>CSLI_Visual!#REF!</c15:sqref>
                        </c15:formulaRef>
                      </c:ext>
                    </c:extLst>
                  </c:multiLvlStrRef>
                </c15:cat>
              </c15:filteredCategoryTitle>
            </c:ext>
            <c:ext xmlns:c16="http://schemas.microsoft.com/office/drawing/2014/chart" uri="{C3380CC4-5D6E-409C-BE32-E72D297353CC}">
              <c16:uniqueId val="{0000002C-3B83-8041-8797-833180B1B3B5}"/>
            </c:ext>
          </c:extLst>
        </c:ser>
        <c:ser>
          <c:idx val="45"/>
          <c:order val="44"/>
          <c:tx>
            <c:strRef>
              <c:f>CSLI_Visual!$A$82</c:f>
              <c:strCache>
                <c:ptCount val="1"/>
                <c:pt idx="0">
                  <c:v> Argentina </c:v>
                </c:pt>
              </c:strCache>
            </c:strRef>
          </c:tx>
          <c:spPr>
            <a:ln w="28575" cap="rnd">
              <a:solidFill>
                <a:schemeClr val="accent4">
                  <a:lumMod val="70000"/>
                </a:schemeClr>
              </a:solidFill>
              <a:round/>
            </a:ln>
            <a:effectLst/>
          </c:spPr>
          <c:marker>
            <c:symbol val="circle"/>
            <c:size val="5"/>
            <c:spPr>
              <a:solidFill>
                <a:schemeClr val="accent4">
                  <a:lumMod val="70000"/>
                </a:schemeClr>
              </a:solidFill>
              <a:ln w="9525">
                <a:solidFill>
                  <a:schemeClr val="accent4">
                    <a:lumMod val="70000"/>
                  </a:schemeClr>
                </a:solidFill>
              </a:ln>
              <a:effectLst/>
            </c:spPr>
          </c:marker>
          <c:val>
            <c:numRef>
              <c:f>CSLI_Visual!$B$82:$F$82</c:f>
            </c:numRef>
          </c:val>
          <c:smooth val="0"/>
          <c:extLst>
            <c:ext xmlns:c15="http://schemas.microsoft.com/office/drawing/2012/chart" uri="{02D57815-91ED-43cb-92C2-25804820EDAC}">
              <c15:filteredCategoryTitle>
                <c15:cat>
                  <c:multiLvlStrRef>
                    <c:extLst>
                      <c:ext uri="{02D57815-91ED-43cb-92C2-25804820EDAC}">
                        <c15:formulaRef>
                          <c15:sqref>CSLI_Visual!#REF!</c15:sqref>
                        </c15:formulaRef>
                      </c:ext>
                    </c:extLst>
                  </c:multiLvlStrRef>
                </c15:cat>
              </c15:filteredCategoryTitle>
            </c:ext>
            <c:ext xmlns:c16="http://schemas.microsoft.com/office/drawing/2014/chart" uri="{C3380CC4-5D6E-409C-BE32-E72D297353CC}">
              <c16:uniqueId val="{0000002D-3B83-8041-8797-833180B1B3B5}"/>
            </c:ext>
          </c:extLst>
        </c:ser>
        <c:ser>
          <c:idx val="46"/>
          <c:order val="45"/>
          <c:tx>
            <c:strRef>
              <c:f>CSLI_Visual!$A$83</c:f>
              <c:strCache>
                <c:ptCount val="1"/>
                <c:pt idx="0">
                  <c:v> Indonesia </c:v>
                </c:pt>
              </c:strCache>
            </c:strRef>
          </c:tx>
          <c:spPr>
            <a:ln w="28575" cap="rnd">
              <a:solidFill>
                <a:schemeClr val="accent5">
                  <a:lumMod val="70000"/>
                </a:schemeClr>
              </a:solidFill>
              <a:round/>
            </a:ln>
            <a:effectLst/>
          </c:spPr>
          <c:marker>
            <c:symbol val="circle"/>
            <c:size val="5"/>
            <c:spPr>
              <a:solidFill>
                <a:schemeClr val="accent5">
                  <a:lumMod val="70000"/>
                </a:schemeClr>
              </a:solidFill>
              <a:ln w="9525">
                <a:solidFill>
                  <a:schemeClr val="accent5">
                    <a:lumMod val="70000"/>
                  </a:schemeClr>
                </a:solidFill>
              </a:ln>
              <a:effectLst/>
            </c:spPr>
          </c:marker>
          <c:val>
            <c:numRef>
              <c:f>CSLI_Visual!$B$83:$F$83</c:f>
            </c:numRef>
          </c:val>
          <c:smooth val="0"/>
          <c:extLst>
            <c:ext xmlns:c15="http://schemas.microsoft.com/office/drawing/2012/chart" uri="{02D57815-91ED-43cb-92C2-25804820EDAC}">
              <c15:filteredCategoryTitle>
                <c15:cat>
                  <c:multiLvlStrRef>
                    <c:extLst>
                      <c:ext uri="{02D57815-91ED-43cb-92C2-25804820EDAC}">
                        <c15:formulaRef>
                          <c15:sqref>CSLI_Visual!#REF!</c15:sqref>
                        </c15:formulaRef>
                      </c:ext>
                    </c:extLst>
                  </c:multiLvlStrRef>
                </c15:cat>
              </c15:filteredCategoryTitle>
            </c:ext>
            <c:ext xmlns:c16="http://schemas.microsoft.com/office/drawing/2014/chart" uri="{C3380CC4-5D6E-409C-BE32-E72D297353CC}">
              <c16:uniqueId val="{0000002E-3B83-8041-8797-833180B1B3B5}"/>
            </c:ext>
          </c:extLst>
        </c:ser>
        <c:ser>
          <c:idx val="47"/>
          <c:order val="46"/>
          <c:tx>
            <c:strRef>
              <c:f>CSLI_Visual!$A$84</c:f>
              <c:strCache>
                <c:ptCount val="1"/>
                <c:pt idx="0">
                  <c:v> Sri Lanka </c:v>
                </c:pt>
              </c:strCache>
            </c:strRef>
          </c:tx>
          <c:spPr>
            <a:ln w="28575" cap="rnd">
              <a:solidFill>
                <a:schemeClr val="accent6">
                  <a:lumMod val="70000"/>
                </a:schemeClr>
              </a:solidFill>
              <a:round/>
            </a:ln>
            <a:effectLst/>
          </c:spPr>
          <c:marker>
            <c:symbol val="circle"/>
            <c:size val="5"/>
            <c:spPr>
              <a:solidFill>
                <a:schemeClr val="accent6">
                  <a:lumMod val="70000"/>
                </a:schemeClr>
              </a:solidFill>
              <a:ln w="9525">
                <a:solidFill>
                  <a:schemeClr val="accent6">
                    <a:lumMod val="70000"/>
                  </a:schemeClr>
                </a:solidFill>
              </a:ln>
              <a:effectLst/>
            </c:spPr>
          </c:marker>
          <c:val>
            <c:numRef>
              <c:f>CSLI_Visual!$B$84:$F$84</c:f>
            </c:numRef>
          </c:val>
          <c:smooth val="0"/>
          <c:extLst>
            <c:ext xmlns:c15="http://schemas.microsoft.com/office/drawing/2012/chart" uri="{02D57815-91ED-43cb-92C2-25804820EDAC}">
              <c15:filteredCategoryTitle>
                <c15:cat>
                  <c:multiLvlStrRef>
                    <c:extLst>
                      <c:ext uri="{02D57815-91ED-43cb-92C2-25804820EDAC}">
                        <c15:formulaRef>
                          <c15:sqref>CSLI_Visual!#REF!</c15:sqref>
                        </c15:formulaRef>
                      </c:ext>
                    </c:extLst>
                  </c:multiLvlStrRef>
                </c15:cat>
              </c15:filteredCategoryTitle>
            </c:ext>
            <c:ext xmlns:c16="http://schemas.microsoft.com/office/drawing/2014/chart" uri="{C3380CC4-5D6E-409C-BE32-E72D297353CC}">
              <c16:uniqueId val="{0000002F-3B83-8041-8797-833180B1B3B5}"/>
            </c:ext>
          </c:extLst>
        </c:ser>
        <c:ser>
          <c:idx val="48"/>
          <c:order val="47"/>
          <c:tx>
            <c:strRef>
              <c:f>CSLI_Visual!$A$85</c:f>
              <c:strCache>
                <c:ptCount val="1"/>
                <c:pt idx="0">
                  <c:v> South Africa </c:v>
                </c:pt>
              </c:strCache>
            </c:strRef>
          </c:tx>
          <c:spPr>
            <a:ln w="28575" cap="rnd">
              <a:solidFill>
                <a:schemeClr val="accent1">
                  <a:lumMod val="50000"/>
                  <a:lumOff val="50000"/>
                </a:schemeClr>
              </a:solidFill>
              <a:round/>
            </a:ln>
            <a:effectLst/>
          </c:spPr>
          <c:marker>
            <c:symbol val="circle"/>
            <c:size val="5"/>
            <c:spPr>
              <a:solidFill>
                <a:schemeClr val="accent1">
                  <a:lumMod val="50000"/>
                  <a:lumOff val="50000"/>
                </a:schemeClr>
              </a:solidFill>
              <a:ln w="9525">
                <a:solidFill>
                  <a:schemeClr val="accent1">
                    <a:lumMod val="50000"/>
                    <a:lumOff val="50000"/>
                  </a:schemeClr>
                </a:solidFill>
              </a:ln>
              <a:effectLst/>
            </c:spPr>
          </c:marker>
          <c:val>
            <c:numRef>
              <c:f>CSLI_Visual!$B$85:$F$85</c:f>
            </c:numRef>
          </c:val>
          <c:smooth val="0"/>
          <c:extLst>
            <c:ext xmlns:c15="http://schemas.microsoft.com/office/drawing/2012/chart" uri="{02D57815-91ED-43cb-92C2-25804820EDAC}">
              <c15:filteredCategoryTitle>
                <c15:cat>
                  <c:multiLvlStrRef>
                    <c:extLst>
                      <c:ext uri="{02D57815-91ED-43cb-92C2-25804820EDAC}">
                        <c15:formulaRef>
                          <c15:sqref>CSLI_Visual!#REF!</c15:sqref>
                        </c15:formulaRef>
                      </c:ext>
                    </c:extLst>
                  </c:multiLvlStrRef>
                </c15:cat>
              </c15:filteredCategoryTitle>
            </c:ext>
            <c:ext xmlns:c16="http://schemas.microsoft.com/office/drawing/2014/chart" uri="{C3380CC4-5D6E-409C-BE32-E72D297353CC}">
              <c16:uniqueId val="{00000030-3B83-8041-8797-833180B1B3B5}"/>
            </c:ext>
          </c:extLst>
        </c:ser>
        <c:ser>
          <c:idx val="49"/>
          <c:order val="48"/>
          <c:tx>
            <c:strRef>
              <c:f>CSLI_Visual!$A$86</c:f>
              <c:strCache>
                <c:ptCount val="1"/>
                <c:pt idx="0">
                  <c:v> Australia </c:v>
                </c:pt>
              </c:strCache>
            </c:strRef>
          </c:tx>
          <c:spPr>
            <a:ln w="28575" cap="rnd">
              <a:solidFill>
                <a:schemeClr val="accent2">
                  <a:lumMod val="50000"/>
                  <a:lumOff val="50000"/>
                </a:schemeClr>
              </a:solidFill>
              <a:round/>
            </a:ln>
            <a:effectLst/>
          </c:spPr>
          <c:marker>
            <c:symbol val="circle"/>
            <c:size val="5"/>
            <c:spPr>
              <a:solidFill>
                <a:schemeClr val="accent2">
                  <a:lumMod val="50000"/>
                  <a:lumOff val="50000"/>
                </a:schemeClr>
              </a:solidFill>
              <a:ln w="9525">
                <a:solidFill>
                  <a:schemeClr val="accent2">
                    <a:lumMod val="50000"/>
                    <a:lumOff val="50000"/>
                  </a:schemeClr>
                </a:solidFill>
              </a:ln>
              <a:effectLst/>
            </c:spPr>
          </c:marker>
          <c:val>
            <c:numRef>
              <c:f>CSLI_Visual!$B$86:$F$86</c:f>
            </c:numRef>
          </c:val>
          <c:smooth val="0"/>
          <c:extLst>
            <c:ext xmlns:c15="http://schemas.microsoft.com/office/drawing/2012/chart" uri="{02D57815-91ED-43cb-92C2-25804820EDAC}">
              <c15:filteredCategoryTitle>
                <c15:cat>
                  <c:multiLvlStrRef>
                    <c:extLst>
                      <c:ext uri="{02D57815-91ED-43cb-92C2-25804820EDAC}">
                        <c15:formulaRef>
                          <c15:sqref>CSLI_Visual!#REF!</c15:sqref>
                        </c15:formulaRef>
                      </c:ext>
                    </c:extLst>
                  </c:multiLvlStrRef>
                </c15:cat>
              </c15:filteredCategoryTitle>
            </c:ext>
            <c:ext xmlns:c16="http://schemas.microsoft.com/office/drawing/2014/chart" uri="{C3380CC4-5D6E-409C-BE32-E72D297353CC}">
              <c16:uniqueId val="{00000031-3B83-8041-8797-833180B1B3B5}"/>
            </c:ext>
          </c:extLst>
        </c:ser>
        <c:ser>
          <c:idx val="50"/>
          <c:order val="49"/>
          <c:tx>
            <c:strRef>
              <c:f>CSLI_Visual!$A$87</c:f>
              <c:strCache>
                <c:ptCount val="1"/>
                <c:pt idx="0">
                  <c:v> Italy </c:v>
                </c:pt>
              </c:strCache>
            </c:strRef>
          </c:tx>
          <c:spPr>
            <a:ln w="28575" cap="rnd">
              <a:solidFill>
                <a:schemeClr val="accent3">
                  <a:lumMod val="50000"/>
                  <a:lumOff val="50000"/>
                </a:schemeClr>
              </a:solidFill>
              <a:round/>
            </a:ln>
            <a:effectLst/>
          </c:spPr>
          <c:marker>
            <c:symbol val="circle"/>
            <c:size val="5"/>
            <c:spPr>
              <a:solidFill>
                <a:schemeClr val="accent3">
                  <a:lumMod val="50000"/>
                  <a:lumOff val="50000"/>
                </a:schemeClr>
              </a:solidFill>
              <a:ln w="9525">
                <a:solidFill>
                  <a:schemeClr val="accent3">
                    <a:lumMod val="50000"/>
                    <a:lumOff val="50000"/>
                  </a:schemeClr>
                </a:solidFill>
              </a:ln>
              <a:effectLst/>
            </c:spPr>
          </c:marker>
          <c:val>
            <c:numRef>
              <c:f>CSLI_Visual!$B$87:$F$87</c:f>
            </c:numRef>
          </c:val>
          <c:smooth val="0"/>
          <c:extLst>
            <c:ext xmlns:c15="http://schemas.microsoft.com/office/drawing/2012/chart" uri="{02D57815-91ED-43cb-92C2-25804820EDAC}">
              <c15:filteredCategoryTitle>
                <c15:cat>
                  <c:multiLvlStrRef>
                    <c:extLst>
                      <c:ext uri="{02D57815-91ED-43cb-92C2-25804820EDAC}">
                        <c15:formulaRef>
                          <c15:sqref>CSLI_Visual!#REF!</c15:sqref>
                        </c15:formulaRef>
                      </c:ext>
                    </c:extLst>
                  </c:multiLvlStrRef>
                </c15:cat>
              </c15:filteredCategoryTitle>
            </c:ext>
            <c:ext xmlns:c16="http://schemas.microsoft.com/office/drawing/2014/chart" uri="{C3380CC4-5D6E-409C-BE32-E72D297353CC}">
              <c16:uniqueId val="{00000032-3B83-8041-8797-833180B1B3B5}"/>
            </c:ext>
          </c:extLst>
        </c:ser>
        <c:ser>
          <c:idx val="51"/>
          <c:order val="50"/>
          <c:tx>
            <c:strRef>
              <c:f>CSLI_Visual!$A$88</c:f>
              <c:strCache>
                <c:ptCount val="1"/>
                <c:pt idx="0">
                  <c:v> Peru </c:v>
                </c:pt>
              </c:strCache>
            </c:strRef>
          </c:tx>
          <c:spPr>
            <a:ln w="28575" cap="rnd">
              <a:solidFill>
                <a:schemeClr val="accent4">
                  <a:lumMod val="50000"/>
                  <a:lumOff val="50000"/>
                </a:schemeClr>
              </a:solidFill>
              <a:round/>
            </a:ln>
            <a:effectLst/>
          </c:spPr>
          <c:marker>
            <c:symbol val="circle"/>
            <c:size val="5"/>
            <c:spPr>
              <a:solidFill>
                <a:schemeClr val="accent4">
                  <a:lumMod val="50000"/>
                  <a:lumOff val="50000"/>
                </a:schemeClr>
              </a:solidFill>
              <a:ln w="9525">
                <a:solidFill>
                  <a:schemeClr val="accent4">
                    <a:lumMod val="50000"/>
                    <a:lumOff val="50000"/>
                  </a:schemeClr>
                </a:solidFill>
              </a:ln>
              <a:effectLst/>
            </c:spPr>
          </c:marker>
          <c:val>
            <c:numRef>
              <c:f>CSLI_Visual!$B$88:$F$88</c:f>
            </c:numRef>
          </c:val>
          <c:smooth val="0"/>
          <c:extLst>
            <c:ext xmlns:c15="http://schemas.microsoft.com/office/drawing/2012/chart" uri="{02D57815-91ED-43cb-92C2-25804820EDAC}">
              <c15:filteredCategoryTitle>
                <c15:cat>
                  <c:multiLvlStrRef>
                    <c:extLst>
                      <c:ext uri="{02D57815-91ED-43cb-92C2-25804820EDAC}">
                        <c15:formulaRef>
                          <c15:sqref>CSLI_Visual!#REF!</c15:sqref>
                        </c15:formulaRef>
                      </c:ext>
                    </c:extLst>
                  </c:multiLvlStrRef>
                </c15:cat>
              </c15:filteredCategoryTitle>
            </c:ext>
            <c:ext xmlns:c16="http://schemas.microsoft.com/office/drawing/2014/chart" uri="{C3380CC4-5D6E-409C-BE32-E72D297353CC}">
              <c16:uniqueId val="{00000033-3B83-8041-8797-833180B1B3B5}"/>
            </c:ext>
          </c:extLst>
        </c:ser>
        <c:ser>
          <c:idx val="52"/>
          <c:order val="51"/>
          <c:tx>
            <c:strRef>
              <c:f>CSLI_Visual!$A$89</c:f>
              <c:strCache>
                <c:ptCount val="1"/>
                <c:pt idx="0">
                  <c:v> South Korea </c:v>
                </c:pt>
              </c:strCache>
            </c:strRef>
          </c:tx>
          <c:spPr>
            <a:ln w="28575" cap="rnd">
              <a:solidFill>
                <a:schemeClr val="accent5">
                  <a:lumMod val="50000"/>
                  <a:lumOff val="50000"/>
                </a:schemeClr>
              </a:solidFill>
              <a:round/>
            </a:ln>
            <a:effectLst/>
          </c:spPr>
          <c:marker>
            <c:symbol val="circle"/>
            <c:size val="5"/>
            <c:spPr>
              <a:solidFill>
                <a:schemeClr val="accent5">
                  <a:lumMod val="50000"/>
                  <a:lumOff val="50000"/>
                </a:schemeClr>
              </a:solidFill>
              <a:ln w="9525">
                <a:solidFill>
                  <a:schemeClr val="accent5">
                    <a:lumMod val="50000"/>
                    <a:lumOff val="50000"/>
                  </a:schemeClr>
                </a:solidFill>
              </a:ln>
              <a:effectLst/>
            </c:spPr>
          </c:marker>
          <c:val>
            <c:numRef>
              <c:f>CSLI_Visual!$B$89:$F$89</c:f>
            </c:numRef>
          </c:val>
          <c:smooth val="0"/>
          <c:extLst>
            <c:ext xmlns:c15="http://schemas.microsoft.com/office/drawing/2012/chart" uri="{02D57815-91ED-43cb-92C2-25804820EDAC}">
              <c15:filteredCategoryTitle>
                <c15:cat>
                  <c:multiLvlStrRef>
                    <c:extLst>
                      <c:ext uri="{02D57815-91ED-43cb-92C2-25804820EDAC}">
                        <c15:formulaRef>
                          <c15:sqref>CSLI_Visual!#REF!</c15:sqref>
                        </c15:formulaRef>
                      </c:ext>
                    </c:extLst>
                  </c:multiLvlStrRef>
                </c15:cat>
              </c15:filteredCategoryTitle>
            </c:ext>
            <c:ext xmlns:c16="http://schemas.microsoft.com/office/drawing/2014/chart" uri="{C3380CC4-5D6E-409C-BE32-E72D297353CC}">
              <c16:uniqueId val="{00000034-3B83-8041-8797-833180B1B3B5}"/>
            </c:ext>
          </c:extLst>
        </c:ser>
        <c:ser>
          <c:idx val="53"/>
          <c:order val="52"/>
          <c:tx>
            <c:strRef>
              <c:f>CSLI_Visual!$A$90</c:f>
              <c:strCache>
                <c:ptCount val="1"/>
                <c:pt idx="0">
                  <c:v> United Arab Emirates </c:v>
                </c:pt>
              </c:strCache>
            </c:strRef>
          </c:tx>
          <c:spPr>
            <a:ln w="28575" cap="rnd">
              <a:solidFill>
                <a:schemeClr val="accent6">
                  <a:lumMod val="50000"/>
                  <a:lumOff val="50000"/>
                </a:schemeClr>
              </a:solidFill>
              <a:round/>
            </a:ln>
            <a:effectLst/>
          </c:spPr>
          <c:marker>
            <c:symbol val="circle"/>
            <c:size val="5"/>
            <c:spPr>
              <a:solidFill>
                <a:schemeClr val="accent6">
                  <a:lumMod val="50000"/>
                  <a:lumOff val="50000"/>
                </a:schemeClr>
              </a:solidFill>
              <a:ln w="9525">
                <a:solidFill>
                  <a:schemeClr val="accent6">
                    <a:lumMod val="50000"/>
                    <a:lumOff val="50000"/>
                  </a:schemeClr>
                </a:solidFill>
              </a:ln>
              <a:effectLst/>
            </c:spPr>
          </c:marker>
          <c:val>
            <c:numRef>
              <c:f>CSLI_Visual!$B$90:$F$90</c:f>
              <c:numCache>
                <c:formatCode>0.00</c:formatCode>
                <c:ptCount val="5"/>
                <c:pt idx="0">
                  <c:v>0.39511549123351541</c:v>
                </c:pt>
                <c:pt idx="1">
                  <c:v>0.26628060485739447</c:v>
                </c:pt>
                <c:pt idx="2">
                  <c:v>0.2213779864559493</c:v>
                </c:pt>
                <c:pt idx="3">
                  <c:v>0.31032507131174097</c:v>
                </c:pt>
                <c:pt idx="4">
                  <c:v>0.31722072943644375</c:v>
                </c:pt>
              </c:numCache>
            </c:numRef>
          </c:val>
          <c:smooth val="0"/>
          <c:extLst>
            <c:ext xmlns:c15="http://schemas.microsoft.com/office/drawing/2012/chart" uri="{02D57815-91ED-43cb-92C2-25804820EDAC}">
              <c15:filteredCategoryTitle>
                <c15:cat>
                  <c:multiLvlStrRef>
                    <c:extLst>
                      <c:ext uri="{02D57815-91ED-43cb-92C2-25804820EDAC}">
                        <c15:formulaRef>
                          <c15:sqref>CSLI_Visual!#REF!</c15:sqref>
                        </c15:formulaRef>
                      </c:ext>
                    </c:extLst>
                  </c:multiLvlStrRef>
                </c15:cat>
              </c15:filteredCategoryTitle>
            </c:ext>
            <c:ext xmlns:c16="http://schemas.microsoft.com/office/drawing/2014/chart" uri="{C3380CC4-5D6E-409C-BE32-E72D297353CC}">
              <c16:uniqueId val="{00000035-3B83-8041-8797-833180B1B3B5}"/>
            </c:ext>
          </c:extLst>
        </c:ser>
        <c:ser>
          <c:idx val="54"/>
          <c:order val="53"/>
          <c:tx>
            <c:strRef>
              <c:f>CSLI_Visual!$A$91</c:f>
              <c:strCache>
                <c:ptCount val="1"/>
                <c:pt idx="0">
                  <c:v> Brazil </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CSLI_Visual!$B$91:$F$91</c:f>
            </c:numRef>
          </c:val>
          <c:smooth val="0"/>
          <c:extLst>
            <c:ext xmlns:c15="http://schemas.microsoft.com/office/drawing/2012/chart" uri="{02D57815-91ED-43cb-92C2-25804820EDAC}">
              <c15:filteredCategoryTitle>
                <c15:cat>
                  <c:multiLvlStrRef>
                    <c:extLst>
                      <c:ext uri="{02D57815-91ED-43cb-92C2-25804820EDAC}">
                        <c15:formulaRef>
                          <c15:sqref>CSLI_Visual!#REF!</c15:sqref>
                        </c15:formulaRef>
                      </c:ext>
                    </c:extLst>
                  </c:multiLvlStrRef>
                </c15:cat>
              </c15:filteredCategoryTitle>
            </c:ext>
            <c:ext xmlns:c16="http://schemas.microsoft.com/office/drawing/2014/chart" uri="{C3380CC4-5D6E-409C-BE32-E72D297353CC}">
              <c16:uniqueId val="{00000036-3B83-8041-8797-833180B1B3B5}"/>
            </c:ext>
          </c:extLst>
        </c:ser>
        <c:ser>
          <c:idx val="55"/>
          <c:order val="54"/>
          <c:tx>
            <c:strRef>
              <c:f>CSLI_Visual!$A$92</c:f>
              <c:strCache>
                <c:ptCount val="1"/>
                <c:pt idx="0">
                  <c:v> Switzerland </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CSLI_Visual!$B$92:$F$92</c:f>
            </c:numRef>
          </c:val>
          <c:smooth val="0"/>
          <c:extLst>
            <c:ext xmlns:c15="http://schemas.microsoft.com/office/drawing/2012/chart" uri="{02D57815-91ED-43cb-92C2-25804820EDAC}">
              <c15:filteredCategoryTitle>
                <c15:cat>
                  <c:multiLvlStrRef>
                    <c:extLst>
                      <c:ext uri="{02D57815-91ED-43cb-92C2-25804820EDAC}">
                        <c15:formulaRef>
                          <c15:sqref>CSLI_Visual!#REF!</c15:sqref>
                        </c15:formulaRef>
                      </c:ext>
                    </c:extLst>
                  </c:multiLvlStrRef>
                </c15:cat>
              </c15:filteredCategoryTitle>
            </c:ext>
            <c:ext xmlns:c16="http://schemas.microsoft.com/office/drawing/2014/chart" uri="{C3380CC4-5D6E-409C-BE32-E72D297353CC}">
              <c16:uniqueId val="{00000037-3B83-8041-8797-833180B1B3B5}"/>
            </c:ext>
          </c:extLst>
        </c:ser>
        <c:ser>
          <c:idx val="56"/>
          <c:order val="55"/>
          <c:tx>
            <c:strRef>
              <c:f>CSLI_Visual!$A$93</c:f>
              <c:strCache>
                <c:ptCount val="1"/>
                <c:pt idx="0">
                  <c:v> Kazakhstan </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CSLI_Visual!$B$93:$F$93</c:f>
            </c:numRef>
          </c:val>
          <c:smooth val="0"/>
          <c:extLst>
            <c:ext xmlns:c15="http://schemas.microsoft.com/office/drawing/2012/chart" uri="{02D57815-91ED-43cb-92C2-25804820EDAC}">
              <c15:filteredCategoryTitle>
                <c15:cat>
                  <c:multiLvlStrRef>
                    <c:extLst>
                      <c:ext uri="{02D57815-91ED-43cb-92C2-25804820EDAC}">
                        <c15:formulaRef>
                          <c15:sqref>CSLI_Visual!#REF!</c15:sqref>
                        </c15:formulaRef>
                      </c:ext>
                    </c:extLst>
                  </c:multiLvlStrRef>
                </c15:cat>
              </c15:filteredCategoryTitle>
            </c:ext>
            <c:ext xmlns:c16="http://schemas.microsoft.com/office/drawing/2014/chart" uri="{C3380CC4-5D6E-409C-BE32-E72D297353CC}">
              <c16:uniqueId val="{00000038-3B83-8041-8797-833180B1B3B5}"/>
            </c:ext>
          </c:extLst>
        </c:ser>
        <c:ser>
          <c:idx val="57"/>
          <c:order val="56"/>
          <c:tx>
            <c:strRef>
              <c:f>CSLI_Visual!$A$94</c:f>
              <c:strCache>
                <c:ptCount val="1"/>
                <c:pt idx="0">
                  <c:v> Israel </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CSLI_Visual!$B$94:$F$94</c:f>
              <c:numCache>
                <c:formatCode>0.00</c:formatCode>
                <c:ptCount val="5"/>
                <c:pt idx="0">
                  <c:v>0.87665820680545414</c:v>
                </c:pt>
                <c:pt idx="1">
                  <c:v>0.8079677273840955</c:v>
                </c:pt>
                <c:pt idx="2">
                  <c:v>0.95963266611617104</c:v>
                </c:pt>
                <c:pt idx="3">
                  <c:v>0.80760692803925338</c:v>
                </c:pt>
                <c:pt idx="4">
                  <c:v>0.77969273774657033</c:v>
                </c:pt>
              </c:numCache>
            </c:numRef>
          </c:val>
          <c:smooth val="0"/>
          <c:extLst>
            <c:ext xmlns:c15="http://schemas.microsoft.com/office/drawing/2012/chart" uri="{02D57815-91ED-43cb-92C2-25804820EDAC}">
              <c15:filteredCategoryTitle>
                <c15:cat>
                  <c:multiLvlStrRef>
                    <c:extLst>
                      <c:ext uri="{02D57815-91ED-43cb-92C2-25804820EDAC}">
                        <c15:formulaRef>
                          <c15:sqref>CSLI_Visual!#REF!</c15:sqref>
                        </c15:formulaRef>
                      </c:ext>
                    </c:extLst>
                  </c:multiLvlStrRef>
                </c15:cat>
              </c15:filteredCategoryTitle>
            </c:ext>
            <c:ext xmlns:c16="http://schemas.microsoft.com/office/drawing/2014/chart" uri="{C3380CC4-5D6E-409C-BE32-E72D297353CC}">
              <c16:uniqueId val="{00000039-3B83-8041-8797-833180B1B3B5}"/>
            </c:ext>
          </c:extLst>
        </c:ser>
        <c:ser>
          <c:idx val="58"/>
          <c:order val="57"/>
          <c:tx>
            <c:strRef>
              <c:f>CSLI_Visual!$A$95</c:f>
              <c:strCache>
                <c:ptCount val="1"/>
                <c:pt idx="0">
                  <c:v> Austria </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val>
            <c:numRef>
              <c:f>CSLI_Visual!$B$95:$F$95</c:f>
            </c:numRef>
          </c:val>
          <c:smooth val="0"/>
          <c:extLst>
            <c:ext xmlns:c15="http://schemas.microsoft.com/office/drawing/2012/chart" uri="{02D57815-91ED-43cb-92C2-25804820EDAC}">
              <c15:filteredCategoryTitle>
                <c15:cat>
                  <c:multiLvlStrRef>
                    <c:extLst>
                      <c:ext uri="{02D57815-91ED-43cb-92C2-25804820EDAC}">
                        <c15:formulaRef>
                          <c15:sqref>CSLI_Visual!#REF!</c15:sqref>
                        </c15:formulaRef>
                      </c:ext>
                    </c:extLst>
                  </c:multiLvlStrRef>
                </c15:cat>
              </c15:filteredCategoryTitle>
            </c:ext>
            <c:ext xmlns:c16="http://schemas.microsoft.com/office/drawing/2014/chart" uri="{C3380CC4-5D6E-409C-BE32-E72D297353CC}">
              <c16:uniqueId val="{0000003A-3B83-8041-8797-833180B1B3B5}"/>
            </c:ext>
          </c:extLst>
        </c:ser>
        <c:ser>
          <c:idx val="59"/>
          <c:order val="58"/>
          <c:tx>
            <c:strRef>
              <c:f>CSLI_Visual!$A$96</c:f>
              <c:strCache>
                <c:ptCount val="1"/>
                <c:pt idx="0">
                  <c:v> France </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CSLI_Visual!$B$96:$F$96</c:f>
            </c:numRef>
          </c:val>
          <c:smooth val="0"/>
          <c:extLst>
            <c:ext xmlns:c15="http://schemas.microsoft.com/office/drawing/2012/chart" uri="{02D57815-91ED-43cb-92C2-25804820EDAC}">
              <c15:filteredCategoryTitle>
                <c15:cat>
                  <c:multiLvlStrRef>
                    <c:extLst>
                      <c:ext uri="{02D57815-91ED-43cb-92C2-25804820EDAC}">
                        <c15:formulaRef>
                          <c15:sqref>CSLI_Visual!#REF!</c15:sqref>
                        </c15:formulaRef>
                      </c:ext>
                    </c:extLst>
                  </c:multiLvlStrRef>
                </c15:cat>
              </c15:filteredCategoryTitle>
            </c:ext>
            <c:ext xmlns:c16="http://schemas.microsoft.com/office/drawing/2014/chart" uri="{C3380CC4-5D6E-409C-BE32-E72D297353CC}">
              <c16:uniqueId val="{0000003B-3B83-8041-8797-833180B1B3B5}"/>
            </c:ext>
          </c:extLst>
        </c:ser>
        <c:ser>
          <c:idx val="60"/>
          <c:order val="59"/>
          <c:tx>
            <c:strRef>
              <c:f>CSLI_Visual!$A$97</c:f>
              <c:strCache>
                <c:ptCount val="1"/>
                <c:pt idx="0">
                  <c:v> Germany </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val>
            <c:numRef>
              <c:f>CSLI_Visual!$B$97:$F$97</c:f>
            </c:numRef>
          </c:val>
          <c:smooth val="0"/>
          <c:extLst>
            <c:ext xmlns:c15="http://schemas.microsoft.com/office/drawing/2012/chart" uri="{02D57815-91ED-43cb-92C2-25804820EDAC}">
              <c15:filteredCategoryTitle>
                <c15:cat>
                  <c:multiLvlStrRef>
                    <c:extLst>
                      <c:ext uri="{02D57815-91ED-43cb-92C2-25804820EDAC}">
                        <c15:formulaRef>
                          <c15:sqref>CSLI_Visual!#REF!</c15:sqref>
                        </c15:formulaRef>
                      </c:ext>
                    </c:extLst>
                  </c:multiLvlStrRef>
                </c15:cat>
              </c15:filteredCategoryTitle>
            </c:ext>
            <c:ext xmlns:c16="http://schemas.microsoft.com/office/drawing/2014/chart" uri="{C3380CC4-5D6E-409C-BE32-E72D297353CC}">
              <c16:uniqueId val="{0000003C-3B83-8041-8797-833180B1B3B5}"/>
            </c:ext>
          </c:extLst>
        </c:ser>
        <c:ser>
          <c:idx val="61"/>
          <c:order val="60"/>
          <c:tx>
            <c:strRef>
              <c:f>CSLI_Visual!$A$98</c:f>
              <c:strCache>
                <c:ptCount val="1"/>
                <c:pt idx="0">
                  <c:v> Czechia </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val>
            <c:numRef>
              <c:f>CSLI_Visual!$B$98:$F$98</c:f>
            </c:numRef>
          </c:val>
          <c:smooth val="0"/>
          <c:extLst>
            <c:ext xmlns:c15="http://schemas.microsoft.com/office/drawing/2012/chart" uri="{02D57815-91ED-43cb-92C2-25804820EDAC}">
              <c15:filteredCategoryTitle>
                <c15:cat>
                  <c:multiLvlStrRef>
                    <c:extLst>
                      <c:ext uri="{02D57815-91ED-43cb-92C2-25804820EDAC}">
                        <c15:formulaRef>
                          <c15:sqref>CSLI_Visual!#REF!</c15:sqref>
                        </c15:formulaRef>
                      </c:ext>
                    </c:extLst>
                  </c:multiLvlStrRef>
                </c15:cat>
              </c15:filteredCategoryTitle>
            </c:ext>
            <c:ext xmlns:c16="http://schemas.microsoft.com/office/drawing/2014/chart" uri="{C3380CC4-5D6E-409C-BE32-E72D297353CC}">
              <c16:uniqueId val="{0000003D-3B83-8041-8797-833180B1B3B5}"/>
            </c:ext>
          </c:extLst>
        </c:ser>
        <c:ser>
          <c:idx val="62"/>
          <c:order val="61"/>
          <c:tx>
            <c:strRef>
              <c:f>CSLI_Visual!$A$99</c:f>
              <c:strCache>
                <c:ptCount val="1"/>
                <c:pt idx="0">
                  <c:v> Hong Kong </c:v>
                </c:pt>
              </c:strCache>
            </c:strRef>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val>
            <c:numRef>
              <c:f>CSLI_Visual!$B$99:$F$99</c:f>
            </c:numRef>
          </c:val>
          <c:smooth val="0"/>
          <c:extLst>
            <c:ext xmlns:c15="http://schemas.microsoft.com/office/drawing/2012/chart" uri="{02D57815-91ED-43cb-92C2-25804820EDAC}">
              <c15:filteredCategoryTitle>
                <c15:cat>
                  <c:multiLvlStrRef>
                    <c:extLst>
                      <c:ext uri="{02D57815-91ED-43cb-92C2-25804820EDAC}">
                        <c15:formulaRef>
                          <c15:sqref>CSLI_Visual!#REF!</c15:sqref>
                        </c15:formulaRef>
                      </c:ext>
                    </c:extLst>
                  </c:multiLvlStrRef>
                </c15:cat>
              </c15:filteredCategoryTitle>
            </c:ext>
            <c:ext xmlns:c16="http://schemas.microsoft.com/office/drawing/2014/chart" uri="{C3380CC4-5D6E-409C-BE32-E72D297353CC}">
              <c16:uniqueId val="{0000003E-3B83-8041-8797-833180B1B3B5}"/>
            </c:ext>
          </c:extLst>
        </c:ser>
        <c:ser>
          <c:idx val="63"/>
          <c:order val="62"/>
          <c:tx>
            <c:strRef>
              <c:f>CSLI_Visual!$A$100</c:f>
              <c:strCache>
                <c:ptCount val="1"/>
                <c:pt idx="0">
                  <c:v> Croatia </c:v>
                </c:pt>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CSLI_Visual!$B$100:$F$100</c:f>
            </c:numRef>
          </c:val>
          <c:smooth val="0"/>
          <c:extLst>
            <c:ext xmlns:c15="http://schemas.microsoft.com/office/drawing/2012/chart" uri="{02D57815-91ED-43cb-92C2-25804820EDAC}">
              <c15:filteredCategoryTitle>
                <c15:cat>
                  <c:multiLvlStrRef>
                    <c:extLst>
                      <c:ext uri="{02D57815-91ED-43cb-92C2-25804820EDAC}">
                        <c15:formulaRef>
                          <c15:sqref>CSLI_Visual!#REF!</c15:sqref>
                        </c15:formulaRef>
                      </c:ext>
                    </c:extLst>
                  </c:multiLvlStrRef>
                </c15:cat>
              </c15:filteredCategoryTitle>
            </c:ext>
            <c:ext xmlns:c16="http://schemas.microsoft.com/office/drawing/2014/chart" uri="{C3380CC4-5D6E-409C-BE32-E72D297353CC}">
              <c16:uniqueId val="{0000003F-3B83-8041-8797-833180B1B3B5}"/>
            </c:ext>
          </c:extLst>
        </c:ser>
        <c:ser>
          <c:idx val="64"/>
          <c:order val="63"/>
          <c:tx>
            <c:strRef>
              <c:f>CSLI_Visual!$A$101</c:f>
              <c:strCache>
                <c:ptCount val="1"/>
                <c:pt idx="0">
                  <c:v> Norway </c:v>
                </c:pt>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CSLI_Visual!$B$101:$F$101</c:f>
            </c:numRef>
          </c:val>
          <c:smooth val="0"/>
          <c:extLst>
            <c:ext xmlns:c15="http://schemas.microsoft.com/office/drawing/2012/chart" uri="{02D57815-91ED-43cb-92C2-25804820EDAC}">
              <c15:filteredCategoryTitle>
                <c15:cat>
                  <c:multiLvlStrRef>
                    <c:extLst>
                      <c:ext uri="{02D57815-91ED-43cb-92C2-25804820EDAC}">
                        <c15:formulaRef>
                          <c15:sqref>CSLI_Visual!#REF!</c15:sqref>
                        </c15:formulaRef>
                      </c:ext>
                    </c:extLst>
                  </c:multiLvlStrRef>
                </c15:cat>
              </c15:filteredCategoryTitle>
            </c:ext>
            <c:ext xmlns:c16="http://schemas.microsoft.com/office/drawing/2014/chart" uri="{C3380CC4-5D6E-409C-BE32-E72D297353CC}">
              <c16:uniqueId val="{00000040-3B83-8041-8797-833180B1B3B5}"/>
            </c:ext>
          </c:extLst>
        </c:ser>
        <c:ser>
          <c:idx val="65"/>
          <c:order val="64"/>
          <c:tx>
            <c:strRef>
              <c:f>CSLI_Visual!$A$102</c:f>
              <c:strCache>
                <c:ptCount val="1"/>
                <c:pt idx="0">
                  <c:v> Finland </c:v>
                </c:pt>
              </c:strCache>
            </c:strRef>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val>
            <c:numRef>
              <c:f>CSLI_Visual!$B$102:$F$102</c:f>
            </c:numRef>
          </c:val>
          <c:smooth val="0"/>
          <c:extLst>
            <c:ext xmlns:c15="http://schemas.microsoft.com/office/drawing/2012/chart" uri="{02D57815-91ED-43cb-92C2-25804820EDAC}">
              <c15:filteredCategoryTitle>
                <c15:cat>
                  <c:multiLvlStrRef>
                    <c:extLst>
                      <c:ext uri="{02D57815-91ED-43cb-92C2-25804820EDAC}">
                        <c15:formulaRef>
                          <c15:sqref>CSLI_Visual!#REF!</c15:sqref>
                        </c15:formulaRef>
                      </c:ext>
                    </c:extLst>
                  </c:multiLvlStrRef>
                </c15:cat>
              </c15:filteredCategoryTitle>
            </c:ext>
            <c:ext xmlns:c16="http://schemas.microsoft.com/office/drawing/2014/chart" uri="{C3380CC4-5D6E-409C-BE32-E72D297353CC}">
              <c16:uniqueId val="{00000041-3B83-8041-8797-833180B1B3B5}"/>
            </c:ext>
          </c:extLst>
        </c:ser>
        <c:ser>
          <c:idx val="66"/>
          <c:order val="65"/>
          <c:tx>
            <c:strRef>
              <c:f>CSLI_Visual!#REF!</c:f>
              <c:strCache>
                <c:ptCount val="1"/>
                <c:pt idx="0">
                  <c:v>#REF!</c:v>
                </c:pt>
              </c:strCache>
            </c:strRef>
          </c:tx>
          <c:spPr>
            <a:ln w="28575" cap="rnd">
              <a:solidFill>
                <a:schemeClr val="accent1">
                  <a:lumMod val="80000"/>
                  <a:lumOff val="20000"/>
                </a:schemeClr>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val>
            <c:numRef>
              <c:f>CSLI_Visual!#REF!</c:f>
              <c:numCache>
                <c:formatCode>General</c:formatCode>
                <c:ptCount val="1"/>
                <c:pt idx="0">
                  <c:v>1</c:v>
                </c:pt>
              </c:numCache>
            </c:numRef>
          </c:val>
          <c:smooth val="0"/>
          <c:extLst>
            <c:ext xmlns:c15="http://schemas.microsoft.com/office/drawing/2012/chart" uri="{02D57815-91ED-43cb-92C2-25804820EDAC}">
              <c15:filteredCategoryTitle>
                <c15:cat>
                  <c:multiLvlStrRef>
                    <c:extLst>
                      <c:ext uri="{02D57815-91ED-43cb-92C2-25804820EDAC}">
                        <c15:formulaRef>
                          <c15:sqref>CSLI_Visual!#REF!</c15:sqref>
                        </c15:formulaRef>
                      </c:ext>
                    </c:extLst>
                  </c:multiLvlStrRef>
                </c15:cat>
              </c15:filteredCategoryTitle>
            </c:ext>
            <c:ext xmlns:c16="http://schemas.microsoft.com/office/drawing/2014/chart" uri="{C3380CC4-5D6E-409C-BE32-E72D297353CC}">
              <c16:uniqueId val="{00000042-3B83-8041-8797-833180B1B3B5}"/>
            </c:ext>
          </c:extLst>
        </c:ser>
        <c:dLbls>
          <c:showLegendKey val="0"/>
          <c:showVal val="0"/>
          <c:showCatName val="0"/>
          <c:showSerName val="0"/>
          <c:showPercent val="0"/>
          <c:showBubbleSize val="0"/>
        </c:dLbls>
        <c:marker val="1"/>
        <c:smooth val="0"/>
        <c:axId val="1368684336"/>
        <c:axId val="1324047824"/>
      </c:lineChart>
      <c:catAx>
        <c:axId val="136868433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4047824"/>
        <c:crosses val="autoZero"/>
        <c:auto val="1"/>
        <c:lblAlgn val="ctr"/>
        <c:lblOffset val="100"/>
        <c:noMultiLvlLbl val="0"/>
      </c:catAx>
      <c:valAx>
        <c:axId val="1324047824"/>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CSLI-s Scores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8684336"/>
        <c:crosses val="autoZero"/>
        <c:crossBetween val="between"/>
      </c:valAx>
      <c:spPr>
        <a:noFill/>
        <a:ln>
          <a:noFill/>
        </a:ln>
        <a:effectLst/>
      </c:spPr>
    </c:plotArea>
    <c:legend>
      <c:legendPos val="b"/>
      <c:legendEntry>
        <c:idx val="5"/>
        <c:delete val="1"/>
      </c:legendEntry>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CSLI_Visual!$A$106</c:f>
              <c:strCache>
                <c:ptCount val="1"/>
                <c:pt idx="0">
                  <c:v> CSLI-s </c:v>
                </c:pt>
              </c:strCache>
            </c:strRef>
          </c:tx>
          <c:spPr>
            <a:solidFill>
              <a:schemeClr val="accent1"/>
            </a:solidFill>
            <a:ln>
              <a:noFill/>
            </a:ln>
            <a:effectLst/>
          </c:spPr>
          <c:invertIfNegative val="0"/>
          <c:trendline>
            <c:name>Trendline with Forecast</c:name>
            <c:spPr>
              <a:ln w="19050" cap="rnd">
                <a:solidFill>
                  <a:schemeClr val="accent2"/>
                </a:solidFill>
                <a:prstDash val="sysDash"/>
                <a:tailEnd type="triangle"/>
              </a:ln>
              <a:effectLst/>
            </c:spPr>
            <c:trendlineType val="exp"/>
            <c:forward val="1"/>
            <c:dispRSqr val="0"/>
            <c:dispEq val="0"/>
          </c:trendline>
          <c:errBars>
            <c:errBarType val="both"/>
            <c:errValType val="cust"/>
            <c:noEndCap val="0"/>
            <c:plus>
              <c:numRef>
                <c:f>CSLI_Visual!$B$105:$F$105</c:f>
                <c:numCache>
                  <c:formatCode>General</c:formatCode>
                  <c:ptCount val="5"/>
                  <c:pt idx="0">
                    <c:v>2.5757050346723997E-2</c:v>
                  </c:pt>
                  <c:pt idx="1">
                    <c:v>3.0486766633071097E-2</c:v>
                  </c:pt>
                  <c:pt idx="2">
                    <c:v>2.6307198639817179E-2</c:v>
                  </c:pt>
                  <c:pt idx="3">
                    <c:v>2.7193863742256942E-2</c:v>
                  </c:pt>
                  <c:pt idx="4">
                    <c:v>2.4466207933370326E-2</c:v>
                  </c:pt>
                </c:numCache>
              </c:numRef>
            </c:plus>
            <c:minus>
              <c:numRef>
                <c:f>CSLI_Visual!$B$105:$F$105</c:f>
                <c:numCache>
                  <c:formatCode>General</c:formatCode>
                  <c:ptCount val="5"/>
                  <c:pt idx="0">
                    <c:v>2.5757050346723997E-2</c:v>
                  </c:pt>
                  <c:pt idx="1">
                    <c:v>3.0486766633071097E-2</c:v>
                  </c:pt>
                  <c:pt idx="2">
                    <c:v>2.6307198639817179E-2</c:v>
                  </c:pt>
                  <c:pt idx="3">
                    <c:v>2.7193863742256942E-2</c:v>
                  </c:pt>
                  <c:pt idx="4">
                    <c:v>2.4466207933370326E-2</c:v>
                  </c:pt>
                </c:numCache>
              </c:numRef>
            </c:minus>
            <c:spPr>
              <a:noFill/>
              <a:ln w="9525" cap="flat" cmpd="sng" algn="ctr">
                <a:solidFill>
                  <a:schemeClr val="tx1">
                    <a:lumMod val="65000"/>
                    <a:lumOff val="35000"/>
                  </a:schemeClr>
                </a:solidFill>
                <a:round/>
              </a:ln>
              <a:effectLst/>
            </c:spPr>
          </c:errBars>
          <c:val>
            <c:numRef>
              <c:f>CSLI_Visual!$B$106:$F$106</c:f>
              <c:numCache>
                <c:formatCode>0.00</c:formatCode>
                <c:ptCount val="5"/>
                <c:pt idx="0">
                  <c:v>0.33437008711459587</c:v>
                </c:pt>
                <c:pt idx="1">
                  <c:v>0.32365193878854626</c:v>
                </c:pt>
                <c:pt idx="2">
                  <c:v>0.33641985220596587</c:v>
                </c:pt>
                <c:pt idx="3">
                  <c:v>0.34474271648865989</c:v>
                </c:pt>
                <c:pt idx="4">
                  <c:v>0.3969638302788015</c:v>
                </c:pt>
              </c:numCache>
            </c:numRef>
          </c:val>
          <c:extLst>
            <c:ext xmlns:c15="http://schemas.microsoft.com/office/drawing/2012/chart" uri="{02D57815-91ED-43cb-92C2-25804820EDAC}">
              <c15:filteredCategoryTitle>
                <c15:cat>
                  <c:multiLvlStrRef>
                    <c:extLst>
                      <c:ext uri="{02D57815-91ED-43cb-92C2-25804820EDAC}">
                        <c15:formulaRef>
                          <c15:sqref>CSLI_Visual!#REF!</c15:sqref>
                        </c15:formulaRef>
                      </c:ext>
                    </c:extLst>
                  </c:multiLvlStrRef>
                </c15:cat>
              </c15:filteredCategoryTitle>
            </c:ext>
            <c:ext xmlns:c16="http://schemas.microsoft.com/office/drawing/2014/chart" uri="{C3380CC4-5D6E-409C-BE32-E72D297353CC}">
              <c16:uniqueId val="{00000000-C0A9-184E-9406-2B6EED05E47F}"/>
            </c:ext>
          </c:extLst>
        </c:ser>
        <c:dLbls>
          <c:showLegendKey val="0"/>
          <c:showVal val="0"/>
          <c:showCatName val="0"/>
          <c:showSerName val="0"/>
          <c:showPercent val="0"/>
          <c:showBubbleSize val="0"/>
        </c:dLbls>
        <c:gapWidth val="219"/>
        <c:overlap val="-27"/>
        <c:axId val="1334986288"/>
        <c:axId val="1369715328"/>
      </c:barChart>
      <c:catAx>
        <c:axId val="133498628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a:latin typeface="Times New Roman" panose="02020603050405020304" pitchFamily="18" charset="0"/>
                    <a:cs typeface="Times New Roman" panose="02020603050405020304" pitchFamily="18" charset="0"/>
                  </a:rPr>
                  <a:t>Time</a:t>
                </a:r>
                <a:r>
                  <a:rPr lang="en-US" baseline="0">
                    <a:latin typeface="Times New Roman" panose="02020603050405020304" pitchFamily="18" charset="0"/>
                    <a:cs typeface="Times New Roman" panose="02020603050405020304" pitchFamily="18" charset="0"/>
                  </a:rPr>
                  <a:t> (Years)</a:t>
                </a:r>
                <a:endParaRPr lang="en-US">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9715328"/>
        <c:crosses val="autoZero"/>
        <c:auto val="1"/>
        <c:lblAlgn val="ctr"/>
        <c:lblOffset val="100"/>
        <c:noMultiLvlLbl val="0"/>
      </c:catAx>
      <c:valAx>
        <c:axId val="1369715328"/>
        <c:scaling>
          <c:orientation val="minMax"/>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a:latin typeface="Times New Roman" panose="02020603050405020304" pitchFamily="18" charset="0"/>
                    <a:cs typeface="Times New Roman" panose="02020603050405020304" pitchFamily="18" charset="0"/>
                  </a:rPr>
                  <a:t>Average CS Literacy Score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33498628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v>2014</c:v>
          </c:tx>
          <c:spPr>
            <a:solidFill>
              <a:schemeClr val="accent1"/>
            </a:solidFill>
            <a:ln>
              <a:noFill/>
            </a:ln>
            <a:effectLst/>
          </c:spPr>
          <c:invertIfNegative val="0"/>
          <c:trendline>
            <c:name>Trendline with Forecast</c:name>
            <c:spPr>
              <a:ln w="19050" cap="rnd">
                <a:noFill/>
                <a:prstDash val="sysDash"/>
                <a:tailEnd type="triangle"/>
              </a:ln>
              <a:effectLst/>
            </c:spPr>
            <c:trendlineType val="exp"/>
            <c:forward val="1"/>
            <c:dispRSqr val="0"/>
            <c:dispEq val="0"/>
          </c:trendline>
          <c:cat>
            <c:strRef>
              <c:f>CSLI_Visual!$A$107:$A$113</c:f>
              <c:strCache>
                <c:ptCount val="7"/>
                <c:pt idx="0">
                  <c:v> Africa </c:v>
                </c:pt>
                <c:pt idx="1">
                  <c:v> Asia </c:v>
                </c:pt>
                <c:pt idx="2">
                  <c:v> Europe </c:v>
                </c:pt>
                <c:pt idx="3">
                  <c:v> Middle East </c:v>
                </c:pt>
                <c:pt idx="4">
                  <c:v> North America </c:v>
                </c:pt>
                <c:pt idx="5">
                  <c:v> Oceania </c:v>
                </c:pt>
                <c:pt idx="6">
                  <c:v> South America </c:v>
                </c:pt>
              </c:strCache>
            </c:strRef>
          </c:cat>
          <c:val>
            <c:numRef>
              <c:f>CSLI_Visual!$B$107:$B$113</c:f>
              <c:numCache>
                <c:formatCode>0.00</c:formatCode>
                <c:ptCount val="7"/>
                <c:pt idx="0">
                  <c:v>0.2120653382255627</c:v>
                </c:pt>
                <c:pt idx="1">
                  <c:v>0.31964065867942731</c:v>
                </c:pt>
                <c:pt idx="2">
                  <c:v>0.36649390877151483</c:v>
                </c:pt>
                <c:pt idx="3">
                  <c:v>0.3785155541663196</c:v>
                </c:pt>
                <c:pt idx="4">
                  <c:v>0.21651872609778225</c:v>
                </c:pt>
                <c:pt idx="5">
                  <c:v>0.65954372059228827</c:v>
                </c:pt>
                <c:pt idx="6">
                  <c:v>0.26514269451401823</c:v>
                </c:pt>
              </c:numCache>
            </c:numRef>
          </c:val>
          <c:extLst>
            <c:ext xmlns:c16="http://schemas.microsoft.com/office/drawing/2014/chart" uri="{C3380CC4-5D6E-409C-BE32-E72D297353CC}">
              <c16:uniqueId val="{00000001-D845-034C-987A-38D590FB91AB}"/>
            </c:ext>
          </c:extLst>
        </c:ser>
        <c:ser>
          <c:idx val="1"/>
          <c:order val="1"/>
          <c:tx>
            <c:v>2015</c:v>
          </c:tx>
          <c:spPr>
            <a:solidFill>
              <a:schemeClr val="accent2"/>
            </a:solidFill>
            <a:ln>
              <a:noFill/>
            </a:ln>
            <a:effectLst/>
          </c:spPr>
          <c:invertIfNegative val="0"/>
          <c:cat>
            <c:strRef>
              <c:f>CSLI_Visual!$A$107:$A$113</c:f>
              <c:strCache>
                <c:ptCount val="7"/>
                <c:pt idx="0">
                  <c:v> Africa </c:v>
                </c:pt>
                <c:pt idx="1">
                  <c:v> Asia </c:v>
                </c:pt>
                <c:pt idx="2">
                  <c:v> Europe </c:v>
                </c:pt>
                <c:pt idx="3">
                  <c:v> Middle East </c:v>
                </c:pt>
                <c:pt idx="4">
                  <c:v> North America </c:v>
                </c:pt>
                <c:pt idx="5">
                  <c:v> Oceania </c:v>
                </c:pt>
                <c:pt idx="6">
                  <c:v> South America </c:v>
                </c:pt>
              </c:strCache>
            </c:strRef>
          </c:cat>
          <c:val>
            <c:numRef>
              <c:f>CSLI_Visual!$C$107:$C$113</c:f>
              <c:numCache>
                <c:formatCode>0.00</c:formatCode>
                <c:ptCount val="7"/>
                <c:pt idx="0">
                  <c:v>0.24758844512512582</c:v>
                </c:pt>
                <c:pt idx="1">
                  <c:v>0.3365142800764605</c:v>
                </c:pt>
                <c:pt idx="2">
                  <c:v>0.34573760153717031</c:v>
                </c:pt>
                <c:pt idx="3">
                  <c:v>0.33539371430997678</c:v>
                </c:pt>
                <c:pt idx="4">
                  <c:v>0.31914525195667381</c:v>
                </c:pt>
                <c:pt idx="5">
                  <c:v>0.62025181714294253</c:v>
                </c:pt>
                <c:pt idx="6">
                  <c:v>0.15963227767866475</c:v>
                </c:pt>
              </c:numCache>
            </c:numRef>
          </c:val>
          <c:extLst>
            <c:ext xmlns:c16="http://schemas.microsoft.com/office/drawing/2014/chart" uri="{C3380CC4-5D6E-409C-BE32-E72D297353CC}">
              <c16:uniqueId val="{00000002-D845-034C-987A-38D590FB91AB}"/>
            </c:ext>
          </c:extLst>
        </c:ser>
        <c:ser>
          <c:idx val="2"/>
          <c:order val="2"/>
          <c:tx>
            <c:v>2016</c:v>
          </c:tx>
          <c:spPr>
            <a:solidFill>
              <a:schemeClr val="accent3"/>
            </a:solidFill>
            <a:ln>
              <a:noFill/>
            </a:ln>
            <a:effectLst/>
          </c:spPr>
          <c:invertIfNegative val="0"/>
          <c:cat>
            <c:strRef>
              <c:f>CSLI_Visual!$A$107:$A$113</c:f>
              <c:strCache>
                <c:ptCount val="7"/>
                <c:pt idx="0">
                  <c:v> Africa </c:v>
                </c:pt>
                <c:pt idx="1">
                  <c:v> Asia </c:v>
                </c:pt>
                <c:pt idx="2">
                  <c:v> Europe </c:v>
                </c:pt>
                <c:pt idx="3">
                  <c:v> Middle East </c:v>
                </c:pt>
                <c:pt idx="4">
                  <c:v> North America </c:v>
                </c:pt>
                <c:pt idx="5">
                  <c:v> Oceania </c:v>
                </c:pt>
                <c:pt idx="6">
                  <c:v> South America </c:v>
                </c:pt>
              </c:strCache>
            </c:strRef>
          </c:cat>
          <c:val>
            <c:numRef>
              <c:f>CSLI_Visual!$D$107:$D$113</c:f>
              <c:numCache>
                <c:formatCode>0.00</c:formatCode>
                <c:ptCount val="7"/>
                <c:pt idx="0">
                  <c:v>0.22221185615532327</c:v>
                </c:pt>
                <c:pt idx="1">
                  <c:v>0.3541605261298027</c:v>
                </c:pt>
                <c:pt idx="2">
                  <c:v>0.34250975253136534</c:v>
                </c:pt>
                <c:pt idx="3">
                  <c:v>0.40717539909138167</c:v>
                </c:pt>
                <c:pt idx="4">
                  <c:v>0.35487865850636208</c:v>
                </c:pt>
                <c:pt idx="5">
                  <c:v>0.64070069202896041</c:v>
                </c:pt>
                <c:pt idx="6">
                  <c:v>0.2062955274997029</c:v>
                </c:pt>
              </c:numCache>
            </c:numRef>
          </c:val>
          <c:extLst>
            <c:ext xmlns:c16="http://schemas.microsoft.com/office/drawing/2014/chart" uri="{C3380CC4-5D6E-409C-BE32-E72D297353CC}">
              <c16:uniqueId val="{00000003-D845-034C-987A-38D590FB91AB}"/>
            </c:ext>
          </c:extLst>
        </c:ser>
        <c:ser>
          <c:idx val="3"/>
          <c:order val="3"/>
          <c:tx>
            <c:v>2017</c:v>
          </c:tx>
          <c:spPr>
            <a:solidFill>
              <a:schemeClr val="accent4"/>
            </a:solidFill>
            <a:ln>
              <a:noFill/>
            </a:ln>
            <a:effectLst/>
          </c:spPr>
          <c:invertIfNegative val="0"/>
          <c:cat>
            <c:strRef>
              <c:f>CSLI_Visual!$A$107:$A$113</c:f>
              <c:strCache>
                <c:ptCount val="7"/>
                <c:pt idx="0">
                  <c:v> Africa </c:v>
                </c:pt>
                <c:pt idx="1">
                  <c:v> Asia </c:v>
                </c:pt>
                <c:pt idx="2">
                  <c:v> Europe </c:v>
                </c:pt>
                <c:pt idx="3">
                  <c:v> Middle East </c:v>
                </c:pt>
                <c:pt idx="4">
                  <c:v> North America </c:v>
                </c:pt>
                <c:pt idx="5">
                  <c:v> Oceania </c:v>
                </c:pt>
                <c:pt idx="6">
                  <c:v> South America </c:v>
                </c:pt>
              </c:strCache>
            </c:strRef>
          </c:cat>
          <c:val>
            <c:numRef>
              <c:f>CSLI_Visual!$E$107:$E$113</c:f>
              <c:numCache>
                <c:formatCode>0.00</c:formatCode>
                <c:ptCount val="7"/>
                <c:pt idx="0">
                  <c:v>0.23524711872584655</c:v>
                </c:pt>
                <c:pt idx="1">
                  <c:v>0.38906760305291427</c:v>
                </c:pt>
                <c:pt idx="2">
                  <c:v>0.34820050794462465</c:v>
                </c:pt>
                <c:pt idx="3">
                  <c:v>0.3949645409254755</c:v>
                </c:pt>
                <c:pt idx="4">
                  <c:v>0.34433033713078781</c:v>
                </c:pt>
                <c:pt idx="5">
                  <c:v>0.58268574161460918</c:v>
                </c:pt>
                <c:pt idx="6">
                  <c:v>0.19951888280122484</c:v>
                </c:pt>
              </c:numCache>
            </c:numRef>
          </c:val>
          <c:extLst>
            <c:ext xmlns:c16="http://schemas.microsoft.com/office/drawing/2014/chart" uri="{C3380CC4-5D6E-409C-BE32-E72D297353CC}">
              <c16:uniqueId val="{00000004-D845-034C-987A-38D590FB91AB}"/>
            </c:ext>
          </c:extLst>
        </c:ser>
        <c:ser>
          <c:idx val="4"/>
          <c:order val="4"/>
          <c:tx>
            <c:v>2018</c:v>
          </c:tx>
          <c:spPr>
            <a:solidFill>
              <a:schemeClr val="accent5"/>
            </a:solidFill>
            <a:ln>
              <a:noFill/>
            </a:ln>
            <a:effectLst/>
          </c:spPr>
          <c:invertIfNegative val="0"/>
          <c:cat>
            <c:strRef>
              <c:f>CSLI_Visual!$A$107:$A$113</c:f>
              <c:strCache>
                <c:ptCount val="7"/>
                <c:pt idx="0">
                  <c:v> Africa </c:v>
                </c:pt>
                <c:pt idx="1">
                  <c:v> Asia </c:v>
                </c:pt>
                <c:pt idx="2">
                  <c:v> Europe </c:v>
                </c:pt>
                <c:pt idx="3">
                  <c:v> Middle East </c:v>
                </c:pt>
                <c:pt idx="4">
                  <c:v> North America </c:v>
                </c:pt>
                <c:pt idx="5">
                  <c:v> Oceania </c:v>
                </c:pt>
                <c:pt idx="6">
                  <c:v> South America </c:v>
                </c:pt>
              </c:strCache>
            </c:strRef>
          </c:cat>
          <c:val>
            <c:numRef>
              <c:f>CSLI_Visual!$F$107:$F$113</c:f>
              <c:numCache>
                <c:formatCode>0.00</c:formatCode>
                <c:ptCount val="7"/>
                <c:pt idx="0">
                  <c:v>0.36023353358721838</c:v>
                </c:pt>
                <c:pt idx="1">
                  <c:v>0.41593728965975352</c:v>
                </c:pt>
                <c:pt idx="2">
                  <c:v>0.38588930343414973</c:v>
                </c:pt>
                <c:pt idx="3">
                  <c:v>0.42630889409434658</c:v>
                </c:pt>
                <c:pt idx="4">
                  <c:v>0.40208634699807488</c:v>
                </c:pt>
                <c:pt idx="5">
                  <c:v>0.74893075375140117</c:v>
                </c:pt>
                <c:pt idx="6">
                  <c:v>0.28859582005865453</c:v>
                </c:pt>
              </c:numCache>
            </c:numRef>
          </c:val>
          <c:extLst>
            <c:ext xmlns:c16="http://schemas.microsoft.com/office/drawing/2014/chart" uri="{C3380CC4-5D6E-409C-BE32-E72D297353CC}">
              <c16:uniqueId val="{00000005-D845-034C-987A-38D590FB91AB}"/>
            </c:ext>
          </c:extLst>
        </c:ser>
        <c:dLbls>
          <c:showLegendKey val="0"/>
          <c:showVal val="0"/>
          <c:showCatName val="0"/>
          <c:showSerName val="0"/>
          <c:showPercent val="0"/>
          <c:showBubbleSize val="0"/>
        </c:dLbls>
        <c:gapWidth val="219"/>
        <c:overlap val="-27"/>
        <c:axId val="1334986288"/>
        <c:axId val="1369715328"/>
      </c:barChart>
      <c:catAx>
        <c:axId val="133498628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a:latin typeface="Times New Roman" panose="02020603050405020304" pitchFamily="18" charset="0"/>
                    <a:cs typeface="Times New Roman" panose="02020603050405020304" pitchFamily="18" charset="0"/>
                  </a:rPr>
                  <a:t>Time</a:t>
                </a:r>
                <a:r>
                  <a:rPr lang="en-US" baseline="0">
                    <a:latin typeface="Times New Roman" panose="02020603050405020304" pitchFamily="18" charset="0"/>
                    <a:cs typeface="Times New Roman" panose="02020603050405020304" pitchFamily="18" charset="0"/>
                  </a:rPr>
                  <a:t> (Years)</a:t>
                </a:r>
                <a:endParaRPr lang="en-US">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369715328"/>
        <c:crosses val="autoZero"/>
        <c:auto val="1"/>
        <c:lblAlgn val="ctr"/>
        <c:lblOffset val="100"/>
        <c:noMultiLvlLbl val="0"/>
      </c:catAx>
      <c:valAx>
        <c:axId val="1369715328"/>
        <c:scaling>
          <c:orientation val="minMax"/>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a:latin typeface="Times New Roman" panose="02020603050405020304" pitchFamily="18" charset="0"/>
                    <a:cs typeface="Times New Roman" panose="02020603050405020304" pitchFamily="18" charset="0"/>
                  </a:rPr>
                  <a:t>Average CS Literacy Score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334986288"/>
        <c:crosses val="autoZero"/>
        <c:crossBetween val="between"/>
      </c:valAx>
      <c:spPr>
        <a:noFill/>
        <a:ln>
          <a:noFill/>
        </a:ln>
        <a:effectLst/>
      </c:spPr>
    </c:plotArea>
    <c:legend>
      <c:legendPos val="t"/>
      <c:legendEntry>
        <c:idx val="5"/>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0</xdr:col>
      <xdr:colOff>47624</xdr:colOff>
      <xdr:row>0</xdr:row>
      <xdr:rowOff>57150</xdr:rowOff>
    </xdr:from>
    <xdr:to>
      <xdr:col>20</xdr:col>
      <xdr:colOff>161925</xdr:colOff>
      <xdr:row>18</xdr:row>
      <xdr:rowOff>123825</xdr:rowOff>
    </xdr:to>
    <xdr:graphicFrame macro="">
      <xdr:nvGraphicFramePr>
        <xdr:cNvPr id="2" name="Grafik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171450</xdr:colOff>
      <xdr:row>0</xdr:row>
      <xdr:rowOff>171450</xdr:rowOff>
    </xdr:from>
    <xdr:to>
      <xdr:col>16</xdr:col>
      <xdr:colOff>431800</xdr:colOff>
      <xdr:row>34</xdr:row>
      <xdr:rowOff>12700</xdr:rowOff>
    </xdr:to>
    <xdr:graphicFrame macro="">
      <xdr:nvGraphicFramePr>
        <xdr:cNvPr id="3" name="Chart 2">
          <a:extLst>
            <a:ext uri="{FF2B5EF4-FFF2-40B4-BE49-F238E27FC236}">
              <a16:creationId xmlns:a16="http://schemas.microsoft.com/office/drawing/2014/main" id="{89D69D33-5712-0F4E-9BB3-F2A2448825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165100</xdr:colOff>
      <xdr:row>114</xdr:row>
      <xdr:rowOff>44450</xdr:rowOff>
    </xdr:from>
    <xdr:to>
      <xdr:col>8</xdr:col>
      <xdr:colOff>38100</xdr:colOff>
      <xdr:row>128</xdr:row>
      <xdr:rowOff>120650</xdr:rowOff>
    </xdr:to>
    <xdr:graphicFrame macro="">
      <xdr:nvGraphicFramePr>
        <xdr:cNvPr id="4" name="Chart 3">
          <a:extLst>
            <a:ext uri="{FF2B5EF4-FFF2-40B4-BE49-F238E27FC236}">
              <a16:creationId xmlns:a16="http://schemas.microsoft.com/office/drawing/2014/main" id="{DD88B65F-CD63-3E42-850B-1099D2AE40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215900</xdr:colOff>
      <xdr:row>129</xdr:row>
      <xdr:rowOff>165100</xdr:rowOff>
    </xdr:from>
    <xdr:to>
      <xdr:col>8</xdr:col>
      <xdr:colOff>88900</xdr:colOff>
      <xdr:row>144</xdr:row>
      <xdr:rowOff>50800</xdr:rowOff>
    </xdr:to>
    <xdr:graphicFrame macro="">
      <xdr:nvGraphicFramePr>
        <xdr:cNvPr id="5" name="Chart 4">
          <a:extLst>
            <a:ext uri="{FF2B5EF4-FFF2-40B4-BE49-F238E27FC236}">
              <a16:creationId xmlns:a16="http://schemas.microsoft.com/office/drawing/2014/main" id="{29CA8929-2B40-924A-B242-405BDC4FA4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Data_UN/WPP2019_POP_F01_1_TOTAL_POPULATION_BOTH_SEXE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Data_UN/2017_HDI-Data.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csv"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1).csv"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2).csv"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3).csv"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4).csv"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5).csv"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6).csv"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7).csv"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8).csv"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9).csv"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10).csv"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11).csv"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12).csv"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13).csv"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14).csv"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15).csv"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16).csv"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17).csv"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18).csv"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19).csv"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20).csv"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21).csv"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22).csv"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23).csv"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24).csv"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25).csv"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26).csv"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27).csv"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28).csv"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29).csv"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30).csv"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31).csv"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32).csv"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33).csv"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34).csv"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35).csv"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36).csv"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37).csv"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38).csv"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39).csv"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40).csv"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41).csv"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42).csv"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43).csv"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44).csv"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45).csv"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46).csv"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47).csv"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48).csv"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49).csv"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50).csv"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51).csv"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52).csv"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53).csv"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54).csv"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55).csv"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56).csv"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57).csv"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58).csv"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59).csv"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60).csv"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61).csv"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62).csv"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63).csv"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64).csv"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65).csv"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66).csv"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138).csv"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143).csv"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146).csv"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147).csv"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149).csv"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150).csv"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156).csv"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158).csv"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160).csv"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162).csv"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164).csv"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166).csv"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168).csv"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170).csv"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131).csv"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133).csv"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135).csv"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137).csv"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140).csv"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141).csv"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144).csv"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148).csv" TargetMode="External"/></Relationships>
</file>

<file path=xl/externalLinks/_rels/externalLink92.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151).csv"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152).csv"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154).csv"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96).csv" TargetMode="External"/></Relationships>
</file>

<file path=xl/externalLinks/_rels/externalLink96.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97).csv" TargetMode="External"/></Relationships>
</file>

<file path=xl/externalLinks/_rels/externalLink97.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109).csv" TargetMode="External"/></Relationships>
</file>

<file path=xl/externalLinks/_rels/externalLink98.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110).csv" TargetMode="External"/></Relationships>
</file>

<file path=xl/externalLinks/_rels/externalLink99.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126).csv" TargetMode="External"/></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128).csv" TargetMode="External"/></Relationships>
</file>

<file path=xl/externalLinks/_rels/externalLink101.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129).csv" TargetMode="External"/></Relationships>
</file>

<file path=xl/externalLinks/_rels/externalLink102.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153).csv" TargetMode="External"/></Relationships>
</file>

<file path=xl/externalLinks/_rels/externalLink103.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155).csv" TargetMode="External"/></Relationships>
</file>

<file path=xl/externalLinks/_rels/externalLink104.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157).csv" TargetMode="External"/></Relationships>
</file>

<file path=xl/externalLinks/_rels/externalLink105.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159).csv" TargetMode="External"/></Relationships>
</file>

<file path=xl/externalLinks/_rels/externalLink106.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161).csv" TargetMode="External"/></Relationships>
</file>

<file path=xl/externalLinks/_rels/externalLink107.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169).csv" TargetMode="External"/></Relationships>
</file>

<file path=xl/externalLinks/_rels/externalLink108.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171).csv" TargetMode="External"/></Relationships>
</file>

<file path=xl/externalLinks/_rels/externalLink109.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87).csv" TargetMode="External"/></Relationships>
</file>

<file path=xl/externalLinks/_rels/externalLink110.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90).csv" TargetMode="External"/></Relationships>
</file>

<file path=xl/externalLinks/_rels/externalLink111.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107).csv" TargetMode="External"/></Relationships>
</file>

<file path=xl/externalLinks/_rels/externalLink112.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116).csv" TargetMode="External"/></Relationships>
</file>

<file path=xl/externalLinks/_rels/externalLink113.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117).csv" TargetMode="External"/></Relationships>
</file>

<file path=xl/externalLinks/_rels/externalLink114.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119).csv" TargetMode="External"/></Relationships>
</file>

<file path=xl/externalLinks/_rels/externalLink115.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139).csv" TargetMode="External"/></Relationships>
</file>

<file path=xl/externalLinks/_rels/externalLink116.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145).csv" TargetMode="External"/></Relationships>
</file>

<file path=xl/externalLinks/_rels/externalLink117.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80).csv" TargetMode="External"/></Relationships>
</file>

<file path=xl/externalLinks/_rels/externalLink118.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81).csv" TargetMode="External"/></Relationships>
</file>

<file path=xl/externalLinks/_rels/externalLink119.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92).csv" TargetMode="External"/></Relationships>
</file>

<file path=xl/externalLinks/_rels/externalLink120.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93).csv" TargetMode="External"/></Relationships>
</file>

<file path=xl/externalLinks/_rels/externalLink121.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98).csv" TargetMode="External"/></Relationships>
</file>

<file path=xl/externalLinks/_rels/externalLink122.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100).csv" TargetMode="External"/></Relationships>
</file>

<file path=xl/externalLinks/_rels/externalLink123.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101).csv" TargetMode="External"/></Relationships>
</file>

<file path=xl/externalLinks/_rels/externalLink124.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112).csv" TargetMode="External"/></Relationships>
</file>

<file path=xl/externalLinks/_rels/externalLink125.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120).csv" TargetMode="External"/></Relationships>
</file>

<file path=xl/externalLinks/_rels/externalLink126.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124).csv" TargetMode="External"/></Relationships>
</file>

<file path=xl/externalLinks/_rels/externalLink127.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136).csv" TargetMode="External"/></Relationships>
</file>

<file path=xl/externalLinks/_rels/externalLink128.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78).csv" TargetMode="External"/></Relationships>
</file>

<file path=xl/externalLinks/_rels/externalLink129.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84).csv" TargetMode="External"/></Relationships>
</file>

<file path=xl/externalLinks/_rels/externalLink130.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85).csv" TargetMode="External"/></Relationships>
</file>

<file path=xl/externalLinks/_rels/externalLink131.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114).csv" TargetMode="External"/></Relationships>
</file>

<file path=xl/externalLinks/_rels/externalLink132.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115).csv" TargetMode="External"/></Relationships>
</file>

<file path=xl/externalLinks/_rels/externalLink133.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121).csv" TargetMode="External"/></Relationships>
</file>

<file path=xl/externalLinks/_rels/externalLink134.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134).csv" TargetMode="External"/></Relationships>
</file>

<file path=xl/externalLinks/_rels/externalLink135.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142).csv" TargetMode="External"/></Relationships>
</file>

<file path=xl/externalLinks/_rels/externalLink136.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89).csv" TargetMode="External"/></Relationships>
</file>

<file path=xl/externalLinks/_rels/externalLink137.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94).csv" TargetMode="External"/></Relationships>
</file>

<file path=xl/externalLinks/_rels/externalLink138.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105).csv" TargetMode="External"/></Relationships>
</file>

<file path=xl/externalLinks/_rels/externalLink139.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106).csv" TargetMode="External"/></Relationships>
</file>

<file path=xl/externalLinks/_rels/externalLink140.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118).csv" TargetMode="External"/></Relationships>
</file>

<file path=xl/externalLinks/_rels/externalLink141.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99).csv" TargetMode="External"/></Relationships>
</file>

<file path=xl/externalLinks/_rels/externalLink142.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123).csv" TargetMode="External"/></Relationships>
</file>

<file path=xl/externalLinks/_rels/externalLink143.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130).csv" TargetMode="External"/></Relationships>
</file>

<file path=xl/externalLinks/_rels/externalLink144.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163).csv" TargetMode="External"/></Relationships>
</file>

<file path=xl/externalLinks/_rels/externalLink145.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165).csv" TargetMode="External"/></Relationships>
</file>

<file path=xl/externalLinks/_rels/externalLink146.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167).csv" TargetMode="External"/></Relationships>
</file>

<file path=xl/externalLinks/_rels/externalLink147.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69).csv" TargetMode="External"/></Relationships>
</file>

<file path=xl/externalLinks/_rels/externalLink148.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70).csv" TargetMode="External"/></Relationships>
</file>

<file path=xl/externalLinks/_rels/externalLink149.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71).csv" TargetMode="External"/></Relationships>
</file>

<file path=xl/externalLinks/_rels/externalLink150.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111).csv" TargetMode="External"/></Relationships>
</file>

<file path=xl/externalLinks/_rels/externalLink151.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113).csv" TargetMode="External"/></Relationships>
</file>

<file path=xl/externalLinks/_rels/externalLink152.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122).csv" TargetMode="External"/></Relationships>
</file>

<file path=xl/externalLinks/_rels/externalLink153.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127).csv" TargetMode="External"/></Relationships>
</file>

<file path=xl/externalLinks/_rels/externalLink154.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132).csv" TargetMode="External"/></Relationships>
</file>

<file path=xl/externalLinks/_rels/externalLink155.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95).csv" TargetMode="External"/></Relationships>
</file>

<file path=xl/externalLinks/_rels/externalLink156.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125).csv" TargetMode="External"/></Relationships>
</file>

<file path=xl/externalLinks/_rels/externalLink157.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76).csv" TargetMode="External"/></Relationships>
</file>

<file path=xl/externalLinks/_rels/externalLink158.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77).csv" TargetMode="External"/></Relationships>
</file>

<file path=xl/externalLinks/_rels/externalLink159.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79).csv" TargetMode="External"/></Relationships>
</file>

<file path=xl/externalLinks/_rels/externalLink160.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103).csv" TargetMode="External"/></Relationships>
</file>

<file path=xl/externalLinks/_rels/externalLink161.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67).csv" TargetMode="External"/></Relationships>
</file>

<file path=xl/externalLinks/_rels/externalLink162.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68).csv" TargetMode="External"/></Relationships>
</file>

<file path=xl/externalLinks/_rels/externalLink163.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72).csv" TargetMode="External"/></Relationships>
</file>

<file path=xl/externalLinks/_rels/externalLink164.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73).csv" TargetMode="External"/></Relationships>
</file>

<file path=xl/externalLinks/_rels/externalLink165.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74).csv" TargetMode="External"/></Relationships>
</file>

<file path=xl/externalLinks/_rels/externalLink166.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82).csv" TargetMode="External"/></Relationships>
</file>

<file path=xl/externalLinks/_rels/externalLink167.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86).csv" TargetMode="External"/></Relationships>
</file>

<file path=xl/externalLinks/_rels/externalLink168.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102).csv" TargetMode="External"/></Relationships>
</file>

<file path=xl/externalLinks/_rels/externalLink169.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75).csv" TargetMode="External"/></Relationships>
</file>

<file path=xl/externalLinks/_rels/externalLink170.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91).csv" TargetMode="External"/></Relationships>
</file>

<file path=xl/externalLinks/_rels/externalLink171.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8_data_for_67_variables/geoMap%20(83).csv" TargetMode="External"/></Relationships>
</file>

<file path=xl/externalLinks/_rels/externalLink172.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7_data_for_26_variables/geoMap.csv" TargetMode="External"/></Relationships>
</file>

<file path=xl/externalLinks/_rels/externalLink173.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7_data_for_26_variables/geoMap%20(1).csv" TargetMode="External"/></Relationships>
</file>

<file path=xl/externalLinks/_rels/externalLink174.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7_data_for_26_variables/geoMap%20(2).csv" TargetMode="External"/></Relationships>
</file>

<file path=xl/externalLinks/_rels/externalLink175.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7_data_for_26_variables/geoMap%20(3).csv" TargetMode="External"/></Relationships>
</file>

<file path=xl/externalLinks/_rels/externalLink176.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7_data_for_26_variables/geoMap%20(4).csv" TargetMode="External"/></Relationships>
</file>

<file path=xl/externalLinks/_rels/externalLink177.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7_data_for_26_variables/geoMap%20(5).csv" TargetMode="External"/></Relationships>
</file>

<file path=xl/externalLinks/_rels/externalLink178.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7_data_for_26_variables/geoMap%20(6).csv" TargetMode="External"/></Relationships>
</file>

<file path=xl/externalLinks/_rels/externalLink179.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7_data_for_26_variables/geoMap%20(7).csv" TargetMode="External"/></Relationships>
</file>

<file path=xl/externalLinks/_rels/externalLink180.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7_data_for_26_variables/geoMap%20(8).csv" TargetMode="External"/></Relationships>
</file>

<file path=xl/externalLinks/_rels/externalLink181.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7_data_for_26_variables/geoMap%20(9).csv" TargetMode="External"/></Relationships>
</file>

<file path=xl/externalLinks/_rels/externalLink182.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7_data_for_26_variables/geoMap%20(10).csv" TargetMode="External"/></Relationships>
</file>

<file path=xl/externalLinks/_rels/externalLink183.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7_data_for_26_variables/geoMap%20(11).csv" TargetMode="External"/></Relationships>
</file>

<file path=xl/externalLinks/_rels/externalLink184.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7_data_for_26_variables/geoMap%20(12).csv" TargetMode="External"/></Relationships>
</file>

<file path=xl/externalLinks/_rels/externalLink185.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7_data_for_26_variables/geoMap%20(13).csv" TargetMode="External"/></Relationships>
</file>

<file path=xl/externalLinks/_rels/externalLink186.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7_data_for_26_variables/geoMap%20(14).csv" TargetMode="External"/></Relationships>
</file>

<file path=xl/externalLinks/_rels/externalLink187.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7_data_for_26_variables/geoMap%20(15).csv" TargetMode="External"/></Relationships>
</file>

<file path=xl/externalLinks/_rels/externalLink188.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7_data_for_26_variables/geoMap%20(16).csv" TargetMode="External"/></Relationships>
</file>

<file path=xl/externalLinks/_rels/externalLink189.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7_data_for_26_variables/geoMap%20(17).csv" TargetMode="External"/></Relationships>
</file>

<file path=xl/externalLinks/_rels/externalLink190.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7_data_for_26_variables/geoMap%20(18).csv" TargetMode="External"/></Relationships>
</file>

<file path=xl/externalLinks/_rels/externalLink191.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7_data_for_26_variables/geoMap%20(19).csv" TargetMode="External"/></Relationships>
</file>

<file path=xl/externalLinks/_rels/externalLink192.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7_data_for_26_variables/geoMap%20(20).csv" TargetMode="External"/></Relationships>
</file>

<file path=xl/externalLinks/_rels/externalLink193.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7_data_for_26_variables/geoMap%20(21).csv" TargetMode="External"/></Relationships>
</file>

<file path=xl/externalLinks/_rels/externalLink194.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7_data_for_26_variables/geoMap%20(22).csv" TargetMode="External"/></Relationships>
</file>

<file path=xl/externalLinks/_rels/externalLink195.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7_data_for_26_variables/geoMap%20(23).csv" TargetMode="External"/></Relationships>
</file>

<file path=xl/externalLinks/_rels/externalLink196.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7_data_for_26_variables/geoMap%20(24).csv" TargetMode="External"/></Relationships>
</file>

<file path=xl/externalLinks/_rels/externalLink197.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7_data_for_26_variables/geoMap%20(25).csv" TargetMode="External"/></Relationships>
</file>

<file path=xl/externalLinks/_rels/externalLink198.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7_data_for_26_variables/geoMap%20(30).csv" TargetMode="External"/></Relationships>
</file>

<file path=xl/externalLinks/_rels/externalLink199.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7_data_for_26_variables/geoMap%20(31).csv" TargetMode="External"/></Relationships>
</file>

<file path=xl/externalLinks/_rels/externalLink200.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7_data_for_26_variables/geoMap%20(34).csv" TargetMode="External"/></Relationships>
</file>

<file path=xl/externalLinks/_rels/externalLink201.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7_data_for_26_variables/geoMap%20(28).csv" TargetMode="External"/></Relationships>
</file>

<file path=xl/externalLinks/_rels/externalLink202.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7_data_for_26_variables/geoMap%20(32).csv" TargetMode="External"/></Relationships>
</file>

<file path=xl/externalLinks/_rels/externalLink203.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7_data_for_26_variables/geoMap%20(33).csv" TargetMode="External"/></Relationships>
</file>

<file path=xl/externalLinks/_rels/externalLink204.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7_data_for_26_variables/geoMap%20(35).csv" TargetMode="External"/></Relationships>
</file>

<file path=xl/externalLinks/_rels/externalLink205.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7_data_for_26_variables/geoMap%20(27).csv" TargetMode="External"/></Relationships>
</file>

<file path=xl/externalLinks/_rels/externalLink206.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7_data_for_26_variables/geoMap%20(26).csv" TargetMode="External"/></Relationships>
</file>

<file path=xl/externalLinks/_rels/externalLink207.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7_data_for_26_variables/geoMap%20(29).csv" TargetMode="External"/></Relationships>
</file>

<file path=xl/externalLinks/_rels/externalLink208.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6_data_for_26_variables/geoMap.csv" TargetMode="External"/></Relationships>
</file>

<file path=xl/externalLinks/_rels/externalLink209.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6_data_for_26_variables/geoMap%20(1).csv" TargetMode="External"/></Relationships>
</file>

<file path=xl/externalLinks/_rels/externalLink210.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6_data_for_26_variables/geoMap%20(2).csv" TargetMode="External"/></Relationships>
</file>

<file path=xl/externalLinks/_rels/externalLink211.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6_data_for_26_variables/geoMap%20(3).csv" TargetMode="External"/></Relationships>
</file>

<file path=xl/externalLinks/_rels/externalLink212.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6_data_for_26_variables/geoMap%20(4).csv" TargetMode="External"/></Relationships>
</file>

<file path=xl/externalLinks/_rels/externalLink213.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6_data_for_26_variables/geoMap%20(5).csv" TargetMode="External"/></Relationships>
</file>

<file path=xl/externalLinks/_rels/externalLink214.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6_data_for_26_variables/geoMap%20(6).csv" TargetMode="External"/></Relationships>
</file>

<file path=xl/externalLinks/_rels/externalLink215.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6_data_for_26_variables/geoMap%20(7).csv" TargetMode="External"/></Relationships>
</file>

<file path=xl/externalLinks/_rels/externalLink216.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6_data_for_26_variables/geoMap%20(8).csv" TargetMode="External"/></Relationships>
</file>

<file path=xl/externalLinks/_rels/externalLink217.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6_data_for_26_variables/geoMap%20(9).csv" TargetMode="External"/></Relationships>
</file>

<file path=xl/externalLinks/_rels/externalLink218.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6_data_for_26_variables/geoMap%20(10).csv" TargetMode="External"/></Relationships>
</file>

<file path=xl/externalLinks/_rels/externalLink219.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6_data_for_26_variables/geoMap%20(11).csv" TargetMode="External"/></Relationships>
</file>

<file path=xl/externalLinks/_rels/externalLink220.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6_data_for_26_variables/geoMap%20(12).csv" TargetMode="External"/></Relationships>
</file>

<file path=xl/externalLinks/_rels/externalLink221.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6_data_for_26_variables/geoMap%20(13).csv" TargetMode="External"/></Relationships>
</file>

<file path=xl/externalLinks/_rels/externalLink222.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6_data_for_26_variables/geoMap%20(14).csv" TargetMode="External"/></Relationships>
</file>

<file path=xl/externalLinks/_rels/externalLink223.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6_data_for_26_variables/geoMap%20(15).csv" TargetMode="External"/></Relationships>
</file>

<file path=xl/externalLinks/_rels/externalLink224.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6_data_for_26_variables/geoMap%20(16).csv" TargetMode="External"/></Relationships>
</file>

<file path=xl/externalLinks/_rels/externalLink225.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6_data_for_26_variables/geoMap%20(17).csv" TargetMode="External"/></Relationships>
</file>

<file path=xl/externalLinks/_rels/externalLink226.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6_data_for_26_variables/geoMap%20(18).csv" TargetMode="External"/></Relationships>
</file>

<file path=xl/externalLinks/_rels/externalLink227.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6_data_for_26_variables/geoMap%20(19).csv" TargetMode="External"/></Relationships>
</file>

<file path=xl/externalLinks/_rels/externalLink228.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6_data_for_26_variables/geoMap%20(20).csv" TargetMode="External"/></Relationships>
</file>

<file path=xl/externalLinks/_rels/externalLink229.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6_data_for_26_variables/geoMap%20(21).csv" TargetMode="External"/></Relationships>
</file>

<file path=xl/externalLinks/_rels/externalLink230.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6_data_for_26_variables/geoMap%20(22).csv" TargetMode="External"/></Relationships>
</file>

<file path=xl/externalLinks/_rels/externalLink231.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6_data_for_26_variables/geoMap%20(23).csv" TargetMode="External"/></Relationships>
</file>

<file path=xl/externalLinks/_rels/externalLink232.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6_data_for_26_variables/geoMap%20(24).csv" TargetMode="External"/></Relationships>
</file>

<file path=xl/externalLinks/_rels/externalLink233.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6_data_for_26_variables/geoMap%20(25).csv" TargetMode="External"/></Relationships>
</file>

<file path=xl/externalLinks/_rels/externalLink234.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6_data_for_26_variables/geoMap%20(30).csv" TargetMode="External"/></Relationships>
</file>

<file path=xl/externalLinks/_rels/externalLink235.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6_data_for_26_variables/geoMap%20(32).csv" TargetMode="External"/></Relationships>
</file>

<file path=xl/externalLinks/_rels/externalLink236.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6_data_for_26_variables/geoMap%20(34).csv" TargetMode="External"/></Relationships>
</file>

<file path=xl/externalLinks/_rels/externalLink237.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6_data_for_26_variables/geoMap%20(27).csv" TargetMode="External"/></Relationships>
</file>

<file path=xl/externalLinks/_rels/externalLink238.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6_data_for_26_variables/geoMap%20(31).csv" TargetMode="External"/></Relationships>
</file>

<file path=xl/externalLinks/_rels/externalLink239.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6_data_for_26_variables/geoMap%20(26).csv" TargetMode="External"/></Relationships>
</file>

<file path=xl/externalLinks/_rels/externalLink240.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6_data_for_26_variables/geoMap%20(28).csv" TargetMode="External"/></Relationships>
</file>

<file path=xl/externalLinks/_rels/externalLink241.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6_data_for_26_variables/geoMap%20(29).csv" TargetMode="External"/></Relationships>
</file>

<file path=xl/externalLinks/_rels/externalLink242.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6_data_for_26_variables/geoMap%20(33).csv" TargetMode="External"/></Relationships>
</file>

<file path=xl/externalLinks/_rels/externalLink243.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5_data_for_26_variables/geoMap.csv" TargetMode="External"/></Relationships>
</file>

<file path=xl/externalLinks/_rels/externalLink244.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5_data_for_26_variables/geoMap%20(1).csv" TargetMode="External"/></Relationships>
</file>

<file path=xl/externalLinks/_rels/externalLink245.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5_data_for_26_variables/geoMap%20(2).csv" TargetMode="External"/></Relationships>
</file>

<file path=xl/externalLinks/_rels/externalLink246.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5_data_for_26_variables/geoMap%20(3).csv" TargetMode="External"/></Relationships>
</file>

<file path=xl/externalLinks/_rels/externalLink247.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5_data_for_26_variables/geoMap%20(4).csv" TargetMode="External"/></Relationships>
</file>

<file path=xl/externalLinks/_rels/externalLink248.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5_data_for_26_variables/geoMap%20(5).csv" TargetMode="External"/></Relationships>
</file>

<file path=xl/externalLinks/_rels/externalLink249.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5_data_for_26_variables/geoMap%20(6).csv" TargetMode="External"/></Relationships>
</file>

<file path=xl/externalLinks/_rels/externalLink250.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5_data_for_26_variables/geoMap%20(7).csv" TargetMode="External"/></Relationships>
</file>

<file path=xl/externalLinks/_rels/externalLink251.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5_data_for_26_variables/geoMap%20(8).csv" TargetMode="External"/></Relationships>
</file>

<file path=xl/externalLinks/_rels/externalLink252.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5_data_for_26_variables/geoMap%20(9).csv" TargetMode="External"/></Relationships>
</file>

<file path=xl/externalLinks/_rels/externalLink253.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5_data_for_26_variables/geoMap%20(10).csv" TargetMode="External"/></Relationships>
</file>

<file path=xl/externalLinks/_rels/externalLink254.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5_data_for_26_variables/geoMap%20(11).csv" TargetMode="External"/></Relationships>
</file>

<file path=xl/externalLinks/_rels/externalLink255.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5_data_for_26_variables/geoMap%20(12).csv" TargetMode="External"/></Relationships>
</file>

<file path=xl/externalLinks/_rels/externalLink256.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5_data_for_26_variables/geoMap%20(13).csv" TargetMode="External"/></Relationships>
</file>

<file path=xl/externalLinks/_rels/externalLink257.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5_data_for_26_variables/geoMap%20(30).csv" TargetMode="External"/></Relationships>
</file>

<file path=xl/externalLinks/_rels/externalLink258.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5_data_for_26_variables/geoMap%20(16).csv" TargetMode="External"/></Relationships>
</file>

<file path=xl/externalLinks/_rels/externalLink259.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5_data_for_26_variables/geoMap%20(17).csv" TargetMode="External"/></Relationships>
</file>

<file path=xl/externalLinks/_rels/externalLink260.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5_data_for_26_variables/geoMap%20(18).csv" TargetMode="External"/></Relationships>
</file>

<file path=xl/externalLinks/_rels/externalLink261.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5_data_for_26_variables/geoMap%20(19).csv" TargetMode="External"/></Relationships>
</file>

<file path=xl/externalLinks/_rels/externalLink262.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5_data_for_26_variables/geoMap%20(22).csv" TargetMode="External"/></Relationships>
</file>

<file path=xl/externalLinks/_rels/externalLink263.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5_data_for_26_variables/geoMap%20(23).csv" TargetMode="External"/></Relationships>
</file>

<file path=xl/externalLinks/_rels/externalLink264.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5_data_for_26_variables/geoMap%20(24).csv" TargetMode="External"/></Relationships>
</file>

<file path=xl/externalLinks/_rels/externalLink265.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5_data_for_26_variables/geoMap%20(25).csv" TargetMode="External"/></Relationships>
</file>

<file path=xl/externalLinks/_rels/externalLink266.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5_data_for_26_variables/geoMap%20(14).csv" TargetMode="External"/></Relationships>
</file>

<file path=xl/externalLinks/_rels/externalLink267.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5_data_for_26_variables/geoMap%20(15).csv" TargetMode="External"/></Relationships>
</file>

<file path=xl/externalLinks/_rels/externalLink268.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5_data_for_26_variables/geoMap%20(20).csv" TargetMode="External"/></Relationships>
</file>

<file path=xl/externalLinks/_rels/externalLink269.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5_data_for_26_variables/geoMap%20(21).csv" TargetMode="External"/></Relationships>
</file>

<file path=xl/externalLinks/_rels/externalLink270.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5_data_for_26_variables/geoMap%20(28).csv" TargetMode="External"/></Relationships>
</file>

<file path=xl/externalLinks/_rels/externalLink271.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5_data_for_26_variables/geoMap%20(31).csv" TargetMode="External"/></Relationships>
</file>

<file path=xl/externalLinks/_rels/externalLink272.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5_data_for_26_variables/geoMap%20(33).csv" TargetMode="External"/></Relationships>
</file>

<file path=xl/externalLinks/_rels/externalLink273.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5_data_for_26_variables/geoMap%20(26).csv" TargetMode="External"/></Relationships>
</file>

<file path=xl/externalLinks/_rels/externalLink274.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5_data_for_26_variables/geoMap%20(29).csv" TargetMode="External"/></Relationships>
</file>

<file path=xl/externalLinks/_rels/externalLink275.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5_data_for_26_variables/geoMap%20(32).csv" TargetMode="External"/></Relationships>
</file>

<file path=xl/externalLinks/_rels/externalLink276.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5_data_for_26_variables/geoMap%20(34).csv" TargetMode="External"/></Relationships>
</file>

<file path=xl/externalLinks/_rels/externalLink277.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4_data_for_26_variables/geoMap.csv" TargetMode="External"/></Relationships>
</file>

<file path=xl/externalLinks/_rels/externalLink278.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4_data_for_26_variables/geoMap%20(1).csv" TargetMode="External"/></Relationships>
</file>

<file path=xl/externalLinks/_rels/externalLink279.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4_data_for_26_variables/geoMap%20(2).csv" TargetMode="External"/></Relationships>
</file>

<file path=xl/externalLinks/_rels/externalLink280.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4_data_for_26_variables/geoMap%20(3).csv" TargetMode="External"/></Relationships>
</file>

<file path=xl/externalLinks/_rels/externalLink281.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4_data_for_26_variables/geoMap%20(4).csv" TargetMode="External"/></Relationships>
</file>

<file path=xl/externalLinks/_rels/externalLink282.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4_data_for_26_variables/geoMap%20(5).csv" TargetMode="External"/></Relationships>
</file>

<file path=xl/externalLinks/_rels/externalLink283.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4_data_for_26_variables/geoMap%20(6).csv" TargetMode="External"/></Relationships>
</file>

<file path=xl/externalLinks/_rels/externalLink284.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4_data_for_26_variables/geoMap%20(7).csv" TargetMode="External"/></Relationships>
</file>

<file path=xl/externalLinks/_rels/externalLink285.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4_data_for_26_variables/geoMap%20(8).csv" TargetMode="External"/></Relationships>
</file>

<file path=xl/externalLinks/_rels/externalLink286.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4_data_for_26_variables/geoMap%20(9).csv" TargetMode="External"/></Relationships>
</file>

<file path=xl/externalLinks/_rels/externalLink287.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4_data_for_26_variables/geoMap%20(10).csv" TargetMode="External"/></Relationships>
</file>

<file path=xl/externalLinks/_rels/externalLink288.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4_data_for_26_variables/geoMap%20(11).csv" TargetMode="External"/></Relationships>
</file>

<file path=xl/externalLinks/_rels/externalLink289.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4_data_for_26_variables/geoMap%20(12).csv" TargetMode="External"/></Relationships>
</file>

<file path=xl/externalLinks/_rels/externalLink290.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4_data_for_26_variables/geoMap%20(13).csv" TargetMode="External"/></Relationships>
</file>

<file path=xl/externalLinks/_rels/externalLink291.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4_data_for_26_variables/geoMap%20(14).csv" TargetMode="External"/></Relationships>
</file>

<file path=xl/externalLinks/_rels/externalLink292.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4_data_for_26_variables/geoMap%20(15).csv" TargetMode="External"/></Relationships>
</file>

<file path=xl/externalLinks/_rels/externalLink293.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4_data_for_26_variables/geoMap%20(16).csv" TargetMode="External"/></Relationships>
</file>

<file path=xl/externalLinks/_rels/externalLink294.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4_data_for_26_variables/geoMap%20(17).csv" TargetMode="External"/></Relationships>
</file>

<file path=xl/externalLinks/_rels/externalLink295.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4_data_for_26_variables/geoMap%20(18).csv" TargetMode="External"/></Relationships>
</file>

<file path=xl/externalLinks/_rels/externalLink296.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4_data_for_26_variables/geoMap%20(19).csv" TargetMode="External"/></Relationships>
</file>

<file path=xl/externalLinks/_rels/externalLink297.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4_data_for_26_variables/geoMap%20(20).csv" TargetMode="External"/></Relationships>
</file>

<file path=xl/externalLinks/_rels/externalLink298.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4_data_for_26_variables/geoMap%20(21).csv" TargetMode="External"/></Relationships>
</file>

<file path=xl/externalLinks/_rels/externalLink299.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4_data_for_26_variables/geoMap%20(22).csv" TargetMode="External"/></Relationships>
</file>

<file path=xl/externalLinks/_rels/externalLink300.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4_data_for_26_variables/geoMap%20(23).csv" TargetMode="External"/></Relationships>
</file>

<file path=xl/externalLinks/_rels/externalLink301.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4_data_for_26_variables/geoMap%20(24).csv" TargetMode="External"/></Relationships>
</file>

<file path=xl/externalLinks/_rels/externalLink302.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4_data_for_26_variables/geoMap%20(25).csv" TargetMode="External"/></Relationships>
</file>

<file path=xl/externalLinks/_rels/externalLink303.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4_data_for_26_variables/geoMap%20(33).csv" TargetMode="External"/></Relationships>
</file>

<file path=xl/externalLinks/_rels/externalLink304.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4_data_for_26_variables/geoMap%20(27).csv" TargetMode="External"/></Relationships>
</file>

<file path=xl/externalLinks/_rels/externalLink305.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4_data_for_26_variables/geoMap%20(28).csv" TargetMode="External"/></Relationships>
</file>

<file path=xl/externalLinks/_rels/externalLink306.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4_data_for_26_variables/geoMap%20(31).csv" TargetMode="External"/></Relationships>
</file>

<file path=xl/externalLinks/_rels/externalLink307.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4_data_for_26_variables/geoMap%20(26).csv" TargetMode="External"/></Relationships>
</file>

<file path=xl/externalLinks/_rels/externalLink308.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4_data_for_26_variables/geoMap%20(29).csv" TargetMode="External"/></Relationships>
</file>

<file path=xl/externalLinks/_rels/externalLink309.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4_data_for_26_variables/geoMap%20(32).csv" TargetMode="External"/></Relationships>
</file>

<file path=xl/externalLinks/_rels/externalLink310.xml.rels><?xml version="1.0" encoding="UTF-8" standalone="yes"?>
<Relationships xmlns="http://schemas.openxmlformats.org/package/2006/relationships"><Relationship Id="rId1" Type="http://schemas.openxmlformats.org/officeDocument/2006/relationships/externalLinkPath" Target="/Users/sarslan/Documents/Akademik/Stanford/Research/CS%20Education%20Research%20with%20Chris/tmp/2014_data_for_26_variables/geoMap%20(30).csv"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STIMATES"/>
      <sheetName val="MEDIUM VARIANT"/>
      <sheetName val="HIGH VARIANT"/>
      <sheetName val="LOW VARIANT"/>
      <sheetName val="CONSTANT-FERTILITY"/>
      <sheetName val="INSTANT-REPLACEMENT"/>
      <sheetName val="MOMENTUM"/>
      <sheetName val="ZERO-MIGRATION"/>
      <sheetName val="CONSTANT-MORTALITY"/>
      <sheetName val="NO CHANGE"/>
      <sheetName val="NOTES"/>
    </sheetNames>
    <sheetDataSet>
      <sheetData sheetId="0" refreshError="1">
        <row r="16">
          <cell r="H16" t="str">
            <v>Total population, both sexes combined, as of 1 July (thousands)</v>
          </cell>
        </row>
        <row r="17">
          <cell r="C17" t="str">
            <v>Region, subregion, country or area *</v>
          </cell>
          <cell r="D17" t="str">
            <v>Notes</v>
          </cell>
          <cell r="E17" t="str">
            <v>Country code</v>
          </cell>
          <cell r="F17" t="str">
            <v>Type</v>
          </cell>
          <cell r="G17" t="str">
            <v>Parent code</v>
          </cell>
          <cell r="H17" t="str">
            <v>1950</v>
          </cell>
          <cell r="I17" t="str">
            <v>1951</v>
          </cell>
          <cell r="J17" t="str">
            <v>1952</v>
          </cell>
          <cell r="K17" t="str">
            <v>1953</v>
          </cell>
          <cell r="L17" t="str">
            <v>1954</v>
          </cell>
          <cell r="M17" t="str">
            <v>1955</v>
          </cell>
          <cell r="N17" t="str">
            <v>1956</v>
          </cell>
          <cell r="O17" t="str">
            <v>1957</v>
          </cell>
          <cell r="P17" t="str">
            <v>1958</v>
          </cell>
          <cell r="Q17" t="str">
            <v>1959</v>
          </cell>
          <cell r="R17" t="str">
            <v>1960</v>
          </cell>
          <cell r="S17" t="str">
            <v>1961</v>
          </cell>
          <cell r="T17" t="str">
            <v>1962</v>
          </cell>
          <cell r="U17" t="str">
            <v>1963</v>
          </cell>
          <cell r="V17" t="str">
            <v>1964</v>
          </cell>
          <cell r="W17" t="str">
            <v>1965</v>
          </cell>
          <cell r="X17" t="str">
            <v>1966</v>
          </cell>
          <cell r="Y17" t="str">
            <v>1967</v>
          </cell>
          <cell r="Z17" t="str">
            <v>1968</v>
          </cell>
          <cell r="AA17" t="str">
            <v>1969</v>
          </cell>
          <cell r="AB17" t="str">
            <v>1970</v>
          </cell>
          <cell r="AC17" t="str">
            <v>1971</v>
          </cell>
          <cell r="AD17" t="str">
            <v>1972</v>
          </cell>
          <cell r="AE17" t="str">
            <v>1973</v>
          </cell>
          <cell r="AF17" t="str">
            <v>1974</v>
          </cell>
          <cell r="AG17" t="str">
            <v>1975</v>
          </cell>
          <cell r="AH17" t="str">
            <v>1976</v>
          </cell>
          <cell r="AI17" t="str">
            <v>1977</v>
          </cell>
          <cell r="AJ17" t="str">
            <v>1978</v>
          </cell>
          <cell r="AK17" t="str">
            <v>1979</v>
          </cell>
          <cell r="AL17" t="str">
            <v>1980</v>
          </cell>
          <cell r="AM17" t="str">
            <v>1981</v>
          </cell>
          <cell r="AN17" t="str">
            <v>1982</v>
          </cell>
          <cell r="AO17" t="str">
            <v>1983</v>
          </cell>
          <cell r="AP17" t="str">
            <v>1984</v>
          </cell>
          <cell r="AQ17" t="str">
            <v>1985</v>
          </cell>
          <cell r="AR17" t="str">
            <v>1986</v>
          </cell>
          <cell r="AS17" t="str">
            <v>1987</v>
          </cell>
          <cell r="AT17" t="str">
            <v>1988</v>
          </cell>
          <cell r="AU17" t="str">
            <v>1989</v>
          </cell>
          <cell r="AV17" t="str">
            <v>1990</v>
          </cell>
          <cell r="AW17" t="str">
            <v>1991</v>
          </cell>
          <cell r="AX17" t="str">
            <v>1992</v>
          </cell>
          <cell r="AY17" t="str">
            <v>1993</v>
          </cell>
          <cell r="AZ17" t="str">
            <v>1994</v>
          </cell>
          <cell r="BA17" t="str">
            <v>1995</v>
          </cell>
          <cell r="BB17" t="str">
            <v>1996</v>
          </cell>
          <cell r="BC17" t="str">
            <v>1997</v>
          </cell>
          <cell r="BD17" t="str">
            <v>1998</v>
          </cell>
          <cell r="BE17" t="str">
            <v>1999</v>
          </cell>
          <cell r="BF17" t="str">
            <v>2000</v>
          </cell>
          <cell r="BG17" t="str">
            <v>2001</v>
          </cell>
          <cell r="BH17" t="str">
            <v>2002</v>
          </cell>
          <cell r="BI17" t="str">
            <v>2003</v>
          </cell>
          <cell r="BJ17" t="str">
            <v>2004</v>
          </cell>
          <cell r="BK17" t="str">
            <v>2005</v>
          </cell>
          <cell r="BL17" t="str">
            <v>2006</v>
          </cell>
          <cell r="BM17" t="str">
            <v>2007</v>
          </cell>
          <cell r="BN17" t="str">
            <v>2008</v>
          </cell>
          <cell r="BO17" t="str">
            <v>2009</v>
          </cell>
          <cell r="BP17" t="str">
            <v>2010</v>
          </cell>
          <cell r="BQ17" t="str">
            <v>2011</v>
          </cell>
          <cell r="BR17" t="str">
            <v>2012</v>
          </cell>
          <cell r="BS17" t="str">
            <v>2013</v>
          </cell>
          <cell r="BT17" t="str">
            <v>2014</v>
          </cell>
          <cell r="BU17" t="str">
            <v>2015</v>
          </cell>
          <cell r="BV17" t="str">
            <v>2016</v>
          </cell>
          <cell r="BW17" t="str">
            <v>2017</v>
          </cell>
          <cell r="BX17" t="str">
            <v>2018</v>
          </cell>
        </row>
        <row r="18">
          <cell r="C18" t="str">
            <v>WORLD</v>
          </cell>
          <cell r="E18">
            <v>900</v>
          </cell>
          <cell r="F18" t="str">
            <v>World</v>
          </cell>
          <cell r="G18">
            <v>0</v>
          </cell>
          <cell r="H18">
            <v>2536431.1490000002</v>
          </cell>
          <cell r="I18">
            <v>2584034.2609999999</v>
          </cell>
          <cell r="J18">
            <v>2630861.5619999999</v>
          </cell>
          <cell r="K18">
            <v>2677608.96</v>
          </cell>
          <cell r="L18">
            <v>2724846.7409999999</v>
          </cell>
          <cell r="M18">
            <v>2773019.9360000002</v>
          </cell>
          <cell r="N18">
            <v>2822443.2820000001</v>
          </cell>
          <cell r="O18">
            <v>2873306.09</v>
          </cell>
          <cell r="P18">
            <v>2925686.7050000001</v>
          </cell>
          <cell r="Q18">
            <v>2979576.1850000001</v>
          </cell>
          <cell r="R18">
            <v>3034949.7480000001</v>
          </cell>
          <cell r="S18">
            <v>3091843.5070000002</v>
          </cell>
          <cell r="T18">
            <v>3150420.7949999999</v>
          </cell>
          <cell r="U18">
            <v>3211001.0090000001</v>
          </cell>
          <cell r="V18">
            <v>3273978.338</v>
          </cell>
          <cell r="W18">
            <v>3339583.5970000001</v>
          </cell>
          <cell r="X18">
            <v>3407922.63</v>
          </cell>
          <cell r="Y18">
            <v>3478769.9619999998</v>
          </cell>
          <cell r="Z18">
            <v>3551599.1269999999</v>
          </cell>
          <cell r="AA18">
            <v>3625680.6269999999</v>
          </cell>
          <cell r="AB18">
            <v>3700437.0460000001</v>
          </cell>
          <cell r="AC18">
            <v>3775759.6170000001</v>
          </cell>
          <cell r="AD18">
            <v>3851650.2450000001</v>
          </cell>
          <cell r="AE18">
            <v>3927780.2379999999</v>
          </cell>
          <cell r="AF18">
            <v>4003794.1719999998</v>
          </cell>
          <cell r="AG18">
            <v>4079480.6060000001</v>
          </cell>
          <cell r="AH18">
            <v>4154666.8640000001</v>
          </cell>
          <cell r="AI18">
            <v>4229506.0599999996</v>
          </cell>
          <cell r="AJ18">
            <v>4304533.5010000002</v>
          </cell>
          <cell r="AK18">
            <v>4380506.0999999996</v>
          </cell>
          <cell r="AL18">
            <v>4458003.5140000004</v>
          </cell>
          <cell r="AM18">
            <v>4536996.7620000001</v>
          </cell>
          <cell r="AN18">
            <v>4617386.5420000004</v>
          </cell>
          <cell r="AO18">
            <v>4699569.3039999995</v>
          </cell>
          <cell r="AP18">
            <v>4784011.62099999</v>
          </cell>
          <cell r="AQ18">
            <v>4870921.74</v>
          </cell>
          <cell r="AR18">
            <v>4960567.9119999995</v>
          </cell>
          <cell r="AS18">
            <v>5052522.1469999999</v>
          </cell>
          <cell r="AT18">
            <v>5145426.0080000004</v>
          </cell>
          <cell r="AU18">
            <v>5237441.5580000002</v>
          </cell>
          <cell r="AV18">
            <v>5327231.0609999998</v>
          </cell>
          <cell r="AW18">
            <v>5414289.4440000001</v>
          </cell>
          <cell r="AX18">
            <v>5498919.8090000004</v>
          </cell>
          <cell r="AY18">
            <v>5581597.5460000001</v>
          </cell>
          <cell r="AZ18">
            <v>5663150.4270000001</v>
          </cell>
          <cell r="BA18">
            <v>5744212.9790000003</v>
          </cell>
          <cell r="BB18">
            <v>5824891.9510000004</v>
          </cell>
          <cell r="BC18">
            <v>5905045.7879999997</v>
          </cell>
          <cell r="BD18">
            <v>5984793.9419999998</v>
          </cell>
          <cell r="BE18">
            <v>6064239.0549999997</v>
          </cell>
          <cell r="BF18">
            <v>6143493.8229999999</v>
          </cell>
          <cell r="BG18">
            <v>6222626.6059999997</v>
          </cell>
          <cell r="BH18">
            <v>6301773.1880000001</v>
          </cell>
          <cell r="BI18">
            <v>6381185.1140000001</v>
          </cell>
          <cell r="BJ18">
            <v>6461159.3889999902</v>
          </cell>
          <cell r="BK18">
            <v>6541907.0269999998</v>
          </cell>
          <cell r="BL18">
            <v>6623517.8329999996</v>
          </cell>
          <cell r="BM18">
            <v>6705946.6100000096</v>
          </cell>
          <cell r="BN18">
            <v>6789088.6859999998</v>
          </cell>
          <cell r="BO18">
            <v>6872767.0930000003</v>
          </cell>
          <cell r="BP18">
            <v>6956823.6030000104</v>
          </cell>
          <cell r="BQ18">
            <v>7041194.301</v>
          </cell>
          <cell r="BR18">
            <v>7125828.0590000004</v>
          </cell>
          <cell r="BS18">
            <v>7210581.9759999998</v>
          </cell>
          <cell r="BT18">
            <v>7295290.7649999997</v>
          </cell>
          <cell r="BU18">
            <v>7379797.1390000004</v>
          </cell>
          <cell r="BV18">
            <v>7464022.0489999996</v>
          </cell>
          <cell r="BW18">
            <v>7547858.9250000101</v>
          </cell>
          <cell r="BX18">
            <v>7631091.04</v>
          </cell>
        </row>
        <row r="19">
          <cell r="C19" t="str">
            <v>UN development groups</v>
          </cell>
          <cell r="D19" t="str">
            <v>a</v>
          </cell>
          <cell r="E19">
            <v>1803</v>
          </cell>
          <cell r="F19" t="str">
            <v>Label/Separator</v>
          </cell>
          <cell r="G19">
            <v>900</v>
          </cell>
          <cell r="H19" t="str">
            <v>…</v>
          </cell>
          <cell r="I19" t="str">
            <v>…</v>
          </cell>
          <cell r="J19" t="str">
            <v>…</v>
          </cell>
          <cell r="K19" t="str">
            <v>…</v>
          </cell>
          <cell r="L19" t="str">
            <v>…</v>
          </cell>
          <cell r="M19" t="str">
            <v>…</v>
          </cell>
          <cell r="N19" t="str">
            <v>…</v>
          </cell>
          <cell r="O19" t="str">
            <v>…</v>
          </cell>
          <cell r="P19" t="str">
            <v>…</v>
          </cell>
          <cell r="Q19" t="str">
            <v>…</v>
          </cell>
          <cell r="R19" t="str">
            <v>…</v>
          </cell>
          <cell r="S19" t="str">
            <v>…</v>
          </cell>
          <cell r="T19" t="str">
            <v>…</v>
          </cell>
          <cell r="U19" t="str">
            <v>…</v>
          </cell>
          <cell r="V19" t="str">
            <v>…</v>
          </cell>
          <cell r="W19" t="str">
            <v>…</v>
          </cell>
          <cell r="X19" t="str">
            <v>…</v>
          </cell>
          <cell r="Y19" t="str">
            <v>…</v>
          </cell>
          <cell r="Z19" t="str">
            <v>…</v>
          </cell>
          <cell r="AA19" t="str">
            <v>…</v>
          </cell>
          <cell r="AB19" t="str">
            <v>…</v>
          </cell>
          <cell r="AC19" t="str">
            <v>…</v>
          </cell>
          <cell r="AD19" t="str">
            <v>…</v>
          </cell>
          <cell r="AE19" t="str">
            <v>…</v>
          </cell>
          <cell r="AF19" t="str">
            <v>…</v>
          </cell>
          <cell r="AG19" t="str">
            <v>…</v>
          </cell>
          <cell r="AH19" t="str">
            <v>…</v>
          </cell>
          <cell r="AI19" t="str">
            <v>…</v>
          </cell>
          <cell r="AJ19" t="str">
            <v>…</v>
          </cell>
          <cell r="AK19" t="str">
            <v>…</v>
          </cell>
          <cell r="AL19" t="str">
            <v>…</v>
          </cell>
          <cell r="AM19" t="str">
            <v>…</v>
          </cell>
          <cell r="AN19" t="str">
            <v>…</v>
          </cell>
          <cell r="AO19" t="str">
            <v>…</v>
          </cell>
          <cell r="AP19" t="str">
            <v>…</v>
          </cell>
          <cell r="AQ19" t="str">
            <v>…</v>
          </cell>
          <cell r="AR19" t="str">
            <v>…</v>
          </cell>
          <cell r="AS19" t="str">
            <v>…</v>
          </cell>
          <cell r="AT19" t="str">
            <v>…</v>
          </cell>
          <cell r="AU19" t="str">
            <v>…</v>
          </cell>
          <cell r="AV19" t="str">
            <v>…</v>
          </cell>
          <cell r="AW19" t="str">
            <v>…</v>
          </cell>
          <cell r="AX19" t="str">
            <v>…</v>
          </cell>
          <cell r="AY19" t="str">
            <v>…</v>
          </cell>
          <cell r="AZ19" t="str">
            <v>…</v>
          </cell>
          <cell r="BA19" t="str">
            <v>…</v>
          </cell>
          <cell r="BB19" t="str">
            <v>…</v>
          </cell>
          <cell r="BC19" t="str">
            <v>…</v>
          </cell>
          <cell r="BD19" t="str">
            <v>…</v>
          </cell>
          <cell r="BE19" t="str">
            <v>…</v>
          </cell>
          <cell r="BF19" t="str">
            <v>…</v>
          </cell>
          <cell r="BG19" t="str">
            <v>…</v>
          </cell>
          <cell r="BH19" t="str">
            <v>…</v>
          </cell>
          <cell r="BI19" t="str">
            <v>…</v>
          </cell>
          <cell r="BJ19" t="str">
            <v>…</v>
          </cell>
          <cell r="BK19" t="str">
            <v>…</v>
          </cell>
          <cell r="BL19" t="str">
            <v>…</v>
          </cell>
          <cell r="BM19" t="str">
            <v>…</v>
          </cell>
          <cell r="BN19" t="str">
            <v>…</v>
          </cell>
          <cell r="BO19" t="str">
            <v>…</v>
          </cell>
          <cell r="BP19" t="str">
            <v>…</v>
          </cell>
          <cell r="BQ19" t="str">
            <v>…</v>
          </cell>
          <cell r="BR19" t="str">
            <v>…</v>
          </cell>
          <cell r="BS19" t="str">
            <v>…</v>
          </cell>
          <cell r="BT19" t="str">
            <v>…</v>
          </cell>
          <cell r="BU19" t="str">
            <v>…</v>
          </cell>
          <cell r="BV19" t="str">
            <v>…</v>
          </cell>
          <cell r="BW19" t="str">
            <v>…</v>
          </cell>
          <cell r="BX19" t="str">
            <v>…</v>
          </cell>
        </row>
        <row r="20">
          <cell r="C20" t="str">
            <v>More developed regions</v>
          </cell>
          <cell r="D20" t="str">
            <v>b</v>
          </cell>
          <cell r="E20">
            <v>901</v>
          </cell>
          <cell r="F20" t="str">
            <v>Development Group</v>
          </cell>
          <cell r="G20">
            <v>1803</v>
          </cell>
          <cell r="H20">
            <v>814818.93299999996</v>
          </cell>
          <cell r="I20">
            <v>824003.48499999999</v>
          </cell>
          <cell r="J20">
            <v>833720.11</v>
          </cell>
          <cell r="K20">
            <v>843787.53700000001</v>
          </cell>
          <cell r="L20">
            <v>854060.43500000006</v>
          </cell>
          <cell r="M20">
            <v>864429.55900000001</v>
          </cell>
          <cell r="N20">
            <v>874823.49399999995</v>
          </cell>
          <cell r="O20">
            <v>885207.03300000005</v>
          </cell>
          <cell r="P20">
            <v>895575.91500000004</v>
          </cell>
          <cell r="Q20">
            <v>905949.20799999998</v>
          </cell>
          <cell r="R20">
            <v>916344.43</v>
          </cell>
          <cell r="S20">
            <v>926751.84699999995</v>
          </cell>
          <cell r="T20">
            <v>937111.46299999999</v>
          </cell>
          <cell r="U20">
            <v>947303.43599999999</v>
          </cell>
          <cell r="V20">
            <v>957175.31400000001</v>
          </cell>
          <cell r="W20">
            <v>966624.22699999996</v>
          </cell>
          <cell r="X20">
            <v>975584.95400000003</v>
          </cell>
          <cell r="Y20">
            <v>984097.397</v>
          </cell>
          <cell r="Z20">
            <v>992293.28500000003</v>
          </cell>
          <cell r="AA20">
            <v>1000365.715</v>
          </cell>
          <cell r="AB20">
            <v>1008451.909</v>
          </cell>
          <cell r="AC20">
            <v>1016600.6310000001</v>
          </cell>
          <cell r="AD20">
            <v>1024762.92</v>
          </cell>
          <cell r="AE20">
            <v>1032860.7</v>
          </cell>
          <cell r="AF20">
            <v>1040773.5649999999</v>
          </cell>
          <cell r="AG20">
            <v>1048416.255</v>
          </cell>
          <cell r="AH20">
            <v>1055773.9169999999</v>
          </cell>
          <cell r="AI20">
            <v>1062884.683</v>
          </cell>
          <cell r="AJ20">
            <v>1069781.193</v>
          </cell>
          <cell r="AK20">
            <v>1076514.3459999999</v>
          </cell>
          <cell r="AL20">
            <v>1083125.6040000001</v>
          </cell>
          <cell r="AM20">
            <v>1089607.32</v>
          </cell>
          <cell r="AN20">
            <v>1095957.04</v>
          </cell>
          <cell r="AO20">
            <v>1102226.855</v>
          </cell>
          <cell r="AP20">
            <v>1108482.4280000001</v>
          </cell>
          <cell r="AQ20">
            <v>1114763.098</v>
          </cell>
          <cell r="AR20">
            <v>1121097.6499999999</v>
          </cell>
          <cell r="AS20">
            <v>1127452.5900000001</v>
          </cell>
          <cell r="AT20">
            <v>1133726.574</v>
          </cell>
          <cell r="AU20">
            <v>1139778.952</v>
          </cell>
          <cell r="AV20">
            <v>1145507.7180000001</v>
          </cell>
          <cell r="AW20">
            <v>1150893.504</v>
          </cell>
          <cell r="AX20">
            <v>1155966.372</v>
          </cell>
          <cell r="AY20">
            <v>1160736.96</v>
          </cell>
          <cell r="AZ20">
            <v>1165231.615</v>
          </cell>
          <cell r="BA20">
            <v>1169481.5</v>
          </cell>
          <cell r="BB20">
            <v>1173489.7949999999</v>
          </cell>
          <cell r="BC20">
            <v>1177284.128</v>
          </cell>
          <cell r="BD20">
            <v>1180954.314</v>
          </cell>
          <cell r="BE20">
            <v>1184615.5279999999</v>
          </cell>
          <cell r="BF20">
            <v>1188359.4129999999</v>
          </cell>
          <cell r="BG20">
            <v>1192204.2990000001</v>
          </cell>
          <cell r="BH20">
            <v>1196155.652</v>
          </cell>
          <cell r="BI20">
            <v>1200271.2890000001</v>
          </cell>
          <cell r="BJ20">
            <v>1204613.3910000001</v>
          </cell>
          <cell r="BK20">
            <v>1209215.0079999999</v>
          </cell>
          <cell r="BL20">
            <v>1214107.078</v>
          </cell>
          <cell r="BM20">
            <v>1219250.466</v>
          </cell>
          <cell r="BN20">
            <v>1224518.3</v>
          </cell>
          <cell r="BO20">
            <v>1229735.169</v>
          </cell>
          <cell r="BP20">
            <v>1234767.5020000001</v>
          </cell>
          <cell r="BQ20">
            <v>1239557.483</v>
          </cell>
          <cell r="BR20">
            <v>1244114.5460000001</v>
          </cell>
          <cell r="BS20">
            <v>1248453.523</v>
          </cell>
          <cell r="BT20">
            <v>1252615.118</v>
          </cell>
          <cell r="BU20">
            <v>1256622.25</v>
          </cell>
          <cell r="BV20">
            <v>1260478.716</v>
          </cell>
          <cell r="BW20">
            <v>1264146.382</v>
          </cell>
          <cell r="BX20">
            <v>1267558.9110000001</v>
          </cell>
        </row>
        <row r="21">
          <cell r="C21" t="str">
            <v>Less developed regions</v>
          </cell>
          <cell r="D21" t="str">
            <v>c</v>
          </cell>
          <cell r="E21">
            <v>902</v>
          </cell>
          <cell r="F21" t="str">
            <v>Development Group</v>
          </cell>
          <cell r="G21">
            <v>1803</v>
          </cell>
          <cell r="H21">
            <v>1721612.216</v>
          </cell>
          <cell r="I21">
            <v>1760030.7760000001</v>
          </cell>
          <cell r="J21">
            <v>1797141.452</v>
          </cell>
          <cell r="K21">
            <v>1833821.423</v>
          </cell>
          <cell r="L21">
            <v>1870786.3060000001</v>
          </cell>
          <cell r="M21">
            <v>1908590.3770000001</v>
          </cell>
          <cell r="N21">
            <v>1947619.7879999999</v>
          </cell>
          <cell r="O21">
            <v>1988099.057</v>
          </cell>
          <cell r="P21">
            <v>2030110.79</v>
          </cell>
          <cell r="Q21">
            <v>2073626.977</v>
          </cell>
          <cell r="R21">
            <v>2118605.318</v>
          </cell>
          <cell r="S21">
            <v>2165091.66</v>
          </cell>
          <cell r="T21">
            <v>2213309.3319999999</v>
          </cell>
          <cell r="U21">
            <v>2263697.5729999999</v>
          </cell>
          <cell r="V21">
            <v>2316803.0240000002</v>
          </cell>
          <cell r="W21">
            <v>2372959.37</v>
          </cell>
          <cell r="X21">
            <v>2432337.676</v>
          </cell>
          <cell r="Y21">
            <v>2494672.5649999999</v>
          </cell>
          <cell r="Z21">
            <v>2559305.8420000002</v>
          </cell>
          <cell r="AA21">
            <v>2625314.912</v>
          </cell>
          <cell r="AB21">
            <v>2691985.1370000001</v>
          </cell>
          <cell r="AC21">
            <v>2759158.986</v>
          </cell>
          <cell r="AD21">
            <v>2826887.3250000002</v>
          </cell>
          <cell r="AE21">
            <v>2894919.5380000002</v>
          </cell>
          <cell r="AF21">
            <v>2963020.6069999998</v>
          </cell>
          <cell r="AG21">
            <v>3031064.3509999998</v>
          </cell>
          <cell r="AH21">
            <v>3098892.9470000002</v>
          </cell>
          <cell r="AI21">
            <v>3166621.3769999999</v>
          </cell>
          <cell r="AJ21">
            <v>3234752.3080000002</v>
          </cell>
          <cell r="AK21">
            <v>3303991.7540000002</v>
          </cell>
          <cell r="AL21">
            <v>3374877.91</v>
          </cell>
          <cell r="AM21">
            <v>3447389.4419999998</v>
          </cell>
          <cell r="AN21">
            <v>3521429.5019999999</v>
          </cell>
          <cell r="AO21">
            <v>3597342.449</v>
          </cell>
          <cell r="AP21">
            <v>3675529.193</v>
          </cell>
          <cell r="AQ21">
            <v>3756158.642</v>
          </cell>
          <cell r="AR21">
            <v>3839470.2620000001</v>
          </cell>
          <cell r="AS21">
            <v>3925069.557</v>
          </cell>
          <cell r="AT21">
            <v>4011699.4339999999</v>
          </cell>
          <cell r="AU21">
            <v>4097662.6060000001</v>
          </cell>
          <cell r="AV21">
            <v>4181723.3429999999</v>
          </cell>
          <cell r="AW21">
            <v>4263395.9400000004</v>
          </cell>
          <cell r="AX21">
            <v>4342953.4369999999</v>
          </cell>
          <cell r="AY21">
            <v>4420860.5860000001</v>
          </cell>
          <cell r="AZ21">
            <v>4497918.8119999999</v>
          </cell>
          <cell r="BA21">
            <v>4574731.4790000003</v>
          </cell>
          <cell r="BB21">
            <v>4651402.1560000004</v>
          </cell>
          <cell r="BC21">
            <v>4727761.66</v>
          </cell>
          <cell r="BD21">
            <v>4803839.6279999996</v>
          </cell>
          <cell r="BE21">
            <v>4879623.5269999998</v>
          </cell>
          <cell r="BF21">
            <v>4955134.41</v>
          </cell>
          <cell r="BG21">
            <v>5030422.307</v>
          </cell>
          <cell r="BH21">
            <v>5105617.5360000003</v>
          </cell>
          <cell r="BI21">
            <v>5180913.8250000002</v>
          </cell>
          <cell r="BJ21">
            <v>5256545.9979999997</v>
          </cell>
          <cell r="BK21">
            <v>5332692.0190000003</v>
          </cell>
          <cell r="BL21">
            <v>5409410.7549999999</v>
          </cell>
          <cell r="BM21">
            <v>5486696.1440000096</v>
          </cell>
          <cell r="BN21">
            <v>5564570.3859999999</v>
          </cell>
          <cell r="BO21">
            <v>5643031.9239999996</v>
          </cell>
          <cell r="BP21">
            <v>5722056.10100001</v>
          </cell>
          <cell r="BQ21">
            <v>5801636.818</v>
          </cell>
          <cell r="BR21">
            <v>5881713.5130000003</v>
          </cell>
          <cell r="BS21">
            <v>5962128.4529999997</v>
          </cell>
          <cell r="BT21">
            <v>6042675.6469999999</v>
          </cell>
          <cell r="BU21">
            <v>6123174.8890000097</v>
          </cell>
          <cell r="BV21">
            <v>6203543.3329999996</v>
          </cell>
          <cell r="BW21">
            <v>6283712.5429999996</v>
          </cell>
          <cell r="BX21">
            <v>6363532.1289999997</v>
          </cell>
        </row>
        <row r="22">
          <cell r="C22" t="str">
            <v>Least developed countries</v>
          </cell>
          <cell r="D22" t="str">
            <v>d</v>
          </cell>
          <cell r="E22">
            <v>941</v>
          </cell>
          <cell r="F22" t="str">
            <v>Development Group</v>
          </cell>
          <cell r="G22">
            <v>902</v>
          </cell>
          <cell r="H22">
            <v>195427.81299999999</v>
          </cell>
          <cell r="I22">
            <v>199180.33100000001</v>
          </cell>
          <cell r="J22">
            <v>203015.11799999999</v>
          </cell>
          <cell r="K22">
            <v>206985.62700000001</v>
          </cell>
          <cell r="L22">
            <v>211133.049</v>
          </cell>
          <cell r="M22">
            <v>215486.30799999999</v>
          </cell>
          <cell r="N22">
            <v>220061.41800000001</v>
          </cell>
          <cell r="O22">
            <v>224862.30100000001</v>
          </cell>
          <cell r="P22">
            <v>229882.01699999999</v>
          </cell>
          <cell r="Q22">
            <v>235105.696</v>
          </cell>
          <cell r="R22">
            <v>240518.43299999999</v>
          </cell>
          <cell r="S22">
            <v>246113.64</v>
          </cell>
          <cell r="T22">
            <v>251900.74100000001</v>
          </cell>
          <cell r="U22">
            <v>257908.07399999999</v>
          </cell>
          <cell r="V22">
            <v>264174.179</v>
          </cell>
          <cell r="W22">
            <v>270720.89199999999</v>
          </cell>
          <cell r="X22">
            <v>277573.02899999998</v>
          </cell>
          <cell r="Y22">
            <v>284708.40899999999</v>
          </cell>
          <cell r="Z22">
            <v>292045.74400000001</v>
          </cell>
          <cell r="AA22">
            <v>299473.25599999999</v>
          </cell>
          <cell r="AB22">
            <v>306916.89600000001</v>
          </cell>
          <cell r="AC22">
            <v>314344.62900000002</v>
          </cell>
          <cell r="AD22">
            <v>321797.58100000001</v>
          </cell>
          <cell r="AE22">
            <v>329357.353</v>
          </cell>
          <cell r="AF22">
            <v>337142.68099999998</v>
          </cell>
          <cell r="AG22">
            <v>345242.71</v>
          </cell>
          <cell r="AH22">
            <v>353691.33799999999</v>
          </cell>
          <cell r="AI22">
            <v>362475.11200000002</v>
          </cell>
          <cell r="AJ22">
            <v>371577.25599999999</v>
          </cell>
          <cell r="AK22">
            <v>380963.304</v>
          </cell>
          <cell r="AL22">
            <v>390612.56300000002</v>
          </cell>
          <cell r="AM22">
            <v>400528.924</v>
          </cell>
          <cell r="AN22">
            <v>410740.61099999998</v>
          </cell>
          <cell r="AO22">
            <v>421279.10700000002</v>
          </cell>
          <cell r="AP22">
            <v>432185.32500000001</v>
          </cell>
          <cell r="AQ22">
            <v>443491.288</v>
          </cell>
          <cell r="AR22">
            <v>455193.65600000002</v>
          </cell>
          <cell r="AS22">
            <v>467290.51400000002</v>
          </cell>
          <cell r="AT22">
            <v>479814.02100000001</v>
          </cell>
          <cell r="AU22">
            <v>492803.02799999999</v>
          </cell>
          <cell r="AV22">
            <v>506275.61200000002</v>
          </cell>
          <cell r="AW22">
            <v>520262.42300000001</v>
          </cell>
          <cell r="AX22">
            <v>534731.00600000005</v>
          </cell>
          <cell r="AY22">
            <v>549559.26399999997</v>
          </cell>
          <cell r="AZ22">
            <v>564581.08299999998</v>
          </cell>
          <cell r="BA22">
            <v>579681.67200000002</v>
          </cell>
          <cell r="BB22">
            <v>594801.25899999996</v>
          </cell>
          <cell r="BC22">
            <v>609983.30099999998</v>
          </cell>
          <cell r="BD22">
            <v>625342.098</v>
          </cell>
          <cell r="BE22">
            <v>641046.80200000003</v>
          </cell>
          <cell r="BF22">
            <v>657215.86399999994</v>
          </cell>
          <cell r="BG22">
            <v>673903.11199999996</v>
          </cell>
          <cell r="BH22">
            <v>691061.397</v>
          </cell>
          <cell r="BI22">
            <v>708587.94799999997</v>
          </cell>
          <cell r="BJ22">
            <v>726331.17700000003</v>
          </cell>
          <cell r="BK22">
            <v>744190.51</v>
          </cell>
          <cell r="BL22">
            <v>762132.50100000005</v>
          </cell>
          <cell r="BM22">
            <v>780219.54200000002</v>
          </cell>
          <cell r="BN22">
            <v>798563.39199999999</v>
          </cell>
          <cell r="BO22">
            <v>817322.62899999996</v>
          </cell>
          <cell r="BP22">
            <v>836614.86</v>
          </cell>
          <cell r="BQ22">
            <v>856471.44</v>
          </cell>
          <cell r="BR22">
            <v>876867.28899999999</v>
          </cell>
          <cell r="BS22">
            <v>897793.41700000002</v>
          </cell>
          <cell r="BT22">
            <v>919222.93700000003</v>
          </cell>
          <cell r="BU22">
            <v>941131.31700000004</v>
          </cell>
          <cell r="BV22">
            <v>963519.71600000001</v>
          </cell>
          <cell r="BW22">
            <v>986385.42099999997</v>
          </cell>
          <cell r="BX22">
            <v>1009691.222</v>
          </cell>
        </row>
        <row r="23">
          <cell r="C23" t="str">
            <v>Less developed regions, excluding least developed countries</v>
          </cell>
          <cell r="D23" t="str">
            <v>e</v>
          </cell>
          <cell r="E23">
            <v>934</v>
          </cell>
          <cell r="F23" t="str">
            <v>Development Group</v>
          </cell>
          <cell r="G23">
            <v>902</v>
          </cell>
          <cell r="H23">
            <v>1526184.4029999999</v>
          </cell>
          <cell r="I23">
            <v>1560850.4450000001</v>
          </cell>
          <cell r="J23">
            <v>1594126.334</v>
          </cell>
          <cell r="K23">
            <v>1626835.7960000001</v>
          </cell>
          <cell r="L23">
            <v>1659653.257</v>
          </cell>
          <cell r="M23">
            <v>1693104.0689999999</v>
          </cell>
          <cell r="N23">
            <v>1727558.37</v>
          </cell>
          <cell r="O23">
            <v>1763236.7560000001</v>
          </cell>
          <cell r="P23">
            <v>1800228.773</v>
          </cell>
          <cell r="Q23">
            <v>1838521.281</v>
          </cell>
          <cell r="R23">
            <v>1878086.885</v>
          </cell>
          <cell r="S23">
            <v>1918978.02</v>
          </cell>
          <cell r="T23">
            <v>1961408.591</v>
          </cell>
          <cell r="U23">
            <v>2005789.4990000001</v>
          </cell>
          <cell r="V23">
            <v>2052628.845</v>
          </cell>
          <cell r="W23">
            <v>2102238.4780000001</v>
          </cell>
          <cell r="X23">
            <v>2154764.6469999999</v>
          </cell>
          <cell r="Y23">
            <v>2209964.156</v>
          </cell>
          <cell r="Z23">
            <v>2267260.0980000002</v>
          </cell>
          <cell r="AA23">
            <v>2325841.656</v>
          </cell>
          <cell r="AB23">
            <v>2385068.2409999999</v>
          </cell>
          <cell r="AC23">
            <v>2444814.3569999998</v>
          </cell>
          <cell r="AD23">
            <v>2505089.7439999999</v>
          </cell>
          <cell r="AE23">
            <v>2565562.1850000001</v>
          </cell>
          <cell r="AF23">
            <v>2625877.926</v>
          </cell>
          <cell r="AG23">
            <v>2685821.6409999998</v>
          </cell>
          <cell r="AH23">
            <v>2745201.6090000002</v>
          </cell>
          <cell r="AI23">
            <v>2804146.2650000001</v>
          </cell>
          <cell r="AJ23">
            <v>2863175.0520000001</v>
          </cell>
          <cell r="AK23">
            <v>2923028.45</v>
          </cell>
          <cell r="AL23">
            <v>2984265.3470000001</v>
          </cell>
          <cell r="AM23">
            <v>3046860.5180000002</v>
          </cell>
          <cell r="AN23">
            <v>3110688.8909999998</v>
          </cell>
          <cell r="AO23">
            <v>3176063.3420000002</v>
          </cell>
          <cell r="AP23">
            <v>3243343.8679999998</v>
          </cell>
          <cell r="AQ23">
            <v>3312667.3539999998</v>
          </cell>
          <cell r="AR23">
            <v>3384276.6060000001</v>
          </cell>
          <cell r="AS23">
            <v>3457779.0430000001</v>
          </cell>
          <cell r="AT23">
            <v>3531885.4130000002</v>
          </cell>
          <cell r="AU23">
            <v>3604859.5780000002</v>
          </cell>
          <cell r="AV23">
            <v>3675447.7310000001</v>
          </cell>
          <cell r="AW23">
            <v>3743133.517</v>
          </cell>
          <cell r="AX23">
            <v>3808222.4309999999</v>
          </cell>
          <cell r="AY23">
            <v>3871301.3220000002</v>
          </cell>
          <cell r="AZ23">
            <v>3933337.7289999998</v>
          </cell>
          <cell r="BA23">
            <v>3995049.807</v>
          </cell>
          <cell r="BB23">
            <v>4056600.8969999999</v>
          </cell>
          <cell r="BC23">
            <v>4117778.3590000002</v>
          </cell>
          <cell r="BD23">
            <v>4178497.53</v>
          </cell>
          <cell r="BE23">
            <v>4238576.7249999996</v>
          </cell>
          <cell r="BF23">
            <v>4297918.5460000001</v>
          </cell>
          <cell r="BG23">
            <v>4356519.1950000003</v>
          </cell>
          <cell r="BH23">
            <v>4414556.1390000004</v>
          </cell>
          <cell r="BI23">
            <v>4472325.8770000003</v>
          </cell>
          <cell r="BJ23">
            <v>4530214.8210000005</v>
          </cell>
          <cell r="BK23">
            <v>4588501.5089999996</v>
          </cell>
          <cell r="BL23">
            <v>4647278.2539999997</v>
          </cell>
          <cell r="BM23">
            <v>4706476.602</v>
          </cell>
          <cell r="BN23">
            <v>4766006.9939999999</v>
          </cell>
          <cell r="BO23">
            <v>4825709.2949999999</v>
          </cell>
          <cell r="BP23">
            <v>4885441.2410000004</v>
          </cell>
          <cell r="BQ23">
            <v>4945165.3779999996</v>
          </cell>
          <cell r="BR23">
            <v>5004846.2240000004</v>
          </cell>
          <cell r="BS23">
            <v>5064335.0360000003</v>
          </cell>
          <cell r="BT23">
            <v>5123452.71</v>
          </cell>
          <cell r="BU23">
            <v>5182043.5719999997</v>
          </cell>
          <cell r="BV23">
            <v>5240023.6169999996</v>
          </cell>
          <cell r="BW23">
            <v>5297327.1220000004</v>
          </cell>
          <cell r="BX23">
            <v>5353840.9069999997</v>
          </cell>
        </row>
        <row r="24">
          <cell r="C24" t="str">
            <v>Less developed regions, excluding China</v>
          </cell>
          <cell r="E24">
            <v>948</v>
          </cell>
          <cell r="F24" t="str">
            <v>Development Group</v>
          </cell>
          <cell r="G24">
            <v>1803</v>
          </cell>
          <cell r="H24">
            <v>1157420.1029999999</v>
          </cell>
          <cell r="I24">
            <v>1179932.774</v>
          </cell>
          <cell r="J24">
            <v>1203962.7849999999</v>
          </cell>
          <cell r="K24">
            <v>1229440.1159999999</v>
          </cell>
          <cell r="L24">
            <v>1256302.7239999999</v>
          </cell>
          <cell r="M24">
            <v>1284496.733</v>
          </cell>
          <cell r="N24">
            <v>1313976.6869999999</v>
          </cell>
          <cell r="O24">
            <v>1344705.1</v>
          </cell>
          <cell r="P24">
            <v>1376652.138</v>
          </cell>
          <cell r="Q24">
            <v>1409793.6359999999</v>
          </cell>
          <cell r="R24">
            <v>1444107.2709999999</v>
          </cell>
          <cell r="S24">
            <v>1479568.162</v>
          </cell>
          <cell r="T24">
            <v>1516144.814</v>
          </cell>
          <cell r="U24">
            <v>1553797.4750000001</v>
          </cell>
          <cell r="V24">
            <v>1592483.1240000001</v>
          </cell>
          <cell r="W24">
            <v>1632168.7990000001</v>
          </cell>
          <cell r="X24">
            <v>1672841.709</v>
          </cell>
          <cell r="Y24">
            <v>1714499.7790000001</v>
          </cell>
          <cell r="Z24">
            <v>1757138.216</v>
          </cell>
          <cell r="AA24">
            <v>1800757.19</v>
          </cell>
          <cell r="AB24">
            <v>1845364.17</v>
          </cell>
          <cell r="AC24">
            <v>1890968.784</v>
          </cell>
          <cell r="AD24">
            <v>1937592.2520000001</v>
          </cell>
          <cell r="AE24">
            <v>1985264.1880000001</v>
          </cell>
          <cell r="AF24">
            <v>2034022.5330000001</v>
          </cell>
          <cell r="AG24">
            <v>2083907.956</v>
          </cell>
          <cell r="AH24">
            <v>2134887.3840000001</v>
          </cell>
          <cell r="AI24">
            <v>2186987.6370000001</v>
          </cell>
          <cell r="AJ24">
            <v>2240373.1830000002</v>
          </cell>
          <cell r="AK24">
            <v>2295259.2999999998</v>
          </cell>
          <cell r="AL24">
            <v>2351776.4040000001</v>
          </cell>
          <cell r="AM24">
            <v>2409960.4380000001</v>
          </cell>
          <cell r="AN24">
            <v>2469693.8220000002</v>
          </cell>
          <cell r="AO24">
            <v>2530756.1469999999</v>
          </cell>
          <cell r="AP24">
            <v>2592840.9950000001</v>
          </cell>
          <cell r="AQ24">
            <v>2655695.352</v>
          </cell>
          <cell r="AR24">
            <v>2719226.9539999999</v>
          </cell>
          <cell r="AS24">
            <v>2783394.463</v>
          </cell>
          <cell r="AT24">
            <v>2848054.6839999999</v>
          </cell>
          <cell r="AU24">
            <v>2913059.7239999999</v>
          </cell>
          <cell r="AV24">
            <v>2978289.4029999999</v>
          </cell>
          <cell r="AW24">
            <v>3043665.9279999998</v>
          </cell>
          <cell r="AX24">
            <v>3109146.9950000001</v>
          </cell>
          <cell r="AY24">
            <v>3174700.298</v>
          </cell>
          <cell r="AZ24">
            <v>3240313.943</v>
          </cell>
          <cell r="BA24">
            <v>3305985.1710000001</v>
          </cell>
          <cell r="BB24">
            <v>3371698.0219999999</v>
          </cell>
          <cell r="BC24">
            <v>3437456.0690000001</v>
          </cell>
          <cell r="BD24">
            <v>3503309.1540000001</v>
          </cell>
          <cell r="BE24">
            <v>3569329.213</v>
          </cell>
          <cell r="BF24">
            <v>3635583.0090000001</v>
          </cell>
          <cell r="BG24">
            <v>3702081.1320000002</v>
          </cell>
          <cell r="BH24">
            <v>3768852.3840000001</v>
          </cell>
          <cell r="BI24">
            <v>3836005.67</v>
          </cell>
          <cell r="BJ24">
            <v>3903674.97</v>
          </cell>
          <cell r="BK24">
            <v>3971957.4939999999</v>
          </cell>
          <cell r="BL24">
            <v>4040882.3810000001</v>
          </cell>
          <cell r="BM24">
            <v>4110430.5150000001</v>
          </cell>
          <cell r="BN24">
            <v>4180584.7549999999</v>
          </cell>
          <cell r="BO24">
            <v>4251306.9170000004</v>
          </cell>
          <cell r="BP24">
            <v>4322553.3849999998</v>
          </cell>
          <cell r="BQ24">
            <v>4394312.9919999996</v>
          </cell>
          <cell r="BR24">
            <v>4466549.3289999999</v>
          </cell>
          <cell r="BS24">
            <v>4539157.3909999998</v>
          </cell>
          <cell r="BT24">
            <v>4612004.8279999997</v>
          </cell>
          <cell r="BU24">
            <v>4684981.4610000001</v>
          </cell>
          <cell r="BV24">
            <v>4758019.4040000001</v>
          </cell>
          <cell r="BW24">
            <v>4831087.2989999996</v>
          </cell>
          <cell r="BX24">
            <v>4904154.517</v>
          </cell>
        </row>
        <row r="25">
          <cell r="C25" t="str">
            <v>Land-locked Developing Countries (LLDC)</v>
          </cell>
          <cell r="D25" t="str">
            <v>f</v>
          </cell>
          <cell r="E25">
            <v>1636</v>
          </cell>
          <cell r="F25" t="str">
            <v>Special other</v>
          </cell>
          <cell r="G25">
            <v>1803</v>
          </cell>
          <cell r="H25">
            <v>103803.435</v>
          </cell>
          <cell r="I25">
            <v>105870.227</v>
          </cell>
          <cell r="J25">
            <v>108079.423</v>
          </cell>
          <cell r="K25">
            <v>110422.95</v>
          </cell>
          <cell r="L25">
            <v>112894.264</v>
          </cell>
          <cell r="M25">
            <v>115488.185</v>
          </cell>
          <cell r="N25">
            <v>118200.931</v>
          </cell>
          <cell r="O25">
            <v>121030.36900000001</v>
          </cell>
          <cell r="P25">
            <v>123975.289</v>
          </cell>
          <cell r="Q25">
            <v>127035.447</v>
          </cell>
          <cell r="R25">
            <v>130210.264</v>
          </cell>
          <cell r="S25">
            <v>133497.22700000001</v>
          </cell>
          <cell r="T25">
            <v>136891.35399999999</v>
          </cell>
          <cell r="U25">
            <v>140384.28200000001</v>
          </cell>
          <cell r="V25">
            <v>143965.77799999999</v>
          </cell>
          <cell r="W25">
            <v>147627.72700000001</v>
          </cell>
          <cell r="X25">
            <v>151360.247</v>
          </cell>
          <cell r="Y25">
            <v>155160.807</v>
          </cell>
          <cell r="Z25">
            <v>159036.60200000001</v>
          </cell>
          <cell r="AA25">
            <v>162999.595</v>
          </cell>
          <cell r="AB25">
            <v>167054.83499999999</v>
          </cell>
          <cell r="AC25">
            <v>171216.114</v>
          </cell>
          <cell r="AD25">
            <v>175471.489</v>
          </cell>
          <cell r="AE25">
            <v>179770.27799999999</v>
          </cell>
          <cell r="AF25">
            <v>184044.40299999999</v>
          </cell>
          <cell r="AG25">
            <v>188250.86600000001</v>
          </cell>
          <cell r="AH25">
            <v>192374.94</v>
          </cell>
          <cell r="AI25">
            <v>196449.69399999999</v>
          </cell>
          <cell r="AJ25">
            <v>200540.03599999999</v>
          </cell>
          <cell r="AK25">
            <v>204737.16</v>
          </cell>
          <cell r="AL25">
            <v>209112.91800000001</v>
          </cell>
          <cell r="AM25">
            <v>213677.223</v>
          </cell>
          <cell r="AN25">
            <v>218427.90100000001</v>
          </cell>
          <cell r="AO25">
            <v>223408.80900000001</v>
          </cell>
          <cell r="AP25">
            <v>228668.601</v>
          </cell>
          <cell r="AQ25">
            <v>234235.22500000001</v>
          </cell>
          <cell r="AR25">
            <v>240137.12400000001</v>
          </cell>
          <cell r="AS25">
            <v>246350.70300000001</v>
          </cell>
          <cell r="AT25">
            <v>252785.85800000001</v>
          </cell>
          <cell r="AU25">
            <v>259316.89799999999</v>
          </cell>
          <cell r="AV25">
            <v>265852.02100000001</v>
          </cell>
          <cell r="AW25">
            <v>272365.87300000002</v>
          </cell>
          <cell r="AX25">
            <v>278882.19400000002</v>
          </cell>
          <cell r="AY25">
            <v>285419.49699999997</v>
          </cell>
          <cell r="AZ25">
            <v>292014.25900000002</v>
          </cell>
          <cell r="BA25">
            <v>298698.43900000001</v>
          </cell>
          <cell r="BB25">
            <v>305470.56900000002</v>
          </cell>
          <cell r="BC25">
            <v>312333.92499999999</v>
          </cell>
          <cell r="BD25">
            <v>319332.68599999999</v>
          </cell>
          <cell r="BE25">
            <v>326523.05599999998</v>
          </cell>
          <cell r="BF25">
            <v>333947.03499999997</v>
          </cell>
          <cell r="BG25">
            <v>341630.34299999999</v>
          </cell>
          <cell r="BH25">
            <v>349570.83</v>
          </cell>
          <cell r="BI25">
            <v>357748.03700000001</v>
          </cell>
          <cell r="BJ25">
            <v>366126.83199999999</v>
          </cell>
          <cell r="BK25">
            <v>374684.87</v>
          </cell>
          <cell r="BL25">
            <v>383416.63799999998</v>
          </cell>
          <cell r="BM25">
            <v>392342.50300000003</v>
          </cell>
          <cell r="BN25">
            <v>401496.60100000002</v>
          </cell>
          <cell r="BO25">
            <v>410925.266</v>
          </cell>
          <cell r="BP25">
            <v>420661.359</v>
          </cell>
          <cell r="BQ25">
            <v>430709.34700000001</v>
          </cell>
          <cell r="BR25">
            <v>441057.07500000001</v>
          </cell>
          <cell r="BS25">
            <v>451698.88099999999</v>
          </cell>
          <cell r="BT25">
            <v>462623.533</v>
          </cell>
          <cell r="BU25">
            <v>473816.87800000003</v>
          </cell>
          <cell r="BV25">
            <v>485276.85200000001</v>
          </cell>
          <cell r="BW25">
            <v>496988.24300000002</v>
          </cell>
          <cell r="BX25">
            <v>508906.02399999998</v>
          </cell>
        </row>
        <row r="26">
          <cell r="C26" t="str">
            <v>Small Island Developing States (SIDS)</v>
          </cell>
          <cell r="D26" t="str">
            <v>g</v>
          </cell>
          <cell r="E26">
            <v>1637</v>
          </cell>
          <cell r="F26" t="str">
            <v>Special other</v>
          </cell>
          <cell r="G26">
            <v>1803</v>
          </cell>
          <cell r="H26">
            <v>23771.187999999998</v>
          </cell>
          <cell r="I26">
            <v>24209.107</v>
          </cell>
          <cell r="J26">
            <v>24684.499</v>
          </cell>
          <cell r="K26">
            <v>25187.437000000002</v>
          </cell>
          <cell r="L26">
            <v>25710.431</v>
          </cell>
          <cell r="M26">
            <v>26248.812999999998</v>
          </cell>
          <cell r="N26">
            <v>26800.741999999998</v>
          </cell>
          <cell r="O26">
            <v>27366.965</v>
          </cell>
          <cell r="P26">
            <v>27950.646000000001</v>
          </cell>
          <cell r="Q26">
            <v>28556.342000000001</v>
          </cell>
          <cell r="R26">
            <v>29187.976999999999</v>
          </cell>
          <cell r="S26">
            <v>29846.547999999999</v>
          </cell>
          <cell r="T26">
            <v>30527.7</v>
          </cell>
          <cell r="U26">
            <v>31221.359</v>
          </cell>
          <cell r="V26">
            <v>31913.951000000001</v>
          </cell>
          <cell r="W26">
            <v>32595.518</v>
          </cell>
          <cell r="X26">
            <v>33261.26</v>
          </cell>
          <cell r="Y26">
            <v>33913.425999999999</v>
          </cell>
          <cell r="Z26">
            <v>34558.828000000001</v>
          </cell>
          <cell r="AA26">
            <v>35207.915999999997</v>
          </cell>
          <cell r="AB26">
            <v>35868.067999999999</v>
          </cell>
          <cell r="AC26">
            <v>36542.322</v>
          </cell>
          <cell r="AD26">
            <v>37227.025999999998</v>
          </cell>
          <cell r="AE26">
            <v>37914.807999999997</v>
          </cell>
          <cell r="AF26">
            <v>38594.921000000002</v>
          </cell>
          <cell r="AG26">
            <v>39260.277999999998</v>
          </cell>
          <cell r="AH26">
            <v>39907.898999999998</v>
          </cell>
          <cell r="AI26">
            <v>40542.321000000004</v>
          </cell>
          <cell r="AJ26">
            <v>41172.762000000002</v>
          </cell>
          <cell r="AK26">
            <v>41812.553999999996</v>
          </cell>
          <cell r="AL26">
            <v>42471.226000000002</v>
          </cell>
          <cell r="AM26">
            <v>43152.262999999999</v>
          </cell>
          <cell r="AN26">
            <v>43853.067999999999</v>
          </cell>
          <cell r="AO26">
            <v>44570.254999999997</v>
          </cell>
          <cell r="AP26">
            <v>45297.902999999998</v>
          </cell>
          <cell r="AQ26">
            <v>46031.695</v>
          </cell>
          <cell r="AR26">
            <v>46770.053999999996</v>
          </cell>
          <cell r="AS26">
            <v>47514.428999999996</v>
          </cell>
          <cell r="AT26">
            <v>48266.883000000002</v>
          </cell>
          <cell r="AU26">
            <v>49030.703000000001</v>
          </cell>
          <cell r="AV26">
            <v>49807.641000000003</v>
          </cell>
          <cell r="AW26">
            <v>50597.767</v>
          </cell>
          <cell r="AX26">
            <v>51398.042999999998</v>
          </cell>
          <cell r="AY26">
            <v>52203.247000000003</v>
          </cell>
          <cell r="AZ26">
            <v>53006.491000000002</v>
          </cell>
          <cell r="BA26">
            <v>53802.296999999999</v>
          </cell>
          <cell r="BB26">
            <v>54591.588000000003</v>
          </cell>
          <cell r="BC26">
            <v>55374.447</v>
          </cell>
          <cell r="BD26">
            <v>56144.033000000003</v>
          </cell>
          <cell r="BE26">
            <v>56891.873</v>
          </cell>
          <cell r="BF26">
            <v>57613.589</v>
          </cell>
          <cell r="BG26">
            <v>58302.197999999997</v>
          </cell>
          <cell r="BH26">
            <v>58963.262000000002</v>
          </cell>
          <cell r="BI26">
            <v>59620.690999999999</v>
          </cell>
          <cell r="BJ26">
            <v>60307.167999999998</v>
          </cell>
          <cell r="BK26">
            <v>61044.582000000002</v>
          </cell>
          <cell r="BL26">
            <v>61842.983999999997</v>
          </cell>
          <cell r="BM26">
            <v>62691.372000000003</v>
          </cell>
          <cell r="BN26">
            <v>63564.913</v>
          </cell>
          <cell r="BO26">
            <v>64427.631999999998</v>
          </cell>
          <cell r="BP26">
            <v>65253.175000000003</v>
          </cell>
          <cell r="BQ26">
            <v>66034.534</v>
          </cell>
          <cell r="BR26">
            <v>66778.778000000006</v>
          </cell>
          <cell r="BS26">
            <v>67490.739000000001</v>
          </cell>
          <cell r="BT26">
            <v>68180.394</v>
          </cell>
          <cell r="BU26">
            <v>68855.574999999997</v>
          </cell>
          <cell r="BV26">
            <v>69514.994000000006</v>
          </cell>
          <cell r="BW26">
            <v>70157.538</v>
          </cell>
          <cell r="BX26">
            <v>70791.823999999993</v>
          </cell>
        </row>
        <row r="27">
          <cell r="C27" t="str">
            <v>World Bank income groups</v>
          </cell>
          <cell r="E27">
            <v>1802</v>
          </cell>
          <cell r="F27" t="str">
            <v>Label/Separator</v>
          </cell>
          <cell r="G27">
            <v>900</v>
          </cell>
          <cell r="H27" t="str">
            <v>…</v>
          </cell>
          <cell r="I27" t="str">
            <v>…</v>
          </cell>
          <cell r="J27" t="str">
            <v>…</v>
          </cell>
          <cell r="K27" t="str">
            <v>…</v>
          </cell>
          <cell r="L27" t="str">
            <v>…</v>
          </cell>
          <cell r="M27" t="str">
            <v>…</v>
          </cell>
          <cell r="N27" t="str">
            <v>…</v>
          </cell>
          <cell r="O27" t="str">
            <v>…</v>
          </cell>
          <cell r="P27" t="str">
            <v>…</v>
          </cell>
          <cell r="Q27" t="str">
            <v>…</v>
          </cell>
          <cell r="R27" t="str">
            <v>…</v>
          </cell>
          <cell r="S27" t="str">
            <v>…</v>
          </cell>
          <cell r="T27" t="str">
            <v>…</v>
          </cell>
          <cell r="U27" t="str">
            <v>…</v>
          </cell>
          <cell r="V27" t="str">
            <v>…</v>
          </cell>
          <cell r="W27" t="str">
            <v>…</v>
          </cell>
          <cell r="X27" t="str">
            <v>…</v>
          </cell>
          <cell r="Y27" t="str">
            <v>…</v>
          </cell>
          <cell r="Z27" t="str">
            <v>…</v>
          </cell>
          <cell r="AA27" t="str">
            <v>…</v>
          </cell>
          <cell r="AB27" t="str">
            <v>…</v>
          </cell>
          <cell r="AC27" t="str">
            <v>…</v>
          </cell>
          <cell r="AD27" t="str">
            <v>…</v>
          </cell>
          <cell r="AE27" t="str">
            <v>…</v>
          </cell>
          <cell r="AF27" t="str">
            <v>…</v>
          </cell>
          <cell r="AG27" t="str">
            <v>…</v>
          </cell>
          <cell r="AH27" t="str">
            <v>…</v>
          </cell>
          <cell r="AI27" t="str">
            <v>…</v>
          </cell>
          <cell r="AJ27" t="str">
            <v>…</v>
          </cell>
          <cell r="AK27" t="str">
            <v>…</v>
          </cell>
          <cell r="AL27" t="str">
            <v>…</v>
          </cell>
          <cell r="AM27" t="str">
            <v>…</v>
          </cell>
          <cell r="AN27" t="str">
            <v>…</v>
          </cell>
          <cell r="AO27" t="str">
            <v>…</v>
          </cell>
          <cell r="AP27" t="str">
            <v>…</v>
          </cell>
          <cell r="AQ27" t="str">
            <v>…</v>
          </cell>
          <cell r="AR27" t="str">
            <v>…</v>
          </cell>
          <cell r="AS27" t="str">
            <v>…</v>
          </cell>
          <cell r="AT27" t="str">
            <v>…</v>
          </cell>
          <cell r="AU27" t="str">
            <v>…</v>
          </cell>
          <cell r="AV27" t="str">
            <v>…</v>
          </cell>
          <cell r="AW27" t="str">
            <v>…</v>
          </cell>
          <cell r="AX27" t="str">
            <v>…</v>
          </cell>
          <cell r="AY27" t="str">
            <v>…</v>
          </cell>
          <cell r="AZ27" t="str">
            <v>…</v>
          </cell>
          <cell r="BA27" t="str">
            <v>…</v>
          </cell>
          <cell r="BB27" t="str">
            <v>…</v>
          </cell>
          <cell r="BC27" t="str">
            <v>…</v>
          </cell>
          <cell r="BD27" t="str">
            <v>…</v>
          </cell>
          <cell r="BE27" t="str">
            <v>…</v>
          </cell>
          <cell r="BF27" t="str">
            <v>…</v>
          </cell>
          <cell r="BG27" t="str">
            <v>…</v>
          </cell>
          <cell r="BH27" t="str">
            <v>…</v>
          </cell>
          <cell r="BI27" t="str">
            <v>…</v>
          </cell>
          <cell r="BJ27" t="str">
            <v>…</v>
          </cell>
          <cell r="BK27" t="str">
            <v>…</v>
          </cell>
          <cell r="BL27" t="str">
            <v>…</v>
          </cell>
          <cell r="BM27" t="str">
            <v>…</v>
          </cell>
          <cell r="BN27" t="str">
            <v>…</v>
          </cell>
          <cell r="BO27" t="str">
            <v>…</v>
          </cell>
          <cell r="BP27" t="str">
            <v>…</v>
          </cell>
          <cell r="BQ27" t="str">
            <v>…</v>
          </cell>
          <cell r="BR27" t="str">
            <v>…</v>
          </cell>
          <cell r="BS27" t="str">
            <v>…</v>
          </cell>
          <cell r="BT27" t="str">
            <v>…</v>
          </cell>
          <cell r="BU27" t="str">
            <v>…</v>
          </cell>
          <cell r="BV27" t="str">
            <v>…</v>
          </cell>
          <cell r="BW27" t="str">
            <v>…</v>
          </cell>
          <cell r="BX27" t="str">
            <v>…</v>
          </cell>
        </row>
        <row r="28">
          <cell r="C28" t="str">
            <v>High-income countries</v>
          </cell>
          <cell r="D28" t="str">
            <v>h</v>
          </cell>
          <cell r="E28">
            <v>1503</v>
          </cell>
          <cell r="F28" t="str">
            <v>Income Group</v>
          </cell>
          <cell r="G28">
            <v>1802</v>
          </cell>
          <cell r="H28">
            <v>694989.15800000005</v>
          </cell>
          <cell r="I28">
            <v>703003.81099999999</v>
          </cell>
          <cell r="J28">
            <v>711533.78200000001</v>
          </cell>
          <cell r="K28">
            <v>720435.92200000002</v>
          </cell>
          <cell r="L28">
            <v>729595.89</v>
          </cell>
          <cell r="M28">
            <v>738928.62699999998</v>
          </cell>
          <cell r="N28">
            <v>748379.12199999997</v>
          </cell>
          <cell r="O28">
            <v>757921.40899999999</v>
          </cell>
          <cell r="P28">
            <v>767554.39</v>
          </cell>
          <cell r="Q28">
            <v>777295.09299999999</v>
          </cell>
          <cell r="R28">
            <v>787158.22900000005</v>
          </cell>
          <cell r="S28">
            <v>797134.72600000002</v>
          </cell>
          <cell r="T28">
            <v>807172.30900000001</v>
          </cell>
          <cell r="U28">
            <v>817167.62</v>
          </cell>
          <cell r="V28">
            <v>826989.17599999998</v>
          </cell>
          <cell r="W28">
            <v>836545.39599999995</v>
          </cell>
          <cell r="X28">
            <v>845779.07700000005</v>
          </cell>
          <cell r="Y28">
            <v>854716.29700000002</v>
          </cell>
          <cell r="Z28">
            <v>863451.97100000002</v>
          </cell>
          <cell r="AA28">
            <v>872128.63899999997</v>
          </cell>
          <cell r="AB28">
            <v>880845.65099999995</v>
          </cell>
          <cell r="AC28">
            <v>889638.88100000005</v>
          </cell>
          <cell r="AD28">
            <v>898464.74399999995</v>
          </cell>
          <cell r="AE28">
            <v>907248.73199999996</v>
          </cell>
          <cell r="AF28">
            <v>915880.33299999998</v>
          </cell>
          <cell r="AG28">
            <v>924282.6</v>
          </cell>
          <cell r="AH28">
            <v>932435.701</v>
          </cell>
          <cell r="AI28">
            <v>940374.625999999</v>
          </cell>
          <cell r="AJ28">
            <v>948144.31900000002</v>
          </cell>
          <cell r="AK28">
            <v>955812.39399999997</v>
          </cell>
          <cell r="AL28">
            <v>963431.40700000001</v>
          </cell>
          <cell r="AM28">
            <v>971015.25100000005</v>
          </cell>
          <cell r="AN28">
            <v>978558.91500000004</v>
          </cell>
          <cell r="AO28">
            <v>986073.48499999999</v>
          </cell>
          <cell r="AP28">
            <v>993567.07900000003</v>
          </cell>
          <cell r="AQ28">
            <v>1001046.924</v>
          </cell>
          <cell r="AR28">
            <v>1008519.117</v>
          </cell>
          <cell r="AS28">
            <v>1015990.231</v>
          </cell>
          <cell r="AT28">
            <v>1023466.654</v>
          </cell>
          <cell r="AU28">
            <v>1030954.231</v>
          </cell>
          <cell r="AV28">
            <v>1038455.405</v>
          </cell>
          <cell r="AW28">
            <v>1045985.806</v>
          </cell>
          <cell r="AX28">
            <v>1053543.1510000001</v>
          </cell>
          <cell r="AY28">
            <v>1061090.078</v>
          </cell>
          <cell r="AZ28">
            <v>1068574.939</v>
          </cell>
          <cell r="BA28">
            <v>1075966.4750000001</v>
          </cell>
          <cell r="BB28">
            <v>1083259.2960000001</v>
          </cell>
          <cell r="BC28">
            <v>1090483.9990000001</v>
          </cell>
          <cell r="BD28">
            <v>1097691.058</v>
          </cell>
          <cell r="BE28">
            <v>1104949.8589999999</v>
          </cell>
          <cell r="BF28">
            <v>1112318.3230000001</v>
          </cell>
          <cell r="BG28">
            <v>1119775.7879999999</v>
          </cell>
          <cell r="BH28">
            <v>1127324.287</v>
          </cell>
          <cell r="BI28">
            <v>1135066.2379999999</v>
          </cell>
          <cell r="BJ28">
            <v>1143132.3929999999</v>
          </cell>
          <cell r="BK28">
            <v>1151594.879</v>
          </cell>
          <cell r="BL28">
            <v>1160503.4339999999</v>
          </cell>
          <cell r="BM28">
            <v>1169770.534</v>
          </cell>
          <cell r="BN28">
            <v>1179159.892</v>
          </cell>
          <cell r="BO28">
            <v>1188348.0889999999</v>
          </cell>
          <cell r="BP28">
            <v>1197095.061</v>
          </cell>
          <cell r="BQ28">
            <v>1205302.6170000001</v>
          </cell>
          <cell r="BR28">
            <v>1213008.5079999999</v>
          </cell>
          <cell r="BS28">
            <v>1220275.3629999999</v>
          </cell>
          <cell r="BT28">
            <v>1227222.9779999999</v>
          </cell>
          <cell r="BU28">
            <v>1233934.74</v>
          </cell>
          <cell r="BV28">
            <v>1240426.4129999999</v>
          </cell>
          <cell r="BW28">
            <v>1246648.5090000001</v>
          </cell>
          <cell r="BX28">
            <v>1252546.3570000001</v>
          </cell>
        </row>
        <row r="29">
          <cell r="C29" t="str">
            <v>Middle-income countries</v>
          </cell>
          <cell r="D29" t="str">
            <v>h</v>
          </cell>
          <cell r="E29">
            <v>1517</v>
          </cell>
          <cell r="F29" t="str">
            <v>Income Group</v>
          </cell>
          <cell r="G29">
            <v>1802</v>
          </cell>
          <cell r="H29">
            <v>1703596.5589999999</v>
          </cell>
          <cell r="I29">
            <v>1741085.96</v>
          </cell>
          <cell r="J29">
            <v>1777129.2819999999</v>
          </cell>
          <cell r="K29">
            <v>1812536.03</v>
          </cell>
          <cell r="L29">
            <v>1847972.561</v>
          </cell>
          <cell r="M29">
            <v>1883962.0649999999</v>
          </cell>
          <cell r="N29">
            <v>1920879.325</v>
          </cell>
          <cell r="O29">
            <v>1958956.121</v>
          </cell>
          <cell r="P29">
            <v>1998297.612</v>
          </cell>
          <cell r="Q29">
            <v>2038909.7520000001</v>
          </cell>
          <cell r="R29">
            <v>2080780.9469999999</v>
          </cell>
          <cell r="S29">
            <v>2123969.9649999999</v>
          </cell>
          <cell r="T29">
            <v>2168682.2549999999</v>
          </cell>
          <cell r="U29">
            <v>2215302.7170000002</v>
          </cell>
          <cell r="V29">
            <v>2264302.8909999998</v>
          </cell>
          <cell r="W29">
            <v>2315967.5189999999</v>
          </cell>
          <cell r="X29">
            <v>2370446.6159999999</v>
          </cell>
          <cell r="Y29">
            <v>2427505.1379999998</v>
          </cell>
          <cell r="Z29">
            <v>2486549.7450000001</v>
          </cell>
          <cell r="AA29">
            <v>2546750.19</v>
          </cell>
          <cell r="AB29">
            <v>2607460.6680000001</v>
          </cell>
          <cell r="AC29">
            <v>2668543.9</v>
          </cell>
          <cell r="AD29">
            <v>2730037.8020000001</v>
          </cell>
          <cell r="AE29">
            <v>2791686.5460000001</v>
          </cell>
          <cell r="AF29">
            <v>2853238.8840000001</v>
          </cell>
          <cell r="AG29">
            <v>2914555.5150000001</v>
          </cell>
          <cell r="AH29">
            <v>2975473.4759999998</v>
          </cell>
          <cell r="AI29">
            <v>3036109.3829999999</v>
          </cell>
          <cell r="AJ29">
            <v>3096965.4010000001</v>
          </cell>
          <cell r="AK29">
            <v>3158747.5789999999</v>
          </cell>
          <cell r="AL29">
            <v>3221987.7940000002</v>
          </cell>
          <cell r="AM29">
            <v>3286643.4470000002</v>
          </cell>
          <cell r="AN29">
            <v>3352592.3790000002</v>
          </cell>
          <cell r="AO29">
            <v>3420161.4470000002</v>
          </cell>
          <cell r="AP29">
            <v>3489732.2719999999</v>
          </cell>
          <cell r="AQ29">
            <v>3561445.8840000001</v>
          </cell>
          <cell r="AR29">
            <v>3635556.8190000001</v>
          </cell>
          <cell r="AS29">
            <v>3711631.3629999999</v>
          </cell>
          <cell r="AT29">
            <v>3788266.426</v>
          </cell>
          <cell r="AU29">
            <v>3863575.912</v>
          </cell>
          <cell r="AV29">
            <v>3936199.003</v>
          </cell>
          <cell r="AW29">
            <v>4005573.58</v>
          </cell>
          <cell r="AX29">
            <v>4072033.5980000002</v>
          </cell>
          <cell r="AY29">
            <v>4136227.2779999999</v>
          </cell>
          <cell r="AZ29">
            <v>4199219.9189999998</v>
          </cell>
          <cell r="BA29">
            <v>4261803.6830000002</v>
          </cell>
          <cell r="BB29">
            <v>4324146.8030000003</v>
          </cell>
          <cell r="BC29">
            <v>4386018.5070000002</v>
          </cell>
          <cell r="BD29">
            <v>4447358.3679999998</v>
          </cell>
          <cell r="BE29">
            <v>4508010.4330000002</v>
          </cell>
          <cell r="BF29">
            <v>4567891.0219999999</v>
          </cell>
          <cell r="BG29">
            <v>4627061.1330000004</v>
          </cell>
          <cell r="BH29">
            <v>4685694.5949999997</v>
          </cell>
          <cell r="BI29">
            <v>4743954.1349999998</v>
          </cell>
          <cell r="BJ29">
            <v>4802039.7949999999</v>
          </cell>
          <cell r="BK29">
            <v>4860123.8880000003</v>
          </cell>
          <cell r="BL29">
            <v>4918213.0080000004</v>
          </cell>
          <cell r="BM29">
            <v>4976355.8449999997</v>
          </cell>
          <cell r="BN29">
            <v>5034805.7379999999</v>
          </cell>
          <cell r="BO29">
            <v>5093871.5070000002</v>
          </cell>
          <cell r="BP29">
            <v>5153738.1409999998</v>
          </cell>
          <cell r="BQ29">
            <v>5214491.7180000003</v>
          </cell>
          <cell r="BR29">
            <v>5275972.5650000004</v>
          </cell>
          <cell r="BS29">
            <v>5337803.6569999997</v>
          </cell>
          <cell r="BT29">
            <v>5399458.1129999999</v>
          </cell>
          <cell r="BU29">
            <v>5460515.6220000004</v>
          </cell>
          <cell r="BV29">
            <v>5520843.4220000003</v>
          </cell>
          <cell r="BW29">
            <v>5580422.6299999999</v>
          </cell>
          <cell r="BX29">
            <v>5639084.1579999998</v>
          </cell>
        </row>
        <row r="30">
          <cell r="C30" t="str">
            <v>Upper-middle-income countries</v>
          </cell>
          <cell r="D30" t="str">
            <v>h</v>
          </cell>
          <cell r="E30">
            <v>1502</v>
          </cell>
          <cell r="F30" t="str">
            <v>Income Group</v>
          </cell>
          <cell r="G30">
            <v>1517</v>
          </cell>
          <cell r="H30">
            <v>938930.92799999996</v>
          </cell>
          <cell r="I30">
            <v>962815.83900000004</v>
          </cell>
          <cell r="J30">
            <v>984350.34900000005</v>
          </cell>
          <cell r="K30">
            <v>1004407.518</v>
          </cell>
          <cell r="L30">
            <v>1023703.201</v>
          </cell>
          <cell r="M30">
            <v>1042795.679</v>
          </cell>
          <cell r="N30">
            <v>1062080</v>
          </cell>
          <cell r="O30">
            <v>1081793.798</v>
          </cell>
          <cell r="P30">
            <v>1102036.0730000001</v>
          </cell>
          <cell r="Q30">
            <v>1122797.9550000001</v>
          </cell>
          <cell r="R30">
            <v>1144055.2339999999</v>
          </cell>
          <cell r="S30">
            <v>1165867.4950000001</v>
          </cell>
          <cell r="T30">
            <v>1188464.5330000001</v>
          </cell>
          <cell r="U30">
            <v>1212283.32</v>
          </cell>
          <cell r="V30">
            <v>1237863.0260000001</v>
          </cell>
          <cell r="W30">
            <v>1265536.1939999999</v>
          </cell>
          <cell r="X30">
            <v>1295466.0079999999</v>
          </cell>
          <cell r="Y30">
            <v>1327401.352</v>
          </cell>
          <cell r="Z30">
            <v>1360729.4779999999</v>
          </cell>
          <cell r="AA30">
            <v>1394587.9569999999</v>
          </cell>
          <cell r="AB30">
            <v>1428300.0689999999</v>
          </cell>
          <cell r="AC30">
            <v>1461718.4650000001</v>
          </cell>
          <cell r="AD30">
            <v>1494865.8359999999</v>
          </cell>
          <cell r="AE30">
            <v>1527449.2779999999</v>
          </cell>
          <cell r="AF30">
            <v>1559172.7590000001</v>
          </cell>
          <cell r="AG30">
            <v>1589857.246</v>
          </cell>
          <cell r="AH30">
            <v>1619357.0630000001</v>
          </cell>
          <cell r="AI30">
            <v>1647778.388</v>
          </cell>
          <cell r="AJ30">
            <v>1675530.551</v>
          </cell>
          <cell r="AK30">
            <v>1703200.507</v>
          </cell>
          <cell r="AL30">
            <v>1731254.5789999999</v>
          </cell>
          <cell r="AM30">
            <v>1759631.92</v>
          </cell>
          <cell r="AN30">
            <v>1788295.23</v>
          </cell>
          <cell r="AO30">
            <v>1817741.564</v>
          </cell>
          <cell r="AP30">
            <v>1848584.557</v>
          </cell>
          <cell r="AQ30">
            <v>1881154.7609999999</v>
          </cell>
          <cell r="AR30">
            <v>1915773.915</v>
          </cell>
          <cell r="AS30">
            <v>1952035.65</v>
          </cell>
          <cell r="AT30">
            <v>1988638.713</v>
          </cell>
          <cell r="AU30">
            <v>2023800.6459999999</v>
          </cell>
          <cell r="AV30">
            <v>2056240.3840000001</v>
          </cell>
          <cell r="AW30">
            <v>2085468.41</v>
          </cell>
          <cell r="AX30">
            <v>2111839.44</v>
          </cell>
          <cell r="AY30">
            <v>2135960.483</v>
          </cell>
          <cell r="AZ30">
            <v>2158819.673</v>
          </cell>
          <cell r="BA30">
            <v>2181157.4559999998</v>
          </cell>
          <cell r="BB30">
            <v>2203131.2829999998</v>
          </cell>
          <cell r="BC30">
            <v>2224549.0099999998</v>
          </cell>
          <cell r="BD30">
            <v>2245404.0959999999</v>
          </cell>
          <cell r="BE30">
            <v>2265614.2940000002</v>
          </cell>
          <cell r="BF30">
            <v>2285144.5970000001</v>
          </cell>
          <cell r="BG30">
            <v>2304075.946</v>
          </cell>
          <cell r="BH30">
            <v>2322554.0869999998</v>
          </cell>
          <cell r="BI30">
            <v>2340682.4929999998</v>
          </cell>
          <cell r="BJ30">
            <v>2358576.5219999999</v>
          </cell>
          <cell r="BK30">
            <v>2376344.673</v>
          </cell>
          <cell r="BL30">
            <v>2393987.4479999999</v>
          </cell>
          <cell r="BM30">
            <v>2411566.3650000002</v>
          </cell>
          <cell r="BN30">
            <v>2429314.4810000001</v>
          </cell>
          <cell r="BO30">
            <v>2447520.4530000002</v>
          </cell>
          <cell r="BP30">
            <v>2466363.5189999999</v>
          </cell>
          <cell r="BQ30">
            <v>2485922.7379999999</v>
          </cell>
          <cell r="BR30">
            <v>2506065.0759999999</v>
          </cell>
          <cell r="BS30">
            <v>2526484.8859999999</v>
          </cell>
          <cell r="BT30">
            <v>2546751.0210000002</v>
          </cell>
          <cell r="BU30">
            <v>2566519.321</v>
          </cell>
          <cell r="BV30">
            <v>2585693.574</v>
          </cell>
          <cell r="BW30">
            <v>2604262.4389999998</v>
          </cell>
          <cell r="BX30">
            <v>2622069.7059999998</v>
          </cell>
        </row>
        <row r="31">
          <cell r="C31" t="str">
            <v>Lower-middle-income countries</v>
          </cell>
          <cell r="D31" t="str">
            <v>h</v>
          </cell>
          <cell r="E31">
            <v>1501</v>
          </cell>
          <cell r="F31" t="str">
            <v>Income Group</v>
          </cell>
          <cell r="G31">
            <v>1517</v>
          </cell>
          <cell r="H31">
            <v>764665.63100000005</v>
          </cell>
          <cell r="I31">
            <v>778270.12100000004</v>
          </cell>
          <cell r="J31">
            <v>792778.93299999996</v>
          </cell>
          <cell r="K31">
            <v>808128.51199999999</v>
          </cell>
          <cell r="L31">
            <v>824269.36</v>
          </cell>
          <cell r="M31">
            <v>841166.38600000006</v>
          </cell>
          <cell r="N31">
            <v>858799.32499999995</v>
          </cell>
          <cell r="O31">
            <v>877162.32299999997</v>
          </cell>
          <cell r="P31">
            <v>896261.53899999999</v>
          </cell>
          <cell r="Q31">
            <v>916111.79700000002</v>
          </cell>
          <cell r="R31">
            <v>936725.71299999999</v>
          </cell>
          <cell r="S31">
            <v>958102.47</v>
          </cell>
          <cell r="T31">
            <v>980217.72199999995</v>
          </cell>
          <cell r="U31">
            <v>1003019.397</v>
          </cell>
          <cell r="V31">
            <v>1026439.865</v>
          </cell>
          <cell r="W31">
            <v>1050431.325</v>
          </cell>
          <cell r="X31">
            <v>1074980.608</v>
          </cell>
          <cell r="Y31">
            <v>1100103.7860000001</v>
          </cell>
          <cell r="Z31">
            <v>1125820.267</v>
          </cell>
          <cell r="AA31">
            <v>1152162.233</v>
          </cell>
          <cell r="AB31">
            <v>1179160.5989999999</v>
          </cell>
          <cell r="AC31">
            <v>1206825.4350000001</v>
          </cell>
          <cell r="AD31">
            <v>1235171.966</v>
          </cell>
          <cell r="AE31">
            <v>1264237.2679999999</v>
          </cell>
          <cell r="AF31">
            <v>1294066.125</v>
          </cell>
          <cell r="AG31">
            <v>1324698.2690000001</v>
          </cell>
          <cell r="AH31">
            <v>1356116.4129999999</v>
          </cell>
          <cell r="AI31">
            <v>1388330.9950000001</v>
          </cell>
          <cell r="AJ31">
            <v>1421434.85</v>
          </cell>
          <cell r="AK31">
            <v>1455547.0719999999</v>
          </cell>
          <cell r="AL31">
            <v>1490733.2150000001</v>
          </cell>
          <cell r="AM31">
            <v>1527011.527</v>
          </cell>
          <cell r="AN31">
            <v>1564297.149</v>
          </cell>
          <cell r="AO31">
            <v>1602419.8829999999</v>
          </cell>
          <cell r="AP31">
            <v>1641147.7150000001</v>
          </cell>
          <cell r="AQ31">
            <v>1680291.1229999999</v>
          </cell>
          <cell r="AR31">
            <v>1719782.9040000001</v>
          </cell>
          <cell r="AS31">
            <v>1759595.713</v>
          </cell>
          <cell r="AT31">
            <v>1799627.713</v>
          </cell>
          <cell r="AU31">
            <v>1839775.2660000001</v>
          </cell>
          <cell r="AV31">
            <v>1879958.6189999999</v>
          </cell>
          <cell r="AW31">
            <v>1920105.17</v>
          </cell>
          <cell r="AX31">
            <v>1960194.1580000001</v>
          </cell>
          <cell r="AY31">
            <v>2000266.7949999999</v>
          </cell>
          <cell r="AZ31">
            <v>2040400.246</v>
          </cell>
          <cell r="BA31">
            <v>2080646.227</v>
          </cell>
          <cell r="BB31">
            <v>2121015.52</v>
          </cell>
          <cell r="BC31">
            <v>2161469.497</v>
          </cell>
          <cell r="BD31">
            <v>2201954.2719999999</v>
          </cell>
          <cell r="BE31">
            <v>2242396.139</v>
          </cell>
          <cell r="BF31">
            <v>2282746.4249999998</v>
          </cell>
          <cell r="BG31">
            <v>2322985.1869999999</v>
          </cell>
          <cell r="BH31">
            <v>2363140.5079999999</v>
          </cell>
          <cell r="BI31">
            <v>2403271.642</v>
          </cell>
          <cell r="BJ31">
            <v>2443463.273</v>
          </cell>
          <cell r="BK31">
            <v>2483779.2149999999</v>
          </cell>
          <cell r="BL31">
            <v>2524225.56</v>
          </cell>
          <cell r="BM31">
            <v>2564789.48</v>
          </cell>
          <cell r="BN31">
            <v>2605491.2570000002</v>
          </cell>
          <cell r="BO31">
            <v>2646351.054</v>
          </cell>
          <cell r="BP31">
            <v>2687374.622</v>
          </cell>
          <cell r="BQ31">
            <v>2728568.98</v>
          </cell>
          <cell r="BR31">
            <v>2769907.4890000001</v>
          </cell>
          <cell r="BS31">
            <v>2811318.7710000002</v>
          </cell>
          <cell r="BT31">
            <v>2852707.0920000002</v>
          </cell>
          <cell r="BU31">
            <v>2893996.301</v>
          </cell>
          <cell r="BV31">
            <v>2935149.8480000002</v>
          </cell>
          <cell r="BW31">
            <v>2976160.1910000001</v>
          </cell>
          <cell r="BX31">
            <v>3017014.452</v>
          </cell>
        </row>
        <row r="32">
          <cell r="C32" t="str">
            <v>Low-income countries</v>
          </cell>
          <cell r="D32" t="str">
            <v>h</v>
          </cell>
          <cell r="E32">
            <v>1500</v>
          </cell>
          <cell r="F32" t="str">
            <v>Income Group</v>
          </cell>
          <cell r="G32">
            <v>1802</v>
          </cell>
          <cell r="H32">
            <v>137041.883</v>
          </cell>
          <cell r="I32">
            <v>139118.85699999999</v>
          </cell>
          <cell r="J32">
            <v>141351.60200000001</v>
          </cell>
          <cell r="K32">
            <v>143768.524</v>
          </cell>
          <cell r="L32">
            <v>146387.12100000001</v>
          </cell>
          <cell r="M32">
            <v>149213.76500000001</v>
          </cell>
          <cell r="N32">
            <v>152243.27299999999</v>
          </cell>
          <cell r="O32">
            <v>155459.364</v>
          </cell>
          <cell r="P32">
            <v>158836.73699999999</v>
          </cell>
          <cell r="Q32">
            <v>162344.19</v>
          </cell>
          <cell r="R32">
            <v>165954.462</v>
          </cell>
          <cell r="S32">
            <v>169654.31599999999</v>
          </cell>
          <cell r="T32">
            <v>173453.875</v>
          </cell>
          <cell r="U32">
            <v>177390.32</v>
          </cell>
          <cell r="V32">
            <v>181516.88200000001</v>
          </cell>
          <cell r="W32">
            <v>185870.66200000001</v>
          </cell>
          <cell r="X32">
            <v>190464.103</v>
          </cell>
          <cell r="Y32">
            <v>195281.27</v>
          </cell>
          <cell r="Z32">
            <v>200296.674</v>
          </cell>
          <cell r="AA32">
            <v>205471.908</v>
          </cell>
          <cell r="AB32">
            <v>210778.23699999999</v>
          </cell>
          <cell r="AC32">
            <v>216209.503</v>
          </cell>
          <cell r="AD32">
            <v>221771.93400000001</v>
          </cell>
          <cell r="AE32">
            <v>227463.924</v>
          </cell>
          <cell r="AF32">
            <v>233286.886</v>
          </cell>
          <cell r="AG32">
            <v>239242.37299999999</v>
          </cell>
          <cell r="AH32">
            <v>245339.106</v>
          </cell>
          <cell r="AI32">
            <v>251579.55</v>
          </cell>
          <cell r="AJ32">
            <v>257953.62899999999</v>
          </cell>
          <cell r="AK32">
            <v>264447.30099999998</v>
          </cell>
          <cell r="AL32">
            <v>271057.74300000002</v>
          </cell>
          <cell r="AM32">
            <v>277785.31400000001</v>
          </cell>
          <cell r="AN32">
            <v>284656.98800000001</v>
          </cell>
          <cell r="AO32">
            <v>291729.864</v>
          </cell>
          <cell r="AP32">
            <v>299078.663</v>
          </cell>
          <cell r="AQ32">
            <v>306762.09499999997</v>
          </cell>
          <cell r="AR32">
            <v>314787.12</v>
          </cell>
          <cell r="AS32">
            <v>323153.71899999998</v>
          </cell>
          <cell r="AT32">
            <v>331902.02500000002</v>
          </cell>
          <cell r="AU32">
            <v>341076.95799999998</v>
          </cell>
          <cell r="AV32">
            <v>350700.95699999999</v>
          </cell>
          <cell r="AW32">
            <v>360816.11800000002</v>
          </cell>
          <cell r="AX32">
            <v>371393.16700000002</v>
          </cell>
          <cell r="AY32">
            <v>382295.625</v>
          </cell>
          <cell r="AZ32">
            <v>393335.95899999997</v>
          </cell>
          <cell r="BA32">
            <v>404386.57</v>
          </cell>
          <cell r="BB32">
            <v>415391.37599999999</v>
          </cell>
          <cell r="BC32">
            <v>426409.41600000003</v>
          </cell>
          <cell r="BD32">
            <v>437569.641</v>
          </cell>
          <cell r="BE32">
            <v>449060.73100000003</v>
          </cell>
          <cell r="BF32">
            <v>461021.00099999999</v>
          </cell>
          <cell r="BG32">
            <v>473477.98</v>
          </cell>
          <cell r="BH32">
            <v>486392.234</v>
          </cell>
          <cell r="BI32">
            <v>499752.27399999998</v>
          </cell>
          <cell r="BJ32">
            <v>513527.19199999998</v>
          </cell>
          <cell r="BK32">
            <v>527685.61600000004</v>
          </cell>
          <cell r="BL32">
            <v>542261.62100000004</v>
          </cell>
          <cell r="BM32">
            <v>557248.20799999998</v>
          </cell>
          <cell r="BN32">
            <v>572522.75899999996</v>
          </cell>
          <cell r="BO32">
            <v>587921.34400000004</v>
          </cell>
          <cell r="BP32">
            <v>603339.57400000002</v>
          </cell>
          <cell r="BQ32">
            <v>618725.57299999997</v>
          </cell>
          <cell r="BR32">
            <v>634150.14800000004</v>
          </cell>
          <cell r="BS32">
            <v>649783.46699999995</v>
          </cell>
          <cell r="BT32">
            <v>665865.81200000003</v>
          </cell>
          <cell r="BU32">
            <v>682575.71900000004</v>
          </cell>
          <cell r="BV32">
            <v>699950.57299999997</v>
          </cell>
          <cell r="BW32">
            <v>717952.44400000002</v>
          </cell>
          <cell r="BX32">
            <v>736589.31900000002</v>
          </cell>
        </row>
        <row r="33">
          <cell r="C33" t="str">
            <v>No income group available</v>
          </cell>
          <cell r="E33">
            <v>1518</v>
          </cell>
          <cell r="F33" t="str">
            <v>Income Group</v>
          </cell>
          <cell r="G33">
            <v>1802</v>
          </cell>
          <cell r="H33">
            <v>803.54899999999998</v>
          </cell>
          <cell r="I33">
            <v>825.63300000000004</v>
          </cell>
          <cell r="J33">
            <v>846.89599999999996</v>
          </cell>
          <cell r="K33">
            <v>868.48400000000004</v>
          </cell>
          <cell r="L33">
            <v>891.16899999999998</v>
          </cell>
          <cell r="M33">
            <v>915.47900000000004</v>
          </cell>
          <cell r="N33">
            <v>941.56200000000001</v>
          </cell>
          <cell r="O33">
            <v>969.19600000000003</v>
          </cell>
          <cell r="P33">
            <v>997.96600000000001</v>
          </cell>
          <cell r="Q33">
            <v>1027.1500000000001</v>
          </cell>
          <cell r="R33">
            <v>1056.1099999999999</v>
          </cell>
          <cell r="S33">
            <v>1084.5</v>
          </cell>
          <cell r="T33">
            <v>1112.356</v>
          </cell>
          <cell r="U33">
            <v>1140.3520000000001</v>
          </cell>
          <cell r="V33">
            <v>1169.3889999999999</v>
          </cell>
          <cell r="W33">
            <v>1200.02</v>
          </cell>
          <cell r="X33">
            <v>1232.8340000000001</v>
          </cell>
          <cell r="Y33">
            <v>1267.2570000000001</v>
          </cell>
          <cell r="Z33">
            <v>1300.7370000000001</v>
          </cell>
          <cell r="AA33">
            <v>1329.89</v>
          </cell>
          <cell r="AB33">
            <v>1352.49</v>
          </cell>
          <cell r="AC33">
            <v>1367.3330000000001</v>
          </cell>
          <cell r="AD33">
            <v>1375.7650000000001</v>
          </cell>
          <cell r="AE33">
            <v>1381.0360000000001</v>
          </cell>
          <cell r="AF33">
            <v>1388.069</v>
          </cell>
          <cell r="AG33">
            <v>1400.1179999999999</v>
          </cell>
          <cell r="AH33">
            <v>1418.5809999999999</v>
          </cell>
          <cell r="AI33">
            <v>1442.501</v>
          </cell>
          <cell r="AJ33">
            <v>1470.152</v>
          </cell>
          <cell r="AK33">
            <v>1498.826</v>
          </cell>
          <cell r="AL33">
            <v>1526.57</v>
          </cell>
          <cell r="AM33">
            <v>1552.75</v>
          </cell>
          <cell r="AN33">
            <v>1578.26</v>
          </cell>
          <cell r="AO33">
            <v>1604.508</v>
          </cell>
          <cell r="AP33">
            <v>1633.607</v>
          </cell>
          <cell r="AQ33">
            <v>1666.837</v>
          </cell>
          <cell r="AR33">
            <v>1704.856</v>
          </cell>
          <cell r="AS33">
            <v>1746.8340000000001</v>
          </cell>
          <cell r="AT33">
            <v>1790.903</v>
          </cell>
          <cell r="AU33">
            <v>1834.4570000000001</v>
          </cell>
          <cell r="AV33">
            <v>1875.6959999999999</v>
          </cell>
          <cell r="AW33">
            <v>1913.94</v>
          </cell>
          <cell r="AX33">
            <v>1949.893</v>
          </cell>
          <cell r="AY33">
            <v>1984.5650000000001</v>
          </cell>
          <cell r="AZ33">
            <v>2019.61</v>
          </cell>
          <cell r="BA33">
            <v>2056.2510000000002</v>
          </cell>
          <cell r="BB33">
            <v>2094.4760000000001</v>
          </cell>
          <cell r="BC33">
            <v>2133.866</v>
          </cell>
          <cell r="BD33">
            <v>2174.875</v>
          </cell>
          <cell r="BE33">
            <v>2218.0320000000002</v>
          </cell>
          <cell r="BF33">
            <v>2263.4769999999999</v>
          </cell>
          <cell r="BG33">
            <v>2311.7049999999999</v>
          </cell>
          <cell r="BH33">
            <v>2362.0720000000001</v>
          </cell>
          <cell r="BI33">
            <v>2412.4670000000001</v>
          </cell>
          <cell r="BJ33">
            <v>2460.009</v>
          </cell>
          <cell r="BK33">
            <v>2502.6439999999998</v>
          </cell>
          <cell r="BL33">
            <v>2539.77</v>
          </cell>
          <cell r="BM33">
            <v>2572.0230000000001</v>
          </cell>
          <cell r="BN33">
            <v>2600.297</v>
          </cell>
          <cell r="BO33">
            <v>2626.1529999999998</v>
          </cell>
          <cell r="BP33">
            <v>2650.8270000000002</v>
          </cell>
          <cell r="BQ33">
            <v>2674.393</v>
          </cell>
          <cell r="BR33">
            <v>2696.8380000000002</v>
          </cell>
          <cell r="BS33">
            <v>2719.489</v>
          </cell>
          <cell r="BT33">
            <v>2743.8620000000001</v>
          </cell>
          <cell r="BU33">
            <v>2771.058</v>
          </cell>
          <cell r="BV33">
            <v>2801.6410000000001</v>
          </cell>
          <cell r="BW33">
            <v>2835.3420000000001</v>
          </cell>
          <cell r="BX33">
            <v>2871.2060000000001</v>
          </cell>
        </row>
        <row r="34">
          <cell r="C34" t="str">
            <v>Geographic regions</v>
          </cell>
          <cell r="D34" t="str">
            <v>i</v>
          </cell>
          <cell r="E34">
            <v>1840</v>
          </cell>
          <cell r="F34" t="str">
            <v>Label/Separator</v>
          </cell>
          <cell r="G34">
            <v>900</v>
          </cell>
          <cell r="H34" t="str">
            <v>…</v>
          </cell>
          <cell r="I34" t="str">
            <v>…</v>
          </cell>
          <cell r="J34" t="str">
            <v>…</v>
          </cell>
          <cell r="K34" t="str">
            <v>…</v>
          </cell>
          <cell r="L34" t="str">
            <v>…</v>
          </cell>
          <cell r="M34" t="str">
            <v>…</v>
          </cell>
          <cell r="N34" t="str">
            <v>…</v>
          </cell>
          <cell r="O34" t="str">
            <v>…</v>
          </cell>
          <cell r="P34" t="str">
            <v>…</v>
          </cell>
          <cell r="Q34" t="str">
            <v>…</v>
          </cell>
          <cell r="R34" t="str">
            <v>…</v>
          </cell>
          <cell r="S34" t="str">
            <v>…</v>
          </cell>
          <cell r="T34" t="str">
            <v>…</v>
          </cell>
          <cell r="U34" t="str">
            <v>…</v>
          </cell>
          <cell r="V34" t="str">
            <v>…</v>
          </cell>
          <cell r="W34" t="str">
            <v>…</v>
          </cell>
          <cell r="X34" t="str">
            <v>…</v>
          </cell>
          <cell r="Y34" t="str">
            <v>…</v>
          </cell>
          <cell r="Z34" t="str">
            <v>…</v>
          </cell>
          <cell r="AA34" t="str">
            <v>…</v>
          </cell>
          <cell r="AB34" t="str">
            <v>…</v>
          </cell>
          <cell r="AC34" t="str">
            <v>…</v>
          </cell>
          <cell r="AD34" t="str">
            <v>…</v>
          </cell>
          <cell r="AE34" t="str">
            <v>…</v>
          </cell>
          <cell r="AF34" t="str">
            <v>…</v>
          </cell>
          <cell r="AG34" t="str">
            <v>…</v>
          </cell>
          <cell r="AH34" t="str">
            <v>…</v>
          </cell>
          <cell r="AI34" t="str">
            <v>…</v>
          </cell>
          <cell r="AJ34" t="str">
            <v>…</v>
          </cell>
          <cell r="AK34" t="str">
            <v>…</v>
          </cell>
          <cell r="AL34" t="str">
            <v>…</v>
          </cell>
          <cell r="AM34" t="str">
            <v>…</v>
          </cell>
          <cell r="AN34" t="str">
            <v>…</v>
          </cell>
          <cell r="AO34" t="str">
            <v>…</v>
          </cell>
          <cell r="AP34" t="str">
            <v>…</v>
          </cell>
          <cell r="AQ34" t="str">
            <v>…</v>
          </cell>
          <cell r="AR34" t="str">
            <v>…</v>
          </cell>
          <cell r="AS34" t="str">
            <v>…</v>
          </cell>
          <cell r="AT34" t="str">
            <v>…</v>
          </cell>
          <cell r="AU34" t="str">
            <v>…</v>
          </cell>
          <cell r="AV34" t="str">
            <v>…</v>
          </cell>
          <cell r="AW34" t="str">
            <v>…</v>
          </cell>
          <cell r="AX34" t="str">
            <v>…</v>
          </cell>
          <cell r="AY34" t="str">
            <v>…</v>
          </cell>
          <cell r="AZ34" t="str">
            <v>…</v>
          </cell>
          <cell r="BA34" t="str">
            <v>…</v>
          </cell>
          <cell r="BB34" t="str">
            <v>…</v>
          </cell>
          <cell r="BC34" t="str">
            <v>…</v>
          </cell>
          <cell r="BD34" t="str">
            <v>…</v>
          </cell>
          <cell r="BE34" t="str">
            <v>…</v>
          </cell>
          <cell r="BF34" t="str">
            <v>…</v>
          </cell>
          <cell r="BG34" t="str">
            <v>…</v>
          </cell>
          <cell r="BH34" t="str">
            <v>…</v>
          </cell>
          <cell r="BI34" t="str">
            <v>…</v>
          </cell>
          <cell r="BJ34" t="str">
            <v>…</v>
          </cell>
          <cell r="BK34" t="str">
            <v>…</v>
          </cell>
          <cell r="BL34" t="str">
            <v>…</v>
          </cell>
          <cell r="BM34" t="str">
            <v>…</v>
          </cell>
          <cell r="BN34" t="str">
            <v>…</v>
          </cell>
          <cell r="BO34" t="str">
            <v>…</v>
          </cell>
          <cell r="BP34" t="str">
            <v>…</v>
          </cell>
          <cell r="BQ34" t="str">
            <v>…</v>
          </cell>
          <cell r="BR34" t="str">
            <v>…</v>
          </cell>
          <cell r="BS34" t="str">
            <v>…</v>
          </cell>
          <cell r="BT34" t="str">
            <v>…</v>
          </cell>
          <cell r="BU34" t="str">
            <v>…</v>
          </cell>
          <cell r="BV34" t="str">
            <v>…</v>
          </cell>
          <cell r="BW34" t="str">
            <v>…</v>
          </cell>
          <cell r="BX34" t="str">
            <v>…</v>
          </cell>
        </row>
        <row r="35">
          <cell r="C35" t="str">
            <v>Africa</v>
          </cell>
          <cell r="D35" t="str">
            <v>j</v>
          </cell>
          <cell r="E35">
            <v>903</v>
          </cell>
          <cell r="F35" t="str">
            <v>Region</v>
          </cell>
          <cell r="G35">
            <v>1840</v>
          </cell>
          <cell r="H35">
            <v>227794.136</v>
          </cell>
          <cell r="I35">
            <v>232327.81099999999</v>
          </cell>
          <cell r="J35">
            <v>237096.50700000001</v>
          </cell>
          <cell r="K35">
            <v>242092.424</v>
          </cell>
          <cell r="L35">
            <v>247310.59400000001</v>
          </cell>
          <cell r="M35">
            <v>252748.90299999999</v>
          </cell>
          <cell r="N35">
            <v>258408.18799999999</v>
          </cell>
          <cell r="O35">
            <v>264292.19799999997</v>
          </cell>
          <cell r="P35">
            <v>270407.01799999998</v>
          </cell>
          <cell r="Q35">
            <v>276760.70699999999</v>
          </cell>
          <cell r="R35">
            <v>283361.20899999997</v>
          </cell>
          <cell r="S35">
            <v>290214.489</v>
          </cell>
          <cell r="T35">
            <v>297322.68</v>
          </cell>
          <cell r="U35">
            <v>304683.413</v>
          </cell>
          <cell r="V35">
            <v>312291.93400000001</v>
          </cell>
          <cell r="W35">
            <v>320147.25699999998</v>
          </cell>
          <cell r="X35">
            <v>328256.522</v>
          </cell>
          <cell r="Y35">
            <v>336630.99800000002</v>
          </cell>
          <cell r="Z35">
            <v>345280.027</v>
          </cell>
          <cell r="AA35">
            <v>354214.42200000002</v>
          </cell>
          <cell r="AB35">
            <v>363447.51799999998</v>
          </cell>
          <cell r="AC35">
            <v>372983.10800000001</v>
          </cell>
          <cell r="AD35">
            <v>382837.38400000002</v>
          </cell>
          <cell r="AE35">
            <v>393044.09100000001</v>
          </cell>
          <cell r="AF35">
            <v>403645.79499999998</v>
          </cell>
          <cell r="AG35">
            <v>414674.68800000002</v>
          </cell>
          <cell r="AH35">
            <v>426144.37800000003</v>
          </cell>
          <cell r="AI35">
            <v>438054.73300000001</v>
          </cell>
          <cell r="AJ35">
            <v>450403.80800000002</v>
          </cell>
          <cell r="AK35">
            <v>463183.53600000002</v>
          </cell>
          <cell r="AL35">
            <v>476386.27299999999</v>
          </cell>
          <cell r="AM35">
            <v>490003.891</v>
          </cell>
          <cell r="AN35">
            <v>504034.19900000002</v>
          </cell>
          <cell r="AO35">
            <v>518479.75300000003</v>
          </cell>
          <cell r="AP35">
            <v>533345.17200000002</v>
          </cell>
          <cell r="AQ35">
            <v>548626.14800000004</v>
          </cell>
          <cell r="AR35">
            <v>564327.26</v>
          </cell>
          <cell r="AS35">
            <v>580424.36100000003</v>
          </cell>
          <cell r="AT35">
            <v>596849</v>
          </cell>
          <cell r="AU35">
            <v>613512.11</v>
          </cell>
          <cell r="AV35">
            <v>630349.63899999997</v>
          </cell>
          <cell r="AW35">
            <v>647343.99699999997</v>
          </cell>
          <cell r="AX35">
            <v>664512.05500000005</v>
          </cell>
          <cell r="AY35">
            <v>681869.28300000005</v>
          </cell>
          <cell r="AZ35">
            <v>699445.34299999999</v>
          </cell>
          <cell r="BA35">
            <v>717270.07799999998</v>
          </cell>
          <cell r="BB35">
            <v>735361.11499999999</v>
          </cell>
          <cell r="BC35">
            <v>753737.61</v>
          </cell>
          <cell r="BD35">
            <v>772437.11300000001</v>
          </cell>
          <cell r="BE35">
            <v>791504.16599999997</v>
          </cell>
          <cell r="BF35">
            <v>810984.22600000002</v>
          </cell>
          <cell r="BG35">
            <v>830902.58499999996</v>
          </cell>
          <cell r="BH35">
            <v>851298.40500000003</v>
          </cell>
          <cell r="BI35">
            <v>872248.38100000005</v>
          </cell>
          <cell r="BJ35">
            <v>893842.821</v>
          </cell>
          <cell r="BK35">
            <v>916154.28799999994</v>
          </cell>
          <cell r="BL35">
            <v>939210.02</v>
          </cell>
          <cell r="BM35">
            <v>963021.80200000003</v>
          </cell>
          <cell r="BN35">
            <v>987623.49600000004</v>
          </cell>
          <cell r="BO35">
            <v>1013045.754</v>
          </cell>
          <cell r="BP35">
            <v>1039304.0330000001</v>
          </cell>
          <cell r="BQ35">
            <v>1066409.7</v>
          </cell>
          <cell r="BR35">
            <v>1094343.067</v>
          </cell>
          <cell r="BS35">
            <v>1123045.081</v>
          </cell>
          <cell r="BT35">
            <v>1152433.6270000001</v>
          </cell>
          <cell r="BU35">
            <v>1182438.784</v>
          </cell>
          <cell r="BV35">
            <v>1213040.5209999999</v>
          </cell>
          <cell r="BW35">
            <v>1244222.267</v>
          </cell>
          <cell r="BX35">
            <v>1275920.9720000001</v>
          </cell>
        </row>
        <row r="36">
          <cell r="C36" t="str">
            <v>Asia</v>
          </cell>
          <cell r="D36" t="str">
            <v>k</v>
          </cell>
          <cell r="E36">
            <v>935</v>
          </cell>
          <cell r="F36" t="str">
            <v>Region</v>
          </cell>
          <cell r="G36">
            <v>1840</v>
          </cell>
          <cell r="H36">
            <v>1404909.0209999999</v>
          </cell>
          <cell r="I36">
            <v>1435819.067</v>
          </cell>
          <cell r="J36">
            <v>1464833.76</v>
          </cell>
          <cell r="K36">
            <v>1492894.872</v>
          </cell>
          <cell r="L36">
            <v>1520767.9380000001</v>
          </cell>
          <cell r="M36">
            <v>1549041.895</v>
          </cell>
          <cell r="N36">
            <v>1578122.054</v>
          </cell>
          <cell r="O36">
            <v>1608237.03</v>
          </cell>
          <cell r="P36">
            <v>1639460.818</v>
          </cell>
          <cell r="Q36">
            <v>1671747.88</v>
          </cell>
          <cell r="R36">
            <v>1705041.051</v>
          </cell>
          <cell r="S36">
            <v>1739385.801</v>
          </cell>
          <cell r="T36">
            <v>1775030.7819999999</v>
          </cell>
          <cell r="U36">
            <v>1812470.344</v>
          </cell>
          <cell r="V36">
            <v>1852323.1869999999</v>
          </cell>
          <cell r="W36">
            <v>1894974.284</v>
          </cell>
          <cell r="X36">
            <v>1940602.027</v>
          </cell>
          <cell r="Y36">
            <v>1988923.11</v>
          </cell>
          <cell r="Z36">
            <v>2039270.148</v>
          </cell>
          <cell r="AA36">
            <v>2090702.3640000001</v>
          </cell>
          <cell r="AB36">
            <v>2142480.33</v>
          </cell>
          <cell r="AC36">
            <v>2194450.6460000002</v>
          </cell>
          <cell r="AD36">
            <v>2246636.23</v>
          </cell>
          <cell r="AE36">
            <v>2298696.3319999999</v>
          </cell>
          <cell r="AF36">
            <v>2350279.0419999999</v>
          </cell>
          <cell r="AG36">
            <v>2401171.44</v>
          </cell>
          <cell r="AH36">
            <v>2451184.2740000002</v>
          </cell>
          <cell r="AI36">
            <v>2500443.5789999999</v>
          </cell>
          <cell r="AJ36">
            <v>2549465.807</v>
          </cell>
          <cell r="AK36">
            <v>2598988.4070000001</v>
          </cell>
          <cell r="AL36">
            <v>2649578.2999999998</v>
          </cell>
          <cell r="AM36">
            <v>2701224.9279999998</v>
          </cell>
          <cell r="AN36">
            <v>2753837.7760000001</v>
          </cell>
          <cell r="AO36">
            <v>2807785.2650000001</v>
          </cell>
          <cell r="AP36">
            <v>2863496.8149999999</v>
          </cell>
          <cell r="AQ36">
            <v>2921173.176</v>
          </cell>
          <cell r="AR36">
            <v>2981063.9909999999</v>
          </cell>
          <cell r="AS36">
            <v>3042805.9180000001</v>
          </cell>
          <cell r="AT36">
            <v>3105220.2280000001</v>
          </cell>
          <cell r="AU36">
            <v>3166706.0189999999</v>
          </cell>
          <cell r="AV36">
            <v>3226098.9619999998</v>
          </cell>
          <cell r="AW36">
            <v>3282945.3480000002</v>
          </cell>
          <cell r="AX36">
            <v>3337511.5550000002</v>
          </cell>
          <cell r="AY36">
            <v>3390245.3909999998</v>
          </cell>
          <cell r="AZ36">
            <v>3441912.7</v>
          </cell>
          <cell r="BA36">
            <v>3493086.983</v>
          </cell>
          <cell r="BB36">
            <v>3543851.2829999998</v>
          </cell>
          <cell r="BC36">
            <v>3594032.74</v>
          </cell>
          <cell r="BD36">
            <v>3643662.91</v>
          </cell>
          <cell r="BE36">
            <v>3692736.0989999999</v>
          </cell>
          <cell r="BF36">
            <v>3741263.3810000001</v>
          </cell>
          <cell r="BG36">
            <v>3789285.355</v>
          </cell>
          <cell r="BH36">
            <v>3836880.3250000002</v>
          </cell>
          <cell r="BI36">
            <v>3884134.531</v>
          </cell>
          <cell r="BJ36">
            <v>3931146.4989999998</v>
          </cell>
          <cell r="BK36">
            <v>3977986.5019999999</v>
          </cell>
          <cell r="BL36">
            <v>4024679.8990000002</v>
          </cell>
          <cell r="BM36">
            <v>4071214.9240000001</v>
          </cell>
          <cell r="BN36">
            <v>4117572.142</v>
          </cell>
          <cell r="BO36">
            <v>4163712.835</v>
          </cell>
          <cell r="BP36">
            <v>4209593.693</v>
          </cell>
          <cell r="BQ36">
            <v>4255189.6780000003</v>
          </cell>
          <cell r="BR36">
            <v>4300462.1919999998</v>
          </cell>
          <cell r="BS36">
            <v>4345331.3059999999</v>
          </cell>
          <cell r="BT36">
            <v>4389699.4730000002</v>
          </cell>
          <cell r="BU36">
            <v>4433475.358</v>
          </cell>
          <cell r="BV36">
            <v>4476607.8530000001</v>
          </cell>
          <cell r="BW36">
            <v>4519040.0269999998</v>
          </cell>
          <cell r="BX36">
            <v>4560667.108</v>
          </cell>
        </row>
        <row r="37">
          <cell r="C37" t="str">
            <v>Europe</v>
          </cell>
          <cell r="D37" t="str">
            <v>l</v>
          </cell>
          <cell r="E37">
            <v>908</v>
          </cell>
          <cell r="F37" t="str">
            <v>Region</v>
          </cell>
          <cell r="G37">
            <v>1840</v>
          </cell>
          <cell r="H37">
            <v>549328.88300000003</v>
          </cell>
          <cell r="I37">
            <v>554324.46900000004</v>
          </cell>
          <cell r="J37">
            <v>559694.29700000002</v>
          </cell>
          <cell r="K37">
            <v>565281.95799999998</v>
          </cell>
          <cell r="L37">
            <v>570969.72499999998</v>
          </cell>
          <cell r="M37">
            <v>576678.79599999997</v>
          </cell>
          <cell r="N37">
            <v>582371.27599999995</v>
          </cell>
          <cell r="O37">
            <v>588048.255</v>
          </cell>
          <cell r="P37">
            <v>593743.348</v>
          </cell>
          <cell r="Q37">
            <v>599513.26699999999</v>
          </cell>
          <cell r="R37">
            <v>605406.98</v>
          </cell>
          <cell r="S37">
            <v>611434.05200000003</v>
          </cell>
          <cell r="T37">
            <v>617536.14599999995</v>
          </cell>
          <cell r="U37">
            <v>623575.18200000003</v>
          </cell>
          <cell r="V37">
            <v>629367.07999999996</v>
          </cell>
          <cell r="W37">
            <v>634783.20400000003</v>
          </cell>
          <cell r="X37">
            <v>639761.98</v>
          </cell>
          <cell r="Y37">
            <v>644345.49100000004</v>
          </cell>
          <cell r="Z37">
            <v>648636.13699999999</v>
          </cell>
          <cell r="AA37">
            <v>652789.70799999998</v>
          </cell>
          <cell r="AB37">
            <v>656919.37899999996</v>
          </cell>
          <cell r="AC37">
            <v>661056.049</v>
          </cell>
          <cell r="AD37">
            <v>665163.46499999997</v>
          </cell>
          <cell r="AE37">
            <v>669207.95200000005</v>
          </cell>
          <cell r="AF37">
            <v>673132.26199999999</v>
          </cell>
          <cell r="AG37">
            <v>676895.46699999995</v>
          </cell>
          <cell r="AH37">
            <v>680497.68700000003</v>
          </cell>
          <cell r="AI37">
            <v>683959.57200000004</v>
          </cell>
          <cell r="AJ37">
            <v>687285.85900000005</v>
          </cell>
          <cell r="AK37">
            <v>690484.99100000004</v>
          </cell>
          <cell r="AL37">
            <v>693566.51699999999</v>
          </cell>
          <cell r="AM37">
            <v>696513.5</v>
          </cell>
          <cell r="AN37">
            <v>699330.049</v>
          </cell>
          <cell r="AO37">
            <v>702070.52599999995</v>
          </cell>
          <cell r="AP37">
            <v>704807.50100000005</v>
          </cell>
          <cell r="AQ37">
            <v>707584.26599999995</v>
          </cell>
          <cell r="AR37">
            <v>710422.13699999999</v>
          </cell>
          <cell r="AS37">
            <v>713279.353</v>
          </cell>
          <cell r="AT37">
            <v>716056.652</v>
          </cell>
          <cell r="AU37">
            <v>718617.31400000001</v>
          </cell>
          <cell r="AV37">
            <v>720858.45</v>
          </cell>
          <cell r="AW37">
            <v>722775.90399999998</v>
          </cell>
          <cell r="AX37">
            <v>724390.01699999999</v>
          </cell>
          <cell r="AY37">
            <v>725656.75800000003</v>
          </cell>
          <cell r="AZ37">
            <v>726529.42</v>
          </cell>
          <cell r="BA37">
            <v>726994.46400000004</v>
          </cell>
          <cell r="BB37">
            <v>727020.26800000004</v>
          </cell>
          <cell r="BC37">
            <v>726669.46699999995</v>
          </cell>
          <cell r="BD37">
            <v>726141.82299999997</v>
          </cell>
          <cell r="BE37">
            <v>725705.40099999995</v>
          </cell>
          <cell r="BF37">
            <v>725558.03599999996</v>
          </cell>
          <cell r="BG37">
            <v>725771.89300000004</v>
          </cell>
          <cell r="BH37">
            <v>726312.04500000004</v>
          </cell>
          <cell r="BI37">
            <v>727134.27300000004</v>
          </cell>
          <cell r="BJ37">
            <v>728149.83</v>
          </cell>
          <cell r="BK37">
            <v>729287.84600000002</v>
          </cell>
          <cell r="BL37">
            <v>730546.82200000004</v>
          </cell>
          <cell r="BM37">
            <v>731938.51899999997</v>
          </cell>
          <cell r="BN37">
            <v>733416.50100000005</v>
          </cell>
          <cell r="BO37">
            <v>734923.39</v>
          </cell>
          <cell r="BP37">
            <v>736412.98899999994</v>
          </cell>
          <cell r="BQ37">
            <v>737850.67500000005</v>
          </cell>
          <cell r="BR37">
            <v>739225.19</v>
          </cell>
          <cell r="BS37">
            <v>740541.86100000003</v>
          </cell>
          <cell r="BT37">
            <v>741818.29099999997</v>
          </cell>
          <cell r="BU37">
            <v>743059.03500000003</v>
          </cell>
          <cell r="BV37">
            <v>744268.82700000005</v>
          </cell>
          <cell r="BW37">
            <v>745414.73499999999</v>
          </cell>
          <cell r="BX37">
            <v>746419.44</v>
          </cell>
        </row>
        <row r="38">
          <cell r="C38" t="str">
            <v>Latin America and the Caribbean</v>
          </cell>
          <cell r="D38" t="str">
            <v>m</v>
          </cell>
          <cell r="E38">
            <v>904</v>
          </cell>
          <cell r="F38" t="str">
            <v>Region</v>
          </cell>
          <cell r="G38">
            <v>1840</v>
          </cell>
          <cell r="H38">
            <v>168820.62</v>
          </cell>
          <cell r="I38">
            <v>173280.56099999999</v>
          </cell>
          <cell r="J38">
            <v>177915.94500000001</v>
          </cell>
          <cell r="K38">
            <v>182708.889</v>
          </cell>
          <cell r="L38">
            <v>187647.726</v>
          </cell>
          <cell r="M38">
            <v>192727.21900000001</v>
          </cell>
          <cell r="N38">
            <v>197948.71599999999</v>
          </cell>
          <cell r="O38">
            <v>203319.95199999999</v>
          </cell>
          <cell r="P38">
            <v>208853.76000000001</v>
          </cell>
          <cell r="Q38">
            <v>214566.08100000001</v>
          </cell>
          <cell r="R38">
            <v>220469.698</v>
          </cell>
          <cell r="S38">
            <v>226567.995</v>
          </cell>
          <cell r="T38">
            <v>232848.851</v>
          </cell>
          <cell r="U38">
            <v>239282.552</v>
          </cell>
          <cell r="V38">
            <v>245828.601</v>
          </cell>
          <cell r="W38">
            <v>252455.95600000001</v>
          </cell>
          <cell r="X38">
            <v>259154.196</v>
          </cell>
          <cell r="Y38">
            <v>265925.59600000002</v>
          </cell>
          <cell r="Z38">
            <v>272768.30900000001</v>
          </cell>
          <cell r="AA38">
            <v>279684.29399999999</v>
          </cell>
          <cell r="AB38">
            <v>286675.70500000002</v>
          </cell>
          <cell r="AC38">
            <v>293738.01799999998</v>
          </cell>
          <cell r="AD38">
            <v>300869.44699999999</v>
          </cell>
          <cell r="AE38">
            <v>308078.73</v>
          </cell>
          <cell r="AF38">
            <v>315378.24300000002</v>
          </cell>
          <cell r="AG38">
            <v>322777.18900000001</v>
          </cell>
          <cell r="AH38">
            <v>330272.36700000003</v>
          </cell>
          <cell r="AI38">
            <v>337860.408</v>
          </cell>
          <cell r="AJ38">
            <v>345548.21899999998</v>
          </cell>
          <cell r="AK38">
            <v>353344.935</v>
          </cell>
          <cell r="AL38">
            <v>361253.20500000002</v>
          </cell>
          <cell r="AM38">
            <v>369274.54499999998</v>
          </cell>
          <cell r="AN38">
            <v>377395.86900000001</v>
          </cell>
          <cell r="AO38">
            <v>385586.58899999998</v>
          </cell>
          <cell r="AP38">
            <v>393806.42099999997</v>
          </cell>
          <cell r="AQ38">
            <v>402023.65700000001</v>
          </cell>
          <cell r="AR38">
            <v>410223.342</v>
          </cell>
          <cell r="AS38">
            <v>418404.15100000001</v>
          </cell>
          <cell r="AT38">
            <v>426564.87</v>
          </cell>
          <cell r="AU38">
            <v>434709.739</v>
          </cell>
          <cell r="AV38">
            <v>442840.06099999999</v>
          </cell>
          <cell r="AW38">
            <v>450946.50099999999</v>
          </cell>
          <cell r="AX38">
            <v>459018.54</v>
          </cell>
          <cell r="AY38">
            <v>467054.77600000001</v>
          </cell>
          <cell r="AZ38">
            <v>475055.72</v>
          </cell>
          <cell r="BA38">
            <v>483018.26500000001</v>
          </cell>
          <cell r="BB38">
            <v>490943.98499999999</v>
          </cell>
          <cell r="BC38">
            <v>498821.70199999999</v>
          </cell>
          <cell r="BD38">
            <v>506620.70899999997</v>
          </cell>
          <cell r="BE38">
            <v>514301.39500000002</v>
          </cell>
          <cell r="BF38">
            <v>521836.304</v>
          </cell>
          <cell r="BG38">
            <v>529213.20499999996</v>
          </cell>
          <cell r="BH38">
            <v>536441.56299999997</v>
          </cell>
          <cell r="BI38">
            <v>543544.13699999999</v>
          </cell>
          <cell r="BJ38">
            <v>550555.16799999995</v>
          </cell>
          <cell r="BK38">
            <v>557501.03200000001</v>
          </cell>
          <cell r="BL38">
            <v>564384.69999999995</v>
          </cell>
          <cell r="BM38">
            <v>571201.897</v>
          </cell>
          <cell r="BN38">
            <v>577962.67299999995</v>
          </cell>
          <cell r="BO38">
            <v>584677.56700000004</v>
          </cell>
          <cell r="BP38">
            <v>591352.38800000004</v>
          </cell>
          <cell r="BQ38">
            <v>597994.75199999998</v>
          </cell>
          <cell r="BR38">
            <v>604599.46699999995</v>
          </cell>
          <cell r="BS38">
            <v>611143.92799999996</v>
          </cell>
          <cell r="BT38">
            <v>617596.46900000004</v>
          </cell>
          <cell r="BU38">
            <v>623934.16799999995</v>
          </cell>
          <cell r="BV38">
            <v>630144.55500000005</v>
          </cell>
          <cell r="BW38">
            <v>636233.12300000002</v>
          </cell>
          <cell r="BX38">
            <v>642216.68200000003</v>
          </cell>
        </row>
        <row r="39">
          <cell r="C39" t="str">
            <v>Northern America</v>
          </cell>
          <cell r="D39" t="str">
            <v>n</v>
          </cell>
          <cell r="E39">
            <v>905</v>
          </cell>
          <cell r="F39" t="str">
            <v>Region</v>
          </cell>
          <cell r="G39">
            <v>1840</v>
          </cell>
          <cell r="H39">
            <v>172602.62400000001</v>
          </cell>
          <cell r="I39">
            <v>175016.59</v>
          </cell>
          <cell r="J39">
            <v>177778.5</v>
          </cell>
          <cell r="K39">
            <v>180813.19899999999</v>
          </cell>
          <cell r="L39">
            <v>184051.52499999999</v>
          </cell>
          <cell r="M39">
            <v>187430.408</v>
          </cell>
          <cell r="N39">
            <v>190892.78599999999</v>
          </cell>
          <cell r="O39">
            <v>194387.685</v>
          </cell>
          <cell r="P39">
            <v>197870.2</v>
          </cell>
          <cell r="Q39">
            <v>201301.49799999999</v>
          </cell>
          <cell r="R39">
            <v>204649.16500000001</v>
          </cell>
          <cell r="S39">
            <v>207887.18299999999</v>
          </cell>
          <cell r="T39">
            <v>210996.177</v>
          </cell>
          <cell r="U39">
            <v>213963.47899999999</v>
          </cell>
          <cell r="V39">
            <v>216782.88699999999</v>
          </cell>
          <cell r="W39">
            <v>219454.18100000001</v>
          </cell>
          <cell r="X39">
            <v>221966.41</v>
          </cell>
          <cell r="Y39">
            <v>224327.3</v>
          </cell>
          <cell r="Z39">
            <v>226580.61499999999</v>
          </cell>
          <cell r="AA39">
            <v>228786.66800000001</v>
          </cell>
          <cell r="AB39">
            <v>230991.85800000001</v>
          </cell>
          <cell r="AC39">
            <v>233213.524</v>
          </cell>
          <cell r="AD39">
            <v>235449.571</v>
          </cell>
          <cell r="AE39">
            <v>237703.033</v>
          </cell>
          <cell r="AF39">
            <v>239970.867</v>
          </cell>
          <cell r="AG39">
            <v>242251.508</v>
          </cell>
          <cell r="AH39">
            <v>244552.73800000001</v>
          </cell>
          <cell r="AI39">
            <v>246882.32500000001</v>
          </cell>
          <cell r="AJ39">
            <v>249237.766</v>
          </cell>
          <cell r="AK39">
            <v>251613.70199999999</v>
          </cell>
          <cell r="AL39">
            <v>254007.12299999999</v>
          </cell>
          <cell r="AM39">
            <v>256418.908</v>
          </cell>
          <cell r="AN39">
            <v>258853.997</v>
          </cell>
          <cell r="AO39">
            <v>261318.323</v>
          </cell>
          <cell r="AP39">
            <v>263819.45899999997</v>
          </cell>
          <cell r="AQ39">
            <v>266363.451</v>
          </cell>
          <cell r="AR39">
            <v>268958.52</v>
          </cell>
          <cell r="AS39">
            <v>271606.61599999998</v>
          </cell>
          <cell r="AT39">
            <v>274300.348</v>
          </cell>
          <cell r="AU39">
            <v>277028.17200000002</v>
          </cell>
          <cell r="AV39">
            <v>279785.25900000002</v>
          </cell>
          <cell r="AW39">
            <v>282552.41800000001</v>
          </cell>
          <cell r="AX39">
            <v>285339.70400000003</v>
          </cell>
          <cell r="AY39">
            <v>288205.12199999997</v>
          </cell>
          <cell r="AZ39">
            <v>291227.25799999997</v>
          </cell>
          <cell r="BA39">
            <v>294453.54200000002</v>
          </cell>
          <cell r="BB39">
            <v>297918.80699999997</v>
          </cell>
          <cell r="BC39">
            <v>301582.34700000001</v>
          </cell>
          <cell r="BD39">
            <v>305324.06199999998</v>
          </cell>
          <cell r="BE39">
            <v>308977.74</v>
          </cell>
          <cell r="BF39">
            <v>312426.77299999999</v>
          </cell>
          <cell r="BG39">
            <v>315615.973</v>
          </cell>
          <cell r="BH39">
            <v>318585.95500000002</v>
          </cell>
          <cell r="BI39">
            <v>321432.40899999999</v>
          </cell>
          <cell r="BJ39">
            <v>324299.27899999998</v>
          </cell>
          <cell r="BK39">
            <v>327287.15100000001</v>
          </cell>
          <cell r="BL39">
            <v>330425.33100000001</v>
          </cell>
          <cell r="BM39">
            <v>333668.5</v>
          </cell>
          <cell r="BN39">
            <v>336952.71600000001</v>
          </cell>
          <cell r="BO39">
            <v>340182.402</v>
          </cell>
          <cell r="BP39">
            <v>343287.41899999999</v>
          </cell>
          <cell r="BQ39">
            <v>346251.16399999999</v>
          </cell>
          <cell r="BR39">
            <v>349093.38</v>
          </cell>
          <cell r="BS39">
            <v>351824.03899999999</v>
          </cell>
          <cell r="BT39">
            <v>354464.23700000002</v>
          </cell>
          <cell r="BU39">
            <v>357031.04800000001</v>
          </cell>
          <cell r="BV39">
            <v>359524.647</v>
          </cell>
          <cell r="BW39">
            <v>361942.26799999998</v>
          </cell>
          <cell r="BX39">
            <v>364295.99599999998</v>
          </cell>
        </row>
        <row r="40">
          <cell r="C40" t="str">
            <v>Oceania</v>
          </cell>
          <cell r="D40" t="str">
            <v>o</v>
          </cell>
          <cell r="E40">
            <v>909</v>
          </cell>
          <cell r="F40" t="str">
            <v>Region</v>
          </cell>
          <cell r="G40">
            <v>1840</v>
          </cell>
          <cell r="H40">
            <v>12975.865</v>
          </cell>
          <cell r="I40">
            <v>13265.763000000001</v>
          </cell>
          <cell r="J40">
            <v>13542.553</v>
          </cell>
          <cell r="K40">
            <v>13817.618</v>
          </cell>
          <cell r="L40">
            <v>14099.233</v>
          </cell>
          <cell r="M40">
            <v>14392.715</v>
          </cell>
          <cell r="N40">
            <v>14700.262000000001</v>
          </cell>
          <cell r="O40">
            <v>15020.97</v>
          </cell>
          <cell r="P40">
            <v>15351.561</v>
          </cell>
          <cell r="Q40">
            <v>15686.752</v>
          </cell>
          <cell r="R40">
            <v>16021.645</v>
          </cell>
          <cell r="S40">
            <v>16353.986999999999</v>
          </cell>
          <cell r="T40">
            <v>16686.159</v>
          </cell>
          <cell r="U40">
            <v>17026.039000000001</v>
          </cell>
          <cell r="V40">
            <v>17384.649000000001</v>
          </cell>
          <cell r="W40">
            <v>17768.715</v>
          </cell>
          <cell r="X40">
            <v>18181.494999999999</v>
          </cell>
          <cell r="Y40">
            <v>18617.467000000001</v>
          </cell>
          <cell r="Z40">
            <v>19063.891</v>
          </cell>
          <cell r="AA40">
            <v>19503.170999999998</v>
          </cell>
          <cell r="AB40">
            <v>19922.256000000001</v>
          </cell>
          <cell r="AC40">
            <v>20318.272000000001</v>
          </cell>
          <cell r="AD40">
            <v>20694.148000000001</v>
          </cell>
          <cell r="AE40">
            <v>21050.1</v>
          </cell>
          <cell r="AF40">
            <v>21387.963</v>
          </cell>
          <cell r="AG40">
            <v>21710.313999999998</v>
          </cell>
          <cell r="AH40">
            <v>22015.42</v>
          </cell>
          <cell r="AI40">
            <v>22305.442999999999</v>
          </cell>
          <cell r="AJ40">
            <v>22592.042000000001</v>
          </cell>
          <cell r="AK40">
            <v>22890.528999999999</v>
          </cell>
          <cell r="AL40">
            <v>23212.096000000001</v>
          </cell>
          <cell r="AM40">
            <v>23560.99</v>
          </cell>
          <cell r="AN40">
            <v>23934.651999999998</v>
          </cell>
          <cell r="AO40">
            <v>24328.848000000002</v>
          </cell>
          <cell r="AP40">
            <v>24736.253000000001</v>
          </cell>
          <cell r="AQ40">
            <v>25151.042000000001</v>
          </cell>
          <cell r="AR40">
            <v>25572.662</v>
          </cell>
          <cell r="AS40">
            <v>26001.748</v>
          </cell>
          <cell r="AT40">
            <v>26434.91</v>
          </cell>
          <cell r="AU40">
            <v>26868.204000000002</v>
          </cell>
          <cell r="AV40">
            <v>27298.69</v>
          </cell>
          <cell r="AW40">
            <v>27725.276000000002</v>
          </cell>
          <cell r="AX40">
            <v>28147.937999999998</v>
          </cell>
          <cell r="AY40">
            <v>28566.216</v>
          </cell>
          <cell r="AZ40">
            <v>28979.986000000001</v>
          </cell>
          <cell r="BA40">
            <v>29389.647000000001</v>
          </cell>
          <cell r="BB40">
            <v>29796.492999999999</v>
          </cell>
          <cell r="BC40">
            <v>30201.921999999999</v>
          </cell>
          <cell r="BD40">
            <v>30607.325000000001</v>
          </cell>
          <cell r="BE40">
            <v>31014.254000000001</v>
          </cell>
          <cell r="BF40">
            <v>31425.102999999999</v>
          </cell>
          <cell r="BG40">
            <v>31837.595000000001</v>
          </cell>
          <cell r="BH40">
            <v>32254.895</v>
          </cell>
          <cell r="BI40">
            <v>32691.383000000002</v>
          </cell>
          <cell r="BJ40">
            <v>33165.792000000001</v>
          </cell>
          <cell r="BK40">
            <v>33690.207999999999</v>
          </cell>
          <cell r="BL40">
            <v>34271.061000000002</v>
          </cell>
          <cell r="BM40">
            <v>34900.968000000001</v>
          </cell>
          <cell r="BN40">
            <v>35561.158000000003</v>
          </cell>
          <cell r="BO40">
            <v>36225.144999999997</v>
          </cell>
          <cell r="BP40">
            <v>36873.080999999998</v>
          </cell>
          <cell r="BQ40">
            <v>37498.332000000002</v>
          </cell>
          <cell r="BR40">
            <v>38104.762999999999</v>
          </cell>
          <cell r="BS40">
            <v>38695.760999999999</v>
          </cell>
          <cell r="BT40">
            <v>39278.667999999998</v>
          </cell>
          <cell r="BU40">
            <v>39858.745999999999</v>
          </cell>
          <cell r="BV40">
            <v>40435.646000000001</v>
          </cell>
          <cell r="BW40">
            <v>41006.504999999997</v>
          </cell>
          <cell r="BX40">
            <v>41570.841999999997</v>
          </cell>
        </row>
        <row r="41">
          <cell r="C41" t="str">
            <v>Sustainable Development Goal (SDG) regions</v>
          </cell>
          <cell r="D41" t="str">
            <v>p</v>
          </cell>
          <cell r="E41">
            <v>1828</v>
          </cell>
          <cell r="F41" t="str">
            <v>Label/Separator</v>
          </cell>
          <cell r="G41">
            <v>900</v>
          </cell>
          <cell r="H41" t="str">
            <v>…</v>
          </cell>
          <cell r="I41" t="str">
            <v>…</v>
          </cell>
          <cell r="J41" t="str">
            <v>…</v>
          </cell>
          <cell r="K41" t="str">
            <v>…</v>
          </cell>
          <cell r="L41" t="str">
            <v>…</v>
          </cell>
          <cell r="M41" t="str">
            <v>…</v>
          </cell>
          <cell r="N41" t="str">
            <v>…</v>
          </cell>
          <cell r="O41" t="str">
            <v>…</v>
          </cell>
          <cell r="P41" t="str">
            <v>…</v>
          </cell>
          <cell r="Q41" t="str">
            <v>…</v>
          </cell>
          <cell r="R41" t="str">
            <v>…</v>
          </cell>
          <cell r="S41" t="str">
            <v>…</v>
          </cell>
          <cell r="T41" t="str">
            <v>…</v>
          </cell>
          <cell r="U41" t="str">
            <v>…</v>
          </cell>
          <cell r="V41" t="str">
            <v>…</v>
          </cell>
          <cell r="W41" t="str">
            <v>…</v>
          </cell>
          <cell r="X41" t="str">
            <v>…</v>
          </cell>
          <cell r="Y41" t="str">
            <v>…</v>
          </cell>
          <cell r="Z41" t="str">
            <v>…</v>
          </cell>
          <cell r="AA41" t="str">
            <v>…</v>
          </cell>
          <cell r="AB41" t="str">
            <v>…</v>
          </cell>
          <cell r="AC41" t="str">
            <v>…</v>
          </cell>
          <cell r="AD41" t="str">
            <v>…</v>
          </cell>
          <cell r="AE41" t="str">
            <v>…</v>
          </cell>
          <cell r="AF41" t="str">
            <v>…</v>
          </cell>
          <cell r="AG41" t="str">
            <v>…</v>
          </cell>
          <cell r="AH41" t="str">
            <v>…</v>
          </cell>
          <cell r="AI41" t="str">
            <v>…</v>
          </cell>
          <cell r="AJ41" t="str">
            <v>…</v>
          </cell>
          <cell r="AK41" t="str">
            <v>…</v>
          </cell>
          <cell r="AL41" t="str">
            <v>…</v>
          </cell>
          <cell r="AM41" t="str">
            <v>…</v>
          </cell>
          <cell r="AN41" t="str">
            <v>…</v>
          </cell>
          <cell r="AO41" t="str">
            <v>…</v>
          </cell>
          <cell r="AP41" t="str">
            <v>…</v>
          </cell>
          <cell r="AQ41" t="str">
            <v>…</v>
          </cell>
          <cell r="AR41" t="str">
            <v>…</v>
          </cell>
          <cell r="AS41" t="str">
            <v>…</v>
          </cell>
          <cell r="AT41" t="str">
            <v>…</v>
          </cell>
          <cell r="AU41" t="str">
            <v>…</v>
          </cell>
          <cell r="AV41" t="str">
            <v>…</v>
          </cell>
          <cell r="AW41" t="str">
            <v>…</v>
          </cell>
          <cell r="AX41" t="str">
            <v>…</v>
          </cell>
          <cell r="AY41" t="str">
            <v>…</v>
          </cell>
          <cell r="AZ41" t="str">
            <v>…</v>
          </cell>
          <cell r="BA41" t="str">
            <v>…</v>
          </cell>
          <cell r="BB41" t="str">
            <v>…</v>
          </cell>
          <cell r="BC41" t="str">
            <v>…</v>
          </cell>
          <cell r="BD41" t="str">
            <v>…</v>
          </cell>
          <cell r="BE41" t="str">
            <v>…</v>
          </cell>
          <cell r="BF41" t="str">
            <v>…</v>
          </cell>
          <cell r="BG41" t="str">
            <v>…</v>
          </cell>
          <cell r="BH41" t="str">
            <v>…</v>
          </cell>
          <cell r="BI41" t="str">
            <v>…</v>
          </cell>
          <cell r="BJ41" t="str">
            <v>…</v>
          </cell>
          <cell r="BK41" t="str">
            <v>…</v>
          </cell>
          <cell r="BL41" t="str">
            <v>…</v>
          </cell>
          <cell r="BM41" t="str">
            <v>…</v>
          </cell>
          <cell r="BN41" t="str">
            <v>…</v>
          </cell>
          <cell r="BO41" t="str">
            <v>…</v>
          </cell>
          <cell r="BP41" t="str">
            <v>…</v>
          </cell>
          <cell r="BQ41" t="str">
            <v>…</v>
          </cell>
          <cell r="BR41" t="str">
            <v>…</v>
          </cell>
          <cell r="BS41" t="str">
            <v>…</v>
          </cell>
          <cell r="BT41" t="str">
            <v>…</v>
          </cell>
          <cell r="BU41" t="str">
            <v>…</v>
          </cell>
          <cell r="BV41" t="str">
            <v>…</v>
          </cell>
          <cell r="BW41" t="str">
            <v>…</v>
          </cell>
          <cell r="BX41" t="str">
            <v>…</v>
          </cell>
        </row>
        <row r="42">
          <cell r="C42" t="str">
            <v>SUB-SAHARAN AFRICA</v>
          </cell>
          <cell r="E42">
            <v>947</v>
          </cell>
          <cell r="F42" t="str">
            <v>SDG region</v>
          </cell>
          <cell r="G42">
            <v>1828</v>
          </cell>
          <cell r="H42">
            <v>179006.546</v>
          </cell>
          <cell r="I42">
            <v>182372.67</v>
          </cell>
          <cell r="J42">
            <v>185911.883</v>
          </cell>
          <cell r="K42">
            <v>189614.20300000001</v>
          </cell>
          <cell r="L42">
            <v>193473.891</v>
          </cell>
          <cell r="M42">
            <v>197489.48699999999</v>
          </cell>
          <cell r="N42">
            <v>201663.86</v>
          </cell>
          <cell r="O42">
            <v>206004.212</v>
          </cell>
          <cell r="P42">
            <v>210521.182</v>
          </cell>
          <cell r="Q42">
            <v>215228.17300000001</v>
          </cell>
          <cell r="R42">
            <v>220138.01500000001</v>
          </cell>
          <cell r="S42">
            <v>225259.913</v>
          </cell>
          <cell r="T42">
            <v>230596.44399999999</v>
          </cell>
          <cell r="U42">
            <v>236142.44500000001</v>
          </cell>
          <cell r="V42">
            <v>241888.48800000001</v>
          </cell>
          <cell r="W42">
            <v>247830.87299999999</v>
          </cell>
          <cell r="X42">
            <v>253971.83799999999</v>
          </cell>
          <cell r="Y42">
            <v>260325.261</v>
          </cell>
          <cell r="Z42">
            <v>266913.87400000001</v>
          </cell>
          <cell r="AA42">
            <v>273766.76299999998</v>
          </cell>
          <cell r="AB42">
            <v>280908.04300000001</v>
          </cell>
          <cell r="AC42">
            <v>288345.78200000001</v>
          </cell>
          <cell r="AD42">
            <v>296084.90899999999</v>
          </cell>
          <cell r="AE42">
            <v>304134.766</v>
          </cell>
          <cell r="AF42">
            <v>312504.44699999999</v>
          </cell>
          <cell r="AG42">
            <v>321200.533</v>
          </cell>
          <cell r="AH42">
            <v>330231.80300000001</v>
          </cell>
          <cell r="AI42">
            <v>339600.734</v>
          </cell>
          <cell r="AJ42">
            <v>349297.04100000003</v>
          </cell>
          <cell r="AK42">
            <v>359304.85700000002</v>
          </cell>
          <cell r="AL42">
            <v>369613.68300000002</v>
          </cell>
          <cell r="AM42">
            <v>380212.44</v>
          </cell>
          <cell r="AN42">
            <v>391106.826</v>
          </cell>
          <cell r="AO42">
            <v>402321.96399999998</v>
          </cell>
          <cell r="AP42">
            <v>413893.09499999997</v>
          </cell>
          <cell r="AQ42">
            <v>425840.821</v>
          </cell>
          <cell r="AR42">
            <v>438183.62800000003</v>
          </cell>
          <cell r="AS42">
            <v>450901.79100000003</v>
          </cell>
          <cell r="AT42">
            <v>463931.62699999998</v>
          </cell>
          <cell r="AU42">
            <v>477185.74</v>
          </cell>
          <cell r="AV42">
            <v>490604.82799999998</v>
          </cell>
          <cell r="AW42">
            <v>504170.64199999999</v>
          </cell>
          <cell r="AX42">
            <v>517912.79200000002</v>
          </cell>
          <cell r="AY42">
            <v>531879.679</v>
          </cell>
          <cell r="AZ42">
            <v>546142.77500000002</v>
          </cell>
          <cell r="BA42">
            <v>560759.43200000003</v>
          </cell>
          <cell r="BB42">
            <v>575759.60600000003</v>
          </cell>
          <cell r="BC42">
            <v>591147.90300000005</v>
          </cell>
          <cell r="BD42">
            <v>606928.40599999996</v>
          </cell>
          <cell r="BE42">
            <v>623097.11399999994</v>
          </cell>
          <cell r="BF42">
            <v>639661.37699999998</v>
          </cell>
          <cell r="BG42">
            <v>656627.196</v>
          </cell>
          <cell r="BH42">
            <v>674033.14</v>
          </cell>
          <cell r="BI42">
            <v>691957.73300000001</v>
          </cell>
          <cell r="BJ42">
            <v>710499.95</v>
          </cell>
          <cell r="BK42">
            <v>729733.01800000004</v>
          </cell>
          <cell r="BL42">
            <v>749688.41299999994</v>
          </cell>
          <cell r="BM42">
            <v>770356.69</v>
          </cell>
          <cell r="BN42">
            <v>791717.34699999995</v>
          </cell>
          <cell r="BO42">
            <v>813730.478</v>
          </cell>
          <cell r="BP42">
            <v>836363.76</v>
          </cell>
          <cell r="BQ42">
            <v>859610.5</v>
          </cell>
          <cell r="BR42">
            <v>883472.723</v>
          </cell>
          <cell r="BS42">
            <v>907933.88</v>
          </cell>
          <cell r="BT42">
            <v>932975.03399999999</v>
          </cell>
          <cell r="BU42">
            <v>958577.179</v>
          </cell>
          <cell r="BV42">
            <v>984733.478</v>
          </cell>
          <cell r="BW42">
            <v>1011429.053</v>
          </cell>
          <cell r="BX42">
            <v>1038627.178</v>
          </cell>
        </row>
        <row r="43">
          <cell r="C43" t="str">
            <v>Eastern Africa</v>
          </cell>
          <cell r="E43">
            <v>910</v>
          </cell>
          <cell r="F43" t="str">
            <v>Subregion</v>
          </cell>
          <cell r="G43">
            <v>947</v>
          </cell>
          <cell r="H43">
            <v>66144.561000000002</v>
          </cell>
          <cell r="I43">
            <v>67602.805999999997</v>
          </cell>
          <cell r="J43">
            <v>69108.597999999998</v>
          </cell>
          <cell r="K43">
            <v>70668.601999999999</v>
          </cell>
          <cell r="L43">
            <v>72288.967000000004</v>
          </cell>
          <cell r="M43">
            <v>73975.350000000006</v>
          </cell>
          <cell r="N43">
            <v>75732.808999999994</v>
          </cell>
          <cell r="O43">
            <v>77565.975999999995</v>
          </cell>
          <cell r="P43">
            <v>79478.887000000002</v>
          </cell>
          <cell r="Q43">
            <v>81475.214999999997</v>
          </cell>
          <cell r="R43">
            <v>83558.179000000004</v>
          </cell>
          <cell r="S43">
            <v>85730.801000000007</v>
          </cell>
          <cell r="T43">
            <v>87995.987999999998</v>
          </cell>
          <cell r="U43">
            <v>90356.447</v>
          </cell>
          <cell r="V43">
            <v>92814.705000000002</v>
          </cell>
          <cell r="W43">
            <v>95372.694000000003</v>
          </cell>
          <cell r="X43">
            <v>98034.487999999998</v>
          </cell>
          <cell r="Y43">
            <v>100801.276</v>
          </cell>
          <cell r="Z43">
            <v>103668.749</v>
          </cell>
          <cell r="AA43">
            <v>106630.235</v>
          </cell>
          <cell r="AB43">
            <v>109682.215</v>
          </cell>
          <cell r="AC43">
            <v>112823.882</v>
          </cell>
          <cell r="AD43">
            <v>116060.914</v>
          </cell>
          <cell r="AE43">
            <v>119404.211</v>
          </cell>
          <cell r="AF43">
            <v>122868.531</v>
          </cell>
          <cell r="AG43">
            <v>126465.05100000001</v>
          </cell>
          <cell r="AH43">
            <v>130199.72500000001</v>
          </cell>
          <cell r="AI43">
            <v>134072.48300000001</v>
          </cell>
          <cell r="AJ43">
            <v>138081.10200000001</v>
          </cell>
          <cell r="AK43">
            <v>142220.609</v>
          </cell>
          <cell r="AL43">
            <v>146488.36799999999</v>
          </cell>
          <cell r="AM43">
            <v>150873.054</v>
          </cell>
          <cell r="AN43">
            <v>155377.016</v>
          </cell>
          <cell r="AO43">
            <v>160026.41500000001</v>
          </cell>
          <cell r="AP43">
            <v>164856.95300000001</v>
          </cell>
          <cell r="AQ43">
            <v>169887.49100000001</v>
          </cell>
          <cell r="AR43">
            <v>175147.66800000001</v>
          </cell>
          <cell r="AS43">
            <v>180613.70499999999</v>
          </cell>
          <cell r="AT43">
            <v>186187.4</v>
          </cell>
          <cell r="AU43">
            <v>191734.774</v>
          </cell>
          <cell r="AV43">
            <v>197168.375</v>
          </cell>
          <cell r="AW43">
            <v>202443.24900000001</v>
          </cell>
          <cell r="AX43">
            <v>207611.67199999999</v>
          </cell>
          <cell r="AY43">
            <v>212802.61900000001</v>
          </cell>
          <cell r="AZ43">
            <v>218199.32199999999</v>
          </cell>
          <cell r="BA43">
            <v>223934.21900000001</v>
          </cell>
          <cell r="BB43">
            <v>230058.535</v>
          </cell>
          <cell r="BC43">
            <v>236535.96900000001</v>
          </cell>
          <cell r="BD43">
            <v>243305.38200000001</v>
          </cell>
          <cell r="BE43">
            <v>250267.69399999999</v>
          </cell>
          <cell r="BF43">
            <v>257353.364</v>
          </cell>
          <cell r="BG43">
            <v>264549.32500000001</v>
          </cell>
          <cell r="BH43">
            <v>271890.37099999998</v>
          </cell>
          <cell r="BI43">
            <v>279411.223</v>
          </cell>
          <cell r="BJ43">
            <v>287163.49900000001</v>
          </cell>
          <cell r="BK43">
            <v>295185.41700000002</v>
          </cell>
          <cell r="BL43">
            <v>303485.33600000001</v>
          </cell>
          <cell r="BM43">
            <v>312053.20500000002</v>
          </cell>
          <cell r="BN43">
            <v>320886.36599999998</v>
          </cell>
          <cell r="BO43">
            <v>329976.92200000002</v>
          </cell>
          <cell r="BP43">
            <v>339317.83299999998</v>
          </cell>
          <cell r="BQ43">
            <v>348907.766</v>
          </cell>
          <cell r="BR43">
            <v>358745.94799999997</v>
          </cell>
          <cell r="BS43">
            <v>368825.19099999999</v>
          </cell>
          <cell r="BT43">
            <v>379136.62599999999</v>
          </cell>
          <cell r="BU43">
            <v>389671.27500000002</v>
          </cell>
          <cell r="BV43">
            <v>400426.755</v>
          </cell>
          <cell r="BW43">
            <v>411396.72700000001</v>
          </cell>
          <cell r="BX43">
            <v>422563.36300000001</v>
          </cell>
        </row>
        <row r="44">
          <cell r="C44" t="str">
            <v>Burundi</v>
          </cell>
          <cell r="E44">
            <v>108</v>
          </cell>
          <cell r="F44" t="str">
            <v>Country</v>
          </cell>
          <cell r="G44">
            <v>910</v>
          </cell>
          <cell r="H44">
            <v>2308.92</v>
          </cell>
          <cell r="I44">
            <v>2360.4479999999999</v>
          </cell>
          <cell r="J44">
            <v>2406.04</v>
          </cell>
          <cell r="K44">
            <v>2449.0859999999998</v>
          </cell>
          <cell r="L44">
            <v>2492.1950000000002</v>
          </cell>
          <cell r="M44">
            <v>2537.1570000000002</v>
          </cell>
          <cell r="N44">
            <v>2584.9079999999999</v>
          </cell>
          <cell r="O44">
            <v>2635.6390000000001</v>
          </cell>
          <cell r="P44">
            <v>2688.7440000000001</v>
          </cell>
          <cell r="Q44">
            <v>2743.2</v>
          </cell>
          <cell r="R44">
            <v>2797.9319999999998</v>
          </cell>
          <cell r="S44">
            <v>2852.4380000000001</v>
          </cell>
          <cell r="T44">
            <v>2907.3209999999999</v>
          </cell>
          <cell r="U44">
            <v>2964.4270000000001</v>
          </cell>
          <cell r="V44">
            <v>3026.29</v>
          </cell>
          <cell r="W44">
            <v>3094.3789999999999</v>
          </cell>
          <cell r="X44">
            <v>3170.49</v>
          </cell>
          <cell r="Y44">
            <v>3253.2179999999998</v>
          </cell>
          <cell r="Z44">
            <v>3336.9270000000001</v>
          </cell>
          <cell r="AA44">
            <v>3413.904</v>
          </cell>
          <cell r="AB44">
            <v>3479.0740000000001</v>
          </cell>
          <cell r="AC44">
            <v>3529.9969999999998</v>
          </cell>
          <cell r="AD44">
            <v>3569.6660000000002</v>
          </cell>
          <cell r="AE44">
            <v>3605.1260000000002</v>
          </cell>
          <cell r="AF44">
            <v>3646.431</v>
          </cell>
          <cell r="AG44">
            <v>3700.88</v>
          </cell>
          <cell r="AH44">
            <v>3770.8710000000001</v>
          </cell>
          <cell r="AI44">
            <v>3854.4450000000002</v>
          </cell>
          <cell r="AJ44">
            <v>3949.2660000000001</v>
          </cell>
          <cell r="AK44">
            <v>4051.2339999999999</v>
          </cell>
          <cell r="AL44">
            <v>4157.2979999999998</v>
          </cell>
          <cell r="AM44">
            <v>4266.5200000000004</v>
          </cell>
          <cell r="AN44">
            <v>4379.7240000000002</v>
          </cell>
          <cell r="AO44">
            <v>4497.5330000000004</v>
          </cell>
          <cell r="AP44">
            <v>4621.1030000000001</v>
          </cell>
          <cell r="AQ44">
            <v>4750.8370000000004</v>
          </cell>
          <cell r="AR44">
            <v>4886.7430000000004</v>
          </cell>
          <cell r="AS44">
            <v>5027.1379999999999</v>
          </cell>
          <cell r="AT44">
            <v>5168.6980000000003</v>
          </cell>
          <cell r="AU44">
            <v>5307.0690000000004</v>
          </cell>
          <cell r="AV44">
            <v>5438.9570000000003</v>
          </cell>
          <cell r="AW44">
            <v>5564.9260000000004</v>
          </cell>
          <cell r="AX44">
            <v>5685.5649999999996</v>
          </cell>
          <cell r="AY44">
            <v>5798.0529999999999</v>
          </cell>
          <cell r="AZ44">
            <v>5898.9669999999996</v>
          </cell>
          <cell r="BA44">
            <v>5987.0429999999997</v>
          </cell>
          <cell r="BB44">
            <v>6060.1109999999999</v>
          </cell>
          <cell r="BC44">
            <v>6122.13</v>
          </cell>
          <cell r="BD44">
            <v>6185.5619999999999</v>
          </cell>
          <cell r="BE44">
            <v>6267.1239999999998</v>
          </cell>
          <cell r="BF44">
            <v>6378.8710000000001</v>
          </cell>
          <cell r="BG44">
            <v>6525.5450000000001</v>
          </cell>
          <cell r="BH44">
            <v>6704.1130000000003</v>
          </cell>
          <cell r="BI44">
            <v>6909.1540000000005</v>
          </cell>
          <cell r="BJ44">
            <v>7131.6930000000002</v>
          </cell>
          <cell r="BK44">
            <v>7364.8620000000001</v>
          </cell>
          <cell r="BL44">
            <v>7607.8490000000002</v>
          </cell>
          <cell r="BM44">
            <v>7862.2139999999999</v>
          </cell>
          <cell r="BN44">
            <v>8126.1019999999999</v>
          </cell>
          <cell r="BO44">
            <v>8397.6679999999997</v>
          </cell>
          <cell r="BP44">
            <v>8675.6020000000008</v>
          </cell>
          <cell r="BQ44">
            <v>8958.4060000000009</v>
          </cell>
          <cell r="BR44">
            <v>9245.9879999999994</v>
          </cell>
          <cell r="BS44">
            <v>9540.2909999999993</v>
          </cell>
          <cell r="BT44">
            <v>9844.2990000000009</v>
          </cell>
          <cell r="BU44">
            <v>10160.030000000001</v>
          </cell>
          <cell r="BV44">
            <v>10487.995000000001</v>
          </cell>
          <cell r="BW44">
            <v>10827.019</v>
          </cell>
          <cell r="BX44">
            <v>11175.374</v>
          </cell>
        </row>
        <row r="45">
          <cell r="C45" t="str">
            <v>Comoros</v>
          </cell>
          <cell r="E45">
            <v>174</v>
          </cell>
          <cell r="F45" t="str">
            <v>Country</v>
          </cell>
          <cell r="G45">
            <v>910</v>
          </cell>
          <cell r="H45">
            <v>159.459</v>
          </cell>
          <cell r="I45">
            <v>163.13900000000001</v>
          </cell>
          <cell r="J45">
            <v>166.541</v>
          </cell>
          <cell r="K45">
            <v>169.75200000000001</v>
          </cell>
          <cell r="L45">
            <v>172.85300000000001</v>
          </cell>
          <cell r="M45">
            <v>175.90299999999999</v>
          </cell>
          <cell r="N45">
            <v>178.946</v>
          </cell>
          <cell r="O45">
            <v>181.99199999999999</v>
          </cell>
          <cell r="P45">
            <v>185.04300000000001</v>
          </cell>
          <cell r="Q45">
            <v>188.09700000000001</v>
          </cell>
          <cell r="R45">
            <v>191.12100000000001</v>
          </cell>
          <cell r="S45">
            <v>194.13900000000001</v>
          </cell>
          <cell r="T45">
            <v>197.19800000000001</v>
          </cell>
          <cell r="U45">
            <v>200.37200000000001</v>
          </cell>
          <cell r="V45">
            <v>203.75299999999999</v>
          </cell>
          <cell r="W45">
            <v>207.42400000000001</v>
          </cell>
          <cell r="X45">
            <v>211.47800000000001</v>
          </cell>
          <cell r="Y45">
            <v>215.89699999999999</v>
          </cell>
          <cell r="Z45">
            <v>220.57499999999999</v>
          </cell>
          <cell r="AA45">
            <v>225.32499999999999</v>
          </cell>
          <cell r="AB45">
            <v>230.054</v>
          </cell>
          <cell r="AC45">
            <v>234.64400000000001</v>
          </cell>
          <cell r="AD45">
            <v>239.23500000000001</v>
          </cell>
          <cell r="AE45">
            <v>244.208</v>
          </cell>
          <cell r="AF45">
            <v>250.10400000000001</v>
          </cell>
          <cell r="AG45">
            <v>257.29000000000002</v>
          </cell>
          <cell r="AH45">
            <v>265.95299999999997</v>
          </cell>
          <cell r="AI45">
            <v>275.89999999999998</v>
          </cell>
          <cell r="AJ45">
            <v>286.63400000000001</v>
          </cell>
          <cell r="AK45">
            <v>297.447</v>
          </cell>
          <cell r="AL45">
            <v>307.82900000000001</v>
          </cell>
          <cell r="AM45">
            <v>317.60599999999999</v>
          </cell>
          <cell r="AN45">
            <v>326.94600000000003</v>
          </cell>
          <cell r="AO45">
            <v>336.096</v>
          </cell>
          <cell r="AP45">
            <v>345.46600000000001</v>
          </cell>
          <cell r="AQ45">
            <v>355.33699999999999</v>
          </cell>
          <cell r="AR45">
            <v>365.76</v>
          </cell>
          <cell r="AS45">
            <v>376.654</v>
          </cell>
          <cell r="AT45">
            <v>387.96300000000002</v>
          </cell>
          <cell r="AU45">
            <v>399.63200000000001</v>
          </cell>
          <cell r="AV45">
            <v>411.59399999999999</v>
          </cell>
          <cell r="AW45">
            <v>423.87200000000001</v>
          </cell>
          <cell r="AX45">
            <v>436.44799999999998</v>
          </cell>
          <cell r="AY45">
            <v>449.274</v>
          </cell>
          <cell r="AZ45">
            <v>462.27699999999999</v>
          </cell>
          <cell r="BA45">
            <v>475.39400000000001</v>
          </cell>
          <cell r="BB45">
            <v>488.62700000000001</v>
          </cell>
          <cell r="BC45">
            <v>501.95299999999997</v>
          </cell>
          <cell r="BD45">
            <v>515.38499999999999</v>
          </cell>
          <cell r="BE45">
            <v>528.84799999999996</v>
          </cell>
          <cell r="BF45">
            <v>542.35699999999997</v>
          </cell>
          <cell r="BG45">
            <v>555.88800000000003</v>
          </cell>
          <cell r="BH45">
            <v>569.47900000000004</v>
          </cell>
          <cell r="BI45">
            <v>583.21100000000001</v>
          </cell>
          <cell r="BJ45">
            <v>597.22799999999995</v>
          </cell>
          <cell r="BK45">
            <v>611.62699999999995</v>
          </cell>
          <cell r="BL45">
            <v>626.42499999999995</v>
          </cell>
          <cell r="BM45">
            <v>641.62</v>
          </cell>
          <cell r="BN45">
            <v>657.22900000000004</v>
          </cell>
          <cell r="BO45">
            <v>673.25199999999995</v>
          </cell>
          <cell r="BP45">
            <v>689.69200000000001</v>
          </cell>
          <cell r="BQ45">
            <v>706.56899999999996</v>
          </cell>
          <cell r="BR45">
            <v>723.87099999999998</v>
          </cell>
          <cell r="BS45">
            <v>741.505</v>
          </cell>
          <cell r="BT45">
            <v>759.39</v>
          </cell>
          <cell r="BU45">
            <v>777.42399999999998</v>
          </cell>
          <cell r="BV45">
            <v>795.59199999999998</v>
          </cell>
          <cell r="BW45">
            <v>813.89200000000005</v>
          </cell>
          <cell r="BX45">
            <v>832.322</v>
          </cell>
        </row>
        <row r="46">
          <cell r="C46" t="str">
            <v>Djibouti</v>
          </cell>
          <cell r="E46">
            <v>262</v>
          </cell>
          <cell r="F46" t="str">
            <v>Country</v>
          </cell>
          <cell r="G46">
            <v>910</v>
          </cell>
          <cell r="H46">
            <v>62.000999999999998</v>
          </cell>
          <cell r="I46">
            <v>63.305999999999997</v>
          </cell>
          <cell r="J46">
            <v>64.75</v>
          </cell>
          <cell r="K46">
            <v>66.269000000000005</v>
          </cell>
          <cell r="L46">
            <v>67.872</v>
          </cell>
          <cell r="M46">
            <v>69.588999999999999</v>
          </cell>
          <cell r="N46">
            <v>71.497</v>
          </cell>
          <cell r="O46">
            <v>73.701999999999998</v>
          </cell>
          <cell r="P46">
            <v>76.352999999999994</v>
          </cell>
          <cell r="Q46">
            <v>79.611999999999995</v>
          </cell>
          <cell r="R46">
            <v>83.635999999999996</v>
          </cell>
          <cell r="S46">
            <v>88.498000000000005</v>
          </cell>
          <cell r="T46">
            <v>94.203999999999994</v>
          </cell>
          <cell r="U46">
            <v>100.628</v>
          </cell>
          <cell r="V46">
            <v>107.583</v>
          </cell>
          <cell r="W46">
            <v>114.96299999999999</v>
          </cell>
          <cell r="X46">
            <v>122.866</v>
          </cell>
          <cell r="Y46">
            <v>131.39699999999999</v>
          </cell>
          <cell r="Z46">
            <v>140.46199999999999</v>
          </cell>
          <cell r="AA46">
            <v>149.887</v>
          </cell>
          <cell r="AB46">
            <v>159.65899999999999</v>
          </cell>
          <cell r="AC46">
            <v>169.37200000000001</v>
          </cell>
          <cell r="AD46">
            <v>179.22399999999999</v>
          </cell>
          <cell r="AE46">
            <v>190.56800000000001</v>
          </cell>
          <cell r="AF46">
            <v>205.18100000000001</v>
          </cell>
          <cell r="AG46">
            <v>224.18299999999999</v>
          </cell>
          <cell r="AH46">
            <v>248.55600000000001</v>
          </cell>
          <cell r="AI46">
            <v>277.47899999999998</v>
          </cell>
          <cell r="AJ46">
            <v>308.00799999999998</v>
          </cell>
          <cell r="AK46">
            <v>336.08499999999998</v>
          </cell>
          <cell r="AL46">
            <v>358.96</v>
          </cell>
          <cell r="AM46">
            <v>374.93700000000001</v>
          </cell>
          <cell r="AN46">
            <v>385.27100000000002</v>
          </cell>
          <cell r="AO46">
            <v>393.80200000000002</v>
          </cell>
          <cell r="AP46">
            <v>406.017</v>
          </cell>
          <cell r="AQ46">
            <v>425.613</v>
          </cell>
          <cell r="AR46">
            <v>454.36099999999999</v>
          </cell>
          <cell r="AS46">
            <v>490.33</v>
          </cell>
          <cell r="AT46">
            <v>528.99900000000002</v>
          </cell>
          <cell r="AU46">
            <v>563.86400000000003</v>
          </cell>
          <cell r="AV46">
            <v>590.39800000000002</v>
          </cell>
          <cell r="AW46">
            <v>606.84400000000005</v>
          </cell>
          <cell r="AX46">
            <v>615.05399999999997</v>
          </cell>
          <cell r="AY46">
            <v>618.495</v>
          </cell>
          <cell r="AZ46">
            <v>622.36599999999999</v>
          </cell>
          <cell r="BA46">
            <v>630.38800000000003</v>
          </cell>
          <cell r="BB46">
            <v>643.654</v>
          </cell>
          <cell r="BC46">
            <v>660.86300000000006</v>
          </cell>
          <cell r="BD46">
            <v>680.46299999999997</v>
          </cell>
          <cell r="BE46">
            <v>699.97500000000002</v>
          </cell>
          <cell r="BF46">
            <v>717.58399999999995</v>
          </cell>
          <cell r="BG46">
            <v>733.01499999999999</v>
          </cell>
          <cell r="BH46">
            <v>746.94200000000001</v>
          </cell>
          <cell r="BI46">
            <v>759.64099999999996</v>
          </cell>
          <cell r="BJ46">
            <v>771.60299999999995</v>
          </cell>
          <cell r="BK46">
            <v>783.25400000000002</v>
          </cell>
          <cell r="BL46">
            <v>794.56299999999999</v>
          </cell>
          <cell r="BM46">
            <v>805.45100000000002</v>
          </cell>
          <cell r="BN46">
            <v>816.35799999999995</v>
          </cell>
          <cell r="BO46">
            <v>827.82299999999998</v>
          </cell>
          <cell r="BP46">
            <v>840.19799999999998</v>
          </cell>
          <cell r="BQ46">
            <v>853.67399999999998</v>
          </cell>
          <cell r="BR46">
            <v>868.13699999999994</v>
          </cell>
          <cell r="BS46">
            <v>883.29300000000001</v>
          </cell>
          <cell r="BT46">
            <v>898.69500000000005</v>
          </cell>
          <cell r="BU46">
            <v>913.99300000000005</v>
          </cell>
          <cell r="BV46">
            <v>929.11199999999997</v>
          </cell>
          <cell r="BW46">
            <v>944.09900000000005</v>
          </cell>
          <cell r="BX46">
            <v>958.923</v>
          </cell>
        </row>
        <row r="47">
          <cell r="C47" t="str">
            <v>Eritrea</v>
          </cell>
          <cell r="E47">
            <v>232</v>
          </cell>
          <cell r="F47" t="str">
            <v>Country</v>
          </cell>
          <cell r="G47">
            <v>910</v>
          </cell>
          <cell r="H47">
            <v>822.35</v>
          </cell>
          <cell r="I47">
            <v>835.005</v>
          </cell>
          <cell r="J47">
            <v>849.25800000000004</v>
          </cell>
          <cell r="K47">
            <v>864.89499999999998</v>
          </cell>
          <cell r="L47">
            <v>881.76</v>
          </cell>
          <cell r="M47">
            <v>899.75199999999995</v>
          </cell>
          <cell r="N47">
            <v>918.84900000000005</v>
          </cell>
          <cell r="O47">
            <v>939.08100000000002</v>
          </cell>
          <cell r="P47">
            <v>960.54300000000001</v>
          </cell>
          <cell r="Q47">
            <v>983.33799999999997</v>
          </cell>
          <cell r="R47">
            <v>1007.59</v>
          </cell>
          <cell r="S47">
            <v>1033.328</v>
          </cell>
          <cell r="T47">
            <v>1060.4860000000001</v>
          </cell>
          <cell r="U47">
            <v>1088.854</v>
          </cell>
          <cell r="V47">
            <v>1118.1590000000001</v>
          </cell>
          <cell r="W47">
            <v>1148.1890000000001</v>
          </cell>
          <cell r="X47">
            <v>1178.875</v>
          </cell>
          <cell r="Y47">
            <v>1210.3019999999999</v>
          </cell>
          <cell r="Z47">
            <v>1242.635</v>
          </cell>
          <cell r="AA47">
            <v>1276.123</v>
          </cell>
          <cell r="AB47">
            <v>1310.9449999999999</v>
          </cell>
          <cell r="AC47">
            <v>1347.1759999999999</v>
          </cell>
          <cell r="AD47">
            <v>1384.797</v>
          </cell>
          <cell r="AE47">
            <v>1423.761</v>
          </cell>
          <cell r="AF47">
            <v>1463.9829999999999</v>
          </cell>
          <cell r="AG47">
            <v>1505.4390000000001</v>
          </cell>
          <cell r="AH47">
            <v>1547.9749999999999</v>
          </cell>
          <cell r="AI47">
            <v>1591.62</v>
          </cell>
          <cell r="AJ47">
            <v>1636.769</v>
          </cell>
          <cell r="AK47">
            <v>1683.9390000000001</v>
          </cell>
          <cell r="AL47">
            <v>1733.4159999999999</v>
          </cell>
          <cell r="AM47">
            <v>1784.5609999999999</v>
          </cell>
          <cell r="AN47">
            <v>1836.8230000000001</v>
          </cell>
          <cell r="AO47">
            <v>1890.558</v>
          </cell>
          <cell r="AP47">
            <v>1946.3050000000001</v>
          </cell>
          <cell r="AQ47">
            <v>2003.9369999999999</v>
          </cell>
          <cell r="AR47">
            <v>2064.7939999999999</v>
          </cell>
          <cell r="AS47">
            <v>2127.422</v>
          </cell>
          <cell r="AT47">
            <v>2185.605</v>
          </cell>
          <cell r="AU47">
            <v>2231.1410000000001</v>
          </cell>
          <cell r="AV47">
            <v>2258.6529999999998</v>
          </cell>
          <cell r="AW47">
            <v>2266.3580000000002</v>
          </cell>
          <cell r="AX47">
            <v>2257.596</v>
          </cell>
          <cell r="AY47">
            <v>2238.6260000000002</v>
          </cell>
          <cell r="AZ47">
            <v>2218.4299999999998</v>
          </cell>
          <cell r="BA47">
            <v>2204.2220000000002</v>
          </cell>
          <cell r="BB47">
            <v>2196.4639999999999</v>
          </cell>
          <cell r="BC47">
            <v>2195.1790000000001</v>
          </cell>
          <cell r="BD47">
            <v>2206.4319999999998</v>
          </cell>
          <cell r="BE47">
            <v>2237.4050000000002</v>
          </cell>
          <cell r="BF47">
            <v>2292.4160000000002</v>
          </cell>
          <cell r="BG47">
            <v>2374.7220000000002</v>
          </cell>
          <cell r="BH47">
            <v>2481.058</v>
          </cell>
          <cell r="BI47">
            <v>2600.973</v>
          </cell>
          <cell r="BJ47">
            <v>2719.8029999999999</v>
          </cell>
          <cell r="BK47">
            <v>2826.6590000000001</v>
          </cell>
          <cell r="BL47">
            <v>2918.2049999999999</v>
          </cell>
          <cell r="BM47">
            <v>2996.5360000000001</v>
          </cell>
          <cell r="BN47">
            <v>3062.779</v>
          </cell>
          <cell r="BO47">
            <v>3119.92</v>
          </cell>
          <cell r="BP47">
            <v>3170.4349999999999</v>
          </cell>
          <cell r="BQ47">
            <v>3213.9720000000002</v>
          </cell>
          <cell r="BR47">
            <v>3250.1</v>
          </cell>
          <cell r="BS47">
            <v>3281.4490000000001</v>
          </cell>
          <cell r="BT47">
            <v>3311.4490000000001</v>
          </cell>
          <cell r="BU47">
            <v>3342.8180000000002</v>
          </cell>
          <cell r="BV47">
            <v>3376.5569999999998</v>
          </cell>
          <cell r="BW47">
            <v>3412.893</v>
          </cell>
          <cell r="BX47">
            <v>3452.7860000000001</v>
          </cell>
        </row>
        <row r="48">
          <cell r="C48" t="str">
            <v>Ethiopia</v>
          </cell>
          <cell r="E48">
            <v>231</v>
          </cell>
          <cell r="F48" t="str">
            <v>Country</v>
          </cell>
          <cell r="G48">
            <v>910</v>
          </cell>
          <cell r="H48">
            <v>18128.034</v>
          </cell>
          <cell r="I48">
            <v>18466.969000000001</v>
          </cell>
          <cell r="J48">
            <v>18819.698</v>
          </cell>
          <cell r="K48">
            <v>19184.295999999998</v>
          </cell>
          <cell r="L48">
            <v>19560.013999999999</v>
          </cell>
          <cell r="M48">
            <v>19947.292000000001</v>
          </cell>
          <cell r="N48">
            <v>20347.812000000002</v>
          </cell>
          <cell r="O48">
            <v>20764.45</v>
          </cell>
          <cell r="P48">
            <v>21201.036</v>
          </cell>
          <cell r="Q48">
            <v>21661.995999999999</v>
          </cell>
          <cell r="R48">
            <v>22151.277999999998</v>
          </cell>
          <cell r="S48">
            <v>22671.190999999999</v>
          </cell>
          <cell r="T48">
            <v>23221.388999999999</v>
          </cell>
          <cell r="U48">
            <v>23798.43</v>
          </cell>
          <cell r="V48">
            <v>24397.022000000001</v>
          </cell>
          <cell r="W48">
            <v>25013.626</v>
          </cell>
          <cell r="X48">
            <v>25641.044000000002</v>
          </cell>
          <cell r="Y48">
            <v>26280.132000000001</v>
          </cell>
          <cell r="Z48">
            <v>26944.39</v>
          </cell>
          <cell r="AA48">
            <v>27652.708999999999</v>
          </cell>
          <cell r="AB48">
            <v>28415.077000000001</v>
          </cell>
          <cell r="AC48">
            <v>29248.643</v>
          </cell>
          <cell r="AD48">
            <v>30140.804</v>
          </cell>
          <cell r="AE48">
            <v>31036.662</v>
          </cell>
          <cell r="AF48">
            <v>31861.351999999999</v>
          </cell>
          <cell r="AG48">
            <v>32566.853999999999</v>
          </cell>
          <cell r="AH48">
            <v>33128.148999999998</v>
          </cell>
          <cell r="AI48">
            <v>33577.241999999998</v>
          </cell>
          <cell r="AJ48">
            <v>33993.300999999999</v>
          </cell>
          <cell r="AK48">
            <v>34487.798999999999</v>
          </cell>
          <cell r="AL48">
            <v>35141.712</v>
          </cell>
          <cell r="AM48">
            <v>35984.527999999998</v>
          </cell>
          <cell r="AN48">
            <v>36995.248</v>
          </cell>
          <cell r="AO48">
            <v>38142.673999999999</v>
          </cell>
          <cell r="AP48">
            <v>39374.347999999998</v>
          </cell>
          <cell r="AQ48">
            <v>40652.141000000003</v>
          </cell>
          <cell r="AR48">
            <v>41965.692999999999</v>
          </cell>
          <cell r="AS48">
            <v>43329.231</v>
          </cell>
          <cell r="AT48">
            <v>44757.203000000001</v>
          </cell>
          <cell r="AU48">
            <v>46272.298999999999</v>
          </cell>
          <cell r="AV48">
            <v>47887.864999999998</v>
          </cell>
          <cell r="AW48">
            <v>49609.968999999997</v>
          </cell>
          <cell r="AX48">
            <v>51423.584999999999</v>
          </cell>
          <cell r="AY48">
            <v>53295.565999999999</v>
          </cell>
          <cell r="AZ48">
            <v>55180.998</v>
          </cell>
          <cell r="BA48">
            <v>57047.908000000003</v>
          </cell>
          <cell r="BB48">
            <v>58883.53</v>
          </cell>
          <cell r="BC48">
            <v>60697.442999999999</v>
          </cell>
          <cell r="BD48">
            <v>62507.724000000002</v>
          </cell>
          <cell r="BE48">
            <v>64343.012999999999</v>
          </cell>
          <cell r="BF48">
            <v>66224.804000000004</v>
          </cell>
          <cell r="BG48">
            <v>68159.422999999995</v>
          </cell>
          <cell r="BH48">
            <v>70142.091</v>
          </cell>
          <cell r="BI48">
            <v>72170.584000000003</v>
          </cell>
          <cell r="BJ48">
            <v>74239.505000000005</v>
          </cell>
          <cell r="BK48">
            <v>76346.311000000002</v>
          </cell>
          <cell r="BL48">
            <v>78489.206000000006</v>
          </cell>
          <cell r="BM48">
            <v>80674.347999999998</v>
          </cell>
          <cell r="BN48">
            <v>82916.235000000001</v>
          </cell>
          <cell r="BO48">
            <v>85233.913</v>
          </cell>
          <cell r="BP48">
            <v>87639.964000000007</v>
          </cell>
          <cell r="BQ48">
            <v>90139.929000000004</v>
          </cell>
          <cell r="BR48">
            <v>92726.985000000001</v>
          </cell>
          <cell r="BS48">
            <v>95385.797999999995</v>
          </cell>
          <cell r="BT48">
            <v>98094.264999999999</v>
          </cell>
          <cell r="BU48">
            <v>100835.458</v>
          </cell>
          <cell r="BV48">
            <v>103603.462</v>
          </cell>
          <cell r="BW48">
            <v>106399.924</v>
          </cell>
          <cell r="BX48">
            <v>109224.414</v>
          </cell>
        </row>
        <row r="49">
          <cell r="C49" t="str">
            <v>Kenya</v>
          </cell>
          <cell r="E49">
            <v>404</v>
          </cell>
          <cell r="F49" t="str">
            <v>Country</v>
          </cell>
          <cell r="G49">
            <v>910</v>
          </cell>
          <cell r="H49">
            <v>6076.7579999999998</v>
          </cell>
          <cell r="I49">
            <v>6242.098</v>
          </cell>
          <cell r="J49">
            <v>6415.9610000000002</v>
          </cell>
          <cell r="K49">
            <v>6598.17</v>
          </cell>
          <cell r="L49">
            <v>6788.7070000000003</v>
          </cell>
          <cell r="M49">
            <v>6987.6580000000004</v>
          </cell>
          <cell r="N49">
            <v>7195.2259999999997</v>
          </cell>
          <cell r="O49">
            <v>7411.7650000000003</v>
          </cell>
          <cell r="P49">
            <v>7637.7129999999997</v>
          </cell>
          <cell r="Q49">
            <v>7873.6229999999996</v>
          </cell>
          <cell r="R49">
            <v>8120.08</v>
          </cell>
          <cell r="S49">
            <v>8377.6959999999999</v>
          </cell>
          <cell r="T49">
            <v>8647.0110000000004</v>
          </cell>
          <cell r="U49">
            <v>8928.5110000000004</v>
          </cell>
          <cell r="V49">
            <v>9222.6919999999991</v>
          </cell>
          <cell r="W49">
            <v>9530.1730000000007</v>
          </cell>
          <cell r="X49">
            <v>9851.4439999999995</v>
          </cell>
          <cell r="Y49">
            <v>10187.477999999999</v>
          </cell>
          <cell r="Z49">
            <v>10539.894</v>
          </cell>
          <cell r="AA49">
            <v>10910.674999999999</v>
          </cell>
          <cell r="AB49">
            <v>11301.394</v>
          </cell>
          <cell r="AC49">
            <v>11713.048000000001</v>
          </cell>
          <cell r="AD49">
            <v>12146.067999999999</v>
          </cell>
          <cell r="AE49">
            <v>12600.797</v>
          </cell>
          <cell r="AF49">
            <v>13077.341</v>
          </cell>
          <cell r="AG49">
            <v>13575.906999999999</v>
          </cell>
          <cell r="AH49">
            <v>14096.263000000001</v>
          </cell>
          <cell r="AI49">
            <v>14638.89</v>
          </cell>
          <cell r="AJ49">
            <v>15205.374</v>
          </cell>
          <cell r="AK49">
            <v>15797.776</v>
          </cell>
          <cell r="AL49">
            <v>16417.197</v>
          </cell>
          <cell r="AM49">
            <v>17063.876</v>
          </cell>
          <cell r="AN49">
            <v>17736.326000000001</v>
          </cell>
          <cell r="AO49">
            <v>18431.760999999999</v>
          </cell>
          <cell r="AP49">
            <v>19146.400000000001</v>
          </cell>
          <cell r="AQ49">
            <v>19877.082999999999</v>
          </cell>
          <cell r="AR49">
            <v>20622.560000000001</v>
          </cell>
          <cell r="AS49">
            <v>21382.112000000001</v>
          </cell>
          <cell r="AT49">
            <v>22153.675999999999</v>
          </cell>
          <cell r="AU49">
            <v>22935.092000000001</v>
          </cell>
          <cell r="AV49">
            <v>23724.579000000002</v>
          </cell>
          <cell r="AW49">
            <v>24521.703000000001</v>
          </cell>
          <cell r="AX49">
            <v>25326.078000000001</v>
          </cell>
          <cell r="AY49">
            <v>26136.216</v>
          </cell>
          <cell r="AZ49">
            <v>26950.512999999999</v>
          </cell>
          <cell r="BA49">
            <v>27768.295999999998</v>
          </cell>
          <cell r="BB49">
            <v>28589.451000000001</v>
          </cell>
          <cell r="BC49">
            <v>29415.659</v>
          </cell>
          <cell r="BD49">
            <v>30250.488000000001</v>
          </cell>
          <cell r="BE49">
            <v>31098.757000000001</v>
          </cell>
          <cell r="BF49">
            <v>31964.557000000001</v>
          </cell>
          <cell r="BG49">
            <v>32848.563999999998</v>
          </cell>
          <cell r="BH49">
            <v>33751.739000000001</v>
          </cell>
          <cell r="BI49">
            <v>34678.779000000002</v>
          </cell>
          <cell r="BJ49">
            <v>35635.271000000001</v>
          </cell>
          <cell r="BK49">
            <v>36624.894999999997</v>
          </cell>
          <cell r="BL49">
            <v>37649.033000000003</v>
          </cell>
          <cell r="BM49">
            <v>38705.932000000001</v>
          </cell>
          <cell r="BN49">
            <v>39791.981</v>
          </cell>
          <cell r="BO49">
            <v>40901.792000000001</v>
          </cell>
          <cell r="BP49">
            <v>42030.675999999999</v>
          </cell>
          <cell r="BQ49">
            <v>43178.273999999998</v>
          </cell>
          <cell r="BR49">
            <v>44343.466999999997</v>
          </cell>
          <cell r="BS49">
            <v>45519.981</v>
          </cell>
          <cell r="BT49">
            <v>46700.055</v>
          </cell>
          <cell r="BU49">
            <v>47878.336000000003</v>
          </cell>
          <cell r="BV49">
            <v>49051.534</v>
          </cell>
          <cell r="BW49">
            <v>50221.142</v>
          </cell>
          <cell r="BX49">
            <v>51392.565000000002</v>
          </cell>
        </row>
        <row r="50">
          <cell r="C50" t="str">
            <v>Madagascar</v>
          </cell>
          <cell r="E50">
            <v>450</v>
          </cell>
          <cell r="F50" t="str">
            <v>Country</v>
          </cell>
          <cell r="G50">
            <v>910</v>
          </cell>
          <cell r="H50">
            <v>4083.5540000000001</v>
          </cell>
          <cell r="I50">
            <v>4168.3860000000004</v>
          </cell>
          <cell r="J50">
            <v>4256.7700000000004</v>
          </cell>
          <cell r="K50">
            <v>4348.72</v>
          </cell>
          <cell r="L50">
            <v>4444.2879999999996</v>
          </cell>
          <cell r="M50">
            <v>4543.5420000000004</v>
          </cell>
          <cell r="N50">
            <v>4646.576</v>
          </cell>
          <cell r="O50">
            <v>4753.5230000000001</v>
          </cell>
          <cell r="P50">
            <v>4864.5240000000003</v>
          </cell>
          <cell r="Q50">
            <v>4979.7529999999997</v>
          </cell>
          <cell r="R50">
            <v>5099.3729999999996</v>
          </cell>
          <cell r="S50">
            <v>5223.5680000000002</v>
          </cell>
          <cell r="T50">
            <v>5352.5029999999997</v>
          </cell>
          <cell r="U50">
            <v>5486.3190000000004</v>
          </cell>
          <cell r="V50">
            <v>5625.1639999999998</v>
          </cell>
          <cell r="W50">
            <v>5769.2179999999998</v>
          </cell>
          <cell r="X50">
            <v>5918.5950000000003</v>
          </cell>
          <cell r="Y50">
            <v>6073.5259999999998</v>
          </cell>
          <cell r="Z50">
            <v>6234.4650000000001</v>
          </cell>
          <cell r="AA50">
            <v>6401.9210000000003</v>
          </cell>
          <cell r="AB50">
            <v>6576.3050000000003</v>
          </cell>
          <cell r="AC50">
            <v>6757.85</v>
          </cell>
          <cell r="AD50">
            <v>6946.62</v>
          </cell>
          <cell r="AE50">
            <v>7142.6270000000004</v>
          </cell>
          <cell r="AF50">
            <v>7345.78</v>
          </cell>
          <cell r="AG50">
            <v>7556.0259999999998</v>
          </cell>
          <cell r="AH50">
            <v>7773.4489999999996</v>
          </cell>
          <cell r="AI50">
            <v>7998.1639999999998</v>
          </cell>
          <cell r="AJ50">
            <v>8230.2180000000008</v>
          </cell>
          <cell r="AK50">
            <v>8469.6720000000005</v>
          </cell>
          <cell r="AL50">
            <v>8716.5529999999999</v>
          </cell>
          <cell r="AM50">
            <v>8971.3449999999993</v>
          </cell>
          <cell r="AN50">
            <v>9234.1290000000008</v>
          </cell>
          <cell r="AO50">
            <v>9504.2810000000009</v>
          </cell>
          <cell r="AP50">
            <v>9780.8719999999994</v>
          </cell>
          <cell r="AQ50">
            <v>10063.495000000001</v>
          </cell>
          <cell r="AR50">
            <v>10352.120000000001</v>
          </cell>
          <cell r="AS50">
            <v>10647.754000000001</v>
          </cell>
          <cell r="AT50">
            <v>10952.395</v>
          </cell>
          <cell r="AU50">
            <v>11268.657999999999</v>
          </cell>
          <cell r="AV50">
            <v>11598.633</v>
          </cell>
          <cell r="AW50">
            <v>11942.819</v>
          </cell>
          <cell r="AX50">
            <v>12301.335999999999</v>
          </cell>
          <cell r="AY50">
            <v>12675.46</v>
          </cell>
          <cell r="AZ50">
            <v>13066.543</v>
          </cell>
          <cell r="BA50">
            <v>13475.4</v>
          </cell>
          <cell r="BB50">
            <v>13902.688</v>
          </cell>
          <cell r="BC50">
            <v>14347.853999999999</v>
          </cell>
          <cell r="BD50">
            <v>14808.790999999999</v>
          </cell>
          <cell r="BE50">
            <v>15282.521000000001</v>
          </cell>
          <cell r="BF50">
            <v>15766.806</v>
          </cell>
          <cell r="BG50">
            <v>16260.932000000001</v>
          </cell>
          <cell r="BH50">
            <v>16765.116999999998</v>
          </cell>
          <cell r="BI50">
            <v>17279.141</v>
          </cell>
          <cell r="BJ50">
            <v>17802.996999999999</v>
          </cell>
          <cell r="BK50">
            <v>18336.723999999998</v>
          </cell>
          <cell r="BL50">
            <v>18880.269</v>
          </cell>
          <cell r="BM50">
            <v>19433.53</v>
          </cell>
          <cell r="BN50">
            <v>19996.473000000002</v>
          </cell>
          <cell r="BO50">
            <v>20569.116999999998</v>
          </cell>
          <cell r="BP50">
            <v>21151.64</v>
          </cell>
          <cell r="BQ50">
            <v>21743.967000000001</v>
          </cell>
          <cell r="BR50">
            <v>22346.645</v>
          </cell>
          <cell r="BS50">
            <v>22961.255000000001</v>
          </cell>
          <cell r="BT50">
            <v>23589.887999999999</v>
          </cell>
          <cell r="BU50">
            <v>24234.088</v>
          </cell>
          <cell r="BV50">
            <v>24894.37</v>
          </cell>
          <cell r="BW50">
            <v>25570.511999999999</v>
          </cell>
          <cell r="BX50">
            <v>26262.312999999998</v>
          </cell>
        </row>
        <row r="51">
          <cell r="C51" t="str">
            <v>Malawi</v>
          </cell>
          <cell r="E51">
            <v>454</v>
          </cell>
          <cell r="F51" t="str">
            <v>Country</v>
          </cell>
          <cell r="G51">
            <v>910</v>
          </cell>
          <cell r="H51">
            <v>2953.8710000000001</v>
          </cell>
          <cell r="I51">
            <v>3011.7869999999998</v>
          </cell>
          <cell r="J51">
            <v>3072.386</v>
          </cell>
          <cell r="K51">
            <v>3135.6840000000002</v>
          </cell>
          <cell r="L51">
            <v>3201.7159999999999</v>
          </cell>
          <cell r="M51">
            <v>3270.5479999999998</v>
          </cell>
          <cell r="N51">
            <v>3342.2460000000001</v>
          </cell>
          <cell r="O51">
            <v>3416.922</v>
          </cell>
          <cell r="P51">
            <v>3494.6819999999998</v>
          </cell>
          <cell r="Q51">
            <v>3575.6640000000002</v>
          </cell>
          <cell r="R51">
            <v>3659.9839999999999</v>
          </cell>
          <cell r="S51">
            <v>3747.7530000000002</v>
          </cell>
          <cell r="T51">
            <v>3839.0430000000001</v>
          </cell>
          <cell r="U51">
            <v>3933.9079999999999</v>
          </cell>
          <cell r="V51">
            <v>4032.3710000000001</v>
          </cell>
          <cell r="W51">
            <v>4134.46</v>
          </cell>
          <cell r="X51">
            <v>4240.4290000000001</v>
          </cell>
          <cell r="Y51">
            <v>4350.4520000000002</v>
          </cell>
          <cell r="Z51">
            <v>4464.4229999999998</v>
          </cell>
          <cell r="AA51">
            <v>4582.1980000000003</v>
          </cell>
          <cell r="AB51">
            <v>4703.7820000000002</v>
          </cell>
          <cell r="AC51">
            <v>4829.09</v>
          </cell>
          <cell r="AD51">
            <v>4958.549</v>
          </cell>
          <cell r="AE51">
            <v>5093.3630000000003</v>
          </cell>
          <cell r="AF51">
            <v>5235.0730000000003</v>
          </cell>
          <cell r="AG51">
            <v>5384.7950000000001</v>
          </cell>
          <cell r="AH51">
            <v>5545.6509999999998</v>
          </cell>
          <cell r="AI51">
            <v>5717.9530000000004</v>
          </cell>
          <cell r="AJ51">
            <v>5896.8649999999998</v>
          </cell>
          <cell r="AK51">
            <v>6075.4949999999999</v>
          </cell>
          <cell r="AL51">
            <v>6250.44</v>
          </cell>
          <cell r="AM51">
            <v>6412.384</v>
          </cell>
          <cell r="AN51">
            <v>6565.9849999999997</v>
          </cell>
          <cell r="AO51">
            <v>6737.924</v>
          </cell>
          <cell r="AP51">
            <v>6964.607</v>
          </cell>
          <cell r="AQ51">
            <v>7268.2669999999998</v>
          </cell>
          <cell r="AR51">
            <v>7666.3909999999996</v>
          </cell>
          <cell r="AS51">
            <v>8141.1459999999997</v>
          </cell>
          <cell r="AT51">
            <v>8636.69</v>
          </cell>
          <cell r="AU51">
            <v>9075.5720000000001</v>
          </cell>
          <cell r="AV51">
            <v>9404.5</v>
          </cell>
          <cell r="AW51">
            <v>9600.3549999999996</v>
          </cell>
          <cell r="AX51">
            <v>9685.973</v>
          </cell>
          <cell r="AY51">
            <v>9710.3310000000001</v>
          </cell>
          <cell r="AZ51">
            <v>9745.69</v>
          </cell>
          <cell r="BA51">
            <v>9844.4150000000009</v>
          </cell>
          <cell r="BB51">
            <v>10022.789000000001</v>
          </cell>
          <cell r="BC51">
            <v>10264.906000000001</v>
          </cell>
          <cell r="BD51">
            <v>10552.338</v>
          </cell>
          <cell r="BE51">
            <v>10854.322</v>
          </cell>
          <cell r="BF51">
            <v>11148.758</v>
          </cell>
          <cell r="BG51">
            <v>11432</v>
          </cell>
          <cell r="BH51">
            <v>11713.664000000001</v>
          </cell>
          <cell r="BI51">
            <v>12000.181</v>
          </cell>
          <cell r="BJ51">
            <v>12301.838</v>
          </cell>
          <cell r="BK51">
            <v>12625.951999999999</v>
          </cell>
          <cell r="BL51">
            <v>12973.699000000001</v>
          </cell>
          <cell r="BM51">
            <v>13341.806</v>
          </cell>
          <cell r="BN51">
            <v>13727.89</v>
          </cell>
          <cell r="BO51">
            <v>14128.155000000001</v>
          </cell>
          <cell r="BP51">
            <v>14539.611999999999</v>
          </cell>
          <cell r="BQ51">
            <v>14962.115</v>
          </cell>
          <cell r="BR51">
            <v>15396.014999999999</v>
          </cell>
          <cell r="BS51">
            <v>15839.286</v>
          </cell>
          <cell r="BT51">
            <v>16289.552</v>
          </cell>
          <cell r="BU51">
            <v>16745.303</v>
          </cell>
          <cell r="BV51">
            <v>17205.260999999999</v>
          </cell>
          <cell r="BW51">
            <v>17670.196</v>
          </cell>
          <cell r="BX51">
            <v>18143.217000000001</v>
          </cell>
        </row>
        <row r="52">
          <cell r="C52" t="str">
            <v>Mauritius</v>
          </cell>
          <cell r="D52">
            <v>1</v>
          </cell>
          <cell r="E52">
            <v>480</v>
          </cell>
          <cell r="F52" t="str">
            <v>Country</v>
          </cell>
          <cell r="G52">
            <v>910</v>
          </cell>
          <cell r="H52">
            <v>493.255</v>
          </cell>
          <cell r="I52">
            <v>506.43299999999999</v>
          </cell>
          <cell r="J52">
            <v>521.18799999999999</v>
          </cell>
          <cell r="K52">
            <v>537.04700000000003</v>
          </cell>
          <cell r="L52">
            <v>553.62599999999998</v>
          </cell>
          <cell r="M52">
            <v>570.64800000000002</v>
          </cell>
          <cell r="N52">
            <v>587.952</v>
          </cell>
          <cell r="O52">
            <v>605.48699999999997</v>
          </cell>
          <cell r="P52">
            <v>623.27599999999995</v>
          </cell>
          <cell r="Q52">
            <v>641.428</v>
          </cell>
          <cell r="R52">
            <v>660.02300000000002</v>
          </cell>
          <cell r="S52">
            <v>679.04499999999996</v>
          </cell>
          <cell r="T52">
            <v>698.303</v>
          </cell>
          <cell r="U52">
            <v>717.41499999999996</v>
          </cell>
          <cell r="V52">
            <v>735.86</v>
          </cell>
          <cell r="W52">
            <v>753.28499999999997</v>
          </cell>
          <cell r="X52">
            <v>769.553</v>
          </cell>
          <cell r="Y52">
            <v>784.78</v>
          </cell>
          <cell r="Z52">
            <v>799.13599999999997</v>
          </cell>
          <cell r="AA52">
            <v>812.94600000000003</v>
          </cell>
          <cell r="AB52">
            <v>826.44100000000003</v>
          </cell>
          <cell r="AC52">
            <v>839.59799999999996</v>
          </cell>
          <cell r="AD52">
            <v>852.4</v>
          </cell>
          <cell r="AE52">
            <v>865.16899999999998</v>
          </cell>
          <cell r="AF52">
            <v>878.35500000000002</v>
          </cell>
          <cell r="AG52">
            <v>892.21100000000001</v>
          </cell>
          <cell r="AH52">
            <v>906.92899999999997</v>
          </cell>
          <cell r="AI52">
            <v>922.32</v>
          </cell>
          <cell r="AJ52">
            <v>937.82100000000003</v>
          </cell>
          <cell r="AK52">
            <v>952.58799999999997</v>
          </cell>
          <cell r="AL52">
            <v>966.03099999999995</v>
          </cell>
          <cell r="AM52">
            <v>978.06899999999996</v>
          </cell>
          <cell r="AN52">
            <v>988.89200000000005</v>
          </cell>
          <cell r="AO52">
            <v>998.63099999999997</v>
          </cell>
          <cell r="AP52">
            <v>1007.501</v>
          </cell>
          <cell r="AQ52">
            <v>1015.7619999999999</v>
          </cell>
          <cell r="AR52">
            <v>1023.279</v>
          </cell>
          <cell r="AS52">
            <v>1030.1780000000001</v>
          </cell>
          <cell r="AT52">
            <v>1037.26</v>
          </cell>
          <cell r="AU52">
            <v>1045.5920000000001</v>
          </cell>
          <cell r="AV52">
            <v>1055.8679999999999</v>
          </cell>
          <cell r="AW52">
            <v>1068.4390000000001</v>
          </cell>
          <cell r="AX52">
            <v>1082.9559999999999</v>
          </cell>
          <cell r="AY52">
            <v>1098.5920000000001</v>
          </cell>
          <cell r="AZ52">
            <v>1114.1369999999999</v>
          </cell>
          <cell r="BA52">
            <v>1128.673</v>
          </cell>
          <cell r="BB52">
            <v>1141.9480000000001</v>
          </cell>
          <cell r="BC52">
            <v>1154.1400000000001</v>
          </cell>
          <cell r="BD52">
            <v>1165.2829999999999</v>
          </cell>
          <cell r="BE52">
            <v>1175.5740000000001</v>
          </cell>
          <cell r="BF52">
            <v>1185.145</v>
          </cell>
          <cell r="BG52">
            <v>1193.9169999999999</v>
          </cell>
          <cell r="BH52">
            <v>1201.8119999999999</v>
          </cell>
          <cell r="BI52">
            <v>1208.9939999999999</v>
          </cell>
          <cell r="BJ52">
            <v>1215.6769999999999</v>
          </cell>
          <cell r="BK52">
            <v>1222.0029999999999</v>
          </cell>
          <cell r="BL52">
            <v>1228.0889999999999</v>
          </cell>
          <cell r="BM52">
            <v>1233.8889999999999</v>
          </cell>
          <cell r="BN52">
            <v>1239.2619999999999</v>
          </cell>
          <cell r="BO52">
            <v>1243.991</v>
          </cell>
          <cell r="BP52">
            <v>1247.9549999999999</v>
          </cell>
          <cell r="BQ52">
            <v>1251.08</v>
          </cell>
          <cell r="BR52">
            <v>1253.4880000000001</v>
          </cell>
          <cell r="BS52">
            <v>1255.452</v>
          </cell>
          <cell r="BT52">
            <v>1257.355</v>
          </cell>
          <cell r="BU52">
            <v>1259.4559999999999</v>
          </cell>
          <cell r="BV52">
            <v>1261.865</v>
          </cell>
          <cell r="BW52">
            <v>1264.499</v>
          </cell>
          <cell r="BX52">
            <v>1267.1849999999999</v>
          </cell>
        </row>
        <row r="53">
          <cell r="C53" t="str">
            <v>Mayotte</v>
          </cell>
          <cell r="E53">
            <v>175</v>
          </cell>
          <cell r="F53" t="str">
            <v>Country</v>
          </cell>
          <cell r="G53">
            <v>910</v>
          </cell>
          <cell r="H53">
            <v>15.141</v>
          </cell>
          <cell r="I53">
            <v>15.728</v>
          </cell>
          <cell r="J53">
            <v>16.443000000000001</v>
          </cell>
          <cell r="K53">
            <v>17.248999999999999</v>
          </cell>
          <cell r="L53">
            <v>18.094000000000001</v>
          </cell>
          <cell r="M53">
            <v>18.984999999999999</v>
          </cell>
          <cell r="N53">
            <v>19.901</v>
          </cell>
          <cell r="O53">
            <v>20.84</v>
          </cell>
          <cell r="P53">
            <v>21.832000000000001</v>
          </cell>
          <cell r="Q53">
            <v>22.882000000000001</v>
          </cell>
          <cell r="R53">
            <v>24.015000000000001</v>
          </cell>
          <cell r="S53">
            <v>25.241</v>
          </cell>
          <cell r="T53">
            <v>26.535</v>
          </cell>
          <cell r="U53">
            <v>27.879000000000001</v>
          </cell>
          <cell r="V53">
            <v>29.219000000000001</v>
          </cell>
          <cell r="W53">
            <v>30.526</v>
          </cell>
          <cell r="X53">
            <v>31.783000000000001</v>
          </cell>
          <cell r="Y53">
            <v>33.01</v>
          </cell>
          <cell r="Z53">
            <v>34.250999999999998</v>
          </cell>
          <cell r="AA53">
            <v>35.554000000000002</v>
          </cell>
          <cell r="AB53">
            <v>36.969000000000001</v>
          </cell>
          <cell r="AC53">
            <v>38.512999999999998</v>
          </cell>
          <cell r="AD53">
            <v>40.195999999999998</v>
          </cell>
          <cell r="AE53">
            <v>41.954999999999998</v>
          </cell>
          <cell r="AF53">
            <v>43.734000000000002</v>
          </cell>
          <cell r="AG53">
            <v>45.482999999999997</v>
          </cell>
          <cell r="AH53">
            <v>47.186</v>
          </cell>
          <cell r="AI53">
            <v>48.892000000000003</v>
          </cell>
          <cell r="AJ53">
            <v>50.698</v>
          </cell>
          <cell r="AK53">
            <v>52.746000000000002</v>
          </cell>
          <cell r="AL53">
            <v>55.137</v>
          </cell>
          <cell r="AM53">
            <v>57.906999999999996</v>
          </cell>
          <cell r="AN53">
            <v>61.039000000000001</v>
          </cell>
          <cell r="AO53">
            <v>64.491</v>
          </cell>
          <cell r="AP53">
            <v>68.200999999999993</v>
          </cell>
          <cell r="AQ53">
            <v>72.103999999999999</v>
          </cell>
          <cell r="AR53">
            <v>76.183999999999997</v>
          </cell>
          <cell r="AS53">
            <v>80.447999999999993</v>
          </cell>
          <cell r="AT53">
            <v>84.945999999999998</v>
          </cell>
          <cell r="AU53">
            <v>89.706999999999994</v>
          </cell>
          <cell r="AV53">
            <v>94.784000000000006</v>
          </cell>
          <cell r="AW53">
            <v>100.166</v>
          </cell>
          <cell r="AX53">
            <v>105.827</v>
          </cell>
          <cell r="AY53">
            <v>111.643</v>
          </cell>
          <cell r="AZ53">
            <v>117.462</v>
          </cell>
          <cell r="BA53">
            <v>123.181</v>
          </cell>
          <cell r="BB53">
            <v>128.75800000000001</v>
          </cell>
          <cell r="BC53">
            <v>134.21600000000001</v>
          </cell>
          <cell r="BD53">
            <v>139.57900000000001</v>
          </cell>
          <cell r="BE53">
            <v>144.94</v>
          </cell>
          <cell r="BF53">
            <v>150.33099999999999</v>
          </cell>
          <cell r="BG53">
            <v>155.75399999999999</v>
          </cell>
          <cell r="BH53">
            <v>161.20500000000001</v>
          </cell>
          <cell r="BI53">
            <v>166.721</v>
          </cell>
          <cell r="BJ53">
            <v>172.339</v>
          </cell>
          <cell r="BK53">
            <v>178.09800000000001</v>
          </cell>
          <cell r="BL53">
            <v>184.03100000000001</v>
          </cell>
          <cell r="BM53">
            <v>190.096</v>
          </cell>
          <cell r="BN53">
            <v>196.274</v>
          </cell>
          <cell r="BO53">
            <v>202.499</v>
          </cell>
          <cell r="BP53">
            <v>208.71799999999999</v>
          </cell>
          <cell r="BQ53">
            <v>214.928</v>
          </cell>
          <cell r="BR53">
            <v>221.142</v>
          </cell>
          <cell r="BS53">
            <v>227.37799999999999</v>
          </cell>
          <cell r="BT53">
            <v>233.654</v>
          </cell>
          <cell r="BU53">
            <v>240.02</v>
          </cell>
          <cell r="BV53">
            <v>246.45</v>
          </cell>
          <cell r="BW53">
            <v>252.95699999999999</v>
          </cell>
          <cell r="BX53">
            <v>259.53100000000001</v>
          </cell>
        </row>
        <row r="54">
          <cell r="C54" t="str">
            <v>Mozambique</v>
          </cell>
          <cell r="E54">
            <v>508</v>
          </cell>
          <cell r="F54" t="str">
            <v>Country</v>
          </cell>
          <cell r="G54">
            <v>910</v>
          </cell>
          <cell r="H54">
            <v>5958.97</v>
          </cell>
          <cell r="I54">
            <v>6059.4390000000003</v>
          </cell>
          <cell r="J54">
            <v>6165.0479999999998</v>
          </cell>
          <cell r="K54">
            <v>6275.2330000000002</v>
          </cell>
          <cell r="L54">
            <v>6389.6819999999998</v>
          </cell>
          <cell r="M54">
            <v>6508.3980000000001</v>
          </cell>
          <cell r="N54">
            <v>6631.6809999999996</v>
          </cell>
          <cell r="O54">
            <v>6760.1009999999997</v>
          </cell>
          <cell r="P54">
            <v>6894.4939999999997</v>
          </cell>
          <cell r="Q54">
            <v>7035.8019999999997</v>
          </cell>
          <cell r="R54">
            <v>7184.8689999999997</v>
          </cell>
          <cell r="S54">
            <v>7342.1109999999999</v>
          </cell>
          <cell r="T54">
            <v>7507.3029999999999</v>
          </cell>
          <cell r="U54">
            <v>7679.4579999999996</v>
          </cell>
          <cell r="V54">
            <v>7857.1040000000003</v>
          </cell>
          <cell r="W54">
            <v>8039.2150000000001</v>
          </cell>
          <cell r="X54">
            <v>8225.9210000000003</v>
          </cell>
          <cell r="Y54">
            <v>8417.7019999999993</v>
          </cell>
          <cell r="Z54">
            <v>8614.4470000000001</v>
          </cell>
          <cell r="AA54">
            <v>8816.0570000000007</v>
          </cell>
          <cell r="AB54">
            <v>9022.741</v>
          </cell>
          <cell r="AC54">
            <v>9232.6550000000007</v>
          </cell>
          <cell r="AD54">
            <v>9446.24</v>
          </cell>
          <cell r="AE54">
            <v>9668.6569999999992</v>
          </cell>
          <cell r="AF54">
            <v>9906.9650000000001</v>
          </cell>
          <cell r="AG54">
            <v>10165.215</v>
          </cell>
          <cell r="AH54">
            <v>10443.953</v>
          </cell>
          <cell r="AI54">
            <v>10738.532999999999</v>
          </cell>
          <cell r="AJ54">
            <v>11041.204</v>
          </cell>
          <cell r="AK54">
            <v>11341.402</v>
          </cell>
          <cell r="AL54">
            <v>11630.194</v>
          </cell>
          <cell r="AM54">
            <v>11913.088</v>
          </cell>
          <cell r="AN54">
            <v>12189.824000000001</v>
          </cell>
          <cell r="AO54">
            <v>12439.762000000001</v>
          </cell>
          <cell r="AP54">
            <v>12636.116</v>
          </cell>
          <cell r="AQ54">
            <v>12764.387000000001</v>
          </cell>
          <cell r="AR54">
            <v>12808.558000000001</v>
          </cell>
          <cell r="AS54">
            <v>12786.349</v>
          </cell>
          <cell r="AT54">
            <v>12758.008</v>
          </cell>
          <cell r="AU54">
            <v>12805.946</v>
          </cell>
          <cell r="AV54">
            <v>12987.291999999999</v>
          </cell>
          <cell r="AW54">
            <v>13328.031999999999</v>
          </cell>
          <cell r="AX54">
            <v>13806.001</v>
          </cell>
          <cell r="AY54">
            <v>14370.946</v>
          </cell>
          <cell r="AZ54">
            <v>14948.048000000001</v>
          </cell>
          <cell r="BA54">
            <v>15483.286</v>
          </cell>
          <cell r="BB54">
            <v>15960.441999999999</v>
          </cell>
          <cell r="BC54">
            <v>16397.183000000001</v>
          </cell>
          <cell r="BD54">
            <v>16813.949000000001</v>
          </cell>
          <cell r="BE54">
            <v>17244.187999999998</v>
          </cell>
          <cell r="BF54">
            <v>17711.927</v>
          </cell>
          <cell r="BG54">
            <v>18221.887999999999</v>
          </cell>
          <cell r="BH54">
            <v>18764.154999999999</v>
          </cell>
          <cell r="BI54">
            <v>19331.099999999999</v>
          </cell>
          <cell r="BJ54">
            <v>19910.552</v>
          </cell>
          <cell r="BK54">
            <v>20493.924999999999</v>
          </cell>
          <cell r="BL54">
            <v>21080.11</v>
          </cell>
          <cell r="BM54">
            <v>21673.315999999999</v>
          </cell>
          <cell r="BN54">
            <v>22276.596000000001</v>
          </cell>
          <cell r="BO54">
            <v>22894.71</v>
          </cell>
          <cell r="BP54">
            <v>23531.574000000001</v>
          </cell>
          <cell r="BQ54">
            <v>24187.493999999999</v>
          </cell>
          <cell r="BR54">
            <v>24862.664000000001</v>
          </cell>
          <cell r="BS54">
            <v>25560.755000000001</v>
          </cell>
          <cell r="BT54">
            <v>26286.190999999999</v>
          </cell>
          <cell r="BU54">
            <v>27042.002</v>
          </cell>
          <cell r="BV54">
            <v>27829.937999999998</v>
          </cell>
          <cell r="BW54">
            <v>28649.018</v>
          </cell>
          <cell r="BX54">
            <v>29496.004000000001</v>
          </cell>
        </row>
        <row r="55">
          <cell r="C55" t="str">
            <v>Réunion</v>
          </cell>
          <cell r="E55">
            <v>638</v>
          </cell>
          <cell r="F55" t="str">
            <v>Country</v>
          </cell>
          <cell r="G55">
            <v>910</v>
          </cell>
          <cell r="H55">
            <v>248.11</v>
          </cell>
          <cell r="I55">
            <v>259.29500000000002</v>
          </cell>
          <cell r="J55">
            <v>268.48599999999999</v>
          </cell>
          <cell r="K55">
            <v>276.52600000000001</v>
          </cell>
          <cell r="L55">
            <v>284.08</v>
          </cell>
          <cell r="M55">
            <v>291.65800000000002</v>
          </cell>
          <cell r="N55">
            <v>299.57100000000003</v>
          </cell>
          <cell r="O55">
            <v>307.97899999999998</v>
          </cell>
          <cell r="P55">
            <v>316.87900000000002</v>
          </cell>
          <cell r="Q55">
            <v>326.16699999999997</v>
          </cell>
          <cell r="R55">
            <v>335.69299999999998</v>
          </cell>
          <cell r="S55">
            <v>345.40499999999997</v>
          </cell>
          <cell r="T55">
            <v>355.42899999999997</v>
          </cell>
          <cell r="U55">
            <v>366.07799999999997</v>
          </cell>
          <cell r="V55">
            <v>377.791</v>
          </cell>
          <cell r="W55">
            <v>390.77499999999998</v>
          </cell>
          <cell r="X55">
            <v>405.29</v>
          </cell>
          <cell r="Y55">
            <v>420.988</v>
          </cell>
          <cell r="Z55">
            <v>436.69</v>
          </cell>
          <cell r="AA55">
            <v>450.74</v>
          </cell>
          <cell r="AB55">
            <v>462.02499999999998</v>
          </cell>
          <cell r="AC55">
            <v>470.11900000000003</v>
          </cell>
          <cell r="AD55">
            <v>475.47300000000001</v>
          </cell>
          <cell r="AE55">
            <v>478.91</v>
          </cell>
          <cell r="AF55">
            <v>481.68900000000002</v>
          </cell>
          <cell r="AG55">
            <v>484.77699999999999</v>
          </cell>
          <cell r="AH55">
            <v>488.34899999999999</v>
          </cell>
          <cell r="AI55">
            <v>492.286</v>
          </cell>
          <cell r="AJ55">
            <v>496.911</v>
          </cell>
          <cell r="AK55">
            <v>502.5</v>
          </cell>
          <cell r="AL55">
            <v>509.26499999999999</v>
          </cell>
          <cell r="AM55">
            <v>517.41300000000001</v>
          </cell>
          <cell r="AN55">
            <v>526.94899999999996</v>
          </cell>
          <cell r="AO55">
            <v>537.4</v>
          </cell>
          <cell r="AP55">
            <v>548.14099999999996</v>
          </cell>
          <cell r="AQ55">
            <v>558.69899999999996</v>
          </cell>
          <cell r="AR55">
            <v>568.91700000000003</v>
          </cell>
          <cell r="AS55">
            <v>578.93799999999999</v>
          </cell>
          <cell r="AT55">
            <v>588.98599999999999</v>
          </cell>
          <cell r="AU55">
            <v>599.45399999999995</v>
          </cell>
          <cell r="AV55">
            <v>610.58199999999999</v>
          </cell>
          <cell r="AW55">
            <v>622.41800000000001</v>
          </cell>
          <cell r="AX55">
            <v>634.79300000000001</v>
          </cell>
          <cell r="AY55">
            <v>647.58799999999997</v>
          </cell>
          <cell r="AZ55">
            <v>660.56299999999999</v>
          </cell>
          <cell r="BA55">
            <v>673.54100000000005</v>
          </cell>
          <cell r="BB55">
            <v>686.46299999999997</v>
          </cell>
          <cell r="BC55">
            <v>699.29899999999998</v>
          </cell>
          <cell r="BD55">
            <v>711.99199999999996</v>
          </cell>
          <cell r="BE55">
            <v>724.48400000000004</v>
          </cell>
          <cell r="BF55">
            <v>736.71</v>
          </cell>
          <cell r="BG55">
            <v>748.65800000000002</v>
          </cell>
          <cell r="BH55">
            <v>760.25800000000004</v>
          </cell>
          <cell r="BI55">
            <v>771.38400000000001</v>
          </cell>
          <cell r="BJ55">
            <v>781.86400000000003</v>
          </cell>
          <cell r="BK55">
            <v>791.59799999999996</v>
          </cell>
          <cell r="BL55">
            <v>800.54</v>
          </cell>
          <cell r="BM55">
            <v>808.73</v>
          </cell>
          <cell r="BN55">
            <v>816.31799999999998</v>
          </cell>
          <cell r="BO55">
            <v>823.52200000000005</v>
          </cell>
          <cell r="BP55">
            <v>830.51900000000001</v>
          </cell>
          <cell r="BQ55">
            <v>837.33500000000004</v>
          </cell>
          <cell r="BR55">
            <v>843.98400000000004</v>
          </cell>
          <cell r="BS55">
            <v>850.51400000000001</v>
          </cell>
          <cell r="BT55">
            <v>856.96100000000001</v>
          </cell>
          <cell r="BU55">
            <v>863.36300000000006</v>
          </cell>
          <cell r="BV55">
            <v>869.74300000000005</v>
          </cell>
          <cell r="BW55">
            <v>876.13400000000001</v>
          </cell>
          <cell r="BX55">
            <v>882.52599999999995</v>
          </cell>
        </row>
        <row r="56">
          <cell r="C56" t="str">
            <v>Rwanda</v>
          </cell>
          <cell r="E56">
            <v>646</v>
          </cell>
          <cell r="F56" t="str">
            <v>Country</v>
          </cell>
          <cell r="G56">
            <v>910</v>
          </cell>
          <cell r="H56">
            <v>2186.1849999999999</v>
          </cell>
          <cell r="I56">
            <v>2251.13</v>
          </cell>
          <cell r="J56">
            <v>2314.1860000000001</v>
          </cell>
          <cell r="K56">
            <v>2379.692</v>
          </cell>
          <cell r="L56">
            <v>2450.3580000000002</v>
          </cell>
          <cell r="M56">
            <v>2527.2939999999999</v>
          </cell>
          <cell r="N56">
            <v>2609.8620000000001</v>
          </cell>
          <cell r="O56">
            <v>2695.828</v>
          </cell>
          <cell r="P56">
            <v>2781.6120000000001</v>
          </cell>
          <cell r="Q56">
            <v>2862.7919999999999</v>
          </cell>
          <cell r="R56">
            <v>2935.5819999999999</v>
          </cell>
          <cell r="S56">
            <v>2998.3249999999998</v>
          </cell>
          <cell r="T56">
            <v>3052.9360000000001</v>
          </cell>
          <cell r="U56">
            <v>3105.4189999999999</v>
          </cell>
          <cell r="V56">
            <v>3164.2629999999999</v>
          </cell>
          <cell r="W56">
            <v>3235.5309999999999</v>
          </cell>
          <cell r="X56">
            <v>3321.6790000000001</v>
          </cell>
          <cell r="Y56">
            <v>3420.895</v>
          </cell>
          <cell r="Z56">
            <v>3529.8429999999998</v>
          </cell>
          <cell r="AA56">
            <v>3643.2370000000001</v>
          </cell>
          <cell r="AB56">
            <v>3757.3580000000002</v>
          </cell>
          <cell r="AC56">
            <v>3871.4389999999999</v>
          </cell>
          <cell r="AD56">
            <v>3987.2240000000002</v>
          </cell>
          <cell r="AE56">
            <v>4106.4070000000002</v>
          </cell>
          <cell r="AF56">
            <v>4231.5780000000004</v>
          </cell>
          <cell r="AG56">
            <v>4364.7060000000001</v>
          </cell>
          <cell r="AH56">
            <v>4506.1090000000004</v>
          </cell>
          <cell r="AI56">
            <v>4655.3829999999998</v>
          </cell>
          <cell r="AJ56">
            <v>4812.8720000000003</v>
          </cell>
          <cell r="AK56">
            <v>4978.817</v>
          </cell>
          <cell r="AL56">
            <v>5153.3119999999999</v>
          </cell>
          <cell r="AM56">
            <v>5329.2520000000004</v>
          </cell>
          <cell r="AN56">
            <v>5504.8419999999996</v>
          </cell>
          <cell r="AO56">
            <v>5690.98</v>
          </cell>
          <cell r="AP56">
            <v>5902.8429999999998</v>
          </cell>
          <cell r="AQ56">
            <v>6146.8909999999996</v>
          </cell>
          <cell r="AR56">
            <v>6443.7510000000002</v>
          </cell>
          <cell r="AS56">
            <v>6779.9830000000002</v>
          </cell>
          <cell r="AT56">
            <v>7088.1909999999998</v>
          </cell>
          <cell r="AU56">
            <v>7276.9849999999997</v>
          </cell>
          <cell r="AV56">
            <v>7288.8819999999996</v>
          </cell>
          <cell r="AW56">
            <v>7083.9350000000004</v>
          </cell>
          <cell r="AX56">
            <v>6702.2439999999997</v>
          </cell>
          <cell r="AY56">
            <v>6263.7569999999996</v>
          </cell>
          <cell r="AZ56">
            <v>5936.2610000000004</v>
          </cell>
          <cell r="BA56">
            <v>5836.4949999999999</v>
          </cell>
          <cell r="BB56">
            <v>6013.107</v>
          </cell>
          <cell r="BC56">
            <v>6419.9009999999998</v>
          </cell>
          <cell r="BD56">
            <v>6962.8019999999997</v>
          </cell>
          <cell r="BE56">
            <v>7501.2340000000004</v>
          </cell>
          <cell r="BF56">
            <v>7933.6809999999996</v>
          </cell>
          <cell r="BG56">
            <v>8231.1560000000009</v>
          </cell>
          <cell r="BH56">
            <v>8427.06</v>
          </cell>
          <cell r="BI56">
            <v>8557.1610000000001</v>
          </cell>
          <cell r="BJ56">
            <v>8680.5239999999994</v>
          </cell>
          <cell r="BK56">
            <v>8840.2150000000001</v>
          </cell>
          <cell r="BL56">
            <v>9043.3369999999995</v>
          </cell>
          <cell r="BM56">
            <v>9273.7569999999996</v>
          </cell>
          <cell r="BN56">
            <v>9524.5339999999997</v>
          </cell>
          <cell r="BO56">
            <v>9782.77</v>
          </cell>
          <cell r="BP56">
            <v>10039.338</v>
          </cell>
          <cell r="BQ56">
            <v>10293.331</v>
          </cell>
          <cell r="BR56">
            <v>10549.673000000001</v>
          </cell>
          <cell r="BS56">
            <v>10811.538</v>
          </cell>
          <cell r="BT56">
            <v>11083.63</v>
          </cell>
          <cell r="BU56">
            <v>11369.071</v>
          </cell>
          <cell r="BV56">
            <v>11668.826999999999</v>
          </cell>
          <cell r="BW56">
            <v>11980.960999999999</v>
          </cell>
          <cell r="BX56">
            <v>12301.97</v>
          </cell>
        </row>
        <row r="57">
          <cell r="C57" t="str">
            <v>Seychelles</v>
          </cell>
          <cell r="E57">
            <v>690</v>
          </cell>
          <cell r="F57" t="str">
            <v>Country</v>
          </cell>
          <cell r="G57">
            <v>910</v>
          </cell>
          <cell r="H57">
            <v>36.325000000000003</v>
          </cell>
          <cell r="I57">
            <v>36.901000000000003</v>
          </cell>
          <cell r="J57">
            <v>37.468000000000004</v>
          </cell>
          <cell r="K57">
            <v>38.005000000000003</v>
          </cell>
          <cell r="L57">
            <v>38.503999999999998</v>
          </cell>
          <cell r="M57">
            <v>38.954999999999998</v>
          </cell>
          <cell r="N57">
            <v>39.396999999999998</v>
          </cell>
          <cell r="O57">
            <v>39.838000000000001</v>
          </cell>
          <cell r="P57">
            <v>40.326999999999998</v>
          </cell>
          <cell r="Q57">
            <v>40.902999999999999</v>
          </cell>
          <cell r="R57">
            <v>41.603000000000002</v>
          </cell>
          <cell r="S57">
            <v>42.462000000000003</v>
          </cell>
          <cell r="T57">
            <v>43.457000000000001</v>
          </cell>
          <cell r="U57">
            <v>44.551000000000002</v>
          </cell>
          <cell r="V57">
            <v>45.677999999999997</v>
          </cell>
          <cell r="W57">
            <v>46.781999999999996</v>
          </cell>
          <cell r="X57">
            <v>47.865000000000002</v>
          </cell>
          <cell r="Y57">
            <v>48.920999999999999</v>
          </cell>
          <cell r="Z57">
            <v>49.994</v>
          </cell>
          <cell r="AA57">
            <v>51.131</v>
          </cell>
          <cell r="AB57">
            <v>52.368000000000002</v>
          </cell>
          <cell r="AC57">
            <v>53.71</v>
          </cell>
          <cell r="AD57">
            <v>55.127000000000002</v>
          </cell>
          <cell r="AE57">
            <v>56.606000000000002</v>
          </cell>
          <cell r="AF57">
            <v>58.1</v>
          </cell>
          <cell r="AG57">
            <v>59.585000000000001</v>
          </cell>
          <cell r="AH57">
            <v>61.042999999999999</v>
          </cell>
          <cell r="AI57">
            <v>62.476999999999997</v>
          </cell>
          <cell r="AJ57">
            <v>63.847999999999999</v>
          </cell>
          <cell r="AK57">
            <v>65.111000000000004</v>
          </cell>
          <cell r="AL57">
            <v>66.244</v>
          </cell>
          <cell r="AM57">
            <v>67.247</v>
          </cell>
          <cell r="AN57">
            <v>68.122</v>
          </cell>
          <cell r="AO57">
            <v>68.843999999999994</v>
          </cell>
          <cell r="AP57">
            <v>69.396000000000001</v>
          </cell>
          <cell r="AQ57">
            <v>69.775000000000006</v>
          </cell>
          <cell r="AR57">
            <v>69.938999999999993</v>
          </cell>
          <cell r="AS57">
            <v>69.945999999999998</v>
          </cell>
          <cell r="AT57">
            <v>69.932000000000002</v>
          </cell>
          <cell r="AU57">
            <v>70.088999999999999</v>
          </cell>
          <cell r="AV57">
            <v>70.569999999999993</v>
          </cell>
          <cell r="AW57">
            <v>71.436000000000007</v>
          </cell>
          <cell r="AX57">
            <v>72.655000000000001</v>
          </cell>
          <cell r="AY57">
            <v>74.064999999999998</v>
          </cell>
          <cell r="AZ57">
            <v>75.44</v>
          </cell>
          <cell r="BA57">
            <v>76.649000000000001</v>
          </cell>
          <cell r="BB57">
            <v>77.593999999999994</v>
          </cell>
          <cell r="BC57">
            <v>78.355000000000004</v>
          </cell>
          <cell r="BD57">
            <v>79.063999999999993</v>
          </cell>
          <cell r="BE57">
            <v>79.897000000000006</v>
          </cell>
          <cell r="BF57">
            <v>80.995999999999995</v>
          </cell>
          <cell r="BG57">
            <v>82.414000000000001</v>
          </cell>
          <cell r="BH57">
            <v>84.076999999999998</v>
          </cell>
          <cell r="BI57">
            <v>85.81</v>
          </cell>
          <cell r="BJ57">
            <v>87.393000000000001</v>
          </cell>
          <cell r="BK57">
            <v>88.647999999999996</v>
          </cell>
          <cell r="BL57">
            <v>89.525999999999996</v>
          </cell>
          <cell r="BM57">
            <v>90.087999999999994</v>
          </cell>
          <cell r="BN57">
            <v>90.448999999999998</v>
          </cell>
          <cell r="BO57">
            <v>90.802000000000007</v>
          </cell>
          <cell r="BP57">
            <v>91.263999999999996</v>
          </cell>
          <cell r="BQ57">
            <v>91.882999999999996</v>
          </cell>
          <cell r="BR57">
            <v>92.602999999999994</v>
          </cell>
          <cell r="BS57">
            <v>93.394999999999996</v>
          </cell>
          <cell r="BT57">
            <v>94.215000000000003</v>
          </cell>
          <cell r="BU57">
            <v>94.977999999999994</v>
          </cell>
          <cell r="BV57">
            <v>95.71</v>
          </cell>
          <cell r="BW57">
            <v>96.418000000000006</v>
          </cell>
          <cell r="BX57">
            <v>97.096000000000004</v>
          </cell>
        </row>
        <row r="58">
          <cell r="C58" t="str">
            <v>Somalia</v>
          </cell>
          <cell r="E58">
            <v>706</v>
          </cell>
          <cell r="F58" t="str">
            <v>Country</v>
          </cell>
          <cell r="G58">
            <v>910</v>
          </cell>
          <cell r="H58">
            <v>2264.0819999999999</v>
          </cell>
          <cell r="I58">
            <v>2307.6819999999998</v>
          </cell>
          <cell r="J58">
            <v>2351.9470000000001</v>
          </cell>
          <cell r="K58">
            <v>2397.183</v>
          </cell>
          <cell r="L58">
            <v>2443.6509999999998</v>
          </cell>
          <cell r="M58">
            <v>2491.5419999999999</v>
          </cell>
          <cell r="N58">
            <v>2541.0160000000001</v>
          </cell>
          <cell r="O58">
            <v>2592.1590000000001</v>
          </cell>
          <cell r="P58">
            <v>2645.0250000000001</v>
          </cell>
          <cell r="Q58">
            <v>2699.6170000000002</v>
          </cell>
          <cell r="R58">
            <v>2755.9720000000002</v>
          </cell>
          <cell r="S58">
            <v>2814.1179999999999</v>
          </cell>
          <cell r="T58">
            <v>2874.2179999999998</v>
          </cell>
          <cell r="U58">
            <v>2936.4769999999999</v>
          </cell>
          <cell r="V58">
            <v>3001.1579999999999</v>
          </cell>
          <cell r="W58">
            <v>3068.4589999999998</v>
          </cell>
          <cell r="X58">
            <v>3143.6480000000001</v>
          </cell>
          <cell r="Y58">
            <v>3227.8409999999999</v>
          </cell>
          <cell r="Z58">
            <v>3312.7420000000002</v>
          </cell>
          <cell r="AA58">
            <v>3386.7379999999998</v>
          </cell>
          <cell r="AB58">
            <v>3444.5680000000002</v>
          </cell>
          <cell r="AC58">
            <v>3472.3670000000002</v>
          </cell>
          <cell r="AD58">
            <v>3479.79</v>
          </cell>
          <cell r="AE58">
            <v>3512.623</v>
          </cell>
          <cell r="AF58">
            <v>3632.99</v>
          </cell>
          <cell r="AG58">
            <v>3880.2919999999999</v>
          </cell>
          <cell r="AH58">
            <v>4278.973</v>
          </cell>
          <cell r="AI58">
            <v>4802.1409999999996</v>
          </cell>
          <cell r="AJ58">
            <v>5375.0169999999998</v>
          </cell>
          <cell r="AK58">
            <v>5892.7550000000001</v>
          </cell>
          <cell r="AL58">
            <v>6281.134</v>
          </cell>
          <cell r="AM58">
            <v>6511.1130000000003</v>
          </cell>
          <cell r="AN58">
            <v>6608.0439999999999</v>
          </cell>
          <cell r="AO58">
            <v>6618.5879999999997</v>
          </cell>
          <cell r="AP58">
            <v>6614.7150000000001</v>
          </cell>
          <cell r="AQ58">
            <v>6648.6270000000004</v>
          </cell>
          <cell r="AR58">
            <v>6736.7479999999996</v>
          </cell>
          <cell r="AS58">
            <v>6862.2730000000001</v>
          </cell>
          <cell r="AT58">
            <v>7005.2340000000004</v>
          </cell>
          <cell r="AU58">
            <v>7133.2579999999998</v>
          </cell>
          <cell r="AV58">
            <v>7225.0919999999996</v>
          </cell>
          <cell r="AW58">
            <v>7274.03</v>
          </cell>
          <cell r="AX58">
            <v>7295.384</v>
          </cell>
          <cell r="AY58">
            <v>7315.8649999999998</v>
          </cell>
          <cell r="AZ58">
            <v>7372.598</v>
          </cell>
          <cell r="BA58">
            <v>7491.6369999999997</v>
          </cell>
          <cell r="BB58">
            <v>7682.6859999999997</v>
          </cell>
          <cell r="BC58">
            <v>7936.1270000000004</v>
          </cell>
          <cell r="BD58">
            <v>8235.0640000000003</v>
          </cell>
          <cell r="BE58">
            <v>8553.6010000000006</v>
          </cell>
          <cell r="BF58">
            <v>8872.2540000000008</v>
          </cell>
          <cell r="BG58">
            <v>9186.7250000000004</v>
          </cell>
          <cell r="BH58">
            <v>9501.3420000000006</v>
          </cell>
          <cell r="BI58">
            <v>9815.4120000000003</v>
          </cell>
          <cell r="BJ58">
            <v>10130.243</v>
          </cell>
          <cell r="BK58">
            <v>10446.862999999999</v>
          </cell>
          <cell r="BL58">
            <v>10763.905000000001</v>
          </cell>
          <cell r="BM58">
            <v>11080.120999999999</v>
          </cell>
          <cell r="BN58">
            <v>11397.188</v>
          </cell>
          <cell r="BO58">
            <v>11717.691999999999</v>
          </cell>
          <cell r="BP58">
            <v>12043.883</v>
          </cell>
          <cell r="BQ58">
            <v>12376.300999999999</v>
          </cell>
          <cell r="BR58">
            <v>12715.503000000001</v>
          </cell>
          <cell r="BS58">
            <v>13063.700999999999</v>
          </cell>
          <cell r="BT58">
            <v>13423.567999999999</v>
          </cell>
          <cell r="BU58">
            <v>13797.200999999999</v>
          </cell>
          <cell r="BV58">
            <v>14185.636</v>
          </cell>
          <cell r="BW58">
            <v>14589.179</v>
          </cell>
          <cell r="BX58">
            <v>15008.226000000001</v>
          </cell>
        </row>
        <row r="59">
          <cell r="C59" t="str">
            <v>South Sudan</v>
          </cell>
          <cell r="E59">
            <v>728</v>
          </cell>
          <cell r="F59" t="str">
            <v>Country</v>
          </cell>
          <cell r="G59">
            <v>910</v>
          </cell>
          <cell r="H59">
            <v>2482.3009999999999</v>
          </cell>
          <cell r="I59">
            <v>2501.578</v>
          </cell>
          <cell r="J59">
            <v>2525.2089999999998</v>
          </cell>
          <cell r="K59">
            <v>2552.9369999999999</v>
          </cell>
          <cell r="L59">
            <v>2584.5120000000002</v>
          </cell>
          <cell r="M59">
            <v>2619.712</v>
          </cell>
          <cell r="N59">
            <v>2658.3020000000001</v>
          </cell>
          <cell r="O59">
            <v>2700.0749999999998</v>
          </cell>
          <cell r="P59">
            <v>2744.8389999999999</v>
          </cell>
          <cell r="Q59">
            <v>2792.4430000000002</v>
          </cell>
          <cell r="R59">
            <v>2842.7240000000002</v>
          </cell>
          <cell r="S59">
            <v>2895.605</v>
          </cell>
          <cell r="T59">
            <v>2951.0430000000001</v>
          </cell>
          <cell r="U59">
            <v>3009.0619999999999</v>
          </cell>
          <cell r="V59">
            <v>3069.739</v>
          </cell>
          <cell r="W59">
            <v>3133.15</v>
          </cell>
          <cell r="X59">
            <v>3199.3429999999998</v>
          </cell>
          <cell r="Y59">
            <v>3268.4050000000002</v>
          </cell>
          <cell r="Z59">
            <v>3340.422</v>
          </cell>
          <cell r="AA59">
            <v>3415.576</v>
          </cell>
          <cell r="AB59">
            <v>3494.0039999999999</v>
          </cell>
          <cell r="AC59">
            <v>3575.9</v>
          </cell>
          <cell r="AD59">
            <v>3661.44</v>
          </cell>
          <cell r="AE59">
            <v>3750.7820000000002</v>
          </cell>
          <cell r="AF59">
            <v>3844.1039999999998</v>
          </cell>
          <cell r="AG59">
            <v>3941.6179999999999</v>
          </cell>
          <cell r="AH59">
            <v>4041.7910000000002</v>
          </cell>
          <cell r="AI59">
            <v>4144.5540000000001</v>
          </cell>
          <cell r="AJ59">
            <v>4253.0829999999996</v>
          </cell>
          <cell r="AK59">
            <v>4371.7139999999999</v>
          </cell>
          <cell r="AL59">
            <v>4502.6040000000003</v>
          </cell>
          <cell r="AM59">
            <v>4646.4889999999996</v>
          </cell>
          <cell r="AN59">
            <v>4799.4340000000002</v>
          </cell>
          <cell r="AO59">
            <v>4953.1509999999998</v>
          </cell>
          <cell r="AP59">
            <v>5096.482</v>
          </cell>
          <cell r="AQ59">
            <v>5220.7470000000003</v>
          </cell>
          <cell r="AR59">
            <v>5328.1639999999998</v>
          </cell>
          <cell r="AS59">
            <v>5419.8090000000002</v>
          </cell>
          <cell r="AT59">
            <v>5485.2820000000002</v>
          </cell>
          <cell r="AU59">
            <v>5511.5789999999997</v>
          </cell>
          <cell r="AV59">
            <v>5492.6229999999996</v>
          </cell>
          <cell r="AW59">
            <v>5420.1710000000003</v>
          </cell>
          <cell r="AX59">
            <v>5305.4570000000003</v>
          </cell>
          <cell r="AY59">
            <v>5185.6989999999996</v>
          </cell>
          <cell r="AZ59">
            <v>5111.3649999999998</v>
          </cell>
          <cell r="BA59">
            <v>5118.0829999999996</v>
          </cell>
          <cell r="BB59">
            <v>5221.9260000000004</v>
          </cell>
          <cell r="BC59">
            <v>5411.6549999999997</v>
          </cell>
          <cell r="BD59">
            <v>5661.942</v>
          </cell>
          <cell r="BE59">
            <v>5933.8819999999996</v>
          </cell>
          <cell r="BF59">
            <v>6199.3940000000002</v>
          </cell>
          <cell r="BG59">
            <v>6447.7929999999997</v>
          </cell>
          <cell r="BH59">
            <v>6688.2259999999997</v>
          </cell>
          <cell r="BI59">
            <v>6935.6760000000004</v>
          </cell>
          <cell r="BJ59">
            <v>7213.3509999999997</v>
          </cell>
          <cell r="BK59">
            <v>7535.9319999999998</v>
          </cell>
          <cell r="BL59">
            <v>7907.4059999999999</v>
          </cell>
          <cell r="BM59">
            <v>8315.1389999999992</v>
          </cell>
          <cell r="BN59">
            <v>8736.9390000000003</v>
          </cell>
          <cell r="BO59">
            <v>9142.259</v>
          </cell>
          <cell r="BP59">
            <v>9508.3639999999996</v>
          </cell>
          <cell r="BQ59">
            <v>9830.6990000000005</v>
          </cell>
          <cell r="BR59">
            <v>10113.648999999999</v>
          </cell>
          <cell r="BS59">
            <v>10355.035</v>
          </cell>
          <cell r="BT59">
            <v>10554.88</v>
          </cell>
          <cell r="BU59">
            <v>10715.657999999999</v>
          </cell>
          <cell r="BV59">
            <v>10832.518</v>
          </cell>
          <cell r="BW59">
            <v>10910.763000000001</v>
          </cell>
          <cell r="BX59">
            <v>10975.927</v>
          </cell>
        </row>
        <row r="60">
          <cell r="C60" t="str">
            <v>Uganda</v>
          </cell>
          <cell r="E60">
            <v>800</v>
          </cell>
          <cell r="F60" t="str">
            <v>Country</v>
          </cell>
          <cell r="G60">
            <v>910</v>
          </cell>
          <cell r="H60">
            <v>5158.1899999999996</v>
          </cell>
          <cell r="I60">
            <v>5307.7250000000004</v>
          </cell>
          <cell r="J60">
            <v>5452.8590000000004</v>
          </cell>
          <cell r="K60">
            <v>5596.317</v>
          </cell>
          <cell r="L60">
            <v>5740.7740000000003</v>
          </cell>
          <cell r="M60">
            <v>5888.7929999999997</v>
          </cell>
          <cell r="N60">
            <v>6042.9229999999998</v>
          </cell>
          <cell r="O60">
            <v>6205.6310000000003</v>
          </cell>
          <cell r="P60">
            <v>6379.2219999999998</v>
          </cell>
          <cell r="Q60">
            <v>6565.84</v>
          </cell>
          <cell r="R60">
            <v>6767.0950000000003</v>
          </cell>
          <cell r="S60">
            <v>6983.8180000000002</v>
          </cell>
          <cell r="T60">
            <v>7215.7960000000003</v>
          </cell>
          <cell r="U60">
            <v>7461.634</v>
          </cell>
          <cell r="V60">
            <v>7719.1040000000003</v>
          </cell>
          <cell r="W60">
            <v>7986.0659999999998</v>
          </cell>
          <cell r="X60">
            <v>8263.4390000000003</v>
          </cell>
          <cell r="Y60">
            <v>8550.4429999999993</v>
          </cell>
          <cell r="Z60">
            <v>8841.1530000000002</v>
          </cell>
          <cell r="AA60">
            <v>9127.857</v>
          </cell>
          <cell r="AB60">
            <v>9405.6</v>
          </cell>
          <cell r="AC60">
            <v>9671.86</v>
          </cell>
          <cell r="AD60">
            <v>9929.6360000000004</v>
          </cell>
          <cell r="AE60">
            <v>10186.455</v>
          </cell>
          <cell r="AF60">
            <v>10453.037</v>
          </cell>
          <cell r="AG60">
            <v>10737.403</v>
          </cell>
          <cell r="AH60">
            <v>11042.974</v>
          </cell>
          <cell r="AI60">
            <v>11368.615</v>
          </cell>
          <cell r="AJ60">
            <v>11712.53</v>
          </cell>
          <cell r="AK60">
            <v>12071.145</v>
          </cell>
          <cell r="AL60">
            <v>12442.334000000001</v>
          </cell>
          <cell r="AM60">
            <v>12825.082</v>
          </cell>
          <cell r="AN60">
            <v>13221.991</v>
          </cell>
          <cell r="AO60">
            <v>13638.728999999999</v>
          </cell>
          <cell r="AP60">
            <v>14082.875</v>
          </cell>
          <cell r="AQ60">
            <v>14559.355</v>
          </cell>
          <cell r="AR60">
            <v>15070.302</v>
          </cell>
          <cell r="AS60">
            <v>15612.754000000001</v>
          </cell>
          <cell r="AT60">
            <v>16180.124</v>
          </cell>
          <cell r="AU60">
            <v>16763.042000000001</v>
          </cell>
          <cell r="AV60">
            <v>17354.392</v>
          </cell>
          <cell r="AW60">
            <v>17953.530999999999</v>
          </cell>
          <cell r="AX60">
            <v>18561.673999999999</v>
          </cell>
          <cell r="AY60">
            <v>19175.988000000001</v>
          </cell>
          <cell r="AZ60">
            <v>19793.541000000001</v>
          </cell>
          <cell r="BA60">
            <v>20413.151999999998</v>
          </cell>
          <cell r="BB60">
            <v>21032.821</v>
          </cell>
          <cell r="BC60">
            <v>21655.398000000001</v>
          </cell>
          <cell r="BD60">
            <v>22290.78</v>
          </cell>
          <cell r="BE60">
            <v>22952.41</v>
          </cell>
          <cell r="BF60">
            <v>23650.171999999999</v>
          </cell>
          <cell r="BG60">
            <v>24388.968000000001</v>
          </cell>
          <cell r="BH60">
            <v>25167.257000000001</v>
          </cell>
          <cell r="BI60">
            <v>25980.552</v>
          </cell>
          <cell r="BJ60">
            <v>26821.296999999999</v>
          </cell>
          <cell r="BK60">
            <v>27684.584999999999</v>
          </cell>
          <cell r="BL60">
            <v>28571.474999999999</v>
          </cell>
          <cell r="BM60">
            <v>29486.338</v>
          </cell>
          <cell r="BN60">
            <v>30431.736000000001</v>
          </cell>
          <cell r="BO60">
            <v>31411.096000000001</v>
          </cell>
          <cell r="BP60">
            <v>32428.167000000001</v>
          </cell>
          <cell r="BQ60">
            <v>33476.771999999997</v>
          </cell>
          <cell r="BR60">
            <v>34558.703999999998</v>
          </cell>
          <cell r="BS60">
            <v>35694.519</v>
          </cell>
          <cell r="BT60">
            <v>36911.523000000001</v>
          </cell>
          <cell r="BU60">
            <v>38225.453000000001</v>
          </cell>
          <cell r="BV60">
            <v>39649.165999999997</v>
          </cell>
          <cell r="BW60">
            <v>41166.588000000003</v>
          </cell>
          <cell r="BX60">
            <v>42729.036</v>
          </cell>
        </row>
        <row r="61">
          <cell r="C61" t="str">
            <v>United Republic of Tanzania</v>
          </cell>
          <cell r="D61">
            <v>2</v>
          </cell>
          <cell r="E61">
            <v>834</v>
          </cell>
          <cell r="F61" t="str">
            <v>Country</v>
          </cell>
          <cell r="G61">
            <v>910</v>
          </cell>
          <cell r="H61">
            <v>7649.7610000000004</v>
          </cell>
          <cell r="I61">
            <v>7844.8919999999998</v>
          </cell>
          <cell r="J61">
            <v>8050.9750000000004</v>
          </cell>
          <cell r="K61">
            <v>8267.42</v>
          </cell>
          <cell r="L61">
            <v>8493.7489999999998</v>
          </cell>
          <cell r="M61">
            <v>8729.6620000000003</v>
          </cell>
          <cell r="N61">
            <v>8974.9989999999998</v>
          </cell>
          <cell r="O61">
            <v>9229.7309999999998</v>
          </cell>
          <cell r="P61">
            <v>9493.9979999999996</v>
          </cell>
          <cell r="Q61">
            <v>9768.0329999999994</v>
          </cell>
          <cell r="R61">
            <v>10052.152</v>
          </cell>
          <cell r="S61">
            <v>10346.697</v>
          </cell>
          <cell r="T61">
            <v>10651.962</v>
          </cell>
          <cell r="U61">
            <v>10968.195</v>
          </cell>
          <cell r="V61">
            <v>11295.681</v>
          </cell>
          <cell r="W61">
            <v>11634.832</v>
          </cell>
          <cell r="X61">
            <v>11985.44</v>
          </cell>
          <cell r="Y61">
            <v>12348.189</v>
          </cell>
          <cell r="Z61">
            <v>12725.522000000001</v>
          </cell>
          <cell r="AA61">
            <v>13120.58</v>
          </cell>
          <cell r="AB61">
            <v>13535.481</v>
          </cell>
          <cell r="AC61">
            <v>13971.695</v>
          </cell>
          <cell r="AD61">
            <v>14428.34</v>
          </cell>
          <cell r="AE61">
            <v>14902.263000000001</v>
          </cell>
          <cell r="AF61">
            <v>15388.936</v>
          </cell>
          <cell r="AG61">
            <v>15885.228999999999</v>
          </cell>
          <cell r="AH61">
            <v>16390.159</v>
          </cell>
          <cell r="AI61">
            <v>16905.214</v>
          </cell>
          <cell r="AJ61">
            <v>17432.757000000001</v>
          </cell>
          <cell r="AK61">
            <v>17976.222000000002</v>
          </cell>
          <cell r="AL61">
            <v>18538.258999999998</v>
          </cell>
          <cell r="AM61">
            <v>19120.68</v>
          </cell>
          <cell r="AN61">
            <v>19723.322</v>
          </cell>
          <cell r="AO61">
            <v>20344.546999999999</v>
          </cell>
          <cell r="AP61">
            <v>20981.776000000002</v>
          </cell>
          <cell r="AQ61">
            <v>21633.795999999998</v>
          </cell>
          <cell r="AR61">
            <v>22296.286</v>
          </cell>
          <cell r="AS61">
            <v>22971.200000000001</v>
          </cell>
          <cell r="AT61">
            <v>23670.808000000001</v>
          </cell>
          <cell r="AU61">
            <v>24411.738000000001</v>
          </cell>
          <cell r="AV61">
            <v>25203.845000000001</v>
          </cell>
          <cell r="AW61">
            <v>26056.594000000001</v>
          </cell>
          <cell r="AX61">
            <v>26961.197</v>
          </cell>
          <cell r="AY61">
            <v>27887.203000000001</v>
          </cell>
          <cell r="AZ61">
            <v>28792.638999999999</v>
          </cell>
          <cell r="BA61">
            <v>29649.134999999998</v>
          </cell>
          <cell r="BB61">
            <v>30444.526000000002</v>
          </cell>
          <cell r="BC61">
            <v>31192.857</v>
          </cell>
          <cell r="BD61">
            <v>31924.196</v>
          </cell>
          <cell r="BE61">
            <v>32682.239000000001</v>
          </cell>
          <cell r="BF61">
            <v>33499.18</v>
          </cell>
          <cell r="BG61">
            <v>34385.856</v>
          </cell>
          <cell r="BH61">
            <v>35334.788</v>
          </cell>
          <cell r="BI61">
            <v>36337.781999999999</v>
          </cell>
          <cell r="BJ61">
            <v>37379.767</v>
          </cell>
          <cell r="BK61">
            <v>38450.32</v>
          </cell>
          <cell r="BL61">
            <v>39548.663</v>
          </cell>
          <cell r="BM61">
            <v>40681.413999999997</v>
          </cell>
          <cell r="BN61">
            <v>41853.944000000003</v>
          </cell>
          <cell r="BO61">
            <v>43073.834000000003</v>
          </cell>
          <cell r="BP61">
            <v>44346.525000000001</v>
          </cell>
          <cell r="BQ61">
            <v>45673.512000000002</v>
          </cell>
          <cell r="BR61">
            <v>47053.03</v>
          </cell>
          <cell r="BS61">
            <v>48483.129000000001</v>
          </cell>
          <cell r="BT61">
            <v>49960.561000000002</v>
          </cell>
          <cell r="BU61">
            <v>51482.633000000002</v>
          </cell>
          <cell r="BV61">
            <v>53049.23</v>
          </cell>
          <cell r="BW61">
            <v>54660.339</v>
          </cell>
          <cell r="BX61">
            <v>56313.438000000002</v>
          </cell>
        </row>
        <row r="62">
          <cell r="C62" t="str">
            <v>Zambia</v>
          </cell>
          <cell r="E62">
            <v>894</v>
          </cell>
          <cell r="F62" t="str">
            <v>Country</v>
          </cell>
          <cell r="G62">
            <v>910</v>
          </cell>
          <cell r="H62">
            <v>2310.442</v>
          </cell>
          <cell r="I62">
            <v>2368.6039999999998</v>
          </cell>
          <cell r="J62">
            <v>2431.3440000000001</v>
          </cell>
          <cell r="K62">
            <v>2498.4650000000001</v>
          </cell>
          <cell r="L62">
            <v>2569.748</v>
          </cell>
          <cell r="M62">
            <v>2644.9760000000001</v>
          </cell>
          <cell r="N62">
            <v>2723.864</v>
          </cell>
          <cell r="O62">
            <v>2806.1640000000002</v>
          </cell>
          <cell r="P62">
            <v>2891.5810000000001</v>
          </cell>
          <cell r="Q62">
            <v>2979.8519999999999</v>
          </cell>
          <cell r="R62">
            <v>3070.7759999999998</v>
          </cell>
          <cell r="S62">
            <v>3164.3290000000002</v>
          </cell>
          <cell r="T62">
            <v>3260.65</v>
          </cell>
          <cell r="U62">
            <v>3360.1039999999998</v>
          </cell>
          <cell r="V62">
            <v>3463.2130000000002</v>
          </cell>
          <cell r="W62">
            <v>3570.4639999999999</v>
          </cell>
          <cell r="X62">
            <v>3681.9549999999999</v>
          </cell>
          <cell r="Y62">
            <v>3797.873</v>
          </cell>
          <cell r="Z62">
            <v>3918.8719999999998</v>
          </cell>
          <cell r="AA62">
            <v>4045.74</v>
          </cell>
          <cell r="AB62">
            <v>4179.067</v>
          </cell>
          <cell r="AC62">
            <v>4319.2240000000002</v>
          </cell>
          <cell r="AD62">
            <v>4466.174</v>
          </cell>
          <cell r="AE62">
            <v>4619.5460000000003</v>
          </cell>
          <cell r="AF62">
            <v>4778.7240000000002</v>
          </cell>
          <cell r="AG62">
            <v>4943.2830000000004</v>
          </cell>
          <cell r="AH62">
            <v>5112.8230000000003</v>
          </cell>
          <cell r="AI62">
            <v>5287.5479999999998</v>
          </cell>
          <cell r="AJ62">
            <v>5468.2619999999997</v>
          </cell>
          <cell r="AK62">
            <v>5656.1390000000001</v>
          </cell>
          <cell r="AL62">
            <v>5851.8249999999998</v>
          </cell>
          <cell r="AM62">
            <v>6055.366</v>
          </cell>
          <cell r="AN62">
            <v>6265.8639999999996</v>
          </cell>
          <cell r="AO62">
            <v>6481.9160000000002</v>
          </cell>
          <cell r="AP62">
            <v>6701.54</v>
          </cell>
          <cell r="AQ62">
            <v>6923.1490000000003</v>
          </cell>
          <cell r="AR62">
            <v>7146.9690000000001</v>
          </cell>
          <cell r="AS62">
            <v>7372.8370000000004</v>
          </cell>
          <cell r="AT62">
            <v>7598.2749999999996</v>
          </cell>
          <cell r="AU62">
            <v>7820.2049999999999</v>
          </cell>
          <cell r="AV62">
            <v>8036.8450000000003</v>
          </cell>
          <cell r="AW62">
            <v>8246.6560000000009</v>
          </cell>
          <cell r="AX62">
            <v>8451.3469999999998</v>
          </cell>
          <cell r="AY62">
            <v>8656.4860000000008</v>
          </cell>
          <cell r="AZ62">
            <v>8869.74</v>
          </cell>
          <cell r="BA62">
            <v>9096.607</v>
          </cell>
          <cell r="BB62">
            <v>9339.7330000000002</v>
          </cell>
          <cell r="BC62">
            <v>9597.6090000000004</v>
          </cell>
          <cell r="BD62">
            <v>9866.4760000000006</v>
          </cell>
          <cell r="BE62">
            <v>10140.561</v>
          </cell>
          <cell r="BF62">
            <v>10415.944</v>
          </cell>
          <cell r="BG62">
            <v>10692.192999999999</v>
          </cell>
          <cell r="BH62">
            <v>10971.698</v>
          </cell>
          <cell r="BI62">
            <v>11256.743</v>
          </cell>
          <cell r="BJ62">
            <v>11550.642</v>
          </cell>
          <cell r="BK62">
            <v>11856.246999999999</v>
          </cell>
          <cell r="BL62">
            <v>12173.513999999999</v>
          </cell>
          <cell r="BM62">
            <v>12502.958000000001</v>
          </cell>
          <cell r="BN62">
            <v>12848.53</v>
          </cell>
          <cell r="BO62">
            <v>13215.138999999999</v>
          </cell>
          <cell r="BP62">
            <v>13605.984</v>
          </cell>
          <cell r="BQ62">
            <v>14023.203</v>
          </cell>
          <cell r="BR62">
            <v>14465.15</v>
          </cell>
          <cell r="BS62">
            <v>14926.544</v>
          </cell>
          <cell r="BT62">
            <v>15399.788</v>
          </cell>
          <cell r="BU62">
            <v>15879.361000000001</v>
          </cell>
          <cell r="BV62">
            <v>16363.458000000001</v>
          </cell>
          <cell r="BW62">
            <v>16853.598999999998</v>
          </cell>
          <cell r="BX62">
            <v>17351.707999999999</v>
          </cell>
        </row>
        <row r="63">
          <cell r="C63" t="str">
            <v>Zimbabwe</v>
          </cell>
          <cell r="E63">
            <v>716</v>
          </cell>
          <cell r="F63" t="str">
            <v>Country</v>
          </cell>
          <cell r="G63">
            <v>910</v>
          </cell>
          <cell r="H63">
            <v>2746.8519999999999</v>
          </cell>
          <cell r="I63">
            <v>2832.261</v>
          </cell>
          <cell r="J63">
            <v>2922.0410000000002</v>
          </cell>
          <cell r="K63">
            <v>3015.6559999999999</v>
          </cell>
          <cell r="L63">
            <v>3112.7840000000001</v>
          </cell>
          <cell r="M63">
            <v>3213.2860000000001</v>
          </cell>
          <cell r="N63">
            <v>3317.2809999999999</v>
          </cell>
          <cell r="O63">
            <v>3425.069</v>
          </cell>
          <cell r="P63">
            <v>3537.1640000000002</v>
          </cell>
          <cell r="Q63">
            <v>3654.1729999999998</v>
          </cell>
          <cell r="R63">
            <v>3776.681</v>
          </cell>
          <cell r="S63">
            <v>3905.0340000000001</v>
          </cell>
          <cell r="T63">
            <v>4039.201</v>
          </cell>
          <cell r="U63">
            <v>4178.7259999999997</v>
          </cell>
          <cell r="V63">
            <v>4322.8609999999999</v>
          </cell>
          <cell r="W63">
            <v>4471.1769999999997</v>
          </cell>
          <cell r="X63">
            <v>4623.3509999999997</v>
          </cell>
          <cell r="Y63">
            <v>4779.8270000000002</v>
          </cell>
          <cell r="Z63">
            <v>4941.9059999999999</v>
          </cell>
          <cell r="AA63">
            <v>5111.3370000000004</v>
          </cell>
          <cell r="AB63">
            <v>5289.3029999999999</v>
          </cell>
          <cell r="AC63">
            <v>5476.982</v>
          </cell>
          <cell r="AD63">
            <v>5673.9110000000001</v>
          </cell>
          <cell r="AE63">
            <v>5877.7259999999997</v>
          </cell>
          <cell r="AF63">
            <v>6085.0739999999996</v>
          </cell>
          <cell r="AG63">
            <v>6293.875</v>
          </cell>
          <cell r="AH63">
            <v>6502.5690000000004</v>
          </cell>
          <cell r="AI63">
            <v>6712.8270000000002</v>
          </cell>
          <cell r="AJ63">
            <v>6929.6639999999998</v>
          </cell>
          <cell r="AK63">
            <v>7160.0230000000001</v>
          </cell>
          <cell r="AL63">
            <v>7408.6239999999998</v>
          </cell>
          <cell r="AM63">
            <v>7675.5910000000003</v>
          </cell>
          <cell r="AN63">
            <v>7958.241</v>
          </cell>
          <cell r="AO63">
            <v>8254.7469999999994</v>
          </cell>
          <cell r="AP63">
            <v>8562.2489999999998</v>
          </cell>
          <cell r="AQ63">
            <v>8877.4889999999996</v>
          </cell>
          <cell r="AR63">
            <v>9200.1489999999994</v>
          </cell>
          <cell r="AS63">
            <v>9527.2029999999995</v>
          </cell>
          <cell r="AT63">
            <v>9849.125</v>
          </cell>
          <cell r="AU63">
            <v>10153.852000000001</v>
          </cell>
          <cell r="AV63">
            <v>10432.421</v>
          </cell>
          <cell r="AW63">
            <v>10680.995000000001</v>
          </cell>
          <cell r="AX63">
            <v>10900.502</v>
          </cell>
          <cell r="AY63">
            <v>11092.766</v>
          </cell>
          <cell r="AZ63">
            <v>11261.744000000001</v>
          </cell>
          <cell r="BA63">
            <v>11410.714</v>
          </cell>
          <cell r="BB63">
            <v>11541.217000000001</v>
          </cell>
          <cell r="BC63">
            <v>11653.242</v>
          </cell>
          <cell r="BD63">
            <v>11747.072</v>
          </cell>
          <cell r="BE63">
            <v>11822.718999999999</v>
          </cell>
          <cell r="BF63">
            <v>11881.477000000001</v>
          </cell>
          <cell r="BG63">
            <v>11923.914000000001</v>
          </cell>
          <cell r="BH63">
            <v>11954.29</v>
          </cell>
          <cell r="BI63">
            <v>11982.224</v>
          </cell>
          <cell r="BJ63">
            <v>12019.912</v>
          </cell>
          <cell r="BK63">
            <v>12076.699000000001</v>
          </cell>
          <cell r="BL63">
            <v>12155.491</v>
          </cell>
          <cell r="BM63">
            <v>12255.922</v>
          </cell>
          <cell r="BN63">
            <v>12379.549000000001</v>
          </cell>
          <cell r="BO63">
            <v>12526.968000000001</v>
          </cell>
          <cell r="BP63">
            <v>12697.723</v>
          </cell>
          <cell r="BQ63">
            <v>12894.322</v>
          </cell>
          <cell r="BR63">
            <v>13115.15</v>
          </cell>
          <cell r="BS63">
            <v>13350.373</v>
          </cell>
          <cell r="BT63">
            <v>13586.707</v>
          </cell>
          <cell r="BU63">
            <v>13814.629000000001</v>
          </cell>
          <cell r="BV63">
            <v>14030.331</v>
          </cell>
          <cell r="BW63">
            <v>14236.594999999999</v>
          </cell>
          <cell r="BX63">
            <v>14438.802</v>
          </cell>
        </row>
        <row r="64">
          <cell r="C64" t="str">
            <v>Middle Africa</v>
          </cell>
          <cell r="E64">
            <v>911</v>
          </cell>
          <cell r="F64" t="str">
            <v>Subregion</v>
          </cell>
          <cell r="G64">
            <v>947</v>
          </cell>
          <cell r="H64">
            <v>26453.764999999999</v>
          </cell>
          <cell r="I64">
            <v>26923.947</v>
          </cell>
          <cell r="J64">
            <v>27431.035</v>
          </cell>
          <cell r="K64">
            <v>27966.434000000001</v>
          </cell>
          <cell r="L64">
            <v>28523.649000000001</v>
          </cell>
          <cell r="M64">
            <v>29098.314999999999</v>
          </cell>
          <cell r="N64">
            <v>29688.192999999999</v>
          </cell>
          <cell r="O64">
            <v>30293.205999999998</v>
          </cell>
          <cell r="P64">
            <v>30915.062999999998</v>
          </cell>
          <cell r="Q64">
            <v>31556.956999999999</v>
          </cell>
          <cell r="R64">
            <v>32222.195</v>
          </cell>
          <cell r="S64">
            <v>32912.93</v>
          </cell>
          <cell r="T64">
            <v>33628.826999999997</v>
          </cell>
          <cell r="U64">
            <v>34366.783000000003</v>
          </cell>
          <cell r="V64">
            <v>35122.192000000003</v>
          </cell>
          <cell r="W64">
            <v>35893.233</v>
          </cell>
          <cell r="X64">
            <v>36677.938999999998</v>
          </cell>
          <cell r="Y64">
            <v>37481.851999999999</v>
          </cell>
          <cell r="Z64">
            <v>38319.695</v>
          </cell>
          <cell r="AA64">
            <v>39211.095999999998</v>
          </cell>
          <cell r="AB64">
            <v>40170.656000000003</v>
          </cell>
          <cell r="AC64">
            <v>41202.917999999998</v>
          </cell>
          <cell r="AD64">
            <v>42305.796000000002</v>
          </cell>
          <cell r="AE64">
            <v>43471.663</v>
          </cell>
          <cell r="AF64">
            <v>44688.832000000002</v>
          </cell>
          <cell r="AG64">
            <v>45948.694000000003</v>
          </cell>
          <cell r="AH64">
            <v>47251.731</v>
          </cell>
          <cell r="AI64">
            <v>48601.322</v>
          </cell>
          <cell r="AJ64">
            <v>49993.06</v>
          </cell>
          <cell r="AK64">
            <v>51421.843000000001</v>
          </cell>
          <cell r="AL64">
            <v>52885.374000000003</v>
          </cell>
          <cell r="AM64">
            <v>54384.065999999999</v>
          </cell>
          <cell r="AN64">
            <v>55923.46</v>
          </cell>
          <cell r="AO64">
            <v>57512.855000000003</v>
          </cell>
          <cell r="AP64">
            <v>59164.699000000001</v>
          </cell>
          <cell r="AQ64">
            <v>60890.063999999998</v>
          </cell>
          <cell r="AR64">
            <v>62683.364999999998</v>
          </cell>
          <cell r="AS64">
            <v>64547.131999999998</v>
          </cell>
          <cell r="AT64">
            <v>66509.032000000007</v>
          </cell>
          <cell r="AU64">
            <v>68604.812999999995</v>
          </cell>
          <cell r="AV64">
            <v>70855.104999999996</v>
          </cell>
          <cell r="AW64">
            <v>73283.542000000001</v>
          </cell>
          <cell r="AX64">
            <v>75871.135999999999</v>
          </cell>
          <cell r="AY64">
            <v>78544.394</v>
          </cell>
          <cell r="AZ64">
            <v>81201.899000000005</v>
          </cell>
          <cell r="BA64">
            <v>83775.157999999996</v>
          </cell>
          <cell r="BB64">
            <v>86236.407000000007</v>
          </cell>
          <cell r="BC64">
            <v>88620.038</v>
          </cell>
          <cell r="BD64">
            <v>90996.923999999999</v>
          </cell>
          <cell r="BE64">
            <v>93469.838000000003</v>
          </cell>
          <cell r="BF64">
            <v>96115.539000000004</v>
          </cell>
          <cell r="BG64">
            <v>98955.634000000005</v>
          </cell>
          <cell r="BH64">
            <v>101974.579</v>
          </cell>
          <cell r="BI64">
            <v>105166.97500000001</v>
          </cell>
          <cell r="BJ64">
            <v>108515.93799999999</v>
          </cell>
          <cell r="BK64">
            <v>112008.261</v>
          </cell>
          <cell r="BL64">
            <v>115648.27499999999</v>
          </cell>
          <cell r="BM64">
            <v>119442.04300000001</v>
          </cell>
          <cell r="BN64">
            <v>123378.435</v>
          </cell>
          <cell r="BO64">
            <v>127442.34</v>
          </cell>
          <cell r="BP64">
            <v>131622.12599999999</v>
          </cell>
          <cell r="BQ64">
            <v>135912.685</v>
          </cell>
          <cell r="BR64">
            <v>140314.58499999999</v>
          </cell>
          <cell r="BS64">
            <v>144828.592</v>
          </cell>
          <cell r="BT64">
            <v>149457.59899999999</v>
          </cell>
          <cell r="BU64">
            <v>154203.21900000001</v>
          </cell>
          <cell r="BV64">
            <v>159064.78899999999</v>
          </cell>
          <cell r="BW64">
            <v>164038.98800000001</v>
          </cell>
          <cell r="BX64">
            <v>169121.87899999999</v>
          </cell>
        </row>
        <row r="65">
          <cell r="C65" t="str">
            <v>Angola</v>
          </cell>
          <cell r="E65">
            <v>24</v>
          </cell>
          <cell r="F65" t="str">
            <v>Country</v>
          </cell>
          <cell r="G65">
            <v>911</v>
          </cell>
          <cell r="H65">
            <v>4548.0230000000001</v>
          </cell>
          <cell r="I65">
            <v>4616.51</v>
          </cell>
          <cell r="J65">
            <v>4713.0990000000002</v>
          </cell>
          <cell r="K65">
            <v>4823.2910000000002</v>
          </cell>
          <cell r="L65">
            <v>4935.9390000000003</v>
          </cell>
          <cell r="M65">
            <v>5043.2470000000003</v>
          </cell>
          <cell r="N65">
            <v>5140.915</v>
          </cell>
          <cell r="O65">
            <v>5228.01</v>
          </cell>
          <cell r="P65">
            <v>5306.5339999999997</v>
          </cell>
          <cell r="Q65">
            <v>5380.7139999999999</v>
          </cell>
          <cell r="R65">
            <v>5454.933</v>
          </cell>
          <cell r="S65">
            <v>5531.4719999999998</v>
          </cell>
          <cell r="T65">
            <v>5608.5389999999998</v>
          </cell>
          <cell r="U65">
            <v>5679.4579999999996</v>
          </cell>
          <cell r="V65">
            <v>5735.0439999999999</v>
          </cell>
          <cell r="W65">
            <v>5770.57</v>
          </cell>
          <cell r="X65">
            <v>5781.2139999999999</v>
          </cell>
          <cell r="Y65">
            <v>5774.2430000000004</v>
          </cell>
          <cell r="Z65">
            <v>5771.652</v>
          </cell>
          <cell r="AA65">
            <v>5803.2539999999999</v>
          </cell>
          <cell r="AB65">
            <v>5890.3649999999998</v>
          </cell>
          <cell r="AC65">
            <v>6040.777</v>
          </cell>
          <cell r="AD65">
            <v>6248.5519999999997</v>
          </cell>
          <cell r="AE65">
            <v>6496.9620000000004</v>
          </cell>
          <cell r="AF65">
            <v>6761.38</v>
          </cell>
          <cell r="AG65">
            <v>7024</v>
          </cell>
          <cell r="AH65">
            <v>7279.509</v>
          </cell>
          <cell r="AI65">
            <v>7533.7349999999997</v>
          </cell>
          <cell r="AJ65">
            <v>7790.7070000000003</v>
          </cell>
          <cell r="AK65">
            <v>8058.067</v>
          </cell>
          <cell r="AL65">
            <v>8341.2890000000007</v>
          </cell>
          <cell r="AM65">
            <v>8640.4459999999999</v>
          </cell>
          <cell r="AN65">
            <v>8952.9500000000007</v>
          </cell>
          <cell r="AO65">
            <v>9278.0959999999995</v>
          </cell>
          <cell r="AP65">
            <v>9614.7540000000008</v>
          </cell>
          <cell r="AQ65">
            <v>9961.9969999999994</v>
          </cell>
          <cell r="AR65">
            <v>10320.111000000001</v>
          </cell>
          <cell r="AS65">
            <v>10689.25</v>
          </cell>
          <cell r="AT65">
            <v>11068.05</v>
          </cell>
          <cell r="AU65">
            <v>11454.777</v>
          </cell>
          <cell r="AV65">
            <v>11848.386</v>
          </cell>
          <cell r="AW65">
            <v>12248.901</v>
          </cell>
          <cell r="AX65">
            <v>12657.366</v>
          </cell>
          <cell r="AY65">
            <v>13075.049000000001</v>
          </cell>
          <cell r="AZ65">
            <v>13503.746999999999</v>
          </cell>
          <cell r="BA65">
            <v>13945.206</v>
          </cell>
          <cell r="BB65">
            <v>14400.718999999999</v>
          </cell>
          <cell r="BC65">
            <v>14871.57</v>
          </cell>
          <cell r="BD65">
            <v>15359.601000000001</v>
          </cell>
          <cell r="BE65">
            <v>15866.869000000001</v>
          </cell>
          <cell r="BF65">
            <v>16395.473000000002</v>
          </cell>
          <cell r="BG65">
            <v>16945.753000000001</v>
          </cell>
          <cell r="BH65">
            <v>17519.417000000001</v>
          </cell>
          <cell r="BI65">
            <v>18121.478999999999</v>
          </cell>
          <cell r="BJ65">
            <v>18758.145</v>
          </cell>
          <cell r="BK65">
            <v>19433.601999999999</v>
          </cell>
          <cell r="BL65">
            <v>20149.901000000002</v>
          </cell>
          <cell r="BM65">
            <v>20905.363000000001</v>
          </cell>
          <cell r="BN65">
            <v>21695.633999999998</v>
          </cell>
          <cell r="BO65">
            <v>22514.280999999999</v>
          </cell>
          <cell r="BP65">
            <v>23356.245999999999</v>
          </cell>
          <cell r="BQ65">
            <v>24220.661</v>
          </cell>
          <cell r="BR65">
            <v>25107.931</v>
          </cell>
          <cell r="BS65">
            <v>26015.780999999999</v>
          </cell>
          <cell r="BT65">
            <v>26941.778999999999</v>
          </cell>
          <cell r="BU65">
            <v>27884.381000000001</v>
          </cell>
          <cell r="BV65">
            <v>28842.489000000001</v>
          </cell>
          <cell r="BW65">
            <v>29816.766</v>
          </cell>
          <cell r="BX65">
            <v>30809.787</v>
          </cell>
        </row>
        <row r="66">
          <cell r="C66" t="str">
            <v>Cameroon</v>
          </cell>
          <cell r="E66">
            <v>120</v>
          </cell>
          <cell r="F66" t="str">
            <v>Country</v>
          </cell>
          <cell r="G66">
            <v>911</v>
          </cell>
          <cell r="H66">
            <v>4307.0230000000001</v>
          </cell>
          <cell r="I66">
            <v>4383.9660000000003</v>
          </cell>
          <cell r="J66">
            <v>4462.13</v>
          </cell>
          <cell r="K66">
            <v>4541.7950000000001</v>
          </cell>
          <cell r="L66">
            <v>4623.2759999999998</v>
          </cell>
          <cell r="M66">
            <v>4706.9949999999999</v>
          </cell>
          <cell r="N66">
            <v>4793.3980000000001</v>
          </cell>
          <cell r="O66">
            <v>4883.01</v>
          </cell>
          <cell r="P66">
            <v>4976.4089999999997</v>
          </cell>
          <cell r="Q66">
            <v>5074.2020000000002</v>
          </cell>
          <cell r="R66">
            <v>5176.9179999999997</v>
          </cell>
          <cell r="S66">
            <v>5285.0169999999998</v>
          </cell>
          <cell r="T66">
            <v>5398.7290000000003</v>
          </cell>
          <cell r="U66">
            <v>5518.1040000000003</v>
          </cell>
          <cell r="V66">
            <v>5643.0360000000001</v>
          </cell>
          <cell r="W66">
            <v>5773.5429999999997</v>
          </cell>
          <cell r="X66">
            <v>5909.8819999999996</v>
          </cell>
          <cell r="Y66">
            <v>6052.42</v>
          </cell>
          <cell r="Z66">
            <v>6201.4129999999996</v>
          </cell>
          <cell r="AA66">
            <v>6357.0919999999996</v>
          </cell>
          <cell r="AB66">
            <v>6519.7619999999997</v>
          </cell>
          <cell r="AC66">
            <v>6689.6620000000003</v>
          </cell>
          <cell r="AD66">
            <v>6867.1779999999999</v>
          </cell>
          <cell r="AE66">
            <v>7052.8490000000002</v>
          </cell>
          <cell r="AF66">
            <v>7247.2870000000003</v>
          </cell>
          <cell r="AG66">
            <v>7451.0540000000001</v>
          </cell>
          <cell r="AH66">
            <v>7664.4059999999999</v>
          </cell>
          <cell r="AI66">
            <v>7887.56</v>
          </cell>
          <cell r="AJ66">
            <v>8121.0839999999998</v>
          </cell>
          <cell r="AK66">
            <v>8365.5669999999991</v>
          </cell>
          <cell r="AL66">
            <v>8621.4060000000009</v>
          </cell>
          <cell r="AM66">
            <v>8888.5349999999999</v>
          </cell>
          <cell r="AN66">
            <v>9166.8160000000007</v>
          </cell>
          <cell r="AO66">
            <v>9456.4940000000006</v>
          </cell>
          <cell r="AP66">
            <v>9757.8410000000003</v>
          </cell>
          <cell r="AQ66">
            <v>10070.806</v>
          </cell>
          <cell r="AR66">
            <v>10395.48</v>
          </cell>
          <cell r="AS66">
            <v>10731.064</v>
          </cell>
          <cell r="AT66">
            <v>11075.422</v>
          </cell>
          <cell r="AU66">
            <v>11425.8</v>
          </cell>
          <cell r="AV66">
            <v>11780.088</v>
          </cell>
          <cell r="AW66">
            <v>12137.912</v>
          </cell>
          <cell r="AX66">
            <v>12499.499</v>
          </cell>
          <cell r="AY66">
            <v>12864.09</v>
          </cell>
          <cell r="AZ66">
            <v>13230.984</v>
          </cell>
          <cell r="BA66">
            <v>13599.987999999999</v>
          </cell>
          <cell r="BB66">
            <v>13970.813</v>
          </cell>
          <cell r="BC66">
            <v>14344.449000000001</v>
          </cell>
          <cell r="BD66">
            <v>14723.768</v>
          </cell>
          <cell r="BE66">
            <v>15112.592000000001</v>
          </cell>
          <cell r="BF66">
            <v>15513.945</v>
          </cell>
          <cell r="BG66">
            <v>15928.91</v>
          </cell>
          <cell r="BH66">
            <v>16357.602000000001</v>
          </cell>
          <cell r="BI66">
            <v>16800.865000000002</v>
          </cell>
          <cell r="BJ66">
            <v>17259.322</v>
          </cell>
          <cell r="BK66">
            <v>17733.41</v>
          </cell>
          <cell r="BL66">
            <v>18223.673999999999</v>
          </cell>
          <cell r="BM66">
            <v>18730.281999999999</v>
          </cell>
          <cell r="BN66">
            <v>19252.666000000001</v>
          </cell>
          <cell r="BO66">
            <v>19789.919000000002</v>
          </cell>
          <cell r="BP66">
            <v>20341.241000000002</v>
          </cell>
          <cell r="BQ66">
            <v>20906.387999999999</v>
          </cell>
          <cell r="BR66">
            <v>21485.264999999999</v>
          </cell>
          <cell r="BS66">
            <v>22077.294000000002</v>
          </cell>
          <cell r="BT66">
            <v>22681.851999999999</v>
          </cell>
          <cell r="BU66">
            <v>23298.367999999999</v>
          </cell>
          <cell r="BV66">
            <v>23926.550999999999</v>
          </cell>
          <cell r="BW66">
            <v>24566.073</v>
          </cell>
          <cell r="BX66">
            <v>25216.267</v>
          </cell>
        </row>
        <row r="67">
          <cell r="C67" t="str">
            <v>Central African Republic</v>
          </cell>
          <cell r="E67">
            <v>140</v>
          </cell>
          <cell r="F67" t="str">
            <v>Country</v>
          </cell>
          <cell r="G67">
            <v>911</v>
          </cell>
          <cell r="H67">
            <v>1326.652</v>
          </cell>
          <cell r="I67">
            <v>1341.7149999999999</v>
          </cell>
          <cell r="J67">
            <v>1356.12</v>
          </cell>
          <cell r="K67">
            <v>1370.5170000000001</v>
          </cell>
          <cell r="L67">
            <v>1385.452</v>
          </cell>
          <cell r="M67">
            <v>1401.3409999999999</v>
          </cell>
          <cell r="N67">
            <v>1418.481</v>
          </cell>
          <cell r="O67">
            <v>1437.0550000000001</v>
          </cell>
          <cell r="P67">
            <v>1457.1210000000001</v>
          </cell>
          <cell r="Q67">
            <v>1478.6769999999999</v>
          </cell>
          <cell r="R67">
            <v>1501.6679999999999</v>
          </cell>
          <cell r="S67">
            <v>1526.066</v>
          </cell>
          <cell r="T67">
            <v>1551.91</v>
          </cell>
          <cell r="U67">
            <v>1579.37</v>
          </cell>
          <cell r="V67">
            <v>1608.616</v>
          </cell>
          <cell r="W67">
            <v>1639.7059999999999</v>
          </cell>
          <cell r="X67">
            <v>1673.019</v>
          </cell>
          <cell r="Y67">
            <v>1708.3019999999999</v>
          </cell>
          <cell r="Z67">
            <v>1744.194</v>
          </cell>
          <cell r="AA67">
            <v>1778.8610000000001</v>
          </cell>
          <cell r="AB67">
            <v>1811.144</v>
          </cell>
          <cell r="AC67">
            <v>1840.518</v>
          </cell>
          <cell r="AD67">
            <v>1867.7819999999999</v>
          </cell>
          <cell r="AE67">
            <v>1894.8530000000001</v>
          </cell>
          <cell r="AF67">
            <v>1924.3879999999999</v>
          </cell>
          <cell r="AG67">
            <v>1958.367</v>
          </cell>
          <cell r="AH67">
            <v>1997.0139999999999</v>
          </cell>
          <cell r="AI67">
            <v>2039.9190000000001</v>
          </cell>
          <cell r="AJ67">
            <v>2087.663</v>
          </cell>
          <cell r="AK67">
            <v>2140.777</v>
          </cell>
          <cell r="AL67">
            <v>2199.3560000000002</v>
          </cell>
          <cell r="AM67">
            <v>2264.442</v>
          </cell>
          <cell r="AN67">
            <v>2335.3330000000001</v>
          </cell>
          <cell r="AO67">
            <v>2408.317</v>
          </cell>
          <cell r="AP67">
            <v>2478.3820000000001</v>
          </cell>
          <cell r="AQ67">
            <v>2542.1689999999999</v>
          </cell>
          <cell r="AR67">
            <v>2597.761</v>
          </cell>
          <cell r="AS67">
            <v>2646.84</v>
          </cell>
          <cell r="AT67">
            <v>2693.973</v>
          </cell>
          <cell r="AU67">
            <v>2745.7339999999999</v>
          </cell>
          <cell r="AV67">
            <v>2806.7339999999999</v>
          </cell>
          <cell r="AW67">
            <v>2878.509</v>
          </cell>
          <cell r="AX67">
            <v>2959.2359999999999</v>
          </cell>
          <cell r="AY67">
            <v>3046.1489999999999</v>
          </cell>
          <cell r="AZ67">
            <v>3135.0149999999999</v>
          </cell>
          <cell r="BA67">
            <v>3222.6559999999999</v>
          </cell>
          <cell r="BB67">
            <v>3308.2330000000002</v>
          </cell>
          <cell r="BC67">
            <v>3392.4360000000001</v>
          </cell>
          <cell r="BD67">
            <v>3475.4920000000002</v>
          </cell>
          <cell r="BE67">
            <v>3558.0140000000001</v>
          </cell>
          <cell r="BF67">
            <v>3640.4270000000001</v>
          </cell>
          <cell r="BG67">
            <v>3722.018</v>
          </cell>
          <cell r="BH67">
            <v>3802.1280000000002</v>
          </cell>
          <cell r="BI67">
            <v>3881.181</v>
          </cell>
          <cell r="BJ67">
            <v>3959.875</v>
          </cell>
          <cell r="BK67">
            <v>4038.3820000000001</v>
          </cell>
          <cell r="BL67">
            <v>4118.0690000000004</v>
          </cell>
          <cell r="BM67">
            <v>4198.01</v>
          </cell>
          <cell r="BN67">
            <v>4273.366</v>
          </cell>
          <cell r="BO67">
            <v>4337.625</v>
          </cell>
          <cell r="BP67">
            <v>4386.768</v>
          </cell>
          <cell r="BQ67">
            <v>4418.6369999999997</v>
          </cell>
          <cell r="BR67">
            <v>4436.4160000000002</v>
          </cell>
          <cell r="BS67">
            <v>4447.9440000000004</v>
          </cell>
          <cell r="BT67">
            <v>4464.1750000000002</v>
          </cell>
          <cell r="BU67">
            <v>4493.17</v>
          </cell>
          <cell r="BV67">
            <v>4537.6859999999997</v>
          </cell>
          <cell r="BW67">
            <v>4596.0230000000001</v>
          </cell>
          <cell r="BX67">
            <v>4666.3680000000004</v>
          </cell>
        </row>
        <row r="68">
          <cell r="C68" t="str">
            <v>Chad</v>
          </cell>
          <cell r="E68">
            <v>148</v>
          </cell>
          <cell r="F68" t="str">
            <v>Country</v>
          </cell>
          <cell r="G68">
            <v>911</v>
          </cell>
          <cell r="H68">
            <v>2502.319</v>
          </cell>
          <cell r="I68">
            <v>2543.8829999999998</v>
          </cell>
          <cell r="J68">
            <v>2588.8780000000002</v>
          </cell>
          <cell r="K68">
            <v>2636.2429999999999</v>
          </cell>
          <cell r="L68">
            <v>2685.1869999999999</v>
          </cell>
          <cell r="M68">
            <v>2735.1979999999999</v>
          </cell>
          <cell r="N68">
            <v>2786.049</v>
          </cell>
          <cell r="O68">
            <v>2837.7660000000001</v>
          </cell>
          <cell r="P68">
            <v>2890.634</v>
          </cell>
          <cell r="Q68">
            <v>2945.1019999999999</v>
          </cell>
          <cell r="R68">
            <v>3001.6089999999999</v>
          </cell>
          <cell r="S68">
            <v>3060.3679999999999</v>
          </cell>
          <cell r="T68">
            <v>3121.2359999999999</v>
          </cell>
          <cell r="U68">
            <v>3183.5720000000001</v>
          </cell>
          <cell r="V68">
            <v>3246.5230000000001</v>
          </cell>
          <cell r="W68">
            <v>3309.5859999999998</v>
          </cell>
          <cell r="X68">
            <v>3372.1889999999999</v>
          </cell>
          <cell r="Y68">
            <v>3434.8249999999998</v>
          </cell>
          <cell r="Z68">
            <v>3499.3620000000001</v>
          </cell>
          <cell r="AA68">
            <v>3568.3980000000001</v>
          </cell>
          <cell r="AB68">
            <v>3643.6039999999998</v>
          </cell>
          <cell r="AC68">
            <v>3726.1889999999999</v>
          </cell>
          <cell r="AD68">
            <v>3815.26</v>
          </cell>
          <cell r="AE68">
            <v>3907.8890000000001</v>
          </cell>
          <cell r="AF68">
            <v>3999.9209999999998</v>
          </cell>
          <cell r="AG68">
            <v>4088.5639999999999</v>
          </cell>
          <cell r="AH68">
            <v>4173.1350000000002</v>
          </cell>
          <cell r="AI68">
            <v>4255.2479999999996</v>
          </cell>
          <cell r="AJ68">
            <v>4337.2910000000002</v>
          </cell>
          <cell r="AK68">
            <v>4422.7449999999999</v>
          </cell>
          <cell r="AL68">
            <v>4514.43</v>
          </cell>
          <cell r="AM68">
            <v>4612.8490000000002</v>
          </cell>
          <cell r="AN68">
            <v>4718.1620000000003</v>
          </cell>
          <cell r="AO68">
            <v>4832.3209999999999</v>
          </cell>
          <cell r="AP68">
            <v>4957.558</v>
          </cell>
          <cell r="AQ68">
            <v>5095.4009999999998</v>
          </cell>
          <cell r="AR68">
            <v>5247.2830000000004</v>
          </cell>
          <cell r="AS68">
            <v>5412.8469999999998</v>
          </cell>
          <cell r="AT68">
            <v>5589.6260000000002</v>
          </cell>
          <cell r="AU68">
            <v>5773.92</v>
          </cell>
          <cell r="AV68">
            <v>5963.2520000000004</v>
          </cell>
          <cell r="AW68">
            <v>6157.0789999999997</v>
          </cell>
          <cell r="AX68">
            <v>6356.7479999999996</v>
          </cell>
          <cell r="AY68">
            <v>6563.9219999999996</v>
          </cell>
          <cell r="AZ68">
            <v>6781.0529999999999</v>
          </cell>
          <cell r="BA68">
            <v>7010.1450000000004</v>
          </cell>
          <cell r="BB68">
            <v>7250.9750000000004</v>
          </cell>
          <cell r="BC68">
            <v>7503.4930000000004</v>
          </cell>
          <cell r="BD68">
            <v>7770.0479999999998</v>
          </cell>
          <cell r="BE68">
            <v>8053.5360000000001</v>
          </cell>
          <cell r="BF68">
            <v>8355.6540000000005</v>
          </cell>
          <cell r="BG68">
            <v>8678.0509999999995</v>
          </cell>
          <cell r="BH68">
            <v>9019.2330000000002</v>
          </cell>
          <cell r="BI68">
            <v>9373.9159999999993</v>
          </cell>
          <cell r="BJ68">
            <v>9734.7669999999998</v>
          </cell>
          <cell r="BK68">
            <v>10096.633</v>
          </cell>
          <cell r="BL68">
            <v>10457.124</v>
          </cell>
          <cell r="BM68">
            <v>10818.023999999999</v>
          </cell>
          <cell r="BN68">
            <v>11183.588</v>
          </cell>
          <cell r="BO68">
            <v>11560.147000000001</v>
          </cell>
          <cell r="BP68">
            <v>11952.136</v>
          </cell>
          <cell r="BQ68">
            <v>12360.99</v>
          </cell>
          <cell r="BR68">
            <v>12784.75</v>
          </cell>
          <cell r="BS68">
            <v>13220.433000000001</v>
          </cell>
          <cell r="BT68">
            <v>13663.566000000001</v>
          </cell>
          <cell r="BU68">
            <v>14110.975</v>
          </cell>
          <cell r="BV68">
            <v>14561.66</v>
          </cell>
          <cell r="BW68">
            <v>15016.753000000001</v>
          </cell>
          <cell r="BX68">
            <v>15477.728999999999</v>
          </cell>
        </row>
        <row r="69">
          <cell r="C69" t="str">
            <v>Congo</v>
          </cell>
          <cell r="E69">
            <v>178</v>
          </cell>
          <cell r="F69" t="str">
            <v>Country</v>
          </cell>
          <cell r="G69">
            <v>911</v>
          </cell>
          <cell r="H69">
            <v>827.25199999999995</v>
          </cell>
          <cell r="I69">
            <v>842.471</v>
          </cell>
          <cell r="J69">
            <v>858.40599999999995</v>
          </cell>
          <cell r="K69">
            <v>875.10500000000002</v>
          </cell>
          <cell r="L69">
            <v>892.62900000000002</v>
          </cell>
          <cell r="M69">
            <v>911.029</v>
          </cell>
          <cell r="N69">
            <v>930.37800000000004</v>
          </cell>
          <cell r="O69">
            <v>950.71600000000001</v>
          </cell>
          <cell r="P69">
            <v>972.10299999999995</v>
          </cell>
          <cell r="Q69">
            <v>994.59799999999996</v>
          </cell>
          <cell r="R69">
            <v>1018.253</v>
          </cell>
          <cell r="S69">
            <v>1043.116</v>
          </cell>
          <cell r="T69">
            <v>1069.2380000000001</v>
          </cell>
          <cell r="U69">
            <v>1096.6379999999999</v>
          </cell>
          <cell r="V69">
            <v>1125.3520000000001</v>
          </cell>
          <cell r="W69">
            <v>1155.3920000000001</v>
          </cell>
          <cell r="X69">
            <v>1186.7850000000001</v>
          </cell>
          <cell r="Y69">
            <v>1219.5409999999999</v>
          </cell>
          <cell r="Z69">
            <v>1253.76</v>
          </cell>
          <cell r="AA69">
            <v>1289.5219999999999</v>
          </cell>
          <cell r="AB69">
            <v>1326.885</v>
          </cell>
          <cell r="AC69">
            <v>1365.8989999999999</v>
          </cell>
          <cell r="AD69">
            <v>1406.5219999999999</v>
          </cell>
          <cell r="AE69">
            <v>1448.6369999999999</v>
          </cell>
          <cell r="AF69">
            <v>1492.0550000000001</v>
          </cell>
          <cell r="AG69">
            <v>1536.654</v>
          </cell>
          <cell r="AH69">
            <v>1582.3579999999999</v>
          </cell>
          <cell r="AI69">
            <v>1629.2090000000001</v>
          </cell>
          <cell r="AJ69">
            <v>1677.3320000000001</v>
          </cell>
          <cell r="AK69">
            <v>1726.866</v>
          </cell>
          <cell r="AL69">
            <v>1777.934</v>
          </cell>
          <cell r="AM69">
            <v>1830.6320000000001</v>
          </cell>
          <cell r="AN69">
            <v>1884.875</v>
          </cell>
          <cell r="AO69">
            <v>1940.443</v>
          </cell>
          <cell r="AP69">
            <v>1996.9949999999999</v>
          </cell>
          <cell r="AQ69">
            <v>2054.3119999999999</v>
          </cell>
          <cell r="AR69">
            <v>2112.3609999999999</v>
          </cell>
          <cell r="AS69">
            <v>2171.3209999999999</v>
          </cell>
          <cell r="AT69">
            <v>2231.4650000000001</v>
          </cell>
          <cell r="AU69">
            <v>2293.1660000000002</v>
          </cell>
          <cell r="AV69">
            <v>2356.7370000000001</v>
          </cell>
          <cell r="AW69">
            <v>2422.3049999999998</v>
          </cell>
          <cell r="AX69">
            <v>2489.9520000000002</v>
          </cell>
          <cell r="AY69">
            <v>2559.873</v>
          </cell>
          <cell r="AZ69">
            <v>2632.3449999999998</v>
          </cell>
          <cell r="BA69">
            <v>2707.5369999999998</v>
          </cell>
          <cell r="BB69">
            <v>2785.81</v>
          </cell>
          <cell r="BC69">
            <v>2867.28</v>
          </cell>
          <cell r="BD69">
            <v>2951.6469999999999</v>
          </cell>
          <cell r="BE69">
            <v>3038.433</v>
          </cell>
          <cell r="BF69">
            <v>3127.4110000000001</v>
          </cell>
          <cell r="BG69">
            <v>3217.933</v>
          </cell>
          <cell r="BH69">
            <v>3310.3870000000002</v>
          </cell>
          <cell r="BI69">
            <v>3406.922</v>
          </cell>
          <cell r="BJ69">
            <v>3510.4679999999998</v>
          </cell>
          <cell r="BK69">
            <v>3622.7750000000001</v>
          </cell>
          <cell r="BL69">
            <v>3745.1410000000001</v>
          </cell>
          <cell r="BM69">
            <v>3876.1190000000001</v>
          </cell>
          <cell r="BN69">
            <v>4011.4859999999999</v>
          </cell>
          <cell r="BO69">
            <v>4145.3909999999996</v>
          </cell>
          <cell r="BP69">
            <v>4273.7309999999998</v>
          </cell>
          <cell r="BQ69">
            <v>4394.8440000000001</v>
          </cell>
          <cell r="BR69">
            <v>4510.1989999999996</v>
          </cell>
          <cell r="BS69">
            <v>4622.7619999999997</v>
          </cell>
          <cell r="BT69">
            <v>4736.9759999999997</v>
          </cell>
          <cell r="BU69">
            <v>4856.0950000000003</v>
          </cell>
          <cell r="BV69">
            <v>4980.9960000000001</v>
          </cell>
          <cell r="BW69">
            <v>5110.6949999999997</v>
          </cell>
          <cell r="BX69">
            <v>5244.3590000000004</v>
          </cell>
        </row>
        <row r="70">
          <cell r="C70" t="str">
            <v>Democratic Republic of the Congo</v>
          </cell>
          <cell r="E70">
            <v>180</v>
          </cell>
          <cell r="F70" t="str">
            <v>Country</v>
          </cell>
          <cell r="G70">
            <v>911</v>
          </cell>
          <cell r="H70">
            <v>12183.659</v>
          </cell>
          <cell r="I70">
            <v>12428.904</v>
          </cell>
          <cell r="J70">
            <v>12681.016</v>
          </cell>
          <cell r="K70">
            <v>12944.448</v>
          </cell>
          <cell r="L70">
            <v>13222.539000000001</v>
          </cell>
          <cell r="M70">
            <v>13517.513000000001</v>
          </cell>
          <cell r="N70">
            <v>13830.427</v>
          </cell>
          <cell r="O70">
            <v>14161.23</v>
          </cell>
          <cell r="P70">
            <v>14508.916999999999</v>
          </cell>
          <cell r="Q70">
            <v>14871.781000000001</v>
          </cell>
          <cell r="R70">
            <v>15248.251</v>
          </cell>
          <cell r="S70">
            <v>15637.699000000001</v>
          </cell>
          <cell r="T70">
            <v>16041.19</v>
          </cell>
          <cell r="U70">
            <v>16461.830000000002</v>
          </cell>
          <cell r="V70">
            <v>16903.830999999998</v>
          </cell>
          <cell r="W70">
            <v>17369.883000000002</v>
          </cell>
          <cell r="X70">
            <v>17862.048999999999</v>
          </cell>
          <cell r="Y70">
            <v>18378.625</v>
          </cell>
          <cell r="Z70">
            <v>18913.878000000001</v>
          </cell>
          <cell r="AA70">
            <v>19459.815999999999</v>
          </cell>
          <cell r="AB70">
            <v>20011.036</v>
          </cell>
          <cell r="AC70">
            <v>20564.066999999999</v>
          </cell>
          <cell r="AD70">
            <v>21121.363000000001</v>
          </cell>
          <cell r="AE70">
            <v>21690.442999999999</v>
          </cell>
          <cell r="AF70">
            <v>22282.135999999999</v>
          </cell>
          <cell r="AG70">
            <v>22903.580999999998</v>
          </cell>
          <cell r="AH70">
            <v>23560.464</v>
          </cell>
          <cell r="AI70">
            <v>24249.13</v>
          </cell>
          <cell r="AJ70">
            <v>24956.384999999998</v>
          </cell>
          <cell r="AK70">
            <v>25663.592000000001</v>
          </cell>
          <cell r="AL70">
            <v>26358.907999999999</v>
          </cell>
          <cell r="AM70">
            <v>27040.322</v>
          </cell>
          <cell r="AN70">
            <v>27717.291000000001</v>
          </cell>
          <cell r="AO70">
            <v>28403.850999999999</v>
          </cell>
          <cell r="AP70">
            <v>29119.672999999999</v>
          </cell>
          <cell r="AQ70">
            <v>29881.228999999999</v>
          </cell>
          <cell r="AR70">
            <v>30683.868999999999</v>
          </cell>
          <cell r="AS70">
            <v>31528.707999999999</v>
          </cell>
          <cell r="AT70">
            <v>32443.780999999999</v>
          </cell>
          <cell r="AU70">
            <v>33464.764999999999</v>
          </cell>
          <cell r="AV70">
            <v>34612.023000000001</v>
          </cell>
          <cell r="AW70">
            <v>35908.243999999999</v>
          </cell>
          <cell r="AX70">
            <v>37333.913999999997</v>
          </cell>
          <cell r="AY70">
            <v>38815.834000000003</v>
          </cell>
          <cell r="AZ70">
            <v>40252.974999999999</v>
          </cell>
          <cell r="BA70">
            <v>41576.233999999997</v>
          </cell>
          <cell r="BB70">
            <v>42757.243000000002</v>
          </cell>
          <cell r="BC70">
            <v>43827.18</v>
          </cell>
          <cell r="BD70">
            <v>44849.966999999997</v>
          </cell>
          <cell r="BE70">
            <v>45919.612999999998</v>
          </cell>
          <cell r="BF70">
            <v>47105.826000000001</v>
          </cell>
          <cell r="BG70">
            <v>48428.544999999998</v>
          </cell>
          <cell r="BH70">
            <v>49871.665999999997</v>
          </cell>
          <cell r="BI70">
            <v>51425.58</v>
          </cell>
          <cell r="BJ70">
            <v>53068.88</v>
          </cell>
          <cell r="BK70">
            <v>54785.902999999998</v>
          </cell>
          <cell r="BL70">
            <v>56578.036999999997</v>
          </cell>
          <cell r="BM70">
            <v>58453.682999999997</v>
          </cell>
          <cell r="BN70">
            <v>60411.195</v>
          </cell>
          <cell r="BO70">
            <v>62448.574000000001</v>
          </cell>
          <cell r="BP70">
            <v>64563.853999999999</v>
          </cell>
          <cell r="BQ70">
            <v>66755.153000000006</v>
          </cell>
          <cell r="BR70">
            <v>69020.747000000003</v>
          </cell>
          <cell r="BS70">
            <v>71358.807000000001</v>
          </cell>
          <cell r="BT70">
            <v>73767.447</v>
          </cell>
          <cell r="BU70">
            <v>76244.543999999994</v>
          </cell>
          <cell r="BV70">
            <v>78789.126999999993</v>
          </cell>
          <cell r="BW70">
            <v>81398.763999999996</v>
          </cell>
          <cell r="BX70">
            <v>84068.091</v>
          </cell>
        </row>
        <row r="71">
          <cell r="C71" t="str">
            <v>Equatorial Guinea</v>
          </cell>
          <cell r="E71">
            <v>226</v>
          </cell>
          <cell r="F71" t="str">
            <v>Country</v>
          </cell>
          <cell r="G71">
            <v>911</v>
          </cell>
          <cell r="H71">
            <v>225.53700000000001</v>
          </cell>
          <cell r="I71">
            <v>230.91200000000001</v>
          </cell>
          <cell r="J71">
            <v>234.18799999999999</v>
          </cell>
          <cell r="K71">
            <v>236.316</v>
          </cell>
          <cell r="L71">
            <v>238.03200000000001</v>
          </cell>
          <cell r="M71">
            <v>239.87299999999999</v>
          </cell>
          <cell r="N71">
            <v>242.13900000000001</v>
          </cell>
          <cell r="O71">
            <v>244.952</v>
          </cell>
          <cell r="P71">
            <v>248.238</v>
          </cell>
          <cell r="Q71">
            <v>251.78100000000001</v>
          </cell>
          <cell r="R71">
            <v>255.333</v>
          </cell>
          <cell r="S71">
            <v>258.791</v>
          </cell>
          <cell r="T71">
            <v>262.21899999999999</v>
          </cell>
          <cell r="U71">
            <v>266</v>
          </cell>
          <cell r="V71">
            <v>270.61799999999999</v>
          </cell>
          <cell r="W71">
            <v>276.3</v>
          </cell>
          <cell r="X71">
            <v>283.50599999999997</v>
          </cell>
          <cell r="Y71">
            <v>291.79000000000002</v>
          </cell>
          <cell r="Z71">
            <v>299.41300000000001</v>
          </cell>
          <cell r="AA71">
            <v>304</v>
          </cell>
          <cell r="AB71">
            <v>303.98200000000003</v>
          </cell>
          <cell r="AC71">
            <v>298.846</v>
          </cell>
          <cell r="AD71">
            <v>289.50099999999998</v>
          </cell>
          <cell r="AE71">
            <v>277.64600000000002</v>
          </cell>
          <cell r="AF71">
            <v>265.77100000000002</v>
          </cell>
          <cell r="AG71">
            <v>255.8</v>
          </cell>
          <cell r="AH71">
            <v>247.96199999999999</v>
          </cell>
          <cell r="AI71">
            <v>242.15600000000001</v>
          </cell>
          <cell r="AJ71">
            <v>239.678</v>
          </cell>
          <cell r="AK71">
            <v>241.98</v>
          </cell>
          <cell r="AL71">
            <v>249.929</v>
          </cell>
          <cell r="AM71">
            <v>264.37400000000002</v>
          </cell>
          <cell r="AN71">
            <v>284.63</v>
          </cell>
          <cell r="AO71">
            <v>308.20600000000002</v>
          </cell>
          <cell r="AP71">
            <v>331.55200000000002</v>
          </cell>
          <cell r="AQ71">
            <v>352.11799999999999</v>
          </cell>
          <cell r="AR71">
            <v>369.02300000000002</v>
          </cell>
          <cell r="AS71">
            <v>382.98099999999999</v>
          </cell>
          <cell r="AT71">
            <v>394.96100000000001</v>
          </cell>
          <cell r="AU71">
            <v>406.62</v>
          </cell>
          <cell r="AV71">
            <v>419.18799999999999</v>
          </cell>
          <cell r="AW71">
            <v>432.85300000000001</v>
          </cell>
          <cell r="AX71">
            <v>447.26600000000002</v>
          </cell>
          <cell r="AY71">
            <v>462.637</v>
          </cell>
          <cell r="AZ71">
            <v>479.09800000000001</v>
          </cell>
          <cell r="BA71">
            <v>496.76799999999997</v>
          </cell>
          <cell r="BB71">
            <v>515.85299999999995</v>
          </cell>
          <cell r="BC71">
            <v>536.46</v>
          </cell>
          <cell r="BD71">
            <v>558.49199999999996</v>
          </cell>
          <cell r="BE71">
            <v>581.77</v>
          </cell>
          <cell r="BF71">
            <v>606.18100000000004</v>
          </cell>
          <cell r="BG71">
            <v>631.66600000000005</v>
          </cell>
          <cell r="BH71">
            <v>658.38400000000001</v>
          </cell>
          <cell r="BI71">
            <v>686.66399999999999</v>
          </cell>
          <cell r="BJ71">
            <v>716.94899999999996</v>
          </cell>
          <cell r="BK71">
            <v>749.53499999999997</v>
          </cell>
          <cell r="BL71">
            <v>784.49599999999998</v>
          </cell>
          <cell r="BM71">
            <v>821.68700000000001</v>
          </cell>
          <cell r="BN71">
            <v>860.84</v>
          </cell>
          <cell r="BO71">
            <v>901.59900000000005</v>
          </cell>
          <cell r="BP71">
            <v>943.63900000000001</v>
          </cell>
          <cell r="BQ71">
            <v>986.85299999999995</v>
          </cell>
          <cell r="BR71">
            <v>1031.191</v>
          </cell>
          <cell r="BS71">
            <v>1076.413</v>
          </cell>
          <cell r="BT71">
            <v>1122.277</v>
          </cell>
          <cell r="BU71">
            <v>1168.568</v>
          </cell>
          <cell r="BV71">
            <v>1215.18</v>
          </cell>
          <cell r="BW71">
            <v>1262.002</v>
          </cell>
          <cell r="BX71">
            <v>1308.9749999999999</v>
          </cell>
        </row>
        <row r="72">
          <cell r="C72" t="str">
            <v>Gabon</v>
          </cell>
          <cell r="E72">
            <v>266</v>
          </cell>
          <cell r="F72" t="str">
            <v>Country</v>
          </cell>
          <cell r="G72">
            <v>911</v>
          </cell>
          <cell r="H72">
            <v>473.298</v>
          </cell>
          <cell r="I72">
            <v>476.37200000000001</v>
          </cell>
          <cell r="J72">
            <v>478.65199999999999</v>
          </cell>
          <cell r="K72">
            <v>480.53</v>
          </cell>
          <cell r="L72">
            <v>482.33199999999999</v>
          </cell>
          <cell r="M72">
            <v>484.31299999999999</v>
          </cell>
          <cell r="N72">
            <v>486.63900000000001</v>
          </cell>
          <cell r="O72">
            <v>489.44299999999998</v>
          </cell>
          <cell r="P72">
            <v>492.75700000000001</v>
          </cell>
          <cell r="Q72">
            <v>496.58600000000001</v>
          </cell>
          <cell r="R72">
            <v>500.928</v>
          </cell>
          <cell r="S72">
            <v>505.79899999999998</v>
          </cell>
          <cell r="T72">
            <v>511.28699999999998</v>
          </cell>
          <cell r="U72">
            <v>517.58000000000004</v>
          </cell>
          <cell r="V72">
            <v>524.89499999999998</v>
          </cell>
          <cell r="W72">
            <v>533.36099999999999</v>
          </cell>
          <cell r="X72">
            <v>543.11199999999997</v>
          </cell>
          <cell r="Y72">
            <v>554.05899999999997</v>
          </cell>
          <cell r="Z72">
            <v>565.76599999999996</v>
          </cell>
          <cell r="AA72">
            <v>577.64599999999996</v>
          </cell>
          <cell r="AB72">
            <v>589.31399999999996</v>
          </cell>
          <cell r="AC72">
            <v>600.61300000000006</v>
          </cell>
          <cell r="AD72">
            <v>611.70399999999995</v>
          </cell>
          <cell r="AE72">
            <v>622.91999999999996</v>
          </cell>
          <cell r="AF72">
            <v>634.74199999999996</v>
          </cell>
          <cell r="AG72">
            <v>647.53599999999994</v>
          </cell>
          <cell r="AH72">
            <v>661.40200000000004</v>
          </cell>
          <cell r="AI72">
            <v>676.255</v>
          </cell>
          <cell r="AJ72">
            <v>692.077</v>
          </cell>
          <cell r="AK72">
            <v>708.78800000000001</v>
          </cell>
          <cell r="AL72">
            <v>726.32799999999997</v>
          </cell>
          <cell r="AM72">
            <v>744.69600000000003</v>
          </cell>
          <cell r="AN72">
            <v>763.93</v>
          </cell>
          <cell r="AO72">
            <v>784.06100000000004</v>
          </cell>
          <cell r="AP72">
            <v>805.11500000000001</v>
          </cell>
          <cell r="AQ72">
            <v>827.10799999999995</v>
          </cell>
          <cell r="AR72">
            <v>850.048</v>
          </cell>
          <cell r="AS72">
            <v>873.86699999999996</v>
          </cell>
          <cell r="AT72">
            <v>898.46900000000005</v>
          </cell>
          <cell r="AU72">
            <v>923.71100000000001</v>
          </cell>
          <cell r="AV72">
            <v>949.48800000000006</v>
          </cell>
          <cell r="AW72">
            <v>975.78300000000002</v>
          </cell>
          <cell r="AX72">
            <v>1002.579</v>
          </cell>
          <cell r="AY72">
            <v>1029.778</v>
          </cell>
          <cell r="AZ72">
            <v>1057.2550000000001</v>
          </cell>
          <cell r="BA72">
            <v>1084.9459999999999</v>
          </cell>
          <cell r="BB72">
            <v>1112.9549999999999</v>
          </cell>
          <cell r="BC72">
            <v>1141.338</v>
          </cell>
          <cell r="BD72">
            <v>1170.0609999999999</v>
          </cell>
          <cell r="BE72">
            <v>1199.0519999999999</v>
          </cell>
          <cell r="BF72">
            <v>1228.3599999999999</v>
          </cell>
          <cell r="BG72">
            <v>1258.0029999999999</v>
          </cell>
          <cell r="BH72">
            <v>1288.3150000000001</v>
          </cell>
          <cell r="BI72">
            <v>1319.953</v>
          </cell>
          <cell r="BJ72">
            <v>1353.7950000000001</v>
          </cell>
          <cell r="BK72">
            <v>1390.549</v>
          </cell>
          <cell r="BL72">
            <v>1430.152</v>
          </cell>
          <cell r="BM72">
            <v>1472.575</v>
          </cell>
          <cell r="BN72">
            <v>1518.54</v>
          </cell>
          <cell r="BO72">
            <v>1568.9280000000001</v>
          </cell>
          <cell r="BP72">
            <v>1624.14</v>
          </cell>
          <cell r="BQ72">
            <v>1684.635</v>
          </cell>
          <cell r="BR72">
            <v>1749.682</v>
          </cell>
          <cell r="BS72">
            <v>1817.0709999999999</v>
          </cell>
          <cell r="BT72">
            <v>1883.8</v>
          </cell>
          <cell r="BU72">
            <v>1947.6859999999999</v>
          </cell>
          <cell r="BV72">
            <v>2007.873</v>
          </cell>
          <cell r="BW72">
            <v>2064.8229999999999</v>
          </cell>
          <cell r="BX72">
            <v>2119.2750000000001</v>
          </cell>
        </row>
        <row r="73">
          <cell r="C73" t="str">
            <v>Sao Tome and Principe</v>
          </cell>
          <cell r="E73">
            <v>678</v>
          </cell>
          <cell r="F73" t="str">
            <v>Country</v>
          </cell>
          <cell r="G73">
            <v>911</v>
          </cell>
          <cell r="H73">
            <v>60.002000000000002</v>
          </cell>
          <cell r="I73">
            <v>59.213999999999999</v>
          </cell>
          <cell r="J73">
            <v>58.545999999999999</v>
          </cell>
          <cell r="K73">
            <v>58.189</v>
          </cell>
          <cell r="L73">
            <v>58.262999999999998</v>
          </cell>
          <cell r="M73">
            <v>58.805999999999997</v>
          </cell>
          <cell r="N73">
            <v>59.767000000000003</v>
          </cell>
          <cell r="O73">
            <v>61.024000000000001</v>
          </cell>
          <cell r="P73">
            <v>62.35</v>
          </cell>
          <cell r="Q73">
            <v>63.515999999999998</v>
          </cell>
          <cell r="R73">
            <v>64.302000000000007</v>
          </cell>
          <cell r="S73">
            <v>64.602000000000004</v>
          </cell>
          <cell r="T73">
            <v>64.478999999999999</v>
          </cell>
          <cell r="U73">
            <v>64.230999999999995</v>
          </cell>
          <cell r="V73">
            <v>64.277000000000001</v>
          </cell>
          <cell r="W73">
            <v>64.891999999999996</v>
          </cell>
          <cell r="X73">
            <v>66.183000000000007</v>
          </cell>
          <cell r="Y73">
            <v>68.046999999999997</v>
          </cell>
          <cell r="Z73">
            <v>70.257000000000005</v>
          </cell>
          <cell r="AA73">
            <v>72.507000000000005</v>
          </cell>
          <cell r="AB73">
            <v>74.563999999999993</v>
          </cell>
          <cell r="AC73">
            <v>76.346999999999994</v>
          </cell>
          <cell r="AD73">
            <v>77.933999999999997</v>
          </cell>
          <cell r="AE73">
            <v>79.463999999999999</v>
          </cell>
          <cell r="AF73">
            <v>81.152000000000001</v>
          </cell>
          <cell r="AG73">
            <v>83.138000000000005</v>
          </cell>
          <cell r="AH73">
            <v>85.480999999999995</v>
          </cell>
          <cell r="AI73">
            <v>88.11</v>
          </cell>
          <cell r="AJ73">
            <v>90.843000000000004</v>
          </cell>
          <cell r="AK73">
            <v>93.460999999999999</v>
          </cell>
          <cell r="AL73">
            <v>95.793999999999997</v>
          </cell>
          <cell r="AM73">
            <v>97.77</v>
          </cell>
          <cell r="AN73">
            <v>99.472999999999999</v>
          </cell>
          <cell r="AO73">
            <v>101.066</v>
          </cell>
          <cell r="AP73">
            <v>102.82899999999999</v>
          </cell>
          <cell r="AQ73">
            <v>104.92400000000001</v>
          </cell>
          <cell r="AR73">
            <v>107.429</v>
          </cell>
          <cell r="AS73">
            <v>110.254</v>
          </cell>
          <cell r="AT73">
            <v>113.285</v>
          </cell>
          <cell r="AU73">
            <v>116.32</v>
          </cell>
          <cell r="AV73">
            <v>119.209</v>
          </cell>
          <cell r="AW73">
            <v>121.956</v>
          </cell>
          <cell r="AX73">
            <v>124.57599999999999</v>
          </cell>
          <cell r="AY73">
            <v>127.062</v>
          </cell>
          <cell r="AZ73">
            <v>129.42699999999999</v>
          </cell>
          <cell r="BA73">
            <v>131.678</v>
          </cell>
          <cell r="BB73">
            <v>133.80600000000001</v>
          </cell>
          <cell r="BC73">
            <v>135.83199999999999</v>
          </cell>
          <cell r="BD73">
            <v>137.84800000000001</v>
          </cell>
          <cell r="BE73">
            <v>139.959</v>
          </cell>
          <cell r="BF73">
            <v>142.262</v>
          </cell>
          <cell r="BG73">
            <v>144.755</v>
          </cell>
          <cell r="BH73">
            <v>147.447</v>
          </cell>
          <cell r="BI73">
            <v>150.41499999999999</v>
          </cell>
          <cell r="BJ73">
            <v>153.73699999999999</v>
          </cell>
          <cell r="BK73">
            <v>157.47200000000001</v>
          </cell>
          <cell r="BL73">
            <v>161.68100000000001</v>
          </cell>
          <cell r="BM73">
            <v>166.3</v>
          </cell>
          <cell r="BN73">
            <v>171.12</v>
          </cell>
          <cell r="BO73">
            <v>175.876</v>
          </cell>
          <cell r="BP73">
            <v>180.37100000000001</v>
          </cell>
          <cell r="BQ73">
            <v>184.524</v>
          </cell>
          <cell r="BR73">
            <v>188.404</v>
          </cell>
          <cell r="BS73">
            <v>192.08699999999999</v>
          </cell>
          <cell r="BT73">
            <v>195.727</v>
          </cell>
          <cell r="BU73">
            <v>199.43199999999999</v>
          </cell>
          <cell r="BV73">
            <v>203.227</v>
          </cell>
          <cell r="BW73">
            <v>207.089</v>
          </cell>
          <cell r="BX73">
            <v>211.02799999999999</v>
          </cell>
        </row>
        <row r="74">
          <cell r="C74" t="str">
            <v>Southern Africa</v>
          </cell>
          <cell r="E74">
            <v>913</v>
          </cell>
          <cell r="F74" t="str">
            <v>Subregion</v>
          </cell>
          <cell r="G74">
            <v>947</v>
          </cell>
          <cell r="H74">
            <v>15533.031999999999</v>
          </cell>
          <cell r="I74">
            <v>15866.071</v>
          </cell>
          <cell r="J74">
            <v>16209.74</v>
          </cell>
          <cell r="K74">
            <v>16564.208999999999</v>
          </cell>
          <cell r="L74">
            <v>16929.916000000001</v>
          </cell>
          <cell r="M74">
            <v>17307.499</v>
          </cell>
          <cell r="N74">
            <v>17697.828000000001</v>
          </cell>
          <cell r="O74">
            <v>18102.011999999999</v>
          </cell>
          <cell r="P74">
            <v>18521.298999999999</v>
          </cell>
          <cell r="Q74">
            <v>18957.063999999998</v>
          </cell>
          <cell r="R74">
            <v>19410.580000000002</v>
          </cell>
          <cell r="S74">
            <v>19882.732</v>
          </cell>
          <cell r="T74">
            <v>20373.91</v>
          </cell>
          <cell r="U74">
            <v>20883.831999999999</v>
          </cell>
          <cell r="V74">
            <v>21411.861000000001</v>
          </cell>
          <cell r="W74">
            <v>21957.644</v>
          </cell>
          <cell r="X74">
            <v>22520.701000000001</v>
          </cell>
          <cell r="Y74">
            <v>23101.673999999999</v>
          </cell>
          <cell r="Z74">
            <v>23702.705000000002</v>
          </cell>
          <cell r="AA74">
            <v>24326.618999999999</v>
          </cell>
          <cell r="AB74">
            <v>24975.138999999999</v>
          </cell>
          <cell r="AC74">
            <v>25650.562999999998</v>
          </cell>
          <cell r="AD74">
            <v>26351.691999999999</v>
          </cell>
          <cell r="AE74">
            <v>27072.714</v>
          </cell>
          <cell r="AF74">
            <v>27805.539000000001</v>
          </cell>
          <cell r="AG74">
            <v>28545.018</v>
          </cell>
          <cell r="AH74">
            <v>29287.108</v>
          </cell>
          <cell r="AI74">
            <v>30035.194</v>
          </cell>
          <cell r="AJ74">
            <v>30800.487000000001</v>
          </cell>
          <cell r="AK74">
            <v>31598.758000000002</v>
          </cell>
          <cell r="AL74">
            <v>32440.476999999999</v>
          </cell>
          <cell r="AM74">
            <v>33330.631000000001</v>
          </cell>
          <cell r="AN74">
            <v>34263.605000000003</v>
          </cell>
          <cell r="AO74">
            <v>35226.362999999998</v>
          </cell>
          <cell r="AP74">
            <v>36200.241000000002</v>
          </cell>
          <cell r="AQ74">
            <v>37171.815000000002</v>
          </cell>
          <cell r="AR74">
            <v>38132.110999999997</v>
          </cell>
          <cell r="AS74">
            <v>39084.455999999998</v>
          </cell>
          <cell r="AT74">
            <v>40042.275999999998</v>
          </cell>
          <cell r="AU74">
            <v>41025.614000000001</v>
          </cell>
          <cell r="AV74">
            <v>42046.337</v>
          </cell>
          <cell r="AW74">
            <v>43109.464999999997</v>
          </cell>
          <cell r="AX74">
            <v>44202.396999999997</v>
          </cell>
          <cell r="AY74">
            <v>45297.902999999998</v>
          </cell>
          <cell r="AZ74">
            <v>46358.883999999998</v>
          </cell>
          <cell r="BA74">
            <v>47358.235999999997</v>
          </cell>
          <cell r="BB74">
            <v>48288.917999999998</v>
          </cell>
          <cell r="BC74">
            <v>49157.387999999999</v>
          </cell>
          <cell r="BD74">
            <v>49967.156999999999</v>
          </cell>
          <cell r="BE74">
            <v>50726.504999999997</v>
          </cell>
          <cell r="BF74">
            <v>51443.851999999999</v>
          </cell>
          <cell r="BG74">
            <v>52118.972999999998</v>
          </cell>
          <cell r="BH74">
            <v>52755.966</v>
          </cell>
          <cell r="BI74">
            <v>53373.860999999997</v>
          </cell>
          <cell r="BJ74">
            <v>53997.108</v>
          </cell>
          <cell r="BK74">
            <v>54644.692000000003</v>
          </cell>
          <cell r="BL74">
            <v>55322.714999999997</v>
          </cell>
          <cell r="BM74">
            <v>56031.305999999997</v>
          </cell>
          <cell r="BN74">
            <v>56775.578000000001</v>
          </cell>
          <cell r="BO74">
            <v>57559.150999999998</v>
          </cell>
          <cell r="BP74">
            <v>58383.360999999997</v>
          </cell>
          <cell r="BQ74">
            <v>59251.677000000003</v>
          </cell>
          <cell r="BR74">
            <v>60161.279000000002</v>
          </cell>
          <cell r="BS74">
            <v>61098.55</v>
          </cell>
          <cell r="BT74">
            <v>62044.690999999999</v>
          </cell>
          <cell r="BU74">
            <v>62985.052000000003</v>
          </cell>
          <cell r="BV74">
            <v>63914.644</v>
          </cell>
          <cell r="BW74">
            <v>64833.807999999997</v>
          </cell>
          <cell r="BX74">
            <v>65739.495999999999</v>
          </cell>
        </row>
        <row r="75">
          <cell r="C75" t="str">
            <v>Botswana</v>
          </cell>
          <cell r="E75">
            <v>72</v>
          </cell>
          <cell r="F75" t="str">
            <v>Country</v>
          </cell>
          <cell r="G75">
            <v>913</v>
          </cell>
          <cell r="H75">
            <v>412.53100000000001</v>
          </cell>
          <cell r="I75">
            <v>424</v>
          </cell>
          <cell r="J75">
            <v>435.03399999999999</v>
          </cell>
          <cell r="K75">
            <v>445.33</v>
          </cell>
          <cell r="L75">
            <v>454.77699999999999</v>
          </cell>
          <cell r="M75">
            <v>463.35899999999998</v>
          </cell>
          <cell r="N75">
            <v>471.22699999999998</v>
          </cell>
          <cell r="O75">
            <v>478.66500000000002</v>
          </cell>
          <cell r="P75">
            <v>486.08</v>
          </cell>
          <cell r="Q75">
            <v>493.96100000000001</v>
          </cell>
          <cell r="R75">
            <v>502.745</v>
          </cell>
          <cell r="S75">
            <v>512.68499999999995</v>
          </cell>
          <cell r="T75">
            <v>523.77800000000002</v>
          </cell>
          <cell r="U75">
            <v>535.68499999999995</v>
          </cell>
          <cell r="V75">
            <v>547.87300000000005</v>
          </cell>
          <cell r="W75">
            <v>559.99400000000003</v>
          </cell>
          <cell r="X75">
            <v>571.96400000000006</v>
          </cell>
          <cell r="Y75">
            <v>584.09199999999998</v>
          </cell>
          <cell r="Z75">
            <v>596.947</v>
          </cell>
          <cell r="AA75">
            <v>611.29999999999995</v>
          </cell>
          <cell r="AB75">
            <v>627.71500000000003</v>
          </cell>
          <cell r="AC75">
            <v>646.34699999999998</v>
          </cell>
          <cell r="AD75">
            <v>667.09199999999998</v>
          </cell>
          <cell r="AE75">
            <v>689.91200000000003</v>
          </cell>
          <cell r="AF75">
            <v>714.71199999999999</v>
          </cell>
          <cell r="AG75">
            <v>741.35500000000002</v>
          </cell>
          <cell r="AH75">
            <v>769.97900000000004</v>
          </cell>
          <cell r="AI75">
            <v>800.529</v>
          </cell>
          <cell r="AJ75">
            <v>832.46699999999998</v>
          </cell>
          <cell r="AK75">
            <v>865.07500000000005</v>
          </cell>
          <cell r="AL75">
            <v>897.86800000000005</v>
          </cell>
          <cell r="AM75">
            <v>930.40800000000002</v>
          </cell>
          <cell r="AN75">
            <v>962.875</v>
          </cell>
          <cell r="AO75">
            <v>996.13</v>
          </cell>
          <cell r="AP75">
            <v>1031.4390000000001</v>
          </cell>
          <cell r="AQ75">
            <v>1069.5820000000001</v>
          </cell>
          <cell r="AR75">
            <v>1110.943</v>
          </cell>
          <cell r="AS75">
            <v>1154.9059999999999</v>
          </cell>
          <cell r="AT75">
            <v>1200.067</v>
          </cell>
          <cell r="AU75">
            <v>1244.4839999999999</v>
          </cell>
          <cell r="AV75">
            <v>1286.7560000000001</v>
          </cell>
          <cell r="AW75">
            <v>1326.3219999999999</v>
          </cell>
          <cell r="AX75">
            <v>1363.5540000000001</v>
          </cell>
          <cell r="AY75">
            <v>1399.11</v>
          </cell>
          <cell r="AZ75">
            <v>1434.059</v>
          </cell>
          <cell r="BA75">
            <v>1469.174</v>
          </cell>
          <cell r="BB75">
            <v>1504.73</v>
          </cell>
          <cell r="BC75">
            <v>1540.425</v>
          </cell>
          <cell r="BD75">
            <v>1575.8240000000001</v>
          </cell>
          <cell r="BE75">
            <v>1610.2639999999999</v>
          </cell>
          <cell r="BF75">
            <v>1643.3340000000001</v>
          </cell>
          <cell r="BG75">
            <v>1674.6780000000001</v>
          </cell>
          <cell r="BH75">
            <v>1704.6420000000001</v>
          </cell>
          <cell r="BI75">
            <v>1734.3979999999999</v>
          </cell>
          <cell r="BJ75">
            <v>1765.527</v>
          </cell>
          <cell r="BK75">
            <v>1799.078</v>
          </cell>
          <cell r="BL75">
            <v>1835.9079999999999</v>
          </cell>
          <cell r="BM75">
            <v>1875.4590000000001</v>
          </cell>
          <cell r="BN75">
            <v>1915.6389999999999</v>
          </cell>
          <cell r="BO75">
            <v>1953.498</v>
          </cell>
          <cell r="BP75">
            <v>1987.105</v>
          </cell>
          <cell r="BQ75">
            <v>2015.403</v>
          </cell>
          <cell r="BR75">
            <v>2039.556</v>
          </cell>
          <cell r="BS75">
            <v>2062.5479999999998</v>
          </cell>
          <cell r="BT75">
            <v>2088.6179999999999</v>
          </cell>
          <cell r="BU75">
            <v>2120.7159999999999</v>
          </cell>
          <cell r="BV75">
            <v>2159.9270000000001</v>
          </cell>
          <cell r="BW75">
            <v>2205.08</v>
          </cell>
          <cell r="BX75">
            <v>2254.0680000000002</v>
          </cell>
        </row>
        <row r="76">
          <cell r="C76" t="str">
            <v>Eswatini</v>
          </cell>
          <cell r="E76">
            <v>748</v>
          </cell>
          <cell r="F76" t="str">
            <v>Country</v>
          </cell>
          <cell r="G76">
            <v>913</v>
          </cell>
          <cell r="H76">
            <v>273.00299999999999</v>
          </cell>
          <cell r="I76">
            <v>279.36399999999998</v>
          </cell>
          <cell r="J76">
            <v>285.291</v>
          </cell>
          <cell r="K76">
            <v>291.07900000000001</v>
          </cell>
          <cell r="L76">
            <v>296.94099999999997</v>
          </cell>
          <cell r="M76">
            <v>303.02800000000002</v>
          </cell>
          <cell r="N76">
            <v>309.39600000000002</v>
          </cell>
          <cell r="O76">
            <v>316.03800000000001</v>
          </cell>
          <cell r="P76">
            <v>322.86200000000002</v>
          </cell>
          <cell r="Q76">
            <v>329.745</v>
          </cell>
          <cell r="R76">
            <v>336.58300000000003</v>
          </cell>
          <cell r="S76">
            <v>343.34500000000003</v>
          </cell>
          <cell r="T76">
            <v>350.15600000000001</v>
          </cell>
          <cell r="U76">
            <v>357.29199999999997</v>
          </cell>
          <cell r="V76">
            <v>365.12200000000001</v>
          </cell>
          <cell r="W76">
            <v>373.91899999999998</v>
          </cell>
          <cell r="X76">
            <v>383.82600000000002</v>
          </cell>
          <cell r="Y76">
            <v>394.75700000000001</v>
          </cell>
          <cell r="Z76">
            <v>406.50599999999997</v>
          </cell>
          <cell r="AA76">
            <v>418.74700000000001</v>
          </cell>
          <cell r="AB76">
            <v>431.25299999999999</v>
          </cell>
          <cell r="AC76">
            <v>443.97699999999998</v>
          </cell>
          <cell r="AD76">
            <v>457.03899999999999</v>
          </cell>
          <cell r="AE76">
            <v>470.55900000000003</v>
          </cell>
          <cell r="AF76">
            <v>484.74900000000002</v>
          </cell>
          <cell r="AG76">
            <v>499.76299999999998</v>
          </cell>
          <cell r="AH76">
            <v>515.59900000000005</v>
          </cell>
          <cell r="AI76">
            <v>532.26</v>
          </cell>
          <cell r="AJ76">
            <v>549.79600000000005</v>
          </cell>
          <cell r="AK76">
            <v>568.31500000000005</v>
          </cell>
          <cell r="AL76">
            <v>587.85799999999995</v>
          </cell>
          <cell r="AM76">
            <v>608.38</v>
          </cell>
          <cell r="AN76">
            <v>629.81100000000004</v>
          </cell>
          <cell r="AO76">
            <v>652.11500000000001</v>
          </cell>
          <cell r="AP76">
            <v>675.23900000000003</v>
          </cell>
          <cell r="AQ76">
            <v>699.08</v>
          </cell>
          <cell r="AR76">
            <v>723.59500000000003</v>
          </cell>
          <cell r="AS76">
            <v>748.63199999999995</v>
          </cell>
          <cell r="AT76">
            <v>773.76800000000003</v>
          </cell>
          <cell r="AU76">
            <v>798.50699999999995</v>
          </cell>
          <cell r="AV76">
            <v>822.42</v>
          </cell>
          <cell r="AW76">
            <v>845.26599999999996</v>
          </cell>
          <cell r="AX76">
            <v>866.99300000000005</v>
          </cell>
          <cell r="AY76">
            <v>887.70600000000002</v>
          </cell>
          <cell r="AZ76">
            <v>907.62</v>
          </cell>
          <cell r="BA76">
            <v>926.84100000000001</v>
          </cell>
          <cell r="BB76">
            <v>945.50800000000004</v>
          </cell>
          <cell r="BC76">
            <v>963.42600000000004</v>
          </cell>
          <cell r="BD76">
            <v>979.91800000000001</v>
          </cell>
          <cell r="BE76">
            <v>994.10799999999995</v>
          </cell>
          <cell r="BF76">
            <v>1005.4349999999999</v>
          </cell>
          <cell r="BG76">
            <v>1013.609</v>
          </cell>
          <cell r="BH76">
            <v>1019.059</v>
          </cell>
          <cell r="BI76">
            <v>1022.802</v>
          </cell>
          <cell r="BJ76">
            <v>1026.2860000000001</v>
          </cell>
          <cell r="BK76">
            <v>1030.579</v>
          </cell>
          <cell r="BL76">
            <v>1036.0920000000001</v>
          </cell>
          <cell r="BM76">
            <v>1042.652</v>
          </cell>
          <cell r="BN76">
            <v>1049.9449999999999</v>
          </cell>
          <cell r="BO76">
            <v>1057.4670000000001</v>
          </cell>
          <cell r="BP76">
            <v>1064.837</v>
          </cell>
          <cell r="BQ76">
            <v>1072.0329999999999</v>
          </cell>
          <cell r="BR76">
            <v>1079.288</v>
          </cell>
          <cell r="BS76">
            <v>1086.8430000000001</v>
          </cell>
          <cell r="BT76">
            <v>1095.019</v>
          </cell>
          <cell r="BU76">
            <v>1104.0440000000001</v>
          </cell>
          <cell r="BV76">
            <v>1113.9970000000001</v>
          </cell>
          <cell r="BW76">
            <v>1124.8050000000001</v>
          </cell>
          <cell r="BX76">
            <v>1136.2809999999999</v>
          </cell>
        </row>
        <row r="77">
          <cell r="C77" t="str">
            <v>Lesotho</v>
          </cell>
          <cell r="E77">
            <v>426</v>
          </cell>
          <cell r="F77" t="str">
            <v>Country</v>
          </cell>
          <cell r="G77">
            <v>913</v>
          </cell>
          <cell r="H77">
            <v>704.68600000000004</v>
          </cell>
          <cell r="I77">
            <v>716.80399999999997</v>
          </cell>
          <cell r="J77">
            <v>728.99699999999996</v>
          </cell>
          <cell r="K77">
            <v>741.33799999999997</v>
          </cell>
          <cell r="L77">
            <v>753.90200000000004</v>
          </cell>
          <cell r="M77">
            <v>766.76300000000003</v>
          </cell>
          <cell r="N77">
            <v>779.97699999999998</v>
          </cell>
          <cell r="O77">
            <v>793.601</v>
          </cell>
          <cell r="P77">
            <v>807.66499999999996</v>
          </cell>
          <cell r="Q77">
            <v>822.21199999999999</v>
          </cell>
          <cell r="R77">
            <v>837.27</v>
          </cell>
          <cell r="S77">
            <v>852.89</v>
          </cell>
          <cell r="T77">
            <v>869.13599999999997</v>
          </cell>
          <cell r="U77">
            <v>886.05700000000002</v>
          </cell>
          <cell r="V77">
            <v>903.76300000000003</v>
          </cell>
          <cell r="W77">
            <v>922.30600000000004</v>
          </cell>
          <cell r="X77">
            <v>941.79399999999998</v>
          </cell>
          <cell r="Y77">
            <v>962.27300000000002</v>
          </cell>
          <cell r="Z77">
            <v>983.68499999999995</v>
          </cell>
          <cell r="AA77">
            <v>1005.909</v>
          </cell>
          <cell r="AB77">
            <v>1028.9259999999999</v>
          </cell>
          <cell r="AC77">
            <v>1052.614</v>
          </cell>
          <cell r="AD77">
            <v>1077.095</v>
          </cell>
          <cell r="AE77">
            <v>1102.8779999999999</v>
          </cell>
          <cell r="AF77">
            <v>1130.635</v>
          </cell>
          <cell r="AG77">
            <v>1160.7919999999999</v>
          </cell>
          <cell r="AH77">
            <v>1193.521</v>
          </cell>
          <cell r="AI77">
            <v>1228.5360000000001</v>
          </cell>
          <cell r="AJ77">
            <v>1265.202</v>
          </cell>
          <cell r="AK77">
            <v>1302.6669999999999</v>
          </cell>
          <cell r="AL77">
            <v>1340.2550000000001</v>
          </cell>
          <cell r="AM77">
            <v>1377.799</v>
          </cell>
          <cell r="AN77">
            <v>1415.367</v>
          </cell>
          <cell r="AO77">
            <v>1452.7280000000001</v>
          </cell>
          <cell r="AP77">
            <v>1489.691</v>
          </cell>
          <cell r="AQ77">
            <v>1526.1310000000001</v>
          </cell>
          <cell r="AR77">
            <v>1561.692</v>
          </cell>
          <cell r="AS77">
            <v>1596.394</v>
          </cell>
          <cell r="AT77">
            <v>1630.9960000000001</v>
          </cell>
          <cell r="AU77">
            <v>1666.5630000000001</v>
          </cell>
          <cell r="AV77">
            <v>1703.7470000000001</v>
          </cell>
          <cell r="AW77">
            <v>1742.539</v>
          </cell>
          <cell r="AX77">
            <v>1782.2850000000001</v>
          </cell>
          <cell r="AY77">
            <v>1822.2360000000001</v>
          </cell>
          <cell r="AZ77">
            <v>1861.3240000000001</v>
          </cell>
          <cell r="BA77">
            <v>1898.598</v>
          </cell>
          <cell r="BB77">
            <v>1934.2909999999999</v>
          </cell>
          <cell r="BC77">
            <v>1968.0440000000001</v>
          </cell>
          <cell r="BD77">
            <v>1997.5160000000001</v>
          </cell>
          <cell r="BE77">
            <v>2019.731</v>
          </cell>
          <cell r="BF77">
            <v>2032.8040000000001</v>
          </cell>
          <cell r="BG77">
            <v>2035.74</v>
          </cell>
          <cell r="BH77">
            <v>2029.829</v>
          </cell>
          <cell r="BI77">
            <v>2018.348</v>
          </cell>
          <cell r="BJ77">
            <v>2005.94</v>
          </cell>
          <cell r="BK77">
            <v>1996.114</v>
          </cell>
          <cell r="BL77">
            <v>1989.9390000000001</v>
          </cell>
          <cell r="BM77">
            <v>1986.922</v>
          </cell>
          <cell r="BN77">
            <v>1987.1289999999999</v>
          </cell>
          <cell r="BO77">
            <v>1990.1310000000001</v>
          </cell>
          <cell r="BP77">
            <v>1995.5809999999999</v>
          </cell>
          <cell r="BQ77">
            <v>2003.788</v>
          </cell>
          <cell r="BR77">
            <v>2014.9939999999999</v>
          </cell>
          <cell r="BS77">
            <v>2028.53</v>
          </cell>
          <cell r="BT77">
            <v>2043.4449999999999</v>
          </cell>
          <cell r="BU77">
            <v>2059.0210000000002</v>
          </cell>
          <cell r="BV77">
            <v>2075.0300000000002</v>
          </cell>
          <cell r="BW77">
            <v>2091.5340000000001</v>
          </cell>
          <cell r="BX77">
            <v>2108.328</v>
          </cell>
        </row>
        <row r="78">
          <cell r="C78" t="str">
            <v>Namibia</v>
          </cell>
          <cell r="E78">
            <v>516</v>
          </cell>
          <cell r="F78" t="str">
            <v>Country</v>
          </cell>
          <cell r="G78">
            <v>913</v>
          </cell>
          <cell r="H78">
            <v>514.38400000000001</v>
          </cell>
          <cell r="I78">
            <v>523.96900000000005</v>
          </cell>
          <cell r="J78">
            <v>534.16200000000003</v>
          </cell>
          <cell r="K78">
            <v>544.90300000000002</v>
          </cell>
          <cell r="L78">
            <v>556.13800000000003</v>
          </cell>
          <cell r="M78">
            <v>567.84699999999998</v>
          </cell>
          <cell r="N78">
            <v>580.02300000000002</v>
          </cell>
          <cell r="O78">
            <v>592.69200000000001</v>
          </cell>
          <cell r="P78">
            <v>605.9</v>
          </cell>
          <cell r="Q78">
            <v>619.697</v>
          </cell>
          <cell r="R78">
            <v>634.14200000000005</v>
          </cell>
          <cell r="S78">
            <v>649.279</v>
          </cell>
          <cell r="T78">
            <v>665.11500000000001</v>
          </cell>
          <cell r="U78">
            <v>681.63699999999994</v>
          </cell>
          <cell r="V78">
            <v>698.79600000000005</v>
          </cell>
          <cell r="W78">
            <v>716.58399999999995</v>
          </cell>
          <cell r="X78">
            <v>734.86699999999996</v>
          </cell>
          <cell r="Y78">
            <v>753.68799999999999</v>
          </cell>
          <cell r="Z78">
            <v>773.42200000000003</v>
          </cell>
          <cell r="AA78">
            <v>794.58799999999997</v>
          </cell>
          <cell r="AB78">
            <v>817.46900000000005</v>
          </cell>
          <cell r="AC78">
            <v>842.35400000000004</v>
          </cell>
          <cell r="AD78">
            <v>868.95799999999997</v>
          </cell>
          <cell r="AE78">
            <v>896.26599999999996</v>
          </cell>
          <cell r="AF78">
            <v>922.90300000000002</v>
          </cell>
          <cell r="AG78">
            <v>947.92100000000005</v>
          </cell>
          <cell r="AH78">
            <v>971.12099999999998</v>
          </cell>
          <cell r="AI78">
            <v>992.95600000000002</v>
          </cell>
          <cell r="AJ78">
            <v>1014.057</v>
          </cell>
          <cell r="AK78">
            <v>1035.3810000000001</v>
          </cell>
          <cell r="AL78">
            <v>1057.7270000000001</v>
          </cell>
          <cell r="AM78">
            <v>1080.941</v>
          </cell>
          <cell r="AN78">
            <v>1105.104</v>
          </cell>
          <cell r="AO78">
            <v>1131.6320000000001</v>
          </cell>
          <cell r="AP78">
            <v>1162.279</v>
          </cell>
          <cell r="AQ78">
            <v>1198.1479999999999</v>
          </cell>
          <cell r="AR78">
            <v>1239.9280000000001</v>
          </cell>
          <cell r="AS78">
            <v>1286.797</v>
          </cell>
          <cell r="AT78">
            <v>1336.5360000000001</v>
          </cell>
          <cell r="AU78">
            <v>1386.01</v>
          </cell>
          <cell r="AV78">
            <v>1432.905</v>
          </cell>
          <cell r="AW78">
            <v>1476.3879999999999</v>
          </cell>
          <cell r="AX78">
            <v>1516.9580000000001</v>
          </cell>
          <cell r="AY78">
            <v>1555.1010000000001</v>
          </cell>
          <cell r="AZ78">
            <v>1591.8219999999999</v>
          </cell>
          <cell r="BA78">
            <v>1627.865</v>
          </cell>
          <cell r="BB78">
            <v>1663.3779999999999</v>
          </cell>
          <cell r="BC78">
            <v>1698.0319999999999</v>
          </cell>
          <cell r="BD78">
            <v>1731.6389999999999</v>
          </cell>
          <cell r="BE78">
            <v>1763.8589999999999</v>
          </cell>
          <cell r="BF78">
            <v>1794.5709999999999</v>
          </cell>
          <cell r="BG78">
            <v>1823.672</v>
          </cell>
          <cell r="BH78">
            <v>1851.5229999999999</v>
          </cell>
          <cell r="BI78">
            <v>1879.117</v>
          </cell>
          <cell r="BJ78">
            <v>1907.7449999999999</v>
          </cell>
          <cell r="BK78">
            <v>1938.32</v>
          </cell>
          <cell r="BL78">
            <v>1971.317</v>
          </cell>
          <cell r="BM78">
            <v>2006.5139999999999</v>
          </cell>
          <cell r="BN78">
            <v>2043.394</v>
          </cell>
          <cell r="BO78">
            <v>2081.0439999999999</v>
          </cell>
          <cell r="BP78">
            <v>2118.8739999999998</v>
          </cell>
          <cell r="BQ78">
            <v>2156.6979999999999</v>
          </cell>
          <cell r="BR78">
            <v>2194.7829999999999</v>
          </cell>
          <cell r="BS78">
            <v>2233.5079999999998</v>
          </cell>
          <cell r="BT78">
            <v>2273.4229999999998</v>
          </cell>
          <cell r="BU78">
            <v>2314.904</v>
          </cell>
          <cell r="BV78">
            <v>2358.0439999999999</v>
          </cell>
          <cell r="BW78">
            <v>2402.6329999999998</v>
          </cell>
          <cell r="BX78">
            <v>2448.3009999999999</v>
          </cell>
        </row>
        <row r="79">
          <cell r="C79" t="str">
            <v>South Africa</v>
          </cell>
          <cell r="E79">
            <v>710</v>
          </cell>
          <cell r="F79" t="str">
            <v>Country</v>
          </cell>
          <cell r="G79">
            <v>913</v>
          </cell>
          <cell r="H79">
            <v>13628.428</v>
          </cell>
          <cell r="I79">
            <v>13921.933999999999</v>
          </cell>
          <cell r="J79">
            <v>14226.255999999999</v>
          </cell>
          <cell r="K79">
            <v>14541.558999999999</v>
          </cell>
          <cell r="L79">
            <v>14868.157999999999</v>
          </cell>
          <cell r="M79">
            <v>15206.502</v>
          </cell>
          <cell r="N79">
            <v>15557.205</v>
          </cell>
          <cell r="O79">
            <v>15921.016</v>
          </cell>
          <cell r="P79">
            <v>16298.791999999999</v>
          </cell>
          <cell r="Q79">
            <v>16691.449000000001</v>
          </cell>
          <cell r="R79">
            <v>17099.84</v>
          </cell>
          <cell r="S79">
            <v>17524.532999999999</v>
          </cell>
          <cell r="T79">
            <v>17965.724999999999</v>
          </cell>
          <cell r="U79">
            <v>18423.161</v>
          </cell>
          <cell r="V79">
            <v>18896.307000000001</v>
          </cell>
          <cell r="W79">
            <v>19384.841</v>
          </cell>
          <cell r="X79">
            <v>19888.25</v>
          </cell>
          <cell r="Y79">
            <v>20406.864000000001</v>
          </cell>
          <cell r="Z79">
            <v>20942.145</v>
          </cell>
          <cell r="AA79">
            <v>21496.075000000001</v>
          </cell>
          <cell r="AB79">
            <v>22069.776000000002</v>
          </cell>
          <cell r="AC79">
            <v>22665.271000000001</v>
          </cell>
          <cell r="AD79">
            <v>23281.508000000002</v>
          </cell>
          <cell r="AE79">
            <v>23913.098999999998</v>
          </cell>
          <cell r="AF79">
            <v>24552.54</v>
          </cell>
          <cell r="AG79">
            <v>25195.187000000002</v>
          </cell>
          <cell r="AH79">
            <v>25836.887999999999</v>
          </cell>
          <cell r="AI79">
            <v>26480.913</v>
          </cell>
          <cell r="AJ79">
            <v>27138.965</v>
          </cell>
          <cell r="AK79">
            <v>27827.32</v>
          </cell>
          <cell r="AL79">
            <v>28556.769</v>
          </cell>
          <cell r="AM79">
            <v>29333.102999999999</v>
          </cell>
          <cell r="AN79">
            <v>30150.448</v>
          </cell>
          <cell r="AO79">
            <v>30993.758000000002</v>
          </cell>
          <cell r="AP79">
            <v>31841.593000000001</v>
          </cell>
          <cell r="AQ79">
            <v>32678.874</v>
          </cell>
          <cell r="AR79">
            <v>33495.953000000001</v>
          </cell>
          <cell r="AS79">
            <v>34297.726999999999</v>
          </cell>
          <cell r="AT79">
            <v>35100.909</v>
          </cell>
          <cell r="AU79">
            <v>35930.050000000003</v>
          </cell>
          <cell r="AV79">
            <v>36800.508999999998</v>
          </cell>
          <cell r="AW79">
            <v>37718.949999999997</v>
          </cell>
          <cell r="AX79">
            <v>38672.607000000004</v>
          </cell>
          <cell r="AY79">
            <v>39633.75</v>
          </cell>
          <cell r="AZ79">
            <v>40564.059000000001</v>
          </cell>
          <cell r="BA79">
            <v>41435.758000000002</v>
          </cell>
          <cell r="BB79">
            <v>42241.010999999999</v>
          </cell>
          <cell r="BC79">
            <v>42987.461000000003</v>
          </cell>
          <cell r="BD79">
            <v>43682.26</v>
          </cell>
          <cell r="BE79">
            <v>44338.542999999998</v>
          </cell>
          <cell r="BF79">
            <v>44967.707999999999</v>
          </cell>
          <cell r="BG79">
            <v>45571.273999999998</v>
          </cell>
          <cell r="BH79">
            <v>46150.913</v>
          </cell>
          <cell r="BI79">
            <v>46719.196000000004</v>
          </cell>
          <cell r="BJ79">
            <v>47291.61</v>
          </cell>
          <cell r="BK79">
            <v>47880.601000000002</v>
          </cell>
          <cell r="BL79">
            <v>48489.459000000003</v>
          </cell>
          <cell r="BM79">
            <v>49119.758999999998</v>
          </cell>
          <cell r="BN79">
            <v>49779.470999999998</v>
          </cell>
          <cell r="BO79">
            <v>50477.010999999999</v>
          </cell>
          <cell r="BP79">
            <v>51216.964</v>
          </cell>
          <cell r="BQ79">
            <v>52003.754999999997</v>
          </cell>
          <cell r="BR79">
            <v>52832.658000000003</v>
          </cell>
          <cell r="BS79">
            <v>53687.120999999999</v>
          </cell>
          <cell r="BT79">
            <v>54544.186000000002</v>
          </cell>
          <cell r="BU79">
            <v>55386.366999999998</v>
          </cell>
          <cell r="BV79">
            <v>56207.646000000001</v>
          </cell>
          <cell r="BW79">
            <v>57009.756000000001</v>
          </cell>
          <cell r="BX79">
            <v>57792.517999999996</v>
          </cell>
        </row>
        <row r="80">
          <cell r="C80" t="str">
            <v>Western Africa</v>
          </cell>
          <cell r="E80">
            <v>914</v>
          </cell>
          <cell r="F80" t="str">
            <v>Subregion</v>
          </cell>
          <cell r="G80">
            <v>947</v>
          </cell>
          <cell r="H80">
            <v>70875.187999999995</v>
          </cell>
          <cell r="I80">
            <v>71979.846000000005</v>
          </cell>
          <cell r="J80">
            <v>73162.509999999995</v>
          </cell>
          <cell r="K80">
            <v>74414.957999999999</v>
          </cell>
          <cell r="L80">
            <v>75731.358999999997</v>
          </cell>
          <cell r="M80">
            <v>77108.323000000004</v>
          </cell>
          <cell r="N80">
            <v>78545.03</v>
          </cell>
          <cell r="O80">
            <v>80043.017999999996</v>
          </cell>
          <cell r="P80">
            <v>81605.933000000005</v>
          </cell>
          <cell r="Q80">
            <v>83238.937000000005</v>
          </cell>
          <cell r="R80">
            <v>84947.061000000002</v>
          </cell>
          <cell r="S80">
            <v>86733.45</v>
          </cell>
          <cell r="T80">
            <v>88597.718999999997</v>
          </cell>
          <cell r="U80">
            <v>90535.383000000002</v>
          </cell>
          <cell r="V80">
            <v>92539.73</v>
          </cell>
          <cell r="W80">
            <v>94607.301999999996</v>
          </cell>
          <cell r="X80">
            <v>96738.71</v>
          </cell>
          <cell r="Y80">
            <v>98940.459000000003</v>
          </cell>
          <cell r="Z80">
            <v>101222.72500000001</v>
          </cell>
          <cell r="AA80">
            <v>103598.81299999999</v>
          </cell>
          <cell r="AB80">
            <v>106080.033</v>
          </cell>
          <cell r="AC80">
            <v>108668.41899999999</v>
          </cell>
          <cell r="AD80">
            <v>111366.507</v>
          </cell>
          <cell r="AE80">
            <v>114186.178</v>
          </cell>
          <cell r="AF80">
            <v>117141.545</v>
          </cell>
          <cell r="AG80">
            <v>120241.77</v>
          </cell>
          <cell r="AH80">
            <v>123493.239</v>
          </cell>
          <cell r="AI80">
            <v>126891.735</v>
          </cell>
          <cell r="AJ80">
            <v>130422.39200000001</v>
          </cell>
          <cell r="AK80">
            <v>134063.647</v>
          </cell>
          <cell r="AL80">
            <v>137799.46400000001</v>
          </cell>
          <cell r="AM80">
            <v>141624.68900000001</v>
          </cell>
          <cell r="AN80">
            <v>145542.745</v>
          </cell>
          <cell r="AO80">
            <v>149556.33100000001</v>
          </cell>
          <cell r="AP80">
            <v>153671.20199999999</v>
          </cell>
          <cell r="AQ80">
            <v>157891.451</v>
          </cell>
          <cell r="AR80">
            <v>162220.484</v>
          </cell>
          <cell r="AS80">
            <v>166656.49799999999</v>
          </cell>
          <cell r="AT80">
            <v>171192.91899999999</v>
          </cell>
          <cell r="AU80">
            <v>175820.53899999999</v>
          </cell>
          <cell r="AV80">
            <v>180535.011</v>
          </cell>
          <cell r="AW80">
            <v>185334.386</v>
          </cell>
          <cell r="AX80">
            <v>190227.587</v>
          </cell>
          <cell r="AY80">
            <v>195234.76300000001</v>
          </cell>
          <cell r="AZ80">
            <v>200382.67</v>
          </cell>
          <cell r="BA80">
            <v>205691.81899999999</v>
          </cell>
          <cell r="BB80">
            <v>211175.74600000001</v>
          </cell>
          <cell r="BC80">
            <v>216834.508</v>
          </cell>
          <cell r="BD80">
            <v>222658.943</v>
          </cell>
          <cell r="BE80">
            <v>228633.07699999999</v>
          </cell>
          <cell r="BF80">
            <v>234748.622</v>
          </cell>
          <cell r="BG80">
            <v>241003.264</v>
          </cell>
          <cell r="BH80">
            <v>247412.22399999999</v>
          </cell>
          <cell r="BI80">
            <v>254005.674</v>
          </cell>
          <cell r="BJ80">
            <v>260823.405</v>
          </cell>
          <cell r="BK80">
            <v>267894.64799999999</v>
          </cell>
          <cell r="BL80">
            <v>275232.087</v>
          </cell>
          <cell r="BM80">
            <v>282830.136</v>
          </cell>
          <cell r="BN80">
            <v>290676.96799999999</v>
          </cell>
          <cell r="BO80">
            <v>298752.065</v>
          </cell>
          <cell r="BP80">
            <v>307040.44</v>
          </cell>
          <cell r="BQ80">
            <v>315538.37199999997</v>
          </cell>
          <cell r="BR80">
            <v>324250.91100000002</v>
          </cell>
          <cell r="BS80">
            <v>333181.54700000002</v>
          </cell>
          <cell r="BT80">
            <v>342336.11800000002</v>
          </cell>
          <cell r="BU80">
            <v>351717.63299999997</v>
          </cell>
          <cell r="BV80">
            <v>361327.29</v>
          </cell>
          <cell r="BW80">
            <v>371159.53</v>
          </cell>
          <cell r="BX80">
            <v>381202.44</v>
          </cell>
        </row>
        <row r="81">
          <cell r="C81" t="str">
            <v>Benin</v>
          </cell>
          <cell r="E81">
            <v>204</v>
          </cell>
          <cell r="F81" t="str">
            <v>Country</v>
          </cell>
          <cell r="G81">
            <v>914</v>
          </cell>
          <cell r="H81">
            <v>2255.2260000000001</v>
          </cell>
          <cell r="I81">
            <v>2258.4760000000001</v>
          </cell>
          <cell r="J81">
            <v>2264.8710000000001</v>
          </cell>
          <cell r="K81">
            <v>2274.4760000000001</v>
          </cell>
          <cell r="L81">
            <v>2287.3850000000002</v>
          </cell>
          <cell r="M81">
            <v>2303.587</v>
          </cell>
          <cell r="N81">
            <v>2323.056</v>
          </cell>
          <cell r="O81">
            <v>2345.7170000000001</v>
          </cell>
          <cell r="P81">
            <v>2371.453</v>
          </cell>
          <cell r="Q81">
            <v>2400.127</v>
          </cell>
          <cell r="R81">
            <v>2431.6219999999998</v>
          </cell>
          <cell r="S81">
            <v>2465.8670000000002</v>
          </cell>
          <cell r="T81">
            <v>2502.8960000000002</v>
          </cell>
          <cell r="U81">
            <v>2542.8589999999999</v>
          </cell>
          <cell r="V81">
            <v>2585.9650000000001</v>
          </cell>
          <cell r="W81">
            <v>2632.3560000000002</v>
          </cell>
          <cell r="X81">
            <v>2682.1590000000001</v>
          </cell>
          <cell r="Y81">
            <v>2735.3069999999998</v>
          </cell>
          <cell r="Z81">
            <v>2791.59</v>
          </cell>
          <cell r="AA81">
            <v>2850.6610000000001</v>
          </cell>
          <cell r="AB81">
            <v>2912.34</v>
          </cell>
          <cell r="AC81">
            <v>2976.5720000000001</v>
          </cell>
          <cell r="AD81">
            <v>3043.567</v>
          </cell>
          <cell r="AE81">
            <v>3113.6750000000002</v>
          </cell>
          <cell r="AF81">
            <v>3187.4119999999998</v>
          </cell>
          <cell r="AG81">
            <v>3265.165</v>
          </cell>
          <cell r="AH81">
            <v>3347.1729999999998</v>
          </cell>
          <cell r="AI81">
            <v>3433.4389999999999</v>
          </cell>
          <cell r="AJ81">
            <v>3523.9380000000001</v>
          </cell>
          <cell r="AK81">
            <v>3618.5259999999998</v>
          </cell>
          <cell r="AL81">
            <v>3717.165</v>
          </cell>
          <cell r="AM81">
            <v>3820.1280000000002</v>
          </cell>
          <cell r="AN81">
            <v>3927.7139999999999</v>
          </cell>
          <cell r="AO81">
            <v>4039.9490000000001</v>
          </cell>
          <cell r="AP81">
            <v>4156.8190000000004</v>
          </cell>
          <cell r="AQ81">
            <v>4278.5010000000002</v>
          </cell>
          <cell r="AR81">
            <v>4404.5060000000003</v>
          </cell>
          <cell r="AS81">
            <v>4535.2629999999999</v>
          </cell>
          <cell r="AT81">
            <v>4672.8519999999999</v>
          </cell>
          <cell r="AU81">
            <v>4820.0159999999996</v>
          </cell>
          <cell r="AV81">
            <v>4978.4960000000001</v>
          </cell>
          <cell r="AW81">
            <v>5149.4989999999998</v>
          </cell>
          <cell r="AX81">
            <v>5331.8029999999999</v>
          </cell>
          <cell r="AY81">
            <v>5521.7629999999999</v>
          </cell>
          <cell r="AZ81">
            <v>5714.22</v>
          </cell>
          <cell r="BA81">
            <v>5905.558</v>
          </cell>
          <cell r="BB81">
            <v>6094.259</v>
          </cell>
          <cell r="BC81">
            <v>6281.6390000000001</v>
          </cell>
          <cell r="BD81">
            <v>6470.2650000000003</v>
          </cell>
          <cell r="BE81">
            <v>6664.098</v>
          </cell>
          <cell r="BF81">
            <v>6865.951</v>
          </cell>
          <cell r="BG81">
            <v>7076.7330000000002</v>
          </cell>
          <cell r="BH81">
            <v>7295.3940000000002</v>
          </cell>
          <cell r="BI81">
            <v>7520.5550000000003</v>
          </cell>
          <cell r="BJ81">
            <v>7750.0039999999999</v>
          </cell>
          <cell r="BK81">
            <v>7982.2250000000004</v>
          </cell>
          <cell r="BL81">
            <v>8216.8970000000008</v>
          </cell>
          <cell r="BM81">
            <v>8454.7929999999997</v>
          </cell>
          <cell r="BN81">
            <v>8696.9210000000003</v>
          </cell>
          <cell r="BO81">
            <v>8944.7080000000005</v>
          </cell>
          <cell r="BP81">
            <v>9199.259</v>
          </cell>
          <cell r="BQ81">
            <v>9460.8310000000001</v>
          </cell>
          <cell r="BR81">
            <v>9729.2489999999998</v>
          </cell>
          <cell r="BS81">
            <v>10004.591</v>
          </cell>
          <cell r="BT81">
            <v>10286.843999999999</v>
          </cell>
          <cell r="BU81">
            <v>10575.951999999999</v>
          </cell>
          <cell r="BV81">
            <v>10872.063</v>
          </cell>
          <cell r="BW81">
            <v>11175.198</v>
          </cell>
          <cell r="BX81">
            <v>11485.044</v>
          </cell>
        </row>
        <row r="82">
          <cell r="C82" t="str">
            <v>Burkina Faso</v>
          </cell>
          <cell r="E82">
            <v>854</v>
          </cell>
          <cell r="F82" t="str">
            <v>Country</v>
          </cell>
          <cell r="G82">
            <v>914</v>
          </cell>
          <cell r="H82">
            <v>4284.4610000000002</v>
          </cell>
          <cell r="I82">
            <v>4324.4939999999997</v>
          </cell>
          <cell r="J82">
            <v>4367.134</v>
          </cell>
          <cell r="K82">
            <v>4413.2020000000002</v>
          </cell>
          <cell r="L82">
            <v>4463.1679999999997</v>
          </cell>
          <cell r="M82">
            <v>4517.1549999999997</v>
          </cell>
          <cell r="N82">
            <v>4574.942</v>
          </cell>
          <cell r="O82">
            <v>4635.9549999999999</v>
          </cell>
          <cell r="P82">
            <v>4699.34</v>
          </cell>
          <cell r="Q82">
            <v>4764.0770000000002</v>
          </cell>
          <cell r="R82">
            <v>4829.2879999999996</v>
          </cell>
          <cell r="S82">
            <v>4894.58</v>
          </cell>
          <cell r="T82">
            <v>4960.326</v>
          </cell>
          <cell r="U82">
            <v>5027.8209999999999</v>
          </cell>
          <cell r="V82">
            <v>5098.8900000000003</v>
          </cell>
          <cell r="W82">
            <v>5174.87</v>
          </cell>
          <cell r="X82">
            <v>5256.3630000000003</v>
          </cell>
          <cell r="Y82">
            <v>5343.0190000000002</v>
          </cell>
          <cell r="Z82">
            <v>5434.0410000000002</v>
          </cell>
          <cell r="AA82">
            <v>5528.174</v>
          </cell>
          <cell r="AB82">
            <v>5624.6</v>
          </cell>
          <cell r="AC82">
            <v>5723.3810000000003</v>
          </cell>
          <cell r="AD82">
            <v>5825.1729999999998</v>
          </cell>
          <cell r="AE82">
            <v>5930.4830000000002</v>
          </cell>
          <cell r="AF82">
            <v>6040.0410000000002</v>
          </cell>
          <cell r="AG82">
            <v>6154.5450000000001</v>
          </cell>
          <cell r="AH82">
            <v>6274.0370000000003</v>
          </cell>
          <cell r="AI82">
            <v>6398.9350000000004</v>
          </cell>
          <cell r="AJ82">
            <v>6530.8190000000004</v>
          </cell>
          <cell r="AK82">
            <v>6671.6559999999999</v>
          </cell>
          <cell r="AL82">
            <v>6822.8429999999998</v>
          </cell>
          <cell r="AM82">
            <v>6985.16</v>
          </cell>
          <cell r="AN82">
            <v>7158.2550000000001</v>
          </cell>
          <cell r="AO82">
            <v>7340.9049999999997</v>
          </cell>
          <cell r="AP82">
            <v>7531.2420000000002</v>
          </cell>
          <cell r="AQ82">
            <v>7727.9070000000002</v>
          </cell>
          <cell r="AR82">
            <v>7930.6940000000004</v>
          </cell>
          <cell r="AS82">
            <v>8140.0730000000003</v>
          </cell>
          <cell r="AT82">
            <v>8356.3050000000003</v>
          </cell>
          <cell r="AU82">
            <v>8579.8230000000003</v>
          </cell>
          <cell r="AV82">
            <v>8811.0339999999997</v>
          </cell>
          <cell r="AW82">
            <v>9050.0840000000007</v>
          </cell>
          <cell r="AX82">
            <v>9297.1129999999994</v>
          </cell>
          <cell r="AY82">
            <v>9552.4760000000006</v>
          </cell>
          <cell r="AZ82">
            <v>9816.5879999999997</v>
          </cell>
          <cell r="BA82">
            <v>10089.878000000001</v>
          </cell>
          <cell r="BB82">
            <v>10372.745000000001</v>
          </cell>
          <cell r="BC82">
            <v>10665.546</v>
          </cell>
          <cell r="BD82">
            <v>10968.724</v>
          </cell>
          <cell r="BE82">
            <v>11282.700999999999</v>
          </cell>
          <cell r="BF82">
            <v>11607.941999999999</v>
          </cell>
          <cell r="BG82">
            <v>11944.587</v>
          </cell>
          <cell r="BH82">
            <v>12293.1</v>
          </cell>
          <cell r="BI82">
            <v>12654.620999999999</v>
          </cell>
          <cell r="BJ82">
            <v>13030.569</v>
          </cell>
          <cell r="BK82">
            <v>13421.93</v>
          </cell>
          <cell r="BL82">
            <v>13829.175999999999</v>
          </cell>
          <cell r="BM82">
            <v>14252.021000000001</v>
          </cell>
          <cell r="BN82">
            <v>14689.725</v>
          </cell>
          <cell r="BO82">
            <v>15141.098</v>
          </cell>
          <cell r="BP82">
            <v>15605.217000000001</v>
          </cell>
          <cell r="BQ82">
            <v>16081.913</v>
          </cell>
          <cell r="BR82">
            <v>16571.253000000001</v>
          </cell>
          <cell r="BS82">
            <v>17072.785</v>
          </cell>
          <cell r="BT82">
            <v>17586.03</v>
          </cell>
          <cell r="BU82">
            <v>18110.624</v>
          </cell>
          <cell r="BV82">
            <v>18646.357</v>
          </cell>
          <cell r="BW82">
            <v>19193.234</v>
          </cell>
          <cell r="BX82">
            <v>19751.466</v>
          </cell>
        </row>
        <row r="83">
          <cell r="C83" t="str">
            <v>Cabo Verde</v>
          </cell>
          <cell r="E83">
            <v>132</v>
          </cell>
          <cell r="F83" t="str">
            <v>Country</v>
          </cell>
          <cell r="G83">
            <v>914</v>
          </cell>
          <cell r="H83">
            <v>178.065</v>
          </cell>
          <cell r="I83">
            <v>186.09</v>
          </cell>
          <cell r="J83">
            <v>191.441</v>
          </cell>
          <cell r="K83">
            <v>194.714</v>
          </cell>
          <cell r="L83">
            <v>196.464</v>
          </cell>
          <cell r="M83">
            <v>197.19499999999999</v>
          </cell>
          <cell r="N83">
            <v>197.417</v>
          </cell>
          <cell r="O83">
            <v>197.58500000000001</v>
          </cell>
          <cell r="P83">
            <v>198.12799999999999</v>
          </cell>
          <cell r="Q83">
            <v>199.422</v>
          </cell>
          <cell r="R83">
            <v>201.76499999999999</v>
          </cell>
          <cell r="S83">
            <v>205.327</v>
          </cell>
          <cell r="T83">
            <v>210.142</v>
          </cell>
          <cell r="U83">
            <v>216.096</v>
          </cell>
          <cell r="V83">
            <v>222.94800000000001</v>
          </cell>
          <cell r="W83">
            <v>230.41800000000001</v>
          </cell>
          <cell r="X83">
            <v>238.655</v>
          </cell>
          <cell r="Y83">
            <v>247.52699999999999</v>
          </cell>
          <cell r="Z83">
            <v>256.17599999999999</v>
          </cell>
          <cell r="AA83">
            <v>263.45299999999997</v>
          </cell>
          <cell r="AB83">
            <v>268.62700000000001</v>
          </cell>
          <cell r="AC83">
            <v>271.30900000000003</v>
          </cell>
          <cell r="AD83">
            <v>271.84300000000002</v>
          </cell>
          <cell r="AE83">
            <v>271.06799999999998</v>
          </cell>
          <cell r="AF83">
            <v>270.23</v>
          </cell>
          <cell r="AG83">
            <v>270.24700000000001</v>
          </cell>
          <cell r="AH83">
            <v>271.34199999999998</v>
          </cell>
          <cell r="AI83">
            <v>273.33499999999998</v>
          </cell>
          <cell r="AJ83">
            <v>276.17399999999998</v>
          </cell>
          <cell r="AK83">
            <v>279.73</v>
          </cell>
          <cell r="AL83">
            <v>283.84699999999998</v>
          </cell>
          <cell r="AM83">
            <v>288.67700000000002</v>
          </cell>
          <cell r="AN83">
            <v>294.25400000000002</v>
          </cell>
          <cell r="AO83">
            <v>300.23</v>
          </cell>
          <cell r="AP83">
            <v>306.13600000000002</v>
          </cell>
          <cell r="AQ83">
            <v>311.678</v>
          </cell>
          <cell r="AR83">
            <v>316.61599999999999</v>
          </cell>
          <cell r="AS83">
            <v>321.13499999999999</v>
          </cell>
          <cell r="AT83">
            <v>325.74599999999998</v>
          </cell>
          <cell r="AU83">
            <v>331.17899999999997</v>
          </cell>
          <cell r="AV83">
            <v>337.95</v>
          </cell>
          <cell r="AW83">
            <v>346.23</v>
          </cell>
          <cell r="AX83">
            <v>355.75700000000001</v>
          </cell>
          <cell r="AY83">
            <v>366.053</v>
          </cell>
          <cell r="AZ83">
            <v>376.40699999999998</v>
          </cell>
          <cell r="BA83">
            <v>386.28399999999999</v>
          </cell>
          <cell r="BB83">
            <v>395.53300000000002</v>
          </cell>
          <cell r="BC83">
            <v>404.25900000000001</v>
          </cell>
          <cell r="BD83">
            <v>412.51400000000001</v>
          </cell>
          <cell r="BE83">
            <v>420.452</v>
          </cell>
          <cell r="BF83">
            <v>428.18799999999999</v>
          </cell>
          <cell r="BG83">
            <v>435.709</v>
          </cell>
          <cell r="BH83">
            <v>442.95100000000002</v>
          </cell>
          <cell r="BI83">
            <v>449.93</v>
          </cell>
          <cell r="BJ83">
            <v>456.61700000000002</v>
          </cell>
          <cell r="BK83">
            <v>463.03199999999998</v>
          </cell>
          <cell r="BL83">
            <v>469.17</v>
          </cell>
          <cell r="BM83">
            <v>475.06</v>
          </cell>
          <cell r="BN83">
            <v>480.84199999999998</v>
          </cell>
          <cell r="BO83">
            <v>486.67099999999999</v>
          </cell>
          <cell r="BP83">
            <v>492.654</v>
          </cell>
          <cell r="BQ83">
            <v>498.85700000000003</v>
          </cell>
          <cell r="BR83">
            <v>505.23500000000001</v>
          </cell>
          <cell r="BS83">
            <v>511.74799999999999</v>
          </cell>
          <cell r="BT83">
            <v>518.27099999999996</v>
          </cell>
          <cell r="BU83">
            <v>524.74300000000005</v>
          </cell>
          <cell r="BV83">
            <v>531.14599999999996</v>
          </cell>
          <cell r="BW83">
            <v>537.49800000000005</v>
          </cell>
          <cell r="BX83">
            <v>543.76700000000005</v>
          </cell>
        </row>
        <row r="84">
          <cell r="C84" t="str">
            <v>Côte d'Ivoire</v>
          </cell>
          <cell r="E84">
            <v>384</v>
          </cell>
          <cell r="F84" t="str">
            <v>Country</v>
          </cell>
          <cell r="G84">
            <v>914</v>
          </cell>
          <cell r="H84">
            <v>2630.1350000000002</v>
          </cell>
          <cell r="I84">
            <v>2690.627</v>
          </cell>
          <cell r="J84">
            <v>2761.0790000000002</v>
          </cell>
          <cell r="K84">
            <v>2838.1950000000002</v>
          </cell>
          <cell r="L84">
            <v>2919.712</v>
          </cell>
          <cell r="M84">
            <v>3004.4209999999998</v>
          </cell>
          <cell r="N84">
            <v>3092.1970000000001</v>
          </cell>
          <cell r="O84">
            <v>3183.962</v>
          </cell>
          <cell r="P84">
            <v>3281.5169999999998</v>
          </cell>
          <cell r="Q84">
            <v>3387.2950000000001</v>
          </cell>
          <cell r="R84">
            <v>3503.5529999999999</v>
          </cell>
          <cell r="S84">
            <v>3631.5529999999999</v>
          </cell>
          <cell r="T84">
            <v>3770.7660000000001</v>
          </cell>
          <cell r="U84">
            <v>3918.6280000000002</v>
          </cell>
          <cell r="V84">
            <v>4071.4110000000001</v>
          </cell>
          <cell r="W84">
            <v>4226.8440000000001</v>
          </cell>
          <cell r="X84">
            <v>4383.7280000000001</v>
          </cell>
          <cell r="Y84">
            <v>4544.1639999999998</v>
          </cell>
          <cell r="Z84">
            <v>4713.1350000000002</v>
          </cell>
          <cell r="AA84">
            <v>4897.4719999999998</v>
          </cell>
          <cell r="AB84">
            <v>5102.0640000000003</v>
          </cell>
          <cell r="AC84">
            <v>5328.7439999999997</v>
          </cell>
          <cell r="AD84">
            <v>5576.0379999999996</v>
          </cell>
          <cell r="AE84">
            <v>5841.5060000000003</v>
          </cell>
          <cell r="AF84">
            <v>6121.2849999999999</v>
          </cell>
          <cell r="AG84">
            <v>6412.4030000000002</v>
          </cell>
          <cell r="AH84">
            <v>6713.95</v>
          </cell>
          <cell r="AI84">
            <v>7026.4960000000001</v>
          </cell>
          <cell r="AJ84">
            <v>7350.27</v>
          </cell>
          <cell r="AK84">
            <v>7685.9179999999997</v>
          </cell>
          <cell r="AL84">
            <v>8033.65</v>
          </cell>
          <cell r="AM84">
            <v>8393.6910000000007</v>
          </cell>
          <cell r="AN84">
            <v>8764.9889999999996</v>
          </cell>
          <cell r="AO84">
            <v>9144.9310000000005</v>
          </cell>
          <cell r="AP84">
            <v>9530.107</v>
          </cell>
          <cell r="AQ84">
            <v>9918.1959999999999</v>
          </cell>
          <cell r="AR84">
            <v>10307.281000000001</v>
          </cell>
          <cell r="AS84">
            <v>10698.194</v>
          </cell>
          <cell r="AT84">
            <v>11094.748</v>
          </cell>
          <cell r="AU84">
            <v>11502.449000000001</v>
          </cell>
          <cell r="AV84">
            <v>11924.877</v>
          </cell>
          <cell r="AW84">
            <v>12362.406999999999</v>
          </cell>
          <cell r="AX84">
            <v>12812.421</v>
          </cell>
          <cell r="AY84">
            <v>13271.643</v>
          </cell>
          <cell r="AZ84">
            <v>13735.433000000001</v>
          </cell>
          <cell r="BA84">
            <v>14199.762000000001</v>
          </cell>
          <cell r="BB84">
            <v>14665.127</v>
          </cell>
          <cell r="BC84">
            <v>15130.663</v>
          </cell>
          <cell r="BD84">
            <v>15589.414000000001</v>
          </cell>
          <cell r="BE84">
            <v>16032.573</v>
          </cell>
          <cell r="BF84">
            <v>16454.668000000001</v>
          </cell>
          <cell r="BG84">
            <v>16853.026000000002</v>
          </cell>
          <cell r="BH84">
            <v>17231.539000000001</v>
          </cell>
          <cell r="BI84">
            <v>17599.61</v>
          </cell>
          <cell r="BJ84">
            <v>17970.493999999999</v>
          </cell>
          <cell r="BK84">
            <v>18354.513999999999</v>
          </cell>
          <cell r="BL84">
            <v>18754.916000000001</v>
          </cell>
          <cell r="BM84">
            <v>19171.237000000001</v>
          </cell>
          <cell r="BN84">
            <v>19605.569</v>
          </cell>
          <cell r="BO84">
            <v>20059.147000000001</v>
          </cell>
          <cell r="BP84">
            <v>20532.95</v>
          </cell>
          <cell r="BQ84">
            <v>21028.654999999999</v>
          </cell>
          <cell r="BR84">
            <v>21547.187999999998</v>
          </cell>
          <cell r="BS84">
            <v>22087.504000000001</v>
          </cell>
          <cell r="BT84">
            <v>22647.684000000001</v>
          </cell>
          <cell r="BU84">
            <v>23226.143</v>
          </cell>
          <cell r="BV84">
            <v>23822.714</v>
          </cell>
          <cell r="BW84">
            <v>24437.47</v>
          </cell>
          <cell r="BX84">
            <v>25069.23</v>
          </cell>
        </row>
        <row r="85">
          <cell r="C85" t="str">
            <v>Gambia</v>
          </cell>
          <cell r="E85">
            <v>270</v>
          </cell>
          <cell r="F85" t="str">
            <v>Country</v>
          </cell>
          <cell r="G85">
            <v>914</v>
          </cell>
          <cell r="H85">
            <v>304.88900000000001</v>
          </cell>
          <cell r="I85">
            <v>309.08600000000001</v>
          </cell>
          <cell r="J85">
            <v>313.52699999999999</v>
          </cell>
          <cell r="K85">
            <v>318.38200000000001</v>
          </cell>
          <cell r="L85">
            <v>323.74700000000001</v>
          </cell>
          <cell r="M85">
            <v>329.661</v>
          </cell>
          <cell r="N85">
            <v>336.113</v>
          </cell>
          <cell r="O85">
            <v>343.01400000000001</v>
          </cell>
          <cell r="P85">
            <v>350.24400000000003</v>
          </cell>
          <cell r="Q85">
            <v>357.62799999999999</v>
          </cell>
          <cell r="R85">
            <v>365.04700000000003</v>
          </cell>
          <cell r="S85">
            <v>372.44499999999999</v>
          </cell>
          <cell r="T85">
            <v>379.89400000000001</v>
          </cell>
          <cell r="U85">
            <v>387.64100000000002</v>
          </cell>
          <cell r="V85">
            <v>396.01100000000002</v>
          </cell>
          <cell r="W85">
            <v>405.25900000000001</v>
          </cell>
          <cell r="X85">
            <v>415.47800000000001</v>
          </cell>
          <cell r="Y85">
            <v>426.62900000000002</v>
          </cell>
          <cell r="Z85">
            <v>438.60300000000001</v>
          </cell>
          <cell r="AA85">
            <v>451.22800000000001</v>
          </cell>
          <cell r="AB85">
            <v>464.41</v>
          </cell>
          <cell r="AC85">
            <v>478.11599999999999</v>
          </cell>
          <cell r="AD85">
            <v>492.42599999999999</v>
          </cell>
          <cell r="AE85">
            <v>507.43200000000002</v>
          </cell>
          <cell r="AF85">
            <v>523.25099999999998</v>
          </cell>
          <cell r="AG85">
            <v>539.97900000000004</v>
          </cell>
          <cell r="AH85">
            <v>557.80499999999995</v>
          </cell>
          <cell r="AI85">
            <v>576.75699999999995</v>
          </cell>
          <cell r="AJ85">
            <v>596.53599999999994</v>
          </cell>
          <cell r="AK85">
            <v>616.76800000000003</v>
          </cell>
          <cell r="AL85">
            <v>637.24599999999998</v>
          </cell>
          <cell r="AM85">
            <v>657.57899999999995</v>
          </cell>
          <cell r="AN85">
            <v>678.11300000000006</v>
          </cell>
          <cell r="AO85">
            <v>700.19899999999996</v>
          </cell>
          <cell r="AP85">
            <v>725.69399999999996</v>
          </cell>
          <cell r="AQ85">
            <v>755.78700000000003</v>
          </cell>
          <cell r="AR85">
            <v>791.14700000000005</v>
          </cell>
          <cell r="AS85">
            <v>831.02300000000002</v>
          </cell>
          <cell r="AT85">
            <v>873.44399999999996</v>
          </cell>
          <cell r="AU85">
            <v>915.63499999999999</v>
          </cell>
          <cell r="AV85">
            <v>955.59299999999996</v>
          </cell>
          <cell r="AW85">
            <v>992.673</v>
          </cell>
          <cell r="AX85">
            <v>1027.4749999999999</v>
          </cell>
          <cell r="AY85">
            <v>1060.8620000000001</v>
          </cell>
          <cell r="AZ85">
            <v>1094.212</v>
          </cell>
          <cell r="BA85">
            <v>1128.575</v>
          </cell>
          <cell r="BB85">
            <v>1164.0909999999999</v>
          </cell>
          <cell r="BC85">
            <v>1200.5260000000001</v>
          </cell>
          <cell r="BD85">
            <v>1238.125</v>
          </cell>
          <cell r="BE85">
            <v>1277.133</v>
          </cell>
          <cell r="BF85">
            <v>1317.703</v>
          </cell>
          <cell r="BG85">
            <v>1360.0740000000001</v>
          </cell>
          <cell r="BH85">
            <v>1404.261</v>
          </cell>
          <cell r="BI85">
            <v>1449.925</v>
          </cell>
          <cell r="BJ85">
            <v>1496.527</v>
          </cell>
          <cell r="BK85">
            <v>1543.741</v>
          </cell>
          <cell r="BL85">
            <v>1591.4449999999999</v>
          </cell>
          <cell r="BM85">
            <v>1639.848</v>
          </cell>
          <cell r="BN85">
            <v>1689.2850000000001</v>
          </cell>
          <cell r="BO85">
            <v>1740.279</v>
          </cell>
          <cell r="BP85">
            <v>1793.1959999999999</v>
          </cell>
          <cell r="BQ85">
            <v>1848.1469999999999</v>
          </cell>
          <cell r="BR85">
            <v>1905.0129999999999</v>
          </cell>
          <cell r="BS85">
            <v>1963.712</v>
          </cell>
          <cell r="BT85">
            <v>2024.0419999999999</v>
          </cell>
          <cell r="BU85">
            <v>2085.86</v>
          </cell>
          <cell r="BV85">
            <v>2149.136</v>
          </cell>
          <cell r="BW85">
            <v>2213.8890000000001</v>
          </cell>
          <cell r="BX85">
            <v>2280.0940000000001</v>
          </cell>
        </row>
        <row r="86">
          <cell r="C86" t="str">
            <v>Ghana</v>
          </cell>
          <cell r="E86">
            <v>288</v>
          </cell>
          <cell r="F86" t="str">
            <v>Country</v>
          </cell>
          <cell r="G86">
            <v>914</v>
          </cell>
          <cell r="H86">
            <v>5036.1459999999997</v>
          </cell>
          <cell r="I86">
            <v>5140.3130000000001</v>
          </cell>
          <cell r="J86">
            <v>5268.6409999999996</v>
          </cell>
          <cell r="K86">
            <v>5413.3720000000003</v>
          </cell>
          <cell r="L86">
            <v>5568.6570000000002</v>
          </cell>
          <cell r="M86">
            <v>5730.5940000000001</v>
          </cell>
          <cell r="N86">
            <v>5897.34</v>
          </cell>
          <cell r="O86">
            <v>6068.9949999999999</v>
          </cell>
          <cell r="P86">
            <v>6247.2969999999996</v>
          </cell>
          <cell r="Q86">
            <v>6435.1729999999998</v>
          </cell>
          <cell r="R86">
            <v>6635.23</v>
          </cell>
          <cell r="S86">
            <v>6848.2950000000001</v>
          </cell>
          <cell r="T86">
            <v>7071.9709999999995</v>
          </cell>
          <cell r="U86">
            <v>7300.116</v>
          </cell>
          <cell r="V86">
            <v>7524.4719999999998</v>
          </cell>
          <cell r="W86">
            <v>7739.473</v>
          </cell>
          <cell r="X86">
            <v>7941.4120000000003</v>
          </cell>
          <cell r="Y86">
            <v>8132.8029999999999</v>
          </cell>
          <cell r="Z86">
            <v>8321.77</v>
          </cell>
          <cell r="AA86">
            <v>8520.0149999999994</v>
          </cell>
          <cell r="AB86">
            <v>8735.4950000000008</v>
          </cell>
          <cell r="AC86">
            <v>8973.2440000000006</v>
          </cell>
          <cell r="AD86">
            <v>9229.6309999999994</v>
          </cell>
          <cell r="AE86">
            <v>9493.5560000000005</v>
          </cell>
          <cell r="AF86">
            <v>9749.1039999999994</v>
          </cell>
          <cell r="AG86">
            <v>9985.9459999999999</v>
          </cell>
          <cell r="AH86">
            <v>10199.165000000001</v>
          </cell>
          <cell r="AI86">
            <v>10395.451999999999</v>
          </cell>
          <cell r="AJ86">
            <v>10590.261</v>
          </cell>
          <cell r="AK86">
            <v>10805.314</v>
          </cell>
          <cell r="AL86">
            <v>11056.116</v>
          </cell>
          <cell r="AM86">
            <v>11348.289000000001</v>
          </cell>
          <cell r="AN86">
            <v>11676.823</v>
          </cell>
          <cell r="AO86">
            <v>12033.575000000001</v>
          </cell>
          <cell r="AP86">
            <v>12405.66</v>
          </cell>
          <cell r="AQ86">
            <v>12783.612999999999</v>
          </cell>
          <cell r="AR86">
            <v>13164.837</v>
          </cell>
          <cell r="AS86">
            <v>13552.021000000001</v>
          </cell>
          <cell r="AT86">
            <v>13947.041999999999</v>
          </cell>
          <cell r="AU86">
            <v>14353.41</v>
          </cell>
          <cell r="AV86">
            <v>14773.277</v>
          </cell>
          <cell r="AW86">
            <v>15207.367</v>
          </cell>
          <cell r="AX86">
            <v>15653.335999999999</v>
          </cell>
          <cell r="AY86">
            <v>16106.764999999999</v>
          </cell>
          <cell r="AZ86">
            <v>16561.673999999999</v>
          </cell>
          <cell r="BA86">
            <v>17014.057000000001</v>
          </cell>
          <cell r="BB86">
            <v>17462.495999999999</v>
          </cell>
          <cell r="BC86">
            <v>17908.985000000001</v>
          </cell>
          <cell r="BD86">
            <v>18357.155999999999</v>
          </cell>
          <cell r="BE86">
            <v>18812.359</v>
          </cell>
          <cell r="BF86">
            <v>19278.856</v>
          </cell>
          <cell r="BG86">
            <v>19756.928</v>
          </cell>
          <cell r="BH86">
            <v>20246.381000000001</v>
          </cell>
          <cell r="BI86">
            <v>20750.298999999999</v>
          </cell>
          <cell r="BJ86">
            <v>21272.323</v>
          </cell>
          <cell r="BK86">
            <v>21814.642</v>
          </cell>
          <cell r="BL86">
            <v>22379.055</v>
          </cell>
          <cell r="BM86">
            <v>22963.946</v>
          </cell>
          <cell r="BN86">
            <v>23563.825000000001</v>
          </cell>
          <cell r="BO86">
            <v>24170.94</v>
          </cell>
          <cell r="BP86">
            <v>24779.618999999999</v>
          </cell>
          <cell r="BQ86">
            <v>25387.712</v>
          </cell>
          <cell r="BR86">
            <v>25996.45</v>
          </cell>
          <cell r="BS86">
            <v>26607.645</v>
          </cell>
          <cell r="BT86">
            <v>27224.473000000002</v>
          </cell>
          <cell r="BU86">
            <v>27849.205000000002</v>
          </cell>
          <cell r="BV86">
            <v>28481.945</v>
          </cell>
          <cell r="BW86">
            <v>29121.465</v>
          </cell>
          <cell r="BX86">
            <v>29767.101999999999</v>
          </cell>
        </row>
        <row r="87">
          <cell r="C87" t="str">
            <v>Guinea</v>
          </cell>
          <cell r="E87">
            <v>324</v>
          </cell>
          <cell r="F87" t="str">
            <v>Country</v>
          </cell>
          <cell r="G87">
            <v>914</v>
          </cell>
          <cell r="H87">
            <v>3012.951</v>
          </cell>
          <cell r="I87">
            <v>3053.9989999999998</v>
          </cell>
          <cell r="J87">
            <v>3095.61</v>
          </cell>
          <cell r="K87">
            <v>3138.4549999999999</v>
          </cell>
          <cell r="L87">
            <v>3183.0140000000001</v>
          </cell>
          <cell r="M87">
            <v>3229.6489999999999</v>
          </cell>
          <cell r="N87">
            <v>3278.498</v>
          </cell>
          <cell r="O87">
            <v>3329.569</v>
          </cell>
          <cell r="P87">
            <v>3382.7089999999998</v>
          </cell>
          <cell r="Q87">
            <v>3437.663</v>
          </cell>
          <cell r="R87">
            <v>3494.1619999999998</v>
          </cell>
          <cell r="S87">
            <v>3552.0650000000001</v>
          </cell>
          <cell r="T87">
            <v>3611.4290000000001</v>
          </cell>
          <cell r="U87">
            <v>3672.556</v>
          </cell>
          <cell r="V87">
            <v>3735.9160000000002</v>
          </cell>
          <cell r="W87">
            <v>3801.7049999999999</v>
          </cell>
          <cell r="X87">
            <v>3870.203</v>
          </cell>
          <cell r="Y87">
            <v>3941.0529999999999</v>
          </cell>
          <cell r="Z87">
            <v>4013.0549999999998</v>
          </cell>
          <cell r="AA87">
            <v>4084.6</v>
          </cell>
          <cell r="AB87">
            <v>4154.6049999999996</v>
          </cell>
          <cell r="AC87">
            <v>4223.0510000000004</v>
          </cell>
          <cell r="AD87">
            <v>4290.5339999999997</v>
          </cell>
          <cell r="AE87">
            <v>4357.357</v>
          </cell>
          <cell r="AF87">
            <v>4424.03</v>
          </cell>
          <cell r="AG87">
            <v>4491.2479999999996</v>
          </cell>
          <cell r="AH87">
            <v>4559.2420000000002</v>
          </cell>
          <cell r="AI87">
            <v>4628.8770000000004</v>
          </cell>
          <cell r="AJ87">
            <v>4702.3760000000002</v>
          </cell>
          <cell r="AK87">
            <v>4782.4949999999999</v>
          </cell>
          <cell r="AL87">
            <v>4871.4350000000004</v>
          </cell>
          <cell r="AM87">
            <v>4969.5919999999996</v>
          </cell>
          <cell r="AN87">
            <v>5077.0820000000003</v>
          </cell>
          <cell r="AO87">
            <v>5195.4449999999997</v>
          </cell>
          <cell r="AP87">
            <v>5326.3620000000001</v>
          </cell>
          <cell r="AQ87">
            <v>5470.7020000000002</v>
          </cell>
          <cell r="AR87">
            <v>5629.4179999999997</v>
          </cell>
          <cell r="AS87">
            <v>5801.326</v>
          </cell>
          <cell r="AT87">
            <v>5982.4859999999999</v>
          </cell>
          <cell r="AU87">
            <v>6167.4750000000004</v>
          </cell>
          <cell r="AV87">
            <v>6352.2830000000004</v>
          </cell>
          <cell r="AW87">
            <v>6534.9390000000003</v>
          </cell>
          <cell r="AX87">
            <v>6716.0379999999996</v>
          </cell>
          <cell r="AY87">
            <v>6897.1660000000002</v>
          </cell>
          <cell r="AZ87">
            <v>7081.116</v>
          </cell>
          <cell r="BA87">
            <v>7269.625</v>
          </cell>
          <cell r="BB87">
            <v>7463.7820000000002</v>
          </cell>
          <cell r="BC87">
            <v>7662.0749999999998</v>
          </cell>
          <cell r="BD87">
            <v>7860.7809999999999</v>
          </cell>
          <cell r="BE87">
            <v>8054.7430000000004</v>
          </cell>
          <cell r="BF87">
            <v>8240.73</v>
          </cell>
          <cell r="BG87">
            <v>8417.0810000000001</v>
          </cell>
          <cell r="BH87">
            <v>8586.0740000000005</v>
          </cell>
          <cell r="BI87">
            <v>8753.0930000000008</v>
          </cell>
          <cell r="BJ87">
            <v>8925.7430000000004</v>
          </cell>
          <cell r="BK87">
            <v>9109.5810000000001</v>
          </cell>
          <cell r="BL87">
            <v>9307.4249999999993</v>
          </cell>
          <cell r="BM87">
            <v>9518.1620000000003</v>
          </cell>
          <cell r="BN87">
            <v>9738.7919999999995</v>
          </cell>
          <cell r="BO87">
            <v>9964.4689999999991</v>
          </cell>
          <cell r="BP87">
            <v>10192.175999999999</v>
          </cell>
          <cell r="BQ87">
            <v>10420.472</v>
          </cell>
          <cell r="BR87">
            <v>10652.031000000001</v>
          </cell>
          <cell r="BS87">
            <v>10892.816999999999</v>
          </cell>
          <cell r="BT87">
            <v>11150.982</v>
          </cell>
          <cell r="BU87">
            <v>11432.088</v>
          </cell>
          <cell r="BV87">
            <v>11738.429</v>
          </cell>
          <cell r="BW87">
            <v>12067.519</v>
          </cell>
          <cell r="BX87">
            <v>12414.293</v>
          </cell>
        </row>
        <row r="88">
          <cell r="C88" t="str">
            <v>Guinea-Bissau</v>
          </cell>
          <cell r="E88">
            <v>624</v>
          </cell>
          <cell r="F88" t="str">
            <v>Country</v>
          </cell>
          <cell r="G88">
            <v>914</v>
          </cell>
          <cell r="H88">
            <v>535.428</v>
          </cell>
          <cell r="I88">
            <v>544.4</v>
          </cell>
          <cell r="J88">
            <v>552.56500000000005</v>
          </cell>
          <cell r="K88">
            <v>560.37099999999998</v>
          </cell>
          <cell r="L88">
            <v>568.16399999999999</v>
          </cell>
          <cell r="M88">
            <v>576.13599999999997</v>
          </cell>
          <cell r="N88">
            <v>584.33399999999995</v>
          </cell>
          <cell r="O88">
            <v>592.66499999999996</v>
          </cell>
          <cell r="P88">
            <v>600.923</v>
          </cell>
          <cell r="Q88">
            <v>608.83799999999997</v>
          </cell>
          <cell r="R88">
            <v>616.13599999999997</v>
          </cell>
          <cell r="S88">
            <v>622.76099999999997</v>
          </cell>
          <cell r="T88">
            <v>628.88300000000004</v>
          </cell>
          <cell r="U88">
            <v>635.01099999999997</v>
          </cell>
          <cell r="V88">
            <v>641.81200000000001</v>
          </cell>
          <cell r="W88">
            <v>649.79</v>
          </cell>
          <cell r="X88">
            <v>658.99400000000003</v>
          </cell>
          <cell r="Y88">
            <v>669.23699999999997</v>
          </cell>
          <cell r="Z88">
            <v>680.43200000000002</v>
          </cell>
          <cell r="AA88">
            <v>692.40700000000004</v>
          </cell>
          <cell r="AB88">
            <v>704.93899999999996</v>
          </cell>
          <cell r="AC88">
            <v>718.36400000000003</v>
          </cell>
          <cell r="AD88">
            <v>732.52300000000002</v>
          </cell>
          <cell r="AE88">
            <v>746.173</v>
          </cell>
          <cell r="AF88">
            <v>757.67399999999998</v>
          </cell>
          <cell r="AG88">
            <v>765.98900000000003</v>
          </cell>
          <cell r="AH88">
            <v>770.42100000000005</v>
          </cell>
          <cell r="AI88">
            <v>771.73699999999997</v>
          </cell>
          <cell r="AJ88">
            <v>772.14200000000005</v>
          </cell>
          <cell r="AK88">
            <v>774.726</v>
          </cell>
          <cell r="AL88">
            <v>781.67700000000002</v>
          </cell>
          <cell r="AM88">
            <v>793.80600000000004</v>
          </cell>
          <cell r="AN88">
            <v>810.40499999999997</v>
          </cell>
          <cell r="AO88">
            <v>830.20699999999999</v>
          </cell>
          <cell r="AP88">
            <v>851.27599999999995</v>
          </cell>
          <cell r="AQ88">
            <v>872.16300000000001</v>
          </cell>
          <cell r="AR88">
            <v>892.52200000000005</v>
          </cell>
          <cell r="AS88">
            <v>912.75400000000002</v>
          </cell>
          <cell r="AT88">
            <v>933.04499999999996</v>
          </cell>
          <cell r="AU88">
            <v>953.79</v>
          </cell>
          <cell r="AV88">
            <v>975.26099999999997</v>
          </cell>
          <cell r="AW88">
            <v>997.52200000000005</v>
          </cell>
          <cell r="AX88">
            <v>1020.35</v>
          </cell>
          <cell r="AY88">
            <v>1043.423</v>
          </cell>
          <cell r="AZ88">
            <v>1066.346</v>
          </cell>
          <cell r="BA88">
            <v>1088.854</v>
          </cell>
          <cell r="BB88">
            <v>1110.8330000000001</v>
          </cell>
          <cell r="BC88">
            <v>1132.51</v>
          </cell>
          <cell r="BD88">
            <v>1154.3710000000001</v>
          </cell>
          <cell r="BE88">
            <v>1177.1310000000001</v>
          </cell>
          <cell r="BF88">
            <v>1201.3009999999999</v>
          </cell>
          <cell r="BG88">
            <v>1227.106</v>
          </cell>
          <cell r="BH88">
            <v>1254.453</v>
          </cell>
          <cell r="BI88">
            <v>1283.3050000000001</v>
          </cell>
          <cell r="BJ88">
            <v>1313.492</v>
          </cell>
          <cell r="BK88">
            <v>1344.93</v>
          </cell>
          <cell r="BL88">
            <v>1377.5809999999999</v>
          </cell>
          <cell r="BM88">
            <v>1411.5429999999999</v>
          </cell>
          <cell r="BN88">
            <v>1446.9359999999999</v>
          </cell>
          <cell r="BO88">
            <v>1483.921</v>
          </cell>
          <cell r="BP88">
            <v>1522.5989999999999</v>
          </cell>
          <cell r="BQ88">
            <v>1562.989</v>
          </cell>
          <cell r="BR88">
            <v>1604.979</v>
          </cell>
          <cell r="BS88">
            <v>1648.2550000000001</v>
          </cell>
          <cell r="BT88">
            <v>1692.4369999999999</v>
          </cell>
          <cell r="BU88">
            <v>1737.202</v>
          </cell>
          <cell r="BV88">
            <v>1782.4380000000001</v>
          </cell>
          <cell r="BW88">
            <v>1828.145</v>
          </cell>
          <cell r="BX88">
            <v>1874.3030000000001</v>
          </cell>
        </row>
        <row r="89">
          <cell r="C89" t="str">
            <v>Liberia</v>
          </cell>
          <cell r="E89">
            <v>430</v>
          </cell>
          <cell r="F89" t="str">
            <v>Country</v>
          </cell>
          <cell r="G89">
            <v>914</v>
          </cell>
          <cell r="H89">
            <v>930.03</v>
          </cell>
          <cell r="I89">
            <v>943.66</v>
          </cell>
          <cell r="J89">
            <v>958.70399999999995</v>
          </cell>
          <cell r="K89">
            <v>975.06200000000001</v>
          </cell>
          <cell r="L89">
            <v>992.649</v>
          </cell>
          <cell r="M89">
            <v>1011.3630000000001</v>
          </cell>
          <cell r="N89">
            <v>1031.1289999999999</v>
          </cell>
          <cell r="O89">
            <v>1051.828</v>
          </cell>
          <cell r="P89">
            <v>1073.3779999999999</v>
          </cell>
          <cell r="Q89">
            <v>1095.6759999999999</v>
          </cell>
          <cell r="R89">
            <v>1118.6569999999999</v>
          </cell>
          <cell r="S89">
            <v>1142.3019999999999</v>
          </cell>
          <cell r="T89">
            <v>1166.6479999999999</v>
          </cell>
          <cell r="U89">
            <v>1191.8019999999999</v>
          </cell>
          <cell r="V89">
            <v>1217.9010000000001</v>
          </cell>
          <cell r="W89">
            <v>1245.1020000000001</v>
          </cell>
          <cell r="X89">
            <v>1273.4639999999999</v>
          </cell>
          <cell r="Y89">
            <v>1303.0350000000001</v>
          </cell>
          <cell r="Z89">
            <v>1333.9780000000001</v>
          </cell>
          <cell r="AA89">
            <v>1366.502</v>
          </cell>
          <cell r="AB89">
            <v>1400.73</v>
          </cell>
          <cell r="AC89">
            <v>1436.7380000000001</v>
          </cell>
          <cell r="AD89">
            <v>1474.567</v>
          </cell>
          <cell r="AE89">
            <v>1514.366</v>
          </cell>
          <cell r="AF89">
            <v>1556.29</v>
          </cell>
          <cell r="AG89">
            <v>1600.452</v>
          </cell>
          <cell r="AH89">
            <v>1645.836</v>
          </cell>
          <cell r="AI89">
            <v>1692.14</v>
          </cell>
          <cell r="AJ89">
            <v>1740.914</v>
          </cell>
          <cell r="AK89">
            <v>1794.248</v>
          </cell>
          <cell r="AL89">
            <v>1853.001</v>
          </cell>
          <cell r="AM89">
            <v>1918.826</v>
          </cell>
          <cell r="AN89">
            <v>1989.4829999999999</v>
          </cell>
          <cell r="AO89">
            <v>2057.2269999999999</v>
          </cell>
          <cell r="AP89">
            <v>2111.6709999999998</v>
          </cell>
          <cell r="AQ89">
            <v>2145.7539999999999</v>
          </cell>
          <cell r="AR89">
            <v>2158.4290000000001</v>
          </cell>
          <cell r="AS89">
            <v>2153.3159999999998</v>
          </cell>
          <cell r="AT89">
            <v>2134.0970000000002</v>
          </cell>
          <cell r="AU89">
            <v>2106.431</v>
          </cell>
          <cell r="AV89">
            <v>2075.9119999999998</v>
          </cell>
          <cell r="AW89">
            <v>2040.1389999999999</v>
          </cell>
          <cell r="AX89">
            <v>2001.624</v>
          </cell>
          <cell r="AY89">
            <v>1976.6990000000001</v>
          </cell>
          <cell r="AZ89">
            <v>1986.4929999999999</v>
          </cell>
          <cell r="BA89">
            <v>2044.6610000000001</v>
          </cell>
          <cell r="BB89">
            <v>2160.4780000000001</v>
          </cell>
          <cell r="BC89">
            <v>2326.2020000000002</v>
          </cell>
          <cell r="BD89">
            <v>2517.4810000000002</v>
          </cell>
          <cell r="BE89">
            <v>2699.712</v>
          </cell>
          <cell r="BF89">
            <v>2848.4560000000001</v>
          </cell>
          <cell r="BG89">
            <v>2953.9270000000001</v>
          </cell>
          <cell r="BH89">
            <v>3024.7289999999998</v>
          </cell>
          <cell r="BI89">
            <v>3077.058</v>
          </cell>
          <cell r="BJ89">
            <v>3135.6509999999998</v>
          </cell>
          <cell r="BK89">
            <v>3218.116</v>
          </cell>
          <cell r="BL89">
            <v>3329.2109999999998</v>
          </cell>
          <cell r="BM89">
            <v>3461.9110000000001</v>
          </cell>
          <cell r="BN89">
            <v>3607.86</v>
          </cell>
          <cell r="BO89">
            <v>3754.1329999999998</v>
          </cell>
          <cell r="BP89">
            <v>3891.3560000000002</v>
          </cell>
          <cell r="BQ89">
            <v>4017.4430000000002</v>
          </cell>
          <cell r="BR89">
            <v>4135.6589999999997</v>
          </cell>
          <cell r="BS89">
            <v>4248.3339999999998</v>
          </cell>
          <cell r="BT89">
            <v>4359.5060000000003</v>
          </cell>
          <cell r="BU89">
            <v>4472.2299999999996</v>
          </cell>
          <cell r="BV89">
            <v>4586.7870000000003</v>
          </cell>
          <cell r="BW89">
            <v>4702.2259999999997</v>
          </cell>
          <cell r="BX89">
            <v>4818.973</v>
          </cell>
        </row>
        <row r="90">
          <cell r="C90" t="str">
            <v>Mali</v>
          </cell>
          <cell r="E90">
            <v>466</v>
          </cell>
          <cell r="F90" t="str">
            <v>Country</v>
          </cell>
          <cell r="G90">
            <v>914</v>
          </cell>
          <cell r="H90">
            <v>4708.4290000000001</v>
          </cell>
          <cell r="I90">
            <v>4759.0360000000001</v>
          </cell>
          <cell r="J90">
            <v>4811.1989999999996</v>
          </cell>
          <cell r="K90">
            <v>4864.7550000000001</v>
          </cell>
          <cell r="L90">
            <v>4919.5469999999996</v>
          </cell>
          <cell r="M90">
            <v>4975.3980000000001</v>
          </cell>
          <cell r="N90">
            <v>5032.1229999999996</v>
          </cell>
          <cell r="O90">
            <v>5089.509</v>
          </cell>
          <cell r="P90">
            <v>5147.348</v>
          </cell>
          <cell r="Q90">
            <v>5205.4489999999996</v>
          </cell>
          <cell r="R90">
            <v>5263.7330000000002</v>
          </cell>
          <cell r="S90">
            <v>5322.2659999999996</v>
          </cell>
          <cell r="T90">
            <v>5381.3680000000004</v>
          </cell>
          <cell r="U90">
            <v>5441.6130000000003</v>
          </cell>
          <cell r="V90">
            <v>5503.7520000000004</v>
          </cell>
          <cell r="W90">
            <v>5568.4840000000004</v>
          </cell>
          <cell r="X90">
            <v>5635.8590000000004</v>
          </cell>
          <cell r="Y90">
            <v>5706.1989999999996</v>
          </cell>
          <cell r="Z90">
            <v>5780.835</v>
          </cell>
          <cell r="AA90">
            <v>5861.4120000000003</v>
          </cell>
          <cell r="AB90">
            <v>5949.0450000000001</v>
          </cell>
          <cell r="AC90">
            <v>6044.53</v>
          </cell>
          <cell r="AD90">
            <v>6147.4579999999996</v>
          </cell>
          <cell r="AE90">
            <v>6256.1869999999999</v>
          </cell>
          <cell r="AF90">
            <v>6368.348</v>
          </cell>
          <cell r="AG90">
            <v>6482.2780000000002</v>
          </cell>
          <cell r="AH90">
            <v>6596.7280000000001</v>
          </cell>
          <cell r="AI90">
            <v>6712.2669999999998</v>
          </cell>
          <cell r="AJ90">
            <v>6831.085</v>
          </cell>
          <cell r="AK90">
            <v>6956.402</v>
          </cell>
          <cell r="AL90">
            <v>7090.1260000000002</v>
          </cell>
          <cell r="AM90">
            <v>7234.7280000000001</v>
          </cell>
          <cell r="AN90">
            <v>7388.6679999999997</v>
          </cell>
          <cell r="AO90">
            <v>7545.1660000000002</v>
          </cell>
          <cell r="AP90">
            <v>7694.8549999999996</v>
          </cell>
          <cell r="AQ90">
            <v>7831.8890000000001</v>
          </cell>
          <cell r="AR90">
            <v>7952.8649999999998</v>
          </cell>
          <cell r="AS90">
            <v>8062.2190000000001</v>
          </cell>
          <cell r="AT90">
            <v>8171.5219999999999</v>
          </cell>
          <cell r="AU90">
            <v>8296.9150000000009</v>
          </cell>
          <cell r="AV90">
            <v>8449.9130000000005</v>
          </cell>
          <cell r="AW90">
            <v>8635.527</v>
          </cell>
          <cell r="AX90">
            <v>8850.3340000000007</v>
          </cell>
          <cell r="AY90">
            <v>9087.1759999999995</v>
          </cell>
          <cell r="AZ90">
            <v>9334.8799999999992</v>
          </cell>
          <cell r="BA90">
            <v>9585.6530000000002</v>
          </cell>
          <cell r="BB90">
            <v>9837.5709999999999</v>
          </cell>
          <cell r="BC90">
            <v>10094.368</v>
          </cell>
          <cell r="BD90">
            <v>10360.561</v>
          </cell>
          <cell r="BE90">
            <v>10642.936</v>
          </cell>
          <cell r="BF90">
            <v>10946.445</v>
          </cell>
          <cell r="BG90">
            <v>11271.6</v>
          </cell>
          <cell r="BH90">
            <v>11616.887000000001</v>
          </cell>
          <cell r="BI90">
            <v>11982.695</v>
          </cell>
          <cell r="BJ90">
            <v>12369.07</v>
          </cell>
          <cell r="BK90">
            <v>12775.516</v>
          </cell>
          <cell r="BL90">
            <v>13203.378000000001</v>
          </cell>
          <cell r="BM90">
            <v>13651.464</v>
          </cell>
          <cell r="BN90">
            <v>14113.576999999999</v>
          </cell>
          <cell r="BO90">
            <v>14581.429</v>
          </cell>
          <cell r="BP90">
            <v>15049.352999999999</v>
          </cell>
          <cell r="BQ90">
            <v>15514.59</v>
          </cell>
          <cell r="BR90">
            <v>15979.495999999999</v>
          </cell>
          <cell r="BS90">
            <v>16449.853999999999</v>
          </cell>
          <cell r="BT90">
            <v>16934.214</v>
          </cell>
          <cell r="BU90">
            <v>17438.777999999998</v>
          </cell>
          <cell r="BV90">
            <v>17965.442999999999</v>
          </cell>
          <cell r="BW90">
            <v>18512.43</v>
          </cell>
          <cell r="BX90">
            <v>19077.749</v>
          </cell>
        </row>
        <row r="91">
          <cell r="C91" t="str">
            <v>Mauritania</v>
          </cell>
          <cell r="E91">
            <v>478</v>
          </cell>
          <cell r="F91" t="str">
            <v>Country</v>
          </cell>
          <cell r="G91">
            <v>914</v>
          </cell>
          <cell r="H91">
            <v>651.43600000000004</v>
          </cell>
          <cell r="I91">
            <v>666.81200000000001</v>
          </cell>
          <cell r="J91">
            <v>683.14200000000005</v>
          </cell>
          <cell r="K91">
            <v>700.49800000000005</v>
          </cell>
          <cell r="L91">
            <v>718.87300000000005</v>
          </cell>
          <cell r="M91">
            <v>738.29899999999998</v>
          </cell>
          <cell r="N91">
            <v>758.75300000000004</v>
          </cell>
          <cell r="O91">
            <v>780.22</v>
          </cell>
          <cell r="P91">
            <v>802.67600000000004</v>
          </cell>
          <cell r="Q91">
            <v>826.07299999999998</v>
          </cell>
          <cell r="R91">
            <v>850.38400000000001</v>
          </cell>
          <cell r="S91">
            <v>875.58100000000002</v>
          </cell>
          <cell r="T91">
            <v>901.68600000000004</v>
          </cell>
          <cell r="U91">
            <v>928.73400000000004</v>
          </cell>
          <cell r="V91">
            <v>956.79899999999998</v>
          </cell>
          <cell r="W91">
            <v>985.91</v>
          </cell>
          <cell r="X91">
            <v>1016.1</v>
          </cell>
          <cell r="Y91">
            <v>1047.3440000000001</v>
          </cell>
          <cell r="Z91">
            <v>1079.58</v>
          </cell>
          <cell r="AA91">
            <v>1112.7449999999999</v>
          </cell>
          <cell r="AB91">
            <v>1146.78</v>
          </cell>
          <cell r="AC91">
            <v>1181.674</v>
          </cell>
          <cell r="AD91">
            <v>1217.4459999999999</v>
          </cell>
          <cell r="AE91">
            <v>1254.1569999999999</v>
          </cell>
          <cell r="AF91">
            <v>1291.855</v>
          </cell>
          <cell r="AG91">
            <v>1330.598</v>
          </cell>
          <cell r="AH91">
            <v>1370.357</v>
          </cell>
          <cell r="AI91">
            <v>1411.14</v>
          </cell>
          <cell r="AJ91">
            <v>1453.0319999999999</v>
          </cell>
          <cell r="AK91">
            <v>1496.1849999999999</v>
          </cell>
          <cell r="AL91">
            <v>1540.64</v>
          </cell>
          <cell r="AM91">
            <v>1586.4929999999999</v>
          </cell>
          <cell r="AN91">
            <v>1633.652</v>
          </cell>
          <cell r="AO91">
            <v>1681.8630000000001</v>
          </cell>
          <cell r="AP91">
            <v>1730.7380000000001</v>
          </cell>
          <cell r="AQ91">
            <v>1780.03</v>
          </cell>
          <cell r="AR91">
            <v>1829.675</v>
          </cell>
          <cell r="AS91">
            <v>1879.7629999999999</v>
          </cell>
          <cell r="AT91">
            <v>1930.433</v>
          </cell>
          <cell r="AU91">
            <v>1981.8989999999999</v>
          </cell>
          <cell r="AV91">
            <v>2034.346</v>
          </cell>
          <cell r="AW91">
            <v>2087.9119999999998</v>
          </cell>
          <cell r="AX91">
            <v>2142.645</v>
          </cell>
          <cell r="AY91">
            <v>2198.5320000000002</v>
          </cell>
          <cell r="AZ91">
            <v>2255.5160000000001</v>
          </cell>
          <cell r="BA91">
            <v>2313.63</v>
          </cell>
          <cell r="BB91">
            <v>2372.9009999999998</v>
          </cell>
          <cell r="BC91">
            <v>2433.5630000000001</v>
          </cell>
          <cell r="BD91">
            <v>2496.2159999999999</v>
          </cell>
          <cell r="BE91">
            <v>2561.585</v>
          </cell>
          <cell r="BF91">
            <v>2630.2190000000001</v>
          </cell>
          <cell r="BG91">
            <v>2702.4</v>
          </cell>
          <cell r="BH91">
            <v>2778.0990000000002</v>
          </cell>
          <cell r="BI91">
            <v>2857.1480000000001</v>
          </cell>
          <cell r="BJ91">
            <v>2939.2469999999998</v>
          </cell>
          <cell r="BK91">
            <v>3024.194</v>
          </cell>
          <cell r="BL91">
            <v>3111.9059999999999</v>
          </cell>
          <cell r="BM91">
            <v>3202.5169999999998</v>
          </cell>
          <cell r="BN91">
            <v>3296.2379999999998</v>
          </cell>
          <cell r="BO91">
            <v>3393.4090000000001</v>
          </cell>
          <cell r="BP91">
            <v>3494.1950000000002</v>
          </cell>
          <cell r="BQ91">
            <v>3598.6480000000001</v>
          </cell>
          <cell r="BR91">
            <v>3706.5549999999998</v>
          </cell>
          <cell r="BS91">
            <v>3817.4940000000001</v>
          </cell>
          <cell r="BT91">
            <v>3930.8960000000002</v>
          </cell>
          <cell r="BU91">
            <v>4046.3009999999999</v>
          </cell>
          <cell r="BV91">
            <v>4163.5330000000004</v>
          </cell>
          <cell r="BW91">
            <v>4282.57</v>
          </cell>
          <cell r="BX91">
            <v>4403.3130000000001</v>
          </cell>
        </row>
        <row r="92">
          <cell r="C92" t="str">
            <v>Niger</v>
          </cell>
          <cell r="E92">
            <v>562</v>
          </cell>
          <cell r="F92" t="str">
            <v>Country</v>
          </cell>
          <cell r="G92">
            <v>914</v>
          </cell>
          <cell r="H92">
            <v>2559.703</v>
          </cell>
          <cell r="I92">
            <v>2638.127</v>
          </cell>
          <cell r="J92">
            <v>2716.8159999999998</v>
          </cell>
          <cell r="K92">
            <v>2795.8069999999998</v>
          </cell>
          <cell r="L92">
            <v>2875.2759999999998</v>
          </cell>
          <cell r="M92">
            <v>2955.5410000000002</v>
          </cell>
          <cell r="N92">
            <v>3037.0509999999999</v>
          </cell>
          <cell r="O92">
            <v>3120.4160000000002</v>
          </cell>
          <cell r="P92">
            <v>3206.3420000000001</v>
          </cell>
          <cell r="Q92">
            <v>3295.5659999999998</v>
          </cell>
          <cell r="R92">
            <v>3388.7640000000001</v>
          </cell>
          <cell r="S92">
            <v>3486.326</v>
          </cell>
          <cell r="T92">
            <v>3588.2280000000001</v>
          </cell>
          <cell r="U92">
            <v>3693.98</v>
          </cell>
          <cell r="V92">
            <v>3802.8029999999999</v>
          </cell>
          <cell r="W92">
            <v>3914.1170000000002</v>
          </cell>
          <cell r="X92">
            <v>4027.9630000000002</v>
          </cell>
          <cell r="Y92">
            <v>4144.5919999999996</v>
          </cell>
          <cell r="Z92">
            <v>4263.9269999999997</v>
          </cell>
          <cell r="AA92">
            <v>4385.9269999999997</v>
          </cell>
          <cell r="AB92">
            <v>4510.6440000000002</v>
          </cell>
          <cell r="AC92">
            <v>4637.9880000000003</v>
          </cell>
          <cell r="AD92">
            <v>4768.2269999999999</v>
          </cell>
          <cell r="AE92">
            <v>4902.1509999999998</v>
          </cell>
          <cell r="AF92">
            <v>5040.7979999999998</v>
          </cell>
          <cell r="AG92">
            <v>5184.9409999999998</v>
          </cell>
          <cell r="AH92">
            <v>5335.085</v>
          </cell>
          <cell r="AI92">
            <v>5491.1530000000002</v>
          </cell>
          <cell r="AJ92">
            <v>5652.652</v>
          </cell>
          <cell r="AK92">
            <v>5818.7629999999999</v>
          </cell>
          <cell r="AL92">
            <v>5989.0039999999999</v>
          </cell>
          <cell r="AM92">
            <v>6163.7049999999999</v>
          </cell>
          <cell r="AN92">
            <v>6343.5230000000001</v>
          </cell>
          <cell r="AO92">
            <v>6528.6409999999996</v>
          </cell>
          <cell r="AP92">
            <v>6719.3090000000002</v>
          </cell>
          <cell r="AQ92">
            <v>6915.9970000000003</v>
          </cell>
          <cell r="AR92">
            <v>7118.8829999999998</v>
          </cell>
          <cell r="AS92">
            <v>7328.9430000000002</v>
          </cell>
          <cell r="AT92">
            <v>7548.433</v>
          </cell>
          <cell r="AU92">
            <v>7780.2449999999999</v>
          </cell>
          <cell r="AV92">
            <v>8026.5910000000003</v>
          </cell>
          <cell r="AW92">
            <v>8288.7350000000006</v>
          </cell>
          <cell r="AX92">
            <v>8566.77</v>
          </cell>
          <cell r="AY92">
            <v>8860.2870000000003</v>
          </cell>
          <cell r="AZ92">
            <v>9168.3119999999999</v>
          </cell>
          <cell r="BA92">
            <v>9490.2880000000005</v>
          </cell>
          <cell r="BB92">
            <v>9826.598</v>
          </cell>
          <cell r="BC92">
            <v>10178.200999999999</v>
          </cell>
          <cell r="BD92">
            <v>10545.716</v>
          </cell>
          <cell r="BE92">
            <v>10929.918</v>
          </cell>
          <cell r="BF92">
            <v>11331.557000000001</v>
          </cell>
          <cell r="BG92">
            <v>11751.365</v>
          </cell>
          <cell r="BH92">
            <v>12189.983</v>
          </cell>
          <cell r="BI92">
            <v>12647.984</v>
          </cell>
          <cell r="BJ92">
            <v>13125.915999999999</v>
          </cell>
          <cell r="BK92">
            <v>13624.467000000001</v>
          </cell>
          <cell r="BL92">
            <v>14143.971</v>
          </cell>
          <cell r="BM92">
            <v>14685.398999999999</v>
          </cell>
          <cell r="BN92">
            <v>15250.907999999999</v>
          </cell>
          <cell r="BO92">
            <v>15843.133</v>
          </cell>
          <cell r="BP92">
            <v>16464.025000000001</v>
          </cell>
          <cell r="BQ92">
            <v>17114.766</v>
          </cell>
          <cell r="BR92">
            <v>17795.21</v>
          </cell>
          <cell r="BS92">
            <v>18504.280999999999</v>
          </cell>
          <cell r="BT92">
            <v>19240.179</v>
          </cell>
          <cell r="BU92">
            <v>20001.663</v>
          </cell>
          <cell r="BV92">
            <v>20788.797999999999</v>
          </cell>
          <cell r="BW92">
            <v>21602.382000000001</v>
          </cell>
          <cell r="BX92">
            <v>22442.822</v>
          </cell>
        </row>
        <row r="93">
          <cell r="C93" t="str">
            <v>Nigeria</v>
          </cell>
          <cell r="E93">
            <v>566</v>
          </cell>
          <cell r="F93" t="str">
            <v>Country</v>
          </cell>
          <cell r="G93">
            <v>914</v>
          </cell>
          <cell r="H93">
            <v>37859.748</v>
          </cell>
          <cell r="I93">
            <v>38424.141000000003</v>
          </cell>
          <cell r="J93">
            <v>39035.444000000003</v>
          </cell>
          <cell r="K93">
            <v>39686.163</v>
          </cell>
          <cell r="L93">
            <v>40370.851999999999</v>
          </cell>
          <cell r="M93">
            <v>41086.1</v>
          </cell>
          <cell r="N93">
            <v>41830.614000000001</v>
          </cell>
          <cell r="O93">
            <v>42605.124000000003</v>
          </cell>
          <cell r="P93">
            <v>43412.097000000002</v>
          </cell>
          <cell r="Q93">
            <v>44255.33</v>
          </cell>
          <cell r="R93">
            <v>45138.457999999999</v>
          </cell>
          <cell r="S93">
            <v>46063.563000000002</v>
          </cell>
          <cell r="T93">
            <v>47029.822</v>
          </cell>
          <cell r="U93">
            <v>48032.934000000001</v>
          </cell>
          <cell r="V93">
            <v>49066.76</v>
          </cell>
          <cell r="W93">
            <v>50127.921000000002</v>
          </cell>
          <cell r="X93">
            <v>51217.972999999998</v>
          </cell>
          <cell r="Y93">
            <v>52342.233</v>
          </cell>
          <cell r="Z93">
            <v>53506.196000000004</v>
          </cell>
          <cell r="AA93">
            <v>54717.038999999997</v>
          </cell>
          <cell r="AB93">
            <v>55982.144</v>
          </cell>
          <cell r="AC93">
            <v>57296.983</v>
          </cell>
          <cell r="AD93">
            <v>58665.807999999997</v>
          </cell>
          <cell r="AE93">
            <v>60114.625</v>
          </cell>
          <cell r="AF93">
            <v>61677.177000000003</v>
          </cell>
          <cell r="AG93">
            <v>63374.298000000003</v>
          </cell>
          <cell r="AH93">
            <v>65221.377999999997</v>
          </cell>
          <cell r="AI93">
            <v>67203.127999999997</v>
          </cell>
          <cell r="AJ93">
            <v>69271.917000000001</v>
          </cell>
          <cell r="AK93">
            <v>71361.130999999994</v>
          </cell>
          <cell r="AL93">
            <v>73423.633000000002</v>
          </cell>
          <cell r="AM93">
            <v>75440.501999999993</v>
          </cell>
          <cell r="AN93">
            <v>77427.546000000002</v>
          </cell>
          <cell r="AO93">
            <v>79414.84</v>
          </cell>
          <cell r="AP93">
            <v>81448.755000000005</v>
          </cell>
          <cell r="AQ93">
            <v>83562.785000000003</v>
          </cell>
          <cell r="AR93">
            <v>85766.399000000005</v>
          </cell>
          <cell r="AS93">
            <v>88048.032000000007</v>
          </cell>
          <cell r="AT93">
            <v>90395.270999999993</v>
          </cell>
          <cell r="AU93">
            <v>92788.027000000002</v>
          </cell>
          <cell r="AV93">
            <v>95212.45</v>
          </cell>
          <cell r="AW93">
            <v>97667.631999999998</v>
          </cell>
          <cell r="AX93">
            <v>100161.71</v>
          </cell>
          <cell r="AY93">
            <v>102700.753</v>
          </cell>
          <cell r="AZ93">
            <v>105293.7</v>
          </cell>
          <cell r="BA93">
            <v>107948.33500000001</v>
          </cell>
          <cell r="BB93">
            <v>110668.79399999999</v>
          </cell>
          <cell r="BC93">
            <v>113457.663</v>
          </cell>
          <cell r="BD93">
            <v>116319.75900000001</v>
          </cell>
          <cell r="BE93">
            <v>119260.06299999999</v>
          </cell>
          <cell r="BF93">
            <v>122283.85</v>
          </cell>
          <cell r="BG93">
            <v>125394.046</v>
          </cell>
          <cell r="BH93">
            <v>128596.076</v>
          </cell>
          <cell r="BI93">
            <v>131900.63099999999</v>
          </cell>
          <cell r="BJ93">
            <v>135320.42199999999</v>
          </cell>
          <cell r="BK93">
            <v>138865.016</v>
          </cell>
          <cell r="BL93">
            <v>142538.30799999999</v>
          </cell>
          <cell r="BM93">
            <v>146339.97700000001</v>
          </cell>
          <cell r="BN93">
            <v>150269.62299999999</v>
          </cell>
          <cell r="BO93">
            <v>154324.93299999999</v>
          </cell>
          <cell r="BP93">
            <v>158503.19699999999</v>
          </cell>
          <cell r="BQ93">
            <v>162805.07699999999</v>
          </cell>
          <cell r="BR93">
            <v>167228.79399999999</v>
          </cell>
          <cell r="BS93">
            <v>171765.81599999999</v>
          </cell>
          <cell r="BT93">
            <v>176404.93400000001</v>
          </cell>
          <cell r="BU93">
            <v>181137.448</v>
          </cell>
          <cell r="BV93">
            <v>185960.24100000001</v>
          </cell>
          <cell r="BW93">
            <v>190873.24400000001</v>
          </cell>
          <cell r="BX93">
            <v>195874.68299999999</v>
          </cell>
        </row>
        <row r="94">
          <cell r="C94" t="str">
            <v>Saint Helena</v>
          </cell>
          <cell r="D94">
            <v>3</v>
          </cell>
          <cell r="E94">
            <v>654</v>
          </cell>
          <cell r="F94" t="str">
            <v>Country</v>
          </cell>
          <cell r="G94">
            <v>914</v>
          </cell>
          <cell r="H94">
            <v>5.2460000000000004</v>
          </cell>
          <cell r="I94">
            <v>5.2930000000000001</v>
          </cell>
          <cell r="J94">
            <v>5.3159999999999998</v>
          </cell>
          <cell r="K94">
            <v>5.3360000000000003</v>
          </cell>
          <cell r="L94">
            <v>5.3419999999999996</v>
          </cell>
          <cell r="M94">
            <v>5.3449999999999998</v>
          </cell>
          <cell r="N94">
            <v>5.3540000000000001</v>
          </cell>
          <cell r="O94">
            <v>5.3579999999999997</v>
          </cell>
          <cell r="P94">
            <v>5.3739999999999997</v>
          </cell>
          <cell r="Q94">
            <v>5.3780000000000001</v>
          </cell>
          <cell r="R94">
            <v>5.3639999999999999</v>
          </cell>
          <cell r="S94">
            <v>5.3520000000000003</v>
          </cell>
          <cell r="T94">
            <v>5.33</v>
          </cell>
          <cell r="U94">
            <v>5.3170000000000002</v>
          </cell>
          <cell r="V94">
            <v>5.3109999999999999</v>
          </cell>
          <cell r="W94">
            <v>5.3280000000000003</v>
          </cell>
          <cell r="X94">
            <v>5.3689999999999998</v>
          </cell>
          <cell r="Y94">
            <v>5.4260000000000002</v>
          </cell>
          <cell r="Z94">
            <v>5.5039999999999996</v>
          </cell>
          <cell r="AA94">
            <v>5.601</v>
          </cell>
          <cell r="AB94">
            <v>5.6920000000000002</v>
          </cell>
          <cell r="AC94">
            <v>5.7990000000000004</v>
          </cell>
          <cell r="AD94">
            <v>5.9189999999999996</v>
          </cell>
          <cell r="AE94">
            <v>6.0279999999999996</v>
          </cell>
          <cell r="AF94">
            <v>6.1369999999999996</v>
          </cell>
          <cell r="AG94">
            <v>6.2350000000000003</v>
          </cell>
          <cell r="AH94">
            <v>6.327</v>
          </cell>
          <cell r="AI94">
            <v>6.4</v>
          </cell>
          <cell r="AJ94">
            <v>6.4640000000000004</v>
          </cell>
          <cell r="AK94">
            <v>6.5190000000000001</v>
          </cell>
          <cell r="AL94">
            <v>6.5819999999999999</v>
          </cell>
          <cell r="AM94">
            <v>6.6559999999999997</v>
          </cell>
          <cell r="AN94">
            <v>6.7089999999999996</v>
          </cell>
          <cell r="AO94">
            <v>6.7610000000000001</v>
          </cell>
          <cell r="AP94">
            <v>6.798</v>
          </cell>
          <cell r="AQ94">
            <v>6.8170000000000002</v>
          </cell>
          <cell r="AR94">
            <v>6.8220000000000001</v>
          </cell>
          <cell r="AS94">
            <v>6.7990000000000004</v>
          </cell>
          <cell r="AT94">
            <v>6.766</v>
          </cell>
          <cell r="AU94">
            <v>6.7169999999999996</v>
          </cell>
          <cell r="AV94">
            <v>6.6470000000000002</v>
          </cell>
          <cell r="AW94">
            <v>6.5720000000000001</v>
          </cell>
          <cell r="AX94">
            <v>6.4859999999999998</v>
          </cell>
          <cell r="AY94">
            <v>6.3949999999999996</v>
          </cell>
          <cell r="AZ94">
            <v>6.3140000000000001</v>
          </cell>
          <cell r="BA94">
            <v>6.2469999999999999</v>
          </cell>
          <cell r="BB94">
            <v>6.2060000000000004</v>
          </cell>
          <cell r="BC94">
            <v>6.1790000000000003</v>
          </cell>
          <cell r="BD94">
            <v>6.157</v>
          </cell>
          <cell r="BE94">
            <v>6.125</v>
          </cell>
          <cell r="BF94">
            <v>6.0490000000000004</v>
          </cell>
          <cell r="BG94">
            <v>5.9390000000000001</v>
          </cell>
          <cell r="BH94">
            <v>5.8010000000000002</v>
          </cell>
          <cell r="BI94">
            <v>5.6440000000000001</v>
          </cell>
          <cell r="BJ94">
            <v>5.49</v>
          </cell>
          <cell r="BK94">
            <v>5.3639999999999999</v>
          </cell>
          <cell r="BL94">
            <v>5.2629999999999999</v>
          </cell>
          <cell r="BM94">
            <v>5.1859999999999999</v>
          </cell>
          <cell r="BN94">
            <v>5.1429999999999998</v>
          </cell>
          <cell r="BO94">
            <v>5.1420000000000003</v>
          </cell>
          <cell r="BP94">
            <v>5.1829999999999998</v>
          </cell>
          <cell r="BQ94">
            <v>5.28</v>
          </cell>
          <cell r="BR94">
            <v>5.4139999999999997</v>
          </cell>
          <cell r="BS94">
            <v>5.5839999999999996</v>
          </cell>
          <cell r="BT94">
            <v>5.7389999999999999</v>
          </cell>
          <cell r="BU94">
            <v>5.8650000000000002</v>
          </cell>
          <cell r="BV94">
            <v>5.9560000000000004</v>
          </cell>
          <cell r="BW94">
            <v>6.008</v>
          </cell>
          <cell r="BX94">
            <v>6.0350000000000001</v>
          </cell>
        </row>
        <row r="95">
          <cell r="C95" t="str">
            <v>Senegal</v>
          </cell>
          <cell r="E95">
            <v>686</v>
          </cell>
          <cell r="F95" t="str">
            <v>Country</v>
          </cell>
          <cell r="G95">
            <v>914</v>
          </cell>
          <cell r="H95">
            <v>2486.6350000000002</v>
          </cell>
          <cell r="I95">
            <v>2545.3389999999999</v>
          </cell>
          <cell r="J95">
            <v>2606.6239999999998</v>
          </cell>
          <cell r="K95">
            <v>2670.7440000000001</v>
          </cell>
          <cell r="L95">
            <v>2737.9050000000002</v>
          </cell>
          <cell r="M95">
            <v>2808.2249999999999</v>
          </cell>
          <cell r="N95">
            <v>2881.7640000000001</v>
          </cell>
          <cell r="O95">
            <v>2958.4850000000001</v>
          </cell>
          <cell r="P95">
            <v>3038.2959999999998</v>
          </cell>
          <cell r="Q95">
            <v>3121.085</v>
          </cell>
          <cell r="R95">
            <v>3206.7489999999998</v>
          </cell>
          <cell r="S95">
            <v>3295.2779999999998</v>
          </cell>
          <cell r="T95">
            <v>3386.806</v>
          </cell>
          <cell r="U95">
            <v>3481.654</v>
          </cell>
          <cell r="V95">
            <v>3580.239</v>
          </cell>
          <cell r="W95">
            <v>3682.8760000000002</v>
          </cell>
          <cell r="X95">
            <v>3789.3829999999998</v>
          </cell>
          <cell r="Y95">
            <v>3899.6439999999998</v>
          </cell>
          <cell r="Z95">
            <v>4014.1030000000001</v>
          </cell>
          <cell r="AA95">
            <v>4133.3220000000001</v>
          </cell>
          <cell r="AB95">
            <v>4257.5050000000001</v>
          </cell>
          <cell r="AC95">
            <v>4387.54</v>
          </cell>
          <cell r="AD95">
            <v>4522.893</v>
          </cell>
          <cell r="AE95">
            <v>4660.7250000000004</v>
          </cell>
          <cell r="AF95">
            <v>4797.1869999999999</v>
          </cell>
          <cell r="AG95">
            <v>4929.8459999999995</v>
          </cell>
          <cell r="AH95">
            <v>5057.3779999999997</v>
          </cell>
          <cell r="AI95">
            <v>5181.5140000000001</v>
          </cell>
          <cell r="AJ95">
            <v>5306.6809999999996</v>
          </cell>
          <cell r="AK95">
            <v>5439.0659999999998</v>
          </cell>
          <cell r="AL95">
            <v>5583.165</v>
          </cell>
          <cell r="AM95">
            <v>5740.4440000000004</v>
          </cell>
          <cell r="AN95">
            <v>5909.7389999999996</v>
          </cell>
          <cell r="AO95">
            <v>6089.5720000000001</v>
          </cell>
          <cell r="AP95">
            <v>6277.424</v>
          </cell>
          <cell r="AQ95">
            <v>6471.3270000000002</v>
          </cell>
          <cell r="AR95">
            <v>6670.6629999999996</v>
          </cell>
          <cell r="AS95">
            <v>6875.7539999999999</v>
          </cell>
          <cell r="AT95">
            <v>7086.6270000000004</v>
          </cell>
          <cell r="AU95">
            <v>7303.5169999999998</v>
          </cell>
          <cell r="AV95">
            <v>7526.3069999999998</v>
          </cell>
          <cell r="AW95">
            <v>7755.4960000000001</v>
          </cell>
          <cell r="AX95">
            <v>7990.0959999999995</v>
          </cell>
          <cell r="AY95">
            <v>8226.76</v>
          </cell>
          <cell r="AZ95">
            <v>8461.0679999999993</v>
          </cell>
          <cell r="BA95">
            <v>8690.1640000000007</v>
          </cell>
          <cell r="BB95">
            <v>8912.8610000000008</v>
          </cell>
          <cell r="BC95">
            <v>9130.8770000000004</v>
          </cell>
          <cell r="BD95">
            <v>9347.7739999999994</v>
          </cell>
          <cell r="BE95">
            <v>9568.7219999999998</v>
          </cell>
          <cell r="BF95">
            <v>9797.7340000000004</v>
          </cell>
          <cell r="BG95">
            <v>10036.103999999999</v>
          </cell>
          <cell r="BH95">
            <v>10283.699000000001</v>
          </cell>
          <cell r="BI95">
            <v>10541.467000000001</v>
          </cell>
          <cell r="BJ95">
            <v>10810.083000000001</v>
          </cell>
          <cell r="BK95">
            <v>11090.116</v>
          </cell>
          <cell r="BL95">
            <v>11382.268</v>
          </cell>
          <cell r="BM95">
            <v>11687.08</v>
          </cell>
          <cell r="BN95">
            <v>12004.700999999999</v>
          </cell>
          <cell r="BO95">
            <v>12335.084000000001</v>
          </cell>
          <cell r="BP95">
            <v>12678.147999999999</v>
          </cell>
          <cell r="BQ95">
            <v>13033.808999999999</v>
          </cell>
          <cell r="BR95">
            <v>13401.992</v>
          </cell>
          <cell r="BS95">
            <v>13782.424000000001</v>
          </cell>
          <cell r="BT95">
            <v>14174.739</v>
          </cell>
          <cell r="BU95">
            <v>14578.459000000001</v>
          </cell>
          <cell r="BV95">
            <v>14993.519</v>
          </cell>
          <cell r="BW95">
            <v>15419.355</v>
          </cell>
          <cell r="BX95">
            <v>15854.323</v>
          </cell>
        </row>
        <row r="96">
          <cell r="C96" t="str">
            <v>Sierra Leone</v>
          </cell>
          <cell r="E96">
            <v>694</v>
          </cell>
          <cell r="F96" t="str">
            <v>Country</v>
          </cell>
          <cell r="G96">
            <v>914</v>
          </cell>
          <cell r="H96">
            <v>2041.203</v>
          </cell>
          <cell r="I96">
            <v>2064.4659999999999</v>
          </cell>
          <cell r="J96">
            <v>2088.491</v>
          </cell>
          <cell r="K96">
            <v>2113.3380000000002</v>
          </cell>
          <cell r="L96">
            <v>2139.0839999999998</v>
          </cell>
          <cell r="M96">
            <v>2165.8150000000001</v>
          </cell>
          <cell r="N96">
            <v>2193.614</v>
          </cell>
          <cell r="O96">
            <v>2222.587</v>
          </cell>
          <cell r="P96">
            <v>2252.8420000000001</v>
          </cell>
          <cell r="Q96">
            <v>2284.4830000000002</v>
          </cell>
          <cell r="R96">
            <v>2317.636</v>
          </cell>
          <cell r="S96">
            <v>2352.3629999999998</v>
          </cell>
          <cell r="T96">
            <v>2388.7689999999998</v>
          </cell>
          <cell r="U96">
            <v>2426.857</v>
          </cell>
          <cell r="V96">
            <v>2466.6669999999999</v>
          </cell>
          <cell r="W96">
            <v>2508.2190000000001</v>
          </cell>
          <cell r="X96">
            <v>2551.578</v>
          </cell>
          <cell r="Y96">
            <v>2596.8049999999998</v>
          </cell>
          <cell r="Z96">
            <v>2644.02</v>
          </cell>
          <cell r="AA96">
            <v>2693.348</v>
          </cell>
          <cell r="AB96">
            <v>2744.8910000000001</v>
          </cell>
          <cell r="AC96">
            <v>2798.7240000000002</v>
          </cell>
          <cell r="AD96">
            <v>2854.8719999999998</v>
          </cell>
          <cell r="AE96">
            <v>2913.3440000000001</v>
          </cell>
          <cell r="AF96">
            <v>2974.1039999999998</v>
          </cell>
          <cell r="AG96">
            <v>3037.154</v>
          </cell>
          <cell r="AH96">
            <v>3102.5920000000001</v>
          </cell>
          <cell r="AI96">
            <v>3170.5079999999998</v>
          </cell>
          <cell r="AJ96">
            <v>3240.8389999999999</v>
          </cell>
          <cell r="AK96">
            <v>3313.5039999999999</v>
          </cell>
          <cell r="AL96">
            <v>3388.4949999999999</v>
          </cell>
          <cell r="AM96">
            <v>3464.1060000000002</v>
          </cell>
          <cell r="AN96">
            <v>3540.17</v>
          </cell>
          <cell r="AO96">
            <v>3619.8470000000002</v>
          </cell>
          <cell r="AP96">
            <v>3707.51</v>
          </cell>
          <cell r="AQ96">
            <v>3805.3110000000001</v>
          </cell>
          <cell r="AR96">
            <v>3916.6849999999999</v>
          </cell>
          <cell r="AS96">
            <v>4038.1439999999998</v>
          </cell>
          <cell r="AT96">
            <v>4156.634</v>
          </cell>
          <cell r="AU96">
            <v>4254.4440000000004</v>
          </cell>
          <cell r="AV96">
            <v>4319.7619999999997</v>
          </cell>
          <cell r="AW96">
            <v>4348.66</v>
          </cell>
          <cell r="AX96">
            <v>4347.7240000000002</v>
          </cell>
          <cell r="AY96">
            <v>4328.9570000000003</v>
          </cell>
          <cell r="AZ96">
            <v>4309.7749999999996</v>
          </cell>
          <cell r="BA96">
            <v>4303.9570000000003</v>
          </cell>
          <cell r="BB96">
            <v>4312.6660000000002</v>
          </cell>
          <cell r="BC96">
            <v>4335.3010000000004</v>
          </cell>
          <cell r="BD96">
            <v>4381.4830000000002</v>
          </cell>
          <cell r="BE96">
            <v>4462.3779999999997</v>
          </cell>
          <cell r="BF96">
            <v>4584.5709999999999</v>
          </cell>
          <cell r="BG96">
            <v>4754.0720000000001</v>
          </cell>
          <cell r="BH96">
            <v>4965.7659999999996</v>
          </cell>
          <cell r="BI96">
            <v>5201.07</v>
          </cell>
          <cell r="BJ96">
            <v>5433.991</v>
          </cell>
          <cell r="BK96">
            <v>5645.6239999999998</v>
          </cell>
          <cell r="BL96">
            <v>5829.2370000000001</v>
          </cell>
          <cell r="BM96">
            <v>5989.6329999999998</v>
          </cell>
          <cell r="BN96">
            <v>6133.6030000000001</v>
          </cell>
          <cell r="BO96">
            <v>6272.7340000000004</v>
          </cell>
          <cell r="BP96">
            <v>6415.634</v>
          </cell>
          <cell r="BQ96">
            <v>6563.24</v>
          </cell>
          <cell r="BR96">
            <v>6712.5839999999998</v>
          </cell>
          <cell r="BS96">
            <v>6863.9809999999998</v>
          </cell>
          <cell r="BT96">
            <v>7017.1480000000001</v>
          </cell>
          <cell r="BU96">
            <v>7171.9139999999998</v>
          </cell>
          <cell r="BV96">
            <v>7328.8339999999998</v>
          </cell>
          <cell r="BW96">
            <v>7488.4229999999998</v>
          </cell>
          <cell r="BX96">
            <v>7650.15</v>
          </cell>
        </row>
        <row r="97">
          <cell r="C97" t="str">
            <v>Togo</v>
          </cell>
          <cell r="E97">
            <v>768</v>
          </cell>
          <cell r="F97" t="str">
            <v>Country</v>
          </cell>
          <cell r="G97">
            <v>914</v>
          </cell>
          <cell r="H97">
            <v>1395.4570000000001</v>
          </cell>
          <cell r="I97">
            <v>1425.4870000000001</v>
          </cell>
          <cell r="J97">
            <v>1441.9059999999999</v>
          </cell>
          <cell r="K97">
            <v>1452.088</v>
          </cell>
          <cell r="L97">
            <v>1461.52</v>
          </cell>
          <cell r="M97">
            <v>1473.8389999999999</v>
          </cell>
          <cell r="N97">
            <v>1490.731</v>
          </cell>
          <cell r="O97">
            <v>1512.029</v>
          </cell>
          <cell r="P97">
            <v>1535.9690000000001</v>
          </cell>
          <cell r="Q97">
            <v>1559.674</v>
          </cell>
          <cell r="R97">
            <v>1580.5129999999999</v>
          </cell>
          <cell r="S97">
            <v>1597.5260000000001</v>
          </cell>
          <cell r="T97">
            <v>1612.7550000000001</v>
          </cell>
          <cell r="U97">
            <v>1631.7639999999999</v>
          </cell>
          <cell r="V97">
            <v>1662.0730000000001</v>
          </cell>
          <cell r="W97">
            <v>1708.63</v>
          </cell>
          <cell r="X97">
            <v>1774.029</v>
          </cell>
          <cell r="Y97">
            <v>1855.442</v>
          </cell>
          <cell r="Z97">
            <v>1945.78</v>
          </cell>
          <cell r="AA97">
            <v>2034.9069999999999</v>
          </cell>
          <cell r="AB97">
            <v>2115.5219999999999</v>
          </cell>
          <cell r="AC97">
            <v>2185.6619999999998</v>
          </cell>
          <cell r="AD97">
            <v>2247.5819999999999</v>
          </cell>
          <cell r="AE97">
            <v>2303.3449999999998</v>
          </cell>
          <cell r="AF97">
            <v>2356.6219999999998</v>
          </cell>
          <cell r="AG97">
            <v>2410.4459999999999</v>
          </cell>
          <cell r="AH97">
            <v>2464.4229999999998</v>
          </cell>
          <cell r="AI97">
            <v>2518.4569999999999</v>
          </cell>
          <cell r="AJ97">
            <v>2576.2919999999999</v>
          </cell>
          <cell r="AK97">
            <v>2642.6959999999999</v>
          </cell>
          <cell r="AL97">
            <v>2720.8389999999999</v>
          </cell>
          <cell r="AM97">
            <v>2812.3069999999998</v>
          </cell>
          <cell r="AN97">
            <v>2915.62</v>
          </cell>
          <cell r="AO97">
            <v>3026.973</v>
          </cell>
          <cell r="AP97">
            <v>3140.846</v>
          </cell>
          <cell r="AQ97">
            <v>3252.9940000000001</v>
          </cell>
          <cell r="AR97">
            <v>3363.0419999999999</v>
          </cell>
          <cell r="AS97">
            <v>3471.739</v>
          </cell>
          <cell r="AT97">
            <v>3577.4679999999998</v>
          </cell>
          <cell r="AU97">
            <v>3678.567</v>
          </cell>
          <cell r="AV97">
            <v>3774.3119999999999</v>
          </cell>
          <cell r="AW97">
            <v>3862.9920000000002</v>
          </cell>
          <cell r="AX97">
            <v>3945.9050000000002</v>
          </cell>
          <cell r="AY97">
            <v>4029.0529999999999</v>
          </cell>
          <cell r="AZ97">
            <v>4120.616</v>
          </cell>
          <cell r="BA97">
            <v>4226.2910000000002</v>
          </cell>
          <cell r="BB97">
            <v>4348.8050000000003</v>
          </cell>
          <cell r="BC97">
            <v>4485.951</v>
          </cell>
          <cell r="BD97">
            <v>4632.4459999999999</v>
          </cell>
          <cell r="BE97">
            <v>4780.4480000000003</v>
          </cell>
          <cell r="BF97">
            <v>4924.402</v>
          </cell>
          <cell r="BG97">
            <v>5062.567</v>
          </cell>
          <cell r="BH97">
            <v>5197.0309999999999</v>
          </cell>
          <cell r="BI97">
            <v>5330.6390000000001</v>
          </cell>
          <cell r="BJ97">
            <v>5467.7659999999996</v>
          </cell>
          <cell r="BK97">
            <v>5611.64</v>
          </cell>
          <cell r="BL97">
            <v>5762.88</v>
          </cell>
          <cell r="BM97">
            <v>5920.3590000000004</v>
          </cell>
          <cell r="BN97">
            <v>6083.42</v>
          </cell>
          <cell r="BO97">
            <v>6250.835</v>
          </cell>
          <cell r="BP97">
            <v>6421.6790000000001</v>
          </cell>
          <cell r="BQ97">
            <v>6595.9430000000002</v>
          </cell>
          <cell r="BR97">
            <v>6773.8090000000002</v>
          </cell>
          <cell r="BS97">
            <v>6954.7219999999998</v>
          </cell>
          <cell r="BT97">
            <v>7138</v>
          </cell>
          <cell r="BU97">
            <v>7323.1580000000004</v>
          </cell>
          <cell r="BV97">
            <v>7509.951</v>
          </cell>
          <cell r="BW97">
            <v>7698.4740000000002</v>
          </cell>
          <cell r="BX97">
            <v>7889.0929999999998</v>
          </cell>
        </row>
        <row r="98">
          <cell r="C98" t="str">
            <v>NORTHERN AFRICA AND WESTERN ASIA</v>
          </cell>
          <cell r="E98">
            <v>1833</v>
          </cell>
          <cell r="F98" t="str">
            <v>SDG region</v>
          </cell>
          <cell r="G98">
            <v>1828</v>
          </cell>
          <cell r="H98">
            <v>100239.143</v>
          </cell>
          <cell r="I98">
            <v>102643.663</v>
          </cell>
          <cell r="J98">
            <v>105170.66800000001</v>
          </cell>
          <cell r="K98">
            <v>107813.217</v>
          </cell>
          <cell r="L98">
            <v>110566.039</v>
          </cell>
          <cell r="M98">
            <v>113425.353</v>
          </cell>
          <cell r="N98">
            <v>116389.269</v>
          </cell>
          <cell r="O98">
            <v>119457.376</v>
          </cell>
          <cell r="P98">
            <v>122630.83100000001</v>
          </cell>
          <cell r="Q98">
            <v>125911.637</v>
          </cell>
          <cell r="R98">
            <v>129301.717</v>
          </cell>
          <cell r="S98">
            <v>132801.48800000001</v>
          </cell>
          <cell r="T98">
            <v>136408.96900000001</v>
          </cell>
          <cell r="U98">
            <v>140118.954</v>
          </cell>
          <cell r="V98">
            <v>143924.70300000001</v>
          </cell>
          <cell r="W98">
            <v>147821.75599999999</v>
          </cell>
          <cell r="X98">
            <v>151812.03400000001</v>
          </cell>
          <cell r="Y98">
            <v>155898.87599999999</v>
          </cell>
          <cell r="Z98">
            <v>160081.144</v>
          </cell>
          <cell r="AA98">
            <v>164357.64000000001</v>
          </cell>
          <cell r="AB98">
            <v>168730.19500000001</v>
          </cell>
          <cell r="AC98">
            <v>173201.242</v>
          </cell>
          <cell r="AD98">
            <v>177780.00200000001</v>
          </cell>
          <cell r="AE98">
            <v>182483.78400000001</v>
          </cell>
          <cell r="AF98">
            <v>187334.726</v>
          </cell>
          <cell r="AG98">
            <v>192351.51699999999</v>
          </cell>
          <cell r="AH98">
            <v>197531.323</v>
          </cell>
          <cell r="AI98">
            <v>202877.24799999999</v>
          </cell>
          <cell r="AJ98">
            <v>208419.20499999999</v>
          </cell>
          <cell r="AK98">
            <v>214194.61199999999</v>
          </cell>
          <cell r="AL98">
            <v>220224.427</v>
          </cell>
          <cell r="AM98">
            <v>226520.89499999999</v>
          </cell>
          <cell r="AN98">
            <v>233060.497</v>
          </cell>
          <cell r="AO98">
            <v>239783.44699999999</v>
          </cell>
          <cell r="AP98">
            <v>246607.31299999999</v>
          </cell>
          <cell r="AQ98">
            <v>253469.21</v>
          </cell>
          <cell r="AR98">
            <v>260337.73199999999</v>
          </cell>
          <cell r="AS98">
            <v>267215.49599999998</v>
          </cell>
          <cell r="AT98">
            <v>274113.68199999997</v>
          </cell>
          <cell r="AU98">
            <v>281057.696</v>
          </cell>
          <cell r="AV98">
            <v>288060.45799999998</v>
          </cell>
          <cell r="AW98">
            <v>295134.777</v>
          </cell>
          <cell r="AX98">
            <v>302256.10700000002</v>
          </cell>
          <cell r="AY98">
            <v>309357.53499999997</v>
          </cell>
          <cell r="AZ98">
            <v>316350.29100000003</v>
          </cell>
          <cell r="BA98">
            <v>323178.114</v>
          </cell>
          <cell r="BB98">
            <v>329823.09000000003</v>
          </cell>
          <cell r="BC98">
            <v>336326.685</v>
          </cell>
          <cell r="BD98">
            <v>342767.451</v>
          </cell>
          <cell r="BE98">
            <v>349255.95199999999</v>
          </cell>
          <cell r="BF98">
            <v>355881.66100000002</v>
          </cell>
          <cell r="BG98">
            <v>362661.071</v>
          </cell>
          <cell r="BH98">
            <v>369598.59499999997</v>
          </cell>
          <cell r="BI98">
            <v>376756.13299999997</v>
          </cell>
          <cell r="BJ98">
            <v>384203.35</v>
          </cell>
          <cell r="BK98">
            <v>391985.587</v>
          </cell>
          <cell r="BL98">
            <v>400125.52</v>
          </cell>
          <cell r="BM98">
            <v>408601.60800000001</v>
          </cell>
          <cell r="BN98">
            <v>417355.43199999997</v>
          </cell>
          <cell r="BO98">
            <v>426301.14899999998</v>
          </cell>
          <cell r="BP98">
            <v>435366.74300000002</v>
          </cell>
          <cell r="BQ98">
            <v>444534.99300000002</v>
          </cell>
          <cell r="BR98">
            <v>453795.011</v>
          </cell>
          <cell r="BS98">
            <v>463088.02799999999</v>
          </cell>
          <cell r="BT98">
            <v>472346.59299999999</v>
          </cell>
          <cell r="BU98">
            <v>481520.01400000002</v>
          </cell>
          <cell r="BV98">
            <v>490571.04499999998</v>
          </cell>
          <cell r="BW98">
            <v>499496.951</v>
          </cell>
          <cell r="BX98">
            <v>508325.56</v>
          </cell>
        </row>
        <row r="99">
          <cell r="C99" t="str">
            <v>Northern Africa</v>
          </cell>
          <cell r="E99">
            <v>912</v>
          </cell>
          <cell r="F99" t="str">
            <v>Subregion</v>
          </cell>
          <cell r="G99">
            <v>1833</v>
          </cell>
          <cell r="H99">
            <v>48787.59</v>
          </cell>
          <cell r="I99">
            <v>49955.141000000003</v>
          </cell>
          <cell r="J99">
            <v>51184.624000000003</v>
          </cell>
          <cell r="K99">
            <v>52478.220999999998</v>
          </cell>
          <cell r="L99">
            <v>53836.703000000001</v>
          </cell>
          <cell r="M99">
            <v>55259.415999999997</v>
          </cell>
          <cell r="N99">
            <v>56744.328000000001</v>
          </cell>
          <cell r="O99">
            <v>58287.985999999997</v>
          </cell>
          <cell r="P99">
            <v>59885.836000000003</v>
          </cell>
          <cell r="Q99">
            <v>61532.534</v>
          </cell>
          <cell r="R99">
            <v>63223.194000000003</v>
          </cell>
          <cell r="S99">
            <v>64954.576000000001</v>
          </cell>
          <cell r="T99">
            <v>66726.236000000004</v>
          </cell>
          <cell r="U99">
            <v>68540.967999999993</v>
          </cell>
          <cell r="V99">
            <v>70403.445999999996</v>
          </cell>
          <cell r="W99">
            <v>72316.384000000005</v>
          </cell>
          <cell r="X99">
            <v>74284.683999999994</v>
          </cell>
          <cell r="Y99">
            <v>76305.736999999994</v>
          </cell>
          <cell r="Z99">
            <v>78366.153000000006</v>
          </cell>
          <cell r="AA99">
            <v>80447.659</v>
          </cell>
          <cell r="AB99">
            <v>82539.475000000006</v>
          </cell>
          <cell r="AC99">
            <v>84637.326000000001</v>
          </cell>
          <cell r="AD99">
            <v>86752.475000000006</v>
          </cell>
          <cell r="AE99">
            <v>88909.324999999997</v>
          </cell>
          <cell r="AF99">
            <v>91141.347999999998</v>
          </cell>
          <cell r="AG99">
            <v>93474.154999999999</v>
          </cell>
          <cell r="AH99">
            <v>95912.574999999997</v>
          </cell>
          <cell r="AI99">
            <v>98453.998999999996</v>
          </cell>
          <cell r="AJ99">
            <v>101106.76700000001</v>
          </cell>
          <cell r="AK99">
            <v>103878.679</v>
          </cell>
          <cell r="AL99">
            <v>106772.59</v>
          </cell>
          <cell r="AM99">
            <v>109791.451</v>
          </cell>
          <cell r="AN99">
            <v>112927.37300000001</v>
          </cell>
          <cell r="AO99">
            <v>116157.789</v>
          </cell>
          <cell r="AP99">
            <v>119452.077</v>
          </cell>
          <cell r="AQ99">
            <v>122785.327</v>
          </cell>
          <cell r="AR99">
            <v>126143.632</v>
          </cell>
          <cell r="AS99">
            <v>129522.57</v>
          </cell>
          <cell r="AT99">
            <v>132917.37299999999</v>
          </cell>
          <cell r="AU99">
            <v>136326.37</v>
          </cell>
          <cell r="AV99">
            <v>139744.81099999999</v>
          </cell>
          <cell r="AW99">
            <v>143173.35500000001</v>
          </cell>
          <cell r="AX99">
            <v>146599.26300000001</v>
          </cell>
          <cell r="AY99">
            <v>149989.60399999999</v>
          </cell>
          <cell r="AZ99">
            <v>153302.568</v>
          </cell>
          <cell r="BA99">
            <v>156510.64600000001</v>
          </cell>
          <cell r="BB99">
            <v>159601.50899999999</v>
          </cell>
          <cell r="BC99">
            <v>162589.70699999999</v>
          </cell>
          <cell r="BD99">
            <v>165508.70699999999</v>
          </cell>
          <cell r="BE99">
            <v>168407.052</v>
          </cell>
          <cell r="BF99">
            <v>171322.84899999999</v>
          </cell>
          <cell r="BG99">
            <v>174275.389</v>
          </cell>
          <cell r="BH99">
            <v>177265.26500000001</v>
          </cell>
          <cell r="BI99">
            <v>180290.64799999999</v>
          </cell>
          <cell r="BJ99">
            <v>183342.87100000001</v>
          </cell>
          <cell r="BK99">
            <v>186421.27</v>
          </cell>
          <cell r="BL99">
            <v>189521.60699999999</v>
          </cell>
          <cell r="BM99">
            <v>192665.11199999999</v>
          </cell>
          <cell r="BN99">
            <v>195906.149</v>
          </cell>
          <cell r="BO99">
            <v>199315.27600000001</v>
          </cell>
          <cell r="BP99">
            <v>202940.27299999999</v>
          </cell>
          <cell r="BQ99">
            <v>206799.2</v>
          </cell>
          <cell r="BR99">
            <v>210870.34400000001</v>
          </cell>
          <cell r="BS99">
            <v>215111.201</v>
          </cell>
          <cell r="BT99">
            <v>219458.59299999999</v>
          </cell>
          <cell r="BU99">
            <v>223861.60500000001</v>
          </cell>
          <cell r="BV99">
            <v>228307.04300000001</v>
          </cell>
          <cell r="BW99">
            <v>232793.21400000001</v>
          </cell>
          <cell r="BX99">
            <v>237293.79399999999</v>
          </cell>
        </row>
        <row r="100">
          <cell r="C100" t="str">
            <v>Algeria</v>
          </cell>
          <cell r="E100">
            <v>12</v>
          </cell>
          <cell r="F100" t="str">
            <v>Country</v>
          </cell>
          <cell r="G100">
            <v>912</v>
          </cell>
          <cell r="H100">
            <v>8872.2469999999994</v>
          </cell>
          <cell r="I100">
            <v>9023.2690000000002</v>
          </cell>
          <cell r="J100">
            <v>9186.1380000000008</v>
          </cell>
          <cell r="K100">
            <v>9364.3709999999992</v>
          </cell>
          <cell r="L100">
            <v>9560.1489999999994</v>
          </cell>
          <cell r="M100">
            <v>9774.2829999999994</v>
          </cell>
          <cell r="N100">
            <v>10006.147000000001</v>
          </cell>
          <cell r="O100">
            <v>10253.778</v>
          </cell>
          <cell r="P100">
            <v>10514.08</v>
          </cell>
          <cell r="Q100">
            <v>10783.224</v>
          </cell>
          <cell r="R100">
            <v>11057.862999999999</v>
          </cell>
          <cell r="S100">
            <v>11336.339</v>
          </cell>
          <cell r="T100">
            <v>11619.828</v>
          </cell>
          <cell r="U100">
            <v>11912.803</v>
          </cell>
          <cell r="V100">
            <v>12221.674999999999</v>
          </cell>
          <cell r="W100">
            <v>12550.885</v>
          </cell>
          <cell r="X100">
            <v>12902.627</v>
          </cell>
          <cell r="Y100">
            <v>13275.026</v>
          </cell>
          <cell r="Z100">
            <v>13663.583000000001</v>
          </cell>
          <cell r="AA100">
            <v>14061.722</v>
          </cell>
          <cell r="AB100">
            <v>14464.985000000001</v>
          </cell>
          <cell r="AC100">
            <v>14872.25</v>
          </cell>
          <cell r="AD100">
            <v>15285.99</v>
          </cell>
          <cell r="AE100">
            <v>15709.825000000001</v>
          </cell>
          <cell r="AF100">
            <v>16149.025</v>
          </cell>
          <cell r="AG100">
            <v>16607.706999999999</v>
          </cell>
          <cell r="AH100">
            <v>17085.800999999999</v>
          </cell>
          <cell r="AI100">
            <v>17582.903999999999</v>
          </cell>
          <cell r="AJ100">
            <v>18102.266</v>
          </cell>
          <cell r="AK100">
            <v>18647.814999999999</v>
          </cell>
          <cell r="AL100">
            <v>19221.665000000001</v>
          </cell>
          <cell r="AM100">
            <v>19824.300999999999</v>
          </cell>
          <cell r="AN100">
            <v>20452.901999999998</v>
          </cell>
          <cell r="AO100">
            <v>21101.875</v>
          </cell>
          <cell r="AP100">
            <v>21763.575000000001</v>
          </cell>
          <cell r="AQ100">
            <v>22431.502</v>
          </cell>
          <cell r="AR100">
            <v>23102.388999999999</v>
          </cell>
          <cell r="AS100">
            <v>23774.284</v>
          </cell>
          <cell r="AT100">
            <v>24443.467000000001</v>
          </cell>
          <cell r="AU100">
            <v>25106.19</v>
          </cell>
          <cell r="AV100">
            <v>25758.868999999999</v>
          </cell>
          <cell r="AW100">
            <v>26400.478999999999</v>
          </cell>
          <cell r="AX100">
            <v>27028.326000000001</v>
          </cell>
          <cell r="AY100">
            <v>27635.514999999999</v>
          </cell>
          <cell r="AZ100">
            <v>28213.774000000001</v>
          </cell>
          <cell r="BA100">
            <v>28757.785</v>
          </cell>
          <cell r="BB100">
            <v>29266.404999999999</v>
          </cell>
          <cell r="BC100">
            <v>29742.978999999999</v>
          </cell>
          <cell r="BD100">
            <v>30192.754000000001</v>
          </cell>
          <cell r="BE100">
            <v>30623.405999999999</v>
          </cell>
          <cell r="BF100">
            <v>31042.235000000001</v>
          </cell>
          <cell r="BG100">
            <v>31451.513999999999</v>
          </cell>
          <cell r="BH100">
            <v>31855.109</v>
          </cell>
          <cell r="BI100">
            <v>32264.156999999999</v>
          </cell>
          <cell r="BJ100">
            <v>32692.163</v>
          </cell>
          <cell r="BK100">
            <v>33149.724000000002</v>
          </cell>
          <cell r="BL100">
            <v>33641.002</v>
          </cell>
          <cell r="BM100">
            <v>34166.972000000002</v>
          </cell>
          <cell r="BN100">
            <v>34730.608</v>
          </cell>
          <cell r="BO100">
            <v>35333.881000000001</v>
          </cell>
          <cell r="BP100">
            <v>35977.455000000002</v>
          </cell>
          <cell r="BQ100">
            <v>36661.445</v>
          </cell>
          <cell r="BR100">
            <v>37383.894999999997</v>
          </cell>
          <cell r="BS100">
            <v>38140.133000000002</v>
          </cell>
          <cell r="BT100">
            <v>38923.692000000003</v>
          </cell>
          <cell r="BU100">
            <v>39728.025000000001</v>
          </cell>
          <cell r="BV100">
            <v>40551.392</v>
          </cell>
          <cell r="BW100">
            <v>41389.188999999998</v>
          </cell>
          <cell r="BX100">
            <v>42228.408000000003</v>
          </cell>
        </row>
        <row r="101">
          <cell r="C101" t="str">
            <v>Egypt</v>
          </cell>
          <cell r="E101">
            <v>818</v>
          </cell>
          <cell r="F101" t="str">
            <v>Country</v>
          </cell>
          <cell r="G101">
            <v>912</v>
          </cell>
          <cell r="H101">
            <v>20451.977999999999</v>
          </cell>
          <cell r="I101">
            <v>20948.600999999999</v>
          </cell>
          <cell r="J101">
            <v>21473.797999999999</v>
          </cell>
          <cell r="K101">
            <v>22028.133999999998</v>
          </cell>
          <cell r="L101">
            <v>22611.51</v>
          </cell>
          <cell r="M101">
            <v>23223.124</v>
          </cell>
          <cell r="N101">
            <v>23861.519</v>
          </cell>
          <cell r="O101">
            <v>24524.53</v>
          </cell>
          <cell r="P101">
            <v>25209.462</v>
          </cell>
          <cell r="Q101">
            <v>25913.23</v>
          </cell>
          <cell r="R101">
            <v>26632.894</v>
          </cell>
          <cell r="S101">
            <v>27366.237000000001</v>
          </cell>
          <cell r="T101">
            <v>28112.256000000001</v>
          </cell>
          <cell r="U101">
            <v>28871.383000000002</v>
          </cell>
          <cell r="V101">
            <v>29644.875</v>
          </cell>
          <cell r="W101">
            <v>30433.022000000001</v>
          </cell>
          <cell r="X101">
            <v>31237.599999999999</v>
          </cell>
          <cell r="Y101">
            <v>32056.51</v>
          </cell>
          <cell r="Z101">
            <v>32881.847999999998</v>
          </cell>
          <cell r="AA101">
            <v>33703.139000000003</v>
          </cell>
          <cell r="AB101">
            <v>34513.85</v>
          </cell>
          <cell r="AC101">
            <v>35311.910000000003</v>
          </cell>
          <cell r="AD101">
            <v>36102.659</v>
          </cell>
          <cell r="AE101">
            <v>36896.553999999996</v>
          </cell>
          <cell r="AF101">
            <v>37708.146000000001</v>
          </cell>
          <cell r="AG101">
            <v>38549.142</v>
          </cell>
          <cell r="AH101">
            <v>39422.730000000003</v>
          </cell>
          <cell r="AI101">
            <v>40329.589</v>
          </cell>
          <cell r="AJ101">
            <v>41275.735999999997</v>
          </cell>
          <cell r="AK101">
            <v>42267.434999999998</v>
          </cell>
          <cell r="AL101">
            <v>43309.063000000002</v>
          </cell>
          <cell r="AM101">
            <v>44400.112999999998</v>
          </cell>
          <cell r="AN101">
            <v>45539.296000000002</v>
          </cell>
          <cell r="AO101">
            <v>46728.286</v>
          </cell>
          <cell r="AP101">
            <v>47968.642</v>
          </cell>
          <cell r="AQ101">
            <v>49258.732000000004</v>
          </cell>
          <cell r="AR101">
            <v>50602.353999999999</v>
          </cell>
          <cell r="AS101">
            <v>51991.7</v>
          </cell>
          <cell r="AT101">
            <v>53399.245999999999</v>
          </cell>
          <cell r="AU101">
            <v>54788.684999999998</v>
          </cell>
          <cell r="AV101">
            <v>56134.474999999999</v>
          </cell>
          <cell r="AW101">
            <v>57424.548999999999</v>
          </cell>
          <cell r="AX101">
            <v>58666.813999999998</v>
          </cell>
          <cell r="AY101">
            <v>59880.658000000003</v>
          </cell>
          <cell r="AZ101">
            <v>61095.803999999996</v>
          </cell>
          <cell r="BA101">
            <v>62334.034</v>
          </cell>
          <cell r="BB101">
            <v>63601.629000000001</v>
          </cell>
          <cell r="BC101">
            <v>64892.27</v>
          </cell>
          <cell r="BD101">
            <v>66200.269</v>
          </cell>
          <cell r="BE101">
            <v>67515.591</v>
          </cell>
          <cell r="BF101">
            <v>68831.561000000002</v>
          </cell>
          <cell r="BG101">
            <v>70152.660999999993</v>
          </cell>
          <cell r="BH101">
            <v>71485.043000000005</v>
          </cell>
          <cell r="BI101">
            <v>72826.096999999994</v>
          </cell>
          <cell r="BJ101">
            <v>74172.073000000004</v>
          </cell>
          <cell r="BK101">
            <v>75523.569000000003</v>
          </cell>
          <cell r="BL101">
            <v>76873.663</v>
          </cell>
          <cell r="BM101">
            <v>78232.126000000004</v>
          </cell>
          <cell r="BN101">
            <v>79636.078999999998</v>
          </cell>
          <cell r="BO101">
            <v>81134.797999999995</v>
          </cell>
          <cell r="BP101">
            <v>82761.235000000001</v>
          </cell>
          <cell r="BQ101">
            <v>84529.251999999993</v>
          </cell>
          <cell r="BR101">
            <v>86422.243000000002</v>
          </cell>
          <cell r="BS101">
            <v>88404.645999999993</v>
          </cell>
          <cell r="BT101">
            <v>90424.656000000003</v>
          </cell>
          <cell r="BU101">
            <v>92442.547000000006</v>
          </cell>
          <cell r="BV101">
            <v>94447.073000000004</v>
          </cell>
          <cell r="BW101">
            <v>96442.591</v>
          </cell>
          <cell r="BX101">
            <v>98423.597999999998</v>
          </cell>
        </row>
        <row r="102">
          <cell r="C102" t="str">
            <v>Libya</v>
          </cell>
          <cell r="E102">
            <v>434</v>
          </cell>
          <cell r="F102" t="str">
            <v>Country</v>
          </cell>
          <cell r="G102">
            <v>912</v>
          </cell>
          <cell r="H102">
            <v>1124.5150000000001</v>
          </cell>
          <cell r="I102">
            <v>1142.972</v>
          </cell>
          <cell r="J102">
            <v>1163.8910000000001</v>
          </cell>
          <cell r="K102">
            <v>1187.7339999999999</v>
          </cell>
          <cell r="L102">
            <v>1214.827</v>
          </cell>
          <cell r="M102">
            <v>1245.3579999999999</v>
          </cell>
          <cell r="N102">
            <v>1279.4059999999999</v>
          </cell>
          <cell r="O102">
            <v>1316.9110000000001</v>
          </cell>
          <cell r="P102">
            <v>1357.732</v>
          </cell>
          <cell r="Q102">
            <v>1401.62</v>
          </cell>
          <cell r="R102">
            <v>1448.4169999999999</v>
          </cell>
          <cell r="S102">
            <v>1498.0709999999999</v>
          </cell>
          <cell r="T102">
            <v>1550.8130000000001</v>
          </cell>
          <cell r="U102">
            <v>1607.171</v>
          </cell>
          <cell r="V102">
            <v>1667.825</v>
          </cell>
          <cell r="W102">
            <v>1733.306</v>
          </cell>
          <cell r="X102">
            <v>1803.683</v>
          </cell>
          <cell r="Y102">
            <v>1878.877</v>
          </cell>
          <cell r="Z102">
            <v>1958.914</v>
          </cell>
          <cell r="AA102">
            <v>2043.818</v>
          </cell>
          <cell r="AB102">
            <v>2133.5259999999998</v>
          </cell>
          <cell r="AC102">
            <v>2228.1460000000002</v>
          </cell>
          <cell r="AD102">
            <v>2327.4899999999998</v>
          </cell>
          <cell r="AE102">
            <v>2430.7550000000001</v>
          </cell>
          <cell r="AF102">
            <v>2536.8879999999999</v>
          </cell>
          <cell r="AG102">
            <v>2645.1390000000001</v>
          </cell>
          <cell r="AH102">
            <v>2754.6959999999999</v>
          </cell>
          <cell r="AI102">
            <v>2865.6370000000002</v>
          </cell>
          <cell r="AJ102">
            <v>2979.0929999999998</v>
          </cell>
          <cell r="AK102">
            <v>3096.7289999999998</v>
          </cell>
          <cell r="AL102">
            <v>3219.4659999999999</v>
          </cell>
          <cell r="AM102">
            <v>3347.7809999999999</v>
          </cell>
          <cell r="AN102">
            <v>3480.4540000000002</v>
          </cell>
          <cell r="AO102">
            <v>3614.6889999999999</v>
          </cell>
          <cell r="AP102">
            <v>3746.7150000000001</v>
          </cell>
          <cell r="AQ102">
            <v>3873.7809999999999</v>
          </cell>
          <cell r="AR102">
            <v>3994.5970000000002</v>
          </cell>
          <cell r="AS102">
            <v>4109.7250000000004</v>
          </cell>
          <cell r="AT102">
            <v>4220.45</v>
          </cell>
          <cell r="AU102">
            <v>4328.9390000000003</v>
          </cell>
          <cell r="AV102">
            <v>4436.6610000000001</v>
          </cell>
          <cell r="AW102">
            <v>4544.2420000000002</v>
          </cell>
          <cell r="AX102">
            <v>4650.8850000000002</v>
          </cell>
          <cell r="AY102">
            <v>4755.1329999999998</v>
          </cell>
          <cell r="AZ102">
            <v>4854.875</v>
          </cell>
          <cell r="BA102">
            <v>4948.7979999999998</v>
          </cell>
          <cell r="BB102">
            <v>5036.1710000000003</v>
          </cell>
          <cell r="BC102">
            <v>5118.0069999999996</v>
          </cell>
          <cell r="BD102">
            <v>5196.78</v>
          </cell>
          <cell r="BE102">
            <v>5275.9260000000004</v>
          </cell>
          <cell r="BF102">
            <v>5357.8909999999996</v>
          </cell>
          <cell r="BG102">
            <v>5443.2479999999996</v>
          </cell>
          <cell r="BH102">
            <v>5531.0889999999999</v>
          </cell>
          <cell r="BI102">
            <v>5620.5469999999996</v>
          </cell>
          <cell r="BJ102">
            <v>5710.1540000000005</v>
          </cell>
          <cell r="BK102">
            <v>5798.6139999999996</v>
          </cell>
          <cell r="BL102">
            <v>5886.8720000000003</v>
          </cell>
          <cell r="BM102">
            <v>5974.7870000000003</v>
          </cell>
          <cell r="BN102">
            <v>6058.7479999999996</v>
          </cell>
          <cell r="BO102">
            <v>6133.9840000000004</v>
          </cell>
          <cell r="BP102">
            <v>6197.6629999999996</v>
          </cell>
          <cell r="BQ102">
            <v>6247.4390000000003</v>
          </cell>
          <cell r="BR102">
            <v>6285.7479999999996</v>
          </cell>
          <cell r="BS102">
            <v>6320.36</v>
          </cell>
          <cell r="BT102">
            <v>6362.0370000000003</v>
          </cell>
          <cell r="BU102">
            <v>6418.3149999999996</v>
          </cell>
          <cell r="BV102">
            <v>6492.1620000000003</v>
          </cell>
          <cell r="BW102">
            <v>6580.7240000000002</v>
          </cell>
          <cell r="BX102">
            <v>6678.5590000000002</v>
          </cell>
        </row>
        <row r="103">
          <cell r="C103" t="str">
            <v>Morocco</v>
          </cell>
          <cell r="E103">
            <v>504</v>
          </cell>
          <cell r="F103" t="str">
            <v>Country</v>
          </cell>
          <cell r="G103">
            <v>912</v>
          </cell>
          <cell r="H103">
            <v>8985.9889999999996</v>
          </cell>
          <cell r="I103">
            <v>9243.4069999999992</v>
          </cell>
          <cell r="J103">
            <v>9528.9740000000002</v>
          </cell>
          <cell r="K103">
            <v>9837.08</v>
          </cell>
          <cell r="L103">
            <v>10162.949000000001</v>
          </cell>
          <cell r="M103">
            <v>10502.665999999999</v>
          </cell>
          <cell r="N103">
            <v>10853.163</v>
          </cell>
          <cell r="O103">
            <v>11212.226000000001</v>
          </cell>
          <cell r="P103">
            <v>11578.386</v>
          </cell>
          <cell r="Q103">
            <v>11950.746999999999</v>
          </cell>
          <cell r="R103">
            <v>12328.531999999999</v>
          </cell>
          <cell r="S103">
            <v>12710.581</v>
          </cell>
          <cell r="T103">
            <v>13094.888000000001</v>
          </cell>
          <cell r="U103">
            <v>13478.423000000001</v>
          </cell>
          <cell r="V103">
            <v>13857.648999999999</v>
          </cell>
          <cell r="W103">
            <v>14230.163</v>
          </cell>
          <cell r="X103">
            <v>14595.35</v>
          </cell>
          <cell r="Y103">
            <v>14954.031000000001</v>
          </cell>
          <cell r="Z103">
            <v>15307.272999999999</v>
          </cell>
          <cell r="AA103">
            <v>15656.843000000001</v>
          </cell>
          <cell r="AB103">
            <v>16004.731</v>
          </cell>
          <cell r="AC103">
            <v>16350.880999999999</v>
          </cell>
          <cell r="AD103">
            <v>16696.891</v>
          </cell>
          <cell r="AE103">
            <v>17048.518</v>
          </cell>
          <cell r="AF103">
            <v>17413.144</v>
          </cell>
          <cell r="AG103">
            <v>17796.164000000001</v>
          </cell>
          <cell r="AH103">
            <v>18198.844000000001</v>
          </cell>
          <cell r="AI103">
            <v>18620.093000000001</v>
          </cell>
          <cell r="AJ103">
            <v>19059.77</v>
          </cell>
          <cell r="AK103">
            <v>19516.941999999999</v>
          </cell>
          <cell r="AL103">
            <v>19990.011999999999</v>
          </cell>
          <cell r="AM103">
            <v>20479.715</v>
          </cell>
          <cell r="AN103">
            <v>20984.008999999998</v>
          </cell>
          <cell r="AO103">
            <v>21495.085999999999</v>
          </cell>
          <cell r="AP103">
            <v>22002.643</v>
          </cell>
          <cell r="AQ103">
            <v>22499.11</v>
          </cell>
          <cell r="AR103">
            <v>22980.334999999999</v>
          </cell>
          <cell r="AS103">
            <v>23447.252</v>
          </cell>
          <cell r="AT103">
            <v>23903.592000000001</v>
          </cell>
          <cell r="AU103">
            <v>24355.618999999999</v>
          </cell>
          <cell r="AV103">
            <v>24807.462</v>
          </cell>
          <cell r="AW103">
            <v>25260.403999999999</v>
          </cell>
          <cell r="AX103">
            <v>25711.405999999999</v>
          </cell>
          <cell r="AY103">
            <v>26155.203000000001</v>
          </cell>
          <cell r="AZ103">
            <v>26584.477999999999</v>
          </cell>
          <cell r="BA103">
            <v>26994.25</v>
          </cell>
          <cell r="BB103">
            <v>27383.473000000002</v>
          </cell>
          <cell r="BC103">
            <v>27754.571</v>
          </cell>
          <cell r="BD103">
            <v>28110.442999999999</v>
          </cell>
          <cell r="BE103">
            <v>28455.508999999998</v>
          </cell>
          <cell r="BF103">
            <v>28793.679</v>
          </cell>
          <cell r="BG103">
            <v>29126.33</v>
          </cell>
          <cell r="BH103">
            <v>29454.768</v>
          </cell>
          <cell r="BI103">
            <v>29782.883999999998</v>
          </cell>
          <cell r="BJ103">
            <v>30115.214</v>
          </cell>
          <cell r="BK103">
            <v>30455.561000000002</v>
          </cell>
          <cell r="BL103">
            <v>30804.683000000001</v>
          </cell>
          <cell r="BM103">
            <v>31163.672999999999</v>
          </cell>
          <cell r="BN103">
            <v>31536.811000000002</v>
          </cell>
          <cell r="BO103">
            <v>31929.087</v>
          </cell>
          <cell r="BP103">
            <v>32343.388999999999</v>
          </cell>
          <cell r="BQ103">
            <v>32781.853000000003</v>
          </cell>
          <cell r="BR103">
            <v>33241.9</v>
          </cell>
          <cell r="BS103">
            <v>33715.703000000001</v>
          </cell>
          <cell r="BT103">
            <v>34192.357000000004</v>
          </cell>
          <cell r="BU103">
            <v>34663.603000000003</v>
          </cell>
          <cell r="BV103">
            <v>35126.283000000003</v>
          </cell>
          <cell r="BW103">
            <v>35581.254999999997</v>
          </cell>
          <cell r="BX103">
            <v>36029.093000000001</v>
          </cell>
        </row>
        <row r="104">
          <cell r="C104" t="str">
            <v>Sudan</v>
          </cell>
          <cell r="E104">
            <v>729</v>
          </cell>
          <cell r="F104" t="str">
            <v>Country</v>
          </cell>
          <cell r="G104">
            <v>912</v>
          </cell>
          <cell r="H104">
            <v>5733.7889999999998</v>
          </cell>
          <cell r="I104">
            <v>5884.6639999999998</v>
          </cell>
          <cell r="J104">
            <v>6041.3249999999998</v>
          </cell>
          <cell r="K104">
            <v>6204.0990000000002</v>
          </cell>
          <cell r="L104">
            <v>6373.308</v>
          </cell>
          <cell r="M104">
            <v>6549.2979999999998</v>
          </cell>
          <cell r="N104">
            <v>6732.4369999999999</v>
          </cell>
          <cell r="O104">
            <v>6923.1149999999998</v>
          </cell>
          <cell r="P104">
            <v>7121.741</v>
          </cell>
          <cell r="Q104">
            <v>7328.7179999999998</v>
          </cell>
          <cell r="R104">
            <v>7544.491</v>
          </cell>
          <cell r="S104">
            <v>7769.482</v>
          </cell>
          <cell r="T104">
            <v>8004.1210000000001</v>
          </cell>
          <cell r="U104">
            <v>8248.8119999999999</v>
          </cell>
          <cell r="V104">
            <v>8503.9940000000006</v>
          </cell>
          <cell r="W104">
            <v>8770.0969999999998</v>
          </cell>
          <cell r="X104">
            <v>9047.7980000000007</v>
          </cell>
          <cell r="Y104">
            <v>9337.6569999999992</v>
          </cell>
          <cell r="Z104">
            <v>9639.84</v>
          </cell>
          <cell r="AA104">
            <v>9954.41</v>
          </cell>
          <cell r="AB104">
            <v>10281.700000000001</v>
          </cell>
          <cell r="AC104">
            <v>10621.472</v>
          </cell>
          <cell r="AD104">
            <v>10974.621999999999</v>
          </cell>
          <cell r="AE104">
            <v>11343.925999999999</v>
          </cell>
          <cell r="AF104">
            <v>11732.958000000001</v>
          </cell>
          <cell r="AG104">
            <v>12144.135</v>
          </cell>
          <cell r="AH104">
            <v>12578.406999999999</v>
          </cell>
          <cell r="AI104">
            <v>13034.625</v>
          </cell>
          <cell r="AJ104">
            <v>13510.421</v>
          </cell>
          <cell r="AK104">
            <v>14002.303</v>
          </cell>
          <cell r="AL104">
            <v>14507.468000000001</v>
          </cell>
          <cell r="AM104">
            <v>15027.248</v>
          </cell>
          <cell r="AN104">
            <v>15562.125</v>
          </cell>
          <cell r="AO104">
            <v>16107.62</v>
          </cell>
          <cell r="AP104">
            <v>16657.958999999999</v>
          </cell>
          <cell r="AQ104">
            <v>17210.187000000002</v>
          </cell>
          <cell r="AR104">
            <v>17757.491000000002</v>
          </cell>
          <cell r="AS104">
            <v>18303.435000000001</v>
          </cell>
          <cell r="AT104">
            <v>18867.560000000001</v>
          </cell>
          <cell r="AU104">
            <v>19476.647000000001</v>
          </cell>
          <cell r="AV104">
            <v>20147.59</v>
          </cell>
          <cell r="AW104">
            <v>20891.440999999999</v>
          </cell>
          <cell r="AX104">
            <v>21696.243999999999</v>
          </cell>
          <cell r="AY104">
            <v>22527.833999999999</v>
          </cell>
          <cell r="AZ104">
            <v>23338.464</v>
          </cell>
          <cell r="BA104">
            <v>24094.746999999999</v>
          </cell>
          <cell r="BB104">
            <v>24782.383000000002</v>
          </cell>
          <cell r="BC104">
            <v>25413.917000000001</v>
          </cell>
          <cell r="BD104">
            <v>26015.521000000001</v>
          </cell>
          <cell r="BE104">
            <v>26626.52</v>
          </cell>
          <cell r="BF104">
            <v>27275.014999999999</v>
          </cell>
          <cell r="BG104">
            <v>27971.081999999999</v>
          </cell>
          <cell r="BH104">
            <v>28704.777999999998</v>
          </cell>
          <cell r="BI104">
            <v>29460.519</v>
          </cell>
          <cell r="BJ104">
            <v>30214.192999999999</v>
          </cell>
          <cell r="BK104">
            <v>30949.516</v>
          </cell>
          <cell r="BL104">
            <v>31661.823</v>
          </cell>
          <cell r="BM104">
            <v>32360.620999999999</v>
          </cell>
          <cell r="BN104">
            <v>33060.837</v>
          </cell>
          <cell r="BO104">
            <v>33783.788</v>
          </cell>
          <cell r="BP104">
            <v>34545.012999999999</v>
          </cell>
          <cell r="BQ104">
            <v>35349.680999999997</v>
          </cell>
          <cell r="BR104">
            <v>36193.783000000003</v>
          </cell>
          <cell r="BS104">
            <v>37072.550000000003</v>
          </cell>
          <cell r="BT104">
            <v>37977.654999999999</v>
          </cell>
          <cell r="BU104">
            <v>38902.949999999997</v>
          </cell>
          <cell r="BV104">
            <v>39847.438999999998</v>
          </cell>
          <cell r="BW104">
            <v>40813.396999999997</v>
          </cell>
          <cell r="BX104">
            <v>41801.533000000003</v>
          </cell>
        </row>
        <row r="105">
          <cell r="C105" t="str">
            <v>Tunisia</v>
          </cell>
          <cell r="E105">
            <v>788</v>
          </cell>
          <cell r="F105" t="str">
            <v>Country</v>
          </cell>
          <cell r="G105">
            <v>912</v>
          </cell>
          <cell r="H105">
            <v>3605.306</v>
          </cell>
          <cell r="I105">
            <v>3696.1660000000002</v>
          </cell>
          <cell r="J105">
            <v>3772.9279999999999</v>
          </cell>
          <cell r="K105">
            <v>3838.0770000000002</v>
          </cell>
          <cell r="L105">
            <v>3894.123</v>
          </cell>
          <cell r="M105">
            <v>3943.54</v>
          </cell>
          <cell r="N105">
            <v>3988.8620000000001</v>
          </cell>
          <cell r="O105">
            <v>4032.5920000000001</v>
          </cell>
          <cell r="P105">
            <v>4077.203</v>
          </cell>
          <cell r="Q105">
            <v>4125.0829999999996</v>
          </cell>
          <cell r="R105">
            <v>4178.2359999999999</v>
          </cell>
          <cell r="S105">
            <v>4238.1419999999998</v>
          </cell>
          <cell r="T105">
            <v>4305.4809999999998</v>
          </cell>
          <cell r="U105">
            <v>4380.0680000000002</v>
          </cell>
          <cell r="V105">
            <v>4461.1139999999996</v>
          </cell>
          <cell r="W105">
            <v>4547.9409999999998</v>
          </cell>
          <cell r="X105">
            <v>4641</v>
          </cell>
          <cell r="Y105">
            <v>4740.5110000000004</v>
          </cell>
          <cell r="Z105">
            <v>4845.2190000000001</v>
          </cell>
          <cell r="AA105">
            <v>4953.3900000000003</v>
          </cell>
          <cell r="AB105">
            <v>5063.8090000000002</v>
          </cell>
          <cell r="AC105">
            <v>5176.2950000000001</v>
          </cell>
          <cell r="AD105">
            <v>5291.3379999999997</v>
          </cell>
          <cell r="AE105">
            <v>5409.3429999999998</v>
          </cell>
          <cell r="AF105">
            <v>5530.9750000000004</v>
          </cell>
          <cell r="AG105">
            <v>5656.9139999999998</v>
          </cell>
          <cell r="AH105">
            <v>5786.4780000000001</v>
          </cell>
          <cell r="AI105">
            <v>5919.9650000000001</v>
          </cell>
          <cell r="AJ105">
            <v>6060.1509999999998</v>
          </cell>
          <cell r="AK105">
            <v>6210.7560000000003</v>
          </cell>
          <cell r="AL105">
            <v>6374.0389999999998</v>
          </cell>
          <cell r="AM105">
            <v>6551.2309999999998</v>
          </cell>
          <cell r="AN105">
            <v>6740.5290000000005</v>
          </cell>
          <cell r="AO105">
            <v>6937.3310000000001</v>
          </cell>
          <cell r="AP105">
            <v>7135.27</v>
          </cell>
          <cell r="AQ105">
            <v>7329.5940000000001</v>
          </cell>
          <cell r="AR105">
            <v>7517.8580000000002</v>
          </cell>
          <cell r="AS105">
            <v>7700.7359999999999</v>
          </cell>
          <cell r="AT105">
            <v>7880.3320000000003</v>
          </cell>
          <cell r="AU105">
            <v>8060.21</v>
          </cell>
          <cell r="AV105">
            <v>8242.4959999999992</v>
          </cell>
          <cell r="AW105">
            <v>8427.857</v>
          </cell>
          <cell r="AX105">
            <v>8613.8610000000008</v>
          </cell>
          <cell r="AY105">
            <v>8795.9320000000007</v>
          </cell>
          <cell r="AZ105">
            <v>8967.9159999999993</v>
          </cell>
          <cell r="BA105">
            <v>9125.3979999999992</v>
          </cell>
          <cell r="BB105">
            <v>9267.34</v>
          </cell>
          <cell r="BC105">
            <v>9395.1229999999996</v>
          </cell>
          <cell r="BD105">
            <v>9509.857</v>
          </cell>
          <cell r="BE105">
            <v>9613.5879999999997</v>
          </cell>
          <cell r="BF105">
            <v>9708.35</v>
          </cell>
          <cell r="BG105">
            <v>9793.9030000000002</v>
          </cell>
          <cell r="BH105">
            <v>9871.2510000000002</v>
          </cell>
          <cell r="BI105">
            <v>9945.277</v>
          </cell>
          <cell r="BJ105">
            <v>10022.277</v>
          </cell>
          <cell r="BK105">
            <v>10106.771000000001</v>
          </cell>
          <cell r="BL105">
            <v>10201.214</v>
          </cell>
          <cell r="BM105">
            <v>10304.726000000001</v>
          </cell>
          <cell r="BN105">
            <v>10414.433000000001</v>
          </cell>
          <cell r="BO105">
            <v>10525.694</v>
          </cell>
          <cell r="BP105">
            <v>10635.244000000001</v>
          </cell>
          <cell r="BQ105">
            <v>10741.88</v>
          </cell>
          <cell r="BR105">
            <v>10847.002</v>
          </cell>
          <cell r="BS105">
            <v>10952.950999999999</v>
          </cell>
          <cell r="BT105">
            <v>11063.200999999999</v>
          </cell>
          <cell r="BU105">
            <v>11179.949000000001</v>
          </cell>
          <cell r="BV105">
            <v>11303.945</v>
          </cell>
          <cell r="BW105">
            <v>11433.442999999999</v>
          </cell>
          <cell r="BX105">
            <v>11565.200999999999</v>
          </cell>
        </row>
        <row r="106">
          <cell r="C106" t="str">
            <v>Western Sahara</v>
          </cell>
          <cell r="E106">
            <v>732</v>
          </cell>
          <cell r="F106" t="str">
            <v>Country</v>
          </cell>
          <cell r="G106">
            <v>912</v>
          </cell>
          <cell r="H106">
            <v>13.766</v>
          </cell>
          <cell r="I106">
            <v>16.062000000000001</v>
          </cell>
          <cell r="J106">
            <v>17.57</v>
          </cell>
          <cell r="K106">
            <v>18.725999999999999</v>
          </cell>
          <cell r="L106">
            <v>19.837</v>
          </cell>
          <cell r="M106">
            <v>21.146999999999998</v>
          </cell>
          <cell r="N106">
            <v>22.794</v>
          </cell>
          <cell r="O106">
            <v>24.834</v>
          </cell>
          <cell r="P106">
            <v>27.231999999999999</v>
          </cell>
          <cell r="Q106">
            <v>29.911999999999999</v>
          </cell>
          <cell r="R106">
            <v>32.761000000000003</v>
          </cell>
          <cell r="S106">
            <v>35.723999999999997</v>
          </cell>
          <cell r="T106">
            <v>38.848999999999997</v>
          </cell>
          <cell r="U106">
            <v>42.308</v>
          </cell>
          <cell r="V106">
            <v>46.314</v>
          </cell>
          <cell r="W106">
            <v>50.97</v>
          </cell>
          <cell r="X106">
            <v>56.625999999999998</v>
          </cell>
          <cell r="Y106">
            <v>63.125</v>
          </cell>
          <cell r="Z106">
            <v>69.475999999999999</v>
          </cell>
          <cell r="AA106">
            <v>74.337000000000003</v>
          </cell>
          <cell r="AB106">
            <v>76.873999999999995</v>
          </cell>
          <cell r="AC106">
            <v>76.372</v>
          </cell>
          <cell r="AD106">
            <v>73.484999999999999</v>
          </cell>
          <cell r="AE106">
            <v>70.403999999999996</v>
          </cell>
          <cell r="AF106">
            <v>70.212000000000003</v>
          </cell>
          <cell r="AG106">
            <v>74.953999999999994</v>
          </cell>
          <cell r="AH106">
            <v>85.619</v>
          </cell>
          <cell r="AI106">
            <v>101.18600000000001</v>
          </cell>
          <cell r="AJ106">
            <v>119.33</v>
          </cell>
          <cell r="AK106">
            <v>136.69900000000001</v>
          </cell>
          <cell r="AL106">
            <v>150.87700000000001</v>
          </cell>
          <cell r="AM106">
            <v>161.06200000000001</v>
          </cell>
          <cell r="AN106">
            <v>168.05799999999999</v>
          </cell>
          <cell r="AO106">
            <v>172.90199999999999</v>
          </cell>
          <cell r="AP106">
            <v>177.273</v>
          </cell>
          <cell r="AQ106">
            <v>182.42099999999999</v>
          </cell>
          <cell r="AR106">
            <v>188.608</v>
          </cell>
          <cell r="AS106">
            <v>195.43799999999999</v>
          </cell>
          <cell r="AT106">
            <v>202.726</v>
          </cell>
          <cell r="AU106">
            <v>210.08</v>
          </cell>
          <cell r="AV106">
            <v>217.25800000000001</v>
          </cell>
          <cell r="AW106">
            <v>224.38300000000001</v>
          </cell>
          <cell r="AX106">
            <v>231.727</v>
          </cell>
          <cell r="AY106">
            <v>239.32900000000001</v>
          </cell>
          <cell r="AZ106">
            <v>247.25700000000001</v>
          </cell>
          <cell r="BA106">
            <v>255.63399999999999</v>
          </cell>
          <cell r="BB106">
            <v>264.108</v>
          </cell>
          <cell r="BC106">
            <v>272.83999999999997</v>
          </cell>
          <cell r="BD106">
            <v>283.08300000000003</v>
          </cell>
          <cell r="BE106">
            <v>296.512</v>
          </cell>
          <cell r="BF106">
            <v>314.11799999999999</v>
          </cell>
          <cell r="BG106">
            <v>336.65100000000001</v>
          </cell>
          <cell r="BH106">
            <v>363.22699999999998</v>
          </cell>
          <cell r="BI106">
            <v>391.16699999999997</v>
          </cell>
          <cell r="BJ106">
            <v>416.79700000000003</v>
          </cell>
          <cell r="BK106">
            <v>437.51499999999999</v>
          </cell>
          <cell r="BL106">
            <v>452.35</v>
          </cell>
          <cell r="BM106">
            <v>462.20699999999999</v>
          </cell>
          <cell r="BN106">
            <v>468.63299999999998</v>
          </cell>
          <cell r="BO106">
            <v>474.04399999999998</v>
          </cell>
          <cell r="BP106">
            <v>480.274</v>
          </cell>
          <cell r="BQ106">
            <v>487.65</v>
          </cell>
          <cell r="BR106">
            <v>495.77300000000002</v>
          </cell>
          <cell r="BS106">
            <v>504.858</v>
          </cell>
          <cell r="BT106">
            <v>514.995</v>
          </cell>
          <cell r="BU106">
            <v>526.21600000000001</v>
          </cell>
          <cell r="BV106">
            <v>538.74900000000002</v>
          </cell>
          <cell r="BW106">
            <v>552.61500000000001</v>
          </cell>
          <cell r="BX106">
            <v>567.40200000000004</v>
          </cell>
        </row>
        <row r="107">
          <cell r="C107" t="str">
            <v>Western Asia</v>
          </cell>
          <cell r="E107">
            <v>922</v>
          </cell>
          <cell r="F107" t="str">
            <v>Subregion</v>
          </cell>
          <cell r="G107">
            <v>1833</v>
          </cell>
          <cell r="H107">
            <v>51451.553</v>
          </cell>
          <cell r="I107">
            <v>52688.521999999997</v>
          </cell>
          <cell r="J107">
            <v>53986.044000000002</v>
          </cell>
          <cell r="K107">
            <v>55334.995999999999</v>
          </cell>
          <cell r="L107">
            <v>56729.336000000003</v>
          </cell>
          <cell r="M107">
            <v>58165.936999999998</v>
          </cell>
          <cell r="N107">
            <v>59644.940999999999</v>
          </cell>
          <cell r="O107">
            <v>61169.39</v>
          </cell>
          <cell r="P107">
            <v>62744.995000000003</v>
          </cell>
          <cell r="Q107">
            <v>64379.103000000003</v>
          </cell>
          <cell r="R107">
            <v>66078.523000000001</v>
          </cell>
          <cell r="S107">
            <v>67846.911999999997</v>
          </cell>
          <cell r="T107">
            <v>69682.732999999993</v>
          </cell>
          <cell r="U107">
            <v>71577.986000000004</v>
          </cell>
          <cell r="V107">
            <v>73521.256999999998</v>
          </cell>
          <cell r="W107">
            <v>75505.372000000003</v>
          </cell>
          <cell r="X107">
            <v>77527.350000000006</v>
          </cell>
          <cell r="Y107">
            <v>79593.138999999996</v>
          </cell>
          <cell r="Z107">
            <v>81714.990999999995</v>
          </cell>
          <cell r="AA107">
            <v>83909.981</v>
          </cell>
          <cell r="AB107">
            <v>86190.720000000001</v>
          </cell>
          <cell r="AC107">
            <v>88563.915999999997</v>
          </cell>
          <cell r="AD107">
            <v>91027.527000000002</v>
          </cell>
          <cell r="AE107">
            <v>93574.459000000003</v>
          </cell>
          <cell r="AF107">
            <v>96193.377999999997</v>
          </cell>
          <cell r="AG107">
            <v>98877.361999999994</v>
          </cell>
          <cell r="AH107">
            <v>101618.74800000001</v>
          </cell>
          <cell r="AI107">
            <v>104423.249</v>
          </cell>
          <cell r="AJ107">
            <v>107312.43799999999</v>
          </cell>
          <cell r="AK107">
            <v>110315.933</v>
          </cell>
          <cell r="AL107">
            <v>113451.837</v>
          </cell>
          <cell r="AM107">
            <v>116729.444</v>
          </cell>
          <cell r="AN107">
            <v>120133.124</v>
          </cell>
          <cell r="AO107">
            <v>123625.658</v>
          </cell>
          <cell r="AP107">
            <v>127155.236</v>
          </cell>
          <cell r="AQ107">
            <v>130683.883</v>
          </cell>
          <cell r="AR107">
            <v>134194.1</v>
          </cell>
          <cell r="AS107">
            <v>137692.92600000001</v>
          </cell>
          <cell r="AT107">
            <v>141196.30900000001</v>
          </cell>
          <cell r="AU107">
            <v>144731.326</v>
          </cell>
          <cell r="AV107">
            <v>148315.647</v>
          </cell>
          <cell r="AW107">
            <v>151961.42199999999</v>
          </cell>
          <cell r="AX107">
            <v>155656.84400000001</v>
          </cell>
          <cell r="AY107">
            <v>159367.93100000001</v>
          </cell>
          <cell r="AZ107">
            <v>163047.723</v>
          </cell>
          <cell r="BA107">
            <v>166667.46799999999</v>
          </cell>
          <cell r="BB107">
            <v>170221.58100000001</v>
          </cell>
          <cell r="BC107">
            <v>173736.978</v>
          </cell>
          <cell r="BD107">
            <v>177258.74400000001</v>
          </cell>
          <cell r="BE107">
            <v>180848.9</v>
          </cell>
          <cell r="BF107">
            <v>184558.81200000001</v>
          </cell>
          <cell r="BG107">
            <v>188385.682</v>
          </cell>
          <cell r="BH107">
            <v>192333.33</v>
          </cell>
          <cell r="BI107">
            <v>196465.48499999999</v>
          </cell>
          <cell r="BJ107">
            <v>200860.47899999999</v>
          </cell>
          <cell r="BK107">
            <v>205564.31700000001</v>
          </cell>
          <cell r="BL107">
            <v>210603.913</v>
          </cell>
          <cell r="BM107">
            <v>215936.49600000001</v>
          </cell>
          <cell r="BN107">
            <v>221449.283</v>
          </cell>
          <cell r="BO107">
            <v>226985.87299999999</v>
          </cell>
          <cell r="BP107">
            <v>232426.47</v>
          </cell>
          <cell r="BQ107">
            <v>237735.79300000001</v>
          </cell>
          <cell r="BR107">
            <v>242924.66699999999</v>
          </cell>
          <cell r="BS107">
            <v>247976.82699999999</v>
          </cell>
          <cell r="BT107">
            <v>252888</v>
          </cell>
          <cell r="BU107">
            <v>257658.40900000001</v>
          </cell>
          <cell r="BV107">
            <v>262264.00199999998</v>
          </cell>
          <cell r="BW107">
            <v>266703.73700000002</v>
          </cell>
          <cell r="BX107">
            <v>271031.766</v>
          </cell>
        </row>
        <row r="108">
          <cell r="C108" t="str">
            <v>Armenia</v>
          </cell>
          <cell r="E108">
            <v>51</v>
          </cell>
          <cell r="F108" t="str">
            <v>Country</v>
          </cell>
          <cell r="G108">
            <v>922</v>
          </cell>
          <cell r="H108">
            <v>1353.51</v>
          </cell>
          <cell r="I108">
            <v>1381.873</v>
          </cell>
          <cell r="J108">
            <v>1418.279</v>
          </cell>
          <cell r="K108">
            <v>1461.4259999999999</v>
          </cell>
          <cell r="L108">
            <v>1510.173</v>
          </cell>
          <cell r="M108">
            <v>1563.5070000000001</v>
          </cell>
          <cell r="N108">
            <v>1620.5940000000001</v>
          </cell>
          <cell r="O108">
            <v>1680.7159999999999</v>
          </cell>
          <cell r="P108">
            <v>1743.3050000000001</v>
          </cell>
          <cell r="Q108">
            <v>1807.9159999999999</v>
          </cell>
          <cell r="R108">
            <v>1874.1210000000001</v>
          </cell>
          <cell r="S108">
            <v>1941.492</v>
          </cell>
          <cell r="T108">
            <v>2009.5260000000001</v>
          </cell>
          <cell r="U108">
            <v>2077.578</v>
          </cell>
          <cell r="V108">
            <v>2145.0010000000002</v>
          </cell>
          <cell r="W108">
            <v>2211.319</v>
          </cell>
          <cell r="X108">
            <v>2276.0340000000001</v>
          </cell>
          <cell r="Y108">
            <v>2339.127</v>
          </cell>
          <cell r="Z108">
            <v>2401.143</v>
          </cell>
          <cell r="AA108">
            <v>2462.9279999999999</v>
          </cell>
          <cell r="AB108">
            <v>2525.0680000000002</v>
          </cell>
          <cell r="AC108">
            <v>2587.7080000000001</v>
          </cell>
          <cell r="AD108">
            <v>2650.4859999999999</v>
          </cell>
          <cell r="AE108">
            <v>2712.7860000000001</v>
          </cell>
          <cell r="AF108">
            <v>2773.748</v>
          </cell>
          <cell r="AG108">
            <v>2832.759</v>
          </cell>
          <cell r="AH108">
            <v>2889.5790000000002</v>
          </cell>
          <cell r="AI108">
            <v>2944.3829999999998</v>
          </cell>
          <cell r="AJ108">
            <v>2997.4169999999999</v>
          </cell>
          <cell r="AK108">
            <v>3049.1089999999999</v>
          </cell>
          <cell r="AL108">
            <v>3099.7539999999999</v>
          </cell>
          <cell r="AM108">
            <v>3148.096</v>
          </cell>
          <cell r="AN108">
            <v>3193.6889999999999</v>
          </cell>
          <cell r="AO108">
            <v>3238.5949999999998</v>
          </cell>
          <cell r="AP108">
            <v>3285.5990000000002</v>
          </cell>
          <cell r="AQ108">
            <v>3335.94</v>
          </cell>
          <cell r="AR108">
            <v>3392.2640000000001</v>
          </cell>
          <cell r="AS108">
            <v>3451.9470000000001</v>
          </cell>
          <cell r="AT108">
            <v>3504.6590000000001</v>
          </cell>
          <cell r="AU108">
            <v>3536.4740000000002</v>
          </cell>
          <cell r="AV108">
            <v>3538.1709999999998</v>
          </cell>
          <cell r="AW108">
            <v>3505.2579999999998</v>
          </cell>
          <cell r="AX108">
            <v>3442.817</v>
          </cell>
          <cell r="AY108">
            <v>3363.1080000000002</v>
          </cell>
          <cell r="AZ108">
            <v>3283.6669999999999</v>
          </cell>
          <cell r="BA108">
            <v>3217.348</v>
          </cell>
          <cell r="BB108">
            <v>3168.221</v>
          </cell>
          <cell r="BC108">
            <v>3133.0889999999999</v>
          </cell>
          <cell r="BD108">
            <v>3108.6869999999999</v>
          </cell>
          <cell r="BE108">
            <v>3089.0219999999999</v>
          </cell>
          <cell r="BF108">
            <v>3069.5909999999999</v>
          </cell>
          <cell r="BG108">
            <v>3050.6869999999999</v>
          </cell>
          <cell r="BH108">
            <v>3033.9780000000001</v>
          </cell>
          <cell r="BI108">
            <v>3017.9319999999998</v>
          </cell>
          <cell r="BJ108">
            <v>3000.72</v>
          </cell>
          <cell r="BK108">
            <v>2981.2689999999998</v>
          </cell>
          <cell r="BL108">
            <v>2958.3069999999998</v>
          </cell>
          <cell r="BM108">
            <v>2932.6179999999999</v>
          </cell>
          <cell r="BN108">
            <v>2907.6179999999999</v>
          </cell>
          <cell r="BO108">
            <v>2888.0920000000001</v>
          </cell>
          <cell r="BP108">
            <v>2877.319</v>
          </cell>
          <cell r="BQ108">
            <v>2876.538</v>
          </cell>
          <cell r="BR108">
            <v>2884.2339999999999</v>
          </cell>
          <cell r="BS108">
            <v>2897.5880000000002</v>
          </cell>
          <cell r="BT108">
            <v>2912.4090000000001</v>
          </cell>
          <cell r="BU108">
            <v>2925.5529999999999</v>
          </cell>
          <cell r="BV108">
            <v>2936.143</v>
          </cell>
          <cell r="BW108">
            <v>2944.7910000000002</v>
          </cell>
          <cell r="BX108">
            <v>2951.7449999999999</v>
          </cell>
        </row>
        <row r="109">
          <cell r="C109" t="str">
            <v>Azerbaijan</v>
          </cell>
          <cell r="D109">
            <v>4</v>
          </cell>
          <cell r="E109">
            <v>31</v>
          </cell>
          <cell r="F109" t="str">
            <v>Country</v>
          </cell>
          <cell r="G109">
            <v>922</v>
          </cell>
          <cell r="H109">
            <v>2927.9209999999998</v>
          </cell>
          <cell r="I109">
            <v>2987.2669999999998</v>
          </cell>
          <cell r="J109">
            <v>3060.011</v>
          </cell>
          <cell r="K109">
            <v>3142.8130000000001</v>
          </cell>
          <cell r="L109">
            <v>3233.165</v>
          </cell>
          <cell r="M109">
            <v>3329.3870000000002</v>
          </cell>
          <cell r="N109">
            <v>3430.6610000000001</v>
          </cell>
          <cell r="O109">
            <v>3537.0279999999998</v>
          </cell>
          <cell r="P109">
            <v>3649.192</v>
          </cell>
          <cell r="Q109">
            <v>3768.3319999999999</v>
          </cell>
          <cell r="R109">
            <v>3895.3969999999999</v>
          </cell>
          <cell r="S109">
            <v>4030.3220000000001</v>
          </cell>
          <cell r="T109">
            <v>4171.4260000000004</v>
          </cell>
          <cell r="U109">
            <v>4315.1270000000004</v>
          </cell>
          <cell r="V109">
            <v>4456.6869999999999</v>
          </cell>
          <cell r="W109">
            <v>4592.6090000000004</v>
          </cell>
          <cell r="X109">
            <v>4721.5230000000001</v>
          </cell>
          <cell r="Y109">
            <v>4843.8680000000004</v>
          </cell>
          <cell r="Z109">
            <v>4960.232</v>
          </cell>
          <cell r="AA109">
            <v>5071.9269999999997</v>
          </cell>
          <cell r="AB109">
            <v>5180.0230000000001</v>
          </cell>
          <cell r="AC109">
            <v>5284.5309999999999</v>
          </cell>
          <cell r="AD109">
            <v>5385.2629999999999</v>
          </cell>
          <cell r="AE109">
            <v>5483.0820000000003</v>
          </cell>
          <cell r="AF109">
            <v>5579.0720000000001</v>
          </cell>
          <cell r="AG109">
            <v>5674.1329999999998</v>
          </cell>
          <cell r="AH109">
            <v>5768.7209999999995</v>
          </cell>
          <cell r="AI109">
            <v>5863.1319999999996</v>
          </cell>
          <cell r="AJ109">
            <v>5957.9250000000002</v>
          </cell>
          <cell r="AK109">
            <v>6053.64</v>
          </cell>
          <cell r="AL109">
            <v>6150.7330000000002</v>
          </cell>
          <cell r="AM109">
            <v>6249.3140000000003</v>
          </cell>
          <cell r="AN109">
            <v>6349.5529999999999</v>
          </cell>
          <cell r="AO109">
            <v>6452.0690000000004</v>
          </cell>
          <cell r="AP109">
            <v>6557.5810000000001</v>
          </cell>
          <cell r="AQ109">
            <v>6666.4470000000001</v>
          </cell>
          <cell r="AR109">
            <v>6778.6239999999998</v>
          </cell>
          <cell r="AS109">
            <v>6893.4889999999996</v>
          </cell>
          <cell r="AT109">
            <v>7010.027</v>
          </cell>
          <cell r="AU109">
            <v>7126.8810000000003</v>
          </cell>
          <cell r="AV109">
            <v>7242.7610000000004</v>
          </cell>
          <cell r="AW109">
            <v>7357.9480000000003</v>
          </cell>
          <cell r="AX109">
            <v>7471.9260000000004</v>
          </cell>
          <cell r="AY109">
            <v>7581.7539999999999</v>
          </cell>
          <cell r="AZ109">
            <v>7683.7079999999996</v>
          </cell>
          <cell r="BA109">
            <v>7775.424</v>
          </cell>
          <cell r="BB109">
            <v>7855.5529999999999</v>
          </cell>
          <cell r="BC109">
            <v>7925.6679999999997</v>
          </cell>
          <cell r="BD109">
            <v>7989.9049999999997</v>
          </cell>
          <cell r="BE109">
            <v>8054.1260000000002</v>
          </cell>
          <cell r="BF109">
            <v>8122.741</v>
          </cell>
          <cell r="BG109">
            <v>8197.2980000000007</v>
          </cell>
          <cell r="BH109">
            <v>8277.0609999999997</v>
          </cell>
          <cell r="BI109">
            <v>8361.4330000000009</v>
          </cell>
          <cell r="BJ109">
            <v>8448.9459999999999</v>
          </cell>
          <cell r="BK109">
            <v>8538.6049999999996</v>
          </cell>
          <cell r="BL109">
            <v>8630.1460000000006</v>
          </cell>
          <cell r="BM109">
            <v>8724.2430000000004</v>
          </cell>
          <cell r="BN109">
            <v>8821.8729999999996</v>
          </cell>
          <cell r="BO109">
            <v>8924.3880000000008</v>
          </cell>
          <cell r="BP109">
            <v>9032.4609999999993</v>
          </cell>
          <cell r="BQ109">
            <v>9146.2749999999996</v>
          </cell>
          <cell r="BR109">
            <v>9264.6919999999991</v>
          </cell>
          <cell r="BS109">
            <v>9385.4680000000008</v>
          </cell>
          <cell r="BT109">
            <v>9505.6219999999994</v>
          </cell>
          <cell r="BU109">
            <v>9622.7450000000008</v>
          </cell>
          <cell r="BV109">
            <v>9736.0429999999997</v>
          </cell>
          <cell r="BW109">
            <v>9845.32</v>
          </cell>
          <cell r="BX109">
            <v>9949.5370000000003</v>
          </cell>
        </row>
        <row r="110">
          <cell r="C110" t="str">
            <v>Bahrain</v>
          </cell>
          <cell r="E110">
            <v>48</v>
          </cell>
          <cell r="F110" t="str">
            <v>Country</v>
          </cell>
          <cell r="G110">
            <v>922</v>
          </cell>
          <cell r="H110">
            <v>115.611</v>
          </cell>
          <cell r="I110">
            <v>116.83199999999999</v>
          </cell>
          <cell r="J110">
            <v>119.586</v>
          </cell>
          <cell r="K110">
            <v>123.489</v>
          </cell>
          <cell r="L110">
            <v>128.25299999999999</v>
          </cell>
          <cell r="M110">
            <v>133.58500000000001</v>
          </cell>
          <cell r="N110">
            <v>139.268</v>
          </cell>
          <cell r="O110">
            <v>145.10900000000001</v>
          </cell>
          <cell r="P110">
            <v>150.982</v>
          </cell>
          <cell r="Q110">
            <v>156.77699999999999</v>
          </cell>
          <cell r="R110">
            <v>162.42699999999999</v>
          </cell>
          <cell r="S110">
            <v>167.89400000000001</v>
          </cell>
          <cell r="T110">
            <v>173.14400000000001</v>
          </cell>
          <cell r="U110">
            <v>178.14</v>
          </cell>
          <cell r="V110">
            <v>182.887</v>
          </cell>
          <cell r="W110">
            <v>187.43100000000001</v>
          </cell>
          <cell r="X110">
            <v>191.78</v>
          </cell>
          <cell r="Y110">
            <v>196.06299999999999</v>
          </cell>
          <cell r="Z110">
            <v>200.65299999999999</v>
          </cell>
          <cell r="AA110">
            <v>206.04300000000001</v>
          </cell>
          <cell r="AB110">
            <v>212.60499999999999</v>
          </cell>
          <cell r="AC110">
            <v>220.31200000000001</v>
          </cell>
          <cell r="AD110">
            <v>229.155</v>
          </cell>
          <cell r="AE110">
            <v>239.52699999999999</v>
          </cell>
          <cell r="AF110">
            <v>251.911</v>
          </cell>
          <cell r="AG110">
            <v>266.54300000000001</v>
          </cell>
          <cell r="AH110">
            <v>283.75200000000001</v>
          </cell>
          <cell r="AI110">
            <v>303.17500000000001</v>
          </cell>
          <cell r="AJ110">
            <v>323.47300000000001</v>
          </cell>
          <cell r="AK110">
            <v>342.79899999999998</v>
          </cell>
          <cell r="AL110">
            <v>359.88799999999998</v>
          </cell>
          <cell r="AM110">
            <v>374.12</v>
          </cell>
          <cell r="AN110">
            <v>385.95</v>
          </cell>
          <cell r="AO110">
            <v>396.45400000000001</v>
          </cell>
          <cell r="AP110">
            <v>407.22500000000002</v>
          </cell>
          <cell r="AQ110">
            <v>419.428</v>
          </cell>
          <cell r="AR110">
            <v>433.48</v>
          </cell>
          <cell r="AS110">
            <v>448.971</v>
          </cell>
          <cell r="AT110">
            <v>465.19799999999998</v>
          </cell>
          <cell r="AU110">
            <v>481.08699999999999</v>
          </cell>
          <cell r="AV110">
            <v>495.93099999999998</v>
          </cell>
          <cell r="AW110">
            <v>509.76</v>
          </cell>
          <cell r="AX110">
            <v>523.08600000000001</v>
          </cell>
          <cell r="AY110">
            <v>536.21</v>
          </cell>
          <cell r="AZ110">
            <v>549.58299999999997</v>
          </cell>
          <cell r="BA110">
            <v>563.697</v>
          </cell>
          <cell r="BB110">
            <v>578.66600000000005</v>
          </cell>
          <cell r="BC110">
            <v>594.93100000000004</v>
          </cell>
          <cell r="BD110">
            <v>613.70000000000005</v>
          </cell>
          <cell r="BE110">
            <v>636.54100000000005</v>
          </cell>
          <cell r="BF110">
            <v>664.61099999999999</v>
          </cell>
          <cell r="BG110">
            <v>697.54499999999996</v>
          </cell>
          <cell r="BH110">
            <v>735.14599999999996</v>
          </cell>
          <cell r="BI110">
            <v>778.70799999999997</v>
          </cell>
          <cell r="BJ110">
            <v>829.84400000000005</v>
          </cell>
          <cell r="BK110">
            <v>889.16399999999999</v>
          </cell>
          <cell r="BL110">
            <v>958.41800000000001</v>
          </cell>
          <cell r="BM110">
            <v>1035.9190000000001</v>
          </cell>
          <cell r="BN110">
            <v>1114.6410000000001</v>
          </cell>
          <cell r="BO110">
            <v>1185.076</v>
          </cell>
          <cell r="BP110">
            <v>1240.8599999999999</v>
          </cell>
          <cell r="BQ110">
            <v>1278.1510000000001</v>
          </cell>
          <cell r="BR110">
            <v>1299.944</v>
          </cell>
          <cell r="BS110">
            <v>1315.028</v>
          </cell>
          <cell r="BT110">
            <v>1336.075</v>
          </cell>
          <cell r="BU110">
            <v>1371.8510000000001</v>
          </cell>
          <cell r="BV110">
            <v>1425.7919999999999</v>
          </cell>
          <cell r="BW110">
            <v>1494.076</v>
          </cell>
          <cell r="BX110">
            <v>1569.4459999999999</v>
          </cell>
        </row>
        <row r="111">
          <cell r="C111" t="str">
            <v>Cyprus</v>
          </cell>
          <cell r="D111">
            <v>5</v>
          </cell>
          <cell r="E111">
            <v>196</v>
          </cell>
          <cell r="F111" t="str">
            <v>Country</v>
          </cell>
          <cell r="G111">
            <v>922</v>
          </cell>
          <cell r="H111">
            <v>494.01499999999999</v>
          </cell>
          <cell r="I111">
            <v>500.38200000000001</v>
          </cell>
          <cell r="J111">
            <v>506.62700000000001</v>
          </cell>
          <cell r="K111">
            <v>513.43399999999997</v>
          </cell>
          <cell r="L111">
            <v>521.18399999999997</v>
          </cell>
          <cell r="M111">
            <v>529.97199999999998</v>
          </cell>
          <cell r="N111">
            <v>539.56700000000001</v>
          </cell>
          <cell r="O111">
            <v>549.46299999999997</v>
          </cell>
          <cell r="P111">
            <v>558.89499999999998</v>
          </cell>
          <cell r="Q111">
            <v>566.98400000000004</v>
          </cell>
          <cell r="R111">
            <v>572.92999999999995</v>
          </cell>
          <cell r="S111">
            <v>576.39499999999998</v>
          </cell>
          <cell r="T111">
            <v>577.69100000000003</v>
          </cell>
          <cell r="U111">
            <v>577.91300000000001</v>
          </cell>
          <cell r="V111">
            <v>578.625</v>
          </cell>
          <cell r="W111">
            <v>580.96600000000001</v>
          </cell>
          <cell r="X111">
            <v>585.30899999999997</v>
          </cell>
          <cell r="Y111">
            <v>591.30799999999999</v>
          </cell>
          <cell r="Z111">
            <v>598.495</v>
          </cell>
          <cell r="AA111">
            <v>606.11599999999999</v>
          </cell>
          <cell r="AB111">
            <v>613.61800000000005</v>
          </cell>
          <cell r="AC111">
            <v>620.85900000000004</v>
          </cell>
          <cell r="AD111">
            <v>627.99800000000005</v>
          </cell>
          <cell r="AE111">
            <v>635.10699999999997</v>
          </cell>
          <cell r="AF111">
            <v>642.33199999999999</v>
          </cell>
          <cell r="AG111">
            <v>649.75099999999998</v>
          </cell>
          <cell r="AH111">
            <v>657.52700000000004</v>
          </cell>
          <cell r="AI111">
            <v>665.52499999999998</v>
          </cell>
          <cell r="AJ111">
            <v>673.24699999999996</v>
          </cell>
          <cell r="AK111">
            <v>680.005</v>
          </cell>
          <cell r="AL111">
            <v>685.40499999999997</v>
          </cell>
          <cell r="AM111">
            <v>689.173</v>
          </cell>
          <cell r="AN111">
            <v>691.702</v>
          </cell>
          <cell r="AO111">
            <v>694.077</v>
          </cell>
          <cell r="AP111">
            <v>697.71400000000006</v>
          </cell>
          <cell r="AQ111">
            <v>703.68499999999995</v>
          </cell>
          <cell r="AR111">
            <v>712.34</v>
          </cell>
          <cell r="AS111">
            <v>723.37599999999998</v>
          </cell>
          <cell r="AT111">
            <v>736.47400000000005</v>
          </cell>
          <cell r="AU111">
            <v>751.04700000000003</v>
          </cell>
          <cell r="AV111">
            <v>766.61500000000001</v>
          </cell>
          <cell r="AW111">
            <v>783.12400000000002</v>
          </cell>
          <cell r="AX111">
            <v>800.61099999999999</v>
          </cell>
          <cell r="AY111">
            <v>818.74599999999998</v>
          </cell>
          <cell r="AZ111">
            <v>837.11</v>
          </cell>
          <cell r="BA111">
            <v>855.38300000000004</v>
          </cell>
          <cell r="BB111">
            <v>873.423</v>
          </cell>
          <cell r="BC111">
            <v>891.19</v>
          </cell>
          <cell r="BD111">
            <v>908.702</v>
          </cell>
          <cell r="BE111">
            <v>926.04600000000005</v>
          </cell>
          <cell r="BF111">
            <v>943.29</v>
          </cell>
          <cell r="BG111">
            <v>960.27599999999995</v>
          </cell>
          <cell r="BH111">
            <v>976.96400000000006</v>
          </cell>
          <cell r="BI111">
            <v>993.56299999999999</v>
          </cell>
          <cell r="BJ111">
            <v>1010.408</v>
          </cell>
          <cell r="BK111">
            <v>1027.662</v>
          </cell>
          <cell r="BL111">
            <v>1045.5070000000001</v>
          </cell>
          <cell r="BM111">
            <v>1063.713</v>
          </cell>
          <cell r="BN111">
            <v>1081.5630000000001</v>
          </cell>
          <cell r="BO111">
            <v>1098.0830000000001</v>
          </cell>
          <cell r="BP111">
            <v>1112.6120000000001</v>
          </cell>
          <cell r="BQ111">
            <v>1124.8330000000001</v>
          </cell>
          <cell r="BR111">
            <v>1135.046</v>
          </cell>
          <cell r="BS111">
            <v>1143.866</v>
          </cell>
          <cell r="BT111">
            <v>1152.2850000000001</v>
          </cell>
          <cell r="BU111">
            <v>1160.9849999999999</v>
          </cell>
          <cell r="BV111">
            <v>1170.1869999999999</v>
          </cell>
          <cell r="BW111">
            <v>1179.6780000000001</v>
          </cell>
          <cell r="BX111">
            <v>1189.2650000000001</v>
          </cell>
        </row>
        <row r="112">
          <cell r="C112" t="str">
            <v>Georgia</v>
          </cell>
          <cell r="D112">
            <v>6</v>
          </cell>
          <cell r="E112">
            <v>268</v>
          </cell>
          <cell r="F112" t="str">
            <v>Country</v>
          </cell>
          <cell r="G112">
            <v>922</v>
          </cell>
          <cell r="H112">
            <v>3527.0079999999998</v>
          </cell>
          <cell r="I112">
            <v>3555.8739999999998</v>
          </cell>
          <cell r="J112">
            <v>3588.6219999999998</v>
          </cell>
          <cell r="K112">
            <v>3625.6089999999999</v>
          </cell>
          <cell r="L112">
            <v>3667.0709999999999</v>
          </cell>
          <cell r="M112">
            <v>3713.1329999999998</v>
          </cell>
          <cell r="N112">
            <v>3763.77</v>
          </cell>
          <cell r="O112">
            <v>3818.85</v>
          </cell>
          <cell r="P112">
            <v>3878.1329999999998</v>
          </cell>
          <cell r="Q112">
            <v>3941.2429999999999</v>
          </cell>
          <cell r="R112">
            <v>4007.723</v>
          </cell>
          <cell r="S112">
            <v>4077.0740000000001</v>
          </cell>
          <cell r="T112">
            <v>4148.7389999999996</v>
          </cell>
          <cell r="U112">
            <v>4222.1509999999998</v>
          </cell>
          <cell r="V112">
            <v>4296.6679999999997</v>
          </cell>
          <cell r="W112">
            <v>4371.527</v>
          </cell>
          <cell r="X112">
            <v>4446.8320000000003</v>
          </cell>
          <cell r="Y112">
            <v>4521.7160000000003</v>
          </cell>
          <cell r="Z112">
            <v>4593.3180000000002</v>
          </cell>
          <cell r="AA112">
            <v>4658.009</v>
          </cell>
          <cell r="AB112">
            <v>4713.3419999999996</v>
          </cell>
          <cell r="AC112">
            <v>4758.1580000000004</v>
          </cell>
          <cell r="AD112">
            <v>4793.5630000000001</v>
          </cell>
          <cell r="AE112">
            <v>4822.1710000000003</v>
          </cell>
          <cell r="AF112">
            <v>4847.8620000000001</v>
          </cell>
          <cell r="AG112">
            <v>4873.6390000000001</v>
          </cell>
          <cell r="AH112">
            <v>4900.2039999999997</v>
          </cell>
          <cell r="AI112">
            <v>4927.2569999999996</v>
          </cell>
          <cell r="AJ112">
            <v>4955.5169999999998</v>
          </cell>
          <cell r="AK112">
            <v>4985.5879999999997</v>
          </cell>
          <cell r="AL112">
            <v>5017.8329999999996</v>
          </cell>
          <cell r="AM112">
            <v>5051.1210000000001</v>
          </cell>
          <cell r="AN112">
            <v>5085.1450000000004</v>
          </cell>
          <cell r="AO112">
            <v>5121.8059999999996</v>
          </cell>
          <cell r="AP112">
            <v>5163.6450000000004</v>
          </cell>
          <cell r="AQ112">
            <v>5211.4539999999997</v>
          </cell>
          <cell r="AR112">
            <v>5267.24</v>
          </cell>
          <cell r="AS112">
            <v>5327.4939999999997</v>
          </cell>
          <cell r="AT112">
            <v>5380.8180000000002</v>
          </cell>
          <cell r="AU112">
            <v>5411.9930000000004</v>
          </cell>
          <cell r="AV112">
            <v>5410.3990000000003</v>
          </cell>
          <cell r="AW112">
            <v>5372.9880000000003</v>
          </cell>
          <cell r="AX112">
            <v>5303.9290000000001</v>
          </cell>
          <cell r="AY112">
            <v>5208.9570000000003</v>
          </cell>
          <cell r="AZ112">
            <v>5097.1279999999997</v>
          </cell>
          <cell r="BA112">
            <v>4976.26</v>
          </cell>
          <cell r="BB112">
            <v>4846.634</v>
          </cell>
          <cell r="BC112">
            <v>4709.607</v>
          </cell>
          <cell r="BD112">
            <v>4575.3980000000001</v>
          </cell>
          <cell r="BE112">
            <v>4456.6469999999999</v>
          </cell>
          <cell r="BF112">
            <v>4362.1869999999999</v>
          </cell>
          <cell r="BG112">
            <v>4296.9790000000003</v>
          </cell>
          <cell r="BH112">
            <v>4258.5709999999999</v>
          </cell>
          <cell r="BI112">
            <v>4238.9290000000001</v>
          </cell>
          <cell r="BJ112">
            <v>4225.8159999999998</v>
          </cell>
          <cell r="BK112">
            <v>4210.1679999999997</v>
          </cell>
          <cell r="BL112">
            <v>4189.72</v>
          </cell>
          <cell r="BM112">
            <v>4166.8670000000002</v>
          </cell>
          <cell r="BN112">
            <v>4142.6549999999997</v>
          </cell>
          <cell r="BO112">
            <v>4119.4939999999997</v>
          </cell>
          <cell r="BP112">
            <v>4099.0990000000002</v>
          </cell>
          <cell r="BQ112">
            <v>4081.0169999999998</v>
          </cell>
          <cell r="BR112">
            <v>4064.1060000000002</v>
          </cell>
          <cell r="BS112">
            <v>4048.701</v>
          </cell>
          <cell r="BT112">
            <v>4035.3110000000001</v>
          </cell>
          <cell r="BU112">
            <v>4024.183</v>
          </cell>
          <cell r="BV112">
            <v>4015.45</v>
          </cell>
          <cell r="BW112">
            <v>4008.7159999999999</v>
          </cell>
          <cell r="BX112">
            <v>4002.942</v>
          </cell>
        </row>
        <row r="113">
          <cell r="C113" t="str">
            <v>Iraq</v>
          </cell>
          <cell r="E113">
            <v>368</v>
          </cell>
          <cell r="F113" t="str">
            <v>Country</v>
          </cell>
          <cell r="G113">
            <v>922</v>
          </cell>
          <cell r="H113">
            <v>5719.192</v>
          </cell>
          <cell r="I113">
            <v>5901.5079999999998</v>
          </cell>
          <cell r="J113">
            <v>6065.0110000000004</v>
          </cell>
          <cell r="K113">
            <v>6216.1310000000003</v>
          </cell>
          <cell r="L113">
            <v>6360.44</v>
          </cell>
          <cell r="M113">
            <v>6502.6570000000002</v>
          </cell>
          <cell r="N113">
            <v>6646.643</v>
          </cell>
          <cell r="O113">
            <v>6795.4</v>
          </cell>
          <cell r="P113">
            <v>6951.16</v>
          </cell>
          <cell r="Q113">
            <v>7115.51</v>
          </cell>
          <cell r="R113">
            <v>7289.76</v>
          </cell>
          <cell r="S113">
            <v>7475.35</v>
          </cell>
          <cell r="T113">
            <v>7674.22</v>
          </cell>
          <cell r="U113">
            <v>7888.9129999999996</v>
          </cell>
          <cell r="V113">
            <v>8122.1970000000001</v>
          </cell>
          <cell r="W113">
            <v>8375.7900000000009</v>
          </cell>
          <cell r="X113">
            <v>8651.1620000000003</v>
          </cell>
          <cell r="Y113">
            <v>8947.4040000000005</v>
          </cell>
          <cell r="Z113">
            <v>9260.6820000000007</v>
          </cell>
          <cell r="AA113">
            <v>9585.5759999999991</v>
          </cell>
          <cell r="AB113">
            <v>9917.9830000000002</v>
          </cell>
          <cell r="AC113">
            <v>10255.85</v>
          </cell>
          <cell r="AD113">
            <v>10599.668</v>
          </cell>
          <cell r="AE113">
            <v>10950.888000000001</v>
          </cell>
          <cell r="AF113">
            <v>11312.062</v>
          </cell>
          <cell r="AG113">
            <v>11684.59</v>
          </cell>
          <cell r="AH113">
            <v>12068.675999999999</v>
          </cell>
          <cell r="AI113">
            <v>12462.07</v>
          </cell>
          <cell r="AJ113">
            <v>12860.68</v>
          </cell>
          <cell r="AK113">
            <v>13259.112999999999</v>
          </cell>
          <cell r="AL113">
            <v>13653.353999999999</v>
          </cell>
          <cell r="AM113">
            <v>14044.117</v>
          </cell>
          <cell r="AN113">
            <v>14432.468000000001</v>
          </cell>
          <cell r="AO113">
            <v>14815.656000000001</v>
          </cell>
          <cell r="AP113">
            <v>15190.393</v>
          </cell>
          <cell r="AQ113">
            <v>15555.8</v>
          </cell>
          <cell r="AR113">
            <v>15909.762000000001</v>
          </cell>
          <cell r="AS113">
            <v>16257.07</v>
          </cell>
          <cell r="AT113">
            <v>16612.322</v>
          </cell>
          <cell r="AU113">
            <v>16994.948</v>
          </cell>
          <cell r="AV113">
            <v>17419.113000000001</v>
          </cell>
          <cell r="AW113">
            <v>17889.458999999999</v>
          </cell>
          <cell r="AX113">
            <v>18402.734</v>
          </cell>
          <cell r="AY113">
            <v>18955.084999999999</v>
          </cell>
          <cell r="AZ113">
            <v>19539.34</v>
          </cell>
          <cell r="BA113">
            <v>20149.338</v>
          </cell>
          <cell r="BB113">
            <v>20783.073</v>
          </cell>
          <cell r="BC113">
            <v>21439.574000000001</v>
          </cell>
          <cell r="BD113">
            <v>22114.324000000001</v>
          </cell>
          <cell r="BE113">
            <v>22802.063999999998</v>
          </cell>
          <cell r="BF113">
            <v>23497.584999999999</v>
          </cell>
          <cell r="BG113">
            <v>24208.18</v>
          </cell>
          <cell r="BH113">
            <v>24931.919000000002</v>
          </cell>
          <cell r="BI113">
            <v>25644.499</v>
          </cell>
          <cell r="BJ113">
            <v>26313.838</v>
          </cell>
          <cell r="BK113">
            <v>26922.284</v>
          </cell>
          <cell r="BL113">
            <v>27448.124</v>
          </cell>
          <cell r="BM113">
            <v>27911.248</v>
          </cell>
          <cell r="BN113">
            <v>28385.745999999999</v>
          </cell>
          <cell r="BO113">
            <v>28973.162</v>
          </cell>
          <cell r="BP113">
            <v>29741.975999999999</v>
          </cell>
          <cell r="BQ113">
            <v>30725.3</v>
          </cell>
          <cell r="BR113">
            <v>31890.010999999999</v>
          </cell>
          <cell r="BS113">
            <v>33157.050000000003</v>
          </cell>
          <cell r="BT113">
            <v>34411.951000000001</v>
          </cell>
          <cell r="BU113">
            <v>35572.260999999999</v>
          </cell>
          <cell r="BV113">
            <v>36610.631999999998</v>
          </cell>
          <cell r="BW113">
            <v>37552.781000000003</v>
          </cell>
          <cell r="BX113">
            <v>38433.599999999999</v>
          </cell>
        </row>
        <row r="114">
          <cell r="C114" t="str">
            <v>Israel</v>
          </cell>
          <cell r="E114">
            <v>376</v>
          </cell>
          <cell r="F114" t="str">
            <v>Country</v>
          </cell>
          <cell r="G114">
            <v>922</v>
          </cell>
          <cell r="H114">
            <v>1257.971</v>
          </cell>
          <cell r="I114">
            <v>1345.326</v>
          </cell>
          <cell r="J114">
            <v>1435.83</v>
          </cell>
          <cell r="K114">
            <v>1525.3589999999999</v>
          </cell>
          <cell r="L114">
            <v>1611.1690000000001</v>
          </cell>
          <cell r="M114">
            <v>1691.8779999999999</v>
          </cell>
          <cell r="N114">
            <v>1767.482</v>
          </cell>
          <cell r="O114">
            <v>1839.3720000000001</v>
          </cell>
          <cell r="P114">
            <v>1910.048</v>
          </cell>
          <cell r="Q114">
            <v>1982.7660000000001</v>
          </cell>
          <cell r="R114">
            <v>2060.48</v>
          </cell>
          <cell r="S114">
            <v>2144.6410000000001</v>
          </cell>
          <cell r="T114">
            <v>2234.1990000000001</v>
          </cell>
          <cell r="U114">
            <v>2325.1480000000001</v>
          </cell>
          <cell r="V114">
            <v>2411.7869999999998</v>
          </cell>
          <cell r="W114">
            <v>2490.317</v>
          </cell>
          <cell r="X114">
            <v>2558.712</v>
          </cell>
          <cell r="Y114">
            <v>2619.105</v>
          </cell>
          <cell r="Z114">
            <v>2676.9679999999998</v>
          </cell>
          <cell r="AA114">
            <v>2740.0680000000002</v>
          </cell>
          <cell r="AB114">
            <v>2813.7489999999998</v>
          </cell>
          <cell r="AC114">
            <v>2900.02</v>
          </cell>
          <cell r="AD114">
            <v>2996.482</v>
          </cell>
          <cell r="AE114">
            <v>3098.7910000000002</v>
          </cell>
          <cell r="AF114">
            <v>3200.53</v>
          </cell>
          <cell r="AG114">
            <v>3296.9349999999999</v>
          </cell>
          <cell r="AH114">
            <v>3387.049</v>
          </cell>
          <cell r="AI114">
            <v>3472.1179999999999</v>
          </cell>
          <cell r="AJ114">
            <v>3552.2979999999998</v>
          </cell>
          <cell r="AK114">
            <v>3628.308</v>
          </cell>
          <cell r="AL114">
            <v>3700.9189999999999</v>
          </cell>
          <cell r="AM114">
            <v>3770.6880000000001</v>
          </cell>
          <cell r="AN114">
            <v>3838.1129999999998</v>
          </cell>
          <cell r="AO114">
            <v>3903.9549999999999</v>
          </cell>
          <cell r="AP114">
            <v>3969.172</v>
          </cell>
          <cell r="AQ114">
            <v>4035.0680000000002</v>
          </cell>
          <cell r="AR114">
            <v>4100.5379999999996</v>
          </cell>
          <cell r="AS114">
            <v>4167.1270000000004</v>
          </cell>
          <cell r="AT114">
            <v>4241.7839999999997</v>
          </cell>
          <cell r="AU114">
            <v>4333.5870000000004</v>
          </cell>
          <cell r="AV114">
            <v>4448.3530000000001</v>
          </cell>
          <cell r="AW114">
            <v>4589.3019999999997</v>
          </cell>
          <cell r="AX114">
            <v>4752.8239999999996</v>
          </cell>
          <cell r="AY114">
            <v>4929.415</v>
          </cell>
          <cell r="AZ114">
            <v>5105.5770000000002</v>
          </cell>
          <cell r="BA114">
            <v>5271.3670000000002</v>
          </cell>
          <cell r="BB114">
            <v>5424.2489999999998</v>
          </cell>
          <cell r="BC114">
            <v>5566.5529999999999</v>
          </cell>
          <cell r="BD114">
            <v>5699.2730000000001</v>
          </cell>
          <cell r="BE114">
            <v>5824.9409999999998</v>
          </cell>
          <cell r="BF114">
            <v>5945.95</v>
          </cell>
          <cell r="BG114">
            <v>6060.6760000000004</v>
          </cell>
          <cell r="BH114">
            <v>6169.3130000000001</v>
          </cell>
          <cell r="BI114">
            <v>6278.3739999999998</v>
          </cell>
          <cell r="BJ114">
            <v>6396.5140000000001</v>
          </cell>
          <cell r="BK114">
            <v>6529.4790000000003</v>
          </cell>
          <cell r="BL114">
            <v>6680.6369999999997</v>
          </cell>
          <cell r="BM114">
            <v>6847.1409999999996</v>
          </cell>
          <cell r="BN114">
            <v>7020.8360000000002</v>
          </cell>
          <cell r="BO114">
            <v>7190.0339999999997</v>
          </cell>
          <cell r="BP114">
            <v>7346.4459999999999</v>
          </cell>
          <cell r="BQ114">
            <v>7487.1</v>
          </cell>
          <cell r="BR114">
            <v>7614.9520000000002</v>
          </cell>
          <cell r="BS114">
            <v>7734.8410000000003</v>
          </cell>
          <cell r="BT114">
            <v>7854.2129999999997</v>
          </cell>
          <cell r="BU114">
            <v>7978.49</v>
          </cell>
          <cell r="BV114">
            <v>8108.9849999999997</v>
          </cell>
          <cell r="BW114">
            <v>8243.848</v>
          </cell>
          <cell r="BX114">
            <v>8381.5159999999996</v>
          </cell>
        </row>
        <row r="115">
          <cell r="C115" t="str">
            <v>Jordan</v>
          </cell>
          <cell r="E115">
            <v>400</v>
          </cell>
          <cell r="F115" t="str">
            <v>Country</v>
          </cell>
          <cell r="G115">
            <v>922</v>
          </cell>
          <cell r="H115">
            <v>481.32100000000003</v>
          </cell>
          <cell r="I115">
            <v>536.40200000000004</v>
          </cell>
          <cell r="J115">
            <v>576.27499999999998</v>
          </cell>
          <cell r="K115">
            <v>609.96799999999996</v>
          </cell>
          <cell r="L115">
            <v>644.12699999999995</v>
          </cell>
          <cell r="M115">
            <v>682.96799999999996</v>
          </cell>
          <cell r="N115">
            <v>728.19899999999996</v>
          </cell>
          <cell r="O115">
            <v>779.12</v>
          </cell>
          <cell r="P115">
            <v>832.97900000000004</v>
          </cell>
          <cell r="Q115">
            <v>885.577</v>
          </cell>
          <cell r="R115">
            <v>933.10199999999998</v>
          </cell>
          <cell r="S115">
            <v>973.98800000000006</v>
          </cell>
          <cell r="T115">
            <v>1010.658</v>
          </cell>
          <cell r="U115">
            <v>1050.213</v>
          </cell>
          <cell r="V115">
            <v>1102.3989999999999</v>
          </cell>
          <cell r="W115">
            <v>1173.606</v>
          </cell>
          <cell r="X115">
            <v>1267.0619999999999</v>
          </cell>
          <cell r="Y115">
            <v>1378.998</v>
          </cell>
          <cell r="Z115">
            <v>1500.163</v>
          </cell>
          <cell r="AA115">
            <v>1617.4280000000001</v>
          </cell>
          <cell r="AB115">
            <v>1721.3230000000001</v>
          </cell>
          <cell r="AC115">
            <v>1809.182</v>
          </cell>
          <cell r="AD115">
            <v>1883.9349999999999</v>
          </cell>
          <cell r="AE115">
            <v>1948.442</v>
          </cell>
          <cell r="AF115">
            <v>2007.7349999999999</v>
          </cell>
          <cell r="AG115">
            <v>2065.913</v>
          </cell>
          <cell r="AH115">
            <v>2123.1799999999998</v>
          </cell>
          <cell r="AI115">
            <v>2179.3629999999998</v>
          </cell>
          <cell r="AJ115">
            <v>2237.9430000000002</v>
          </cell>
          <cell r="AK115">
            <v>2303.1219999999998</v>
          </cell>
          <cell r="AL115">
            <v>2377.9949999999999</v>
          </cell>
          <cell r="AM115">
            <v>2464.8670000000002</v>
          </cell>
          <cell r="AN115">
            <v>2563.5340000000001</v>
          </cell>
          <cell r="AO115">
            <v>2671.413</v>
          </cell>
          <cell r="AP115">
            <v>2784.4630000000002</v>
          </cell>
          <cell r="AQ115">
            <v>2900.049</v>
          </cell>
          <cell r="AR115">
            <v>3015.299</v>
          </cell>
          <cell r="AS115">
            <v>3131.7959999999998</v>
          </cell>
          <cell r="AT115">
            <v>3256.558</v>
          </cell>
          <cell r="AU115">
            <v>3399.33</v>
          </cell>
          <cell r="AV115">
            <v>3565.89</v>
          </cell>
          <cell r="AW115">
            <v>3760.4960000000001</v>
          </cell>
          <cell r="AX115">
            <v>3977.672</v>
          </cell>
          <cell r="AY115">
            <v>4201.5550000000003</v>
          </cell>
          <cell r="AZ115">
            <v>4410.3590000000004</v>
          </cell>
          <cell r="BA115">
            <v>4588.8429999999998</v>
          </cell>
          <cell r="BB115">
            <v>4732.8540000000003</v>
          </cell>
          <cell r="BC115">
            <v>4848.5410000000002</v>
          </cell>
          <cell r="BD115">
            <v>4943.9750000000004</v>
          </cell>
          <cell r="BE115">
            <v>5031.7619999999997</v>
          </cell>
          <cell r="BF115">
            <v>5122.4930000000004</v>
          </cell>
          <cell r="BG115">
            <v>5217.3360000000002</v>
          </cell>
          <cell r="BH115">
            <v>5317.5060000000003</v>
          </cell>
          <cell r="BI115">
            <v>5434.03</v>
          </cell>
          <cell r="BJ115">
            <v>5580.2439999999997</v>
          </cell>
          <cell r="BK115">
            <v>5765.6350000000002</v>
          </cell>
          <cell r="BL115">
            <v>5991.54</v>
          </cell>
          <cell r="BM115">
            <v>6255.28</v>
          </cell>
          <cell r="BN115">
            <v>6556.4780000000001</v>
          </cell>
          <cell r="BO115">
            <v>6893.26</v>
          </cell>
          <cell r="BP115">
            <v>7261.5389999999998</v>
          </cell>
          <cell r="BQ115">
            <v>7662.8459999999995</v>
          </cell>
          <cell r="BR115">
            <v>8089.9620000000004</v>
          </cell>
          <cell r="BS115">
            <v>8518.9830000000002</v>
          </cell>
          <cell r="BT115">
            <v>8918.8279999999995</v>
          </cell>
          <cell r="BU115">
            <v>9266.5750000000007</v>
          </cell>
          <cell r="BV115">
            <v>9554.2860000000001</v>
          </cell>
          <cell r="BW115">
            <v>9785.8430000000008</v>
          </cell>
          <cell r="BX115">
            <v>9965.3179999999993</v>
          </cell>
        </row>
        <row r="116">
          <cell r="C116" t="str">
            <v>Kuwait</v>
          </cell>
          <cell r="E116">
            <v>414</v>
          </cell>
          <cell r="F116" t="str">
            <v>Country</v>
          </cell>
          <cell r="G116">
            <v>922</v>
          </cell>
          <cell r="H116">
            <v>153.09800000000001</v>
          </cell>
          <cell r="I116">
            <v>158.01599999999999</v>
          </cell>
          <cell r="J116">
            <v>162.80600000000001</v>
          </cell>
          <cell r="K116">
            <v>167.99299999999999</v>
          </cell>
          <cell r="L116">
            <v>174.154</v>
          </cell>
          <cell r="M116">
            <v>181.88800000000001</v>
          </cell>
          <cell r="N116">
            <v>191.89599999999999</v>
          </cell>
          <cell r="O116">
            <v>204.892</v>
          </cell>
          <cell r="P116">
            <v>221.614</v>
          </cell>
          <cell r="Q116">
            <v>242.798</v>
          </cell>
          <cell r="R116">
            <v>269.029</v>
          </cell>
          <cell r="S116">
            <v>300.57600000000002</v>
          </cell>
          <cell r="T116">
            <v>337.34800000000001</v>
          </cell>
          <cell r="U116">
            <v>378.74599999999998</v>
          </cell>
          <cell r="V116">
            <v>423.89800000000002</v>
          </cell>
          <cell r="W116">
            <v>472.03699999999998</v>
          </cell>
          <cell r="X116">
            <v>523.16600000000005</v>
          </cell>
          <cell r="Y116">
            <v>577.16399999999999</v>
          </cell>
          <cell r="Z116">
            <v>632.899</v>
          </cell>
          <cell r="AA116">
            <v>688.97900000000004</v>
          </cell>
          <cell r="AB116">
            <v>744.45</v>
          </cell>
          <cell r="AC116">
            <v>798.64200000000005</v>
          </cell>
          <cell r="AD116">
            <v>851.91600000000005</v>
          </cell>
          <cell r="AE116">
            <v>905.63499999999999</v>
          </cell>
          <cell r="AF116">
            <v>961.77</v>
          </cell>
          <cell r="AG116">
            <v>1021.72</v>
          </cell>
          <cell r="AH116">
            <v>1085.8610000000001</v>
          </cell>
          <cell r="AI116">
            <v>1153.5830000000001</v>
          </cell>
          <cell r="AJ116">
            <v>1224.067</v>
          </cell>
          <cell r="AK116">
            <v>1296.0809999999999</v>
          </cell>
          <cell r="AL116">
            <v>1368.6769999999999</v>
          </cell>
          <cell r="AM116">
            <v>1439.3309999999999</v>
          </cell>
          <cell r="AN116">
            <v>1507.645</v>
          </cell>
          <cell r="AO116">
            <v>1576.9680000000001</v>
          </cell>
          <cell r="AP116">
            <v>1652.15</v>
          </cell>
          <cell r="AQ116">
            <v>1735.2739999999999</v>
          </cell>
          <cell r="AR116">
            <v>1832.31</v>
          </cell>
          <cell r="AS116">
            <v>1938.9090000000001</v>
          </cell>
          <cell r="AT116">
            <v>2034.857</v>
          </cell>
          <cell r="AU116">
            <v>2092.777</v>
          </cell>
          <cell r="AV116">
            <v>2095.3440000000001</v>
          </cell>
          <cell r="AW116">
            <v>2031.296</v>
          </cell>
          <cell r="AX116">
            <v>1912.433</v>
          </cell>
          <cell r="AY116">
            <v>1772.607</v>
          </cell>
          <cell r="AZ116">
            <v>1659.307</v>
          </cell>
          <cell r="BA116">
            <v>1605.9010000000001</v>
          </cell>
          <cell r="BB116">
            <v>1626.857</v>
          </cell>
          <cell r="BC116">
            <v>1710.2560000000001</v>
          </cell>
          <cell r="BD116">
            <v>1831.1189999999999</v>
          </cell>
          <cell r="BE116">
            <v>1951.636</v>
          </cell>
          <cell r="BF116">
            <v>2045.123</v>
          </cell>
          <cell r="BG116">
            <v>2103.2820000000002</v>
          </cell>
          <cell r="BH116">
            <v>2136.9969999999998</v>
          </cell>
          <cell r="BI116">
            <v>2161.6260000000002</v>
          </cell>
          <cell r="BJ116">
            <v>2200.4920000000002</v>
          </cell>
          <cell r="BK116">
            <v>2270.1979999999999</v>
          </cell>
          <cell r="BL116">
            <v>2373.672</v>
          </cell>
          <cell r="BM116">
            <v>2504.0189999999998</v>
          </cell>
          <cell r="BN116">
            <v>2656.009</v>
          </cell>
          <cell r="BO116">
            <v>2821.0450000000001</v>
          </cell>
          <cell r="BP116">
            <v>2991.884</v>
          </cell>
          <cell r="BQ116">
            <v>3168.06</v>
          </cell>
          <cell r="BR116">
            <v>3348.8530000000001</v>
          </cell>
          <cell r="BS116">
            <v>3526.3760000000002</v>
          </cell>
          <cell r="BT116">
            <v>3690.9409999999998</v>
          </cell>
          <cell r="BU116">
            <v>3835.5909999999999</v>
          </cell>
          <cell r="BV116">
            <v>3956.875</v>
          </cell>
          <cell r="BW116">
            <v>4056.0990000000002</v>
          </cell>
          <cell r="BX116">
            <v>4137.3119999999999</v>
          </cell>
        </row>
        <row r="117">
          <cell r="C117" t="str">
            <v>Lebanon</v>
          </cell>
          <cell r="E117">
            <v>422</v>
          </cell>
          <cell r="F117" t="str">
            <v>Country</v>
          </cell>
          <cell r="G117">
            <v>922</v>
          </cell>
          <cell r="H117">
            <v>1334.6210000000001</v>
          </cell>
          <cell r="I117">
            <v>1358.2180000000001</v>
          </cell>
          <cell r="J117">
            <v>1392.7260000000001</v>
          </cell>
          <cell r="K117">
            <v>1434.8530000000001</v>
          </cell>
          <cell r="L117">
            <v>1481.963</v>
          </cell>
          <cell r="M117">
            <v>1532.115</v>
          </cell>
          <cell r="N117">
            <v>1584.04</v>
          </cell>
          <cell r="O117">
            <v>1637.134</v>
          </cell>
          <cell r="P117">
            <v>1691.3720000000001</v>
          </cell>
          <cell r="Q117">
            <v>1747.1769999999999</v>
          </cell>
          <cell r="R117">
            <v>1804.941</v>
          </cell>
          <cell r="S117">
            <v>1864.6189999999999</v>
          </cell>
          <cell r="T117">
            <v>1925.297</v>
          </cell>
          <cell r="U117">
            <v>1985.001</v>
          </cell>
          <cell r="V117">
            <v>2041.229</v>
          </cell>
          <cell r="W117">
            <v>2092.375</v>
          </cell>
          <cell r="X117">
            <v>2136.6170000000002</v>
          </cell>
          <cell r="Y117">
            <v>2174.7379999999998</v>
          </cell>
          <cell r="Z117">
            <v>2210.7719999999999</v>
          </cell>
          <cell r="AA117">
            <v>2250.4470000000001</v>
          </cell>
          <cell r="AB117">
            <v>2297.4340000000002</v>
          </cell>
          <cell r="AC117">
            <v>2354.047</v>
          </cell>
          <cell r="AD117">
            <v>2417.8359999999998</v>
          </cell>
          <cell r="AE117">
            <v>2481.9430000000002</v>
          </cell>
          <cell r="AF117">
            <v>2536.7779999999998</v>
          </cell>
          <cell r="AG117">
            <v>2575.7489999999998</v>
          </cell>
          <cell r="AH117">
            <v>2596.4059999999999</v>
          </cell>
          <cell r="AI117">
            <v>2601.7399999999998</v>
          </cell>
          <cell r="AJ117">
            <v>2597.2049999999999</v>
          </cell>
          <cell r="AK117">
            <v>2590.902</v>
          </cell>
          <cell r="AL117">
            <v>2588.9290000000001</v>
          </cell>
          <cell r="AM117">
            <v>2594.3020000000001</v>
          </cell>
          <cell r="AN117">
            <v>2606.1390000000001</v>
          </cell>
          <cell r="AO117">
            <v>2622.0720000000001</v>
          </cell>
          <cell r="AP117">
            <v>2638.0540000000001</v>
          </cell>
          <cell r="AQ117">
            <v>2651.9949999999999</v>
          </cell>
          <cell r="AR117">
            <v>2660.8719999999998</v>
          </cell>
          <cell r="AS117">
            <v>2667.96</v>
          </cell>
          <cell r="AT117">
            <v>2684.6750000000002</v>
          </cell>
          <cell r="AU117">
            <v>2726.44</v>
          </cell>
          <cell r="AV117">
            <v>2803.0439999999999</v>
          </cell>
          <cell r="AW117">
            <v>2921.7060000000001</v>
          </cell>
          <cell r="AX117">
            <v>3076.1320000000001</v>
          </cell>
          <cell r="AY117">
            <v>3246.1260000000002</v>
          </cell>
          <cell r="AZ117">
            <v>3403.357</v>
          </cell>
          <cell r="BA117">
            <v>3528.38</v>
          </cell>
          <cell r="BB117">
            <v>3610.665</v>
          </cell>
          <cell r="BC117">
            <v>3658.424</v>
          </cell>
          <cell r="BD117">
            <v>3693.52</v>
          </cell>
          <cell r="BE117">
            <v>3747.7660000000001</v>
          </cell>
          <cell r="BF117">
            <v>3842.7779999999998</v>
          </cell>
          <cell r="BG117">
            <v>3991.0010000000002</v>
          </cell>
          <cell r="BH117">
            <v>4182.2049999999999</v>
          </cell>
          <cell r="BI117">
            <v>4388.375</v>
          </cell>
          <cell r="BJ117">
            <v>4569.3779999999997</v>
          </cell>
          <cell r="BK117">
            <v>4698.7629999999999</v>
          </cell>
          <cell r="BL117">
            <v>4759.7529999999997</v>
          </cell>
          <cell r="BM117">
            <v>4767.3440000000001</v>
          </cell>
          <cell r="BN117">
            <v>4764.741</v>
          </cell>
          <cell r="BO117">
            <v>4813.0259999999998</v>
          </cell>
          <cell r="BP117">
            <v>4953.0609999999997</v>
          </cell>
          <cell r="BQ117">
            <v>5202.0259999999998</v>
          </cell>
          <cell r="BR117">
            <v>5537.6120000000001</v>
          </cell>
          <cell r="BS117">
            <v>5913.0219999999999</v>
          </cell>
          <cell r="BT117">
            <v>6261.0439999999999</v>
          </cell>
          <cell r="BU117">
            <v>6532.6779999999999</v>
          </cell>
          <cell r="BV117">
            <v>6714.2809999999999</v>
          </cell>
          <cell r="BW117">
            <v>6819.3729999999996</v>
          </cell>
          <cell r="BX117">
            <v>6859.4080000000004</v>
          </cell>
        </row>
        <row r="118">
          <cell r="C118" t="str">
            <v>Oman</v>
          </cell>
          <cell r="E118">
            <v>512</v>
          </cell>
          <cell r="F118" t="str">
            <v>Country</v>
          </cell>
          <cell r="G118">
            <v>922</v>
          </cell>
          <cell r="H118">
            <v>456.41899999999998</v>
          </cell>
          <cell r="I118">
            <v>462.25099999999998</v>
          </cell>
          <cell r="J118">
            <v>469.351</v>
          </cell>
          <cell r="K118">
            <v>477.44</v>
          </cell>
          <cell r="L118">
            <v>486.31200000000001</v>
          </cell>
          <cell r="M118">
            <v>495.81799999999998</v>
          </cell>
          <cell r="N118">
            <v>505.89400000000001</v>
          </cell>
          <cell r="O118">
            <v>516.47199999999998</v>
          </cell>
          <cell r="P118">
            <v>527.601</v>
          </cell>
          <cell r="Q118">
            <v>539.33100000000002</v>
          </cell>
          <cell r="R118">
            <v>551.74</v>
          </cell>
          <cell r="S118">
            <v>564.89300000000003</v>
          </cell>
          <cell r="T118">
            <v>578.82299999999998</v>
          </cell>
          <cell r="U118">
            <v>593.50400000000002</v>
          </cell>
          <cell r="V118">
            <v>608.88900000000001</v>
          </cell>
          <cell r="W118">
            <v>625.00900000000001</v>
          </cell>
          <cell r="X118">
            <v>642.00099999999998</v>
          </cell>
          <cell r="Y118">
            <v>660.11400000000003</v>
          </cell>
          <cell r="Z118">
            <v>679.59500000000003</v>
          </cell>
          <cell r="AA118">
            <v>700.72900000000004</v>
          </cell>
          <cell r="AB118">
            <v>723.851</v>
          </cell>
          <cell r="AC118">
            <v>748.96799999999996</v>
          </cell>
          <cell r="AD118">
            <v>776.38</v>
          </cell>
          <cell r="AE118">
            <v>806.98599999999999</v>
          </cell>
          <cell r="AF118">
            <v>841.95</v>
          </cell>
          <cell r="AG118">
            <v>882.04700000000003</v>
          </cell>
          <cell r="AH118">
            <v>927.43600000000004</v>
          </cell>
          <cell r="AI118">
            <v>977.80399999999997</v>
          </cell>
          <cell r="AJ118">
            <v>1032.799</v>
          </cell>
          <cell r="AK118">
            <v>1091.8520000000001</v>
          </cell>
          <cell r="AL118">
            <v>1154.377</v>
          </cell>
          <cell r="AM118">
            <v>1220.585</v>
          </cell>
          <cell r="AN118">
            <v>1290.1110000000001</v>
          </cell>
          <cell r="AO118">
            <v>1361.087</v>
          </cell>
          <cell r="AP118">
            <v>1431.07</v>
          </cell>
          <cell r="AQ118">
            <v>1498.4179999999999</v>
          </cell>
          <cell r="AR118">
            <v>1561.1849999999999</v>
          </cell>
          <cell r="AS118">
            <v>1619.8630000000001</v>
          </cell>
          <cell r="AT118">
            <v>1678.11</v>
          </cell>
          <cell r="AU118">
            <v>1741.1559999999999</v>
          </cell>
          <cell r="AV118">
            <v>1812.1610000000001</v>
          </cell>
          <cell r="AW118">
            <v>1893.768</v>
          </cell>
          <cell r="AX118">
            <v>1983.2750000000001</v>
          </cell>
          <cell r="AY118">
            <v>2072.1039999999998</v>
          </cell>
          <cell r="AZ118">
            <v>2148.4189999999999</v>
          </cell>
          <cell r="BA118">
            <v>2204.277</v>
          </cell>
          <cell r="BB118">
            <v>2236.654</v>
          </cell>
          <cell r="BC118">
            <v>2249.7620000000002</v>
          </cell>
          <cell r="BD118">
            <v>2251.864</v>
          </cell>
          <cell r="BE118">
            <v>2254.904</v>
          </cell>
          <cell r="BF118">
            <v>2267.973</v>
          </cell>
          <cell r="BG118">
            <v>2294.962</v>
          </cell>
          <cell r="BH118">
            <v>2334.8580000000002</v>
          </cell>
          <cell r="BI118">
            <v>2386.1660000000002</v>
          </cell>
          <cell r="BJ118">
            <v>2445.5169999999998</v>
          </cell>
          <cell r="BK118">
            <v>2511.2510000000002</v>
          </cell>
          <cell r="BL118">
            <v>2580.7579999999998</v>
          </cell>
          <cell r="BM118">
            <v>2657.1579999999999</v>
          </cell>
          <cell r="BN118">
            <v>2750.9630000000002</v>
          </cell>
          <cell r="BO118">
            <v>2876.1860000000001</v>
          </cell>
          <cell r="BP118">
            <v>3041.4340000000002</v>
          </cell>
          <cell r="BQ118">
            <v>3251.1080000000002</v>
          </cell>
          <cell r="BR118">
            <v>3498.029</v>
          </cell>
          <cell r="BS118">
            <v>3764.806</v>
          </cell>
          <cell r="BT118">
            <v>4027.26</v>
          </cell>
          <cell r="BU118">
            <v>4267.348</v>
          </cell>
          <cell r="BV118">
            <v>4479.2190000000001</v>
          </cell>
          <cell r="BW118">
            <v>4665.9279999999999</v>
          </cell>
          <cell r="BX118">
            <v>4829.473</v>
          </cell>
        </row>
        <row r="119">
          <cell r="C119" t="str">
            <v>Qatar</v>
          </cell>
          <cell r="E119">
            <v>634</v>
          </cell>
          <cell r="F119" t="str">
            <v>Country</v>
          </cell>
          <cell r="G119">
            <v>922</v>
          </cell>
          <cell r="H119">
            <v>25.003</v>
          </cell>
          <cell r="I119">
            <v>27.498999999999999</v>
          </cell>
          <cell r="J119">
            <v>29.876000000000001</v>
          </cell>
          <cell r="K119">
            <v>32.063000000000002</v>
          </cell>
          <cell r="L119">
            <v>34.043999999999997</v>
          </cell>
          <cell r="M119">
            <v>35.866</v>
          </cell>
          <cell r="N119">
            <v>37.622</v>
          </cell>
          <cell r="O119">
            <v>39.448999999999998</v>
          </cell>
          <cell r="P119">
            <v>41.545999999999999</v>
          </cell>
          <cell r="Q119">
            <v>44.125999999999998</v>
          </cell>
          <cell r="R119">
            <v>47.384</v>
          </cell>
          <cell r="S119">
            <v>51.420999999999999</v>
          </cell>
          <cell r="T119">
            <v>56.262</v>
          </cell>
          <cell r="U119">
            <v>61.716000000000001</v>
          </cell>
          <cell r="V119">
            <v>67.566000000000003</v>
          </cell>
          <cell r="W119">
            <v>73.632999999999996</v>
          </cell>
          <cell r="X119">
            <v>79.846000000000004</v>
          </cell>
          <cell r="Y119">
            <v>86.302000000000007</v>
          </cell>
          <cell r="Z119">
            <v>93.210999999999999</v>
          </cell>
          <cell r="AA119">
            <v>100.883</v>
          </cell>
          <cell r="AB119">
            <v>109.514</v>
          </cell>
          <cell r="AC119">
            <v>119.414</v>
          </cell>
          <cell r="AD119">
            <v>130.5</v>
          </cell>
          <cell r="AE119">
            <v>142.18600000000001</v>
          </cell>
          <cell r="AF119">
            <v>153.62100000000001</v>
          </cell>
          <cell r="AG119">
            <v>164.32</v>
          </cell>
          <cell r="AH119">
            <v>173.721</v>
          </cell>
          <cell r="AI119">
            <v>182.31800000000001</v>
          </cell>
          <cell r="AJ119">
            <v>191.95099999999999</v>
          </cell>
          <cell r="AK119">
            <v>205.17099999999999</v>
          </cell>
          <cell r="AL119">
            <v>223.63200000000001</v>
          </cell>
          <cell r="AM119">
            <v>247.988</v>
          </cell>
          <cell r="AN119">
            <v>277.226</v>
          </cell>
          <cell r="AO119">
            <v>309.30599999999998</v>
          </cell>
          <cell r="AP119">
            <v>341.27199999999999</v>
          </cell>
          <cell r="AQ119">
            <v>370.89</v>
          </cell>
          <cell r="AR119">
            <v>397.74</v>
          </cell>
          <cell r="AS119">
            <v>422.14800000000002</v>
          </cell>
          <cell r="AT119">
            <v>443.60500000000002</v>
          </cell>
          <cell r="AU119">
            <v>461.69</v>
          </cell>
          <cell r="AV119">
            <v>476.27800000000002</v>
          </cell>
          <cell r="AW119">
            <v>487.35300000000001</v>
          </cell>
          <cell r="AX119">
            <v>495.39499999999998</v>
          </cell>
          <cell r="AY119">
            <v>501.47899999999998</v>
          </cell>
          <cell r="AZ119">
            <v>507.041</v>
          </cell>
          <cell r="BA119">
            <v>513.44200000000001</v>
          </cell>
          <cell r="BB119">
            <v>522.53099999999995</v>
          </cell>
          <cell r="BC119">
            <v>535.32100000000003</v>
          </cell>
          <cell r="BD119">
            <v>551.56200000000001</v>
          </cell>
          <cell r="BE119">
            <v>570.48900000000003</v>
          </cell>
          <cell r="BF119">
            <v>592.46799999999996</v>
          </cell>
          <cell r="BG119">
            <v>615.01199999999994</v>
          </cell>
          <cell r="BH119">
            <v>640.86800000000005</v>
          </cell>
          <cell r="BI119">
            <v>681.78800000000001</v>
          </cell>
          <cell r="BJ119">
            <v>753.33399999999995</v>
          </cell>
          <cell r="BK119">
            <v>865.41600000000005</v>
          </cell>
          <cell r="BL119">
            <v>1022.711</v>
          </cell>
          <cell r="BM119">
            <v>1218.434</v>
          </cell>
          <cell r="BN119">
            <v>1436.665</v>
          </cell>
          <cell r="BO119">
            <v>1654.95</v>
          </cell>
          <cell r="BP119">
            <v>1856.327</v>
          </cell>
          <cell r="BQ119">
            <v>2035.8710000000001</v>
          </cell>
          <cell r="BR119">
            <v>2196.0729999999999</v>
          </cell>
          <cell r="BS119">
            <v>2336.5740000000001</v>
          </cell>
          <cell r="BT119">
            <v>2459.1979999999999</v>
          </cell>
          <cell r="BU119">
            <v>2565.71</v>
          </cell>
          <cell r="BV119">
            <v>2654.3739999999998</v>
          </cell>
          <cell r="BW119">
            <v>2724.7280000000001</v>
          </cell>
          <cell r="BX119">
            <v>2781.6819999999998</v>
          </cell>
        </row>
        <row r="120">
          <cell r="C120" t="str">
            <v>Saudi Arabia</v>
          </cell>
          <cell r="E120">
            <v>682</v>
          </cell>
          <cell r="F120" t="str">
            <v>Country</v>
          </cell>
          <cell r="G120">
            <v>922</v>
          </cell>
          <cell r="H120">
            <v>3121.335</v>
          </cell>
          <cell r="I120">
            <v>3198.8130000000001</v>
          </cell>
          <cell r="J120">
            <v>3283.5970000000002</v>
          </cell>
          <cell r="K120">
            <v>3372.8380000000002</v>
          </cell>
          <cell r="L120">
            <v>3464.6579999999999</v>
          </cell>
          <cell r="M120">
            <v>3558.1550000000002</v>
          </cell>
          <cell r="N120">
            <v>3653.5</v>
          </cell>
          <cell r="O120">
            <v>3751.7930000000001</v>
          </cell>
          <cell r="P120">
            <v>3855.0360000000001</v>
          </cell>
          <cell r="Q120">
            <v>3965.7950000000001</v>
          </cell>
          <cell r="R120">
            <v>4086.5390000000002</v>
          </cell>
          <cell r="S120">
            <v>4218.8530000000001</v>
          </cell>
          <cell r="T120">
            <v>4362.7860000000001</v>
          </cell>
          <cell r="U120">
            <v>4516.5330000000004</v>
          </cell>
          <cell r="V120">
            <v>4677.2979999999998</v>
          </cell>
          <cell r="W120">
            <v>4843.6350000000002</v>
          </cell>
          <cell r="X120">
            <v>5015.357</v>
          </cell>
          <cell r="Y120">
            <v>5195.1350000000002</v>
          </cell>
          <cell r="Z120">
            <v>5387.8280000000004</v>
          </cell>
          <cell r="AA120">
            <v>5599.9040000000005</v>
          </cell>
          <cell r="AB120">
            <v>5836.3890000000001</v>
          </cell>
          <cell r="AC120">
            <v>6100.6260000000002</v>
          </cell>
          <cell r="AD120">
            <v>6392.97</v>
          </cell>
          <cell r="AE120">
            <v>6711.9229999999998</v>
          </cell>
          <cell r="AF120">
            <v>7054.5320000000002</v>
          </cell>
          <cell r="AG120">
            <v>7419.4930000000004</v>
          </cell>
          <cell r="AH120">
            <v>7802.9260000000004</v>
          </cell>
          <cell r="AI120">
            <v>8207.6970000000001</v>
          </cell>
          <cell r="AJ120">
            <v>8646.8449999999993</v>
          </cell>
          <cell r="AK120">
            <v>9137.9269999999997</v>
          </cell>
          <cell r="AL120">
            <v>9691.4760000000006</v>
          </cell>
          <cell r="AM120">
            <v>10311.775</v>
          </cell>
          <cell r="AN120">
            <v>10988.852999999999</v>
          </cell>
          <cell r="AO120">
            <v>11701.128000000001</v>
          </cell>
          <cell r="AP120">
            <v>12418.834000000001</v>
          </cell>
          <cell r="AQ120">
            <v>13118.993</v>
          </cell>
          <cell r="AR120">
            <v>13794.165000000001</v>
          </cell>
          <cell r="AS120">
            <v>14445.671</v>
          </cell>
          <cell r="AT120">
            <v>15070.082</v>
          </cell>
          <cell r="AU120">
            <v>15666.297</v>
          </cell>
          <cell r="AV120">
            <v>16233.785</v>
          </cell>
          <cell r="AW120">
            <v>16772.694</v>
          </cell>
          <cell r="AX120">
            <v>17282.690999999999</v>
          </cell>
          <cell r="AY120">
            <v>17763.297999999999</v>
          </cell>
          <cell r="AZ120">
            <v>18214.47</v>
          </cell>
          <cell r="BA120">
            <v>18638.787</v>
          </cell>
          <cell r="BB120">
            <v>19033.845000000001</v>
          </cell>
          <cell r="BC120">
            <v>19407.142</v>
          </cell>
          <cell r="BD120">
            <v>19783.304</v>
          </cell>
          <cell r="BE120">
            <v>20194.526999999998</v>
          </cell>
          <cell r="BF120">
            <v>20663.843000000001</v>
          </cell>
          <cell r="BG120">
            <v>21202.642</v>
          </cell>
          <cell r="BH120">
            <v>21805.312999999998</v>
          </cell>
          <cell r="BI120">
            <v>22456.649000000001</v>
          </cell>
          <cell r="BJ120">
            <v>23132.682000000001</v>
          </cell>
          <cell r="BK120">
            <v>23816.183000000001</v>
          </cell>
          <cell r="BL120">
            <v>24498.31</v>
          </cell>
          <cell r="BM120">
            <v>25184.597000000002</v>
          </cell>
          <cell r="BN120">
            <v>25888.541000000001</v>
          </cell>
          <cell r="BO120">
            <v>26630.303</v>
          </cell>
          <cell r="BP120">
            <v>27421.460999999999</v>
          </cell>
          <cell r="BQ120">
            <v>28267.589</v>
          </cell>
          <cell r="BR120">
            <v>29154.9</v>
          </cell>
          <cell r="BS120">
            <v>30052.059000000001</v>
          </cell>
          <cell r="BT120">
            <v>30916.597000000002</v>
          </cell>
          <cell r="BU120">
            <v>31717.667000000001</v>
          </cell>
          <cell r="BV120">
            <v>32443.447</v>
          </cell>
          <cell r="BW120">
            <v>33101.178999999996</v>
          </cell>
          <cell r="BX120">
            <v>33702.756000000001</v>
          </cell>
        </row>
        <row r="121">
          <cell r="C121" t="str">
            <v>State of Palestine</v>
          </cell>
          <cell r="D121">
            <v>7</v>
          </cell>
          <cell r="E121">
            <v>275</v>
          </cell>
          <cell r="F121" t="str">
            <v>Country</v>
          </cell>
          <cell r="G121">
            <v>922</v>
          </cell>
          <cell r="H121">
            <v>931.928</v>
          </cell>
          <cell r="I121">
            <v>923.89300000000003</v>
          </cell>
          <cell r="J121">
            <v>932.06700000000001</v>
          </cell>
          <cell r="K121">
            <v>948.88599999999997</v>
          </cell>
          <cell r="L121">
            <v>968.70100000000002</v>
          </cell>
          <cell r="M121">
            <v>987.755</v>
          </cell>
          <cell r="N121">
            <v>1004.285</v>
          </cell>
          <cell r="O121">
            <v>1018.475</v>
          </cell>
          <cell r="P121">
            <v>1032.1079999999999</v>
          </cell>
          <cell r="Q121">
            <v>1048.1289999999999</v>
          </cell>
          <cell r="R121">
            <v>1069.32</v>
          </cell>
          <cell r="S121">
            <v>1096.7560000000001</v>
          </cell>
          <cell r="T121">
            <v>1128.576</v>
          </cell>
          <cell r="U121">
            <v>1159.396</v>
          </cell>
          <cell r="V121">
            <v>1181.893</v>
          </cell>
          <cell r="W121">
            <v>1191.3789999999999</v>
          </cell>
          <cell r="X121">
            <v>1184.973</v>
          </cell>
          <cell r="Y121">
            <v>1165.75</v>
          </cell>
          <cell r="Z121">
            <v>1142.229</v>
          </cell>
          <cell r="AA121">
            <v>1126.365</v>
          </cell>
          <cell r="AB121">
            <v>1126.6289999999999</v>
          </cell>
          <cell r="AC121">
            <v>1146.307</v>
          </cell>
          <cell r="AD121">
            <v>1182.425</v>
          </cell>
          <cell r="AE121">
            <v>1229.365</v>
          </cell>
          <cell r="AF121">
            <v>1278.5650000000001</v>
          </cell>
          <cell r="AG121">
            <v>1323.8019999999999</v>
          </cell>
          <cell r="AH121">
            <v>1363.6179999999999</v>
          </cell>
          <cell r="AI121">
            <v>1400.1189999999999</v>
          </cell>
          <cell r="AJ121">
            <v>1434.9949999999999</v>
          </cell>
          <cell r="AK121">
            <v>1471.1420000000001</v>
          </cell>
          <cell r="AL121">
            <v>1510.713</v>
          </cell>
          <cell r="AM121">
            <v>1554.182</v>
          </cell>
          <cell r="AN121">
            <v>1600.9469999999999</v>
          </cell>
          <cell r="AO121">
            <v>1650.924</v>
          </cell>
          <cell r="AP121">
            <v>1703.8050000000001</v>
          </cell>
          <cell r="AQ121">
            <v>1759.5340000000001</v>
          </cell>
          <cell r="AR121">
            <v>1817.979</v>
          </cell>
          <cell r="AS121">
            <v>1879.75</v>
          </cell>
          <cell r="AT121">
            <v>1946.376</v>
          </cell>
          <cell r="AU121">
            <v>2019.83</v>
          </cell>
          <cell r="AV121">
            <v>2101.4459999999999</v>
          </cell>
          <cell r="AW121">
            <v>2191.002</v>
          </cell>
          <cell r="AX121">
            <v>2287.6619999999998</v>
          </cell>
          <cell r="AY121">
            <v>2391.3960000000002</v>
          </cell>
          <cell r="AZ121">
            <v>2501.9789999999998</v>
          </cell>
          <cell r="BA121">
            <v>2618.6680000000001</v>
          </cell>
          <cell r="BB121">
            <v>2742.5320000000002</v>
          </cell>
          <cell r="BC121">
            <v>2872.0059999999999</v>
          </cell>
          <cell r="BD121">
            <v>3000.62</v>
          </cell>
          <cell r="BE121">
            <v>3119.864</v>
          </cell>
          <cell r="BF121">
            <v>3224.0030000000002</v>
          </cell>
          <cell r="BG121">
            <v>3309.91</v>
          </cell>
          <cell r="BH121">
            <v>3380.1640000000002</v>
          </cell>
          <cell r="BI121">
            <v>3441.8649999999998</v>
          </cell>
          <cell r="BJ121">
            <v>3505.3229999999999</v>
          </cell>
          <cell r="BK121">
            <v>3577.9609999999998</v>
          </cell>
          <cell r="BL121">
            <v>3662.422</v>
          </cell>
          <cell r="BM121">
            <v>3756.46</v>
          </cell>
          <cell r="BN121">
            <v>3856.6790000000001</v>
          </cell>
          <cell r="BO121">
            <v>3957.67</v>
          </cell>
          <cell r="BP121">
            <v>4055.6309999999999</v>
          </cell>
          <cell r="BQ121">
            <v>4149.6490000000003</v>
          </cell>
          <cell r="BR121">
            <v>4241.5730000000003</v>
          </cell>
          <cell r="BS121">
            <v>4333.5230000000001</v>
          </cell>
          <cell r="BT121">
            <v>4428.6390000000001</v>
          </cell>
          <cell r="BU121">
            <v>4529.1660000000002</v>
          </cell>
          <cell r="BV121">
            <v>4635.6540000000005</v>
          </cell>
          <cell r="BW121">
            <v>4747.2269999999999</v>
          </cell>
          <cell r="BX121">
            <v>4862.9790000000003</v>
          </cell>
        </row>
        <row r="122">
          <cell r="C122" t="str">
            <v>Syrian Arab Republic</v>
          </cell>
          <cell r="E122">
            <v>760</v>
          </cell>
          <cell r="F122" t="str">
            <v>Country</v>
          </cell>
          <cell r="G122">
            <v>922</v>
          </cell>
          <cell r="H122">
            <v>3413.3310000000001</v>
          </cell>
          <cell r="I122">
            <v>3498.5259999999998</v>
          </cell>
          <cell r="J122">
            <v>3591.0059999999999</v>
          </cell>
          <cell r="K122">
            <v>3690.7350000000001</v>
          </cell>
          <cell r="L122">
            <v>3797.6239999999998</v>
          </cell>
          <cell r="M122">
            <v>3911.5010000000002</v>
          </cell>
          <cell r="N122">
            <v>4032.069</v>
          </cell>
          <cell r="O122">
            <v>4158.9759999999997</v>
          </cell>
          <cell r="P122">
            <v>4291.8029999999999</v>
          </cell>
          <cell r="Q122">
            <v>4430.1009999999997</v>
          </cell>
          <cell r="R122">
            <v>4573.5119999999997</v>
          </cell>
          <cell r="S122">
            <v>4721.8959999999997</v>
          </cell>
          <cell r="T122">
            <v>4875.4219999999996</v>
          </cell>
          <cell r="U122">
            <v>5034.6459999999997</v>
          </cell>
          <cell r="V122">
            <v>5200.3360000000002</v>
          </cell>
          <cell r="W122">
            <v>5373.1369999999997</v>
          </cell>
          <cell r="X122">
            <v>5553.2460000000001</v>
          </cell>
          <cell r="Y122">
            <v>5740.71</v>
          </cell>
          <cell r="Z122">
            <v>5935.86</v>
          </cell>
          <cell r="AA122">
            <v>6139.0479999999998</v>
          </cell>
          <cell r="AB122">
            <v>6350.5410000000002</v>
          </cell>
          <cell r="AC122">
            <v>6570.857</v>
          </cell>
          <cell r="AD122">
            <v>6800.1409999999996</v>
          </cell>
          <cell r="AE122">
            <v>7037.8509999999997</v>
          </cell>
          <cell r="AF122">
            <v>7283.1769999999997</v>
          </cell>
          <cell r="AG122">
            <v>7535.7139999999999</v>
          </cell>
          <cell r="AH122">
            <v>7794.6620000000003</v>
          </cell>
          <cell r="AI122">
            <v>8060.6490000000003</v>
          </cell>
          <cell r="AJ122">
            <v>8336.4179999999997</v>
          </cell>
          <cell r="AK122">
            <v>8625.69</v>
          </cell>
          <cell r="AL122">
            <v>8930.7739999999994</v>
          </cell>
          <cell r="AM122">
            <v>9252.8510000000006</v>
          </cell>
          <cell r="AN122">
            <v>9590.2270000000008</v>
          </cell>
          <cell r="AO122">
            <v>9938.8469999999998</v>
          </cell>
          <cell r="AP122">
            <v>10293.049000000001</v>
          </cell>
          <cell r="AQ122">
            <v>10648.632</v>
          </cell>
          <cell r="AR122">
            <v>11004.272000000001</v>
          </cell>
          <cell r="AS122">
            <v>11360.852000000001</v>
          </cell>
          <cell r="AT122">
            <v>11719.071</v>
          </cell>
          <cell r="AU122">
            <v>12080.444</v>
          </cell>
          <cell r="AV122">
            <v>12446.171</v>
          </cell>
          <cell r="AW122">
            <v>12815.401</v>
          </cell>
          <cell r="AX122">
            <v>13187.663</v>
          </cell>
          <cell r="AY122">
            <v>13565.072</v>
          </cell>
          <cell r="AZ122">
            <v>13950.476000000001</v>
          </cell>
          <cell r="BA122">
            <v>14345.492</v>
          </cell>
          <cell r="BB122">
            <v>14754.142</v>
          </cell>
          <cell r="BC122">
            <v>15175.316000000001</v>
          </cell>
          <cell r="BD122">
            <v>15599.591</v>
          </cell>
          <cell r="BE122">
            <v>16013.985000000001</v>
          </cell>
          <cell r="BF122">
            <v>16410.848000000002</v>
          </cell>
          <cell r="BG122">
            <v>16766.561000000002</v>
          </cell>
          <cell r="BH122">
            <v>17084.632000000001</v>
          </cell>
          <cell r="BI122">
            <v>17415.214</v>
          </cell>
          <cell r="BJ122">
            <v>17827.825000000001</v>
          </cell>
          <cell r="BK122">
            <v>18361.175999999999</v>
          </cell>
          <cell r="BL122">
            <v>19059.258000000002</v>
          </cell>
          <cell r="BM122">
            <v>19878.254000000001</v>
          </cell>
          <cell r="BN122">
            <v>20664.038</v>
          </cell>
          <cell r="BO122">
            <v>21205.873</v>
          </cell>
          <cell r="BP122">
            <v>21362.528999999999</v>
          </cell>
          <cell r="BQ122">
            <v>21081.814999999999</v>
          </cell>
          <cell r="BR122">
            <v>20438.856</v>
          </cell>
          <cell r="BS122">
            <v>19578.460999999999</v>
          </cell>
          <cell r="BT122">
            <v>18710.710999999999</v>
          </cell>
          <cell r="BU122">
            <v>17997.407999999999</v>
          </cell>
          <cell r="BV122">
            <v>17465.575000000001</v>
          </cell>
          <cell r="BW122">
            <v>17095.678</v>
          </cell>
          <cell r="BX122">
            <v>16945.057000000001</v>
          </cell>
        </row>
        <row r="123">
          <cell r="C123" t="str">
            <v>Turkey</v>
          </cell>
          <cell r="E123">
            <v>792</v>
          </cell>
          <cell r="F123" t="str">
            <v>Country</v>
          </cell>
          <cell r="G123">
            <v>922</v>
          </cell>
          <cell r="H123">
            <v>21408.399000000001</v>
          </cell>
          <cell r="I123">
            <v>21951.215</v>
          </cell>
          <cell r="J123">
            <v>22508.953000000001</v>
          </cell>
          <cell r="K123">
            <v>23081.587</v>
          </cell>
          <cell r="L123">
            <v>23668.921999999999</v>
          </cell>
          <cell r="M123">
            <v>24270.6</v>
          </cell>
          <cell r="N123">
            <v>24886.128000000001</v>
          </cell>
          <cell r="O123">
            <v>25514.824000000001</v>
          </cell>
          <cell r="P123">
            <v>26155.927</v>
          </cell>
          <cell r="Q123">
            <v>26808.633000000002</v>
          </cell>
          <cell r="R123">
            <v>27472.345000000001</v>
          </cell>
          <cell r="S123">
            <v>28146.91</v>
          </cell>
          <cell r="T123">
            <v>28832.827000000001</v>
          </cell>
          <cell r="U123">
            <v>29531.365000000002</v>
          </cell>
          <cell r="V123">
            <v>30244.260999999999</v>
          </cell>
          <cell r="W123">
            <v>30972.993999999999</v>
          </cell>
          <cell r="X123">
            <v>31717.507000000001</v>
          </cell>
          <cell r="Y123">
            <v>32477.991999999998</v>
          </cell>
          <cell r="Z123">
            <v>33256.464</v>
          </cell>
          <cell r="AA123">
            <v>34055.39</v>
          </cell>
          <cell r="AB123">
            <v>34876.303</v>
          </cell>
          <cell r="AC123">
            <v>35720.599000000002</v>
          </cell>
          <cell r="AD123">
            <v>36587.260999999999</v>
          </cell>
          <cell r="AE123">
            <v>37472.336000000003</v>
          </cell>
          <cell r="AF123">
            <v>38370.283000000003</v>
          </cell>
          <cell r="AG123">
            <v>39277.258000000002</v>
          </cell>
          <cell r="AH123">
            <v>40189.567000000003</v>
          </cell>
          <cell r="AI123">
            <v>41108.296999999999</v>
          </cell>
          <cell r="AJ123">
            <v>42039.991999999998</v>
          </cell>
          <cell r="AK123">
            <v>42994.040999999997</v>
          </cell>
          <cell r="AL123">
            <v>43975.970999999998</v>
          </cell>
          <cell r="AM123">
            <v>44988.413999999997</v>
          </cell>
          <cell r="AN123">
            <v>46025.411</v>
          </cell>
          <cell r="AO123">
            <v>47073.472000000002</v>
          </cell>
          <cell r="AP123">
            <v>48114.154999999999</v>
          </cell>
          <cell r="AQ123">
            <v>49133.936999999998</v>
          </cell>
          <cell r="AR123">
            <v>50128.540999999997</v>
          </cell>
          <cell r="AS123">
            <v>51100.923999999999</v>
          </cell>
          <cell r="AT123">
            <v>52053.764999999999</v>
          </cell>
          <cell r="AU123">
            <v>52992.487000000001</v>
          </cell>
          <cell r="AV123">
            <v>53921.760000000002</v>
          </cell>
          <cell r="AW123">
            <v>54840.59</v>
          </cell>
          <cell r="AX123">
            <v>55748.947999999997</v>
          </cell>
          <cell r="AY123">
            <v>56653.803999999996</v>
          </cell>
          <cell r="AZ123">
            <v>57564.203999999998</v>
          </cell>
          <cell r="BA123">
            <v>58486.455999999998</v>
          </cell>
          <cell r="BB123">
            <v>59423.281999999999</v>
          </cell>
          <cell r="BC123">
            <v>60372.567999999999</v>
          </cell>
          <cell r="BD123">
            <v>61329.675999999999</v>
          </cell>
          <cell r="BE123">
            <v>62287.396999999997</v>
          </cell>
          <cell r="BF123">
            <v>63240.194000000003</v>
          </cell>
          <cell r="BG123">
            <v>64192.243000000002</v>
          </cell>
          <cell r="BH123">
            <v>65145.366999999998</v>
          </cell>
          <cell r="BI123">
            <v>66089.402000000002</v>
          </cell>
          <cell r="BJ123">
            <v>67010.929999999993</v>
          </cell>
          <cell r="BK123">
            <v>67903.468999999997</v>
          </cell>
          <cell r="BL123">
            <v>68756.81</v>
          </cell>
          <cell r="BM123">
            <v>69581.847999999998</v>
          </cell>
          <cell r="BN123">
            <v>70418.604000000007</v>
          </cell>
          <cell r="BO123">
            <v>71321.399000000005</v>
          </cell>
          <cell r="BP123">
            <v>72326.987999999998</v>
          </cell>
          <cell r="BQ123">
            <v>73443.25</v>
          </cell>
          <cell r="BR123">
            <v>74651.05</v>
          </cell>
          <cell r="BS123">
            <v>75925.462</v>
          </cell>
          <cell r="BT123">
            <v>77229.255999999994</v>
          </cell>
          <cell r="BU123">
            <v>78529.409</v>
          </cell>
          <cell r="BV123">
            <v>79827.870999999999</v>
          </cell>
          <cell r="BW123">
            <v>81116.45</v>
          </cell>
          <cell r="BX123">
            <v>82340.088000000003</v>
          </cell>
        </row>
        <row r="124">
          <cell r="C124" t="str">
            <v>United Arab Emirates</v>
          </cell>
          <cell r="E124">
            <v>784</v>
          </cell>
          <cell r="F124" t="str">
            <v>Country</v>
          </cell>
          <cell r="G124">
            <v>922</v>
          </cell>
          <cell r="H124">
            <v>69.587999999999994</v>
          </cell>
          <cell r="I124">
            <v>67.474999999999994</v>
          </cell>
          <cell r="J124">
            <v>69.242000000000004</v>
          </cell>
          <cell r="K124">
            <v>72.771000000000001</v>
          </cell>
          <cell r="L124">
            <v>76.528000000000006</v>
          </cell>
          <cell r="M124">
            <v>79.578000000000003</v>
          </cell>
          <cell r="N124">
            <v>81.625</v>
          </cell>
          <cell r="O124">
            <v>82.968000000000004</v>
          </cell>
          <cell r="P124">
            <v>84.424000000000007</v>
          </cell>
          <cell r="Q124">
            <v>87.188999999999993</v>
          </cell>
          <cell r="R124">
            <v>92.418000000000006</v>
          </cell>
          <cell r="S124">
            <v>100.79600000000001</v>
          </cell>
          <cell r="T124">
            <v>112.11799999999999</v>
          </cell>
          <cell r="U124">
            <v>125.13</v>
          </cell>
          <cell r="V124">
            <v>138.03899999999999</v>
          </cell>
          <cell r="W124">
            <v>149.857</v>
          </cell>
          <cell r="X124">
            <v>159.976</v>
          </cell>
          <cell r="Y124">
            <v>169.77099999999999</v>
          </cell>
          <cell r="Z124">
            <v>182.62700000000001</v>
          </cell>
          <cell r="AA124">
            <v>203.10599999999999</v>
          </cell>
          <cell r="AB124">
            <v>234.51400000000001</v>
          </cell>
          <cell r="AC124">
            <v>277.471</v>
          </cell>
          <cell r="AD124">
            <v>330.97399999999999</v>
          </cell>
          <cell r="AE124">
            <v>394.62400000000002</v>
          </cell>
          <cell r="AF124">
            <v>467.45100000000002</v>
          </cell>
          <cell r="AG124">
            <v>548.30100000000004</v>
          </cell>
          <cell r="AH124">
            <v>637.92200000000003</v>
          </cell>
          <cell r="AI124">
            <v>735.34400000000005</v>
          </cell>
          <cell r="AJ124">
            <v>835.50800000000004</v>
          </cell>
          <cell r="AK124">
            <v>931.74900000000002</v>
          </cell>
          <cell r="AL124">
            <v>1019.509</v>
          </cell>
          <cell r="AM124">
            <v>1096.6099999999999</v>
          </cell>
          <cell r="AN124">
            <v>1164.806</v>
          </cell>
          <cell r="AO124">
            <v>1228.4590000000001</v>
          </cell>
          <cell r="AP124">
            <v>1293.971</v>
          </cell>
          <cell r="AQ124">
            <v>1366.164</v>
          </cell>
          <cell r="AR124">
            <v>1446.38</v>
          </cell>
          <cell r="AS124">
            <v>1533.5360000000001</v>
          </cell>
          <cell r="AT124">
            <v>1627.066</v>
          </cell>
          <cell r="AU124">
            <v>1725.681</v>
          </cell>
          <cell r="AV124">
            <v>1828.432</v>
          </cell>
          <cell r="AW124">
            <v>1937.153</v>
          </cell>
          <cell r="AX124">
            <v>2052.8910000000001</v>
          </cell>
          <cell r="AY124">
            <v>2173.1390000000001</v>
          </cell>
          <cell r="AZ124">
            <v>2294.3850000000002</v>
          </cell>
          <cell r="BA124">
            <v>2415.09</v>
          </cell>
          <cell r="BB124">
            <v>2539.1260000000002</v>
          </cell>
          <cell r="BC124">
            <v>2671.3620000000001</v>
          </cell>
          <cell r="BD124">
            <v>2813.2139999999999</v>
          </cell>
          <cell r="BE124">
            <v>2966.0340000000001</v>
          </cell>
          <cell r="BF124">
            <v>3134.0619999999999</v>
          </cell>
          <cell r="BG124">
            <v>3302.7190000000001</v>
          </cell>
          <cell r="BH124">
            <v>3478.777</v>
          </cell>
          <cell r="BI124">
            <v>3711.9319999999998</v>
          </cell>
          <cell r="BJ124">
            <v>4068.57</v>
          </cell>
          <cell r="BK124">
            <v>4588.2250000000004</v>
          </cell>
          <cell r="BL124">
            <v>5300.174</v>
          </cell>
          <cell r="BM124">
            <v>6168.8379999999997</v>
          </cell>
          <cell r="BN124">
            <v>7089.4870000000001</v>
          </cell>
          <cell r="BO124">
            <v>7917.3720000000003</v>
          </cell>
          <cell r="BP124">
            <v>8549.9879999999994</v>
          </cell>
          <cell r="BQ124">
            <v>8946.777</v>
          </cell>
          <cell r="BR124">
            <v>9141.5959999999995</v>
          </cell>
          <cell r="BS124">
            <v>9197.91</v>
          </cell>
          <cell r="BT124">
            <v>9214.1749999999993</v>
          </cell>
          <cell r="BU124">
            <v>9262.9</v>
          </cell>
          <cell r="BV124">
            <v>9360.98</v>
          </cell>
          <cell r="BW124">
            <v>9487.2029999999995</v>
          </cell>
          <cell r="BX124">
            <v>9630.9590000000007</v>
          </cell>
        </row>
        <row r="125">
          <cell r="C125" t="str">
            <v>Yemen</v>
          </cell>
          <cell r="E125">
            <v>887</v>
          </cell>
          <cell r="F125" t="str">
            <v>Country</v>
          </cell>
          <cell r="G125">
            <v>922</v>
          </cell>
          <cell r="H125">
            <v>4661.2820000000002</v>
          </cell>
          <cell r="I125">
            <v>4717.152</v>
          </cell>
          <cell r="J125">
            <v>4776.1790000000001</v>
          </cell>
          <cell r="K125">
            <v>4837.6009999999997</v>
          </cell>
          <cell r="L125">
            <v>4900.848</v>
          </cell>
          <cell r="M125">
            <v>4965.5739999999996</v>
          </cell>
          <cell r="N125">
            <v>5031.6980000000003</v>
          </cell>
          <cell r="O125">
            <v>5099.3490000000002</v>
          </cell>
          <cell r="P125">
            <v>5168.87</v>
          </cell>
          <cell r="Q125">
            <v>5240.7190000000001</v>
          </cell>
          <cell r="R125">
            <v>5315.3549999999996</v>
          </cell>
          <cell r="S125">
            <v>5393.0360000000001</v>
          </cell>
          <cell r="T125">
            <v>5473.6710000000003</v>
          </cell>
          <cell r="U125">
            <v>5556.7659999999996</v>
          </cell>
          <cell r="V125">
            <v>5641.5969999999998</v>
          </cell>
          <cell r="W125">
            <v>5727.7510000000002</v>
          </cell>
          <cell r="X125">
            <v>5816.2470000000003</v>
          </cell>
          <cell r="Y125">
            <v>5907.8739999999998</v>
          </cell>
          <cell r="Z125">
            <v>6001.8519999999999</v>
          </cell>
          <cell r="AA125">
            <v>6097.0349999999999</v>
          </cell>
          <cell r="AB125">
            <v>6193.384</v>
          </cell>
          <cell r="AC125">
            <v>6290.3649999999998</v>
          </cell>
          <cell r="AD125">
            <v>6390.5739999999996</v>
          </cell>
          <cell r="AE125">
            <v>6500.8159999999998</v>
          </cell>
          <cell r="AF125">
            <v>6629.9989999999998</v>
          </cell>
          <cell r="AG125">
            <v>6784.6949999999997</v>
          </cell>
          <cell r="AH125">
            <v>6967.9409999999998</v>
          </cell>
          <cell r="AI125">
            <v>7178.6750000000002</v>
          </cell>
          <cell r="AJ125">
            <v>7414.1580000000004</v>
          </cell>
          <cell r="AK125">
            <v>7669.6940000000004</v>
          </cell>
          <cell r="AL125">
            <v>7941.8980000000001</v>
          </cell>
          <cell r="AM125">
            <v>8231.91</v>
          </cell>
          <cell r="AN125">
            <v>8541.6049999999996</v>
          </cell>
          <cell r="AO125">
            <v>8869.3700000000008</v>
          </cell>
          <cell r="AP125">
            <v>9213.0840000000007</v>
          </cell>
          <cell r="AQ125">
            <v>9572.1749999999993</v>
          </cell>
          <cell r="AR125">
            <v>9941.1090000000004</v>
          </cell>
          <cell r="AS125">
            <v>10322.043</v>
          </cell>
          <cell r="AT125">
            <v>10730.861999999999</v>
          </cell>
          <cell r="AU125">
            <v>11189.177</v>
          </cell>
          <cell r="AV125">
            <v>11709.993</v>
          </cell>
          <cell r="AW125">
            <v>12302.124</v>
          </cell>
          <cell r="AX125">
            <v>12954.155000000001</v>
          </cell>
          <cell r="AY125">
            <v>13634.075999999999</v>
          </cell>
          <cell r="AZ125">
            <v>14297.612999999999</v>
          </cell>
          <cell r="BA125">
            <v>14913.315000000001</v>
          </cell>
          <cell r="BB125">
            <v>15469.273999999999</v>
          </cell>
          <cell r="BC125">
            <v>15975.668</v>
          </cell>
          <cell r="BD125">
            <v>16450.310000000001</v>
          </cell>
          <cell r="BE125">
            <v>16921.149000000001</v>
          </cell>
          <cell r="BF125">
            <v>17409.072</v>
          </cell>
          <cell r="BG125">
            <v>17918.373</v>
          </cell>
          <cell r="BH125">
            <v>18443.690999999999</v>
          </cell>
          <cell r="BI125">
            <v>18985</v>
          </cell>
          <cell r="BJ125">
            <v>19540.098000000002</v>
          </cell>
          <cell r="BK125">
            <v>20107.409</v>
          </cell>
          <cell r="BL125">
            <v>20687.646000000001</v>
          </cell>
          <cell r="BM125">
            <v>21282.514999999999</v>
          </cell>
          <cell r="BN125">
            <v>21892.146000000001</v>
          </cell>
          <cell r="BO125">
            <v>22516.46</v>
          </cell>
          <cell r="BP125">
            <v>23154.855</v>
          </cell>
          <cell r="BQ125">
            <v>23807.588</v>
          </cell>
          <cell r="BR125">
            <v>24473.178</v>
          </cell>
          <cell r="BS125">
            <v>25147.109</v>
          </cell>
          <cell r="BT125">
            <v>25823.485000000001</v>
          </cell>
          <cell r="BU125">
            <v>26497.888999999999</v>
          </cell>
          <cell r="BV125">
            <v>27168.207999999999</v>
          </cell>
          <cell r="BW125">
            <v>27834.819</v>
          </cell>
          <cell r="BX125">
            <v>28498.683000000001</v>
          </cell>
        </row>
        <row r="126">
          <cell r="C126" t="str">
            <v>CENTRAL AND SOUTHERN ASIA</v>
          </cell>
          <cell r="E126">
            <v>921</v>
          </cell>
          <cell r="F126" t="str">
            <v>SDG region</v>
          </cell>
          <cell r="G126">
            <v>1828</v>
          </cell>
          <cell r="H126">
            <v>510788.11800000002</v>
          </cell>
          <cell r="I126">
            <v>519324.13500000001</v>
          </cell>
          <cell r="J126">
            <v>528392.14399999997</v>
          </cell>
          <cell r="K126">
            <v>537978.37100000004</v>
          </cell>
          <cell r="L126">
            <v>548072.05700000003</v>
          </cell>
          <cell r="M126">
            <v>558665.52500000002</v>
          </cell>
          <cell r="N126">
            <v>569754.397</v>
          </cell>
          <cell r="O126">
            <v>581337.19999999995</v>
          </cell>
          <cell r="P126">
            <v>593415.27399999998</v>
          </cell>
          <cell r="Q126">
            <v>605991.42700000003</v>
          </cell>
          <cell r="R126">
            <v>619067.701</v>
          </cell>
          <cell r="S126">
            <v>632642.37699999998</v>
          </cell>
          <cell r="T126">
            <v>646707.74699999997</v>
          </cell>
          <cell r="U126">
            <v>661248.91</v>
          </cell>
          <cell r="V126">
            <v>676246.821</v>
          </cell>
          <cell r="W126">
            <v>691686.86499999999</v>
          </cell>
          <cell r="X126">
            <v>707574.24399999995</v>
          </cell>
          <cell r="Y126">
            <v>723911.67200000002</v>
          </cell>
          <cell r="Z126">
            <v>740680.88800000004</v>
          </cell>
          <cell r="AA126">
            <v>757859.07700000005</v>
          </cell>
          <cell r="AB126">
            <v>775436.804</v>
          </cell>
          <cell r="AC126">
            <v>793405.022</v>
          </cell>
          <cell r="AD126">
            <v>811788.80299999996</v>
          </cell>
          <cell r="AE126">
            <v>830656.005</v>
          </cell>
          <cell r="AF126">
            <v>850097.30200000003</v>
          </cell>
          <cell r="AG126">
            <v>870180.42200000002</v>
          </cell>
          <cell r="AH126">
            <v>890916.00399999996</v>
          </cell>
          <cell r="AI126">
            <v>912291.56599999999</v>
          </cell>
          <cell r="AJ126">
            <v>934320.25300000003</v>
          </cell>
          <cell r="AK126">
            <v>957010.82700000005</v>
          </cell>
          <cell r="AL126">
            <v>980358.973</v>
          </cell>
          <cell r="AM126">
            <v>1004358.402</v>
          </cell>
          <cell r="AN126">
            <v>1028976.458</v>
          </cell>
          <cell r="AO126">
            <v>1054145.192</v>
          </cell>
          <cell r="AP126">
            <v>1079776.2749999999</v>
          </cell>
          <cell r="AQ126">
            <v>1105791.2779999999</v>
          </cell>
          <cell r="AR126">
            <v>1132153.1910000001</v>
          </cell>
          <cell r="AS126">
            <v>1158827.8940000001</v>
          </cell>
          <cell r="AT126">
            <v>1185742.6950000001</v>
          </cell>
          <cell r="AU126">
            <v>1212816.966</v>
          </cell>
          <cell r="AV126">
            <v>1239984.314</v>
          </cell>
          <cell r="AW126">
            <v>1267202.263</v>
          </cell>
          <cell r="AX126">
            <v>1294448.139</v>
          </cell>
          <cell r="AY126">
            <v>1321702.628</v>
          </cell>
          <cell r="AZ126">
            <v>1348955.983</v>
          </cell>
          <cell r="BA126">
            <v>1376199.5560000001</v>
          </cell>
          <cell r="BB126">
            <v>1403396.4380000001</v>
          </cell>
          <cell r="BC126">
            <v>1430528.3470000001</v>
          </cell>
          <cell r="BD126">
            <v>1457628.3589999999</v>
          </cell>
          <cell r="BE126">
            <v>1484748.345</v>
          </cell>
          <cell r="BF126">
            <v>1511915.3289999999</v>
          </cell>
          <cell r="BG126">
            <v>1539136.2709999999</v>
          </cell>
          <cell r="BH126">
            <v>1566364.5190000001</v>
          </cell>
          <cell r="BI126">
            <v>1593507.3219999999</v>
          </cell>
          <cell r="BJ126">
            <v>1620441.544</v>
          </cell>
          <cell r="BK126">
            <v>1647073.8089999999</v>
          </cell>
          <cell r="BL126">
            <v>1673377.8740000001</v>
          </cell>
          <cell r="BM126">
            <v>1699363.6540000001</v>
          </cell>
          <cell r="BN126">
            <v>1725021.2039999999</v>
          </cell>
          <cell r="BO126">
            <v>1750350.925</v>
          </cell>
          <cell r="BP126">
            <v>1775360.541</v>
          </cell>
          <cell r="BQ126">
            <v>1800024.3330000001</v>
          </cell>
          <cell r="BR126">
            <v>1824353.199</v>
          </cell>
          <cell r="BS126">
            <v>1848437.7660000001</v>
          </cell>
          <cell r="BT126">
            <v>1872400.986</v>
          </cell>
          <cell r="BU126">
            <v>1896327.3189999999</v>
          </cell>
          <cell r="BV126">
            <v>1920242.5290000001</v>
          </cell>
          <cell r="BW126">
            <v>1944108.564</v>
          </cell>
          <cell r="BX126">
            <v>1967865.5719999999</v>
          </cell>
        </row>
        <row r="127">
          <cell r="C127" t="str">
            <v>Central Asia</v>
          </cell>
          <cell r="E127">
            <v>5500</v>
          </cell>
          <cell r="F127" t="str">
            <v>Subregion</v>
          </cell>
          <cell r="G127">
            <v>921</v>
          </cell>
          <cell r="H127">
            <v>17449.545999999998</v>
          </cell>
          <cell r="I127">
            <v>17863.987000000001</v>
          </cell>
          <cell r="J127">
            <v>18365.995999999999</v>
          </cell>
          <cell r="K127">
            <v>18942.183000000001</v>
          </cell>
          <cell r="L127">
            <v>19581.038</v>
          </cell>
          <cell r="M127">
            <v>20272.967000000001</v>
          </cell>
          <cell r="N127">
            <v>21010.348000000002</v>
          </cell>
          <cell r="O127">
            <v>21787.447</v>
          </cell>
          <cell r="P127">
            <v>22600.218000000001</v>
          </cell>
          <cell r="Q127">
            <v>23445.780999999999</v>
          </cell>
          <cell r="R127">
            <v>24321.263999999999</v>
          </cell>
          <cell r="S127">
            <v>25222.278999999999</v>
          </cell>
          <cell r="T127">
            <v>26141.983</v>
          </cell>
          <cell r="U127">
            <v>27070.325000000001</v>
          </cell>
          <cell r="V127">
            <v>27995.629000000001</v>
          </cell>
          <cell r="W127">
            <v>28908.816999999999</v>
          </cell>
          <cell r="X127">
            <v>29805.688999999998</v>
          </cell>
          <cell r="Y127">
            <v>30685.307000000001</v>
          </cell>
          <cell r="Z127">
            <v>31546.138999999999</v>
          </cell>
          <cell r="AA127">
            <v>32388.048999999999</v>
          </cell>
          <cell r="AB127">
            <v>33211.589</v>
          </cell>
          <cell r="AC127">
            <v>34015.794000000002</v>
          </cell>
          <cell r="AD127">
            <v>34801.79</v>
          </cell>
          <cell r="AE127">
            <v>35575.339999999997</v>
          </cell>
          <cell r="AF127">
            <v>36344.266000000003</v>
          </cell>
          <cell r="AG127">
            <v>37115.087</v>
          </cell>
          <cell r="AH127">
            <v>37889.498</v>
          </cell>
          <cell r="AI127">
            <v>38668.595999999998</v>
          </cell>
          <cell r="AJ127">
            <v>39457.716999999997</v>
          </cell>
          <cell r="AK127">
            <v>40262.841999999997</v>
          </cell>
          <cell r="AL127">
            <v>41088.154999999999</v>
          </cell>
          <cell r="AM127">
            <v>41931.86</v>
          </cell>
          <cell r="AN127">
            <v>42792.035000000003</v>
          </cell>
          <cell r="AO127">
            <v>43671.902999999998</v>
          </cell>
          <cell r="AP127">
            <v>44575.269</v>
          </cell>
          <cell r="AQ127">
            <v>45501.79</v>
          </cell>
          <cell r="AR127">
            <v>46455.044000000002</v>
          </cell>
          <cell r="AS127">
            <v>47425.572999999997</v>
          </cell>
          <cell r="AT127">
            <v>48384.226999999999</v>
          </cell>
          <cell r="AU127">
            <v>49292.56</v>
          </cell>
          <cell r="AV127">
            <v>50122.900999999998</v>
          </cell>
          <cell r="AW127">
            <v>50867.612000000001</v>
          </cell>
          <cell r="AX127">
            <v>51534.455000000002</v>
          </cell>
          <cell r="AY127">
            <v>52131.078000000001</v>
          </cell>
          <cell r="AZ127">
            <v>52671.5</v>
          </cell>
          <cell r="BA127">
            <v>53169.135999999999</v>
          </cell>
          <cell r="BB127">
            <v>53625.328000000001</v>
          </cell>
          <cell r="BC127">
            <v>54045.658000000003</v>
          </cell>
          <cell r="BD127">
            <v>54453.815000000002</v>
          </cell>
          <cell r="BE127">
            <v>54879.536999999997</v>
          </cell>
          <cell r="BF127">
            <v>55345.86</v>
          </cell>
          <cell r="BG127">
            <v>55864.2</v>
          </cell>
          <cell r="BH127">
            <v>56435.665000000001</v>
          </cell>
          <cell r="BI127">
            <v>57059.962</v>
          </cell>
          <cell r="BJ127">
            <v>57732.417000000001</v>
          </cell>
          <cell r="BK127">
            <v>58449.91</v>
          </cell>
          <cell r="BL127">
            <v>59212.417999999998</v>
          </cell>
          <cell r="BM127">
            <v>60024.02</v>
          </cell>
          <cell r="BN127">
            <v>60889.781000000003</v>
          </cell>
          <cell r="BO127">
            <v>61815.89</v>
          </cell>
          <cell r="BP127">
            <v>62805.088000000003</v>
          </cell>
          <cell r="BQ127">
            <v>63857.197</v>
          </cell>
          <cell r="BR127">
            <v>64965.249000000003</v>
          </cell>
          <cell r="BS127">
            <v>66116.198000000004</v>
          </cell>
          <cell r="BT127">
            <v>67292.695999999996</v>
          </cell>
          <cell r="BU127">
            <v>68480.009000000005</v>
          </cell>
          <cell r="BV127">
            <v>69672.929000000004</v>
          </cell>
          <cell r="BW127">
            <v>70867.471999999994</v>
          </cell>
          <cell r="BX127">
            <v>72051.627999999997</v>
          </cell>
        </row>
        <row r="128">
          <cell r="C128" t="str">
            <v>Kazakhstan</v>
          </cell>
          <cell r="E128">
            <v>398</v>
          </cell>
          <cell r="F128" t="str">
            <v>Country</v>
          </cell>
          <cell r="G128">
            <v>5500</v>
          </cell>
          <cell r="H128">
            <v>6702.991</v>
          </cell>
          <cell r="I128">
            <v>6811.5659999999998</v>
          </cell>
          <cell r="J128">
            <v>7006.6459999999997</v>
          </cell>
          <cell r="K128">
            <v>7269.05</v>
          </cell>
          <cell r="L128">
            <v>7582.2979999999998</v>
          </cell>
          <cell r="M128">
            <v>7932.5209999999997</v>
          </cell>
          <cell r="N128">
            <v>8308.5959999999995</v>
          </cell>
          <cell r="O128">
            <v>8702.0779999999995</v>
          </cell>
          <cell r="P128">
            <v>9106.8970000000008</v>
          </cell>
          <cell r="Q128">
            <v>9518.9140000000007</v>
          </cell>
          <cell r="R128">
            <v>9934.5630000000001</v>
          </cell>
          <cell r="S128">
            <v>10349.414000000001</v>
          </cell>
          <cell r="T128">
            <v>10756.928</v>
          </cell>
          <cell r="U128">
            <v>11147.859</v>
          </cell>
          <cell r="V128">
            <v>11511.847</v>
          </cell>
          <cell r="W128">
            <v>11841.92</v>
          </cell>
          <cell r="X128">
            <v>12132.558999999999</v>
          </cell>
          <cell r="Y128">
            <v>12385.71</v>
          </cell>
          <cell r="Z128">
            <v>12611.425999999999</v>
          </cell>
          <cell r="AA128">
            <v>12824.606</v>
          </cell>
          <cell r="AB128">
            <v>13036.138999999999</v>
          </cell>
          <cell r="AC128">
            <v>13250.213</v>
          </cell>
          <cell r="AD128">
            <v>13463.985000000001</v>
          </cell>
          <cell r="AE128">
            <v>13673.007</v>
          </cell>
          <cell r="AF128">
            <v>13869.975</v>
          </cell>
          <cell r="AG128">
            <v>14050.226000000001</v>
          </cell>
          <cell r="AH128">
            <v>14212.145</v>
          </cell>
          <cell r="AI128">
            <v>14359.624</v>
          </cell>
          <cell r="AJ128">
            <v>14499.951999999999</v>
          </cell>
          <cell r="AK128">
            <v>14643.133</v>
          </cell>
          <cell r="AL128">
            <v>14796.174000000001</v>
          </cell>
          <cell r="AM128">
            <v>14958.907999999999</v>
          </cell>
          <cell r="AN128">
            <v>15128.087</v>
          </cell>
          <cell r="AO128">
            <v>15303.308999999999</v>
          </cell>
          <cell r="AP128">
            <v>15483.419</v>
          </cell>
          <cell r="AQ128">
            <v>15665.594999999999</v>
          </cell>
          <cell r="AR128">
            <v>15852.525</v>
          </cell>
          <cell r="AS128">
            <v>16039.251</v>
          </cell>
          <cell r="AT128">
            <v>16206.002</v>
          </cell>
          <cell r="AU128">
            <v>16326.844999999999</v>
          </cell>
          <cell r="AV128">
            <v>16383.887000000001</v>
          </cell>
          <cell r="AW128">
            <v>16373.3</v>
          </cell>
          <cell r="AX128">
            <v>16302.806</v>
          </cell>
          <cell r="AY128">
            <v>16181.155000000001</v>
          </cell>
          <cell r="AZ128">
            <v>16022.222</v>
          </cell>
          <cell r="BA128">
            <v>15839.362999999999</v>
          </cell>
          <cell r="BB128">
            <v>15631.927</v>
          </cell>
          <cell r="BC128">
            <v>15406.003000000001</v>
          </cell>
          <cell r="BD128">
            <v>15190.156999999999</v>
          </cell>
          <cell r="BE128">
            <v>15020.571</v>
          </cell>
          <cell r="BF128">
            <v>14922.718999999999</v>
          </cell>
          <cell r="BG128">
            <v>14910.205</v>
          </cell>
          <cell r="BH128">
            <v>14976.188</v>
          </cell>
          <cell r="BI128">
            <v>15100.040999999999</v>
          </cell>
          <cell r="BJ128">
            <v>15250.014999999999</v>
          </cell>
          <cell r="BK128">
            <v>15402.807000000001</v>
          </cell>
          <cell r="BL128">
            <v>15551.268</v>
          </cell>
          <cell r="BM128">
            <v>15702.103999999999</v>
          </cell>
          <cell r="BN128">
            <v>15862.123</v>
          </cell>
          <cell r="BO128">
            <v>16043.007</v>
          </cell>
          <cell r="BP128">
            <v>16252.279</v>
          </cell>
          <cell r="BQ128">
            <v>16490.669999999998</v>
          </cell>
          <cell r="BR128">
            <v>16751.525000000001</v>
          </cell>
          <cell r="BS128">
            <v>17026.116999999998</v>
          </cell>
          <cell r="BT128">
            <v>17302.615000000002</v>
          </cell>
          <cell r="BU128">
            <v>17572.016</v>
          </cell>
          <cell r="BV128">
            <v>17830.901000000002</v>
          </cell>
          <cell r="BW128">
            <v>18080.019</v>
          </cell>
          <cell r="BX128">
            <v>18319.617999999999</v>
          </cell>
        </row>
        <row r="129">
          <cell r="C129" t="str">
            <v>Kyrgyzstan</v>
          </cell>
          <cell r="E129">
            <v>417</v>
          </cell>
          <cell r="F129" t="str">
            <v>Country</v>
          </cell>
          <cell r="G129">
            <v>5500</v>
          </cell>
          <cell r="H129">
            <v>1740.0039999999999</v>
          </cell>
          <cell r="I129">
            <v>1765.556</v>
          </cell>
          <cell r="J129">
            <v>1795.1279999999999</v>
          </cell>
          <cell r="K129">
            <v>1828.1949999999999</v>
          </cell>
          <cell r="L129">
            <v>1864.4960000000001</v>
          </cell>
          <cell r="M129">
            <v>1904.0619999999999</v>
          </cell>
          <cell r="N129">
            <v>1947.22</v>
          </cell>
          <cell r="O129">
            <v>1994.5619999999999</v>
          </cell>
          <cell r="P129">
            <v>2046.9159999999999</v>
          </cell>
          <cell r="Q129">
            <v>2105.1819999999998</v>
          </cell>
          <cell r="R129">
            <v>2170.0940000000001</v>
          </cell>
          <cell r="S129">
            <v>2241.7530000000002</v>
          </cell>
          <cell r="T129">
            <v>2319.453</v>
          </cell>
          <cell r="U129">
            <v>2401.4589999999998</v>
          </cell>
          <cell r="V129">
            <v>2485.4250000000002</v>
          </cell>
          <cell r="W129">
            <v>2569.4520000000002</v>
          </cell>
          <cell r="X129">
            <v>2653.0419999999999</v>
          </cell>
          <cell r="Y129">
            <v>2736.0709999999999</v>
          </cell>
          <cell r="Z129">
            <v>2817.3229999999999</v>
          </cell>
          <cell r="AA129">
            <v>2895.5320000000002</v>
          </cell>
          <cell r="AB129">
            <v>2969.8510000000001</v>
          </cell>
          <cell r="AC129">
            <v>3039.76</v>
          </cell>
          <cell r="AD129">
            <v>3105.5279999999998</v>
          </cell>
          <cell r="AE129">
            <v>3168.2910000000002</v>
          </cell>
          <cell r="AF129">
            <v>3229.6869999999999</v>
          </cell>
          <cell r="AG129">
            <v>3291.078</v>
          </cell>
          <cell r="AH129">
            <v>3352.6190000000001</v>
          </cell>
          <cell r="AI129">
            <v>3414.3240000000001</v>
          </cell>
          <cell r="AJ129">
            <v>3477.2269999999999</v>
          </cell>
          <cell r="AK129">
            <v>3542.5169999999998</v>
          </cell>
          <cell r="AL129">
            <v>3610.97</v>
          </cell>
          <cell r="AM129">
            <v>3682.6559999999999</v>
          </cell>
          <cell r="AN129">
            <v>3757.1610000000001</v>
          </cell>
          <cell r="AO129">
            <v>3834.143</v>
          </cell>
          <cell r="AP129">
            <v>3913.027</v>
          </cell>
          <cell r="AQ129">
            <v>3993.0709999999999</v>
          </cell>
          <cell r="AR129">
            <v>4075.1579999999999</v>
          </cell>
          <cell r="AS129">
            <v>4158.5820000000003</v>
          </cell>
          <cell r="AT129">
            <v>4239.2740000000003</v>
          </cell>
          <cell r="AU129">
            <v>4311.8540000000003</v>
          </cell>
          <cell r="AV129">
            <v>4372.8850000000002</v>
          </cell>
          <cell r="AW129">
            <v>4419.6270000000004</v>
          </cell>
          <cell r="AX129">
            <v>4454.1930000000002</v>
          </cell>
          <cell r="AY129">
            <v>4483.8440000000001</v>
          </cell>
          <cell r="AZ129">
            <v>4518.8069999999998</v>
          </cell>
          <cell r="BA129">
            <v>4566.0959999999995</v>
          </cell>
          <cell r="BB129">
            <v>4629.402</v>
          </cell>
          <cell r="BC129">
            <v>4705.6450000000004</v>
          </cell>
          <cell r="BD129">
            <v>4786.777</v>
          </cell>
          <cell r="BE129">
            <v>4861.125</v>
          </cell>
          <cell r="BF129">
            <v>4920.7120000000004</v>
          </cell>
          <cell r="BG129">
            <v>4962.8360000000002</v>
          </cell>
          <cell r="BH129">
            <v>4991.4830000000002</v>
          </cell>
          <cell r="BI129">
            <v>5013.53</v>
          </cell>
          <cell r="BJ129">
            <v>5039.0050000000001</v>
          </cell>
          <cell r="BK129">
            <v>5075.3469999999998</v>
          </cell>
          <cell r="BL129">
            <v>5124.3819999999996</v>
          </cell>
          <cell r="BM129">
            <v>5184.3919999999998</v>
          </cell>
          <cell r="BN129">
            <v>5254.9790000000003</v>
          </cell>
          <cell r="BO129">
            <v>5334.71</v>
          </cell>
          <cell r="BP129">
            <v>5422.2929999999997</v>
          </cell>
          <cell r="BQ129">
            <v>5517.9219999999996</v>
          </cell>
          <cell r="BR129">
            <v>5621.576</v>
          </cell>
          <cell r="BS129">
            <v>5731.3029999999999</v>
          </cell>
          <cell r="BT129">
            <v>5844.5320000000002</v>
          </cell>
          <cell r="BU129">
            <v>5959.1210000000001</v>
          </cell>
          <cell r="BV129">
            <v>6074.33</v>
          </cell>
          <cell r="BW129">
            <v>6189.7330000000002</v>
          </cell>
          <cell r="BX129">
            <v>6304.03</v>
          </cell>
        </row>
        <row r="130">
          <cell r="C130" t="str">
            <v>Tajikistan</v>
          </cell>
          <cell r="E130">
            <v>762</v>
          </cell>
          <cell r="F130" t="str">
            <v>Country</v>
          </cell>
          <cell r="G130">
            <v>5500</v>
          </cell>
          <cell r="H130">
            <v>1531.501</v>
          </cell>
          <cell r="I130">
            <v>1584.989</v>
          </cell>
          <cell r="J130">
            <v>1637.95</v>
          </cell>
          <cell r="K130">
            <v>1690.3409999999999</v>
          </cell>
          <cell r="L130">
            <v>1742.3489999999999</v>
          </cell>
          <cell r="M130">
            <v>1794.4159999999999</v>
          </cell>
          <cell r="N130">
            <v>1847.249</v>
          </cell>
          <cell r="O130">
            <v>1901.7750000000001</v>
          </cell>
          <cell r="P130">
            <v>1959.143</v>
          </cell>
          <cell r="Q130">
            <v>2020.56</v>
          </cell>
          <cell r="R130">
            <v>2087.049</v>
          </cell>
          <cell r="S130">
            <v>2159.134</v>
          </cell>
          <cell r="T130">
            <v>2236.5740000000001</v>
          </cell>
          <cell r="U130">
            <v>2318.248</v>
          </cell>
          <cell r="V130">
            <v>2402.4769999999999</v>
          </cell>
          <cell r="W130">
            <v>2487.9760000000001</v>
          </cell>
          <cell r="X130">
            <v>2574.511</v>
          </cell>
          <cell r="Y130">
            <v>2662.2530000000002</v>
          </cell>
          <cell r="Z130">
            <v>2750.9279999999999</v>
          </cell>
          <cell r="AA130">
            <v>2840.2620000000002</v>
          </cell>
          <cell r="AB130">
            <v>2930.107</v>
          </cell>
          <cell r="AC130">
            <v>3020.413</v>
          </cell>
          <cell r="AD130">
            <v>3111.2820000000002</v>
          </cell>
          <cell r="AE130">
            <v>3203.029</v>
          </cell>
          <cell r="AF130">
            <v>3296.1030000000001</v>
          </cell>
          <cell r="AG130">
            <v>3390.9409999999998</v>
          </cell>
          <cell r="AH130">
            <v>3487.652</v>
          </cell>
          <cell r="AI130">
            <v>3586.5149999999999</v>
          </cell>
          <cell r="AJ130">
            <v>3688.4189999999999</v>
          </cell>
          <cell r="AK130">
            <v>3794.451</v>
          </cell>
          <cell r="AL130">
            <v>3905.4459999999999</v>
          </cell>
          <cell r="AM130">
            <v>4020.8209999999999</v>
          </cell>
          <cell r="AN130">
            <v>4140.2950000000001</v>
          </cell>
          <cell r="AO130">
            <v>4265.2740000000003</v>
          </cell>
          <cell r="AP130">
            <v>4397.5619999999999</v>
          </cell>
          <cell r="AQ130">
            <v>4537.8220000000001</v>
          </cell>
          <cell r="AR130">
            <v>4687.3249999999998</v>
          </cell>
          <cell r="AS130">
            <v>4844.0020000000004</v>
          </cell>
          <cell r="AT130">
            <v>5001.1689999999999</v>
          </cell>
          <cell r="AU130">
            <v>5149.8739999999998</v>
          </cell>
          <cell r="AV130">
            <v>5283.8140000000003</v>
          </cell>
          <cell r="AW130">
            <v>5400.63</v>
          </cell>
          <cell r="AX130">
            <v>5502.4939999999997</v>
          </cell>
          <cell r="AY130">
            <v>5593.3149999999996</v>
          </cell>
          <cell r="AZ130">
            <v>5679.1670000000004</v>
          </cell>
          <cell r="BA130">
            <v>5764.81</v>
          </cell>
          <cell r="BB130">
            <v>5851.3549999999996</v>
          </cell>
          <cell r="BC130">
            <v>5938.4049999999997</v>
          </cell>
          <cell r="BD130">
            <v>6027.3879999999999</v>
          </cell>
          <cell r="BE130">
            <v>6119.6610000000001</v>
          </cell>
          <cell r="BF130">
            <v>6216.3410000000003</v>
          </cell>
          <cell r="BG130">
            <v>6318.5129999999999</v>
          </cell>
          <cell r="BH130">
            <v>6426.8670000000002</v>
          </cell>
          <cell r="BI130">
            <v>6541.5469999999996</v>
          </cell>
          <cell r="BJ130">
            <v>6662.3890000000001</v>
          </cell>
          <cell r="BK130">
            <v>6789.3209999999999</v>
          </cell>
          <cell r="BL130">
            <v>6922.5870000000004</v>
          </cell>
          <cell r="BM130">
            <v>7062.6719999999996</v>
          </cell>
          <cell r="BN130">
            <v>7209.93</v>
          </cell>
          <cell r="BO130">
            <v>7364.7529999999997</v>
          </cell>
          <cell r="BP130">
            <v>7527.3940000000002</v>
          </cell>
          <cell r="BQ130">
            <v>7697.51</v>
          </cell>
          <cell r="BR130">
            <v>7874.835</v>
          </cell>
          <cell r="BS130">
            <v>8059.7690000000002</v>
          </cell>
          <cell r="BT130">
            <v>8252.8330000000005</v>
          </cell>
          <cell r="BU130">
            <v>8454.0280000000002</v>
          </cell>
          <cell r="BV130">
            <v>8663.5789999999997</v>
          </cell>
          <cell r="BW130">
            <v>8880.268</v>
          </cell>
          <cell r="BX130">
            <v>9100.8349999999991</v>
          </cell>
        </row>
        <row r="131">
          <cell r="C131" t="str">
            <v>Turkmenistan</v>
          </cell>
          <cell r="E131">
            <v>795</v>
          </cell>
          <cell r="F131" t="str">
            <v>Country</v>
          </cell>
          <cell r="G131">
            <v>5500</v>
          </cell>
          <cell r="H131">
            <v>1210.9939999999999</v>
          </cell>
          <cell r="I131">
            <v>1231.829</v>
          </cell>
          <cell r="J131">
            <v>1258.3879999999999</v>
          </cell>
          <cell r="K131">
            <v>1289.828</v>
          </cell>
          <cell r="L131">
            <v>1325.4359999999999</v>
          </cell>
          <cell r="M131">
            <v>1364.635</v>
          </cell>
          <cell r="N131">
            <v>1406.9829999999999</v>
          </cell>
          <cell r="O131">
            <v>1452.174</v>
          </cell>
          <cell r="P131">
            <v>1500.0170000000001</v>
          </cell>
          <cell r="Q131">
            <v>1550.4110000000001</v>
          </cell>
          <cell r="R131">
            <v>1603.258</v>
          </cell>
          <cell r="S131">
            <v>1658.3620000000001</v>
          </cell>
          <cell r="T131">
            <v>1715.4079999999999</v>
          </cell>
          <cell r="U131">
            <v>1773.8530000000001</v>
          </cell>
          <cell r="V131">
            <v>1833.0640000000001</v>
          </cell>
          <cell r="W131">
            <v>1892.5989999999999</v>
          </cell>
          <cell r="X131">
            <v>1952.1410000000001</v>
          </cell>
          <cell r="Y131">
            <v>2011.7639999999999</v>
          </cell>
          <cell r="Z131">
            <v>2071.79</v>
          </cell>
          <cell r="AA131">
            <v>2132.8020000000001</v>
          </cell>
          <cell r="AB131">
            <v>2195.1750000000002</v>
          </cell>
          <cell r="AC131">
            <v>2258.9650000000001</v>
          </cell>
          <cell r="AD131">
            <v>2324.0149999999999</v>
          </cell>
          <cell r="AE131">
            <v>2390.2159999999999</v>
          </cell>
          <cell r="AF131">
            <v>2457.384</v>
          </cell>
          <cell r="AG131">
            <v>2525.364</v>
          </cell>
          <cell r="AH131">
            <v>2594.3130000000001</v>
          </cell>
          <cell r="AI131">
            <v>2664.2579999999998</v>
          </cell>
          <cell r="AJ131">
            <v>2734.895</v>
          </cell>
          <cell r="AK131">
            <v>2805.819</v>
          </cell>
          <cell r="AL131">
            <v>2876.808</v>
          </cell>
          <cell r="AM131">
            <v>2947.779</v>
          </cell>
          <cell r="AN131">
            <v>3019.0659999999998</v>
          </cell>
          <cell r="AO131">
            <v>3091.5129999999999</v>
          </cell>
          <cell r="AP131">
            <v>3166.221</v>
          </cell>
          <cell r="AQ131">
            <v>3244.018</v>
          </cell>
          <cell r="AR131">
            <v>3324.4580000000001</v>
          </cell>
          <cell r="AS131">
            <v>3407.3209999999999</v>
          </cell>
          <cell r="AT131">
            <v>3493.895</v>
          </cell>
          <cell r="AU131">
            <v>3585.8679999999999</v>
          </cell>
          <cell r="AV131">
            <v>3683.9670000000001</v>
          </cell>
          <cell r="AW131">
            <v>3789.1849999999999</v>
          </cell>
          <cell r="AX131">
            <v>3899.8429999999998</v>
          </cell>
          <cell r="AY131">
            <v>4010.7890000000002</v>
          </cell>
          <cell r="AZ131">
            <v>4115.1019999999999</v>
          </cell>
          <cell r="BA131">
            <v>4207.8410000000003</v>
          </cell>
          <cell r="BB131">
            <v>4287.3459999999995</v>
          </cell>
          <cell r="BC131">
            <v>4355.116</v>
          </cell>
          <cell r="BD131">
            <v>4413.4790000000003</v>
          </cell>
          <cell r="BE131">
            <v>4466.1350000000002</v>
          </cell>
          <cell r="BF131">
            <v>4516.1329999999998</v>
          </cell>
          <cell r="BG131">
            <v>4564.0829999999996</v>
          </cell>
          <cell r="BH131">
            <v>4610.0050000000001</v>
          </cell>
          <cell r="BI131">
            <v>4655.7430000000004</v>
          </cell>
          <cell r="BJ131">
            <v>4703.4009999999998</v>
          </cell>
          <cell r="BK131">
            <v>4754.6459999999997</v>
          </cell>
          <cell r="BL131">
            <v>4810.1090000000004</v>
          </cell>
          <cell r="BM131">
            <v>4870.1409999999996</v>
          </cell>
          <cell r="BN131">
            <v>4935.7669999999998</v>
          </cell>
          <cell r="BO131">
            <v>5007.9539999999997</v>
          </cell>
          <cell r="BP131">
            <v>5087.2129999999997</v>
          </cell>
          <cell r="BQ131">
            <v>5174.085</v>
          </cell>
          <cell r="BR131">
            <v>5267.9</v>
          </cell>
          <cell r="BS131">
            <v>5366.3779999999997</v>
          </cell>
          <cell r="BT131">
            <v>5466.3280000000004</v>
          </cell>
          <cell r="BU131">
            <v>5565.2870000000003</v>
          </cell>
          <cell r="BV131">
            <v>5662.3680000000004</v>
          </cell>
          <cell r="BW131">
            <v>5757.6670000000004</v>
          </cell>
          <cell r="BX131">
            <v>5850.9009999999998</v>
          </cell>
        </row>
        <row r="132">
          <cell r="C132" t="str">
            <v>Uzbekistan</v>
          </cell>
          <cell r="E132">
            <v>860</v>
          </cell>
          <cell r="F132" t="str">
            <v>Country</v>
          </cell>
          <cell r="G132">
            <v>5500</v>
          </cell>
          <cell r="H132">
            <v>6264.0559999999996</v>
          </cell>
          <cell r="I132">
            <v>6470.0469999999996</v>
          </cell>
          <cell r="J132">
            <v>6667.884</v>
          </cell>
          <cell r="K132">
            <v>6864.7690000000002</v>
          </cell>
          <cell r="L132">
            <v>7066.4589999999998</v>
          </cell>
          <cell r="M132">
            <v>7277.3329999999996</v>
          </cell>
          <cell r="N132">
            <v>7500.3</v>
          </cell>
          <cell r="O132">
            <v>7736.8580000000002</v>
          </cell>
          <cell r="P132">
            <v>7987.2449999999999</v>
          </cell>
          <cell r="Q132">
            <v>8250.7139999999999</v>
          </cell>
          <cell r="R132">
            <v>8526.2999999999993</v>
          </cell>
          <cell r="S132">
            <v>8813.616</v>
          </cell>
          <cell r="T132">
            <v>9113.6200000000008</v>
          </cell>
          <cell r="U132">
            <v>9428.9060000000009</v>
          </cell>
          <cell r="V132">
            <v>9762.8160000000007</v>
          </cell>
          <cell r="W132">
            <v>10116.870000000001</v>
          </cell>
          <cell r="X132">
            <v>10493.436</v>
          </cell>
          <cell r="Y132">
            <v>10889.509</v>
          </cell>
          <cell r="Z132">
            <v>11294.672</v>
          </cell>
          <cell r="AA132">
            <v>11694.847</v>
          </cell>
          <cell r="AB132">
            <v>12080.316999999999</v>
          </cell>
          <cell r="AC132">
            <v>12446.442999999999</v>
          </cell>
          <cell r="AD132">
            <v>12796.98</v>
          </cell>
          <cell r="AE132">
            <v>13140.797</v>
          </cell>
          <cell r="AF132">
            <v>13491.117</v>
          </cell>
          <cell r="AG132">
            <v>13857.477999999999</v>
          </cell>
          <cell r="AH132">
            <v>14242.769</v>
          </cell>
          <cell r="AI132">
            <v>14643.875</v>
          </cell>
          <cell r="AJ132">
            <v>15057.224</v>
          </cell>
          <cell r="AK132">
            <v>15476.922</v>
          </cell>
          <cell r="AL132">
            <v>15898.757</v>
          </cell>
          <cell r="AM132">
            <v>16321.696</v>
          </cell>
          <cell r="AN132">
            <v>16747.425999999999</v>
          </cell>
          <cell r="AO132">
            <v>17177.664000000001</v>
          </cell>
          <cell r="AP132">
            <v>17615.04</v>
          </cell>
          <cell r="AQ132">
            <v>18061.284</v>
          </cell>
          <cell r="AR132">
            <v>18515.578000000001</v>
          </cell>
          <cell r="AS132">
            <v>18976.417000000001</v>
          </cell>
          <cell r="AT132">
            <v>19443.886999999999</v>
          </cell>
          <cell r="AU132">
            <v>19918.118999999999</v>
          </cell>
          <cell r="AV132">
            <v>20398.348000000002</v>
          </cell>
          <cell r="AW132">
            <v>20884.87</v>
          </cell>
          <cell r="AX132">
            <v>21375.118999999999</v>
          </cell>
          <cell r="AY132">
            <v>21861.974999999999</v>
          </cell>
          <cell r="AZ132">
            <v>22336.202000000001</v>
          </cell>
          <cell r="BA132">
            <v>22791.026000000002</v>
          </cell>
          <cell r="BB132">
            <v>23225.297999999999</v>
          </cell>
          <cell r="BC132">
            <v>23640.489000000001</v>
          </cell>
          <cell r="BD132">
            <v>24036.013999999999</v>
          </cell>
          <cell r="BE132">
            <v>24412.044999999998</v>
          </cell>
          <cell r="BF132">
            <v>24769.955000000002</v>
          </cell>
          <cell r="BG132">
            <v>25108.562999999998</v>
          </cell>
          <cell r="BH132">
            <v>25431.121999999999</v>
          </cell>
          <cell r="BI132">
            <v>25749.100999999999</v>
          </cell>
          <cell r="BJ132">
            <v>26077.607</v>
          </cell>
          <cell r="BK132">
            <v>26427.789000000001</v>
          </cell>
          <cell r="BL132">
            <v>26804.072</v>
          </cell>
          <cell r="BM132">
            <v>27204.710999999999</v>
          </cell>
          <cell r="BN132">
            <v>27626.982</v>
          </cell>
          <cell r="BO132">
            <v>28065.466</v>
          </cell>
          <cell r="BP132">
            <v>28515.909</v>
          </cell>
          <cell r="BQ132">
            <v>28977.01</v>
          </cell>
          <cell r="BR132">
            <v>29449.413</v>
          </cell>
          <cell r="BS132">
            <v>29932.631000000001</v>
          </cell>
          <cell r="BT132">
            <v>30426.387999999999</v>
          </cell>
          <cell r="BU132">
            <v>30929.557000000001</v>
          </cell>
          <cell r="BV132">
            <v>31441.751</v>
          </cell>
          <cell r="BW132">
            <v>31959.785</v>
          </cell>
          <cell r="BX132">
            <v>32476.243999999999</v>
          </cell>
        </row>
        <row r="133">
          <cell r="C133" t="str">
            <v>Southern Asia</v>
          </cell>
          <cell r="E133">
            <v>5501</v>
          </cell>
          <cell r="F133" t="str">
            <v>Subregion</v>
          </cell>
          <cell r="G133">
            <v>921</v>
          </cell>
          <cell r="H133">
            <v>493338.57199999999</v>
          </cell>
          <cell r="I133">
            <v>501460.14799999999</v>
          </cell>
          <cell r="J133">
            <v>510026.14799999999</v>
          </cell>
          <cell r="K133">
            <v>519036.18800000002</v>
          </cell>
          <cell r="L133">
            <v>528491.01899999997</v>
          </cell>
          <cell r="M133">
            <v>538392.55799999996</v>
          </cell>
          <cell r="N133">
            <v>548744.049</v>
          </cell>
          <cell r="O133">
            <v>559549.75300000003</v>
          </cell>
          <cell r="P133">
            <v>570815.05599999998</v>
          </cell>
          <cell r="Q133">
            <v>582545.64599999995</v>
          </cell>
          <cell r="R133">
            <v>594746.43700000003</v>
          </cell>
          <cell r="S133">
            <v>607420.098</v>
          </cell>
          <cell r="T133">
            <v>620565.76399999997</v>
          </cell>
          <cell r="U133">
            <v>634178.58499999996</v>
          </cell>
          <cell r="V133">
            <v>648251.19200000004</v>
          </cell>
          <cell r="W133">
            <v>662778.04799999995</v>
          </cell>
          <cell r="X133">
            <v>677768.55500000005</v>
          </cell>
          <cell r="Y133">
            <v>693226.36499999999</v>
          </cell>
          <cell r="Z133">
            <v>709134.74899999995</v>
          </cell>
          <cell r="AA133">
            <v>725471.02800000005</v>
          </cell>
          <cell r="AB133">
            <v>742225.21499999997</v>
          </cell>
          <cell r="AC133">
            <v>759389.228</v>
          </cell>
          <cell r="AD133">
            <v>776987.01300000004</v>
          </cell>
          <cell r="AE133">
            <v>795080.66500000004</v>
          </cell>
          <cell r="AF133">
            <v>813753.03599999996</v>
          </cell>
          <cell r="AG133">
            <v>833065.33499999996</v>
          </cell>
          <cell r="AH133">
            <v>853026.50600000005</v>
          </cell>
          <cell r="AI133">
            <v>873622.97</v>
          </cell>
          <cell r="AJ133">
            <v>894862.53599999996</v>
          </cell>
          <cell r="AK133">
            <v>916747.98499999999</v>
          </cell>
          <cell r="AL133">
            <v>939270.81799999997</v>
          </cell>
          <cell r="AM133">
            <v>962426.54200000002</v>
          </cell>
          <cell r="AN133">
            <v>986184.42299999995</v>
          </cell>
          <cell r="AO133">
            <v>1010473.289</v>
          </cell>
          <cell r="AP133">
            <v>1035201.0060000001</v>
          </cell>
          <cell r="AQ133">
            <v>1060289.4879999999</v>
          </cell>
          <cell r="AR133">
            <v>1085698.1470000001</v>
          </cell>
          <cell r="AS133">
            <v>1111402.321</v>
          </cell>
          <cell r="AT133">
            <v>1137358.4680000001</v>
          </cell>
          <cell r="AU133">
            <v>1163524.406</v>
          </cell>
          <cell r="AV133">
            <v>1189861.4129999999</v>
          </cell>
          <cell r="AW133">
            <v>1216334.6510000001</v>
          </cell>
          <cell r="AX133">
            <v>1242913.6839999999</v>
          </cell>
          <cell r="AY133">
            <v>1269571.55</v>
          </cell>
          <cell r="AZ133">
            <v>1296284.483</v>
          </cell>
          <cell r="BA133">
            <v>1323030.42</v>
          </cell>
          <cell r="BB133">
            <v>1349771.11</v>
          </cell>
          <cell r="BC133">
            <v>1376482.689</v>
          </cell>
          <cell r="BD133">
            <v>1403174.544</v>
          </cell>
          <cell r="BE133">
            <v>1429868.808</v>
          </cell>
          <cell r="BF133">
            <v>1456569.469</v>
          </cell>
          <cell r="BG133">
            <v>1483272.071</v>
          </cell>
          <cell r="BH133">
            <v>1509928.8540000001</v>
          </cell>
          <cell r="BI133">
            <v>1536447.36</v>
          </cell>
          <cell r="BJ133">
            <v>1562709.1270000001</v>
          </cell>
          <cell r="BK133">
            <v>1588623.899</v>
          </cell>
          <cell r="BL133">
            <v>1614165.456</v>
          </cell>
          <cell r="BM133">
            <v>1639339.6340000001</v>
          </cell>
          <cell r="BN133">
            <v>1664131.423</v>
          </cell>
          <cell r="BO133">
            <v>1688535.0349999999</v>
          </cell>
          <cell r="BP133">
            <v>1712555.453</v>
          </cell>
          <cell r="BQ133">
            <v>1736167.1359999999</v>
          </cell>
          <cell r="BR133">
            <v>1759387.95</v>
          </cell>
          <cell r="BS133">
            <v>1782321.568</v>
          </cell>
          <cell r="BT133">
            <v>1805108.29</v>
          </cell>
          <cell r="BU133">
            <v>1827847.31</v>
          </cell>
          <cell r="BV133">
            <v>1850569.6</v>
          </cell>
          <cell r="BW133">
            <v>1873241.0919999999</v>
          </cell>
          <cell r="BX133">
            <v>1895813.9439999999</v>
          </cell>
        </row>
        <row r="134">
          <cell r="C134" t="str">
            <v>Afghanistan</v>
          </cell>
          <cell r="E134">
            <v>4</v>
          </cell>
          <cell r="F134" t="str">
            <v>Country</v>
          </cell>
          <cell r="G134">
            <v>5501</v>
          </cell>
          <cell r="H134">
            <v>7752.1180000000004</v>
          </cell>
          <cell r="I134">
            <v>7840.1559999999999</v>
          </cell>
          <cell r="J134">
            <v>7935.9970000000003</v>
          </cell>
          <cell r="K134">
            <v>8039.6940000000004</v>
          </cell>
          <cell r="L134">
            <v>8151.317</v>
          </cell>
          <cell r="M134">
            <v>8270.991</v>
          </cell>
          <cell r="N134">
            <v>8398.875</v>
          </cell>
          <cell r="O134">
            <v>8535.1630000000005</v>
          </cell>
          <cell r="P134">
            <v>8680.1010000000006</v>
          </cell>
          <cell r="Q134">
            <v>8833.9459999999999</v>
          </cell>
          <cell r="R134">
            <v>8996.973</v>
          </cell>
          <cell r="S134">
            <v>9169.41</v>
          </cell>
          <cell r="T134">
            <v>9351.4410000000007</v>
          </cell>
          <cell r="U134">
            <v>9543.2049999999999</v>
          </cell>
          <cell r="V134">
            <v>9744.7810000000009</v>
          </cell>
          <cell r="W134">
            <v>9956.32</v>
          </cell>
          <cell r="X134">
            <v>10174.835999999999</v>
          </cell>
          <cell r="Y134">
            <v>10399.925999999999</v>
          </cell>
          <cell r="Z134">
            <v>10637.063</v>
          </cell>
          <cell r="AA134">
            <v>10893.776</v>
          </cell>
          <cell r="AB134">
            <v>11173.642</v>
          </cell>
          <cell r="AC134">
            <v>11475.445</v>
          </cell>
          <cell r="AD134">
            <v>11791.215</v>
          </cell>
          <cell r="AE134">
            <v>12108.963</v>
          </cell>
          <cell r="AF134">
            <v>12412.95</v>
          </cell>
          <cell r="AG134">
            <v>12689.16</v>
          </cell>
          <cell r="AH134">
            <v>12943.093000000001</v>
          </cell>
          <cell r="AI134">
            <v>13171.306</v>
          </cell>
          <cell r="AJ134">
            <v>13341.198</v>
          </cell>
          <cell r="AK134">
            <v>13411.056</v>
          </cell>
          <cell r="AL134">
            <v>13356.511</v>
          </cell>
          <cell r="AM134">
            <v>13171.673000000001</v>
          </cell>
          <cell r="AN134">
            <v>12882.528</v>
          </cell>
          <cell r="AO134">
            <v>12537.73</v>
          </cell>
          <cell r="AP134">
            <v>12204.291999999999</v>
          </cell>
          <cell r="AQ134">
            <v>11938.208000000001</v>
          </cell>
          <cell r="AR134">
            <v>11736.179</v>
          </cell>
          <cell r="AS134">
            <v>11604.534</v>
          </cell>
          <cell r="AT134">
            <v>11618.004999999999</v>
          </cell>
          <cell r="AU134">
            <v>11868.877</v>
          </cell>
          <cell r="AV134">
            <v>12412.308000000001</v>
          </cell>
          <cell r="AW134">
            <v>13299.017</v>
          </cell>
          <cell r="AX134">
            <v>14485.546</v>
          </cell>
          <cell r="AY134">
            <v>15816.602999999999</v>
          </cell>
          <cell r="AZ134">
            <v>17075.726999999999</v>
          </cell>
          <cell r="BA134">
            <v>18110.656999999999</v>
          </cell>
          <cell r="BB134">
            <v>18853.437000000002</v>
          </cell>
          <cell r="BC134">
            <v>19357.126</v>
          </cell>
          <cell r="BD134">
            <v>19737.764999999999</v>
          </cell>
          <cell r="BE134">
            <v>20170.844000000001</v>
          </cell>
          <cell r="BF134">
            <v>20779.953000000001</v>
          </cell>
          <cell r="BG134">
            <v>21606.988000000001</v>
          </cell>
          <cell r="BH134">
            <v>22600.77</v>
          </cell>
          <cell r="BI134">
            <v>23680.870999999999</v>
          </cell>
          <cell r="BJ134">
            <v>24726.684000000001</v>
          </cell>
          <cell r="BK134">
            <v>25654.276999999998</v>
          </cell>
          <cell r="BL134">
            <v>26433.048999999999</v>
          </cell>
          <cell r="BM134">
            <v>27100.536</v>
          </cell>
          <cell r="BN134">
            <v>27722.276000000002</v>
          </cell>
          <cell r="BO134">
            <v>28394.812999999998</v>
          </cell>
          <cell r="BP134">
            <v>29185.507000000001</v>
          </cell>
          <cell r="BQ134">
            <v>30117.413</v>
          </cell>
          <cell r="BR134">
            <v>31161.376</v>
          </cell>
          <cell r="BS134">
            <v>32269.589</v>
          </cell>
          <cell r="BT134">
            <v>33370.794000000002</v>
          </cell>
          <cell r="BU134">
            <v>34413.603000000003</v>
          </cell>
          <cell r="BV134">
            <v>35383.031999999999</v>
          </cell>
          <cell r="BW134">
            <v>36296.112999999998</v>
          </cell>
          <cell r="BX134">
            <v>37171.921000000002</v>
          </cell>
        </row>
        <row r="135">
          <cell r="C135" t="str">
            <v>Bangladesh</v>
          </cell>
          <cell r="E135">
            <v>50</v>
          </cell>
          <cell r="F135" t="str">
            <v>Country</v>
          </cell>
          <cell r="G135">
            <v>5501</v>
          </cell>
          <cell r="H135">
            <v>37894.680999999997</v>
          </cell>
          <cell r="I135">
            <v>38706.402000000002</v>
          </cell>
          <cell r="J135">
            <v>39489.86</v>
          </cell>
          <cell r="K135">
            <v>40292.406999999999</v>
          </cell>
          <cell r="L135">
            <v>41149.824000000001</v>
          </cell>
          <cell r="M135">
            <v>42086.300999999999</v>
          </cell>
          <cell r="N135">
            <v>43113.923000000003</v>
          </cell>
          <cell r="O135">
            <v>44233.212</v>
          </cell>
          <cell r="P135">
            <v>45434.542999999998</v>
          </cell>
          <cell r="Q135">
            <v>46700.572999999997</v>
          </cell>
          <cell r="R135">
            <v>48013.504000000001</v>
          </cell>
          <cell r="S135">
            <v>49362.843000000001</v>
          </cell>
          <cell r="T135">
            <v>50752.156999999999</v>
          </cell>
          <cell r="U135">
            <v>52202.006999999998</v>
          </cell>
          <cell r="V135">
            <v>53741.716</v>
          </cell>
          <cell r="W135">
            <v>55385.112000000001</v>
          </cell>
          <cell r="X135">
            <v>57157.654000000002</v>
          </cell>
          <cell r="Y135">
            <v>59034.249000000003</v>
          </cell>
          <cell r="Z135">
            <v>60918.453999999998</v>
          </cell>
          <cell r="AA135">
            <v>62679.764999999999</v>
          </cell>
          <cell r="AB135">
            <v>64232.482000000004</v>
          </cell>
          <cell r="AC135">
            <v>65531.633000000002</v>
          </cell>
          <cell r="AD135">
            <v>66625.705000000002</v>
          </cell>
          <cell r="AE135">
            <v>67637.53</v>
          </cell>
          <cell r="AF135">
            <v>68742.232999999993</v>
          </cell>
          <cell r="AG135">
            <v>70066.301000000007</v>
          </cell>
          <cell r="AH135">
            <v>71652.380999999994</v>
          </cell>
          <cell r="AI135">
            <v>73463.584000000003</v>
          </cell>
          <cell r="AJ135">
            <v>75450.032000000007</v>
          </cell>
          <cell r="AK135">
            <v>77529.044999999998</v>
          </cell>
          <cell r="AL135">
            <v>79639.490999999995</v>
          </cell>
          <cell r="AM135">
            <v>81767.514999999999</v>
          </cell>
          <cell r="AN135">
            <v>83932.126999999993</v>
          </cell>
          <cell r="AO135">
            <v>86142.494999999995</v>
          </cell>
          <cell r="AP135">
            <v>88416.520999999993</v>
          </cell>
          <cell r="AQ135">
            <v>90764.183000000005</v>
          </cell>
          <cell r="AR135">
            <v>93187.603000000003</v>
          </cell>
          <cell r="AS135">
            <v>95671.163</v>
          </cell>
          <cell r="AT135">
            <v>98186.35</v>
          </cell>
          <cell r="AU135">
            <v>100695.497</v>
          </cell>
          <cell r="AV135">
            <v>103171.95600000001</v>
          </cell>
          <cell r="AW135">
            <v>105599.12699999999</v>
          </cell>
          <cell r="AX135">
            <v>107983.704</v>
          </cell>
          <cell r="AY135">
            <v>110350.639</v>
          </cell>
          <cell r="AZ135">
            <v>112737.683</v>
          </cell>
          <cell r="BA135">
            <v>115169.93</v>
          </cell>
          <cell r="BB135">
            <v>117649.932</v>
          </cell>
          <cell r="BC135">
            <v>120160.564</v>
          </cell>
          <cell r="BD135">
            <v>122682.815</v>
          </cell>
          <cell r="BE135">
            <v>125189.651</v>
          </cell>
          <cell r="BF135">
            <v>127657.85400000001</v>
          </cell>
          <cell r="BG135">
            <v>130088.702</v>
          </cell>
          <cell r="BH135">
            <v>132478.08600000001</v>
          </cell>
          <cell r="BI135">
            <v>134791.603</v>
          </cell>
          <cell r="BJ135">
            <v>136986.432</v>
          </cell>
          <cell r="BK135">
            <v>139035.505</v>
          </cell>
          <cell r="BL135">
            <v>140921.16699999999</v>
          </cell>
          <cell r="BM135">
            <v>142660.37599999999</v>
          </cell>
          <cell r="BN135">
            <v>144304.16699999999</v>
          </cell>
          <cell r="BO135">
            <v>145924.79699999999</v>
          </cell>
          <cell r="BP135">
            <v>147575.43</v>
          </cell>
          <cell r="BQ135">
            <v>149273.139</v>
          </cell>
          <cell r="BR135">
            <v>151005.739</v>
          </cell>
          <cell r="BS135">
            <v>152761.41800000001</v>
          </cell>
          <cell r="BT135">
            <v>154517.38200000001</v>
          </cell>
          <cell r="BU135">
            <v>156256.27600000001</v>
          </cell>
          <cell r="BV135">
            <v>157977.15299999999</v>
          </cell>
          <cell r="BW135">
            <v>159685.424</v>
          </cell>
          <cell r="BX135">
            <v>161376.70800000001</v>
          </cell>
        </row>
        <row r="136">
          <cell r="C136" t="str">
            <v>Bhutan</v>
          </cell>
          <cell r="E136">
            <v>64</v>
          </cell>
          <cell r="F136" t="str">
            <v>Country</v>
          </cell>
          <cell r="G136">
            <v>5501</v>
          </cell>
          <cell r="H136">
            <v>176.797</v>
          </cell>
          <cell r="I136">
            <v>180.81200000000001</v>
          </cell>
          <cell r="J136">
            <v>184.76400000000001</v>
          </cell>
          <cell r="K136">
            <v>188.791</v>
          </cell>
          <cell r="L136">
            <v>192.994</v>
          </cell>
          <cell r="M136">
            <v>197.45699999999999</v>
          </cell>
          <cell r="N136">
            <v>202.196</v>
          </cell>
          <cell r="O136">
            <v>207.19900000000001</v>
          </cell>
          <cell r="P136">
            <v>212.42599999999999</v>
          </cell>
          <cell r="Q136">
            <v>217.80799999999999</v>
          </cell>
          <cell r="R136">
            <v>223.28800000000001</v>
          </cell>
          <cell r="S136">
            <v>228.851</v>
          </cell>
          <cell r="T136">
            <v>234.554</v>
          </cell>
          <cell r="U136">
            <v>240.523</v>
          </cell>
          <cell r="V136">
            <v>246.964</v>
          </cell>
          <cell r="W136">
            <v>253.994</v>
          </cell>
          <cell r="X136">
            <v>261.66800000000001</v>
          </cell>
          <cell r="Y136">
            <v>269.947</v>
          </cell>
          <cell r="Z136">
            <v>278.73399999999998</v>
          </cell>
          <cell r="AA136">
            <v>287.89100000000002</v>
          </cell>
          <cell r="AB136">
            <v>297.31599999999997</v>
          </cell>
          <cell r="AC136">
            <v>306.95499999999998</v>
          </cell>
          <cell r="AD136">
            <v>316.82799999999997</v>
          </cell>
          <cell r="AE136">
            <v>326.98200000000003</v>
          </cell>
          <cell r="AF136">
            <v>337.48500000000001</v>
          </cell>
          <cell r="AG136">
            <v>348.39600000000002</v>
          </cell>
          <cell r="AH136">
            <v>359.72500000000002</v>
          </cell>
          <cell r="AI136">
            <v>371.428</v>
          </cell>
          <cell r="AJ136">
            <v>383.32600000000002</v>
          </cell>
          <cell r="AK136">
            <v>395.19499999999999</v>
          </cell>
          <cell r="AL136">
            <v>406.875</v>
          </cell>
          <cell r="AM136">
            <v>418.11099999999999</v>
          </cell>
          <cell r="AN136">
            <v>428.93400000000003</v>
          </cell>
          <cell r="AO136">
            <v>439.822</v>
          </cell>
          <cell r="AP136">
            <v>451.476</v>
          </cell>
          <cell r="AQ136">
            <v>464.26600000000002</v>
          </cell>
          <cell r="AR136">
            <v>478.69200000000001</v>
          </cell>
          <cell r="AS136">
            <v>494.31200000000001</v>
          </cell>
          <cell r="AT136">
            <v>509.54</v>
          </cell>
          <cell r="AU136">
            <v>522.17899999999997</v>
          </cell>
          <cell r="AV136">
            <v>530.80399999999997</v>
          </cell>
          <cell r="AW136">
            <v>534.63199999999995</v>
          </cell>
          <cell r="AX136">
            <v>534.51599999999996</v>
          </cell>
          <cell r="AY136">
            <v>532.596</v>
          </cell>
          <cell r="AZ136">
            <v>531.89700000000005</v>
          </cell>
          <cell r="BA136">
            <v>534.62</v>
          </cell>
          <cell r="BB136">
            <v>541.46500000000003</v>
          </cell>
          <cell r="BC136">
            <v>551.70899999999995</v>
          </cell>
          <cell r="BD136">
            <v>564.37699999999995</v>
          </cell>
          <cell r="BE136">
            <v>577.88099999999997</v>
          </cell>
          <cell r="BF136">
            <v>591.02099999999996</v>
          </cell>
          <cell r="BG136">
            <v>603.64</v>
          </cell>
          <cell r="BH136">
            <v>616.01800000000003</v>
          </cell>
          <cell r="BI136">
            <v>627.83900000000006</v>
          </cell>
          <cell r="BJ136">
            <v>638.81500000000005</v>
          </cell>
          <cell r="BK136">
            <v>648.73900000000003</v>
          </cell>
          <cell r="BL136">
            <v>657.41</v>
          </cell>
          <cell r="BM136">
            <v>664.87599999999998</v>
          </cell>
          <cell r="BN136">
            <v>671.61300000000006</v>
          </cell>
          <cell r="BO136">
            <v>678.32299999999998</v>
          </cell>
          <cell r="BP136">
            <v>685.50300000000004</v>
          </cell>
          <cell r="BQ136">
            <v>693.298</v>
          </cell>
          <cell r="BR136">
            <v>701.58100000000002</v>
          </cell>
          <cell r="BS136">
            <v>710.23699999999997</v>
          </cell>
          <cell r="BT136">
            <v>719.05499999999995</v>
          </cell>
          <cell r="BU136">
            <v>727.87599999999998</v>
          </cell>
          <cell r="BV136">
            <v>736.70799999999997</v>
          </cell>
          <cell r="BW136">
            <v>745.56299999999999</v>
          </cell>
          <cell r="BX136">
            <v>754.38800000000003</v>
          </cell>
        </row>
        <row r="137">
          <cell r="C137" t="str">
            <v>India</v>
          </cell>
          <cell r="E137">
            <v>356</v>
          </cell>
          <cell r="F137" t="str">
            <v>Country</v>
          </cell>
          <cell r="G137">
            <v>5501</v>
          </cell>
          <cell r="H137">
            <v>376325.2</v>
          </cell>
          <cell r="I137">
            <v>382376.94799999997</v>
          </cell>
          <cell r="J137">
            <v>388799.07299999997</v>
          </cell>
          <cell r="K137">
            <v>395544.36900000001</v>
          </cell>
          <cell r="L137">
            <v>402578.59600000002</v>
          </cell>
          <cell r="M137">
            <v>409880.59499999997</v>
          </cell>
          <cell r="N137">
            <v>417442.81099999999</v>
          </cell>
          <cell r="O137">
            <v>425270.69500000001</v>
          </cell>
          <cell r="P137">
            <v>433380.978</v>
          </cell>
          <cell r="Q137">
            <v>441798.57799999998</v>
          </cell>
          <cell r="R137">
            <v>450547.679</v>
          </cell>
          <cell r="S137">
            <v>459642.16499999998</v>
          </cell>
          <cell r="T137">
            <v>469077.19</v>
          </cell>
          <cell r="U137">
            <v>478825.60800000001</v>
          </cell>
          <cell r="V137">
            <v>488848.13500000001</v>
          </cell>
          <cell r="W137">
            <v>499123.32400000002</v>
          </cell>
          <cell r="X137">
            <v>509631.5</v>
          </cell>
          <cell r="Y137">
            <v>520400.576</v>
          </cell>
          <cell r="Z137">
            <v>531513.82400000002</v>
          </cell>
          <cell r="AA137">
            <v>543084.33600000001</v>
          </cell>
          <cell r="AB137">
            <v>555189.79200000002</v>
          </cell>
          <cell r="AC137">
            <v>567868.01800000004</v>
          </cell>
          <cell r="AD137">
            <v>581087.25600000005</v>
          </cell>
          <cell r="AE137">
            <v>594770.13399999996</v>
          </cell>
          <cell r="AF137">
            <v>608802.6</v>
          </cell>
          <cell r="AG137">
            <v>623102.897</v>
          </cell>
          <cell r="AH137">
            <v>637630.08700000006</v>
          </cell>
          <cell r="AI137">
            <v>652408.77599999995</v>
          </cell>
          <cell r="AJ137">
            <v>667499.80599999998</v>
          </cell>
          <cell r="AK137">
            <v>682995.35400000005</v>
          </cell>
          <cell r="AL137">
            <v>698952.84400000004</v>
          </cell>
          <cell r="AM137">
            <v>715384.99300000002</v>
          </cell>
          <cell r="AN137">
            <v>732239.50399999996</v>
          </cell>
          <cell r="AO137">
            <v>749428.95799999998</v>
          </cell>
          <cell r="AP137">
            <v>766833.41</v>
          </cell>
          <cell r="AQ137">
            <v>784360.00800000003</v>
          </cell>
          <cell r="AR137">
            <v>801975.24399999995</v>
          </cell>
          <cell r="AS137">
            <v>819682.10199999996</v>
          </cell>
          <cell r="AT137">
            <v>837468.93</v>
          </cell>
          <cell r="AU137">
            <v>855334.67799999996</v>
          </cell>
          <cell r="AV137">
            <v>873277.79799999995</v>
          </cell>
          <cell r="AW137">
            <v>891273.20900000003</v>
          </cell>
          <cell r="AX137">
            <v>909307.01599999995</v>
          </cell>
          <cell r="AY137">
            <v>927403.86</v>
          </cell>
          <cell r="AZ137">
            <v>945601.83100000001</v>
          </cell>
          <cell r="BA137">
            <v>963922.58799999999</v>
          </cell>
          <cell r="BB137">
            <v>982365.24300000002</v>
          </cell>
          <cell r="BC137">
            <v>1000900.03</v>
          </cell>
          <cell r="BD137">
            <v>1019483.581</v>
          </cell>
          <cell r="BE137">
            <v>1038058.156</v>
          </cell>
          <cell r="BF137">
            <v>1056575.5490000001</v>
          </cell>
          <cell r="BG137">
            <v>1075000.085</v>
          </cell>
          <cell r="BH137">
            <v>1093317.189</v>
          </cell>
          <cell r="BI137">
            <v>1111523.1440000001</v>
          </cell>
          <cell r="BJ137">
            <v>1129623.456</v>
          </cell>
          <cell r="BK137">
            <v>1147609.9269999999</v>
          </cell>
          <cell r="BL137">
            <v>1165486.291</v>
          </cell>
          <cell r="BM137">
            <v>1183209.4720000001</v>
          </cell>
          <cell r="BN137">
            <v>1200669.7649999999</v>
          </cell>
          <cell r="BO137">
            <v>1217726.2150000001</v>
          </cell>
          <cell r="BP137">
            <v>1234281.17</v>
          </cell>
          <cell r="BQ137">
            <v>1250287.943</v>
          </cell>
          <cell r="BR137">
            <v>1265780.247</v>
          </cell>
          <cell r="BS137">
            <v>1280842.125</v>
          </cell>
          <cell r="BT137">
            <v>1295600.7720000001</v>
          </cell>
          <cell r="BU137">
            <v>1310152.4029999999</v>
          </cell>
          <cell r="BV137">
            <v>1324517.2490000001</v>
          </cell>
          <cell r="BW137">
            <v>1338676.7849999999</v>
          </cell>
          <cell r="BX137">
            <v>1352642.28</v>
          </cell>
        </row>
        <row r="138">
          <cell r="C138" t="str">
            <v>Iran (Islamic Republic of)</v>
          </cell>
          <cell r="E138">
            <v>364</v>
          </cell>
          <cell r="F138" t="str">
            <v>Country</v>
          </cell>
          <cell r="G138">
            <v>5501</v>
          </cell>
          <cell r="H138">
            <v>17119.264999999999</v>
          </cell>
          <cell r="I138">
            <v>17516.679</v>
          </cell>
          <cell r="J138">
            <v>17933.502</v>
          </cell>
          <cell r="K138">
            <v>18369.050999999999</v>
          </cell>
          <cell r="L138">
            <v>18822.757000000001</v>
          </cell>
          <cell r="M138">
            <v>19294.127</v>
          </cell>
          <cell r="N138">
            <v>19782.824000000001</v>
          </cell>
          <cell r="O138">
            <v>20288.539000000001</v>
          </cell>
          <cell r="P138">
            <v>20811.144</v>
          </cell>
          <cell r="Q138">
            <v>21350.574000000001</v>
          </cell>
          <cell r="R138">
            <v>21906.914000000001</v>
          </cell>
          <cell r="S138">
            <v>22480.371999999999</v>
          </cell>
          <cell r="T138">
            <v>23071.314999999999</v>
          </cell>
          <cell r="U138">
            <v>23680.258000000002</v>
          </cell>
          <cell r="V138">
            <v>24307.86</v>
          </cell>
          <cell r="W138">
            <v>24954.873</v>
          </cell>
          <cell r="X138">
            <v>25624.373</v>
          </cell>
          <cell r="Y138">
            <v>26317.782999999999</v>
          </cell>
          <cell r="Z138">
            <v>27032.571</v>
          </cell>
          <cell r="AA138">
            <v>27764.923999999999</v>
          </cell>
          <cell r="AB138">
            <v>28513.866000000002</v>
          </cell>
          <cell r="AC138">
            <v>29281.591</v>
          </cell>
          <cell r="AD138">
            <v>30075.296999999999</v>
          </cell>
          <cell r="AE138">
            <v>30905.706999999999</v>
          </cell>
          <cell r="AF138">
            <v>31786.471000000001</v>
          </cell>
          <cell r="AG138">
            <v>32729.772000000001</v>
          </cell>
          <cell r="AH138">
            <v>33733.961000000003</v>
          </cell>
          <cell r="AI138">
            <v>34803.044999999998</v>
          </cell>
          <cell r="AJ138">
            <v>35960.805</v>
          </cell>
          <cell r="AK138">
            <v>37237.137000000002</v>
          </cell>
          <cell r="AL138">
            <v>38650.245999999999</v>
          </cell>
          <cell r="AM138">
            <v>40199.906000000003</v>
          </cell>
          <cell r="AN138">
            <v>41869.235999999997</v>
          </cell>
          <cell r="AO138">
            <v>43636.837</v>
          </cell>
          <cell r="AP138">
            <v>45472.790999999997</v>
          </cell>
          <cell r="AQ138">
            <v>47347.186000000002</v>
          </cell>
          <cell r="AR138">
            <v>49260.254999999997</v>
          </cell>
          <cell r="AS138">
            <v>51193.781999999999</v>
          </cell>
          <cell r="AT138">
            <v>53077.313000000002</v>
          </cell>
          <cell r="AU138">
            <v>54822.002999999997</v>
          </cell>
          <cell r="AV138">
            <v>56366.216999999997</v>
          </cell>
          <cell r="AW138">
            <v>57679.034</v>
          </cell>
          <cell r="AX138">
            <v>58780.37</v>
          </cell>
          <cell r="AY138">
            <v>59723.764000000003</v>
          </cell>
          <cell r="AZ138">
            <v>60590.614000000001</v>
          </cell>
          <cell r="BA138">
            <v>61442.663999999997</v>
          </cell>
          <cell r="BB138">
            <v>62294.92</v>
          </cell>
          <cell r="BC138">
            <v>63136.311999999998</v>
          </cell>
          <cell r="BD138">
            <v>63971.836000000003</v>
          </cell>
          <cell r="BE138">
            <v>64800.88</v>
          </cell>
          <cell r="BF138">
            <v>65623.404999999999</v>
          </cell>
          <cell r="BG138">
            <v>66449.111999999994</v>
          </cell>
          <cell r="BH138">
            <v>67284.796000000002</v>
          </cell>
          <cell r="BI138">
            <v>68122.937999999995</v>
          </cell>
          <cell r="BJ138">
            <v>68951.281000000003</v>
          </cell>
          <cell r="BK138">
            <v>69762.346999999994</v>
          </cell>
          <cell r="BL138">
            <v>70554.759999999995</v>
          </cell>
          <cell r="BM138">
            <v>71336.475000000006</v>
          </cell>
          <cell r="BN138">
            <v>72120.604000000007</v>
          </cell>
          <cell r="BO138">
            <v>72924.837</v>
          </cell>
          <cell r="BP138">
            <v>73762.519</v>
          </cell>
          <cell r="BQ138">
            <v>74634.956999999995</v>
          </cell>
          <cell r="BR138">
            <v>75539.877999999997</v>
          </cell>
          <cell r="BS138">
            <v>76481.960999999996</v>
          </cell>
          <cell r="BT138">
            <v>77465.77</v>
          </cell>
          <cell r="BU138">
            <v>78492.214999999997</v>
          </cell>
          <cell r="BV138">
            <v>79563.989000000001</v>
          </cell>
          <cell r="BW138">
            <v>80673.883000000002</v>
          </cell>
          <cell r="BX138">
            <v>81800.187999999995</v>
          </cell>
        </row>
        <row r="139">
          <cell r="C139" t="str">
            <v>Maldives</v>
          </cell>
          <cell r="E139">
            <v>462</v>
          </cell>
          <cell r="F139" t="str">
            <v>Country</v>
          </cell>
          <cell r="G139">
            <v>5501</v>
          </cell>
          <cell r="H139">
            <v>73.712000000000003</v>
          </cell>
          <cell r="I139">
            <v>74.221000000000004</v>
          </cell>
          <cell r="J139">
            <v>75.188000000000002</v>
          </cell>
          <cell r="K139">
            <v>76.481999999999999</v>
          </cell>
          <cell r="L139">
            <v>78.010999999999996</v>
          </cell>
          <cell r="M139">
            <v>79.703000000000003</v>
          </cell>
          <cell r="N139">
            <v>81.513999999999996</v>
          </cell>
          <cell r="O139">
            <v>83.421000000000006</v>
          </cell>
          <cell r="P139">
            <v>85.435000000000002</v>
          </cell>
          <cell r="Q139">
            <v>87.576999999999998</v>
          </cell>
          <cell r="R139">
            <v>89.863</v>
          </cell>
          <cell r="S139">
            <v>92.325000000000003</v>
          </cell>
          <cell r="T139">
            <v>94.905000000000001</v>
          </cell>
          <cell r="U139">
            <v>97.551000000000002</v>
          </cell>
          <cell r="V139">
            <v>100.17100000000001</v>
          </cell>
          <cell r="W139">
            <v>102.718</v>
          </cell>
          <cell r="X139">
            <v>105.136</v>
          </cell>
          <cell r="Y139">
            <v>107.47799999999999</v>
          </cell>
          <cell r="Z139">
            <v>109.89100000000001</v>
          </cell>
          <cell r="AA139">
            <v>112.58199999999999</v>
          </cell>
          <cell r="AB139">
            <v>115.691</v>
          </cell>
          <cell r="AC139">
            <v>119.30200000000001</v>
          </cell>
          <cell r="AD139">
            <v>123.354</v>
          </cell>
          <cell r="AE139">
            <v>127.70099999999999</v>
          </cell>
          <cell r="AF139">
            <v>132.10400000000001</v>
          </cell>
          <cell r="AG139">
            <v>136.417</v>
          </cell>
          <cell r="AH139">
            <v>140.56299999999999</v>
          </cell>
          <cell r="AI139">
            <v>144.631</v>
          </cell>
          <cell r="AJ139">
            <v>148.78</v>
          </cell>
          <cell r="AK139">
            <v>153.27600000000001</v>
          </cell>
          <cell r="AL139">
            <v>158.27199999999999</v>
          </cell>
          <cell r="AM139">
            <v>163.82400000000001</v>
          </cell>
          <cell r="AN139">
            <v>169.851</v>
          </cell>
          <cell r="AO139">
            <v>176.244</v>
          </cell>
          <cell r="AP139">
            <v>182.85</v>
          </cell>
          <cell r="AQ139">
            <v>189.53700000000001</v>
          </cell>
          <cell r="AR139">
            <v>196.26400000000001</v>
          </cell>
          <cell r="AS139">
            <v>203.02799999999999</v>
          </cell>
          <cell r="AT139">
            <v>209.785</v>
          </cell>
          <cell r="AU139">
            <v>216.51</v>
          </cell>
          <cell r="AV139">
            <v>223.15799999999999</v>
          </cell>
          <cell r="AW139">
            <v>229.751</v>
          </cell>
          <cell r="AX139">
            <v>236.26499999999999</v>
          </cell>
          <cell r="AY139">
            <v>242.60499999999999</v>
          </cell>
          <cell r="AZ139">
            <v>248.58799999999999</v>
          </cell>
          <cell r="BA139">
            <v>254.13900000000001</v>
          </cell>
          <cell r="BB139">
            <v>259.18299999999999</v>
          </cell>
          <cell r="BC139">
            <v>263.84199999999998</v>
          </cell>
          <cell r="BD139">
            <v>268.45499999999998</v>
          </cell>
          <cell r="BE139">
            <v>273.52699999999999</v>
          </cell>
          <cell r="BF139">
            <v>279.39800000000002</v>
          </cell>
          <cell r="BG139">
            <v>286.30599999999998</v>
          </cell>
          <cell r="BH139">
            <v>294.18599999999998</v>
          </cell>
          <cell r="BI139">
            <v>302.68299999999999</v>
          </cell>
          <cell r="BJ139">
            <v>311.26499999999999</v>
          </cell>
          <cell r="BK139">
            <v>319.608</v>
          </cell>
          <cell r="BL139">
            <v>327.48700000000002</v>
          </cell>
          <cell r="BM139">
            <v>335.16899999999998</v>
          </cell>
          <cell r="BN139">
            <v>343.452</v>
          </cell>
          <cell r="BO139">
            <v>353.39800000000002</v>
          </cell>
          <cell r="BP139">
            <v>365.73399999999998</v>
          </cell>
          <cell r="BQ139">
            <v>380.495</v>
          </cell>
          <cell r="BR139">
            <v>397.23700000000002</v>
          </cell>
          <cell r="BS139">
            <v>415.59300000000002</v>
          </cell>
          <cell r="BT139">
            <v>435.01499999999999</v>
          </cell>
          <cell r="BU139">
            <v>454.91500000000002</v>
          </cell>
          <cell r="BV139">
            <v>475.512</v>
          </cell>
          <cell r="BW139">
            <v>496.40199999999999</v>
          </cell>
          <cell r="BX139">
            <v>515.69600000000003</v>
          </cell>
        </row>
        <row r="140">
          <cell r="C140" t="str">
            <v>Nepal</v>
          </cell>
          <cell r="E140">
            <v>524</v>
          </cell>
          <cell r="F140" t="str">
            <v>Country</v>
          </cell>
          <cell r="G140">
            <v>5501</v>
          </cell>
          <cell r="H140">
            <v>8483.3250000000007</v>
          </cell>
          <cell r="I140">
            <v>8663.6110000000008</v>
          </cell>
          <cell r="J140">
            <v>8834.6970000000001</v>
          </cell>
          <cell r="K140">
            <v>8999.1880000000001</v>
          </cell>
          <cell r="L140">
            <v>9159.3279999999995</v>
          </cell>
          <cell r="M140">
            <v>9316.9159999999993</v>
          </cell>
          <cell r="N140">
            <v>9473.4169999999995</v>
          </cell>
          <cell r="O140">
            <v>9629.8639999999996</v>
          </cell>
          <cell r="P140">
            <v>9786.9750000000004</v>
          </cell>
          <cell r="Q140">
            <v>9945.2090000000007</v>
          </cell>
          <cell r="R140">
            <v>10105.049999999999</v>
          </cell>
          <cell r="S140">
            <v>10267.263999999999</v>
          </cell>
          <cell r="T140">
            <v>10433.145</v>
          </cell>
          <cell r="U140">
            <v>10604.620999999999</v>
          </cell>
          <cell r="V140">
            <v>10783.967000000001</v>
          </cell>
          <cell r="W140">
            <v>10972.912</v>
          </cell>
          <cell r="X140">
            <v>11172.529</v>
          </cell>
          <cell r="Y140">
            <v>11382.967000000001</v>
          </cell>
          <cell r="Z140">
            <v>11603.928</v>
          </cell>
          <cell r="AA140">
            <v>11834.654</v>
          </cell>
          <cell r="AB140">
            <v>12074.626</v>
          </cell>
          <cell r="AC140">
            <v>12323.982</v>
          </cell>
          <cell r="AD140">
            <v>12583.14</v>
          </cell>
          <cell r="AE140">
            <v>12852.206</v>
          </cell>
          <cell r="AF140">
            <v>13131.26</v>
          </cell>
          <cell r="AG140">
            <v>13420.369000000001</v>
          </cell>
          <cell r="AH140">
            <v>13719.471</v>
          </cell>
          <cell r="AI140">
            <v>14028.536</v>
          </cell>
          <cell r="AJ140">
            <v>14347.641</v>
          </cell>
          <cell r="AK140">
            <v>14676.929</v>
          </cell>
          <cell r="AL140">
            <v>15016.402</v>
          </cell>
          <cell r="AM140">
            <v>15367.23</v>
          </cell>
          <cell r="AN140">
            <v>15729.431</v>
          </cell>
          <cell r="AO140">
            <v>16100.617</v>
          </cell>
          <cell r="AP140">
            <v>16477.473000000002</v>
          </cell>
          <cell r="AQ140">
            <v>16858.310000000001</v>
          </cell>
          <cell r="AR140">
            <v>17239.672999999999</v>
          </cell>
          <cell r="AS140">
            <v>17623.692999999999</v>
          </cell>
          <cell r="AT140">
            <v>18020.753000000001</v>
          </cell>
          <cell r="AU140">
            <v>18445.027999999998</v>
          </cell>
          <cell r="AV140">
            <v>18905.477999999999</v>
          </cell>
          <cell r="AW140">
            <v>19405.504000000001</v>
          </cell>
          <cell r="AX140">
            <v>19938.32</v>
          </cell>
          <cell r="AY140">
            <v>20489.974999999999</v>
          </cell>
          <cell r="AZ140">
            <v>21040.903999999999</v>
          </cell>
          <cell r="BA140">
            <v>21576.071</v>
          </cell>
          <cell r="BB140">
            <v>22090.351999999999</v>
          </cell>
          <cell r="BC140">
            <v>22584.775000000001</v>
          </cell>
          <cell r="BD140">
            <v>23057.883000000002</v>
          </cell>
          <cell r="BE140">
            <v>23509.964</v>
          </cell>
          <cell r="BF140">
            <v>23941.11</v>
          </cell>
          <cell r="BG140">
            <v>24347.106</v>
          </cell>
          <cell r="BH140">
            <v>24725.627</v>
          </cell>
          <cell r="BI140">
            <v>25080.871999999999</v>
          </cell>
          <cell r="BJ140">
            <v>25419.344000000001</v>
          </cell>
          <cell r="BK140">
            <v>25744.5</v>
          </cell>
          <cell r="BL140">
            <v>26066.692999999999</v>
          </cell>
          <cell r="BM140">
            <v>26382.580999999998</v>
          </cell>
          <cell r="BN140">
            <v>26666.576000000001</v>
          </cell>
          <cell r="BO140">
            <v>26883.535</v>
          </cell>
          <cell r="BP140">
            <v>27013.212</v>
          </cell>
          <cell r="BQ140">
            <v>27041.22</v>
          </cell>
          <cell r="BR140">
            <v>26989.163</v>
          </cell>
          <cell r="BS140">
            <v>26916.793000000001</v>
          </cell>
          <cell r="BT140">
            <v>26905.977999999999</v>
          </cell>
          <cell r="BU140">
            <v>27015.030999999999</v>
          </cell>
          <cell r="BV140">
            <v>27263.433000000001</v>
          </cell>
          <cell r="BW140">
            <v>27632.681</v>
          </cell>
          <cell r="BX140">
            <v>28095.714</v>
          </cell>
        </row>
        <row r="141">
          <cell r="C141" t="str">
            <v>Pakistan</v>
          </cell>
          <cell r="E141">
            <v>586</v>
          </cell>
          <cell r="F141" t="str">
            <v>Country</v>
          </cell>
          <cell r="G141">
            <v>5501</v>
          </cell>
          <cell r="H141">
            <v>37542.375999999997</v>
          </cell>
          <cell r="I141">
            <v>37992.885999999999</v>
          </cell>
          <cell r="J141">
            <v>38516.514999999999</v>
          </cell>
          <cell r="K141">
            <v>39109.093000000001</v>
          </cell>
          <cell r="L141">
            <v>39767.173999999999</v>
          </cell>
          <cell r="M141">
            <v>40488.03</v>
          </cell>
          <cell r="N141">
            <v>41269.724000000002</v>
          </cell>
          <cell r="O141">
            <v>42111.01</v>
          </cell>
          <cell r="P141">
            <v>43011.315000000002</v>
          </cell>
          <cell r="Q141">
            <v>43970.555999999997</v>
          </cell>
          <cell r="R141">
            <v>44988.69</v>
          </cell>
          <cell r="S141">
            <v>46065.231</v>
          </cell>
          <cell r="T141">
            <v>47198.877999999997</v>
          </cell>
          <cell r="U141">
            <v>48387.300999999999</v>
          </cell>
          <cell r="V141">
            <v>49627.623</v>
          </cell>
          <cell r="W141">
            <v>50917.974999999999</v>
          </cell>
          <cell r="X141">
            <v>52260.188999999998</v>
          </cell>
          <cell r="Y141">
            <v>53655.788999999997</v>
          </cell>
          <cell r="Z141">
            <v>55102.684000000001</v>
          </cell>
          <cell r="AA141">
            <v>56598.144</v>
          </cell>
          <cell r="AB141">
            <v>58142.06</v>
          </cell>
          <cell r="AC141">
            <v>59734.481</v>
          </cell>
          <cell r="AD141">
            <v>61381.987000000001</v>
          </cell>
          <cell r="AE141">
            <v>63099.406000000003</v>
          </cell>
          <cell r="AF141">
            <v>64905.998</v>
          </cell>
          <cell r="AG141">
            <v>66816.876999999993</v>
          </cell>
          <cell r="AH141">
            <v>68834.326000000001</v>
          </cell>
          <cell r="AI141">
            <v>70958.168999999994</v>
          </cell>
          <cell r="AJ141">
            <v>73197.258000000002</v>
          </cell>
          <cell r="AK141">
            <v>75561.130999999994</v>
          </cell>
          <cell r="AL141">
            <v>78054.342999999993</v>
          </cell>
          <cell r="AM141">
            <v>80680.459000000003</v>
          </cell>
          <cell r="AN141">
            <v>83431.604999999996</v>
          </cell>
          <cell r="AO141">
            <v>86285.934999999998</v>
          </cell>
          <cell r="AP141">
            <v>89213.706000000006</v>
          </cell>
          <cell r="AQ141">
            <v>92191.51</v>
          </cell>
          <cell r="AR141">
            <v>95215.377999999997</v>
          </cell>
          <cell r="AS141">
            <v>98285.755000000005</v>
          </cell>
          <cell r="AT141">
            <v>101389.603</v>
          </cell>
          <cell r="AU141">
            <v>104512.88099999999</v>
          </cell>
          <cell r="AV141">
            <v>107647.921</v>
          </cell>
          <cell r="AW141">
            <v>110778.648</v>
          </cell>
          <cell r="AX141">
            <v>113911.126</v>
          </cell>
          <cell r="AY141">
            <v>117086.685</v>
          </cell>
          <cell r="AZ141">
            <v>120362.762</v>
          </cell>
          <cell r="BA141">
            <v>123776.83900000001</v>
          </cell>
          <cell r="BB141">
            <v>127349.29</v>
          </cell>
          <cell r="BC141">
            <v>131057.431</v>
          </cell>
          <cell r="BD141">
            <v>134843.23300000001</v>
          </cell>
          <cell r="BE141">
            <v>138624.62100000001</v>
          </cell>
          <cell r="BF141">
            <v>142343.57800000001</v>
          </cell>
          <cell r="BG141">
            <v>145978.402</v>
          </cell>
          <cell r="BH141">
            <v>149549.70000000001</v>
          </cell>
          <cell r="BI141">
            <v>153093.37299999999</v>
          </cell>
          <cell r="BJ141">
            <v>156664.69699999999</v>
          </cell>
          <cell r="BK141">
            <v>160304.008</v>
          </cell>
          <cell r="BL141">
            <v>164022.62700000001</v>
          </cell>
          <cell r="BM141">
            <v>167808.10500000001</v>
          </cell>
          <cell r="BN141">
            <v>171648.986</v>
          </cell>
          <cell r="BO141">
            <v>175525.609</v>
          </cell>
          <cell r="BP141">
            <v>179424.641</v>
          </cell>
          <cell r="BQ141">
            <v>183340.174</v>
          </cell>
          <cell r="BR141">
            <v>187280.12899999999</v>
          </cell>
          <cell r="BS141">
            <v>191260.80600000001</v>
          </cell>
          <cell r="BT141">
            <v>195305.01300000001</v>
          </cell>
          <cell r="BU141">
            <v>199426.96400000001</v>
          </cell>
          <cell r="BV141">
            <v>203631.353</v>
          </cell>
          <cell r="BW141">
            <v>207906.209</v>
          </cell>
          <cell r="BX141">
            <v>212228.28599999999</v>
          </cell>
        </row>
        <row r="142">
          <cell r="C142" t="str">
            <v>Sri Lanka</v>
          </cell>
          <cell r="E142">
            <v>144</v>
          </cell>
          <cell r="F142" t="str">
            <v>Country</v>
          </cell>
          <cell r="G142">
            <v>5501</v>
          </cell>
          <cell r="H142">
            <v>7971.098</v>
          </cell>
          <cell r="I142">
            <v>8108.433</v>
          </cell>
          <cell r="J142">
            <v>8256.5519999999997</v>
          </cell>
          <cell r="K142">
            <v>8417.1129999999994</v>
          </cell>
          <cell r="L142">
            <v>8591.018</v>
          </cell>
          <cell r="M142">
            <v>8778.4380000000001</v>
          </cell>
          <cell r="N142">
            <v>8978.7649999999994</v>
          </cell>
          <cell r="O142">
            <v>9190.65</v>
          </cell>
          <cell r="P142">
            <v>9412.1389999999992</v>
          </cell>
          <cell r="Q142">
            <v>9640.8250000000007</v>
          </cell>
          <cell r="R142">
            <v>9874.4760000000006</v>
          </cell>
          <cell r="S142">
            <v>10111.637000000001</v>
          </cell>
          <cell r="T142">
            <v>10352.179</v>
          </cell>
          <cell r="U142">
            <v>10597.511</v>
          </cell>
          <cell r="V142">
            <v>10849.975</v>
          </cell>
          <cell r="W142">
            <v>11110.82</v>
          </cell>
          <cell r="X142">
            <v>11380.67</v>
          </cell>
          <cell r="Y142">
            <v>11657.65</v>
          </cell>
          <cell r="Z142">
            <v>11937.6</v>
          </cell>
          <cell r="AA142">
            <v>12214.956</v>
          </cell>
          <cell r="AB142">
            <v>12485.74</v>
          </cell>
          <cell r="AC142">
            <v>12747.821</v>
          </cell>
          <cell r="AD142">
            <v>13002.231</v>
          </cell>
          <cell r="AE142">
            <v>13252.036</v>
          </cell>
          <cell r="AF142">
            <v>13501.934999999999</v>
          </cell>
          <cell r="AG142">
            <v>13755.146000000001</v>
          </cell>
          <cell r="AH142">
            <v>14012.898999999999</v>
          </cell>
          <cell r="AI142">
            <v>14273.495000000001</v>
          </cell>
          <cell r="AJ142">
            <v>14533.69</v>
          </cell>
          <cell r="AK142">
            <v>14788.861999999999</v>
          </cell>
          <cell r="AL142">
            <v>15035.834000000001</v>
          </cell>
          <cell r="AM142">
            <v>15272.831</v>
          </cell>
          <cell r="AN142">
            <v>15501.207</v>
          </cell>
          <cell r="AO142">
            <v>15724.651</v>
          </cell>
          <cell r="AP142">
            <v>15948.486999999999</v>
          </cell>
          <cell r="AQ142">
            <v>16176.28</v>
          </cell>
          <cell r="AR142">
            <v>16408.859</v>
          </cell>
          <cell r="AS142">
            <v>16643.952000000001</v>
          </cell>
          <cell r="AT142">
            <v>16878.188999999998</v>
          </cell>
          <cell r="AU142">
            <v>17106.753000000001</v>
          </cell>
          <cell r="AV142">
            <v>17325.773000000001</v>
          </cell>
          <cell r="AW142">
            <v>17535.728999999999</v>
          </cell>
          <cell r="AX142">
            <v>17736.821</v>
          </cell>
          <cell r="AY142">
            <v>17924.823</v>
          </cell>
          <cell r="AZ142">
            <v>18094.476999999999</v>
          </cell>
          <cell r="BA142">
            <v>18242.912</v>
          </cell>
          <cell r="BB142">
            <v>18367.288</v>
          </cell>
          <cell r="BC142">
            <v>18470.900000000001</v>
          </cell>
          <cell r="BD142">
            <v>18564.598999999998</v>
          </cell>
          <cell r="BE142">
            <v>18663.284</v>
          </cell>
          <cell r="BF142">
            <v>18777.600999999999</v>
          </cell>
          <cell r="BG142">
            <v>18911.73</v>
          </cell>
          <cell r="BH142">
            <v>19062.482</v>
          </cell>
          <cell r="BI142">
            <v>19224.037</v>
          </cell>
          <cell r="BJ142">
            <v>19387.152999999998</v>
          </cell>
          <cell r="BK142">
            <v>19544.988000000001</v>
          </cell>
          <cell r="BL142">
            <v>19695.972000000002</v>
          </cell>
          <cell r="BM142">
            <v>19842.044000000002</v>
          </cell>
          <cell r="BN142">
            <v>19983.984</v>
          </cell>
          <cell r="BO142">
            <v>20123.508000000002</v>
          </cell>
          <cell r="BP142">
            <v>20261.737000000001</v>
          </cell>
          <cell r="BQ142">
            <v>20398.496999999999</v>
          </cell>
          <cell r="BR142">
            <v>20532.599999999999</v>
          </cell>
          <cell r="BS142">
            <v>20663.045999999998</v>
          </cell>
          <cell r="BT142">
            <v>20788.510999999999</v>
          </cell>
          <cell r="BU142">
            <v>20908.026999999998</v>
          </cell>
          <cell r="BV142">
            <v>21021.170999999998</v>
          </cell>
          <cell r="BW142">
            <v>21128.031999999999</v>
          </cell>
          <cell r="BX142">
            <v>21228.762999999999</v>
          </cell>
        </row>
        <row r="143">
          <cell r="C143" t="str">
            <v>EASTERN AND SOUTH-EASTERN ASIA</v>
          </cell>
          <cell r="E143">
            <v>1832</v>
          </cell>
          <cell r="F143" t="str">
            <v>SDG region</v>
          </cell>
          <cell r="G143">
            <v>1828</v>
          </cell>
          <cell r="H143">
            <v>842669.35</v>
          </cell>
          <cell r="I143">
            <v>863806.41</v>
          </cell>
          <cell r="J143">
            <v>882455.57200000004</v>
          </cell>
          <cell r="K143">
            <v>899581.505</v>
          </cell>
          <cell r="L143">
            <v>915966.54500000004</v>
          </cell>
          <cell r="M143">
            <v>932210.43299999996</v>
          </cell>
          <cell r="N143">
            <v>948722.71600000001</v>
          </cell>
          <cell r="O143">
            <v>965730.44</v>
          </cell>
          <cell r="P143">
            <v>983300.549</v>
          </cell>
          <cell r="Q143">
            <v>1001377.35</v>
          </cell>
          <cell r="R143">
            <v>1019894.827</v>
          </cell>
          <cell r="S143">
            <v>1038896.512</v>
          </cell>
          <cell r="T143">
            <v>1058640.3019999999</v>
          </cell>
          <cell r="U143">
            <v>1079643.4480000001</v>
          </cell>
          <cell r="V143">
            <v>1102555.1089999999</v>
          </cell>
          <cell r="W143">
            <v>1127782.047</v>
          </cell>
          <cell r="X143">
            <v>1155500.433</v>
          </cell>
          <cell r="Y143">
            <v>1185418.2990000001</v>
          </cell>
          <cell r="Z143">
            <v>1216874.2690000001</v>
          </cell>
          <cell r="AA143">
            <v>1248933.3060000001</v>
          </cell>
          <cell r="AB143">
            <v>1280852.8060000001</v>
          </cell>
          <cell r="AC143">
            <v>1312481.7080000001</v>
          </cell>
          <cell r="AD143">
            <v>1343819.9</v>
          </cell>
          <cell r="AE143">
            <v>1374465.868</v>
          </cell>
          <cell r="AF143">
            <v>1403988.362</v>
          </cell>
          <cell r="AG143">
            <v>1432113.656</v>
          </cell>
          <cell r="AH143">
            <v>1458649.5220000001</v>
          </cell>
          <cell r="AI143">
            <v>1483728.764</v>
          </cell>
          <cell r="AJ143">
            <v>1507833.1159999999</v>
          </cell>
          <cell r="AK143">
            <v>1531661.6470000001</v>
          </cell>
          <cell r="AL143">
            <v>1555767.49</v>
          </cell>
          <cell r="AM143">
            <v>1580137.0819999999</v>
          </cell>
          <cell r="AN143">
            <v>1604728.1939999999</v>
          </cell>
          <cell r="AO143">
            <v>1630014.415</v>
          </cell>
          <cell r="AP143">
            <v>1656565.304</v>
          </cell>
          <cell r="AQ143">
            <v>1684698.0149999999</v>
          </cell>
          <cell r="AR143">
            <v>1714716.7</v>
          </cell>
          <cell r="AS143">
            <v>1746285.098</v>
          </cell>
          <cell r="AT143">
            <v>1778281.2239999999</v>
          </cell>
          <cell r="AU143">
            <v>1809157.727</v>
          </cell>
          <cell r="AV143">
            <v>1837799.0009999999</v>
          </cell>
          <cell r="AW143">
            <v>1863781.6629999999</v>
          </cell>
          <cell r="AX143">
            <v>1887406.5719999999</v>
          </cell>
          <cell r="AY143">
            <v>1909174.8319999999</v>
          </cell>
          <cell r="AZ143">
            <v>1929908.9939999999</v>
          </cell>
          <cell r="BA143">
            <v>1950219.959</v>
          </cell>
          <cell r="BB143">
            <v>1970233.264</v>
          </cell>
          <cell r="BC143">
            <v>1989767.415</v>
          </cell>
          <cell r="BD143">
            <v>2008775.807</v>
          </cell>
          <cell r="BE143">
            <v>2027138.8540000001</v>
          </cell>
          <cell r="BF143">
            <v>2044789.24</v>
          </cell>
          <cell r="BG143">
            <v>2061763.402</v>
          </cell>
          <cell r="BH143">
            <v>2078182.476</v>
          </cell>
          <cell r="BI143">
            <v>2094161.7239999999</v>
          </cell>
          <cell r="BJ143">
            <v>2109844.4759999998</v>
          </cell>
          <cell r="BK143">
            <v>2125348.3760000002</v>
          </cell>
          <cell r="BL143">
            <v>2140698.1120000002</v>
          </cell>
          <cell r="BM143">
            <v>2155914.7740000002</v>
          </cell>
          <cell r="BN143">
            <v>2171101.6549999998</v>
          </cell>
          <cell r="BO143">
            <v>2186376.037</v>
          </cell>
          <cell r="BP143">
            <v>2201806.682</v>
          </cell>
          <cell r="BQ143">
            <v>2217429.5520000001</v>
          </cell>
          <cell r="BR143">
            <v>2233184.3259999999</v>
          </cell>
          <cell r="BS143">
            <v>2248916.713</v>
          </cell>
          <cell r="BT143">
            <v>2264410.4870000002</v>
          </cell>
          <cell r="BU143">
            <v>2279489.63</v>
          </cell>
          <cell r="BV143">
            <v>2294101.3220000002</v>
          </cell>
          <cell r="BW143">
            <v>2308227.7259999998</v>
          </cell>
          <cell r="BX143">
            <v>2321769.77</v>
          </cell>
        </row>
        <row r="144">
          <cell r="C144" t="str">
            <v>Eastern Asia</v>
          </cell>
          <cell r="E144">
            <v>906</v>
          </cell>
          <cell r="F144" t="str">
            <v>Subregion</v>
          </cell>
          <cell r="G144">
            <v>1832</v>
          </cell>
          <cell r="H144">
            <v>677535.25300000003</v>
          </cell>
          <cell r="I144">
            <v>694908.93599999999</v>
          </cell>
          <cell r="J144">
            <v>709512.84600000002</v>
          </cell>
          <cell r="K144">
            <v>722324.78599999996</v>
          </cell>
          <cell r="L144">
            <v>734139.48300000001</v>
          </cell>
          <cell r="M144">
            <v>745568.56499999994</v>
          </cell>
          <cell r="N144">
            <v>757032.71200000006</v>
          </cell>
          <cell r="O144">
            <v>768769.43900000001</v>
          </cell>
          <cell r="P144">
            <v>780855.66299999994</v>
          </cell>
          <cell r="Q144">
            <v>793245.04500000004</v>
          </cell>
          <cell r="R144">
            <v>805880.85800000001</v>
          </cell>
          <cell r="S144">
            <v>818816.01100000006</v>
          </cell>
          <cell r="T144">
            <v>832318.16399999999</v>
          </cell>
          <cell r="U144">
            <v>846914.91700000002</v>
          </cell>
          <cell r="V144">
            <v>863265.96600000001</v>
          </cell>
          <cell r="W144">
            <v>881787.78</v>
          </cell>
          <cell r="X144">
            <v>902669.50699999998</v>
          </cell>
          <cell r="Y144">
            <v>925627.65899999999</v>
          </cell>
          <cell r="Z144">
            <v>950000.68200000003</v>
          </cell>
          <cell r="AA144">
            <v>974850.14500000002</v>
          </cell>
          <cell r="AB144">
            <v>999435.12399999995</v>
          </cell>
          <cell r="AC144">
            <v>1023594.596</v>
          </cell>
          <cell r="AD144">
            <v>1047342.064</v>
          </cell>
          <cell r="AE144">
            <v>1070328.6040000001</v>
          </cell>
          <cell r="AF144">
            <v>1092192.148</v>
          </cell>
          <cell r="AG144">
            <v>1112702.8060000001</v>
          </cell>
          <cell r="AH144">
            <v>1131702.3940000001</v>
          </cell>
          <cell r="AI144">
            <v>1149295.7720000001</v>
          </cell>
          <cell r="AJ144">
            <v>1165870.4129999999</v>
          </cell>
          <cell r="AK144">
            <v>1181993.0819999999</v>
          </cell>
          <cell r="AL144">
            <v>1198125.8149999999</v>
          </cell>
          <cell r="AM144">
            <v>1214228.8389999999</v>
          </cell>
          <cell r="AN144">
            <v>1230302.433</v>
          </cell>
          <cell r="AO144">
            <v>1246883.162</v>
          </cell>
          <cell r="AP144">
            <v>1264634.92</v>
          </cell>
          <cell r="AQ144">
            <v>1283950.2930000001</v>
          </cell>
          <cell r="AR144">
            <v>1305150.6429999999</v>
          </cell>
          <cell r="AS144">
            <v>1327899.6939999999</v>
          </cell>
          <cell r="AT144">
            <v>1351113.977</v>
          </cell>
          <cell r="AU144">
            <v>1373287.3659999999</v>
          </cell>
          <cell r="AV144">
            <v>1393334.798</v>
          </cell>
          <cell r="AW144">
            <v>1410860.0020000001</v>
          </cell>
          <cell r="AX144">
            <v>1426166.8559999999</v>
          </cell>
          <cell r="AY144">
            <v>1439731.747</v>
          </cell>
          <cell r="AZ144">
            <v>1452336.5319999999</v>
          </cell>
          <cell r="BA144">
            <v>1464564.6329999999</v>
          </cell>
          <cell r="BB144">
            <v>1476529.2560000001</v>
          </cell>
          <cell r="BC144">
            <v>1488065.3840000001</v>
          </cell>
          <cell r="BD144">
            <v>1499161.0160000001</v>
          </cell>
          <cell r="BE144">
            <v>1509745.048</v>
          </cell>
          <cell r="BF144">
            <v>1519781.3089999999</v>
          </cell>
          <cell r="BG144">
            <v>1529313.7949999999</v>
          </cell>
          <cell r="BH144">
            <v>1538440.5009999999</v>
          </cell>
          <cell r="BI144">
            <v>1547238.612</v>
          </cell>
          <cell r="BJ144">
            <v>1555797.7860000001</v>
          </cell>
          <cell r="BK144">
            <v>1564192.3049999999</v>
          </cell>
          <cell r="BL144">
            <v>1572445.2790000001</v>
          </cell>
          <cell r="BM144">
            <v>1580576.6470000001</v>
          </cell>
          <cell r="BN144">
            <v>1588648.773</v>
          </cell>
          <cell r="BO144">
            <v>1596729.794</v>
          </cell>
          <cell r="BP144">
            <v>1604859.4369999999</v>
          </cell>
          <cell r="BQ144">
            <v>1613052.706</v>
          </cell>
          <cell r="BR144">
            <v>1621273.737</v>
          </cell>
          <cell r="BS144">
            <v>1629442.2620000001</v>
          </cell>
          <cell r="BT144">
            <v>1637445.263</v>
          </cell>
          <cell r="BU144">
            <v>1645183.926</v>
          </cell>
          <cell r="BV144">
            <v>1652634.68</v>
          </cell>
          <cell r="BW144">
            <v>1659767.9950000001</v>
          </cell>
          <cell r="BX144">
            <v>1666471.33</v>
          </cell>
        </row>
        <row r="145">
          <cell r="C145" t="str">
            <v>China</v>
          </cell>
          <cell r="D145">
            <v>8</v>
          </cell>
          <cell r="E145">
            <v>156</v>
          </cell>
          <cell r="F145" t="str">
            <v>Country</v>
          </cell>
          <cell r="G145">
            <v>906</v>
          </cell>
          <cell r="H145">
            <v>554419.27300000004</v>
          </cell>
          <cell r="I145">
            <v>569909.11699999997</v>
          </cell>
          <cell r="J145">
            <v>582576.49100000004</v>
          </cell>
          <cell r="K145">
            <v>593365.87699999998</v>
          </cell>
          <cell r="L145">
            <v>603052.32400000002</v>
          </cell>
          <cell r="M145">
            <v>612241.554</v>
          </cell>
          <cell r="N145">
            <v>621363.23400000005</v>
          </cell>
          <cell r="O145">
            <v>630677.64500000002</v>
          </cell>
          <cell r="P145">
            <v>640295.772</v>
          </cell>
          <cell r="Q145">
            <v>650212.73400000005</v>
          </cell>
          <cell r="R145">
            <v>660408.05599999998</v>
          </cell>
          <cell r="S145">
            <v>670952.69499999995</v>
          </cell>
          <cell r="T145">
            <v>682102.65500000003</v>
          </cell>
          <cell r="U145">
            <v>694339.08299999998</v>
          </cell>
          <cell r="V145">
            <v>708254.59699999995</v>
          </cell>
          <cell r="W145">
            <v>724218.96799999999</v>
          </cell>
          <cell r="X145">
            <v>742414.88500000001</v>
          </cell>
          <cell r="Y145">
            <v>762581.17599999998</v>
          </cell>
          <cell r="Z145">
            <v>784074.70900000003</v>
          </cell>
          <cell r="AA145">
            <v>805985.93900000001</v>
          </cell>
          <cell r="AB145">
            <v>827601.39399999997</v>
          </cell>
          <cell r="AC145">
            <v>848759.71</v>
          </cell>
          <cell r="AD145">
            <v>869485.96400000004</v>
          </cell>
          <cell r="AE145">
            <v>889485.37199999997</v>
          </cell>
          <cell r="AF145">
            <v>908464.19799999997</v>
          </cell>
          <cell r="AG145">
            <v>926240.88500000001</v>
          </cell>
          <cell r="AH145">
            <v>942685.41099999996</v>
          </cell>
          <cell r="AI145">
            <v>957891.272</v>
          </cell>
          <cell r="AJ145">
            <v>972205.44200000004</v>
          </cell>
          <cell r="AK145">
            <v>986132.20200000005</v>
          </cell>
          <cell r="AL145">
            <v>1000089.235</v>
          </cell>
          <cell r="AM145">
            <v>1014022.2120000001</v>
          </cell>
          <cell r="AN145">
            <v>1027948.987</v>
          </cell>
          <cell r="AO145">
            <v>1042431.412</v>
          </cell>
          <cell r="AP145">
            <v>1058171.976</v>
          </cell>
          <cell r="AQ145">
            <v>1075589.361</v>
          </cell>
          <cell r="AR145">
            <v>1095014.1089999999</v>
          </cell>
          <cell r="AS145">
            <v>1116095.476</v>
          </cell>
          <cell r="AT145">
            <v>1137724.227</v>
          </cell>
          <cell r="AU145">
            <v>1158357.3970000001</v>
          </cell>
          <cell r="AV145">
            <v>1176883.6740000001</v>
          </cell>
          <cell r="AW145">
            <v>1192897.284</v>
          </cell>
          <cell r="AX145">
            <v>1206711.2439999999</v>
          </cell>
          <cell r="AY145">
            <v>1218817.0549999999</v>
          </cell>
          <cell r="AZ145">
            <v>1230020.031</v>
          </cell>
          <cell r="BA145">
            <v>1240920.5349999999</v>
          </cell>
          <cell r="BB145">
            <v>1251636.186</v>
          </cell>
          <cell r="BC145">
            <v>1261996.0120000001</v>
          </cell>
          <cell r="BD145">
            <v>1271982.3500000001</v>
          </cell>
          <cell r="BE145">
            <v>1281514.8319999999</v>
          </cell>
          <cell r="BF145">
            <v>1290550.7649999999</v>
          </cell>
          <cell r="BG145">
            <v>1299129.7520000001</v>
          </cell>
          <cell r="BH145">
            <v>1307352.257</v>
          </cell>
          <cell r="BI145">
            <v>1315303.5209999999</v>
          </cell>
          <cell r="BJ145">
            <v>1323084.6410000001</v>
          </cell>
          <cell r="BK145">
            <v>1330776.3799999999</v>
          </cell>
          <cell r="BL145">
            <v>1338408.6470000001</v>
          </cell>
          <cell r="BM145">
            <v>1345993.888</v>
          </cell>
          <cell r="BN145">
            <v>1353569.4839999999</v>
          </cell>
          <cell r="BO145">
            <v>1361169.419</v>
          </cell>
          <cell r="BP145">
            <v>1368810.615</v>
          </cell>
          <cell r="BQ145">
            <v>1376497.639</v>
          </cell>
          <cell r="BR145">
            <v>1384206.4010000001</v>
          </cell>
          <cell r="BS145">
            <v>1391883.33</v>
          </cell>
          <cell r="BT145">
            <v>1399453.9650000001</v>
          </cell>
          <cell r="BU145">
            <v>1406847.87</v>
          </cell>
          <cell r="BV145">
            <v>1414049.351</v>
          </cell>
          <cell r="BW145">
            <v>1421021.791</v>
          </cell>
          <cell r="BX145">
            <v>1427647.7860000001</v>
          </cell>
        </row>
        <row r="146">
          <cell r="C146" t="str">
            <v>China, Hong Kong SAR</v>
          </cell>
          <cell r="D146">
            <v>9</v>
          </cell>
          <cell r="E146">
            <v>344</v>
          </cell>
          <cell r="F146" t="str">
            <v>Country</v>
          </cell>
          <cell r="G146">
            <v>906</v>
          </cell>
          <cell r="H146">
            <v>1973.998</v>
          </cell>
          <cell r="I146">
            <v>2057.7440000000001</v>
          </cell>
          <cell r="J146">
            <v>2150.1019999999999</v>
          </cell>
          <cell r="K146">
            <v>2250.7089999999998</v>
          </cell>
          <cell r="L146">
            <v>2358.7020000000002</v>
          </cell>
          <cell r="M146">
            <v>2472.6579999999999</v>
          </cell>
          <cell r="N146">
            <v>2590.5590000000002</v>
          </cell>
          <cell r="O146">
            <v>2709.8429999999998</v>
          </cell>
          <cell r="P146">
            <v>2827.5590000000002</v>
          </cell>
          <cell r="Q146">
            <v>2940.5279999999998</v>
          </cell>
          <cell r="R146">
            <v>3046.05</v>
          </cell>
          <cell r="S146">
            <v>3142.5709999999999</v>
          </cell>
          <cell r="T146">
            <v>3230.299</v>
          </cell>
          <cell r="U146">
            <v>3311.4580000000001</v>
          </cell>
          <cell r="V146">
            <v>3389.558</v>
          </cell>
          <cell r="W146">
            <v>3467.22</v>
          </cell>
          <cell r="X146">
            <v>3545.855</v>
          </cell>
          <cell r="Y146">
            <v>3624.98</v>
          </cell>
          <cell r="Z146">
            <v>3703.1709999999998</v>
          </cell>
          <cell r="AA146">
            <v>3778.1849999999999</v>
          </cell>
          <cell r="AB146">
            <v>3848.924</v>
          </cell>
          <cell r="AC146">
            <v>3913.5990000000002</v>
          </cell>
          <cell r="AD146">
            <v>3974.1970000000001</v>
          </cell>
          <cell r="AE146">
            <v>4037.7939999999999</v>
          </cell>
          <cell r="AF146">
            <v>4113.99</v>
          </cell>
          <cell r="AG146">
            <v>4208.9549999999999</v>
          </cell>
          <cell r="AH146">
            <v>4326.3360000000002</v>
          </cell>
          <cell r="AI146">
            <v>4462.402</v>
          </cell>
          <cell r="AJ146">
            <v>4607.0290000000005</v>
          </cell>
          <cell r="AK146">
            <v>4745.8789999999999</v>
          </cell>
          <cell r="AL146">
            <v>4868.7420000000002</v>
          </cell>
          <cell r="AM146">
            <v>4971.6869999999999</v>
          </cell>
          <cell r="AN146">
            <v>5058.04</v>
          </cell>
          <cell r="AO146">
            <v>5133.7089999999998</v>
          </cell>
          <cell r="AP146">
            <v>5207.8389999999999</v>
          </cell>
          <cell r="AQ146">
            <v>5287.0219999999999</v>
          </cell>
          <cell r="AR146">
            <v>5373.4470000000001</v>
          </cell>
          <cell r="AS146">
            <v>5464.7049999999999</v>
          </cell>
          <cell r="AT146">
            <v>5557.3909999999996</v>
          </cell>
          <cell r="AU146">
            <v>5646.2730000000001</v>
          </cell>
          <cell r="AV146">
            <v>5727.9380000000001</v>
          </cell>
          <cell r="AW146">
            <v>5800.0370000000003</v>
          </cell>
          <cell r="AX146">
            <v>5864.7389999999996</v>
          </cell>
          <cell r="AY146">
            <v>5928.3339999999998</v>
          </cell>
          <cell r="AZ146">
            <v>5999.6170000000002</v>
          </cell>
          <cell r="BA146">
            <v>6084.2269999999999</v>
          </cell>
          <cell r="BB146">
            <v>6185.585</v>
          </cell>
          <cell r="BC146">
            <v>6299.9210000000003</v>
          </cell>
          <cell r="BD146">
            <v>6416.9920000000002</v>
          </cell>
          <cell r="BE146">
            <v>6522.4660000000003</v>
          </cell>
          <cell r="BF146">
            <v>6606.3270000000002</v>
          </cell>
          <cell r="BG146">
            <v>6664.7719999999999</v>
          </cell>
          <cell r="BH146">
            <v>6701.7749999999996</v>
          </cell>
          <cell r="BI146">
            <v>6724.6769999999997</v>
          </cell>
          <cell r="BJ146">
            <v>6744.5659999999998</v>
          </cell>
          <cell r="BK146">
            <v>6769.5739999999996</v>
          </cell>
          <cell r="BL146">
            <v>6802.08</v>
          </cell>
          <cell r="BM146">
            <v>6840.0150000000003</v>
          </cell>
          <cell r="BN146">
            <v>6881.8630000000003</v>
          </cell>
          <cell r="BO146">
            <v>6924.6419999999998</v>
          </cell>
          <cell r="BP146">
            <v>6966.3310000000001</v>
          </cell>
          <cell r="BQ146">
            <v>7006.59</v>
          </cell>
          <cell r="BR146">
            <v>7046.848</v>
          </cell>
          <cell r="BS146">
            <v>7088.7780000000002</v>
          </cell>
          <cell r="BT146">
            <v>7134.67</v>
          </cell>
          <cell r="BU146">
            <v>7185.9960000000001</v>
          </cell>
          <cell r="BV146">
            <v>7243.5420000000004</v>
          </cell>
          <cell r="BW146">
            <v>7306.3220000000001</v>
          </cell>
          <cell r="BX146">
            <v>7371.73</v>
          </cell>
        </row>
        <row r="147">
          <cell r="C147" t="str">
            <v>China, Macao SAR</v>
          </cell>
          <cell r="D147">
            <v>10</v>
          </cell>
          <cell r="E147">
            <v>446</v>
          </cell>
          <cell r="F147" t="str">
            <v>Country</v>
          </cell>
          <cell r="G147">
            <v>906</v>
          </cell>
          <cell r="H147">
            <v>196.48099999999999</v>
          </cell>
          <cell r="I147">
            <v>200.48699999999999</v>
          </cell>
          <cell r="J147">
            <v>201.27</v>
          </cell>
          <cell r="K147">
            <v>199.291</v>
          </cell>
          <cell r="L147">
            <v>195.12799999999999</v>
          </cell>
          <cell r="M147">
            <v>189.46</v>
          </cell>
          <cell r="N147">
            <v>183.042</v>
          </cell>
          <cell r="O147">
            <v>176.751</v>
          </cell>
          <cell r="P147">
            <v>171.52099999999999</v>
          </cell>
          <cell r="Q147">
            <v>168.286</v>
          </cell>
          <cell r="R147">
            <v>167.791</v>
          </cell>
          <cell r="S147">
            <v>170.46199999999999</v>
          </cell>
          <cell r="T147">
            <v>176.18299999999999</v>
          </cell>
          <cell r="U147">
            <v>184.245</v>
          </cell>
          <cell r="V147">
            <v>193.56100000000001</v>
          </cell>
          <cell r="W147">
            <v>203.22800000000001</v>
          </cell>
          <cell r="X147">
            <v>213.19200000000001</v>
          </cell>
          <cell r="Y147">
            <v>223.41800000000001</v>
          </cell>
          <cell r="Z147">
            <v>233</v>
          </cell>
          <cell r="AA147">
            <v>240.839</v>
          </cell>
          <cell r="AB147">
            <v>246.19399999999999</v>
          </cell>
          <cell r="AC147">
            <v>248.738</v>
          </cell>
          <cell r="AD147">
            <v>248.767</v>
          </cell>
          <cell r="AE147">
            <v>246.947</v>
          </cell>
          <cell r="AF147">
            <v>244.285</v>
          </cell>
          <cell r="AG147">
            <v>241.62799999999999</v>
          </cell>
          <cell r="AH147">
            <v>239.07499999999999</v>
          </cell>
          <cell r="AI147">
            <v>236.678</v>
          </cell>
          <cell r="AJ147">
            <v>235.17099999999999</v>
          </cell>
          <cell r="AK147">
            <v>235.44</v>
          </cell>
          <cell r="AL147">
            <v>238.071</v>
          </cell>
          <cell r="AM147">
            <v>243.37299999999999</v>
          </cell>
          <cell r="AN147">
            <v>251.15799999999999</v>
          </cell>
          <cell r="AO147">
            <v>260.93099999999998</v>
          </cell>
          <cell r="AP147">
            <v>271.91800000000001</v>
          </cell>
          <cell r="AQ147">
            <v>283.50299999999999</v>
          </cell>
          <cell r="AR147">
            <v>295.59100000000001</v>
          </cell>
          <cell r="AS147">
            <v>308.18</v>
          </cell>
          <cell r="AT147">
            <v>320.77300000000002</v>
          </cell>
          <cell r="AU147">
            <v>332.78300000000002</v>
          </cell>
          <cell r="AV147">
            <v>343.80799999999999</v>
          </cell>
          <cell r="AW147">
            <v>353.62599999999998</v>
          </cell>
          <cell r="AX147">
            <v>362.31099999999998</v>
          </cell>
          <cell r="AY147">
            <v>370.19900000000001</v>
          </cell>
          <cell r="AZ147">
            <v>377.798</v>
          </cell>
          <cell r="BA147">
            <v>385.51299999999998</v>
          </cell>
          <cell r="BB147">
            <v>393.37299999999999</v>
          </cell>
          <cell r="BC147">
            <v>401.35199999999998</v>
          </cell>
          <cell r="BD147">
            <v>409.61599999999999</v>
          </cell>
          <cell r="BE147">
            <v>418.38299999999998</v>
          </cell>
          <cell r="BF147">
            <v>427.78199999999998</v>
          </cell>
          <cell r="BG147">
            <v>437.93799999999999</v>
          </cell>
          <cell r="BH147">
            <v>448.82100000000003</v>
          </cell>
          <cell r="BI147">
            <v>460.16500000000002</v>
          </cell>
          <cell r="BJ147">
            <v>471.59699999999998</v>
          </cell>
          <cell r="BK147">
            <v>482.858</v>
          </cell>
          <cell r="BL147">
            <v>493.79899999999998</v>
          </cell>
          <cell r="BM147">
            <v>504.51100000000002</v>
          </cell>
          <cell r="BN147">
            <v>515.23900000000003</v>
          </cell>
          <cell r="BO147">
            <v>526.4</v>
          </cell>
          <cell r="BP147">
            <v>538.21900000000005</v>
          </cell>
          <cell r="BQ147">
            <v>550.83199999999999</v>
          </cell>
          <cell r="BR147">
            <v>564.03899999999999</v>
          </cell>
          <cell r="BS147">
            <v>577.37199999999996</v>
          </cell>
          <cell r="BT147">
            <v>590.20799999999997</v>
          </cell>
          <cell r="BU147">
            <v>602.08500000000004</v>
          </cell>
          <cell r="BV147">
            <v>612.83600000000001</v>
          </cell>
          <cell r="BW147">
            <v>622.58500000000004</v>
          </cell>
          <cell r="BX147">
            <v>631.63599999999997</v>
          </cell>
        </row>
        <row r="148">
          <cell r="C148" t="str">
            <v>China, Taiwan Province of China</v>
          </cell>
          <cell r="E148">
            <v>158</v>
          </cell>
          <cell r="F148" t="str">
            <v>Country</v>
          </cell>
          <cell r="G148">
            <v>906</v>
          </cell>
          <cell r="H148">
            <v>7602.3609999999999</v>
          </cell>
          <cell r="I148">
            <v>7930.6540000000005</v>
          </cell>
          <cell r="J148">
            <v>8250.8040000000001</v>
          </cell>
          <cell r="K148">
            <v>8565.43</v>
          </cell>
          <cell r="L148">
            <v>8877.4279999999999</v>
          </cell>
          <cell r="M148">
            <v>9189.9719999999998</v>
          </cell>
          <cell r="N148">
            <v>9506.2659999999996</v>
          </cell>
          <cell r="O148">
            <v>9829.7180000000008</v>
          </cell>
          <cell r="P148">
            <v>10163.799999999999</v>
          </cell>
          <cell r="Q148">
            <v>10511.793</v>
          </cell>
          <cell r="R148">
            <v>10876.15</v>
          </cell>
          <cell r="S148">
            <v>11257.77</v>
          </cell>
          <cell r="T148">
            <v>11655.380999999999</v>
          </cell>
          <cell r="U148">
            <v>12065.312</v>
          </cell>
          <cell r="V148">
            <v>12482.183999999999</v>
          </cell>
          <cell r="W148">
            <v>12901.155000000001</v>
          </cell>
          <cell r="X148">
            <v>13322.035</v>
          </cell>
          <cell r="Y148">
            <v>13743.212</v>
          </cell>
          <cell r="Z148">
            <v>14156.745999999999</v>
          </cell>
          <cell r="AA148">
            <v>14552.759</v>
          </cell>
          <cell r="AB148">
            <v>14924.455</v>
          </cell>
          <cell r="AC148">
            <v>15268.155000000001</v>
          </cell>
          <cell r="AD148">
            <v>15586.145</v>
          </cell>
          <cell r="AE148">
            <v>15885.236999999999</v>
          </cell>
          <cell r="AF148">
            <v>16175.601000000001</v>
          </cell>
          <cell r="AG148">
            <v>16464.927</v>
          </cell>
          <cell r="AH148">
            <v>16754.741000000002</v>
          </cell>
          <cell r="AI148">
            <v>17043.387999999999</v>
          </cell>
          <cell r="AJ148">
            <v>17331.483</v>
          </cell>
          <cell r="AK148">
            <v>17618.933000000001</v>
          </cell>
          <cell r="AL148">
            <v>17905.457999999999</v>
          </cell>
          <cell r="AM148">
            <v>18191.732</v>
          </cell>
          <cell r="AN148">
            <v>18477.494999999999</v>
          </cell>
          <cell r="AO148">
            <v>18760.25</v>
          </cell>
          <cell r="AP148">
            <v>19036.465</v>
          </cell>
          <cell r="AQ148">
            <v>19303.403999999999</v>
          </cell>
          <cell r="AR148">
            <v>19560.161</v>
          </cell>
          <cell r="AS148">
            <v>19806.733</v>
          </cell>
          <cell r="AT148">
            <v>20042.359</v>
          </cell>
          <cell r="AU148">
            <v>20266.429</v>
          </cell>
          <cell r="AV148">
            <v>20478.52</v>
          </cell>
          <cell r="AW148">
            <v>20679.064999999999</v>
          </cell>
          <cell r="AX148">
            <v>20868.148000000001</v>
          </cell>
          <cell r="AY148">
            <v>21044.7</v>
          </cell>
          <cell r="AZ148">
            <v>21207.422999999999</v>
          </cell>
          <cell r="BA148">
            <v>21356.032999999999</v>
          </cell>
          <cell r="BB148">
            <v>21488.99</v>
          </cell>
          <cell r="BC148">
            <v>21608.306</v>
          </cell>
          <cell r="BD148">
            <v>21721.516</v>
          </cell>
          <cell r="BE148">
            <v>21838.633000000002</v>
          </cell>
          <cell r="BF148">
            <v>21966.526999999998</v>
          </cell>
          <cell r="BG148">
            <v>22108.713</v>
          </cell>
          <cell r="BH148">
            <v>22262.298999999999</v>
          </cell>
          <cell r="BI148">
            <v>22419.792000000001</v>
          </cell>
          <cell r="BJ148">
            <v>22570.223999999998</v>
          </cell>
          <cell r="BK148">
            <v>22705.713</v>
          </cell>
          <cell r="BL148">
            <v>22823.848000000002</v>
          </cell>
          <cell r="BM148">
            <v>22927.215</v>
          </cell>
          <cell r="BN148">
            <v>23019.044999999998</v>
          </cell>
          <cell r="BO148">
            <v>23104.545999999998</v>
          </cell>
          <cell r="BP148">
            <v>23187.550999999999</v>
          </cell>
          <cell r="BQ148">
            <v>23268.764999999999</v>
          </cell>
          <cell r="BR148">
            <v>23346.896000000001</v>
          </cell>
          <cell r="BS148">
            <v>23421.581999999999</v>
          </cell>
          <cell r="BT148">
            <v>23491.975999999999</v>
          </cell>
          <cell r="BU148">
            <v>23557.476999999999</v>
          </cell>
          <cell r="BV148">
            <v>23618.2</v>
          </cell>
          <cell r="BW148">
            <v>23674.545999999998</v>
          </cell>
          <cell r="BX148">
            <v>23726.46</v>
          </cell>
        </row>
        <row r="149">
          <cell r="C149" t="str">
            <v>Dem. People's Republic of Korea</v>
          </cell>
          <cell r="E149">
            <v>408</v>
          </cell>
          <cell r="F149" t="str">
            <v>Country</v>
          </cell>
          <cell r="G149">
            <v>906</v>
          </cell>
          <cell r="H149">
            <v>10549.472</v>
          </cell>
          <cell r="I149">
            <v>10248.495999999999</v>
          </cell>
          <cell r="J149">
            <v>10049.029</v>
          </cell>
          <cell r="K149">
            <v>9957.2420000000002</v>
          </cell>
          <cell r="L149">
            <v>9972.4359999999997</v>
          </cell>
          <cell r="M149">
            <v>10086.991</v>
          </cell>
          <cell r="N149">
            <v>10285.94</v>
          </cell>
          <cell r="O149">
            <v>10547.388999999999</v>
          </cell>
          <cell r="P149">
            <v>10843.978999999999</v>
          </cell>
          <cell r="Q149">
            <v>11145.152</v>
          </cell>
          <cell r="R149">
            <v>11424.175999999999</v>
          </cell>
          <cell r="S149">
            <v>11665.594999999999</v>
          </cell>
          <cell r="T149">
            <v>11871.712</v>
          </cell>
          <cell r="U149">
            <v>12065.468000000001</v>
          </cell>
          <cell r="V149">
            <v>12282.419</v>
          </cell>
          <cell r="W149">
            <v>12547.525</v>
          </cell>
          <cell r="X149">
            <v>12864.954</v>
          </cell>
          <cell r="Y149">
            <v>13222.694</v>
          </cell>
          <cell r="Z149">
            <v>13609.982</v>
          </cell>
          <cell r="AA149">
            <v>14010.339</v>
          </cell>
          <cell r="AB149">
            <v>14410.4</v>
          </cell>
          <cell r="AC149">
            <v>14809.521000000001</v>
          </cell>
          <cell r="AD149">
            <v>15207.771000000001</v>
          </cell>
          <cell r="AE149">
            <v>15593.351000000001</v>
          </cell>
          <cell r="AF149">
            <v>15952.078</v>
          </cell>
          <cell r="AG149">
            <v>16274.74</v>
          </cell>
          <cell r="AH149">
            <v>16554.745999999999</v>
          </cell>
          <cell r="AI149">
            <v>16796.578000000001</v>
          </cell>
          <cell r="AJ149">
            <v>17015.983</v>
          </cell>
          <cell r="AK149">
            <v>17235.666000000001</v>
          </cell>
          <cell r="AL149">
            <v>17472.14</v>
          </cell>
          <cell r="AM149">
            <v>17731.23</v>
          </cell>
          <cell r="AN149">
            <v>18008.563999999998</v>
          </cell>
          <cell r="AO149">
            <v>18298.214</v>
          </cell>
          <cell r="AP149">
            <v>18590.137999999999</v>
          </cell>
          <cell r="AQ149">
            <v>18877.238000000001</v>
          </cell>
          <cell r="AR149">
            <v>19156.794999999998</v>
          </cell>
          <cell r="AS149">
            <v>19431.986000000001</v>
          </cell>
          <cell r="AT149">
            <v>19708.323</v>
          </cell>
          <cell r="AU149">
            <v>19993.755000000001</v>
          </cell>
          <cell r="AV149">
            <v>20293.054</v>
          </cell>
          <cell r="AW149">
            <v>20609.150000000001</v>
          </cell>
          <cell r="AX149">
            <v>20937.403999999999</v>
          </cell>
          <cell r="AY149">
            <v>21265.833999999999</v>
          </cell>
          <cell r="AZ149">
            <v>21577.982</v>
          </cell>
          <cell r="BA149">
            <v>21862.298999999999</v>
          </cell>
          <cell r="BB149">
            <v>22113.437999999998</v>
          </cell>
          <cell r="BC149">
            <v>22335.267</v>
          </cell>
          <cell r="BD149">
            <v>22536.753000000001</v>
          </cell>
          <cell r="BE149">
            <v>22731.482</v>
          </cell>
          <cell r="BF149">
            <v>22929.075000000001</v>
          </cell>
          <cell r="BG149">
            <v>23132.98</v>
          </cell>
          <cell r="BH149">
            <v>23339.453000000001</v>
          </cell>
          <cell r="BI149">
            <v>23542.425999999999</v>
          </cell>
          <cell r="BJ149">
            <v>23732.731</v>
          </cell>
          <cell r="BK149">
            <v>23904.167000000001</v>
          </cell>
          <cell r="BL149">
            <v>24054.864000000001</v>
          </cell>
          <cell r="BM149">
            <v>24188.330999999998</v>
          </cell>
          <cell r="BN149">
            <v>24310.142</v>
          </cell>
          <cell r="BO149">
            <v>24428.341</v>
          </cell>
          <cell r="BP149">
            <v>24548.835999999999</v>
          </cell>
          <cell r="BQ149">
            <v>24673.395</v>
          </cell>
          <cell r="BR149">
            <v>24800.645</v>
          </cell>
          <cell r="BS149">
            <v>24929.496999999999</v>
          </cell>
          <cell r="BT149">
            <v>25057.79</v>
          </cell>
          <cell r="BU149">
            <v>25183.832999999999</v>
          </cell>
          <cell r="BV149">
            <v>25307.665000000001</v>
          </cell>
          <cell r="BW149">
            <v>25429.825000000001</v>
          </cell>
          <cell r="BX149">
            <v>25549.603999999999</v>
          </cell>
        </row>
        <row r="150">
          <cell r="C150" t="str">
            <v>Japan</v>
          </cell>
          <cell r="E150">
            <v>392</v>
          </cell>
          <cell r="F150" t="str">
            <v>Country</v>
          </cell>
          <cell r="G150">
            <v>906</v>
          </cell>
          <cell r="H150">
            <v>82802.084000000003</v>
          </cell>
          <cell r="I150">
            <v>84316.263999999996</v>
          </cell>
          <cell r="J150">
            <v>85659.442999999999</v>
          </cell>
          <cell r="K150">
            <v>86869.975000000006</v>
          </cell>
          <cell r="L150">
            <v>87980.574999999997</v>
          </cell>
          <cell r="M150">
            <v>89018.256999999998</v>
          </cell>
          <cell r="N150">
            <v>90004.180999999997</v>
          </cell>
          <cell r="O150">
            <v>90953.808999999994</v>
          </cell>
          <cell r="P150">
            <v>91877.638000000006</v>
          </cell>
          <cell r="Q150">
            <v>92782.231</v>
          </cell>
          <cell r="R150">
            <v>93673.615000000005</v>
          </cell>
          <cell r="S150">
            <v>94560.709000000003</v>
          </cell>
          <cell r="T150">
            <v>95458.524000000005</v>
          </cell>
          <cell r="U150">
            <v>96389.423999999999</v>
          </cell>
          <cell r="V150">
            <v>97379.402000000002</v>
          </cell>
          <cell r="W150">
            <v>98447.001999999993</v>
          </cell>
          <cell r="X150">
            <v>99596.069000000003</v>
          </cell>
          <cell r="Y150">
            <v>100822.291</v>
          </cell>
          <cell r="Z150">
            <v>102124.005</v>
          </cell>
          <cell r="AA150">
            <v>103496.035</v>
          </cell>
          <cell r="AB150">
            <v>104929.251</v>
          </cell>
          <cell r="AC150">
            <v>106427.103</v>
          </cell>
          <cell r="AD150">
            <v>107976.027</v>
          </cell>
          <cell r="AE150">
            <v>109528.512</v>
          </cell>
          <cell r="AF150">
            <v>111022.689</v>
          </cell>
          <cell r="AG150">
            <v>112413.359</v>
          </cell>
          <cell r="AH150">
            <v>113679.19100000001</v>
          </cell>
          <cell r="AI150">
            <v>114827.83199999999</v>
          </cell>
          <cell r="AJ150">
            <v>115879.211</v>
          </cell>
          <cell r="AK150">
            <v>116867.356</v>
          </cell>
          <cell r="AL150">
            <v>117816.94</v>
          </cell>
          <cell r="AM150">
            <v>118732.841</v>
          </cell>
          <cell r="AN150">
            <v>119605.25</v>
          </cell>
          <cell r="AO150">
            <v>120427.636</v>
          </cell>
          <cell r="AP150">
            <v>121189.266</v>
          </cell>
          <cell r="AQ150">
            <v>121883.482</v>
          </cell>
          <cell r="AR150">
            <v>122509.117</v>
          </cell>
          <cell r="AS150">
            <v>123072.71</v>
          </cell>
          <cell r="AT150">
            <v>123584.527</v>
          </cell>
          <cell r="AU150">
            <v>124058.52</v>
          </cell>
          <cell r="AV150">
            <v>124505.24</v>
          </cell>
          <cell r="AW150">
            <v>124929.772</v>
          </cell>
          <cell r="AX150">
            <v>125331.29700000001</v>
          </cell>
          <cell r="AY150">
            <v>125707.41099999999</v>
          </cell>
          <cell r="AZ150">
            <v>126053.129</v>
          </cell>
          <cell r="BA150">
            <v>126365.484</v>
          </cell>
          <cell r="BB150">
            <v>126644.094</v>
          </cell>
          <cell r="BC150">
            <v>126892.738</v>
          </cell>
          <cell r="BD150">
            <v>127117.43399999999</v>
          </cell>
          <cell r="BE150">
            <v>127326.07</v>
          </cell>
          <cell r="BF150">
            <v>127524.174</v>
          </cell>
          <cell r="BG150">
            <v>127713.82799999999</v>
          </cell>
          <cell r="BH150">
            <v>127893.07799999999</v>
          </cell>
          <cell r="BI150">
            <v>128058.372</v>
          </cell>
          <cell r="BJ150">
            <v>128204.19500000001</v>
          </cell>
          <cell r="BK150">
            <v>128326.11599999999</v>
          </cell>
          <cell r="BL150">
            <v>128422.734</v>
          </cell>
          <cell r="BM150">
            <v>128494.057</v>
          </cell>
          <cell r="BN150">
            <v>128538.64599999999</v>
          </cell>
          <cell r="BO150">
            <v>128555.189</v>
          </cell>
          <cell r="BP150">
            <v>128542.353</v>
          </cell>
          <cell r="BQ150">
            <v>128498.965</v>
          </cell>
          <cell r="BR150">
            <v>128423.571</v>
          </cell>
          <cell r="BS150">
            <v>128314.19500000001</v>
          </cell>
          <cell r="BT150">
            <v>128168.639</v>
          </cell>
          <cell r="BU150">
            <v>127985.133</v>
          </cell>
          <cell r="BV150">
            <v>127763.265</v>
          </cell>
          <cell r="BW150">
            <v>127502.72500000001</v>
          </cell>
          <cell r="BX150">
            <v>127202.192</v>
          </cell>
        </row>
        <row r="151">
          <cell r="C151" t="str">
            <v>Mongolia</v>
          </cell>
          <cell r="E151">
            <v>496</v>
          </cell>
          <cell r="F151" t="str">
            <v>Country</v>
          </cell>
          <cell r="G151">
            <v>906</v>
          </cell>
          <cell r="H151">
            <v>780.19899999999996</v>
          </cell>
          <cell r="I151">
            <v>793.53800000000001</v>
          </cell>
          <cell r="J151">
            <v>807.92100000000005</v>
          </cell>
          <cell r="K151">
            <v>823.06</v>
          </cell>
          <cell r="L151">
            <v>838.78499999999997</v>
          </cell>
          <cell r="M151">
            <v>855.10299999999995</v>
          </cell>
          <cell r="N151">
            <v>872.15599999999995</v>
          </cell>
          <cell r="O151">
            <v>890.274</v>
          </cell>
          <cell r="P151">
            <v>909.89</v>
          </cell>
          <cell r="Q151">
            <v>931.48099999999999</v>
          </cell>
          <cell r="R151">
            <v>955.505</v>
          </cell>
          <cell r="S151">
            <v>982.178</v>
          </cell>
          <cell r="T151">
            <v>1011.324</v>
          </cell>
          <cell r="U151">
            <v>1042.383</v>
          </cell>
          <cell r="V151">
            <v>1074.5139999999999</v>
          </cell>
          <cell r="W151">
            <v>1107.124</v>
          </cell>
          <cell r="X151">
            <v>1139.961</v>
          </cell>
          <cell r="Y151">
            <v>1173.191</v>
          </cell>
          <cell r="Z151">
            <v>1207.104</v>
          </cell>
          <cell r="AA151">
            <v>1242.2139999999999</v>
          </cell>
          <cell r="AB151">
            <v>1278.825</v>
          </cell>
          <cell r="AC151">
            <v>1317.05</v>
          </cell>
          <cell r="AD151">
            <v>1356.67</v>
          </cell>
          <cell r="AE151">
            <v>1397.3040000000001</v>
          </cell>
          <cell r="AF151">
            <v>1438.425</v>
          </cell>
          <cell r="AG151">
            <v>1479.6510000000001</v>
          </cell>
          <cell r="AH151">
            <v>1520.865</v>
          </cell>
          <cell r="AI151">
            <v>1562.2090000000001</v>
          </cell>
          <cell r="AJ151">
            <v>1603.9059999999999</v>
          </cell>
          <cell r="AK151">
            <v>1646.2909999999999</v>
          </cell>
          <cell r="AL151">
            <v>1689.6220000000001</v>
          </cell>
          <cell r="AM151">
            <v>1733.4749999999999</v>
          </cell>
          <cell r="AN151">
            <v>1777.7270000000001</v>
          </cell>
          <cell r="AO151">
            <v>1823.2159999999999</v>
          </cell>
          <cell r="AP151">
            <v>1871.09</v>
          </cell>
          <cell r="AQ151">
            <v>1921.8810000000001</v>
          </cell>
          <cell r="AR151">
            <v>1976.31</v>
          </cell>
          <cell r="AS151">
            <v>2033.3440000000001</v>
          </cell>
          <cell r="AT151">
            <v>2089.7150000000001</v>
          </cell>
          <cell r="AU151">
            <v>2141.011</v>
          </cell>
          <cell r="AV151">
            <v>2184.145</v>
          </cell>
          <cell r="AW151">
            <v>2217.9169999999999</v>
          </cell>
          <cell r="AX151">
            <v>2243.4949999999999</v>
          </cell>
          <cell r="AY151">
            <v>2263.1860000000001</v>
          </cell>
          <cell r="AZ151">
            <v>2280.4789999999998</v>
          </cell>
          <cell r="BA151">
            <v>2298.02</v>
          </cell>
          <cell r="BB151">
            <v>2316.5680000000002</v>
          </cell>
          <cell r="BC151">
            <v>2335.7339999999999</v>
          </cell>
          <cell r="BD151">
            <v>2355.6640000000002</v>
          </cell>
          <cell r="BE151">
            <v>2376.2249999999999</v>
          </cell>
          <cell r="BF151">
            <v>2397.4180000000001</v>
          </cell>
          <cell r="BG151">
            <v>2419.5880000000002</v>
          </cell>
          <cell r="BH151">
            <v>2443.2710000000002</v>
          </cell>
          <cell r="BI151">
            <v>2468.7620000000002</v>
          </cell>
          <cell r="BJ151">
            <v>2496.3910000000001</v>
          </cell>
          <cell r="BK151">
            <v>2526.424</v>
          </cell>
          <cell r="BL151">
            <v>2558.8560000000002</v>
          </cell>
          <cell r="BM151">
            <v>2593.8200000000002</v>
          </cell>
          <cell r="BN151">
            <v>2631.8980000000001</v>
          </cell>
          <cell r="BO151">
            <v>2673.7959999999998</v>
          </cell>
          <cell r="BP151">
            <v>2719.8960000000002</v>
          </cell>
          <cell r="BQ151">
            <v>2770.3609999999999</v>
          </cell>
          <cell r="BR151">
            <v>2824.6979999999999</v>
          </cell>
          <cell r="BS151">
            <v>2881.7910000000002</v>
          </cell>
          <cell r="BT151">
            <v>2940.1080000000002</v>
          </cell>
          <cell r="BU151">
            <v>2998.4389999999999</v>
          </cell>
          <cell r="BV151">
            <v>3056.364</v>
          </cell>
          <cell r="BW151">
            <v>3113.7860000000001</v>
          </cell>
          <cell r="BX151">
            <v>3170.2159999999999</v>
          </cell>
        </row>
        <row r="152">
          <cell r="C152" t="str">
            <v>Republic of Korea</v>
          </cell>
          <cell r="E152">
            <v>410</v>
          </cell>
          <cell r="F152" t="str">
            <v>Country</v>
          </cell>
          <cell r="G152">
            <v>906</v>
          </cell>
          <cell r="H152">
            <v>19211.384999999998</v>
          </cell>
          <cell r="I152">
            <v>19452.635999999999</v>
          </cell>
          <cell r="J152">
            <v>19817.786</v>
          </cell>
          <cell r="K152">
            <v>20293.202000000001</v>
          </cell>
          <cell r="L152">
            <v>20864.105</v>
          </cell>
          <cell r="M152">
            <v>21514.57</v>
          </cell>
          <cell r="N152">
            <v>22227.333999999999</v>
          </cell>
          <cell r="O152">
            <v>22984.01</v>
          </cell>
          <cell r="P152">
            <v>23765.504000000001</v>
          </cell>
          <cell r="Q152">
            <v>24552.84</v>
          </cell>
          <cell r="R152">
            <v>25329.514999999999</v>
          </cell>
          <cell r="S152">
            <v>26084.030999999999</v>
          </cell>
          <cell r="T152">
            <v>26812.085999999999</v>
          </cell>
          <cell r="U152">
            <v>27517.544000000002</v>
          </cell>
          <cell r="V152">
            <v>28209.731</v>
          </cell>
          <cell r="W152">
            <v>28895.558000000001</v>
          </cell>
          <cell r="X152">
            <v>29572.556</v>
          </cell>
          <cell r="Y152">
            <v>30236.697</v>
          </cell>
          <cell r="Z152">
            <v>30891.965</v>
          </cell>
          <cell r="AA152">
            <v>31543.834999999999</v>
          </cell>
          <cell r="AB152">
            <v>32195.681</v>
          </cell>
          <cell r="AC152">
            <v>32850.720000000001</v>
          </cell>
          <cell r="AD152">
            <v>33506.523000000001</v>
          </cell>
          <cell r="AE152">
            <v>34154.087</v>
          </cell>
          <cell r="AF152">
            <v>34780.881999999998</v>
          </cell>
          <cell r="AG152">
            <v>35378.661</v>
          </cell>
          <cell r="AH152">
            <v>35942.029000000002</v>
          </cell>
          <cell r="AI152">
            <v>36475.413</v>
          </cell>
          <cell r="AJ152">
            <v>36992.188000000002</v>
          </cell>
          <cell r="AK152">
            <v>37511.315000000002</v>
          </cell>
          <cell r="AL152">
            <v>38045.607000000004</v>
          </cell>
          <cell r="AM152">
            <v>38602.288999999997</v>
          </cell>
          <cell r="AN152">
            <v>39175.212</v>
          </cell>
          <cell r="AO152">
            <v>39747.794000000002</v>
          </cell>
          <cell r="AP152">
            <v>40296.228000000003</v>
          </cell>
          <cell r="AQ152">
            <v>40804.402000000002</v>
          </cell>
          <cell r="AR152">
            <v>41265.112999999998</v>
          </cell>
          <cell r="AS152">
            <v>41686.559999999998</v>
          </cell>
          <cell r="AT152">
            <v>42086.661999999997</v>
          </cell>
          <cell r="AU152">
            <v>42491.197999999997</v>
          </cell>
          <cell r="AV152">
            <v>42918.419000000002</v>
          </cell>
          <cell r="AW152">
            <v>43373.150999999998</v>
          </cell>
          <cell r="AX152">
            <v>43848.218000000001</v>
          </cell>
          <cell r="AY152">
            <v>44335.027999999998</v>
          </cell>
          <cell r="AZ152">
            <v>44820.072999999997</v>
          </cell>
          <cell r="BA152">
            <v>45292.521999999997</v>
          </cell>
          <cell r="BB152">
            <v>45751.021999999997</v>
          </cell>
          <cell r="BC152">
            <v>46196.053999999996</v>
          </cell>
          <cell r="BD152">
            <v>46620.690999999999</v>
          </cell>
          <cell r="BE152">
            <v>47016.957000000002</v>
          </cell>
          <cell r="BF152">
            <v>47379.241000000002</v>
          </cell>
          <cell r="BG152">
            <v>47706.224000000002</v>
          </cell>
          <cell r="BH152">
            <v>47999.546999999999</v>
          </cell>
          <cell r="BI152">
            <v>48260.896999999997</v>
          </cell>
          <cell r="BJ152">
            <v>48493.440999999999</v>
          </cell>
          <cell r="BK152">
            <v>48701.072999999997</v>
          </cell>
          <cell r="BL152">
            <v>48880.451000000001</v>
          </cell>
          <cell r="BM152">
            <v>49034.81</v>
          </cell>
          <cell r="BN152">
            <v>49182.455999999998</v>
          </cell>
          <cell r="BO152">
            <v>49347.461000000003</v>
          </cell>
          <cell r="BP152">
            <v>49545.635999999999</v>
          </cell>
          <cell r="BQ152">
            <v>49786.159</v>
          </cell>
          <cell r="BR152">
            <v>50060.639000000003</v>
          </cell>
          <cell r="BS152">
            <v>50345.716999999997</v>
          </cell>
          <cell r="BT152">
            <v>50607.906999999999</v>
          </cell>
          <cell r="BU152">
            <v>50823.093000000001</v>
          </cell>
          <cell r="BV152">
            <v>50983.457000000002</v>
          </cell>
          <cell r="BW152">
            <v>51096.415000000001</v>
          </cell>
          <cell r="BX152">
            <v>51171.705999999998</v>
          </cell>
        </row>
        <row r="153">
          <cell r="C153" t="str">
            <v>South-Eastern Asia</v>
          </cell>
          <cell r="E153">
            <v>920</v>
          </cell>
          <cell r="F153" t="str">
            <v>Subregion</v>
          </cell>
          <cell r="G153">
            <v>1832</v>
          </cell>
          <cell r="H153">
            <v>165134.09700000001</v>
          </cell>
          <cell r="I153">
            <v>168897.47399999999</v>
          </cell>
          <cell r="J153">
            <v>172942.726</v>
          </cell>
          <cell r="K153">
            <v>177256.71900000001</v>
          </cell>
          <cell r="L153">
            <v>181827.06200000001</v>
          </cell>
          <cell r="M153">
            <v>186641.86799999999</v>
          </cell>
          <cell r="N153">
            <v>191690.00399999999</v>
          </cell>
          <cell r="O153">
            <v>196961.00099999999</v>
          </cell>
          <cell r="P153">
            <v>202444.886</v>
          </cell>
          <cell r="Q153">
            <v>208132.30499999999</v>
          </cell>
          <cell r="R153">
            <v>214013.96900000001</v>
          </cell>
          <cell r="S153">
            <v>220080.50099999999</v>
          </cell>
          <cell r="T153">
            <v>226322.13800000001</v>
          </cell>
          <cell r="U153">
            <v>232728.53099999999</v>
          </cell>
          <cell r="V153">
            <v>239289.14300000001</v>
          </cell>
          <cell r="W153">
            <v>245994.26699999999</v>
          </cell>
          <cell r="X153">
            <v>252830.92600000001</v>
          </cell>
          <cell r="Y153">
            <v>259790.64</v>
          </cell>
          <cell r="Z153">
            <v>266873.587</v>
          </cell>
          <cell r="AA153">
            <v>274083.16100000002</v>
          </cell>
          <cell r="AB153">
            <v>281417.68199999997</v>
          </cell>
          <cell r="AC153">
            <v>288887.11200000002</v>
          </cell>
          <cell r="AD153">
            <v>296477.83600000001</v>
          </cell>
          <cell r="AE153">
            <v>304137.26400000002</v>
          </cell>
          <cell r="AF153">
            <v>311796.21399999998</v>
          </cell>
          <cell r="AG153">
            <v>319410.84999999998</v>
          </cell>
          <cell r="AH153">
            <v>326947.12800000003</v>
          </cell>
          <cell r="AI153">
            <v>334432.99200000003</v>
          </cell>
          <cell r="AJ153">
            <v>341962.70299999998</v>
          </cell>
          <cell r="AK153">
            <v>349668.565</v>
          </cell>
          <cell r="AL153">
            <v>357641.67499999999</v>
          </cell>
          <cell r="AM153">
            <v>365908.24300000002</v>
          </cell>
          <cell r="AN153">
            <v>374425.761</v>
          </cell>
          <cell r="AO153">
            <v>383131.25300000003</v>
          </cell>
          <cell r="AP153">
            <v>391930.38400000002</v>
          </cell>
          <cell r="AQ153">
            <v>400747.72200000001</v>
          </cell>
          <cell r="AR153">
            <v>409566.05699999997</v>
          </cell>
          <cell r="AS153">
            <v>418385.40399999998</v>
          </cell>
          <cell r="AT153">
            <v>427167.24699999997</v>
          </cell>
          <cell r="AU153">
            <v>435870.36099999998</v>
          </cell>
          <cell r="AV153">
            <v>444464.20299999998</v>
          </cell>
          <cell r="AW153">
            <v>452921.66100000002</v>
          </cell>
          <cell r="AX153">
            <v>461239.71600000001</v>
          </cell>
          <cell r="AY153">
            <v>469443.08500000002</v>
          </cell>
          <cell r="AZ153">
            <v>477572.462</v>
          </cell>
          <cell r="BA153">
            <v>485655.326</v>
          </cell>
          <cell r="BB153">
            <v>493704.00799999997</v>
          </cell>
          <cell r="BC153">
            <v>501702.03100000002</v>
          </cell>
          <cell r="BD153">
            <v>509614.79100000003</v>
          </cell>
          <cell r="BE153">
            <v>517393.80599999998</v>
          </cell>
          <cell r="BF153">
            <v>525007.93099999998</v>
          </cell>
          <cell r="BG153">
            <v>532449.60699999996</v>
          </cell>
          <cell r="BH153">
            <v>539741.97499999998</v>
          </cell>
          <cell r="BI153">
            <v>546923.11199999996</v>
          </cell>
          <cell r="BJ153">
            <v>554046.68999999994</v>
          </cell>
          <cell r="BK153">
            <v>561156.071</v>
          </cell>
          <cell r="BL153">
            <v>568252.83299999998</v>
          </cell>
          <cell r="BM153">
            <v>575338.12699999998</v>
          </cell>
          <cell r="BN153">
            <v>582452.88199999998</v>
          </cell>
          <cell r="BO153">
            <v>589646.24300000002</v>
          </cell>
          <cell r="BP153">
            <v>596947.245</v>
          </cell>
          <cell r="BQ153">
            <v>604376.84600000002</v>
          </cell>
          <cell r="BR153">
            <v>611910.58900000004</v>
          </cell>
          <cell r="BS153">
            <v>619474.451</v>
          </cell>
          <cell r="BT153">
            <v>626965.22400000005</v>
          </cell>
          <cell r="BU153">
            <v>634305.70400000003</v>
          </cell>
          <cell r="BV153">
            <v>641466.64199999999</v>
          </cell>
          <cell r="BW153">
            <v>648459.73100000003</v>
          </cell>
          <cell r="BX153">
            <v>655298.43999999994</v>
          </cell>
        </row>
        <row r="154">
          <cell r="C154" t="str">
            <v>Brunei Darussalam</v>
          </cell>
          <cell r="E154">
            <v>96</v>
          </cell>
          <cell r="F154" t="str">
            <v>Country</v>
          </cell>
          <cell r="G154">
            <v>920</v>
          </cell>
          <cell r="H154">
            <v>48.000999999999998</v>
          </cell>
          <cell r="I154">
            <v>50.935000000000002</v>
          </cell>
          <cell r="J154">
            <v>53.886000000000003</v>
          </cell>
          <cell r="K154">
            <v>56.912999999999997</v>
          </cell>
          <cell r="L154">
            <v>60.064999999999998</v>
          </cell>
          <cell r="M154">
            <v>63.356000000000002</v>
          </cell>
          <cell r="N154">
            <v>66.805000000000007</v>
          </cell>
          <cell r="O154">
            <v>70.400000000000006</v>
          </cell>
          <cell r="P154">
            <v>74.100999999999999</v>
          </cell>
          <cell r="Q154">
            <v>77.876999999999995</v>
          </cell>
          <cell r="R154">
            <v>81.701999999999998</v>
          </cell>
          <cell r="S154">
            <v>85.561999999999998</v>
          </cell>
          <cell r="T154">
            <v>89.480999999999995</v>
          </cell>
          <cell r="U154">
            <v>93.54</v>
          </cell>
          <cell r="V154">
            <v>97.811999999999998</v>
          </cell>
          <cell r="W154">
            <v>102.386</v>
          </cell>
          <cell r="X154">
            <v>107.274</v>
          </cell>
          <cell r="Y154">
            <v>112.44799999999999</v>
          </cell>
          <cell r="Z154">
            <v>117.898</v>
          </cell>
          <cell r="AA154">
            <v>123.6</v>
          </cell>
          <cell r="AB154">
            <v>129.529</v>
          </cell>
          <cell r="AC154">
            <v>135.67099999999999</v>
          </cell>
          <cell r="AD154">
            <v>142.02199999999999</v>
          </cell>
          <cell r="AE154">
            <v>148.512</v>
          </cell>
          <cell r="AF154">
            <v>155.072</v>
          </cell>
          <cell r="AG154">
            <v>161.626</v>
          </cell>
          <cell r="AH154">
            <v>168.18100000000001</v>
          </cell>
          <cell r="AI154">
            <v>174.714</v>
          </cell>
          <cell r="AJ154">
            <v>181.20500000000001</v>
          </cell>
          <cell r="AK154">
            <v>187.60400000000001</v>
          </cell>
          <cell r="AL154">
            <v>193.87899999999999</v>
          </cell>
          <cell r="AM154">
            <v>200.02099999999999</v>
          </cell>
          <cell r="AN154">
            <v>206.065</v>
          </cell>
          <cell r="AO154">
            <v>212.07599999999999</v>
          </cell>
          <cell r="AP154">
            <v>218.17500000000001</v>
          </cell>
          <cell r="AQ154">
            <v>224.44900000000001</v>
          </cell>
          <cell r="AR154">
            <v>230.91499999999999</v>
          </cell>
          <cell r="AS154">
            <v>237.56299999999999</v>
          </cell>
          <cell r="AT154">
            <v>244.404</v>
          </cell>
          <cell r="AU154">
            <v>251.458</v>
          </cell>
          <cell r="AV154">
            <v>258.721</v>
          </cell>
          <cell r="AW154">
            <v>266.20999999999998</v>
          </cell>
          <cell r="AX154">
            <v>273.892</v>
          </cell>
          <cell r="AY154">
            <v>281.68099999999998</v>
          </cell>
          <cell r="AZ154">
            <v>289.45400000000001</v>
          </cell>
          <cell r="BA154">
            <v>297.11399999999998</v>
          </cell>
          <cell r="BB154">
            <v>304.62200000000001</v>
          </cell>
          <cell r="BC154">
            <v>311.95800000000003</v>
          </cell>
          <cell r="BD154">
            <v>319.14400000000001</v>
          </cell>
          <cell r="BE154">
            <v>326.20999999999998</v>
          </cell>
          <cell r="BF154">
            <v>333.16500000000002</v>
          </cell>
          <cell r="BG154">
            <v>340.03399999999999</v>
          </cell>
          <cell r="BH154">
            <v>346.78199999999998</v>
          </cell>
          <cell r="BI154">
            <v>353.29300000000001</v>
          </cell>
          <cell r="BJ154">
            <v>359.43299999999999</v>
          </cell>
          <cell r="BK154">
            <v>365.11399999999998</v>
          </cell>
          <cell r="BL154">
            <v>370.26299999999998</v>
          </cell>
          <cell r="BM154">
            <v>374.96499999999997</v>
          </cell>
          <cell r="BN154">
            <v>379.42099999999999</v>
          </cell>
          <cell r="BO154">
            <v>383.90600000000001</v>
          </cell>
          <cell r="BP154">
            <v>388.64600000000002</v>
          </cell>
          <cell r="BQ154">
            <v>393.68799999999999</v>
          </cell>
          <cell r="BR154">
            <v>398.98899999999998</v>
          </cell>
          <cell r="BS154">
            <v>404.42099999999999</v>
          </cell>
          <cell r="BT154">
            <v>409.76900000000001</v>
          </cell>
          <cell r="BU154">
            <v>414.90699999999998</v>
          </cell>
          <cell r="BV154">
            <v>419.8</v>
          </cell>
          <cell r="BW154">
            <v>424.47300000000001</v>
          </cell>
          <cell r="BX154">
            <v>428.96300000000002</v>
          </cell>
        </row>
        <row r="155">
          <cell r="C155" t="str">
            <v>Cambodia</v>
          </cell>
          <cell r="E155">
            <v>116</v>
          </cell>
          <cell r="F155" t="str">
            <v>Country</v>
          </cell>
          <cell r="G155">
            <v>920</v>
          </cell>
          <cell r="H155">
            <v>4432.7139999999999</v>
          </cell>
          <cell r="I155">
            <v>4537.6750000000002</v>
          </cell>
          <cell r="J155">
            <v>4656.424</v>
          </cell>
          <cell r="K155">
            <v>4783.1949999999997</v>
          </cell>
          <cell r="L155">
            <v>4913.741</v>
          </cell>
          <cell r="M155">
            <v>5045.2879999999996</v>
          </cell>
          <cell r="N155">
            <v>5176.6419999999998</v>
          </cell>
          <cell r="O155">
            <v>5308.1260000000002</v>
          </cell>
          <cell r="P155">
            <v>5441.3230000000003</v>
          </cell>
          <cell r="Q155">
            <v>5578.6880000000001</v>
          </cell>
          <cell r="R155">
            <v>5722.37</v>
          </cell>
          <cell r="S155">
            <v>5872.9660000000003</v>
          </cell>
          <cell r="T155">
            <v>6028.4309999999996</v>
          </cell>
          <cell r="U155">
            <v>6183.5839999999998</v>
          </cell>
          <cell r="V155">
            <v>6331.4489999999996</v>
          </cell>
          <cell r="W155">
            <v>6467.1970000000001</v>
          </cell>
          <cell r="X155">
            <v>6585.0349999999999</v>
          </cell>
          <cell r="Y155">
            <v>6685.96</v>
          </cell>
          <cell r="Z155">
            <v>6779.7870000000003</v>
          </cell>
          <cell r="AA155">
            <v>6880.6229999999996</v>
          </cell>
          <cell r="AB155">
            <v>6996.576</v>
          </cell>
          <cell r="AC155">
            <v>7139.6469999999999</v>
          </cell>
          <cell r="AD155">
            <v>7302.1109999999999</v>
          </cell>
          <cell r="AE155">
            <v>7449.2380000000003</v>
          </cell>
          <cell r="AF155">
            <v>7533.3360000000002</v>
          </cell>
          <cell r="AG155">
            <v>7524.4470000000001</v>
          </cell>
          <cell r="AH155">
            <v>7404.6840000000002</v>
          </cell>
          <cell r="AI155">
            <v>7196.0420000000004</v>
          </cell>
          <cell r="AJ155">
            <v>6957.2650000000003</v>
          </cell>
          <cell r="AK155">
            <v>6770.3959999999997</v>
          </cell>
          <cell r="AL155">
            <v>6693.7640000000001</v>
          </cell>
          <cell r="AM155">
            <v>6749.8469999999998</v>
          </cell>
          <cell r="AN155">
            <v>6919.8010000000004</v>
          </cell>
          <cell r="AO155">
            <v>7169.9970000000003</v>
          </cell>
          <cell r="AP155">
            <v>7447.8530000000001</v>
          </cell>
          <cell r="AQ155">
            <v>7714.88</v>
          </cell>
          <cell r="AR155">
            <v>7960.9489999999996</v>
          </cell>
          <cell r="AS155">
            <v>8198.0820000000003</v>
          </cell>
          <cell r="AT155">
            <v>8435.9120000000003</v>
          </cell>
          <cell r="AU155">
            <v>8691.3340000000007</v>
          </cell>
          <cell r="AV155">
            <v>8975.5969999999998</v>
          </cell>
          <cell r="AW155">
            <v>9289.2990000000009</v>
          </cell>
          <cell r="AX155">
            <v>9623.8889999999992</v>
          </cell>
          <cell r="AY155">
            <v>9970.7330000000002</v>
          </cell>
          <cell r="AZ155">
            <v>10317.898999999999</v>
          </cell>
          <cell r="BA155">
            <v>10656.138000000001</v>
          </cell>
          <cell r="BB155">
            <v>10982.916999999999</v>
          </cell>
          <cell r="BC155">
            <v>11298.6</v>
          </cell>
          <cell r="BD155">
            <v>11600.508</v>
          </cell>
          <cell r="BE155">
            <v>11886.458000000001</v>
          </cell>
          <cell r="BF155">
            <v>12155.239</v>
          </cell>
          <cell r="BG155">
            <v>12405.407999999999</v>
          </cell>
          <cell r="BH155">
            <v>12637.727000000001</v>
          </cell>
          <cell r="BI155">
            <v>12856.163</v>
          </cell>
          <cell r="BJ155">
            <v>13066.468999999999</v>
          </cell>
          <cell r="BK155">
            <v>13273.353999999999</v>
          </cell>
          <cell r="BL155">
            <v>13477.709000000001</v>
          </cell>
          <cell r="BM155">
            <v>13679.962</v>
          </cell>
          <cell r="BN155">
            <v>13883.834000000001</v>
          </cell>
          <cell r="BO155">
            <v>14093.603999999999</v>
          </cell>
          <cell r="BP155">
            <v>14312.212</v>
          </cell>
          <cell r="BQ155">
            <v>14541.423000000001</v>
          </cell>
          <cell r="BR155">
            <v>14780.454</v>
          </cell>
          <cell r="BS155">
            <v>15026.332</v>
          </cell>
          <cell r="BT155">
            <v>15274.503000000001</v>
          </cell>
          <cell r="BU155">
            <v>15521.436</v>
          </cell>
          <cell r="BV155">
            <v>15766.291999999999</v>
          </cell>
          <cell r="BW155">
            <v>16009.409</v>
          </cell>
          <cell r="BX155">
            <v>16249.791999999999</v>
          </cell>
        </row>
        <row r="156">
          <cell r="C156" t="str">
            <v>Indonesia</v>
          </cell>
          <cell r="E156">
            <v>360</v>
          </cell>
          <cell r="F156" t="str">
            <v>Country</v>
          </cell>
          <cell r="G156">
            <v>920</v>
          </cell>
          <cell r="H156">
            <v>69543.316000000006</v>
          </cell>
          <cell r="I156">
            <v>70849.445999999996</v>
          </cell>
          <cell r="J156">
            <v>72274.626999999993</v>
          </cell>
          <cell r="K156">
            <v>73820.837</v>
          </cell>
          <cell r="L156">
            <v>75487.891000000003</v>
          </cell>
          <cell r="M156">
            <v>77273.425000000003</v>
          </cell>
          <cell r="N156">
            <v>79172.801999999996</v>
          </cell>
          <cell r="O156">
            <v>81179.201000000001</v>
          </cell>
          <cell r="P156">
            <v>83284.046000000002</v>
          </cell>
          <cell r="Q156">
            <v>85477.633000000002</v>
          </cell>
          <cell r="R156">
            <v>87751.067999999999</v>
          </cell>
          <cell r="S156">
            <v>90098.394</v>
          </cell>
          <cell r="T156">
            <v>92518.376999999993</v>
          </cell>
          <cell r="U156">
            <v>95015.297000000006</v>
          </cell>
          <cell r="V156">
            <v>97596.732999999993</v>
          </cell>
          <cell r="W156">
            <v>100267.06200000001</v>
          </cell>
          <cell r="X156">
            <v>103025.42600000001</v>
          </cell>
          <cell r="Y156">
            <v>105865.571</v>
          </cell>
          <cell r="Z156">
            <v>108779.924</v>
          </cell>
          <cell r="AA156">
            <v>111758.56299999999</v>
          </cell>
          <cell r="AB156">
            <v>114793.178</v>
          </cell>
          <cell r="AC156">
            <v>117880.144</v>
          </cell>
          <cell r="AD156">
            <v>121017.314</v>
          </cell>
          <cell r="AE156">
            <v>124199.68700000001</v>
          </cell>
          <cell r="AF156">
            <v>127422.211</v>
          </cell>
          <cell r="AG156">
            <v>130680.727</v>
          </cell>
          <cell r="AH156">
            <v>133966.94099999999</v>
          </cell>
          <cell r="AI156">
            <v>137278.05799999999</v>
          </cell>
          <cell r="AJ156">
            <v>140621.73000000001</v>
          </cell>
          <cell r="AK156">
            <v>144009.845</v>
          </cell>
          <cell r="AL156">
            <v>147447.83600000001</v>
          </cell>
          <cell r="AM156">
            <v>150938.23199999999</v>
          </cell>
          <cell r="AN156">
            <v>154468.22899999999</v>
          </cell>
          <cell r="AO156">
            <v>158009.24600000001</v>
          </cell>
          <cell r="AP156">
            <v>161523.34700000001</v>
          </cell>
          <cell r="AQ156">
            <v>164982.451</v>
          </cell>
          <cell r="AR156">
            <v>168374.28700000001</v>
          </cell>
          <cell r="AS156">
            <v>171702.76300000001</v>
          </cell>
          <cell r="AT156">
            <v>174975.954</v>
          </cell>
          <cell r="AU156">
            <v>178209.15</v>
          </cell>
          <cell r="AV156">
            <v>181413.402</v>
          </cell>
          <cell r="AW156">
            <v>184591.90299999999</v>
          </cell>
          <cell r="AX156">
            <v>187739.78599999999</v>
          </cell>
          <cell r="AY156">
            <v>190851.17499999999</v>
          </cell>
          <cell r="AZ156">
            <v>193917.462</v>
          </cell>
          <cell r="BA156">
            <v>196934.26</v>
          </cell>
          <cell r="BB156">
            <v>199901.228</v>
          </cell>
          <cell r="BC156">
            <v>202826.446</v>
          </cell>
          <cell r="BD156">
            <v>205724.592</v>
          </cell>
          <cell r="BE156">
            <v>208615.16899999999</v>
          </cell>
          <cell r="BF156">
            <v>211513.823</v>
          </cell>
          <cell r="BG156">
            <v>214427.41699999999</v>
          </cell>
          <cell r="BH156">
            <v>217357.79300000001</v>
          </cell>
          <cell r="BI156">
            <v>220309.46900000001</v>
          </cell>
          <cell r="BJ156">
            <v>223285.67600000001</v>
          </cell>
          <cell r="BK156">
            <v>226289.47</v>
          </cell>
          <cell r="BL156">
            <v>229318.26199999999</v>
          </cell>
          <cell r="BM156">
            <v>232374.245</v>
          </cell>
          <cell r="BN156">
            <v>235469.76199999999</v>
          </cell>
          <cell r="BO156">
            <v>238620.56299999999</v>
          </cell>
          <cell r="BP156">
            <v>241834.215</v>
          </cell>
          <cell r="BQ156">
            <v>245115.98699999999</v>
          </cell>
          <cell r="BR156">
            <v>248451.72200000001</v>
          </cell>
          <cell r="BS156">
            <v>251805.307</v>
          </cell>
          <cell r="BT156">
            <v>255128.076</v>
          </cell>
          <cell r="BU156">
            <v>258383.25599999999</v>
          </cell>
          <cell r="BV156">
            <v>261556.38099999999</v>
          </cell>
          <cell r="BW156">
            <v>264650.96299999999</v>
          </cell>
          <cell r="BX156">
            <v>267670.54300000001</v>
          </cell>
        </row>
        <row r="157">
          <cell r="C157" t="str">
            <v>Lao People's Democratic Republic</v>
          </cell>
          <cell r="E157">
            <v>418</v>
          </cell>
          <cell r="F157" t="str">
            <v>Country</v>
          </cell>
          <cell r="G157">
            <v>920</v>
          </cell>
          <cell r="H157">
            <v>1682.915</v>
          </cell>
          <cell r="I157">
            <v>1723.162</v>
          </cell>
          <cell r="J157">
            <v>1764.0060000000001</v>
          </cell>
          <cell r="K157">
            <v>1805.5150000000001</v>
          </cell>
          <cell r="L157">
            <v>1847.7760000000001</v>
          </cell>
          <cell r="M157">
            <v>1890.854</v>
          </cell>
          <cell r="N157">
            <v>1934.8130000000001</v>
          </cell>
          <cell r="O157">
            <v>1979.731</v>
          </cell>
          <cell r="P157">
            <v>2025.6679999999999</v>
          </cell>
          <cell r="Q157">
            <v>2072.6999999999998</v>
          </cell>
          <cell r="R157">
            <v>2120.8980000000001</v>
          </cell>
          <cell r="S157">
            <v>2170.3440000000001</v>
          </cell>
          <cell r="T157">
            <v>2221.125</v>
          </cell>
          <cell r="U157">
            <v>2273.3510000000001</v>
          </cell>
          <cell r="V157">
            <v>2327.1370000000002</v>
          </cell>
          <cell r="W157">
            <v>2382.5940000000001</v>
          </cell>
          <cell r="X157">
            <v>2439.1959999999999</v>
          </cell>
          <cell r="Y157">
            <v>2496.92</v>
          </cell>
          <cell r="Z157">
            <v>2556.8519999999999</v>
          </cell>
          <cell r="AA157">
            <v>2620.4340000000002</v>
          </cell>
          <cell r="AB157">
            <v>2688.4279999999999</v>
          </cell>
          <cell r="AC157">
            <v>2762.2649999999999</v>
          </cell>
          <cell r="AD157">
            <v>2840.8409999999999</v>
          </cell>
          <cell r="AE157">
            <v>2919.2869999999998</v>
          </cell>
          <cell r="AF157">
            <v>2990.9650000000001</v>
          </cell>
          <cell r="AG157">
            <v>3051.5770000000002</v>
          </cell>
          <cell r="AH157">
            <v>3098.973</v>
          </cell>
          <cell r="AI157">
            <v>3135.8420000000001</v>
          </cell>
          <cell r="AJ157">
            <v>3168.8429999999998</v>
          </cell>
          <cell r="AK157">
            <v>3207.328</v>
          </cell>
          <cell r="AL157">
            <v>3258.1439999999998</v>
          </cell>
          <cell r="AM157">
            <v>3323.366</v>
          </cell>
          <cell r="AN157">
            <v>3401.1909999999998</v>
          </cell>
          <cell r="AO157">
            <v>3489.9029999999998</v>
          </cell>
          <cell r="AP157">
            <v>3586.3159999999998</v>
          </cell>
          <cell r="AQ157">
            <v>3687.8980000000001</v>
          </cell>
          <cell r="AR157">
            <v>3794.1979999999999</v>
          </cell>
          <cell r="AS157">
            <v>3905.53</v>
          </cell>
          <cell r="AT157">
            <v>4020.8110000000001</v>
          </cell>
          <cell r="AU157">
            <v>4138.8450000000003</v>
          </cell>
          <cell r="AV157">
            <v>4258.4719999999998</v>
          </cell>
          <cell r="AW157">
            <v>4379.2359999999999</v>
          </cell>
          <cell r="AX157">
            <v>4500.3509999999997</v>
          </cell>
          <cell r="AY157">
            <v>4619.9440000000004</v>
          </cell>
          <cell r="AZ157">
            <v>4735.8450000000003</v>
          </cell>
          <cell r="BA157">
            <v>4846.4830000000002</v>
          </cell>
          <cell r="BB157">
            <v>4951.1949999999997</v>
          </cell>
          <cell r="BC157">
            <v>5050.3149999999996</v>
          </cell>
          <cell r="BD157">
            <v>5144.6019999999999</v>
          </cell>
          <cell r="BE157">
            <v>5235.3459999999995</v>
          </cell>
          <cell r="BF157">
            <v>5323.7</v>
          </cell>
          <cell r="BG157">
            <v>5409.5820000000003</v>
          </cell>
          <cell r="BH157">
            <v>5493.2460000000001</v>
          </cell>
          <cell r="BI157">
            <v>5576.64</v>
          </cell>
          <cell r="BJ157">
            <v>5662.2079999999996</v>
          </cell>
          <cell r="BK157">
            <v>5751.6760000000004</v>
          </cell>
          <cell r="BL157">
            <v>5846.0739999999996</v>
          </cell>
          <cell r="BM157">
            <v>5944.9480000000003</v>
          </cell>
          <cell r="BN157">
            <v>6046.62</v>
          </cell>
          <cell r="BO157">
            <v>6148.6229999999996</v>
          </cell>
          <cell r="BP157">
            <v>6249.165</v>
          </cell>
          <cell r="BQ157">
            <v>6347.567</v>
          </cell>
          <cell r="BR157">
            <v>6444.53</v>
          </cell>
          <cell r="BS157">
            <v>6541.3040000000001</v>
          </cell>
          <cell r="BT157">
            <v>6639.7560000000003</v>
          </cell>
          <cell r="BU157">
            <v>6741.1639999999998</v>
          </cell>
          <cell r="BV157">
            <v>6845.8459999999995</v>
          </cell>
          <cell r="BW157">
            <v>6953.0349999999999</v>
          </cell>
          <cell r="BX157">
            <v>7061.5069999999996</v>
          </cell>
        </row>
        <row r="158">
          <cell r="C158" t="str">
            <v>Malaysia</v>
          </cell>
          <cell r="D158">
            <v>11</v>
          </cell>
          <cell r="E158">
            <v>458</v>
          </cell>
          <cell r="F158" t="str">
            <v>Country</v>
          </cell>
          <cell r="G158">
            <v>920</v>
          </cell>
          <cell r="H158">
            <v>6109.915</v>
          </cell>
          <cell r="I158">
            <v>6271.2209999999995</v>
          </cell>
          <cell r="J158">
            <v>6449.6170000000002</v>
          </cell>
          <cell r="K158">
            <v>6639.4179999999997</v>
          </cell>
          <cell r="L158">
            <v>6836.6379999999999</v>
          </cell>
          <cell r="M158">
            <v>7038.9129999999996</v>
          </cell>
          <cell r="N158">
            <v>7245.6760000000004</v>
          </cell>
          <cell r="O158">
            <v>7458.0150000000003</v>
          </cell>
          <cell r="P158">
            <v>7678.3819999999996</v>
          </cell>
          <cell r="Q158">
            <v>7910.1880000000001</v>
          </cell>
          <cell r="R158">
            <v>8156.3469999999998</v>
          </cell>
          <cell r="S158">
            <v>8417.8240000000005</v>
          </cell>
          <cell r="T158">
            <v>8692.3420000000006</v>
          </cell>
          <cell r="U158">
            <v>8973.7880000000005</v>
          </cell>
          <cell r="V158">
            <v>9253.8420000000006</v>
          </cell>
          <cell r="W158">
            <v>9526.5580000000009</v>
          </cell>
          <cell r="X158">
            <v>9790.0840000000007</v>
          </cell>
          <cell r="Y158">
            <v>10046.325000000001</v>
          </cell>
          <cell r="Z158">
            <v>10297.983</v>
          </cell>
          <cell r="AA158">
            <v>10549.398999999999</v>
          </cell>
          <cell r="AB158">
            <v>10804.130999999999</v>
          </cell>
          <cell r="AC158">
            <v>11062.433000000001</v>
          </cell>
          <cell r="AD158">
            <v>11324.277</v>
          </cell>
          <cell r="AE158">
            <v>11592.638000000001</v>
          </cell>
          <cell r="AF158">
            <v>11871.103999999999</v>
          </cell>
          <cell r="AG158">
            <v>12162.187</v>
          </cell>
          <cell r="AH158">
            <v>12468.689</v>
          </cell>
          <cell r="AI158">
            <v>12790.312</v>
          </cell>
          <cell r="AJ158">
            <v>13122.839</v>
          </cell>
          <cell r="AK158">
            <v>13460.031000000001</v>
          </cell>
          <cell r="AL158">
            <v>13798.084999999999</v>
          </cell>
          <cell r="AM158">
            <v>14134.058000000001</v>
          </cell>
          <cell r="AN158">
            <v>14471.210999999999</v>
          </cell>
          <cell r="AO158">
            <v>14819.424000000001</v>
          </cell>
          <cell r="AP158">
            <v>15192.298000000001</v>
          </cell>
          <cell r="AQ158">
            <v>15598.927</v>
          </cell>
          <cell r="AR158">
            <v>16043.731</v>
          </cell>
          <cell r="AS158">
            <v>16522</v>
          </cell>
          <cell r="AT158">
            <v>17022.465</v>
          </cell>
          <cell r="AU158">
            <v>17528.960999999999</v>
          </cell>
          <cell r="AV158">
            <v>18029.824000000001</v>
          </cell>
          <cell r="AW158">
            <v>18519.937000000002</v>
          </cell>
          <cell r="AX158">
            <v>19002.655999999999</v>
          </cell>
          <cell r="AY158">
            <v>19484.898000000001</v>
          </cell>
          <cell r="AZ158">
            <v>19977.5</v>
          </cell>
          <cell r="BA158">
            <v>20487.607</v>
          </cell>
          <cell r="BB158">
            <v>21017.613000000001</v>
          </cell>
          <cell r="BC158">
            <v>21562.793000000001</v>
          </cell>
          <cell r="BD158">
            <v>22114.653999999999</v>
          </cell>
          <cell r="BE158">
            <v>22661.297999999999</v>
          </cell>
          <cell r="BF158">
            <v>23194.257000000001</v>
          </cell>
          <cell r="BG158">
            <v>23709.118999999999</v>
          </cell>
          <cell r="BH158">
            <v>24208.391</v>
          </cell>
          <cell r="BI158">
            <v>24698.819</v>
          </cell>
          <cell r="BJ158">
            <v>25190.651999999998</v>
          </cell>
          <cell r="BK158">
            <v>25690.611000000001</v>
          </cell>
          <cell r="BL158">
            <v>26201.960999999999</v>
          </cell>
          <cell r="BM158">
            <v>26720.37</v>
          </cell>
          <cell r="BN158">
            <v>27236.006000000001</v>
          </cell>
          <cell r="BO158">
            <v>27735.040000000001</v>
          </cell>
          <cell r="BP158">
            <v>28208.035</v>
          </cell>
          <cell r="BQ158">
            <v>28650.958999999999</v>
          </cell>
          <cell r="BR158">
            <v>29068.188999999998</v>
          </cell>
          <cell r="BS158">
            <v>29468.922999999999</v>
          </cell>
          <cell r="BT158">
            <v>29866.602999999999</v>
          </cell>
          <cell r="BU158">
            <v>30270.962</v>
          </cell>
          <cell r="BV158">
            <v>30684.653999999999</v>
          </cell>
          <cell r="BW158">
            <v>31104.646000000001</v>
          </cell>
          <cell r="BX158">
            <v>31528.032999999999</v>
          </cell>
        </row>
        <row r="159">
          <cell r="C159" t="str">
            <v>Myanmar</v>
          </cell>
          <cell r="E159">
            <v>104</v>
          </cell>
          <cell r="F159" t="str">
            <v>Country</v>
          </cell>
          <cell r="G159">
            <v>920</v>
          </cell>
          <cell r="H159">
            <v>17779.628000000001</v>
          </cell>
          <cell r="I159">
            <v>18103.968000000001</v>
          </cell>
          <cell r="J159">
            <v>18440.670999999998</v>
          </cell>
          <cell r="K159">
            <v>18792.737000000001</v>
          </cell>
          <cell r="L159">
            <v>19162.184000000001</v>
          </cell>
          <cell r="M159">
            <v>19550.071</v>
          </cell>
          <cell r="N159">
            <v>19956.400000000001</v>
          </cell>
          <cell r="O159">
            <v>20380.222000000002</v>
          </cell>
          <cell r="P159">
            <v>20819.754000000001</v>
          </cell>
          <cell r="Q159">
            <v>21272.685000000001</v>
          </cell>
          <cell r="R159">
            <v>21736.941999999999</v>
          </cell>
          <cell r="S159">
            <v>22211.624</v>
          </cell>
          <cell r="T159">
            <v>22697.667000000001</v>
          </cell>
          <cell r="U159">
            <v>23198.241000000002</v>
          </cell>
          <cell r="V159">
            <v>23717.788</v>
          </cell>
          <cell r="W159">
            <v>24259.359</v>
          </cell>
          <cell r="X159">
            <v>24823.94</v>
          </cell>
          <cell r="Y159">
            <v>25410.06</v>
          </cell>
          <cell r="Z159">
            <v>26015.248</v>
          </cell>
          <cell r="AA159">
            <v>26635.848999999998</v>
          </cell>
          <cell r="AB159">
            <v>27269.069</v>
          </cell>
          <cell r="AC159">
            <v>27913.75</v>
          </cell>
          <cell r="AD159">
            <v>28570.097000000002</v>
          </cell>
          <cell r="AE159">
            <v>29238.168000000001</v>
          </cell>
          <cell r="AF159">
            <v>29918.460999999999</v>
          </cell>
          <cell r="AG159">
            <v>30611.095000000001</v>
          </cell>
          <cell r="AH159">
            <v>31314.341</v>
          </cell>
          <cell r="AI159">
            <v>32026.741999999998</v>
          </cell>
          <cell r="AJ159">
            <v>32748.784</v>
          </cell>
          <cell r="AK159">
            <v>33481.396000000001</v>
          </cell>
          <cell r="AL159">
            <v>34224.313000000002</v>
          </cell>
          <cell r="AM159">
            <v>34976.462</v>
          </cell>
          <cell r="AN159">
            <v>35734.271999999997</v>
          </cell>
          <cell r="AO159">
            <v>36491.800000000003</v>
          </cell>
          <cell r="AP159">
            <v>37241.527000000002</v>
          </cell>
          <cell r="AQ159">
            <v>37977.086000000003</v>
          </cell>
          <cell r="AR159">
            <v>38698.482000000004</v>
          </cell>
          <cell r="AS159">
            <v>39404.334999999999</v>
          </cell>
          <cell r="AT159">
            <v>40085.650999999998</v>
          </cell>
          <cell r="AU159">
            <v>40731.425999999999</v>
          </cell>
          <cell r="AV159">
            <v>41335.199000000001</v>
          </cell>
          <cell r="AW159">
            <v>41890.197</v>
          </cell>
          <cell r="AX159">
            <v>42401.684000000001</v>
          </cell>
          <cell r="AY159">
            <v>42890.002</v>
          </cell>
          <cell r="AZ159">
            <v>43383.428</v>
          </cell>
          <cell r="BA159">
            <v>43901.597999999998</v>
          </cell>
          <cell r="BB159">
            <v>44452.205999999998</v>
          </cell>
          <cell r="BC159">
            <v>45027.233</v>
          </cell>
          <cell r="BD159">
            <v>45611.22</v>
          </cell>
          <cell r="BE159">
            <v>46181.076999999997</v>
          </cell>
          <cell r="BF159">
            <v>46719.701000000001</v>
          </cell>
          <cell r="BG159">
            <v>47225.120000000003</v>
          </cell>
          <cell r="BH159">
            <v>47702.171000000002</v>
          </cell>
          <cell r="BI159">
            <v>48148.902000000002</v>
          </cell>
          <cell r="BJ159">
            <v>48564.483999999997</v>
          </cell>
          <cell r="BK159">
            <v>48949.923999999999</v>
          </cell>
          <cell r="BL159">
            <v>49301.05</v>
          </cell>
          <cell r="BM159">
            <v>49621.474999999999</v>
          </cell>
          <cell r="BN159">
            <v>49929.642</v>
          </cell>
          <cell r="BO159">
            <v>50250.366999999998</v>
          </cell>
          <cell r="BP159">
            <v>50600.817999999999</v>
          </cell>
          <cell r="BQ159">
            <v>50990.616999999998</v>
          </cell>
          <cell r="BR159">
            <v>51413.703999999998</v>
          </cell>
          <cell r="BS159">
            <v>51852.468000000001</v>
          </cell>
          <cell r="BT159">
            <v>52280.824000000001</v>
          </cell>
          <cell r="BU159">
            <v>52680.726000000002</v>
          </cell>
          <cell r="BV159">
            <v>53045.201000000001</v>
          </cell>
          <cell r="BW159">
            <v>53382.523000000001</v>
          </cell>
          <cell r="BX159">
            <v>53708.32</v>
          </cell>
        </row>
        <row r="160">
          <cell r="C160" t="str">
            <v>Philippines</v>
          </cell>
          <cell r="E160">
            <v>608</v>
          </cell>
          <cell r="F160" t="str">
            <v>Country</v>
          </cell>
          <cell r="G160">
            <v>920</v>
          </cell>
          <cell r="H160">
            <v>18580.490000000002</v>
          </cell>
          <cell r="I160">
            <v>19246.606</v>
          </cell>
          <cell r="J160">
            <v>19945.278999999999</v>
          </cell>
          <cell r="K160">
            <v>20669.601999999999</v>
          </cell>
          <cell r="L160">
            <v>21414.58</v>
          </cell>
          <cell r="M160">
            <v>22177.058000000001</v>
          </cell>
          <cell r="N160">
            <v>22955.916000000001</v>
          </cell>
          <cell r="O160">
            <v>23751.873</v>
          </cell>
          <cell r="P160">
            <v>24567.260999999999</v>
          </cell>
          <cell r="Q160">
            <v>25405.527999999998</v>
          </cell>
          <cell r="R160">
            <v>26269.734</v>
          </cell>
          <cell r="S160">
            <v>27161.046999999999</v>
          </cell>
          <cell r="T160">
            <v>28077.339</v>
          </cell>
          <cell r="U160">
            <v>29012.625</v>
          </cell>
          <cell r="V160">
            <v>29958.687999999998</v>
          </cell>
          <cell r="W160">
            <v>30909.988000000001</v>
          </cell>
          <cell r="X160">
            <v>31864.182000000001</v>
          </cell>
          <cell r="Y160">
            <v>32823.968000000001</v>
          </cell>
          <cell r="Z160">
            <v>33795.194000000003</v>
          </cell>
          <cell r="AA160">
            <v>34786.305</v>
          </cell>
          <cell r="AB160">
            <v>35803.593999999997</v>
          </cell>
          <cell r="AC160">
            <v>36849.675000000003</v>
          </cell>
          <cell r="AD160">
            <v>37923.396000000001</v>
          </cell>
          <cell r="AE160">
            <v>39022.767</v>
          </cell>
          <cell r="AF160">
            <v>40144.248</v>
          </cell>
          <cell r="AG160">
            <v>41285.741999999998</v>
          </cell>
          <cell r="AH160">
            <v>42446.652999999998</v>
          </cell>
          <cell r="AI160">
            <v>43629.411999999997</v>
          </cell>
          <cell r="AJ160">
            <v>44838.483</v>
          </cell>
          <cell r="AK160">
            <v>46079.85</v>
          </cell>
          <cell r="AL160">
            <v>47357.743000000002</v>
          </cell>
          <cell r="AM160">
            <v>48672.838000000003</v>
          </cell>
          <cell r="AN160">
            <v>50023.563000000002</v>
          </cell>
          <cell r="AO160">
            <v>51408.911999999997</v>
          </cell>
          <cell r="AP160">
            <v>52827.040000000001</v>
          </cell>
          <cell r="AQ160">
            <v>54275.822</v>
          </cell>
          <cell r="AR160">
            <v>55755.355000000003</v>
          </cell>
          <cell r="AS160">
            <v>57263.836000000003</v>
          </cell>
          <cell r="AT160">
            <v>58795.000999999997</v>
          </cell>
          <cell r="AU160">
            <v>60340.767</v>
          </cell>
          <cell r="AV160">
            <v>61895.16</v>
          </cell>
          <cell r="AW160">
            <v>63454.786</v>
          </cell>
          <cell r="AX160">
            <v>65020.116000000002</v>
          </cell>
          <cell r="AY160">
            <v>66593.903999999995</v>
          </cell>
          <cell r="AZ160">
            <v>68180.858999999997</v>
          </cell>
          <cell r="BA160">
            <v>69784.088000000003</v>
          </cell>
          <cell r="BB160">
            <v>71401.748999999996</v>
          </cell>
          <cell r="BC160">
            <v>73030.884000000005</v>
          </cell>
          <cell r="BD160">
            <v>74672.013999999996</v>
          </cell>
          <cell r="BE160">
            <v>76325.926999999996</v>
          </cell>
          <cell r="BF160">
            <v>77991.755000000005</v>
          </cell>
          <cell r="BG160">
            <v>79672.873000000007</v>
          </cell>
          <cell r="BH160">
            <v>81365.258000000002</v>
          </cell>
          <cell r="BI160">
            <v>83051.971000000005</v>
          </cell>
          <cell r="BJ160">
            <v>84710.542000000001</v>
          </cell>
          <cell r="BK160">
            <v>86326.25</v>
          </cell>
          <cell r="BL160">
            <v>87888.675000000003</v>
          </cell>
          <cell r="BM160">
            <v>89405.482000000004</v>
          </cell>
          <cell r="BN160">
            <v>90901.964999999997</v>
          </cell>
          <cell r="BO160">
            <v>92414.157999999996</v>
          </cell>
          <cell r="BP160">
            <v>93966.78</v>
          </cell>
          <cell r="BQ160">
            <v>95570.05</v>
          </cell>
          <cell r="BR160">
            <v>97212.642999999996</v>
          </cell>
          <cell r="BS160">
            <v>98871.554999999993</v>
          </cell>
          <cell r="BT160">
            <v>100513.14200000001</v>
          </cell>
          <cell r="BU160">
            <v>102113.212</v>
          </cell>
          <cell r="BV160">
            <v>103663.81600000001</v>
          </cell>
          <cell r="BW160">
            <v>105172.925</v>
          </cell>
          <cell r="BX160">
            <v>106651.394</v>
          </cell>
        </row>
        <row r="161">
          <cell r="C161" t="str">
            <v>Singapore</v>
          </cell>
          <cell r="E161">
            <v>702</v>
          </cell>
          <cell r="F161" t="str">
            <v>Country</v>
          </cell>
          <cell r="G161">
            <v>920</v>
          </cell>
          <cell r="H161">
            <v>1022.096</v>
          </cell>
          <cell r="I161">
            <v>1067.798</v>
          </cell>
          <cell r="J161">
            <v>1119.93</v>
          </cell>
          <cell r="K161">
            <v>1177.5820000000001</v>
          </cell>
          <cell r="L161">
            <v>1239.6880000000001</v>
          </cell>
          <cell r="M161">
            <v>1305.105</v>
          </cell>
          <cell r="N161">
            <v>1372.511</v>
          </cell>
          <cell r="O161">
            <v>1440.491</v>
          </cell>
          <cell r="P161">
            <v>1507.5429999999999</v>
          </cell>
          <cell r="Q161">
            <v>1572.173</v>
          </cell>
          <cell r="R161">
            <v>1633.13</v>
          </cell>
          <cell r="S161">
            <v>1689.5889999999999</v>
          </cell>
          <cell r="T161">
            <v>1741.46</v>
          </cell>
          <cell r="U161">
            <v>1789.376</v>
          </cell>
          <cell r="V161">
            <v>1834.5229999999999</v>
          </cell>
          <cell r="W161">
            <v>1877.826</v>
          </cell>
          <cell r="X161">
            <v>1919.2840000000001</v>
          </cell>
          <cell r="Y161">
            <v>1958.732</v>
          </cell>
          <cell r="Z161">
            <v>1996.866</v>
          </cell>
          <cell r="AA161">
            <v>2034.5239999999999</v>
          </cell>
          <cell r="AB161">
            <v>2072.2829999999999</v>
          </cell>
          <cell r="AC161">
            <v>2110.9630000000002</v>
          </cell>
          <cell r="AD161">
            <v>2150.5039999999999</v>
          </cell>
          <cell r="AE161">
            <v>2189.607</v>
          </cell>
          <cell r="AF161">
            <v>2226.377</v>
          </cell>
          <cell r="AG161">
            <v>2259.721</v>
          </cell>
          <cell r="AH161">
            <v>2288.8620000000001</v>
          </cell>
          <cell r="AI161">
            <v>2314.9879999999998</v>
          </cell>
          <cell r="AJ161">
            <v>2341.4050000000002</v>
          </cell>
          <cell r="AK161">
            <v>2372.5949999999998</v>
          </cell>
          <cell r="AL161">
            <v>2411.6880000000001</v>
          </cell>
          <cell r="AM161">
            <v>2460.5</v>
          </cell>
          <cell r="AN161">
            <v>2517.9850000000001</v>
          </cell>
          <cell r="AO161">
            <v>2580.9119999999998</v>
          </cell>
          <cell r="AP161">
            <v>2644.4969999999998</v>
          </cell>
          <cell r="AQ161">
            <v>2705.5340000000001</v>
          </cell>
          <cell r="AR161">
            <v>2762.4380000000001</v>
          </cell>
          <cell r="AS161">
            <v>2816.971</v>
          </cell>
          <cell r="AT161">
            <v>2873.2809999999999</v>
          </cell>
          <cell r="AU161">
            <v>2937.2759999999998</v>
          </cell>
          <cell r="AV161">
            <v>3012.9659999999999</v>
          </cell>
          <cell r="AW161">
            <v>3101.1469999999999</v>
          </cell>
          <cell r="AX161">
            <v>3199.6419999999998</v>
          </cell>
          <cell r="AY161">
            <v>3305.8069999999998</v>
          </cell>
          <cell r="AZ161">
            <v>3415.703</v>
          </cell>
          <cell r="BA161">
            <v>3525.9690000000001</v>
          </cell>
          <cell r="BB161">
            <v>3638.1869999999999</v>
          </cell>
          <cell r="BC161">
            <v>3752.14</v>
          </cell>
          <cell r="BD161">
            <v>3860.7139999999999</v>
          </cell>
          <cell r="BE161">
            <v>3954.7429999999999</v>
          </cell>
          <cell r="BF161">
            <v>4028.8710000000001</v>
          </cell>
          <cell r="BG161">
            <v>4077.145</v>
          </cell>
          <cell r="BH161">
            <v>4104.4189999999999</v>
          </cell>
          <cell r="BI161">
            <v>4129.2250000000004</v>
          </cell>
          <cell r="BJ161">
            <v>4177.2129999999997</v>
          </cell>
          <cell r="BK161">
            <v>4265.6869999999999</v>
          </cell>
          <cell r="BL161">
            <v>4402.3310000000001</v>
          </cell>
          <cell r="BM161">
            <v>4578.63</v>
          </cell>
          <cell r="BN161">
            <v>4775.8040000000001</v>
          </cell>
          <cell r="BO161">
            <v>4966.6139999999996</v>
          </cell>
          <cell r="BP161">
            <v>5131.1719999999996</v>
          </cell>
          <cell r="BQ161">
            <v>5263.6360000000004</v>
          </cell>
          <cell r="BR161">
            <v>5369.4759999999997</v>
          </cell>
          <cell r="BS161">
            <v>5453.7370000000001</v>
          </cell>
          <cell r="BT161">
            <v>5525.6260000000002</v>
          </cell>
          <cell r="BU161">
            <v>5592.152</v>
          </cell>
          <cell r="BV161">
            <v>5653.634</v>
          </cell>
          <cell r="BW161">
            <v>5708.0410000000002</v>
          </cell>
          <cell r="BX161">
            <v>5757.4989999999998</v>
          </cell>
        </row>
        <row r="162">
          <cell r="C162" t="str">
            <v>Thailand</v>
          </cell>
          <cell r="E162">
            <v>764</v>
          </cell>
          <cell r="F162" t="str">
            <v>Country</v>
          </cell>
          <cell r="G162">
            <v>920</v>
          </cell>
          <cell r="H162">
            <v>20710.36</v>
          </cell>
          <cell r="I162">
            <v>21263.455000000002</v>
          </cell>
          <cell r="J162">
            <v>21838.31</v>
          </cell>
          <cell r="K162">
            <v>22436.803</v>
          </cell>
          <cell r="L162">
            <v>23060.605</v>
          </cell>
          <cell r="M162">
            <v>23711.132000000001</v>
          </cell>
          <cell r="N162">
            <v>24389.553</v>
          </cell>
          <cell r="O162">
            <v>25096.803</v>
          </cell>
          <cell r="P162">
            <v>25833.573</v>
          </cell>
          <cell r="Q162">
            <v>26600.315999999999</v>
          </cell>
          <cell r="R162">
            <v>27397.206999999999</v>
          </cell>
          <cell r="S162">
            <v>28224.187000000002</v>
          </cell>
          <cell r="T162">
            <v>29080.937999999998</v>
          </cell>
          <cell r="U162">
            <v>29966.865000000002</v>
          </cell>
          <cell r="V162">
            <v>30881.137999999999</v>
          </cell>
          <cell r="W162">
            <v>31822.66</v>
          </cell>
          <cell r="X162">
            <v>32789.129999999997</v>
          </cell>
          <cell r="Y162">
            <v>33778.798999999999</v>
          </cell>
          <cell r="Z162">
            <v>34791.409</v>
          </cell>
          <cell r="AA162">
            <v>35827.091999999997</v>
          </cell>
          <cell r="AB162">
            <v>36884.536</v>
          </cell>
          <cell r="AC162">
            <v>37963.277999999998</v>
          </cell>
          <cell r="AD162">
            <v>39058.603000000003</v>
          </cell>
          <cell r="AE162">
            <v>40159.582000000002</v>
          </cell>
          <cell r="AF162">
            <v>41252.324000000001</v>
          </cell>
          <cell r="AG162">
            <v>42326.311999999998</v>
          </cell>
          <cell r="AH162">
            <v>43377.271000000001</v>
          </cell>
          <cell r="AI162">
            <v>44405.904000000002</v>
          </cell>
          <cell r="AJ162">
            <v>45413.08</v>
          </cell>
          <cell r="AK162">
            <v>46401.754000000001</v>
          </cell>
          <cell r="AL162">
            <v>47374.472000000002</v>
          </cell>
          <cell r="AM162">
            <v>48326.273999999998</v>
          </cell>
          <cell r="AN162">
            <v>49255.9</v>
          </cell>
          <cell r="AO162">
            <v>50173.923999999999</v>
          </cell>
          <cell r="AP162">
            <v>51094.868000000002</v>
          </cell>
          <cell r="AQ162">
            <v>52026.900999999998</v>
          </cell>
          <cell r="AR162">
            <v>52980.093999999997</v>
          </cell>
          <cell r="AS162">
            <v>53945.881000000001</v>
          </cell>
          <cell r="AT162">
            <v>54891.519999999997</v>
          </cell>
          <cell r="AU162">
            <v>55772.169000000002</v>
          </cell>
          <cell r="AV162">
            <v>56558.186000000002</v>
          </cell>
          <cell r="AW162">
            <v>57232.464999999997</v>
          </cell>
          <cell r="AX162">
            <v>57811.021000000001</v>
          </cell>
          <cell r="AY162">
            <v>58337.773000000001</v>
          </cell>
          <cell r="AZ162">
            <v>58875.269</v>
          </cell>
          <cell r="BA162">
            <v>59467.273999999998</v>
          </cell>
          <cell r="BB162">
            <v>60130.186000000002</v>
          </cell>
          <cell r="BC162">
            <v>60846.582000000002</v>
          </cell>
          <cell r="BD162">
            <v>61585.103000000003</v>
          </cell>
          <cell r="BE162">
            <v>62298.571000000004</v>
          </cell>
          <cell r="BF162">
            <v>62952.642</v>
          </cell>
          <cell r="BG162">
            <v>63539.196000000004</v>
          </cell>
          <cell r="BH162">
            <v>64069.087</v>
          </cell>
          <cell r="BI162">
            <v>64549.866000000002</v>
          </cell>
          <cell r="BJ162">
            <v>64995.298999999999</v>
          </cell>
          <cell r="BK162">
            <v>65416.188999999998</v>
          </cell>
          <cell r="BL162">
            <v>65812.535999999993</v>
          </cell>
          <cell r="BM162">
            <v>66182.066999999995</v>
          </cell>
          <cell r="BN162">
            <v>66530.983999999997</v>
          </cell>
          <cell r="BO162">
            <v>66866.839000000007</v>
          </cell>
          <cell r="BP162">
            <v>67195.028000000006</v>
          </cell>
          <cell r="BQ162">
            <v>67518.388000000006</v>
          </cell>
          <cell r="BR162">
            <v>67835.962</v>
          </cell>
          <cell r="BS162">
            <v>68144.517999999996</v>
          </cell>
          <cell r="BT162">
            <v>68438.745999999999</v>
          </cell>
          <cell r="BU162">
            <v>68714.510999999999</v>
          </cell>
          <cell r="BV162">
            <v>68971.308000000005</v>
          </cell>
          <cell r="BW162">
            <v>69209.81</v>
          </cell>
          <cell r="BX162">
            <v>69428.452999999994</v>
          </cell>
        </row>
        <row r="163">
          <cell r="C163" t="str">
            <v>Timor-Leste</v>
          </cell>
          <cell r="E163">
            <v>626</v>
          </cell>
          <cell r="F163" t="str">
            <v>Country</v>
          </cell>
          <cell r="G163">
            <v>920</v>
          </cell>
          <cell r="H163">
            <v>414.76</v>
          </cell>
          <cell r="I163">
            <v>418.68900000000002</v>
          </cell>
          <cell r="J163">
            <v>423.12099999999998</v>
          </cell>
          <cell r="K163">
            <v>428.041</v>
          </cell>
          <cell r="L163">
            <v>433.423</v>
          </cell>
          <cell r="M163">
            <v>439.22300000000001</v>
          </cell>
          <cell r="N163">
            <v>445.44499999999999</v>
          </cell>
          <cell r="O163">
            <v>452.08600000000001</v>
          </cell>
          <cell r="P163">
            <v>459.142</v>
          </cell>
          <cell r="Q163">
            <v>466.62299999999999</v>
          </cell>
          <cell r="R163">
            <v>474.53199999999998</v>
          </cell>
          <cell r="S163">
            <v>482.85399999999998</v>
          </cell>
          <cell r="T163">
            <v>491.57100000000003</v>
          </cell>
          <cell r="U163">
            <v>500.64699999999999</v>
          </cell>
          <cell r="V163">
            <v>510.03399999999999</v>
          </cell>
          <cell r="W163">
            <v>519.68600000000004</v>
          </cell>
          <cell r="X163">
            <v>529.327</v>
          </cell>
          <cell r="Y163">
            <v>538.90899999999999</v>
          </cell>
          <cell r="Z163">
            <v>548.82500000000005</v>
          </cell>
          <cell r="AA163">
            <v>559.62599999999998</v>
          </cell>
          <cell r="AB163">
            <v>571.56500000000005</v>
          </cell>
          <cell r="AC163">
            <v>585.25099999999998</v>
          </cell>
          <cell r="AD163">
            <v>600.19200000000001</v>
          </cell>
          <cell r="AE163">
            <v>614.25300000000004</v>
          </cell>
          <cell r="AF163">
            <v>624.55499999999995</v>
          </cell>
          <cell r="AG163">
            <v>629.22699999999998</v>
          </cell>
          <cell r="AH163">
            <v>627.25099999999998</v>
          </cell>
          <cell r="AI163">
            <v>619.81600000000003</v>
          </cell>
          <cell r="AJ163">
            <v>610.05399999999997</v>
          </cell>
          <cell r="AK163">
            <v>602.35799999999995</v>
          </cell>
          <cell r="AL163">
            <v>599.90499999999997</v>
          </cell>
          <cell r="AM163">
            <v>603.84199999999998</v>
          </cell>
          <cell r="AN163">
            <v>613.23800000000006</v>
          </cell>
          <cell r="AO163">
            <v>626.67499999999995</v>
          </cell>
          <cell r="AP163">
            <v>641.84400000000005</v>
          </cell>
          <cell r="AQ163">
            <v>657.053</v>
          </cell>
          <cell r="AR163">
            <v>671.75199999999995</v>
          </cell>
          <cell r="AS163">
            <v>686.471</v>
          </cell>
          <cell r="AT163">
            <v>701.80899999999997</v>
          </cell>
          <cell r="AU163">
            <v>718.74099999999999</v>
          </cell>
          <cell r="AV163">
            <v>737.81399999999996</v>
          </cell>
          <cell r="AW163">
            <v>759.52700000000004</v>
          </cell>
          <cell r="AX163">
            <v>783.19799999999998</v>
          </cell>
          <cell r="AY163">
            <v>806.86</v>
          </cell>
          <cell r="AZ163">
            <v>827.82500000000005</v>
          </cell>
          <cell r="BA163">
            <v>844.33399999999995</v>
          </cell>
          <cell r="BB163">
            <v>855.36199999999997</v>
          </cell>
          <cell r="BC163">
            <v>861.86599999999999</v>
          </cell>
          <cell r="BD163">
            <v>866.53</v>
          </cell>
          <cell r="BE163">
            <v>873.13599999999997</v>
          </cell>
          <cell r="BF163">
            <v>884.36599999999999</v>
          </cell>
          <cell r="BG163">
            <v>901.21400000000006</v>
          </cell>
          <cell r="BH163">
            <v>922.69399999999996</v>
          </cell>
          <cell r="BI163">
            <v>947.10799999999995</v>
          </cell>
          <cell r="BJ163">
            <v>971.89300000000003</v>
          </cell>
          <cell r="BK163">
            <v>995.13499999999999</v>
          </cell>
          <cell r="BL163">
            <v>1016.432</v>
          </cell>
          <cell r="BM163">
            <v>1036.3920000000001</v>
          </cell>
          <cell r="BN163">
            <v>1055.431</v>
          </cell>
          <cell r="BO163">
            <v>1074.277</v>
          </cell>
          <cell r="BP163">
            <v>1093.5229999999999</v>
          </cell>
          <cell r="BQ163">
            <v>1113.1510000000001</v>
          </cell>
          <cell r="BR163">
            <v>1132.9939999999999</v>
          </cell>
          <cell r="BS163">
            <v>1153.2940000000001</v>
          </cell>
          <cell r="BT163">
            <v>1174.3309999999999</v>
          </cell>
          <cell r="BU163">
            <v>1196.3019999999999</v>
          </cell>
          <cell r="BV163">
            <v>1219.288</v>
          </cell>
          <cell r="BW163">
            <v>1243.258</v>
          </cell>
          <cell r="BX163">
            <v>1267.9739999999999</v>
          </cell>
        </row>
        <row r="164">
          <cell r="C164" t="str">
            <v>Viet Nam</v>
          </cell>
          <cell r="E164">
            <v>704</v>
          </cell>
          <cell r="F164" t="str">
            <v>Country</v>
          </cell>
          <cell r="G164">
            <v>920</v>
          </cell>
          <cell r="H164">
            <v>24809.901999999998</v>
          </cell>
          <cell r="I164">
            <v>25364.519</v>
          </cell>
          <cell r="J164">
            <v>25976.855</v>
          </cell>
          <cell r="K164">
            <v>26646.076000000001</v>
          </cell>
          <cell r="L164">
            <v>27370.471000000001</v>
          </cell>
          <cell r="M164">
            <v>28147.442999999999</v>
          </cell>
          <cell r="N164">
            <v>28973.440999999999</v>
          </cell>
          <cell r="O164">
            <v>29844.053</v>
          </cell>
          <cell r="P164">
            <v>30754.093000000001</v>
          </cell>
          <cell r="Q164">
            <v>31697.894</v>
          </cell>
          <cell r="R164">
            <v>32670.039000000001</v>
          </cell>
          <cell r="S164">
            <v>33666.11</v>
          </cell>
          <cell r="T164">
            <v>34683.406999999999</v>
          </cell>
          <cell r="U164">
            <v>35721.216999999997</v>
          </cell>
          <cell r="V164">
            <v>36779.999000000003</v>
          </cell>
          <cell r="W164">
            <v>37858.951000000001</v>
          </cell>
          <cell r="X164">
            <v>38958.048000000003</v>
          </cell>
          <cell r="Y164">
            <v>40072.947999999997</v>
          </cell>
          <cell r="Z164">
            <v>41193.601000000002</v>
          </cell>
          <cell r="AA164">
            <v>42307.146000000001</v>
          </cell>
          <cell r="AB164">
            <v>43404.792999999998</v>
          </cell>
          <cell r="AC164">
            <v>44484.035000000003</v>
          </cell>
          <cell r="AD164">
            <v>45548.478999999999</v>
          </cell>
          <cell r="AE164">
            <v>46603.525000000001</v>
          </cell>
          <cell r="AF164">
            <v>47657.561000000002</v>
          </cell>
          <cell r="AG164">
            <v>48718.188999999998</v>
          </cell>
          <cell r="AH164">
            <v>49785.281999999999</v>
          </cell>
          <cell r="AI164">
            <v>50861.161999999997</v>
          </cell>
          <cell r="AJ164">
            <v>51959.014999999999</v>
          </cell>
          <cell r="AK164">
            <v>53095.408000000003</v>
          </cell>
          <cell r="AL164">
            <v>54281.845999999998</v>
          </cell>
          <cell r="AM164">
            <v>55522.803</v>
          </cell>
          <cell r="AN164">
            <v>56814.305999999997</v>
          </cell>
          <cell r="AO164">
            <v>58148.383999999998</v>
          </cell>
          <cell r="AP164">
            <v>59512.618999999999</v>
          </cell>
          <cell r="AQ164">
            <v>60896.720999999998</v>
          </cell>
          <cell r="AR164">
            <v>62293.856</v>
          </cell>
          <cell r="AS164">
            <v>63701.972000000002</v>
          </cell>
          <cell r="AT164">
            <v>65120.438999999998</v>
          </cell>
          <cell r="AU164">
            <v>66550.233999999997</v>
          </cell>
          <cell r="AV164">
            <v>67988.861999999994</v>
          </cell>
          <cell r="AW164">
            <v>69436.953999999998</v>
          </cell>
          <cell r="AX164">
            <v>70883.481</v>
          </cell>
          <cell r="AY164">
            <v>72300.308000000005</v>
          </cell>
          <cell r="AZ164">
            <v>73651.217999999993</v>
          </cell>
          <cell r="BA164">
            <v>74910.460999999996</v>
          </cell>
          <cell r="BB164">
            <v>76068.743000000002</v>
          </cell>
          <cell r="BC164">
            <v>77133.214000000007</v>
          </cell>
          <cell r="BD164">
            <v>78115.710000000006</v>
          </cell>
          <cell r="BE164">
            <v>79035.870999999999</v>
          </cell>
          <cell r="BF164">
            <v>79910.411999999997</v>
          </cell>
          <cell r="BG164">
            <v>80742.498999999996</v>
          </cell>
          <cell r="BH164">
            <v>81534.407000000007</v>
          </cell>
          <cell r="BI164">
            <v>82301.656000000003</v>
          </cell>
          <cell r="BJ164">
            <v>83062.820999999996</v>
          </cell>
          <cell r="BK164">
            <v>83832.660999999993</v>
          </cell>
          <cell r="BL164">
            <v>84617.54</v>
          </cell>
          <cell r="BM164">
            <v>85419.591</v>
          </cell>
          <cell r="BN164">
            <v>86243.413</v>
          </cell>
          <cell r="BO164">
            <v>87092.251999999993</v>
          </cell>
          <cell r="BP164">
            <v>87967.650999999998</v>
          </cell>
          <cell r="BQ164">
            <v>88871.38</v>
          </cell>
          <cell r="BR164">
            <v>89801.926000000007</v>
          </cell>
          <cell r="BS164">
            <v>90752.592000000004</v>
          </cell>
          <cell r="BT164">
            <v>91713.847999999998</v>
          </cell>
          <cell r="BU164">
            <v>92677.076000000001</v>
          </cell>
          <cell r="BV164">
            <v>93640.422000000006</v>
          </cell>
          <cell r="BW164">
            <v>94600.648000000001</v>
          </cell>
          <cell r="BX164">
            <v>95545.962</v>
          </cell>
        </row>
        <row r="165">
          <cell r="C165" t="str">
            <v>LATIN AMERICA AND THE CARIBBEAN</v>
          </cell>
          <cell r="E165">
            <v>1830</v>
          </cell>
          <cell r="F165" t="str">
            <v>SDG region</v>
          </cell>
          <cell r="G165">
            <v>1828</v>
          </cell>
          <cell r="H165">
            <v>168820.62</v>
          </cell>
          <cell r="I165">
            <v>173280.56099999999</v>
          </cell>
          <cell r="J165">
            <v>177915.94500000001</v>
          </cell>
          <cell r="K165">
            <v>182708.889</v>
          </cell>
          <cell r="L165">
            <v>187647.726</v>
          </cell>
          <cell r="M165">
            <v>192727.21900000001</v>
          </cell>
          <cell r="N165">
            <v>197948.71599999999</v>
          </cell>
          <cell r="O165">
            <v>203319.95199999999</v>
          </cell>
          <cell r="P165">
            <v>208853.76000000001</v>
          </cell>
          <cell r="Q165">
            <v>214566.08100000001</v>
          </cell>
          <cell r="R165">
            <v>220469.698</v>
          </cell>
          <cell r="S165">
            <v>226567.995</v>
          </cell>
          <cell r="T165">
            <v>232848.851</v>
          </cell>
          <cell r="U165">
            <v>239282.552</v>
          </cell>
          <cell r="V165">
            <v>245828.601</v>
          </cell>
          <cell r="W165">
            <v>252455.95600000001</v>
          </cell>
          <cell r="X165">
            <v>259154.196</v>
          </cell>
          <cell r="Y165">
            <v>265925.59600000002</v>
          </cell>
          <cell r="Z165">
            <v>272768.30900000001</v>
          </cell>
          <cell r="AA165">
            <v>279684.29399999999</v>
          </cell>
          <cell r="AB165">
            <v>286675.70500000002</v>
          </cell>
          <cell r="AC165">
            <v>293738.01799999998</v>
          </cell>
          <cell r="AD165">
            <v>300869.44699999999</v>
          </cell>
          <cell r="AE165">
            <v>308078.73</v>
          </cell>
          <cell r="AF165">
            <v>315378.24300000002</v>
          </cell>
          <cell r="AG165">
            <v>322777.18900000001</v>
          </cell>
          <cell r="AH165">
            <v>330272.36700000003</v>
          </cell>
          <cell r="AI165">
            <v>337860.408</v>
          </cell>
          <cell r="AJ165">
            <v>345548.21899999998</v>
          </cell>
          <cell r="AK165">
            <v>353344.935</v>
          </cell>
          <cell r="AL165">
            <v>361253.20500000002</v>
          </cell>
          <cell r="AM165">
            <v>369274.54499999998</v>
          </cell>
          <cell r="AN165">
            <v>377395.86900000001</v>
          </cell>
          <cell r="AO165">
            <v>385586.58899999998</v>
          </cell>
          <cell r="AP165">
            <v>393806.42099999997</v>
          </cell>
          <cell r="AQ165">
            <v>402023.65700000001</v>
          </cell>
          <cell r="AR165">
            <v>410223.342</v>
          </cell>
          <cell r="AS165">
            <v>418404.15100000001</v>
          </cell>
          <cell r="AT165">
            <v>426564.87</v>
          </cell>
          <cell r="AU165">
            <v>434709.739</v>
          </cell>
          <cell r="AV165">
            <v>442840.06099999999</v>
          </cell>
          <cell r="AW165">
            <v>450946.50099999999</v>
          </cell>
          <cell r="AX165">
            <v>459018.54</v>
          </cell>
          <cell r="AY165">
            <v>467054.77600000001</v>
          </cell>
          <cell r="AZ165">
            <v>475055.72</v>
          </cell>
          <cell r="BA165">
            <v>483018.26500000001</v>
          </cell>
          <cell r="BB165">
            <v>490943.98499999999</v>
          </cell>
          <cell r="BC165">
            <v>498821.70199999999</v>
          </cell>
          <cell r="BD165">
            <v>506620.70899999997</v>
          </cell>
          <cell r="BE165">
            <v>514301.39500000002</v>
          </cell>
          <cell r="BF165">
            <v>521836.304</v>
          </cell>
          <cell r="BG165">
            <v>529213.20499999996</v>
          </cell>
          <cell r="BH165">
            <v>536441.56299999997</v>
          </cell>
          <cell r="BI165">
            <v>543544.13699999999</v>
          </cell>
          <cell r="BJ165">
            <v>550555.16799999995</v>
          </cell>
          <cell r="BK165">
            <v>557501.03200000001</v>
          </cell>
          <cell r="BL165">
            <v>564384.69999999995</v>
          </cell>
          <cell r="BM165">
            <v>571201.897</v>
          </cell>
          <cell r="BN165">
            <v>577962.67299999995</v>
          </cell>
          <cell r="BO165">
            <v>584677.56700000004</v>
          </cell>
          <cell r="BP165">
            <v>591352.38800000004</v>
          </cell>
          <cell r="BQ165">
            <v>597994.75199999998</v>
          </cell>
          <cell r="BR165">
            <v>604599.46699999995</v>
          </cell>
          <cell r="BS165">
            <v>611143.92799999996</v>
          </cell>
          <cell r="BT165">
            <v>617596.46900000004</v>
          </cell>
          <cell r="BU165">
            <v>623934.16799999995</v>
          </cell>
          <cell r="BV165">
            <v>630144.55500000005</v>
          </cell>
          <cell r="BW165">
            <v>636233.12300000002</v>
          </cell>
          <cell r="BX165">
            <v>642216.68200000003</v>
          </cell>
        </row>
        <row r="166">
          <cell r="C166" t="str">
            <v>Caribbean</v>
          </cell>
          <cell r="E166">
            <v>915</v>
          </cell>
          <cell r="F166" t="str">
            <v>Subregion</v>
          </cell>
          <cell r="G166">
            <v>1830</v>
          </cell>
          <cell r="H166">
            <v>17079.900000000001</v>
          </cell>
          <cell r="I166">
            <v>17381.561000000002</v>
          </cell>
          <cell r="J166">
            <v>17706.562999999998</v>
          </cell>
          <cell r="K166">
            <v>18046.163</v>
          </cell>
          <cell r="L166">
            <v>18394.29</v>
          </cell>
          <cell r="M166">
            <v>18747.75</v>
          </cell>
          <cell r="N166">
            <v>19106.181</v>
          </cell>
          <cell r="O166">
            <v>19472.069</v>
          </cell>
          <cell r="P166">
            <v>19850.199000000001</v>
          </cell>
          <cell r="Q166">
            <v>20246.863000000001</v>
          </cell>
          <cell r="R166">
            <v>20667.471000000001</v>
          </cell>
          <cell r="S166">
            <v>21114.096000000001</v>
          </cell>
          <cell r="T166">
            <v>21582.996999999999</v>
          </cell>
          <cell r="U166">
            <v>22063.995999999999</v>
          </cell>
          <cell r="V166">
            <v>22542.986000000001</v>
          </cell>
          <cell r="W166">
            <v>23009.86</v>
          </cell>
          <cell r="X166">
            <v>23459.884999999998</v>
          </cell>
          <cell r="Y166">
            <v>23895.942999999999</v>
          </cell>
          <cell r="Z166">
            <v>24324.97</v>
          </cell>
          <cell r="AA166">
            <v>24757.602999999999</v>
          </cell>
          <cell r="AB166">
            <v>25201.316999999999</v>
          </cell>
          <cell r="AC166">
            <v>25658.357</v>
          </cell>
          <cell r="AD166">
            <v>26124.923999999999</v>
          </cell>
          <cell r="AE166">
            <v>26595.092000000001</v>
          </cell>
          <cell r="AF166">
            <v>27060.083999999999</v>
          </cell>
          <cell r="AG166">
            <v>27513.708999999999</v>
          </cell>
          <cell r="AH166">
            <v>27954.33</v>
          </cell>
          <cell r="AI166">
            <v>28384.521000000001</v>
          </cell>
          <cell r="AJ166">
            <v>28806.921999999999</v>
          </cell>
          <cell r="AK166">
            <v>29226.116000000002</v>
          </cell>
          <cell r="AL166">
            <v>29645.573</v>
          </cell>
          <cell r="AM166">
            <v>30065.11</v>
          </cell>
          <cell r="AN166">
            <v>30484.384999999998</v>
          </cell>
          <cell r="AO166">
            <v>30906.728999999999</v>
          </cell>
          <cell r="AP166">
            <v>31336.181</v>
          </cell>
          <cell r="AQ166">
            <v>31775.120999999999</v>
          </cell>
          <cell r="AR166">
            <v>32225.326000000001</v>
          </cell>
          <cell r="AS166">
            <v>32684.9</v>
          </cell>
          <cell r="AT166">
            <v>33148.33</v>
          </cell>
          <cell r="AU166">
            <v>33607.985999999997</v>
          </cell>
          <cell r="AV166">
            <v>34058.163</v>
          </cell>
          <cell r="AW166">
            <v>34496.466</v>
          </cell>
          <cell r="AX166">
            <v>34923.928</v>
          </cell>
          <cell r="AY166">
            <v>35342.142</v>
          </cell>
          <cell r="AZ166">
            <v>35754.239000000001</v>
          </cell>
          <cell r="BA166">
            <v>36162.214999999997</v>
          </cell>
          <cell r="BB166">
            <v>36566.481</v>
          </cell>
          <cell r="BC166">
            <v>36965.468000000001</v>
          </cell>
          <cell r="BD166">
            <v>37356.519</v>
          </cell>
          <cell r="BE166">
            <v>37736.167000000001</v>
          </cell>
          <cell r="BF166">
            <v>38102.071000000004</v>
          </cell>
          <cell r="BG166">
            <v>38453.504999999997</v>
          </cell>
          <cell r="BH166">
            <v>38791.527999999998</v>
          </cell>
          <cell r="BI166">
            <v>39117.896000000001</v>
          </cell>
          <cell r="BJ166">
            <v>39435.294000000002</v>
          </cell>
          <cell r="BK166">
            <v>39745.828999999998</v>
          </cell>
          <cell r="BL166">
            <v>40048.872000000003</v>
          </cell>
          <cell r="BM166">
            <v>40344.296999999999</v>
          </cell>
          <cell r="BN166">
            <v>40635.188999999998</v>
          </cell>
          <cell r="BO166">
            <v>40925.481</v>
          </cell>
          <cell r="BP166">
            <v>41217.360000000001</v>
          </cell>
          <cell r="BQ166">
            <v>41514.629999999997</v>
          </cell>
          <cell r="BR166">
            <v>41815.192000000003</v>
          </cell>
          <cell r="BS166">
            <v>42108.682999999997</v>
          </cell>
          <cell r="BT166">
            <v>42380.811999999998</v>
          </cell>
          <cell r="BU166">
            <v>42622.296000000002</v>
          </cell>
          <cell r="BV166">
            <v>42827.512000000002</v>
          </cell>
          <cell r="BW166">
            <v>43002.434000000001</v>
          </cell>
          <cell r="BX166">
            <v>43163.817000000003</v>
          </cell>
        </row>
        <row r="167">
          <cell r="C167" t="str">
            <v>Anguilla</v>
          </cell>
          <cell r="E167">
            <v>660</v>
          </cell>
          <cell r="F167" t="str">
            <v>Country</v>
          </cell>
          <cell r="G167">
            <v>915</v>
          </cell>
          <cell r="H167">
            <v>5.1180000000000003</v>
          </cell>
          <cell r="I167">
            <v>5.3170000000000002</v>
          </cell>
          <cell r="J167">
            <v>5.4829999999999997</v>
          </cell>
          <cell r="K167">
            <v>5.609</v>
          </cell>
          <cell r="L167">
            <v>5.7080000000000002</v>
          </cell>
          <cell r="M167">
            <v>5.7830000000000004</v>
          </cell>
          <cell r="N167">
            <v>5.851</v>
          </cell>
          <cell r="O167">
            <v>5.8979999999999997</v>
          </cell>
          <cell r="P167">
            <v>5.9390000000000001</v>
          </cell>
          <cell r="Q167">
            <v>5.984</v>
          </cell>
          <cell r="R167">
            <v>6.032</v>
          </cell>
          <cell r="S167">
            <v>6.0890000000000004</v>
          </cell>
          <cell r="T167">
            <v>6.1440000000000001</v>
          </cell>
          <cell r="U167">
            <v>6.2110000000000003</v>
          </cell>
          <cell r="V167">
            <v>6.2869999999999999</v>
          </cell>
          <cell r="W167">
            <v>6.3609999999999998</v>
          </cell>
          <cell r="X167">
            <v>6.4379999999999997</v>
          </cell>
          <cell r="Y167">
            <v>6.52</v>
          </cell>
          <cell r="Z167">
            <v>6.6020000000000003</v>
          </cell>
          <cell r="AA167">
            <v>6.68</v>
          </cell>
          <cell r="AB167">
            <v>6.7709999999999999</v>
          </cell>
          <cell r="AC167">
            <v>6.8579999999999997</v>
          </cell>
          <cell r="AD167">
            <v>6.9480000000000004</v>
          </cell>
          <cell r="AE167">
            <v>7.0279999999999996</v>
          </cell>
          <cell r="AF167">
            <v>7.1020000000000003</v>
          </cell>
          <cell r="AG167">
            <v>7.1589999999999998</v>
          </cell>
          <cell r="AH167">
            <v>7.2060000000000004</v>
          </cell>
          <cell r="AI167">
            <v>7.2549999999999999</v>
          </cell>
          <cell r="AJ167">
            <v>7.2839999999999998</v>
          </cell>
          <cell r="AK167">
            <v>7.2919999999999998</v>
          </cell>
          <cell r="AL167">
            <v>7.2850000000000001</v>
          </cell>
          <cell r="AM167">
            <v>7.2469999999999999</v>
          </cell>
          <cell r="AN167">
            <v>7.19</v>
          </cell>
          <cell r="AO167">
            <v>7.1529999999999996</v>
          </cell>
          <cell r="AP167">
            <v>7.173</v>
          </cell>
          <cell r="AQ167">
            <v>7.2930000000000001</v>
          </cell>
          <cell r="AR167">
            <v>7.5179999999999998</v>
          </cell>
          <cell r="AS167">
            <v>7.8419999999999996</v>
          </cell>
          <cell r="AT167">
            <v>8.2129999999999992</v>
          </cell>
          <cell r="AU167">
            <v>8.5820000000000007</v>
          </cell>
          <cell r="AV167">
            <v>8.8989999999999991</v>
          </cell>
          <cell r="AW167">
            <v>9.1349999999999998</v>
          </cell>
          <cell r="AX167">
            <v>9.3320000000000007</v>
          </cell>
          <cell r="AY167">
            <v>9.4930000000000003</v>
          </cell>
          <cell r="AZ167">
            <v>9.6639999999999997</v>
          </cell>
          <cell r="BA167">
            <v>9.8659999999999997</v>
          </cell>
          <cell r="BB167">
            <v>10.117000000000001</v>
          </cell>
          <cell r="BC167">
            <v>10.388</v>
          </cell>
          <cell r="BD167">
            <v>10.683999999999999</v>
          </cell>
          <cell r="BE167">
            <v>10.971</v>
          </cell>
          <cell r="BF167">
            <v>11.252000000000001</v>
          </cell>
          <cell r="BG167">
            <v>11.515000000000001</v>
          </cell>
          <cell r="BH167">
            <v>11.760999999999999</v>
          </cell>
          <cell r="BI167">
            <v>12.000999999999999</v>
          </cell>
          <cell r="BJ167">
            <v>12.233000000000001</v>
          </cell>
          <cell r="BK167">
            <v>12.452999999999999</v>
          </cell>
          <cell r="BL167">
            <v>12.661</v>
          </cell>
          <cell r="BM167">
            <v>12.868</v>
          </cell>
          <cell r="BN167">
            <v>13.063000000000001</v>
          </cell>
          <cell r="BO167">
            <v>13.257999999999999</v>
          </cell>
          <cell r="BP167">
            <v>13.438000000000001</v>
          </cell>
          <cell r="BQ167">
            <v>13.62</v>
          </cell>
          <cell r="BR167">
            <v>13.795</v>
          </cell>
          <cell r="BS167">
            <v>13.954000000000001</v>
          </cell>
          <cell r="BT167">
            <v>14.112</v>
          </cell>
          <cell r="BU167">
            <v>14.279</v>
          </cell>
          <cell r="BV167">
            <v>14.429</v>
          </cell>
          <cell r="BW167">
            <v>14.584</v>
          </cell>
          <cell r="BX167">
            <v>14.731</v>
          </cell>
        </row>
        <row r="168">
          <cell r="C168" t="str">
            <v>Antigua and Barbuda</v>
          </cell>
          <cell r="E168">
            <v>28</v>
          </cell>
          <cell r="F168" t="str">
            <v>Country</v>
          </cell>
          <cell r="G168">
            <v>915</v>
          </cell>
          <cell r="H168">
            <v>45.518999999999998</v>
          </cell>
          <cell r="I168">
            <v>46.548000000000002</v>
          </cell>
          <cell r="J168">
            <v>47.386000000000003</v>
          </cell>
          <cell r="K168">
            <v>48.136000000000003</v>
          </cell>
          <cell r="L168">
            <v>48.874000000000002</v>
          </cell>
          <cell r="M168">
            <v>49.648000000000003</v>
          </cell>
          <cell r="N168">
            <v>50.466999999999999</v>
          </cell>
          <cell r="O168">
            <v>51.359000000000002</v>
          </cell>
          <cell r="P168">
            <v>52.284999999999997</v>
          </cell>
          <cell r="Q168">
            <v>53.222999999999999</v>
          </cell>
          <cell r="R168">
            <v>54.131</v>
          </cell>
          <cell r="S168">
            <v>55.000999999999998</v>
          </cell>
          <cell r="T168">
            <v>55.841000000000001</v>
          </cell>
          <cell r="U168">
            <v>56.701999999999998</v>
          </cell>
          <cell r="V168">
            <v>57.640999999999998</v>
          </cell>
          <cell r="W168">
            <v>58.698</v>
          </cell>
          <cell r="X168">
            <v>59.914999999999999</v>
          </cell>
          <cell r="Y168">
            <v>61.241</v>
          </cell>
          <cell r="Z168">
            <v>62.521000000000001</v>
          </cell>
          <cell r="AA168">
            <v>63.55</v>
          </cell>
          <cell r="AB168">
            <v>64.177000000000007</v>
          </cell>
          <cell r="AC168">
            <v>64.356999999999999</v>
          </cell>
          <cell r="AD168">
            <v>64.132999999999996</v>
          </cell>
          <cell r="AE168">
            <v>63.65</v>
          </cell>
          <cell r="AF168">
            <v>63.12</v>
          </cell>
          <cell r="AG168">
            <v>62.674999999999997</v>
          </cell>
          <cell r="AH168">
            <v>62.366999999999997</v>
          </cell>
          <cell r="AI168">
            <v>62.158999999999999</v>
          </cell>
          <cell r="AJ168">
            <v>62.036000000000001</v>
          </cell>
          <cell r="AK168">
            <v>61.951999999999998</v>
          </cell>
          <cell r="AL168">
            <v>61.865000000000002</v>
          </cell>
          <cell r="AM168">
            <v>61.8</v>
          </cell>
          <cell r="AN168">
            <v>61.779000000000003</v>
          </cell>
          <cell r="AO168">
            <v>61.786999999999999</v>
          </cell>
          <cell r="AP168">
            <v>61.786000000000001</v>
          </cell>
          <cell r="AQ168">
            <v>61.786000000000001</v>
          </cell>
          <cell r="AR168">
            <v>61.753999999999998</v>
          </cell>
          <cell r="AS168">
            <v>61.716999999999999</v>
          </cell>
          <cell r="AT168">
            <v>61.771000000000001</v>
          </cell>
          <cell r="AU168">
            <v>62.008000000000003</v>
          </cell>
          <cell r="AV168">
            <v>62.527999999999999</v>
          </cell>
          <cell r="AW168">
            <v>63.366999999999997</v>
          </cell>
          <cell r="AX168">
            <v>64.471000000000004</v>
          </cell>
          <cell r="AY168">
            <v>65.777000000000001</v>
          </cell>
          <cell r="AZ168">
            <v>67.203999999999994</v>
          </cell>
          <cell r="BA168">
            <v>68.67</v>
          </cell>
          <cell r="BB168">
            <v>70.173000000000002</v>
          </cell>
          <cell r="BC168">
            <v>71.703999999999994</v>
          </cell>
          <cell r="BD168">
            <v>73.224000000000004</v>
          </cell>
          <cell r="BE168">
            <v>74.674000000000007</v>
          </cell>
          <cell r="BF168">
            <v>76.016000000000005</v>
          </cell>
          <cell r="BG168">
            <v>77.212000000000003</v>
          </cell>
          <cell r="BH168">
            <v>78.295000000000002</v>
          </cell>
          <cell r="BI168">
            <v>79.3</v>
          </cell>
          <cell r="BJ168">
            <v>80.335999999999999</v>
          </cell>
          <cell r="BK168">
            <v>81.465000000000003</v>
          </cell>
          <cell r="BL168">
            <v>82.703999999999994</v>
          </cell>
          <cell r="BM168">
            <v>84.025999999999996</v>
          </cell>
          <cell r="BN168">
            <v>85.397000000000006</v>
          </cell>
          <cell r="BO168">
            <v>86.745999999999995</v>
          </cell>
          <cell r="BP168">
            <v>88.028000000000006</v>
          </cell>
          <cell r="BQ168">
            <v>89.253</v>
          </cell>
          <cell r="BR168">
            <v>90.409000000000006</v>
          </cell>
          <cell r="BS168">
            <v>91.516000000000005</v>
          </cell>
          <cell r="BT168">
            <v>92.561999999999998</v>
          </cell>
          <cell r="BU168">
            <v>93.566000000000003</v>
          </cell>
          <cell r="BV168">
            <v>94.527000000000001</v>
          </cell>
          <cell r="BW168">
            <v>95.426000000000002</v>
          </cell>
          <cell r="BX168">
            <v>96.286000000000001</v>
          </cell>
        </row>
        <row r="169">
          <cell r="C169" t="str">
            <v>Aruba</v>
          </cell>
          <cell r="E169">
            <v>533</v>
          </cell>
          <cell r="F169" t="str">
            <v>Country</v>
          </cell>
          <cell r="G169">
            <v>915</v>
          </cell>
          <cell r="H169">
            <v>38.067999999999998</v>
          </cell>
          <cell r="I169">
            <v>38.267000000000003</v>
          </cell>
          <cell r="J169">
            <v>38.963999999999999</v>
          </cell>
          <cell r="K169">
            <v>40.148000000000003</v>
          </cell>
          <cell r="L169">
            <v>41.76</v>
          </cell>
          <cell r="M169">
            <v>43.723999999999997</v>
          </cell>
          <cell r="N169">
            <v>45.933</v>
          </cell>
          <cell r="O169">
            <v>48.241</v>
          </cell>
          <cell r="P169">
            <v>50.497</v>
          </cell>
          <cell r="Q169">
            <v>52.530999999999999</v>
          </cell>
          <cell r="R169">
            <v>54.210999999999999</v>
          </cell>
          <cell r="S169">
            <v>55.438000000000002</v>
          </cell>
          <cell r="T169">
            <v>56.225000000000001</v>
          </cell>
          <cell r="U169">
            <v>56.695</v>
          </cell>
          <cell r="V169">
            <v>57.031999999999996</v>
          </cell>
          <cell r="W169">
            <v>57.36</v>
          </cell>
          <cell r="X169">
            <v>57.715000000000003</v>
          </cell>
          <cell r="Y169">
            <v>58.055</v>
          </cell>
          <cell r="Z169">
            <v>58.386000000000003</v>
          </cell>
          <cell r="AA169">
            <v>58.725999999999999</v>
          </cell>
          <cell r="AB169">
            <v>59.063000000000002</v>
          </cell>
          <cell r="AC169">
            <v>59.44</v>
          </cell>
          <cell r="AD169">
            <v>59.84</v>
          </cell>
          <cell r="AE169">
            <v>60.243000000000002</v>
          </cell>
          <cell r="AF169">
            <v>60.527999999999999</v>
          </cell>
          <cell r="AG169">
            <v>60.656999999999996</v>
          </cell>
          <cell r="AH169">
            <v>60.585999999999999</v>
          </cell>
          <cell r="AI169">
            <v>60.366</v>
          </cell>
          <cell r="AJ169">
            <v>60.103000000000002</v>
          </cell>
          <cell r="AK169">
            <v>59.98</v>
          </cell>
          <cell r="AL169">
            <v>60.095999999999997</v>
          </cell>
          <cell r="AM169">
            <v>60.567</v>
          </cell>
          <cell r="AN169">
            <v>61.344999999999999</v>
          </cell>
          <cell r="AO169">
            <v>62.201000000000001</v>
          </cell>
          <cell r="AP169">
            <v>62.835999999999999</v>
          </cell>
          <cell r="AQ169">
            <v>63.026000000000003</v>
          </cell>
          <cell r="AR169">
            <v>62.643999999999998</v>
          </cell>
          <cell r="AS169">
            <v>61.832999999999998</v>
          </cell>
          <cell r="AT169">
            <v>61.079000000000001</v>
          </cell>
          <cell r="AU169">
            <v>61.031999999999996</v>
          </cell>
          <cell r="AV169">
            <v>62.149000000000001</v>
          </cell>
          <cell r="AW169">
            <v>64.622</v>
          </cell>
          <cell r="AX169">
            <v>68.234999999999999</v>
          </cell>
          <cell r="AY169">
            <v>72.504000000000005</v>
          </cell>
          <cell r="AZ169">
            <v>76.7</v>
          </cell>
          <cell r="BA169">
            <v>80.323999999999998</v>
          </cell>
          <cell r="BB169">
            <v>83.2</v>
          </cell>
          <cell r="BC169">
            <v>85.450999999999993</v>
          </cell>
          <cell r="BD169">
            <v>87.277000000000001</v>
          </cell>
          <cell r="BE169">
            <v>89.004999999999995</v>
          </cell>
          <cell r="BF169">
            <v>90.852999999999994</v>
          </cell>
          <cell r="BG169">
            <v>92.897999999999996</v>
          </cell>
          <cell r="BH169">
            <v>94.992000000000004</v>
          </cell>
          <cell r="BI169">
            <v>97.016999999999996</v>
          </cell>
          <cell r="BJ169">
            <v>98.736999999999995</v>
          </cell>
          <cell r="BK169">
            <v>100.03100000000001</v>
          </cell>
          <cell r="BL169">
            <v>100.834</v>
          </cell>
          <cell r="BM169">
            <v>101.22199999999999</v>
          </cell>
          <cell r="BN169">
            <v>101.358</v>
          </cell>
          <cell r="BO169">
            <v>101.455</v>
          </cell>
          <cell r="BP169">
            <v>101.669</v>
          </cell>
          <cell r="BQ169">
            <v>102.04600000000001</v>
          </cell>
          <cell r="BR169">
            <v>102.56</v>
          </cell>
          <cell r="BS169">
            <v>103.15900000000001</v>
          </cell>
          <cell r="BT169">
            <v>103.774</v>
          </cell>
          <cell r="BU169">
            <v>104.34099999999999</v>
          </cell>
          <cell r="BV169">
            <v>104.872</v>
          </cell>
          <cell r="BW169">
            <v>105.366</v>
          </cell>
          <cell r="BX169">
            <v>105.845</v>
          </cell>
        </row>
        <row r="170">
          <cell r="C170" t="str">
            <v>Bahamas</v>
          </cell>
          <cell r="E170">
            <v>44</v>
          </cell>
          <cell r="F170" t="str">
            <v>Country</v>
          </cell>
          <cell r="G170">
            <v>915</v>
          </cell>
          <cell r="H170">
            <v>79.093000000000004</v>
          </cell>
          <cell r="I170">
            <v>79.992000000000004</v>
          </cell>
          <cell r="J170">
            <v>81.436000000000007</v>
          </cell>
          <cell r="K170">
            <v>83.382999999999996</v>
          </cell>
          <cell r="L170">
            <v>85.784999999999997</v>
          </cell>
          <cell r="M170">
            <v>88.631</v>
          </cell>
          <cell r="N170">
            <v>91.91</v>
          </cell>
          <cell r="O170">
            <v>95.614999999999995</v>
          </cell>
          <cell r="P170">
            <v>99.777000000000001</v>
          </cell>
          <cell r="Q170">
            <v>104.41500000000001</v>
          </cell>
          <cell r="R170">
            <v>109.53400000000001</v>
          </cell>
          <cell r="S170">
            <v>115.121</v>
          </cell>
          <cell r="T170">
            <v>121.09099999999999</v>
          </cell>
          <cell r="U170">
            <v>127.339</v>
          </cell>
          <cell r="V170">
            <v>133.709</v>
          </cell>
          <cell r="W170">
            <v>140.059</v>
          </cell>
          <cell r="X170">
            <v>146.38200000000001</v>
          </cell>
          <cell r="Y170">
            <v>152.62</v>
          </cell>
          <cell r="Z170">
            <v>158.648</v>
          </cell>
          <cell r="AA170">
            <v>164.268</v>
          </cell>
          <cell r="AB170">
            <v>169.37700000000001</v>
          </cell>
          <cell r="AC170">
            <v>173.88900000000001</v>
          </cell>
          <cell r="AD170">
            <v>177.86600000000001</v>
          </cell>
          <cell r="AE170">
            <v>181.517</v>
          </cell>
          <cell r="AF170">
            <v>185.12</v>
          </cell>
          <cell r="AG170">
            <v>188.89599999999999</v>
          </cell>
          <cell r="AH170">
            <v>192.90899999999999</v>
          </cell>
          <cell r="AI170">
            <v>197.101</v>
          </cell>
          <cell r="AJ170">
            <v>201.47800000000001</v>
          </cell>
          <cell r="AK170">
            <v>205.98400000000001</v>
          </cell>
          <cell r="AL170">
            <v>210.59100000000001</v>
          </cell>
          <cell r="AM170">
            <v>215.32599999999999</v>
          </cell>
          <cell r="AN170">
            <v>220.184</v>
          </cell>
          <cell r="AO170">
            <v>225.084</v>
          </cell>
          <cell r="AP170">
            <v>229.923</v>
          </cell>
          <cell r="AQ170">
            <v>234.578</v>
          </cell>
          <cell r="AR170">
            <v>239.017</v>
          </cell>
          <cell r="AS170">
            <v>243.27099999999999</v>
          </cell>
          <cell r="AT170">
            <v>247.45099999999999</v>
          </cell>
          <cell r="AU170">
            <v>251.733</v>
          </cell>
          <cell r="AV170">
            <v>256.22300000000001</v>
          </cell>
          <cell r="AW170">
            <v>261.00799999999998</v>
          </cell>
          <cell r="AX170">
            <v>266.029</v>
          </cell>
          <cell r="AY170">
            <v>271.06900000000002</v>
          </cell>
          <cell r="AZ170">
            <v>275.846</v>
          </cell>
          <cell r="BA170">
            <v>280.18400000000003</v>
          </cell>
          <cell r="BB170">
            <v>283.97800000000001</v>
          </cell>
          <cell r="BC170">
            <v>287.358</v>
          </cell>
          <cell r="BD170">
            <v>290.59699999999998</v>
          </cell>
          <cell r="BE170">
            <v>294.06200000000001</v>
          </cell>
          <cell r="BF170">
            <v>298.05099999999999</v>
          </cell>
          <cell r="BG170">
            <v>302.61799999999999</v>
          </cell>
          <cell r="BH170">
            <v>307.66000000000003</v>
          </cell>
          <cell r="BI170">
            <v>313.12900000000002</v>
          </cell>
          <cell r="BJ170">
            <v>318.89400000000001</v>
          </cell>
          <cell r="BK170">
            <v>324.85899999999998</v>
          </cell>
          <cell r="BL170">
            <v>331.03300000000002</v>
          </cell>
          <cell r="BM170">
            <v>337.38900000000001</v>
          </cell>
          <cell r="BN170">
            <v>343.68099999999998</v>
          </cell>
          <cell r="BO170">
            <v>349.60399999999998</v>
          </cell>
          <cell r="BP170">
            <v>354.94200000000001</v>
          </cell>
          <cell r="BQ170">
            <v>359.57799999999997</v>
          </cell>
          <cell r="BR170">
            <v>363.584</v>
          </cell>
          <cell r="BS170">
            <v>367.16899999999998</v>
          </cell>
          <cell r="BT170">
            <v>370.63299999999998</v>
          </cell>
          <cell r="BU170">
            <v>374.20600000000002</v>
          </cell>
          <cell r="BV170">
            <v>377.93</v>
          </cell>
          <cell r="BW170">
            <v>381.755</v>
          </cell>
          <cell r="BX170">
            <v>385.637</v>
          </cell>
        </row>
        <row r="171">
          <cell r="C171" t="str">
            <v>Barbados</v>
          </cell>
          <cell r="E171">
            <v>52</v>
          </cell>
          <cell r="F171" t="str">
            <v>Country</v>
          </cell>
          <cell r="G171">
            <v>915</v>
          </cell>
          <cell r="H171">
            <v>210.99199999999999</v>
          </cell>
          <cell r="I171">
            <v>215.72499999999999</v>
          </cell>
          <cell r="J171">
            <v>219.67</v>
          </cell>
          <cell r="K171">
            <v>222.857</v>
          </cell>
          <cell r="L171">
            <v>225.32</v>
          </cell>
          <cell r="M171">
            <v>227.13800000000001</v>
          </cell>
          <cell r="N171">
            <v>228.41</v>
          </cell>
          <cell r="O171">
            <v>229.279</v>
          </cell>
          <cell r="P171">
            <v>229.88499999999999</v>
          </cell>
          <cell r="Q171">
            <v>230.40199999999999</v>
          </cell>
          <cell r="R171">
            <v>230.98</v>
          </cell>
          <cell r="S171">
            <v>231.71799999999999</v>
          </cell>
          <cell r="T171">
            <v>232.63300000000001</v>
          </cell>
          <cell r="U171">
            <v>233.63</v>
          </cell>
          <cell r="V171">
            <v>234.58600000000001</v>
          </cell>
          <cell r="W171">
            <v>235.41300000000001</v>
          </cell>
          <cell r="X171">
            <v>236.08799999999999</v>
          </cell>
          <cell r="Y171">
            <v>236.65899999999999</v>
          </cell>
          <cell r="Z171">
            <v>237.24100000000001</v>
          </cell>
          <cell r="AA171">
            <v>237.95500000000001</v>
          </cell>
          <cell r="AB171">
            <v>238.89599999999999</v>
          </cell>
          <cell r="AC171">
            <v>240.09399999999999</v>
          </cell>
          <cell r="AD171">
            <v>241.51499999999999</v>
          </cell>
          <cell r="AE171">
            <v>243.06899999999999</v>
          </cell>
          <cell r="AF171">
            <v>244.64400000000001</v>
          </cell>
          <cell r="AG171">
            <v>246.154</v>
          </cell>
          <cell r="AH171">
            <v>247.583</v>
          </cell>
          <cell r="AI171">
            <v>248.93700000000001</v>
          </cell>
          <cell r="AJ171">
            <v>250.203</v>
          </cell>
          <cell r="AK171">
            <v>251.351</v>
          </cell>
          <cell r="AL171">
            <v>252.39400000000001</v>
          </cell>
          <cell r="AM171">
            <v>253.298</v>
          </cell>
          <cell r="AN171">
            <v>254.08199999999999</v>
          </cell>
          <cell r="AO171">
            <v>254.78800000000001</v>
          </cell>
          <cell r="AP171">
            <v>255.49700000000001</v>
          </cell>
          <cell r="AQ171">
            <v>256.26299999999998</v>
          </cell>
          <cell r="AR171">
            <v>257.10700000000003</v>
          </cell>
          <cell r="AS171">
            <v>258.01900000000001</v>
          </cell>
          <cell r="AT171">
            <v>258.97699999999998</v>
          </cell>
          <cell r="AU171">
            <v>259.95699999999999</v>
          </cell>
          <cell r="AV171">
            <v>260.93599999999998</v>
          </cell>
          <cell r="AW171">
            <v>261.90499999999997</v>
          </cell>
          <cell r="AX171">
            <v>262.88600000000002</v>
          </cell>
          <cell r="AY171">
            <v>263.87400000000002</v>
          </cell>
          <cell r="AZ171">
            <v>264.89299999999997</v>
          </cell>
          <cell r="BA171">
            <v>265.95499999999998</v>
          </cell>
          <cell r="BB171">
            <v>267.04899999999998</v>
          </cell>
          <cell r="BC171">
            <v>268.18700000000001</v>
          </cell>
          <cell r="BD171">
            <v>269.33600000000001</v>
          </cell>
          <cell r="BE171">
            <v>270.45100000000002</v>
          </cell>
          <cell r="BF171">
            <v>271.51499999999999</v>
          </cell>
          <cell r="BG171">
            <v>272.5</v>
          </cell>
          <cell r="BH171">
            <v>273.42500000000001</v>
          </cell>
          <cell r="BI171">
            <v>274.32900000000001</v>
          </cell>
          <cell r="BJ171">
            <v>275.28399999999999</v>
          </cell>
          <cell r="BK171">
            <v>276.32299999999998</v>
          </cell>
          <cell r="BL171">
            <v>277.47699999999998</v>
          </cell>
          <cell r="BM171">
            <v>278.7</v>
          </cell>
          <cell r="BN171">
            <v>279.94600000000003</v>
          </cell>
          <cell r="BO171">
            <v>281.10399999999998</v>
          </cell>
          <cell r="BP171">
            <v>282.13099999999997</v>
          </cell>
          <cell r="BQ171">
            <v>282.98700000000002</v>
          </cell>
          <cell r="BR171">
            <v>283.70100000000002</v>
          </cell>
          <cell r="BS171">
            <v>284.29599999999999</v>
          </cell>
          <cell r="BT171">
            <v>284.82600000000002</v>
          </cell>
          <cell r="BU171">
            <v>285.32400000000001</v>
          </cell>
          <cell r="BV171">
            <v>285.79599999999999</v>
          </cell>
          <cell r="BW171">
            <v>286.23200000000003</v>
          </cell>
          <cell r="BX171">
            <v>286.64100000000002</v>
          </cell>
        </row>
        <row r="172">
          <cell r="C172" t="str">
            <v>British Virgin Islands</v>
          </cell>
          <cell r="E172">
            <v>92</v>
          </cell>
          <cell r="F172" t="str">
            <v>Country</v>
          </cell>
          <cell r="G172">
            <v>915</v>
          </cell>
          <cell r="H172">
            <v>7.44</v>
          </cell>
          <cell r="I172">
            <v>7.5039999999999996</v>
          </cell>
          <cell r="J172">
            <v>7.5510000000000002</v>
          </cell>
          <cell r="K172">
            <v>7.6</v>
          </cell>
          <cell r="L172">
            <v>7.6379999999999999</v>
          </cell>
          <cell r="M172">
            <v>7.6790000000000003</v>
          </cell>
          <cell r="N172">
            <v>7.7290000000000001</v>
          </cell>
          <cell r="O172">
            <v>7.7830000000000004</v>
          </cell>
          <cell r="P172">
            <v>7.8540000000000001</v>
          </cell>
          <cell r="Q172">
            <v>7.9420000000000002</v>
          </cell>
          <cell r="R172">
            <v>8.048</v>
          </cell>
          <cell r="S172">
            <v>8.1669999999999998</v>
          </cell>
          <cell r="T172">
            <v>8.31</v>
          </cell>
          <cell r="U172">
            <v>8.4760000000000009</v>
          </cell>
          <cell r="V172">
            <v>8.6460000000000008</v>
          </cell>
          <cell r="W172">
            <v>8.83</v>
          </cell>
          <cell r="X172">
            <v>9.0250000000000004</v>
          </cell>
          <cell r="Y172">
            <v>9.2219999999999995</v>
          </cell>
          <cell r="Z172">
            <v>9.4209999999999994</v>
          </cell>
          <cell r="AA172">
            <v>9.6259999999999994</v>
          </cell>
          <cell r="AB172">
            <v>9.827</v>
          </cell>
          <cell r="AC172">
            <v>10.016999999999999</v>
          </cell>
          <cell r="AD172">
            <v>10.208</v>
          </cell>
          <cell r="AE172">
            <v>10.391999999999999</v>
          </cell>
          <cell r="AF172">
            <v>10.561999999999999</v>
          </cell>
          <cell r="AG172">
            <v>10.699</v>
          </cell>
          <cell r="AH172">
            <v>10.821</v>
          </cell>
          <cell r="AI172">
            <v>10.928000000000001</v>
          </cell>
          <cell r="AJ172">
            <v>11.045</v>
          </cell>
          <cell r="AK172">
            <v>11.218</v>
          </cell>
          <cell r="AL172">
            <v>11.478</v>
          </cell>
          <cell r="AM172">
            <v>11.826000000000001</v>
          </cell>
          <cell r="AN172">
            <v>12.249000000000001</v>
          </cell>
          <cell r="AO172">
            <v>12.752000000000001</v>
          </cell>
          <cell r="AP172">
            <v>13.321999999999999</v>
          </cell>
          <cell r="AQ172">
            <v>13.956</v>
          </cell>
          <cell r="AR172">
            <v>14.648999999999999</v>
          </cell>
          <cell r="AS172">
            <v>15.407</v>
          </cell>
          <cell r="AT172">
            <v>16.154</v>
          </cell>
          <cell r="AU172">
            <v>16.861999999999998</v>
          </cell>
          <cell r="AV172">
            <v>17.489000000000001</v>
          </cell>
          <cell r="AW172">
            <v>18.006</v>
          </cell>
          <cell r="AX172">
            <v>18.437999999999999</v>
          </cell>
          <cell r="AY172">
            <v>18.786000000000001</v>
          </cell>
          <cell r="AZ172">
            <v>19.074000000000002</v>
          </cell>
          <cell r="BA172">
            <v>19.312999999999999</v>
          </cell>
          <cell r="BB172">
            <v>19.501999999999999</v>
          </cell>
          <cell r="BC172">
            <v>19.664999999999999</v>
          </cell>
          <cell r="BD172">
            <v>19.821000000000002</v>
          </cell>
          <cell r="BE172">
            <v>20.026</v>
          </cell>
          <cell r="BF172">
            <v>20.311</v>
          </cell>
          <cell r="BG172">
            <v>20.675000000000001</v>
          </cell>
          <cell r="BH172">
            <v>21.129000000000001</v>
          </cell>
          <cell r="BI172">
            <v>21.672000000000001</v>
          </cell>
          <cell r="BJ172">
            <v>22.334</v>
          </cell>
          <cell r="BK172">
            <v>23.106999999999999</v>
          </cell>
          <cell r="BL172">
            <v>24.023</v>
          </cell>
          <cell r="BM172">
            <v>25.047000000000001</v>
          </cell>
          <cell r="BN172">
            <v>26.097000000000001</v>
          </cell>
          <cell r="BO172">
            <v>27.039000000000001</v>
          </cell>
          <cell r="BP172">
            <v>27.794</v>
          </cell>
          <cell r="BQ172">
            <v>28.318999999999999</v>
          </cell>
          <cell r="BR172">
            <v>28.65</v>
          </cell>
          <cell r="BS172">
            <v>28.847000000000001</v>
          </cell>
          <cell r="BT172">
            <v>28.989000000000001</v>
          </cell>
          <cell r="BU172">
            <v>29.152000000000001</v>
          </cell>
          <cell r="BV172">
            <v>29.355</v>
          </cell>
          <cell r="BW172">
            <v>29.577000000000002</v>
          </cell>
          <cell r="BX172">
            <v>29.802</v>
          </cell>
        </row>
        <row r="173">
          <cell r="C173" t="str">
            <v>Bonaire, Sint Eustatius and Saba</v>
          </cell>
          <cell r="E173">
            <v>535</v>
          </cell>
          <cell r="F173" t="str">
            <v>Country</v>
          </cell>
          <cell r="G173">
            <v>915</v>
          </cell>
          <cell r="H173">
            <v>7.1219999999999999</v>
          </cell>
          <cell r="I173">
            <v>7.2930000000000001</v>
          </cell>
          <cell r="J173">
            <v>7.4249999999999998</v>
          </cell>
          <cell r="K173">
            <v>7.5259999999999998</v>
          </cell>
          <cell r="L173">
            <v>7.6079999999999997</v>
          </cell>
          <cell r="M173">
            <v>7.67</v>
          </cell>
          <cell r="N173">
            <v>7.7249999999999996</v>
          </cell>
          <cell r="O173">
            <v>7.7830000000000004</v>
          </cell>
          <cell r="P173">
            <v>7.8540000000000001</v>
          </cell>
          <cell r="Q173">
            <v>7.952</v>
          </cell>
          <cell r="R173">
            <v>8.0739999999999998</v>
          </cell>
          <cell r="S173">
            <v>8.24</v>
          </cell>
          <cell r="T173">
            <v>8.4269999999999996</v>
          </cell>
          <cell r="U173">
            <v>8.6449999999999996</v>
          </cell>
          <cell r="V173">
            <v>8.8810000000000002</v>
          </cell>
          <cell r="W173">
            <v>9.1340000000000003</v>
          </cell>
          <cell r="X173">
            <v>9.3770000000000007</v>
          </cell>
          <cell r="Y173">
            <v>9.6460000000000008</v>
          </cell>
          <cell r="Z173">
            <v>9.9</v>
          </cell>
          <cell r="AA173">
            <v>10.141</v>
          </cell>
          <cell r="AB173">
            <v>10.359</v>
          </cell>
          <cell r="AC173">
            <v>10.545999999999999</v>
          </cell>
          <cell r="AD173">
            <v>10.708</v>
          </cell>
          <cell r="AE173">
            <v>10.840999999999999</v>
          </cell>
          <cell r="AF173">
            <v>10.949</v>
          </cell>
          <cell r="AG173">
            <v>11.026999999999999</v>
          </cell>
          <cell r="AH173">
            <v>11.076000000000001</v>
          </cell>
          <cell r="AI173">
            <v>11.098000000000001</v>
          </cell>
          <cell r="AJ173">
            <v>11.103</v>
          </cell>
          <cell r="AK173">
            <v>11.135</v>
          </cell>
          <cell r="AL173">
            <v>11.21</v>
          </cell>
          <cell r="AM173">
            <v>11.321999999999999</v>
          </cell>
          <cell r="AN173">
            <v>11.472</v>
          </cell>
          <cell r="AO173">
            <v>11.651999999999999</v>
          </cell>
          <cell r="AP173">
            <v>11.848000000000001</v>
          </cell>
          <cell r="AQ173">
            <v>12.025</v>
          </cell>
          <cell r="AR173">
            <v>12.186999999999999</v>
          </cell>
          <cell r="AS173">
            <v>12.324999999999999</v>
          </cell>
          <cell r="AT173">
            <v>12.481999999999999</v>
          </cell>
          <cell r="AU173">
            <v>12.699</v>
          </cell>
          <cell r="AV173">
            <v>13.019</v>
          </cell>
          <cell r="AW173">
            <v>13.429</v>
          </cell>
          <cell r="AX173">
            <v>13.933999999999999</v>
          </cell>
          <cell r="AY173">
            <v>14.443</v>
          </cell>
          <cell r="AZ173">
            <v>14.863</v>
          </cell>
          <cell r="BA173">
            <v>15.106999999999999</v>
          </cell>
          <cell r="BB173">
            <v>15.164</v>
          </cell>
          <cell r="BC173">
            <v>15.083</v>
          </cell>
          <cell r="BD173">
            <v>14.887</v>
          </cell>
          <cell r="BE173">
            <v>14.638</v>
          </cell>
          <cell r="BF173">
            <v>14.393000000000001</v>
          </cell>
          <cell r="BG173">
            <v>14.127000000000001</v>
          </cell>
          <cell r="BH173">
            <v>13.885999999999999</v>
          </cell>
          <cell r="BI173">
            <v>13.747999999999999</v>
          </cell>
          <cell r="BJ173">
            <v>13.894</v>
          </cell>
          <cell r="BK173">
            <v>14.403</v>
          </cell>
          <cell r="BL173">
            <v>15.337</v>
          </cell>
          <cell r="BM173">
            <v>16.649000000000001</v>
          </cell>
          <cell r="BN173">
            <v>18.152999999999999</v>
          </cell>
          <cell r="BO173">
            <v>19.646000000000001</v>
          </cell>
          <cell r="BP173">
            <v>20.94</v>
          </cell>
          <cell r="BQ173">
            <v>21.992999999999999</v>
          </cell>
          <cell r="BR173">
            <v>22.841999999999999</v>
          </cell>
          <cell r="BS173">
            <v>23.504999999999999</v>
          </cell>
          <cell r="BT173">
            <v>24.07</v>
          </cell>
          <cell r="BU173">
            <v>24.57</v>
          </cell>
          <cell r="BV173">
            <v>25.02</v>
          </cell>
          <cell r="BW173">
            <v>25.401</v>
          </cell>
          <cell r="BX173">
            <v>25.710999999999999</v>
          </cell>
        </row>
        <row r="174">
          <cell r="C174" t="str">
            <v>Cayman Islands</v>
          </cell>
          <cell r="E174">
            <v>136</v>
          </cell>
          <cell r="F174" t="str">
            <v>Country</v>
          </cell>
          <cell r="G174">
            <v>915</v>
          </cell>
          <cell r="H174">
            <v>6.4169999999999998</v>
          </cell>
          <cell r="I174">
            <v>6.2709999999999999</v>
          </cell>
          <cell r="J174">
            <v>6.2450000000000001</v>
          </cell>
          <cell r="K174">
            <v>6.3179999999999996</v>
          </cell>
          <cell r="L174">
            <v>6.4669999999999996</v>
          </cell>
          <cell r="M174">
            <v>6.6769999999999996</v>
          </cell>
          <cell r="N174">
            <v>6.92</v>
          </cell>
          <cell r="O174">
            <v>7.181</v>
          </cell>
          <cell r="P174">
            <v>7.4320000000000004</v>
          </cell>
          <cell r="Q174">
            <v>7.67</v>
          </cell>
          <cell r="R174">
            <v>7.8650000000000002</v>
          </cell>
          <cell r="S174">
            <v>8.0259999999999998</v>
          </cell>
          <cell r="T174">
            <v>8.1460000000000008</v>
          </cell>
          <cell r="U174">
            <v>8.2270000000000003</v>
          </cell>
          <cell r="V174">
            <v>8.298</v>
          </cell>
          <cell r="W174">
            <v>8.3689999999999998</v>
          </cell>
          <cell r="X174">
            <v>8.4410000000000007</v>
          </cell>
          <cell r="Y174">
            <v>8.5220000000000002</v>
          </cell>
          <cell r="Z174">
            <v>8.6310000000000002</v>
          </cell>
          <cell r="AA174">
            <v>8.827</v>
          </cell>
          <cell r="AB174">
            <v>9.1440000000000001</v>
          </cell>
          <cell r="AC174">
            <v>9.58</v>
          </cell>
          <cell r="AD174">
            <v>10.132999999999999</v>
          </cell>
          <cell r="AE174">
            <v>10.782</v>
          </cell>
          <cell r="AF174">
            <v>11.491</v>
          </cell>
          <cell r="AG174">
            <v>12.244</v>
          </cell>
          <cell r="AH174">
            <v>13.025</v>
          </cell>
          <cell r="AI174">
            <v>13.853</v>
          </cell>
          <cell r="AJ174">
            <v>14.683</v>
          </cell>
          <cell r="AK174">
            <v>15.48</v>
          </cell>
          <cell r="AL174">
            <v>16.212</v>
          </cell>
          <cell r="AM174">
            <v>16.86</v>
          </cell>
          <cell r="AN174">
            <v>17.439</v>
          </cell>
          <cell r="AO174">
            <v>18.010999999999999</v>
          </cell>
          <cell r="AP174">
            <v>18.670000000000002</v>
          </cell>
          <cell r="AQ174">
            <v>19.466999999999999</v>
          </cell>
          <cell r="AR174">
            <v>20.43</v>
          </cell>
          <cell r="AS174">
            <v>21.544</v>
          </cell>
          <cell r="AT174">
            <v>22.760999999999999</v>
          </cell>
          <cell r="AU174">
            <v>24.039000000000001</v>
          </cell>
          <cell r="AV174">
            <v>25.312000000000001</v>
          </cell>
          <cell r="AW174">
            <v>26.544</v>
          </cell>
          <cell r="AX174">
            <v>27.78</v>
          </cell>
          <cell r="AY174">
            <v>29.068999999999999</v>
          </cell>
          <cell r="AZ174">
            <v>30.513999999999999</v>
          </cell>
          <cell r="BA174">
            <v>32.165999999999997</v>
          </cell>
          <cell r="BB174">
            <v>34.064999999999998</v>
          </cell>
          <cell r="BC174">
            <v>36.155999999999999</v>
          </cell>
          <cell r="BD174">
            <v>38.329000000000001</v>
          </cell>
          <cell r="BE174">
            <v>40.42</v>
          </cell>
          <cell r="BF174">
            <v>42.302999999999997</v>
          </cell>
          <cell r="BG174">
            <v>43.935000000000002</v>
          </cell>
          <cell r="BH174">
            <v>45.350999999999999</v>
          </cell>
          <cell r="BI174">
            <v>46.631999999999998</v>
          </cell>
          <cell r="BJ174">
            <v>47.902000000000001</v>
          </cell>
          <cell r="BK174">
            <v>49.261000000000003</v>
          </cell>
          <cell r="BL174">
            <v>50.74</v>
          </cell>
          <cell r="BM174">
            <v>52.28</v>
          </cell>
          <cell r="BN174">
            <v>53.835999999999999</v>
          </cell>
          <cell r="BO174">
            <v>55.322000000000003</v>
          </cell>
          <cell r="BP174">
            <v>56.671999999999997</v>
          </cell>
          <cell r="BQ174">
            <v>57.878</v>
          </cell>
          <cell r="BR174">
            <v>58.957999999999998</v>
          </cell>
          <cell r="BS174">
            <v>59.932000000000002</v>
          </cell>
          <cell r="BT174">
            <v>60.847999999999999</v>
          </cell>
          <cell r="BU174">
            <v>61.723999999999997</v>
          </cell>
          <cell r="BV174">
            <v>62.569000000000003</v>
          </cell>
          <cell r="BW174">
            <v>63.381999999999998</v>
          </cell>
          <cell r="BX174">
            <v>64.174000000000007</v>
          </cell>
        </row>
        <row r="175">
          <cell r="C175" t="str">
            <v>Cuba</v>
          </cell>
          <cell r="E175">
            <v>192</v>
          </cell>
          <cell r="F175" t="str">
            <v>Country</v>
          </cell>
          <cell r="G175">
            <v>915</v>
          </cell>
          <cell r="H175">
            <v>5919.9930000000004</v>
          </cell>
          <cell r="I175">
            <v>6050.1369999999997</v>
          </cell>
          <cell r="J175">
            <v>6178.8059999999996</v>
          </cell>
          <cell r="K175">
            <v>6303.7219999999998</v>
          </cell>
          <cell r="L175">
            <v>6423.8670000000002</v>
          </cell>
          <cell r="M175">
            <v>6539.4539999999997</v>
          </cell>
          <cell r="N175">
            <v>6652.0770000000002</v>
          </cell>
          <cell r="O175">
            <v>6764.5550000000003</v>
          </cell>
          <cell r="P175">
            <v>6880.7179999999998</v>
          </cell>
          <cell r="Q175">
            <v>7005.0249999999996</v>
          </cell>
          <cell r="R175">
            <v>7141.25</v>
          </cell>
          <cell r="S175">
            <v>7291.2</v>
          </cell>
          <cell r="T175">
            <v>7453.54</v>
          </cell>
          <cell r="U175">
            <v>7623.2939999999999</v>
          </cell>
          <cell r="V175">
            <v>7793.2619999999997</v>
          </cell>
          <cell r="W175">
            <v>7958.1689999999999</v>
          </cell>
          <cell r="X175">
            <v>8115.4870000000001</v>
          </cell>
          <cell r="Y175">
            <v>8266.3799999999992</v>
          </cell>
          <cell r="Z175">
            <v>8413.5519999999997</v>
          </cell>
          <cell r="AA175">
            <v>8561.384</v>
          </cell>
          <cell r="AB175">
            <v>8712.5409999999993</v>
          </cell>
          <cell r="AC175">
            <v>8868.0830000000005</v>
          </cell>
          <cell r="AD175">
            <v>9025.3449999999993</v>
          </cell>
          <cell r="AE175">
            <v>9178.8040000000001</v>
          </cell>
          <cell r="AF175">
            <v>9320.9449999999997</v>
          </cell>
          <cell r="AG175">
            <v>9446.4419999999991</v>
          </cell>
          <cell r="AH175">
            <v>9554.1880000000001</v>
          </cell>
          <cell r="AI175">
            <v>9646.1419999999998</v>
          </cell>
          <cell r="AJ175">
            <v>9724.0439999999999</v>
          </cell>
          <cell r="AK175">
            <v>9790.8510000000006</v>
          </cell>
          <cell r="AL175">
            <v>9849.4590000000007</v>
          </cell>
          <cell r="AM175">
            <v>9898.8889999999992</v>
          </cell>
          <cell r="AN175">
            <v>9940.3169999999991</v>
          </cell>
          <cell r="AO175">
            <v>9981.3040000000001</v>
          </cell>
          <cell r="AP175">
            <v>10031.648999999999</v>
          </cell>
          <cell r="AQ175">
            <v>10097.911</v>
          </cell>
          <cell r="AR175">
            <v>10183.898999999999</v>
          </cell>
          <cell r="AS175">
            <v>10286.643</v>
          </cell>
          <cell r="AT175">
            <v>10397.511</v>
          </cell>
          <cell r="AU175">
            <v>10503.972</v>
          </cell>
          <cell r="AV175">
            <v>10596.986999999999</v>
          </cell>
          <cell r="AW175">
            <v>10673.541999999999</v>
          </cell>
          <cell r="AX175">
            <v>10736.387000000001</v>
          </cell>
          <cell r="AY175">
            <v>10789.306</v>
          </cell>
          <cell r="AZ175">
            <v>10838.462</v>
          </cell>
          <cell r="BA175">
            <v>10888.252</v>
          </cell>
          <cell r="BB175">
            <v>10939.293</v>
          </cell>
          <cell r="BC175">
            <v>10989.732</v>
          </cell>
          <cell r="BD175">
            <v>11038.691999999999</v>
          </cell>
          <cell r="BE175">
            <v>11084.67</v>
          </cell>
          <cell r="BF175">
            <v>11126.43</v>
          </cell>
          <cell r="BG175">
            <v>11164.666999999999</v>
          </cell>
          <cell r="BH175">
            <v>11199.651</v>
          </cell>
          <cell r="BI175">
            <v>11229.183000000001</v>
          </cell>
          <cell r="BJ175">
            <v>11250.365</v>
          </cell>
          <cell r="BK175">
            <v>11261.582</v>
          </cell>
          <cell r="BL175">
            <v>11261.248</v>
          </cell>
          <cell r="BM175">
            <v>11251.121999999999</v>
          </cell>
          <cell r="BN175">
            <v>11236.971</v>
          </cell>
          <cell r="BO175">
            <v>11226.709000000001</v>
          </cell>
          <cell r="BP175">
            <v>11225.832</v>
          </cell>
          <cell r="BQ175">
            <v>11236.671</v>
          </cell>
          <cell r="BR175">
            <v>11257.103999999999</v>
          </cell>
          <cell r="BS175">
            <v>11282.723</v>
          </cell>
          <cell r="BT175">
            <v>11306.904</v>
          </cell>
          <cell r="BU175">
            <v>11324.781000000001</v>
          </cell>
          <cell r="BV175">
            <v>11335.103999999999</v>
          </cell>
          <cell r="BW175">
            <v>11339.254000000001</v>
          </cell>
          <cell r="BX175">
            <v>11338.134</v>
          </cell>
        </row>
        <row r="176">
          <cell r="C176" t="str">
            <v>Curaçao</v>
          </cell>
          <cell r="E176">
            <v>531</v>
          </cell>
          <cell r="F176" t="str">
            <v>Country</v>
          </cell>
          <cell r="G176">
            <v>915</v>
          </cell>
          <cell r="H176">
            <v>100.179</v>
          </cell>
          <cell r="I176">
            <v>104.56699999999999</v>
          </cell>
          <cell r="J176">
            <v>108.28400000000001</v>
          </cell>
          <cell r="K176">
            <v>111.504</v>
          </cell>
          <cell r="L176">
            <v>114.346</v>
          </cell>
          <cell r="M176">
            <v>116.916</v>
          </cell>
          <cell r="N176">
            <v>119.27800000000001</v>
          </cell>
          <cell r="O176">
            <v>121.465</v>
          </cell>
          <cell r="P176">
            <v>123.48399999999999</v>
          </cell>
          <cell r="Q176">
            <v>125.309</v>
          </cell>
          <cell r="R176">
            <v>126.941</v>
          </cell>
          <cell r="S176">
            <v>128.37799999999999</v>
          </cell>
          <cell r="T176">
            <v>129.68199999999999</v>
          </cell>
          <cell r="U176">
            <v>130.94900000000001</v>
          </cell>
          <cell r="V176">
            <v>132.322</v>
          </cell>
          <cell r="W176">
            <v>133.87799999999999</v>
          </cell>
          <cell r="X176">
            <v>135.65</v>
          </cell>
          <cell r="Y176">
            <v>137.60900000000001</v>
          </cell>
          <cell r="Z176">
            <v>139.68</v>
          </cell>
          <cell r="AA176">
            <v>141.71700000000001</v>
          </cell>
          <cell r="AB176">
            <v>143.63399999999999</v>
          </cell>
          <cell r="AC176">
            <v>145.447</v>
          </cell>
          <cell r="AD176">
            <v>147.15199999999999</v>
          </cell>
          <cell r="AE176">
            <v>148.61799999999999</v>
          </cell>
          <cell r="AF176">
            <v>149.68299999999999</v>
          </cell>
          <cell r="AG176">
            <v>150.25800000000001</v>
          </cell>
          <cell r="AH176">
            <v>150.24</v>
          </cell>
          <cell r="AI176">
            <v>149.715</v>
          </cell>
          <cell r="AJ176">
            <v>148.929</v>
          </cell>
          <cell r="AK176">
            <v>148.27699999999999</v>
          </cell>
          <cell r="AL176">
            <v>147.99600000000001</v>
          </cell>
          <cell r="AM176">
            <v>148.21</v>
          </cell>
          <cell r="AN176">
            <v>148.81399999999999</v>
          </cell>
          <cell r="AO176">
            <v>149.58000000000001</v>
          </cell>
          <cell r="AP176">
            <v>150.18700000000001</v>
          </cell>
          <cell r="AQ176">
            <v>150.37700000000001</v>
          </cell>
          <cell r="AR176">
            <v>150.05799999999999</v>
          </cell>
          <cell r="AS176">
            <v>149.322</v>
          </cell>
          <cell r="AT176">
            <v>148.35599999999999</v>
          </cell>
          <cell r="AU176">
            <v>147.41</v>
          </cell>
          <cell r="AV176">
            <v>146.66999999999999</v>
          </cell>
          <cell r="AW176">
            <v>146.24</v>
          </cell>
          <cell r="AX176">
            <v>146.024</v>
          </cell>
          <cell r="AY176">
            <v>145.768</v>
          </cell>
          <cell r="AZ176">
            <v>145.12700000000001</v>
          </cell>
          <cell r="BA176">
            <v>143.88200000000001</v>
          </cell>
          <cell r="BB176">
            <v>141.96899999999999</v>
          </cell>
          <cell r="BC176">
            <v>139.54499999999999</v>
          </cell>
          <cell r="BD176">
            <v>136.86099999999999</v>
          </cell>
          <cell r="BE176">
            <v>134.29599999999999</v>
          </cell>
          <cell r="BF176">
            <v>132.13999999999999</v>
          </cell>
          <cell r="BG176">
            <v>130.404</v>
          </cell>
          <cell r="BH176">
            <v>129.08500000000001</v>
          </cell>
          <cell r="BI176">
            <v>128.423</v>
          </cell>
          <cell r="BJ176">
            <v>128.71899999999999</v>
          </cell>
          <cell r="BK176">
            <v>130.13</v>
          </cell>
          <cell r="BL176">
            <v>132.81</v>
          </cell>
          <cell r="BM176">
            <v>136.596</v>
          </cell>
          <cell r="BN176">
            <v>141.00200000000001</v>
          </cell>
          <cell r="BO176">
            <v>145.36699999999999</v>
          </cell>
          <cell r="BP176">
            <v>149.19200000000001</v>
          </cell>
          <cell r="BQ176">
            <v>152.315</v>
          </cell>
          <cell r="BR176">
            <v>154.81700000000001</v>
          </cell>
          <cell r="BS176">
            <v>156.79400000000001</v>
          </cell>
          <cell r="BT176">
            <v>158.422</v>
          </cell>
          <cell r="BU176">
            <v>159.84700000000001</v>
          </cell>
          <cell r="BV176">
            <v>161.05199999999999</v>
          </cell>
          <cell r="BW176">
            <v>161.99700000000001</v>
          </cell>
          <cell r="BX176">
            <v>162.75200000000001</v>
          </cell>
        </row>
        <row r="177">
          <cell r="C177" t="str">
            <v>Dominica</v>
          </cell>
          <cell r="E177">
            <v>212</v>
          </cell>
          <cell r="F177" t="str">
            <v>Country</v>
          </cell>
          <cell r="G177">
            <v>915</v>
          </cell>
          <cell r="H177">
            <v>51.1</v>
          </cell>
          <cell r="I177">
            <v>51.706000000000003</v>
          </cell>
          <cell r="J177">
            <v>52.301000000000002</v>
          </cell>
          <cell r="K177">
            <v>52.947000000000003</v>
          </cell>
          <cell r="L177">
            <v>53.688000000000002</v>
          </cell>
          <cell r="M177">
            <v>54.56</v>
          </cell>
          <cell r="N177">
            <v>55.546999999999997</v>
          </cell>
          <cell r="O177">
            <v>56.63</v>
          </cell>
          <cell r="P177">
            <v>57.771999999999998</v>
          </cell>
          <cell r="Q177">
            <v>58.921999999999997</v>
          </cell>
          <cell r="R177">
            <v>60.011000000000003</v>
          </cell>
          <cell r="S177">
            <v>61.031999999999996</v>
          </cell>
          <cell r="T177">
            <v>61.981999999999999</v>
          </cell>
          <cell r="U177">
            <v>62.917999999999999</v>
          </cell>
          <cell r="V177">
            <v>63.926000000000002</v>
          </cell>
          <cell r="W177">
            <v>65.037999999999997</v>
          </cell>
          <cell r="X177">
            <v>66.311000000000007</v>
          </cell>
          <cell r="Y177">
            <v>67.686000000000007</v>
          </cell>
          <cell r="Z177">
            <v>69.040000000000006</v>
          </cell>
          <cell r="AA177">
            <v>70.212999999999994</v>
          </cell>
          <cell r="AB177">
            <v>71.072999999999993</v>
          </cell>
          <cell r="AC177">
            <v>71.567999999999998</v>
          </cell>
          <cell r="AD177">
            <v>71.730999999999995</v>
          </cell>
          <cell r="AE177">
            <v>71.738</v>
          </cell>
          <cell r="AF177">
            <v>71.802000000000007</v>
          </cell>
          <cell r="AG177">
            <v>72.093999999999994</v>
          </cell>
          <cell r="AH177">
            <v>72.653999999999996</v>
          </cell>
          <cell r="AI177">
            <v>73.44</v>
          </cell>
          <cell r="AJ177">
            <v>74.284000000000006</v>
          </cell>
          <cell r="AK177">
            <v>74.954999999999998</v>
          </cell>
          <cell r="AL177">
            <v>75.313999999999993</v>
          </cell>
          <cell r="AM177">
            <v>75.308999999999997</v>
          </cell>
          <cell r="AN177">
            <v>75.003</v>
          </cell>
          <cell r="AO177">
            <v>74.483000000000004</v>
          </cell>
          <cell r="AP177">
            <v>73.850999999999999</v>
          </cell>
          <cell r="AQ177">
            <v>73.200999999999993</v>
          </cell>
          <cell r="AR177">
            <v>72.533000000000001</v>
          </cell>
          <cell r="AS177">
            <v>71.841999999999999</v>
          </cell>
          <cell r="AT177">
            <v>71.207999999999998</v>
          </cell>
          <cell r="AU177">
            <v>70.722999999999999</v>
          </cell>
          <cell r="AV177">
            <v>70.418999999999997</v>
          </cell>
          <cell r="AW177">
            <v>70.373999999999995</v>
          </cell>
          <cell r="AX177">
            <v>70.543999999999997</v>
          </cell>
          <cell r="AY177">
            <v>70.831000000000003</v>
          </cell>
          <cell r="AZ177">
            <v>71.043000000000006</v>
          </cell>
          <cell r="BA177">
            <v>71.097999999999999</v>
          </cell>
          <cell r="BB177">
            <v>70.936000000000007</v>
          </cell>
          <cell r="BC177">
            <v>70.599000000000004</v>
          </cell>
          <cell r="BD177">
            <v>70.185000000000002</v>
          </cell>
          <cell r="BE177">
            <v>69.834999999999994</v>
          </cell>
          <cell r="BF177">
            <v>69.650000000000006</v>
          </cell>
          <cell r="BG177">
            <v>69.661000000000001</v>
          </cell>
          <cell r="BH177">
            <v>69.837000000000003</v>
          </cell>
          <cell r="BI177">
            <v>70.099999999999994</v>
          </cell>
          <cell r="BJ177">
            <v>70.382000000000005</v>
          </cell>
          <cell r="BK177">
            <v>70.588999999999999</v>
          </cell>
          <cell r="BL177">
            <v>70.718000000000004</v>
          </cell>
          <cell r="BM177">
            <v>70.795000000000002</v>
          </cell>
          <cell r="BN177">
            <v>70.826999999999998</v>
          </cell>
          <cell r="BO177">
            <v>70.850999999999999</v>
          </cell>
          <cell r="BP177">
            <v>70.878</v>
          </cell>
          <cell r="BQ177">
            <v>70.915999999999997</v>
          </cell>
          <cell r="BR177">
            <v>70.965000000000003</v>
          </cell>
          <cell r="BS177">
            <v>71.016000000000005</v>
          </cell>
          <cell r="BT177">
            <v>71.084999999999994</v>
          </cell>
          <cell r="BU177">
            <v>71.183000000000007</v>
          </cell>
          <cell r="BV177">
            <v>71.307000000000002</v>
          </cell>
          <cell r="BW177">
            <v>71.457999999999998</v>
          </cell>
          <cell r="BX177">
            <v>71.625</v>
          </cell>
        </row>
        <row r="178">
          <cell r="C178" t="str">
            <v>Dominican Republic</v>
          </cell>
          <cell r="E178">
            <v>214</v>
          </cell>
          <cell r="F178" t="str">
            <v>Country</v>
          </cell>
          <cell r="G178">
            <v>915</v>
          </cell>
          <cell r="H178">
            <v>2364.654</v>
          </cell>
          <cell r="I178">
            <v>2438.63</v>
          </cell>
          <cell r="J178">
            <v>2517.6550000000002</v>
          </cell>
          <cell r="K178">
            <v>2601.3359999999998</v>
          </cell>
          <cell r="L178">
            <v>2689.335</v>
          </cell>
          <cell r="M178">
            <v>2781.3359999999998</v>
          </cell>
          <cell r="N178">
            <v>2877.096</v>
          </cell>
          <cell r="O178">
            <v>2976.4189999999999</v>
          </cell>
          <cell r="P178">
            <v>3079.1309999999999</v>
          </cell>
          <cell r="Q178">
            <v>3185.116</v>
          </cell>
          <cell r="R178">
            <v>3294.2240000000002</v>
          </cell>
          <cell r="S178">
            <v>3406.28</v>
          </cell>
          <cell r="T178">
            <v>3521.018</v>
          </cell>
          <cell r="U178">
            <v>3638.1089999999999</v>
          </cell>
          <cell r="V178">
            <v>3757.1320000000001</v>
          </cell>
          <cell r="W178">
            <v>3877.7649999999999</v>
          </cell>
          <cell r="X178">
            <v>3999.7959999999998</v>
          </cell>
          <cell r="Y178">
            <v>4123.0919999999996</v>
          </cell>
          <cell r="Z178">
            <v>4247.558</v>
          </cell>
          <cell r="AA178">
            <v>4373.1239999999998</v>
          </cell>
          <cell r="AB178">
            <v>4499.72</v>
          </cell>
          <cell r="AC178">
            <v>4627.21</v>
          </cell>
          <cell r="AD178">
            <v>4755.4589999999998</v>
          </cell>
          <cell r="AE178">
            <v>4884.4610000000002</v>
          </cell>
          <cell r="AF178">
            <v>5014.1890000000003</v>
          </cell>
          <cell r="AG178">
            <v>5144.6369999999997</v>
          </cell>
          <cell r="AH178">
            <v>5275.77</v>
          </cell>
          <cell r="AI178">
            <v>5407.5</v>
          </cell>
          <cell r="AJ178">
            <v>5539.59</v>
          </cell>
          <cell r="AK178">
            <v>5671.7969999999996</v>
          </cell>
          <cell r="AL178">
            <v>5803.9269999999997</v>
          </cell>
          <cell r="AM178">
            <v>5935.9089999999997</v>
          </cell>
          <cell r="AN178">
            <v>6067.77</v>
          </cell>
          <cell r="AO178">
            <v>6199.6610000000001</v>
          </cell>
          <cell r="AP178">
            <v>6331.7640000000001</v>
          </cell>
          <cell r="AQ178">
            <v>6464.2290000000003</v>
          </cell>
          <cell r="AR178">
            <v>6596.9620000000004</v>
          </cell>
          <cell r="AS178">
            <v>6729.933</v>
          </cell>
          <cell r="AT178">
            <v>6863.4409999999998</v>
          </cell>
          <cell r="AU178">
            <v>6997.8879999999999</v>
          </cell>
          <cell r="AV178">
            <v>7133.4939999999997</v>
          </cell>
          <cell r="AW178">
            <v>7270.4089999999997</v>
          </cell>
          <cell r="AX178">
            <v>7408.3419999999996</v>
          </cell>
          <cell r="AY178">
            <v>7546.4629999999997</v>
          </cell>
          <cell r="AZ178">
            <v>7683.7070000000003</v>
          </cell>
          <cell r="BA178">
            <v>7819.2470000000003</v>
          </cell>
          <cell r="BB178">
            <v>7952.7629999999999</v>
          </cell>
          <cell r="BC178">
            <v>8084.4070000000002</v>
          </cell>
          <cell r="BD178">
            <v>8214.4259999999995</v>
          </cell>
          <cell r="BE178">
            <v>8343.2829999999994</v>
          </cell>
          <cell r="BF178">
            <v>8471.3209999999999</v>
          </cell>
          <cell r="BG178">
            <v>8598.6010000000006</v>
          </cell>
          <cell r="BH178">
            <v>8724.9750000000004</v>
          </cell>
          <cell r="BI178">
            <v>8850.3169999999991</v>
          </cell>
          <cell r="BJ178">
            <v>8974.4439999999995</v>
          </cell>
          <cell r="BK178">
            <v>9097.2569999999996</v>
          </cell>
          <cell r="BL178">
            <v>9218.6859999999997</v>
          </cell>
          <cell r="BM178">
            <v>9338.8610000000008</v>
          </cell>
          <cell r="BN178">
            <v>9458.0750000000007</v>
          </cell>
          <cell r="BO178">
            <v>9576.7369999999992</v>
          </cell>
          <cell r="BP178">
            <v>9695.1209999999992</v>
          </cell>
          <cell r="BQ178">
            <v>9813.2109999999993</v>
          </cell>
          <cell r="BR178">
            <v>9930.9159999999993</v>
          </cell>
          <cell r="BS178">
            <v>10048.232</v>
          </cell>
          <cell r="BT178">
            <v>10165.183000000001</v>
          </cell>
          <cell r="BU178">
            <v>10281.68</v>
          </cell>
          <cell r="BV178">
            <v>10397.741</v>
          </cell>
          <cell r="BW178">
            <v>10513.103999999999</v>
          </cell>
          <cell r="BX178">
            <v>10627.141</v>
          </cell>
        </row>
        <row r="179">
          <cell r="C179" t="str">
            <v>Grenada</v>
          </cell>
          <cell r="E179">
            <v>308</v>
          </cell>
          <cell r="F179" t="str">
            <v>Country</v>
          </cell>
          <cell r="G179">
            <v>915</v>
          </cell>
          <cell r="H179">
            <v>76.680999999999997</v>
          </cell>
          <cell r="I179">
            <v>76.653999999999996</v>
          </cell>
          <cell r="J179">
            <v>77.183000000000007</v>
          </cell>
          <cell r="K179">
            <v>78.162999999999997</v>
          </cell>
          <cell r="L179">
            <v>79.503</v>
          </cell>
          <cell r="M179">
            <v>81.102999999999994</v>
          </cell>
          <cell r="N179">
            <v>82.881</v>
          </cell>
          <cell r="O179">
            <v>84.724999999999994</v>
          </cell>
          <cell r="P179">
            <v>86.57</v>
          </cell>
          <cell r="Q179">
            <v>88.334999999999994</v>
          </cell>
          <cell r="R179">
            <v>89.932000000000002</v>
          </cell>
          <cell r="S179">
            <v>91.326999999999998</v>
          </cell>
          <cell r="T179">
            <v>92.483999999999995</v>
          </cell>
          <cell r="U179">
            <v>93.412999999999997</v>
          </cell>
          <cell r="V179">
            <v>94.123000000000005</v>
          </cell>
          <cell r="W179">
            <v>94.635999999999996</v>
          </cell>
          <cell r="X179">
            <v>94.933999999999997</v>
          </cell>
          <cell r="Y179">
            <v>95.02</v>
          </cell>
          <cell r="Z179">
            <v>94.927000000000007</v>
          </cell>
          <cell r="AA179">
            <v>94.727999999999994</v>
          </cell>
          <cell r="AB179">
            <v>94.474999999999994</v>
          </cell>
          <cell r="AC179">
            <v>94.221000000000004</v>
          </cell>
          <cell r="AD179">
            <v>93.983000000000004</v>
          </cell>
          <cell r="AE179">
            <v>93.668999999999997</v>
          </cell>
          <cell r="AF179">
            <v>93.191000000000003</v>
          </cell>
          <cell r="AG179">
            <v>92.494</v>
          </cell>
          <cell r="AH179">
            <v>91.474999999999994</v>
          </cell>
          <cell r="AI179">
            <v>90.227000000000004</v>
          </cell>
          <cell r="AJ179">
            <v>89.100999999999999</v>
          </cell>
          <cell r="AK179">
            <v>88.6</v>
          </cell>
          <cell r="AL179">
            <v>89.031999999999996</v>
          </cell>
          <cell r="AM179">
            <v>90.606999999999999</v>
          </cell>
          <cell r="AN179">
            <v>93.122</v>
          </cell>
          <cell r="AO179">
            <v>96.019000000000005</v>
          </cell>
          <cell r="AP179">
            <v>98.477000000000004</v>
          </cell>
          <cell r="AQ179">
            <v>99.945999999999998</v>
          </cell>
          <cell r="AR179">
            <v>100.191</v>
          </cell>
          <cell r="AS179">
            <v>99.436000000000007</v>
          </cell>
          <cell r="AT179">
            <v>98.12</v>
          </cell>
          <cell r="AU179">
            <v>96.924000000000007</v>
          </cell>
          <cell r="AV179">
            <v>96.331000000000003</v>
          </cell>
          <cell r="AW179">
            <v>96.46</v>
          </cell>
          <cell r="AX179">
            <v>97.165000000000006</v>
          </cell>
          <cell r="AY179">
            <v>98.23</v>
          </cell>
          <cell r="AZ179">
            <v>99.352000000000004</v>
          </cell>
          <cell r="BA179">
            <v>100.288</v>
          </cell>
          <cell r="BB179">
            <v>101.001</v>
          </cell>
          <cell r="BC179">
            <v>101.56699999999999</v>
          </cell>
          <cell r="BD179">
            <v>102.021</v>
          </cell>
          <cell r="BE179">
            <v>102.432</v>
          </cell>
          <cell r="BF179">
            <v>102.833</v>
          </cell>
          <cell r="BG179">
            <v>103.249</v>
          </cell>
          <cell r="BH179">
            <v>103.634</v>
          </cell>
          <cell r="BI179">
            <v>104.005</v>
          </cell>
          <cell r="BJ179">
            <v>104.34699999999999</v>
          </cell>
          <cell r="BK179">
            <v>104.661</v>
          </cell>
          <cell r="BL179">
            <v>104.93300000000001</v>
          </cell>
          <cell r="BM179">
            <v>105.19</v>
          </cell>
          <cell r="BN179">
            <v>105.456</v>
          </cell>
          <cell r="BO179">
            <v>105.789</v>
          </cell>
          <cell r="BP179">
            <v>106.233</v>
          </cell>
          <cell r="BQ179">
            <v>106.79600000000001</v>
          </cell>
          <cell r="BR179">
            <v>107.446</v>
          </cell>
          <cell r="BS179">
            <v>108.17</v>
          </cell>
          <cell r="BT179">
            <v>108.902</v>
          </cell>
          <cell r="BU179">
            <v>109.599</v>
          </cell>
          <cell r="BV179">
            <v>110.261</v>
          </cell>
          <cell r="BW179">
            <v>110.874</v>
          </cell>
          <cell r="BX179">
            <v>111.45399999999999</v>
          </cell>
        </row>
        <row r="180">
          <cell r="C180" t="str">
            <v>Guadeloupe</v>
          </cell>
          <cell r="E180">
            <v>312</v>
          </cell>
          <cell r="F180" t="str">
            <v>Country</v>
          </cell>
          <cell r="G180">
            <v>915</v>
          </cell>
          <cell r="H180">
            <v>210.00299999999999</v>
          </cell>
          <cell r="I180">
            <v>213.32300000000001</v>
          </cell>
          <cell r="J180">
            <v>217.54300000000001</v>
          </cell>
          <cell r="K180">
            <v>222.75899999999999</v>
          </cell>
          <cell r="L180">
            <v>228.96899999999999</v>
          </cell>
          <cell r="M180">
            <v>236.06399999999999</v>
          </cell>
          <cell r="N180">
            <v>243.846</v>
          </cell>
          <cell r="O180">
            <v>252.03100000000001</v>
          </cell>
          <cell r="P180">
            <v>260.23899999999998</v>
          </cell>
          <cell r="Q180">
            <v>268.077</v>
          </cell>
          <cell r="R180">
            <v>275.161</v>
          </cell>
          <cell r="S180">
            <v>281.31</v>
          </cell>
          <cell r="T180">
            <v>286.52600000000001</v>
          </cell>
          <cell r="U180">
            <v>291.10899999999998</v>
          </cell>
          <cell r="V180">
            <v>295.50900000000001</v>
          </cell>
          <cell r="W180">
            <v>300.05599999999998</v>
          </cell>
          <cell r="X180">
            <v>304.85399999999998</v>
          </cell>
          <cell r="Y180">
            <v>309.76600000000002</v>
          </cell>
          <cell r="Z180">
            <v>314.49700000000001</v>
          </cell>
          <cell r="AA180">
            <v>318.62200000000001</v>
          </cell>
          <cell r="AB180">
            <v>321.88299999999998</v>
          </cell>
          <cell r="AC180">
            <v>324.18</v>
          </cell>
          <cell r="AD180">
            <v>325.63499999999999</v>
          </cell>
          <cell r="AE180">
            <v>326.565</v>
          </cell>
          <cell r="AF180">
            <v>327.42200000000003</v>
          </cell>
          <cell r="AG180">
            <v>328.49299999999999</v>
          </cell>
          <cell r="AH180">
            <v>330.00900000000001</v>
          </cell>
          <cell r="AI180">
            <v>331.90800000000002</v>
          </cell>
          <cell r="AJ180">
            <v>333.91300000000001</v>
          </cell>
          <cell r="AK180">
            <v>335.59300000000002</v>
          </cell>
          <cell r="AL180">
            <v>336.685</v>
          </cell>
          <cell r="AM180">
            <v>336.94099999999997</v>
          </cell>
          <cell r="AN180">
            <v>336.60899999999998</v>
          </cell>
          <cell r="AO180">
            <v>336.67</v>
          </cell>
          <cell r="AP180">
            <v>338.43099999999998</v>
          </cell>
          <cell r="AQ180">
            <v>342.73</v>
          </cell>
          <cell r="AR180">
            <v>350.06700000000001</v>
          </cell>
          <cell r="AS180">
            <v>359.90899999999999</v>
          </cell>
          <cell r="AT180">
            <v>370.90600000000001</v>
          </cell>
          <cell r="AU180">
            <v>381.14400000000001</v>
          </cell>
          <cell r="AV180">
            <v>389.24900000000002</v>
          </cell>
          <cell r="AW180">
            <v>394.61900000000003</v>
          </cell>
          <cell r="AX180">
            <v>397.697</v>
          </cell>
          <cell r="AY180">
            <v>399.37900000000002</v>
          </cell>
          <cell r="AZ180">
            <v>401.07100000000003</v>
          </cell>
          <cell r="BA180">
            <v>403.738</v>
          </cell>
          <cell r="BB180">
            <v>407.78300000000002</v>
          </cell>
          <cell r="BC180">
            <v>412.73700000000002</v>
          </cell>
          <cell r="BD180">
            <v>417.62200000000001</v>
          </cell>
          <cell r="BE180">
            <v>421.041</v>
          </cell>
          <cell r="BF180">
            <v>422.05099999999999</v>
          </cell>
          <cell r="BG180">
            <v>420.238</v>
          </cell>
          <cell r="BH180">
            <v>416.13600000000002</v>
          </cell>
          <cell r="BI180">
            <v>410.86</v>
          </cell>
          <cell r="BJ180">
            <v>406.06299999999999</v>
          </cell>
          <cell r="BK180">
            <v>402.904</v>
          </cell>
          <cell r="BL180">
            <v>401.81299999999999</v>
          </cell>
          <cell r="BM180">
            <v>402.39499999999998</v>
          </cell>
          <cell r="BN180">
            <v>403.96499999999997</v>
          </cell>
          <cell r="BO180">
            <v>405.44799999999998</v>
          </cell>
          <cell r="BP180">
            <v>406.07100000000003</v>
          </cell>
          <cell r="BQ180">
            <v>405.64</v>
          </cell>
          <cell r="BR180">
            <v>404.44799999999998</v>
          </cell>
          <cell r="BS180">
            <v>402.82900000000001</v>
          </cell>
          <cell r="BT180">
            <v>401.31400000000002</v>
          </cell>
          <cell r="BU180">
            <v>400.255</v>
          </cell>
          <cell r="BV180">
            <v>399.76299999999998</v>
          </cell>
          <cell r="BW180">
            <v>399.67200000000003</v>
          </cell>
          <cell r="BX180">
            <v>399.84800000000001</v>
          </cell>
        </row>
        <row r="181">
          <cell r="C181" t="str">
            <v>Haiti</v>
          </cell>
          <cell r="E181">
            <v>332</v>
          </cell>
          <cell r="F181" t="str">
            <v>Country</v>
          </cell>
          <cell r="G181">
            <v>915</v>
          </cell>
          <cell r="H181">
            <v>3221.2829999999999</v>
          </cell>
          <cell r="I181">
            <v>3274.4140000000002</v>
          </cell>
          <cell r="J181">
            <v>3330.3249999999998</v>
          </cell>
          <cell r="K181">
            <v>3388.9639999999999</v>
          </cell>
          <cell r="L181">
            <v>3450.2460000000001</v>
          </cell>
          <cell r="M181">
            <v>3514.0740000000001</v>
          </cell>
          <cell r="N181">
            <v>3580.3119999999999</v>
          </cell>
          <cell r="O181">
            <v>3648.8220000000001</v>
          </cell>
          <cell r="P181">
            <v>3719.424</v>
          </cell>
          <cell r="Q181">
            <v>3791.9290000000001</v>
          </cell>
          <cell r="R181">
            <v>3866.1590000000001</v>
          </cell>
          <cell r="S181">
            <v>3941.944</v>
          </cell>
          <cell r="T181">
            <v>4019.1729999999998</v>
          </cell>
          <cell r="U181">
            <v>4097.7550000000001</v>
          </cell>
          <cell r="V181">
            <v>4177.6369999999997</v>
          </cell>
          <cell r="W181">
            <v>4258.732</v>
          </cell>
          <cell r="X181">
            <v>4341.3180000000002</v>
          </cell>
          <cell r="Y181">
            <v>4425.3029999999999</v>
          </cell>
          <cell r="Z181">
            <v>4509.8130000000001</v>
          </cell>
          <cell r="AA181">
            <v>4593.6689999999999</v>
          </cell>
          <cell r="AB181">
            <v>4676.2299999999996</v>
          </cell>
          <cell r="AC181">
            <v>4757.1819999999998</v>
          </cell>
          <cell r="AD181">
            <v>4837.3320000000003</v>
          </cell>
          <cell r="AE181">
            <v>4918.625</v>
          </cell>
          <cell r="AF181">
            <v>5003.71</v>
          </cell>
          <cell r="AG181">
            <v>5094.5770000000002</v>
          </cell>
          <cell r="AH181">
            <v>5191.6319999999996</v>
          </cell>
          <cell r="AI181">
            <v>5294.6189999999997</v>
          </cell>
          <cell r="AJ181">
            <v>5404.0190000000002</v>
          </cell>
          <cell r="AK181">
            <v>5520.1869999999999</v>
          </cell>
          <cell r="AL181">
            <v>5643.1729999999998</v>
          </cell>
          <cell r="AM181">
            <v>5773.366</v>
          </cell>
          <cell r="AN181">
            <v>5910.2269999999999</v>
          </cell>
          <cell r="AO181">
            <v>6051.6220000000003</v>
          </cell>
          <cell r="AP181">
            <v>6194.6869999999999</v>
          </cell>
          <cell r="AQ181">
            <v>6337.2730000000001</v>
          </cell>
          <cell r="AR181">
            <v>6478.5410000000002</v>
          </cell>
          <cell r="AS181">
            <v>6618.7439999999997</v>
          </cell>
          <cell r="AT181">
            <v>6758.223</v>
          </cell>
          <cell r="AU181">
            <v>6897.7550000000001</v>
          </cell>
          <cell r="AV181">
            <v>7037.9170000000004</v>
          </cell>
          <cell r="AW181">
            <v>7178.607</v>
          </cell>
          <cell r="AX181">
            <v>7319.4930000000004</v>
          </cell>
          <cell r="AY181">
            <v>7460.6890000000003</v>
          </cell>
          <cell r="AZ181">
            <v>7602.32</v>
          </cell>
          <cell r="BA181">
            <v>7744.5029999999997</v>
          </cell>
          <cell r="BB181">
            <v>7887.3040000000001</v>
          </cell>
          <cell r="BC181">
            <v>8030.7259999999997</v>
          </cell>
          <cell r="BD181">
            <v>8174.68</v>
          </cell>
          <cell r="BE181">
            <v>8319.0570000000007</v>
          </cell>
          <cell r="BF181">
            <v>8463.8060000000005</v>
          </cell>
          <cell r="BG181">
            <v>8608.8189999999995</v>
          </cell>
          <cell r="BH181">
            <v>8754.15</v>
          </cell>
          <cell r="BI181">
            <v>8900.1039999999994</v>
          </cell>
          <cell r="BJ181">
            <v>9047.0769999999993</v>
          </cell>
          <cell r="BK181">
            <v>9195.2880000000005</v>
          </cell>
          <cell r="BL181">
            <v>9344.7849999999999</v>
          </cell>
          <cell r="BM181">
            <v>9495.3279999999995</v>
          </cell>
          <cell r="BN181">
            <v>9646.58</v>
          </cell>
          <cell r="BO181">
            <v>9798.0460000000003</v>
          </cell>
          <cell r="BP181">
            <v>9949.3220000000001</v>
          </cell>
          <cell r="BQ181">
            <v>10100.32</v>
          </cell>
          <cell r="BR181">
            <v>10250.93</v>
          </cell>
          <cell r="BS181">
            <v>10400.674999999999</v>
          </cell>
          <cell r="BT181">
            <v>10549.009</v>
          </cell>
          <cell r="BU181">
            <v>10695.541999999999</v>
          </cell>
          <cell r="BV181">
            <v>10839.97</v>
          </cell>
          <cell r="BW181">
            <v>10982.366</v>
          </cell>
          <cell r="BX181">
            <v>11123.178</v>
          </cell>
        </row>
        <row r="182">
          <cell r="C182" t="str">
            <v>Jamaica</v>
          </cell>
          <cell r="E182">
            <v>388</v>
          </cell>
          <cell r="F182" t="str">
            <v>Country</v>
          </cell>
          <cell r="G182">
            <v>915</v>
          </cell>
          <cell r="H182">
            <v>1402.8989999999999</v>
          </cell>
          <cell r="I182">
            <v>1437.0650000000001</v>
          </cell>
          <cell r="J182">
            <v>1468.2329999999999</v>
          </cell>
          <cell r="K182">
            <v>1495.9369999999999</v>
          </cell>
          <cell r="L182">
            <v>1520.0909999999999</v>
          </cell>
          <cell r="M182">
            <v>1540.9559999999999</v>
          </cell>
          <cell r="N182">
            <v>1559.152</v>
          </cell>
          <cell r="O182">
            <v>1575.683</v>
          </cell>
          <cell r="P182">
            <v>1591.819</v>
          </cell>
          <cell r="Q182">
            <v>1609.0119999999999</v>
          </cell>
          <cell r="R182">
            <v>1628.52</v>
          </cell>
          <cell r="S182">
            <v>1651.0730000000001</v>
          </cell>
          <cell r="T182">
            <v>1676.501</v>
          </cell>
          <cell r="U182">
            <v>1703.6510000000001</v>
          </cell>
          <cell r="V182">
            <v>1730.7380000000001</v>
          </cell>
          <cell r="W182">
            <v>1756.511</v>
          </cell>
          <cell r="X182">
            <v>1780.518</v>
          </cell>
          <cell r="Y182">
            <v>1803.319</v>
          </cell>
          <cell r="Z182">
            <v>1825.8789999999999</v>
          </cell>
          <cell r="AA182">
            <v>1849.662</v>
          </cell>
          <cell r="AB182">
            <v>1875.6420000000001</v>
          </cell>
          <cell r="AC182">
            <v>1904.2760000000001</v>
          </cell>
          <cell r="AD182">
            <v>1935.1</v>
          </cell>
          <cell r="AE182">
            <v>1966.9739999999999</v>
          </cell>
          <cell r="AF182">
            <v>1998.309</v>
          </cell>
          <cell r="AG182">
            <v>2028.0160000000001</v>
          </cell>
          <cell r="AH182">
            <v>2055.3649999999998</v>
          </cell>
          <cell r="AI182">
            <v>2080.8310000000001</v>
          </cell>
          <cell r="AJ182">
            <v>2105.9070000000002</v>
          </cell>
          <cell r="AK182">
            <v>2132.7849999999999</v>
          </cell>
          <cell r="AL182">
            <v>2162.846</v>
          </cell>
          <cell r="AM182">
            <v>2196.9209999999998</v>
          </cell>
          <cell r="AN182">
            <v>2234.0569999999998</v>
          </cell>
          <cell r="AO182">
            <v>2271.7359999999999</v>
          </cell>
          <cell r="AP182">
            <v>2306.366</v>
          </cell>
          <cell r="AQ182">
            <v>2335.5100000000002</v>
          </cell>
          <cell r="AR182">
            <v>2358.1610000000001</v>
          </cell>
          <cell r="AS182">
            <v>2375.393</v>
          </cell>
          <cell r="AT182">
            <v>2389.4110000000001</v>
          </cell>
          <cell r="AU182">
            <v>2403.4639999999999</v>
          </cell>
          <cell r="AV182">
            <v>2419.9059999999999</v>
          </cell>
          <cell r="AW182">
            <v>2439.3339999999998</v>
          </cell>
          <cell r="AX182">
            <v>2461.049</v>
          </cell>
          <cell r="AY182">
            <v>2484.5810000000001</v>
          </cell>
          <cell r="AZ182">
            <v>2509.0430000000001</v>
          </cell>
          <cell r="BA182">
            <v>2533.7109999999998</v>
          </cell>
          <cell r="BB182">
            <v>2558.6370000000002</v>
          </cell>
          <cell r="BC182">
            <v>2583.9160000000002</v>
          </cell>
          <cell r="BD182">
            <v>2608.873</v>
          </cell>
          <cell r="BE182">
            <v>2632.6750000000002</v>
          </cell>
          <cell r="BF182">
            <v>2654.701</v>
          </cell>
          <cell r="BG182">
            <v>2674.7020000000002</v>
          </cell>
          <cell r="BH182">
            <v>2692.8449999999998</v>
          </cell>
          <cell r="BI182">
            <v>2709.4369999999999</v>
          </cell>
          <cell r="BJ182">
            <v>2725.0149999999999</v>
          </cell>
          <cell r="BK182">
            <v>2740.0030000000002</v>
          </cell>
          <cell r="BL182">
            <v>2754.4070000000002</v>
          </cell>
          <cell r="BM182">
            <v>2768.2269999999999</v>
          </cell>
          <cell r="BN182">
            <v>2781.8760000000002</v>
          </cell>
          <cell r="BO182">
            <v>2795.837</v>
          </cell>
          <cell r="BP182">
            <v>2810.46</v>
          </cell>
          <cell r="BQ182">
            <v>2825.9290000000001</v>
          </cell>
          <cell r="BR182">
            <v>2842.1320000000001</v>
          </cell>
          <cell r="BS182">
            <v>2858.712</v>
          </cell>
          <cell r="BT182">
            <v>2875.1390000000001</v>
          </cell>
          <cell r="BU182">
            <v>2891.0210000000002</v>
          </cell>
          <cell r="BV182">
            <v>2906.2359999999999</v>
          </cell>
          <cell r="BW182">
            <v>2920.848</v>
          </cell>
          <cell r="BX182">
            <v>2934.8470000000002</v>
          </cell>
        </row>
        <row r="183">
          <cell r="C183" t="str">
            <v>Martinique</v>
          </cell>
          <cell r="E183">
            <v>474</v>
          </cell>
          <cell r="F183" t="str">
            <v>Country</v>
          </cell>
          <cell r="G183">
            <v>915</v>
          </cell>
          <cell r="H183">
            <v>222.00200000000001</v>
          </cell>
          <cell r="I183">
            <v>224.42</v>
          </cell>
          <cell r="J183">
            <v>228.27199999999999</v>
          </cell>
          <cell r="K183">
            <v>233.268</v>
          </cell>
          <cell r="L183">
            <v>239.14500000000001</v>
          </cell>
          <cell r="M183">
            <v>245.67500000000001</v>
          </cell>
          <cell r="N183">
            <v>252.654</v>
          </cell>
          <cell r="O183">
            <v>259.88</v>
          </cell>
          <cell r="P183">
            <v>267.21199999999999</v>
          </cell>
          <cell r="Q183">
            <v>274.49</v>
          </cell>
          <cell r="R183">
            <v>281.62200000000001</v>
          </cell>
          <cell r="S183">
            <v>288.48500000000001</v>
          </cell>
          <cell r="T183">
            <v>294.96800000000002</v>
          </cell>
          <cell r="U183">
            <v>300.95400000000001</v>
          </cell>
          <cell r="V183">
            <v>306.37099999999998</v>
          </cell>
          <cell r="W183">
            <v>311.12700000000001</v>
          </cell>
          <cell r="X183">
            <v>315.173</v>
          </cell>
          <cell r="Y183">
            <v>318.50400000000002</v>
          </cell>
          <cell r="Z183">
            <v>321.178</v>
          </cell>
          <cell r="AA183">
            <v>323.31900000000002</v>
          </cell>
          <cell r="AB183">
            <v>325.01100000000002</v>
          </cell>
          <cell r="AC183">
            <v>326.33300000000003</v>
          </cell>
          <cell r="AD183">
            <v>327.3</v>
          </cell>
          <cell r="AE183">
            <v>327.89699999999999</v>
          </cell>
          <cell r="AF183">
            <v>328.072</v>
          </cell>
          <cell r="AG183">
            <v>327.83800000000002</v>
          </cell>
          <cell r="AH183">
            <v>327.166</v>
          </cell>
          <cell r="AI183">
            <v>326.19</v>
          </cell>
          <cell r="AJ183">
            <v>325.286</v>
          </cell>
          <cell r="AK183">
            <v>324.92899999999997</v>
          </cell>
          <cell r="AL183">
            <v>325.45400000000001</v>
          </cell>
          <cell r="AM183">
            <v>326.99299999999999</v>
          </cell>
          <cell r="AN183">
            <v>329.44499999999999</v>
          </cell>
          <cell r="AO183">
            <v>332.60500000000002</v>
          </cell>
          <cell r="AP183">
            <v>336.16699999999997</v>
          </cell>
          <cell r="AQ183">
            <v>339.87599999999998</v>
          </cell>
          <cell r="AR183">
            <v>343.74299999999999</v>
          </cell>
          <cell r="AS183">
            <v>347.76299999999998</v>
          </cell>
          <cell r="AT183">
            <v>351.71600000000001</v>
          </cell>
          <cell r="AU183">
            <v>355.34</v>
          </cell>
          <cell r="AV183">
            <v>358.44900000000001</v>
          </cell>
          <cell r="AW183">
            <v>360.90100000000001</v>
          </cell>
          <cell r="AX183">
            <v>362.75700000000001</v>
          </cell>
          <cell r="AY183">
            <v>364.37700000000001</v>
          </cell>
          <cell r="AZ183">
            <v>366.25</v>
          </cell>
          <cell r="BA183">
            <v>368.73200000000003</v>
          </cell>
          <cell r="BB183">
            <v>371.91199999999998</v>
          </cell>
          <cell r="BC183">
            <v>375.63400000000001</v>
          </cell>
          <cell r="BD183">
            <v>379.64600000000002</v>
          </cell>
          <cell r="BE183">
            <v>383.53100000000001</v>
          </cell>
          <cell r="BF183">
            <v>387.00400000000002</v>
          </cell>
          <cell r="BG183">
            <v>389.98700000000002</v>
          </cell>
          <cell r="BH183">
            <v>392.5</v>
          </cell>
          <cell r="BI183">
            <v>394.53399999999999</v>
          </cell>
          <cell r="BJ183">
            <v>396.10300000000001</v>
          </cell>
          <cell r="BK183">
            <v>397.19</v>
          </cell>
          <cell r="BL183">
            <v>397.84699999999998</v>
          </cell>
          <cell r="BM183">
            <v>398.04599999999999</v>
          </cell>
          <cell r="BN183">
            <v>397.66800000000001</v>
          </cell>
          <cell r="BO183">
            <v>396.565</v>
          </cell>
          <cell r="BP183">
            <v>394.66300000000001</v>
          </cell>
          <cell r="BQ183">
            <v>391.87799999999999</v>
          </cell>
          <cell r="BR183">
            <v>388.35700000000003</v>
          </cell>
          <cell r="BS183">
            <v>384.57600000000002</v>
          </cell>
          <cell r="BT183">
            <v>381.13799999999998</v>
          </cell>
          <cell r="BU183">
            <v>378.47800000000001</v>
          </cell>
          <cell r="BV183">
            <v>376.791</v>
          </cell>
          <cell r="BW183">
            <v>375.94799999999998</v>
          </cell>
          <cell r="BX183">
            <v>375.673</v>
          </cell>
        </row>
        <row r="184">
          <cell r="C184" t="str">
            <v>Montserrat</v>
          </cell>
          <cell r="E184">
            <v>500</v>
          </cell>
          <cell r="F184" t="str">
            <v>Country</v>
          </cell>
          <cell r="G184">
            <v>915</v>
          </cell>
          <cell r="H184">
            <v>13.519</v>
          </cell>
          <cell r="I184">
            <v>14.119</v>
          </cell>
          <cell r="J184">
            <v>14.484999999999999</v>
          </cell>
          <cell r="K184">
            <v>14.606</v>
          </cell>
          <cell r="L184">
            <v>14.513999999999999</v>
          </cell>
          <cell r="M184">
            <v>14.233000000000001</v>
          </cell>
          <cell r="N184">
            <v>13.82</v>
          </cell>
          <cell r="O184">
            <v>13.317</v>
          </cell>
          <cell r="P184">
            <v>12.795999999999999</v>
          </cell>
          <cell r="Q184">
            <v>12.319000000000001</v>
          </cell>
          <cell r="R184">
            <v>11.957000000000001</v>
          </cell>
          <cell r="S184">
            <v>11.734</v>
          </cell>
          <cell r="T184">
            <v>11.651999999999999</v>
          </cell>
          <cell r="U184">
            <v>11.670999999999999</v>
          </cell>
          <cell r="V184">
            <v>11.705</v>
          </cell>
          <cell r="W184">
            <v>11.726000000000001</v>
          </cell>
          <cell r="X184">
            <v>11.7</v>
          </cell>
          <cell r="Y184">
            <v>11.654999999999999</v>
          </cell>
          <cell r="Z184">
            <v>11.601000000000001</v>
          </cell>
          <cell r="AA184">
            <v>11.555999999999999</v>
          </cell>
          <cell r="AB184">
            <v>11.534000000000001</v>
          </cell>
          <cell r="AC184">
            <v>11.516999999999999</v>
          </cell>
          <cell r="AD184">
            <v>11.522</v>
          </cell>
          <cell r="AE184">
            <v>11.532999999999999</v>
          </cell>
          <cell r="AF184">
            <v>11.558999999999999</v>
          </cell>
          <cell r="AG184">
            <v>11.58</v>
          </cell>
          <cell r="AH184">
            <v>11.611000000000001</v>
          </cell>
          <cell r="AI184">
            <v>11.648</v>
          </cell>
          <cell r="AJ184">
            <v>11.676</v>
          </cell>
          <cell r="AK184">
            <v>11.669</v>
          </cell>
          <cell r="AL184">
            <v>11.606999999999999</v>
          </cell>
          <cell r="AM184">
            <v>11.481</v>
          </cell>
          <cell r="AN184">
            <v>11.307</v>
          </cell>
          <cell r="AO184">
            <v>11.106999999999999</v>
          </cell>
          <cell r="AP184">
            <v>10.932</v>
          </cell>
          <cell r="AQ184">
            <v>10.792</v>
          </cell>
          <cell r="AR184">
            <v>10.704000000000001</v>
          </cell>
          <cell r="AS184">
            <v>10.659000000000001</v>
          </cell>
          <cell r="AT184">
            <v>10.638</v>
          </cell>
          <cell r="AU184">
            <v>10.632</v>
          </cell>
          <cell r="AV184">
            <v>10.615</v>
          </cell>
          <cell r="AW184">
            <v>10.632</v>
          </cell>
          <cell r="AX184">
            <v>10.661</v>
          </cell>
          <cell r="AY184">
            <v>10.601000000000001</v>
          </cell>
          <cell r="AZ184">
            <v>10.362</v>
          </cell>
          <cell r="BA184">
            <v>9.8480000000000008</v>
          </cell>
          <cell r="BB184">
            <v>9.0150000000000006</v>
          </cell>
          <cell r="BC184">
            <v>7.93</v>
          </cell>
          <cell r="BD184">
            <v>6.7409999999999997</v>
          </cell>
          <cell r="BE184">
            <v>5.6920000000000002</v>
          </cell>
          <cell r="BF184">
            <v>4.9290000000000003</v>
          </cell>
          <cell r="BG184">
            <v>4.53</v>
          </cell>
          <cell r="BH184">
            <v>4.4249999999999998</v>
          </cell>
          <cell r="BI184">
            <v>4.5350000000000001</v>
          </cell>
          <cell r="BJ184">
            <v>4.7050000000000001</v>
          </cell>
          <cell r="BK184">
            <v>4.835</v>
          </cell>
          <cell r="BL184">
            <v>4.8920000000000003</v>
          </cell>
          <cell r="BM184">
            <v>4.91</v>
          </cell>
          <cell r="BN184">
            <v>4.9009999999999998</v>
          </cell>
          <cell r="BO184">
            <v>4.891</v>
          </cell>
          <cell r="BP184">
            <v>4.899</v>
          </cell>
          <cell r="BQ184">
            <v>4.9169999999999998</v>
          </cell>
          <cell r="BR184">
            <v>4.93</v>
          </cell>
          <cell r="BS184">
            <v>4.944</v>
          </cell>
          <cell r="BT184">
            <v>4.9569999999999999</v>
          </cell>
          <cell r="BU184">
            <v>4.9669999999999996</v>
          </cell>
          <cell r="BV184">
            <v>4.9809999999999999</v>
          </cell>
          <cell r="BW184">
            <v>4.984</v>
          </cell>
          <cell r="BX184">
            <v>4.9930000000000003</v>
          </cell>
        </row>
        <row r="185">
          <cell r="C185" t="str">
            <v>Puerto Rico</v>
          </cell>
          <cell r="E185">
            <v>630</v>
          </cell>
          <cell r="F185" t="str">
            <v>Country</v>
          </cell>
          <cell r="G185">
            <v>915</v>
          </cell>
          <cell r="H185">
            <v>2218</v>
          </cell>
          <cell r="I185">
            <v>2193.6190000000001</v>
          </cell>
          <cell r="J185">
            <v>2183.0770000000002</v>
          </cell>
          <cell r="K185">
            <v>2181.9050000000002</v>
          </cell>
          <cell r="L185">
            <v>2186.7939999999999</v>
          </cell>
          <cell r="M185">
            <v>2195.5160000000001</v>
          </cell>
          <cell r="N185">
            <v>2207.0479999999998</v>
          </cell>
          <cell r="O185">
            <v>2221.4760000000001</v>
          </cell>
          <cell r="P185">
            <v>2239.8409999999999</v>
          </cell>
          <cell r="Q185">
            <v>2263.8290000000002</v>
          </cell>
          <cell r="R185">
            <v>2294.982</v>
          </cell>
          <cell r="S185">
            <v>2333.6579999999999</v>
          </cell>
          <cell r="T185">
            <v>2378.3739999999998</v>
          </cell>
          <cell r="U185">
            <v>2425.3519999999999</v>
          </cell>
          <cell r="V185">
            <v>2469.5659999999998</v>
          </cell>
          <cell r="W185">
            <v>2507.5369999999998</v>
          </cell>
          <cell r="X185">
            <v>2537.5700000000002</v>
          </cell>
          <cell r="Y185">
            <v>2561.04</v>
          </cell>
          <cell r="Z185">
            <v>2581.3870000000002</v>
          </cell>
          <cell r="AA185">
            <v>2603.712</v>
          </cell>
          <cell r="AB185">
            <v>2631.7069999999999</v>
          </cell>
          <cell r="AC185">
            <v>2666.1619999999998</v>
          </cell>
          <cell r="AD185">
            <v>2705.8339999999998</v>
          </cell>
          <cell r="AE185">
            <v>2749.855</v>
          </cell>
          <cell r="AF185">
            <v>2796.663</v>
          </cell>
          <cell r="AG185">
            <v>2844.9270000000001</v>
          </cell>
          <cell r="AH185">
            <v>2894.674</v>
          </cell>
          <cell r="AI185">
            <v>2945.8510000000001</v>
          </cell>
          <cell r="AJ185">
            <v>2996.828</v>
          </cell>
          <cell r="AK185">
            <v>3045.6</v>
          </cell>
          <cell r="AL185">
            <v>3090.6909999999998</v>
          </cell>
          <cell r="AM185">
            <v>3131.4989999999998</v>
          </cell>
          <cell r="AN185">
            <v>3168.3429999999998</v>
          </cell>
          <cell r="AO185">
            <v>3201.8649999999998</v>
          </cell>
          <cell r="AP185">
            <v>3233.1750000000002</v>
          </cell>
          <cell r="AQ185">
            <v>3263.1790000000001</v>
          </cell>
          <cell r="AR185">
            <v>3291.7420000000002</v>
          </cell>
          <cell r="AS185">
            <v>3318.8339999999998</v>
          </cell>
          <cell r="AT185">
            <v>3345.576</v>
          </cell>
          <cell r="AU185">
            <v>3373.3780000000002</v>
          </cell>
          <cell r="AV185">
            <v>3403.154</v>
          </cell>
          <cell r="AW185">
            <v>3435.2530000000002</v>
          </cell>
          <cell r="AX185">
            <v>3469.0680000000002</v>
          </cell>
          <cell r="AY185">
            <v>3503.4720000000002</v>
          </cell>
          <cell r="AZ185">
            <v>3536.7950000000001</v>
          </cell>
          <cell r="BA185">
            <v>3567.6959999999999</v>
          </cell>
          <cell r="BB185">
            <v>3596.0880000000002</v>
          </cell>
          <cell r="BC185">
            <v>3621.8989999999999</v>
          </cell>
          <cell r="BD185">
            <v>3643.6790000000001</v>
          </cell>
          <cell r="BE185">
            <v>3659.723</v>
          </cell>
          <cell r="BF185">
            <v>3668.96</v>
          </cell>
          <cell r="BG185">
            <v>3670.2959999999998</v>
          </cell>
          <cell r="BH185">
            <v>3664.328</v>
          </cell>
          <cell r="BI185">
            <v>3653.6579999999999</v>
          </cell>
          <cell r="BJ185">
            <v>3642.0059999999999</v>
          </cell>
          <cell r="BK185">
            <v>3631.8890000000001</v>
          </cell>
          <cell r="BL185">
            <v>3623.78</v>
          </cell>
          <cell r="BM185">
            <v>3616.34</v>
          </cell>
          <cell r="BN185">
            <v>3608.0320000000002</v>
          </cell>
          <cell r="BO185">
            <v>3596.54</v>
          </cell>
          <cell r="BP185">
            <v>3579.8409999999999</v>
          </cell>
          <cell r="BQ185">
            <v>3559.8609999999999</v>
          </cell>
          <cell r="BR185">
            <v>3536.5720000000001</v>
          </cell>
          <cell r="BS185">
            <v>3503.8580000000002</v>
          </cell>
          <cell r="BT185">
            <v>3453.672</v>
          </cell>
          <cell r="BU185">
            <v>3381.518</v>
          </cell>
          <cell r="BV185">
            <v>3283.125</v>
          </cell>
          <cell r="BW185">
            <v>3163.6669999999999</v>
          </cell>
          <cell r="BX185">
            <v>3039.596</v>
          </cell>
        </row>
        <row r="186">
          <cell r="C186" t="str">
            <v>Saint-Barthélemy</v>
          </cell>
          <cell r="E186">
            <v>652</v>
          </cell>
          <cell r="F186" t="str">
            <v>Country</v>
          </cell>
          <cell r="G186">
            <v>915</v>
          </cell>
          <cell r="H186">
            <v>2.0019999999999998</v>
          </cell>
          <cell r="I186">
            <v>2.0579999999999998</v>
          </cell>
          <cell r="J186">
            <v>2.1160000000000001</v>
          </cell>
          <cell r="K186">
            <v>2.169</v>
          </cell>
          <cell r="L186">
            <v>2.214</v>
          </cell>
          <cell r="M186">
            <v>2.2450000000000001</v>
          </cell>
          <cell r="N186">
            <v>2.2709999999999999</v>
          </cell>
          <cell r="O186">
            <v>2.2799999999999998</v>
          </cell>
          <cell r="P186">
            <v>2.2909999999999999</v>
          </cell>
          <cell r="Q186">
            <v>2.3039999999999998</v>
          </cell>
          <cell r="R186">
            <v>2.3039999999999998</v>
          </cell>
          <cell r="S186">
            <v>2.3239999999999998</v>
          </cell>
          <cell r="T186">
            <v>2.3450000000000002</v>
          </cell>
          <cell r="U186">
            <v>2.3679999999999999</v>
          </cell>
          <cell r="V186">
            <v>2.375</v>
          </cell>
          <cell r="W186">
            <v>2.3820000000000001</v>
          </cell>
          <cell r="X186">
            <v>2.375</v>
          </cell>
          <cell r="Y186">
            <v>2.3570000000000002</v>
          </cell>
          <cell r="Z186">
            <v>2.3450000000000002</v>
          </cell>
          <cell r="AA186">
            <v>2.3290000000000002</v>
          </cell>
          <cell r="AB186">
            <v>2.343</v>
          </cell>
          <cell r="AC186">
            <v>2.3730000000000002</v>
          </cell>
          <cell r="AD186">
            <v>2.415</v>
          </cell>
          <cell r="AE186">
            <v>2.4590000000000001</v>
          </cell>
          <cell r="AF186">
            <v>2.5289999999999999</v>
          </cell>
          <cell r="AG186">
            <v>2.61</v>
          </cell>
          <cell r="AH186">
            <v>2.6970000000000001</v>
          </cell>
          <cell r="AI186">
            <v>2.8130000000000002</v>
          </cell>
          <cell r="AJ186">
            <v>2.9220000000000002</v>
          </cell>
          <cell r="AK186">
            <v>3.02</v>
          </cell>
          <cell r="AL186">
            <v>3.0819999999999999</v>
          </cell>
          <cell r="AM186">
            <v>3.11</v>
          </cell>
          <cell r="AN186">
            <v>3.1070000000000002</v>
          </cell>
          <cell r="AO186">
            <v>3.1110000000000002</v>
          </cell>
          <cell r="AP186">
            <v>3.1850000000000001</v>
          </cell>
          <cell r="AQ186">
            <v>3.3679999999999999</v>
          </cell>
          <cell r="AR186">
            <v>3.6659999999999999</v>
          </cell>
          <cell r="AS186">
            <v>4.0739999999999998</v>
          </cell>
          <cell r="AT186">
            <v>4.5309999999999997</v>
          </cell>
          <cell r="AU186">
            <v>4.9669999999999996</v>
          </cell>
          <cell r="AV186">
            <v>5.3390000000000004</v>
          </cell>
          <cell r="AW186">
            <v>5.63</v>
          </cell>
          <cell r="AX186">
            <v>5.8520000000000003</v>
          </cell>
          <cell r="AY186">
            <v>6.0259999999999998</v>
          </cell>
          <cell r="AZ186">
            <v>6.1890000000000001</v>
          </cell>
          <cell r="BA186">
            <v>6.367</v>
          </cell>
          <cell r="BB186">
            <v>6.556</v>
          </cell>
          <cell r="BC186">
            <v>6.76</v>
          </cell>
          <cell r="BD186">
            <v>6.9790000000000001</v>
          </cell>
          <cell r="BE186">
            <v>7.2</v>
          </cell>
          <cell r="BF186">
            <v>7.4269999999999996</v>
          </cell>
          <cell r="BG186">
            <v>7.657</v>
          </cell>
          <cell r="BH186">
            <v>7.899</v>
          </cell>
          <cell r="BI186">
            <v>8.1359999999999992</v>
          </cell>
          <cell r="BJ186">
            <v>8.36</v>
          </cell>
          <cell r="BK186">
            <v>8.5530000000000008</v>
          </cell>
          <cell r="BL186">
            <v>8.7270000000000003</v>
          </cell>
          <cell r="BM186">
            <v>8.8800000000000008</v>
          </cell>
          <cell r="BN186">
            <v>9.0060000000000002</v>
          </cell>
          <cell r="BO186">
            <v>9.1199999999999992</v>
          </cell>
          <cell r="BP186">
            <v>9.234</v>
          </cell>
          <cell r="BQ186">
            <v>9.343</v>
          </cell>
          <cell r="BR186">
            <v>9.4390000000000001</v>
          </cell>
          <cell r="BS186">
            <v>9.5370000000000008</v>
          </cell>
          <cell r="BT186">
            <v>9.6229999999999993</v>
          </cell>
          <cell r="BU186">
            <v>9.6929999999999996</v>
          </cell>
          <cell r="BV186">
            <v>9.7479999999999993</v>
          </cell>
          <cell r="BW186">
            <v>9.7840000000000007</v>
          </cell>
          <cell r="BX186">
            <v>9.8160000000000007</v>
          </cell>
        </row>
        <row r="187">
          <cell r="C187" t="str">
            <v>Saint Kitts and Nevis</v>
          </cell>
          <cell r="E187">
            <v>659</v>
          </cell>
          <cell r="F187" t="str">
            <v>Country</v>
          </cell>
          <cell r="G187">
            <v>915</v>
          </cell>
          <cell r="H187">
            <v>46.048999999999999</v>
          </cell>
          <cell r="I187">
            <v>46.143000000000001</v>
          </cell>
          <cell r="J187">
            <v>46.488999999999997</v>
          </cell>
          <cell r="K187">
            <v>47.052</v>
          </cell>
          <cell r="L187">
            <v>47.737000000000002</v>
          </cell>
          <cell r="M187">
            <v>48.491999999999997</v>
          </cell>
          <cell r="N187">
            <v>49.250999999999998</v>
          </cell>
          <cell r="O187">
            <v>49.951000000000001</v>
          </cell>
          <cell r="P187">
            <v>50.543999999999997</v>
          </cell>
          <cell r="Q187">
            <v>50.972999999999999</v>
          </cell>
          <cell r="R187">
            <v>51.195</v>
          </cell>
          <cell r="S187">
            <v>51.192</v>
          </cell>
          <cell r="T187">
            <v>50.963000000000001</v>
          </cell>
          <cell r="U187">
            <v>50.524999999999999</v>
          </cell>
          <cell r="V187">
            <v>49.930999999999997</v>
          </cell>
          <cell r="W187">
            <v>49.213999999999999</v>
          </cell>
          <cell r="X187">
            <v>48.357999999999997</v>
          </cell>
          <cell r="Y187">
            <v>47.381</v>
          </cell>
          <cell r="Z187">
            <v>46.396999999999998</v>
          </cell>
          <cell r="AA187">
            <v>45.533999999999999</v>
          </cell>
          <cell r="AB187">
            <v>44.883000000000003</v>
          </cell>
          <cell r="AC187">
            <v>44.49</v>
          </cell>
          <cell r="AD187">
            <v>44.32</v>
          </cell>
          <cell r="AE187">
            <v>44.311</v>
          </cell>
          <cell r="AF187">
            <v>44.328000000000003</v>
          </cell>
          <cell r="AG187">
            <v>44.271999999999998</v>
          </cell>
          <cell r="AH187">
            <v>44.143000000000001</v>
          </cell>
          <cell r="AI187">
            <v>43.942</v>
          </cell>
          <cell r="AJ187">
            <v>43.707999999999998</v>
          </cell>
          <cell r="AK187">
            <v>43.454999999999998</v>
          </cell>
          <cell r="AL187">
            <v>43.204999999999998</v>
          </cell>
          <cell r="AM187">
            <v>42.96</v>
          </cell>
          <cell r="AN187">
            <v>42.728000000000002</v>
          </cell>
          <cell r="AO187">
            <v>42.481999999999999</v>
          </cell>
          <cell r="AP187">
            <v>42.198999999999998</v>
          </cell>
          <cell r="AQ187">
            <v>41.866</v>
          </cell>
          <cell r="AR187">
            <v>41.478999999999999</v>
          </cell>
          <cell r="AS187">
            <v>41.040999999999997</v>
          </cell>
          <cell r="AT187">
            <v>40.640999999999998</v>
          </cell>
          <cell r="AU187">
            <v>40.353999999999999</v>
          </cell>
          <cell r="AV187">
            <v>40.259</v>
          </cell>
          <cell r="AW187">
            <v>40.378999999999998</v>
          </cell>
          <cell r="AX187">
            <v>40.697000000000003</v>
          </cell>
          <cell r="AY187">
            <v>41.134999999999998</v>
          </cell>
          <cell r="AZ187">
            <v>41.616999999999997</v>
          </cell>
          <cell r="BA187">
            <v>42.073999999999998</v>
          </cell>
          <cell r="BB187">
            <v>42.475000000000001</v>
          </cell>
          <cell r="BC187">
            <v>42.853999999999999</v>
          </cell>
          <cell r="BD187">
            <v>43.220999999999997</v>
          </cell>
          <cell r="BE187">
            <v>43.613999999999997</v>
          </cell>
          <cell r="BF187">
            <v>44.073999999999998</v>
          </cell>
          <cell r="BG187">
            <v>44.598999999999997</v>
          </cell>
          <cell r="BH187">
            <v>45.164999999999999</v>
          </cell>
          <cell r="BI187">
            <v>45.746000000000002</v>
          </cell>
          <cell r="BJ187">
            <v>46.323999999999998</v>
          </cell>
          <cell r="BK187">
            <v>46.856999999999999</v>
          </cell>
          <cell r="BL187">
            <v>47.338999999999999</v>
          </cell>
          <cell r="BM187">
            <v>47.777999999999999</v>
          </cell>
          <cell r="BN187">
            <v>48.185000000000002</v>
          </cell>
          <cell r="BO187">
            <v>48.598999999999997</v>
          </cell>
          <cell r="BP187">
            <v>49.015999999999998</v>
          </cell>
          <cell r="BQ187">
            <v>49.447000000000003</v>
          </cell>
          <cell r="BR187">
            <v>49.887</v>
          </cell>
          <cell r="BS187">
            <v>50.331000000000003</v>
          </cell>
          <cell r="BT187">
            <v>50.774000000000001</v>
          </cell>
          <cell r="BU187">
            <v>51.203000000000003</v>
          </cell>
          <cell r="BV187">
            <v>51.625</v>
          </cell>
          <cell r="BW187">
            <v>52.045000000000002</v>
          </cell>
          <cell r="BX187">
            <v>52.441000000000003</v>
          </cell>
        </row>
        <row r="188">
          <cell r="C188" t="str">
            <v>Saint Lucia</v>
          </cell>
          <cell r="E188">
            <v>662</v>
          </cell>
          <cell r="F188" t="str">
            <v>Country</v>
          </cell>
          <cell r="G188">
            <v>915</v>
          </cell>
          <cell r="H188">
            <v>82.784000000000006</v>
          </cell>
          <cell r="I188">
            <v>83.82</v>
          </cell>
          <cell r="J188">
            <v>84.658000000000001</v>
          </cell>
          <cell r="K188">
            <v>85.352999999999994</v>
          </cell>
          <cell r="L188">
            <v>85.94</v>
          </cell>
          <cell r="M188">
            <v>86.477000000000004</v>
          </cell>
          <cell r="N188">
            <v>86.977999999999994</v>
          </cell>
          <cell r="O188">
            <v>87.519000000000005</v>
          </cell>
          <cell r="P188">
            <v>88.13</v>
          </cell>
          <cell r="Q188">
            <v>88.835999999999999</v>
          </cell>
          <cell r="R188">
            <v>89.697000000000003</v>
          </cell>
          <cell r="S188">
            <v>90.715999999999994</v>
          </cell>
          <cell r="T188">
            <v>91.891000000000005</v>
          </cell>
          <cell r="U188">
            <v>93.210999999999999</v>
          </cell>
          <cell r="V188">
            <v>94.635999999999996</v>
          </cell>
          <cell r="W188">
            <v>96.134</v>
          </cell>
          <cell r="X188">
            <v>97.715000000000003</v>
          </cell>
          <cell r="Y188">
            <v>99.364999999999995</v>
          </cell>
          <cell r="Z188">
            <v>101.035</v>
          </cell>
          <cell r="AA188">
            <v>102.59699999999999</v>
          </cell>
          <cell r="AB188">
            <v>104.015</v>
          </cell>
          <cell r="AC188">
            <v>105.247</v>
          </cell>
          <cell r="AD188">
            <v>106.31</v>
          </cell>
          <cell r="AE188">
            <v>107.32</v>
          </cell>
          <cell r="AF188">
            <v>108.39100000000001</v>
          </cell>
          <cell r="AG188">
            <v>109.627</v>
          </cell>
          <cell r="AH188">
            <v>111.06699999999999</v>
          </cell>
          <cell r="AI188">
            <v>112.685</v>
          </cell>
          <cell r="AJ188">
            <v>114.4</v>
          </cell>
          <cell r="AK188">
            <v>116.136</v>
          </cell>
          <cell r="AL188">
            <v>117.822</v>
          </cell>
          <cell r="AM188">
            <v>119.43</v>
          </cell>
          <cell r="AN188">
            <v>120.988</v>
          </cell>
          <cell r="AO188">
            <v>122.56399999999999</v>
          </cell>
          <cell r="AP188">
            <v>124.292</v>
          </cell>
          <cell r="AQ188">
            <v>126.244</v>
          </cell>
          <cell r="AR188">
            <v>128.44900000000001</v>
          </cell>
          <cell r="AS188">
            <v>130.85599999999999</v>
          </cell>
          <cell r="AT188">
            <v>133.36699999999999</v>
          </cell>
          <cell r="AU188">
            <v>135.78800000000001</v>
          </cell>
          <cell r="AV188">
            <v>138.02000000000001</v>
          </cell>
          <cell r="AW188">
            <v>139.995</v>
          </cell>
          <cell r="AX188">
            <v>141.76</v>
          </cell>
          <cell r="AY188">
            <v>143.40899999999999</v>
          </cell>
          <cell r="AZ188">
            <v>145.083</v>
          </cell>
          <cell r="BA188">
            <v>146.87</v>
          </cell>
          <cell r="BB188">
            <v>148.834</v>
          </cell>
          <cell r="BC188">
            <v>150.91300000000001</v>
          </cell>
          <cell r="BD188">
            <v>153.02099999999999</v>
          </cell>
          <cell r="BE188">
            <v>154.995</v>
          </cell>
          <cell r="BF188">
            <v>156.72900000000001</v>
          </cell>
          <cell r="BG188">
            <v>158.179</v>
          </cell>
          <cell r="BH188">
            <v>159.392</v>
          </cell>
          <cell r="BI188">
            <v>160.53</v>
          </cell>
          <cell r="BJ188">
            <v>161.816</v>
          </cell>
          <cell r="BK188">
            <v>163.417</v>
          </cell>
          <cell r="BL188">
            <v>165.381</v>
          </cell>
          <cell r="BM188">
            <v>167.63900000000001</v>
          </cell>
          <cell r="BN188">
            <v>170.011</v>
          </cell>
          <cell r="BO188">
            <v>172.221</v>
          </cell>
          <cell r="BP188">
            <v>174.08500000000001</v>
          </cell>
          <cell r="BQ188">
            <v>175.54400000000001</v>
          </cell>
          <cell r="BR188">
            <v>176.64599999999999</v>
          </cell>
          <cell r="BS188">
            <v>177.51300000000001</v>
          </cell>
          <cell r="BT188">
            <v>178.29599999999999</v>
          </cell>
          <cell r="BU188">
            <v>179.126</v>
          </cell>
          <cell r="BV188">
            <v>180.024</v>
          </cell>
          <cell r="BW188">
            <v>180.95400000000001</v>
          </cell>
          <cell r="BX188">
            <v>181.88900000000001</v>
          </cell>
        </row>
        <row r="189">
          <cell r="C189" t="str">
            <v>Saint Vincent and the Grenadines</v>
          </cell>
          <cell r="E189">
            <v>670</v>
          </cell>
          <cell r="F189" t="str">
            <v>Country</v>
          </cell>
          <cell r="G189">
            <v>915</v>
          </cell>
          <cell r="H189">
            <v>66.998000000000005</v>
          </cell>
          <cell r="I189">
            <v>68.076999999999998</v>
          </cell>
          <cell r="J189">
            <v>69.281999999999996</v>
          </cell>
          <cell r="K189">
            <v>70.617999999999995</v>
          </cell>
          <cell r="L189">
            <v>72.042000000000002</v>
          </cell>
          <cell r="M189">
            <v>73.554000000000002</v>
          </cell>
          <cell r="N189">
            <v>75.106999999999999</v>
          </cell>
          <cell r="O189">
            <v>76.667000000000002</v>
          </cell>
          <cell r="P189">
            <v>78.19</v>
          </cell>
          <cell r="Q189">
            <v>79.635999999999996</v>
          </cell>
          <cell r="R189">
            <v>80.977000000000004</v>
          </cell>
          <cell r="S189">
            <v>82.168999999999997</v>
          </cell>
          <cell r="T189">
            <v>83.236999999999995</v>
          </cell>
          <cell r="U189">
            <v>84.197999999999993</v>
          </cell>
          <cell r="V189">
            <v>85.111000000000004</v>
          </cell>
          <cell r="W189">
            <v>86.010999999999996</v>
          </cell>
          <cell r="X189">
            <v>86.903000000000006</v>
          </cell>
          <cell r="Y189">
            <v>87.777000000000001</v>
          </cell>
          <cell r="Z189">
            <v>88.662000000000006</v>
          </cell>
          <cell r="AA189">
            <v>89.567999999999998</v>
          </cell>
          <cell r="AB189">
            <v>90.509</v>
          </cell>
          <cell r="AC189">
            <v>91.491</v>
          </cell>
          <cell r="AD189">
            <v>92.513000000000005</v>
          </cell>
          <cell r="AE189">
            <v>93.570999999999998</v>
          </cell>
          <cell r="AF189">
            <v>94.614000000000004</v>
          </cell>
          <cell r="AG189">
            <v>95.662000000000006</v>
          </cell>
          <cell r="AH189">
            <v>96.691999999999993</v>
          </cell>
          <cell r="AI189">
            <v>97.700999999999993</v>
          </cell>
          <cell r="AJ189">
            <v>98.697000000000003</v>
          </cell>
          <cell r="AK189">
            <v>99.649000000000001</v>
          </cell>
          <cell r="AL189">
            <v>100.566</v>
          </cell>
          <cell r="AM189">
            <v>101.437</v>
          </cell>
          <cell r="AN189">
            <v>102.256</v>
          </cell>
          <cell r="AO189">
            <v>103.032</v>
          </cell>
          <cell r="AP189">
            <v>103.779</v>
          </cell>
          <cell r="AQ189">
            <v>104.506</v>
          </cell>
          <cell r="AR189">
            <v>105.217</v>
          </cell>
          <cell r="AS189">
            <v>105.90600000000001</v>
          </cell>
          <cell r="AT189">
            <v>106.532</v>
          </cell>
          <cell r="AU189">
            <v>107.071</v>
          </cell>
          <cell r="AV189">
            <v>107.48399999999999</v>
          </cell>
          <cell r="AW189">
            <v>107.776</v>
          </cell>
          <cell r="AX189">
            <v>107.95</v>
          </cell>
          <cell r="AY189">
            <v>108.033</v>
          </cell>
          <cell r="AZ189">
            <v>108.053</v>
          </cell>
          <cell r="BA189">
            <v>108.035</v>
          </cell>
          <cell r="BB189">
            <v>107.976</v>
          </cell>
          <cell r="BC189">
            <v>107.895</v>
          </cell>
          <cell r="BD189">
            <v>107.801</v>
          </cell>
          <cell r="BE189">
            <v>107.758</v>
          </cell>
          <cell r="BF189">
            <v>107.78400000000001</v>
          </cell>
          <cell r="BG189">
            <v>107.896</v>
          </cell>
          <cell r="BH189">
            <v>108.09699999999999</v>
          </cell>
          <cell r="BI189">
            <v>108.32599999999999</v>
          </cell>
          <cell r="BJ189">
            <v>108.512</v>
          </cell>
          <cell r="BK189">
            <v>108.614</v>
          </cell>
          <cell r="BL189">
            <v>108.60299999999999</v>
          </cell>
          <cell r="BM189">
            <v>108.518</v>
          </cell>
          <cell r="BN189">
            <v>108.393</v>
          </cell>
          <cell r="BO189">
            <v>108.28700000000001</v>
          </cell>
          <cell r="BP189">
            <v>108.255</v>
          </cell>
          <cell r="BQ189">
            <v>108.316</v>
          </cell>
          <cell r="BR189">
            <v>108.435</v>
          </cell>
          <cell r="BS189">
            <v>108.622</v>
          </cell>
          <cell r="BT189">
            <v>108.861</v>
          </cell>
          <cell r="BU189">
            <v>109.148</v>
          </cell>
          <cell r="BV189">
            <v>109.459</v>
          </cell>
          <cell r="BW189">
            <v>109.827</v>
          </cell>
          <cell r="BX189">
            <v>110.211</v>
          </cell>
        </row>
        <row r="190">
          <cell r="C190" t="str">
            <v>Sint Maarten (Dutch part)</v>
          </cell>
          <cell r="E190">
            <v>534</v>
          </cell>
          <cell r="F190" t="str">
            <v>Country</v>
          </cell>
          <cell r="G190">
            <v>915</v>
          </cell>
          <cell r="H190">
            <v>1.4990000000000001</v>
          </cell>
          <cell r="I190">
            <v>1.6659999999999999</v>
          </cell>
          <cell r="J190">
            <v>1.8</v>
          </cell>
          <cell r="K190">
            <v>1.9119999999999999</v>
          </cell>
          <cell r="L190">
            <v>2.0089999999999999</v>
          </cell>
          <cell r="M190">
            <v>2.1080000000000001</v>
          </cell>
          <cell r="N190">
            <v>2.2130000000000001</v>
          </cell>
          <cell r="O190">
            <v>2.3220000000000001</v>
          </cell>
          <cell r="P190">
            <v>2.4630000000000001</v>
          </cell>
          <cell r="Q190">
            <v>2.629</v>
          </cell>
          <cell r="R190">
            <v>2.8330000000000002</v>
          </cell>
          <cell r="S190">
            <v>3.077</v>
          </cell>
          <cell r="T190">
            <v>3.3719999999999999</v>
          </cell>
          <cell r="U190">
            <v>3.6960000000000002</v>
          </cell>
          <cell r="V190">
            <v>4.0670000000000002</v>
          </cell>
          <cell r="W190">
            <v>4.4589999999999996</v>
          </cell>
          <cell r="X190">
            <v>4.8940000000000001</v>
          </cell>
          <cell r="Y190">
            <v>5.3659999999999997</v>
          </cell>
          <cell r="Z190">
            <v>5.859</v>
          </cell>
          <cell r="AA190">
            <v>6.3570000000000002</v>
          </cell>
          <cell r="AB190">
            <v>6.8639999999999999</v>
          </cell>
          <cell r="AC190">
            <v>7.3760000000000003</v>
          </cell>
          <cell r="AD190">
            <v>7.899</v>
          </cell>
          <cell r="AE190">
            <v>8.4280000000000008</v>
          </cell>
          <cell r="AF190">
            <v>8.9779999999999998</v>
          </cell>
          <cell r="AG190">
            <v>9.5570000000000004</v>
          </cell>
          <cell r="AH190">
            <v>10.157999999999999</v>
          </cell>
          <cell r="AI190">
            <v>10.797000000000001</v>
          </cell>
          <cell r="AJ190">
            <v>11.475</v>
          </cell>
          <cell r="AK190">
            <v>12.244999999999999</v>
          </cell>
          <cell r="AL190">
            <v>13.1</v>
          </cell>
          <cell r="AM190">
            <v>14.034000000000001</v>
          </cell>
          <cell r="AN190">
            <v>15.035</v>
          </cell>
          <cell r="AO190">
            <v>16.170000000000002</v>
          </cell>
          <cell r="AP190">
            <v>17.523</v>
          </cell>
          <cell r="AQ190">
            <v>19.123000000000001</v>
          </cell>
          <cell r="AR190">
            <v>21.021000000000001</v>
          </cell>
          <cell r="AS190">
            <v>23.157</v>
          </cell>
          <cell r="AT190">
            <v>25.332000000000001</v>
          </cell>
          <cell r="AU190">
            <v>27.280999999999999</v>
          </cell>
          <cell r="AV190">
            <v>28.812000000000001</v>
          </cell>
          <cell r="AW190">
            <v>29.847000000000001</v>
          </cell>
          <cell r="AX190">
            <v>30.457000000000001</v>
          </cell>
          <cell r="AY190">
            <v>30.762</v>
          </cell>
          <cell r="AZ190">
            <v>30.95</v>
          </cell>
          <cell r="BA190">
            <v>31.16</v>
          </cell>
          <cell r="BB190">
            <v>31.436</v>
          </cell>
          <cell r="BC190">
            <v>31.728999999999999</v>
          </cell>
          <cell r="BD190">
            <v>32.040999999999997</v>
          </cell>
          <cell r="BE190">
            <v>32.323999999999998</v>
          </cell>
          <cell r="BF190">
            <v>32.564</v>
          </cell>
          <cell r="BG190">
            <v>32.790999999999997</v>
          </cell>
          <cell r="BH190">
            <v>32.994</v>
          </cell>
          <cell r="BI190">
            <v>33.191000000000003</v>
          </cell>
          <cell r="BJ190">
            <v>33.341000000000001</v>
          </cell>
          <cell r="BK190">
            <v>33.433999999999997</v>
          </cell>
          <cell r="BL190">
            <v>33.442999999999998</v>
          </cell>
          <cell r="BM190">
            <v>33.402999999999999</v>
          </cell>
          <cell r="BN190">
            <v>33.423999999999999</v>
          </cell>
          <cell r="BO190">
            <v>33.646999999999998</v>
          </cell>
          <cell r="BP190">
            <v>34.167999999999999</v>
          </cell>
          <cell r="BQ190">
            <v>35.058</v>
          </cell>
          <cell r="BR190">
            <v>36.241</v>
          </cell>
          <cell r="BS190">
            <v>37.582999999999998</v>
          </cell>
          <cell r="BT190">
            <v>38.875999999999998</v>
          </cell>
          <cell r="BU190">
            <v>39.968000000000004</v>
          </cell>
          <cell r="BV190">
            <v>40.808</v>
          </cell>
          <cell r="BW190">
            <v>41.444000000000003</v>
          </cell>
          <cell r="BX190">
            <v>41.94</v>
          </cell>
        </row>
        <row r="191">
          <cell r="C191" t="str">
            <v>Saint-Martin (French part)</v>
          </cell>
          <cell r="E191">
            <v>663</v>
          </cell>
          <cell r="F191" t="str">
            <v>Country</v>
          </cell>
          <cell r="G191">
            <v>915</v>
          </cell>
          <cell r="H191">
            <v>3.0030000000000001</v>
          </cell>
          <cell r="I191">
            <v>3.109</v>
          </cell>
          <cell r="J191">
            <v>3.1890000000000001</v>
          </cell>
          <cell r="K191">
            <v>3.2629999999999999</v>
          </cell>
          <cell r="L191">
            <v>3.3279999999999998</v>
          </cell>
          <cell r="M191">
            <v>3.4079999999999999</v>
          </cell>
          <cell r="N191">
            <v>3.4929999999999999</v>
          </cell>
          <cell r="O191">
            <v>3.5880000000000001</v>
          </cell>
          <cell r="P191">
            <v>3.6920000000000002</v>
          </cell>
          <cell r="Q191">
            <v>3.798</v>
          </cell>
          <cell r="R191">
            <v>3.8929999999999998</v>
          </cell>
          <cell r="S191">
            <v>3.9889999999999999</v>
          </cell>
          <cell r="T191">
            <v>4.0759999999999996</v>
          </cell>
          <cell r="U191">
            <v>4.1829999999999998</v>
          </cell>
          <cell r="V191">
            <v>4.3079999999999998</v>
          </cell>
          <cell r="W191">
            <v>4.468</v>
          </cell>
          <cell r="X191">
            <v>4.6849999999999996</v>
          </cell>
          <cell r="Y191">
            <v>4.92</v>
          </cell>
          <cell r="Z191">
            <v>5.1929999999999996</v>
          </cell>
          <cell r="AA191">
            <v>5.4589999999999996</v>
          </cell>
          <cell r="AB191">
            <v>5.7119999999999997</v>
          </cell>
          <cell r="AC191">
            <v>5.944</v>
          </cell>
          <cell r="AD191">
            <v>6.1559999999999997</v>
          </cell>
          <cell r="AE191">
            <v>6.3680000000000003</v>
          </cell>
          <cell r="AF191">
            <v>6.6070000000000002</v>
          </cell>
          <cell r="AG191">
            <v>6.8810000000000002</v>
          </cell>
          <cell r="AH191">
            <v>7.2460000000000004</v>
          </cell>
          <cell r="AI191">
            <v>7.718</v>
          </cell>
          <cell r="AJ191">
            <v>8.19</v>
          </cell>
          <cell r="AK191">
            <v>8.5570000000000004</v>
          </cell>
          <cell r="AL191">
            <v>8.7710000000000008</v>
          </cell>
          <cell r="AM191">
            <v>8.6780000000000008</v>
          </cell>
          <cell r="AN191">
            <v>8.3689999999999998</v>
          </cell>
          <cell r="AO191">
            <v>8.2940000000000005</v>
          </cell>
          <cell r="AP191">
            <v>9.0609999999999999</v>
          </cell>
          <cell r="AQ191">
            <v>11.061</v>
          </cell>
          <cell r="AR191">
            <v>14.558999999999999</v>
          </cell>
          <cell r="AS191">
            <v>19.274999999999999</v>
          </cell>
          <cell r="AT191">
            <v>24.378</v>
          </cell>
          <cell r="AU191">
            <v>28.722000000000001</v>
          </cell>
          <cell r="AV191">
            <v>31.52</v>
          </cell>
          <cell r="AW191">
            <v>32.448999999999998</v>
          </cell>
          <cell r="AX191">
            <v>31.811</v>
          </cell>
          <cell r="AY191">
            <v>30.2</v>
          </cell>
          <cell r="AZ191">
            <v>28.484000000000002</v>
          </cell>
          <cell r="BA191">
            <v>27.321000000000002</v>
          </cell>
          <cell r="BB191">
            <v>26.849</v>
          </cell>
          <cell r="BC191">
            <v>26.908999999999999</v>
          </cell>
          <cell r="BD191">
            <v>27.391999999999999</v>
          </cell>
          <cell r="BE191">
            <v>28.116</v>
          </cell>
          <cell r="BF191">
            <v>28.934999999999999</v>
          </cell>
          <cell r="BG191">
            <v>29.853000000000002</v>
          </cell>
          <cell r="BH191">
            <v>30.91</v>
          </cell>
          <cell r="BI191">
            <v>32.052999999999997</v>
          </cell>
          <cell r="BJ191">
            <v>33.186</v>
          </cell>
          <cell r="BK191">
            <v>34.247999999999998</v>
          </cell>
          <cell r="BL191">
            <v>35.237000000000002</v>
          </cell>
          <cell r="BM191">
            <v>36.137</v>
          </cell>
          <cell r="BN191">
            <v>36.884999999999998</v>
          </cell>
          <cell r="BO191">
            <v>37.377000000000002</v>
          </cell>
          <cell r="BP191">
            <v>37.582000000000001</v>
          </cell>
          <cell r="BQ191">
            <v>37.445999999999998</v>
          </cell>
          <cell r="BR191">
            <v>37.009</v>
          </cell>
          <cell r="BS191">
            <v>36.453000000000003</v>
          </cell>
          <cell r="BT191">
            <v>36.015000000000001</v>
          </cell>
          <cell r="BU191">
            <v>35.857999999999997</v>
          </cell>
          <cell r="BV191">
            <v>36.064999999999998</v>
          </cell>
          <cell r="BW191">
            <v>36.56</v>
          </cell>
          <cell r="BX191">
            <v>37.264000000000003</v>
          </cell>
        </row>
        <row r="192">
          <cell r="C192" t="str">
            <v>Trinidad and Tobago</v>
          </cell>
          <cell r="E192">
            <v>780</v>
          </cell>
          <cell r="F192" t="str">
            <v>Country</v>
          </cell>
          <cell r="G192">
            <v>915</v>
          </cell>
          <cell r="H192">
            <v>645.63499999999999</v>
          </cell>
          <cell r="I192">
            <v>658.74900000000002</v>
          </cell>
          <cell r="J192">
            <v>675.58900000000006</v>
          </cell>
          <cell r="K192">
            <v>695.24300000000005</v>
          </cell>
          <cell r="L192">
            <v>716.88300000000004</v>
          </cell>
          <cell r="M192">
            <v>739.70899999999995</v>
          </cell>
          <cell r="N192">
            <v>762.97900000000004</v>
          </cell>
          <cell r="O192">
            <v>786.03300000000002</v>
          </cell>
          <cell r="P192">
            <v>808.23299999999995</v>
          </cell>
          <cell r="Q192">
            <v>829.01900000000001</v>
          </cell>
          <cell r="R192">
            <v>847.97900000000004</v>
          </cell>
          <cell r="S192">
            <v>864.81799999999998</v>
          </cell>
          <cell r="T192">
            <v>879.44100000000003</v>
          </cell>
          <cell r="U192">
            <v>891.94399999999996</v>
          </cell>
          <cell r="V192">
            <v>902.61300000000006</v>
          </cell>
          <cell r="W192">
            <v>911.73699999999997</v>
          </cell>
          <cell r="X192">
            <v>919.21699999999998</v>
          </cell>
          <cell r="Y192">
            <v>925.23500000000001</v>
          </cell>
          <cell r="Z192">
            <v>930.79499999999996</v>
          </cell>
          <cell r="AA192">
            <v>937.18600000000004</v>
          </cell>
          <cell r="AB192">
            <v>945.36</v>
          </cell>
          <cell r="AC192">
            <v>955.74099999999999</v>
          </cell>
          <cell r="AD192">
            <v>968.13599999999997</v>
          </cell>
          <cell r="AE192">
            <v>982.01</v>
          </cell>
          <cell r="AF192">
            <v>996.49300000000005</v>
          </cell>
          <cell r="AG192">
            <v>1010.936</v>
          </cell>
          <cell r="AH192">
            <v>1025.107</v>
          </cell>
          <cell r="AI192">
            <v>1039.212</v>
          </cell>
          <cell r="AJ192">
            <v>1053.558</v>
          </cell>
          <cell r="AK192">
            <v>1068.6400000000001</v>
          </cell>
          <cell r="AL192">
            <v>1084.7439999999999</v>
          </cell>
          <cell r="AM192">
            <v>1101.9829999999999</v>
          </cell>
          <cell r="AN192">
            <v>1120.02</v>
          </cell>
          <cell r="AO192">
            <v>1138.0709999999999</v>
          </cell>
          <cell r="AP192">
            <v>1155.0740000000001</v>
          </cell>
          <cell r="AQ192">
            <v>1170.2850000000001</v>
          </cell>
          <cell r="AR192">
            <v>1183.3810000000001</v>
          </cell>
          <cell r="AS192">
            <v>1194.5409999999999</v>
          </cell>
          <cell r="AT192">
            <v>1204.153</v>
          </cell>
          <cell r="AU192">
            <v>1212.857</v>
          </cell>
          <cell r="AV192">
            <v>1221.116</v>
          </cell>
          <cell r="AW192">
            <v>1229.1030000000001</v>
          </cell>
          <cell r="AX192">
            <v>1236.683</v>
          </cell>
          <cell r="AY192">
            <v>1243.616</v>
          </cell>
          <cell r="AZ192">
            <v>1249.52</v>
          </cell>
          <cell r="BA192">
            <v>1254.2</v>
          </cell>
          <cell r="BB192">
            <v>1257.549</v>
          </cell>
          <cell r="BC192">
            <v>1259.848</v>
          </cell>
          <cell r="BD192">
            <v>1261.6949999999999</v>
          </cell>
          <cell r="BE192">
            <v>1263.933</v>
          </cell>
          <cell r="BF192">
            <v>1267.153</v>
          </cell>
          <cell r="BG192">
            <v>1271.6320000000001</v>
          </cell>
          <cell r="BH192">
            <v>1277.213</v>
          </cell>
          <cell r="BI192">
            <v>1283.559</v>
          </cell>
          <cell r="BJ192">
            <v>1290.123</v>
          </cell>
          <cell r="BK192">
            <v>1296.502</v>
          </cell>
          <cell r="BL192">
            <v>1302.5609999999999</v>
          </cell>
          <cell r="BM192">
            <v>1308.451</v>
          </cell>
          <cell r="BN192">
            <v>1314.443</v>
          </cell>
          <cell r="BO192">
            <v>1320.93</v>
          </cell>
          <cell r="BP192">
            <v>1328.1469999999999</v>
          </cell>
          <cell r="BQ192">
            <v>1336.1780000000001</v>
          </cell>
          <cell r="BR192">
            <v>1344.819</v>
          </cell>
          <cell r="BS192">
            <v>1353.703</v>
          </cell>
          <cell r="BT192">
            <v>1362.345</v>
          </cell>
          <cell r="BU192">
            <v>1370.328</v>
          </cell>
          <cell r="BV192">
            <v>1377.56</v>
          </cell>
          <cell r="BW192">
            <v>1384.059</v>
          </cell>
          <cell r="BX192">
            <v>1389.8430000000001</v>
          </cell>
        </row>
        <row r="193">
          <cell r="C193" t="str">
            <v>Turks and Caicos Islands</v>
          </cell>
          <cell r="E193">
            <v>796</v>
          </cell>
          <cell r="F193" t="str">
            <v>Country</v>
          </cell>
          <cell r="G193">
            <v>915</v>
          </cell>
          <cell r="H193">
            <v>5.0510000000000002</v>
          </cell>
          <cell r="I193">
            <v>4.9939999999999998</v>
          </cell>
          <cell r="J193">
            <v>4.9939999999999998</v>
          </cell>
          <cell r="K193">
            <v>5.0430000000000001</v>
          </cell>
          <cell r="L193">
            <v>5.13</v>
          </cell>
          <cell r="M193">
            <v>5.2380000000000004</v>
          </cell>
          <cell r="N193">
            <v>5.3769999999999998</v>
          </cell>
          <cell r="O193">
            <v>5.5119999999999996</v>
          </cell>
          <cell r="P193">
            <v>5.6360000000000001</v>
          </cell>
          <cell r="Q193">
            <v>5.7469999999999999</v>
          </cell>
          <cell r="R193">
            <v>5.8239999999999998</v>
          </cell>
          <cell r="S193">
            <v>5.8739999999999997</v>
          </cell>
          <cell r="T193">
            <v>5.8840000000000003</v>
          </cell>
          <cell r="U193">
            <v>5.87</v>
          </cell>
          <cell r="V193">
            <v>5.8479999999999999</v>
          </cell>
          <cell r="W193">
            <v>5.8230000000000004</v>
          </cell>
          <cell r="X193">
            <v>5.7910000000000004</v>
          </cell>
          <cell r="Y193">
            <v>5.7640000000000002</v>
          </cell>
          <cell r="Z193">
            <v>5.7439999999999998</v>
          </cell>
          <cell r="AA193">
            <v>5.7729999999999997</v>
          </cell>
          <cell r="AB193">
            <v>5.8410000000000002</v>
          </cell>
          <cell r="AC193">
            <v>5.9710000000000001</v>
          </cell>
          <cell r="AD193">
            <v>6.157</v>
          </cell>
          <cell r="AE193">
            <v>6.3810000000000002</v>
          </cell>
          <cell r="AF193">
            <v>6.6059999999999999</v>
          </cell>
          <cell r="AG193">
            <v>6.827</v>
          </cell>
          <cell r="AH193">
            <v>7.0149999999999997</v>
          </cell>
          <cell r="AI193">
            <v>7.1980000000000004</v>
          </cell>
          <cell r="AJ193">
            <v>7.3849999999999998</v>
          </cell>
          <cell r="AK193">
            <v>7.6130000000000004</v>
          </cell>
          <cell r="AL193">
            <v>7.8879999999999999</v>
          </cell>
          <cell r="AM193">
            <v>8.2349999999999994</v>
          </cell>
          <cell r="AN193">
            <v>8.6539999999999999</v>
          </cell>
          <cell r="AO193">
            <v>9.1039999999999992</v>
          </cell>
          <cell r="AP193">
            <v>9.5559999999999992</v>
          </cell>
          <cell r="AQ193">
            <v>9.9700000000000006</v>
          </cell>
          <cell r="AR193">
            <v>10.356999999999999</v>
          </cell>
          <cell r="AS193">
            <v>10.724</v>
          </cell>
          <cell r="AT193">
            <v>11.093</v>
          </cell>
          <cell r="AU193">
            <v>11.548</v>
          </cell>
          <cell r="AV193">
            <v>12.111000000000001</v>
          </cell>
          <cell r="AW193">
            <v>12.811</v>
          </cell>
          <cell r="AX193">
            <v>13.632</v>
          </cell>
          <cell r="AY193">
            <v>14.526</v>
          </cell>
          <cell r="AZ193">
            <v>15.407</v>
          </cell>
          <cell r="BA193">
            <v>16.216000000000001</v>
          </cell>
          <cell r="BB193">
            <v>16.925999999999998</v>
          </cell>
          <cell r="BC193">
            <v>17.567</v>
          </cell>
          <cell r="BD193">
            <v>18.231999999999999</v>
          </cell>
          <cell r="BE193">
            <v>19.065000000000001</v>
          </cell>
          <cell r="BF193">
            <v>20.164000000000001</v>
          </cell>
          <cell r="BG193">
            <v>21.573</v>
          </cell>
          <cell r="BH193">
            <v>23.231999999999999</v>
          </cell>
          <cell r="BI193">
            <v>25.010999999999999</v>
          </cell>
          <cell r="BJ193">
            <v>26.7</v>
          </cell>
          <cell r="BK193">
            <v>28.18</v>
          </cell>
          <cell r="BL193">
            <v>29.390999999999998</v>
          </cell>
          <cell r="BM193">
            <v>30.385000000000002</v>
          </cell>
          <cell r="BN193">
            <v>31.202000000000002</v>
          </cell>
          <cell r="BO193">
            <v>31.934000000000001</v>
          </cell>
          <cell r="BP193">
            <v>32.659999999999997</v>
          </cell>
          <cell r="BQ193">
            <v>33.377000000000002</v>
          </cell>
          <cell r="BR193">
            <v>34.066000000000003</v>
          </cell>
          <cell r="BS193">
            <v>34.731000000000002</v>
          </cell>
          <cell r="BT193">
            <v>35.369</v>
          </cell>
          <cell r="BU193">
            <v>35.981000000000002</v>
          </cell>
          <cell r="BV193">
            <v>36.558999999999997</v>
          </cell>
          <cell r="BW193">
            <v>37.115000000000002</v>
          </cell>
          <cell r="BX193">
            <v>37.664999999999999</v>
          </cell>
        </row>
        <row r="194">
          <cell r="C194" t="str">
            <v>United States Virgin Islands</v>
          </cell>
          <cell r="E194">
            <v>850</v>
          </cell>
          <cell r="F194" t="str">
            <v>Country</v>
          </cell>
          <cell r="G194">
            <v>915</v>
          </cell>
          <cell r="H194">
            <v>26.797000000000001</v>
          </cell>
          <cell r="I194">
            <v>27.373999999999999</v>
          </cell>
          <cell r="J194">
            <v>28.122</v>
          </cell>
          <cell r="K194">
            <v>28.821999999999999</v>
          </cell>
          <cell r="L194">
            <v>29.349</v>
          </cell>
          <cell r="M194">
            <v>29.681999999999999</v>
          </cell>
          <cell r="N194">
            <v>29.856000000000002</v>
          </cell>
          <cell r="O194">
            <v>30.055</v>
          </cell>
          <cell r="P194">
            <v>30.491</v>
          </cell>
          <cell r="Q194">
            <v>31.439</v>
          </cell>
          <cell r="R194">
            <v>33.134999999999998</v>
          </cell>
          <cell r="S194">
            <v>35.716000000000001</v>
          </cell>
          <cell r="T194">
            <v>39.070999999999998</v>
          </cell>
          <cell r="U194">
            <v>42.901000000000003</v>
          </cell>
          <cell r="V194">
            <v>46.725999999999999</v>
          </cell>
          <cell r="W194">
            <v>50.232999999999997</v>
          </cell>
          <cell r="X194">
            <v>53.255000000000003</v>
          </cell>
          <cell r="Y194">
            <v>55.918999999999997</v>
          </cell>
          <cell r="Z194">
            <v>58.478000000000002</v>
          </cell>
          <cell r="AA194">
            <v>61.320999999999998</v>
          </cell>
          <cell r="AB194">
            <v>64.725999999999999</v>
          </cell>
          <cell r="AC194">
            <v>68.763999999999996</v>
          </cell>
          <cell r="AD194">
            <v>73.274000000000001</v>
          </cell>
          <cell r="AE194">
            <v>77.983000000000004</v>
          </cell>
          <cell r="AF194">
            <v>82.477000000000004</v>
          </cell>
          <cell r="AG194">
            <v>86.47</v>
          </cell>
          <cell r="AH194">
            <v>89.847999999999999</v>
          </cell>
          <cell r="AI194">
            <v>92.686999999999998</v>
          </cell>
          <cell r="AJ194">
            <v>95.075000000000003</v>
          </cell>
          <cell r="AK194">
            <v>97.165999999999997</v>
          </cell>
          <cell r="AL194">
            <v>99.08</v>
          </cell>
          <cell r="AM194">
            <v>100.872</v>
          </cell>
          <cell r="AN194">
            <v>102.474</v>
          </cell>
          <cell r="AO194">
            <v>103.821</v>
          </cell>
          <cell r="AP194">
            <v>104.771</v>
          </cell>
          <cell r="AQ194">
            <v>105.28</v>
          </cell>
          <cell r="AR194">
            <v>105.29</v>
          </cell>
          <cell r="AS194">
            <v>104.89</v>
          </cell>
          <cell r="AT194">
            <v>104.309</v>
          </cell>
          <cell r="AU194">
            <v>103.85599999999999</v>
          </cell>
          <cell r="AV194">
            <v>103.756</v>
          </cell>
          <cell r="AW194">
            <v>104.089</v>
          </cell>
          <cell r="AX194">
            <v>104.794</v>
          </cell>
          <cell r="AY194">
            <v>105.723</v>
          </cell>
          <cell r="AZ194">
            <v>106.646</v>
          </cell>
          <cell r="BA194">
            <v>107.392</v>
          </cell>
          <cell r="BB194">
            <v>107.931</v>
          </cell>
          <cell r="BC194">
            <v>108.309</v>
          </cell>
          <cell r="BD194">
            <v>108.556</v>
          </cell>
          <cell r="BE194">
            <v>108.68</v>
          </cell>
          <cell r="BF194">
            <v>108.72199999999999</v>
          </cell>
          <cell r="BG194">
            <v>108.691</v>
          </cell>
          <cell r="BH194">
            <v>108.56100000000001</v>
          </cell>
          <cell r="BI194">
            <v>108.36</v>
          </cell>
          <cell r="BJ194">
            <v>108.092</v>
          </cell>
          <cell r="BK194">
            <v>107.794</v>
          </cell>
          <cell r="BL194">
            <v>107.462</v>
          </cell>
          <cell r="BM194">
            <v>107.11499999999999</v>
          </cell>
          <cell r="BN194">
            <v>106.756</v>
          </cell>
          <cell r="BO194">
            <v>106.41200000000001</v>
          </cell>
          <cell r="BP194">
            <v>106.087</v>
          </cell>
          <cell r="BQ194">
            <v>105.79300000000001</v>
          </cell>
          <cell r="BR194">
            <v>105.53400000000001</v>
          </cell>
          <cell r="BS194">
            <v>105.303</v>
          </cell>
          <cell r="BT194">
            <v>105.114</v>
          </cell>
          <cell r="BU194">
            <v>104.958</v>
          </cell>
          <cell r="BV194">
            <v>104.83499999999999</v>
          </cell>
          <cell r="BW194">
            <v>104.751</v>
          </cell>
          <cell r="BX194">
            <v>104.68</v>
          </cell>
        </row>
        <row r="195">
          <cell r="C195" t="str">
            <v>Central America</v>
          </cell>
          <cell r="E195">
            <v>916</v>
          </cell>
          <cell r="F195" t="str">
            <v>Subregion</v>
          </cell>
          <cell r="G195">
            <v>1830</v>
          </cell>
          <cell r="H195">
            <v>37975.514000000003</v>
          </cell>
          <cell r="I195">
            <v>39045.322999999997</v>
          </cell>
          <cell r="J195">
            <v>40166.173000000003</v>
          </cell>
          <cell r="K195">
            <v>41340.987000000001</v>
          </cell>
          <cell r="L195">
            <v>42571.697999999997</v>
          </cell>
          <cell r="M195">
            <v>43859.267</v>
          </cell>
          <cell r="N195">
            <v>45203.627999999997</v>
          </cell>
          <cell r="O195">
            <v>46603.663999999997</v>
          </cell>
          <cell r="P195">
            <v>48057.457000000002</v>
          </cell>
          <cell r="Q195">
            <v>49562.574999999997</v>
          </cell>
          <cell r="R195">
            <v>51116.534</v>
          </cell>
          <cell r="S195">
            <v>52717.985000000001</v>
          </cell>
          <cell r="T195">
            <v>54367</v>
          </cell>
          <cell r="U195">
            <v>56065.646999999997</v>
          </cell>
          <cell r="V195">
            <v>57817.052000000003</v>
          </cell>
          <cell r="W195">
            <v>59622.915000000001</v>
          </cell>
          <cell r="X195">
            <v>61481.892999999996</v>
          </cell>
          <cell r="Y195">
            <v>63391.161999999997</v>
          </cell>
          <cell r="Z195">
            <v>65348.985000000001</v>
          </cell>
          <cell r="AA195">
            <v>67353.055999999997</v>
          </cell>
          <cell r="AB195">
            <v>69400.452999999994</v>
          </cell>
          <cell r="AC195">
            <v>71490.339000000007</v>
          </cell>
          <cell r="AD195">
            <v>73618.745999999999</v>
          </cell>
          <cell r="AE195">
            <v>75775.811000000002</v>
          </cell>
          <cell r="AF195">
            <v>77949.027000000002</v>
          </cell>
          <cell r="AG195">
            <v>80129.069000000003</v>
          </cell>
          <cell r="AH195">
            <v>82310.226999999999</v>
          </cell>
          <cell r="AI195">
            <v>84492.595000000001</v>
          </cell>
          <cell r="AJ195">
            <v>86679.745999999999</v>
          </cell>
          <cell r="AK195">
            <v>88878.305999999997</v>
          </cell>
          <cell r="AL195">
            <v>91092.381999999998</v>
          </cell>
          <cell r="AM195">
            <v>93322.66</v>
          </cell>
          <cell r="AN195">
            <v>95565.104000000007</v>
          </cell>
          <cell r="AO195">
            <v>97813.444000000003</v>
          </cell>
          <cell r="AP195">
            <v>100059.29399999999</v>
          </cell>
          <cell r="AQ195">
            <v>102296.68799999999</v>
          </cell>
          <cell r="AR195">
            <v>104521.747</v>
          </cell>
          <cell r="AS195">
            <v>106736.046</v>
          </cell>
          <cell r="AT195">
            <v>108945.63499999999</v>
          </cell>
          <cell r="AU195">
            <v>111159.56600000001</v>
          </cell>
          <cell r="AV195">
            <v>113383.693</v>
          </cell>
          <cell r="AW195">
            <v>115620.58100000001</v>
          </cell>
          <cell r="AX195">
            <v>117865.993</v>
          </cell>
          <cell r="AY195">
            <v>120111.018</v>
          </cell>
          <cell r="AZ195">
            <v>122343.212</v>
          </cell>
          <cell r="BA195">
            <v>124553.738</v>
          </cell>
          <cell r="BB195">
            <v>126742.36</v>
          </cell>
          <cell r="BC195">
            <v>128912.72199999999</v>
          </cell>
          <cell r="BD195">
            <v>131065.087</v>
          </cell>
          <cell r="BE195">
            <v>133200.68599999999</v>
          </cell>
          <cell r="BF195">
            <v>135322.35</v>
          </cell>
          <cell r="BG195">
            <v>137426.16800000001</v>
          </cell>
          <cell r="BH195">
            <v>139516.826</v>
          </cell>
          <cell r="BI195">
            <v>141616.538</v>
          </cell>
          <cell r="BJ195">
            <v>143754.557</v>
          </cell>
          <cell r="BK195">
            <v>145950.54800000001</v>
          </cell>
          <cell r="BL195">
            <v>148213.041</v>
          </cell>
          <cell r="BM195">
            <v>150532.54</v>
          </cell>
          <cell r="BN195">
            <v>152888.00200000001</v>
          </cell>
          <cell r="BO195">
            <v>155248.747</v>
          </cell>
          <cell r="BP195">
            <v>157591.31899999999</v>
          </cell>
          <cell r="BQ195">
            <v>159908.35800000001</v>
          </cell>
          <cell r="BR195">
            <v>162202.69200000001</v>
          </cell>
          <cell r="BS195">
            <v>164473.28200000001</v>
          </cell>
          <cell r="BT195">
            <v>166721.88800000001</v>
          </cell>
          <cell r="BU195">
            <v>168949.19099999999</v>
          </cell>
          <cell r="BV195">
            <v>171152.18700000001</v>
          </cell>
          <cell r="BW195">
            <v>173326.77100000001</v>
          </cell>
          <cell r="BX195">
            <v>175471.78700000001</v>
          </cell>
        </row>
        <row r="196">
          <cell r="C196" t="str">
            <v>Belize</v>
          </cell>
          <cell r="E196">
            <v>84</v>
          </cell>
          <cell r="F196" t="str">
            <v>Country</v>
          </cell>
          <cell r="G196">
            <v>916</v>
          </cell>
          <cell r="H196">
            <v>68.918999999999997</v>
          </cell>
          <cell r="I196">
            <v>71.241</v>
          </cell>
          <cell r="J196">
            <v>73.427000000000007</v>
          </cell>
          <cell r="K196">
            <v>75.56</v>
          </cell>
          <cell r="L196">
            <v>77.686999999999998</v>
          </cell>
          <cell r="M196">
            <v>79.87</v>
          </cell>
          <cell r="N196">
            <v>82.141000000000005</v>
          </cell>
          <cell r="O196">
            <v>84.509</v>
          </cell>
          <cell r="P196">
            <v>86.956000000000003</v>
          </cell>
          <cell r="Q196">
            <v>89.49</v>
          </cell>
          <cell r="R196">
            <v>92.063999999999993</v>
          </cell>
          <cell r="S196">
            <v>94.703000000000003</v>
          </cell>
          <cell r="T196">
            <v>97.384</v>
          </cell>
          <cell r="U196">
            <v>100.164</v>
          </cell>
          <cell r="V196">
            <v>103.069</v>
          </cell>
          <cell r="W196">
            <v>106.119</v>
          </cell>
          <cell r="X196">
            <v>109.34699999999999</v>
          </cell>
          <cell r="Y196">
            <v>112.69199999999999</v>
          </cell>
          <cell r="Z196">
            <v>116.06100000000001</v>
          </cell>
          <cell r="AA196">
            <v>119.261</v>
          </cell>
          <cell r="AB196">
            <v>122.182</v>
          </cell>
          <cell r="AC196">
            <v>124.79300000000001</v>
          </cell>
          <cell r="AD196">
            <v>127.15</v>
          </cell>
          <cell r="AE196">
            <v>129.29400000000001</v>
          </cell>
          <cell r="AF196">
            <v>131.30699999999999</v>
          </cell>
          <cell r="AG196">
            <v>133.26</v>
          </cell>
          <cell r="AH196">
            <v>135.14699999999999</v>
          </cell>
          <cell r="AI196">
            <v>136.989</v>
          </cell>
          <cell r="AJ196">
            <v>138.965</v>
          </cell>
          <cell r="AK196">
            <v>141.30500000000001</v>
          </cell>
          <cell r="AL196">
            <v>144.155</v>
          </cell>
          <cell r="AM196">
            <v>147.566</v>
          </cell>
          <cell r="AN196">
            <v>151.5</v>
          </cell>
          <cell r="AO196">
            <v>155.822</v>
          </cell>
          <cell r="AP196">
            <v>160.34700000000001</v>
          </cell>
          <cell r="AQ196">
            <v>164.92099999999999</v>
          </cell>
          <cell r="AR196">
            <v>169.56800000000001</v>
          </cell>
          <cell r="AS196">
            <v>174.32</v>
          </cell>
          <cell r="AT196">
            <v>179.02799999999999</v>
          </cell>
          <cell r="AU196">
            <v>183.46899999999999</v>
          </cell>
          <cell r="AV196">
            <v>187.55199999999999</v>
          </cell>
          <cell r="AW196">
            <v>191.12799999999999</v>
          </cell>
          <cell r="AX196">
            <v>194.32400000000001</v>
          </cell>
          <cell r="AY196">
            <v>197.62200000000001</v>
          </cell>
          <cell r="AZ196">
            <v>201.68</v>
          </cell>
          <cell r="BA196">
            <v>206.96299999999999</v>
          </cell>
          <cell r="BB196">
            <v>213.66399999999999</v>
          </cell>
          <cell r="BC196">
            <v>221.58</v>
          </cell>
          <cell r="BD196">
            <v>230.244</v>
          </cell>
          <cell r="BE196">
            <v>238.988</v>
          </cell>
          <cell r="BF196">
            <v>247.315</v>
          </cell>
          <cell r="BG196">
            <v>255.06299999999999</v>
          </cell>
          <cell r="BH196">
            <v>262.37799999999999</v>
          </cell>
          <cell r="BI196">
            <v>269.42500000000001</v>
          </cell>
          <cell r="BJ196">
            <v>276.50400000000002</v>
          </cell>
          <cell r="BK196">
            <v>283.8</v>
          </cell>
          <cell r="BL196">
            <v>291.32900000000001</v>
          </cell>
          <cell r="BM196">
            <v>299.02499999999998</v>
          </cell>
          <cell r="BN196">
            <v>306.82299999999998</v>
          </cell>
          <cell r="BO196">
            <v>314.65499999999997</v>
          </cell>
          <cell r="BP196">
            <v>322.464</v>
          </cell>
          <cell r="BQ196">
            <v>330.23700000000002</v>
          </cell>
          <cell r="BR196">
            <v>338</v>
          </cell>
          <cell r="BS196">
            <v>345.71499999999997</v>
          </cell>
          <cell r="BT196">
            <v>353.36599999999999</v>
          </cell>
          <cell r="BU196">
            <v>360.93299999999999</v>
          </cell>
          <cell r="BV196">
            <v>368.4</v>
          </cell>
          <cell r="BW196">
            <v>375.76900000000001</v>
          </cell>
          <cell r="BX196">
            <v>383.07100000000003</v>
          </cell>
        </row>
        <row r="197">
          <cell r="C197" t="str">
            <v>Costa Rica</v>
          </cell>
          <cell r="E197">
            <v>188</v>
          </cell>
          <cell r="F197" t="str">
            <v>Country</v>
          </cell>
          <cell r="G197">
            <v>916</v>
          </cell>
          <cell r="H197">
            <v>945.69600000000003</v>
          </cell>
          <cell r="I197">
            <v>972.15700000000004</v>
          </cell>
          <cell r="J197">
            <v>1002.441</v>
          </cell>
          <cell r="K197">
            <v>1035.8589999999999</v>
          </cell>
          <cell r="L197">
            <v>1071.874</v>
          </cell>
          <cell r="M197">
            <v>1110.087</v>
          </cell>
          <cell r="N197">
            <v>1150.269</v>
          </cell>
          <cell r="O197">
            <v>1192.3579999999999</v>
          </cell>
          <cell r="P197">
            <v>1236.3779999999999</v>
          </cell>
          <cell r="Q197">
            <v>1282.4939999999999</v>
          </cell>
          <cell r="R197">
            <v>1330.7819999999999</v>
          </cell>
          <cell r="S197">
            <v>1381.183</v>
          </cell>
          <cell r="T197">
            <v>1433.335</v>
          </cell>
          <cell r="U197">
            <v>1486.5530000000001</v>
          </cell>
          <cell r="V197">
            <v>1539.941</v>
          </cell>
          <cell r="W197">
            <v>1592.8409999999999</v>
          </cell>
          <cell r="X197">
            <v>1645.0830000000001</v>
          </cell>
          <cell r="Y197">
            <v>1696.732</v>
          </cell>
          <cell r="Z197">
            <v>1747.694</v>
          </cell>
          <cell r="AA197">
            <v>1797.893</v>
          </cell>
          <cell r="AB197">
            <v>1847.394</v>
          </cell>
          <cell r="AC197">
            <v>1896.077</v>
          </cell>
          <cell r="AD197">
            <v>1944.1690000000001</v>
          </cell>
          <cell r="AE197">
            <v>1992.5139999999999</v>
          </cell>
          <cell r="AF197">
            <v>2042.241</v>
          </cell>
          <cell r="AG197">
            <v>2094.1880000000001</v>
          </cell>
          <cell r="AH197">
            <v>2148.6770000000001</v>
          </cell>
          <cell r="AI197">
            <v>2205.6149999999998</v>
          </cell>
          <cell r="AJ197">
            <v>2264.9459999999999</v>
          </cell>
          <cell r="AK197">
            <v>2326.4639999999999</v>
          </cell>
          <cell r="AL197">
            <v>2389.9769999999999</v>
          </cell>
          <cell r="AM197">
            <v>2455.5880000000002</v>
          </cell>
          <cell r="AN197">
            <v>2523.3539999999998</v>
          </cell>
          <cell r="AO197">
            <v>2593.02</v>
          </cell>
          <cell r="AP197">
            <v>2664.223</v>
          </cell>
          <cell r="AQ197">
            <v>2736.712</v>
          </cell>
          <cell r="AR197">
            <v>2810.2420000000002</v>
          </cell>
          <cell r="AS197">
            <v>2884.8510000000001</v>
          </cell>
          <cell r="AT197">
            <v>2960.9290000000001</v>
          </cell>
          <cell r="AU197">
            <v>3039.0129999999999</v>
          </cell>
          <cell r="AV197">
            <v>3119.433</v>
          </cell>
          <cell r="AW197">
            <v>3202.085</v>
          </cell>
          <cell r="AX197">
            <v>3286.52</v>
          </cell>
          <cell r="AY197">
            <v>3372.2979999999998</v>
          </cell>
          <cell r="AZ197">
            <v>3458.8339999999998</v>
          </cell>
          <cell r="BA197">
            <v>3545.5340000000001</v>
          </cell>
          <cell r="BB197">
            <v>3632.3620000000001</v>
          </cell>
          <cell r="BC197">
            <v>3718.9490000000001</v>
          </cell>
          <cell r="BD197">
            <v>3803.8870000000002</v>
          </cell>
          <cell r="BE197">
            <v>3885.43</v>
          </cell>
          <cell r="BF197">
            <v>3962.3719999999998</v>
          </cell>
          <cell r="BG197">
            <v>4034.0740000000001</v>
          </cell>
          <cell r="BH197">
            <v>4100.9250000000002</v>
          </cell>
          <cell r="BI197">
            <v>4164.0529999999999</v>
          </cell>
          <cell r="BJ197">
            <v>4225.1549999999997</v>
          </cell>
          <cell r="BK197">
            <v>4285.5020000000004</v>
          </cell>
          <cell r="BL197">
            <v>4345.4120000000003</v>
          </cell>
          <cell r="BM197">
            <v>4404.6279999999997</v>
          </cell>
          <cell r="BN197">
            <v>4463.125</v>
          </cell>
          <cell r="BO197">
            <v>4520.74</v>
          </cell>
          <cell r="BP197">
            <v>4577.3779999999997</v>
          </cell>
          <cell r="BQ197">
            <v>4633.0860000000002</v>
          </cell>
          <cell r="BR197">
            <v>4688</v>
          </cell>
          <cell r="BS197">
            <v>4742.107</v>
          </cell>
          <cell r="BT197">
            <v>4795.3959999999997</v>
          </cell>
          <cell r="BU197">
            <v>4847.8040000000001</v>
          </cell>
          <cell r="BV197">
            <v>4899.3450000000003</v>
          </cell>
          <cell r="BW197">
            <v>4949.9539999999997</v>
          </cell>
          <cell r="BX197">
            <v>4999.4409999999998</v>
          </cell>
        </row>
        <row r="198">
          <cell r="C198" t="str">
            <v>El Salvador</v>
          </cell>
          <cell r="E198">
            <v>222</v>
          </cell>
          <cell r="F198" t="str">
            <v>Country</v>
          </cell>
          <cell r="G198">
            <v>916</v>
          </cell>
          <cell r="H198">
            <v>2199.8980000000001</v>
          </cell>
          <cell r="I198">
            <v>2237.7820000000002</v>
          </cell>
          <cell r="J198">
            <v>2280.4380000000001</v>
          </cell>
          <cell r="K198">
            <v>2327.3739999999998</v>
          </cell>
          <cell r="L198">
            <v>2378.248</v>
          </cell>
          <cell r="M198">
            <v>2432.88</v>
          </cell>
          <cell r="N198">
            <v>2491.2539999999999</v>
          </cell>
          <cell r="O198">
            <v>2553.5030000000002</v>
          </cell>
          <cell r="P198">
            <v>2619.895</v>
          </cell>
          <cell r="Q198">
            <v>2690.752</v>
          </cell>
          <cell r="R198">
            <v>2766.3240000000001</v>
          </cell>
          <cell r="S198">
            <v>2846.6</v>
          </cell>
          <cell r="T198">
            <v>2931.192</v>
          </cell>
          <cell r="U198">
            <v>3019.2240000000002</v>
          </cell>
          <cell r="V198">
            <v>3109.5630000000001</v>
          </cell>
          <cell r="W198">
            <v>3201.3130000000001</v>
          </cell>
          <cell r="X198">
            <v>3293.9520000000002</v>
          </cell>
          <cell r="Y198">
            <v>3387.3829999999998</v>
          </cell>
          <cell r="Z198">
            <v>3481.6239999999998</v>
          </cell>
          <cell r="AA198">
            <v>3576.8380000000002</v>
          </cell>
          <cell r="AB198">
            <v>3673.0680000000002</v>
          </cell>
          <cell r="AC198">
            <v>3770.0590000000002</v>
          </cell>
          <cell r="AD198">
            <v>3867.3090000000002</v>
          </cell>
          <cell r="AE198">
            <v>3964.27</v>
          </cell>
          <cell r="AF198">
            <v>4060.26</v>
          </cell>
          <cell r="AG198">
            <v>4154.692</v>
          </cell>
          <cell r="AH198">
            <v>4247.5020000000004</v>
          </cell>
          <cell r="AI198">
            <v>4338.4579999999996</v>
          </cell>
          <cell r="AJ198">
            <v>4426.6750000000002</v>
          </cell>
          <cell r="AK198">
            <v>4511.1289999999999</v>
          </cell>
          <cell r="AL198">
            <v>4591.134</v>
          </cell>
          <cell r="AM198">
            <v>4666.3639999999996</v>
          </cell>
          <cell r="AN198">
            <v>4737.2569999999996</v>
          </cell>
          <cell r="AO198">
            <v>4804.9350000000004</v>
          </cell>
          <cell r="AP198">
            <v>4871.0349999999999</v>
          </cell>
          <cell r="AQ198">
            <v>4936.8069999999998</v>
          </cell>
          <cell r="AR198">
            <v>5002.3360000000002</v>
          </cell>
          <cell r="AS198">
            <v>5067.5370000000003</v>
          </cell>
          <cell r="AT198">
            <v>5133.2740000000003</v>
          </cell>
          <cell r="AU198">
            <v>5200.6019999999999</v>
          </cell>
          <cell r="AV198">
            <v>5270.0789999999997</v>
          </cell>
          <cell r="AW198">
            <v>5342.1980000000003</v>
          </cell>
          <cell r="AX198">
            <v>5416.3230000000003</v>
          </cell>
          <cell r="AY198">
            <v>5490.4769999999999</v>
          </cell>
          <cell r="AZ198">
            <v>5561.9189999999999</v>
          </cell>
          <cell r="BA198">
            <v>5628.6</v>
          </cell>
          <cell r="BB198">
            <v>5689.9380000000001</v>
          </cell>
          <cell r="BC198">
            <v>5746.2839999999997</v>
          </cell>
          <cell r="BD198">
            <v>5797.7650000000003</v>
          </cell>
          <cell r="BE198">
            <v>5844.8459999999995</v>
          </cell>
          <cell r="BF198">
            <v>5887.9359999999997</v>
          </cell>
          <cell r="BG198">
            <v>5927.0060000000003</v>
          </cell>
          <cell r="BH198">
            <v>5962.1360000000004</v>
          </cell>
          <cell r="BI198">
            <v>5994.0770000000002</v>
          </cell>
          <cell r="BJ198">
            <v>6023.7969999999996</v>
          </cell>
          <cell r="BK198">
            <v>6052.1229999999996</v>
          </cell>
          <cell r="BL198">
            <v>6079.3990000000003</v>
          </cell>
          <cell r="BM198">
            <v>6105.81</v>
          </cell>
          <cell r="BN198">
            <v>6131.7640000000001</v>
          </cell>
          <cell r="BO198">
            <v>6157.6859999999997</v>
          </cell>
          <cell r="BP198">
            <v>6183.875</v>
          </cell>
          <cell r="BQ198">
            <v>6210.5680000000002</v>
          </cell>
          <cell r="BR198">
            <v>6237.9229999999998</v>
          </cell>
          <cell r="BS198">
            <v>6266.07</v>
          </cell>
          <cell r="BT198">
            <v>6295.1279999999997</v>
          </cell>
          <cell r="BU198">
            <v>6325.1239999999998</v>
          </cell>
          <cell r="BV198">
            <v>6356.143</v>
          </cell>
          <cell r="BW198">
            <v>6388.1260000000002</v>
          </cell>
          <cell r="BX198">
            <v>6420.7460000000001</v>
          </cell>
        </row>
        <row r="199">
          <cell r="C199" t="str">
            <v>Guatemala</v>
          </cell>
          <cell r="E199">
            <v>320</v>
          </cell>
          <cell r="F199" t="str">
            <v>Country</v>
          </cell>
          <cell r="G199">
            <v>916</v>
          </cell>
          <cell r="H199">
            <v>3114.9569999999999</v>
          </cell>
          <cell r="I199">
            <v>3212.3310000000001</v>
          </cell>
          <cell r="J199">
            <v>3311.5369999999998</v>
          </cell>
          <cell r="K199">
            <v>3413.165</v>
          </cell>
          <cell r="L199">
            <v>3517.6529999999998</v>
          </cell>
          <cell r="M199">
            <v>3625.3</v>
          </cell>
          <cell r="N199">
            <v>3736.2359999999999</v>
          </cell>
          <cell r="O199">
            <v>3850.4340000000002</v>
          </cell>
          <cell r="P199">
            <v>3967.7449999999999</v>
          </cell>
          <cell r="Q199">
            <v>4087.9229999999998</v>
          </cell>
          <cell r="R199">
            <v>4210.7470000000003</v>
          </cell>
          <cell r="S199">
            <v>4336.143</v>
          </cell>
          <cell r="T199">
            <v>4464.2489999999998</v>
          </cell>
          <cell r="U199">
            <v>4595.51</v>
          </cell>
          <cell r="V199">
            <v>4730.54</v>
          </cell>
          <cell r="W199">
            <v>4869.7160000000003</v>
          </cell>
          <cell r="X199">
            <v>5013.1530000000002</v>
          </cell>
          <cell r="Y199">
            <v>5160.6090000000004</v>
          </cell>
          <cell r="Z199">
            <v>5311.6149999999998</v>
          </cell>
          <cell r="AA199">
            <v>5465.5119999999997</v>
          </cell>
          <cell r="AB199">
            <v>5621.7920000000004</v>
          </cell>
          <cell r="AC199">
            <v>5780.48</v>
          </cell>
          <cell r="AD199">
            <v>5941.567</v>
          </cell>
          <cell r="AE199">
            <v>6104.53</v>
          </cell>
          <cell r="AF199">
            <v>6268.7070000000003</v>
          </cell>
          <cell r="AG199">
            <v>6433.7280000000001</v>
          </cell>
          <cell r="AH199">
            <v>6599.2139999999999</v>
          </cell>
          <cell r="AI199">
            <v>6765.5159999999996</v>
          </cell>
          <cell r="AJ199">
            <v>6933.9059999999999</v>
          </cell>
          <cell r="AK199">
            <v>7106.1450000000004</v>
          </cell>
          <cell r="AL199">
            <v>7283.4589999999998</v>
          </cell>
          <cell r="AM199">
            <v>7466.4880000000003</v>
          </cell>
          <cell r="AN199">
            <v>7654.8190000000004</v>
          </cell>
          <cell r="AO199">
            <v>7847.4719999999998</v>
          </cell>
          <cell r="AP199">
            <v>8042.8969999999999</v>
          </cell>
          <cell r="AQ199">
            <v>8240.06</v>
          </cell>
          <cell r="AR199">
            <v>8438.6039999999994</v>
          </cell>
          <cell r="AS199">
            <v>8639.1080000000002</v>
          </cell>
          <cell r="AT199">
            <v>8842.5750000000007</v>
          </cell>
          <cell r="AU199">
            <v>9050.4650000000001</v>
          </cell>
          <cell r="AV199">
            <v>9263.8130000000001</v>
          </cell>
          <cell r="AW199">
            <v>9483.27</v>
          </cell>
          <cell r="AX199">
            <v>9708.5439999999999</v>
          </cell>
          <cell r="AY199">
            <v>9938.6919999999991</v>
          </cell>
          <cell r="AZ199">
            <v>10172.297</v>
          </cell>
          <cell r="BA199">
            <v>10408.489</v>
          </cell>
          <cell r="BB199">
            <v>10646.674000000001</v>
          </cell>
          <cell r="BC199">
            <v>10887.634</v>
          </cell>
          <cell r="BD199">
            <v>11133.501</v>
          </cell>
          <cell r="BE199">
            <v>11387.203</v>
          </cell>
          <cell r="BF199">
            <v>11650.743</v>
          </cell>
          <cell r="BG199">
            <v>11924.946</v>
          </cell>
          <cell r="BH199">
            <v>12208.848</v>
          </cell>
          <cell r="BI199">
            <v>12500.477999999999</v>
          </cell>
          <cell r="BJ199">
            <v>12796.924999999999</v>
          </cell>
          <cell r="BK199">
            <v>13096.028</v>
          </cell>
          <cell r="BL199">
            <v>13397.021000000001</v>
          </cell>
          <cell r="BM199">
            <v>13700.326999999999</v>
          </cell>
          <cell r="BN199">
            <v>14006.428</v>
          </cell>
          <cell r="BO199">
            <v>14316.263000000001</v>
          </cell>
          <cell r="BP199">
            <v>14630.416999999999</v>
          </cell>
          <cell r="BQ199">
            <v>14948.800999999999</v>
          </cell>
          <cell r="BR199">
            <v>15270.771000000001</v>
          </cell>
          <cell r="BS199">
            <v>15595.816000000001</v>
          </cell>
          <cell r="BT199">
            <v>15923.236000000001</v>
          </cell>
          <cell r="BU199">
            <v>16252.429</v>
          </cell>
          <cell r="BV199">
            <v>16583.076000000001</v>
          </cell>
          <cell r="BW199">
            <v>16914.97</v>
          </cell>
          <cell r="BX199">
            <v>17247.848999999998</v>
          </cell>
        </row>
        <row r="200">
          <cell r="C200" t="str">
            <v>Honduras</v>
          </cell>
          <cell r="E200">
            <v>340</v>
          </cell>
          <cell r="F200" t="str">
            <v>Country</v>
          </cell>
          <cell r="G200">
            <v>916</v>
          </cell>
          <cell r="H200">
            <v>1546.7239999999999</v>
          </cell>
          <cell r="I200">
            <v>1588.5619999999999</v>
          </cell>
          <cell r="J200">
            <v>1631.7360000000001</v>
          </cell>
          <cell r="K200">
            <v>1676.5050000000001</v>
          </cell>
          <cell r="L200">
            <v>1723.0129999999999</v>
          </cell>
          <cell r="M200">
            <v>1771.3520000000001</v>
          </cell>
          <cell r="N200">
            <v>1821.539</v>
          </cell>
          <cell r="O200">
            <v>1873.5</v>
          </cell>
          <cell r="P200">
            <v>1927.098</v>
          </cell>
          <cell r="Q200">
            <v>1982.1880000000001</v>
          </cell>
          <cell r="R200">
            <v>2038.6320000000001</v>
          </cell>
          <cell r="S200">
            <v>2096.4090000000001</v>
          </cell>
          <cell r="T200">
            <v>2155.6469999999999</v>
          </cell>
          <cell r="U200">
            <v>2216.7040000000002</v>
          </cell>
          <cell r="V200">
            <v>2280.0479999999998</v>
          </cell>
          <cell r="W200">
            <v>2346.0149999999999</v>
          </cell>
          <cell r="X200">
            <v>2414.8029999999999</v>
          </cell>
          <cell r="Y200">
            <v>2486.415</v>
          </cell>
          <cell r="Z200">
            <v>2560.7269999999999</v>
          </cell>
          <cell r="AA200">
            <v>2637.5129999999999</v>
          </cell>
          <cell r="AB200">
            <v>2716.654</v>
          </cell>
          <cell r="AC200">
            <v>2798.123</v>
          </cell>
          <cell r="AD200">
            <v>2882.1129999999998</v>
          </cell>
          <cell r="AE200">
            <v>2968.989</v>
          </cell>
          <cell r="AF200">
            <v>3059.239</v>
          </cell>
          <cell r="AG200">
            <v>3153.2530000000002</v>
          </cell>
          <cell r="AH200">
            <v>3251.145</v>
          </cell>
          <cell r="AI200">
            <v>3352.8249999999998</v>
          </cell>
          <cell r="AJ200">
            <v>3458.0949999999998</v>
          </cell>
          <cell r="AK200">
            <v>3566.654</v>
          </cell>
          <cell r="AL200">
            <v>3678.279</v>
          </cell>
          <cell r="AM200">
            <v>3792.9189999999999</v>
          </cell>
          <cell r="AN200">
            <v>3910.64</v>
          </cell>
          <cell r="AO200">
            <v>4031.3249999999998</v>
          </cell>
          <cell r="AP200">
            <v>4154.8599999999997</v>
          </cell>
          <cell r="AQ200">
            <v>4281.1610000000001</v>
          </cell>
          <cell r="AR200">
            <v>4410.2690000000002</v>
          </cell>
          <cell r="AS200">
            <v>4542.2139999999999</v>
          </cell>
          <cell r="AT200">
            <v>4677.0240000000003</v>
          </cell>
          <cell r="AU200">
            <v>4814.7020000000002</v>
          </cell>
          <cell r="AV200">
            <v>4955.3029999999999</v>
          </cell>
          <cell r="AW200">
            <v>5098.5910000000003</v>
          </cell>
          <cell r="AX200">
            <v>5244.6779999999999</v>
          </cell>
          <cell r="AY200">
            <v>5394.4120000000003</v>
          </cell>
          <cell r="AZ200">
            <v>5548.96</v>
          </cell>
          <cell r="BA200">
            <v>5709.0140000000001</v>
          </cell>
          <cell r="BB200">
            <v>5874.8090000000002</v>
          </cell>
          <cell r="BC200">
            <v>6045.6989999999996</v>
          </cell>
          <cell r="BD200">
            <v>6220.4059999999999</v>
          </cell>
          <cell r="BE200">
            <v>6397.1509999999998</v>
          </cell>
          <cell r="BF200">
            <v>6574.509</v>
          </cell>
          <cell r="BG200">
            <v>6751.9120000000003</v>
          </cell>
          <cell r="BH200">
            <v>6929.2650000000003</v>
          </cell>
          <cell r="BI200">
            <v>7106.3190000000004</v>
          </cell>
          <cell r="BJ200">
            <v>7282.9530000000004</v>
          </cell>
          <cell r="BK200">
            <v>7458.9849999999997</v>
          </cell>
          <cell r="BL200">
            <v>7634.2979999999998</v>
          </cell>
          <cell r="BM200">
            <v>7808.518</v>
          </cell>
          <cell r="BN200">
            <v>7980.9549999999999</v>
          </cell>
          <cell r="BO200">
            <v>8150.7749999999996</v>
          </cell>
          <cell r="BP200">
            <v>8317.4699999999993</v>
          </cell>
          <cell r="BQ200">
            <v>8480.6710000000003</v>
          </cell>
          <cell r="BR200">
            <v>8640.6910000000007</v>
          </cell>
          <cell r="BS200">
            <v>8798.5210000000006</v>
          </cell>
          <cell r="BT200">
            <v>8955.5889999999999</v>
          </cell>
          <cell r="BU200">
            <v>9112.9159999999993</v>
          </cell>
          <cell r="BV200">
            <v>9270.7950000000001</v>
          </cell>
          <cell r="BW200">
            <v>9429.0130000000008</v>
          </cell>
          <cell r="BX200">
            <v>9587.5220000000008</v>
          </cell>
        </row>
        <row r="201">
          <cell r="C201" t="str">
            <v>Mexico</v>
          </cell>
          <cell r="E201">
            <v>484</v>
          </cell>
          <cell r="F201" t="str">
            <v>Country</v>
          </cell>
          <cell r="G201">
            <v>916</v>
          </cell>
          <cell r="H201">
            <v>27944.669000000002</v>
          </cell>
          <cell r="I201">
            <v>28749.85</v>
          </cell>
          <cell r="J201">
            <v>29590.09</v>
          </cell>
          <cell r="K201">
            <v>30468.850999999999</v>
          </cell>
          <cell r="L201">
            <v>31388.565999999999</v>
          </cell>
          <cell r="M201">
            <v>32350.596000000001</v>
          </cell>
          <cell r="N201">
            <v>33355.19</v>
          </cell>
          <cell r="O201">
            <v>34401.531000000003</v>
          </cell>
          <cell r="P201">
            <v>35487.951999999997</v>
          </cell>
          <cell r="Q201">
            <v>36612.118000000002</v>
          </cell>
          <cell r="R201">
            <v>37771.858999999997</v>
          </cell>
          <cell r="S201">
            <v>38966.055999999997</v>
          </cell>
          <cell r="T201">
            <v>40195.319000000003</v>
          </cell>
          <cell r="U201">
            <v>41462.368999999999</v>
          </cell>
          <cell r="V201">
            <v>42771.078999999998</v>
          </cell>
          <cell r="W201">
            <v>44123.853000000003</v>
          </cell>
          <cell r="X201">
            <v>45519.737000000001</v>
          </cell>
          <cell r="Y201">
            <v>46956.207999999999</v>
          </cell>
          <cell r="Z201">
            <v>48431.972000000002</v>
          </cell>
          <cell r="AA201">
            <v>49945.279000000002</v>
          </cell>
          <cell r="AB201">
            <v>51493.565000000002</v>
          </cell>
          <cell r="AC201">
            <v>53076.373</v>
          </cell>
          <cell r="AD201">
            <v>54689.942999999999</v>
          </cell>
          <cell r="AE201">
            <v>56324.303</v>
          </cell>
          <cell r="AF201">
            <v>57966.803999999996</v>
          </cell>
          <cell r="AG201">
            <v>59607.953000000001</v>
          </cell>
          <cell r="AH201">
            <v>61242.19</v>
          </cell>
          <cell r="AI201">
            <v>62869.902999999998</v>
          </cell>
          <cell r="AJ201">
            <v>64494.868999999999</v>
          </cell>
          <cell r="AK201">
            <v>66123.896999999997</v>
          </cell>
          <cell r="AL201">
            <v>67761.372000000003</v>
          </cell>
          <cell r="AM201">
            <v>69407.623999999996</v>
          </cell>
          <cell r="AN201">
            <v>71058.653999999995</v>
          </cell>
          <cell r="AO201">
            <v>72709.298999999999</v>
          </cell>
          <cell r="AP201">
            <v>74352.630999999994</v>
          </cell>
          <cell r="AQ201">
            <v>75983.485000000001</v>
          </cell>
          <cell r="AR201">
            <v>77599.097999999998</v>
          </cell>
          <cell r="AS201">
            <v>79200.081000000006</v>
          </cell>
          <cell r="AT201">
            <v>80788.721000000005</v>
          </cell>
          <cell r="AU201">
            <v>82368.930999999997</v>
          </cell>
          <cell r="AV201">
            <v>83943.131999999998</v>
          </cell>
          <cell r="AW201">
            <v>85512.623000000007</v>
          </cell>
          <cell r="AX201">
            <v>87075.138000000006</v>
          </cell>
          <cell r="AY201">
            <v>88625.44</v>
          </cell>
          <cell r="AZ201">
            <v>90156.4</v>
          </cell>
          <cell r="BA201">
            <v>91663.285000000003</v>
          </cell>
          <cell r="BB201">
            <v>93147.043999999994</v>
          </cell>
          <cell r="BC201">
            <v>94611.001999999993</v>
          </cell>
          <cell r="BD201">
            <v>96056.320999999996</v>
          </cell>
          <cell r="BE201">
            <v>97484.831999999995</v>
          </cell>
          <cell r="BF201">
            <v>98899.845000000001</v>
          </cell>
          <cell r="BG201">
            <v>100298.15300000001</v>
          </cell>
          <cell r="BH201">
            <v>101684.758</v>
          </cell>
          <cell r="BI201">
            <v>103081.02</v>
          </cell>
          <cell r="BJ201">
            <v>104514.932</v>
          </cell>
          <cell r="BK201">
            <v>106005.20299999999</v>
          </cell>
          <cell r="BL201">
            <v>107560.15300000001</v>
          </cell>
          <cell r="BM201">
            <v>109170.50199999999</v>
          </cell>
          <cell r="BN201">
            <v>110815.27099999999</v>
          </cell>
          <cell r="BO201">
            <v>112463.887</v>
          </cell>
          <cell r="BP201">
            <v>114092.963</v>
          </cell>
          <cell r="BQ201">
            <v>115695.473</v>
          </cell>
          <cell r="BR201">
            <v>117274.155</v>
          </cell>
          <cell r="BS201">
            <v>118827.16099999999</v>
          </cell>
          <cell r="BT201">
            <v>120355.128</v>
          </cell>
          <cell r="BU201">
            <v>121858.258</v>
          </cell>
          <cell r="BV201">
            <v>123333.376</v>
          </cell>
          <cell r="BW201">
            <v>124777.32399999999</v>
          </cell>
          <cell r="BX201">
            <v>126190.788</v>
          </cell>
        </row>
        <row r="202">
          <cell r="C202" t="str">
            <v>Nicaragua</v>
          </cell>
          <cell r="E202">
            <v>558</v>
          </cell>
          <cell r="F202" t="str">
            <v>Country</v>
          </cell>
          <cell r="G202">
            <v>916</v>
          </cell>
          <cell r="H202">
            <v>1294.992</v>
          </cell>
          <cell r="I202">
            <v>1332.05</v>
          </cell>
          <cell r="J202">
            <v>1372.1</v>
          </cell>
          <cell r="K202">
            <v>1414.933</v>
          </cell>
          <cell r="L202">
            <v>1460.346</v>
          </cell>
          <cell r="M202">
            <v>1508.1020000000001</v>
          </cell>
          <cell r="N202">
            <v>1557.9590000000001</v>
          </cell>
          <cell r="O202">
            <v>1609.643</v>
          </cell>
          <cell r="P202">
            <v>1662.894</v>
          </cell>
          <cell r="Q202">
            <v>1717.4659999999999</v>
          </cell>
          <cell r="R202">
            <v>1773.1289999999999</v>
          </cell>
          <cell r="S202">
            <v>1829.778</v>
          </cell>
          <cell r="T202">
            <v>1887.425</v>
          </cell>
          <cell r="U202">
            <v>1946.2339999999999</v>
          </cell>
          <cell r="V202">
            <v>2006.481</v>
          </cell>
          <cell r="W202">
            <v>2068.3809999999999</v>
          </cell>
          <cell r="X202">
            <v>2131.9760000000001</v>
          </cell>
          <cell r="Y202">
            <v>2197.2979999999998</v>
          </cell>
          <cell r="Z202">
            <v>2264.623</v>
          </cell>
          <cell r="AA202">
            <v>2334.279</v>
          </cell>
          <cell r="AB202">
            <v>2406.5129999999999</v>
          </cell>
          <cell r="AC202">
            <v>2481.3409999999999</v>
          </cell>
          <cell r="AD202">
            <v>2558.6990000000001</v>
          </cell>
          <cell r="AE202">
            <v>2638.6990000000001</v>
          </cell>
          <cell r="AF202">
            <v>2721.415</v>
          </cell>
          <cell r="AG202">
            <v>2806.857</v>
          </cell>
          <cell r="AH202">
            <v>2894.9720000000002</v>
          </cell>
          <cell r="AI202">
            <v>2985.489</v>
          </cell>
          <cell r="AJ202">
            <v>3077.866</v>
          </cell>
          <cell r="AK202">
            <v>3171.4079999999999</v>
          </cell>
          <cell r="AL202">
            <v>3265.5189999999998</v>
          </cell>
          <cell r="AM202">
            <v>3360.14</v>
          </cell>
          <cell r="AN202">
            <v>3455.123</v>
          </cell>
          <cell r="AO202">
            <v>3549.7109999999998</v>
          </cell>
          <cell r="AP202">
            <v>3642.9760000000001</v>
          </cell>
          <cell r="AQ202">
            <v>3734.3409999999999</v>
          </cell>
          <cell r="AR202">
            <v>3823.13</v>
          </cell>
          <cell r="AS202">
            <v>3909.6709999999998</v>
          </cell>
          <cell r="AT202">
            <v>3995.5329999999999</v>
          </cell>
          <cell r="AU202">
            <v>4082.9580000000001</v>
          </cell>
          <cell r="AV202">
            <v>4173.4340000000002</v>
          </cell>
          <cell r="AW202">
            <v>4267.5680000000002</v>
          </cell>
          <cell r="AX202">
            <v>4364.5119999999997</v>
          </cell>
          <cell r="AY202">
            <v>4462.4970000000003</v>
          </cell>
          <cell r="AZ202">
            <v>4559.0060000000003</v>
          </cell>
          <cell r="BA202">
            <v>4652.1850000000004</v>
          </cell>
          <cell r="BB202">
            <v>4741.5780000000004</v>
          </cell>
          <cell r="BC202">
            <v>4827.6610000000001</v>
          </cell>
          <cell r="BD202">
            <v>4910.6469999999999</v>
          </cell>
          <cell r="BE202">
            <v>4991.04</v>
          </cell>
          <cell r="BF202">
            <v>5069.3019999999997</v>
          </cell>
          <cell r="BG202">
            <v>5145.366</v>
          </cell>
          <cell r="BH202">
            <v>5219.3280000000004</v>
          </cell>
          <cell r="BI202">
            <v>5292.1180000000004</v>
          </cell>
          <cell r="BJ202">
            <v>5364.9350000000004</v>
          </cell>
          <cell r="BK202">
            <v>5438.69</v>
          </cell>
          <cell r="BL202">
            <v>5513.7629999999999</v>
          </cell>
          <cell r="BM202">
            <v>5590.0550000000003</v>
          </cell>
          <cell r="BN202">
            <v>5667.4319999999998</v>
          </cell>
          <cell r="BO202">
            <v>5745.5259999999998</v>
          </cell>
          <cell r="BP202">
            <v>5824.0649999999996</v>
          </cell>
          <cell r="BQ202">
            <v>5903.0389999999998</v>
          </cell>
          <cell r="BR202">
            <v>5982.5259999999998</v>
          </cell>
          <cell r="BS202">
            <v>6062.4570000000003</v>
          </cell>
          <cell r="BT202">
            <v>6142.7309999999998</v>
          </cell>
          <cell r="BU202">
            <v>6223.24</v>
          </cell>
          <cell r="BV202">
            <v>6303.9740000000002</v>
          </cell>
          <cell r="BW202">
            <v>6384.8459999999995</v>
          </cell>
          <cell r="BX202">
            <v>6465.5010000000002</v>
          </cell>
        </row>
        <row r="203">
          <cell r="C203" t="str">
            <v>Panama</v>
          </cell>
          <cell r="E203">
            <v>591</v>
          </cell>
          <cell r="F203" t="str">
            <v>Country</v>
          </cell>
          <cell r="G203">
            <v>916</v>
          </cell>
          <cell r="H203">
            <v>859.65899999999999</v>
          </cell>
          <cell r="I203">
            <v>881.35</v>
          </cell>
          <cell r="J203">
            <v>904.404</v>
          </cell>
          <cell r="K203">
            <v>928.74</v>
          </cell>
          <cell r="L203">
            <v>954.31100000000004</v>
          </cell>
          <cell r="M203">
            <v>981.08</v>
          </cell>
          <cell r="N203">
            <v>1009.04</v>
          </cell>
          <cell r="O203">
            <v>1038.1859999999999</v>
          </cell>
          <cell r="P203">
            <v>1068.539</v>
          </cell>
          <cell r="Q203">
            <v>1100.144</v>
          </cell>
          <cell r="R203">
            <v>1132.9970000000001</v>
          </cell>
          <cell r="S203">
            <v>1167.1130000000001</v>
          </cell>
          <cell r="T203">
            <v>1202.4490000000001</v>
          </cell>
          <cell r="U203">
            <v>1238.8889999999999</v>
          </cell>
          <cell r="V203">
            <v>1276.3309999999999</v>
          </cell>
          <cell r="W203">
            <v>1314.6769999999999</v>
          </cell>
          <cell r="X203">
            <v>1353.8420000000001</v>
          </cell>
          <cell r="Y203">
            <v>1393.825</v>
          </cell>
          <cell r="Z203">
            <v>1434.6690000000001</v>
          </cell>
          <cell r="AA203">
            <v>1476.481</v>
          </cell>
          <cell r="AB203">
            <v>1519.2850000000001</v>
          </cell>
          <cell r="AC203">
            <v>1563.0930000000001</v>
          </cell>
          <cell r="AD203">
            <v>1607.796</v>
          </cell>
          <cell r="AE203">
            <v>1653.212</v>
          </cell>
          <cell r="AF203">
            <v>1699.0540000000001</v>
          </cell>
          <cell r="AG203">
            <v>1745.1379999999999</v>
          </cell>
          <cell r="AH203">
            <v>1791.38</v>
          </cell>
          <cell r="AI203">
            <v>1837.8</v>
          </cell>
          <cell r="AJ203">
            <v>1884.424</v>
          </cell>
          <cell r="AK203">
            <v>1931.3040000000001</v>
          </cell>
          <cell r="AL203">
            <v>1978.4870000000001</v>
          </cell>
          <cell r="AM203">
            <v>2025.971</v>
          </cell>
          <cell r="AN203">
            <v>2073.7570000000001</v>
          </cell>
          <cell r="AO203">
            <v>2121.86</v>
          </cell>
          <cell r="AP203">
            <v>2170.3249999999998</v>
          </cell>
          <cell r="AQ203">
            <v>2219.201</v>
          </cell>
          <cell r="AR203">
            <v>2268.5</v>
          </cell>
          <cell r="AS203">
            <v>2318.2640000000001</v>
          </cell>
          <cell r="AT203">
            <v>2368.5509999999999</v>
          </cell>
          <cell r="AU203">
            <v>2419.4259999999999</v>
          </cell>
          <cell r="AV203">
            <v>2470.9470000000001</v>
          </cell>
          <cell r="AW203">
            <v>2523.1179999999999</v>
          </cell>
          <cell r="AX203">
            <v>2575.9540000000002</v>
          </cell>
          <cell r="AY203">
            <v>2629.58</v>
          </cell>
          <cell r="AZ203">
            <v>2684.116</v>
          </cell>
          <cell r="BA203">
            <v>2739.6680000000001</v>
          </cell>
          <cell r="BB203">
            <v>2796.2910000000002</v>
          </cell>
          <cell r="BC203">
            <v>2853.913</v>
          </cell>
          <cell r="BD203">
            <v>2912.3159999999998</v>
          </cell>
          <cell r="BE203">
            <v>2971.1959999999999</v>
          </cell>
          <cell r="BF203">
            <v>3030.328</v>
          </cell>
          <cell r="BG203">
            <v>3089.6480000000001</v>
          </cell>
          <cell r="BH203">
            <v>3149.1880000000001</v>
          </cell>
          <cell r="BI203">
            <v>3209.0479999999998</v>
          </cell>
          <cell r="BJ203">
            <v>3269.3560000000002</v>
          </cell>
          <cell r="BK203">
            <v>3330.2170000000001</v>
          </cell>
          <cell r="BL203">
            <v>3391.6660000000002</v>
          </cell>
          <cell r="BM203">
            <v>3453.6750000000002</v>
          </cell>
          <cell r="BN203">
            <v>3516.2040000000002</v>
          </cell>
          <cell r="BO203">
            <v>3579.2150000000001</v>
          </cell>
          <cell r="BP203">
            <v>3642.6869999999999</v>
          </cell>
          <cell r="BQ203">
            <v>3706.4830000000002</v>
          </cell>
          <cell r="BR203">
            <v>3770.6260000000002</v>
          </cell>
          <cell r="BS203">
            <v>3835.4349999999999</v>
          </cell>
          <cell r="BT203">
            <v>3901.3139999999999</v>
          </cell>
          <cell r="BU203">
            <v>3968.4870000000001</v>
          </cell>
          <cell r="BV203">
            <v>4037.078</v>
          </cell>
          <cell r="BW203">
            <v>4106.7690000000002</v>
          </cell>
          <cell r="BX203">
            <v>4176.8689999999997</v>
          </cell>
        </row>
        <row r="204">
          <cell r="C204" t="str">
            <v>South America</v>
          </cell>
          <cell r="E204">
            <v>931</v>
          </cell>
          <cell r="F204" t="str">
            <v>Subregion</v>
          </cell>
          <cell r="G204">
            <v>1830</v>
          </cell>
          <cell r="H204">
            <v>113765.20600000001</v>
          </cell>
          <cell r="I204">
            <v>116853.677</v>
          </cell>
          <cell r="J204">
            <v>120043.209</v>
          </cell>
          <cell r="K204">
            <v>123321.739</v>
          </cell>
          <cell r="L204">
            <v>126681.738</v>
          </cell>
          <cell r="M204">
            <v>130120.202</v>
          </cell>
          <cell r="N204">
            <v>133638.90700000001</v>
          </cell>
          <cell r="O204">
            <v>137244.21900000001</v>
          </cell>
          <cell r="P204">
            <v>140946.10399999999</v>
          </cell>
          <cell r="Q204">
            <v>144756.64300000001</v>
          </cell>
          <cell r="R204">
            <v>148685.693</v>
          </cell>
          <cell r="S204">
            <v>152735.91399999999</v>
          </cell>
          <cell r="T204">
            <v>156898.85399999999</v>
          </cell>
          <cell r="U204">
            <v>161152.90900000001</v>
          </cell>
          <cell r="V204">
            <v>165468.56299999999</v>
          </cell>
          <cell r="W204">
            <v>169823.18100000001</v>
          </cell>
          <cell r="X204">
            <v>174212.41800000001</v>
          </cell>
          <cell r="Y204">
            <v>178638.49100000001</v>
          </cell>
          <cell r="Z204">
            <v>183094.35399999999</v>
          </cell>
          <cell r="AA204">
            <v>187573.63500000001</v>
          </cell>
          <cell r="AB204">
            <v>192073.935</v>
          </cell>
          <cell r="AC204">
            <v>196589.32199999999</v>
          </cell>
          <cell r="AD204">
            <v>201125.777</v>
          </cell>
          <cell r="AE204">
            <v>205707.82699999999</v>
          </cell>
          <cell r="AF204">
            <v>210369.13200000001</v>
          </cell>
          <cell r="AG204">
            <v>215134.41099999999</v>
          </cell>
          <cell r="AH204">
            <v>220007.81</v>
          </cell>
          <cell r="AI204">
            <v>224983.29199999999</v>
          </cell>
          <cell r="AJ204">
            <v>230061.55100000001</v>
          </cell>
          <cell r="AK204">
            <v>235240.51300000001</v>
          </cell>
          <cell r="AL204">
            <v>240515.25</v>
          </cell>
          <cell r="AM204">
            <v>245886.77499999999</v>
          </cell>
          <cell r="AN204">
            <v>251346.38</v>
          </cell>
          <cell r="AO204">
            <v>256866.416</v>
          </cell>
          <cell r="AP204">
            <v>262410.946</v>
          </cell>
          <cell r="AQ204">
            <v>267951.848</v>
          </cell>
          <cell r="AR204">
            <v>273476.26899999997</v>
          </cell>
          <cell r="AS204">
            <v>278983.20500000002</v>
          </cell>
          <cell r="AT204">
            <v>284470.90500000003</v>
          </cell>
          <cell r="AU204">
            <v>289942.18699999998</v>
          </cell>
          <cell r="AV204">
            <v>295398.20500000002</v>
          </cell>
          <cell r="AW204">
            <v>300829.45400000003</v>
          </cell>
          <cell r="AX204">
            <v>306228.61900000001</v>
          </cell>
          <cell r="AY204">
            <v>311601.61599999998</v>
          </cell>
          <cell r="AZ204">
            <v>316958.26899999997</v>
          </cell>
          <cell r="BA204">
            <v>322302.31199999998</v>
          </cell>
          <cell r="BB204">
            <v>327635.14399999997</v>
          </cell>
          <cell r="BC204">
            <v>332943.51199999999</v>
          </cell>
          <cell r="BD204">
            <v>338199.103</v>
          </cell>
          <cell r="BE204">
            <v>343364.54200000002</v>
          </cell>
          <cell r="BF204">
            <v>348411.88299999997</v>
          </cell>
          <cell r="BG204">
            <v>353333.53200000001</v>
          </cell>
          <cell r="BH204">
            <v>358133.20899999997</v>
          </cell>
          <cell r="BI204">
            <v>362809.70299999998</v>
          </cell>
          <cell r="BJ204">
            <v>367365.31699999998</v>
          </cell>
          <cell r="BK204">
            <v>371804.65500000003</v>
          </cell>
          <cell r="BL204">
            <v>376122.78700000001</v>
          </cell>
          <cell r="BM204">
            <v>380325.06</v>
          </cell>
          <cell r="BN204">
            <v>384439.48200000002</v>
          </cell>
          <cell r="BO204">
            <v>388503.33899999998</v>
          </cell>
          <cell r="BP204">
            <v>392543.70899999997</v>
          </cell>
          <cell r="BQ204">
            <v>396571.76400000002</v>
          </cell>
          <cell r="BR204">
            <v>400581.58299999998</v>
          </cell>
          <cell r="BS204">
            <v>404561.96299999999</v>
          </cell>
          <cell r="BT204">
            <v>408493.76899999997</v>
          </cell>
          <cell r="BU204">
            <v>412362.68099999998</v>
          </cell>
          <cell r="BV204">
            <v>416164.85600000003</v>
          </cell>
          <cell r="BW204">
            <v>419903.91800000001</v>
          </cell>
          <cell r="BX204">
            <v>423581.07799999998</v>
          </cell>
        </row>
        <row r="205">
          <cell r="C205" t="str">
            <v>Argentina</v>
          </cell>
          <cell r="E205">
            <v>32</v>
          </cell>
          <cell r="F205" t="str">
            <v>Country</v>
          </cell>
          <cell r="G205">
            <v>931</v>
          </cell>
          <cell r="H205">
            <v>17037.912</v>
          </cell>
          <cell r="I205">
            <v>17390.378000000001</v>
          </cell>
          <cell r="J205">
            <v>17742.98</v>
          </cell>
          <cell r="K205">
            <v>18094.297999999999</v>
          </cell>
          <cell r="L205">
            <v>18443.309000000001</v>
          </cell>
          <cell r="M205">
            <v>18789.418000000001</v>
          </cell>
          <cell r="N205">
            <v>19132.401000000002</v>
          </cell>
          <cell r="O205">
            <v>19472.469000000001</v>
          </cell>
          <cell r="P205">
            <v>19810.167000000001</v>
          </cell>
          <cell r="Q205">
            <v>20146.312999999998</v>
          </cell>
          <cell r="R205">
            <v>20481.778999999999</v>
          </cell>
          <cell r="S205">
            <v>20817.266</v>
          </cell>
          <cell r="T205">
            <v>21153.052</v>
          </cell>
          <cell r="U205">
            <v>21488.912</v>
          </cell>
          <cell r="V205">
            <v>21824.424999999999</v>
          </cell>
          <cell r="W205">
            <v>22159.65</v>
          </cell>
          <cell r="X205">
            <v>22494.035</v>
          </cell>
          <cell r="Y205">
            <v>22828.868999999999</v>
          </cell>
          <cell r="Z205">
            <v>23168.267</v>
          </cell>
          <cell r="AA205">
            <v>23517.611000000001</v>
          </cell>
          <cell r="AB205">
            <v>23880.561000000002</v>
          </cell>
          <cell r="AC205">
            <v>24259.561000000002</v>
          </cell>
          <cell r="AD205">
            <v>24653.174999999999</v>
          </cell>
          <cell r="AE205">
            <v>25056.477999999999</v>
          </cell>
          <cell r="AF205">
            <v>25462.302</v>
          </cell>
          <cell r="AG205">
            <v>25865.776000000002</v>
          </cell>
          <cell r="AH205">
            <v>26264.681</v>
          </cell>
          <cell r="AI205">
            <v>26661.398000000001</v>
          </cell>
          <cell r="AJ205">
            <v>27061.046999999999</v>
          </cell>
          <cell r="AK205">
            <v>27471.036</v>
          </cell>
          <cell r="AL205">
            <v>27896.527999999998</v>
          </cell>
          <cell r="AM205">
            <v>28338.514999999999</v>
          </cell>
          <cell r="AN205">
            <v>28794.547999999999</v>
          </cell>
          <cell r="AO205">
            <v>29262.046999999999</v>
          </cell>
          <cell r="AP205">
            <v>29737.093000000001</v>
          </cell>
          <cell r="AQ205">
            <v>30216.278999999999</v>
          </cell>
          <cell r="AR205">
            <v>30698.964</v>
          </cell>
          <cell r="AS205">
            <v>31184.415000000001</v>
          </cell>
          <cell r="AT205">
            <v>31668.949000000001</v>
          </cell>
          <cell r="AU205">
            <v>32148.133999999998</v>
          </cell>
          <cell r="AV205">
            <v>32618.651000000002</v>
          </cell>
          <cell r="AW205">
            <v>33079</v>
          </cell>
          <cell r="AX205">
            <v>33529.326000000001</v>
          </cell>
          <cell r="AY205">
            <v>33970.110999999997</v>
          </cell>
          <cell r="AZ205">
            <v>34402.671999999999</v>
          </cell>
          <cell r="BA205">
            <v>34828.17</v>
          </cell>
          <cell r="BB205">
            <v>35246.374000000003</v>
          </cell>
          <cell r="BC205">
            <v>35657.428999999996</v>
          </cell>
          <cell r="BD205">
            <v>36063.459000000003</v>
          </cell>
          <cell r="BE205">
            <v>36467.218000000001</v>
          </cell>
          <cell r="BF205">
            <v>36870.786999999997</v>
          </cell>
          <cell r="BG205">
            <v>37275.652000000002</v>
          </cell>
          <cell r="BH205">
            <v>37681.749000000003</v>
          </cell>
          <cell r="BI205">
            <v>38087.868000000002</v>
          </cell>
          <cell r="BJ205">
            <v>38491.972000000002</v>
          </cell>
          <cell r="BK205">
            <v>38892.930999999997</v>
          </cell>
          <cell r="BL205">
            <v>39289.877999999997</v>
          </cell>
          <cell r="BM205">
            <v>39684.294999999998</v>
          </cell>
          <cell r="BN205">
            <v>40080.160000000003</v>
          </cell>
          <cell r="BO205">
            <v>40482.788</v>
          </cell>
          <cell r="BP205">
            <v>40895.752</v>
          </cell>
          <cell r="BQ205">
            <v>41320.5</v>
          </cell>
          <cell r="BR205">
            <v>41755.196000000004</v>
          </cell>
          <cell r="BS205">
            <v>42196.03</v>
          </cell>
          <cell r="BT205">
            <v>42637.510999999999</v>
          </cell>
          <cell r="BU205">
            <v>43075.415999999997</v>
          </cell>
          <cell r="BV205">
            <v>43508.46</v>
          </cell>
          <cell r="BW205">
            <v>43937.14</v>
          </cell>
          <cell r="BX205">
            <v>44361.15</v>
          </cell>
        </row>
        <row r="206">
          <cell r="C206" t="str">
            <v>Bolivia (Plurinational State of)</v>
          </cell>
          <cell r="E206">
            <v>68</v>
          </cell>
          <cell r="F206" t="str">
            <v>Country</v>
          </cell>
          <cell r="G206">
            <v>931</v>
          </cell>
          <cell r="H206">
            <v>3081.83</v>
          </cell>
          <cell r="I206">
            <v>3124.3409999999999</v>
          </cell>
          <cell r="J206">
            <v>3170.6750000000002</v>
          </cell>
          <cell r="K206">
            <v>3220.6860000000001</v>
          </cell>
          <cell r="L206">
            <v>3274.201</v>
          </cell>
          <cell r="M206">
            <v>3331.0360000000001</v>
          </cell>
          <cell r="N206">
            <v>3390.9670000000001</v>
          </cell>
          <cell r="O206">
            <v>3453.77</v>
          </cell>
          <cell r="P206">
            <v>3519.1950000000002</v>
          </cell>
          <cell r="Q206">
            <v>3586.9879999999998</v>
          </cell>
          <cell r="R206">
            <v>3656.9549999999999</v>
          </cell>
          <cell r="S206">
            <v>3728.9639999999999</v>
          </cell>
          <cell r="T206">
            <v>3802.99</v>
          </cell>
          <cell r="U206">
            <v>3879.192</v>
          </cell>
          <cell r="V206">
            <v>3957.7570000000001</v>
          </cell>
          <cell r="W206">
            <v>4038.8719999999998</v>
          </cell>
          <cell r="X206">
            <v>4122.5169999999998</v>
          </cell>
          <cell r="Y206">
            <v>4208.6760000000004</v>
          </cell>
          <cell r="Z206">
            <v>4297.5169999999998</v>
          </cell>
          <cell r="AA206">
            <v>4389.2460000000001</v>
          </cell>
          <cell r="AB206">
            <v>4484.0039999999999</v>
          </cell>
          <cell r="AC206">
            <v>4581.74</v>
          </cell>
          <cell r="AD206">
            <v>4682.3900000000003</v>
          </cell>
          <cell r="AE206">
            <v>4785.9229999999998</v>
          </cell>
          <cell r="AF206">
            <v>4892.2929999999997</v>
          </cell>
          <cell r="AG206">
            <v>5001.4189999999999</v>
          </cell>
          <cell r="AH206">
            <v>5113.4560000000001</v>
          </cell>
          <cell r="AI206">
            <v>5228.2520000000004</v>
          </cell>
          <cell r="AJ206">
            <v>5344.9390000000003</v>
          </cell>
          <cell r="AK206">
            <v>5462.4189999999999</v>
          </cell>
          <cell r="AL206">
            <v>5579.9350000000004</v>
          </cell>
          <cell r="AM206">
            <v>5697.0959999999995</v>
          </cell>
          <cell r="AN206">
            <v>5814.3450000000003</v>
          </cell>
          <cell r="AO206">
            <v>5932.81</v>
          </cell>
          <cell r="AP206">
            <v>6054.1229999999996</v>
          </cell>
          <cell r="AQ206">
            <v>6179.46</v>
          </cell>
          <cell r="AR206">
            <v>6309.13</v>
          </cell>
          <cell r="AS206">
            <v>6442.8310000000001</v>
          </cell>
          <cell r="AT206">
            <v>6580.3119999999999</v>
          </cell>
          <cell r="AU206">
            <v>6721.1149999999998</v>
          </cell>
          <cell r="AV206">
            <v>6864.8419999999996</v>
          </cell>
          <cell r="AW206">
            <v>7011.4530000000004</v>
          </cell>
          <cell r="AX206">
            <v>7160.92</v>
          </cell>
          <cell r="AY206">
            <v>7312.85</v>
          </cell>
          <cell r="AZ206">
            <v>7466.7929999999997</v>
          </cell>
          <cell r="BA206">
            <v>7622.3379999999997</v>
          </cell>
          <cell r="BB206">
            <v>7779.2669999999998</v>
          </cell>
          <cell r="BC206">
            <v>7937.4579999999996</v>
          </cell>
          <cell r="BD206">
            <v>8096.7610000000004</v>
          </cell>
          <cell r="BE206">
            <v>8257.0660000000007</v>
          </cell>
          <cell r="BF206">
            <v>8418.2639999999992</v>
          </cell>
          <cell r="BG206">
            <v>8580.2350000000006</v>
          </cell>
          <cell r="BH206">
            <v>8742.8140000000003</v>
          </cell>
          <cell r="BI206">
            <v>8905.8230000000003</v>
          </cell>
          <cell r="BJ206">
            <v>9069.0390000000007</v>
          </cell>
          <cell r="BK206">
            <v>9232.3060000000005</v>
          </cell>
          <cell r="BL206">
            <v>9395.4459999999999</v>
          </cell>
          <cell r="BM206">
            <v>9558.4390000000003</v>
          </cell>
          <cell r="BN206">
            <v>9721.4539999999997</v>
          </cell>
          <cell r="BO206">
            <v>9884.7810000000009</v>
          </cell>
          <cell r="BP206">
            <v>10048.59</v>
          </cell>
          <cell r="BQ206">
            <v>10212.954</v>
          </cell>
          <cell r="BR206">
            <v>10377.675999999999</v>
          </cell>
          <cell r="BS206">
            <v>10542.377</v>
          </cell>
          <cell r="BT206">
            <v>10706.517</v>
          </cell>
          <cell r="BU206">
            <v>10869.73</v>
          </cell>
          <cell r="BV206">
            <v>11031.814</v>
          </cell>
          <cell r="BW206">
            <v>11192.855</v>
          </cell>
          <cell r="BX206">
            <v>11353.142</v>
          </cell>
        </row>
        <row r="207">
          <cell r="C207" t="str">
            <v>Brazil</v>
          </cell>
          <cell r="E207">
            <v>76</v>
          </cell>
          <cell r="F207" t="str">
            <v>Country</v>
          </cell>
          <cell r="G207">
            <v>931</v>
          </cell>
          <cell r="H207">
            <v>53974.728999999999</v>
          </cell>
          <cell r="I207">
            <v>55606.419000000002</v>
          </cell>
          <cell r="J207">
            <v>57283.658000000003</v>
          </cell>
          <cell r="K207">
            <v>58999.277000000002</v>
          </cell>
          <cell r="L207">
            <v>60749.5</v>
          </cell>
          <cell r="M207">
            <v>62533.919000000002</v>
          </cell>
          <cell r="N207">
            <v>64355.722000000002</v>
          </cell>
          <cell r="O207">
            <v>66221.466</v>
          </cell>
          <cell r="P207">
            <v>68140.425000000003</v>
          </cell>
          <cell r="Q207">
            <v>70123.376999999993</v>
          </cell>
          <cell r="R207">
            <v>72179.225999999995</v>
          </cell>
          <cell r="S207">
            <v>74311.342999999993</v>
          </cell>
          <cell r="T207">
            <v>76514.327999999994</v>
          </cell>
          <cell r="U207">
            <v>78772.657000000007</v>
          </cell>
          <cell r="V207">
            <v>81064.570999999996</v>
          </cell>
          <cell r="W207">
            <v>83373.53</v>
          </cell>
          <cell r="X207">
            <v>85696.505000000005</v>
          </cell>
          <cell r="Y207">
            <v>88035.813999999998</v>
          </cell>
          <cell r="Z207">
            <v>90387.078999999998</v>
          </cell>
          <cell r="AA207">
            <v>92746.614000000001</v>
          </cell>
          <cell r="AB207">
            <v>95113.264999999999</v>
          </cell>
          <cell r="AC207">
            <v>97482.92</v>
          </cell>
          <cell r="AD207">
            <v>99859.383000000002</v>
          </cell>
          <cell r="AE207">
            <v>102259.497</v>
          </cell>
          <cell r="AF207">
            <v>104706.198</v>
          </cell>
          <cell r="AG207">
            <v>107216.205</v>
          </cell>
          <cell r="AH207">
            <v>109790.93799999999</v>
          </cell>
          <cell r="AI207">
            <v>112425.39200000001</v>
          </cell>
          <cell r="AJ207">
            <v>115121.15300000001</v>
          </cell>
          <cell r="AK207">
            <v>117878.41099999999</v>
          </cell>
          <cell r="AL207">
            <v>120694.00900000001</v>
          </cell>
          <cell r="AM207">
            <v>123570.327</v>
          </cell>
          <cell r="AN207">
            <v>126498.314</v>
          </cell>
          <cell r="AO207">
            <v>129448.819</v>
          </cell>
          <cell r="AP207">
            <v>132383.568</v>
          </cell>
          <cell r="AQ207">
            <v>135274.07999999999</v>
          </cell>
          <cell r="AR207">
            <v>138108.91200000001</v>
          </cell>
          <cell r="AS207">
            <v>140891.60200000001</v>
          </cell>
          <cell r="AT207">
            <v>143627.503</v>
          </cell>
          <cell r="AU207">
            <v>146328.304</v>
          </cell>
          <cell r="AV207">
            <v>149003.223</v>
          </cell>
          <cell r="AW207">
            <v>151648.011</v>
          </cell>
          <cell r="AX207">
            <v>154259.38</v>
          </cell>
          <cell r="AY207">
            <v>156849.07800000001</v>
          </cell>
          <cell r="AZ207">
            <v>159432.71599999999</v>
          </cell>
          <cell r="BA207">
            <v>162019.89600000001</v>
          </cell>
          <cell r="BB207">
            <v>164614.68799999999</v>
          </cell>
          <cell r="BC207">
            <v>167209.04</v>
          </cell>
          <cell r="BD207">
            <v>169785.25</v>
          </cell>
          <cell r="BE207">
            <v>172318.67499999999</v>
          </cell>
          <cell r="BF207">
            <v>174790.34</v>
          </cell>
          <cell r="BG207">
            <v>177196.054</v>
          </cell>
          <cell r="BH207">
            <v>179537.52</v>
          </cell>
          <cell r="BI207">
            <v>181809.24600000001</v>
          </cell>
          <cell r="BJ207">
            <v>184006.481</v>
          </cell>
          <cell r="BK207">
            <v>186127.103</v>
          </cell>
          <cell r="BL207">
            <v>188167.356</v>
          </cell>
          <cell r="BM207">
            <v>190130.443</v>
          </cell>
          <cell r="BN207">
            <v>192030.36199999999</v>
          </cell>
          <cell r="BO207">
            <v>193886.508</v>
          </cell>
          <cell r="BP207">
            <v>195713.63500000001</v>
          </cell>
          <cell r="BQ207">
            <v>197514.53599999999</v>
          </cell>
          <cell r="BR207">
            <v>199287.299</v>
          </cell>
          <cell r="BS207">
            <v>201035.91200000001</v>
          </cell>
          <cell r="BT207">
            <v>202763.739</v>
          </cell>
          <cell r="BU207">
            <v>204471.769</v>
          </cell>
          <cell r="BV207">
            <v>206163.05300000001</v>
          </cell>
          <cell r="BW207">
            <v>207833.823</v>
          </cell>
          <cell r="BX207">
            <v>209469.323</v>
          </cell>
        </row>
        <row r="208">
          <cell r="C208" t="str">
            <v>Chile</v>
          </cell>
          <cell r="E208">
            <v>152</v>
          </cell>
          <cell r="F208" t="str">
            <v>Country</v>
          </cell>
          <cell r="G208">
            <v>931</v>
          </cell>
          <cell r="H208">
            <v>6598.5240000000003</v>
          </cell>
          <cell r="I208">
            <v>6729.5789999999997</v>
          </cell>
          <cell r="J208">
            <v>6869.7089999999998</v>
          </cell>
          <cell r="K208">
            <v>7016.4679999999998</v>
          </cell>
          <cell r="L208">
            <v>7167.9070000000002</v>
          </cell>
          <cell r="M208">
            <v>7322.652</v>
          </cell>
          <cell r="N208">
            <v>7479.85</v>
          </cell>
          <cell r="O208">
            <v>7639.2049999999999</v>
          </cell>
          <cell r="P208">
            <v>7800.8770000000004</v>
          </cell>
          <cell r="Q208">
            <v>7965.3310000000001</v>
          </cell>
          <cell r="R208">
            <v>8132.99</v>
          </cell>
          <cell r="S208">
            <v>8303.8109999999997</v>
          </cell>
          <cell r="T208">
            <v>8476.8970000000008</v>
          </cell>
          <cell r="U208">
            <v>8650.3870000000006</v>
          </cell>
          <cell r="V208">
            <v>8821.8580000000002</v>
          </cell>
          <cell r="W208">
            <v>8989.6209999999992</v>
          </cell>
          <cell r="X208">
            <v>9152.8439999999991</v>
          </cell>
          <cell r="Y208">
            <v>9312.0949999999993</v>
          </cell>
          <cell r="Z208">
            <v>9468.8449999999993</v>
          </cell>
          <cell r="AA208">
            <v>9625.3119999999999</v>
          </cell>
          <cell r="AB208">
            <v>9783.134</v>
          </cell>
          <cell r="AC208">
            <v>9942.7270000000008</v>
          </cell>
          <cell r="AD208">
            <v>10103.674000000001</v>
          </cell>
          <cell r="AE208">
            <v>10265.829</v>
          </cell>
          <cell r="AF208">
            <v>10428.798000000001</v>
          </cell>
          <cell r="AG208">
            <v>10592.307000000001</v>
          </cell>
          <cell r="AH208">
            <v>10756.878000000001</v>
          </cell>
          <cell r="AI208">
            <v>10922.779</v>
          </cell>
          <cell r="AJ208">
            <v>11089.165000000001</v>
          </cell>
          <cell r="AK208">
            <v>11254.877</v>
          </cell>
          <cell r="AL208">
            <v>11419.348</v>
          </cell>
          <cell r="AM208">
            <v>11582.013999999999</v>
          </cell>
          <cell r="AN208">
            <v>11743.911</v>
          </cell>
          <cell r="AO208">
            <v>11907.96</v>
          </cell>
          <cell r="AP208">
            <v>12078.135</v>
          </cell>
          <cell r="AQ208">
            <v>12257.236000000001</v>
          </cell>
          <cell r="AR208">
            <v>12445.823</v>
          </cell>
          <cell r="AS208">
            <v>12642.924000000001</v>
          </cell>
          <cell r="AT208">
            <v>12847.708000000001</v>
          </cell>
          <cell r="AU208">
            <v>13058.758</v>
          </cell>
          <cell r="AV208">
            <v>13274.623</v>
          </cell>
          <cell r="AW208">
            <v>13495.258</v>
          </cell>
          <cell r="AX208">
            <v>13719.819</v>
          </cell>
          <cell r="AY208">
            <v>13944.937</v>
          </cell>
          <cell r="AZ208">
            <v>14166.34</v>
          </cell>
          <cell r="BA208">
            <v>14380.866</v>
          </cell>
          <cell r="BB208">
            <v>14587.37</v>
          </cell>
          <cell r="BC208">
            <v>14786.22</v>
          </cell>
          <cell r="BD208">
            <v>14977.733</v>
          </cell>
          <cell r="BE208">
            <v>15162.8</v>
          </cell>
          <cell r="BF208">
            <v>15342.352999999999</v>
          </cell>
          <cell r="BG208">
            <v>15516.112999999999</v>
          </cell>
          <cell r="BH208">
            <v>15684.409</v>
          </cell>
          <cell r="BI208">
            <v>15849.652</v>
          </cell>
          <cell r="BJ208">
            <v>16014.971</v>
          </cell>
          <cell r="BK208">
            <v>16182.721</v>
          </cell>
          <cell r="BL208">
            <v>16354.504000000001</v>
          </cell>
          <cell r="BM208">
            <v>16530.195</v>
          </cell>
          <cell r="BN208">
            <v>16708.258000000002</v>
          </cell>
          <cell r="BO208">
            <v>16886.186000000002</v>
          </cell>
          <cell r="BP208">
            <v>17062.536</v>
          </cell>
          <cell r="BQ208">
            <v>17233.576000000001</v>
          </cell>
          <cell r="BR208">
            <v>17400.347000000002</v>
          </cell>
          <cell r="BS208">
            <v>17571.507000000001</v>
          </cell>
          <cell r="BT208">
            <v>17758.958999999999</v>
          </cell>
          <cell r="BU208">
            <v>17969.352999999999</v>
          </cell>
          <cell r="BV208">
            <v>18209.067999999999</v>
          </cell>
          <cell r="BW208">
            <v>18470.438999999998</v>
          </cell>
          <cell r="BX208">
            <v>18729.16</v>
          </cell>
        </row>
        <row r="209">
          <cell r="C209" t="str">
            <v>Colombia</v>
          </cell>
          <cell r="E209">
            <v>170</v>
          </cell>
          <cell r="F209" t="str">
            <v>Country</v>
          </cell>
          <cell r="G209">
            <v>931</v>
          </cell>
          <cell r="H209">
            <v>11981.575999999999</v>
          </cell>
          <cell r="I209">
            <v>12295.968000000001</v>
          </cell>
          <cell r="J209">
            <v>12633.907999999999</v>
          </cell>
          <cell r="K209">
            <v>12993.841</v>
          </cell>
          <cell r="L209">
            <v>13374.536</v>
          </cell>
          <cell r="M209">
            <v>13775</v>
          </cell>
          <cell r="N209">
            <v>14194.557000000001</v>
          </cell>
          <cell r="O209">
            <v>14632.797</v>
          </cell>
          <cell r="P209">
            <v>15089.519</v>
          </cell>
          <cell r="Q209">
            <v>15564.616</v>
          </cell>
          <cell r="R209">
            <v>16057.724</v>
          </cell>
          <cell r="S209">
            <v>16567.811000000002</v>
          </cell>
          <cell r="T209">
            <v>17092.918000000001</v>
          </cell>
          <cell r="U209">
            <v>17629.978999999999</v>
          </cell>
          <cell r="V209">
            <v>18175.185000000001</v>
          </cell>
          <cell r="W209">
            <v>18725.244999999999</v>
          </cell>
          <cell r="X209">
            <v>19279.740000000002</v>
          </cell>
          <cell r="Y209">
            <v>19837.509999999998</v>
          </cell>
          <cell r="Z209">
            <v>20393.699000000001</v>
          </cell>
          <cell r="AA209">
            <v>20942.455999999998</v>
          </cell>
          <cell r="AB209">
            <v>21480.064999999999</v>
          </cell>
          <cell r="AC209">
            <v>22003.98</v>
          </cell>
          <cell r="AD209">
            <v>22516.424999999999</v>
          </cell>
          <cell r="AE209">
            <v>23024.517</v>
          </cell>
          <cell r="AF209">
            <v>23538.385999999999</v>
          </cell>
          <cell r="AG209">
            <v>24065.507000000001</v>
          </cell>
          <cell r="AH209">
            <v>24608.113000000001</v>
          </cell>
          <cell r="AI209">
            <v>25164.544999999998</v>
          </cell>
          <cell r="AJ209">
            <v>25733.672999999999</v>
          </cell>
          <cell r="AK209">
            <v>26312.993999999999</v>
          </cell>
          <cell r="AL209">
            <v>26900.506000000001</v>
          </cell>
          <cell r="AM209">
            <v>27496.616999999998</v>
          </cell>
          <cell r="AN209">
            <v>28101.819</v>
          </cell>
          <cell r="AO209">
            <v>28714.19</v>
          </cell>
          <cell r="AP209">
            <v>29331.238000000001</v>
          </cell>
          <cell r="AQ209">
            <v>29951.201000000001</v>
          </cell>
          <cell r="AR209">
            <v>30572.477999999999</v>
          </cell>
          <cell r="AS209">
            <v>31195.413</v>
          </cell>
          <cell r="AT209">
            <v>31822.525000000001</v>
          </cell>
          <cell r="AU209">
            <v>32457.499</v>
          </cell>
          <cell r="AV209">
            <v>33102.574999999997</v>
          </cell>
          <cell r="AW209">
            <v>33758.337</v>
          </cell>
          <cell r="AX209">
            <v>34422.569000000003</v>
          </cell>
          <cell r="AY209">
            <v>35091.275000000001</v>
          </cell>
          <cell r="AZ209">
            <v>35758.978999999999</v>
          </cell>
          <cell r="BA209">
            <v>36421.438000000002</v>
          </cell>
          <cell r="BB209">
            <v>37076.387000000002</v>
          </cell>
          <cell r="BC209">
            <v>37723.800000000003</v>
          </cell>
          <cell r="BD209">
            <v>38364.309000000001</v>
          </cell>
          <cell r="BE209">
            <v>38999.470999999998</v>
          </cell>
          <cell r="BF209">
            <v>39629.968000000001</v>
          </cell>
          <cell r="BG209">
            <v>40255.966999999997</v>
          </cell>
          <cell r="BH209">
            <v>40875.360000000001</v>
          </cell>
          <cell r="BI209">
            <v>41483.868999999999</v>
          </cell>
          <cell r="BJ209">
            <v>42075.955000000002</v>
          </cell>
          <cell r="BK209">
            <v>42647.722999999998</v>
          </cell>
          <cell r="BL209">
            <v>43200.896999999997</v>
          </cell>
          <cell r="BM209">
            <v>43737.516000000003</v>
          </cell>
          <cell r="BN209">
            <v>44254.974999999999</v>
          </cell>
          <cell r="BO209">
            <v>44750.053999999996</v>
          </cell>
          <cell r="BP209">
            <v>45222.7</v>
          </cell>
          <cell r="BQ209">
            <v>45662.748</v>
          </cell>
          <cell r="BR209">
            <v>46075.718000000001</v>
          </cell>
          <cell r="BS209">
            <v>46495.493000000002</v>
          </cell>
          <cell r="BT209">
            <v>46967.696000000004</v>
          </cell>
          <cell r="BU209">
            <v>47520.667000000001</v>
          </cell>
          <cell r="BV209">
            <v>48175.052000000003</v>
          </cell>
          <cell r="BW209">
            <v>48909.839</v>
          </cell>
          <cell r="BX209">
            <v>49661.048000000003</v>
          </cell>
        </row>
        <row r="210">
          <cell r="C210" t="str">
            <v>Ecuador</v>
          </cell>
          <cell r="E210">
            <v>218</v>
          </cell>
          <cell r="F210" t="str">
            <v>Country</v>
          </cell>
          <cell r="G210">
            <v>931</v>
          </cell>
          <cell r="H210">
            <v>3470.1590000000001</v>
          </cell>
          <cell r="I210">
            <v>3561.0790000000002</v>
          </cell>
          <cell r="J210">
            <v>3654.7220000000002</v>
          </cell>
          <cell r="K210">
            <v>3751.5949999999998</v>
          </cell>
          <cell r="L210">
            <v>3852.1260000000002</v>
          </cell>
          <cell r="M210">
            <v>3956.62</v>
          </cell>
          <cell r="N210">
            <v>4065.3130000000001</v>
          </cell>
          <cell r="O210">
            <v>4178.3440000000001</v>
          </cell>
          <cell r="P210">
            <v>4295.7470000000003</v>
          </cell>
          <cell r="Q210">
            <v>4417.5349999999999</v>
          </cell>
          <cell r="R210">
            <v>4543.6660000000002</v>
          </cell>
          <cell r="S210">
            <v>4674.1719999999996</v>
          </cell>
          <cell r="T210">
            <v>4809.201</v>
          </cell>
          <cell r="U210">
            <v>4948.9859999999999</v>
          </cell>
          <cell r="V210">
            <v>5093.8540000000003</v>
          </cell>
          <cell r="W210">
            <v>5243.9769999999999</v>
          </cell>
          <cell r="X210">
            <v>5399.4219999999996</v>
          </cell>
          <cell r="Y210">
            <v>5560.0119999999997</v>
          </cell>
          <cell r="Z210">
            <v>5725.4589999999998</v>
          </cell>
          <cell r="AA210">
            <v>5895.3670000000002</v>
          </cell>
          <cell r="AB210">
            <v>6069.3760000000002</v>
          </cell>
          <cell r="AC210">
            <v>6247.4179999999997</v>
          </cell>
          <cell r="AD210">
            <v>6429.3789999999999</v>
          </cell>
          <cell r="AE210">
            <v>6614.8429999999998</v>
          </cell>
          <cell r="AF210">
            <v>6803.28</v>
          </cell>
          <cell r="AG210">
            <v>6994.3339999999998</v>
          </cell>
          <cell r="AH210">
            <v>7187.7870000000003</v>
          </cell>
          <cell r="AI210">
            <v>7383.7240000000002</v>
          </cell>
          <cell r="AJ210">
            <v>7582.3530000000001</v>
          </cell>
          <cell r="AK210">
            <v>7784.0720000000001</v>
          </cell>
          <cell r="AL210">
            <v>7989.1859999999997</v>
          </cell>
          <cell r="AM210">
            <v>8197.652</v>
          </cell>
          <cell r="AN210">
            <v>8409.3970000000008</v>
          </cell>
          <cell r="AO210">
            <v>8624.5939999999991</v>
          </cell>
          <cell r="AP210">
            <v>8843.4619999999995</v>
          </cell>
          <cell r="AQ210">
            <v>9066.1090000000004</v>
          </cell>
          <cell r="AR210">
            <v>9292.4740000000002</v>
          </cell>
          <cell r="AS210">
            <v>9522.36</v>
          </cell>
          <cell r="AT210">
            <v>9755.5789999999997</v>
          </cell>
          <cell r="AU210">
            <v>9991.8700000000008</v>
          </cell>
          <cell r="AV210">
            <v>10230.933999999999</v>
          </cell>
          <cell r="AW210">
            <v>10472.475</v>
          </cell>
          <cell r="AX210">
            <v>10716.129000000001</v>
          </cell>
          <cell r="AY210">
            <v>10961.466</v>
          </cell>
          <cell r="AZ210">
            <v>11208.001</v>
          </cell>
          <cell r="BA210">
            <v>11455.204</v>
          </cell>
          <cell r="BB210">
            <v>11703.174000000001</v>
          </cell>
          <cell r="BC210">
            <v>11951.451999999999</v>
          </cell>
          <cell r="BD210">
            <v>12198.449000000001</v>
          </cell>
          <cell r="BE210">
            <v>12442.115</v>
          </cell>
          <cell r="BF210">
            <v>12681.123</v>
          </cell>
          <cell r="BG210">
            <v>12914.666999999999</v>
          </cell>
          <cell r="BH210">
            <v>13143.465</v>
          </cell>
          <cell r="BI210">
            <v>13369.678</v>
          </cell>
          <cell r="BJ210">
            <v>13596.388000000001</v>
          </cell>
          <cell r="BK210">
            <v>13825.847</v>
          </cell>
          <cell r="BL210">
            <v>14059.384</v>
          </cell>
          <cell r="BM210">
            <v>14296.557000000001</v>
          </cell>
          <cell r="BN210">
            <v>14535.739</v>
          </cell>
          <cell r="BO210">
            <v>14774.424000000001</v>
          </cell>
          <cell r="BP210">
            <v>15011.117</v>
          </cell>
          <cell r="BQ210">
            <v>15243.884</v>
          </cell>
          <cell r="BR210">
            <v>15474.101000000001</v>
          </cell>
          <cell r="BS210">
            <v>15707.474</v>
          </cell>
          <cell r="BT210">
            <v>15951.84</v>
          </cell>
          <cell r="BU210">
            <v>16212.02</v>
          </cell>
          <cell r="BV210">
            <v>16491.116000000002</v>
          </cell>
          <cell r="BW210">
            <v>16785.361000000001</v>
          </cell>
          <cell r="BX210">
            <v>17084.358</v>
          </cell>
        </row>
        <row r="211">
          <cell r="C211" t="str">
            <v>Falkland Islands (Malvinas)</v>
          </cell>
          <cell r="D211">
            <v>12</v>
          </cell>
          <cell r="E211">
            <v>238</v>
          </cell>
          <cell r="F211" t="str">
            <v>Country</v>
          </cell>
          <cell r="G211">
            <v>931</v>
          </cell>
          <cell r="H211">
            <v>2.2589999999999999</v>
          </cell>
          <cell r="I211">
            <v>2.2490000000000001</v>
          </cell>
          <cell r="J211">
            <v>2.2400000000000002</v>
          </cell>
          <cell r="K211">
            <v>2.2189999999999999</v>
          </cell>
          <cell r="L211">
            <v>2.21</v>
          </cell>
          <cell r="M211">
            <v>2.2040000000000002</v>
          </cell>
          <cell r="N211">
            <v>2.1850000000000001</v>
          </cell>
          <cell r="O211">
            <v>2.1800000000000002</v>
          </cell>
          <cell r="P211">
            <v>2.165</v>
          </cell>
          <cell r="Q211">
            <v>2.1520000000000001</v>
          </cell>
          <cell r="R211">
            <v>2.15</v>
          </cell>
          <cell r="S211">
            <v>2.1259999999999999</v>
          </cell>
          <cell r="T211">
            <v>2.1160000000000001</v>
          </cell>
          <cell r="U211">
            <v>2.109</v>
          </cell>
          <cell r="V211">
            <v>2.0870000000000002</v>
          </cell>
          <cell r="W211">
            <v>2.0779999999999998</v>
          </cell>
          <cell r="X211">
            <v>2.0579999999999998</v>
          </cell>
          <cell r="Y211">
            <v>2.0329999999999999</v>
          </cell>
          <cell r="Z211">
            <v>2.0209999999999999</v>
          </cell>
          <cell r="AA211">
            <v>2.004</v>
          </cell>
          <cell r="AB211">
            <v>1.992</v>
          </cell>
          <cell r="AC211">
            <v>1.9610000000000001</v>
          </cell>
          <cell r="AD211">
            <v>1.9570000000000001</v>
          </cell>
          <cell r="AE211">
            <v>1.9279999999999999</v>
          </cell>
          <cell r="AF211">
            <v>1.9239999999999999</v>
          </cell>
          <cell r="AG211">
            <v>1.903</v>
          </cell>
          <cell r="AH211">
            <v>1.889</v>
          </cell>
          <cell r="AI211">
            <v>1.877</v>
          </cell>
          <cell r="AJ211">
            <v>1.873</v>
          </cell>
          <cell r="AK211">
            <v>1.859</v>
          </cell>
          <cell r="AL211">
            <v>1.8540000000000001</v>
          </cell>
          <cell r="AM211">
            <v>1.8460000000000001</v>
          </cell>
          <cell r="AN211">
            <v>1.847</v>
          </cell>
          <cell r="AO211">
            <v>1.841</v>
          </cell>
          <cell r="AP211">
            <v>1.8460000000000001</v>
          </cell>
          <cell r="AQ211">
            <v>1.85</v>
          </cell>
          <cell r="AR211">
            <v>1.855</v>
          </cell>
          <cell r="AS211">
            <v>1.869</v>
          </cell>
          <cell r="AT211">
            <v>1.891</v>
          </cell>
          <cell r="AU211">
            <v>1.929</v>
          </cell>
          <cell r="AV211">
            <v>1.982</v>
          </cell>
          <cell r="AW211">
            <v>2.0630000000000002</v>
          </cell>
          <cell r="AX211">
            <v>2.16</v>
          </cell>
          <cell r="AY211">
            <v>2.2759999999999998</v>
          </cell>
          <cell r="AZ211">
            <v>2.3889999999999998</v>
          </cell>
          <cell r="BA211">
            <v>2.4900000000000002</v>
          </cell>
          <cell r="BB211">
            <v>2.5960000000000001</v>
          </cell>
          <cell r="BC211">
            <v>2.6930000000000001</v>
          </cell>
          <cell r="BD211">
            <v>2.7629999999999999</v>
          </cell>
          <cell r="BE211">
            <v>2.8410000000000002</v>
          </cell>
          <cell r="BF211">
            <v>2.8919999999999999</v>
          </cell>
          <cell r="BG211">
            <v>2.931</v>
          </cell>
          <cell r="BH211">
            <v>2.9470000000000001</v>
          </cell>
          <cell r="BI211">
            <v>2.9569999999999999</v>
          </cell>
          <cell r="BJ211">
            <v>2.9489999999999998</v>
          </cell>
          <cell r="BK211">
            <v>2.9350000000000001</v>
          </cell>
          <cell r="BL211">
            <v>2.9340000000000002</v>
          </cell>
          <cell r="BM211">
            <v>2.9369999999999998</v>
          </cell>
          <cell r="BN211">
            <v>2.9319999999999999</v>
          </cell>
          <cell r="BO211">
            <v>2.9169999999999998</v>
          </cell>
          <cell r="BP211">
            <v>2.9009999999999998</v>
          </cell>
          <cell r="BQ211">
            <v>2.8730000000000002</v>
          </cell>
          <cell r="BR211">
            <v>2.823</v>
          </cell>
          <cell r="BS211">
            <v>2.794</v>
          </cell>
          <cell r="BT211">
            <v>2.7919999999999998</v>
          </cell>
          <cell r="BU211">
            <v>2.8340000000000001</v>
          </cell>
          <cell r="BV211">
            <v>2.9279999999999999</v>
          </cell>
          <cell r="BW211">
            <v>3.0680000000000001</v>
          </cell>
          <cell r="BX211">
            <v>3.234</v>
          </cell>
        </row>
        <row r="212">
          <cell r="C212" t="str">
            <v>French Guiana</v>
          </cell>
          <cell r="E212">
            <v>254</v>
          </cell>
          <cell r="F212" t="str">
            <v>Country</v>
          </cell>
          <cell r="G212">
            <v>931</v>
          </cell>
          <cell r="H212">
            <v>25.472000000000001</v>
          </cell>
          <cell r="I212">
            <v>26.247</v>
          </cell>
          <cell r="J212">
            <v>26.891999999999999</v>
          </cell>
          <cell r="K212">
            <v>27.465</v>
          </cell>
          <cell r="L212">
            <v>27.986999999999998</v>
          </cell>
          <cell r="M212">
            <v>28.49</v>
          </cell>
          <cell r="N212">
            <v>29.027000000000001</v>
          </cell>
          <cell r="O212">
            <v>29.620999999999999</v>
          </cell>
          <cell r="P212">
            <v>30.303000000000001</v>
          </cell>
          <cell r="Q212">
            <v>31.094999999999999</v>
          </cell>
          <cell r="R212">
            <v>32.031999999999996</v>
          </cell>
          <cell r="S212">
            <v>33.121000000000002</v>
          </cell>
          <cell r="T212">
            <v>34.377000000000002</v>
          </cell>
          <cell r="U212">
            <v>35.765000000000001</v>
          </cell>
          <cell r="V212">
            <v>37.286999999999999</v>
          </cell>
          <cell r="W212">
            <v>38.892000000000003</v>
          </cell>
          <cell r="X212">
            <v>40.622999999999998</v>
          </cell>
          <cell r="Y212">
            <v>42.442999999999998</v>
          </cell>
          <cell r="Z212">
            <v>44.31</v>
          </cell>
          <cell r="AA212">
            <v>46.152999999999999</v>
          </cell>
          <cell r="AB212">
            <v>47.93</v>
          </cell>
          <cell r="AC212">
            <v>49.628999999999998</v>
          </cell>
          <cell r="AD212">
            <v>51.268999999999998</v>
          </cell>
          <cell r="AE212">
            <v>52.88</v>
          </cell>
          <cell r="AF212">
            <v>54.52</v>
          </cell>
          <cell r="AG212">
            <v>56.222999999999999</v>
          </cell>
          <cell r="AH212">
            <v>57.994999999999997</v>
          </cell>
          <cell r="AI212">
            <v>59.872</v>
          </cell>
          <cell r="AJ212">
            <v>61.930999999999997</v>
          </cell>
          <cell r="AK212">
            <v>64.281000000000006</v>
          </cell>
          <cell r="AL212">
            <v>66.977000000000004</v>
          </cell>
          <cell r="AM212">
            <v>70.028999999999996</v>
          </cell>
          <cell r="AN212">
            <v>73.42</v>
          </cell>
          <cell r="AO212">
            <v>77.233000000000004</v>
          </cell>
          <cell r="AP212">
            <v>81.561999999999998</v>
          </cell>
          <cell r="AQ212">
            <v>86.438999999999993</v>
          </cell>
          <cell r="AR212">
            <v>91.938999999999993</v>
          </cell>
          <cell r="AS212">
            <v>97.977999999999994</v>
          </cell>
          <cell r="AT212">
            <v>104.226</v>
          </cell>
          <cell r="AU212">
            <v>110.26300000000001</v>
          </cell>
          <cell r="AV212">
            <v>115.78400000000001</v>
          </cell>
          <cell r="AW212">
            <v>120.678</v>
          </cell>
          <cell r="AX212">
            <v>125.078</v>
          </cell>
          <cell r="AY212">
            <v>129.15100000000001</v>
          </cell>
          <cell r="AZ212">
            <v>133.17599999999999</v>
          </cell>
          <cell r="BA212">
            <v>137.4</v>
          </cell>
          <cell r="BB212">
            <v>141.79300000000001</v>
          </cell>
          <cell r="BC212">
            <v>146.328</v>
          </cell>
          <cell r="BD212">
            <v>151.25200000000001</v>
          </cell>
          <cell r="BE212">
            <v>156.80199999999999</v>
          </cell>
          <cell r="BF212">
            <v>163.16499999999999</v>
          </cell>
          <cell r="BG212">
            <v>170.45400000000001</v>
          </cell>
          <cell r="BH212">
            <v>178.54300000000001</v>
          </cell>
          <cell r="BI212">
            <v>187.024</v>
          </cell>
          <cell r="BJ212">
            <v>195.31399999999999</v>
          </cell>
          <cell r="BK212">
            <v>202.971</v>
          </cell>
          <cell r="BL212">
            <v>209.89</v>
          </cell>
          <cell r="BM212">
            <v>216.185</v>
          </cell>
          <cell r="BN212">
            <v>221.99600000000001</v>
          </cell>
          <cell r="BO212">
            <v>227.54</v>
          </cell>
          <cell r="BP212">
            <v>233.00200000000001</v>
          </cell>
          <cell r="BQ212">
            <v>238.38399999999999</v>
          </cell>
          <cell r="BR212">
            <v>243.666</v>
          </cell>
          <cell r="BS212">
            <v>249.054</v>
          </cell>
          <cell r="BT212">
            <v>254.773</v>
          </cell>
          <cell r="BU212">
            <v>260.99900000000002</v>
          </cell>
          <cell r="BV212">
            <v>267.82100000000003</v>
          </cell>
          <cell r="BW212">
            <v>275.19099999999997</v>
          </cell>
          <cell r="BX212">
            <v>282.93799999999999</v>
          </cell>
        </row>
        <row r="213">
          <cell r="C213" t="str">
            <v>Guyana</v>
          </cell>
          <cell r="E213">
            <v>328</v>
          </cell>
          <cell r="F213" t="str">
            <v>Country</v>
          </cell>
          <cell r="G213">
            <v>931</v>
          </cell>
          <cell r="H213">
            <v>406.55900000000003</v>
          </cell>
          <cell r="I213">
            <v>418.67399999999998</v>
          </cell>
          <cell r="J213">
            <v>432.81799999999998</v>
          </cell>
          <cell r="K213">
            <v>448.464</v>
          </cell>
          <cell r="L213">
            <v>465.17200000000003</v>
          </cell>
          <cell r="M213">
            <v>482.55500000000001</v>
          </cell>
          <cell r="N213">
            <v>500.32400000000001</v>
          </cell>
          <cell r="O213">
            <v>518.25900000000001</v>
          </cell>
          <cell r="P213">
            <v>536.21799999999996</v>
          </cell>
          <cell r="Q213">
            <v>554.09199999999998</v>
          </cell>
          <cell r="R213">
            <v>571.81899999999996</v>
          </cell>
          <cell r="S213">
            <v>589.274</v>
          </cell>
          <cell r="T213">
            <v>606.28499999999997</v>
          </cell>
          <cell r="U213">
            <v>622.57500000000005</v>
          </cell>
          <cell r="V213">
            <v>637.84500000000003</v>
          </cell>
          <cell r="W213">
            <v>651.86800000000005</v>
          </cell>
          <cell r="X213">
            <v>664.52099999999996</v>
          </cell>
          <cell r="Y213">
            <v>675.87099999999998</v>
          </cell>
          <cell r="Z213">
            <v>686.14599999999996</v>
          </cell>
          <cell r="AA213">
            <v>695.745</v>
          </cell>
          <cell r="AB213">
            <v>704.93399999999997</v>
          </cell>
          <cell r="AC213">
            <v>713.68399999999997</v>
          </cell>
          <cell r="AD213">
            <v>721.94799999999998</v>
          </cell>
          <cell r="AE213">
            <v>729.91600000000005</v>
          </cell>
          <cell r="AF213">
            <v>737.84699999999998</v>
          </cell>
          <cell r="AG213">
            <v>745.84100000000001</v>
          </cell>
          <cell r="AH213">
            <v>754.101</v>
          </cell>
          <cell r="AI213">
            <v>762.42399999999998</v>
          </cell>
          <cell r="AJ213">
            <v>770.125</v>
          </cell>
          <cell r="AK213">
            <v>776.25400000000002</v>
          </cell>
          <cell r="AL213">
            <v>780.15300000000002</v>
          </cell>
          <cell r="AM213">
            <v>781.73199999999997</v>
          </cell>
          <cell r="AN213">
            <v>781.24599999999998</v>
          </cell>
          <cell r="AO213">
            <v>778.94799999999998</v>
          </cell>
          <cell r="AP213">
            <v>775.21900000000005</v>
          </cell>
          <cell r="AQ213">
            <v>770.43499999999995</v>
          </cell>
          <cell r="AR213">
            <v>764.44600000000003</v>
          </cell>
          <cell r="AS213">
            <v>757.44799999999998</v>
          </cell>
          <cell r="AT213">
            <v>750.63900000000001</v>
          </cell>
          <cell r="AU213">
            <v>745.58500000000004</v>
          </cell>
          <cell r="AV213">
            <v>743.30899999999997</v>
          </cell>
          <cell r="AW213">
            <v>744.47400000000005</v>
          </cell>
          <cell r="AX213">
            <v>748.60199999999998</v>
          </cell>
          <cell r="AY213">
            <v>754.14400000000001</v>
          </cell>
          <cell r="AZ213">
            <v>758.89599999999996</v>
          </cell>
          <cell r="BA213">
            <v>761.29100000000005</v>
          </cell>
          <cell r="BB213">
            <v>760.79499999999996</v>
          </cell>
          <cell r="BC213">
            <v>757.97</v>
          </cell>
          <cell r="BD213">
            <v>753.77800000000002</v>
          </cell>
          <cell r="BE213">
            <v>749.67399999999998</v>
          </cell>
          <cell r="BF213">
            <v>746.71500000000003</v>
          </cell>
          <cell r="BG213">
            <v>745.20600000000002</v>
          </cell>
          <cell r="BH213">
            <v>744.78899999999999</v>
          </cell>
          <cell r="BI213">
            <v>745.14300000000003</v>
          </cell>
          <cell r="BJ213">
            <v>745.73699999999997</v>
          </cell>
          <cell r="BK213">
            <v>746.16300000000001</v>
          </cell>
          <cell r="BL213">
            <v>746.34299999999996</v>
          </cell>
          <cell r="BM213">
            <v>746.47400000000005</v>
          </cell>
          <cell r="BN213">
            <v>746.81700000000001</v>
          </cell>
          <cell r="BO213">
            <v>747.71799999999996</v>
          </cell>
          <cell r="BP213">
            <v>749.43600000000004</v>
          </cell>
          <cell r="BQ213">
            <v>752.02800000000002</v>
          </cell>
          <cell r="BR213">
            <v>755.399</v>
          </cell>
          <cell r="BS213">
            <v>759.28499999999997</v>
          </cell>
          <cell r="BT213">
            <v>763.38</v>
          </cell>
          <cell r="BU213">
            <v>767.43200000000002</v>
          </cell>
          <cell r="BV213">
            <v>771.36800000000005</v>
          </cell>
          <cell r="BW213">
            <v>775.22199999999998</v>
          </cell>
          <cell r="BX213">
            <v>779.00599999999997</v>
          </cell>
        </row>
        <row r="214">
          <cell r="C214" t="str">
            <v>Paraguay</v>
          </cell>
          <cell r="E214">
            <v>600</v>
          </cell>
          <cell r="F214" t="str">
            <v>Country</v>
          </cell>
          <cell r="G214">
            <v>931</v>
          </cell>
          <cell r="H214">
            <v>1473.2529999999999</v>
          </cell>
          <cell r="I214">
            <v>1511.848</v>
          </cell>
          <cell r="J214">
            <v>1550.979</v>
          </cell>
          <cell r="K214">
            <v>1590.8610000000001</v>
          </cell>
          <cell r="L214">
            <v>1631.701</v>
          </cell>
          <cell r="M214">
            <v>1673.665</v>
          </cell>
          <cell r="N214">
            <v>1716.874</v>
          </cell>
          <cell r="O214">
            <v>1761.4480000000001</v>
          </cell>
          <cell r="P214">
            <v>1807.46</v>
          </cell>
          <cell r="Q214">
            <v>1854.9559999999999</v>
          </cell>
          <cell r="R214">
            <v>1903.982</v>
          </cell>
          <cell r="S214">
            <v>1954.548</v>
          </cell>
          <cell r="T214">
            <v>2006.67</v>
          </cell>
          <cell r="U214">
            <v>2060.3389999999999</v>
          </cell>
          <cell r="V214">
            <v>2115.567</v>
          </cell>
          <cell r="W214">
            <v>2172.306</v>
          </cell>
          <cell r="X214">
            <v>2230.741</v>
          </cell>
          <cell r="Y214">
            <v>2290.7979999999998</v>
          </cell>
          <cell r="Z214">
            <v>2351.9250000000002</v>
          </cell>
          <cell r="AA214">
            <v>2413.3960000000002</v>
          </cell>
          <cell r="AB214">
            <v>2474.7629999999999</v>
          </cell>
          <cell r="AC214">
            <v>2535.873</v>
          </cell>
          <cell r="AD214">
            <v>2597.154</v>
          </cell>
          <cell r="AE214">
            <v>2659.4209999999998</v>
          </cell>
          <cell r="AF214">
            <v>2723.8119999999999</v>
          </cell>
          <cell r="AG214">
            <v>2791.241</v>
          </cell>
          <cell r="AH214">
            <v>2861.8670000000002</v>
          </cell>
          <cell r="AI214">
            <v>2935.712</v>
          </cell>
          <cell r="AJ214">
            <v>3013.2820000000002</v>
          </cell>
          <cell r="AK214">
            <v>3095.145</v>
          </cell>
          <cell r="AL214">
            <v>3181.625</v>
          </cell>
          <cell r="AM214">
            <v>3272.9119999999998</v>
          </cell>
          <cell r="AN214">
            <v>3368.7730000000001</v>
          </cell>
          <cell r="AO214">
            <v>3468.5349999999999</v>
          </cell>
          <cell r="AP214">
            <v>3571.2719999999999</v>
          </cell>
          <cell r="AQ214">
            <v>3676.21</v>
          </cell>
          <cell r="AR214">
            <v>3783.0740000000001</v>
          </cell>
          <cell r="AS214">
            <v>3891.7339999999999</v>
          </cell>
          <cell r="AT214">
            <v>4001.681</v>
          </cell>
          <cell r="AU214">
            <v>4112.3860000000004</v>
          </cell>
          <cell r="AV214">
            <v>4223.415</v>
          </cell>
          <cell r="AW214">
            <v>4334.3450000000003</v>
          </cell>
          <cell r="AX214">
            <v>4445.0159999999996</v>
          </cell>
          <cell r="AY214">
            <v>4555.5209999999997</v>
          </cell>
          <cell r="AZ214">
            <v>4666.0940000000001</v>
          </cell>
          <cell r="BA214">
            <v>4776.8429999999998</v>
          </cell>
          <cell r="BB214">
            <v>4887.6319999999996</v>
          </cell>
          <cell r="BC214">
            <v>4998.1000000000004</v>
          </cell>
          <cell r="BD214">
            <v>5107.8389999999999</v>
          </cell>
          <cell r="BE214">
            <v>5216.3490000000002</v>
          </cell>
          <cell r="BF214">
            <v>5323.201</v>
          </cell>
          <cell r="BG214">
            <v>5428.4440000000004</v>
          </cell>
          <cell r="BH214">
            <v>5531.9620000000004</v>
          </cell>
          <cell r="BI214">
            <v>5632.9830000000002</v>
          </cell>
          <cell r="BJ214">
            <v>5730.549</v>
          </cell>
          <cell r="BK214">
            <v>5824.0959999999995</v>
          </cell>
          <cell r="BL214">
            <v>5913.2089999999998</v>
          </cell>
          <cell r="BM214">
            <v>5998.4269999999997</v>
          </cell>
          <cell r="BN214">
            <v>6081.2960000000003</v>
          </cell>
          <cell r="BO214">
            <v>6163.9719999999998</v>
          </cell>
          <cell r="BP214">
            <v>6248.02</v>
          </cell>
          <cell r="BQ214">
            <v>6333.9759999999997</v>
          </cell>
          <cell r="BR214">
            <v>6421.5129999999999</v>
          </cell>
          <cell r="BS214">
            <v>6510.2759999999998</v>
          </cell>
          <cell r="BT214">
            <v>6599.5259999999998</v>
          </cell>
          <cell r="BU214">
            <v>6688.7460000000001</v>
          </cell>
          <cell r="BV214">
            <v>6777.8720000000003</v>
          </cell>
          <cell r="BW214">
            <v>6867.0609999999997</v>
          </cell>
          <cell r="BX214">
            <v>6956.0659999999998</v>
          </cell>
        </row>
        <row r="215">
          <cell r="C215" t="str">
            <v>Peru</v>
          </cell>
          <cell r="E215">
            <v>604</v>
          </cell>
          <cell r="F215" t="str">
            <v>Country</v>
          </cell>
          <cell r="G215">
            <v>931</v>
          </cell>
          <cell r="H215">
            <v>7777.4459999999999</v>
          </cell>
          <cell r="I215">
            <v>7976.4780000000001</v>
          </cell>
          <cell r="J215">
            <v>8184.7179999999998</v>
          </cell>
          <cell r="K215">
            <v>8401.3739999999998</v>
          </cell>
          <cell r="L215">
            <v>8625.9779999999992</v>
          </cell>
          <cell r="M215">
            <v>8858.3889999999992</v>
          </cell>
          <cell r="N215">
            <v>9098.8289999999997</v>
          </cell>
          <cell r="O215">
            <v>9347.84</v>
          </cell>
          <cell r="P215">
            <v>9606.2379999999994</v>
          </cell>
          <cell r="Q215">
            <v>9875.0149999999994</v>
          </cell>
          <cell r="R215">
            <v>10155.014999999999</v>
          </cell>
          <cell r="S215">
            <v>10446.620000000001</v>
          </cell>
          <cell r="T215">
            <v>10749.466</v>
          </cell>
          <cell r="U215">
            <v>11062.3</v>
          </cell>
          <cell r="V215">
            <v>11383.373</v>
          </cell>
          <cell r="W215">
            <v>11711.392</v>
          </cell>
          <cell r="X215">
            <v>12045.787</v>
          </cell>
          <cell r="Y215">
            <v>12386.879000000001</v>
          </cell>
          <cell r="Z215">
            <v>12735.486000000001</v>
          </cell>
          <cell r="AA215">
            <v>13092.852000000001</v>
          </cell>
          <cell r="AB215">
            <v>13459.794</v>
          </cell>
          <cell r="AC215">
            <v>13836.367</v>
          </cell>
          <cell r="AD215">
            <v>14221.960999999999</v>
          </cell>
          <cell r="AE215">
            <v>14615.844999999999</v>
          </cell>
          <cell r="AF215">
            <v>15017.055</v>
          </cell>
          <cell r="AG215">
            <v>15424.744000000001</v>
          </cell>
          <cell r="AH215">
            <v>15838.572</v>
          </cell>
          <cell r="AI215">
            <v>16258.321</v>
          </cell>
          <cell r="AJ215">
            <v>16683.455999999998</v>
          </cell>
          <cell r="AK215">
            <v>17113.387999999999</v>
          </cell>
          <cell r="AL215">
            <v>17547.61</v>
          </cell>
          <cell r="AM215">
            <v>17985.393</v>
          </cell>
          <cell r="AN215">
            <v>18426.415000000001</v>
          </cell>
          <cell r="AO215">
            <v>18870.992999999999</v>
          </cell>
          <cell r="AP215">
            <v>19319.745999999999</v>
          </cell>
          <cell r="AQ215">
            <v>19772.871999999999</v>
          </cell>
          <cell r="AR215">
            <v>20230.383999999998</v>
          </cell>
          <cell r="AS215">
            <v>20691.282999999999</v>
          </cell>
          <cell r="AT215">
            <v>21153.458999999999</v>
          </cell>
          <cell r="AU215">
            <v>21614.192999999999</v>
          </cell>
          <cell r="AV215">
            <v>22071.433000000001</v>
          </cell>
          <cell r="AW215">
            <v>22522.378000000001</v>
          </cell>
          <cell r="AX215">
            <v>22966.817999999999</v>
          </cell>
          <cell r="AY215">
            <v>23408.131000000001</v>
          </cell>
          <cell r="AZ215">
            <v>23851.407999999999</v>
          </cell>
          <cell r="BA215">
            <v>24299.16</v>
          </cell>
          <cell r="BB215">
            <v>24753.824000000001</v>
          </cell>
          <cell r="BC215">
            <v>25210.954000000002</v>
          </cell>
          <cell r="BD215">
            <v>25658.062000000002</v>
          </cell>
          <cell r="BE215">
            <v>26078.293000000001</v>
          </cell>
          <cell r="BF215">
            <v>26459.944</v>
          </cell>
          <cell r="BG215">
            <v>26799.285</v>
          </cell>
          <cell r="BH215">
            <v>27100.968000000001</v>
          </cell>
          <cell r="BI215">
            <v>27372.225999999999</v>
          </cell>
          <cell r="BJ215">
            <v>27624.213</v>
          </cell>
          <cell r="BK215">
            <v>27866.145</v>
          </cell>
          <cell r="BL215">
            <v>28102.056</v>
          </cell>
          <cell r="BM215">
            <v>28333.052</v>
          </cell>
          <cell r="BN215">
            <v>28562.316999999999</v>
          </cell>
          <cell r="BO215">
            <v>28792.654999999999</v>
          </cell>
          <cell r="BP215">
            <v>29027.673999999999</v>
          </cell>
          <cell r="BQ215">
            <v>29264.317999999999</v>
          </cell>
          <cell r="BR215">
            <v>29506.788</v>
          </cell>
          <cell r="BS215">
            <v>29773.987000000001</v>
          </cell>
          <cell r="BT215">
            <v>30090.359</v>
          </cell>
          <cell r="BU215">
            <v>30470.734</v>
          </cell>
          <cell r="BV215">
            <v>30926.031999999999</v>
          </cell>
          <cell r="BW215">
            <v>31444.297999999999</v>
          </cell>
          <cell r="BX215">
            <v>31989.26</v>
          </cell>
        </row>
        <row r="216">
          <cell r="C216" t="str">
            <v>Suriname</v>
          </cell>
          <cell r="E216">
            <v>740</v>
          </cell>
          <cell r="F216" t="str">
            <v>Country</v>
          </cell>
          <cell r="G216">
            <v>931</v>
          </cell>
          <cell r="H216">
            <v>215.00200000000001</v>
          </cell>
          <cell r="I216">
            <v>222.464</v>
          </cell>
          <cell r="J216">
            <v>229.21199999999999</v>
          </cell>
          <cell r="K216">
            <v>235.68799999999999</v>
          </cell>
          <cell r="L216">
            <v>242.21299999999999</v>
          </cell>
          <cell r="M216">
            <v>249</v>
          </cell>
          <cell r="N216">
            <v>256.17700000000002</v>
          </cell>
          <cell r="O216">
            <v>263.75599999999997</v>
          </cell>
          <cell r="P216">
            <v>271.666</v>
          </cell>
          <cell r="Q216">
            <v>279.75</v>
          </cell>
          <cell r="R216">
            <v>287.87099999999998</v>
          </cell>
          <cell r="S216">
            <v>295.916</v>
          </cell>
          <cell r="T216">
            <v>303.89499999999998</v>
          </cell>
          <cell r="U216">
            <v>311.947</v>
          </cell>
          <cell r="V216">
            <v>320.27</v>
          </cell>
          <cell r="W216">
            <v>328.93599999999998</v>
          </cell>
          <cell r="X216">
            <v>338.15800000000002</v>
          </cell>
          <cell r="Y216">
            <v>347.66</v>
          </cell>
          <cell r="Z216">
            <v>356.55</v>
          </cell>
          <cell r="AA216">
            <v>363.57499999999999</v>
          </cell>
          <cell r="AB216">
            <v>367.93099999999998</v>
          </cell>
          <cell r="AC216">
            <v>369.23599999999999</v>
          </cell>
          <cell r="AD216">
            <v>367.90699999999998</v>
          </cell>
          <cell r="AE216">
            <v>364.91500000000002</v>
          </cell>
          <cell r="AF216">
            <v>361.66699999999997</v>
          </cell>
          <cell r="AG216">
            <v>359.226</v>
          </cell>
          <cell r="AH216">
            <v>357.95299999999997</v>
          </cell>
          <cell r="AI216">
            <v>357.65899999999999</v>
          </cell>
          <cell r="AJ216">
            <v>358.09899999999999</v>
          </cell>
          <cell r="AK216">
            <v>358.81799999999998</v>
          </cell>
          <cell r="AL216">
            <v>359.51900000000001</v>
          </cell>
          <cell r="AM216">
            <v>360.14299999999997</v>
          </cell>
          <cell r="AN216">
            <v>360.92</v>
          </cell>
          <cell r="AO216">
            <v>362.27600000000001</v>
          </cell>
          <cell r="AP216">
            <v>364.733</v>
          </cell>
          <cell r="AQ216">
            <v>368.63799999999998</v>
          </cell>
          <cell r="AR216">
            <v>374.14</v>
          </cell>
          <cell r="AS216">
            <v>381.03699999999998</v>
          </cell>
          <cell r="AT216">
            <v>388.88099999999997</v>
          </cell>
          <cell r="AU216">
            <v>397.08499999999998</v>
          </cell>
          <cell r="AV216">
            <v>405.16800000000001</v>
          </cell>
          <cell r="AW216">
            <v>413.005</v>
          </cell>
          <cell r="AX216">
            <v>420.65499999999997</v>
          </cell>
          <cell r="AY216">
            <v>428.03</v>
          </cell>
          <cell r="AZ216">
            <v>435.10500000000002</v>
          </cell>
          <cell r="BA216">
            <v>441.851</v>
          </cell>
          <cell r="BB216">
            <v>448.21300000000002</v>
          </cell>
          <cell r="BC216">
            <v>454.161</v>
          </cell>
          <cell r="BD216">
            <v>459.83100000000002</v>
          </cell>
          <cell r="BE216">
            <v>465.38499999999999</v>
          </cell>
          <cell r="BF216">
            <v>470.94900000000001</v>
          </cell>
          <cell r="BG216">
            <v>476.57900000000001</v>
          </cell>
          <cell r="BH216">
            <v>482.23500000000001</v>
          </cell>
          <cell r="BI216">
            <v>487.94200000000001</v>
          </cell>
          <cell r="BJ216">
            <v>493.67899999999997</v>
          </cell>
          <cell r="BK216">
            <v>499.464</v>
          </cell>
          <cell r="BL216">
            <v>505.29500000000002</v>
          </cell>
          <cell r="BM216">
            <v>511.18099999999998</v>
          </cell>
          <cell r="BN216">
            <v>517.12300000000005</v>
          </cell>
          <cell r="BO216">
            <v>523.11099999999999</v>
          </cell>
          <cell r="BP216">
            <v>529.13099999999997</v>
          </cell>
          <cell r="BQ216">
            <v>535.17899999999997</v>
          </cell>
          <cell r="BR216">
            <v>541.245</v>
          </cell>
          <cell r="BS216">
            <v>547.29100000000005</v>
          </cell>
          <cell r="BT216">
            <v>553.27300000000002</v>
          </cell>
          <cell r="BU216">
            <v>559.14300000000003</v>
          </cell>
          <cell r="BV216">
            <v>564.88800000000003</v>
          </cell>
          <cell r="BW216">
            <v>570.49599999999998</v>
          </cell>
          <cell r="BX216">
            <v>575.99</v>
          </cell>
        </row>
        <row r="217">
          <cell r="C217" t="str">
            <v>Uruguay</v>
          </cell>
          <cell r="E217">
            <v>858</v>
          </cell>
          <cell r="F217" t="str">
            <v>Country</v>
          </cell>
          <cell r="G217">
            <v>931</v>
          </cell>
          <cell r="H217">
            <v>2238.5070000000001</v>
          </cell>
          <cell r="I217">
            <v>2261.3409999999999</v>
          </cell>
          <cell r="J217">
            <v>2286.2620000000002</v>
          </cell>
          <cell r="K217">
            <v>2313.2130000000002</v>
          </cell>
          <cell r="L217">
            <v>2342.038</v>
          </cell>
          <cell r="M217">
            <v>2372.5590000000002</v>
          </cell>
          <cell r="N217">
            <v>2404.4969999999998</v>
          </cell>
          <cell r="O217">
            <v>2437.4929999999999</v>
          </cell>
          <cell r="P217">
            <v>2471.145</v>
          </cell>
          <cell r="Q217">
            <v>2505.0100000000002</v>
          </cell>
          <cell r="R217">
            <v>2538.643</v>
          </cell>
          <cell r="S217">
            <v>2571.681</v>
          </cell>
          <cell r="T217">
            <v>2603.8820000000001</v>
          </cell>
          <cell r="U217">
            <v>2635.1260000000002</v>
          </cell>
          <cell r="V217">
            <v>2665.3879999999999</v>
          </cell>
          <cell r="W217">
            <v>2694.5360000000001</v>
          </cell>
          <cell r="X217">
            <v>2722.875</v>
          </cell>
          <cell r="Y217">
            <v>2750.0859999999998</v>
          </cell>
          <cell r="Z217">
            <v>2774.759</v>
          </cell>
          <cell r="AA217">
            <v>2795.0419999999999</v>
          </cell>
          <cell r="AB217">
            <v>2809.7930000000001</v>
          </cell>
          <cell r="AC217">
            <v>2818.2809999999999</v>
          </cell>
          <cell r="AD217">
            <v>2821.4609999999998</v>
          </cell>
          <cell r="AE217">
            <v>2822.1170000000002</v>
          </cell>
          <cell r="AF217">
            <v>2824.0949999999998</v>
          </cell>
          <cell r="AG217">
            <v>2830.1759999999999</v>
          </cell>
          <cell r="AH217">
            <v>2841.3719999999998</v>
          </cell>
          <cell r="AI217">
            <v>2856.9580000000001</v>
          </cell>
          <cell r="AJ217">
            <v>2875.7280000000001</v>
          </cell>
          <cell r="AK217">
            <v>2895.6880000000001</v>
          </cell>
          <cell r="AL217">
            <v>2915.3890000000001</v>
          </cell>
          <cell r="AM217">
            <v>2934.6129999999998</v>
          </cell>
          <cell r="AN217">
            <v>2953.8519999999999</v>
          </cell>
          <cell r="AO217">
            <v>2973.0360000000001</v>
          </cell>
          <cell r="AP217">
            <v>2992.2460000000001</v>
          </cell>
          <cell r="AQ217">
            <v>3011.5189999999998</v>
          </cell>
          <cell r="AR217">
            <v>3030.6489999999999</v>
          </cell>
          <cell r="AS217">
            <v>3049.5810000000001</v>
          </cell>
          <cell r="AT217">
            <v>3068.7049999999999</v>
          </cell>
          <cell r="AU217">
            <v>3088.5949999999998</v>
          </cell>
          <cell r="AV217">
            <v>3109.6010000000001</v>
          </cell>
          <cell r="AW217">
            <v>3131.66</v>
          </cell>
          <cell r="AX217">
            <v>3154.4639999999999</v>
          </cell>
          <cell r="AY217">
            <v>3177.7449999999999</v>
          </cell>
          <cell r="AZ217">
            <v>3201.1509999999998</v>
          </cell>
          <cell r="BA217">
            <v>3224.2809999999999</v>
          </cell>
          <cell r="BB217">
            <v>3247.3809999999999</v>
          </cell>
          <cell r="BC217">
            <v>3270.1640000000002</v>
          </cell>
          <cell r="BD217">
            <v>3291.0529999999999</v>
          </cell>
          <cell r="BE217">
            <v>3308.0120000000002</v>
          </cell>
          <cell r="BF217">
            <v>3319.7359999999999</v>
          </cell>
          <cell r="BG217">
            <v>3325.473</v>
          </cell>
          <cell r="BH217">
            <v>3326.04</v>
          </cell>
          <cell r="BI217">
            <v>3323.6680000000001</v>
          </cell>
          <cell r="BJ217">
            <v>3321.4760000000001</v>
          </cell>
          <cell r="BK217">
            <v>3321.8029999999999</v>
          </cell>
          <cell r="BL217">
            <v>3325.4009999999998</v>
          </cell>
          <cell r="BM217">
            <v>3331.7489999999998</v>
          </cell>
          <cell r="BN217">
            <v>3340.221</v>
          </cell>
          <cell r="BO217">
            <v>3349.6759999999999</v>
          </cell>
          <cell r="BP217">
            <v>3359.2750000000001</v>
          </cell>
          <cell r="BQ217">
            <v>3368.9340000000002</v>
          </cell>
          <cell r="BR217">
            <v>3378.9749999999999</v>
          </cell>
          <cell r="BS217">
            <v>3389.4430000000002</v>
          </cell>
          <cell r="BT217">
            <v>3400.4360000000001</v>
          </cell>
          <cell r="BU217">
            <v>3412.009</v>
          </cell>
          <cell r="BV217">
            <v>3424.1289999999999</v>
          </cell>
          <cell r="BW217">
            <v>3436.6410000000001</v>
          </cell>
          <cell r="BX217">
            <v>3449.2849999999999</v>
          </cell>
        </row>
        <row r="218">
          <cell r="C218" t="str">
            <v>Venezuela (Bolivarian Republic of)</v>
          </cell>
          <cell r="E218">
            <v>862</v>
          </cell>
          <cell r="F218" t="str">
            <v>Country</v>
          </cell>
          <cell r="G218">
            <v>931</v>
          </cell>
          <cell r="H218">
            <v>5481.9780000000001</v>
          </cell>
          <cell r="I218">
            <v>5726.6120000000001</v>
          </cell>
          <cell r="J218">
            <v>5974.4359999999997</v>
          </cell>
          <cell r="K218">
            <v>6226.29</v>
          </cell>
          <cell r="L218">
            <v>6482.86</v>
          </cell>
          <cell r="M218">
            <v>6744.6949999999997</v>
          </cell>
          <cell r="N218">
            <v>7012.1840000000002</v>
          </cell>
          <cell r="O218">
            <v>7285.5709999999999</v>
          </cell>
          <cell r="P218">
            <v>7564.9790000000003</v>
          </cell>
          <cell r="Q218">
            <v>7850.4129999999996</v>
          </cell>
          <cell r="R218">
            <v>8141.8410000000003</v>
          </cell>
          <cell r="S218">
            <v>8439.2610000000004</v>
          </cell>
          <cell r="T218">
            <v>8742.777</v>
          </cell>
          <cell r="U218">
            <v>9052.6350000000002</v>
          </cell>
          <cell r="V218">
            <v>9369.0959999999995</v>
          </cell>
          <cell r="W218">
            <v>9692.2780000000002</v>
          </cell>
          <cell r="X218">
            <v>10022.592000000001</v>
          </cell>
          <cell r="Y218">
            <v>10359.745000000001</v>
          </cell>
          <cell r="Z218">
            <v>10702.290999999999</v>
          </cell>
          <cell r="AA218">
            <v>11048.262000000001</v>
          </cell>
          <cell r="AB218">
            <v>11396.393</v>
          </cell>
          <cell r="AC218">
            <v>11745.945</v>
          </cell>
          <cell r="AD218">
            <v>12097.694</v>
          </cell>
          <cell r="AE218">
            <v>12453.718000000001</v>
          </cell>
          <cell r="AF218">
            <v>12816.955</v>
          </cell>
          <cell r="AG218">
            <v>13189.509</v>
          </cell>
          <cell r="AH218">
            <v>13572.208000000001</v>
          </cell>
          <cell r="AI218">
            <v>13964.379000000001</v>
          </cell>
          <cell r="AJ218">
            <v>14364.727000000001</v>
          </cell>
          <cell r="AK218">
            <v>14771.271000000001</v>
          </cell>
          <cell r="AL218">
            <v>15182.611000000001</v>
          </cell>
          <cell r="AM218">
            <v>15597.886</v>
          </cell>
          <cell r="AN218">
            <v>16017.573</v>
          </cell>
          <cell r="AO218">
            <v>16443.133999999998</v>
          </cell>
          <cell r="AP218">
            <v>16876.703000000001</v>
          </cell>
          <cell r="AQ218">
            <v>17319.52</v>
          </cell>
          <cell r="AR218">
            <v>17772.001</v>
          </cell>
          <cell r="AS218">
            <v>18232.73</v>
          </cell>
          <cell r="AT218">
            <v>18698.847000000002</v>
          </cell>
          <cell r="AU218">
            <v>19166.471000000001</v>
          </cell>
          <cell r="AV218">
            <v>19632.665000000001</v>
          </cell>
          <cell r="AW218">
            <v>20096.316999999999</v>
          </cell>
          <cell r="AX218">
            <v>20557.683000000001</v>
          </cell>
          <cell r="AY218">
            <v>21016.901000000002</v>
          </cell>
          <cell r="AZ218">
            <v>21474.548999999999</v>
          </cell>
          <cell r="BA218">
            <v>21931.083999999999</v>
          </cell>
          <cell r="BB218">
            <v>22385.65</v>
          </cell>
          <cell r="BC218">
            <v>22837.742999999999</v>
          </cell>
          <cell r="BD218">
            <v>23288.563999999998</v>
          </cell>
          <cell r="BE218">
            <v>23739.841</v>
          </cell>
          <cell r="BF218">
            <v>24192.446</v>
          </cell>
          <cell r="BG218">
            <v>24646.472000000002</v>
          </cell>
          <cell r="BH218">
            <v>25100.407999999999</v>
          </cell>
          <cell r="BI218">
            <v>25551.624</v>
          </cell>
          <cell r="BJ218">
            <v>25996.594000000001</v>
          </cell>
          <cell r="BK218">
            <v>26432.447</v>
          </cell>
          <cell r="BL218">
            <v>26850.194</v>
          </cell>
          <cell r="BM218">
            <v>27247.61</v>
          </cell>
          <cell r="BN218">
            <v>27635.831999999999</v>
          </cell>
          <cell r="BO218">
            <v>28031.008999999998</v>
          </cell>
          <cell r="BP218">
            <v>28439.94</v>
          </cell>
          <cell r="BQ218">
            <v>28887.874</v>
          </cell>
          <cell r="BR218">
            <v>29360.837</v>
          </cell>
          <cell r="BS218">
            <v>29781.040000000001</v>
          </cell>
          <cell r="BT218">
            <v>30042.968000000001</v>
          </cell>
          <cell r="BU218">
            <v>30081.829000000002</v>
          </cell>
          <cell r="BV218">
            <v>29851.255000000001</v>
          </cell>
          <cell r="BW218">
            <v>29402.484</v>
          </cell>
          <cell r="BX218">
            <v>28887.117999999999</v>
          </cell>
        </row>
        <row r="219">
          <cell r="C219" t="str">
            <v>AUSTRALIA/NEW ZEALAND</v>
          </cell>
          <cell r="E219">
            <v>927</v>
          </cell>
          <cell r="F219" t="str">
            <v>SDG region</v>
          </cell>
          <cell r="G219">
            <v>1828</v>
          </cell>
          <cell r="H219">
            <v>10085.342000000001</v>
          </cell>
          <cell r="I219">
            <v>10346.162</v>
          </cell>
          <cell r="J219">
            <v>10587.87</v>
          </cell>
          <cell r="K219">
            <v>10822.405000000001</v>
          </cell>
          <cell r="L219">
            <v>11058.61</v>
          </cell>
          <cell r="M219">
            <v>11302.098</v>
          </cell>
          <cell r="N219">
            <v>11555.251</v>
          </cell>
          <cell r="O219">
            <v>11817.284</v>
          </cell>
          <cell r="P219">
            <v>12084.728999999999</v>
          </cell>
          <cell r="Q219">
            <v>12352.212</v>
          </cell>
          <cell r="R219">
            <v>12614.67</v>
          </cell>
          <cell r="S219">
            <v>12869.903</v>
          </cell>
          <cell r="T219">
            <v>13120.616</v>
          </cell>
          <cell r="U219">
            <v>13375.351000000001</v>
          </cell>
          <cell r="V219">
            <v>13645.945</v>
          </cell>
          <cell r="W219">
            <v>13939.84</v>
          </cell>
          <cell r="X219">
            <v>14260.495000000001</v>
          </cell>
          <cell r="Y219">
            <v>14602.315000000001</v>
          </cell>
          <cell r="Z219">
            <v>14952.528</v>
          </cell>
          <cell r="AA219">
            <v>15293.304</v>
          </cell>
          <cell r="AB219">
            <v>15611.421</v>
          </cell>
          <cell r="AC219">
            <v>15903.955</v>
          </cell>
          <cell r="AD219">
            <v>16173.857</v>
          </cell>
          <cell r="AE219">
            <v>16421.203000000001</v>
          </cell>
          <cell r="AF219">
            <v>16647.746999999999</v>
          </cell>
          <cell r="AG219">
            <v>16855.920999999998</v>
          </cell>
          <cell r="AH219">
            <v>17044.300999999999</v>
          </cell>
          <cell r="AI219">
            <v>17214.954000000002</v>
          </cell>
          <cell r="AJ219">
            <v>17378.357</v>
          </cell>
          <cell r="AK219">
            <v>17548.296999999999</v>
          </cell>
          <cell r="AL219">
            <v>17735.024000000001</v>
          </cell>
          <cell r="AM219">
            <v>17942.071</v>
          </cell>
          <cell r="AN219">
            <v>18167.743999999999</v>
          </cell>
          <cell r="AO219">
            <v>18410.37</v>
          </cell>
          <cell r="AP219">
            <v>18666.202000000001</v>
          </cell>
          <cell r="AQ219">
            <v>18931.899000000001</v>
          </cell>
          <cell r="AR219">
            <v>19207.876</v>
          </cell>
          <cell r="AS219">
            <v>19493.911</v>
          </cell>
          <cell r="AT219">
            <v>19785.046999999999</v>
          </cell>
          <cell r="AU219">
            <v>20074.946</v>
          </cell>
          <cell r="AV219">
            <v>20358.769</v>
          </cell>
          <cell r="AW219">
            <v>20635.41</v>
          </cell>
          <cell r="AX219">
            <v>20905.353999999999</v>
          </cell>
          <cell r="AY219">
            <v>21167.669000000002</v>
          </cell>
          <cell r="AZ219">
            <v>21421.808000000001</v>
          </cell>
          <cell r="BA219">
            <v>21668.01</v>
          </cell>
          <cell r="BB219">
            <v>21906.626</v>
          </cell>
          <cell r="BC219">
            <v>22139.576000000001</v>
          </cell>
          <cell r="BD219">
            <v>22370.994999999999</v>
          </cell>
          <cell r="BE219">
            <v>22606.316999999999</v>
          </cell>
          <cell r="BF219">
            <v>22850.43</v>
          </cell>
          <cell r="BG219">
            <v>23102.605</v>
          </cell>
          <cell r="BH219">
            <v>23364.574000000001</v>
          </cell>
          <cell r="BI219">
            <v>23646.235000000001</v>
          </cell>
          <cell r="BJ219">
            <v>23960.087</v>
          </cell>
          <cell r="BK219">
            <v>24313.895</v>
          </cell>
          <cell r="BL219">
            <v>24712.190999999999</v>
          </cell>
          <cell r="BM219">
            <v>25149.39</v>
          </cell>
          <cell r="BN219">
            <v>25610.437000000002</v>
          </cell>
          <cell r="BO219">
            <v>26074.187999999998</v>
          </cell>
          <cell r="BP219">
            <v>26524.741000000002</v>
          </cell>
          <cell r="BQ219">
            <v>26956.679</v>
          </cell>
          <cell r="BR219">
            <v>27372.404999999999</v>
          </cell>
          <cell r="BS219">
            <v>27773.428</v>
          </cell>
          <cell r="BT219">
            <v>28163.951000000001</v>
          </cell>
          <cell r="BU219">
            <v>28547.034</v>
          </cell>
          <cell r="BV219">
            <v>28921.976999999999</v>
          </cell>
          <cell r="BW219">
            <v>29286.653999999999</v>
          </cell>
          <cell r="BX219">
            <v>29641.282999999999</v>
          </cell>
        </row>
        <row r="220">
          <cell r="C220" t="str">
            <v>Australia</v>
          </cell>
          <cell r="D220">
            <v>13</v>
          </cell>
          <cell r="E220">
            <v>36</v>
          </cell>
          <cell r="F220" t="str">
            <v>Country</v>
          </cell>
          <cell r="G220">
            <v>927</v>
          </cell>
          <cell r="H220">
            <v>8177.3419999999996</v>
          </cell>
          <cell r="I220">
            <v>8398.2309999999998</v>
          </cell>
          <cell r="J220">
            <v>8595.0720000000001</v>
          </cell>
          <cell r="K220">
            <v>8782.1730000000007</v>
          </cell>
          <cell r="L220">
            <v>8970.1270000000004</v>
          </cell>
          <cell r="M220">
            <v>9165.7070000000003</v>
          </cell>
          <cell r="N220">
            <v>9371.7890000000007</v>
          </cell>
          <cell r="O220">
            <v>9587.4580000000005</v>
          </cell>
          <cell r="P220">
            <v>9808.5959999999995</v>
          </cell>
          <cell r="Q220">
            <v>10028.799000000001</v>
          </cell>
          <cell r="R220">
            <v>10242.075999999999</v>
          </cell>
          <cell r="S220">
            <v>10445.837</v>
          </cell>
          <cell r="T220">
            <v>10643.416999999999</v>
          </cell>
          <cell r="U220">
            <v>10845.178</v>
          </cell>
          <cell r="V220">
            <v>11065.415000000001</v>
          </cell>
          <cell r="W220">
            <v>11313.195</v>
          </cell>
          <cell r="X220">
            <v>11593.413</v>
          </cell>
          <cell r="Y220">
            <v>11899.638999999999</v>
          </cell>
          <cell r="Z220">
            <v>12215.700999999999</v>
          </cell>
          <cell r="AA220">
            <v>12518.937</v>
          </cell>
          <cell r="AB220">
            <v>12793.034</v>
          </cell>
          <cell r="AC220">
            <v>13033.133</v>
          </cell>
          <cell r="AD220">
            <v>13244.171</v>
          </cell>
          <cell r="AE220">
            <v>13431.794</v>
          </cell>
          <cell r="AF220">
            <v>13605.57</v>
          </cell>
          <cell r="AG220">
            <v>13773.288</v>
          </cell>
          <cell r="AH220">
            <v>13935.731</v>
          </cell>
          <cell r="AI220">
            <v>14092.548000000001</v>
          </cell>
          <cell r="AJ220">
            <v>14249.401</v>
          </cell>
          <cell r="AK220">
            <v>14413</v>
          </cell>
          <cell r="AL220">
            <v>14588.405000000001</v>
          </cell>
          <cell r="AM220">
            <v>14777.243</v>
          </cell>
          <cell r="AN220">
            <v>14979.205</v>
          </cell>
          <cell r="AO220">
            <v>15194.641</v>
          </cell>
          <cell r="AP220">
            <v>15423.165999999999</v>
          </cell>
          <cell r="AQ220">
            <v>15663.663</v>
          </cell>
          <cell r="AR220">
            <v>15917.572</v>
          </cell>
          <cell r="AS220">
            <v>16183.168</v>
          </cell>
          <cell r="AT220">
            <v>16452.255000000001</v>
          </cell>
          <cell r="AU220">
            <v>16713.989000000001</v>
          </cell>
          <cell r="AV220">
            <v>16960.597000000002</v>
          </cell>
          <cell r="AW220">
            <v>17189.240000000002</v>
          </cell>
          <cell r="AX220">
            <v>17402.172999999999</v>
          </cell>
          <cell r="AY220">
            <v>17603.205000000002</v>
          </cell>
          <cell r="AZ220">
            <v>17798.528999999999</v>
          </cell>
          <cell r="BA220">
            <v>17993.074000000001</v>
          </cell>
          <cell r="BB220">
            <v>18189.276999999998</v>
          </cell>
          <cell r="BC220">
            <v>18387.214</v>
          </cell>
          <cell r="BD220">
            <v>18587.021000000001</v>
          </cell>
          <cell r="BE220">
            <v>18788.186000000002</v>
          </cell>
          <cell r="BF220">
            <v>18991.431</v>
          </cell>
          <cell r="BG220">
            <v>19194.671999999999</v>
          </cell>
          <cell r="BH220">
            <v>19401.367999999999</v>
          </cell>
          <cell r="BI220">
            <v>19624.166000000001</v>
          </cell>
          <cell r="BJ220">
            <v>19879.649000000001</v>
          </cell>
          <cell r="BK220">
            <v>20178.54</v>
          </cell>
          <cell r="BL220">
            <v>20526.303</v>
          </cell>
          <cell r="BM220">
            <v>20916.344000000001</v>
          </cell>
          <cell r="BN220">
            <v>21332.281999999999</v>
          </cell>
          <cell r="BO220">
            <v>21750.850999999999</v>
          </cell>
          <cell r="BP220">
            <v>22154.679</v>
          </cell>
          <cell r="BQ220">
            <v>22538.001</v>
          </cell>
          <cell r="BR220">
            <v>22903.948</v>
          </cell>
          <cell r="BS220">
            <v>23254.913</v>
          </cell>
          <cell r="BT220">
            <v>23596.423999999999</v>
          </cell>
          <cell r="BU220">
            <v>23932.502</v>
          </cell>
          <cell r="BV220">
            <v>24262.712</v>
          </cell>
          <cell r="BW220">
            <v>24584.62</v>
          </cell>
          <cell r="BX220">
            <v>24898.151999999998</v>
          </cell>
        </row>
        <row r="221">
          <cell r="C221" t="str">
            <v>New Zealand</v>
          </cell>
          <cell r="E221">
            <v>554</v>
          </cell>
          <cell r="F221" t="str">
            <v>Country</v>
          </cell>
          <cell r="G221">
            <v>927</v>
          </cell>
          <cell r="H221">
            <v>1908</v>
          </cell>
          <cell r="I221">
            <v>1947.931</v>
          </cell>
          <cell r="J221">
            <v>1992.798</v>
          </cell>
          <cell r="K221">
            <v>2040.232</v>
          </cell>
          <cell r="L221">
            <v>2088.4830000000002</v>
          </cell>
          <cell r="M221">
            <v>2136.3910000000001</v>
          </cell>
          <cell r="N221">
            <v>2183.462</v>
          </cell>
          <cell r="O221">
            <v>2229.826</v>
          </cell>
          <cell r="P221">
            <v>2276.1329999999998</v>
          </cell>
          <cell r="Q221">
            <v>2323.413</v>
          </cell>
          <cell r="R221">
            <v>2372.5940000000001</v>
          </cell>
          <cell r="S221">
            <v>2424.0659999999998</v>
          </cell>
          <cell r="T221">
            <v>2477.1990000000001</v>
          </cell>
          <cell r="U221">
            <v>2530.1729999999998</v>
          </cell>
          <cell r="V221">
            <v>2580.5300000000002</v>
          </cell>
          <cell r="W221">
            <v>2626.645</v>
          </cell>
          <cell r="X221">
            <v>2667.0819999999999</v>
          </cell>
          <cell r="Y221">
            <v>2702.6759999999999</v>
          </cell>
          <cell r="Z221">
            <v>2736.8270000000002</v>
          </cell>
          <cell r="AA221">
            <v>2774.3670000000002</v>
          </cell>
          <cell r="AB221">
            <v>2818.3870000000002</v>
          </cell>
          <cell r="AC221">
            <v>2870.8220000000001</v>
          </cell>
          <cell r="AD221">
            <v>2929.6860000000001</v>
          </cell>
          <cell r="AE221">
            <v>2989.4090000000001</v>
          </cell>
          <cell r="AF221">
            <v>3042.1770000000001</v>
          </cell>
          <cell r="AG221">
            <v>3082.6329999999998</v>
          </cell>
          <cell r="AH221">
            <v>3108.57</v>
          </cell>
          <cell r="AI221">
            <v>3122.4059999999999</v>
          </cell>
          <cell r="AJ221">
            <v>3128.9560000000001</v>
          </cell>
          <cell r="AK221">
            <v>3135.297</v>
          </cell>
          <cell r="AL221">
            <v>3146.6190000000001</v>
          </cell>
          <cell r="AM221">
            <v>3164.828</v>
          </cell>
          <cell r="AN221">
            <v>3188.5390000000002</v>
          </cell>
          <cell r="AO221">
            <v>3215.7289999999998</v>
          </cell>
          <cell r="AP221">
            <v>3243.0360000000001</v>
          </cell>
          <cell r="AQ221">
            <v>3268.2359999999999</v>
          </cell>
          <cell r="AR221">
            <v>3290.3040000000001</v>
          </cell>
          <cell r="AS221">
            <v>3310.7429999999999</v>
          </cell>
          <cell r="AT221">
            <v>3332.7919999999999</v>
          </cell>
          <cell r="AU221">
            <v>3360.9569999999999</v>
          </cell>
          <cell r="AV221">
            <v>3398.172</v>
          </cell>
          <cell r="AW221">
            <v>3446.17</v>
          </cell>
          <cell r="AX221">
            <v>3503.181</v>
          </cell>
          <cell r="AY221">
            <v>3564.4639999999999</v>
          </cell>
          <cell r="AZ221">
            <v>3623.279</v>
          </cell>
          <cell r="BA221">
            <v>3674.9360000000001</v>
          </cell>
          <cell r="BB221">
            <v>3717.3490000000002</v>
          </cell>
          <cell r="BC221">
            <v>3752.3620000000001</v>
          </cell>
          <cell r="BD221">
            <v>3783.9740000000002</v>
          </cell>
          <cell r="BE221">
            <v>3818.1309999999999</v>
          </cell>
          <cell r="BF221">
            <v>3858.9989999999998</v>
          </cell>
          <cell r="BG221">
            <v>3907.933</v>
          </cell>
          <cell r="BH221">
            <v>3963.2060000000001</v>
          </cell>
          <cell r="BI221">
            <v>4022.069</v>
          </cell>
          <cell r="BJ221">
            <v>4080.4380000000001</v>
          </cell>
          <cell r="BK221">
            <v>4135.3549999999996</v>
          </cell>
          <cell r="BL221">
            <v>4185.8879999999999</v>
          </cell>
          <cell r="BM221">
            <v>4233.0460000000003</v>
          </cell>
          <cell r="BN221">
            <v>4278.1549999999997</v>
          </cell>
          <cell r="BO221">
            <v>4323.3370000000004</v>
          </cell>
          <cell r="BP221">
            <v>4370.0619999999999</v>
          </cell>
          <cell r="BQ221">
            <v>4418.6779999999999</v>
          </cell>
          <cell r="BR221">
            <v>4468.4570000000003</v>
          </cell>
          <cell r="BS221">
            <v>4518.5150000000003</v>
          </cell>
          <cell r="BT221">
            <v>4567.527</v>
          </cell>
          <cell r="BU221">
            <v>4614.5320000000002</v>
          </cell>
          <cell r="BV221">
            <v>4659.2650000000003</v>
          </cell>
          <cell r="BW221">
            <v>4702.0339999999997</v>
          </cell>
          <cell r="BX221">
            <v>4743.1310000000003</v>
          </cell>
        </row>
        <row r="222">
          <cell r="C222" t="str">
            <v>OCEANIA (EXCLUDING AUSTRALIA AND NEW ZEALAND)</v>
          </cell>
          <cell r="E222">
            <v>1835</v>
          </cell>
          <cell r="F222" t="str">
            <v>SDG region</v>
          </cell>
          <cell r="G222">
            <v>1828</v>
          </cell>
          <cell r="H222">
            <v>2890.5230000000001</v>
          </cell>
          <cell r="I222">
            <v>2919.6010000000001</v>
          </cell>
          <cell r="J222">
            <v>2954.683</v>
          </cell>
          <cell r="K222">
            <v>2995.2130000000002</v>
          </cell>
          <cell r="L222">
            <v>3040.623</v>
          </cell>
          <cell r="M222">
            <v>3090.6170000000002</v>
          </cell>
          <cell r="N222">
            <v>3145.011</v>
          </cell>
          <cell r="O222">
            <v>3203.6860000000001</v>
          </cell>
          <cell r="P222">
            <v>3266.8319999999999</v>
          </cell>
          <cell r="Q222">
            <v>3334.54</v>
          </cell>
          <cell r="R222">
            <v>3406.9749999999999</v>
          </cell>
          <cell r="S222">
            <v>3484.0839999999998</v>
          </cell>
          <cell r="T222">
            <v>3565.5430000000001</v>
          </cell>
          <cell r="U222">
            <v>3650.6880000000001</v>
          </cell>
          <cell r="V222">
            <v>3738.7040000000002</v>
          </cell>
          <cell r="W222">
            <v>3828.875</v>
          </cell>
          <cell r="X222">
            <v>3921</v>
          </cell>
          <cell r="Y222">
            <v>4015.152</v>
          </cell>
          <cell r="Z222">
            <v>4111.3630000000003</v>
          </cell>
          <cell r="AA222">
            <v>4209.8670000000002</v>
          </cell>
          <cell r="AB222">
            <v>4310.835</v>
          </cell>
          <cell r="AC222">
            <v>4414.317</v>
          </cell>
          <cell r="AD222">
            <v>4520.2910000000002</v>
          </cell>
          <cell r="AE222">
            <v>4628.8969999999999</v>
          </cell>
          <cell r="AF222">
            <v>4740.2160000000003</v>
          </cell>
          <cell r="AG222">
            <v>4854.393</v>
          </cell>
          <cell r="AH222">
            <v>4971.1189999999997</v>
          </cell>
          <cell r="AI222">
            <v>5090.4889999999996</v>
          </cell>
          <cell r="AJ222">
            <v>5213.6850000000004</v>
          </cell>
          <cell r="AK222">
            <v>5342.232</v>
          </cell>
          <cell r="AL222">
            <v>5477.0720000000001</v>
          </cell>
          <cell r="AM222">
            <v>5618.9189999999999</v>
          </cell>
          <cell r="AN222">
            <v>5766.9080000000004</v>
          </cell>
          <cell r="AO222">
            <v>5918.4780000000001</v>
          </cell>
          <cell r="AP222">
            <v>6070.0510000000004</v>
          </cell>
          <cell r="AQ222">
            <v>6219.143</v>
          </cell>
          <cell r="AR222">
            <v>6364.7860000000001</v>
          </cell>
          <cell r="AS222">
            <v>6507.8370000000004</v>
          </cell>
          <cell r="AT222">
            <v>6649.8630000000003</v>
          </cell>
          <cell r="AU222">
            <v>6793.2579999999998</v>
          </cell>
          <cell r="AV222">
            <v>6939.9210000000003</v>
          </cell>
          <cell r="AW222">
            <v>7089.866</v>
          </cell>
          <cell r="AX222">
            <v>7242.5839999999998</v>
          </cell>
          <cell r="AY222">
            <v>7398.5469999999996</v>
          </cell>
          <cell r="AZ222">
            <v>7558.1779999999999</v>
          </cell>
          <cell r="BA222">
            <v>7721.6369999999997</v>
          </cell>
          <cell r="BB222">
            <v>7889.8670000000002</v>
          </cell>
          <cell r="BC222">
            <v>8062.3459999999995</v>
          </cell>
          <cell r="BD222">
            <v>8236.33</v>
          </cell>
          <cell r="BE222">
            <v>8407.9369999999999</v>
          </cell>
          <cell r="BF222">
            <v>8574.6730000000007</v>
          </cell>
          <cell r="BG222">
            <v>8734.99</v>
          </cell>
          <cell r="BH222">
            <v>8890.3209999999999</v>
          </cell>
          <cell r="BI222">
            <v>9045.1479999999992</v>
          </cell>
          <cell r="BJ222">
            <v>9205.7049999999999</v>
          </cell>
          <cell r="BK222">
            <v>9376.3130000000001</v>
          </cell>
          <cell r="BL222">
            <v>9558.8700000000008</v>
          </cell>
          <cell r="BM222">
            <v>9751.5779999999995</v>
          </cell>
          <cell r="BN222">
            <v>9950.7209999999995</v>
          </cell>
          <cell r="BO222">
            <v>10150.957</v>
          </cell>
          <cell r="BP222">
            <v>10348.34</v>
          </cell>
          <cell r="BQ222">
            <v>10541.653</v>
          </cell>
          <cell r="BR222">
            <v>10732.358</v>
          </cell>
          <cell r="BS222">
            <v>10922.333000000001</v>
          </cell>
          <cell r="BT222">
            <v>11114.717000000001</v>
          </cell>
          <cell r="BU222">
            <v>11311.712</v>
          </cell>
          <cell r="BV222">
            <v>11513.669</v>
          </cell>
          <cell r="BW222">
            <v>11719.851000000001</v>
          </cell>
          <cell r="BX222">
            <v>11929.558999999999</v>
          </cell>
        </row>
        <row r="223">
          <cell r="C223" t="str">
            <v>Melanesia</v>
          </cell>
          <cell r="E223">
            <v>928</v>
          </cell>
          <cell r="F223" t="str">
            <v>Subregion</v>
          </cell>
          <cell r="G223">
            <v>1835</v>
          </cell>
          <cell r="H223">
            <v>2493.4520000000002</v>
          </cell>
          <cell r="I223">
            <v>2512.4290000000001</v>
          </cell>
          <cell r="J223">
            <v>2537.806</v>
          </cell>
          <cell r="K223">
            <v>2568.902</v>
          </cell>
          <cell r="L223">
            <v>2605.1469999999999</v>
          </cell>
          <cell r="M223">
            <v>2646.0160000000001</v>
          </cell>
          <cell r="N223">
            <v>2691.12</v>
          </cell>
          <cell r="O223">
            <v>2740.152</v>
          </cell>
          <cell r="P223">
            <v>2792.8760000000002</v>
          </cell>
          <cell r="Q223">
            <v>2849.1819999999998</v>
          </cell>
          <cell r="R223">
            <v>2908.9340000000002</v>
          </cell>
          <cell r="S223">
            <v>2971.9749999999999</v>
          </cell>
          <cell r="T223">
            <v>3038.069</v>
          </cell>
          <cell r="U223">
            <v>3106.9279999999999</v>
          </cell>
          <cell r="V223">
            <v>3178.2179999999998</v>
          </cell>
          <cell r="W223">
            <v>3251.6909999999998</v>
          </cell>
          <cell r="X223">
            <v>3327.15</v>
          </cell>
          <cell r="Y223">
            <v>3404.6880000000001</v>
          </cell>
          <cell r="Z223">
            <v>3484.72</v>
          </cell>
          <cell r="AA223">
            <v>3567.8919999999998</v>
          </cell>
          <cell r="AB223">
            <v>3654.634</v>
          </cell>
          <cell r="AC223">
            <v>3745.1689999999999</v>
          </cell>
          <cell r="AD223">
            <v>3839.328</v>
          </cell>
          <cell r="AE223">
            <v>3936.8240000000001</v>
          </cell>
          <cell r="AF223">
            <v>4037.1750000000002</v>
          </cell>
          <cell r="AG223">
            <v>4140.0959999999995</v>
          </cell>
          <cell r="AH223">
            <v>4245.1639999999998</v>
          </cell>
          <cell r="AI223">
            <v>4352.4889999999996</v>
          </cell>
          <cell r="AJ223">
            <v>4462.9740000000002</v>
          </cell>
          <cell r="AK223">
            <v>4577.8419999999996</v>
          </cell>
          <cell r="AL223">
            <v>4697.799</v>
          </cell>
          <cell r="AM223">
            <v>4823.5</v>
          </cell>
          <cell r="AN223">
            <v>4954.1400000000003</v>
          </cell>
          <cell r="AO223">
            <v>5087.3829999999998</v>
          </cell>
          <cell r="AP223">
            <v>5219.9219999999996</v>
          </cell>
          <cell r="AQ223">
            <v>5349.5590000000002</v>
          </cell>
          <cell r="AR223">
            <v>5475.3159999999998</v>
          </cell>
          <cell r="AS223">
            <v>5598.1670000000004</v>
          </cell>
          <cell r="AT223">
            <v>5720.1980000000003</v>
          </cell>
          <cell r="AU223">
            <v>5844.4380000000001</v>
          </cell>
          <cell r="AV223">
            <v>5973.1869999999999</v>
          </cell>
          <cell r="AW223">
            <v>6106.78</v>
          </cell>
          <cell r="AX223">
            <v>6244.61</v>
          </cell>
          <cell r="AY223">
            <v>6386.7420000000002</v>
          </cell>
          <cell r="AZ223">
            <v>6533.0450000000001</v>
          </cell>
          <cell r="BA223">
            <v>6683.2169999999996</v>
          </cell>
          <cell r="BB223">
            <v>6838.1189999999997</v>
          </cell>
          <cell r="BC223">
            <v>6997.4840000000004</v>
          </cell>
          <cell r="BD223">
            <v>7158.6549999999997</v>
          </cell>
          <cell r="BE223">
            <v>7318.0910000000003</v>
          </cell>
          <cell r="BF223">
            <v>7473.4930000000004</v>
          </cell>
          <cell r="BG223">
            <v>7623.21</v>
          </cell>
          <cell r="BH223">
            <v>7768.7120000000004</v>
          </cell>
          <cell r="BI223">
            <v>7914.6729999999998</v>
          </cell>
          <cell r="BJ223">
            <v>8067.6540000000005</v>
          </cell>
          <cell r="BK223">
            <v>8232.1489999999994</v>
          </cell>
          <cell r="BL223">
            <v>8410.143</v>
          </cell>
          <cell r="BM223">
            <v>8599.6389999999992</v>
          </cell>
          <cell r="BN223">
            <v>8796.3209999999999</v>
          </cell>
          <cell r="BO223">
            <v>8993.9259999999995</v>
          </cell>
          <cell r="BP223">
            <v>9187.9240000000009</v>
          </cell>
          <cell r="BQ223">
            <v>9376.8760000000002</v>
          </cell>
          <cell r="BR223">
            <v>9562.2849999999999</v>
          </cell>
          <cell r="BS223">
            <v>9746.2009999999991</v>
          </cell>
          <cell r="BT223">
            <v>9931.8889999999992</v>
          </cell>
          <cell r="BU223">
            <v>10121.715</v>
          </cell>
          <cell r="BV223">
            <v>10316.120000000001</v>
          </cell>
          <cell r="BW223">
            <v>10514.194</v>
          </cell>
          <cell r="BX223">
            <v>10715.335999999999</v>
          </cell>
        </row>
        <row r="224">
          <cell r="C224" t="str">
            <v>Fiji</v>
          </cell>
          <cell r="E224">
            <v>242</v>
          </cell>
          <cell r="F224" t="str">
            <v>Country</v>
          </cell>
          <cell r="G224">
            <v>928</v>
          </cell>
          <cell r="H224">
            <v>288.988</v>
          </cell>
          <cell r="I224">
            <v>296.25200000000001</v>
          </cell>
          <cell r="J224">
            <v>304.887</v>
          </cell>
          <cell r="K224">
            <v>314.44499999999999</v>
          </cell>
          <cell r="L224">
            <v>324.59399999999999</v>
          </cell>
          <cell r="M224">
            <v>335.09800000000001</v>
          </cell>
          <cell r="N224">
            <v>345.87099999999998</v>
          </cell>
          <cell r="O224">
            <v>356.935</v>
          </cell>
          <cell r="P224">
            <v>368.43</v>
          </cell>
          <cell r="Q224">
            <v>380.55700000000002</v>
          </cell>
          <cell r="R224">
            <v>393.48099999999999</v>
          </cell>
          <cell r="S224">
            <v>407.24900000000002</v>
          </cell>
          <cell r="T224">
            <v>421.66500000000002</v>
          </cell>
          <cell r="U224">
            <v>436.29300000000001</v>
          </cell>
          <cell r="V224">
            <v>450.54199999999997</v>
          </cell>
          <cell r="W224">
            <v>463.96800000000002</v>
          </cell>
          <cell r="X224">
            <v>476.404</v>
          </cell>
          <cell r="Y224">
            <v>487.98099999999999</v>
          </cell>
          <cell r="Z224">
            <v>498.94</v>
          </cell>
          <cell r="AA224">
            <v>509.70400000000001</v>
          </cell>
          <cell r="AB224">
            <v>520.56200000000001</v>
          </cell>
          <cell r="AC224">
            <v>531.63499999999999</v>
          </cell>
          <cell r="AD224">
            <v>542.84400000000005</v>
          </cell>
          <cell r="AE224">
            <v>554.13800000000003</v>
          </cell>
          <cell r="AF224">
            <v>565.41499999999996</v>
          </cell>
          <cell r="AG224">
            <v>576.62599999999998</v>
          </cell>
          <cell r="AH224">
            <v>587.55700000000002</v>
          </cell>
          <cell r="AI224">
            <v>598.29600000000005</v>
          </cell>
          <cell r="AJ224">
            <v>609.38300000000004</v>
          </cell>
          <cell r="AK224">
            <v>621.58500000000004</v>
          </cell>
          <cell r="AL224">
            <v>635.30700000000002</v>
          </cell>
          <cell r="AM224">
            <v>651.02099999999996</v>
          </cell>
          <cell r="AN224">
            <v>668.28</v>
          </cell>
          <cell r="AO224">
            <v>685.49699999999996</v>
          </cell>
          <cell r="AP224">
            <v>700.48299999999995</v>
          </cell>
          <cell r="AQ224">
            <v>711.77499999999998</v>
          </cell>
          <cell r="AR224">
            <v>718.63900000000001</v>
          </cell>
          <cell r="AS224">
            <v>721.78300000000002</v>
          </cell>
          <cell r="AT224">
            <v>722.93</v>
          </cell>
          <cell r="AU224">
            <v>724.59400000000005</v>
          </cell>
          <cell r="AV224">
            <v>728.57299999999998</v>
          </cell>
          <cell r="AW224">
            <v>735.40099999999995</v>
          </cell>
          <cell r="AX224">
            <v>744.46900000000005</v>
          </cell>
          <cell r="AY224">
            <v>754.96299999999997</v>
          </cell>
          <cell r="AZ224">
            <v>765.60900000000004</v>
          </cell>
          <cell r="BA224">
            <v>775.42499999999995</v>
          </cell>
          <cell r="BB224">
            <v>784.38599999999997</v>
          </cell>
          <cell r="BC224">
            <v>792.73599999999999</v>
          </cell>
          <cell r="BD224">
            <v>800.15700000000004</v>
          </cell>
          <cell r="BE224">
            <v>806.303</v>
          </cell>
          <cell r="BF224">
            <v>811.00599999999997</v>
          </cell>
          <cell r="BG224">
            <v>813.92499999999995</v>
          </cell>
          <cell r="BH224">
            <v>815.25699999999995</v>
          </cell>
          <cell r="BI224">
            <v>816.07600000000002</v>
          </cell>
          <cell r="BJ224">
            <v>817.86</v>
          </cell>
          <cell r="BK224">
            <v>821.60400000000004</v>
          </cell>
          <cell r="BL224">
            <v>827.87</v>
          </cell>
          <cell r="BM224">
            <v>836.19</v>
          </cell>
          <cell r="BN224">
            <v>845.36099999999999</v>
          </cell>
          <cell r="BO224">
            <v>853.63699999999994</v>
          </cell>
          <cell r="BP224">
            <v>859.81799999999998</v>
          </cell>
          <cell r="BQ224">
            <v>863.44899999999996</v>
          </cell>
          <cell r="BR224">
            <v>865.06899999999996</v>
          </cell>
          <cell r="BS224">
            <v>865.60799999999995</v>
          </cell>
          <cell r="BT224">
            <v>866.45299999999997</v>
          </cell>
          <cell r="BU224">
            <v>868.62699999999995</v>
          </cell>
          <cell r="BV224">
            <v>872.399</v>
          </cell>
          <cell r="BW224">
            <v>877.45899999999995</v>
          </cell>
          <cell r="BX224">
            <v>883.48299999999995</v>
          </cell>
        </row>
        <row r="225">
          <cell r="C225" t="str">
            <v>New Caledonia</v>
          </cell>
          <cell r="E225">
            <v>540</v>
          </cell>
          <cell r="F225" t="str">
            <v>Country</v>
          </cell>
          <cell r="G225">
            <v>928</v>
          </cell>
          <cell r="H225">
            <v>64.825000000000003</v>
          </cell>
          <cell r="I225">
            <v>64.256</v>
          </cell>
          <cell r="J225">
            <v>64.408000000000001</v>
          </cell>
          <cell r="K225">
            <v>65.126000000000005</v>
          </cell>
          <cell r="L225">
            <v>66.278000000000006</v>
          </cell>
          <cell r="M225">
            <v>67.748000000000005</v>
          </cell>
          <cell r="N225">
            <v>69.468000000000004</v>
          </cell>
          <cell r="O225">
            <v>71.376000000000005</v>
          </cell>
          <cell r="P225">
            <v>73.448999999999998</v>
          </cell>
          <cell r="Q225">
            <v>75.677999999999997</v>
          </cell>
          <cell r="R225">
            <v>78.055999999999997</v>
          </cell>
          <cell r="S225">
            <v>80.584000000000003</v>
          </cell>
          <cell r="T225">
            <v>83.218000000000004</v>
          </cell>
          <cell r="U225">
            <v>85.905000000000001</v>
          </cell>
          <cell r="V225">
            <v>88.578999999999994</v>
          </cell>
          <cell r="W225">
            <v>91.2</v>
          </cell>
          <cell r="X225">
            <v>93.686000000000007</v>
          </cell>
          <cell r="Y225">
            <v>96.070999999999998</v>
          </cell>
          <cell r="Z225">
            <v>98.608999999999995</v>
          </cell>
          <cell r="AA225">
            <v>101.62</v>
          </cell>
          <cell r="AB225">
            <v>105.324</v>
          </cell>
          <cell r="AC225">
            <v>109.83</v>
          </cell>
          <cell r="AD225">
            <v>114.98399999999999</v>
          </cell>
          <cell r="AE225">
            <v>120.432</v>
          </cell>
          <cell r="AF225">
            <v>125.642</v>
          </cell>
          <cell r="AG225">
            <v>130.26400000000001</v>
          </cell>
          <cell r="AH225">
            <v>134.173</v>
          </cell>
          <cell r="AI225">
            <v>137.47</v>
          </cell>
          <cell r="AJ225">
            <v>140.273</v>
          </cell>
          <cell r="AK225">
            <v>142.768</v>
          </cell>
          <cell r="AL225">
            <v>145.14400000000001</v>
          </cell>
          <cell r="AM225">
            <v>147.405</v>
          </cell>
          <cell r="AN225">
            <v>149.535</v>
          </cell>
          <cell r="AO225">
            <v>151.626</v>
          </cell>
          <cell r="AP225">
            <v>153.74700000000001</v>
          </cell>
          <cell r="AQ225">
            <v>155.982</v>
          </cell>
          <cell r="AR225">
            <v>158.346</v>
          </cell>
          <cell r="AS225">
            <v>160.87200000000001</v>
          </cell>
          <cell r="AT225">
            <v>163.65700000000001</v>
          </cell>
          <cell r="AU225">
            <v>166.78700000000001</v>
          </cell>
          <cell r="AV225">
            <v>170.33600000000001</v>
          </cell>
          <cell r="AW225">
            <v>174.33600000000001</v>
          </cell>
          <cell r="AX225">
            <v>178.75899999999999</v>
          </cell>
          <cell r="AY225">
            <v>183.48</v>
          </cell>
          <cell r="AZ225">
            <v>188.36500000000001</v>
          </cell>
          <cell r="BA225">
            <v>193.29300000000001</v>
          </cell>
          <cell r="BB225">
            <v>198.24</v>
          </cell>
          <cell r="BC225">
            <v>203.18700000000001</v>
          </cell>
          <cell r="BD225">
            <v>208.05600000000001</v>
          </cell>
          <cell r="BE225">
            <v>212.77600000000001</v>
          </cell>
          <cell r="BF225">
            <v>217.26900000000001</v>
          </cell>
          <cell r="BG225">
            <v>221.49299999999999</v>
          </cell>
          <cell r="BH225">
            <v>225.482</v>
          </cell>
          <cell r="BI225">
            <v>229.244</v>
          </cell>
          <cell r="BJ225">
            <v>232.88300000000001</v>
          </cell>
          <cell r="BK225">
            <v>236.44200000000001</v>
          </cell>
          <cell r="BL225">
            <v>239.93</v>
          </cell>
          <cell r="BM225">
            <v>243.33099999999999</v>
          </cell>
          <cell r="BN225">
            <v>246.69499999999999</v>
          </cell>
          <cell r="BO225">
            <v>250.08500000000001</v>
          </cell>
          <cell r="BP225">
            <v>253.52699999999999</v>
          </cell>
          <cell r="BQ225">
            <v>257.05399999999997</v>
          </cell>
          <cell r="BR225">
            <v>260.65300000000002</v>
          </cell>
          <cell r="BS225">
            <v>264.24200000000002</v>
          </cell>
          <cell r="BT225">
            <v>267.73899999999998</v>
          </cell>
          <cell r="BU225">
            <v>271.065</v>
          </cell>
          <cell r="BV225">
            <v>274.19099999999997</v>
          </cell>
          <cell r="BW225">
            <v>277.14999999999998</v>
          </cell>
          <cell r="BX225">
            <v>279.99299999999999</v>
          </cell>
        </row>
        <row r="226">
          <cell r="C226" t="str">
            <v>Papua New Guinea</v>
          </cell>
          <cell r="E226">
            <v>598</v>
          </cell>
          <cell r="F226" t="str">
            <v>Country</v>
          </cell>
          <cell r="G226">
            <v>928</v>
          </cell>
          <cell r="H226">
            <v>2002.1479999999999</v>
          </cell>
          <cell r="I226">
            <v>2011.2059999999999</v>
          </cell>
          <cell r="J226">
            <v>2024.1559999999999</v>
          </cell>
          <cell r="K226">
            <v>2041.0250000000001</v>
          </cell>
          <cell r="L226">
            <v>2061.7649999999999</v>
          </cell>
          <cell r="M226">
            <v>2086.2469999999998</v>
          </cell>
          <cell r="N226">
            <v>2114.288</v>
          </cell>
          <cell r="O226">
            <v>2145.6089999999999</v>
          </cell>
          <cell r="P226">
            <v>2179.866</v>
          </cell>
          <cell r="Q226">
            <v>2216.7240000000002</v>
          </cell>
          <cell r="R226">
            <v>2255.8589999999999</v>
          </cell>
          <cell r="S226">
            <v>2297.0590000000002</v>
          </cell>
          <cell r="T226">
            <v>2340.3519999999999</v>
          </cell>
          <cell r="U226">
            <v>2385.9459999999999</v>
          </cell>
          <cell r="V226">
            <v>2434.223</v>
          </cell>
          <cell r="W226">
            <v>2485.4369999999999</v>
          </cell>
          <cell r="X226">
            <v>2539.674</v>
          </cell>
          <cell r="Y226">
            <v>2596.8200000000002</v>
          </cell>
          <cell r="Z226">
            <v>2656.6329999999998</v>
          </cell>
          <cell r="AA226">
            <v>2718.8110000000001</v>
          </cell>
          <cell r="AB226">
            <v>2783.1210000000001</v>
          </cell>
          <cell r="AC226">
            <v>2849.5320000000002</v>
          </cell>
          <cell r="AD226">
            <v>2918.1390000000001</v>
          </cell>
          <cell r="AE226">
            <v>2989.2020000000002</v>
          </cell>
          <cell r="AF226">
            <v>3063.049</v>
          </cell>
          <cell r="AG226">
            <v>3139.9450000000002</v>
          </cell>
          <cell r="AH226">
            <v>3219.8290000000002</v>
          </cell>
          <cell r="AI226">
            <v>3302.6329999999998</v>
          </cell>
          <cell r="AJ226">
            <v>3388.6179999999999</v>
          </cell>
          <cell r="AK226">
            <v>3478.1</v>
          </cell>
          <cell r="AL226">
            <v>3571.2049999999999</v>
          </cell>
          <cell r="AM226">
            <v>3668.1039999999998</v>
          </cell>
          <cell r="AN226">
            <v>3768.4830000000002</v>
          </cell>
          <cell r="AO226">
            <v>3871.4920000000002</v>
          </cell>
          <cell r="AP226">
            <v>3975.9560000000001</v>
          </cell>
          <cell r="AQ226">
            <v>4081.03</v>
          </cell>
          <cell r="AR226">
            <v>4186.4989999999998</v>
          </cell>
          <cell r="AS226">
            <v>4292.5630000000001</v>
          </cell>
          <cell r="AT226">
            <v>4399.3239999999996</v>
          </cell>
          <cell r="AU226">
            <v>4506.991</v>
          </cell>
          <cell r="AV226">
            <v>4615.8389999999999</v>
          </cell>
          <cell r="AW226">
            <v>4725.5469999999996</v>
          </cell>
          <cell r="AX226">
            <v>4836.2169999999996</v>
          </cell>
          <cell r="AY226">
            <v>4949.0510000000004</v>
          </cell>
          <cell r="AZ226">
            <v>5065.6610000000001</v>
          </cell>
          <cell r="BA226">
            <v>5187.0600000000004</v>
          </cell>
          <cell r="BB226">
            <v>5314.2479999999996</v>
          </cell>
          <cell r="BC226">
            <v>5446.6409999999996</v>
          </cell>
          <cell r="BD226">
            <v>5581.7619999999997</v>
          </cell>
          <cell r="BE226">
            <v>5716.1610000000001</v>
          </cell>
          <cell r="BF226">
            <v>5847.5860000000002</v>
          </cell>
          <cell r="BG226">
            <v>5974.6289999999999</v>
          </cell>
          <cell r="BH226">
            <v>6098.6210000000001</v>
          </cell>
          <cell r="BI226">
            <v>6223.3770000000004</v>
          </cell>
          <cell r="BJ226">
            <v>6354.2449999999999</v>
          </cell>
          <cell r="BK226">
            <v>6494.9030000000002</v>
          </cell>
          <cell r="BL226">
            <v>6646.8950000000004</v>
          </cell>
          <cell r="BM226">
            <v>6808.5140000000001</v>
          </cell>
          <cell r="BN226">
            <v>6976.201</v>
          </cell>
          <cell r="BO226">
            <v>7144.7759999999998</v>
          </cell>
          <cell r="BP226">
            <v>7310.5069999999996</v>
          </cell>
          <cell r="BQ226">
            <v>7472.1989999999996</v>
          </cell>
          <cell r="BR226">
            <v>7631.0010000000002</v>
          </cell>
          <cell r="BS226">
            <v>7788.38</v>
          </cell>
          <cell r="BT226">
            <v>7946.73</v>
          </cell>
          <cell r="BU226">
            <v>8107.7749999999996</v>
          </cell>
          <cell r="BV226">
            <v>8271.7620000000006</v>
          </cell>
          <cell r="BW226">
            <v>8438.0360000000001</v>
          </cell>
          <cell r="BX226">
            <v>8606.3230000000003</v>
          </cell>
        </row>
        <row r="227">
          <cell r="C227" t="str">
            <v>Solomon Islands</v>
          </cell>
          <cell r="E227">
            <v>90</v>
          </cell>
          <cell r="F227" t="str">
            <v>Country</v>
          </cell>
          <cell r="G227">
            <v>928</v>
          </cell>
          <cell r="H227">
            <v>89.793999999999997</v>
          </cell>
          <cell r="I227">
            <v>91.796999999999997</v>
          </cell>
          <cell r="J227">
            <v>94.058999999999997</v>
          </cell>
          <cell r="K227">
            <v>96.534000000000006</v>
          </cell>
          <cell r="L227">
            <v>99.188000000000002</v>
          </cell>
          <cell r="M227">
            <v>102.002</v>
          </cell>
          <cell r="N227">
            <v>104.93600000000001</v>
          </cell>
          <cell r="O227">
            <v>107.992</v>
          </cell>
          <cell r="P227">
            <v>111.154</v>
          </cell>
          <cell r="Q227">
            <v>114.435</v>
          </cell>
          <cell r="R227">
            <v>117.849</v>
          </cell>
          <cell r="S227">
            <v>121.378</v>
          </cell>
          <cell r="T227">
            <v>125.04</v>
          </cell>
          <cell r="U227">
            <v>128.83799999999999</v>
          </cell>
          <cell r="V227">
            <v>132.75899999999999</v>
          </cell>
          <cell r="W227">
            <v>136.816</v>
          </cell>
          <cell r="X227">
            <v>140.99100000000001</v>
          </cell>
          <cell r="Y227">
            <v>145.31700000000001</v>
          </cell>
          <cell r="Z227">
            <v>149.881</v>
          </cell>
          <cell r="AA227">
            <v>154.83000000000001</v>
          </cell>
          <cell r="AB227">
            <v>160.25</v>
          </cell>
          <cell r="AC227">
            <v>166.16200000000001</v>
          </cell>
          <cell r="AD227">
            <v>172.55199999999999</v>
          </cell>
          <cell r="AE227">
            <v>179.30500000000001</v>
          </cell>
          <cell r="AF227">
            <v>186.29499999999999</v>
          </cell>
          <cell r="AG227">
            <v>193.40199999999999</v>
          </cell>
          <cell r="AH227">
            <v>200.59899999999999</v>
          </cell>
          <cell r="AI227">
            <v>207.89</v>
          </cell>
          <cell r="AJ227">
            <v>215.29499999999999</v>
          </cell>
          <cell r="AK227">
            <v>222.84</v>
          </cell>
          <cell r="AL227">
            <v>230.54599999999999</v>
          </cell>
          <cell r="AM227">
            <v>238.429</v>
          </cell>
          <cell r="AN227">
            <v>246.447</v>
          </cell>
          <cell r="AO227">
            <v>254.559</v>
          </cell>
          <cell r="AP227">
            <v>262.68700000000001</v>
          </cell>
          <cell r="AQ227">
            <v>270.78800000000001</v>
          </cell>
          <cell r="AR227">
            <v>278.83699999999999</v>
          </cell>
          <cell r="AS227">
            <v>286.87</v>
          </cell>
          <cell r="AT227">
            <v>294.97199999999998</v>
          </cell>
          <cell r="AU227">
            <v>303.27199999999999</v>
          </cell>
          <cell r="AV227">
            <v>311.86599999999999</v>
          </cell>
          <cell r="AW227">
            <v>320.77999999999997</v>
          </cell>
          <cell r="AX227">
            <v>329.995</v>
          </cell>
          <cell r="AY227">
            <v>339.50400000000002</v>
          </cell>
          <cell r="AZ227">
            <v>349.28100000000001</v>
          </cell>
          <cell r="BA227">
            <v>359.28100000000001</v>
          </cell>
          <cell r="BB227">
            <v>369.52300000000002</v>
          </cell>
          <cell r="BC227">
            <v>379.99900000000002</v>
          </cell>
          <cell r="BD227">
            <v>390.69299999999998</v>
          </cell>
          <cell r="BE227">
            <v>401.58600000000001</v>
          </cell>
          <cell r="BF227">
            <v>412.66</v>
          </cell>
          <cell r="BG227">
            <v>423.94400000000002</v>
          </cell>
          <cell r="BH227">
            <v>435.43200000000002</v>
          </cell>
          <cell r="BI227">
            <v>447.017</v>
          </cell>
          <cell r="BJ227">
            <v>458.53899999999999</v>
          </cell>
          <cell r="BK227">
            <v>469.91800000000001</v>
          </cell>
          <cell r="BL227">
            <v>481.07799999999997</v>
          </cell>
          <cell r="BM227">
            <v>492.13200000000001</v>
          </cell>
          <cell r="BN227">
            <v>503.36</v>
          </cell>
          <cell r="BO227">
            <v>515.18100000000004</v>
          </cell>
          <cell r="BP227">
            <v>527.86099999999999</v>
          </cell>
          <cell r="BQ227">
            <v>541.52099999999996</v>
          </cell>
          <cell r="BR227">
            <v>556.06299999999999</v>
          </cell>
          <cell r="BS227">
            <v>571.33600000000001</v>
          </cell>
          <cell r="BT227">
            <v>587.07899999999995</v>
          </cell>
          <cell r="BU227">
            <v>603.11800000000005</v>
          </cell>
          <cell r="BV227">
            <v>619.43799999999999</v>
          </cell>
          <cell r="BW227">
            <v>636.03899999999999</v>
          </cell>
          <cell r="BX227">
            <v>652.85699999999997</v>
          </cell>
        </row>
        <row r="228">
          <cell r="C228" t="str">
            <v>Vanuatu</v>
          </cell>
          <cell r="E228">
            <v>548</v>
          </cell>
          <cell r="F228" t="str">
            <v>Country</v>
          </cell>
          <cell r="G228">
            <v>928</v>
          </cell>
          <cell r="H228">
            <v>47.697000000000003</v>
          </cell>
          <cell r="I228">
            <v>48.917999999999999</v>
          </cell>
          <cell r="J228">
            <v>50.295999999999999</v>
          </cell>
          <cell r="K228">
            <v>51.771999999999998</v>
          </cell>
          <cell r="L228">
            <v>53.322000000000003</v>
          </cell>
          <cell r="M228">
            <v>54.920999999999999</v>
          </cell>
          <cell r="N228">
            <v>56.557000000000002</v>
          </cell>
          <cell r="O228">
            <v>58.24</v>
          </cell>
          <cell r="P228">
            <v>59.976999999999997</v>
          </cell>
          <cell r="Q228">
            <v>61.787999999999997</v>
          </cell>
          <cell r="R228">
            <v>63.689</v>
          </cell>
          <cell r="S228">
            <v>65.704999999999998</v>
          </cell>
          <cell r="T228">
            <v>67.793999999999997</v>
          </cell>
          <cell r="U228">
            <v>69.945999999999998</v>
          </cell>
          <cell r="V228">
            <v>72.114999999999995</v>
          </cell>
          <cell r="W228">
            <v>74.27</v>
          </cell>
          <cell r="X228">
            <v>76.394999999999996</v>
          </cell>
          <cell r="Y228">
            <v>78.498999999999995</v>
          </cell>
          <cell r="Z228">
            <v>80.656999999999996</v>
          </cell>
          <cell r="AA228">
            <v>82.927000000000007</v>
          </cell>
          <cell r="AB228">
            <v>85.376999999999995</v>
          </cell>
          <cell r="AC228">
            <v>88.01</v>
          </cell>
          <cell r="AD228">
            <v>90.808999999999997</v>
          </cell>
          <cell r="AE228">
            <v>93.747</v>
          </cell>
          <cell r="AF228">
            <v>96.774000000000001</v>
          </cell>
          <cell r="AG228">
            <v>99.858999999999995</v>
          </cell>
          <cell r="AH228">
            <v>103.006</v>
          </cell>
          <cell r="AI228">
            <v>106.2</v>
          </cell>
          <cell r="AJ228">
            <v>109.405</v>
          </cell>
          <cell r="AK228">
            <v>112.54900000000001</v>
          </cell>
          <cell r="AL228">
            <v>115.59699999999999</v>
          </cell>
          <cell r="AM228">
            <v>118.541</v>
          </cell>
          <cell r="AN228">
            <v>121.395</v>
          </cell>
          <cell r="AO228">
            <v>124.209</v>
          </cell>
          <cell r="AP228">
            <v>127.04900000000001</v>
          </cell>
          <cell r="AQ228">
            <v>129.98400000000001</v>
          </cell>
          <cell r="AR228">
            <v>132.995</v>
          </cell>
          <cell r="AS228">
            <v>136.07900000000001</v>
          </cell>
          <cell r="AT228">
            <v>139.315</v>
          </cell>
          <cell r="AU228">
            <v>142.79400000000001</v>
          </cell>
          <cell r="AV228">
            <v>146.57300000000001</v>
          </cell>
          <cell r="AW228">
            <v>150.71600000000001</v>
          </cell>
          <cell r="AX228">
            <v>155.16999999999999</v>
          </cell>
          <cell r="AY228">
            <v>159.744</v>
          </cell>
          <cell r="AZ228">
            <v>164.12899999999999</v>
          </cell>
          <cell r="BA228">
            <v>168.15799999999999</v>
          </cell>
          <cell r="BB228">
            <v>171.72200000000001</v>
          </cell>
          <cell r="BC228">
            <v>174.92099999999999</v>
          </cell>
          <cell r="BD228">
            <v>177.98699999999999</v>
          </cell>
          <cell r="BE228">
            <v>181.26499999999999</v>
          </cell>
          <cell r="BF228">
            <v>184.97200000000001</v>
          </cell>
          <cell r="BG228">
            <v>189.21899999999999</v>
          </cell>
          <cell r="BH228">
            <v>193.92</v>
          </cell>
          <cell r="BI228">
            <v>198.959</v>
          </cell>
          <cell r="BJ228">
            <v>204.12700000000001</v>
          </cell>
          <cell r="BK228">
            <v>209.28200000000001</v>
          </cell>
          <cell r="BL228">
            <v>214.37</v>
          </cell>
          <cell r="BM228">
            <v>219.47200000000001</v>
          </cell>
          <cell r="BN228">
            <v>224.70400000000001</v>
          </cell>
          <cell r="BO228">
            <v>230.24700000000001</v>
          </cell>
          <cell r="BP228">
            <v>236.21100000000001</v>
          </cell>
          <cell r="BQ228">
            <v>242.65299999999999</v>
          </cell>
          <cell r="BR228">
            <v>249.499</v>
          </cell>
          <cell r="BS228">
            <v>256.63499999999999</v>
          </cell>
          <cell r="BT228">
            <v>263.88799999999998</v>
          </cell>
          <cell r="BU228">
            <v>271.13</v>
          </cell>
          <cell r="BV228">
            <v>278.33</v>
          </cell>
          <cell r="BW228">
            <v>285.51</v>
          </cell>
          <cell r="BX228">
            <v>292.68</v>
          </cell>
        </row>
        <row r="229">
          <cell r="C229" t="str">
            <v>Micronesia</v>
          </cell>
          <cell r="E229">
            <v>954</v>
          </cell>
          <cell r="F229" t="str">
            <v>Subregion</v>
          </cell>
          <cell r="G229">
            <v>1835</v>
          </cell>
          <cell r="H229">
            <v>155.565</v>
          </cell>
          <cell r="I229">
            <v>158.55199999999999</v>
          </cell>
          <cell r="J229">
            <v>161.55500000000001</v>
          </cell>
          <cell r="K229">
            <v>164.631</v>
          </cell>
          <cell r="L229">
            <v>167.791</v>
          </cell>
          <cell r="M229">
            <v>171.107</v>
          </cell>
          <cell r="N229">
            <v>174.61799999999999</v>
          </cell>
          <cell r="O229">
            <v>178.32300000000001</v>
          </cell>
          <cell r="P229">
            <v>182.32599999999999</v>
          </cell>
          <cell r="Q229">
            <v>186.62299999999999</v>
          </cell>
          <cell r="R229">
            <v>191.245</v>
          </cell>
          <cell r="S229">
            <v>196.21</v>
          </cell>
          <cell r="T229">
            <v>201.49600000000001</v>
          </cell>
          <cell r="U229">
            <v>207.02699999999999</v>
          </cell>
          <cell r="V229">
            <v>212.80199999999999</v>
          </cell>
          <cell r="W229">
            <v>218.65100000000001</v>
          </cell>
          <cell r="X229">
            <v>224.66499999999999</v>
          </cell>
          <cell r="Y229">
            <v>230.786</v>
          </cell>
          <cell r="Z229">
            <v>236.87</v>
          </cell>
          <cell r="AA229">
            <v>242.70699999999999</v>
          </cell>
          <cell r="AB229">
            <v>248.197</v>
          </cell>
          <cell r="AC229">
            <v>253.261</v>
          </cell>
          <cell r="AD229">
            <v>258.012</v>
          </cell>
          <cell r="AE229">
            <v>262.60700000000003</v>
          </cell>
          <cell r="AF229">
            <v>267.262</v>
          </cell>
          <cell r="AG229">
            <v>272.173</v>
          </cell>
          <cell r="AH229">
            <v>277.37099999999998</v>
          </cell>
          <cell r="AI229">
            <v>282.88600000000002</v>
          </cell>
          <cell r="AJ229">
            <v>288.92399999999998</v>
          </cell>
          <cell r="AK229">
            <v>295.721</v>
          </cell>
          <cell r="AL229">
            <v>303.49299999999999</v>
          </cell>
          <cell r="AM229">
            <v>312.21699999999998</v>
          </cell>
          <cell r="AN229">
            <v>321.834</v>
          </cell>
          <cell r="AO229">
            <v>332.28899999999999</v>
          </cell>
          <cell r="AP229">
            <v>343.48</v>
          </cell>
          <cell r="AQ229">
            <v>355.28</v>
          </cell>
          <cell r="AR229">
            <v>367.73700000000002</v>
          </cell>
          <cell r="AS229">
            <v>380.68400000000003</v>
          </cell>
          <cell r="AT229">
            <v>393.58199999999999</v>
          </cell>
          <cell r="AU229">
            <v>405.779</v>
          </cell>
          <cell r="AV229">
            <v>416.76900000000001</v>
          </cell>
          <cell r="AW229">
            <v>426.29500000000002</v>
          </cell>
          <cell r="AX229">
            <v>434.45400000000001</v>
          </cell>
          <cell r="AY229">
            <v>441.61500000000001</v>
          </cell>
          <cell r="AZ229">
            <v>448.29599999999999</v>
          </cell>
          <cell r="BA229">
            <v>454.93200000000002</v>
          </cell>
          <cell r="BB229">
            <v>461.60300000000001</v>
          </cell>
          <cell r="BC229">
            <v>468.137</v>
          </cell>
          <cell r="BD229">
            <v>474.36900000000003</v>
          </cell>
          <cell r="BE229">
            <v>479.99</v>
          </cell>
          <cell r="BF229">
            <v>484.77499999999998</v>
          </cell>
          <cell r="BG229">
            <v>488.767</v>
          </cell>
          <cell r="BH229">
            <v>492.04</v>
          </cell>
          <cell r="BI229">
            <v>494.65899999999999</v>
          </cell>
          <cell r="BJ229">
            <v>496.71600000000001</v>
          </cell>
          <cell r="BK229">
            <v>498.286</v>
          </cell>
          <cell r="BL229">
            <v>499.37900000000002</v>
          </cell>
          <cell r="BM229">
            <v>500.08800000000002</v>
          </cell>
          <cell r="BN229">
            <v>500.73399999999998</v>
          </cell>
          <cell r="BO229">
            <v>501.798</v>
          </cell>
          <cell r="BP229">
            <v>503.57900000000001</v>
          </cell>
          <cell r="BQ229">
            <v>506.22800000000001</v>
          </cell>
          <cell r="BR229">
            <v>509.68</v>
          </cell>
          <cell r="BS229">
            <v>513.76</v>
          </cell>
          <cell r="BT229">
            <v>518.25199999999995</v>
          </cell>
          <cell r="BU229">
            <v>522.94500000000005</v>
          </cell>
          <cell r="BV229">
            <v>527.81299999999999</v>
          </cell>
          <cell r="BW229">
            <v>532.899</v>
          </cell>
          <cell r="BX229">
            <v>538.12699999999995</v>
          </cell>
        </row>
        <row r="230">
          <cell r="C230" t="str">
            <v>Guam</v>
          </cell>
          <cell r="E230">
            <v>316</v>
          </cell>
          <cell r="F230" t="str">
            <v>Country</v>
          </cell>
          <cell r="G230">
            <v>954</v>
          </cell>
          <cell r="H230">
            <v>59.651000000000003</v>
          </cell>
          <cell r="I230">
            <v>60.262</v>
          </cell>
          <cell r="J230">
            <v>60.877000000000002</v>
          </cell>
          <cell r="K230">
            <v>61.470999999999997</v>
          </cell>
          <cell r="L230">
            <v>62.052999999999997</v>
          </cell>
          <cell r="M230">
            <v>62.640999999999998</v>
          </cell>
          <cell r="N230">
            <v>63.258000000000003</v>
          </cell>
          <cell r="O230">
            <v>63.926000000000002</v>
          </cell>
          <cell r="P230">
            <v>64.697000000000003</v>
          </cell>
          <cell r="Q230">
            <v>65.619</v>
          </cell>
          <cell r="R230">
            <v>66.742000000000004</v>
          </cell>
          <cell r="S230">
            <v>68.072000000000003</v>
          </cell>
          <cell r="T230">
            <v>69.603999999999999</v>
          </cell>
          <cell r="U230">
            <v>71.286000000000001</v>
          </cell>
          <cell r="V230">
            <v>73.051000000000002</v>
          </cell>
          <cell r="W230">
            <v>74.83</v>
          </cell>
          <cell r="X230">
            <v>76.606999999999999</v>
          </cell>
          <cell r="Y230">
            <v>78.403999999999996</v>
          </cell>
          <cell r="Z230">
            <v>80.216999999999999</v>
          </cell>
          <cell r="AA230">
            <v>82.04</v>
          </cell>
          <cell r="AB230">
            <v>83.876999999999995</v>
          </cell>
          <cell r="AC230">
            <v>85.725999999999999</v>
          </cell>
          <cell r="AD230">
            <v>87.587000000000003</v>
          </cell>
          <cell r="AE230">
            <v>89.463999999999999</v>
          </cell>
          <cell r="AF230">
            <v>91.376999999999995</v>
          </cell>
          <cell r="AG230">
            <v>93.352000000000004</v>
          </cell>
          <cell r="AH230">
            <v>95.385000000000005</v>
          </cell>
          <cell r="AI230">
            <v>97.477000000000004</v>
          </cell>
          <cell r="AJ230">
            <v>99.63</v>
          </cell>
          <cell r="AK230">
            <v>101.84399999999999</v>
          </cell>
          <cell r="AL230">
            <v>104.133</v>
          </cell>
          <cell r="AM230">
            <v>106.485</v>
          </cell>
          <cell r="AN230">
            <v>108.90600000000001</v>
          </cell>
          <cell r="AO230">
            <v>111.402</v>
          </cell>
          <cell r="AP230">
            <v>113.961</v>
          </cell>
          <cell r="AQ230">
            <v>116.572</v>
          </cell>
          <cell r="AR230">
            <v>119.232</v>
          </cell>
          <cell r="AS230">
            <v>121.919</v>
          </cell>
          <cell r="AT230">
            <v>124.673</v>
          </cell>
          <cell r="AU230">
            <v>127.52200000000001</v>
          </cell>
          <cell r="AV230">
            <v>130.482</v>
          </cell>
          <cell r="AW230">
            <v>133.55799999999999</v>
          </cell>
          <cell r="AX230">
            <v>136.69200000000001</v>
          </cell>
          <cell r="AY230">
            <v>139.81800000000001</v>
          </cell>
          <cell r="AZ230">
            <v>142.80199999999999</v>
          </cell>
          <cell r="BA230">
            <v>145.56100000000001</v>
          </cell>
          <cell r="BB230">
            <v>148.06</v>
          </cell>
          <cell r="BC230">
            <v>150.303</v>
          </cell>
          <cell r="BD230">
            <v>152.27699999999999</v>
          </cell>
          <cell r="BE230">
            <v>153.953</v>
          </cell>
          <cell r="BF230">
            <v>155.32900000000001</v>
          </cell>
          <cell r="BG230">
            <v>156.40100000000001</v>
          </cell>
          <cell r="BH230">
            <v>157.17599999999999</v>
          </cell>
          <cell r="BI230">
            <v>157.71700000000001</v>
          </cell>
          <cell r="BJ230">
            <v>158.101</v>
          </cell>
          <cell r="BK230">
            <v>158.40199999999999</v>
          </cell>
          <cell r="BL230">
            <v>158.648</v>
          </cell>
          <cell r="BM230">
            <v>158.84700000000001</v>
          </cell>
          <cell r="BN230">
            <v>159.036</v>
          </cell>
          <cell r="BO230">
            <v>159.226</v>
          </cell>
          <cell r="BP230">
            <v>159.44399999999999</v>
          </cell>
          <cell r="BQ230">
            <v>159.69200000000001</v>
          </cell>
          <cell r="BR230">
            <v>159.99600000000001</v>
          </cell>
          <cell r="BS230">
            <v>160.40700000000001</v>
          </cell>
          <cell r="BT230">
            <v>161.01599999999999</v>
          </cell>
          <cell r="BU230">
            <v>161.85300000000001</v>
          </cell>
          <cell r="BV230">
            <v>162.95099999999999</v>
          </cell>
          <cell r="BW230">
            <v>164.28100000000001</v>
          </cell>
          <cell r="BX230">
            <v>165.768</v>
          </cell>
        </row>
        <row r="231">
          <cell r="C231" t="str">
            <v>Kiribati</v>
          </cell>
          <cell r="E231">
            <v>296</v>
          </cell>
          <cell r="F231" t="str">
            <v>Country</v>
          </cell>
          <cell r="G231">
            <v>954</v>
          </cell>
          <cell r="H231">
            <v>33.048000000000002</v>
          </cell>
          <cell r="I231">
            <v>33.619</v>
          </cell>
          <cell r="J231">
            <v>34.270000000000003</v>
          </cell>
          <cell r="K231">
            <v>34.985999999999997</v>
          </cell>
          <cell r="L231">
            <v>35.75</v>
          </cell>
          <cell r="M231">
            <v>36.573</v>
          </cell>
          <cell r="N231">
            <v>37.427</v>
          </cell>
          <cell r="O231">
            <v>38.314</v>
          </cell>
          <cell r="P231">
            <v>39.241</v>
          </cell>
          <cell r="Q231">
            <v>40.204000000000001</v>
          </cell>
          <cell r="R231">
            <v>41.201999999999998</v>
          </cell>
          <cell r="S231">
            <v>42.228999999999999</v>
          </cell>
          <cell r="T231">
            <v>43.280999999999999</v>
          </cell>
          <cell r="U231">
            <v>44.338000000000001</v>
          </cell>
          <cell r="V231">
            <v>45.399000000000001</v>
          </cell>
          <cell r="W231">
            <v>46.429000000000002</v>
          </cell>
          <cell r="X231">
            <v>47.433999999999997</v>
          </cell>
          <cell r="Y231">
            <v>48.417000000000002</v>
          </cell>
          <cell r="Z231">
            <v>49.363</v>
          </cell>
          <cell r="AA231">
            <v>50.267000000000003</v>
          </cell>
          <cell r="AB231">
            <v>51.151000000000003</v>
          </cell>
          <cell r="AC231">
            <v>51.98</v>
          </cell>
          <cell r="AD231">
            <v>52.78</v>
          </cell>
          <cell r="AE231">
            <v>53.552999999999997</v>
          </cell>
          <cell r="AF231">
            <v>54.332999999999998</v>
          </cell>
          <cell r="AG231">
            <v>55.113999999999997</v>
          </cell>
          <cell r="AH231">
            <v>55.923999999999999</v>
          </cell>
          <cell r="AI231">
            <v>56.764000000000003</v>
          </cell>
          <cell r="AJ231">
            <v>57.618000000000002</v>
          </cell>
          <cell r="AK231">
            <v>58.460999999999999</v>
          </cell>
          <cell r="AL231">
            <v>59.301000000000002</v>
          </cell>
          <cell r="AM231">
            <v>60.103999999999999</v>
          </cell>
          <cell r="AN231">
            <v>60.887</v>
          </cell>
          <cell r="AO231">
            <v>61.732999999999997</v>
          </cell>
          <cell r="AP231">
            <v>62.744</v>
          </cell>
          <cell r="AQ231">
            <v>63.985999999999997</v>
          </cell>
          <cell r="AR231">
            <v>65.504999999999995</v>
          </cell>
          <cell r="AS231">
            <v>67.248000000000005</v>
          </cell>
          <cell r="AT231">
            <v>69.088999999999999</v>
          </cell>
          <cell r="AU231">
            <v>70.852999999999994</v>
          </cell>
          <cell r="AV231">
            <v>72.400000000000006</v>
          </cell>
          <cell r="AW231">
            <v>73.691999999999993</v>
          </cell>
          <cell r="AX231">
            <v>74.766000000000005</v>
          </cell>
          <cell r="AY231">
            <v>75.715999999999994</v>
          </cell>
          <cell r="AZ231">
            <v>76.67</v>
          </cell>
          <cell r="BA231">
            <v>77.722999999999999</v>
          </cell>
          <cell r="BB231">
            <v>78.903000000000006</v>
          </cell>
          <cell r="BC231">
            <v>80.186999999999998</v>
          </cell>
          <cell r="BD231">
            <v>81.555999999999997</v>
          </cell>
          <cell r="BE231">
            <v>82.971999999999994</v>
          </cell>
          <cell r="BF231">
            <v>84.396000000000001</v>
          </cell>
          <cell r="BG231">
            <v>85.849000000000004</v>
          </cell>
          <cell r="BH231">
            <v>87.305000000000007</v>
          </cell>
          <cell r="BI231">
            <v>88.834999999999994</v>
          </cell>
          <cell r="BJ231">
            <v>90.498999999999995</v>
          </cell>
          <cell r="BK231">
            <v>92.325000000000003</v>
          </cell>
          <cell r="BL231">
            <v>94.343000000000004</v>
          </cell>
          <cell r="BM231">
            <v>96.527000000000001</v>
          </cell>
          <cell r="BN231">
            <v>98.760999999999996</v>
          </cell>
          <cell r="BO231">
            <v>100.93</v>
          </cell>
          <cell r="BP231">
            <v>102.92700000000001</v>
          </cell>
          <cell r="BQ231">
            <v>104.72799999999999</v>
          </cell>
          <cell r="BR231">
            <v>106.37</v>
          </cell>
          <cell r="BS231">
            <v>107.89</v>
          </cell>
          <cell r="BT231">
            <v>109.39100000000001</v>
          </cell>
          <cell r="BU231">
            <v>110.93</v>
          </cell>
          <cell r="BV231">
            <v>112.524</v>
          </cell>
          <cell r="BW231">
            <v>114.158</v>
          </cell>
          <cell r="BX231">
            <v>115.84699999999999</v>
          </cell>
        </row>
        <row r="232">
          <cell r="C232" t="str">
            <v>Marshall Islands</v>
          </cell>
          <cell r="E232">
            <v>584</v>
          </cell>
          <cell r="F232" t="str">
            <v>Country</v>
          </cell>
          <cell r="G232">
            <v>954</v>
          </cell>
          <cell r="H232">
            <v>13.000999999999999</v>
          </cell>
          <cell r="I232">
            <v>13.222</v>
          </cell>
          <cell r="J232">
            <v>13.438000000000001</v>
          </cell>
          <cell r="K232">
            <v>13.624000000000001</v>
          </cell>
          <cell r="L232">
            <v>13.784000000000001</v>
          </cell>
          <cell r="M232">
            <v>13.894</v>
          </cell>
          <cell r="N232">
            <v>13.993</v>
          </cell>
          <cell r="O232">
            <v>14.083</v>
          </cell>
          <cell r="P232">
            <v>14.208</v>
          </cell>
          <cell r="Q232">
            <v>14.39</v>
          </cell>
          <cell r="R232">
            <v>14.662000000000001</v>
          </cell>
          <cell r="S232">
            <v>15.051</v>
          </cell>
          <cell r="T232">
            <v>15.547000000000001</v>
          </cell>
          <cell r="U232">
            <v>16.114000000000001</v>
          </cell>
          <cell r="V232">
            <v>16.71</v>
          </cell>
          <cell r="W232">
            <v>17.283999999999999</v>
          </cell>
          <cell r="X232">
            <v>17.841999999999999</v>
          </cell>
          <cell r="Y232">
            <v>18.388000000000002</v>
          </cell>
          <cell r="Z232">
            <v>18.960999999999999</v>
          </cell>
          <cell r="AA232">
            <v>19.622</v>
          </cell>
          <cell r="AB232">
            <v>20.395</v>
          </cell>
          <cell r="AC232">
            <v>21.312999999999999</v>
          </cell>
          <cell r="AD232">
            <v>22.341000000000001</v>
          </cell>
          <cell r="AE232">
            <v>23.439</v>
          </cell>
          <cell r="AF232">
            <v>24.530999999999999</v>
          </cell>
          <cell r="AG232">
            <v>25.576000000000001</v>
          </cell>
          <cell r="AH232">
            <v>26.552</v>
          </cell>
          <cell r="AI232">
            <v>27.47</v>
          </cell>
          <cell r="AJ232">
            <v>28.405999999999999</v>
          </cell>
          <cell r="AK232">
            <v>29.416</v>
          </cell>
          <cell r="AL232">
            <v>30.576000000000001</v>
          </cell>
          <cell r="AM232">
            <v>31.893000000000001</v>
          </cell>
          <cell r="AN232">
            <v>33.328000000000003</v>
          </cell>
          <cell r="AO232">
            <v>34.889000000000003</v>
          </cell>
          <cell r="AP232">
            <v>36.557000000000002</v>
          </cell>
          <cell r="AQ232">
            <v>38.332999999999998</v>
          </cell>
          <cell r="AR232">
            <v>40.210999999999999</v>
          </cell>
          <cell r="AS232">
            <v>42.173000000000002</v>
          </cell>
          <cell r="AT232">
            <v>44.082999999999998</v>
          </cell>
          <cell r="AU232">
            <v>45.82</v>
          </cell>
          <cell r="AV232">
            <v>47.271000000000001</v>
          </cell>
          <cell r="AW232">
            <v>48.404000000000003</v>
          </cell>
          <cell r="AX232">
            <v>49.244999999999997</v>
          </cell>
          <cell r="AY232">
            <v>49.831000000000003</v>
          </cell>
          <cell r="AZ232">
            <v>50.215000000000003</v>
          </cell>
          <cell r="BA232">
            <v>50.457000000000001</v>
          </cell>
          <cell r="BB232">
            <v>50.533000000000001</v>
          </cell>
          <cell r="BC232">
            <v>50.45</v>
          </cell>
          <cell r="BD232">
            <v>50.356000000000002</v>
          </cell>
          <cell r="BE232">
            <v>50.423000000000002</v>
          </cell>
          <cell r="BF232">
            <v>50.753</v>
          </cell>
          <cell r="BG232">
            <v>51.421999999999997</v>
          </cell>
          <cell r="BH232">
            <v>52.37</v>
          </cell>
          <cell r="BI232">
            <v>53.456000000000003</v>
          </cell>
          <cell r="BJ232">
            <v>54.475999999999999</v>
          </cell>
          <cell r="BK232">
            <v>55.258000000000003</v>
          </cell>
          <cell r="BL232">
            <v>55.767000000000003</v>
          </cell>
          <cell r="BM232">
            <v>56.051000000000002</v>
          </cell>
          <cell r="BN232">
            <v>56.173999999999999</v>
          </cell>
          <cell r="BO232">
            <v>56.25</v>
          </cell>
          <cell r="BP232">
            <v>56.366</v>
          </cell>
          <cell r="BQ232">
            <v>56.530999999999999</v>
          </cell>
          <cell r="BR232">
            <v>56.716999999999999</v>
          </cell>
          <cell r="BS232">
            <v>56.938000000000002</v>
          </cell>
          <cell r="BT232">
            <v>57.179000000000002</v>
          </cell>
          <cell r="BU232">
            <v>57.439</v>
          </cell>
          <cell r="BV232">
            <v>57.734999999999999</v>
          </cell>
          <cell r="BW232">
            <v>58.058</v>
          </cell>
          <cell r="BX232">
            <v>58.412999999999997</v>
          </cell>
        </row>
        <row r="233">
          <cell r="C233" t="str">
            <v>Micronesia (Fed. States of)</v>
          </cell>
          <cell r="E233">
            <v>583</v>
          </cell>
          <cell r="F233" t="str">
            <v>Country</v>
          </cell>
          <cell r="G233">
            <v>954</v>
          </cell>
          <cell r="H233">
            <v>32.000999999999998</v>
          </cell>
          <cell r="I233">
            <v>33.396000000000001</v>
          </cell>
          <cell r="J233">
            <v>34.587000000000003</v>
          </cell>
          <cell r="K233">
            <v>35.68</v>
          </cell>
          <cell r="L233">
            <v>36.758000000000003</v>
          </cell>
          <cell r="M233">
            <v>37.872999999999998</v>
          </cell>
          <cell r="N233">
            <v>39.07</v>
          </cell>
          <cell r="O233">
            <v>40.345999999999997</v>
          </cell>
          <cell r="P233">
            <v>41.698999999999998</v>
          </cell>
          <cell r="Q233">
            <v>43.093000000000004</v>
          </cell>
          <cell r="R233">
            <v>44.514000000000003</v>
          </cell>
          <cell r="S233">
            <v>45.932000000000002</v>
          </cell>
          <cell r="T233">
            <v>47.366999999999997</v>
          </cell>
          <cell r="U233">
            <v>48.854999999999997</v>
          </cell>
          <cell r="V233">
            <v>50.468000000000004</v>
          </cell>
          <cell r="W233">
            <v>52.226999999999997</v>
          </cell>
          <cell r="X233">
            <v>54.192</v>
          </cell>
          <cell r="Y233">
            <v>56.307000000000002</v>
          </cell>
          <cell r="Z233">
            <v>58.387999999999998</v>
          </cell>
          <cell r="AA233">
            <v>60.145000000000003</v>
          </cell>
          <cell r="AB233">
            <v>61.417000000000002</v>
          </cell>
          <cell r="AC233">
            <v>62.082000000000001</v>
          </cell>
          <cell r="AD233">
            <v>62.279000000000003</v>
          </cell>
          <cell r="AE233">
            <v>62.27</v>
          </cell>
          <cell r="AF233">
            <v>62.454999999999998</v>
          </cell>
          <cell r="AG233">
            <v>63.128</v>
          </cell>
          <cell r="AH233">
            <v>64.361000000000004</v>
          </cell>
          <cell r="AI233">
            <v>66.081999999999994</v>
          </cell>
          <cell r="AJ233">
            <v>68.194000000000003</v>
          </cell>
          <cell r="AK233">
            <v>70.516999999999996</v>
          </cell>
          <cell r="AL233">
            <v>72.930000000000007</v>
          </cell>
          <cell r="AM233">
            <v>75.423000000000002</v>
          </cell>
          <cell r="AN233">
            <v>78.012</v>
          </cell>
          <cell r="AO233">
            <v>80.629000000000005</v>
          </cell>
          <cell r="AP233">
            <v>83.194999999999993</v>
          </cell>
          <cell r="AQ233">
            <v>85.64</v>
          </cell>
          <cell r="AR233">
            <v>87.905000000000001</v>
          </cell>
          <cell r="AS233">
            <v>89.978999999999999</v>
          </cell>
          <cell r="AT233">
            <v>91.984999999999999</v>
          </cell>
          <cell r="AU233">
            <v>94.057000000000002</v>
          </cell>
          <cell r="AV233">
            <v>96.301000000000002</v>
          </cell>
          <cell r="AW233">
            <v>98.77</v>
          </cell>
          <cell r="AX233">
            <v>101.389</v>
          </cell>
          <cell r="AY233">
            <v>103.91500000000001</v>
          </cell>
          <cell r="AZ233">
            <v>106.03</v>
          </cell>
          <cell r="BA233">
            <v>107.529</v>
          </cell>
          <cell r="BB233">
            <v>108.321</v>
          </cell>
          <cell r="BC233">
            <v>108.48</v>
          </cell>
          <cell r="BD233">
            <v>108.208</v>
          </cell>
          <cell r="BE233">
            <v>107.78100000000001</v>
          </cell>
          <cell r="BF233">
            <v>107.402</v>
          </cell>
          <cell r="BG233">
            <v>107.173</v>
          </cell>
          <cell r="BH233">
            <v>107.03</v>
          </cell>
          <cell r="BI233">
            <v>106.901</v>
          </cell>
          <cell r="BJ233">
            <v>106.625</v>
          </cell>
          <cell r="BK233">
            <v>106.129</v>
          </cell>
          <cell r="BL233">
            <v>105.371</v>
          </cell>
          <cell r="BM233">
            <v>104.444</v>
          </cell>
          <cell r="BN233">
            <v>103.54300000000001</v>
          </cell>
          <cell r="BO233">
            <v>102.97499999999999</v>
          </cell>
          <cell r="BP233">
            <v>102.911</v>
          </cell>
          <cell r="BQ233">
            <v>103.45</v>
          </cell>
          <cell r="BR233">
            <v>104.506</v>
          </cell>
          <cell r="BS233">
            <v>105.926</v>
          </cell>
          <cell r="BT233">
            <v>107.446</v>
          </cell>
          <cell r="BU233">
            <v>108.895</v>
          </cell>
          <cell r="BV233">
            <v>110.215</v>
          </cell>
          <cell r="BW233">
            <v>111.459</v>
          </cell>
          <cell r="BX233">
            <v>112.64</v>
          </cell>
        </row>
        <row r="234">
          <cell r="C234" t="str">
            <v>Nauru</v>
          </cell>
          <cell r="E234">
            <v>520</v>
          </cell>
          <cell r="F234" t="str">
            <v>Country</v>
          </cell>
          <cell r="G234">
            <v>954</v>
          </cell>
          <cell r="H234">
            <v>3.4239999999999999</v>
          </cell>
          <cell r="I234">
            <v>3.47</v>
          </cell>
          <cell r="J234">
            <v>3.5510000000000002</v>
          </cell>
          <cell r="K234">
            <v>3.6520000000000001</v>
          </cell>
          <cell r="L234">
            <v>3.7410000000000001</v>
          </cell>
          <cell r="M234">
            <v>3.819</v>
          </cell>
          <cell r="N234">
            <v>3.8959999999999999</v>
          </cell>
          <cell r="O234">
            <v>3.9590000000000001</v>
          </cell>
          <cell r="P234">
            <v>4.0549999999999997</v>
          </cell>
          <cell r="Q234">
            <v>4.1859999999999999</v>
          </cell>
          <cell r="R234">
            <v>4.375</v>
          </cell>
          <cell r="S234">
            <v>4.6319999999999997</v>
          </cell>
          <cell r="T234">
            <v>4.944</v>
          </cell>
          <cell r="U234">
            <v>5.2750000000000004</v>
          </cell>
          <cell r="V234">
            <v>5.5919999999999996</v>
          </cell>
          <cell r="W234">
            <v>5.8559999999999999</v>
          </cell>
          <cell r="X234">
            <v>6.0670000000000002</v>
          </cell>
          <cell r="Y234">
            <v>6.2229999999999999</v>
          </cell>
          <cell r="Z234">
            <v>6.3369999999999997</v>
          </cell>
          <cell r="AA234">
            <v>6.4409999999999998</v>
          </cell>
          <cell r="AB234">
            <v>6.5519999999999996</v>
          </cell>
          <cell r="AC234">
            <v>6.6779999999999999</v>
          </cell>
          <cell r="AD234">
            <v>6.8029999999999999</v>
          </cell>
          <cell r="AE234">
            <v>6.9279999999999999</v>
          </cell>
          <cell r="AF234">
            <v>7.0579999999999998</v>
          </cell>
          <cell r="AG234">
            <v>7.1749999999999998</v>
          </cell>
          <cell r="AH234">
            <v>7.2859999999999996</v>
          </cell>
          <cell r="AI234">
            <v>7.399</v>
          </cell>
          <cell r="AJ234">
            <v>7.5030000000000001</v>
          </cell>
          <cell r="AK234">
            <v>7.6159999999999997</v>
          </cell>
          <cell r="AL234">
            <v>7.7409999999999997</v>
          </cell>
          <cell r="AM234">
            <v>7.875</v>
          </cell>
          <cell r="AN234">
            <v>8.0180000000000007</v>
          </cell>
          <cell r="AO234">
            <v>8.1709999999999994</v>
          </cell>
          <cell r="AP234">
            <v>8.3279999999999994</v>
          </cell>
          <cell r="AQ234">
            <v>8.5009999999999994</v>
          </cell>
          <cell r="AR234">
            <v>8.6829999999999998</v>
          </cell>
          <cell r="AS234">
            <v>8.8650000000000002</v>
          </cell>
          <cell r="AT234">
            <v>9.0619999999999994</v>
          </cell>
          <cell r="AU234">
            <v>9.2780000000000005</v>
          </cell>
          <cell r="AV234">
            <v>9.5050000000000008</v>
          </cell>
          <cell r="AW234">
            <v>9.7639999999999993</v>
          </cell>
          <cell r="AX234">
            <v>10.029999999999999</v>
          </cell>
          <cell r="AY234">
            <v>10.287000000000001</v>
          </cell>
          <cell r="AZ234">
            <v>10.497999999999999</v>
          </cell>
          <cell r="BA234">
            <v>10.628</v>
          </cell>
          <cell r="BB234">
            <v>10.672000000000001</v>
          </cell>
          <cell r="BC234">
            <v>10.647</v>
          </cell>
          <cell r="BD234">
            <v>10.565</v>
          </cell>
          <cell r="BE234">
            <v>10.449</v>
          </cell>
          <cell r="BF234">
            <v>10.337</v>
          </cell>
          <cell r="BG234">
            <v>10.215</v>
          </cell>
          <cell r="BH234">
            <v>10.102</v>
          </cell>
          <cell r="BI234">
            <v>9.9939999999999998</v>
          </cell>
          <cell r="BJ234">
            <v>9.9019999999999992</v>
          </cell>
          <cell r="BK234">
            <v>9.8490000000000002</v>
          </cell>
          <cell r="BL234">
            <v>9.8279999999999994</v>
          </cell>
          <cell r="BM234">
            <v>9.8420000000000005</v>
          </cell>
          <cell r="BN234">
            <v>9.891</v>
          </cell>
          <cell r="BO234">
            <v>9.9390000000000001</v>
          </cell>
          <cell r="BP234">
            <v>10.005000000000001</v>
          </cell>
          <cell r="BQ234">
            <v>10.07</v>
          </cell>
          <cell r="BR234">
            <v>10.14</v>
          </cell>
          <cell r="BS234">
            <v>10.209</v>
          </cell>
          <cell r="BT234">
            <v>10.289</v>
          </cell>
          <cell r="BU234">
            <v>10.382999999999999</v>
          </cell>
          <cell r="BV234">
            <v>10.475</v>
          </cell>
          <cell r="BW234">
            <v>10.573</v>
          </cell>
          <cell r="BX234">
            <v>10.67</v>
          </cell>
        </row>
        <row r="235">
          <cell r="C235" t="str">
            <v>Northern Mariana Islands</v>
          </cell>
          <cell r="E235">
            <v>580</v>
          </cell>
          <cell r="F235" t="str">
            <v>Country</v>
          </cell>
          <cell r="G235">
            <v>954</v>
          </cell>
          <cell r="H235">
            <v>6.9989999999999997</v>
          </cell>
          <cell r="I235">
            <v>7.08</v>
          </cell>
          <cell r="J235">
            <v>7.202</v>
          </cell>
          <cell r="K235">
            <v>7.3949999999999996</v>
          </cell>
          <cell r="L235">
            <v>7.65</v>
          </cell>
          <cell r="M235">
            <v>7.9850000000000003</v>
          </cell>
          <cell r="N235">
            <v>8.3780000000000001</v>
          </cell>
          <cell r="O235">
            <v>8.8019999999999996</v>
          </cell>
          <cell r="P235">
            <v>9.2390000000000008</v>
          </cell>
          <cell r="Q235">
            <v>9.6449999999999996</v>
          </cell>
          <cell r="R235">
            <v>9.9789999999999992</v>
          </cell>
          <cell r="S235">
            <v>10.244999999999999</v>
          </cell>
          <cell r="T235">
            <v>10.436</v>
          </cell>
          <cell r="U235">
            <v>10.59</v>
          </cell>
          <cell r="V235">
            <v>10.782999999999999</v>
          </cell>
          <cell r="W235">
            <v>11.022</v>
          </cell>
          <cell r="X235">
            <v>11.343999999999999</v>
          </cell>
          <cell r="Y235">
            <v>11.721</v>
          </cell>
          <cell r="Z235">
            <v>12.14</v>
          </cell>
          <cell r="AA235">
            <v>12.574</v>
          </cell>
          <cell r="AB235">
            <v>12.994</v>
          </cell>
          <cell r="AC235">
            <v>13.429</v>
          </cell>
          <cell r="AD235">
            <v>13.882</v>
          </cell>
          <cell r="AE235">
            <v>14.324999999999999</v>
          </cell>
          <cell r="AF235">
            <v>14.677</v>
          </cell>
          <cell r="AG235">
            <v>14.923999999999999</v>
          </cell>
          <cell r="AH235">
            <v>15.026</v>
          </cell>
          <cell r="AI235">
            <v>15.048</v>
          </cell>
          <cell r="AJ235">
            <v>15.17</v>
          </cell>
          <cell r="AK235">
            <v>15.638</v>
          </cell>
          <cell r="AL235">
            <v>16.632999999999999</v>
          </cell>
          <cell r="AM235">
            <v>18.158000000000001</v>
          </cell>
          <cell r="AN235">
            <v>20.167000000000002</v>
          </cell>
          <cell r="AO235">
            <v>22.622</v>
          </cell>
          <cell r="AP235">
            <v>25.5</v>
          </cell>
          <cell r="AQ235">
            <v>28.72</v>
          </cell>
          <cell r="AR235">
            <v>32.369999999999997</v>
          </cell>
          <cell r="AS235">
            <v>36.377000000000002</v>
          </cell>
          <cell r="AT235">
            <v>40.287999999999997</v>
          </cell>
          <cell r="AU235">
            <v>43.54</v>
          </cell>
          <cell r="AV235">
            <v>45.752000000000002</v>
          </cell>
          <cell r="AW235">
            <v>46.665999999999997</v>
          </cell>
          <cell r="AX235">
            <v>46.475999999999999</v>
          </cell>
          <cell r="AY235">
            <v>45.758000000000003</v>
          </cell>
          <cell r="AZ235">
            <v>45.363999999999997</v>
          </cell>
          <cell r="BA235">
            <v>45.87</v>
          </cell>
          <cell r="BB235">
            <v>47.521000000000001</v>
          </cell>
          <cell r="BC235">
            <v>50.055999999999997</v>
          </cell>
          <cell r="BD235">
            <v>52.997</v>
          </cell>
          <cell r="BE235">
            <v>55.636000000000003</v>
          </cell>
          <cell r="BF235">
            <v>57.453000000000003</v>
          </cell>
          <cell r="BG235">
            <v>58.320999999999998</v>
          </cell>
          <cell r="BH235">
            <v>58.42</v>
          </cell>
          <cell r="BI235">
            <v>57.947000000000003</v>
          </cell>
          <cell r="BJ235">
            <v>57.246000000000002</v>
          </cell>
          <cell r="BK235">
            <v>56.542000000000002</v>
          </cell>
          <cell r="BL235">
            <v>55.881999999999998</v>
          </cell>
          <cell r="BM235">
            <v>55.219000000000001</v>
          </cell>
          <cell r="BN235">
            <v>54.625</v>
          </cell>
          <cell r="BO235">
            <v>54.192999999999998</v>
          </cell>
          <cell r="BP235">
            <v>53.970999999999997</v>
          </cell>
          <cell r="BQ235">
            <v>54.012</v>
          </cell>
          <cell r="BR235">
            <v>54.311</v>
          </cell>
          <cell r="BS235">
            <v>54.783999999999999</v>
          </cell>
          <cell r="BT235">
            <v>55.305</v>
          </cell>
          <cell r="BU235">
            <v>55.78</v>
          </cell>
          <cell r="BV235">
            <v>56.188000000000002</v>
          </cell>
          <cell r="BW235">
            <v>56.561999999999998</v>
          </cell>
          <cell r="BX235">
            <v>56.881999999999998</v>
          </cell>
        </row>
        <row r="236">
          <cell r="C236" t="str">
            <v>Palau</v>
          </cell>
          <cell r="E236">
            <v>585</v>
          </cell>
          <cell r="F236" t="str">
            <v>Country</v>
          </cell>
          <cell r="G236">
            <v>954</v>
          </cell>
          <cell r="H236">
            <v>7.4409999999999998</v>
          </cell>
          <cell r="I236">
            <v>7.5030000000000001</v>
          </cell>
          <cell r="J236">
            <v>7.63</v>
          </cell>
          <cell r="K236">
            <v>7.8230000000000004</v>
          </cell>
          <cell r="L236">
            <v>8.0549999999999997</v>
          </cell>
          <cell r="M236">
            <v>8.3219999999999992</v>
          </cell>
          <cell r="N236">
            <v>8.5960000000000001</v>
          </cell>
          <cell r="O236">
            <v>8.8930000000000007</v>
          </cell>
          <cell r="P236">
            <v>9.1869999999999994</v>
          </cell>
          <cell r="Q236">
            <v>9.4860000000000007</v>
          </cell>
          <cell r="R236">
            <v>9.7710000000000008</v>
          </cell>
          <cell r="S236">
            <v>10.048999999999999</v>
          </cell>
          <cell r="T236">
            <v>10.317</v>
          </cell>
          <cell r="U236">
            <v>10.569000000000001</v>
          </cell>
          <cell r="V236">
            <v>10.798999999999999</v>
          </cell>
          <cell r="W236">
            <v>11.003</v>
          </cell>
          <cell r="X236">
            <v>11.179</v>
          </cell>
          <cell r="Y236">
            <v>11.326000000000001</v>
          </cell>
          <cell r="Z236">
            <v>11.464</v>
          </cell>
          <cell r="AA236">
            <v>11.618</v>
          </cell>
          <cell r="AB236">
            <v>11.811</v>
          </cell>
          <cell r="AC236">
            <v>12.053000000000001</v>
          </cell>
          <cell r="AD236">
            <v>12.34</v>
          </cell>
          <cell r="AE236">
            <v>12.628</v>
          </cell>
          <cell r="AF236">
            <v>12.831</v>
          </cell>
          <cell r="AG236">
            <v>12.904</v>
          </cell>
          <cell r="AH236">
            <v>12.837</v>
          </cell>
          <cell r="AI236">
            <v>12.646000000000001</v>
          </cell>
          <cell r="AJ236">
            <v>12.403</v>
          </cell>
          <cell r="AK236">
            <v>12.228999999999999</v>
          </cell>
          <cell r="AL236">
            <v>12.179</v>
          </cell>
          <cell r="AM236">
            <v>12.279</v>
          </cell>
          <cell r="AN236">
            <v>12.516</v>
          </cell>
          <cell r="AO236">
            <v>12.843</v>
          </cell>
          <cell r="AP236">
            <v>13.195</v>
          </cell>
          <cell r="AQ236">
            <v>13.528</v>
          </cell>
          <cell r="AR236">
            <v>13.831</v>
          </cell>
          <cell r="AS236">
            <v>14.122999999999999</v>
          </cell>
          <cell r="AT236">
            <v>14.401999999999999</v>
          </cell>
          <cell r="AU236">
            <v>14.709</v>
          </cell>
          <cell r="AV236">
            <v>15.058</v>
          </cell>
          <cell r="AW236">
            <v>15.441000000000001</v>
          </cell>
          <cell r="AX236">
            <v>15.856</v>
          </cell>
          <cell r="AY236">
            <v>16.29</v>
          </cell>
          <cell r="AZ236">
            <v>16.716999999999999</v>
          </cell>
          <cell r="BA236">
            <v>17.164000000000001</v>
          </cell>
          <cell r="BB236">
            <v>17.593</v>
          </cell>
          <cell r="BC236">
            <v>18.013999999999999</v>
          </cell>
          <cell r="BD236">
            <v>18.41</v>
          </cell>
          <cell r="BE236">
            <v>18.776</v>
          </cell>
          <cell r="BF236">
            <v>19.105</v>
          </cell>
          <cell r="BG236">
            <v>19.385999999999999</v>
          </cell>
          <cell r="BH236">
            <v>19.637</v>
          </cell>
          <cell r="BI236">
            <v>19.809000000000001</v>
          </cell>
          <cell r="BJ236">
            <v>19.867000000000001</v>
          </cell>
          <cell r="BK236">
            <v>19.780999999999999</v>
          </cell>
          <cell r="BL236">
            <v>19.54</v>
          </cell>
          <cell r="BM236">
            <v>19.158000000000001</v>
          </cell>
          <cell r="BN236">
            <v>18.704000000000001</v>
          </cell>
          <cell r="BO236">
            <v>18.285</v>
          </cell>
          <cell r="BP236">
            <v>17.954999999999998</v>
          </cell>
          <cell r="BQ236">
            <v>17.745000000000001</v>
          </cell>
          <cell r="BR236">
            <v>17.64</v>
          </cell>
          <cell r="BS236">
            <v>17.606000000000002</v>
          </cell>
          <cell r="BT236">
            <v>17.626000000000001</v>
          </cell>
          <cell r="BU236">
            <v>17.664999999999999</v>
          </cell>
          <cell r="BV236">
            <v>17.725000000000001</v>
          </cell>
          <cell r="BW236">
            <v>17.808</v>
          </cell>
          <cell r="BX236">
            <v>17.907</v>
          </cell>
        </row>
        <row r="237">
          <cell r="C237" t="str">
            <v>Polynesia</v>
          </cell>
          <cell r="D237">
            <v>14</v>
          </cell>
          <cell r="E237">
            <v>957</v>
          </cell>
          <cell r="F237" t="str">
            <v>Subregion</v>
          </cell>
          <cell r="G237">
            <v>1835</v>
          </cell>
          <cell r="H237">
            <v>241.506</v>
          </cell>
          <cell r="I237">
            <v>248.62</v>
          </cell>
          <cell r="J237">
            <v>255.322</v>
          </cell>
          <cell r="K237">
            <v>261.68</v>
          </cell>
          <cell r="L237">
            <v>267.685</v>
          </cell>
          <cell r="M237">
            <v>273.49400000000003</v>
          </cell>
          <cell r="N237">
            <v>279.27300000000002</v>
          </cell>
          <cell r="O237">
            <v>285.21100000000001</v>
          </cell>
          <cell r="P237">
            <v>291.63</v>
          </cell>
          <cell r="Q237">
            <v>298.73500000000001</v>
          </cell>
          <cell r="R237">
            <v>306.79599999999999</v>
          </cell>
          <cell r="S237">
            <v>315.899</v>
          </cell>
          <cell r="T237">
            <v>325.97800000000001</v>
          </cell>
          <cell r="U237">
            <v>336.733</v>
          </cell>
          <cell r="V237">
            <v>347.68400000000003</v>
          </cell>
          <cell r="W237">
            <v>358.53300000000002</v>
          </cell>
          <cell r="X237">
            <v>369.185</v>
          </cell>
          <cell r="Y237">
            <v>379.678</v>
          </cell>
          <cell r="Z237">
            <v>389.77300000000002</v>
          </cell>
          <cell r="AA237">
            <v>399.26799999999997</v>
          </cell>
          <cell r="AB237">
            <v>408.00400000000002</v>
          </cell>
          <cell r="AC237">
            <v>415.887</v>
          </cell>
          <cell r="AD237">
            <v>422.95100000000002</v>
          </cell>
          <cell r="AE237">
            <v>429.46600000000001</v>
          </cell>
          <cell r="AF237">
            <v>435.779</v>
          </cell>
          <cell r="AG237">
            <v>442.12400000000002</v>
          </cell>
          <cell r="AH237">
            <v>448.584</v>
          </cell>
          <cell r="AI237">
            <v>455.11399999999998</v>
          </cell>
          <cell r="AJ237">
            <v>461.78699999999998</v>
          </cell>
          <cell r="AK237">
            <v>468.66899999999998</v>
          </cell>
          <cell r="AL237">
            <v>475.78</v>
          </cell>
          <cell r="AM237">
            <v>483.202</v>
          </cell>
          <cell r="AN237">
            <v>490.93400000000003</v>
          </cell>
          <cell r="AO237">
            <v>498.80599999999998</v>
          </cell>
          <cell r="AP237">
            <v>506.649</v>
          </cell>
          <cell r="AQ237">
            <v>514.30399999999997</v>
          </cell>
          <cell r="AR237">
            <v>521.73299999999995</v>
          </cell>
          <cell r="AS237">
            <v>528.98599999999999</v>
          </cell>
          <cell r="AT237">
            <v>536.08299999999997</v>
          </cell>
          <cell r="AU237">
            <v>543.04100000000005</v>
          </cell>
          <cell r="AV237">
            <v>549.96500000000003</v>
          </cell>
          <cell r="AW237">
            <v>556.79100000000005</v>
          </cell>
          <cell r="AX237">
            <v>563.52</v>
          </cell>
          <cell r="AY237">
            <v>570.19000000000005</v>
          </cell>
          <cell r="AZ237">
            <v>576.83699999999999</v>
          </cell>
          <cell r="BA237">
            <v>583.48800000000006</v>
          </cell>
          <cell r="BB237">
            <v>590.14499999999998</v>
          </cell>
          <cell r="BC237">
            <v>596.72500000000002</v>
          </cell>
          <cell r="BD237">
            <v>603.30600000000004</v>
          </cell>
          <cell r="BE237">
            <v>609.85599999999999</v>
          </cell>
          <cell r="BF237">
            <v>616.40499999999997</v>
          </cell>
          <cell r="BG237">
            <v>623.01300000000003</v>
          </cell>
          <cell r="BH237">
            <v>629.56899999999996</v>
          </cell>
          <cell r="BI237">
            <v>635.81600000000003</v>
          </cell>
          <cell r="BJ237">
            <v>641.33500000000004</v>
          </cell>
          <cell r="BK237">
            <v>645.87800000000004</v>
          </cell>
          <cell r="BL237">
            <v>649.34799999999996</v>
          </cell>
          <cell r="BM237">
            <v>651.851</v>
          </cell>
          <cell r="BN237">
            <v>653.66600000000005</v>
          </cell>
          <cell r="BO237">
            <v>655.23299999999995</v>
          </cell>
          <cell r="BP237">
            <v>656.83699999999999</v>
          </cell>
          <cell r="BQ237">
            <v>658.54899999999998</v>
          </cell>
          <cell r="BR237">
            <v>660.39300000000003</v>
          </cell>
          <cell r="BS237">
            <v>662.37199999999996</v>
          </cell>
          <cell r="BT237">
            <v>664.57600000000002</v>
          </cell>
          <cell r="BU237">
            <v>667.05200000000002</v>
          </cell>
          <cell r="BV237">
            <v>669.73599999999999</v>
          </cell>
          <cell r="BW237">
            <v>672.75800000000004</v>
          </cell>
          <cell r="BX237">
            <v>676.096</v>
          </cell>
        </row>
        <row r="238">
          <cell r="C238" t="str">
            <v>American Samoa</v>
          </cell>
          <cell r="E238">
            <v>16</v>
          </cell>
          <cell r="F238" t="str">
            <v>Country</v>
          </cell>
          <cell r="G238">
            <v>957</v>
          </cell>
          <cell r="H238">
            <v>18.940000000000001</v>
          </cell>
          <cell r="I238">
            <v>19.292999999999999</v>
          </cell>
          <cell r="J238">
            <v>19.542000000000002</v>
          </cell>
          <cell r="K238">
            <v>19.695</v>
          </cell>
          <cell r="L238">
            <v>19.753</v>
          </cell>
          <cell r="M238">
            <v>19.754000000000001</v>
          </cell>
          <cell r="N238">
            <v>19.709</v>
          </cell>
          <cell r="O238">
            <v>19.667000000000002</v>
          </cell>
          <cell r="P238">
            <v>19.690000000000001</v>
          </cell>
          <cell r="Q238">
            <v>19.824000000000002</v>
          </cell>
          <cell r="R238">
            <v>20.123000000000001</v>
          </cell>
          <cell r="S238">
            <v>20.602</v>
          </cell>
          <cell r="T238">
            <v>21.253</v>
          </cell>
          <cell r="U238">
            <v>22.033999999999999</v>
          </cell>
          <cell r="V238">
            <v>22.853999999999999</v>
          </cell>
          <cell r="W238">
            <v>23.672000000000001</v>
          </cell>
          <cell r="X238">
            <v>24.462</v>
          </cell>
          <cell r="Y238">
            <v>25.248000000000001</v>
          </cell>
          <cell r="Z238">
            <v>25.989000000000001</v>
          </cell>
          <cell r="AA238">
            <v>26.702999999999999</v>
          </cell>
          <cell r="AB238">
            <v>27.363</v>
          </cell>
          <cell r="AC238">
            <v>27.984000000000002</v>
          </cell>
          <cell r="AD238">
            <v>28.567</v>
          </cell>
          <cell r="AE238">
            <v>29.1</v>
          </cell>
          <cell r="AF238">
            <v>29.596</v>
          </cell>
          <cell r="AG238">
            <v>30.052</v>
          </cell>
          <cell r="AH238">
            <v>30.456</v>
          </cell>
          <cell r="AI238">
            <v>30.838000000000001</v>
          </cell>
          <cell r="AJ238">
            <v>31.268999999999998</v>
          </cell>
          <cell r="AK238">
            <v>31.844999999999999</v>
          </cell>
          <cell r="AL238">
            <v>32.646000000000001</v>
          </cell>
          <cell r="AM238">
            <v>33.701000000000001</v>
          </cell>
          <cell r="AN238">
            <v>34.968000000000004</v>
          </cell>
          <cell r="AO238">
            <v>36.411999999999999</v>
          </cell>
          <cell r="AP238">
            <v>37.945999999999998</v>
          </cell>
          <cell r="AQ238">
            <v>39.518999999999998</v>
          </cell>
          <cell r="AR238">
            <v>41.119</v>
          </cell>
          <cell r="AS238">
            <v>42.74</v>
          </cell>
          <cell r="AT238">
            <v>44.343000000000004</v>
          </cell>
          <cell r="AU238">
            <v>45.893999999999998</v>
          </cell>
          <cell r="AV238">
            <v>47.347000000000001</v>
          </cell>
          <cell r="AW238">
            <v>48.685000000000002</v>
          </cell>
          <cell r="AX238">
            <v>49.896000000000001</v>
          </cell>
          <cell r="AY238">
            <v>51.02</v>
          </cell>
          <cell r="AZ238">
            <v>52.094999999999999</v>
          </cell>
          <cell r="BA238">
            <v>53.161000000000001</v>
          </cell>
          <cell r="BB238">
            <v>54.210999999999999</v>
          </cell>
          <cell r="BC238">
            <v>55.220999999999997</v>
          </cell>
          <cell r="BD238">
            <v>56.170999999999999</v>
          </cell>
          <cell r="BE238">
            <v>57.052999999999997</v>
          </cell>
          <cell r="BF238">
            <v>57.820999999999998</v>
          </cell>
          <cell r="BG238">
            <v>58.494</v>
          </cell>
          <cell r="BH238">
            <v>59.08</v>
          </cell>
          <cell r="BI238">
            <v>59.503999999999998</v>
          </cell>
          <cell r="BJ238">
            <v>59.680999999999997</v>
          </cell>
          <cell r="BK238">
            <v>59.561999999999998</v>
          </cell>
          <cell r="BL238">
            <v>59.106999999999999</v>
          </cell>
          <cell r="BM238">
            <v>58.365000000000002</v>
          </cell>
          <cell r="BN238">
            <v>57.491999999999997</v>
          </cell>
          <cell r="BO238">
            <v>56.683</v>
          </cell>
          <cell r="BP238">
            <v>56.079000000000001</v>
          </cell>
          <cell r="BQ238">
            <v>55.759</v>
          </cell>
          <cell r="BR238">
            <v>55.667000000000002</v>
          </cell>
          <cell r="BS238">
            <v>55.713000000000001</v>
          </cell>
          <cell r="BT238">
            <v>55.790999999999997</v>
          </cell>
          <cell r="BU238">
            <v>55.811999999999998</v>
          </cell>
          <cell r="BV238">
            <v>55.741</v>
          </cell>
          <cell r="BW238">
            <v>55.62</v>
          </cell>
          <cell r="BX238">
            <v>55.465000000000003</v>
          </cell>
        </row>
        <row r="239">
          <cell r="C239" t="str">
            <v>Cook Islands</v>
          </cell>
          <cell r="E239">
            <v>184</v>
          </cell>
          <cell r="F239" t="str">
            <v>Country</v>
          </cell>
          <cell r="G239">
            <v>957</v>
          </cell>
          <cell r="H239">
            <v>15.077</v>
          </cell>
          <cell r="I239">
            <v>15.407</v>
          </cell>
          <cell r="J239">
            <v>15.632</v>
          </cell>
          <cell r="K239">
            <v>15.834</v>
          </cell>
          <cell r="L239">
            <v>16.056000000000001</v>
          </cell>
          <cell r="M239">
            <v>16.347000000000001</v>
          </cell>
          <cell r="N239">
            <v>16.710999999999999</v>
          </cell>
          <cell r="O239">
            <v>17.123999999999999</v>
          </cell>
          <cell r="P239">
            <v>17.550999999999998</v>
          </cell>
          <cell r="Q239">
            <v>17.927</v>
          </cell>
          <cell r="R239">
            <v>18.212</v>
          </cell>
          <cell r="S239">
            <v>18.382999999999999</v>
          </cell>
          <cell r="T239">
            <v>18.454999999999998</v>
          </cell>
          <cell r="U239">
            <v>18.503</v>
          </cell>
          <cell r="V239">
            <v>18.63</v>
          </cell>
          <cell r="W239">
            <v>18.893999999999998</v>
          </cell>
          <cell r="X239">
            <v>19.327999999999999</v>
          </cell>
          <cell r="Y239">
            <v>19.893000000000001</v>
          </cell>
          <cell r="Z239">
            <v>20.489000000000001</v>
          </cell>
          <cell r="AA239">
            <v>20.988</v>
          </cell>
          <cell r="AB239">
            <v>21.302</v>
          </cell>
          <cell r="AC239">
            <v>21.398</v>
          </cell>
          <cell r="AD239">
            <v>21.306000000000001</v>
          </cell>
          <cell r="AE239">
            <v>21.056000000000001</v>
          </cell>
          <cell r="AF239">
            <v>20.687000000000001</v>
          </cell>
          <cell r="AG239">
            <v>20.234000000000002</v>
          </cell>
          <cell r="AH239">
            <v>19.692</v>
          </cell>
          <cell r="AI239">
            <v>19.07</v>
          </cell>
          <cell r="AJ239">
            <v>18.440999999999999</v>
          </cell>
          <cell r="AK239">
            <v>17.902000000000001</v>
          </cell>
          <cell r="AL239">
            <v>17.512</v>
          </cell>
          <cell r="AM239">
            <v>17.303999999999998</v>
          </cell>
          <cell r="AN239">
            <v>17.263000000000002</v>
          </cell>
          <cell r="AO239">
            <v>17.344999999999999</v>
          </cell>
          <cell r="AP239">
            <v>17.472000000000001</v>
          </cell>
          <cell r="AQ239">
            <v>17.603000000000002</v>
          </cell>
          <cell r="AR239">
            <v>17.706</v>
          </cell>
          <cell r="AS239">
            <v>17.800999999999998</v>
          </cell>
          <cell r="AT239">
            <v>17.901</v>
          </cell>
          <cell r="AU239">
            <v>18.027999999999999</v>
          </cell>
          <cell r="AV239">
            <v>18.190999999999999</v>
          </cell>
          <cell r="AW239">
            <v>18.420000000000002</v>
          </cell>
          <cell r="AX239">
            <v>18.681999999999999</v>
          </cell>
          <cell r="AY239">
            <v>18.925999999999998</v>
          </cell>
          <cell r="AZ239">
            <v>19.077000000000002</v>
          </cell>
          <cell r="BA239">
            <v>19.097000000000001</v>
          </cell>
          <cell r="BB239">
            <v>18.946000000000002</v>
          </cell>
          <cell r="BC239">
            <v>18.658000000000001</v>
          </cell>
          <cell r="BD239">
            <v>18.312999999999999</v>
          </cell>
          <cell r="BE239">
            <v>18.041</v>
          </cell>
          <cell r="BF239">
            <v>17.93</v>
          </cell>
          <cell r="BG239">
            <v>18.024999999999999</v>
          </cell>
          <cell r="BH239">
            <v>18.277999999999999</v>
          </cell>
          <cell r="BI239">
            <v>18.608000000000001</v>
          </cell>
          <cell r="BJ239">
            <v>18.904</v>
          </cell>
          <cell r="BK239">
            <v>19.074000000000002</v>
          </cell>
          <cell r="BL239">
            <v>19.091999999999999</v>
          </cell>
          <cell r="BM239">
            <v>19.001000000000001</v>
          </cell>
          <cell r="BN239">
            <v>18.818000000000001</v>
          </cell>
          <cell r="BO239">
            <v>18.602</v>
          </cell>
          <cell r="BP239">
            <v>18.390999999999998</v>
          </cell>
          <cell r="BQ239">
            <v>18.195</v>
          </cell>
          <cell r="BR239">
            <v>18.010999999999999</v>
          </cell>
          <cell r="BS239">
            <v>17.832999999999998</v>
          </cell>
          <cell r="BT239">
            <v>17.690999999999999</v>
          </cell>
          <cell r="BU239">
            <v>17.585999999999999</v>
          </cell>
          <cell r="BV239">
            <v>17.524000000000001</v>
          </cell>
          <cell r="BW239">
            <v>17.507000000000001</v>
          </cell>
          <cell r="BX239">
            <v>17.518000000000001</v>
          </cell>
        </row>
        <row r="240">
          <cell r="C240" t="str">
            <v>French Polynesia</v>
          </cell>
          <cell r="E240">
            <v>258</v>
          </cell>
          <cell r="F240" t="str">
            <v>Country</v>
          </cell>
          <cell r="G240">
            <v>957</v>
          </cell>
          <cell r="H240">
            <v>60.265999999999998</v>
          </cell>
          <cell r="I240">
            <v>62.067</v>
          </cell>
          <cell r="J240">
            <v>63.844000000000001</v>
          </cell>
          <cell r="K240">
            <v>65.572999999999993</v>
          </cell>
          <cell r="L240">
            <v>67.244</v>
          </cell>
          <cell r="M240">
            <v>68.853999999999999</v>
          </cell>
          <cell r="N240">
            <v>70.436000000000007</v>
          </cell>
          <cell r="O240">
            <v>72.066999999999993</v>
          </cell>
          <cell r="P240">
            <v>73.83</v>
          </cell>
          <cell r="Q240">
            <v>75.805999999999997</v>
          </cell>
          <cell r="R240">
            <v>78.075999999999993</v>
          </cell>
          <cell r="S240">
            <v>80.706000000000003</v>
          </cell>
          <cell r="T240">
            <v>83.655000000000001</v>
          </cell>
          <cell r="U240">
            <v>86.846999999999994</v>
          </cell>
          <cell r="V240">
            <v>90.138999999999996</v>
          </cell>
          <cell r="W240">
            <v>93.438000000000002</v>
          </cell>
          <cell r="X240">
            <v>96.715999999999994</v>
          </cell>
          <cell r="Y240">
            <v>99.995000000000005</v>
          </cell>
          <cell r="Z240">
            <v>103.342</v>
          </cell>
          <cell r="AA240">
            <v>106.82</v>
          </cell>
          <cell r="AB240">
            <v>110.495</v>
          </cell>
          <cell r="AC240">
            <v>114.38200000000001</v>
          </cell>
          <cell r="AD240">
            <v>118.44</v>
          </cell>
          <cell r="AE240">
            <v>122.643</v>
          </cell>
          <cell r="AF240">
            <v>126.92400000000001</v>
          </cell>
          <cell r="AG240">
            <v>131.233</v>
          </cell>
          <cell r="AH240">
            <v>135.54900000000001</v>
          </cell>
          <cell r="AI240">
            <v>139.89099999999999</v>
          </cell>
          <cell r="AJ240">
            <v>144.27699999999999</v>
          </cell>
          <cell r="AK240">
            <v>148.74100000000001</v>
          </cell>
          <cell r="AL240">
            <v>153.30099999999999</v>
          </cell>
          <cell r="AM240">
            <v>157.953</v>
          </cell>
          <cell r="AN240">
            <v>162.685</v>
          </cell>
          <cell r="AO240">
            <v>167.45099999999999</v>
          </cell>
          <cell r="AP240">
            <v>172.249</v>
          </cell>
          <cell r="AQ240">
            <v>177.02699999999999</v>
          </cell>
          <cell r="AR240">
            <v>181.81700000000001</v>
          </cell>
          <cell r="AS240">
            <v>186.584</v>
          </cell>
          <cell r="AT240">
            <v>191.26599999999999</v>
          </cell>
          <cell r="AU240">
            <v>195.726</v>
          </cell>
          <cell r="AV240">
            <v>199.905</v>
          </cell>
          <cell r="AW240">
            <v>203.726</v>
          </cell>
          <cell r="AX240">
            <v>207.245</v>
          </cell>
          <cell r="AY240">
            <v>210.642</v>
          </cell>
          <cell r="AZ240">
            <v>214.197</v>
          </cell>
          <cell r="BA240">
            <v>218.071</v>
          </cell>
          <cell r="BB240">
            <v>222.322</v>
          </cell>
          <cell r="BC240">
            <v>226.86600000000001</v>
          </cell>
          <cell r="BD240">
            <v>231.57</v>
          </cell>
          <cell r="BE240">
            <v>236.221</v>
          </cell>
          <cell r="BF240">
            <v>240.68600000000001</v>
          </cell>
          <cell r="BG240">
            <v>244.93100000000001</v>
          </cell>
          <cell r="BH240">
            <v>248.97200000000001</v>
          </cell>
          <cell r="BI240">
            <v>252.703</v>
          </cell>
          <cell r="BJ240">
            <v>255.99199999999999</v>
          </cell>
          <cell r="BK240">
            <v>258.77999999999997</v>
          </cell>
          <cell r="BL240">
            <v>261.01</v>
          </cell>
          <cell r="BM240">
            <v>262.721</v>
          </cell>
          <cell r="BN240">
            <v>264.06099999999998</v>
          </cell>
          <cell r="BO240">
            <v>265.25400000000002</v>
          </cell>
          <cell r="BP240">
            <v>266.45499999999998</v>
          </cell>
          <cell r="BQ240">
            <v>267.69799999999998</v>
          </cell>
          <cell r="BR240">
            <v>268.99799999999999</v>
          </cell>
          <cell r="BS240">
            <v>270.32799999999997</v>
          </cell>
          <cell r="BT240">
            <v>271.70499999999998</v>
          </cell>
          <cell r="BU240">
            <v>273.12400000000002</v>
          </cell>
          <cell r="BV240">
            <v>274.57499999999999</v>
          </cell>
          <cell r="BW240">
            <v>276.10199999999998</v>
          </cell>
          <cell r="BX240">
            <v>277.67899999999997</v>
          </cell>
        </row>
        <row r="241">
          <cell r="C241" t="str">
            <v>Niue</v>
          </cell>
          <cell r="E241">
            <v>570</v>
          </cell>
          <cell r="F241" t="str">
            <v>Country</v>
          </cell>
          <cell r="G241">
            <v>957</v>
          </cell>
          <cell r="H241">
            <v>4.6669999999999998</v>
          </cell>
          <cell r="I241">
            <v>4.6779999999999999</v>
          </cell>
          <cell r="J241">
            <v>4.6840000000000002</v>
          </cell>
          <cell r="K241">
            <v>4.6859999999999999</v>
          </cell>
          <cell r="L241">
            <v>4.6849999999999996</v>
          </cell>
          <cell r="M241">
            <v>4.694</v>
          </cell>
          <cell r="N241">
            <v>4.7</v>
          </cell>
          <cell r="O241">
            <v>4.7190000000000003</v>
          </cell>
          <cell r="P241">
            <v>4.75</v>
          </cell>
          <cell r="Q241">
            <v>4.7880000000000003</v>
          </cell>
          <cell r="R241">
            <v>4.8259999999999996</v>
          </cell>
          <cell r="S241">
            <v>4.875</v>
          </cell>
          <cell r="T241">
            <v>4.931</v>
          </cell>
          <cell r="U241">
            <v>4.9829999999999997</v>
          </cell>
          <cell r="V241">
            <v>5.0449999999999999</v>
          </cell>
          <cell r="W241">
            <v>5.0979999999999999</v>
          </cell>
          <cell r="X241">
            <v>5.1509999999999998</v>
          </cell>
          <cell r="Y241">
            <v>5.2080000000000002</v>
          </cell>
          <cell r="Z241">
            <v>5.2370000000000001</v>
          </cell>
          <cell r="AA241">
            <v>5.218</v>
          </cell>
          <cell r="AB241">
            <v>5.1349999999999998</v>
          </cell>
          <cell r="AC241">
            <v>4.9640000000000004</v>
          </cell>
          <cell r="AD241">
            <v>4.7240000000000002</v>
          </cell>
          <cell r="AE241">
            <v>4.4489999999999998</v>
          </cell>
          <cell r="AF241">
            <v>4.1909999999999998</v>
          </cell>
          <cell r="AG241">
            <v>3.976</v>
          </cell>
          <cell r="AH241">
            <v>3.8069999999999999</v>
          </cell>
          <cell r="AI241">
            <v>3.6859999999999999</v>
          </cell>
          <cell r="AJ241">
            <v>3.5990000000000002</v>
          </cell>
          <cell r="AK241">
            <v>3.5110000000000001</v>
          </cell>
          <cell r="AL241">
            <v>3.4039999999999999</v>
          </cell>
          <cell r="AM241">
            <v>3.2690000000000001</v>
          </cell>
          <cell r="AN241">
            <v>3.1269999999999998</v>
          </cell>
          <cell r="AO241">
            <v>2.9809999999999999</v>
          </cell>
          <cell r="AP241">
            <v>2.8410000000000002</v>
          </cell>
          <cell r="AQ241">
            <v>2.7189999999999999</v>
          </cell>
          <cell r="AR241">
            <v>2.609</v>
          </cell>
          <cell r="AS241">
            <v>2.5209999999999999</v>
          </cell>
          <cell r="AT241">
            <v>2.4500000000000002</v>
          </cell>
          <cell r="AU241">
            <v>2.383</v>
          </cell>
          <cell r="AV241">
            <v>2.3290000000000002</v>
          </cell>
          <cell r="AW241">
            <v>2.2879999999999998</v>
          </cell>
          <cell r="AX241">
            <v>2.258</v>
          </cell>
          <cell r="AY241">
            <v>2.2360000000000002</v>
          </cell>
          <cell r="AZ241">
            <v>2.2050000000000001</v>
          </cell>
          <cell r="BA241">
            <v>2.165</v>
          </cell>
          <cell r="BB241">
            <v>2.1240000000000001</v>
          </cell>
          <cell r="BC241">
            <v>2.0670000000000002</v>
          </cell>
          <cell r="BD241">
            <v>2.0099999999999998</v>
          </cell>
          <cell r="BE241">
            <v>1.956</v>
          </cell>
          <cell r="BF241">
            <v>1.899</v>
          </cell>
          <cell r="BG241">
            <v>1.8540000000000001</v>
          </cell>
          <cell r="BH241">
            <v>1.7909999999999999</v>
          </cell>
          <cell r="BI241">
            <v>1.7549999999999999</v>
          </cell>
          <cell r="BJ241">
            <v>1.7150000000000001</v>
          </cell>
          <cell r="BK241">
            <v>1.6830000000000001</v>
          </cell>
          <cell r="BL241">
            <v>1.661</v>
          </cell>
          <cell r="BM241">
            <v>1.643</v>
          </cell>
          <cell r="BN241">
            <v>1.635</v>
          </cell>
          <cell r="BO241">
            <v>1.6279999999999999</v>
          </cell>
          <cell r="BP241">
            <v>1.6180000000000001</v>
          </cell>
          <cell r="BQ241">
            <v>1.62</v>
          </cell>
          <cell r="BR241">
            <v>1.61</v>
          </cell>
          <cell r="BS241">
            <v>1.6120000000000001</v>
          </cell>
          <cell r="BT241">
            <v>1.609</v>
          </cell>
          <cell r="BU241">
            <v>1.619</v>
          </cell>
          <cell r="BV241">
            <v>1.6140000000000001</v>
          </cell>
          <cell r="BW241">
            <v>1.609</v>
          </cell>
          <cell r="BX241">
            <v>1.62</v>
          </cell>
        </row>
        <row r="242">
          <cell r="C242" t="str">
            <v>Samoa</v>
          </cell>
          <cell r="E242">
            <v>882</v>
          </cell>
          <cell r="F242" t="str">
            <v>Country</v>
          </cell>
          <cell r="G242">
            <v>957</v>
          </cell>
          <cell r="H242">
            <v>82.096999999999994</v>
          </cell>
          <cell r="I242">
            <v>84.424000000000007</v>
          </cell>
          <cell r="J242">
            <v>86.796999999999997</v>
          </cell>
          <cell r="K242">
            <v>89.206999999999994</v>
          </cell>
          <cell r="L242">
            <v>91.667000000000002</v>
          </cell>
          <cell r="M242">
            <v>94.177999999999997</v>
          </cell>
          <cell r="N242">
            <v>96.777000000000001</v>
          </cell>
          <cell r="O242">
            <v>99.475999999999999</v>
          </cell>
          <cell r="P242">
            <v>102.33199999999999</v>
          </cell>
          <cell r="Q242">
            <v>105.369</v>
          </cell>
          <cell r="R242">
            <v>108.629</v>
          </cell>
          <cell r="S242">
            <v>112.105</v>
          </cell>
          <cell r="T242">
            <v>115.776</v>
          </cell>
          <cell r="U242">
            <v>119.559</v>
          </cell>
          <cell r="V242">
            <v>123.342</v>
          </cell>
          <cell r="W242">
            <v>127.054</v>
          </cell>
          <cell r="X242">
            <v>130.673</v>
          </cell>
          <cell r="Y242">
            <v>134.17699999999999</v>
          </cell>
          <cell r="Z242">
            <v>137.48699999999999</v>
          </cell>
          <cell r="AA242">
            <v>140.5</v>
          </cell>
          <cell r="AB242">
            <v>143.149</v>
          </cell>
          <cell r="AC242">
            <v>145.41300000000001</v>
          </cell>
          <cell r="AD242">
            <v>147.29599999999999</v>
          </cell>
          <cell r="AE242">
            <v>148.864</v>
          </cell>
          <cell r="AF242">
            <v>150.19800000000001</v>
          </cell>
          <cell r="AG242">
            <v>151.35900000000001</v>
          </cell>
          <cell r="AH242">
            <v>152.36699999999999</v>
          </cell>
          <cell r="AI242">
            <v>153.22399999999999</v>
          </cell>
          <cell r="AJ242">
            <v>153.98699999999999</v>
          </cell>
          <cell r="AK242">
            <v>154.739</v>
          </cell>
          <cell r="AL242">
            <v>155.52500000000001</v>
          </cell>
          <cell r="AM242">
            <v>156.40700000000001</v>
          </cell>
          <cell r="AN242">
            <v>157.37200000000001</v>
          </cell>
          <cell r="AO242">
            <v>158.352</v>
          </cell>
          <cell r="AP242">
            <v>159.24799999999999</v>
          </cell>
          <cell r="AQ242">
            <v>159.99</v>
          </cell>
          <cell r="AR242">
            <v>160.54400000000001</v>
          </cell>
          <cell r="AS242">
            <v>160.965</v>
          </cell>
          <cell r="AT242">
            <v>161.376</v>
          </cell>
          <cell r="AU242">
            <v>161.94</v>
          </cell>
          <cell r="AV242">
            <v>162.803</v>
          </cell>
          <cell r="AW242">
            <v>163.99700000000001</v>
          </cell>
          <cell r="AX242">
            <v>165.49</v>
          </cell>
          <cell r="AY242">
            <v>167.119</v>
          </cell>
          <cell r="AZ242">
            <v>168.69399999999999</v>
          </cell>
          <cell r="BA242">
            <v>170.054</v>
          </cell>
          <cell r="BB242">
            <v>171.16499999999999</v>
          </cell>
          <cell r="BC242">
            <v>172.06800000000001</v>
          </cell>
          <cell r="BD242">
            <v>172.839</v>
          </cell>
          <cell r="BE242">
            <v>173.60900000000001</v>
          </cell>
          <cell r="BF242">
            <v>174.45400000000001</v>
          </cell>
          <cell r="BG242">
            <v>175.392</v>
          </cell>
          <cell r="BH242">
            <v>176.40700000000001</v>
          </cell>
          <cell r="BI242">
            <v>177.48400000000001</v>
          </cell>
          <cell r="BJ242">
            <v>178.59</v>
          </cell>
          <cell r="BK242">
            <v>179.727</v>
          </cell>
          <cell r="BL242">
            <v>180.876</v>
          </cell>
          <cell r="BM242">
            <v>182.04599999999999</v>
          </cell>
          <cell r="BN242">
            <v>183.26300000000001</v>
          </cell>
          <cell r="BO242">
            <v>184.55600000000001</v>
          </cell>
          <cell r="BP242">
            <v>185.94900000000001</v>
          </cell>
          <cell r="BQ242">
            <v>187.46899999999999</v>
          </cell>
          <cell r="BR242">
            <v>189.089</v>
          </cell>
          <cell r="BS242">
            <v>190.71799999999999</v>
          </cell>
          <cell r="BT242">
            <v>192.221</v>
          </cell>
          <cell r="BU242">
            <v>193.51300000000001</v>
          </cell>
          <cell r="BV242">
            <v>194.535</v>
          </cell>
          <cell r="BW242">
            <v>195.352</v>
          </cell>
          <cell r="BX242">
            <v>196.12899999999999</v>
          </cell>
        </row>
        <row r="243">
          <cell r="C243" t="str">
            <v>Tokelau</v>
          </cell>
          <cell r="E243">
            <v>772</v>
          </cell>
          <cell r="F243" t="str">
            <v>Country</v>
          </cell>
          <cell r="G243">
            <v>957</v>
          </cell>
          <cell r="H243">
            <v>1.5660000000000001</v>
          </cell>
          <cell r="I243">
            <v>1.5169999999999999</v>
          </cell>
          <cell r="J243">
            <v>1.504</v>
          </cell>
          <cell r="K243">
            <v>1.5209999999999999</v>
          </cell>
          <cell r="L243">
            <v>1.5589999999999999</v>
          </cell>
          <cell r="M243">
            <v>1.607</v>
          </cell>
          <cell r="N243">
            <v>1.671</v>
          </cell>
          <cell r="O243">
            <v>1.722</v>
          </cell>
          <cell r="P243">
            <v>1.782</v>
          </cell>
          <cell r="Q243">
            <v>1.823</v>
          </cell>
          <cell r="R243">
            <v>1.873</v>
          </cell>
          <cell r="S243">
            <v>1.9019999999999999</v>
          </cell>
          <cell r="T243">
            <v>1.9350000000000001</v>
          </cell>
          <cell r="U243">
            <v>1.9530000000000001</v>
          </cell>
          <cell r="V243">
            <v>1.9470000000000001</v>
          </cell>
          <cell r="W243">
            <v>1.9219999999999999</v>
          </cell>
          <cell r="X243">
            <v>1.8759999999999999</v>
          </cell>
          <cell r="Y243">
            <v>1.8180000000000001</v>
          </cell>
          <cell r="Z243">
            <v>1.734</v>
          </cell>
          <cell r="AA243">
            <v>1.675</v>
          </cell>
          <cell r="AB243">
            <v>1.621</v>
          </cell>
          <cell r="AC243">
            <v>1.5880000000000001</v>
          </cell>
          <cell r="AD243">
            <v>1.573</v>
          </cell>
          <cell r="AE243">
            <v>1.573</v>
          </cell>
          <cell r="AF243">
            <v>1.5720000000000001</v>
          </cell>
          <cell r="AG243">
            <v>1.5720000000000001</v>
          </cell>
          <cell r="AH243">
            <v>1.5669999999999999</v>
          </cell>
          <cell r="AI243">
            <v>1.556</v>
          </cell>
          <cell r="AJ243">
            <v>1.542</v>
          </cell>
          <cell r="AK243">
            <v>1.5429999999999999</v>
          </cell>
          <cell r="AL243">
            <v>1.5529999999999999</v>
          </cell>
          <cell r="AM243">
            <v>1.5760000000000001</v>
          </cell>
          <cell r="AN243">
            <v>1.62</v>
          </cell>
          <cell r="AO243">
            <v>1.657</v>
          </cell>
          <cell r="AP243">
            <v>1.6970000000000001</v>
          </cell>
          <cell r="AQ243">
            <v>1.7090000000000001</v>
          </cell>
          <cell r="AR243">
            <v>1.7030000000000001</v>
          </cell>
          <cell r="AS243">
            <v>1.6970000000000001</v>
          </cell>
          <cell r="AT243">
            <v>1.665</v>
          </cell>
          <cell r="AU243">
            <v>1.6339999999999999</v>
          </cell>
          <cell r="AV243">
            <v>1.6080000000000001</v>
          </cell>
          <cell r="AW243">
            <v>1.5780000000000001</v>
          </cell>
          <cell r="AX243">
            <v>1.5580000000000001</v>
          </cell>
          <cell r="AY243">
            <v>1.5349999999999999</v>
          </cell>
          <cell r="AZ243">
            <v>1.5289999999999999</v>
          </cell>
          <cell r="BA243">
            <v>1.5169999999999999</v>
          </cell>
          <cell r="BB243">
            <v>1.5289999999999999</v>
          </cell>
          <cell r="BC243">
            <v>1.5469999999999999</v>
          </cell>
          <cell r="BD243">
            <v>1.575</v>
          </cell>
          <cell r="BE243">
            <v>1.5740000000000001</v>
          </cell>
          <cell r="BF243">
            <v>1.554</v>
          </cell>
          <cell r="BG243">
            <v>1.5029999999999999</v>
          </cell>
          <cell r="BH243">
            <v>1.4350000000000001</v>
          </cell>
          <cell r="BI243">
            <v>1.351</v>
          </cell>
          <cell r="BJ243">
            <v>1.2729999999999999</v>
          </cell>
          <cell r="BK243">
            <v>1.208</v>
          </cell>
          <cell r="BL243">
            <v>1.167</v>
          </cell>
          <cell r="BM243">
            <v>1.141</v>
          </cell>
          <cell r="BN243">
            <v>1.1259999999999999</v>
          </cell>
          <cell r="BO243">
            <v>1.1259999999999999</v>
          </cell>
          <cell r="BP243">
            <v>1.1399999999999999</v>
          </cell>
          <cell r="BQ243">
            <v>1.151</v>
          </cell>
          <cell r="BR243">
            <v>1.167</v>
          </cell>
          <cell r="BS243">
            <v>1.1870000000000001</v>
          </cell>
          <cell r="BT243">
            <v>1.2190000000000001</v>
          </cell>
          <cell r="BU243">
            <v>1.252</v>
          </cell>
          <cell r="BV243">
            <v>1.282</v>
          </cell>
          <cell r="BW243">
            <v>1.3</v>
          </cell>
          <cell r="BX243">
            <v>1.319</v>
          </cell>
        </row>
        <row r="244">
          <cell r="C244" t="str">
            <v>Tonga</v>
          </cell>
          <cell r="E244">
            <v>776</v>
          </cell>
          <cell r="F244" t="str">
            <v>Country</v>
          </cell>
          <cell r="G244">
            <v>957</v>
          </cell>
          <cell r="H244">
            <v>47.22</v>
          </cell>
          <cell r="I244">
            <v>49.311999999999998</v>
          </cell>
          <cell r="J244">
            <v>51.173999999999999</v>
          </cell>
          <cell r="K244">
            <v>52.792000000000002</v>
          </cell>
          <cell r="L244">
            <v>54.156999999999996</v>
          </cell>
          <cell r="M244">
            <v>55.322000000000003</v>
          </cell>
          <cell r="N244">
            <v>56.357999999999997</v>
          </cell>
          <cell r="O244">
            <v>57.372999999999998</v>
          </cell>
          <cell r="P244">
            <v>58.488</v>
          </cell>
          <cell r="Q244">
            <v>59.847999999999999</v>
          </cell>
          <cell r="R244">
            <v>61.576999999999998</v>
          </cell>
          <cell r="S244">
            <v>63.715000000000003</v>
          </cell>
          <cell r="T244">
            <v>66.234999999999999</v>
          </cell>
          <cell r="U244">
            <v>68.980999999999995</v>
          </cell>
          <cell r="V244">
            <v>71.741</v>
          </cell>
          <cell r="W244">
            <v>74.344999999999999</v>
          </cell>
          <cell r="X244">
            <v>76.771000000000001</v>
          </cell>
          <cell r="Y244">
            <v>79.028999999999996</v>
          </cell>
          <cell r="Z244">
            <v>81.078999999999994</v>
          </cell>
          <cell r="AA244">
            <v>82.855000000000004</v>
          </cell>
          <cell r="AB244">
            <v>84.350999999999999</v>
          </cell>
          <cell r="AC244">
            <v>85.498999999999995</v>
          </cell>
          <cell r="AD244">
            <v>86.322999999999993</v>
          </cell>
          <cell r="AE244">
            <v>86.962000000000003</v>
          </cell>
          <cell r="AF244">
            <v>87.581999999999994</v>
          </cell>
          <cell r="AG244">
            <v>88.317999999999998</v>
          </cell>
          <cell r="AH244">
            <v>89.233999999999995</v>
          </cell>
          <cell r="AI244">
            <v>90.272999999999996</v>
          </cell>
          <cell r="AJ244">
            <v>91.334999999999994</v>
          </cell>
          <cell r="AK244">
            <v>92.268000000000001</v>
          </cell>
          <cell r="AL244">
            <v>92.971000000000004</v>
          </cell>
          <cell r="AM244">
            <v>93.409000000000006</v>
          </cell>
          <cell r="AN244">
            <v>93.641000000000005</v>
          </cell>
          <cell r="AO244">
            <v>93.728999999999999</v>
          </cell>
          <cell r="AP244">
            <v>93.787999999999997</v>
          </cell>
          <cell r="AQ244">
            <v>93.896000000000001</v>
          </cell>
          <cell r="AR244">
            <v>94.087999999999994</v>
          </cell>
          <cell r="AS244">
            <v>94.320999999999998</v>
          </cell>
          <cell r="AT244">
            <v>94.590999999999994</v>
          </cell>
          <cell r="AU244">
            <v>94.850999999999999</v>
          </cell>
          <cell r="AV244">
            <v>95.069000000000003</v>
          </cell>
          <cell r="AW244">
            <v>95.245999999999995</v>
          </cell>
          <cell r="AX244">
            <v>95.399000000000001</v>
          </cell>
          <cell r="AY244">
            <v>95.557000000000002</v>
          </cell>
          <cell r="AZ244">
            <v>95.739000000000004</v>
          </cell>
          <cell r="BA244">
            <v>95.975999999999999</v>
          </cell>
          <cell r="BB244">
            <v>96.272999999999996</v>
          </cell>
          <cell r="BC244">
            <v>96.619</v>
          </cell>
          <cell r="BD244">
            <v>97.031999999999996</v>
          </cell>
          <cell r="BE244">
            <v>97.481999999999999</v>
          </cell>
          <cell r="BF244">
            <v>97.972999999999999</v>
          </cell>
          <cell r="BG244">
            <v>98.486999999999995</v>
          </cell>
          <cell r="BH244">
            <v>99.022000000000006</v>
          </cell>
          <cell r="BI244">
            <v>99.588999999999999</v>
          </cell>
          <cell r="BJ244">
            <v>100.218</v>
          </cell>
          <cell r="BK244">
            <v>100.905</v>
          </cell>
          <cell r="BL244">
            <v>101.706</v>
          </cell>
          <cell r="BM244">
            <v>102.581</v>
          </cell>
          <cell r="BN244">
            <v>103.379</v>
          </cell>
          <cell r="BO244">
            <v>103.89</v>
          </cell>
          <cell r="BP244">
            <v>103.986</v>
          </cell>
          <cell r="BQ244">
            <v>103.562</v>
          </cell>
          <cell r="BR244">
            <v>102.73699999999999</v>
          </cell>
          <cell r="BS244">
            <v>101.768</v>
          </cell>
          <cell r="BT244">
            <v>101.02800000000001</v>
          </cell>
          <cell r="BU244">
            <v>100.78100000000001</v>
          </cell>
          <cell r="BV244">
            <v>101.133</v>
          </cell>
          <cell r="BW244">
            <v>101.998</v>
          </cell>
          <cell r="BX244">
            <v>103.197</v>
          </cell>
        </row>
        <row r="245">
          <cell r="C245" t="str">
            <v>Tuvalu</v>
          </cell>
          <cell r="E245">
            <v>798</v>
          </cell>
          <cell r="F245" t="str">
            <v>Country</v>
          </cell>
          <cell r="G245">
            <v>957</v>
          </cell>
          <cell r="H245">
            <v>4.673</v>
          </cell>
          <cell r="I245">
            <v>4.79</v>
          </cell>
          <cell r="J245">
            <v>4.8680000000000003</v>
          </cell>
          <cell r="K245">
            <v>4.95</v>
          </cell>
          <cell r="L245">
            <v>5.0140000000000002</v>
          </cell>
          <cell r="M245">
            <v>5.069</v>
          </cell>
          <cell r="N245">
            <v>5.1349999999999998</v>
          </cell>
          <cell r="O245">
            <v>5.1879999999999997</v>
          </cell>
          <cell r="P245">
            <v>5.2409999999999997</v>
          </cell>
          <cell r="Q245">
            <v>5.2910000000000004</v>
          </cell>
          <cell r="R245">
            <v>5.3230000000000004</v>
          </cell>
          <cell r="S245">
            <v>5.335</v>
          </cell>
          <cell r="T245">
            <v>5.34</v>
          </cell>
          <cell r="U245">
            <v>5.343</v>
          </cell>
          <cell r="V245">
            <v>5.3559999999999999</v>
          </cell>
          <cell r="W245">
            <v>5.3860000000000001</v>
          </cell>
          <cell r="X245">
            <v>5.4379999999999997</v>
          </cell>
          <cell r="Y245">
            <v>5.5110000000000001</v>
          </cell>
          <cell r="Z245">
            <v>5.5970000000000004</v>
          </cell>
          <cell r="AA245">
            <v>5.67</v>
          </cell>
          <cell r="AB245">
            <v>5.7350000000000003</v>
          </cell>
          <cell r="AC245">
            <v>5.766</v>
          </cell>
          <cell r="AD245">
            <v>5.79</v>
          </cell>
          <cell r="AE245">
            <v>5.8220000000000001</v>
          </cell>
          <cell r="AF245">
            <v>5.9050000000000002</v>
          </cell>
          <cell r="AG245">
            <v>6.06</v>
          </cell>
          <cell r="AH245">
            <v>6.3230000000000004</v>
          </cell>
          <cell r="AI245">
            <v>6.65</v>
          </cell>
          <cell r="AJ245">
            <v>7.0140000000000002</v>
          </cell>
          <cell r="AK245">
            <v>7.3579999999999997</v>
          </cell>
          <cell r="AL245">
            <v>7.6369999999999996</v>
          </cell>
          <cell r="AM245">
            <v>7.827</v>
          </cell>
          <cell r="AN245">
            <v>7.9560000000000004</v>
          </cell>
          <cell r="AO245">
            <v>8.0410000000000004</v>
          </cell>
          <cell r="AP245">
            <v>8.1150000000000002</v>
          </cell>
          <cell r="AQ245">
            <v>8.2189999999999994</v>
          </cell>
          <cell r="AR245">
            <v>8.3360000000000003</v>
          </cell>
          <cell r="AS245">
            <v>8.4849999999999994</v>
          </cell>
          <cell r="AT245">
            <v>8.6370000000000005</v>
          </cell>
          <cell r="AU245">
            <v>8.7789999999999999</v>
          </cell>
          <cell r="AV245">
            <v>8.9130000000000003</v>
          </cell>
          <cell r="AW245">
            <v>9.0259999999999998</v>
          </cell>
          <cell r="AX245">
            <v>9.1120000000000001</v>
          </cell>
          <cell r="AY245">
            <v>9.1940000000000008</v>
          </cell>
          <cell r="AZ245">
            <v>9.2520000000000007</v>
          </cell>
          <cell r="BA245">
            <v>9.298</v>
          </cell>
          <cell r="BB245">
            <v>9.3230000000000004</v>
          </cell>
          <cell r="BC245">
            <v>9.3230000000000004</v>
          </cell>
          <cell r="BD245">
            <v>9.3320000000000007</v>
          </cell>
          <cell r="BE245">
            <v>9.3460000000000001</v>
          </cell>
          <cell r="BF245">
            <v>9.3940000000000001</v>
          </cell>
          <cell r="BG245">
            <v>9.484</v>
          </cell>
          <cell r="BH245">
            <v>9.5960000000000001</v>
          </cell>
          <cell r="BI245">
            <v>9.7260000000000009</v>
          </cell>
          <cell r="BJ245">
            <v>9.8689999999999998</v>
          </cell>
          <cell r="BK245">
            <v>10</v>
          </cell>
          <cell r="BL245">
            <v>10.119999999999999</v>
          </cell>
          <cell r="BM245">
            <v>10.221</v>
          </cell>
          <cell r="BN245">
            <v>10.314</v>
          </cell>
          <cell r="BO245">
            <v>10.423999999999999</v>
          </cell>
          <cell r="BP245">
            <v>10.53</v>
          </cell>
          <cell r="BQ245">
            <v>10.632999999999999</v>
          </cell>
          <cell r="BR245">
            <v>10.739000000000001</v>
          </cell>
          <cell r="BS245">
            <v>10.856999999999999</v>
          </cell>
          <cell r="BT245">
            <v>10.972</v>
          </cell>
          <cell r="BU245">
            <v>11.099</v>
          </cell>
          <cell r="BV245">
            <v>11.225</v>
          </cell>
          <cell r="BW245">
            <v>11.37</v>
          </cell>
          <cell r="BX245">
            <v>11.507999999999999</v>
          </cell>
        </row>
        <row r="246">
          <cell r="C246" t="str">
            <v>Wallis and Futuna Islands</v>
          </cell>
          <cell r="E246">
            <v>876</v>
          </cell>
          <cell r="F246" t="str">
            <v>Country</v>
          </cell>
          <cell r="G246">
            <v>957</v>
          </cell>
          <cell r="H246">
            <v>7</v>
          </cell>
          <cell r="I246">
            <v>7.1319999999999997</v>
          </cell>
          <cell r="J246">
            <v>7.2770000000000001</v>
          </cell>
          <cell r="K246">
            <v>7.4219999999999997</v>
          </cell>
          <cell r="L246">
            <v>7.55</v>
          </cell>
          <cell r="M246">
            <v>7.6689999999999996</v>
          </cell>
          <cell r="N246">
            <v>7.7759999999999998</v>
          </cell>
          <cell r="O246">
            <v>7.875</v>
          </cell>
          <cell r="P246">
            <v>7.9660000000000002</v>
          </cell>
          <cell r="Q246">
            <v>8.0589999999999993</v>
          </cell>
          <cell r="R246">
            <v>8.157</v>
          </cell>
          <cell r="S246">
            <v>8.2759999999999998</v>
          </cell>
          <cell r="T246">
            <v>8.3979999999999997</v>
          </cell>
          <cell r="U246">
            <v>8.5299999999999994</v>
          </cell>
          <cell r="V246">
            <v>8.6300000000000008</v>
          </cell>
          <cell r="W246">
            <v>8.7240000000000002</v>
          </cell>
          <cell r="X246">
            <v>8.77</v>
          </cell>
          <cell r="Y246">
            <v>8.7989999999999995</v>
          </cell>
          <cell r="Z246">
            <v>8.8190000000000008</v>
          </cell>
          <cell r="AA246">
            <v>8.8390000000000004</v>
          </cell>
          <cell r="AB246">
            <v>8.8529999999999998</v>
          </cell>
          <cell r="AC246">
            <v>8.8930000000000007</v>
          </cell>
          <cell r="AD246">
            <v>8.9320000000000004</v>
          </cell>
          <cell r="AE246">
            <v>8.9969999999999999</v>
          </cell>
          <cell r="AF246">
            <v>9.1240000000000006</v>
          </cell>
          <cell r="AG246">
            <v>9.32</v>
          </cell>
          <cell r="AH246">
            <v>9.5890000000000004</v>
          </cell>
          <cell r="AI246">
            <v>9.9260000000000002</v>
          </cell>
          <cell r="AJ246">
            <v>10.323</v>
          </cell>
          <cell r="AK246">
            <v>10.762</v>
          </cell>
          <cell r="AL246">
            <v>11.231</v>
          </cell>
          <cell r="AM246">
            <v>11.756</v>
          </cell>
          <cell r="AN246">
            <v>12.302</v>
          </cell>
          <cell r="AO246">
            <v>12.837999999999999</v>
          </cell>
          <cell r="AP246">
            <v>13.292999999999999</v>
          </cell>
          <cell r="AQ246">
            <v>13.622</v>
          </cell>
          <cell r="AR246">
            <v>13.811</v>
          </cell>
          <cell r="AS246">
            <v>13.872</v>
          </cell>
          <cell r="AT246">
            <v>13.853999999999999</v>
          </cell>
          <cell r="AU246">
            <v>13.805999999999999</v>
          </cell>
          <cell r="AV246">
            <v>13.8</v>
          </cell>
          <cell r="AW246">
            <v>13.824999999999999</v>
          </cell>
          <cell r="AX246">
            <v>13.88</v>
          </cell>
          <cell r="AY246">
            <v>13.961</v>
          </cell>
          <cell r="AZ246">
            <v>14.048999999999999</v>
          </cell>
          <cell r="BA246">
            <v>14.148999999999999</v>
          </cell>
          <cell r="BB246">
            <v>14.252000000000001</v>
          </cell>
          <cell r="BC246">
            <v>14.356</v>
          </cell>
          <cell r="BD246">
            <v>14.464</v>
          </cell>
          <cell r="BE246">
            <v>14.574</v>
          </cell>
          <cell r="BF246">
            <v>14.694000000000001</v>
          </cell>
          <cell r="BG246">
            <v>14.843</v>
          </cell>
          <cell r="BH246">
            <v>14.988</v>
          </cell>
          <cell r="BI246">
            <v>15.096</v>
          </cell>
          <cell r="BJ246">
            <v>15.093</v>
          </cell>
          <cell r="BK246">
            <v>14.939</v>
          </cell>
          <cell r="BL246">
            <v>14.609</v>
          </cell>
          <cell r="BM246">
            <v>14.132</v>
          </cell>
          <cell r="BN246">
            <v>13.577999999999999</v>
          </cell>
          <cell r="BO246">
            <v>13.07</v>
          </cell>
          <cell r="BP246">
            <v>12.689</v>
          </cell>
          <cell r="BQ246">
            <v>12.462</v>
          </cell>
          <cell r="BR246">
            <v>12.375</v>
          </cell>
          <cell r="BS246">
            <v>12.356</v>
          </cell>
          <cell r="BT246">
            <v>12.34</v>
          </cell>
          <cell r="BU246">
            <v>12.266</v>
          </cell>
          <cell r="BV246">
            <v>12.106999999999999</v>
          </cell>
          <cell r="BW246">
            <v>11.9</v>
          </cell>
          <cell r="BX246">
            <v>11.661</v>
          </cell>
        </row>
        <row r="247">
          <cell r="C247" t="str">
            <v>EUROPE AND NORTHERN AMERICA</v>
          </cell>
          <cell r="E247">
            <v>1829</v>
          </cell>
          <cell r="F247" t="str">
            <v>SDG region</v>
          </cell>
          <cell r="G247">
            <v>1828</v>
          </cell>
          <cell r="H247">
            <v>721931.50699999998</v>
          </cell>
          <cell r="I247">
            <v>729341.05900000001</v>
          </cell>
          <cell r="J247">
            <v>737472.79700000002</v>
          </cell>
          <cell r="K247">
            <v>746095.15700000001</v>
          </cell>
          <cell r="L247">
            <v>755021.25</v>
          </cell>
          <cell r="M247">
            <v>764109.20400000003</v>
          </cell>
          <cell r="N247">
            <v>773264.06200000003</v>
          </cell>
          <cell r="O247">
            <v>782435.94</v>
          </cell>
          <cell r="P247">
            <v>791613.54799999995</v>
          </cell>
          <cell r="Q247">
            <v>800814.76500000001</v>
          </cell>
          <cell r="R247">
            <v>810056.14500000002</v>
          </cell>
          <cell r="S247">
            <v>819321.23499999999</v>
          </cell>
          <cell r="T247">
            <v>828532.32299999997</v>
          </cell>
          <cell r="U247">
            <v>837538.66099999996</v>
          </cell>
          <cell r="V247">
            <v>846149.96699999995</v>
          </cell>
          <cell r="W247">
            <v>854237.38500000001</v>
          </cell>
          <cell r="X247">
            <v>861728.39</v>
          </cell>
          <cell r="Y247">
            <v>868672.79099999997</v>
          </cell>
          <cell r="Z247">
            <v>875216.75199999998</v>
          </cell>
          <cell r="AA247">
            <v>881576.37600000005</v>
          </cell>
          <cell r="AB247">
            <v>887911.23699999996</v>
          </cell>
          <cell r="AC247">
            <v>894269.57299999997</v>
          </cell>
          <cell r="AD247">
            <v>900613.03599999996</v>
          </cell>
          <cell r="AE247">
            <v>906910.98499999999</v>
          </cell>
          <cell r="AF247">
            <v>913103.12899999996</v>
          </cell>
          <cell r="AG247">
            <v>919146.97499999998</v>
          </cell>
          <cell r="AH247">
            <v>925050.42500000005</v>
          </cell>
          <cell r="AI247">
            <v>930841.897</v>
          </cell>
          <cell r="AJ247">
            <v>936523.625</v>
          </cell>
          <cell r="AK247">
            <v>942098.69299999997</v>
          </cell>
          <cell r="AL247">
            <v>947573.64</v>
          </cell>
          <cell r="AM247">
            <v>952932.40800000005</v>
          </cell>
          <cell r="AN247">
            <v>958184.04599999997</v>
          </cell>
          <cell r="AO247">
            <v>963388.84900000005</v>
          </cell>
          <cell r="AP247">
            <v>968626.96</v>
          </cell>
          <cell r="AQ247">
            <v>973947.71699999995</v>
          </cell>
          <cell r="AR247">
            <v>979380.65700000001</v>
          </cell>
          <cell r="AS247">
            <v>984885.96900000004</v>
          </cell>
          <cell r="AT247">
            <v>990357</v>
          </cell>
          <cell r="AU247">
            <v>995645.48600000003</v>
          </cell>
          <cell r="AV247">
            <v>1000643.709</v>
          </cell>
          <cell r="AW247">
            <v>1005328.322</v>
          </cell>
          <cell r="AX247">
            <v>1009729.721</v>
          </cell>
          <cell r="AY247">
            <v>1013861.88</v>
          </cell>
          <cell r="AZ247">
            <v>1017756.678</v>
          </cell>
          <cell r="BA247">
            <v>1021448.0060000001</v>
          </cell>
          <cell r="BB247">
            <v>1024939.075</v>
          </cell>
          <cell r="BC247">
            <v>1028251.814</v>
          </cell>
          <cell r="BD247">
            <v>1031465.885</v>
          </cell>
          <cell r="BE247">
            <v>1034683.1409999999</v>
          </cell>
          <cell r="BF247">
            <v>1037984.809</v>
          </cell>
          <cell r="BG247">
            <v>1041387.866</v>
          </cell>
          <cell r="BH247">
            <v>1044898</v>
          </cell>
          <cell r="BI247">
            <v>1048566.682</v>
          </cell>
          <cell r="BJ247">
            <v>1052449.1089999999</v>
          </cell>
          <cell r="BK247">
            <v>1056574.997</v>
          </cell>
          <cell r="BL247">
            <v>1060972.1529999999</v>
          </cell>
          <cell r="BM247">
            <v>1065607.0190000001</v>
          </cell>
          <cell r="BN247">
            <v>1070369.2169999999</v>
          </cell>
          <cell r="BO247">
            <v>1075105.7919999999</v>
          </cell>
          <cell r="BP247">
            <v>1079700.4080000001</v>
          </cell>
          <cell r="BQ247">
            <v>1084101.8389999999</v>
          </cell>
          <cell r="BR247">
            <v>1088318.57</v>
          </cell>
          <cell r="BS247">
            <v>1092365.8999999999</v>
          </cell>
          <cell r="BT247">
            <v>1096282.5279999999</v>
          </cell>
          <cell r="BU247">
            <v>1100090.0830000001</v>
          </cell>
          <cell r="BV247">
            <v>1103793.4739999999</v>
          </cell>
          <cell r="BW247">
            <v>1107357.003</v>
          </cell>
          <cell r="BX247">
            <v>1110715.436</v>
          </cell>
        </row>
        <row r="248">
          <cell r="C248" t="str">
            <v>EUROPE</v>
          </cell>
          <cell r="E248">
            <v>917</v>
          </cell>
          <cell r="F248" t="str">
            <v>SDG subregion</v>
          </cell>
          <cell r="G248">
            <v>1829</v>
          </cell>
          <cell r="H248">
            <v>549328.88300000003</v>
          </cell>
          <cell r="I248">
            <v>554324.46900000004</v>
          </cell>
          <cell r="J248">
            <v>559694.29700000002</v>
          </cell>
          <cell r="K248">
            <v>565281.95799999998</v>
          </cell>
          <cell r="L248">
            <v>570969.72499999998</v>
          </cell>
          <cell r="M248">
            <v>576678.79599999997</v>
          </cell>
          <cell r="N248">
            <v>582371.27599999995</v>
          </cell>
          <cell r="O248">
            <v>588048.255</v>
          </cell>
          <cell r="P248">
            <v>593743.348</v>
          </cell>
          <cell r="Q248">
            <v>599513.26699999999</v>
          </cell>
          <cell r="R248">
            <v>605406.98</v>
          </cell>
          <cell r="S248">
            <v>611434.05200000003</v>
          </cell>
          <cell r="T248">
            <v>617536.14599999995</v>
          </cell>
          <cell r="U248">
            <v>623575.18200000003</v>
          </cell>
          <cell r="V248">
            <v>629367.07999999996</v>
          </cell>
          <cell r="W248">
            <v>634783.20400000003</v>
          </cell>
          <cell r="X248">
            <v>639761.98</v>
          </cell>
          <cell r="Y248">
            <v>644345.49100000004</v>
          </cell>
          <cell r="Z248">
            <v>648636.13699999999</v>
          </cell>
          <cell r="AA248">
            <v>652789.70799999998</v>
          </cell>
          <cell r="AB248">
            <v>656919.37899999996</v>
          </cell>
          <cell r="AC248">
            <v>661056.049</v>
          </cell>
          <cell r="AD248">
            <v>665163.46499999997</v>
          </cell>
          <cell r="AE248">
            <v>669207.95200000005</v>
          </cell>
          <cell r="AF248">
            <v>673132.26199999999</v>
          </cell>
          <cell r="AG248">
            <v>676895.46699999995</v>
          </cell>
          <cell r="AH248">
            <v>680497.68700000003</v>
          </cell>
          <cell r="AI248">
            <v>683959.57200000004</v>
          </cell>
          <cell r="AJ248">
            <v>687285.85900000005</v>
          </cell>
          <cell r="AK248">
            <v>690484.99100000004</v>
          </cell>
          <cell r="AL248">
            <v>693566.51699999999</v>
          </cell>
          <cell r="AM248">
            <v>696513.5</v>
          </cell>
          <cell r="AN248">
            <v>699330.049</v>
          </cell>
          <cell r="AO248">
            <v>702070.52599999995</v>
          </cell>
          <cell r="AP248">
            <v>704807.50100000005</v>
          </cell>
          <cell r="AQ248">
            <v>707584.26599999995</v>
          </cell>
          <cell r="AR248">
            <v>710422.13699999999</v>
          </cell>
          <cell r="AS248">
            <v>713279.353</v>
          </cell>
          <cell r="AT248">
            <v>716056.652</v>
          </cell>
          <cell r="AU248">
            <v>718617.31400000001</v>
          </cell>
          <cell r="AV248">
            <v>720858.45</v>
          </cell>
          <cell r="AW248">
            <v>722775.90399999998</v>
          </cell>
          <cell r="AX248">
            <v>724390.01699999999</v>
          </cell>
          <cell r="AY248">
            <v>725656.75800000003</v>
          </cell>
          <cell r="AZ248">
            <v>726529.42</v>
          </cell>
          <cell r="BA248">
            <v>726994.46400000004</v>
          </cell>
          <cell r="BB248">
            <v>727020.26800000004</v>
          </cell>
          <cell r="BC248">
            <v>726669.46699999995</v>
          </cell>
          <cell r="BD248">
            <v>726141.82299999997</v>
          </cell>
          <cell r="BE248">
            <v>725705.40099999995</v>
          </cell>
          <cell r="BF248">
            <v>725558.03599999996</v>
          </cell>
          <cell r="BG248">
            <v>725771.89300000004</v>
          </cell>
          <cell r="BH248">
            <v>726312.04500000004</v>
          </cell>
          <cell r="BI248">
            <v>727134.27300000004</v>
          </cell>
          <cell r="BJ248">
            <v>728149.83</v>
          </cell>
          <cell r="BK248">
            <v>729287.84600000002</v>
          </cell>
          <cell r="BL248">
            <v>730546.82200000004</v>
          </cell>
          <cell r="BM248">
            <v>731938.51899999997</v>
          </cell>
          <cell r="BN248">
            <v>733416.50100000005</v>
          </cell>
          <cell r="BO248">
            <v>734923.39</v>
          </cell>
          <cell r="BP248">
            <v>736412.98899999994</v>
          </cell>
          <cell r="BQ248">
            <v>737850.67500000005</v>
          </cell>
          <cell r="BR248">
            <v>739225.19</v>
          </cell>
          <cell r="BS248">
            <v>740541.86100000003</v>
          </cell>
          <cell r="BT248">
            <v>741818.29099999997</v>
          </cell>
          <cell r="BU248">
            <v>743059.03500000003</v>
          </cell>
          <cell r="BV248">
            <v>744268.82700000005</v>
          </cell>
          <cell r="BW248">
            <v>745414.73499999999</v>
          </cell>
          <cell r="BX248">
            <v>746419.44</v>
          </cell>
        </row>
        <row r="249">
          <cell r="C249" t="str">
            <v>Eastern Europe</v>
          </cell>
          <cell r="E249">
            <v>923</v>
          </cell>
          <cell r="F249" t="str">
            <v>Subregion</v>
          </cell>
          <cell r="G249">
            <v>917</v>
          </cell>
          <cell r="H249">
            <v>220170.53200000001</v>
          </cell>
          <cell r="I249">
            <v>223305.11</v>
          </cell>
          <cell r="J249">
            <v>226633.42499999999</v>
          </cell>
          <cell r="K249">
            <v>230078.367</v>
          </cell>
          <cell r="L249">
            <v>233574.78099999999</v>
          </cell>
          <cell r="M249">
            <v>237069.85800000001</v>
          </cell>
          <cell r="N249">
            <v>240523.38800000001</v>
          </cell>
          <cell r="O249">
            <v>243907.36900000001</v>
          </cell>
          <cell r="P249">
            <v>247204.74400000001</v>
          </cell>
          <cell r="Q249">
            <v>250407.557</v>
          </cell>
          <cell r="R249">
            <v>253510.72899999999</v>
          </cell>
          <cell r="S249">
            <v>256505.79399999999</v>
          </cell>
          <cell r="T249">
            <v>259375.32199999999</v>
          </cell>
          <cell r="U249">
            <v>262090.39499999999</v>
          </cell>
          <cell r="V249">
            <v>264617.40600000002</v>
          </cell>
          <cell r="W249">
            <v>266938.28999999998</v>
          </cell>
          <cell r="X249">
            <v>269037.71500000003</v>
          </cell>
          <cell r="Y249">
            <v>270937.18400000001</v>
          </cell>
          <cell r="Z249">
            <v>272702.005</v>
          </cell>
          <cell r="AA249">
            <v>274422.09600000002</v>
          </cell>
          <cell r="AB249">
            <v>276164.95199999999</v>
          </cell>
          <cell r="AC249">
            <v>277953.239</v>
          </cell>
          <cell r="AD249">
            <v>279777.49099999998</v>
          </cell>
          <cell r="AE249">
            <v>281633.08199999999</v>
          </cell>
          <cell r="AF249">
            <v>283504.04599999997</v>
          </cell>
          <cell r="AG249">
            <v>285377.38099999999</v>
          </cell>
          <cell r="AH249">
            <v>287255.348</v>
          </cell>
          <cell r="AI249">
            <v>289142.011</v>
          </cell>
          <cell r="AJ249">
            <v>291026.66700000002</v>
          </cell>
          <cell r="AK249">
            <v>292894.96999999997</v>
          </cell>
          <cell r="AL249">
            <v>294734.19699999999</v>
          </cell>
          <cell r="AM249">
            <v>296526.38099999999</v>
          </cell>
          <cell r="AN249">
            <v>298263.70299999998</v>
          </cell>
          <cell r="AO249">
            <v>299954.17700000003</v>
          </cell>
          <cell r="AP249">
            <v>301612.08100000001</v>
          </cell>
          <cell r="AQ249">
            <v>303239.07</v>
          </cell>
          <cell r="AR249">
            <v>304840.51500000001</v>
          </cell>
          <cell r="AS249">
            <v>306385.02899999998</v>
          </cell>
          <cell r="AT249">
            <v>307792.67700000003</v>
          </cell>
          <cell r="AU249">
            <v>308958.96500000003</v>
          </cell>
          <cell r="AV249">
            <v>309808.641</v>
          </cell>
          <cell r="AW249">
            <v>310318.03999999998</v>
          </cell>
          <cell r="AX249">
            <v>310506.13900000002</v>
          </cell>
          <cell r="AY249">
            <v>310395.17700000003</v>
          </cell>
          <cell r="AZ249">
            <v>310025.84999999998</v>
          </cell>
          <cell r="BA249">
            <v>309435.12099999998</v>
          </cell>
          <cell r="BB249">
            <v>308637.28700000001</v>
          </cell>
          <cell r="BC249">
            <v>307645.44300000003</v>
          </cell>
          <cell r="BD249">
            <v>306498.20400000003</v>
          </cell>
          <cell r="BE249">
            <v>305241.42700000003</v>
          </cell>
          <cell r="BF249">
            <v>303918.41800000001</v>
          </cell>
          <cell r="BG249">
            <v>302544.95500000002</v>
          </cell>
          <cell r="BH249">
            <v>301147.717</v>
          </cell>
          <cell r="BI249">
            <v>299792.70699999999</v>
          </cell>
          <cell r="BJ249">
            <v>298558.103</v>
          </cell>
          <cell r="BK249">
            <v>297500.538</v>
          </cell>
          <cell r="BL249">
            <v>296646.50599999999</v>
          </cell>
          <cell r="BM249">
            <v>295987.79399999999</v>
          </cell>
          <cell r="BN249">
            <v>295500.11499999999</v>
          </cell>
          <cell r="BO249">
            <v>295140.69099999999</v>
          </cell>
          <cell r="BP249">
            <v>294872.85399999999</v>
          </cell>
          <cell r="BQ249">
            <v>294690.68599999999</v>
          </cell>
          <cell r="BR249">
            <v>294589.60800000001</v>
          </cell>
          <cell r="BS249">
            <v>294533.61499999999</v>
          </cell>
          <cell r="BT249">
            <v>294479.08199999999</v>
          </cell>
          <cell r="BU249">
            <v>294390.745</v>
          </cell>
          <cell r="BV249">
            <v>294252.03000000003</v>
          </cell>
          <cell r="BW249">
            <v>294056.05599999998</v>
          </cell>
          <cell r="BX249">
            <v>293790.25900000002</v>
          </cell>
        </row>
        <row r="250">
          <cell r="C250" t="str">
            <v>Belarus</v>
          </cell>
          <cell r="E250">
            <v>112</v>
          </cell>
          <cell r="F250" t="str">
            <v>Country</v>
          </cell>
          <cell r="G250">
            <v>923</v>
          </cell>
          <cell r="H250">
            <v>7745.0020000000004</v>
          </cell>
          <cell r="I250">
            <v>7698.82</v>
          </cell>
          <cell r="J250">
            <v>7677.43</v>
          </cell>
          <cell r="K250">
            <v>7679.6850000000004</v>
          </cell>
          <cell r="L250">
            <v>7703.7749999999996</v>
          </cell>
          <cell r="M250">
            <v>7747.21</v>
          </cell>
          <cell r="N250">
            <v>7806.8159999999998</v>
          </cell>
          <cell r="O250">
            <v>7878.7640000000001</v>
          </cell>
          <cell r="P250">
            <v>7958.7190000000001</v>
          </cell>
          <cell r="Q250">
            <v>8042.1049999999996</v>
          </cell>
          <cell r="R250">
            <v>8124.8810000000003</v>
          </cell>
          <cell r="S250">
            <v>8204.3430000000008</v>
          </cell>
          <cell r="T250">
            <v>8279.8919999999998</v>
          </cell>
          <cell r="U250">
            <v>8353.2999999999993</v>
          </cell>
          <cell r="V250">
            <v>8427.8330000000005</v>
          </cell>
          <cell r="W250">
            <v>8505.7219999999998</v>
          </cell>
          <cell r="X250">
            <v>8587.1810000000005</v>
          </cell>
          <cell r="Y250">
            <v>8670.5650000000005</v>
          </cell>
          <cell r="Z250">
            <v>8754.2049999999999</v>
          </cell>
          <cell r="AA250">
            <v>8835.7450000000008</v>
          </cell>
          <cell r="AB250">
            <v>8913.5519999999997</v>
          </cell>
          <cell r="AC250">
            <v>8987.0310000000009</v>
          </cell>
          <cell r="AD250">
            <v>9056.7289999999994</v>
          </cell>
          <cell r="AE250">
            <v>9123.4509999999991</v>
          </cell>
          <cell r="AF250">
            <v>9188.4609999999993</v>
          </cell>
          <cell r="AG250">
            <v>9252.7790000000005</v>
          </cell>
          <cell r="AH250">
            <v>9316.3209999999999</v>
          </cell>
          <cell r="AI250">
            <v>9378.9179999999997</v>
          </cell>
          <cell r="AJ250">
            <v>9441.4179999999997</v>
          </cell>
          <cell r="AK250">
            <v>9504.8619999999992</v>
          </cell>
          <cell r="AL250">
            <v>9569.8469999999998</v>
          </cell>
          <cell r="AM250">
            <v>9636.1530000000002</v>
          </cell>
          <cell r="AN250">
            <v>9703.0840000000007</v>
          </cell>
          <cell r="AO250">
            <v>9770.1290000000008</v>
          </cell>
          <cell r="AP250">
            <v>9836.5830000000005</v>
          </cell>
          <cell r="AQ250">
            <v>9901.4930000000004</v>
          </cell>
          <cell r="AR250">
            <v>9965.1759999999995</v>
          </cell>
          <cell r="AS250">
            <v>10026.474</v>
          </cell>
          <cell r="AT250">
            <v>10081.210999999999</v>
          </cell>
          <cell r="AU250">
            <v>10124.004999999999</v>
          </cell>
          <cell r="AV250">
            <v>10151.134</v>
          </cell>
          <cell r="AW250">
            <v>10160.797</v>
          </cell>
          <cell r="AX250">
            <v>10154.334000000001</v>
          </cell>
          <cell r="AY250">
            <v>10135.127</v>
          </cell>
          <cell r="AZ250">
            <v>10108.290999999999</v>
          </cell>
          <cell r="BA250">
            <v>10077.608</v>
          </cell>
          <cell r="BB250">
            <v>10044.852999999999</v>
          </cell>
          <cell r="BC250">
            <v>10009.394</v>
          </cell>
          <cell r="BD250">
            <v>9969.9869999999992</v>
          </cell>
          <cell r="BE250">
            <v>9924.4369999999999</v>
          </cell>
          <cell r="BF250">
            <v>9871.6319999999996</v>
          </cell>
          <cell r="BG250">
            <v>9811.4009999999998</v>
          </cell>
          <cell r="BH250">
            <v>9745.9230000000007</v>
          </cell>
          <cell r="BI250">
            <v>9679.2350000000006</v>
          </cell>
          <cell r="BJ250">
            <v>9616.634</v>
          </cell>
          <cell r="BK250">
            <v>9562.0879999999997</v>
          </cell>
          <cell r="BL250">
            <v>9516.8829999999998</v>
          </cell>
          <cell r="BM250">
            <v>9480.5149999999994</v>
          </cell>
          <cell r="BN250">
            <v>9452.8549999999996</v>
          </cell>
          <cell r="BO250">
            <v>9433.152</v>
          </cell>
          <cell r="BP250">
            <v>9420.5740000000005</v>
          </cell>
          <cell r="BQ250">
            <v>9415.32</v>
          </cell>
          <cell r="BR250">
            <v>9417.0460000000003</v>
          </cell>
          <cell r="BS250">
            <v>9423.5059999999994</v>
          </cell>
          <cell r="BT250">
            <v>9431.7350000000006</v>
          </cell>
          <cell r="BU250">
            <v>9439.4230000000007</v>
          </cell>
          <cell r="BV250">
            <v>9445.643</v>
          </cell>
          <cell r="BW250">
            <v>9450.2309999999998</v>
          </cell>
          <cell r="BX250">
            <v>9452.6170000000002</v>
          </cell>
        </row>
        <row r="251">
          <cell r="C251" t="str">
            <v>Bulgaria</v>
          </cell>
          <cell r="E251">
            <v>100</v>
          </cell>
          <cell r="F251" t="str">
            <v>Country</v>
          </cell>
          <cell r="G251">
            <v>923</v>
          </cell>
          <cell r="H251">
            <v>7250.9989999999998</v>
          </cell>
          <cell r="I251">
            <v>7310.5339999999997</v>
          </cell>
          <cell r="J251">
            <v>7372.0119999999997</v>
          </cell>
          <cell r="K251">
            <v>7434.6719999999996</v>
          </cell>
          <cell r="L251">
            <v>7497.95</v>
          </cell>
          <cell r="M251">
            <v>7561.4930000000004</v>
          </cell>
          <cell r="N251">
            <v>7625.1890000000003</v>
          </cell>
          <cell r="O251">
            <v>7689.14</v>
          </cell>
          <cell r="P251">
            <v>7753.6059999999998</v>
          </cell>
          <cell r="Q251">
            <v>7819.0050000000001</v>
          </cell>
          <cell r="R251">
            <v>7885.607</v>
          </cell>
          <cell r="S251">
            <v>7953.4669999999996</v>
          </cell>
          <cell r="T251">
            <v>8022.1580000000004</v>
          </cell>
          <cell r="U251">
            <v>8090.7030000000004</v>
          </cell>
          <cell r="V251">
            <v>8157.8329999999996</v>
          </cell>
          <cell r="W251">
            <v>8222.5889999999999</v>
          </cell>
          <cell r="X251">
            <v>8284.4459999999999</v>
          </cell>
          <cell r="Y251">
            <v>8343.4879999999994</v>
          </cell>
          <cell r="Z251">
            <v>8400.0130000000008</v>
          </cell>
          <cell r="AA251">
            <v>8454.5859999999993</v>
          </cell>
          <cell r="AB251">
            <v>8507.5509999999995</v>
          </cell>
          <cell r="AC251">
            <v>8559.0310000000009</v>
          </cell>
          <cell r="AD251">
            <v>8608.6640000000007</v>
          </cell>
          <cell r="AE251">
            <v>8655.7090000000007</v>
          </cell>
          <cell r="AF251">
            <v>8699.1759999999995</v>
          </cell>
          <cell r="AG251">
            <v>8738.3919999999998</v>
          </cell>
          <cell r="AH251">
            <v>8772.5570000000007</v>
          </cell>
          <cell r="AI251">
            <v>8801.9040000000005</v>
          </cell>
          <cell r="AJ251">
            <v>8828.0259999999998</v>
          </cell>
          <cell r="AK251">
            <v>8853.2009999999991</v>
          </cell>
          <cell r="AL251">
            <v>8878.7909999999993</v>
          </cell>
          <cell r="AM251">
            <v>8905.0939999999991</v>
          </cell>
          <cell r="AN251">
            <v>8930.7070000000003</v>
          </cell>
          <cell r="AO251">
            <v>8953.1209999999992</v>
          </cell>
          <cell r="AP251">
            <v>8968.9169999999995</v>
          </cell>
          <cell r="AQ251">
            <v>8975.3610000000008</v>
          </cell>
          <cell r="AR251">
            <v>8972.5509999999995</v>
          </cell>
          <cell r="AS251">
            <v>8960.5560000000005</v>
          </cell>
          <cell r="AT251">
            <v>8936.6550000000007</v>
          </cell>
          <cell r="AU251">
            <v>8897.5429999999997</v>
          </cell>
          <cell r="AV251">
            <v>8841.4580000000005</v>
          </cell>
          <cell r="AW251">
            <v>8766.9989999999998</v>
          </cell>
          <cell r="AX251">
            <v>8676.3770000000004</v>
          </cell>
          <cell r="AY251">
            <v>8576.0380000000005</v>
          </cell>
          <cell r="AZ251">
            <v>8474.8259999999991</v>
          </cell>
          <cell r="BA251">
            <v>8379.3080000000009</v>
          </cell>
          <cell r="BB251">
            <v>8291.9699999999993</v>
          </cell>
          <cell r="BC251">
            <v>8211.8140000000003</v>
          </cell>
          <cell r="BD251">
            <v>8137.67</v>
          </cell>
          <cell r="BE251">
            <v>8066.9979999999996</v>
          </cell>
          <cell r="BF251">
            <v>7997.9570000000003</v>
          </cell>
          <cell r="BG251">
            <v>7930.7030000000004</v>
          </cell>
          <cell r="BH251">
            <v>7866.2389999999996</v>
          </cell>
          <cell r="BI251">
            <v>7804.3119999999999</v>
          </cell>
          <cell r="BJ251">
            <v>7744.6319999999996</v>
          </cell>
          <cell r="BK251">
            <v>7686.9620000000004</v>
          </cell>
          <cell r="BL251">
            <v>7631.0119999999997</v>
          </cell>
          <cell r="BM251">
            <v>7576.6719999999996</v>
          </cell>
          <cell r="BN251">
            <v>7524.0870000000004</v>
          </cell>
          <cell r="BO251">
            <v>7473.5129999999999</v>
          </cell>
          <cell r="BP251">
            <v>7425.0079999999998</v>
          </cell>
          <cell r="BQ251">
            <v>7378.65</v>
          </cell>
          <cell r="BR251">
            <v>7334.0029999999997</v>
          </cell>
          <cell r="BS251">
            <v>7290.0879999999997</v>
          </cell>
          <cell r="BT251">
            <v>7245.6459999999997</v>
          </cell>
          <cell r="BU251">
            <v>7199.741</v>
          </cell>
          <cell r="BV251">
            <v>7151.9530000000004</v>
          </cell>
          <cell r="BW251">
            <v>7102.4440000000004</v>
          </cell>
          <cell r="BX251">
            <v>7051.6080000000002</v>
          </cell>
        </row>
        <row r="252">
          <cell r="C252" t="str">
            <v>Czechia</v>
          </cell>
          <cell r="E252">
            <v>203</v>
          </cell>
          <cell r="F252" t="str">
            <v>Country</v>
          </cell>
          <cell r="G252">
            <v>923</v>
          </cell>
          <cell r="H252">
            <v>8902.6190000000006</v>
          </cell>
          <cell r="I252">
            <v>9007.0079999999998</v>
          </cell>
          <cell r="J252">
            <v>9110.1409999999996</v>
          </cell>
          <cell r="K252">
            <v>9205.98</v>
          </cell>
          <cell r="L252">
            <v>9290.5010000000002</v>
          </cell>
          <cell r="M252">
            <v>9361.7720000000008</v>
          </cell>
          <cell r="N252">
            <v>9420.0300000000007</v>
          </cell>
          <cell r="O252">
            <v>9467.5550000000003</v>
          </cell>
          <cell r="P252">
            <v>9508.3690000000006</v>
          </cell>
          <cell r="Q252">
            <v>9547.66</v>
          </cell>
          <cell r="R252">
            <v>9590.1740000000009</v>
          </cell>
          <cell r="S252">
            <v>9638.3919999999998</v>
          </cell>
          <cell r="T252">
            <v>9691.0589999999993</v>
          </cell>
          <cell r="U252">
            <v>9742.4599999999991</v>
          </cell>
          <cell r="V252">
            <v>9784.34</v>
          </cell>
          <cell r="W252">
            <v>9811.3770000000004</v>
          </cell>
          <cell r="X252">
            <v>9821.0630000000001</v>
          </cell>
          <cell r="Y252">
            <v>9817.116</v>
          </cell>
          <cell r="Z252">
            <v>9807.9419999999991</v>
          </cell>
          <cell r="AA252">
            <v>9805.3230000000003</v>
          </cell>
          <cell r="AB252">
            <v>9817.6689999999999</v>
          </cell>
          <cell r="AC252">
            <v>9847.2160000000003</v>
          </cell>
          <cell r="AD252">
            <v>9891.107</v>
          </cell>
          <cell r="AE252">
            <v>9946.19</v>
          </cell>
          <cell r="AF252">
            <v>10007.277</v>
          </cell>
          <cell r="AG252">
            <v>10069.955</v>
          </cell>
          <cell r="AH252">
            <v>10134.526</v>
          </cell>
          <cell r="AI252">
            <v>10200.732</v>
          </cell>
          <cell r="AJ252">
            <v>10262.914000000001</v>
          </cell>
          <cell r="AK252">
            <v>10313.960999999999</v>
          </cell>
          <cell r="AL252">
            <v>10349.083000000001</v>
          </cell>
          <cell r="AM252">
            <v>10365.523999999999</v>
          </cell>
          <cell r="AN252">
            <v>10365.254000000001</v>
          </cell>
          <cell r="AO252">
            <v>10354.105</v>
          </cell>
          <cell r="AP252">
            <v>10340.628000000001</v>
          </cell>
          <cell r="AQ252">
            <v>10331.143</v>
          </cell>
          <cell r="AR252">
            <v>10327.288</v>
          </cell>
          <cell r="AS252">
            <v>10327.474</v>
          </cell>
          <cell r="AT252">
            <v>10330.938</v>
          </cell>
          <cell r="AU252">
            <v>10335.884</v>
          </cell>
          <cell r="AV252">
            <v>10340.875</v>
          </cell>
          <cell r="AW252">
            <v>10346.451999999999</v>
          </cell>
          <cell r="AX252">
            <v>10353.028</v>
          </cell>
          <cell r="AY252">
            <v>10358.69</v>
          </cell>
          <cell r="AZ252">
            <v>10360.968999999999</v>
          </cell>
          <cell r="BA252">
            <v>10358.192999999999</v>
          </cell>
          <cell r="BB252">
            <v>10350.308999999999</v>
          </cell>
          <cell r="BC252">
            <v>10338.339</v>
          </cell>
          <cell r="BD252">
            <v>10323.246999999999</v>
          </cell>
          <cell r="BE252">
            <v>10306.411</v>
          </cell>
          <cell r="BF252">
            <v>10289.373</v>
          </cell>
          <cell r="BG252">
            <v>10271.008</v>
          </cell>
          <cell r="BH252">
            <v>10252.261</v>
          </cell>
          <cell r="BI252">
            <v>10239.136</v>
          </cell>
          <cell r="BJ252">
            <v>10239.439</v>
          </cell>
          <cell r="BK252">
            <v>10258.166999999999</v>
          </cell>
          <cell r="BL252">
            <v>10298.614</v>
          </cell>
          <cell r="BM252">
            <v>10357.538</v>
          </cell>
          <cell r="BN252">
            <v>10425.266</v>
          </cell>
          <cell r="BO252">
            <v>10488.155000000001</v>
          </cell>
          <cell r="BP252">
            <v>10536.518</v>
          </cell>
          <cell r="BQ252">
            <v>10566.517</v>
          </cell>
          <cell r="BR252">
            <v>10581.293</v>
          </cell>
          <cell r="BS252">
            <v>10586.532999999999</v>
          </cell>
          <cell r="BT252">
            <v>10591.108</v>
          </cell>
          <cell r="BU252">
            <v>10601.397000000001</v>
          </cell>
          <cell r="BV252">
            <v>10618.857</v>
          </cell>
          <cell r="BW252">
            <v>10641.034</v>
          </cell>
          <cell r="BX252">
            <v>10665.677</v>
          </cell>
        </row>
        <row r="253">
          <cell r="C253" t="str">
            <v>Hungary</v>
          </cell>
          <cell r="E253">
            <v>348</v>
          </cell>
          <cell r="F253" t="str">
            <v>Country</v>
          </cell>
          <cell r="G253">
            <v>923</v>
          </cell>
          <cell r="H253">
            <v>9337.723</v>
          </cell>
          <cell r="I253">
            <v>9480.607</v>
          </cell>
          <cell r="J253">
            <v>9597.9359999999997</v>
          </cell>
          <cell r="K253">
            <v>9692.9</v>
          </cell>
          <cell r="L253">
            <v>9768.6790000000001</v>
          </cell>
          <cell r="M253">
            <v>9828.4940000000006</v>
          </cell>
          <cell r="N253">
            <v>9875.5949999999993</v>
          </cell>
          <cell r="O253">
            <v>9913.2520000000004</v>
          </cell>
          <cell r="P253">
            <v>9944.7060000000001</v>
          </cell>
          <cell r="Q253">
            <v>9973.0589999999993</v>
          </cell>
          <cell r="R253">
            <v>10000.994000000001</v>
          </cell>
          <cell r="S253">
            <v>10030.48</v>
          </cell>
          <cell r="T253">
            <v>10062.504999999999</v>
          </cell>
          <cell r="U253">
            <v>10096.968000000001</v>
          </cell>
          <cell r="V253">
            <v>10132.967000000001</v>
          </cell>
          <cell r="W253">
            <v>10169.799000000001</v>
          </cell>
          <cell r="X253">
            <v>10208.227000000001</v>
          </cell>
          <cell r="Y253">
            <v>10248.704</v>
          </cell>
          <cell r="Z253">
            <v>10289.766</v>
          </cell>
          <cell r="AA253">
            <v>10329.353999999999</v>
          </cell>
          <cell r="AB253">
            <v>10366.105</v>
          </cell>
          <cell r="AC253">
            <v>10398.169</v>
          </cell>
          <cell r="AD253">
            <v>10426.085999999999</v>
          </cell>
          <cell r="AE253">
            <v>10453.655000000001</v>
          </cell>
          <cell r="AF253">
            <v>10486.183000000001</v>
          </cell>
          <cell r="AG253">
            <v>10526.78</v>
          </cell>
          <cell r="AH253">
            <v>10577.950999999999</v>
          </cell>
          <cell r="AI253">
            <v>10636.562</v>
          </cell>
          <cell r="AJ253">
            <v>10693.323</v>
          </cell>
          <cell r="AK253">
            <v>10735.502</v>
          </cell>
          <cell r="AL253">
            <v>10754.286</v>
          </cell>
          <cell r="AM253">
            <v>10746.481</v>
          </cell>
          <cell r="AN253">
            <v>10715.847</v>
          </cell>
          <cell r="AO253">
            <v>10669.206</v>
          </cell>
          <cell r="AP253">
            <v>10616.744000000001</v>
          </cell>
          <cell r="AQ253">
            <v>10566.323</v>
          </cell>
          <cell r="AR253">
            <v>10519.290999999999</v>
          </cell>
          <cell r="AS253">
            <v>10474.548000000001</v>
          </cell>
          <cell r="AT253">
            <v>10434.543</v>
          </cell>
          <cell r="AU253">
            <v>10401.614</v>
          </cell>
          <cell r="AV253">
            <v>10377.137000000001</v>
          </cell>
          <cell r="AW253">
            <v>10363.049000000001</v>
          </cell>
          <cell r="AX253">
            <v>10358.619000000001</v>
          </cell>
          <cell r="AY253">
            <v>10359.066000000001</v>
          </cell>
          <cell r="AZ253">
            <v>10357.591</v>
          </cell>
          <cell r="BA253">
            <v>10349.302</v>
          </cell>
          <cell r="BB253">
            <v>10332.453</v>
          </cell>
          <cell r="BC253">
            <v>10308.48</v>
          </cell>
          <cell r="BD253">
            <v>10279.602000000001</v>
          </cell>
          <cell r="BE253">
            <v>10249.415999999999</v>
          </cell>
          <cell r="BF253">
            <v>10220.507</v>
          </cell>
          <cell r="BG253">
            <v>10193.449000000001</v>
          </cell>
          <cell r="BH253">
            <v>10167.282999999999</v>
          </cell>
          <cell r="BI253">
            <v>10141.342000000001</v>
          </cell>
          <cell r="BJ253">
            <v>10114.48</v>
          </cell>
          <cell r="BK253">
            <v>10085.937</v>
          </cell>
          <cell r="BL253">
            <v>10055.653</v>
          </cell>
          <cell r="BM253">
            <v>10024.148999999999</v>
          </cell>
          <cell r="BN253">
            <v>9991.8670000000002</v>
          </cell>
          <cell r="BO253">
            <v>9959.4390000000003</v>
          </cell>
          <cell r="BP253">
            <v>9927.3700000000008</v>
          </cell>
          <cell r="BQ253">
            <v>9895.68</v>
          </cell>
          <cell r="BR253">
            <v>9864.3580000000002</v>
          </cell>
          <cell r="BS253">
            <v>9833.9230000000007</v>
          </cell>
          <cell r="BT253">
            <v>9804.991</v>
          </cell>
          <cell r="BU253">
            <v>9777.9230000000007</v>
          </cell>
          <cell r="BV253">
            <v>9752.9750000000004</v>
          </cell>
          <cell r="BW253">
            <v>9729.8230000000003</v>
          </cell>
          <cell r="BX253">
            <v>9707.4989999999998</v>
          </cell>
        </row>
        <row r="254">
          <cell r="C254" t="str">
            <v>Poland</v>
          </cell>
          <cell r="E254">
            <v>616</v>
          </cell>
          <cell r="F254" t="str">
            <v>Country</v>
          </cell>
          <cell r="G254">
            <v>923</v>
          </cell>
          <cell r="H254">
            <v>24824.018</v>
          </cell>
          <cell r="I254">
            <v>25283.02</v>
          </cell>
          <cell r="J254">
            <v>25764.313999999998</v>
          </cell>
          <cell r="K254">
            <v>26260.488000000001</v>
          </cell>
          <cell r="L254">
            <v>26764.492999999999</v>
          </cell>
          <cell r="M254">
            <v>27269.749</v>
          </cell>
          <cell r="N254">
            <v>27770.047999999999</v>
          </cell>
          <cell r="O254">
            <v>28259.608</v>
          </cell>
          <cell r="P254">
            <v>28733.123</v>
          </cell>
          <cell r="Q254">
            <v>29185.902999999998</v>
          </cell>
          <cell r="R254">
            <v>29614.201000000001</v>
          </cell>
          <cell r="S254">
            <v>30015.600999999999</v>
          </cell>
          <cell r="T254">
            <v>30389.347000000002</v>
          </cell>
          <cell r="U254">
            <v>30736.493999999999</v>
          </cell>
          <cell r="V254">
            <v>31059.455000000002</v>
          </cell>
          <cell r="W254">
            <v>31360.906999999999</v>
          </cell>
          <cell r="X254">
            <v>31641.038</v>
          </cell>
          <cell r="Y254">
            <v>31901.688999999998</v>
          </cell>
          <cell r="Z254">
            <v>32149.543000000001</v>
          </cell>
          <cell r="AA254">
            <v>32393.143</v>
          </cell>
          <cell r="AB254">
            <v>32639.258000000002</v>
          </cell>
          <cell r="AC254">
            <v>32890.383000000002</v>
          </cell>
          <cell r="AD254">
            <v>33147.072</v>
          </cell>
          <cell r="AE254">
            <v>33411.589</v>
          </cell>
          <cell r="AF254">
            <v>33685.777000000002</v>
          </cell>
          <cell r="AG254">
            <v>33970.724000000002</v>
          </cell>
          <cell r="AH254">
            <v>34266.1</v>
          </cell>
          <cell r="AI254">
            <v>34571.226000000002</v>
          </cell>
          <cell r="AJ254">
            <v>34885.803</v>
          </cell>
          <cell r="AK254">
            <v>35209.25</v>
          </cell>
          <cell r="AL254">
            <v>35539.72</v>
          </cell>
          <cell r="AM254">
            <v>35878.453999999998</v>
          </cell>
          <cell r="AN254">
            <v>36221.542000000001</v>
          </cell>
          <cell r="AO254">
            <v>36555.779000000002</v>
          </cell>
          <cell r="AP254">
            <v>36863.947999999997</v>
          </cell>
          <cell r="AQ254">
            <v>37133.870000000003</v>
          </cell>
          <cell r="AR254">
            <v>37359.523000000001</v>
          </cell>
          <cell r="AS254">
            <v>37544.330999999998</v>
          </cell>
          <cell r="AT254">
            <v>37697.356</v>
          </cell>
          <cell r="AU254">
            <v>37832.565999999999</v>
          </cell>
          <cell r="AV254">
            <v>37960.192999999999</v>
          </cell>
          <cell r="AW254">
            <v>38082.947999999997</v>
          </cell>
          <cell r="AX254">
            <v>38197.587</v>
          </cell>
          <cell r="AY254">
            <v>38301.35</v>
          </cell>
          <cell r="AZ254">
            <v>38389.466999999997</v>
          </cell>
          <cell r="BA254">
            <v>38458.637999999999</v>
          </cell>
          <cell r="BB254">
            <v>38509.665999999997</v>
          </cell>
          <cell r="BC254">
            <v>38544.841</v>
          </cell>
          <cell r="BD254">
            <v>38564.195</v>
          </cell>
          <cell r="BE254">
            <v>38567.853999999999</v>
          </cell>
          <cell r="BF254">
            <v>38556.692999999999</v>
          </cell>
          <cell r="BG254">
            <v>38529.582000000002</v>
          </cell>
          <cell r="BH254">
            <v>38488.646999999997</v>
          </cell>
          <cell r="BI254">
            <v>38441.824000000001</v>
          </cell>
          <cell r="BJ254">
            <v>38399.557999999997</v>
          </cell>
          <cell r="BK254">
            <v>38368.949000000001</v>
          </cell>
          <cell r="BL254">
            <v>38354.449999999997</v>
          </cell>
          <cell r="BM254">
            <v>38353.338000000003</v>
          </cell>
          <cell r="BN254">
            <v>38356.786</v>
          </cell>
          <cell r="BO254">
            <v>38351.915999999997</v>
          </cell>
          <cell r="BP254">
            <v>38329.781000000003</v>
          </cell>
          <cell r="BQ254">
            <v>38286.830999999998</v>
          </cell>
          <cell r="BR254">
            <v>38227.044000000002</v>
          </cell>
          <cell r="BS254">
            <v>38158.040999999997</v>
          </cell>
          <cell r="BT254">
            <v>38091.089</v>
          </cell>
          <cell r="BU254">
            <v>38034.078999999998</v>
          </cell>
          <cell r="BV254">
            <v>37989.22</v>
          </cell>
          <cell r="BW254">
            <v>37953.18</v>
          </cell>
          <cell r="BX254">
            <v>37921.591999999997</v>
          </cell>
        </row>
        <row r="255">
          <cell r="C255" t="str">
            <v>Republic of Moldova</v>
          </cell>
          <cell r="D255">
            <v>15</v>
          </cell>
          <cell r="E255">
            <v>498</v>
          </cell>
          <cell r="F255" t="str">
            <v>Country</v>
          </cell>
          <cell r="G255">
            <v>923</v>
          </cell>
          <cell r="H255">
            <v>2340.9969999999998</v>
          </cell>
          <cell r="I255">
            <v>2381.3000000000002</v>
          </cell>
          <cell r="J255">
            <v>2431.8850000000002</v>
          </cell>
          <cell r="K255">
            <v>2490.866</v>
          </cell>
          <cell r="L255">
            <v>2556.4569999999999</v>
          </cell>
          <cell r="M255">
            <v>2627.0120000000002</v>
          </cell>
          <cell r="N255">
            <v>2700.973</v>
          </cell>
          <cell r="O255">
            <v>2776.9270000000001</v>
          </cell>
          <cell r="P255">
            <v>2853.5720000000001</v>
          </cell>
          <cell r="Q255">
            <v>2929.7379999999998</v>
          </cell>
          <cell r="R255">
            <v>3004.4520000000002</v>
          </cell>
          <cell r="S255">
            <v>3076.902</v>
          </cell>
          <cell r="T255">
            <v>3146.5419999999999</v>
          </cell>
          <cell r="U255">
            <v>3213.0880000000002</v>
          </cell>
          <cell r="V255">
            <v>3276.4270000000001</v>
          </cell>
          <cell r="W255">
            <v>3336.5920000000001</v>
          </cell>
          <cell r="X255">
            <v>3393.0509999999999</v>
          </cell>
          <cell r="Y255">
            <v>3445.8330000000001</v>
          </cell>
          <cell r="Z255">
            <v>3496.1329999999998</v>
          </cell>
          <cell r="AA255">
            <v>3545.65</v>
          </cell>
          <cell r="AB255">
            <v>3595.5549999999998</v>
          </cell>
          <cell r="AC255">
            <v>3646.5709999999999</v>
          </cell>
          <cell r="AD255">
            <v>3698.2260000000001</v>
          </cell>
          <cell r="AE255">
            <v>3749.0140000000001</v>
          </cell>
          <cell r="AF255">
            <v>3796.7640000000001</v>
          </cell>
          <cell r="AG255">
            <v>3840.0450000000001</v>
          </cell>
          <cell r="AH255">
            <v>3878.105</v>
          </cell>
          <cell r="AI255">
            <v>3911.8150000000001</v>
          </cell>
          <cell r="AJ255">
            <v>3943.3359999999998</v>
          </cell>
          <cell r="AK255">
            <v>3975.721</v>
          </cell>
          <cell r="AL255">
            <v>4011.076</v>
          </cell>
          <cell r="AM255">
            <v>4049.877</v>
          </cell>
          <cell r="AN255">
            <v>4091.1289999999999</v>
          </cell>
          <cell r="AO255">
            <v>4133.7370000000001</v>
          </cell>
          <cell r="AP255">
            <v>4175.933</v>
          </cell>
          <cell r="AQ255">
            <v>4216.2489999999998</v>
          </cell>
          <cell r="AR255">
            <v>4254.5200000000004</v>
          </cell>
          <cell r="AS255">
            <v>4290.4870000000001</v>
          </cell>
          <cell r="AT255">
            <v>4322.3370000000004</v>
          </cell>
          <cell r="AU255">
            <v>4347.8779999999997</v>
          </cell>
          <cell r="AV255">
            <v>4365.5640000000003</v>
          </cell>
          <cell r="AW255">
            <v>4375.05</v>
          </cell>
          <cell r="AX255">
            <v>4376.7929999999997</v>
          </cell>
          <cell r="AY255">
            <v>4371.1459999999997</v>
          </cell>
          <cell r="AZ255">
            <v>4358.7849999999999</v>
          </cell>
          <cell r="BA255">
            <v>4340.5969999999998</v>
          </cell>
          <cell r="BB255">
            <v>4316.223</v>
          </cell>
          <cell r="BC255">
            <v>4286.4719999999998</v>
          </cell>
          <cell r="BD255">
            <v>4254.8360000000002</v>
          </cell>
          <cell r="BE255">
            <v>4225.8289999999997</v>
          </cell>
          <cell r="BF255">
            <v>4202.6580000000004</v>
          </cell>
          <cell r="BG255">
            <v>4187.0929999999998</v>
          </cell>
          <cell r="BH255">
            <v>4178.2299999999996</v>
          </cell>
          <cell r="BI255">
            <v>4173.2740000000003</v>
          </cell>
          <cell r="BJ255">
            <v>4167.9589999999998</v>
          </cell>
          <cell r="BK255">
            <v>4159.2929999999997</v>
          </cell>
          <cell r="BL255">
            <v>4146.2650000000003</v>
          </cell>
          <cell r="BM255">
            <v>4130.1360000000004</v>
          </cell>
          <cell r="BN255">
            <v>4112.8909999999996</v>
          </cell>
          <cell r="BO255">
            <v>4097.518</v>
          </cell>
          <cell r="BP255">
            <v>4086.0810000000001</v>
          </cell>
          <cell r="BQ255">
            <v>4079.1640000000002</v>
          </cell>
          <cell r="BR255">
            <v>4075.808</v>
          </cell>
          <cell r="BS255">
            <v>4074.5909999999999</v>
          </cell>
          <cell r="BT255">
            <v>4073.4070000000002</v>
          </cell>
          <cell r="BU255">
            <v>4070.7</v>
          </cell>
          <cell r="BV255">
            <v>4066.009</v>
          </cell>
          <cell r="BW255">
            <v>4059.6840000000002</v>
          </cell>
          <cell r="BX255">
            <v>4051.944</v>
          </cell>
        </row>
        <row r="256">
          <cell r="C256" t="str">
            <v>Romania</v>
          </cell>
          <cell r="E256">
            <v>642</v>
          </cell>
          <cell r="F256" t="str">
            <v>Country</v>
          </cell>
          <cell r="G256">
            <v>923</v>
          </cell>
          <cell r="H256">
            <v>16236.296</v>
          </cell>
          <cell r="I256">
            <v>16512.664000000001</v>
          </cell>
          <cell r="J256">
            <v>16764.903999999999</v>
          </cell>
          <cell r="K256">
            <v>17005.717000000001</v>
          </cell>
          <cell r="L256">
            <v>17243.817999999999</v>
          </cell>
          <cell r="M256">
            <v>17483.935000000001</v>
          </cell>
          <cell r="N256">
            <v>17726.631000000001</v>
          </cell>
          <cell r="O256">
            <v>17968.466</v>
          </cell>
          <cell r="P256">
            <v>18202.712</v>
          </cell>
          <cell r="Q256">
            <v>18420.454000000002</v>
          </cell>
          <cell r="R256">
            <v>18613.938999999998</v>
          </cell>
          <cell r="S256">
            <v>18780.202000000001</v>
          </cell>
          <cell r="T256">
            <v>18924.156999999999</v>
          </cell>
          <cell r="U256">
            <v>19059.937999999998</v>
          </cell>
          <cell r="V256">
            <v>19207.134999999998</v>
          </cell>
          <cell r="W256">
            <v>19379.567999999999</v>
          </cell>
          <cell r="X256">
            <v>19582.334999999999</v>
          </cell>
          <cell r="Y256">
            <v>19810.615000000002</v>
          </cell>
          <cell r="Z256">
            <v>20055.971000000001</v>
          </cell>
          <cell r="AA256">
            <v>20305.353999999999</v>
          </cell>
          <cell r="AB256">
            <v>20548.911</v>
          </cell>
          <cell r="AC256">
            <v>20783.545999999998</v>
          </cell>
          <cell r="AD256">
            <v>21011.136999999999</v>
          </cell>
          <cell r="AE256">
            <v>21232.620999999999</v>
          </cell>
          <cell r="AF256">
            <v>21450.41</v>
          </cell>
          <cell r="AG256">
            <v>21665.643</v>
          </cell>
          <cell r="AH256">
            <v>21879.085999999999</v>
          </cell>
          <cell r="AI256">
            <v>22087.896000000001</v>
          </cell>
          <cell r="AJ256">
            <v>22285.507000000001</v>
          </cell>
          <cell r="AK256">
            <v>22463.308000000001</v>
          </cell>
          <cell r="AL256">
            <v>22615.638999999999</v>
          </cell>
          <cell r="AM256">
            <v>22737.208999999999</v>
          </cell>
          <cell r="AN256">
            <v>22830.554</v>
          </cell>
          <cell r="AO256">
            <v>22907.302</v>
          </cell>
          <cell r="AP256">
            <v>22983.968000000001</v>
          </cell>
          <cell r="AQ256">
            <v>23071.274000000001</v>
          </cell>
          <cell r="AR256">
            <v>23175.058000000001</v>
          </cell>
          <cell r="AS256">
            <v>23288.400000000001</v>
          </cell>
          <cell r="AT256">
            <v>23393.73</v>
          </cell>
          <cell r="AU256">
            <v>23466.406999999999</v>
          </cell>
          <cell r="AV256">
            <v>23489.16</v>
          </cell>
          <cell r="AW256">
            <v>23456.644</v>
          </cell>
          <cell r="AX256">
            <v>23375.822</v>
          </cell>
          <cell r="AY256">
            <v>23256.955999999998</v>
          </cell>
          <cell r="AZ256">
            <v>23115.811000000002</v>
          </cell>
          <cell r="BA256">
            <v>22964.754000000001</v>
          </cell>
          <cell r="BB256">
            <v>22805.703000000001</v>
          </cell>
          <cell r="BC256">
            <v>22637.603999999999</v>
          </cell>
          <cell r="BD256">
            <v>22466.286</v>
          </cell>
          <cell r="BE256">
            <v>22298.125</v>
          </cell>
          <cell r="BF256">
            <v>22137.419000000002</v>
          </cell>
          <cell r="BG256">
            <v>21989.35</v>
          </cell>
          <cell r="BH256">
            <v>21853.273000000001</v>
          </cell>
          <cell r="BI256">
            <v>21720.406999999999</v>
          </cell>
          <cell r="BJ256">
            <v>21577.884999999998</v>
          </cell>
          <cell r="BK256">
            <v>21417.291000000001</v>
          </cell>
          <cell r="BL256">
            <v>21234.305</v>
          </cell>
          <cell r="BM256">
            <v>21034.188999999998</v>
          </cell>
          <cell r="BN256">
            <v>20829.517</v>
          </cell>
          <cell r="BO256">
            <v>20637.991000000002</v>
          </cell>
          <cell r="BP256">
            <v>20471.864000000001</v>
          </cell>
          <cell r="BQ256">
            <v>20336.718000000001</v>
          </cell>
          <cell r="BR256">
            <v>20227.469000000001</v>
          </cell>
          <cell r="BS256">
            <v>20132.776000000002</v>
          </cell>
          <cell r="BT256">
            <v>20035.93</v>
          </cell>
          <cell r="BU256">
            <v>19925.174999999999</v>
          </cell>
          <cell r="BV256">
            <v>19796.285</v>
          </cell>
          <cell r="BW256">
            <v>19653.969000000001</v>
          </cell>
          <cell r="BX256">
            <v>19506.114000000001</v>
          </cell>
        </row>
        <row r="257">
          <cell r="C257" t="str">
            <v>Russian Federation</v>
          </cell>
          <cell r="E257">
            <v>643</v>
          </cell>
          <cell r="F257" t="str">
            <v>Country</v>
          </cell>
          <cell r="G257">
            <v>923</v>
          </cell>
          <cell r="H257">
            <v>102798.65700000001</v>
          </cell>
          <cell r="I257">
            <v>104304.693</v>
          </cell>
          <cell r="J257">
            <v>105967.08</v>
          </cell>
          <cell r="K257">
            <v>107727.318</v>
          </cell>
          <cell r="L257">
            <v>109536.49400000001</v>
          </cell>
          <cell r="M257">
            <v>111355.3</v>
          </cell>
          <cell r="N257">
            <v>113154.334</v>
          </cell>
          <cell r="O257">
            <v>114913.77899999999</v>
          </cell>
          <cell r="P257">
            <v>116622.40700000001</v>
          </cell>
          <cell r="Q257">
            <v>118275.87699999999</v>
          </cell>
          <cell r="R257">
            <v>119871.7</v>
          </cell>
          <cell r="S257">
            <v>121403.89200000001</v>
          </cell>
          <cell r="T257">
            <v>122858.227</v>
          </cell>
          <cell r="U257">
            <v>124210.25199999999</v>
          </cell>
          <cell r="V257">
            <v>125430.993</v>
          </cell>
          <cell r="W257">
            <v>126503.736</v>
          </cell>
          <cell r="X257">
            <v>127417.19</v>
          </cell>
          <cell r="Y257">
            <v>128187.39599999999</v>
          </cell>
          <cell r="Z257">
            <v>128859.798</v>
          </cell>
          <cell r="AA257">
            <v>129497.501</v>
          </cell>
          <cell r="AB257">
            <v>130148.65300000001</v>
          </cell>
          <cell r="AC257">
            <v>130830.719</v>
          </cell>
          <cell r="AD257">
            <v>131539.63399999999</v>
          </cell>
          <cell r="AE257">
            <v>132275.731</v>
          </cell>
          <cell r="AF257">
            <v>133032.26199999999</v>
          </cell>
          <cell r="AG257">
            <v>133804.85800000001</v>
          </cell>
          <cell r="AH257">
            <v>134596.23199999999</v>
          </cell>
          <cell r="AI257">
            <v>135413.334</v>
          </cell>
          <cell r="AJ257">
            <v>136259.82399999999</v>
          </cell>
          <cell r="AK257">
            <v>137139.38800000001</v>
          </cell>
          <cell r="AL257">
            <v>138053.15</v>
          </cell>
          <cell r="AM257">
            <v>138993.84700000001</v>
          </cell>
          <cell r="AN257">
            <v>139954.62400000001</v>
          </cell>
          <cell r="AO257">
            <v>140935.78</v>
          </cell>
          <cell r="AP257">
            <v>141938.48699999999</v>
          </cell>
          <cell r="AQ257">
            <v>142957.28400000001</v>
          </cell>
          <cell r="AR257">
            <v>143995.348</v>
          </cell>
          <cell r="AS257">
            <v>145032.88800000001</v>
          </cell>
          <cell r="AT257">
            <v>146013.48800000001</v>
          </cell>
          <cell r="AU257">
            <v>146863.93100000001</v>
          </cell>
          <cell r="AV257">
            <v>147531.56099999999</v>
          </cell>
          <cell r="AW257">
            <v>147995.59299999999</v>
          </cell>
          <cell r="AX257">
            <v>148268.58100000001</v>
          </cell>
          <cell r="AY257">
            <v>148373.57999999999</v>
          </cell>
          <cell r="AZ257">
            <v>148349.44099999999</v>
          </cell>
          <cell r="BA257">
            <v>148227.46599999999</v>
          </cell>
          <cell r="BB257">
            <v>148020.84700000001</v>
          </cell>
          <cell r="BC257">
            <v>147730.019</v>
          </cell>
          <cell r="BD257">
            <v>147360.60399999999</v>
          </cell>
          <cell r="BE257">
            <v>146915.91500000001</v>
          </cell>
          <cell r="BF257">
            <v>146404.90299999999</v>
          </cell>
          <cell r="BG257">
            <v>145830.72099999999</v>
          </cell>
          <cell r="BH257">
            <v>145215.70000000001</v>
          </cell>
          <cell r="BI257">
            <v>144610.88200000001</v>
          </cell>
          <cell r="BJ257">
            <v>144080.64300000001</v>
          </cell>
          <cell r="BK257">
            <v>143672.11600000001</v>
          </cell>
          <cell r="BL257">
            <v>143403.25599999999</v>
          </cell>
          <cell r="BM257">
            <v>143266.212</v>
          </cell>
          <cell r="BN257">
            <v>143248.764</v>
          </cell>
          <cell r="BO257">
            <v>143326.913</v>
          </cell>
          <cell r="BP257">
            <v>143479.274</v>
          </cell>
          <cell r="BQ257">
            <v>143703.02499999999</v>
          </cell>
          <cell r="BR257">
            <v>143993.89199999999</v>
          </cell>
          <cell r="BS257">
            <v>144325.44899999999</v>
          </cell>
          <cell r="BT257">
            <v>144664.84099999999</v>
          </cell>
          <cell r="BU257">
            <v>144985.057</v>
          </cell>
          <cell r="BV257">
            <v>145275.383</v>
          </cell>
          <cell r="BW257">
            <v>145530.08199999999</v>
          </cell>
          <cell r="BX257">
            <v>145734.038</v>
          </cell>
        </row>
        <row r="258">
          <cell r="C258" t="str">
            <v>Slovakia</v>
          </cell>
          <cell r="E258">
            <v>703</v>
          </cell>
          <cell r="F258" t="str">
            <v>Country</v>
          </cell>
          <cell r="G258">
            <v>923</v>
          </cell>
          <cell r="H258">
            <v>3436.5729999999999</v>
          </cell>
          <cell r="I258">
            <v>3510.9259999999999</v>
          </cell>
          <cell r="J258">
            <v>3587.6570000000002</v>
          </cell>
          <cell r="K258">
            <v>3664.9180000000001</v>
          </cell>
          <cell r="L258">
            <v>3741.2109999999998</v>
          </cell>
          <cell r="M258">
            <v>3815.402</v>
          </cell>
          <cell r="N258">
            <v>3886.7460000000001</v>
          </cell>
          <cell r="O258">
            <v>3954.855</v>
          </cell>
          <cell r="P258">
            <v>4019.6390000000001</v>
          </cell>
          <cell r="Q258">
            <v>4081.32</v>
          </cell>
          <cell r="R258">
            <v>4140.1289999999999</v>
          </cell>
          <cell r="S258">
            <v>4196.17</v>
          </cell>
          <cell r="T258">
            <v>4249.2049999999999</v>
          </cell>
          <cell r="U258">
            <v>4298.5839999999998</v>
          </cell>
          <cell r="V258">
            <v>4343.4589999999998</v>
          </cell>
          <cell r="W258">
            <v>4383.4520000000002</v>
          </cell>
          <cell r="X258">
            <v>4418.2049999999999</v>
          </cell>
          <cell r="Y258">
            <v>4448.55</v>
          </cell>
          <cell r="Z258">
            <v>4476.8239999999996</v>
          </cell>
          <cell r="AA258">
            <v>4506.1570000000002</v>
          </cell>
          <cell r="AB258">
            <v>4538.8410000000003</v>
          </cell>
          <cell r="AC258">
            <v>4575.5630000000001</v>
          </cell>
          <cell r="AD258">
            <v>4615.8310000000001</v>
          </cell>
          <cell r="AE258">
            <v>4659.28</v>
          </cell>
          <cell r="AF258">
            <v>4705.1099999999997</v>
          </cell>
          <cell r="AG258">
            <v>4752.54</v>
          </cell>
          <cell r="AH258">
            <v>4801.741</v>
          </cell>
          <cell r="AI258">
            <v>4852.4970000000003</v>
          </cell>
          <cell r="AJ258">
            <v>4903.2020000000002</v>
          </cell>
          <cell r="AK258">
            <v>4951.7879999999996</v>
          </cell>
          <cell r="AL258">
            <v>4996.7309999999998</v>
          </cell>
          <cell r="AM258">
            <v>5037.3410000000003</v>
          </cell>
          <cell r="AN258">
            <v>5073.8900000000003</v>
          </cell>
          <cell r="AO258">
            <v>5106.9889999999996</v>
          </cell>
          <cell r="AP258">
            <v>5137.6850000000004</v>
          </cell>
          <cell r="AQ258">
            <v>5166.7979999999998</v>
          </cell>
          <cell r="AR258">
            <v>5194.3059999999996</v>
          </cell>
          <cell r="AS258">
            <v>5219.9589999999998</v>
          </cell>
          <cell r="AT258">
            <v>5244.0360000000001</v>
          </cell>
          <cell r="AU258">
            <v>5266.8040000000001</v>
          </cell>
          <cell r="AV258">
            <v>5288.4539999999997</v>
          </cell>
          <cell r="AW258">
            <v>5309.2349999999997</v>
          </cell>
          <cell r="AX258">
            <v>5329.0330000000004</v>
          </cell>
          <cell r="AY258">
            <v>5347.2139999999999</v>
          </cell>
          <cell r="AZ258">
            <v>5362.8959999999997</v>
          </cell>
          <cell r="BA258">
            <v>5375.47</v>
          </cell>
          <cell r="BB258">
            <v>5384.7879999999996</v>
          </cell>
          <cell r="BC258">
            <v>5391.2039999999997</v>
          </cell>
          <cell r="BD258">
            <v>5395.2539999999999</v>
          </cell>
          <cell r="BE258">
            <v>5397.7079999999996</v>
          </cell>
          <cell r="BF258">
            <v>5399.2110000000002</v>
          </cell>
          <cell r="BG258">
            <v>5399.9920000000002</v>
          </cell>
          <cell r="BH258">
            <v>5400.1220000000003</v>
          </cell>
          <cell r="BI258">
            <v>5399.8339999999998</v>
          </cell>
          <cell r="BJ258">
            <v>5399.38</v>
          </cell>
          <cell r="BK258">
            <v>5398.9629999999997</v>
          </cell>
          <cell r="BL258">
            <v>5398.6729999999998</v>
          </cell>
          <cell r="BM258">
            <v>5398.692</v>
          </cell>
          <cell r="BN258">
            <v>5399.3710000000001</v>
          </cell>
          <cell r="BO258">
            <v>5401.1530000000002</v>
          </cell>
          <cell r="BP258">
            <v>5404.2939999999999</v>
          </cell>
          <cell r="BQ258">
            <v>5408.9369999999999</v>
          </cell>
          <cell r="BR258">
            <v>5414.8890000000001</v>
          </cell>
          <cell r="BS258">
            <v>5421.7250000000004</v>
          </cell>
          <cell r="BT258">
            <v>5428.8029999999999</v>
          </cell>
          <cell r="BU258">
            <v>5435.6109999999999</v>
          </cell>
          <cell r="BV258">
            <v>5442.0029999999997</v>
          </cell>
          <cell r="BW258">
            <v>5447.9</v>
          </cell>
          <cell r="BX258">
            <v>5453.0140000000001</v>
          </cell>
        </row>
        <row r="259">
          <cell r="C259" t="str">
            <v>Ukraine</v>
          </cell>
          <cell r="D259">
            <v>16</v>
          </cell>
          <cell r="E259">
            <v>804</v>
          </cell>
          <cell r="F259" t="str">
            <v>Country</v>
          </cell>
          <cell r="G259">
            <v>923</v>
          </cell>
          <cell r="H259">
            <v>37297.648000000001</v>
          </cell>
          <cell r="I259">
            <v>37815.538</v>
          </cell>
          <cell r="J259">
            <v>38360.065999999999</v>
          </cell>
          <cell r="K259">
            <v>38915.822999999997</v>
          </cell>
          <cell r="L259">
            <v>39471.402999999998</v>
          </cell>
          <cell r="M259">
            <v>40019.491000000002</v>
          </cell>
          <cell r="N259">
            <v>40557.025999999998</v>
          </cell>
          <cell r="O259">
            <v>41085.023000000001</v>
          </cell>
          <cell r="P259">
            <v>41607.891000000003</v>
          </cell>
          <cell r="Q259">
            <v>42132.436000000002</v>
          </cell>
          <cell r="R259">
            <v>42664.652000000002</v>
          </cell>
          <cell r="S259">
            <v>43206.345000000001</v>
          </cell>
          <cell r="T259">
            <v>43752.23</v>
          </cell>
          <cell r="U259">
            <v>44288.608</v>
          </cell>
          <cell r="V259">
            <v>44796.964</v>
          </cell>
          <cell r="W259">
            <v>45264.548000000003</v>
          </cell>
          <cell r="X259">
            <v>45684.978999999999</v>
          </cell>
          <cell r="Y259">
            <v>46063.228000000003</v>
          </cell>
          <cell r="Z259">
            <v>46411.81</v>
          </cell>
          <cell r="AA259">
            <v>46749.283000000003</v>
          </cell>
          <cell r="AB259">
            <v>47088.857000000004</v>
          </cell>
          <cell r="AC259">
            <v>47435.01</v>
          </cell>
          <cell r="AD259">
            <v>47783.004999999997</v>
          </cell>
          <cell r="AE259">
            <v>48125.841999999997</v>
          </cell>
          <cell r="AF259">
            <v>48452.625999999997</v>
          </cell>
          <cell r="AG259">
            <v>48755.665000000001</v>
          </cell>
          <cell r="AH259">
            <v>49032.728999999999</v>
          </cell>
          <cell r="AI259">
            <v>49287.127</v>
          </cell>
          <cell r="AJ259">
            <v>49523.313999999998</v>
          </cell>
          <cell r="AK259">
            <v>49747.989000000001</v>
          </cell>
          <cell r="AL259">
            <v>49965.874000000003</v>
          </cell>
          <cell r="AM259">
            <v>50176.400999999998</v>
          </cell>
          <cell r="AN259">
            <v>50377.072</v>
          </cell>
          <cell r="AO259">
            <v>50568.029000000002</v>
          </cell>
          <cell r="AP259">
            <v>50749.188000000002</v>
          </cell>
          <cell r="AQ259">
            <v>50919.275000000001</v>
          </cell>
          <cell r="AR259">
            <v>51077.453999999998</v>
          </cell>
          <cell r="AS259">
            <v>51219.911999999997</v>
          </cell>
          <cell r="AT259">
            <v>51338.383000000002</v>
          </cell>
          <cell r="AU259">
            <v>51422.332999999999</v>
          </cell>
          <cell r="AV259">
            <v>51463.105000000003</v>
          </cell>
          <cell r="AW259">
            <v>51461.273000000001</v>
          </cell>
          <cell r="AX259">
            <v>51415.964999999997</v>
          </cell>
          <cell r="AY259">
            <v>51316.01</v>
          </cell>
          <cell r="AZ259">
            <v>51147.773000000001</v>
          </cell>
          <cell r="BA259">
            <v>50903.785000000003</v>
          </cell>
          <cell r="BB259">
            <v>50580.474999999999</v>
          </cell>
          <cell r="BC259">
            <v>50187.275999999998</v>
          </cell>
          <cell r="BD259">
            <v>49746.523000000001</v>
          </cell>
          <cell r="BE259">
            <v>49288.733999999997</v>
          </cell>
          <cell r="BF259">
            <v>48838.065000000002</v>
          </cell>
          <cell r="BG259">
            <v>48401.656000000003</v>
          </cell>
          <cell r="BH259">
            <v>47980.038999999997</v>
          </cell>
          <cell r="BI259">
            <v>47582.461000000003</v>
          </cell>
          <cell r="BJ259">
            <v>47217.493000000002</v>
          </cell>
          <cell r="BK259">
            <v>46890.771999999997</v>
          </cell>
          <cell r="BL259">
            <v>46607.394999999997</v>
          </cell>
          <cell r="BM259">
            <v>46366.353000000003</v>
          </cell>
          <cell r="BN259">
            <v>46158.711000000003</v>
          </cell>
          <cell r="BO259">
            <v>45970.940999999999</v>
          </cell>
          <cell r="BP259">
            <v>45792.09</v>
          </cell>
          <cell r="BQ259">
            <v>45619.843999999997</v>
          </cell>
          <cell r="BR259">
            <v>45453.805999999997</v>
          </cell>
          <cell r="BS259">
            <v>45286.983</v>
          </cell>
          <cell r="BT259">
            <v>45111.531999999999</v>
          </cell>
          <cell r="BU259">
            <v>44921.639000000003</v>
          </cell>
          <cell r="BV259">
            <v>44713.701999999997</v>
          </cell>
          <cell r="BW259">
            <v>44487.709000000003</v>
          </cell>
          <cell r="BX259">
            <v>44246.156000000003</v>
          </cell>
        </row>
        <row r="260">
          <cell r="C260" t="str">
            <v>Northern Europe</v>
          </cell>
          <cell r="E260">
            <v>924</v>
          </cell>
          <cell r="F260" t="str">
            <v>Subregion</v>
          </cell>
          <cell r="G260">
            <v>917</v>
          </cell>
          <cell r="H260">
            <v>78007.06</v>
          </cell>
          <cell r="I260">
            <v>78199.456000000006</v>
          </cell>
          <cell r="J260">
            <v>78452.195000000007</v>
          </cell>
          <cell r="K260">
            <v>78750.767999999996</v>
          </cell>
          <cell r="L260">
            <v>79084.577999999994</v>
          </cell>
          <cell r="M260">
            <v>79447.028999999995</v>
          </cell>
          <cell r="N260">
            <v>79835.801000000007</v>
          </cell>
          <cell r="O260">
            <v>80252.629000000001</v>
          </cell>
          <cell r="P260">
            <v>80702.362999999998</v>
          </cell>
          <cell r="Q260">
            <v>81192.05</v>
          </cell>
          <cell r="R260">
            <v>81727.09</v>
          </cell>
          <cell r="S260">
            <v>82307.445999999996</v>
          </cell>
          <cell r="T260">
            <v>82924.171000000002</v>
          </cell>
          <cell r="U260">
            <v>83558.077999999994</v>
          </cell>
          <cell r="V260">
            <v>84183.656000000003</v>
          </cell>
          <cell r="W260">
            <v>84781.494000000006</v>
          </cell>
          <cell r="X260">
            <v>85343.392000000007</v>
          </cell>
          <cell r="Y260">
            <v>85869.953999999998</v>
          </cell>
          <cell r="Z260">
            <v>86361.341</v>
          </cell>
          <cell r="AA260">
            <v>86821.028999999995</v>
          </cell>
          <cell r="AB260">
            <v>87251.323000000004</v>
          </cell>
          <cell r="AC260">
            <v>87651.906000000003</v>
          </cell>
          <cell r="AD260">
            <v>88020.072</v>
          </cell>
          <cell r="AE260">
            <v>88353.957999999999</v>
          </cell>
          <cell r="AF260">
            <v>88651.415999999997</v>
          </cell>
          <cell r="AG260">
            <v>88911.986000000004</v>
          </cell>
          <cell r="AH260">
            <v>89136.562999999995</v>
          </cell>
          <cell r="AI260">
            <v>89329.226999999999</v>
          </cell>
          <cell r="AJ260">
            <v>89497.544999999998</v>
          </cell>
          <cell r="AK260">
            <v>89651.107999999993</v>
          </cell>
          <cell r="AL260">
            <v>89798.481</v>
          </cell>
          <cell r="AM260">
            <v>89940.514999999999</v>
          </cell>
          <cell r="AN260">
            <v>90080.078999999998</v>
          </cell>
          <cell r="AO260">
            <v>90229.316000000006</v>
          </cell>
          <cell r="AP260">
            <v>90403.146999999997</v>
          </cell>
          <cell r="AQ260">
            <v>90611.304999999993</v>
          </cell>
          <cell r="AR260">
            <v>90861.081000000006</v>
          </cell>
          <cell r="AS260">
            <v>91147.857999999993</v>
          </cell>
          <cell r="AT260">
            <v>91454.494999999995</v>
          </cell>
          <cell r="AU260">
            <v>91756.502999999997</v>
          </cell>
          <cell r="AV260">
            <v>92036.288</v>
          </cell>
          <cell r="AW260">
            <v>92289.116999999998</v>
          </cell>
          <cell r="AX260">
            <v>92521.209000000003</v>
          </cell>
          <cell r="AY260">
            <v>92739.448000000004</v>
          </cell>
          <cell r="AZ260">
            <v>92954.952000000005</v>
          </cell>
          <cell r="BA260">
            <v>93176.748000000007</v>
          </cell>
          <cell r="BB260">
            <v>93410.739000000001</v>
          </cell>
          <cell r="BC260">
            <v>93657.599000000002</v>
          </cell>
          <cell r="BD260">
            <v>93915.62</v>
          </cell>
          <cell r="BE260">
            <v>94181.05</v>
          </cell>
          <cell r="BF260">
            <v>94454.236000000004</v>
          </cell>
          <cell r="BG260">
            <v>94726.762000000002</v>
          </cell>
          <cell r="BH260">
            <v>95007.688999999998</v>
          </cell>
          <cell r="BI260">
            <v>95334.569000000003</v>
          </cell>
          <cell r="BJ260">
            <v>95757.239000000001</v>
          </cell>
          <cell r="BK260">
            <v>96307.385999999999</v>
          </cell>
          <cell r="BL260">
            <v>97002.483999999997</v>
          </cell>
          <cell r="BM260">
            <v>97821.221000000005</v>
          </cell>
          <cell r="BN260">
            <v>98708.407999999996</v>
          </cell>
          <cell r="BO260">
            <v>99586.385999999999</v>
          </cell>
          <cell r="BP260">
            <v>100398.31200000001</v>
          </cell>
          <cell r="BQ260">
            <v>101122.98299999999</v>
          </cell>
          <cell r="BR260">
            <v>101773.524</v>
          </cell>
          <cell r="BS260">
            <v>102369.084</v>
          </cell>
          <cell r="BT260">
            <v>102943.02899999999</v>
          </cell>
          <cell r="BU260">
            <v>103518.966</v>
          </cell>
          <cell r="BV260">
            <v>104100.663</v>
          </cell>
          <cell r="BW260">
            <v>104676.495</v>
          </cell>
          <cell r="BX260">
            <v>105237.105</v>
          </cell>
        </row>
        <row r="261">
          <cell r="C261" t="str">
            <v>Channel Islands</v>
          </cell>
          <cell r="D261">
            <v>17</v>
          </cell>
          <cell r="E261">
            <v>830</v>
          </cell>
          <cell r="F261" t="str">
            <v>Country</v>
          </cell>
          <cell r="G261">
            <v>924</v>
          </cell>
          <cell r="H261">
            <v>102.23399999999999</v>
          </cell>
          <cell r="I261">
            <v>102.967</v>
          </cell>
          <cell r="J261">
            <v>103.661</v>
          </cell>
          <cell r="K261">
            <v>104.32299999999999</v>
          </cell>
          <cell r="L261">
            <v>104.97199999999999</v>
          </cell>
          <cell r="M261">
            <v>105.60899999999999</v>
          </cell>
          <cell r="N261">
            <v>106.268</v>
          </cell>
          <cell r="O261">
            <v>106.968</v>
          </cell>
          <cell r="P261">
            <v>107.711</v>
          </cell>
          <cell r="Q261">
            <v>108.52500000000001</v>
          </cell>
          <cell r="R261">
            <v>109.42</v>
          </cell>
          <cell r="S261">
            <v>110.399</v>
          </cell>
          <cell r="T261">
            <v>111.45699999999999</v>
          </cell>
          <cell r="U261">
            <v>112.595</v>
          </cell>
          <cell r="V261">
            <v>113.773</v>
          </cell>
          <cell r="W261">
            <v>114.995</v>
          </cell>
          <cell r="X261">
            <v>116.227</v>
          </cell>
          <cell r="Y261">
            <v>117.474</v>
          </cell>
          <cell r="Z261">
            <v>118.726</v>
          </cell>
          <cell r="AA261">
            <v>119.97199999999999</v>
          </cell>
          <cell r="AB261">
            <v>121.197</v>
          </cell>
          <cell r="AC261">
            <v>122.413</v>
          </cell>
          <cell r="AD261">
            <v>123.614</v>
          </cell>
          <cell r="AE261">
            <v>124.72499999999999</v>
          </cell>
          <cell r="AF261">
            <v>125.682</v>
          </cell>
          <cell r="AG261">
            <v>126.41500000000001</v>
          </cell>
          <cell r="AH261">
            <v>126.902</v>
          </cell>
          <cell r="AI261">
            <v>127.18300000000001</v>
          </cell>
          <cell r="AJ261">
            <v>127.39</v>
          </cell>
          <cell r="AK261">
            <v>127.69199999999999</v>
          </cell>
          <cell r="AL261">
            <v>128.21199999999999</v>
          </cell>
          <cell r="AM261">
            <v>128.982</v>
          </cell>
          <cell r="AN261">
            <v>129.97900000000001</v>
          </cell>
          <cell r="AO261">
            <v>131.149</v>
          </cell>
          <cell r="AP261">
            <v>132.446</v>
          </cell>
          <cell r="AQ261">
            <v>133.80799999999999</v>
          </cell>
          <cell r="AR261">
            <v>135.249</v>
          </cell>
          <cell r="AS261">
            <v>136.762</v>
          </cell>
          <cell r="AT261">
            <v>138.245</v>
          </cell>
          <cell r="AU261">
            <v>139.57300000000001</v>
          </cell>
          <cell r="AV261">
            <v>140.67099999999999</v>
          </cell>
          <cell r="AW261">
            <v>141.46700000000001</v>
          </cell>
          <cell r="AX261">
            <v>142.006</v>
          </cell>
          <cell r="AY261">
            <v>142.41499999999999</v>
          </cell>
          <cell r="AZ261">
            <v>142.863</v>
          </cell>
          <cell r="BA261">
            <v>143.48400000000001</v>
          </cell>
          <cell r="BB261">
            <v>144.33500000000001</v>
          </cell>
          <cell r="BC261">
            <v>145.37299999999999</v>
          </cell>
          <cell r="BD261">
            <v>146.49799999999999</v>
          </cell>
          <cell r="BE261">
            <v>147.55500000000001</v>
          </cell>
          <cell r="BF261">
            <v>148.44300000000001</v>
          </cell>
          <cell r="BG261">
            <v>149.09700000000001</v>
          </cell>
          <cell r="BH261">
            <v>149.596</v>
          </cell>
          <cell r="BI261">
            <v>150.06800000000001</v>
          </cell>
          <cell r="BJ261">
            <v>150.71600000000001</v>
          </cell>
          <cell r="BK261">
            <v>151.678</v>
          </cell>
          <cell r="BL261">
            <v>153.00800000000001</v>
          </cell>
          <cell r="BM261">
            <v>154.636</v>
          </cell>
          <cell r="BN261">
            <v>156.43299999999999</v>
          </cell>
          <cell r="BO261">
            <v>158.178</v>
          </cell>
          <cell r="BP261">
            <v>159.73400000000001</v>
          </cell>
          <cell r="BQ261">
            <v>160.99799999999999</v>
          </cell>
          <cell r="BR261">
            <v>162.05600000000001</v>
          </cell>
          <cell r="BS261">
            <v>163.03800000000001</v>
          </cell>
          <cell r="BT261">
            <v>164.1</v>
          </cell>
          <cell r="BU261">
            <v>165.38499999999999</v>
          </cell>
          <cell r="BV261">
            <v>166.923</v>
          </cell>
          <cell r="BW261">
            <v>168.66499999999999</v>
          </cell>
          <cell r="BX261">
            <v>170.499</v>
          </cell>
        </row>
        <row r="262">
          <cell r="C262" t="str">
            <v>Denmark</v>
          </cell>
          <cell r="E262">
            <v>208</v>
          </cell>
          <cell r="F262" t="str">
            <v>Country</v>
          </cell>
          <cell r="G262">
            <v>924</v>
          </cell>
          <cell r="H262">
            <v>4268.2709999999997</v>
          </cell>
          <cell r="I262">
            <v>4308.9210000000003</v>
          </cell>
          <cell r="J262">
            <v>4346.1819999999998</v>
          </cell>
          <cell r="K262">
            <v>4380.3010000000004</v>
          </cell>
          <cell r="L262">
            <v>4411.6570000000002</v>
          </cell>
          <cell r="M262">
            <v>4440.7780000000002</v>
          </cell>
          <cell r="N262">
            <v>4468.3459999999995</v>
          </cell>
          <cell r="O262">
            <v>4495.2209999999995</v>
          </cell>
          <cell r="P262">
            <v>4522.3339999999998</v>
          </cell>
          <cell r="Q262">
            <v>4550.6819999999998</v>
          </cell>
          <cell r="R262">
            <v>4581.1009999999997</v>
          </cell>
          <cell r="S262">
            <v>4614.027</v>
          </cell>
          <cell r="T262">
            <v>4649.3459999999995</v>
          </cell>
          <cell r="U262">
            <v>4686.2790000000005</v>
          </cell>
          <cell r="V262">
            <v>4723.6289999999999</v>
          </cell>
          <cell r="W262">
            <v>4760.46</v>
          </cell>
          <cell r="X262">
            <v>4796.4870000000001</v>
          </cell>
          <cell r="Y262">
            <v>4831.7520000000004</v>
          </cell>
          <cell r="Z262">
            <v>4866.0680000000002</v>
          </cell>
          <cell r="AA262">
            <v>4899.2910000000002</v>
          </cell>
          <cell r="AB262">
            <v>4931.241</v>
          </cell>
          <cell r="AC262">
            <v>4961.7619999999997</v>
          </cell>
          <cell r="AD262">
            <v>4990.5460000000003</v>
          </cell>
          <cell r="AE262">
            <v>5017.2479999999996</v>
          </cell>
          <cell r="AF262">
            <v>5041.4189999999999</v>
          </cell>
          <cell r="AG262">
            <v>5062.7290000000003</v>
          </cell>
          <cell r="AH262">
            <v>5081.2669999999998</v>
          </cell>
          <cell r="AI262">
            <v>5097.0450000000001</v>
          </cell>
          <cell r="AJ262">
            <v>5109.6899999999996</v>
          </cell>
          <cell r="AK262">
            <v>5118.7070000000003</v>
          </cell>
          <cell r="AL262">
            <v>5123.9449999999997</v>
          </cell>
          <cell r="AM262">
            <v>5125.2979999999998</v>
          </cell>
          <cell r="AN262">
            <v>5123.3490000000002</v>
          </cell>
          <cell r="AO262">
            <v>5119.607</v>
          </cell>
          <cell r="AP262">
            <v>5116.058</v>
          </cell>
          <cell r="AQ262">
            <v>5114.2430000000004</v>
          </cell>
          <cell r="AR262">
            <v>5114.6570000000002</v>
          </cell>
          <cell r="AS262">
            <v>5117.277</v>
          </cell>
          <cell r="AT262">
            <v>5122.4409999999998</v>
          </cell>
          <cell r="AU262">
            <v>5130.3609999999999</v>
          </cell>
          <cell r="AV262">
            <v>5141.1149999999998</v>
          </cell>
          <cell r="AW262">
            <v>5154.9080000000004</v>
          </cell>
          <cell r="AX262">
            <v>5171.6499999999996</v>
          </cell>
          <cell r="AY262">
            <v>5190.7420000000002</v>
          </cell>
          <cell r="AZ262">
            <v>5211.3339999999998</v>
          </cell>
          <cell r="BA262">
            <v>5232.7039999999997</v>
          </cell>
          <cell r="BB262">
            <v>5254.86</v>
          </cell>
          <cell r="BC262">
            <v>5277.7110000000002</v>
          </cell>
          <cell r="BD262">
            <v>5300.3789999999999</v>
          </cell>
          <cell r="BE262">
            <v>5321.7740000000003</v>
          </cell>
          <cell r="BF262">
            <v>5341.1940000000004</v>
          </cell>
          <cell r="BG262">
            <v>5358.0619999999999</v>
          </cell>
          <cell r="BH262">
            <v>5372.8010000000004</v>
          </cell>
          <cell r="BI262">
            <v>5386.9679999999998</v>
          </cell>
          <cell r="BJ262">
            <v>5402.7610000000004</v>
          </cell>
          <cell r="BK262">
            <v>5421.7020000000002</v>
          </cell>
          <cell r="BL262">
            <v>5444.2860000000001</v>
          </cell>
          <cell r="BM262">
            <v>5469.9210000000003</v>
          </cell>
          <cell r="BN262">
            <v>5497.7290000000003</v>
          </cell>
          <cell r="BO262">
            <v>5526.3879999999999</v>
          </cell>
          <cell r="BP262">
            <v>5554.8440000000001</v>
          </cell>
          <cell r="BQ262">
            <v>5582.9780000000001</v>
          </cell>
          <cell r="BR262">
            <v>5610.9030000000002</v>
          </cell>
          <cell r="BS262">
            <v>5638.1450000000004</v>
          </cell>
          <cell r="BT262">
            <v>5664.1959999999999</v>
          </cell>
          <cell r="BU262">
            <v>5688.6949999999997</v>
          </cell>
          <cell r="BV262">
            <v>5711.3490000000002</v>
          </cell>
          <cell r="BW262">
            <v>5732.2740000000003</v>
          </cell>
          <cell r="BX262">
            <v>5752.1260000000002</v>
          </cell>
        </row>
        <row r="263">
          <cell r="C263" t="str">
            <v>Estonia</v>
          </cell>
          <cell r="E263">
            <v>233</v>
          </cell>
          <cell r="F263" t="str">
            <v>Country</v>
          </cell>
          <cell r="G263">
            <v>924</v>
          </cell>
          <cell r="H263">
            <v>1100.9949999999999</v>
          </cell>
          <cell r="I263">
            <v>1113.2470000000001</v>
          </cell>
          <cell r="J263">
            <v>1125.24</v>
          </cell>
          <cell r="K263">
            <v>1136.904</v>
          </cell>
          <cell r="L263">
            <v>1148.213</v>
          </cell>
          <cell r="M263">
            <v>1159.231</v>
          </cell>
          <cell r="N263">
            <v>1170.1010000000001</v>
          </cell>
          <cell r="O263">
            <v>1181.019</v>
          </cell>
          <cell r="P263">
            <v>1192.2529999999999</v>
          </cell>
          <cell r="Q263">
            <v>1204.1079999999999</v>
          </cell>
          <cell r="R263">
            <v>1216.819</v>
          </cell>
          <cell r="S263">
            <v>1230.499</v>
          </cell>
          <cell r="T263">
            <v>1245.076</v>
          </cell>
          <cell r="U263">
            <v>1260.213</v>
          </cell>
          <cell r="V263">
            <v>1275.4369999999999</v>
          </cell>
          <cell r="W263">
            <v>1290.396</v>
          </cell>
          <cell r="X263">
            <v>1304.9870000000001</v>
          </cell>
          <cell r="Y263">
            <v>1319.2449999999999</v>
          </cell>
          <cell r="Z263">
            <v>1333.1759999999999</v>
          </cell>
          <cell r="AA263">
            <v>1346.818</v>
          </cell>
          <cell r="AB263">
            <v>1360.202</v>
          </cell>
          <cell r="AC263">
            <v>1373.307</v>
          </cell>
          <cell r="AD263">
            <v>1386.067</v>
          </cell>
          <cell r="AE263">
            <v>1398.471</v>
          </cell>
          <cell r="AF263">
            <v>1410.4670000000001</v>
          </cell>
          <cell r="AG263">
            <v>1422.0429999999999</v>
          </cell>
          <cell r="AH263">
            <v>1433.1790000000001</v>
          </cell>
          <cell r="AI263">
            <v>1443.89</v>
          </cell>
          <cell r="AJ263">
            <v>1454.2729999999999</v>
          </cell>
          <cell r="AK263">
            <v>1464.4190000000001</v>
          </cell>
          <cell r="AL263">
            <v>1474.4390000000001</v>
          </cell>
          <cell r="AM263">
            <v>1483.877</v>
          </cell>
          <cell r="AN263">
            <v>1492.6420000000001</v>
          </cell>
          <cell r="AO263">
            <v>1501.422</v>
          </cell>
          <cell r="AP263">
            <v>1511.201</v>
          </cell>
          <cell r="AQ263">
            <v>1522.4</v>
          </cell>
          <cell r="AR263">
            <v>1536.0360000000001</v>
          </cell>
          <cell r="AS263">
            <v>1551.211</v>
          </cell>
          <cell r="AT263">
            <v>1564.194</v>
          </cell>
          <cell r="AU263">
            <v>1569.973</v>
          </cell>
          <cell r="AV263">
            <v>1565.2460000000001</v>
          </cell>
          <cell r="AW263">
            <v>1548.2190000000001</v>
          </cell>
          <cell r="AX263">
            <v>1520.8130000000001</v>
          </cell>
          <cell r="AY263">
            <v>1488.0609999999999</v>
          </cell>
          <cell r="AZ263">
            <v>1457.0930000000001</v>
          </cell>
          <cell r="BA263">
            <v>1433.0239999999999</v>
          </cell>
          <cell r="BB263">
            <v>1417.7360000000001</v>
          </cell>
          <cell r="BC263">
            <v>1409.673</v>
          </cell>
          <cell r="BD263">
            <v>1406.3489999999999</v>
          </cell>
          <cell r="BE263">
            <v>1403.789</v>
          </cell>
          <cell r="BF263">
            <v>1399.1120000000001</v>
          </cell>
          <cell r="BG263">
            <v>1391.73</v>
          </cell>
          <cell r="BH263">
            <v>1382.732</v>
          </cell>
          <cell r="BI263">
            <v>1372.9090000000001</v>
          </cell>
          <cell r="BJ263">
            <v>1363.5650000000001</v>
          </cell>
          <cell r="BK263">
            <v>1355.6479999999999</v>
          </cell>
          <cell r="BL263">
            <v>1349.3630000000001</v>
          </cell>
          <cell r="BM263">
            <v>1344.296</v>
          </cell>
          <cell r="BN263">
            <v>1340.0730000000001</v>
          </cell>
          <cell r="BO263">
            <v>1336.135</v>
          </cell>
          <cell r="BP263">
            <v>1332.1010000000001</v>
          </cell>
          <cell r="BQ263">
            <v>1327.7090000000001</v>
          </cell>
          <cell r="BR263">
            <v>1323.1590000000001</v>
          </cell>
          <cell r="BS263">
            <v>1319.0619999999999</v>
          </cell>
          <cell r="BT263">
            <v>1316.277</v>
          </cell>
          <cell r="BU263">
            <v>1315.325</v>
          </cell>
          <cell r="BV263">
            <v>1316.51</v>
          </cell>
          <cell r="BW263">
            <v>1319.39</v>
          </cell>
          <cell r="BX263">
            <v>1322.92</v>
          </cell>
        </row>
        <row r="264">
          <cell r="C264" t="str">
            <v>Faroe Islands</v>
          </cell>
          <cell r="E264">
            <v>234</v>
          </cell>
          <cell r="F264" t="str">
            <v>Country</v>
          </cell>
          <cell r="G264">
            <v>924</v>
          </cell>
          <cell r="H264">
            <v>31.503</v>
          </cell>
          <cell r="I264">
            <v>31.538</v>
          </cell>
          <cell r="J264">
            <v>31.664999999999999</v>
          </cell>
          <cell r="K264">
            <v>31.867999999999999</v>
          </cell>
          <cell r="L264">
            <v>32.146999999999998</v>
          </cell>
          <cell r="M264">
            <v>32.481000000000002</v>
          </cell>
          <cell r="N264">
            <v>32.856000000000002</v>
          </cell>
          <cell r="O264">
            <v>33.276000000000003</v>
          </cell>
          <cell r="P264">
            <v>33.713999999999999</v>
          </cell>
          <cell r="Q264">
            <v>34.164999999999999</v>
          </cell>
          <cell r="R264">
            <v>34.615000000000002</v>
          </cell>
          <cell r="S264">
            <v>35.076000000000001</v>
          </cell>
          <cell r="T264">
            <v>35.524000000000001</v>
          </cell>
          <cell r="U264">
            <v>35.969000000000001</v>
          </cell>
          <cell r="V264">
            <v>36.405999999999999</v>
          </cell>
          <cell r="W264">
            <v>36.847000000000001</v>
          </cell>
          <cell r="X264">
            <v>37.277999999999999</v>
          </cell>
          <cell r="Y264">
            <v>37.704999999999998</v>
          </cell>
          <cell r="Z264">
            <v>38.124000000000002</v>
          </cell>
          <cell r="AA264">
            <v>38.57</v>
          </cell>
          <cell r="AB264">
            <v>39.009</v>
          </cell>
          <cell r="AC264">
            <v>39.457999999999998</v>
          </cell>
          <cell r="AD264">
            <v>39.924999999999997</v>
          </cell>
          <cell r="AE264">
            <v>40.387</v>
          </cell>
          <cell r="AF264">
            <v>40.85</v>
          </cell>
          <cell r="AG264">
            <v>41.298999999999999</v>
          </cell>
          <cell r="AH264">
            <v>41.722000000000001</v>
          </cell>
          <cell r="AI264">
            <v>42.134</v>
          </cell>
          <cell r="AJ264">
            <v>42.537999999999997</v>
          </cell>
          <cell r="AK264">
            <v>42.936</v>
          </cell>
          <cell r="AL264">
            <v>43.337000000000003</v>
          </cell>
          <cell r="AM264">
            <v>43.725000000000001</v>
          </cell>
          <cell r="AN264">
            <v>44.107999999999997</v>
          </cell>
          <cell r="AO264">
            <v>44.488</v>
          </cell>
          <cell r="AP264">
            <v>44.890999999999998</v>
          </cell>
          <cell r="AQ264">
            <v>45.33</v>
          </cell>
          <cell r="AR264">
            <v>45.817999999999998</v>
          </cell>
          <cell r="AS264">
            <v>46.348999999999997</v>
          </cell>
          <cell r="AT264">
            <v>46.83</v>
          </cell>
          <cell r="AU264">
            <v>47.165999999999997</v>
          </cell>
          <cell r="AV264">
            <v>47.274000000000001</v>
          </cell>
          <cell r="AW264">
            <v>47.12</v>
          </cell>
          <cell r="AX264">
            <v>46.738999999999997</v>
          </cell>
          <cell r="AY264">
            <v>46.265999999999998</v>
          </cell>
          <cell r="AZ264">
            <v>45.856000000000002</v>
          </cell>
          <cell r="BA264">
            <v>45.625</v>
          </cell>
          <cell r="BB264">
            <v>45.615000000000002</v>
          </cell>
          <cell r="BC264">
            <v>45.795999999999999</v>
          </cell>
          <cell r="BD264">
            <v>46.095999999999997</v>
          </cell>
          <cell r="BE264">
            <v>46.436</v>
          </cell>
          <cell r="BF264">
            <v>46.734999999999999</v>
          </cell>
          <cell r="BG264">
            <v>46.997</v>
          </cell>
          <cell r="BH264">
            <v>47.232999999999997</v>
          </cell>
          <cell r="BI264">
            <v>47.432000000000002</v>
          </cell>
          <cell r="BJ264">
            <v>47.6</v>
          </cell>
          <cell r="BK264">
            <v>47.722000000000001</v>
          </cell>
          <cell r="BL264">
            <v>47.792000000000002</v>
          </cell>
          <cell r="BM264">
            <v>47.825000000000003</v>
          </cell>
          <cell r="BN264">
            <v>47.82</v>
          </cell>
          <cell r="BO264">
            <v>47.808</v>
          </cell>
          <cell r="BP264">
            <v>47.814</v>
          </cell>
          <cell r="BQ264">
            <v>47.823</v>
          </cell>
          <cell r="BR264">
            <v>47.843000000000004</v>
          </cell>
          <cell r="BS264">
            <v>47.892000000000003</v>
          </cell>
          <cell r="BT264">
            <v>47.96</v>
          </cell>
          <cell r="BU264">
            <v>48.051000000000002</v>
          </cell>
          <cell r="BV264">
            <v>48.173000000000002</v>
          </cell>
          <cell r="BW264">
            <v>48.331000000000003</v>
          </cell>
          <cell r="BX264">
            <v>48.497</v>
          </cell>
        </row>
        <row r="265">
          <cell r="C265" t="str">
            <v>Finland</v>
          </cell>
          <cell r="D265">
            <v>18</v>
          </cell>
          <cell r="E265">
            <v>246</v>
          </cell>
          <cell r="F265" t="str">
            <v>Country</v>
          </cell>
          <cell r="G265">
            <v>924</v>
          </cell>
          <cell r="H265">
            <v>4008.2939999999999</v>
          </cell>
          <cell r="I265">
            <v>4050.4920000000002</v>
          </cell>
          <cell r="J265">
            <v>4096.5540000000001</v>
          </cell>
          <cell r="K265">
            <v>4144.2969999999996</v>
          </cell>
          <cell r="L265">
            <v>4191.9790000000003</v>
          </cell>
          <cell r="M265">
            <v>4238.2749999999996</v>
          </cell>
          <cell r="N265">
            <v>4282.3789999999999</v>
          </cell>
          <cell r="O265">
            <v>4323.9210000000003</v>
          </cell>
          <cell r="P265">
            <v>4362.9129999999996</v>
          </cell>
          <cell r="Q265">
            <v>4399.674</v>
          </cell>
          <cell r="R265">
            <v>4434.59</v>
          </cell>
          <cell r="S265">
            <v>4467.7730000000001</v>
          </cell>
          <cell r="T265">
            <v>4498.817</v>
          </cell>
          <cell r="U265">
            <v>4526.7460000000001</v>
          </cell>
          <cell r="V265">
            <v>4550.2389999999996</v>
          </cell>
          <cell r="W265">
            <v>4568.598</v>
          </cell>
          <cell r="X265">
            <v>4581.1149999999998</v>
          </cell>
          <cell r="Y265">
            <v>4588.6559999999999</v>
          </cell>
          <cell r="Z265">
            <v>4594.0240000000003</v>
          </cell>
          <cell r="AA265">
            <v>4601.0330000000004</v>
          </cell>
          <cell r="AB265">
            <v>4612.366</v>
          </cell>
          <cell r="AC265">
            <v>4629.38</v>
          </cell>
          <cell r="AD265">
            <v>4651.1719999999996</v>
          </cell>
          <cell r="AE265">
            <v>4675.4560000000001</v>
          </cell>
          <cell r="AF265">
            <v>4698.7790000000005</v>
          </cell>
          <cell r="AG265">
            <v>4718.7489999999998</v>
          </cell>
          <cell r="AH265">
            <v>4734.4369999999999</v>
          </cell>
          <cell r="AI265">
            <v>4746.9319999999998</v>
          </cell>
          <cell r="AJ265">
            <v>4758.2520000000004</v>
          </cell>
          <cell r="AK265">
            <v>4771.3450000000003</v>
          </cell>
          <cell r="AL265">
            <v>4788.2430000000004</v>
          </cell>
          <cell r="AM265">
            <v>4809.8130000000001</v>
          </cell>
          <cell r="AN265">
            <v>4835.1000000000004</v>
          </cell>
          <cell r="AO265">
            <v>4862.1779999999999</v>
          </cell>
          <cell r="AP265">
            <v>4888.2039999999997</v>
          </cell>
          <cell r="AQ265">
            <v>4911.22</v>
          </cell>
          <cell r="AR265">
            <v>4930.3410000000003</v>
          </cell>
          <cell r="AS265">
            <v>4946.3729999999996</v>
          </cell>
          <cell r="AT265">
            <v>4961.0870000000004</v>
          </cell>
          <cell r="AU265">
            <v>4977.1149999999998</v>
          </cell>
          <cell r="AV265">
            <v>4996.2219999999998</v>
          </cell>
          <cell r="AW265">
            <v>5019.125</v>
          </cell>
          <cell r="AX265">
            <v>5044.9250000000002</v>
          </cell>
          <cell r="AY265">
            <v>5071.7889999999998</v>
          </cell>
          <cell r="AZ265">
            <v>5097.0969999999998</v>
          </cell>
          <cell r="BA265">
            <v>5119.0050000000001</v>
          </cell>
          <cell r="BB265">
            <v>5136.9790000000003</v>
          </cell>
          <cell r="BC265">
            <v>5151.7460000000001</v>
          </cell>
          <cell r="BD265">
            <v>5164.2420000000002</v>
          </cell>
          <cell r="BE265">
            <v>5175.9260000000004</v>
          </cell>
          <cell r="BF265">
            <v>5187.9539999999997</v>
          </cell>
          <cell r="BG265">
            <v>5200.4769999999999</v>
          </cell>
          <cell r="BH265">
            <v>5213.366</v>
          </cell>
          <cell r="BI265">
            <v>5227.0929999999998</v>
          </cell>
          <cell r="BJ265">
            <v>5242.17</v>
          </cell>
          <cell r="BK265">
            <v>5258.9269999999997</v>
          </cell>
          <cell r="BL265">
            <v>5277.491</v>
          </cell>
          <cell r="BM265">
            <v>5297.7389999999996</v>
          </cell>
          <cell r="BN265">
            <v>5319.4489999999996</v>
          </cell>
          <cell r="BO265">
            <v>5342.2619999999997</v>
          </cell>
          <cell r="BP265">
            <v>5365.7820000000002</v>
          </cell>
          <cell r="BQ265">
            <v>5390.0379999999996</v>
          </cell>
          <cell r="BR265">
            <v>5414.77</v>
          </cell>
          <cell r="BS265">
            <v>5438.982</v>
          </cell>
          <cell r="BT265">
            <v>5461.4110000000001</v>
          </cell>
          <cell r="BU265">
            <v>5481.1220000000003</v>
          </cell>
          <cell r="BV265">
            <v>5497.7129999999997</v>
          </cell>
          <cell r="BW265">
            <v>5511.3710000000001</v>
          </cell>
          <cell r="BX265">
            <v>5522.576</v>
          </cell>
        </row>
        <row r="266">
          <cell r="C266" t="str">
            <v>Iceland</v>
          </cell>
          <cell r="E266">
            <v>352</v>
          </cell>
          <cell r="F266" t="str">
            <v>Country</v>
          </cell>
          <cell r="G266">
            <v>924</v>
          </cell>
          <cell r="H266">
            <v>142.65899999999999</v>
          </cell>
          <cell r="I266">
            <v>144.94200000000001</v>
          </cell>
          <cell r="J266">
            <v>147.70599999999999</v>
          </cell>
          <cell r="K266">
            <v>150.82</v>
          </cell>
          <cell r="L266">
            <v>154.15700000000001</v>
          </cell>
          <cell r="M266">
            <v>157.642</v>
          </cell>
          <cell r="N266">
            <v>161.19800000000001</v>
          </cell>
          <cell r="O266">
            <v>164.78800000000001</v>
          </cell>
          <cell r="P266">
            <v>168.387</v>
          </cell>
          <cell r="Q266">
            <v>171.99100000000001</v>
          </cell>
          <cell r="R266">
            <v>175.59200000000001</v>
          </cell>
          <cell r="S266">
            <v>179.18299999999999</v>
          </cell>
          <cell r="T266">
            <v>182.71100000000001</v>
          </cell>
          <cell r="U266">
            <v>186.124</v>
          </cell>
          <cell r="V266">
            <v>189.33799999999999</v>
          </cell>
          <cell r="W266">
            <v>192.31299999999999</v>
          </cell>
          <cell r="X266">
            <v>194.99</v>
          </cell>
          <cell r="Y266">
            <v>197.40100000000001</v>
          </cell>
          <cell r="Z266">
            <v>199.66900000000001</v>
          </cell>
          <cell r="AA266">
            <v>201.97399999999999</v>
          </cell>
          <cell r="AB266">
            <v>204.42599999999999</v>
          </cell>
          <cell r="AC266">
            <v>207.08799999999999</v>
          </cell>
          <cell r="AD266">
            <v>209.929</v>
          </cell>
          <cell r="AE266">
            <v>212.81399999999999</v>
          </cell>
          <cell r="AF266">
            <v>215.56299999999999</v>
          </cell>
          <cell r="AG266">
            <v>218.07</v>
          </cell>
          <cell r="AH266">
            <v>220.291</v>
          </cell>
          <cell r="AI266">
            <v>222.26599999999999</v>
          </cell>
          <cell r="AJ266">
            <v>224.15</v>
          </cell>
          <cell r="AK266">
            <v>226.10300000000001</v>
          </cell>
          <cell r="AL266">
            <v>228.262</v>
          </cell>
          <cell r="AM266">
            <v>230.66399999999999</v>
          </cell>
          <cell r="AN266">
            <v>233.26900000000001</v>
          </cell>
          <cell r="AO266">
            <v>236.01900000000001</v>
          </cell>
          <cell r="AP266">
            <v>238.80799999999999</v>
          </cell>
          <cell r="AQ266">
            <v>241.58199999999999</v>
          </cell>
          <cell r="AR266">
            <v>244.33099999999999</v>
          </cell>
          <cell r="AS266">
            <v>247.05600000000001</v>
          </cell>
          <cell r="AT266">
            <v>249.756</v>
          </cell>
          <cell r="AU266">
            <v>252.41300000000001</v>
          </cell>
          <cell r="AV266">
            <v>255.04300000000001</v>
          </cell>
          <cell r="AW266">
            <v>257.62400000000002</v>
          </cell>
          <cell r="AX266">
            <v>260.15100000000001</v>
          </cell>
          <cell r="AY266">
            <v>262.65600000000001</v>
          </cell>
          <cell r="AZ266">
            <v>265.13799999999998</v>
          </cell>
          <cell r="BA266">
            <v>267.62900000000002</v>
          </cell>
          <cell r="BB266">
            <v>270.14999999999998</v>
          </cell>
          <cell r="BC266">
            <v>272.709</v>
          </cell>
          <cell r="BD266">
            <v>275.29599999999999</v>
          </cell>
          <cell r="BE266">
            <v>277.87</v>
          </cell>
          <cell r="BF266">
            <v>280.435</v>
          </cell>
          <cell r="BG266">
            <v>282.90699999999998</v>
          </cell>
          <cell r="BH266">
            <v>285.32900000000001</v>
          </cell>
          <cell r="BI266">
            <v>287.952</v>
          </cell>
          <cell r="BJ266">
            <v>291.10399999999998</v>
          </cell>
          <cell r="BK266">
            <v>294.97899999999998</v>
          </cell>
          <cell r="BL266">
            <v>299.72000000000003</v>
          </cell>
          <cell r="BM266">
            <v>305.18299999999999</v>
          </cell>
          <cell r="BN266">
            <v>310.85599999999999</v>
          </cell>
          <cell r="BO266">
            <v>316.06200000000001</v>
          </cell>
          <cell r="BP266">
            <v>320.32799999999997</v>
          </cell>
          <cell r="BQ266">
            <v>323.47399999999999</v>
          </cell>
          <cell r="BR266">
            <v>325.65199999999999</v>
          </cell>
          <cell r="BS266">
            <v>327.18700000000001</v>
          </cell>
          <cell r="BT266">
            <v>328.59399999999999</v>
          </cell>
          <cell r="BU266">
            <v>330.24299999999999</v>
          </cell>
          <cell r="BV266">
            <v>332.20600000000002</v>
          </cell>
          <cell r="BW266">
            <v>334.39299999999997</v>
          </cell>
          <cell r="BX266">
            <v>336.71300000000002</v>
          </cell>
        </row>
        <row r="267">
          <cell r="C267" t="str">
            <v>Ireland</v>
          </cell>
          <cell r="E267">
            <v>372</v>
          </cell>
          <cell r="F267" t="str">
            <v>Country</v>
          </cell>
          <cell r="G267">
            <v>924</v>
          </cell>
          <cell r="H267">
            <v>2912.68</v>
          </cell>
          <cell r="I267">
            <v>2912.6080000000002</v>
          </cell>
          <cell r="J267">
            <v>2909.0509999999999</v>
          </cell>
          <cell r="K267">
            <v>2901.3180000000002</v>
          </cell>
          <cell r="L267">
            <v>2889.28</v>
          </cell>
          <cell r="M267">
            <v>2873.415</v>
          </cell>
          <cell r="N267">
            <v>2854.777</v>
          </cell>
          <cell r="O267">
            <v>2835.0569999999998</v>
          </cell>
          <cell r="P267">
            <v>2816.3510000000001</v>
          </cell>
          <cell r="Q267">
            <v>2801.0909999999999</v>
          </cell>
          <cell r="R267">
            <v>2791.3969999999999</v>
          </cell>
          <cell r="S267">
            <v>2788.5309999999999</v>
          </cell>
          <cell r="T267">
            <v>2792.3739999999998</v>
          </cell>
          <cell r="U267">
            <v>2801.1840000000002</v>
          </cell>
          <cell r="V267">
            <v>2812.2240000000002</v>
          </cell>
          <cell r="W267">
            <v>2823.65</v>
          </cell>
          <cell r="X267">
            <v>2834.6819999999998</v>
          </cell>
          <cell r="Y267">
            <v>2846.3470000000002</v>
          </cell>
          <cell r="Z267">
            <v>2860.7269999999999</v>
          </cell>
          <cell r="AA267">
            <v>2880.7640000000001</v>
          </cell>
          <cell r="AB267">
            <v>2908.4209999999998</v>
          </cell>
          <cell r="AC267">
            <v>2944.0880000000002</v>
          </cell>
          <cell r="AD267">
            <v>2986.5659999999998</v>
          </cell>
          <cell r="AE267">
            <v>3034.319</v>
          </cell>
          <cell r="AF267">
            <v>3085.1559999999999</v>
          </cell>
          <cell r="AG267">
            <v>3137.1759999999999</v>
          </cell>
          <cell r="AH267">
            <v>3189.8649999999998</v>
          </cell>
          <cell r="AI267">
            <v>3242.768</v>
          </cell>
          <cell r="AJ267">
            <v>3294.1610000000001</v>
          </cell>
          <cell r="AK267">
            <v>3342.0050000000001</v>
          </cell>
          <cell r="AL267">
            <v>3384.7559999999999</v>
          </cell>
          <cell r="AM267">
            <v>3422.018</v>
          </cell>
          <cell r="AN267">
            <v>3453.7860000000001</v>
          </cell>
          <cell r="AO267">
            <v>3479.4580000000001</v>
          </cell>
          <cell r="AP267">
            <v>3498.53</v>
          </cell>
          <cell r="AQ267">
            <v>3510.9789999999998</v>
          </cell>
          <cell r="AR267">
            <v>3516.422</v>
          </cell>
          <cell r="AS267">
            <v>3515.828</v>
          </cell>
          <cell r="AT267">
            <v>3512.1849999999999</v>
          </cell>
          <cell r="AU267">
            <v>3509.5189999999998</v>
          </cell>
          <cell r="AV267">
            <v>3510.8850000000002</v>
          </cell>
          <cell r="AW267">
            <v>3517.71</v>
          </cell>
          <cell r="AX267">
            <v>3529.8530000000001</v>
          </cell>
          <cell r="AY267">
            <v>3546.931</v>
          </cell>
          <cell r="AZ267">
            <v>3567.9119999999998</v>
          </cell>
          <cell r="BA267">
            <v>3592.1860000000001</v>
          </cell>
          <cell r="BB267">
            <v>3619.6410000000001</v>
          </cell>
          <cell r="BC267">
            <v>3651.096</v>
          </cell>
          <cell r="BD267">
            <v>3687.819</v>
          </cell>
          <cell r="BE267">
            <v>3731.4679999999998</v>
          </cell>
          <cell r="BF267">
            <v>3783.1030000000001</v>
          </cell>
          <cell r="BG267">
            <v>3842.2449999999999</v>
          </cell>
          <cell r="BH267">
            <v>3907.998</v>
          </cell>
          <cell r="BI267">
            <v>3980.076</v>
          </cell>
          <cell r="BJ267">
            <v>4058.13</v>
          </cell>
          <cell r="BK267">
            <v>4141.223</v>
          </cell>
          <cell r="BL267">
            <v>4230.6229999999996</v>
          </cell>
          <cell r="BM267">
            <v>4324.6409999999996</v>
          </cell>
          <cell r="BN267">
            <v>4415.8720000000003</v>
          </cell>
          <cell r="BO267">
            <v>4494.576</v>
          </cell>
          <cell r="BP267">
            <v>4554.3209999999999</v>
          </cell>
          <cell r="BQ267">
            <v>4591.1049999999996</v>
          </cell>
          <cell r="BR267">
            <v>4608.1980000000003</v>
          </cell>
          <cell r="BS267">
            <v>4615.4219999999996</v>
          </cell>
          <cell r="BT267">
            <v>4626.8440000000001</v>
          </cell>
          <cell r="BU267">
            <v>4652.4250000000002</v>
          </cell>
          <cell r="BV267">
            <v>4695.7790000000005</v>
          </cell>
          <cell r="BW267">
            <v>4753.2790000000005</v>
          </cell>
          <cell r="BX267">
            <v>4818.6899999999996</v>
          </cell>
        </row>
        <row r="268">
          <cell r="C268" t="str">
            <v>Isle of Man</v>
          </cell>
          <cell r="E268">
            <v>833</v>
          </cell>
          <cell r="F268" t="str">
            <v>Country</v>
          </cell>
          <cell r="G268">
            <v>924</v>
          </cell>
          <cell r="H268">
            <v>55.253999999999998</v>
          </cell>
          <cell r="I268">
            <v>55.222000000000001</v>
          </cell>
          <cell r="J268">
            <v>54.851999999999997</v>
          </cell>
          <cell r="K268">
            <v>54.207999999999998</v>
          </cell>
          <cell r="L268">
            <v>53.366999999999997</v>
          </cell>
          <cell r="M268">
            <v>52.408000000000001</v>
          </cell>
          <cell r="N268">
            <v>51.401000000000003</v>
          </cell>
          <cell r="O268">
            <v>50.429000000000002</v>
          </cell>
          <cell r="P268">
            <v>49.566000000000003</v>
          </cell>
          <cell r="Q268">
            <v>48.883000000000003</v>
          </cell>
          <cell r="R268">
            <v>48.442</v>
          </cell>
          <cell r="S268">
            <v>48.280999999999999</v>
          </cell>
          <cell r="T268">
            <v>48.417999999999999</v>
          </cell>
          <cell r="U268">
            <v>48.8</v>
          </cell>
          <cell r="V268">
            <v>49.390999999999998</v>
          </cell>
          <cell r="W268">
            <v>50.140999999999998</v>
          </cell>
          <cell r="X268">
            <v>51.048999999999999</v>
          </cell>
          <cell r="Y268">
            <v>52.118000000000002</v>
          </cell>
          <cell r="Z268">
            <v>53.253999999999998</v>
          </cell>
          <cell r="AA268">
            <v>54.375999999999998</v>
          </cell>
          <cell r="AB268">
            <v>55.424999999999997</v>
          </cell>
          <cell r="AC268">
            <v>56.359000000000002</v>
          </cell>
          <cell r="AD268">
            <v>57.165999999999997</v>
          </cell>
          <cell r="AE268">
            <v>57.918999999999997</v>
          </cell>
          <cell r="AF268">
            <v>58.677</v>
          </cell>
          <cell r="AG268">
            <v>59.478000000000002</v>
          </cell>
          <cell r="AH268">
            <v>60.38</v>
          </cell>
          <cell r="AI268">
            <v>61.335999999999999</v>
          </cell>
          <cell r="AJ268">
            <v>62.262</v>
          </cell>
          <cell r="AK268">
            <v>63.029000000000003</v>
          </cell>
          <cell r="AL268">
            <v>63.551000000000002</v>
          </cell>
          <cell r="AM268">
            <v>63.776000000000003</v>
          </cell>
          <cell r="AN268">
            <v>63.771999999999998</v>
          </cell>
          <cell r="AO268">
            <v>63.695</v>
          </cell>
          <cell r="AP268">
            <v>63.807000000000002</v>
          </cell>
          <cell r="AQ268">
            <v>64.278000000000006</v>
          </cell>
          <cell r="AR268">
            <v>65.197999999999993</v>
          </cell>
          <cell r="AS268">
            <v>66.471000000000004</v>
          </cell>
          <cell r="AT268">
            <v>67.926000000000002</v>
          </cell>
          <cell r="AU268">
            <v>69.266999999999996</v>
          </cell>
          <cell r="AV268">
            <v>70.298000000000002</v>
          </cell>
          <cell r="AW268">
            <v>70.932000000000002</v>
          </cell>
          <cell r="AX268">
            <v>71.254000000000005</v>
          </cell>
          <cell r="AY268">
            <v>71.427999999999997</v>
          </cell>
          <cell r="AZ268">
            <v>71.661000000000001</v>
          </cell>
          <cell r="BA268">
            <v>72.131</v>
          </cell>
          <cell r="BB268">
            <v>72.878</v>
          </cell>
          <cell r="BC268">
            <v>73.849999999999994</v>
          </cell>
          <cell r="BD268">
            <v>74.942999999999998</v>
          </cell>
          <cell r="BE268">
            <v>76.001000000000005</v>
          </cell>
          <cell r="BF268">
            <v>76.941000000000003</v>
          </cell>
          <cell r="BG268">
            <v>77.703000000000003</v>
          </cell>
          <cell r="BH268">
            <v>78.317999999999998</v>
          </cell>
          <cell r="BI268">
            <v>78.884</v>
          </cell>
          <cell r="BJ268">
            <v>79.52</v>
          </cell>
          <cell r="BK268">
            <v>80.305000000000007</v>
          </cell>
          <cell r="BL268">
            <v>81.284999999999997</v>
          </cell>
          <cell r="BM268">
            <v>82.408000000000001</v>
          </cell>
          <cell r="BN268">
            <v>83.507999999999996</v>
          </cell>
          <cell r="BO268">
            <v>84.376000000000005</v>
          </cell>
          <cell r="BP268">
            <v>84.856999999999999</v>
          </cell>
          <cell r="BQ268">
            <v>84.885999999999996</v>
          </cell>
          <cell r="BR268">
            <v>84.533000000000001</v>
          </cell>
          <cell r="BS268">
            <v>83.975999999999999</v>
          </cell>
          <cell r="BT268">
            <v>83.488</v>
          </cell>
          <cell r="BU268">
            <v>83.233999999999995</v>
          </cell>
          <cell r="BV268">
            <v>83.287000000000006</v>
          </cell>
          <cell r="BW268">
            <v>83.597999999999999</v>
          </cell>
          <cell r="BX268">
            <v>84.076999999999998</v>
          </cell>
        </row>
        <row r="269">
          <cell r="C269" t="str">
            <v>Latvia</v>
          </cell>
          <cell r="E269">
            <v>428</v>
          </cell>
          <cell r="F269" t="str">
            <v>Country</v>
          </cell>
          <cell r="G269">
            <v>924</v>
          </cell>
          <cell r="H269">
            <v>1926.568</v>
          </cell>
          <cell r="I269">
            <v>1933.991</v>
          </cell>
          <cell r="J269">
            <v>1945.9570000000001</v>
          </cell>
          <cell r="K269">
            <v>1961.6559999999999</v>
          </cell>
          <cell r="L269">
            <v>1980.3969999999999</v>
          </cell>
          <cell r="M269">
            <v>2001.5740000000001</v>
          </cell>
          <cell r="N269">
            <v>2024.6759999999999</v>
          </cell>
          <cell r="O269">
            <v>2049.317</v>
          </cell>
          <cell r="P269">
            <v>2075.1729999999998</v>
          </cell>
          <cell r="Q269">
            <v>2102.0039999999999</v>
          </cell>
          <cell r="R269">
            <v>2129.5859999999998</v>
          </cell>
          <cell r="S269">
            <v>2157.66</v>
          </cell>
          <cell r="T269">
            <v>2185.8789999999999</v>
          </cell>
          <cell r="U269">
            <v>2213.8020000000001</v>
          </cell>
          <cell r="V269">
            <v>2240.9470000000001</v>
          </cell>
          <cell r="W269">
            <v>2266.9430000000002</v>
          </cell>
          <cell r="X269">
            <v>2291.4679999999998</v>
          </cell>
          <cell r="Y269">
            <v>2314.5030000000002</v>
          </cell>
          <cell r="Z269">
            <v>2336.3249999999998</v>
          </cell>
          <cell r="AA269">
            <v>2357.4</v>
          </cell>
          <cell r="AB269">
            <v>2378.0210000000002</v>
          </cell>
          <cell r="AC269">
            <v>2398.38</v>
          </cell>
          <cell r="AD269">
            <v>2418.2739999999999</v>
          </cell>
          <cell r="AE269">
            <v>2437.1840000000002</v>
          </cell>
          <cell r="AF269">
            <v>2454.3989999999999</v>
          </cell>
          <cell r="AG269">
            <v>2469.444</v>
          </cell>
          <cell r="AH269">
            <v>2482.1860000000001</v>
          </cell>
          <cell r="AI269">
            <v>2492.9859999999999</v>
          </cell>
          <cell r="AJ269">
            <v>2502.5169999999998</v>
          </cell>
          <cell r="AK269">
            <v>2511.739</v>
          </cell>
          <cell r="AL269">
            <v>2521.3910000000001</v>
          </cell>
          <cell r="AM269">
            <v>2531.0189999999998</v>
          </cell>
          <cell r="AN269">
            <v>2540.4479999999999</v>
          </cell>
          <cell r="AO269">
            <v>2550.9340000000002</v>
          </cell>
          <cell r="AP269">
            <v>2564.114</v>
          </cell>
          <cell r="AQ269">
            <v>2580.7579999999998</v>
          </cell>
          <cell r="AR269">
            <v>2602.1579999999999</v>
          </cell>
          <cell r="AS269">
            <v>2626.9070000000002</v>
          </cell>
          <cell r="AT269">
            <v>2649.8290000000002</v>
          </cell>
          <cell r="AU269">
            <v>2663.933</v>
          </cell>
          <cell r="AV269">
            <v>2664.4389999999999</v>
          </cell>
          <cell r="AW269">
            <v>2649.1619999999998</v>
          </cell>
          <cell r="AX269">
            <v>2620.2539999999999</v>
          </cell>
          <cell r="AY269">
            <v>2582.6610000000001</v>
          </cell>
          <cell r="AZ269">
            <v>2543.6280000000002</v>
          </cell>
          <cell r="BA269">
            <v>2508.48</v>
          </cell>
          <cell r="BB269">
            <v>2478.8319999999999</v>
          </cell>
          <cell r="BC269">
            <v>2453.3069999999998</v>
          </cell>
          <cell r="BD269">
            <v>2430.549</v>
          </cell>
          <cell r="BE269">
            <v>2408.0920000000001</v>
          </cell>
          <cell r="BF269">
            <v>2384.1640000000002</v>
          </cell>
          <cell r="BG269">
            <v>2358.6930000000002</v>
          </cell>
          <cell r="BH269">
            <v>2332.5300000000002</v>
          </cell>
          <cell r="BI269">
            <v>2305.848</v>
          </cell>
          <cell r="BJ269">
            <v>2278.9209999999998</v>
          </cell>
          <cell r="BK269">
            <v>2251.9929999999999</v>
          </cell>
          <cell r="BL269">
            <v>2225.0659999999998</v>
          </cell>
          <cell r="BM269">
            <v>2198.0889999999999</v>
          </cell>
          <cell r="BN269">
            <v>2171.259</v>
          </cell>
          <cell r="BO269">
            <v>2144.7849999999999</v>
          </cell>
          <cell r="BP269">
            <v>2118.8609999999999</v>
          </cell>
          <cell r="BQ269">
            <v>2093.61</v>
          </cell>
          <cell r="BR269">
            <v>2069.0160000000001</v>
          </cell>
          <cell r="BS269">
            <v>2044.9570000000001</v>
          </cell>
          <cell r="BT269">
            <v>2021.2190000000001</v>
          </cell>
          <cell r="BU269">
            <v>1997.674</v>
          </cell>
          <cell r="BV269">
            <v>1974.2660000000001</v>
          </cell>
          <cell r="BW269">
            <v>1951.097</v>
          </cell>
          <cell r="BX269">
            <v>1928.4590000000001</v>
          </cell>
        </row>
        <row r="270">
          <cell r="C270" t="str">
            <v>Lithuania</v>
          </cell>
          <cell r="E270">
            <v>440</v>
          </cell>
          <cell r="F270" t="str">
            <v>Country</v>
          </cell>
          <cell r="G270">
            <v>924</v>
          </cell>
          <cell r="H270">
            <v>2567.4029999999998</v>
          </cell>
          <cell r="I270">
            <v>2569.614</v>
          </cell>
          <cell r="J270">
            <v>2578.049</v>
          </cell>
          <cell r="K270">
            <v>2591.375</v>
          </cell>
          <cell r="L270">
            <v>2608.5250000000001</v>
          </cell>
          <cell r="M270">
            <v>2628.7510000000002</v>
          </cell>
          <cell r="N270">
            <v>2651.63</v>
          </cell>
          <cell r="O270">
            <v>2677.0050000000001</v>
          </cell>
          <cell r="P270">
            <v>2704.9920000000002</v>
          </cell>
          <cell r="Q270">
            <v>2735.8739999999998</v>
          </cell>
          <cell r="R270">
            <v>2769.8760000000002</v>
          </cell>
          <cell r="S270">
            <v>2806.922</v>
          </cell>
          <cell r="T270">
            <v>2846.3939999999998</v>
          </cell>
          <cell r="U270">
            <v>2887.08</v>
          </cell>
          <cell r="V270">
            <v>2927.3829999999998</v>
          </cell>
          <cell r="W270">
            <v>2966.165</v>
          </cell>
          <cell r="X270">
            <v>3002.7930000000001</v>
          </cell>
          <cell r="Y270">
            <v>3037.444</v>
          </cell>
          <cell r="Z270">
            <v>3070.6930000000002</v>
          </cell>
          <cell r="AA270">
            <v>3103.5149999999999</v>
          </cell>
          <cell r="AB270">
            <v>3136.5859999999998</v>
          </cell>
          <cell r="AC270">
            <v>3170.078</v>
          </cell>
          <cell r="AD270">
            <v>3203.636</v>
          </cell>
          <cell r="AE270">
            <v>3236.739</v>
          </cell>
          <cell r="AF270">
            <v>3268.6489999999999</v>
          </cell>
          <cell r="AG270">
            <v>3298.8789999999999</v>
          </cell>
          <cell r="AH270">
            <v>3327.2620000000002</v>
          </cell>
          <cell r="AI270">
            <v>3354.067</v>
          </cell>
          <cell r="AJ270">
            <v>3379.8020000000001</v>
          </cell>
          <cell r="AK270">
            <v>3405.1790000000001</v>
          </cell>
          <cell r="AL270">
            <v>3430.76</v>
          </cell>
          <cell r="AM270">
            <v>3456.1419999999998</v>
          </cell>
          <cell r="AN270">
            <v>3481.1320000000001</v>
          </cell>
          <cell r="AO270">
            <v>3506.54</v>
          </cell>
          <cell r="AP270">
            <v>3533.4789999999998</v>
          </cell>
          <cell r="AQ270">
            <v>3562.3969999999999</v>
          </cell>
          <cell r="AR270">
            <v>3594.0569999999998</v>
          </cell>
          <cell r="AS270">
            <v>3627.33</v>
          </cell>
          <cell r="AT270">
            <v>3658.4920000000002</v>
          </cell>
          <cell r="AU270">
            <v>3682.558</v>
          </cell>
          <cell r="AV270">
            <v>3696.0349999999999</v>
          </cell>
          <cell r="AW270">
            <v>3697.4569999999999</v>
          </cell>
          <cell r="AX270">
            <v>3688.1060000000002</v>
          </cell>
          <cell r="AY270">
            <v>3670.6509999999998</v>
          </cell>
          <cell r="AZ270">
            <v>3649.143</v>
          </cell>
          <cell r="BA270">
            <v>3626.6120000000001</v>
          </cell>
          <cell r="BB270">
            <v>3603.7559999999999</v>
          </cell>
          <cell r="BC270">
            <v>3579.91</v>
          </cell>
          <cell r="BD270">
            <v>3555.1410000000001</v>
          </cell>
          <cell r="BE270">
            <v>3529.181</v>
          </cell>
          <cell r="BF270">
            <v>3501.8389999999999</v>
          </cell>
          <cell r="BG270">
            <v>3473.625</v>
          </cell>
          <cell r="BH270">
            <v>3444.7629999999999</v>
          </cell>
          <cell r="BI270">
            <v>3414.3649999999998</v>
          </cell>
          <cell r="BJ270">
            <v>3381.1309999999999</v>
          </cell>
          <cell r="BK270">
            <v>3344.268</v>
          </cell>
          <cell r="BL270">
            <v>3303.335</v>
          </cell>
          <cell r="BM270">
            <v>3258.98</v>
          </cell>
          <cell r="BN270">
            <v>3212.8649999999998</v>
          </cell>
          <cell r="BO270">
            <v>3167.2649999999999</v>
          </cell>
          <cell r="BP270">
            <v>3123.8159999999998</v>
          </cell>
          <cell r="BQ270">
            <v>3083.4029999999998</v>
          </cell>
          <cell r="BR270">
            <v>3045.5610000000001</v>
          </cell>
          <cell r="BS270">
            <v>3008.9340000000002</v>
          </cell>
          <cell r="BT270">
            <v>2971.4969999999998</v>
          </cell>
          <cell r="BU270">
            <v>2931.88</v>
          </cell>
          <cell r="BV270">
            <v>2889.5569999999998</v>
          </cell>
          <cell r="BW270">
            <v>2845.4140000000002</v>
          </cell>
          <cell r="BX270">
            <v>2801.2640000000001</v>
          </cell>
        </row>
        <row r="271">
          <cell r="C271" t="str">
            <v>Norway</v>
          </cell>
          <cell r="D271">
            <v>19</v>
          </cell>
          <cell r="E271">
            <v>578</v>
          </cell>
          <cell r="F271" t="str">
            <v>Country</v>
          </cell>
          <cell r="G271">
            <v>924</v>
          </cell>
          <cell r="H271">
            <v>3265.2730000000001</v>
          </cell>
          <cell r="I271">
            <v>3300.752</v>
          </cell>
          <cell r="J271">
            <v>3334.4780000000001</v>
          </cell>
          <cell r="K271">
            <v>3367.0549999999998</v>
          </cell>
          <cell r="L271">
            <v>3398.9050000000002</v>
          </cell>
          <cell r="M271">
            <v>3430.34</v>
          </cell>
          <cell r="N271">
            <v>3461.51</v>
          </cell>
          <cell r="O271">
            <v>3492.4470000000001</v>
          </cell>
          <cell r="P271">
            <v>3523.0479999999998</v>
          </cell>
          <cell r="Q271">
            <v>3553.1289999999999</v>
          </cell>
          <cell r="R271">
            <v>3582.5070000000001</v>
          </cell>
          <cell r="S271">
            <v>3611.1460000000002</v>
          </cell>
          <cell r="T271">
            <v>3639.21</v>
          </cell>
          <cell r="U271">
            <v>3667.1129999999998</v>
          </cell>
          <cell r="V271">
            <v>3695.4079999999999</v>
          </cell>
          <cell r="W271">
            <v>3724.4630000000002</v>
          </cell>
          <cell r="X271">
            <v>3754.3620000000001</v>
          </cell>
          <cell r="Y271">
            <v>3784.8679999999999</v>
          </cell>
          <cell r="Z271">
            <v>3815.6370000000002</v>
          </cell>
          <cell r="AA271">
            <v>3846.1840000000002</v>
          </cell>
          <cell r="AB271">
            <v>3876.06</v>
          </cell>
          <cell r="AC271">
            <v>3905.2689999999998</v>
          </cell>
          <cell r="AD271">
            <v>3933.7249999999999</v>
          </cell>
          <cell r="AE271">
            <v>3960.8020000000001</v>
          </cell>
          <cell r="AF271">
            <v>3985.741</v>
          </cell>
          <cell r="AG271">
            <v>4008.0309999999999</v>
          </cell>
          <cell r="AH271">
            <v>4027.4749999999999</v>
          </cell>
          <cell r="AI271">
            <v>4044.33</v>
          </cell>
          <cell r="AJ271">
            <v>4059.183</v>
          </cell>
          <cell r="AK271">
            <v>4072.8679999999999</v>
          </cell>
          <cell r="AL271">
            <v>4086.076</v>
          </cell>
          <cell r="AM271">
            <v>4098.973</v>
          </cell>
          <cell r="AN271">
            <v>4111.6570000000002</v>
          </cell>
          <cell r="AO271">
            <v>4124.585</v>
          </cell>
          <cell r="AP271">
            <v>4138.268</v>
          </cell>
          <cell r="AQ271">
            <v>4153.1049999999996</v>
          </cell>
          <cell r="AR271">
            <v>4169.3220000000001</v>
          </cell>
          <cell r="AS271">
            <v>4186.9679999999998</v>
          </cell>
          <cell r="AT271">
            <v>4205.9660000000003</v>
          </cell>
          <cell r="AU271">
            <v>4226.1220000000003</v>
          </cell>
          <cell r="AV271">
            <v>4247.2849999999999</v>
          </cell>
          <cell r="AW271">
            <v>4269.4709999999995</v>
          </cell>
          <cell r="AX271">
            <v>4292.683</v>
          </cell>
          <cell r="AY271">
            <v>4316.7879999999996</v>
          </cell>
          <cell r="AZ271">
            <v>4341.6149999999998</v>
          </cell>
          <cell r="BA271">
            <v>4366.9949999999999</v>
          </cell>
          <cell r="BB271">
            <v>4393.2089999999998</v>
          </cell>
          <cell r="BC271">
            <v>4420.2619999999997</v>
          </cell>
          <cell r="BD271">
            <v>4447.4859999999999</v>
          </cell>
          <cell r="BE271">
            <v>4474.0039999999999</v>
          </cell>
          <cell r="BF271">
            <v>4499.3670000000002</v>
          </cell>
          <cell r="BG271">
            <v>4523.1450000000004</v>
          </cell>
          <cell r="BH271">
            <v>4546.0190000000002</v>
          </cell>
          <cell r="BI271">
            <v>4570.1059999999998</v>
          </cell>
          <cell r="BJ271">
            <v>4598.2139999999999</v>
          </cell>
          <cell r="BK271">
            <v>4632.3639999999996</v>
          </cell>
          <cell r="BL271">
            <v>4672.9939999999997</v>
          </cell>
          <cell r="BM271">
            <v>4719.402</v>
          </cell>
          <cell r="BN271">
            <v>4771.0190000000002</v>
          </cell>
          <cell r="BO271">
            <v>4826.848</v>
          </cell>
          <cell r="BP271">
            <v>4885.8779999999997</v>
          </cell>
          <cell r="BQ271">
            <v>4948.33</v>
          </cell>
          <cell r="BR271">
            <v>5013.7089999999998</v>
          </cell>
          <cell r="BS271">
            <v>5079.4549999999999</v>
          </cell>
          <cell r="BT271">
            <v>5142.2650000000003</v>
          </cell>
          <cell r="BU271">
            <v>5199.8360000000002</v>
          </cell>
          <cell r="BV271">
            <v>5250.9489999999996</v>
          </cell>
          <cell r="BW271">
            <v>5296.326</v>
          </cell>
          <cell r="BX271">
            <v>5337.9620000000004</v>
          </cell>
        </row>
        <row r="272">
          <cell r="C272" t="str">
            <v>Sweden</v>
          </cell>
          <cell r="E272">
            <v>752</v>
          </cell>
          <cell r="F272" t="str">
            <v>Country</v>
          </cell>
          <cell r="G272">
            <v>924</v>
          </cell>
          <cell r="H272">
            <v>7009.9120000000003</v>
          </cell>
          <cell r="I272">
            <v>7073.2269999999999</v>
          </cell>
          <cell r="J272">
            <v>7127.52</v>
          </cell>
          <cell r="K272">
            <v>7175.6670000000004</v>
          </cell>
          <cell r="L272">
            <v>7220.0640000000003</v>
          </cell>
          <cell r="M272">
            <v>7262.6229999999996</v>
          </cell>
          <cell r="N272">
            <v>7304.7790000000005</v>
          </cell>
          <cell r="O272">
            <v>7347.4790000000003</v>
          </cell>
          <cell r="P272">
            <v>7391.2479999999996</v>
          </cell>
          <cell r="Q272">
            <v>7436.2619999999997</v>
          </cell>
          <cell r="R272">
            <v>7482.5429999999997</v>
          </cell>
          <cell r="S272">
            <v>7530.1809999999996</v>
          </cell>
          <cell r="T272">
            <v>7579.5659999999998</v>
          </cell>
          <cell r="U272">
            <v>7631.4570000000003</v>
          </cell>
          <cell r="V272">
            <v>7686.73</v>
          </cell>
          <cell r="W272">
            <v>7745.6729999999998</v>
          </cell>
          <cell r="X272">
            <v>7809.0860000000002</v>
          </cell>
          <cell r="Y272">
            <v>7875.9070000000002</v>
          </cell>
          <cell r="Z272">
            <v>7942.3220000000001</v>
          </cell>
          <cell r="AA272">
            <v>8003.1850000000004</v>
          </cell>
          <cell r="AB272">
            <v>8054.9160000000002</v>
          </cell>
          <cell r="AC272">
            <v>8095.7929999999997</v>
          </cell>
          <cell r="AD272">
            <v>8127.0339999999997</v>
          </cell>
          <cell r="AE272">
            <v>8151.598</v>
          </cell>
          <cell r="AF272">
            <v>8173.9679999999998</v>
          </cell>
          <cell r="AG272">
            <v>8197.34</v>
          </cell>
          <cell r="AH272">
            <v>8223.2489999999998</v>
          </cell>
          <cell r="AI272">
            <v>8250.6949999999997</v>
          </cell>
          <cell r="AJ272">
            <v>8277.4140000000007</v>
          </cell>
          <cell r="AK272">
            <v>8300.0030000000006</v>
          </cell>
          <cell r="AL272">
            <v>8316.3379999999997</v>
          </cell>
          <cell r="AM272">
            <v>8325.4930000000004</v>
          </cell>
          <cell r="AN272">
            <v>8329.4249999999993</v>
          </cell>
          <cell r="AO272">
            <v>8332.4429999999993</v>
          </cell>
          <cell r="AP272">
            <v>8340.44</v>
          </cell>
          <cell r="AQ272">
            <v>8357.652</v>
          </cell>
          <cell r="AR272">
            <v>8384.9889999999996</v>
          </cell>
          <cell r="AS272">
            <v>8421.0560000000005</v>
          </cell>
          <cell r="AT272">
            <v>8464.7870000000003</v>
          </cell>
          <cell r="AU272">
            <v>8514.2060000000001</v>
          </cell>
          <cell r="AV272">
            <v>8567.384</v>
          </cell>
          <cell r="AW272">
            <v>8625.1370000000006</v>
          </cell>
          <cell r="AX272">
            <v>8686.7379999999994</v>
          </cell>
          <cell r="AY272">
            <v>8746.7759999999998</v>
          </cell>
          <cell r="AZ272">
            <v>8798.2340000000004</v>
          </cell>
          <cell r="BA272">
            <v>8836.42</v>
          </cell>
          <cell r="BB272">
            <v>8859.1910000000007</v>
          </cell>
          <cell r="BC272">
            <v>8868.8529999999992</v>
          </cell>
          <cell r="BD272">
            <v>8870.848</v>
          </cell>
          <cell r="BE272">
            <v>8873.1</v>
          </cell>
          <cell r="BF272">
            <v>8881.64</v>
          </cell>
          <cell r="BG272">
            <v>8897.7929999999997</v>
          </cell>
          <cell r="BH272">
            <v>8920.7099999999991</v>
          </cell>
          <cell r="BI272">
            <v>8951.4359999999997</v>
          </cell>
          <cell r="BJ272">
            <v>8990.6540000000005</v>
          </cell>
          <cell r="BK272">
            <v>9038.6229999999996</v>
          </cell>
          <cell r="BL272">
            <v>9096.1650000000009</v>
          </cell>
          <cell r="BM272">
            <v>9162.9390000000003</v>
          </cell>
          <cell r="BN272">
            <v>9236.4279999999999</v>
          </cell>
          <cell r="BO272">
            <v>9313.0869999999995</v>
          </cell>
          <cell r="BP272">
            <v>9390.1679999999997</v>
          </cell>
          <cell r="BQ272">
            <v>9466.7099999999991</v>
          </cell>
          <cell r="BR272">
            <v>9542.8119999999999</v>
          </cell>
          <cell r="BS272">
            <v>9618.0159999999996</v>
          </cell>
          <cell r="BT272">
            <v>9692.1309999999994</v>
          </cell>
          <cell r="BU272">
            <v>9764.9500000000007</v>
          </cell>
          <cell r="BV272">
            <v>9836.0069999999996</v>
          </cell>
          <cell r="BW272">
            <v>9904.8960000000006</v>
          </cell>
          <cell r="BX272">
            <v>9971.6380000000008</v>
          </cell>
        </row>
        <row r="273">
          <cell r="C273" t="str">
            <v>United Kingdom</v>
          </cell>
          <cell r="E273">
            <v>826</v>
          </cell>
          <cell r="F273" t="str">
            <v>Country</v>
          </cell>
          <cell r="G273">
            <v>924</v>
          </cell>
          <cell r="H273">
            <v>50616.014000000003</v>
          </cell>
          <cell r="I273">
            <v>50601.934999999998</v>
          </cell>
          <cell r="J273">
            <v>50651.28</v>
          </cell>
          <cell r="K273">
            <v>50750.976000000002</v>
          </cell>
          <cell r="L273">
            <v>50890.915000000001</v>
          </cell>
          <cell r="M273">
            <v>51063.902000000002</v>
          </cell>
          <cell r="N273">
            <v>51265.88</v>
          </cell>
          <cell r="O273">
            <v>51495.701999999997</v>
          </cell>
          <cell r="P273">
            <v>51754.673000000003</v>
          </cell>
          <cell r="Q273">
            <v>52045.661999999997</v>
          </cell>
          <cell r="R273">
            <v>52370.601999999999</v>
          </cell>
          <cell r="S273">
            <v>52727.767999999996</v>
          </cell>
          <cell r="T273">
            <v>53109.398999999998</v>
          </cell>
          <cell r="U273">
            <v>53500.716</v>
          </cell>
          <cell r="V273">
            <v>53882.750999999997</v>
          </cell>
          <cell r="W273">
            <v>54240.85</v>
          </cell>
          <cell r="X273">
            <v>54568.868000000002</v>
          </cell>
          <cell r="Y273">
            <v>54866.534</v>
          </cell>
          <cell r="Z273">
            <v>55132.595999999998</v>
          </cell>
          <cell r="AA273">
            <v>55367.947</v>
          </cell>
          <cell r="AB273">
            <v>55573.453000000001</v>
          </cell>
          <cell r="AC273">
            <v>55748.531000000003</v>
          </cell>
          <cell r="AD273">
            <v>55892.417999999998</v>
          </cell>
          <cell r="AE273">
            <v>56006.296000000002</v>
          </cell>
          <cell r="AF273">
            <v>56092.065999999999</v>
          </cell>
          <cell r="AG273">
            <v>56152.332999999999</v>
          </cell>
          <cell r="AH273">
            <v>56188.347999999998</v>
          </cell>
          <cell r="AI273">
            <v>56203.595000000001</v>
          </cell>
          <cell r="AJ273">
            <v>56205.913</v>
          </cell>
          <cell r="AK273">
            <v>56205.082999999999</v>
          </cell>
          <cell r="AL273">
            <v>56209.171000000002</v>
          </cell>
          <cell r="AM273">
            <v>56220.735000000001</v>
          </cell>
          <cell r="AN273">
            <v>56241.411999999997</v>
          </cell>
          <cell r="AO273">
            <v>56276.798000000003</v>
          </cell>
          <cell r="AP273">
            <v>56332.900999999998</v>
          </cell>
          <cell r="AQ273">
            <v>56413.553</v>
          </cell>
          <cell r="AR273">
            <v>56522.502999999997</v>
          </cell>
          <cell r="AS273">
            <v>56658.27</v>
          </cell>
          <cell r="AT273">
            <v>56812.756999999998</v>
          </cell>
          <cell r="AU273">
            <v>56974.296999999999</v>
          </cell>
          <cell r="AV273">
            <v>57134.391000000003</v>
          </cell>
          <cell r="AW273">
            <v>57290.785000000003</v>
          </cell>
          <cell r="AX273">
            <v>57446.036999999997</v>
          </cell>
          <cell r="AY273">
            <v>57602.284</v>
          </cell>
          <cell r="AZ273">
            <v>57763.377999999997</v>
          </cell>
          <cell r="BA273">
            <v>57932.453000000001</v>
          </cell>
          <cell r="BB273">
            <v>58113.557000000001</v>
          </cell>
          <cell r="BC273">
            <v>58307.313000000002</v>
          </cell>
          <cell r="BD273">
            <v>58509.974000000002</v>
          </cell>
          <cell r="BE273">
            <v>58715.853999999999</v>
          </cell>
          <cell r="BF273">
            <v>58923.309000000001</v>
          </cell>
          <cell r="BG273">
            <v>59124.288</v>
          </cell>
          <cell r="BH273">
            <v>59326.294000000002</v>
          </cell>
          <cell r="BI273">
            <v>59561.432000000001</v>
          </cell>
          <cell r="BJ273">
            <v>59872.752999999997</v>
          </cell>
          <cell r="BK273">
            <v>60287.953999999998</v>
          </cell>
          <cell r="BL273">
            <v>60821.356</v>
          </cell>
          <cell r="BM273">
            <v>61455.161999999997</v>
          </cell>
          <cell r="BN273">
            <v>62145.097000000002</v>
          </cell>
          <cell r="BO273">
            <v>62828.616000000002</v>
          </cell>
          <cell r="BP273">
            <v>63459.807999999997</v>
          </cell>
          <cell r="BQ273">
            <v>64021.919000000002</v>
          </cell>
          <cell r="BR273">
            <v>64525.311999999998</v>
          </cell>
          <cell r="BS273">
            <v>64984.017999999996</v>
          </cell>
          <cell r="BT273">
            <v>65423.046999999999</v>
          </cell>
          <cell r="BU273">
            <v>65860.145999999993</v>
          </cell>
          <cell r="BV273">
            <v>66297.944000000003</v>
          </cell>
          <cell r="BW273">
            <v>66727.460999999996</v>
          </cell>
          <cell r="BX273">
            <v>67141.683999999994</v>
          </cell>
        </row>
        <row r="274">
          <cell r="C274" t="str">
            <v>Southern Europe</v>
          </cell>
          <cell r="E274">
            <v>925</v>
          </cell>
          <cell r="F274" t="str">
            <v>Subregion</v>
          </cell>
          <cell r="G274">
            <v>917</v>
          </cell>
          <cell r="H274">
            <v>108737.32399999999</v>
          </cell>
          <cell r="I274">
            <v>109656.84</v>
          </cell>
          <cell r="J274">
            <v>110601.80899999999</v>
          </cell>
          <cell r="K274">
            <v>111545.205</v>
          </cell>
          <cell r="L274">
            <v>112469.40700000001</v>
          </cell>
          <cell r="M274">
            <v>113365.961</v>
          </cell>
          <cell r="N274">
            <v>114236.167</v>
          </cell>
          <cell r="O274">
            <v>115090.611</v>
          </cell>
          <cell r="P274">
            <v>115947.621</v>
          </cell>
          <cell r="Q274">
            <v>116830.651</v>
          </cell>
          <cell r="R274">
            <v>117760.61500000001</v>
          </cell>
          <cell r="S274">
            <v>118747.889</v>
          </cell>
          <cell r="T274">
            <v>119784.984</v>
          </cell>
          <cell r="U274">
            <v>120843.55</v>
          </cell>
          <cell r="V274">
            <v>121883.048</v>
          </cell>
          <cell r="W274">
            <v>122876.352</v>
          </cell>
          <cell r="X274">
            <v>123809.212</v>
          </cell>
          <cell r="Y274">
            <v>124695.808</v>
          </cell>
          <cell r="Z274">
            <v>125571.363</v>
          </cell>
          <cell r="AA274">
            <v>126486.261</v>
          </cell>
          <cell r="AB274">
            <v>127475.167</v>
          </cell>
          <cell r="AC274">
            <v>128546.177</v>
          </cell>
          <cell r="AD274">
            <v>129682.39</v>
          </cell>
          <cell r="AE274">
            <v>130862.21400000001</v>
          </cell>
          <cell r="AF274">
            <v>132053.42800000001</v>
          </cell>
          <cell r="AG274">
            <v>133229.27499999999</v>
          </cell>
          <cell r="AH274">
            <v>134384.09700000001</v>
          </cell>
          <cell r="AI274">
            <v>135515.228</v>
          </cell>
          <cell r="AJ274">
            <v>136602.13699999999</v>
          </cell>
          <cell r="AK274">
            <v>137621.269</v>
          </cell>
          <cell r="AL274">
            <v>138555.07399999999</v>
          </cell>
          <cell r="AM274">
            <v>139394.76</v>
          </cell>
          <cell r="AN274">
            <v>140140.89300000001</v>
          </cell>
          <cell r="AO274">
            <v>140798.14600000001</v>
          </cell>
          <cell r="AP274">
            <v>141376.16899999999</v>
          </cell>
          <cell r="AQ274">
            <v>141883.625</v>
          </cell>
          <cell r="AR274">
            <v>142321.12100000001</v>
          </cell>
          <cell r="AS274">
            <v>142690.13800000001</v>
          </cell>
          <cell r="AT274">
            <v>143001.53099999999</v>
          </cell>
          <cell r="AU274">
            <v>143269.00599999999</v>
          </cell>
          <cell r="AV274">
            <v>143503.861</v>
          </cell>
          <cell r="AW274">
            <v>143723.69899999999</v>
          </cell>
          <cell r="AX274">
            <v>143933.68299999999</v>
          </cell>
          <cell r="AY274">
            <v>144118.568</v>
          </cell>
          <cell r="AZ274">
            <v>144254.59299999999</v>
          </cell>
          <cell r="BA274">
            <v>144332.50099999999</v>
          </cell>
          <cell r="BB274">
            <v>144332.75200000001</v>
          </cell>
          <cell r="BC274">
            <v>144282.783</v>
          </cell>
          <cell r="BD274">
            <v>144275.614</v>
          </cell>
          <cell r="BE274">
            <v>144435.91800000001</v>
          </cell>
          <cell r="BF274">
            <v>144846.712</v>
          </cell>
          <cell r="BG274">
            <v>145541.889</v>
          </cell>
          <cell r="BH274">
            <v>146477.636</v>
          </cell>
          <cell r="BI274">
            <v>147562.185</v>
          </cell>
          <cell r="BJ274">
            <v>148662.421</v>
          </cell>
          <cell r="BK274">
            <v>149676.14600000001</v>
          </cell>
          <cell r="BL274">
            <v>150579.03700000001</v>
          </cell>
          <cell r="BM274">
            <v>151382.84400000001</v>
          </cell>
          <cell r="BN274">
            <v>152066.05600000001</v>
          </cell>
          <cell r="BO274">
            <v>152613.098</v>
          </cell>
          <cell r="BP274">
            <v>153015.516</v>
          </cell>
          <cell r="BQ274">
            <v>153254.984</v>
          </cell>
          <cell r="BR274">
            <v>153333.84</v>
          </cell>
          <cell r="BS274">
            <v>153292.29699999999</v>
          </cell>
          <cell r="BT274">
            <v>153188.22099999999</v>
          </cell>
          <cell r="BU274">
            <v>153064.91</v>
          </cell>
          <cell r="BV274">
            <v>152936.845</v>
          </cell>
          <cell r="BW274">
            <v>152796.364</v>
          </cell>
          <cell r="BX274">
            <v>152637.573</v>
          </cell>
        </row>
        <row r="275">
          <cell r="C275" t="str">
            <v>Albania</v>
          </cell>
          <cell r="E275">
            <v>8</v>
          </cell>
          <cell r="F275" t="str">
            <v>Country</v>
          </cell>
          <cell r="G275">
            <v>925</v>
          </cell>
          <cell r="H275">
            <v>1263.174</v>
          </cell>
          <cell r="I275">
            <v>1287.5</v>
          </cell>
          <cell r="J275">
            <v>1316.0930000000001</v>
          </cell>
          <cell r="K275">
            <v>1348.1120000000001</v>
          </cell>
          <cell r="L275">
            <v>1382.8979999999999</v>
          </cell>
          <cell r="M275">
            <v>1419.9939999999999</v>
          </cell>
          <cell r="N275">
            <v>1459.12</v>
          </cell>
          <cell r="O275">
            <v>1500.181</v>
          </cell>
          <cell r="P275">
            <v>1543.2550000000001</v>
          </cell>
          <cell r="Q275">
            <v>1588.5129999999999</v>
          </cell>
          <cell r="R275">
            <v>1636.09</v>
          </cell>
          <cell r="S275">
            <v>1685.9359999999999</v>
          </cell>
          <cell r="T275">
            <v>1737.6859999999999</v>
          </cell>
          <cell r="U275">
            <v>1790.5730000000001</v>
          </cell>
          <cell r="V275">
            <v>1843.634</v>
          </cell>
          <cell r="W275">
            <v>1896.171</v>
          </cell>
          <cell r="X275">
            <v>1947.83</v>
          </cell>
          <cell r="Y275">
            <v>1998.74</v>
          </cell>
          <cell r="Z275">
            <v>2049.21</v>
          </cell>
          <cell r="AA275">
            <v>2099.7289999999998</v>
          </cell>
          <cell r="AB275">
            <v>2150.7069999999999</v>
          </cell>
          <cell r="AC275">
            <v>2202.1889999999999</v>
          </cell>
          <cell r="AD275">
            <v>2254.056</v>
          </cell>
          <cell r="AE275">
            <v>2306.29</v>
          </cell>
          <cell r="AF275">
            <v>2358.846</v>
          </cell>
          <cell r="AG275">
            <v>2411.732</v>
          </cell>
          <cell r="AH275">
            <v>2464.9830000000002</v>
          </cell>
          <cell r="AI275">
            <v>2518.6849999999999</v>
          </cell>
          <cell r="AJ275">
            <v>2572.85</v>
          </cell>
          <cell r="AK275">
            <v>2627.5050000000001</v>
          </cell>
          <cell r="AL275">
            <v>2682.69</v>
          </cell>
          <cell r="AM275">
            <v>2737.0259999999998</v>
          </cell>
          <cell r="AN275">
            <v>2790.2750000000001</v>
          </cell>
          <cell r="AO275">
            <v>2844.8710000000001</v>
          </cell>
          <cell r="AP275">
            <v>2904.14</v>
          </cell>
          <cell r="AQ275">
            <v>2969.672</v>
          </cell>
          <cell r="AR275">
            <v>3044.212</v>
          </cell>
          <cell r="AS275">
            <v>3124.8939999999998</v>
          </cell>
          <cell r="AT275">
            <v>3200.9769999999999</v>
          </cell>
          <cell r="AU275">
            <v>3257.9250000000002</v>
          </cell>
          <cell r="AV275">
            <v>3286.0729999999999</v>
          </cell>
          <cell r="AW275">
            <v>3280.395</v>
          </cell>
          <cell r="AX275">
            <v>3245.886</v>
          </cell>
          <cell r="AY275">
            <v>3195.1990000000001</v>
          </cell>
          <cell r="AZ275">
            <v>3146.5189999999998</v>
          </cell>
          <cell r="BA275">
            <v>3112.9360000000001</v>
          </cell>
          <cell r="BB275">
            <v>3098.7</v>
          </cell>
          <cell r="BC275">
            <v>3099.752</v>
          </cell>
          <cell r="BD275">
            <v>3110.6819999999998</v>
          </cell>
          <cell r="BE275">
            <v>3122.6970000000001</v>
          </cell>
          <cell r="BF275">
            <v>3129.2429999999999</v>
          </cell>
          <cell r="BG275">
            <v>3129.7040000000002</v>
          </cell>
          <cell r="BH275">
            <v>3126.1869999999999</v>
          </cell>
          <cell r="BI275">
            <v>3118.0230000000001</v>
          </cell>
          <cell r="BJ275">
            <v>3104.8919999999998</v>
          </cell>
          <cell r="BK275">
            <v>3086.81</v>
          </cell>
          <cell r="BL275">
            <v>3063.0210000000002</v>
          </cell>
          <cell r="BM275">
            <v>3033.998</v>
          </cell>
          <cell r="BN275">
            <v>3002.6779999999999</v>
          </cell>
          <cell r="BO275">
            <v>2973.0479999999998</v>
          </cell>
          <cell r="BP275">
            <v>2948.0230000000001</v>
          </cell>
          <cell r="BQ275">
            <v>2928.5920000000001</v>
          </cell>
          <cell r="BR275">
            <v>2914.096</v>
          </cell>
          <cell r="BS275">
            <v>2903.79</v>
          </cell>
          <cell r="BT275">
            <v>2896.3049999999998</v>
          </cell>
          <cell r="BU275">
            <v>2890.5129999999999</v>
          </cell>
          <cell r="BV275">
            <v>2886.4380000000001</v>
          </cell>
          <cell r="BW275">
            <v>2884.1689999999999</v>
          </cell>
          <cell r="BX275">
            <v>2882.74</v>
          </cell>
        </row>
        <row r="276">
          <cell r="C276" t="str">
            <v>Andorra</v>
          </cell>
          <cell r="E276">
            <v>20</v>
          </cell>
          <cell r="F276" t="str">
            <v>Country</v>
          </cell>
          <cell r="G276">
            <v>925</v>
          </cell>
          <cell r="H276">
            <v>6.1959999999999997</v>
          </cell>
          <cell r="I276">
            <v>6.6890000000000001</v>
          </cell>
          <cell r="J276">
            <v>7.2469999999999999</v>
          </cell>
          <cell r="K276">
            <v>7.8650000000000002</v>
          </cell>
          <cell r="L276">
            <v>8.5250000000000004</v>
          </cell>
          <cell r="M276">
            <v>9.2319999999999993</v>
          </cell>
          <cell r="N276">
            <v>9.9890000000000008</v>
          </cell>
          <cell r="O276">
            <v>10.779</v>
          </cell>
          <cell r="P276">
            <v>11.615</v>
          </cell>
          <cell r="Q276">
            <v>12.497999999999999</v>
          </cell>
          <cell r="R276">
            <v>13.411</v>
          </cell>
          <cell r="S276">
            <v>14.375</v>
          </cell>
          <cell r="T276">
            <v>15.37</v>
          </cell>
          <cell r="U276">
            <v>16.411999999999999</v>
          </cell>
          <cell r="V276">
            <v>17.469000000000001</v>
          </cell>
          <cell r="W276">
            <v>18.548999999999999</v>
          </cell>
          <cell r="X276">
            <v>19.646999999999998</v>
          </cell>
          <cell r="Y276">
            <v>20.757999999999999</v>
          </cell>
          <cell r="Z276">
            <v>21.89</v>
          </cell>
          <cell r="AA276">
            <v>23.058</v>
          </cell>
          <cell r="AB276">
            <v>24.276</v>
          </cell>
          <cell r="AC276">
            <v>25.559000000000001</v>
          </cell>
          <cell r="AD276">
            <v>26.891999999999999</v>
          </cell>
          <cell r="AE276">
            <v>28.231999999999999</v>
          </cell>
          <cell r="AF276">
            <v>29.52</v>
          </cell>
          <cell r="AG276">
            <v>30.704999999999998</v>
          </cell>
          <cell r="AH276">
            <v>31.777000000000001</v>
          </cell>
          <cell r="AI276">
            <v>32.771000000000001</v>
          </cell>
          <cell r="AJ276">
            <v>33.737000000000002</v>
          </cell>
          <cell r="AK276">
            <v>34.817999999999998</v>
          </cell>
          <cell r="AL276">
            <v>36.067</v>
          </cell>
          <cell r="AM276">
            <v>37.5</v>
          </cell>
          <cell r="AN276">
            <v>39.113999999999997</v>
          </cell>
          <cell r="AO276">
            <v>40.866999999999997</v>
          </cell>
          <cell r="AP276">
            <v>42.706000000000003</v>
          </cell>
          <cell r="AQ276">
            <v>44.6</v>
          </cell>
          <cell r="AR276">
            <v>46.517000000000003</v>
          </cell>
          <cell r="AS276">
            <v>48.454999999999998</v>
          </cell>
          <cell r="AT276">
            <v>50.433999999999997</v>
          </cell>
          <cell r="AU276">
            <v>52.448</v>
          </cell>
          <cell r="AV276">
            <v>54.509</v>
          </cell>
          <cell r="AW276">
            <v>56.670999999999999</v>
          </cell>
          <cell r="AX276">
            <v>58.887999999999998</v>
          </cell>
          <cell r="AY276">
            <v>60.970999999999997</v>
          </cell>
          <cell r="AZ276">
            <v>62.677</v>
          </cell>
          <cell r="BA276">
            <v>63.85</v>
          </cell>
          <cell r="BB276">
            <v>64.36</v>
          </cell>
          <cell r="BC276">
            <v>64.326999999999998</v>
          </cell>
          <cell r="BD276">
            <v>64.141999999999996</v>
          </cell>
          <cell r="BE276">
            <v>64.37</v>
          </cell>
          <cell r="BF276">
            <v>65.39</v>
          </cell>
          <cell r="BG276">
            <v>67.340999999999994</v>
          </cell>
          <cell r="BH276">
            <v>70.049000000000007</v>
          </cell>
          <cell r="BI276">
            <v>73.182000000000002</v>
          </cell>
          <cell r="BJ276">
            <v>76.244</v>
          </cell>
          <cell r="BK276">
            <v>78.867000000000004</v>
          </cell>
          <cell r="BL276">
            <v>80.992999999999995</v>
          </cell>
          <cell r="BM276">
            <v>82.683999999999997</v>
          </cell>
          <cell r="BN276">
            <v>83.861999999999995</v>
          </cell>
          <cell r="BO276">
            <v>84.462999999999994</v>
          </cell>
          <cell r="BP276">
            <v>84.448999999999998</v>
          </cell>
          <cell r="BQ276">
            <v>83.747</v>
          </cell>
          <cell r="BR276">
            <v>82.427000000000007</v>
          </cell>
          <cell r="BS276">
            <v>80.774000000000001</v>
          </cell>
          <cell r="BT276">
            <v>79.212999999999994</v>
          </cell>
          <cell r="BU276">
            <v>78.010999999999996</v>
          </cell>
          <cell r="BV276">
            <v>77.296999999999997</v>
          </cell>
          <cell r="BW276">
            <v>77.001000000000005</v>
          </cell>
          <cell r="BX276">
            <v>77.006</v>
          </cell>
        </row>
        <row r="277">
          <cell r="C277" t="str">
            <v>Bosnia and Herzegovina</v>
          </cell>
          <cell r="E277">
            <v>70</v>
          </cell>
          <cell r="F277" t="str">
            <v>Country</v>
          </cell>
          <cell r="G277">
            <v>925</v>
          </cell>
          <cell r="H277">
            <v>2661.2959999999998</v>
          </cell>
          <cell r="I277">
            <v>2710.6509999999998</v>
          </cell>
          <cell r="J277">
            <v>2764.712</v>
          </cell>
          <cell r="K277">
            <v>2821.308</v>
          </cell>
          <cell r="L277">
            <v>2878.848</v>
          </cell>
          <cell r="M277">
            <v>2936.3090000000002</v>
          </cell>
          <cell r="N277">
            <v>2993.2719999999999</v>
          </cell>
          <cell r="O277">
            <v>3049.92</v>
          </cell>
          <cell r="P277">
            <v>3106.895</v>
          </cell>
          <cell r="Q277">
            <v>3165.192</v>
          </cell>
          <cell r="R277">
            <v>3225.6680000000001</v>
          </cell>
          <cell r="S277">
            <v>3288.6030000000001</v>
          </cell>
          <cell r="T277">
            <v>3353.2260000000001</v>
          </cell>
          <cell r="U277">
            <v>3417.5740000000001</v>
          </cell>
          <cell r="V277">
            <v>3478.9969999999998</v>
          </cell>
          <cell r="W277">
            <v>3535.643</v>
          </cell>
          <cell r="X277">
            <v>3586.636</v>
          </cell>
          <cell r="Y277">
            <v>3632.672</v>
          </cell>
          <cell r="Z277">
            <v>3675.4540000000002</v>
          </cell>
          <cell r="AA277">
            <v>3717.4679999999998</v>
          </cell>
          <cell r="AB277">
            <v>3760.529</v>
          </cell>
          <cell r="AC277">
            <v>3805.2869999999998</v>
          </cell>
          <cell r="AD277">
            <v>3851.1529999999998</v>
          </cell>
          <cell r="AE277">
            <v>3897.2559999999999</v>
          </cell>
          <cell r="AF277">
            <v>3942.2249999999999</v>
          </cell>
          <cell r="AG277">
            <v>3985.105</v>
          </cell>
          <cell r="AH277">
            <v>4025.2660000000001</v>
          </cell>
          <cell r="AI277">
            <v>4063.1930000000002</v>
          </cell>
          <cell r="AJ277">
            <v>4100.3490000000002</v>
          </cell>
          <cell r="AK277">
            <v>4138.8190000000004</v>
          </cell>
          <cell r="AL277">
            <v>4179.8549999999996</v>
          </cell>
          <cell r="AM277">
            <v>4222.4709999999995</v>
          </cell>
          <cell r="AN277">
            <v>4265.1850000000004</v>
          </cell>
          <cell r="AO277">
            <v>4307.9049999999997</v>
          </cell>
          <cell r="AP277">
            <v>4350.5770000000002</v>
          </cell>
          <cell r="AQ277">
            <v>4392.1310000000003</v>
          </cell>
          <cell r="AR277">
            <v>4435.9170000000004</v>
          </cell>
          <cell r="AS277">
            <v>4479.5190000000002</v>
          </cell>
          <cell r="AT277">
            <v>4509.4610000000002</v>
          </cell>
          <cell r="AU277">
            <v>4507.8239999999996</v>
          </cell>
          <cell r="AV277">
            <v>4463.4229999999998</v>
          </cell>
          <cell r="AW277">
            <v>4369.3190000000004</v>
          </cell>
          <cell r="AX277">
            <v>4233.6760000000004</v>
          </cell>
          <cell r="AY277">
            <v>4078.9369999999999</v>
          </cell>
          <cell r="AZ277">
            <v>3936.5239999999999</v>
          </cell>
          <cell r="BA277">
            <v>3829.05</v>
          </cell>
          <cell r="BB277">
            <v>3764.4250000000002</v>
          </cell>
          <cell r="BC277">
            <v>3736.07</v>
          </cell>
          <cell r="BD277">
            <v>3734.337</v>
          </cell>
          <cell r="BE277">
            <v>3743.3539999999998</v>
          </cell>
          <cell r="BF277">
            <v>3751.1759999999999</v>
          </cell>
          <cell r="BG277">
            <v>3755.5120000000002</v>
          </cell>
          <cell r="BH277">
            <v>3759.3870000000002</v>
          </cell>
          <cell r="BI277">
            <v>3762.1729999999998</v>
          </cell>
          <cell r="BJ277">
            <v>3764.194</v>
          </cell>
          <cell r="BK277">
            <v>3765.3310000000001</v>
          </cell>
          <cell r="BL277">
            <v>3765.424</v>
          </cell>
          <cell r="BM277">
            <v>3762.7860000000001</v>
          </cell>
          <cell r="BN277">
            <v>3754.2710000000002</v>
          </cell>
          <cell r="BO277">
            <v>3735.9380000000001</v>
          </cell>
          <cell r="BP277">
            <v>3705.4720000000002</v>
          </cell>
          <cell r="BQ277">
            <v>3661.1750000000002</v>
          </cell>
          <cell r="BR277">
            <v>3604.9720000000002</v>
          </cell>
          <cell r="BS277">
            <v>3542.6060000000002</v>
          </cell>
          <cell r="BT277">
            <v>3482.105</v>
          </cell>
          <cell r="BU277">
            <v>3429.3609999999999</v>
          </cell>
          <cell r="BV277">
            <v>3386.2660000000001</v>
          </cell>
          <cell r="BW277">
            <v>3351.5250000000001</v>
          </cell>
          <cell r="BX277">
            <v>3323.9250000000002</v>
          </cell>
        </row>
        <row r="278">
          <cell r="C278" t="str">
            <v>Croatia</v>
          </cell>
          <cell r="E278">
            <v>191</v>
          </cell>
          <cell r="F278" t="str">
            <v>Country</v>
          </cell>
          <cell r="G278">
            <v>925</v>
          </cell>
          <cell r="H278">
            <v>3850.297</v>
          </cell>
          <cell r="I278">
            <v>3886.221</v>
          </cell>
          <cell r="J278">
            <v>3922.6729999999998</v>
          </cell>
          <cell r="K278">
            <v>3959.116</v>
          </cell>
          <cell r="L278">
            <v>3995.136</v>
          </cell>
          <cell r="M278">
            <v>4030.415</v>
          </cell>
          <cell r="N278">
            <v>4064.7750000000001</v>
          </cell>
          <cell r="O278">
            <v>4098.1260000000002</v>
          </cell>
          <cell r="P278">
            <v>4130.491</v>
          </cell>
          <cell r="Q278">
            <v>4161.9650000000001</v>
          </cell>
          <cell r="R278">
            <v>4192.6350000000002</v>
          </cell>
          <cell r="S278">
            <v>4222.5029999999997</v>
          </cell>
          <cell r="T278">
            <v>4251.4210000000003</v>
          </cell>
          <cell r="U278">
            <v>4279.0609999999997</v>
          </cell>
          <cell r="V278">
            <v>4304.9880000000003</v>
          </cell>
          <cell r="W278">
            <v>4328.9229999999998</v>
          </cell>
          <cell r="X278">
            <v>4350.8159999999998</v>
          </cell>
          <cell r="Y278">
            <v>4370.8590000000004</v>
          </cell>
          <cell r="Z278">
            <v>4389.3209999999999</v>
          </cell>
          <cell r="AA278">
            <v>4406.6059999999998</v>
          </cell>
          <cell r="AB278">
            <v>4423.0730000000003</v>
          </cell>
          <cell r="AC278">
            <v>4438.8149999999996</v>
          </cell>
          <cell r="AD278">
            <v>4453.9880000000003</v>
          </cell>
          <cell r="AE278">
            <v>4469.0379999999996</v>
          </cell>
          <cell r="AF278">
            <v>4484.5230000000001</v>
          </cell>
          <cell r="AG278">
            <v>4500.8670000000002</v>
          </cell>
          <cell r="AH278">
            <v>4518.1019999999999</v>
          </cell>
          <cell r="AI278">
            <v>4536.1989999999996</v>
          </cell>
          <cell r="AJ278">
            <v>4555.4189999999999</v>
          </cell>
          <cell r="AK278">
            <v>4576.0330000000004</v>
          </cell>
          <cell r="AL278">
            <v>4598.13</v>
          </cell>
          <cell r="AM278">
            <v>4621.4189999999999</v>
          </cell>
          <cell r="AN278">
            <v>4645.4129999999996</v>
          </cell>
          <cell r="AO278">
            <v>4669.6139999999996</v>
          </cell>
          <cell r="AP278">
            <v>4693.4309999999996</v>
          </cell>
          <cell r="AQ278">
            <v>4716.1170000000002</v>
          </cell>
          <cell r="AR278">
            <v>4737.9480000000003</v>
          </cell>
          <cell r="AS278">
            <v>4758.1509999999998</v>
          </cell>
          <cell r="AT278">
            <v>4773.6819999999998</v>
          </cell>
          <cell r="AU278">
            <v>4780.6279999999997</v>
          </cell>
          <cell r="AV278">
            <v>4776.3739999999998</v>
          </cell>
          <cell r="AW278">
            <v>4760.0029999999997</v>
          </cell>
          <cell r="AX278">
            <v>4732.8620000000001</v>
          </cell>
          <cell r="AY278">
            <v>4697.5379999999996</v>
          </cell>
          <cell r="AZ278">
            <v>4657.8029999999999</v>
          </cell>
          <cell r="BA278">
            <v>4616.7659999999996</v>
          </cell>
          <cell r="BB278">
            <v>4574.8879999999999</v>
          </cell>
          <cell r="BC278">
            <v>4532.4009999999998</v>
          </cell>
          <cell r="BD278">
            <v>4491.9070000000002</v>
          </cell>
          <cell r="BE278">
            <v>4456.4369999999999</v>
          </cell>
          <cell r="BF278">
            <v>4428.0749999999998</v>
          </cell>
          <cell r="BG278">
            <v>4408.0749999999998</v>
          </cell>
          <cell r="BH278">
            <v>4395.799</v>
          </cell>
          <cell r="BI278">
            <v>4388.8950000000004</v>
          </cell>
          <cell r="BJ278">
            <v>4383.8819999999996</v>
          </cell>
          <cell r="BK278">
            <v>4378.058</v>
          </cell>
          <cell r="BL278">
            <v>4370.777</v>
          </cell>
          <cell r="BM278">
            <v>4362.4260000000004</v>
          </cell>
          <cell r="BN278">
            <v>4352.6360000000004</v>
          </cell>
          <cell r="BO278">
            <v>4341.2640000000001</v>
          </cell>
          <cell r="BP278">
            <v>4328.165</v>
          </cell>
          <cell r="BQ278">
            <v>4313.0990000000002</v>
          </cell>
          <cell r="BR278">
            <v>4295.8779999999997</v>
          </cell>
          <cell r="BS278">
            <v>4276.598</v>
          </cell>
          <cell r="BT278">
            <v>4255.5119999999997</v>
          </cell>
          <cell r="BU278">
            <v>4232.8739999999998</v>
          </cell>
          <cell r="BV278">
            <v>4208.6019999999999</v>
          </cell>
          <cell r="BW278">
            <v>4182.857</v>
          </cell>
          <cell r="BX278">
            <v>4156.4049999999997</v>
          </cell>
        </row>
        <row r="279">
          <cell r="C279" t="str">
            <v>Gibraltar</v>
          </cell>
          <cell r="E279">
            <v>292</v>
          </cell>
          <cell r="F279" t="str">
            <v>Country</v>
          </cell>
          <cell r="G279">
            <v>925</v>
          </cell>
          <cell r="H279">
            <v>22.039000000000001</v>
          </cell>
          <cell r="I279">
            <v>22.285</v>
          </cell>
          <cell r="J279">
            <v>22.484999999999999</v>
          </cell>
          <cell r="K279">
            <v>22.625</v>
          </cell>
          <cell r="L279">
            <v>22.721</v>
          </cell>
          <cell r="M279">
            <v>22.788</v>
          </cell>
          <cell r="N279">
            <v>22.83</v>
          </cell>
          <cell r="O279">
            <v>22.88</v>
          </cell>
          <cell r="P279">
            <v>22.974</v>
          </cell>
          <cell r="Q279">
            <v>23.151</v>
          </cell>
          <cell r="R279">
            <v>23.42</v>
          </cell>
          <cell r="S279">
            <v>23.812999999999999</v>
          </cell>
          <cell r="T279">
            <v>24.312999999999999</v>
          </cell>
          <cell r="U279">
            <v>24.888999999999999</v>
          </cell>
          <cell r="V279">
            <v>25.478999999999999</v>
          </cell>
          <cell r="W279">
            <v>26.073</v>
          </cell>
          <cell r="X279">
            <v>26.632999999999999</v>
          </cell>
          <cell r="Y279">
            <v>27.172999999999998</v>
          </cell>
          <cell r="Z279">
            <v>27.684999999999999</v>
          </cell>
          <cell r="AA279">
            <v>28.166</v>
          </cell>
          <cell r="AB279">
            <v>28.606000000000002</v>
          </cell>
          <cell r="AC279">
            <v>29.006</v>
          </cell>
          <cell r="AD279">
            <v>29.358000000000001</v>
          </cell>
          <cell r="AE279">
            <v>29.65</v>
          </cell>
          <cell r="AF279">
            <v>29.885999999999999</v>
          </cell>
          <cell r="AG279">
            <v>30.067</v>
          </cell>
          <cell r="AH279">
            <v>30.18</v>
          </cell>
          <cell r="AI279">
            <v>30.234000000000002</v>
          </cell>
          <cell r="AJ279">
            <v>30.231999999999999</v>
          </cell>
          <cell r="AK279">
            <v>30.169</v>
          </cell>
          <cell r="AL279">
            <v>30.065000000000001</v>
          </cell>
          <cell r="AM279">
            <v>29.902000000000001</v>
          </cell>
          <cell r="AN279">
            <v>29.690999999999999</v>
          </cell>
          <cell r="AO279">
            <v>29.481999999999999</v>
          </cell>
          <cell r="AP279">
            <v>29.283000000000001</v>
          </cell>
          <cell r="AQ279">
            <v>29.154</v>
          </cell>
          <cell r="AR279">
            <v>29.094000000000001</v>
          </cell>
          <cell r="AS279">
            <v>29.114999999999998</v>
          </cell>
          <cell r="AT279">
            <v>29.158999999999999</v>
          </cell>
          <cell r="AU279">
            <v>29.187000000000001</v>
          </cell>
          <cell r="AV279">
            <v>29.146999999999998</v>
          </cell>
          <cell r="AW279">
            <v>29.021999999999998</v>
          </cell>
          <cell r="AX279">
            <v>28.84</v>
          </cell>
          <cell r="AY279">
            <v>28.675000000000001</v>
          </cell>
          <cell r="AZ279">
            <v>28.602</v>
          </cell>
          <cell r="BA279">
            <v>28.692</v>
          </cell>
          <cell r="BB279">
            <v>28.971</v>
          </cell>
          <cell r="BC279">
            <v>29.408000000000001</v>
          </cell>
          <cell r="BD279">
            <v>29.946999999999999</v>
          </cell>
          <cell r="BE279">
            <v>30.529</v>
          </cell>
          <cell r="BF279">
            <v>31.077000000000002</v>
          </cell>
          <cell r="BG279">
            <v>31.602</v>
          </cell>
          <cell r="BH279">
            <v>32.101999999999997</v>
          </cell>
          <cell r="BI279">
            <v>32.555</v>
          </cell>
          <cell r="BJ279">
            <v>32.927999999999997</v>
          </cell>
          <cell r="BK279">
            <v>33.219000000000001</v>
          </cell>
          <cell r="BL279">
            <v>33.417000000000002</v>
          </cell>
          <cell r="BM279">
            <v>33.517000000000003</v>
          </cell>
          <cell r="BN279">
            <v>33.558999999999997</v>
          </cell>
          <cell r="BO279">
            <v>33.564999999999998</v>
          </cell>
          <cell r="BP279">
            <v>33.585000000000001</v>
          </cell>
          <cell r="BQ279">
            <v>33.612000000000002</v>
          </cell>
          <cell r="BR279">
            <v>33.646000000000001</v>
          </cell>
          <cell r="BS279">
            <v>33.692</v>
          </cell>
          <cell r="BT279">
            <v>33.725000000000001</v>
          </cell>
          <cell r="BU279">
            <v>33.735999999999997</v>
          </cell>
          <cell r="BV279">
            <v>33.737000000000002</v>
          </cell>
          <cell r="BW279">
            <v>33.728000000000002</v>
          </cell>
          <cell r="BX279">
            <v>33.718000000000004</v>
          </cell>
        </row>
        <row r="280">
          <cell r="C280" t="str">
            <v>Greece</v>
          </cell>
          <cell r="E280">
            <v>300</v>
          </cell>
          <cell r="F280" t="str">
            <v>Country</v>
          </cell>
          <cell r="G280">
            <v>925</v>
          </cell>
          <cell r="H280">
            <v>7668.7939999999999</v>
          </cell>
          <cell r="I280">
            <v>7742.9340000000002</v>
          </cell>
          <cell r="J280">
            <v>7814.1639999999998</v>
          </cell>
          <cell r="K280">
            <v>7882.5959999999995</v>
          </cell>
          <cell r="L280">
            <v>7948.2830000000004</v>
          </cell>
          <cell r="M280">
            <v>8011.1239999999998</v>
          </cell>
          <cell r="N280">
            <v>8070.9620000000004</v>
          </cell>
          <cell r="O280">
            <v>8127.4750000000004</v>
          </cell>
          <cell r="P280">
            <v>8180.3220000000001</v>
          </cell>
          <cell r="Q280">
            <v>8229.1080000000002</v>
          </cell>
          <cell r="R280">
            <v>8273.6290000000008</v>
          </cell>
          <cell r="S280">
            <v>8314.0049999999992</v>
          </cell>
          <cell r="T280">
            <v>8350.8850000000002</v>
          </cell>
          <cell r="U280">
            <v>8385.4490000000005</v>
          </cell>
          <cell r="V280">
            <v>8419.2960000000003</v>
          </cell>
          <cell r="W280">
            <v>8453.8209999999999</v>
          </cell>
          <cell r="X280">
            <v>8489.8629999999994</v>
          </cell>
          <cell r="Y280">
            <v>8528.0300000000007</v>
          </cell>
          <cell r="Z280">
            <v>8569.1409999999996</v>
          </cell>
          <cell r="AA280">
            <v>8614.0360000000001</v>
          </cell>
          <cell r="AB280">
            <v>8663.5709999999999</v>
          </cell>
          <cell r="AC280">
            <v>8716.8729999999996</v>
          </cell>
          <cell r="AD280">
            <v>8774.5139999999992</v>
          </cell>
          <cell r="AE280">
            <v>8840.3150000000005</v>
          </cell>
          <cell r="AF280">
            <v>8919.2440000000006</v>
          </cell>
          <cell r="AG280">
            <v>9014.0849999999991</v>
          </cell>
          <cell r="AH280">
            <v>9127.0490000000009</v>
          </cell>
          <cell r="AI280">
            <v>9254.9779999999992</v>
          </cell>
          <cell r="AJ280">
            <v>9388.7279999999992</v>
          </cell>
          <cell r="AK280">
            <v>9515.7459999999992</v>
          </cell>
          <cell r="AL280">
            <v>9627.0020000000004</v>
          </cell>
          <cell r="AM280">
            <v>9719.8410000000003</v>
          </cell>
          <cell r="AN280">
            <v>9796.8289999999997</v>
          </cell>
          <cell r="AO280">
            <v>9860.7389999999996</v>
          </cell>
          <cell r="AP280">
            <v>9916.482</v>
          </cell>
          <cell r="AQ280">
            <v>9968.2379999999994</v>
          </cell>
          <cell r="AR280">
            <v>10015.119000000001</v>
          </cell>
          <cell r="AS280">
            <v>10057.297</v>
          </cell>
          <cell r="AT280">
            <v>10101.352000000001</v>
          </cell>
          <cell r="AU280">
            <v>10155.723</v>
          </cell>
          <cell r="AV280">
            <v>10225.992</v>
          </cell>
          <cell r="AW280">
            <v>10315.107</v>
          </cell>
          <cell r="AX280">
            <v>10420.236000000001</v>
          </cell>
          <cell r="AY280">
            <v>10533.815000000001</v>
          </cell>
          <cell r="AZ280">
            <v>10644.949000000001</v>
          </cell>
          <cell r="BA280">
            <v>10745.503000000001</v>
          </cell>
          <cell r="BB280">
            <v>10832.141</v>
          </cell>
          <cell r="BC280">
            <v>10906.257</v>
          </cell>
          <cell r="BD280">
            <v>10970.120999999999</v>
          </cell>
          <cell r="BE280">
            <v>11027.9</v>
          </cell>
          <cell r="BF280">
            <v>11082.103999999999</v>
          </cell>
          <cell r="BG280">
            <v>11134.457</v>
          </cell>
          <cell r="BH280">
            <v>11182.305</v>
          </cell>
          <cell r="BI280">
            <v>11218.884</v>
          </cell>
          <cell r="BJ280">
            <v>11234.992</v>
          </cell>
          <cell r="BK280">
            <v>11224.790999999999</v>
          </cell>
          <cell r="BL280">
            <v>11185.227999999999</v>
          </cell>
          <cell r="BM280">
            <v>11120.358</v>
          </cell>
          <cell r="BN280">
            <v>11040.308999999999</v>
          </cell>
          <cell r="BO280">
            <v>10959.272000000001</v>
          </cell>
          <cell r="BP280">
            <v>10887.637000000001</v>
          </cell>
          <cell r="BQ280">
            <v>10829.079</v>
          </cell>
          <cell r="BR280">
            <v>10781.125</v>
          </cell>
          <cell r="BS280">
            <v>10740.5</v>
          </cell>
          <cell r="BT280">
            <v>10701.456</v>
          </cell>
          <cell r="BU280">
            <v>10659.75</v>
          </cell>
          <cell r="BV280">
            <v>10615.184999999999</v>
          </cell>
          <cell r="BW280">
            <v>10569.45</v>
          </cell>
          <cell r="BX280">
            <v>10522.245999999999</v>
          </cell>
        </row>
        <row r="281">
          <cell r="C281" t="str">
            <v>Holy See</v>
          </cell>
          <cell r="D281">
            <v>20</v>
          </cell>
          <cell r="E281">
            <v>336</v>
          </cell>
          <cell r="F281" t="str">
            <v>Country</v>
          </cell>
          <cell r="G281">
            <v>925</v>
          </cell>
          <cell r="H281">
            <v>0.90800000000000003</v>
          </cell>
          <cell r="I281">
            <v>0.88500000000000001</v>
          </cell>
          <cell r="J281">
            <v>0.88200000000000001</v>
          </cell>
          <cell r="K281">
            <v>0.88600000000000001</v>
          </cell>
          <cell r="L281">
            <v>0.89400000000000002</v>
          </cell>
          <cell r="M281">
            <v>0.90800000000000003</v>
          </cell>
          <cell r="N281">
            <v>0.90500000000000003</v>
          </cell>
          <cell r="O281">
            <v>0.91</v>
          </cell>
          <cell r="P281">
            <v>0.91200000000000003</v>
          </cell>
          <cell r="Q281">
            <v>0.90800000000000003</v>
          </cell>
          <cell r="R281">
            <v>0.90600000000000003</v>
          </cell>
          <cell r="S281">
            <v>0.90300000000000002</v>
          </cell>
          <cell r="T281">
            <v>0.89800000000000002</v>
          </cell>
          <cell r="U281">
            <v>0.89200000000000002</v>
          </cell>
          <cell r="V281">
            <v>0.879</v>
          </cell>
          <cell r="W281">
            <v>0.85399999999999998</v>
          </cell>
          <cell r="X281">
            <v>0.81399999999999995</v>
          </cell>
          <cell r="Y281">
            <v>0.76600000000000001</v>
          </cell>
          <cell r="Z281">
            <v>0.71199999999999997</v>
          </cell>
          <cell r="AA281">
            <v>0.66900000000000004</v>
          </cell>
          <cell r="AB281">
            <v>0.64400000000000002</v>
          </cell>
          <cell r="AC281">
            <v>0.64200000000000002</v>
          </cell>
          <cell r="AD281">
            <v>0.65700000000000003</v>
          </cell>
          <cell r="AE281">
            <v>0.68600000000000005</v>
          </cell>
          <cell r="AF281">
            <v>0.70799999999999996</v>
          </cell>
          <cell r="AG281">
            <v>0.72799999999999998</v>
          </cell>
          <cell r="AH281">
            <v>0.73699999999999999</v>
          </cell>
          <cell r="AI281">
            <v>0.73699999999999999</v>
          </cell>
          <cell r="AJ281">
            <v>0.73</v>
          </cell>
          <cell r="AK281">
            <v>0.73</v>
          </cell>
          <cell r="AL281">
            <v>0.72399999999999998</v>
          </cell>
          <cell r="AM281">
            <v>0.72499999999999998</v>
          </cell>
          <cell r="AN281">
            <v>0.72899999999999998</v>
          </cell>
          <cell r="AO281">
            <v>0.73099999999999998</v>
          </cell>
          <cell r="AP281">
            <v>0.74</v>
          </cell>
          <cell r="AQ281">
            <v>0.746</v>
          </cell>
          <cell r="AR281">
            <v>0.75</v>
          </cell>
          <cell r="AS281">
            <v>0.75900000000000001</v>
          </cell>
          <cell r="AT281">
            <v>0.76400000000000001</v>
          </cell>
          <cell r="AU281">
            <v>0.76500000000000001</v>
          </cell>
          <cell r="AV281">
            <v>0.76800000000000002</v>
          </cell>
          <cell r="AW281">
            <v>0.77400000000000002</v>
          </cell>
          <cell r="AX281">
            <v>0.77900000000000003</v>
          </cell>
          <cell r="AY281">
            <v>0.77800000000000002</v>
          </cell>
          <cell r="AZ281">
            <v>0.77800000000000002</v>
          </cell>
          <cell r="BA281">
            <v>0.78</v>
          </cell>
          <cell r="BB281">
            <v>0.77800000000000002</v>
          </cell>
          <cell r="BC281">
            <v>0.78200000000000003</v>
          </cell>
          <cell r="BD281">
            <v>0.78100000000000003</v>
          </cell>
          <cell r="BE281">
            <v>0.78100000000000003</v>
          </cell>
          <cell r="BF281">
            <v>0.78500000000000003</v>
          </cell>
          <cell r="BG281">
            <v>0.78800000000000003</v>
          </cell>
          <cell r="BH281">
            <v>0.79200000000000004</v>
          </cell>
          <cell r="BI281">
            <v>0.79800000000000004</v>
          </cell>
          <cell r="BJ281">
            <v>0.79700000000000004</v>
          </cell>
          <cell r="BK281">
            <v>0.79800000000000004</v>
          </cell>
          <cell r="BL281">
            <v>0.8</v>
          </cell>
          <cell r="BM281">
            <v>0.79600000000000004</v>
          </cell>
          <cell r="BN281">
            <v>0.79400000000000004</v>
          </cell>
          <cell r="BO281">
            <v>0.79500000000000004</v>
          </cell>
          <cell r="BP281">
            <v>0.79400000000000004</v>
          </cell>
          <cell r="BQ281">
            <v>0.79600000000000004</v>
          </cell>
          <cell r="BR281">
            <v>0.80400000000000005</v>
          </cell>
          <cell r="BS281">
            <v>0.80100000000000005</v>
          </cell>
          <cell r="BT281">
            <v>0.8</v>
          </cell>
          <cell r="BU281">
            <v>0.80300000000000005</v>
          </cell>
          <cell r="BV281">
            <v>0.80100000000000005</v>
          </cell>
          <cell r="BW281">
            <v>0.79300000000000004</v>
          </cell>
          <cell r="BX281">
            <v>0.80100000000000005</v>
          </cell>
        </row>
        <row r="282">
          <cell r="C282" t="str">
            <v>Italy</v>
          </cell>
          <cell r="E282">
            <v>380</v>
          </cell>
          <cell r="F282" t="str">
            <v>Country</v>
          </cell>
          <cell r="G282">
            <v>925</v>
          </cell>
          <cell r="H282">
            <v>46598.601000000002</v>
          </cell>
          <cell r="I282">
            <v>47009.982000000004</v>
          </cell>
          <cell r="J282">
            <v>47390.567999999999</v>
          </cell>
          <cell r="K282">
            <v>47737.391000000003</v>
          </cell>
          <cell r="L282">
            <v>48051.033000000003</v>
          </cell>
          <cell r="M282">
            <v>48335.578000000001</v>
          </cell>
          <cell r="N282">
            <v>48598.908000000003</v>
          </cell>
          <cell r="O282">
            <v>48852.438999999998</v>
          </cell>
          <cell r="P282">
            <v>49110.364000000001</v>
          </cell>
          <cell r="Q282">
            <v>49388.391000000003</v>
          </cell>
          <cell r="R282">
            <v>49699.951000000001</v>
          </cell>
          <cell r="S282">
            <v>50052.171999999999</v>
          </cell>
          <cell r="T282">
            <v>50442.339</v>
          </cell>
          <cell r="U282">
            <v>50856.404999999999</v>
          </cell>
          <cell r="V282">
            <v>51273.231</v>
          </cell>
          <cell r="W282">
            <v>51677.256999999998</v>
          </cell>
          <cell r="X282">
            <v>52062.754000000001</v>
          </cell>
          <cell r="Y282">
            <v>52433.489000000001</v>
          </cell>
          <cell r="Z282">
            <v>52794.523000000001</v>
          </cell>
          <cell r="AA282">
            <v>53154.572999999997</v>
          </cell>
          <cell r="AB282">
            <v>53518.968999999997</v>
          </cell>
          <cell r="AC282">
            <v>53888.874000000003</v>
          </cell>
          <cell r="AD282">
            <v>54258.741000000002</v>
          </cell>
          <cell r="AE282">
            <v>54619.237000000001</v>
          </cell>
          <cell r="AF282">
            <v>54957.794000000002</v>
          </cell>
          <cell r="AG282">
            <v>55265.284</v>
          </cell>
          <cell r="AH282">
            <v>55537.955999999998</v>
          </cell>
          <cell r="AI282">
            <v>55777.88</v>
          </cell>
          <cell r="AJ282">
            <v>55988.981</v>
          </cell>
          <cell r="AK282">
            <v>56177.851000000002</v>
          </cell>
          <cell r="AL282">
            <v>56349.349000000002</v>
          </cell>
          <cell r="AM282">
            <v>56505.478000000003</v>
          </cell>
          <cell r="AN282">
            <v>56644.862999999998</v>
          </cell>
          <cell r="AO282">
            <v>56765.250999999997</v>
          </cell>
          <cell r="AP282">
            <v>56863.137000000002</v>
          </cell>
          <cell r="AQ282">
            <v>56936.773999999998</v>
          </cell>
          <cell r="AR282">
            <v>56983.930999999997</v>
          </cell>
          <cell r="AS282">
            <v>57007.741000000002</v>
          </cell>
          <cell r="AT282">
            <v>57018.182999999997</v>
          </cell>
          <cell r="AU282">
            <v>57028.703000000001</v>
          </cell>
          <cell r="AV282">
            <v>57048.235999999997</v>
          </cell>
          <cell r="AW282">
            <v>57088.112999999998</v>
          </cell>
          <cell r="AX282">
            <v>57145.305999999997</v>
          </cell>
          <cell r="AY282">
            <v>57197.612999999998</v>
          </cell>
          <cell r="AZ282">
            <v>57213.544000000002</v>
          </cell>
          <cell r="BA282">
            <v>57174.408000000003</v>
          </cell>
          <cell r="BB282">
            <v>57065.224999999999</v>
          </cell>
          <cell r="BC282">
            <v>56903.64</v>
          </cell>
          <cell r="BD282">
            <v>56742.76</v>
          </cell>
          <cell r="BE282">
            <v>56655.631999999998</v>
          </cell>
          <cell r="BF282">
            <v>56692.178</v>
          </cell>
          <cell r="BG282">
            <v>56875.146999999997</v>
          </cell>
          <cell r="BH282">
            <v>57182.519</v>
          </cell>
          <cell r="BI282">
            <v>57564.588000000003</v>
          </cell>
          <cell r="BJ282">
            <v>57948.423999999999</v>
          </cell>
          <cell r="BK282">
            <v>58281.212</v>
          </cell>
          <cell r="BL282">
            <v>58542.618999999999</v>
          </cell>
          <cell r="BM282">
            <v>58747.860999999997</v>
          </cell>
          <cell r="BN282">
            <v>58922.108999999997</v>
          </cell>
          <cell r="BO282">
            <v>59105.625</v>
          </cell>
          <cell r="BP282">
            <v>59325.228999999999</v>
          </cell>
          <cell r="BQ282">
            <v>59589.076000000001</v>
          </cell>
          <cell r="BR282">
            <v>59879.470999999998</v>
          </cell>
          <cell r="BS282">
            <v>60166.83</v>
          </cell>
          <cell r="BT282">
            <v>60409.62</v>
          </cell>
          <cell r="BU282">
            <v>60578.493999999999</v>
          </cell>
          <cell r="BV282">
            <v>60663.06</v>
          </cell>
          <cell r="BW282">
            <v>60673.701000000001</v>
          </cell>
          <cell r="BX282">
            <v>60627.290999999997</v>
          </cell>
        </row>
        <row r="283">
          <cell r="C283" t="str">
            <v>Malta</v>
          </cell>
          <cell r="E283">
            <v>470</v>
          </cell>
          <cell r="F283" t="str">
            <v>Country</v>
          </cell>
          <cell r="G283">
            <v>925</v>
          </cell>
          <cell r="H283">
            <v>312.00299999999999</v>
          </cell>
          <cell r="I283">
            <v>312.21300000000002</v>
          </cell>
          <cell r="J283">
            <v>312.74599999999998</v>
          </cell>
          <cell r="K283">
            <v>313.26900000000001</v>
          </cell>
          <cell r="L283">
            <v>313.56200000000001</v>
          </cell>
          <cell r="M283">
            <v>313.52600000000001</v>
          </cell>
          <cell r="N283">
            <v>313.19200000000001</v>
          </cell>
          <cell r="O283">
            <v>312.70400000000001</v>
          </cell>
          <cell r="P283">
            <v>312.30700000000002</v>
          </cell>
          <cell r="Q283">
            <v>312.31200000000001</v>
          </cell>
          <cell r="R283">
            <v>312.97300000000001</v>
          </cell>
          <cell r="S283">
            <v>314.41399999999999</v>
          </cell>
          <cell r="T283">
            <v>316.52199999999999</v>
          </cell>
          <cell r="U283">
            <v>318.88600000000002</v>
          </cell>
          <cell r="V283">
            <v>320.928</v>
          </cell>
          <cell r="W283">
            <v>322.24200000000002</v>
          </cell>
          <cell r="X283">
            <v>322.69600000000003</v>
          </cell>
          <cell r="Y283">
            <v>322.45800000000003</v>
          </cell>
          <cell r="Z283">
            <v>321.76900000000001</v>
          </cell>
          <cell r="AA283">
            <v>321.03300000000002</v>
          </cell>
          <cell r="AB283">
            <v>320.54500000000002</v>
          </cell>
          <cell r="AC283">
            <v>320.35500000000002</v>
          </cell>
          <cell r="AD283">
            <v>320.43599999999998</v>
          </cell>
          <cell r="AE283">
            <v>320.786</v>
          </cell>
          <cell r="AF283">
            <v>321.43700000000001</v>
          </cell>
          <cell r="AG283">
            <v>322.35599999999999</v>
          </cell>
          <cell r="AH283">
            <v>323.58</v>
          </cell>
          <cell r="AI283">
            <v>325.12700000000001</v>
          </cell>
          <cell r="AJ283">
            <v>326.98200000000003</v>
          </cell>
          <cell r="AK283">
            <v>329.11500000000001</v>
          </cell>
          <cell r="AL283">
            <v>331.49700000000001</v>
          </cell>
          <cell r="AM283">
            <v>334.12400000000002</v>
          </cell>
          <cell r="AN283">
            <v>336.96499999999997</v>
          </cell>
          <cell r="AO283">
            <v>339.98599999999999</v>
          </cell>
          <cell r="AP283">
            <v>343.1</v>
          </cell>
          <cell r="AQ283">
            <v>346.25</v>
          </cell>
          <cell r="AR283">
            <v>349.43</v>
          </cell>
          <cell r="AS283">
            <v>352.62299999999999</v>
          </cell>
          <cell r="AT283">
            <v>355.79899999999998</v>
          </cell>
          <cell r="AU283">
            <v>358.93299999999999</v>
          </cell>
          <cell r="AV283">
            <v>362.01499999999999</v>
          </cell>
          <cell r="AW283">
            <v>365.00200000000001</v>
          </cell>
          <cell r="AX283">
            <v>367.89100000000002</v>
          </cell>
          <cell r="AY283">
            <v>370.77499999999998</v>
          </cell>
          <cell r="AZ283">
            <v>373.75</v>
          </cell>
          <cell r="BA283">
            <v>376.89600000000002</v>
          </cell>
          <cell r="BB283">
            <v>380.25299999999999</v>
          </cell>
          <cell r="BC283">
            <v>383.76</v>
          </cell>
          <cell r="BD283">
            <v>387.29</v>
          </cell>
          <cell r="BE283">
            <v>390.62700000000001</v>
          </cell>
          <cell r="BF283">
            <v>393.64499999999998</v>
          </cell>
          <cell r="BG283">
            <v>396.32799999999997</v>
          </cell>
          <cell r="BH283">
            <v>398.71800000000002</v>
          </cell>
          <cell r="BI283">
            <v>400.85899999999998</v>
          </cell>
          <cell r="BJ283">
            <v>402.81700000000001</v>
          </cell>
          <cell r="BK283">
            <v>404.65300000000002</v>
          </cell>
          <cell r="BL283">
            <v>406.32799999999997</v>
          </cell>
          <cell r="BM283">
            <v>407.85199999999998</v>
          </cell>
          <cell r="BN283">
            <v>409.49099999999999</v>
          </cell>
          <cell r="BO283">
            <v>411.55200000000002</v>
          </cell>
          <cell r="BP283">
            <v>414.25299999999999</v>
          </cell>
          <cell r="BQ283">
            <v>417.714</v>
          </cell>
          <cell r="BR283">
            <v>421.80900000000003</v>
          </cell>
          <cell r="BS283">
            <v>426.15100000000001</v>
          </cell>
          <cell r="BT283">
            <v>430.197</v>
          </cell>
          <cell r="BU283">
            <v>433.55900000000003</v>
          </cell>
          <cell r="BV283">
            <v>436.09699999999998</v>
          </cell>
          <cell r="BW283">
            <v>437.93299999999999</v>
          </cell>
          <cell r="BX283">
            <v>439.24799999999999</v>
          </cell>
        </row>
        <row r="284">
          <cell r="C284" t="str">
            <v>Montenegro</v>
          </cell>
          <cell r="E284">
            <v>499</v>
          </cell>
          <cell r="F284" t="str">
            <v>Country</v>
          </cell>
          <cell r="G284">
            <v>925</v>
          </cell>
          <cell r="H284">
            <v>394.73899999999998</v>
          </cell>
          <cell r="I284">
            <v>400.87200000000001</v>
          </cell>
          <cell r="J284">
            <v>410.50799999999998</v>
          </cell>
          <cell r="K284">
            <v>421.73700000000002</v>
          </cell>
          <cell r="L284">
            <v>433.13499999999999</v>
          </cell>
          <cell r="M284">
            <v>443.79500000000002</v>
          </cell>
          <cell r="N284">
            <v>453.31700000000001</v>
          </cell>
          <cell r="O284">
            <v>461.80900000000003</v>
          </cell>
          <cell r="P284">
            <v>469.791</v>
          </cell>
          <cell r="Q284">
            <v>478.06799999999998</v>
          </cell>
          <cell r="R284">
            <v>487.41300000000001</v>
          </cell>
          <cell r="S284">
            <v>498.12799999999999</v>
          </cell>
          <cell r="T284">
            <v>509.71300000000002</v>
          </cell>
          <cell r="U284">
            <v>520.71400000000006</v>
          </cell>
          <cell r="V284">
            <v>529.17499999999995</v>
          </cell>
          <cell r="W284">
            <v>533.81399999999996</v>
          </cell>
          <cell r="X284">
            <v>533.90800000000002</v>
          </cell>
          <cell r="Y284">
            <v>530.22900000000004</v>
          </cell>
          <cell r="Z284">
            <v>524.84400000000005</v>
          </cell>
          <cell r="AA284">
            <v>520.64700000000005</v>
          </cell>
          <cell r="AB284">
            <v>519.69600000000003</v>
          </cell>
          <cell r="AC284">
            <v>522.78599999999994</v>
          </cell>
          <cell r="AD284">
            <v>529.21</v>
          </cell>
          <cell r="AE284">
            <v>537.75800000000004</v>
          </cell>
          <cell r="AF284">
            <v>546.57399999999996</v>
          </cell>
          <cell r="AG284">
            <v>554.26199999999994</v>
          </cell>
          <cell r="AH284">
            <v>560.423</v>
          </cell>
          <cell r="AI284">
            <v>565.50699999999995</v>
          </cell>
          <cell r="AJ284">
            <v>570.05600000000004</v>
          </cell>
          <cell r="AK284">
            <v>574.95000000000005</v>
          </cell>
          <cell r="AL284">
            <v>580.75400000000002</v>
          </cell>
          <cell r="AM284">
            <v>587.68700000000001</v>
          </cell>
          <cell r="AN284">
            <v>595.35199999999998</v>
          </cell>
          <cell r="AO284">
            <v>602.96699999999998</v>
          </cell>
          <cell r="AP284">
            <v>609.43100000000004</v>
          </cell>
          <cell r="AQ284">
            <v>614.01599999999996</v>
          </cell>
          <cell r="AR284">
            <v>616.35699999999997</v>
          </cell>
          <cell r="AS284">
            <v>616.79700000000003</v>
          </cell>
          <cell r="AT284">
            <v>616.05399999999997</v>
          </cell>
          <cell r="AU284">
            <v>615.20399999999995</v>
          </cell>
          <cell r="AV284">
            <v>615.00199999999995</v>
          </cell>
          <cell r="AW284">
            <v>615.74400000000003</v>
          </cell>
          <cell r="AX284">
            <v>617.173</v>
          </cell>
          <cell r="AY284">
            <v>618.85299999999995</v>
          </cell>
          <cell r="AZ284">
            <v>620.08699999999999</v>
          </cell>
          <cell r="BA284">
            <v>620.41800000000001</v>
          </cell>
          <cell r="BB284">
            <v>619.70699999999999</v>
          </cell>
          <cell r="BC284">
            <v>618.21900000000005</v>
          </cell>
          <cell r="BD284">
            <v>616.33900000000006</v>
          </cell>
          <cell r="BE284">
            <v>614.65099999999995</v>
          </cell>
          <cell r="BF284">
            <v>613.55899999999997</v>
          </cell>
          <cell r="BG284">
            <v>613.17100000000005</v>
          </cell>
          <cell r="BH284">
            <v>613.37099999999998</v>
          </cell>
          <cell r="BI284">
            <v>614.07899999999995</v>
          </cell>
          <cell r="BJ284">
            <v>615.13</v>
          </cell>
          <cell r="BK284">
            <v>616.39099999999996</v>
          </cell>
          <cell r="BL284">
            <v>617.86</v>
          </cell>
          <cell r="BM284">
            <v>619.55499999999995</v>
          </cell>
          <cell r="BN284">
            <v>621.32000000000005</v>
          </cell>
          <cell r="BO284">
            <v>622.93899999999996</v>
          </cell>
          <cell r="BP284">
            <v>624.27499999999998</v>
          </cell>
          <cell r="BQ284">
            <v>625.27</v>
          </cell>
          <cell r="BR284">
            <v>625.92499999999995</v>
          </cell>
          <cell r="BS284">
            <v>626.34500000000003</v>
          </cell>
          <cell r="BT284">
            <v>626.64499999999998</v>
          </cell>
          <cell r="BU284">
            <v>626.95600000000002</v>
          </cell>
          <cell r="BV284">
            <v>627.26400000000001</v>
          </cell>
          <cell r="BW284">
            <v>627.56299999999999</v>
          </cell>
          <cell r="BX284">
            <v>627.80899999999997</v>
          </cell>
        </row>
        <row r="285">
          <cell r="C285" t="str">
            <v>North Macedonia</v>
          </cell>
          <cell r="E285">
            <v>807</v>
          </cell>
          <cell r="F285" t="str">
            <v>Country</v>
          </cell>
          <cell r="G285">
            <v>925</v>
          </cell>
          <cell r="H285">
            <v>1254.4449999999999</v>
          </cell>
          <cell r="I285">
            <v>1290.4069999999999</v>
          </cell>
          <cell r="J285">
            <v>1320.981</v>
          </cell>
          <cell r="K285">
            <v>1347.463</v>
          </cell>
          <cell r="L285">
            <v>1370.9780000000001</v>
          </cell>
          <cell r="M285">
            <v>1392.4490000000001</v>
          </cell>
          <cell r="N285">
            <v>1412.6130000000001</v>
          </cell>
          <cell r="O285">
            <v>1432.019</v>
          </cell>
          <cell r="P285">
            <v>1451.0150000000001</v>
          </cell>
          <cell r="Q285">
            <v>1469.8430000000001</v>
          </cell>
          <cell r="R285">
            <v>1488.6669999999999</v>
          </cell>
          <cell r="S285">
            <v>1507.654</v>
          </cell>
          <cell r="T285">
            <v>1527.1110000000001</v>
          </cell>
          <cell r="U285">
            <v>1547.45</v>
          </cell>
          <cell r="V285">
            <v>1569.1420000000001</v>
          </cell>
          <cell r="W285">
            <v>1592.433</v>
          </cell>
          <cell r="X285">
            <v>1617.7950000000001</v>
          </cell>
          <cell r="Y285">
            <v>1644.943</v>
          </cell>
          <cell r="Z285">
            <v>1672.3989999999999</v>
          </cell>
          <cell r="AA285">
            <v>1698.144</v>
          </cell>
          <cell r="AB285">
            <v>1720.8</v>
          </cell>
          <cell r="AC285">
            <v>1739.521</v>
          </cell>
          <cell r="AD285">
            <v>1754.9559999999999</v>
          </cell>
          <cell r="AE285">
            <v>1768.991</v>
          </cell>
          <cell r="AF285">
            <v>1784.3979999999999</v>
          </cell>
          <cell r="AG285">
            <v>1803.01</v>
          </cell>
          <cell r="AH285">
            <v>1825.5519999999999</v>
          </cell>
          <cell r="AI285">
            <v>1851.069</v>
          </cell>
          <cell r="AJ285">
            <v>1877.6880000000001</v>
          </cell>
          <cell r="AK285">
            <v>1902.7190000000001</v>
          </cell>
          <cell r="AL285">
            <v>1924.1969999999999</v>
          </cell>
          <cell r="AM285">
            <v>1941.53</v>
          </cell>
          <cell r="AN285">
            <v>1955.2429999999999</v>
          </cell>
          <cell r="AO285">
            <v>1965.895</v>
          </cell>
          <cell r="AP285">
            <v>1974.415</v>
          </cell>
          <cell r="AQ285">
            <v>1981.5340000000001</v>
          </cell>
          <cell r="AR285">
            <v>1987.538</v>
          </cell>
          <cell r="AS285">
            <v>1992.2739999999999</v>
          </cell>
          <cell r="AT285">
            <v>1995.5129999999999</v>
          </cell>
          <cell r="AU285">
            <v>1996.87</v>
          </cell>
          <cell r="AV285">
            <v>1996.2280000000001</v>
          </cell>
          <cell r="AW285">
            <v>1993.3019999999999</v>
          </cell>
          <cell r="AX285">
            <v>1988.6590000000001</v>
          </cell>
          <cell r="AY285">
            <v>1984.028</v>
          </cell>
          <cell r="AZ285">
            <v>1981.703</v>
          </cell>
          <cell r="BA285">
            <v>1983.252</v>
          </cell>
          <cell r="BB285">
            <v>1989.443</v>
          </cell>
          <cell r="BC285">
            <v>1999.598</v>
          </cell>
          <cell r="BD285">
            <v>2012.057</v>
          </cell>
          <cell r="BE285">
            <v>2024.394</v>
          </cell>
          <cell r="BF285">
            <v>2034.819</v>
          </cell>
          <cell r="BG285">
            <v>2042.8420000000001</v>
          </cell>
          <cell r="BH285">
            <v>2048.9279999999999</v>
          </cell>
          <cell r="BI285">
            <v>2053.4259999999999</v>
          </cell>
          <cell r="BJ285">
            <v>2057.0479999999998</v>
          </cell>
          <cell r="BK285">
            <v>2060.2730000000001</v>
          </cell>
          <cell r="BL285">
            <v>2063.1309999999999</v>
          </cell>
          <cell r="BM285">
            <v>2065.4259999999999</v>
          </cell>
          <cell r="BN285">
            <v>2067.3130000000001</v>
          </cell>
          <cell r="BO285">
            <v>2069.0390000000002</v>
          </cell>
          <cell r="BP285">
            <v>2070.741</v>
          </cell>
          <cell r="BQ285">
            <v>2072.4870000000001</v>
          </cell>
          <cell r="BR285">
            <v>2074.2779999999998</v>
          </cell>
          <cell r="BS285">
            <v>2076.067</v>
          </cell>
          <cell r="BT285">
            <v>2077.7750000000001</v>
          </cell>
          <cell r="BU285">
            <v>2079.328</v>
          </cell>
          <cell r="BV285">
            <v>2080.7429999999999</v>
          </cell>
          <cell r="BW285">
            <v>2081.9960000000001</v>
          </cell>
          <cell r="BX285">
            <v>2082.9569999999999</v>
          </cell>
        </row>
        <row r="286">
          <cell r="C286" t="str">
            <v>Portugal</v>
          </cell>
          <cell r="E286">
            <v>620</v>
          </cell>
          <cell r="F286" t="str">
            <v>Country</v>
          </cell>
          <cell r="G286">
            <v>925</v>
          </cell>
          <cell r="H286">
            <v>8416.9670000000006</v>
          </cell>
          <cell r="I286">
            <v>8418.7330000000002</v>
          </cell>
          <cell r="J286">
            <v>8451.5460000000003</v>
          </cell>
          <cell r="K286">
            <v>8503.1740000000009</v>
          </cell>
          <cell r="L286">
            <v>8563.7070000000003</v>
          </cell>
          <cell r="M286">
            <v>8625.5319999999992</v>
          </cell>
          <cell r="N286">
            <v>8683.4189999999999</v>
          </cell>
          <cell r="O286">
            <v>8734.4259999999995</v>
          </cell>
          <cell r="P286">
            <v>8777.6970000000001</v>
          </cell>
          <cell r="Q286">
            <v>8814.0220000000008</v>
          </cell>
          <cell r="R286">
            <v>8844.6450000000004</v>
          </cell>
          <cell r="S286">
            <v>8869.9860000000008</v>
          </cell>
          <cell r="T286">
            <v>8888.5130000000008</v>
          </cell>
          <cell r="U286">
            <v>8896.2720000000008</v>
          </cell>
          <cell r="V286">
            <v>8888.2250000000004</v>
          </cell>
          <cell r="W286">
            <v>8862.2800000000007</v>
          </cell>
          <cell r="X286">
            <v>8814.7860000000001</v>
          </cell>
          <cell r="Y286">
            <v>8750.8580000000002</v>
          </cell>
          <cell r="Z286">
            <v>8687.8760000000002</v>
          </cell>
          <cell r="AA286">
            <v>8649.2530000000006</v>
          </cell>
          <cell r="AB286">
            <v>8651.34</v>
          </cell>
          <cell r="AC286">
            <v>8699.9969999999994</v>
          </cell>
          <cell r="AD286">
            <v>8789.1020000000008</v>
          </cell>
          <cell r="AE286">
            <v>8907.9259999999995</v>
          </cell>
          <cell r="AF286">
            <v>9039.9750000000004</v>
          </cell>
          <cell r="AG286">
            <v>9172.241</v>
          </cell>
          <cell r="AH286">
            <v>9302.2980000000007</v>
          </cell>
          <cell r="AI286">
            <v>9431.0429999999997</v>
          </cell>
          <cell r="AJ286">
            <v>9552.6039999999994</v>
          </cell>
          <cell r="AK286">
            <v>9660.7459999999992</v>
          </cell>
          <cell r="AL286">
            <v>9750.9639999999999</v>
          </cell>
          <cell r="AM286">
            <v>9820.8719999999994</v>
          </cell>
          <cell r="AN286">
            <v>9870.8230000000003</v>
          </cell>
          <cell r="AO286">
            <v>9902.9969999999994</v>
          </cell>
          <cell r="AP286">
            <v>9921.241</v>
          </cell>
          <cell r="AQ286">
            <v>9929.1839999999993</v>
          </cell>
          <cell r="AR286">
            <v>9926.4159999999993</v>
          </cell>
          <cell r="AS286">
            <v>9914.0660000000007</v>
          </cell>
          <cell r="AT286">
            <v>9899.1980000000003</v>
          </cell>
          <cell r="AU286">
            <v>9890.8220000000001</v>
          </cell>
          <cell r="AV286">
            <v>9895.3639999999996</v>
          </cell>
          <cell r="AW286">
            <v>9916.0490000000009</v>
          </cell>
          <cell r="AX286">
            <v>9951.3029999999999</v>
          </cell>
          <cell r="AY286">
            <v>9996.64</v>
          </cell>
          <cell r="AZ286">
            <v>10045.044</v>
          </cell>
          <cell r="BA286">
            <v>10091.325000000001</v>
          </cell>
          <cell r="BB286">
            <v>10134.02</v>
          </cell>
          <cell r="BC286">
            <v>10174.563</v>
          </cell>
          <cell r="BD286">
            <v>10214.052</v>
          </cell>
          <cell r="BE286">
            <v>10254.49</v>
          </cell>
          <cell r="BF286">
            <v>10297.111999999999</v>
          </cell>
          <cell r="BG286">
            <v>10341.454</v>
          </cell>
          <cell r="BH286">
            <v>10385.986999999999</v>
          </cell>
          <cell r="BI286">
            <v>10429.611999999999</v>
          </cell>
          <cell r="BJ286">
            <v>10470.921</v>
          </cell>
          <cell r="BK286">
            <v>10508.495000000001</v>
          </cell>
          <cell r="BL286">
            <v>10542.83</v>
          </cell>
          <cell r="BM286">
            <v>10573.143</v>
          </cell>
          <cell r="BN286">
            <v>10595.314</v>
          </cell>
          <cell r="BO286">
            <v>10604.056</v>
          </cell>
          <cell r="BP286">
            <v>10596.058000000001</v>
          </cell>
          <cell r="BQ286">
            <v>10569.38</v>
          </cell>
          <cell r="BR286">
            <v>10526.308000000001</v>
          </cell>
          <cell r="BS286">
            <v>10473.021000000001</v>
          </cell>
          <cell r="BT286">
            <v>10418.218000000001</v>
          </cell>
          <cell r="BU286">
            <v>10368.351000000001</v>
          </cell>
          <cell r="BV286">
            <v>10325.538</v>
          </cell>
          <cell r="BW286">
            <v>10288.527</v>
          </cell>
          <cell r="BX286">
            <v>10256.192999999999</v>
          </cell>
        </row>
        <row r="287">
          <cell r="C287" t="str">
            <v>San Marino</v>
          </cell>
          <cell r="E287">
            <v>674</v>
          </cell>
          <cell r="F287" t="str">
            <v>Country</v>
          </cell>
          <cell r="G287">
            <v>925</v>
          </cell>
          <cell r="H287">
            <v>12.781000000000001</v>
          </cell>
          <cell r="I287">
            <v>12.922000000000001</v>
          </cell>
          <cell r="J287">
            <v>13.099</v>
          </cell>
          <cell r="K287">
            <v>13.298999999999999</v>
          </cell>
          <cell r="L287">
            <v>13.529</v>
          </cell>
          <cell r="M287">
            <v>13.789</v>
          </cell>
          <cell r="N287">
            <v>14.069000000000001</v>
          </cell>
          <cell r="O287">
            <v>14.379</v>
          </cell>
          <cell r="P287">
            <v>14.705</v>
          </cell>
          <cell r="Q287">
            <v>15.06</v>
          </cell>
          <cell r="R287">
            <v>15.432</v>
          </cell>
          <cell r="S287">
            <v>15.837</v>
          </cell>
          <cell r="T287">
            <v>16.254999999999999</v>
          </cell>
          <cell r="U287">
            <v>16.678999999999998</v>
          </cell>
          <cell r="V287">
            <v>17.099</v>
          </cell>
          <cell r="W287">
            <v>17.513000000000002</v>
          </cell>
          <cell r="X287">
            <v>17.917999999999999</v>
          </cell>
          <cell r="Y287">
            <v>18.306999999999999</v>
          </cell>
          <cell r="Z287">
            <v>18.667999999999999</v>
          </cell>
          <cell r="AA287">
            <v>18.977</v>
          </cell>
          <cell r="AB287">
            <v>19.221</v>
          </cell>
          <cell r="AC287">
            <v>19.388999999999999</v>
          </cell>
          <cell r="AD287">
            <v>19.494</v>
          </cell>
          <cell r="AE287">
            <v>19.565999999999999</v>
          </cell>
          <cell r="AF287">
            <v>19.664000000000001</v>
          </cell>
          <cell r="AG287">
            <v>19.831</v>
          </cell>
          <cell r="AH287">
            <v>20.082999999999998</v>
          </cell>
          <cell r="AI287">
            <v>20.396999999999998</v>
          </cell>
          <cell r="AJ287">
            <v>20.76</v>
          </cell>
          <cell r="AK287">
            <v>21.126999999999999</v>
          </cell>
          <cell r="AL287">
            <v>21.459</v>
          </cell>
          <cell r="AM287">
            <v>21.765000000000001</v>
          </cell>
          <cell r="AN287">
            <v>22.036999999999999</v>
          </cell>
          <cell r="AO287">
            <v>22.298999999999999</v>
          </cell>
          <cell r="AP287">
            <v>22.548999999999999</v>
          </cell>
          <cell r="AQ287">
            <v>22.797999999999998</v>
          </cell>
          <cell r="AR287">
            <v>23.045999999999999</v>
          </cell>
          <cell r="AS287">
            <v>23.295000000000002</v>
          </cell>
          <cell r="AT287">
            <v>23.550999999999998</v>
          </cell>
          <cell r="AU287">
            <v>23.817</v>
          </cell>
          <cell r="AV287">
            <v>24.125</v>
          </cell>
          <cell r="AW287">
            <v>24.46</v>
          </cell>
          <cell r="AX287">
            <v>24.821999999999999</v>
          </cell>
          <cell r="AY287">
            <v>25.209</v>
          </cell>
          <cell r="AZ287">
            <v>25.582000000000001</v>
          </cell>
          <cell r="BA287">
            <v>25.928000000000001</v>
          </cell>
          <cell r="BB287">
            <v>26.251999999999999</v>
          </cell>
          <cell r="BC287">
            <v>26.562000000000001</v>
          </cell>
          <cell r="BD287">
            <v>26.84</v>
          </cell>
          <cell r="BE287">
            <v>27.145</v>
          </cell>
          <cell r="BF287">
            <v>27.462</v>
          </cell>
          <cell r="BG287">
            <v>27.812000000000001</v>
          </cell>
          <cell r="BH287">
            <v>28.175000000000001</v>
          </cell>
          <cell r="BI287">
            <v>28.562000000000001</v>
          </cell>
          <cell r="BJ287">
            <v>28.94</v>
          </cell>
          <cell r="BK287">
            <v>29.324000000000002</v>
          </cell>
          <cell r="BL287">
            <v>29.7</v>
          </cell>
          <cell r="BM287">
            <v>30.062999999999999</v>
          </cell>
          <cell r="BN287">
            <v>30.434000000000001</v>
          </cell>
          <cell r="BO287">
            <v>30.815999999999999</v>
          </cell>
          <cell r="BP287">
            <v>31.228999999999999</v>
          </cell>
          <cell r="BQ287">
            <v>31.661000000000001</v>
          </cell>
          <cell r="BR287">
            <v>32.104999999999997</v>
          </cell>
          <cell r="BS287">
            <v>32.552999999999997</v>
          </cell>
          <cell r="BT287">
            <v>32.948</v>
          </cell>
          <cell r="BU287">
            <v>33.271999999999998</v>
          </cell>
          <cell r="BV287">
            <v>33.503999999999998</v>
          </cell>
          <cell r="BW287">
            <v>33.670999999999999</v>
          </cell>
          <cell r="BX287">
            <v>33.784999999999997</v>
          </cell>
        </row>
        <row r="288">
          <cell r="C288" t="str">
            <v>Serbia</v>
          </cell>
          <cell r="D288">
            <v>21</v>
          </cell>
          <cell r="E288">
            <v>688</v>
          </cell>
          <cell r="F288" t="str">
            <v>Country</v>
          </cell>
          <cell r="G288">
            <v>925</v>
          </cell>
          <cell r="H288">
            <v>6732.2560000000003</v>
          </cell>
          <cell r="I288">
            <v>6853.2929999999997</v>
          </cell>
          <cell r="J288">
            <v>6963.402</v>
          </cell>
          <cell r="K288">
            <v>7063.1629999999996</v>
          </cell>
          <cell r="L288">
            <v>7153.3649999999998</v>
          </cell>
          <cell r="M288">
            <v>7234.9219999999996</v>
          </cell>
          <cell r="N288">
            <v>7308.9319999999998</v>
          </cell>
          <cell r="O288">
            <v>7376.6869999999999</v>
          </cell>
          <cell r="P288">
            <v>7439.6059999999998</v>
          </cell>
          <cell r="Q288">
            <v>7499.1670000000004</v>
          </cell>
          <cell r="R288">
            <v>7556.7269999999999</v>
          </cell>
          <cell r="S288">
            <v>7613.3519999999999</v>
          </cell>
          <cell r="T288">
            <v>7669.61</v>
          </cell>
          <cell r="U288">
            <v>7725.5029999999997</v>
          </cell>
          <cell r="V288">
            <v>7780.6869999999999</v>
          </cell>
          <cell r="W288">
            <v>7835.0829999999996</v>
          </cell>
          <cell r="X288">
            <v>7888.8050000000003</v>
          </cell>
          <cell r="Y288">
            <v>7942.64</v>
          </cell>
          <cell r="Z288">
            <v>7998.0029999999997</v>
          </cell>
          <cell r="AA288">
            <v>8056.665</v>
          </cell>
          <cell r="AB288">
            <v>8119.86</v>
          </cell>
          <cell r="AC288">
            <v>8187.991</v>
          </cell>
          <cell r="AD288">
            <v>8260.625</v>
          </cell>
          <cell r="AE288">
            <v>8337.0759999999991</v>
          </cell>
          <cell r="AF288">
            <v>8416.2479999999996</v>
          </cell>
          <cell r="AG288">
            <v>8497.17</v>
          </cell>
          <cell r="AH288">
            <v>8579.6299999999992</v>
          </cell>
          <cell r="AI288">
            <v>8663.3259999999991</v>
          </cell>
          <cell r="AJ288">
            <v>8746.98</v>
          </cell>
          <cell r="AK288">
            <v>8829.0360000000001</v>
          </cell>
          <cell r="AL288">
            <v>8908.2939999999999</v>
          </cell>
          <cell r="AM288">
            <v>8984.5959999999995</v>
          </cell>
          <cell r="AN288">
            <v>9057.9789999999994</v>
          </cell>
          <cell r="AO288">
            <v>9127.68</v>
          </cell>
          <cell r="AP288">
            <v>9192.92</v>
          </cell>
          <cell r="AQ288">
            <v>9253.4050000000007</v>
          </cell>
          <cell r="AR288">
            <v>9306.3469999999998</v>
          </cell>
          <cell r="AS288">
            <v>9352.15</v>
          </cell>
          <cell r="AT288">
            <v>9397.3130000000001</v>
          </cell>
          <cell r="AU288">
            <v>9450.7710000000006</v>
          </cell>
          <cell r="AV288">
            <v>9517.6749999999993</v>
          </cell>
          <cell r="AW288">
            <v>9602.8870000000006</v>
          </cell>
          <cell r="AX288">
            <v>9701.1509999999998</v>
          </cell>
          <cell r="AY288">
            <v>9795.2559999999994</v>
          </cell>
          <cell r="AZ288">
            <v>9861.6270000000004</v>
          </cell>
          <cell r="BA288">
            <v>9884.1470000000008</v>
          </cell>
          <cell r="BB288">
            <v>9856.0650000000005</v>
          </cell>
          <cell r="BC288">
            <v>9784.6959999999999</v>
          </cell>
          <cell r="BD288">
            <v>9685.4140000000007</v>
          </cell>
          <cell r="BE288">
            <v>9580.8089999999993</v>
          </cell>
          <cell r="BF288">
            <v>9487.616</v>
          </cell>
          <cell r="BG288">
            <v>9410.768</v>
          </cell>
          <cell r="BH288">
            <v>9346.4650000000001</v>
          </cell>
          <cell r="BI288">
            <v>9292.2340000000004</v>
          </cell>
          <cell r="BJ288">
            <v>9242.6450000000004</v>
          </cell>
          <cell r="BK288">
            <v>9193.8250000000007</v>
          </cell>
          <cell r="BL288">
            <v>9145.9140000000007</v>
          </cell>
          <cell r="BM288">
            <v>9101.1849999999995</v>
          </cell>
          <cell r="BN288">
            <v>9060.1029999999992</v>
          </cell>
          <cell r="BO288">
            <v>9023.357</v>
          </cell>
          <cell r="BP288">
            <v>8991.2540000000008</v>
          </cell>
          <cell r="BQ288">
            <v>8963.7690000000002</v>
          </cell>
          <cell r="BR288">
            <v>8940.1129999999994</v>
          </cell>
          <cell r="BS288">
            <v>8918.9040000000005</v>
          </cell>
          <cell r="BT288">
            <v>8898.2890000000007</v>
          </cell>
          <cell r="BU288">
            <v>8876.777</v>
          </cell>
          <cell r="BV288">
            <v>8853.9629999999997</v>
          </cell>
          <cell r="BW288">
            <v>8829.6280000000006</v>
          </cell>
          <cell r="BX288">
            <v>8802.7540000000008</v>
          </cell>
        </row>
        <row r="289">
          <cell r="C289" t="str">
            <v>Slovenia</v>
          </cell>
          <cell r="E289">
            <v>705</v>
          </cell>
          <cell r="F289" t="str">
            <v>Country</v>
          </cell>
          <cell r="G289">
            <v>925</v>
          </cell>
          <cell r="H289">
            <v>1473.0930000000001</v>
          </cell>
          <cell r="I289">
            <v>1481.633</v>
          </cell>
          <cell r="J289">
            <v>1491.673</v>
          </cell>
          <cell r="K289">
            <v>1502.8430000000001</v>
          </cell>
          <cell r="L289">
            <v>1514.7829999999999</v>
          </cell>
          <cell r="M289">
            <v>1527.2049999999999</v>
          </cell>
          <cell r="N289">
            <v>1539.7850000000001</v>
          </cell>
          <cell r="O289">
            <v>1552.2529999999999</v>
          </cell>
          <cell r="P289">
            <v>1564.356</v>
          </cell>
          <cell r="Q289">
            <v>1575.8720000000001</v>
          </cell>
          <cell r="R289">
            <v>1586.6369999999999</v>
          </cell>
          <cell r="S289">
            <v>1596.556</v>
          </cell>
          <cell r="T289">
            <v>1605.645</v>
          </cell>
          <cell r="U289">
            <v>1614.02</v>
          </cell>
          <cell r="V289">
            <v>1621.8779999999999</v>
          </cell>
          <cell r="W289">
            <v>1629.433</v>
          </cell>
          <cell r="X289">
            <v>1636.6669999999999</v>
          </cell>
          <cell r="Y289">
            <v>1643.6990000000001</v>
          </cell>
          <cell r="Z289">
            <v>1651.0930000000001</v>
          </cell>
          <cell r="AA289">
            <v>1659.5540000000001</v>
          </cell>
          <cell r="AB289">
            <v>1669.5809999999999</v>
          </cell>
          <cell r="AC289">
            <v>1681.4269999999999</v>
          </cell>
          <cell r="AD289">
            <v>1694.9739999999999</v>
          </cell>
          <cell r="AE289">
            <v>1709.9760000000001</v>
          </cell>
          <cell r="AF289">
            <v>1725.963</v>
          </cell>
          <cell r="AG289">
            <v>1742.623</v>
          </cell>
          <cell r="AH289">
            <v>1759.729</v>
          </cell>
          <cell r="AI289">
            <v>1777.3150000000001</v>
          </cell>
          <cell r="AJ289">
            <v>1795.645</v>
          </cell>
          <cell r="AK289">
            <v>1815.095</v>
          </cell>
          <cell r="AL289">
            <v>1835.8309999999999</v>
          </cell>
          <cell r="AM289">
            <v>1857.8520000000001</v>
          </cell>
          <cell r="AN289">
            <v>1880.702</v>
          </cell>
          <cell r="AO289">
            <v>1903.5450000000001</v>
          </cell>
          <cell r="AP289">
            <v>1925.309</v>
          </cell>
          <cell r="AQ289">
            <v>1945.13</v>
          </cell>
          <cell r="AR289">
            <v>1962.873</v>
          </cell>
          <cell r="AS289">
            <v>1978.5050000000001</v>
          </cell>
          <cell r="AT289">
            <v>1991.3989999999999</v>
          </cell>
          <cell r="AU289">
            <v>2000.825</v>
          </cell>
          <cell r="AV289">
            <v>2006.405</v>
          </cell>
          <cell r="AW289">
            <v>2007.77</v>
          </cell>
          <cell r="AX289">
            <v>2005.354</v>
          </cell>
          <cell r="AY289">
            <v>2000.556</v>
          </cell>
          <cell r="AZ289">
            <v>1995.335</v>
          </cell>
          <cell r="BA289">
            <v>1991.1310000000001</v>
          </cell>
          <cell r="BB289">
            <v>1988.5650000000001</v>
          </cell>
          <cell r="BC289">
            <v>1987.4549999999999</v>
          </cell>
          <cell r="BD289">
            <v>1987.385</v>
          </cell>
          <cell r="BE289">
            <v>1987.6320000000001</v>
          </cell>
          <cell r="BF289">
            <v>1987.7170000000001</v>
          </cell>
          <cell r="BG289">
            <v>1987.461</v>
          </cell>
          <cell r="BH289">
            <v>1987.2670000000001</v>
          </cell>
          <cell r="BI289">
            <v>1987.8620000000001</v>
          </cell>
          <cell r="BJ289">
            <v>1990.222</v>
          </cell>
          <cell r="BK289">
            <v>1994.9760000000001</v>
          </cell>
          <cell r="BL289">
            <v>2002.43</v>
          </cell>
          <cell r="BM289">
            <v>2012.1179999999999</v>
          </cell>
          <cell r="BN289">
            <v>2023.0519999999999</v>
          </cell>
          <cell r="BO289">
            <v>2033.8040000000001</v>
          </cell>
          <cell r="BP289">
            <v>2043.337</v>
          </cell>
          <cell r="BQ289">
            <v>2051.2869999999998</v>
          </cell>
          <cell r="BR289">
            <v>2057.8229999999999</v>
          </cell>
          <cell r="BS289">
            <v>2063.11</v>
          </cell>
          <cell r="BT289">
            <v>2067.4879999999998</v>
          </cell>
          <cell r="BU289">
            <v>2071.1990000000001</v>
          </cell>
          <cell r="BV289">
            <v>2074.21</v>
          </cell>
          <cell r="BW289">
            <v>2076.3939999999998</v>
          </cell>
          <cell r="BX289">
            <v>2077.837</v>
          </cell>
        </row>
        <row r="290">
          <cell r="C290" t="str">
            <v>Spain</v>
          </cell>
          <cell r="D290">
            <v>22</v>
          </cell>
          <cell r="E290">
            <v>724</v>
          </cell>
          <cell r="F290" t="str">
            <v>Country</v>
          </cell>
          <cell r="G290">
            <v>925</v>
          </cell>
          <cell r="H290">
            <v>28069.735000000001</v>
          </cell>
          <cell r="I290">
            <v>28219.62</v>
          </cell>
          <cell r="J290">
            <v>28399.03</v>
          </cell>
          <cell r="K290">
            <v>28600.358</v>
          </cell>
          <cell r="L290">
            <v>28818.01</v>
          </cell>
          <cell r="M290">
            <v>29048.395</v>
          </cell>
          <cell r="N290">
            <v>29290.079000000002</v>
          </cell>
          <cell r="O290">
            <v>29543.624</v>
          </cell>
          <cell r="P290">
            <v>29811.315999999999</v>
          </cell>
          <cell r="Q290">
            <v>30096.580999999998</v>
          </cell>
          <cell r="R290">
            <v>30402.411</v>
          </cell>
          <cell r="S290">
            <v>30729.651999999998</v>
          </cell>
          <cell r="T290">
            <v>31075.476999999999</v>
          </cell>
          <cell r="U290">
            <v>31432.771000000001</v>
          </cell>
          <cell r="V290">
            <v>31791.940999999999</v>
          </cell>
          <cell r="W290">
            <v>32146.262999999999</v>
          </cell>
          <cell r="X290">
            <v>32491.644</v>
          </cell>
          <cell r="Y290">
            <v>32830.186999999998</v>
          </cell>
          <cell r="Z290">
            <v>33168.775000000001</v>
          </cell>
          <cell r="AA290">
            <v>33517.682999999997</v>
          </cell>
          <cell r="AB290">
            <v>33883.749000000003</v>
          </cell>
          <cell r="AC290">
            <v>34267.466</v>
          </cell>
          <cell r="AD290">
            <v>34664.233999999997</v>
          </cell>
          <cell r="AE290">
            <v>35069.430999999997</v>
          </cell>
          <cell r="AF290">
            <v>35476.423000000003</v>
          </cell>
          <cell r="AG290">
            <v>35879.209000000003</v>
          </cell>
          <cell r="AH290">
            <v>36276.752</v>
          </cell>
          <cell r="AI290">
            <v>36666.767</v>
          </cell>
          <cell r="AJ290">
            <v>37040.396000000001</v>
          </cell>
          <cell r="AK290">
            <v>37386.81</v>
          </cell>
          <cell r="AL290">
            <v>37698.196000000004</v>
          </cell>
          <cell r="AM290">
            <v>37971.972000000002</v>
          </cell>
          <cell r="AN290">
            <v>38209.692999999999</v>
          </cell>
          <cell r="AO290">
            <v>38413.317000000003</v>
          </cell>
          <cell r="AP290">
            <v>38586.707999999999</v>
          </cell>
          <cell r="AQ290">
            <v>38733.875999999997</v>
          </cell>
          <cell r="AR290">
            <v>38855.625999999997</v>
          </cell>
          <cell r="AS290">
            <v>38954.497000000003</v>
          </cell>
          <cell r="AT290">
            <v>39038.692000000003</v>
          </cell>
          <cell r="AU290">
            <v>39118.561000000002</v>
          </cell>
          <cell r="AV290">
            <v>39202.525000000001</v>
          </cell>
          <cell r="AW290">
            <v>39299.080999999998</v>
          </cell>
          <cell r="AX290">
            <v>39410.857000000004</v>
          </cell>
          <cell r="AY290">
            <v>39533.724999999999</v>
          </cell>
          <cell r="AZ290">
            <v>39660.069000000003</v>
          </cell>
          <cell r="BA290">
            <v>39787.419000000002</v>
          </cell>
          <cell r="BB290">
            <v>39908.959000000003</v>
          </cell>
          <cell r="BC290">
            <v>40035.292999999998</v>
          </cell>
          <cell r="BD290">
            <v>40201.56</v>
          </cell>
          <cell r="BE290">
            <v>40454.47</v>
          </cell>
          <cell r="BF290">
            <v>40824.754000000001</v>
          </cell>
          <cell r="BG290">
            <v>41319.427000000003</v>
          </cell>
          <cell r="BH290">
            <v>41919.584999999999</v>
          </cell>
          <cell r="BI290">
            <v>42596.453000000001</v>
          </cell>
          <cell r="BJ290">
            <v>43308.345000000001</v>
          </cell>
          <cell r="BK290">
            <v>44019.123</v>
          </cell>
          <cell r="BL290">
            <v>44728.565000000002</v>
          </cell>
          <cell r="BM290">
            <v>45429.076000000001</v>
          </cell>
          <cell r="BN290">
            <v>46068.811000000002</v>
          </cell>
          <cell r="BO290">
            <v>46583.565000000002</v>
          </cell>
          <cell r="BP290">
            <v>46931.014999999999</v>
          </cell>
          <cell r="BQ290">
            <v>47084.24</v>
          </cell>
          <cell r="BR290">
            <v>47063.06</v>
          </cell>
          <cell r="BS290">
            <v>46930.555</v>
          </cell>
          <cell r="BT290">
            <v>46777.925000000003</v>
          </cell>
          <cell r="BU290">
            <v>46671.925999999999</v>
          </cell>
          <cell r="BV290">
            <v>46634.14</v>
          </cell>
          <cell r="BW290">
            <v>46647.428</v>
          </cell>
          <cell r="BX290">
            <v>46692.858</v>
          </cell>
        </row>
        <row r="291">
          <cell r="C291" t="str">
            <v>Western Europe</v>
          </cell>
          <cell r="E291">
            <v>926</v>
          </cell>
          <cell r="F291" t="str">
            <v>Subregion</v>
          </cell>
          <cell r="G291">
            <v>917</v>
          </cell>
          <cell r="H291">
            <v>142413.967</v>
          </cell>
          <cell r="I291">
            <v>143163.06299999999</v>
          </cell>
          <cell r="J291">
            <v>144006.86799999999</v>
          </cell>
          <cell r="K291">
            <v>144907.61799999999</v>
          </cell>
          <cell r="L291">
            <v>145840.959</v>
          </cell>
          <cell r="M291">
            <v>146795.948</v>
          </cell>
          <cell r="N291">
            <v>147775.92000000001</v>
          </cell>
          <cell r="O291">
            <v>148797.64600000001</v>
          </cell>
          <cell r="P291">
            <v>149888.62</v>
          </cell>
          <cell r="Q291">
            <v>151083.00899999999</v>
          </cell>
          <cell r="R291">
            <v>152408.546</v>
          </cell>
          <cell r="S291">
            <v>153872.92300000001</v>
          </cell>
          <cell r="T291">
            <v>155451.66899999999</v>
          </cell>
          <cell r="U291">
            <v>157083.15900000001</v>
          </cell>
          <cell r="V291">
            <v>158682.97</v>
          </cell>
          <cell r="W291">
            <v>160187.068</v>
          </cell>
          <cell r="X291">
            <v>161571.66099999999</v>
          </cell>
          <cell r="Y291">
            <v>162842.54500000001</v>
          </cell>
          <cell r="Z291">
            <v>164001.42800000001</v>
          </cell>
          <cell r="AA291">
            <v>165060.32199999999</v>
          </cell>
          <cell r="AB291">
            <v>166027.93700000001</v>
          </cell>
          <cell r="AC291">
            <v>166904.72700000001</v>
          </cell>
          <cell r="AD291">
            <v>167683.51199999999</v>
          </cell>
          <cell r="AE291">
            <v>168358.698</v>
          </cell>
          <cell r="AF291">
            <v>168923.372</v>
          </cell>
          <cell r="AG291">
            <v>169376.82500000001</v>
          </cell>
          <cell r="AH291">
            <v>169721.679</v>
          </cell>
          <cell r="AI291">
            <v>169973.106</v>
          </cell>
          <cell r="AJ291">
            <v>170159.51</v>
          </cell>
          <cell r="AK291">
            <v>170317.644</v>
          </cell>
          <cell r="AL291">
            <v>170478.76500000001</v>
          </cell>
          <cell r="AM291">
            <v>170651.84400000001</v>
          </cell>
          <cell r="AN291">
            <v>170845.37400000001</v>
          </cell>
          <cell r="AO291">
            <v>171088.88699999999</v>
          </cell>
          <cell r="AP291">
            <v>171416.10399999999</v>
          </cell>
          <cell r="AQ291">
            <v>171850.266</v>
          </cell>
          <cell r="AR291">
            <v>172399.42</v>
          </cell>
          <cell r="AS291">
            <v>173056.32800000001</v>
          </cell>
          <cell r="AT291">
            <v>173807.94899999999</v>
          </cell>
          <cell r="AU291">
            <v>174632.84</v>
          </cell>
          <cell r="AV291">
            <v>175509.66</v>
          </cell>
          <cell r="AW291">
            <v>176445.04800000001</v>
          </cell>
          <cell r="AX291">
            <v>177428.986</v>
          </cell>
          <cell r="AY291">
            <v>178403.565</v>
          </cell>
          <cell r="AZ291">
            <v>179294.02499999999</v>
          </cell>
          <cell r="BA291">
            <v>180050.09400000001</v>
          </cell>
          <cell r="BB291">
            <v>180639.49</v>
          </cell>
          <cell r="BC291">
            <v>181083.64199999999</v>
          </cell>
          <cell r="BD291">
            <v>181452.38500000001</v>
          </cell>
          <cell r="BE291">
            <v>181847.00599999999</v>
          </cell>
          <cell r="BF291">
            <v>182338.67</v>
          </cell>
          <cell r="BG291">
            <v>182958.28700000001</v>
          </cell>
          <cell r="BH291">
            <v>183679.003</v>
          </cell>
          <cell r="BI291">
            <v>184444.81200000001</v>
          </cell>
          <cell r="BJ291">
            <v>185172.06700000001</v>
          </cell>
          <cell r="BK291">
            <v>185803.77600000001</v>
          </cell>
          <cell r="BL291">
            <v>186318.79500000001</v>
          </cell>
          <cell r="BM291">
            <v>186746.66</v>
          </cell>
          <cell r="BN291">
            <v>187141.92199999999</v>
          </cell>
          <cell r="BO291">
            <v>187583.215</v>
          </cell>
          <cell r="BP291">
            <v>188126.307</v>
          </cell>
          <cell r="BQ291">
            <v>188782.022</v>
          </cell>
          <cell r="BR291">
            <v>189528.21799999999</v>
          </cell>
          <cell r="BS291">
            <v>190346.86499999999</v>
          </cell>
          <cell r="BT291">
            <v>191207.959</v>
          </cell>
          <cell r="BU291">
            <v>192084.41399999999</v>
          </cell>
          <cell r="BV291">
            <v>192979.28899999999</v>
          </cell>
          <cell r="BW291">
            <v>193885.82</v>
          </cell>
          <cell r="BX291">
            <v>194754.503</v>
          </cell>
        </row>
        <row r="292">
          <cell r="C292" t="str">
            <v>Austria</v>
          </cell>
          <cell r="E292">
            <v>40</v>
          </cell>
          <cell r="F292" t="str">
            <v>Country</v>
          </cell>
          <cell r="G292">
            <v>926</v>
          </cell>
          <cell r="H292">
            <v>6936.4390000000003</v>
          </cell>
          <cell r="I292">
            <v>6931.3379999999997</v>
          </cell>
          <cell r="J292">
            <v>6931.1959999999999</v>
          </cell>
          <cell r="K292">
            <v>6935.1419999999998</v>
          </cell>
          <cell r="L292">
            <v>6942.6189999999997</v>
          </cell>
          <cell r="M292">
            <v>6953.4059999999999</v>
          </cell>
          <cell r="N292">
            <v>6967.625</v>
          </cell>
          <cell r="O292">
            <v>6985.7240000000002</v>
          </cell>
          <cell r="P292">
            <v>7008.424</v>
          </cell>
          <cell r="Q292">
            <v>7036.55</v>
          </cell>
          <cell r="R292">
            <v>7070.7659999999996</v>
          </cell>
          <cell r="S292">
            <v>7111.1419999999998</v>
          </cell>
          <cell r="T292">
            <v>7156.8329999999996</v>
          </cell>
          <cell r="U292">
            <v>7205.9939999999997</v>
          </cell>
          <cell r="V292">
            <v>7256.0910000000003</v>
          </cell>
          <cell r="W292">
            <v>7305.1580000000004</v>
          </cell>
          <cell r="X292">
            <v>7352.24</v>
          </cell>
          <cell r="Y292">
            <v>7397.1710000000003</v>
          </cell>
          <cell r="Z292">
            <v>7439.5789999999997</v>
          </cell>
          <cell r="AA292">
            <v>7479.3459999999995</v>
          </cell>
          <cell r="AB292">
            <v>7516.2389999999996</v>
          </cell>
          <cell r="AC292">
            <v>7550.34</v>
          </cell>
          <cell r="AD292">
            <v>7581.1170000000002</v>
          </cell>
          <cell r="AE292">
            <v>7607.0649999999996</v>
          </cell>
          <cell r="AF292">
            <v>7626.29</v>
          </cell>
          <cell r="AG292">
            <v>7637.6890000000003</v>
          </cell>
          <cell r="AH292">
            <v>7640.7489999999998</v>
          </cell>
          <cell r="AI292">
            <v>7636.576</v>
          </cell>
          <cell r="AJ292">
            <v>7627.759</v>
          </cell>
          <cell r="AK292">
            <v>7617.884</v>
          </cell>
          <cell r="AL292">
            <v>7609.7520000000004</v>
          </cell>
          <cell r="AM292">
            <v>7604.5129999999999</v>
          </cell>
          <cell r="AN292">
            <v>7602.1809999999996</v>
          </cell>
          <cell r="AO292">
            <v>7603.1019999999999</v>
          </cell>
          <cell r="AP292">
            <v>7607.2929999999997</v>
          </cell>
          <cell r="AQ292">
            <v>7614.8680000000004</v>
          </cell>
          <cell r="AR292">
            <v>7625.393</v>
          </cell>
          <cell r="AS292">
            <v>7639.3519999999999</v>
          </cell>
          <cell r="AT292">
            <v>7658.84</v>
          </cell>
          <cell r="AU292">
            <v>7686.5720000000001</v>
          </cell>
          <cell r="AV292">
            <v>7723.9489999999996</v>
          </cell>
          <cell r="AW292">
            <v>7772.701</v>
          </cell>
          <cell r="AX292">
            <v>7830.933</v>
          </cell>
          <cell r="AY292">
            <v>7892.0860000000002</v>
          </cell>
          <cell r="AZ292">
            <v>7947.2089999999998</v>
          </cell>
          <cell r="BA292">
            <v>7990.1210000000001</v>
          </cell>
          <cell r="BB292">
            <v>8017.8630000000003</v>
          </cell>
          <cell r="BC292">
            <v>8032.8760000000002</v>
          </cell>
          <cell r="BD292">
            <v>8041.05</v>
          </cell>
          <cell r="BE292">
            <v>8051.1130000000003</v>
          </cell>
          <cell r="BF292">
            <v>8069.2759999999998</v>
          </cell>
          <cell r="BG292">
            <v>8097.7479999999996</v>
          </cell>
          <cell r="BH292">
            <v>8134.4120000000003</v>
          </cell>
          <cell r="BI292">
            <v>8175.8519999999999</v>
          </cell>
          <cell r="BJ292">
            <v>8216.8050000000003</v>
          </cell>
          <cell r="BK292">
            <v>8253.65</v>
          </cell>
          <cell r="BL292">
            <v>8285.3430000000008</v>
          </cell>
          <cell r="BM292">
            <v>8313.7369999999992</v>
          </cell>
          <cell r="BN292">
            <v>8341.5319999999992</v>
          </cell>
          <cell r="BO292">
            <v>8372.6630000000005</v>
          </cell>
          <cell r="BP292">
            <v>8409.9490000000005</v>
          </cell>
          <cell r="BQ292">
            <v>8453.5010000000002</v>
          </cell>
          <cell r="BR292">
            <v>8502.2270000000008</v>
          </cell>
          <cell r="BS292">
            <v>8556.1890000000003</v>
          </cell>
          <cell r="BT292">
            <v>8615.2139999999999</v>
          </cell>
          <cell r="BU292">
            <v>8678.66</v>
          </cell>
          <cell r="BV292">
            <v>8747.3009999999995</v>
          </cell>
          <cell r="BW292">
            <v>8819.9009999999998</v>
          </cell>
          <cell r="BX292">
            <v>8891.3880000000008</v>
          </cell>
        </row>
        <row r="293">
          <cell r="C293" t="str">
            <v>Belgium</v>
          </cell>
          <cell r="E293">
            <v>56</v>
          </cell>
          <cell r="F293" t="str">
            <v>Country</v>
          </cell>
          <cell r="G293">
            <v>926</v>
          </cell>
          <cell r="H293">
            <v>8637.5190000000002</v>
          </cell>
          <cell r="I293">
            <v>8680.1659999999993</v>
          </cell>
          <cell r="J293">
            <v>8727.9860000000008</v>
          </cell>
          <cell r="K293">
            <v>8779.2729999999992</v>
          </cell>
          <cell r="L293">
            <v>8832.6970000000001</v>
          </cell>
          <cell r="M293">
            <v>8887.2739999999994</v>
          </cell>
          <cell r="N293">
            <v>8942.4040000000005</v>
          </cell>
          <cell r="O293">
            <v>8997.8410000000003</v>
          </cell>
          <cell r="P293">
            <v>9053.6360000000004</v>
          </cell>
          <cell r="Q293">
            <v>9110.0669999999991</v>
          </cell>
          <cell r="R293">
            <v>9167.3649999999998</v>
          </cell>
          <cell r="S293">
            <v>9225.4069999999992</v>
          </cell>
          <cell r="T293">
            <v>9283.5400000000009</v>
          </cell>
          <cell r="U293">
            <v>9340.4150000000009</v>
          </cell>
          <cell r="V293">
            <v>9394.2919999999995</v>
          </cell>
          <cell r="W293">
            <v>9443.9390000000003</v>
          </cell>
          <cell r="X293">
            <v>9488.7530000000006</v>
          </cell>
          <cell r="Y293">
            <v>9529.0419999999995</v>
          </cell>
          <cell r="Z293">
            <v>9565.5949999999993</v>
          </cell>
          <cell r="AA293">
            <v>9599.6509999999998</v>
          </cell>
          <cell r="AB293">
            <v>9632.18</v>
          </cell>
          <cell r="AC293">
            <v>9663.3240000000005</v>
          </cell>
          <cell r="AD293">
            <v>9692.8459999999995</v>
          </cell>
          <cell r="AE293">
            <v>9720.7610000000004</v>
          </cell>
          <cell r="AF293">
            <v>9747.02</v>
          </cell>
          <cell r="AG293">
            <v>9771.5859999999993</v>
          </cell>
          <cell r="AH293">
            <v>9794.777</v>
          </cell>
          <cell r="AI293">
            <v>9816.6959999999999</v>
          </cell>
          <cell r="AJ293">
            <v>9836.8140000000003</v>
          </cell>
          <cell r="AK293">
            <v>9854.3770000000004</v>
          </cell>
          <cell r="AL293">
            <v>9868.9950000000008</v>
          </cell>
          <cell r="AM293">
            <v>9880.5920000000006</v>
          </cell>
          <cell r="AN293">
            <v>9889.8240000000005</v>
          </cell>
          <cell r="AO293">
            <v>9897.8799999999992</v>
          </cell>
          <cell r="AP293">
            <v>9906.3709999999992</v>
          </cell>
          <cell r="AQ293">
            <v>9916.5779999999995</v>
          </cell>
          <cell r="AR293">
            <v>9928.5419999999995</v>
          </cell>
          <cell r="AS293">
            <v>9942.2890000000007</v>
          </cell>
          <cell r="AT293">
            <v>9959.02</v>
          </cell>
          <cell r="AU293">
            <v>9980.1759999999995</v>
          </cell>
          <cell r="AV293">
            <v>10006.544</v>
          </cell>
          <cell r="AW293">
            <v>10039.445</v>
          </cell>
          <cell r="AX293">
            <v>10078.101000000001</v>
          </cell>
          <cell r="AY293">
            <v>10118.674000000001</v>
          </cell>
          <cell r="AZ293">
            <v>10155.919</v>
          </cell>
          <cell r="BA293">
            <v>10186.305</v>
          </cell>
          <cell r="BB293">
            <v>10208.275</v>
          </cell>
          <cell r="BC293">
            <v>10223.789000000001</v>
          </cell>
          <cell r="BD293">
            <v>10237.299000000001</v>
          </cell>
          <cell r="BE293">
            <v>10255.16</v>
          </cell>
          <cell r="BF293">
            <v>10282.032999999999</v>
          </cell>
          <cell r="BG293">
            <v>10319.019</v>
          </cell>
          <cell r="BH293">
            <v>10364.885</v>
          </cell>
          <cell r="BI293">
            <v>10419.031999999999</v>
          </cell>
          <cell r="BJ293">
            <v>10480.117</v>
          </cell>
          <cell r="BK293">
            <v>10546.886</v>
          </cell>
          <cell r="BL293">
            <v>10619.475</v>
          </cell>
          <cell r="BM293">
            <v>10697.572</v>
          </cell>
          <cell r="BN293">
            <v>10778.758</v>
          </cell>
          <cell r="BO293">
            <v>10859.94</v>
          </cell>
          <cell r="BP293">
            <v>10938.739</v>
          </cell>
          <cell r="BQ293">
            <v>11013.852999999999</v>
          </cell>
          <cell r="BR293">
            <v>11085.358</v>
          </cell>
          <cell r="BS293">
            <v>11154.009</v>
          </cell>
          <cell r="BT293">
            <v>11221.231</v>
          </cell>
          <cell r="BU293">
            <v>11287.94</v>
          </cell>
          <cell r="BV293">
            <v>11354.42</v>
          </cell>
          <cell r="BW293">
            <v>11419.748</v>
          </cell>
          <cell r="BX293">
            <v>11482.178</v>
          </cell>
        </row>
        <row r="294">
          <cell r="C294" t="str">
            <v>France</v>
          </cell>
          <cell r="E294">
            <v>250</v>
          </cell>
          <cell r="F294" t="str">
            <v>Country</v>
          </cell>
          <cell r="G294">
            <v>926</v>
          </cell>
          <cell r="H294">
            <v>41833.881999999998</v>
          </cell>
          <cell r="I294">
            <v>42031.190999999999</v>
          </cell>
          <cell r="J294">
            <v>42315.6</v>
          </cell>
          <cell r="K294">
            <v>42654.661999999997</v>
          </cell>
          <cell r="L294">
            <v>43024.815999999999</v>
          </cell>
          <cell r="M294">
            <v>43411.366999999998</v>
          </cell>
          <cell r="N294">
            <v>43808.989000000001</v>
          </cell>
          <cell r="O294">
            <v>44221.226999999999</v>
          </cell>
          <cell r="P294">
            <v>44659.046000000002</v>
          </cell>
          <cell r="Q294">
            <v>45138.438000000002</v>
          </cell>
          <cell r="R294">
            <v>45673.146000000001</v>
          </cell>
          <cell r="S294">
            <v>46266.981</v>
          </cell>
          <cell r="T294">
            <v>46907.042000000001</v>
          </cell>
          <cell r="U294">
            <v>47560.826000000001</v>
          </cell>
          <cell r="V294">
            <v>48184.417999999998</v>
          </cell>
          <cell r="W294">
            <v>48746.652000000002</v>
          </cell>
          <cell r="X294">
            <v>49232.538999999997</v>
          </cell>
          <cell r="Y294">
            <v>49651.082999999999</v>
          </cell>
          <cell r="Z294">
            <v>50024.582000000002</v>
          </cell>
          <cell r="AA294">
            <v>50387.447999999997</v>
          </cell>
          <cell r="AB294">
            <v>50763.92</v>
          </cell>
          <cell r="AC294">
            <v>51162.567999999999</v>
          </cell>
          <cell r="AD294">
            <v>51573.264999999999</v>
          </cell>
          <cell r="AE294">
            <v>51979.527000000002</v>
          </cell>
          <cell r="AF294">
            <v>52356.796000000002</v>
          </cell>
          <cell r="AG294">
            <v>52688.576000000001</v>
          </cell>
          <cell r="AH294">
            <v>52969.317000000003</v>
          </cell>
          <cell r="AI294">
            <v>53208.553999999996</v>
          </cell>
          <cell r="AJ294">
            <v>53423.112000000001</v>
          </cell>
          <cell r="AK294">
            <v>53637.069000000003</v>
          </cell>
          <cell r="AL294">
            <v>53868.008999999998</v>
          </cell>
          <cell r="AM294">
            <v>54121.012999999999</v>
          </cell>
          <cell r="AN294">
            <v>54391.470999999998</v>
          </cell>
          <cell r="AO294">
            <v>54675.370999999999</v>
          </cell>
          <cell r="AP294">
            <v>54965.163999999997</v>
          </cell>
          <cell r="AQ294">
            <v>55254.847999999998</v>
          </cell>
          <cell r="AR294">
            <v>55545.273000000001</v>
          </cell>
          <cell r="AS294">
            <v>55837.627</v>
          </cell>
          <cell r="AT294">
            <v>56126.324999999997</v>
          </cell>
          <cell r="AU294">
            <v>56404.303999999996</v>
          </cell>
          <cell r="AV294">
            <v>56666.849000000002</v>
          </cell>
          <cell r="AW294">
            <v>56913.587</v>
          </cell>
          <cell r="AX294">
            <v>57147.213000000003</v>
          </cell>
          <cell r="AY294">
            <v>57370.381000000001</v>
          </cell>
          <cell r="AZ294">
            <v>57587.131000000001</v>
          </cell>
          <cell r="BA294">
            <v>57801.892</v>
          </cell>
          <cell r="BB294">
            <v>58012.057999999997</v>
          </cell>
          <cell r="BC294">
            <v>58220.659</v>
          </cell>
          <cell r="BD294">
            <v>58444.245999999999</v>
          </cell>
          <cell r="BE294">
            <v>58704.381000000001</v>
          </cell>
          <cell r="BF294">
            <v>59015.095999999998</v>
          </cell>
          <cell r="BG294">
            <v>59384.131999999998</v>
          </cell>
          <cell r="BH294">
            <v>59803.440999999999</v>
          </cell>
          <cell r="BI294">
            <v>60251.588000000003</v>
          </cell>
          <cell r="BJ294">
            <v>60697.981</v>
          </cell>
          <cell r="BK294">
            <v>61120.127</v>
          </cell>
          <cell r="BL294">
            <v>61508.925999999999</v>
          </cell>
          <cell r="BM294">
            <v>61869.226999999999</v>
          </cell>
          <cell r="BN294">
            <v>62209.207000000002</v>
          </cell>
          <cell r="BO294">
            <v>62542.9</v>
          </cell>
          <cell r="BP294">
            <v>62879.53</v>
          </cell>
          <cell r="BQ294">
            <v>63222.226999999999</v>
          </cell>
          <cell r="BR294">
            <v>63564.220999999998</v>
          </cell>
          <cell r="BS294">
            <v>63893.525000000001</v>
          </cell>
          <cell r="BT294">
            <v>64193.55</v>
          </cell>
          <cell r="BU294">
            <v>64453.2</v>
          </cell>
          <cell r="BV294">
            <v>64667.595999999998</v>
          </cell>
          <cell r="BW294">
            <v>64842.508999999998</v>
          </cell>
          <cell r="BX294">
            <v>64990.510999999999</v>
          </cell>
        </row>
        <row r="295">
          <cell r="C295" t="str">
            <v>Germany</v>
          </cell>
          <cell r="E295">
            <v>276</v>
          </cell>
          <cell r="F295" t="str">
            <v>Country</v>
          </cell>
          <cell r="G295">
            <v>926</v>
          </cell>
          <cell r="H295">
            <v>69966.243000000002</v>
          </cell>
          <cell r="I295">
            <v>70300.009999999995</v>
          </cell>
          <cell r="J295">
            <v>70620.277000000002</v>
          </cell>
          <cell r="K295">
            <v>70929.843999999997</v>
          </cell>
          <cell r="L295">
            <v>71233.392000000007</v>
          </cell>
          <cell r="M295">
            <v>71537.459000000003</v>
          </cell>
          <cell r="N295">
            <v>71850.649000000005</v>
          </cell>
          <cell r="O295">
            <v>72183.457999999999</v>
          </cell>
          <cell r="P295">
            <v>72547.577999999994</v>
          </cell>
          <cell r="Q295">
            <v>72954.885999999999</v>
          </cell>
          <cell r="R295">
            <v>73414.239000000001</v>
          </cell>
          <cell r="S295">
            <v>73928.081999999995</v>
          </cell>
          <cell r="T295">
            <v>74489.453999999998</v>
          </cell>
          <cell r="U295">
            <v>75080.748000000007</v>
          </cell>
          <cell r="V295">
            <v>75677.307000000001</v>
          </cell>
          <cell r="W295">
            <v>76258.032000000007</v>
          </cell>
          <cell r="X295">
            <v>76819.577000000005</v>
          </cell>
          <cell r="Y295">
            <v>77357.255000000005</v>
          </cell>
          <cell r="Z295">
            <v>77847.179000000004</v>
          </cell>
          <cell r="AA295">
            <v>78260.755000000005</v>
          </cell>
          <cell r="AB295">
            <v>78578.384999999995</v>
          </cell>
          <cell r="AC295">
            <v>78789.938999999998</v>
          </cell>
          <cell r="AD295">
            <v>78901.817999999999</v>
          </cell>
          <cell r="AE295">
            <v>78932.455000000002</v>
          </cell>
          <cell r="AF295">
            <v>78909.807000000001</v>
          </cell>
          <cell r="AG295">
            <v>78856.039000000004</v>
          </cell>
          <cell r="AH295">
            <v>78781.732999999993</v>
          </cell>
          <cell r="AI295">
            <v>78687.323000000004</v>
          </cell>
          <cell r="AJ295">
            <v>78573.585999999996</v>
          </cell>
          <cell r="AK295">
            <v>78438.164000000004</v>
          </cell>
          <cell r="AL295">
            <v>78283.100000000006</v>
          </cell>
          <cell r="AM295">
            <v>78107.857000000004</v>
          </cell>
          <cell r="AN295">
            <v>77926.010999999999</v>
          </cell>
          <cell r="AO295">
            <v>77770.213000000003</v>
          </cell>
          <cell r="AP295">
            <v>77682.294999999998</v>
          </cell>
          <cell r="AQ295">
            <v>77691.595000000001</v>
          </cell>
          <cell r="AR295">
            <v>77806.146999999997</v>
          </cell>
          <cell r="AS295">
            <v>78015.731</v>
          </cell>
          <cell r="AT295">
            <v>78307.524999999994</v>
          </cell>
          <cell r="AU295">
            <v>78660.303</v>
          </cell>
          <cell r="AV295">
            <v>79053.983999999997</v>
          </cell>
          <cell r="AW295">
            <v>79490.835000000006</v>
          </cell>
          <cell r="AX295">
            <v>79963.159</v>
          </cell>
          <cell r="AY295">
            <v>80428.555999999997</v>
          </cell>
          <cell r="AZ295">
            <v>80832.937000000005</v>
          </cell>
          <cell r="BA295">
            <v>81138.659</v>
          </cell>
          <cell r="BB295">
            <v>81323.664000000004</v>
          </cell>
          <cell r="BC295">
            <v>81399.251000000004</v>
          </cell>
          <cell r="BD295">
            <v>81402.672999999995</v>
          </cell>
          <cell r="BE295">
            <v>81389.926999999996</v>
          </cell>
          <cell r="BF295">
            <v>81400.881999999998</v>
          </cell>
          <cell r="BG295">
            <v>81453.884999999995</v>
          </cell>
          <cell r="BH295">
            <v>81535.122000000003</v>
          </cell>
          <cell r="BI295">
            <v>81614.38</v>
          </cell>
          <cell r="BJ295">
            <v>81646.474000000002</v>
          </cell>
          <cell r="BK295">
            <v>81602.740999999995</v>
          </cell>
          <cell r="BL295">
            <v>81472.225999999995</v>
          </cell>
          <cell r="BM295">
            <v>81277.83</v>
          </cell>
          <cell r="BN295">
            <v>81065.751999999993</v>
          </cell>
          <cell r="BO295">
            <v>80899.960999999996</v>
          </cell>
          <cell r="BP295">
            <v>80827.001999999993</v>
          </cell>
          <cell r="BQ295">
            <v>80855.631999999998</v>
          </cell>
          <cell r="BR295">
            <v>80972.627999999997</v>
          </cell>
          <cell r="BS295">
            <v>81174.366999999998</v>
          </cell>
          <cell r="BT295">
            <v>81450.377999999997</v>
          </cell>
          <cell r="BU295">
            <v>81787.410999999993</v>
          </cell>
          <cell r="BV295">
            <v>82193.767999999996</v>
          </cell>
          <cell r="BW295">
            <v>82658.409</v>
          </cell>
          <cell r="BX295">
            <v>83124.418000000005</v>
          </cell>
        </row>
        <row r="296">
          <cell r="C296" t="str">
            <v>Liechtenstein</v>
          </cell>
          <cell r="E296">
            <v>438</v>
          </cell>
          <cell r="F296" t="str">
            <v>Country</v>
          </cell>
          <cell r="G296">
            <v>926</v>
          </cell>
          <cell r="H296">
            <v>13.757999999999999</v>
          </cell>
          <cell r="I296">
            <v>13.941000000000001</v>
          </cell>
          <cell r="J296">
            <v>14.127000000000001</v>
          </cell>
          <cell r="K296">
            <v>14.337999999999999</v>
          </cell>
          <cell r="L296">
            <v>14.568</v>
          </cell>
          <cell r="M296">
            <v>14.83</v>
          </cell>
          <cell r="N296">
            <v>15.111000000000001</v>
          </cell>
          <cell r="O296">
            <v>15.429</v>
          </cell>
          <cell r="P296">
            <v>15.765000000000001</v>
          </cell>
          <cell r="Q296">
            <v>16.123999999999999</v>
          </cell>
          <cell r="R296">
            <v>16.492999999999999</v>
          </cell>
          <cell r="S296">
            <v>16.893000000000001</v>
          </cell>
          <cell r="T296">
            <v>17.289000000000001</v>
          </cell>
          <cell r="U296">
            <v>17.719000000000001</v>
          </cell>
          <cell r="V296">
            <v>18.167999999999999</v>
          </cell>
          <cell r="W296">
            <v>18.649000000000001</v>
          </cell>
          <cell r="X296">
            <v>19.152000000000001</v>
          </cell>
          <cell r="Y296">
            <v>19.690999999999999</v>
          </cell>
          <cell r="Z296">
            <v>20.234999999999999</v>
          </cell>
          <cell r="AA296">
            <v>20.765999999999998</v>
          </cell>
          <cell r="AB296">
            <v>21.265999999999998</v>
          </cell>
          <cell r="AC296">
            <v>21.728000000000002</v>
          </cell>
          <cell r="AD296">
            <v>22.151</v>
          </cell>
          <cell r="AE296">
            <v>22.562999999999999</v>
          </cell>
          <cell r="AF296">
            <v>22.983000000000001</v>
          </cell>
          <cell r="AG296">
            <v>23.437999999999999</v>
          </cell>
          <cell r="AH296">
            <v>23.931000000000001</v>
          </cell>
          <cell r="AI296">
            <v>24.448</v>
          </cell>
          <cell r="AJ296">
            <v>24.975000000000001</v>
          </cell>
          <cell r="AK296">
            <v>25.459</v>
          </cell>
          <cell r="AL296">
            <v>25.879000000000001</v>
          </cell>
          <cell r="AM296">
            <v>26.238</v>
          </cell>
          <cell r="AN296">
            <v>26.536000000000001</v>
          </cell>
          <cell r="AO296">
            <v>26.789000000000001</v>
          </cell>
          <cell r="AP296">
            <v>27.036000000000001</v>
          </cell>
          <cell r="AQ296">
            <v>27.288</v>
          </cell>
          <cell r="AR296">
            <v>27.559000000000001</v>
          </cell>
          <cell r="AS296">
            <v>27.837</v>
          </cell>
          <cell r="AT296">
            <v>28.129000000000001</v>
          </cell>
          <cell r="AU296">
            <v>28.449000000000002</v>
          </cell>
          <cell r="AV296">
            <v>28.789000000000001</v>
          </cell>
          <cell r="AW296">
            <v>29.158999999999999</v>
          </cell>
          <cell r="AX296">
            <v>29.553000000000001</v>
          </cell>
          <cell r="AY296">
            <v>29.975000000000001</v>
          </cell>
          <cell r="AZ296">
            <v>30.425999999999998</v>
          </cell>
          <cell r="BA296">
            <v>30.88</v>
          </cell>
          <cell r="BB296">
            <v>31.347999999999999</v>
          </cell>
          <cell r="BC296">
            <v>31.83</v>
          </cell>
          <cell r="BD296">
            <v>32.311</v>
          </cell>
          <cell r="BE296">
            <v>32.768999999999998</v>
          </cell>
          <cell r="BF296">
            <v>33.183999999999997</v>
          </cell>
          <cell r="BG296">
            <v>33.552</v>
          </cell>
          <cell r="BH296">
            <v>33.878999999999998</v>
          </cell>
          <cell r="BI296">
            <v>34.174999999999997</v>
          </cell>
          <cell r="BJ296">
            <v>34.451999999999998</v>
          </cell>
          <cell r="BK296">
            <v>34.713000000000001</v>
          </cell>
          <cell r="BL296">
            <v>34.97</v>
          </cell>
          <cell r="BM296">
            <v>35.216999999999999</v>
          </cell>
          <cell r="BN296">
            <v>35.470999999999997</v>
          </cell>
          <cell r="BO296">
            <v>35.726999999999997</v>
          </cell>
          <cell r="BP296">
            <v>35.994</v>
          </cell>
          <cell r="BQ296">
            <v>36.292999999999999</v>
          </cell>
          <cell r="BR296">
            <v>36.615000000000002</v>
          </cell>
          <cell r="BS296">
            <v>36.933999999999997</v>
          </cell>
          <cell r="BT296">
            <v>37.222999999999999</v>
          </cell>
          <cell r="BU296">
            <v>37.47</v>
          </cell>
          <cell r="BV296">
            <v>37.658000000000001</v>
          </cell>
          <cell r="BW296">
            <v>37.799999999999997</v>
          </cell>
          <cell r="BX296">
            <v>37.909999999999997</v>
          </cell>
        </row>
        <row r="297">
          <cell r="C297" t="str">
            <v>Luxembourg</v>
          </cell>
          <cell r="E297">
            <v>442</v>
          </cell>
          <cell r="F297" t="str">
            <v>Country</v>
          </cell>
          <cell r="G297">
            <v>926</v>
          </cell>
          <cell r="H297">
            <v>296.00099999999998</v>
          </cell>
          <cell r="I297">
            <v>297.58800000000002</v>
          </cell>
          <cell r="J297">
            <v>299.49599999999998</v>
          </cell>
          <cell r="K297">
            <v>301.505</v>
          </cell>
          <cell r="L297">
            <v>303.45100000000002</v>
          </cell>
          <cell r="M297">
            <v>305.26100000000002</v>
          </cell>
          <cell r="N297">
            <v>306.94499999999999</v>
          </cell>
          <cell r="O297">
            <v>308.56400000000002</v>
          </cell>
          <cell r="P297">
            <v>310.25700000000001</v>
          </cell>
          <cell r="Q297">
            <v>312.22000000000003</v>
          </cell>
          <cell r="R297">
            <v>314.58800000000002</v>
          </cell>
          <cell r="S297">
            <v>317.44099999999997</v>
          </cell>
          <cell r="T297">
            <v>320.70299999999997</v>
          </cell>
          <cell r="U297">
            <v>324.12099999999998</v>
          </cell>
          <cell r="V297">
            <v>327.36599999999999</v>
          </cell>
          <cell r="W297">
            <v>330.161</v>
          </cell>
          <cell r="X297">
            <v>332.41899999999998</v>
          </cell>
          <cell r="Y297">
            <v>334.22699999999998</v>
          </cell>
          <cell r="Z297">
            <v>335.834</v>
          </cell>
          <cell r="AA297">
            <v>337.56700000000001</v>
          </cell>
          <cell r="AB297">
            <v>339.66800000000001</v>
          </cell>
          <cell r="AC297">
            <v>342.226</v>
          </cell>
          <cell r="AD297">
            <v>345.10300000000001</v>
          </cell>
          <cell r="AE297">
            <v>348.173</v>
          </cell>
          <cell r="AF297">
            <v>351.18900000000002</v>
          </cell>
          <cell r="AG297">
            <v>353.983</v>
          </cell>
          <cell r="AH297">
            <v>356.56400000000002</v>
          </cell>
          <cell r="AI297">
            <v>358.96800000000002</v>
          </cell>
          <cell r="AJ297">
            <v>361.07299999999998</v>
          </cell>
          <cell r="AK297">
            <v>362.78899999999999</v>
          </cell>
          <cell r="AL297">
            <v>364.03800000000001</v>
          </cell>
          <cell r="AM297">
            <v>364.78100000000001</v>
          </cell>
          <cell r="AN297">
            <v>365.09800000000001</v>
          </cell>
          <cell r="AO297">
            <v>365.30500000000001</v>
          </cell>
          <cell r="AP297">
            <v>365.79500000000002</v>
          </cell>
          <cell r="AQ297">
            <v>366.88400000000001</v>
          </cell>
          <cell r="AR297">
            <v>368.666</v>
          </cell>
          <cell r="AS297">
            <v>371.07799999999997</v>
          </cell>
          <cell r="AT297">
            <v>374.11799999999999</v>
          </cell>
          <cell r="AU297">
            <v>377.70600000000002</v>
          </cell>
          <cell r="AV297">
            <v>381.791</v>
          </cell>
          <cell r="AW297">
            <v>386.35199999999998</v>
          </cell>
          <cell r="AX297">
            <v>391.39400000000001</v>
          </cell>
          <cell r="AY297">
            <v>396.81</v>
          </cell>
          <cell r="AZ297">
            <v>402.43299999999999</v>
          </cell>
          <cell r="BA297">
            <v>408.149</v>
          </cell>
          <cell r="BB297">
            <v>413.99900000000002</v>
          </cell>
          <cell r="BC297">
            <v>419.97399999999999</v>
          </cell>
          <cell r="BD297">
            <v>425.83300000000003</v>
          </cell>
          <cell r="BE297">
            <v>431.262</v>
          </cell>
          <cell r="BF297">
            <v>436.10300000000001</v>
          </cell>
          <cell r="BG297">
            <v>440.19799999999998</v>
          </cell>
          <cell r="BH297">
            <v>443.726</v>
          </cell>
          <cell r="BI297">
            <v>447.322</v>
          </cell>
          <cell r="BJ297">
            <v>451.81900000000002</v>
          </cell>
          <cell r="BK297">
            <v>457.84199999999998</v>
          </cell>
          <cell r="BL297">
            <v>465.61</v>
          </cell>
          <cell r="BM297">
            <v>474.91500000000002</v>
          </cell>
          <cell r="BN297">
            <v>485.40499999999997</v>
          </cell>
          <cell r="BO297">
            <v>496.52699999999999</v>
          </cell>
          <cell r="BP297">
            <v>507.88900000000001</v>
          </cell>
          <cell r="BQ297">
            <v>519.30700000000002</v>
          </cell>
          <cell r="BR297">
            <v>530.85699999999997</v>
          </cell>
          <cell r="BS297">
            <v>542.55999999999995</v>
          </cell>
          <cell r="BT297">
            <v>554.51599999999996</v>
          </cell>
          <cell r="BU297">
            <v>566.74099999999999</v>
          </cell>
          <cell r="BV297">
            <v>579.26400000000001</v>
          </cell>
          <cell r="BW297">
            <v>591.91</v>
          </cell>
          <cell r="BX297">
            <v>604.245</v>
          </cell>
        </row>
        <row r="298">
          <cell r="C298" t="str">
            <v>Monaco</v>
          </cell>
          <cell r="E298">
            <v>492</v>
          </cell>
          <cell r="F298" t="str">
            <v>Country</v>
          </cell>
          <cell r="G298">
            <v>926</v>
          </cell>
          <cell r="H298">
            <v>19.995999999999999</v>
          </cell>
          <cell r="I298">
            <v>19.376999999999999</v>
          </cell>
          <cell r="J298">
            <v>19.073</v>
          </cell>
          <cell r="K298">
            <v>19.053000000000001</v>
          </cell>
          <cell r="L298">
            <v>19.263999999999999</v>
          </cell>
          <cell r="M298">
            <v>19.655000000000001</v>
          </cell>
          <cell r="N298">
            <v>20.181999999999999</v>
          </cell>
          <cell r="O298">
            <v>20.791</v>
          </cell>
          <cell r="P298">
            <v>21.399000000000001</v>
          </cell>
          <cell r="Q298">
            <v>21.974</v>
          </cell>
          <cell r="R298">
            <v>22.452000000000002</v>
          </cell>
          <cell r="S298">
            <v>22.808</v>
          </cell>
          <cell r="T298">
            <v>23.039000000000001</v>
          </cell>
          <cell r="U298">
            <v>23.167999999999999</v>
          </cell>
          <cell r="V298">
            <v>23.236000000000001</v>
          </cell>
          <cell r="W298">
            <v>23.282</v>
          </cell>
          <cell r="X298">
            <v>23.305</v>
          </cell>
          <cell r="Y298">
            <v>23.292000000000002</v>
          </cell>
          <cell r="Z298">
            <v>23.303999999999998</v>
          </cell>
          <cell r="AA298">
            <v>23.346</v>
          </cell>
          <cell r="AB298">
            <v>23.484000000000002</v>
          </cell>
          <cell r="AC298">
            <v>23.721</v>
          </cell>
          <cell r="AD298">
            <v>24.050999999999998</v>
          </cell>
          <cell r="AE298">
            <v>24.439</v>
          </cell>
          <cell r="AF298">
            <v>24.835999999999999</v>
          </cell>
          <cell r="AG298">
            <v>25.198</v>
          </cell>
          <cell r="AH298">
            <v>25.524000000000001</v>
          </cell>
          <cell r="AI298">
            <v>25.809000000000001</v>
          </cell>
          <cell r="AJ298">
            <v>26.087</v>
          </cell>
          <cell r="AK298">
            <v>26.393999999999998</v>
          </cell>
          <cell r="AL298">
            <v>26.745000000000001</v>
          </cell>
          <cell r="AM298">
            <v>27.161999999999999</v>
          </cell>
          <cell r="AN298">
            <v>27.626999999999999</v>
          </cell>
          <cell r="AO298">
            <v>28.097000000000001</v>
          </cell>
          <cell r="AP298">
            <v>28.51</v>
          </cell>
          <cell r="AQ298">
            <v>28.832000000000001</v>
          </cell>
          <cell r="AR298">
            <v>29.041</v>
          </cell>
          <cell r="AS298">
            <v>29.167999999999999</v>
          </cell>
          <cell r="AT298">
            <v>29.228999999999999</v>
          </cell>
          <cell r="AU298">
            <v>29.305</v>
          </cell>
          <cell r="AV298">
            <v>29.437999999999999</v>
          </cell>
          <cell r="AW298">
            <v>29.622</v>
          </cell>
          <cell r="AX298">
            <v>29.864999999999998</v>
          </cell>
          <cell r="AY298">
            <v>30.146000000000001</v>
          </cell>
          <cell r="AZ298">
            <v>30.434999999999999</v>
          </cell>
          <cell r="BA298">
            <v>30.716000000000001</v>
          </cell>
          <cell r="BB298">
            <v>30.995000000000001</v>
          </cell>
          <cell r="BC298">
            <v>31.28</v>
          </cell>
          <cell r="BD298">
            <v>31.556000000000001</v>
          </cell>
          <cell r="BE298">
            <v>31.844000000000001</v>
          </cell>
          <cell r="BF298">
            <v>32.146999999999998</v>
          </cell>
          <cell r="BG298">
            <v>32.47</v>
          </cell>
          <cell r="BH298">
            <v>32.805999999999997</v>
          </cell>
          <cell r="BI298">
            <v>33.152999999999999</v>
          </cell>
          <cell r="BJ298">
            <v>33.5</v>
          </cell>
          <cell r="BK298">
            <v>33.843000000000004</v>
          </cell>
          <cell r="BL298">
            <v>34.19</v>
          </cell>
          <cell r="BM298">
            <v>34.524999999999999</v>
          </cell>
          <cell r="BN298">
            <v>34.872</v>
          </cell>
          <cell r="BO298">
            <v>35.225999999999999</v>
          </cell>
          <cell r="BP298">
            <v>35.612000000000002</v>
          </cell>
          <cell r="BQ298">
            <v>36.024000000000001</v>
          </cell>
          <cell r="BR298">
            <v>36.46</v>
          </cell>
          <cell r="BS298">
            <v>36.901000000000003</v>
          </cell>
          <cell r="BT298">
            <v>37.322000000000003</v>
          </cell>
          <cell r="BU298">
            <v>37.718000000000004</v>
          </cell>
          <cell r="BV298">
            <v>38.07</v>
          </cell>
          <cell r="BW298">
            <v>38.392000000000003</v>
          </cell>
          <cell r="BX298">
            <v>38.682000000000002</v>
          </cell>
        </row>
        <row r="299">
          <cell r="C299" t="str">
            <v>Netherlands</v>
          </cell>
          <cell r="E299">
            <v>528</v>
          </cell>
          <cell r="F299" t="str">
            <v>Country</v>
          </cell>
          <cell r="G299">
            <v>926</v>
          </cell>
          <cell r="H299">
            <v>10042.043</v>
          </cell>
          <cell r="I299">
            <v>10167.534</v>
          </cell>
          <cell r="J299">
            <v>10297.984</v>
          </cell>
          <cell r="K299">
            <v>10432.300999999999</v>
          </cell>
          <cell r="L299">
            <v>10569.688</v>
          </cell>
          <cell r="M299">
            <v>10709.63</v>
          </cell>
          <cell r="N299">
            <v>10851.92</v>
          </cell>
          <cell r="O299">
            <v>10996.635</v>
          </cell>
          <cell r="P299">
            <v>11144.07</v>
          </cell>
          <cell r="Q299">
            <v>11294.689</v>
          </cell>
          <cell r="R299">
            <v>11448.816999999999</v>
          </cell>
          <cell r="S299">
            <v>11606.402</v>
          </cell>
          <cell r="T299">
            <v>11766.726000000001</v>
          </cell>
          <cell r="U299">
            <v>11928.361000000001</v>
          </cell>
          <cell r="V299">
            <v>12089.385</v>
          </cell>
          <cell r="W299">
            <v>12248.343999999999</v>
          </cell>
          <cell r="X299">
            <v>12404.192999999999</v>
          </cell>
          <cell r="Y299">
            <v>12556.839</v>
          </cell>
          <cell r="Z299">
            <v>12706.787</v>
          </cell>
          <cell r="AA299">
            <v>12855.007</v>
          </cell>
          <cell r="AB299">
            <v>13001.942999999999</v>
          </cell>
          <cell r="AC299">
            <v>13147.932000000001</v>
          </cell>
          <cell r="AD299">
            <v>13291.873</v>
          </cell>
          <cell r="AE299">
            <v>13431.182000000001</v>
          </cell>
          <cell r="AF299">
            <v>13562.438</v>
          </cell>
          <cell r="AG299">
            <v>13683.290999999999</v>
          </cell>
          <cell r="AH299">
            <v>13793.11</v>
          </cell>
          <cell r="AI299">
            <v>13892.916999999999</v>
          </cell>
          <cell r="AJ299">
            <v>13984.06</v>
          </cell>
          <cell r="AK299">
            <v>14068.593000000001</v>
          </cell>
          <cell r="AL299">
            <v>14148.415000000001</v>
          </cell>
          <cell r="AM299">
            <v>14223.763000000001</v>
          </cell>
          <cell r="AN299">
            <v>14295.217000000001</v>
          </cell>
          <cell r="AO299">
            <v>14365.385</v>
          </cell>
          <cell r="AP299">
            <v>14437.505999999999</v>
          </cell>
          <cell r="AQ299">
            <v>14513.949000000001</v>
          </cell>
          <cell r="AR299">
            <v>14595.754999999999</v>
          </cell>
          <cell r="AS299">
            <v>14682.648999999999</v>
          </cell>
          <cell r="AT299">
            <v>14774.038</v>
          </cell>
          <cell r="AU299">
            <v>14868.655000000001</v>
          </cell>
          <cell r="AV299">
            <v>14965.448</v>
          </cell>
          <cell r="AW299">
            <v>15064.519</v>
          </cell>
          <cell r="AX299">
            <v>15165.861999999999</v>
          </cell>
          <cell r="AY299">
            <v>15268.005999999999</v>
          </cell>
          <cell r="AZ299">
            <v>15369.12</v>
          </cell>
          <cell r="BA299">
            <v>15467.851000000001</v>
          </cell>
          <cell r="BB299">
            <v>15563.254999999999</v>
          </cell>
          <cell r="BC299">
            <v>15655.475</v>
          </cell>
          <cell r="BD299">
            <v>15745.647000000001</v>
          </cell>
          <cell r="BE299">
            <v>15835.522999999999</v>
          </cell>
          <cell r="BF299">
            <v>15926.188</v>
          </cell>
          <cell r="BG299">
            <v>16018.114</v>
          </cell>
          <cell r="BH299">
            <v>16110.355</v>
          </cell>
          <cell r="BI299">
            <v>16200.950999999999</v>
          </cell>
          <cell r="BJ299">
            <v>16287.182000000001</v>
          </cell>
          <cell r="BK299">
            <v>16367.157999999999</v>
          </cell>
          <cell r="BL299">
            <v>16440.097000000002</v>
          </cell>
          <cell r="BM299">
            <v>16506.654999999999</v>
          </cell>
          <cell r="BN299">
            <v>16568.103999999999</v>
          </cell>
          <cell r="BO299">
            <v>16626.373</v>
          </cell>
          <cell r="BP299">
            <v>16682.917000000001</v>
          </cell>
          <cell r="BQ299">
            <v>16738.192999999999</v>
          </cell>
          <cell r="BR299">
            <v>16791.84</v>
          </cell>
          <cell r="BS299">
            <v>16843.502</v>
          </cell>
          <cell r="BT299">
            <v>16892.523000000001</v>
          </cell>
          <cell r="BU299">
            <v>16938.499</v>
          </cell>
          <cell r="BV299">
            <v>16981.294999999998</v>
          </cell>
          <cell r="BW299">
            <v>17021.347000000002</v>
          </cell>
          <cell r="BX299">
            <v>17059.560000000001</v>
          </cell>
        </row>
        <row r="300">
          <cell r="C300" t="str">
            <v>Switzerland</v>
          </cell>
          <cell r="E300">
            <v>756</v>
          </cell>
          <cell r="F300" t="str">
            <v>Country</v>
          </cell>
          <cell r="G300">
            <v>926</v>
          </cell>
          <cell r="H300">
            <v>4668.0860000000002</v>
          </cell>
          <cell r="I300">
            <v>4721.9179999999997</v>
          </cell>
          <cell r="J300">
            <v>4781.1289999999999</v>
          </cell>
          <cell r="K300">
            <v>4841.5</v>
          </cell>
          <cell r="L300">
            <v>4900.4639999999999</v>
          </cell>
          <cell r="M300">
            <v>4957.0659999999998</v>
          </cell>
          <cell r="N300">
            <v>5012.0950000000003</v>
          </cell>
          <cell r="O300">
            <v>5067.9769999999999</v>
          </cell>
          <cell r="P300">
            <v>5128.4449999999997</v>
          </cell>
          <cell r="Q300">
            <v>5198.0609999999997</v>
          </cell>
          <cell r="R300">
            <v>5280.68</v>
          </cell>
          <cell r="S300">
            <v>5377.7669999999998</v>
          </cell>
          <cell r="T300">
            <v>5487.0429999999997</v>
          </cell>
          <cell r="U300">
            <v>5601.8069999999998</v>
          </cell>
          <cell r="V300">
            <v>5712.7070000000003</v>
          </cell>
          <cell r="W300">
            <v>5812.8509999999997</v>
          </cell>
          <cell r="X300">
            <v>5899.4830000000002</v>
          </cell>
          <cell r="Y300">
            <v>5973.9449999999997</v>
          </cell>
          <cell r="Z300">
            <v>6038.3329999999996</v>
          </cell>
          <cell r="AA300">
            <v>6096.4359999999997</v>
          </cell>
          <cell r="AB300">
            <v>6150.8519999999999</v>
          </cell>
          <cell r="AC300">
            <v>6202.9489999999996</v>
          </cell>
          <cell r="AD300">
            <v>6251.2879999999996</v>
          </cell>
          <cell r="AE300">
            <v>6292.5330000000004</v>
          </cell>
          <cell r="AF300">
            <v>6322.0129999999999</v>
          </cell>
          <cell r="AG300">
            <v>6337.0249999999996</v>
          </cell>
          <cell r="AH300">
            <v>6335.9740000000002</v>
          </cell>
          <cell r="AI300">
            <v>6321.8149999999996</v>
          </cell>
          <cell r="AJ300">
            <v>6302.0439999999999</v>
          </cell>
          <cell r="AK300">
            <v>6286.915</v>
          </cell>
          <cell r="AL300">
            <v>6283.8320000000003</v>
          </cell>
          <cell r="AM300">
            <v>6295.9250000000002</v>
          </cell>
          <cell r="AN300">
            <v>6321.4089999999997</v>
          </cell>
          <cell r="AO300">
            <v>6356.7449999999999</v>
          </cell>
          <cell r="AP300">
            <v>6396.134</v>
          </cell>
          <cell r="AQ300">
            <v>6435.424</v>
          </cell>
          <cell r="AR300">
            <v>6473.0439999999999</v>
          </cell>
          <cell r="AS300">
            <v>6510.5969999999998</v>
          </cell>
          <cell r="AT300">
            <v>6550.7250000000004</v>
          </cell>
          <cell r="AU300">
            <v>6597.37</v>
          </cell>
          <cell r="AV300">
            <v>6652.8680000000004</v>
          </cell>
          <cell r="AW300">
            <v>6718.8280000000004</v>
          </cell>
          <cell r="AX300">
            <v>6792.9059999999999</v>
          </cell>
          <cell r="AY300">
            <v>6868.9309999999996</v>
          </cell>
          <cell r="AZ300">
            <v>6938.415</v>
          </cell>
          <cell r="BA300">
            <v>6995.5209999999997</v>
          </cell>
          <cell r="BB300">
            <v>7038.0330000000004</v>
          </cell>
          <cell r="BC300">
            <v>7068.5079999999998</v>
          </cell>
          <cell r="BD300">
            <v>7091.77</v>
          </cell>
          <cell r="BE300">
            <v>7115.027</v>
          </cell>
          <cell r="BF300">
            <v>7143.7610000000004</v>
          </cell>
          <cell r="BG300">
            <v>7179.1689999999999</v>
          </cell>
          <cell r="BH300">
            <v>7220.3770000000004</v>
          </cell>
          <cell r="BI300">
            <v>7268.3590000000004</v>
          </cell>
          <cell r="BJ300">
            <v>7323.7370000000001</v>
          </cell>
          <cell r="BK300">
            <v>7386.8159999999998</v>
          </cell>
          <cell r="BL300">
            <v>7457.9579999999996</v>
          </cell>
          <cell r="BM300">
            <v>7536.982</v>
          </cell>
          <cell r="BN300">
            <v>7622.8209999999999</v>
          </cell>
          <cell r="BO300">
            <v>7713.8980000000001</v>
          </cell>
          <cell r="BP300">
            <v>7808.6750000000002</v>
          </cell>
          <cell r="BQ300">
            <v>7906.9920000000002</v>
          </cell>
          <cell r="BR300">
            <v>8008.0119999999997</v>
          </cell>
          <cell r="BS300">
            <v>8108.8779999999997</v>
          </cell>
          <cell r="BT300">
            <v>8206.0020000000004</v>
          </cell>
          <cell r="BU300">
            <v>8296.7749999999996</v>
          </cell>
          <cell r="BV300">
            <v>8379.9169999999995</v>
          </cell>
          <cell r="BW300">
            <v>8455.8040000000001</v>
          </cell>
          <cell r="BX300">
            <v>8525.6110000000008</v>
          </cell>
        </row>
        <row r="301">
          <cell r="C301" t="str">
            <v>NORTHERN AMERICA</v>
          </cell>
          <cell r="E301">
            <v>918</v>
          </cell>
          <cell r="F301" t="str">
            <v>SDG subregion</v>
          </cell>
          <cell r="G301">
            <v>1829</v>
          </cell>
          <cell r="H301">
            <v>172602.62400000001</v>
          </cell>
          <cell r="I301">
            <v>175016.59</v>
          </cell>
          <cell r="J301">
            <v>177778.5</v>
          </cell>
          <cell r="K301">
            <v>180813.19899999999</v>
          </cell>
          <cell r="L301">
            <v>184051.52499999999</v>
          </cell>
          <cell r="M301">
            <v>187430.408</v>
          </cell>
          <cell r="N301">
            <v>190892.78599999999</v>
          </cell>
          <cell r="O301">
            <v>194387.685</v>
          </cell>
          <cell r="P301">
            <v>197870.2</v>
          </cell>
          <cell r="Q301">
            <v>201301.49799999999</v>
          </cell>
          <cell r="R301">
            <v>204649.16500000001</v>
          </cell>
          <cell r="S301">
            <v>207887.18299999999</v>
          </cell>
          <cell r="T301">
            <v>210996.177</v>
          </cell>
          <cell r="U301">
            <v>213963.47899999999</v>
          </cell>
          <cell r="V301">
            <v>216782.88699999999</v>
          </cell>
          <cell r="W301">
            <v>219454.18100000001</v>
          </cell>
          <cell r="X301">
            <v>221966.41</v>
          </cell>
          <cell r="Y301">
            <v>224327.3</v>
          </cell>
          <cell r="Z301">
            <v>226580.61499999999</v>
          </cell>
          <cell r="AA301">
            <v>228786.66800000001</v>
          </cell>
          <cell r="AB301">
            <v>230991.85800000001</v>
          </cell>
          <cell r="AC301">
            <v>233213.524</v>
          </cell>
          <cell r="AD301">
            <v>235449.571</v>
          </cell>
          <cell r="AE301">
            <v>237703.033</v>
          </cell>
          <cell r="AF301">
            <v>239970.867</v>
          </cell>
          <cell r="AG301">
            <v>242251.508</v>
          </cell>
          <cell r="AH301">
            <v>244552.73800000001</v>
          </cell>
          <cell r="AI301">
            <v>246882.32500000001</v>
          </cell>
          <cell r="AJ301">
            <v>249237.766</v>
          </cell>
          <cell r="AK301">
            <v>251613.70199999999</v>
          </cell>
          <cell r="AL301">
            <v>254007.12299999999</v>
          </cell>
          <cell r="AM301">
            <v>256418.908</v>
          </cell>
          <cell r="AN301">
            <v>258853.997</v>
          </cell>
          <cell r="AO301">
            <v>261318.323</v>
          </cell>
          <cell r="AP301">
            <v>263819.45899999997</v>
          </cell>
          <cell r="AQ301">
            <v>266363.451</v>
          </cell>
          <cell r="AR301">
            <v>268958.52</v>
          </cell>
          <cell r="AS301">
            <v>271606.61599999998</v>
          </cell>
          <cell r="AT301">
            <v>274300.348</v>
          </cell>
          <cell r="AU301">
            <v>277028.17200000002</v>
          </cell>
          <cell r="AV301">
            <v>279785.25900000002</v>
          </cell>
          <cell r="AW301">
            <v>282552.41800000001</v>
          </cell>
          <cell r="AX301">
            <v>285339.70400000003</v>
          </cell>
          <cell r="AY301">
            <v>288205.12199999997</v>
          </cell>
          <cell r="AZ301">
            <v>291227.25799999997</v>
          </cell>
          <cell r="BA301">
            <v>294453.54200000002</v>
          </cell>
          <cell r="BB301">
            <v>297918.80699999997</v>
          </cell>
          <cell r="BC301">
            <v>301582.34700000001</v>
          </cell>
          <cell r="BD301">
            <v>305324.06199999998</v>
          </cell>
          <cell r="BE301">
            <v>308977.74</v>
          </cell>
          <cell r="BF301">
            <v>312426.77299999999</v>
          </cell>
          <cell r="BG301">
            <v>315615.973</v>
          </cell>
          <cell r="BH301">
            <v>318585.95500000002</v>
          </cell>
          <cell r="BI301">
            <v>321432.40899999999</v>
          </cell>
          <cell r="BJ301">
            <v>324299.27899999998</v>
          </cell>
          <cell r="BK301">
            <v>327287.15100000001</v>
          </cell>
          <cell r="BL301">
            <v>330425.33100000001</v>
          </cell>
          <cell r="BM301">
            <v>333668.5</v>
          </cell>
          <cell r="BN301">
            <v>336952.71600000001</v>
          </cell>
          <cell r="BO301">
            <v>340182.402</v>
          </cell>
          <cell r="BP301">
            <v>343287.41899999999</v>
          </cell>
          <cell r="BQ301">
            <v>346251.16399999999</v>
          </cell>
          <cell r="BR301">
            <v>349093.38</v>
          </cell>
          <cell r="BS301">
            <v>351824.03899999999</v>
          </cell>
          <cell r="BT301">
            <v>354464.23700000002</v>
          </cell>
          <cell r="BU301">
            <v>357031.04800000001</v>
          </cell>
          <cell r="BV301">
            <v>359524.647</v>
          </cell>
          <cell r="BW301">
            <v>361942.26799999998</v>
          </cell>
          <cell r="BX301">
            <v>364295.99599999998</v>
          </cell>
        </row>
        <row r="302">
          <cell r="C302" t="str">
            <v>Bermuda</v>
          </cell>
          <cell r="E302">
            <v>60</v>
          </cell>
          <cell r="F302" t="str">
            <v>Country</v>
          </cell>
          <cell r="G302">
            <v>918</v>
          </cell>
          <cell r="H302">
            <v>37.26</v>
          </cell>
          <cell r="I302">
            <v>37.790999999999997</v>
          </cell>
          <cell r="J302">
            <v>38.427999999999997</v>
          </cell>
          <cell r="K302">
            <v>39.146000000000001</v>
          </cell>
          <cell r="L302">
            <v>39.914000000000001</v>
          </cell>
          <cell r="M302">
            <v>40.707999999999998</v>
          </cell>
          <cell r="N302">
            <v>41.529000000000003</v>
          </cell>
          <cell r="O302">
            <v>42.368000000000002</v>
          </cell>
          <cell r="P302">
            <v>43.228000000000002</v>
          </cell>
          <cell r="Q302">
            <v>44.087000000000003</v>
          </cell>
          <cell r="R302">
            <v>44.978999999999999</v>
          </cell>
          <cell r="S302">
            <v>45.895000000000003</v>
          </cell>
          <cell r="T302">
            <v>46.814</v>
          </cell>
          <cell r="U302">
            <v>47.726999999999997</v>
          </cell>
          <cell r="V302">
            <v>48.591999999999999</v>
          </cell>
          <cell r="W302">
            <v>49.387999999999998</v>
          </cell>
          <cell r="X302">
            <v>50.116999999999997</v>
          </cell>
          <cell r="Y302">
            <v>50.78</v>
          </cell>
          <cell r="Z302">
            <v>51.386000000000003</v>
          </cell>
          <cell r="AA302">
            <v>51.975999999999999</v>
          </cell>
          <cell r="AB302">
            <v>52.564999999999998</v>
          </cell>
          <cell r="AC302">
            <v>53.161999999999999</v>
          </cell>
          <cell r="AD302">
            <v>53.752000000000002</v>
          </cell>
          <cell r="AE302">
            <v>54.329000000000001</v>
          </cell>
          <cell r="AF302">
            <v>54.883000000000003</v>
          </cell>
          <cell r="AG302">
            <v>55.4</v>
          </cell>
          <cell r="AH302">
            <v>55.884</v>
          </cell>
          <cell r="AI302">
            <v>56.33</v>
          </cell>
          <cell r="AJ302">
            <v>56.76</v>
          </cell>
          <cell r="AK302">
            <v>57.177999999999997</v>
          </cell>
          <cell r="AL302">
            <v>57.573</v>
          </cell>
          <cell r="AM302">
            <v>57.985999999999997</v>
          </cell>
          <cell r="AN302">
            <v>58.387</v>
          </cell>
          <cell r="AO302">
            <v>58.79</v>
          </cell>
          <cell r="AP302">
            <v>59.19</v>
          </cell>
          <cell r="AQ302">
            <v>59.601999999999997</v>
          </cell>
          <cell r="AR302">
            <v>60.01</v>
          </cell>
          <cell r="AS302">
            <v>60.418999999999997</v>
          </cell>
          <cell r="AT302">
            <v>60.838999999999999</v>
          </cell>
          <cell r="AU302">
            <v>61.243000000000002</v>
          </cell>
          <cell r="AV302">
            <v>61.634</v>
          </cell>
          <cell r="AW302">
            <v>62.02</v>
          </cell>
          <cell r="AX302">
            <v>62.389000000000003</v>
          </cell>
          <cell r="AY302">
            <v>62.75</v>
          </cell>
          <cell r="AZ302">
            <v>63.100999999999999</v>
          </cell>
          <cell r="BA302">
            <v>63.442</v>
          </cell>
          <cell r="BB302">
            <v>63.774000000000001</v>
          </cell>
          <cell r="BC302">
            <v>64.08</v>
          </cell>
          <cell r="BD302">
            <v>64.393000000000001</v>
          </cell>
          <cell r="BE302">
            <v>64.7</v>
          </cell>
          <cell r="BF302">
            <v>65.012</v>
          </cell>
          <cell r="BG302">
            <v>65.328999999999994</v>
          </cell>
          <cell r="BH302">
            <v>65.656000000000006</v>
          </cell>
          <cell r="BI302">
            <v>65.942999999999998</v>
          </cell>
          <cell r="BJ302">
            <v>66.150000000000006</v>
          </cell>
          <cell r="BK302">
            <v>66.257000000000005</v>
          </cell>
          <cell r="BL302">
            <v>66.248000000000005</v>
          </cell>
          <cell r="BM302">
            <v>66.129000000000005</v>
          </cell>
          <cell r="BN302">
            <v>65.930999999999997</v>
          </cell>
          <cell r="BO302">
            <v>65.674000000000007</v>
          </cell>
          <cell r="BP302">
            <v>65.388999999999996</v>
          </cell>
          <cell r="BQ302">
            <v>65.078000000000003</v>
          </cell>
          <cell r="BR302">
            <v>64.736999999999995</v>
          </cell>
          <cell r="BS302">
            <v>64.385999999999996</v>
          </cell>
          <cell r="BT302">
            <v>64.033000000000001</v>
          </cell>
          <cell r="BU302">
            <v>63.692</v>
          </cell>
          <cell r="BV302">
            <v>63.362000000000002</v>
          </cell>
          <cell r="BW302">
            <v>63.048999999999999</v>
          </cell>
          <cell r="BX302">
            <v>62.756</v>
          </cell>
        </row>
        <row r="303">
          <cell r="C303" t="str">
            <v>Canada</v>
          </cell>
          <cell r="E303">
            <v>124</v>
          </cell>
          <cell r="F303" t="str">
            <v>Country</v>
          </cell>
          <cell r="G303">
            <v>918</v>
          </cell>
          <cell r="H303">
            <v>13733.402</v>
          </cell>
          <cell r="I303">
            <v>14078.45</v>
          </cell>
          <cell r="J303">
            <v>14445.46</v>
          </cell>
          <cell r="K303">
            <v>14834.904</v>
          </cell>
          <cell r="L303">
            <v>15245.414000000001</v>
          </cell>
          <cell r="M303">
            <v>15673.763000000001</v>
          </cell>
          <cell r="N303">
            <v>16114.736000000001</v>
          </cell>
          <cell r="O303">
            <v>16561.258000000002</v>
          </cell>
          <cell r="P303">
            <v>17004.841</v>
          </cell>
          <cell r="Q303">
            <v>17436.208999999999</v>
          </cell>
          <cell r="R303">
            <v>17847.404999999999</v>
          </cell>
          <cell r="S303">
            <v>18233.964</v>
          </cell>
          <cell r="T303">
            <v>18596.846000000001</v>
          </cell>
          <cell r="U303">
            <v>18943.228999999999</v>
          </cell>
          <cell r="V303">
            <v>19284.223999999998</v>
          </cell>
          <cell r="W303">
            <v>19627.98</v>
          </cell>
          <cell r="X303">
            <v>19975.694</v>
          </cell>
          <cell r="Y303">
            <v>20324.778999999999</v>
          </cell>
          <cell r="Z303">
            <v>20675.007000000001</v>
          </cell>
          <cell r="AA303">
            <v>21025.264999999999</v>
          </cell>
          <cell r="AB303">
            <v>21374.326000000001</v>
          </cell>
          <cell r="AC303">
            <v>21723.46</v>
          </cell>
          <cell r="AD303">
            <v>22072.194</v>
          </cell>
          <cell r="AE303">
            <v>22415.322</v>
          </cell>
          <cell r="AF303">
            <v>22745.902999999998</v>
          </cell>
          <cell r="AG303">
            <v>23059.264999999999</v>
          </cell>
          <cell r="AH303">
            <v>23354.585999999999</v>
          </cell>
          <cell r="AI303">
            <v>23634.386999999999</v>
          </cell>
          <cell r="AJ303">
            <v>23901.717000000001</v>
          </cell>
          <cell r="AK303">
            <v>24161.124</v>
          </cell>
          <cell r="AL303">
            <v>24416.885999999999</v>
          </cell>
          <cell r="AM303">
            <v>24668.167000000001</v>
          </cell>
          <cell r="AN303">
            <v>24916.542000000001</v>
          </cell>
          <cell r="AO303">
            <v>25171.436000000002</v>
          </cell>
          <cell r="AP303">
            <v>25444.883999999998</v>
          </cell>
          <cell r="AQ303">
            <v>25744.81</v>
          </cell>
          <cell r="AR303">
            <v>26075.498</v>
          </cell>
          <cell r="AS303">
            <v>26432.893</v>
          </cell>
          <cell r="AT303">
            <v>26806.125</v>
          </cell>
          <cell r="AU303">
            <v>27179.502</v>
          </cell>
          <cell r="AV303">
            <v>27541.319</v>
          </cell>
          <cell r="AW303">
            <v>27888.81</v>
          </cell>
          <cell r="AX303">
            <v>28224.409</v>
          </cell>
          <cell r="AY303">
            <v>28547.967000000001</v>
          </cell>
          <cell r="AZ303">
            <v>28860.734</v>
          </cell>
          <cell r="BA303">
            <v>29164.151999999998</v>
          </cell>
          <cell r="BB303">
            <v>29457.816999999999</v>
          </cell>
          <cell r="BC303">
            <v>29742.382000000001</v>
          </cell>
          <cell r="BD303">
            <v>30022.073</v>
          </cell>
          <cell r="BE303">
            <v>30302.514999999999</v>
          </cell>
          <cell r="BF303">
            <v>30588.383000000002</v>
          </cell>
          <cell r="BG303">
            <v>30880.073</v>
          </cell>
          <cell r="BH303">
            <v>31178.262999999999</v>
          </cell>
          <cell r="BI303">
            <v>31488.047999999999</v>
          </cell>
          <cell r="BJ303">
            <v>31815.493999999999</v>
          </cell>
          <cell r="BK303">
            <v>32164.309000000001</v>
          </cell>
          <cell r="BL303">
            <v>32536.987000000001</v>
          </cell>
          <cell r="BM303">
            <v>32930.794000000002</v>
          </cell>
          <cell r="BN303">
            <v>33337.637999999999</v>
          </cell>
          <cell r="BO303">
            <v>33746.093000000001</v>
          </cell>
          <cell r="BP303">
            <v>34147.563999999998</v>
          </cell>
          <cell r="BQ303">
            <v>34539.159</v>
          </cell>
          <cell r="BR303">
            <v>34922.03</v>
          </cell>
          <cell r="BS303">
            <v>35296.527999999998</v>
          </cell>
          <cell r="BT303">
            <v>35664.337</v>
          </cell>
          <cell r="BU303">
            <v>36026.675999999999</v>
          </cell>
          <cell r="BV303">
            <v>36382.944000000003</v>
          </cell>
          <cell r="BW303">
            <v>36732.095000000001</v>
          </cell>
          <cell r="BX303">
            <v>37074.561999999998</v>
          </cell>
        </row>
        <row r="304">
          <cell r="C304" t="str">
            <v>Greenland</v>
          </cell>
          <cell r="E304">
            <v>304</v>
          </cell>
          <cell r="F304" t="str">
            <v>Country</v>
          </cell>
          <cell r="G304">
            <v>918</v>
          </cell>
          <cell r="H304">
            <v>22.995999999999999</v>
          </cell>
          <cell r="I304">
            <v>23.472999999999999</v>
          </cell>
          <cell r="J304">
            <v>23.937999999999999</v>
          </cell>
          <cell r="K304">
            <v>24.469000000000001</v>
          </cell>
          <cell r="L304">
            <v>25.093</v>
          </cell>
          <cell r="M304">
            <v>25.846</v>
          </cell>
          <cell r="N304">
            <v>26.718</v>
          </cell>
          <cell r="O304">
            <v>27.731000000000002</v>
          </cell>
          <cell r="P304">
            <v>28.85</v>
          </cell>
          <cell r="Q304">
            <v>30.016999999999999</v>
          </cell>
          <cell r="R304">
            <v>31.239000000000001</v>
          </cell>
          <cell r="S304">
            <v>32.470999999999997</v>
          </cell>
          <cell r="T304">
            <v>33.729999999999997</v>
          </cell>
          <cell r="U304">
            <v>35.042999999999999</v>
          </cell>
          <cell r="V304">
            <v>36.445</v>
          </cell>
          <cell r="W304">
            <v>37.963999999999999</v>
          </cell>
          <cell r="X304">
            <v>39.61</v>
          </cell>
          <cell r="Y304">
            <v>41.360999999999997</v>
          </cell>
          <cell r="Z304">
            <v>43.097000000000001</v>
          </cell>
          <cell r="AA304">
            <v>44.698999999999998</v>
          </cell>
          <cell r="AB304">
            <v>46.073999999999998</v>
          </cell>
          <cell r="AC304">
            <v>47.186</v>
          </cell>
          <cell r="AD304">
            <v>48.076999999999998</v>
          </cell>
          <cell r="AE304">
            <v>48.738</v>
          </cell>
          <cell r="AF304">
            <v>49.234000000000002</v>
          </cell>
          <cell r="AG304">
            <v>49.585999999999999</v>
          </cell>
          <cell r="AH304">
            <v>49.78</v>
          </cell>
          <cell r="AI304">
            <v>49.844000000000001</v>
          </cell>
          <cell r="AJ304">
            <v>49.86</v>
          </cell>
          <cell r="AK304">
            <v>49.945999999999998</v>
          </cell>
          <cell r="AL304">
            <v>50.179000000000002</v>
          </cell>
          <cell r="AM304">
            <v>50.584000000000003</v>
          </cell>
          <cell r="AN304">
            <v>51.156999999999996</v>
          </cell>
          <cell r="AO304">
            <v>51.829000000000001</v>
          </cell>
          <cell r="AP304">
            <v>52.533999999999999</v>
          </cell>
          <cell r="AQ304">
            <v>53.19</v>
          </cell>
          <cell r="AR304">
            <v>53.796999999999997</v>
          </cell>
          <cell r="AS304">
            <v>54.372999999999998</v>
          </cell>
          <cell r="AT304">
            <v>54.878</v>
          </cell>
          <cell r="AU304">
            <v>55.295000000000002</v>
          </cell>
          <cell r="AV304">
            <v>55.603999999999999</v>
          </cell>
          <cell r="AW304">
            <v>55.789000000000001</v>
          </cell>
          <cell r="AX304">
            <v>55.860999999999997</v>
          </cell>
          <cell r="AY304">
            <v>55.847999999999999</v>
          </cell>
          <cell r="AZ304">
            <v>55.814999999999998</v>
          </cell>
          <cell r="BA304">
            <v>55.811</v>
          </cell>
          <cell r="BB304">
            <v>55.837000000000003</v>
          </cell>
          <cell r="BC304">
            <v>55.881</v>
          </cell>
          <cell r="BD304">
            <v>55.948</v>
          </cell>
          <cell r="BE304">
            <v>56.045999999999999</v>
          </cell>
          <cell r="BF304">
            <v>56.174999999999997</v>
          </cell>
          <cell r="BG304">
            <v>56.326999999999998</v>
          </cell>
          <cell r="BH304">
            <v>56.518000000000001</v>
          </cell>
          <cell r="BI304">
            <v>56.707999999999998</v>
          </cell>
          <cell r="BJ304">
            <v>56.860999999999997</v>
          </cell>
          <cell r="BK304">
            <v>56.951000000000001</v>
          </cell>
          <cell r="BL304">
            <v>56.970999999999997</v>
          </cell>
          <cell r="BM304">
            <v>56.927</v>
          </cell>
          <cell r="BN304">
            <v>56.841000000000001</v>
          </cell>
          <cell r="BO304">
            <v>56.728000000000002</v>
          </cell>
          <cell r="BP304">
            <v>56.637999999999998</v>
          </cell>
          <cell r="BQ304">
            <v>56.552</v>
          </cell>
          <cell r="BR304">
            <v>56.47</v>
          </cell>
          <cell r="BS304">
            <v>56.414000000000001</v>
          </cell>
          <cell r="BT304">
            <v>56.381</v>
          </cell>
          <cell r="BU304">
            <v>56.377000000000002</v>
          </cell>
          <cell r="BV304">
            <v>56.411999999999999</v>
          </cell>
          <cell r="BW304">
            <v>56.481000000000002</v>
          </cell>
          <cell r="BX304">
            <v>56.564</v>
          </cell>
        </row>
        <row r="305">
          <cell r="C305" t="str">
            <v>Saint Pierre and Miquelon</v>
          </cell>
          <cell r="E305">
            <v>666</v>
          </cell>
          <cell r="F305" t="str">
            <v>Country</v>
          </cell>
          <cell r="G305">
            <v>918</v>
          </cell>
          <cell r="H305">
            <v>4.5709999999999997</v>
          </cell>
          <cell r="I305">
            <v>4.6100000000000003</v>
          </cell>
          <cell r="J305">
            <v>4.6459999999999999</v>
          </cell>
          <cell r="K305">
            <v>4.6769999999999996</v>
          </cell>
          <cell r="L305">
            <v>4.7169999999999996</v>
          </cell>
          <cell r="M305">
            <v>4.7549999999999999</v>
          </cell>
          <cell r="N305">
            <v>4.8</v>
          </cell>
          <cell r="O305">
            <v>4.8449999999999998</v>
          </cell>
          <cell r="P305">
            <v>4.8890000000000002</v>
          </cell>
          <cell r="Q305">
            <v>4.9329999999999998</v>
          </cell>
          <cell r="R305">
            <v>4.9710000000000001</v>
          </cell>
          <cell r="S305">
            <v>5.01</v>
          </cell>
          <cell r="T305">
            <v>5.0410000000000004</v>
          </cell>
          <cell r="U305">
            <v>5.077</v>
          </cell>
          <cell r="V305">
            <v>5.1210000000000004</v>
          </cell>
          <cell r="W305">
            <v>5.173</v>
          </cell>
          <cell r="X305">
            <v>5.2290000000000001</v>
          </cell>
          <cell r="Y305">
            <v>5.3</v>
          </cell>
          <cell r="Z305">
            <v>5.3710000000000004</v>
          </cell>
          <cell r="AA305">
            <v>5.4649999999999999</v>
          </cell>
          <cell r="AB305">
            <v>5.5519999999999996</v>
          </cell>
          <cell r="AC305">
            <v>5.6479999999999997</v>
          </cell>
          <cell r="AD305">
            <v>5.7460000000000004</v>
          </cell>
          <cell r="AE305">
            <v>5.8470000000000004</v>
          </cell>
          <cell r="AF305">
            <v>5.9379999999999997</v>
          </cell>
          <cell r="AG305">
            <v>6.0060000000000002</v>
          </cell>
          <cell r="AH305">
            <v>6.0590000000000002</v>
          </cell>
          <cell r="AI305">
            <v>6.101</v>
          </cell>
          <cell r="AJ305">
            <v>6.1260000000000003</v>
          </cell>
          <cell r="AK305">
            <v>6.1360000000000001</v>
          </cell>
          <cell r="AL305">
            <v>6.1310000000000002</v>
          </cell>
          <cell r="AM305">
            <v>6.1130000000000004</v>
          </cell>
          <cell r="AN305">
            <v>6.0670000000000002</v>
          </cell>
          <cell r="AO305">
            <v>6.03</v>
          </cell>
          <cell r="AP305">
            <v>6.0069999999999997</v>
          </cell>
          <cell r="AQ305">
            <v>6.024</v>
          </cell>
          <cell r="AR305">
            <v>6.0670000000000002</v>
          </cell>
          <cell r="AS305">
            <v>6.1420000000000003</v>
          </cell>
          <cell r="AT305">
            <v>6.242</v>
          </cell>
          <cell r="AU305">
            <v>6.327</v>
          </cell>
          <cell r="AV305">
            <v>6.3929999999999998</v>
          </cell>
          <cell r="AW305">
            <v>6.4290000000000003</v>
          </cell>
          <cell r="AX305">
            <v>6.4320000000000004</v>
          </cell>
          <cell r="AY305">
            <v>6.4279999999999999</v>
          </cell>
          <cell r="AZ305">
            <v>6.4119999999999999</v>
          </cell>
          <cell r="BA305">
            <v>6.3920000000000003</v>
          </cell>
          <cell r="BB305">
            <v>6.3760000000000003</v>
          </cell>
          <cell r="BC305">
            <v>6.3689999999999998</v>
          </cell>
          <cell r="BD305">
            <v>6.3470000000000004</v>
          </cell>
          <cell r="BE305">
            <v>6.3289999999999997</v>
          </cell>
          <cell r="BF305">
            <v>6.2939999999999996</v>
          </cell>
          <cell r="BG305">
            <v>6.2510000000000003</v>
          </cell>
          <cell r="BH305">
            <v>6.2</v>
          </cell>
          <cell r="BI305">
            <v>6.1479999999999997</v>
          </cell>
          <cell r="BJ305">
            <v>6.1159999999999997</v>
          </cell>
          <cell r="BK305">
            <v>6.1230000000000002</v>
          </cell>
          <cell r="BL305">
            <v>6.1559999999999997</v>
          </cell>
          <cell r="BM305">
            <v>6.2210000000000001</v>
          </cell>
          <cell r="BN305">
            <v>6.2939999999999996</v>
          </cell>
          <cell r="BO305">
            <v>6.34</v>
          </cell>
          <cell r="BP305">
            <v>6.3529999999999998</v>
          </cell>
          <cell r="BQ305">
            <v>6.3280000000000003</v>
          </cell>
          <cell r="BR305">
            <v>6.258</v>
          </cell>
          <cell r="BS305">
            <v>6.173</v>
          </cell>
          <cell r="BT305">
            <v>6.0750000000000002</v>
          </cell>
          <cell r="BU305">
            <v>5.9930000000000003</v>
          </cell>
          <cell r="BV305">
            <v>5.9340000000000002</v>
          </cell>
          <cell r="BW305">
            <v>5.8869999999999996</v>
          </cell>
          <cell r="BX305">
            <v>5.8490000000000002</v>
          </cell>
        </row>
        <row r="306">
          <cell r="C306" t="str">
            <v>United States of America</v>
          </cell>
          <cell r="E306">
            <v>840</v>
          </cell>
          <cell r="F306" t="str">
            <v>Country</v>
          </cell>
          <cell r="G306">
            <v>918</v>
          </cell>
          <cell r="H306">
            <v>158804.39499999999</v>
          </cell>
          <cell r="I306">
            <v>160872.266</v>
          </cell>
          <cell r="J306">
            <v>163266.02799999999</v>
          </cell>
          <cell r="K306">
            <v>165910.003</v>
          </cell>
          <cell r="L306">
            <v>168736.38699999999</v>
          </cell>
          <cell r="M306">
            <v>171685.33600000001</v>
          </cell>
          <cell r="N306">
            <v>174705.003</v>
          </cell>
          <cell r="O306">
            <v>177751.48300000001</v>
          </cell>
          <cell r="P306">
            <v>180788.39199999999</v>
          </cell>
          <cell r="Q306">
            <v>183786.25200000001</v>
          </cell>
          <cell r="R306">
            <v>186720.571</v>
          </cell>
          <cell r="S306">
            <v>189569.84299999999</v>
          </cell>
          <cell r="T306">
            <v>192313.74600000001</v>
          </cell>
          <cell r="U306">
            <v>194932.40299999999</v>
          </cell>
          <cell r="V306">
            <v>197408.505</v>
          </cell>
          <cell r="W306">
            <v>199733.67600000001</v>
          </cell>
          <cell r="X306">
            <v>201895.76</v>
          </cell>
          <cell r="Y306">
            <v>203905.08</v>
          </cell>
          <cell r="Z306">
            <v>205805.75399999999</v>
          </cell>
          <cell r="AA306">
            <v>207659.26300000001</v>
          </cell>
          <cell r="AB306">
            <v>209513.34099999999</v>
          </cell>
          <cell r="AC306">
            <v>211384.068</v>
          </cell>
          <cell r="AD306">
            <v>213269.802</v>
          </cell>
          <cell r="AE306">
            <v>215178.79699999999</v>
          </cell>
          <cell r="AF306">
            <v>217114.90900000001</v>
          </cell>
          <cell r="AG306">
            <v>219081.25099999999</v>
          </cell>
          <cell r="AH306">
            <v>221086.429</v>
          </cell>
          <cell r="AI306">
            <v>223135.663</v>
          </cell>
          <cell r="AJ306">
            <v>225223.30300000001</v>
          </cell>
          <cell r="AK306">
            <v>227339.318</v>
          </cell>
          <cell r="AL306">
            <v>229476.35399999999</v>
          </cell>
          <cell r="AM306">
            <v>231636.05799999999</v>
          </cell>
          <cell r="AN306">
            <v>233821.84400000001</v>
          </cell>
          <cell r="AO306">
            <v>236030.23800000001</v>
          </cell>
          <cell r="AP306">
            <v>238256.84400000001</v>
          </cell>
          <cell r="AQ306">
            <v>240499.82500000001</v>
          </cell>
          <cell r="AR306">
            <v>242763.14799999999</v>
          </cell>
          <cell r="AS306">
            <v>245052.78899999999</v>
          </cell>
          <cell r="AT306">
            <v>247372.264</v>
          </cell>
          <cell r="AU306">
            <v>249725.80499999999</v>
          </cell>
          <cell r="AV306">
            <v>252120.30900000001</v>
          </cell>
          <cell r="AW306">
            <v>254539.37</v>
          </cell>
          <cell r="AX306">
            <v>256990.61300000001</v>
          </cell>
          <cell r="AY306">
            <v>259532.12899999999</v>
          </cell>
          <cell r="AZ306">
            <v>262241.196</v>
          </cell>
          <cell r="BA306">
            <v>265163.745</v>
          </cell>
          <cell r="BB306">
            <v>268335.00300000003</v>
          </cell>
          <cell r="BC306">
            <v>271713.63500000001</v>
          </cell>
          <cell r="BD306">
            <v>275175.30099999998</v>
          </cell>
          <cell r="BE306">
            <v>278548.15000000002</v>
          </cell>
          <cell r="BF306">
            <v>281710.90899999999</v>
          </cell>
          <cell r="BG306">
            <v>284607.99300000002</v>
          </cell>
          <cell r="BH306">
            <v>287279.31800000003</v>
          </cell>
          <cell r="BI306">
            <v>289815.56199999998</v>
          </cell>
          <cell r="BJ306">
            <v>292354.658</v>
          </cell>
          <cell r="BK306">
            <v>294993.511</v>
          </cell>
          <cell r="BL306">
            <v>297758.96899999998</v>
          </cell>
          <cell r="BM306">
            <v>300608.429</v>
          </cell>
          <cell r="BN306">
            <v>303486.01199999999</v>
          </cell>
          <cell r="BO306">
            <v>306307.56699999998</v>
          </cell>
          <cell r="BP306">
            <v>309011.47499999998</v>
          </cell>
          <cell r="BQ306">
            <v>311584.04700000002</v>
          </cell>
          <cell r="BR306">
            <v>314043.88500000001</v>
          </cell>
          <cell r="BS306">
            <v>316400.538</v>
          </cell>
          <cell r="BT306">
            <v>318673.41100000002</v>
          </cell>
          <cell r="BU306">
            <v>320878.31</v>
          </cell>
          <cell r="BV306">
            <v>323015.995</v>
          </cell>
          <cell r="BW306">
            <v>325084.75599999999</v>
          </cell>
          <cell r="BX306">
            <v>327096.26500000001</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 1"/>
    </sheetNames>
    <sheetDataSet>
      <sheetData sheetId="0">
        <row r="1">
          <cell r="B1" t="str">
            <v>Table 1. Human Development Index and its components</v>
          </cell>
        </row>
        <row r="2">
          <cell r="E2" t="str">
            <v>SDG 3</v>
          </cell>
          <cell r="G2" t="str">
            <v>SDG 4.3</v>
          </cell>
          <cell r="I2" t="str">
            <v>SDG 4.6</v>
          </cell>
          <cell r="K2" t="str">
            <v>SDG 8.5</v>
          </cell>
        </row>
        <row r="3">
          <cell r="C3" t="str">
            <v xml:space="preserve">Human Development Index (HDI) </v>
          </cell>
          <cell r="E3" t="str">
            <v>Life expectancy at birth</v>
          </cell>
          <cell r="G3" t="str">
            <v xml:space="preserve">Expected years of schooling </v>
          </cell>
          <cell r="I3" t="str">
            <v>Mean years of schooling</v>
          </cell>
          <cell r="K3" t="str">
            <v>Gross national income (GNI) per capita</v>
          </cell>
          <cell r="M3" t="str">
            <v>GNI per capita rank minus HDI rank</v>
          </cell>
          <cell r="O3" t="str">
            <v>HDI rank</v>
          </cell>
        </row>
        <row r="4">
          <cell r="B4" t="str">
            <v>Country</v>
          </cell>
          <cell r="C4" t="str">
            <v>Value</v>
          </cell>
          <cell r="E4" t="str">
            <v>(years)</v>
          </cell>
          <cell r="G4" t="str">
            <v>(years)</v>
          </cell>
          <cell r="I4" t="str">
            <v>(years)</v>
          </cell>
          <cell r="K4" t="str">
            <v>(2011 PPP $)</v>
          </cell>
        </row>
        <row r="5">
          <cell r="C5" t="str">
            <v>2017</v>
          </cell>
          <cell r="E5" t="str">
            <v>2017</v>
          </cell>
          <cell r="G5" t="str">
            <v>2017</v>
          </cell>
          <cell r="H5" t="str">
            <v>a</v>
          </cell>
          <cell r="I5" t="str">
            <v>2017</v>
          </cell>
          <cell r="J5" t="str">
            <v>a</v>
          </cell>
          <cell r="K5" t="str">
            <v>2017</v>
          </cell>
          <cell r="M5" t="str">
            <v>2017</v>
          </cell>
          <cell r="O5" t="str">
            <v>2016</v>
          </cell>
        </row>
        <row r="6">
          <cell r="B6" t="str">
            <v>VERY HIGH HUMAN DEVELOPMENT</v>
          </cell>
        </row>
        <row r="7">
          <cell r="B7" t="str">
            <v>Norway</v>
          </cell>
          <cell r="C7">
            <v>0.95252201967581829</v>
          </cell>
          <cell r="E7">
            <v>82.328000000000003</v>
          </cell>
          <cell r="G7">
            <v>17.852060000000002</v>
          </cell>
          <cell r="I7">
            <v>12.56682</v>
          </cell>
          <cell r="K7">
            <v>68012.492920000004</v>
          </cell>
          <cell r="M7">
            <v>5</v>
          </cell>
          <cell r="O7">
            <v>1</v>
          </cell>
        </row>
        <row r="8">
          <cell r="B8" t="str">
            <v>Switzerland</v>
          </cell>
          <cell r="C8">
            <v>0.94399757027811748</v>
          </cell>
          <cell r="E8">
            <v>83.472999999999999</v>
          </cell>
          <cell r="G8">
            <v>16.208819999999999</v>
          </cell>
          <cell r="I8">
            <v>13.407999999999999</v>
          </cell>
          <cell r="K8">
            <v>57625.069710000003</v>
          </cell>
          <cell r="M8">
            <v>8</v>
          </cell>
          <cell r="O8">
            <v>2</v>
          </cell>
        </row>
        <row r="9">
          <cell r="B9" t="str">
            <v>Australia</v>
          </cell>
          <cell r="C9">
            <v>0.9386312851065749</v>
          </cell>
          <cell r="E9">
            <v>83.067999999999998</v>
          </cell>
          <cell r="G9">
            <v>22.921250000000001</v>
          </cell>
          <cell r="H9" t="str">
            <v>b</v>
          </cell>
          <cell r="I9">
            <v>12.855040000000001</v>
          </cell>
          <cell r="K9">
            <v>43560.057739999997</v>
          </cell>
          <cell r="M9">
            <v>18</v>
          </cell>
          <cell r="O9">
            <v>3</v>
          </cell>
        </row>
        <row r="10">
          <cell r="B10" t="str">
            <v>Ireland</v>
          </cell>
          <cell r="C10">
            <v>0.93841005899505603</v>
          </cell>
          <cell r="E10">
            <v>81.643000000000001</v>
          </cell>
          <cell r="G10">
            <v>19.61374</v>
          </cell>
          <cell r="H10" t="str">
            <v>b</v>
          </cell>
          <cell r="I10">
            <v>12.526289999999999</v>
          </cell>
          <cell r="J10" t="str">
            <v>c</v>
          </cell>
          <cell r="K10">
            <v>53754.186260000002</v>
          </cell>
          <cell r="M10">
            <v>8</v>
          </cell>
          <cell r="O10">
            <v>4</v>
          </cell>
        </row>
        <row r="11">
          <cell r="B11" t="str">
            <v>Germany</v>
          </cell>
          <cell r="C11">
            <v>0.93604342015495512</v>
          </cell>
          <cell r="E11">
            <v>81.177999999999997</v>
          </cell>
          <cell r="G11">
            <v>16.95598</v>
          </cell>
          <cell r="I11">
            <v>14.08202</v>
          </cell>
          <cell r="K11">
            <v>46135.847540000002</v>
          </cell>
          <cell r="M11">
            <v>13</v>
          </cell>
          <cell r="O11">
            <v>4</v>
          </cell>
        </row>
        <row r="12">
          <cell r="B12" t="str">
            <v>Iceland</v>
          </cell>
          <cell r="C12">
            <v>0.93487925176182485</v>
          </cell>
          <cell r="E12">
            <v>82.912000000000006</v>
          </cell>
          <cell r="G12">
            <v>19.34788</v>
          </cell>
          <cell r="H12" t="str">
            <v>b</v>
          </cell>
          <cell r="I12">
            <v>12.36378</v>
          </cell>
          <cell r="J12" t="str">
            <v>c</v>
          </cell>
          <cell r="K12">
            <v>45810.195849999996</v>
          </cell>
          <cell r="M12">
            <v>13</v>
          </cell>
          <cell r="O12">
            <v>6</v>
          </cell>
        </row>
        <row r="13">
          <cell r="B13" t="str">
            <v>Hong Kong</v>
          </cell>
          <cell r="C13">
            <v>0.93258291443370078</v>
          </cell>
          <cell r="E13">
            <v>84.096999999999994</v>
          </cell>
          <cell r="G13">
            <v>16.325669999999999</v>
          </cell>
          <cell r="I13">
            <v>12.038130000000001</v>
          </cell>
          <cell r="K13">
            <v>58419.709920000001</v>
          </cell>
          <cell r="M13">
            <v>2</v>
          </cell>
          <cell r="O13">
            <v>8</v>
          </cell>
        </row>
        <row r="14">
          <cell r="B14" t="str">
            <v>Sweden</v>
          </cell>
          <cell r="C14">
            <v>0.9328045492693906</v>
          </cell>
          <cell r="E14">
            <v>82.625</v>
          </cell>
          <cell r="G14">
            <v>17.634596949999999</v>
          </cell>
          <cell r="I14">
            <v>12.42605</v>
          </cell>
          <cell r="K14">
            <v>47765.656029999998</v>
          </cell>
          <cell r="M14">
            <v>9</v>
          </cell>
          <cell r="O14">
            <v>7</v>
          </cell>
        </row>
        <row r="15">
          <cell r="B15" t="str">
            <v>Singapore</v>
          </cell>
          <cell r="C15">
            <v>0.93204160643220724</v>
          </cell>
          <cell r="E15">
            <v>83.218000000000004</v>
          </cell>
          <cell r="G15">
            <v>16.2</v>
          </cell>
          <cell r="H15" t="str">
            <v>d</v>
          </cell>
          <cell r="I15">
            <v>11.47467</v>
          </cell>
          <cell r="K15">
            <v>82503.127009999997</v>
          </cell>
          <cell r="L15" t="str">
            <v>e</v>
          </cell>
          <cell r="M15">
            <v>-6</v>
          </cell>
          <cell r="O15">
            <v>8</v>
          </cell>
        </row>
        <row r="16">
          <cell r="B16" t="str">
            <v>Netherlands</v>
          </cell>
          <cell r="C16">
            <v>0.93063859254564973</v>
          </cell>
          <cell r="E16">
            <v>82.004999999999995</v>
          </cell>
          <cell r="G16">
            <v>18.044830000000001</v>
          </cell>
          <cell r="I16">
            <v>12.190009999999999</v>
          </cell>
          <cell r="K16">
            <v>47899.761570000002</v>
          </cell>
          <cell r="M16">
            <v>5</v>
          </cell>
          <cell r="O16">
            <v>10</v>
          </cell>
        </row>
        <row r="17">
          <cell r="B17" t="str">
            <v>Denmark</v>
          </cell>
          <cell r="C17">
            <v>0.92947411111012224</v>
          </cell>
          <cell r="E17">
            <v>80.878</v>
          </cell>
          <cell r="G17">
            <v>19.06606</v>
          </cell>
          <cell r="H17" t="str">
            <v>b</v>
          </cell>
          <cell r="I17">
            <v>12.58779</v>
          </cell>
          <cell r="J17" t="str">
            <v>f</v>
          </cell>
          <cell r="K17">
            <v>47918.491670000003</v>
          </cell>
          <cell r="M17">
            <v>3</v>
          </cell>
          <cell r="O17">
            <v>10</v>
          </cell>
        </row>
        <row r="18">
          <cell r="B18" t="str">
            <v>Canada</v>
          </cell>
          <cell r="C18">
            <v>0.92595239850071687</v>
          </cell>
          <cell r="E18">
            <v>82.540999999999997</v>
          </cell>
          <cell r="G18">
            <v>16.437398640000001</v>
          </cell>
          <cell r="H18" t="str">
            <v>c</v>
          </cell>
          <cell r="I18">
            <v>13.281890000000001</v>
          </cell>
          <cell r="K18">
            <v>43433.166720000001</v>
          </cell>
          <cell r="M18">
            <v>10</v>
          </cell>
          <cell r="O18">
            <v>12</v>
          </cell>
        </row>
        <row r="19">
          <cell r="B19" t="str">
            <v>United States</v>
          </cell>
          <cell r="C19">
            <v>0.9239135887246156</v>
          </cell>
          <cell r="E19">
            <v>79.540999999999997</v>
          </cell>
          <cell r="G19">
            <v>16.468209999999999</v>
          </cell>
          <cell r="I19">
            <v>13.379989999999999</v>
          </cell>
          <cell r="K19">
            <v>54941.10929</v>
          </cell>
          <cell r="M19">
            <v>-2</v>
          </cell>
          <cell r="O19">
            <v>12</v>
          </cell>
        </row>
        <row r="20">
          <cell r="B20" t="str">
            <v>United Kingdom</v>
          </cell>
          <cell r="C20">
            <v>0.92154892233940866</v>
          </cell>
          <cell r="E20">
            <v>81.716999999999999</v>
          </cell>
          <cell r="G20">
            <v>17.442900000000002</v>
          </cell>
          <cell r="I20">
            <v>12.88865</v>
          </cell>
          <cell r="J20" t="str">
            <v>f</v>
          </cell>
          <cell r="K20">
            <v>39116.311629999997</v>
          </cell>
          <cell r="M20">
            <v>13</v>
          </cell>
          <cell r="O20">
            <v>14</v>
          </cell>
        </row>
        <row r="21">
          <cell r="B21" t="str">
            <v>Finland</v>
          </cell>
          <cell r="C21">
            <v>0.91965277545544544</v>
          </cell>
          <cell r="E21">
            <v>81.495999999999995</v>
          </cell>
          <cell r="G21">
            <v>17.639656500000001</v>
          </cell>
          <cell r="I21">
            <v>12.43961</v>
          </cell>
          <cell r="K21">
            <v>41002.270940000002</v>
          </cell>
          <cell r="M21">
            <v>10</v>
          </cell>
          <cell r="O21">
            <v>15</v>
          </cell>
        </row>
        <row r="22">
          <cell r="B22" t="str">
            <v>New Zealand</v>
          </cell>
          <cell r="C22">
            <v>0.91668762945436066</v>
          </cell>
          <cell r="E22">
            <v>82.037999999999997</v>
          </cell>
          <cell r="G22">
            <v>18.86506</v>
          </cell>
          <cell r="H22" t="str">
            <v>b</v>
          </cell>
          <cell r="I22">
            <v>12.503</v>
          </cell>
          <cell r="K22">
            <v>33969.739990000002</v>
          </cell>
          <cell r="M22">
            <v>18</v>
          </cell>
          <cell r="O22">
            <v>16</v>
          </cell>
        </row>
        <row r="23">
          <cell r="B23" t="str">
            <v>Belgium</v>
          </cell>
          <cell r="C23">
            <v>0.91606603684458232</v>
          </cell>
          <cell r="E23">
            <v>81.302999999999997</v>
          </cell>
          <cell r="G23">
            <v>19.7624</v>
          </cell>
          <cell r="H23" t="str">
            <v>b</v>
          </cell>
          <cell r="I23">
            <v>11.78389</v>
          </cell>
          <cell r="K23">
            <v>42156.372470000002</v>
          </cell>
          <cell r="M23">
            <v>6</v>
          </cell>
          <cell r="O23">
            <v>16</v>
          </cell>
        </row>
        <row r="24">
          <cell r="B24" t="str">
            <v>Liechtenstein</v>
          </cell>
          <cell r="C24">
            <v>0.91608286799234029</v>
          </cell>
          <cell r="E24">
            <v>80.41</v>
          </cell>
          <cell r="F24" t="str">
            <v>g</v>
          </cell>
          <cell r="G24">
            <v>14.720929999999999</v>
          </cell>
          <cell r="I24">
            <v>12.54846</v>
          </cell>
          <cell r="J24" t="str">
            <v>h</v>
          </cell>
          <cell r="K24">
            <v>97335.749630000006</v>
          </cell>
          <cell r="L24" t="str">
            <v>e,i</v>
          </cell>
          <cell r="M24">
            <v>-15</v>
          </cell>
          <cell r="O24">
            <v>16</v>
          </cell>
        </row>
        <row r="25">
          <cell r="B25" t="str">
            <v>Japan</v>
          </cell>
          <cell r="C25">
            <v>0.90915295664779872</v>
          </cell>
          <cell r="E25">
            <v>83.908000000000001</v>
          </cell>
          <cell r="G25">
            <v>15.23277</v>
          </cell>
          <cell r="I25">
            <v>12.75</v>
          </cell>
          <cell r="J25" t="str">
            <v>j</v>
          </cell>
          <cell r="K25">
            <v>38986.15453</v>
          </cell>
          <cell r="M25">
            <v>9</v>
          </cell>
          <cell r="O25">
            <v>19</v>
          </cell>
        </row>
        <row r="26">
          <cell r="B26" t="str">
            <v>Austria</v>
          </cell>
          <cell r="C26">
            <v>0.9077551793931995</v>
          </cell>
          <cell r="E26">
            <v>81.77</v>
          </cell>
          <cell r="G26">
            <v>16.081199999999999</v>
          </cell>
          <cell r="I26">
            <v>12.1487132</v>
          </cell>
          <cell r="K26">
            <v>45415.101179999998</v>
          </cell>
          <cell r="M26">
            <v>0</v>
          </cell>
          <cell r="O26">
            <v>20</v>
          </cell>
        </row>
        <row r="27">
          <cell r="B27" t="str">
            <v>Luxembourg</v>
          </cell>
          <cell r="C27">
            <v>0.90393886089011288</v>
          </cell>
          <cell r="E27">
            <v>81.954999999999998</v>
          </cell>
          <cell r="G27">
            <v>14.01601</v>
          </cell>
          <cell r="I27">
            <v>12.08015</v>
          </cell>
          <cell r="J27" t="str">
            <v>f</v>
          </cell>
          <cell r="K27">
            <v>65016.326889999997</v>
          </cell>
          <cell r="L27" t="str">
            <v>k</v>
          </cell>
          <cell r="M27">
            <v>-13</v>
          </cell>
          <cell r="O27">
            <v>26</v>
          </cell>
        </row>
        <row r="28">
          <cell r="B28" t="str">
            <v>Israel</v>
          </cell>
          <cell r="C28">
            <v>0.90324484142540495</v>
          </cell>
          <cell r="E28">
            <v>82.664000000000001</v>
          </cell>
          <cell r="G28">
            <v>15.91014</v>
          </cell>
          <cell r="I28">
            <v>12.95922</v>
          </cell>
          <cell r="K28">
            <v>32711.3766</v>
          </cell>
          <cell r="M28">
            <v>13</v>
          </cell>
          <cell r="O28">
            <v>21</v>
          </cell>
        </row>
        <row r="29">
          <cell r="B29" t="str">
            <v>South Korea</v>
          </cell>
          <cell r="C29">
            <v>0.90256112640990338</v>
          </cell>
          <cell r="E29">
            <v>82.361000000000004</v>
          </cell>
          <cell r="G29">
            <v>16.497489999999999</v>
          </cell>
          <cell r="I29">
            <v>12.11633</v>
          </cell>
          <cell r="K29">
            <v>35944.709490000001</v>
          </cell>
          <cell r="M29">
            <v>8</v>
          </cell>
          <cell r="O29">
            <v>22</v>
          </cell>
        </row>
        <row r="30">
          <cell r="B30" t="str">
            <v>France</v>
          </cell>
          <cell r="C30">
            <v>0.90080243991875186</v>
          </cell>
          <cell r="E30">
            <v>82.715999999999994</v>
          </cell>
          <cell r="G30">
            <v>16.415949999999999</v>
          </cell>
          <cell r="I30">
            <v>11.510820000000001</v>
          </cell>
          <cell r="K30">
            <v>39253.947010000004</v>
          </cell>
          <cell r="M30">
            <v>2</v>
          </cell>
          <cell r="O30">
            <v>23</v>
          </cell>
        </row>
        <row r="31">
          <cell r="B31" t="str">
            <v>Slovenia</v>
          </cell>
          <cell r="C31">
            <v>0.89622382855890892</v>
          </cell>
          <cell r="E31">
            <v>81.116</v>
          </cell>
          <cell r="G31">
            <v>17.21387</v>
          </cell>
          <cell r="I31">
            <v>12.221880000000001</v>
          </cell>
          <cell r="K31">
            <v>30593.956900000001</v>
          </cell>
          <cell r="M31">
            <v>12</v>
          </cell>
          <cell r="O31">
            <v>24</v>
          </cell>
        </row>
        <row r="32">
          <cell r="B32" t="str">
            <v>Spain</v>
          </cell>
          <cell r="C32">
            <v>0.89102021644103457</v>
          </cell>
          <cell r="E32">
            <v>83.301000000000002</v>
          </cell>
          <cell r="G32">
            <v>17.877040000000001</v>
          </cell>
          <cell r="I32">
            <v>9.8194800000000004</v>
          </cell>
          <cell r="K32">
            <v>34258.293290000001</v>
          </cell>
          <cell r="M32">
            <v>7</v>
          </cell>
          <cell r="O32">
            <v>25</v>
          </cell>
        </row>
        <row r="33">
          <cell r="B33" t="str">
            <v>Czechia</v>
          </cell>
          <cell r="C33">
            <v>0.88756142888998346</v>
          </cell>
          <cell r="E33">
            <v>78.876999999999995</v>
          </cell>
          <cell r="G33">
            <v>16.854780000000002</v>
          </cell>
          <cell r="I33">
            <v>12.740349999999999</v>
          </cell>
          <cell r="K33">
            <v>30588.300810000001</v>
          </cell>
          <cell r="M33">
            <v>11</v>
          </cell>
          <cell r="O33">
            <v>27</v>
          </cell>
        </row>
        <row r="34">
          <cell r="B34" t="str">
            <v>Italy</v>
          </cell>
          <cell r="C34">
            <v>0.87976944514192545</v>
          </cell>
          <cell r="E34">
            <v>83.168999999999997</v>
          </cell>
          <cell r="G34">
            <v>16.272189999999998</v>
          </cell>
          <cell r="I34">
            <v>10.160399999999999</v>
          </cell>
          <cell r="J34" t="str">
            <v>f</v>
          </cell>
          <cell r="K34">
            <v>35299.240859999998</v>
          </cell>
          <cell r="M34">
            <v>3</v>
          </cell>
          <cell r="O34">
            <v>28</v>
          </cell>
        </row>
        <row r="35">
          <cell r="B35" t="str">
            <v>Malta</v>
          </cell>
          <cell r="C35">
            <v>0.87818679465801597</v>
          </cell>
          <cell r="E35">
            <v>81.012</v>
          </cell>
          <cell r="G35">
            <v>15.896649999999999</v>
          </cell>
          <cell r="I35">
            <v>11.28811</v>
          </cell>
          <cell r="K35">
            <v>34395.646939999999</v>
          </cell>
          <cell r="M35">
            <v>3</v>
          </cell>
          <cell r="O35">
            <v>29</v>
          </cell>
        </row>
        <row r="36">
          <cell r="B36" t="str">
            <v>Estonia</v>
          </cell>
          <cell r="C36">
            <v>0.87104203894607279</v>
          </cell>
          <cell r="E36">
            <v>77.709000000000003</v>
          </cell>
          <cell r="G36">
            <v>16.088419999999999</v>
          </cell>
          <cell r="I36">
            <v>12.66743</v>
          </cell>
          <cell r="K36">
            <v>28993.247719999999</v>
          </cell>
          <cell r="M36">
            <v>10</v>
          </cell>
          <cell r="O36">
            <v>30</v>
          </cell>
        </row>
        <row r="37">
          <cell r="B37" t="str">
            <v>Greece</v>
          </cell>
          <cell r="C37">
            <v>0.86993406704056964</v>
          </cell>
          <cell r="E37">
            <v>81.41</v>
          </cell>
          <cell r="G37">
            <v>17.254049999999999</v>
          </cell>
          <cell r="I37">
            <v>10.75089</v>
          </cell>
          <cell r="K37">
            <v>24648.096939999999</v>
          </cell>
          <cell r="M37">
            <v>20</v>
          </cell>
          <cell r="O37">
            <v>30</v>
          </cell>
        </row>
        <row r="38">
          <cell r="B38" t="str">
            <v>Cyprus</v>
          </cell>
          <cell r="C38">
            <v>0.86878438539869729</v>
          </cell>
          <cell r="E38">
            <v>80.67</v>
          </cell>
          <cell r="G38">
            <v>14.57015</v>
          </cell>
          <cell r="I38">
            <v>12.10394</v>
          </cell>
          <cell r="K38">
            <v>31567.688099999999</v>
          </cell>
          <cell r="M38">
            <v>4</v>
          </cell>
          <cell r="O38">
            <v>32</v>
          </cell>
        </row>
        <row r="39">
          <cell r="B39" t="str">
            <v>Poland</v>
          </cell>
          <cell r="C39">
            <v>0.8650750409424125</v>
          </cell>
          <cell r="E39">
            <v>77.77</v>
          </cell>
          <cell r="G39">
            <v>16.433199999999999</v>
          </cell>
          <cell r="I39">
            <v>12.293979999999999</v>
          </cell>
          <cell r="K39">
            <v>26150.40263</v>
          </cell>
          <cell r="M39">
            <v>12</v>
          </cell>
          <cell r="O39">
            <v>34</v>
          </cell>
        </row>
        <row r="40">
          <cell r="B40" t="str">
            <v>United Arab Emirates</v>
          </cell>
          <cell r="C40">
            <v>0.86275666039651411</v>
          </cell>
          <cell r="E40">
            <v>77.412000000000006</v>
          </cell>
          <cell r="G40">
            <v>13.64343</v>
          </cell>
          <cell r="I40">
            <v>10.78</v>
          </cell>
          <cell r="J40" t="str">
            <v>l</v>
          </cell>
          <cell r="K40">
            <v>67804.558510000003</v>
          </cell>
          <cell r="M40">
            <v>-27</v>
          </cell>
          <cell r="O40">
            <v>33</v>
          </cell>
        </row>
        <row r="41">
          <cell r="B41" t="str">
            <v>Andorra</v>
          </cell>
          <cell r="C41">
            <v>0.85768359425589824</v>
          </cell>
          <cell r="E41">
            <v>81.662999999999997</v>
          </cell>
          <cell r="F41" t="str">
            <v>g</v>
          </cell>
          <cell r="G41">
            <v>13.524016270000001</v>
          </cell>
          <cell r="H41" t="str">
            <v>d</v>
          </cell>
          <cell r="I41">
            <v>10.15545</v>
          </cell>
          <cell r="K41">
            <v>47573.870080000001</v>
          </cell>
          <cell r="L41" t="str">
            <v>m</v>
          </cell>
          <cell r="M41">
            <v>-18</v>
          </cell>
          <cell r="O41">
            <v>35</v>
          </cell>
        </row>
        <row r="42">
          <cell r="B42" t="str">
            <v>Lithuania</v>
          </cell>
          <cell r="C42">
            <v>0.85813514452445749</v>
          </cell>
          <cell r="E42">
            <v>74.768000000000001</v>
          </cell>
          <cell r="G42">
            <v>16.104769999999998</v>
          </cell>
          <cell r="I42">
            <v>12.961029999999999</v>
          </cell>
          <cell r="K42">
            <v>28313.59678</v>
          </cell>
          <cell r="M42">
            <v>7</v>
          </cell>
          <cell r="O42">
            <v>36</v>
          </cell>
        </row>
        <row r="43">
          <cell r="B43" t="str">
            <v>Qatar</v>
          </cell>
          <cell r="C43">
            <v>0.85561644824412797</v>
          </cell>
          <cell r="E43">
            <v>78.331000000000003</v>
          </cell>
          <cell r="G43">
            <v>13.36037</v>
          </cell>
          <cell r="I43">
            <v>9.8061600000000002</v>
          </cell>
          <cell r="K43">
            <v>116817.9779</v>
          </cell>
          <cell r="L43" t="str">
            <v>e</v>
          </cell>
          <cell r="M43">
            <v>-36</v>
          </cell>
          <cell r="O43">
            <v>36</v>
          </cell>
        </row>
        <row r="44">
          <cell r="B44" t="str">
            <v>Slovakia</v>
          </cell>
          <cell r="C44">
            <v>0.85520023672264023</v>
          </cell>
          <cell r="E44">
            <v>76.977000000000004</v>
          </cell>
          <cell r="G44">
            <v>14.964880000000001</v>
          </cell>
          <cell r="I44">
            <v>12.45251025</v>
          </cell>
          <cell r="K44">
            <v>29467.322830000001</v>
          </cell>
          <cell r="M44">
            <v>1</v>
          </cell>
          <cell r="O44">
            <v>39</v>
          </cell>
        </row>
        <row r="45">
          <cell r="B45" t="str">
            <v>Brunei Darussalam</v>
          </cell>
          <cell r="C45">
            <v>0.85326697177068311</v>
          </cell>
          <cell r="E45">
            <v>77.373999999999995</v>
          </cell>
          <cell r="G45">
            <v>14.465020000000001</v>
          </cell>
          <cell r="I45">
            <v>9.06</v>
          </cell>
          <cell r="J45" t="str">
            <v>j</v>
          </cell>
          <cell r="K45">
            <v>76427.210319999998</v>
          </cell>
          <cell r="L45" t="str">
            <v>e</v>
          </cell>
          <cell r="M45">
            <v>-35</v>
          </cell>
          <cell r="O45">
            <v>40</v>
          </cell>
        </row>
        <row r="46">
          <cell r="B46" t="str">
            <v>Saudi Arabia</v>
          </cell>
          <cell r="C46">
            <v>0.85329863821228358</v>
          </cell>
          <cell r="E46">
            <v>74.72</v>
          </cell>
          <cell r="G46">
            <v>16.92895</v>
          </cell>
          <cell r="I46">
            <v>9.5021799999999992</v>
          </cell>
          <cell r="J46" t="str">
            <v>f</v>
          </cell>
          <cell r="K46">
            <v>49680.220690000002</v>
          </cell>
          <cell r="M46">
            <v>-26</v>
          </cell>
          <cell r="O46">
            <v>38</v>
          </cell>
        </row>
        <row r="47">
          <cell r="B47" t="str">
            <v>Latvia</v>
          </cell>
          <cell r="C47">
            <v>0.84714303913219624</v>
          </cell>
          <cell r="E47">
            <v>74.718999999999994</v>
          </cell>
          <cell r="G47">
            <v>15.75835</v>
          </cell>
          <cell r="I47">
            <v>12.843769999999999</v>
          </cell>
          <cell r="J47" t="str">
            <v>f</v>
          </cell>
          <cell r="K47">
            <v>25002.465090000002</v>
          </cell>
          <cell r="M47">
            <v>8</v>
          </cell>
          <cell r="O47">
            <v>43</v>
          </cell>
        </row>
        <row r="48">
          <cell r="B48" t="str">
            <v>Portugal</v>
          </cell>
          <cell r="C48">
            <v>0.84711334071287581</v>
          </cell>
          <cell r="E48">
            <v>81.427999999999997</v>
          </cell>
          <cell r="G48">
            <v>16.29655</v>
          </cell>
          <cell r="I48">
            <v>9.1909600000000005</v>
          </cell>
          <cell r="K48">
            <v>27315.3583</v>
          </cell>
          <cell r="M48">
            <v>2</v>
          </cell>
          <cell r="O48">
            <v>42</v>
          </cell>
        </row>
        <row r="49">
          <cell r="B49" t="str">
            <v>Bahrain</v>
          </cell>
          <cell r="C49">
            <v>0.84610833886364012</v>
          </cell>
          <cell r="E49">
            <v>77.037999999999997</v>
          </cell>
          <cell r="G49">
            <v>15.98681</v>
          </cell>
          <cell r="I49">
            <v>9.4118300000000001</v>
          </cell>
          <cell r="J49" t="str">
            <v>l</v>
          </cell>
          <cell r="K49">
            <v>41579.927159999999</v>
          </cell>
          <cell r="M49">
            <v>-19</v>
          </cell>
          <cell r="O49">
            <v>41</v>
          </cell>
        </row>
        <row r="50">
          <cell r="B50" t="str">
            <v>Chile</v>
          </cell>
          <cell r="C50">
            <v>0.84285878076783016</v>
          </cell>
          <cell r="E50">
            <v>79.731999999999999</v>
          </cell>
          <cell r="G50">
            <v>16.400649999999999</v>
          </cell>
          <cell r="I50">
            <v>10.34355</v>
          </cell>
          <cell r="K50">
            <v>21909.500980000001</v>
          </cell>
          <cell r="M50">
            <v>13</v>
          </cell>
          <cell r="O50">
            <v>44</v>
          </cell>
        </row>
        <row r="51">
          <cell r="B51" t="str">
            <v>Hungary</v>
          </cell>
          <cell r="C51">
            <v>0.83784463394834396</v>
          </cell>
          <cell r="E51">
            <v>76.063000000000002</v>
          </cell>
          <cell r="G51">
            <v>15.08309</v>
          </cell>
          <cell r="I51">
            <v>11.88941</v>
          </cell>
          <cell r="K51">
            <v>25392.971669999999</v>
          </cell>
          <cell r="M51">
            <v>3</v>
          </cell>
          <cell r="O51">
            <v>45</v>
          </cell>
        </row>
        <row r="52">
          <cell r="B52" t="str">
            <v>Croatia</v>
          </cell>
          <cell r="C52">
            <v>0.83110227884211219</v>
          </cell>
          <cell r="E52">
            <v>77.807000000000002</v>
          </cell>
          <cell r="G52">
            <v>14.96245</v>
          </cell>
          <cell r="I52">
            <v>11.26731</v>
          </cell>
          <cell r="J52" t="str">
            <v>l</v>
          </cell>
          <cell r="K52">
            <v>22162.33726</v>
          </cell>
          <cell r="M52">
            <v>10</v>
          </cell>
          <cell r="O52">
            <v>46</v>
          </cell>
        </row>
        <row r="53">
          <cell r="B53" t="str">
            <v>Argentina</v>
          </cell>
          <cell r="C53">
            <v>0.82484965000841348</v>
          </cell>
          <cell r="E53">
            <v>76.738</v>
          </cell>
          <cell r="G53">
            <v>17.424040000000002</v>
          </cell>
          <cell r="I53">
            <v>9.9494299999999996</v>
          </cell>
          <cell r="J53" t="str">
            <v>l</v>
          </cell>
          <cell r="K53">
            <v>18460.736649999999</v>
          </cell>
          <cell r="M53">
            <v>19</v>
          </cell>
          <cell r="O53">
            <v>47</v>
          </cell>
        </row>
        <row r="54">
          <cell r="B54" t="str">
            <v>Oman</v>
          </cell>
          <cell r="C54">
            <v>0.82098939527812864</v>
          </cell>
          <cell r="E54">
            <v>77.257999999999996</v>
          </cell>
          <cell r="G54">
            <v>13.9448688</v>
          </cell>
          <cell r="I54">
            <v>9.5460100000000008</v>
          </cell>
          <cell r="K54">
            <v>36290.24957</v>
          </cell>
          <cell r="M54">
            <v>-19</v>
          </cell>
          <cell r="O54">
            <v>47</v>
          </cell>
        </row>
        <row r="55">
          <cell r="B55" t="str">
            <v>Russia</v>
          </cell>
          <cell r="C55">
            <v>0.81627548670301231</v>
          </cell>
          <cell r="E55">
            <v>71.221999999999994</v>
          </cell>
          <cell r="G55">
            <v>15.535729999999999</v>
          </cell>
          <cell r="I55">
            <v>12.01999</v>
          </cell>
          <cell r="J55" t="str">
            <v>f</v>
          </cell>
          <cell r="K55">
            <v>24232.555799999998</v>
          </cell>
          <cell r="M55">
            <v>3</v>
          </cell>
          <cell r="O55">
            <v>49</v>
          </cell>
        </row>
        <row r="56">
          <cell r="B56" t="str">
            <v>Montenegro</v>
          </cell>
          <cell r="C56">
            <v>0.81369230188998121</v>
          </cell>
          <cell r="E56">
            <v>77.271000000000001</v>
          </cell>
          <cell r="G56">
            <v>14.901719999999999</v>
          </cell>
          <cell r="I56">
            <v>11.28716</v>
          </cell>
          <cell r="J56" t="str">
            <v>f</v>
          </cell>
          <cell r="K56">
            <v>16778.70192</v>
          </cell>
          <cell r="M56">
            <v>19</v>
          </cell>
          <cell r="O56">
            <v>50</v>
          </cell>
        </row>
        <row r="57">
          <cell r="B57" t="str">
            <v>Bulgaria</v>
          </cell>
          <cell r="C57">
            <v>0.81300624867146398</v>
          </cell>
          <cell r="E57">
            <v>74.873999999999995</v>
          </cell>
          <cell r="G57">
            <v>14.810460000000001</v>
          </cell>
          <cell r="I57">
            <v>11.814830000000001</v>
          </cell>
          <cell r="K57">
            <v>18740.111840000001</v>
          </cell>
          <cell r="M57">
            <v>13</v>
          </cell>
          <cell r="O57">
            <v>50</v>
          </cell>
        </row>
        <row r="58">
          <cell r="B58" t="str">
            <v>Romania</v>
          </cell>
          <cell r="C58">
            <v>0.81119175021267953</v>
          </cell>
          <cell r="E58">
            <v>75.573999999999998</v>
          </cell>
          <cell r="G58">
            <v>14.26534</v>
          </cell>
          <cell r="I58">
            <v>10.97836</v>
          </cell>
          <cell r="K58">
            <v>22645.53847</v>
          </cell>
          <cell r="M58">
            <v>2</v>
          </cell>
          <cell r="O58">
            <v>52</v>
          </cell>
        </row>
        <row r="59">
          <cell r="B59" t="str">
            <v>Belarus</v>
          </cell>
          <cell r="C59">
            <v>0.80752959552767289</v>
          </cell>
          <cell r="E59">
            <v>73.069999999999993</v>
          </cell>
          <cell r="G59">
            <v>15.451309999999999</v>
          </cell>
          <cell r="I59">
            <v>12.2638</v>
          </cell>
          <cell r="K59">
            <v>16323.46154</v>
          </cell>
          <cell r="M59">
            <v>18</v>
          </cell>
          <cell r="O59">
            <v>54</v>
          </cell>
        </row>
        <row r="60">
          <cell r="B60" t="str">
            <v>Bahamas</v>
          </cell>
          <cell r="C60">
            <v>0.80712629587972029</v>
          </cell>
          <cell r="E60">
            <v>75.822999999999993</v>
          </cell>
          <cell r="G60">
            <v>12.82263</v>
          </cell>
          <cell r="H60" t="str">
            <v>n</v>
          </cell>
          <cell r="I60">
            <v>11.0799</v>
          </cell>
          <cell r="J60" t="str">
            <v>f</v>
          </cell>
          <cell r="K60">
            <v>26680.624479999999</v>
          </cell>
          <cell r="M60">
            <v>-10</v>
          </cell>
          <cell r="O60">
            <v>53</v>
          </cell>
        </row>
        <row r="61">
          <cell r="B61" t="str">
            <v>Uruguay</v>
          </cell>
          <cell r="C61">
            <v>0.80394843313691133</v>
          </cell>
          <cell r="E61">
            <v>77.644999999999996</v>
          </cell>
          <cell r="G61">
            <v>15.909789999999999</v>
          </cell>
          <cell r="I61">
            <v>8.7188300000000005</v>
          </cell>
          <cell r="K61">
            <v>19930.408340000002</v>
          </cell>
          <cell r="M61">
            <v>5</v>
          </cell>
          <cell r="O61">
            <v>56</v>
          </cell>
        </row>
        <row r="62">
          <cell r="B62" t="str">
            <v>Kuwait</v>
          </cell>
          <cell r="C62">
            <v>0.8030660242495482</v>
          </cell>
          <cell r="E62">
            <v>74.811000000000007</v>
          </cell>
          <cell r="G62">
            <v>13.58732</v>
          </cell>
          <cell r="I62">
            <v>7.2756699999999999</v>
          </cell>
          <cell r="K62">
            <v>70523.940579999995</v>
          </cell>
          <cell r="M62">
            <v>-51</v>
          </cell>
          <cell r="O62">
            <v>55</v>
          </cell>
        </row>
        <row r="63">
          <cell r="B63" t="str">
            <v>Malaysia</v>
          </cell>
          <cell r="C63">
            <v>0.8018076952157448</v>
          </cell>
          <cell r="E63">
            <v>75.451999999999998</v>
          </cell>
          <cell r="G63">
            <v>13.67563</v>
          </cell>
          <cell r="I63">
            <v>10.168240000000001</v>
          </cell>
          <cell r="J63" t="str">
            <v>f</v>
          </cell>
          <cell r="K63">
            <v>26107.27002</v>
          </cell>
          <cell r="M63">
            <v>-11</v>
          </cell>
          <cell r="O63">
            <v>57</v>
          </cell>
        </row>
        <row r="64">
          <cell r="B64" t="str">
            <v>Barbados</v>
          </cell>
          <cell r="C64">
            <v>0.80026863095122702</v>
          </cell>
          <cell r="E64">
            <v>76.057000000000002</v>
          </cell>
          <cell r="G64">
            <v>15.29256</v>
          </cell>
          <cell r="I64">
            <v>10.556900000000001</v>
          </cell>
          <cell r="J64" t="str">
            <v>o</v>
          </cell>
          <cell r="K64">
            <v>15842.94268</v>
          </cell>
          <cell r="L64" t="str">
            <v>k</v>
          </cell>
          <cell r="M64">
            <v>14</v>
          </cell>
          <cell r="O64">
            <v>57</v>
          </cell>
        </row>
        <row r="65">
          <cell r="B65" t="str">
            <v>Kazakhstan</v>
          </cell>
          <cell r="C65">
            <v>0.80043460415804601</v>
          </cell>
          <cell r="E65">
            <v>70.027000000000001</v>
          </cell>
          <cell r="G65">
            <v>15.14898</v>
          </cell>
          <cell r="I65">
            <v>11.784000000000001</v>
          </cell>
          <cell r="J65" t="str">
            <v>j</v>
          </cell>
          <cell r="K65">
            <v>22626.390599999999</v>
          </cell>
          <cell r="M65">
            <v>-3</v>
          </cell>
          <cell r="O65">
            <v>60</v>
          </cell>
        </row>
        <row r="66">
          <cell r="B66" t="str">
            <v>HIGH HUMAN DEVELOPMENT</v>
          </cell>
        </row>
        <row r="67">
          <cell r="B67" t="str">
            <v>Iran</v>
          </cell>
          <cell r="C67">
            <v>0.79805734320084043</v>
          </cell>
          <cell r="E67">
            <v>76.153000000000006</v>
          </cell>
          <cell r="G67">
            <v>14.88064</v>
          </cell>
          <cell r="I67">
            <v>9.8401750769999996</v>
          </cell>
          <cell r="K67">
            <v>19130.240030000001</v>
          </cell>
          <cell r="M67">
            <v>3</v>
          </cell>
          <cell r="O67">
            <v>61</v>
          </cell>
        </row>
        <row r="68">
          <cell r="B68" t="str">
            <v>Palau</v>
          </cell>
          <cell r="C68">
            <v>0.79847843752045478</v>
          </cell>
          <cell r="E68">
            <v>73.444999999999993</v>
          </cell>
          <cell r="F68" t="str">
            <v>g</v>
          </cell>
          <cell r="G68">
            <v>15.603796300000001</v>
          </cell>
          <cell r="I68">
            <v>12.32728</v>
          </cell>
          <cell r="K68">
            <v>12830.5903</v>
          </cell>
          <cell r="M68">
            <v>28</v>
          </cell>
          <cell r="O68">
            <v>59</v>
          </cell>
        </row>
        <row r="69">
          <cell r="B69" t="str">
            <v>Seychelles</v>
          </cell>
          <cell r="C69">
            <v>0.7965286581734321</v>
          </cell>
          <cell r="E69">
            <v>73.745999999999995</v>
          </cell>
          <cell r="G69">
            <v>14.78051</v>
          </cell>
          <cell r="I69">
            <v>9.5</v>
          </cell>
          <cell r="J69" t="str">
            <v>d</v>
          </cell>
          <cell r="K69">
            <v>26076.89647</v>
          </cell>
          <cell r="L69" t="str">
            <v>k</v>
          </cell>
          <cell r="M69">
            <v>-15</v>
          </cell>
          <cell r="O69">
            <v>62</v>
          </cell>
        </row>
        <row r="70">
          <cell r="B70" t="str">
            <v>Costa Rica</v>
          </cell>
          <cell r="C70">
            <v>0.79386463168332178</v>
          </cell>
          <cell r="E70">
            <v>80.03</v>
          </cell>
          <cell r="G70">
            <v>15.377140000000001</v>
          </cell>
          <cell r="I70">
            <v>8.7635500000000004</v>
          </cell>
          <cell r="K70">
            <v>14636.38192</v>
          </cell>
          <cell r="M70">
            <v>15</v>
          </cell>
          <cell r="O70">
            <v>63</v>
          </cell>
        </row>
        <row r="71">
          <cell r="B71" t="str">
            <v>Turkey</v>
          </cell>
          <cell r="C71">
            <v>0.79063398071465241</v>
          </cell>
          <cell r="E71">
            <v>76.009</v>
          </cell>
          <cell r="G71">
            <v>15.2376</v>
          </cell>
          <cell r="I71">
            <v>7.9620600000000001</v>
          </cell>
          <cell r="K71">
            <v>24803.988730000001</v>
          </cell>
          <cell r="M71">
            <v>-14</v>
          </cell>
          <cell r="O71">
            <v>65</v>
          </cell>
        </row>
        <row r="72">
          <cell r="B72" t="str">
            <v>Mauritius</v>
          </cell>
          <cell r="C72">
            <v>0.79012017483625518</v>
          </cell>
          <cell r="E72">
            <v>74.861000000000004</v>
          </cell>
          <cell r="G72">
            <v>15.057270000000001</v>
          </cell>
          <cell r="I72">
            <v>9.32</v>
          </cell>
          <cell r="J72" t="str">
            <v>j</v>
          </cell>
          <cell r="K72">
            <v>20189.316859999999</v>
          </cell>
          <cell r="M72">
            <v>-6</v>
          </cell>
          <cell r="O72">
            <v>64</v>
          </cell>
        </row>
        <row r="73">
          <cell r="B73" t="str">
            <v>Panama</v>
          </cell>
          <cell r="C73">
            <v>0.78932029989074803</v>
          </cell>
          <cell r="E73">
            <v>78.194999999999993</v>
          </cell>
          <cell r="G73">
            <v>12.699920000000001</v>
          </cell>
          <cell r="I73">
            <v>10.17</v>
          </cell>
          <cell r="J73" t="str">
            <v>j</v>
          </cell>
          <cell r="K73">
            <v>19178.208409999999</v>
          </cell>
          <cell r="M73">
            <v>-4</v>
          </cell>
          <cell r="O73">
            <v>66</v>
          </cell>
        </row>
        <row r="74">
          <cell r="B74" t="str">
            <v>Serbia</v>
          </cell>
          <cell r="C74">
            <v>0.78669303469972784</v>
          </cell>
          <cell r="E74">
            <v>75.332999999999998</v>
          </cell>
          <cell r="G74">
            <v>14.64188</v>
          </cell>
          <cell r="I74">
            <v>11.1272</v>
          </cell>
          <cell r="K74">
            <v>13018.708130000001</v>
          </cell>
          <cell r="M74">
            <v>18</v>
          </cell>
          <cell r="O74">
            <v>66</v>
          </cell>
        </row>
        <row r="75">
          <cell r="B75" t="str">
            <v>Albania</v>
          </cell>
          <cell r="C75">
            <v>0.78491097340496918</v>
          </cell>
          <cell r="E75">
            <v>78.495000000000005</v>
          </cell>
          <cell r="G75">
            <v>14.772880000000001</v>
          </cell>
          <cell r="I75">
            <v>10.02511</v>
          </cell>
          <cell r="K75">
            <v>11885.50814</v>
          </cell>
          <cell r="M75">
            <v>23</v>
          </cell>
          <cell r="O75">
            <v>69</v>
          </cell>
        </row>
        <row r="76">
          <cell r="B76" t="str">
            <v>Trinidad and Tobago</v>
          </cell>
          <cell r="C76">
            <v>0.78391525960107711</v>
          </cell>
          <cell r="E76">
            <v>70.783000000000001</v>
          </cell>
          <cell r="G76">
            <v>12.9</v>
          </cell>
          <cell r="H76" t="str">
            <v>n</v>
          </cell>
          <cell r="I76">
            <v>10.898</v>
          </cell>
          <cell r="J76" t="str">
            <v>f</v>
          </cell>
          <cell r="K76">
            <v>28622.304120000001</v>
          </cell>
          <cell r="L76" t="str">
            <v>k</v>
          </cell>
          <cell r="M76">
            <v>-28</v>
          </cell>
          <cell r="O76">
            <v>66</v>
          </cell>
        </row>
        <row r="77">
          <cell r="B77" t="str">
            <v>Antigua and Barbuda</v>
          </cell>
          <cell r="C77">
            <v>0.77953591018673951</v>
          </cell>
          <cell r="E77">
            <v>76.519000000000005</v>
          </cell>
          <cell r="G77">
            <v>13.249487719999999</v>
          </cell>
          <cell r="H77" t="str">
            <v>f</v>
          </cell>
          <cell r="I77">
            <v>9.2361799999999992</v>
          </cell>
          <cell r="J77" t="str">
            <v>d</v>
          </cell>
          <cell r="K77">
            <v>20763.644270000001</v>
          </cell>
          <cell r="L77" t="str">
            <v>k</v>
          </cell>
          <cell r="M77">
            <v>-12</v>
          </cell>
          <cell r="O77">
            <v>70</v>
          </cell>
        </row>
        <row r="78">
          <cell r="B78" t="str">
            <v>Georgia</v>
          </cell>
          <cell r="C78">
            <v>0.77982232852556022</v>
          </cell>
          <cell r="E78">
            <v>73.436000000000007</v>
          </cell>
          <cell r="G78">
            <v>15.03581</v>
          </cell>
          <cell r="I78">
            <v>12.81457</v>
          </cell>
          <cell r="K78">
            <v>9186.4097139999994</v>
          </cell>
          <cell r="M78">
            <v>35</v>
          </cell>
          <cell r="O78">
            <v>71</v>
          </cell>
        </row>
        <row r="79">
          <cell r="B79" t="str">
            <v>Saint Kitts and Nevis</v>
          </cell>
          <cell r="C79">
            <v>0.77784458523597233</v>
          </cell>
          <cell r="E79">
            <v>74.372</v>
          </cell>
          <cell r="F79" t="str">
            <v>g</v>
          </cell>
          <cell r="G79">
            <v>14.389469999999999</v>
          </cell>
          <cell r="I79">
            <v>8.4</v>
          </cell>
          <cell r="J79" t="str">
            <v>n</v>
          </cell>
          <cell r="K79">
            <v>23977.625960000001</v>
          </cell>
          <cell r="L79" t="str">
            <v>k</v>
          </cell>
          <cell r="M79">
            <v>-19</v>
          </cell>
          <cell r="O79">
            <v>72</v>
          </cell>
        </row>
        <row r="80">
          <cell r="B80" t="str">
            <v>Cuba</v>
          </cell>
          <cell r="C80">
            <v>0.77726760552715823</v>
          </cell>
          <cell r="E80">
            <v>79.921000000000006</v>
          </cell>
          <cell r="G80">
            <v>13.995649999999999</v>
          </cell>
          <cell r="I80">
            <v>11.750780000000001</v>
          </cell>
          <cell r="J80" t="str">
            <v>f</v>
          </cell>
          <cell r="K80">
            <v>7524.4</v>
          </cell>
          <cell r="L80" t="str">
            <v>p</v>
          </cell>
          <cell r="M80">
            <v>43</v>
          </cell>
          <cell r="O80">
            <v>72</v>
          </cell>
        </row>
        <row r="81">
          <cell r="B81" t="str">
            <v>Mexico</v>
          </cell>
          <cell r="C81">
            <v>0.77403462077387097</v>
          </cell>
          <cell r="E81">
            <v>77.305000000000007</v>
          </cell>
          <cell r="G81">
            <v>14.10417</v>
          </cell>
          <cell r="I81">
            <v>8.6008499999999994</v>
          </cell>
          <cell r="K81">
            <v>16944.09546</v>
          </cell>
          <cell r="M81">
            <v>-6</v>
          </cell>
          <cell r="O81">
            <v>74</v>
          </cell>
        </row>
        <row r="82">
          <cell r="B82" t="str">
            <v>Grenada</v>
          </cell>
          <cell r="C82">
            <v>0.77194849918157493</v>
          </cell>
          <cell r="E82">
            <v>73.78</v>
          </cell>
          <cell r="G82">
            <v>16.869869999999999</v>
          </cell>
          <cell r="I82">
            <v>8.6756600000000006</v>
          </cell>
          <cell r="J82" t="str">
            <v>n</v>
          </cell>
          <cell r="K82">
            <v>12863.74575</v>
          </cell>
          <cell r="L82" t="str">
            <v>k</v>
          </cell>
          <cell r="M82">
            <v>12</v>
          </cell>
          <cell r="O82">
            <v>75</v>
          </cell>
        </row>
        <row r="83">
          <cell r="B83" t="str">
            <v>Sri Lanka</v>
          </cell>
          <cell r="C83">
            <v>0.7700102474771624</v>
          </cell>
          <cell r="E83">
            <v>75.484999999999999</v>
          </cell>
          <cell r="G83">
            <v>13.85228</v>
          </cell>
          <cell r="I83">
            <v>10.914999999999999</v>
          </cell>
          <cell r="J83" t="str">
            <v>f</v>
          </cell>
          <cell r="K83">
            <v>11325.62717</v>
          </cell>
          <cell r="M83">
            <v>19</v>
          </cell>
          <cell r="O83">
            <v>76</v>
          </cell>
        </row>
        <row r="84">
          <cell r="B84" t="str">
            <v>Bosnia and Herzegovina</v>
          </cell>
          <cell r="C84">
            <v>0.76845083084919141</v>
          </cell>
          <cell r="E84">
            <v>77.087000000000003</v>
          </cell>
          <cell r="G84">
            <v>14.218443000000001</v>
          </cell>
          <cell r="H84" t="str">
            <v>o</v>
          </cell>
          <cell r="I84">
            <v>9.6929200000000009</v>
          </cell>
          <cell r="K84">
            <v>11716.020699999999</v>
          </cell>
          <cell r="M84">
            <v>16</v>
          </cell>
          <cell r="O84">
            <v>77</v>
          </cell>
        </row>
        <row r="85">
          <cell r="B85" t="str">
            <v>Venezuela (Bolivarian Republic of)</v>
          </cell>
          <cell r="C85">
            <v>0.76077299007881249</v>
          </cell>
          <cell r="E85">
            <v>74.725999999999999</v>
          </cell>
          <cell r="G85">
            <v>14.3</v>
          </cell>
          <cell r="I85">
            <v>10.32343</v>
          </cell>
          <cell r="K85">
            <v>10671.54155</v>
          </cell>
          <cell r="L85" t="str">
            <v>k</v>
          </cell>
          <cell r="M85">
            <v>20</v>
          </cell>
          <cell r="O85">
            <v>77</v>
          </cell>
        </row>
        <row r="86">
          <cell r="B86" t="str">
            <v>Brazil</v>
          </cell>
          <cell r="C86">
            <v>0.75924536998366643</v>
          </cell>
          <cell r="E86">
            <v>75.722999999999999</v>
          </cell>
          <cell r="G86">
            <v>15.397930000000001</v>
          </cell>
          <cell r="I86">
            <v>7.76</v>
          </cell>
          <cell r="J86" t="str">
            <v>f</v>
          </cell>
          <cell r="K86">
            <v>13755.336929999999</v>
          </cell>
          <cell r="L86" t="str">
            <v>k</v>
          </cell>
          <cell r="M86">
            <v>2</v>
          </cell>
          <cell r="O86">
            <v>79</v>
          </cell>
        </row>
        <row r="87">
          <cell r="B87" t="str">
            <v>Azerbaijan</v>
          </cell>
          <cell r="C87">
            <v>0.75696542740801309</v>
          </cell>
          <cell r="E87">
            <v>72.123000000000005</v>
          </cell>
          <cell r="G87">
            <v>12.65043</v>
          </cell>
          <cell r="H87" t="str">
            <v>q</v>
          </cell>
          <cell r="I87">
            <v>10.730510000000001</v>
          </cell>
          <cell r="K87">
            <v>15599.61753</v>
          </cell>
          <cell r="L87" t="str">
            <v>k</v>
          </cell>
          <cell r="M87">
            <v>-7</v>
          </cell>
          <cell r="O87">
            <v>80</v>
          </cell>
        </row>
        <row r="88">
          <cell r="B88" t="str">
            <v>Lebanon</v>
          </cell>
          <cell r="C88">
            <v>0.75669598161760887</v>
          </cell>
          <cell r="E88">
            <v>79.757999999999996</v>
          </cell>
          <cell r="G88">
            <v>12.49981</v>
          </cell>
          <cell r="I88">
            <v>8.6999999999999993</v>
          </cell>
          <cell r="J88" t="str">
            <v>f</v>
          </cell>
          <cell r="K88">
            <v>13377.72984</v>
          </cell>
          <cell r="M88">
            <v>3</v>
          </cell>
          <cell r="O88">
            <v>82</v>
          </cell>
        </row>
        <row r="89">
          <cell r="B89" t="str">
            <v>The former Yugoslav Republic of Macedonia</v>
          </cell>
          <cell r="C89">
            <v>0.75668718811133506</v>
          </cell>
          <cell r="E89">
            <v>75.850999999999999</v>
          </cell>
          <cell r="G89">
            <v>13.32826</v>
          </cell>
          <cell r="I89">
            <v>9.6319599999999994</v>
          </cell>
          <cell r="J89" t="str">
            <v>o</v>
          </cell>
          <cell r="K89">
            <v>12504.945610000001</v>
          </cell>
          <cell r="M89">
            <v>9</v>
          </cell>
          <cell r="O89">
            <v>81</v>
          </cell>
        </row>
        <row r="90">
          <cell r="B90" t="str">
            <v>Armenia</v>
          </cell>
          <cell r="C90">
            <v>0.75511268317937885</v>
          </cell>
          <cell r="E90">
            <v>74.781999999999996</v>
          </cell>
          <cell r="G90">
            <v>12.96123</v>
          </cell>
          <cell r="I90">
            <v>11.66751</v>
          </cell>
          <cell r="K90">
            <v>9143.6776370000007</v>
          </cell>
          <cell r="M90">
            <v>24</v>
          </cell>
          <cell r="O90">
            <v>84</v>
          </cell>
        </row>
        <row r="91">
          <cell r="B91" t="str">
            <v>Thailand</v>
          </cell>
          <cell r="C91">
            <v>0.75468354591492348</v>
          </cell>
          <cell r="E91">
            <v>75.498000000000005</v>
          </cell>
          <cell r="G91">
            <v>14.650296300000001</v>
          </cell>
          <cell r="I91">
            <v>7.6113099999999996</v>
          </cell>
          <cell r="K91">
            <v>15515.83035</v>
          </cell>
          <cell r="M91">
            <v>-7</v>
          </cell>
          <cell r="O91">
            <v>86</v>
          </cell>
        </row>
        <row r="92">
          <cell r="B92" t="str">
            <v>Algeria</v>
          </cell>
          <cell r="C92">
            <v>0.75376753474292468</v>
          </cell>
          <cell r="E92">
            <v>76.293000000000006</v>
          </cell>
          <cell r="G92">
            <v>14.35778</v>
          </cell>
          <cell r="I92">
            <v>7.9665699999999999</v>
          </cell>
          <cell r="J92" t="str">
            <v>f</v>
          </cell>
          <cell r="K92">
            <v>13802.013070000001</v>
          </cell>
          <cell r="M92">
            <v>-5</v>
          </cell>
          <cell r="O92">
            <v>83</v>
          </cell>
        </row>
        <row r="93">
          <cell r="B93" t="str">
            <v>China</v>
          </cell>
          <cell r="C93">
            <v>0.7517039468311737</v>
          </cell>
          <cell r="E93">
            <v>76.41</v>
          </cell>
          <cell r="G93">
            <v>13.779199999999999</v>
          </cell>
          <cell r="I93">
            <v>7.8479999999999999</v>
          </cell>
          <cell r="J93" t="str">
            <v>l</v>
          </cell>
          <cell r="K93">
            <v>15269.76124</v>
          </cell>
          <cell r="M93">
            <v>-9</v>
          </cell>
          <cell r="O93">
            <v>86</v>
          </cell>
        </row>
        <row r="94">
          <cell r="B94" t="str">
            <v>Ecuador</v>
          </cell>
          <cell r="C94">
            <v>0.75189975257563157</v>
          </cell>
          <cell r="E94">
            <v>76.551000000000002</v>
          </cell>
          <cell r="G94">
            <v>14.65794</v>
          </cell>
          <cell r="I94">
            <v>8.7015799999999999</v>
          </cell>
          <cell r="K94">
            <v>10346.61944</v>
          </cell>
          <cell r="M94">
            <v>15</v>
          </cell>
          <cell r="O94">
            <v>84</v>
          </cell>
        </row>
        <row r="95">
          <cell r="B95" t="str">
            <v>Ukraine</v>
          </cell>
          <cell r="C95">
            <v>0.75070973757603288</v>
          </cell>
          <cell r="E95">
            <v>72.108999999999995</v>
          </cell>
          <cell r="G95">
            <v>14.988149999999999</v>
          </cell>
          <cell r="I95">
            <v>11.34</v>
          </cell>
          <cell r="J95" t="str">
            <v>l</v>
          </cell>
          <cell r="K95">
            <v>8130.3991649999998</v>
          </cell>
          <cell r="M95">
            <v>24</v>
          </cell>
          <cell r="O95">
            <v>90</v>
          </cell>
        </row>
        <row r="96">
          <cell r="B96" t="str">
            <v>Peru</v>
          </cell>
          <cell r="C96">
            <v>0.74977285457469078</v>
          </cell>
          <cell r="E96">
            <v>75.22</v>
          </cell>
          <cell r="G96">
            <v>13.797276889999999</v>
          </cell>
          <cell r="I96">
            <v>9.1604299999999999</v>
          </cell>
          <cell r="K96">
            <v>11789.348239999999</v>
          </cell>
          <cell r="M96">
            <v>3</v>
          </cell>
          <cell r="O96">
            <v>86</v>
          </cell>
        </row>
        <row r="97">
          <cell r="B97" t="str">
            <v>Colombia</v>
          </cell>
          <cell r="C97">
            <v>0.74704538259088049</v>
          </cell>
          <cell r="E97">
            <v>74.561999999999998</v>
          </cell>
          <cell r="G97">
            <v>14.419090000000001</v>
          </cell>
          <cell r="I97">
            <v>8.2687000000000008</v>
          </cell>
          <cell r="K97">
            <v>12937.87977</v>
          </cell>
          <cell r="M97">
            <v>-4</v>
          </cell>
          <cell r="O97">
            <v>89</v>
          </cell>
        </row>
        <row r="98">
          <cell r="B98" t="str">
            <v>Saint Lucia</v>
          </cell>
          <cell r="C98">
            <v>0.74704915211912148</v>
          </cell>
          <cell r="E98">
            <v>75.695999999999998</v>
          </cell>
          <cell r="G98">
            <v>13.62859585</v>
          </cell>
          <cell r="H98" t="str">
            <v>q</v>
          </cell>
          <cell r="I98">
            <v>8.9363100000000006</v>
          </cell>
          <cell r="J98" t="str">
            <v>f</v>
          </cell>
          <cell r="K98">
            <v>11694.778920000001</v>
          </cell>
          <cell r="M98">
            <v>4</v>
          </cell>
          <cell r="O98">
            <v>91</v>
          </cell>
        </row>
        <row r="99">
          <cell r="B99" t="str">
            <v>Fiji</v>
          </cell>
          <cell r="C99">
            <v>0.74078795496955663</v>
          </cell>
          <cell r="E99">
            <v>70.417000000000002</v>
          </cell>
          <cell r="G99">
            <v>15.3</v>
          </cell>
          <cell r="H99" t="str">
            <v>f</v>
          </cell>
          <cell r="I99">
            <v>10.79</v>
          </cell>
          <cell r="J99" t="str">
            <v>j</v>
          </cell>
          <cell r="K99">
            <v>8324.309996</v>
          </cell>
          <cell r="L99" t="str">
            <v>k</v>
          </cell>
          <cell r="M99">
            <v>18</v>
          </cell>
          <cell r="O99">
            <v>93</v>
          </cell>
        </row>
        <row r="100">
          <cell r="B100" t="str">
            <v>Mongolia</v>
          </cell>
          <cell r="C100">
            <v>0.74081631544727133</v>
          </cell>
          <cell r="E100">
            <v>69.465000000000003</v>
          </cell>
          <cell r="G100">
            <v>15.456469999999999</v>
          </cell>
          <cell r="I100">
            <v>10.10858</v>
          </cell>
          <cell r="K100">
            <v>10103.050230000001</v>
          </cell>
          <cell r="M100">
            <v>11</v>
          </cell>
          <cell r="O100">
            <v>92</v>
          </cell>
        </row>
        <row r="101">
          <cell r="B101" t="str">
            <v>Dominican Republic</v>
          </cell>
          <cell r="C101">
            <v>0.73579791942238093</v>
          </cell>
          <cell r="E101">
            <v>74.048000000000002</v>
          </cell>
          <cell r="G101">
            <v>13.74086</v>
          </cell>
          <cell r="I101">
            <v>7.8254099999999998</v>
          </cell>
          <cell r="K101">
            <v>13920.994259999999</v>
          </cell>
          <cell r="M101">
            <v>-15</v>
          </cell>
          <cell r="O101">
            <v>95</v>
          </cell>
        </row>
        <row r="102">
          <cell r="B102" t="str">
            <v>Jordan</v>
          </cell>
          <cell r="C102">
            <v>0.73537313966980966</v>
          </cell>
          <cell r="E102">
            <v>74.475999999999999</v>
          </cell>
          <cell r="G102">
            <v>13.135925</v>
          </cell>
          <cell r="H102" t="str">
            <v>f</v>
          </cell>
          <cell r="I102">
            <v>10.385999999999999</v>
          </cell>
          <cell r="J102" t="str">
            <v>j</v>
          </cell>
          <cell r="K102">
            <v>8288.462845</v>
          </cell>
          <cell r="M102">
            <v>16</v>
          </cell>
          <cell r="O102">
            <v>94</v>
          </cell>
        </row>
        <row r="103">
          <cell r="B103" t="str">
            <v>Tunisia</v>
          </cell>
          <cell r="C103">
            <v>0.73472009733071209</v>
          </cell>
          <cell r="E103">
            <v>75.942999999999998</v>
          </cell>
          <cell r="G103">
            <v>15.101520000000001</v>
          </cell>
          <cell r="I103">
            <v>7.1722599999999996</v>
          </cell>
          <cell r="J103" t="str">
            <v>l</v>
          </cell>
          <cell r="K103">
            <v>10275.319740000001</v>
          </cell>
          <cell r="L103" t="str">
            <v>k</v>
          </cell>
          <cell r="M103">
            <v>7</v>
          </cell>
          <cell r="O103">
            <v>96</v>
          </cell>
        </row>
        <row r="104">
          <cell r="B104" t="str">
            <v>Jamaica</v>
          </cell>
          <cell r="C104">
            <v>0.73224092347513436</v>
          </cell>
          <cell r="E104">
            <v>76.096999999999994</v>
          </cell>
          <cell r="G104">
            <v>13.14003447</v>
          </cell>
          <cell r="H104" t="str">
            <v>f</v>
          </cell>
          <cell r="I104">
            <v>9.76</v>
          </cell>
          <cell r="J104" t="str">
            <v>f</v>
          </cell>
          <cell r="K104">
            <v>7845.5872520000003</v>
          </cell>
          <cell r="M104">
            <v>17</v>
          </cell>
          <cell r="O104">
            <v>96</v>
          </cell>
        </row>
        <row r="105">
          <cell r="B105" t="str">
            <v>Tonga</v>
          </cell>
          <cell r="C105">
            <v>0.72564470745744603</v>
          </cell>
          <cell r="E105">
            <v>73.179000000000002</v>
          </cell>
          <cell r="G105">
            <v>14.3</v>
          </cell>
          <cell r="H105" t="str">
            <v>n</v>
          </cell>
          <cell r="I105">
            <v>11.18</v>
          </cell>
          <cell r="J105" t="str">
            <v>f</v>
          </cell>
          <cell r="K105">
            <v>5547.1730040000002</v>
          </cell>
          <cell r="L105" t="str">
            <v>k</v>
          </cell>
          <cell r="M105">
            <v>37</v>
          </cell>
          <cell r="O105">
            <v>98</v>
          </cell>
        </row>
        <row r="106">
          <cell r="B106" t="str">
            <v>Saint Vincent and the Grenadines</v>
          </cell>
          <cell r="C106">
            <v>0.72270789923458134</v>
          </cell>
          <cell r="E106">
            <v>73.293999999999997</v>
          </cell>
          <cell r="G106">
            <v>13.256410000000001</v>
          </cell>
          <cell r="I106">
            <v>8.6</v>
          </cell>
          <cell r="K106">
            <v>10498.692880000001</v>
          </cell>
          <cell r="L106" t="str">
            <v>k</v>
          </cell>
          <cell r="M106">
            <v>0</v>
          </cell>
          <cell r="O106">
            <v>99</v>
          </cell>
        </row>
        <row r="107">
          <cell r="B107" t="str">
            <v>Suriname</v>
          </cell>
          <cell r="C107">
            <v>0.71961242187116581</v>
          </cell>
          <cell r="E107">
            <v>71.522999999999996</v>
          </cell>
          <cell r="G107">
            <v>12.7</v>
          </cell>
          <cell r="H107" t="str">
            <v>q</v>
          </cell>
          <cell r="I107">
            <v>8.5069999999999997</v>
          </cell>
          <cell r="J107" t="str">
            <v>f</v>
          </cell>
          <cell r="K107">
            <v>13305.818160000001</v>
          </cell>
          <cell r="L107" t="str">
            <v>k</v>
          </cell>
          <cell r="M107">
            <v>-16</v>
          </cell>
          <cell r="O107">
            <v>100</v>
          </cell>
        </row>
        <row r="108">
          <cell r="B108" t="str">
            <v>Botswana</v>
          </cell>
          <cell r="C108">
            <v>0.71655212857754835</v>
          </cell>
          <cell r="E108">
            <v>67.617999999999995</v>
          </cell>
          <cell r="G108">
            <v>12.61731</v>
          </cell>
          <cell r="H108" t="str">
            <v>f</v>
          </cell>
          <cell r="I108">
            <v>9.2533300000000001</v>
          </cell>
          <cell r="J108" t="str">
            <v>l</v>
          </cell>
          <cell r="K108">
            <v>15533.649240000001</v>
          </cell>
          <cell r="M108">
            <v>-26</v>
          </cell>
          <cell r="O108">
            <v>102</v>
          </cell>
        </row>
        <row r="109">
          <cell r="B109" t="str">
            <v>Maldives</v>
          </cell>
          <cell r="C109">
            <v>0.71686435057213438</v>
          </cell>
          <cell r="E109">
            <v>77.649000000000001</v>
          </cell>
          <cell r="G109">
            <v>12.58675195</v>
          </cell>
          <cell r="H109" t="str">
            <v>q</v>
          </cell>
          <cell r="I109">
            <v>6.3111800000000002</v>
          </cell>
          <cell r="J109" t="str">
            <v>j</v>
          </cell>
          <cell r="K109">
            <v>13567.343870000001</v>
          </cell>
          <cell r="L109" t="str">
            <v>k</v>
          </cell>
          <cell r="M109">
            <v>-19</v>
          </cell>
          <cell r="O109">
            <v>102</v>
          </cell>
        </row>
        <row r="110">
          <cell r="B110" t="str">
            <v>Dominica</v>
          </cell>
          <cell r="C110">
            <v>0.71505659303342339</v>
          </cell>
          <cell r="E110">
            <v>78.031999999999996</v>
          </cell>
          <cell r="F110" t="str">
            <v>g</v>
          </cell>
          <cell r="G110">
            <v>12.7</v>
          </cell>
          <cell r="H110" t="str">
            <v>n</v>
          </cell>
          <cell r="I110">
            <v>7.8</v>
          </cell>
          <cell r="J110" t="str">
            <v>d</v>
          </cell>
          <cell r="K110">
            <v>8343.930644</v>
          </cell>
          <cell r="L110" t="str">
            <v>k</v>
          </cell>
          <cell r="M110">
            <v>6</v>
          </cell>
          <cell r="O110">
            <v>101</v>
          </cell>
        </row>
        <row r="111">
          <cell r="B111" t="str">
            <v>Samoa</v>
          </cell>
          <cell r="C111">
            <v>0.712812176548273</v>
          </cell>
          <cell r="E111">
            <v>75.239999999999995</v>
          </cell>
          <cell r="G111">
            <v>12.52</v>
          </cell>
          <cell r="H111" t="str">
            <v>d</v>
          </cell>
          <cell r="I111">
            <v>10.315899999999999</v>
          </cell>
          <cell r="J111" t="str">
            <v>d</v>
          </cell>
          <cell r="K111">
            <v>5909.3737220000003</v>
          </cell>
          <cell r="L111" t="str">
            <v>k</v>
          </cell>
          <cell r="M111">
            <v>24</v>
          </cell>
          <cell r="O111">
            <v>104</v>
          </cell>
        </row>
        <row r="112">
          <cell r="B112" t="str">
            <v>Uzbekistan</v>
          </cell>
          <cell r="C112">
            <v>0.70984664669249209</v>
          </cell>
          <cell r="E112">
            <v>71.42</v>
          </cell>
          <cell r="G112">
            <v>12.01214</v>
          </cell>
          <cell r="I112">
            <v>11.52496</v>
          </cell>
          <cell r="K112">
            <v>6470.0826219999999</v>
          </cell>
          <cell r="M112">
            <v>19</v>
          </cell>
          <cell r="O112">
            <v>107</v>
          </cell>
        </row>
        <row r="113">
          <cell r="B113" t="str">
            <v>Belize</v>
          </cell>
          <cell r="C113">
            <v>0.70755315436627941</v>
          </cell>
          <cell r="E113">
            <v>70.587999999999994</v>
          </cell>
          <cell r="G113">
            <v>12.8154</v>
          </cell>
          <cell r="I113">
            <v>10.48</v>
          </cell>
          <cell r="J113" t="str">
            <v>f</v>
          </cell>
          <cell r="K113">
            <v>7165.8099199999997</v>
          </cell>
          <cell r="M113">
            <v>14</v>
          </cell>
          <cell r="O113">
            <v>105</v>
          </cell>
        </row>
        <row r="114">
          <cell r="B114" t="str">
            <v>Marshall Islands</v>
          </cell>
          <cell r="C114">
            <v>0.70794741557547936</v>
          </cell>
          <cell r="E114">
            <v>73.62</v>
          </cell>
          <cell r="F114" t="str">
            <v>g</v>
          </cell>
          <cell r="G114">
            <v>13</v>
          </cell>
          <cell r="H114" t="str">
            <v>d</v>
          </cell>
          <cell r="I114">
            <v>10.865769999999999</v>
          </cell>
          <cell r="K114">
            <v>5124.8961509999999</v>
          </cell>
          <cell r="M114">
            <v>33</v>
          </cell>
          <cell r="O114" t="str">
            <v>..</v>
          </cell>
        </row>
        <row r="115">
          <cell r="B115" t="str">
            <v>Libya</v>
          </cell>
          <cell r="C115">
            <v>0.7055994252402138</v>
          </cell>
          <cell r="E115">
            <v>72.11</v>
          </cell>
          <cell r="G115">
            <v>13.4025</v>
          </cell>
          <cell r="H115" t="str">
            <v>n</v>
          </cell>
          <cell r="I115">
            <v>7.31</v>
          </cell>
          <cell r="J115" t="str">
            <v>l</v>
          </cell>
          <cell r="K115">
            <v>11100.097390000001</v>
          </cell>
          <cell r="L115" t="str">
            <v>k</v>
          </cell>
          <cell r="M115">
            <v>-12</v>
          </cell>
          <cell r="O115">
            <v>114</v>
          </cell>
        </row>
        <row r="116">
          <cell r="B116" t="str">
            <v>Turkmenistan</v>
          </cell>
          <cell r="C116">
            <v>0.70625710824131172</v>
          </cell>
          <cell r="E116">
            <v>67.956000000000003</v>
          </cell>
          <cell r="G116">
            <v>10.799939999999999</v>
          </cell>
          <cell r="I116">
            <v>9.7799999999999994</v>
          </cell>
          <cell r="J116" t="str">
            <v>q</v>
          </cell>
          <cell r="K116">
            <v>15594.472529999999</v>
          </cell>
          <cell r="L116" t="str">
            <v>k</v>
          </cell>
          <cell r="M116">
            <v>-34</v>
          </cell>
          <cell r="O116">
            <v>106</v>
          </cell>
        </row>
        <row r="117">
          <cell r="B117" t="str">
            <v>Gabon</v>
          </cell>
          <cell r="C117">
            <v>0.70221642575382892</v>
          </cell>
          <cell r="E117">
            <v>66.48</v>
          </cell>
          <cell r="G117">
            <v>12.813499999999999</v>
          </cell>
          <cell r="H117" t="str">
            <v>q</v>
          </cell>
          <cell r="I117">
            <v>8.1727299999999996</v>
          </cell>
          <cell r="J117" t="str">
            <v>q</v>
          </cell>
          <cell r="K117">
            <v>16430.689920000001</v>
          </cell>
          <cell r="M117">
            <v>-40</v>
          </cell>
          <cell r="O117">
            <v>109</v>
          </cell>
        </row>
        <row r="118">
          <cell r="B118" t="str">
            <v>Paraguay</v>
          </cell>
          <cell r="C118">
            <v>0.70166243405093431</v>
          </cell>
          <cell r="E118">
            <v>73.210999999999999</v>
          </cell>
          <cell r="G118">
            <v>12.687903309999999</v>
          </cell>
          <cell r="I118">
            <v>8.3514499999999998</v>
          </cell>
          <cell r="K118">
            <v>8380.1293349999996</v>
          </cell>
          <cell r="M118">
            <v>-2</v>
          </cell>
          <cell r="O118">
            <v>108</v>
          </cell>
        </row>
        <row r="119">
          <cell r="B119" t="str">
            <v>Moldova (Republic of)</v>
          </cell>
          <cell r="C119">
            <v>0.69975339905275424</v>
          </cell>
          <cell r="E119">
            <v>71.718000000000004</v>
          </cell>
          <cell r="G119">
            <v>11.63386</v>
          </cell>
          <cell r="I119">
            <v>11.595359999999999</v>
          </cell>
          <cell r="K119">
            <v>5553.8503600000004</v>
          </cell>
          <cell r="M119">
            <v>22</v>
          </cell>
          <cell r="O119">
            <v>110</v>
          </cell>
        </row>
        <row r="120">
          <cell r="B120" t="str">
            <v>MEDIUM HUMAN DEVELOPMENT</v>
          </cell>
        </row>
        <row r="121">
          <cell r="B121" t="str">
            <v>Philippines</v>
          </cell>
          <cell r="C121">
            <v>0.69893237253676199</v>
          </cell>
          <cell r="E121">
            <v>69.238</v>
          </cell>
          <cell r="G121">
            <v>12.590389999999999</v>
          </cell>
          <cell r="I121">
            <v>9.3268699999999995</v>
          </cell>
          <cell r="J121" t="str">
            <v>f</v>
          </cell>
          <cell r="K121">
            <v>9153.5435199999993</v>
          </cell>
          <cell r="M121">
            <v>-7</v>
          </cell>
          <cell r="O121">
            <v>111</v>
          </cell>
        </row>
        <row r="122">
          <cell r="B122" t="str">
            <v>South Africa</v>
          </cell>
          <cell r="C122">
            <v>0.69903005468226886</v>
          </cell>
          <cell r="E122">
            <v>63.404000000000003</v>
          </cell>
          <cell r="G122">
            <v>13.337289999999999</v>
          </cell>
          <cell r="I122">
            <v>10.13415</v>
          </cell>
          <cell r="K122">
            <v>11923.2677</v>
          </cell>
          <cell r="M122">
            <v>-23</v>
          </cell>
          <cell r="O122">
            <v>111</v>
          </cell>
        </row>
        <row r="123">
          <cell r="B123" t="str">
            <v>Egypt</v>
          </cell>
          <cell r="C123">
            <v>0.69560755578806399</v>
          </cell>
          <cell r="E123">
            <v>71.661000000000001</v>
          </cell>
          <cell r="G123">
            <v>13.08981</v>
          </cell>
          <cell r="I123">
            <v>7.218</v>
          </cell>
          <cell r="J123" t="str">
            <v>j</v>
          </cell>
          <cell r="K123">
            <v>10354.801810000001</v>
          </cell>
          <cell r="M123">
            <v>-15</v>
          </cell>
          <cell r="O123">
            <v>113</v>
          </cell>
        </row>
        <row r="124">
          <cell r="B124" t="str">
            <v>Indonesia</v>
          </cell>
          <cell r="C124">
            <v>0.69397966394211896</v>
          </cell>
          <cell r="E124">
            <v>69.355000000000004</v>
          </cell>
          <cell r="G124">
            <v>12.81311</v>
          </cell>
          <cell r="I124">
            <v>7.9761499999999996</v>
          </cell>
          <cell r="K124">
            <v>10846.337949999999</v>
          </cell>
          <cell r="M124">
            <v>-19</v>
          </cell>
          <cell r="O124">
            <v>115</v>
          </cell>
        </row>
        <row r="125">
          <cell r="B125" t="str">
            <v>Vietnam</v>
          </cell>
          <cell r="C125">
            <v>0.69399806213388093</v>
          </cell>
          <cell r="E125">
            <v>76.453999999999994</v>
          </cell>
          <cell r="G125">
            <v>12.692323</v>
          </cell>
          <cell r="H125" t="str">
            <v>o</v>
          </cell>
          <cell r="I125">
            <v>8.1999999999999993</v>
          </cell>
          <cell r="J125" t="str">
            <v>o</v>
          </cell>
          <cell r="K125">
            <v>5858.8981130000002</v>
          </cell>
          <cell r="M125">
            <v>14</v>
          </cell>
          <cell r="O125">
            <v>116</v>
          </cell>
        </row>
        <row r="126">
          <cell r="B126" t="str">
            <v>Bolivia (Plurinational State of)</v>
          </cell>
          <cell r="C126">
            <v>0.69253697050931051</v>
          </cell>
          <cell r="E126">
            <v>69.472999999999999</v>
          </cell>
          <cell r="G126">
            <v>14.02422747</v>
          </cell>
          <cell r="I126">
            <v>8.9150700000000001</v>
          </cell>
          <cell r="K126">
            <v>6714.0271910000001</v>
          </cell>
          <cell r="M126">
            <v>5</v>
          </cell>
          <cell r="O126">
            <v>116</v>
          </cell>
        </row>
        <row r="127">
          <cell r="B127" t="str">
            <v>Palestine, State of</v>
          </cell>
          <cell r="C127">
            <v>0.68583551500678974</v>
          </cell>
          <cell r="E127">
            <v>73.646000000000001</v>
          </cell>
          <cell r="G127">
            <v>12.82014</v>
          </cell>
          <cell r="I127">
            <v>9.1046399999999998</v>
          </cell>
          <cell r="K127">
            <v>5055.0861729999997</v>
          </cell>
          <cell r="M127">
            <v>21</v>
          </cell>
          <cell r="O127">
            <v>116</v>
          </cell>
        </row>
        <row r="128">
          <cell r="B128" t="str">
            <v>Iraq</v>
          </cell>
          <cell r="C128">
            <v>0.68531707772009054</v>
          </cell>
          <cell r="E128">
            <v>70.037999999999997</v>
          </cell>
          <cell r="G128">
            <v>11.048673000000001</v>
          </cell>
          <cell r="H128" t="str">
            <v>q</v>
          </cell>
          <cell r="I128">
            <v>6.8194499999999998</v>
          </cell>
          <cell r="J128" t="str">
            <v>f</v>
          </cell>
          <cell r="K128">
            <v>17789.248439999999</v>
          </cell>
          <cell r="L128" t="str">
            <v>k</v>
          </cell>
          <cell r="M128">
            <v>-53</v>
          </cell>
          <cell r="O128">
            <v>120</v>
          </cell>
        </row>
        <row r="129">
          <cell r="B129" t="str">
            <v>El Salvador</v>
          </cell>
          <cell r="C129">
            <v>0.67415872684264022</v>
          </cell>
          <cell r="E129">
            <v>73.75</v>
          </cell>
          <cell r="G129">
            <v>12.60515</v>
          </cell>
          <cell r="I129">
            <v>6.8944999999999999</v>
          </cell>
          <cell r="K129">
            <v>6868.1076059999996</v>
          </cell>
          <cell r="M129">
            <v>0</v>
          </cell>
          <cell r="O129">
            <v>119</v>
          </cell>
        </row>
        <row r="130">
          <cell r="B130" t="str">
            <v>Kyrgyzstan</v>
          </cell>
          <cell r="C130">
            <v>0.6721930332466709</v>
          </cell>
          <cell r="E130">
            <v>71.069000000000003</v>
          </cell>
          <cell r="G130">
            <v>13.40113</v>
          </cell>
          <cell r="I130">
            <v>10.87623</v>
          </cell>
          <cell r="J130" t="str">
            <v>q</v>
          </cell>
          <cell r="K130">
            <v>3255.2385829999998</v>
          </cell>
          <cell r="M130">
            <v>32</v>
          </cell>
          <cell r="O130">
            <v>121</v>
          </cell>
        </row>
        <row r="131">
          <cell r="B131" t="str">
            <v>Morocco</v>
          </cell>
          <cell r="C131">
            <v>0.6665125699524036</v>
          </cell>
          <cell r="E131">
            <v>76.058999999999997</v>
          </cell>
          <cell r="G131">
            <v>12.429339840000001</v>
          </cell>
          <cell r="I131">
            <v>5.5140000000000002</v>
          </cell>
          <cell r="J131" t="str">
            <v>j</v>
          </cell>
          <cell r="K131">
            <v>7339.6213189999999</v>
          </cell>
          <cell r="M131">
            <v>-5</v>
          </cell>
          <cell r="O131">
            <v>122</v>
          </cell>
        </row>
        <row r="132">
          <cell r="B132" t="str">
            <v>Nicaragua</v>
          </cell>
          <cell r="C132">
            <v>0.65773978911588127</v>
          </cell>
          <cell r="E132">
            <v>75.653000000000006</v>
          </cell>
          <cell r="G132">
            <v>12.07148158</v>
          </cell>
          <cell r="I132">
            <v>6.68</v>
          </cell>
          <cell r="J132" t="str">
            <v>j</v>
          </cell>
          <cell r="K132">
            <v>5157.3156559999998</v>
          </cell>
          <cell r="M132">
            <v>14</v>
          </cell>
          <cell r="O132">
            <v>123</v>
          </cell>
        </row>
        <row r="133">
          <cell r="B133" t="str">
            <v>Cabo Verde</v>
          </cell>
          <cell r="C133">
            <v>0.65403071842824345</v>
          </cell>
          <cell r="E133">
            <v>73.004000000000005</v>
          </cell>
          <cell r="G133">
            <v>12.6342</v>
          </cell>
          <cell r="I133">
            <v>6.1246900000000002</v>
          </cell>
          <cell r="K133">
            <v>5983.1375660000003</v>
          </cell>
          <cell r="M133">
            <v>2</v>
          </cell>
          <cell r="O133">
            <v>124</v>
          </cell>
        </row>
        <row r="134">
          <cell r="B134" t="str">
            <v>Guyana</v>
          </cell>
          <cell r="C134">
            <v>0.65363724298193082</v>
          </cell>
          <cell r="E134">
            <v>66.766000000000005</v>
          </cell>
          <cell r="G134">
            <v>11.361090000000001</v>
          </cell>
          <cell r="I134">
            <v>8.4164999999999992</v>
          </cell>
          <cell r="J134" t="str">
            <v>o</v>
          </cell>
          <cell r="K134">
            <v>7446.5459579999997</v>
          </cell>
          <cell r="L134" t="str">
            <v>k</v>
          </cell>
          <cell r="M134">
            <v>-8</v>
          </cell>
          <cell r="O134">
            <v>124</v>
          </cell>
        </row>
        <row r="135">
          <cell r="B135" t="str">
            <v>Guatemala</v>
          </cell>
          <cell r="C135">
            <v>0.65031162252060382</v>
          </cell>
          <cell r="E135">
            <v>73.653999999999996</v>
          </cell>
          <cell r="G135">
            <v>10.75103</v>
          </cell>
          <cell r="I135">
            <v>6.4741400000000002</v>
          </cell>
          <cell r="J135" t="str">
            <v>f</v>
          </cell>
          <cell r="K135">
            <v>7278.1423029999996</v>
          </cell>
          <cell r="M135">
            <v>-8</v>
          </cell>
          <cell r="O135">
            <v>126</v>
          </cell>
        </row>
        <row r="136">
          <cell r="B136" t="str">
            <v>Tajikistan</v>
          </cell>
          <cell r="C136">
            <v>0.65001452968656281</v>
          </cell>
          <cell r="E136">
            <v>71.213999999999999</v>
          </cell>
          <cell r="G136">
            <v>11.21908</v>
          </cell>
          <cell r="I136">
            <v>10.42</v>
          </cell>
          <cell r="J136" t="str">
            <v>j</v>
          </cell>
          <cell r="K136">
            <v>3317.42398</v>
          </cell>
          <cell r="L136" t="str">
            <v>k</v>
          </cell>
          <cell r="M136">
            <v>25</v>
          </cell>
          <cell r="O136">
            <v>127</v>
          </cell>
        </row>
        <row r="137">
          <cell r="B137" t="str">
            <v>Namibia</v>
          </cell>
          <cell r="C137">
            <v>0.64652526982300351</v>
          </cell>
          <cell r="E137">
            <v>64.849999999999994</v>
          </cell>
          <cell r="G137">
            <v>12.34296</v>
          </cell>
          <cell r="H137" t="str">
            <v>q</v>
          </cell>
          <cell r="I137">
            <v>6.84</v>
          </cell>
          <cell r="J137" t="str">
            <v>j</v>
          </cell>
          <cell r="K137">
            <v>9387.1959069999994</v>
          </cell>
          <cell r="M137">
            <v>-25</v>
          </cell>
          <cell r="O137">
            <v>128</v>
          </cell>
        </row>
        <row r="138">
          <cell r="B138" t="str">
            <v>India</v>
          </cell>
          <cell r="C138">
            <v>0.63983291089580574</v>
          </cell>
          <cell r="E138">
            <v>68.802999999999997</v>
          </cell>
          <cell r="G138">
            <v>12.34981</v>
          </cell>
          <cell r="I138">
            <v>6.3979999999999997</v>
          </cell>
          <cell r="J138" t="str">
            <v>f</v>
          </cell>
          <cell r="K138">
            <v>6353.0451730000004</v>
          </cell>
          <cell r="M138">
            <v>-5</v>
          </cell>
          <cell r="O138">
            <v>129</v>
          </cell>
        </row>
        <row r="139">
          <cell r="B139" t="str">
            <v>Micronesia (Federated States of)</v>
          </cell>
          <cell r="C139">
            <v>0.62725468777486237</v>
          </cell>
          <cell r="E139">
            <v>69.316000000000003</v>
          </cell>
          <cell r="G139">
            <v>11.7</v>
          </cell>
          <cell r="H139" t="str">
            <v>d</v>
          </cell>
          <cell r="I139">
            <v>7.9547400000000001</v>
          </cell>
          <cell r="J139" t="str">
            <v>d</v>
          </cell>
          <cell r="K139">
            <v>3842.9071049999998</v>
          </cell>
          <cell r="L139" t="str">
            <v>k</v>
          </cell>
          <cell r="M139">
            <v>13</v>
          </cell>
          <cell r="O139">
            <v>131</v>
          </cell>
        </row>
        <row r="140">
          <cell r="B140" t="str">
            <v>Timor-Leste</v>
          </cell>
          <cell r="C140">
            <v>0.62494409767016457</v>
          </cell>
          <cell r="E140">
            <v>69.198999999999998</v>
          </cell>
          <cell r="G140">
            <v>12.75465002</v>
          </cell>
          <cell r="I140">
            <v>4.5243000000000002</v>
          </cell>
          <cell r="J140" t="str">
            <v>q</v>
          </cell>
          <cell r="K140">
            <v>6846.3900450000001</v>
          </cell>
          <cell r="M140">
            <v>-10</v>
          </cell>
          <cell r="O140">
            <v>130</v>
          </cell>
        </row>
        <row r="141">
          <cell r="B141" t="str">
            <v>Honduras</v>
          </cell>
          <cell r="C141">
            <v>0.61671674935789755</v>
          </cell>
          <cell r="E141">
            <v>73.774000000000001</v>
          </cell>
          <cell r="G141">
            <v>10.22359</v>
          </cell>
          <cell r="I141">
            <v>6.5311300000000001</v>
          </cell>
          <cell r="K141">
            <v>4215.2938029999996</v>
          </cell>
          <cell r="M141">
            <v>8</v>
          </cell>
          <cell r="O141">
            <v>132</v>
          </cell>
        </row>
        <row r="142">
          <cell r="B142" t="str">
            <v>Bhutan</v>
          </cell>
          <cell r="C142">
            <v>0.61241760910528764</v>
          </cell>
          <cell r="E142">
            <v>70.564999999999998</v>
          </cell>
          <cell r="G142">
            <v>12.268230000000001</v>
          </cell>
          <cell r="I142">
            <v>3.1337000000000002</v>
          </cell>
          <cell r="J142" t="str">
            <v>o</v>
          </cell>
          <cell r="K142">
            <v>8064.8276509999996</v>
          </cell>
          <cell r="M142">
            <v>-21</v>
          </cell>
          <cell r="O142">
            <v>135</v>
          </cell>
        </row>
        <row r="143">
          <cell r="B143" t="str">
            <v>Kiribati</v>
          </cell>
          <cell r="C143">
            <v>0.61178402567714762</v>
          </cell>
          <cell r="E143">
            <v>66.506</v>
          </cell>
          <cell r="G143">
            <v>12.89534671</v>
          </cell>
          <cell r="I143">
            <v>7.8655299999999997</v>
          </cell>
          <cell r="J143" t="str">
            <v>d</v>
          </cell>
          <cell r="K143">
            <v>3041.866614</v>
          </cell>
          <cell r="L143" t="str">
            <v>k</v>
          </cell>
          <cell r="M143">
            <v>22</v>
          </cell>
          <cell r="O143">
            <v>134</v>
          </cell>
        </row>
        <row r="144">
          <cell r="B144" t="str">
            <v>Bangladesh</v>
          </cell>
          <cell r="C144">
            <v>0.60815583703192777</v>
          </cell>
          <cell r="E144">
            <v>72.808000000000007</v>
          </cell>
          <cell r="G144">
            <v>11.3645672</v>
          </cell>
          <cell r="H144" t="str">
            <v>f</v>
          </cell>
          <cell r="I144">
            <v>5.7833199999999998</v>
          </cell>
          <cell r="J144" t="str">
            <v>l</v>
          </cell>
          <cell r="K144">
            <v>3676.923378</v>
          </cell>
          <cell r="M144">
            <v>9</v>
          </cell>
          <cell r="O144">
            <v>138</v>
          </cell>
        </row>
        <row r="145">
          <cell r="B145" t="str">
            <v>Congo</v>
          </cell>
          <cell r="C145">
            <v>0.6062825819536497</v>
          </cell>
          <cell r="E145">
            <v>65.087999999999994</v>
          </cell>
          <cell r="G145">
            <v>11.37073479</v>
          </cell>
          <cell r="I145">
            <v>6.31</v>
          </cell>
          <cell r="J145" t="str">
            <v>l</v>
          </cell>
          <cell r="K145">
            <v>5694.2210109999996</v>
          </cell>
          <cell r="M145">
            <v>-5</v>
          </cell>
          <cell r="O145">
            <v>133</v>
          </cell>
        </row>
        <row r="146">
          <cell r="B146" t="str">
            <v>Vanuatu</v>
          </cell>
          <cell r="C146">
            <v>0.60257391539551985</v>
          </cell>
          <cell r="E146">
            <v>72.334000000000003</v>
          </cell>
          <cell r="G146">
            <v>10.89</v>
          </cell>
          <cell r="H146" t="str">
            <v>n</v>
          </cell>
          <cell r="I146">
            <v>6.8</v>
          </cell>
          <cell r="J146" t="str">
            <v>o</v>
          </cell>
          <cell r="K146">
            <v>2995.2797209999999</v>
          </cell>
          <cell r="M146">
            <v>19</v>
          </cell>
          <cell r="O146">
            <v>136</v>
          </cell>
        </row>
        <row r="147">
          <cell r="B147" t="str">
            <v>Lao People's Democratic Republic</v>
          </cell>
          <cell r="C147">
            <v>0.60127572532629825</v>
          </cell>
          <cell r="E147">
            <v>67.021000000000001</v>
          </cell>
          <cell r="G147">
            <v>11.209239999999999</v>
          </cell>
          <cell r="I147">
            <v>5.1938500000000003</v>
          </cell>
          <cell r="J147" t="str">
            <v>j</v>
          </cell>
          <cell r="K147">
            <v>6070.1156300000002</v>
          </cell>
          <cell r="M147">
            <v>-13</v>
          </cell>
          <cell r="O147">
            <v>137</v>
          </cell>
        </row>
        <row r="148">
          <cell r="B148" t="str">
            <v>Ghana</v>
          </cell>
          <cell r="C148">
            <v>0.5917381944723934</v>
          </cell>
          <cell r="E148">
            <v>63.033000000000001</v>
          </cell>
          <cell r="G148">
            <v>11.61575</v>
          </cell>
          <cell r="I148">
            <v>7.0620000000000003</v>
          </cell>
          <cell r="J148" t="str">
            <v>j</v>
          </cell>
          <cell r="K148">
            <v>4096.1737890000004</v>
          </cell>
          <cell r="M148">
            <v>3</v>
          </cell>
          <cell r="O148">
            <v>140</v>
          </cell>
        </row>
        <row r="149">
          <cell r="B149" t="str">
            <v>Equatorial Guinea</v>
          </cell>
          <cell r="C149">
            <v>0.59056103506419477</v>
          </cell>
          <cell r="E149">
            <v>57.939</v>
          </cell>
          <cell r="G149">
            <v>9.3000000000000007</v>
          </cell>
          <cell r="H149" t="str">
            <v>n</v>
          </cell>
          <cell r="I149">
            <v>5.5390899999999998</v>
          </cell>
          <cell r="J149" t="str">
            <v>q</v>
          </cell>
          <cell r="K149">
            <v>19512.53253</v>
          </cell>
          <cell r="M149">
            <v>-80</v>
          </cell>
          <cell r="O149">
            <v>139</v>
          </cell>
        </row>
        <row r="150">
          <cell r="B150" t="str">
            <v>Kenya</v>
          </cell>
          <cell r="C150">
            <v>0.58992017706695854</v>
          </cell>
          <cell r="E150">
            <v>67.290999999999997</v>
          </cell>
          <cell r="G150">
            <v>12.077442</v>
          </cell>
          <cell r="H150" t="str">
            <v>q</v>
          </cell>
          <cell r="I150">
            <v>6.476</v>
          </cell>
          <cell r="J150" t="str">
            <v>j</v>
          </cell>
          <cell r="K150">
            <v>2960.7996990000001</v>
          </cell>
          <cell r="M150">
            <v>16</v>
          </cell>
          <cell r="O150">
            <v>143</v>
          </cell>
        </row>
        <row r="151">
          <cell r="B151" t="str">
            <v>Sao Tome and Principe</v>
          </cell>
          <cell r="C151">
            <v>0.58947628313965317</v>
          </cell>
          <cell r="E151">
            <v>66.762</v>
          </cell>
          <cell r="G151">
            <v>12.466850000000001</v>
          </cell>
          <cell r="I151">
            <v>6.3334700000000002</v>
          </cell>
          <cell r="J151" t="str">
            <v>f</v>
          </cell>
          <cell r="K151">
            <v>2941.3127979999999</v>
          </cell>
          <cell r="L151" t="str">
            <v>k</v>
          </cell>
          <cell r="M151">
            <v>16</v>
          </cell>
          <cell r="O151">
            <v>144</v>
          </cell>
        </row>
        <row r="152">
          <cell r="B152" t="str">
            <v>Eswatini (Kingdom of)</v>
          </cell>
          <cell r="C152">
            <v>0.5883163541434715</v>
          </cell>
          <cell r="E152">
            <v>58.268000000000001</v>
          </cell>
          <cell r="G152">
            <v>11.196149999999999</v>
          </cell>
          <cell r="I152">
            <v>6.5213700000000001</v>
          </cell>
          <cell r="J152" t="str">
            <v>o</v>
          </cell>
          <cell r="K152">
            <v>7619.9434920000003</v>
          </cell>
          <cell r="M152">
            <v>-29</v>
          </cell>
          <cell r="O152">
            <v>141</v>
          </cell>
        </row>
        <row r="153">
          <cell r="B153" t="str">
            <v>Zambia</v>
          </cell>
          <cell r="C153">
            <v>0.58808347246845116</v>
          </cell>
          <cell r="E153">
            <v>62.255000000000003</v>
          </cell>
          <cell r="G153">
            <v>12.5123</v>
          </cell>
          <cell r="H153" t="str">
            <v>q</v>
          </cell>
          <cell r="I153">
            <v>6.97</v>
          </cell>
          <cell r="J153" t="str">
            <v>q</v>
          </cell>
          <cell r="K153">
            <v>3557.3793519999999</v>
          </cell>
          <cell r="L153" t="str">
            <v>k</v>
          </cell>
          <cell r="M153">
            <v>3</v>
          </cell>
          <cell r="O153">
            <v>141</v>
          </cell>
        </row>
        <row r="154">
          <cell r="B154" t="str">
            <v>Cambodia</v>
          </cell>
          <cell r="C154">
            <v>0.58197504065757832</v>
          </cell>
          <cell r="E154">
            <v>69.331000000000003</v>
          </cell>
          <cell r="G154">
            <v>11.721063109999999</v>
          </cell>
          <cell r="H154" t="str">
            <v>f</v>
          </cell>
          <cell r="I154">
            <v>4.8440000000000003</v>
          </cell>
          <cell r="J154" t="str">
            <v>j</v>
          </cell>
          <cell r="K154">
            <v>3412.9374309999998</v>
          </cell>
          <cell r="M154">
            <v>3</v>
          </cell>
          <cell r="O154">
            <v>146</v>
          </cell>
        </row>
        <row r="155">
          <cell r="B155" t="str">
            <v>Angola</v>
          </cell>
          <cell r="C155">
            <v>0.58117856546099289</v>
          </cell>
          <cell r="E155">
            <v>61.808999999999997</v>
          </cell>
          <cell r="G155">
            <v>11.77</v>
          </cell>
          <cell r="H155" t="str">
            <v>q</v>
          </cell>
          <cell r="I155">
            <v>5.1254600000000003</v>
          </cell>
          <cell r="J155" t="str">
            <v>q</v>
          </cell>
          <cell r="K155">
            <v>5789.8615110000001</v>
          </cell>
          <cell r="M155">
            <v>-16</v>
          </cell>
          <cell r="O155">
            <v>145</v>
          </cell>
        </row>
        <row r="156">
          <cell r="B156" t="str">
            <v>Myanmar</v>
          </cell>
          <cell r="C156">
            <v>0.57826321273645698</v>
          </cell>
          <cell r="E156">
            <v>66.744</v>
          </cell>
          <cell r="G156">
            <v>10.04659</v>
          </cell>
          <cell r="I156">
            <v>4.9133500000000003</v>
          </cell>
          <cell r="J156" t="str">
            <v>q</v>
          </cell>
          <cell r="K156">
            <v>5567.2239529999997</v>
          </cell>
          <cell r="L156" t="str">
            <v>k</v>
          </cell>
          <cell r="M156">
            <v>-15</v>
          </cell>
          <cell r="O156">
            <v>147</v>
          </cell>
        </row>
        <row r="157">
          <cell r="B157" t="str">
            <v>Nepal</v>
          </cell>
          <cell r="C157">
            <v>0.57403802503497448</v>
          </cell>
          <cell r="E157">
            <v>70.603999999999999</v>
          </cell>
          <cell r="G157">
            <v>12.196440000000001</v>
          </cell>
          <cell r="I157">
            <v>4.88185</v>
          </cell>
          <cell r="J157" t="str">
            <v>j</v>
          </cell>
          <cell r="K157">
            <v>2470.9880210000001</v>
          </cell>
          <cell r="M157">
            <v>12</v>
          </cell>
          <cell r="O157">
            <v>148</v>
          </cell>
        </row>
        <row r="158">
          <cell r="B158" t="str">
            <v>Pakistan</v>
          </cell>
          <cell r="C158">
            <v>0.56160258568140708</v>
          </cell>
          <cell r="E158">
            <v>66.629000000000005</v>
          </cell>
          <cell r="G158">
            <v>8.5869599999999995</v>
          </cell>
          <cell r="I158">
            <v>5.1887400000000001</v>
          </cell>
          <cell r="K158">
            <v>5311.2192889999997</v>
          </cell>
          <cell r="M158">
            <v>-14</v>
          </cell>
          <cell r="O158">
            <v>149</v>
          </cell>
        </row>
        <row r="159">
          <cell r="B159" t="str">
            <v>Cameroon</v>
          </cell>
          <cell r="C159">
            <v>0.55593848219277997</v>
          </cell>
          <cell r="E159">
            <v>58.575000000000003</v>
          </cell>
          <cell r="G159">
            <v>12.19407</v>
          </cell>
          <cell r="I159">
            <v>6.2624599999999999</v>
          </cell>
          <cell r="J159" t="str">
            <v>l</v>
          </cell>
          <cell r="K159">
            <v>3314.744584</v>
          </cell>
          <cell r="M159">
            <v>2</v>
          </cell>
          <cell r="O159">
            <v>150</v>
          </cell>
        </row>
        <row r="160">
          <cell r="B160" t="str">
            <v>LOW HUMAN DEVELOPMENT</v>
          </cell>
        </row>
        <row r="161">
          <cell r="B161" t="str">
            <v>Solomon Islands</v>
          </cell>
          <cell r="C161">
            <v>0.54596004143062493</v>
          </cell>
          <cell r="E161">
            <v>71.006</v>
          </cell>
          <cell r="G161">
            <v>10.220414330000001</v>
          </cell>
          <cell r="H161" t="str">
            <v>d</v>
          </cell>
          <cell r="I161">
            <v>5.5407299999999999</v>
          </cell>
          <cell r="J161" t="str">
            <v>q</v>
          </cell>
          <cell r="K161">
            <v>1872.453835</v>
          </cell>
          <cell r="L161" t="str">
            <v>k</v>
          </cell>
          <cell r="M161">
            <v>15</v>
          </cell>
          <cell r="O161">
            <v>151</v>
          </cell>
        </row>
        <row r="162">
          <cell r="B162" t="str">
            <v>Papua New Guinea</v>
          </cell>
          <cell r="C162">
            <v>0.54430400197212958</v>
          </cell>
          <cell r="E162">
            <v>65.704999999999998</v>
          </cell>
          <cell r="G162">
            <v>10</v>
          </cell>
          <cell r="H162" t="str">
            <v>n</v>
          </cell>
          <cell r="I162">
            <v>4.58</v>
          </cell>
          <cell r="J162" t="str">
            <v>j</v>
          </cell>
          <cell r="K162">
            <v>3402.574224</v>
          </cell>
          <cell r="L162" t="str">
            <v>k</v>
          </cell>
          <cell r="M162">
            <v>-3</v>
          </cell>
          <cell r="O162">
            <v>151</v>
          </cell>
        </row>
        <row r="163">
          <cell r="B163" t="str">
            <v>Tanzania (United Republic of)</v>
          </cell>
          <cell r="C163">
            <v>0.53771474059574553</v>
          </cell>
          <cell r="E163">
            <v>66.31</v>
          </cell>
          <cell r="G163">
            <v>8.9236900000000006</v>
          </cell>
          <cell r="H163" t="str">
            <v>q</v>
          </cell>
          <cell r="I163">
            <v>5.78</v>
          </cell>
          <cell r="J163" t="str">
            <v>j</v>
          </cell>
          <cell r="K163">
            <v>2655.3938199999998</v>
          </cell>
          <cell r="M163">
            <v>6</v>
          </cell>
          <cell r="O163">
            <v>154</v>
          </cell>
        </row>
        <row r="164">
          <cell r="B164" t="str">
            <v>Syrian Arab Republic</v>
          </cell>
          <cell r="C164">
            <v>0.53570370082832008</v>
          </cell>
          <cell r="E164">
            <v>70.962999999999994</v>
          </cell>
          <cell r="G164">
            <v>8.7528000000000006</v>
          </cell>
          <cell r="I164">
            <v>5.0625</v>
          </cell>
          <cell r="J164" t="str">
            <v>r</v>
          </cell>
          <cell r="K164">
            <v>2337.170091</v>
          </cell>
          <cell r="L164" t="str">
            <v>s</v>
          </cell>
          <cell r="M164">
            <v>8</v>
          </cell>
          <cell r="O164">
            <v>153</v>
          </cell>
        </row>
        <row r="165">
          <cell r="B165" t="str">
            <v>Zimbabwe</v>
          </cell>
          <cell r="C165">
            <v>0.53455328575459604</v>
          </cell>
          <cell r="E165">
            <v>61.712000000000003</v>
          </cell>
          <cell r="G165">
            <v>10.31433</v>
          </cell>
          <cell r="I165">
            <v>8.1498399999999993</v>
          </cell>
          <cell r="K165">
            <v>1682.839299</v>
          </cell>
          <cell r="M165">
            <v>17</v>
          </cell>
          <cell r="O165">
            <v>155</v>
          </cell>
        </row>
        <row r="166">
          <cell r="B166" t="str">
            <v>Nigeria</v>
          </cell>
          <cell r="C166">
            <v>0.53180969920944143</v>
          </cell>
          <cell r="E166">
            <v>53.875</v>
          </cell>
          <cell r="G166">
            <v>9.9704820000000005</v>
          </cell>
          <cell r="H166" t="str">
            <v>q</v>
          </cell>
          <cell r="I166">
            <v>6.1755000000000004</v>
          </cell>
          <cell r="J166" t="str">
            <v>q</v>
          </cell>
          <cell r="K166">
            <v>5231.2222879999999</v>
          </cell>
          <cell r="M166">
            <v>-20</v>
          </cell>
          <cell r="O166">
            <v>156</v>
          </cell>
        </row>
        <row r="167">
          <cell r="B167" t="str">
            <v>Rwanda</v>
          </cell>
          <cell r="C167">
            <v>0.52394671239350554</v>
          </cell>
          <cell r="E167">
            <v>67.495999999999995</v>
          </cell>
          <cell r="G167">
            <v>11.220420000000001</v>
          </cell>
          <cell r="I167">
            <v>4.1459599999999996</v>
          </cell>
          <cell r="J167" t="str">
            <v>f</v>
          </cell>
          <cell r="K167">
            <v>1811.2235310000001</v>
          </cell>
          <cell r="M167">
            <v>11</v>
          </cell>
          <cell r="O167">
            <v>157</v>
          </cell>
        </row>
        <row r="168">
          <cell r="B168" t="str">
            <v>Lesotho</v>
          </cell>
          <cell r="C168">
            <v>0.51972943005839323</v>
          </cell>
          <cell r="E168">
            <v>54.567999999999998</v>
          </cell>
          <cell r="G168">
            <v>10.56401</v>
          </cell>
          <cell r="I168">
            <v>6.25</v>
          </cell>
          <cell r="J168" t="str">
            <v>j</v>
          </cell>
          <cell r="K168">
            <v>3254.9072489999999</v>
          </cell>
          <cell r="M168">
            <v>-4</v>
          </cell>
          <cell r="O168">
            <v>159</v>
          </cell>
        </row>
        <row r="169">
          <cell r="B169" t="str">
            <v>Mauritania</v>
          </cell>
          <cell r="C169">
            <v>0.51964372075859133</v>
          </cell>
          <cell r="E169">
            <v>63.384</v>
          </cell>
          <cell r="G169">
            <v>8.5881299999999996</v>
          </cell>
          <cell r="I169">
            <v>4.5019999999999998</v>
          </cell>
          <cell r="J169" t="str">
            <v>j</v>
          </cell>
          <cell r="K169">
            <v>3591.7611959999999</v>
          </cell>
          <cell r="M169">
            <v>-13</v>
          </cell>
          <cell r="O169">
            <v>159</v>
          </cell>
        </row>
        <row r="170">
          <cell r="B170" t="str">
            <v>Madagascar</v>
          </cell>
          <cell r="C170">
            <v>0.51916252686803011</v>
          </cell>
          <cell r="E170">
            <v>66.311999999999998</v>
          </cell>
          <cell r="G170">
            <v>10.56879</v>
          </cell>
          <cell r="I170">
            <v>6.14595</v>
          </cell>
          <cell r="J170" t="str">
            <v>q</v>
          </cell>
          <cell r="K170">
            <v>1357.758439</v>
          </cell>
          <cell r="M170">
            <v>20</v>
          </cell>
          <cell r="O170">
            <v>158</v>
          </cell>
        </row>
        <row r="171">
          <cell r="B171" t="str">
            <v>Uganda</v>
          </cell>
          <cell r="C171">
            <v>0.51632081469924607</v>
          </cell>
          <cell r="E171">
            <v>60.182000000000002</v>
          </cell>
          <cell r="G171">
            <v>11.588167</v>
          </cell>
          <cell r="H171" t="str">
            <v>q</v>
          </cell>
          <cell r="I171">
            <v>6.0902500000000002</v>
          </cell>
          <cell r="J171" t="str">
            <v>q</v>
          </cell>
          <cell r="K171">
            <v>1657.976334</v>
          </cell>
          <cell r="M171">
            <v>13</v>
          </cell>
          <cell r="O171">
            <v>162</v>
          </cell>
        </row>
        <row r="172">
          <cell r="B172" t="str">
            <v>Benin</v>
          </cell>
          <cell r="C172">
            <v>0.51461967272490616</v>
          </cell>
          <cell r="E172">
            <v>61.170999999999999</v>
          </cell>
          <cell r="G172">
            <v>12.567640000000001</v>
          </cell>
          <cell r="I172">
            <v>3.6490300000000002</v>
          </cell>
          <cell r="J172" t="str">
            <v>o</v>
          </cell>
          <cell r="K172">
            <v>2061.4330650000002</v>
          </cell>
          <cell r="M172">
            <v>2</v>
          </cell>
          <cell r="O172">
            <v>161</v>
          </cell>
        </row>
        <row r="173">
          <cell r="B173" t="str">
            <v>Senegal</v>
          </cell>
          <cell r="C173">
            <v>0.5051337229118531</v>
          </cell>
          <cell r="E173">
            <v>67.477000000000004</v>
          </cell>
          <cell r="G173">
            <v>9.6770043979999993</v>
          </cell>
          <cell r="I173">
            <v>2.9862000000000002</v>
          </cell>
          <cell r="K173">
            <v>2384.1772989999999</v>
          </cell>
          <cell r="M173">
            <v>-2</v>
          </cell>
          <cell r="O173">
            <v>165</v>
          </cell>
        </row>
        <row r="174">
          <cell r="B174" t="str">
            <v>Comoros</v>
          </cell>
          <cell r="C174">
            <v>0.50325355492329682</v>
          </cell>
          <cell r="E174">
            <v>63.911999999999999</v>
          </cell>
          <cell r="G174">
            <v>11.2447</v>
          </cell>
          <cell r="I174">
            <v>4.8319999999999999</v>
          </cell>
          <cell r="J174" t="str">
            <v>q</v>
          </cell>
          <cell r="K174">
            <v>1398.797513</v>
          </cell>
          <cell r="M174">
            <v>15</v>
          </cell>
          <cell r="O174">
            <v>163</v>
          </cell>
        </row>
        <row r="175">
          <cell r="B175" t="str">
            <v>Togo</v>
          </cell>
          <cell r="C175">
            <v>0.50322000036836834</v>
          </cell>
          <cell r="E175">
            <v>60.476999999999997</v>
          </cell>
          <cell r="G175">
            <v>12.42428728</v>
          </cell>
          <cell r="H175" t="str">
            <v>q</v>
          </cell>
          <cell r="I175">
            <v>4.8306800000000001</v>
          </cell>
          <cell r="J175" t="str">
            <v>q</v>
          </cell>
          <cell r="K175">
            <v>1453.432247</v>
          </cell>
          <cell r="M175">
            <v>14</v>
          </cell>
          <cell r="O175">
            <v>164</v>
          </cell>
        </row>
        <row r="176">
          <cell r="B176" t="str">
            <v>Sudan</v>
          </cell>
          <cell r="C176">
            <v>0.5024656782427469</v>
          </cell>
          <cell r="E176">
            <v>64.697999999999993</v>
          </cell>
          <cell r="G176">
            <v>7.4202399999999997</v>
          </cell>
          <cell r="I176">
            <v>3.67</v>
          </cell>
          <cell r="J176" t="str">
            <v>j</v>
          </cell>
          <cell r="K176">
            <v>4119.1518489999999</v>
          </cell>
          <cell r="M176">
            <v>-25</v>
          </cell>
          <cell r="O176">
            <v>165</v>
          </cell>
        </row>
        <row r="177">
          <cell r="B177" t="str">
            <v>Afghanistan</v>
          </cell>
          <cell r="C177">
            <v>0.49769511404578859</v>
          </cell>
          <cell r="E177">
            <v>64.046999999999997</v>
          </cell>
          <cell r="G177">
            <v>10.39716</v>
          </cell>
          <cell r="I177">
            <v>3.78</v>
          </cell>
          <cell r="J177" t="str">
            <v>j</v>
          </cell>
          <cell r="K177">
            <v>1823.52936</v>
          </cell>
          <cell r="M177">
            <v>0</v>
          </cell>
          <cell r="O177">
            <v>168</v>
          </cell>
        </row>
        <row r="178">
          <cell r="B178" t="str">
            <v>Haiti</v>
          </cell>
          <cell r="C178">
            <v>0.49794511062750563</v>
          </cell>
          <cell r="E178">
            <v>63.588999999999999</v>
          </cell>
          <cell r="G178">
            <v>9.3000000000000007</v>
          </cell>
          <cell r="H178" t="str">
            <v>n</v>
          </cell>
          <cell r="I178">
            <v>5.25</v>
          </cell>
          <cell r="J178" t="str">
            <v>q</v>
          </cell>
          <cell r="K178">
            <v>1665.4625960000001</v>
          </cell>
          <cell r="M178">
            <v>6</v>
          </cell>
          <cell r="O178">
            <v>167</v>
          </cell>
        </row>
        <row r="179">
          <cell r="B179" t="str">
            <v>Côte d'Ivoire</v>
          </cell>
          <cell r="C179">
            <v>0.49230450211835647</v>
          </cell>
          <cell r="E179">
            <v>54.101999999999997</v>
          </cell>
          <cell r="G179">
            <v>9.0373699999999992</v>
          </cell>
          <cell r="I179">
            <v>5.1920000000000002</v>
          </cell>
          <cell r="J179" t="str">
            <v>j</v>
          </cell>
          <cell r="K179">
            <v>3481.2253099999998</v>
          </cell>
          <cell r="M179">
            <v>-22</v>
          </cell>
          <cell r="O179">
            <v>169</v>
          </cell>
        </row>
        <row r="180">
          <cell r="B180" t="str">
            <v>Malawi</v>
          </cell>
          <cell r="C180">
            <v>0.47655279534814654</v>
          </cell>
          <cell r="E180">
            <v>63.670999999999999</v>
          </cell>
          <cell r="G180">
            <v>10.79649407</v>
          </cell>
          <cell r="I180">
            <v>4.53</v>
          </cell>
          <cell r="J180" t="str">
            <v>j</v>
          </cell>
          <cell r="K180">
            <v>1064.4165109999999</v>
          </cell>
          <cell r="M180">
            <v>14</v>
          </cell>
          <cell r="O180">
            <v>170</v>
          </cell>
        </row>
        <row r="181">
          <cell r="B181" t="str">
            <v>Djibouti</v>
          </cell>
          <cell r="C181">
            <v>0.47600573090124748</v>
          </cell>
          <cell r="E181">
            <v>62.643000000000001</v>
          </cell>
          <cell r="G181">
            <v>6.2343448869999998</v>
          </cell>
          <cell r="I181">
            <v>4.07</v>
          </cell>
          <cell r="J181" t="str">
            <v>o</v>
          </cell>
          <cell r="K181">
            <v>3391.7470480000002</v>
          </cell>
          <cell r="M181">
            <v>-21</v>
          </cell>
          <cell r="O181">
            <v>170</v>
          </cell>
        </row>
        <row r="182">
          <cell r="B182" t="str">
            <v>Ethiopia</v>
          </cell>
          <cell r="C182">
            <v>0.46266409187558249</v>
          </cell>
          <cell r="E182">
            <v>65.873999999999995</v>
          </cell>
          <cell r="G182">
            <v>8.5396230519999996</v>
          </cell>
          <cell r="H182" t="str">
            <v>f</v>
          </cell>
          <cell r="I182">
            <v>2.6811400000000001</v>
          </cell>
          <cell r="J182" t="str">
            <v>q</v>
          </cell>
          <cell r="K182">
            <v>1719.3781759999999</v>
          </cell>
          <cell r="M182">
            <v>-1</v>
          </cell>
          <cell r="O182">
            <v>173</v>
          </cell>
        </row>
        <row r="183">
          <cell r="B183" t="str">
            <v>Gambia</v>
          </cell>
          <cell r="C183">
            <v>0.46006723569790536</v>
          </cell>
          <cell r="E183">
            <v>61.423999999999999</v>
          </cell>
          <cell r="G183">
            <v>9.1504150000000006</v>
          </cell>
          <cell r="I183">
            <v>3.5379999999999998</v>
          </cell>
          <cell r="J183" t="str">
            <v>j</v>
          </cell>
          <cell r="K183">
            <v>1515.619983</v>
          </cell>
          <cell r="M183">
            <v>4</v>
          </cell>
          <cell r="O183">
            <v>173</v>
          </cell>
        </row>
        <row r="184">
          <cell r="B184" t="str">
            <v>Guinea</v>
          </cell>
          <cell r="C184">
            <v>0.45911112163689399</v>
          </cell>
          <cell r="E184">
            <v>60.616999999999997</v>
          </cell>
          <cell r="G184">
            <v>9.1047200000000004</v>
          </cell>
          <cell r="I184">
            <v>2.5684800000000001</v>
          </cell>
          <cell r="J184" t="str">
            <v>q</v>
          </cell>
          <cell r="K184">
            <v>2066.6723579999998</v>
          </cell>
          <cell r="M184">
            <v>-11</v>
          </cell>
          <cell r="O184">
            <v>177</v>
          </cell>
        </row>
        <row r="185">
          <cell r="B185" t="str">
            <v>Congo (Democratic Republic of the)</v>
          </cell>
          <cell r="C185">
            <v>0.4574692129260281</v>
          </cell>
          <cell r="E185">
            <v>60.030999999999999</v>
          </cell>
          <cell r="G185">
            <v>9.75</v>
          </cell>
          <cell r="I185">
            <v>6.7594799999999999</v>
          </cell>
          <cell r="J185" t="str">
            <v>f</v>
          </cell>
          <cell r="K185">
            <v>795.82641520000004</v>
          </cell>
          <cell r="M185">
            <v>12</v>
          </cell>
          <cell r="O185">
            <v>176</v>
          </cell>
        </row>
        <row r="186">
          <cell r="B186" t="str">
            <v>Guinea-Bissau</v>
          </cell>
          <cell r="C186">
            <v>0.45530355322898769</v>
          </cell>
          <cell r="E186">
            <v>57.805</v>
          </cell>
          <cell r="G186">
            <v>10.5</v>
          </cell>
          <cell r="H186" t="str">
            <v>o</v>
          </cell>
          <cell r="I186">
            <v>3.0039199999999999</v>
          </cell>
          <cell r="J186" t="str">
            <v>o</v>
          </cell>
          <cell r="K186">
            <v>1551.8097720000001</v>
          </cell>
          <cell r="M186">
            <v>0</v>
          </cell>
          <cell r="O186">
            <v>175</v>
          </cell>
        </row>
        <row r="187">
          <cell r="B187" t="str">
            <v>Yemen</v>
          </cell>
          <cell r="C187">
            <v>0.45190042638439004</v>
          </cell>
          <cell r="E187">
            <v>65.156999999999996</v>
          </cell>
          <cell r="G187">
            <v>8.9770000000000003</v>
          </cell>
          <cell r="H187" t="str">
            <v>f</v>
          </cell>
          <cell r="I187">
            <v>3</v>
          </cell>
          <cell r="J187" t="str">
            <v>l</v>
          </cell>
          <cell r="K187">
            <v>1239.29141</v>
          </cell>
          <cell r="M187">
            <v>5</v>
          </cell>
          <cell r="O187">
            <v>172</v>
          </cell>
        </row>
        <row r="188">
          <cell r="B188" t="str">
            <v>Eritrea</v>
          </cell>
          <cell r="C188">
            <v>0.43997853797660647</v>
          </cell>
          <cell r="E188">
            <v>65.536000000000001</v>
          </cell>
          <cell r="G188">
            <v>5.37934</v>
          </cell>
          <cell r="I188">
            <v>3.9524499999999998</v>
          </cell>
          <cell r="J188" t="str">
            <v>n</v>
          </cell>
          <cell r="K188">
            <v>1750.4589940000001</v>
          </cell>
          <cell r="L188" t="str">
            <v>k</v>
          </cell>
          <cell r="M188">
            <v>-9</v>
          </cell>
          <cell r="O188">
            <v>178</v>
          </cell>
        </row>
        <row r="189">
          <cell r="B189" t="str">
            <v>Mozambique</v>
          </cell>
          <cell r="C189">
            <v>0.43657991125082857</v>
          </cell>
          <cell r="E189">
            <v>58.872</v>
          </cell>
          <cell r="G189">
            <v>9.6690100000000001</v>
          </cell>
          <cell r="I189">
            <v>3.49912</v>
          </cell>
          <cell r="J189" t="str">
            <v>f</v>
          </cell>
          <cell r="K189">
            <v>1092.6881579999999</v>
          </cell>
          <cell r="M189">
            <v>4</v>
          </cell>
          <cell r="O189">
            <v>179</v>
          </cell>
        </row>
        <row r="190">
          <cell r="B190" t="str">
            <v>Liberia</v>
          </cell>
          <cell r="C190">
            <v>0.43509390801531622</v>
          </cell>
          <cell r="E190">
            <v>63.006</v>
          </cell>
          <cell r="G190">
            <v>10.03589975</v>
          </cell>
          <cell r="H190" t="str">
            <v>q</v>
          </cell>
          <cell r="I190">
            <v>4.6680000000000001</v>
          </cell>
          <cell r="J190" t="str">
            <v>j</v>
          </cell>
          <cell r="K190">
            <v>666.7729501</v>
          </cell>
          <cell r="M190">
            <v>9</v>
          </cell>
          <cell r="O190">
            <v>180</v>
          </cell>
        </row>
        <row r="191">
          <cell r="B191" t="str">
            <v>Mali</v>
          </cell>
          <cell r="C191">
            <v>0.42686886087646869</v>
          </cell>
          <cell r="E191">
            <v>58.456000000000003</v>
          </cell>
          <cell r="G191">
            <v>7.7427999999999999</v>
          </cell>
          <cell r="I191">
            <v>2.3334199999999998</v>
          </cell>
          <cell r="J191" t="str">
            <v>f</v>
          </cell>
          <cell r="K191">
            <v>1952.9460099999999</v>
          </cell>
          <cell r="M191">
            <v>-16</v>
          </cell>
          <cell r="O191">
            <v>181</v>
          </cell>
        </row>
        <row r="192">
          <cell r="B192" t="str">
            <v>Burkina Faso</v>
          </cell>
          <cell r="C192">
            <v>0.4234231852553077</v>
          </cell>
          <cell r="E192">
            <v>60.77</v>
          </cell>
          <cell r="G192">
            <v>8.5255899999999993</v>
          </cell>
          <cell r="I192">
            <v>1.46953</v>
          </cell>
          <cell r="J192" t="str">
            <v>q</v>
          </cell>
          <cell r="K192">
            <v>1650.0920960000001</v>
          </cell>
          <cell r="M192">
            <v>-7</v>
          </cell>
          <cell r="O192">
            <v>182</v>
          </cell>
        </row>
        <row r="193">
          <cell r="B193" t="str">
            <v>Sierra Leone</v>
          </cell>
          <cell r="C193">
            <v>0.41898706478985698</v>
          </cell>
          <cell r="E193">
            <v>52.213999999999999</v>
          </cell>
          <cell r="G193">
            <v>9.8488679999999995</v>
          </cell>
          <cell r="H193" t="str">
            <v>q</v>
          </cell>
          <cell r="I193">
            <v>3.5</v>
          </cell>
          <cell r="J193" t="str">
            <v>j</v>
          </cell>
          <cell r="K193">
            <v>1239.9362960000001</v>
          </cell>
          <cell r="M193">
            <v>-2</v>
          </cell>
          <cell r="O193">
            <v>184</v>
          </cell>
        </row>
        <row r="194">
          <cell r="B194" t="str">
            <v>Burundi</v>
          </cell>
          <cell r="C194">
            <v>0.41721617425553165</v>
          </cell>
          <cell r="E194">
            <v>57.856999999999999</v>
          </cell>
          <cell r="G194">
            <v>11.68402</v>
          </cell>
          <cell r="I194">
            <v>2.96889</v>
          </cell>
          <cell r="J194" t="str">
            <v>q</v>
          </cell>
          <cell r="K194">
            <v>702.25609220000001</v>
          </cell>
          <cell r="M194">
            <v>4</v>
          </cell>
          <cell r="O194">
            <v>183</v>
          </cell>
        </row>
        <row r="195">
          <cell r="B195" t="str">
            <v>Chad</v>
          </cell>
          <cell r="C195">
            <v>0.40397024739064608</v>
          </cell>
          <cell r="E195">
            <v>53.207999999999998</v>
          </cell>
          <cell r="G195">
            <v>7.9560500000000003</v>
          </cell>
          <cell r="I195">
            <v>2.3233299999999999</v>
          </cell>
          <cell r="J195" t="str">
            <v>q</v>
          </cell>
          <cell r="K195">
            <v>1750.1856969999999</v>
          </cell>
          <cell r="M195">
            <v>-15</v>
          </cell>
          <cell r="O195">
            <v>185</v>
          </cell>
        </row>
        <row r="196">
          <cell r="B196" t="str">
            <v>South Sudan</v>
          </cell>
          <cell r="C196">
            <v>0.38772518084873253</v>
          </cell>
          <cell r="E196">
            <v>57.287999999999997</v>
          </cell>
          <cell r="G196">
            <v>4.8716200000000001</v>
          </cell>
          <cell r="H196" t="str">
            <v>q</v>
          </cell>
          <cell r="I196">
            <v>4.8491299999999997</v>
          </cell>
          <cell r="K196">
            <v>963.17409239999995</v>
          </cell>
          <cell r="L196" t="str">
            <v>k</v>
          </cell>
          <cell r="M196">
            <v>-1</v>
          </cell>
          <cell r="O196">
            <v>186</v>
          </cell>
        </row>
        <row r="197">
          <cell r="B197" t="str">
            <v>Central African Republic</v>
          </cell>
          <cell r="C197">
            <v>0.36680934465729048</v>
          </cell>
          <cell r="E197">
            <v>52.89</v>
          </cell>
          <cell r="G197">
            <v>7.1800032070000004</v>
          </cell>
          <cell r="H197" t="str">
            <v>f</v>
          </cell>
          <cell r="I197">
            <v>4.2560000000000002</v>
          </cell>
          <cell r="J197" t="str">
            <v>j</v>
          </cell>
          <cell r="K197">
            <v>663.15163310000003</v>
          </cell>
          <cell r="M197">
            <v>3</v>
          </cell>
          <cell r="O197">
            <v>187</v>
          </cell>
        </row>
        <row r="198">
          <cell r="B198" t="str">
            <v>Niger</v>
          </cell>
          <cell r="C198">
            <v>0.35393119203339585</v>
          </cell>
          <cell r="E198">
            <v>60.421999999999997</v>
          </cell>
          <cell r="G198">
            <v>5.3685086269999998</v>
          </cell>
          <cell r="I198">
            <v>1.95133</v>
          </cell>
          <cell r="J198" t="str">
            <v>j</v>
          </cell>
          <cell r="K198">
            <v>905.86804859999995</v>
          </cell>
          <cell r="M198">
            <v>-2</v>
          </cell>
          <cell r="O198">
            <v>188</v>
          </cell>
        </row>
        <row r="199">
          <cell r="B199" t="str">
            <v>OTHER COUNTRIES OR TERRITORIES</v>
          </cell>
        </row>
        <row r="200">
          <cell r="B200" t="str">
            <v>Korea (Democratic People's Rep. of)</v>
          </cell>
          <cell r="C200" t="str">
            <v>..</v>
          </cell>
          <cell r="E200">
            <v>71.887</v>
          </cell>
          <cell r="G200">
            <v>12.000249999999999</v>
          </cell>
          <cell r="I200" t="str">
            <v>..</v>
          </cell>
          <cell r="K200" t="str">
            <v>..</v>
          </cell>
          <cell r="M200" t="str">
            <v>..</v>
          </cell>
          <cell r="O200" t="str">
            <v>..</v>
          </cell>
        </row>
        <row r="201">
          <cell r="B201" t="str">
            <v>Monaco</v>
          </cell>
          <cell r="C201" t="str">
            <v>..</v>
          </cell>
          <cell r="E201" t="str">
            <v>..</v>
          </cell>
          <cell r="G201" t="str">
            <v>..</v>
          </cell>
          <cell r="I201" t="str">
            <v>..</v>
          </cell>
          <cell r="K201" t="str">
            <v>..</v>
          </cell>
          <cell r="M201" t="str">
            <v>..</v>
          </cell>
          <cell r="O201" t="str">
            <v>..</v>
          </cell>
        </row>
        <row r="202">
          <cell r="B202" t="str">
            <v>Nauru</v>
          </cell>
          <cell r="C202" t="str">
            <v>..</v>
          </cell>
          <cell r="E202" t="str">
            <v>..</v>
          </cell>
          <cell r="G202">
            <v>10.31429</v>
          </cell>
          <cell r="I202" t="str">
            <v>..</v>
          </cell>
          <cell r="K202">
            <v>18572.956610000001</v>
          </cell>
          <cell r="L202" t="str">
            <v>k</v>
          </cell>
          <cell r="M202" t="str">
            <v>..</v>
          </cell>
          <cell r="O202" t="str">
            <v>..</v>
          </cell>
        </row>
        <row r="203">
          <cell r="B203" t="str">
            <v>San Marino</v>
          </cell>
          <cell r="C203" t="str">
            <v>..</v>
          </cell>
          <cell r="E203" t="str">
            <v>..</v>
          </cell>
          <cell r="G203">
            <v>15.1112</v>
          </cell>
          <cell r="I203" t="str">
            <v>..</v>
          </cell>
          <cell r="K203" t="str">
            <v>..</v>
          </cell>
          <cell r="M203" t="str">
            <v>..</v>
          </cell>
          <cell r="O203" t="str">
            <v>..</v>
          </cell>
        </row>
        <row r="204">
          <cell r="B204" t="str">
            <v>Somalia</v>
          </cell>
          <cell r="C204" t="str">
            <v>..</v>
          </cell>
          <cell r="E204">
            <v>56.713999999999999</v>
          </cell>
          <cell r="G204" t="str">
            <v>..</v>
          </cell>
          <cell r="I204" t="str">
            <v>..</v>
          </cell>
          <cell r="K204" t="str">
            <v>..</v>
          </cell>
          <cell r="M204" t="str">
            <v>..</v>
          </cell>
          <cell r="O204" t="str">
            <v>..</v>
          </cell>
        </row>
        <row r="205">
          <cell r="B205" t="str">
            <v>Tuvalu</v>
          </cell>
          <cell r="C205" t="str">
            <v>..</v>
          </cell>
          <cell r="E205" t="str">
            <v>..</v>
          </cell>
          <cell r="G205" t="str">
            <v>..</v>
          </cell>
          <cell r="I205" t="str">
            <v>..</v>
          </cell>
          <cell r="K205">
            <v>5887.7243200000003</v>
          </cell>
          <cell r="L205" t="str">
            <v>k</v>
          </cell>
          <cell r="M205" t="str">
            <v>..</v>
          </cell>
          <cell r="O205" t="str">
            <v>..</v>
          </cell>
        </row>
        <row r="207">
          <cell r="B207" t="str">
            <v>Human development groups</v>
          </cell>
        </row>
        <row r="208">
          <cell r="B208" t="str">
            <v>Very high human development</v>
          </cell>
          <cell r="C208">
            <v>0.89428059478270094</v>
          </cell>
          <cell r="E208">
            <v>79.488464593488445</v>
          </cell>
          <cell r="G208">
            <v>16.440504568222966</v>
          </cell>
          <cell r="I208">
            <v>12.209895721664852</v>
          </cell>
          <cell r="K208">
            <v>40041.493415418852</v>
          </cell>
          <cell r="M208" t="str">
            <v>—</v>
          </cell>
          <cell r="O208" t="str">
            <v>—</v>
          </cell>
        </row>
        <row r="209">
          <cell r="B209" t="str">
            <v>High human development</v>
          </cell>
          <cell r="C209">
            <v>0.75741496898249649</v>
          </cell>
          <cell r="E209">
            <v>76.021758759035166</v>
          </cell>
          <cell r="G209">
            <v>14.107803399390018</v>
          </cell>
          <cell r="I209">
            <v>8.2262966279886101</v>
          </cell>
          <cell r="K209">
            <v>14998.822025096981</v>
          </cell>
          <cell r="M209" t="str">
            <v>—</v>
          </cell>
          <cell r="O209" t="str">
            <v>—</v>
          </cell>
        </row>
        <row r="210">
          <cell r="B210" t="str">
            <v>Medium human development</v>
          </cell>
          <cell r="C210">
            <v>0.64498326506043635</v>
          </cell>
          <cell r="E210">
            <v>69.087682968045883</v>
          </cell>
          <cell r="G210">
            <v>11.987063849131303</v>
          </cell>
          <cell r="I210">
            <v>6.7048816492937346</v>
          </cell>
          <cell r="K210">
            <v>6849.4662334264403</v>
          </cell>
          <cell r="M210" t="str">
            <v>—</v>
          </cell>
          <cell r="O210" t="str">
            <v>—</v>
          </cell>
        </row>
        <row r="211">
          <cell r="B211" t="str">
            <v>Low human development</v>
          </cell>
          <cell r="C211">
            <v>0.50357833788207218</v>
          </cell>
          <cell r="E211">
            <v>60.75911860087092</v>
          </cell>
          <cell r="G211">
            <v>9.3866085771289942</v>
          </cell>
          <cell r="I211">
            <v>4.7100489831186323</v>
          </cell>
          <cell r="K211">
            <v>2521.2673256363159</v>
          </cell>
          <cell r="M211" t="str">
            <v>—</v>
          </cell>
          <cell r="O211" t="str">
            <v>—</v>
          </cell>
        </row>
        <row r="213">
          <cell r="B213" t="str">
            <v>Developing countries</v>
          </cell>
          <cell r="C213">
            <v>0.68115373582571292</v>
          </cell>
          <cell r="E213">
            <v>70.662604684508906</v>
          </cell>
          <cell r="G213">
            <v>12.185513517225006</v>
          </cell>
          <cell r="I213">
            <v>7.3176439095690942</v>
          </cell>
          <cell r="K213">
            <v>10055.05757778224</v>
          </cell>
          <cell r="M213" t="str">
            <v>—</v>
          </cell>
          <cell r="O213" t="str">
            <v>—</v>
          </cell>
        </row>
        <row r="215">
          <cell r="B215" t="str">
            <v>Regions</v>
          </cell>
        </row>
        <row r="216">
          <cell r="B216" t="str">
            <v>Arab States</v>
          </cell>
          <cell r="C216">
            <v>0.69895465477752983</v>
          </cell>
          <cell r="E216">
            <v>71.506500273673311</v>
          </cell>
          <cell r="G216">
            <v>11.906136776019768</v>
          </cell>
          <cell r="I216">
            <v>7.0348844368788956</v>
          </cell>
          <cell r="K216">
            <v>15836.652881996275</v>
          </cell>
          <cell r="M216" t="str">
            <v>—</v>
          </cell>
          <cell r="O216" t="str">
            <v>—</v>
          </cell>
        </row>
        <row r="217">
          <cell r="B217" t="str">
            <v>East Asia and the Pacific</v>
          </cell>
          <cell r="C217">
            <v>0.73343441811500043</v>
          </cell>
          <cell r="E217">
            <v>74.667392025772727</v>
          </cell>
          <cell r="G217">
            <v>13.29281106815637</v>
          </cell>
          <cell r="I217">
            <v>7.8621609825224512</v>
          </cell>
          <cell r="K217">
            <v>13687.729597021522</v>
          </cell>
          <cell r="M217" t="str">
            <v>—</v>
          </cell>
          <cell r="O217" t="str">
            <v>—</v>
          </cell>
        </row>
        <row r="218">
          <cell r="B218" t="str">
            <v>Europe and Central Asia</v>
          </cell>
          <cell r="C218">
            <v>0.77072064659444606</v>
          </cell>
          <cell r="E218">
            <v>73.392372965335881</v>
          </cell>
          <cell r="G218">
            <v>14.087410378221776</v>
          </cell>
          <cell r="I218">
            <v>10.255684492874378</v>
          </cell>
          <cell r="K218">
            <v>15331.155420077435</v>
          </cell>
          <cell r="M218" t="str">
            <v>—</v>
          </cell>
          <cell r="O218" t="str">
            <v>—</v>
          </cell>
        </row>
        <row r="219">
          <cell r="B219" t="str">
            <v>Latin America and the Caribbean</v>
          </cell>
          <cell r="C219">
            <v>0.75798946123715805</v>
          </cell>
          <cell r="E219">
            <v>75.716544147503697</v>
          </cell>
          <cell r="G219">
            <v>14.440667515672809</v>
          </cell>
          <cell r="I219">
            <v>8.4838069813579562</v>
          </cell>
          <cell r="K219">
            <v>13670.659881338464</v>
          </cell>
          <cell r="M219" t="str">
            <v>—</v>
          </cell>
          <cell r="O219" t="str">
            <v>—</v>
          </cell>
        </row>
        <row r="220">
          <cell r="B220" t="str">
            <v>South Asia</v>
          </cell>
          <cell r="C220">
            <v>0.6378349522966511</v>
          </cell>
          <cell r="E220">
            <v>69.261171649805121</v>
          </cell>
          <cell r="G220">
            <v>11.874204127569209</v>
          </cell>
          <cell r="I220">
            <v>6.4110537828254479</v>
          </cell>
          <cell r="K220">
            <v>6473.2948743075885</v>
          </cell>
          <cell r="M220" t="str">
            <v>—</v>
          </cell>
          <cell r="O220" t="str">
            <v>—</v>
          </cell>
        </row>
        <row r="221">
          <cell r="B221" t="str">
            <v>Sub-Saharan Africa</v>
          </cell>
          <cell r="C221">
            <v>0.53713597464085672</v>
          </cell>
          <cell r="E221">
            <v>60.717232601107192</v>
          </cell>
          <cell r="G221">
            <v>10.055162039914439</v>
          </cell>
          <cell r="I221">
            <v>5.5545874794443701</v>
          </cell>
          <cell r="K221">
            <v>3399.2494035023883</v>
          </cell>
          <cell r="M221" t="str">
            <v>—</v>
          </cell>
          <cell r="O221" t="str">
            <v>—</v>
          </cell>
        </row>
        <row r="223">
          <cell r="B223" t="str">
            <v>Least developed countries</v>
          </cell>
          <cell r="C223">
            <v>0.52416960784289612</v>
          </cell>
          <cell r="E223">
            <v>64.775319463229536</v>
          </cell>
          <cell r="G223">
            <v>9.8489200371474155</v>
          </cell>
          <cell r="I223">
            <v>4.6825740056966092</v>
          </cell>
          <cell r="K223">
            <v>2505.8797004103694</v>
          </cell>
          <cell r="M223" t="str">
            <v>—</v>
          </cell>
          <cell r="O223" t="str">
            <v>—</v>
          </cell>
        </row>
        <row r="224">
          <cell r="B224" t="str">
            <v>Small island developing states</v>
          </cell>
          <cell r="C224">
            <v>0.72229076758469446</v>
          </cell>
          <cell r="E224">
            <v>72.268039293880719</v>
          </cell>
          <cell r="G224">
            <v>12.136924801241811</v>
          </cell>
          <cell r="I224">
            <v>8.5986451363901431</v>
          </cell>
          <cell r="K224">
            <v>15112.751678975579</v>
          </cell>
          <cell r="M224" t="str">
            <v>—</v>
          </cell>
          <cell r="O224" t="str">
            <v>—</v>
          </cell>
        </row>
        <row r="226">
          <cell r="B226" t="str">
            <v>Organisation for Economic Co-operation and Development</v>
          </cell>
          <cell r="C226">
            <v>0.89461972813285184</v>
          </cell>
          <cell r="E226">
            <v>80.576784772778609</v>
          </cell>
          <cell r="G226">
            <v>16.242523221988769</v>
          </cell>
          <cell r="I226">
            <v>11.974642256976718</v>
          </cell>
          <cell r="K226">
            <v>39595.052668929886</v>
          </cell>
          <cell r="M226" t="str">
            <v>—</v>
          </cell>
          <cell r="O226" t="str">
            <v>—</v>
          </cell>
        </row>
        <row r="228">
          <cell r="B228" t="str">
            <v>World</v>
          </cell>
          <cell r="C228">
            <v>0.72799426616712437</v>
          </cell>
          <cell r="E228">
            <v>72.232461107663809</v>
          </cell>
          <cell r="G228">
            <v>12.688672813014582</v>
          </cell>
          <cell r="I228">
            <v>8.3878513425838843</v>
          </cell>
          <cell r="K228">
            <v>15295.310955833453</v>
          </cell>
          <cell r="M228" t="str">
            <v>—</v>
          </cell>
          <cell r="O228" t="str">
            <v>—</v>
          </cell>
        </row>
        <row r="230">
          <cell r="B230" t="str">
            <v>Notes</v>
          </cell>
        </row>
        <row r="231">
          <cell r="B231" t="str">
            <v>a. Data refer to 2017 or the most recent year available.</v>
          </cell>
        </row>
        <row r="232">
          <cell r="B232" t="str">
            <v>b. In calculating the HDI value, expected years of schooling is capped at 18 years.</v>
          </cell>
        </row>
        <row r="233">
          <cell r="B233" t="str">
            <v>c. Based on data from OECD (2017a).</v>
          </cell>
        </row>
        <row r="234">
          <cell r="B234" t="str">
            <v>d. Based on data from the national statistical office.</v>
          </cell>
        </row>
        <row r="235">
          <cell r="B235" t="str">
            <v>e. In calculating the HDI value, GNI per capita is capped at $75,000.</v>
          </cell>
        </row>
        <row r="236">
          <cell r="B236" t="str">
            <v>f. Updated by HDRO based on data from UNESCO Institute for Statistics (2018).</v>
          </cell>
        </row>
        <row r="237">
          <cell r="B237" t="str">
            <v>g. Value from UNDESA (2011).</v>
          </cell>
        </row>
        <row r="238">
          <cell r="B238" t="str">
            <v>h. Imputed mean years of schooling for Austria.</v>
          </cell>
        </row>
        <row r="239">
          <cell r="B239" t="str">
            <v>i. Estimated using the purchasing power parity (PPP) rate and projected growth rate of Switzerland.</v>
          </cell>
        </row>
        <row r="240">
          <cell r="B240" t="str">
            <v>j. Based on Barro and Lee (2016).</v>
          </cell>
        </row>
        <row r="241">
          <cell r="B241" t="str">
            <v>k. HDRO estimate based on data from World Bank (2018b) and United Nations Statistics Division (2018b).</v>
          </cell>
        </row>
        <row r="242">
          <cell r="B242" t="str">
            <v>l. Updated by HDRO using Barro and Lee (2016) estimates.</v>
          </cell>
        </row>
        <row r="243">
          <cell r="B243" t="str">
            <v>m. Estimated using the PPP rate and projected growth rate of Spain.</v>
          </cell>
        </row>
        <row r="244">
          <cell r="B244" t="str">
            <v>n. Based on cross-country regression.</v>
          </cell>
        </row>
        <row r="245">
          <cell r="B245" t="str">
            <v>o. Updated by HDRO based on data from United Nations Children's Fund (UNICEF) Multiple Indicator Cluster Surveys for 2006-2017.</v>
          </cell>
        </row>
        <row r="246">
          <cell r="B246" t="str">
            <v>p. Based on a cross-country regression and the projected growth rate from UNECLAC (2018).</v>
          </cell>
        </row>
        <row r="247">
          <cell r="B247" t="str">
            <v>q. Updated by HDRO based on data from ICF Macro Demographic and Health Surveys for 2006-2017.</v>
          </cell>
        </row>
        <row r="248">
          <cell r="B248" t="str">
            <v>r. Updated by HDRO based on Syrian Center for Policy Research (2017).</v>
          </cell>
        </row>
        <row r="249">
          <cell r="B249" t="str">
            <v>s. HDRO estimate based on data from World Bank (2018b), United Nations Statistics Division (2018b) and projected growth rates from UNESCWA (2018).</v>
          </cell>
        </row>
        <row r="251">
          <cell r="B251" t="str">
            <v>Definitions</v>
          </cell>
        </row>
        <row r="252">
          <cell r="B252" t="str">
            <v>Human Development Index (HDI): A composite index measuring average achievement in three basic dimensions of human development—a long and healthy life, knowledge and a decent standard of living. See Technical note 1 at http://hdr.undp.org/sites/default/files/hdr2018_technical_notes.pdf for details on how the HDI is calculated.</v>
          </cell>
        </row>
        <row r="253">
          <cell r="B253" t="str">
            <v>Life expectancy at birth: Number of years a newborn infant could expect to live if prevailing patterns of age-specific mortality rates at the time of birth stay the same throughout the infant’s life.</v>
          </cell>
        </row>
        <row r="254">
          <cell r="B254" t="str">
            <v>Expected years of schooling: Number of years of schooling that a child of school entrance age can expect to receive if prevailing patterns of age-specific enrolment rates persist throughout the child’s life.</v>
          </cell>
        </row>
        <row r="255">
          <cell r="B255" t="str">
            <v>Mean years of schooling: Average number of years of education received by people ages 25 and older, converted from education attainment levels using official durations of each level.</v>
          </cell>
        </row>
        <row r="256">
          <cell r="B256" t="str">
            <v>Gross national income (GNI) per capita: Aggregate income of an economy generated by its production and its ownership of factors of production, less the incomes paid for the use of factors of production owned by the rest of the world, converted to international dollars using PPP rates, divided by midyear population.</v>
          </cell>
        </row>
        <row r="257">
          <cell r="B257" t="str">
            <v>GNI per capita rank minus HDI rank: Difference in ranking by GNI per capita and by HDI value. A negative value means that the country is better ranked by GNI than by HDI value.</v>
          </cell>
        </row>
        <row r="258">
          <cell r="B258" t="str">
            <v>HDI rank for 2016: Ranking by HDI value for 2016, which was calculated using the same most recently revised data available in 2018 that were used to calculate HDI values for 2017.</v>
          </cell>
        </row>
        <row r="260">
          <cell r="B260" t="str">
            <v>Main data sources</v>
          </cell>
        </row>
        <row r="261">
          <cell r="B261" t="str">
            <v>Columns 1 and 7: HDRO calculations based on data from UNDESA (2017a), UNESCO Institute for Statistics (2018), United Nations Statistics Division (2018b), World Bank (2018b), Barro and Lee (2016) and IMF (2018).</v>
          </cell>
        </row>
        <row r="262">
          <cell r="B262" t="str">
            <v xml:space="preserve">Column 2: UNDESA (2017a). </v>
          </cell>
        </row>
        <row r="263">
          <cell r="B263" t="str">
            <v>Column 3: UNESCO Institute for Statistics (2018), ICF Macro Demographic and Health Surveys, UNICEF Multiple Indicator Cluster Surveys and OECD (2017a).</v>
          </cell>
        </row>
        <row r="264">
          <cell r="B264" t="str">
            <v>Column 4: UNESCO Institute for Statistics (2018), Barro and Lee (2016), ICF Macro Demographic and Health Surveys, UNICEF Multiple Indicator Cluster Surveys and OECD (2017a).</v>
          </cell>
        </row>
        <row r="265">
          <cell r="B265" t="str">
            <v>Column 5: World Bank (2018b), IMF (2018) and United Nations Statistics Division (2018b).</v>
          </cell>
        </row>
        <row r="266">
          <cell r="B266" t="str">
            <v>Column 6: Calculated based on data in columns 1 and 5.</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sheetNames>
    <sheetDataSet>
      <sheetData sheetId="0" refreshError="1">
        <row r="1">
          <cell r="A1" t="str">
            <v>Kategori: TÃ¼m kategoriler</v>
          </cell>
        </row>
        <row r="3">
          <cell r="A3" t="str">
            <v>Ãœlke</v>
          </cell>
          <cell r="B3" t="str">
            <v>Java: (2018)</v>
          </cell>
        </row>
        <row r="4">
          <cell r="A4" t="str">
            <v>China</v>
          </cell>
          <cell r="B4">
            <v>100</v>
          </cell>
        </row>
        <row r="5">
          <cell r="A5" t="str">
            <v>Madagascar</v>
          </cell>
        </row>
        <row r="6">
          <cell r="A6" t="str">
            <v>Eritrea</v>
          </cell>
        </row>
        <row r="7">
          <cell r="A7" t="str">
            <v>Bangladesh</v>
          </cell>
          <cell r="B7">
            <v>25</v>
          </cell>
        </row>
        <row r="8">
          <cell r="A8" t="str">
            <v>St. Helena</v>
          </cell>
          <cell r="B8">
            <v>25</v>
          </cell>
        </row>
        <row r="9">
          <cell r="A9" t="str">
            <v>Ethiopia</v>
          </cell>
          <cell r="B9">
            <v>25</v>
          </cell>
        </row>
        <row r="10">
          <cell r="A10" t="str">
            <v>Cameroon</v>
          </cell>
          <cell r="B10">
            <v>23</v>
          </cell>
        </row>
        <row r="11">
          <cell r="A11" t="str">
            <v>South Korea</v>
          </cell>
          <cell r="B11">
            <v>21</v>
          </cell>
        </row>
        <row r="12">
          <cell r="A12" t="str">
            <v>Burundi</v>
          </cell>
        </row>
        <row r="13">
          <cell r="A13" t="str">
            <v>Sierra Leone</v>
          </cell>
        </row>
        <row r="14">
          <cell r="A14" t="str">
            <v>Togo</v>
          </cell>
        </row>
        <row r="15">
          <cell r="A15" t="str">
            <v>Benin</v>
          </cell>
        </row>
        <row r="16">
          <cell r="A16" t="str">
            <v>India</v>
          </cell>
          <cell r="B16">
            <v>15</v>
          </cell>
        </row>
        <row r="17">
          <cell r="A17" t="str">
            <v>Zambia</v>
          </cell>
        </row>
        <row r="18">
          <cell r="A18" t="str">
            <v>Sri Lanka</v>
          </cell>
          <cell r="B18">
            <v>14</v>
          </cell>
        </row>
        <row r="19">
          <cell r="A19" t="str">
            <v>Malawi</v>
          </cell>
        </row>
        <row r="20">
          <cell r="A20" t="str">
            <v>Nigeria</v>
          </cell>
          <cell r="B20">
            <v>13</v>
          </cell>
        </row>
        <row r="21">
          <cell r="A21" t="str">
            <v>Cuba</v>
          </cell>
        </row>
        <row r="22">
          <cell r="A22" t="str">
            <v>Uganda</v>
          </cell>
        </row>
        <row r="23">
          <cell r="A23" t="str">
            <v>Ã…land Islands</v>
          </cell>
        </row>
        <row r="24">
          <cell r="A24" t="str">
            <v>Congo - Kinshasa</v>
          </cell>
        </row>
        <row r="25">
          <cell r="A25" t="str">
            <v>Rwanda</v>
          </cell>
        </row>
        <row r="26">
          <cell r="A26" t="str">
            <v>SÃ£o TomÃ© &amp; PrÃ­ncipe</v>
          </cell>
        </row>
        <row r="27">
          <cell r="A27" t="str">
            <v>Guinea</v>
          </cell>
        </row>
        <row r="28">
          <cell r="A28" t="str">
            <v>Myanmar (Burma)</v>
          </cell>
        </row>
        <row r="29">
          <cell r="A29" t="str">
            <v>Congo - Brazzaville</v>
          </cell>
        </row>
        <row r="30">
          <cell r="A30" t="str">
            <v>Mozambique</v>
          </cell>
        </row>
        <row r="31">
          <cell r="A31" t="str">
            <v>Burkina Faso</v>
          </cell>
        </row>
        <row r="32">
          <cell r="A32" t="str">
            <v>Singapore</v>
          </cell>
          <cell r="B32">
            <v>11</v>
          </cell>
        </row>
        <row r="33">
          <cell r="A33" t="str">
            <v>Uzbekistan</v>
          </cell>
          <cell r="B33">
            <v>11</v>
          </cell>
        </row>
        <row r="34">
          <cell r="A34" t="str">
            <v>Guinea-Bissau</v>
          </cell>
        </row>
        <row r="35">
          <cell r="A35" t="str">
            <v>Botswana</v>
          </cell>
        </row>
        <row r="36">
          <cell r="A36" t="str">
            <v>Luxembourg</v>
          </cell>
        </row>
        <row r="37">
          <cell r="A37" t="str">
            <v>Tunisia</v>
          </cell>
          <cell r="B37">
            <v>10</v>
          </cell>
        </row>
        <row r="38">
          <cell r="A38" t="str">
            <v>CÃ´te dâ€™Ivoire</v>
          </cell>
        </row>
        <row r="39">
          <cell r="A39" t="str">
            <v>Nepal</v>
          </cell>
        </row>
        <row r="40">
          <cell r="A40" t="str">
            <v>Estonia</v>
          </cell>
        </row>
        <row r="41">
          <cell r="A41" t="str">
            <v>Niger</v>
          </cell>
        </row>
        <row r="42">
          <cell r="A42" t="str">
            <v>Israel</v>
          </cell>
          <cell r="B42">
            <v>9</v>
          </cell>
        </row>
        <row r="43">
          <cell r="A43" t="str">
            <v>Belarus</v>
          </cell>
          <cell r="B43">
            <v>9</v>
          </cell>
        </row>
        <row r="44">
          <cell r="A44" t="str">
            <v>Pakistan</v>
          </cell>
          <cell r="B44">
            <v>8</v>
          </cell>
        </row>
        <row r="45">
          <cell r="A45" t="str">
            <v>Angola</v>
          </cell>
        </row>
        <row r="46">
          <cell r="A46" t="str">
            <v>Central African Republic</v>
          </cell>
        </row>
        <row r="47">
          <cell r="A47" t="str">
            <v>Chad</v>
          </cell>
        </row>
        <row r="48">
          <cell r="A48" t="str">
            <v>Hong Kong</v>
          </cell>
          <cell r="B48">
            <v>8</v>
          </cell>
        </row>
        <row r="49">
          <cell r="A49" t="str">
            <v>Zimbabwe</v>
          </cell>
        </row>
        <row r="50">
          <cell r="A50" t="str">
            <v>North Macedonia</v>
          </cell>
        </row>
        <row r="51">
          <cell r="A51" t="str">
            <v>Armenia</v>
          </cell>
        </row>
        <row r="52">
          <cell r="A52" t="str">
            <v>Lesotho</v>
          </cell>
        </row>
        <row r="53">
          <cell r="A53" t="str">
            <v>Tanzania</v>
          </cell>
        </row>
        <row r="54">
          <cell r="A54" t="str">
            <v>Mauritius</v>
          </cell>
        </row>
        <row r="55">
          <cell r="A55" t="str">
            <v>Switzerland</v>
          </cell>
          <cell r="B55">
            <v>7</v>
          </cell>
        </row>
        <row r="56">
          <cell r="A56" t="str">
            <v>Eswatini</v>
          </cell>
        </row>
        <row r="57">
          <cell r="A57" t="str">
            <v>Ecuador</v>
          </cell>
          <cell r="B57">
            <v>7</v>
          </cell>
        </row>
        <row r="58">
          <cell r="A58" t="str">
            <v>Albania</v>
          </cell>
        </row>
        <row r="59">
          <cell r="A59" t="str">
            <v>Mali</v>
          </cell>
        </row>
        <row r="60">
          <cell r="A60" t="str">
            <v>Germany</v>
          </cell>
          <cell r="B60">
            <v>7</v>
          </cell>
        </row>
        <row r="61">
          <cell r="A61" t="str">
            <v>Serbia</v>
          </cell>
          <cell r="B61">
            <v>7</v>
          </cell>
        </row>
        <row r="62">
          <cell r="A62" t="str">
            <v>Senegal</v>
          </cell>
        </row>
        <row r="63">
          <cell r="A63" t="str">
            <v>Tonga</v>
          </cell>
        </row>
        <row r="64">
          <cell r="A64" t="str">
            <v>Ghana</v>
          </cell>
        </row>
        <row r="65">
          <cell r="A65" t="str">
            <v>Cape Verde</v>
          </cell>
        </row>
        <row r="66">
          <cell r="A66" t="str">
            <v>Costa Rica</v>
          </cell>
          <cell r="B66">
            <v>6</v>
          </cell>
        </row>
        <row r="67">
          <cell r="A67" t="str">
            <v>Hungary</v>
          </cell>
          <cell r="B67">
            <v>6</v>
          </cell>
        </row>
        <row r="68">
          <cell r="A68" t="str">
            <v>Bulgaria</v>
          </cell>
          <cell r="B68">
            <v>6</v>
          </cell>
        </row>
        <row r="69">
          <cell r="A69" t="str">
            <v>Gabon</v>
          </cell>
        </row>
        <row r="70">
          <cell r="A70" t="str">
            <v>Kenya</v>
          </cell>
          <cell r="B70">
            <v>6</v>
          </cell>
        </row>
        <row r="71">
          <cell r="A71" t="str">
            <v>Ireland</v>
          </cell>
          <cell r="B71">
            <v>6</v>
          </cell>
        </row>
        <row r="72">
          <cell r="A72" t="str">
            <v>Equatorial Guinea</v>
          </cell>
        </row>
        <row r="73">
          <cell r="A73" t="str">
            <v>Portugal</v>
          </cell>
          <cell r="B73">
            <v>6</v>
          </cell>
        </row>
        <row r="74">
          <cell r="A74" t="str">
            <v>Bhutan</v>
          </cell>
        </row>
        <row r="75">
          <cell r="A75" t="str">
            <v>Papua New Guinea</v>
          </cell>
        </row>
        <row r="76">
          <cell r="A76" t="str">
            <v>Latvia</v>
          </cell>
        </row>
        <row r="77">
          <cell r="A77" t="str">
            <v>Romania</v>
          </cell>
          <cell r="B77">
            <v>6</v>
          </cell>
        </row>
        <row r="78">
          <cell r="A78" t="str">
            <v>Czechia</v>
          </cell>
          <cell r="B78">
            <v>6</v>
          </cell>
        </row>
        <row r="79">
          <cell r="A79" t="str">
            <v>Sweden</v>
          </cell>
          <cell r="B79">
            <v>6</v>
          </cell>
        </row>
        <row r="80">
          <cell r="A80" t="str">
            <v>Kosovo</v>
          </cell>
        </row>
        <row r="81">
          <cell r="A81" t="str">
            <v>Austria</v>
          </cell>
          <cell r="B81">
            <v>6</v>
          </cell>
        </row>
        <row r="82">
          <cell r="A82" t="str">
            <v>Afghanistan</v>
          </cell>
        </row>
        <row r="83">
          <cell r="A83" t="str">
            <v>El Salvador</v>
          </cell>
        </row>
        <row r="84">
          <cell r="A84" t="str">
            <v>Sudan</v>
          </cell>
        </row>
        <row r="85">
          <cell r="A85" t="str">
            <v>Poland</v>
          </cell>
          <cell r="B85">
            <v>6</v>
          </cell>
        </row>
        <row r="86">
          <cell r="A86" t="str">
            <v>Mongolia</v>
          </cell>
        </row>
        <row r="87">
          <cell r="A87" t="str">
            <v>Gibraltar</v>
          </cell>
        </row>
        <row r="88">
          <cell r="A88" t="str">
            <v>Palestine</v>
          </cell>
        </row>
        <row r="89">
          <cell r="A89" t="str">
            <v>Moldova</v>
          </cell>
        </row>
        <row r="90">
          <cell r="A90" t="str">
            <v>Iceland</v>
          </cell>
        </row>
        <row r="91">
          <cell r="A91" t="str">
            <v>Laos</v>
          </cell>
        </row>
        <row r="92">
          <cell r="A92" t="str">
            <v>Cambodia</v>
          </cell>
        </row>
        <row r="93">
          <cell r="A93" t="str">
            <v>Philippines</v>
          </cell>
          <cell r="B93">
            <v>6</v>
          </cell>
        </row>
        <row r="94">
          <cell r="A94" t="str">
            <v>Japan</v>
          </cell>
          <cell r="B94">
            <v>6</v>
          </cell>
        </row>
        <row r="95">
          <cell r="A95" t="str">
            <v>Vietnam</v>
          </cell>
          <cell r="B95">
            <v>6</v>
          </cell>
        </row>
        <row r="96">
          <cell r="A96" t="str">
            <v>Liechtenstein</v>
          </cell>
        </row>
        <row r="97">
          <cell r="A97" t="str">
            <v>Canada</v>
          </cell>
          <cell r="B97">
            <v>5</v>
          </cell>
        </row>
        <row r="98">
          <cell r="A98" t="str">
            <v>Ukraine</v>
          </cell>
          <cell r="B98">
            <v>5</v>
          </cell>
        </row>
        <row r="99">
          <cell r="A99" t="str">
            <v>United States</v>
          </cell>
          <cell r="B99">
            <v>5</v>
          </cell>
        </row>
        <row r="100">
          <cell r="A100" t="str">
            <v>Gambia</v>
          </cell>
        </row>
        <row r="101">
          <cell r="A101" t="str">
            <v>Colombia</v>
          </cell>
          <cell r="B101">
            <v>5</v>
          </cell>
        </row>
        <row r="102">
          <cell r="A102" t="str">
            <v>Lithuania</v>
          </cell>
          <cell r="B102">
            <v>5</v>
          </cell>
        </row>
        <row r="103">
          <cell r="A103" t="str">
            <v>Lebanon</v>
          </cell>
        </row>
        <row r="104">
          <cell r="A104" t="str">
            <v>Malta</v>
          </cell>
        </row>
        <row r="105">
          <cell r="A105" t="str">
            <v>Namibia</v>
          </cell>
        </row>
        <row r="106">
          <cell r="A106" t="str">
            <v>Guatemala</v>
          </cell>
          <cell r="B106">
            <v>5</v>
          </cell>
        </row>
        <row r="107">
          <cell r="A107" t="str">
            <v>Bolivia</v>
          </cell>
        </row>
        <row r="108">
          <cell r="A108" t="str">
            <v>Taiwan</v>
          </cell>
          <cell r="B108">
            <v>5</v>
          </cell>
        </row>
        <row r="109">
          <cell r="A109" t="str">
            <v>Liberia</v>
          </cell>
        </row>
        <row r="110">
          <cell r="A110" t="str">
            <v>Morocco</v>
          </cell>
          <cell r="B110">
            <v>5</v>
          </cell>
        </row>
        <row r="111">
          <cell r="A111" t="str">
            <v>Mexico</v>
          </cell>
          <cell r="B111">
            <v>5</v>
          </cell>
        </row>
        <row r="112">
          <cell r="A112" t="str">
            <v>Finland</v>
          </cell>
          <cell r="B112">
            <v>5</v>
          </cell>
        </row>
        <row r="113">
          <cell r="A113" t="str">
            <v>Spain</v>
          </cell>
          <cell r="B113">
            <v>5</v>
          </cell>
        </row>
        <row r="114">
          <cell r="A114" t="str">
            <v>Andorra</v>
          </cell>
        </row>
        <row r="115">
          <cell r="A115" t="str">
            <v>Peru</v>
          </cell>
          <cell r="B115">
            <v>5</v>
          </cell>
        </row>
        <row r="116">
          <cell r="A116" t="str">
            <v>Slovenia</v>
          </cell>
        </row>
        <row r="117">
          <cell r="A117" t="str">
            <v>Norway</v>
          </cell>
          <cell r="B117">
            <v>5</v>
          </cell>
        </row>
        <row r="118">
          <cell r="A118" t="str">
            <v>Mauritania</v>
          </cell>
        </row>
        <row r="119">
          <cell r="A119" t="str">
            <v>Cyprus</v>
          </cell>
        </row>
        <row r="120">
          <cell r="A120" t="str">
            <v>Belgium</v>
          </cell>
          <cell r="B120">
            <v>5</v>
          </cell>
        </row>
        <row r="121">
          <cell r="A121" t="str">
            <v>Uruguay</v>
          </cell>
        </row>
        <row r="122">
          <cell r="A122" t="str">
            <v>Slovakia</v>
          </cell>
          <cell r="B122">
            <v>5</v>
          </cell>
        </row>
        <row r="123">
          <cell r="A123" t="str">
            <v>Croatia</v>
          </cell>
          <cell r="B123">
            <v>5</v>
          </cell>
        </row>
        <row r="124">
          <cell r="A124" t="str">
            <v>Kyrgyzstan</v>
          </cell>
        </row>
        <row r="125">
          <cell r="A125" t="str">
            <v>Denmark</v>
          </cell>
          <cell r="B125">
            <v>5</v>
          </cell>
        </row>
        <row r="126">
          <cell r="A126" t="str">
            <v>South Africa</v>
          </cell>
          <cell r="B126">
            <v>5</v>
          </cell>
        </row>
        <row r="127">
          <cell r="A127" t="str">
            <v>Netherlands</v>
          </cell>
          <cell r="B127">
            <v>4</v>
          </cell>
        </row>
        <row r="128">
          <cell r="A128" t="str">
            <v>Russia</v>
          </cell>
          <cell r="B128">
            <v>4</v>
          </cell>
        </row>
        <row r="129">
          <cell r="A129" t="str">
            <v>Kazakhstan</v>
          </cell>
          <cell r="B129">
            <v>4</v>
          </cell>
        </row>
        <row r="130">
          <cell r="A130" t="str">
            <v>Timor-Leste</v>
          </cell>
        </row>
        <row r="131">
          <cell r="A131" t="str">
            <v>Bosnia &amp; Herzegovina</v>
          </cell>
        </row>
        <row r="132">
          <cell r="A132" t="str">
            <v>Somalia</v>
          </cell>
        </row>
        <row r="133">
          <cell r="A133" t="str">
            <v>New Zealand</v>
          </cell>
          <cell r="B133">
            <v>4</v>
          </cell>
        </row>
        <row r="134">
          <cell r="A134" t="str">
            <v>Algeria</v>
          </cell>
          <cell r="B134">
            <v>4</v>
          </cell>
        </row>
        <row r="135">
          <cell r="A135" t="str">
            <v>Haiti</v>
          </cell>
        </row>
        <row r="136">
          <cell r="A136" t="str">
            <v>Azerbaijan</v>
          </cell>
        </row>
        <row r="137">
          <cell r="A137" t="str">
            <v>Macao</v>
          </cell>
        </row>
        <row r="138">
          <cell r="A138" t="str">
            <v>South Sudan</v>
          </cell>
        </row>
        <row r="139">
          <cell r="A139" t="str">
            <v>Comoros</v>
          </cell>
        </row>
        <row r="140">
          <cell r="A140" t="str">
            <v>Paraguay</v>
          </cell>
        </row>
        <row r="141">
          <cell r="A141" t="str">
            <v>Dominica</v>
          </cell>
        </row>
        <row r="142">
          <cell r="A142" t="str">
            <v>France</v>
          </cell>
          <cell r="B142">
            <v>4</v>
          </cell>
        </row>
        <row r="143">
          <cell r="A143" t="str">
            <v>Jordan</v>
          </cell>
        </row>
        <row r="144">
          <cell r="A144" t="str">
            <v>Brazil</v>
          </cell>
          <cell r="B144">
            <v>4</v>
          </cell>
        </row>
        <row r="145">
          <cell r="A145" t="str">
            <v>Australia</v>
          </cell>
          <cell r="B145">
            <v>4</v>
          </cell>
        </row>
        <row r="146">
          <cell r="A146" t="str">
            <v>Djibouti</v>
          </cell>
        </row>
        <row r="147">
          <cell r="A147" t="str">
            <v>United Arab Emirates</v>
          </cell>
          <cell r="B147">
            <v>4</v>
          </cell>
        </row>
        <row r="148">
          <cell r="A148" t="str">
            <v>Honduras</v>
          </cell>
        </row>
        <row r="149">
          <cell r="A149" t="str">
            <v>Syria</v>
          </cell>
        </row>
        <row r="150">
          <cell r="A150" t="str">
            <v>Malaysia</v>
          </cell>
          <cell r="B150">
            <v>4</v>
          </cell>
        </row>
        <row r="151">
          <cell r="A151" t="str">
            <v>Indonesia</v>
          </cell>
          <cell r="B151">
            <v>4</v>
          </cell>
        </row>
        <row r="152">
          <cell r="A152" t="str">
            <v>Monaco</v>
          </cell>
        </row>
        <row r="153">
          <cell r="A153" t="str">
            <v>Iran</v>
          </cell>
          <cell r="B153">
            <v>4</v>
          </cell>
        </row>
        <row r="154">
          <cell r="A154" t="str">
            <v>Greece</v>
          </cell>
          <cell r="B154">
            <v>4</v>
          </cell>
        </row>
        <row r="155">
          <cell r="A155" t="str">
            <v>Maldives</v>
          </cell>
        </row>
        <row r="156">
          <cell r="A156" t="str">
            <v>Brunei</v>
          </cell>
        </row>
        <row r="157">
          <cell r="A157" t="str">
            <v>Nicaragua</v>
          </cell>
        </row>
        <row r="158">
          <cell r="A158" t="str">
            <v>New Caledonia</v>
          </cell>
        </row>
        <row r="159">
          <cell r="A159" t="str">
            <v>Chile</v>
          </cell>
          <cell r="B159">
            <v>3</v>
          </cell>
        </row>
        <row r="160">
          <cell r="A160" t="str">
            <v>San Marino</v>
          </cell>
        </row>
        <row r="161">
          <cell r="A161" t="str">
            <v>Italy</v>
          </cell>
          <cell r="B161">
            <v>3</v>
          </cell>
        </row>
        <row r="162">
          <cell r="A162" t="str">
            <v>United Kingdom</v>
          </cell>
          <cell r="B162">
            <v>3</v>
          </cell>
        </row>
        <row r="163">
          <cell r="A163" t="str">
            <v>Montenegro</v>
          </cell>
        </row>
        <row r="164">
          <cell r="A164" t="str">
            <v>Yemen</v>
          </cell>
        </row>
        <row r="165">
          <cell r="A165" t="str">
            <v>Faroe Islands</v>
          </cell>
        </row>
        <row r="166">
          <cell r="A166" t="str">
            <v>Bahrain</v>
          </cell>
        </row>
        <row r="167">
          <cell r="A167" t="str">
            <v>Fiji</v>
          </cell>
        </row>
        <row r="168">
          <cell r="A168" t="str">
            <v>Egypt</v>
          </cell>
          <cell r="B168">
            <v>3</v>
          </cell>
        </row>
        <row r="169">
          <cell r="A169" t="str">
            <v>Turkmenistan</v>
          </cell>
        </row>
        <row r="170">
          <cell r="A170" t="str">
            <v>Venezuela</v>
          </cell>
          <cell r="B170">
            <v>3</v>
          </cell>
        </row>
        <row r="171">
          <cell r="A171" t="str">
            <v>French Polynesia</v>
          </cell>
        </row>
        <row r="172">
          <cell r="A172" t="str">
            <v>Seychelles</v>
          </cell>
        </row>
        <row r="173">
          <cell r="A173" t="str">
            <v>Oman</v>
          </cell>
        </row>
        <row r="174">
          <cell r="A174" t="str">
            <v>Tajikistan</v>
          </cell>
        </row>
        <row r="175">
          <cell r="A175" t="str">
            <v>Panama</v>
          </cell>
        </row>
        <row r="176">
          <cell r="A176" t="str">
            <v>Jamaica</v>
          </cell>
        </row>
        <row r="177">
          <cell r="A177" t="str">
            <v>Argentina</v>
          </cell>
          <cell r="B177">
            <v>3</v>
          </cell>
        </row>
        <row r="178">
          <cell r="A178" t="str">
            <v>Turkey</v>
          </cell>
          <cell r="B178">
            <v>3</v>
          </cell>
        </row>
        <row r="179">
          <cell r="A179" t="str">
            <v>Suriname</v>
          </cell>
        </row>
        <row r="180">
          <cell r="A180" t="str">
            <v>Western Sahara</v>
          </cell>
        </row>
        <row r="181">
          <cell r="A181" t="str">
            <v>Georgia</v>
          </cell>
        </row>
        <row r="182">
          <cell r="A182" t="str">
            <v>Libya</v>
          </cell>
        </row>
        <row r="183">
          <cell r="A183" t="str">
            <v>Qatar</v>
          </cell>
        </row>
        <row r="184">
          <cell r="A184" t="str">
            <v>Saudi Arabia</v>
          </cell>
          <cell r="B184">
            <v>3</v>
          </cell>
        </row>
        <row r="185">
          <cell r="A185" t="str">
            <v>Barbados</v>
          </cell>
        </row>
        <row r="186">
          <cell r="A186" t="str">
            <v>Isle of Man</v>
          </cell>
        </row>
        <row r="187">
          <cell r="A187" t="str">
            <v>U.S. Virgin Islands</v>
          </cell>
        </row>
        <row r="188">
          <cell r="A188" t="str">
            <v>Samoa</v>
          </cell>
        </row>
        <row r="189">
          <cell r="A189" t="str">
            <v>Thailand</v>
          </cell>
          <cell r="B189">
            <v>2</v>
          </cell>
        </row>
        <row r="190">
          <cell r="A190" t="str">
            <v>St. Kitts &amp; Nevis</v>
          </cell>
        </row>
        <row r="191">
          <cell r="A191" t="str">
            <v>Vanuatu</v>
          </cell>
        </row>
        <row r="192">
          <cell r="A192" t="str">
            <v>Antigua &amp; Barbuda</v>
          </cell>
        </row>
        <row r="193">
          <cell r="A193" t="str">
            <v>Northern Mariana Islands</v>
          </cell>
        </row>
        <row r="194">
          <cell r="A194" t="str">
            <v>Dominican Republic</v>
          </cell>
        </row>
        <row r="195">
          <cell r="A195" t="str">
            <v>Puerto Rico</v>
          </cell>
        </row>
        <row r="196">
          <cell r="A196" t="str">
            <v>Mayotte</v>
          </cell>
        </row>
        <row r="197">
          <cell r="A197" t="str">
            <v>CuraÃ§ao</v>
          </cell>
        </row>
        <row r="198">
          <cell r="A198" t="str">
            <v>Trinidad &amp; Tobago</v>
          </cell>
        </row>
        <row r="199">
          <cell r="A199" t="str">
            <v>Cayman Islands</v>
          </cell>
        </row>
        <row r="200">
          <cell r="A200" t="str">
            <v>Guam</v>
          </cell>
        </row>
        <row r="201">
          <cell r="A201" t="str">
            <v>Greenland</v>
          </cell>
        </row>
        <row r="202">
          <cell r="A202" t="str">
            <v>Solomon Islands</v>
          </cell>
        </row>
        <row r="203">
          <cell r="A203" t="str">
            <v>Guadeloupe</v>
          </cell>
        </row>
        <row r="204">
          <cell r="A204" t="str">
            <v>RÃ©union</v>
          </cell>
        </row>
        <row r="205">
          <cell r="A205" t="str">
            <v>Iraq</v>
          </cell>
        </row>
        <row r="206">
          <cell r="A206" t="str">
            <v>Kuwait</v>
          </cell>
        </row>
        <row r="207">
          <cell r="A207" t="str">
            <v>Jersey</v>
          </cell>
        </row>
        <row r="208">
          <cell r="A208" t="str">
            <v>Guyana</v>
          </cell>
        </row>
        <row r="209">
          <cell r="A209" t="str">
            <v>Grenada</v>
          </cell>
        </row>
        <row r="210">
          <cell r="A210" t="str">
            <v>St. Vincent &amp; Grenadines</v>
          </cell>
        </row>
        <row r="211">
          <cell r="A211" t="str">
            <v>St. BarthÃ©lemy</v>
          </cell>
        </row>
        <row r="212">
          <cell r="A212" t="str">
            <v>Aruba</v>
          </cell>
        </row>
        <row r="213">
          <cell r="A213" t="str">
            <v>Bermuda</v>
          </cell>
        </row>
        <row r="214">
          <cell r="A214" t="str">
            <v>St. Lucia</v>
          </cell>
        </row>
        <row r="215">
          <cell r="A215" t="str">
            <v>Martinique</v>
          </cell>
        </row>
        <row r="216">
          <cell r="A216" t="str">
            <v>French Guiana</v>
          </cell>
        </row>
        <row r="217">
          <cell r="A217" t="str">
            <v>Belize</v>
          </cell>
        </row>
        <row r="218">
          <cell r="A218" t="str">
            <v>Guernsey</v>
          </cell>
        </row>
        <row r="219">
          <cell r="A219" t="str">
            <v>Bahamas</v>
          </cell>
        </row>
        <row r="220">
          <cell r="A220" t="str">
            <v>Sint Maarten</v>
          </cell>
        </row>
        <row r="221">
          <cell r="A221" t="str">
            <v>Caribbean Netherlands</v>
          </cell>
        </row>
        <row r="222">
          <cell r="A222" t="str">
            <v>North Korea</v>
          </cell>
        </row>
        <row r="223">
          <cell r="A223" t="str">
            <v>Montserrat</v>
          </cell>
        </row>
        <row r="224">
          <cell r="A224" t="str">
            <v>Falkland Islands (Islas Malvinas)</v>
          </cell>
        </row>
        <row r="225">
          <cell r="A225" t="str">
            <v>Micronesia</v>
          </cell>
        </row>
        <row r="226">
          <cell r="A226" t="str">
            <v>St. Pierre &amp; Miquelon</v>
          </cell>
        </row>
        <row r="227">
          <cell r="A227" t="str">
            <v>Cook Islands</v>
          </cell>
        </row>
        <row r="228">
          <cell r="A228" t="str">
            <v>Svalbard &amp; Jan Mayen</v>
          </cell>
        </row>
        <row r="229">
          <cell r="A229" t="str">
            <v>American Samoa</v>
          </cell>
        </row>
        <row r="230">
          <cell r="A230" t="str">
            <v>St. Martin</v>
          </cell>
        </row>
        <row r="231">
          <cell r="A231" t="str">
            <v>Anguilla</v>
          </cell>
        </row>
        <row r="232">
          <cell r="A232" t="str">
            <v>Palau</v>
          </cell>
        </row>
        <row r="233">
          <cell r="A233" t="str">
            <v>Turks &amp; Caicos Islands</v>
          </cell>
        </row>
        <row r="234">
          <cell r="A234" t="str">
            <v>British Virgin Islands</v>
          </cell>
        </row>
        <row r="235">
          <cell r="A235" t="str">
            <v>Antarctica</v>
          </cell>
        </row>
        <row r="236">
          <cell r="A236" t="str">
            <v>French Southern Territories</v>
          </cell>
        </row>
        <row r="237">
          <cell r="A237" t="str">
            <v>Bouvet Island</v>
          </cell>
        </row>
        <row r="238">
          <cell r="A238" t="str">
            <v>Cocos (Keeling) Islands</v>
          </cell>
        </row>
        <row r="239">
          <cell r="A239" t="str">
            <v>Christmas Island</v>
          </cell>
        </row>
        <row r="240">
          <cell r="A240" t="str">
            <v>Heard &amp; McDonald Islands</v>
          </cell>
        </row>
        <row r="241">
          <cell r="A241" t="str">
            <v>British Indian Ocean Territory</v>
          </cell>
        </row>
        <row r="242">
          <cell r="A242" t="str">
            <v>Kiribati</v>
          </cell>
        </row>
        <row r="243">
          <cell r="A243" t="str">
            <v>Marshall Islands</v>
          </cell>
        </row>
        <row r="244">
          <cell r="A244" t="str">
            <v>Norfolk Island</v>
          </cell>
        </row>
        <row r="245">
          <cell r="A245" t="str">
            <v>Niue</v>
          </cell>
        </row>
        <row r="246">
          <cell r="A246" t="str">
            <v>Nauru</v>
          </cell>
        </row>
        <row r="247">
          <cell r="A247" t="str">
            <v>Pitcairn Islands</v>
          </cell>
        </row>
        <row r="248">
          <cell r="A248" t="str">
            <v>South Georgia &amp; South Sandwich Islands</v>
          </cell>
        </row>
        <row r="249">
          <cell r="A249" t="str">
            <v>Tokelau</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
    </sheetNames>
    <sheetDataSet>
      <sheetData sheetId="0">
        <row r="1">
          <cell r="A1" t="str">
            <v>Kategori: TÃ¼m kategoriler</v>
          </cell>
        </row>
        <row r="3">
          <cell r="A3" t="str">
            <v>Ãœlke</v>
          </cell>
          <cell r="B3" t="str">
            <v>Java: (2018)</v>
          </cell>
          <cell r="C3" t="str">
            <v>Python: (2018)</v>
          </cell>
        </row>
        <row r="4">
          <cell r="A4" t="str">
            <v>China</v>
          </cell>
          <cell r="B4">
            <v>0.37</v>
          </cell>
          <cell r="C4">
            <v>0.63</v>
          </cell>
        </row>
        <row r="5">
          <cell r="A5" t="str">
            <v>Madagascar</v>
          </cell>
        </row>
        <row r="6">
          <cell r="A6" t="str">
            <v>Bangladesh</v>
          </cell>
          <cell r="B6">
            <v>0.89</v>
          </cell>
          <cell r="C6">
            <v>0.11</v>
          </cell>
        </row>
        <row r="7">
          <cell r="A7" t="str">
            <v>St. Helena</v>
          </cell>
          <cell r="B7">
            <v>0.52</v>
          </cell>
          <cell r="C7">
            <v>0.48</v>
          </cell>
        </row>
        <row r="8">
          <cell r="A8" t="str">
            <v>Ethiopia</v>
          </cell>
        </row>
        <row r="9">
          <cell r="A9" t="str">
            <v>Eritrea</v>
          </cell>
        </row>
        <row r="10">
          <cell r="A10" t="str">
            <v>Cameroon</v>
          </cell>
        </row>
        <row r="11">
          <cell r="A11" t="str">
            <v>South Korea</v>
          </cell>
          <cell r="B11">
            <v>0.54</v>
          </cell>
          <cell r="C11">
            <v>0.46</v>
          </cell>
        </row>
        <row r="12">
          <cell r="A12" t="str">
            <v>Sierra Leone</v>
          </cell>
        </row>
        <row r="13">
          <cell r="A13" t="str">
            <v>Burundi</v>
          </cell>
        </row>
        <row r="14">
          <cell r="A14" t="str">
            <v>Togo</v>
          </cell>
        </row>
        <row r="15">
          <cell r="A15" t="str">
            <v>Benin</v>
          </cell>
        </row>
        <row r="16">
          <cell r="A16" t="str">
            <v>Singapore</v>
          </cell>
          <cell r="B16">
            <v>0.41</v>
          </cell>
          <cell r="C16">
            <v>0.59</v>
          </cell>
        </row>
        <row r="17">
          <cell r="A17" t="str">
            <v>Israel</v>
          </cell>
          <cell r="B17">
            <v>0.36</v>
          </cell>
          <cell r="C17">
            <v>0.64</v>
          </cell>
        </row>
        <row r="18">
          <cell r="A18" t="str">
            <v>India</v>
          </cell>
          <cell r="B18">
            <v>0.7</v>
          </cell>
          <cell r="C18">
            <v>0.3</v>
          </cell>
        </row>
        <row r="19">
          <cell r="A19" t="str">
            <v>Zambia</v>
          </cell>
        </row>
        <row r="20">
          <cell r="A20" t="str">
            <v>Sri Lanka</v>
          </cell>
          <cell r="B20">
            <v>0.75</v>
          </cell>
          <cell r="C20">
            <v>0.25</v>
          </cell>
        </row>
        <row r="21">
          <cell r="A21" t="str">
            <v>Malawi</v>
          </cell>
        </row>
        <row r="22">
          <cell r="A22" t="str">
            <v>Ã…land Islands</v>
          </cell>
        </row>
        <row r="23">
          <cell r="A23" t="str">
            <v>Cuba</v>
          </cell>
        </row>
        <row r="24">
          <cell r="A24" t="str">
            <v>Nigeria</v>
          </cell>
          <cell r="B24">
            <v>0.83</v>
          </cell>
          <cell r="C24">
            <v>0.17</v>
          </cell>
        </row>
        <row r="25">
          <cell r="A25" t="str">
            <v>Uganda</v>
          </cell>
        </row>
        <row r="26">
          <cell r="A26" t="str">
            <v>Congo - Kinshasa</v>
          </cell>
        </row>
        <row r="27">
          <cell r="A27" t="str">
            <v>SÃ£o TomÃ© &amp; PrÃ­ncipe</v>
          </cell>
        </row>
        <row r="28">
          <cell r="A28" t="str">
            <v>Guinea-Bissau</v>
          </cell>
        </row>
        <row r="29">
          <cell r="A29" t="str">
            <v>Congo - Brazzaville</v>
          </cell>
        </row>
        <row r="30">
          <cell r="A30" t="str">
            <v>Myanmar (Burma)</v>
          </cell>
        </row>
        <row r="31">
          <cell r="A31" t="str">
            <v>Rwanda</v>
          </cell>
        </row>
        <row r="32">
          <cell r="A32" t="str">
            <v>Burkina Faso</v>
          </cell>
        </row>
        <row r="33">
          <cell r="A33" t="str">
            <v>Mozambique</v>
          </cell>
        </row>
        <row r="34">
          <cell r="A34" t="str">
            <v>Guinea</v>
          </cell>
        </row>
        <row r="35">
          <cell r="A35" t="str">
            <v>Uzbekistan</v>
          </cell>
        </row>
        <row r="36">
          <cell r="A36" t="str">
            <v>Botswana</v>
          </cell>
        </row>
        <row r="37">
          <cell r="A37" t="str">
            <v>Luxembourg</v>
          </cell>
        </row>
        <row r="38">
          <cell r="A38" t="str">
            <v>Tunisia</v>
          </cell>
          <cell r="B38">
            <v>0.66</v>
          </cell>
          <cell r="C38">
            <v>0.34</v>
          </cell>
        </row>
        <row r="39">
          <cell r="A39" t="str">
            <v>CÃ´te dâ€™Ivoire</v>
          </cell>
        </row>
        <row r="40">
          <cell r="A40" t="str">
            <v>Niger</v>
          </cell>
        </row>
        <row r="41">
          <cell r="A41" t="str">
            <v>Iceland</v>
          </cell>
        </row>
        <row r="42">
          <cell r="A42" t="str">
            <v>Hong Kong</v>
          </cell>
          <cell r="B42">
            <v>0.46</v>
          </cell>
          <cell r="C42">
            <v>0.54</v>
          </cell>
        </row>
        <row r="43">
          <cell r="A43" t="str">
            <v>Tonga</v>
          </cell>
        </row>
        <row r="44">
          <cell r="A44" t="str">
            <v>Nepal</v>
          </cell>
        </row>
        <row r="45">
          <cell r="A45" t="str">
            <v>Estonia</v>
          </cell>
        </row>
        <row r="46">
          <cell r="A46" t="str">
            <v>Taiwan</v>
          </cell>
          <cell r="B46">
            <v>0.37</v>
          </cell>
          <cell r="C46">
            <v>0.63</v>
          </cell>
        </row>
        <row r="47">
          <cell r="A47" t="str">
            <v>Belarus</v>
          </cell>
          <cell r="B47">
            <v>0.67</v>
          </cell>
          <cell r="C47">
            <v>0.33</v>
          </cell>
        </row>
        <row r="48">
          <cell r="A48" t="str">
            <v>Pakistan</v>
          </cell>
          <cell r="B48">
            <v>0.68</v>
          </cell>
          <cell r="C48">
            <v>0.32</v>
          </cell>
        </row>
        <row r="49">
          <cell r="A49" t="str">
            <v>Switzerland</v>
          </cell>
          <cell r="B49">
            <v>0.46</v>
          </cell>
          <cell r="C49">
            <v>0.54</v>
          </cell>
        </row>
        <row r="50">
          <cell r="A50" t="str">
            <v>Central African Republic</v>
          </cell>
        </row>
        <row r="51">
          <cell r="A51" t="str">
            <v>Chad</v>
          </cell>
        </row>
        <row r="52">
          <cell r="A52" t="str">
            <v>Angola</v>
          </cell>
        </row>
        <row r="53">
          <cell r="A53" t="str">
            <v>Zimbabwe</v>
          </cell>
        </row>
        <row r="54">
          <cell r="A54" t="str">
            <v>Lesotho</v>
          </cell>
        </row>
        <row r="55">
          <cell r="A55" t="str">
            <v>Armenia</v>
          </cell>
        </row>
        <row r="56">
          <cell r="A56" t="str">
            <v>Tanzania</v>
          </cell>
        </row>
        <row r="57">
          <cell r="A57" t="str">
            <v>North Macedonia</v>
          </cell>
        </row>
        <row r="58">
          <cell r="A58" t="str">
            <v>Mauritius</v>
          </cell>
        </row>
        <row r="59">
          <cell r="A59" t="str">
            <v>Ecuador</v>
          </cell>
          <cell r="B59">
            <v>0.77</v>
          </cell>
          <cell r="C59">
            <v>0.23</v>
          </cell>
        </row>
        <row r="60">
          <cell r="A60" t="str">
            <v>United States</v>
          </cell>
          <cell r="B60">
            <v>0.44</v>
          </cell>
          <cell r="C60">
            <v>0.56000000000000005</v>
          </cell>
        </row>
        <row r="61">
          <cell r="A61" t="str">
            <v>Finland</v>
          </cell>
          <cell r="B61">
            <v>0.42</v>
          </cell>
          <cell r="C61">
            <v>0.57999999999999996</v>
          </cell>
        </row>
        <row r="62">
          <cell r="A62" t="str">
            <v>Albania</v>
          </cell>
        </row>
        <row r="63">
          <cell r="A63" t="str">
            <v>Norway</v>
          </cell>
          <cell r="B63">
            <v>0.42</v>
          </cell>
          <cell r="C63">
            <v>0.57999999999999996</v>
          </cell>
        </row>
        <row r="64">
          <cell r="A64" t="str">
            <v>Canada</v>
          </cell>
          <cell r="B64">
            <v>0.45</v>
          </cell>
          <cell r="C64">
            <v>0.55000000000000004</v>
          </cell>
        </row>
        <row r="65">
          <cell r="A65" t="str">
            <v>Germany</v>
          </cell>
          <cell r="B65">
            <v>0.54</v>
          </cell>
          <cell r="C65">
            <v>0.46</v>
          </cell>
        </row>
        <row r="66">
          <cell r="A66" t="str">
            <v>Ireland</v>
          </cell>
          <cell r="B66">
            <v>0.48</v>
          </cell>
          <cell r="C66">
            <v>0.52</v>
          </cell>
        </row>
        <row r="67">
          <cell r="A67" t="str">
            <v>Serbia</v>
          </cell>
          <cell r="B67">
            <v>0.64</v>
          </cell>
          <cell r="C67">
            <v>0.36</v>
          </cell>
        </row>
        <row r="68">
          <cell r="A68" t="str">
            <v>Mali</v>
          </cell>
        </row>
        <row r="69">
          <cell r="A69" t="str">
            <v>Eswatini</v>
          </cell>
        </row>
        <row r="70">
          <cell r="A70" t="str">
            <v>Senegal</v>
          </cell>
        </row>
        <row r="71">
          <cell r="A71" t="str">
            <v>Costa Rica</v>
          </cell>
        </row>
        <row r="72">
          <cell r="A72" t="str">
            <v>Hungary</v>
          </cell>
          <cell r="B72">
            <v>0.65</v>
          </cell>
          <cell r="C72">
            <v>0.35</v>
          </cell>
        </row>
        <row r="73">
          <cell r="A73" t="str">
            <v>Cape Verde</v>
          </cell>
        </row>
        <row r="74">
          <cell r="A74" t="str">
            <v>Netherlands</v>
          </cell>
          <cell r="B74">
            <v>0.41</v>
          </cell>
          <cell r="C74">
            <v>0.59</v>
          </cell>
        </row>
        <row r="75">
          <cell r="A75" t="str">
            <v>Sweden</v>
          </cell>
          <cell r="B75">
            <v>0.49</v>
          </cell>
          <cell r="C75">
            <v>0.51</v>
          </cell>
        </row>
        <row r="76">
          <cell r="A76" t="str">
            <v>Ghana</v>
          </cell>
        </row>
        <row r="77">
          <cell r="A77" t="str">
            <v>Bulgaria</v>
          </cell>
          <cell r="B77">
            <v>0.69</v>
          </cell>
          <cell r="C77">
            <v>0.31</v>
          </cell>
        </row>
        <row r="78">
          <cell r="A78" t="str">
            <v>Kenya</v>
          </cell>
          <cell r="B78">
            <v>0.64</v>
          </cell>
          <cell r="C78">
            <v>0.36</v>
          </cell>
        </row>
        <row r="79">
          <cell r="A79" t="str">
            <v>Gabon</v>
          </cell>
        </row>
        <row r="80">
          <cell r="A80" t="str">
            <v>Portugal</v>
          </cell>
          <cell r="B80">
            <v>0.59</v>
          </cell>
          <cell r="C80">
            <v>0.41</v>
          </cell>
        </row>
        <row r="81">
          <cell r="A81" t="str">
            <v>Papua New Guinea</v>
          </cell>
        </row>
        <row r="82">
          <cell r="A82" t="str">
            <v>Romania</v>
          </cell>
          <cell r="B82">
            <v>0.65</v>
          </cell>
          <cell r="C82">
            <v>0.35</v>
          </cell>
        </row>
        <row r="83">
          <cell r="A83" t="str">
            <v>Bhutan</v>
          </cell>
        </row>
        <row r="84">
          <cell r="A84" t="str">
            <v>Czechia</v>
          </cell>
          <cell r="B84">
            <v>0.52</v>
          </cell>
          <cell r="C84">
            <v>0.48</v>
          </cell>
        </row>
        <row r="85">
          <cell r="A85" t="str">
            <v>Austria</v>
          </cell>
          <cell r="B85">
            <v>0.55000000000000004</v>
          </cell>
          <cell r="C85">
            <v>0.45</v>
          </cell>
        </row>
        <row r="86">
          <cell r="A86" t="str">
            <v>Latvia</v>
          </cell>
        </row>
        <row r="87">
          <cell r="A87" t="str">
            <v>New Zealand</v>
          </cell>
          <cell r="B87">
            <v>0.41</v>
          </cell>
          <cell r="C87">
            <v>0.59</v>
          </cell>
        </row>
        <row r="88">
          <cell r="A88" t="str">
            <v>Gibraltar</v>
          </cell>
        </row>
        <row r="89">
          <cell r="A89" t="str">
            <v>Mongolia</v>
          </cell>
        </row>
        <row r="90">
          <cell r="A90" t="str">
            <v>Afghanistan</v>
          </cell>
        </row>
        <row r="91">
          <cell r="A91" t="str">
            <v>Kosovo</v>
          </cell>
        </row>
        <row r="92">
          <cell r="A92" t="str">
            <v>Moldova</v>
          </cell>
        </row>
        <row r="93">
          <cell r="A93" t="str">
            <v>Equatorial Guinea</v>
          </cell>
        </row>
        <row r="94">
          <cell r="A94" t="str">
            <v>Liechtenstein</v>
          </cell>
        </row>
        <row r="95">
          <cell r="A95" t="str">
            <v>Slovenia</v>
          </cell>
        </row>
        <row r="96">
          <cell r="A96" t="str">
            <v>Cambodia</v>
          </cell>
        </row>
        <row r="97">
          <cell r="A97" t="str">
            <v>Sudan</v>
          </cell>
        </row>
        <row r="98">
          <cell r="A98" t="str">
            <v>El Salvador</v>
          </cell>
        </row>
        <row r="99">
          <cell r="A99" t="str">
            <v>Palestine</v>
          </cell>
        </row>
        <row r="100">
          <cell r="A100" t="str">
            <v>Poland</v>
          </cell>
          <cell r="B100">
            <v>0.61</v>
          </cell>
          <cell r="C100">
            <v>0.39</v>
          </cell>
        </row>
        <row r="101">
          <cell r="A101" t="str">
            <v>Philippines</v>
          </cell>
          <cell r="B101">
            <v>0.68</v>
          </cell>
          <cell r="C101">
            <v>0.32</v>
          </cell>
        </row>
        <row r="102">
          <cell r="A102" t="str">
            <v>Japan</v>
          </cell>
          <cell r="B102">
            <v>0.51</v>
          </cell>
          <cell r="C102">
            <v>0.49</v>
          </cell>
        </row>
        <row r="103">
          <cell r="A103" t="str">
            <v>Vietnam</v>
          </cell>
          <cell r="B103">
            <v>0.76</v>
          </cell>
          <cell r="C103">
            <v>0.24</v>
          </cell>
        </row>
        <row r="104">
          <cell r="A104" t="str">
            <v>Ukraine</v>
          </cell>
          <cell r="B104">
            <v>0.61</v>
          </cell>
          <cell r="C104">
            <v>0.39</v>
          </cell>
        </row>
        <row r="105">
          <cell r="A105" t="str">
            <v>Australia</v>
          </cell>
          <cell r="B105">
            <v>0.41</v>
          </cell>
          <cell r="C105">
            <v>0.59</v>
          </cell>
        </row>
        <row r="106">
          <cell r="A106" t="str">
            <v>Laos</v>
          </cell>
        </row>
        <row r="107">
          <cell r="A107" t="str">
            <v>Denmark</v>
          </cell>
          <cell r="B107">
            <v>0.46</v>
          </cell>
          <cell r="C107">
            <v>0.54</v>
          </cell>
        </row>
        <row r="108">
          <cell r="A108" t="str">
            <v>Colombia</v>
          </cell>
          <cell r="B108">
            <v>0.7</v>
          </cell>
          <cell r="C108">
            <v>0.3</v>
          </cell>
        </row>
        <row r="109">
          <cell r="A109" t="str">
            <v>Macao</v>
          </cell>
        </row>
        <row r="110">
          <cell r="A110" t="str">
            <v>Namibia</v>
          </cell>
        </row>
        <row r="111">
          <cell r="A111" t="str">
            <v>Lithuania</v>
          </cell>
        </row>
        <row r="112">
          <cell r="A112" t="str">
            <v>United Kingdom</v>
          </cell>
          <cell r="B112">
            <v>0.38</v>
          </cell>
          <cell r="C112">
            <v>0.62</v>
          </cell>
        </row>
        <row r="113">
          <cell r="A113" t="str">
            <v>Guatemala</v>
          </cell>
        </row>
        <row r="114">
          <cell r="A114" t="str">
            <v>Lebanon</v>
          </cell>
        </row>
        <row r="115">
          <cell r="A115" t="str">
            <v>Bolivia</v>
          </cell>
        </row>
        <row r="116">
          <cell r="A116" t="str">
            <v>Malta</v>
          </cell>
        </row>
        <row r="117">
          <cell r="A117" t="str">
            <v>Andorra</v>
          </cell>
        </row>
        <row r="118">
          <cell r="A118" t="str">
            <v>Gambia</v>
          </cell>
        </row>
        <row r="119">
          <cell r="A119" t="str">
            <v>Spain</v>
          </cell>
          <cell r="B119">
            <v>0.62</v>
          </cell>
          <cell r="C119">
            <v>0.38</v>
          </cell>
        </row>
        <row r="120">
          <cell r="A120" t="str">
            <v>Morocco</v>
          </cell>
          <cell r="B120">
            <v>0.65</v>
          </cell>
          <cell r="C120">
            <v>0.35</v>
          </cell>
        </row>
        <row r="121">
          <cell r="A121" t="str">
            <v>Liberia</v>
          </cell>
        </row>
        <row r="122">
          <cell r="A122" t="str">
            <v>Mexico</v>
          </cell>
          <cell r="B122">
            <v>0.76</v>
          </cell>
          <cell r="C122">
            <v>0.24</v>
          </cell>
        </row>
        <row r="123">
          <cell r="A123" t="str">
            <v>Uruguay</v>
          </cell>
        </row>
        <row r="124">
          <cell r="A124" t="str">
            <v>Russia</v>
          </cell>
          <cell r="B124">
            <v>0.47</v>
          </cell>
          <cell r="C124">
            <v>0.53</v>
          </cell>
        </row>
        <row r="125">
          <cell r="A125" t="str">
            <v>Peru</v>
          </cell>
          <cell r="B125">
            <v>0.75</v>
          </cell>
          <cell r="C125">
            <v>0.25</v>
          </cell>
        </row>
        <row r="126">
          <cell r="A126" t="str">
            <v>Belgium</v>
          </cell>
          <cell r="B126">
            <v>0.51</v>
          </cell>
          <cell r="C126">
            <v>0.49</v>
          </cell>
        </row>
        <row r="127">
          <cell r="A127" t="str">
            <v>Cyprus</v>
          </cell>
        </row>
        <row r="128">
          <cell r="A128" t="str">
            <v>Croatia</v>
          </cell>
          <cell r="B128">
            <v>0.55000000000000004</v>
          </cell>
          <cell r="C128">
            <v>0.45</v>
          </cell>
        </row>
        <row r="129">
          <cell r="A129" t="str">
            <v>Mauritania</v>
          </cell>
        </row>
        <row r="130">
          <cell r="A130" t="str">
            <v>South Africa</v>
          </cell>
          <cell r="B130">
            <v>0.56999999999999995</v>
          </cell>
          <cell r="C130">
            <v>0.43</v>
          </cell>
        </row>
        <row r="131">
          <cell r="A131" t="str">
            <v>Slovakia</v>
          </cell>
          <cell r="B131">
            <v>0.57999999999999996</v>
          </cell>
          <cell r="C131">
            <v>0.42</v>
          </cell>
        </row>
        <row r="132">
          <cell r="A132" t="str">
            <v>France</v>
          </cell>
          <cell r="B132">
            <v>0.46</v>
          </cell>
          <cell r="C132">
            <v>0.54</v>
          </cell>
        </row>
        <row r="133">
          <cell r="A133" t="str">
            <v>Kyrgyzstan</v>
          </cell>
        </row>
        <row r="134">
          <cell r="A134" t="str">
            <v>Haiti</v>
          </cell>
        </row>
        <row r="135">
          <cell r="A135" t="str">
            <v>Bosnia &amp; Herzegovina</v>
          </cell>
        </row>
        <row r="136">
          <cell r="A136" t="str">
            <v>Kazakhstan</v>
          </cell>
          <cell r="B136">
            <v>0.61</v>
          </cell>
          <cell r="C136">
            <v>0.39</v>
          </cell>
        </row>
        <row r="137">
          <cell r="A137" t="str">
            <v>South Sudan</v>
          </cell>
        </row>
        <row r="138">
          <cell r="A138" t="str">
            <v>Dominica</v>
          </cell>
        </row>
        <row r="139">
          <cell r="A139" t="str">
            <v>Algeria</v>
          </cell>
          <cell r="B139">
            <v>0.69</v>
          </cell>
          <cell r="C139">
            <v>0.31</v>
          </cell>
        </row>
        <row r="140">
          <cell r="A140" t="str">
            <v>Somalia</v>
          </cell>
        </row>
        <row r="141">
          <cell r="A141" t="str">
            <v>Comoros</v>
          </cell>
        </row>
        <row r="142">
          <cell r="A142" t="str">
            <v>Timor-Leste</v>
          </cell>
        </row>
        <row r="143">
          <cell r="A143" t="str">
            <v>Paraguay</v>
          </cell>
        </row>
        <row r="144">
          <cell r="A144" t="str">
            <v>Azerbaijan</v>
          </cell>
        </row>
        <row r="145">
          <cell r="A145" t="str">
            <v>Jordan</v>
          </cell>
        </row>
        <row r="146">
          <cell r="A146" t="str">
            <v>Vanuatu</v>
          </cell>
        </row>
        <row r="147">
          <cell r="A147" t="str">
            <v>Brazil</v>
          </cell>
          <cell r="B147">
            <v>0.67</v>
          </cell>
          <cell r="C147">
            <v>0.33</v>
          </cell>
        </row>
        <row r="148">
          <cell r="A148" t="str">
            <v>United Arab Emirates</v>
          </cell>
          <cell r="B148">
            <v>0.54</v>
          </cell>
          <cell r="C148">
            <v>0.46</v>
          </cell>
        </row>
        <row r="149">
          <cell r="A149" t="str">
            <v>Honduras</v>
          </cell>
        </row>
        <row r="150">
          <cell r="A150" t="str">
            <v>Monaco</v>
          </cell>
        </row>
        <row r="151">
          <cell r="A151" t="str">
            <v>Syria</v>
          </cell>
        </row>
        <row r="152">
          <cell r="A152" t="str">
            <v>Malaysia</v>
          </cell>
          <cell r="B152">
            <v>0.59</v>
          </cell>
          <cell r="C152">
            <v>0.41</v>
          </cell>
        </row>
        <row r="153">
          <cell r="A153" t="str">
            <v>Indonesia</v>
          </cell>
          <cell r="B153">
            <v>0.77</v>
          </cell>
          <cell r="C153">
            <v>0.23</v>
          </cell>
        </row>
        <row r="154">
          <cell r="A154" t="str">
            <v>San Marino</v>
          </cell>
        </row>
        <row r="155">
          <cell r="A155" t="str">
            <v>New Caledonia</v>
          </cell>
        </row>
        <row r="156">
          <cell r="A156" t="str">
            <v>Fiji</v>
          </cell>
        </row>
        <row r="157">
          <cell r="A157" t="str">
            <v>Greece</v>
          </cell>
          <cell r="B157">
            <v>0.52</v>
          </cell>
          <cell r="C157">
            <v>0.48</v>
          </cell>
        </row>
        <row r="158">
          <cell r="A158" t="str">
            <v>Montenegro</v>
          </cell>
        </row>
        <row r="159">
          <cell r="A159" t="str">
            <v>Iran</v>
          </cell>
          <cell r="B159">
            <v>0.59</v>
          </cell>
          <cell r="C159">
            <v>0.41</v>
          </cell>
        </row>
        <row r="160">
          <cell r="A160" t="str">
            <v>Maldives</v>
          </cell>
        </row>
        <row r="161">
          <cell r="A161" t="str">
            <v>Nicaragua</v>
          </cell>
        </row>
        <row r="162">
          <cell r="A162" t="str">
            <v>Djibouti</v>
          </cell>
        </row>
        <row r="163">
          <cell r="A163" t="str">
            <v>Western Sahara</v>
          </cell>
        </row>
        <row r="164">
          <cell r="A164" t="str">
            <v>Seychelles</v>
          </cell>
        </row>
        <row r="165">
          <cell r="A165" t="str">
            <v>Chile</v>
          </cell>
          <cell r="B165">
            <v>0.53</v>
          </cell>
          <cell r="C165">
            <v>0.47</v>
          </cell>
        </row>
        <row r="166">
          <cell r="A166" t="str">
            <v>Italy</v>
          </cell>
          <cell r="B166">
            <v>0.62</v>
          </cell>
          <cell r="C166">
            <v>0.38</v>
          </cell>
        </row>
        <row r="167">
          <cell r="A167" t="str">
            <v>Brunei</v>
          </cell>
        </row>
        <row r="168">
          <cell r="A168" t="str">
            <v>Yemen</v>
          </cell>
        </row>
        <row r="169">
          <cell r="A169" t="str">
            <v>Faroe Islands</v>
          </cell>
        </row>
        <row r="170">
          <cell r="A170" t="str">
            <v>French Polynesia</v>
          </cell>
        </row>
        <row r="171">
          <cell r="A171" t="str">
            <v>Egypt</v>
          </cell>
          <cell r="B171">
            <v>0.59</v>
          </cell>
          <cell r="C171">
            <v>0.41</v>
          </cell>
        </row>
        <row r="172">
          <cell r="A172" t="str">
            <v>Venezuela</v>
          </cell>
        </row>
        <row r="173">
          <cell r="A173" t="str">
            <v>Bermuda</v>
          </cell>
        </row>
        <row r="174">
          <cell r="A174" t="str">
            <v>Bahrain</v>
          </cell>
        </row>
        <row r="175">
          <cell r="A175" t="str">
            <v>U.S. Virgin Islands</v>
          </cell>
        </row>
        <row r="176">
          <cell r="A176" t="str">
            <v>Turkmenistan</v>
          </cell>
        </row>
        <row r="177">
          <cell r="A177" t="str">
            <v>Cayman Islands</v>
          </cell>
        </row>
        <row r="178">
          <cell r="A178" t="str">
            <v>Oman</v>
          </cell>
        </row>
        <row r="179">
          <cell r="A179" t="str">
            <v>Panama</v>
          </cell>
        </row>
        <row r="180">
          <cell r="A180" t="str">
            <v>Jersey</v>
          </cell>
        </row>
        <row r="181">
          <cell r="A181" t="str">
            <v>Jamaica</v>
          </cell>
        </row>
        <row r="182">
          <cell r="A182" t="str">
            <v>Argentina</v>
          </cell>
          <cell r="B182">
            <v>0.64</v>
          </cell>
          <cell r="C182">
            <v>0.36</v>
          </cell>
        </row>
        <row r="183">
          <cell r="A183" t="str">
            <v>Tajikistan</v>
          </cell>
        </row>
        <row r="184">
          <cell r="A184" t="str">
            <v>Turkey</v>
          </cell>
          <cell r="B184">
            <v>0.65</v>
          </cell>
          <cell r="C184">
            <v>0.35</v>
          </cell>
        </row>
        <row r="185">
          <cell r="A185" t="str">
            <v>Isle of Man</v>
          </cell>
        </row>
        <row r="186">
          <cell r="A186" t="str">
            <v>Suriname</v>
          </cell>
        </row>
        <row r="187">
          <cell r="A187" t="str">
            <v>Qatar</v>
          </cell>
        </row>
        <row r="188">
          <cell r="A188" t="str">
            <v>Guernsey</v>
          </cell>
        </row>
        <row r="189">
          <cell r="A189" t="str">
            <v>Georgia</v>
          </cell>
        </row>
        <row r="190">
          <cell r="A190" t="str">
            <v>Libya</v>
          </cell>
        </row>
        <row r="191">
          <cell r="A191" t="str">
            <v>Barbados</v>
          </cell>
        </row>
        <row r="192">
          <cell r="A192" t="str">
            <v>Northern Mariana Islands</v>
          </cell>
        </row>
        <row r="193">
          <cell r="A193" t="str">
            <v>Saudi Arabia</v>
          </cell>
          <cell r="B193">
            <v>0.66</v>
          </cell>
          <cell r="C193">
            <v>0.34</v>
          </cell>
        </row>
        <row r="194">
          <cell r="A194" t="str">
            <v>Thailand</v>
          </cell>
          <cell r="B194">
            <v>0.56000000000000005</v>
          </cell>
          <cell r="C194">
            <v>0.44</v>
          </cell>
        </row>
        <row r="195">
          <cell r="A195" t="str">
            <v>French Guiana</v>
          </cell>
        </row>
        <row r="196">
          <cell r="A196" t="str">
            <v>Samoa</v>
          </cell>
        </row>
        <row r="197">
          <cell r="A197" t="str">
            <v>Dominican Republic</v>
          </cell>
        </row>
        <row r="198">
          <cell r="A198" t="str">
            <v>St. Kitts &amp; Nevis</v>
          </cell>
        </row>
        <row r="199">
          <cell r="A199" t="str">
            <v>Mayotte</v>
          </cell>
        </row>
        <row r="200">
          <cell r="A200" t="str">
            <v>RÃ©union</v>
          </cell>
        </row>
        <row r="201">
          <cell r="A201" t="str">
            <v>Greenland</v>
          </cell>
        </row>
        <row r="202">
          <cell r="A202" t="str">
            <v>CuraÃ§ao</v>
          </cell>
        </row>
        <row r="203">
          <cell r="A203" t="str">
            <v>Puerto Rico</v>
          </cell>
        </row>
        <row r="204">
          <cell r="A204" t="str">
            <v>Trinidad &amp; Tobago</v>
          </cell>
        </row>
        <row r="205">
          <cell r="A205" t="str">
            <v>Solomon Islands</v>
          </cell>
        </row>
        <row r="206">
          <cell r="A206" t="str">
            <v>Guam</v>
          </cell>
        </row>
        <row r="207">
          <cell r="A207" t="str">
            <v>Iraq</v>
          </cell>
        </row>
        <row r="208">
          <cell r="A208" t="str">
            <v>Kuwait</v>
          </cell>
        </row>
        <row r="209">
          <cell r="A209" t="str">
            <v>Antigua &amp; Barbuda</v>
          </cell>
        </row>
        <row r="210">
          <cell r="A210" t="str">
            <v>Guadeloupe</v>
          </cell>
        </row>
        <row r="211">
          <cell r="A211" t="str">
            <v>Guyana</v>
          </cell>
        </row>
        <row r="212">
          <cell r="A212" t="str">
            <v>Belize</v>
          </cell>
        </row>
        <row r="213">
          <cell r="A213" t="str">
            <v>Grenada</v>
          </cell>
        </row>
        <row r="214">
          <cell r="A214" t="str">
            <v>Aruba</v>
          </cell>
        </row>
        <row r="215">
          <cell r="A215" t="str">
            <v>Bahamas</v>
          </cell>
        </row>
        <row r="216">
          <cell r="A216" t="str">
            <v>Martinique</v>
          </cell>
        </row>
        <row r="217">
          <cell r="A217" t="str">
            <v>St. Lucia</v>
          </cell>
        </row>
        <row r="218">
          <cell r="A218" t="str">
            <v>Caribbean Netherlands</v>
          </cell>
        </row>
        <row r="219">
          <cell r="A219" t="str">
            <v>North Korea</v>
          </cell>
        </row>
        <row r="220">
          <cell r="A220" t="str">
            <v>Falkland Islands (Islas Malvinas)</v>
          </cell>
        </row>
        <row r="221">
          <cell r="A221" t="str">
            <v>Cook Islands</v>
          </cell>
        </row>
        <row r="222">
          <cell r="A222" t="str">
            <v>Micronesia</v>
          </cell>
        </row>
        <row r="223">
          <cell r="A223" t="str">
            <v>St. Pierre &amp; Miquelon</v>
          </cell>
        </row>
        <row r="224">
          <cell r="A224" t="str">
            <v>American Samoa</v>
          </cell>
        </row>
        <row r="225">
          <cell r="A225" t="str">
            <v>Anguilla</v>
          </cell>
        </row>
        <row r="226">
          <cell r="A226" t="str">
            <v>British Virgin Islands</v>
          </cell>
        </row>
        <row r="227">
          <cell r="A227" t="str">
            <v>St. BarthÃ©lemy</v>
          </cell>
        </row>
        <row r="228">
          <cell r="A228" t="str">
            <v>St. Martin</v>
          </cell>
        </row>
        <row r="229">
          <cell r="A229" t="str">
            <v>Palau</v>
          </cell>
        </row>
        <row r="230">
          <cell r="A230" t="str">
            <v>St. Vincent &amp; Grenadines</v>
          </cell>
        </row>
        <row r="231">
          <cell r="A231" t="str">
            <v>Turks &amp; Caicos Islands</v>
          </cell>
        </row>
        <row r="232">
          <cell r="A232" t="str">
            <v>Sint Maarten</v>
          </cell>
        </row>
        <row r="233">
          <cell r="A233" t="str">
            <v>Antarctica</v>
          </cell>
        </row>
        <row r="234">
          <cell r="A234" t="str">
            <v>French Southern Territories</v>
          </cell>
        </row>
        <row r="235">
          <cell r="A235" t="str">
            <v>Bouvet Island</v>
          </cell>
        </row>
        <row r="236">
          <cell r="A236" t="str">
            <v>Cocos (Keeling) Islands</v>
          </cell>
        </row>
        <row r="237">
          <cell r="A237" t="str">
            <v>Christmas Island</v>
          </cell>
        </row>
        <row r="238">
          <cell r="A238" t="str">
            <v>Heard &amp; McDonald Islands</v>
          </cell>
        </row>
        <row r="239">
          <cell r="A239" t="str">
            <v>British Indian Ocean Territory</v>
          </cell>
        </row>
        <row r="240">
          <cell r="A240" t="str">
            <v>Kiribati</v>
          </cell>
        </row>
        <row r="241">
          <cell r="A241" t="str">
            <v>Marshall Islands</v>
          </cell>
        </row>
        <row r="242">
          <cell r="A242" t="str">
            <v>Montserrat</v>
          </cell>
        </row>
        <row r="243">
          <cell r="A243" t="str">
            <v>Norfolk Island</v>
          </cell>
        </row>
        <row r="244">
          <cell r="A244" t="str">
            <v>Niue</v>
          </cell>
        </row>
        <row r="245">
          <cell r="A245" t="str">
            <v>Nauru</v>
          </cell>
        </row>
        <row r="246">
          <cell r="A246" t="str">
            <v>Pitcairn Islands</v>
          </cell>
        </row>
        <row r="247">
          <cell r="A247" t="str">
            <v>South Georgia &amp; South Sandwich Islands</v>
          </cell>
        </row>
        <row r="248">
          <cell r="A248" t="str">
            <v>Svalbard &amp; Jan Mayen</v>
          </cell>
        </row>
        <row r="249">
          <cell r="A249" t="str">
            <v>Tokelau</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2)"/>
    </sheetNames>
    <sheetDataSet>
      <sheetData sheetId="0" refreshError="1">
        <row r="1">
          <cell r="A1" t="str">
            <v>Kategori: TÃ¼m kategoriler</v>
          </cell>
        </row>
        <row r="3">
          <cell r="A3" t="str">
            <v>Ãœlke</v>
          </cell>
          <cell r="B3" t="str">
            <v>Python: (2018)</v>
          </cell>
          <cell r="C3" t="str">
            <v>JavaScript: (2018)</v>
          </cell>
        </row>
        <row r="4">
          <cell r="A4" t="str">
            <v>China</v>
          </cell>
          <cell r="B4">
            <v>0.66</v>
          </cell>
          <cell r="C4">
            <v>0.34</v>
          </cell>
        </row>
        <row r="5">
          <cell r="A5" t="str">
            <v>St. Helena</v>
          </cell>
          <cell r="B5">
            <v>0.6</v>
          </cell>
          <cell r="C5">
            <v>0.4</v>
          </cell>
        </row>
        <row r="6">
          <cell r="A6" t="str">
            <v>South Korea</v>
          </cell>
          <cell r="B6">
            <v>0.54</v>
          </cell>
          <cell r="C6">
            <v>0.46</v>
          </cell>
        </row>
        <row r="7">
          <cell r="A7" t="str">
            <v>Armenia</v>
          </cell>
        </row>
        <row r="8">
          <cell r="A8" t="str">
            <v>Singapore</v>
          </cell>
          <cell r="B8">
            <v>0.64</v>
          </cell>
          <cell r="C8">
            <v>0.36</v>
          </cell>
        </row>
        <row r="9">
          <cell r="A9" t="str">
            <v>Israel</v>
          </cell>
          <cell r="B9">
            <v>0.6</v>
          </cell>
          <cell r="C9">
            <v>0.4</v>
          </cell>
        </row>
        <row r="10">
          <cell r="A10" t="str">
            <v>Cuba</v>
          </cell>
        </row>
        <row r="11">
          <cell r="A11" t="str">
            <v>Madagascar</v>
          </cell>
        </row>
        <row r="12">
          <cell r="A12" t="str">
            <v>Estonia</v>
          </cell>
        </row>
        <row r="13">
          <cell r="A13" t="str">
            <v>Iceland</v>
          </cell>
        </row>
        <row r="14">
          <cell r="A14" t="str">
            <v>Belarus</v>
          </cell>
          <cell r="B14">
            <v>0.3</v>
          </cell>
          <cell r="C14">
            <v>0.7</v>
          </cell>
        </row>
        <row r="15">
          <cell r="A15" t="str">
            <v>Hong Kong</v>
          </cell>
          <cell r="B15">
            <v>0.54</v>
          </cell>
          <cell r="C15">
            <v>0.46</v>
          </cell>
        </row>
        <row r="16">
          <cell r="A16" t="str">
            <v>Nepal</v>
          </cell>
        </row>
        <row r="17">
          <cell r="A17" t="str">
            <v>Taiwan</v>
          </cell>
          <cell r="B17">
            <v>0.6</v>
          </cell>
          <cell r="C17">
            <v>0.4</v>
          </cell>
        </row>
        <row r="18">
          <cell r="A18" t="str">
            <v>Myanmar (Burma)</v>
          </cell>
        </row>
        <row r="19">
          <cell r="A19" t="str">
            <v>North Macedonia</v>
          </cell>
        </row>
        <row r="20">
          <cell r="A20" t="str">
            <v>Switzerland</v>
          </cell>
          <cell r="B20">
            <v>0.59</v>
          </cell>
          <cell r="C20">
            <v>0.41</v>
          </cell>
        </row>
        <row r="21">
          <cell r="A21" t="str">
            <v>Gibraltar</v>
          </cell>
        </row>
        <row r="22">
          <cell r="A22" t="str">
            <v>Ukraine</v>
          </cell>
          <cell r="B22">
            <v>0.31</v>
          </cell>
          <cell r="C22">
            <v>0.69</v>
          </cell>
        </row>
        <row r="23">
          <cell r="A23" t="str">
            <v>Luxembourg</v>
          </cell>
        </row>
        <row r="24">
          <cell r="A24" t="str">
            <v>India</v>
          </cell>
          <cell r="B24">
            <v>0.47</v>
          </cell>
          <cell r="C24">
            <v>0.53</v>
          </cell>
        </row>
        <row r="25">
          <cell r="A25" t="str">
            <v>Serbia</v>
          </cell>
          <cell r="B25">
            <v>0.33</v>
          </cell>
          <cell r="C25">
            <v>0.67</v>
          </cell>
        </row>
        <row r="26">
          <cell r="A26" t="str">
            <v>Sri Lanka</v>
          </cell>
          <cell r="B26">
            <v>0.4</v>
          </cell>
          <cell r="C26">
            <v>0.6</v>
          </cell>
        </row>
        <row r="27">
          <cell r="A27" t="str">
            <v>Faroe Islands</v>
          </cell>
        </row>
        <row r="28">
          <cell r="A28" t="str">
            <v>Tunisia</v>
          </cell>
          <cell r="B28">
            <v>0.41</v>
          </cell>
          <cell r="C28">
            <v>0.59</v>
          </cell>
        </row>
        <row r="29">
          <cell r="A29" t="str">
            <v>Malta</v>
          </cell>
        </row>
        <row r="30">
          <cell r="A30" t="str">
            <v>United States</v>
          </cell>
          <cell r="B30">
            <v>0.6</v>
          </cell>
          <cell r="C30">
            <v>0.4</v>
          </cell>
        </row>
        <row r="31">
          <cell r="A31" t="str">
            <v>Finland</v>
          </cell>
          <cell r="B31">
            <v>0.51</v>
          </cell>
          <cell r="C31">
            <v>0.49</v>
          </cell>
        </row>
        <row r="32">
          <cell r="A32" t="str">
            <v>Norway</v>
          </cell>
          <cell r="B32">
            <v>0.55000000000000004</v>
          </cell>
          <cell r="C32">
            <v>0.45</v>
          </cell>
        </row>
        <row r="33">
          <cell r="A33" t="str">
            <v>Bulgaria</v>
          </cell>
          <cell r="B33">
            <v>0.28999999999999998</v>
          </cell>
          <cell r="C33">
            <v>0.71</v>
          </cell>
        </row>
        <row r="34">
          <cell r="A34" t="str">
            <v>Lithuania</v>
          </cell>
        </row>
        <row r="35">
          <cell r="A35" t="str">
            <v>Canada</v>
          </cell>
          <cell r="B35">
            <v>0.54</v>
          </cell>
          <cell r="C35">
            <v>0.46</v>
          </cell>
        </row>
        <row r="36">
          <cell r="A36" t="str">
            <v>Ireland</v>
          </cell>
          <cell r="B36">
            <v>0.56999999999999995</v>
          </cell>
          <cell r="C36">
            <v>0.43</v>
          </cell>
        </row>
        <row r="37">
          <cell r="A37" t="str">
            <v>Latvia</v>
          </cell>
        </row>
        <row r="38">
          <cell r="A38" t="str">
            <v>Netherlands</v>
          </cell>
          <cell r="B38">
            <v>0.53</v>
          </cell>
          <cell r="C38">
            <v>0.47</v>
          </cell>
        </row>
        <row r="39">
          <cell r="A39" t="str">
            <v>Sweden</v>
          </cell>
          <cell r="B39">
            <v>0.5</v>
          </cell>
          <cell r="C39">
            <v>0.5</v>
          </cell>
        </row>
        <row r="40">
          <cell r="A40" t="str">
            <v>New Zealand</v>
          </cell>
          <cell r="B40">
            <v>0.48</v>
          </cell>
          <cell r="C40">
            <v>0.52</v>
          </cell>
        </row>
        <row r="41">
          <cell r="A41" t="str">
            <v>Ã…land Islands</v>
          </cell>
        </row>
        <row r="42">
          <cell r="A42" t="str">
            <v>San Marino</v>
          </cell>
        </row>
        <row r="43">
          <cell r="A43" t="str">
            <v>Moldova</v>
          </cell>
        </row>
        <row r="44">
          <cell r="A44" t="str">
            <v>Pakistan</v>
          </cell>
          <cell r="B44">
            <v>0.4</v>
          </cell>
          <cell r="C44">
            <v>0.6</v>
          </cell>
        </row>
        <row r="45">
          <cell r="A45" t="str">
            <v>Czechia</v>
          </cell>
          <cell r="B45">
            <v>0.47</v>
          </cell>
          <cell r="C45">
            <v>0.53</v>
          </cell>
        </row>
        <row r="46">
          <cell r="A46" t="str">
            <v>Slovenia</v>
          </cell>
          <cell r="B46">
            <v>0.51</v>
          </cell>
          <cell r="C46">
            <v>0.49</v>
          </cell>
        </row>
        <row r="47">
          <cell r="A47" t="str">
            <v>Portugal</v>
          </cell>
          <cell r="B47">
            <v>0.43</v>
          </cell>
          <cell r="C47">
            <v>0.56999999999999995</v>
          </cell>
        </row>
        <row r="48">
          <cell r="A48" t="str">
            <v>Germany</v>
          </cell>
          <cell r="B48">
            <v>0.55000000000000004</v>
          </cell>
          <cell r="C48">
            <v>0.45</v>
          </cell>
        </row>
        <row r="49">
          <cell r="A49" t="str">
            <v>Rwanda</v>
          </cell>
        </row>
        <row r="50">
          <cell r="A50" t="str">
            <v>Australia</v>
          </cell>
          <cell r="B50">
            <v>0.54</v>
          </cell>
          <cell r="C50">
            <v>0.46</v>
          </cell>
        </row>
        <row r="51">
          <cell r="A51" t="str">
            <v>Philippines</v>
          </cell>
          <cell r="B51">
            <v>0.33</v>
          </cell>
          <cell r="C51">
            <v>0.67</v>
          </cell>
        </row>
        <row r="52">
          <cell r="A52" t="str">
            <v>Cyprus</v>
          </cell>
        </row>
        <row r="53">
          <cell r="A53" t="str">
            <v>Denmark</v>
          </cell>
          <cell r="B53">
            <v>0.51</v>
          </cell>
          <cell r="C53">
            <v>0.49</v>
          </cell>
        </row>
        <row r="54">
          <cell r="A54" t="str">
            <v>Macao</v>
          </cell>
        </row>
        <row r="55">
          <cell r="A55" t="str">
            <v>Togo</v>
          </cell>
        </row>
        <row r="56">
          <cell r="A56" t="str">
            <v>United Kingdom</v>
          </cell>
          <cell r="B56">
            <v>0.56000000000000005</v>
          </cell>
          <cell r="C56">
            <v>0.44</v>
          </cell>
        </row>
        <row r="57">
          <cell r="A57" t="str">
            <v>Japan</v>
          </cell>
          <cell r="B57">
            <v>0.52</v>
          </cell>
          <cell r="C57">
            <v>0.48</v>
          </cell>
        </row>
        <row r="58">
          <cell r="A58" t="str">
            <v>Russia</v>
          </cell>
          <cell r="B58">
            <v>0.48</v>
          </cell>
          <cell r="C58">
            <v>0.52</v>
          </cell>
        </row>
        <row r="59">
          <cell r="A59" t="str">
            <v>Benin</v>
          </cell>
        </row>
        <row r="60">
          <cell r="A60" t="str">
            <v>Cambodia</v>
          </cell>
        </row>
        <row r="61">
          <cell r="A61" t="str">
            <v>Romania</v>
          </cell>
          <cell r="B61">
            <v>0.38</v>
          </cell>
          <cell r="C61">
            <v>0.62</v>
          </cell>
        </row>
        <row r="62">
          <cell r="A62" t="str">
            <v>Zimbabwe</v>
          </cell>
        </row>
        <row r="63">
          <cell r="A63" t="str">
            <v>Mongolia</v>
          </cell>
        </row>
        <row r="64">
          <cell r="A64" t="str">
            <v>Kosovo</v>
          </cell>
        </row>
        <row r="65">
          <cell r="A65" t="str">
            <v>Costa Rica</v>
          </cell>
        </row>
        <row r="66">
          <cell r="A66" t="str">
            <v>Ethiopia</v>
          </cell>
        </row>
        <row r="67">
          <cell r="A67" t="str">
            <v>Cape Verde</v>
          </cell>
        </row>
        <row r="68">
          <cell r="A68" t="str">
            <v>Austria</v>
          </cell>
          <cell r="B68">
            <v>0.51</v>
          </cell>
          <cell r="C68">
            <v>0.49</v>
          </cell>
        </row>
        <row r="69">
          <cell r="A69" t="str">
            <v>Cameroon</v>
          </cell>
        </row>
        <row r="70">
          <cell r="A70" t="str">
            <v>Bangladesh</v>
          </cell>
          <cell r="B70">
            <v>0.39</v>
          </cell>
          <cell r="C70">
            <v>0.61</v>
          </cell>
        </row>
        <row r="71">
          <cell r="A71" t="str">
            <v>Mauritius</v>
          </cell>
        </row>
        <row r="72">
          <cell r="A72" t="str">
            <v>Albania</v>
          </cell>
        </row>
        <row r="73">
          <cell r="A73" t="str">
            <v>Botswana</v>
          </cell>
        </row>
        <row r="74">
          <cell r="A74" t="str">
            <v>Belgium</v>
          </cell>
          <cell r="B74">
            <v>0.51</v>
          </cell>
          <cell r="C74">
            <v>0.49</v>
          </cell>
        </row>
        <row r="75">
          <cell r="A75" t="str">
            <v>France</v>
          </cell>
          <cell r="B75">
            <v>0.53</v>
          </cell>
          <cell r="C75">
            <v>0.47</v>
          </cell>
        </row>
        <row r="76">
          <cell r="A76" t="str">
            <v>Monaco</v>
          </cell>
        </row>
        <row r="77">
          <cell r="A77" t="str">
            <v>Poland</v>
          </cell>
          <cell r="B77">
            <v>0.44</v>
          </cell>
          <cell r="C77">
            <v>0.56000000000000005</v>
          </cell>
        </row>
        <row r="78">
          <cell r="A78" t="str">
            <v>Hungary</v>
          </cell>
          <cell r="B78">
            <v>0.43</v>
          </cell>
          <cell r="C78">
            <v>0.56999999999999995</v>
          </cell>
        </row>
        <row r="79">
          <cell r="A79" t="str">
            <v>Liechtenstein</v>
          </cell>
        </row>
        <row r="80">
          <cell r="A80" t="str">
            <v>Slovakia</v>
          </cell>
          <cell r="B80">
            <v>0.44</v>
          </cell>
          <cell r="C80">
            <v>0.56000000000000005</v>
          </cell>
        </row>
        <row r="81">
          <cell r="A81" t="str">
            <v>Bosnia &amp; Herzegovina</v>
          </cell>
        </row>
        <row r="82">
          <cell r="A82" t="str">
            <v>Maldives</v>
          </cell>
        </row>
        <row r="83">
          <cell r="A83" t="str">
            <v>Isle of Man</v>
          </cell>
        </row>
        <row r="84">
          <cell r="A84" t="str">
            <v>Jersey</v>
          </cell>
        </row>
        <row r="85">
          <cell r="A85" t="str">
            <v>Lebanon</v>
          </cell>
        </row>
        <row r="86">
          <cell r="A86" t="str">
            <v>Uruguay</v>
          </cell>
        </row>
        <row r="87">
          <cell r="A87" t="str">
            <v>Croatia</v>
          </cell>
          <cell r="B87">
            <v>0.51</v>
          </cell>
          <cell r="C87">
            <v>0.49</v>
          </cell>
        </row>
        <row r="88">
          <cell r="A88" t="str">
            <v>Vanuatu</v>
          </cell>
        </row>
        <row r="89">
          <cell r="A89" t="str">
            <v>Malawi</v>
          </cell>
        </row>
        <row r="90">
          <cell r="A90" t="str">
            <v>Spain</v>
          </cell>
          <cell r="B90">
            <v>0.45</v>
          </cell>
          <cell r="C90">
            <v>0.55000000000000004</v>
          </cell>
        </row>
        <row r="91">
          <cell r="A91" t="str">
            <v>Senegal</v>
          </cell>
        </row>
        <row r="92">
          <cell r="A92" t="str">
            <v>Andorra</v>
          </cell>
        </row>
        <row r="93">
          <cell r="A93" t="str">
            <v>South Africa</v>
          </cell>
          <cell r="B93">
            <v>0.49</v>
          </cell>
          <cell r="C93">
            <v>0.51</v>
          </cell>
        </row>
        <row r="94">
          <cell r="A94" t="str">
            <v>Uganda</v>
          </cell>
        </row>
        <row r="95">
          <cell r="A95" t="str">
            <v>Guernsey</v>
          </cell>
        </row>
        <row r="96">
          <cell r="A96" t="str">
            <v>Bhutan</v>
          </cell>
        </row>
        <row r="97">
          <cell r="A97" t="str">
            <v>Laos</v>
          </cell>
        </row>
        <row r="98">
          <cell r="A98" t="str">
            <v>Kenya</v>
          </cell>
          <cell r="B98">
            <v>0.52</v>
          </cell>
          <cell r="C98">
            <v>0.48</v>
          </cell>
        </row>
        <row r="99">
          <cell r="A99" t="str">
            <v>Vietnam</v>
          </cell>
          <cell r="B99">
            <v>0.33</v>
          </cell>
          <cell r="C99">
            <v>0.67</v>
          </cell>
        </row>
        <row r="100">
          <cell r="A100" t="str">
            <v>El Salvador</v>
          </cell>
        </row>
        <row r="101">
          <cell r="A101" t="str">
            <v>Uzbekistan</v>
          </cell>
        </row>
        <row r="102">
          <cell r="A102" t="str">
            <v>Colombia</v>
          </cell>
          <cell r="B102">
            <v>0.4</v>
          </cell>
          <cell r="C102">
            <v>0.6</v>
          </cell>
        </row>
        <row r="103">
          <cell r="A103" t="str">
            <v>United Arab Emirates</v>
          </cell>
          <cell r="B103">
            <v>0.48</v>
          </cell>
          <cell r="C103">
            <v>0.52</v>
          </cell>
        </row>
        <row r="104">
          <cell r="A104" t="str">
            <v>Georgia</v>
          </cell>
        </row>
        <row r="105">
          <cell r="A105" t="str">
            <v>Lesotho</v>
          </cell>
        </row>
        <row r="106">
          <cell r="A106" t="str">
            <v>Congo - Brazzaville</v>
          </cell>
        </row>
        <row r="107">
          <cell r="A107" t="str">
            <v>Greece</v>
          </cell>
          <cell r="B107">
            <v>0.54</v>
          </cell>
          <cell r="C107">
            <v>0.46</v>
          </cell>
        </row>
        <row r="108">
          <cell r="A108" t="str">
            <v>Morocco</v>
          </cell>
          <cell r="B108">
            <v>0.46</v>
          </cell>
          <cell r="C108">
            <v>0.54</v>
          </cell>
        </row>
        <row r="109">
          <cell r="A109" t="str">
            <v>Malaysia</v>
          </cell>
          <cell r="B109">
            <v>0.44</v>
          </cell>
          <cell r="C109">
            <v>0.56000000000000005</v>
          </cell>
        </row>
        <row r="110">
          <cell r="A110" t="str">
            <v>Nicaragua</v>
          </cell>
        </row>
        <row r="111">
          <cell r="A111" t="str">
            <v>Bolivia</v>
          </cell>
        </row>
        <row r="112">
          <cell r="A112" t="str">
            <v>French Polynesia</v>
          </cell>
        </row>
        <row r="113">
          <cell r="A113" t="str">
            <v>Nigeria</v>
          </cell>
          <cell r="B113">
            <v>0.48</v>
          </cell>
          <cell r="C113">
            <v>0.52</v>
          </cell>
        </row>
        <row r="114">
          <cell r="A114" t="str">
            <v>Kazakhstan</v>
          </cell>
          <cell r="B114">
            <v>0.47</v>
          </cell>
          <cell r="C114">
            <v>0.53</v>
          </cell>
        </row>
        <row r="115">
          <cell r="A115" t="str">
            <v>Bermuda</v>
          </cell>
        </row>
        <row r="116">
          <cell r="A116" t="str">
            <v>U.S. Virgin Islands</v>
          </cell>
        </row>
        <row r="117">
          <cell r="A117" t="str">
            <v>Ghana</v>
          </cell>
        </row>
        <row r="118">
          <cell r="A118" t="str">
            <v>New Caledonia</v>
          </cell>
        </row>
        <row r="119">
          <cell r="A119" t="str">
            <v>Chile</v>
          </cell>
          <cell r="B119">
            <v>0.51</v>
          </cell>
          <cell r="C119">
            <v>0.49</v>
          </cell>
        </row>
        <row r="120">
          <cell r="A120" t="str">
            <v>Palestine</v>
          </cell>
        </row>
        <row r="121">
          <cell r="A121" t="str">
            <v>Burundi</v>
          </cell>
        </row>
        <row r="122">
          <cell r="A122" t="str">
            <v>Cayman Islands</v>
          </cell>
        </row>
        <row r="123">
          <cell r="A123" t="str">
            <v>Guatemala</v>
          </cell>
        </row>
        <row r="124">
          <cell r="A124" t="str">
            <v>Montenegro</v>
          </cell>
        </row>
        <row r="125">
          <cell r="A125" t="str">
            <v>Peru</v>
          </cell>
          <cell r="B125">
            <v>0.37</v>
          </cell>
          <cell r="C125">
            <v>0.63</v>
          </cell>
        </row>
        <row r="126">
          <cell r="A126" t="str">
            <v>Mexico</v>
          </cell>
          <cell r="B126">
            <v>0.37</v>
          </cell>
          <cell r="C126">
            <v>0.63</v>
          </cell>
        </row>
        <row r="127">
          <cell r="A127" t="str">
            <v>Jordan</v>
          </cell>
        </row>
        <row r="128">
          <cell r="A128" t="str">
            <v>CÃ´te dâ€™Ivoire</v>
          </cell>
        </row>
        <row r="129">
          <cell r="A129" t="str">
            <v>CuraÃ§ao</v>
          </cell>
        </row>
        <row r="130">
          <cell r="A130" t="str">
            <v>Honduras</v>
          </cell>
        </row>
        <row r="131">
          <cell r="A131" t="str">
            <v>Papua New Guinea</v>
          </cell>
        </row>
        <row r="132">
          <cell r="A132" t="str">
            <v>Barbados</v>
          </cell>
        </row>
        <row r="133">
          <cell r="A133" t="str">
            <v>Jamaica</v>
          </cell>
        </row>
        <row r="134">
          <cell r="A134" t="str">
            <v>Kyrgyzstan</v>
          </cell>
        </row>
        <row r="135">
          <cell r="A135" t="str">
            <v>Azerbaijan</v>
          </cell>
        </row>
        <row r="136">
          <cell r="A136" t="str">
            <v>Angola</v>
          </cell>
        </row>
        <row r="137">
          <cell r="A137" t="str">
            <v>Italy</v>
          </cell>
          <cell r="B137">
            <v>0.46</v>
          </cell>
          <cell r="C137">
            <v>0.54</v>
          </cell>
        </row>
        <row r="138">
          <cell r="A138" t="str">
            <v>Argentina</v>
          </cell>
          <cell r="B138">
            <v>0.39</v>
          </cell>
          <cell r="C138">
            <v>0.61</v>
          </cell>
        </row>
        <row r="139">
          <cell r="A139" t="str">
            <v>Brazil</v>
          </cell>
          <cell r="B139">
            <v>0.44</v>
          </cell>
          <cell r="C139">
            <v>0.56000000000000005</v>
          </cell>
        </row>
        <row r="140">
          <cell r="A140" t="str">
            <v>Iran</v>
          </cell>
          <cell r="B140">
            <v>0.54</v>
          </cell>
          <cell r="C140">
            <v>0.46</v>
          </cell>
        </row>
        <row r="141">
          <cell r="A141" t="str">
            <v>Belize</v>
          </cell>
        </row>
        <row r="142">
          <cell r="A142" t="str">
            <v>Ecuador</v>
          </cell>
          <cell r="B142">
            <v>0.48</v>
          </cell>
          <cell r="C142">
            <v>0.52</v>
          </cell>
        </row>
        <row r="143">
          <cell r="A143" t="str">
            <v>Gambia</v>
          </cell>
        </row>
        <row r="144">
          <cell r="A144" t="str">
            <v>Afghanistan</v>
          </cell>
        </row>
        <row r="145">
          <cell r="A145" t="str">
            <v>Bahrain</v>
          </cell>
        </row>
        <row r="146">
          <cell r="A146" t="str">
            <v>Dominican Republic</v>
          </cell>
        </row>
        <row r="147">
          <cell r="A147" t="str">
            <v>Djibouti</v>
          </cell>
        </row>
        <row r="148">
          <cell r="A148" t="str">
            <v>Egypt</v>
          </cell>
          <cell r="B148">
            <v>0.48</v>
          </cell>
          <cell r="C148">
            <v>0.52</v>
          </cell>
        </row>
        <row r="149">
          <cell r="A149" t="str">
            <v>Qatar</v>
          </cell>
        </row>
        <row r="150">
          <cell r="A150" t="str">
            <v>French Guiana</v>
          </cell>
        </row>
        <row r="151">
          <cell r="A151" t="str">
            <v>Haiti</v>
          </cell>
        </row>
        <row r="152">
          <cell r="A152" t="str">
            <v>Eswatini</v>
          </cell>
        </row>
        <row r="153">
          <cell r="A153" t="str">
            <v>Thailand</v>
          </cell>
          <cell r="B153">
            <v>0.45</v>
          </cell>
          <cell r="C153">
            <v>0.55000000000000004</v>
          </cell>
        </row>
        <row r="154">
          <cell r="A154" t="str">
            <v>Panama</v>
          </cell>
        </row>
        <row r="155">
          <cell r="A155" t="str">
            <v>Somalia</v>
          </cell>
        </row>
        <row r="156">
          <cell r="A156" t="str">
            <v>St. Vincent &amp; Grenadines</v>
          </cell>
        </row>
        <row r="157">
          <cell r="A157" t="str">
            <v>RÃ©union</v>
          </cell>
        </row>
        <row r="158">
          <cell r="A158" t="str">
            <v>Aruba</v>
          </cell>
        </row>
        <row r="159">
          <cell r="A159" t="str">
            <v>Brunei</v>
          </cell>
        </row>
        <row r="160">
          <cell r="A160" t="str">
            <v>Namibia</v>
          </cell>
        </row>
        <row r="161">
          <cell r="A161" t="str">
            <v>Mauritania</v>
          </cell>
        </row>
        <row r="162">
          <cell r="A162" t="str">
            <v>Trinidad &amp; Tobago</v>
          </cell>
        </row>
        <row r="163">
          <cell r="A163" t="str">
            <v>Fiji</v>
          </cell>
        </row>
        <row r="164">
          <cell r="A164" t="str">
            <v>Paraguay</v>
          </cell>
        </row>
        <row r="165">
          <cell r="A165" t="str">
            <v>Niger</v>
          </cell>
        </row>
        <row r="166">
          <cell r="A166" t="str">
            <v>Antigua &amp; Barbuda</v>
          </cell>
        </row>
        <row r="167">
          <cell r="A167" t="str">
            <v>Congo - Kinshasa</v>
          </cell>
        </row>
        <row r="168">
          <cell r="A168" t="str">
            <v>Sint Maarten</v>
          </cell>
        </row>
        <row r="169">
          <cell r="A169" t="str">
            <v>Zambia</v>
          </cell>
        </row>
        <row r="170">
          <cell r="A170" t="str">
            <v>Sudan</v>
          </cell>
        </row>
        <row r="171">
          <cell r="A171" t="str">
            <v>Indonesia</v>
          </cell>
          <cell r="B171">
            <v>0.37</v>
          </cell>
          <cell r="C171">
            <v>0.63</v>
          </cell>
        </row>
        <row r="172">
          <cell r="A172" t="str">
            <v>Puerto Rico</v>
          </cell>
        </row>
        <row r="173">
          <cell r="A173" t="str">
            <v>Algeria</v>
          </cell>
        </row>
        <row r="174">
          <cell r="A174" t="str">
            <v>Timor-Leste</v>
          </cell>
        </row>
        <row r="175">
          <cell r="A175" t="str">
            <v>Guadeloupe</v>
          </cell>
        </row>
        <row r="176">
          <cell r="A176" t="str">
            <v>Tajikistan</v>
          </cell>
        </row>
        <row r="177">
          <cell r="A177" t="str">
            <v>Venezuela</v>
          </cell>
        </row>
        <row r="178">
          <cell r="A178" t="str">
            <v>Oman</v>
          </cell>
        </row>
        <row r="179">
          <cell r="A179" t="str">
            <v>Caribbean Netherlands</v>
          </cell>
        </row>
        <row r="180">
          <cell r="A180" t="str">
            <v>British Virgin Islands</v>
          </cell>
        </row>
        <row r="181">
          <cell r="A181" t="str">
            <v>Mozambique</v>
          </cell>
        </row>
        <row r="182">
          <cell r="A182" t="str">
            <v>Mayotte</v>
          </cell>
        </row>
        <row r="183">
          <cell r="A183" t="str">
            <v>Tanzania</v>
          </cell>
        </row>
        <row r="184">
          <cell r="A184" t="str">
            <v>Turkey</v>
          </cell>
          <cell r="B184">
            <v>0.5</v>
          </cell>
          <cell r="C184">
            <v>0.5</v>
          </cell>
        </row>
        <row r="185">
          <cell r="A185" t="str">
            <v>Suriname</v>
          </cell>
        </row>
        <row r="186">
          <cell r="A186" t="str">
            <v>Guam</v>
          </cell>
        </row>
        <row r="187">
          <cell r="A187" t="str">
            <v>Liberia</v>
          </cell>
        </row>
        <row r="188">
          <cell r="A188" t="str">
            <v>Western Sahara</v>
          </cell>
        </row>
        <row r="189">
          <cell r="A189" t="str">
            <v>Bahamas</v>
          </cell>
        </row>
        <row r="190">
          <cell r="A190" t="str">
            <v>Gabon</v>
          </cell>
        </row>
        <row r="191">
          <cell r="A191" t="str">
            <v>Martinique</v>
          </cell>
        </row>
        <row r="192">
          <cell r="A192" t="str">
            <v>Sierra Leone</v>
          </cell>
        </row>
        <row r="193">
          <cell r="A193" t="str">
            <v>Syria</v>
          </cell>
        </row>
        <row r="194">
          <cell r="A194" t="str">
            <v>Chad</v>
          </cell>
        </row>
        <row r="195">
          <cell r="A195" t="str">
            <v>Guyana</v>
          </cell>
        </row>
        <row r="196">
          <cell r="A196" t="str">
            <v>St. Lucia</v>
          </cell>
        </row>
        <row r="197">
          <cell r="A197" t="str">
            <v>Dominica</v>
          </cell>
        </row>
        <row r="198">
          <cell r="A198" t="str">
            <v>Saudi Arabia</v>
          </cell>
          <cell r="B198">
            <v>0.54</v>
          </cell>
          <cell r="C198">
            <v>0.46</v>
          </cell>
        </row>
        <row r="199">
          <cell r="A199" t="str">
            <v>Kuwait</v>
          </cell>
        </row>
        <row r="200">
          <cell r="A200" t="str">
            <v>Turkmenistan</v>
          </cell>
        </row>
        <row r="201">
          <cell r="A201" t="str">
            <v>Grenada</v>
          </cell>
        </row>
        <row r="202">
          <cell r="A202" t="str">
            <v>Burkina Faso</v>
          </cell>
        </row>
        <row r="203">
          <cell r="A203" t="str">
            <v>Guinea</v>
          </cell>
        </row>
        <row r="204">
          <cell r="A204" t="str">
            <v>Yemen</v>
          </cell>
        </row>
        <row r="205">
          <cell r="A205" t="str">
            <v>Libya</v>
          </cell>
        </row>
        <row r="206">
          <cell r="A206" t="str">
            <v>Mali</v>
          </cell>
        </row>
        <row r="207">
          <cell r="A207" t="str">
            <v>Iraq</v>
          </cell>
        </row>
        <row r="208">
          <cell r="A208" t="str">
            <v>North Korea</v>
          </cell>
        </row>
        <row r="209">
          <cell r="A209" t="str">
            <v>Eritrea</v>
          </cell>
        </row>
        <row r="210">
          <cell r="A210" t="str">
            <v>Svalbard &amp; Jan Mayen</v>
          </cell>
        </row>
        <row r="211">
          <cell r="A211" t="str">
            <v>Anguilla</v>
          </cell>
        </row>
        <row r="212">
          <cell r="A212" t="str">
            <v>Falkland Islands (Islas Malvinas)</v>
          </cell>
        </row>
        <row r="213">
          <cell r="A213" t="str">
            <v>SÃ£o TomÃ© &amp; PrÃ­ncipe</v>
          </cell>
        </row>
        <row r="214">
          <cell r="A214" t="str">
            <v>Palau</v>
          </cell>
        </row>
        <row r="215">
          <cell r="A215" t="str">
            <v>Micronesia</v>
          </cell>
        </row>
        <row r="216">
          <cell r="A216" t="str">
            <v>St. Pierre &amp; Miquelon</v>
          </cell>
        </row>
        <row r="217">
          <cell r="A217" t="str">
            <v>Turks &amp; Caicos Islands</v>
          </cell>
        </row>
        <row r="218">
          <cell r="A218" t="str">
            <v>Tonga</v>
          </cell>
        </row>
        <row r="219">
          <cell r="A219" t="str">
            <v>Guinea-Bissau</v>
          </cell>
        </row>
        <row r="220">
          <cell r="A220" t="str">
            <v>Comoros</v>
          </cell>
        </row>
        <row r="221">
          <cell r="A221" t="str">
            <v>St. BarthÃ©lemy</v>
          </cell>
        </row>
        <row r="222">
          <cell r="A222" t="str">
            <v>Greenland</v>
          </cell>
        </row>
        <row r="223">
          <cell r="A223" t="str">
            <v>Marshall Islands</v>
          </cell>
        </row>
        <row r="224">
          <cell r="A224" t="str">
            <v>Seychelles</v>
          </cell>
        </row>
        <row r="225">
          <cell r="A225" t="str">
            <v>St. Kitts &amp; Nevis</v>
          </cell>
        </row>
        <row r="226">
          <cell r="A226" t="str">
            <v>Central African Republic</v>
          </cell>
        </row>
        <row r="227">
          <cell r="A227" t="str">
            <v>American Samoa</v>
          </cell>
        </row>
        <row r="228">
          <cell r="A228" t="str">
            <v>St. Martin</v>
          </cell>
        </row>
        <row r="229">
          <cell r="A229" t="str">
            <v>South Sudan</v>
          </cell>
        </row>
        <row r="230">
          <cell r="A230" t="str">
            <v>Northern Mariana Islands</v>
          </cell>
        </row>
        <row r="231">
          <cell r="A231" t="str">
            <v>Solomon Islands</v>
          </cell>
        </row>
        <row r="232">
          <cell r="A232" t="str">
            <v>Equatorial Guinea</v>
          </cell>
        </row>
        <row r="233">
          <cell r="A233" t="str">
            <v>Antarctica</v>
          </cell>
        </row>
        <row r="234">
          <cell r="A234" t="str">
            <v>French Southern Territories</v>
          </cell>
        </row>
        <row r="235">
          <cell r="A235" t="str">
            <v>Bouvet Island</v>
          </cell>
        </row>
        <row r="236">
          <cell r="A236" t="str">
            <v>Cocos (Keeling) Islands</v>
          </cell>
        </row>
        <row r="237">
          <cell r="A237" t="str">
            <v>Cook Islands</v>
          </cell>
        </row>
        <row r="238">
          <cell r="A238" t="str">
            <v>Christmas Island</v>
          </cell>
        </row>
        <row r="239">
          <cell r="A239" t="str">
            <v>Heard &amp; McDonald Islands</v>
          </cell>
        </row>
        <row r="240">
          <cell r="A240" t="str">
            <v>British Indian Ocean Territory</v>
          </cell>
        </row>
        <row r="241">
          <cell r="A241" t="str">
            <v>Kiribati</v>
          </cell>
        </row>
        <row r="242">
          <cell r="A242" t="str">
            <v>Montserrat</v>
          </cell>
        </row>
        <row r="243">
          <cell r="A243" t="str">
            <v>Norfolk Island</v>
          </cell>
        </row>
        <row r="244">
          <cell r="A244" t="str">
            <v>Niue</v>
          </cell>
        </row>
        <row r="245">
          <cell r="A245" t="str">
            <v>Nauru</v>
          </cell>
        </row>
        <row r="246">
          <cell r="A246" t="str">
            <v>Pitcairn Islands</v>
          </cell>
        </row>
        <row r="247">
          <cell r="A247" t="str">
            <v>South Georgia &amp; South Sandwich Islands</v>
          </cell>
        </row>
        <row r="248">
          <cell r="A248" t="str">
            <v>Tokelau</v>
          </cell>
        </row>
        <row r="249">
          <cell r="A249" t="str">
            <v>Tuvalu</v>
          </cell>
        </row>
        <row r="250">
          <cell r="A250" t="str">
            <v>U.S. Outlying Islands</v>
          </cell>
        </row>
        <row r="251">
          <cell r="A251" t="str">
            <v>Vatican City</v>
          </cell>
        </row>
        <row r="252">
          <cell r="A252" t="str">
            <v>Wallis &amp; Futuna</v>
          </cell>
        </row>
        <row r="253">
          <cell r="A253" t="str">
            <v>Samoa</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3)"/>
    </sheetNames>
    <sheetDataSet>
      <sheetData sheetId="0" refreshError="1">
        <row r="1">
          <cell r="A1" t="str">
            <v>Kategori: TÃ¼m kategoriler</v>
          </cell>
        </row>
        <row r="3">
          <cell r="A3" t="str">
            <v>Ãœlke</v>
          </cell>
          <cell r="B3" t="str">
            <v>JavaScript: (2018)</v>
          </cell>
          <cell r="C3" t="str">
            <v>SQL: (2018)</v>
          </cell>
        </row>
        <row r="4">
          <cell r="A4" t="str">
            <v>China</v>
          </cell>
          <cell r="B4">
            <v>0.77</v>
          </cell>
          <cell r="C4">
            <v>0.23</v>
          </cell>
        </row>
        <row r="5">
          <cell r="A5" t="str">
            <v>St. Helena</v>
          </cell>
          <cell r="B5">
            <v>0.43</v>
          </cell>
          <cell r="C5">
            <v>0.56999999999999995</v>
          </cell>
        </row>
        <row r="6">
          <cell r="A6" t="str">
            <v>Armenia</v>
          </cell>
        </row>
        <row r="7">
          <cell r="A7" t="str">
            <v>South Korea</v>
          </cell>
          <cell r="B7">
            <v>0.76</v>
          </cell>
          <cell r="C7">
            <v>0.24</v>
          </cell>
        </row>
        <row r="8">
          <cell r="A8" t="str">
            <v>Cuba</v>
          </cell>
        </row>
        <row r="9">
          <cell r="A9" t="str">
            <v>Madagascar</v>
          </cell>
        </row>
        <row r="10">
          <cell r="A10" t="str">
            <v>Liechtenstein</v>
          </cell>
        </row>
        <row r="11">
          <cell r="A11" t="str">
            <v>Israel</v>
          </cell>
          <cell r="B11">
            <v>0.65</v>
          </cell>
          <cell r="C11">
            <v>0.35</v>
          </cell>
        </row>
        <row r="12">
          <cell r="A12" t="str">
            <v>Estonia</v>
          </cell>
        </row>
        <row r="13">
          <cell r="A13" t="str">
            <v>Iceland</v>
          </cell>
        </row>
        <row r="14">
          <cell r="A14" t="str">
            <v>Belarus</v>
          </cell>
          <cell r="B14">
            <v>0.73</v>
          </cell>
          <cell r="C14">
            <v>0.27</v>
          </cell>
        </row>
        <row r="15">
          <cell r="A15" t="str">
            <v>Nepal</v>
          </cell>
        </row>
        <row r="16">
          <cell r="A16" t="str">
            <v>Myanmar (Burma)</v>
          </cell>
        </row>
        <row r="17">
          <cell r="A17" t="str">
            <v>North Macedonia</v>
          </cell>
        </row>
        <row r="18">
          <cell r="A18" t="str">
            <v>Singapore</v>
          </cell>
          <cell r="B18">
            <v>0.5</v>
          </cell>
          <cell r="C18">
            <v>0.5</v>
          </cell>
        </row>
        <row r="19">
          <cell r="A19" t="str">
            <v>Luxembourg</v>
          </cell>
        </row>
        <row r="20">
          <cell r="A20" t="str">
            <v>Hong Kong</v>
          </cell>
          <cell r="B20">
            <v>0.59</v>
          </cell>
          <cell r="C20">
            <v>0.41</v>
          </cell>
        </row>
        <row r="21">
          <cell r="A21" t="str">
            <v>Gibraltar</v>
          </cell>
        </row>
        <row r="22">
          <cell r="A22" t="str">
            <v>Ukraine</v>
          </cell>
          <cell r="B22">
            <v>0.77</v>
          </cell>
          <cell r="C22">
            <v>0.23</v>
          </cell>
        </row>
        <row r="23">
          <cell r="A23" t="str">
            <v>India</v>
          </cell>
          <cell r="B23">
            <v>0.51</v>
          </cell>
          <cell r="C23">
            <v>0.49</v>
          </cell>
        </row>
        <row r="24">
          <cell r="A24" t="str">
            <v>Serbia</v>
          </cell>
          <cell r="B24">
            <v>0.67</v>
          </cell>
          <cell r="C24">
            <v>0.33</v>
          </cell>
        </row>
        <row r="25">
          <cell r="A25" t="str">
            <v>Sri Lanka</v>
          </cell>
          <cell r="B25">
            <v>0.53</v>
          </cell>
          <cell r="C25">
            <v>0.47</v>
          </cell>
        </row>
        <row r="26">
          <cell r="A26" t="str">
            <v>Faroe Islands</v>
          </cell>
        </row>
        <row r="27">
          <cell r="A27" t="str">
            <v>Tunisia</v>
          </cell>
          <cell r="B27">
            <v>0.57999999999999996</v>
          </cell>
          <cell r="C27">
            <v>0.42</v>
          </cell>
        </row>
        <row r="28">
          <cell r="A28" t="str">
            <v>Malta</v>
          </cell>
        </row>
        <row r="29">
          <cell r="A29" t="str">
            <v>Isle of Man</v>
          </cell>
        </row>
        <row r="30">
          <cell r="A30" t="str">
            <v>Bulgaria</v>
          </cell>
          <cell r="B30">
            <v>0.69</v>
          </cell>
          <cell r="C30">
            <v>0.31</v>
          </cell>
        </row>
        <row r="31">
          <cell r="A31" t="str">
            <v>Lithuania</v>
          </cell>
          <cell r="B31">
            <v>0.66</v>
          </cell>
          <cell r="C31">
            <v>0.34</v>
          </cell>
        </row>
        <row r="32">
          <cell r="A32" t="str">
            <v>Latvia</v>
          </cell>
        </row>
        <row r="33">
          <cell r="A33" t="str">
            <v>Finland</v>
          </cell>
          <cell r="B33">
            <v>0.67</v>
          </cell>
          <cell r="C33">
            <v>0.33</v>
          </cell>
        </row>
        <row r="34">
          <cell r="A34" t="str">
            <v>Costa Rica</v>
          </cell>
          <cell r="B34">
            <v>0.44</v>
          </cell>
          <cell r="C34">
            <v>0.56000000000000005</v>
          </cell>
        </row>
        <row r="35">
          <cell r="A35" t="str">
            <v>Mauritius</v>
          </cell>
        </row>
        <row r="36">
          <cell r="A36" t="str">
            <v>New Zealand</v>
          </cell>
          <cell r="B36">
            <v>0.52</v>
          </cell>
          <cell r="C36">
            <v>0.48</v>
          </cell>
        </row>
        <row r="37">
          <cell r="A37" t="str">
            <v>Sweden</v>
          </cell>
          <cell r="B37">
            <v>0.61</v>
          </cell>
          <cell r="C37">
            <v>0.39</v>
          </cell>
        </row>
        <row r="38">
          <cell r="A38" t="str">
            <v>El Salvador</v>
          </cell>
        </row>
        <row r="39">
          <cell r="A39" t="str">
            <v>Ã…land Islands</v>
          </cell>
        </row>
        <row r="40">
          <cell r="A40" t="str">
            <v>San Marino</v>
          </cell>
        </row>
        <row r="41">
          <cell r="A41" t="str">
            <v>Moldova</v>
          </cell>
        </row>
        <row r="42">
          <cell r="A42" t="str">
            <v>Pakistan</v>
          </cell>
          <cell r="B42">
            <v>0.55000000000000004</v>
          </cell>
          <cell r="C42">
            <v>0.45</v>
          </cell>
        </row>
        <row r="43">
          <cell r="A43" t="str">
            <v>Czechia</v>
          </cell>
          <cell r="B43">
            <v>0.59</v>
          </cell>
          <cell r="C43">
            <v>0.41</v>
          </cell>
        </row>
        <row r="44">
          <cell r="A44" t="str">
            <v>Switzerland</v>
          </cell>
          <cell r="B44">
            <v>0.55000000000000004</v>
          </cell>
          <cell r="C44">
            <v>0.45</v>
          </cell>
        </row>
        <row r="45">
          <cell r="A45" t="str">
            <v>Botswana</v>
          </cell>
        </row>
        <row r="46">
          <cell r="A46" t="str">
            <v>Jersey</v>
          </cell>
        </row>
        <row r="47">
          <cell r="A47" t="str">
            <v>Nicaragua</v>
          </cell>
        </row>
        <row r="48">
          <cell r="A48" t="str">
            <v>Taiwan</v>
          </cell>
          <cell r="B48">
            <v>0.56999999999999995</v>
          </cell>
          <cell r="C48">
            <v>0.43</v>
          </cell>
        </row>
        <row r="49">
          <cell r="A49" t="str">
            <v>Canada</v>
          </cell>
          <cell r="B49">
            <v>0.56000000000000005</v>
          </cell>
          <cell r="C49">
            <v>0.44</v>
          </cell>
        </row>
        <row r="50">
          <cell r="A50" t="str">
            <v>Portugal</v>
          </cell>
          <cell r="B50">
            <v>0.53</v>
          </cell>
          <cell r="C50">
            <v>0.47</v>
          </cell>
        </row>
        <row r="51">
          <cell r="A51" t="str">
            <v>Slovenia</v>
          </cell>
          <cell r="B51">
            <v>0.57999999999999996</v>
          </cell>
          <cell r="C51">
            <v>0.42</v>
          </cell>
        </row>
        <row r="52">
          <cell r="A52" t="str">
            <v>Netherlands</v>
          </cell>
          <cell r="B52">
            <v>0.57999999999999996</v>
          </cell>
          <cell r="C52">
            <v>0.42</v>
          </cell>
        </row>
        <row r="53">
          <cell r="A53" t="str">
            <v>Bermuda</v>
          </cell>
        </row>
        <row r="54">
          <cell r="A54" t="str">
            <v>Macao</v>
          </cell>
        </row>
        <row r="55">
          <cell r="A55" t="str">
            <v>Norway</v>
          </cell>
          <cell r="B55">
            <v>0.6</v>
          </cell>
          <cell r="C55">
            <v>0.4</v>
          </cell>
        </row>
        <row r="56">
          <cell r="A56" t="str">
            <v>Philippines</v>
          </cell>
          <cell r="B56">
            <v>0.56999999999999995</v>
          </cell>
          <cell r="C56">
            <v>0.43</v>
          </cell>
        </row>
        <row r="57">
          <cell r="A57" t="str">
            <v>Cyprus</v>
          </cell>
        </row>
        <row r="58">
          <cell r="A58" t="str">
            <v>Honduras</v>
          </cell>
        </row>
        <row r="59">
          <cell r="A59" t="str">
            <v>Togo</v>
          </cell>
        </row>
        <row r="60">
          <cell r="A60" t="str">
            <v>Ethiopia</v>
          </cell>
        </row>
        <row r="61">
          <cell r="A61" t="str">
            <v>Russia</v>
          </cell>
          <cell r="B61">
            <v>0.65</v>
          </cell>
          <cell r="C61">
            <v>0.35</v>
          </cell>
        </row>
        <row r="62">
          <cell r="A62" t="str">
            <v>Benin</v>
          </cell>
        </row>
        <row r="63">
          <cell r="A63" t="str">
            <v>Andorra</v>
          </cell>
        </row>
        <row r="64">
          <cell r="A64" t="str">
            <v>Cambodia</v>
          </cell>
        </row>
        <row r="65">
          <cell r="A65" t="str">
            <v>Romania</v>
          </cell>
          <cell r="B65">
            <v>0.61</v>
          </cell>
          <cell r="C65">
            <v>0.39</v>
          </cell>
        </row>
        <row r="66">
          <cell r="A66" t="str">
            <v>Denmark</v>
          </cell>
          <cell r="B66">
            <v>0.53</v>
          </cell>
          <cell r="C66">
            <v>0.47</v>
          </cell>
        </row>
        <row r="67">
          <cell r="A67" t="str">
            <v>Rwanda</v>
          </cell>
        </row>
        <row r="68">
          <cell r="A68" t="str">
            <v>Mongolia</v>
          </cell>
        </row>
        <row r="69">
          <cell r="A69" t="str">
            <v>Kosovo</v>
          </cell>
        </row>
        <row r="70">
          <cell r="A70" t="str">
            <v>South Africa</v>
          </cell>
          <cell r="B70">
            <v>0.42</v>
          </cell>
          <cell r="C70">
            <v>0.57999999999999996</v>
          </cell>
        </row>
        <row r="71">
          <cell r="A71" t="str">
            <v>Somalia</v>
          </cell>
        </row>
        <row r="72">
          <cell r="A72" t="str">
            <v>Ireland</v>
          </cell>
          <cell r="B72">
            <v>0.53</v>
          </cell>
          <cell r="C72">
            <v>0.47</v>
          </cell>
        </row>
        <row r="73">
          <cell r="A73" t="str">
            <v>Cape Verde</v>
          </cell>
        </row>
        <row r="74">
          <cell r="A74" t="str">
            <v>Cameroon</v>
          </cell>
        </row>
        <row r="75">
          <cell r="A75" t="str">
            <v>Bangladesh</v>
          </cell>
          <cell r="B75">
            <v>0.63</v>
          </cell>
          <cell r="C75">
            <v>0.37</v>
          </cell>
        </row>
        <row r="76">
          <cell r="A76" t="str">
            <v>Japan</v>
          </cell>
          <cell r="B76">
            <v>0.56000000000000005</v>
          </cell>
          <cell r="C76">
            <v>0.44</v>
          </cell>
        </row>
        <row r="77">
          <cell r="A77" t="str">
            <v>Peru</v>
          </cell>
          <cell r="B77">
            <v>0.36</v>
          </cell>
          <cell r="C77">
            <v>0.64</v>
          </cell>
        </row>
        <row r="78">
          <cell r="A78" t="str">
            <v>Albania</v>
          </cell>
        </row>
        <row r="79">
          <cell r="A79" t="str">
            <v>United States</v>
          </cell>
          <cell r="B79">
            <v>0.51</v>
          </cell>
          <cell r="C79">
            <v>0.49</v>
          </cell>
        </row>
        <row r="80">
          <cell r="A80" t="str">
            <v>Australia</v>
          </cell>
          <cell r="B80">
            <v>0.51</v>
          </cell>
          <cell r="C80">
            <v>0.49</v>
          </cell>
        </row>
        <row r="81">
          <cell r="A81" t="str">
            <v>Vanuatu</v>
          </cell>
        </row>
        <row r="82">
          <cell r="A82" t="str">
            <v>Austria</v>
          </cell>
          <cell r="B82">
            <v>0.56999999999999995</v>
          </cell>
          <cell r="C82">
            <v>0.43</v>
          </cell>
        </row>
        <row r="83">
          <cell r="A83" t="str">
            <v>Germany</v>
          </cell>
          <cell r="B83">
            <v>0.59</v>
          </cell>
          <cell r="C83">
            <v>0.41</v>
          </cell>
        </row>
        <row r="84">
          <cell r="A84" t="str">
            <v>Monaco</v>
          </cell>
        </row>
        <row r="85">
          <cell r="A85" t="str">
            <v>Poland</v>
          </cell>
          <cell r="B85">
            <v>0.59</v>
          </cell>
          <cell r="C85">
            <v>0.41</v>
          </cell>
        </row>
        <row r="86">
          <cell r="A86" t="str">
            <v>Belgium</v>
          </cell>
          <cell r="B86">
            <v>0.56000000000000005</v>
          </cell>
          <cell r="C86">
            <v>0.44</v>
          </cell>
        </row>
        <row r="87">
          <cell r="A87" t="str">
            <v>Hungary</v>
          </cell>
          <cell r="B87">
            <v>0.61</v>
          </cell>
          <cell r="C87">
            <v>0.39</v>
          </cell>
        </row>
        <row r="88">
          <cell r="A88" t="str">
            <v>United Arab Emirates</v>
          </cell>
          <cell r="B88">
            <v>0.43</v>
          </cell>
          <cell r="C88">
            <v>0.56999999999999995</v>
          </cell>
        </row>
        <row r="89">
          <cell r="A89" t="str">
            <v>Guatemala</v>
          </cell>
        </row>
        <row r="90">
          <cell r="A90" t="str">
            <v>Lebanon</v>
          </cell>
        </row>
        <row r="91">
          <cell r="A91" t="str">
            <v>Slovakia</v>
          </cell>
          <cell r="B91">
            <v>0.62</v>
          </cell>
          <cell r="C91">
            <v>0.38</v>
          </cell>
        </row>
        <row r="92">
          <cell r="A92" t="str">
            <v>Bosnia &amp; Herzegovina</v>
          </cell>
        </row>
        <row r="93">
          <cell r="A93" t="str">
            <v>Maldives</v>
          </cell>
        </row>
        <row r="94">
          <cell r="A94" t="str">
            <v>Eswatini</v>
          </cell>
        </row>
        <row r="95">
          <cell r="A95" t="str">
            <v>Lesotho</v>
          </cell>
        </row>
        <row r="96">
          <cell r="A96" t="str">
            <v>United Kingdom</v>
          </cell>
          <cell r="B96">
            <v>0.51</v>
          </cell>
          <cell r="C96">
            <v>0.49</v>
          </cell>
        </row>
        <row r="97">
          <cell r="A97" t="str">
            <v>France</v>
          </cell>
          <cell r="B97">
            <v>0.61</v>
          </cell>
          <cell r="C97">
            <v>0.39</v>
          </cell>
        </row>
        <row r="98">
          <cell r="A98" t="str">
            <v>Angola</v>
          </cell>
        </row>
        <row r="99">
          <cell r="A99" t="str">
            <v>Bahrain</v>
          </cell>
        </row>
        <row r="100">
          <cell r="A100" t="str">
            <v>Uruguay</v>
          </cell>
        </row>
        <row r="101">
          <cell r="A101" t="str">
            <v>Djibouti</v>
          </cell>
        </row>
        <row r="102">
          <cell r="A102" t="str">
            <v>Guernsey</v>
          </cell>
        </row>
        <row r="103">
          <cell r="A103" t="str">
            <v>Papua New Guinea</v>
          </cell>
        </row>
        <row r="104">
          <cell r="A104" t="str">
            <v>Croatia</v>
          </cell>
          <cell r="B104">
            <v>0.56000000000000005</v>
          </cell>
          <cell r="C104">
            <v>0.44</v>
          </cell>
        </row>
        <row r="105">
          <cell r="A105" t="str">
            <v>Afghanistan</v>
          </cell>
        </row>
        <row r="106">
          <cell r="A106" t="str">
            <v>Spain</v>
          </cell>
          <cell r="B106">
            <v>0.59</v>
          </cell>
          <cell r="C106">
            <v>0.41</v>
          </cell>
        </row>
        <row r="107">
          <cell r="A107" t="str">
            <v>Senegal</v>
          </cell>
        </row>
        <row r="108">
          <cell r="A108" t="str">
            <v>Malawi</v>
          </cell>
        </row>
        <row r="109">
          <cell r="A109" t="str">
            <v>Bhutan</v>
          </cell>
        </row>
        <row r="110">
          <cell r="A110" t="str">
            <v>Chile</v>
          </cell>
          <cell r="B110">
            <v>0.45</v>
          </cell>
          <cell r="C110">
            <v>0.55000000000000004</v>
          </cell>
        </row>
        <row r="111">
          <cell r="A111" t="str">
            <v>CuraÃ§ao</v>
          </cell>
        </row>
        <row r="112">
          <cell r="A112" t="str">
            <v>Cayman Islands</v>
          </cell>
        </row>
        <row r="113">
          <cell r="A113" t="str">
            <v>Ecuador</v>
          </cell>
          <cell r="B113">
            <v>0.39</v>
          </cell>
          <cell r="C113">
            <v>0.61</v>
          </cell>
        </row>
        <row r="114">
          <cell r="A114" t="str">
            <v>Malaysia</v>
          </cell>
          <cell r="B114">
            <v>0.47</v>
          </cell>
          <cell r="C114">
            <v>0.53</v>
          </cell>
        </row>
        <row r="115">
          <cell r="A115" t="str">
            <v>Laos</v>
          </cell>
        </row>
        <row r="116">
          <cell r="A116" t="str">
            <v>Mexico</v>
          </cell>
          <cell r="B116">
            <v>0.44</v>
          </cell>
          <cell r="C116">
            <v>0.56000000000000005</v>
          </cell>
        </row>
        <row r="117">
          <cell r="A117" t="str">
            <v>Colombia</v>
          </cell>
          <cell r="B117">
            <v>0.49</v>
          </cell>
          <cell r="C117">
            <v>0.51</v>
          </cell>
        </row>
        <row r="118">
          <cell r="A118" t="str">
            <v>Vietnam</v>
          </cell>
          <cell r="B118">
            <v>0.56999999999999995</v>
          </cell>
          <cell r="C118">
            <v>0.43</v>
          </cell>
        </row>
        <row r="119">
          <cell r="A119" t="str">
            <v>Uzbekistan</v>
          </cell>
        </row>
        <row r="120">
          <cell r="A120" t="str">
            <v>Congo - Brazzaville</v>
          </cell>
        </row>
        <row r="121">
          <cell r="A121" t="str">
            <v>Panama</v>
          </cell>
        </row>
        <row r="122">
          <cell r="A122" t="str">
            <v>Bolivia</v>
          </cell>
        </row>
        <row r="123">
          <cell r="A123" t="str">
            <v>Georgia</v>
          </cell>
        </row>
        <row r="124">
          <cell r="A124" t="str">
            <v>Liberia</v>
          </cell>
        </row>
        <row r="125">
          <cell r="A125" t="str">
            <v>Burundi</v>
          </cell>
        </row>
        <row r="126">
          <cell r="A126" t="str">
            <v>Morocco</v>
          </cell>
          <cell r="B126">
            <v>0.52</v>
          </cell>
          <cell r="C126">
            <v>0.48</v>
          </cell>
        </row>
        <row r="127">
          <cell r="A127" t="str">
            <v>Dominican Republic</v>
          </cell>
        </row>
        <row r="128">
          <cell r="A128" t="str">
            <v>Greenland</v>
          </cell>
        </row>
        <row r="129">
          <cell r="A129" t="str">
            <v>Fiji</v>
          </cell>
        </row>
        <row r="130">
          <cell r="A130" t="str">
            <v>Kenya</v>
          </cell>
        </row>
        <row r="131">
          <cell r="A131" t="str">
            <v>Nigeria</v>
          </cell>
          <cell r="B131">
            <v>0.69</v>
          </cell>
          <cell r="C131">
            <v>0.31</v>
          </cell>
        </row>
        <row r="132">
          <cell r="A132" t="str">
            <v>Zimbabwe</v>
          </cell>
        </row>
        <row r="133">
          <cell r="A133" t="str">
            <v>Kazakhstan</v>
          </cell>
          <cell r="B133">
            <v>0.6</v>
          </cell>
          <cell r="C133">
            <v>0.4</v>
          </cell>
        </row>
        <row r="134">
          <cell r="A134" t="str">
            <v>Oman</v>
          </cell>
        </row>
        <row r="135">
          <cell r="A135" t="str">
            <v>Jordan</v>
          </cell>
        </row>
        <row r="136">
          <cell r="A136" t="str">
            <v>Congo - Kinshasa</v>
          </cell>
        </row>
        <row r="137">
          <cell r="A137" t="str">
            <v>Palestine</v>
          </cell>
        </row>
        <row r="138">
          <cell r="A138" t="str">
            <v>Uganda</v>
          </cell>
        </row>
        <row r="139">
          <cell r="A139" t="str">
            <v>Namibia</v>
          </cell>
        </row>
        <row r="140">
          <cell r="A140" t="str">
            <v>Ghana</v>
          </cell>
        </row>
        <row r="141">
          <cell r="A141" t="str">
            <v>Qatar</v>
          </cell>
        </row>
        <row r="142">
          <cell r="A142" t="str">
            <v>Montenegro</v>
          </cell>
        </row>
        <row r="143">
          <cell r="A143" t="str">
            <v>New Caledonia</v>
          </cell>
        </row>
        <row r="144">
          <cell r="A144" t="str">
            <v>Greece</v>
          </cell>
          <cell r="B144">
            <v>0.55000000000000004</v>
          </cell>
          <cell r="C144">
            <v>0.45</v>
          </cell>
        </row>
        <row r="145">
          <cell r="A145" t="str">
            <v>CÃ´te dâ€™Ivoire</v>
          </cell>
        </row>
        <row r="146">
          <cell r="A146" t="str">
            <v>Barbados</v>
          </cell>
        </row>
        <row r="147">
          <cell r="A147" t="str">
            <v>Jamaica</v>
          </cell>
        </row>
        <row r="148">
          <cell r="A148" t="str">
            <v>Kyrgyzstan</v>
          </cell>
        </row>
        <row r="149">
          <cell r="A149" t="str">
            <v>Iran</v>
          </cell>
          <cell r="B149">
            <v>0.45</v>
          </cell>
          <cell r="C149">
            <v>0.55000000000000004</v>
          </cell>
        </row>
        <row r="150">
          <cell r="A150" t="str">
            <v>Azerbaijan</v>
          </cell>
        </row>
        <row r="151">
          <cell r="A151" t="str">
            <v>French Polynesia</v>
          </cell>
        </row>
        <row r="152">
          <cell r="A152" t="str">
            <v>Chad</v>
          </cell>
        </row>
        <row r="153">
          <cell r="A153" t="str">
            <v>Italy</v>
          </cell>
          <cell r="B153">
            <v>0.56000000000000005</v>
          </cell>
          <cell r="C153">
            <v>0.44</v>
          </cell>
        </row>
        <row r="154">
          <cell r="A154" t="str">
            <v>Argentina</v>
          </cell>
          <cell r="B154">
            <v>0.56000000000000005</v>
          </cell>
          <cell r="C154">
            <v>0.44</v>
          </cell>
        </row>
        <row r="155">
          <cell r="A155" t="str">
            <v>Paraguay</v>
          </cell>
        </row>
        <row r="156">
          <cell r="A156" t="str">
            <v>Brazil</v>
          </cell>
          <cell r="B156">
            <v>0.54</v>
          </cell>
          <cell r="C156">
            <v>0.46</v>
          </cell>
        </row>
        <row r="157">
          <cell r="A157" t="str">
            <v>Belize</v>
          </cell>
        </row>
        <row r="158">
          <cell r="A158" t="str">
            <v>Gambia</v>
          </cell>
        </row>
        <row r="159">
          <cell r="A159" t="str">
            <v>Puerto Rico</v>
          </cell>
        </row>
        <row r="160">
          <cell r="A160" t="str">
            <v>Egypt</v>
          </cell>
          <cell r="B160">
            <v>0.53</v>
          </cell>
          <cell r="C160">
            <v>0.47</v>
          </cell>
        </row>
        <row r="161">
          <cell r="A161" t="str">
            <v>Libya</v>
          </cell>
        </row>
        <row r="162">
          <cell r="A162" t="str">
            <v>Brunei</v>
          </cell>
        </row>
        <row r="163">
          <cell r="A163" t="str">
            <v>Sudan</v>
          </cell>
        </row>
        <row r="164">
          <cell r="A164" t="str">
            <v>Trinidad &amp; Tobago</v>
          </cell>
        </row>
        <row r="165">
          <cell r="A165" t="str">
            <v>Sierra Leone</v>
          </cell>
        </row>
        <row r="166">
          <cell r="A166" t="str">
            <v>Haiti</v>
          </cell>
        </row>
        <row r="167">
          <cell r="A167" t="str">
            <v>U.S. Virgin Islands</v>
          </cell>
        </row>
        <row r="168">
          <cell r="A168" t="str">
            <v>Thailand</v>
          </cell>
          <cell r="B168">
            <v>0.51</v>
          </cell>
          <cell r="C168">
            <v>0.49</v>
          </cell>
        </row>
        <row r="169">
          <cell r="A169" t="str">
            <v>Kuwait</v>
          </cell>
        </row>
        <row r="170">
          <cell r="A170" t="str">
            <v>St. Vincent &amp; Grenadines</v>
          </cell>
        </row>
        <row r="171">
          <cell r="A171" t="str">
            <v>Yemen</v>
          </cell>
        </row>
        <row r="172">
          <cell r="A172" t="str">
            <v>Mauritania</v>
          </cell>
        </row>
        <row r="173">
          <cell r="A173" t="str">
            <v>Aruba</v>
          </cell>
        </row>
        <row r="174">
          <cell r="A174" t="str">
            <v>Central African Republic</v>
          </cell>
        </row>
        <row r="175">
          <cell r="A175" t="str">
            <v>Suriname</v>
          </cell>
        </row>
        <row r="176">
          <cell r="A176" t="str">
            <v>Dominica</v>
          </cell>
        </row>
        <row r="177">
          <cell r="A177" t="str">
            <v>RÃ©union</v>
          </cell>
        </row>
        <row r="178">
          <cell r="A178" t="str">
            <v>Zambia</v>
          </cell>
        </row>
        <row r="179">
          <cell r="A179" t="str">
            <v>Antigua &amp; Barbuda</v>
          </cell>
        </row>
        <row r="180">
          <cell r="A180" t="str">
            <v>Saudi Arabia</v>
          </cell>
          <cell r="B180">
            <v>0.36</v>
          </cell>
          <cell r="C180">
            <v>0.64</v>
          </cell>
        </row>
        <row r="181">
          <cell r="A181" t="str">
            <v>Sint Maarten</v>
          </cell>
        </row>
        <row r="182">
          <cell r="A182" t="str">
            <v>Gabon</v>
          </cell>
        </row>
        <row r="183">
          <cell r="A183" t="str">
            <v>Indonesia</v>
          </cell>
          <cell r="B183">
            <v>0.56000000000000005</v>
          </cell>
          <cell r="C183">
            <v>0.44</v>
          </cell>
        </row>
        <row r="184">
          <cell r="A184" t="str">
            <v>Niger</v>
          </cell>
        </row>
        <row r="185">
          <cell r="A185" t="str">
            <v>Algeria</v>
          </cell>
        </row>
        <row r="186">
          <cell r="A186" t="str">
            <v>Turkey</v>
          </cell>
          <cell r="B186">
            <v>0.45</v>
          </cell>
          <cell r="C186">
            <v>0.55000000000000004</v>
          </cell>
        </row>
        <row r="187">
          <cell r="A187" t="str">
            <v>Guyana</v>
          </cell>
        </row>
        <row r="188">
          <cell r="A188" t="str">
            <v>Syria</v>
          </cell>
        </row>
        <row r="189">
          <cell r="A189" t="str">
            <v>Timor-Leste</v>
          </cell>
        </row>
        <row r="190">
          <cell r="A190" t="str">
            <v>Mozambique</v>
          </cell>
        </row>
        <row r="191">
          <cell r="A191" t="str">
            <v>Western Sahara</v>
          </cell>
        </row>
        <row r="192">
          <cell r="A192" t="str">
            <v>Guadeloupe</v>
          </cell>
        </row>
        <row r="193">
          <cell r="A193" t="str">
            <v>Tajikistan</v>
          </cell>
        </row>
        <row r="194">
          <cell r="A194" t="str">
            <v>Venezuela</v>
          </cell>
          <cell r="B194">
            <v>0.62</v>
          </cell>
          <cell r="C194">
            <v>0.38</v>
          </cell>
        </row>
        <row r="195">
          <cell r="A195" t="str">
            <v>Tanzania</v>
          </cell>
        </row>
        <row r="196">
          <cell r="A196" t="str">
            <v>Caribbean Netherlands</v>
          </cell>
        </row>
        <row r="197">
          <cell r="A197" t="str">
            <v>Mali</v>
          </cell>
        </row>
        <row r="198">
          <cell r="A198" t="str">
            <v>Martinique</v>
          </cell>
        </row>
        <row r="199">
          <cell r="A199" t="str">
            <v>Bahamas</v>
          </cell>
        </row>
        <row r="200">
          <cell r="A200" t="str">
            <v>Burkina Faso</v>
          </cell>
        </row>
        <row r="201">
          <cell r="A201" t="str">
            <v>Guinea</v>
          </cell>
        </row>
        <row r="202">
          <cell r="A202" t="str">
            <v>Guam</v>
          </cell>
        </row>
        <row r="203">
          <cell r="A203" t="str">
            <v>French Guiana</v>
          </cell>
        </row>
        <row r="204">
          <cell r="A204" t="str">
            <v>St. Lucia</v>
          </cell>
        </row>
        <row r="205">
          <cell r="A205" t="str">
            <v>South Sudan</v>
          </cell>
        </row>
        <row r="206">
          <cell r="A206" t="str">
            <v>Grenada</v>
          </cell>
        </row>
        <row r="207">
          <cell r="A207" t="str">
            <v>Turkmenistan</v>
          </cell>
        </row>
        <row r="208">
          <cell r="A208" t="str">
            <v>Iraq</v>
          </cell>
        </row>
        <row r="209">
          <cell r="A209" t="str">
            <v>North Korea</v>
          </cell>
        </row>
        <row r="210">
          <cell r="A210" t="str">
            <v>Eritrea</v>
          </cell>
        </row>
        <row r="211">
          <cell r="A211" t="str">
            <v>Nauru</v>
          </cell>
        </row>
        <row r="212">
          <cell r="A212" t="str">
            <v>Tonga</v>
          </cell>
        </row>
        <row r="213">
          <cell r="A213" t="str">
            <v>St. Martin</v>
          </cell>
        </row>
        <row r="214">
          <cell r="A214" t="str">
            <v>Falkland Islands (Islas Malvinas)</v>
          </cell>
        </row>
        <row r="215">
          <cell r="A215" t="str">
            <v>Marshall Islands</v>
          </cell>
        </row>
        <row r="216">
          <cell r="A216" t="str">
            <v>Montserrat</v>
          </cell>
        </row>
        <row r="217">
          <cell r="A217" t="str">
            <v>Northern Mariana Islands</v>
          </cell>
        </row>
        <row r="218">
          <cell r="A218" t="str">
            <v>St. Kitts &amp; Nevis</v>
          </cell>
        </row>
        <row r="219">
          <cell r="A219" t="str">
            <v>Turks &amp; Caicos Islands</v>
          </cell>
        </row>
        <row r="220">
          <cell r="A220" t="str">
            <v>Seychelles</v>
          </cell>
        </row>
        <row r="221">
          <cell r="A221" t="str">
            <v>Comoros</v>
          </cell>
        </row>
        <row r="222">
          <cell r="A222" t="str">
            <v>Cook Islands</v>
          </cell>
        </row>
        <row r="223">
          <cell r="A223" t="str">
            <v>British Virgin Islands</v>
          </cell>
        </row>
        <row r="224">
          <cell r="A224" t="str">
            <v>Mayotte</v>
          </cell>
        </row>
        <row r="225">
          <cell r="A225" t="str">
            <v>Solomon Islands</v>
          </cell>
        </row>
        <row r="226">
          <cell r="A226" t="str">
            <v>St. BarthÃ©lemy</v>
          </cell>
        </row>
        <row r="227">
          <cell r="A227" t="str">
            <v>Samoa</v>
          </cell>
        </row>
        <row r="228">
          <cell r="A228" t="str">
            <v>Micronesia</v>
          </cell>
        </row>
        <row r="229">
          <cell r="A229" t="str">
            <v>Anguilla</v>
          </cell>
        </row>
        <row r="230">
          <cell r="A230" t="str">
            <v>Guinea-Bissau</v>
          </cell>
        </row>
        <row r="231">
          <cell r="A231" t="str">
            <v>SÃ£o TomÃ© &amp; PrÃ­ncipe</v>
          </cell>
        </row>
        <row r="232">
          <cell r="A232" t="str">
            <v>American Samoa</v>
          </cell>
        </row>
        <row r="233">
          <cell r="A233" t="str">
            <v>Equatorial Guinea</v>
          </cell>
        </row>
        <row r="234">
          <cell r="A234" t="str">
            <v>Antarctica</v>
          </cell>
        </row>
        <row r="235">
          <cell r="A235" t="str">
            <v>French Southern Territories</v>
          </cell>
        </row>
        <row r="236">
          <cell r="A236" t="str">
            <v>Bouvet Island</v>
          </cell>
        </row>
        <row r="237">
          <cell r="A237" t="str">
            <v>Cocos (Keeling) Islands</v>
          </cell>
        </row>
        <row r="238">
          <cell r="A238" t="str">
            <v>Christmas Island</v>
          </cell>
        </row>
        <row r="239">
          <cell r="A239" t="str">
            <v>Heard &amp; McDonald Islands</v>
          </cell>
        </row>
        <row r="240">
          <cell r="A240" t="str">
            <v>British Indian Ocean Territory</v>
          </cell>
        </row>
        <row r="241">
          <cell r="A241" t="str">
            <v>Kiribati</v>
          </cell>
        </row>
        <row r="242">
          <cell r="A242" t="str">
            <v>Norfolk Island</v>
          </cell>
        </row>
        <row r="243">
          <cell r="A243" t="str">
            <v>Niue</v>
          </cell>
        </row>
        <row r="244">
          <cell r="A244" t="str">
            <v>Pitcairn Islands</v>
          </cell>
        </row>
        <row r="245">
          <cell r="A245" t="str">
            <v>Palau</v>
          </cell>
        </row>
        <row r="246">
          <cell r="A246" t="str">
            <v>South Georgia &amp; South Sandwich Islands</v>
          </cell>
        </row>
        <row r="247">
          <cell r="A247" t="str">
            <v>Svalbard &amp; Jan Mayen</v>
          </cell>
        </row>
        <row r="248">
          <cell r="A248" t="str">
            <v>St. Pierre &amp; Miquelon</v>
          </cell>
        </row>
        <row r="249">
          <cell r="A249" t="str">
            <v>Tokelau</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4)"/>
    </sheetNames>
    <sheetDataSet>
      <sheetData sheetId="0" refreshError="1">
        <row r="1">
          <cell r="A1" t="str">
            <v>Kategori: TÃ¼m kategoriler</v>
          </cell>
        </row>
        <row r="3">
          <cell r="A3" t="str">
            <v>Ãœlke</v>
          </cell>
          <cell r="B3" t="str">
            <v>SQL: (2018)</v>
          </cell>
          <cell r="C3" t="str">
            <v>VeritabanÄ±: (2018)</v>
          </cell>
        </row>
        <row r="4">
          <cell r="A4" t="str">
            <v>China</v>
          </cell>
          <cell r="B4">
            <v>0.5</v>
          </cell>
          <cell r="C4">
            <v>0.5</v>
          </cell>
        </row>
        <row r="5">
          <cell r="A5" t="str">
            <v>Eritrea</v>
          </cell>
        </row>
        <row r="6">
          <cell r="A6" t="str">
            <v>Cuba</v>
          </cell>
        </row>
        <row r="7">
          <cell r="A7" t="str">
            <v>St. Helena</v>
          </cell>
          <cell r="B7">
            <v>0.64</v>
          </cell>
          <cell r="C7">
            <v>0.36</v>
          </cell>
        </row>
        <row r="8">
          <cell r="A8" t="str">
            <v>Ethiopia</v>
          </cell>
        </row>
        <row r="9">
          <cell r="A9" t="str">
            <v>Liechtenstein</v>
          </cell>
        </row>
        <row r="10">
          <cell r="A10" t="str">
            <v>Botswana</v>
          </cell>
        </row>
        <row r="11">
          <cell r="A11" t="str">
            <v>Malawi</v>
          </cell>
        </row>
        <row r="12">
          <cell r="A12" t="str">
            <v>Zimbabwe</v>
          </cell>
        </row>
        <row r="13">
          <cell r="A13" t="str">
            <v>Papua New Guinea</v>
          </cell>
        </row>
        <row r="14">
          <cell r="A14" t="str">
            <v>Luxembourg</v>
          </cell>
        </row>
        <row r="15">
          <cell r="A15" t="str">
            <v>Rwanda</v>
          </cell>
        </row>
        <row r="16">
          <cell r="A16" t="str">
            <v>Singapore</v>
          </cell>
          <cell r="B16">
            <v>0.6</v>
          </cell>
          <cell r="C16">
            <v>0.4</v>
          </cell>
        </row>
        <row r="17">
          <cell r="A17" t="str">
            <v>Guinea-Bissau</v>
          </cell>
        </row>
        <row r="18">
          <cell r="A18" t="str">
            <v>Samoa</v>
          </cell>
        </row>
        <row r="19">
          <cell r="A19" t="str">
            <v>Vanuatu</v>
          </cell>
        </row>
        <row r="20">
          <cell r="A20" t="str">
            <v>Myanmar (Burma)</v>
          </cell>
        </row>
        <row r="21">
          <cell r="A21" t="str">
            <v>Tonga</v>
          </cell>
        </row>
        <row r="22">
          <cell r="A22" t="str">
            <v>Central African Republic</v>
          </cell>
        </row>
        <row r="23">
          <cell r="A23" t="str">
            <v>Madagascar</v>
          </cell>
        </row>
        <row r="24">
          <cell r="A24" t="str">
            <v>Isle of Man</v>
          </cell>
        </row>
        <row r="25">
          <cell r="A25" t="str">
            <v>Eswatini</v>
          </cell>
        </row>
        <row r="26">
          <cell r="A26" t="str">
            <v>India</v>
          </cell>
          <cell r="B26">
            <v>0.62</v>
          </cell>
          <cell r="C26">
            <v>0.38</v>
          </cell>
        </row>
        <row r="27">
          <cell r="A27" t="str">
            <v>Timor-Leste</v>
          </cell>
        </row>
        <row r="28">
          <cell r="A28" t="str">
            <v>Cape Verde</v>
          </cell>
        </row>
        <row r="29">
          <cell r="A29" t="str">
            <v>Malta</v>
          </cell>
        </row>
        <row r="30">
          <cell r="A30" t="str">
            <v>Costa Rica</v>
          </cell>
          <cell r="B30">
            <v>0.64</v>
          </cell>
          <cell r="C30">
            <v>0.36</v>
          </cell>
        </row>
        <row r="31">
          <cell r="A31" t="str">
            <v>Gibraltar</v>
          </cell>
        </row>
        <row r="32">
          <cell r="A32" t="str">
            <v>Mauritius</v>
          </cell>
        </row>
        <row r="33">
          <cell r="A33" t="str">
            <v>Solomon Islands</v>
          </cell>
        </row>
        <row r="34">
          <cell r="A34" t="str">
            <v>Sri Lanka</v>
          </cell>
          <cell r="B34">
            <v>0.53</v>
          </cell>
          <cell r="C34">
            <v>0.47</v>
          </cell>
        </row>
        <row r="35">
          <cell r="A35" t="str">
            <v>El Salvador</v>
          </cell>
          <cell r="B35">
            <v>0.56999999999999995</v>
          </cell>
          <cell r="C35">
            <v>0.43</v>
          </cell>
        </row>
        <row r="36">
          <cell r="A36" t="str">
            <v>Burundi</v>
          </cell>
        </row>
        <row r="37">
          <cell r="A37" t="str">
            <v>Afghanistan</v>
          </cell>
        </row>
        <row r="38">
          <cell r="A38" t="str">
            <v>Nepal</v>
          </cell>
        </row>
        <row r="39">
          <cell r="A39" t="str">
            <v>Cameroon</v>
          </cell>
        </row>
        <row r="40">
          <cell r="A40" t="str">
            <v>South Korea</v>
          </cell>
          <cell r="B40">
            <v>0.46</v>
          </cell>
          <cell r="C40">
            <v>0.54</v>
          </cell>
        </row>
        <row r="41">
          <cell r="A41" t="str">
            <v>Jersey</v>
          </cell>
        </row>
        <row r="42">
          <cell r="A42" t="str">
            <v>Iceland</v>
          </cell>
        </row>
        <row r="43">
          <cell r="A43" t="str">
            <v>SÃ£o TomÃ© &amp; PrÃ­ncipe</v>
          </cell>
        </row>
        <row r="44">
          <cell r="A44" t="str">
            <v>Nicaragua</v>
          </cell>
        </row>
        <row r="45">
          <cell r="A45" t="str">
            <v>Lesotho</v>
          </cell>
        </row>
        <row r="46">
          <cell r="A46" t="str">
            <v>Uganda</v>
          </cell>
        </row>
        <row r="47">
          <cell r="A47" t="str">
            <v>Congo - Brazzaville</v>
          </cell>
        </row>
        <row r="48">
          <cell r="A48" t="str">
            <v>New Zealand</v>
          </cell>
          <cell r="B48">
            <v>0.56000000000000005</v>
          </cell>
          <cell r="C48">
            <v>0.44</v>
          </cell>
        </row>
        <row r="49">
          <cell r="A49" t="str">
            <v>Hong Kong</v>
          </cell>
          <cell r="B49">
            <v>0.56999999999999995</v>
          </cell>
          <cell r="C49">
            <v>0.43</v>
          </cell>
        </row>
        <row r="50">
          <cell r="A50" t="str">
            <v>Bermuda</v>
          </cell>
        </row>
        <row r="51">
          <cell r="A51" t="str">
            <v>Israel</v>
          </cell>
          <cell r="B51">
            <v>0.69</v>
          </cell>
          <cell r="C51">
            <v>0.31</v>
          </cell>
        </row>
        <row r="52">
          <cell r="A52" t="str">
            <v>Bhutan</v>
          </cell>
        </row>
        <row r="53">
          <cell r="A53" t="str">
            <v>Macao</v>
          </cell>
        </row>
        <row r="54">
          <cell r="A54" t="str">
            <v>Honduras</v>
          </cell>
        </row>
        <row r="55">
          <cell r="A55" t="str">
            <v>Pakistan</v>
          </cell>
          <cell r="B55">
            <v>0.48</v>
          </cell>
          <cell r="C55">
            <v>0.52</v>
          </cell>
        </row>
        <row r="56">
          <cell r="A56" t="str">
            <v>North Macedonia</v>
          </cell>
        </row>
        <row r="57">
          <cell r="A57" t="str">
            <v>Djibouti</v>
          </cell>
        </row>
        <row r="58">
          <cell r="A58" t="str">
            <v>Andorra</v>
          </cell>
        </row>
        <row r="59">
          <cell r="A59" t="str">
            <v>Tunisia</v>
          </cell>
          <cell r="B59">
            <v>0.54</v>
          </cell>
          <cell r="C59">
            <v>0.46</v>
          </cell>
        </row>
        <row r="60">
          <cell r="A60" t="str">
            <v>Togo</v>
          </cell>
        </row>
        <row r="61">
          <cell r="A61" t="str">
            <v>Somalia</v>
          </cell>
        </row>
        <row r="62">
          <cell r="A62" t="str">
            <v>Equatorial Guinea</v>
          </cell>
        </row>
        <row r="63">
          <cell r="A63" t="str">
            <v>Gambia</v>
          </cell>
        </row>
        <row r="64">
          <cell r="A64" t="str">
            <v>Ã…land Islands</v>
          </cell>
        </row>
        <row r="65">
          <cell r="A65" t="str">
            <v>Angola</v>
          </cell>
        </row>
        <row r="66">
          <cell r="A66" t="str">
            <v>Portugal</v>
          </cell>
          <cell r="B66">
            <v>0.61</v>
          </cell>
          <cell r="C66">
            <v>0.39</v>
          </cell>
        </row>
        <row r="67">
          <cell r="A67" t="str">
            <v>South Africa</v>
          </cell>
          <cell r="B67">
            <v>0.51</v>
          </cell>
          <cell r="C67">
            <v>0.49</v>
          </cell>
        </row>
        <row r="68">
          <cell r="A68" t="str">
            <v>Faroe Islands</v>
          </cell>
        </row>
        <row r="69">
          <cell r="A69" t="str">
            <v>Fiji</v>
          </cell>
        </row>
        <row r="70">
          <cell r="A70" t="str">
            <v>Congo - Kinshasa</v>
          </cell>
        </row>
        <row r="71">
          <cell r="A71" t="str">
            <v>Switzerland</v>
          </cell>
          <cell r="B71">
            <v>0.56999999999999995</v>
          </cell>
          <cell r="C71">
            <v>0.43</v>
          </cell>
        </row>
        <row r="72">
          <cell r="A72" t="str">
            <v>Peru</v>
          </cell>
          <cell r="B72">
            <v>0.6</v>
          </cell>
          <cell r="C72">
            <v>0.4</v>
          </cell>
        </row>
        <row r="73">
          <cell r="A73" t="str">
            <v>Liberia</v>
          </cell>
        </row>
        <row r="74">
          <cell r="A74" t="str">
            <v>Benin</v>
          </cell>
        </row>
        <row r="75">
          <cell r="A75" t="str">
            <v>Estonia</v>
          </cell>
        </row>
        <row r="76">
          <cell r="A76" t="str">
            <v>Mozambique</v>
          </cell>
        </row>
        <row r="77">
          <cell r="A77" t="str">
            <v>Denmark</v>
          </cell>
          <cell r="B77">
            <v>0.59</v>
          </cell>
          <cell r="C77">
            <v>0.41</v>
          </cell>
        </row>
        <row r="78">
          <cell r="A78" t="str">
            <v>Ghana</v>
          </cell>
        </row>
        <row r="79">
          <cell r="A79" t="str">
            <v>Colombia</v>
          </cell>
          <cell r="B79">
            <v>0.43</v>
          </cell>
          <cell r="C79">
            <v>0.56999999999999995</v>
          </cell>
        </row>
        <row r="80">
          <cell r="A80" t="str">
            <v>Australia</v>
          </cell>
          <cell r="B80">
            <v>0.55000000000000004</v>
          </cell>
          <cell r="C80">
            <v>0.45</v>
          </cell>
        </row>
        <row r="81">
          <cell r="A81" t="str">
            <v>United States</v>
          </cell>
          <cell r="B81">
            <v>0.56000000000000005</v>
          </cell>
          <cell r="C81">
            <v>0.44</v>
          </cell>
        </row>
        <row r="82">
          <cell r="A82" t="str">
            <v>Canada</v>
          </cell>
          <cell r="B82">
            <v>0.53</v>
          </cell>
          <cell r="C82">
            <v>0.47</v>
          </cell>
        </row>
        <row r="83">
          <cell r="A83" t="str">
            <v>Kenya</v>
          </cell>
        </row>
        <row r="84">
          <cell r="A84" t="str">
            <v>Ireland</v>
          </cell>
          <cell r="B84">
            <v>0.55000000000000004</v>
          </cell>
          <cell r="C84">
            <v>0.45</v>
          </cell>
        </row>
        <row r="85">
          <cell r="A85" t="str">
            <v>Tanzania</v>
          </cell>
        </row>
        <row r="86">
          <cell r="A86" t="str">
            <v>United Arab Emirates</v>
          </cell>
          <cell r="B86">
            <v>0.57999999999999996</v>
          </cell>
          <cell r="C86">
            <v>0.42</v>
          </cell>
        </row>
        <row r="87">
          <cell r="A87" t="str">
            <v>South Sudan</v>
          </cell>
        </row>
        <row r="88">
          <cell r="A88" t="str">
            <v>Latvia</v>
          </cell>
        </row>
        <row r="89">
          <cell r="A89" t="str">
            <v>Taiwan</v>
          </cell>
          <cell r="B89">
            <v>0.54</v>
          </cell>
          <cell r="C89">
            <v>0.46</v>
          </cell>
        </row>
        <row r="90">
          <cell r="A90" t="str">
            <v>Guatemala</v>
          </cell>
          <cell r="B90">
            <v>0.53</v>
          </cell>
          <cell r="C90">
            <v>0.47</v>
          </cell>
        </row>
        <row r="91">
          <cell r="A91" t="str">
            <v>Monaco</v>
          </cell>
        </row>
        <row r="92">
          <cell r="A92" t="str">
            <v>Chad</v>
          </cell>
        </row>
        <row r="93">
          <cell r="A93" t="str">
            <v>Lebanon</v>
          </cell>
        </row>
        <row r="94">
          <cell r="A94" t="str">
            <v>Czechia</v>
          </cell>
          <cell r="B94">
            <v>0.5</v>
          </cell>
          <cell r="C94">
            <v>0.5</v>
          </cell>
        </row>
        <row r="95">
          <cell r="A95" t="str">
            <v>Brunei</v>
          </cell>
        </row>
        <row r="96">
          <cell r="A96" t="str">
            <v>Namibia</v>
          </cell>
        </row>
        <row r="97">
          <cell r="A97" t="str">
            <v>Slovenia</v>
          </cell>
        </row>
        <row r="98">
          <cell r="A98" t="str">
            <v>Philippines</v>
          </cell>
          <cell r="B98">
            <v>0.51</v>
          </cell>
          <cell r="C98">
            <v>0.49</v>
          </cell>
        </row>
        <row r="99">
          <cell r="A99" t="str">
            <v>Cyprus</v>
          </cell>
        </row>
        <row r="100">
          <cell r="A100" t="str">
            <v>Bahrain</v>
          </cell>
        </row>
        <row r="101">
          <cell r="A101" t="str">
            <v>Jamaica</v>
          </cell>
        </row>
        <row r="102">
          <cell r="A102" t="str">
            <v>Zambia</v>
          </cell>
        </row>
        <row r="103">
          <cell r="A103" t="str">
            <v>Netherlands</v>
          </cell>
          <cell r="B103">
            <v>0.56000000000000005</v>
          </cell>
          <cell r="C103">
            <v>0.44</v>
          </cell>
        </row>
        <row r="104">
          <cell r="A104" t="str">
            <v>Armenia</v>
          </cell>
        </row>
        <row r="105">
          <cell r="A105" t="str">
            <v>Senegal</v>
          </cell>
        </row>
        <row r="106">
          <cell r="A106" t="str">
            <v>United Kingdom</v>
          </cell>
          <cell r="B106">
            <v>0.56000000000000005</v>
          </cell>
          <cell r="C106">
            <v>0.44</v>
          </cell>
        </row>
        <row r="107">
          <cell r="A107" t="str">
            <v>Sweden</v>
          </cell>
          <cell r="B107">
            <v>0.57999999999999996</v>
          </cell>
          <cell r="C107">
            <v>0.42</v>
          </cell>
        </row>
        <row r="108">
          <cell r="A108" t="str">
            <v>Guernsey</v>
          </cell>
        </row>
        <row r="109">
          <cell r="A109" t="str">
            <v>Sudan</v>
          </cell>
        </row>
        <row r="110">
          <cell r="A110" t="str">
            <v>Japan</v>
          </cell>
          <cell r="B110">
            <v>0.54</v>
          </cell>
          <cell r="C110">
            <v>0.46</v>
          </cell>
        </row>
        <row r="111">
          <cell r="A111" t="str">
            <v>Nigeria</v>
          </cell>
          <cell r="B111">
            <v>0.27</v>
          </cell>
          <cell r="C111">
            <v>0.73</v>
          </cell>
        </row>
        <row r="112">
          <cell r="A112" t="str">
            <v>Belarus</v>
          </cell>
          <cell r="B112">
            <v>0.54</v>
          </cell>
          <cell r="C112">
            <v>0.46</v>
          </cell>
        </row>
        <row r="113">
          <cell r="A113" t="str">
            <v>San Marino</v>
          </cell>
        </row>
        <row r="114">
          <cell r="A114" t="str">
            <v>Ecuador</v>
          </cell>
          <cell r="B114">
            <v>0.5</v>
          </cell>
          <cell r="C114">
            <v>0.5</v>
          </cell>
        </row>
        <row r="115">
          <cell r="A115" t="str">
            <v>Belize</v>
          </cell>
        </row>
        <row r="116">
          <cell r="A116" t="str">
            <v>Maldives</v>
          </cell>
        </row>
        <row r="117">
          <cell r="A117" t="str">
            <v>Chile</v>
          </cell>
          <cell r="B117">
            <v>0.61</v>
          </cell>
          <cell r="C117">
            <v>0.39</v>
          </cell>
        </row>
        <row r="118">
          <cell r="A118" t="str">
            <v>Norway</v>
          </cell>
          <cell r="B118">
            <v>0.57999999999999996</v>
          </cell>
          <cell r="C118">
            <v>0.42</v>
          </cell>
        </row>
        <row r="119">
          <cell r="A119" t="str">
            <v>CuraÃ§ao</v>
          </cell>
        </row>
        <row r="120">
          <cell r="A120" t="str">
            <v>Cayman Islands</v>
          </cell>
        </row>
        <row r="121">
          <cell r="A121" t="str">
            <v>Sierra Leone</v>
          </cell>
        </row>
        <row r="122">
          <cell r="A122" t="str">
            <v>Malaysia</v>
          </cell>
          <cell r="B122">
            <v>0.51</v>
          </cell>
          <cell r="C122">
            <v>0.49</v>
          </cell>
        </row>
        <row r="123">
          <cell r="A123" t="str">
            <v>Serbia</v>
          </cell>
          <cell r="B123">
            <v>0.56999999999999995</v>
          </cell>
          <cell r="C123">
            <v>0.43</v>
          </cell>
        </row>
        <row r="124">
          <cell r="A124" t="str">
            <v>Albania</v>
          </cell>
        </row>
        <row r="125">
          <cell r="A125" t="str">
            <v>Kosovo</v>
          </cell>
        </row>
        <row r="126">
          <cell r="A126" t="str">
            <v>Belgium</v>
          </cell>
          <cell r="B126">
            <v>0.54</v>
          </cell>
          <cell r="C126">
            <v>0.46</v>
          </cell>
        </row>
        <row r="127">
          <cell r="A127" t="str">
            <v>Laos</v>
          </cell>
        </row>
        <row r="128">
          <cell r="A128" t="str">
            <v>Austria</v>
          </cell>
          <cell r="B128">
            <v>0.52</v>
          </cell>
          <cell r="C128">
            <v>0.48</v>
          </cell>
        </row>
        <row r="129">
          <cell r="A129" t="str">
            <v>Lithuania</v>
          </cell>
          <cell r="B129">
            <v>0.54</v>
          </cell>
          <cell r="C129">
            <v>0.46</v>
          </cell>
        </row>
        <row r="130">
          <cell r="A130" t="str">
            <v>Mexico</v>
          </cell>
          <cell r="B130">
            <v>0.52</v>
          </cell>
          <cell r="C130">
            <v>0.48</v>
          </cell>
        </row>
        <row r="131">
          <cell r="A131" t="str">
            <v>Niger</v>
          </cell>
        </row>
        <row r="132">
          <cell r="A132" t="str">
            <v>Panama</v>
          </cell>
        </row>
        <row r="133">
          <cell r="A133" t="str">
            <v>Mongolia</v>
          </cell>
        </row>
        <row r="134">
          <cell r="A134" t="str">
            <v>Yemen</v>
          </cell>
        </row>
        <row r="135">
          <cell r="A135" t="str">
            <v>CÃ´te dâ€™Ivoire</v>
          </cell>
        </row>
        <row r="136">
          <cell r="A136" t="str">
            <v>Bangladesh</v>
          </cell>
          <cell r="B136">
            <v>0.46</v>
          </cell>
          <cell r="C136">
            <v>0.54</v>
          </cell>
        </row>
        <row r="137">
          <cell r="A137" t="str">
            <v>Bolivia</v>
          </cell>
          <cell r="B137">
            <v>0.53</v>
          </cell>
          <cell r="C137">
            <v>0.47</v>
          </cell>
        </row>
        <row r="138">
          <cell r="A138" t="str">
            <v>Romania</v>
          </cell>
          <cell r="B138">
            <v>0.56000000000000005</v>
          </cell>
          <cell r="C138">
            <v>0.44</v>
          </cell>
        </row>
        <row r="139">
          <cell r="A139" t="str">
            <v>Finland</v>
          </cell>
          <cell r="B139">
            <v>0.54</v>
          </cell>
          <cell r="C139">
            <v>0.46</v>
          </cell>
        </row>
        <row r="140">
          <cell r="A140" t="str">
            <v>Barbados</v>
          </cell>
        </row>
        <row r="141">
          <cell r="A141" t="str">
            <v>Haiti</v>
          </cell>
        </row>
        <row r="142">
          <cell r="A142" t="str">
            <v>Germany</v>
          </cell>
          <cell r="B142">
            <v>0.5</v>
          </cell>
          <cell r="C142">
            <v>0.5</v>
          </cell>
        </row>
        <row r="143">
          <cell r="A143" t="str">
            <v>Dominican Republic</v>
          </cell>
          <cell r="B143">
            <v>0.52</v>
          </cell>
          <cell r="C143">
            <v>0.48</v>
          </cell>
        </row>
        <row r="144">
          <cell r="A144" t="str">
            <v>Greenland</v>
          </cell>
        </row>
        <row r="145">
          <cell r="A145" t="str">
            <v>Poland</v>
          </cell>
          <cell r="B145">
            <v>0.54</v>
          </cell>
          <cell r="C145">
            <v>0.46</v>
          </cell>
        </row>
        <row r="146">
          <cell r="A146" t="str">
            <v>Indonesia</v>
          </cell>
          <cell r="B146">
            <v>0.32</v>
          </cell>
          <cell r="C146">
            <v>0.68</v>
          </cell>
        </row>
        <row r="147">
          <cell r="A147" t="str">
            <v>St. Lucia</v>
          </cell>
        </row>
        <row r="148">
          <cell r="A148" t="str">
            <v>Trinidad &amp; Tobago</v>
          </cell>
        </row>
        <row r="149">
          <cell r="A149" t="str">
            <v>Bulgaria</v>
          </cell>
          <cell r="B149">
            <v>0.56000000000000005</v>
          </cell>
          <cell r="C149">
            <v>0.44</v>
          </cell>
        </row>
        <row r="150">
          <cell r="A150" t="str">
            <v>Cambodia</v>
          </cell>
        </row>
        <row r="151">
          <cell r="A151" t="str">
            <v>Oman</v>
          </cell>
        </row>
        <row r="152">
          <cell r="A152" t="str">
            <v>St. Vincent &amp; Grenadines</v>
          </cell>
        </row>
        <row r="153">
          <cell r="A153" t="str">
            <v>St. Kitts &amp; Nevis</v>
          </cell>
        </row>
        <row r="154">
          <cell r="A154" t="str">
            <v>Libya</v>
          </cell>
        </row>
        <row r="155">
          <cell r="A155" t="str">
            <v>Jordan</v>
          </cell>
        </row>
        <row r="156">
          <cell r="A156" t="str">
            <v>Croatia</v>
          </cell>
          <cell r="B156">
            <v>0.56000000000000005</v>
          </cell>
          <cell r="C156">
            <v>0.44</v>
          </cell>
        </row>
        <row r="157">
          <cell r="A157" t="str">
            <v>Hungary</v>
          </cell>
          <cell r="B157">
            <v>0.5</v>
          </cell>
          <cell r="C157">
            <v>0.5</v>
          </cell>
        </row>
        <row r="158">
          <cell r="A158" t="str">
            <v>Morocco</v>
          </cell>
          <cell r="B158">
            <v>0.54</v>
          </cell>
          <cell r="C158">
            <v>0.46</v>
          </cell>
        </row>
        <row r="159">
          <cell r="A159" t="str">
            <v>Russia</v>
          </cell>
          <cell r="B159">
            <v>0.51</v>
          </cell>
          <cell r="C159">
            <v>0.49</v>
          </cell>
        </row>
        <row r="160">
          <cell r="A160" t="str">
            <v>Qatar</v>
          </cell>
        </row>
        <row r="161">
          <cell r="A161" t="str">
            <v>Burkina Faso</v>
          </cell>
        </row>
        <row r="162">
          <cell r="A162" t="str">
            <v>Guyana</v>
          </cell>
        </row>
        <row r="163">
          <cell r="A163" t="str">
            <v>New Caledonia</v>
          </cell>
        </row>
        <row r="164">
          <cell r="A164" t="str">
            <v>Gabon</v>
          </cell>
        </row>
        <row r="165">
          <cell r="A165" t="str">
            <v>U.S. Virgin Islands</v>
          </cell>
        </row>
        <row r="166">
          <cell r="A166" t="str">
            <v>Moldova</v>
          </cell>
        </row>
        <row r="167">
          <cell r="A167" t="str">
            <v>Suriname</v>
          </cell>
        </row>
        <row r="168">
          <cell r="A168" t="str">
            <v>Antigua &amp; Barbuda</v>
          </cell>
        </row>
        <row r="169">
          <cell r="A169" t="str">
            <v>Bosnia &amp; Herzegovina</v>
          </cell>
        </row>
        <row r="170">
          <cell r="A170" t="str">
            <v>Slovakia</v>
          </cell>
          <cell r="B170">
            <v>0.49</v>
          </cell>
          <cell r="C170">
            <v>0.51</v>
          </cell>
        </row>
        <row r="171">
          <cell r="A171" t="str">
            <v>Palestine</v>
          </cell>
        </row>
        <row r="172">
          <cell r="A172" t="str">
            <v>Vietnam</v>
          </cell>
          <cell r="B172">
            <v>0.55000000000000004</v>
          </cell>
          <cell r="C172">
            <v>0.45</v>
          </cell>
        </row>
        <row r="173">
          <cell r="A173" t="str">
            <v>Uruguay</v>
          </cell>
        </row>
        <row r="174">
          <cell r="A174" t="str">
            <v>France</v>
          </cell>
          <cell r="B174">
            <v>0.56000000000000005</v>
          </cell>
          <cell r="C174">
            <v>0.44</v>
          </cell>
        </row>
        <row r="175">
          <cell r="A175" t="str">
            <v>Spain</v>
          </cell>
          <cell r="B175">
            <v>0.53</v>
          </cell>
          <cell r="C175">
            <v>0.47</v>
          </cell>
        </row>
        <row r="176">
          <cell r="A176" t="str">
            <v>Dominica</v>
          </cell>
        </row>
        <row r="177">
          <cell r="A177" t="str">
            <v>Iran</v>
          </cell>
          <cell r="B177">
            <v>0.6</v>
          </cell>
          <cell r="C177">
            <v>0.4</v>
          </cell>
        </row>
        <row r="178">
          <cell r="A178" t="str">
            <v>Ukraine</v>
          </cell>
          <cell r="B178">
            <v>0.48</v>
          </cell>
          <cell r="C178">
            <v>0.52</v>
          </cell>
        </row>
        <row r="179">
          <cell r="A179" t="str">
            <v>Uzbekistan</v>
          </cell>
        </row>
        <row r="180">
          <cell r="A180" t="str">
            <v>Grenada</v>
          </cell>
        </row>
        <row r="181">
          <cell r="A181" t="str">
            <v>Mali</v>
          </cell>
        </row>
        <row r="182">
          <cell r="A182" t="str">
            <v>Guinea</v>
          </cell>
        </row>
        <row r="183">
          <cell r="A183" t="str">
            <v>Seychelles</v>
          </cell>
        </row>
        <row r="184">
          <cell r="A184" t="str">
            <v>Kazakhstan</v>
          </cell>
          <cell r="B184">
            <v>0.46</v>
          </cell>
          <cell r="C184">
            <v>0.54</v>
          </cell>
        </row>
        <row r="185">
          <cell r="A185" t="str">
            <v>Italy</v>
          </cell>
          <cell r="B185">
            <v>0.44</v>
          </cell>
          <cell r="C185">
            <v>0.56000000000000005</v>
          </cell>
        </row>
        <row r="186">
          <cell r="A186" t="str">
            <v>Paraguay</v>
          </cell>
        </row>
        <row r="187">
          <cell r="A187" t="str">
            <v>Mauritania</v>
          </cell>
        </row>
        <row r="188">
          <cell r="A188" t="str">
            <v>Azerbaijan</v>
          </cell>
        </row>
        <row r="189">
          <cell r="A189" t="str">
            <v>Puerto Rico</v>
          </cell>
        </row>
        <row r="190">
          <cell r="A190" t="str">
            <v>Thailand</v>
          </cell>
          <cell r="B190">
            <v>0.48</v>
          </cell>
          <cell r="C190">
            <v>0.52</v>
          </cell>
        </row>
        <row r="191">
          <cell r="A191" t="str">
            <v>Kyrgyzstan</v>
          </cell>
        </row>
        <row r="192">
          <cell r="A192" t="str">
            <v>Greece</v>
          </cell>
          <cell r="B192">
            <v>0.56000000000000005</v>
          </cell>
          <cell r="C192">
            <v>0.44</v>
          </cell>
        </row>
        <row r="193">
          <cell r="A193" t="str">
            <v>French Polynesia</v>
          </cell>
        </row>
        <row r="194">
          <cell r="A194" t="str">
            <v>Kuwait</v>
          </cell>
        </row>
        <row r="195">
          <cell r="A195" t="str">
            <v>Egypt</v>
          </cell>
          <cell r="B195">
            <v>0.51</v>
          </cell>
          <cell r="C195">
            <v>0.49</v>
          </cell>
        </row>
        <row r="196">
          <cell r="A196" t="str">
            <v>Algeria</v>
          </cell>
          <cell r="B196">
            <v>0.47</v>
          </cell>
          <cell r="C196">
            <v>0.53</v>
          </cell>
        </row>
        <row r="197">
          <cell r="A197" t="str">
            <v>Brazil</v>
          </cell>
          <cell r="B197">
            <v>0.56999999999999995</v>
          </cell>
          <cell r="C197">
            <v>0.43</v>
          </cell>
        </row>
        <row r="198">
          <cell r="A198" t="str">
            <v>Sint Maarten</v>
          </cell>
        </row>
        <row r="199">
          <cell r="A199" t="str">
            <v>Montenegro</v>
          </cell>
        </row>
        <row r="200">
          <cell r="A200" t="str">
            <v>Georgia</v>
          </cell>
        </row>
        <row r="201">
          <cell r="A201" t="str">
            <v>Saudi Arabia</v>
          </cell>
          <cell r="B201">
            <v>0.52</v>
          </cell>
          <cell r="C201">
            <v>0.48</v>
          </cell>
        </row>
        <row r="202">
          <cell r="A202" t="str">
            <v>Argentina</v>
          </cell>
          <cell r="B202">
            <v>0.56999999999999995</v>
          </cell>
          <cell r="C202">
            <v>0.43</v>
          </cell>
        </row>
        <row r="203">
          <cell r="A203" t="str">
            <v>Guam</v>
          </cell>
        </row>
        <row r="204">
          <cell r="A204" t="str">
            <v>Aruba</v>
          </cell>
        </row>
        <row r="205">
          <cell r="A205" t="str">
            <v>Turkey</v>
          </cell>
          <cell r="B205">
            <v>0.63</v>
          </cell>
          <cell r="C205">
            <v>0.37</v>
          </cell>
        </row>
        <row r="206">
          <cell r="A206" t="str">
            <v>Syria</v>
          </cell>
        </row>
        <row r="207">
          <cell r="A207" t="str">
            <v>Tajikistan</v>
          </cell>
        </row>
        <row r="208">
          <cell r="A208" t="str">
            <v>Western Sahara</v>
          </cell>
        </row>
        <row r="209">
          <cell r="A209" t="str">
            <v>Northern Mariana Islands</v>
          </cell>
        </row>
        <row r="210">
          <cell r="A210" t="str">
            <v>Turks &amp; Caicos Islands</v>
          </cell>
        </row>
        <row r="211">
          <cell r="A211" t="str">
            <v>Bahamas</v>
          </cell>
        </row>
        <row r="212">
          <cell r="A212" t="str">
            <v>French Guiana</v>
          </cell>
        </row>
        <row r="213">
          <cell r="A213" t="str">
            <v>Caribbean Netherlands</v>
          </cell>
        </row>
        <row r="214">
          <cell r="A214" t="str">
            <v>Venezuela</v>
          </cell>
          <cell r="B214">
            <v>0.43</v>
          </cell>
          <cell r="C214">
            <v>0.56999999999999995</v>
          </cell>
        </row>
        <row r="215">
          <cell r="A215" t="str">
            <v>Iraq</v>
          </cell>
        </row>
        <row r="216">
          <cell r="A216" t="str">
            <v>Guadeloupe</v>
          </cell>
        </row>
        <row r="217">
          <cell r="A217" t="str">
            <v>Turkmenistan</v>
          </cell>
        </row>
        <row r="218">
          <cell r="A218" t="str">
            <v>RÃ©union</v>
          </cell>
        </row>
        <row r="219">
          <cell r="A219" t="str">
            <v>Martinique</v>
          </cell>
        </row>
        <row r="220">
          <cell r="A220" t="str">
            <v>North Korea</v>
          </cell>
        </row>
        <row r="221">
          <cell r="A221" t="str">
            <v>Falkland Islands (Islas Malvinas)</v>
          </cell>
        </row>
        <row r="222">
          <cell r="A222" t="str">
            <v>Svalbard &amp; Jan Mayen</v>
          </cell>
        </row>
        <row r="223">
          <cell r="A223" t="str">
            <v>Cook Islands</v>
          </cell>
        </row>
        <row r="224">
          <cell r="A224" t="str">
            <v>Marshall Islands</v>
          </cell>
        </row>
        <row r="225">
          <cell r="A225" t="str">
            <v>British Virgin Islands</v>
          </cell>
        </row>
        <row r="226">
          <cell r="A226" t="str">
            <v>Comoros</v>
          </cell>
        </row>
        <row r="227">
          <cell r="A227" t="str">
            <v>St. Martin</v>
          </cell>
        </row>
        <row r="228">
          <cell r="A228" t="str">
            <v>American Samoa</v>
          </cell>
        </row>
        <row r="229">
          <cell r="A229" t="str">
            <v>Palau</v>
          </cell>
        </row>
        <row r="230">
          <cell r="A230" t="str">
            <v>Micronesia</v>
          </cell>
        </row>
        <row r="231">
          <cell r="A231" t="str">
            <v>St. Pierre &amp; Miquelon</v>
          </cell>
        </row>
        <row r="232">
          <cell r="A232" t="str">
            <v>Anguilla</v>
          </cell>
        </row>
        <row r="233">
          <cell r="A233" t="str">
            <v>Mayotte</v>
          </cell>
        </row>
        <row r="234">
          <cell r="A234" t="str">
            <v>St. BarthÃ©lemy</v>
          </cell>
        </row>
        <row r="235">
          <cell r="A235" t="str">
            <v>Antarctica</v>
          </cell>
        </row>
        <row r="236">
          <cell r="A236" t="str">
            <v>French Southern Territories</v>
          </cell>
        </row>
        <row r="237">
          <cell r="A237" t="str">
            <v>Bouvet Island</v>
          </cell>
        </row>
        <row r="238">
          <cell r="A238" t="str">
            <v>Cocos (Keeling) Islands</v>
          </cell>
        </row>
        <row r="239">
          <cell r="A239" t="str">
            <v>Christmas Island</v>
          </cell>
        </row>
        <row r="240">
          <cell r="A240" t="str">
            <v>Heard &amp; McDonald Islands</v>
          </cell>
        </row>
        <row r="241">
          <cell r="A241" t="str">
            <v>British Indian Ocean Territory</v>
          </cell>
        </row>
        <row r="242">
          <cell r="A242" t="str">
            <v>Kiribati</v>
          </cell>
        </row>
        <row r="243">
          <cell r="A243" t="str">
            <v>Montserrat</v>
          </cell>
        </row>
        <row r="244">
          <cell r="A244" t="str">
            <v>Norfolk Island</v>
          </cell>
        </row>
        <row r="245">
          <cell r="A245" t="str">
            <v>Niue</v>
          </cell>
        </row>
        <row r="246">
          <cell r="A246" t="str">
            <v>Nauru</v>
          </cell>
        </row>
        <row r="247">
          <cell r="A247" t="str">
            <v>Pitcairn Islands</v>
          </cell>
        </row>
        <row r="248">
          <cell r="A248" t="str">
            <v>South Georgia &amp; South Sandwich Islands</v>
          </cell>
        </row>
        <row r="249">
          <cell r="A249" t="str">
            <v>Tokelau</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5)"/>
    </sheetNames>
    <sheetDataSet>
      <sheetData sheetId="0" refreshError="1">
        <row r="1">
          <cell r="A1" t="str">
            <v>Kategori: TÃ¼m kategoriler</v>
          </cell>
        </row>
        <row r="3">
          <cell r="A3" t="str">
            <v>Ãœlke</v>
          </cell>
          <cell r="B3" t="str">
            <v>VeritabanÄ±: (2018)</v>
          </cell>
          <cell r="C3" t="str">
            <v>Dizgi: (2018)</v>
          </cell>
        </row>
        <row r="4">
          <cell r="A4" t="str">
            <v>China</v>
          </cell>
          <cell r="B4">
            <v>0.31</v>
          </cell>
          <cell r="C4">
            <v>0.69</v>
          </cell>
        </row>
        <row r="5">
          <cell r="A5" t="str">
            <v>Cuba</v>
          </cell>
        </row>
        <row r="6">
          <cell r="A6" t="str">
            <v>Eritrea</v>
          </cell>
        </row>
        <row r="7">
          <cell r="A7" t="str">
            <v>St. Helena</v>
          </cell>
          <cell r="B7">
            <v>0.47</v>
          </cell>
          <cell r="C7">
            <v>0.53</v>
          </cell>
        </row>
        <row r="8">
          <cell r="A8" t="str">
            <v>Ethiopia</v>
          </cell>
        </row>
        <row r="9">
          <cell r="A9" t="str">
            <v>Botswana</v>
          </cell>
        </row>
        <row r="10">
          <cell r="A10" t="str">
            <v>Zimbabwe</v>
          </cell>
        </row>
        <row r="11">
          <cell r="A11" t="str">
            <v>South Korea</v>
          </cell>
          <cell r="B11">
            <v>0.4</v>
          </cell>
          <cell r="C11">
            <v>0.6</v>
          </cell>
        </row>
        <row r="12">
          <cell r="A12" t="str">
            <v>Samoa</v>
          </cell>
        </row>
        <row r="13">
          <cell r="A13" t="str">
            <v>Malawi</v>
          </cell>
        </row>
        <row r="14">
          <cell r="A14" t="str">
            <v>Vanuatu</v>
          </cell>
        </row>
        <row r="15">
          <cell r="A15" t="str">
            <v>Papua New Guinea</v>
          </cell>
        </row>
        <row r="16">
          <cell r="A16" t="str">
            <v>Rwanda</v>
          </cell>
        </row>
        <row r="17">
          <cell r="A17" t="str">
            <v>Timor-Leste</v>
          </cell>
        </row>
        <row r="18">
          <cell r="A18" t="str">
            <v>Myanmar (Burma)</v>
          </cell>
        </row>
        <row r="19">
          <cell r="A19" t="str">
            <v>Tonga</v>
          </cell>
        </row>
        <row r="20">
          <cell r="A20" t="str">
            <v>Israel</v>
          </cell>
          <cell r="B20">
            <v>0.25</v>
          </cell>
          <cell r="C20">
            <v>0.75</v>
          </cell>
        </row>
        <row r="21">
          <cell r="A21" t="str">
            <v>Equatorial Guinea</v>
          </cell>
        </row>
        <row r="22">
          <cell r="A22" t="str">
            <v>Madagascar</v>
          </cell>
        </row>
        <row r="23">
          <cell r="A23" t="str">
            <v>Lesotho</v>
          </cell>
        </row>
        <row r="24">
          <cell r="A24" t="str">
            <v>Singapore</v>
          </cell>
          <cell r="B24">
            <v>0.45</v>
          </cell>
          <cell r="C24">
            <v>0.55000000000000004</v>
          </cell>
        </row>
        <row r="25">
          <cell r="A25" t="str">
            <v>Central African Republic</v>
          </cell>
        </row>
        <row r="26">
          <cell r="A26" t="str">
            <v>Cape Verde</v>
          </cell>
        </row>
        <row r="27">
          <cell r="A27" t="str">
            <v>Afghanistan</v>
          </cell>
        </row>
        <row r="28">
          <cell r="A28" t="str">
            <v>Burundi</v>
          </cell>
        </row>
        <row r="29">
          <cell r="A29" t="str">
            <v>Guinea-Bissau</v>
          </cell>
        </row>
        <row r="30">
          <cell r="A30" t="str">
            <v>Bhutan</v>
          </cell>
        </row>
        <row r="31">
          <cell r="A31" t="str">
            <v>Nepal</v>
          </cell>
        </row>
        <row r="32">
          <cell r="A32" t="str">
            <v>Solomon Islands</v>
          </cell>
        </row>
        <row r="33">
          <cell r="A33" t="str">
            <v>Eswatini</v>
          </cell>
        </row>
        <row r="34">
          <cell r="A34" t="str">
            <v>Cameroon</v>
          </cell>
        </row>
        <row r="35">
          <cell r="A35" t="str">
            <v>Sri Lanka</v>
          </cell>
          <cell r="B35">
            <v>0.61</v>
          </cell>
          <cell r="C35">
            <v>0.39</v>
          </cell>
        </row>
        <row r="36">
          <cell r="A36" t="str">
            <v>Togo</v>
          </cell>
        </row>
        <row r="37">
          <cell r="A37" t="str">
            <v>Luxembourg</v>
          </cell>
        </row>
        <row r="38">
          <cell r="A38" t="str">
            <v>Uganda</v>
          </cell>
        </row>
        <row r="39">
          <cell r="A39" t="str">
            <v>Fiji</v>
          </cell>
        </row>
        <row r="40">
          <cell r="A40" t="str">
            <v>Congo - Brazzaville</v>
          </cell>
        </row>
        <row r="41">
          <cell r="A41" t="str">
            <v>Liechtenstein</v>
          </cell>
        </row>
        <row r="42">
          <cell r="A42" t="str">
            <v>Pakistan</v>
          </cell>
          <cell r="B42">
            <v>0.63</v>
          </cell>
          <cell r="C42">
            <v>0.37</v>
          </cell>
        </row>
        <row r="43">
          <cell r="A43" t="str">
            <v>Gambia</v>
          </cell>
        </row>
        <row r="44">
          <cell r="A44" t="str">
            <v>Estonia</v>
          </cell>
        </row>
        <row r="45">
          <cell r="A45" t="str">
            <v>Djibouti</v>
          </cell>
        </row>
        <row r="46">
          <cell r="A46" t="str">
            <v>Benin</v>
          </cell>
        </row>
        <row r="47">
          <cell r="A47" t="str">
            <v>Angola</v>
          </cell>
        </row>
        <row r="48">
          <cell r="A48" t="str">
            <v>Hong Kong</v>
          </cell>
          <cell r="B48">
            <v>0.46</v>
          </cell>
          <cell r="C48">
            <v>0.54</v>
          </cell>
        </row>
        <row r="49">
          <cell r="A49" t="str">
            <v>Mauritius</v>
          </cell>
        </row>
        <row r="50">
          <cell r="A50" t="str">
            <v>Liberia</v>
          </cell>
        </row>
        <row r="51">
          <cell r="A51" t="str">
            <v>Malta</v>
          </cell>
        </row>
        <row r="52">
          <cell r="A52" t="str">
            <v>Congo - Kinshasa</v>
          </cell>
        </row>
        <row r="53">
          <cell r="A53" t="str">
            <v>El Salvador</v>
          </cell>
        </row>
        <row r="54">
          <cell r="A54" t="str">
            <v>Kenya</v>
          </cell>
        </row>
        <row r="55">
          <cell r="A55" t="str">
            <v>Ã…land Islands</v>
          </cell>
        </row>
        <row r="56">
          <cell r="A56" t="str">
            <v>Ghana</v>
          </cell>
        </row>
        <row r="57">
          <cell r="A57" t="str">
            <v>South Africa</v>
          </cell>
          <cell r="B57">
            <v>0.63</v>
          </cell>
          <cell r="C57">
            <v>0.37</v>
          </cell>
        </row>
        <row r="58">
          <cell r="A58" t="str">
            <v>Somalia</v>
          </cell>
        </row>
        <row r="59">
          <cell r="A59" t="str">
            <v>Colombia</v>
          </cell>
          <cell r="B59">
            <v>0.78</v>
          </cell>
          <cell r="C59">
            <v>0.22</v>
          </cell>
        </row>
        <row r="60">
          <cell r="A60" t="str">
            <v>Senegal</v>
          </cell>
        </row>
        <row r="61">
          <cell r="A61" t="str">
            <v>Mozambique</v>
          </cell>
        </row>
        <row r="62">
          <cell r="A62" t="str">
            <v>South Sudan</v>
          </cell>
        </row>
        <row r="63">
          <cell r="A63" t="str">
            <v>Switzerland</v>
          </cell>
          <cell r="B63">
            <v>0.45</v>
          </cell>
          <cell r="C63">
            <v>0.55000000000000004</v>
          </cell>
        </row>
        <row r="64">
          <cell r="A64" t="str">
            <v>Tanzania</v>
          </cell>
        </row>
        <row r="65">
          <cell r="A65" t="str">
            <v>Iceland</v>
          </cell>
        </row>
        <row r="66">
          <cell r="A66" t="str">
            <v>New Zealand</v>
          </cell>
          <cell r="B66">
            <v>0.53</v>
          </cell>
          <cell r="C66">
            <v>0.47</v>
          </cell>
        </row>
        <row r="67">
          <cell r="A67" t="str">
            <v>Belarus</v>
          </cell>
          <cell r="B67">
            <v>0.41</v>
          </cell>
          <cell r="C67">
            <v>0.59</v>
          </cell>
        </row>
        <row r="68">
          <cell r="A68" t="str">
            <v>Armenia</v>
          </cell>
        </row>
        <row r="69">
          <cell r="A69" t="str">
            <v>Latvia</v>
          </cell>
        </row>
        <row r="70">
          <cell r="A70" t="str">
            <v>India</v>
          </cell>
          <cell r="B70">
            <v>0.5</v>
          </cell>
          <cell r="C70">
            <v>0.5</v>
          </cell>
        </row>
        <row r="71">
          <cell r="A71" t="str">
            <v>Tunisia</v>
          </cell>
          <cell r="B71">
            <v>0.6</v>
          </cell>
          <cell r="C71">
            <v>0.4</v>
          </cell>
        </row>
        <row r="72">
          <cell r="A72" t="str">
            <v>Czechia</v>
          </cell>
          <cell r="B72">
            <v>0.49</v>
          </cell>
          <cell r="C72">
            <v>0.51</v>
          </cell>
        </row>
        <row r="73">
          <cell r="A73" t="str">
            <v>Zambia</v>
          </cell>
        </row>
        <row r="74">
          <cell r="A74" t="str">
            <v>Canada</v>
          </cell>
          <cell r="B74">
            <v>0.52</v>
          </cell>
          <cell r="C74">
            <v>0.48</v>
          </cell>
        </row>
        <row r="75">
          <cell r="A75" t="str">
            <v>Belize</v>
          </cell>
        </row>
        <row r="76">
          <cell r="A76" t="str">
            <v>Brunei</v>
          </cell>
        </row>
        <row r="77">
          <cell r="A77" t="str">
            <v>Jamaica</v>
          </cell>
        </row>
        <row r="78">
          <cell r="A78" t="str">
            <v>Philippines</v>
          </cell>
          <cell r="B78">
            <v>0.6</v>
          </cell>
          <cell r="C78">
            <v>0.4</v>
          </cell>
        </row>
        <row r="79">
          <cell r="A79" t="str">
            <v>British Virgin Islands</v>
          </cell>
        </row>
        <row r="80">
          <cell r="A80" t="str">
            <v>Sudan</v>
          </cell>
        </row>
        <row r="81">
          <cell r="A81" t="str">
            <v>Taiwan</v>
          </cell>
          <cell r="B81">
            <v>0.48</v>
          </cell>
          <cell r="C81">
            <v>0.52</v>
          </cell>
        </row>
        <row r="82">
          <cell r="A82" t="str">
            <v>Chad</v>
          </cell>
        </row>
        <row r="83">
          <cell r="A83" t="str">
            <v>Dominica</v>
          </cell>
        </row>
        <row r="84">
          <cell r="A84" t="str">
            <v>Gibraltar</v>
          </cell>
        </row>
        <row r="85">
          <cell r="A85" t="str">
            <v>Finland</v>
          </cell>
          <cell r="B85">
            <v>0.43</v>
          </cell>
          <cell r="C85">
            <v>0.56999999999999995</v>
          </cell>
        </row>
        <row r="86">
          <cell r="A86" t="str">
            <v>Japan</v>
          </cell>
          <cell r="B86">
            <v>0.46</v>
          </cell>
          <cell r="C86">
            <v>0.54</v>
          </cell>
        </row>
        <row r="87">
          <cell r="A87" t="str">
            <v>Ireland</v>
          </cell>
          <cell r="B87">
            <v>0.52</v>
          </cell>
          <cell r="C87">
            <v>0.48</v>
          </cell>
        </row>
        <row r="88">
          <cell r="A88" t="str">
            <v>Guatemala</v>
          </cell>
        </row>
        <row r="89">
          <cell r="A89" t="str">
            <v>United States</v>
          </cell>
          <cell r="B89">
            <v>0.48</v>
          </cell>
          <cell r="C89">
            <v>0.52</v>
          </cell>
        </row>
        <row r="90">
          <cell r="A90" t="str">
            <v>Niger</v>
          </cell>
        </row>
        <row r="91">
          <cell r="A91" t="str">
            <v>Netherlands</v>
          </cell>
          <cell r="B91">
            <v>0.47</v>
          </cell>
          <cell r="C91">
            <v>0.53</v>
          </cell>
        </row>
        <row r="92">
          <cell r="A92" t="str">
            <v>Namibia</v>
          </cell>
        </row>
        <row r="93">
          <cell r="A93" t="str">
            <v>Slovenia</v>
          </cell>
        </row>
        <row r="94">
          <cell r="A94" t="str">
            <v>North Macedonia</v>
          </cell>
        </row>
        <row r="95">
          <cell r="A95" t="str">
            <v>Australia</v>
          </cell>
          <cell r="B95">
            <v>0.52</v>
          </cell>
          <cell r="C95">
            <v>0.48</v>
          </cell>
        </row>
        <row r="96">
          <cell r="A96" t="str">
            <v>Nigeria</v>
          </cell>
          <cell r="B96">
            <v>0.78</v>
          </cell>
          <cell r="C96">
            <v>0.22</v>
          </cell>
        </row>
        <row r="97">
          <cell r="A97" t="str">
            <v>Barbados</v>
          </cell>
        </row>
        <row r="98">
          <cell r="A98" t="str">
            <v>Ecuador</v>
          </cell>
          <cell r="B98">
            <v>0.74</v>
          </cell>
          <cell r="C98">
            <v>0.26</v>
          </cell>
        </row>
        <row r="99">
          <cell r="A99" t="str">
            <v>Bulgaria</v>
          </cell>
          <cell r="B99">
            <v>0.4</v>
          </cell>
          <cell r="C99">
            <v>0.6</v>
          </cell>
        </row>
        <row r="100">
          <cell r="A100" t="str">
            <v>Russia</v>
          </cell>
          <cell r="B100">
            <v>0.44</v>
          </cell>
          <cell r="C100">
            <v>0.56000000000000005</v>
          </cell>
        </row>
        <row r="101">
          <cell r="A101" t="str">
            <v>Denmark</v>
          </cell>
          <cell r="B101">
            <v>0.47</v>
          </cell>
          <cell r="C101">
            <v>0.53</v>
          </cell>
        </row>
        <row r="102">
          <cell r="A102" t="str">
            <v>Honduras</v>
          </cell>
        </row>
        <row r="103">
          <cell r="A103" t="str">
            <v>Austria</v>
          </cell>
          <cell r="B103">
            <v>0.47</v>
          </cell>
          <cell r="C103">
            <v>0.53</v>
          </cell>
        </row>
        <row r="104">
          <cell r="A104" t="str">
            <v>Norway</v>
          </cell>
          <cell r="B104">
            <v>0.42</v>
          </cell>
          <cell r="C104">
            <v>0.57999999999999996</v>
          </cell>
        </row>
        <row r="105">
          <cell r="A105" t="str">
            <v>SÃ£o TomÃ© &amp; PrÃ­ncipe</v>
          </cell>
        </row>
        <row r="106">
          <cell r="A106" t="str">
            <v>Sweden</v>
          </cell>
          <cell r="B106">
            <v>0.45</v>
          </cell>
          <cell r="C106">
            <v>0.55000000000000004</v>
          </cell>
        </row>
        <row r="107">
          <cell r="A107" t="str">
            <v>Germany</v>
          </cell>
          <cell r="B107">
            <v>0.48</v>
          </cell>
          <cell r="C107">
            <v>0.52</v>
          </cell>
        </row>
        <row r="108">
          <cell r="A108" t="str">
            <v>Cyprus</v>
          </cell>
        </row>
        <row r="109">
          <cell r="A109" t="str">
            <v>Sierra Leone</v>
          </cell>
        </row>
        <row r="110">
          <cell r="A110" t="str">
            <v>Portugal</v>
          </cell>
          <cell r="B110">
            <v>0.48</v>
          </cell>
          <cell r="C110">
            <v>0.52</v>
          </cell>
        </row>
        <row r="111">
          <cell r="A111" t="str">
            <v>CÃ´te dâ€™Ivoire</v>
          </cell>
        </row>
        <row r="112">
          <cell r="A112" t="str">
            <v>Macao</v>
          </cell>
        </row>
        <row r="113">
          <cell r="A113" t="str">
            <v>Yemen</v>
          </cell>
        </row>
        <row r="114">
          <cell r="A114" t="str">
            <v>Bangladesh</v>
          </cell>
          <cell r="B114">
            <v>0.62</v>
          </cell>
          <cell r="C114">
            <v>0.38</v>
          </cell>
        </row>
        <row r="115">
          <cell r="A115" t="str">
            <v>Costa Rica</v>
          </cell>
        </row>
        <row r="116">
          <cell r="A116" t="str">
            <v>Malaysia</v>
          </cell>
          <cell r="B116">
            <v>0.64</v>
          </cell>
          <cell r="C116">
            <v>0.36</v>
          </cell>
        </row>
        <row r="117">
          <cell r="A117" t="str">
            <v>Lithuania</v>
          </cell>
          <cell r="B117">
            <v>0.46</v>
          </cell>
          <cell r="C117">
            <v>0.54</v>
          </cell>
        </row>
        <row r="118">
          <cell r="A118" t="str">
            <v>Albania</v>
          </cell>
        </row>
        <row r="119">
          <cell r="A119" t="str">
            <v>Andorra</v>
          </cell>
        </row>
        <row r="120">
          <cell r="A120" t="str">
            <v>Isle of Man</v>
          </cell>
        </row>
        <row r="121">
          <cell r="A121" t="str">
            <v>Lebanon</v>
          </cell>
        </row>
        <row r="122">
          <cell r="A122" t="str">
            <v>San Marino</v>
          </cell>
        </row>
        <row r="123">
          <cell r="A123" t="str">
            <v>Mongolia</v>
          </cell>
        </row>
        <row r="124">
          <cell r="A124" t="str">
            <v>Maldives</v>
          </cell>
        </row>
        <row r="125">
          <cell r="A125" t="str">
            <v>Nicaragua</v>
          </cell>
        </row>
        <row r="126">
          <cell r="A126" t="str">
            <v>Peru</v>
          </cell>
          <cell r="B126">
            <v>0.74</v>
          </cell>
          <cell r="C126">
            <v>0.26</v>
          </cell>
        </row>
        <row r="127">
          <cell r="A127" t="str">
            <v>Mexico</v>
          </cell>
          <cell r="B127">
            <v>0.71</v>
          </cell>
          <cell r="C127">
            <v>0.28999999999999998</v>
          </cell>
        </row>
        <row r="128">
          <cell r="A128" t="str">
            <v>United Arab Emirates</v>
          </cell>
          <cell r="B128">
            <v>0.61</v>
          </cell>
          <cell r="C128">
            <v>0.39</v>
          </cell>
        </row>
        <row r="129">
          <cell r="A129" t="str">
            <v>Indonesia</v>
          </cell>
          <cell r="B129">
            <v>0.78</v>
          </cell>
          <cell r="C129">
            <v>0.22</v>
          </cell>
        </row>
        <row r="130">
          <cell r="A130" t="str">
            <v>Panama</v>
          </cell>
        </row>
        <row r="131">
          <cell r="A131" t="str">
            <v>Jersey</v>
          </cell>
        </row>
        <row r="132">
          <cell r="A132" t="str">
            <v>Laos</v>
          </cell>
        </row>
        <row r="133">
          <cell r="A133" t="str">
            <v>United Kingdom</v>
          </cell>
          <cell r="B133">
            <v>0.52</v>
          </cell>
          <cell r="C133">
            <v>0.48</v>
          </cell>
        </row>
        <row r="134">
          <cell r="A134" t="str">
            <v>Bahrain</v>
          </cell>
        </row>
        <row r="135">
          <cell r="A135" t="str">
            <v>Bolivia</v>
          </cell>
        </row>
        <row r="136">
          <cell r="A136" t="str">
            <v>Monaco</v>
          </cell>
        </row>
        <row r="137">
          <cell r="A137" t="str">
            <v>Oman</v>
          </cell>
        </row>
        <row r="138">
          <cell r="A138" t="str">
            <v>Serbia</v>
          </cell>
          <cell r="B138">
            <v>0.48</v>
          </cell>
          <cell r="C138">
            <v>0.52</v>
          </cell>
        </row>
        <row r="139">
          <cell r="A139" t="str">
            <v>Libya</v>
          </cell>
        </row>
        <row r="140">
          <cell r="A140" t="str">
            <v>Ukraine</v>
          </cell>
          <cell r="B140">
            <v>0.46</v>
          </cell>
          <cell r="C140">
            <v>0.54</v>
          </cell>
        </row>
        <row r="141">
          <cell r="A141" t="str">
            <v>Kosovo</v>
          </cell>
        </row>
        <row r="142">
          <cell r="A142" t="str">
            <v>CuraÃ§ao</v>
          </cell>
        </row>
        <row r="143">
          <cell r="A143" t="str">
            <v>Belgium</v>
          </cell>
          <cell r="B143">
            <v>0.5</v>
          </cell>
          <cell r="C143">
            <v>0.5</v>
          </cell>
        </row>
        <row r="144">
          <cell r="A144" t="str">
            <v>Moldova</v>
          </cell>
        </row>
        <row r="145">
          <cell r="A145" t="str">
            <v>Dominican Republic</v>
          </cell>
        </row>
        <row r="146">
          <cell r="A146" t="str">
            <v>Northern Mariana Islands</v>
          </cell>
        </row>
        <row r="147">
          <cell r="A147" t="str">
            <v>Hungary</v>
          </cell>
          <cell r="B147">
            <v>0.51</v>
          </cell>
          <cell r="C147">
            <v>0.49</v>
          </cell>
        </row>
        <row r="148">
          <cell r="A148" t="str">
            <v>Romania</v>
          </cell>
          <cell r="B148">
            <v>0.48</v>
          </cell>
          <cell r="C148">
            <v>0.52</v>
          </cell>
        </row>
        <row r="149">
          <cell r="A149" t="str">
            <v>Guernsey</v>
          </cell>
        </row>
        <row r="150">
          <cell r="A150" t="str">
            <v>Cambodia</v>
          </cell>
        </row>
        <row r="151">
          <cell r="A151" t="str">
            <v>Bermuda</v>
          </cell>
        </row>
        <row r="152">
          <cell r="A152" t="str">
            <v>Gabon</v>
          </cell>
        </row>
        <row r="153">
          <cell r="A153" t="str">
            <v>Trinidad &amp; Tobago</v>
          </cell>
        </row>
        <row r="154">
          <cell r="A154" t="str">
            <v>Cayman Islands</v>
          </cell>
        </row>
        <row r="155">
          <cell r="A155" t="str">
            <v>Haiti</v>
          </cell>
        </row>
        <row r="156">
          <cell r="A156" t="str">
            <v>Faroe Islands</v>
          </cell>
        </row>
        <row r="157">
          <cell r="A157" t="str">
            <v>Slovakia</v>
          </cell>
          <cell r="B157">
            <v>0.49</v>
          </cell>
          <cell r="C157">
            <v>0.51</v>
          </cell>
        </row>
        <row r="158">
          <cell r="A158" t="str">
            <v>St. Lucia</v>
          </cell>
        </row>
        <row r="159">
          <cell r="A159" t="str">
            <v>Palestine</v>
          </cell>
        </row>
        <row r="160">
          <cell r="A160" t="str">
            <v>Seychelles</v>
          </cell>
        </row>
        <row r="161">
          <cell r="A161" t="str">
            <v>Poland</v>
          </cell>
          <cell r="B161">
            <v>0.55000000000000004</v>
          </cell>
          <cell r="C161">
            <v>0.45</v>
          </cell>
        </row>
        <row r="162">
          <cell r="A162" t="str">
            <v>Qatar</v>
          </cell>
        </row>
        <row r="163">
          <cell r="A163" t="str">
            <v>Mauritania</v>
          </cell>
        </row>
        <row r="164">
          <cell r="A164" t="str">
            <v>St. Vincent &amp; Grenadines</v>
          </cell>
        </row>
        <row r="165">
          <cell r="A165" t="str">
            <v>Turks &amp; Caicos Islands</v>
          </cell>
        </row>
        <row r="166">
          <cell r="A166" t="str">
            <v>Burkina Faso</v>
          </cell>
        </row>
        <row r="167">
          <cell r="A167" t="str">
            <v>Bosnia &amp; Herzegovina</v>
          </cell>
        </row>
        <row r="168">
          <cell r="A168" t="str">
            <v>Croatia</v>
          </cell>
          <cell r="B168">
            <v>0.48</v>
          </cell>
          <cell r="C168">
            <v>0.52</v>
          </cell>
        </row>
        <row r="169">
          <cell r="A169" t="str">
            <v>Guyana</v>
          </cell>
        </row>
        <row r="170">
          <cell r="A170" t="str">
            <v>Kyrgyzstan</v>
          </cell>
        </row>
        <row r="171">
          <cell r="A171" t="str">
            <v>Antigua &amp; Barbuda</v>
          </cell>
        </row>
        <row r="172">
          <cell r="A172" t="str">
            <v>Jordan</v>
          </cell>
        </row>
        <row r="173">
          <cell r="A173" t="str">
            <v>Kazakhstan</v>
          </cell>
          <cell r="B173">
            <v>0.54</v>
          </cell>
          <cell r="C173">
            <v>0.46</v>
          </cell>
        </row>
        <row r="174">
          <cell r="A174" t="str">
            <v>Uzbekistan</v>
          </cell>
        </row>
        <row r="175">
          <cell r="A175" t="str">
            <v>Italy</v>
          </cell>
          <cell r="B175">
            <v>0.59</v>
          </cell>
          <cell r="C175">
            <v>0.41</v>
          </cell>
        </row>
        <row r="176">
          <cell r="A176" t="str">
            <v>Morocco</v>
          </cell>
        </row>
        <row r="177">
          <cell r="A177" t="str">
            <v>U.S. Virgin Islands</v>
          </cell>
        </row>
        <row r="178">
          <cell r="A178" t="str">
            <v>Spain</v>
          </cell>
          <cell r="B178">
            <v>0.54</v>
          </cell>
          <cell r="C178">
            <v>0.46</v>
          </cell>
        </row>
        <row r="179">
          <cell r="A179" t="str">
            <v>Mali</v>
          </cell>
        </row>
        <row r="180">
          <cell r="A180" t="str">
            <v>Suriname</v>
          </cell>
        </row>
        <row r="181">
          <cell r="A181" t="str">
            <v>Guinea</v>
          </cell>
        </row>
        <row r="182">
          <cell r="A182" t="str">
            <v>Chile</v>
          </cell>
          <cell r="B182">
            <v>0.61</v>
          </cell>
          <cell r="C182">
            <v>0.39</v>
          </cell>
        </row>
        <row r="183">
          <cell r="A183" t="str">
            <v>Thailand</v>
          </cell>
          <cell r="B183">
            <v>0.67</v>
          </cell>
          <cell r="C183">
            <v>0.33</v>
          </cell>
        </row>
        <row r="184">
          <cell r="A184" t="str">
            <v>Puerto Rico</v>
          </cell>
        </row>
        <row r="185">
          <cell r="A185" t="str">
            <v>St. Kitts &amp; Nevis</v>
          </cell>
        </row>
        <row r="186">
          <cell r="A186" t="str">
            <v>French Polynesia</v>
          </cell>
        </row>
        <row r="187">
          <cell r="A187" t="str">
            <v>Vietnam</v>
          </cell>
          <cell r="B187">
            <v>0.56000000000000005</v>
          </cell>
          <cell r="C187">
            <v>0.44</v>
          </cell>
        </row>
        <row r="188">
          <cell r="A188" t="str">
            <v>Paraguay</v>
          </cell>
        </row>
        <row r="189">
          <cell r="A189" t="str">
            <v>Caribbean Netherlands</v>
          </cell>
        </row>
        <row r="190">
          <cell r="A190" t="str">
            <v>Algeria</v>
          </cell>
        </row>
        <row r="191">
          <cell r="A191" t="str">
            <v>France</v>
          </cell>
          <cell r="B191">
            <v>0.53</v>
          </cell>
          <cell r="C191">
            <v>0.47</v>
          </cell>
        </row>
        <row r="192">
          <cell r="A192" t="str">
            <v>Egypt</v>
          </cell>
          <cell r="B192">
            <v>0.64</v>
          </cell>
          <cell r="C192">
            <v>0.36</v>
          </cell>
        </row>
        <row r="193">
          <cell r="A193" t="str">
            <v>Guam</v>
          </cell>
        </row>
        <row r="194">
          <cell r="A194" t="str">
            <v>New Caledonia</v>
          </cell>
        </row>
        <row r="195">
          <cell r="A195" t="str">
            <v>Kuwait</v>
          </cell>
        </row>
        <row r="196">
          <cell r="A196" t="str">
            <v>Uruguay</v>
          </cell>
        </row>
        <row r="197">
          <cell r="A197" t="str">
            <v>Tajikistan</v>
          </cell>
        </row>
        <row r="198">
          <cell r="A198" t="str">
            <v>Aruba</v>
          </cell>
        </row>
        <row r="199">
          <cell r="A199" t="str">
            <v>Montenegro</v>
          </cell>
        </row>
        <row r="200">
          <cell r="A200" t="str">
            <v>Greece</v>
          </cell>
          <cell r="B200">
            <v>0.56000000000000005</v>
          </cell>
          <cell r="C200">
            <v>0.44</v>
          </cell>
        </row>
        <row r="201">
          <cell r="A201" t="str">
            <v>Saudi Arabia</v>
          </cell>
          <cell r="B201">
            <v>0.73</v>
          </cell>
          <cell r="C201">
            <v>0.27</v>
          </cell>
        </row>
        <row r="202">
          <cell r="A202" t="str">
            <v>Grenada</v>
          </cell>
        </row>
        <row r="203">
          <cell r="A203" t="str">
            <v>Iran</v>
          </cell>
          <cell r="B203">
            <v>0.5</v>
          </cell>
          <cell r="C203">
            <v>0.5</v>
          </cell>
        </row>
        <row r="204">
          <cell r="A204" t="str">
            <v>Sint Maarten</v>
          </cell>
        </row>
        <row r="205">
          <cell r="A205" t="str">
            <v>French Guiana</v>
          </cell>
        </row>
        <row r="206">
          <cell r="A206" t="str">
            <v>Syria</v>
          </cell>
        </row>
        <row r="207">
          <cell r="A207" t="str">
            <v>Brazil</v>
          </cell>
          <cell r="B207">
            <v>0.57999999999999996</v>
          </cell>
          <cell r="C207">
            <v>0.42</v>
          </cell>
        </row>
        <row r="208">
          <cell r="A208" t="str">
            <v>Georgia</v>
          </cell>
        </row>
        <row r="209">
          <cell r="A209" t="str">
            <v>Bahamas</v>
          </cell>
        </row>
        <row r="210">
          <cell r="A210" t="str">
            <v>Azerbaijan</v>
          </cell>
        </row>
        <row r="211">
          <cell r="A211" t="str">
            <v>Venezuela</v>
          </cell>
        </row>
        <row r="212">
          <cell r="A212" t="str">
            <v>Argentina</v>
          </cell>
          <cell r="B212">
            <v>0.55000000000000004</v>
          </cell>
          <cell r="C212">
            <v>0.45</v>
          </cell>
        </row>
        <row r="213">
          <cell r="A213" t="str">
            <v>Iraq</v>
          </cell>
        </row>
        <row r="214">
          <cell r="A214" t="str">
            <v>RÃ©union</v>
          </cell>
        </row>
        <row r="215">
          <cell r="A215" t="str">
            <v>Guadeloupe</v>
          </cell>
        </row>
        <row r="216">
          <cell r="A216" t="str">
            <v>Turkmenistan</v>
          </cell>
        </row>
        <row r="217">
          <cell r="A217" t="str">
            <v>Turkey</v>
          </cell>
          <cell r="B217">
            <v>0.56999999999999995</v>
          </cell>
          <cell r="C217">
            <v>0.43</v>
          </cell>
        </row>
        <row r="218">
          <cell r="A218" t="str">
            <v>Martinique</v>
          </cell>
        </row>
        <row r="219">
          <cell r="A219" t="str">
            <v>Western Sahara</v>
          </cell>
        </row>
        <row r="220">
          <cell r="A220" t="str">
            <v>Mayotte</v>
          </cell>
        </row>
        <row r="221">
          <cell r="A221" t="str">
            <v>North Korea</v>
          </cell>
        </row>
        <row r="222">
          <cell r="A222" t="str">
            <v>Falkland Islands (Islas Malvinas)</v>
          </cell>
        </row>
        <row r="223">
          <cell r="A223" t="str">
            <v>Marshall Islands</v>
          </cell>
        </row>
        <row r="224">
          <cell r="A224" t="str">
            <v>Nauru</v>
          </cell>
        </row>
        <row r="225">
          <cell r="A225" t="str">
            <v>Comoros</v>
          </cell>
        </row>
        <row r="226">
          <cell r="A226" t="str">
            <v>Cook Islands</v>
          </cell>
        </row>
        <row r="227">
          <cell r="A227" t="str">
            <v>Montserrat</v>
          </cell>
        </row>
        <row r="228">
          <cell r="A228" t="str">
            <v>American Samoa</v>
          </cell>
        </row>
        <row r="229">
          <cell r="A229" t="str">
            <v>Micronesia</v>
          </cell>
        </row>
        <row r="230">
          <cell r="A230" t="str">
            <v>Svalbard &amp; Jan Mayen</v>
          </cell>
        </row>
        <row r="231">
          <cell r="A231" t="str">
            <v>Anguilla</v>
          </cell>
        </row>
        <row r="232">
          <cell r="A232" t="str">
            <v>Palau</v>
          </cell>
        </row>
        <row r="233">
          <cell r="A233" t="str">
            <v>St. Pierre &amp; Miquelon</v>
          </cell>
        </row>
        <row r="234">
          <cell r="A234" t="str">
            <v>Greenland</v>
          </cell>
        </row>
        <row r="235">
          <cell r="A235" t="str">
            <v>St. Martin</v>
          </cell>
        </row>
        <row r="236">
          <cell r="A236" t="str">
            <v>St. BarthÃ©lemy</v>
          </cell>
        </row>
        <row r="237">
          <cell r="A237" t="str">
            <v>Antarctica</v>
          </cell>
        </row>
        <row r="238">
          <cell r="A238" t="str">
            <v>French Southern Territories</v>
          </cell>
        </row>
        <row r="239">
          <cell r="A239" t="str">
            <v>Bouvet Island</v>
          </cell>
        </row>
        <row r="240">
          <cell r="A240" t="str">
            <v>Cocos (Keeling) Islands</v>
          </cell>
        </row>
        <row r="241">
          <cell r="A241" t="str">
            <v>Christmas Island</v>
          </cell>
        </row>
        <row r="242">
          <cell r="A242" t="str">
            <v>Heard &amp; McDonald Islands</v>
          </cell>
        </row>
        <row r="243">
          <cell r="A243" t="str">
            <v>British Indian Ocean Territory</v>
          </cell>
        </row>
        <row r="244">
          <cell r="A244" t="str">
            <v>Kiribati</v>
          </cell>
        </row>
        <row r="245">
          <cell r="A245" t="str">
            <v>Norfolk Island</v>
          </cell>
        </row>
        <row r="246">
          <cell r="A246" t="str">
            <v>Niue</v>
          </cell>
        </row>
        <row r="247">
          <cell r="A247" t="str">
            <v>Pitcairn Islands</v>
          </cell>
        </row>
        <row r="248">
          <cell r="A248" t="str">
            <v>South Georgia &amp; South Sandwich Islands</v>
          </cell>
        </row>
        <row r="249">
          <cell r="A249" t="str">
            <v>Tokelau</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6)"/>
    </sheetNames>
    <sheetDataSet>
      <sheetData sheetId="0" refreshError="1">
        <row r="1">
          <cell r="A1" t="str">
            <v>Kategori: TÃ¼m kategoriler</v>
          </cell>
        </row>
        <row r="3">
          <cell r="A3" t="str">
            <v>Ãœlke</v>
          </cell>
          <cell r="B3" t="str">
            <v>Dizgi: (2018)</v>
          </cell>
          <cell r="C3" t="str">
            <v>C++: (2018)</v>
          </cell>
        </row>
        <row r="4">
          <cell r="A4" t="str">
            <v>North Korea</v>
          </cell>
        </row>
        <row r="5">
          <cell r="A5" t="str">
            <v>China</v>
          </cell>
          <cell r="B5">
            <v>0.56999999999999995</v>
          </cell>
          <cell r="C5">
            <v>0.43</v>
          </cell>
        </row>
        <row r="6">
          <cell r="A6" t="str">
            <v>St. Helena</v>
          </cell>
          <cell r="B6">
            <v>0.75</v>
          </cell>
          <cell r="C6">
            <v>0.25</v>
          </cell>
        </row>
        <row r="7">
          <cell r="A7" t="str">
            <v>Ethiopia</v>
          </cell>
        </row>
        <row r="8">
          <cell r="A8" t="str">
            <v>South Korea</v>
          </cell>
          <cell r="B8">
            <v>0.56000000000000005</v>
          </cell>
          <cell r="C8">
            <v>0.44</v>
          </cell>
        </row>
        <row r="9">
          <cell r="A9" t="str">
            <v>Israel</v>
          </cell>
          <cell r="B9">
            <v>0.69</v>
          </cell>
          <cell r="C9">
            <v>0.31</v>
          </cell>
        </row>
        <row r="10">
          <cell r="A10" t="str">
            <v>Singapore</v>
          </cell>
          <cell r="B10">
            <v>0.69</v>
          </cell>
          <cell r="C10">
            <v>0.31</v>
          </cell>
        </row>
        <row r="11">
          <cell r="A11" t="str">
            <v>Pakistan</v>
          </cell>
          <cell r="B11">
            <v>0.33</v>
          </cell>
          <cell r="C11">
            <v>0.67</v>
          </cell>
        </row>
        <row r="12">
          <cell r="A12" t="str">
            <v>Lesotho</v>
          </cell>
        </row>
        <row r="13">
          <cell r="A13" t="str">
            <v>Luxembourg</v>
          </cell>
        </row>
        <row r="14">
          <cell r="A14" t="str">
            <v>Liechtenstein</v>
          </cell>
        </row>
        <row r="15">
          <cell r="A15" t="str">
            <v>Estonia</v>
          </cell>
        </row>
        <row r="16">
          <cell r="A16" t="str">
            <v>Hong Kong</v>
          </cell>
          <cell r="B16">
            <v>0.69</v>
          </cell>
          <cell r="C16">
            <v>0.31</v>
          </cell>
        </row>
        <row r="17">
          <cell r="A17" t="str">
            <v>Cuba</v>
          </cell>
        </row>
        <row r="18">
          <cell r="A18" t="str">
            <v>Ã…land Islands</v>
          </cell>
        </row>
        <row r="19">
          <cell r="A19" t="str">
            <v>Armenia</v>
          </cell>
        </row>
        <row r="20">
          <cell r="A20" t="str">
            <v>Malta</v>
          </cell>
        </row>
        <row r="21">
          <cell r="A21" t="str">
            <v>Iceland</v>
          </cell>
        </row>
        <row r="22">
          <cell r="A22" t="str">
            <v>Switzerland</v>
          </cell>
          <cell r="B22">
            <v>0.68</v>
          </cell>
          <cell r="C22">
            <v>0.32</v>
          </cell>
        </row>
        <row r="23">
          <cell r="A23" t="str">
            <v>Belarus</v>
          </cell>
          <cell r="B23">
            <v>0.57999999999999996</v>
          </cell>
          <cell r="C23">
            <v>0.42</v>
          </cell>
        </row>
        <row r="24">
          <cell r="A24" t="str">
            <v>India</v>
          </cell>
          <cell r="B24">
            <v>0.57999999999999996</v>
          </cell>
          <cell r="C24">
            <v>0.42</v>
          </cell>
        </row>
        <row r="25">
          <cell r="A25" t="str">
            <v>Myanmar (Burma)</v>
          </cell>
        </row>
        <row r="26">
          <cell r="A26" t="str">
            <v>Czechia</v>
          </cell>
          <cell r="B26">
            <v>0.64</v>
          </cell>
          <cell r="C26">
            <v>0.36</v>
          </cell>
        </row>
        <row r="27">
          <cell r="A27" t="str">
            <v>San Marino</v>
          </cell>
        </row>
        <row r="28">
          <cell r="A28" t="str">
            <v>Rwanda</v>
          </cell>
        </row>
        <row r="29">
          <cell r="A29" t="str">
            <v>New Zealand</v>
          </cell>
          <cell r="B29">
            <v>0.76</v>
          </cell>
          <cell r="C29">
            <v>0.24</v>
          </cell>
        </row>
        <row r="30">
          <cell r="A30" t="str">
            <v>Fiji</v>
          </cell>
        </row>
        <row r="31">
          <cell r="A31" t="str">
            <v>Finland</v>
          </cell>
          <cell r="B31">
            <v>0.67</v>
          </cell>
          <cell r="C31">
            <v>0.33</v>
          </cell>
        </row>
        <row r="32">
          <cell r="A32" t="str">
            <v>Taiwan</v>
          </cell>
          <cell r="B32">
            <v>0.56999999999999995</v>
          </cell>
          <cell r="C32">
            <v>0.43</v>
          </cell>
        </row>
        <row r="33">
          <cell r="A33" t="str">
            <v>Canada</v>
          </cell>
          <cell r="B33">
            <v>0.66</v>
          </cell>
          <cell r="C33">
            <v>0.34</v>
          </cell>
        </row>
        <row r="34">
          <cell r="A34" t="str">
            <v>United States</v>
          </cell>
          <cell r="B34">
            <v>0.69</v>
          </cell>
          <cell r="C34">
            <v>0.31</v>
          </cell>
        </row>
        <row r="35">
          <cell r="A35" t="str">
            <v>Romania</v>
          </cell>
          <cell r="B35">
            <v>0.43</v>
          </cell>
          <cell r="C35">
            <v>0.56999999999999995</v>
          </cell>
        </row>
        <row r="36">
          <cell r="A36" t="str">
            <v>Japan</v>
          </cell>
          <cell r="B36">
            <v>0.7</v>
          </cell>
          <cell r="C36">
            <v>0.3</v>
          </cell>
        </row>
        <row r="37">
          <cell r="A37" t="str">
            <v>Gibraltar</v>
          </cell>
        </row>
        <row r="38">
          <cell r="A38" t="str">
            <v>Netherlands</v>
          </cell>
          <cell r="B38">
            <v>0.75</v>
          </cell>
          <cell r="C38">
            <v>0.25</v>
          </cell>
        </row>
        <row r="39">
          <cell r="A39" t="str">
            <v>Sri Lanka</v>
          </cell>
          <cell r="B39">
            <v>0.66</v>
          </cell>
          <cell r="C39">
            <v>0.34</v>
          </cell>
        </row>
        <row r="40">
          <cell r="A40" t="str">
            <v>Denmark</v>
          </cell>
          <cell r="B40">
            <v>0.77</v>
          </cell>
          <cell r="C40">
            <v>0.23</v>
          </cell>
        </row>
        <row r="41">
          <cell r="A41" t="str">
            <v>Slovenia</v>
          </cell>
          <cell r="B41">
            <v>0.65</v>
          </cell>
          <cell r="C41">
            <v>0.35</v>
          </cell>
        </row>
        <row r="42">
          <cell r="A42" t="str">
            <v>North Macedonia</v>
          </cell>
        </row>
        <row r="43">
          <cell r="A43" t="str">
            <v>Russia</v>
          </cell>
          <cell r="B43">
            <v>0.56999999999999995</v>
          </cell>
          <cell r="C43">
            <v>0.43</v>
          </cell>
        </row>
        <row r="44">
          <cell r="A44" t="str">
            <v>Latvia</v>
          </cell>
        </row>
        <row r="45">
          <cell r="A45" t="str">
            <v>Ireland</v>
          </cell>
          <cell r="B45">
            <v>0.78</v>
          </cell>
          <cell r="C45">
            <v>0.22</v>
          </cell>
        </row>
        <row r="46">
          <cell r="A46" t="str">
            <v>Madagascar</v>
          </cell>
        </row>
        <row r="47">
          <cell r="A47" t="str">
            <v>Norway</v>
          </cell>
          <cell r="B47">
            <v>0.69</v>
          </cell>
          <cell r="C47">
            <v>0.31</v>
          </cell>
        </row>
        <row r="48">
          <cell r="A48" t="str">
            <v>Bulgaria</v>
          </cell>
          <cell r="B48">
            <v>0.59</v>
          </cell>
          <cell r="C48">
            <v>0.41</v>
          </cell>
        </row>
        <row r="49">
          <cell r="A49" t="str">
            <v>Austria</v>
          </cell>
          <cell r="B49">
            <v>0.64</v>
          </cell>
          <cell r="C49">
            <v>0.36</v>
          </cell>
        </row>
        <row r="50">
          <cell r="A50" t="str">
            <v>Sweden</v>
          </cell>
          <cell r="B50">
            <v>0.63</v>
          </cell>
          <cell r="C50">
            <v>0.37</v>
          </cell>
        </row>
        <row r="51">
          <cell r="A51" t="str">
            <v>Germany</v>
          </cell>
          <cell r="B51">
            <v>0.61</v>
          </cell>
          <cell r="C51">
            <v>0.39</v>
          </cell>
        </row>
        <row r="52">
          <cell r="A52" t="str">
            <v>Portugal</v>
          </cell>
          <cell r="B52">
            <v>0.73</v>
          </cell>
          <cell r="C52">
            <v>0.27</v>
          </cell>
        </row>
        <row r="53">
          <cell r="A53" t="str">
            <v>Australia</v>
          </cell>
          <cell r="B53">
            <v>0.78</v>
          </cell>
          <cell r="C53">
            <v>0.22</v>
          </cell>
        </row>
        <row r="54">
          <cell r="A54" t="str">
            <v>Lithuania</v>
          </cell>
          <cell r="B54">
            <v>0.55000000000000004</v>
          </cell>
          <cell r="C54">
            <v>0.45</v>
          </cell>
        </row>
        <row r="55">
          <cell r="A55" t="str">
            <v>Nepal</v>
          </cell>
        </row>
        <row r="56">
          <cell r="A56" t="str">
            <v>Mauritius</v>
          </cell>
        </row>
        <row r="57">
          <cell r="A57" t="str">
            <v>Faroe Islands</v>
          </cell>
        </row>
        <row r="58">
          <cell r="A58" t="str">
            <v>Honduras</v>
          </cell>
        </row>
        <row r="59">
          <cell r="A59" t="str">
            <v>Cyprus</v>
          </cell>
        </row>
        <row r="60">
          <cell r="A60" t="str">
            <v>Malawi</v>
          </cell>
        </row>
        <row r="61">
          <cell r="A61" t="str">
            <v>Belize</v>
          </cell>
        </row>
        <row r="62">
          <cell r="A62" t="str">
            <v>Serbia</v>
          </cell>
          <cell r="B62">
            <v>0.62</v>
          </cell>
          <cell r="C62">
            <v>0.38</v>
          </cell>
        </row>
        <row r="63">
          <cell r="A63" t="str">
            <v>Afghanistan</v>
          </cell>
        </row>
        <row r="64">
          <cell r="A64" t="str">
            <v>Guatemala</v>
          </cell>
        </row>
        <row r="65">
          <cell r="A65" t="str">
            <v>Macao</v>
          </cell>
        </row>
        <row r="66">
          <cell r="A66" t="str">
            <v>Ukraine</v>
          </cell>
          <cell r="B66">
            <v>0.56999999999999995</v>
          </cell>
          <cell r="C66">
            <v>0.43</v>
          </cell>
        </row>
        <row r="67">
          <cell r="A67" t="str">
            <v>Belgium</v>
          </cell>
          <cell r="B67">
            <v>0.75</v>
          </cell>
          <cell r="C67">
            <v>0.25</v>
          </cell>
        </row>
        <row r="68">
          <cell r="A68" t="str">
            <v>United Kingdom</v>
          </cell>
          <cell r="B68">
            <v>0.74</v>
          </cell>
          <cell r="C68">
            <v>0.26</v>
          </cell>
        </row>
        <row r="69">
          <cell r="A69" t="str">
            <v>Tunisia</v>
          </cell>
          <cell r="B69">
            <v>0.6</v>
          </cell>
          <cell r="C69">
            <v>0.4</v>
          </cell>
        </row>
        <row r="70">
          <cell r="A70" t="str">
            <v>Moldova</v>
          </cell>
        </row>
        <row r="71">
          <cell r="A71" t="str">
            <v>Hungary</v>
          </cell>
          <cell r="B71">
            <v>0.62</v>
          </cell>
          <cell r="C71">
            <v>0.38</v>
          </cell>
        </row>
        <row r="72">
          <cell r="A72" t="str">
            <v>Lebanon</v>
          </cell>
        </row>
        <row r="73">
          <cell r="A73" t="str">
            <v>South Africa</v>
          </cell>
          <cell r="B73">
            <v>0.71</v>
          </cell>
          <cell r="C73">
            <v>0.28999999999999998</v>
          </cell>
        </row>
        <row r="74">
          <cell r="A74" t="str">
            <v>Uzbekistan</v>
          </cell>
        </row>
        <row r="75">
          <cell r="A75" t="str">
            <v>Poland</v>
          </cell>
          <cell r="B75">
            <v>0.44</v>
          </cell>
          <cell r="C75">
            <v>0.56000000000000005</v>
          </cell>
        </row>
        <row r="76">
          <cell r="A76" t="str">
            <v>Bosnia &amp; Herzegovina</v>
          </cell>
        </row>
        <row r="77">
          <cell r="A77" t="str">
            <v>Bangladesh</v>
          </cell>
          <cell r="B77">
            <v>0.43</v>
          </cell>
          <cell r="C77">
            <v>0.56999999999999995</v>
          </cell>
        </row>
        <row r="78">
          <cell r="A78" t="str">
            <v>Zimbabwe</v>
          </cell>
        </row>
        <row r="79">
          <cell r="A79" t="str">
            <v>Slovakia</v>
          </cell>
          <cell r="B79">
            <v>0.62</v>
          </cell>
          <cell r="C79">
            <v>0.38</v>
          </cell>
        </row>
        <row r="80">
          <cell r="A80" t="str">
            <v>Mongolia</v>
          </cell>
        </row>
        <row r="81">
          <cell r="A81" t="str">
            <v>Philippines</v>
          </cell>
          <cell r="B81">
            <v>0.57999999999999996</v>
          </cell>
          <cell r="C81">
            <v>0.42</v>
          </cell>
        </row>
        <row r="82">
          <cell r="A82" t="str">
            <v>Somalia</v>
          </cell>
        </row>
        <row r="83">
          <cell r="A83" t="str">
            <v>Costa Rica</v>
          </cell>
        </row>
        <row r="84">
          <cell r="A84" t="str">
            <v>Andorra</v>
          </cell>
        </row>
        <row r="85">
          <cell r="A85" t="str">
            <v>Croatia</v>
          </cell>
          <cell r="B85">
            <v>0.6</v>
          </cell>
          <cell r="C85">
            <v>0.4</v>
          </cell>
        </row>
        <row r="86">
          <cell r="A86" t="str">
            <v>Isle of Man</v>
          </cell>
        </row>
        <row r="87">
          <cell r="A87" t="str">
            <v>Botswana</v>
          </cell>
        </row>
        <row r="88">
          <cell r="A88" t="str">
            <v>Guernsey</v>
          </cell>
        </row>
        <row r="89">
          <cell r="A89" t="str">
            <v>Kazakhstan</v>
          </cell>
          <cell r="B89">
            <v>0.49</v>
          </cell>
          <cell r="C89">
            <v>0.51</v>
          </cell>
        </row>
        <row r="90">
          <cell r="A90" t="str">
            <v>Eswatini</v>
          </cell>
        </row>
        <row r="91">
          <cell r="A91" t="str">
            <v>Albania</v>
          </cell>
        </row>
        <row r="92">
          <cell r="A92" t="str">
            <v>U.S. Virgin Islands</v>
          </cell>
        </row>
        <row r="93">
          <cell r="A93" t="str">
            <v>Monaco</v>
          </cell>
        </row>
        <row r="94">
          <cell r="A94" t="str">
            <v>Maldives</v>
          </cell>
        </row>
        <row r="95">
          <cell r="A95" t="str">
            <v>Palestine</v>
          </cell>
        </row>
        <row r="96">
          <cell r="A96" t="str">
            <v>Burundi</v>
          </cell>
        </row>
        <row r="97">
          <cell r="A97" t="str">
            <v>Iran</v>
          </cell>
          <cell r="B97">
            <v>0.44</v>
          </cell>
          <cell r="C97">
            <v>0.56000000000000005</v>
          </cell>
        </row>
        <row r="98">
          <cell r="A98" t="str">
            <v>United Arab Emirates</v>
          </cell>
          <cell r="B98">
            <v>0.67</v>
          </cell>
          <cell r="C98">
            <v>0.33</v>
          </cell>
        </row>
        <row r="99">
          <cell r="A99" t="str">
            <v>Jordan</v>
          </cell>
        </row>
        <row r="100">
          <cell r="A100" t="str">
            <v>Spain</v>
          </cell>
          <cell r="B100">
            <v>0.69</v>
          </cell>
          <cell r="C100">
            <v>0.31</v>
          </cell>
        </row>
        <row r="101">
          <cell r="A101" t="str">
            <v>Sudan</v>
          </cell>
        </row>
        <row r="102">
          <cell r="A102" t="str">
            <v>Yemen</v>
          </cell>
        </row>
        <row r="103">
          <cell r="A103" t="str">
            <v>Togo</v>
          </cell>
        </row>
        <row r="104">
          <cell r="A104" t="str">
            <v>Malaysia</v>
          </cell>
          <cell r="B104">
            <v>0.55000000000000004</v>
          </cell>
          <cell r="C104">
            <v>0.45</v>
          </cell>
        </row>
        <row r="105">
          <cell r="A105" t="str">
            <v>Cameroon</v>
          </cell>
        </row>
        <row r="106">
          <cell r="A106" t="str">
            <v>Cambodia</v>
          </cell>
        </row>
        <row r="107">
          <cell r="A107" t="str">
            <v>Kosovo</v>
          </cell>
        </row>
        <row r="108">
          <cell r="A108" t="str">
            <v>Uruguay</v>
          </cell>
        </row>
        <row r="109">
          <cell r="A109" t="str">
            <v>Cape Verde</v>
          </cell>
        </row>
        <row r="110">
          <cell r="A110" t="str">
            <v>Jersey</v>
          </cell>
        </row>
        <row r="111">
          <cell r="A111" t="str">
            <v>Zambia</v>
          </cell>
        </row>
        <row r="112">
          <cell r="A112" t="str">
            <v>Barbados</v>
          </cell>
        </row>
        <row r="113">
          <cell r="A113" t="str">
            <v>Ecuador</v>
          </cell>
          <cell r="B113">
            <v>0.4</v>
          </cell>
          <cell r="C113">
            <v>0.6</v>
          </cell>
        </row>
        <row r="114">
          <cell r="A114" t="str">
            <v>France</v>
          </cell>
          <cell r="B114">
            <v>0.63</v>
          </cell>
          <cell r="C114">
            <v>0.37</v>
          </cell>
        </row>
        <row r="115">
          <cell r="A115" t="str">
            <v>Bhutan</v>
          </cell>
        </row>
        <row r="116">
          <cell r="A116" t="str">
            <v>Ghana</v>
          </cell>
        </row>
        <row r="117">
          <cell r="A117" t="str">
            <v>Georgia</v>
          </cell>
        </row>
        <row r="118">
          <cell r="A118" t="str">
            <v>Namibia</v>
          </cell>
        </row>
        <row r="119">
          <cell r="A119" t="str">
            <v>CuraÃ§ao</v>
          </cell>
        </row>
        <row r="120">
          <cell r="A120" t="str">
            <v>Italy</v>
          </cell>
          <cell r="B120">
            <v>0.63</v>
          </cell>
          <cell r="C120">
            <v>0.37</v>
          </cell>
        </row>
        <row r="121">
          <cell r="A121" t="str">
            <v>Laos</v>
          </cell>
        </row>
        <row r="122">
          <cell r="A122" t="str">
            <v>Bolivia</v>
          </cell>
        </row>
        <row r="123">
          <cell r="A123" t="str">
            <v>Vietnam</v>
          </cell>
          <cell r="B123">
            <v>0.51</v>
          </cell>
          <cell r="C123">
            <v>0.49</v>
          </cell>
        </row>
        <row r="124">
          <cell r="A124" t="str">
            <v>Benin</v>
          </cell>
        </row>
        <row r="125">
          <cell r="A125" t="str">
            <v>Mexico</v>
          </cell>
          <cell r="B125">
            <v>0.45</v>
          </cell>
          <cell r="C125">
            <v>0.55000000000000004</v>
          </cell>
        </row>
        <row r="126">
          <cell r="A126" t="str">
            <v>Turkmenistan</v>
          </cell>
        </row>
        <row r="127">
          <cell r="A127" t="str">
            <v>Kenya</v>
          </cell>
        </row>
        <row r="128">
          <cell r="A128" t="str">
            <v>Cayman Islands</v>
          </cell>
        </row>
        <row r="129">
          <cell r="A129" t="str">
            <v>French Polynesia</v>
          </cell>
        </row>
        <row r="130">
          <cell r="A130" t="str">
            <v>Papua New Guinea</v>
          </cell>
        </row>
        <row r="131">
          <cell r="A131" t="str">
            <v>Egypt</v>
          </cell>
          <cell r="B131">
            <v>0.43</v>
          </cell>
          <cell r="C131">
            <v>0.56999999999999995</v>
          </cell>
        </row>
        <row r="132">
          <cell r="A132" t="str">
            <v>Bahrain</v>
          </cell>
        </row>
        <row r="133">
          <cell r="A133" t="str">
            <v>Gambia</v>
          </cell>
        </row>
        <row r="134">
          <cell r="A134" t="str">
            <v>Syria</v>
          </cell>
        </row>
        <row r="135">
          <cell r="A135" t="str">
            <v>El Salvador</v>
          </cell>
        </row>
        <row r="136">
          <cell r="A136" t="str">
            <v>Bermuda</v>
          </cell>
        </row>
        <row r="137">
          <cell r="A137" t="str">
            <v>Montenegro</v>
          </cell>
        </row>
        <row r="138">
          <cell r="A138" t="str">
            <v>Jamaica</v>
          </cell>
        </row>
        <row r="139">
          <cell r="A139" t="str">
            <v>Seychelles</v>
          </cell>
        </row>
        <row r="140">
          <cell r="A140" t="str">
            <v>Greece</v>
          </cell>
          <cell r="B140">
            <v>0.56999999999999995</v>
          </cell>
          <cell r="C140">
            <v>0.43</v>
          </cell>
        </row>
        <row r="141">
          <cell r="A141" t="str">
            <v>Grenada</v>
          </cell>
        </row>
        <row r="142">
          <cell r="A142" t="str">
            <v>Chile</v>
          </cell>
          <cell r="B142">
            <v>0.7</v>
          </cell>
          <cell r="C142">
            <v>0.3</v>
          </cell>
        </row>
        <row r="143">
          <cell r="A143" t="str">
            <v>Libya</v>
          </cell>
        </row>
        <row r="144">
          <cell r="A144" t="str">
            <v>New Caledonia</v>
          </cell>
        </row>
        <row r="145">
          <cell r="A145" t="str">
            <v>Azerbaijan</v>
          </cell>
        </row>
        <row r="146">
          <cell r="A146" t="str">
            <v>Peru</v>
          </cell>
          <cell r="B146">
            <v>0.45</v>
          </cell>
          <cell r="C146">
            <v>0.55000000000000004</v>
          </cell>
        </row>
        <row r="147">
          <cell r="A147" t="str">
            <v>Puerto Rico</v>
          </cell>
        </row>
        <row r="148">
          <cell r="A148" t="str">
            <v>Djibouti</v>
          </cell>
        </row>
        <row r="149">
          <cell r="A149" t="str">
            <v>Angola</v>
          </cell>
        </row>
        <row r="150">
          <cell r="A150" t="str">
            <v>Colombia</v>
          </cell>
          <cell r="B150">
            <v>0.54</v>
          </cell>
          <cell r="C150">
            <v>0.46</v>
          </cell>
        </row>
        <row r="151">
          <cell r="A151" t="str">
            <v>Kyrgyzstan</v>
          </cell>
        </row>
        <row r="152">
          <cell r="A152" t="str">
            <v>Panama</v>
          </cell>
        </row>
        <row r="153">
          <cell r="A153" t="str">
            <v>Brunei</v>
          </cell>
        </row>
        <row r="154">
          <cell r="A154" t="str">
            <v>South Sudan</v>
          </cell>
        </row>
        <row r="155">
          <cell r="A155" t="str">
            <v>Antigua &amp; Barbuda</v>
          </cell>
        </row>
        <row r="156">
          <cell r="A156" t="str">
            <v>Uganda</v>
          </cell>
        </row>
        <row r="157">
          <cell r="A157" t="str">
            <v>Qatar</v>
          </cell>
        </row>
        <row r="158">
          <cell r="A158" t="str">
            <v>Tanzania</v>
          </cell>
        </row>
        <row r="159">
          <cell r="A159" t="str">
            <v>Oman</v>
          </cell>
        </row>
        <row r="160">
          <cell r="A160" t="str">
            <v>Congo - Brazzaville</v>
          </cell>
        </row>
        <row r="161">
          <cell r="A161" t="str">
            <v>Trinidad &amp; Tobago</v>
          </cell>
        </row>
        <row r="162">
          <cell r="A162" t="str">
            <v>Guyana</v>
          </cell>
        </row>
        <row r="163">
          <cell r="A163" t="str">
            <v>Aruba</v>
          </cell>
        </row>
        <row r="164">
          <cell r="A164" t="str">
            <v>Morocco</v>
          </cell>
        </row>
        <row r="165">
          <cell r="A165" t="str">
            <v>Nicaragua</v>
          </cell>
        </row>
        <row r="166">
          <cell r="A166" t="str">
            <v>Guam</v>
          </cell>
        </row>
        <row r="167">
          <cell r="A167" t="str">
            <v>Argentina</v>
          </cell>
          <cell r="B167">
            <v>0.65</v>
          </cell>
          <cell r="C167">
            <v>0.35</v>
          </cell>
        </row>
        <row r="168">
          <cell r="A168" t="str">
            <v>Brazil</v>
          </cell>
          <cell r="B168">
            <v>0.65</v>
          </cell>
          <cell r="C168">
            <v>0.35</v>
          </cell>
        </row>
        <row r="169">
          <cell r="A169" t="str">
            <v>Thailand</v>
          </cell>
          <cell r="B169">
            <v>0.6</v>
          </cell>
          <cell r="C169">
            <v>0.4</v>
          </cell>
        </row>
        <row r="170">
          <cell r="A170" t="str">
            <v>Indonesia</v>
          </cell>
          <cell r="B170">
            <v>0.46</v>
          </cell>
          <cell r="C170">
            <v>0.54</v>
          </cell>
        </row>
        <row r="171">
          <cell r="A171" t="str">
            <v>Tajikistan</v>
          </cell>
        </row>
        <row r="172">
          <cell r="A172" t="str">
            <v>Nigeria</v>
          </cell>
          <cell r="B172">
            <v>0.54</v>
          </cell>
          <cell r="C172">
            <v>0.46</v>
          </cell>
        </row>
        <row r="173">
          <cell r="A173" t="str">
            <v>Senegal</v>
          </cell>
        </row>
        <row r="174">
          <cell r="A174" t="str">
            <v>Algeria</v>
          </cell>
        </row>
        <row r="175">
          <cell r="A175" t="str">
            <v>St. Vincent &amp; Grenadines</v>
          </cell>
        </row>
        <row r="176">
          <cell r="A176" t="str">
            <v>Liberia</v>
          </cell>
        </row>
        <row r="177">
          <cell r="A177" t="str">
            <v>Timor-Leste</v>
          </cell>
        </row>
        <row r="178">
          <cell r="A178" t="str">
            <v>Iraq</v>
          </cell>
        </row>
        <row r="179">
          <cell r="A179" t="str">
            <v>Haiti</v>
          </cell>
        </row>
        <row r="180">
          <cell r="A180" t="str">
            <v>Bahamas</v>
          </cell>
        </row>
        <row r="181">
          <cell r="A181" t="str">
            <v>Paraguay</v>
          </cell>
        </row>
        <row r="182">
          <cell r="A182" t="str">
            <v>Congo - Kinshasa</v>
          </cell>
        </row>
        <row r="183">
          <cell r="A183" t="str">
            <v>Kuwait</v>
          </cell>
        </row>
        <row r="184">
          <cell r="A184" t="str">
            <v>Dominican Republic</v>
          </cell>
        </row>
        <row r="185">
          <cell r="A185" t="str">
            <v>Guinea</v>
          </cell>
        </row>
        <row r="186">
          <cell r="A186" t="str">
            <v>Mali</v>
          </cell>
        </row>
        <row r="187">
          <cell r="A187" t="str">
            <v>Turkey</v>
          </cell>
          <cell r="B187">
            <v>0.53</v>
          </cell>
          <cell r="C187">
            <v>0.47</v>
          </cell>
        </row>
        <row r="188">
          <cell r="A188" t="str">
            <v>Sierra Leone</v>
          </cell>
        </row>
        <row r="189">
          <cell r="A189" t="str">
            <v>Mozambique</v>
          </cell>
        </row>
        <row r="190">
          <cell r="A190" t="str">
            <v>Venezuela</v>
          </cell>
        </row>
        <row r="191">
          <cell r="A191" t="str">
            <v>Niger</v>
          </cell>
        </row>
        <row r="192">
          <cell r="A192" t="str">
            <v>CÃ´te dâ€™Ivoire</v>
          </cell>
        </row>
        <row r="193">
          <cell r="A193" t="str">
            <v>Suriname</v>
          </cell>
        </row>
        <row r="194">
          <cell r="A194" t="str">
            <v>Mauritania</v>
          </cell>
        </row>
        <row r="195">
          <cell r="A195" t="str">
            <v>Saudi Arabia</v>
          </cell>
          <cell r="B195">
            <v>0.51</v>
          </cell>
          <cell r="C195">
            <v>0.49</v>
          </cell>
        </row>
        <row r="196">
          <cell r="A196" t="str">
            <v>Gabon</v>
          </cell>
        </row>
        <row r="197">
          <cell r="A197" t="str">
            <v>Burkina Faso</v>
          </cell>
        </row>
        <row r="198">
          <cell r="A198" t="str">
            <v>RÃ©union</v>
          </cell>
        </row>
        <row r="199">
          <cell r="A199" t="str">
            <v>Guadeloupe</v>
          </cell>
        </row>
        <row r="200">
          <cell r="A200" t="str">
            <v>French Guiana</v>
          </cell>
        </row>
        <row r="201">
          <cell r="A201" t="str">
            <v>Martinique</v>
          </cell>
        </row>
        <row r="202">
          <cell r="A202" t="str">
            <v>Eritrea</v>
          </cell>
        </row>
        <row r="203">
          <cell r="A203" t="str">
            <v>Falkland Islands (Islas Malvinas)</v>
          </cell>
        </row>
        <row r="204">
          <cell r="A204" t="str">
            <v>Montserrat</v>
          </cell>
        </row>
        <row r="205">
          <cell r="A205" t="str">
            <v>Palau</v>
          </cell>
        </row>
        <row r="206">
          <cell r="A206" t="str">
            <v>St. Pierre &amp; Miquelon</v>
          </cell>
        </row>
        <row r="207">
          <cell r="A207" t="str">
            <v>Greenland</v>
          </cell>
        </row>
        <row r="208">
          <cell r="A208" t="str">
            <v>Tonga</v>
          </cell>
        </row>
        <row r="209">
          <cell r="A209" t="str">
            <v>Caribbean Netherlands</v>
          </cell>
        </row>
        <row r="210">
          <cell r="A210" t="str">
            <v>Marshall Islands</v>
          </cell>
        </row>
        <row r="211">
          <cell r="A211" t="str">
            <v>St. Kitts &amp; Nevis</v>
          </cell>
        </row>
        <row r="212">
          <cell r="A212" t="str">
            <v>Vanuatu</v>
          </cell>
        </row>
        <row r="213">
          <cell r="A213" t="str">
            <v>Equatorial Guinea</v>
          </cell>
        </row>
        <row r="214">
          <cell r="A214" t="str">
            <v>British Virgin Islands</v>
          </cell>
        </row>
        <row r="215">
          <cell r="A215" t="str">
            <v>SÃ£o TomÃ© &amp; PrÃ­ncipe</v>
          </cell>
        </row>
        <row r="216">
          <cell r="A216" t="str">
            <v>Solomon Islands</v>
          </cell>
        </row>
        <row r="217">
          <cell r="A217" t="str">
            <v>American Samoa</v>
          </cell>
        </row>
        <row r="218">
          <cell r="A218" t="str">
            <v>St. Martin</v>
          </cell>
        </row>
        <row r="219">
          <cell r="A219" t="str">
            <v>St. Lucia</v>
          </cell>
        </row>
        <row r="220">
          <cell r="A220" t="str">
            <v>Turks &amp; Caicos Islands</v>
          </cell>
        </row>
        <row r="221">
          <cell r="A221" t="str">
            <v>Western Sahara</v>
          </cell>
        </row>
        <row r="222">
          <cell r="A222" t="str">
            <v>Dominica</v>
          </cell>
        </row>
        <row r="223">
          <cell r="A223" t="str">
            <v>Central African Republic</v>
          </cell>
        </row>
        <row r="224">
          <cell r="A224" t="str">
            <v>Samoa</v>
          </cell>
        </row>
        <row r="225">
          <cell r="A225" t="str">
            <v>Chad</v>
          </cell>
        </row>
        <row r="226">
          <cell r="A226" t="str">
            <v>Northern Mariana Islands</v>
          </cell>
        </row>
        <row r="227">
          <cell r="A227" t="str">
            <v>St. BarthÃ©lemy</v>
          </cell>
        </row>
        <row r="228">
          <cell r="A228" t="str">
            <v>Mayotte</v>
          </cell>
        </row>
        <row r="229">
          <cell r="A229" t="str">
            <v>Anguilla</v>
          </cell>
        </row>
        <row r="230">
          <cell r="A230" t="str">
            <v>Antarctica</v>
          </cell>
        </row>
        <row r="231">
          <cell r="A231" t="str">
            <v>French Southern Territories</v>
          </cell>
        </row>
        <row r="232">
          <cell r="A232" t="str">
            <v>Bouvet Island</v>
          </cell>
        </row>
        <row r="233">
          <cell r="A233" t="str">
            <v>Cocos (Keeling) Islands</v>
          </cell>
        </row>
        <row r="234">
          <cell r="A234" t="str">
            <v>Cook Islands</v>
          </cell>
        </row>
        <row r="235">
          <cell r="A235" t="str">
            <v>Comoros</v>
          </cell>
        </row>
        <row r="236">
          <cell r="A236" t="str">
            <v>Christmas Island</v>
          </cell>
        </row>
        <row r="237">
          <cell r="A237" t="str">
            <v>Micronesia</v>
          </cell>
        </row>
        <row r="238">
          <cell r="A238" t="str">
            <v>Guinea-Bissau</v>
          </cell>
        </row>
        <row r="239">
          <cell r="A239" t="str">
            <v>Heard &amp; McDonald Islands</v>
          </cell>
        </row>
        <row r="240">
          <cell r="A240" t="str">
            <v>British Indian Ocean Territory</v>
          </cell>
        </row>
        <row r="241">
          <cell r="A241" t="str">
            <v>Kiribati</v>
          </cell>
        </row>
        <row r="242">
          <cell r="A242" t="str">
            <v>Norfolk Island</v>
          </cell>
        </row>
        <row r="243">
          <cell r="A243" t="str">
            <v>Niue</v>
          </cell>
        </row>
        <row r="244">
          <cell r="A244" t="str">
            <v>Nauru</v>
          </cell>
        </row>
        <row r="245">
          <cell r="A245" t="str">
            <v>Pitcairn Islands</v>
          </cell>
        </row>
        <row r="246">
          <cell r="A246" t="str">
            <v>South Georgia &amp; South Sandwich Islands</v>
          </cell>
        </row>
        <row r="247">
          <cell r="A247" t="str">
            <v>Svalbard &amp; Jan Mayen</v>
          </cell>
        </row>
        <row r="248">
          <cell r="A248" t="str">
            <v>Sint Maarten</v>
          </cell>
        </row>
        <row r="249">
          <cell r="A249" t="str">
            <v>Tokelau</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7)"/>
    </sheetNames>
    <sheetDataSet>
      <sheetData sheetId="0" refreshError="1">
        <row r="1">
          <cell r="A1" t="str">
            <v>Kategori: TÃ¼m kategoriler</v>
          </cell>
        </row>
        <row r="3">
          <cell r="A3" t="str">
            <v>Ãœlke</v>
          </cell>
          <cell r="B3" t="str">
            <v>C++: (2018)</v>
          </cell>
          <cell r="C3" t="str">
            <v>ReactJS: (2018)</v>
          </cell>
        </row>
        <row r="4">
          <cell r="A4" t="str">
            <v>North Korea</v>
          </cell>
        </row>
        <row r="5">
          <cell r="A5" t="str">
            <v>China</v>
          </cell>
          <cell r="B5">
            <v>0.54</v>
          </cell>
          <cell r="C5">
            <v>0.46</v>
          </cell>
        </row>
        <row r="6">
          <cell r="A6" t="str">
            <v>Ethiopia</v>
          </cell>
        </row>
        <row r="7">
          <cell r="A7" t="str">
            <v>South Korea</v>
          </cell>
          <cell r="B7">
            <v>0.7</v>
          </cell>
          <cell r="C7">
            <v>0.3</v>
          </cell>
        </row>
        <row r="8">
          <cell r="A8" t="str">
            <v>Pakistan</v>
          </cell>
          <cell r="B8">
            <v>0.78</v>
          </cell>
          <cell r="C8">
            <v>0.22</v>
          </cell>
        </row>
        <row r="9">
          <cell r="A9" t="str">
            <v>Lesotho</v>
          </cell>
        </row>
        <row r="10">
          <cell r="A10" t="str">
            <v>Cuba</v>
          </cell>
        </row>
        <row r="11">
          <cell r="A11" t="str">
            <v>Iceland</v>
          </cell>
        </row>
        <row r="12">
          <cell r="A12" t="str">
            <v>Gibraltar</v>
          </cell>
        </row>
        <row r="13">
          <cell r="A13" t="str">
            <v>Armenia</v>
          </cell>
          <cell r="B13">
            <v>0.51</v>
          </cell>
          <cell r="C13">
            <v>0.49</v>
          </cell>
        </row>
        <row r="14">
          <cell r="A14" t="str">
            <v>St. Helena</v>
          </cell>
          <cell r="B14">
            <v>0.49</v>
          </cell>
          <cell r="C14">
            <v>0.51</v>
          </cell>
        </row>
        <row r="15">
          <cell r="A15" t="str">
            <v>Rwanda</v>
          </cell>
        </row>
        <row r="16">
          <cell r="A16" t="str">
            <v>Fiji</v>
          </cell>
        </row>
        <row r="17">
          <cell r="A17" t="str">
            <v>Romania</v>
          </cell>
          <cell r="B17">
            <v>0.72</v>
          </cell>
          <cell r="C17">
            <v>0.28000000000000003</v>
          </cell>
        </row>
        <row r="18">
          <cell r="A18" t="str">
            <v>Nepal</v>
          </cell>
          <cell r="B18">
            <v>0.47</v>
          </cell>
          <cell r="C18">
            <v>0.53</v>
          </cell>
        </row>
        <row r="19">
          <cell r="A19" t="str">
            <v>Hong Kong</v>
          </cell>
          <cell r="B19">
            <v>0.39</v>
          </cell>
          <cell r="C19">
            <v>0.61</v>
          </cell>
        </row>
        <row r="20">
          <cell r="A20" t="str">
            <v>Israel</v>
          </cell>
          <cell r="B20">
            <v>0.49</v>
          </cell>
          <cell r="C20">
            <v>0.51</v>
          </cell>
        </row>
        <row r="21">
          <cell r="A21" t="str">
            <v>Singapore</v>
          </cell>
          <cell r="B21">
            <v>0.49</v>
          </cell>
          <cell r="C21">
            <v>0.51</v>
          </cell>
        </row>
        <row r="22">
          <cell r="A22" t="str">
            <v>Honduras</v>
          </cell>
        </row>
        <row r="23">
          <cell r="A23" t="str">
            <v>Myanmar (Burma)</v>
          </cell>
        </row>
        <row r="24">
          <cell r="A24" t="str">
            <v>Estonia</v>
          </cell>
        </row>
        <row r="25">
          <cell r="A25" t="str">
            <v>Belarus</v>
          </cell>
          <cell r="B25">
            <v>0.53</v>
          </cell>
          <cell r="C25">
            <v>0.47</v>
          </cell>
        </row>
        <row r="26">
          <cell r="A26" t="str">
            <v>India</v>
          </cell>
          <cell r="B26">
            <v>0.65</v>
          </cell>
          <cell r="C26">
            <v>0.35</v>
          </cell>
        </row>
        <row r="27">
          <cell r="A27" t="str">
            <v>Malawi</v>
          </cell>
        </row>
        <row r="28">
          <cell r="A28" t="str">
            <v>Belize</v>
          </cell>
        </row>
        <row r="29">
          <cell r="A29" t="str">
            <v>Taiwan</v>
          </cell>
          <cell r="B29">
            <v>0.69</v>
          </cell>
          <cell r="C29">
            <v>0.31</v>
          </cell>
        </row>
        <row r="30">
          <cell r="A30" t="str">
            <v>Afghanistan</v>
          </cell>
        </row>
        <row r="31">
          <cell r="A31" t="str">
            <v>Guatemala</v>
          </cell>
        </row>
        <row r="32">
          <cell r="A32" t="str">
            <v>Finland</v>
          </cell>
          <cell r="B32">
            <v>0.4</v>
          </cell>
          <cell r="C32">
            <v>0.6</v>
          </cell>
        </row>
        <row r="33">
          <cell r="A33" t="str">
            <v>Sri Lanka</v>
          </cell>
          <cell r="B33">
            <v>0.4</v>
          </cell>
          <cell r="C33">
            <v>0.6</v>
          </cell>
        </row>
        <row r="34">
          <cell r="A34" t="str">
            <v>Madagascar</v>
          </cell>
        </row>
        <row r="35">
          <cell r="A35" t="str">
            <v>Cambodia</v>
          </cell>
        </row>
        <row r="36">
          <cell r="A36" t="str">
            <v>North Macedonia</v>
          </cell>
        </row>
        <row r="37">
          <cell r="A37" t="str">
            <v>Uzbekistan</v>
          </cell>
        </row>
        <row r="38">
          <cell r="A38" t="str">
            <v>Poland</v>
          </cell>
          <cell r="B38">
            <v>0.68</v>
          </cell>
          <cell r="C38">
            <v>0.32</v>
          </cell>
        </row>
        <row r="39">
          <cell r="A39" t="str">
            <v>Bosnia &amp; Herzegovina</v>
          </cell>
        </row>
        <row r="40">
          <cell r="A40" t="str">
            <v>Bangladesh</v>
          </cell>
          <cell r="B40">
            <v>0.72</v>
          </cell>
          <cell r="C40">
            <v>0.28000000000000003</v>
          </cell>
        </row>
        <row r="41">
          <cell r="A41" t="str">
            <v>Zimbabwe</v>
          </cell>
        </row>
        <row r="42">
          <cell r="A42" t="str">
            <v>Russia</v>
          </cell>
          <cell r="B42">
            <v>0.69</v>
          </cell>
          <cell r="C42">
            <v>0.31</v>
          </cell>
        </row>
        <row r="43">
          <cell r="A43" t="str">
            <v>Mongolia</v>
          </cell>
        </row>
        <row r="44">
          <cell r="A44" t="str">
            <v>Lithuania</v>
          </cell>
          <cell r="B44">
            <v>0.52</v>
          </cell>
          <cell r="C44">
            <v>0.48</v>
          </cell>
        </row>
        <row r="45">
          <cell r="A45" t="str">
            <v>Somalia</v>
          </cell>
        </row>
        <row r="46">
          <cell r="A46" t="str">
            <v>Sweden</v>
          </cell>
          <cell r="B46">
            <v>0.44</v>
          </cell>
          <cell r="C46">
            <v>0.56000000000000005</v>
          </cell>
        </row>
        <row r="47">
          <cell r="A47" t="str">
            <v>Faroe Islands</v>
          </cell>
        </row>
        <row r="48">
          <cell r="A48" t="str">
            <v>Norway</v>
          </cell>
          <cell r="B48">
            <v>0.39</v>
          </cell>
          <cell r="C48">
            <v>0.61</v>
          </cell>
        </row>
        <row r="49">
          <cell r="A49" t="str">
            <v>Bulgaria</v>
          </cell>
          <cell r="B49">
            <v>0.57999999999999996</v>
          </cell>
          <cell r="C49">
            <v>0.42</v>
          </cell>
        </row>
        <row r="50">
          <cell r="A50" t="str">
            <v>New Zealand</v>
          </cell>
          <cell r="B50">
            <v>0.33</v>
          </cell>
          <cell r="C50">
            <v>0.67</v>
          </cell>
        </row>
        <row r="51">
          <cell r="A51" t="str">
            <v>Cyprus</v>
          </cell>
        </row>
        <row r="52">
          <cell r="A52" t="str">
            <v>Macao</v>
          </cell>
        </row>
        <row r="53">
          <cell r="A53" t="str">
            <v>Czechia</v>
          </cell>
          <cell r="B53">
            <v>0.55000000000000004</v>
          </cell>
          <cell r="C53">
            <v>0.45</v>
          </cell>
        </row>
        <row r="54">
          <cell r="A54" t="str">
            <v>Germany</v>
          </cell>
          <cell r="B54">
            <v>0.69</v>
          </cell>
          <cell r="C54">
            <v>0.31</v>
          </cell>
        </row>
        <row r="55">
          <cell r="A55" t="str">
            <v>Malta</v>
          </cell>
        </row>
        <row r="56">
          <cell r="A56" t="str">
            <v>Serbia</v>
          </cell>
          <cell r="B56">
            <v>0.46</v>
          </cell>
          <cell r="C56">
            <v>0.54</v>
          </cell>
        </row>
        <row r="57">
          <cell r="A57" t="str">
            <v>Ukraine</v>
          </cell>
          <cell r="B57">
            <v>0.51</v>
          </cell>
          <cell r="C57">
            <v>0.49</v>
          </cell>
        </row>
        <row r="58">
          <cell r="A58" t="str">
            <v>Latvia</v>
          </cell>
        </row>
        <row r="59">
          <cell r="A59" t="str">
            <v>Luxembourg</v>
          </cell>
        </row>
        <row r="60">
          <cell r="A60" t="str">
            <v>Kazakhstan</v>
          </cell>
          <cell r="B60">
            <v>0.75</v>
          </cell>
          <cell r="C60">
            <v>0.25</v>
          </cell>
        </row>
        <row r="61">
          <cell r="A61" t="str">
            <v>Eswatini</v>
          </cell>
        </row>
        <row r="62">
          <cell r="A62" t="str">
            <v>Albania</v>
          </cell>
        </row>
        <row r="63">
          <cell r="A63" t="str">
            <v>Switzerland</v>
          </cell>
          <cell r="B63">
            <v>0.61</v>
          </cell>
          <cell r="C63">
            <v>0.39</v>
          </cell>
        </row>
        <row r="64">
          <cell r="A64" t="str">
            <v>Palestine</v>
          </cell>
        </row>
        <row r="65">
          <cell r="A65" t="str">
            <v>Burundi</v>
          </cell>
        </row>
        <row r="66">
          <cell r="A66" t="str">
            <v>Iran</v>
          </cell>
          <cell r="B66">
            <v>0.75</v>
          </cell>
          <cell r="C66">
            <v>0.25</v>
          </cell>
        </row>
        <row r="67">
          <cell r="A67" t="str">
            <v>Moldova</v>
          </cell>
        </row>
        <row r="68">
          <cell r="A68" t="str">
            <v>Jordan</v>
          </cell>
        </row>
        <row r="69">
          <cell r="A69" t="str">
            <v>Sudan</v>
          </cell>
        </row>
        <row r="70">
          <cell r="A70" t="str">
            <v>Yemen</v>
          </cell>
        </row>
        <row r="71">
          <cell r="A71" t="str">
            <v>Canada</v>
          </cell>
          <cell r="B71">
            <v>0.51</v>
          </cell>
          <cell r="C71">
            <v>0.49</v>
          </cell>
        </row>
        <row r="72">
          <cell r="A72" t="str">
            <v>Austria</v>
          </cell>
          <cell r="B72">
            <v>0.68</v>
          </cell>
          <cell r="C72">
            <v>0.32</v>
          </cell>
        </row>
        <row r="73">
          <cell r="A73" t="str">
            <v>Togo</v>
          </cell>
        </row>
        <row r="74">
          <cell r="A74" t="str">
            <v>Philippines</v>
          </cell>
          <cell r="B74">
            <v>0.57999999999999996</v>
          </cell>
          <cell r="C74">
            <v>0.42</v>
          </cell>
        </row>
        <row r="75">
          <cell r="A75" t="str">
            <v>Slovenia</v>
          </cell>
        </row>
        <row r="76">
          <cell r="A76" t="str">
            <v>Cameroon</v>
          </cell>
        </row>
        <row r="77">
          <cell r="A77" t="str">
            <v>Maldives</v>
          </cell>
        </row>
        <row r="78">
          <cell r="A78" t="str">
            <v>Zambia</v>
          </cell>
        </row>
        <row r="79">
          <cell r="A79" t="str">
            <v>Tunisia</v>
          </cell>
          <cell r="B79">
            <v>0.52</v>
          </cell>
          <cell r="C79">
            <v>0.48</v>
          </cell>
        </row>
        <row r="80">
          <cell r="A80" t="str">
            <v>Ecuador</v>
          </cell>
          <cell r="B80">
            <v>0.79</v>
          </cell>
          <cell r="C80">
            <v>0.21</v>
          </cell>
        </row>
        <row r="81">
          <cell r="A81" t="str">
            <v>Vietnam</v>
          </cell>
          <cell r="B81">
            <v>0.48</v>
          </cell>
          <cell r="C81">
            <v>0.52</v>
          </cell>
        </row>
        <row r="82">
          <cell r="A82" t="str">
            <v>Botswana</v>
          </cell>
        </row>
        <row r="83">
          <cell r="A83" t="str">
            <v>Ghana</v>
          </cell>
        </row>
        <row r="84">
          <cell r="A84" t="str">
            <v>Hungary</v>
          </cell>
          <cell r="B84">
            <v>0.66</v>
          </cell>
          <cell r="C84">
            <v>0.34</v>
          </cell>
        </row>
        <row r="85">
          <cell r="A85" t="str">
            <v>Georgia</v>
          </cell>
        </row>
        <row r="86">
          <cell r="A86" t="str">
            <v>United States</v>
          </cell>
          <cell r="B86">
            <v>0.54</v>
          </cell>
          <cell r="C86">
            <v>0.46</v>
          </cell>
        </row>
        <row r="87">
          <cell r="A87" t="str">
            <v>Australia</v>
          </cell>
          <cell r="B87">
            <v>0.36</v>
          </cell>
          <cell r="C87">
            <v>0.64</v>
          </cell>
        </row>
        <row r="88">
          <cell r="A88" t="str">
            <v>Denmark</v>
          </cell>
          <cell r="B88">
            <v>0.4</v>
          </cell>
          <cell r="C88">
            <v>0.6</v>
          </cell>
        </row>
        <row r="89">
          <cell r="A89" t="str">
            <v>Laos</v>
          </cell>
        </row>
        <row r="90">
          <cell r="A90" t="str">
            <v>Bolivia</v>
          </cell>
        </row>
        <row r="91">
          <cell r="A91" t="str">
            <v>Portugal</v>
          </cell>
          <cell r="B91">
            <v>0.43</v>
          </cell>
          <cell r="C91">
            <v>0.56999999999999995</v>
          </cell>
        </row>
        <row r="92">
          <cell r="A92" t="str">
            <v>Bhutan</v>
          </cell>
        </row>
        <row r="93">
          <cell r="A93" t="str">
            <v>Benin</v>
          </cell>
        </row>
        <row r="94">
          <cell r="A94" t="str">
            <v>Slovakia</v>
          </cell>
          <cell r="B94">
            <v>0.6</v>
          </cell>
          <cell r="C94">
            <v>0.4</v>
          </cell>
        </row>
        <row r="95">
          <cell r="A95" t="str">
            <v>Uruguay</v>
          </cell>
        </row>
        <row r="96">
          <cell r="A96" t="str">
            <v>Japan</v>
          </cell>
          <cell r="B96">
            <v>0.74</v>
          </cell>
          <cell r="C96">
            <v>0.26</v>
          </cell>
        </row>
        <row r="97">
          <cell r="A97" t="str">
            <v>Kosovo</v>
          </cell>
        </row>
        <row r="98">
          <cell r="A98" t="str">
            <v>Tonga</v>
          </cell>
        </row>
        <row r="99">
          <cell r="A99" t="str">
            <v>Mexico</v>
          </cell>
          <cell r="B99">
            <v>0.75</v>
          </cell>
          <cell r="C99">
            <v>0.25</v>
          </cell>
        </row>
        <row r="100">
          <cell r="A100" t="str">
            <v>Malaysia</v>
          </cell>
          <cell r="B100">
            <v>0.61</v>
          </cell>
          <cell r="C100">
            <v>0.39</v>
          </cell>
        </row>
        <row r="101">
          <cell r="A101" t="str">
            <v>Turkmenistan</v>
          </cell>
        </row>
        <row r="102">
          <cell r="A102" t="str">
            <v>Costa Rica</v>
          </cell>
        </row>
        <row r="103">
          <cell r="A103" t="str">
            <v>Kenya</v>
          </cell>
          <cell r="B103">
            <v>0.6</v>
          </cell>
          <cell r="C103">
            <v>0.4</v>
          </cell>
        </row>
        <row r="104">
          <cell r="A104" t="str">
            <v>Croatia</v>
          </cell>
          <cell r="B104">
            <v>0.53</v>
          </cell>
          <cell r="C104">
            <v>0.47</v>
          </cell>
        </row>
        <row r="105">
          <cell r="A105" t="str">
            <v>Papua New Guinea</v>
          </cell>
        </row>
        <row r="106">
          <cell r="A106" t="str">
            <v>Egypt</v>
          </cell>
          <cell r="B106">
            <v>0.71</v>
          </cell>
          <cell r="C106">
            <v>0.28999999999999998</v>
          </cell>
        </row>
        <row r="107">
          <cell r="A107" t="str">
            <v>Lebanon</v>
          </cell>
        </row>
        <row r="108">
          <cell r="A108" t="str">
            <v>Syria</v>
          </cell>
        </row>
        <row r="109">
          <cell r="A109" t="str">
            <v>El Salvador</v>
          </cell>
        </row>
        <row r="110">
          <cell r="A110" t="str">
            <v>Netherlands</v>
          </cell>
          <cell r="B110">
            <v>0.46</v>
          </cell>
          <cell r="C110">
            <v>0.54</v>
          </cell>
        </row>
        <row r="111">
          <cell r="A111" t="str">
            <v>Libya</v>
          </cell>
        </row>
        <row r="112">
          <cell r="A112" t="str">
            <v>Azerbaijan</v>
          </cell>
        </row>
        <row r="113">
          <cell r="A113" t="str">
            <v>Ireland</v>
          </cell>
          <cell r="B113">
            <v>0.43</v>
          </cell>
          <cell r="C113">
            <v>0.56999999999999995</v>
          </cell>
        </row>
        <row r="114">
          <cell r="A114" t="str">
            <v>Peru</v>
          </cell>
          <cell r="B114">
            <v>0.76</v>
          </cell>
          <cell r="C114">
            <v>0.24</v>
          </cell>
        </row>
        <row r="115">
          <cell r="A115" t="str">
            <v>Djibouti</v>
          </cell>
        </row>
        <row r="116">
          <cell r="A116" t="str">
            <v>Jersey</v>
          </cell>
        </row>
        <row r="117">
          <cell r="A117" t="str">
            <v>Angola</v>
          </cell>
        </row>
        <row r="118">
          <cell r="A118" t="str">
            <v>Kyrgyzstan</v>
          </cell>
        </row>
        <row r="119">
          <cell r="A119" t="str">
            <v>Panama</v>
          </cell>
        </row>
        <row r="120">
          <cell r="A120" t="str">
            <v>South Sudan</v>
          </cell>
        </row>
        <row r="121">
          <cell r="A121" t="str">
            <v>United Kingdom</v>
          </cell>
          <cell r="B121">
            <v>0.43</v>
          </cell>
          <cell r="C121">
            <v>0.56999999999999995</v>
          </cell>
        </row>
        <row r="122">
          <cell r="A122" t="str">
            <v>Uganda</v>
          </cell>
        </row>
        <row r="123">
          <cell r="A123" t="str">
            <v>Tanzania</v>
          </cell>
        </row>
        <row r="124">
          <cell r="A124" t="str">
            <v>Oman</v>
          </cell>
        </row>
        <row r="125">
          <cell r="A125" t="str">
            <v>Congo - Brazzaville</v>
          </cell>
        </row>
        <row r="126">
          <cell r="A126" t="str">
            <v>Trinidad &amp; Tobago</v>
          </cell>
        </row>
        <row r="127">
          <cell r="A127" t="str">
            <v>Barbados</v>
          </cell>
        </row>
        <row r="128">
          <cell r="A128" t="str">
            <v>Colombia</v>
          </cell>
          <cell r="B128">
            <v>0.62</v>
          </cell>
          <cell r="C128">
            <v>0.38</v>
          </cell>
        </row>
        <row r="129">
          <cell r="A129" t="str">
            <v>France</v>
          </cell>
          <cell r="B129">
            <v>0.48</v>
          </cell>
          <cell r="C129">
            <v>0.52</v>
          </cell>
        </row>
        <row r="130">
          <cell r="A130" t="str">
            <v>Belgium</v>
          </cell>
          <cell r="B130">
            <v>0.46</v>
          </cell>
          <cell r="C130">
            <v>0.54</v>
          </cell>
        </row>
        <row r="131">
          <cell r="A131" t="str">
            <v>South Africa</v>
          </cell>
          <cell r="B131">
            <v>0.53</v>
          </cell>
          <cell r="C131">
            <v>0.47</v>
          </cell>
        </row>
        <row r="132">
          <cell r="A132" t="str">
            <v>Isle of Man</v>
          </cell>
        </row>
        <row r="133">
          <cell r="A133" t="str">
            <v>Greece</v>
          </cell>
          <cell r="B133">
            <v>0.6</v>
          </cell>
          <cell r="C133">
            <v>0.4</v>
          </cell>
        </row>
        <row r="134">
          <cell r="A134" t="str">
            <v>Morocco</v>
          </cell>
          <cell r="B134">
            <v>0.56000000000000005</v>
          </cell>
          <cell r="C134">
            <v>0.44</v>
          </cell>
        </row>
        <row r="135">
          <cell r="A135" t="str">
            <v>CuraÃ§ao</v>
          </cell>
        </row>
        <row r="136">
          <cell r="A136" t="str">
            <v>Mauritius</v>
          </cell>
        </row>
        <row r="137">
          <cell r="A137" t="str">
            <v>Jamaica</v>
          </cell>
        </row>
        <row r="138">
          <cell r="A138" t="str">
            <v>Nigeria</v>
          </cell>
          <cell r="B138">
            <v>0.46</v>
          </cell>
          <cell r="C138">
            <v>0.54</v>
          </cell>
        </row>
        <row r="139">
          <cell r="A139" t="str">
            <v>Indonesia</v>
          </cell>
          <cell r="B139">
            <v>0.62</v>
          </cell>
          <cell r="C139">
            <v>0.38</v>
          </cell>
        </row>
        <row r="140">
          <cell r="A140" t="str">
            <v>Nicaragua</v>
          </cell>
        </row>
        <row r="141">
          <cell r="A141" t="str">
            <v>Namibia</v>
          </cell>
        </row>
        <row r="142">
          <cell r="A142" t="str">
            <v>United Arab Emirates</v>
          </cell>
          <cell r="B142">
            <v>0.54</v>
          </cell>
          <cell r="C142">
            <v>0.46</v>
          </cell>
        </row>
        <row r="143">
          <cell r="A143" t="str">
            <v>Algeria</v>
          </cell>
        </row>
        <row r="144">
          <cell r="A144" t="str">
            <v>Italy</v>
          </cell>
          <cell r="B144">
            <v>0.7</v>
          </cell>
          <cell r="C144">
            <v>0.3</v>
          </cell>
        </row>
        <row r="145">
          <cell r="A145" t="str">
            <v>Puerto Rico</v>
          </cell>
        </row>
        <row r="146">
          <cell r="A146" t="str">
            <v>Tajikistan</v>
          </cell>
        </row>
        <row r="147">
          <cell r="A147" t="str">
            <v>Montenegro</v>
          </cell>
        </row>
        <row r="148">
          <cell r="A148" t="str">
            <v>Iraq</v>
          </cell>
        </row>
        <row r="149">
          <cell r="A149" t="str">
            <v>Haiti</v>
          </cell>
        </row>
        <row r="150">
          <cell r="A150" t="str">
            <v>Paraguay</v>
          </cell>
        </row>
        <row r="151">
          <cell r="A151" t="str">
            <v>Thailand</v>
          </cell>
          <cell r="B151">
            <v>0.45</v>
          </cell>
          <cell r="C151">
            <v>0.55000000000000004</v>
          </cell>
        </row>
        <row r="152">
          <cell r="A152" t="str">
            <v>Spain</v>
          </cell>
          <cell r="B152">
            <v>0.55000000000000004</v>
          </cell>
          <cell r="C152">
            <v>0.45</v>
          </cell>
        </row>
        <row r="153">
          <cell r="A153" t="str">
            <v>Congo - Kinshasa</v>
          </cell>
        </row>
        <row r="154">
          <cell r="A154" t="str">
            <v>Cape Verde</v>
          </cell>
        </row>
        <row r="155">
          <cell r="A155" t="str">
            <v>Argentina</v>
          </cell>
          <cell r="B155">
            <v>0.41</v>
          </cell>
          <cell r="C155">
            <v>0.59</v>
          </cell>
        </row>
        <row r="156">
          <cell r="A156" t="str">
            <v>Guinea</v>
          </cell>
        </row>
        <row r="157">
          <cell r="A157" t="str">
            <v>Bahrain</v>
          </cell>
        </row>
        <row r="158">
          <cell r="A158" t="str">
            <v>Mali</v>
          </cell>
        </row>
        <row r="159">
          <cell r="A159" t="str">
            <v>Brazil</v>
          </cell>
          <cell r="B159">
            <v>0.43</v>
          </cell>
          <cell r="C159">
            <v>0.56999999999999995</v>
          </cell>
        </row>
        <row r="160">
          <cell r="A160" t="str">
            <v>Dominican Republic</v>
          </cell>
        </row>
        <row r="161">
          <cell r="A161" t="str">
            <v>New Caledonia</v>
          </cell>
        </row>
        <row r="162">
          <cell r="A162" t="str">
            <v>Senegal</v>
          </cell>
        </row>
        <row r="163">
          <cell r="A163" t="str">
            <v>Sierra Leone</v>
          </cell>
        </row>
        <row r="164">
          <cell r="A164" t="str">
            <v>Turkey</v>
          </cell>
          <cell r="B164">
            <v>0.61</v>
          </cell>
          <cell r="C164">
            <v>0.39</v>
          </cell>
        </row>
        <row r="165">
          <cell r="A165" t="str">
            <v>Brunei</v>
          </cell>
        </row>
        <row r="166">
          <cell r="A166" t="str">
            <v>Antigua &amp; Barbuda</v>
          </cell>
        </row>
        <row r="167">
          <cell r="A167" t="str">
            <v>Chile</v>
          </cell>
          <cell r="B167">
            <v>0.47</v>
          </cell>
          <cell r="C167">
            <v>0.53</v>
          </cell>
        </row>
        <row r="168">
          <cell r="A168" t="str">
            <v>Qatar</v>
          </cell>
        </row>
        <row r="169">
          <cell r="A169" t="str">
            <v>Venezuela</v>
          </cell>
          <cell r="B169">
            <v>0.69</v>
          </cell>
          <cell r="C169">
            <v>0.31</v>
          </cell>
        </row>
        <row r="170">
          <cell r="A170" t="str">
            <v>Mozambique</v>
          </cell>
        </row>
        <row r="171">
          <cell r="A171" t="str">
            <v>Niger</v>
          </cell>
        </row>
        <row r="172">
          <cell r="A172" t="str">
            <v>Mauritania</v>
          </cell>
        </row>
        <row r="173">
          <cell r="A173" t="str">
            <v>Saudi Arabia</v>
          </cell>
          <cell r="B173">
            <v>0.73</v>
          </cell>
          <cell r="C173">
            <v>0.27</v>
          </cell>
        </row>
        <row r="174">
          <cell r="A174" t="str">
            <v>CÃ´te dâ€™Ivoire</v>
          </cell>
        </row>
        <row r="175">
          <cell r="A175" t="str">
            <v>RÃ©union</v>
          </cell>
        </row>
        <row r="176">
          <cell r="A176" t="str">
            <v>Guam</v>
          </cell>
        </row>
        <row r="177">
          <cell r="A177" t="str">
            <v>Guyana</v>
          </cell>
        </row>
        <row r="178">
          <cell r="A178" t="str">
            <v>Guadeloupe</v>
          </cell>
        </row>
        <row r="179">
          <cell r="A179" t="str">
            <v>Gabon</v>
          </cell>
        </row>
        <row r="180">
          <cell r="A180" t="str">
            <v>Burkina Faso</v>
          </cell>
        </row>
        <row r="181">
          <cell r="A181" t="str">
            <v>Kuwait</v>
          </cell>
        </row>
        <row r="182">
          <cell r="A182" t="str">
            <v>Cayman Islands</v>
          </cell>
        </row>
        <row r="183">
          <cell r="A183" t="str">
            <v>Suriname</v>
          </cell>
        </row>
        <row r="184">
          <cell r="A184" t="str">
            <v>French Guiana</v>
          </cell>
        </row>
        <row r="185">
          <cell r="A185" t="str">
            <v>Liberia</v>
          </cell>
        </row>
        <row r="186">
          <cell r="A186" t="str">
            <v>Martinique</v>
          </cell>
        </row>
        <row r="187">
          <cell r="A187" t="str">
            <v>Grenada</v>
          </cell>
        </row>
        <row r="188">
          <cell r="A188" t="str">
            <v>Bahamas</v>
          </cell>
        </row>
        <row r="189">
          <cell r="A189" t="str">
            <v>Eritrea</v>
          </cell>
        </row>
        <row r="190">
          <cell r="A190" t="str">
            <v>Micronesia</v>
          </cell>
        </row>
        <row r="191">
          <cell r="A191" t="str">
            <v>Vanuatu</v>
          </cell>
        </row>
        <row r="192">
          <cell r="A192" t="str">
            <v>Svalbard &amp; Jan Mayen</v>
          </cell>
        </row>
        <row r="193">
          <cell r="A193" t="str">
            <v>Liechtenstein</v>
          </cell>
        </row>
        <row r="194">
          <cell r="A194" t="str">
            <v>Solomon Islands</v>
          </cell>
        </row>
        <row r="195">
          <cell r="A195" t="str">
            <v>Seychelles</v>
          </cell>
        </row>
        <row r="196">
          <cell r="A196" t="str">
            <v>Equatorial Guinea</v>
          </cell>
        </row>
        <row r="197">
          <cell r="A197" t="str">
            <v>Dominica</v>
          </cell>
        </row>
        <row r="198">
          <cell r="A198" t="str">
            <v>St. Pierre &amp; Miquelon</v>
          </cell>
        </row>
        <row r="199">
          <cell r="A199" t="str">
            <v>Ã…land Islands</v>
          </cell>
        </row>
        <row r="200">
          <cell r="A200" t="str">
            <v>Anguilla</v>
          </cell>
        </row>
        <row r="201">
          <cell r="A201" t="str">
            <v>Western Sahara</v>
          </cell>
        </row>
        <row r="202">
          <cell r="A202" t="str">
            <v>St. Lucia</v>
          </cell>
        </row>
        <row r="203">
          <cell r="A203" t="str">
            <v>Comoros</v>
          </cell>
        </row>
        <row r="204">
          <cell r="A204" t="str">
            <v>Turks &amp; Caicos Islands</v>
          </cell>
        </row>
        <row r="205">
          <cell r="A205" t="str">
            <v>San Marino</v>
          </cell>
        </row>
        <row r="206">
          <cell r="A206" t="str">
            <v>SÃ£o TomÃ© &amp; PrÃ­ncipe</v>
          </cell>
        </row>
        <row r="207">
          <cell r="A207" t="str">
            <v>Greenland</v>
          </cell>
        </row>
        <row r="208">
          <cell r="A208" t="str">
            <v>St. Vincent &amp; Grenadines</v>
          </cell>
        </row>
        <row r="209">
          <cell r="A209" t="str">
            <v>Guernsey</v>
          </cell>
        </row>
        <row r="210">
          <cell r="A210" t="str">
            <v>Chad</v>
          </cell>
        </row>
        <row r="211">
          <cell r="A211" t="str">
            <v>Guinea-Bissau</v>
          </cell>
        </row>
        <row r="212">
          <cell r="A212" t="str">
            <v>Monaco</v>
          </cell>
        </row>
        <row r="213">
          <cell r="A213" t="str">
            <v>British Virgin Islands</v>
          </cell>
        </row>
        <row r="214">
          <cell r="A214" t="str">
            <v>Central African Republic</v>
          </cell>
        </row>
        <row r="215">
          <cell r="A215" t="str">
            <v>St. BarthÃ©lemy</v>
          </cell>
        </row>
        <row r="216">
          <cell r="A216" t="str">
            <v>Timor-Leste</v>
          </cell>
        </row>
        <row r="217">
          <cell r="A217" t="str">
            <v>Gambia</v>
          </cell>
        </row>
        <row r="218">
          <cell r="A218" t="str">
            <v>Bermuda</v>
          </cell>
        </row>
        <row r="219">
          <cell r="A219" t="str">
            <v>Andorra</v>
          </cell>
        </row>
        <row r="220">
          <cell r="A220" t="str">
            <v>French Polynesia</v>
          </cell>
        </row>
        <row r="221">
          <cell r="A221" t="str">
            <v>St. Kitts &amp; Nevis</v>
          </cell>
        </row>
        <row r="222">
          <cell r="A222" t="str">
            <v>Sint Maarten</v>
          </cell>
        </row>
        <row r="223">
          <cell r="A223" t="str">
            <v>Mayotte</v>
          </cell>
        </row>
        <row r="224">
          <cell r="A224" t="str">
            <v>U.S. Virgin Islands</v>
          </cell>
        </row>
        <row r="225">
          <cell r="A225" t="str">
            <v>Aruba</v>
          </cell>
        </row>
        <row r="226">
          <cell r="A226" t="str">
            <v>American Samoa</v>
          </cell>
        </row>
        <row r="227">
          <cell r="A227" t="str">
            <v>Antarctica</v>
          </cell>
        </row>
        <row r="228">
          <cell r="A228" t="str">
            <v>French Southern Territories</v>
          </cell>
        </row>
        <row r="229">
          <cell r="A229" t="str">
            <v>Caribbean Netherlands</v>
          </cell>
        </row>
        <row r="230">
          <cell r="A230" t="str">
            <v>Bouvet Island</v>
          </cell>
        </row>
        <row r="231">
          <cell r="A231" t="str">
            <v>Cocos (Keeling) Islands</v>
          </cell>
        </row>
        <row r="232">
          <cell r="A232" t="str">
            <v>Cook Islands</v>
          </cell>
        </row>
        <row r="233">
          <cell r="A233" t="str">
            <v>Christmas Island</v>
          </cell>
        </row>
        <row r="234">
          <cell r="A234" t="str">
            <v>Falkland Islands (Islas Malvinas)</v>
          </cell>
        </row>
        <row r="235">
          <cell r="A235" t="str">
            <v>Heard &amp; McDonald Islands</v>
          </cell>
        </row>
        <row r="236">
          <cell r="A236" t="str">
            <v>British Indian Ocean Territory</v>
          </cell>
        </row>
        <row r="237">
          <cell r="A237" t="str">
            <v>Kiribati</v>
          </cell>
        </row>
        <row r="238">
          <cell r="A238" t="str">
            <v>St. Martin</v>
          </cell>
        </row>
        <row r="239">
          <cell r="A239" t="str">
            <v>Marshall Islands</v>
          </cell>
        </row>
        <row r="240">
          <cell r="A240" t="str">
            <v>Northern Mariana Islands</v>
          </cell>
        </row>
        <row r="241">
          <cell r="A241" t="str">
            <v>Montserrat</v>
          </cell>
        </row>
        <row r="242">
          <cell r="A242" t="str">
            <v>Norfolk Island</v>
          </cell>
        </row>
        <row r="243">
          <cell r="A243" t="str">
            <v>Niue</v>
          </cell>
        </row>
        <row r="244">
          <cell r="A244" t="str">
            <v>Nauru</v>
          </cell>
        </row>
        <row r="245">
          <cell r="A245" t="str">
            <v>Pitcairn Islands</v>
          </cell>
        </row>
        <row r="246">
          <cell r="A246" t="str">
            <v>Palau</v>
          </cell>
        </row>
        <row r="247">
          <cell r="A247" t="str">
            <v>South Georgia &amp; South Sandwich Islands</v>
          </cell>
        </row>
        <row r="248">
          <cell r="A248" t="str">
            <v>Tokelau</v>
          </cell>
        </row>
        <row r="249">
          <cell r="A249" t="str">
            <v>Tuvalu</v>
          </cell>
        </row>
        <row r="250">
          <cell r="A250" t="str">
            <v>U.S. Outlying Islands</v>
          </cell>
        </row>
        <row r="251">
          <cell r="A251" t="str">
            <v>Vatican City</v>
          </cell>
        </row>
        <row r="252">
          <cell r="A252" t="str">
            <v>Wallis &amp; Futuna</v>
          </cell>
        </row>
        <row r="253">
          <cell r="A253" t="str">
            <v>Samoa</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8)"/>
    </sheetNames>
    <sheetDataSet>
      <sheetData sheetId="0" refreshError="1">
        <row r="1">
          <cell r="A1" t="str">
            <v>Kategori: TÃ¼m kategoriler</v>
          </cell>
        </row>
        <row r="3">
          <cell r="A3" t="str">
            <v>Ãœlke</v>
          </cell>
          <cell r="B3" t="str">
            <v>ReactJS: (2018)</v>
          </cell>
          <cell r="C3" t="str">
            <v>Ä°ÅŸlemci Ã¶nbelleÄŸi: (2018)</v>
          </cell>
        </row>
        <row r="4">
          <cell r="A4" t="str">
            <v>China</v>
          </cell>
          <cell r="B4">
            <v>0.73</v>
          </cell>
          <cell r="C4">
            <v>0.27</v>
          </cell>
        </row>
        <row r="5">
          <cell r="A5" t="str">
            <v>Iceland</v>
          </cell>
        </row>
        <row r="6">
          <cell r="A6" t="str">
            <v>Gibraltar</v>
          </cell>
        </row>
        <row r="7">
          <cell r="A7" t="str">
            <v>Armenia</v>
          </cell>
        </row>
        <row r="8">
          <cell r="A8" t="str">
            <v>St. Helena</v>
          </cell>
          <cell r="B8">
            <v>0.59</v>
          </cell>
          <cell r="C8">
            <v>0.41</v>
          </cell>
        </row>
        <row r="9">
          <cell r="A9" t="str">
            <v>Cuba</v>
          </cell>
        </row>
        <row r="10">
          <cell r="A10" t="str">
            <v>Nepal</v>
          </cell>
        </row>
        <row r="11">
          <cell r="A11" t="str">
            <v>Hong Kong</v>
          </cell>
          <cell r="B11">
            <v>0.71</v>
          </cell>
          <cell r="C11">
            <v>0.28999999999999998</v>
          </cell>
        </row>
        <row r="12">
          <cell r="A12" t="str">
            <v>Israel</v>
          </cell>
          <cell r="B12">
            <v>0.73</v>
          </cell>
          <cell r="C12">
            <v>0.27</v>
          </cell>
        </row>
        <row r="13">
          <cell r="A13" t="str">
            <v>Singapore</v>
          </cell>
          <cell r="B13">
            <v>0.59</v>
          </cell>
          <cell r="C13">
            <v>0.41</v>
          </cell>
        </row>
        <row r="14">
          <cell r="A14" t="str">
            <v>Myanmar (Burma)</v>
          </cell>
        </row>
        <row r="15">
          <cell r="A15" t="str">
            <v>Estonia</v>
          </cell>
        </row>
        <row r="16">
          <cell r="A16" t="str">
            <v>South Korea</v>
          </cell>
          <cell r="B16">
            <v>0.64</v>
          </cell>
          <cell r="C16">
            <v>0.36</v>
          </cell>
        </row>
        <row r="17">
          <cell r="A17" t="str">
            <v>Finland</v>
          </cell>
          <cell r="B17">
            <v>0.69</v>
          </cell>
          <cell r="C17">
            <v>0.31</v>
          </cell>
        </row>
        <row r="18">
          <cell r="A18" t="str">
            <v>Sri Lanka</v>
          </cell>
          <cell r="B18">
            <v>0.74</v>
          </cell>
          <cell r="C18">
            <v>0.26</v>
          </cell>
        </row>
        <row r="19">
          <cell r="A19" t="str">
            <v>Cambodia</v>
          </cell>
        </row>
        <row r="20">
          <cell r="A20" t="str">
            <v>Belarus</v>
          </cell>
          <cell r="B20">
            <v>0.51</v>
          </cell>
          <cell r="C20">
            <v>0.49</v>
          </cell>
        </row>
        <row r="21">
          <cell r="A21" t="str">
            <v>Kazakhstan</v>
          </cell>
          <cell r="B21">
            <v>0.21</v>
          </cell>
          <cell r="C21">
            <v>0.79</v>
          </cell>
        </row>
        <row r="22">
          <cell r="A22" t="str">
            <v>Madagascar</v>
          </cell>
        </row>
        <row r="23">
          <cell r="A23" t="str">
            <v>Mongolia</v>
          </cell>
        </row>
        <row r="24">
          <cell r="A24" t="str">
            <v>Sweden</v>
          </cell>
          <cell r="B24">
            <v>0.66</v>
          </cell>
          <cell r="C24">
            <v>0.34</v>
          </cell>
        </row>
        <row r="25">
          <cell r="A25" t="str">
            <v>Norway</v>
          </cell>
          <cell r="B25">
            <v>0.7</v>
          </cell>
          <cell r="C25">
            <v>0.3</v>
          </cell>
        </row>
        <row r="26">
          <cell r="A26" t="str">
            <v>Lithuania</v>
          </cell>
          <cell r="B26">
            <v>0.69</v>
          </cell>
          <cell r="C26">
            <v>0.31</v>
          </cell>
        </row>
        <row r="27">
          <cell r="A27" t="str">
            <v>New Zealand</v>
          </cell>
          <cell r="B27">
            <v>0.59</v>
          </cell>
          <cell r="C27">
            <v>0.41</v>
          </cell>
        </row>
        <row r="28">
          <cell r="A28" t="str">
            <v>Macao</v>
          </cell>
        </row>
        <row r="29">
          <cell r="A29" t="str">
            <v>Russia</v>
          </cell>
          <cell r="B29">
            <v>0.36</v>
          </cell>
          <cell r="C29">
            <v>0.64</v>
          </cell>
        </row>
        <row r="30">
          <cell r="A30" t="str">
            <v>North Macedonia</v>
          </cell>
        </row>
        <row r="31">
          <cell r="A31" t="str">
            <v>Malta</v>
          </cell>
        </row>
        <row r="32">
          <cell r="A32" t="str">
            <v>Serbia</v>
          </cell>
          <cell r="B32">
            <v>0.74</v>
          </cell>
          <cell r="C32">
            <v>0.26</v>
          </cell>
        </row>
        <row r="33">
          <cell r="A33" t="str">
            <v>Luxembourg</v>
          </cell>
        </row>
        <row r="34">
          <cell r="A34" t="str">
            <v>Ukraine</v>
          </cell>
          <cell r="B34">
            <v>0.5</v>
          </cell>
          <cell r="C34">
            <v>0.5</v>
          </cell>
        </row>
        <row r="35">
          <cell r="A35" t="str">
            <v>Turkmenistan</v>
          </cell>
        </row>
        <row r="36">
          <cell r="A36" t="str">
            <v>Ã…land Islands</v>
          </cell>
        </row>
        <row r="37">
          <cell r="A37" t="str">
            <v>Maldives</v>
          </cell>
        </row>
        <row r="38">
          <cell r="A38" t="str">
            <v>Guernsey</v>
          </cell>
        </row>
        <row r="39">
          <cell r="A39" t="str">
            <v>Canada</v>
          </cell>
          <cell r="B39">
            <v>0.54</v>
          </cell>
          <cell r="C39">
            <v>0.46</v>
          </cell>
        </row>
        <row r="40">
          <cell r="A40" t="str">
            <v>Pakistan</v>
          </cell>
          <cell r="B40">
            <v>0.66</v>
          </cell>
          <cell r="C40">
            <v>0.34</v>
          </cell>
        </row>
        <row r="41">
          <cell r="A41" t="str">
            <v>Czechia</v>
          </cell>
          <cell r="B41">
            <v>0.63</v>
          </cell>
          <cell r="C41">
            <v>0.37</v>
          </cell>
        </row>
        <row r="42">
          <cell r="A42" t="str">
            <v>Japan</v>
          </cell>
          <cell r="B42">
            <v>0.24</v>
          </cell>
          <cell r="C42">
            <v>0.76</v>
          </cell>
        </row>
        <row r="43">
          <cell r="A43" t="str">
            <v>Vietnam</v>
          </cell>
          <cell r="B43">
            <v>0.77</v>
          </cell>
          <cell r="C43">
            <v>0.23</v>
          </cell>
        </row>
        <row r="44">
          <cell r="A44" t="str">
            <v>Bulgaria</v>
          </cell>
          <cell r="B44">
            <v>0.59</v>
          </cell>
          <cell r="C44">
            <v>0.41</v>
          </cell>
        </row>
        <row r="45">
          <cell r="A45" t="str">
            <v>Jersey</v>
          </cell>
        </row>
        <row r="46">
          <cell r="A46" t="str">
            <v>Moldova</v>
          </cell>
        </row>
        <row r="47">
          <cell r="A47" t="str">
            <v>Tajikistan</v>
          </cell>
        </row>
        <row r="48">
          <cell r="A48" t="str">
            <v>Australia</v>
          </cell>
          <cell r="B48">
            <v>0.54</v>
          </cell>
          <cell r="C48">
            <v>0.46</v>
          </cell>
        </row>
        <row r="49">
          <cell r="A49" t="str">
            <v>Tunisia</v>
          </cell>
          <cell r="B49">
            <v>0.6</v>
          </cell>
          <cell r="C49">
            <v>0.4</v>
          </cell>
        </row>
        <row r="50">
          <cell r="A50" t="str">
            <v>Denmark</v>
          </cell>
          <cell r="B50">
            <v>0.6</v>
          </cell>
          <cell r="C50">
            <v>0.4</v>
          </cell>
        </row>
        <row r="51">
          <cell r="A51" t="str">
            <v>India</v>
          </cell>
          <cell r="B51">
            <v>0.66</v>
          </cell>
          <cell r="C51">
            <v>0.34</v>
          </cell>
        </row>
        <row r="52">
          <cell r="A52" t="str">
            <v>Latvia</v>
          </cell>
        </row>
        <row r="53">
          <cell r="A53" t="str">
            <v>Portugal</v>
          </cell>
          <cell r="B53">
            <v>0.57999999999999996</v>
          </cell>
          <cell r="C53">
            <v>0.42</v>
          </cell>
        </row>
        <row r="54">
          <cell r="A54" t="str">
            <v>Isle of Man</v>
          </cell>
        </row>
        <row r="55">
          <cell r="A55" t="str">
            <v>Uruguay</v>
          </cell>
        </row>
        <row r="56">
          <cell r="A56" t="str">
            <v>Vanuatu</v>
          </cell>
        </row>
        <row r="57">
          <cell r="A57" t="str">
            <v>Kosovo</v>
          </cell>
        </row>
        <row r="58">
          <cell r="A58" t="str">
            <v>Grenada</v>
          </cell>
        </row>
        <row r="59">
          <cell r="A59" t="str">
            <v>Bosnia &amp; Herzegovina</v>
          </cell>
        </row>
        <row r="60">
          <cell r="A60" t="str">
            <v>Uzbekistan</v>
          </cell>
        </row>
        <row r="61">
          <cell r="A61" t="str">
            <v>Mauritius</v>
          </cell>
        </row>
        <row r="62">
          <cell r="A62" t="str">
            <v>Philippines</v>
          </cell>
          <cell r="B62">
            <v>0.48</v>
          </cell>
          <cell r="C62">
            <v>0.52</v>
          </cell>
        </row>
        <row r="63">
          <cell r="A63" t="str">
            <v>Solomon Islands</v>
          </cell>
        </row>
        <row r="64">
          <cell r="A64" t="str">
            <v>Antigua &amp; Barbuda</v>
          </cell>
        </row>
        <row r="65">
          <cell r="A65" t="str">
            <v>Ireland</v>
          </cell>
          <cell r="B65">
            <v>0.48</v>
          </cell>
          <cell r="C65">
            <v>0.52</v>
          </cell>
        </row>
        <row r="66">
          <cell r="A66" t="str">
            <v>Cayman Islands</v>
          </cell>
        </row>
        <row r="67">
          <cell r="A67" t="str">
            <v>United States</v>
          </cell>
          <cell r="B67">
            <v>0.51</v>
          </cell>
          <cell r="C67">
            <v>0.49</v>
          </cell>
        </row>
        <row r="68">
          <cell r="A68" t="str">
            <v>Liechtenstein</v>
          </cell>
        </row>
        <row r="69">
          <cell r="A69" t="str">
            <v>Romania</v>
          </cell>
          <cell r="B69">
            <v>0.59</v>
          </cell>
          <cell r="C69">
            <v>0.41</v>
          </cell>
        </row>
        <row r="70">
          <cell r="A70" t="str">
            <v>Kyrgyzstan</v>
          </cell>
        </row>
        <row r="71">
          <cell r="A71" t="str">
            <v>Switzerland</v>
          </cell>
          <cell r="B71">
            <v>0.47</v>
          </cell>
          <cell r="C71">
            <v>0.53</v>
          </cell>
        </row>
        <row r="72">
          <cell r="A72" t="str">
            <v>Rwanda</v>
          </cell>
        </row>
        <row r="73">
          <cell r="A73" t="str">
            <v>Costa Rica</v>
          </cell>
        </row>
        <row r="74">
          <cell r="A74" t="str">
            <v>Netherlands</v>
          </cell>
          <cell r="B74">
            <v>0.51</v>
          </cell>
          <cell r="C74">
            <v>0.49</v>
          </cell>
        </row>
        <row r="75">
          <cell r="A75" t="str">
            <v>CuraÃ§ao</v>
          </cell>
        </row>
        <row r="76">
          <cell r="A76" t="str">
            <v>United Kingdom</v>
          </cell>
          <cell r="B76">
            <v>0.48</v>
          </cell>
          <cell r="C76">
            <v>0.52</v>
          </cell>
        </row>
        <row r="77">
          <cell r="A77" t="str">
            <v>Cyprus</v>
          </cell>
        </row>
        <row r="78">
          <cell r="A78" t="str">
            <v>Laos</v>
          </cell>
        </row>
        <row r="79">
          <cell r="A79" t="str">
            <v>Croatia</v>
          </cell>
          <cell r="B79">
            <v>0.63</v>
          </cell>
          <cell r="C79">
            <v>0.37</v>
          </cell>
        </row>
        <row r="80">
          <cell r="A80" t="str">
            <v>Germany</v>
          </cell>
          <cell r="B80">
            <v>0.43</v>
          </cell>
          <cell r="C80">
            <v>0.56999999999999995</v>
          </cell>
        </row>
        <row r="81">
          <cell r="A81" t="str">
            <v>Albania</v>
          </cell>
        </row>
        <row r="82">
          <cell r="A82" t="str">
            <v>Taiwan</v>
          </cell>
          <cell r="B82">
            <v>0.56999999999999995</v>
          </cell>
          <cell r="C82">
            <v>0.43</v>
          </cell>
        </row>
        <row r="83">
          <cell r="A83" t="str">
            <v>Barbados</v>
          </cell>
        </row>
        <row r="84">
          <cell r="A84" t="str">
            <v>Poland</v>
          </cell>
          <cell r="B84">
            <v>0.64</v>
          </cell>
          <cell r="C84">
            <v>0.36</v>
          </cell>
        </row>
        <row r="85">
          <cell r="A85" t="str">
            <v>Trinidad &amp; Tobago</v>
          </cell>
        </row>
        <row r="86">
          <cell r="A86" t="str">
            <v>Belize</v>
          </cell>
        </row>
        <row r="87">
          <cell r="A87" t="str">
            <v>Dominica</v>
          </cell>
        </row>
        <row r="88">
          <cell r="A88" t="str">
            <v>St. Vincent &amp; Grenadines</v>
          </cell>
        </row>
        <row r="89">
          <cell r="A89" t="str">
            <v>French Polynesia</v>
          </cell>
        </row>
        <row r="90">
          <cell r="A90" t="str">
            <v>Andorra</v>
          </cell>
        </row>
        <row r="91">
          <cell r="A91" t="str">
            <v>Guyana</v>
          </cell>
        </row>
        <row r="92">
          <cell r="A92" t="str">
            <v>Austria</v>
          </cell>
          <cell r="B92">
            <v>0.43</v>
          </cell>
          <cell r="C92">
            <v>0.56999999999999995</v>
          </cell>
        </row>
        <row r="93">
          <cell r="A93" t="str">
            <v>Jamaica</v>
          </cell>
        </row>
        <row r="94">
          <cell r="A94" t="str">
            <v>Djibouti</v>
          </cell>
        </row>
        <row r="95">
          <cell r="A95" t="str">
            <v>Fiji</v>
          </cell>
        </row>
        <row r="96">
          <cell r="A96" t="str">
            <v>Bermuda</v>
          </cell>
        </row>
        <row r="97">
          <cell r="A97" t="str">
            <v>Ethiopia</v>
          </cell>
        </row>
        <row r="98">
          <cell r="A98" t="str">
            <v>France</v>
          </cell>
          <cell r="B98">
            <v>0.56000000000000005</v>
          </cell>
          <cell r="C98">
            <v>0.44</v>
          </cell>
        </row>
        <row r="99">
          <cell r="A99" t="str">
            <v>Belgium</v>
          </cell>
          <cell r="B99">
            <v>0.5</v>
          </cell>
          <cell r="C99">
            <v>0.5</v>
          </cell>
        </row>
        <row r="100">
          <cell r="A100" t="str">
            <v>Slovenia</v>
          </cell>
        </row>
        <row r="101">
          <cell r="A101" t="str">
            <v>Malawi</v>
          </cell>
        </row>
        <row r="102">
          <cell r="A102" t="str">
            <v>Slovakia</v>
          </cell>
          <cell r="B102">
            <v>0.59</v>
          </cell>
          <cell r="C102">
            <v>0.41</v>
          </cell>
        </row>
        <row r="103">
          <cell r="A103" t="str">
            <v>United Arab Emirates</v>
          </cell>
          <cell r="B103">
            <v>0.44</v>
          </cell>
          <cell r="C103">
            <v>0.56000000000000005</v>
          </cell>
        </row>
        <row r="104">
          <cell r="A104" t="str">
            <v>Bangladesh</v>
          </cell>
          <cell r="B104">
            <v>0.6</v>
          </cell>
          <cell r="C104">
            <v>0.4</v>
          </cell>
        </row>
        <row r="105">
          <cell r="A105" t="str">
            <v>Lebanon</v>
          </cell>
        </row>
        <row r="106">
          <cell r="A106" t="str">
            <v>Botswana</v>
          </cell>
        </row>
        <row r="107">
          <cell r="A107" t="str">
            <v>Uganda</v>
          </cell>
        </row>
        <row r="108">
          <cell r="A108" t="str">
            <v>Nigeria</v>
          </cell>
          <cell r="B108">
            <v>0.66</v>
          </cell>
          <cell r="C108">
            <v>0.34</v>
          </cell>
        </row>
        <row r="109">
          <cell r="A109" t="str">
            <v>Kenya</v>
          </cell>
          <cell r="B109">
            <v>0.56999999999999995</v>
          </cell>
          <cell r="C109">
            <v>0.43</v>
          </cell>
        </row>
        <row r="110">
          <cell r="A110" t="str">
            <v>Spain</v>
          </cell>
          <cell r="B110">
            <v>0.41</v>
          </cell>
          <cell r="C110">
            <v>0.59</v>
          </cell>
        </row>
        <row r="111">
          <cell r="A111" t="str">
            <v>Congo - Brazzaville</v>
          </cell>
        </row>
        <row r="112">
          <cell r="A112" t="str">
            <v>Zimbabwe</v>
          </cell>
        </row>
        <row r="113">
          <cell r="A113" t="str">
            <v>Jordan</v>
          </cell>
        </row>
        <row r="114">
          <cell r="A114" t="str">
            <v>Malaysia</v>
          </cell>
          <cell r="B114">
            <v>0.52</v>
          </cell>
          <cell r="C114">
            <v>0.48</v>
          </cell>
        </row>
        <row r="115">
          <cell r="A115" t="str">
            <v>Palestine</v>
          </cell>
        </row>
        <row r="116">
          <cell r="A116" t="str">
            <v>Suriname</v>
          </cell>
        </row>
        <row r="117">
          <cell r="A117" t="str">
            <v>South Africa</v>
          </cell>
          <cell r="B117">
            <v>0.51</v>
          </cell>
          <cell r="C117">
            <v>0.49</v>
          </cell>
        </row>
        <row r="118">
          <cell r="A118" t="str">
            <v>St. Lucia</v>
          </cell>
        </row>
        <row r="119">
          <cell r="A119" t="str">
            <v>New Caledonia</v>
          </cell>
        </row>
        <row r="120">
          <cell r="A120" t="str">
            <v>Thailand</v>
          </cell>
          <cell r="B120">
            <v>0.49</v>
          </cell>
          <cell r="C120">
            <v>0.51</v>
          </cell>
        </row>
        <row r="121">
          <cell r="A121" t="str">
            <v>Togo</v>
          </cell>
        </row>
        <row r="122">
          <cell r="A122" t="str">
            <v>Brunei</v>
          </cell>
        </row>
        <row r="123">
          <cell r="A123" t="str">
            <v>Peru</v>
          </cell>
          <cell r="B123">
            <v>0.32</v>
          </cell>
          <cell r="C123">
            <v>0.68</v>
          </cell>
        </row>
        <row r="124">
          <cell r="A124" t="str">
            <v>Georgia</v>
          </cell>
        </row>
        <row r="125">
          <cell r="A125" t="str">
            <v>Caribbean Netherlands</v>
          </cell>
        </row>
        <row r="126">
          <cell r="A126" t="str">
            <v>Hungary</v>
          </cell>
          <cell r="B126">
            <v>0.52</v>
          </cell>
          <cell r="C126">
            <v>0.48</v>
          </cell>
        </row>
        <row r="127">
          <cell r="A127" t="str">
            <v>Lesotho</v>
          </cell>
        </row>
        <row r="128">
          <cell r="A128" t="str">
            <v>Cameroon</v>
          </cell>
        </row>
        <row r="129">
          <cell r="A129" t="str">
            <v>Brazil</v>
          </cell>
          <cell r="B129">
            <v>0.47</v>
          </cell>
          <cell r="C129">
            <v>0.53</v>
          </cell>
        </row>
        <row r="130">
          <cell r="A130" t="str">
            <v>El Salvador</v>
          </cell>
        </row>
        <row r="131">
          <cell r="A131" t="str">
            <v>Namibia</v>
          </cell>
        </row>
        <row r="132">
          <cell r="A132" t="str">
            <v>Guam</v>
          </cell>
        </row>
        <row r="133">
          <cell r="A133" t="str">
            <v>Morocco</v>
          </cell>
          <cell r="B133">
            <v>0.59</v>
          </cell>
          <cell r="C133">
            <v>0.41</v>
          </cell>
        </row>
        <row r="134">
          <cell r="A134" t="str">
            <v>Argentina</v>
          </cell>
          <cell r="B134">
            <v>0.56999999999999995</v>
          </cell>
          <cell r="C134">
            <v>0.43</v>
          </cell>
        </row>
        <row r="135">
          <cell r="A135" t="str">
            <v>U.S. Virgin Islands</v>
          </cell>
        </row>
        <row r="136">
          <cell r="A136" t="str">
            <v>Ghana</v>
          </cell>
        </row>
        <row r="137">
          <cell r="A137" t="str">
            <v>Italy</v>
          </cell>
          <cell r="B137">
            <v>0.35</v>
          </cell>
          <cell r="C137">
            <v>0.65</v>
          </cell>
        </row>
        <row r="138">
          <cell r="A138" t="str">
            <v>Guatemala</v>
          </cell>
        </row>
        <row r="139">
          <cell r="A139" t="str">
            <v>Haiti</v>
          </cell>
        </row>
        <row r="140">
          <cell r="A140" t="str">
            <v>Bahamas</v>
          </cell>
        </row>
        <row r="141">
          <cell r="A141" t="str">
            <v>Senegal</v>
          </cell>
        </row>
        <row r="142">
          <cell r="A142" t="str">
            <v>Bahrain</v>
          </cell>
        </row>
        <row r="143">
          <cell r="A143" t="str">
            <v>Papua New Guinea</v>
          </cell>
        </row>
        <row r="144">
          <cell r="A144" t="str">
            <v>Greece</v>
          </cell>
          <cell r="B144">
            <v>0.51</v>
          </cell>
          <cell r="C144">
            <v>0.49</v>
          </cell>
        </row>
        <row r="145">
          <cell r="A145" t="str">
            <v>Mexico</v>
          </cell>
          <cell r="B145">
            <v>0.43</v>
          </cell>
          <cell r="C145">
            <v>0.56999999999999995</v>
          </cell>
        </row>
        <row r="146">
          <cell r="A146" t="str">
            <v>Honduras</v>
          </cell>
        </row>
        <row r="147">
          <cell r="A147" t="str">
            <v>Colombia</v>
          </cell>
          <cell r="B147">
            <v>0.49</v>
          </cell>
          <cell r="C147">
            <v>0.51</v>
          </cell>
        </row>
        <row r="148">
          <cell r="A148" t="str">
            <v>Nicaragua</v>
          </cell>
        </row>
        <row r="149">
          <cell r="A149" t="str">
            <v>Montenegro</v>
          </cell>
        </row>
        <row r="150">
          <cell r="A150" t="str">
            <v>Indonesia</v>
          </cell>
          <cell r="B150">
            <v>0.48</v>
          </cell>
          <cell r="C150">
            <v>0.52</v>
          </cell>
        </row>
        <row r="151">
          <cell r="A151" t="str">
            <v>Iran</v>
          </cell>
          <cell r="B151">
            <v>0.59</v>
          </cell>
          <cell r="C151">
            <v>0.41</v>
          </cell>
        </row>
        <row r="152">
          <cell r="A152" t="str">
            <v>Chile</v>
          </cell>
          <cell r="B152">
            <v>0.51</v>
          </cell>
          <cell r="C152">
            <v>0.49</v>
          </cell>
        </row>
        <row r="153">
          <cell r="A153" t="str">
            <v>Panama</v>
          </cell>
        </row>
        <row r="154">
          <cell r="A154" t="str">
            <v>Zambia</v>
          </cell>
        </row>
        <row r="155">
          <cell r="A155" t="str">
            <v>RÃ©union</v>
          </cell>
        </row>
        <row r="156">
          <cell r="A156" t="str">
            <v>Bolivia</v>
          </cell>
        </row>
        <row r="157">
          <cell r="A157" t="str">
            <v>Angola</v>
          </cell>
        </row>
        <row r="158">
          <cell r="A158" t="str">
            <v>Benin</v>
          </cell>
        </row>
        <row r="159">
          <cell r="A159" t="str">
            <v>Somalia</v>
          </cell>
        </row>
        <row r="160">
          <cell r="A160" t="str">
            <v>Gabon</v>
          </cell>
        </row>
        <row r="161">
          <cell r="A161" t="str">
            <v>Bhutan</v>
          </cell>
        </row>
        <row r="162">
          <cell r="A162" t="str">
            <v>Dominican Republic</v>
          </cell>
        </row>
        <row r="163">
          <cell r="A163" t="str">
            <v>Martinique</v>
          </cell>
        </row>
        <row r="164">
          <cell r="A164" t="str">
            <v>Ecuador</v>
          </cell>
          <cell r="B164">
            <v>0.44</v>
          </cell>
          <cell r="C164">
            <v>0.56000000000000005</v>
          </cell>
        </row>
        <row r="165">
          <cell r="A165" t="str">
            <v>Egypt</v>
          </cell>
          <cell r="B165">
            <v>0.62</v>
          </cell>
          <cell r="C165">
            <v>0.38</v>
          </cell>
        </row>
        <row r="166">
          <cell r="A166" t="str">
            <v>Mozambique</v>
          </cell>
        </row>
        <row r="167">
          <cell r="A167" t="str">
            <v>Afghanistan</v>
          </cell>
        </row>
        <row r="168">
          <cell r="A168" t="str">
            <v>Qatar</v>
          </cell>
        </row>
        <row r="169">
          <cell r="A169" t="str">
            <v>French Guiana</v>
          </cell>
        </row>
        <row r="170">
          <cell r="A170" t="str">
            <v>Niger</v>
          </cell>
        </row>
        <row r="171">
          <cell r="A171" t="str">
            <v>Azerbaijan</v>
          </cell>
        </row>
        <row r="172">
          <cell r="A172" t="str">
            <v>Puerto Rico</v>
          </cell>
        </row>
        <row r="173">
          <cell r="A173" t="str">
            <v>Eswatini</v>
          </cell>
        </row>
        <row r="174">
          <cell r="A174" t="str">
            <v>CÃ´te dâ€™Ivoire</v>
          </cell>
        </row>
        <row r="175">
          <cell r="A175" t="str">
            <v>Paraguay</v>
          </cell>
        </row>
        <row r="176">
          <cell r="A176" t="str">
            <v>Guadeloupe</v>
          </cell>
        </row>
        <row r="177">
          <cell r="A177" t="str">
            <v>Tanzania</v>
          </cell>
        </row>
        <row r="178">
          <cell r="A178" t="str">
            <v>Venezuela</v>
          </cell>
          <cell r="B178">
            <v>0.38</v>
          </cell>
          <cell r="C178">
            <v>0.62</v>
          </cell>
        </row>
        <row r="179">
          <cell r="A179" t="str">
            <v>Algeria</v>
          </cell>
        </row>
        <row r="180">
          <cell r="A180" t="str">
            <v>Congo - Kinshasa</v>
          </cell>
        </row>
        <row r="181">
          <cell r="A181" t="str">
            <v>Mauritania</v>
          </cell>
        </row>
        <row r="182">
          <cell r="A182" t="str">
            <v>Turkey</v>
          </cell>
          <cell r="B182">
            <v>0.62</v>
          </cell>
          <cell r="C182">
            <v>0.38</v>
          </cell>
        </row>
        <row r="183">
          <cell r="A183" t="str">
            <v>Oman</v>
          </cell>
        </row>
        <row r="184">
          <cell r="A184" t="str">
            <v>Mayotte</v>
          </cell>
        </row>
        <row r="185">
          <cell r="A185" t="str">
            <v>Kuwait</v>
          </cell>
        </row>
        <row r="186">
          <cell r="A186" t="str">
            <v>Burkina Faso</v>
          </cell>
        </row>
        <row r="187">
          <cell r="A187" t="str">
            <v>Guinea</v>
          </cell>
        </row>
        <row r="188">
          <cell r="A188" t="str">
            <v>Syria</v>
          </cell>
        </row>
        <row r="189">
          <cell r="A189" t="str">
            <v>Yemen</v>
          </cell>
        </row>
        <row r="190">
          <cell r="A190" t="str">
            <v>Saudi Arabia</v>
          </cell>
          <cell r="B190">
            <v>0.48</v>
          </cell>
          <cell r="C190">
            <v>0.52</v>
          </cell>
        </row>
        <row r="191">
          <cell r="A191" t="str">
            <v>Sudan</v>
          </cell>
        </row>
        <row r="192">
          <cell r="A192" t="str">
            <v>Mali</v>
          </cell>
        </row>
        <row r="193">
          <cell r="A193" t="str">
            <v>Iraq</v>
          </cell>
        </row>
        <row r="194">
          <cell r="A194" t="str">
            <v>Libya</v>
          </cell>
        </row>
        <row r="195">
          <cell r="A195" t="str">
            <v>North Korea</v>
          </cell>
        </row>
        <row r="196">
          <cell r="A196" t="str">
            <v>Palau</v>
          </cell>
        </row>
        <row r="197">
          <cell r="A197" t="str">
            <v>Faroe Islands</v>
          </cell>
        </row>
        <row r="198">
          <cell r="A198" t="str">
            <v>Cook Islands</v>
          </cell>
        </row>
        <row r="199">
          <cell r="A199" t="str">
            <v>Samoa</v>
          </cell>
        </row>
        <row r="200">
          <cell r="A200" t="str">
            <v>Monaco</v>
          </cell>
        </row>
        <row r="201">
          <cell r="A201" t="str">
            <v>Comoros</v>
          </cell>
        </row>
        <row r="202">
          <cell r="A202" t="str">
            <v>St. Pierre &amp; Miquelon</v>
          </cell>
        </row>
        <row r="203">
          <cell r="A203" t="str">
            <v>Micronesia</v>
          </cell>
        </row>
        <row r="204">
          <cell r="A204" t="str">
            <v>Gambia</v>
          </cell>
        </row>
        <row r="205">
          <cell r="A205" t="str">
            <v>Anguilla</v>
          </cell>
        </row>
        <row r="206">
          <cell r="A206" t="str">
            <v>San Marino</v>
          </cell>
        </row>
        <row r="207">
          <cell r="A207" t="str">
            <v>Aruba</v>
          </cell>
        </row>
        <row r="208">
          <cell r="A208" t="str">
            <v>Cape Verde</v>
          </cell>
        </row>
        <row r="209">
          <cell r="A209" t="str">
            <v>Seychelles</v>
          </cell>
        </row>
        <row r="210">
          <cell r="A210" t="str">
            <v>Burundi</v>
          </cell>
        </row>
        <row r="211">
          <cell r="A211" t="str">
            <v>Chad</v>
          </cell>
        </row>
        <row r="212">
          <cell r="A212" t="str">
            <v>Northern Mariana Islands</v>
          </cell>
        </row>
        <row r="213">
          <cell r="A213" t="str">
            <v>St. Kitts &amp; Nevis</v>
          </cell>
        </row>
        <row r="214">
          <cell r="A214" t="str">
            <v>Sierra Leone</v>
          </cell>
        </row>
        <row r="215">
          <cell r="A215" t="str">
            <v>Timor-Leste</v>
          </cell>
        </row>
        <row r="216">
          <cell r="A216" t="str">
            <v>Turks &amp; Caicos Islands</v>
          </cell>
        </row>
        <row r="217">
          <cell r="A217" t="str">
            <v>Greenland</v>
          </cell>
        </row>
        <row r="218">
          <cell r="A218" t="str">
            <v>South Sudan</v>
          </cell>
        </row>
        <row r="219">
          <cell r="A219" t="str">
            <v>Liberia</v>
          </cell>
        </row>
        <row r="220">
          <cell r="A220" t="str">
            <v>Western Sahara</v>
          </cell>
        </row>
        <row r="221">
          <cell r="A221" t="str">
            <v>American Samoa</v>
          </cell>
        </row>
        <row r="222">
          <cell r="A222" t="str">
            <v>Antarctica</v>
          </cell>
        </row>
        <row r="223">
          <cell r="A223" t="str">
            <v>French Southern Territories</v>
          </cell>
        </row>
        <row r="224">
          <cell r="A224" t="str">
            <v>St. BarthÃ©lemy</v>
          </cell>
        </row>
        <row r="225">
          <cell r="A225" t="str">
            <v>Bouvet Island</v>
          </cell>
        </row>
        <row r="226">
          <cell r="A226" t="str">
            <v>Central African Republic</v>
          </cell>
        </row>
        <row r="227">
          <cell r="A227" t="str">
            <v>Cocos (Keeling) Islands</v>
          </cell>
        </row>
        <row r="228">
          <cell r="A228" t="str">
            <v>Christmas Island</v>
          </cell>
        </row>
        <row r="229">
          <cell r="A229" t="str">
            <v>Eritrea</v>
          </cell>
        </row>
        <row r="230">
          <cell r="A230" t="str">
            <v>Falkland Islands (Islas Malvinas)</v>
          </cell>
        </row>
        <row r="231">
          <cell r="A231" t="str">
            <v>Guinea-Bissau</v>
          </cell>
        </row>
        <row r="232">
          <cell r="A232" t="str">
            <v>Equatorial Guinea</v>
          </cell>
        </row>
        <row r="233">
          <cell r="A233" t="str">
            <v>Heard &amp; McDonald Islands</v>
          </cell>
        </row>
        <row r="234">
          <cell r="A234" t="str">
            <v>British Indian Ocean Territory</v>
          </cell>
        </row>
        <row r="235">
          <cell r="A235" t="str">
            <v>Kiribati</v>
          </cell>
        </row>
        <row r="236">
          <cell r="A236" t="str">
            <v>St. Martin</v>
          </cell>
        </row>
        <row r="237">
          <cell r="A237" t="str">
            <v>Marshall Islands</v>
          </cell>
        </row>
        <row r="238">
          <cell r="A238" t="str">
            <v>Montserrat</v>
          </cell>
        </row>
        <row r="239">
          <cell r="A239" t="str">
            <v>Norfolk Island</v>
          </cell>
        </row>
        <row r="240">
          <cell r="A240" t="str">
            <v>Niue</v>
          </cell>
        </row>
        <row r="241">
          <cell r="A241" t="str">
            <v>Nauru</v>
          </cell>
        </row>
        <row r="242">
          <cell r="A242" t="str">
            <v>Pitcairn Islands</v>
          </cell>
        </row>
        <row r="243">
          <cell r="A243" t="str">
            <v>South Georgia &amp; South Sandwich Islands</v>
          </cell>
        </row>
        <row r="244">
          <cell r="A244" t="str">
            <v>Svalbard &amp; Jan Mayen</v>
          </cell>
        </row>
        <row r="245">
          <cell r="A245" t="str">
            <v>SÃ£o TomÃ© &amp; PrÃ­ncipe</v>
          </cell>
        </row>
        <row r="246">
          <cell r="A246" t="str">
            <v>Sint Maarten</v>
          </cell>
        </row>
        <row r="247">
          <cell r="A247" t="str">
            <v>Tokelau</v>
          </cell>
        </row>
        <row r="248">
          <cell r="A248" t="str">
            <v>Tonga</v>
          </cell>
        </row>
        <row r="249">
          <cell r="A249" t="str">
            <v>Tuvalu</v>
          </cell>
        </row>
        <row r="250">
          <cell r="A250" t="str">
            <v>U.S. Outlying Islands</v>
          </cell>
        </row>
        <row r="251">
          <cell r="A251" t="str">
            <v>Vatican City</v>
          </cell>
        </row>
        <row r="252">
          <cell r="A252" t="str">
            <v>British Virgin Islands</v>
          </cell>
        </row>
        <row r="253">
          <cell r="A253" t="str">
            <v>Wallis &amp; Futuna</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9)"/>
    </sheetNames>
    <sheetDataSet>
      <sheetData sheetId="0" refreshError="1">
        <row r="1">
          <cell r="A1" t="str">
            <v>Kategori: TÃ¼m kategoriler</v>
          </cell>
        </row>
        <row r="3">
          <cell r="A3" t="str">
            <v>Ãœlke</v>
          </cell>
          <cell r="B3" t="str">
            <v>Ä°ÅŸlemci Ã¶nbelleÄŸi: (2018)</v>
          </cell>
          <cell r="C3" t="str">
            <v>HTTP: (2018)</v>
          </cell>
        </row>
        <row r="4">
          <cell r="A4" t="str">
            <v>China</v>
          </cell>
          <cell r="B4">
            <v>0.42</v>
          </cell>
          <cell r="C4">
            <v>0.57999999999999996</v>
          </cell>
        </row>
        <row r="5">
          <cell r="A5" t="str">
            <v>Cuba</v>
          </cell>
        </row>
        <row r="6">
          <cell r="A6" t="str">
            <v>Ethiopia</v>
          </cell>
        </row>
        <row r="7">
          <cell r="A7" t="str">
            <v>St. Helena</v>
          </cell>
          <cell r="B7">
            <v>0.46</v>
          </cell>
          <cell r="C7">
            <v>0.54</v>
          </cell>
        </row>
        <row r="8">
          <cell r="A8" t="str">
            <v>Myanmar (Burma)</v>
          </cell>
        </row>
        <row r="9">
          <cell r="A9" t="str">
            <v>Gibraltar</v>
          </cell>
        </row>
        <row r="10">
          <cell r="A10" t="str">
            <v>Kazakhstan</v>
          </cell>
          <cell r="B10">
            <v>0.81</v>
          </cell>
          <cell r="C10">
            <v>0.19</v>
          </cell>
        </row>
        <row r="11">
          <cell r="A11" t="str">
            <v>Belarus</v>
          </cell>
          <cell r="B11">
            <v>0.69</v>
          </cell>
          <cell r="C11">
            <v>0.31</v>
          </cell>
        </row>
        <row r="12">
          <cell r="A12" t="str">
            <v>South Korea</v>
          </cell>
          <cell r="B12">
            <v>0.4</v>
          </cell>
          <cell r="C12">
            <v>0.6</v>
          </cell>
        </row>
        <row r="13">
          <cell r="A13" t="str">
            <v>Togo</v>
          </cell>
        </row>
        <row r="14">
          <cell r="A14" t="str">
            <v>Singapore</v>
          </cell>
          <cell r="B14">
            <v>0.47</v>
          </cell>
          <cell r="C14">
            <v>0.53</v>
          </cell>
        </row>
        <row r="15">
          <cell r="A15" t="str">
            <v>Jamaica</v>
          </cell>
        </row>
        <row r="16">
          <cell r="A16" t="str">
            <v>Liechtenstein</v>
          </cell>
        </row>
        <row r="17">
          <cell r="A17" t="str">
            <v>Papua New Guinea</v>
          </cell>
        </row>
        <row r="18">
          <cell r="A18" t="str">
            <v>Russia</v>
          </cell>
          <cell r="B18">
            <v>0.68</v>
          </cell>
          <cell r="C18">
            <v>0.32</v>
          </cell>
        </row>
        <row r="19">
          <cell r="A19" t="str">
            <v>Malta</v>
          </cell>
        </row>
        <row r="20">
          <cell r="A20" t="str">
            <v>Ukraine</v>
          </cell>
          <cell r="B20">
            <v>0.65</v>
          </cell>
          <cell r="C20">
            <v>0.35</v>
          </cell>
        </row>
        <row r="21">
          <cell r="A21" t="str">
            <v>Turkmenistan</v>
          </cell>
        </row>
        <row r="22">
          <cell r="A22" t="str">
            <v>Madagascar</v>
          </cell>
        </row>
        <row r="23">
          <cell r="A23" t="str">
            <v>Cape Verde</v>
          </cell>
        </row>
        <row r="24">
          <cell r="A24" t="str">
            <v>Ã…land Islands</v>
          </cell>
        </row>
        <row r="25">
          <cell r="A25" t="str">
            <v>North Macedonia</v>
          </cell>
        </row>
        <row r="26">
          <cell r="A26" t="str">
            <v>Guernsey</v>
          </cell>
        </row>
        <row r="27">
          <cell r="A27" t="str">
            <v>Israel</v>
          </cell>
          <cell r="B27">
            <v>0.41</v>
          </cell>
          <cell r="C27">
            <v>0.59</v>
          </cell>
        </row>
        <row r="28">
          <cell r="A28" t="str">
            <v>Luxembourg</v>
          </cell>
        </row>
        <row r="29">
          <cell r="A29" t="str">
            <v>Japan</v>
          </cell>
          <cell r="B29">
            <v>0.62</v>
          </cell>
          <cell r="C29">
            <v>0.38</v>
          </cell>
        </row>
        <row r="30">
          <cell r="A30" t="str">
            <v>Estonia</v>
          </cell>
        </row>
        <row r="31">
          <cell r="A31" t="str">
            <v>Malawi</v>
          </cell>
        </row>
        <row r="32">
          <cell r="A32" t="str">
            <v>Jersey</v>
          </cell>
        </row>
        <row r="33">
          <cell r="A33" t="str">
            <v>Tajikistan</v>
          </cell>
        </row>
        <row r="34">
          <cell r="A34" t="str">
            <v>Nigeria</v>
          </cell>
          <cell r="B34">
            <v>0.24</v>
          </cell>
          <cell r="C34">
            <v>0.76</v>
          </cell>
        </row>
        <row r="35">
          <cell r="A35" t="str">
            <v>Isle of Man</v>
          </cell>
        </row>
        <row r="36">
          <cell r="A36" t="str">
            <v>New Zealand</v>
          </cell>
          <cell r="B36">
            <v>0.6</v>
          </cell>
          <cell r="C36">
            <v>0.4</v>
          </cell>
        </row>
        <row r="37">
          <cell r="A37" t="str">
            <v>Iceland</v>
          </cell>
        </row>
        <row r="38">
          <cell r="A38" t="str">
            <v>Vanuatu</v>
          </cell>
        </row>
        <row r="39">
          <cell r="A39" t="str">
            <v>Somalia</v>
          </cell>
        </row>
        <row r="40">
          <cell r="A40" t="str">
            <v>Tanzania</v>
          </cell>
        </row>
        <row r="41">
          <cell r="A41" t="str">
            <v>Canada</v>
          </cell>
          <cell r="B41">
            <v>0.63</v>
          </cell>
          <cell r="C41">
            <v>0.37</v>
          </cell>
        </row>
        <row r="42">
          <cell r="A42" t="str">
            <v>Grenada</v>
          </cell>
        </row>
        <row r="43">
          <cell r="A43" t="str">
            <v>Angola</v>
          </cell>
        </row>
        <row r="44">
          <cell r="A44" t="str">
            <v>Uzbekistan</v>
          </cell>
        </row>
        <row r="45">
          <cell r="A45" t="str">
            <v>Mauritius</v>
          </cell>
        </row>
        <row r="46">
          <cell r="A46" t="str">
            <v>Latvia</v>
          </cell>
        </row>
        <row r="47">
          <cell r="A47" t="str">
            <v>Philippines</v>
          </cell>
          <cell r="B47">
            <v>0.51</v>
          </cell>
          <cell r="C47">
            <v>0.49</v>
          </cell>
        </row>
        <row r="48">
          <cell r="A48" t="str">
            <v>Solomon Islands</v>
          </cell>
        </row>
        <row r="49">
          <cell r="A49" t="str">
            <v>Hong Kong</v>
          </cell>
          <cell r="B49">
            <v>0.49</v>
          </cell>
          <cell r="C49">
            <v>0.51</v>
          </cell>
        </row>
        <row r="50">
          <cell r="A50" t="str">
            <v>Antigua &amp; Barbuda</v>
          </cell>
        </row>
        <row r="51">
          <cell r="A51" t="str">
            <v>Ireland</v>
          </cell>
          <cell r="B51">
            <v>0.59</v>
          </cell>
          <cell r="C51">
            <v>0.41</v>
          </cell>
        </row>
        <row r="52">
          <cell r="A52" t="str">
            <v>Cayman Islands</v>
          </cell>
        </row>
        <row r="53">
          <cell r="A53" t="str">
            <v>Monaco</v>
          </cell>
        </row>
        <row r="54">
          <cell r="A54" t="str">
            <v>Chad</v>
          </cell>
        </row>
        <row r="55">
          <cell r="A55" t="str">
            <v>Congo - Brazzaville</v>
          </cell>
        </row>
        <row r="56">
          <cell r="A56" t="str">
            <v>Rwanda</v>
          </cell>
        </row>
        <row r="57">
          <cell r="A57" t="str">
            <v>Moldova</v>
          </cell>
        </row>
        <row r="58">
          <cell r="A58" t="str">
            <v>Australia</v>
          </cell>
          <cell r="B58">
            <v>0.63</v>
          </cell>
          <cell r="C58">
            <v>0.37</v>
          </cell>
        </row>
        <row r="59">
          <cell r="A59" t="str">
            <v>Kyrgyzstan</v>
          </cell>
        </row>
        <row r="60">
          <cell r="A60" t="str">
            <v>Switzerland</v>
          </cell>
          <cell r="B60">
            <v>0.52</v>
          </cell>
          <cell r="C60">
            <v>0.48</v>
          </cell>
        </row>
        <row r="61">
          <cell r="A61" t="str">
            <v>Botswana</v>
          </cell>
        </row>
        <row r="62">
          <cell r="A62" t="str">
            <v>Kenya</v>
          </cell>
          <cell r="B62">
            <v>0.36</v>
          </cell>
          <cell r="C62">
            <v>0.64</v>
          </cell>
        </row>
        <row r="63">
          <cell r="A63" t="str">
            <v>United States</v>
          </cell>
          <cell r="B63">
            <v>0.63</v>
          </cell>
          <cell r="C63">
            <v>0.37</v>
          </cell>
        </row>
        <row r="64">
          <cell r="A64" t="str">
            <v>CuraÃ§ao</v>
          </cell>
        </row>
        <row r="65">
          <cell r="A65" t="str">
            <v>United Kingdom</v>
          </cell>
          <cell r="B65">
            <v>0.65</v>
          </cell>
          <cell r="C65">
            <v>0.35</v>
          </cell>
        </row>
        <row r="66">
          <cell r="A66" t="str">
            <v>Mexico</v>
          </cell>
          <cell r="B66">
            <v>0.34</v>
          </cell>
          <cell r="C66">
            <v>0.66</v>
          </cell>
        </row>
        <row r="67">
          <cell r="A67" t="str">
            <v>Germany</v>
          </cell>
          <cell r="B67">
            <v>0.49</v>
          </cell>
          <cell r="C67">
            <v>0.51</v>
          </cell>
        </row>
        <row r="68">
          <cell r="A68" t="str">
            <v>Cameroon</v>
          </cell>
        </row>
        <row r="69">
          <cell r="A69" t="str">
            <v>Armenia</v>
          </cell>
        </row>
        <row r="70">
          <cell r="A70" t="str">
            <v>Greenland</v>
          </cell>
        </row>
        <row r="71">
          <cell r="A71" t="str">
            <v>Nepal</v>
          </cell>
        </row>
        <row r="72">
          <cell r="A72" t="str">
            <v>Faroe Islands</v>
          </cell>
        </row>
        <row r="73">
          <cell r="A73" t="str">
            <v>Netherlands</v>
          </cell>
          <cell r="B73">
            <v>0.59</v>
          </cell>
          <cell r="C73">
            <v>0.41</v>
          </cell>
        </row>
        <row r="74">
          <cell r="A74" t="str">
            <v>Finland</v>
          </cell>
          <cell r="B74">
            <v>0.54</v>
          </cell>
          <cell r="C74">
            <v>0.46</v>
          </cell>
        </row>
        <row r="75">
          <cell r="A75" t="str">
            <v>Sweden</v>
          </cell>
          <cell r="B75">
            <v>0.57999999999999996</v>
          </cell>
          <cell r="C75">
            <v>0.42</v>
          </cell>
        </row>
        <row r="76">
          <cell r="A76" t="str">
            <v>Barbados</v>
          </cell>
        </row>
        <row r="77">
          <cell r="A77" t="str">
            <v>Maldives</v>
          </cell>
        </row>
        <row r="78">
          <cell r="A78" t="str">
            <v>Burundi</v>
          </cell>
        </row>
        <row r="79">
          <cell r="A79" t="str">
            <v>Sri Lanka</v>
          </cell>
          <cell r="B79">
            <v>0.44</v>
          </cell>
          <cell r="C79">
            <v>0.56000000000000005</v>
          </cell>
        </row>
        <row r="80">
          <cell r="A80" t="str">
            <v>Trinidad &amp; Tobago</v>
          </cell>
        </row>
        <row r="81">
          <cell r="A81" t="str">
            <v>Belize</v>
          </cell>
        </row>
        <row r="82">
          <cell r="A82" t="str">
            <v>Dominica</v>
          </cell>
        </row>
        <row r="83">
          <cell r="A83" t="str">
            <v>St. Vincent &amp; Grenadines</v>
          </cell>
        </row>
        <row r="84">
          <cell r="A84" t="str">
            <v>French Polynesia</v>
          </cell>
        </row>
        <row r="85">
          <cell r="A85" t="str">
            <v>India</v>
          </cell>
          <cell r="B85">
            <v>0.41</v>
          </cell>
          <cell r="C85">
            <v>0.59</v>
          </cell>
        </row>
        <row r="86">
          <cell r="A86" t="str">
            <v>Mali</v>
          </cell>
        </row>
        <row r="87">
          <cell r="A87" t="str">
            <v>Andorra</v>
          </cell>
        </row>
        <row r="88">
          <cell r="A88" t="str">
            <v>Cyprus</v>
          </cell>
        </row>
        <row r="89">
          <cell r="A89" t="str">
            <v>Guyana</v>
          </cell>
        </row>
        <row r="90">
          <cell r="A90" t="str">
            <v>Bulgaria</v>
          </cell>
          <cell r="B90">
            <v>0.62</v>
          </cell>
          <cell r="C90">
            <v>0.38</v>
          </cell>
        </row>
        <row r="91">
          <cell r="A91" t="str">
            <v>Austria</v>
          </cell>
          <cell r="B91">
            <v>0.5</v>
          </cell>
          <cell r="C91">
            <v>0.5</v>
          </cell>
        </row>
        <row r="92">
          <cell r="A92" t="str">
            <v>Uganda</v>
          </cell>
        </row>
        <row r="93">
          <cell r="A93" t="str">
            <v>Portugal</v>
          </cell>
          <cell r="B93">
            <v>0.54</v>
          </cell>
          <cell r="C93">
            <v>0.46</v>
          </cell>
        </row>
        <row r="94">
          <cell r="A94" t="str">
            <v>Bangladesh</v>
          </cell>
          <cell r="B94">
            <v>0.38</v>
          </cell>
          <cell r="C94">
            <v>0.62</v>
          </cell>
        </row>
        <row r="95">
          <cell r="A95" t="str">
            <v>Djibouti</v>
          </cell>
        </row>
        <row r="96">
          <cell r="A96" t="str">
            <v>Fiji</v>
          </cell>
        </row>
        <row r="97">
          <cell r="A97" t="str">
            <v>Macao</v>
          </cell>
        </row>
        <row r="98">
          <cell r="A98" t="str">
            <v>Bermuda</v>
          </cell>
        </row>
        <row r="99">
          <cell r="A99" t="str">
            <v>Tunisia</v>
          </cell>
          <cell r="B99">
            <v>0.55000000000000004</v>
          </cell>
          <cell r="C99">
            <v>0.45</v>
          </cell>
        </row>
        <row r="100">
          <cell r="A100" t="str">
            <v>Nicaragua</v>
          </cell>
        </row>
        <row r="101">
          <cell r="A101" t="str">
            <v>Ecuador</v>
          </cell>
          <cell r="B101">
            <v>0.35</v>
          </cell>
          <cell r="C101">
            <v>0.65</v>
          </cell>
        </row>
        <row r="102">
          <cell r="A102" t="str">
            <v>Taiwan</v>
          </cell>
          <cell r="B102">
            <v>0.46</v>
          </cell>
          <cell r="C102">
            <v>0.54</v>
          </cell>
        </row>
        <row r="103">
          <cell r="A103" t="str">
            <v>Belgium</v>
          </cell>
          <cell r="B103">
            <v>0.6</v>
          </cell>
          <cell r="C103">
            <v>0.4</v>
          </cell>
        </row>
        <row r="104">
          <cell r="A104" t="str">
            <v>Lithuania</v>
          </cell>
        </row>
        <row r="105">
          <cell r="A105" t="str">
            <v>Denmark</v>
          </cell>
          <cell r="B105">
            <v>0.55000000000000004</v>
          </cell>
          <cell r="C105">
            <v>0.45</v>
          </cell>
        </row>
        <row r="106">
          <cell r="A106" t="str">
            <v>Benin</v>
          </cell>
        </row>
        <row r="107">
          <cell r="A107" t="str">
            <v>Czechia</v>
          </cell>
          <cell r="B107">
            <v>0.5</v>
          </cell>
          <cell r="C107">
            <v>0.5</v>
          </cell>
        </row>
        <row r="108">
          <cell r="A108" t="str">
            <v>Zimbabwe</v>
          </cell>
        </row>
        <row r="109">
          <cell r="A109" t="str">
            <v>Norway</v>
          </cell>
          <cell r="B109">
            <v>0.53</v>
          </cell>
          <cell r="C109">
            <v>0.47</v>
          </cell>
        </row>
        <row r="110">
          <cell r="A110" t="str">
            <v>Haiti</v>
          </cell>
        </row>
        <row r="111">
          <cell r="A111" t="str">
            <v>United Arab Emirates</v>
          </cell>
          <cell r="B111">
            <v>0.61</v>
          </cell>
          <cell r="C111">
            <v>0.39</v>
          </cell>
        </row>
        <row r="112">
          <cell r="A112" t="str">
            <v>El Salvador</v>
          </cell>
        </row>
        <row r="113">
          <cell r="A113" t="str">
            <v>Lebanon</v>
          </cell>
        </row>
        <row r="114">
          <cell r="A114" t="str">
            <v>Costa Rica</v>
          </cell>
        </row>
        <row r="115">
          <cell r="A115" t="str">
            <v>Spain</v>
          </cell>
          <cell r="B115">
            <v>0.56999999999999995</v>
          </cell>
          <cell r="C115">
            <v>0.43</v>
          </cell>
        </row>
        <row r="116">
          <cell r="A116" t="str">
            <v>Namibia</v>
          </cell>
        </row>
        <row r="117">
          <cell r="A117" t="str">
            <v>Timor-Leste</v>
          </cell>
        </row>
        <row r="118">
          <cell r="A118" t="str">
            <v>Bhutan</v>
          </cell>
        </row>
        <row r="119">
          <cell r="A119" t="str">
            <v>Gambia</v>
          </cell>
        </row>
        <row r="120">
          <cell r="A120" t="str">
            <v>Romania</v>
          </cell>
          <cell r="B120">
            <v>0.5</v>
          </cell>
          <cell r="C120">
            <v>0.5</v>
          </cell>
        </row>
        <row r="121">
          <cell r="A121" t="str">
            <v>Suriname</v>
          </cell>
        </row>
        <row r="122">
          <cell r="A122" t="str">
            <v>St. Lucia</v>
          </cell>
        </row>
        <row r="123">
          <cell r="A123" t="str">
            <v>South Africa</v>
          </cell>
          <cell r="B123">
            <v>0.52</v>
          </cell>
          <cell r="C123">
            <v>0.48</v>
          </cell>
        </row>
        <row r="124">
          <cell r="A124" t="str">
            <v>New Caledonia</v>
          </cell>
        </row>
        <row r="125">
          <cell r="A125" t="str">
            <v>Pakistan</v>
          </cell>
          <cell r="B125">
            <v>0.52</v>
          </cell>
          <cell r="C125">
            <v>0.48</v>
          </cell>
        </row>
        <row r="126">
          <cell r="A126" t="str">
            <v>Paraguay</v>
          </cell>
        </row>
        <row r="127">
          <cell r="A127" t="str">
            <v>Eswatini</v>
          </cell>
        </row>
        <row r="128">
          <cell r="A128" t="str">
            <v>Indonesia</v>
          </cell>
          <cell r="B128">
            <v>0.43</v>
          </cell>
          <cell r="C128">
            <v>0.56999999999999995</v>
          </cell>
        </row>
        <row r="129">
          <cell r="A129" t="str">
            <v>Guatemala</v>
          </cell>
        </row>
        <row r="130">
          <cell r="A130" t="str">
            <v>Thailand</v>
          </cell>
          <cell r="B130">
            <v>0.69</v>
          </cell>
          <cell r="C130">
            <v>0.31</v>
          </cell>
        </row>
        <row r="131">
          <cell r="A131" t="str">
            <v>Brunei</v>
          </cell>
        </row>
        <row r="132">
          <cell r="A132" t="str">
            <v>Peru</v>
          </cell>
          <cell r="B132">
            <v>0.53</v>
          </cell>
          <cell r="C132">
            <v>0.47</v>
          </cell>
        </row>
        <row r="133">
          <cell r="A133" t="str">
            <v>Malaysia</v>
          </cell>
          <cell r="B133">
            <v>0.54</v>
          </cell>
          <cell r="C133">
            <v>0.46</v>
          </cell>
        </row>
        <row r="134">
          <cell r="A134" t="str">
            <v>Ghana</v>
          </cell>
        </row>
        <row r="135">
          <cell r="A135" t="str">
            <v>Niger</v>
          </cell>
        </row>
        <row r="136">
          <cell r="A136" t="str">
            <v>France</v>
          </cell>
          <cell r="B136">
            <v>0.55000000000000004</v>
          </cell>
          <cell r="C136">
            <v>0.45</v>
          </cell>
        </row>
        <row r="137">
          <cell r="A137" t="str">
            <v>Lesotho</v>
          </cell>
        </row>
        <row r="138">
          <cell r="A138" t="str">
            <v>Uruguay</v>
          </cell>
        </row>
        <row r="139">
          <cell r="A139" t="str">
            <v>Slovakia</v>
          </cell>
          <cell r="B139">
            <v>0.46</v>
          </cell>
          <cell r="C139">
            <v>0.54</v>
          </cell>
        </row>
        <row r="140">
          <cell r="A140" t="str">
            <v>Honduras</v>
          </cell>
        </row>
        <row r="141">
          <cell r="A141" t="str">
            <v>Mongolia</v>
          </cell>
        </row>
        <row r="142">
          <cell r="A142" t="str">
            <v>Brazil</v>
          </cell>
          <cell r="B142">
            <v>0.53</v>
          </cell>
          <cell r="C142">
            <v>0.47</v>
          </cell>
        </row>
        <row r="143">
          <cell r="A143" t="str">
            <v>Albania</v>
          </cell>
        </row>
        <row r="144">
          <cell r="A144" t="str">
            <v>Slovenia</v>
          </cell>
        </row>
        <row r="145">
          <cell r="A145" t="str">
            <v>Sierra Leone</v>
          </cell>
        </row>
        <row r="146">
          <cell r="A146" t="str">
            <v>Bolivia</v>
          </cell>
        </row>
        <row r="147">
          <cell r="A147" t="str">
            <v>Hungary</v>
          </cell>
          <cell r="B147">
            <v>0.5</v>
          </cell>
          <cell r="C147">
            <v>0.5</v>
          </cell>
        </row>
        <row r="148">
          <cell r="A148" t="str">
            <v>Guam</v>
          </cell>
        </row>
        <row r="149">
          <cell r="A149" t="str">
            <v>CÃ´te dâ€™Ivoire</v>
          </cell>
        </row>
        <row r="150">
          <cell r="A150" t="str">
            <v>Equatorial Guinea</v>
          </cell>
        </row>
        <row r="151">
          <cell r="A151" t="str">
            <v>Mozambique</v>
          </cell>
        </row>
        <row r="152">
          <cell r="A152" t="str">
            <v>Colombia</v>
          </cell>
          <cell r="B152">
            <v>0.47</v>
          </cell>
          <cell r="C152">
            <v>0.53</v>
          </cell>
        </row>
        <row r="153">
          <cell r="A153" t="str">
            <v>Liberia</v>
          </cell>
        </row>
        <row r="154">
          <cell r="A154" t="str">
            <v>Serbia</v>
          </cell>
          <cell r="B154">
            <v>0.49</v>
          </cell>
          <cell r="C154">
            <v>0.51</v>
          </cell>
        </row>
        <row r="155">
          <cell r="A155" t="str">
            <v>Dominican Republic</v>
          </cell>
        </row>
        <row r="156">
          <cell r="A156" t="str">
            <v>U.S. Virgin Islands</v>
          </cell>
        </row>
        <row r="157">
          <cell r="A157" t="str">
            <v>Croatia</v>
          </cell>
          <cell r="B157">
            <v>0.55000000000000004</v>
          </cell>
          <cell r="C157">
            <v>0.45</v>
          </cell>
        </row>
        <row r="158">
          <cell r="A158" t="str">
            <v>Bosnia &amp; Herzegovina</v>
          </cell>
        </row>
        <row r="159">
          <cell r="A159" t="str">
            <v>Sudan</v>
          </cell>
        </row>
        <row r="160">
          <cell r="A160" t="str">
            <v>Italy</v>
          </cell>
          <cell r="B160">
            <v>0.62</v>
          </cell>
          <cell r="C160">
            <v>0.38</v>
          </cell>
        </row>
        <row r="161">
          <cell r="A161" t="str">
            <v>Cambodia</v>
          </cell>
        </row>
        <row r="162">
          <cell r="A162" t="str">
            <v>Zambia</v>
          </cell>
        </row>
        <row r="163">
          <cell r="A163" t="str">
            <v>Senegal</v>
          </cell>
        </row>
        <row r="164">
          <cell r="A164" t="str">
            <v>Burkina Faso</v>
          </cell>
        </row>
        <row r="165">
          <cell r="A165" t="str">
            <v>Bahamas</v>
          </cell>
        </row>
        <row r="166">
          <cell r="A166" t="str">
            <v>Aruba</v>
          </cell>
        </row>
        <row r="167">
          <cell r="A167" t="str">
            <v>Laos</v>
          </cell>
        </row>
        <row r="168">
          <cell r="A168" t="str">
            <v>Panama</v>
          </cell>
        </row>
        <row r="169">
          <cell r="A169" t="str">
            <v>Bahrain</v>
          </cell>
        </row>
        <row r="170">
          <cell r="A170" t="str">
            <v>Poland</v>
          </cell>
          <cell r="B170">
            <v>0.5</v>
          </cell>
          <cell r="C170">
            <v>0.5</v>
          </cell>
        </row>
        <row r="171">
          <cell r="A171" t="str">
            <v>Kosovo</v>
          </cell>
        </row>
        <row r="172">
          <cell r="A172" t="str">
            <v>South Sudan</v>
          </cell>
        </row>
        <row r="173">
          <cell r="A173" t="str">
            <v>Greece</v>
          </cell>
          <cell r="B173">
            <v>0.61</v>
          </cell>
          <cell r="C173">
            <v>0.39</v>
          </cell>
        </row>
        <row r="174">
          <cell r="A174" t="str">
            <v>Montenegro</v>
          </cell>
        </row>
        <row r="175">
          <cell r="A175" t="str">
            <v>Congo - Kinshasa</v>
          </cell>
        </row>
        <row r="176">
          <cell r="A176" t="str">
            <v>Gabon</v>
          </cell>
        </row>
        <row r="177">
          <cell r="A177" t="str">
            <v>RÃ©union</v>
          </cell>
        </row>
        <row r="178">
          <cell r="A178" t="str">
            <v>Chile</v>
          </cell>
          <cell r="B178">
            <v>0.53</v>
          </cell>
          <cell r="C178">
            <v>0.47</v>
          </cell>
        </row>
        <row r="179">
          <cell r="A179" t="str">
            <v>Morocco</v>
          </cell>
          <cell r="B179">
            <v>0.48</v>
          </cell>
          <cell r="C179">
            <v>0.52</v>
          </cell>
        </row>
        <row r="180">
          <cell r="A180" t="str">
            <v>Argentina</v>
          </cell>
          <cell r="B180">
            <v>0.51</v>
          </cell>
          <cell r="C180">
            <v>0.49</v>
          </cell>
        </row>
        <row r="181">
          <cell r="A181" t="str">
            <v>Martinique</v>
          </cell>
        </row>
        <row r="182">
          <cell r="A182" t="str">
            <v>Palestine</v>
          </cell>
        </row>
        <row r="183">
          <cell r="A183" t="str">
            <v>Afghanistan</v>
          </cell>
        </row>
        <row r="184">
          <cell r="A184" t="str">
            <v>Qatar</v>
          </cell>
        </row>
        <row r="185">
          <cell r="A185" t="str">
            <v>French Guiana</v>
          </cell>
        </row>
        <row r="186">
          <cell r="A186" t="str">
            <v>Georgia</v>
          </cell>
        </row>
        <row r="187">
          <cell r="A187" t="str">
            <v>Azerbaijan</v>
          </cell>
        </row>
        <row r="188">
          <cell r="A188" t="str">
            <v>Puerto Rico</v>
          </cell>
        </row>
        <row r="189">
          <cell r="A189" t="str">
            <v>Iran</v>
          </cell>
          <cell r="B189">
            <v>0.45</v>
          </cell>
          <cell r="C189">
            <v>0.55000000000000004</v>
          </cell>
        </row>
        <row r="190">
          <cell r="A190" t="str">
            <v>Jordan</v>
          </cell>
        </row>
        <row r="191">
          <cell r="A191" t="str">
            <v>Oman</v>
          </cell>
        </row>
        <row r="192">
          <cell r="A192" t="str">
            <v>Egypt</v>
          </cell>
          <cell r="B192">
            <v>0.4</v>
          </cell>
          <cell r="C192">
            <v>0.6</v>
          </cell>
        </row>
        <row r="193">
          <cell r="A193" t="str">
            <v>Guadeloupe</v>
          </cell>
        </row>
        <row r="194">
          <cell r="A194" t="str">
            <v>Mayotte</v>
          </cell>
        </row>
        <row r="195">
          <cell r="A195" t="str">
            <v>Vietnam</v>
          </cell>
          <cell r="B195">
            <v>0.53</v>
          </cell>
          <cell r="C195">
            <v>0.47</v>
          </cell>
        </row>
        <row r="196">
          <cell r="A196" t="str">
            <v>Algeria</v>
          </cell>
          <cell r="B196">
            <v>0.48</v>
          </cell>
          <cell r="C196">
            <v>0.52</v>
          </cell>
        </row>
        <row r="197">
          <cell r="A197" t="str">
            <v>Venezuela</v>
          </cell>
          <cell r="B197">
            <v>0.54</v>
          </cell>
          <cell r="C197">
            <v>0.46</v>
          </cell>
        </row>
        <row r="198">
          <cell r="A198" t="str">
            <v>Syria</v>
          </cell>
        </row>
        <row r="199">
          <cell r="A199" t="str">
            <v>Iraq</v>
          </cell>
        </row>
        <row r="200">
          <cell r="A200" t="str">
            <v>Mauritania</v>
          </cell>
        </row>
        <row r="201">
          <cell r="A201" t="str">
            <v>Libya</v>
          </cell>
        </row>
        <row r="202">
          <cell r="A202" t="str">
            <v>Yemen</v>
          </cell>
        </row>
        <row r="203">
          <cell r="A203" t="str">
            <v>Saudi Arabia</v>
          </cell>
          <cell r="B203">
            <v>0.38</v>
          </cell>
          <cell r="C203">
            <v>0.62</v>
          </cell>
        </row>
        <row r="204">
          <cell r="A204" t="str">
            <v>Kuwait</v>
          </cell>
        </row>
        <row r="205">
          <cell r="A205" t="str">
            <v>Turkey</v>
          </cell>
          <cell r="B205">
            <v>0.54</v>
          </cell>
          <cell r="C205">
            <v>0.46</v>
          </cell>
        </row>
        <row r="206">
          <cell r="A206" t="str">
            <v>Guinea</v>
          </cell>
        </row>
        <row r="207">
          <cell r="A207" t="str">
            <v>North Korea</v>
          </cell>
        </row>
        <row r="208">
          <cell r="A208" t="str">
            <v>Cook Islands</v>
          </cell>
        </row>
        <row r="209">
          <cell r="A209" t="str">
            <v>Palau</v>
          </cell>
        </row>
        <row r="210">
          <cell r="A210" t="str">
            <v>Eritrea</v>
          </cell>
        </row>
        <row r="211">
          <cell r="A211" t="str">
            <v>Montserrat</v>
          </cell>
        </row>
        <row r="212">
          <cell r="A212" t="str">
            <v>Svalbard &amp; Jan Mayen</v>
          </cell>
        </row>
        <row r="213">
          <cell r="A213" t="str">
            <v>Anguilla</v>
          </cell>
        </row>
        <row r="214">
          <cell r="A214" t="str">
            <v>San Marino</v>
          </cell>
        </row>
        <row r="215">
          <cell r="A215" t="str">
            <v>St. Kitts &amp; Nevis</v>
          </cell>
        </row>
        <row r="216">
          <cell r="A216" t="str">
            <v>Seychelles</v>
          </cell>
        </row>
        <row r="217">
          <cell r="A217" t="str">
            <v>Marshall Islands</v>
          </cell>
        </row>
        <row r="218">
          <cell r="A218" t="str">
            <v>St. Pierre &amp; Miquelon</v>
          </cell>
        </row>
        <row r="219">
          <cell r="A219" t="str">
            <v>Turks &amp; Caicos Islands</v>
          </cell>
        </row>
        <row r="220">
          <cell r="A220" t="str">
            <v>Northern Mariana Islands</v>
          </cell>
        </row>
        <row r="221">
          <cell r="A221" t="str">
            <v>Tonga</v>
          </cell>
        </row>
        <row r="222">
          <cell r="A222" t="str">
            <v>Sint Maarten</v>
          </cell>
        </row>
        <row r="223">
          <cell r="A223" t="str">
            <v>Central African Republic</v>
          </cell>
        </row>
        <row r="224">
          <cell r="A224" t="str">
            <v>Samoa</v>
          </cell>
        </row>
        <row r="225">
          <cell r="A225" t="str">
            <v>Comoros</v>
          </cell>
        </row>
        <row r="226">
          <cell r="A226" t="str">
            <v>Caribbean Netherlands</v>
          </cell>
        </row>
        <row r="227">
          <cell r="A227" t="str">
            <v>SÃ£o TomÃ© &amp; PrÃ­ncipe</v>
          </cell>
        </row>
        <row r="228">
          <cell r="A228" t="str">
            <v>St. BarthÃ©lemy</v>
          </cell>
        </row>
        <row r="229">
          <cell r="A229" t="str">
            <v>British Virgin Islands</v>
          </cell>
        </row>
        <row r="230">
          <cell r="A230" t="str">
            <v>American Samoa</v>
          </cell>
        </row>
        <row r="231">
          <cell r="A231" t="str">
            <v>Guinea-Bissau</v>
          </cell>
        </row>
        <row r="232">
          <cell r="A232" t="str">
            <v>Western Sahara</v>
          </cell>
        </row>
        <row r="233">
          <cell r="A233" t="str">
            <v>Antarctica</v>
          </cell>
        </row>
        <row r="234">
          <cell r="A234" t="str">
            <v>French Southern Territories</v>
          </cell>
        </row>
        <row r="235">
          <cell r="A235" t="str">
            <v>Bouvet Island</v>
          </cell>
        </row>
        <row r="236">
          <cell r="A236" t="str">
            <v>Cocos (Keeling) Islands</v>
          </cell>
        </row>
        <row r="237">
          <cell r="A237" t="str">
            <v>Christmas Island</v>
          </cell>
        </row>
        <row r="238">
          <cell r="A238" t="str">
            <v>Falkland Islands (Islas Malvinas)</v>
          </cell>
        </row>
        <row r="239">
          <cell r="A239" t="str">
            <v>Micronesia</v>
          </cell>
        </row>
        <row r="240">
          <cell r="A240" t="str">
            <v>Heard &amp; McDonald Islands</v>
          </cell>
        </row>
        <row r="241">
          <cell r="A241" t="str">
            <v>British Indian Ocean Territory</v>
          </cell>
        </row>
        <row r="242">
          <cell r="A242" t="str">
            <v>Kiribati</v>
          </cell>
        </row>
        <row r="243">
          <cell r="A243" t="str">
            <v>St. Martin</v>
          </cell>
        </row>
        <row r="244">
          <cell r="A244" t="str">
            <v>Norfolk Island</v>
          </cell>
        </row>
        <row r="245">
          <cell r="A245" t="str">
            <v>Niue</v>
          </cell>
        </row>
        <row r="246">
          <cell r="A246" t="str">
            <v>Nauru</v>
          </cell>
        </row>
        <row r="247">
          <cell r="A247" t="str">
            <v>Pitcairn Islands</v>
          </cell>
        </row>
        <row r="248">
          <cell r="A248" t="str">
            <v>South Georgia &amp; South Sandwich Islands</v>
          </cell>
        </row>
        <row r="249">
          <cell r="A249" t="str">
            <v>Tokelau</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0)"/>
    </sheetNames>
    <sheetDataSet>
      <sheetData sheetId="0" refreshError="1">
        <row r="1">
          <cell r="A1" t="str">
            <v>Kategori: TÃ¼m kategoriler</v>
          </cell>
        </row>
        <row r="3">
          <cell r="A3" t="str">
            <v>Ãœlke</v>
          </cell>
          <cell r="B3" t="str">
            <v>HTTP: (2018)</v>
          </cell>
          <cell r="C3" t="str">
            <v>For dÃ¶ngÃ¼sÃ¼: (2018)</v>
          </cell>
        </row>
        <row r="4">
          <cell r="A4" t="str">
            <v>China</v>
          </cell>
          <cell r="B4">
            <v>0.7</v>
          </cell>
          <cell r="C4">
            <v>0.3</v>
          </cell>
        </row>
        <row r="5">
          <cell r="A5" t="str">
            <v>Cuba</v>
          </cell>
        </row>
        <row r="6">
          <cell r="A6" t="str">
            <v>Ethiopia</v>
          </cell>
        </row>
        <row r="7">
          <cell r="A7" t="str">
            <v>St. Helena</v>
          </cell>
          <cell r="B7">
            <v>0.63</v>
          </cell>
          <cell r="C7">
            <v>0.37</v>
          </cell>
        </row>
        <row r="8">
          <cell r="A8" t="str">
            <v>Myanmar (Burma)</v>
          </cell>
        </row>
        <row r="9">
          <cell r="A9" t="str">
            <v>South Korea</v>
          </cell>
          <cell r="B9">
            <v>0.51</v>
          </cell>
          <cell r="C9">
            <v>0.49</v>
          </cell>
        </row>
        <row r="10">
          <cell r="A10" t="str">
            <v>Singapore</v>
          </cell>
          <cell r="B10">
            <v>0.62</v>
          </cell>
          <cell r="C10">
            <v>0.38</v>
          </cell>
        </row>
        <row r="11">
          <cell r="A11" t="str">
            <v>Jamaica</v>
          </cell>
        </row>
        <row r="12">
          <cell r="A12" t="str">
            <v>Togo</v>
          </cell>
        </row>
        <row r="13">
          <cell r="A13" t="str">
            <v>Papua New Guinea</v>
          </cell>
        </row>
        <row r="14">
          <cell r="A14" t="str">
            <v>North Macedonia</v>
          </cell>
        </row>
        <row r="15">
          <cell r="A15" t="str">
            <v>Luxembourg</v>
          </cell>
        </row>
        <row r="16">
          <cell r="A16" t="str">
            <v>Israel</v>
          </cell>
          <cell r="B16">
            <v>0.67</v>
          </cell>
          <cell r="C16">
            <v>0.33</v>
          </cell>
        </row>
        <row r="17">
          <cell r="A17" t="str">
            <v>Liechtenstein</v>
          </cell>
        </row>
        <row r="18">
          <cell r="A18" t="str">
            <v>Nigeria</v>
          </cell>
          <cell r="B18">
            <v>0.88</v>
          </cell>
          <cell r="C18">
            <v>0.12</v>
          </cell>
        </row>
        <row r="19">
          <cell r="A19" t="str">
            <v>Malawi</v>
          </cell>
        </row>
        <row r="20">
          <cell r="A20" t="str">
            <v>Cape Verde</v>
          </cell>
        </row>
        <row r="21">
          <cell r="A21" t="str">
            <v>Angola</v>
          </cell>
        </row>
        <row r="22">
          <cell r="A22" t="str">
            <v>Tanzania</v>
          </cell>
        </row>
        <row r="23">
          <cell r="A23" t="str">
            <v>Madagascar</v>
          </cell>
        </row>
        <row r="24">
          <cell r="A24" t="str">
            <v>Philippines</v>
          </cell>
          <cell r="B24">
            <v>0.65</v>
          </cell>
          <cell r="C24">
            <v>0.35</v>
          </cell>
        </row>
        <row r="25">
          <cell r="A25" t="str">
            <v>Greenland</v>
          </cell>
        </row>
        <row r="26">
          <cell r="A26" t="str">
            <v>Gambia</v>
          </cell>
        </row>
        <row r="27">
          <cell r="A27" t="str">
            <v>Hong Kong</v>
          </cell>
          <cell r="B27">
            <v>0.56000000000000005</v>
          </cell>
          <cell r="C27">
            <v>0.44</v>
          </cell>
        </row>
        <row r="28">
          <cell r="A28" t="str">
            <v>Chad</v>
          </cell>
        </row>
        <row r="29">
          <cell r="A29" t="str">
            <v>Ã…land Islands</v>
          </cell>
        </row>
        <row r="30">
          <cell r="A30" t="str">
            <v>Mexico</v>
          </cell>
          <cell r="B30">
            <v>0.78</v>
          </cell>
          <cell r="C30">
            <v>0.22</v>
          </cell>
        </row>
        <row r="31">
          <cell r="A31" t="str">
            <v>Burundi</v>
          </cell>
        </row>
        <row r="32">
          <cell r="A32" t="str">
            <v>Kenya</v>
          </cell>
          <cell r="B32">
            <v>0.78</v>
          </cell>
          <cell r="C32">
            <v>0.22</v>
          </cell>
        </row>
        <row r="33">
          <cell r="A33" t="str">
            <v>Congo - Brazzaville</v>
          </cell>
        </row>
        <row r="34">
          <cell r="A34" t="str">
            <v>Switzerland</v>
          </cell>
          <cell r="B34">
            <v>0.63</v>
          </cell>
          <cell r="C34">
            <v>0.37</v>
          </cell>
        </row>
        <row r="35">
          <cell r="A35" t="str">
            <v>Germany</v>
          </cell>
          <cell r="B35">
            <v>0.7</v>
          </cell>
          <cell r="C35">
            <v>0.3</v>
          </cell>
        </row>
        <row r="36">
          <cell r="A36" t="str">
            <v>Iceland</v>
          </cell>
        </row>
        <row r="37">
          <cell r="A37" t="str">
            <v>Armenia</v>
          </cell>
        </row>
        <row r="38">
          <cell r="A38" t="str">
            <v>Timor-Leste</v>
          </cell>
        </row>
        <row r="39">
          <cell r="A39" t="str">
            <v>Rwanda</v>
          </cell>
        </row>
        <row r="40">
          <cell r="A40" t="str">
            <v>Uganda</v>
          </cell>
        </row>
        <row r="41">
          <cell r="A41" t="str">
            <v>Estonia</v>
          </cell>
        </row>
        <row r="42">
          <cell r="A42" t="str">
            <v>Equatorial Guinea</v>
          </cell>
        </row>
        <row r="43">
          <cell r="A43" t="str">
            <v>Belarus</v>
          </cell>
          <cell r="B43">
            <v>0.75</v>
          </cell>
          <cell r="C43">
            <v>0.25</v>
          </cell>
        </row>
        <row r="44">
          <cell r="A44" t="str">
            <v>India</v>
          </cell>
          <cell r="B44">
            <v>0.57999999999999996</v>
          </cell>
          <cell r="C44">
            <v>0.42</v>
          </cell>
        </row>
        <row r="45">
          <cell r="A45" t="str">
            <v>Faroe Islands</v>
          </cell>
        </row>
        <row r="46">
          <cell r="A46" t="str">
            <v>Nepal</v>
          </cell>
        </row>
        <row r="47">
          <cell r="A47" t="str">
            <v>Sri Lanka</v>
          </cell>
          <cell r="B47">
            <v>0.55000000000000004</v>
          </cell>
          <cell r="C47">
            <v>0.45</v>
          </cell>
        </row>
        <row r="48">
          <cell r="A48" t="str">
            <v>Austria</v>
          </cell>
          <cell r="B48">
            <v>0.68</v>
          </cell>
          <cell r="C48">
            <v>0.32</v>
          </cell>
        </row>
        <row r="49">
          <cell r="A49" t="str">
            <v>Cameroon</v>
          </cell>
        </row>
        <row r="50">
          <cell r="A50" t="str">
            <v>Gibraltar</v>
          </cell>
        </row>
        <row r="51">
          <cell r="A51" t="str">
            <v>Mali</v>
          </cell>
        </row>
        <row r="52">
          <cell r="A52" t="str">
            <v>Ecuador</v>
          </cell>
          <cell r="B52">
            <v>0.74</v>
          </cell>
          <cell r="C52">
            <v>0.26</v>
          </cell>
        </row>
        <row r="53">
          <cell r="A53" t="str">
            <v>Nicaragua</v>
          </cell>
        </row>
        <row r="54">
          <cell r="A54" t="str">
            <v>Bangladesh</v>
          </cell>
          <cell r="B54">
            <v>0.68</v>
          </cell>
          <cell r="C54">
            <v>0.32</v>
          </cell>
        </row>
        <row r="55">
          <cell r="A55" t="str">
            <v>Somalia</v>
          </cell>
        </row>
        <row r="56">
          <cell r="A56" t="str">
            <v>Japan</v>
          </cell>
          <cell r="B56">
            <v>0.56000000000000005</v>
          </cell>
          <cell r="C56">
            <v>0.44</v>
          </cell>
        </row>
        <row r="57">
          <cell r="A57" t="str">
            <v>Taiwan</v>
          </cell>
          <cell r="B57">
            <v>0.61</v>
          </cell>
          <cell r="C57">
            <v>0.39</v>
          </cell>
        </row>
        <row r="58">
          <cell r="A58" t="str">
            <v>Finland</v>
          </cell>
          <cell r="B58">
            <v>0.65</v>
          </cell>
          <cell r="C58">
            <v>0.35</v>
          </cell>
        </row>
        <row r="59">
          <cell r="A59" t="str">
            <v>Benin</v>
          </cell>
        </row>
        <row r="60">
          <cell r="A60" t="str">
            <v>New Zealand</v>
          </cell>
          <cell r="B60">
            <v>0.6</v>
          </cell>
          <cell r="C60">
            <v>0.4</v>
          </cell>
        </row>
        <row r="61">
          <cell r="A61" t="str">
            <v>Bhutan</v>
          </cell>
        </row>
        <row r="62">
          <cell r="A62" t="str">
            <v>Ukraine</v>
          </cell>
          <cell r="B62">
            <v>0.77</v>
          </cell>
          <cell r="C62">
            <v>0.23</v>
          </cell>
        </row>
        <row r="63">
          <cell r="A63" t="str">
            <v>Czechia</v>
          </cell>
          <cell r="B63">
            <v>0.81</v>
          </cell>
          <cell r="C63">
            <v>0.19</v>
          </cell>
        </row>
        <row r="64">
          <cell r="A64" t="str">
            <v>Macao</v>
          </cell>
        </row>
        <row r="65">
          <cell r="A65" t="str">
            <v>El Salvador</v>
          </cell>
        </row>
        <row r="66">
          <cell r="A66" t="str">
            <v>Namibia</v>
          </cell>
        </row>
        <row r="67">
          <cell r="A67" t="str">
            <v>Mauritius</v>
          </cell>
        </row>
        <row r="68">
          <cell r="A68" t="str">
            <v>Paraguay</v>
          </cell>
        </row>
        <row r="69">
          <cell r="A69" t="str">
            <v>Botswana</v>
          </cell>
        </row>
        <row r="70">
          <cell r="A70" t="str">
            <v>Pakistan</v>
          </cell>
          <cell r="B70">
            <v>0.46</v>
          </cell>
          <cell r="C70">
            <v>0.54</v>
          </cell>
        </row>
        <row r="71">
          <cell r="A71" t="str">
            <v>Portugal</v>
          </cell>
          <cell r="B71">
            <v>0.65</v>
          </cell>
          <cell r="C71">
            <v>0.35</v>
          </cell>
        </row>
        <row r="72">
          <cell r="A72" t="str">
            <v>Niger</v>
          </cell>
        </row>
        <row r="73">
          <cell r="A73" t="str">
            <v>Russia</v>
          </cell>
          <cell r="B73">
            <v>0.72</v>
          </cell>
          <cell r="C73">
            <v>0.28000000000000003</v>
          </cell>
        </row>
        <row r="74">
          <cell r="A74" t="str">
            <v>Ireland</v>
          </cell>
          <cell r="B74">
            <v>0.6</v>
          </cell>
          <cell r="C74">
            <v>0.4</v>
          </cell>
        </row>
        <row r="75">
          <cell r="A75" t="str">
            <v>Tunisia</v>
          </cell>
          <cell r="B75">
            <v>0.62</v>
          </cell>
          <cell r="C75">
            <v>0.38</v>
          </cell>
        </row>
        <row r="76">
          <cell r="A76" t="str">
            <v>Costa Rica</v>
          </cell>
          <cell r="B76">
            <v>0.66</v>
          </cell>
          <cell r="C76">
            <v>0.34</v>
          </cell>
        </row>
        <row r="77">
          <cell r="A77" t="str">
            <v>Honduras</v>
          </cell>
        </row>
        <row r="78">
          <cell r="A78" t="str">
            <v>Norway</v>
          </cell>
          <cell r="B78">
            <v>0.67</v>
          </cell>
          <cell r="C78">
            <v>0.33</v>
          </cell>
        </row>
        <row r="79">
          <cell r="A79" t="str">
            <v>Romania</v>
          </cell>
          <cell r="B79">
            <v>0.84</v>
          </cell>
          <cell r="C79">
            <v>0.16</v>
          </cell>
        </row>
        <row r="80">
          <cell r="A80" t="str">
            <v>Sweden</v>
          </cell>
          <cell r="B80">
            <v>0.65</v>
          </cell>
          <cell r="C80">
            <v>0.35</v>
          </cell>
        </row>
        <row r="81">
          <cell r="A81" t="str">
            <v>Haiti</v>
          </cell>
        </row>
        <row r="82">
          <cell r="A82" t="str">
            <v>Liberia</v>
          </cell>
        </row>
        <row r="83">
          <cell r="A83" t="str">
            <v>Moldova</v>
          </cell>
        </row>
        <row r="84">
          <cell r="A84" t="str">
            <v>Guatemala</v>
          </cell>
          <cell r="B84">
            <v>0.65</v>
          </cell>
          <cell r="C84">
            <v>0.35</v>
          </cell>
        </row>
        <row r="85">
          <cell r="A85" t="str">
            <v>Guyana</v>
          </cell>
        </row>
        <row r="86">
          <cell r="A86" t="str">
            <v>Zimbabwe</v>
          </cell>
        </row>
        <row r="87">
          <cell r="A87" t="str">
            <v>Indonesia</v>
          </cell>
          <cell r="B87">
            <v>0.94</v>
          </cell>
          <cell r="C87">
            <v>0.06</v>
          </cell>
        </row>
        <row r="88">
          <cell r="A88" t="str">
            <v>Netherlands</v>
          </cell>
          <cell r="B88">
            <v>0.64</v>
          </cell>
          <cell r="C88">
            <v>0.36</v>
          </cell>
        </row>
        <row r="89">
          <cell r="A89" t="str">
            <v>Ghana</v>
          </cell>
        </row>
        <row r="90">
          <cell r="A90" t="str">
            <v>Lesotho</v>
          </cell>
        </row>
        <row r="91">
          <cell r="A91" t="str">
            <v>Andorra</v>
          </cell>
        </row>
        <row r="92">
          <cell r="A92" t="str">
            <v>Denmark</v>
          </cell>
          <cell r="B92">
            <v>0.67</v>
          </cell>
          <cell r="C92">
            <v>0.33</v>
          </cell>
        </row>
        <row r="93">
          <cell r="A93" t="str">
            <v>Canada</v>
          </cell>
          <cell r="B93">
            <v>0.53</v>
          </cell>
          <cell r="C93">
            <v>0.47</v>
          </cell>
        </row>
        <row r="94">
          <cell r="A94" t="str">
            <v>Albania</v>
          </cell>
        </row>
        <row r="95">
          <cell r="A95" t="str">
            <v>Mozambique</v>
          </cell>
        </row>
        <row r="96">
          <cell r="A96" t="str">
            <v>Bolivia</v>
          </cell>
        </row>
        <row r="97">
          <cell r="A97" t="str">
            <v>South Africa</v>
          </cell>
          <cell r="B97">
            <v>0.62</v>
          </cell>
          <cell r="C97">
            <v>0.38</v>
          </cell>
        </row>
        <row r="98">
          <cell r="A98" t="str">
            <v>Uzbekistan</v>
          </cell>
        </row>
        <row r="99">
          <cell r="A99" t="str">
            <v>Lebanon</v>
          </cell>
        </row>
        <row r="100">
          <cell r="A100" t="str">
            <v>Slovakia</v>
          </cell>
        </row>
        <row r="101">
          <cell r="A101" t="str">
            <v>Hungary</v>
          </cell>
          <cell r="B101">
            <v>0.78</v>
          </cell>
          <cell r="C101">
            <v>0.22</v>
          </cell>
        </row>
        <row r="102">
          <cell r="A102" t="str">
            <v>Australia</v>
          </cell>
          <cell r="B102">
            <v>0.57999999999999996</v>
          </cell>
          <cell r="C102">
            <v>0.42</v>
          </cell>
        </row>
        <row r="103">
          <cell r="A103" t="str">
            <v>Solomon Islands</v>
          </cell>
        </row>
        <row r="104">
          <cell r="A104" t="str">
            <v>Turkmenistan</v>
          </cell>
        </row>
        <row r="105">
          <cell r="A105" t="str">
            <v>CÃ´te dâ€™Ivoire</v>
          </cell>
        </row>
        <row r="106">
          <cell r="A106" t="str">
            <v>Cyprus</v>
          </cell>
        </row>
        <row r="107">
          <cell r="A107" t="str">
            <v>Sudan</v>
          </cell>
        </row>
        <row r="108">
          <cell r="A108" t="str">
            <v>Malta</v>
          </cell>
        </row>
        <row r="109">
          <cell r="A109" t="str">
            <v>Zambia</v>
          </cell>
        </row>
        <row r="110">
          <cell r="A110" t="str">
            <v>Serbia</v>
          </cell>
          <cell r="B110">
            <v>0.69</v>
          </cell>
          <cell r="C110">
            <v>0.31</v>
          </cell>
        </row>
        <row r="111">
          <cell r="A111" t="str">
            <v>Latvia</v>
          </cell>
        </row>
        <row r="112">
          <cell r="A112" t="str">
            <v>United States</v>
          </cell>
          <cell r="B112">
            <v>0.53</v>
          </cell>
          <cell r="C112">
            <v>0.47</v>
          </cell>
        </row>
        <row r="113">
          <cell r="A113" t="str">
            <v>Peru</v>
          </cell>
          <cell r="B113">
            <v>0.72</v>
          </cell>
          <cell r="C113">
            <v>0.28000000000000003</v>
          </cell>
        </row>
        <row r="114">
          <cell r="A114" t="str">
            <v>Mongolia</v>
          </cell>
        </row>
        <row r="115">
          <cell r="A115" t="str">
            <v>Dominican Republic</v>
          </cell>
        </row>
        <row r="116">
          <cell r="A116" t="str">
            <v>Bosnia &amp; Herzegovina</v>
          </cell>
        </row>
        <row r="117">
          <cell r="A117" t="str">
            <v>Senegal</v>
          </cell>
        </row>
        <row r="118">
          <cell r="A118" t="str">
            <v>Burkina Faso</v>
          </cell>
        </row>
        <row r="119">
          <cell r="A119" t="str">
            <v>Spain</v>
          </cell>
          <cell r="B119">
            <v>0.68</v>
          </cell>
          <cell r="C119">
            <v>0.32</v>
          </cell>
        </row>
        <row r="120">
          <cell r="A120" t="str">
            <v>Cambodia</v>
          </cell>
        </row>
        <row r="121">
          <cell r="A121" t="str">
            <v>Colombia</v>
          </cell>
          <cell r="B121">
            <v>0.67</v>
          </cell>
          <cell r="C121">
            <v>0.33</v>
          </cell>
        </row>
        <row r="122">
          <cell r="A122" t="str">
            <v>Brazil</v>
          </cell>
          <cell r="B122">
            <v>0.8</v>
          </cell>
          <cell r="C122">
            <v>0.2</v>
          </cell>
        </row>
        <row r="123">
          <cell r="A123" t="str">
            <v>Uruguay</v>
          </cell>
        </row>
        <row r="124">
          <cell r="A124" t="str">
            <v>Bulgaria</v>
          </cell>
          <cell r="B124">
            <v>0.75</v>
          </cell>
          <cell r="C124">
            <v>0.25</v>
          </cell>
        </row>
        <row r="125">
          <cell r="A125" t="str">
            <v>United Kingdom</v>
          </cell>
          <cell r="B125">
            <v>0.56999999999999995</v>
          </cell>
          <cell r="C125">
            <v>0.43</v>
          </cell>
        </row>
        <row r="126">
          <cell r="A126" t="str">
            <v>Antigua &amp; Barbuda</v>
          </cell>
        </row>
        <row r="127">
          <cell r="A127" t="str">
            <v>Fiji</v>
          </cell>
        </row>
        <row r="128">
          <cell r="A128" t="str">
            <v>Malaysia</v>
          </cell>
          <cell r="B128">
            <v>0.61</v>
          </cell>
          <cell r="C128">
            <v>0.39</v>
          </cell>
        </row>
        <row r="129">
          <cell r="A129" t="str">
            <v>Belgium</v>
          </cell>
          <cell r="B129">
            <v>0.65</v>
          </cell>
          <cell r="C129">
            <v>0.35</v>
          </cell>
        </row>
        <row r="130">
          <cell r="A130" t="str">
            <v>United Arab Emirates</v>
          </cell>
          <cell r="B130">
            <v>0.64</v>
          </cell>
          <cell r="C130">
            <v>0.36</v>
          </cell>
        </row>
        <row r="131">
          <cell r="A131" t="str">
            <v>Isle of Man</v>
          </cell>
        </row>
        <row r="132">
          <cell r="A132" t="str">
            <v>France</v>
          </cell>
          <cell r="B132">
            <v>0.64</v>
          </cell>
          <cell r="C132">
            <v>0.36</v>
          </cell>
        </row>
        <row r="133">
          <cell r="A133" t="str">
            <v>Laos</v>
          </cell>
        </row>
        <row r="134">
          <cell r="A134" t="str">
            <v>Poland</v>
          </cell>
          <cell r="B134">
            <v>0.72</v>
          </cell>
          <cell r="C134">
            <v>0.28000000000000003</v>
          </cell>
        </row>
        <row r="135">
          <cell r="A135" t="str">
            <v>Panama</v>
          </cell>
        </row>
        <row r="136">
          <cell r="A136" t="str">
            <v>South Sudan</v>
          </cell>
        </row>
        <row r="137">
          <cell r="A137" t="str">
            <v>Grenada</v>
          </cell>
        </row>
        <row r="138">
          <cell r="A138" t="str">
            <v>Lithuania</v>
          </cell>
        </row>
        <row r="139">
          <cell r="A139" t="str">
            <v>Maldives</v>
          </cell>
        </row>
        <row r="140">
          <cell r="A140" t="str">
            <v>Congo - Kinshasa</v>
          </cell>
        </row>
        <row r="141">
          <cell r="A141" t="str">
            <v>Palestine</v>
          </cell>
        </row>
        <row r="142">
          <cell r="A142" t="str">
            <v>New Caledonia</v>
          </cell>
        </row>
        <row r="143">
          <cell r="A143" t="str">
            <v>Croatia</v>
          </cell>
          <cell r="B143">
            <v>0.69</v>
          </cell>
          <cell r="C143">
            <v>0.31</v>
          </cell>
        </row>
        <row r="144">
          <cell r="A144" t="str">
            <v>Slovenia</v>
          </cell>
        </row>
        <row r="145">
          <cell r="A145" t="str">
            <v>Morocco</v>
          </cell>
          <cell r="B145">
            <v>0.7</v>
          </cell>
          <cell r="C145">
            <v>0.3</v>
          </cell>
        </row>
        <row r="146">
          <cell r="A146" t="str">
            <v>Kazakhstan</v>
          </cell>
          <cell r="B146">
            <v>0.67</v>
          </cell>
          <cell r="C146">
            <v>0.33</v>
          </cell>
        </row>
        <row r="147">
          <cell r="A147" t="str">
            <v>St. Lucia</v>
          </cell>
        </row>
        <row r="148">
          <cell r="A148" t="str">
            <v>Tajikistan</v>
          </cell>
        </row>
        <row r="149">
          <cell r="A149" t="str">
            <v>Eswatini</v>
          </cell>
        </row>
        <row r="150">
          <cell r="A150" t="str">
            <v>Argentina</v>
          </cell>
          <cell r="B150">
            <v>0.73</v>
          </cell>
          <cell r="C150">
            <v>0.27</v>
          </cell>
        </row>
        <row r="151">
          <cell r="A151" t="str">
            <v>Barbados</v>
          </cell>
        </row>
        <row r="152">
          <cell r="A152" t="str">
            <v>Kosovo</v>
          </cell>
        </row>
        <row r="153">
          <cell r="A153" t="str">
            <v>Cayman Islands</v>
          </cell>
        </row>
        <row r="154">
          <cell r="A154" t="str">
            <v>Chile</v>
          </cell>
          <cell r="B154">
            <v>0.63</v>
          </cell>
          <cell r="C154">
            <v>0.37</v>
          </cell>
        </row>
        <row r="155">
          <cell r="A155" t="str">
            <v>Iran</v>
          </cell>
          <cell r="B155">
            <v>0.81</v>
          </cell>
          <cell r="C155">
            <v>0.19</v>
          </cell>
        </row>
        <row r="156">
          <cell r="A156" t="str">
            <v>Belize</v>
          </cell>
        </row>
        <row r="157">
          <cell r="A157" t="str">
            <v>Monaco</v>
          </cell>
        </row>
        <row r="158">
          <cell r="A158" t="str">
            <v>Qatar</v>
          </cell>
        </row>
        <row r="159">
          <cell r="A159" t="str">
            <v>Guernsey</v>
          </cell>
        </row>
        <row r="160">
          <cell r="A160" t="str">
            <v>Oman</v>
          </cell>
        </row>
        <row r="161">
          <cell r="A161" t="str">
            <v>Egypt</v>
          </cell>
          <cell r="B161">
            <v>0.72</v>
          </cell>
          <cell r="C161">
            <v>0.28000000000000003</v>
          </cell>
        </row>
        <row r="162">
          <cell r="A162" t="str">
            <v>Montenegro</v>
          </cell>
        </row>
        <row r="163">
          <cell r="A163" t="str">
            <v>CuraÃ§ao</v>
          </cell>
        </row>
        <row r="164">
          <cell r="A164" t="str">
            <v>Kyrgyzstan</v>
          </cell>
        </row>
        <row r="165">
          <cell r="A165" t="str">
            <v>Jordan</v>
          </cell>
        </row>
        <row r="166">
          <cell r="A166" t="str">
            <v>French Polynesia</v>
          </cell>
        </row>
        <row r="167">
          <cell r="A167" t="str">
            <v>Gabon</v>
          </cell>
        </row>
        <row r="168">
          <cell r="A168" t="str">
            <v>Martinique</v>
          </cell>
        </row>
        <row r="169">
          <cell r="A169" t="str">
            <v>Sierra Leone</v>
          </cell>
        </row>
        <row r="170">
          <cell r="A170" t="str">
            <v>Bermuda</v>
          </cell>
        </row>
        <row r="171">
          <cell r="A171" t="str">
            <v>Jersey</v>
          </cell>
        </row>
        <row r="172">
          <cell r="A172" t="str">
            <v>Iraq</v>
          </cell>
        </row>
        <row r="173">
          <cell r="A173" t="str">
            <v>Bahrain</v>
          </cell>
        </row>
        <row r="174">
          <cell r="A174" t="str">
            <v>Syria</v>
          </cell>
        </row>
        <row r="175">
          <cell r="A175" t="str">
            <v>Algeria</v>
          </cell>
        </row>
        <row r="176">
          <cell r="A176" t="str">
            <v>Italy</v>
          </cell>
          <cell r="B176">
            <v>0.66</v>
          </cell>
          <cell r="C176">
            <v>0.34</v>
          </cell>
        </row>
        <row r="177">
          <cell r="A177" t="str">
            <v>Georgia</v>
          </cell>
        </row>
        <row r="178">
          <cell r="A178" t="str">
            <v>St. Vincent &amp; Grenadines</v>
          </cell>
        </row>
        <row r="179">
          <cell r="A179" t="str">
            <v>Azerbaijan</v>
          </cell>
        </row>
        <row r="180">
          <cell r="A180" t="str">
            <v>Afghanistan</v>
          </cell>
        </row>
        <row r="181">
          <cell r="A181" t="str">
            <v>Vietnam</v>
          </cell>
          <cell r="B181">
            <v>0.81</v>
          </cell>
          <cell r="C181">
            <v>0.19</v>
          </cell>
        </row>
        <row r="182">
          <cell r="A182" t="str">
            <v>RÃ©union</v>
          </cell>
        </row>
        <row r="183">
          <cell r="A183" t="str">
            <v>Guadeloupe</v>
          </cell>
        </row>
        <row r="184">
          <cell r="A184" t="str">
            <v>U.S. Virgin Islands</v>
          </cell>
        </row>
        <row r="185">
          <cell r="A185" t="str">
            <v>Bahamas</v>
          </cell>
        </row>
        <row r="186">
          <cell r="A186" t="str">
            <v>Trinidad &amp; Tobago</v>
          </cell>
        </row>
        <row r="187">
          <cell r="A187" t="str">
            <v>Yemen</v>
          </cell>
        </row>
        <row r="188">
          <cell r="A188" t="str">
            <v>Greece</v>
          </cell>
          <cell r="B188">
            <v>0.66</v>
          </cell>
          <cell r="C188">
            <v>0.34</v>
          </cell>
        </row>
        <row r="189">
          <cell r="A189" t="str">
            <v>Puerto Rico</v>
          </cell>
        </row>
        <row r="190">
          <cell r="A190" t="str">
            <v>Mayotte</v>
          </cell>
        </row>
        <row r="191">
          <cell r="A191" t="str">
            <v>Libya</v>
          </cell>
        </row>
        <row r="192">
          <cell r="A192" t="str">
            <v>Brunei</v>
          </cell>
        </row>
        <row r="193">
          <cell r="A193" t="str">
            <v>Thailand</v>
          </cell>
          <cell r="B193">
            <v>0.68</v>
          </cell>
          <cell r="C193">
            <v>0.32</v>
          </cell>
        </row>
        <row r="194">
          <cell r="A194" t="str">
            <v>Venezuela</v>
          </cell>
        </row>
        <row r="195">
          <cell r="A195" t="str">
            <v>Saudi Arabia</v>
          </cell>
          <cell r="B195">
            <v>0.74</v>
          </cell>
          <cell r="C195">
            <v>0.26</v>
          </cell>
        </row>
        <row r="196">
          <cell r="A196" t="str">
            <v>Guinea</v>
          </cell>
        </row>
        <row r="197">
          <cell r="A197" t="str">
            <v>Mauritania</v>
          </cell>
        </row>
        <row r="198">
          <cell r="A198" t="str">
            <v>Kuwait</v>
          </cell>
        </row>
        <row r="199">
          <cell r="A199" t="str">
            <v>Seychelles</v>
          </cell>
        </row>
        <row r="200">
          <cell r="A200" t="str">
            <v>French Guiana</v>
          </cell>
        </row>
        <row r="201">
          <cell r="A201" t="str">
            <v>Djibouti</v>
          </cell>
        </row>
        <row r="202">
          <cell r="A202" t="str">
            <v>Turkey</v>
          </cell>
          <cell r="B202">
            <v>0.54</v>
          </cell>
          <cell r="C202">
            <v>0.46</v>
          </cell>
        </row>
        <row r="203">
          <cell r="A203" t="str">
            <v>Suriname</v>
          </cell>
        </row>
        <row r="204">
          <cell r="A204" t="str">
            <v>Aruba</v>
          </cell>
        </row>
        <row r="205">
          <cell r="A205" t="str">
            <v>North Korea</v>
          </cell>
        </row>
        <row r="206">
          <cell r="A206" t="str">
            <v>Marshall Islands</v>
          </cell>
        </row>
        <row r="207">
          <cell r="A207" t="str">
            <v>SÃ£o TomÃ© &amp; PrÃ­ncipe</v>
          </cell>
        </row>
        <row r="208">
          <cell r="A208" t="str">
            <v>Palau</v>
          </cell>
        </row>
        <row r="209">
          <cell r="A209" t="str">
            <v>Guinea-Bissau</v>
          </cell>
        </row>
        <row r="210">
          <cell r="A210" t="str">
            <v>Micronesia</v>
          </cell>
        </row>
        <row r="211">
          <cell r="A211" t="str">
            <v>Vanuatu</v>
          </cell>
        </row>
        <row r="212">
          <cell r="A212" t="str">
            <v>Tonga</v>
          </cell>
        </row>
        <row r="213">
          <cell r="A213" t="str">
            <v>Dominica</v>
          </cell>
        </row>
        <row r="214">
          <cell r="A214" t="str">
            <v>Caribbean Netherlands</v>
          </cell>
        </row>
        <row r="215">
          <cell r="A215" t="str">
            <v>San Marino</v>
          </cell>
        </row>
        <row r="216">
          <cell r="A216" t="str">
            <v>Central African Republic</v>
          </cell>
        </row>
        <row r="217">
          <cell r="A217" t="str">
            <v>St. Martin</v>
          </cell>
        </row>
        <row r="218">
          <cell r="A218" t="str">
            <v>British Virgin Islands</v>
          </cell>
        </row>
        <row r="219">
          <cell r="A219" t="str">
            <v>Samoa</v>
          </cell>
        </row>
        <row r="220">
          <cell r="A220" t="str">
            <v>Sint Maarten</v>
          </cell>
        </row>
        <row r="221">
          <cell r="A221" t="str">
            <v>Northern Mariana Islands</v>
          </cell>
        </row>
        <row r="222">
          <cell r="A222" t="str">
            <v>St. BarthÃ©lemy</v>
          </cell>
        </row>
        <row r="223">
          <cell r="A223" t="str">
            <v>Turks &amp; Caicos Islands</v>
          </cell>
        </row>
        <row r="224">
          <cell r="A224" t="str">
            <v>St. Kitts &amp; Nevis</v>
          </cell>
        </row>
        <row r="225">
          <cell r="A225" t="str">
            <v>Western Sahara</v>
          </cell>
        </row>
        <row r="226">
          <cell r="A226" t="str">
            <v>Guam</v>
          </cell>
        </row>
        <row r="227">
          <cell r="A227" t="str">
            <v>Anguilla</v>
          </cell>
        </row>
        <row r="228">
          <cell r="A228" t="str">
            <v>American Samoa</v>
          </cell>
        </row>
        <row r="229">
          <cell r="A229" t="str">
            <v>Antarctica</v>
          </cell>
        </row>
        <row r="230">
          <cell r="A230" t="str">
            <v>French Southern Territories</v>
          </cell>
        </row>
        <row r="231">
          <cell r="A231" t="str">
            <v>Bouvet Island</v>
          </cell>
        </row>
        <row r="232">
          <cell r="A232" t="str">
            <v>Cocos (Keeling) Islands</v>
          </cell>
        </row>
        <row r="233">
          <cell r="A233" t="str">
            <v>Cook Islands</v>
          </cell>
        </row>
        <row r="234">
          <cell r="A234" t="str">
            <v>Comoros</v>
          </cell>
        </row>
        <row r="235">
          <cell r="A235" t="str">
            <v>Christmas Island</v>
          </cell>
        </row>
        <row r="236">
          <cell r="A236" t="str">
            <v>Eritrea</v>
          </cell>
        </row>
        <row r="237">
          <cell r="A237" t="str">
            <v>Falkland Islands (Islas Malvinas)</v>
          </cell>
        </row>
        <row r="238">
          <cell r="A238" t="str">
            <v>Heard &amp; McDonald Islands</v>
          </cell>
        </row>
        <row r="239">
          <cell r="A239" t="str">
            <v>British Indian Ocean Territory</v>
          </cell>
        </row>
        <row r="240">
          <cell r="A240" t="str">
            <v>Kiribati</v>
          </cell>
        </row>
        <row r="241">
          <cell r="A241" t="str">
            <v>Montserrat</v>
          </cell>
        </row>
        <row r="242">
          <cell r="A242" t="str">
            <v>Norfolk Island</v>
          </cell>
        </row>
        <row r="243">
          <cell r="A243" t="str">
            <v>Niue</v>
          </cell>
        </row>
        <row r="244">
          <cell r="A244" t="str">
            <v>Nauru</v>
          </cell>
        </row>
        <row r="245">
          <cell r="A245" t="str">
            <v>Pitcairn Islands</v>
          </cell>
        </row>
        <row r="246">
          <cell r="A246" t="str">
            <v>South Georgia &amp; South Sandwich Islands</v>
          </cell>
        </row>
        <row r="247">
          <cell r="A247" t="str">
            <v>Svalbard &amp; Jan Mayen</v>
          </cell>
        </row>
        <row r="248">
          <cell r="A248" t="str">
            <v>St. Pierre &amp; Miquelon</v>
          </cell>
        </row>
        <row r="249">
          <cell r="A249" t="str">
            <v>Tokelau</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1)"/>
    </sheetNames>
    <sheetDataSet>
      <sheetData sheetId="0" refreshError="1">
        <row r="1">
          <cell r="A1" t="str">
            <v>Kategori: TÃ¼m kategoriler</v>
          </cell>
        </row>
        <row r="3">
          <cell r="A3" t="str">
            <v>Ãœlke</v>
          </cell>
          <cell r="B3" t="str">
            <v>For dÃ¶ngÃ¼sÃ¼: (2018)</v>
          </cell>
          <cell r="C3" t="str">
            <v>YÄ±ÄŸÄ±n: (2018)</v>
          </cell>
        </row>
        <row r="4">
          <cell r="A4" t="str">
            <v>China</v>
          </cell>
          <cell r="B4">
            <v>0.51</v>
          </cell>
          <cell r="C4">
            <v>0.49</v>
          </cell>
        </row>
        <row r="5">
          <cell r="A5" t="str">
            <v>South Korea</v>
          </cell>
          <cell r="B5">
            <v>0.59</v>
          </cell>
          <cell r="C5">
            <v>0.41</v>
          </cell>
        </row>
        <row r="6">
          <cell r="A6" t="str">
            <v>Taiwan</v>
          </cell>
          <cell r="B6">
            <v>0.26</v>
          </cell>
          <cell r="C6">
            <v>0.74</v>
          </cell>
        </row>
        <row r="7">
          <cell r="A7" t="str">
            <v>St. Helena</v>
          </cell>
          <cell r="B7">
            <v>0.61</v>
          </cell>
          <cell r="C7">
            <v>0.39</v>
          </cell>
        </row>
        <row r="8">
          <cell r="A8" t="str">
            <v>Singapore</v>
          </cell>
          <cell r="B8">
            <v>0.52</v>
          </cell>
          <cell r="C8">
            <v>0.48</v>
          </cell>
        </row>
        <row r="9">
          <cell r="A9" t="str">
            <v>Hong Kong</v>
          </cell>
          <cell r="B9">
            <v>0.47</v>
          </cell>
          <cell r="C9">
            <v>0.53</v>
          </cell>
        </row>
        <row r="10">
          <cell r="A10" t="str">
            <v>Czechia</v>
          </cell>
          <cell r="B10">
            <v>0.16</v>
          </cell>
          <cell r="C10">
            <v>0.84</v>
          </cell>
        </row>
        <row r="11">
          <cell r="A11" t="str">
            <v>Iceland</v>
          </cell>
        </row>
        <row r="12">
          <cell r="A12" t="str">
            <v>Sri Lanka</v>
          </cell>
          <cell r="B12">
            <v>0.63</v>
          </cell>
          <cell r="C12">
            <v>0.37</v>
          </cell>
        </row>
        <row r="13">
          <cell r="A13" t="str">
            <v>Pakistan</v>
          </cell>
          <cell r="B13">
            <v>0.57999999999999996</v>
          </cell>
          <cell r="C13">
            <v>0.42</v>
          </cell>
        </row>
        <row r="14">
          <cell r="A14" t="str">
            <v>Luxembourg</v>
          </cell>
        </row>
        <row r="15">
          <cell r="A15" t="str">
            <v>Ethiopia</v>
          </cell>
        </row>
        <row r="16">
          <cell r="A16" t="str">
            <v>Cuba</v>
          </cell>
        </row>
        <row r="17">
          <cell r="A17" t="str">
            <v>Slovenia</v>
          </cell>
        </row>
        <row r="18">
          <cell r="A18" t="str">
            <v>Rwanda</v>
          </cell>
        </row>
        <row r="19">
          <cell r="A19" t="str">
            <v>Nepal</v>
          </cell>
        </row>
        <row r="20">
          <cell r="A20" t="str">
            <v>Slovakia</v>
          </cell>
        </row>
        <row r="21">
          <cell r="A21" t="str">
            <v>Angola</v>
          </cell>
        </row>
        <row r="22">
          <cell r="A22" t="str">
            <v>Israel</v>
          </cell>
          <cell r="B22">
            <v>0.52</v>
          </cell>
          <cell r="C22">
            <v>0.48</v>
          </cell>
        </row>
        <row r="23">
          <cell r="A23" t="str">
            <v>India</v>
          </cell>
          <cell r="B23">
            <v>0.56000000000000005</v>
          </cell>
          <cell r="C23">
            <v>0.44</v>
          </cell>
        </row>
        <row r="24">
          <cell r="A24" t="str">
            <v>Mauritius</v>
          </cell>
        </row>
        <row r="25">
          <cell r="A25" t="str">
            <v>Japan</v>
          </cell>
          <cell r="B25">
            <v>0.59</v>
          </cell>
          <cell r="C25">
            <v>0.41</v>
          </cell>
        </row>
        <row r="26">
          <cell r="A26" t="str">
            <v>Canada</v>
          </cell>
          <cell r="B26">
            <v>0.49</v>
          </cell>
          <cell r="C26">
            <v>0.51</v>
          </cell>
        </row>
        <row r="27">
          <cell r="A27" t="str">
            <v>New Zealand</v>
          </cell>
          <cell r="B27">
            <v>0.47</v>
          </cell>
          <cell r="C27">
            <v>0.53</v>
          </cell>
        </row>
        <row r="28">
          <cell r="A28" t="str">
            <v>Macao</v>
          </cell>
        </row>
        <row r="29">
          <cell r="A29" t="str">
            <v>Switzerland</v>
          </cell>
          <cell r="B29">
            <v>0.62</v>
          </cell>
          <cell r="C29">
            <v>0.38</v>
          </cell>
        </row>
        <row r="30">
          <cell r="A30" t="str">
            <v>North Macedonia</v>
          </cell>
        </row>
        <row r="31">
          <cell r="A31" t="str">
            <v>Lesotho</v>
          </cell>
        </row>
        <row r="32">
          <cell r="A32" t="str">
            <v>Philippines</v>
          </cell>
          <cell r="B32">
            <v>0.55000000000000004</v>
          </cell>
          <cell r="C32">
            <v>0.45</v>
          </cell>
        </row>
        <row r="33">
          <cell r="A33" t="str">
            <v>Armenia</v>
          </cell>
        </row>
        <row r="34">
          <cell r="A34" t="str">
            <v>United States</v>
          </cell>
          <cell r="B34">
            <v>0.49</v>
          </cell>
          <cell r="C34">
            <v>0.51</v>
          </cell>
        </row>
        <row r="35">
          <cell r="A35" t="str">
            <v>Australia</v>
          </cell>
          <cell r="B35">
            <v>0.45</v>
          </cell>
          <cell r="C35">
            <v>0.55000000000000004</v>
          </cell>
        </row>
        <row r="36">
          <cell r="A36" t="str">
            <v>Madagascar</v>
          </cell>
        </row>
        <row r="37">
          <cell r="A37" t="str">
            <v>Myanmar (Burma)</v>
          </cell>
        </row>
        <row r="38">
          <cell r="A38" t="str">
            <v>Estonia</v>
          </cell>
        </row>
        <row r="39">
          <cell r="A39" t="str">
            <v>Ireland</v>
          </cell>
          <cell r="B39">
            <v>0.49</v>
          </cell>
          <cell r="C39">
            <v>0.51</v>
          </cell>
        </row>
        <row r="40">
          <cell r="A40" t="str">
            <v>Sweden</v>
          </cell>
          <cell r="B40">
            <v>0.42</v>
          </cell>
          <cell r="C40">
            <v>0.57999999999999996</v>
          </cell>
        </row>
        <row r="41">
          <cell r="A41" t="str">
            <v>United Kingdom</v>
          </cell>
          <cell r="B41">
            <v>0.45</v>
          </cell>
          <cell r="C41">
            <v>0.55000000000000004</v>
          </cell>
        </row>
        <row r="42">
          <cell r="A42" t="str">
            <v>Bhutan</v>
          </cell>
        </row>
        <row r="43">
          <cell r="A43" t="str">
            <v>Netherlands</v>
          </cell>
          <cell r="B43">
            <v>0.44</v>
          </cell>
          <cell r="C43">
            <v>0.56000000000000005</v>
          </cell>
        </row>
        <row r="44">
          <cell r="A44" t="str">
            <v>Malta</v>
          </cell>
        </row>
        <row r="45">
          <cell r="A45" t="str">
            <v>Guam</v>
          </cell>
        </row>
        <row r="46">
          <cell r="A46" t="str">
            <v>Brunei</v>
          </cell>
        </row>
        <row r="47">
          <cell r="A47" t="str">
            <v>Finland</v>
          </cell>
          <cell r="B47">
            <v>0.49</v>
          </cell>
          <cell r="C47">
            <v>0.51</v>
          </cell>
        </row>
        <row r="48">
          <cell r="A48" t="str">
            <v>Botswana</v>
          </cell>
        </row>
        <row r="49">
          <cell r="A49" t="str">
            <v>Norway</v>
          </cell>
          <cell r="B49">
            <v>0.44</v>
          </cell>
          <cell r="C49">
            <v>0.56000000000000005</v>
          </cell>
        </row>
        <row r="50">
          <cell r="A50" t="str">
            <v>Fiji</v>
          </cell>
        </row>
        <row r="51">
          <cell r="A51" t="str">
            <v>Tunisia</v>
          </cell>
        </row>
        <row r="52">
          <cell r="A52" t="str">
            <v>Germany</v>
          </cell>
          <cell r="B52">
            <v>0.57999999999999996</v>
          </cell>
          <cell r="C52">
            <v>0.42</v>
          </cell>
        </row>
        <row r="53">
          <cell r="A53" t="str">
            <v>Malawi</v>
          </cell>
        </row>
        <row r="54">
          <cell r="A54" t="str">
            <v>Jamaica</v>
          </cell>
        </row>
        <row r="55">
          <cell r="A55" t="str">
            <v>Maldives</v>
          </cell>
        </row>
        <row r="56">
          <cell r="A56" t="str">
            <v>Belize</v>
          </cell>
        </row>
        <row r="57">
          <cell r="A57" t="str">
            <v>Bulgaria</v>
          </cell>
          <cell r="B57">
            <v>0.28999999999999998</v>
          </cell>
          <cell r="C57">
            <v>0.71</v>
          </cell>
        </row>
        <row r="58">
          <cell r="A58" t="str">
            <v>Serbia</v>
          </cell>
          <cell r="B58">
            <v>0.39</v>
          </cell>
          <cell r="C58">
            <v>0.61</v>
          </cell>
        </row>
        <row r="59">
          <cell r="A59" t="str">
            <v>Austria</v>
          </cell>
          <cell r="B59">
            <v>0.57999999999999996</v>
          </cell>
          <cell r="C59">
            <v>0.42</v>
          </cell>
        </row>
        <row r="60">
          <cell r="A60" t="str">
            <v>Zimbabwe</v>
          </cell>
        </row>
        <row r="61">
          <cell r="A61" t="str">
            <v>Cyprus</v>
          </cell>
        </row>
        <row r="62">
          <cell r="A62" t="str">
            <v>Bangladesh</v>
          </cell>
          <cell r="B62">
            <v>0.59</v>
          </cell>
          <cell r="C62">
            <v>0.41</v>
          </cell>
        </row>
        <row r="63">
          <cell r="A63" t="str">
            <v>Costa Rica</v>
          </cell>
        </row>
        <row r="64">
          <cell r="A64" t="str">
            <v>Portugal</v>
          </cell>
          <cell r="B64">
            <v>0.6</v>
          </cell>
          <cell r="C64">
            <v>0.4</v>
          </cell>
        </row>
        <row r="65">
          <cell r="A65" t="str">
            <v>South Africa</v>
          </cell>
          <cell r="B65">
            <v>0.53</v>
          </cell>
          <cell r="C65">
            <v>0.47</v>
          </cell>
        </row>
        <row r="66">
          <cell r="A66" t="str">
            <v>Denmark</v>
          </cell>
          <cell r="B66">
            <v>0.46</v>
          </cell>
          <cell r="C66">
            <v>0.54</v>
          </cell>
        </row>
        <row r="67">
          <cell r="A67" t="str">
            <v>Jersey</v>
          </cell>
        </row>
        <row r="68">
          <cell r="A68" t="str">
            <v>Guatemala</v>
          </cell>
        </row>
        <row r="69">
          <cell r="A69" t="str">
            <v>Isle of Man</v>
          </cell>
        </row>
        <row r="70">
          <cell r="A70" t="str">
            <v>Malaysia</v>
          </cell>
          <cell r="B70">
            <v>0.5</v>
          </cell>
          <cell r="C70">
            <v>0.5</v>
          </cell>
        </row>
        <row r="71">
          <cell r="A71" t="str">
            <v>Afghanistan</v>
          </cell>
        </row>
        <row r="72">
          <cell r="A72" t="str">
            <v>Barbados</v>
          </cell>
        </row>
        <row r="73">
          <cell r="A73" t="str">
            <v>Belarus</v>
          </cell>
          <cell r="B73">
            <v>0.46</v>
          </cell>
          <cell r="C73">
            <v>0.54</v>
          </cell>
        </row>
        <row r="74">
          <cell r="A74" t="str">
            <v>Lebanon</v>
          </cell>
        </row>
        <row r="75">
          <cell r="A75" t="str">
            <v>Papua New Guinea</v>
          </cell>
        </row>
        <row r="76">
          <cell r="A76" t="str">
            <v>Lithuania</v>
          </cell>
        </row>
        <row r="77">
          <cell r="A77" t="str">
            <v>Iran</v>
          </cell>
          <cell r="B77">
            <v>0.22</v>
          </cell>
          <cell r="C77">
            <v>0.78</v>
          </cell>
        </row>
        <row r="78">
          <cell r="A78" t="str">
            <v>Cambodia</v>
          </cell>
        </row>
        <row r="79">
          <cell r="A79" t="str">
            <v>Bosnia &amp; Herzegovina</v>
          </cell>
        </row>
        <row r="80">
          <cell r="A80" t="str">
            <v>El Salvador</v>
          </cell>
        </row>
        <row r="81">
          <cell r="A81" t="str">
            <v>Cameroon</v>
          </cell>
        </row>
        <row r="82">
          <cell r="A82" t="str">
            <v>United Arab Emirates</v>
          </cell>
          <cell r="B82">
            <v>0.47</v>
          </cell>
          <cell r="C82">
            <v>0.53</v>
          </cell>
        </row>
        <row r="83">
          <cell r="A83" t="str">
            <v>Romania</v>
          </cell>
          <cell r="B83">
            <v>0.3</v>
          </cell>
          <cell r="C83">
            <v>0.7</v>
          </cell>
        </row>
        <row r="84">
          <cell r="A84" t="str">
            <v>Honduras</v>
          </cell>
        </row>
        <row r="85">
          <cell r="A85" t="str">
            <v>Latvia</v>
          </cell>
        </row>
        <row r="86">
          <cell r="A86" t="str">
            <v>Mongolia</v>
          </cell>
        </row>
        <row r="87">
          <cell r="A87" t="str">
            <v>Croatia</v>
          </cell>
          <cell r="B87">
            <v>0.39</v>
          </cell>
          <cell r="C87">
            <v>0.61</v>
          </cell>
        </row>
        <row r="88">
          <cell r="A88" t="str">
            <v>Trinidad &amp; Tobago</v>
          </cell>
        </row>
        <row r="89">
          <cell r="A89" t="str">
            <v>Zambia</v>
          </cell>
        </row>
        <row r="90">
          <cell r="A90" t="str">
            <v>Montenegro</v>
          </cell>
        </row>
        <row r="91">
          <cell r="A91" t="str">
            <v>Qatar</v>
          </cell>
        </row>
        <row r="92">
          <cell r="A92" t="str">
            <v>Poland</v>
          </cell>
          <cell r="B92">
            <v>0.4</v>
          </cell>
          <cell r="C92">
            <v>0.6</v>
          </cell>
        </row>
        <row r="93">
          <cell r="A93" t="str">
            <v>Tanzania</v>
          </cell>
        </row>
        <row r="94">
          <cell r="A94" t="str">
            <v>France</v>
          </cell>
          <cell r="B94">
            <v>0.75</v>
          </cell>
          <cell r="C94">
            <v>0.25</v>
          </cell>
        </row>
        <row r="95">
          <cell r="A95" t="str">
            <v>Belgium</v>
          </cell>
          <cell r="B95">
            <v>0.52</v>
          </cell>
          <cell r="C95">
            <v>0.48</v>
          </cell>
        </row>
        <row r="96">
          <cell r="A96" t="str">
            <v>Ecuador</v>
          </cell>
        </row>
        <row r="97">
          <cell r="A97" t="str">
            <v>Russia</v>
          </cell>
          <cell r="B97">
            <v>0.49</v>
          </cell>
          <cell r="C97">
            <v>0.51</v>
          </cell>
        </row>
        <row r="98">
          <cell r="A98" t="str">
            <v>Ghana</v>
          </cell>
        </row>
        <row r="99">
          <cell r="A99" t="str">
            <v>Greece</v>
          </cell>
          <cell r="B99">
            <v>0.34</v>
          </cell>
          <cell r="C99">
            <v>0.66</v>
          </cell>
        </row>
        <row r="100">
          <cell r="A100" t="str">
            <v>Mexico</v>
          </cell>
          <cell r="B100">
            <v>0.73</v>
          </cell>
          <cell r="C100">
            <v>0.27</v>
          </cell>
        </row>
        <row r="101">
          <cell r="A101" t="str">
            <v>Colombia</v>
          </cell>
          <cell r="B101">
            <v>0.75</v>
          </cell>
          <cell r="C101">
            <v>0.25</v>
          </cell>
        </row>
        <row r="102">
          <cell r="A102" t="str">
            <v>Namibia</v>
          </cell>
        </row>
        <row r="103">
          <cell r="A103" t="str">
            <v>Kenya</v>
          </cell>
          <cell r="B103">
            <v>0.51</v>
          </cell>
          <cell r="C103">
            <v>0.49</v>
          </cell>
        </row>
        <row r="104">
          <cell r="A104" t="str">
            <v>Bahrain</v>
          </cell>
        </row>
        <row r="105">
          <cell r="A105" t="str">
            <v>Spain</v>
          </cell>
          <cell r="B105">
            <v>0.67</v>
          </cell>
          <cell r="C105">
            <v>0.33</v>
          </cell>
        </row>
        <row r="106">
          <cell r="A106" t="str">
            <v>Ukraine</v>
          </cell>
          <cell r="B106">
            <v>0.48</v>
          </cell>
          <cell r="C106">
            <v>0.52</v>
          </cell>
        </row>
        <row r="107">
          <cell r="A107" t="str">
            <v>Bolivia</v>
          </cell>
        </row>
        <row r="108">
          <cell r="A108" t="str">
            <v>Uganda</v>
          </cell>
        </row>
        <row r="109">
          <cell r="A109" t="str">
            <v>Senegal</v>
          </cell>
        </row>
        <row r="110">
          <cell r="A110" t="str">
            <v>Puerto Rico</v>
          </cell>
        </row>
        <row r="111">
          <cell r="A111" t="str">
            <v>Uruguay</v>
          </cell>
        </row>
        <row r="112">
          <cell r="A112" t="str">
            <v>Tajikistan</v>
          </cell>
        </row>
        <row r="113">
          <cell r="A113" t="str">
            <v>Chile</v>
          </cell>
          <cell r="B113">
            <v>0.69</v>
          </cell>
          <cell r="C113">
            <v>0.31</v>
          </cell>
        </row>
        <row r="114">
          <cell r="A114" t="str">
            <v>Panama</v>
          </cell>
        </row>
        <row r="115">
          <cell r="A115" t="str">
            <v>Kazakhstan</v>
          </cell>
          <cell r="B115">
            <v>0.57999999999999996</v>
          </cell>
          <cell r="C115">
            <v>0.42</v>
          </cell>
        </row>
        <row r="116">
          <cell r="A116" t="str">
            <v>Uzbekistan</v>
          </cell>
        </row>
        <row r="117">
          <cell r="A117" t="str">
            <v>Palestine</v>
          </cell>
        </row>
        <row r="118">
          <cell r="A118" t="str">
            <v>Moldova</v>
          </cell>
        </row>
        <row r="119">
          <cell r="A119" t="str">
            <v>Peru</v>
          </cell>
          <cell r="B119">
            <v>0.73</v>
          </cell>
          <cell r="C119">
            <v>0.27</v>
          </cell>
        </row>
        <row r="120">
          <cell r="A120" t="str">
            <v>Benin</v>
          </cell>
        </row>
        <row r="121">
          <cell r="A121" t="str">
            <v>Laos</v>
          </cell>
        </row>
        <row r="122">
          <cell r="A122" t="str">
            <v>Somalia</v>
          </cell>
        </row>
        <row r="123">
          <cell r="A123" t="str">
            <v>Albania</v>
          </cell>
        </row>
        <row r="124">
          <cell r="A124" t="str">
            <v>Hungary</v>
          </cell>
          <cell r="B124">
            <v>0.47</v>
          </cell>
          <cell r="C124">
            <v>0.53</v>
          </cell>
        </row>
        <row r="125">
          <cell r="A125" t="str">
            <v>Oman</v>
          </cell>
        </row>
        <row r="126">
          <cell r="A126" t="str">
            <v>Nicaragua</v>
          </cell>
        </row>
        <row r="127">
          <cell r="A127" t="str">
            <v>Kuwait</v>
          </cell>
        </row>
        <row r="128">
          <cell r="A128" t="str">
            <v>Morocco</v>
          </cell>
        </row>
        <row r="129">
          <cell r="A129" t="str">
            <v>Bahamas</v>
          </cell>
        </row>
        <row r="130">
          <cell r="A130" t="str">
            <v>Nigeria</v>
          </cell>
          <cell r="B130">
            <v>0.47</v>
          </cell>
          <cell r="C130">
            <v>0.53</v>
          </cell>
        </row>
        <row r="131">
          <cell r="A131" t="str">
            <v>Azerbaijan</v>
          </cell>
        </row>
        <row r="132">
          <cell r="A132" t="str">
            <v>Jordan</v>
          </cell>
        </row>
        <row r="133">
          <cell r="A133" t="str">
            <v>Thailand</v>
          </cell>
          <cell r="B133">
            <v>0.42</v>
          </cell>
          <cell r="C133">
            <v>0.57999999999999996</v>
          </cell>
        </row>
        <row r="134">
          <cell r="A134" t="str">
            <v>Kosovo</v>
          </cell>
        </row>
        <row r="135">
          <cell r="A135" t="str">
            <v>Mozambique</v>
          </cell>
        </row>
        <row r="136">
          <cell r="A136" t="str">
            <v>Italy</v>
          </cell>
          <cell r="B136">
            <v>0.52</v>
          </cell>
          <cell r="C136">
            <v>0.48</v>
          </cell>
        </row>
        <row r="137">
          <cell r="A137" t="str">
            <v>Paraguay</v>
          </cell>
        </row>
        <row r="138">
          <cell r="A138" t="str">
            <v>Georgia</v>
          </cell>
        </row>
        <row r="139">
          <cell r="A139" t="str">
            <v>Sudan</v>
          </cell>
        </row>
        <row r="140">
          <cell r="A140" t="str">
            <v>CÃ´te dâ€™Ivoire</v>
          </cell>
        </row>
        <row r="141">
          <cell r="A141" t="str">
            <v>Egypt</v>
          </cell>
          <cell r="B141">
            <v>0.5</v>
          </cell>
          <cell r="C141">
            <v>0.5</v>
          </cell>
        </row>
        <row r="142">
          <cell r="A142" t="str">
            <v>Vietnam</v>
          </cell>
          <cell r="B142">
            <v>0.32</v>
          </cell>
          <cell r="C142">
            <v>0.68</v>
          </cell>
        </row>
        <row r="143">
          <cell r="A143" t="str">
            <v>Dominican Republic</v>
          </cell>
        </row>
        <row r="144">
          <cell r="A144" t="str">
            <v>Guyana</v>
          </cell>
        </row>
        <row r="145">
          <cell r="A145" t="str">
            <v>Argentina</v>
          </cell>
          <cell r="B145">
            <v>0.66</v>
          </cell>
          <cell r="C145">
            <v>0.34</v>
          </cell>
        </row>
        <row r="146">
          <cell r="A146" t="str">
            <v>Kyrgyzstan</v>
          </cell>
        </row>
        <row r="147">
          <cell r="A147" t="str">
            <v>Turkey</v>
          </cell>
          <cell r="B147">
            <v>0.6</v>
          </cell>
          <cell r="C147">
            <v>0.4</v>
          </cell>
        </row>
        <row r="148">
          <cell r="A148" t="str">
            <v>Indonesia</v>
          </cell>
          <cell r="B148">
            <v>0.23</v>
          </cell>
          <cell r="C148">
            <v>0.77</v>
          </cell>
        </row>
        <row r="149">
          <cell r="A149" t="str">
            <v>Brazil</v>
          </cell>
          <cell r="B149">
            <v>0.62</v>
          </cell>
          <cell r="C149">
            <v>0.38</v>
          </cell>
        </row>
        <row r="150">
          <cell r="A150" t="str">
            <v>Saudi Arabia</v>
          </cell>
          <cell r="B150">
            <v>0.4</v>
          </cell>
          <cell r="C150">
            <v>0.6</v>
          </cell>
        </row>
        <row r="151">
          <cell r="A151" t="str">
            <v>RÃ©union</v>
          </cell>
        </row>
        <row r="152">
          <cell r="A152" t="str">
            <v>Congo - Kinshasa</v>
          </cell>
        </row>
        <row r="153">
          <cell r="A153" t="str">
            <v>Libya</v>
          </cell>
        </row>
        <row r="154">
          <cell r="A154" t="str">
            <v>Algeria</v>
          </cell>
        </row>
        <row r="155">
          <cell r="A155" t="str">
            <v>Syria</v>
          </cell>
        </row>
        <row r="156">
          <cell r="A156" t="str">
            <v>Yemen</v>
          </cell>
        </row>
        <row r="157">
          <cell r="A157" t="str">
            <v>Iraq</v>
          </cell>
        </row>
        <row r="158">
          <cell r="A158" t="str">
            <v>Venezuela</v>
          </cell>
        </row>
        <row r="159">
          <cell r="A159" t="str">
            <v>North Korea</v>
          </cell>
        </row>
        <row r="160">
          <cell r="A160" t="str">
            <v>Marshall Islands</v>
          </cell>
        </row>
        <row r="161">
          <cell r="A161" t="str">
            <v>St. Pierre &amp; Miquelon</v>
          </cell>
        </row>
        <row r="162">
          <cell r="A162" t="str">
            <v>Vanuatu</v>
          </cell>
        </row>
        <row r="163">
          <cell r="A163" t="str">
            <v>Tonga</v>
          </cell>
        </row>
        <row r="164">
          <cell r="A164" t="str">
            <v>Anguilla</v>
          </cell>
        </row>
        <row r="165">
          <cell r="A165" t="str">
            <v>San Marino</v>
          </cell>
        </row>
        <row r="166">
          <cell r="A166" t="str">
            <v>Equatorial Guinea</v>
          </cell>
        </row>
        <row r="167">
          <cell r="A167" t="str">
            <v>Dominica</v>
          </cell>
        </row>
        <row r="168">
          <cell r="A168" t="str">
            <v>Faroe Islands</v>
          </cell>
        </row>
        <row r="169">
          <cell r="A169" t="str">
            <v>St. Martin</v>
          </cell>
        </row>
        <row r="170">
          <cell r="A170" t="str">
            <v>Liechtenstein</v>
          </cell>
        </row>
        <row r="171">
          <cell r="A171" t="str">
            <v>Ã…land Islands</v>
          </cell>
        </row>
        <row r="172">
          <cell r="A172" t="str">
            <v>Burundi</v>
          </cell>
        </row>
        <row r="173">
          <cell r="A173" t="str">
            <v>Turks &amp; Caicos Islands</v>
          </cell>
        </row>
        <row r="174">
          <cell r="A174" t="str">
            <v>Gibraltar</v>
          </cell>
        </row>
        <row r="175">
          <cell r="A175" t="str">
            <v>Cayman Islands</v>
          </cell>
        </row>
        <row r="176">
          <cell r="A176" t="str">
            <v>British Virgin Islands</v>
          </cell>
        </row>
        <row r="177">
          <cell r="A177" t="str">
            <v>Samoa</v>
          </cell>
        </row>
        <row r="178">
          <cell r="A178" t="str">
            <v>Eswatini</v>
          </cell>
        </row>
        <row r="179">
          <cell r="A179" t="str">
            <v>Caribbean Netherlands</v>
          </cell>
        </row>
        <row r="180">
          <cell r="A180" t="str">
            <v>CuraÃ§ao</v>
          </cell>
        </row>
        <row r="181">
          <cell r="A181" t="str">
            <v>Togo</v>
          </cell>
        </row>
        <row r="182">
          <cell r="A182" t="str">
            <v>Monaco</v>
          </cell>
        </row>
        <row r="183">
          <cell r="A183" t="str">
            <v>Guernsey</v>
          </cell>
        </row>
        <row r="184">
          <cell r="A184" t="str">
            <v>Northern Mariana Islands</v>
          </cell>
        </row>
        <row r="185">
          <cell r="A185" t="str">
            <v>U.S. Virgin Islands</v>
          </cell>
        </row>
        <row r="186">
          <cell r="A186" t="str">
            <v>Gambia</v>
          </cell>
        </row>
        <row r="187">
          <cell r="A187" t="str">
            <v>Andorra</v>
          </cell>
        </row>
        <row r="188">
          <cell r="A188" t="str">
            <v>Gabon</v>
          </cell>
        </row>
        <row r="189">
          <cell r="A189" t="str">
            <v>Antigua &amp; Barbuda</v>
          </cell>
        </row>
        <row r="190">
          <cell r="A190" t="str">
            <v>St. Kitts &amp; Nevis</v>
          </cell>
        </row>
        <row r="191">
          <cell r="A191" t="str">
            <v>Greenland</v>
          </cell>
        </row>
        <row r="192">
          <cell r="A192" t="str">
            <v>French Polynesia</v>
          </cell>
        </row>
        <row r="193">
          <cell r="A193" t="str">
            <v>Timor-Leste</v>
          </cell>
        </row>
        <row r="194">
          <cell r="A194" t="str">
            <v>South Sudan</v>
          </cell>
        </row>
        <row r="195">
          <cell r="A195" t="str">
            <v>Cape Verde</v>
          </cell>
        </row>
        <row r="196">
          <cell r="A196" t="str">
            <v>Djibouti</v>
          </cell>
        </row>
        <row r="197">
          <cell r="A197" t="str">
            <v>Sint Maarten</v>
          </cell>
        </row>
        <row r="198">
          <cell r="A198" t="str">
            <v>St. Lucia</v>
          </cell>
        </row>
        <row r="199">
          <cell r="A199" t="str">
            <v>Mayotte</v>
          </cell>
        </row>
        <row r="200">
          <cell r="A200" t="str">
            <v>Seychelles</v>
          </cell>
        </row>
        <row r="201">
          <cell r="A201" t="str">
            <v>Aruba</v>
          </cell>
        </row>
        <row r="202">
          <cell r="A202" t="str">
            <v>Haiti</v>
          </cell>
        </row>
        <row r="203">
          <cell r="A203" t="str">
            <v>St. Vincent &amp; Grenadines</v>
          </cell>
        </row>
        <row r="204">
          <cell r="A204" t="str">
            <v>Mauritania</v>
          </cell>
        </row>
        <row r="205">
          <cell r="A205" t="str">
            <v>Turkmenistan</v>
          </cell>
        </row>
        <row r="206">
          <cell r="A206" t="str">
            <v>Niger</v>
          </cell>
        </row>
        <row r="207">
          <cell r="A207" t="str">
            <v>Chad</v>
          </cell>
        </row>
        <row r="208">
          <cell r="A208" t="str">
            <v>Martinique</v>
          </cell>
        </row>
        <row r="209">
          <cell r="A209" t="str">
            <v>Bermuda</v>
          </cell>
        </row>
        <row r="210">
          <cell r="A210" t="str">
            <v>Congo - Brazzaville</v>
          </cell>
        </row>
        <row r="211">
          <cell r="A211" t="str">
            <v>Western Sahara</v>
          </cell>
        </row>
        <row r="212">
          <cell r="A212" t="str">
            <v>Grenada</v>
          </cell>
        </row>
        <row r="213">
          <cell r="A213" t="str">
            <v>Suriname</v>
          </cell>
        </row>
        <row r="214">
          <cell r="A214" t="str">
            <v>French Guiana</v>
          </cell>
        </row>
        <row r="215">
          <cell r="A215" t="str">
            <v>Sierra Leone</v>
          </cell>
        </row>
        <row r="216">
          <cell r="A216" t="str">
            <v>Mali</v>
          </cell>
        </row>
        <row r="217">
          <cell r="A217" t="str">
            <v>Guinea</v>
          </cell>
        </row>
        <row r="218">
          <cell r="A218" t="str">
            <v>Guadeloupe</v>
          </cell>
        </row>
        <row r="219">
          <cell r="A219" t="str">
            <v>New Caledonia</v>
          </cell>
        </row>
        <row r="220">
          <cell r="A220" t="str">
            <v>Liberia</v>
          </cell>
        </row>
        <row r="221">
          <cell r="A221" t="str">
            <v>Burkina Faso</v>
          </cell>
        </row>
        <row r="222">
          <cell r="A222" t="str">
            <v>American Samoa</v>
          </cell>
        </row>
        <row r="223">
          <cell r="A223" t="str">
            <v>Antarctica</v>
          </cell>
        </row>
        <row r="224">
          <cell r="A224" t="str">
            <v>French Southern Territories</v>
          </cell>
        </row>
        <row r="225">
          <cell r="A225" t="str">
            <v>St. BarthÃ©lemy</v>
          </cell>
        </row>
        <row r="226">
          <cell r="A226" t="str">
            <v>Bouvet Island</v>
          </cell>
        </row>
        <row r="227">
          <cell r="A227" t="str">
            <v>Central African Republic</v>
          </cell>
        </row>
        <row r="228">
          <cell r="A228" t="str">
            <v>Cocos (Keeling) Islands</v>
          </cell>
        </row>
        <row r="229">
          <cell r="A229" t="str">
            <v>Cook Islands</v>
          </cell>
        </row>
        <row r="230">
          <cell r="A230" t="str">
            <v>Comoros</v>
          </cell>
        </row>
        <row r="231">
          <cell r="A231" t="str">
            <v>Christmas Island</v>
          </cell>
        </row>
        <row r="232">
          <cell r="A232" t="str">
            <v>Eritrea</v>
          </cell>
        </row>
        <row r="233">
          <cell r="A233" t="str">
            <v>Falkland Islands (Islas Malvinas)</v>
          </cell>
        </row>
        <row r="234">
          <cell r="A234" t="str">
            <v>Micronesia</v>
          </cell>
        </row>
        <row r="235">
          <cell r="A235" t="str">
            <v>Guinea-Bissau</v>
          </cell>
        </row>
        <row r="236">
          <cell r="A236" t="str">
            <v>Heard &amp; McDonald Islands</v>
          </cell>
        </row>
        <row r="237">
          <cell r="A237" t="str">
            <v>British Indian Ocean Territory</v>
          </cell>
        </row>
        <row r="238">
          <cell r="A238" t="str">
            <v>Kiribati</v>
          </cell>
        </row>
        <row r="239">
          <cell r="A239" t="str">
            <v>Montserrat</v>
          </cell>
        </row>
        <row r="240">
          <cell r="A240" t="str">
            <v>Norfolk Island</v>
          </cell>
        </row>
        <row r="241">
          <cell r="A241" t="str">
            <v>Niue</v>
          </cell>
        </row>
        <row r="242">
          <cell r="A242" t="str">
            <v>Nauru</v>
          </cell>
        </row>
        <row r="243">
          <cell r="A243" t="str">
            <v>Pitcairn Islands</v>
          </cell>
        </row>
        <row r="244">
          <cell r="A244" t="str">
            <v>Palau</v>
          </cell>
        </row>
        <row r="245">
          <cell r="A245" t="str">
            <v>South Georgia &amp; South Sandwich Islands</v>
          </cell>
        </row>
        <row r="246">
          <cell r="A246" t="str">
            <v>Svalbard &amp; Jan Mayen</v>
          </cell>
        </row>
        <row r="247">
          <cell r="A247" t="str">
            <v>Solomon Islands</v>
          </cell>
        </row>
        <row r="248">
          <cell r="A248" t="str">
            <v>SÃ£o TomÃ© &amp; PrÃ­ncipe</v>
          </cell>
        </row>
        <row r="249">
          <cell r="A249" t="str">
            <v>Tokelau</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2)"/>
    </sheetNames>
    <sheetDataSet>
      <sheetData sheetId="0" refreshError="1">
        <row r="1">
          <cell r="A1" t="str">
            <v>Kategori: TÃ¼m kategoriler</v>
          </cell>
        </row>
        <row r="3">
          <cell r="A3" t="str">
            <v>Ãœlke</v>
          </cell>
          <cell r="B3" t="str">
            <v>YÄ±ÄŸÄ±n: (2018)</v>
          </cell>
          <cell r="C3" t="str">
            <v>DÃ¼zenli ifade: (2018)</v>
          </cell>
        </row>
        <row r="4">
          <cell r="A4" t="str">
            <v>China</v>
          </cell>
          <cell r="B4">
            <v>0.33</v>
          </cell>
          <cell r="C4">
            <v>0.67</v>
          </cell>
        </row>
        <row r="5">
          <cell r="A5" t="str">
            <v>St. Helena</v>
          </cell>
          <cell r="B5">
            <v>0.33</v>
          </cell>
          <cell r="C5">
            <v>0.67</v>
          </cell>
        </row>
        <row r="6">
          <cell r="A6" t="str">
            <v>Taiwan</v>
          </cell>
          <cell r="B6">
            <v>0.8</v>
          </cell>
          <cell r="C6">
            <v>0.2</v>
          </cell>
        </row>
        <row r="7">
          <cell r="A7" t="str">
            <v>South Korea</v>
          </cell>
          <cell r="B7">
            <v>0.5</v>
          </cell>
          <cell r="C7">
            <v>0.5</v>
          </cell>
        </row>
        <row r="8">
          <cell r="A8" t="str">
            <v>Hong Kong</v>
          </cell>
          <cell r="B8">
            <v>0.63</v>
          </cell>
          <cell r="C8">
            <v>0.37</v>
          </cell>
        </row>
        <row r="9">
          <cell r="A9" t="str">
            <v>Singapore</v>
          </cell>
          <cell r="B9">
            <v>0.56999999999999995</v>
          </cell>
          <cell r="C9">
            <v>0.43</v>
          </cell>
        </row>
        <row r="10">
          <cell r="A10" t="str">
            <v>Israel</v>
          </cell>
          <cell r="B10">
            <v>0.39</v>
          </cell>
          <cell r="C10">
            <v>0.61</v>
          </cell>
        </row>
        <row r="11">
          <cell r="A11" t="str">
            <v>Czechia</v>
          </cell>
          <cell r="B11">
            <v>0.62</v>
          </cell>
          <cell r="C11">
            <v>0.38</v>
          </cell>
        </row>
        <row r="12">
          <cell r="A12" t="str">
            <v>Luxembourg</v>
          </cell>
        </row>
        <row r="13">
          <cell r="A13" t="str">
            <v>Estonia</v>
          </cell>
        </row>
        <row r="14">
          <cell r="A14" t="str">
            <v>Ethiopia</v>
          </cell>
        </row>
        <row r="15">
          <cell r="A15" t="str">
            <v>Slovenia</v>
          </cell>
          <cell r="B15">
            <v>0.65</v>
          </cell>
          <cell r="C15">
            <v>0.35</v>
          </cell>
        </row>
        <row r="16">
          <cell r="A16" t="str">
            <v>Japan</v>
          </cell>
          <cell r="B16">
            <v>0.38</v>
          </cell>
          <cell r="C16">
            <v>0.62</v>
          </cell>
        </row>
        <row r="17">
          <cell r="A17" t="str">
            <v>Slovakia</v>
          </cell>
          <cell r="B17">
            <v>0.66</v>
          </cell>
          <cell r="C17">
            <v>0.34</v>
          </cell>
        </row>
        <row r="18">
          <cell r="A18" t="str">
            <v>Angola</v>
          </cell>
        </row>
        <row r="19">
          <cell r="A19" t="str">
            <v>Armenia</v>
          </cell>
        </row>
        <row r="20">
          <cell r="A20" t="str">
            <v>Belarus</v>
          </cell>
          <cell r="B20">
            <v>0.36</v>
          </cell>
          <cell r="C20">
            <v>0.64</v>
          </cell>
        </row>
        <row r="21">
          <cell r="A21" t="str">
            <v>Switzerland</v>
          </cell>
          <cell r="B21">
            <v>0.36</v>
          </cell>
          <cell r="C21">
            <v>0.64</v>
          </cell>
        </row>
        <row r="22">
          <cell r="A22" t="str">
            <v>Canada</v>
          </cell>
          <cell r="B22">
            <v>0.56000000000000005</v>
          </cell>
          <cell r="C22">
            <v>0.44</v>
          </cell>
        </row>
        <row r="23">
          <cell r="A23" t="str">
            <v>Cuba</v>
          </cell>
        </row>
        <row r="24">
          <cell r="A24" t="str">
            <v>New Zealand</v>
          </cell>
          <cell r="B24">
            <v>0.56000000000000005</v>
          </cell>
          <cell r="C24">
            <v>0.44</v>
          </cell>
        </row>
        <row r="25">
          <cell r="A25" t="str">
            <v>Macao</v>
          </cell>
        </row>
        <row r="26">
          <cell r="A26" t="str">
            <v>North Macedonia</v>
          </cell>
        </row>
        <row r="27">
          <cell r="A27" t="str">
            <v>United States</v>
          </cell>
          <cell r="B27">
            <v>0.56999999999999995</v>
          </cell>
          <cell r="C27">
            <v>0.43</v>
          </cell>
        </row>
        <row r="28">
          <cell r="A28" t="str">
            <v>Madagascar</v>
          </cell>
        </row>
        <row r="29">
          <cell r="A29" t="str">
            <v>Australia</v>
          </cell>
          <cell r="B29">
            <v>0.56999999999999995</v>
          </cell>
          <cell r="C29">
            <v>0.43</v>
          </cell>
        </row>
        <row r="30">
          <cell r="A30" t="str">
            <v>Gibraltar</v>
          </cell>
        </row>
        <row r="31">
          <cell r="A31" t="str">
            <v>Sweden</v>
          </cell>
          <cell r="B31">
            <v>0.49</v>
          </cell>
          <cell r="C31">
            <v>0.51</v>
          </cell>
        </row>
        <row r="32">
          <cell r="A32" t="str">
            <v>Iceland</v>
          </cell>
        </row>
        <row r="33">
          <cell r="A33" t="str">
            <v>Pakistan</v>
          </cell>
          <cell r="B33">
            <v>0.61</v>
          </cell>
          <cell r="C33">
            <v>0.39</v>
          </cell>
        </row>
        <row r="34">
          <cell r="A34" t="str">
            <v>Ireland</v>
          </cell>
          <cell r="B34">
            <v>0.51</v>
          </cell>
          <cell r="C34">
            <v>0.49</v>
          </cell>
        </row>
        <row r="35">
          <cell r="A35" t="str">
            <v>United Kingdom</v>
          </cell>
          <cell r="B35">
            <v>0.57999999999999996</v>
          </cell>
          <cell r="C35">
            <v>0.42</v>
          </cell>
        </row>
        <row r="36">
          <cell r="A36" t="str">
            <v>Germany</v>
          </cell>
          <cell r="B36">
            <v>0.39</v>
          </cell>
          <cell r="C36">
            <v>0.61</v>
          </cell>
        </row>
        <row r="37">
          <cell r="A37" t="str">
            <v>Malta</v>
          </cell>
        </row>
        <row r="38">
          <cell r="A38" t="str">
            <v>India</v>
          </cell>
          <cell r="B38">
            <v>0.54</v>
          </cell>
          <cell r="C38">
            <v>0.46</v>
          </cell>
        </row>
        <row r="39">
          <cell r="A39" t="str">
            <v>Latvia</v>
          </cell>
        </row>
        <row r="40">
          <cell r="A40" t="str">
            <v>Philippines</v>
          </cell>
          <cell r="B40">
            <v>0.66</v>
          </cell>
          <cell r="C40">
            <v>0.34</v>
          </cell>
        </row>
        <row r="41">
          <cell r="A41" t="str">
            <v>Lesotho</v>
          </cell>
        </row>
        <row r="42">
          <cell r="A42" t="str">
            <v>Netherlands</v>
          </cell>
          <cell r="B42">
            <v>0.51</v>
          </cell>
          <cell r="C42">
            <v>0.49</v>
          </cell>
        </row>
        <row r="43">
          <cell r="A43" t="str">
            <v>Bulgaria</v>
          </cell>
          <cell r="B43">
            <v>0.47</v>
          </cell>
          <cell r="C43">
            <v>0.53</v>
          </cell>
        </row>
        <row r="44">
          <cell r="A44" t="str">
            <v>Finland</v>
          </cell>
          <cell r="B44">
            <v>0.49</v>
          </cell>
          <cell r="C44">
            <v>0.51</v>
          </cell>
        </row>
        <row r="45">
          <cell r="A45" t="str">
            <v>Austria</v>
          </cell>
          <cell r="B45">
            <v>0.4</v>
          </cell>
          <cell r="C45">
            <v>0.6</v>
          </cell>
        </row>
        <row r="46">
          <cell r="A46" t="str">
            <v>Guam</v>
          </cell>
        </row>
        <row r="47">
          <cell r="A47" t="str">
            <v>Brunei</v>
          </cell>
        </row>
        <row r="48">
          <cell r="A48" t="str">
            <v>Rwanda</v>
          </cell>
        </row>
        <row r="49">
          <cell r="A49" t="str">
            <v>Lithuania</v>
          </cell>
          <cell r="B49">
            <v>0.44</v>
          </cell>
          <cell r="C49">
            <v>0.56000000000000005</v>
          </cell>
        </row>
        <row r="50">
          <cell r="A50" t="str">
            <v>Sri Lanka</v>
          </cell>
          <cell r="B50">
            <v>0.55000000000000004</v>
          </cell>
          <cell r="C50">
            <v>0.45</v>
          </cell>
        </row>
        <row r="51">
          <cell r="A51" t="str">
            <v>Norway</v>
          </cell>
          <cell r="B51">
            <v>0.5</v>
          </cell>
          <cell r="C51">
            <v>0.5</v>
          </cell>
        </row>
        <row r="52">
          <cell r="A52" t="str">
            <v>Ukraine</v>
          </cell>
          <cell r="B52">
            <v>0.37</v>
          </cell>
          <cell r="C52">
            <v>0.63</v>
          </cell>
        </row>
        <row r="53">
          <cell r="A53" t="str">
            <v>Malawi</v>
          </cell>
        </row>
        <row r="54">
          <cell r="A54" t="str">
            <v>Denmark</v>
          </cell>
          <cell r="B54">
            <v>0.48</v>
          </cell>
          <cell r="C54">
            <v>0.52</v>
          </cell>
        </row>
        <row r="55">
          <cell r="A55" t="str">
            <v>Russia</v>
          </cell>
          <cell r="B55">
            <v>0.4</v>
          </cell>
          <cell r="C55">
            <v>0.6</v>
          </cell>
        </row>
        <row r="56">
          <cell r="A56" t="str">
            <v>Nepal</v>
          </cell>
        </row>
        <row r="57">
          <cell r="A57" t="str">
            <v>Myanmar (Burma)</v>
          </cell>
        </row>
        <row r="58">
          <cell r="A58" t="str">
            <v>Hungary</v>
          </cell>
          <cell r="B58">
            <v>0.33</v>
          </cell>
          <cell r="C58">
            <v>0.67</v>
          </cell>
        </row>
        <row r="59">
          <cell r="A59" t="str">
            <v>Serbia</v>
          </cell>
          <cell r="B59">
            <v>0.54</v>
          </cell>
          <cell r="C59">
            <v>0.46</v>
          </cell>
        </row>
        <row r="60">
          <cell r="A60" t="str">
            <v>Mauritius</v>
          </cell>
        </row>
        <row r="61">
          <cell r="A61" t="str">
            <v>Jersey</v>
          </cell>
        </row>
        <row r="62">
          <cell r="A62" t="str">
            <v>Cyprus</v>
          </cell>
        </row>
        <row r="63">
          <cell r="A63" t="str">
            <v>Belgium</v>
          </cell>
          <cell r="B63">
            <v>0.42</v>
          </cell>
          <cell r="C63">
            <v>0.57999999999999996</v>
          </cell>
        </row>
        <row r="64">
          <cell r="A64" t="str">
            <v>Isle of Man</v>
          </cell>
        </row>
        <row r="65">
          <cell r="A65" t="str">
            <v>Portugal</v>
          </cell>
          <cell r="B65">
            <v>0.42</v>
          </cell>
          <cell r="C65">
            <v>0.57999999999999996</v>
          </cell>
        </row>
        <row r="66">
          <cell r="A66" t="str">
            <v>Malaysia</v>
          </cell>
          <cell r="B66">
            <v>0.69</v>
          </cell>
          <cell r="C66">
            <v>0.31</v>
          </cell>
        </row>
        <row r="67">
          <cell r="A67" t="str">
            <v>Afghanistan</v>
          </cell>
        </row>
        <row r="68">
          <cell r="A68" t="str">
            <v>South Africa</v>
          </cell>
          <cell r="B68">
            <v>0.62</v>
          </cell>
          <cell r="C68">
            <v>0.38</v>
          </cell>
        </row>
        <row r="69">
          <cell r="A69" t="str">
            <v>Poland</v>
          </cell>
          <cell r="B69">
            <v>0.46</v>
          </cell>
          <cell r="C69">
            <v>0.54</v>
          </cell>
        </row>
        <row r="70">
          <cell r="A70" t="str">
            <v>Iran</v>
          </cell>
          <cell r="B70">
            <v>0.76</v>
          </cell>
          <cell r="C70">
            <v>0.24</v>
          </cell>
        </row>
        <row r="71">
          <cell r="A71" t="str">
            <v>France</v>
          </cell>
          <cell r="B71">
            <v>0.23</v>
          </cell>
          <cell r="C71">
            <v>0.77</v>
          </cell>
        </row>
        <row r="72">
          <cell r="A72" t="str">
            <v>Bosnia &amp; Herzegovina</v>
          </cell>
        </row>
        <row r="73">
          <cell r="A73" t="str">
            <v>United Arab Emirates</v>
          </cell>
          <cell r="B73">
            <v>0.64</v>
          </cell>
          <cell r="C73">
            <v>0.36</v>
          </cell>
        </row>
        <row r="74">
          <cell r="A74" t="str">
            <v>Botswana</v>
          </cell>
        </row>
        <row r="75">
          <cell r="A75" t="str">
            <v>Romania</v>
          </cell>
          <cell r="B75">
            <v>0.5</v>
          </cell>
          <cell r="C75">
            <v>0.5</v>
          </cell>
        </row>
        <row r="76">
          <cell r="A76" t="str">
            <v>Moldova</v>
          </cell>
        </row>
        <row r="77">
          <cell r="A77" t="str">
            <v>Mongolia</v>
          </cell>
        </row>
        <row r="78">
          <cell r="A78" t="str">
            <v>Croatia</v>
          </cell>
          <cell r="B78">
            <v>0.51</v>
          </cell>
          <cell r="C78">
            <v>0.49</v>
          </cell>
        </row>
        <row r="79">
          <cell r="A79" t="str">
            <v>Trinidad &amp; Tobago</v>
          </cell>
        </row>
        <row r="80">
          <cell r="A80" t="str">
            <v>Zambia</v>
          </cell>
        </row>
        <row r="81">
          <cell r="A81" t="str">
            <v>Montenegro</v>
          </cell>
        </row>
        <row r="82">
          <cell r="A82" t="str">
            <v>Qatar</v>
          </cell>
        </row>
        <row r="83">
          <cell r="A83" t="str">
            <v>Tanzania</v>
          </cell>
        </row>
        <row r="84">
          <cell r="A84" t="str">
            <v>Costa Rica</v>
          </cell>
        </row>
        <row r="85">
          <cell r="A85" t="str">
            <v>Maldives</v>
          </cell>
        </row>
        <row r="86">
          <cell r="A86" t="str">
            <v>Ghana</v>
          </cell>
        </row>
        <row r="87">
          <cell r="A87" t="str">
            <v>Greece</v>
          </cell>
          <cell r="B87">
            <v>0.64</v>
          </cell>
          <cell r="C87">
            <v>0.36</v>
          </cell>
        </row>
        <row r="88">
          <cell r="A88" t="str">
            <v>Jamaica</v>
          </cell>
        </row>
        <row r="89">
          <cell r="A89" t="str">
            <v>Bangladesh</v>
          </cell>
          <cell r="B89">
            <v>0.61</v>
          </cell>
          <cell r="C89">
            <v>0.39</v>
          </cell>
        </row>
        <row r="90">
          <cell r="A90" t="str">
            <v>Namibia</v>
          </cell>
        </row>
        <row r="91">
          <cell r="A91" t="str">
            <v>Bahrain</v>
          </cell>
        </row>
        <row r="92">
          <cell r="A92" t="str">
            <v>Zimbabwe</v>
          </cell>
        </row>
        <row r="93">
          <cell r="A93" t="str">
            <v>Kenya</v>
          </cell>
        </row>
        <row r="94">
          <cell r="A94" t="str">
            <v>Lebanon</v>
          </cell>
        </row>
        <row r="95">
          <cell r="A95" t="str">
            <v>Uganda</v>
          </cell>
        </row>
        <row r="96">
          <cell r="A96" t="str">
            <v>Papua New Guinea</v>
          </cell>
        </row>
        <row r="97">
          <cell r="A97" t="str">
            <v>Spain</v>
          </cell>
          <cell r="B97">
            <v>0.36</v>
          </cell>
          <cell r="C97">
            <v>0.64</v>
          </cell>
        </row>
        <row r="98">
          <cell r="A98" t="str">
            <v>Cambodia</v>
          </cell>
        </row>
        <row r="99">
          <cell r="A99" t="str">
            <v>Fiji</v>
          </cell>
        </row>
        <row r="100">
          <cell r="A100" t="str">
            <v>Uruguay</v>
          </cell>
        </row>
        <row r="101">
          <cell r="A101" t="str">
            <v>Tunisia</v>
          </cell>
        </row>
        <row r="102">
          <cell r="A102" t="str">
            <v>Somalia</v>
          </cell>
        </row>
        <row r="103">
          <cell r="A103" t="str">
            <v>Puerto Rico</v>
          </cell>
        </row>
        <row r="104">
          <cell r="A104" t="str">
            <v>Albania</v>
          </cell>
        </row>
        <row r="105">
          <cell r="A105" t="str">
            <v>Oman</v>
          </cell>
        </row>
        <row r="106">
          <cell r="A106" t="str">
            <v>Kuwait</v>
          </cell>
        </row>
        <row r="107">
          <cell r="A107" t="str">
            <v>Bahamas</v>
          </cell>
        </row>
        <row r="108">
          <cell r="A108" t="str">
            <v>Nigeria</v>
          </cell>
        </row>
        <row r="109">
          <cell r="A109" t="str">
            <v>Jordan</v>
          </cell>
        </row>
        <row r="110">
          <cell r="A110" t="str">
            <v>Laos</v>
          </cell>
        </row>
        <row r="111">
          <cell r="A111" t="str">
            <v>Thailand</v>
          </cell>
          <cell r="B111">
            <v>0.66</v>
          </cell>
          <cell r="C111">
            <v>0.34</v>
          </cell>
        </row>
        <row r="112">
          <cell r="A112" t="str">
            <v>Palestine</v>
          </cell>
        </row>
        <row r="113">
          <cell r="A113" t="str">
            <v>Vietnam</v>
          </cell>
          <cell r="B113">
            <v>0.48</v>
          </cell>
          <cell r="C113">
            <v>0.52</v>
          </cell>
        </row>
        <row r="114">
          <cell r="A114" t="str">
            <v>Kosovo</v>
          </cell>
        </row>
        <row r="115">
          <cell r="A115" t="str">
            <v>Senegal</v>
          </cell>
        </row>
        <row r="116">
          <cell r="A116" t="str">
            <v>Georgia</v>
          </cell>
        </row>
        <row r="117">
          <cell r="A117" t="str">
            <v>Uzbekistan</v>
          </cell>
        </row>
        <row r="118">
          <cell r="A118" t="str">
            <v>Italy</v>
          </cell>
          <cell r="B118">
            <v>0.51</v>
          </cell>
          <cell r="C118">
            <v>0.49</v>
          </cell>
        </row>
        <row r="119">
          <cell r="A119" t="str">
            <v>Kazakhstan</v>
          </cell>
          <cell r="B119">
            <v>0.53</v>
          </cell>
          <cell r="C119">
            <v>0.47</v>
          </cell>
        </row>
        <row r="120">
          <cell r="A120" t="str">
            <v>Sudan</v>
          </cell>
        </row>
        <row r="121">
          <cell r="A121" t="str">
            <v>Guatemala</v>
          </cell>
        </row>
        <row r="122">
          <cell r="A122" t="str">
            <v>Egypt</v>
          </cell>
          <cell r="B122">
            <v>0.57999999999999996</v>
          </cell>
          <cell r="C122">
            <v>0.42</v>
          </cell>
        </row>
        <row r="123">
          <cell r="A123" t="str">
            <v>Colombia</v>
          </cell>
          <cell r="B123">
            <v>0.38</v>
          </cell>
          <cell r="C123">
            <v>0.62</v>
          </cell>
        </row>
        <row r="124">
          <cell r="A124" t="str">
            <v>Indonesia</v>
          </cell>
          <cell r="B124">
            <v>0.69</v>
          </cell>
          <cell r="C124">
            <v>0.31</v>
          </cell>
        </row>
        <row r="125">
          <cell r="A125" t="str">
            <v>Kyrgyzstan</v>
          </cell>
        </row>
        <row r="126">
          <cell r="A126" t="str">
            <v>Morocco</v>
          </cell>
        </row>
        <row r="127">
          <cell r="A127" t="str">
            <v>Chile</v>
          </cell>
          <cell r="B127">
            <v>0.43</v>
          </cell>
          <cell r="C127">
            <v>0.56999999999999995</v>
          </cell>
        </row>
        <row r="128">
          <cell r="A128" t="str">
            <v>Mexico</v>
          </cell>
          <cell r="B128">
            <v>0.43</v>
          </cell>
          <cell r="C128">
            <v>0.56999999999999995</v>
          </cell>
        </row>
        <row r="129">
          <cell r="A129" t="str">
            <v>Nicaragua</v>
          </cell>
        </row>
        <row r="130">
          <cell r="A130" t="str">
            <v>Azerbaijan</v>
          </cell>
        </row>
        <row r="131">
          <cell r="A131" t="str">
            <v>Brazil</v>
          </cell>
          <cell r="B131">
            <v>0.39</v>
          </cell>
          <cell r="C131">
            <v>0.61</v>
          </cell>
        </row>
        <row r="132">
          <cell r="A132" t="str">
            <v>Mozambique</v>
          </cell>
        </row>
        <row r="133">
          <cell r="A133" t="str">
            <v>Panama</v>
          </cell>
        </row>
        <row r="134">
          <cell r="A134" t="str">
            <v>Argentina</v>
          </cell>
          <cell r="B134">
            <v>0.37</v>
          </cell>
          <cell r="C134">
            <v>0.63</v>
          </cell>
        </row>
        <row r="135">
          <cell r="A135" t="str">
            <v>El Salvador</v>
          </cell>
        </row>
        <row r="136">
          <cell r="A136" t="str">
            <v>Saudi Arabia</v>
          </cell>
          <cell r="B136">
            <v>0.68</v>
          </cell>
          <cell r="C136">
            <v>0.32</v>
          </cell>
        </row>
        <row r="137">
          <cell r="A137" t="str">
            <v>Libya</v>
          </cell>
        </row>
        <row r="138">
          <cell r="A138" t="str">
            <v>Cameroon</v>
          </cell>
        </row>
        <row r="139">
          <cell r="A139" t="str">
            <v>Syria</v>
          </cell>
        </row>
        <row r="140">
          <cell r="A140" t="str">
            <v>Yemen</v>
          </cell>
        </row>
        <row r="141">
          <cell r="A141" t="str">
            <v>Turkmenistan</v>
          </cell>
        </row>
        <row r="142">
          <cell r="A142" t="str">
            <v>Ecuador</v>
          </cell>
        </row>
        <row r="143">
          <cell r="A143" t="str">
            <v>Turkey</v>
          </cell>
          <cell r="B143">
            <v>0.57999999999999996</v>
          </cell>
          <cell r="C143">
            <v>0.42</v>
          </cell>
        </row>
        <row r="144">
          <cell r="A144" t="str">
            <v>Honduras</v>
          </cell>
        </row>
        <row r="145">
          <cell r="A145" t="str">
            <v>Peru</v>
          </cell>
          <cell r="B145">
            <v>0.47</v>
          </cell>
          <cell r="C145">
            <v>0.53</v>
          </cell>
        </row>
        <row r="146">
          <cell r="A146" t="str">
            <v>Bolivia</v>
          </cell>
        </row>
        <row r="147">
          <cell r="A147" t="str">
            <v>Iraq</v>
          </cell>
        </row>
        <row r="148">
          <cell r="A148" t="str">
            <v>Guyana</v>
          </cell>
        </row>
        <row r="149">
          <cell r="A149" t="str">
            <v>Dominican Republic</v>
          </cell>
        </row>
        <row r="150">
          <cell r="A150" t="str">
            <v>RÃ©union</v>
          </cell>
        </row>
        <row r="151">
          <cell r="A151" t="str">
            <v>CÃ´te dâ€™Ivoire</v>
          </cell>
        </row>
        <row r="152">
          <cell r="A152" t="str">
            <v>Paraguay</v>
          </cell>
        </row>
        <row r="153">
          <cell r="A153" t="str">
            <v>Algeria</v>
          </cell>
        </row>
        <row r="154">
          <cell r="A154" t="str">
            <v>Venezuela</v>
          </cell>
        </row>
        <row r="155">
          <cell r="A155" t="str">
            <v>North Korea</v>
          </cell>
        </row>
        <row r="156">
          <cell r="A156" t="str">
            <v>Nauru</v>
          </cell>
        </row>
        <row r="157">
          <cell r="A157" t="str">
            <v>Eritrea</v>
          </cell>
        </row>
        <row r="158">
          <cell r="A158" t="str">
            <v>Anguilla</v>
          </cell>
        </row>
        <row r="159">
          <cell r="A159" t="str">
            <v>Palau</v>
          </cell>
        </row>
        <row r="160">
          <cell r="A160" t="str">
            <v>Micronesia</v>
          </cell>
        </row>
        <row r="161">
          <cell r="A161" t="str">
            <v>Faroe Islands</v>
          </cell>
        </row>
        <row r="162">
          <cell r="A162" t="str">
            <v>Solomon Islands</v>
          </cell>
        </row>
        <row r="163">
          <cell r="A163" t="str">
            <v>British Virgin Islands</v>
          </cell>
        </row>
        <row r="164">
          <cell r="A164" t="str">
            <v>Samoa</v>
          </cell>
        </row>
        <row r="165">
          <cell r="A165" t="str">
            <v>Ã…land Islands</v>
          </cell>
        </row>
        <row r="166">
          <cell r="A166" t="str">
            <v>St. Kitts &amp; Nevis</v>
          </cell>
        </row>
        <row r="167">
          <cell r="A167" t="str">
            <v>U.S. Virgin Islands</v>
          </cell>
        </row>
        <row r="168">
          <cell r="A168" t="str">
            <v>St. Vincent &amp; Grenadines</v>
          </cell>
        </row>
        <row r="169">
          <cell r="A169" t="str">
            <v>St. Martin</v>
          </cell>
        </row>
        <row r="170">
          <cell r="A170" t="str">
            <v>Liechtenstein</v>
          </cell>
        </row>
        <row r="171">
          <cell r="A171" t="str">
            <v>Guernsey</v>
          </cell>
        </row>
        <row r="172">
          <cell r="A172" t="str">
            <v>San Marino</v>
          </cell>
        </row>
        <row r="173">
          <cell r="A173" t="str">
            <v>Guinea-Bissau</v>
          </cell>
        </row>
        <row r="174">
          <cell r="A174" t="str">
            <v>Bermuda</v>
          </cell>
        </row>
        <row r="175">
          <cell r="A175" t="str">
            <v>Cayman Islands</v>
          </cell>
        </row>
        <row r="176">
          <cell r="A176" t="str">
            <v>South Sudan</v>
          </cell>
        </row>
        <row r="177">
          <cell r="A177" t="str">
            <v>Caribbean Netherlands</v>
          </cell>
        </row>
        <row r="178">
          <cell r="A178" t="str">
            <v>Equatorial Guinea</v>
          </cell>
        </row>
        <row r="179">
          <cell r="A179" t="str">
            <v>Bhutan</v>
          </cell>
        </row>
        <row r="180">
          <cell r="A180" t="str">
            <v>Belize</v>
          </cell>
        </row>
        <row r="181">
          <cell r="A181" t="str">
            <v>Aruba</v>
          </cell>
        </row>
        <row r="182">
          <cell r="A182" t="str">
            <v>Antigua &amp; Barbuda</v>
          </cell>
        </row>
        <row r="183">
          <cell r="A183" t="str">
            <v>Suriname</v>
          </cell>
        </row>
        <row r="184">
          <cell r="A184" t="str">
            <v>Eswatini</v>
          </cell>
        </row>
        <row r="185">
          <cell r="A185" t="str">
            <v>Northern Mariana Islands</v>
          </cell>
        </row>
        <row r="186">
          <cell r="A186" t="str">
            <v>Burundi</v>
          </cell>
        </row>
        <row r="187">
          <cell r="A187" t="str">
            <v>Andorra</v>
          </cell>
        </row>
        <row r="188">
          <cell r="A188" t="str">
            <v>Monaco</v>
          </cell>
        </row>
        <row r="189">
          <cell r="A189" t="str">
            <v>St. BarthÃ©lemy</v>
          </cell>
        </row>
        <row r="190">
          <cell r="A190" t="str">
            <v>Barbados</v>
          </cell>
        </row>
        <row r="191">
          <cell r="A191" t="str">
            <v>Turks &amp; Caicos Islands</v>
          </cell>
        </row>
        <row r="192">
          <cell r="A192" t="str">
            <v>Liberia</v>
          </cell>
        </row>
        <row r="193">
          <cell r="A193" t="str">
            <v>CuraÃ§ao</v>
          </cell>
        </row>
        <row r="194">
          <cell r="A194" t="str">
            <v>Greenland</v>
          </cell>
        </row>
        <row r="195">
          <cell r="A195" t="str">
            <v>Gambia</v>
          </cell>
        </row>
        <row r="196">
          <cell r="A196" t="str">
            <v>Congo - Brazzaville</v>
          </cell>
        </row>
        <row r="197">
          <cell r="A197" t="str">
            <v>Djibouti</v>
          </cell>
        </row>
        <row r="198">
          <cell r="A198" t="str">
            <v>Sint Maarten</v>
          </cell>
        </row>
        <row r="199">
          <cell r="A199" t="str">
            <v>Mauritania</v>
          </cell>
        </row>
        <row r="200">
          <cell r="A200" t="str">
            <v>Niger</v>
          </cell>
        </row>
        <row r="201">
          <cell r="A201" t="str">
            <v>Chad</v>
          </cell>
        </row>
        <row r="202">
          <cell r="A202" t="str">
            <v>St. Lucia</v>
          </cell>
        </row>
        <row r="203">
          <cell r="A203" t="str">
            <v>Western Sahara</v>
          </cell>
        </row>
        <row r="204">
          <cell r="A204" t="str">
            <v>New Caledonia</v>
          </cell>
        </row>
        <row r="205">
          <cell r="A205" t="str">
            <v>Timor-Leste</v>
          </cell>
        </row>
        <row r="206">
          <cell r="A206" t="str">
            <v>Grenada</v>
          </cell>
        </row>
        <row r="207">
          <cell r="A207" t="str">
            <v>Tajikistan</v>
          </cell>
        </row>
        <row r="208">
          <cell r="A208" t="str">
            <v>Cape Verde</v>
          </cell>
        </row>
        <row r="209">
          <cell r="A209" t="str">
            <v>French Polynesia</v>
          </cell>
        </row>
        <row r="210">
          <cell r="A210" t="str">
            <v>Martinique</v>
          </cell>
        </row>
        <row r="211">
          <cell r="A211" t="str">
            <v>Benin</v>
          </cell>
        </row>
        <row r="212">
          <cell r="A212" t="str">
            <v>Sierra Leone</v>
          </cell>
        </row>
        <row r="213">
          <cell r="A213" t="str">
            <v>French Guiana</v>
          </cell>
        </row>
        <row r="214">
          <cell r="A214" t="str">
            <v>Haiti</v>
          </cell>
        </row>
        <row r="215">
          <cell r="A215" t="str">
            <v>Guadeloupe</v>
          </cell>
        </row>
        <row r="216">
          <cell r="A216" t="str">
            <v>Congo - Kinshasa</v>
          </cell>
        </row>
        <row r="217">
          <cell r="A217" t="str">
            <v>Gabon</v>
          </cell>
        </row>
        <row r="218">
          <cell r="A218" t="str">
            <v>Guinea</v>
          </cell>
        </row>
        <row r="219">
          <cell r="A219" t="str">
            <v>Burkina Faso</v>
          </cell>
        </row>
        <row r="220">
          <cell r="A220" t="str">
            <v>American Samoa</v>
          </cell>
        </row>
        <row r="221">
          <cell r="A221" t="str">
            <v>Antarctica</v>
          </cell>
        </row>
        <row r="222">
          <cell r="A222" t="str">
            <v>French Southern Territories</v>
          </cell>
        </row>
        <row r="223">
          <cell r="A223" t="str">
            <v>Bouvet Island</v>
          </cell>
        </row>
        <row r="224">
          <cell r="A224" t="str">
            <v>Central African Republic</v>
          </cell>
        </row>
        <row r="225">
          <cell r="A225" t="str">
            <v>Cocos (Keeling) Islands</v>
          </cell>
        </row>
        <row r="226">
          <cell r="A226" t="str">
            <v>Cook Islands</v>
          </cell>
        </row>
        <row r="227">
          <cell r="A227" t="str">
            <v>Comoros</v>
          </cell>
        </row>
        <row r="228">
          <cell r="A228" t="str">
            <v>Christmas Island</v>
          </cell>
        </row>
        <row r="229">
          <cell r="A229" t="str">
            <v>Dominica</v>
          </cell>
        </row>
        <row r="230">
          <cell r="A230" t="str">
            <v>Falkland Islands (Islas Malvinas)</v>
          </cell>
        </row>
        <row r="231">
          <cell r="A231" t="str">
            <v>Heard &amp; McDonald Islands</v>
          </cell>
        </row>
        <row r="232">
          <cell r="A232" t="str">
            <v>British Indian Ocean Territory</v>
          </cell>
        </row>
        <row r="233">
          <cell r="A233" t="str">
            <v>Kiribati</v>
          </cell>
        </row>
        <row r="234">
          <cell r="A234" t="str">
            <v>Marshall Islands</v>
          </cell>
        </row>
        <row r="235">
          <cell r="A235" t="str">
            <v>Mali</v>
          </cell>
        </row>
        <row r="236">
          <cell r="A236" t="str">
            <v>Montserrat</v>
          </cell>
        </row>
        <row r="237">
          <cell r="A237" t="str">
            <v>Mayotte</v>
          </cell>
        </row>
        <row r="238">
          <cell r="A238" t="str">
            <v>Norfolk Island</v>
          </cell>
        </row>
        <row r="239">
          <cell r="A239" t="str">
            <v>Niue</v>
          </cell>
        </row>
        <row r="240">
          <cell r="A240" t="str">
            <v>Pitcairn Islands</v>
          </cell>
        </row>
        <row r="241">
          <cell r="A241" t="str">
            <v>South Georgia &amp; South Sandwich Islands</v>
          </cell>
        </row>
        <row r="242">
          <cell r="A242" t="str">
            <v>Svalbard &amp; Jan Mayen</v>
          </cell>
        </row>
        <row r="243">
          <cell r="A243" t="str">
            <v>St. Pierre &amp; Miquelon</v>
          </cell>
        </row>
        <row r="244">
          <cell r="A244" t="str">
            <v>SÃ£o TomÃ© &amp; PrÃ­ncipe</v>
          </cell>
        </row>
        <row r="245">
          <cell r="A245" t="str">
            <v>Seychelles</v>
          </cell>
        </row>
        <row r="246">
          <cell r="A246" t="str">
            <v>Togo</v>
          </cell>
        </row>
        <row r="247">
          <cell r="A247" t="str">
            <v>Tokelau</v>
          </cell>
        </row>
        <row r="248">
          <cell r="A248" t="str">
            <v>Tonga</v>
          </cell>
        </row>
        <row r="249">
          <cell r="A249" t="str">
            <v>Tuvalu</v>
          </cell>
        </row>
        <row r="250">
          <cell r="A250" t="str">
            <v>U.S. Outlying Islands</v>
          </cell>
        </row>
        <row r="251">
          <cell r="A251" t="str">
            <v>Vatican City</v>
          </cell>
        </row>
        <row r="252">
          <cell r="A252" t="str">
            <v>Vanuatu</v>
          </cell>
        </row>
        <row r="253">
          <cell r="A253" t="str">
            <v>Wallis &amp; Futuna</v>
          </cell>
        </row>
      </sheetData>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3)"/>
    </sheetNames>
    <sheetDataSet>
      <sheetData sheetId="0" refreshError="1">
        <row r="1">
          <cell r="A1" t="str">
            <v>Kategori: TÃ¼m kategoriler</v>
          </cell>
        </row>
        <row r="3">
          <cell r="A3" t="str">
            <v>Ãœlke</v>
          </cell>
          <cell r="B3" t="str">
            <v>DÃ¼zenli ifade: (2018)</v>
          </cell>
          <cell r="C3" t="str">
            <v>TCP: (2018)</v>
          </cell>
        </row>
        <row r="4">
          <cell r="A4" t="str">
            <v>China</v>
          </cell>
          <cell r="B4">
            <v>0.68</v>
          </cell>
          <cell r="C4">
            <v>0.32</v>
          </cell>
        </row>
        <row r="5">
          <cell r="A5" t="str">
            <v>St. Helena</v>
          </cell>
          <cell r="B5">
            <v>0.7</v>
          </cell>
          <cell r="C5">
            <v>0.3</v>
          </cell>
        </row>
        <row r="6">
          <cell r="A6" t="str">
            <v>Cuba</v>
          </cell>
        </row>
        <row r="7">
          <cell r="A7" t="str">
            <v>South Korea</v>
          </cell>
          <cell r="B7">
            <v>0.57999999999999996</v>
          </cell>
          <cell r="C7">
            <v>0.42</v>
          </cell>
        </row>
        <row r="8">
          <cell r="A8" t="str">
            <v>Israel</v>
          </cell>
          <cell r="B8">
            <v>0.7</v>
          </cell>
          <cell r="C8">
            <v>0.3</v>
          </cell>
        </row>
        <row r="9">
          <cell r="A9" t="str">
            <v>Luxembourg</v>
          </cell>
        </row>
        <row r="10">
          <cell r="A10" t="str">
            <v>Estonia</v>
          </cell>
        </row>
        <row r="11">
          <cell r="A11" t="str">
            <v>Singapore</v>
          </cell>
          <cell r="B11">
            <v>0.56000000000000005</v>
          </cell>
          <cell r="C11">
            <v>0.44</v>
          </cell>
        </row>
        <row r="12">
          <cell r="A12" t="str">
            <v>Japan</v>
          </cell>
          <cell r="B12">
            <v>0.7</v>
          </cell>
          <cell r="C12">
            <v>0.3</v>
          </cell>
        </row>
        <row r="13">
          <cell r="A13" t="str">
            <v>Rwanda</v>
          </cell>
        </row>
        <row r="14">
          <cell r="A14" t="str">
            <v>Armenia</v>
          </cell>
        </row>
        <row r="15">
          <cell r="A15" t="str">
            <v>Botswana</v>
          </cell>
        </row>
        <row r="16">
          <cell r="A16" t="str">
            <v>Belarus</v>
          </cell>
          <cell r="B16">
            <v>0.75</v>
          </cell>
          <cell r="C16">
            <v>0.25</v>
          </cell>
        </row>
        <row r="17">
          <cell r="A17" t="str">
            <v>Switzerland</v>
          </cell>
          <cell r="B17">
            <v>0.65</v>
          </cell>
          <cell r="C17">
            <v>0.35</v>
          </cell>
        </row>
        <row r="18">
          <cell r="A18" t="str">
            <v>Ethiopia</v>
          </cell>
        </row>
        <row r="19">
          <cell r="A19" t="str">
            <v>Burundi</v>
          </cell>
        </row>
        <row r="20">
          <cell r="A20" t="str">
            <v>Hong Kong</v>
          </cell>
          <cell r="B20">
            <v>0.59</v>
          </cell>
          <cell r="C20">
            <v>0.41</v>
          </cell>
        </row>
        <row r="21">
          <cell r="A21" t="str">
            <v>Czechia</v>
          </cell>
          <cell r="B21">
            <v>0.63</v>
          </cell>
          <cell r="C21">
            <v>0.37</v>
          </cell>
        </row>
        <row r="22">
          <cell r="A22" t="str">
            <v>Madagascar</v>
          </cell>
        </row>
        <row r="23">
          <cell r="A23" t="str">
            <v>Gibraltar</v>
          </cell>
        </row>
        <row r="24">
          <cell r="A24" t="str">
            <v>Sweden</v>
          </cell>
          <cell r="B24">
            <v>0.67</v>
          </cell>
          <cell r="C24">
            <v>0.33</v>
          </cell>
        </row>
        <row r="25">
          <cell r="A25" t="str">
            <v>Iceland</v>
          </cell>
        </row>
        <row r="26">
          <cell r="A26" t="str">
            <v>Papua New Guinea</v>
          </cell>
        </row>
        <row r="27">
          <cell r="A27" t="str">
            <v>Ireland</v>
          </cell>
          <cell r="B27">
            <v>0.62</v>
          </cell>
          <cell r="C27">
            <v>0.38</v>
          </cell>
        </row>
        <row r="28">
          <cell r="A28" t="str">
            <v>Germany</v>
          </cell>
          <cell r="B28">
            <v>0.64</v>
          </cell>
          <cell r="C28">
            <v>0.36</v>
          </cell>
        </row>
        <row r="29">
          <cell r="A29" t="str">
            <v>Malta</v>
          </cell>
        </row>
        <row r="30">
          <cell r="A30" t="str">
            <v>Latvia</v>
          </cell>
        </row>
        <row r="31">
          <cell r="A31" t="str">
            <v>Canada</v>
          </cell>
          <cell r="B31">
            <v>0.65</v>
          </cell>
          <cell r="C31">
            <v>0.35</v>
          </cell>
        </row>
        <row r="32">
          <cell r="A32" t="str">
            <v>New Zealand</v>
          </cell>
          <cell r="B32">
            <v>0.65</v>
          </cell>
          <cell r="C32">
            <v>0.35</v>
          </cell>
        </row>
        <row r="33">
          <cell r="A33" t="str">
            <v>Bulgaria</v>
          </cell>
          <cell r="B33">
            <v>0.69</v>
          </cell>
          <cell r="C33">
            <v>0.31</v>
          </cell>
        </row>
        <row r="34">
          <cell r="A34" t="str">
            <v>Angola</v>
          </cell>
        </row>
        <row r="35">
          <cell r="A35" t="str">
            <v>Finland</v>
          </cell>
          <cell r="B35">
            <v>0.65</v>
          </cell>
          <cell r="C35">
            <v>0.35</v>
          </cell>
        </row>
        <row r="36">
          <cell r="A36" t="str">
            <v>Netherlands</v>
          </cell>
          <cell r="B36">
            <v>0.65</v>
          </cell>
          <cell r="C36">
            <v>0.35</v>
          </cell>
        </row>
        <row r="37">
          <cell r="A37" t="str">
            <v>Austria</v>
          </cell>
          <cell r="B37">
            <v>0.62</v>
          </cell>
          <cell r="C37">
            <v>0.38</v>
          </cell>
        </row>
        <row r="38">
          <cell r="A38" t="str">
            <v>Cameroon</v>
          </cell>
        </row>
        <row r="39">
          <cell r="A39" t="str">
            <v>Myanmar (Burma)</v>
          </cell>
        </row>
        <row r="40">
          <cell r="A40" t="str">
            <v>Lithuania</v>
          </cell>
        </row>
        <row r="41">
          <cell r="A41" t="str">
            <v>Norway</v>
          </cell>
          <cell r="B41">
            <v>0.64</v>
          </cell>
          <cell r="C41">
            <v>0.36</v>
          </cell>
        </row>
        <row r="42">
          <cell r="A42" t="str">
            <v>Ukraine</v>
          </cell>
          <cell r="B42">
            <v>0.74</v>
          </cell>
          <cell r="C42">
            <v>0.26</v>
          </cell>
        </row>
        <row r="43">
          <cell r="A43" t="str">
            <v>Uruguay</v>
          </cell>
        </row>
        <row r="44">
          <cell r="A44" t="str">
            <v>United States</v>
          </cell>
          <cell r="B44">
            <v>0.63</v>
          </cell>
          <cell r="C44">
            <v>0.37</v>
          </cell>
        </row>
        <row r="45">
          <cell r="A45" t="str">
            <v>Denmark</v>
          </cell>
          <cell r="B45">
            <v>0.65</v>
          </cell>
          <cell r="C45">
            <v>0.35</v>
          </cell>
        </row>
        <row r="46">
          <cell r="A46" t="str">
            <v>Nepal</v>
          </cell>
        </row>
        <row r="47">
          <cell r="A47" t="str">
            <v>Russia</v>
          </cell>
          <cell r="B47">
            <v>0.64</v>
          </cell>
          <cell r="C47">
            <v>0.36</v>
          </cell>
        </row>
        <row r="48">
          <cell r="A48" t="str">
            <v>Togo</v>
          </cell>
        </row>
        <row r="49">
          <cell r="A49" t="str">
            <v>India</v>
          </cell>
          <cell r="B49">
            <v>0.56000000000000005</v>
          </cell>
          <cell r="C49">
            <v>0.44</v>
          </cell>
        </row>
        <row r="50">
          <cell r="A50" t="str">
            <v>Hungary</v>
          </cell>
          <cell r="B50">
            <v>0.63</v>
          </cell>
          <cell r="C50">
            <v>0.37</v>
          </cell>
        </row>
        <row r="51">
          <cell r="A51" t="str">
            <v>Australia</v>
          </cell>
          <cell r="B51">
            <v>0.59</v>
          </cell>
          <cell r="C51">
            <v>0.41</v>
          </cell>
        </row>
        <row r="52">
          <cell r="A52" t="str">
            <v>Zimbabwe</v>
          </cell>
        </row>
        <row r="53">
          <cell r="A53" t="str">
            <v>Malawi</v>
          </cell>
        </row>
        <row r="54">
          <cell r="A54" t="str">
            <v>Fiji</v>
          </cell>
        </row>
        <row r="55">
          <cell r="A55" t="str">
            <v>North Macedonia</v>
          </cell>
        </row>
        <row r="56">
          <cell r="A56" t="str">
            <v>Mauritius</v>
          </cell>
        </row>
        <row r="57">
          <cell r="A57" t="str">
            <v>Taiwan</v>
          </cell>
          <cell r="B57">
            <v>0.54</v>
          </cell>
          <cell r="C57">
            <v>0.46</v>
          </cell>
        </row>
        <row r="58">
          <cell r="A58" t="str">
            <v>Macao</v>
          </cell>
        </row>
        <row r="59">
          <cell r="A59" t="str">
            <v>Slovenia</v>
          </cell>
        </row>
        <row r="60">
          <cell r="A60" t="str">
            <v>Belgium</v>
          </cell>
          <cell r="B60">
            <v>0.62</v>
          </cell>
          <cell r="C60">
            <v>0.38</v>
          </cell>
        </row>
        <row r="61">
          <cell r="A61" t="str">
            <v>Isle of Man</v>
          </cell>
        </row>
        <row r="62">
          <cell r="A62" t="str">
            <v>Portugal</v>
          </cell>
          <cell r="B62">
            <v>0.61</v>
          </cell>
          <cell r="C62">
            <v>0.39</v>
          </cell>
        </row>
        <row r="63">
          <cell r="A63" t="str">
            <v>Eswatini</v>
          </cell>
        </row>
        <row r="64">
          <cell r="A64" t="str">
            <v>United Kingdom</v>
          </cell>
          <cell r="B64">
            <v>0.59</v>
          </cell>
          <cell r="C64">
            <v>0.41</v>
          </cell>
        </row>
        <row r="65">
          <cell r="A65" t="str">
            <v>Slovakia</v>
          </cell>
          <cell r="B65">
            <v>0.64</v>
          </cell>
          <cell r="C65">
            <v>0.36</v>
          </cell>
        </row>
        <row r="66">
          <cell r="A66" t="str">
            <v>Sri Lanka</v>
          </cell>
          <cell r="B66">
            <v>0.53</v>
          </cell>
          <cell r="C66">
            <v>0.47</v>
          </cell>
        </row>
        <row r="67">
          <cell r="A67" t="str">
            <v>Cyprus</v>
          </cell>
        </row>
        <row r="68">
          <cell r="A68" t="str">
            <v>Poland</v>
          </cell>
          <cell r="B68">
            <v>0.66</v>
          </cell>
          <cell r="C68">
            <v>0.34</v>
          </cell>
        </row>
        <row r="69">
          <cell r="A69" t="str">
            <v>Bhutan</v>
          </cell>
        </row>
        <row r="70">
          <cell r="A70" t="str">
            <v>Serbia</v>
          </cell>
          <cell r="B70">
            <v>0.67</v>
          </cell>
          <cell r="C70">
            <v>0.33</v>
          </cell>
        </row>
        <row r="71">
          <cell r="A71" t="str">
            <v>Pakistan</v>
          </cell>
          <cell r="B71">
            <v>0.53</v>
          </cell>
          <cell r="C71">
            <v>0.47</v>
          </cell>
        </row>
        <row r="72">
          <cell r="A72" t="str">
            <v>France</v>
          </cell>
          <cell r="B72">
            <v>0.65</v>
          </cell>
          <cell r="C72">
            <v>0.35</v>
          </cell>
        </row>
        <row r="73">
          <cell r="A73" t="str">
            <v>Cape Verde</v>
          </cell>
        </row>
        <row r="74">
          <cell r="A74" t="str">
            <v>Bolivia</v>
          </cell>
        </row>
        <row r="75">
          <cell r="A75" t="str">
            <v>Zambia</v>
          </cell>
        </row>
        <row r="76">
          <cell r="A76" t="str">
            <v>Ghana</v>
          </cell>
        </row>
        <row r="77">
          <cell r="A77" t="str">
            <v>Romania</v>
          </cell>
          <cell r="B77">
            <v>0.63</v>
          </cell>
          <cell r="C77">
            <v>0.37</v>
          </cell>
        </row>
        <row r="78">
          <cell r="A78" t="str">
            <v>Moldova</v>
          </cell>
        </row>
        <row r="79">
          <cell r="A79" t="str">
            <v>Jersey</v>
          </cell>
        </row>
        <row r="80">
          <cell r="A80" t="str">
            <v>Tunisia</v>
          </cell>
        </row>
        <row r="81">
          <cell r="A81" t="str">
            <v>Croatia</v>
          </cell>
          <cell r="B81">
            <v>0.6</v>
          </cell>
          <cell r="C81">
            <v>0.4</v>
          </cell>
        </row>
        <row r="82">
          <cell r="A82" t="str">
            <v>Senegal</v>
          </cell>
        </row>
        <row r="83">
          <cell r="A83" t="str">
            <v>Costa Rica</v>
          </cell>
        </row>
        <row r="84">
          <cell r="A84" t="str">
            <v>Honduras</v>
          </cell>
        </row>
        <row r="85">
          <cell r="A85" t="str">
            <v>Congo - Kinshasa</v>
          </cell>
        </row>
        <row r="86">
          <cell r="A86" t="str">
            <v>Sierra Leone</v>
          </cell>
        </row>
        <row r="87">
          <cell r="A87" t="str">
            <v>Afghanistan</v>
          </cell>
        </row>
        <row r="88">
          <cell r="A88" t="str">
            <v>Namibia</v>
          </cell>
        </row>
        <row r="89">
          <cell r="A89" t="str">
            <v>United Arab Emirates</v>
          </cell>
          <cell r="B89">
            <v>0.41</v>
          </cell>
          <cell r="C89">
            <v>0.59</v>
          </cell>
        </row>
        <row r="90">
          <cell r="A90" t="str">
            <v>Jamaica</v>
          </cell>
        </row>
        <row r="91">
          <cell r="A91" t="str">
            <v>Panama</v>
          </cell>
        </row>
        <row r="92">
          <cell r="A92" t="str">
            <v>Ecuador</v>
          </cell>
        </row>
        <row r="93">
          <cell r="A93" t="str">
            <v>Philippines</v>
          </cell>
          <cell r="B93">
            <v>0.49</v>
          </cell>
          <cell r="C93">
            <v>0.51</v>
          </cell>
        </row>
        <row r="94">
          <cell r="A94" t="str">
            <v>Spain</v>
          </cell>
          <cell r="B94">
            <v>0.53</v>
          </cell>
          <cell r="C94">
            <v>0.47</v>
          </cell>
        </row>
        <row r="95">
          <cell r="A95" t="str">
            <v>Liberia</v>
          </cell>
        </row>
        <row r="96">
          <cell r="A96" t="str">
            <v>Bosnia &amp; Herzegovina</v>
          </cell>
        </row>
        <row r="97">
          <cell r="A97" t="str">
            <v>Albania</v>
          </cell>
        </row>
        <row r="98">
          <cell r="A98" t="str">
            <v>Kosovo</v>
          </cell>
        </row>
        <row r="99">
          <cell r="A99" t="str">
            <v>CuraÃ§ao</v>
          </cell>
        </row>
        <row r="100">
          <cell r="A100" t="str">
            <v>Mali</v>
          </cell>
        </row>
        <row r="101">
          <cell r="A101" t="str">
            <v>Oman</v>
          </cell>
        </row>
        <row r="102">
          <cell r="A102" t="str">
            <v>Mongolia</v>
          </cell>
        </row>
        <row r="103">
          <cell r="A103" t="str">
            <v>CÃ´te dâ€™Ivoire</v>
          </cell>
        </row>
        <row r="104">
          <cell r="A104" t="str">
            <v>Somalia</v>
          </cell>
        </row>
        <row r="105">
          <cell r="A105" t="str">
            <v>Brunei</v>
          </cell>
        </row>
        <row r="106">
          <cell r="A106" t="str">
            <v>Kenya</v>
          </cell>
        </row>
        <row r="107">
          <cell r="A107" t="str">
            <v>South Africa</v>
          </cell>
          <cell r="B107">
            <v>0.52</v>
          </cell>
          <cell r="C107">
            <v>0.48</v>
          </cell>
        </row>
        <row r="108">
          <cell r="A108" t="str">
            <v>Benin</v>
          </cell>
        </row>
        <row r="109">
          <cell r="A109" t="str">
            <v>Uganda</v>
          </cell>
        </row>
        <row r="110">
          <cell r="A110" t="str">
            <v>Malaysia</v>
          </cell>
          <cell r="B110">
            <v>0.44</v>
          </cell>
          <cell r="C110">
            <v>0.56000000000000005</v>
          </cell>
        </row>
        <row r="111">
          <cell r="A111" t="str">
            <v>Guam</v>
          </cell>
        </row>
        <row r="112">
          <cell r="A112" t="str">
            <v>Lebanon</v>
          </cell>
        </row>
        <row r="113">
          <cell r="A113" t="str">
            <v>Colombia</v>
          </cell>
          <cell r="B113">
            <v>0.41</v>
          </cell>
          <cell r="C113">
            <v>0.59</v>
          </cell>
        </row>
        <row r="114">
          <cell r="A114" t="str">
            <v>Mozambique</v>
          </cell>
        </row>
        <row r="115">
          <cell r="A115" t="str">
            <v>Sudan</v>
          </cell>
        </row>
        <row r="116">
          <cell r="A116" t="str">
            <v>Bangladesh</v>
          </cell>
          <cell r="B116">
            <v>0.47</v>
          </cell>
          <cell r="C116">
            <v>0.53</v>
          </cell>
        </row>
        <row r="117">
          <cell r="A117" t="str">
            <v>El Salvador</v>
          </cell>
        </row>
        <row r="118">
          <cell r="A118" t="str">
            <v>Trinidad &amp; Tobago</v>
          </cell>
        </row>
        <row r="119">
          <cell r="A119" t="str">
            <v>Argentina</v>
          </cell>
          <cell r="B119">
            <v>0.4</v>
          </cell>
          <cell r="C119">
            <v>0.6</v>
          </cell>
        </row>
        <row r="120">
          <cell r="A120" t="str">
            <v>Guatemala</v>
          </cell>
        </row>
        <row r="121">
          <cell r="A121" t="str">
            <v>Mexico</v>
          </cell>
          <cell r="B121">
            <v>0.41</v>
          </cell>
          <cell r="C121">
            <v>0.59</v>
          </cell>
        </row>
        <row r="122">
          <cell r="A122" t="str">
            <v>Morocco</v>
          </cell>
          <cell r="B122">
            <v>0.42</v>
          </cell>
          <cell r="C122">
            <v>0.57999999999999996</v>
          </cell>
        </row>
        <row r="123">
          <cell r="A123" t="str">
            <v>Laos</v>
          </cell>
        </row>
        <row r="124">
          <cell r="A124" t="str">
            <v>Bahrain</v>
          </cell>
        </row>
        <row r="125">
          <cell r="A125" t="str">
            <v>Qatar</v>
          </cell>
        </row>
        <row r="126">
          <cell r="A126" t="str">
            <v>Suriname</v>
          </cell>
        </row>
        <row r="127">
          <cell r="A127" t="str">
            <v>Burkina Faso</v>
          </cell>
        </row>
        <row r="128">
          <cell r="A128" t="str">
            <v>Palestine</v>
          </cell>
        </row>
        <row r="129">
          <cell r="A129" t="str">
            <v>Martinique</v>
          </cell>
        </row>
        <row r="130">
          <cell r="A130" t="str">
            <v>Cambodia</v>
          </cell>
        </row>
        <row r="131">
          <cell r="A131" t="str">
            <v>Uzbekistan</v>
          </cell>
        </row>
        <row r="132">
          <cell r="A132" t="str">
            <v>Cayman Islands</v>
          </cell>
        </row>
        <row r="133">
          <cell r="A133" t="str">
            <v>Tanzania</v>
          </cell>
        </row>
        <row r="134">
          <cell r="A134" t="str">
            <v>Brazil</v>
          </cell>
          <cell r="B134">
            <v>0.44</v>
          </cell>
          <cell r="C134">
            <v>0.56000000000000005</v>
          </cell>
        </row>
        <row r="135">
          <cell r="A135" t="str">
            <v>Libya</v>
          </cell>
        </row>
        <row r="136">
          <cell r="A136" t="str">
            <v>Vietnam</v>
          </cell>
          <cell r="B136">
            <v>0.57999999999999996</v>
          </cell>
          <cell r="C136">
            <v>0.42</v>
          </cell>
        </row>
        <row r="137">
          <cell r="A137" t="str">
            <v>Haiti</v>
          </cell>
        </row>
        <row r="138">
          <cell r="A138" t="str">
            <v>Peru</v>
          </cell>
          <cell r="B138">
            <v>0.35</v>
          </cell>
          <cell r="C138">
            <v>0.65</v>
          </cell>
        </row>
        <row r="139">
          <cell r="A139" t="str">
            <v>Lesotho</v>
          </cell>
        </row>
        <row r="140">
          <cell r="A140" t="str">
            <v>Italy</v>
          </cell>
          <cell r="B140">
            <v>0.49</v>
          </cell>
          <cell r="C140">
            <v>0.51</v>
          </cell>
        </row>
        <row r="141">
          <cell r="A141" t="str">
            <v>Greece</v>
          </cell>
          <cell r="B141">
            <v>0.52</v>
          </cell>
          <cell r="C141">
            <v>0.48</v>
          </cell>
        </row>
        <row r="142">
          <cell r="A142" t="str">
            <v>Nigeria</v>
          </cell>
        </row>
        <row r="143">
          <cell r="A143" t="str">
            <v>Yemen</v>
          </cell>
        </row>
        <row r="144">
          <cell r="A144" t="str">
            <v>Algeria</v>
          </cell>
        </row>
        <row r="145">
          <cell r="A145" t="str">
            <v>Montenegro</v>
          </cell>
        </row>
        <row r="146">
          <cell r="A146" t="str">
            <v>Paraguay</v>
          </cell>
        </row>
        <row r="147">
          <cell r="A147" t="str">
            <v>Dominican Republic</v>
          </cell>
        </row>
        <row r="148">
          <cell r="A148" t="str">
            <v>Nicaragua</v>
          </cell>
        </row>
        <row r="149">
          <cell r="A149" t="str">
            <v>Indonesia</v>
          </cell>
          <cell r="B149">
            <v>0.3</v>
          </cell>
          <cell r="C149">
            <v>0.7</v>
          </cell>
        </row>
        <row r="150">
          <cell r="A150" t="str">
            <v>Kazakhstan</v>
          </cell>
          <cell r="B150">
            <v>0.49</v>
          </cell>
          <cell r="C150">
            <v>0.51</v>
          </cell>
        </row>
        <row r="151">
          <cell r="A151" t="str">
            <v>Georgia</v>
          </cell>
        </row>
        <row r="152">
          <cell r="A152" t="str">
            <v>Jordan</v>
          </cell>
        </row>
        <row r="153">
          <cell r="A153" t="str">
            <v>RÃ©union</v>
          </cell>
        </row>
        <row r="154">
          <cell r="A154" t="str">
            <v>Kyrgyzstan</v>
          </cell>
        </row>
        <row r="155">
          <cell r="A155" t="str">
            <v>Chile</v>
          </cell>
          <cell r="B155">
            <v>0.51</v>
          </cell>
          <cell r="C155">
            <v>0.49</v>
          </cell>
        </row>
        <row r="156">
          <cell r="A156" t="str">
            <v>Thailand</v>
          </cell>
          <cell r="B156">
            <v>0.41</v>
          </cell>
          <cell r="C156">
            <v>0.59</v>
          </cell>
        </row>
        <row r="157">
          <cell r="A157" t="str">
            <v>Saudi Arabia</v>
          </cell>
        </row>
        <row r="158">
          <cell r="A158" t="str">
            <v>Azerbaijan</v>
          </cell>
        </row>
        <row r="159">
          <cell r="A159" t="str">
            <v>Puerto Rico</v>
          </cell>
        </row>
        <row r="160">
          <cell r="A160" t="str">
            <v>Syria</v>
          </cell>
        </row>
        <row r="161">
          <cell r="A161" t="str">
            <v>Guadeloupe</v>
          </cell>
        </row>
        <row r="162">
          <cell r="A162" t="str">
            <v>Iran</v>
          </cell>
          <cell r="B162">
            <v>0.48</v>
          </cell>
          <cell r="C162">
            <v>0.52</v>
          </cell>
        </row>
        <row r="163">
          <cell r="A163" t="str">
            <v>Egypt</v>
          </cell>
          <cell r="B163">
            <v>0.53</v>
          </cell>
          <cell r="C163">
            <v>0.47</v>
          </cell>
        </row>
        <row r="164">
          <cell r="A164" t="str">
            <v>Kuwait</v>
          </cell>
        </row>
        <row r="165">
          <cell r="A165" t="str">
            <v>Bahamas</v>
          </cell>
        </row>
        <row r="166">
          <cell r="A166" t="str">
            <v>Guyana</v>
          </cell>
        </row>
        <row r="167">
          <cell r="A167" t="str">
            <v>Venezuela</v>
          </cell>
        </row>
        <row r="168">
          <cell r="A168" t="str">
            <v>Turkey</v>
          </cell>
          <cell r="B168">
            <v>0.46</v>
          </cell>
          <cell r="C168">
            <v>0.54</v>
          </cell>
        </row>
        <row r="169">
          <cell r="A169" t="str">
            <v>Iraq</v>
          </cell>
        </row>
        <row r="170">
          <cell r="A170" t="str">
            <v>Turkmenistan</v>
          </cell>
        </row>
        <row r="171">
          <cell r="A171" t="str">
            <v>Tajikistan</v>
          </cell>
        </row>
        <row r="172">
          <cell r="A172" t="str">
            <v>North Korea</v>
          </cell>
        </row>
        <row r="173">
          <cell r="A173" t="str">
            <v>Ã…land Islands</v>
          </cell>
        </row>
        <row r="174">
          <cell r="A174" t="str">
            <v>Monaco</v>
          </cell>
        </row>
        <row r="175">
          <cell r="A175" t="str">
            <v>Liechtenstein</v>
          </cell>
        </row>
        <row r="176">
          <cell r="A176" t="str">
            <v>Faroe Islands</v>
          </cell>
        </row>
        <row r="177">
          <cell r="A177" t="str">
            <v>St. Kitts &amp; Nevis</v>
          </cell>
        </row>
        <row r="178">
          <cell r="A178" t="str">
            <v>Greenland</v>
          </cell>
        </row>
        <row r="179">
          <cell r="A179" t="str">
            <v>San Marino</v>
          </cell>
        </row>
        <row r="180">
          <cell r="A180" t="str">
            <v>Samoa</v>
          </cell>
        </row>
        <row r="181">
          <cell r="A181" t="str">
            <v>Equatorial Guinea</v>
          </cell>
        </row>
        <row r="182">
          <cell r="A182" t="str">
            <v>Guernsey</v>
          </cell>
        </row>
        <row r="183">
          <cell r="A183" t="str">
            <v>Maldives</v>
          </cell>
        </row>
        <row r="184">
          <cell r="A184" t="str">
            <v>Barbados</v>
          </cell>
        </row>
        <row r="185">
          <cell r="A185" t="str">
            <v>Andorra</v>
          </cell>
        </row>
        <row r="186">
          <cell r="A186" t="str">
            <v>Turks &amp; Caicos Islands</v>
          </cell>
        </row>
        <row r="187">
          <cell r="A187" t="str">
            <v>New Caledonia</v>
          </cell>
        </row>
        <row r="188">
          <cell r="A188" t="str">
            <v>Gambia</v>
          </cell>
        </row>
        <row r="189">
          <cell r="A189" t="str">
            <v>Sint Maarten</v>
          </cell>
        </row>
        <row r="190">
          <cell r="A190" t="str">
            <v>Bermuda</v>
          </cell>
        </row>
        <row r="191">
          <cell r="A191" t="str">
            <v>Seychelles</v>
          </cell>
        </row>
        <row r="192">
          <cell r="A192" t="str">
            <v>Mayotte</v>
          </cell>
        </row>
        <row r="193">
          <cell r="A193" t="str">
            <v>St. Vincent &amp; Grenadines</v>
          </cell>
        </row>
        <row r="194">
          <cell r="A194" t="str">
            <v>Chad</v>
          </cell>
        </row>
        <row r="195">
          <cell r="A195" t="str">
            <v>Western Sahara</v>
          </cell>
        </row>
        <row r="196">
          <cell r="A196" t="str">
            <v>Djibouti</v>
          </cell>
        </row>
        <row r="197">
          <cell r="A197" t="str">
            <v>St. Lucia</v>
          </cell>
        </row>
        <row r="198">
          <cell r="A198" t="str">
            <v>Gabon</v>
          </cell>
        </row>
        <row r="199">
          <cell r="A199" t="str">
            <v>French Polynesia</v>
          </cell>
        </row>
        <row r="200">
          <cell r="A200" t="str">
            <v>Aruba</v>
          </cell>
        </row>
        <row r="201">
          <cell r="A201" t="str">
            <v>French Guiana</v>
          </cell>
        </row>
        <row r="202">
          <cell r="A202" t="str">
            <v>Guinea</v>
          </cell>
        </row>
        <row r="203">
          <cell r="A203" t="str">
            <v>Anguilla</v>
          </cell>
        </row>
        <row r="204">
          <cell r="A204" t="str">
            <v>American Samoa</v>
          </cell>
        </row>
        <row r="205">
          <cell r="A205" t="str">
            <v>Antarctica</v>
          </cell>
        </row>
        <row r="206">
          <cell r="A206" t="str">
            <v>French Southern Territories</v>
          </cell>
        </row>
        <row r="207">
          <cell r="A207" t="str">
            <v>Antigua &amp; Barbuda</v>
          </cell>
        </row>
        <row r="208">
          <cell r="A208" t="str">
            <v>Caribbean Netherlands</v>
          </cell>
        </row>
        <row r="209">
          <cell r="A209" t="str">
            <v>St. BarthÃ©lemy</v>
          </cell>
        </row>
        <row r="210">
          <cell r="A210" t="str">
            <v>Belize</v>
          </cell>
        </row>
        <row r="211">
          <cell r="A211" t="str">
            <v>Bouvet Island</v>
          </cell>
        </row>
        <row r="212">
          <cell r="A212" t="str">
            <v>Central African Republic</v>
          </cell>
        </row>
        <row r="213">
          <cell r="A213" t="str">
            <v>Cocos (Keeling) Islands</v>
          </cell>
        </row>
        <row r="214">
          <cell r="A214" t="str">
            <v>Congo - Brazzaville</v>
          </cell>
        </row>
        <row r="215">
          <cell r="A215" t="str">
            <v>Cook Islands</v>
          </cell>
        </row>
        <row r="216">
          <cell r="A216" t="str">
            <v>Comoros</v>
          </cell>
        </row>
        <row r="217">
          <cell r="A217" t="str">
            <v>Christmas Island</v>
          </cell>
        </row>
        <row r="218">
          <cell r="A218" t="str">
            <v>Dominica</v>
          </cell>
        </row>
        <row r="219">
          <cell r="A219" t="str">
            <v>Eritrea</v>
          </cell>
        </row>
        <row r="220">
          <cell r="A220" t="str">
            <v>Falkland Islands (Islas Malvinas)</v>
          </cell>
        </row>
        <row r="221">
          <cell r="A221" t="str">
            <v>Micronesia</v>
          </cell>
        </row>
        <row r="222">
          <cell r="A222" t="str">
            <v>Guinea-Bissau</v>
          </cell>
        </row>
        <row r="223">
          <cell r="A223" t="str">
            <v>Grenada</v>
          </cell>
        </row>
        <row r="224">
          <cell r="A224" t="str">
            <v>Heard &amp; McDonald Islands</v>
          </cell>
        </row>
        <row r="225">
          <cell r="A225" t="str">
            <v>British Indian Ocean Territory</v>
          </cell>
        </row>
        <row r="226">
          <cell r="A226" t="str">
            <v>Kiribati</v>
          </cell>
        </row>
        <row r="227">
          <cell r="A227" t="str">
            <v>St. Martin</v>
          </cell>
        </row>
        <row r="228">
          <cell r="A228" t="str">
            <v>Marshall Islands</v>
          </cell>
        </row>
        <row r="229">
          <cell r="A229" t="str">
            <v>Northern Mariana Islands</v>
          </cell>
        </row>
        <row r="230">
          <cell r="A230" t="str">
            <v>Mauritania</v>
          </cell>
        </row>
        <row r="231">
          <cell r="A231" t="str">
            <v>Montserrat</v>
          </cell>
        </row>
        <row r="232">
          <cell r="A232" t="str">
            <v>Niger</v>
          </cell>
        </row>
        <row r="233">
          <cell r="A233" t="str">
            <v>Norfolk Island</v>
          </cell>
        </row>
        <row r="234">
          <cell r="A234" t="str">
            <v>Niue</v>
          </cell>
        </row>
        <row r="235">
          <cell r="A235" t="str">
            <v>Nauru</v>
          </cell>
        </row>
        <row r="236">
          <cell r="A236" t="str">
            <v>Pitcairn Islands</v>
          </cell>
        </row>
        <row r="237">
          <cell r="A237" t="str">
            <v>Palau</v>
          </cell>
        </row>
        <row r="238">
          <cell r="A238" t="str">
            <v>South Georgia &amp; South Sandwich Islands</v>
          </cell>
        </row>
        <row r="239">
          <cell r="A239" t="str">
            <v>Svalbard &amp; Jan Mayen</v>
          </cell>
        </row>
        <row r="240">
          <cell r="A240" t="str">
            <v>Solomon Islands</v>
          </cell>
        </row>
        <row r="241">
          <cell r="A241" t="str">
            <v>St. Pierre &amp; Miquelon</v>
          </cell>
        </row>
        <row r="242">
          <cell r="A242" t="str">
            <v>South Sudan</v>
          </cell>
        </row>
        <row r="243">
          <cell r="A243" t="str">
            <v>SÃ£o TomÃ© &amp; PrÃ­ncipe</v>
          </cell>
        </row>
        <row r="244">
          <cell r="A244" t="str">
            <v>Tokelau</v>
          </cell>
        </row>
        <row r="245">
          <cell r="A245" t="str">
            <v>Timor-Leste</v>
          </cell>
        </row>
        <row r="246">
          <cell r="A246" t="str">
            <v>Tonga</v>
          </cell>
        </row>
        <row r="247">
          <cell r="A247" t="str">
            <v>Tuvalu</v>
          </cell>
        </row>
        <row r="248">
          <cell r="A248" t="str">
            <v>U.S. Outlying Islands</v>
          </cell>
        </row>
        <row r="249">
          <cell r="A249" t="str">
            <v>Vatican City</v>
          </cell>
        </row>
        <row r="250">
          <cell r="A250" t="str">
            <v>British Virgin Islands</v>
          </cell>
        </row>
        <row r="251">
          <cell r="A251" t="str">
            <v>U.S. Virgin Islands</v>
          </cell>
        </row>
        <row r="252">
          <cell r="A252" t="str">
            <v>Vanuatu</v>
          </cell>
        </row>
        <row r="253">
          <cell r="A253" t="str">
            <v>Wallis &amp; Futuna</v>
          </cell>
        </row>
      </sheetData>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4)"/>
    </sheetNames>
    <sheetDataSet>
      <sheetData sheetId="0" refreshError="1">
        <row r="1">
          <cell r="A1" t="str">
            <v>Kategori: TÃ¼m kategoriler</v>
          </cell>
        </row>
        <row r="3">
          <cell r="A3" t="str">
            <v>Ãœlke</v>
          </cell>
          <cell r="B3" t="str">
            <v>TCP: (2018)</v>
          </cell>
          <cell r="C3" t="str">
            <v>SayÄ± deÄŸil: (2018)</v>
          </cell>
        </row>
        <row r="4">
          <cell r="A4" t="str">
            <v>Haiti</v>
          </cell>
        </row>
        <row r="5">
          <cell r="A5" t="str">
            <v>China</v>
          </cell>
          <cell r="B5">
            <v>0.81</v>
          </cell>
          <cell r="C5">
            <v>0.19</v>
          </cell>
        </row>
        <row r="6">
          <cell r="A6" t="str">
            <v>CuraÃ§ao</v>
          </cell>
        </row>
        <row r="7">
          <cell r="A7" t="str">
            <v>Cuba</v>
          </cell>
        </row>
        <row r="8">
          <cell r="A8" t="str">
            <v>Fiji</v>
          </cell>
        </row>
        <row r="9">
          <cell r="A9" t="str">
            <v>South Korea</v>
          </cell>
          <cell r="B9">
            <v>0.81</v>
          </cell>
          <cell r="C9">
            <v>0.19</v>
          </cell>
        </row>
        <row r="10">
          <cell r="A10" t="str">
            <v>St. Helena</v>
          </cell>
          <cell r="B10">
            <v>0.71</v>
          </cell>
          <cell r="C10">
            <v>0.28999999999999998</v>
          </cell>
        </row>
        <row r="11">
          <cell r="A11" t="str">
            <v>Aruba</v>
          </cell>
        </row>
        <row r="12">
          <cell r="A12" t="str">
            <v>Myanmar (Burma)</v>
          </cell>
        </row>
        <row r="13">
          <cell r="A13" t="str">
            <v>Burundi</v>
          </cell>
        </row>
        <row r="14">
          <cell r="A14" t="str">
            <v>Rwanda</v>
          </cell>
        </row>
        <row r="15">
          <cell r="A15" t="str">
            <v>Sri Lanka</v>
          </cell>
          <cell r="B15">
            <v>0.38</v>
          </cell>
          <cell r="C15">
            <v>0.62</v>
          </cell>
        </row>
        <row r="16">
          <cell r="A16" t="str">
            <v>Singapore</v>
          </cell>
          <cell r="B16">
            <v>0.56000000000000005</v>
          </cell>
          <cell r="C16">
            <v>0.44</v>
          </cell>
        </row>
        <row r="17">
          <cell r="A17" t="str">
            <v>Ethiopia</v>
          </cell>
        </row>
        <row r="18">
          <cell r="A18" t="str">
            <v>Angola</v>
          </cell>
        </row>
        <row r="19">
          <cell r="A19" t="str">
            <v>Benin</v>
          </cell>
        </row>
        <row r="20">
          <cell r="A20" t="str">
            <v>Botswana</v>
          </cell>
        </row>
        <row r="21">
          <cell r="A21" t="str">
            <v>Nicaragua</v>
          </cell>
        </row>
        <row r="22">
          <cell r="A22" t="str">
            <v>Chile</v>
          </cell>
          <cell r="B22">
            <v>0.22</v>
          </cell>
          <cell r="C22">
            <v>0.78</v>
          </cell>
        </row>
        <row r="23">
          <cell r="A23" t="str">
            <v>Nepal</v>
          </cell>
        </row>
        <row r="24">
          <cell r="A24" t="str">
            <v>Maldives</v>
          </cell>
        </row>
        <row r="25">
          <cell r="A25" t="str">
            <v>Isle of Man</v>
          </cell>
        </row>
        <row r="26">
          <cell r="A26" t="str">
            <v>Hong Kong</v>
          </cell>
          <cell r="B26">
            <v>0.66</v>
          </cell>
          <cell r="C26">
            <v>0.34</v>
          </cell>
        </row>
        <row r="27">
          <cell r="A27" t="str">
            <v>Papua New Guinea</v>
          </cell>
        </row>
        <row r="28">
          <cell r="A28" t="str">
            <v>Romania</v>
          </cell>
          <cell r="B28">
            <v>0.31</v>
          </cell>
          <cell r="C28">
            <v>0.69</v>
          </cell>
        </row>
        <row r="29">
          <cell r="A29" t="str">
            <v>Zimbabwe</v>
          </cell>
        </row>
        <row r="30">
          <cell r="A30" t="str">
            <v>Luxembourg</v>
          </cell>
        </row>
        <row r="31">
          <cell r="A31" t="str">
            <v>Tanzania</v>
          </cell>
        </row>
        <row r="32">
          <cell r="A32" t="str">
            <v>Kosovo</v>
          </cell>
        </row>
        <row r="33">
          <cell r="A33" t="str">
            <v>Madagascar</v>
          </cell>
        </row>
        <row r="34">
          <cell r="A34" t="str">
            <v>Israel</v>
          </cell>
          <cell r="B34">
            <v>0.76</v>
          </cell>
          <cell r="C34">
            <v>0.24</v>
          </cell>
        </row>
        <row r="35">
          <cell r="A35" t="str">
            <v>Honduras</v>
          </cell>
        </row>
        <row r="36">
          <cell r="A36" t="str">
            <v>Togo</v>
          </cell>
        </row>
        <row r="37">
          <cell r="A37" t="str">
            <v>Uruguay</v>
          </cell>
        </row>
        <row r="38">
          <cell r="A38" t="str">
            <v>Cameroon</v>
          </cell>
        </row>
        <row r="39">
          <cell r="A39" t="str">
            <v>Nigeria</v>
          </cell>
          <cell r="B39">
            <v>0.28000000000000003</v>
          </cell>
          <cell r="C39">
            <v>0.72</v>
          </cell>
        </row>
        <row r="40">
          <cell r="A40" t="str">
            <v>Brazil</v>
          </cell>
          <cell r="B40">
            <v>0.31</v>
          </cell>
          <cell r="C40">
            <v>0.69</v>
          </cell>
        </row>
        <row r="41">
          <cell r="A41" t="str">
            <v>Mexico</v>
          </cell>
          <cell r="B41">
            <v>0.36</v>
          </cell>
          <cell r="C41">
            <v>0.64</v>
          </cell>
        </row>
        <row r="42">
          <cell r="A42" t="str">
            <v>Poland</v>
          </cell>
          <cell r="B42">
            <v>0.34</v>
          </cell>
          <cell r="C42">
            <v>0.66</v>
          </cell>
        </row>
        <row r="43">
          <cell r="A43" t="str">
            <v>Turkmenistan</v>
          </cell>
        </row>
        <row r="44">
          <cell r="A44" t="str">
            <v>Mauritius</v>
          </cell>
        </row>
        <row r="45">
          <cell r="A45" t="str">
            <v>Belgium</v>
          </cell>
          <cell r="B45">
            <v>0.41</v>
          </cell>
          <cell r="C45">
            <v>0.59</v>
          </cell>
        </row>
        <row r="46">
          <cell r="A46" t="str">
            <v>Taiwan</v>
          </cell>
          <cell r="B46">
            <v>0.76</v>
          </cell>
          <cell r="C46">
            <v>0.24</v>
          </cell>
        </row>
        <row r="47">
          <cell r="A47" t="str">
            <v>Bolivia</v>
          </cell>
          <cell r="B47">
            <v>0.66</v>
          </cell>
          <cell r="C47">
            <v>0.34</v>
          </cell>
        </row>
        <row r="48">
          <cell r="A48" t="str">
            <v>Dominican Republic</v>
          </cell>
        </row>
        <row r="49">
          <cell r="A49" t="str">
            <v>Switzerland</v>
          </cell>
          <cell r="B49">
            <v>0.63</v>
          </cell>
          <cell r="C49">
            <v>0.37</v>
          </cell>
        </row>
        <row r="50">
          <cell r="A50" t="str">
            <v>Czechia</v>
          </cell>
          <cell r="B50">
            <v>0.74</v>
          </cell>
          <cell r="C50">
            <v>0.26</v>
          </cell>
        </row>
        <row r="51">
          <cell r="A51" t="str">
            <v>Macao</v>
          </cell>
        </row>
        <row r="52">
          <cell r="A52" t="str">
            <v>Iceland</v>
          </cell>
        </row>
        <row r="53">
          <cell r="A53" t="str">
            <v>Malawi</v>
          </cell>
        </row>
        <row r="54">
          <cell r="A54" t="str">
            <v>Ghana</v>
          </cell>
        </row>
        <row r="55">
          <cell r="A55" t="str">
            <v>Australia</v>
          </cell>
          <cell r="B55">
            <v>0.47</v>
          </cell>
          <cell r="C55">
            <v>0.53</v>
          </cell>
        </row>
        <row r="56">
          <cell r="A56" t="str">
            <v>India</v>
          </cell>
          <cell r="B56">
            <v>0.57999999999999996</v>
          </cell>
          <cell r="C56">
            <v>0.42</v>
          </cell>
        </row>
        <row r="57">
          <cell r="A57" t="str">
            <v>Tunisia</v>
          </cell>
        </row>
        <row r="58">
          <cell r="A58" t="str">
            <v>Brunei</v>
          </cell>
        </row>
        <row r="59">
          <cell r="A59" t="str">
            <v>Portugal</v>
          </cell>
          <cell r="B59">
            <v>0.44</v>
          </cell>
          <cell r="C59">
            <v>0.56000000000000005</v>
          </cell>
        </row>
        <row r="60">
          <cell r="A60" t="str">
            <v>Guatemala</v>
          </cell>
        </row>
        <row r="61">
          <cell r="A61" t="str">
            <v>Sierra Leone</v>
          </cell>
        </row>
        <row r="62">
          <cell r="A62" t="str">
            <v>Congo - Kinshasa</v>
          </cell>
        </row>
        <row r="63">
          <cell r="A63" t="str">
            <v>South Africa</v>
          </cell>
          <cell r="B63">
            <v>0.4</v>
          </cell>
          <cell r="C63">
            <v>0.6</v>
          </cell>
        </row>
        <row r="64">
          <cell r="A64" t="str">
            <v>Lesotho</v>
          </cell>
        </row>
        <row r="65">
          <cell r="A65" t="str">
            <v>Namibia</v>
          </cell>
        </row>
        <row r="66">
          <cell r="A66" t="str">
            <v>Pakistan</v>
          </cell>
          <cell r="B66">
            <v>0.53</v>
          </cell>
          <cell r="C66">
            <v>0.47</v>
          </cell>
        </row>
        <row r="67">
          <cell r="A67" t="str">
            <v>Japan</v>
          </cell>
          <cell r="B67">
            <v>0.56000000000000005</v>
          </cell>
          <cell r="C67">
            <v>0.44</v>
          </cell>
        </row>
        <row r="68">
          <cell r="A68" t="str">
            <v>Ireland</v>
          </cell>
          <cell r="B68">
            <v>0.62</v>
          </cell>
          <cell r="C68">
            <v>0.38</v>
          </cell>
        </row>
        <row r="69">
          <cell r="A69" t="str">
            <v>Malta</v>
          </cell>
        </row>
        <row r="70">
          <cell r="A70" t="str">
            <v>Austria</v>
          </cell>
          <cell r="B70">
            <v>0.67</v>
          </cell>
          <cell r="C70">
            <v>0.33</v>
          </cell>
        </row>
        <row r="71">
          <cell r="A71" t="str">
            <v>Guam</v>
          </cell>
        </row>
        <row r="72">
          <cell r="A72" t="str">
            <v>Denmark</v>
          </cell>
          <cell r="B72">
            <v>0.46</v>
          </cell>
          <cell r="C72">
            <v>0.54</v>
          </cell>
        </row>
        <row r="73">
          <cell r="A73" t="str">
            <v>Sweden</v>
          </cell>
          <cell r="B73">
            <v>0.71</v>
          </cell>
          <cell r="C73">
            <v>0.28999999999999998</v>
          </cell>
        </row>
        <row r="74">
          <cell r="A74" t="str">
            <v>Finland</v>
          </cell>
          <cell r="B74">
            <v>0.61</v>
          </cell>
          <cell r="C74">
            <v>0.39</v>
          </cell>
        </row>
        <row r="75">
          <cell r="A75" t="str">
            <v>Germany</v>
          </cell>
          <cell r="B75">
            <v>0.6</v>
          </cell>
          <cell r="C75">
            <v>0.4</v>
          </cell>
        </row>
        <row r="76">
          <cell r="A76" t="str">
            <v>Zambia</v>
          </cell>
        </row>
        <row r="77">
          <cell r="A77" t="str">
            <v>United Kingdom</v>
          </cell>
          <cell r="B77">
            <v>0.48</v>
          </cell>
          <cell r="C77">
            <v>0.52</v>
          </cell>
        </row>
        <row r="78">
          <cell r="A78" t="str">
            <v>Ecuador</v>
          </cell>
          <cell r="B78">
            <v>0.56999999999999995</v>
          </cell>
          <cell r="C78">
            <v>0.43</v>
          </cell>
        </row>
        <row r="79">
          <cell r="A79" t="str">
            <v>Canada</v>
          </cell>
          <cell r="B79">
            <v>0.63</v>
          </cell>
          <cell r="C79">
            <v>0.37</v>
          </cell>
        </row>
        <row r="80">
          <cell r="A80" t="str">
            <v>Uganda</v>
          </cell>
        </row>
        <row r="81">
          <cell r="A81" t="str">
            <v>United Arab Emirates</v>
          </cell>
          <cell r="B81">
            <v>0.57999999999999996</v>
          </cell>
          <cell r="C81">
            <v>0.42</v>
          </cell>
        </row>
        <row r="82">
          <cell r="A82" t="str">
            <v>United States</v>
          </cell>
          <cell r="B82">
            <v>0.64</v>
          </cell>
          <cell r="C82">
            <v>0.36</v>
          </cell>
        </row>
        <row r="83">
          <cell r="A83" t="str">
            <v>Cyprus</v>
          </cell>
        </row>
        <row r="84">
          <cell r="A84" t="str">
            <v>New Zealand</v>
          </cell>
          <cell r="B84">
            <v>0.59</v>
          </cell>
          <cell r="C84">
            <v>0.41</v>
          </cell>
        </row>
        <row r="85">
          <cell r="A85" t="str">
            <v>Norway</v>
          </cell>
          <cell r="B85">
            <v>0.75</v>
          </cell>
          <cell r="C85">
            <v>0.25</v>
          </cell>
        </row>
        <row r="86">
          <cell r="A86" t="str">
            <v>Afghanistan</v>
          </cell>
        </row>
        <row r="87">
          <cell r="A87" t="str">
            <v>Costa Rica</v>
          </cell>
          <cell r="B87">
            <v>0.52</v>
          </cell>
          <cell r="C87">
            <v>0.48</v>
          </cell>
        </row>
        <row r="88">
          <cell r="A88" t="str">
            <v>Netherlands</v>
          </cell>
          <cell r="B88">
            <v>0.56000000000000005</v>
          </cell>
          <cell r="C88">
            <v>0.44</v>
          </cell>
        </row>
        <row r="89">
          <cell r="A89" t="str">
            <v>Slovenia</v>
          </cell>
        </row>
        <row r="90">
          <cell r="A90" t="str">
            <v>Mongolia</v>
          </cell>
        </row>
        <row r="91">
          <cell r="A91" t="str">
            <v>Russia</v>
          </cell>
          <cell r="B91">
            <v>0.52</v>
          </cell>
          <cell r="C91">
            <v>0.48</v>
          </cell>
        </row>
        <row r="92">
          <cell r="A92" t="str">
            <v>Panama</v>
          </cell>
        </row>
        <row r="93">
          <cell r="A93" t="str">
            <v>Mali</v>
          </cell>
        </row>
        <row r="94">
          <cell r="A94" t="str">
            <v>Estonia</v>
          </cell>
        </row>
        <row r="95">
          <cell r="A95" t="str">
            <v>Philippines</v>
          </cell>
          <cell r="B95">
            <v>0.53</v>
          </cell>
          <cell r="C95">
            <v>0.47</v>
          </cell>
        </row>
        <row r="96">
          <cell r="A96" t="str">
            <v>Bhutan</v>
          </cell>
        </row>
        <row r="97">
          <cell r="A97" t="str">
            <v>Jersey</v>
          </cell>
        </row>
        <row r="98">
          <cell r="A98" t="str">
            <v>Senegal</v>
          </cell>
        </row>
        <row r="99">
          <cell r="A99" t="str">
            <v>Tajikistan</v>
          </cell>
        </row>
        <row r="100">
          <cell r="A100" t="str">
            <v>Armenia</v>
          </cell>
        </row>
        <row r="101">
          <cell r="A101" t="str">
            <v>Belarus</v>
          </cell>
          <cell r="B101">
            <v>0.53</v>
          </cell>
          <cell r="C101">
            <v>0.47</v>
          </cell>
        </row>
        <row r="102">
          <cell r="A102" t="str">
            <v>Hungary</v>
          </cell>
          <cell r="B102">
            <v>0.78</v>
          </cell>
          <cell r="C102">
            <v>0.22</v>
          </cell>
        </row>
        <row r="103">
          <cell r="A103" t="str">
            <v>El Salvador</v>
          </cell>
        </row>
        <row r="104">
          <cell r="A104" t="str">
            <v>Qatar</v>
          </cell>
        </row>
        <row r="105">
          <cell r="A105" t="str">
            <v>Malaysia</v>
          </cell>
          <cell r="B105">
            <v>0.51</v>
          </cell>
          <cell r="C105">
            <v>0.49</v>
          </cell>
        </row>
        <row r="106">
          <cell r="A106" t="str">
            <v>Kenya</v>
          </cell>
          <cell r="B106">
            <v>0.66</v>
          </cell>
          <cell r="C106">
            <v>0.34</v>
          </cell>
        </row>
        <row r="107">
          <cell r="A107" t="str">
            <v>Colombia</v>
          </cell>
          <cell r="B107">
            <v>0.56000000000000005</v>
          </cell>
          <cell r="C107">
            <v>0.44</v>
          </cell>
        </row>
        <row r="108">
          <cell r="A108" t="str">
            <v>Spain</v>
          </cell>
          <cell r="B108">
            <v>0.56999999999999995</v>
          </cell>
          <cell r="C108">
            <v>0.43</v>
          </cell>
        </row>
        <row r="109">
          <cell r="A109" t="str">
            <v>Jamaica</v>
          </cell>
        </row>
        <row r="110">
          <cell r="A110" t="str">
            <v>Peru</v>
          </cell>
          <cell r="B110">
            <v>0.46</v>
          </cell>
          <cell r="C110">
            <v>0.54</v>
          </cell>
        </row>
        <row r="111">
          <cell r="A111" t="str">
            <v>Laos</v>
          </cell>
        </row>
        <row r="112">
          <cell r="A112" t="str">
            <v>Moldova</v>
          </cell>
        </row>
        <row r="113">
          <cell r="A113" t="str">
            <v>Bangladesh</v>
          </cell>
          <cell r="B113">
            <v>0.62</v>
          </cell>
          <cell r="C113">
            <v>0.38</v>
          </cell>
        </row>
        <row r="114">
          <cell r="A114" t="str">
            <v>Oman</v>
          </cell>
        </row>
        <row r="115">
          <cell r="A115" t="str">
            <v>Kyrgyzstan</v>
          </cell>
        </row>
        <row r="116">
          <cell r="A116" t="str">
            <v>Bulgaria</v>
          </cell>
          <cell r="B116">
            <v>0.49</v>
          </cell>
          <cell r="C116">
            <v>0.51</v>
          </cell>
        </row>
        <row r="117">
          <cell r="A117" t="str">
            <v>Lebanon</v>
          </cell>
        </row>
        <row r="118">
          <cell r="A118" t="str">
            <v>Liberia</v>
          </cell>
        </row>
        <row r="119">
          <cell r="A119" t="str">
            <v>Uzbekistan</v>
          </cell>
        </row>
        <row r="120">
          <cell r="A120" t="str">
            <v>Trinidad &amp; Tobago</v>
          </cell>
        </row>
        <row r="121">
          <cell r="A121" t="str">
            <v>Argentina</v>
          </cell>
          <cell r="B121">
            <v>0.69</v>
          </cell>
          <cell r="C121">
            <v>0.31</v>
          </cell>
        </row>
        <row r="122">
          <cell r="A122" t="str">
            <v>Vietnam</v>
          </cell>
          <cell r="B122">
            <v>0.39</v>
          </cell>
          <cell r="C122">
            <v>0.61</v>
          </cell>
        </row>
        <row r="123">
          <cell r="A123" t="str">
            <v>CÃ´te dâ€™Ivoire</v>
          </cell>
        </row>
        <row r="124">
          <cell r="A124" t="str">
            <v>Albania</v>
          </cell>
        </row>
        <row r="125">
          <cell r="A125" t="str">
            <v>Sudan</v>
          </cell>
        </row>
        <row r="126">
          <cell r="A126" t="str">
            <v>Slovakia</v>
          </cell>
        </row>
        <row r="127">
          <cell r="A127" t="str">
            <v>Suriname</v>
          </cell>
        </row>
        <row r="128">
          <cell r="A128" t="str">
            <v>Cambodia</v>
          </cell>
        </row>
        <row r="129">
          <cell r="A129" t="str">
            <v>Kazakhstan</v>
          </cell>
          <cell r="B129">
            <v>0.46</v>
          </cell>
          <cell r="C129">
            <v>0.54</v>
          </cell>
        </row>
        <row r="130">
          <cell r="A130" t="str">
            <v>Croatia</v>
          </cell>
          <cell r="B130">
            <v>0.52</v>
          </cell>
          <cell r="C130">
            <v>0.48</v>
          </cell>
        </row>
        <row r="131">
          <cell r="A131" t="str">
            <v>Bahrain</v>
          </cell>
        </row>
        <row r="132">
          <cell r="A132" t="str">
            <v>North Macedonia</v>
          </cell>
        </row>
        <row r="133">
          <cell r="A133" t="str">
            <v>Latvia</v>
          </cell>
        </row>
        <row r="134">
          <cell r="A134" t="str">
            <v>Lithuania</v>
          </cell>
        </row>
        <row r="135">
          <cell r="A135" t="str">
            <v>France</v>
          </cell>
          <cell r="B135">
            <v>0.6</v>
          </cell>
          <cell r="C135">
            <v>0.4</v>
          </cell>
        </row>
        <row r="136">
          <cell r="A136" t="str">
            <v>Azerbaijan</v>
          </cell>
        </row>
        <row r="137">
          <cell r="A137" t="str">
            <v>Mozambique</v>
          </cell>
        </row>
        <row r="138">
          <cell r="A138" t="str">
            <v>Morocco</v>
          </cell>
          <cell r="B138">
            <v>0.71</v>
          </cell>
          <cell r="C138">
            <v>0.28999999999999998</v>
          </cell>
        </row>
        <row r="139">
          <cell r="A139" t="str">
            <v>Paraguay</v>
          </cell>
        </row>
        <row r="140">
          <cell r="A140" t="str">
            <v>Palestine</v>
          </cell>
        </row>
        <row r="141">
          <cell r="A141" t="str">
            <v>Serbia</v>
          </cell>
        </row>
        <row r="142">
          <cell r="A142" t="str">
            <v>Italy</v>
          </cell>
          <cell r="B142">
            <v>0.73</v>
          </cell>
          <cell r="C142">
            <v>0.27</v>
          </cell>
        </row>
        <row r="143">
          <cell r="A143" t="str">
            <v>Venezuela</v>
          </cell>
          <cell r="B143">
            <v>0.37</v>
          </cell>
          <cell r="C143">
            <v>0.63</v>
          </cell>
        </row>
        <row r="144">
          <cell r="A144" t="str">
            <v>Jordan</v>
          </cell>
        </row>
        <row r="145">
          <cell r="A145" t="str">
            <v>Greece</v>
          </cell>
          <cell r="B145">
            <v>0.51</v>
          </cell>
          <cell r="C145">
            <v>0.49</v>
          </cell>
        </row>
        <row r="146">
          <cell r="A146" t="str">
            <v>Ukraine</v>
          </cell>
          <cell r="B146">
            <v>0.55000000000000004</v>
          </cell>
          <cell r="C146">
            <v>0.45</v>
          </cell>
        </row>
        <row r="147">
          <cell r="A147" t="str">
            <v>Algeria</v>
          </cell>
        </row>
        <row r="148">
          <cell r="A148" t="str">
            <v>Burkina Faso</v>
          </cell>
        </row>
        <row r="149">
          <cell r="A149" t="str">
            <v>Indonesia</v>
          </cell>
          <cell r="B149">
            <v>0.72</v>
          </cell>
          <cell r="C149">
            <v>0.28000000000000003</v>
          </cell>
        </row>
        <row r="150">
          <cell r="A150" t="str">
            <v>Thailand</v>
          </cell>
          <cell r="B150">
            <v>0.64</v>
          </cell>
          <cell r="C150">
            <v>0.36</v>
          </cell>
        </row>
        <row r="151">
          <cell r="A151" t="str">
            <v>Cayman Islands</v>
          </cell>
        </row>
        <row r="152">
          <cell r="A152" t="str">
            <v>Bosnia &amp; Herzegovina</v>
          </cell>
        </row>
        <row r="153">
          <cell r="A153" t="str">
            <v>Montenegro</v>
          </cell>
        </row>
        <row r="154">
          <cell r="A154" t="str">
            <v>Barbados</v>
          </cell>
        </row>
        <row r="155">
          <cell r="A155" t="str">
            <v>Libya</v>
          </cell>
        </row>
        <row r="156">
          <cell r="A156" t="str">
            <v>Yemen</v>
          </cell>
        </row>
        <row r="157">
          <cell r="A157" t="str">
            <v>Saudi Arabia</v>
          </cell>
          <cell r="B157">
            <v>0.68</v>
          </cell>
          <cell r="C157">
            <v>0.32</v>
          </cell>
        </row>
        <row r="158">
          <cell r="A158" t="str">
            <v>Iran</v>
          </cell>
          <cell r="B158">
            <v>0.76</v>
          </cell>
          <cell r="C158">
            <v>0.24</v>
          </cell>
        </row>
        <row r="159">
          <cell r="A159" t="str">
            <v>RÃ©union</v>
          </cell>
        </row>
        <row r="160">
          <cell r="A160" t="str">
            <v>Kuwait</v>
          </cell>
        </row>
        <row r="161">
          <cell r="A161" t="str">
            <v>Syria</v>
          </cell>
        </row>
        <row r="162">
          <cell r="A162" t="str">
            <v>Puerto Rico</v>
          </cell>
        </row>
        <row r="163">
          <cell r="A163" t="str">
            <v>Egypt</v>
          </cell>
          <cell r="B163">
            <v>0.65</v>
          </cell>
          <cell r="C163">
            <v>0.35</v>
          </cell>
        </row>
        <row r="164">
          <cell r="A164" t="str">
            <v>Georgia</v>
          </cell>
        </row>
        <row r="165">
          <cell r="A165" t="str">
            <v>Guadeloupe</v>
          </cell>
        </row>
        <row r="166">
          <cell r="A166" t="str">
            <v>Turkey</v>
          </cell>
          <cell r="B166">
            <v>0.66</v>
          </cell>
          <cell r="C166">
            <v>0.34</v>
          </cell>
        </row>
        <row r="167">
          <cell r="A167" t="str">
            <v>Iraq</v>
          </cell>
        </row>
        <row r="168">
          <cell r="A168" t="str">
            <v>North Korea</v>
          </cell>
        </row>
        <row r="169">
          <cell r="A169" t="str">
            <v>Eritrea</v>
          </cell>
        </row>
        <row r="170">
          <cell r="A170" t="str">
            <v>Svalbard &amp; Jan Mayen</v>
          </cell>
        </row>
        <row r="171">
          <cell r="A171" t="str">
            <v>Marshall Islands</v>
          </cell>
        </row>
        <row r="172">
          <cell r="A172" t="str">
            <v>Palau</v>
          </cell>
        </row>
        <row r="173">
          <cell r="A173" t="str">
            <v>Guinea-Bissau</v>
          </cell>
        </row>
        <row r="174">
          <cell r="A174" t="str">
            <v>Micronesia</v>
          </cell>
        </row>
        <row r="175">
          <cell r="A175" t="str">
            <v>Vanuatu</v>
          </cell>
        </row>
        <row r="176">
          <cell r="A176" t="str">
            <v>Anguilla</v>
          </cell>
        </row>
        <row r="177">
          <cell r="A177" t="str">
            <v>Liechtenstein</v>
          </cell>
        </row>
        <row r="178">
          <cell r="A178" t="str">
            <v>SÃ£o TomÃ© &amp; PrÃ­ncipe</v>
          </cell>
        </row>
        <row r="179">
          <cell r="A179" t="str">
            <v>St. Kitts &amp; Nevis</v>
          </cell>
        </row>
        <row r="180">
          <cell r="A180" t="str">
            <v>Gibraltar</v>
          </cell>
        </row>
        <row r="181">
          <cell r="A181" t="str">
            <v>Equatorial Guinea</v>
          </cell>
        </row>
        <row r="182">
          <cell r="A182" t="str">
            <v>Central African Republic</v>
          </cell>
        </row>
        <row r="183">
          <cell r="A183" t="str">
            <v>American Samoa</v>
          </cell>
        </row>
        <row r="184">
          <cell r="A184" t="str">
            <v>Sint Maarten</v>
          </cell>
        </row>
        <row r="185">
          <cell r="A185" t="str">
            <v>St. Martin</v>
          </cell>
        </row>
        <row r="186">
          <cell r="A186" t="str">
            <v>Gambia</v>
          </cell>
        </row>
        <row r="187">
          <cell r="A187" t="str">
            <v>Faroe Islands</v>
          </cell>
        </row>
        <row r="188">
          <cell r="A188" t="str">
            <v>Comoros</v>
          </cell>
        </row>
        <row r="189">
          <cell r="A189" t="str">
            <v>Ã…land Islands</v>
          </cell>
        </row>
        <row r="190">
          <cell r="A190" t="str">
            <v>British Virgin Islands</v>
          </cell>
        </row>
        <row r="191">
          <cell r="A191" t="str">
            <v>Eswatini</v>
          </cell>
        </row>
        <row r="192">
          <cell r="A192" t="str">
            <v>San Marino</v>
          </cell>
        </row>
        <row r="193">
          <cell r="A193" t="str">
            <v>Dominica</v>
          </cell>
        </row>
        <row r="194">
          <cell r="A194" t="str">
            <v>Congo - Brazzaville</v>
          </cell>
        </row>
        <row r="195">
          <cell r="A195" t="str">
            <v>Caribbean Netherlands</v>
          </cell>
        </row>
        <row r="196">
          <cell r="A196" t="str">
            <v>French Polynesia</v>
          </cell>
        </row>
        <row r="197">
          <cell r="A197" t="str">
            <v>Solomon Islands</v>
          </cell>
        </row>
        <row r="198">
          <cell r="A198" t="str">
            <v>Monaco</v>
          </cell>
        </row>
        <row r="199">
          <cell r="A199" t="str">
            <v>Timor-Leste</v>
          </cell>
        </row>
        <row r="200">
          <cell r="A200" t="str">
            <v>Chad</v>
          </cell>
        </row>
        <row r="201">
          <cell r="A201" t="str">
            <v>Northern Mariana Islands</v>
          </cell>
        </row>
        <row r="202">
          <cell r="A202" t="str">
            <v>South Sudan</v>
          </cell>
        </row>
        <row r="203">
          <cell r="A203" t="str">
            <v>Bermuda</v>
          </cell>
        </row>
        <row r="204">
          <cell r="A204" t="str">
            <v>Somalia</v>
          </cell>
        </row>
        <row r="205">
          <cell r="A205" t="str">
            <v>Andorra</v>
          </cell>
        </row>
        <row r="206">
          <cell r="A206" t="str">
            <v>St. BarthÃ©lemy</v>
          </cell>
        </row>
        <row r="207">
          <cell r="A207" t="str">
            <v>Grenada</v>
          </cell>
        </row>
        <row r="208">
          <cell r="A208" t="str">
            <v>Turks &amp; Caicos Islands</v>
          </cell>
        </row>
        <row r="209">
          <cell r="A209" t="str">
            <v>New Caledonia</v>
          </cell>
        </row>
        <row r="210">
          <cell r="A210" t="str">
            <v>Belize</v>
          </cell>
        </row>
        <row r="211">
          <cell r="A211" t="str">
            <v>Gabon</v>
          </cell>
        </row>
        <row r="212">
          <cell r="A212" t="str">
            <v>Greenland</v>
          </cell>
        </row>
        <row r="213">
          <cell r="A213" t="str">
            <v>Djibouti</v>
          </cell>
        </row>
        <row r="214">
          <cell r="A214" t="str">
            <v>Niger</v>
          </cell>
        </row>
        <row r="215">
          <cell r="A215" t="str">
            <v>Seychelles</v>
          </cell>
        </row>
        <row r="216">
          <cell r="A216" t="str">
            <v>Mayotte</v>
          </cell>
        </row>
        <row r="217">
          <cell r="A217" t="str">
            <v>St. Vincent &amp; Grenadines</v>
          </cell>
        </row>
        <row r="218">
          <cell r="A218" t="str">
            <v>Antigua &amp; Barbuda</v>
          </cell>
        </row>
        <row r="219">
          <cell r="A219" t="str">
            <v>Cape Verde</v>
          </cell>
        </row>
        <row r="220">
          <cell r="A220" t="str">
            <v>Bahamas</v>
          </cell>
        </row>
        <row r="221">
          <cell r="A221" t="str">
            <v>St. Lucia</v>
          </cell>
        </row>
        <row r="222">
          <cell r="A222" t="str">
            <v>Guernsey</v>
          </cell>
        </row>
        <row r="223">
          <cell r="A223" t="str">
            <v>Martinique</v>
          </cell>
        </row>
        <row r="224">
          <cell r="A224" t="str">
            <v>Mauritania</v>
          </cell>
        </row>
        <row r="225">
          <cell r="A225" t="str">
            <v>Guyana</v>
          </cell>
        </row>
        <row r="226">
          <cell r="A226" t="str">
            <v>Guinea</v>
          </cell>
        </row>
        <row r="227">
          <cell r="A227" t="str">
            <v>French Guiana</v>
          </cell>
        </row>
        <row r="228">
          <cell r="A228" t="str">
            <v>Antarctica</v>
          </cell>
        </row>
        <row r="229">
          <cell r="A229" t="str">
            <v>French Southern Territories</v>
          </cell>
        </row>
        <row r="230">
          <cell r="A230" t="str">
            <v>Bouvet Island</v>
          </cell>
        </row>
        <row r="231">
          <cell r="A231" t="str">
            <v>Cocos (Keeling) Islands</v>
          </cell>
        </row>
        <row r="232">
          <cell r="A232" t="str">
            <v>Cook Islands</v>
          </cell>
        </row>
        <row r="233">
          <cell r="A233" t="str">
            <v>Christmas Island</v>
          </cell>
        </row>
        <row r="234">
          <cell r="A234" t="str">
            <v>Western Sahara</v>
          </cell>
        </row>
        <row r="235">
          <cell r="A235" t="str">
            <v>Falkland Islands (Islas Malvinas)</v>
          </cell>
        </row>
        <row r="236">
          <cell r="A236" t="str">
            <v>Heard &amp; McDonald Islands</v>
          </cell>
        </row>
        <row r="237">
          <cell r="A237" t="str">
            <v>British Indian Ocean Territory</v>
          </cell>
        </row>
        <row r="238">
          <cell r="A238" t="str">
            <v>Kiribati</v>
          </cell>
        </row>
        <row r="239">
          <cell r="A239" t="str">
            <v>Montserrat</v>
          </cell>
        </row>
        <row r="240">
          <cell r="A240" t="str">
            <v>Norfolk Island</v>
          </cell>
        </row>
        <row r="241">
          <cell r="A241" t="str">
            <v>Niue</v>
          </cell>
        </row>
        <row r="242">
          <cell r="A242" t="str">
            <v>Nauru</v>
          </cell>
        </row>
        <row r="243">
          <cell r="A243" t="str">
            <v>Pitcairn Islands</v>
          </cell>
        </row>
        <row r="244">
          <cell r="A244" t="str">
            <v>South Georgia &amp; South Sandwich Islands</v>
          </cell>
        </row>
        <row r="245">
          <cell r="A245" t="str">
            <v>St. Pierre &amp; Miquelon</v>
          </cell>
        </row>
        <row r="246">
          <cell r="A246" t="str">
            <v>Tokelau</v>
          </cell>
        </row>
        <row r="247">
          <cell r="A247" t="str">
            <v>Tonga</v>
          </cell>
        </row>
        <row r="248">
          <cell r="A248" t="str">
            <v>Tuvalu</v>
          </cell>
        </row>
        <row r="249">
          <cell r="A249" t="str">
            <v>U.S. Outlying Islands</v>
          </cell>
        </row>
        <row r="250">
          <cell r="A250" t="str">
            <v>Vatican City</v>
          </cell>
        </row>
        <row r="251">
          <cell r="A251" t="str">
            <v>U.S. Virgin Islands</v>
          </cell>
        </row>
        <row r="252">
          <cell r="A252" t="str">
            <v>Wallis &amp; Futuna</v>
          </cell>
        </row>
        <row r="253">
          <cell r="A253" t="str">
            <v>Samoa</v>
          </cell>
        </row>
      </sheetData>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5)"/>
    </sheetNames>
    <sheetDataSet>
      <sheetData sheetId="0" refreshError="1">
        <row r="1">
          <cell r="A1" t="str">
            <v>Kategori: TÃ¼m kategoriler</v>
          </cell>
        </row>
        <row r="3">
          <cell r="A3" t="str">
            <v>Ãœlke</v>
          </cell>
          <cell r="B3" t="str">
            <v>SayÄ± deÄŸil: (2018)</v>
          </cell>
          <cell r="C3" t="str">
            <v>Yapay Sinir AÄŸlarÄ±: (2018)</v>
          </cell>
        </row>
        <row r="4">
          <cell r="A4" t="str">
            <v>Haiti</v>
          </cell>
          <cell r="B4">
            <v>1</v>
          </cell>
        </row>
        <row r="5">
          <cell r="A5" t="str">
            <v>China</v>
          </cell>
          <cell r="B5">
            <v>0.12</v>
          </cell>
          <cell r="C5">
            <v>0.88</v>
          </cell>
        </row>
        <row r="6">
          <cell r="A6" t="str">
            <v>CuraÃ§ao</v>
          </cell>
        </row>
        <row r="7">
          <cell r="A7" t="str">
            <v>Aruba</v>
          </cell>
        </row>
        <row r="8">
          <cell r="A8" t="str">
            <v>South Korea</v>
          </cell>
          <cell r="B8">
            <v>0.17</v>
          </cell>
          <cell r="C8">
            <v>0.83</v>
          </cell>
        </row>
        <row r="9">
          <cell r="A9" t="str">
            <v>Fiji</v>
          </cell>
        </row>
        <row r="10">
          <cell r="A10" t="str">
            <v>Myanmar (Burma)</v>
          </cell>
        </row>
        <row r="11">
          <cell r="A11" t="str">
            <v>Sri Lanka</v>
          </cell>
          <cell r="B11">
            <v>0.72</v>
          </cell>
          <cell r="C11">
            <v>0.28000000000000003</v>
          </cell>
        </row>
        <row r="12">
          <cell r="A12" t="str">
            <v>Benin</v>
          </cell>
        </row>
        <row r="13">
          <cell r="A13" t="str">
            <v>Singapore</v>
          </cell>
          <cell r="B13">
            <v>0.47</v>
          </cell>
          <cell r="C13">
            <v>0.53</v>
          </cell>
        </row>
        <row r="14">
          <cell r="A14" t="str">
            <v>Maldives</v>
          </cell>
        </row>
        <row r="15">
          <cell r="A15" t="str">
            <v>Nicaragua</v>
          </cell>
        </row>
        <row r="16">
          <cell r="A16" t="str">
            <v>Cuba</v>
          </cell>
        </row>
        <row r="17">
          <cell r="A17" t="str">
            <v>Chile</v>
          </cell>
          <cell r="B17">
            <v>0.85</v>
          </cell>
          <cell r="C17">
            <v>0.15</v>
          </cell>
        </row>
        <row r="18">
          <cell r="A18" t="str">
            <v>St. Helena</v>
          </cell>
          <cell r="B18">
            <v>0.44</v>
          </cell>
          <cell r="C18">
            <v>0.56000000000000005</v>
          </cell>
        </row>
        <row r="19">
          <cell r="A19" t="str">
            <v>Tanzania</v>
          </cell>
        </row>
        <row r="20">
          <cell r="A20" t="str">
            <v>Ethiopia</v>
          </cell>
        </row>
        <row r="21">
          <cell r="A21" t="str">
            <v>Hong Kong</v>
          </cell>
          <cell r="B21">
            <v>0.36</v>
          </cell>
          <cell r="C21">
            <v>0.64</v>
          </cell>
        </row>
        <row r="22">
          <cell r="A22" t="str">
            <v>Turkmenistan</v>
          </cell>
        </row>
        <row r="23">
          <cell r="A23" t="str">
            <v>Romania</v>
          </cell>
          <cell r="B23">
            <v>0.8</v>
          </cell>
          <cell r="C23">
            <v>0.2</v>
          </cell>
        </row>
        <row r="24">
          <cell r="A24" t="str">
            <v>Nigeria</v>
          </cell>
          <cell r="B24">
            <v>0.65</v>
          </cell>
          <cell r="C24">
            <v>0.35</v>
          </cell>
        </row>
        <row r="25">
          <cell r="A25" t="str">
            <v>Zimbabwe</v>
          </cell>
        </row>
        <row r="26">
          <cell r="A26" t="str">
            <v>Brazil</v>
          </cell>
          <cell r="B26">
            <v>0.87</v>
          </cell>
          <cell r="C26">
            <v>0.13</v>
          </cell>
        </row>
        <row r="27">
          <cell r="A27" t="str">
            <v>Isle of Man</v>
          </cell>
        </row>
        <row r="28">
          <cell r="A28" t="str">
            <v>Honduras</v>
          </cell>
        </row>
        <row r="29">
          <cell r="A29" t="str">
            <v>Taiwan</v>
          </cell>
          <cell r="B29">
            <v>0.23</v>
          </cell>
          <cell r="C29">
            <v>0.77</v>
          </cell>
        </row>
        <row r="30">
          <cell r="A30" t="str">
            <v>Belgium</v>
          </cell>
          <cell r="B30">
            <v>0.76</v>
          </cell>
          <cell r="C30">
            <v>0.24</v>
          </cell>
        </row>
        <row r="31">
          <cell r="A31" t="str">
            <v>Mexico</v>
          </cell>
          <cell r="B31">
            <v>0.81</v>
          </cell>
          <cell r="C31">
            <v>0.19</v>
          </cell>
        </row>
        <row r="32">
          <cell r="A32" t="str">
            <v>Kosovo</v>
          </cell>
        </row>
        <row r="33">
          <cell r="A33" t="str">
            <v>Angola</v>
          </cell>
        </row>
        <row r="34">
          <cell r="A34" t="str">
            <v>Poland</v>
          </cell>
          <cell r="B34">
            <v>0.75</v>
          </cell>
          <cell r="C34">
            <v>0.25</v>
          </cell>
        </row>
        <row r="35">
          <cell r="A35" t="str">
            <v>Nepal</v>
          </cell>
        </row>
        <row r="36">
          <cell r="A36" t="str">
            <v>Portugal</v>
          </cell>
          <cell r="B36">
            <v>0.73</v>
          </cell>
          <cell r="C36">
            <v>0.27</v>
          </cell>
        </row>
        <row r="37">
          <cell r="A37" t="str">
            <v>Dominican Republic</v>
          </cell>
        </row>
        <row r="38">
          <cell r="A38" t="str">
            <v>Australia</v>
          </cell>
          <cell r="B38">
            <v>0.64</v>
          </cell>
          <cell r="C38">
            <v>0.36</v>
          </cell>
        </row>
        <row r="39">
          <cell r="A39" t="str">
            <v>Guatemala</v>
          </cell>
        </row>
        <row r="40">
          <cell r="A40" t="str">
            <v>South Africa</v>
          </cell>
          <cell r="B40">
            <v>0.67</v>
          </cell>
          <cell r="C40">
            <v>0.33</v>
          </cell>
        </row>
        <row r="41">
          <cell r="A41" t="str">
            <v>Pakistan</v>
          </cell>
          <cell r="B41">
            <v>0.46</v>
          </cell>
          <cell r="C41">
            <v>0.54</v>
          </cell>
        </row>
        <row r="42">
          <cell r="A42" t="str">
            <v>Israel</v>
          </cell>
          <cell r="B42">
            <v>0.31</v>
          </cell>
          <cell r="C42">
            <v>0.69</v>
          </cell>
        </row>
        <row r="43">
          <cell r="A43" t="str">
            <v>Croatia</v>
          </cell>
          <cell r="B43">
            <v>0.39</v>
          </cell>
          <cell r="C43">
            <v>0.61</v>
          </cell>
        </row>
        <row r="44">
          <cell r="A44" t="str">
            <v>Russia</v>
          </cell>
          <cell r="B44">
            <v>0.45</v>
          </cell>
          <cell r="C44">
            <v>0.55000000000000004</v>
          </cell>
        </row>
        <row r="45">
          <cell r="A45" t="str">
            <v>Denmark</v>
          </cell>
          <cell r="B45">
            <v>0.61</v>
          </cell>
          <cell r="C45">
            <v>0.39</v>
          </cell>
        </row>
        <row r="46">
          <cell r="A46" t="str">
            <v>Namibia</v>
          </cell>
        </row>
        <row r="47">
          <cell r="A47" t="str">
            <v>Luxembourg</v>
          </cell>
        </row>
        <row r="48">
          <cell r="A48" t="str">
            <v>India</v>
          </cell>
          <cell r="B48">
            <v>0.47</v>
          </cell>
          <cell r="C48">
            <v>0.53</v>
          </cell>
        </row>
        <row r="49">
          <cell r="A49" t="str">
            <v>Rwanda</v>
          </cell>
        </row>
        <row r="50">
          <cell r="A50" t="str">
            <v>United Kingdom</v>
          </cell>
          <cell r="B50">
            <v>0.61</v>
          </cell>
          <cell r="C50">
            <v>0.39</v>
          </cell>
        </row>
        <row r="51">
          <cell r="A51" t="str">
            <v>Mongolia</v>
          </cell>
        </row>
        <row r="52">
          <cell r="A52" t="str">
            <v>Uzbekistan</v>
          </cell>
        </row>
        <row r="53">
          <cell r="A53" t="str">
            <v>Bangladesh</v>
          </cell>
          <cell r="B53">
            <v>0.34</v>
          </cell>
          <cell r="C53">
            <v>0.66</v>
          </cell>
        </row>
        <row r="54">
          <cell r="A54" t="str">
            <v>Canada</v>
          </cell>
          <cell r="B54">
            <v>0.39</v>
          </cell>
          <cell r="C54">
            <v>0.61</v>
          </cell>
        </row>
        <row r="55">
          <cell r="A55" t="str">
            <v>Costa Rica</v>
          </cell>
        </row>
        <row r="56">
          <cell r="A56" t="str">
            <v>Brunei</v>
          </cell>
        </row>
        <row r="57">
          <cell r="A57" t="str">
            <v>Moldova</v>
          </cell>
        </row>
        <row r="58">
          <cell r="A58" t="str">
            <v>Tunisia</v>
          </cell>
        </row>
        <row r="59">
          <cell r="A59" t="str">
            <v>Cambodia</v>
          </cell>
        </row>
        <row r="60">
          <cell r="A60" t="str">
            <v>Japan</v>
          </cell>
          <cell r="B60">
            <v>0.59</v>
          </cell>
          <cell r="C60">
            <v>0.41</v>
          </cell>
        </row>
        <row r="61">
          <cell r="A61" t="str">
            <v>Belarus</v>
          </cell>
          <cell r="B61">
            <v>0.45</v>
          </cell>
          <cell r="C61">
            <v>0.55000000000000004</v>
          </cell>
        </row>
        <row r="62">
          <cell r="A62" t="str">
            <v>Switzerland</v>
          </cell>
          <cell r="B62">
            <v>0.46</v>
          </cell>
          <cell r="C62">
            <v>0.54</v>
          </cell>
        </row>
        <row r="63">
          <cell r="A63" t="str">
            <v>Mauritius</v>
          </cell>
        </row>
        <row r="64">
          <cell r="A64" t="str">
            <v>Philippines</v>
          </cell>
          <cell r="B64">
            <v>0.59</v>
          </cell>
          <cell r="C64">
            <v>0.41</v>
          </cell>
        </row>
        <row r="65">
          <cell r="A65" t="str">
            <v>Iceland</v>
          </cell>
        </row>
        <row r="66">
          <cell r="A66" t="str">
            <v>Malta</v>
          </cell>
        </row>
        <row r="67">
          <cell r="A67" t="str">
            <v>United States</v>
          </cell>
          <cell r="B67">
            <v>0.39</v>
          </cell>
          <cell r="C67">
            <v>0.61</v>
          </cell>
        </row>
        <row r="68">
          <cell r="A68" t="str">
            <v>Tajikistan</v>
          </cell>
        </row>
        <row r="69">
          <cell r="A69" t="str">
            <v>Malaysia</v>
          </cell>
          <cell r="B69">
            <v>0.55000000000000004</v>
          </cell>
          <cell r="C69">
            <v>0.45</v>
          </cell>
        </row>
        <row r="70">
          <cell r="A70" t="str">
            <v>Armenia</v>
          </cell>
        </row>
        <row r="71">
          <cell r="A71" t="str">
            <v>Macao</v>
          </cell>
        </row>
        <row r="72">
          <cell r="A72" t="str">
            <v>Peru</v>
          </cell>
          <cell r="B72">
            <v>0.67</v>
          </cell>
          <cell r="C72">
            <v>0.33</v>
          </cell>
        </row>
        <row r="73">
          <cell r="A73" t="str">
            <v>Ecuador</v>
          </cell>
          <cell r="B73">
            <v>0.68</v>
          </cell>
          <cell r="C73">
            <v>0.32</v>
          </cell>
        </row>
        <row r="74">
          <cell r="A74" t="str">
            <v>Bulgaria</v>
          </cell>
          <cell r="B74">
            <v>0.68</v>
          </cell>
          <cell r="C74">
            <v>0.32</v>
          </cell>
        </row>
        <row r="75">
          <cell r="A75" t="str">
            <v>Czechia</v>
          </cell>
          <cell r="B75">
            <v>0.34</v>
          </cell>
          <cell r="C75">
            <v>0.66</v>
          </cell>
        </row>
        <row r="76">
          <cell r="A76" t="str">
            <v>Bolivia</v>
          </cell>
        </row>
        <row r="77">
          <cell r="A77" t="str">
            <v>Iran</v>
          </cell>
          <cell r="B77">
            <v>0.16</v>
          </cell>
          <cell r="C77">
            <v>0.84</v>
          </cell>
        </row>
        <row r="78">
          <cell r="A78" t="str">
            <v>Vietnam</v>
          </cell>
          <cell r="B78">
            <v>0.78</v>
          </cell>
          <cell r="C78">
            <v>0.22</v>
          </cell>
        </row>
        <row r="79">
          <cell r="A79" t="str">
            <v>Cyprus</v>
          </cell>
        </row>
        <row r="80">
          <cell r="A80" t="str">
            <v>Netherlands</v>
          </cell>
          <cell r="B80">
            <v>0.55000000000000004</v>
          </cell>
          <cell r="C80">
            <v>0.45</v>
          </cell>
        </row>
        <row r="81">
          <cell r="A81" t="str">
            <v>Kyrgyzstan</v>
          </cell>
        </row>
        <row r="82">
          <cell r="A82" t="str">
            <v>Finland</v>
          </cell>
          <cell r="B82">
            <v>0.49</v>
          </cell>
          <cell r="C82">
            <v>0.51</v>
          </cell>
        </row>
        <row r="83">
          <cell r="A83" t="str">
            <v>El Salvador</v>
          </cell>
        </row>
        <row r="84">
          <cell r="A84" t="str">
            <v>United Arab Emirates</v>
          </cell>
          <cell r="B84">
            <v>0.6</v>
          </cell>
          <cell r="C84">
            <v>0.4</v>
          </cell>
        </row>
        <row r="85">
          <cell r="A85" t="str">
            <v>Kazakhstan</v>
          </cell>
          <cell r="B85">
            <v>0.59</v>
          </cell>
          <cell r="C85">
            <v>0.41</v>
          </cell>
        </row>
        <row r="86">
          <cell r="A86" t="str">
            <v>Qatar</v>
          </cell>
        </row>
        <row r="87">
          <cell r="A87" t="str">
            <v>Ireland</v>
          </cell>
          <cell r="B87">
            <v>0.51</v>
          </cell>
          <cell r="C87">
            <v>0.49</v>
          </cell>
        </row>
        <row r="88">
          <cell r="A88" t="str">
            <v>Germany</v>
          </cell>
          <cell r="B88">
            <v>0.51</v>
          </cell>
          <cell r="C88">
            <v>0.49</v>
          </cell>
        </row>
        <row r="89">
          <cell r="A89" t="str">
            <v>CÃ´te dâ€™Ivoire</v>
          </cell>
        </row>
        <row r="90">
          <cell r="A90" t="str">
            <v>Azerbaijan</v>
          </cell>
        </row>
        <row r="91">
          <cell r="A91" t="str">
            <v>Kenya</v>
          </cell>
          <cell r="B91">
            <v>0.39</v>
          </cell>
          <cell r="C91">
            <v>0.61</v>
          </cell>
        </row>
        <row r="92">
          <cell r="A92" t="str">
            <v>Norway</v>
          </cell>
          <cell r="B92">
            <v>0.34</v>
          </cell>
          <cell r="C92">
            <v>0.66</v>
          </cell>
        </row>
        <row r="93">
          <cell r="A93" t="str">
            <v>North Macedonia</v>
          </cell>
        </row>
        <row r="94">
          <cell r="A94" t="str">
            <v>Botswana</v>
          </cell>
        </row>
        <row r="95">
          <cell r="A95" t="str">
            <v>Sweden</v>
          </cell>
          <cell r="B95">
            <v>0.39</v>
          </cell>
          <cell r="C95">
            <v>0.61</v>
          </cell>
        </row>
        <row r="96">
          <cell r="A96" t="str">
            <v>New Zealand</v>
          </cell>
          <cell r="B96">
            <v>0.49</v>
          </cell>
          <cell r="C96">
            <v>0.51</v>
          </cell>
        </row>
        <row r="97">
          <cell r="A97" t="str">
            <v>Lithuania</v>
          </cell>
        </row>
        <row r="98">
          <cell r="A98" t="str">
            <v>Madagascar</v>
          </cell>
        </row>
        <row r="99">
          <cell r="A99" t="str">
            <v>Colombia</v>
          </cell>
          <cell r="B99">
            <v>0.64</v>
          </cell>
          <cell r="C99">
            <v>0.36</v>
          </cell>
        </row>
        <row r="100">
          <cell r="A100" t="str">
            <v>Panama</v>
          </cell>
        </row>
        <row r="101">
          <cell r="A101" t="str">
            <v>Ghana</v>
          </cell>
        </row>
        <row r="102">
          <cell r="A102" t="str">
            <v>Lebanon</v>
          </cell>
        </row>
        <row r="103">
          <cell r="A103" t="str">
            <v>Spain</v>
          </cell>
          <cell r="B103">
            <v>0.65</v>
          </cell>
          <cell r="C103">
            <v>0.35</v>
          </cell>
        </row>
        <row r="104">
          <cell r="A104" t="str">
            <v>Mozambique</v>
          </cell>
        </row>
        <row r="105">
          <cell r="A105" t="str">
            <v>Jamaica</v>
          </cell>
        </row>
        <row r="106">
          <cell r="A106" t="str">
            <v>Laos</v>
          </cell>
        </row>
        <row r="107">
          <cell r="A107" t="str">
            <v>Algeria</v>
          </cell>
        </row>
        <row r="108">
          <cell r="A108" t="str">
            <v>Guadeloupe</v>
          </cell>
        </row>
        <row r="109">
          <cell r="A109" t="str">
            <v>Ukraine</v>
          </cell>
          <cell r="B109">
            <v>0.44</v>
          </cell>
          <cell r="C109">
            <v>0.56000000000000005</v>
          </cell>
        </row>
        <row r="110">
          <cell r="A110" t="str">
            <v>Venezuela</v>
          </cell>
        </row>
        <row r="111">
          <cell r="A111" t="str">
            <v>Greece</v>
          </cell>
          <cell r="B111">
            <v>0.51</v>
          </cell>
          <cell r="C111">
            <v>0.49</v>
          </cell>
        </row>
        <row r="112">
          <cell r="A112" t="str">
            <v>Austria</v>
          </cell>
          <cell r="B112">
            <v>0.55000000000000004</v>
          </cell>
          <cell r="C112">
            <v>0.45</v>
          </cell>
        </row>
        <row r="113">
          <cell r="A113" t="str">
            <v>Latvia</v>
          </cell>
        </row>
        <row r="114">
          <cell r="A114" t="str">
            <v>Cameroon</v>
          </cell>
        </row>
        <row r="115">
          <cell r="A115" t="str">
            <v>Estonia</v>
          </cell>
        </row>
        <row r="116">
          <cell r="A116" t="str">
            <v>Bhutan</v>
          </cell>
        </row>
        <row r="117">
          <cell r="A117" t="str">
            <v>Kuwait</v>
          </cell>
        </row>
        <row r="118">
          <cell r="A118" t="str">
            <v>Indonesia</v>
          </cell>
          <cell r="B118">
            <v>0.28999999999999998</v>
          </cell>
          <cell r="C118">
            <v>0.71</v>
          </cell>
        </row>
        <row r="119">
          <cell r="A119" t="str">
            <v>Uganda</v>
          </cell>
        </row>
        <row r="120">
          <cell r="A120" t="str">
            <v>Iraq</v>
          </cell>
        </row>
        <row r="121">
          <cell r="A121" t="str">
            <v>Afghanistan</v>
          </cell>
        </row>
        <row r="122">
          <cell r="A122" t="str">
            <v>Syria</v>
          </cell>
        </row>
        <row r="123">
          <cell r="A123" t="str">
            <v>Oman</v>
          </cell>
        </row>
        <row r="124">
          <cell r="A124" t="str">
            <v>Sudan</v>
          </cell>
        </row>
        <row r="125">
          <cell r="A125" t="str">
            <v>Morocco</v>
          </cell>
          <cell r="B125">
            <v>0.4</v>
          </cell>
          <cell r="C125">
            <v>0.6</v>
          </cell>
        </row>
        <row r="126">
          <cell r="A126" t="str">
            <v>France</v>
          </cell>
          <cell r="B126">
            <v>0.56000000000000005</v>
          </cell>
          <cell r="C126">
            <v>0.44</v>
          </cell>
        </row>
        <row r="127">
          <cell r="A127" t="str">
            <v>Bahrain</v>
          </cell>
        </row>
        <row r="128">
          <cell r="A128" t="str">
            <v>Uruguay</v>
          </cell>
        </row>
        <row r="129">
          <cell r="A129" t="str">
            <v>Zambia</v>
          </cell>
        </row>
        <row r="130">
          <cell r="A130" t="str">
            <v>Jordan</v>
          </cell>
        </row>
        <row r="131">
          <cell r="A131" t="str">
            <v>Libya</v>
          </cell>
        </row>
        <row r="132">
          <cell r="A132" t="str">
            <v>Trinidad &amp; Tobago</v>
          </cell>
        </row>
        <row r="133">
          <cell r="A133" t="str">
            <v>Paraguay</v>
          </cell>
        </row>
        <row r="134">
          <cell r="A134" t="str">
            <v>Egypt</v>
          </cell>
          <cell r="B134">
            <v>0.33</v>
          </cell>
          <cell r="C134">
            <v>0.67</v>
          </cell>
        </row>
        <row r="135">
          <cell r="A135" t="str">
            <v>Slovenia</v>
          </cell>
        </row>
        <row r="136">
          <cell r="A136" t="str">
            <v>Serbia</v>
          </cell>
        </row>
        <row r="137">
          <cell r="A137" t="str">
            <v>Slovakia</v>
          </cell>
        </row>
        <row r="138">
          <cell r="A138" t="str">
            <v>Bosnia &amp; Herzegovina</v>
          </cell>
        </row>
        <row r="139">
          <cell r="A139" t="str">
            <v>Georgia</v>
          </cell>
        </row>
        <row r="140">
          <cell r="A140" t="str">
            <v>Hungary</v>
          </cell>
          <cell r="B140">
            <v>0.4</v>
          </cell>
          <cell r="C140">
            <v>0.6</v>
          </cell>
        </row>
        <row r="141">
          <cell r="A141" t="str">
            <v>Argentina</v>
          </cell>
          <cell r="B141">
            <v>0.69</v>
          </cell>
          <cell r="C141">
            <v>0.31</v>
          </cell>
        </row>
        <row r="142">
          <cell r="A142" t="str">
            <v>Italy</v>
          </cell>
          <cell r="B142">
            <v>0.42</v>
          </cell>
          <cell r="C142">
            <v>0.57999999999999996</v>
          </cell>
        </row>
        <row r="143">
          <cell r="A143" t="str">
            <v>Albania</v>
          </cell>
        </row>
        <row r="144">
          <cell r="A144" t="str">
            <v>Thailand</v>
          </cell>
          <cell r="B144">
            <v>0.51</v>
          </cell>
          <cell r="C144">
            <v>0.49</v>
          </cell>
        </row>
        <row r="145">
          <cell r="A145" t="str">
            <v>Congo - Kinshasa</v>
          </cell>
        </row>
        <row r="146">
          <cell r="A146" t="str">
            <v>Turkey</v>
          </cell>
          <cell r="B146">
            <v>0.37</v>
          </cell>
          <cell r="C146">
            <v>0.63</v>
          </cell>
        </row>
        <row r="147">
          <cell r="A147" t="str">
            <v>Yemen</v>
          </cell>
        </row>
        <row r="148">
          <cell r="A148" t="str">
            <v>RÃ©union</v>
          </cell>
        </row>
        <row r="149">
          <cell r="A149" t="str">
            <v>Saudi Arabia</v>
          </cell>
          <cell r="B149">
            <v>0.49</v>
          </cell>
          <cell r="C149">
            <v>0.51</v>
          </cell>
        </row>
        <row r="150">
          <cell r="A150" t="str">
            <v>Puerto Rico</v>
          </cell>
        </row>
        <row r="151">
          <cell r="A151" t="str">
            <v>Marshall Islands</v>
          </cell>
        </row>
        <row r="152">
          <cell r="A152" t="str">
            <v>Cook Islands</v>
          </cell>
        </row>
        <row r="153">
          <cell r="A153" t="str">
            <v>Guinea-Bissau</v>
          </cell>
        </row>
        <row r="154">
          <cell r="A154" t="str">
            <v>Vanuatu</v>
          </cell>
        </row>
        <row r="155">
          <cell r="A155" t="str">
            <v>Tonga</v>
          </cell>
        </row>
        <row r="156">
          <cell r="A156" t="str">
            <v>Turks &amp; Caicos Islands</v>
          </cell>
        </row>
        <row r="157">
          <cell r="A157" t="str">
            <v>SÃ£o TomÃ© &amp; PrÃ­ncipe</v>
          </cell>
        </row>
        <row r="158">
          <cell r="A158" t="str">
            <v>St. Martin</v>
          </cell>
        </row>
        <row r="159">
          <cell r="A159" t="str">
            <v>Gibraltar</v>
          </cell>
        </row>
        <row r="160">
          <cell r="A160" t="str">
            <v>Faroe Islands</v>
          </cell>
        </row>
        <row r="161">
          <cell r="A161" t="str">
            <v>Greenland</v>
          </cell>
        </row>
        <row r="162">
          <cell r="A162" t="str">
            <v>Ã…land Islands</v>
          </cell>
        </row>
        <row r="163">
          <cell r="A163" t="str">
            <v>Central African Republic</v>
          </cell>
        </row>
        <row r="164">
          <cell r="A164" t="str">
            <v>Samoa</v>
          </cell>
        </row>
        <row r="165">
          <cell r="A165" t="str">
            <v>Andorra</v>
          </cell>
        </row>
        <row r="166">
          <cell r="A166" t="str">
            <v>French Guiana</v>
          </cell>
        </row>
        <row r="167">
          <cell r="A167" t="str">
            <v>Caribbean Netherlands</v>
          </cell>
        </row>
        <row r="168">
          <cell r="A168" t="str">
            <v>Solomon Islands</v>
          </cell>
        </row>
        <row r="169">
          <cell r="A169" t="str">
            <v>Eswatini</v>
          </cell>
        </row>
        <row r="170">
          <cell r="A170" t="str">
            <v>Lesotho</v>
          </cell>
        </row>
        <row r="171">
          <cell r="A171" t="str">
            <v>Guernsey</v>
          </cell>
        </row>
        <row r="172">
          <cell r="A172" t="str">
            <v>Northern Mariana Islands</v>
          </cell>
        </row>
        <row r="173">
          <cell r="A173" t="str">
            <v>U.S. Virgin Islands</v>
          </cell>
        </row>
        <row r="174">
          <cell r="A174" t="str">
            <v>Monaco</v>
          </cell>
        </row>
        <row r="175">
          <cell r="A175" t="str">
            <v>Seychelles</v>
          </cell>
        </row>
        <row r="176">
          <cell r="A176" t="str">
            <v>St. BarthÃ©lemy</v>
          </cell>
        </row>
        <row r="177">
          <cell r="A177" t="str">
            <v>Bahamas</v>
          </cell>
        </row>
        <row r="178">
          <cell r="A178" t="str">
            <v>Guyana</v>
          </cell>
        </row>
        <row r="179">
          <cell r="A179" t="str">
            <v>Liechtenstein</v>
          </cell>
        </row>
        <row r="180">
          <cell r="A180" t="str">
            <v>Cape Verde</v>
          </cell>
        </row>
        <row r="181">
          <cell r="A181" t="str">
            <v>San Marino</v>
          </cell>
        </row>
        <row r="182">
          <cell r="A182" t="str">
            <v>Antigua &amp; Barbuda</v>
          </cell>
        </row>
        <row r="183">
          <cell r="A183" t="str">
            <v>Papua New Guinea</v>
          </cell>
        </row>
        <row r="184">
          <cell r="A184" t="str">
            <v>Malawi</v>
          </cell>
        </row>
        <row r="185">
          <cell r="A185" t="str">
            <v>Timor-Leste</v>
          </cell>
        </row>
        <row r="186">
          <cell r="A186" t="str">
            <v>Jersey</v>
          </cell>
        </row>
        <row r="187">
          <cell r="A187" t="str">
            <v>Burundi</v>
          </cell>
        </row>
        <row r="188">
          <cell r="A188" t="str">
            <v>Sint Maarten</v>
          </cell>
        </row>
        <row r="189">
          <cell r="A189" t="str">
            <v>Bermuda</v>
          </cell>
        </row>
        <row r="190">
          <cell r="A190" t="str">
            <v>Congo - Brazzaville</v>
          </cell>
        </row>
        <row r="191">
          <cell r="A191" t="str">
            <v>Gambia</v>
          </cell>
        </row>
        <row r="192">
          <cell r="A192" t="str">
            <v>Liberia</v>
          </cell>
        </row>
        <row r="193">
          <cell r="A193" t="str">
            <v>Niger</v>
          </cell>
        </row>
        <row r="194">
          <cell r="A194" t="str">
            <v>Somalia</v>
          </cell>
        </row>
        <row r="195">
          <cell r="A195" t="str">
            <v>Gabon</v>
          </cell>
        </row>
        <row r="196">
          <cell r="A196" t="str">
            <v>Togo</v>
          </cell>
        </row>
        <row r="197">
          <cell r="A197" t="str">
            <v>Sierra Leone</v>
          </cell>
        </row>
        <row r="198">
          <cell r="A198" t="str">
            <v>Guinea</v>
          </cell>
        </row>
        <row r="199">
          <cell r="A199" t="str">
            <v>Guam</v>
          </cell>
        </row>
        <row r="200">
          <cell r="A200" t="str">
            <v>Cayman Islands</v>
          </cell>
        </row>
        <row r="201">
          <cell r="A201" t="str">
            <v>French Polynesia</v>
          </cell>
        </row>
        <row r="202">
          <cell r="A202" t="str">
            <v>Martinique</v>
          </cell>
        </row>
        <row r="203">
          <cell r="A203" t="str">
            <v>Suriname</v>
          </cell>
        </row>
        <row r="204">
          <cell r="A204" t="str">
            <v>Mali</v>
          </cell>
        </row>
        <row r="205">
          <cell r="A205" t="str">
            <v>St. Lucia</v>
          </cell>
        </row>
        <row r="206">
          <cell r="A206" t="str">
            <v>Senegal</v>
          </cell>
        </row>
        <row r="207">
          <cell r="A207" t="str">
            <v>Belize</v>
          </cell>
        </row>
        <row r="208">
          <cell r="A208" t="str">
            <v>Barbados</v>
          </cell>
        </row>
        <row r="209">
          <cell r="A209" t="str">
            <v>Burkina Faso</v>
          </cell>
        </row>
        <row r="210">
          <cell r="A210" t="str">
            <v>New Caledonia</v>
          </cell>
        </row>
        <row r="211">
          <cell r="A211" t="str">
            <v>Montenegro</v>
          </cell>
        </row>
        <row r="212">
          <cell r="A212" t="str">
            <v>Palestine</v>
          </cell>
        </row>
        <row r="213">
          <cell r="A213" t="str">
            <v>Mauritania</v>
          </cell>
        </row>
        <row r="214">
          <cell r="A214" t="str">
            <v>Anguilla</v>
          </cell>
        </row>
        <row r="215">
          <cell r="A215" t="str">
            <v>American Samoa</v>
          </cell>
        </row>
        <row r="216">
          <cell r="A216" t="str">
            <v>Antarctica</v>
          </cell>
        </row>
        <row r="217">
          <cell r="A217" t="str">
            <v>French Southern Territories</v>
          </cell>
        </row>
        <row r="218">
          <cell r="A218" t="str">
            <v>Bouvet Island</v>
          </cell>
        </row>
        <row r="219">
          <cell r="A219" t="str">
            <v>Cocos (Keeling) Islands</v>
          </cell>
        </row>
        <row r="220">
          <cell r="A220" t="str">
            <v>Comoros</v>
          </cell>
        </row>
        <row r="221">
          <cell r="A221" t="str">
            <v>Christmas Island</v>
          </cell>
        </row>
        <row r="222">
          <cell r="A222" t="str">
            <v>Djibouti</v>
          </cell>
        </row>
        <row r="223">
          <cell r="A223" t="str">
            <v>Dominica</v>
          </cell>
        </row>
        <row r="224">
          <cell r="A224" t="str">
            <v>Eritrea</v>
          </cell>
        </row>
        <row r="225">
          <cell r="A225" t="str">
            <v>Western Sahara</v>
          </cell>
        </row>
        <row r="226">
          <cell r="A226" t="str">
            <v>Falkland Islands (Islas Malvinas)</v>
          </cell>
        </row>
        <row r="227">
          <cell r="A227" t="str">
            <v>Micronesia</v>
          </cell>
        </row>
        <row r="228">
          <cell r="A228" t="str">
            <v>Equatorial Guinea</v>
          </cell>
        </row>
        <row r="229">
          <cell r="A229" t="str">
            <v>Grenada</v>
          </cell>
        </row>
        <row r="230">
          <cell r="A230" t="str">
            <v>Heard &amp; McDonald Islands</v>
          </cell>
        </row>
        <row r="231">
          <cell r="A231" t="str">
            <v>British Indian Ocean Territory</v>
          </cell>
        </row>
        <row r="232">
          <cell r="A232" t="str">
            <v>Kiribati</v>
          </cell>
        </row>
        <row r="233">
          <cell r="A233" t="str">
            <v>St. Kitts &amp; Nevis</v>
          </cell>
        </row>
        <row r="234">
          <cell r="A234" t="str">
            <v>Montserrat</v>
          </cell>
        </row>
        <row r="235">
          <cell r="A235" t="str">
            <v>Mayotte</v>
          </cell>
        </row>
        <row r="236">
          <cell r="A236" t="str">
            <v>Norfolk Island</v>
          </cell>
        </row>
        <row r="237">
          <cell r="A237" t="str">
            <v>Niue</v>
          </cell>
        </row>
        <row r="238">
          <cell r="A238" t="str">
            <v>Nauru</v>
          </cell>
        </row>
        <row r="239">
          <cell r="A239" t="str">
            <v>Pitcairn Islands</v>
          </cell>
        </row>
        <row r="240">
          <cell r="A240" t="str">
            <v>Palau</v>
          </cell>
        </row>
        <row r="241">
          <cell r="A241" t="str">
            <v>North Korea</v>
          </cell>
        </row>
        <row r="242">
          <cell r="A242" t="str">
            <v>South Georgia &amp; South Sandwich Islands</v>
          </cell>
        </row>
        <row r="243">
          <cell r="A243" t="str">
            <v>Svalbard &amp; Jan Mayen</v>
          </cell>
        </row>
        <row r="244">
          <cell r="A244" t="str">
            <v>St. Pierre &amp; Miquelon</v>
          </cell>
        </row>
        <row r="245">
          <cell r="A245" t="str">
            <v>South Sudan</v>
          </cell>
        </row>
        <row r="246">
          <cell r="A246" t="str">
            <v>Chad</v>
          </cell>
        </row>
        <row r="247">
          <cell r="A247" t="str">
            <v>Tokelau</v>
          </cell>
        </row>
        <row r="248">
          <cell r="A248" t="str">
            <v>Tuvalu</v>
          </cell>
        </row>
        <row r="249">
          <cell r="A249" t="str">
            <v>U.S. Outlying Islands</v>
          </cell>
        </row>
        <row r="250">
          <cell r="A250" t="str">
            <v>Vatican City</v>
          </cell>
        </row>
        <row r="251">
          <cell r="A251" t="str">
            <v>St. Vincent &amp; Grenadines</v>
          </cell>
        </row>
        <row r="252">
          <cell r="A252" t="str">
            <v>British Virgin Islands</v>
          </cell>
        </row>
        <row r="253">
          <cell r="A253" t="str">
            <v>Wallis &amp; Futuna</v>
          </cell>
        </row>
      </sheetData>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6)"/>
    </sheetNames>
    <sheetDataSet>
      <sheetData sheetId="0" refreshError="1">
        <row r="1">
          <cell r="A1" t="str">
            <v>Kategori: TÃ¼m kategoriler</v>
          </cell>
        </row>
        <row r="3">
          <cell r="A3" t="str">
            <v>Ãœlke</v>
          </cell>
          <cell r="B3" t="str">
            <v>Yapay Sinir AÄŸlarÄ±: (2018)</v>
          </cell>
          <cell r="C3" t="str">
            <v>Derin Ã¶ÄŸrenme: (2018)</v>
          </cell>
        </row>
        <row r="4">
          <cell r="A4" t="str">
            <v>China</v>
          </cell>
          <cell r="B4">
            <v>0.56999999999999995</v>
          </cell>
          <cell r="C4">
            <v>0.43</v>
          </cell>
        </row>
        <row r="5">
          <cell r="A5" t="str">
            <v>South Korea</v>
          </cell>
          <cell r="B5">
            <v>0.43</v>
          </cell>
          <cell r="C5">
            <v>0.56999999999999995</v>
          </cell>
        </row>
        <row r="6">
          <cell r="A6" t="str">
            <v>Singapore</v>
          </cell>
          <cell r="B6">
            <v>0.51</v>
          </cell>
          <cell r="C6">
            <v>0.49</v>
          </cell>
        </row>
        <row r="7">
          <cell r="A7" t="str">
            <v>Cuba</v>
          </cell>
        </row>
        <row r="8">
          <cell r="A8" t="str">
            <v>St. Helena</v>
          </cell>
          <cell r="B8">
            <v>0.53</v>
          </cell>
          <cell r="C8">
            <v>0.47</v>
          </cell>
        </row>
        <row r="9">
          <cell r="A9" t="str">
            <v>Ethiopia</v>
          </cell>
        </row>
        <row r="10">
          <cell r="A10" t="str">
            <v>Hong Kong</v>
          </cell>
          <cell r="B10">
            <v>0.54</v>
          </cell>
          <cell r="C10">
            <v>0.46</v>
          </cell>
        </row>
        <row r="11">
          <cell r="A11" t="str">
            <v>Taiwan</v>
          </cell>
          <cell r="B11">
            <v>0.48</v>
          </cell>
          <cell r="C11">
            <v>0.52</v>
          </cell>
        </row>
        <row r="12">
          <cell r="A12" t="str">
            <v>Zimbabwe</v>
          </cell>
        </row>
        <row r="13">
          <cell r="A13" t="str">
            <v>Nepal</v>
          </cell>
        </row>
        <row r="14">
          <cell r="A14" t="str">
            <v>Japan</v>
          </cell>
          <cell r="B14">
            <v>0.33</v>
          </cell>
          <cell r="C14">
            <v>0.67</v>
          </cell>
        </row>
        <row r="15">
          <cell r="A15" t="str">
            <v>Israel</v>
          </cell>
          <cell r="B15">
            <v>0.48</v>
          </cell>
          <cell r="C15">
            <v>0.52</v>
          </cell>
        </row>
        <row r="16">
          <cell r="A16" t="str">
            <v>Pakistan</v>
          </cell>
          <cell r="B16">
            <v>0.68</v>
          </cell>
          <cell r="C16">
            <v>0.32</v>
          </cell>
        </row>
        <row r="17">
          <cell r="A17" t="str">
            <v>Myanmar (Burma)</v>
          </cell>
        </row>
        <row r="18">
          <cell r="A18" t="str">
            <v>Croatia</v>
          </cell>
          <cell r="B18">
            <v>0.8</v>
          </cell>
          <cell r="C18">
            <v>0.2</v>
          </cell>
        </row>
        <row r="19">
          <cell r="A19" t="str">
            <v>Russia</v>
          </cell>
          <cell r="B19">
            <v>0.88</v>
          </cell>
          <cell r="C19">
            <v>0.12</v>
          </cell>
        </row>
        <row r="20">
          <cell r="A20" t="str">
            <v>India</v>
          </cell>
          <cell r="B20">
            <v>0.62</v>
          </cell>
          <cell r="C20">
            <v>0.38</v>
          </cell>
        </row>
        <row r="21">
          <cell r="A21" t="str">
            <v>Rwanda</v>
          </cell>
        </row>
        <row r="22">
          <cell r="A22" t="str">
            <v>Mongolia</v>
          </cell>
        </row>
        <row r="23">
          <cell r="A23" t="str">
            <v>Fiji</v>
          </cell>
        </row>
        <row r="24">
          <cell r="A24" t="str">
            <v>Sri Lanka</v>
          </cell>
        </row>
        <row r="25">
          <cell r="A25" t="str">
            <v>Bangladesh</v>
          </cell>
          <cell r="B25">
            <v>0.7</v>
          </cell>
          <cell r="C25">
            <v>0.3</v>
          </cell>
        </row>
        <row r="26">
          <cell r="A26" t="str">
            <v>Canada</v>
          </cell>
          <cell r="B26">
            <v>0.6</v>
          </cell>
          <cell r="C26">
            <v>0.4</v>
          </cell>
        </row>
        <row r="27">
          <cell r="A27" t="str">
            <v>Tunisia</v>
          </cell>
          <cell r="B27">
            <v>0.5</v>
          </cell>
          <cell r="C27">
            <v>0.5</v>
          </cell>
        </row>
        <row r="28">
          <cell r="A28" t="str">
            <v>Cambodia</v>
          </cell>
        </row>
        <row r="29">
          <cell r="A29" t="str">
            <v>Belarus</v>
          </cell>
        </row>
        <row r="30">
          <cell r="A30" t="str">
            <v>Switzerland</v>
          </cell>
          <cell r="B30">
            <v>0.52</v>
          </cell>
          <cell r="C30">
            <v>0.48</v>
          </cell>
        </row>
        <row r="31">
          <cell r="A31" t="str">
            <v>Mauritius</v>
          </cell>
        </row>
        <row r="32">
          <cell r="A32" t="str">
            <v>Malta</v>
          </cell>
        </row>
        <row r="33">
          <cell r="A33" t="str">
            <v>United States</v>
          </cell>
          <cell r="B33">
            <v>0.6</v>
          </cell>
          <cell r="C33">
            <v>0.4</v>
          </cell>
        </row>
        <row r="34">
          <cell r="A34" t="str">
            <v>Nigeria</v>
          </cell>
          <cell r="B34">
            <v>0.8</v>
          </cell>
          <cell r="C34">
            <v>0.2</v>
          </cell>
        </row>
        <row r="35">
          <cell r="A35" t="str">
            <v>Macao</v>
          </cell>
        </row>
        <row r="36">
          <cell r="A36" t="str">
            <v>Iceland</v>
          </cell>
        </row>
        <row r="37">
          <cell r="A37" t="str">
            <v>Czechia</v>
          </cell>
          <cell r="B37">
            <v>0.78</v>
          </cell>
          <cell r="C37">
            <v>0.22</v>
          </cell>
        </row>
        <row r="38">
          <cell r="A38" t="str">
            <v>Iran</v>
          </cell>
          <cell r="B38">
            <v>0.65</v>
          </cell>
          <cell r="C38">
            <v>0.35</v>
          </cell>
        </row>
        <row r="39">
          <cell r="A39" t="str">
            <v>Madagascar</v>
          </cell>
        </row>
        <row r="40">
          <cell r="A40" t="str">
            <v>Cyprus</v>
          </cell>
        </row>
        <row r="41">
          <cell r="A41" t="str">
            <v>Finland</v>
          </cell>
          <cell r="B41">
            <v>0.67</v>
          </cell>
          <cell r="C41">
            <v>0.33</v>
          </cell>
        </row>
        <row r="42">
          <cell r="A42" t="str">
            <v>Armenia</v>
          </cell>
        </row>
        <row r="43">
          <cell r="A43" t="str">
            <v>Australia</v>
          </cell>
          <cell r="B43">
            <v>0.61</v>
          </cell>
          <cell r="C43">
            <v>0.39</v>
          </cell>
        </row>
        <row r="44">
          <cell r="A44" t="str">
            <v>Kenya</v>
          </cell>
        </row>
        <row r="45">
          <cell r="A45" t="str">
            <v>Ireland</v>
          </cell>
          <cell r="B45">
            <v>0.56000000000000005</v>
          </cell>
          <cell r="C45">
            <v>0.44</v>
          </cell>
        </row>
        <row r="46">
          <cell r="A46" t="str">
            <v>Norway</v>
          </cell>
          <cell r="B46">
            <v>0.61</v>
          </cell>
          <cell r="C46">
            <v>0.39</v>
          </cell>
        </row>
        <row r="47">
          <cell r="A47" t="str">
            <v>Malaysia</v>
          </cell>
          <cell r="B47">
            <v>0.62</v>
          </cell>
          <cell r="C47">
            <v>0.38</v>
          </cell>
        </row>
        <row r="48">
          <cell r="A48" t="str">
            <v>Botswana</v>
          </cell>
        </row>
        <row r="49">
          <cell r="A49" t="str">
            <v>Sweden</v>
          </cell>
          <cell r="B49">
            <v>0.57999999999999996</v>
          </cell>
          <cell r="C49">
            <v>0.42</v>
          </cell>
        </row>
        <row r="50">
          <cell r="A50" t="str">
            <v>Germany</v>
          </cell>
          <cell r="B50">
            <v>0.56999999999999995</v>
          </cell>
          <cell r="C50">
            <v>0.43</v>
          </cell>
        </row>
        <row r="51">
          <cell r="A51" t="str">
            <v>New Zealand</v>
          </cell>
          <cell r="B51">
            <v>0.62</v>
          </cell>
          <cell r="C51">
            <v>0.38</v>
          </cell>
        </row>
        <row r="52">
          <cell r="A52" t="str">
            <v>Lithuania</v>
          </cell>
        </row>
        <row r="53">
          <cell r="A53" t="str">
            <v>Denmark</v>
          </cell>
          <cell r="B53">
            <v>0.62</v>
          </cell>
          <cell r="C53">
            <v>0.38</v>
          </cell>
        </row>
        <row r="54">
          <cell r="A54" t="str">
            <v>Luxembourg</v>
          </cell>
        </row>
        <row r="55">
          <cell r="A55" t="str">
            <v>Lebanon</v>
          </cell>
        </row>
        <row r="56">
          <cell r="A56" t="str">
            <v>United Kingdom</v>
          </cell>
          <cell r="B56">
            <v>0.62</v>
          </cell>
          <cell r="C56">
            <v>0.38</v>
          </cell>
        </row>
        <row r="57">
          <cell r="A57" t="str">
            <v>Philippines</v>
          </cell>
          <cell r="B57">
            <v>0.76</v>
          </cell>
          <cell r="C57">
            <v>0.24</v>
          </cell>
        </row>
        <row r="58">
          <cell r="A58" t="str">
            <v>Jamaica</v>
          </cell>
        </row>
        <row r="59">
          <cell r="A59" t="str">
            <v>Netherlands</v>
          </cell>
          <cell r="B59">
            <v>0.59</v>
          </cell>
          <cell r="C59">
            <v>0.41</v>
          </cell>
        </row>
        <row r="60">
          <cell r="A60" t="str">
            <v>Algeria</v>
          </cell>
          <cell r="B60">
            <v>0.65</v>
          </cell>
          <cell r="C60">
            <v>0.35</v>
          </cell>
        </row>
        <row r="61">
          <cell r="A61" t="str">
            <v>Ukraine</v>
          </cell>
          <cell r="B61">
            <v>0.86</v>
          </cell>
          <cell r="C61">
            <v>0.14000000000000001</v>
          </cell>
        </row>
        <row r="62">
          <cell r="A62" t="str">
            <v>South Africa</v>
          </cell>
          <cell r="B62">
            <v>0.69</v>
          </cell>
          <cell r="C62">
            <v>0.31</v>
          </cell>
        </row>
        <row r="63">
          <cell r="A63" t="str">
            <v>Ghana</v>
          </cell>
        </row>
        <row r="64">
          <cell r="A64" t="str">
            <v>Latvia</v>
          </cell>
        </row>
        <row r="65">
          <cell r="A65" t="str">
            <v>Greece</v>
          </cell>
          <cell r="B65">
            <v>0.67</v>
          </cell>
          <cell r="C65">
            <v>0.33</v>
          </cell>
        </row>
        <row r="66">
          <cell r="A66" t="str">
            <v>Cameroon</v>
          </cell>
        </row>
        <row r="67">
          <cell r="A67" t="str">
            <v>Estonia</v>
          </cell>
        </row>
        <row r="68">
          <cell r="A68" t="str">
            <v>Bhutan</v>
          </cell>
        </row>
        <row r="69">
          <cell r="A69" t="str">
            <v>Indonesia</v>
          </cell>
          <cell r="B69">
            <v>0.84</v>
          </cell>
          <cell r="C69">
            <v>0.16</v>
          </cell>
        </row>
        <row r="70">
          <cell r="A70" t="str">
            <v>Tanzania</v>
          </cell>
        </row>
        <row r="71">
          <cell r="A71" t="str">
            <v>Kazakhstan</v>
          </cell>
        </row>
        <row r="72">
          <cell r="A72" t="str">
            <v>United Arab Emirates</v>
          </cell>
          <cell r="B72">
            <v>0.59</v>
          </cell>
          <cell r="C72">
            <v>0.41</v>
          </cell>
        </row>
        <row r="73">
          <cell r="A73" t="str">
            <v>Uganda</v>
          </cell>
        </row>
        <row r="74">
          <cell r="A74" t="str">
            <v>Iraq</v>
          </cell>
        </row>
        <row r="75">
          <cell r="A75" t="str">
            <v>Afghanistan</v>
          </cell>
        </row>
        <row r="76">
          <cell r="A76" t="str">
            <v>Laos</v>
          </cell>
        </row>
        <row r="77">
          <cell r="A77" t="str">
            <v>Syria</v>
          </cell>
        </row>
        <row r="78">
          <cell r="A78" t="str">
            <v>Austria</v>
          </cell>
          <cell r="B78">
            <v>0.55000000000000004</v>
          </cell>
          <cell r="C78">
            <v>0.45</v>
          </cell>
        </row>
        <row r="79">
          <cell r="A79" t="str">
            <v>Portugal</v>
          </cell>
          <cell r="B79">
            <v>0.6</v>
          </cell>
          <cell r="C79">
            <v>0.4</v>
          </cell>
        </row>
        <row r="80">
          <cell r="A80" t="str">
            <v>Oman</v>
          </cell>
        </row>
        <row r="81">
          <cell r="A81" t="str">
            <v>Sudan</v>
          </cell>
        </row>
        <row r="82">
          <cell r="A82" t="str">
            <v>Moldova</v>
          </cell>
        </row>
        <row r="83">
          <cell r="A83" t="str">
            <v>Morocco</v>
          </cell>
          <cell r="B83">
            <v>0.57999999999999996</v>
          </cell>
          <cell r="C83">
            <v>0.42</v>
          </cell>
        </row>
        <row r="84">
          <cell r="A84" t="str">
            <v>Poland</v>
          </cell>
          <cell r="B84">
            <v>0.71</v>
          </cell>
          <cell r="C84">
            <v>0.28999999999999998</v>
          </cell>
        </row>
        <row r="85">
          <cell r="A85" t="str">
            <v>Belgium</v>
          </cell>
          <cell r="B85">
            <v>0.55000000000000004</v>
          </cell>
          <cell r="C85">
            <v>0.45</v>
          </cell>
        </row>
        <row r="86">
          <cell r="A86" t="str">
            <v>Jordan</v>
          </cell>
        </row>
        <row r="87">
          <cell r="A87" t="str">
            <v>North Macedonia</v>
          </cell>
        </row>
        <row r="88">
          <cell r="A88" t="str">
            <v>Libya</v>
          </cell>
        </row>
        <row r="89">
          <cell r="A89" t="str">
            <v>Trinidad &amp; Tobago</v>
          </cell>
        </row>
        <row r="90">
          <cell r="A90" t="str">
            <v>Egypt</v>
          </cell>
          <cell r="B90">
            <v>0.52</v>
          </cell>
          <cell r="C90">
            <v>0.48</v>
          </cell>
        </row>
        <row r="91">
          <cell r="A91" t="str">
            <v>Romania</v>
          </cell>
          <cell r="B91">
            <v>0.65</v>
          </cell>
          <cell r="C91">
            <v>0.35</v>
          </cell>
        </row>
        <row r="92">
          <cell r="A92" t="str">
            <v>Peru</v>
          </cell>
          <cell r="B92">
            <v>0.74</v>
          </cell>
          <cell r="C92">
            <v>0.26</v>
          </cell>
        </row>
        <row r="93">
          <cell r="A93" t="str">
            <v>Slovenia</v>
          </cell>
        </row>
        <row r="94">
          <cell r="A94" t="str">
            <v>France</v>
          </cell>
          <cell r="B94">
            <v>0.48</v>
          </cell>
          <cell r="C94">
            <v>0.52</v>
          </cell>
        </row>
        <row r="95">
          <cell r="A95" t="str">
            <v>Bulgaria</v>
          </cell>
        </row>
        <row r="96">
          <cell r="A96" t="str">
            <v>Somalia</v>
          </cell>
        </row>
        <row r="97">
          <cell r="A97" t="str">
            <v>Serbia</v>
          </cell>
        </row>
        <row r="98">
          <cell r="A98" t="str">
            <v>Ecuador</v>
          </cell>
        </row>
        <row r="99">
          <cell r="A99" t="str">
            <v>Bahrain</v>
          </cell>
        </row>
        <row r="100">
          <cell r="A100" t="str">
            <v>Slovakia</v>
          </cell>
        </row>
        <row r="101">
          <cell r="A101" t="str">
            <v>Colombia</v>
          </cell>
          <cell r="B101">
            <v>0.75</v>
          </cell>
          <cell r="C101">
            <v>0.25</v>
          </cell>
        </row>
        <row r="102">
          <cell r="A102" t="str">
            <v>Bolivia</v>
          </cell>
        </row>
        <row r="103">
          <cell r="A103" t="str">
            <v>Hungary</v>
          </cell>
          <cell r="B103">
            <v>0.56999999999999995</v>
          </cell>
          <cell r="C103">
            <v>0.43</v>
          </cell>
        </row>
        <row r="104">
          <cell r="A104" t="str">
            <v>Qatar</v>
          </cell>
        </row>
        <row r="105">
          <cell r="A105" t="str">
            <v>Spain</v>
          </cell>
          <cell r="B105">
            <v>0.57999999999999996</v>
          </cell>
          <cell r="C105">
            <v>0.42</v>
          </cell>
        </row>
        <row r="106">
          <cell r="A106" t="str">
            <v>Italy</v>
          </cell>
          <cell r="B106">
            <v>0.64</v>
          </cell>
          <cell r="C106">
            <v>0.36</v>
          </cell>
        </row>
        <row r="107">
          <cell r="A107" t="str">
            <v>Albania</v>
          </cell>
        </row>
        <row r="108">
          <cell r="A108" t="str">
            <v>Georgia</v>
          </cell>
        </row>
        <row r="109">
          <cell r="A109" t="str">
            <v>Mexico</v>
          </cell>
          <cell r="B109">
            <v>0.78</v>
          </cell>
          <cell r="C109">
            <v>0.22</v>
          </cell>
        </row>
        <row r="110">
          <cell r="A110" t="str">
            <v>Chile</v>
          </cell>
          <cell r="B110">
            <v>0.64</v>
          </cell>
          <cell r="C110">
            <v>0.36</v>
          </cell>
        </row>
        <row r="111">
          <cell r="A111" t="str">
            <v>Thailand</v>
          </cell>
          <cell r="B111">
            <v>0.61</v>
          </cell>
          <cell r="C111">
            <v>0.39</v>
          </cell>
        </row>
        <row r="112">
          <cell r="A112" t="str">
            <v>Vietnam</v>
          </cell>
          <cell r="B112">
            <v>0.42</v>
          </cell>
          <cell r="C112">
            <v>0.57999999999999996</v>
          </cell>
        </row>
        <row r="113">
          <cell r="A113" t="str">
            <v>Turkey</v>
          </cell>
          <cell r="B113">
            <v>0.56999999999999995</v>
          </cell>
          <cell r="C113">
            <v>0.43</v>
          </cell>
        </row>
        <row r="114">
          <cell r="A114" t="str">
            <v>Yemen</v>
          </cell>
        </row>
        <row r="115">
          <cell r="A115" t="str">
            <v>Kyrgyzstan</v>
          </cell>
        </row>
        <row r="116">
          <cell r="A116" t="str">
            <v>Uzbekistan</v>
          </cell>
        </row>
        <row r="117">
          <cell r="A117" t="str">
            <v>Azerbaijan</v>
          </cell>
        </row>
        <row r="118">
          <cell r="A118" t="str">
            <v>Kuwait</v>
          </cell>
        </row>
        <row r="119">
          <cell r="A119" t="str">
            <v>Costa Rica</v>
          </cell>
        </row>
        <row r="120">
          <cell r="A120" t="str">
            <v>Brazil</v>
          </cell>
          <cell r="B120">
            <v>0.67</v>
          </cell>
          <cell r="C120">
            <v>0.33</v>
          </cell>
        </row>
        <row r="121">
          <cell r="A121" t="str">
            <v>Saudi Arabia</v>
          </cell>
          <cell r="B121">
            <v>0.56000000000000005</v>
          </cell>
          <cell r="C121">
            <v>0.44</v>
          </cell>
        </row>
        <row r="122">
          <cell r="A122" t="str">
            <v>El Salvador</v>
          </cell>
        </row>
        <row r="123">
          <cell r="A123" t="str">
            <v>Guatemala</v>
          </cell>
        </row>
        <row r="124">
          <cell r="A124" t="str">
            <v>Uruguay</v>
          </cell>
        </row>
        <row r="125">
          <cell r="A125" t="str">
            <v>Bosnia &amp; Herzegovina</v>
          </cell>
        </row>
        <row r="126">
          <cell r="A126" t="str">
            <v>Puerto Rico</v>
          </cell>
        </row>
        <row r="127">
          <cell r="A127" t="str">
            <v>Palestine</v>
          </cell>
        </row>
        <row r="128">
          <cell r="A128" t="str">
            <v>Panama</v>
          </cell>
        </row>
        <row r="129">
          <cell r="A129" t="str">
            <v>Paraguay</v>
          </cell>
        </row>
        <row r="130">
          <cell r="A130" t="str">
            <v>Dominican Republic</v>
          </cell>
        </row>
        <row r="131">
          <cell r="A131" t="str">
            <v>Argentina</v>
          </cell>
          <cell r="B131">
            <v>0.64</v>
          </cell>
          <cell r="C131">
            <v>0.36</v>
          </cell>
        </row>
        <row r="132">
          <cell r="A132" t="str">
            <v>Honduras</v>
          </cell>
        </row>
        <row r="133">
          <cell r="A133" t="str">
            <v>Venezuela</v>
          </cell>
        </row>
        <row r="134">
          <cell r="A134" t="str">
            <v>North Korea</v>
          </cell>
        </row>
        <row r="135">
          <cell r="A135" t="str">
            <v>Eritrea</v>
          </cell>
        </row>
        <row r="136">
          <cell r="A136" t="str">
            <v>British Virgin Islands</v>
          </cell>
        </row>
        <row r="137">
          <cell r="A137" t="str">
            <v>American Samoa</v>
          </cell>
        </row>
        <row r="138">
          <cell r="A138" t="str">
            <v>Sint Maarten</v>
          </cell>
        </row>
        <row r="139">
          <cell r="A139" t="str">
            <v>Liberia</v>
          </cell>
        </row>
        <row r="140">
          <cell r="A140" t="str">
            <v>Vanuatu</v>
          </cell>
        </row>
        <row r="141">
          <cell r="A141" t="str">
            <v>Northern Mariana Islands</v>
          </cell>
        </row>
        <row r="142">
          <cell r="A142" t="str">
            <v>Ã…land Islands</v>
          </cell>
        </row>
        <row r="143">
          <cell r="A143" t="str">
            <v>Dominica</v>
          </cell>
        </row>
        <row r="144">
          <cell r="A144" t="str">
            <v>Solomon Islands</v>
          </cell>
        </row>
        <row r="145">
          <cell r="A145" t="str">
            <v>Gambia</v>
          </cell>
        </row>
        <row r="146">
          <cell r="A146" t="str">
            <v>U.S. Virgin Islands</v>
          </cell>
        </row>
        <row r="147">
          <cell r="A147" t="str">
            <v>Djibouti</v>
          </cell>
        </row>
        <row r="148">
          <cell r="A148" t="str">
            <v>Turks &amp; Caicos Islands</v>
          </cell>
        </row>
        <row r="149">
          <cell r="A149" t="str">
            <v>Togo</v>
          </cell>
        </row>
        <row r="150">
          <cell r="A150" t="str">
            <v>Greenland</v>
          </cell>
        </row>
        <row r="151">
          <cell r="A151" t="str">
            <v>San Marino</v>
          </cell>
        </row>
        <row r="152">
          <cell r="A152" t="str">
            <v>Aruba</v>
          </cell>
        </row>
        <row r="153">
          <cell r="A153" t="str">
            <v>Guyana</v>
          </cell>
        </row>
        <row r="154">
          <cell r="A154" t="str">
            <v>Maldives</v>
          </cell>
        </row>
        <row r="155">
          <cell r="A155" t="str">
            <v>Lesotho</v>
          </cell>
        </row>
        <row r="156">
          <cell r="A156" t="str">
            <v>Grenada</v>
          </cell>
        </row>
        <row r="157">
          <cell r="A157" t="str">
            <v>Burundi</v>
          </cell>
        </row>
        <row r="158">
          <cell r="A158" t="str">
            <v>Bermuda</v>
          </cell>
        </row>
        <row r="159">
          <cell r="A159" t="str">
            <v>Seychelles</v>
          </cell>
        </row>
        <row r="160">
          <cell r="A160" t="str">
            <v>Mayotte</v>
          </cell>
        </row>
        <row r="161">
          <cell r="A161" t="str">
            <v>Faroe Islands</v>
          </cell>
        </row>
        <row r="162">
          <cell r="A162" t="str">
            <v>Benin</v>
          </cell>
        </row>
        <row r="163">
          <cell r="A163" t="str">
            <v>St. Vincent &amp; Grenadines</v>
          </cell>
        </row>
        <row r="164">
          <cell r="A164" t="str">
            <v>Malawi</v>
          </cell>
        </row>
        <row r="165">
          <cell r="A165" t="str">
            <v>Kosovo</v>
          </cell>
        </row>
        <row r="166">
          <cell r="A166" t="str">
            <v>Andorra</v>
          </cell>
        </row>
        <row r="167">
          <cell r="A167" t="str">
            <v>Namibia</v>
          </cell>
        </row>
        <row r="168">
          <cell r="A168" t="str">
            <v>South Sudan</v>
          </cell>
        </row>
        <row r="169">
          <cell r="A169" t="str">
            <v>Isle of Man</v>
          </cell>
        </row>
        <row r="170">
          <cell r="A170" t="str">
            <v>Gibraltar</v>
          </cell>
        </row>
        <row r="171">
          <cell r="A171" t="str">
            <v>Monaco</v>
          </cell>
        </row>
        <row r="172">
          <cell r="A172" t="str">
            <v>Barbados</v>
          </cell>
        </row>
        <row r="173">
          <cell r="A173" t="str">
            <v>Mauritania</v>
          </cell>
        </row>
        <row r="174">
          <cell r="A174" t="str">
            <v>Timor-Leste</v>
          </cell>
        </row>
        <row r="175">
          <cell r="A175" t="str">
            <v>Brunei</v>
          </cell>
        </row>
        <row r="176">
          <cell r="A176" t="str">
            <v>CuraÃ§ao</v>
          </cell>
        </row>
        <row r="177">
          <cell r="A177" t="str">
            <v>Papua New Guinea</v>
          </cell>
        </row>
        <row r="178">
          <cell r="A178" t="str">
            <v>French Polynesia</v>
          </cell>
        </row>
        <row r="179">
          <cell r="A179" t="str">
            <v>Zambia</v>
          </cell>
        </row>
        <row r="180">
          <cell r="A180" t="str">
            <v>Senegal</v>
          </cell>
        </row>
        <row r="181">
          <cell r="A181" t="str">
            <v>Antigua &amp; Barbuda</v>
          </cell>
        </row>
        <row r="182">
          <cell r="A182" t="str">
            <v>Haiti</v>
          </cell>
        </row>
        <row r="183">
          <cell r="A183" t="str">
            <v>Bahamas</v>
          </cell>
        </row>
        <row r="184">
          <cell r="A184" t="str">
            <v>Eswatini</v>
          </cell>
        </row>
        <row r="185">
          <cell r="A185" t="str">
            <v>Jersey</v>
          </cell>
        </row>
        <row r="186">
          <cell r="A186" t="str">
            <v>Guernsey</v>
          </cell>
        </row>
        <row r="187">
          <cell r="A187" t="str">
            <v>Cayman Islands</v>
          </cell>
        </row>
        <row r="188">
          <cell r="A188" t="str">
            <v>Belize</v>
          </cell>
        </row>
        <row r="189">
          <cell r="A189" t="str">
            <v>Cape Verde</v>
          </cell>
        </row>
        <row r="190">
          <cell r="A190" t="str">
            <v>Suriname</v>
          </cell>
        </row>
        <row r="191">
          <cell r="A191" t="str">
            <v>Mozambique</v>
          </cell>
        </row>
        <row r="192">
          <cell r="A192" t="str">
            <v>Sierra Leone</v>
          </cell>
        </row>
        <row r="193">
          <cell r="A193" t="str">
            <v>Guam</v>
          </cell>
        </row>
        <row r="194">
          <cell r="A194" t="str">
            <v>Angola</v>
          </cell>
        </row>
        <row r="195">
          <cell r="A195" t="str">
            <v>Congo - Kinshasa</v>
          </cell>
        </row>
        <row r="196">
          <cell r="A196" t="str">
            <v>Nicaragua</v>
          </cell>
        </row>
        <row r="197">
          <cell r="A197" t="str">
            <v>CÃ´te dâ€™Ivoire</v>
          </cell>
        </row>
        <row r="198">
          <cell r="A198" t="str">
            <v>Mali</v>
          </cell>
        </row>
        <row r="199">
          <cell r="A199" t="str">
            <v>RÃ©union</v>
          </cell>
        </row>
        <row r="200">
          <cell r="A200" t="str">
            <v>New Caledonia</v>
          </cell>
        </row>
        <row r="201">
          <cell r="A201" t="str">
            <v>Tajikistan</v>
          </cell>
        </row>
        <row r="202">
          <cell r="A202" t="str">
            <v>Gabon</v>
          </cell>
        </row>
        <row r="203">
          <cell r="A203" t="str">
            <v>Turkmenistan</v>
          </cell>
        </row>
        <row r="204">
          <cell r="A204" t="str">
            <v>Martinique</v>
          </cell>
        </row>
        <row r="205">
          <cell r="A205" t="str">
            <v>Burkina Faso</v>
          </cell>
        </row>
        <row r="206">
          <cell r="A206" t="str">
            <v>Guadeloupe</v>
          </cell>
        </row>
        <row r="207">
          <cell r="A207" t="str">
            <v>Montenegro</v>
          </cell>
        </row>
        <row r="208">
          <cell r="A208" t="str">
            <v>Anguilla</v>
          </cell>
        </row>
        <row r="209">
          <cell r="A209" t="str">
            <v>Antarctica</v>
          </cell>
        </row>
        <row r="210">
          <cell r="A210" t="str">
            <v>French Southern Territories</v>
          </cell>
        </row>
        <row r="211">
          <cell r="A211" t="str">
            <v>Caribbean Netherlands</v>
          </cell>
        </row>
        <row r="212">
          <cell r="A212" t="str">
            <v>St. BarthÃ©lemy</v>
          </cell>
        </row>
        <row r="213">
          <cell r="A213" t="str">
            <v>Bouvet Island</v>
          </cell>
        </row>
        <row r="214">
          <cell r="A214" t="str">
            <v>Central African Republic</v>
          </cell>
        </row>
        <row r="215">
          <cell r="A215" t="str">
            <v>Cocos (Keeling) Islands</v>
          </cell>
        </row>
        <row r="216">
          <cell r="A216" t="str">
            <v>Congo - Brazzaville</v>
          </cell>
        </row>
        <row r="217">
          <cell r="A217" t="str">
            <v>Cook Islands</v>
          </cell>
        </row>
        <row r="218">
          <cell r="A218" t="str">
            <v>Comoros</v>
          </cell>
        </row>
        <row r="219">
          <cell r="A219" t="str">
            <v>Christmas Island</v>
          </cell>
        </row>
        <row r="220">
          <cell r="A220" t="str">
            <v>Western Sahara</v>
          </cell>
        </row>
        <row r="221">
          <cell r="A221" t="str">
            <v>Falkland Islands (Islas Malvinas)</v>
          </cell>
        </row>
        <row r="222">
          <cell r="A222" t="str">
            <v>Micronesia</v>
          </cell>
        </row>
        <row r="223">
          <cell r="A223" t="str">
            <v>Guinea</v>
          </cell>
        </row>
        <row r="224">
          <cell r="A224" t="str">
            <v>Guinea-Bissau</v>
          </cell>
        </row>
        <row r="225">
          <cell r="A225" t="str">
            <v>Equatorial Guinea</v>
          </cell>
        </row>
        <row r="226">
          <cell r="A226" t="str">
            <v>French Guiana</v>
          </cell>
        </row>
        <row r="227">
          <cell r="A227" t="str">
            <v>Heard &amp; McDonald Islands</v>
          </cell>
        </row>
        <row r="228">
          <cell r="A228" t="str">
            <v>British Indian Ocean Territory</v>
          </cell>
        </row>
        <row r="229">
          <cell r="A229" t="str">
            <v>Kiribati</v>
          </cell>
        </row>
        <row r="230">
          <cell r="A230" t="str">
            <v>St. Kitts &amp; Nevis</v>
          </cell>
        </row>
        <row r="231">
          <cell r="A231" t="str">
            <v>St. Lucia</v>
          </cell>
        </row>
        <row r="232">
          <cell r="A232" t="str">
            <v>Liechtenstein</v>
          </cell>
        </row>
        <row r="233">
          <cell r="A233" t="str">
            <v>St. Martin</v>
          </cell>
        </row>
        <row r="234">
          <cell r="A234" t="str">
            <v>Marshall Islands</v>
          </cell>
        </row>
        <row r="235">
          <cell r="A235" t="str">
            <v>Montserrat</v>
          </cell>
        </row>
        <row r="236">
          <cell r="A236" t="str">
            <v>Niger</v>
          </cell>
        </row>
        <row r="237">
          <cell r="A237" t="str">
            <v>Norfolk Island</v>
          </cell>
        </row>
        <row r="238">
          <cell r="A238" t="str">
            <v>Niue</v>
          </cell>
        </row>
        <row r="239">
          <cell r="A239" t="str">
            <v>Nauru</v>
          </cell>
        </row>
        <row r="240">
          <cell r="A240" t="str">
            <v>Pitcairn Islands</v>
          </cell>
        </row>
        <row r="241">
          <cell r="A241" t="str">
            <v>Palau</v>
          </cell>
        </row>
        <row r="242">
          <cell r="A242" t="str">
            <v>South Georgia &amp; South Sandwich Islands</v>
          </cell>
        </row>
        <row r="243">
          <cell r="A243" t="str">
            <v>Svalbard &amp; Jan Mayen</v>
          </cell>
        </row>
        <row r="244">
          <cell r="A244" t="str">
            <v>St. Pierre &amp; Miquelon</v>
          </cell>
        </row>
        <row r="245">
          <cell r="A245" t="str">
            <v>SÃ£o TomÃ© &amp; PrÃ­ncipe</v>
          </cell>
        </row>
        <row r="246">
          <cell r="A246" t="str">
            <v>Chad</v>
          </cell>
        </row>
        <row r="247">
          <cell r="A247" t="str">
            <v>Tokelau</v>
          </cell>
        </row>
        <row r="248">
          <cell r="A248" t="str">
            <v>Tonga</v>
          </cell>
        </row>
        <row r="249">
          <cell r="A249" t="str">
            <v>Tuvalu</v>
          </cell>
        </row>
        <row r="250">
          <cell r="A250" t="str">
            <v>U.S. Outlying Islands</v>
          </cell>
        </row>
        <row r="251">
          <cell r="A251" t="str">
            <v>Vatican City</v>
          </cell>
        </row>
        <row r="252">
          <cell r="A252" t="str">
            <v>Wallis &amp; Futuna</v>
          </cell>
        </row>
        <row r="253">
          <cell r="A253" t="str">
            <v>Samoa</v>
          </cell>
        </row>
      </sheetData>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7)"/>
    </sheetNames>
    <sheetDataSet>
      <sheetData sheetId="0" refreshError="1">
        <row r="1">
          <cell r="A1" t="str">
            <v>Kategori: TÃ¼m kategoriler</v>
          </cell>
        </row>
        <row r="3">
          <cell r="A3" t="str">
            <v>Ãœlke</v>
          </cell>
          <cell r="B3" t="str">
            <v>Derin Ã¶ÄŸrenme: (2018)</v>
          </cell>
          <cell r="C3" t="str">
            <v>Ã–bek: (2018)</v>
          </cell>
        </row>
        <row r="4">
          <cell r="A4" t="str">
            <v>China</v>
          </cell>
          <cell r="B4">
            <v>0.76</v>
          </cell>
          <cell r="C4">
            <v>0.24</v>
          </cell>
        </row>
        <row r="5">
          <cell r="A5" t="str">
            <v>South Korea</v>
          </cell>
          <cell r="B5">
            <v>0.71</v>
          </cell>
          <cell r="C5">
            <v>0.28999999999999998</v>
          </cell>
        </row>
        <row r="6">
          <cell r="A6" t="str">
            <v>Singapore</v>
          </cell>
          <cell r="B6">
            <v>0.68</v>
          </cell>
          <cell r="C6">
            <v>0.32</v>
          </cell>
        </row>
        <row r="7">
          <cell r="A7" t="str">
            <v>Taiwan</v>
          </cell>
          <cell r="B7">
            <v>0.5</v>
          </cell>
          <cell r="C7">
            <v>0.5</v>
          </cell>
        </row>
        <row r="8">
          <cell r="A8" t="str">
            <v>St. Helena</v>
          </cell>
          <cell r="B8">
            <v>0.54</v>
          </cell>
          <cell r="C8">
            <v>0.46</v>
          </cell>
        </row>
        <row r="9">
          <cell r="A9" t="str">
            <v>Hong Kong</v>
          </cell>
          <cell r="B9">
            <v>0.52</v>
          </cell>
          <cell r="C9">
            <v>0.48</v>
          </cell>
        </row>
        <row r="10">
          <cell r="A10" t="str">
            <v>Japan</v>
          </cell>
          <cell r="B10">
            <v>0.84</v>
          </cell>
          <cell r="C10">
            <v>0.16</v>
          </cell>
        </row>
        <row r="11">
          <cell r="A11" t="str">
            <v>Israel</v>
          </cell>
          <cell r="B11">
            <v>0.56999999999999995</v>
          </cell>
          <cell r="C11">
            <v>0.43</v>
          </cell>
        </row>
        <row r="12">
          <cell r="A12" t="str">
            <v>Pakistan</v>
          </cell>
          <cell r="B12">
            <v>0.33</v>
          </cell>
          <cell r="C12">
            <v>0.67</v>
          </cell>
        </row>
        <row r="13">
          <cell r="A13" t="str">
            <v>Uzbekistan</v>
          </cell>
          <cell r="C13">
            <v>1</v>
          </cell>
        </row>
        <row r="14">
          <cell r="A14" t="str">
            <v>Lesotho</v>
          </cell>
        </row>
        <row r="15">
          <cell r="A15" t="str">
            <v>New Zealand</v>
          </cell>
          <cell r="B15">
            <v>0.28999999999999998</v>
          </cell>
          <cell r="C15">
            <v>0.71</v>
          </cell>
        </row>
        <row r="16">
          <cell r="A16" t="str">
            <v>Macao</v>
          </cell>
        </row>
        <row r="17">
          <cell r="A17" t="str">
            <v>Tajikistan</v>
          </cell>
        </row>
        <row r="18">
          <cell r="A18" t="str">
            <v>Tunisia</v>
          </cell>
        </row>
        <row r="19">
          <cell r="A19" t="str">
            <v>Estonia</v>
          </cell>
        </row>
        <row r="20">
          <cell r="A20" t="str">
            <v>Switzerland</v>
          </cell>
          <cell r="B20">
            <v>0.71</v>
          </cell>
          <cell r="C20">
            <v>0.28999999999999998</v>
          </cell>
        </row>
        <row r="21">
          <cell r="A21" t="str">
            <v>Australia</v>
          </cell>
          <cell r="B21">
            <v>0.35</v>
          </cell>
          <cell r="C21">
            <v>0.65</v>
          </cell>
        </row>
        <row r="22">
          <cell r="A22" t="str">
            <v>Madagascar</v>
          </cell>
        </row>
        <row r="23">
          <cell r="A23" t="str">
            <v>Iran</v>
          </cell>
          <cell r="B23">
            <v>0.36</v>
          </cell>
          <cell r="C23">
            <v>0.64</v>
          </cell>
        </row>
        <row r="24">
          <cell r="A24" t="str">
            <v>India</v>
          </cell>
          <cell r="B24">
            <v>0.46</v>
          </cell>
          <cell r="C24">
            <v>0.54</v>
          </cell>
        </row>
        <row r="25">
          <cell r="A25" t="str">
            <v>United States</v>
          </cell>
          <cell r="B25">
            <v>0.44</v>
          </cell>
          <cell r="C25">
            <v>0.56000000000000005</v>
          </cell>
        </row>
        <row r="26">
          <cell r="A26" t="str">
            <v>Ethiopia</v>
          </cell>
        </row>
        <row r="27">
          <cell r="A27" t="str">
            <v>Zimbabwe</v>
          </cell>
        </row>
        <row r="28">
          <cell r="A28" t="str">
            <v>Belarus</v>
          </cell>
        </row>
        <row r="29">
          <cell r="A29" t="str">
            <v>Nepal</v>
          </cell>
        </row>
        <row r="30">
          <cell r="A30" t="str">
            <v>Luxembourg</v>
          </cell>
        </row>
        <row r="31">
          <cell r="A31" t="str">
            <v>Canada</v>
          </cell>
          <cell r="B31">
            <v>0.56000000000000005</v>
          </cell>
          <cell r="C31">
            <v>0.44</v>
          </cell>
        </row>
        <row r="32">
          <cell r="A32" t="str">
            <v>Russia</v>
          </cell>
          <cell r="B32">
            <v>0.19</v>
          </cell>
          <cell r="C32">
            <v>0.81</v>
          </cell>
        </row>
        <row r="33">
          <cell r="A33" t="str">
            <v>Iceland</v>
          </cell>
        </row>
        <row r="34">
          <cell r="A34" t="str">
            <v>Denmark</v>
          </cell>
          <cell r="B34">
            <v>0.4</v>
          </cell>
          <cell r="C34">
            <v>0.6</v>
          </cell>
        </row>
        <row r="35">
          <cell r="A35" t="str">
            <v>Zambia</v>
          </cell>
        </row>
        <row r="36">
          <cell r="A36" t="str">
            <v>Rwanda</v>
          </cell>
        </row>
        <row r="37">
          <cell r="A37" t="str">
            <v>Myanmar (Burma)</v>
          </cell>
        </row>
        <row r="38">
          <cell r="A38" t="str">
            <v>Ireland</v>
          </cell>
          <cell r="B38">
            <v>0.53</v>
          </cell>
          <cell r="C38">
            <v>0.47</v>
          </cell>
        </row>
        <row r="39">
          <cell r="A39" t="str">
            <v>United Kingdom</v>
          </cell>
          <cell r="B39">
            <v>0.42</v>
          </cell>
          <cell r="C39">
            <v>0.57999999999999996</v>
          </cell>
        </row>
        <row r="40">
          <cell r="A40" t="str">
            <v>Ukraine</v>
          </cell>
          <cell r="B40">
            <v>0.16</v>
          </cell>
          <cell r="C40">
            <v>0.84</v>
          </cell>
        </row>
        <row r="41">
          <cell r="A41" t="str">
            <v>Philippines</v>
          </cell>
          <cell r="B41">
            <v>0.28000000000000003</v>
          </cell>
          <cell r="C41">
            <v>0.72</v>
          </cell>
        </row>
        <row r="42">
          <cell r="A42" t="str">
            <v>Sri Lanka</v>
          </cell>
        </row>
        <row r="43">
          <cell r="A43" t="str">
            <v>Cyprus</v>
          </cell>
        </row>
        <row r="44">
          <cell r="A44" t="str">
            <v>Lithuania</v>
          </cell>
        </row>
        <row r="45">
          <cell r="A45" t="str">
            <v>Germany</v>
          </cell>
          <cell r="B45">
            <v>0.64</v>
          </cell>
          <cell r="C45">
            <v>0.36</v>
          </cell>
        </row>
        <row r="46">
          <cell r="A46" t="str">
            <v>Czechia</v>
          </cell>
          <cell r="B46">
            <v>0.32</v>
          </cell>
          <cell r="C46">
            <v>0.68</v>
          </cell>
        </row>
        <row r="47">
          <cell r="A47" t="str">
            <v>Sweden</v>
          </cell>
          <cell r="B47">
            <v>0.56999999999999995</v>
          </cell>
          <cell r="C47">
            <v>0.43</v>
          </cell>
        </row>
        <row r="48">
          <cell r="A48" t="str">
            <v>Mauritius</v>
          </cell>
        </row>
        <row r="49">
          <cell r="A49" t="str">
            <v>Malta</v>
          </cell>
        </row>
        <row r="50">
          <cell r="A50" t="str">
            <v>Botswana</v>
          </cell>
        </row>
        <row r="51">
          <cell r="A51" t="str">
            <v>Maldives</v>
          </cell>
        </row>
        <row r="52">
          <cell r="A52" t="str">
            <v>Norway</v>
          </cell>
          <cell r="B52">
            <v>0.56999999999999995</v>
          </cell>
          <cell r="C52">
            <v>0.43</v>
          </cell>
        </row>
        <row r="53">
          <cell r="A53" t="str">
            <v>Kazakhstan</v>
          </cell>
        </row>
        <row r="54">
          <cell r="A54" t="str">
            <v>Finland</v>
          </cell>
          <cell r="B54">
            <v>0.45</v>
          </cell>
          <cell r="C54">
            <v>0.55000000000000004</v>
          </cell>
        </row>
        <row r="55">
          <cell r="A55" t="str">
            <v>Serbia</v>
          </cell>
        </row>
        <row r="56">
          <cell r="A56" t="str">
            <v>Netherlands</v>
          </cell>
          <cell r="B56">
            <v>0.63</v>
          </cell>
          <cell r="C56">
            <v>0.37</v>
          </cell>
        </row>
        <row r="57">
          <cell r="A57" t="str">
            <v>Bangladesh</v>
          </cell>
          <cell r="B57">
            <v>0.52</v>
          </cell>
          <cell r="C57">
            <v>0.48</v>
          </cell>
        </row>
        <row r="58">
          <cell r="A58" t="str">
            <v>Mongolia</v>
          </cell>
        </row>
        <row r="59">
          <cell r="A59" t="str">
            <v>Kyrgyzstan</v>
          </cell>
        </row>
        <row r="60">
          <cell r="A60" t="str">
            <v>Malaysia</v>
          </cell>
          <cell r="B60">
            <v>0.51</v>
          </cell>
          <cell r="C60">
            <v>0.49</v>
          </cell>
        </row>
        <row r="61">
          <cell r="A61" t="str">
            <v>Ghana</v>
          </cell>
        </row>
        <row r="62">
          <cell r="A62" t="str">
            <v>United Arab Emirates</v>
          </cell>
          <cell r="B62">
            <v>0.46</v>
          </cell>
          <cell r="C62">
            <v>0.54</v>
          </cell>
        </row>
        <row r="63">
          <cell r="A63" t="str">
            <v>Moldova</v>
          </cell>
        </row>
        <row r="64">
          <cell r="A64" t="str">
            <v>Armenia</v>
          </cell>
        </row>
        <row r="65">
          <cell r="A65" t="str">
            <v>France</v>
          </cell>
          <cell r="B65">
            <v>0.67</v>
          </cell>
          <cell r="C65">
            <v>0.33</v>
          </cell>
        </row>
        <row r="66">
          <cell r="A66" t="str">
            <v>Slovenia</v>
          </cell>
        </row>
        <row r="67">
          <cell r="A67" t="str">
            <v>Austria</v>
          </cell>
          <cell r="B67">
            <v>0.61</v>
          </cell>
          <cell r="C67">
            <v>0.39</v>
          </cell>
        </row>
        <row r="68">
          <cell r="A68" t="str">
            <v>Egypt</v>
          </cell>
          <cell r="B68">
            <v>0.68</v>
          </cell>
          <cell r="C68">
            <v>0.32</v>
          </cell>
        </row>
        <row r="69">
          <cell r="A69" t="str">
            <v>Jamaica</v>
          </cell>
        </row>
        <row r="70">
          <cell r="A70" t="str">
            <v>Uganda</v>
          </cell>
        </row>
        <row r="71">
          <cell r="A71" t="str">
            <v>Cameroon</v>
          </cell>
        </row>
        <row r="72">
          <cell r="A72" t="str">
            <v>Kenya</v>
          </cell>
        </row>
        <row r="73">
          <cell r="A73" t="str">
            <v>Belgium</v>
          </cell>
          <cell r="B73">
            <v>0.61</v>
          </cell>
          <cell r="C73">
            <v>0.39</v>
          </cell>
        </row>
        <row r="74">
          <cell r="A74" t="str">
            <v>Latvia</v>
          </cell>
        </row>
        <row r="75">
          <cell r="A75" t="str">
            <v>Trinidad &amp; Tobago</v>
          </cell>
        </row>
        <row r="76">
          <cell r="A76" t="str">
            <v>North Macedonia</v>
          </cell>
        </row>
        <row r="77">
          <cell r="A77" t="str">
            <v>Lebanon</v>
          </cell>
        </row>
        <row r="78">
          <cell r="A78" t="str">
            <v>Nigeria</v>
          </cell>
          <cell r="B78">
            <v>0.38</v>
          </cell>
          <cell r="C78">
            <v>0.62</v>
          </cell>
        </row>
        <row r="79">
          <cell r="A79" t="str">
            <v>Senegal</v>
          </cell>
        </row>
        <row r="80">
          <cell r="A80" t="str">
            <v>Morocco</v>
          </cell>
          <cell r="B80">
            <v>0.64</v>
          </cell>
          <cell r="C80">
            <v>0.36</v>
          </cell>
        </row>
        <row r="81">
          <cell r="A81" t="str">
            <v>South Africa</v>
          </cell>
          <cell r="B81">
            <v>0.45</v>
          </cell>
          <cell r="C81">
            <v>0.55000000000000004</v>
          </cell>
        </row>
        <row r="82">
          <cell r="A82" t="str">
            <v>Algeria</v>
          </cell>
        </row>
        <row r="83">
          <cell r="A83" t="str">
            <v>Romania</v>
          </cell>
          <cell r="B83">
            <v>0.41</v>
          </cell>
          <cell r="C83">
            <v>0.59</v>
          </cell>
        </row>
        <row r="84">
          <cell r="A84" t="str">
            <v>Albania</v>
          </cell>
        </row>
        <row r="85">
          <cell r="A85" t="str">
            <v>Oman</v>
          </cell>
        </row>
        <row r="86">
          <cell r="A86" t="str">
            <v>Portugal</v>
          </cell>
          <cell r="B86">
            <v>0.56999999999999995</v>
          </cell>
          <cell r="C86">
            <v>0.43</v>
          </cell>
        </row>
        <row r="87">
          <cell r="A87" t="str">
            <v>Greece</v>
          </cell>
          <cell r="B87">
            <v>0.47</v>
          </cell>
          <cell r="C87">
            <v>0.53</v>
          </cell>
        </row>
        <row r="88">
          <cell r="A88" t="str">
            <v>Hungary</v>
          </cell>
          <cell r="B88">
            <v>0.47</v>
          </cell>
          <cell r="C88">
            <v>0.53</v>
          </cell>
        </row>
        <row r="89">
          <cell r="A89" t="str">
            <v>Qatar</v>
          </cell>
        </row>
        <row r="90">
          <cell r="A90" t="str">
            <v>Bulgaria</v>
          </cell>
        </row>
        <row r="91">
          <cell r="A91" t="str">
            <v>Bosnia &amp; Herzegovina</v>
          </cell>
        </row>
        <row r="92">
          <cell r="A92" t="str">
            <v>Vietnam</v>
          </cell>
          <cell r="B92">
            <v>0.63</v>
          </cell>
          <cell r="C92">
            <v>0.37</v>
          </cell>
        </row>
        <row r="93">
          <cell r="A93" t="str">
            <v>Georgia</v>
          </cell>
        </row>
        <row r="94">
          <cell r="A94" t="str">
            <v>Croatia</v>
          </cell>
          <cell r="B94">
            <v>0.5</v>
          </cell>
          <cell r="C94">
            <v>0.5</v>
          </cell>
        </row>
        <row r="95">
          <cell r="A95" t="str">
            <v>Palestine</v>
          </cell>
        </row>
        <row r="96">
          <cell r="A96" t="str">
            <v>Slovakia</v>
          </cell>
        </row>
        <row r="97">
          <cell r="A97" t="str">
            <v>Jordan</v>
          </cell>
        </row>
        <row r="98">
          <cell r="A98" t="str">
            <v>Thailand</v>
          </cell>
          <cell r="B98">
            <v>0.44</v>
          </cell>
          <cell r="C98">
            <v>0.56000000000000005</v>
          </cell>
        </row>
        <row r="99">
          <cell r="A99" t="str">
            <v>Spain</v>
          </cell>
          <cell r="B99">
            <v>0.65</v>
          </cell>
          <cell r="C99">
            <v>0.35</v>
          </cell>
        </row>
        <row r="100">
          <cell r="A100" t="str">
            <v>Burkina Faso</v>
          </cell>
        </row>
        <row r="101">
          <cell r="A101" t="str">
            <v>Tanzania</v>
          </cell>
        </row>
        <row r="102">
          <cell r="A102" t="str">
            <v>Turkey</v>
          </cell>
          <cell r="B102">
            <v>0.56999999999999995</v>
          </cell>
          <cell r="C102">
            <v>0.43</v>
          </cell>
        </row>
        <row r="103">
          <cell r="A103" t="str">
            <v>Costa Rica</v>
          </cell>
        </row>
        <row r="104">
          <cell r="A104" t="str">
            <v>Poland</v>
          </cell>
          <cell r="B104">
            <v>0.45</v>
          </cell>
          <cell r="C104">
            <v>0.55000000000000004</v>
          </cell>
        </row>
        <row r="105">
          <cell r="A105" t="str">
            <v>Syria</v>
          </cell>
        </row>
        <row r="106">
          <cell r="A106" t="str">
            <v>Sudan</v>
          </cell>
        </row>
        <row r="107">
          <cell r="A107" t="str">
            <v>Bahrain</v>
          </cell>
        </row>
        <row r="108">
          <cell r="A108" t="str">
            <v>Laos</v>
          </cell>
        </row>
        <row r="109">
          <cell r="A109" t="str">
            <v>Uruguay</v>
          </cell>
        </row>
        <row r="110">
          <cell r="A110" t="str">
            <v>Azerbaijan</v>
          </cell>
        </row>
        <row r="111">
          <cell r="A111" t="str">
            <v>Italy</v>
          </cell>
          <cell r="B111">
            <v>0.57999999999999996</v>
          </cell>
          <cell r="C111">
            <v>0.42</v>
          </cell>
        </row>
        <row r="112">
          <cell r="A112" t="str">
            <v>Kuwait</v>
          </cell>
        </row>
        <row r="113">
          <cell r="A113" t="str">
            <v>CÃ´te dâ€™Ivoire</v>
          </cell>
        </row>
        <row r="114">
          <cell r="A114" t="str">
            <v>Chile</v>
          </cell>
          <cell r="B114">
            <v>0.62</v>
          </cell>
          <cell r="C114">
            <v>0.38</v>
          </cell>
        </row>
        <row r="115">
          <cell r="A115" t="str">
            <v>Saudi Arabia</v>
          </cell>
          <cell r="B115">
            <v>0.54</v>
          </cell>
          <cell r="C115">
            <v>0.46</v>
          </cell>
        </row>
        <row r="116">
          <cell r="A116" t="str">
            <v>Montenegro</v>
          </cell>
        </row>
        <row r="117">
          <cell r="A117" t="str">
            <v>El Salvador</v>
          </cell>
        </row>
        <row r="118">
          <cell r="A118" t="str">
            <v>Iraq</v>
          </cell>
        </row>
        <row r="119">
          <cell r="A119" t="str">
            <v>Peru</v>
          </cell>
          <cell r="B119">
            <v>0.61</v>
          </cell>
          <cell r="C119">
            <v>0.39</v>
          </cell>
        </row>
        <row r="120">
          <cell r="A120" t="str">
            <v>Honduras</v>
          </cell>
        </row>
        <row r="121">
          <cell r="A121" t="str">
            <v>Cambodia</v>
          </cell>
        </row>
        <row r="122">
          <cell r="A122" t="str">
            <v>Colombia</v>
          </cell>
          <cell r="B122">
            <v>0.56999999999999995</v>
          </cell>
          <cell r="C122">
            <v>0.43</v>
          </cell>
        </row>
        <row r="123">
          <cell r="A123" t="str">
            <v>Puerto Rico</v>
          </cell>
        </row>
        <row r="124">
          <cell r="A124" t="str">
            <v>Brazil</v>
          </cell>
          <cell r="B124">
            <v>0.5</v>
          </cell>
          <cell r="C124">
            <v>0.5</v>
          </cell>
        </row>
        <row r="125">
          <cell r="A125" t="str">
            <v>Mexico</v>
          </cell>
          <cell r="B125">
            <v>0.46</v>
          </cell>
          <cell r="C125">
            <v>0.54</v>
          </cell>
        </row>
        <row r="126">
          <cell r="A126" t="str">
            <v>Bolivia</v>
          </cell>
        </row>
        <row r="127">
          <cell r="A127" t="str">
            <v>Indonesia</v>
          </cell>
          <cell r="B127">
            <v>0.51</v>
          </cell>
          <cell r="C127">
            <v>0.49</v>
          </cell>
        </row>
        <row r="128">
          <cell r="A128" t="str">
            <v>Guatemala</v>
          </cell>
        </row>
        <row r="129">
          <cell r="A129" t="str">
            <v>Ecuador</v>
          </cell>
        </row>
        <row r="130">
          <cell r="A130" t="str">
            <v>RÃ©union</v>
          </cell>
        </row>
        <row r="131">
          <cell r="A131" t="str">
            <v>Argentina</v>
          </cell>
          <cell r="B131">
            <v>0.53</v>
          </cell>
          <cell r="C131">
            <v>0.47</v>
          </cell>
        </row>
        <row r="132">
          <cell r="A132" t="str">
            <v>Panama</v>
          </cell>
        </row>
        <row r="133">
          <cell r="A133" t="str">
            <v>Dominican Republic</v>
          </cell>
        </row>
        <row r="134">
          <cell r="A134" t="str">
            <v>Venezuela</v>
          </cell>
        </row>
        <row r="135">
          <cell r="A135" t="str">
            <v>North Korea</v>
          </cell>
        </row>
        <row r="136">
          <cell r="A136" t="str">
            <v>San Marino</v>
          </cell>
        </row>
        <row r="137">
          <cell r="A137" t="str">
            <v>Solomon Islands</v>
          </cell>
        </row>
        <row r="138">
          <cell r="A138" t="str">
            <v>Gibraltar</v>
          </cell>
        </row>
        <row r="139">
          <cell r="A139" t="str">
            <v>Monaco</v>
          </cell>
        </row>
        <row r="140">
          <cell r="A140" t="str">
            <v>Seychelles</v>
          </cell>
        </row>
        <row r="141">
          <cell r="A141" t="str">
            <v>Cayman Islands</v>
          </cell>
        </row>
        <row r="142">
          <cell r="A142" t="str">
            <v>Liechtenstein</v>
          </cell>
        </row>
        <row r="143">
          <cell r="A143" t="str">
            <v>Brunei</v>
          </cell>
        </row>
        <row r="144">
          <cell r="A144" t="str">
            <v>Chad</v>
          </cell>
        </row>
        <row r="145">
          <cell r="A145" t="str">
            <v>Congo - Brazzaville</v>
          </cell>
        </row>
        <row r="146">
          <cell r="A146" t="str">
            <v>Western Sahara</v>
          </cell>
        </row>
        <row r="147">
          <cell r="A147" t="str">
            <v>Cuba</v>
          </cell>
        </row>
        <row r="148">
          <cell r="A148" t="str">
            <v>Djibouti</v>
          </cell>
        </row>
        <row r="149">
          <cell r="A149" t="str">
            <v>Somalia</v>
          </cell>
        </row>
        <row r="150">
          <cell r="A150" t="str">
            <v>Burundi</v>
          </cell>
        </row>
        <row r="151">
          <cell r="A151" t="str">
            <v>Bermuda</v>
          </cell>
        </row>
        <row r="152">
          <cell r="A152" t="str">
            <v>Papua New Guinea</v>
          </cell>
        </row>
        <row r="153">
          <cell r="A153" t="str">
            <v>Eswatini</v>
          </cell>
        </row>
        <row r="154">
          <cell r="A154" t="str">
            <v>Bhutan</v>
          </cell>
        </row>
        <row r="155">
          <cell r="A155" t="str">
            <v>Liberia</v>
          </cell>
        </row>
        <row r="156">
          <cell r="A156" t="str">
            <v>Andorra</v>
          </cell>
        </row>
        <row r="157">
          <cell r="A157" t="str">
            <v>Fiji</v>
          </cell>
        </row>
        <row r="158">
          <cell r="A158" t="str">
            <v>Mali</v>
          </cell>
        </row>
        <row r="159">
          <cell r="A159" t="str">
            <v>Niger</v>
          </cell>
        </row>
        <row r="160">
          <cell r="A160" t="str">
            <v>New Caledonia</v>
          </cell>
        </row>
        <row r="161">
          <cell r="A161" t="str">
            <v>Afghanistan</v>
          </cell>
        </row>
        <row r="162">
          <cell r="A162" t="str">
            <v>Benin</v>
          </cell>
        </row>
        <row r="163">
          <cell r="A163" t="str">
            <v>Gabon</v>
          </cell>
        </row>
        <row r="164">
          <cell r="A164" t="str">
            <v>CuraÃ§ao</v>
          </cell>
        </row>
        <row r="165">
          <cell r="A165" t="str">
            <v>French Guiana</v>
          </cell>
        </row>
        <row r="166">
          <cell r="A166" t="str">
            <v>Isle of Man</v>
          </cell>
        </row>
        <row r="167">
          <cell r="A167" t="str">
            <v>Togo</v>
          </cell>
        </row>
        <row r="168">
          <cell r="A168" t="str">
            <v>Belize</v>
          </cell>
        </row>
        <row r="169">
          <cell r="A169" t="str">
            <v>Libya</v>
          </cell>
        </row>
        <row r="170">
          <cell r="A170" t="str">
            <v>Martinique</v>
          </cell>
        </row>
        <row r="171">
          <cell r="A171" t="str">
            <v>Guam</v>
          </cell>
        </row>
        <row r="172">
          <cell r="A172" t="str">
            <v>Congo - Kinshasa</v>
          </cell>
        </row>
        <row r="173">
          <cell r="A173" t="str">
            <v>Jersey</v>
          </cell>
        </row>
        <row r="174">
          <cell r="A174" t="str">
            <v>Namibia</v>
          </cell>
        </row>
        <row r="175">
          <cell r="A175" t="str">
            <v>Turkmenistan</v>
          </cell>
        </row>
        <row r="176">
          <cell r="A176" t="str">
            <v>Suriname</v>
          </cell>
        </row>
        <row r="177">
          <cell r="A177" t="str">
            <v>Mozambique</v>
          </cell>
        </row>
        <row r="178">
          <cell r="A178" t="str">
            <v>Haiti</v>
          </cell>
        </row>
        <row r="179">
          <cell r="A179" t="str">
            <v>Bahamas</v>
          </cell>
        </row>
        <row r="180">
          <cell r="A180" t="str">
            <v>Angola</v>
          </cell>
        </row>
        <row r="181">
          <cell r="A181" t="str">
            <v>Guadeloupe</v>
          </cell>
        </row>
        <row r="182">
          <cell r="A182" t="str">
            <v>Paraguay</v>
          </cell>
        </row>
        <row r="183">
          <cell r="A183" t="str">
            <v>Yemen</v>
          </cell>
        </row>
        <row r="184">
          <cell r="A184" t="str">
            <v>Kosovo</v>
          </cell>
        </row>
        <row r="185">
          <cell r="A185" t="str">
            <v>Nicaragua</v>
          </cell>
        </row>
        <row r="186">
          <cell r="A186" t="str">
            <v>Aruba</v>
          </cell>
        </row>
        <row r="187">
          <cell r="A187" t="str">
            <v>Anguilla</v>
          </cell>
        </row>
        <row r="188">
          <cell r="A188" t="str">
            <v>Ã…land Islands</v>
          </cell>
        </row>
        <row r="189">
          <cell r="A189" t="str">
            <v>American Samoa</v>
          </cell>
        </row>
        <row r="190">
          <cell r="A190" t="str">
            <v>Antarctica</v>
          </cell>
        </row>
        <row r="191">
          <cell r="A191" t="str">
            <v>French Southern Territories</v>
          </cell>
        </row>
        <row r="192">
          <cell r="A192" t="str">
            <v>Antigua &amp; Barbuda</v>
          </cell>
        </row>
        <row r="193">
          <cell r="A193" t="str">
            <v>Caribbean Netherlands</v>
          </cell>
        </row>
        <row r="194">
          <cell r="A194" t="str">
            <v>St. BarthÃ©lemy</v>
          </cell>
        </row>
        <row r="195">
          <cell r="A195" t="str">
            <v>Barbados</v>
          </cell>
        </row>
        <row r="196">
          <cell r="A196" t="str">
            <v>Bouvet Island</v>
          </cell>
        </row>
        <row r="197">
          <cell r="A197" t="str">
            <v>Central African Republic</v>
          </cell>
        </row>
        <row r="198">
          <cell r="A198" t="str">
            <v>Cocos (Keeling) Islands</v>
          </cell>
        </row>
        <row r="199">
          <cell r="A199" t="str">
            <v>Cook Islands</v>
          </cell>
        </row>
        <row r="200">
          <cell r="A200" t="str">
            <v>Comoros</v>
          </cell>
        </row>
        <row r="201">
          <cell r="A201" t="str">
            <v>Cape Verde</v>
          </cell>
        </row>
        <row r="202">
          <cell r="A202" t="str">
            <v>Christmas Island</v>
          </cell>
        </row>
        <row r="203">
          <cell r="A203" t="str">
            <v>Dominica</v>
          </cell>
        </row>
        <row r="204">
          <cell r="A204" t="str">
            <v>Eritrea</v>
          </cell>
        </row>
        <row r="205">
          <cell r="A205" t="str">
            <v>Falkland Islands (Islas Malvinas)</v>
          </cell>
        </row>
        <row r="206">
          <cell r="A206" t="str">
            <v>Faroe Islands</v>
          </cell>
        </row>
        <row r="207">
          <cell r="A207" t="str">
            <v>Micronesia</v>
          </cell>
        </row>
        <row r="208">
          <cell r="A208" t="str">
            <v>Guernsey</v>
          </cell>
        </row>
        <row r="209">
          <cell r="A209" t="str">
            <v>Guinea</v>
          </cell>
        </row>
        <row r="210">
          <cell r="A210" t="str">
            <v>Gambia</v>
          </cell>
        </row>
        <row r="211">
          <cell r="A211" t="str">
            <v>Guinea-Bissau</v>
          </cell>
        </row>
        <row r="212">
          <cell r="A212" t="str">
            <v>Equatorial Guinea</v>
          </cell>
        </row>
        <row r="213">
          <cell r="A213" t="str">
            <v>Grenada</v>
          </cell>
        </row>
        <row r="214">
          <cell r="A214" t="str">
            <v>Greenland</v>
          </cell>
        </row>
        <row r="215">
          <cell r="A215" t="str">
            <v>Guyana</v>
          </cell>
        </row>
        <row r="216">
          <cell r="A216" t="str">
            <v>Heard &amp; McDonald Islands</v>
          </cell>
        </row>
        <row r="217">
          <cell r="A217" t="str">
            <v>British Indian Ocean Territory</v>
          </cell>
        </row>
        <row r="218">
          <cell r="A218" t="str">
            <v>Kiribati</v>
          </cell>
        </row>
        <row r="219">
          <cell r="A219" t="str">
            <v>St. Kitts &amp; Nevis</v>
          </cell>
        </row>
        <row r="220">
          <cell r="A220" t="str">
            <v>St. Lucia</v>
          </cell>
        </row>
        <row r="221">
          <cell r="A221" t="str">
            <v>St. Martin</v>
          </cell>
        </row>
        <row r="222">
          <cell r="A222" t="str">
            <v>Marshall Islands</v>
          </cell>
        </row>
        <row r="223">
          <cell r="A223" t="str">
            <v>Northern Mariana Islands</v>
          </cell>
        </row>
        <row r="224">
          <cell r="A224" t="str">
            <v>Mauritania</v>
          </cell>
        </row>
        <row r="225">
          <cell r="A225" t="str">
            <v>Montserrat</v>
          </cell>
        </row>
        <row r="226">
          <cell r="A226" t="str">
            <v>Malawi</v>
          </cell>
        </row>
        <row r="227">
          <cell r="A227" t="str">
            <v>Mayotte</v>
          </cell>
        </row>
        <row r="228">
          <cell r="A228" t="str">
            <v>Norfolk Island</v>
          </cell>
        </row>
        <row r="229">
          <cell r="A229" t="str">
            <v>Niue</v>
          </cell>
        </row>
        <row r="230">
          <cell r="A230" t="str">
            <v>Nauru</v>
          </cell>
        </row>
        <row r="231">
          <cell r="A231" t="str">
            <v>Pitcairn Islands</v>
          </cell>
        </row>
        <row r="232">
          <cell r="A232" t="str">
            <v>Palau</v>
          </cell>
        </row>
        <row r="233">
          <cell r="A233" t="str">
            <v>French Polynesia</v>
          </cell>
        </row>
        <row r="234">
          <cell r="A234" t="str">
            <v>South Georgia &amp; South Sandwich Islands</v>
          </cell>
        </row>
        <row r="235">
          <cell r="A235" t="str">
            <v>Svalbard &amp; Jan Mayen</v>
          </cell>
        </row>
        <row r="236">
          <cell r="A236" t="str">
            <v>Sierra Leone</v>
          </cell>
        </row>
        <row r="237">
          <cell r="A237" t="str">
            <v>St. Pierre &amp; Miquelon</v>
          </cell>
        </row>
        <row r="238">
          <cell r="A238" t="str">
            <v>South Sudan</v>
          </cell>
        </row>
        <row r="239">
          <cell r="A239" t="str">
            <v>SÃ£o TomÃ© &amp; PrÃ­ncipe</v>
          </cell>
        </row>
        <row r="240">
          <cell r="A240" t="str">
            <v>Sint Maarten</v>
          </cell>
        </row>
        <row r="241">
          <cell r="A241" t="str">
            <v>Turks &amp; Caicos Islands</v>
          </cell>
        </row>
        <row r="242">
          <cell r="A242" t="str">
            <v>Tokelau</v>
          </cell>
        </row>
        <row r="243">
          <cell r="A243" t="str">
            <v>Timor-Leste</v>
          </cell>
        </row>
        <row r="244">
          <cell r="A244" t="str">
            <v>Tonga</v>
          </cell>
        </row>
        <row r="245">
          <cell r="A245" t="str">
            <v>Tuvalu</v>
          </cell>
        </row>
        <row r="246">
          <cell r="A246" t="str">
            <v>U.S. Outlying Islands</v>
          </cell>
        </row>
        <row r="247">
          <cell r="A247" t="str">
            <v>Vatican City</v>
          </cell>
        </row>
        <row r="248">
          <cell r="A248" t="str">
            <v>St. Vincent &amp; Grenadines</v>
          </cell>
        </row>
        <row r="249">
          <cell r="A249" t="str">
            <v>British Virgin Islands</v>
          </cell>
        </row>
        <row r="250">
          <cell r="A250" t="str">
            <v>U.S. Virgin Islands</v>
          </cell>
        </row>
        <row r="251">
          <cell r="A251" t="str">
            <v>Vanuatu</v>
          </cell>
        </row>
        <row r="252">
          <cell r="A252" t="str">
            <v>Wallis &amp; Futuna</v>
          </cell>
        </row>
        <row r="253">
          <cell r="A253" t="str">
            <v>Samoa</v>
          </cell>
        </row>
      </sheetData>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8)"/>
    </sheetNames>
    <sheetDataSet>
      <sheetData sheetId="0" refreshError="1">
        <row r="1">
          <cell r="A1" t="str">
            <v>Kategori: TÃ¼m kategoriler</v>
          </cell>
        </row>
        <row r="3">
          <cell r="A3" t="str">
            <v>Ãœlke</v>
          </cell>
          <cell r="B3" t="str">
            <v>Ã–bek: (2018)</v>
          </cell>
          <cell r="C3" t="str">
            <v>Komut Ã§izelgesi: (2018)</v>
          </cell>
        </row>
        <row r="4">
          <cell r="A4" t="str">
            <v>China</v>
          </cell>
          <cell r="B4">
            <v>0.5</v>
          </cell>
          <cell r="C4">
            <v>0.5</v>
          </cell>
        </row>
        <row r="5">
          <cell r="A5" t="str">
            <v>South Korea</v>
          </cell>
          <cell r="B5">
            <v>0.64</v>
          </cell>
          <cell r="C5">
            <v>0.36</v>
          </cell>
        </row>
        <row r="6">
          <cell r="A6" t="str">
            <v>Taiwan</v>
          </cell>
          <cell r="B6">
            <v>0.86</v>
          </cell>
          <cell r="C6">
            <v>0.14000000000000001</v>
          </cell>
        </row>
        <row r="7">
          <cell r="A7" t="str">
            <v>St. Helena</v>
          </cell>
          <cell r="B7">
            <v>0.51</v>
          </cell>
          <cell r="C7">
            <v>0.49</v>
          </cell>
        </row>
        <row r="8">
          <cell r="A8" t="str">
            <v>Hong Kong</v>
          </cell>
          <cell r="B8">
            <v>0.74</v>
          </cell>
          <cell r="C8">
            <v>0.26</v>
          </cell>
        </row>
        <row r="9">
          <cell r="A9" t="str">
            <v>Pakistan</v>
          </cell>
          <cell r="B9">
            <v>0.81</v>
          </cell>
          <cell r="C9">
            <v>0.19</v>
          </cell>
        </row>
        <row r="10">
          <cell r="A10" t="str">
            <v>Uzbekistan</v>
          </cell>
        </row>
        <row r="11">
          <cell r="A11" t="str">
            <v>Lesotho</v>
          </cell>
        </row>
        <row r="12">
          <cell r="A12" t="str">
            <v>New Zealand</v>
          </cell>
          <cell r="B12">
            <v>0.79</v>
          </cell>
          <cell r="C12">
            <v>0.21</v>
          </cell>
        </row>
        <row r="13">
          <cell r="A13" t="str">
            <v>Macao</v>
          </cell>
        </row>
        <row r="14">
          <cell r="A14" t="str">
            <v>Singapore</v>
          </cell>
          <cell r="B14">
            <v>0.55000000000000004</v>
          </cell>
          <cell r="C14">
            <v>0.45</v>
          </cell>
        </row>
        <row r="15">
          <cell r="A15" t="str">
            <v>Israel</v>
          </cell>
          <cell r="B15">
            <v>0.57999999999999996</v>
          </cell>
          <cell r="C15">
            <v>0.42</v>
          </cell>
        </row>
        <row r="16">
          <cell r="A16" t="str">
            <v>Tajikistan</v>
          </cell>
        </row>
        <row r="17">
          <cell r="A17" t="str">
            <v>Estonia</v>
          </cell>
        </row>
        <row r="18">
          <cell r="A18" t="str">
            <v>Australia</v>
          </cell>
          <cell r="B18">
            <v>0.77</v>
          </cell>
          <cell r="C18">
            <v>0.23</v>
          </cell>
        </row>
        <row r="19">
          <cell r="A19" t="str">
            <v>India</v>
          </cell>
          <cell r="B19">
            <v>0.49</v>
          </cell>
          <cell r="C19">
            <v>0.51</v>
          </cell>
        </row>
        <row r="20">
          <cell r="A20" t="str">
            <v>Iran</v>
          </cell>
          <cell r="B20">
            <v>0.93</v>
          </cell>
          <cell r="C20">
            <v>7.0000000000000007E-2</v>
          </cell>
        </row>
        <row r="21">
          <cell r="A21" t="str">
            <v>United States</v>
          </cell>
          <cell r="B21">
            <v>0.62</v>
          </cell>
          <cell r="C21">
            <v>0.38</v>
          </cell>
        </row>
        <row r="22">
          <cell r="A22" t="str">
            <v>Zimbabwe</v>
          </cell>
        </row>
        <row r="23">
          <cell r="A23" t="str">
            <v>Belarus</v>
          </cell>
          <cell r="B23">
            <v>0.63</v>
          </cell>
          <cell r="C23">
            <v>0.37</v>
          </cell>
        </row>
        <row r="24">
          <cell r="A24" t="str">
            <v>Nepal</v>
          </cell>
        </row>
        <row r="25">
          <cell r="A25" t="str">
            <v>Russia</v>
          </cell>
          <cell r="B25">
            <v>0.75</v>
          </cell>
          <cell r="C25">
            <v>0.25</v>
          </cell>
        </row>
        <row r="26">
          <cell r="A26" t="str">
            <v>Luxembourg</v>
          </cell>
        </row>
        <row r="27">
          <cell r="A27" t="str">
            <v>Denmark</v>
          </cell>
          <cell r="B27">
            <v>0.69</v>
          </cell>
          <cell r="C27">
            <v>0.31</v>
          </cell>
        </row>
        <row r="28">
          <cell r="A28" t="str">
            <v>Zambia</v>
          </cell>
        </row>
        <row r="29">
          <cell r="A29" t="str">
            <v>Rwanda</v>
          </cell>
        </row>
        <row r="30">
          <cell r="A30" t="str">
            <v>Myanmar (Burma)</v>
          </cell>
        </row>
        <row r="31">
          <cell r="A31" t="str">
            <v>United Kingdom</v>
          </cell>
          <cell r="B31">
            <v>0.73</v>
          </cell>
          <cell r="C31">
            <v>0.27</v>
          </cell>
        </row>
        <row r="32">
          <cell r="A32" t="str">
            <v>Ukraine</v>
          </cell>
          <cell r="B32">
            <v>0.69</v>
          </cell>
          <cell r="C32">
            <v>0.31</v>
          </cell>
        </row>
        <row r="33">
          <cell r="A33" t="str">
            <v>Philippines</v>
          </cell>
          <cell r="B33">
            <v>0.77</v>
          </cell>
          <cell r="C33">
            <v>0.23</v>
          </cell>
        </row>
        <row r="34">
          <cell r="A34" t="str">
            <v>Sri Lanka</v>
          </cell>
          <cell r="B34">
            <v>0.55000000000000004</v>
          </cell>
          <cell r="C34">
            <v>0.45</v>
          </cell>
        </row>
        <row r="35">
          <cell r="A35" t="str">
            <v>Canada</v>
          </cell>
          <cell r="B35">
            <v>0.56999999999999995</v>
          </cell>
          <cell r="C35">
            <v>0.43</v>
          </cell>
        </row>
        <row r="36">
          <cell r="A36" t="str">
            <v>Lithuania</v>
          </cell>
        </row>
        <row r="37">
          <cell r="A37" t="str">
            <v>Czechia</v>
          </cell>
          <cell r="B37">
            <v>0.67</v>
          </cell>
          <cell r="C37">
            <v>0.33</v>
          </cell>
        </row>
        <row r="38">
          <cell r="A38" t="str">
            <v>Mauritius</v>
          </cell>
        </row>
        <row r="39">
          <cell r="A39" t="str">
            <v>Ireland</v>
          </cell>
          <cell r="B39">
            <v>0.57999999999999996</v>
          </cell>
          <cell r="C39">
            <v>0.42</v>
          </cell>
        </row>
        <row r="40">
          <cell r="A40" t="str">
            <v>Malta</v>
          </cell>
        </row>
        <row r="41">
          <cell r="A41" t="str">
            <v>Botswana</v>
          </cell>
        </row>
        <row r="42">
          <cell r="A42" t="str">
            <v>Kazakhstan</v>
          </cell>
          <cell r="B42">
            <v>0.77</v>
          </cell>
          <cell r="C42">
            <v>0.23</v>
          </cell>
        </row>
        <row r="43">
          <cell r="A43" t="str">
            <v>Finland</v>
          </cell>
          <cell r="B43">
            <v>0.59</v>
          </cell>
          <cell r="C43">
            <v>0.41</v>
          </cell>
        </row>
        <row r="44">
          <cell r="A44" t="str">
            <v>Serbia</v>
          </cell>
          <cell r="B44">
            <v>0.57999999999999996</v>
          </cell>
          <cell r="C44">
            <v>0.42</v>
          </cell>
        </row>
        <row r="45">
          <cell r="A45" t="str">
            <v>Ethiopia</v>
          </cell>
        </row>
        <row r="46">
          <cell r="A46" t="str">
            <v>Kyrgyzstan</v>
          </cell>
        </row>
        <row r="47">
          <cell r="A47" t="str">
            <v>Ghana</v>
          </cell>
        </row>
        <row r="48">
          <cell r="A48" t="str">
            <v>United Arab Emirates</v>
          </cell>
          <cell r="B48">
            <v>0.75</v>
          </cell>
          <cell r="C48">
            <v>0.25</v>
          </cell>
        </row>
        <row r="49">
          <cell r="A49" t="str">
            <v>Malaysia</v>
          </cell>
          <cell r="B49">
            <v>0.78</v>
          </cell>
          <cell r="C49">
            <v>0.22</v>
          </cell>
        </row>
        <row r="50">
          <cell r="A50" t="str">
            <v>Moldova</v>
          </cell>
        </row>
        <row r="51">
          <cell r="A51" t="str">
            <v>Armenia</v>
          </cell>
        </row>
        <row r="52">
          <cell r="A52" t="str">
            <v>Slovenia</v>
          </cell>
        </row>
        <row r="53">
          <cell r="A53" t="str">
            <v>Bangladesh</v>
          </cell>
          <cell r="B53">
            <v>0.71</v>
          </cell>
          <cell r="C53">
            <v>0.28999999999999998</v>
          </cell>
        </row>
        <row r="54">
          <cell r="A54" t="str">
            <v>Jamaica</v>
          </cell>
        </row>
        <row r="55">
          <cell r="A55" t="str">
            <v>Cuba</v>
          </cell>
        </row>
        <row r="56">
          <cell r="A56" t="str">
            <v>Uganda</v>
          </cell>
        </row>
        <row r="57">
          <cell r="A57" t="str">
            <v>Kenya</v>
          </cell>
        </row>
        <row r="58">
          <cell r="A58" t="str">
            <v>Sweden</v>
          </cell>
          <cell r="B58">
            <v>0.52</v>
          </cell>
          <cell r="C58">
            <v>0.48</v>
          </cell>
        </row>
        <row r="59">
          <cell r="A59" t="str">
            <v>Latvia</v>
          </cell>
        </row>
        <row r="60">
          <cell r="A60" t="str">
            <v>Trinidad &amp; Tobago</v>
          </cell>
        </row>
        <row r="61">
          <cell r="A61" t="str">
            <v>North Macedonia</v>
          </cell>
        </row>
        <row r="62">
          <cell r="A62" t="str">
            <v>Switzerland</v>
          </cell>
          <cell r="B62">
            <v>0.51</v>
          </cell>
          <cell r="C62">
            <v>0.49</v>
          </cell>
        </row>
        <row r="63">
          <cell r="A63" t="str">
            <v>Nigeria</v>
          </cell>
        </row>
        <row r="64">
          <cell r="A64" t="str">
            <v>Norway</v>
          </cell>
          <cell r="B64">
            <v>0.56999999999999995</v>
          </cell>
          <cell r="C64">
            <v>0.43</v>
          </cell>
        </row>
        <row r="65">
          <cell r="A65" t="str">
            <v>South Africa</v>
          </cell>
          <cell r="B65">
            <v>0.72</v>
          </cell>
          <cell r="C65">
            <v>0.28000000000000003</v>
          </cell>
        </row>
        <row r="66">
          <cell r="A66" t="str">
            <v>Romania</v>
          </cell>
          <cell r="B66">
            <v>0.54</v>
          </cell>
          <cell r="C66">
            <v>0.46</v>
          </cell>
        </row>
        <row r="67">
          <cell r="A67" t="str">
            <v>Albania</v>
          </cell>
        </row>
        <row r="68">
          <cell r="A68" t="str">
            <v>Lebanon</v>
          </cell>
        </row>
        <row r="69">
          <cell r="A69" t="str">
            <v>Oman</v>
          </cell>
        </row>
        <row r="70">
          <cell r="A70" t="str">
            <v>Cameroon</v>
          </cell>
        </row>
        <row r="71">
          <cell r="A71" t="str">
            <v>Greece</v>
          </cell>
          <cell r="B71">
            <v>0.64</v>
          </cell>
          <cell r="C71">
            <v>0.36</v>
          </cell>
        </row>
        <row r="72">
          <cell r="A72" t="str">
            <v>Hungary</v>
          </cell>
          <cell r="B72">
            <v>0.6</v>
          </cell>
          <cell r="C72">
            <v>0.4</v>
          </cell>
        </row>
        <row r="73">
          <cell r="A73" t="str">
            <v>Qatar</v>
          </cell>
        </row>
        <row r="74">
          <cell r="A74" t="str">
            <v>Bulgaria</v>
          </cell>
          <cell r="B74">
            <v>0.55000000000000004</v>
          </cell>
          <cell r="C74">
            <v>0.45</v>
          </cell>
        </row>
        <row r="75">
          <cell r="A75" t="str">
            <v>Bosnia &amp; Herzegovina</v>
          </cell>
        </row>
        <row r="76">
          <cell r="A76" t="str">
            <v>Iceland</v>
          </cell>
        </row>
        <row r="77">
          <cell r="A77" t="str">
            <v>Cyprus</v>
          </cell>
        </row>
        <row r="78">
          <cell r="A78" t="str">
            <v>Portugal</v>
          </cell>
          <cell r="B78">
            <v>0.44</v>
          </cell>
          <cell r="C78">
            <v>0.56000000000000005</v>
          </cell>
        </row>
        <row r="79">
          <cell r="A79" t="str">
            <v>Germany</v>
          </cell>
          <cell r="B79">
            <v>0.5</v>
          </cell>
          <cell r="C79">
            <v>0.5</v>
          </cell>
        </row>
        <row r="80">
          <cell r="A80" t="str">
            <v>Georgia</v>
          </cell>
        </row>
        <row r="81">
          <cell r="A81" t="str">
            <v>Croatia</v>
          </cell>
          <cell r="B81">
            <v>0.56999999999999995</v>
          </cell>
          <cell r="C81">
            <v>0.43</v>
          </cell>
        </row>
        <row r="82">
          <cell r="A82" t="str">
            <v>Japan</v>
          </cell>
          <cell r="B82">
            <v>0.54</v>
          </cell>
          <cell r="C82">
            <v>0.46</v>
          </cell>
        </row>
        <row r="83">
          <cell r="A83" t="str">
            <v>Palestine</v>
          </cell>
        </row>
        <row r="84">
          <cell r="A84" t="str">
            <v>Slovakia</v>
          </cell>
          <cell r="B84">
            <v>0.62</v>
          </cell>
          <cell r="C84">
            <v>0.38</v>
          </cell>
        </row>
        <row r="85">
          <cell r="A85" t="str">
            <v>Austria</v>
          </cell>
          <cell r="B85">
            <v>0.5</v>
          </cell>
          <cell r="C85">
            <v>0.5</v>
          </cell>
        </row>
        <row r="86">
          <cell r="A86" t="str">
            <v>Netherlands</v>
          </cell>
          <cell r="B86">
            <v>0.54</v>
          </cell>
          <cell r="C86">
            <v>0.46</v>
          </cell>
        </row>
        <row r="87">
          <cell r="A87" t="str">
            <v>Thailand</v>
          </cell>
          <cell r="B87">
            <v>0.82</v>
          </cell>
          <cell r="C87">
            <v>0.18</v>
          </cell>
        </row>
        <row r="88">
          <cell r="A88" t="str">
            <v>Senegal</v>
          </cell>
        </row>
        <row r="89">
          <cell r="A89" t="str">
            <v>Tunisia</v>
          </cell>
        </row>
        <row r="90">
          <cell r="A90" t="str">
            <v>Belgium</v>
          </cell>
          <cell r="B90">
            <v>0.54</v>
          </cell>
          <cell r="C90">
            <v>0.46</v>
          </cell>
        </row>
        <row r="91">
          <cell r="A91" t="str">
            <v>Burkina Faso</v>
          </cell>
        </row>
        <row r="92">
          <cell r="A92" t="str">
            <v>Tanzania</v>
          </cell>
        </row>
        <row r="93">
          <cell r="A93" t="str">
            <v>Jordan</v>
          </cell>
        </row>
        <row r="94">
          <cell r="A94" t="str">
            <v>Costa Rica</v>
          </cell>
        </row>
        <row r="95">
          <cell r="A95" t="str">
            <v>Poland</v>
          </cell>
          <cell r="B95">
            <v>0.54</v>
          </cell>
          <cell r="C95">
            <v>0.46</v>
          </cell>
        </row>
        <row r="96">
          <cell r="A96" t="str">
            <v>Bahrain</v>
          </cell>
        </row>
        <row r="97">
          <cell r="A97" t="str">
            <v>Laos</v>
          </cell>
        </row>
        <row r="98">
          <cell r="A98" t="str">
            <v>France</v>
          </cell>
          <cell r="B98">
            <v>0.54</v>
          </cell>
          <cell r="C98">
            <v>0.46</v>
          </cell>
        </row>
        <row r="99">
          <cell r="A99" t="str">
            <v>Morocco</v>
          </cell>
          <cell r="B99">
            <v>0.61</v>
          </cell>
          <cell r="C99">
            <v>0.39</v>
          </cell>
        </row>
        <row r="100">
          <cell r="A100" t="str">
            <v>Azerbaijan</v>
          </cell>
        </row>
        <row r="101">
          <cell r="A101" t="str">
            <v>Sudan</v>
          </cell>
        </row>
        <row r="102">
          <cell r="A102" t="str">
            <v>Vietnam</v>
          </cell>
          <cell r="B102">
            <v>0.54</v>
          </cell>
          <cell r="C102">
            <v>0.46</v>
          </cell>
        </row>
        <row r="103">
          <cell r="A103" t="str">
            <v>Kuwait</v>
          </cell>
        </row>
        <row r="104">
          <cell r="A104" t="str">
            <v>Egypt</v>
          </cell>
          <cell r="B104">
            <v>0.59</v>
          </cell>
          <cell r="C104">
            <v>0.41</v>
          </cell>
        </row>
        <row r="105">
          <cell r="A105" t="str">
            <v>Turkey</v>
          </cell>
          <cell r="B105">
            <v>0.74</v>
          </cell>
          <cell r="C105">
            <v>0.26</v>
          </cell>
        </row>
        <row r="106">
          <cell r="A106" t="str">
            <v>Mali</v>
          </cell>
        </row>
        <row r="107">
          <cell r="A107" t="str">
            <v>CÃ´te dâ€™Ivoire</v>
          </cell>
        </row>
        <row r="108">
          <cell r="A108" t="str">
            <v>Kosovo</v>
          </cell>
        </row>
        <row r="109">
          <cell r="A109" t="str">
            <v>Montenegro</v>
          </cell>
        </row>
        <row r="110">
          <cell r="A110" t="str">
            <v>El Salvador</v>
          </cell>
        </row>
        <row r="111">
          <cell r="A111" t="str">
            <v>Spain</v>
          </cell>
          <cell r="B111">
            <v>0.47</v>
          </cell>
          <cell r="C111">
            <v>0.53</v>
          </cell>
        </row>
        <row r="112">
          <cell r="A112" t="str">
            <v>Guatemala</v>
          </cell>
        </row>
        <row r="113">
          <cell r="A113" t="str">
            <v>Algeria</v>
          </cell>
        </row>
        <row r="114">
          <cell r="A114" t="str">
            <v>Saudi Arabia</v>
          </cell>
        </row>
        <row r="115">
          <cell r="A115" t="str">
            <v>Iraq</v>
          </cell>
        </row>
        <row r="116">
          <cell r="A116" t="str">
            <v>Honduras</v>
          </cell>
        </row>
        <row r="117">
          <cell r="A117" t="str">
            <v>Italy</v>
          </cell>
          <cell r="B117">
            <v>0.56000000000000005</v>
          </cell>
          <cell r="C117">
            <v>0.44</v>
          </cell>
        </row>
        <row r="118">
          <cell r="A118" t="str">
            <v>Cambodia</v>
          </cell>
        </row>
        <row r="119">
          <cell r="A119" t="str">
            <v>Congo - Kinshasa</v>
          </cell>
        </row>
        <row r="120">
          <cell r="A120" t="str">
            <v>Uruguay</v>
          </cell>
        </row>
        <row r="121">
          <cell r="A121" t="str">
            <v>Puerto Rico</v>
          </cell>
        </row>
        <row r="122">
          <cell r="A122" t="str">
            <v>Brazil</v>
          </cell>
          <cell r="B122">
            <v>0.61</v>
          </cell>
          <cell r="C122">
            <v>0.39</v>
          </cell>
        </row>
        <row r="123">
          <cell r="A123" t="str">
            <v>Mexico</v>
          </cell>
          <cell r="B123">
            <v>0.55000000000000004</v>
          </cell>
          <cell r="C123">
            <v>0.45</v>
          </cell>
        </row>
        <row r="124">
          <cell r="A124" t="str">
            <v>Chile</v>
          </cell>
          <cell r="B124">
            <v>0.56999999999999995</v>
          </cell>
          <cell r="C124">
            <v>0.43</v>
          </cell>
        </row>
        <row r="125">
          <cell r="A125" t="str">
            <v>Ecuador</v>
          </cell>
        </row>
        <row r="126">
          <cell r="A126" t="str">
            <v>Indonesia</v>
          </cell>
          <cell r="B126">
            <v>0.7</v>
          </cell>
          <cell r="C126">
            <v>0.3</v>
          </cell>
        </row>
        <row r="127">
          <cell r="A127" t="str">
            <v>Colombia</v>
          </cell>
          <cell r="B127">
            <v>0.5</v>
          </cell>
          <cell r="C127">
            <v>0.5</v>
          </cell>
        </row>
        <row r="128">
          <cell r="A128" t="str">
            <v>RÃ©union</v>
          </cell>
        </row>
        <row r="129">
          <cell r="A129" t="str">
            <v>Peru</v>
          </cell>
          <cell r="B129">
            <v>0.63</v>
          </cell>
          <cell r="C129">
            <v>0.37</v>
          </cell>
        </row>
        <row r="130">
          <cell r="A130" t="str">
            <v>Paraguay</v>
          </cell>
        </row>
        <row r="131">
          <cell r="A131" t="str">
            <v>Argentina</v>
          </cell>
          <cell r="B131">
            <v>0.49</v>
          </cell>
          <cell r="C131">
            <v>0.51</v>
          </cell>
        </row>
        <row r="132">
          <cell r="A132" t="str">
            <v>Panama</v>
          </cell>
        </row>
        <row r="133">
          <cell r="A133" t="str">
            <v>Dominican Republic</v>
          </cell>
        </row>
        <row r="134">
          <cell r="A134" t="str">
            <v>Bolivia</v>
          </cell>
        </row>
        <row r="135">
          <cell r="A135" t="str">
            <v>Syria</v>
          </cell>
        </row>
        <row r="136">
          <cell r="A136" t="str">
            <v>Venezuela</v>
          </cell>
        </row>
        <row r="137">
          <cell r="A137" t="str">
            <v>Cook Islands</v>
          </cell>
        </row>
        <row r="138">
          <cell r="A138" t="str">
            <v>Palau</v>
          </cell>
        </row>
        <row r="139">
          <cell r="A139" t="str">
            <v>Solomon Islands</v>
          </cell>
        </row>
        <row r="140">
          <cell r="A140" t="str">
            <v>American Samoa</v>
          </cell>
        </row>
        <row r="141">
          <cell r="A141" t="str">
            <v>St. Martin</v>
          </cell>
        </row>
        <row r="142">
          <cell r="A142" t="str">
            <v>Vanuatu</v>
          </cell>
        </row>
        <row r="143">
          <cell r="A143" t="str">
            <v>Guernsey</v>
          </cell>
        </row>
        <row r="144">
          <cell r="A144" t="str">
            <v>Central African Republic</v>
          </cell>
        </row>
        <row r="145">
          <cell r="A145" t="str">
            <v>Dominica</v>
          </cell>
        </row>
        <row r="146">
          <cell r="A146" t="str">
            <v>Samoa</v>
          </cell>
        </row>
        <row r="147">
          <cell r="A147" t="str">
            <v>Equatorial Guinea</v>
          </cell>
        </row>
        <row r="148">
          <cell r="A148" t="str">
            <v>Grenada</v>
          </cell>
        </row>
        <row r="149">
          <cell r="A149" t="str">
            <v>Isle of Man</v>
          </cell>
        </row>
        <row r="150">
          <cell r="A150" t="str">
            <v>St. Vincent &amp; Grenadines</v>
          </cell>
        </row>
        <row r="151">
          <cell r="A151" t="str">
            <v>Northern Mariana Islands</v>
          </cell>
        </row>
        <row r="152">
          <cell r="A152" t="str">
            <v>South Sudan</v>
          </cell>
        </row>
        <row r="153">
          <cell r="A153" t="str">
            <v>Gibraltar</v>
          </cell>
        </row>
        <row r="154">
          <cell r="A154" t="str">
            <v>Bhutan</v>
          </cell>
        </row>
        <row r="155">
          <cell r="A155" t="str">
            <v>Seychelles</v>
          </cell>
        </row>
        <row r="156">
          <cell r="A156" t="str">
            <v>St. BarthÃ©lemy</v>
          </cell>
        </row>
        <row r="157">
          <cell r="A157" t="str">
            <v>Cayman Islands</v>
          </cell>
        </row>
        <row r="158">
          <cell r="A158" t="str">
            <v>Gambia</v>
          </cell>
        </row>
        <row r="159">
          <cell r="A159" t="str">
            <v>U.S. Virgin Islands</v>
          </cell>
        </row>
        <row r="160">
          <cell r="A160" t="str">
            <v>Ã…land Islands</v>
          </cell>
        </row>
        <row r="161">
          <cell r="A161" t="str">
            <v>Antigua &amp; Barbuda</v>
          </cell>
        </row>
        <row r="162">
          <cell r="A162" t="str">
            <v>French Polynesia</v>
          </cell>
        </row>
        <row r="163">
          <cell r="A163" t="str">
            <v>Belize</v>
          </cell>
        </row>
        <row r="164">
          <cell r="A164" t="str">
            <v>Malawi</v>
          </cell>
        </row>
        <row r="165">
          <cell r="A165" t="str">
            <v>Mayotte</v>
          </cell>
        </row>
        <row r="166">
          <cell r="A166" t="str">
            <v>Papua New Guinea</v>
          </cell>
        </row>
        <row r="167">
          <cell r="A167" t="str">
            <v>Eswatini</v>
          </cell>
        </row>
        <row r="168">
          <cell r="A168" t="str">
            <v>Brunei</v>
          </cell>
        </row>
        <row r="169">
          <cell r="A169" t="str">
            <v>Mauritania</v>
          </cell>
        </row>
        <row r="170">
          <cell r="A170" t="str">
            <v>Fiji</v>
          </cell>
        </row>
        <row r="171">
          <cell r="A171" t="str">
            <v>Niger</v>
          </cell>
        </row>
        <row r="172">
          <cell r="A172" t="str">
            <v>Chad</v>
          </cell>
        </row>
        <row r="173">
          <cell r="A173" t="str">
            <v>Guam</v>
          </cell>
        </row>
        <row r="174">
          <cell r="A174" t="str">
            <v>Maldives</v>
          </cell>
        </row>
        <row r="175">
          <cell r="A175" t="str">
            <v>Djibouti</v>
          </cell>
        </row>
        <row r="176">
          <cell r="A176" t="str">
            <v>Gabon</v>
          </cell>
        </row>
        <row r="177">
          <cell r="A177" t="str">
            <v>Liberia</v>
          </cell>
        </row>
        <row r="178">
          <cell r="A178" t="str">
            <v>CuraÃ§ao</v>
          </cell>
        </row>
        <row r="179">
          <cell r="A179" t="str">
            <v>Afghanistan</v>
          </cell>
        </row>
        <row r="180">
          <cell r="A180" t="str">
            <v>Namibia</v>
          </cell>
        </row>
        <row r="181">
          <cell r="A181" t="str">
            <v>Jersey</v>
          </cell>
        </row>
        <row r="182">
          <cell r="A182" t="str">
            <v>Guyana</v>
          </cell>
        </row>
        <row r="183">
          <cell r="A183" t="str">
            <v>Bermuda</v>
          </cell>
        </row>
        <row r="184">
          <cell r="A184" t="str">
            <v>St. Lucia</v>
          </cell>
        </row>
        <row r="185">
          <cell r="A185" t="str">
            <v>Mongolia</v>
          </cell>
        </row>
        <row r="186">
          <cell r="A186" t="str">
            <v>Haiti</v>
          </cell>
        </row>
        <row r="187">
          <cell r="A187" t="str">
            <v>Cape Verde</v>
          </cell>
        </row>
        <row r="188">
          <cell r="A188" t="str">
            <v>Nicaragua</v>
          </cell>
        </row>
        <row r="189">
          <cell r="A189" t="str">
            <v>Sierra Leone</v>
          </cell>
        </row>
        <row r="190">
          <cell r="A190" t="str">
            <v>Congo - Brazzaville</v>
          </cell>
        </row>
        <row r="191">
          <cell r="A191" t="str">
            <v>Madagascar</v>
          </cell>
        </row>
        <row r="192">
          <cell r="A192" t="str">
            <v>Benin</v>
          </cell>
        </row>
        <row r="193">
          <cell r="A193" t="str">
            <v>Guinea</v>
          </cell>
        </row>
        <row r="194">
          <cell r="A194" t="str">
            <v>Togo</v>
          </cell>
        </row>
        <row r="195">
          <cell r="A195" t="str">
            <v>Barbados</v>
          </cell>
        </row>
        <row r="196">
          <cell r="A196" t="str">
            <v>Guadeloupe</v>
          </cell>
        </row>
        <row r="197">
          <cell r="A197" t="str">
            <v>Turkmenistan</v>
          </cell>
        </row>
        <row r="198">
          <cell r="A198" t="str">
            <v>Bahamas</v>
          </cell>
        </row>
        <row r="199">
          <cell r="A199" t="str">
            <v>Angola</v>
          </cell>
        </row>
        <row r="200">
          <cell r="A200" t="str">
            <v>Suriname</v>
          </cell>
        </row>
        <row r="201">
          <cell r="A201" t="str">
            <v>Somalia</v>
          </cell>
        </row>
        <row r="202">
          <cell r="A202" t="str">
            <v>Libya</v>
          </cell>
        </row>
        <row r="203">
          <cell r="A203" t="str">
            <v>Yemen</v>
          </cell>
        </row>
        <row r="204">
          <cell r="A204" t="str">
            <v>Mozambique</v>
          </cell>
        </row>
        <row r="205">
          <cell r="A205" t="str">
            <v>Martinique</v>
          </cell>
        </row>
        <row r="206">
          <cell r="A206" t="str">
            <v>Aruba</v>
          </cell>
        </row>
        <row r="207">
          <cell r="A207" t="str">
            <v>Anguilla</v>
          </cell>
        </row>
        <row r="208">
          <cell r="A208" t="str">
            <v>Andorra</v>
          </cell>
        </row>
        <row r="209">
          <cell r="A209" t="str">
            <v>Antarctica</v>
          </cell>
        </row>
        <row r="210">
          <cell r="A210" t="str">
            <v>French Southern Territories</v>
          </cell>
        </row>
        <row r="211">
          <cell r="A211" t="str">
            <v>Burundi</v>
          </cell>
        </row>
        <row r="212">
          <cell r="A212" t="str">
            <v>Caribbean Netherlands</v>
          </cell>
        </row>
        <row r="213">
          <cell r="A213" t="str">
            <v>Bouvet Island</v>
          </cell>
        </row>
        <row r="214">
          <cell r="A214" t="str">
            <v>Cocos (Keeling) Islands</v>
          </cell>
        </row>
        <row r="215">
          <cell r="A215" t="str">
            <v>Comoros</v>
          </cell>
        </row>
        <row r="216">
          <cell r="A216" t="str">
            <v>Christmas Island</v>
          </cell>
        </row>
        <row r="217">
          <cell r="A217" t="str">
            <v>Eritrea</v>
          </cell>
        </row>
        <row r="218">
          <cell r="A218" t="str">
            <v>Western Sahara</v>
          </cell>
        </row>
        <row r="219">
          <cell r="A219" t="str">
            <v>Falkland Islands (Islas Malvinas)</v>
          </cell>
        </row>
        <row r="220">
          <cell r="A220" t="str">
            <v>Faroe Islands</v>
          </cell>
        </row>
        <row r="221">
          <cell r="A221" t="str">
            <v>Micronesia</v>
          </cell>
        </row>
        <row r="222">
          <cell r="A222" t="str">
            <v>Guinea-Bissau</v>
          </cell>
        </row>
        <row r="223">
          <cell r="A223" t="str">
            <v>Greenland</v>
          </cell>
        </row>
        <row r="224">
          <cell r="A224" t="str">
            <v>French Guiana</v>
          </cell>
        </row>
        <row r="225">
          <cell r="A225" t="str">
            <v>Heard &amp; McDonald Islands</v>
          </cell>
        </row>
        <row r="226">
          <cell r="A226" t="str">
            <v>British Indian Ocean Territory</v>
          </cell>
        </row>
        <row r="227">
          <cell r="A227" t="str">
            <v>Kiribati</v>
          </cell>
        </row>
        <row r="228">
          <cell r="A228" t="str">
            <v>St. Kitts &amp; Nevis</v>
          </cell>
        </row>
        <row r="229">
          <cell r="A229" t="str">
            <v>Liechtenstein</v>
          </cell>
        </row>
        <row r="230">
          <cell r="A230" t="str">
            <v>Monaco</v>
          </cell>
        </row>
        <row r="231">
          <cell r="A231" t="str">
            <v>Marshall Islands</v>
          </cell>
        </row>
        <row r="232">
          <cell r="A232" t="str">
            <v>Montserrat</v>
          </cell>
        </row>
        <row r="233">
          <cell r="A233" t="str">
            <v>New Caledonia</v>
          </cell>
        </row>
        <row r="234">
          <cell r="A234" t="str">
            <v>Norfolk Island</v>
          </cell>
        </row>
        <row r="235">
          <cell r="A235" t="str">
            <v>Niue</v>
          </cell>
        </row>
        <row r="236">
          <cell r="A236" t="str">
            <v>Nauru</v>
          </cell>
        </row>
        <row r="237">
          <cell r="A237" t="str">
            <v>Pitcairn Islands</v>
          </cell>
        </row>
        <row r="238">
          <cell r="A238" t="str">
            <v>North Korea</v>
          </cell>
        </row>
        <row r="239">
          <cell r="A239" t="str">
            <v>South Georgia &amp; South Sandwich Islands</v>
          </cell>
        </row>
        <row r="240">
          <cell r="A240" t="str">
            <v>Svalbard &amp; Jan Mayen</v>
          </cell>
        </row>
        <row r="241">
          <cell r="A241" t="str">
            <v>San Marino</v>
          </cell>
        </row>
        <row r="242">
          <cell r="A242" t="str">
            <v>St. Pierre &amp; Miquelon</v>
          </cell>
        </row>
        <row r="243">
          <cell r="A243" t="str">
            <v>SÃ£o TomÃ© &amp; PrÃ­ncipe</v>
          </cell>
        </row>
        <row r="244">
          <cell r="A244" t="str">
            <v>Sint Maarten</v>
          </cell>
        </row>
        <row r="245">
          <cell r="A245" t="str">
            <v>Turks &amp; Caicos Islands</v>
          </cell>
        </row>
        <row r="246">
          <cell r="A246" t="str">
            <v>Tokelau</v>
          </cell>
        </row>
        <row r="247">
          <cell r="A247" t="str">
            <v>Timor-Leste</v>
          </cell>
        </row>
        <row r="248">
          <cell r="A248" t="str">
            <v>Tonga</v>
          </cell>
        </row>
        <row r="249">
          <cell r="A249" t="str">
            <v>Tuvalu</v>
          </cell>
        </row>
        <row r="250">
          <cell r="A250" t="str">
            <v>U.S. Outlying Islands</v>
          </cell>
        </row>
        <row r="251">
          <cell r="A251" t="str">
            <v>Vatican City</v>
          </cell>
        </row>
        <row r="252">
          <cell r="A252" t="str">
            <v>British Virgin Islands</v>
          </cell>
        </row>
        <row r="253">
          <cell r="A253" t="str">
            <v>Wallis &amp; Futuna</v>
          </cell>
        </row>
      </sheetData>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9)"/>
    </sheetNames>
    <sheetDataSet>
      <sheetData sheetId="0" refreshError="1">
        <row r="1">
          <cell r="A1" t="str">
            <v>Kategori: TÃ¼m kategoriler</v>
          </cell>
        </row>
        <row r="3">
          <cell r="A3" t="str">
            <v>Ãœlke</v>
          </cell>
          <cell r="B3" t="str">
            <v>Komut Ã§izelgesi: (2018)</v>
          </cell>
          <cell r="C3" t="str">
            <v>Lojistik Regresyon: (2018)</v>
          </cell>
        </row>
        <row r="4">
          <cell r="A4" t="str">
            <v>China</v>
          </cell>
          <cell r="B4">
            <v>0.63</v>
          </cell>
          <cell r="C4">
            <v>0.37</v>
          </cell>
        </row>
        <row r="5">
          <cell r="A5" t="str">
            <v>Ethiopia</v>
          </cell>
        </row>
        <row r="6">
          <cell r="A6" t="str">
            <v>Malawi</v>
          </cell>
        </row>
        <row r="7">
          <cell r="A7" t="str">
            <v>St. Helena</v>
          </cell>
          <cell r="B7">
            <v>0.69</v>
          </cell>
          <cell r="C7">
            <v>0.31</v>
          </cell>
        </row>
        <row r="8">
          <cell r="A8" t="str">
            <v>South Korea</v>
          </cell>
          <cell r="B8">
            <v>0.54</v>
          </cell>
          <cell r="C8">
            <v>0.46</v>
          </cell>
        </row>
        <row r="9">
          <cell r="A9" t="str">
            <v>Rwanda</v>
          </cell>
        </row>
        <row r="10">
          <cell r="A10" t="str">
            <v>Singapore</v>
          </cell>
          <cell r="B10">
            <v>0.53</v>
          </cell>
          <cell r="C10">
            <v>0.47</v>
          </cell>
        </row>
        <row r="11">
          <cell r="A11" t="str">
            <v>India</v>
          </cell>
          <cell r="B11">
            <v>0.75</v>
          </cell>
          <cell r="C11">
            <v>0.25</v>
          </cell>
        </row>
        <row r="12">
          <cell r="A12" t="str">
            <v>Israel</v>
          </cell>
          <cell r="B12">
            <v>0.7</v>
          </cell>
          <cell r="C12">
            <v>0.3</v>
          </cell>
        </row>
        <row r="13">
          <cell r="A13" t="str">
            <v>Luxembourg</v>
          </cell>
        </row>
        <row r="14">
          <cell r="A14" t="str">
            <v>Zimbabwe</v>
          </cell>
        </row>
        <row r="15">
          <cell r="A15" t="str">
            <v>Hong Kong</v>
          </cell>
          <cell r="B15">
            <v>0.46</v>
          </cell>
          <cell r="C15">
            <v>0.54</v>
          </cell>
        </row>
        <row r="16">
          <cell r="A16" t="str">
            <v>Uganda</v>
          </cell>
        </row>
        <row r="17">
          <cell r="A17" t="str">
            <v>United States</v>
          </cell>
          <cell r="B17">
            <v>0.54</v>
          </cell>
          <cell r="C17">
            <v>0.46</v>
          </cell>
        </row>
        <row r="18">
          <cell r="A18" t="str">
            <v>Estonia</v>
          </cell>
        </row>
        <row r="19">
          <cell r="A19" t="str">
            <v>Sri Lanka</v>
          </cell>
          <cell r="B19">
            <v>0.72</v>
          </cell>
          <cell r="C19">
            <v>0.28000000000000003</v>
          </cell>
        </row>
        <row r="20">
          <cell r="A20" t="str">
            <v>Ghana</v>
          </cell>
        </row>
        <row r="21">
          <cell r="A21" t="str">
            <v>Netherlands</v>
          </cell>
          <cell r="B21">
            <v>0.34</v>
          </cell>
          <cell r="C21">
            <v>0.66</v>
          </cell>
        </row>
        <row r="22">
          <cell r="A22" t="str">
            <v>Belarus</v>
          </cell>
        </row>
        <row r="23">
          <cell r="A23" t="str">
            <v>Cameroon</v>
          </cell>
        </row>
        <row r="24">
          <cell r="A24" t="str">
            <v>Tanzania</v>
          </cell>
          <cell r="C24">
            <v>1</v>
          </cell>
        </row>
        <row r="25">
          <cell r="A25" t="str">
            <v>Canada</v>
          </cell>
          <cell r="B25">
            <v>0.53</v>
          </cell>
          <cell r="C25">
            <v>0.47</v>
          </cell>
        </row>
        <row r="26">
          <cell r="A26" t="str">
            <v>Mauritius</v>
          </cell>
        </row>
        <row r="27">
          <cell r="A27" t="str">
            <v>Cuba</v>
          </cell>
        </row>
        <row r="28">
          <cell r="A28" t="str">
            <v>Denmark</v>
          </cell>
          <cell r="B28">
            <v>0.42</v>
          </cell>
          <cell r="C28">
            <v>0.57999999999999996</v>
          </cell>
        </row>
        <row r="29">
          <cell r="A29" t="str">
            <v>Slovenia</v>
          </cell>
        </row>
        <row r="30">
          <cell r="A30" t="str">
            <v>Kenya</v>
          </cell>
        </row>
        <row r="31">
          <cell r="A31" t="str">
            <v>Ireland</v>
          </cell>
          <cell r="B31">
            <v>0.52</v>
          </cell>
          <cell r="C31">
            <v>0.48</v>
          </cell>
        </row>
        <row r="32">
          <cell r="A32" t="str">
            <v>Switzerland</v>
          </cell>
          <cell r="B32">
            <v>0.5</v>
          </cell>
          <cell r="C32">
            <v>0.5</v>
          </cell>
        </row>
        <row r="33">
          <cell r="A33" t="str">
            <v>Sweden</v>
          </cell>
          <cell r="B33">
            <v>0.55000000000000004</v>
          </cell>
          <cell r="C33">
            <v>0.45</v>
          </cell>
        </row>
        <row r="34">
          <cell r="A34" t="str">
            <v>Nepal</v>
          </cell>
        </row>
        <row r="35">
          <cell r="A35" t="str">
            <v>North Macedonia</v>
          </cell>
        </row>
        <row r="36">
          <cell r="A36" t="str">
            <v>Armenia</v>
          </cell>
        </row>
        <row r="37">
          <cell r="A37" t="str">
            <v>Australia</v>
          </cell>
          <cell r="B37">
            <v>0.45</v>
          </cell>
          <cell r="C37">
            <v>0.55000000000000004</v>
          </cell>
        </row>
        <row r="38">
          <cell r="A38" t="str">
            <v>Finland</v>
          </cell>
          <cell r="B38">
            <v>0.54</v>
          </cell>
          <cell r="C38">
            <v>0.46</v>
          </cell>
        </row>
        <row r="39">
          <cell r="A39" t="str">
            <v>Serbia</v>
          </cell>
        </row>
        <row r="40">
          <cell r="A40" t="str">
            <v>Portugal</v>
          </cell>
          <cell r="B40">
            <v>0.64</v>
          </cell>
          <cell r="C40">
            <v>0.36</v>
          </cell>
        </row>
        <row r="41">
          <cell r="A41" t="str">
            <v>Taiwan</v>
          </cell>
          <cell r="B41">
            <v>0.48</v>
          </cell>
          <cell r="C41">
            <v>0.52</v>
          </cell>
        </row>
        <row r="42">
          <cell r="A42" t="str">
            <v>Lebanon</v>
          </cell>
        </row>
        <row r="43">
          <cell r="A43" t="str">
            <v>Iceland</v>
          </cell>
        </row>
        <row r="44">
          <cell r="A44" t="str">
            <v>Germany</v>
          </cell>
          <cell r="B44">
            <v>0.59</v>
          </cell>
          <cell r="C44">
            <v>0.41</v>
          </cell>
        </row>
        <row r="45">
          <cell r="A45" t="str">
            <v>New Zealand</v>
          </cell>
          <cell r="B45">
            <v>0.51</v>
          </cell>
          <cell r="C45">
            <v>0.49</v>
          </cell>
        </row>
        <row r="46">
          <cell r="A46" t="str">
            <v>Pakistan</v>
          </cell>
          <cell r="B46">
            <v>0.54</v>
          </cell>
          <cell r="C46">
            <v>0.46</v>
          </cell>
        </row>
        <row r="47">
          <cell r="A47" t="str">
            <v>Romania</v>
          </cell>
          <cell r="B47">
            <v>0.81</v>
          </cell>
          <cell r="C47">
            <v>0.19</v>
          </cell>
        </row>
        <row r="48">
          <cell r="A48" t="str">
            <v>Cyprus</v>
          </cell>
        </row>
        <row r="49">
          <cell r="A49" t="str">
            <v>Myanmar (Burma)</v>
          </cell>
        </row>
        <row r="50">
          <cell r="A50" t="str">
            <v>Austria</v>
          </cell>
          <cell r="B50">
            <v>0.59</v>
          </cell>
          <cell r="C50">
            <v>0.41</v>
          </cell>
        </row>
        <row r="51">
          <cell r="A51" t="str">
            <v>United Kingdom</v>
          </cell>
          <cell r="B51">
            <v>0.44</v>
          </cell>
          <cell r="C51">
            <v>0.56000000000000005</v>
          </cell>
        </row>
        <row r="52">
          <cell r="A52" t="str">
            <v>Norway</v>
          </cell>
          <cell r="B52">
            <v>0.51</v>
          </cell>
          <cell r="C52">
            <v>0.49</v>
          </cell>
        </row>
        <row r="53">
          <cell r="A53" t="str">
            <v>Zambia</v>
          </cell>
        </row>
        <row r="54">
          <cell r="A54" t="str">
            <v>Bulgaria</v>
          </cell>
        </row>
        <row r="55">
          <cell r="A55" t="str">
            <v>Malta</v>
          </cell>
        </row>
        <row r="56">
          <cell r="A56" t="str">
            <v>Belgium</v>
          </cell>
          <cell r="B56">
            <v>0.45</v>
          </cell>
          <cell r="C56">
            <v>0.55000000000000004</v>
          </cell>
        </row>
        <row r="57">
          <cell r="A57" t="str">
            <v>Tunisia</v>
          </cell>
          <cell r="B57">
            <v>0.52</v>
          </cell>
          <cell r="C57">
            <v>0.48</v>
          </cell>
        </row>
        <row r="58">
          <cell r="A58" t="str">
            <v>Czechia</v>
          </cell>
          <cell r="B58">
            <v>0.66</v>
          </cell>
          <cell r="C58">
            <v>0.34</v>
          </cell>
        </row>
        <row r="59">
          <cell r="A59" t="str">
            <v>Nigeria</v>
          </cell>
        </row>
        <row r="60">
          <cell r="A60" t="str">
            <v>Latvia</v>
          </cell>
        </row>
        <row r="61">
          <cell r="A61" t="str">
            <v>Ukraine</v>
          </cell>
          <cell r="B61">
            <v>0.83</v>
          </cell>
          <cell r="C61">
            <v>0.17</v>
          </cell>
        </row>
        <row r="62">
          <cell r="A62" t="str">
            <v>Palestine</v>
          </cell>
        </row>
        <row r="63">
          <cell r="A63" t="str">
            <v>Bangladesh</v>
          </cell>
          <cell r="B63">
            <v>0.41</v>
          </cell>
          <cell r="C63">
            <v>0.59</v>
          </cell>
        </row>
        <row r="64">
          <cell r="A64" t="str">
            <v>Albania</v>
          </cell>
        </row>
        <row r="65">
          <cell r="A65" t="str">
            <v>Japan</v>
          </cell>
          <cell r="B65">
            <v>0.53</v>
          </cell>
          <cell r="C65">
            <v>0.47</v>
          </cell>
        </row>
        <row r="66">
          <cell r="A66" t="str">
            <v>Sudan</v>
          </cell>
        </row>
        <row r="67">
          <cell r="A67" t="str">
            <v>South Africa</v>
          </cell>
          <cell r="B67">
            <v>0.38</v>
          </cell>
          <cell r="C67">
            <v>0.62</v>
          </cell>
        </row>
        <row r="68">
          <cell r="A68" t="str">
            <v>Russia</v>
          </cell>
          <cell r="B68">
            <v>0.7</v>
          </cell>
          <cell r="C68">
            <v>0.3</v>
          </cell>
        </row>
        <row r="69">
          <cell r="A69" t="str">
            <v>Croatia</v>
          </cell>
        </row>
        <row r="70">
          <cell r="A70" t="str">
            <v>Hungary</v>
          </cell>
          <cell r="B70">
            <v>0.71</v>
          </cell>
          <cell r="C70">
            <v>0.28999999999999998</v>
          </cell>
        </row>
        <row r="71">
          <cell r="A71" t="str">
            <v>Moldova</v>
          </cell>
        </row>
        <row r="72">
          <cell r="A72" t="str">
            <v>Lithuania</v>
          </cell>
        </row>
        <row r="73">
          <cell r="A73" t="str">
            <v>Malaysia</v>
          </cell>
          <cell r="B73">
            <v>0.38</v>
          </cell>
          <cell r="C73">
            <v>0.62</v>
          </cell>
        </row>
        <row r="74">
          <cell r="A74" t="str">
            <v>Poland</v>
          </cell>
          <cell r="B74">
            <v>0.74</v>
          </cell>
          <cell r="C74">
            <v>0.26</v>
          </cell>
        </row>
        <row r="75">
          <cell r="A75" t="str">
            <v>Costa Rica</v>
          </cell>
        </row>
        <row r="76">
          <cell r="A76" t="str">
            <v>Greece</v>
          </cell>
          <cell r="B76">
            <v>0.59</v>
          </cell>
          <cell r="C76">
            <v>0.41</v>
          </cell>
        </row>
        <row r="77">
          <cell r="A77" t="str">
            <v>Indonesia</v>
          </cell>
          <cell r="B77">
            <v>0.19</v>
          </cell>
          <cell r="C77">
            <v>0.81</v>
          </cell>
        </row>
        <row r="78">
          <cell r="A78" t="str">
            <v>France</v>
          </cell>
          <cell r="B78">
            <v>0.6</v>
          </cell>
          <cell r="C78">
            <v>0.4</v>
          </cell>
        </row>
        <row r="79">
          <cell r="A79" t="str">
            <v>Kosovo</v>
          </cell>
        </row>
        <row r="80">
          <cell r="A80" t="str">
            <v>Slovakia</v>
          </cell>
        </row>
        <row r="81">
          <cell r="A81" t="str">
            <v>Qatar</v>
          </cell>
        </row>
        <row r="82">
          <cell r="A82" t="str">
            <v>Spain</v>
          </cell>
          <cell r="B82">
            <v>0.59</v>
          </cell>
          <cell r="C82">
            <v>0.41</v>
          </cell>
        </row>
        <row r="83">
          <cell r="A83" t="str">
            <v>Philippines</v>
          </cell>
          <cell r="B83">
            <v>0.5</v>
          </cell>
          <cell r="C83">
            <v>0.5</v>
          </cell>
        </row>
        <row r="84">
          <cell r="A84" t="str">
            <v>Vietnam</v>
          </cell>
          <cell r="B84">
            <v>0.74</v>
          </cell>
          <cell r="C84">
            <v>0.26</v>
          </cell>
        </row>
        <row r="85">
          <cell r="A85" t="str">
            <v>Guatemala</v>
          </cell>
        </row>
        <row r="86">
          <cell r="A86" t="str">
            <v>Puerto Rico</v>
          </cell>
        </row>
        <row r="87">
          <cell r="A87" t="str">
            <v>Jordan</v>
          </cell>
        </row>
        <row r="88">
          <cell r="A88" t="str">
            <v>Peru</v>
          </cell>
          <cell r="B88">
            <v>0.27</v>
          </cell>
          <cell r="C88">
            <v>0.73</v>
          </cell>
        </row>
        <row r="89">
          <cell r="A89" t="str">
            <v>Jamaica</v>
          </cell>
        </row>
        <row r="90">
          <cell r="A90" t="str">
            <v>Chile</v>
          </cell>
          <cell r="B90">
            <v>0.37</v>
          </cell>
          <cell r="C90">
            <v>0.63</v>
          </cell>
        </row>
        <row r="91">
          <cell r="A91" t="str">
            <v>United Arab Emirates</v>
          </cell>
          <cell r="B91">
            <v>0.57999999999999996</v>
          </cell>
          <cell r="C91">
            <v>0.42</v>
          </cell>
        </row>
        <row r="92">
          <cell r="A92" t="str">
            <v>Thailand</v>
          </cell>
          <cell r="B92">
            <v>0.3</v>
          </cell>
          <cell r="C92">
            <v>0.7</v>
          </cell>
        </row>
        <row r="93">
          <cell r="A93" t="str">
            <v>Kazakhstan</v>
          </cell>
        </row>
        <row r="94">
          <cell r="A94" t="str">
            <v>Laos</v>
          </cell>
        </row>
        <row r="95">
          <cell r="A95" t="str">
            <v>Uruguay</v>
          </cell>
        </row>
        <row r="96">
          <cell r="A96" t="str">
            <v>Egypt</v>
          </cell>
          <cell r="B96">
            <v>0.56999999999999995</v>
          </cell>
          <cell r="C96">
            <v>0.43</v>
          </cell>
        </row>
        <row r="97">
          <cell r="A97" t="str">
            <v>Bosnia &amp; Herzegovina</v>
          </cell>
        </row>
        <row r="98">
          <cell r="A98" t="str">
            <v>Morocco</v>
          </cell>
          <cell r="B98">
            <v>0.56000000000000005</v>
          </cell>
          <cell r="C98">
            <v>0.44</v>
          </cell>
        </row>
        <row r="99">
          <cell r="A99" t="str">
            <v>Iran</v>
          </cell>
          <cell r="B99">
            <v>0.34</v>
          </cell>
          <cell r="C99">
            <v>0.66</v>
          </cell>
        </row>
        <row r="100">
          <cell r="A100" t="str">
            <v>Colombia</v>
          </cell>
          <cell r="B100">
            <v>0.45</v>
          </cell>
          <cell r="C100">
            <v>0.55000000000000004</v>
          </cell>
        </row>
        <row r="101">
          <cell r="A101" t="str">
            <v>Italy</v>
          </cell>
          <cell r="B101">
            <v>0.56999999999999995</v>
          </cell>
          <cell r="C101">
            <v>0.43</v>
          </cell>
        </row>
        <row r="102">
          <cell r="A102" t="str">
            <v>Uzbekistan</v>
          </cell>
        </row>
        <row r="103">
          <cell r="A103" t="str">
            <v>Mexico</v>
          </cell>
          <cell r="B103">
            <v>0.56999999999999995</v>
          </cell>
          <cell r="C103">
            <v>0.43</v>
          </cell>
        </row>
        <row r="104">
          <cell r="A104" t="str">
            <v>Paraguay</v>
          </cell>
        </row>
        <row r="105">
          <cell r="A105" t="str">
            <v>Ecuador</v>
          </cell>
        </row>
        <row r="106">
          <cell r="A106" t="str">
            <v>Argentina</v>
          </cell>
          <cell r="B106">
            <v>0.69</v>
          </cell>
          <cell r="C106">
            <v>0.31</v>
          </cell>
        </row>
        <row r="107">
          <cell r="A107" t="str">
            <v>El Salvador</v>
          </cell>
        </row>
        <row r="108">
          <cell r="A108" t="str">
            <v>Saudi Arabia</v>
          </cell>
        </row>
        <row r="109">
          <cell r="A109" t="str">
            <v>Brazil</v>
          </cell>
          <cell r="B109">
            <v>0.56000000000000005</v>
          </cell>
          <cell r="C109">
            <v>0.44</v>
          </cell>
        </row>
        <row r="110">
          <cell r="A110" t="str">
            <v>Bolivia</v>
          </cell>
        </row>
        <row r="111">
          <cell r="A111" t="str">
            <v>Cambodia</v>
          </cell>
        </row>
        <row r="112">
          <cell r="A112" t="str">
            <v>Azerbaijan</v>
          </cell>
        </row>
        <row r="113">
          <cell r="A113" t="str">
            <v>Iraq</v>
          </cell>
        </row>
        <row r="114">
          <cell r="A114" t="str">
            <v>Algeria</v>
          </cell>
        </row>
        <row r="115">
          <cell r="A115" t="str">
            <v>Turkey</v>
          </cell>
          <cell r="B115">
            <v>0.5</v>
          </cell>
          <cell r="C115">
            <v>0.5</v>
          </cell>
        </row>
        <row r="116">
          <cell r="A116" t="str">
            <v>Georgia</v>
          </cell>
        </row>
        <row r="117">
          <cell r="A117" t="str">
            <v>Venezuela</v>
          </cell>
        </row>
        <row r="118">
          <cell r="A118" t="str">
            <v>Yemen</v>
          </cell>
        </row>
        <row r="119">
          <cell r="A119" t="str">
            <v>SÃ£o TomÃ© &amp; PrÃ­ncipe</v>
          </cell>
        </row>
        <row r="120">
          <cell r="A120" t="str">
            <v>Liechtenstein</v>
          </cell>
        </row>
        <row r="121">
          <cell r="A121" t="str">
            <v>Djibouti</v>
          </cell>
        </row>
        <row r="122">
          <cell r="A122" t="str">
            <v>Ã…land Islands</v>
          </cell>
        </row>
        <row r="123">
          <cell r="A123" t="str">
            <v>Gibraltar</v>
          </cell>
        </row>
        <row r="124">
          <cell r="A124" t="str">
            <v>Maldives</v>
          </cell>
        </row>
        <row r="125">
          <cell r="A125" t="str">
            <v>Isle of Man</v>
          </cell>
        </row>
        <row r="126">
          <cell r="A126" t="str">
            <v>Madagascar</v>
          </cell>
        </row>
        <row r="127">
          <cell r="A127" t="str">
            <v>Guam</v>
          </cell>
        </row>
        <row r="128">
          <cell r="A128" t="str">
            <v>Angola</v>
          </cell>
        </row>
        <row r="129">
          <cell r="A129" t="str">
            <v>Eswatini</v>
          </cell>
        </row>
        <row r="130">
          <cell r="A130" t="str">
            <v>Bhutan</v>
          </cell>
        </row>
        <row r="131">
          <cell r="A131" t="str">
            <v>Lesotho</v>
          </cell>
        </row>
        <row r="132">
          <cell r="A132" t="str">
            <v>Andorra</v>
          </cell>
        </row>
        <row r="133">
          <cell r="A133" t="str">
            <v>Mongolia</v>
          </cell>
        </row>
        <row r="134">
          <cell r="A134" t="str">
            <v>French Polynesia</v>
          </cell>
        </row>
        <row r="135">
          <cell r="A135" t="str">
            <v>Senegal</v>
          </cell>
        </row>
        <row r="136">
          <cell r="A136" t="str">
            <v>Macao</v>
          </cell>
        </row>
        <row r="137">
          <cell r="A137" t="str">
            <v>Belize</v>
          </cell>
        </row>
        <row r="138">
          <cell r="A138" t="str">
            <v>Montenegro</v>
          </cell>
        </row>
        <row r="139">
          <cell r="A139" t="str">
            <v>Botswana</v>
          </cell>
        </row>
        <row r="140">
          <cell r="A140" t="str">
            <v>Brunei</v>
          </cell>
        </row>
        <row r="141">
          <cell r="A141" t="str">
            <v>Jersey</v>
          </cell>
        </row>
        <row r="142">
          <cell r="A142" t="str">
            <v>Fiji</v>
          </cell>
        </row>
        <row r="143">
          <cell r="A143" t="str">
            <v>Afghanistan</v>
          </cell>
        </row>
        <row r="144">
          <cell r="A144" t="str">
            <v>Bahrain</v>
          </cell>
        </row>
        <row r="145">
          <cell r="A145" t="str">
            <v>Suriname</v>
          </cell>
        </row>
        <row r="146">
          <cell r="A146" t="str">
            <v>Benin</v>
          </cell>
        </row>
        <row r="147">
          <cell r="A147" t="str">
            <v>Trinidad &amp; Tobago</v>
          </cell>
        </row>
        <row r="148">
          <cell r="A148" t="str">
            <v>Turkmenistan</v>
          </cell>
        </row>
        <row r="149">
          <cell r="A149" t="str">
            <v>Mali</v>
          </cell>
        </row>
        <row r="150">
          <cell r="A150" t="str">
            <v>Mozambique</v>
          </cell>
        </row>
        <row r="151">
          <cell r="A151" t="str">
            <v>Kyrgyzstan</v>
          </cell>
        </row>
        <row r="152">
          <cell r="A152" t="str">
            <v>Nicaragua</v>
          </cell>
        </row>
        <row r="153">
          <cell r="A153" t="str">
            <v>Tajikistan</v>
          </cell>
        </row>
        <row r="154">
          <cell r="A154" t="str">
            <v>Oman</v>
          </cell>
        </row>
        <row r="155">
          <cell r="A155" t="str">
            <v>Panama</v>
          </cell>
        </row>
        <row r="156">
          <cell r="A156" t="str">
            <v>Honduras</v>
          </cell>
        </row>
        <row r="157">
          <cell r="A157" t="str">
            <v>Kuwait</v>
          </cell>
        </row>
        <row r="158">
          <cell r="A158" t="str">
            <v>Congo - Kinshasa</v>
          </cell>
        </row>
        <row r="159">
          <cell r="A159" t="str">
            <v>RÃ©union</v>
          </cell>
        </row>
        <row r="160">
          <cell r="A160" t="str">
            <v>Libya</v>
          </cell>
        </row>
        <row r="161">
          <cell r="A161" t="str">
            <v>Syria</v>
          </cell>
        </row>
        <row r="162">
          <cell r="A162" t="str">
            <v>Dominican Republic</v>
          </cell>
        </row>
        <row r="163">
          <cell r="A163" t="str">
            <v>CÃ´te dâ€™Ivoire</v>
          </cell>
        </row>
        <row r="164">
          <cell r="A164" t="str">
            <v>Aruba</v>
          </cell>
        </row>
        <row r="165">
          <cell r="A165" t="str">
            <v>Anguilla</v>
          </cell>
        </row>
        <row r="166">
          <cell r="A166" t="str">
            <v>American Samoa</v>
          </cell>
        </row>
        <row r="167">
          <cell r="A167" t="str">
            <v>Antarctica</v>
          </cell>
        </row>
        <row r="168">
          <cell r="A168" t="str">
            <v>French Southern Territories</v>
          </cell>
        </row>
        <row r="169">
          <cell r="A169" t="str">
            <v>Antigua &amp; Barbuda</v>
          </cell>
        </row>
        <row r="170">
          <cell r="A170" t="str">
            <v>Burundi</v>
          </cell>
        </row>
        <row r="171">
          <cell r="A171" t="str">
            <v>Caribbean Netherlands</v>
          </cell>
        </row>
        <row r="172">
          <cell r="A172" t="str">
            <v>Burkina Faso</v>
          </cell>
        </row>
        <row r="173">
          <cell r="A173" t="str">
            <v>Bahamas</v>
          </cell>
        </row>
        <row r="174">
          <cell r="A174" t="str">
            <v>St. BarthÃ©lemy</v>
          </cell>
        </row>
        <row r="175">
          <cell r="A175" t="str">
            <v>Bermuda</v>
          </cell>
        </row>
        <row r="176">
          <cell r="A176" t="str">
            <v>Barbados</v>
          </cell>
        </row>
        <row r="177">
          <cell r="A177" t="str">
            <v>Bouvet Island</v>
          </cell>
        </row>
        <row r="178">
          <cell r="A178" t="str">
            <v>Central African Republic</v>
          </cell>
        </row>
        <row r="179">
          <cell r="A179" t="str">
            <v>Cocos (Keeling) Islands</v>
          </cell>
        </row>
        <row r="180">
          <cell r="A180" t="str">
            <v>Congo - Brazzaville</v>
          </cell>
        </row>
        <row r="181">
          <cell r="A181" t="str">
            <v>Cook Islands</v>
          </cell>
        </row>
        <row r="182">
          <cell r="A182" t="str">
            <v>Comoros</v>
          </cell>
        </row>
        <row r="183">
          <cell r="A183" t="str">
            <v>Cape Verde</v>
          </cell>
        </row>
        <row r="184">
          <cell r="A184" t="str">
            <v>CuraÃ§ao</v>
          </cell>
        </row>
        <row r="185">
          <cell r="A185" t="str">
            <v>Christmas Island</v>
          </cell>
        </row>
        <row r="186">
          <cell r="A186" t="str">
            <v>Cayman Islands</v>
          </cell>
        </row>
        <row r="187">
          <cell r="A187" t="str">
            <v>Dominica</v>
          </cell>
        </row>
        <row r="188">
          <cell r="A188" t="str">
            <v>Eritrea</v>
          </cell>
        </row>
        <row r="189">
          <cell r="A189" t="str">
            <v>Western Sahara</v>
          </cell>
        </row>
        <row r="190">
          <cell r="A190" t="str">
            <v>Falkland Islands (Islas Malvinas)</v>
          </cell>
        </row>
        <row r="191">
          <cell r="A191" t="str">
            <v>Faroe Islands</v>
          </cell>
        </row>
        <row r="192">
          <cell r="A192" t="str">
            <v>Micronesia</v>
          </cell>
        </row>
        <row r="193">
          <cell r="A193" t="str">
            <v>Gabon</v>
          </cell>
        </row>
        <row r="194">
          <cell r="A194" t="str">
            <v>Guernsey</v>
          </cell>
        </row>
        <row r="195">
          <cell r="A195" t="str">
            <v>Guinea</v>
          </cell>
        </row>
        <row r="196">
          <cell r="A196" t="str">
            <v>Guadeloupe</v>
          </cell>
        </row>
        <row r="197">
          <cell r="A197" t="str">
            <v>Gambia</v>
          </cell>
        </row>
        <row r="198">
          <cell r="A198" t="str">
            <v>Guinea-Bissau</v>
          </cell>
        </row>
        <row r="199">
          <cell r="A199" t="str">
            <v>Equatorial Guinea</v>
          </cell>
        </row>
        <row r="200">
          <cell r="A200" t="str">
            <v>Grenada</v>
          </cell>
        </row>
        <row r="201">
          <cell r="A201" t="str">
            <v>Greenland</v>
          </cell>
        </row>
        <row r="202">
          <cell r="A202" t="str">
            <v>French Guiana</v>
          </cell>
        </row>
        <row r="203">
          <cell r="A203" t="str">
            <v>Guyana</v>
          </cell>
        </row>
        <row r="204">
          <cell r="A204" t="str">
            <v>Heard &amp; McDonald Islands</v>
          </cell>
        </row>
        <row r="205">
          <cell r="A205" t="str">
            <v>Haiti</v>
          </cell>
        </row>
        <row r="206">
          <cell r="A206" t="str">
            <v>British Indian Ocean Territory</v>
          </cell>
        </row>
        <row r="207">
          <cell r="A207" t="str">
            <v>Kiribati</v>
          </cell>
        </row>
        <row r="208">
          <cell r="A208" t="str">
            <v>St. Kitts &amp; Nevis</v>
          </cell>
        </row>
        <row r="209">
          <cell r="A209" t="str">
            <v>Liberia</v>
          </cell>
        </row>
        <row r="210">
          <cell r="A210" t="str">
            <v>St. Lucia</v>
          </cell>
        </row>
        <row r="211">
          <cell r="A211" t="str">
            <v>St. Martin</v>
          </cell>
        </row>
        <row r="212">
          <cell r="A212" t="str">
            <v>Monaco</v>
          </cell>
        </row>
        <row r="213">
          <cell r="A213" t="str">
            <v>Marshall Islands</v>
          </cell>
        </row>
        <row r="214">
          <cell r="A214" t="str">
            <v>Northern Mariana Islands</v>
          </cell>
        </row>
        <row r="215">
          <cell r="A215" t="str">
            <v>Mauritania</v>
          </cell>
        </row>
        <row r="216">
          <cell r="A216" t="str">
            <v>Montserrat</v>
          </cell>
        </row>
        <row r="217">
          <cell r="A217" t="str">
            <v>Martinique</v>
          </cell>
        </row>
        <row r="218">
          <cell r="A218" t="str">
            <v>Mayotte</v>
          </cell>
        </row>
        <row r="219">
          <cell r="A219" t="str">
            <v>Namibia</v>
          </cell>
        </row>
        <row r="220">
          <cell r="A220" t="str">
            <v>New Caledonia</v>
          </cell>
        </row>
        <row r="221">
          <cell r="A221" t="str">
            <v>Niger</v>
          </cell>
        </row>
        <row r="222">
          <cell r="A222" t="str">
            <v>Norfolk Island</v>
          </cell>
        </row>
        <row r="223">
          <cell r="A223" t="str">
            <v>Niue</v>
          </cell>
        </row>
        <row r="224">
          <cell r="A224" t="str">
            <v>Nauru</v>
          </cell>
        </row>
        <row r="225">
          <cell r="A225" t="str">
            <v>Pitcairn Islands</v>
          </cell>
        </row>
        <row r="226">
          <cell r="A226" t="str">
            <v>Palau</v>
          </cell>
        </row>
        <row r="227">
          <cell r="A227" t="str">
            <v>Papua New Guinea</v>
          </cell>
        </row>
        <row r="228">
          <cell r="A228" t="str">
            <v>North Korea</v>
          </cell>
        </row>
        <row r="229">
          <cell r="A229" t="str">
            <v>South Georgia &amp; South Sandwich Islands</v>
          </cell>
        </row>
        <row r="230">
          <cell r="A230" t="str">
            <v>Svalbard &amp; Jan Mayen</v>
          </cell>
        </row>
        <row r="231">
          <cell r="A231" t="str">
            <v>Solomon Islands</v>
          </cell>
        </row>
        <row r="232">
          <cell r="A232" t="str">
            <v>Sierra Leone</v>
          </cell>
        </row>
        <row r="233">
          <cell r="A233" t="str">
            <v>San Marino</v>
          </cell>
        </row>
        <row r="234">
          <cell r="A234" t="str">
            <v>Somalia</v>
          </cell>
        </row>
        <row r="235">
          <cell r="A235" t="str">
            <v>St. Pierre &amp; Miquelon</v>
          </cell>
        </row>
        <row r="236">
          <cell r="A236" t="str">
            <v>South Sudan</v>
          </cell>
        </row>
        <row r="237">
          <cell r="A237" t="str">
            <v>Sint Maarten</v>
          </cell>
        </row>
        <row r="238">
          <cell r="A238" t="str">
            <v>Seychelles</v>
          </cell>
        </row>
        <row r="239">
          <cell r="A239" t="str">
            <v>Turks &amp; Caicos Islands</v>
          </cell>
        </row>
        <row r="240">
          <cell r="A240" t="str">
            <v>Chad</v>
          </cell>
        </row>
        <row r="241">
          <cell r="A241" t="str">
            <v>Togo</v>
          </cell>
        </row>
        <row r="242">
          <cell r="A242" t="str">
            <v>Tokelau</v>
          </cell>
        </row>
        <row r="243">
          <cell r="A243" t="str">
            <v>Timor-Leste</v>
          </cell>
        </row>
        <row r="244">
          <cell r="A244" t="str">
            <v>Tonga</v>
          </cell>
        </row>
        <row r="245">
          <cell r="A245" t="str">
            <v>Tuvalu</v>
          </cell>
        </row>
        <row r="246">
          <cell r="A246" t="str">
            <v>U.S. Outlying Islands</v>
          </cell>
        </row>
        <row r="247">
          <cell r="A247" t="str">
            <v>Vatican City</v>
          </cell>
        </row>
        <row r="248">
          <cell r="A248" t="str">
            <v>St. Vincent &amp; Grenadines</v>
          </cell>
        </row>
        <row r="249">
          <cell r="A249" t="str">
            <v>British Virgin Islands</v>
          </cell>
        </row>
        <row r="250">
          <cell r="A250" t="str">
            <v>U.S. Virgin Islands</v>
          </cell>
        </row>
        <row r="251">
          <cell r="A251" t="str">
            <v>Vanuatu</v>
          </cell>
        </row>
        <row r="252">
          <cell r="A252" t="str">
            <v>Wallis &amp; Futuna</v>
          </cell>
        </row>
        <row r="253">
          <cell r="A253" t="str">
            <v>Samoa</v>
          </cell>
        </row>
      </sheetData>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20)"/>
    </sheetNames>
    <sheetDataSet>
      <sheetData sheetId="0" refreshError="1">
        <row r="1">
          <cell r="A1" t="str">
            <v>Kategori: TÃ¼m kategoriler</v>
          </cell>
        </row>
        <row r="3">
          <cell r="A3" t="str">
            <v>Ãœlke</v>
          </cell>
          <cell r="B3" t="str">
            <v>Lojistik Regresyon: (2018)</v>
          </cell>
          <cell r="C3" t="str">
            <v>Design thinking: (2018)</v>
          </cell>
        </row>
        <row r="4">
          <cell r="A4" t="str">
            <v>China</v>
          </cell>
          <cell r="B4">
            <v>0.88</v>
          </cell>
          <cell r="C4">
            <v>0.12</v>
          </cell>
        </row>
        <row r="5">
          <cell r="A5" t="str">
            <v>Ethiopia</v>
          </cell>
          <cell r="B5">
            <v>1</v>
          </cell>
        </row>
        <row r="6">
          <cell r="A6" t="str">
            <v>Malawi</v>
          </cell>
        </row>
        <row r="7">
          <cell r="A7" t="str">
            <v>Singapore</v>
          </cell>
          <cell r="B7">
            <v>0.39</v>
          </cell>
          <cell r="C7">
            <v>0.61</v>
          </cell>
        </row>
        <row r="8">
          <cell r="A8" t="str">
            <v>South Korea</v>
          </cell>
          <cell r="B8">
            <v>0.76</v>
          </cell>
          <cell r="C8">
            <v>0.24</v>
          </cell>
        </row>
        <row r="9">
          <cell r="A9" t="str">
            <v>Rwanda</v>
          </cell>
        </row>
        <row r="10">
          <cell r="A10" t="str">
            <v>Peru</v>
          </cell>
          <cell r="B10">
            <v>0.14000000000000001</v>
          </cell>
          <cell r="C10">
            <v>0.86</v>
          </cell>
        </row>
        <row r="11">
          <cell r="A11" t="str">
            <v>Zimbabwe</v>
          </cell>
        </row>
        <row r="12">
          <cell r="A12" t="str">
            <v>St. Helena</v>
          </cell>
          <cell r="B12">
            <v>0.48</v>
          </cell>
          <cell r="C12">
            <v>0.52</v>
          </cell>
        </row>
        <row r="13">
          <cell r="A13" t="str">
            <v>Hong Kong</v>
          </cell>
          <cell r="B13">
            <v>0.53</v>
          </cell>
          <cell r="C13">
            <v>0.47</v>
          </cell>
        </row>
        <row r="14">
          <cell r="A14" t="str">
            <v>Uganda</v>
          </cell>
        </row>
        <row r="15">
          <cell r="A15" t="str">
            <v>Switzerland</v>
          </cell>
          <cell r="B15">
            <v>0.4</v>
          </cell>
          <cell r="C15">
            <v>0.6</v>
          </cell>
        </row>
        <row r="16">
          <cell r="A16" t="str">
            <v>Costa Rica</v>
          </cell>
        </row>
        <row r="17">
          <cell r="A17" t="str">
            <v>Ghana</v>
          </cell>
        </row>
        <row r="18">
          <cell r="A18" t="str">
            <v>Germany</v>
          </cell>
          <cell r="B18">
            <v>0.32</v>
          </cell>
          <cell r="C18">
            <v>0.68</v>
          </cell>
        </row>
        <row r="19">
          <cell r="A19" t="str">
            <v>Netherlands</v>
          </cell>
          <cell r="B19">
            <v>0.54</v>
          </cell>
          <cell r="C19">
            <v>0.46</v>
          </cell>
        </row>
        <row r="20">
          <cell r="A20" t="str">
            <v>Cameroon</v>
          </cell>
        </row>
        <row r="21">
          <cell r="A21" t="str">
            <v>Tanzania</v>
          </cell>
        </row>
        <row r="22">
          <cell r="A22" t="str">
            <v>Colombia</v>
          </cell>
          <cell r="B22">
            <v>0.23</v>
          </cell>
          <cell r="C22">
            <v>0.77</v>
          </cell>
        </row>
        <row r="23">
          <cell r="A23" t="str">
            <v>Australia</v>
          </cell>
          <cell r="B23">
            <v>0.45</v>
          </cell>
          <cell r="C23">
            <v>0.55000000000000004</v>
          </cell>
        </row>
        <row r="24">
          <cell r="A24" t="str">
            <v>Brazil</v>
          </cell>
          <cell r="B24">
            <v>0.12</v>
          </cell>
          <cell r="C24">
            <v>0.88</v>
          </cell>
        </row>
        <row r="25">
          <cell r="A25" t="str">
            <v>Chile</v>
          </cell>
          <cell r="B25">
            <v>0.27</v>
          </cell>
          <cell r="C25">
            <v>0.73</v>
          </cell>
        </row>
        <row r="26">
          <cell r="A26" t="str">
            <v>United States</v>
          </cell>
          <cell r="B26">
            <v>0.69</v>
          </cell>
          <cell r="C26">
            <v>0.31</v>
          </cell>
        </row>
        <row r="27">
          <cell r="A27" t="str">
            <v>Denmark</v>
          </cell>
          <cell r="B27">
            <v>0.5</v>
          </cell>
          <cell r="C27">
            <v>0.5</v>
          </cell>
        </row>
        <row r="28">
          <cell r="A28" t="str">
            <v>Kenya</v>
          </cell>
          <cell r="B28">
            <v>0.57999999999999996</v>
          </cell>
          <cell r="C28">
            <v>0.42</v>
          </cell>
        </row>
        <row r="29">
          <cell r="A29" t="str">
            <v>Namibia</v>
          </cell>
        </row>
        <row r="30">
          <cell r="A30" t="str">
            <v>New Zealand</v>
          </cell>
          <cell r="B30">
            <v>0.43</v>
          </cell>
          <cell r="C30">
            <v>0.56999999999999995</v>
          </cell>
        </row>
        <row r="31">
          <cell r="A31" t="str">
            <v>Canada</v>
          </cell>
          <cell r="B31">
            <v>0.57999999999999996</v>
          </cell>
          <cell r="C31">
            <v>0.42</v>
          </cell>
        </row>
        <row r="32">
          <cell r="A32" t="str">
            <v>Nepal</v>
          </cell>
        </row>
        <row r="33">
          <cell r="A33" t="str">
            <v>Ecuador</v>
          </cell>
          <cell r="B33">
            <v>0.2</v>
          </cell>
          <cell r="C33">
            <v>0.8</v>
          </cell>
        </row>
        <row r="34">
          <cell r="A34" t="str">
            <v>United Arab Emirates</v>
          </cell>
          <cell r="B34">
            <v>0.24</v>
          </cell>
          <cell r="C34">
            <v>0.76</v>
          </cell>
        </row>
        <row r="35">
          <cell r="A35" t="str">
            <v>Ireland</v>
          </cell>
          <cell r="B35">
            <v>0.53</v>
          </cell>
          <cell r="C35">
            <v>0.47</v>
          </cell>
        </row>
        <row r="36">
          <cell r="A36" t="str">
            <v>Norway</v>
          </cell>
          <cell r="B36">
            <v>0.45</v>
          </cell>
          <cell r="C36">
            <v>0.55000000000000004</v>
          </cell>
        </row>
        <row r="37">
          <cell r="A37" t="str">
            <v>Guatemala</v>
          </cell>
          <cell r="C37">
            <v>1</v>
          </cell>
        </row>
        <row r="38">
          <cell r="A38" t="str">
            <v>Taiwan</v>
          </cell>
          <cell r="B38">
            <v>0.54</v>
          </cell>
          <cell r="C38">
            <v>0.46</v>
          </cell>
        </row>
        <row r="39">
          <cell r="A39" t="str">
            <v>Israel</v>
          </cell>
          <cell r="B39">
            <v>0.78</v>
          </cell>
          <cell r="C39">
            <v>0.22</v>
          </cell>
        </row>
        <row r="40">
          <cell r="A40" t="str">
            <v>Portugal</v>
          </cell>
          <cell r="B40">
            <v>0.37</v>
          </cell>
          <cell r="C40">
            <v>0.63</v>
          </cell>
        </row>
        <row r="41">
          <cell r="A41" t="str">
            <v>Lebanon</v>
          </cell>
        </row>
        <row r="42">
          <cell r="A42" t="str">
            <v>Austria</v>
          </cell>
          <cell r="B42">
            <v>0.39</v>
          </cell>
          <cell r="C42">
            <v>0.61</v>
          </cell>
        </row>
        <row r="43">
          <cell r="A43" t="str">
            <v>Sweden</v>
          </cell>
          <cell r="B43">
            <v>0.65</v>
          </cell>
          <cell r="C43">
            <v>0.35</v>
          </cell>
        </row>
        <row r="44">
          <cell r="A44" t="str">
            <v>Cyprus</v>
          </cell>
        </row>
        <row r="45">
          <cell r="A45" t="str">
            <v>Panama</v>
          </cell>
          <cell r="C45">
            <v>1</v>
          </cell>
        </row>
        <row r="46">
          <cell r="A46" t="str">
            <v>Mauritius</v>
          </cell>
        </row>
        <row r="47">
          <cell r="A47" t="str">
            <v>Finland</v>
          </cell>
          <cell r="B47">
            <v>0.55000000000000004</v>
          </cell>
          <cell r="C47">
            <v>0.45</v>
          </cell>
        </row>
        <row r="48">
          <cell r="A48" t="str">
            <v>India</v>
          </cell>
          <cell r="B48">
            <v>0.63</v>
          </cell>
          <cell r="C48">
            <v>0.37</v>
          </cell>
        </row>
        <row r="49">
          <cell r="A49" t="str">
            <v>El Salvador</v>
          </cell>
        </row>
        <row r="50">
          <cell r="A50" t="str">
            <v>South Africa</v>
          </cell>
          <cell r="B50">
            <v>0.46</v>
          </cell>
          <cell r="C50">
            <v>0.54</v>
          </cell>
        </row>
        <row r="51">
          <cell r="A51" t="str">
            <v>United Kingdom</v>
          </cell>
          <cell r="B51">
            <v>0.71</v>
          </cell>
          <cell r="C51">
            <v>0.28999999999999998</v>
          </cell>
        </row>
        <row r="52">
          <cell r="A52" t="str">
            <v>Zambia</v>
          </cell>
        </row>
        <row r="53">
          <cell r="A53" t="str">
            <v>Belgium</v>
          </cell>
          <cell r="B53">
            <v>0.61</v>
          </cell>
          <cell r="C53">
            <v>0.39</v>
          </cell>
        </row>
        <row r="54">
          <cell r="A54" t="str">
            <v>Malaysia</v>
          </cell>
          <cell r="B54">
            <v>0.43</v>
          </cell>
          <cell r="C54">
            <v>0.56999999999999995</v>
          </cell>
        </row>
        <row r="55">
          <cell r="A55" t="str">
            <v>Nicaragua</v>
          </cell>
        </row>
        <row r="56">
          <cell r="A56" t="str">
            <v>Pakistan</v>
          </cell>
          <cell r="B56">
            <v>0.75</v>
          </cell>
          <cell r="C56">
            <v>0.25</v>
          </cell>
        </row>
        <row r="57">
          <cell r="A57" t="str">
            <v>Nigeria</v>
          </cell>
          <cell r="B57">
            <v>0.75</v>
          </cell>
          <cell r="C57">
            <v>0.25</v>
          </cell>
        </row>
        <row r="58">
          <cell r="A58" t="str">
            <v>Honduras</v>
          </cell>
        </row>
        <row r="59">
          <cell r="A59" t="str">
            <v>Bangladesh</v>
          </cell>
        </row>
        <row r="60">
          <cell r="A60" t="str">
            <v>Mexico</v>
          </cell>
          <cell r="B60">
            <v>0.23</v>
          </cell>
          <cell r="C60">
            <v>0.77</v>
          </cell>
        </row>
        <row r="61">
          <cell r="A61" t="str">
            <v>Sudan</v>
          </cell>
        </row>
        <row r="62">
          <cell r="A62" t="str">
            <v>Tunisia</v>
          </cell>
          <cell r="B62">
            <v>0.52</v>
          </cell>
          <cell r="C62">
            <v>0.48</v>
          </cell>
        </row>
        <row r="63">
          <cell r="A63" t="str">
            <v>France</v>
          </cell>
          <cell r="B63">
            <v>0.35</v>
          </cell>
          <cell r="C63">
            <v>0.65</v>
          </cell>
        </row>
        <row r="64">
          <cell r="A64" t="str">
            <v>Spain</v>
          </cell>
          <cell r="B64">
            <v>0.34</v>
          </cell>
          <cell r="C64">
            <v>0.66</v>
          </cell>
        </row>
        <row r="65">
          <cell r="A65" t="str">
            <v>Bolivia</v>
          </cell>
        </row>
        <row r="66">
          <cell r="A66" t="str">
            <v>Japan</v>
          </cell>
          <cell r="B66">
            <v>0.52</v>
          </cell>
          <cell r="C66">
            <v>0.48</v>
          </cell>
        </row>
        <row r="67">
          <cell r="A67" t="str">
            <v>Thailand</v>
          </cell>
          <cell r="B67">
            <v>0.41</v>
          </cell>
          <cell r="C67">
            <v>0.59</v>
          </cell>
        </row>
        <row r="68">
          <cell r="A68" t="str">
            <v>Estonia</v>
          </cell>
        </row>
        <row r="69">
          <cell r="A69" t="str">
            <v>Philippines</v>
          </cell>
          <cell r="B69">
            <v>0.45</v>
          </cell>
          <cell r="C69">
            <v>0.55000000000000004</v>
          </cell>
        </row>
        <row r="70">
          <cell r="A70" t="str">
            <v>Indonesia</v>
          </cell>
          <cell r="B70">
            <v>0.72</v>
          </cell>
          <cell r="C70">
            <v>0.28000000000000003</v>
          </cell>
        </row>
        <row r="71">
          <cell r="A71" t="str">
            <v>Latvia</v>
          </cell>
        </row>
        <row r="72">
          <cell r="A72" t="str">
            <v>Sri Lanka</v>
          </cell>
        </row>
        <row r="73">
          <cell r="A73" t="str">
            <v>Uruguay</v>
          </cell>
        </row>
        <row r="74">
          <cell r="A74" t="str">
            <v>Armenia</v>
          </cell>
        </row>
        <row r="75">
          <cell r="A75" t="str">
            <v>Qatar</v>
          </cell>
        </row>
        <row r="76">
          <cell r="A76" t="str">
            <v>Slovenia</v>
          </cell>
        </row>
        <row r="77">
          <cell r="A77" t="str">
            <v>Puerto Rico</v>
          </cell>
        </row>
        <row r="78">
          <cell r="A78" t="str">
            <v>Jamaica</v>
          </cell>
        </row>
        <row r="79">
          <cell r="A79" t="str">
            <v>Poland</v>
          </cell>
          <cell r="B79">
            <v>0.31</v>
          </cell>
          <cell r="C79">
            <v>0.69</v>
          </cell>
        </row>
        <row r="80">
          <cell r="A80" t="str">
            <v>Iran</v>
          </cell>
          <cell r="B80">
            <v>0.82</v>
          </cell>
          <cell r="C80">
            <v>0.18</v>
          </cell>
        </row>
        <row r="81">
          <cell r="A81" t="str">
            <v>Czechia</v>
          </cell>
          <cell r="B81">
            <v>0.66</v>
          </cell>
          <cell r="C81">
            <v>0.34</v>
          </cell>
        </row>
        <row r="82">
          <cell r="A82" t="str">
            <v>Argentina</v>
          </cell>
          <cell r="B82">
            <v>0.24</v>
          </cell>
          <cell r="C82">
            <v>0.76</v>
          </cell>
        </row>
        <row r="83">
          <cell r="A83" t="str">
            <v>Greece</v>
          </cell>
          <cell r="B83">
            <v>0.71</v>
          </cell>
          <cell r="C83">
            <v>0.28999999999999998</v>
          </cell>
        </row>
        <row r="84">
          <cell r="A84" t="str">
            <v>Paraguay</v>
          </cell>
        </row>
        <row r="85">
          <cell r="A85" t="str">
            <v>Morocco</v>
          </cell>
          <cell r="B85">
            <v>0.47</v>
          </cell>
          <cell r="C85">
            <v>0.53</v>
          </cell>
        </row>
        <row r="86">
          <cell r="A86" t="str">
            <v>Croatia</v>
          </cell>
        </row>
        <row r="87">
          <cell r="A87" t="str">
            <v>Romania</v>
          </cell>
          <cell r="B87">
            <v>0.41</v>
          </cell>
          <cell r="C87">
            <v>0.59</v>
          </cell>
        </row>
        <row r="88">
          <cell r="A88" t="str">
            <v>Egypt</v>
          </cell>
          <cell r="B88">
            <v>0.63</v>
          </cell>
          <cell r="C88">
            <v>0.37</v>
          </cell>
        </row>
        <row r="89">
          <cell r="A89" t="str">
            <v>Jordan</v>
          </cell>
        </row>
        <row r="90">
          <cell r="A90" t="str">
            <v>Lithuania</v>
          </cell>
        </row>
        <row r="91">
          <cell r="A91" t="str">
            <v>Russia</v>
          </cell>
          <cell r="B91">
            <v>0.64</v>
          </cell>
          <cell r="C91">
            <v>0.36</v>
          </cell>
        </row>
        <row r="92">
          <cell r="A92" t="str">
            <v>Serbia</v>
          </cell>
        </row>
        <row r="93">
          <cell r="A93" t="str">
            <v>Kuwait</v>
          </cell>
        </row>
        <row r="94">
          <cell r="A94" t="str">
            <v>Laos</v>
          </cell>
        </row>
        <row r="95">
          <cell r="A95" t="str">
            <v>Italy</v>
          </cell>
          <cell r="B95">
            <v>0.49</v>
          </cell>
          <cell r="C95">
            <v>0.51</v>
          </cell>
        </row>
        <row r="96">
          <cell r="A96" t="str">
            <v>Hungary</v>
          </cell>
          <cell r="B96">
            <v>0.56999999999999995</v>
          </cell>
          <cell r="C96">
            <v>0.43</v>
          </cell>
        </row>
        <row r="97">
          <cell r="A97" t="str">
            <v>Dominican Republic</v>
          </cell>
        </row>
        <row r="98">
          <cell r="A98" t="str">
            <v>Saudi Arabia</v>
          </cell>
          <cell r="B98">
            <v>0.55000000000000004</v>
          </cell>
          <cell r="C98">
            <v>0.45</v>
          </cell>
        </row>
        <row r="99">
          <cell r="A99" t="str">
            <v>Kazakhstan</v>
          </cell>
        </row>
        <row r="100">
          <cell r="A100" t="str">
            <v>Belarus</v>
          </cell>
        </row>
        <row r="101">
          <cell r="A101" t="str">
            <v>Slovakia</v>
          </cell>
        </row>
        <row r="102">
          <cell r="A102" t="str">
            <v>Iraq</v>
          </cell>
        </row>
        <row r="103">
          <cell r="A103" t="str">
            <v>Turkey</v>
          </cell>
          <cell r="B103">
            <v>0.64</v>
          </cell>
          <cell r="C103">
            <v>0.36</v>
          </cell>
        </row>
        <row r="104">
          <cell r="A104" t="str">
            <v>Bulgaria</v>
          </cell>
        </row>
        <row r="105">
          <cell r="A105" t="str">
            <v>Vietnam</v>
          </cell>
          <cell r="B105">
            <v>0.63</v>
          </cell>
          <cell r="C105">
            <v>0.37</v>
          </cell>
        </row>
        <row r="106">
          <cell r="A106" t="str">
            <v>Ukraine</v>
          </cell>
          <cell r="B106">
            <v>0.48</v>
          </cell>
          <cell r="C106">
            <v>0.52</v>
          </cell>
        </row>
        <row r="107">
          <cell r="A107" t="str">
            <v>Algeria</v>
          </cell>
        </row>
        <row r="108">
          <cell r="A108" t="str">
            <v>Venezuela</v>
          </cell>
        </row>
        <row r="109">
          <cell r="A109" t="str">
            <v>Eritrea</v>
          </cell>
        </row>
        <row r="110">
          <cell r="A110" t="str">
            <v>Samoa</v>
          </cell>
        </row>
        <row r="111">
          <cell r="A111" t="str">
            <v>Central African Republic</v>
          </cell>
        </row>
        <row r="112">
          <cell r="A112" t="str">
            <v>St. Kitts &amp; Nevis</v>
          </cell>
        </row>
        <row r="113">
          <cell r="A113" t="str">
            <v>French Polynesia</v>
          </cell>
        </row>
        <row r="114">
          <cell r="A114" t="str">
            <v>San Marino</v>
          </cell>
        </row>
        <row r="115">
          <cell r="A115" t="str">
            <v>Botswana</v>
          </cell>
        </row>
        <row r="116">
          <cell r="A116" t="str">
            <v>Benin</v>
          </cell>
        </row>
        <row r="117">
          <cell r="A117" t="str">
            <v>St. Vincent &amp; Grenadines</v>
          </cell>
        </row>
        <row r="118">
          <cell r="A118" t="str">
            <v>Bhutan</v>
          </cell>
        </row>
        <row r="119">
          <cell r="A119" t="str">
            <v>Lesotho</v>
          </cell>
        </row>
        <row r="120">
          <cell r="A120" t="str">
            <v>Cape Verde</v>
          </cell>
        </row>
        <row r="121">
          <cell r="A121" t="str">
            <v>Chad</v>
          </cell>
        </row>
        <row r="122">
          <cell r="A122" t="str">
            <v>Burundi</v>
          </cell>
        </row>
        <row r="123">
          <cell r="A123" t="str">
            <v>Sierra Leone</v>
          </cell>
        </row>
        <row r="124">
          <cell r="A124" t="str">
            <v>Burkina Faso</v>
          </cell>
        </row>
        <row r="125">
          <cell r="A125" t="str">
            <v>Timor-Leste</v>
          </cell>
        </row>
        <row r="126">
          <cell r="A126" t="str">
            <v>Eswatini</v>
          </cell>
        </row>
        <row r="127">
          <cell r="A127" t="str">
            <v>Grenada</v>
          </cell>
        </row>
        <row r="128">
          <cell r="A128" t="str">
            <v>Djibouti</v>
          </cell>
        </row>
        <row r="129">
          <cell r="A129" t="str">
            <v>Gabon</v>
          </cell>
        </row>
        <row r="130">
          <cell r="A130" t="str">
            <v>Togo</v>
          </cell>
        </row>
        <row r="131">
          <cell r="A131" t="str">
            <v>Senegal</v>
          </cell>
        </row>
        <row r="132">
          <cell r="A132" t="str">
            <v>Antigua &amp; Barbuda</v>
          </cell>
        </row>
        <row r="133">
          <cell r="A133" t="str">
            <v>Somalia</v>
          </cell>
        </row>
        <row r="134">
          <cell r="A134" t="str">
            <v>Macao</v>
          </cell>
        </row>
        <row r="135">
          <cell r="A135" t="str">
            <v>Congo - Kinshasa</v>
          </cell>
        </row>
        <row r="136">
          <cell r="A136" t="str">
            <v>Iceland</v>
          </cell>
        </row>
        <row r="137">
          <cell r="A137" t="str">
            <v>Madagascar</v>
          </cell>
        </row>
        <row r="138">
          <cell r="A138" t="str">
            <v>Luxembourg</v>
          </cell>
        </row>
        <row r="139">
          <cell r="A139" t="str">
            <v>Liberia</v>
          </cell>
        </row>
        <row r="140">
          <cell r="A140" t="str">
            <v>Andorra</v>
          </cell>
        </row>
        <row r="141">
          <cell r="A141" t="str">
            <v>Mongolia</v>
          </cell>
        </row>
        <row r="142">
          <cell r="A142" t="str">
            <v>Congo - Brazzaville</v>
          </cell>
        </row>
        <row r="143">
          <cell r="A143" t="str">
            <v>Mozambique</v>
          </cell>
        </row>
        <row r="144">
          <cell r="A144" t="str">
            <v>Maldives</v>
          </cell>
        </row>
        <row r="145">
          <cell r="A145" t="str">
            <v>CuraÃ§ao</v>
          </cell>
        </row>
        <row r="146">
          <cell r="A146" t="str">
            <v>French Guiana</v>
          </cell>
        </row>
        <row r="147">
          <cell r="A147" t="str">
            <v>Isle of Man</v>
          </cell>
        </row>
        <row r="148">
          <cell r="A148" t="str">
            <v>Barbados</v>
          </cell>
        </row>
        <row r="149">
          <cell r="A149" t="str">
            <v>Suriname</v>
          </cell>
        </row>
        <row r="150">
          <cell r="A150" t="str">
            <v>Belize</v>
          </cell>
        </row>
        <row r="151">
          <cell r="A151" t="str">
            <v>Mauritania</v>
          </cell>
        </row>
        <row r="152">
          <cell r="A152" t="str">
            <v>CÃ´te dâ€™Ivoire</v>
          </cell>
        </row>
        <row r="153">
          <cell r="A153" t="str">
            <v>North Macedonia</v>
          </cell>
        </row>
        <row r="154">
          <cell r="A154" t="str">
            <v>Myanmar (Burma)</v>
          </cell>
        </row>
        <row r="155">
          <cell r="A155" t="str">
            <v>Malta</v>
          </cell>
        </row>
        <row r="156">
          <cell r="A156" t="str">
            <v>Guinea</v>
          </cell>
        </row>
        <row r="157">
          <cell r="A157" t="str">
            <v>Guam</v>
          </cell>
        </row>
        <row r="158">
          <cell r="A158" t="str">
            <v>Brunei</v>
          </cell>
        </row>
        <row r="159">
          <cell r="A159" t="str">
            <v>Guyana</v>
          </cell>
        </row>
        <row r="160">
          <cell r="A160" t="str">
            <v>Albania</v>
          </cell>
        </row>
        <row r="161">
          <cell r="A161" t="str">
            <v>Fiji</v>
          </cell>
        </row>
        <row r="162">
          <cell r="A162" t="str">
            <v>Afghanistan</v>
          </cell>
        </row>
        <row r="163">
          <cell r="A163" t="str">
            <v>Cuba</v>
          </cell>
        </row>
        <row r="164">
          <cell r="A164" t="str">
            <v>RÃ©union</v>
          </cell>
        </row>
        <row r="165">
          <cell r="A165" t="str">
            <v>Martinique</v>
          </cell>
        </row>
        <row r="166">
          <cell r="A166" t="str">
            <v>Trinidad &amp; Tobago</v>
          </cell>
        </row>
        <row r="167">
          <cell r="A167" t="str">
            <v>Haiti</v>
          </cell>
        </row>
        <row r="168">
          <cell r="A168" t="str">
            <v>Mali</v>
          </cell>
        </row>
        <row r="169">
          <cell r="A169" t="str">
            <v>Guadeloupe</v>
          </cell>
        </row>
        <row r="170">
          <cell r="A170" t="str">
            <v>Palestine</v>
          </cell>
        </row>
        <row r="171">
          <cell r="A171" t="str">
            <v>Moldova</v>
          </cell>
        </row>
        <row r="172">
          <cell r="A172" t="str">
            <v>Oman</v>
          </cell>
        </row>
        <row r="173">
          <cell r="A173" t="str">
            <v>Bahrain</v>
          </cell>
        </row>
        <row r="174">
          <cell r="A174" t="str">
            <v>Libya</v>
          </cell>
        </row>
        <row r="175">
          <cell r="A175" t="str">
            <v>Uzbekistan</v>
          </cell>
        </row>
        <row r="176">
          <cell r="A176" t="str">
            <v>Georgia</v>
          </cell>
        </row>
        <row r="177">
          <cell r="A177" t="str">
            <v>Montenegro</v>
          </cell>
        </row>
        <row r="178">
          <cell r="A178" t="str">
            <v>Cambodia</v>
          </cell>
        </row>
        <row r="179">
          <cell r="A179" t="str">
            <v>Bosnia &amp; Herzegovina</v>
          </cell>
        </row>
        <row r="180">
          <cell r="A180" t="str">
            <v>Syria</v>
          </cell>
        </row>
        <row r="181">
          <cell r="A181" t="str">
            <v>Kyrgyzstan</v>
          </cell>
        </row>
        <row r="182">
          <cell r="A182" t="str">
            <v>Azerbaijan</v>
          </cell>
        </row>
        <row r="183">
          <cell r="A183" t="str">
            <v>Aruba</v>
          </cell>
        </row>
        <row r="184">
          <cell r="A184" t="str">
            <v>Angola</v>
          </cell>
        </row>
        <row r="185">
          <cell r="A185" t="str">
            <v>Anguilla</v>
          </cell>
        </row>
        <row r="186">
          <cell r="A186" t="str">
            <v>Ã…land Islands</v>
          </cell>
        </row>
        <row r="187">
          <cell r="A187" t="str">
            <v>American Samoa</v>
          </cell>
        </row>
        <row r="188">
          <cell r="A188" t="str">
            <v>Antarctica</v>
          </cell>
        </row>
        <row r="189">
          <cell r="A189" t="str">
            <v>French Southern Territories</v>
          </cell>
        </row>
        <row r="190">
          <cell r="A190" t="str">
            <v>Caribbean Netherlands</v>
          </cell>
        </row>
        <row r="191">
          <cell r="A191" t="str">
            <v>Bahamas</v>
          </cell>
        </row>
        <row r="192">
          <cell r="A192" t="str">
            <v>St. BarthÃ©lemy</v>
          </cell>
        </row>
        <row r="193">
          <cell r="A193" t="str">
            <v>Bermuda</v>
          </cell>
        </row>
        <row r="194">
          <cell r="A194" t="str">
            <v>Bouvet Island</v>
          </cell>
        </row>
        <row r="195">
          <cell r="A195" t="str">
            <v>Cocos (Keeling) Islands</v>
          </cell>
        </row>
        <row r="196">
          <cell r="A196" t="str">
            <v>Cook Islands</v>
          </cell>
        </row>
        <row r="197">
          <cell r="A197" t="str">
            <v>Comoros</v>
          </cell>
        </row>
        <row r="198">
          <cell r="A198" t="str">
            <v>Christmas Island</v>
          </cell>
        </row>
        <row r="199">
          <cell r="A199" t="str">
            <v>Cayman Islands</v>
          </cell>
        </row>
        <row r="200">
          <cell r="A200" t="str">
            <v>Dominica</v>
          </cell>
        </row>
        <row r="201">
          <cell r="A201" t="str">
            <v>Western Sahara</v>
          </cell>
        </row>
        <row r="202">
          <cell r="A202" t="str">
            <v>Falkland Islands (Islas Malvinas)</v>
          </cell>
        </row>
        <row r="203">
          <cell r="A203" t="str">
            <v>Faroe Islands</v>
          </cell>
        </row>
        <row r="204">
          <cell r="A204" t="str">
            <v>Micronesia</v>
          </cell>
        </row>
        <row r="205">
          <cell r="A205" t="str">
            <v>Guernsey</v>
          </cell>
        </row>
        <row r="206">
          <cell r="A206" t="str">
            <v>Gibraltar</v>
          </cell>
        </row>
        <row r="207">
          <cell r="A207" t="str">
            <v>Gambia</v>
          </cell>
        </row>
        <row r="208">
          <cell r="A208" t="str">
            <v>Guinea-Bissau</v>
          </cell>
        </row>
        <row r="209">
          <cell r="A209" t="str">
            <v>Equatorial Guinea</v>
          </cell>
        </row>
        <row r="210">
          <cell r="A210" t="str">
            <v>Greenland</v>
          </cell>
        </row>
        <row r="211">
          <cell r="A211" t="str">
            <v>Heard &amp; McDonald Islands</v>
          </cell>
        </row>
        <row r="212">
          <cell r="A212" t="str">
            <v>British Indian Ocean Territory</v>
          </cell>
        </row>
        <row r="213">
          <cell r="A213" t="str">
            <v>Jersey</v>
          </cell>
        </row>
        <row r="214">
          <cell r="A214" t="str">
            <v>Kiribati</v>
          </cell>
        </row>
        <row r="215">
          <cell r="A215" t="str">
            <v>St. Lucia</v>
          </cell>
        </row>
        <row r="216">
          <cell r="A216" t="str">
            <v>Liechtenstein</v>
          </cell>
        </row>
        <row r="217">
          <cell r="A217" t="str">
            <v>St. Martin</v>
          </cell>
        </row>
        <row r="218">
          <cell r="A218" t="str">
            <v>Monaco</v>
          </cell>
        </row>
        <row r="219">
          <cell r="A219" t="str">
            <v>Marshall Islands</v>
          </cell>
        </row>
        <row r="220">
          <cell r="A220" t="str">
            <v>Northern Mariana Islands</v>
          </cell>
        </row>
        <row r="221">
          <cell r="A221" t="str">
            <v>Montserrat</v>
          </cell>
        </row>
        <row r="222">
          <cell r="A222" t="str">
            <v>Mayotte</v>
          </cell>
        </row>
        <row r="223">
          <cell r="A223" t="str">
            <v>New Caledonia</v>
          </cell>
        </row>
        <row r="224">
          <cell r="A224" t="str">
            <v>Niger</v>
          </cell>
        </row>
        <row r="225">
          <cell r="A225" t="str">
            <v>Norfolk Island</v>
          </cell>
        </row>
        <row r="226">
          <cell r="A226" t="str">
            <v>Niue</v>
          </cell>
        </row>
        <row r="227">
          <cell r="A227" t="str">
            <v>Nauru</v>
          </cell>
        </row>
        <row r="228">
          <cell r="A228" t="str">
            <v>Pitcairn Islands</v>
          </cell>
        </row>
        <row r="229">
          <cell r="A229" t="str">
            <v>Palau</v>
          </cell>
        </row>
        <row r="230">
          <cell r="A230" t="str">
            <v>Papua New Guinea</v>
          </cell>
        </row>
        <row r="231">
          <cell r="A231" t="str">
            <v>North Korea</v>
          </cell>
        </row>
        <row r="232">
          <cell r="A232" t="str">
            <v>South Georgia &amp; South Sandwich Islands</v>
          </cell>
        </row>
        <row r="233">
          <cell r="A233" t="str">
            <v>Svalbard &amp; Jan Mayen</v>
          </cell>
        </row>
        <row r="234">
          <cell r="A234" t="str">
            <v>Solomon Islands</v>
          </cell>
        </row>
        <row r="235">
          <cell r="A235" t="str">
            <v>St. Pierre &amp; Miquelon</v>
          </cell>
        </row>
        <row r="236">
          <cell r="A236" t="str">
            <v>South Sudan</v>
          </cell>
        </row>
        <row r="237">
          <cell r="A237" t="str">
            <v>SÃ£o TomÃ© &amp; PrÃ­ncipe</v>
          </cell>
        </row>
        <row r="238">
          <cell r="A238" t="str">
            <v>Sint Maarten</v>
          </cell>
        </row>
        <row r="239">
          <cell r="A239" t="str">
            <v>Seychelles</v>
          </cell>
        </row>
        <row r="240">
          <cell r="A240" t="str">
            <v>Turks &amp; Caicos Islands</v>
          </cell>
        </row>
        <row r="241">
          <cell r="A241" t="str">
            <v>Tajikistan</v>
          </cell>
        </row>
        <row r="242">
          <cell r="A242" t="str">
            <v>Tokelau</v>
          </cell>
        </row>
        <row r="243">
          <cell r="A243" t="str">
            <v>Turkmenistan</v>
          </cell>
        </row>
        <row r="244">
          <cell r="A244" t="str">
            <v>Tonga</v>
          </cell>
        </row>
        <row r="245">
          <cell r="A245" t="str">
            <v>Tuvalu</v>
          </cell>
        </row>
        <row r="246">
          <cell r="A246" t="str">
            <v>U.S. Outlying Islands</v>
          </cell>
        </row>
        <row r="247">
          <cell r="A247" t="str">
            <v>Vatican City</v>
          </cell>
        </row>
        <row r="248">
          <cell r="A248" t="str">
            <v>British Virgin Islands</v>
          </cell>
        </row>
        <row r="249">
          <cell r="A249" t="str">
            <v>U.S. Virgin Islands</v>
          </cell>
        </row>
        <row r="250">
          <cell r="A250" t="str">
            <v>Vanuatu</v>
          </cell>
        </row>
        <row r="251">
          <cell r="A251" t="str">
            <v>Wallis &amp; Futuna</v>
          </cell>
        </row>
        <row r="252">
          <cell r="A252" t="str">
            <v>Kosovo</v>
          </cell>
        </row>
        <row r="253">
          <cell r="A253" t="str">
            <v>Yemen</v>
          </cell>
        </row>
      </sheetData>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21)"/>
    </sheetNames>
    <sheetDataSet>
      <sheetData sheetId="0" refreshError="1">
        <row r="1">
          <cell r="A1" t="str">
            <v>Kategori: TÃ¼m kategoriler</v>
          </cell>
        </row>
        <row r="3">
          <cell r="A3" t="str">
            <v>Ãœlke</v>
          </cell>
          <cell r="B3" t="str">
            <v>Design thinking: (2018)</v>
          </cell>
          <cell r="C3" t="str">
            <v>Ã‡Ã¶p toplama: (2018)</v>
          </cell>
        </row>
        <row r="4">
          <cell r="A4" t="str">
            <v>China</v>
          </cell>
          <cell r="B4">
            <v>0.1</v>
          </cell>
          <cell r="C4">
            <v>0.9</v>
          </cell>
        </row>
        <row r="5">
          <cell r="A5" t="str">
            <v>Singapore</v>
          </cell>
          <cell r="B5">
            <v>0.82</v>
          </cell>
          <cell r="C5">
            <v>0.18</v>
          </cell>
        </row>
        <row r="6">
          <cell r="A6" t="str">
            <v>Malta</v>
          </cell>
          <cell r="C6">
            <v>1</v>
          </cell>
        </row>
        <row r="7">
          <cell r="A7" t="str">
            <v>Peru</v>
          </cell>
          <cell r="B7">
            <v>0.88</v>
          </cell>
          <cell r="C7">
            <v>0.12</v>
          </cell>
        </row>
        <row r="8">
          <cell r="A8" t="str">
            <v>St. Helena</v>
          </cell>
          <cell r="B8">
            <v>0.53</v>
          </cell>
          <cell r="C8">
            <v>0.47</v>
          </cell>
        </row>
        <row r="9">
          <cell r="A9" t="str">
            <v>Zimbabwe</v>
          </cell>
        </row>
        <row r="10">
          <cell r="A10" t="str">
            <v>Rwanda</v>
          </cell>
        </row>
        <row r="11">
          <cell r="A11" t="str">
            <v>Canada</v>
          </cell>
          <cell r="B11">
            <v>0.32</v>
          </cell>
          <cell r="C11">
            <v>0.68</v>
          </cell>
        </row>
        <row r="12">
          <cell r="A12" t="str">
            <v>Jamaica</v>
          </cell>
          <cell r="C12">
            <v>1</v>
          </cell>
        </row>
        <row r="13">
          <cell r="A13" t="str">
            <v>Switzerland</v>
          </cell>
          <cell r="B13">
            <v>0.79</v>
          </cell>
          <cell r="C13">
            <v>0.21</v>
          </cell>
        </row>
        <row r="14">
          <cell r="A14" t="str">
            <v>Hong Kong</v>
          </cell>
          <cell r="B14">
            <v>0.69</v>
          </cell>
          <cell r="C14">
            <v>0.31</v>
          </cell>
        </row>
        <row r="15">
          <cell r="A15" t="str">
            <v>South Korea</v>
          </cell>
          <cell r="B15">
            <v>0.41</v>
          </cell>
          <cell r="C15">
            <v>0.59</v>
          </cell>
        </row>
        <row r="16">
          <cell r="A16" t="str">
            <v>Germany</v>
          </cell>
          <cell r="B16">
            <v>0.81</v>
          </cell>
          <cell r="C16">
            <v>0.19</v>
          </cell>
        </row>
        <row r="17">
          <cell r="A17" t="str">
            <v>Namibia</v>
          </cell>
        </row>
        <row r="18">
          <cell r="A18" t="str">
            <v>Costa Rica</v>
          </cell>
          <cell r="B18">
            <v>0.54</v>
          </cell>
          <cell r="C18">
            <v>0.46</v>
          </cell>
        </row>
        <row r="19">
          <cell r="A19" t="str">
            <v>Denmark</v>
          </cell>
          <cell r="B19">
            <v>0.8</v>
          </cell>
          <cell r="C19">
            <v>0.2</v>
          </cell>
        </row>
        <row r="20">
          <cell r="A20" t="str">
            <v>Brazil</v>
          </cell>
          <cell r="B20">
            <v>0.93</v>
          </cell>
          <cell r="C20">
            <v>7.0000000000000007E-2</v>
          </cell>
        </row>
        <row r="21">
          <cell r="A21" t="str">
            <v>Mauritius</v>
          </cell>
        </row>
        <row r="22">
          <cell r="A22" t="str">
            <v>Ecuador</v>
          </cell>
          <cell r="B22">
            <v>0.44</v>
          </cell>
          <cell r="C22">
            <v>0.56000000000000005</v>
          </cell>
        </row>
        <row r="23">
          <cell r="A23" t="str">
            <v>Colombia</v>
          </cell>
          <cell r="B23">
            <v>0.71</v>
          </cell>
          <cell r="C23">
            <v>0.28999999999999998</v>
          </cell>
        </row>
        <row r="24">
          <cell r="A24" t="str">
            <v>Australia</v>
          </cell>
          <cell r="B24">
            <v>0.56000000000000005</v>
          </cell>
          <cell r="C24">
            <v>0.44</v>
          </cell>
        </row>
        <row r="25">
          <cell r="A25" t="str">
            <v>New Zealand</v>
          </cell>
          <cell r="B25">
            <v>0.73</v>
          </cell>
          <cell r="C25">
            <v>0.27</v>
          </cell>
        </row>
        <row r="26">
          <cell r="A26" t="str">
            <v>Chile</v>
          </cell>
          <cell r="B26">
            <v>0.62</v>
          </cell>
          <cell r="C26">
            <v>0.38</v>
          </cell>
        </row>
        <row r="27">
          <cell r="A27" t="str">
            <v>Netherlands</v>
          </cell>
          <cell r="B27">
            <v>0.77</v>
          </cell>
          <cell r="C27">
            <v>0.23</v>
          </cell>
        </row>
        <row r="28">
          <cell r="A28" t="str">
            <v>United Arab Emirates</v>
          </cell>
          <cell r="B28">
            <v>0.81</v>
          </cell>
          <cell r="C28">
            <v>0.19</v>
          </cell>
        </row>
        <row r="29">
          <cell r="A29" t="str">
            <v>Guyana</v>
          </cell>
        </row>
        <row r="30">
          <cell r="A30" t="str">
            <v>Norway</v>
          </cell>
          <cell r="B30">
            <v>0.66</v>
          </cell>
          <cell r="C30">
            <v>0.34</v>
          </cell>
        </row>
        <row r="31">
          <cell r="A31" t="str">
            <v>El Salvador</v>
          </cell>
        </row>
        <row r="32">
          <cell r="A32" t="str">
            <v>Mexico</v>
          </cell>
          <cell r="B32">
            <v>0.43</v>
          </cell>
          <cell r="C32">
            <v>0.56999999999999995</v>
          </cell>
        </row>
        <row r="33">
          <cell r="A33" t="str">
            <v>Kenya</v>
          </cell>
          <cell r="B33">
            <v>0.66</v>
          </cell>
          <cell r="C33">
            <v>0.34</v>
          </cell>
        </row>
        <row r="34">
          <cell r="A34" t="str">
            <v>Nicaragua</v>
          </cell>
        </row>
        <row r="35">
          <cell r="A35" t="str">
            <v>Portugal</v>
          </cell>
          <cell r="B35">
            <v>0.8</v>
          </cell>
          <cell r="C35">
            <v>0.2</v>
          </cell>
        </row>
        <row r="36">
          <cell r="A36" t="str">
            <v>Panama</v>
          </cell>
          <cell r="B36">
            <v>0.49</v>
          </cell>
          <cell r="C36">
            <v>0.51</v>
          </cell>
        </row>
        <row r="37">
          <cell r="A37" t="str">
            <v>Ireland</v>
          </cell>
          <cell r="B37">
            <v>0.63</v>
          </cell>
          <cell r="C37">
            <v>0.37</v>
          </cell>
        </row>
        <row r="38">
          <cell r="A38" t="str">
            <v>Taiwan</v>
          </cell>
          <cell r="B38">
            <v>0.56999999999999995</v>
          </cell>
          <cell r="C38">
            <v>0.43</v>
          </cell>
        </row>
        <row r="39">
          <cell r="A39" t="str">
            <v>Austria</v>
          </cell>
          <cell r="B39">
            <v>0.71</v>
          </cell>
          <cell r="C39">
            <v>0.28999999999999998</v>
          </cell>
        </row>
        <row r="40">
          <cell r="A40" t="str">
            <v>South Africa</v>
          </cell>
          <cell r="B40">
            <v>0.8</v>
          </cell>
          <cell r="C40">
            <v>0.2</v>
          </cell>
        </row>
        <row r="41">
          <cell r="A41" t="str">
            <v>Malaysia</v>
          </cell>
          <cell r="B41">
            <v>0.78</v>
          </cell>
          <cell r="C41">
            <v>0.22</v>
          </cell>
        </row>
        <row r="42">
          <cell r="A42" t="str">
            <v>Myanmar (Burma)</v>
          </cell>
        </row>
        <row r="43">
          <cell r="A43" t="str">
            <v>Israel</v>
          </cell>
          <cell r="B43">
            <v>0.22</v>
          </cell>
          <cell r="C43">
            <v>0.78</v>
          </cell>
        </row>
        <row r="44">
          <cell r="A44" t="str">
            <v>Paraguay</v>
          </cell>
        </row>
        <row r="45">
          <cell r="A45" t="str">
            <v>Guatemala</v>
          </cell>
          <cell r="B45">
            <v>0.52</v>
          </cell>
          <cell r="C45">
            <v>0.48</v>
          </cell>
        </row>
        <row r="46">
          <cell r="A46" t="str">
            <v>Japan</v>
          </cell>
          <cell r="B46">
            <v>0.44</v>
          </cell>
          <cell r="C46">
            <v>0.56000000000000005</v>
          </cell>
        </row>
        <row r="47">
          <cell r="A47" t="str">
            <v>Argentina</v>
          </cell>
          <cell r="B47">
            <v>0.36</v>
          </cell>
          <cell r="C47">
            <v>0.64</v>
          </cell>
        </row>
        <row r="48">
          <cell r="A48" t="str">
            <v>Luxembourg</v>
          </cell>
        </row>
        <row r="49">
          <cell r="A49" t="str">
            <v>India</v>
          </cell>
          <cell r="B49">
            <v>0.4</v>
          </cell>
          <cell r="C49">
            <v>0.6</v>
          </cell>
        </row>
        <row r="50">
          <cell r="A50" t="str">
            <v>Lebanon</v>
          </cell>
        </row>
        <row r="51">
          <cell r="A51" t="str">
            <v>Sri Lanka</v>
          </cell>
          <cell r="B51">
            <v>0.41</v>
          </cell>
          <cell r="C51">
            <v>0.59</v>
          </cell>
        </row>
        <row r="52">
          <cell r="A52" t="str">
            <v>Tunisia</v>
          </cell>
        </row>
        <row r="53">
          <cell r="A53" t="str">
            <v>Honduras</v>
          </cell>
        </row>
        <row r="54">
          <cell r="A54" t="str">
            <v>Spain</v>
          </cell>
          <cell r="B54">
            <v>0.81</v>
          </cell>
          <cell r="C54">
            <v>0.19</v>
          </cell>
        </row>
        <row r="55">
          <cell r="A55" t="str">
            <v>United States</v>
          </cell>
          <cell r="B55">
            <v>0.44</v>
          </cell>
          <cell r="C55">
            <v>0.56000000000000005</v>
          </cell>
        </row>
        <row r="56">
          <cell r="A56" t="str">
            <v>Finland</v>
          </cell>
          <cell r="B56">
            <v>0.69</v>
          </cell>
          <cell r="C56">
            <v>0.31</v>
          </cell>
        </row>
        <row r="57">
          <cell r="A57" t="str">
            <v>France</v>
          </cell>
          <cell r="B57">
            <v>0.74</v>
          </cell>
          <cell r="C57">
            <v>0.26</v>
          </cell>
        </row>
        <row r="58">
          <cell r="A58" t="str">
            <v>Belarus</v>
          </cell>
        </row>
        <row r="59">
          <cell r="A59" t="str">
            <v>Uruguay</v>
          </cell>
        </row>
        <row r="60">
          <cell r="A60" t="str">
            <v>Philippines</v>
          </cell>
          <cell r="B60">
            <v>0.51</v>
          </cell>
          <cell r="C60">
            <v>0.49</v>
          </cell>
        </row>
        <row r="61">
          <cell r="A61" t="str">
            <v>Bolivia</v>
          </cell>
        </row>
        <row r="62">
          <cell r="A62" t="str">
            <v>Uganda</v>
          </cell>
        </row>
        <row r="63">
          <cell r="A63" t="str">
            <v>Lithuania</v>
          </cell>
        </row>
        <row r="64">
          <cell r="A64" t="str">
            <v>Thailand</v>
          </cell>
          <cell r="B64">
            <v>0.9</v>
          </cell>
          <cell r="C64">
            <v>0.1</v>
          </cell>
        </row>
        <row r="65">
          <cell r="A65" t="str">
            <v>Sweden</v>
          </cell>
          <cell r="B65">
            <v>0.64</v>
          </cell>
          <cell r="C65">
            <v>0.36</v>
          </cell>
        </row>
        <row r="66">
          <cell r="A66" t="str">
            <v>Belgium</v>
          </cell>
          <cell r="B66">
            <v>0.66</v>
          </cell>
          <cell r="C66">
            <v>0.34</v>
          </cell>
        </row>
        <row r="67">
          <cell r="A67" t="str">
            <v>Armenia</v>
          </cell>
        </row>
        <row r="68">
          <cell r="A68" t="str">
            <v>Ghana</v>
          </cell>
        </row>
        <row r="69">
          <cell r="A69" t="str">
            <v>Slovenia</v>
          </cell>
        </row>
        <row r="70">
          <cell r="A70" t="str">
            <v>Puerto Rico</v>
          </cell>
        </row>
        <row r="71">
          <cell r="A71" t="str">
            <v>Latvia</v>
          </cell>
        </row>
        <row r="72">
          <cell r="A72" t="str">
            <v>Poland</v>
          </cell>
          <cell r="B72">
            <v>0.65</v>
          </cell>
          <cell r="C72">
            <v>0.35</v>
          </cell>
        </row>
        <row r="73">
          <cell r="A73" t="str">
            <v>Nepal</v>
          </cell>
        </row>
        <row r="74">
          <cell r="A74" t="str">
            <v>Estonia</v>
          </cell>
        </row>
        <row r="75">
          <cell r="A75" t="str">
            <v>Croatia</v>
          </cell>
        </row>
        <row r="76">
          <cell r="A76" t="str">
            <v>Morocco</v>
          </cell>
        </row>
        <row r="77">
          <cell r="A77" t="str">
            <v>Cyprus</v>
          </cell>
        </row>
        <row r="78">
          <cell r="A78" t="str">
            <v>Ethiopia</v>
          </cell>
        </row>
        <row r="79">
          <cell r="A79" t="str">
            <v>Turkey</v>
          </cell>
          <cell r="B79">
            <v>0.23</v>
          </cell>
          <cell r="C79">
            <v>0.77</v>
          </cell>
        </row>
        <row r="80">
          <cell r="A80" t="str">
            <v>Russia</v>
          </cell>
          <cell r="B80">
            <v>0.34</v>
          </cell>
          <cell r="C80">
            <v>0.66</v>
          </cell>
        </row>
        <row r="81">
          <cell r="A81" t="str">
            <v>United Kingdom</v>
          </cell>
          <cell r="B81">
            <v>0.51</v>
          </cell>
          <cell r="C81">
            <v>0.49</v>
          </cell>
        </row>
        <row r="82">
          <cell r="A82" t="str">
            <v>Czechia</v>
          </cell>
          <cell r="B82">
            <v>0.32</v>
          </cell>
          <cell r="C82">
            <v>0.68</v>
          </cell>
        </row>
        <row r="83">
          <cell r="A83" t="str">
            <v>Ukraine</v>
          </cell>
          <cell r="B83">
            <v>0.36</v>
          </cell>
          <cell r="C83">
            <v>0.64</v>
          </cell>
        </row>
        <row r="84">
          <cell r="A84" t="str">
            <v>Bulgaria</v>
          </cell>
        </row>
        <row r="85">
          <cell r="A85" t="str">
            <v>Vietnam</v>
          </cell>
          <cell r="B85">
            <v>0.27</v>
          </cell>
          <cell r="C85">
            <v>0.73</v>
          </cell>
        </row>
        <row r="86">
          <cell r="A86" t="str">
            <v>Romania</v>
          </cell>
          <cell r="B86">
            <v>0.57999999999999996</v>
          </cell>
          <cell r="C86">
            <v>0.42</v>
          </cell>
        </row>
        <row r="87">
          <cell r="A87" t="str">
            <v>Nigeria</v>
          </cell>
        </row>
        <row r="88">
          <cell r="A88" t="str">
            <v>Hungary</v>
          </cell>
          <cell r="B88">
            <v>0.41</v>
          </cell>
          <cell r="C88">
            <v>0.59</v>
          </cell>
        </row>
        <row r="89">
          <cell r="A89" t="str">
            <v>Kuwait</v>
          </cell>
        </row>
        <row r="90">
          <cell r="A90" t="str">
            <v>Dominican Republic</v>
          </cell>
        </row>
        <row r="91">
          <cell r="A91" t="str">
            <v>Pakistan</v>
          </cell>
          <cell r="B91">
            <v>0.54</v>
          </cell>
          <cell r="C91">
            <v>0.46</v>
          </cell>
        </row>
        <row r="92">
          <cell r="A92" t="str">
            <v>Jordan</v>
          </cell>
        </row>
        <row r="93">
          <cell r="A93" t="str">
            <v>Italy</v>
          </cell>
          <cell r="B93">
            <v>0.71</v>
          </cell>
          <cell r="C93">
            <v>0.28999999999999998</v>
          </cell>
        </row>
        <row r="94">
          <cell r="A94" t="str">
            <v>Oman</v>
          </cell>
        </row>
        <row r="95">
          <cell r="A95" t="str">
            <v>Slovakia</v>
          </cell>
        </row>
        <row r="96">
          <cell r="A96" t="str">
            <v>Kazakhstan</v>
          </cell>
        </row>
        <row r="97">
          <cell r="A97" t="str">
            <v>Egypt</v>
          </cell>
          <cell r="B97">
            <v>0.59</v>
          </cell>
          <cell r="C97">
            <v>0.41</v>
          </cell>
        </row>
        <row r="98">
          <cell r="A98" t="str">
            <v>Greece</v>
          </cell>
          <cell r="B98">
            <v>0.42</v>
          </cell>
          <cell r="C98">
            <v>0.57999999999999996</v>
          </cell>
        </row>
        <row r="99">
          <cell r="A99" t="str">
            <v>Serbia</v>
          </cell>
        </row>
        <row r="100">
          <cell r="A100" t="str">
            <v>Indonesia</v>
          </cell>
          <cell r="B100">
            <v>0.74</v>
          </cell>
          <cell r="C100">
            <v>0.26</v>
          </cell>
        </row>
        <row r="101">
          <cell r="A101" t="str">
            <v>Saudi Arabia</v>
          </cell>
        </row>
        <row r="102">
          <cell r="A102" t="str">
            <v>Bangladesh</v>
          </cell>
        </row>
        <row r="103">
          <cell r="A103" t="str">
            <v>Venezuela</v>
          </cell>
        </row>
        <row r="104">
          <cell r="A104" t="str">
            <v>Iran</v>
          </cell>
          <cell r="B104">
            <v>0.51</v>
          </cell>
          <cell r="C104">
            <v>0.49</v>
          </cell>
        </row>
        <row r="105">
          <cell r="A105" t="str">
            <v>Algeria</v>
          </cell>
        </row>
        <row r="106">
          <cell r="A106" t="str">
            <v>Cook Islands</v>
          </cell>
        </row>
        <row r="107">
          <cell r="A107" t="str">
            <v>Anguilla</v>
          </cell>
        </row>
        <row r="108">
          <cell r="A108" t="str">
            <v>Ã…land Islands</v>
          </cell>
        </row>
        <row r="109">
          <cell r="A109" t="str">
            <v>Botswana</v>
          </cell>
        </row>
        <row r="110">
          <cell r="A110" t="str">
            <v>Cayman Islands</v>
          </cell>
        </row>
        <row r="111">
          <cell r="A111" t="str">
            <v>Bhutan</v>
          </cell>
        </row>
        <row r="112">
          <cell r="A112" t="str">
            <v>Iceland</v>
          </cell>
        </row>
        <row r="113">
          <cell r="A113" t="str">
            <v>Cape Verde</v>
          </cell>
        </row>
        <row r="114">
          <cell r="A114" t="str">
            <v>Togo</v>
          </cell>
        </row>
        <row r="115">
          <cell r="A115" t="str">
            <v>Andorra</v>
          </cell>
        </row>
        <row r="116">
          <cell r="A116" t="str">
            <v>Gambia</v>
          </cell>
        </row>
        <row r="117">
          <cell r="A117" t="str">
            <v>Somalia</v>
          </cell>
        </row>
        <row r="118">
          <cell r="A118" t="str">
            <v>South Sudan</v>
          </cell>
        </row>
        <row r="119">
          <cell r="A119" t="str">
            <v>St. Lucia</v>
          </cell>
        </row>
        <row r="120">
          <cell r="A120" t="str">
            <v>Bermuda</v>
          </cell>
        </row>
        <row r="121">
          <cell r="A121" t="str">
            <v>New Caledonia</v>
          </cell>
        </row>
        <row r="122">
          <cell r="A122" t="str">
            <v>Malawi</v>
          </cell>
        </row>
        <row r="123">
          <cell r="A123" t="str">
            <v>Jersey</v>
          </cell>
        </row>
        <row r="124">
          <cell r="A124" t="str">
            <v>Niger</v>
          </cell>
        </row>
        <row r="125">
          <cell r="A125" t="str">
            <v>Angola</v>
          </cell>
        </row>
        <row r="126">
          <cell r="A126" t="str">
            <v>Sierra Leone</v>
          </cell>
        </row>
        <row r="127">
          <cell r="A127" t="str">
            <v>Congo - Brazzaville</v>
          </cell>
        </row>
        <row r="128">
          <cell r="A128" t="str">
            <v>Madagascar</v>
          </cell>
        </row>
        <row r="129">
          <cell r="A129" t="str">
            <v>Maldives</v>
          </cell>
        </row>
        <row r="130">
          <cell r="A130" t="str">
            <v>Macao</v>
          </cell>
        </row>
        <row r="131">
          <cell r="A131" t="str">
            <v>Mongolia</v>
          </cell>
        </row>
        <row r="132">
          <cell r="A132" t="str">
            <v>CuraÃ§ao</v>
          </cell>
        </row>
        <row r="133">
          <cell r="A133" t="str">
            <v>Isle of Man</v>
          </cell>
        </row>
        <row r="134">
          <cell r="A134" t="str">
            <v>Papua New Guinea</v>
          </cell>
        </row>
        <row r="135">
          <cell r="A135" t="str">
            <v>Cuba</v>
          </cell>
        </row>
        <row r="136">
          <cell r="A136" t="str">
            <v>French Polynesia</v>
          </cell>
        </row>
        <row r="137">
          <cell r="A137" t="str">
            <v>Benin</v>
          </cell>
        </row>
        <row r="138">
          <cell r="A138" t="str">
            <v>Cameroon</v>
          </cell>
        </row>
        <row r="139">
          <cell r="A139" t="str">
            <v>Mozambique</v>
          </cell>
        </row>
        <row r="140">
          <cell r="A140" t="str">
            <v>Senegal</v>
          </cell>
        </row>
        <row r="141">
          <cell r="A141" t="str">
            <v>Brunei</v>
          </cell>
        </row>
        <row r="142">
          <cell r="A142" t="str">
            <v>Bahrain</v>
          </cell>
        </row>
        <row r="143">
          <cell r="A143" t="str">
            <v>CÃ´te dâ€™Ivoire</v>
          </cell>
        </row>
        <row r="144">
          <cell r="A144" t="str">
            <v>RÃ©union</v>
          </cell>
        </row>
        <row r="145">
          <cell r="A145" t="str">
            <v>Laos</v>
          </cell>
        </row>
        <row r="146">
          <cell r="A146" t="str">
            <v>Fiji</v>
          </cell>
        </row>
        <row r="147">
          <cell r="A147" t="str">
            <v>Afghanistan</v>
          </cell>
        </row>
        <row r="148">
          <cell r="A148" t="str">
            <v>Barbados</v>
          </cell>
        </row>
        <row r="149">
          <cell r="A149" t="str">
            <v>Suriname</v>
          </cell>
        </row>
        <row r="150">
          <cell r="A150" t="str">
            <v>Cambodia</v>
          </cell>
        </row>
        <row r="151">
          <cell r="A151" t="str">
            <v>Burkina Faso</v>
          </cell>
        </row>
        <row r="152">
          <cell r="A152" t="str">
            <v>Guadeloupe</v>
          </cell>
        </row>
        <row r="153">
          <cell r="A153" t="str">
            <v>Qatar</v>
          </cell>
        </row>
        <row r="154">
          <cell r="A154" t="str">
            <v>Montenegro</v>
          </cell>
        </row>
        <row r="155">
          <cell r="A155" t="str">
            <v>Palestine</v>
          </cell>
        </row>
        <row r="156">
          <cell r="A156" t="str">
            <v>Mali</v>
          </cell>
        </row>
        <row r="157">
          <cell r="A157" t="str">
            <v>Congo - Kinshasa</v>
          </cell>
        </row>
        <row r="158">
          <cell r="A158" t="str">
            <v>Trinidad &amp; Tobago</v>
          </cell>
        </row>
        <row r="159">
          <cell r="A159" t="str">
            <v>North Macedonia</v>
          </cell>
        </row>
        <row r="160">
          <cell r="A160" t="str">
            <v>Zambia</v>
          </cell>
        </row>
        <row r="161">
          <cell r="A161" t="str">
            <v>Moldova</v>
          </cell>
        </row>
        <row r="162">
          <cell r="A162" t="str">
            <v>Georgia</v>
          </cell>
        </row>
        <row r="163">
          <cell r="A163" t="str">
            <v>Albania</v>
          </cell>
        </row>
        <row r="164">
          <cell r="A164" t="str">
            <v>Bosnia &amp; Herzegovina</v>
          </cell>
        </row>
        <row r="165">
          <cell r="A165" t="str">
            <v>Libya</v>
          </cell>
        </row>
        <row r="166">
          <cell r="A166" t="str">
            <v>Syria</v>
          </cell>
        </row>
        <row r="167">
          <cell r="A167" t="str">
            <v>Iraq</v>
          </cell>
        </row>
        <row r="168">
          <cell r="A168" t="str">
            <v>Tanzania</v>
          </cell>
        </row>
        <row r="169">
          <cell r="A169" t="str">
            <v>Kyrgyzstan</v>
          </cell>
        </row>
        <row r="170">
          <cell r="A170" t="str">
            <v>Sudan</v>
          </cell>
        </row>
        <row r="171">
          <cell r="A171" t="str">
            <v>Uzbekistan</v>
          </cell>
        </row>
        <row r="172">
          <cell r="A172" t="str">
            <v>Azerbaijan</v>
          </cell>
        </row>
        <row r="173">
          <cell r="A173" t="str">
            <v>Aruba</v>
          </cell>
        </row>
        <row r="174">
          <cell r="A174" t="str">
            <v>American Samoa</v>
          </cell>
        </row>
        <row r="175">
          <cell r="A175" t="str">
            <v>Antarctica</v>
          </cell>
        </row>
        <row r="176">
          <cell r="A176" t="str">
            <v>French Southern Territories</v>
          </cell>
        </row>
        <row r="177">
          <cell r="A177" t="str">
            <v>Antigua &amp; Barbuda</v>
          </cell>
        </row>
        <row r="178">
          <cell r="A178" t="str">
            <v>Burundi</v>
          </cell>
        </row>
        <row r="179">
          <cell r="A179" t="str">
            <v>Caribbean Netherlands</v>
          </cell>
        </row>
        <row r="180">
          <cell r="A180" t="str">
            <v>Bahamas</v>
          </cell>
        </row>
        <row r="181">
          <cell r="A181" t="str">
            <v>St. BarthÃ©lemy</v>
          </cell>
        </row>
        <row r="182">
          <cell r="A182" t="str">
            <v>Belize</v>
          </cell>
        </row>
        <row r="183">
          <cell r="A183" t="str">
            <v>Bouvet Island</v>
          </cell>
        </row>
        <row r="184">
          <cell r="A184" t="str">
            <v>Central African Republic</v>
          </cell>
        </row>
        <row r="185">
          <cell r="A185" t="str">
            <v>Cocos (Keeling) Islands</v>
          </cell>
        </row>
        <row r="186">
          <cell r="A186" t="str">
            <v>Comoros</v>
          </cell>
        </row>
        <row r="187">
          <cell r="A187" t="str">
            <v>Christmas Island</v>
          </cell>
        </row>
        <row r="188">
          <cell r="A188" t="str">
            <v>Djibouti</v>
          </cell>
        </row>
        <row r="189">
          <cell r="A189" t="str">
            <v>Dominica</v>
          </cell>
        </row>
        <row r="190">
          <cell r="A190" t="str">
            <v>Eritrea</v>
          </cell>
        </row>
        <row r="191">
          <cell r="A191" t="str">
            <v>Western Sahara</v>
          </cell>
        </row>
        <row r="192">
          <cell r="A192" t="str">
            <v>Falkland Islands (Islas Malvinas)</v>
          </cell>
        </row>
        <row r="193">
          <cell r="A193" t="str">
            <v>Faroe Islands</v>
          </cell>
        </row>
        <row r="194">
          <cell r="A194" t="str">
            <v>Micronesia</v>
          </cell>
        </row>
        <row r="195">
          <cell r="A195" t="str">
            <v>Gabon</v>
          </cell>
        </row>
        <row r="196">
          <cell r="A196" t="str">
            <v>Guernsey</v>
          </cell>
        </row>
        <row r="197">
          <cell r="A197" t="str">
            <v>Gibraltar</v>
          </cell>
        </row>
        <row r="198">
          <cell r="A198" t="str">
            <v>Guinea</v>
          </cell>
        </row>
        <row r="199">
          <cell r="A199" t="str">
            <v>Guinea-Bissau</v>
          </cell>
        </row>
        <row r="200">
          <cell r="A200" t="str">
            <v>Equatorial Guinea</v>
          </cell>
        </row>
        <row r="201">
          <cell r="A201" t="str">
            <v>Grenada</v>
          </cell>
        </row>
        <row r="202">
          <cell r="A202" t="str">
            <v>Greenland</v>
          </cell>
        </row>
        <row r="203">
          <cell r="A203" t="str">
            <v>French Guiana</v>
          </cell>
        </row>
        <row r="204">
          <cell r="A204" t="str">
            <v>Guam</v>
          </cell>
        </row>
        <row r="205">
          <cell r="A205" t="str">
            <v>Heard &amp; McDonald Islands</v>
          </cell>
        </row>
        <row r="206">
          <cell r="A206" t="str">
            <v>Haiti</v>
          </cell>
        </row>
        <row r="207">
          <cell r="A207" t="str">
            <v>British Indian Ocean Territory</v>
          </cell>
        </row>
        <row r="208">
          <cell r="A208" t="str">
            <v>Kiribati</v>
          </cell>
        </row>
        <row r="209">
          <cell r="A209" t="str">
            <v>St. Kitts &amp; Nevis</v>
          </cell>
        </row>
        <row r="210">
          <cell r="A210" t="str">
            <v>Liberia</v>
          </cell>
        </row>
        <row r="211">
          <cell r="A211" t="str">
            <v>Liechtenstein</v>
          </cell>
        </row>
        <row r="212">
          <cell r="A212" t="str">
            <v>Lesotho</v>
          </cell>
        </row>
        <row r="213">
          <cell r="A213" t="str">
            <v>St. Martin</v>
          </cell>
        </row>
        <row r="214">
          <cell r="A214" t="str">
            <v>Monaco</v>
          </cell>
        </row>
        <row r="215">
          <cell r="A215" t="str">
            <v>Marshall Islands</v>
          </cell>
        </row>
        <row r="216">
          <cell r="A216" t="str">
            <v>Northern Mariana Islands</v>
          </cell>
        </row>
        <row r="217">
          <cell r="A217" t="str">
            <v>Mauritania</v>
          </cell>
        </row>
        <row r="218">
          <cell r="A218" t="str">
            <v>Montserrat</v>
          </cell>
        </row>
        <row r="219">
          <cell r="A219" t="str">
            <v>Martinique</v>
          </cell>
        </row>
        <row r="220">
          <cell r="A220" t="str">
            <v>Mayotte</v>
          </cell>
        </row>
        <row r="221">
          <cell r="A221" t="str">
            <v>Norfolk Island</v>
          </cell>
        </row>
        <row r="222">
          <cell r="A222" t="str">
            <v>Niue</v>
          </cell>
        </row>
        <row r="223">
          <cell r="A223" t="str">
            <v>Nauru</v>
          </cell>
        </row>
        <row r="224">
          <cell r="A224" t="str">
            <v>Pitcairn Islands</v>
          </cell>
        </row>
        <row r="225">
          <cell r="A225" t="str">
            <v>Palau</v>
          </cell>
        </row>
        <row r="226">
          <cell r="A226" t="str">
            <v>North Korea</v>
          </cell>
        </row>
        <row r="227">
          <cell r="A227" t="str">
            <v>South Georgia &amp; South Sandwich Islands</v>
          </cell>
        </row>
        <row r="228">
          <cell r="A228" t="str">
            <v>Svalbard &amp; Jan Mayen</v>
          </cell>
        </row>
        <row r="229">
          <cell r="A229" t="str">
            <v>Solomon Islands</v>
          </cell>
        </row>
        <row r="230">
          <cell r="A230" t="str">
            <v>San Marino</v>
          </cell>
        </row>
        <row r="231">
          <cell r="A231" t="str">
            <v>St. Pierre &amp; Miquelon</v>
          </cell>
        </row>
        <row r="232">
          <cell r="A232" t="str">
            <v>SÃ£o TomÃ© &amp; PrÃ­ncipe</v>
          </cell>
        </row>
        <row r="233">
          <cell r="A233" t="str">
            <v>Eswatini</v>
          </cell>
        </row>
        <row r="234">
          <cell r="A234" t="str">
            <v>Sint Maarten</v>
          </cell>
        </row>
        <row r="235">
          <cell r="A235" t="str">
            <v>Seychelles</v>
          </cell>
        </row>
        <row r="236">
          <cell r="A236" t="str">
            <v>Turks &amp; Caicos Islands</v>
          </cell>
        </row>
        <row r="237">
          <cell r="A237" t="str">
            <v>Chad</v>
          </cell>
        </row>
        <row r="238">
          <cell r="A238" t="str">
            <v>Tajikistan</v>
          </cell>
        </row>
        <row r="239">
          <cell r="A239" t="str">
            <v>Tokelau</v>
          </cell>
        </row>
        <row r="240">
          <cell r="A240" t="str">
            <v>Turkmenistan</v>
          </cell>
        </row>
        <row r="241">
          <cell r="A241" t="str">
            <v>Timor-Leste</v>
          </cell>
        </row>
        <row r="242">
          <cell r="A242" t="str">
            <v>Tonga</v>
          </cell>
        </row>
        <row r="243">
          <cell r="A243" t="str">
            <v>Tuvalu</v>
          </cell>
        </row>
        <row r="244">
          <cell r="A244" t="str">
            <v>U.S. Outlying Islands</v>
          </cell>
        </row>
        <row r="245">
          <cell r="A245" t="str">
            <v>Vatican City</v>
          </cell>
        </row>
        <row r="246">
          <cell r="A246" t="str">
            <v>St. Vincent &amp; Grenadines</v>
          </cell>
        </row>
        <row r="247">
          <cell r="A247" t="str">
            <v>British Virgin Islands</v>
          </cell>
        </row>
        <row r="248">
          <cell r="A248" t="str">
            <v>U.S. Virgin Islands</v>
          </cell>
        </row>
        <row r="249">
          <cell r="A249" t="str">
            <v>Vanuatu</v>
          </cell>
        </row>
        <row r="250">
          <cell r="A250" t="str">
            <v>Wallis &amp; Futuna</v>
          </cell>
        </row>
        <row r="251">
          <cell r="A251" t="str">
            <v>Samoa</v>
          </cell>
        </row>
        <row r="252">
          <cell r="A252" t="str">
            <v>Kosovo</v>
          </cell>
        </row>
        <row r="253">
          <cell r="A253" t="str">
            <v>Yemen</v>
          </cell>
        </row>
      </sheetData>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22)"/>
    </sheetNames>
    <sheetDataSet>
      <sheetData sheetId="0" refreshError="1">
        <row r="1">
          <cell r="A1" t="str">
            <v>Kategori: TÃ¼m kategoriler</v>
          </cell>
        </row>
        <row r="3">
          <cell r="A3" t="str">
            <v>Ãœlke</v>
          </cell>
          <cell r="B3" t="str">
            <v>Ã‡Ã¶p toplama: (2018)</v>
          </cell>
          <cell r="C3" t="str">
            <v>Null pointer: (2018)</v>
          </cell>
        </row>
        <row r="4">
          <cell r="A4" t="str">
            <v>China</v>
          </cell>
          <cell r="B4">
            <v>0.73</v>
          </cell>
          <cell r="C4">
            <v>0.27</v>
          </cell>
        </row>
        <row r="5">
          <cell r="A5" t="str">
            <v>St. Helena</v>
          </cell>
          <cell r="B5">
            <v>0.36</v>
          </cell>
          <cell r="C5">
            <v>0.64</v>
          </cell>
        </row>
        <row r="6">
          <cell r="A6" t="str">
            <v>Malta</v>
          </cell>
          <cell r="B6">
            <v>1</v>
          </cell>
        </row>
        <row r="7">
          <cell r="A7" t="str">
            <v>Canada</v>
          </cell>
          <cell r="B7">
            <v>0.67</v>
          </cell>
          <cell r="C7">
            <v>0.33</v>
          </cell>
        </row>
        <row r="8">
          <cell r="A8" t="str">
            <v>South Korea</v>
          </cell>
          <cell r="B8">
            <v>0.66</v>
          </cell>
          <cell r="C8">
            <v>0.34</v>
          </cell>
        </row>
        <row r="9">
          <cell r="A9" t="str">
            <v>Singapore</v>
          </cell>
          <cell r="B9">
            <v>0.37</v>
          </cell>
          <cell r="C9">
            <v>0.63</v>
          </cell>
        </row>
        <row r="10">
          <cell r="A10" t="str">
            <v>Jamaica</v>
          </cell>
          <cell r="B10">
            <v>1</v>
          </cell>
        </row>
        <row r="11">
          <cell r="A11" t="str">
            <v>Guyana</v>
          </cell>
        </row>
        <row r="12">
          <cell r="A12" t="str">
            <v>Ecuador</v>
          </cell>
          <cell r="B12">
            <v>1</v>
          </cell>
        </row>
        <row r="13">
          <cell r="A13" t="str">
            <v>North Macedonia</v>
          </cell>
        </row>
        <row r="14">
          <cell r="A14" t="str">
            <v>Costa Rica</v>
          </cell>
        </row>
        <row r="15">
          <cell r="A15" t="str">
            <v>India</v>
          </cell>
          <cell r="B15">
            <v>0.4</v>
          </cell>
          <cell r="C15">
            <v>0.6</v>
          </cell>
        </row>
        <row r="16">
          <cell r="A16" t="str">
            <v>Luxembourg</v>
          </cell>
        </row>
        <row r="17">
          <cell r="A17" t="str">
            <v>Bermuda</v>
          </cell>
        </row>
        <row r="18">
          <cell r="A18" t="str">
            <v>Sri Lanka</v>
          </cell>
          <cell r="B18">
            <v>0.43</v>
          </cell>
          <cell r="C18">
            <v>0.56999999999999995</v>
          </cell>
        </row>
        <row r="19">
          <cell r="A19" t="str">
            <v>Mexico</v>
          </cell>
          <cell r="B19">
            <v>0.91</v>
          </cell>
          <cell r="C19">
            <v>0.09</v>
          </cell>
        </row>
        <row r="20">
          <cell r="A20" t="str">
            <v>New Zealand</v>
          </cell>
          <cell r="B20">
            <v>0.33</v>
          </cell>
          <cell r="C20">
            <v>0.67</v>
          </cell>
        </row>
        <row r="21">
          <cell r="A21" t="str">
            <v>Australia</v>
          </cell>
          <cell r="B21">
            <v>0.56999999999999995</v>
          </cell>
          <cell r="C21">
            <v>0.43</v>
          </cell>
        </row>
        <row r="22">
          <cell r="A22" t="str">
            <v>United States</v>
          </cell>
          <cell r="B22">
            <v>0.41</v>
          </cell>
          <cell r="C22">
            <v>0.59</v>
          </cell>
        </row>
        <row r="23">
          <cell r="A23" t="str">
            <v>Israel</v>
          </cell>
          <cell r="B23">
            <v>0.43</v>
          </cell>
          <cell r="C23">
            <v>0.56999999999999995</v>
          </cell>
        </row>
        <row r="24">
          <cell r="A24" t="str">
            <v>Ireland</v>
          </cell>
          <cell r="B24">
            <v>0.37</v>
          </cell>
          <cell r="C24">
            <v>0.63</v>
          </cell>
        </row>
        <row r="25">
          <cell r="A25" t="str">
            <v>Myanmar (Burma)</v>
          </cell>
        </row>
        <row r="26">
          <cell r="A26" t="str">
            <v>Paraguay</v>
          </cell>
          <cell r="B26">
            <v>1</v>
          </cell>
        </row>
        <row r="27">
          <cell r="A27" t="str">
            <v>Chile</v>
          </cell>
        </row>
        <row r="28">
          <cell r="A28" t="str">
            <v>Lithuania</v>
          </cell>
          <cell r="B28">
            <v>0.41</v>
          </cell>
          <cell r="C28">
            <v>0.59</v>
          </cell>
        </row>
        <row r="29">
          <cell r="A29" t="str">
            <v>Estonia</v>
          </cell>
        </row>
        <row r="30">
          <cell r="A30" t="str">
            <v>Japan</v>
          </cell>
          <cell r="B30">
            <v>0.82</v>
          </cell>
          <cell r="C30">
            <v>0.18</v>
          </cell>
        </row>
        <row r="31">
          <cell r="A31" t="str">
            <v>Pakistan</v>
          </cell>
          <cell r="B31">
            <v>0.28000000000000003</v>
          </cell>
          <cell r="C31">
            <v>0.72</v>
          </cell>
        </row>
        <row r="32">
          <cell r="A32" t="str">
            <v>Sweden</v>
          </cell>
          <cell r="B32">
            <v>0.31</v>
          </cell>
          <cell r="C32">
            <v>0.69</v>
          </cell>
        </row>
        <row r="33">
          <cell r="A33" t="str">
            <v>Panama</v>
          </cell>
          <cell r="B33">
            <v>1</v>
          </cell>
        </row>
        <row r="34">
          <cell r="A34" t="str">
            <v>Hong Kong</v>
          </cell>
          <cell r="B34">
            <v>0.5</v>
          </cell>
          <cell r="C34">
            <v>0.5</v>
          </cell>
        </row>
        <row r="35">
          <cell r="A35" t="str">
            <v>Argentina</v>
          </cell>
          <cell r="B35">
            <v>0.86</v>
          </cell>
          <cell r="C35">
            <v>0.14000000000000001</v>
          </cell>
        </row>
        <row r="36">
          <cell r="A36" t="str">
            <v>Uganda</v>
          </cell>
        </row>
        <row r="37">
          <cell r="A37" t="str">
            <v>Guatemala</v>
          </cell>
          <cell r="B37">
            <v>1</v>
          </cell>
        </row>
        <row r="38">
          <cell r="A38" t="str">
            <v>Taiwan</v>
          </cell>
          <cell r="B38">
            <v>0.76</v>
          </cell>
          <cell r="C38">
            <v>0.24</v>
          </cell>
        </row>
        <row r="39">
          <cell r="A39" t="str">
            <v>United Kingdom</v>
          </cell>
          <cell r="B39">
            <v>0.34</v>
          </cell>
          <cell r="C39">
            <v>0.66</v>
          </cell>
        </row>
        <row r="40">
          <cell r="A40" t="str">
            <v>Armenia</v>
          </cell>
        </row>
        <row r="41">
          <cell r="A41" t="str">
            <v>Philippines</v>
          </cell>
          <cell r="B41">
            <v>0.51</v>
          </cell>
          <cell r="C41">
            <v>0.49</v>
          </cell>
        </row>
        <row r="42">
          <cell r="A42" t="str">
            <v>El Salvador</v>
          </cell>
        </row>
        <row r="43">
          <cell r="A43" t="str">
            <v>Switzerland</v>
          </cell>
          <cell r="B43">
            <v>0.42</v>
          </cell>
          <cell r="C43">
            <v>0.57999999999999996</v>
          </cell>
        </row>
        <row r="44">
          <cell r="A44" t="str">
            <v>Belarus</v>
          </cell>
          <cell r="B44">
            <v>0.66</v>
          </cell>
          <cell r="C44">
            <v>0.34</v>
          </cell>
        </row>
        <row r="45">
          <cell r="A45" t="str">
            <v>Norway</v>
          </cell>
          <cell r="B45">
            <v>0.6</v>
          </cell>
          <cell r="C45">
            <v>0.4</v>
          </cell>
        </row>
        <row r="46">
          <cell r="A46" t="str">
            <v>Finland</v>
          </cell>
          <cell r="B46">
            <v>0.34</v>
          </cell>
          <cell r="C46">
            <v>0.66</v>
          </cell>
        </row>
        <row r="47">
          <cell r="A47" t="str">
            <v>Colombia</v>
          </cell>
          <cell r="B47">
            <v>0.84</v>
          </cell>
          <cell r="C47">
            <v>0.16</v>
          </cell>
        </row>
        <row r="48">
          <cell r="A48" t="str">
            <v>Ethiopia</v>
          </cell>
        </row>
        <row r="49">
          <cell r="A49" t="str">
            <v>South Africa</v>
          </cell>
          <cell r="B49">
            <v>0.34</v>
          </cell>
          <cell r="C49">
            <v>0.66</v>
          </cell>
        </row>
        <row r="50">
          <cell r="A50" t="str">
            <v>Serbia</v>
          </cell>
          <cell r="B50">
            <v>0.34</v>
          </cell>
          <cell r="C50">
            <v>0.66</v>
          </cell>
        </row>
        <row r="51">
          <cell r="A51" t="str">
            <v>Kenya</v>
          </cell>
        </row>
        <row r="52">
          <cell r="A52" t="str">
            <v>Czechia</v>
          </cell>
          <cell r="B52">
            <v>0.42</v>
          </cell>
          <cell r="C52">
            <v>0.57999999999999996</v>
          </cell>
        </row>
        <row r="53">
          <cell r="A53" t="str">
            <v>Romania</v>
          </cell>
          <cell r="B53">
            <v>0.34</v>
          </cell>
          <cell r="C53">
            <v>0.66</v>
          </cell>
        </row>
        <row r="54">
          <cell r="A54" t="str">
            <v>Slovenia</v>
          </cell>
        </row>
        <row r="55">
          <cell r="A55" t="str">
            <v>Nepal</v>
          </cell>
        </row>
        <row r="56">
          <cell r="A56" t="str">
            <v>Netherlands</v>
          </cell>
          <cell r="B56">
            <v>0.42</v>
          </cell>
          <cell r="C56">
            <v>0.57999999999999996</v>
          </cell>
        </row>
        <row r="57">
          <cell r="A57" t="str">
            <v>Uruguay</v>
          </cell>
        </row>
        <row r="58">
          <cell r="A58" t="str">
            <v>Latvia</v>
          </cell>
        </row>
        <row r="59">
          <cell r="A59" t="str">
            <v>Lebanon</v>
          </cell>
        </row>
        <row r="60">
          <cell r="A60" t="str">
            <v>Hungary</v>
          </cell>
          <cell r="B60">
            <v>0.63</v>
          </cell>
          <cell r="C60">
            <v>0.37</v>
          </cell>
        </row>
        <row r="61">
          <cell r="A61" t="str">
            <v>Germany</v>
          </cell>
          <cell r="B61">
            <v>0.45</v>
          </cell>
          <cell r="C61">
            <v>0.55000000000000004</v>
          </cell>
        </row>
        <row r="62">
          <cell r="A62" t="str">
            <v>Vietnam</v>
          </cell>
          <cell r="B62">
            <v>0.44</v>
          </cell>
          <cell r="C62">
            <v>0.56000000000000005</v>
          </cell>
        </row>
        <row r="63">
          <cell r="A63" t="str">
            <v>Peru</v>
          </cell>
        </row>
        <row r="64">
          <cell r="A64" t="str">
            <v>Denmark</v>
          </cell>
          <cell r="B64">
            <v>0.47</v>
          </cell>
          <cell r="C64">
            <v>0.53</v>
          </cell>
        </row>
        <row r="65">
          <cell r="A65" t="str">
            <v>Portugal</v>
          </cell>
          <cell r="B65">
            <v>0.35</v>
          </cell>
          <cell r="C65">
            <v>0.65</v>
          </cell>
        </row>
        <row r="66">
          <cell r="A66" t="str">
            <v>Malaysia</v>
          </cell>
          <cell r="B66">
            <v>0.41</v>
          </cell>
          <cell r="C66">
            <v>0.59</v>
          </cell>
        </row>
        <row r="67">
          <cell r="A67" t="str">
            <v>Austria</v>
          </cell>
          <cell r="B67">
            <v>0.44</v>
          </cell>
          <cell r="C67">
            <v>0.56000000000000005</v>
          </cell>
        </row>
        <row r="68">
          <cell r="A68" t="str">
            <v>Turkey</v>
          </cell>
          <cell r="B68">
            <v>0.8</v>
          </cell>
          <cell r="C68">
            <v>0.2</v>
          </cell>
        </row>
        <row r="69">
          <cell r="A69" t="str">
            <v>Bulgaria</v>
          </cell>
          <cell r="B69">
            <v>0.44</v>
          </cell>
          <cell r="C69">
            <v>0.56000000000000005</v>
          </cell>
        </row>
        <row r="70">
          <cell r="A70" t="str">
            <v>Russia</v>
          </cell>
          <cell r="B70">
            <v>0.72</v>
          </cell>
          <cell r="C70">
            <v>0.28000000000000003</v>
          </cell>
        </row>
        <row r="71">
          <cell r="A71" t="str">
            <v>Bosnia &amp; Herzegovina</v>
          </cell>
        </row>
        <row r="72">
          <cell r="A72" t="str">
            <v>Honduras</v>
          </cell>
        </row>
        <row r="73">
          <cell r="A73" t="str">
            <v>Croatia</v>
          </cell>
        </row>
        <row r="74">
          <cell r="A74" t="str">
            <v>Belgium</v>
          </cell>
          <cell r="B74">
            <v>0.47</v>
          </cell>
          <cell r="C74">
            <v>0.53</v>
          </cell>
        </row>
        <row r="75">
          <cell r="A75" t="str">
            <v>United Arab Emirates</v>
          </cell>
          <cell r="B75">
            <v>0.42</v>
          </cell>
          <cell r="C75">
            <v>0.57999999999999996</v>
          </cell>
        </row>
        <row r="76">
          <cell r="A76" t="str">
            <v>Tunisia</v>
          </cell>
        </row>
        <row r="77">
          <cell r="A77" t="str">
            <v>Bangladesh</v>
          </cell>
          <cell r="B77">
            <v>0.4</v>
          </cell>
          <cell r="C77">
            <v>0.6</v>
          </cell>
        </row>
        <row r="78">
          <cell r="A78" t="str">
            <v>Ukraine</v>
          </cell>
          <cell r="B78">
            <v>0.6</v>
          </cell>
          <cell r="C78">
            <v>0.4</v>
          </cell>
        </row>
        <row r="79">
          <cell r="A79" t="str">
            <v>Poland</v>
          </cell>
          <cell r="B79">
            <v>0.51</v>
          </cell>
          <cell r="C79">
            <v>0.49</v>
          </cell>
        </row>
        <row r="80">
          <cell r="A80" t="str">
            <v>Slovakia</v>
          </cell>
        </row>
        <row r="81">
          <cell r="A81" t="str">
            <v>Greece</v>
          </cell>
          <cell r="B81">
            <v>0.53</v>
          </cell>
          <cell r="C81">
            <v>0.47</v>
          </cell>
        </row>
        <row r="82">
          <cell r="A82" t="str">
            <v>Egypt</v>
          </cell>
          <cell r="B82">
            <v>0.53</v>
          </cell>
          <cell r="C82">
            <v>0.47</v>
          </cell>
        </row>
        <row r="83">
          <cell r="A83" t="str">
            <v>France</v>
          </cell>
          <cell r="B83">
            <v>0.52</v>
          </cell>
          <cell r="C83">
            <v>0.48</v>
          </cell>
        </row>
        <row r="84">
          <cell r="A84" t="str">
            <v>Iran</v>
          </cell>
          <cell r="B84">
            <v>0.34</v>
          </cell>
          <cell r="C84">
            <v>0.66</v>
          </cell>
        </row>
        <row r="85">
          <cell r="A85" t="str">
            <v>Bolivia</v>
          </cell>
        </row>
        <row r="86">
          <cell r="A86" t="str">
            <v>Nigeria</v>
          </cell>
        </row>
        <row r="87">
          <cell r="A87" t="str">
            <v>Spain</v>
          </cell>
          <cell r="B87">
            <v>0.52</v>
          </cell>
          <cell r="C87">
            <v>0.48</v>
          </cell>
        </row>
        <row r="88">
          <cell r="A88" t="str">
            <v>Dominican Republic</v>
          </cell>
        </row>
        <row r="89">
          <cell r="A89" t="str">
            <v>Italy</v>
          </cell>
          <cell r="B89">
            <v>0.54</v>
          </cell>
          <cell r="C89">
            <v>0.46</v>
          </cell>
        </row>
        <row r="90">
          <cell r="A90" t="str">
            <v>Kazakhstan</v>
          </cell>
        </row>
        <row r="91">
          <cell r="A91" t="str">
            <v>Saudi Arabia</v>
          </cell>
        </row>
        <row r="92">
          <cell r="A92" t="str">
            <v>Venezuela</v>
          </cell>
          <cell r="B92">
            <v>1</v>
          </cell>
        </row>
        <row r="93">
          <cell r="A93" t="str">
            <v>Morocco</v>
          </cell>
        </row>
        <row r="94">
          <cell r="A94" t="str">
            <v>Indonesia</v>
          </cell>
          <cell r="B94">
            <v>0.39</v>
          </cell>
          <cell r="C94">
            <v>0.61</v>
          </cell>
        </row>
        <row r="95">
          <cell r="A95" t="str">
            <v>Thailand</v>
          </cell>
          <cell r="B95">
            <v>0.35</v>
          </cell>
          <cell r="C95">
            <v>0.65</v>
          </cell>
        </row>
        <row r="96">
          <cell r="A96" t="str">
            <v>Brazil</v>
          </cell>
          <cell r="B96">
            <v>0.57999999999999996</v>
          </cell>
          <cell r="C96">
            <v>0.42</v>
          </cell>
        </row>
        <row r="97">
          <cell r="A97" t="str">
            <v>Greenland</v>
          </cell>
        </row>
        <row r="98">
          <cell r="A98" t="str">
            <v>Liechtenstein</v>
          </cell>
        </row>
        <row r="99">
          <cell r="A99" t="str">
            <v>St. Vincent &amp; Grenadines</v>
          </cell>
        </row>
        <row r="100">
          <cell r="A100" t="str">
            <v>Liberia</v>
          </cell>
        </row>
        <row r="101">
          <cell r="A101" t="str">
            <v>Barbados</v>
          </cell>
        </row>
        <row r="102">
          <cell r="A102" t="str">
            <v>U.S. Virgin Islands</v>
          </cell>
        </row>
        <row r="103">
          <cell r="A103" t="str">
            <v>Sierra Leone</v>
          </cell>
        </row>
        <row r="104">
          <cell r="A104" t="str">
            <v>Western Sahara</v>
          </cell>
        </row>
        <row r="105">
          <cell r="A105" t="str">
            <v>Cayman Islands</v>
          </cell>
        </row>
        <row r="106">
          <cell r="A106" t="str">
            <v>South Sudan</v>
          </cell>
        </row>
        <row r="107">
          <cell r="A107" t="str">
            <v>Cuba</v>
          </cell>
        </row>
        <row r="108">
          <cell r="A108" t="str">
            <v>Guernsey</v>
          </cell>
        </row>
        <row r="109">
          <cell r="A109" t="str">
            <v>Zambia</v>
          </cell>
        </row>
        <row r="110">
          <cell r="A110" t="str">
            <v>Malawi</v>
          </cell>
        </row>
        <row r="111">
          <cell r="A111" t="str">
            <v>Trinidad &amp; Tobago</v>
          </cell>
        </row>
        <row r="112">
          <cell r="A112" t="str">
            <v>CuraÃ§ao</v>
          </cell>
        </row>
        <row r="113">
          <cell r="A113" t="str">
            <v>Isle of Man</v>
          </cell>
        </row>
        <row r="114">
          <cell r="A114" t="str">
            <v>Belize</v>
          </cell>
        </row>
        <row r="115">
          <cell r="A115" t="str">
            <v>Guam</v>
          </cell>
        </row>
        <row r="116">
          <cell r="A116" t="str">
            <v>New Caledonia</v>
          </cell>
        </row>
        <row r="117">
          <cell r="A117" t="str">
            <v>Botswana</v>
          </cell>
        </row>
        <row r="118">
          <cell r="A118" t="str">
            <v>Macao</v>
          </cell>
        </row>
        <row r="119">
          <cell r="A119" t="str">
            <v>Jersey</v>
          </cell>
        </row>
        <row r="120">
          <cell r="A120" t="str">
            <v>Fiji</v>
          </cell>
        </row>
        <row r="121">
          <cell r="A121" t="str">
            <v>Cyprus</v>
          </cell>
        </row>
        <row r="122">
          <cell r="A122" t="str">
            <v>Zimbabwe</v>
          </cell>
        </row>
        <row r="123">
          <cell r="A123" t="str">
            <v>Maldives</v>
          </cell>
        </row>
        <row r="124">
          <cell r="A124" t="str">
            <v>Mauritius</v>
          </cell>
        </row>
        <row r="125">
          <cell r="A125" t="str">
            <v>Rwanda</v>
          </cell>
        </row>
        <row r="126">
          <cell r="A126" t="str">
            <v>Afghanistan</v>
          </cell>
        </row>
        <row r="127">
          <cell r="A127" t="str">
            <v>Montenegro</v>
          </cell>
        </row>
        <row r="128">
          <cell r="A128" t="str">
            <v>Bahrain</v>
          </cell>
        </row>
        <row r="129">
          <cell r="A129" t="str">
            <v>Haiti</v>
          </cell>
        </row>
        <row r="130">
          <cell r="A130" t="str">
            <v>Namibia</v>
          </cell>
        </row>
        <row r="131">
          <cell r="A131" t="str">
            <v>Laos</v>
          </cell>
        </row>
        <row r="132">
          <cell r="A132" t="str">
            <v>Turkmenistan</v>
          </cell>
        </row>
        <row r="133">
          <cell r="A133" t="str">
            <v>Mali</v>
          </cell>
        </row>
        <row r="134">
          <cell r="A134" t="str">
            <v>Nicaragua</v>
          </cell>
        </row>
        <row r="135">
          <cell r="A135" t="str">
            <v>Bahamas</v>
          </cell>
        </row>
        <row r="136">
          <cell r="A136" t="str">
            <v>Senegal</v>
          </cell>
        </row>
        <row r="137">
          <cell r="A137" t="str">
            <v>Madagascar</v>
          </cell>
        </row>
        <row r="138">
          <cell r="A138" t="str">
            <v>Iceland</v>
          </cell>
        </row>
        <row r="139">
          <cell r="A139" t="str">
            <v>Mongolia</v>
          </cell>
        </row>
        <row r="140">
          <cell r="A140" t="str">
            <v>Palestine</v>
          </cell>
        </row>
        <row r="141">
          <cell r="A141" t="str">
            <v>Ghana</v>
          </cell>
        </row>
        <row r="142">
          <cell r="A142" t="str">
            <v>Tajikistan</v>
          </cell>
        </row>
        <row r="143">
          <cell r="A143" t="str">
            <v>Qatar</v>
          </cell>
        </row>
        <row r="144">
          <cell r="A144" t="str">
            <v>Azerbaijan</v>
          </cell>
        </row>
        <row r="145">
          <cell r="A145" t="str">
            <v>Oman</v>
          </cell>
        </row>
        <row r="146">
          <cell r="A146" t="str">
            <v>Cameroon</v>
          </cell>
        </row>
        <row r="147">
          <cell r="A147" t="str">
            <v>Georgia</v>
          </cell>
        </row>
        <row r="148">
          <cell r="A148" t="str">
            <v>Angola</v>
          </cell>
        </row>
        <row r="149">
          <cell r="A149" t="str">
            <v>Puerto Rico</v>
          </cell>
        </row>
        <row r="150">
          <cell r="A150" t="str">
            <v>Libya</v>
          </cell>
        </row>
        <row r="151">
          <cell r="A151" t="str">
            <v>Cambodia</v>
          </cell>
        </row>
        <row r="152">
          <cell r="A152" t="str">
            <v>Syria</v>
          </cell>
        </row>
        <row r="153">
          <cell r="A153" t="str">
            <v>Moldova</v>
          </cell>
        </row>
        <row r="154">
          <cell r="A154" t="str">
            <v>Mozambique</v>
          </cell>
        </row>
        <row r="155">
          <cell r="A155" t="str">
            <v>Albania</v>
          </cell>
        </row>
        <row r="156">
          <cell r="A156" t="str">
            <v>CÃ´te dâ€™Ivoire</v>
          </cell>
        </row>
        <row r="157">
          <cell r="A157" t="str">
            <v>Algeria</v>
          </cell>
        </row>
        <row r="158">
          <cell r="A158" t="str">
            <v>RÃ©union</v>
          </cell>
        </row>
        <row r="159">
          <cell r="A159" t="str">
            <v>Uzbekistan</v>
          </cell>
        </row>
        <row r="160">
          <cell r="A160" t="str">
            <v>Jordan</v>
          </cell>
        </row>
        <row r="161">
          <cell r="A161" t="str">
            <v>Tanzania</v>
          </cell>
        </row>
        <row r="162">
          <cell r="A162" t="str">
            <v>Kyrgyzstan</v>
          </cell>
        </row>
        <row r="163">
          <cell r="A163" t="str">
            <v>Kuwait</v>
          </cell>
        </row>
        <row r="164">
          <cell r="A164" t="str">
            <v>Sudan</v>
          </cell>
        </row>
        <row r="165">
          <cell r="A165" t="str">
            <v>Iraq</v>
          </cell>
        </row>
        <row r="166">
          <cell r="A166" t="str">
            <v>Aruba</v>
          </cell>
        </row>
        <row r="167">
          <cell r="A167" t="str">
            <v>Anguilla</v>
          </cell>
        </row>
        <row r="168">
          <cell r="A168" t="str">
            <v>Ã…land Islands</v>
          </cell>
        </row>
        <row r="169">
          <cell r="A169" t="str">
            <v>Andorra</v>
          </cell>
        </row>
        <row r="170">
          <cell r="A170" t="str">
            <v>American Samoa</v>
          </cell>
        </row>
        <row r="171">
          <cell r="A171" t="str">
            <v>Antarctica</v>
          </cell>
        </row>
        <row r="172">
          <cell r="A172" t="str">
            <v>French Southern Territories</v>
          </cell>
        </row>
        <row r="173">
          <cell r="A173" t="str">
            <v>Antigua &amp; Barbuda</v>
          </cell>
        </row>
        <row r="174">
          <cell r="A174" t="str">
            <v>Burundi</v>
          </cell>
        </row>
        <row r="175">
          <cell r="A175" t="str">
            <v>Benin</v>
          </cell>
        </row>
        <row r="176">
          <cell r="A176" t="str">
            <v>Caribbean Netherlands</v>
          </cell>
        </row>
        <row r="177">
          <cell r="A177" t="str">
            <v>Burkina Faso</v>
          </cell>
        </row>
        <row r="178">
          <cell r="A178" t="str">
            <v>St. BarthÃ©lemy</v>
          </cell>
        </row>
        <row r="179">
          <cell r="A179" t="str">
            <v>Brunei</v>
          </cell>
        </row>
        <row r="180">
          <cell r="A180" t="str">
            <v>Bhutan</v>
          </cell>
        </row>
        <row r="181">
          <cell r="A181" t="str">
            <v>Bouvet Island</v>
          </cell>
        </row>
        <row r="182">
          <cell r="A182" t="str">
            <v>Central African Republic</v>
          </cell>
        </row>
        <row r="183">
          <cell r="A183" t="str">
            <v>Cocos (Keeling) Islands</v>
          </cell>
        </row>
        <row r="184">
          <cell r="A184" t="str">
            <v>Congo - Kinshasa</v>
          </cell>
        </row>
        <row r="185">
          <cell r="A185" t="str">
            <v>Congo - Brazzaville</v>
          </cell>
        </row>
        <row r="186">
          <cell r="A186" t="str">
            <v>Cook Islands</v>
          </cell>
        </row>
        <row r="187">
          <cell r="A187" t="str">
            <v>Comoros</v>
          </cell>
        </row>
        <row r="188">
          <cell r="A188" t="str">
            <v>Cape Verde</v>
          </cell>
        </row>
        <row r="189">
          <cell r="A189" t="str">
            <v>Christmas Island</v>
          </cell>
        </row>
        <row r="190">
          <cell r="A190" t="str">
            <v>Djibouti</v>
          </cell>
        </row>
        <row r="191">
          <cell r="A191" t="str">
            <v>Dominica</v>
          </cell>
        </row>
        <row r="192">
          <cell r="A192" t="str">
            <v>Eritrea</v>
          </cell>
        </row>
        <row r="193">
          <cell r="A193" t="str">
            <v>Falkland Islands (Islas Malvinas)</v>
          </cell>
        </row>
        <row r="194">
          <cell r="A194" t="str">
            <v>Faroe Islands</v>
          </cell>
        </row>
        <row r="195">
          <cell r="A195" t="str">
            <v>Micronesia</v>
          </cell>
        </row>
        <row r="196">
          <cell r="A196" t="str">
            <v>Gabon</v>
          </cell>
        </row>
        <row r="197">
          <cell r="A197" t="str">
            <v>Gibraltar</v>
          </cell>
        </row>
        <row r="198">
          <cell r="A198" t="str">
            <v>Guinea</v>
          </cell>
        </row>
        <row r="199">
          <cell r="A199" t="str">
            <v>Guadeloupe</v>
          </cell>
        </row>
        <row r="200">
          <cell r="A200" t="str">
            <v>Gambia</v>
          </cell>
        </row>
        <row r="201">
          <cell r="A201" t="str">
            <v>Guinea-Bissau</v>
          </cell>
        </row>
        <row r="202">
          <cell r="A202" t="str">
            <v>Equatorial Guinea</v>
          </cell>
        </row>
        <row r="203">
          <cell r="A203" t="str">
            <v>Grenada</v>
          </cell>
        </row>
        <row r="204">
          <cell r="A204" t="str">
            <v>French Guiana</v>
          </cell>
        </row>
        <row r="205">
          <cell r="A205" t="str">
            <v>Heard &amp; McDonald Islands</v>
          </cell>
        </row>
        <row r="206">
          <cell r="A206" t="str">
            <v>British Indian Ocean Territory</v>
          </cell>
        </row>
        <row r="207">
          <cell r="A207" t="str">
            <v>Kiribati</v>
          </cell>
        </row>
        <row r="208">
          <cell r="A208" t="str">
            <v>St. Kitts &amp; Nevis</v>
          </cell>
        </row>
        <row r="209">
          <cell r="A209" t="str">
            <v>St. Lucia</v>
          </cell>
        </row>
        <row r="210">
          <cell r="A210" t="str">
            <v>Lesotho</v>
          </cell>
        </row>
        <row r="211">
          <cell r="A211" t="str">
            <v>St. Martin</v>
          </cell>
        </row>
        <row r="212">
          <cell r="A212" t="str">
            <v>Monaco</v>
          </cell>
        </row>
        <row r="213">
          <cell r="A213" t="str">
            <v>Marshall Islands</v>
          </cell>
        </row>
        <row r="214">
          <cell r="A214" t="str">
            <v>Northern Mariana Islands</v>
          </cell>
        </row>
        <row r="215">
          <cell r="A215" t="str">
            <v>Mauritania</v>
          </cell>
        </row>
        <row r="216">
          <cell r="A216" t="str">
            <v>Montserrat</v>
          </cell>
        </row>
        <row r="217">
          <cell r="A217" t="str">
            <v>Martinique</v>
          </cell>
        </row>
        <row r="218">
          <cell r="A218" t="str">
            <v>Mayotte</v>
          </cell>
        </row>
        <row r="219">
          <cell r="A219" t="str">
            <v>Niger</v>
          </cell>
        </row>
        <row r="220">
          <cell r="A220" t="str">
            <v>Norfolk Island</v>
          </cell>
        </row>
        <row r="221">
          <cell r="A221" t="str">
            <v>Niue</v>
          </cell>
        </row>
        <row r="222">
          <cell r="A222" t="str">
            <v>Nauru</v>
          </cell>
        </row>
        <row r="223">
          <cell r="A223" t="str">
            <v>Pitcairn Islands</v>
          </cell>
        </row>
        <row r="224">
          <cell r="A224" t="str">
            <v>Palau</v>
          </cell>
        </row>
        <row r="225">
          <cell r="A225" t="str">
            <v>Papua New Guinea</v>
          </cell>
        </row>
        <row r="226">
          <cell r="A226" t="str">
            <v>North Korea</v>
          </cell>
        </row>
        <row r="227">
          <cell r="A227" t="str">
            <v>French Polynesia</v>
          </cell>
        </row>
        <row r="228">
          <cell r="A228" t="str">
            <v>South Georgia &amp; South Sandwich Islands</v>
          </cell>
        </row>
        <row r="229">
          <cell r="A229" t="str">
            <v>Svalbard &amp; Jan Mayen</v>
          </cell>
        </row>
        <row r="230">
          <cell r="A230" t="str">
            <v>Solomon Islands</v>
          </cell>
        </row>
        <row r="231">
          <cell r="A231" t="str">
            <v>San Marino</v>
          </cell>
        </row>
        <row r="232">
          <cell r="A232" t="str">
            <v>Somalia</v>
          </cell>
        </row>
        <row r="233">
          <cell r="A233" t="str">
            <v>St. Pierre &amp; Miquelon</v>
          </cell>
        </row>
        <row r="234">
          <cell r="A234" t="str">
            <v>SÃ£o TomÃ© &amp; PrÃ­ncipe</v>
          </cell>
        </row>
        <row r="235">
          <cell r="A235" t="str">
            <v>Suriname</v>
          </cell>
        </row>
        <row r="236">
          <cell r="A236" t="str">
            <v>Eswatini</v>
          </cell>
        </row>
        <row r="237">
          <cell r="A237" t="str">
            <v>Sint Maarten</v>
          </cell>
        </row>
        <row r="238">
          <cell r="A238" t="str">
            <v>Seychelles</v>
          </cell>
        </row>
        <row r="239">
          <cell r="A239" t="str">
            <v>Turks &amp; Caicos Islands</v>
          </cell>
        </row>
        <row r="240">
          <cell r="A240" t="str">
            <v>Chad</v>
          </cell>
        </row>
        <row r="241">
          <cell r="A241" t="str">
            <v>Togo</v>
          </cell>
        </row>
        <row r="242">
          <cell r="A242" t="str">
            <v>Tokelau</v>
          </cell>
        </row>
        <row r="243">
          <cell r="A243" t="str">
            <v>Timor-Leste</v>
          </cell>
        </row>
        <row r="244">
          <cell r="A244" t="str">
            <v>Tonga</v>
          </cell>
        </row>
        <row r="245">
          <cell r="A245" t="str">
            <v>Tuvalu</v>
          </cell>
        </row>
        <row r="246">
          <cell r="A246" t="str">
            <v>U.S. Outlying Islands</v>
          </cell>
        </row>
        <row r="247">
          <cell r="A247" t="str">
            <v>Vatican City</v>
          </cell>
        </row>
        <row r="248">
          <cell r="A248" t="str">
            <v>British Virgin Islands</v>
          </cell>
        </row>
        <row r="249">
          <cell r="A249" t="str">
            <v>Vanuatu</v>
          </cell>
        </row>
        <row r="250">
          <cell r="A250" t="str">
            <v>Wallis &amp; Futuna</v>
          </cell>
        </row>
        <row r="251">
          <cell r="A251" t="str">
            <v>Samoa</v>
          </cell>
        </row>
        <row r="252">
          <cell r="A252" t="str">
            <v>Kosovo</v>
          </cell>
        </row>
        <row r="253">
          <cell r="A253" t="str">
            <v>Yemen</v>
          </cell>
        </row>
      </sheetData>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23)"/>
    </sheetNames>
    <sheetDataSet>
      <sheetData sheetId="0" refreshError="1">
        <row r="1">
          <cell r="A1" t="str">
            <v>Kategori: TÃ¼m kategoriler</v>
          </cell>
        </row>
        <row r="3">
          <cell r="A3" t="str">
            <v>Ãœlke</v>
          </cell>
          <cell r="B3" t="str">
            <v>Null pointer: (2018)</v>
          </cell>
          <cell r="C3" t="str">
            <v>Sonlu durum makinesi: (2018)</v>
          </cell>
        </row>
        <row r="4">
          <cell r="A4" t="str">
            <v>Micronesia</v>
          </cell>
          <cell r="C4">
            <v>1</v>
          </cell>
        </row>
        <row r="5">
          <cell r="A5" t="str">
            <v>Guam</v>
          </cell>
          <cell r="C5">
            <v>1</v>
          </cell>
        </row>
        <row r="6">
          <cell r="A6" t="str">
            <v>China</v>
          </cell>
          <cell r="B6">
            <v>0.43</v>
          </cell>
          <cell r="C6">
            <v>0.56999999999999995</v>
          </cell>
        </row>
        <row r="7">
          <cell r="A7" t="str">
            <v>Fiji</v>
          </cell>
          <cell r="C7">
            <v>1</v>
          </cell>
        </row>
        <row r="8">
          <cell r="A8" t="str">
            <v>Maldives</v>
          </cell>
        </row>
        <row r="9">
          <cell r="A9" t="str">
            <v>Macao</v>
          </cell>
          <cell r="C9">
            <v>1</v>
          </cell>
        </row>
        <row r="10">
          <cell r="A10" t="str">
            <v>St. Helena</v>
          </cell>
          <cell r="B10">
            <v>0.75</v>
          </cell>
          <cell r="C10">
            <v>0.25</v>
          </cell>
        </row>
        <row r="11">
          <cell r="A11" t="str">
            <v>Singapore</v>
          </cell>
          <cell r="B11">
            <v>0.35</v>
          </cell>
          <cell r="C11">
            <v>0.65</v>
          </cell>
        </row>
        <row r="12">
          <cell r="A12" t="str">
            <v>Israel</v>
          </cell>
          <cell r="B12">
            <v>0.36</v>
          </cell>
          <cell r="C12">
            <v>0.64</v>
          </cell>
        </row>
        <row r="13">
          <cell r="A13" t="str">
            <v>Hong Kong</v>
          </cell>
          <cell r="B13">
            <v>0.36</v>
          </cell>
          <cell r="C13">
            <v>0.64</v>
          </cell>
        </row>
        <row r="14">
          <cell r="A14" t="str">
            <v>North Macedonia</v>
          </cell>
        </row>
        <row r="15">
          <cell r="A15" t="str">
            <v>South Korea</v>
          </cell>
          <cell r="B15">
            <v>0.42</v>
          </cell>
          <cell r="C15">
            <v>0.57999999999999996</v>
          </cell>
        </row>
        <row r="16">
          <cell r="A16" t="str">
            <v>India</v>
          </cell>
          <cell r="B16">
            <v>0.67</v>
          </cell>
          <cell r="C16">
            <v>0.33</v>
          </cell>
        </row>
        <row r="17">
          <cell r="A17" t="str">
            <v>Luxembourg</v>
          </cell>
        </row>
        <row r="18">
          <cell r="A18" t="str">
            <v>Sri Lanka</v>
          </cell>
          <cell r="B18">
            <v>0.68</v>
          </cell>
          <cell r="C18">
            <v>0.32</v>
          </cell>
        </row>
        <row r="19">
          <cell r="A19" t="str">
            <v>Ethiopia</v>
          </cell>
        </row>
        <row r="20">
          <cell r="A20" t="str">
            <v>New Zealand</v>
          </cell>
          <cell r="B20">
            <v>0.56000000000000005</v>
          </cell>
          <cell r="C20">
            <v>0.44</v>
          </cell>
        </row>
        <row r="21">
          <cell r="A21" t="str">
            <v>United States</v>
          </cell>
          <cell r="B21">
            <v>0.62</v>
          </cell>
          <cell r="C21">
            <v>0.38</v>
          </cell>
        </row>
        <row r="22">
          <cell r="A22" t="str">
            <v>Ireland</v>
          </cell>
          <cell r="B22">
            <v>0.68</v>
          </cell>
          <cell r="C22">
            <v>0.32</v>
          </cell>
        </row>
        <row r="23">
          <cell r="A23" t="str">
            <v>Canada</v>
          </cell>
          <cell r="B23">
            <v>0.62</v>
          </cell>
          <cell r="C23">
            <v>0.38</v>
          </cell>
        </row>
        <row r="24">
          <cell r="A24" t="str">
            <v>Myanmar (Burma)</v>
          </cell>
        </row>
        <row r="25">
          <cell r="A25" t="str">
            <v>Lithuania</v>
          </cell>
          <cell r="B25">
            <v>0.69</v>
          </cell>
          <cell r="C25">
            <v>0.31</v>
          </cell>
        </row>
        <row r="26">
          <cell r="A26" t="str">
            <v>Estonia</v>
          </cell>
        </row>
        <row r="27">
          <cell r="A27" t="str">
            <v>Tunisia</v>
          </cell>
        </row>
        <row r="28">
          <cell r="A28" t="str">
            <v>Pakistan</v>
          </cell>
          <cell r="B28">
            <v>0.49</v>
          </cell>
          <cell r="C28">
            <v>0.51</v>
          </cell>
        </row>
        <row r="29">
          <cell r="A29" t="str">
            <v>Australia</v>
          </cell>
          <cell r="B29">
            <v>0.56999999999999995</v>
          </cell>
          <cell r="C29">
            <v>0.43</v>
          </cell>
        </row>
        <row r="30">
          <cell r="A30" t="str">
            <v>Sweden</v>
          </cell>
          <cell r="B30">
            <v>0.66</v>
          </cell>
          <cell r="C30">
            <v>0.34</v>
          </cell>
        </row>
        <row r="31">
          <cell r="A31" t="str">
            <v>United Kingdom</v>
          </cell>
          <cell r="B31">
            <v>0.55000000000000004</v>
          </cell>
          <cell r="C31">
            <v>0.45</v>
          </cell>
        </row>
        <row r="32">
          <cell r="A32" t="str">
            <v>Malaysia</v>
          </cell>
          <cell r="B32">
            <v>0.37</v>
          </cell>
          <cell r="C32">
            <v>0.63</v>
          </cell>
        </row>
        <row r="33">
          <cell r="A33" t="str">
            <v>Philippines</v>
          </cell>
          <cell r="B33">
            <v>0.67</v>
          </cell>
          <cell r="C33">
            <v>0.33</v>
          </cell>
        </row>
        <row r="34">
          <cell r="A34" t="str">
            <v>Nepal</v>
          </cell>
        </row>
        <row r="35">
          <cell r="A35" t="str">
            <v>Switzerland</v>
          </cell>
          <cell r="B35">
            <v>0.55000000000000004</v>
          </cell>
          <cell r="C35">
            <v>0.45</v>
          </cell>
        </row>
        <row r="36">
          <cell r="A36" t="str">
            <v>Norway</v>
          </cell>
          <cell r="B36">
            <v>0.41</v>
          </cell>
          <cell r="C36">
            <v>0.59</v>
          </cell>
        </row>
        <row r="37">
          <cell r="A37" t="str">
            <v>Slovenia</v>
          </cell>
        </row>
        <row r="38">
          <cell r="A38" t="str">
            <v>Finland</v>
          </cell>
          <cell r="B38">
            <v>0.57999999999999996</v>
          </cell>
          <cell r="C38">
            <v>0.42</v>
          </cell>
        </row>
        <row r="39">
          <cell r="A39" t="str">
            <v>Taiwan</v>
          </cell>
          <cell r="B39">
            <v>0.28000000000000003</v>
          </cell>
          <cell r="C39">
            <v>0.72</v>
          </cell>
        </row>
        <row r="40">
          <cell r="A40" t="str">
            <v>Romania</v>
          </cell>
          <cell r="B40">
            <v>0.49</v>
          </cell>
          <cell r="C40">
            <v>0.51</v>
          </cell>
        </row>
        <row r="41">
          <cell r="A41" t="str">
            <v>South Africa</v>
          </cell>
          <cell r="B41">
            <v>0.61</v>
          </cell>
          <cell r="C41">
            <v>0.39</v>
          </cell>
        </row>
        <row r="42">
          <cell r="A42" t="str">
            <v>Russia</v>
          </cell>
          <cell r="B42">
            <v>0.22</v>
          </cell>
          <cell r="C42">
            <v>0.78</v>
          </cell>
        </row>
        <row r="43">
          <cell r="A43" t="str">
            <v>Serbia</v>
          </cell>
          <cell r="B43">
            <v>0.59</v>
          </cell>
          <cell r="C43">
            <v>0.41</v>
          </cell>
        </row>
        <row r="44">
          <cell r="A44" t="str">
            <v>Latvia</v>
          </cell>
        </row>
        <row r="45">
          <cell r="A45" t="str">
            <v>Czechia</v>
          </cell>
          <cell r="B45">
            <v>0.54</v>
          </cell>
          <cell r="C45">
            <v>0.46</v>
          </cell>
        </row>
        <row r="46">
          <cell r="A46" t="str">
            <v>Kenya</v>
          </cell>
        </row>
        <row r="47">
          <cell r="A47" t="str">
            <v>Germany</v>
          </cell>
          <cell r="B47">
            <v>0.47</v>
          </cell>
          <cell r="C47">
            <v>0.53</v>
          </cell>
        </row>
        <row r="48">
          <cell r="A48" t="str">
            <v>Netherlands</v>
          </cell>
          <cell r="B48">
            <v>0.59</v>
          </cell>
          <cell r="C48">
            <v>0.41</v>
          </cell>
        </row>
        <row r="49">
          <cell r="A49" t="str">
            <v>Tanzania</v>
          </cell>
        </row>
        <row r="50">
          <cell r="A50" t="str">
            <v>Croatia</v>
          </cell>
          <cell r="B50">
            <v>0.42</v>
          </cell>
          <cell r="C50">
            <v>0.57999999999999996</v>
          </cell>
        </row>
        <row r="51">
          <cell r="A51" t="str">
            <v>Ghana</v>
          </cell>
        </row>
        <row r="52">
          <cell r="A52" t="str">
            <v>Bulgaria</v>
          </cell>
          <cell r="B52">
            <v>0.44</v>
          </cell>
          <cell r="C52">
            <v>0.56000000000000005</v>
          </cell>
        </row>
        <row r="53">
          <cell r="A53" t="str">
            <v>Belarus</v>
          </cell>
          <cell r="B53">
            <v>0.41</v>
          </cell>
          <cell r="C53">
            <v>0.59</v>
          </cell>
        </row>
        <row r="54">
          <cell r="A54" t="str">
            <v>Lebanon</v>
          </cell>
        </row>
        <row r="55">
          <cell r="A55" t="str">
            <v>Slovakia</v>
          </cell>
          <cell r="B55">
            <v>0.35</v>
          </cell>
          <cell r="C55">
            <v>0.65</v>
          </cell>
        </row>
        <row r="56">
          <cell r="A56" t="str">
            <v>Austria</v>
          </cell>
          <cell r="B56">
            <v>0.48</v>
          </cell>
          <cell r="C56">
            <v>0.52</v>
          </cell>
        </row>
        <row r="57">
          <cell r="A57" t="str">
            <v>Vietnam</v>
          </cell>
          <cell r="B57">
            <v>0.74</v>
          </cell>
          <cell r="C57">
            <v>0.26</v>
          </cell>
        </row>
        <row r="58">
          <cell r="A58" t="str">
            <v>Denmark</v>
          </cell>
          <cell r="B58">
            <v>0.51</v>
          </cell>
          <cell r="C58">
            <v>0.49</v>
          </cell>
        </row>
        <row r="59">
          <cell r="A59" t="str">
            <v>Portugal</v>
          </cell>
          <cell r="B59">
            <v>0.53</v>
          </cell>
          <cell r="C59">
            <v>0.47</v>
          </cell>
        </row>
        <row r="60">
          <cell r="A60" t="str">
            <v>Bangladesh</v>
          </cell>
          <cell r="B60">
            <v>0.45</v>
          </cell>
          <cell r="C60">
            <v>0.55000000000000004</v>
          </cell>
        </row>
        <row r="61">
          <cell r="A61" t="str">
            <v>Greece</v>
          </cell>
          <cell r="B61">
            <v>0.37</v>
          </cell>
          <cell r="C61">
            <v>0.63</v>
          </cell>
        </row>
        <row r="62">
          <cell r="A62" t="str">
            <v>Nigeria</v>
          </cell>
          <cell r="B62">
            <v>0.34</v>
          </cell>
          <cell r="C62">
            <v>0.66</v>
          </cell>
        </row>
        <row r="63">
          <cell r="A63" t="str">
            <v>Bosnia &amp; Herzegovina</v>
          </cell>
        </row>
        <row r="64">
          <cell r="A64" t="str">
            <v>Belgium</v>
          </cell>
          <cell r="B64">
            <v>0.56999999999999995</v>
          </cell>
          <cell r="C64">
            <v>0.43</v>
          </cell>
        </row>
        <row r="65">
          <cell r="A65" t="str">
            <v>Ukraine</v>
          </cell>
          <cell r="B65">
            <v>0.38</v>
          </cell>
          <cell r="C65">
            <v>0.62</v>
          </cell>
        </row>
        <row r="66">
          <cell r="A66" t="str">
            <v>United Arab Emirates</v>
          </cell>
          <cell r="B66">
            <v>0.54</v>
          </cell>
          <cell r="C66">
            <v>0.46</v>
          </cell>
        </row>
        <row r="67">
          <cell r="A67" t="str">
            <v>Guatemala</v>
          </cell>
        </row>
        <row r="68">
          <cell r="A68" t="str">
            <v>Hungary</v>
          </cell>
          <cell r="B68">
            <v>0.45</v>
          </cell>
          <cell r="C68">
            <v>0.55000000000000004</v>
          </cell>
        </row>
        <row r="69">
          <cell r="A69" t="str">
            <v>Costa Rica</v>
          </cell>
        </row>
        <row r="70">
          <cell r="A70" t="str">
            <v>Poland</v>
          </cell>
          <cell r="B70">
            <v>0.56999999999999995</v>
          </cell>
          <cell r="C70">
            <v>0.43</v>
          </cell>
        </row>
        <row r="71">
          <cell r="A71" t="str">
            <v>Uzbekistan</v>
          </cell>
        </row>
        <row r="72">
          <cell r="A72" t="str">
            <v>Turkey</v>
          </cell>
          <cell r="B72">
            <v>0.27</v>
          </cell>
          <cell r="C72">
            <v>0.73</v>
          </cell>
        </row>
        <row r="73">
          <cell r="A73" t="str">
            <v>Georgia</v>
          </cell>
        </row>
        <row r="74">
          <cell r="A74" t="str">
            <v>Uruguay</v>
          </cell>
        </row>
        <row r="75">
          <cell r="A75" t="str">
            <v>Japan</v>
          </cell>
          <cell r="B75">
            <v>0.42</v>
          </cell>
          <cell r="C75">
            <v>0.57999999999999996</v>
          </cell>
        </row>
        <row r="76">
          <cell r="A76" t="str">
            <v>Mexico</v>
          </cell>
          <cell r="B76">
            <v>0.32</v>
          </cell>
          <cell r="C76">
            <v>0.68</v>
          </cell>
        </row>
        <row r="77">
          <cell r="A77" t="str">
            <v>Kazakhstan</v>
          </cell>
          <cell r="C77">
            <v>1</v>
          </cell>
        </row>
        <row r="78">
          <cell r="A78" t="str">
            <v>Italy</v>
          </cell>
          <cell r="B78">
            <v>0.35</v>
          </cell>
          <cell r="C78">
            <v>0.65</v>
          </cell>
        </row>
        <row r="79">
          <cell r="A79" t="str">
            <v>Iran</v>
          </cell>
          <cell r="B79">
            <v>0.54</v>
          </cell>
          <cell r="C79">
            <v>0.46</v>
          </cell>
        </row>
        <row r="80">
          <cell r="A80" t="str">
            <v>Bolivia</v>
          </cell>
        </row>
        <row r="81">
          <cell r="A81" t="str">
            <v>Jordan</v>
          </cell>
        </row>
        <row r="82">
          <cell r="A82" t="str">
            <v>Ecuador</v>
          </cell>
          <cell r="C82">
            <v>1</v>
          </cell>
        </row>
        <row r="83">
          <cell r="A83" t="str">
            <v>Egypt</v>
          </cell>
          <cell r="B83">
            <v>0.54</v>
          </cell>
          <cell r="C83">
            <v>0.46</v>
          </cell>
        </row>
        <row r="84">
          <cell r="A84" t="str">
            <v>France</v>
          </cell>
          <cell r="B84">
            <v>0.57999999999999996</v>
          </cell>
          <cell r="C84">
            <v>0.42</v>
          </cell>
        </row>
        <row r="85">
          <cell r="A85" t="str">
            <v>Kuwait</v>
          </cell>
        </row>
        <row r="86">
          <cell r="A86" t="str">
            <v>Colombia</v>
          </cell>
          <cell r="B86">
            <v>0.37</v>
          </cell>
          <cell r="C86">
            <v>0.63</v>
          </cell>
        </row>
        <row r="87">
          <cell r="A87" t="str">
            <v>Indonesia</v>
          </cell>
          <cell r="B87">
            <v>0.4</v>
          </cell>
          <cell r="C87">
            <v>0.6</v>
          </cell>
        </row>
        <row r="88">
          <cell r="A88" t="str">
            <v>Spain</v>
          </cell>
          <cell r="B88">
            <v>0.53</v>
          </cell>
          <cell r="C88">
            <v>0.47</v>
          </cell>
        </row>
        <row r="89">
          <cell r="A89" t="str">
            <v>Morocco</v>
          </cell>
        </row>
        <row r="90">
          <cell r="A90" t="str">
            <v>Thailand</v>
          </cell>
          <cell r="B90">
            <v>0.46</v>
          </cell>
          <cell r="C90">
            <v>0.54</v>
          </cell>
        </row>
        <row r="91">
          <cell r="A91" t="str">
            <v>Algeria</v>
          </cell>
        </row>
        <row r="92">
          <cell r="A92" t="str">
            <v>Saudi Arabia</v>
          </cell>
          <cell r="B92">
            <v>0.56000000000000005</v>
          </cell>
          <cell r="C92">
            <v>0.44</v>
          </cell>
        </row>
        <row r="93">
          <cell r="A93" t="str">
            <v>Brazil</v>
          </cell>
          <cell r="B93">
            <v>0.4</v>
          </cell>
          <cell r="C93">
            <v>0.6</v>
          </cell>
        </row>
        <row r="94">
          <cell r="A94" t="str">
            <v>Peru</v>
          </cell>
        </row>
        <row r="95">
          <cell r="A95" t="str">
            <v>Argentina</v>
          </cell>
          <cell r="B95">
            <v>0.52</v>
          </cell>
          <cell r="C95">
            <v>0.48</v>
          </cell>
        </row>
        <row r="96">
          <cell r="A96" t="str">
            <v>Chile</v>
          </cell>
        </row>
        <row r="97">
          <cell r="A97" t="str">
            <v>Iraq</v>
          </cell>
        </row>
        <row r="98">
          <cell r="A98" t="str">
            <v>Venezuela</v>
          </cell>
        </row>
        <row r="99">
          <cell r="A99" t="str">
            <v>North Korea</v>
          </cell>
        </row>
        <row r="100">
          <cell r="A100" t="str">
            <v>Gibraltar</v>
          </cell>
        </row>
        <row r="101">
          <cell r="A101" t="str">
            <v>Faroe Islands</v>
          </cell>
        </row>
        <row r="102">
          <cell r="A102" t="str">
            <v>Cayman Islands</v>
          </cell>
        </row>
        <row r="103">
          <cell r="A103" t="str">
            <v>Grenada</v>
          </cell>
        </row>
        <row r="104">
          <cell r="A104" t="str">
            <v>Iceland</v>
          </cell>
        </row>
        <row r="105">
          <cell r="A105" t="str">
            <v>Isle of Man</v>
          </cell>
        </row>
        <row r="106">
          <cell r="A106" t="str">
            <v>French Polynesia</v>
          </cell>
        </row>
        <row r="107">
          <cell r="A107" t="str">
            <v>St. Lucia</v>
          </cell>
        </row>
        <row r="108">
          <cell r="A108" t="str">
            <v>Malta</v>
          </cell>
        </row>
        <row r="109">
          <cell r="A109" t="str">
            <v>Malawi</v>
          </cell>
        </row>
        <row r="110">
          <cell r="A110" t="str">
            <v>New Caledonia</v>
          </cell>
        </row>
        <row r="111">
          <cell r="A111" t="str">
            <v>Bhutan</v>
          </cell>
        </row>
        <row r="112">
          <cell r="A112" t="str">
            <v>Andorra</v>
          </cell>
        </row>
        <row r="113">
          <cell r="A113" t="str">
            <v>Cape Verde</v>
          </cell>
        </row>
        <row r="114">
          <cell r="A114" t="str">
            <v>Cyprus</v>
          </cell>
        </row>
        <row r="115">
          <cell r="A115" t="str">
            <v>Mauritius</v>
          </cell>
        </row>
        <row r="116">
          <cell r="A116" t="str">
            <v>Madagascar</v>
          </cell>
        </row>
        <row r="117">
          <cell r="A117" t="str">
            <v>Somalia</v>
          </cell>
        </row>
        <row r="118">
          <cell r="A118" t="str">
            <v>Bahamas</v>
          </cell>
        </row>
        <row r="119">
          <cell r="A119" t="str">
            <v>Kosovo</v>
          </cell>
        </row>
        <row r="120">
          <cell r="A120" t="str">
            <v>Angola</v>
          </cell>
        </row>
        <row r="121">
          <cell r="A121" t="str">
            <v>Armenia</v>
          </cell>
        </row>
        <row r="122">
          <cell r="A122" t="str">
            <v>Rwanda</v>
          </cell>
        </row>
        <row r="123">
          <cell r="A123" t="str">
            <v>Montenegro</v>
          </cell>
        </row>
        <row r="124">
          <cell r="A124" t="str">
            <v>Gabon</v>
          </cell>
        </row>
        <row r="125">
          <cell r="A125" t="str">
            <v>Cambodia</v>
          </cell>
        </row>
        <row r="126">
          <cell r="A126" t="str">
            <v>Guyana</v>
          </cell>
        </row>
        <row r="127">
          <cell r="A127" t="str">
            <v>Laos</v>
          </cell>
        </row>
        <row r="128">
          <cell r="A128" t="str">
            <v>Benin</v>
          </cell>
        </row>
        <row r="129">
          <cell r="A129" t="str">
            <v>Zimbabwe</v>
          </cell>
        </row>
        <row r="130">
          <cell r="A130" t="str">
            <v>Puerto Rico</v>
          </cell>
        </row>
        <row r="131">
          <cell r="A131" t="str">
            <v>Albania</v>
          </cell>
        </row>
        <row r="132">
          <cell r="A132" t="str">
            <v>Senegal</v>
          </cell>
        </row>
        <row r="133">
          <cell r="A133" t="str">
            <v>Moldova</v>
          </cell>
        </row>
        <row r="134">
          <cell r="A134" t="str">
            <v>Guadeloupe</v>
          </cell>
        </row>
        <row r="135">
          <cell r="A135" t="str">
            <v>Brunei</v>
          </cell>
        </row>
        <row r="136">
          <cell r="A136" t="str">
            <v>Afghanistan</v>
          </cell>
        </row>
        <row r="137">
          <cell r="A137" t="str">
            <v>Azerbaijan</v>
          </cell>
        </row>
        <row r="138">
          <cell r="A138" t="str">
            <v>Bahrain</v>
          </cell>
        </row>
        <row r="139">
          <cell r="A139" t="str">
            <v>El Salvador</v>
          </cell>
        </row>
        <row r="140">
          <cell r="A140" t="str">
            <v>Jamaica</v>
          </cell>
        </row>
        <row r="141">
          <cell r="A141" t="str">
            <v>Oman</v>
          </cell>
        </row>
        <row r="142">
          <cell r="A142" t="str">
            <v>Uganda</v>
          </cell>
        </row>
        <row r="143">
          <cell r="A143" t="str">
            <v>Honduras</v>
          </cell>
        </row>
        <row r="144">
          <cell r="A144" t="str">
            <v>Mongolia</v>
          </cell>
        </row>
        <row r="145">
          <cell r="A145" t="str">
            <v>Qatar</v>
          </cell>
        </row>
        <row r="146">
          <cell r="A146" t="str">
            <v>Paraguay</v>
          </cell>
        </row>
        <row r="147">
          <cell r="A147" t="str">
            <v>Mozambique</v>
          </cell>
        </row>
        <row r="148">
          <cell r="A148" t="str">
            <v>Zambia</v>
          </cell>
        </row>
        <row r="149">
          <cell r="A149" t="str">
            <v>Syria</v>
          </cell>
        </row>
        <row r="150">
          <cell r="A150" t="str">
            <v>Panama</v>
          </cell>
        </row>
        <row r="151">
          <cell r="A151" t="str">
            <v>Trinidad &amp; Tobago</v>
          </cell>
        </row>
        <row r="152">
          <cell r="A152" t="str">
            <v>Palestine</v>
          </cell>
        </row>
        <row r="153">
          <cell r="A153" t="str">
            <v>Nicaragua</v>
          </cell>
        </row>
        <row r="154">
          <cell r="A154" t="str">
            <v>Dominican Republic</v>
          </cell>
        </row>
        <row r="155">
          <cell r="A155" t="str">
            <v>Yemen</v>
          </cell>
        </row>
        <row r="156">
          <cell r="A156" t="str">
            <v>CÃ´te dâ€™Ivoire</v>
          </cell>
        </row>
        <row r="157">
          <cell r="A157" t="str">
            <v>Sudan</v>
          </cell>
        </row>
        <row r="158">
          <cell r="A158" t="str">
            <v>Aruba</v>
          </cell>
        </row>
        <row r="159">
          <cell r="A159" t="str">
            <v>Anguilla</v>
          </cell>
        </row>
        <row r="160">
          <cell r="A160" t="str">
            <v>Ã…land Islands</v>
          </cell>
        </row>
        <row r="161">
          <cell r="A161" t="str">
            <v>American Samoa</v>
          </cell>
        </row>
        <row r="162">
          <cell r="A162" t="str">
            <v>Antarctica</v>
          </cell>
        </row>
        <row r="163">
          <cell r="A163" t="str">
            <v>French Southern Territories</v>
          </cell>
        </row>
        <row r="164">
          <cell r="A164" t="str">
            <v>Antigua &amp; Barbuda</v>
          </cell>
        </row>
        <row r="165">
          <cell r="A165" t="str">
            <v>Burundi</v>
          </cell>
        </row>
        <row r="166">
          <cell r="A166" t="str">
            <v>Caribbean Netherlands</v>
          </cell>
        </row>
        <row r="167">
          <cell r="A167" t="str">
            <v>Burkina Faso</v>
          </cell>
        </row>
        <row r="168">
          <cell r="A168" t="str">
            <v>St. BarthÃ©lemy</v>
          </cell>
        </row>
        <row r="169">
          <cell r="A169" t="str">
            <v>Belize</v>
          </cell>
        </row>
        <row r="170">
          <cell r="A170" t="str">
            <v>Bermuda</v>
          </cell>
        </row>
        <row r="171">
          <cell r="A171" t="str">
            <v>Barbados</v>
          </cell>
        </row>
        <row r="172">
          <cell r="A172" t="str">
            <v>Bouvet Island</v>
          </cell>
        </row>
        <row r="173">
          <cell r="A173" t="str">
            <v>Botswana</v>
          </cell>
        </row>
        <row r="174">
          <cell r="A174" t="str">
            <v>Central African Republic</v>
          </cell>
        </row>
        <row r="175">
          <cell r="A175" t="str">
            <v>Cocos (Keeling) Islands</v>
          </cell>
        </row>
        <row r="176">
          <cell r="A176" t="str">
            <v>Cameroon</v>
          </cell>
        </row>
        <row r="177">
          <cell r="A177" t="str">
            <v>Congo - Kinshasa</v>
          </cell>
        </row>
        <row r="178">
          <cell r="A178" t="str">
            <v>Congo - Brazzaville</v>
          </cell>
        </row>
        <row r="179">
          <cell r="A179" t="str">
            <v>Cook Islands</v>
          </cell>
        </row>
        <row r="180">
          <cell r="A180" t="str">
            <v>Comoros</v>
          </cell>
        </row>
        <row r="181">
          <cell r="A181" t="str">
            <v>Cuba</v>
          </cell>
        </row>
        <row r="182">
          <cell r="A182" t="str">
            <v>CuraÃ§ao</v>
          </cell>
        </row>
        <row r="183">
          <cell r="A183" t="str">
            <v>Christmas Island</v>
          </cell>
        </row>
        <row r="184">
          <cell r="A184" t="str">
            <v>Djibouti</v>
          </cell>
        </row>
        <row r="185">
          <cell r="A185" t="str">
            <v>Dominica</v>
          </cell>
        </row>
        <row r="186">
          <cell r="A186" t="str">
            <v>Eritrea</v>
          </cell>
        </row>
        <row r="187">
          <cell r="A187" t="str">
            <v>Western Sahara</v>
          </cell>
        </row>
        <row r="188">
          <cell r="A188" t="str">
            <v>Falkland Islands (Islas Malvinas)</v>
          </cell>
        </row>
        <row r="189">
          <cell r="A189" t="str">
            <v>Guernsey</v>
          </cell>
        </row>
        <row r="190">
          <cell r="A190" t="str">
            <v>Guinea</v>
          </cell>
        </row>
        <row r="191">
          <cell r="A191" t="str">
            <v>Gambia</v>
          </cell>
        </row>
        <row r="192">
          <cell r="A192" t="str">
            <v>Guinea-Bissau</v>
          </cell>
        </row>
        <row r="193">
          <cell r="A193" t="str">
            <v>Equatorial Guinea</v>
          </cell>
        </row>
        <row r="194">
          <cell r="A194" t="str">
            <v>Greenland</v>
          </cell>
        </row>
        <row r="195">
          <cell r="A195" t="str">
            <v>French Guiana</v>
          </cell>
        </row>
        <row r="196">
          <cell r="A196" t="str">
            <v>Heard &amp; McDonald Islands</v>
          </cell>
        </row>
        <row r="197">
          <cell r="A197" t="str">
            <v>Haiti</v>
          </cell>
        </row>
        <row r="198">
          <cell r="A198" t="str">
            <v>British Indian Ocean Territory</v>
          </cell>
        </row>
        <row r="199">
          <cell r="A199" t="str">
            <v>Jersey</v>
          </cell>
        </row>
        <row r="200">
          <cell r="A200" t="str">
            <v>Kyrgyzstan</v>
          </cell>
        </row>
        <row r="201">
          <cell r="A201" t="str">
            <v>Kiribati</v>
          </cell>
        </row>
        <row r="202">
          <cell r="A202" t="str">
            <v>St. Kitts &amp; Nevis</v>
          </cell>
        </row>
        <row r="203">
          <cell r="A203" t="str">
            <v>Liberia</v>
          </cell>
        </row>
        <row r="204">
          <cell r="A204" t="str">
            <v>Libya</v>
          </cell>
        </row>
        <row r="205">
          <cell r="A205" t="str">
            <v>Liechtenstein</v>
          </cell>
        </row>
        <row r="206">
          <cell r="A206" t="str">
            <v>Lesotho</v>
          </cell>
        </row>
        <row r="207">
          <cell r="A207" t="str">
            <v>St. Martin</v>
          </cell>
        </row>
        <row r="208">
          <cell r="A208" t="str">
            <v>Monaco</v>
          </cell>
        </row>
        <row r="209">
          <cell r="A209" t="str">
            <v>Marshall Islands</v>
          </cell>
        </row>
        <row r="210">
          <cell r="A210" t="str">
            <v>Mali</v>
          </cell>
        </row>
        <row r="211">
          <cell r="A211" t="str">
            <v>Northern Mariana Islands</v>
          </cell>
        </row>
        <row r="212">
          <cell r="A212" t="str">
            <v>Mauritania</v>
          </cell>
        </row>
        <row r="213">
          <cell r="A213" t="str">
            <v>Montserrat</v>
          </cell>
        </row>
        <row r="214">
          <cell r="A214" t="str">
            <v>Martinique</v>
          </cell>
        </row>
        <row r="215">
          <cell r="A215" t="str">
            <v>Mayotte</v>
          </cell>
        </row>
        <row r="216">
          <cell r="A216" t="str">
            <v>Namibia</v>
          </cell>
        </row>
        <row r="217">
          <cell r="A217" t="str">
            <v>Niger</v>
          </cell>
        </row>
        <row r="218">
          <cell r="A218" t="str">
            <v>Norfolk Island</v>
          </cell>
        </row>
        <row r="219">
          <cell r="A219" t="str">
            <v>Niue</v>
          </cell>
        </row>
        <row r="220">
          <cell r="A220" t="str">
            <v>Nauru</v>
          </cell>
        </row>
        <row r="221">
          <cell r="A221" t="str">
            <v>Pitcairn Islands</v>
          </cell>
        </row>
        <row r="222">
          <cell r="A222" t="str">
            <v>Palau</v>
          </cell>
        </row>
        <row r="223">
          <cell r="A223" t="str">
            <v>Papua New Guinea</v>
          </cell>
        </row>
        <row r="224">
          <cell r="A224" t="str">
            <v>RÃ©union</v>
          </cell>
        </row>
        <row r="225">
          <cell r="A225" t="str">
            <v>South Georgia &amp; South Sandwich Islands</v>
          </cell>
        </row>
        <row r="226">
          <cell r="A226" t="str">
            <v>Svalbard &amp; Jan Mayen</v>
          </cell>
        </row>
        <row r="227">
          <cell r="A227" t="str">
            <v>Solomon Islands</v>
          </cell>
        </row>
        <row r="228">
          <cell r="A228" t="str">
            <v>Sierra Leone</v>
          </cell>
        </row>
        <row r="229">
          <cell r="A229" t="str">
            <v>San Marino</v>
          </cell>
        </row>
        <row r="230">
          <cell r="A230" t="str">
            <v>St. Pierre &amp; Miquelon</v>
          </cell>
        </row>
        <row r="231">
          <cell r="A231" t="str">
            <v>South Sudan</v>
          </cell>
        </row>
        <row r="232">
          <cell r="A232" t="str">
            <v>SÃ£o TomÃ© &amp; PrÃ­ncipe</v>
          </cell>
        </row>
        <row r="233">
          <cell r="A233" t="str">
            <v>Suriname</v>
          </cell>
        </row>
        <row r="234">
          <cell r="A234" t="str">
            <v>Eswatini</v>
          </cell>
        </row>
        <row r="235">
          <cell r="A235" t="str">
            <v>Sint Maarten</v>
          </cell>
        </row>
        <row r="236">
          <cell r="A236" t="str">
            <v>Seychelles</v>
          </cell>
        </row>
        <row r="237">
          <cell r="A237" t="str">
            <v>Turks &amp; Caicos Islands</v>
          </cell>
        </row>
        <row r="238">
          <cell r="A238" t="str">
            <v>Chad</v>
          </cell>
        </row>
        <row r="239">
          <cell r="A239" t="str">
            <v>Togo</v>
          </cell>
        </row>
        <row r="240">
          <cell r="A240" t="str">
            <v>Tajikistan</v>
          </cell>
        </row>
        <row r="241">
          <cell r="A241" t="str">
            <v>Tokelau</v>
          </cell>
        </row>
        <row r="242">
          <cell r="A242" t="str">
            <v>Turkmenistan</v>
          </cell>
        </row>
        <row r="243">
          <cell r="A243" t="str">
            <v>Timor-Leste</v>
          </cell>
        </row>
        <row r="244">
          <cell r="A244" t="str">
            <v>Tonga</v>
          </cell>
        </row>
        <row r="245">
          <cell r="A245" t="str">
            <v>Tuvalu</v>
          </cell>
        </row>
        <row r="246">
          <cell r="A246" t="str">
            <v>U.S. Outlying Islands</v>
          </cell>
        </row>
        <row r="247">
          <cell r="A247" t="str">
            <v>Vatican City</v>
          </cell>
        </row>
        <row r="248">
          <cell r="A248" t="str">
            <v>St. Vincent &amp; Grenadines</v>
          </cell>
        </row>
        <row r="249">
          <cell r="A249" t="str">
            <v>British Virgin Islands</v>
          </cell>
        </row>
        <row r="250">
          <cell r="A250" t="str">
            <v>U.S. Virgin Islands</v>
          </cell>
        </row>
        <row r="251">
          <cell r="A251" t="str">
            <v>Vanuatu</v>
          </cell>
        </row>
        <row r="252">
          <cell r="A252" t="str">
            <v>Wallis &amp; Futuna</v>
          </cell>
        </row>
        <row r="253">
          <cell r="A253" t="str">
            <v>Samoa</v>
          </cell>
        </row>
      </sheetData>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24)"/>
    </sheetNames>
    <sheetDataSet>
      <sheetData sheetId="0" refreshError="1">
        <row r="1">
          <cell r="A1" t="str">
            <v>Kategori: TÃ¼m kategoriler</v>
          </cell>
        </row>
        <row r="3">
          <cell r="A3" t="str">
            <v>Ãœlke</v>
          </cell>
          <cell r="B3" t="str">
            <v>Sonlu durum makinesi: (2018)</v>
          </cell>
          <cell r="C3" t="str">
            <v>K-means KÃ¼meleme YÃ¶ntemi: (2018)</v>
          </cell>
        </row>
        <row r="4">
          <cell r="A4" t="str">
            <v>Micronesia</v>
          </cell>
          <cell r="B4">
            <v>1</v>
          </cell>
        </row>
        <row r="5">
          <cell r="A5" t="str">
            <v>Guam</v>
          </cell>
          <cell r="B5">
            <v>1</v>
          </cell>
        </row>
        <row r="6">
          <cell r="A6" t="str">
            <v>China</v>
          </cell>
          <cell r="B6">
            <v>0.43</v>
          </cell>
          <cell r="C6">
            <v>0.56999999999999995</v>
          </cell>
        </row>
        <row r="7">
          <cell r="A7" t="str">
            <v>Fiji</v>
          </cell>
        </row>
        <row r="8">
          <cell r="A8" t="str">
            <v>Maldives</v>
          </cell>
        </row>
        <row r="9">
          <cell r="A9" t="str">
            <v>Macao</v>
          </cell>
          <cell r="B9">
            <v>1</v>
          </cell>
        </row>
        <row r="10">
          <cell r="A10" t="str">
            <v>Singapore</v>
          </cell>
          <cell r="B10">
            <v>0.7</v>
          </cell>
          <cell r="C10">
            <v>0.3</v>
          </cell>
        </row>
        <row r="11">
          <cell r="A11" t="str">
            <v>Cambodia</v>
          </cell>
          <cell r="C11">
            <v>1</v>
          </cell>
        </row>
        <row r="12">
          <cell r="A12" t="str">
            <v>Israel</v>
          </cell>
          <cell r="B12">
            <v>0.76</v>
          </cell>
          <cell r="C12">
            <v>0.24</v>
          </cell>
        </row>
        <row r="13">
          <cell r="A13" t="str">
            <v>South Korea</v>
          </cell>
          <cell r="B13">
            <v>0.45</v>
          </cell>
          <cell r="C13">
            <v>0.55000000000000004</v>
          </cell>
        </row>
        <row r="14">
          <cell r="A14" t="str">
            <v>Hong Kong</v>
          </cell>
          <cell r="B14">
            <v>0.61</v>
          </cell>
          <cell r="C14">
            <v>0.39</v>
          </cell>
        </row>
        <row r="15">
          <cell r="A15" t="str">
            <v>Myanmar (Burma)</v>
          </cell>
          <cell r="C15">
            <v>1</v>
          </cell>
        </row>
        <row r="16">
          <cell r="A16" t="str">
            <v>St. Helena</v>
          </cell>
          <cell r="B16">
            <v>0.54</v>
          </cell>
          <cell r="C16">
            <v>0.46</v>
          </cell>
        </row>
        <row r="17">
          <cell r="A17" t="str">
            <v>Ethiopia</v>
          </cell>
        </row>
        <row r="18">
          <cell r="A18" t="str">
            <v>Pakistan</v>
          </cell>
          <cell r="B18">
            <v>0.41</v>
          </cell>
          <cell r="C18">
            <v>0.59</v>
          </cell>
        </row>
        <row r="19">
          <cell r="A19" t="str">
            <v>Iceland</v>
          </cell>
        </row>
        <row r="20">
          <cell r="A20" t="str">
            <v>India</v>
          </cell>
          <cell r="B20">
            <v>0.35</v>
          </cell>
          <cell r="C20">
            <v>0.65</v>
          </cell>
        </row>
        <row r="21">
          <cell r="A21" t="str">
            <v>New Zealand</v>
          </cell>
          <cell r="B21">
            <v>0.61</v>
          </cell>
          <cell r="C21">
            <v>0.39</v>
          </cell>
        </row>
        <row r="22">
          <cell r="A22" t="str">
            <v>Bangladesh</v>
          </cell>
          <cell r="B22">
            <v>0.32</v>
          </cell>
          <cell r="C22">
            <v>0.68</v>
          </cell>
        </row>
        <row r="23">
          <cell r="A23" t="str">
            <v>Tunisia</v>
          </cell>
          <cell r="B23">
            <v>0.53</v>
          </cell>
          <cell r="C23">
            <v>0.47</v>
          </cell>
        </row>
        <row r="24">
          <cell r="A24" t="str">
            <v>Nepal</v>
          </cell>
        </row>
        <row r="25">
          <cell r="A25" t="str">
            <v>Taiwan</v>
          </cell>
          <cell r="B25">
            <v>0.45</v>
          </cell>
          <cell r="C25">
            <v>0.55000000000000004</v>
          </cell>
        </row>
        <row r="26">
          <cell r="A26" t="str">
            <v>Estonia</v>
          </cell>
        </row>
        <row r="27">
          <cell r="A27" t="str">
            <v>Malaysia</v>
          </cell>
          <cell r="B27">
            <v>0.67</v>
          </cell>
          <cell r="C27">
            <v>0.33</v>
          </cell>
        </row>
        <row r="28">
          <cell r="A28" t="str">
            <v>Sri Lanka</v>
          </cell>
          <cell r="B28">
            <v>0.45</v>
          </cell>
          <cell r="C28">
            <v>0.55000000000000004</v>
          </cell>
        </row>
        <row r="29">
          <cell r="A29" t="str">
            <v>United States</v>
          </cell>
          <cell r="B29">
            <v>0.51</v>
          </cell>
          <cell r="C29">
            <v>0.49</v>
          </cell>
        </row>
        <row r="30">
          <cell r="A30" t="str">
            <v>Australia</v>
          </cell>
          <cell r="B30">
            <v>0.56999999999999995</v>
          </cell>
          <cell r="C30">
            <v>0.43</v>
          </cell>
        </row>
        <row r="31">
          <cell r="A31" t="str">
            <v>Norway</v>
          </cell>
          <cell r="B31">
            <v>0.65</v>
          </cell>
          <cell r="C31">
            <v>0.35</v>
          </cell>
        </row>
        <row r="32">
          <cell r="A32" t="str">
            <v>Slovenia</v>
          </cell>
        </row>
        <row r="33">
          <cell r="A33" t="str">
            <v>Canada</v>
          </cell>
          <cell r="B33">
            <v>0.53</v>
          </cell>
          <cell r="C33">
            <v>0.47</v>
          </cell>
        </row>
        <row r="34">
          <cell r="A34" t="str">
            <v>United Kingdom</v>
          </cell>
          <cell r="B34">
            <v>0.59</v>
          </cell>
          <cell r="C34">
            <v>0.41</v>
          </cell>
        </row>
        <row r="35">
          <cell r="A35" t="str">
            <v>Romania</v>
          </cell>
          <cell r="B35">
            <v>0.79</v>
          </cell>
          <cell r="C35">
            <v>0.21</v>
          </cell>
        </row>
        <row r="36">
          <cell r="A36" t="str">
            <v>Russia</v>
          </cell>
          <cell r="B36">
            <v>0.76</v>
          </cell>
          <cell r="C36">
            <v>0.24</v>
          </cell>
        </row>
        <row r="37">
          <cell r="A37" t="str">
            <v>Switzerland</v>
          </cell>
          <cell r="B37">
            <v>0.56000000000000005</v>
          </cell>
          <cell r="C37">
            <v>0.44</v>
          </cell>
        </row>
        <row r="38">
          <cell r="A38" t="str">
            <v>Latvia</v>
          </cell>
        </row>
        <row r="39">
          <cell r="A39" t="str">
            <v>United Arab Emirates</v>
          </cell>
          <cell r="B39">
            <v>0.37</v>
          </cell>
          <cell r="C39">
            <v>0.63</v>
          </cell>
        </row>
        <row r="40">
          <cell r="A40" t="str">
            <v>Ireland</v>
          </cell>
          <cell r="B40">
            <v>0.49</v>
          </cell>
          <cell r="C40">
            <v>0.51</v>
          </cell>
        </row>
        <row r="41">
          <cell r="A41" t="str">
            <v>Kenya</v>
          </cell>
        </row>
        <row r="42">
          <cell r="A42" t="str">
            <v>Germany</v>
          </cell>
          <cell r="B42">
            <v>0.62</v>
          </cell>
          <cell r="C42">
            <v>0.38</v>
          </cell>
        </row>
        <row r="43">
          <cell r="A43" t="str">
            <v>Tanzania</v>
          </cell>
        </row>
        <row r="44">
          <cell r="A44" t="str">
            <v>Croatia</v>
          </cell>
        </row>
        <row r="45">
          <cell r="A45" t="str">
            <v>Ghana</v>
          </cell>
        </row>
        <row r="46">
          <cell r="A46" t="str">
            <v>Bulgaria</v>
          </cell>
          <cell r="B46">
            <v>0.7</v>
          </cell>
          <cell r="C46">
            <v>0.3</v>
          </cell>
        </row>
        <row r="47">
          <cell r="A47" t="str">
            <v>Belarus</v>
          </cell>
        </row>
        <row r="48">
          <cell r="A48" t="str">
            <v>Czechia</v>
          </cell>
          <cell r="B48">
            <v>0.66</v>
          </cell>
          <cell r="C48">
            <v>0.34</v>
          </cell>
        </row>
        <row r="49">
          <cell r="A49" t="str">
            <v>Slovakia</v>
          </cell>
        </row>
        <row r="50">
          <cell r="A50" t="str">
            <v>Austria</v>
          </cell>
          <cell r="B50">
            <v>0.61</v>
          </cell>
          <cell r="C50">
            <v>0.39</v>
          </cell>
        </row>
        <row r="51">
          <cell r="A51" t="str">
            <v>Denmark</v>
          </cell>
          <cell r="B51">
            <v>0.48</v>
          </cell>
          <cell r="C51">
            <v>0.52</v>
          </cell>
        </row>
        <row r="52">
          <cell r="A52" t="str">
            <v>Finland</v>
          </cell>
          <cell r="B52">
            <v>0.5</v>
          </cell>
          <cell r="C52">
            <v>0.5</v>
          </cell>
        </row>
        <row r="53">
          <cell r="A53" t="str">
            <v>Sweden</v>
          </cell>
          <cell r="B53">
            <v>0.63</v>
          </cell>
          <cell r="C53">
            <v>0.37</v>
          </cell>
        </row>
        <row r="54">
          <cell r="A54" t="str">
            <v>Portugal</v>
          </cell>
          <cell r="B54">
            <v>0.48</v>
          </cell>
          <cell r="C54">
            <v>0.52</v>
          </cell>
        </row>
        <row r="55">
          <cell r="A55" t="str">
            <v>Greece</v>
          </cell>
          <cell r="B55">
            <v>0.49</v>
          </cell>
          <cell r="C55">
            <v>0.51</v>
          </cell>
        </row>
        <row r="56">
          <cell r="A56" t="str">
            <v>Iran</v>
          </cell>
          <cell r="B56">
            <v>0.32</v>
          </cell>
          <cell r="C56">
            <v>0.68</v>
          </cell>
        </row>
        <row r="57">
          <cell r="A57" t="str">
            <v>Lithuania</v>
          </cell>
        </row>
        <row r="58">
          <cell r="A58" t="str">
            <v>Indonesia</v>
          </cell>
          <cell r="B58">
            <v>0.33</v>
          </cell>
          <cell r="C58">
            <v>0.67</v>
          </cell>
        </row>
        <row r="59">
          <cell r="A59" t="str">
            <v>Nigeria</v>
          </cell>
          <cell r="B59">
            <v>0.66</v>
          </cell>
          <cell r="C59">
            <v>0.34</v>
          </cell>
        </row>
        <row r="60">
          <cell r="A60" t="str">
            <v>Serbia</v>
          </cell>
          <cell r="B60">
            <v>0.57999999999999996</v>
          </cell>
          <cell r="C60">
            <v>0.42</v>
          </cell>
        </row>
        <row r="61">
          <cell r="A61" t="str">
            <v>Algeria</v>
          </cell>
        </row>
        <row r="62">
          <cell r="A62" t="str">
            <v>South Africa</v>
          </cell>
          <cell r="B62">
            <v>0.53</v>
          </cell>
          <cell r="C62">
            <v>0.47</v>
          </cell>
        </row>
        <row r="63">
          <cell r="A63" t="str">
            <v>Morocco</v>
          </cell>
        </row>
        <row r="64">
          <cell r="A64" t="str">
            <v>Ukraine</v>
          </cell>
          <cell r="B64">
            <v>0.7</v>
          </cell>
          <cell r="C64">
            <v>0.3</v>
          </cell>
        </row>
        <row r="65">
          <cell r="A65" t="str">
            <v>Netherlands</v>
          </cell>
          <cell r="B65">
            <v>0.5</v>
          </cell>
          <cell r="C65">
            <v>0.5</v>
          </cell>
        </row>
        <row r="66">
          <cell r="A66" t="str">
            <v>Philippines</v>
          </cell>
          <cell r="B66">
            <v>0.56000000000000005</v>
          </cell>
          <cell r="C66">
            <v>0.44</v>
          </cell>
        </row>
        <row r="67">
          <cell r="A67" t="str">
            <v>Guatemala</v>
          </cell>
        </row>
        <row r="68">
          <cell r="A68" t="str">
            <v>Hungary</v>
          </cell>
          <cell r="B68">
            <v>0.63</v>
          </cell>
          <cell r="C68">
            <v>0.37</v>
          </cell>
        </row>
        <row r="69">
          <cell r="A69" t="str">
            <v>Lebanon</v>
          </cell>
        </row>
        <row r="70">
          <cell r="A70" t="str">
            <v>Jordan</v>
          </cell>
        </row>
        <row r="71">
          <cell r="A71" t="str">
            <v>Japan</v>
          </cell>
          <cell r="B71">
            <v>0.45</v>
          </cell>
          <cell r="C71">
            <v>0.55000000000000004</v>
          </cell>
        </row>
        <row r="72">
          <cell r="A72" t="str">
            <v>France</v>
          </cell>
          <cell r="B72">
            <v>0.35</v>
          </cell>
          <cell r="C72">
            <v>0.65</v>
          </cell>
        </row>
        <row r="73">
          <cell r="A73" t="str">
            <v>Mauritius</v>
          </cell>
        </row>
        <row r="74">
          <cell r="A74" t="str">
            <v>Uzbekistan</v>
          </cell>
        </row>
        <row r="75">
          <cell r="A75" t="str">
            <v>Turkey</v>
          </cell>
          <cell r="B75">
            <v>0.66</v>
          </cell>
          <cell r="C75">
            <v>0.34</v>
          </cell>
        </row>
        <row r="76">
          <cell r="A76" t="str">
            <v>Bosnia &amp; Herzegovina</v>
          </cell>
        </row>
        <row r="77">
          <cell r="A77" t="str">
            <v>Georgia</v>
          </cell>
        </row>
        <row r="78">
          <cell r="A78" t="str">
            <v>Belgium</v>
          </cell>
          <cell r="B78">
            <v>0.54</v>
          </cell>
          <cell r="C78">
            <v>0.46</v>
          </cell>
        </row>
        <row r="79">
          <cell r="A79" t="str">
            <v>Mexico</v>
          </cell>
          <cell r="B79">
            <v>0.63</v>
          </cell>
          <cell r="C79">
            <v>0.37</v>
          </cell>
        </row>
        <row r="80">
          <cell r="A80" t="str">
            <v>Qatar</v>
          </cell>
        </row>
        <row r="81">
          <cell r="A81" t="str">
            <v>Kazakhstan</v>
          </cell>
          <cell r="B81">
            <v>0.62</v>
          </cell>
          <cell r="C81">
            <v>0.38</v>
          </cell>
        </row>
        <row r="82">
          <cell r="A82" t="str">
            <v>Italy</v>
          </cell>
          <cell r="B82">
            <v>0.6</v>
          </cell>
          <cell r="C82">
            <v>0.4</v>
          </cell>
        </row>
        <row r="83">
          <cell r="A83" t="str">
            <v>Poland</v>
          </cell>
          <cell r="B83">
            <v>0.63</v>
          </cell>
          <cell r="C83">
            <v>0.37</v>
          </cell>
        </row>
        <row r="84">
          <cell r="A84" t="str">
            <v>Bolivia</v>
          </cell>
        </row>
        <row r="85">
          <cell r="A85" t="str">
            <v>Egypt</v>
          </cell>
          <cell r="B85">
            <v>0.46</v>
          </cell>
          <cell r="C85">
            <v>0.54</v>
          </cell>
        </row>
        <row r="86">
          <cell r="A86" t="str">
            <v>Ecuador</v>
          </cell>
          <cell r="B86">
            <v>0.54</v>
          </cell>
          <cell r="C86">
            <v>0.46</v>
          </cell>
        </row>
        <row r="87">
          <cell r="A87" t="str">
            <v>Saudi Arabia</v>
          </cell>
          <cell r="B87">
            <v>0.33</v>
          </cell>
          <cell r="C87">
            <v>0.67</v>
          </cell>
        </row>
        <row r="88">
          <cell r="A88" t="str">
            <v>Kuwait</v>
          </cell>
        </row>
        <row r="89">
          <cell r="A89" t="str">
            <v>Colombia</v>
          </cell>
          <cell r="B89">
            <v>0.48</v>
          </cell>
          <cell r="C89">
            <v>0.52</v>
          </cell>
        </row>
        <row r="90">
          <cell r="A90" t="str">
            <v>Iraq</v>
          </cell>
        </row>
        <row r="91">
          <cell r="A91" t="str">
            <v>Spain</v>
          </cell>
          <cell r="B91">
            <v>0.42</v>
          </cell>
          <cell r="C91">
            <v>0.57999999999999996</v>
          </cell>
        </row>
        <row r="92">
          <cell r="A92" t="str">
            <v>Chile</v>
          </cell>
          <cell r="B92">
            <v>0.33</v>
          </cell>
          <cell r="C92">
            <v>0.67</v>
          </cell>
        </row>
        <row r="93">
          <cell r="A93" t="str">
            <v>Thailand</v>
          </cell>
          <cell r="B93">
            <v>0.43</v>
          </cell>
          <cell r="C93">
            <v>0.56999999999999995</v>
          </cell>
        </row>
        <row r="94">
          <cell r="A94" t="str">
            <v>Vietnam</v>
          </cell>
          <cell r="B94">
            <v>0.45</v>
          </cell>
          <cell r="C94">
            <v>0.55000000000000004</v>
          </cell>
        </row>
        <row r="95">
          <cell r="A95" t="str">
            <v>Peru</v>
          </cell>
          <cell r="B95">
            <v>0.43</v>
          </cell>
          <cell r="C95">
            <v>0.56999999999999995</v>
          </cell>
        </row>
        <row r="96">
          <cell r="A96" t="str">
            <v>Laos</v>
          </cell>
        </row>
        <row r="97">
          <cell r="A97" t="str">
            <v>El Salvador</v>
          </cell>
        </row>
        <row r="98">
          <cell r="A98" t="str">
            <v>Brazil</v>
          </cell>
          <cell r="B98">
            <v>0.52</v>
          </cell>
          <cell r="C98">
            <v>0.48</v>
          </cell>
        </row>
        <row r="99">
          <cell r="A99" t="str">
            <v>Argentina</v>
          </cell>
          <cell r="B99">
            <v>0.56999999999999995</v>
          </cell>
          <cell r="C99">
            <v>0.43</v>
          </cell>
        </row>
        <row r="100">
          <cell r="A100" t="str">
            <v>Venezuela</v>
          </cell>
        </row>
        <row r="101">
          <cell r="A101" t="str">
            <v>Nauru</v>
          </cell>
        </row>
        <row r="102">
          <cell r="A102" t="str">
            <v>Marshall Islands</v>
          </cell>
        </row>
        <row r="103">
          <cell r="A103" t="str">
            <v>Tonga</v>
          </cell>
        </row>
        <row r="104">
          <cell r="A104" t="str">
            <v>Palau</v>
          </cell>
        </row>
        <row r="105">
          <cell r="A105" t="str">
            <v>Northern Mariana Islands</v>
          </cell>
        </row>
        <row r="106">
          <cell r="A106" t="str">
            <v>Solomon Islands</v>
          </cell>
        </row>
        <row r="107">
          <cell r="A107" t="str">
            <v>Vanuatu</v>
          </cell>
        </row>
        <row r="108">
          <cell r="A108" t="str">
            <v>Samoa</v>
          </cell>
        </row>
        <row r="109">
          <cell r="A109" t="str">
            <v>St. Kitts &amp; Nevis</v>
          </cell>
        </row>
        <row r="110">
          <cell r="A110" t="str">
            <v>Papua New Guinea</v>
          </cell>
        </row>
        <row r="111">
          <cell r="A111" t="str">
            <v>Liechtenstein</v>
          </cell>
        </row>
        <row r="112">
          <cell r="A112" t="str">
            <v>St. Vincent &amp; Grenadines</v>
          </cell>
        </row>
        <row r="113">
          <cell r="A113" t="str">
            <v>Lesotho</v>
          </cell>
        </row>
        <row r="114">
          <cell r="A114" t="str">
            <v>Aruba</v>
          </cell>
        </row>
        <row r="115">
          <cell r="A115" t="str">
            <v>Malawi</v>
          </cell>
        </row>
        <row r="116">
          <cell r="A116" t="str">
            <v>Grenada</v>
          </cell>
        </row>
        <row r="117">
          <cell r="A117" t="str">
            <v>CuraÃ§ao</v>
          </cell>
        </row>
        <row r="118">
          <cell r="A118" t="str">
            <v>Antigua &amp; Barbuda</v>
          </cell>
        </row>
        <row r="119">
          <cell r="A119" t="str">
            <v>Benin</v>
          </cell>
        </row>
        <row r="120">
          <cell r="A120" t="str">
            <v>Burundi</v>
          </cell>
        </row>
        <row r="121">
          <cell r="A121" t="str">
            <v>St. Lucia</v>
          </cell>
        </row>
        <row r="122">
          <cell r="A122" t="str">
            <v>Rwanda</v>
          </cell>
        </row>
        <row r="123">
          <cell r="A123" t="str">
            <v>Bhutan</v>
          </cell>
        </row>
        <row r="124">
          <cell r="A124" t="str">
            <v>Liberia</v>
          </cell>
        </row>
        <row r="125">
          <cell r="A125" t="str">
            <v>Malta</v>
          </cell>
        </row>
        <row r="126">
          <cell r="A126" t="str">
            <v>Sierra Leone</v>
          </cell>
        </row>
        <row r="127">
          <cell r="A127" t="str">
            <v>North Macedonia</v>
          </cell>
        </row>
        <row r="128">
          <cell r="A128" t="str">
            <v>Turkmenistan</v>
          </cell>
        </row>
        <row r="129">
          <cell r="A129" t="str">
            <v>Afghanistan</v>
          </cell>
        </row>
        <row r="130">
          <cell r="A130" t="str">
            <v>Isle of Man</v>
          </cell>
        </row>
        <row r="131">
          <cell r="A131" t="str">
            <v>Cuba</v>
          </cell>
        </row>
        <row r="132">
          <cell r="A132" t="str">
            <v>Brunei</v>
          </cell>
        </row>
        <row r="133">
          <cell r="A133" t="str">
            <v>Namibia</v>
          </cell>
        </row>
        <row r="134">
          <cell r="A134" t="str">
            <v>Mauritania</v>
          </cell>
        </row>
        <row r="135">
          <cell r="A135" t="str">
            <v>Cyprus</v>
          </cell>
        </row>
        <row r="136">
          <cell r="A136" t="str">
            <v>Oman</v>
          </cell>
        </row>
        <row r="137">
          <cell r="A137" t="str">
            <v>Zimbabwe</v>
          </cell>
        </row>
        <row r="138">
          <cell r="A138" t="str">
            <v>Trinidad &amp; Tobago</v>
          </cell>
        </row>
        <row r="139">
          <cell r="A139" t="str">
            <v>Angola</v>
          </cell>
        </row>
        <row r="140">
          <cell r="A140" t="str">
            <v>Botswana</v>
          </cell>
        </row>
        <row r="141">
          <cell r="A141" t="str">
            <v>Palestine</v>
          </cell>
        </row>
        <row r="142">
          <cell r="A142" t="str">
            <v>Armenia</v>
          </cell>
        </row>
        <row r="143">
          <cell r="A143" t="str">
            <v>Barbados</v>
          </cell>
        </row>
        <row r="144">
          <cell r="A144" t="str">
            <v>Somalia</v>
          </cell>
        </row>
        <row r="145">
          <cell r="A145" t="str">
            <v>Luxembourg</v>
          </cell>
        </row>
        <row r="146">
          <cell r="A146" t="str">
            <v>Mongolia</v>
          </cell>
        </row>
        <row r="147">
          <cell r="A147" t="str">
            <v>Uganda</v>
          </cell>
        </row>
        <row r="148">
          <cell r="A148" t="str">
            <v>Kosovo</v>
          </cell>
        </row>
        <row r="149">
          <cell r="A149" t="str">
            <v>Azerbaijan</v>
          </cell>
        </row>
        <row r="150">
          <cell r="A150" t="str">
            <v>Cameroon</v>
          </cell>
        </row>
        <row r="151">
          <cell r="A151" t="str">
            <v>Bahamas</v>
          </cell>
        </row>
        <row r="152">
          <cell r="A152" t="str">
            <v>Senegal</v>
          </cell>
        </row>
        <row r="153">
          <cell r="A153" t="str">
            <v>Puerto Rico</v>
          </cell>
        </row>
        <row r="154">
          <cell r="A154" t="str">
            <v>Madagascar</v>
          </cell>
        </row>
        <row r="155">
          <cell r="A155" t="str">
            <v>Montenegro</v>
          </cell>
        </row>
        <row r="156">
          <cell r="A156" t="str">
            <v>Costa Rica</v>
          </cell>
        </row>
        <row r="157">
          <cell r="A157" t="str">
            <v>Bahrain</v>
          </cell>
        </row>
        <row r="158">
          <cell r="A158" t="str">
            <v>Libya</v>
          </cell>
        </row>
        <row r="159">
          <cell r="A159" t="str">
            <v>Honduras</v>
          </cell>
        </row>
        <row r="160">
          <cell r="A160" t="str">
            <v>Tajikistan</v>
          </cell>
        </row>
        <row r="161">
          <cell r="A161" t="str">
            <v>Jamaica</v>
          </cell>
        </row>
        <row r="162">
          <cell r="A162" t="str">
            <v>Yemen</v>
          </cell>
        </row>
        <row r="163">
          <cell r="A163" t="str">
            <v>Albania</v>
          </cell>
        </row>
        <row r="164">
          <cell r="A164" t="str">
            <v>Sudan</v>
          </cell>
        </row>
        <row r="165">
          <cell r="A165" t="str">
            <v>Panama</v>
          </cell>
        </row>
        <row r="166">
          <cell r="A166" t="str">
            <v>Syria</v>
          </cell>
        </row>
        <row r="167">
          <cell r="A167" t="str">
            <v>Moldova</v>
          </cell>
        </row>
        <row r="168">
          <cell r="A168" t="str">
            <v>Paraguay</v>
          </cell>
        </row>
        <row r="169">
          <cell r="A169" t="str">
            <v>Mozambique</v>
          </cell>
        </row>
        <row r="170">
          <cell r="A170" t="str">
            <v>Zambia</v>
          </cell>
        </row>
        <row r="171">
          <cell r="A171" t="str">
            <v>Congo - Kinshasa</v>
          </cell>
        </row>
        <row r="172">
          <cell r="A172" t="str">
            <v>Nicaragua</v>
          </cell>
        </row>
        <row r="173">
          <cell r="A173" t="str">
            <v>Kyrgyzstan</v>
          </cell>
        </row>
        <row r="174">
          <cell r="A174" t="str">
            <v>CÃ´te dâ€™Ivoire</v>
          </cell>
        </row>
        <row r="175">
          <cell r="A175" t="str">
            <v>Dominican Republic</v>
          </cell>
        </row>
        <row r="176">
          <cell r="A176" t="str">
            <v>Uruguay</v>
          </cell>
        </row>
        <row r="177">
          <cell r="A177" t="str">
            <v>Anguilla</v>
          </cell>
        </row>
        <row r="178">
          <cell r="A178" t="str">
            <v>Ã…land Islands</v>
          </cell>
        </row>
        <row r="179">
          <cell r="A179" t="str">
            <v>Andorra</v>
          </cell>
        </row>
        <row r="180">
          <cell r="A180" t="str">
            <v>American Samoa</v>
          </cell>
        </row>
        <row r="181">
          <cell r="A181" t="str">
            <v>Antarctica</v>
          </cell>
        </row>
        <row r="182">
          <cell r="A182" t="str">
            <v>French Southern Territories</v>
          </cell>
        </row>
        <row r="183">
          <cell r="A183" t="str">
            <v>Caribbean Netherlands</v>
          </cell>
        </row>
        <row r="184">
          <cell r="A184" t="str">
            <v>Burkina Faso</v>
          </cell>
        </row>
        <row r="185">
          <cell r="A185" t="str">
            <v>St. BarthÃ©lemy</v>
          </cell>
        </row>
        <row r="186">
          <cell r="A186" t="str">
            <v>Belize</v>
          </cell>
        </row>
        <row r="187">
          <cell r="A187" t="str">
            <v>Bermuda</v>
          </cell>
        </row>
        <row r="188">
          <cell r="A188" t="str">
            <v>Bouvet Island</v>
          </cell>
        </row>
        <row r="189">
          <cell r="A189" t="str">
            <v>Central African Republic</v>
          </cell>
        </row>
        <row r="190">
          <cell r="A190" t="str">
            <v>Cocos (Keeling) Islands</v>
          </cell>
        </row>
        <row r="191">
          <cell r="A191" t="str">
            <v>Congo - Brazzaville</v>
          </cell>
        </row>
        <row r="192">
          <cell r="A192" t="str">
            <v>Cook Islands</v>
          </cell>
        </row>
        <row r="193">
          <cell r="A193" t="str">
            <v>Comoros</v>
          </cell>
        </row>
        <row r="194">
          <cell r="A194" t="str">
            <v>Cape Verde</v>
          </cell>
        </row>
        <row r="195">
          <cell r="A195" t="str">
            <v>Christmas Island</v>
          </cell>
        </row>
        <row r="196">
          <cell r="A196" t="str">
            <v>Cayman Islands</v>
          </cell>
        </row>
        <row r="197">
          <cell r="A197" t="str">
            <v>Djibouti</v>
          </cell>
        </row>
        <row r="198">
          <cell r="A198" t="str">
            <v>Dominica</v>
          </cell>
        </row>
        <row r="199">
          <cell r="A199" t="str">
            <v>Eritrea</v>
          </cell>
        </row>
        <row r="200">
          <cell r="A200" t="str">
            <v>Western Sahara</v>
          </cell>
        </row>
        <row r="201">
          <cell r="A201" t="str">
            <v>Falkland Islands (Islas Malvinas)</v>
          </cell>
        </row>
        <row r="202">
          <cell r="A202" t="str">
            <v>Faroe Islands</v>
          </cell>
        </row>
        <row r="203">
          <cell r="A203" t="str">
            <v>Gabon</v>
          </cell>
        </row>
        <row r="204">
          <cell r="A204" t="str">
            <v>Guernsey</v>
          </cell>
        </row>
        <row r="205">
          <cell r="A205" t="str">
            <v>Gibraltar</v>
          </cell>
        </row>
        <row r="206">
          <cell r="A206" t="str">
            <v>Guinea</v>
          </cell>
        </row>
        <row r="207">
          <cell r="A207" t="str">
            <v>Guadeloupe</v>
          </cell>
        </row>
        <row r="208">
          <cell r="A208" t="str">
            <v>Gambia</v>
          </cell>
        </row>
        <row r="209">
          <cell r="A209" t="str">
            <v>Guinea-Bissau</v>
          </cell>
        </row>
        <row r="210">
          <cell r="A210" t="str">
            <v>Equatorial Guinea</v>
          </cell>
        </row>
        <row r="211">
          <cell r="A211" t="str">
            <v>Greenland</v>
          </cell>
        </row>
        <row r="212">
          <cell r="A212" t="str">
            <v>French Guiana</v>
          </cell>
        </row>
        <row r="213">
          <cell r="A213" t="str">
            <v>Guyana</v>
          </cell>
        </row>
        <row r="214">
          <cell r="A214" t="str">
            <v>Heard &amp; McDonald Islands</v>
          </cell>
        </row>
        <row r="215">
          <cell r="A215" t="str">
            <v>Haiti</v>
          </cell>
        </row>
        <row r="216">
          <cell r="A216" t="str">
            <v>British Indian Ocean Territory</v>
          </cell>
        </row>
        <row r="217">
          <cell r="A217" t="str">
            <v>Jersey</v>
          </cell>
        </row>
        <row r="218">
          <cell r="A218" t="str">
            <v>Kiribati</v>
          </cell>
        </row>
        <row r="219">
          <cell r="A219" t="str">
            <v>St. Martin</v>
          </cell>
        </row>
        <row r="220">
          <cell r="A220" t="str">
            <v>Monaco</v>
          </cell>
        </row>
        <row r="221">
          <cell r="A221" t="str">
            <v>Mali</v>
          </cell>
        </row>
        <row r="222">
          <cell r="A222" t="str">
            <v>Montserrat</v>
          </cell>
        </row>
        <row r="223">
          <cell r="A223" t="str">
            <v>Martinique</v>
          </cell>
        </row>
        <row r="224">
          <cell r="A224" t="str">
            <v>Mayotte</v>
          </cell>
        </row>
        <row r="225">
          <cell r="A225" t="str">
            <v>New Caledonia</v>
          </cell>
        </row>
        <row r="226">
          <cell r="A226" t="str">
            <v>Niger</v>
          </cell>
        </row>
        <row r="227">
          <cell r="A227" t="str">
            <v>Norfolk Island</v>
          </cell>
        </row>
        <row r="228">
          <cell r="A228" t="str">
            <v>Niue</v>
          </cell>
        </row>
        <row r="229">
          <cell r="A229" t="str">
            <v>Pitcairn Islands</v>
          </cell>
        </row>
        <row r="230">
          <cell r="A230" t="str">
            <v>North Korea</v>
          </cell>
        </row>
        <row r="231">
          <cell r="A231" t="str">
            <v>French Polynesia</v>
          </cell>
        </row>
        <row r="232">
          <cell r="A232" t="str">
            <v>RÃ©union</v>
          </cell>
        </row>
        <row r="233">
          <cell r="A233" t="str">
            <v>South Georgia &amp; South Sandwich Islands</v>
          </cell>
        </row>
        <row r="234">
          <cell r="A234" t="str">
            <v>Svalbard &amp; Jan Mayen</v>
          </cell>
        </row>
        <row r="235">
          <cell r="A235" t="str">
            <v>San Marino</v>
          </cell>
        </row>
        <row r="236">
          <cell r="A236" t="str">
            <v>St. Pierre &amp; Miquelon</v>
          </cell>
        </row>
        <row r="237">
          <cell r="A237" t="str">
            <v>South Sudan</v>
          </cell>
        </row>
        <row r="238">
          <cell r="A238" t="str">
            <v>SÃ£o TomÃ© &amp; PrÃ­ncipe</v>
          </cell>
        </row>
        <row r="239">
          <cell r="A239" t="str">
            <v>Suriname</v>
          </cell>
        </row>
        <row r="240">
          <cell r="A240" t="str">
            <v>Eswatini</v>
          </cell>
        </row>
        <row r="241">
          <cell r="A241" t="str">
            <v>Sint Maarten</v>
          </cell>
        </row>
        <row r="242">
          <cell r="A242" t="str">
            <v>Seychelles</v>
          </cell>
        </row>
        <row r="243">
          <cell r="A243" t="str">
            <v>Turks &amp; Caicos Islands</v>
          </cell>
        </row>
        <row r="244">
          <cell r="A244" t="str">
            <v>Chad</v>
          </cell>
        </row>
        <row r="245">
          <cell r="A245" t="str">
            <v>Togo</v>
          </cell>
        </row>
        <row r="246">
          <cell r="A246" t="str">
            <v>Tokelau</v>
          </cell>
        </row>
        <row r="247">
          <cell r="A247" t="str">
            <v>Timor-Leste</v>
          </cell>
        </row>
        <row r="248">
          <cell r="A248" t="str">
            <v>Tuvalu</v>
          </cell>
        </row>
        <row r="249">
          <cell r="A249" t="str">
            <v>U.S. Outlying Islands</v>
          </cell>
        </row>
        <row r="250">
          <cell r="A250" t="str">
            <v>Vatican City</v>
          </cell>
        </row>
        <row r="251">
          <cell r="A251" t="str">
            <v>British Virgin Islands</v>
          </cell>
        </row>
        <row r="252">
          <cell r="A252" t="str">
            <v>U.S. Virgin Islands</v>
          </cell>
        </row>
        <row r="253">
          <cell r="A253" t="str">
            <v>Wallis &amp; Futuna</v>
          </cell>
        </row>
      </sheetData>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25)"/>
    </sheetNames>
    <sheetDataSet>
      <sheetData sheetId="0" refreshError="1">
        <row r="1">
          <cell r="A1" t="str">
            <v>Kategori: TÃ¼m kategoriler</v>
          </cell>
        </row>
        <row r="3">
          <cell r="A3" t="str">
            <v>Ãœlke</v>
          </cell>
          <cell r="B3" t="str">
            <v>K-means KÃ¼meleme YÃ¶ntemi: (2018)</v>
          </cell>
          <cell r="C3" t="str">
            <v>Semaphore: (2018)</v>
          </cell>
        </row>
        <row r="4">
          <cell r="A4" t="str">
            <v>China</v>
          </cell>
          <cell r="B4">
            <v>0.67</v>
          </cell>
          <cell r="C4">
            <v>0.33</v>
          </cell>
        </row>
        <row r="5">
          <cell r="A5" t="str">
            <v>Australia</v>
          </cell>
          <cell r="B5">
            <v>0.14000000000000001</v>
          </cell>
          <cell r="C5">
            <v>0.86</v>
          </cell>
        </row>
        <row r="6">
          <cell r="A6" t="str">
            <v>Cambodia</v>
          </cell>
          <cell r="B6">
            <v>1</v>
          </cell>
        </row>
        <row r="7">
          <cell r="A7" t="str">
            <v>South Korea</v>
          </cell>
          <cell r="B7">
            <v>0.57999999999999996</v>
          </cell>
          <cell r="C7">
            <v>0.42</v>
          </cell>
        </row>
        <row r="8">
          <cell r="A8" t="str">
            <v>Singapore</v>
          </cell>
          <cell r="B8">
            <v>0.71</v>
          </cell>
          <cell r="C8">
            <v>0.28999999999999998</v>
          </cell>
        </row>
        <row r="9">
          <cell r="A9" t="str">
            <v>Fiji</v>
          </cell>
        </row>
        <row r="10">
          <cell r="A10" t="str">
            <v>Myanmar (Burma)</v>
          </cell>
        </row>
        <row r="11">
          <cell r="A11" t="str">
            <v>Ethiopia</v>
          </cell>
        </row>
        <row r="12">
          <cell r="A12" t="str">
            <v>Pakistan</v>
          </cell>
          <cell r="B12">
            <v>0.72</v>
          </cell>
          <cell r="C12">
            <v>0.28000000000000003</v>
          </cell>
        </row>
        <row r="13">
          <cell r="A13" t="str">
            <v>Slovakia</v>
          </cell>
        </row>
        <row r="14">
          <cell r="A14" t="str">
            <v>France</v>
          </cell>
          <cell r="B14">
            <v>0.2</v>
          </cell>
          <cell r="C14">
            <v>0.8</v>
          </cell>
        </row>
        <row r="15">
          <cell r="A15" t="str">
            <v>India</v>
          </cell>
          <cell r="B15">
            <v>0.6</v>
          </cell>
          <cell r="C15">
            <v>0.4</v>
          </cell>
        </row>
        <row r="16">
          <cell r="A16" t="str">
            <v>St. Helena</v>
          </cell>
          <cell r="B16">
            <v>0.56000000000000005</v>
          </cell>
          <cell r="C16">
            <v>0.44</v>
          </cell>
        </row>
        <row r="17">
          <cell r="A17" t="str">
            <v>Hong Kong</v>
          </cell>
          <cell r="B17">
            <v>0.71</v>
          </cell>
          <cell r="C17">
            <v>0.28999999999999998</v>
          </cell>
        </row>
        <row r="18">
          <cell r="A18" t="str">
            <v>Bangladesh</v>
          </cell>
          <cell r="B18">
            <v>0.79</v>
          </cell>
          <cell r="C18">
            <v>0.21</v>
          </cell>
        </row>
        <row r="19">
          <cell r="A19" t="str">
            <v>Nepal</v>
          </cell>
        </row>
        <row r="20">
          <cell r="A20" t="str">
            <v>Israel</v>
          </cell>
          <cell r="B20">
            <v>0.43</v>
          </cell>
          <cell r="C20">
            <v>0.56999999999999995</v>
          </cell>
        </row>
        <row r="21">
          <cell r="A21" t="str">
            <v>Tunisia</v>
          </cell>
          <cell r="B21">
            <v>0.54</v>
          </cell>
          <cell r="C21">
            <v>0.46</v>
          </cell>
        </row>
        <row r="22">
          <cell r="A22" t="str">
            <v>Taiwan</v>
          </cell>
          <cell r="B22">
            <v>0.56999999999999995</v>
          </cell>
          <cell r="C22">
            <v>0.43</v>
          </cell>
        </row>
        <row r="23">
          <cell r="A23" t="str">
            <v>Sri Lanka</v>
          </cell>
          <cell r="B23">
            <v>0.63</v>
          </cell>
          <cell r="C23">
            <v>0.37</v>
          </cell>
        </row>
        <row r="24">
          <cell r="A24" t="str">
            <v>Iceland</v>
          </cell>
        </row>
        <row r="25">
          <cell r="A25" t="str">
            <v>United States</v>
          </cell>
          <cell r="B25">
            <v>0.61</v>
          </cell>
          <cell r="C25">
            <v>0.39</v>
          </cell>
        </row>
        <row r="26">
          <cell r="A26" t="str">
            <v>Switzerland</v>
          </cell>
          <cell r="B26">
            <v>0.42</v>
          </cell>
          <cell r="C26">
            <v>0.57999999999999996</v>
          </cell>
        </row>
        <row r="27">
          <cell r="A27" t="str">
            <v>Senegal</v>
          </cell>
        </row>
        <row r="28">
          <cell r="A28" t="str">
            <v>Zimbabwe</v>
          </cell>
        </row>
        <row r="29">
          <cell r="A29" t="str">
            <v>Botswana</v>
          </cell>
        </row>
        <row r="30">
          <cell r="A30" t="str">
            <v>North Macedonia</v>
          </cell>
        </row>
        <row r="31">
          <cell r="A31" t="str">
            <v>New Zealand</v>
          </cell>
          <cell r="B31">
            <v>0.57999999999999996</v>
          </cell>
          <cell r="C31">
            <v>0.42</v>
          </cell>
        </row>
        <row r="32">
          <cell r="A32" t="str">
            <v>Canada</v>
          </cell>
          <cell r="B32">
            <v>0.55000000000000004</v>
          </cell>
          <cell r="C32">
            <v>0.45</v>
          </cell>
        </row>
        <row r="33">
          <cell r="A33" t="str">
            <v>Belgium</v>
          </cell>
          <cell r="B33">
            <v>0.31</v>
          </cell>
          <cell r="C33">
            <v>0.69</v>
          </cell>
        </row>
        <row r="34">
          <cell r="A34" t="str">
            <v>Lebanon</v>
          </cell>
        </row>
        <row r="35">
          <cell r="A35" t="str">
            <v>United Arab Emirates</v>
          </cell>
          <cell r="B35">
            <v>0.74</v>
          </cell>
          <cell r="C35">
            <v>0.26</v>
          </cell>
        </row>
        <row r="36">
          <cell r="A36" t="str">
            <v>Ireland</v>
          </cell>
          <cell r="B36">
            <v>0.54</v>
          </cell>
          <cell r="C36">
            <v>0.46</v>
          </cell>
        </row>
        <row r="37">
          <cell r="A37" t="str">
            <v>Moldova</v>
          </cell>
        </row>
        <row r="38">
          <cell r="A38" t="str">
            <v>Algeria</v>
          </cell>
          <cell r="B38">
            <v>0.43</v>
          </cell>
          <cell r="C38">
            <v>0.56999999999999995</v>
          </cell>
        </row>
        <row r="39">
          <cell r="A39" t="str">
            <v>Denmark</v>
          </cell>
          <cell r="B39">
            <v>0.6</v>
          </cell>
          <cell r="C39">
            <v>0.4</v>
          </cell>
        </row>
        <row r="40">
          <cell r="A40" t="str">
            <v>Finland</v>
          </cell>
          <cell r="B40">
            <v>0.6</v>
          </cell>
          <cell r="C40">
            <v>0.4</v>
          </cell>
        </row>
        <row r="41">
          <cell r="A41" t="str">
            <v>Kenya</v>
          </cell>
          <cell r="B41">
            <v>0.35</v>
          </cell>
          <cell r="C41">
            <v>0.65</v>
          </cell>
        </row>
        <row r="42">
          <cell r="A42" t="str">
            <v>Portugal</v>
          </cell>
          <cell r="B42">
            <v>0.61</v>
          </cell>
          <cell r="C42">
            <v>0.39</v>
          </cell>
        </row>
        <row r="43">
          <cell r="A43" t="str">
            <v>Greece</v>
          </cell>
          <cell r="B43">
            <v>0.6</v>
          </cell>
          <cell r="C43">
            <v>0.4</v>
          </cell>
        </row>
        <row r="44">
          <cell r="A44" t="str">
            <v>United Kingdom</v>
          </cell>
          <cell r="B44">
            <v>0.51</v>
          </cell>
          <cell r="C44">
            <v>0.49</v>
          </cell>
        </row>
        <row r="45">
          <cell r="A45" t="str">
            <v>Iran</v>
          </cell>
          <cell r="B45">
            <v>0.79</v>
          </cell>
          <cell r="C45">
            <v>0.21</v>
          </cell>
        </row>
        <row r="46">
          <cell r="A46" t="str">
            <v>Hungary</v>
          </cell>
          <cell r="B46">
            <v>0.33</v>
          </cell>
          <cell r="C46">
            <v>0.67</v>
          </cell>
        </row>
        <row r="47">
          <cell r="A47" t="str">
            <v>Indonesia</v>
          </cell>
          <cell r="B47">
            <v>0.7</v>
          </cell>
          <cell r="C47">
            <v>0.3</v>
          </cell>
        </row>
        <row r="48">
          <cell r="A48" t="str">
            <v>Serbia</v>
          </cell>
          <cell r="B48">
            <v>0.42</v>
          </cell>
          <cell r="C48">
            <v>0.57999999999999996</v>
          </cell>
        </row>
        <row r="49">
          <cell r="A49" t="str">
            <v>Germany</v>
          </cell>
          <cell r="B49">
            <v>0.46</v>
          </cell>
          <cell r="C49">
            <v>0.54</v>
          </cell>
        </row>
        <row r="50">
          <cell r="A50" t="str">
            <v>Japan</v>
          </cell>
          <cell r="B50">
            <v>0.45</v>
          </cell>
          <cell r="C50">
            <v>0.55000000000000004</v>
          </cell>
        </row>
        <row r="51">
          <cell r="A51" t="str">
            <v>Belarus</v>
          </cell>
        </row>
        <row r="52">
          <cell r="A52" t="str">
            <v>Sweden</v>
          </cell>
          <cell r="B52">
            <v>0.41</v>
          </cell>
          <cell r="C52">
            <v>0.59</v>
          </cell>
        </row>
        <row r="53">
          <cell r="A53" t="str">
            <v>Morocco</v>
          </cell>
          <cell r="B53">
            <v>0.62</v>
          </cell>
          <cell r="C53">
            <v>0.38</v>
          </cell>
        </row>
        <row r="54">
          <cell r="A54" t="str">
            <v>Malaysia</v>
          </cell>
          <cell r="B54">
            <v>0.64</v>
          </cell>
          <cell r="C54">
            <v>0.36</v>
          </cell>
        </row>
        <row r="55">
          <cell r="A55" t="str">
            <v>Austria</v>
          </cell>
          <cell r="B55">
            <v>0.46</v>
          </cell>
          <cell r="C55">
            <v>0.54</v>
          </cell>
        </row>
        <row r="56">
          <cell r="A56" t="str">
            <v>Netherlands</v>
          </cell>
          <cell r="B56">
            <v>0.56999999999999995</v>
          </cell>
          <cell r="C56">
            <v>0.43</v>
          </cell>
        </row>
        <row r="57">
          <cell r="A57" t="str">
            <v>Czechia</v>
          </cell>
          <cell r="B57">
            <v>0.41</v>
          </cell>
          <cell r="C57">
            <v>0.59</v>
          </cell>
        </row>
        <row r="58">
          <cell r="A58" t="str">
            <v>Slovenia</v>
          </cell>
        </row>
        <row r="59">
          <cell r="A59" t="str">
            <v>Philippines</v>
          </cell>
          <cell r="B59">
            <v>0.44</v>
          </cell>
          <cell r="C59">
            <v>0.56000000000000005</v>
          </cell>
        </row>
        <row r="60">
          <cell r="A60" t="str">
            <v>Norway</v>
          </cell>
          <cell r="B60">
            <v>0.53</v>
          </cell>
          <cell r="C60">
            <v>0.47</v>
          </cell>
        </row>
        <row r="61">
          <cell r="A61" t="str">
            <v>Jordan</v>
          </cell>
        </row>
        <row r="62">
          <cell r="A62" t="str">
            <v>South Africa</v>
          </cell>
          <cell r="B62">
            <v>0.56999999999999995</v>
          </cell>
          <cell r="C62">
            <v>0.43</v>
          </cell>
        </row>
        <row r="63">
          <cell r="A63" t="str">
            <v>Lithuania</v>
          </cell>
        </row>
        <row r="64">
          <cell r="A64" t="str">
            <v>Cameroon</v>
          </cell>
        </row>
        <row r="65">
          <cell r="A65" t="str">
            <v>Estonia</v>
          </cell>
        </row>
        <row r="66">
          <cell r="A66" t="str">
            <v>Qatar</v>
          </cell>
        </row>
        <row r="67">
          <cell r="A67" t="str">
            <v>Russia</v>
          </cell>
          <cell r="B67">
            <v>0.43</v>
          </cell>
          <cell r="C67">
            <v>0.56999999999999995</v>
          </cell>
        </row>
        <row r="68">
          <cell r="A68" t="str">
            <v>Egypt</v>
          </cell>
          <cell r="B68">
            <v>0.56000000000000005</v>
          </cell>
          <cell r="C68">
            <v>0.44</v>
          </cell>
        </row>
        <row r="69">
          <cell r="A69" t="str">
            <v>Croatia</v>
          </cell>
        </row>
        <row r="70">
          <cell r="A70" t="str">
            <v>Saudi Arabia</v>
          </cell>
          <cell r="B70">
            <v>0.7</v>
          </cell>
          <cell r="C70">
            <v>0.3</v>
          </cell>
        </row>
        <row r="71">
          <cell r="A71" t="str">
            <v>Bulgaria</v>
          </cell>
        </row>
        <row r="72">
          <cell r="A72" t="str">
            <v>Romania</v>
          </cell>
          <cell r="B72">
            <v>0.42</v>
          </cell>
          <cell r="C72">
            <v>0.57999999999999996</v>
          </cell>
        </row>
        <row r="73">
          <cell r="A73" t="str">
            <v>Palestine</v>
          </cell>
        </row>
        <row r="74">
          <cell r="A74" t="str">
            <v>Colombia</v>
          </cell>
          <cell r="B74">
            <v>0.82</v>
          </cell>
          <cell r="C74">
            <v>0.18</v>
          </cell>
        </row>
        <row r="75">
          <cell r="A75" t="str">
            <v>Iraq</v>
          </cell>
        </row>
        <row r="76">
          <cell r="A76" t="str">
            <v>Spain</v>
          </cell>
          <cell r="B76">
            <v>0.59</v>
          </cell>
          <cell r="C76">
            <v>0.41</v>
          </cell>
        </row>
        <row r="77">
          <cell r="A77" t="str">
            <v>Chile</v>
          </cell>
          <cell r="B77">
            <v>0.78</v>
          </cell>
          <cell r="C77">
            <v>0.22</v>
          </cell>
        </row>
        <row r="78">
          <cell r="A78" t="str">
            <v>Poland</v>
          </cell>
          <cell r="B78">
            <v>0.41</v>
          </cell>
          <cell r="C78">
            <v>0.59</v>
          </cell>
        </row>
        <row r="79">
          <cell r="A79" t="str">
            <v>Kazakhstan</v>
          </cell>
          <cell r="B79">
            <v>0.42</v>
          </cell>
          <cell r="C79">
            <v>0.57999999999999996</v>
          </cell>
        </row>
        <row r="80">
          <cell r="A80" t="str">
            <v>Nigeria</v>
          </cell>
          <cell r="B80">
            <v>0.6</v>
          </cell>
          <cell r="C80">
            <v>0.4</v>
          </cell>
        </row>
        <row r="81">
          <cell r="A81" t="str">
            <v>Thailand</v>
          </cell>
          <cell r="B81">
            <v>0.73</v>
          </cell>
          <cell r="C81">
            <v>0.27</v>
          </cell>
        </row>
        <row r="82">
          <cell r="A82" t="str">
            <v>Vietnam</v>
          </cell>
          <cell r="B82">
            <v>0.53</v>
          </cell>
          <cell r="C82">
            <v>0.47</v>
          </cell>
        </row>
        <row r="83">
          <cell r="A83" t="str">
            <v>Ecuador</v>
          </cell>
          <cell r="B83">
            <v>1</v>
          </cell>
        </row>
        <row r="84">
          <cell r="A84" t="str">
            <v>Ukraine</v>
          </cell>
          <cell r="B84">
            <v>0.45</v>
          </cell>
          <cell r="C84">
            <v>0.55000000000000004</v>
          </cell>
        </row>
        <row r="85">
          <cell r="A85" t="str">
            <v>Peru</v>
          </cell>
        </row>
        <row r="86">
          <cell r="A86" t="str">
            <v>Italy</v>
          </cell>
          <cell r="B86">
            <v>0.51</v>
          </cell>
          <cell r="C86">
            <v>0.49</v>
          </cell>
        </row>
        <row r="87">
          <cell r="A87" t="str">
            <v>Turkey</v>
          </cell>
          <cell r="B87">
            <v>0.62</v>
          </cell>
          <cell r="C87">
            <v>0.38</v>
          </cell>
        </row>
        <row r="88">
          <cell r="A88" t="str">
            <v>Mexico</v>
          </cell>
          <cell r="B88">
            <v>0.7</v>
          </cell>
          <cell r="C88">
            <v>0.3</v>
          </cell>
        </row>
        <row r="89">
          <cell r="A89" t="str">
            <v>Bosnia &amp; Herzegovina</v>
          </cell>
        </row>
        <row r="90">
          <cell r="A90" t="str">
            <v>Brazil</v>
          </cell>
          <cell r="B90">
            <v>0.71</v>
          </cell>
          <cell r="C90">
            <v>0.28999999999999998</v>
          </cell>
        </row>
        <row r="91">
          <cell r="A91" t="str">
            <v>Uruguay</v>
          </cell>
        </row>
        <row r="92">
          <cell r="A92" t="str">
            <v>Bolivia</v>
          </cell>
        </row>
        <row r="93">
          <cell r="A93" t="str">
            <v>Argentina</v>
          </cell>
          <cell r="B93">
            <v>0.5</v>
          </cell>
          <cell r="C93">
            <v>0.5</v>
          </cell>
        </row>
        <row r="94">
          <cell r="A94" t="str">
            <v>SÃ£o TomÃ© &amp; PrÃ­ncipe</v>
          </cell>
        </row>
        <row r="95">
          <cell r="A95" t="str">
            <v>Samoa</v>
          </cell>
        </row>
        <row r="96">
          <cell r="A96" t="str">
            <v>U.S. Virgin Islands</v>
          </cell>
        </row>
        <row r="97">
          <cell r="A97" t="str">
            <v>Turks &amp; Caicos Islands</v>
          </cell>
        </row>
        <row r="98">
          <cell r="A98" t="str">
            <v>Ã…land Islands</v>
          </cell>
        </row>
        <row r="99">
          <cell r="A99" t="str">
            <v>Liechtenstein</v>
          </cell>
        </row>
        <row r="100">
          <cell r="A100" t="str">
            <v>Bhutan</v>
          </cell>
        </row>
        <row r="101">
          <cell r="A101" t="str">
            <v>Gibraltar</v>
          </cell>
        </row>
        <row r="102">
          <cell r="A102" t="str">
            <v>Gambia</v>
          </cell>
        </row>
        <row r="103">
          <cell r="A103" t="str">
            <v>Cuba</v>
          </cell>
        </row>
        <row r="104">
          <cell r="A104" t="str">
            <v>South Sudan</v>
          </cell>
        </row>
        <row r="105">
          <cell r="A105" t="str">
            <v>St. Lucia</v>
          </cell>
        </row>
        <row r="106">
          <cell r="A106" t="str">
            <v>Eswatini</v>
          </cell>
        </row>
        <row r="107">
          <cell r="A107" t="str">
            <v>Isle of Man</v>
          </cell>
        </row>
        <row r="108">
          <cell r="A108" t="str">
            <v>Rwanda</v>
          </cell>
        </row>
        <row r="109">
          <cell r="A109" t="str">
            <v>Madagascar</v>
          </cell>
        </row>
        <row r="110">
          <cell r="A110" t="str">
            <v>Suriname</v>
          </cell>
        </row>
        <row r="111">
          <cell r="A111" t="str">
            <v>Macao</v>
          </cell>
        </row>
        <row r="112">
          <cell r="A112" t="str">
            <v>Belize</v>
          </cell>
        </row>
        <row r="113">
          <cell r="A113" t="str">
            <v>Mauritania</v>
          </cell>
        </row>
        <row r="114">
          <cell r="A114" t="str">
            <v>Trinidad &amp; Tobago</v>
          </cell>
        </row>
        <row r="115">
          <cell r="A115" t="str">
            <v>Cyprus</v>
          </cell>
        </row>
        <row r="116">
          <cell r="A116" t="str">
            <v>Malawi</v>
          </cell>
        </row>
        <row r="117">
          <cell r="A117" t="str">
            <v>Brunei</v>
          </cell>
        </row>
        <row r="118">
          <cell r="A118" t="str">
            <v>Jersey</v>
          </cell>
        </row>
        <row r="119">
          <cell r="A119" t="str">
            <v>Gabon</v>
          </cell>
        </row>
        <row r="120">
          <cell r="A120" t="str">
            <v>Guyana</v>
          </cell>
        </row>
        <row r="121">
          <cell r="A121" t="str">
            <v>Jamaica</v>
          </cell>
        </row>
        <row r="122">
          <cell r="A122" t="str">
            <v>Benin</v>
          </cell>
        </row>
        <row r="123">
          <cell r="A123" t="str">
            <v>Oman</v>
          </cell>
        </row>
        <row r="124">
          <cell r="A124" t="str">
            <v>Maldives</v>
          </cell>
        </row>
        <row r="125">
          <cell r="A125" t="str">
            <v>Syria</v>
          </cell>
        </row>
        <row r="126">
          <cell r="A126" t="str">
            <v>Guinea</v>
          </cell>
        </row>
        <row r="127">
          <cell r="A127" t="str">
            <v>Angola</v>
          </cell>
        </row>
        <row r="128">
          <cell r="A128" t="str">
            <v>Mongolia</v>
          </cell>
        </row>
        <row r="129">
          <cell r="A129" t="str">
            <v>Armenia</v>
          </cell>
        </row>
        <row r="130">
          <cell r="A130" t="str">
            <v>Congo - Kinshasa</v>
          </cell>
        </row>
        <row r="131">
          <cell r="A131" t="str">
            <v>Malta</v>
          </cell>
        </row>
        <row r="132">
          <cell r="A132" t="str">
            <v>Luxembourg</v>
          </cell>
        </row>
        <row r="133">
          <cell r="A133" t="str">
            <v>Namibia</v>
          </cell>
        </row>
        <row r="134">
          <cell r="A134" t="str">
            <v>Bahamas</v>
          </cell>
        </row>
        <row r="135">
          <cell r="A135" t="str">
            <v>Sudan</v>
          </cell>
        </row>
        <row r="136">
          <cell r="A136" t="str">
            <v>Martinique</v>
          </cell>
        </row>
        <row r="137">
          <cell r="A137" t="str">
            <v>Bahrain</v>
          </cell>
        </row>
        <row r="138">
          <cell r="A138" t="str">
            <v>Burkina Faso</v>
          </cell>
        </row>
        <row r="139">
          <cell r="A139" t="str">
            <v>Guadeloupe</v>
          </cell>
        </row>
        <row r="140">
          <cell r="A140" t="str">
            <v>Costa Rica</v>
          </cell>
        </row>
        <row r="141">
          <cell r="A141" t="str">
            <v>Uganda</v>
          </cell>
        </row>
        <row r="142">
          <cell r="A142" t="str">
            <v>Yemen</v>
          </cell>
        </row>
        <row r="143">
          <cell r="A143" t="str">
            <v>Afghanistan</v>
          </cell>
        </row>
        <row r="144">
          <cell r="A144" t="str">
            <v>Mauritius</v>
          </cell>
        </row>
        <row r="145">
          <cell r="A145" t="str">
            <v>Tajikistan</v>
          </cell>
        </row>
        <row r="146">
          <cell r="A146" t="str">
            <v>Guatemala</v>
          </cell>
        </row>
        <row r="147">
          <cell r="A147" t="str">
            <v>Tanzania</v>
          </cell>
        </row>
        <row r="148">
          <cell r="A148" t="str">
            <v>Kuwait</v>
          </cell>
        </row>
        <row r="149">
          <cell r="A149" t="str">
            <v>Latvia</v>
          </cell>
        </row>
        <row r="150">
          <cell r="A150" t="str">
            <v>Montenegro</v>
          </cell>
        </row>
        <row r="151">
          <cell r="A151" t="str">
            <v>Kosovo</v>
          </cell>
        </row>
        <row r="152">
          <cell r="A152" t="str">
            <v>RÃ©union</v>
          </cell>
        </row>
        <row r="153">
          <cell r="A153" t="str">
            <v>Azerbaijan</v>
          </cell>
        </row>
        <row r="154">
          <cell r="A154" t="str">
            <v>Ghana</v>
          </cell>
        </row>
        <row r="155">
          <cell r="A155" t="str">
            <v>Laos</v>
          </cell>
        </row>
        <row r="156">
          <cell r="A156" t="str">
            <v>Paraguay</v>
          </cell>
        </row>
        <row r="157">
          <cell r="A157" t="str">
            <v>Zambia</v>
          </cell>
        </row>
        <row r="158">
          <cell r="A158" t="str">
            <v>Georgia</v>
          </cell>
        </row>
        <row r="159">
          <cell r="A159" t="str">
            <v>El Salvador</v>
          </cell>
        </row>
        <row r="160">
          <cell r="A160" t="str">
            <v>Libya</v>
          </cell>
        </row>
        <row r="161">
          <cell r="A161" t="str">
            <v>Nicaragua</v>
          </cell>
        </row>
        <row r="162">
          <cell r="A162" t="str">
            <v>Panama</v>
          </cell>
        </row>
        <row r="163">
          <cell r="A163" t="str">
            <v>Albania</v>
          </cell>
        </row>
        <row r="164">
          <cell r="A164" t="str">
            <v>Honduras</v>
          </cell>
        </row>
        <row r="165">
          <cell r="A165" t="str">
            <v>Kyrgyzstan</v>
          </cell>
        </row>
        <row r="166">
          <cell r="A166" t="str">
            <v>CÃ´te dâ€™Ivoire</v>
          </cell>
        </row>
        <row r="167">
          <cell r="A167" t="str">
            <v>Uzbekistan</v>
          </cell>
        </row>
        <row r="168">
          <cell r="A168" t="str">
            <v>Dominican Republic</v>
          </cell>
        </row>
        <row r="169">
          <cell r="A169" t="str">
            <v>Puerto Rico</v>
          </cell>
        </row>
        <row r="170">
          <cell r="A170" t="str">
            <v>Venezuela</v>
          </cell>
        </row>
        <row r="171">
          <cell r="A171" t="str">
            <v>Aruba</v>
          </cell>
        </row>
        <row r="172">
          <cell r="A172" t="str">
            <v>Anguilla</v>
          </cell>
        </row>
        <row r="173">
          <cell r="A173" t="str">
            <v>Andorra</v>
          </cell>
        </row>
        <row r="174">
          <cell r="A174" t="str">
            <v>American Samoa</v>
          </cell>
        </row>
        <row r="175">
          <cell r="A175" t="str">
            <v>Antarctica</v>
          </cell>
        </row>
        <row r="176">
          <cell r="A176" t="str">
            <v>French Southern Territories</v>
          </cell>
        </row>
        <row r="177">
          <cell r="A177" t="str">
            <v>Antigua &amp; Barbuda</v>
          </cell>
        </row>
        <row r="178">
          <cell r="A178" t="str">
            <v>Burundi</v>
          </cell>
        </row>
        <row r="179">
          <cell r="A179" t="str">
            <v>Caribbean Netherlands</v>
          </cell>
        </row>
        <row r="180">
          <cell r="A180" t="str">
            <v>St. BarthÃ©lemy</v>
          </cell>
        </row>
        <row r="181">
          <cell r="A181" t="str">
            <v>Bermuda</v>
          </cell>
        </row>
        <row r="182">
          <cell r="A182" t="str">
            <v>Barbados</v>
          </cell>
        </row>
        <row r="183">
          <cell r="A183" t="str">
            <v>Bouvet Island</v>
          </cell>
        </row>
        <row r="184">
          <cell r="A184" t="str">
            <v>Central African Republic</v>
          </cell>
        </row>
        <row r="185">
          <cell r="A185" t="str">
            <v>Cocos (Keeling) Islands</v>
          </cell>
        </row>
        <row r="186">
          <cell r="A186" t="str">
            <v>Congo - Brazzaville</v>
          </cell>
        </row>
        <row r="187">
          <cell r="A187" t="str">
            <v>Cook Islands</v>
          </cell>
        </row>
        <row r="188">
          <cell r="A188" t="str">
            <v>Comoros</v>
          </cell>
        </row>
        <row r="189">
          <cell r="A189" t="str">
            <v>Cape Verde</v>
          </cell>
        </row>
        <row r="190">
          <cell r="A190" t="str">
            <v>CuraÃ§ao</v>
          </cell>
        </row>
        <row r="191">
          <cell r="A191" t="str">
            <v>Christmas Island</v>
          </cell>
        </row>
        <row r="192">
          <cell r="A192" t="str">
            <v>Cayman Islands</v>
          </cell>
        </row>
        <row r="193">
          <cell r="A193" t="str">
            <v>Djibouti</v>
          </cell>
        </row>
        <row r="194">
          <cell r="A194" t="str">
            <v>Dominica</v>
          </cell>
        </row>
        <row r="195">
          <cell r="A195" t="str">
            <v>Eritrea</v>
          </cell>
        </row>
        <row r="196">
          <cell r="A196" t="str">
            <v>Western Sahara</v>
          </cell>
        </row>
        <row r="197">
          <cell r="A197" t="str">
            <v>Falkland Islands (Islas Malvinas)</v>
          </cell>
        </row>
        <row r="198">
          <cell r="A198" t="str">
            <v>Faroe Islands</v>
          </cell>
        </row>
        <row r="199">
          <cell r="A199" t="str">
            <v>Micronesia</v>
          </cell>
        </row>
        <row r="200">
          <cell r="A200" t="str">
            <v>Guernsey</v>
          </cell>
        </row>
        <row r="201">
          <cell r="A201" t="str">
            <v>Guinea-Bissau</v>
          </cell>
        </row>
        <row r="202">
          <cell r="A202" t="str">
            <v>Equatorial Guinea</v>
          </cell>
        </row>
        <row r="203">
          <cell r="A203" t="str">
            <v>Grenada</v>
          </cell>
        </row>
        <row r="204">
          <cell r="A204" t="str">
            <v>Greenland</v>
          </cell>
        </row>
        <row r="205">
          <cell r="A205" t="str">
            <v>French Guiana</v>
          </cell>
        </row>
        <row r="206">
          <cell r="A206" t="str">
            <v>Guam</v>
          </cell>
        </row>
        <row r="207">
          <cell r="A207" t="str">
            <v>Heard &amp; McDonald Islands</v>
          </cell>
        </row>
        <row r="208">
          <cell r="A208" t="str">
            <v>Haiti</v>
          </cell>
        </row>
        <row r="209">
          <cell r="A209" t="str">
            <v>British Indian Ocean Territory</v>
          </cell>
        </row>
        <row r="210">
          <cell r="A210" t="str">
            <v>Kiribati</v>
          </cell>
        </row>
        <row r="211">
          <cell r="A211" t="str">
            <v>St. Kitts &amp; Nevis</v>
          </cell>
        </row>
        <row r="212">
          <cell r="A212" t="str">
            <v>Liberia</v>
          </cell>
        </row>
        <row r="213">
          <cell r="A213" t="str">
            <v>Lesotho</v>
          </cell>
        </row>
        <row r="214">
          <cell r="A214" t="str">
            <v>St. Martin</v>
          </cell>
        </row>
        <row r="215">
          <cell r="A215" t="str">
            <v>Monaco</v>
          </cell>
        </row>
        <row r="216">
          <cell r="A216" t="str">
            <v>Marshall Islands</v>
          </cell>
        </row>
        <row r="217">
          <cell r="A217" t="str">
            <v>Mali</v>
          </cell>
        </row>
        <row r="218">
          <cell r="A218" t="str">
            <v>Northern Mariana Islands</v>
          </cell>
        </row>
        <row r="219">
          <cell r="A219" t="str">
            <v>Mozambique</v>
          </cell>
        </row>
        <row r="220">
          <cell r="A220" t="str">
            <v>Montserrat</v>
          </cell>
        </row>
        <row r="221">
          <cell r="A221" t="str">
            <v>Mayotte</v>
          </cell>
        </row>
        <row r="222">
          <cell r="A222" t="str">
            <v>New Caledonia</v>
          </cell>
        </row>
        <row r="223">
          <cell r="A223" t="str">
            <v>Niger</v>
          </cell>
        </row>
        <row r="224">
          <cell r="A224" t="str">
            <v>Norfolk Island</v>
          </cell>
        </row>
        <row r="225">
          <cell r="A225" t="str">
            <v>Niue</v>
          </cell>
        </row>
        <row r="226">
          <cell r="A226" t="str">
            <v>Nauru</v>
          </cell>
        </row>
        <row r="227">
          <cell r="A227" t="str">
            <v>Pitcairn Islands</v>
          </cell>
        </row>
        <row r="228">
          <cell r="A228" t="str">
            <v>Palau</v>
          </cell>
        </row>
        <row r="229">
          <cell r="A229" t="str">
            <v>Papua New Guinea</v>
          </cell>
        </row>
        <row r="230">
          <cell r="A230" t="str">
            <v>North Korea</v>
          </cell>
        </row>
        <row r="231">
          <cell r="A231" t="str">
            <v>French Polynesia</v>
          </cell>
        </row>
        <row r="232">
          <cell r="A232" t="str">
            <v>South Georgia &amp; South Sandwich Islands</v>
          </cell>
        </row>
        <row r="233">
          <cell r="A233" t="str">
            <v>Svalbard &amp; Jan Mayen</v>
          </cell>
        </row>
        <row r="234">
          <cell r="A234" t="str">
            <v>Solomon Islands</v>
          </cell>
        </row>
        <row r="235">
          <cell r="A235" t="str">
            <v>Sierra Leone</v>
          </cell>
        </row>
        <row r="236">
          <cell r="A236" t="str">
            <v>San Marino</v>
          </cell>
        </row>
        <row r="237">
          <cell r="A237" t="str">
            <v>Somalia</v>
          </cell>
        </row>
        <row r="238">
          <cell r="A238" t="str">
            <v>St. Pierre &amp; Miquelon</v>
          </cell>
        </row>
        <row r="239">
          <cell r="A239" t="str">
            <v>Sint Maarten</v>
          </cell>
        </row>
        <row r="240">
          <cell r="A240" t="str">
            <v>Seychelles</v>
          </cell>
        </row>
        <row r="241">
          <cell r="A241" t="str">
            <v>Chad</v>
          </cell>
        </row>
        <row r="242">
          <cell r="A242" t="str">
            <v>Togo</v>
          </cell>
        </row>
        <row r="243">
          <cell r="A243" t="str">
            <v>Tokelau</v>
          </cell>
        </row>
        <row r="244">
          <cell r="A244" t="str">
            <v>Turkmenistan</v>
          </cell>
        </row>
        <row r="245">
          <cell r="A245" t="str">
            <v>Timor-Leste</v>
          </cell>
        </row>
        <row r="246">
          <cell r="A246" t="str">
            <v>Tonga</v>
          </cell>
        </row>
        <row r="247">
          <cell r="A247" t="str">
            <v>Tuvalu</v>
          </cell>
        </row>
        <row r="248">
          <cell r="A248" t="str">
            <v>U.S. Outlying Islands</v>
          </cell>
        </row>
        <row r="249">
          <cell r="A249" t="str">
            <v>Vatican City</v>
          </cell>
        </row>
        <row r="250">
          <cell r="A250" t="str">
            <v>St. Vincent &amp; Grenadines</v>
          </cell>
        </row>
        <row r="251">
          <cell r="A251" t="str">
            <v>British Virgin Islands</v>
          </cell>
        </row>
        <row r="252">
          <cell r="A252" t="str">
            <v>Vanuatu</v>
          </cell>
        </row>
        <row r="253">
          <cell r="A253" t="str">
            <v>Wallis &amp; Futuna</v>
          </cell>
        </row>
      </sheetData>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26)"/>
    </sheetNames>
    <sheetDataSet>
      <sheetData sheetId="0" refreshError="1">
        <row r="1">
          <cell r="A1" t="str">
            <v>Kategori: TÃ¼m kategoriler</v>
          </cell>
        </row>
        <row r="3">
          <cell r="A3" t="str">
            <v>Ãœlke</v>
          </cell>
          <cell r="B3" t="str">
            <v>Semaphore: (2018)</v>
          </cell>
          <cell r="C3" t="str">
            <v>Segmentation fault: (2018)</v>
          </cell>
        </row>
        <row r="4">
          <cell r="A4" t="str">
            <v>China</v>
          </cell>
          <cell r="B4">
            <v>0.34</v>
          </cell>
          <cell r="C4">
            <v>0.66</v>
          </cell>
        </row>
        <row r="5">
          <cell r="A5" t="str">
            <v>Australia</v>
          </cell>
          <cell r="B5">
            <v>0.88</v>
          </cell>
          <cell r="C5">
            <v>0.12</v>
          </cell>
        </row>
        <row r="6">
          <cell r="A6" t="str">
            <v>South Korea</v>
          </cell>
          <cell r="B6">
            <v>0.41</v>
          </cell>
          <cell r="C6">
            <v>0.59</v>
          </cell>
        </row>
        <row r="7">
          <cell r="A7" t="str">
            <v>Fiji</v>
          </cell>
        </row>
        <row r="8">
          <cell r="A8" t="str">
            <v>St. Helena</v>
          </cell>
          <cell r="B8">
            <v>0.4</v>
          </cell>
          <cell r="C8">
            <v>0.6</v>
          </cell>
        </row>
        <row r="9">
          <cell r="A9" t="str">
            <v>Slovakia</v>
          </cell>
          <cell r="B9">
            <v>0.77</v>
          </cell>
          <cell r="C9">
            <v>0.23</v>
          </cell>
        </row>
        <row r="10">
          <cell r="A10" t="str">
            <v>France</v>
          </cell>
          <cell r="B10">
            <v>0.75</v>
          </cell>
          <cell r="C10">
            <v>0.25</v>
          </cell>
        </row>
        <row r="11">
          <cell r="A11" t="str">
            <v>Israel</v>
          </cell>
          <cell r="B11">
            <v>0.52</v>
          </cell>
          <cell r="C11">
            <v>0.48</v>
          </cell>
        </row>
        <row r="12">
          <cell r="A12" t="str">
            <v>India</v>
          </cell>
          <cell r="B12">
            <v>0.67</v>
          </cell>
          <cell r="C12">
            <v>0.33</v>
          </cell>
        </row>
        <row r="13">
          <cell r="A13" t="str">
            <v>Singapore</v>
          </cell>
          <cell r="B13">
            <v>0.45</v>
          </cell>
          <cell r="C13">
            <v>0.55000000000000004</v>
          </cell>
        </row>
        <row r="14">
          <cell r="A14" t="str">
            <v>Finland</v>
          </cell>
          <cell r="B14">
            <v>0.28999999999999998</v>
          </cell>
          <cell r="C14">
            <v>0.71</v>
          </cell>
        </row>
        <row r="15">
          <cell r="A15" t="str">
            <v>Estonia</v>
          </cell>
          <cell r="C15">
            <v>1</v>
          </cell>
        </row>
        <row r="16">
          <cell r="A16" t="str">
            <v>Ethiopia</v>
          </cell>
        </row>
        <row r="17">
          <cell r="A17" t="str">
            <v>Austria</v>
          </cell>
          <cell r="B17">
            <v>0.35</v>
          </cell>
          <cell r="C17">
            <v>0.65</v>
          </cell>
        </row>
        <row r="18">
          <cell r="A18" t="str">
            <v>Tunisia</v>
          </cell>
          <cell r="B18">
            <v>0.64</v>
          </cell>
          <cell r="C18">
            <v>0.36</v>
          </cell>
        </row>
        <row r="19">
          <cell r="A19" t="str">
            <v>Germany</v>
          </cell>
          <cell r="B19">
            <v>0.37</v>
          </cell>
          <cell r="C19">
            <v>0.63</v>
          </cell>
        </row>
        <row r="20">
          <cell r="A20" t="str">
            <v>Slovenia</v>
          </cell>
        </row>
        <row r="21">
          <cell r="A21" t="str">
            <v>Switzerland</v>
          </cell>
          <cell r="B21">
            <v>0.52</v>
          </cell>
          <cell r="C21">
            <v>0.48</v>
          </cell>
        </row>
        <row r="22">
          <cell r="A22" t="str">
            <v>Senegal</v>
          </cell>
        </row>
        <row r="23">
          <cell r="A23" t="str">
            <v>Czechia</v>
          </cell>
          <cell r="B23">
            <v>0.37</v>
          </cell>
          <cell r="C23">
            <v>0.63</v>
          </cell>
        </row>
        <row r="24">
          <cell r="A24" t="str">
            <v>Zimbabwe</v>
          </cell>
        </row>
        <row r="25">
          <cell r="A25" t="str">
            <v>Sweden</v>
          </cell>
          <cell r="B25">
            <v>0.39</v>
          </cell>
          <cell r="C25">
            <v>0.61</v>
          </cell>
        </row>
        <row r="26">
          <cell r="A26" t="str">
            <v>Taiwan</v>
          </cell>
          <cell r="B26">
            <v>0.51</v>
          </cell>
          <cell r="C26">
            <v>0.49</v>
          </cell>
        </row>
        <row r="27">
          <cell r="A27" t="str">
            <v>Botswana</v>
          </cell>
        </row>
        <row r="28">
          <cell r="A28" t="str">
            <v>North Macedonia</v>
          </cell>
        </row>
        <row r="29">
          <cell r="A29" t="str">
            <v>Canada</v>
          </cell>
          <cell r="B29">
            <v>0.45</v>
          </cell>
          <cell r="C29">
            <v>0.55000000000000004</v>
          </cell>
        </row>
        <row r="30">
          <cell r="A30" t="str">
            <v>Cyprus</v>
          </cell>
        </row>
        <row r="31">
          <cell r="A31" t="str">
            <v>Belgium</v>
          </cell>
          <cell r="B31">
            <v>0.59</v>
          </cell>
          <cell r="C31">
            <v>0.41</v>
          </cell>
        </row>
        <row r="32">
          <cell r="A32" t="str">
            <v>Lebanon</v>
          </cell>
          <cell r="B32">
            <v>1</v>
          </cell>
        </row>
        <row r="33">
          <cell r="A33" t="str">
            <v>New Zealand</v>
          </cell>
          <cell r="B33">
            <v>0.43</v>
          </cell>
          <cell r="C33">
            <v>0.56999999999999995</v>
          </cell>
        </row>
        <row r="34">
          <cell r="A34" t="str">
            <v>Moldova</v>
          </cell>
        </row>
        <row r="35">
          <cell r="A35" t="str">
            <v>Hong Kong</v>
          </cell>
          <cell r="B35">
            <v>0.42</v>
          </cell>
          <cell r="C35">
            <v>0.57999999999999996</v>
          </cell>
        </row>
        <row r="36">
          <cell r="A36" t="str">
            <v>Norway</v>
          </cell>
          <cell r="B36">
            <v>0.37</v>
          </cell>
          <cell r="C36">
            <v>0.63</v>
          </cell>
        </row>
        <row r="37">
          <cell r="A37" t="str">
            <v>Netherlands</v>
          </cell>
          <cell r="B37">
            <v>0.35</v>
          </cell>
          <cell r="C37">
            <v>0.65</v>
          </cell>
        </row>
        <row r="38">
          <cell r="A38" t="str">
            <v>Algeria</v>
          </cell>
          <cell r="B38">
            <v>0.74</v>
          </cell>
          <cell r="C38">
            <v>0.26</v>
          </cell>
        </row>
        <row r="39">
          <cell r="A39" t="str">
            <v>United States</v>
          </cell>
          <cell r="B39">
            <v>0.46</v>
          </cell>
          <cell r="C39">
            <v>0.54</v>
          </cell>
        </row>
        <row r="40">
          <cell r="A40" t="str">
            <v>Pakistan</v>
          </cell>
          <cell r="B40">
            <v>0.68</v>
          </cell>
          <cell r="C40">
            <v>0.32</v>
          </cell>
        </row>
        <row r="41">
          <cell r="A41" t="str">
            <v>Russia</v>
          </cell>
          <cell r="B41">
            <v>0.34</v>
          </cell>
          <cell r="C41">
            <v>0.66</v>
          </cell>
        </row>
        <row r="42">
          <cell r="A42" t="str">
            <v>Bulgaria</v>
          </cell>
        </row>
        <row r="43">
          <cell r="A43" t="str">
            <v>Poland</v>
          </cell>
          <cell r="B43">
            <v>0.31</v>
          </cell>
          <cell r="C43">
            <v>0.69</v>
          </cell>
        </row>
        <row r="44">
          <cell r="A44" t="str">
            <v>Ireland</v>
          </cell>
          <cell r="B44">
            <v>0.54</v>
          </cell>
          <cell r="C44">
            <v>0.46</v>
          </cell>
        </row>
        <row r="45">
          <cell r="A45" t="str">
            <v>Bosnia &amp; Herzegovina</v>
          </cell>
        </row>
        <row r="46">
          <cell r="A46" t="str">
            <v>Belarus</v>
          </cell>
          <cell r="B46">
            <v>0.46</v>
          </cell>
          <cell r="C46">
            <v>0.54</v>
          </cell>
        </row>
        <row r="47">
          <cell r="A47" t="str">
            <v>Kenya</v>
          </cell>
          <cell r="B47">
            <v>1</v>
          </cell>
        </row>
        <row r="48">
          <cell r="A48" t="str">
            <v>Japan</v>
          </cell>
          <cell r="B48">
            <v>0.47</v>
          </cell>
          <cell r="C48">
            <v>0.53</v>
          </cell>
        </row>
        <row r="49">
          <cell r="A49" t="str">
            <v>Romania</v>
          </cell>
          <cell r="B49">
            <v>0.34</v>
          </cell>
          <cell r="C49">
            <v>0.66</v>
          </cell>
        </row>
        <row r="50">
          <cell r="A50" t="str">
            <v>Hungary</v>
          </cell>
          <cell r="B50">
            <v>0.5</v>
          </cell>
          <cell r="C50">
            <v>0.5</v>
          </cell>
        </row>
        <row r="51">
          <cell r="A51" t="str">
            <v>United Kingdom</v>
          </cell>
          <cell r="B51">
            <v>0.53</v>
          </cell>
          <cell r="C51">
            <v>0.47</v>
          </cell>
        </row>
        <row r="52">
          <cell r="A52" t="str">
            <v>Serbia</v>
          </cell>
          <cell r="B52">
            <v>0.51</v>
          </cell>
          <cell r="C52">
            <v>0.49</v>
          </cell>
        </row>
        <row r="53">
          <cell r="A53" t="str">
            <v>Sri Lanka</v>
          </cell>
        </row>
        <row r="54">
          <cell r="A54" t="str">
            <v>Portugal</v>
          </cell>
          <cell r="B54">
            <v>0.42</v>
          </cell>
          <cell r="C54">
            <v>0.57999999999999996</v>
          </cell>
        </row>
        <row r="55">
          <cell r="A55" t="str">
            <v>Qatar</v>
          </cell>
        </row>
        <row r="56">
          <cell r="A56" t="str">
            <v>Denmark</v>
          </cell>
          <cell r="B56">
            <v>0.46</v>
          </cell>
          <cell r="C56">
            <v>0.54</v>
          </cell>
        </row>
        <row r="57">
          <cell r="A57" t="str">
            <v>South Africa</v>
          </cell>
          <cell r="B57">
            <v>0.42</v>
          </cell>
          <cell r="C57">
            <v>0.57999999999999996</v>
          </cell>
        </row>
        <row r="58">
          <cell r="A58" t="str">
            <v>Philippines</v>
          </cell>
          <cell r="B58">
            <v>0.52</v>
          </cell>
          <cell r="C58">
            <v>0.48</v>
          </cell>
        </row>
        <row r="59">
          <cell r="A59" t="str">
            <v>Ukraine</v>
          </cell>
          <cell r="B59">
            <v>0.37</v>
          </cell>
          <cell r="C59">
            <v>0.63</v>
          </cell>
        </row>
        <row r="60">
          <cell r="A60" t="str">
            <v>Croatia</v>
          </cell>
          <cell r="B60">
            <v>0.42</v>
          </cell>
          <cell r="C60">
            <v>0.57999999999999996</v>
          </cell>
        </row>
        <row r="61">
          <cell r="A61" t="str">
            <v>Latvia</v>
          </cell>
        </row>
        <row r="62">
          <cell r="A62" t="str">
            <v>Greece</v>
          </cell>
          <cell r="B62">
            <v>0.53</v>
          </cell>
          <cell r="C62">
            <v>0.47</v>
          </cell>
        </row>
        <row r="63">
          <cell r="A63" t="str">
            <v>Kazakhstan</v>
          </cell>
          <cell r="B63">
            <v>0.42</v>
          </cell>
          <cell r="C63">
            <v>0.57999999999999996</v>
          </cell>
        </row>
        <row r="64">
          <cell r="A64" t="str">
            <v>Oman</v>
          </cell>
        </row>
        <row r="65">
          <cell r="A65" t="str">
            <v>Lithuania</v>
          </cell>
        </row>
        <row r="66">
          <cell r="A66" t="str">
            <v>Italy</v>
          </cell>
          <cell r="B66">
            <v>0.38</v>
          </cell>
          <cell r="C66">
            <v>0.62</v>
          </cell>
        </row>
        <row r="67">
          <cell r="A67" t="str">
            <v>United Arab Emirates</v>
          </cell>
          <cell r="B67">
            <v>0.44</v>
          </cell>
          <cell r="C67">
            <v>0.56000000000000005</v>
          </cell>
        </row>
        <row r="68">
          <cell r="A68" t="str">
            <v>Spain</v>
          </cell>
          <cell r="B68">
            <v>0.38</v>
          </cell>
          <cell r="C68">
            <v>0.62</v>
          </cell>
        </row>
        <row r="69">
          <cell r="A69" t="str">
            <v>Mexico</v>
          </cell>
          <cell r="B69">
            <v>0.21</v>
          </cell>
          <cell r="C69">
            <v>0.79</v>
          </cell>
        </row>
        <row r="70">
          <cell r="A70" t="str">
            <v>Bangladesh</v>
          </cell>
          <cell r="B70">
            <v>0.52</v>
          </cell>
          <cell r="C70">
            <v>0.48</v>
          </cell>
        </row>
        <row r="71">
          <cell r="A71" t="str">
            <v>Morocco</v>
          </cell>
          <cell r="B71">
            <v>0.56999999999999995</v>
          </cell>
          <cell r="C71">
            <v>0.43</v>
          </cell>
        </row>
        <row r="72">
          <cell r="A72" t="str">
            <v>Palestine</v>
          </cell>
        </row>
        <row r="73">
          <cell r="A73" t="str">
            <v>Malaysia</v>
          </cell>
          <cell r="B73">
            <v>0.49</v>
          </cell>
          <cell r="C73">
            <v>0.51</v>
          </cell>
        </row>
        <row r="74">
          <cell r="A74" t="str">
            <v>Jordan</v>
          </cell>
        </row>
        <row r="75">
          <cell r="A75" t="str">
            <v>Egypt</v>
          </cell>
          <cell r="B75">
            <v>0.49</v>
          </cell>
          <cell r="C75">
            <v>0.51</v>
          </cell>
        </row>
        <row r="76">
          <cell r="A76" t="str">
            <v>Costa Rica</v>
          </cell>
        </row>
        <row r="77">
          <cell r="A77" t="str">
            <v>Indonesia</v>
          </cell>
          <cell r="B77">
            <v>0.57999999999999996</v>
          </cell>
          <cell r="C77">
            <v>0.42</v>
          </cell>
        </row>
        <row r="78">
          <cell r="A78" t="str">
            <v>Vietnam</v>
          </cell>
          <cell r="B78">
            <v>0.51</v>
          </cell>
          <cell r="C78">
            <v>0.49</v>
          </cell>
        </row>
        <row r="79">
          <cell r="A79" t="str">
            <v>Brazil</v>
          </cell>
          <cell r="B79">
            <v>0.23</v>
          </cell>
          <cell r="C79">
            <v>0.77</v>
          </cell>
        </row>
        <row r="80">
          <cell r="A80" t="str">
            <v>Chile</v>
          </cell>
        </row>
        <row r="81">
          <cell r="A81" t="str">
            <v>Sudan</v>
          </cell>
        </row>
        <row r="82">
          <cell r="A82" t="str">
            <v>Argentina</v>
          </cell>
          <cell r="B82">
            <v>0.37</v>
          </cell>
          <cell r="C82">
            <v>0.63</v>
          </cell>
        </row>
        <row r="83">
          <cell r="A83" t="str">
            <v>Iran</v>
          </cell>
          <cell r="B83">
            <v>0.42</v>
          </cell>
          <cell r="C83">
            <v>0.57999999999999996</v>
          </cell>
        </row>
        <row r="84">
          <cell r="A84" t="str">
            <v>Uruguay</v>
          </cell>
        </row>
        <row r="85">
          <cell r="A85" t="str">
            <v>Thailand</v>
          </cell>
          <cell r="B85">
            <v>0.34</v>
          </cell>
          <cell r="C85">
            <v>0.66</v>
          </cell>
        </row>
        <row r="86">
          <cell r="A86" t="str">
            <v>Nigeria</v>
          </cell>
        </row>
        <row r="87">
          <cell r="A87" t="str">
            <v>Turkey</v>
          </cell>
          <cell r="B87">
            <v>0.4</v>
          </cell>
          <cell r="C87">
            <v>0.6</v>
          </cell>
        </row>
        <row r="88">
          <cell r="A88" t="str">
            <v>Peru</v>
          </cell>
        </row>
        <row r="89">
          <cell r="A89" t="str">
            <v>Colombia</v>
          </cell>
          <cell r="B89">
            <v>0.3</v>
          </cell>
          <cell r="C89">
            <v>0.7</v>
          </cell>
        </row>
        <row r="90">
          <cell r="A90" t="str">
            <v>Ecuador</v>
          </cell>
        </row>
        <row r="91">
          <cell r="A91" t="str">
            <v>Saudi Arabia</v>
          </cell>
          <cell r="B91">
            <v>0.48</v>
          </cell>
          <cell r="C91">
            <v>0.52</v>
          </cell>
        </row>
        <row r="92">
          <cell r="A92" t="str">
            <v>Venezuela</v>
          </cell>
        </row>
        <row r="93">
          <cell r="A93" t="str">
            <v>Vanuatu</v>
          </cell>
        </row>
        <row r="94">
          <cell r="A94" t="str">
            <v>St. Kitts &amp; Nevis</v>
          </cell>
        </row>
        <row r="95">
          <cell r="A95" t="str">
            <v>Grenada</v>
          </cell>
        </row>
        <row r="96">
          <cell r="A96" t="str">
            <v>Gambia</v>
          </cell>
        </row>
        <row r="97">
          <cell r="A97" t="str">
            <v>St. Lucia</v>
          </cell>
        </row>
        <row r="98">
          <cell r="A98" t="str">
            <v>New Caledonia</v>
          </cell>
        </row>
        <row r="99">
          <cell r="A99" t="str">
            <v>Guernsey</v>
          </cell>
        </row>
        <row r="100">
          <cell r="A100" t="str">
            <v>Guadeloupe</v>
          </cell>
        </row>
        <row r="101">
          <cell r="A101" t="str">
            <v>Cape Verde</v>
          </cell>
        </row>
        <row r="102">
          <cell r="A102" t="str">
            <v>Suriname</v>
          </cell>
        </row>
        <row r="103">
          <cell r="A103" t="str">
            <v>Congo - Brazzaville</v>
          </cell>
        </row>
        <row r="104">
          <cell r="A104" t="str">
            <v>Malta</v>
          </cell>
        </row>
        <row r="105">
          <cell r="A105" t="str">
            <v>RÃ©union</v>
          </cell>
        </row>
        <row r="106">
          <cell r="A106" t="str">
            <v>Jersey</v>
          </cell>
        </row>
        <row r="107">
          <cell r="A107" t="str">
            <v>French Guiana</v>
          </cell>
        </row>
        <row r="108">
          <cell r="A108" t="str">
            <v>Luxembourg</v>
          </cell>
        </row>
        <row r="109">
          <cell r="A109" t="str">
            <v>Bahamas</v>
          </cell>
        </row>
        <row r="110">
          <cell r="A110" t="str">
            <v>Congo - Kinshasa</v>
          </cell>
        </row>
        <row r="111">
          <cell r="A111" t="str">
            <v>Malawi</v>
          </cell>
        </row>
        <row r="112">
          <cell r="A112" t="str">
            <v>Guam</v>
          </cell>
        </row>
        <row r="113">
          <cell r="A113" t="str">
            <v>Namibia</v>
          </cell>
        </row>
        <row r="114">
          <cell r="A114" t="str">
            <v>Guyana</v>
          </cell>
        </row>
        <row r="115">
          <cell r="A115" t="str">
            <v>Haiti</v>
          </cell>
        </row>
        <row r="116">
          <cell r="A116" t="str">
            <v>Cuba</v>
          </cell>
        </row>
        <row r="117">
          <cell r="A117" t="str">
            <v>Mauritius</v>
          </cell>
        </row>
        <row r="118">
          <cell r="A118" t="str">
            <v>Madagascar</v>
          </cell>
        </row>
        <row r="119">
          <cell r="A119" t="str">
            <v>Benin</v>
          </cell>
        </row>
        <row r="120">
          <cell r="A120" t="str">
            <v>Somalia</v>
          </cell>
        </row>
        <row r="121">
          <cell r="A121" t="str">
            <v>Macao</v>
          </cell>
        </row>
        <row r="122">
          <cell r="A122" t="str">
            <v>Rwanda</v>
          </cell>
        </row>
        <row r="123">
          <cell r="A123" t="str">
            <v>Armenia</v>
          </cell>
        </row>
        <row r="124">
          <cell r="A124" t="str">
            <v>Trinidad &amp; Tobago</v>
          </cell>
        </row>
        <row r="125">
          <cell r="A125" t="str">
            <v>Mali</v>
          </cell>
        </row>
        <row r="126">
          <cell r="A126" t="str">
            <v>Nepal</v>
          </cell>
        </row>
        <row r="127">
          <cell r="A127" t="str">
            <v>Martinique</v>
          </cell>
        </row>
        <row r="128">
          <cell r="A128" t="str">
            <v>Albania</v>
          </cell>
        </row>
        <row r="129">
          <cell r="A129" t="str">
            <v>CÃ´te dâ€™Ivoire</v>
          </cell>
        </row>
        <row r="130">
          <cell r="A130" t="str">
            <v>Ghana</v>
          </cell>
        </row>
        <row r="131">
          <cell r="A131" t="str">
            <v>Cameroon</v>
          </cell>
        </row>
        <row r="132">
          <cell r="A132" t="str">
            <v>Brunei</v>
          </cell>
        </row>
        <row r="133">
          <cell r="A133" t="str">
            <v>Myanmar (Burma)</v>
          </cell>
        </row>
        <row r="134">
          <cell r="A134" t="str">
            <v>Afghanistan</v>
          </cell>
        </row>
        <row r="135">
          <cell r="A135" t="str">
            <v>Jamaica</v>
          </cell>
        </row>
        <row r="136">
          <cell r="A136" t="str">
            <v>Puerto Rico</v>
          </cell>
        </row>
        <row r="137">
          <cell r="A137" t="str">
            <v>Uganda</v>
          </cell>
        </row>
        <row r="138">
          <cell r="A138" t="str">
            <v>Angola</v>
          </cell>
        </row>
        <row r="139">
          <cell r="A139" t="str">
            <v>Iceland</v>
          </cell>
        </row>
        <row r="140">
          <cell r="A140" t="str">
            <v>Kosovo</v>
          </cell>
        </row>
        <row r="141">
          <cell r="A141" t="str">
            <v>Laos</v>
          </cell>
        </row>
        <row r="142">
          <cell r="A142" t="str">
            <v>Georgia</v>
          </cell>
        </row>
        <row r="143">
          <cell r="A143" t="str">
            <v>Bahrain</v>
          </cell>
        </row>
        <row r="144">
          <cell r="A144" t="str">
            <v>Libya</v>
          </cell>
        </row>
        <row r="145">
          <cell r="A145" t="str">
            <v>Iraq</v>
          </cell>
        </row>
        <row r="146">
          <cell r="A146" t="str">
            <v>Dominican Republic</v>
          </cell>
        </row>
        <row r="147">
          <cell r="A147" t="str">
            <v>Cambodia</v>
          </cell>
        </row>
        <row r="148">
          <cell r="A148" t="str">
            <v>Paraguay</v>
          </cell>
        </row>
        <row r="149">
          <cell r="A149" t="str">
            <v>Yemen</v>
          </cell>
        </row>
        <row r="150">
          <cell r="A150" t="str">
            <v>Azerbaijan</v>
          </cell>
        </row>
        <row r="151">
          <cell r="A151" t="str">
            <v>Syria</v>
          </cell>
        </row>
        <row r="152">
          <cell r="A152" t="str">
            <v>Bolivia</v>
          </cell>
        </row>
        <row r="153">
          <cell r="A153" t="str">
            <v>Guatemala</v>
          </cell>
        </row>
        <row r="154">
          <cell r="A154" t="str">
            <v>Kuwait</v>
          </cell>
        </row>
        <row r="155">
          <cell r="A155" t="str">
            <v>Tanzania</v>
          </cell>
        </row>
        <row r="156">
          <cell r="A156" t="str">
            <v>Honduras</v>
          </cell>
        </row>
        <row r="157">
          <cell r="A157" t="str">
            <v>El Salvador</v>
          </cell>
        </row>
        <row r="158">
          <cell r="A158" t="str">
            <v>Uzbekistan</v>
          </cell>
        </row>
        <row r="159">
          <cell r="A159" t="str">
            <v>Panama</v>
          </cell>
        </row>
        <row r="160">
          <cell r="A160" t="str">
            <v>Aruba</v>
          </cell>
        </row>
        <row r="161">
          <cell r="A161" t="str">
            <v>Anguilla</v>
          </cell>
        </row>
        <row r="162">
          <cell r="A162" t="str">
            <v>Ã…land Islands</v>
          </cell>
        </row>
        <row r="163">
          <cell r="A163" t="str">
            <v>Andorra</v>
          </cell>
        </row>
        <row r="164">
          <cell r="A164" t="str">
            <v>American Samoa</v>
          </cell>
        </row>
        <row r="165">
          <cell r="A165" t="str">
            <v>Antarctica</v>
          </cell>
        </row>
        <row r="166">
          <cell r="A166" t="str">
            <v>French Southern Territories</v>
          </cell>
        </row>
        <row r="167">
          <cell r="A167" t="str">
            <v>Antigua &amp; Barbuda</v>
          </cell>
        </row>
        <row r="168">
          <cell r="A168" t="str">
            <v>Burundi</v>
          </cell>
        </row>
        <row r="169">
          <cell r="A169" t="str">
            <v>Caribbean Netherlands</v>
          </cell>
        </row>
        <row r="170">
          <cell r="A170" t="str">
            <v>Burkina Faso</v>
          </cell>
        </row>
        <row r="171">
          <cell r="A171" t="str">
            <v>St. BarthÃ©lemy</v>
          </cell>
        </row>
        <row r="172">
          <cell r="A172" t="str">
            <v>Belize</v>
          </cell>
        </row>
        <row r="173">
          <cell r="A173" t="str">
            <v>Bermuda</v>
          </cell>
        </row>
        <row r="174">
          <cell r="A174" t="str">
            <v>Barbados</v>
          </cell>
        </row>
        <row r="175">
          <cell r="A175" t="str">
            <v>Bhutan</v>
          </cell>
        </row>
        <row r="176">
          <cell r="A176" t="str">
            <v>Bouvet Island</v>
          </cell>
        </row>
        <row r="177">
          <cell r="A177" t="str">
            <v>Central African Republic</v>
          </cell>
        </row>
        <row r="178">
          <cell r="A178" t="str">
            <v>Cocos (Keeling) Islands</v>
          </cell>
        </row>
        <row r="179">
          <cell r="A179" t="str">
            <v>Cook Islands</v>
          </cell>
        </row>
        <row r="180">
          <cell r="A180" t="str">
            <v>Comoros</v>
          </cell>
        </row>
        <row r="181">
          <cell r="A181" t="str">
            <v>CuraÃ§ao</v>
          </cell>
        </row>
        <row r="182">
          <cell r="A182" t="str">
            <v>Christmas Island</v>
          </cell>
        </row>
        <row r="183">
          <cell r="A183" t="str">
            <v>Cayman Islands</v>
          </cell>
        </row>
        <row r="184">
          <cell r="A184" t="str">
            <v>Djibouti</v>
          </cell>
        </row>
        <row r="185">
          <cell r="A185" t="str">
            <v>Dominica</v>
          </cell>
        </row>
        <row r="186">
          <cell r="A186" t="str">
            <v>Eritrea</v>
          </cell>
        </row>
        <row r="187">
          <cell r="A187" t="str">
            <v>Western Sahara</v>
          </cell>
        </row>
        <row r="188">
          <cell r="A188" t="str">
            <v>Falkland Islands (Islas Malvinas)</v>
          </cell>
        </row>
        <row r="189">
          <cell r="A189" t="str">
            <v>Faroe Islands</v>
          </cell>
        </row>
        <row r="190">
          <cell r="A190" t="str">
            <v>Micronesia</v>
          </cell>
        </row>
        <row r="191">
          <cell r="A191" t="str">
            <v>Gabon</v>
          </cell>
        </row>
        <row r="192">
          <cell r="A192" t="str">
            <v>Gibraltar</v>
          </cell>
        </row>
        <row r="193">
          <cell r="A193" t="str">
            <v>Guinea</v>
          </cell>
        </row>
        <row r="194">
          <cell r="A194" t="str">
            <v>Guinea-Bissau</v>
          </cell>
        </row>
        <row r="195">
          <cell r="A195" t="str">
            <v>Equatorial Guinea</v>
          </cell>
        </row>
        <row r="196">
          <cell r="A196" t="str">
            <v>Greenland</v>
          </cell>
        </row>
        <row r="197">
          <cell r="A197" t="str">
            <v>Heard &amp; McDonald Islands</v>
          </cell>
        </row>
        <row r="198">
          <cell r="A198" t="str">
            <v>Isle of Man</v>
          </cell>
        </row>
        <row r="199">
          <cell r="A199" t="str">
            <v>British Indian Ocean Territory</v>
          </cell>
        </row>
        <row r="200">
          <cell r="A200" t="str">
            <v>Kyrgyzstan</v>
          </cell>
        </row>
        <row r="201">
          <cell r="A201" t="str">
            <v>Kiribati</v>
          </cell>
        </row>
        <row r="202">
          <cell r="A202" t="str">
            <v>Liberia</v>
          </cell>
        </row>
        <row r="203">
          <cell r="A203" t="str">
            <v>Liechtenstein</v>
          </cell>
        </row>
        <row r="204">
          <cell r="A204" t="str">
            <v>Lesotho</v>
          </cell>
        </row>
        <row r="205">
          <cell r="A205" t="str">
            <v>St. Martin</v>
          </cell>
        </row>
        <row r="206">
          <cell r="A206" t="str">
            <v>Monaco</v>
          </cell>
        </row>
        <row r="207">
          <cell r="A207" t="str">
            <v>Maldives</v>
          </cell>
        </row>
        <row r="208">
          <cell r="A208" t="str">
            <v>Marshall Islands</v>
          </cell>
        </row>
        <row r="209">
          <cell r="A209" t="str">
            <v>Montenegro</v>
          </cell>
        </row>
        <row r="210">
          <cell r="A210" t="str">
            <v>Mongolia</v>
          </cell>
        </row>
        <row r="211">
          <cell r="A211" t="str">
            <v>Northern Mariana Islands</v>
          </cell>
        </row>
        <row r="212">
          <cell r="A212" t="str">
            <v>Mozambique</v>
          </cell>
        </row>
        <row r="213">
          <cell r="A213" t="str">
            <v>Mauritania</v>
          </cell>
        </row>
        <row r="214">
          <cell r="A214" t="str">
            <v>Montserrat</v>
          </cell>
        </row>
        <row r="215">
          <cell r="A215" t="str">
            <v>Mayotte</v>
          </cell>
        </row>
        <row r="216">
          <cell r="A216" t="str">
            <v>Niger</v>
          </cell>
        </row>
        <row r="217">
          <cell r="A217" t="str">
            <v>Norfolk Island</v>
          </cell>
        </row>
        <row r="218">
          <cell r="A218" t="str">
            <v>Nicaragua</v>
          </cell>
        </row>
        <row r="219">
          <cell r="A219" t="str">
            <v>Niue</v>
          </cell>
        </row>
        <row r="220">
          <cell r="A220" t="str">
            <v>Nauru</v>
          </cell>
        </row>
        <row r="221">
          <cell r="A221" t="str">
            <v>Pitcairn Islands</v>
          </cell>
        </row>
        <row r="222">
          <cell r="A222" t="str">
            <v>Palau</v>
          </cell>
        </row>
        <row r="223">
          <cell r="A223" t="str">
            <v>Papua New Guinea</v>
          </cell>
        </row>
        <row r="224">
          <cell r="A224" t="str">
            <v>North Korea</v>
          </cell>
        </row>
        <row r="225">
          <cell r="A225" t="str">
            <v>French Polynesia</v>
          </cell>
        </row>
        <row r="226">
          <cell r="A226" t="str">
            <v>South Georgia &amp; South Sandwich Islands</v>
          </cell>
        </row>
        <row r="227">
          <cell r="A227" t="str">
            <v>Svalbard &amp; Jan Mayen</v>
          </cell>
        </row>
        <row r="228">
          <cell r="A228" t="str">
            <v>Solomon Islands</v>
          </cell>
        </row>
        <row r="229">
          <cell r="A229" t="str">
            <v>Sierra Leone</v>
          </cell>
        </row>
        <row r="230">
          <cell r="A230" t="str">
            <v>San Marino</v>
          </cell>
        </row>
        <row r="231">
          <cell r="A231" t="str">
            <v>St. Pierre &amp; Miquelon</v>
          </cell>
        </row>
        <row r="232">
          <cell r="A232" t="str">
            <v>South Sudan</v>
          </cell>
        </row>
        <row r="233">
          <cell r="A233" t="str">
            <v>SÃ£o TomÃ© &amp; PrÃ­ncipe</v>
          </cell>
        </row>
        <row r="234">
          <cell r="A234" t="str">
            <v>Eswatini</v>
          </cell>
        </row>
        <row r="235">
          <cell r="A235" t="str">
            <v>Sint Maarten</v>
          </cell>
        </row>
        <row r="236">
          <cell r="A236" t="str">
            <v>Seychelles</v>
          </cell>
        </row>
        <row r="237">
          <cell r="A237" t="str">
            <v>Turks &amp; Caicos Islands</v>
          </cell>
        </row>
        <row r="238">
          <cell r="A238" t="str">
            <v>Chad</v>
          </cell>
        </row>
        <row r="239">
          <cell r="A239" t="str">
            <v>Togo</v>
          </cell>
        </row>
        <row r="240">
          <cell r="A240" t="str">
            <v>Tajikistan</v>
          </cell>
        </row>
        <row r="241">
          <cell r="A241" t="str">
            <v>Tokelau</v>
          </cell>
        </row>
        <row r="242">
          <cell r="A242" t="str">
            <v>Turkmenistan</v>
          </cell>
        </row>
        <row r="243">
          <cell r="A243" t="str">
            <v>Timor-Leste</v>
          </cell>
        </row>
        <row r="244">
          <cell r="A244" t="str">
            <v>Tonga</v>
          </cell>
        </row>
        <row r="245">
          <cell r="A245" t="str">
            <v>Tuvalu</v>
          </cell>
        </row>
        <row r="246">
          <cell r="A246" t="str">
            <v>U.S. Outlying Islands</v>
          </cell>
        </row>
        <row r="247">
          <cell r="A247" t="str">
            <v>Vatican City</v>
          </cell>
        </row>
        <row r="248">
          <cell r="A248" t="str">
            <v>St. Vincent &amp; Grenadines</v>
          </cell>
        </row>
        <row r="249">
          <cell r="A249" t="str">
            <v>British Virgin Islands</v>
          </cell>
        </row>
        <row r="250">
          <cell r="A250" t="str">
            <v>U.S. Virgin Islands</v>
          </cell>
        </row>
        <row r="251">
          <cell r="A251" t="str">
            <v>Wallis &amp; Futuna</v>
          </cell>
        </row>
        <row r="252">
          <cell r="A252" t="str">
            <v>Samoa</v>
          </cell>
        </row>
        <row r="253">
          <cell r="A253" t="str">
            <v>Zambia</v>
          </cell>
        </row>
      </sheetData>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27)"/>
    </sheetNames>
    <sheetDataSet>
      <sheetData sheetId="0" refreshError="1">
        <row r="1">
          <cell r="A1" t="str">
            <v>Kategori: TÃ¼m kategoriler</v>
          </cell>
        </row>
        <row r="3">
          <cell r="A3" t="str">
            <v>Ãœlke</v>
          </cell>
          <cell r="B3" t="str">
            <v>Segmentation fault: (2018)</v>
          </cell>
          <cell r="C3" t="str">
            <v>Bilgisayarla GÃ¶rÃ¼: (2018)</v>
          </cell>
        </row>
        <row r="4">
          <cell r="A4" t="str">
            <v>China</v>
          </cell>
          <cell r="B4">
            <v>0.47</v>
          </cell>
          <cell r="C4">
            <v>0.53</v>
          </cell>
        </row>
        <row r="5">
          <cell r="A5" t="str">
            <v>South Korea</v>
          </cell>
          <cell r="B5">
            <v>0.56999999999999995</v>
          </cell>
          <cell r="C5">
            <v>0.43</v>
          </cell>
        </row>
        <row r="6">
          <cell r="A6" t="str">
            <v>Singapore</v>
          </cell>
          <cell r="B6">
            <v>0.34</v>
          </cell>
          <cell r="C6">
            <v>0.66</v>
          </cell>
        </row>
        <row r="7">
          <cell r="A7" t="str">
            <v>Ethiopia</v>
          </cell>
          <cell r="C7">
            <v>1</v>
          </cell>
        </row>
        <row r="8">
          <cell r="A8" t="str">
            <v>Pakistan</v>
          </cell>
          <cell r="B8">
            <v>0.16</v>
          </cell>
          <cell r="C8">
            <v>0.84</v>
          </cell>
        </row>
        <row r="9">
          <cell r="A9" t="str">
            <v>St. Helena</v>
          </cell>
          <cell r="B9">
            <v>0.52</v>
          </cell>
          <cell r="C9">
            <v>0.48</v>
          </cell>
        </row>
        <row r="10">
          <cell r="A10" t="str">
            <v>Israel</v>
          </cell>
          <cell r="B10">
            <v>0.46</v>
          </cell>
          <cell r="C10">
            <v>0.54</v>
          </cell>
        </row>
        <row r="11">
          <cell r="A11" t="str">
            <v>Hong Kong</v>
          </cell>
          <cell r="B11">
            <v>0.38</v>
          </cell>
          <cell r="C11">
            <v>0.62</v>
          </cell>
        </row>
        <row r="12">
          <cell r="A12" t="str">
            <v>India</v>
          </cell>
          <cell r="B12">
            <v>0.35</v>
          </cell>
          <cell r="C12">
            <v>0.65</v>
          </cell>
        </row>
        <row r="13">
          <cell r="A13" t="str">
            <v>Estonia</v>
          </cell>
        </row>
        <row r="14">
          <cell r="A14" t="str">
            <v>Sri Lanka</v>
          </cell>
        </row>
        <row r="15">
          <cell r="A15" t="str">
            <v>Germany</v>
          </cell>
          <cell r="B15">
            <v>0.55000000000000004</v>
          </cell>
          <cell r="C15">
            <v>0.45</v>
          </cell>
        </row>
        <row r="16">
          <cell r="A16" t="str">
            <v>Laos</v>
          </cell>
        </row>
        <row r="17">
          <cell r="A17" t="str">
            <v>Taiwan</v>
          </cell>
          <cell r="B17">
            <v>0.47</v>
          </cell>
          <cell r="C17">
            <v>0.53</v>
          </cell>
        </row>
        <row r="18">
          <cell r="A18" t="str">
            <v>New Zealand</v>
          </cell>
          <cell r="B18">
            <v>0.64</v>
          </cell>
          <cell r="C18">
            <v>0.36</v>
          </cell>
        </row>
        <row r="19">
          <cell r="A19" t="str">
            <v>Czechia</v>
          </cell>
          <cell r="B19">
            <v>0.75</v>
          </cell>
          <cell r="C19">
            <v>0.25</v>
          </cell>
        </row>
        <row r="20">
          <cell r="A20" t="str">
            <v>Sweden</v>
          </cell>
          <cell r="B20">
            <v>0.69</v>
          </cell>
          <cell r="C20">
            <v>0.31</v>
          </cell>
        </row>
        <row r="21">
          <cell r="A21" t="str">
            <v>Switzerland</v>
          </cell>
          <cell r="B21">
            <v>0.48</v>
          </cell>
          <cell r="C21">
            <v>0.52</v>
          </cell>
        </row>
        <row r="22">
          <cell r="A22" t="str">
            <v>Finland</v>
          </cell>
          <cell r="B22">
            <v>0.68</v>
          </cell>
          <cell r="C22">
            <v>0.32</v>
          </cell>
        </row>
        <row r="23">
          <cell r="A23" t="str">
            <v>Austria</v>
          </cell>
          <cell r="B23">
            <v>0.6</v>
          </cell>
          <cell r="C23">
            <v>0.4</v>
          </cell>
        </row>
        <row r="24">
          <cell r="A24" t="str">
            <v>Canada</v>
          </cell>
          <cell r="B24">
            <v>0.56000000000000005</v>
          </cell>
          <cell r="C24">
            <v>0.44</v>
          </cell>
        </row>
        <row r="25">
          <cell r="A25" t="str">
            <v>Lebanon</v>
          </cell>
          <cell r="C25">
            <v>1</v>
          </cell>
        </row>
        <row r="26">
          <cell r="A26" t="str">
            <v>Nepal</v>
          </cell>
        </row>
        <row r="27">
          <cell r="A27" t="str">
            <v>Cyprus</v>
          </cell>
        </row>
        <row r="28">
          <cell r="A28" t="str">
            <v>Bangladesh</v>
          </cell>
          <cell r="B28">
            <v>0.26</v>
          </cell>
          <cell r="C28">
            <v>0.74</v>
          </cell>
        </row>
        <row r="29">
          <cell r="A29" t="str">
            <v>Norway</v>
          </cell>
          <cell r="B29">
            <v>0.64</v>
          </cell>
          <cell r="C29">
            <v>0.36</v>
          </cell>
        </row>
        <row r="30">
          <cell r="A30" t="str">
            <v>Slovenia</v>
          </cell>
        </row>
        <row r="31">
          <cell r="A31" t="str">
            <v>Hungary</v>
          </cell>
          <cell r="B31">
            <v>0.78</v>
          </cell>
          <cell r="C31">
            <v>0.22</v>
          </cell>
        </row>
        <row r="32">
          <cell r="A32" t="str">
            <v>Ireland</v>
          </cell>
          <cell r="B32">
            <v>0.41</v>
          </cell>
          <cell r="C32">
            <v>0.59</v>
          </cell>
        </row>
        <row r="33">
          <cell r="A33" t="str">
            <v>United States</v>
          </cell>
          <cell r="B33">
            <v>0.51</v>
          </cell>
          <cell r="C33">
            <v>0.49</v>
          </cell>
        </row>
        <row r="34">
          <cell r="A34" t="str">
            <v>Poland</v>
          </cell>
          <cell r="B34">
            <v>0.73</v>
          </cell>
          <cell r="C34">
            <v>0.27</v>
          </cell>
        </row>
        <row r="35">
          <cell r="A35" t="str">
            <v>Tunisia</v>
          </cell>
          <cell r="B35">
            <v>0.45</v>
          </cell>
          <cell r="C35">
            <v>0.55000000000000004</v>
          </cell>
        </row>
        <row r="36">
          <cell r="A36" t="str">
            <v>Netherlands</v>
          </cell>
          <cell r="B36">
            <v>0.61</v>
          </cell>
          <cell r="C36">
            <v>0.39</v>
          </cell>
        </row>
        <row r="37">
          <cell r="A37" t="str">
            <v>Belarus</v>
          </cell>
          <cell r="B37">
            <v>0.67</v>
          </cell>
          <cell r="C37">
            <v>0.33</v>
          </cell>
        </row>
        <row r="38">
          <cell r="A38" t="str">
            <v>Russia</v>
          </cell>
          <cell r="B38">
            <v>0.68</v>
          </cell>
          <cell r="C38">
            <v>0.32</v>
          </cell>
        </row>
        <row r="39">
          <cell r="A39" t="str">
            <v>Syria</v>
          </cell>
        </row>
        <row r="40">
          <cell r="A40" t="str">
            <v>Bulgaria</v>
          </cell>
          <cell r="B40">
            <v>0.73</v>
          </cell>
          <cell r="C40">
            <v>0.27</v>
          </cell>
        </row>
        <row r="41">
          <cell r="A41" t="str">
            <v>Japan</v>
          </cell>
          <cell r="B41">
            <v>0.68</v>
          </cell>
          <cell r="C41">
            <v>0.32</v>
          </cell>
        </row>
        <row r="42">
          <cell r="A42" t="str">
            <v>Romania</v>
          </cell>
          <cell r="B42">
            <v>0.6</v>
          </cell>
          <cell r="C42">
            <v>0.4</v>
          </cell>
        </row>
        <row r="43">
          <cell r="A43" t="str">
            <v>Portugal</v>
          </cell>
          <cell r="B43">
            <v>0.54</v>
          </cell>
          <cell r="C43">
            <v>0.46</v>
          </cell>
        </row>
        <row r="44">
          <cell r="A44" t="str">
            <v>Egypt</v>
          </cell>
          <cell r="B44">
            <v>0.33</v>
          </cell>
          <cell r="C44">
            <v>0.67</v>
          </cell>
        </row>
        <row r="45">
          <cell r="A45" t="str">
            <v>United Arab Emirates</v>
          </cell>
          <cell r="B45">
            <v>0.34</v>
          </cell>
          <cell r="C45">
            <v>0.66</v>
          </cell>
        </row>
        <row r="46">
          <cell r="A46" t="str">
            <v>Australia</v>
          </cell>
          <cell r="B46">
            <v>0.56000000000000005</v>
          </cell>
          <cell r="C46">
            <v>0.44</v>
          </cell>
        </row>
        <row r="47">
          <cell r="A47" t="str">
            <v>Serbia</v>
          </cell>
          <cell r="B47">
            <v>0.56000000000000005</v>
          </cell>
          <cell r="C47">
            <v>0.44</v>
          </cell>
        </row>
        <row r="48">
          <cell r="A48" t="str">
            <v>Lithuania</v>
          </cell>
        </row>
        <row r="49">
          <cell r="A49" t="str">
            <v>Latvia</v>
          </cell>
        </row>
        <row r="50">
          <cell r="A50" t="str">
            <v>Bosnia &amp; Herzegovina</v>
          </cell>
        </row>
        <row r="51">
          <cell r="A51" t="str">
            <v>France</v>
          </cell>
          <cell r="B51">
            <v>0.69</v>
          </cell>
          <cell r="C51">
            <v>0.31</v>
          </cell>
        </row>
        <row r="52">
          <cell r="A52" t="str">
            <v>Malaysia</v>
          </cell>
          <cell r="B52">
            <v>0.37</v>
          </cell>
          <cell r="C52">
            <v>0.63</v>
          </cell>
        </row>
        <row r="53">
          <cell r="A53" t="str">
            <v>United Kingdom</v>
          </cell>
          <cell r="B53">
            <v>0.52</v>
          </cell>
          <cell r="C53">
            <v>0.48</v>
          </cell>
        </row>
        <row r="54">
          <cell r="A54" t="str">
            <v>Spain</v>
          </cell>
          <cell r="B54">
            <v>0.4</v>
          </cell>
          <cell r="C54">
            <v>0.6</v>
          </cell>
        </row>
        <row r="55">
          <cell r="A55" t="str">
            <v>Ecuador</v>
          </cell>
        </row>
        <row r="56">
          <cell r="A56" t="str">
            <v>Belgium</v>
          </cell>
          <cell r="B56">
            <v>0.59</v>
          </cell>
          <cell r="C56">
            <v>0.41</v>
          </cell>
        </row>
        <row r="57">
          <cell r="A57" t="str">
            <v>Nigeria</v>
          </cell>
        </row>
        <row r="58">
          <cell r="A58" t="str">
            <v>South Africa</v>
          </cell>
          <cell r="B58">
            <v>0.55000000000000004</v>
          </cell>
          <cell r="C58">
            <v>0.45</v>
          </cell>
        </row>
        <row r="59">
          <cell r="A59" t="str">
            <v>Ghana</v>
          </cell>
        </row>
        <row r="60">
          <cell r="A60" t="str">
            <v>Ukraine</v>
          </cell>
          <cell r="B60">
            <v>0.62</v>
          </cell>
          <cell r="C60">
            <v>0.38</v>
          </cell>
        </row>
        <row r="61">
          <cell r="A61" t="str">
            <v>Costa Rica</v>
          </cell>
        </row>
        <row r="62">
          <cell r="A62" t="str">
            <v>Philippines</v>
          </cell>
          <cell r="B62">
            <v>0.54</v>
          </cell>
          <cell r="C62">
            <v>0.46</v>
          </cell>
        </row>
        <row r="63">
          <cell r="A63" t="str">
            <v>Denmark</v>
          </cell>
          <cell r="B63">
            <v>0.54</v>
          </cell>
          <cell r="C63">
            <v>0.46</v>
          </cell>
        </row>
        <row r="64">
          <cell r="A64" t="str">
            <v>Slovakia</v>
          </cell>
        </row>
        <row r="65">
          <cell r="A65" t="str">
            <v>Vietnam</v>
          </cell>
          <cell r="B65">
            <v>0.34</v>
          </cell>
          <cell r="C65">
            <v>0.66</v>
          </cell>
        </row>
        <row r="66">
          <cell r="A66" t="str">
            <v>Greece</v>
          </cell>
          <cell r="B66">
            <v>0.51</v>
          </cell>
          <cell r="C66">
            <v>0.49</v>
          </cell>
        </row>
        <row r="67">
          <cell r="A67" t="str">
            <v>Croatia</v>
          </cell>
          <cell r="B67">
            <v>0.5</v>
          </cell>
          <cell r="C67">
            <v>0.5</v>
          </cell>
        </row>
        <row r="68">
          <cell r="A68" t="str">
            <v>Bolivia</v>
          </cell>
        </row>
        <row r="69">
          <cell r="A69" t="str">
            <v>Algeria</v>
          </cell>
          <cell r="B69">
            <v>0.33</v>
          </cell>
          <cell r="C69">
            <v>0.67</v>
          </cell>
        </row>
        <row r="70">
          <cell r="A70" t="str">
            <v>Mauritius</v>
          </cell>
        </row>
        <row r="71">
          <cell r="A71" t="str">
            <v>Iran</v>
          </cell>
          <cell r="B71">
            <v>0.37</v>
          </cell>
          <cell r="C71">
            <v>0.63</v>
          </cell>
        </row>
        <row r="72">
          <cell r="A72" t="str">
            <v>Kazakhstan</v>
          </cell>
          <cell r="B72">
            <v>0.54</v>
          </cell>
          <cell r="C72">
            <v>0.46</v>
          </cell>
        </row>
        <row r="73">
          <cell r="A73" t="str">
            <v>Italy</v>
          </cell>
          <cell r="B73">
            <v>0.62</v>
          </cell>
          <cell r="C73">
            <v>0.38</v>
          </cell>
        </row>
        <row r="74">
          <cell r="A74" t="str">
            <v>Iraq</v>
          </cell>
          <cell r="C74">
            <v>1</v>
          </cell>
        </row>
        <row r="75">
          <cell r="A75" t="str">
            <v>Mexico</v>
          </cell>
          <cell r="B75">
            <v>0.47</v>
          </cell>
          <cell r="C75">
            <v>0.53</v>
          </cell>
        </row>
        <row r="76">
          <cell r="A76" t="str">
            <v>Qatar</v>
          </cell>
        </row>
        <row r="77">
          <cell r="A77" t="str">
            <v>Morocco</v>
          </cell>
          <cell r="B77">
            <v>0.43</v>
          </cell>
          <cell r="C77">
            <v>0.56999999999999995</v>
          </cell>
        </row>
        <row r="78">
          <cell r="A78" t="str">
            <v>Colombia</v>
          </cell>
          <cell r="B78">
            <v>0.34</v>
          </cell>
          <cell r="C78">
            <v>0.66</v>
          </cell>
        </row>
        <row r="79">
          <cell r="A79" t="str">
            <v>Jordan</v>
          </cell>
        </row>
        <row r="80">
          <cell r="A80" t="str">
            <v>Chile</v>
          </cell>
          <cell r="B80">
            <v>0.52</v>
          </cell>
          <cell r="C80">
            <v>0.48</v>
          </cell>
        </row>
        <row r="81">
          <cell r="A81" t="str">
            <v>Brazil</v>
          </cell>
          <cell r="B81">
            <v>0.6</v>
          </cell>
          <cell r="C81">
            <v>0.4</v>
          </cell>
        </row>
        <row r="82">
          <cell r="A82" t="str">
            <v>Peru</v>
          </cell>
          <cell r="B82">
            <v>0.41</v>
          </cell>
          <cell r="C82">
            <v>0.59</v>
          </cell>
        </row>
        <row r="83">
          <cell r="A83" t="str">
            <v>Uruguay</v>
          </cell>
        </row>
        <row r="84">
          <cell r="A84" t="str">
            <v>Turkey</v>
          </cell>
          <cell r="B84">
            <v>0.6</v>
          </cell>
          <cell r="C84">
            <v>0.4</v>
          </cell>
        </row>
        <row r="85">
          <cell r="A85" t="str">
            <v>Thailand</v>
          </cell>
          <cell r="B85">
            <v>0.46</v>
          </cell>
          <cell r="C85">
            <v>0.54</v>
          </cell>
        </row>
        <row r="86">
          <cell r="A86" t="str">
            <v>Indonesia</v>
          </cell>
          <cell r="B86">
            <v>0.43</v>
          </cell>
          <cell r="C86">
            <v>0.56999999999999995</v>
          </cell>
        </row>
        <row r="87">
          <cell r="A87" t="str">
            <v>Saudi Arabia</v>
          </cell>
          <cell r="B87">
            <v>0.36</v>
          </cell>
          <cell r="C87">
            <v>0.64</v>
          </cell>
        </row>
        <row r="88">
          <cell r="A88" t="str">
            <v>Argentina</v>
          </cell>
          <cell r="B88">
            <v>0.62</v>
          </cell>
          <cell r="C88">
            <v>0.38</v>
          </cell>
        </row>
        <row r="89">
          <cell r="A89" t="str">
            <v>Venezuela</v>
          </cell>
        </row>
        <row r="90">
          <cell r="A90" t="str">
            <v>San Marino</v>
          </cell>
        </row>
        <row r="91">
          <cell r="A91" t="str">
            <v>Northern Mariana Islands</v>
          </cell>
        </row>
        <row r="92">
          <cell r="A92" t="str">
            <v>U.S. Virgin Islands</v>
          </cell>
        </row>
        <row r="93">
          <cell r="A93" t="str">
            <v>Timor-Leste</v>
          </cell>
        </row>
        <row r="94">
          <cell r="A94" t="str">
            <v>Papua New Guinea</v>
          </cell>
        </row>
        <row r="95">
          <cell r="A95" t="str">
            <v>Somalia</v>
          </cell>
        </row>
        <row r="96">
          <cell r="A96" t="str">
            <v>Madagascar</v>
          </cell>
        </row>
        <row r="97">
          <cell r="A97" t="str">
            <v>Iceland</v>
          </cell>
        </row>
        <row r="98">
          <cell r="A98" t="str">
            <v>Namibia</v>
          </cell>
        </row>
        <row r="99">
          <cell r="A99" t="str">
            <v>Liberia</v>
          </cell>
        </row>
        <row r="100">
          <cell r="A100" t="str">
            <v>Cape Verde</v>
          </cell>
        </row>
        <row r="101">
          <cell r="A101" t="str">
            <v>Lesotho</v>
          </cell>
        </row>
        <row r="102">
          <cell r="A102" t="str">
            <v>Aruba</v>
          </cell>
        </row>
        <row r="103">
          <cell r="A103" t="str">
            <v>Isle of Man</v>
          </cell>
        </row>
        <row r="104">
          <cell r="A104" t="str">
            <v>Rwanda</v>
          </cell>
        </row>
        <row r="105">
          <cell r="A105" t="str">
            <v>French Polynesia</v>
          </cell>
        </row>
        <row r="106">
          <cell r="A106" t="str">
            <v>Mauritania</v>
          </cell>
        </row>
        <row r="107">
          <cell r="A107" t="str">
            <v>Belize</v>
          </cell>
        </row>
        <row r="108">
          <cell r="A108" t="str">
            <v>Luxembourg</v>
          </cell>
        </row>
        <row r="109">
          <cell r="A109" t="str">
            <v>Malta</v>
          </cell>
        </row>
        <row r="110">
          <cell r="A110" t="str">
            <v>Guam</v>
          </cell>
        </row>
        <row r="111">
          <cell r="A111" t="str">
            <v>New Caledonia</v>
          </cell>
        </row>
        <row r="112">
          <cell r="A112" t="str">
            <v>Brunei</v>
          </cell>
        </row>
        <row r="113">
          <cell r="A113" t="str">
            <v>Myanmar (Burma)</v>
          </cell>
        </row>
        <row r="114">
          <cell r="A114" t="str">
            <v>Gabon</v>
          </cell>
        </row>
        <row r="115">
          <cell r="A115" t="str">
            <v>Fiji</v>
          </cell>
        </row>
        <row r="116">
          <cell r="A116" t="str">
            <v>Cuba</v>
          </cell>
        </row>
        <row r="117">
          <cell r="A117" t="str">
            <v>Suriname</v>
          </cell>
        </row>
        <row r="118">
          <cell r="A118" t="str">
            <v>Moldova</v>
          </cell>
        </row>
        <row r="119">
          <cell r="A119" t="str">
            <v>Senegal</v>
          </cell>
        </row>
        <row r="120">
          <cell r="A120" t="str">
            <v>Benin</v>
          </cell>
        </row>
        <row r="121">
          <cell r="A121" t="str">
            <v>Mongolia</v>
          </cell>
        </row>
        <row r="122">
          <cell r="A122" t="str">
            <v>Armenia</v>
          </cell>
        </row>
        <row r="123">
          <cell r="A123" t="str">
            <v>Mali</v>
          </cell>
        </row>
        <row r="124">
          <cell r="A124" t="str">
            <v>Martinique</v>
          </cell>
        </row>
        <row r="125">
          <cell r="A125" t="str">
            <v>Bahrain</v>
          </cell>
        </row>
        <row r="126">
          <cell r="A126" t="str">
            <v>Zambia</v>
          </cell>
        </row>
        <row r="127">
          <cell r="A127" t="str">
            <v>Cameroon</v>
          </cell>
        </row>
        <row r="128">
          <cell r="A128" t="str">
            <v>Cambodia</v>
          </cell>
        </row>
        <row r="129">
          <cell r="A129" t="str">
            <v>Macao</v>
          </cell>
        </row>
        <row r="130">
          <cell r="A130" t="str">
            <v>Montenegro</v>
          </cell>
        </row>
        <row r="131">
          <cell r="A131" t="str">
            <v>Albania</v>
          </cell>
        </row>
        <row r="132">
          <cell r="A132" t="str">
            <v>Tanzania</v>
          </cell>
        </row>
        <row r="133">
          <cell r="A133" t="str">
            <v>Afghanistan</v>
          </cell>
        </row>
        <row r="134">
          <cell r="A134" t="str">
            <v>Kenya</v>
          </cell>
        </row>
        <row r="135">
          <cell r="A135" t="str">
            <v>RÃ©union</v>
          </cell>
        </row>
        <row r="136">
          <cell r="A136" t="str">
            <v>Uzbekistan</v>
          </cell>
        </row>
        <row r="137">
          <cell r="A137" t="str">
            <v>Libya</v>
          </cell>
        </row>
        <row r="138">
          <cell r="A138" t="str">
            <v>Tajikistan</v>
          </cell>
        </row>
        <row r="139">
          <cell r="A139" t="str">
            <v>Jamaica</v>
          </cell>
        </row>
        <row r="140">
          <cell r="A140" t="str">
            <v>Azerbaijan</v>
          </cell>
        </row>
        <row r="141">
          <cell r="A141" t="str">
            <v>Oman</v>
          </cell>
        </row>
        <row r="142">
          <cell r="A142" t="str">
            <v>Georgia</v>
          </cell>
        </row>
        <row r="143">
          <cell r="A143" t="str">
            <v>El Salvador</v>
          </cell>
        </row>
        <row r="144">
          <cell r="A144" t="str">
            <v>CÃ´te dâ€™Ivoire</v>
          </cell>
        </row>
        <row r="145">
          <cell r="A145" t="str">
            <v>Angola</v>
          </cell>
        </row>
        <row r="146">
          <cell r="A146" t="str">
            <v>Paraguay</v>
          </cell>
        </row>
        <row r="147">
          <cell r="A147" t="str">
            <v>Kosovo</v>
          </cell>
        </row>
        <row r="148">
          <cell r="A148" t="str">
            <v>Zimbabwe</v>
          </cell>
        </row>
        <row r="149">
          <cell r="A149" t="str">
            <v>Guatemala</v>
          </cell>
        </row>
        <row r="150">
          <cell r="A150" t="str">
            <v>Nicaragua</v>
          </cell>
        </row>
        <row r="151">
          <cell r="A151" t="str">
            <v>Uganda</v>
          </cell>
        </row>
        <row r="152">
          <cell r="A152" t="str">
            <v>Panama</v>
          </cell>
        </row>
        <row r="153">
          <cell r="A153" t="str">
            <v>North Macedonia</v>
          </cell>
        </row>
        <row r="154">
          <cell r="A154" t="str">
            <v>Yemen</v>
          </cell>
        </row>
        <row r="155">
          <cell r="A155" t="str">
            <v>Dominican Republic</v>
          </cell>
        </row>
        <row r="156">
          <cell r="A156" t="str">
            <v>Kyrgyzstan</v>
          </cell>
        </row>
        <row r="157">
          <cell r="A157" t="str">
            <v>Trinidad &amp; Tobago</v>
          </cell>
        </row>
        <row r="158">
          <cell r="A158" t="str">
            <v>Kuwait</v>
          </cell>
        </row>
        <row r="159">
          <cell r="A159" t="str">
            <v>Palestine</v>
          </cell>
        </row>
        <row r="160">
          <cell r="A160" t="str">
            <v>Puerto Rico</v>
          </cell>
        </row>
        <row r="161">
          <cell r="A161" t="str">
            <v>Sudan</v>
          </cell>
        </row>
        <row r="162">
          <cell r="A162" t="str">
            <v>Honduras</v>
          </cell>
        </row>
        <row r="163">
          <cell r="A163" t="str">
            <v>Anguilla</v>
          </cell>
        </row>
        <row r="164">
          <cell r="A164" t="str">
            <v>Ã…land Islands</v>
          </cell>
        </row>
        <row r="165">
          <cell r="A165" t="str">
            <v>Andorra</v>
          </cell>
        </row>
        <row r="166">
          <cell r="A166" t="str">
            <v>American Samoa</v>
          </cell>
        </row>
        <row r="167">
          <cell r="A167" t="str">
            <v>Antarctica</v>
          </cell>
        </row>
        <row r="168">
          <cell r="A168" t="str">
            <v>French Southern Territories</v>
          </cell>
        </row>
        <row r="169">
          <cell r="A169" t="str">
            <v>Antigua &amp; Barbuda</v>
          </cell>
        </row>
        <row r="170">
          <cell r="A170" t="str">
            <v>Burundi</v>
          </cell>
        </row>
        <row r="171">
          <cell r="A171" t="str">
            <v>Caribbean Netherlands</v>
          </cell>
        </row>
        <row r="172">
          <cell r="A172" t="str">
            <v>Burkina Faso</v>
          </cell>
        </row>
        <row r="173">
          <cell r="A173" t="str">
            <v>Bahamas</v>
          </cell>
        </row>
        <row r="174">
          <cell r="A174" t="str">
            <v>St. BarthÃ©lemy</v>
          </cell>
        </row>
        <row r="175">
          <cell r="A175" t="str">
            <v>Bermuda</v>
          </cell>
        </row>
        <row r="176">
          <cell r="A176" t="str">
            <v>Barbados</v>
          </cell>
        </row>
        <row r="177">
          <cell r="A177" t="str">
            <v>Bhutan</v>
          </cell>
        </row>
        <row r="178">
          <cell r="A178" t="str">
            <v>Bouvet Island</v>
          </cell>
        </row>
        <row r="179">
          <cell r="A179" t="str">
            <v>Botswana</v>
          </cell>
        </row>
        <row r="180">
          <cell r="A180" t="str">
            <v>Central African Republic</v>
          </cell>
        </row>
        <row r="181">
          <cell r="A181" t="str">
            <v>Cocos (Keeling) Islands</v>
          </cell>
        </row>
        <row r="182">
          <cell r="A182" t="str">
            <v>Congo - Kinshasa</v>
          </cell>
        </row>
        <row r="183">
          <cell r="A183" t="str">
            <v>Congo - Brazzaville</v>
          </cell>
        </row>
        <row r="184">
          <cell r="A184" t="str">
            <v>Cook Islands</v>
          </cell>
        </row>
        <row r="185">
          <cell r="A185" t="str">
            <v>Comoros</v>
          </cell>
        </row>
        <row r="186">
          <cell r="A186" t="str">
            <v>CuraÃ§ao</v>
          </cell>
        </row>
        <row r="187">
          <cell r="A187" t="str">
            <v>Christmas Island</v>
          </cell>
        </row>
        <row r="188">
          <cell r="A188" t="str">
            <v>Cayman Islands</v>
          </cell>
        </row>
        <row r="189">
          <cell r="A189" t="str">
            <v>Djibouti</v>
          </cell>
        </row>
        <row r="190">
          <cell r="A190" t="str">
            <v>Dominica</v>
          </cell>
        </row>
        <row r="191">
          <cell r="A191" t="str">
            <v>Eritrea</v>
          </cell>
        </row>
        <row r="192">
          <cell r="A192" t="str">
            <v>Western Sahara</v>
          </cell>
        </row>
        <row r="193">
          <cell r="A193" t="str">
            <v>Falkland Islands (Islas Malvinas)</v>
          </cell>
        </row>
        <row r="194">
          <cell r="A194" t="str">
            <v>Faroe Islands</v>
          </cell>
        </row>
        <row r="195">
          <cell r="A195" t="str">
            <v>Micronesia</v>
          </cell>
        </row>
        <row r="196">
          <cell r="A196" t="str">
            <v>Guernsey</v>
          </cell>
        </row>
        <row r="197">
          <cell r="A197" t="str">
            <v>Gibraltar</v>
          </cell>
        </row>
        <row r="198">
          <cell r="A198" t="str">
            <v>Guinea</v>
          </cell>
        </row>
        <row r="199">
          <cell r="A199" t="str">
            <v>Guadeloupe</v>
          </cell>
        </row>
        <row r="200">
          <cell r="A200" t="str">
            <v>Gambia</v>
          </cell>
        </row>
        <row r="201">
          <cell r="A201" t="str">
            <v>Guinea-Bissau</v>
          </cell>
        </row>
        <row r="202">
          <cell r="A202" t="str">
            <v>Equatorial Guinea</v>
          </cell>
        </row>
        <row r="203">
          <cell r="A203" t="str">
            <v>Grenada</v>
          </cell>
        </row>
        <row r="204">
          <cell r="A204" t="str">
            <v>Greenland</v>
          </cell>
        </row>
        <row r="205">
          <cell r="A205" t="str">
            <v>French Guiana</v>
          </cell>
        </row>
        <row r="206">
          <cell r="A206" t="str">
            <v>Guyana</v>
          </cell>
        </row>
        <row r="207">
          <cell r="A207" t="str">
            <v>Heard &amp; McDonald Islands</v>
          </cell>
        </row>
        <row r="208">
          <cell r="A208" t="str">
            <v>Haiti</v>
          </cell>
        </row>
        <row r="209">
          <cell r="A209" t="str">
            <v>British Indian Ocean Territory</v>
          </cell>
        </row>
        <row r="210">
          <cell r="A210" t="str">
            <v>Jersey</v>
          </cell>
        </row>
        <row r="211">
          <cell r="A211" t="str">
            <v>Kiribati</v>
          </cell>
        </row>
        <row r="212">
          <cell r="A212" t="str">
            <v>St. Kitts &amp; Nevis</v>
          </cell>
        </row>
        <row r="213">
          <cell r="A213" t="str">
            <v>St. Lucia</v>
          </cell>
        </row>
        <row r="214">
          <cell r="A214" t="str">
            <v>Liechtenstein</v>
          </cell>
        </row>
        <row r="215">
          <cell r="A215" t="str">
            <v>St. Martin</v>
          </cell>
        </row>
        <row r="216">
          <cell r="A216" t="str">
            <v>Monaco</v>
          </cell>
        </row>
        <row r="217">
          <cell r="A217" t="str">
            <v>Maldives</v>
          </cell>
        </row>
        <row r="218">
          <cell r="A218" t="str">
            <v>Marshall Islands</v>
          </cell>
        </row>
        <row r="219">
          <cell r="A219" t="str">
            <v>Mozambique</v>
          </cell>
        </row>
        <row r="220">
          <cell r="A220" t="str">
            <v>Montserrat</v>
          </cell>
        </row>
        <row r="221">
          <cell r="A221" t="str">
            <v>Malawi</v>
          </cell>
        </row>
        <row r="222">
          <cell r="A222" t="str">
            <v>Mayotte</v>
          </cell>
        </row>
        <row r="223">
          <cell r="A223" t="str">
            <v>Niger</v>
          </cell>
        </row>
        <row r="224">
          <cell r="A224" t="str">
            <v>Norfolk Island</v>
          </cell>
        </row>
        <row r="225">
          <cell r="A225" t="str">
            <v>Niue</v>
          </cell>
        </row>
        <row r="226">
          <cell r="A226" t="str">
            <v>Nauru</v>
          </cell>
        </row>
        <row r="227">
          <cell r="A227" t="str">
            <v>Pitcairn Islands</v>
          </cell>
        </row>
        <row r="228">
          <cell r="A228" t="str">
            <v>Palau</v>
          </cell>
        </row>
        <row r="229">
          <cell r="A229" t="str">
            <v>North Korea</v>
          </cell>
        </row>
        <row r="230">
          <cell r="A230" t="str">
            <v>South Georgia &amp; South Sandwich Islands</v>
          </cell>
        </row>
        <row r="231">
          <cell r="A231" t="str">
            <v>Svalbard &amp; Jan Mayen</v>
          </cell>
        </row>
        <row r="232">
          <cell r="A232" t="str">
            <v>Solomon Islands</v>
          </cell>
        </row>
        <row r="233">
          <cell r="A233" t="str">
            <v>Sierra Leone</v>
          </cell>
        </row>
        <row r="234">
          <cell r="A234" t="str">
            <v>St. Pierre &amp; Miquelon</v>
          </cell>
        </row>
        <row r="235">
          <cell r="A235" t="str">
            <v>South Sudan</v>
          </cell>
        </row>
        <row r="236">
          <cell r="A236" t="str">
            <v>SÃ£o TomÃ© &amp; PrÃ­ncipe</v>
          </cell>
        </row>
        <row r="237">
          <cell r="A237" t="str">
            <v>Eswatini</v>
          </cell>
        </row>
        <row r="238">
          <cell r="A238" t="str">
            <v>Sint Maarten</v>
          </cell>
        </row>
        <row r="239">
          <cell r="A239" t="str">
            <v>Seychelles</v>
          </cell>
        </row>
        <row r="240">
          <cell r="A240" t="str">
            <v>Turks &amp; Caicos Islands</v>
          </cell>
        </row>
        <row r="241">
          <cell r="A241" t="str">
            <v>Chad</v>
          </cell>
        </row>
        <row r="242">
          <cell r="A242" t="str">
            <v>Togo</v>
          </cell>
        </row>
        <row r="243">
          <cell r="A243" t="str">
            <v>Tokelau</v>
          </cell>
        </row>
        <row r="244">
          <cell r="A244" t="str">
            <v>Turkmenistan</v>
          </cell>
        </row>
        <row r="245">
          <cell r="A245" t="str">
            <v>Tonga</v>
          </cell>
        </row>
        <row r="246">
          <cell r="A246" t="str">
            <v>Tuvalu</v>
          </cell>
        </row>
        <row r="247">
          <cell r="A247" t="str">
            <v>U.S. Outlying Islands</v>
          </cell>
        </row>
        <row r="248">
          <cell r="A248" t="str">
            <v>Vatican City</v>
          </cell>
        </row>
        <row r="249">
          <cell r="A249" t="str">
            <v>St. Vincent &amp; Grenadines</v>
          </cell>
        </row>
        <row r="250">
          <cell r="A250" t="str">
            <v>British Virgin Islands</v>
          </cell>
        </row>
        <row r="251">
          <cell r="A251" t="str">
            <v>Vanuatu</v>
          </cell>
        </row>
        <row r="252">
          <cell r="A252" t="str">
            <v>Wallis &amp; Futuna</v>
          </cell>
        </row>
        <row r="253">
          <cell r="A253" t="str">
            <v>Samoa</v>
          </cell>
        </row>
      </sheetData>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28)"/>
    </sheetNames>
    <sheetDataSet>
      <sheetData sheetId="0" refreshError="1">
        <row r="1">
          <cell r="A1" t="str">
            <v>Kategori: TÃ¼m kategoriler</v>
          </cell>
        </row>
        <row r="3">
          <cell r="A3" t="str">
            <v>Ãœlke</v>
          </cell>
          <cell r="B3" t="str">
            <v>Bilgisayarla GÃ¶rÃ¼: (2018)</v>
          </cell>
          <cell r="C3" t="str">
            <v>Bellek sÄ±zÄ±ntÄ±sÄ±: (2018)</v>
          </cell>
        </row>
        <row r="4">
          <cell r="A4" t="str">
            <v>China</v>
          </cell>
          <cell r="B4">
            <v>0.41</v>
          </cell>
          <cell r="C4">
            <v>0.59</v>
          </cell>
        </row>
        <row r="5">
          <cell r="A5" t="str">
            <v>South Korea</v>
          </cell>
          <cell r="B5">
            <v>0.33</v>
          </cell>
          <cell r="C5">
            <v>0.67</v>
          </cell>
        </row>
        <row r="6">
          <cell r="A6" t="str">
            <v>Ethiopia</v>
          </cell>
          <cell r="B6">
            <v>1</v>
          </cell>
        </row>
        <row r="7">
          <cell r="A7" t="str">
            <v>Singapore</v>
          </cell>
          <cell r="B7">
            <v>0.64</v>
          </cell>
          <cell r="C7">
            <v>0.36</v>
          </cell>
        </row>
        <row r="8">
          <cell r="A8" t="str">
            <v>St. Helena</v>
          </cell>
          <cell r="B8">
            <v>0.42</v>
          </cell>
          <cell r="C8">
            <v>0.57999999999999996</v>
          </cell>
        </row>
        <row r="9">
          <cell r="A9" t="str">
            <v>Pakistan</v>
          </cell>
          <cell r="B9">
            <v>0.86</v>
          </cell>
          <cell r="C9">
            <v>0.14000000000000001</v>
          </cell>
        </row>
        <row r="10">
          <cell r="A10" t="str">
            <v>Israel</v>
          </cell>
          <cell r="B10">
            <v>0.49</v>
          </cell>
          <cell r="C10">
            <v>0.51</v>
          </cell>
        </row>
        <row r="11">
          <cell r="A11" t="str">
            <v>Japan</v>
          </cell>
          <cell r="B11">
            <v>0.19</v>
          </cell>
          <cell r="C11">
            <v>0.81</v>
          </cell>
        </row>
        <row r="12">
          <cell r="A12" t="str">
            <v>Hong Kong</v>
          </cell>
          <cell r="B12">
            <v>0.56000000000000005</v>
          </cell>
          <cell r="C12">
            <v>0.44</v>
          </cell>
        </row>
        <row r="13">
          <cell r="A13" t="str">
            <v>Taiwan</v>
          </cell>
          <cell r="B13">
            <v>0.59</v>
          </cell>
          <cell r="C13">
            <v>0.41</v>
          </cell>
        </row>
        <row r="14">
          <cell r="A14" t="str">
            <v>India</v>
          </cell>
          <cell r="B14">
            <v>0.68</v>
          </cell>
          <cell r="C14">
            <v>0.32</v>
          </cell>
        </row>
        <row r="15">
          <cell r="A15" t="str">
            <v>Laos</v>
          </cell>
        </row>
        <row r="16">
          <cell r="A16" t="str">
            <v>Sri Lanka</v>
          </cell>
          <cell r="B16">
            <v>0.6</v>
          </cell>
          <cell r="C16">
            <v>0.4</v>
          </cell>
        </row>
        <row r="17">
          <cell r="A17" t="str">
            <v>Nepal</v>
          </cell>
        </row>
        <row r="18">
          <cell r="A18" t="str">
            <v>Switzerland</v>
          </cell>
          <cell r="B18">
            <v>0.56000000000000005</v>
          </cell>
          <cell r="C18">
            <v>0.44</v>
          </cell>
        </row>
        <row r="19">
          <cell r="A19" t="str">
            <v>Finland</v>
          </cell>
          <cell r="B19">
            <v>0.32</v>
          </cell>
          <cell r="C19">
            <v>0.68</v>
          </cell>
        </row>
        <row r="20">
          <cell r="A20" t="str">
            <v>Belarus</v>
          </cell>
          <cell r="B20">
            <v>0.3</v>
          </cell>
          <cell r="C20">
            <v>0.7</v>
          </cell>
        </row>
        <row r="21">
          <cell r="A21" t="str">
            <v>Sweden</v>
          </cell>
          <cell r="B21">
            <v>0.33</v>
          </cell>
          <cell r="C21">
            <v>0.67</v>
          </cell>
        </row>
        <row r="22">
          <cell r="A22" t="str">
            <v>Myanmar (Burma)</v>
          </cell>
        </row>
        <row r="23">
          <cell r="A23" t="str">
            <v>Syria</v>
          </cell>
        </row>
        <row r="24">
          <cell r="A24" t="str">
            <v>Bangladesh</v>
          </cell>
        </row>
        <row r="25">
          <cell r="A25" t="str">
            <v>Germany</v>
          </cell>
          <cell r="B25">
            <v>0.61</v>
          </cell>
          <cell r="C25">
            <v>0.39</v>
          </cell>
        </row>
        <row r="26">
          <cell r="A26" t="str">
            <v>Canada</v>
          </cell>
          <cell r="B26">
            <v>0.47</v>
          </cell>
          <cell r="C26">
            <v>0.53</v>
          </cell>
        </row>
        <row r="27">
          <cell r="A27" t="str">
            <v>Lebanon</v>
          </cell>
          <cell r="B27">
            <v>1</v>
          </cell>
        </row>
        <row r="28">
          <cell r="A28" t="str">
            <v>Estonia</v>
          </cell>
        </row>
        <row r="29">
          <cell r="A29" t="str">
            <v>United States</v>
          </cell>
          <cell r="B29">
            <v>0.51</v>
          </cell>
          <cell r="C29">
            <v>0.49</v>
          </cell>
        </row>
        <row r="30">
          <cell r="A30" t="str">
            <v>Czechia</v>
          </cell>
          <cell r="B30">
            <v>0.32</v>
          </cell>
          <cell r="C30">
            <v>0.68</v>
          </cell>
        </row>
        <row r="31">
          <cell r="A31" t="str">
            <v>Ireland</v>
          </cell>
          <cell r="B31">
            <v>0.54</v>
          </cell>
          <cell r="C31">
            <v>0.46</v>
          </cell>
        </row>
        <row r="32">
          <cell r="A32" t="str">
            <v>Tunisia</v>
          </cell>
        </row>
        <row r="33">
          <cell r="A33" t="str">
            <v>Norway</v>
          </cell>
          <cell r="B33">
            <v>0.38</v>
          </cell>
          <cell r="C33">
            <v>0.62</v>
          </cell>
        </row>
        <row r="34">
          <cell r="A34" t="str">
            <v>Egypt</v>
          </cell>
          <cell r="B34">
            <v>0.85</v>
          </cell>
          <cell r="C34">
            <v>0.15</v>
          </cell>
        </row>
        <row r="35">
          <cell r="A35" t="str">
            <v>Armenia</v>
          </cell>
        </row>
        <row r="36">
          <cell r="A36" t="str">
            <v>Australia</v>
          </cell>
          <cell r="B36">
            <v>0.42</v>
          </cell>
          <cell r="C36">
            <v>0.57999999999999996</v>
          </cell>
        </row>
        <row r="37">
          <cell r="A37" t="str">
            <v>New Zealand</v>
          </cell>
          <cell r="B37">
            <v>0.46</v>
          </cell>
          <cell r="C37">
            <v>0.54</v>
          </cell>
        </row>
        <row r="38">
          <cell r="A38" t="str">
            <v>Netherlands</v>
          </cell>
          <cell r="B38">
            <v>0.44</v>
          </cell>
          <cell r="C38">
            <v>0.56000000000000005</v>
          </cell>
        </row>
        <row r="39">
          <cell r="A39" t="str">
            <v>Hungary</v>
          </cell>
          <cell r="B39">
            <v>0.24</v>
          </cell>
          <cell r="C39">
            <v>0.76</v>
          </cell>
        </row>
        <row r="40">
          <cell r="A40" t="str">
            <v>Austria</v>
          </cell>
          <cell r="B40">
            <v>0.56999999999999995</v>
          </cell>
          <cell r="C40">
            <v>0.43</v>
          </cell>
        </row>
        <row r="41">
          <cell r="A41" t="str">
            <v>Portugal</v>
          </cell>
          <cell r="B41">
            <v>0.62</v>
          </cell>
          <cell r="C41">
            <v>0.38</v>
          </cell>
        </row>
        <row r="42">
          <cell r="A42" t="str">
            <v>Slovenia</v>
          </cell>
        </row>
        <row r="43">
          <cell r="A43" t="str">
            <v>Cyprus</v>
          </cell>
        </row>
        <row r="44">
          <cell r="A44" t="str">
            <v>Ecuador</v>
          </cell>
          <cell r="B44">
            <v>1</v>
          </cell>
        </row>
        <row r="45">
          <cell r="A45" t="str">
            <v>Spain</v>
          </cell>
          <cell r="B45">
            <v>0.7</v>
          </cell>
          <cell r="C45">
            <v>0.3</v>
          </cell>
        </row>
        <row r="46">
          <cell r="A46" t="str">
            <v>Malaysia</v>
          </cell>
          <cell r="B46">
            <v>0.64</v>
          </cell>
          <cell r="C46">
            <v>0.36</v>
          </cell>
        </row>
        <row r="47">
          <cell r="A47" t="str">
            <v>United Arab Emirates</v>
          </cell>
          <cell r="B47">
            <v>0.6</v>
          </cell>
          <cell r="C47">
            <v>0.4</v>
          </cell>
        </row>
        <row r="48">
          <cell r="A48" t="str">
            <v>Croatia</v>
          </cell>
          <cell r="B48">
            <v>0.51</v>
          </cell>
          <cell r="C48">
            <v>0.49</v>
          </cell>
        </row>
        <row r="49">
          <cell r="A49" t="str">
            <v>Nigeria</v>
          </cell>
        </row>
        <row r="50">
          <cell r="A50" t="str">
            <v>Bolivia</v>
          </cell>
          <cell r="B50">
            <v>1</v>
          </cell>
        </row>
        <row r="51">
          <cell r="A51" t="str">
            <v>Ukraine</v>
          </cell>
          <cell r="B51">
            <v>0.36</v>
          </cell>
          <cell r="C51">
            <v>0.64</v>
          </cell>
        </row>
        <row r="52">
          <cell r="A52" t="str">
            <v>Denmark</v>
          </cell>
          <cell r="B52">
            <v>0.46</v>
          </cell>
          <cell r="C52">
            <v>0.54</v>
          </cell>
        </row>
        <row r="53">
          <cell r="A53" t="str">
            <v>Ghana</v>
          </cell>
        </row>
        <row r="54">
          <cell r="A54" t="str">
            <v>United Kingdom</v>
          </cell>
          <cell r="B54">
            <v>0.5</v>
          </cell>
          <cell r="C54">
            <v>0.5</v>
          </cell>
        </row>
        <row r="55">
          <cell r="A55" t="str">
            <v>Latvia</v>
          </cell>
        </row>
        <row r="56">
          <cell r="A56" t="str">
            <v>Slovakia</v>
          </cell>
          <cell r="B56">
            <v>0.4</v>
          </cell>
          <cell r="C56">
            <v>0.6</v>
          </cell>
        </row>
        <row r="57">
          <cell r="A57" t="str">
            <v>Russia</v>
          </cell>
          <cell r="B57">
            <v>0.4</v>
          </cell>
          <cell r="C57">
            <v>0.6</v>
          </cell>
        </row>
        <row r="58">
          <cell r="A58" t="str">
            <v>Lithuania</v>
          </cell>
        </row>
        <row r="59">
          <cell r="A59" t="str">
            <v>Iran</v>
          </cell>
          <cell r="B59">
            <v>0.67</v>
          </cell>
          <cell r="C59">
            <v>0.33</v>
          </cell>
        </row>
        <row r="60">
          <cell r="A60" t="str">
            <v>Romania</v>
          </cell>
          <cell r="B60">
            <v>0.53</v>
          </cell>
          <cell r="C60">
            <v>0.47</v>
          </cell>
        </row>
        <row r="61">
          <cell r="A61" t="str">
            <v>Mauritius</v>
          </cell>
        </row>
        <row r="62">
          <cell r="A62" t="str">
            <v>Vietnam</v>
          </cell>
          <cell r="B62">
            <v>0.66</v>
          </cell>
          <cell r="C62">
            <v>0.34</v>
          </cell>
        </row>
        <row r="63">
          <cell r="A63" t="str">
            <v>Philippines</v>
          </cell>
          <cell r="B63">
            <v>0.55000000000000004</v>
          </cell>
          <cell r="C63">
            <v>0.45</v>
          </cell>
        </row>
        <row r="64">
          <cell r="A64" t="str">
            <v>Belgium</v>
          </cell>
          <cell r="B64">
            <v>0.48</v>
          </cell>
          <cell r="C64">
            <v>0.52</v>
          </cell>
        </row>
        <row r="65">
          <cell r="A65" t="str">
            <v>Algeria</v>
          </cell>
          <cell r="B65">
            <v>1</v>
          </cell>
        </row>
        <row r="66">
          <cell r="A66" t="str">
            <v>Bulgaria</v>
          </cell>
          <cell r="B66">
            <v>0.44</v>
          </cell>
          <cell r="C66">
            <v>0.56000000000000005</v>
          </cell>
        </row>
        <row r="67">
          <cell r="A67" t="str">
            <v>South Africa</v>
          </cell>
          <cell r="B67">
            <v>0.55000000000000004</v>
          </cell>
          <cell r="C67">
            <v>0.45</v>
          </cell>
        </row>
        <row r="68">
          <cell r="A68" t="str">
            <v>Poland</v>
          </cell>
          <cell r="B68">
            <v>0.4</v>
          </cell>
          <cell r="C68">
            <v>0.6</v>
          </cell>
        </row>
        <row r="69">
          <cell r="A69" t="str">
            <v>Serbia</v>
          </cell>
          <cell r="B69">
            <v>0.5</v>
          </cell>
          <cell r="C69">
            <v>0.5</v>
          </cell>
        </row>
        <row r="70">
          <cell r="A70" t="str">
            <v>Mexico</v>
          </cell>
          <cell r="B70">
            <v>0.82</v>
          </cell>
          <cell r="C70">
            <v>0.18</v>
          </cell>
        </row>
        <row r="71">
          <cell r="A71" t="str">
            <v>Kenya</v>
          </cell>
          <cell r="B71">
            <v>1</v>
          </cell>
        </row>
        <row r="72">
          <cell r="A72" t="str">
            <v>Greece</v>
          </cell>
          <cell r="B72">
            <v>0.54</v>
          </cell>
          <cell r="C72">
            <v>0.46</v>
          </cell>
        </row>
        <row r="73">
          <cell r="A73" t="str">
            <v>Kazakhstan</v>
          </cell>
          <cell r="B73">
            <v>0.63</v>
          </cell>
          <cell r="C73">
            <v>0.37</v>
          </cell>
        </row>
        <row r="74">
          <cell r="A74" t="str">
            <v>Iraq</v>
          </cell>
          <cell r="B74">
            <v>1</v>
          </cell>
        </row>
        <row r="75">
          <cell r="A75" t="str">
            <v>France</v>
          </cell>
          <cell r="B75">
            <v>0.47</v>
          </cell>
          <cell r="C75">
            <v>0.53</v>
          </cell>
        </row>
        <row r="76">
          <cell r="A76" t="str">
            <v>Colombia</v>
          </cell>
          <cell r="B76">
            <v>0.81</v>
          </cell>
          <cell r="C76">
            <v>0.19</v>
          </cell>
        </row>
        <row r="77">
          <cell r="A77" t="str">
            <v>Morocco</v>
          </cell>
          <cell r="B77">
            <v>1</v>
          </cell>
        </row>
        <row r="78">
          <cell r="A78" t="str">
            <v>Jordan</v>
          </cell>
        </row>
        <row r="79">
          <cell r="A79" t="str">
            <v>Italy</v>
          </cell>
          <cell r="B79">
            <v>0.6</v>
          </cell>
          <cell r="C79">
            <v>0.4</v>
          </cell>
        </row>
        <row r="80">
          <cell r="A80" t="str">
            <v>Peru</v>
          </cell>
          <cell r="B80">
            <v>1</v>
          </cell>
        </row>
        <row r="81">
          <cell r="A81" t="str">
            <v>Indonesia</v>
          </cell>
          <cell r="B81">
            <v>0.7</v>
          </cell>
          <cell r="C81">
            <v>0.3</v>
          </cell>
        </row>
        <row r="82">
          <cell r="A82" t="str">
            <v>Chile</v>
          </cell>
          <cell r="B82">
            <v>0.69</v>
          </cell>
          <cell r="C82">
            <v>0.31</v>
          </cell>
        </row>
        <row r="83">
          <cell r="A83" t="str">
            <v>Thailand</v>
          </cell>
          <cell r="B83">
            <v>0.62</v>
          </cell>
          <cell r="C83">
            <v>0.38</v>
          </cell>
        </row>
        <row r="84">
          <cell r="A84" t="str">
            <v>Saudi Arabia</v>
          </cell>
        </row>
        <row r="85">
          <cell r="A85" t="str">
            <v>Brazil</v>
          </cell>
          <cell r="B85">
            <v>0.61</v>
          </cell>
          <cell r="C85">
            <v>0.39</v>
          </cell>
        </row>
        <row r="86">
          <cell r="A86" t="str">
            <v>Turkey</v>
          </cell>
          <cell r="B86">
            <v>0.57999999999999996</v>
          </cell>
          <cell r="C86">
            <v>0.42</v>
          </cell>
        </row>
        <row r="87">
          <cell r="A87" t="str">
            <v>Argentina</v>
          </cell>
          <cell r="B87">
            <v>0.47</v>
          </cell>
          <cell r="C87">
            <v>0.53</v>
          </cell>
        </row>
        <row r="88">
          <cell r="A88" t="str">
            <v>Venezuela</v>
          </cell>
        </row>
        <row r="89">
          <cell r="A89" t="str">
            <v>North Korea</v>
          </cell>
        </row>
        <row r="90">
          <cell r="A90" t="str">
            <v>Djibouti</v>
          </cell>
        </row>
        <row r="91">
          <cell r="A91" t="str">
            <v>Burundi</v>
          </cell>
        </row>
        <row r="92">
          <cell r="A92" t="str">
            <v>Rwanda</v>
          </cell>
        </row>
        <row r="93">
          <cell r="A93" t="str">
            <v>Andorra</v>
          </cell>
        </row>
        <row r="94">
          <cell r="A94" t="str">
            <v>Lesotho</v>
          </cell>
        </row>
        <row r="95">
          <cell r="A95" t="str">
            <v>Cuba</v>
          </cell>
        </row>
        <row r="96">
          <cell r="A96" t="str">
            <v>Sierra Leone</v>
          </cell>
        </row>
        <row r="97">
          <cell r="A97" t="str">
            <v>Congo - Brazzaville</v>
          </cell>
        </row>
        <row r="98">
          <cell r="A98" t="str">
            <v>Brunei</v>
          </cell>
        </row>
        <row r="99">
          <cell r="A99" t="str">
            <v>French Polynesia</v>
          </cell>
        </row>
        <row r="100">
          <cell r="A100" t="str">
            <v>Belize</v>
          </cell>
        </row>
        <row r="101">
          <cell r="A101" t="str">
            <v>Madagascar</v>
          </cell>
        </row>
        <row r="102">
          <cell r="A102" t="str">
            <v>Malawi</v>
          </cell>
        </row>
        <row r="103">
          <cell r="A103" t="str">
            <v>Macao</v>
          </cell>
        </row>
        <row r="104">
          <cell r="A104" t="str">
            <v>Malta</v>
          </cell>
        </row>
        <row r="105">
          <cell r="A105" t="str">
            <v>Zimbabwe</v>
          </cell>
        </row>
        <row r="106">
          <cell r="A106" t="str">
            <v>Zambia</v>
          </cell>
        </row>
        <row r="107">
          <cell r="A107" t="str">
            <v>Mongolia</v>
          </cell>
        </row>
        <row r="108">
          <cell r="A108" t="str">
            <v>Afghanistan</v>
          </cell>
        </row>
        <row r="109">
          <cell r="A109" t="str">
            <v>Albania</v>
          </cell>
        </row>
        <row r="110">
          <cell r="A110" t="str">
            <v>Cameroon</v>
          </cell>
        </row>
        <row r="111">
          <cell r="A111" t="str">
            <v>Luxembourg</v>
          </cell>
        </row>
        <row r="112">
          <cell r="A112" t="str">
            <v>Namibia</v>
          </cell>
        </row>
        <row r="113">
          <cell r="A113" t="str">
            <v>Jamaica</v>
          </cell>
        </row>
        <row r="114">
          <cell r="A114" t="str">
            <v>Mali</v>
          </cell>
        </row>
        <row r="115">
          <cell r="A115" t="str">
            <v>North Macedonia</v>
          </cell>
        </row>
        <row r="116">
          <cell r="A116" t="str">
            <v>Guadeloupe</v>
          </cell>
        </row>
        <row r="117">
          <cell r="A117" t="str">
            <v>Iceland</v>
          </cell>
        </row>
        <row r="118">
          <cell r="A118" t="str">
            <v>Tanzania</v>
          </cell>
        </row>
        <row r="119">
          <cell r="A119" t="str">
            <v>Sudan</v>
          </cell>
        </row>
        <row r="120">
          <cell r="A120" t="str">
            <v>Uganda</v>
          </cell>
        </row>
        <row r="121">
          <cell r="A121" t="str">
            <v>Georgia</v>
          </cell>
        </row>
        <row r="122">
          <cell r="A122" t="str">
            <v>Bahrain</v>
          </cell>
        </row>
        <row r="123">
          <cell r="A123" t="str">
            <v>Moldova</v>
          </cell>
        </row>
        <row r="124">
          <cell r="A124" t="str">
            <v>Palestine</v>
          </cell>
        </row>
        <row r="125">
          <cell r="A125" t="str">
            <v>Uzbekistan</v>
          </cell>
        </row>
        <row r="126">
          <cell r="A126" t="str">
            <v>Yemen</v>
          </cell>
        </row>
        <row r="127">
          <cell r="A127" t="str">
            <v>Qatar</v>
          </cell>
        </row>
        <row r="128">
          <cell r="A128" t="str">
            <v>Angola</v>
          </cell>
        </row>
        <row r="129">
          <cell r="A129" t="str">
            <v>Puerto Rico</v>
          </cell>
        </row>
        <row r="130">
          <cell r="A130" t="str">
            <v>Montenegro</v>
          </cell>
        </row>
        <row r="131">
          <cell r="A131" t="str">
            <v>Kosovo</v>
          </cell>
        </row>
        <row r="132">
          <cell r="A132" t="str">
            <v>Cambodia</v>
          </cell>
        </row>
        <row r="133">
          <cell r="A133" t="str">
            <v>Panama</v>
          </cell>
        </row>
        <row r="134">
          <cell r="A134" t="str">
            <v>Senegal</v>
          </cell>
        </row>
        <row r="135">
          <cell r="A135" t="str">
            <v>Bosnia &amp; Herzegovina</v>
          </cell>
        </row>
        <row r="136">
          <cell r="A136" t="str">
            <v>Oman</v>
          </cell>
        </row>
        <row r="137">
          <cell r="A137" t="str">
            <v>Costa Rica</v>
          </cell>
        </row>
        <row r="138">
          <cell r="A138" t="str">
            <v>Paraguay</v>
          </cell>
        </row>
        <row r="139">
          <cell r="A139" t="str">
            <v>Trinidad &amp; Tobago</v>
          </cell>
        </row>
        <row r="140">
          <cell r="A140" t="str">
            <v>Uruguay</v>
          </cell>
        </row>
        <row r="141">
          <cell r="A141" t="str">
            <v>Guatemala</v>
          </cell>
        </row>
        <row r="142">
          <cell r="A142" t="str">
            <v>Libya</v>
          </cell>
        </row>
        <row r="143">
          <cell r="A143" t="str">
            <v>Azerbaijan</v>
          </cell>
        </row>
        <row r="144">
          <cell r="A144" t="str">
            <v>Nicaragua</v>
          </cell>
        </row>
        <row r="145">
          <cell r="A145" t="str">
            <v>Honduras</v>
          </cell>
        </row>
        <row r="146">
          <cell r="A146" t="str">
            <v>Kyrgyzstan</v>
          </cell>
        </row>
        <row r="147">
          <cell r="A147" t="str">
            <v>Dominican Republic</v>
          </cell>
        </row>
        <row r="148">
          <cell r="A148" t="str">
            <v>Aruba</v>
          </cell>
        </row>
        <row r="149">
          <cell r="A149" t="str">
            <v>Anguilla</v>
          </cell>
        </row>
        <row r="150">
          <cell r="A150" t="str">
            <v>Ã…land Islands</v>
          </cell>
        </row>
        <row r="151">
          <cell r="A151" t="str">
            <v>American Samoa</v>
          </cell>
        </row>
        <row r="152">
          <cell r="A152" t="str">
            <v>Antarctica</v>
          </cell>
        </row>
        <row r="153">
          <cell r="A153" t="str">
            <v>French Southern Territories</v>
          </cell>
        </row>
        <row r="154">
          <cell r="A154" t="str">
            <v>Antigua &amp; Barbuda</v>
          </cell>
        </row>
        <row r="155">
          <cell r="A155" t="str">
            <v>Benin</v>
          </cell>
        </row>
        <row r="156">
          <cell r="A156" t="str">
            <v>Caribbean Netherlands</v>
          </cell>
        </row>
        <row r="157">
          <cell r="A157" t="str">
            <v>Burkina Faso</v>
          </cell>
        </row>
        <row r="158">
          <cell r="A158" t="str">
            <v>Bahamas</v>
          </cell>
        </row>
        <row r="159">
          <cell r="A159" t="str">
            <v>St. BarthÃ©lemy</v>
          </cell>
        </row>
        <row r="160">
          <cell r="A160" t="str">
            <v>Bermuda</v>
          </cell>
        </row>
        <row r="161">
          <cell r="A161" t="str">
            <v>Barbados</v>
          </cell>
        </row>
        <row r="162">
          <cell r="A162" t="str">
            <v>Bhutan</v>
          </cell>
        </row>
        <row r="163">
          <cell r="A163" t="str">
            <v>Bouvet Island</v>
          </cell>
        </row>
        <row r="164">
          <cell r="A164" t="str">
            <v>Botswana</v>
          </cell>
        </row>
        <row r="165">
          <cell r="A165" t="str">
            <v>Central African Republic</v>
          </cell>
        </row>
        <row r="166">
          <cell r="A166" t="str">
            <v>Cocos (Keeling) Islands</v>
          </cell>
        </row>
        <row r="167">
          <cell r="A167" t="str">
            <v>CÃ´te dâ€™Ivoire</v>
          </cell>
        </row>
        <row r="168">
          <cell r="A168" t="str">
            <v>Congo - Kinshasa</v>
          </cell>
        </row>
        <row r="169">
          <cell r="A169" t="str">
            <v>Cook Islands</v>
          </cell>
        </row>
        <row r="170">
          <cell r="A170" t="str">
            <v>Comoros</v>
          </cell>
        </row>
        <row r="171">
          <cell r="A171" t="str">
            <v>Cape Verde</v>
          </cell>
        </row>
        <row r="172">
          <cell r="A172" t="str">
            <v>CuraÃ§ao</v>
          </cell>
        </row>
        <row r="173">
          <cell r="A173" t="str">
            <v>Christmas Island</v>
          </cell>
        </row>
        <row r="174">
          <cell r="A174" t="str">
            <v>Cayman Islands</v>
          </cell>
        </row>
        <row r="175">
          <cell r="A175" t="str">
            <v>Dominica</v>
          </cell>
        </row>
        <row r="176">
          <cell r="A176" t="str">
            <v>Eritrea</v>
          </cell>
        </row>
        <row r="177">
          <cell r="A177" t="str">
            <v>Western Sahara</v>
          </cell>
        </row>
        <row r="178">
          <cell r="A178" t="str">
            <v>Fiji</v>
          </cell>
        </row>
        <row r="179">
          <cell r="A179" t="str">
            <v>Falkland Islands (Islas Malvinas)</v>
          </cell>
        </row>
        <row r="180">
          <cell r="A180" t="str">
            <v>Faroe Islands</v>
          </cell>
        </row>
        <row r="181">
          <cell r="A181" t="str">
            <v>Micronesia</v>
          </cell>
        </row>
        <row r="182">
          <cell r="A182" t="str">
            <v>Gabon</v>
          </cell>
        </row>
        <row r="183">
          <cell r="A183" t="str">
            <v>Guernsey</v>
          </cell>
        </row>
        <row r="184">
          <cell r="A184" t="str">
            <v>Gibraltar</v>
          </cell>
        </row>
        <row r="185">
          <cell r="A185" t="str">
            <v>Guinea</v>
          </cell>
        </row>
        <row r="186">
          <cell r="A186" t="str">
            <v>Gambia</v>
          </cell>
        </row>
        <row r="187">
          <cell r="A187" t="str">
            <v>Guinea-Bissau</v>
          </cell>
        </row>
        <row r="188">
          <cell r="A188" t="str">
            <v>Equatorial Guinea</v>
          </cell>
        </row>
        <row r="189">
          <cell r="A189" t="str">
            <v>Grenada</v>
          </cell>
        </row>
        <row r="190">
          <cell r="A190" t="str">
            <v>Greenland</v>
          </cell>
        </row>
        <row r="191">
          <cell r="A191" t="str">
            <v>French Guiana</v>
          </cell>
        </row>
        <row r="192">
          <cell r="A192" t="str">
            <v>Guam</v>
          </cell>
        </row>
        <row r="193">
          <cell r="A193" t="str">
            <v>Guyana</v>
          </cell>
        </row>
        <row r="194">
          <cell r="A194" t="str">
            <v>Heard &amp; McDonald Islands</v>
          </cell>
        </row>
        <row r="195">
          <cell r="A195" t="str">
            <v>Haiti</v>
          </cell>
        </row>
        <row r="196">
          <cell r="A196" t="str">
            <v>Isle of Man</v>
          </cell>
        </row>
        <row r="197">
          <cell r="A197" t="str">
            <v>British Indian Ocean Territory</v>
          </cell>
        </row>
        <row r="198">
          <cell r="A198" t="str">
            <v>Jersey</v>
          </cell>
        </row>
        <row r="199">
          <cell r="A199" t="str">
            <v>Kiribati</v>
          </cell>
        </row>
        <row r="200">
          <cell r="A200" t="str">
            <v>St. Kitts &amp; Nevis</v>
          </cell>
        </row>
        <row r="201">
          <cell r="A201" t="str">
            <v>Kuwait</v>
          </cell>
        </row>
        <row r="202">
          <cell r="A202" t="str">
            <v>Liberia</v>
          </cell>
        </row>
        <row r="203">
          <cell r="A203" t="str">
            <v>St. Lucia</v>
          </cell>
        </row>
        <row r="204">
          <cell r="A204" t="str">
            <v>Liechtenstein</v>
          </cell>
        </row>
        <row r="205">
          <cell r="A205" t="str">
            <v>St. Martin</v>
          </cell>
        </row>
        <row r="206">
          <cell r="A206" t="str">
            <v>Monaco</v>
          </cell>
        </row>
        <row r="207">
          <cell r="A207" t="str">
            <v>Maldives</v>
          </cell>
        </row>
        <row r="208">
          <cell r="A208" t="str">
            <v>Marshall Islands</v>
          </cell>
        </row>
        <row r="209">
          <cell r="A209" t="str">
            <v>Northern Mariana Islands</v>
          </cell>
        </row>
        <row r="210">
          <cell r="A210" t="str">
            <v>Mozambique</v>
          </cell>
        </row>
        <row r="211">
          <cell r="A211" t="str">
            <v>Mauritania</v>
          </cell>
        </row>
        <row r="212">
          <cell r="A212" t="str">
            <v>Montserrat</v>
          </cell>
        </row>
        <row r="213">
          <cell r="A213" t="str">
            <v>Martinique</v>
          </cell>
        </row>
        <row r="214">
          <cell r="A214" t="str">
            <v>Mayotte</v>
          </cell>
        </row>
        <row r="215">
          <cell r="A215" t="str">
            <v>New Caledonia</v>
          </cell>
        </row>
        <row r="216">
          <cell r="A216" t="str">
            <v>Niger</v>
          </cell>
        </row>
        <row r="217">
          <cell r="A217" t="str">
            <v>Norfolk Island</v>
          </cell>
        </row>
        <row r="218">
          <cell r="A218" t="str">
            <v>Niue</v>
          </cell>
        </row>
        <row r="219">
          <cell r="A219" t="str">
            <v>Nauru</v>
          </cell>
        </row>
        <row r="220">
          <cell r="A220" t="str">
            <v>Pitcairn Islands</v>
          </cell>
        </row>
        <row r="221">
          <cell r="A221" t="str">
            <v>Palau</v>
          </cell>
        </row>
        <row r="222">
          <cell r="A222" t="str">
            <v>Papua New Guinea</v>
          </cell>
        </row>
        <row r="223">
          <cell r="A223" t="str">
            <v>RÃ©union</v>
          </cell>
        </row>
        <row r="224">
          <cell r="A224" t="str">
            <v>South Georgia &amp; South Sandwich Islands</v>
          </cell>
        </row>
        <row r="225">
          <cell r="A225" t="str">
            <v>Svalbard &amp; Jan Mayen</v>
          </cell>
        </row>
        <row r="226">
          <cell r="A226" t="str">
            <v>Solomon Islands</v>
          </cell>
        </row>
        <row r="227">
          <cell r="A227" t="str">
            <v>El Salvador</v>
          </cell>
        </row>
        <row r="228">
          <cell r="A228" t="str">
            <v>San Marino</v>
          </cell>
        </row>
        <row r="229">
          <cell r="A229" t="str">
            <v>Somalia</v>
          </cell>
        </row>
        <row r="230">
          <cell r="A230" t="str">
            <v>St. Pierre &amp; Miquelon</v>
          </cell>
        </row>
        <row r="231">
          <cell r="A231" t="str">
            <v>South Sudan</v>
          </cell>
        </row>
        <row r="232">
          <cell r="A232" t="str">
            <v>SÃ£o TomÃ© &amp; PrÃ­ncipe</v>
          </cell>
        </row>
        <row r="233">
          <cell r="A233" t="str">
            <v>Suriname</v>
          </cell>
        </row>
        <row r="234">
          <cell r="A234" t="str">
            <v>Eswatini</v>
          </cell>
        </row>
        <row r="235">
          <cell r="A235" t="str">
            <v>Sint Maarten</v>
          </cell>
        </row>
        <row r="236">
          <cell r="A236" t="str">
            <v>Seychelles</v>
          </cell>
        </row>
        <row r="237">
          <cell r="A237" t="str">
            <v>Turks &amp; Caicos Islands</v>
          </cell>
        </row>
        <row r="238">
          <cell r="A238" t="str">
            <v>Chad</v>
          </cell>
        </row>
        <row r="239">
          <cell r="A239" t="str">
            <v>Togo</v>
          </cell>
        </row>
        <row r="240">
          <cell r="A240" t="str">
            <v>Tajikistan</v>
          </cell>
        </row>
        <row r="241">
          <cell r="A241" t="str">
            <v>Tokelau</v>
          </cell>
        </row>
        <row r="242">
          <cell r="A242" t="str">
            <v>Turkmenistan</v>
          </cell>
        </row>
        <row r="243">
          <cell r="A243" t="str">
            <v>Timor-Leste</v>
          </cell>
        </row>
        <row r="244">
          <cell r="A244" t="str">
            <v>Tonga</v>
          </cell>
        </row>
        <row r="245">
          <cell r="A245" t="str">
            <v>Tuvalu</v>
          </cell>
        </row>
        <row r="246">
          <cell r="A246" t="str">
            <v>U.S. Outlying Islands</v>
          </cell>
        </row>
        <row r="247">
          <cell r="A247" t="str">
            <v>Vatican City</v>
          </cell>
        </row>
        <row r="248">
          <cell r="A248" t="str">
            <v>St. Vincent &amp; Grenadines</v>
          </cell>
        </row>
        <row r="249">
          <cell r="A249" t="str">
            <v>British Virgin Islands</v>
          </cell>
        </row>
        <row r="250">
          <cell r="A250" t="str">
            <v>U.S. Virgin Islands</v>
          </cell>
        </row>
        <row r="251">
          <cell r="A251" t="str">
            <v>Vanuatu</v>
          </cell>
        </row>
        <row r="252">
          <cell r="A252" t="str">
            <v>Wallis &amp; Futuna</v>
          </cell>
        </row>
        <row r="253">
          <cell r="A253" t="str">
            <v>Samoa</v>
          </cell>
        </row>
      </sheetData>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29)"/>
    </sheetNames>
    <sheetDataSet>
      <sheetData sheetId="0" refreshError="1">
        <row r="1">
          <cell r="A1" t="str">
            <v>Kategori: TÃ¼m kategoriler</v>
          </cell>
        </row>
        <row r="3">
          <cell r="A3" t="str">
            <v>Ãœlke</v>
          </cell>
          <cell r="B3" t="str">
            <v>Bellek sÄ±zÄ±ntÄ±sÄ±: (2018)</v>
          </cell>
          <cell r="C3" t="str">
            <v>Dijkstra AlgoritmasÄ±: (2018)</v>
          </cell>
        </row>
        <row r="4">
          <cell r="A4" t="str">
            <v>China</v>
          </cell>
          <cell r="B4">
            <v>0.81</v>
          </cell>
          <cell r="C4">
            <v>0.19</v>
          </cell>
        </row>
        <row r="5">
          <cell r="A5" t="str">
            <v>South Korea</v>
          </cell>
          <cell r="B5">
            <v>0.83</v>
          </cell>
          <cell r="C5">
            <v>0.17</v>
          </cell>
        </row>
        <row r="6">
          <cell r="A6" t="str">
            <v>St. Helena</v>
          </cell>
          <cell r="B6">
            <v>0.76</v>
          </cell>
          <cell r="C6">
            <v>0.24</v>
          </cell>
        </row>
        <row r="7">
          <cell r="A7" t="str">
            <v>Iceland</v>
          </cell>
        </row>
        <row r="8">
          <cell r="A8" t="str">
            <v>Israel</v>
          </cell>
          <cell r="B8">
            <v>0.6</v>
          </cell>
          <cell r="C8">
            <v>0.4</v>
          </cell>
        </row>
        <row r="9">
          <cell r="A9" t="str">
            <v>Japan</v>
          </cell>
          <cell r="B9">
            <v>0.87</v>
          </cell>
          <cell r="C9">
            <v>0.13</v>
          </cell>
        </row>
        <row r="10">
          <cell r="A10" t="str">
            <v>Singapore</v>
          </cell>
          <cell r="B10">
            <v>0.49</v>
          </cell>
          <cell r="C10">
            <v>0.51</v>
          </cell>
        </row>
        <row r="11">
          <cell r="A11" t="str">
            <v>Netherlands</v>
          </cell>
          <cell r="B11">
            <v>0.35</v>
          </cell>
          <cell r="C11">
            <v>0.65</v>
          </cell>
        </row>
        <row r="12">
          <cell r="A12" t="str">
            <v>Hong Kong</v>
          </cell>
          <cell r="B12">
            <v>0.65</v>
          </cell>
          <cell r="C12">
            <v>0.35</v>
          </cell>
        </row>
        <row r="13">
          <cell r="A13" t="str">
            <v>Pakistan</v>
          </cell>
          <cell r="B13">
            <v>0.23</v>
          </cell>
          <cell r="C13">
            <v>0.77</v>
          </cell>
        </row>
        <row r="14">
          <cell r="A14" t="str">
            <v>Zimbabwe</v>
          </cell>
        </row>
        <row r="15">
          <cell r="A15" t="str">
            <v>Bangladesh</v>
          </cell>
        </row>
        <row r="16">
          <cell r="A16" t="str">
            <v>North Macedonia</v>
          </cell>
        </row>
        <row r="17">
          <cell r="A17" t="str">
            <v>Cameroon</v>
          </cell>
        </row>
        <row r="18">
          <cell r="A18" t="str">
            <v>India</v>
          </cell>
          <cell r="B18">
            <v>0.39</v>
          </cell>
          <cell r="C18">
            <v>0.61</v>
          </cell>
        </row>
        <row r="19">
          <cell r="A19" t="str">
            <v>Sweden</v>
          </cell>
          <cell r="B19">
            <v>0.57999999999999996</v>
          </cell>
          <cell r="C19">
            <v>0.42</v>
          </cell>
        </row>
        <row r="20">
          <cell r="A20" t="str">
            <v>Tunisia</v>
          </cell>
        </row>
        <row r="21">
          <cell r="A21" t="str">
            <v>Romania</v>
          </cell>
          <cell r="B21">
            <v>0.37</v>
          </cell>
          <cell r="C21">
            <v>0.63</v>
          </cell>
        </row>
        <row r="22">
          <cell r="A22" t="str">
            <v>Taiwan</v>
          </cell>
          <cell r="B22">
            <v>0.62</v>
          </cell>
          <cell r="C22">
            <v>0.38</v>
          </cell>
        </row>
        <row r="23">
          <cell r="A23" t="str">
            <v>Canada</v>
          </cell>
          <cell r="B23">
            <v>0.54</v>
          </cell>
          <cell r="C23">
            <v>0.46</v>
          </cell>
        </row>
        <row r="24">
          <cell r="A24" t="str">
            <v>Czechia</v>
          </cell>
          <cell r="B24">
            <v>0.57999999999999996</v>
          </cell>
          <cell r="C24">
            <v>0.42</v>
          </cell>
        </row>
        <row r="25">
          <cell r="A25" t="str">
            <v>Myanmar (Burma)</v>
          </cell>
        </row>
        <row r="26">
          <cell r="A26" t="str">
            <v>Finland</v>
          </cell>
          <cell r="B26">
            <v>0.62</v>
          </cell>
          <cell r="C26">
            <v>0.38</v>
          </cell>
        </row>
        <row r="27">
          <cell r="A27" t="str">
            <v>Switzerland</v>
          </cell>
          <cell r="B27">
            <v>0.56000000000000005</v>
          </cell>
          <cell r="C27">
            <v>0.44</v>
          </cell>
        </row>
        <row r="28">
          <cell r="A28" t="str">
            <v>Sri Lanka</v>
          </cell>
          <cell r="B28">
            <v>0.41</v>
          </cell>
          <cell r="C28">
            <v>0.59</v>
          </cell>
        </row>
        <row r="29">
          <cell r="A29" t="str">
            <v>New Zealand</v>
          </cell>
          <cell r="B29">
            <v>0.56000000000000005</v>
          </cell>
          <cell r="C29">
            <v>0.44</v>
          </cell>
        </row>
        <row r="30">
          <cell r="A30" t="str">
            <v>Nepal</v>
          </cell>
        </row>
        <row r="31">
          <cell r="A31" t="str">
            <v>Norway</v>
          </cell>
          <cell r="B31">
            <v>0.56000000000000005</v>
          </cell>
          <cell r="C31">
            <v>0.44</v>
          </cell>
        </row>
        <row r="32">
          <cell r="A32" t="str">
            <v>United States</v>
          </cell>
          <cell r="B32">
            <v>0.55000000000000004</v>
          </cell>
          <cell r="C32">
            <v>0.45</v>
          </cell>
        </row>
        <row r="33">
          <cell r="A33" t="str">
            <v>Belarus</v>
          </cell>
          <cell r="B33">
            <v>0.54</v>
          </cell>
          <cell r="C33">
            <v>0.46</v>
          </cell>
        </row>
        <row r="34">
          <cell r="A34" t="str">
            <v>Ethiopia</v>
          </cell>
        </row>
        <row r="35">
          <cell r="A35" t="str">
            <v>Syria</v>
          </cell>
          <cell r="C35">
            <v>1</v>
          </cell>
        </row>
        <row r="36">
          <cell r="A36" t="str">
            <v>Congo - Kinshasa</v>
          </cell>
        </row>
        <row r="37">
          <cell r="A37" t="str">
            <v>Slovenia</v>
          </cell>
        </row>
        <row r="38">
          <cell r="A38" t="str">
            <v>Bulgaria</v>
          </cell>
          <cell r="B38">
            <v>0.64</v>
          </cell>
          <cell r="C38">
            <v>0.36</v>
          </cell>
        </row>
        <row r="39">
          <cell r="A39" t="str">
            <v>Australia</v>
          </cell>
          <cell r="B39">
            <v>0.54</v>
          </cell>
          <cell r="C39">
            <v>0.46</v>
          </cell>
        </row>
        <row r="40">
          <cell r="A40" t="str">
            <v>Lithuania</v>
          </cell>
          <cell r="B40">
            <v>0.56999999999999995</v>
          </cell>
          <cell r="C40">
            <v>0.43</v>
          </cell>
        </row>
        <row r="41">
          <cell r="A41" t="str">
            <v>Ireland</v>
          </cell>
          <cell r="B41">
            <v>0.51</v>
          </cell>
          <cell r="C41">
            <v>0.49</v>
          </cell>
        </row>
        <row r="42">
          <cell r="A42" t="str">
            <v>Hungary</v>
          </cell>
          <cell r="B42">
            <v>0.41</v>
          </cell>
          <cell r="C42">
            <v>0.59</v>
          </cell>
        </row>
        <row r="43">
          <cell r="A43" t="str">
            <v>Estonia</v>
          </cell>
        </row>
        <row r="44">
          <cell r="A44" t="str">
            <v>Germany</v>
          </cell>
          <cell r="B44">
            <v>0.46</v>
          </cell>
          <cell r="C44">
            <v>0.54</v>
          </cell>
        </row>
        <row r="45">
          <cell r="A45" t="str">
            <v>Denmark</v>
          </cell>
          <cell r="B45">
            <v>0.5</v>
          </cell>
          <cell r="C45">
            <v>0.5</v>
          </cell>
        </row>
        <row r="46">
          <cell r="A46" t="str">
            <v>France</v>
          </cell>
          <cell r="B46">
            <v>0.38</v>
          </cell>
          <cell r="C46">
            <v>0.62</v>
          </cell>
        </row>
        <row r="47">
          <cell r="A47" t="str">
            <v>Portugal</v>
          </cell>
          <cell r="B47">
            <v>0.56999999999999995</v>
          </cell>
          <cell r="C47">
            <v>0.43</v>
          </cell>
        </row>
        <row r="48">
          <cell r="A48" t="str">
            <v>Greece</v>
          </cell>
          <cell r="B48">
            <v>0.4</v>
          </cell>
          <cell r="C48">
            <v>0.6</v>
          </cell>
        </row>
        <row r="49">
          <cell r="A49" t="str">
            <v>Laos</v>
          </cell>
        </row>
        <row r="50">
          <cell r="A50" t="str">
            <v>Austria</v>
          </cell>
          <cell r="B50">
            <v>0.52</v>
          </cell>
          <cell r="C50">
            <v>0.48</v>
          </cell>
        </row>
        <row r="51">
          <cell r="A51" t="str">
            <v>United Kingdom</v>
          </cell>
          <cell r="B51">
            <v>0.55000000000000004</v>
          </cell>
          <cell r="C51">
            <v>0.45</v>
          </cell>
        </row>
        <row r="52">
          <cell r="A52" t="str">
            <v>Morocco</v>
          </cell>
          <cell r="C52">
            <v>1</v>
          </cell>
        </row>
        <row r="53">
          <cell r="A53" t="str">
            <v>Croatia</v>
          </cell>
          <cell r="B53">
            <v>0.51</v>
          </cell>
          <cell r="C53">
            <v>0.49</v>
          </cell>
        </row>
        <row r="54">
          <cell r="A54" t="str">
            <v>Lebanon</v>
          </cell>
        </row>
        <row r="55">
          <cell r="A55" t="str">
            <v>Cyprus</v>
          </cell>
        </row>
        <row r="56">
          <cell r="A56" t="str">
            <v>Poland</v>
          </cell>
          <cell r="B56">
            <v>0.47</v>
          </cell>
          <cell r="C56">
            <v>0.53</v>
          </cell>
        </row>
        <row r="57">
          <cell r="A57" t="str">
            <v>Slovakia</v>
          </cell>
          <cell r="B57">
            <v>0.61</v>
          </cell>
          <cell r="C57">
            <v>0.39</v>
          </cell>
        </row>
        <row r="58">
          <cell r="A58" t="str">
            <v>Ukraine</v>
          </cell>
          <cell r="B58">
            <v>0.56999999999999995</v>
          </cell>
          <cell r="C58">
            <v>0.43</v>
          </cell>
        </row>
        <row r="59">
          <cell r="A59" t="str">
            <v>Albania</v>
          </cell>
        </row>
        <row r="60">
          <cell r="A60" t="str">
            <v>Russia</v>
          </cell>
          <cell r="B60">
            <v>0.53</v>
          </cell>
          <cell r="C60">
            <v>0.47</v>
          </cell>
        </row>
        <row r="61">
          <cell r="A61" t="str">
            <v>Jordan</v>
          </cell>
        </row>
        <row r="62">
          <cell r="A62" t="str">
            <v>Latvia</v>
          </cell>
        </row>
        <row r="63">
          <cell r="A63" t="str">
            <v>Serbia</v>
          </cell>
          <cell r="B63">
            <v>0.59</v>
          </cell>
          <cell r="C63">
            <v>0.41</v>
          </cell>
        </row>
        <row r="64">
          <cell r="A64" t="str">
            <v>Vietnam</v>
          </cell>
          <cell r="B64">
            <v>0.37</v>
          </cell>
          <cell r="C64">
            <v>0.63</v>
          </cell>
        </row>
        <row r="65">
          <cell r="A65" t="str">
            <v>Algeria</v>
          </cell>
          <cell r="C65">
            <v>1</v>
          </cell>
        </row>
        <row r="66">
          <cell r="A66" t="str">
            <v>Bolivia</v>
          </cell>
          <cell r="C66">
            <v>1</v>
          </cell>
        </row>
        <row r="67">
          <cell r="A67" t="str">
            <v>Philippines</v>
          </cell>
          <cell r="B67">
            <v>0.52</v>
          </cell>
          <cell r="C67">
            <v>0.48</v>
          </cell>
        </row>
        <row r="68">
          <cell r="A68" t="str">
            <v>Belgium</v>
          </cell>
          <cell r="B68">
            <v>0.53</v>
          </cell>
          <cell r="C68">
            <v>0.47</v>
          </cell>
        </row>
        <row r="69">
          <cell r="A69" t="str">
            <v>South Africa</v>
          </cell>
          <cell r="B69">
            <v>0.56999999999999995</v>
          </cell>
          <cell r="C69">
            <v>0.43</v>
          </cell>
        </row>
        <row r="70">
          <cell r="A70" t="str">
            <v>Uruguay</v>
          </cell>
        </row>
        <row r="71">
          <cell r="A71" t="str">
            <v>Bosnia &amp; Herzegovina</v>
          </cell>
        </row>
        <row r="72">
          <cell r="A72" t="str">
            <v>Iran</v>
          </cell>
          <cell r="B72">
            <v>0.4</v>
          </cell>
          <cell r="C72">
            <v>0.6</v>
          </cell>
        </row>
        <row r="73">
          <cell r="A73" t="str">
            <v>Peru</v>
          </cell>
          <cell r="C73">
            <v>1</v>
          </cell>
        </row>
        <row r="74">
          <cell r="A74" t="str">
            <v>Chile</v>
          </cell>
          <cell r="B74">
            <v>0.2</v>
          </cell>
          <cell r="C74">
            <v>0.8</v>
          </cell>
        </row>
        <row r="75">
          <cell r="A75" t="str">
            <v>Ecuador</v>
          </cell>
          <cell r="C75">
            <v>1</v>
          </cell>
        </row>
        <row r="76">
          <cell r="A76" t="str">
            <v>Costa Rica</v>
          </cell>
          <cell r="C76">
            <v>1</v>
          </cell>
        </row>
        <row r="77">
          <cell r="A77" t="str">
            <v>Guatemala</v>
          </cell>
        </row>
        <row r="78">
          <cell r="A78" t="str">
            <v>Indonesia</v>
          </cell>
          <cell r="B78">
            <v>0.26</v>
          </cell>
          <cell r="C78">
            <v>0.74</v>
          </cell>
        </row>
        <row r="79">
          <cell r="A79" t="str">
            <v>United Arab Emirates</v>
          </cell>
          <cell r="B79">
            <v>0.68</v>
          </cell>
          <cell r="C79">
            <v>0.32</v>
          </cell>
        </row>
        <row r="80">
          <cell r="A80" t="str">
            <v>Malaysia</v>
          </cell>
          <cell r="B80">
            <v>0.49</v>
          </cell>
          <cell r="C80">
            <v>0.51</v>
          </cell>
        </row>
        <row r="81">
          <cell r="A81" t="str">
            <v>Mexico</v>
          </cell>
          <cell r="B81">
            <v>0.18</v>
          </cell>
          <cell r="C81">
            <v>0.82</v>
          </cell>
        </row>
        <row r="82">
          <cell r="A82" t="str">
            <v>Colombia</v>
          </cell>
          <cell r="B82">
            <v>0.22</v>
          </cell>
          <cell r="C82">
            <v>0.78</v>
          </cell>
        </row>
        <row r="83">
          <cell r="A83" t="str">
            <v>Kazakhstan</v>
          </cell>
          <cell r="B83">
            <v>0.52</v>
          </cell>
          <cell r="C83">
            <v>0.48</v>
          </cell>
        </row>
        <row r="84">
          <cell r="A84" t="str">
            <v>Italy</v>
          </cell>
          <cell r="B84">
            <v>0.42</v>
          </cell>
          <cell r="C84">
            <v>0.57999999999999996</v>
          </cell>
        </row>
        <row r="85">
          <cell r="A85" t="str">
            <v>Kenya</v>
          </cell>
          <cell r="C85">
            <v>1</v>
          </cell>
        </row>
        <row r="86">
          <cell r="A86" t="str">
            <v>Ghana</v>
          </cell>
        </row>
        <row r="87">
          <cell r="A87" t="str">
            <v>Spain</v>
          </cell>
          <cell r="B87">
            <v>0.47</v>
          </cell>
          <cell r="C87">
            <v>0.53</v>
          </cell>
        </row>
        <row r="88">
          <cell r="A88" t="str">
            <v>Egypt</v>
          </cell>
          <cell r="B88">
            <v>0.3</v>
          </cell>
          <cell r="C88">
            <v>0.7</v>
          </cell>
        </row>
        <row r="89">
          <cell r="A89" t="str">
            <v>Brazil</v>
          </cell>
          <cell r="B89">
            <v>0.38</v>
          </cell>
          <cell r="C89">
            <v>0.62</v>
          </cell>
        </row>
        <row r="90">
          <cell r="A90" t="str">
            <v>Sudan</v>
          </cell>
        </row>
        <row r="91">
          <cell r="A91" t="str">
            <v>Turkey</v>
          </cell>
          <cell r="B91">
            <v>0.41</v>
          </cell>
          <cell r="C91">
            <v>0.59</v>
          </cell>
        </row>
        <row r="92">
          <cell r="A92" t="str">
            <v>Saudi Arabia</v>
          </cell>
        </row>
        <row r="93">
          <cell r="A93" t="str">
            <v>Argentina</v>
          </cell>
          <cell r="B93">
            <v>0.48</v>
          </cell>
          <cell r="C93">
            <v>0.52</v>
          </cell>
        </row>
        <row r="94">
          <cell r="A94" t="str">
            <v>Thailand</v>
          </cell>
          <cell r="B94">
            <v>0.55000000000000004</v>
          </cell>
          <cell r="C94">
            <v>0.45</v>
          </cell>
        </row>
        <row r="95">
          <cell r="A95" t="str">
            <v>Nigeria</v>
          </cell>
        </row>
        <row r="96">
          <cell r="A96" t="str">
            <v>Tanzania</v>
          </cell>
        </row>
        <row r="97">
          <cell r="A97" t="str">
            <v>Venezuela</v>
          </cell>
        </row>
        <row r="98">
          <cell r="A98" t="str">
            <v>North Korea</v>
          </cell>
        </row>
        <row r="99">
          <cell r="A99" t="str">
            <v>Faroe Islands</v>
          </cell>
        </row>
        <row r="100">
          <cell r="A100" t="str">
            <v>Northern Mariana Islands</v>
          </cell>
        </row>
        <row r="101">
          <cell r="A101" t="str">
            <v>Greenland</v>
          </cell>
        </row>
        <row r="102">
          <cell r="A102" t="str">
            <v>Seychelles</v>
          </cell>
        </row>
        <row r="103">
          <cell r="A103" t="str">
            <v>Macao</v>
          </cell>
        </row>
        <row r="104">
          <cell r="A104" t="str">
            <v>Bermuda</v>
          </cell>
        </row>
        <row r="105">
          <cell r="A105" t="str">
            <v>CuraÃ§ao</v>
          </cell>
        </row>
        <row r="106">
          <cell r="A106" t="str">
            <v>Andorra</v>
          </cell>
        </row>
        <row r="107">
          <cell r="A107" t="str">
            <v>Cuba</v>
          </cell>
        </row>
        <row r="108">
          <cell r="A108" t="str">
            <v>Sierra Leone</v>
          </cell>
        </row>
        <row r="109">
          <cell r="A109" t="str">
            <v>Papua New Guinea</v>
          </cell>
        </row>
        <row r="110">
          <cell r="A110" t="str">
            <v>Belize</v>
          </cell>
        </row>
        <row r="111">
          <cell r="A111" t="str">
            <v>Mauritania</v>
          </cell>
        </row>
        <row r="112">
          <cell r="A112" t="str">
            <v>Mali</v>
          </cell>
        </row>
        <row r="113">
          <cell r="A113" t="str">
            <v>Malta</v>
          </cell>
        </row>
        <row r="114">
          <cell r="A114" t="str">
            <v>Guam</v>
          </cell>
        </row>
        <row r="115">
          <cell r="A115" t="str">
            <v>Guyana</v>
          </cell>
        </row>
        <row r="116">
          <cell r="A116" t="str">
            <v>Armenia</v>
          </cell>
        </row>
        <row r="117">
          <cell r="A117" t="str">
            <v>Maldives</v>
          </cell>
        </row>
        <row r="118">
          <cell r="A118" t="str">
            <v>Rwanda</v>
          </cell>
        </row>
        <row r="119">
          <cell r="A119" t="str">
            <v>Luxembourg</v>
          </cell>
        </row>
        <row r="120">
          <cell r="A120" t="str">
            <v>Turkmenistan</v>
          </cell>
        </row>
        <row r="121">
          <cell r="A121" t="str">
            <v>Bahamas</v>
          </cell>
        </row>
        <row r="122">
          <cell r="A122" t="str">
            <v>Madagascar</v>
          </cell>
        </row>
        <row r="123">
          <cell r="A123" t="str">
            <v>Brunei</v>
          </cell>
        </row>
        <row r="124">
          <cell r="A124" t="str">
            <v>Tajikistan</v>
          </cell>
        </row>
        <row r="125">
          <cell r="A125" t="str">
            <v>Palestine</v>
          </cell>
        </row>
        <row r="126">
          <cell r="A126" t="str">
            <v>Moldova</v>
          </cell>
        </row>
        <row r="127">
          <cell r="A127" t="str">
            <v>Bahrain</v>
          </cell>
        </row>
        <row r="128">
          <cell r="A128" t="str">
            <v>Kosovo</v>
          </cell>
        </row>
        <row r="129">
          <cell r="A129" t="str">
            <v>Montenegro</v>
          </cell>
        </row>
        <row r="130">
          <cell r="A130" t="str">
            <v>RÃ©union</v>
          </cell>
        </row>
        <row r="131">
          <cell r="A131" t="str">
            <v>Cambodia</v>
          </cell>
        </row>
        <row r="132">
          <cell r="A132" t="str">
            <v>Georgia</v>
          </cell>
        </row>
        <row r="133">
          <cell r="A133" t="str">
            <v>Senegal</v>
          </cell>
        </row>
        <row r="134">
          <cell r="A134" t="str">
            <v>Mauritius</v>
          </cell>
        </row>
        <row r="135">
          <cell r="A135" t="str">
            <v>Zambia</v>
          </cell>
        </row>
        <row r="136">
          <cell r="A136" t="str">
            <v>Puerto Rico</v>
          </cell>
        </row>
        <row r="137">
          <cell r="A137" t="str">
            <v>Azerbaijan</v>
          </cell>
        </row>
        <row r="138">
          <cell r="A138" t="str">
            <v>Trinidad &amp; Tobago</v>
          </cell>
        </row>
        <row r="139">
          <cell r="A139" t="str">
            <v>El Salvador</v>
          </cell>
        </row>
        <row r="140">
          <cell r="A140" t="str">
            <v>Jamaica</v>
          </cell>
        </row>
        <row r="141">
          <cell r="A141" t="str">
            <v>Panama</v>
          </cell>
        </row>
        <row r="142">
          <cell r="A142" t="str">
            <v>Yemen</v>
          </cell>
        </row>
        <row r="143">
          <cell r="A143" t="str">
            <v>Honduras</v>
          </cell>
        </row>
        <row r="144">
          <cell r="A144" t="str">
            <v>Uzbekistan</v>
          </cell>
        </row>
        <row r="145">
          <cell r="A145" t="str">
            <v>Qatar</v>
          </cell>
        </row>
        <row r="146">
          <cell r="A146" t="str">
            <v>Kuwait</v>
          </cell>
        </row>
        <row r="147">
          <cell r="A147" t="str">
            <v>Oman</v>
          </cell>
        </row>
        <row r="148">
          <cell r="A148" t="str">
            <v>Iraq</v>
          </cell>
        </row>
        <row r="149">
          <cell r="A149" t="str">
            <v>Kyrgyzstan</v>
          </cell>
        </row>
        <row r="150">
          <cell r="A150" t="str">
            <v>Paraguay</v>
          </cell>
        </row>
        <row r="151">
          <cell r="A151" t="str">
            <v>Dominican Republic</v>
          </cell>
        </row>
        <row r="152">
          <cell r="A152" t="str">
            <v>Aruba</v>
          </cell>
        </row>
        <row r="153">
          <cell r="A153" t="str">
            <v>Afghanistan</v>
          </cell>
        </row>
        <row r="154">
          <cell r="A154" t="str">
            <v>Angola</v>
          </cell>
        </row>
        <row r="155">
          <cell r="A155" t="str">
            <v>Anguilla</v>
          </cell>
        </row>
        <row r="156">
          <cell r="A156" t="str">
            <v>Ã…land Islands</v>
          </cell>
        </row>
        <row r="157">
          <cell r="A157" t="str">
            <v>American Samoa</v>
          </cell>
        </row>
        <row r="158">
          <cell r="A158" t="str">
            <v>Antarctica</v>
          </cell>
        </row>
        <row r="159">
          <cell r="A159" t="str">
            <v>French Southern Territories</v>
          </cell>
        </row>
        <row r="160">
          <cell r="A160" t="str">
            <v>Antigua &amp; Barbuda</v>
          </cell>
        </row>
        <row r="161">
          <cell r="A161" t="str">
            <v>Burundi</v>
          </cell>
        </row>
        <row r="162">
          <cell r="A162" t="str">
            <v>Benin</v>
          </cell>
        </row>
        <row r="163">
          <cell r="A163" t="str">
            <v>Caribbean Netherlands</v>
          </cell>
        </row>
        <row r="164">
          <cell r="A164" t="str">
            <v>Burkina Faso</v>
          </cell>
        </row>
        <row r="165">
          <cell r="A165" t="str">
            <v>St. BarthÃ©lemy</v>
          </cell>
        </row>
        <row r="166">
          <cell r="A166" t="str">
            <v>Barbados</v>
          </cell>
        </row>
        <row r="167">
          <cell r="A167" t="str">
            <v>Bhutan</v>
          </cell>
        </row>
        <row r="168">
          <cell r="A168" t="str">
            <v>Bouvet Island</v>
          </cell>
        </row>
        <row r="169">
          <cell r="A169" t="str">
            <v>Botswana</v>
          </cell>
        </row>
        <row r="170">
          <cell r="A170" t="str">
            <v>Central African Republic</v>
          </cell>
        </row>
        <row r="171">
          <cell r="A171" t="str">
            <v>Cocos (Keeling) Islands</v>
          </cell>
        </row>
        <row r="172">
          <cell r="A172" t="str">
            <v>CÃ´te dâ€™Ivoire</v>
          </cell>
        </row>
        <row r="173">
          <cell r="A173" t="str">
            <v>Congo - Brazzaville</v>
          </cell>
        </row>
        <row r="174">
          <cell r="A174" t="str">
            <v>Cook Islands</v>
          </cell>
        </row>
        <row r="175">
          <cell r="A175" t="str">
            <v>Comoros</v>
          </cell>
        </row>
        <row r="176">
          <cell r="A176" t="str">
            <v>Cape Verde</v>
          </cell>
        </row>
        <row r="177">
          <cell r="A177" t="str">
            <v>Christmas Island</v>
          </cell>
        </row>
        <row r="178">
          <cell r="A178" t="str">
            <v>Cayman Islands</v>
          </cell>
        </row>
        <row r="179">
          <cell r="A179" t="str">
            <v>Djibouti</v>
          </cell>
        </row>
        <row r="180">
          <cell r="A180" t="str">
            <v>Dominica</v>
          </cell>
        </row>
        <row r="181">
          <cell r="A181" t="str">
            <v>Eritrea</v>
          </cell>
        </row>
        <row r="182">
          <cell r="A182" t="str">
            <v>Western Sahara</v>
          </cell>
        </row>
        <row r="183">
          <cell r="A183" t="str">
            <v>Fiji</v>
          </cell>
        </row>
        <row r="184">
          <cell r="A184" t="str">
            <v>Falkland Islands (Islas Malvinas)</v>
          </cell>
        </row>
        <row r="185">
          <cell r="A185" t="str">
            <v>Micronesia</v>
          </cell>
        </row>
        <row r="186">
          <cell r="A186" t="str">
            <v>Gabon</v>
          </cell>
        </row>
        <row r="187">
          <cell r="A187" t="str">
            <v>Guernsey</v>
          </cell>
        </row>
        <row r="188">
          <cell r="A188" t="str">
            <v>Gibraltar</v>
          </cell>
        </row>
        <row r="189">
          <cell r="A189" t="str">
            <v>Guinea</v>
          </cell>
        </row>
        <row r="190">
          <cell r="A190" t="str">
            <v>Guadeloupe</v>
          </cell>
        </row>
        <row r="191">
          <cell r="A191" t="str">
            <v>Gambia</v>
          </cell>
        </row>
        <row r="192">
          <cell r="A192" t="str">
            <v>Guinea-Bissau</v>
          </cell>
        </row>
        <row r="193">
          <cell r="A193" t="str">
            <v>Equatorial Guinea</v>
          </cell>
        </row>
        <row r="194">
          <cell r="A194" t="str">
            <v>Grenada</v>
          </cell>
        </row>
        <row r="195">
          <cell r="A195" t="str">
            <v>French Guiana</v>
          </cell>
        </row>
        <row r="196">
          <cell r="A196" t="str">
            <v>Heard &amp; McDonald Islands</v>
          </cell>
        </row>
        <row r="197">
          <cell r="A197" t="str">
            <v>Haiti</v>
          </cell>
        </row>
        <row r="198">
          <cell r="A198" t="str">
            <v>Isle of Man</v>
          </cell>
        </row>
        <row r="199">
          <cell r="A199" t="str">
            <v>British Indian Ocean Territory</v>
          </cell>
        </row>
        <row r="200">
          <cell r="A200" t="str">
            <v>Jersey</v>
          </cell>
        </row>
        <row r="201">
          <cell r="A201" t="str">
            <v>Kiribati</v>
          </cell>
        </row>
        <row r="202">
          <cell r="A202" t="str">
            <v>St. Kitts &amp; Nevis</v>
          </cell>
        </row>
        <row r="203">
          <cell r="A203" t="str">
            <v>Liberia</v>
          </cell>
        </row>
        <row r="204">
          <cell r="A204" t="str">
            <v>Libya</v>
          </cell>
        </row>
        <row r="205">
          <cell r="A205" t="str">
            <v>St. Lucia</v>
          </cell>
        </row>
        <row r="206">
          <cell r="A206" t="str">
            <v>Liechtenstein</v>
          </cell>
        </row>
        <row r="207">
          <cell r="A207" t="str">
            <v>Lesotho</v>
          </cell>
        </row>
        <row r="208">
          <cell r="A208" t="str">
            <v>St. Martin</v>
          </cell>
        </row>
        <row r="209">
          <cell r="A209" t="str">
            <v>Monaco</v>
          </cell>
        </row>
        <row r="210">
          <cell r="A210" t="str">
            <v>Marshall Islands</v>
          </cell>
        </row>
        <row r="211">
          <cell r="A211" t="str">
            <v>Mongolia</v>
          </cell>
        </row>
        <row r="212">
          <cell r="A212" t="str">
            <v>Mozambique</v>
          </cell>
        </row>
        <row r="213">
          <cell r="A213" t="str">
            <v>Montserrat</v>
          </cell>
        </row>
        <row r="214">
          <cell r="A214" t="str">
            <v>Martinique</v>
          </cell>
        </row>
        <row r="215">
          <cell r="A215" t="str">
            <v>Malawi</v>
          </cell>
        </row>
        <row r="216">
          <cell r="A216" t="str">
            <v>Mayotte</v>
          </cell>
        </row>
        <row r="217">
          <cell r="A217" t="str">
            <v>Namibia</v>
          </cell>
        </row>
        <row r="218">
          <cell r="A218" t="str">
            <v>New Caledonia</v>
          </cell>
        </row>
        <row r="219">
          <cell r="A219" t="str">
            <v>Niger</v>
          </cell>
        </row>
        <row r="220">
          <cell r="A220" t="str">
            <v>Norfolk Island</v>
          </cell>
        </row>
        <row r="221">
          <cell r="A221" t="str">
            <v>Nicaragua</v>
          </cell>
        </row>
        <row r="222">
          <cell r="A222" t="str">
            <v>Niue</v>
          </cell>
        </row>
        <row r="223">
          <cell r="A223" t="str">
            <v>Nauru</v>
          </cell>
        </row>
        <row r="224">
          <cell r="A224" t="str">
            <v>Pitcairn Islands</v>
          </cell>
        </row>
        <row r="225">
          <cell r="A225" t="str">
            <v>Palau</v>
          </cell>
        </row>
        <row r="226">
          <cell r="A226" t="str">
            <v>French Polynesia</v>
          </cell>
        </row>
        <row r="227">
          <cell r="A227" t="str">
            <v>South Georgia &amp; South Sandwich Islands</v>
          </cell>
        </row>
        <row r="228">
          <cell r="A228" t="str">
            <v>Svalbard &amp; Jan Mayen</v>
          </cell>
        </row>
        <row r="229">
          <cell r="A229" t="str">
            <v>Solomon Islands</v>
          </cell>
        </row>
        <row r="230">
          <cell r="A230" t="str">
            <v>San Marino</v>
          </cell>
        </row>
        <row r="231">
          <cell r="A231" t="str">
            <v>Somalia</v>
          </cell>
        </row>
        <row r="232">
          <cell r="A232" t="str">
            <v>St. Pierre &amp; Miquelon</v>
          </cell>
        </row>
        <row r="233">
          <cell r="A233" t="str">
            <v>South Sudan</v>
          </cell>
        </row>
        <row r="234">
          <cell r="A234" t="str">
            <v>SÃ£o TomÃ© &amp; PrÃ­ncipe</v>
          </cell>
        </row>
        <row r="235">
          <cell r="A235" t="str">
            <v>Suriname</v>
          </cell>
        </row>
        <row r="236">
          <cell r="A236" t="str">
            <v>Eswatini</v>
          </cell>
        </row>
        <row r="237">
          <cell r="A237" t="str">
            <v>Sint Maarten</v>
          </cell>
        </row>
        <row r="238">
          <cell r="A238" t="str">
            <v>Turks &amp; Caicos Islands</v>
          </cell>
        </row>
        <row r="239">
          <cell r="A239" t="str">
            <v>Chad</v>
          </cell>
        </row>
        <row r="240">
          <cell r="A240" t="str">
            <v>Togo</v>
          </cell>
        </row>
        <row r="241">
          <cell r="A241" t="str">
            <v>Tokelau</v>
          </cell>
        </row>
        <row r="242">
          <cell r="A242" t="str">
            <v>Timor-Leste</v>
          </cell>
        </row>
        <row r="243">
          <cell r="A243" t="str">
            <v>Tonga</v>
          </cell>
        </row>
        <row r="244">
          <cell r="A244" t="str">
            <v>Tuvalu</v>
          </cell>
        </row>
        <row r="245">
          <cell r="A245" t="str">
            <v>Uganda</v>
          </cell>
        </row>
        <row r="246">
          <cell r="A246" t="str">
            <v>U.S. Outlying Islands</v>
          </cell>
        </row>
        <row r="247">
          <cell r="A247" t="str">
            <v>Vatican City</v>
          </cell>
        </row>
        <row r="248">
          <cell r="A248" t="str">
            <v>St. Vincent &amp; Grenadines</v>
          </cell>
        </row>
        <row r="249">
          <cell r="A249" t="str">
            <v>British Virgin Islands</v>
          </cell>
        </row>
        <row r="250">
          <cell r="A250" t="str">
            <v>U.S. Virgin Islands</v>
          </cell>
        </row>
        <row r="251">
          <cell r="A251" t="str">
            <v>Vanuatu</v>
          </cell>
        </row>
        <row r="252">
          <cell r="A252" t="str">
            <v>Wallis &amp; Futuna</v>
          </cell>
        </row>
        <row r="253">
          <cell r="A253" t="str">
            <v>Samoa</v>
          </cell>
        </row>
      </sheetData>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30)"/>
    </sheetNames>
    <sheetDataSet>
      <sheetData sheetId="0" refreshError="1">
        <row r="1">
          <cell r="A1" t="str">
            <v>Kategori: TÃ¼m kategoriler</v>
          </cell>
        </row>
        <row r="3">
          <cell r="A3" t="str">
            <v>Ãœlke</v>
          </cell>
          <cell r="B3" t="str">
            <v>Dijkstra AlgoritmasÄ±: (2018)</v>
          </cell>
          <cell r="C3" t="str">
            <v>MapReduce: (2018)</v>
          </cell>
        </row>
        <row r="4">
          <cell r="A4" t="str">
            <v>China</v>
          </cell>
          <cell r="B4">
            <v>0.18</v>
          </cell>
          <cell r="C4">
            <v>0.82</v>
          </cell>
        </row>
        <row r="5">
          <cell r="A5" t="str">
            <v>St. Helena</v>
          </cell>
          <cell r="B5">
            <v>0.28000000000000003</v>
          </cell>
          <cell r="C5">
            <v>0.72</v>
          </cell>
        </row>
        <row r="6">
          <cell r="A6" t="str">
            <v>Iceland</v>
          </cell>
        </row>
        <row r="7">
          <cell r="A7" t="str">
            <v>South Korea</v>
          </cell>
          <cell r="B7">
            <v>0.37</v>
          </cell>
          <cell r="C7">
            <v>0.63</v>
          </cell>
        </row>
        <row r="8">
          <cell r="A8" t="str">
            <v>Singapore</v>
          </cell>
          <cell r="B8">
            <v>0.53</v>
          </cell>
          <cell r="C8">
            <v>0.47</v>
          </cell>
        </row>
        <row r="9">
          <cell r="A9" t="str">
            <v>India</v>
          </cell>
          <cell r="B9">
            <v>0.4</v>
          </cell>
          <cell r="C9">
            <v>0.6</v>
          </cell>
        </row>
        <row r="10">
          <cell r="A10" t="str">
            <v>Cuba</v>
          </cell>
        </row>
        <row r="11">
          <cell r="A11" t="str">
            <v>Tunisia</v>
          </cell>
          <cell r="B11">
            <v>0.41</v>
          </cell>
          <cell r="C11">
            <v>0.59</v>
          </cell>
        </row>
        <row r="12">
          <cell r="A12" t="str">
            <v>Netherlands</v>
          </cell>
          <cell r="B12">
            <v>0.8</v>
          </cell>
          <cell r="C12">
            <v>0.2</v>
          </cell>
        </row>
        <row r="13">
          <cell r="A13" t="str">
            <v>Ireland</v>
          </cell>
          <cell r="B13">
            <v>0.38</v>
          </cell>
          <cell r="C13">
            <v>0.62</v>
          </cell>
        </row>
        <row r="14">
          <cell r="A14" t="str">
            <v>Pakistan</v>
          </cell>
          <cell r="B14">
            <v>0.69</v>
          </cell>
          <cell r="C14">
            <v>0.31</v>
          </cell>
        </row>
        <row r="15">
          <cell r="A15" t="str">
            <v>Nepal</v>
          </cell>
          <cell r="B15">
            <v>0.55000000000000004</v>
          </cell>
          <cell r="C15">
            <v>0.45</v>
          </cell>
        </row>
        <row r="16">
          <cell r="A16" t="str">
            <v>Hong Kong</v>
          </cell>
          <cell r="B16">
            <v>0.38</v>
          </cell>
          <cell r="C16">
            <v>0.62</v>
          </cell>
        </row>
        <row r="17">
          <cell r="A17" t="str">
            <v>Israel</v>
          </cell>
          <cell r="B17">
            <v>0.49</v>
          </cell>
          <cell r="C17">
            <v>0.51</v>
          </cell>
        </row>
        <row r="18">
          <cell r="A18" t="str">
            <v>Bangladesh</v>
          </cell>
          <cell r="B18">
            <v>0.85</v>
          </cell>
          <cell r="C18">
            <v>0.15</v>
          </cell>
        </row>
        <row r="19">
          <cell r="A19" t="str">
            <v>Cameroon</v>
          </cell>
        </row>
        <row r="20">
          <cell r="A20" t="str">
            <v>North Macedonia</v>
          </cell>
        </row>
        <row r="21">
          <cell r="A21" t="str">
            <v>Romania</v>
          </cell>
          <cell r="B21">
            <v>0.77</v>
          </cell>
          <cell r="C21">
            <v>0.23</v>
          </cell>
        </row>
        <row r="22">
          <cell r="A22" t="str">
            <v>Sri Lanka</v>
          </cell>
          <cell r="B22">
            <v>0.63</v>
          </cell>
          <cell r="C22">
            <v>0.37</v>
          </cell>
        </row>
        <row r="23">
          <cell r="A23" t="str">
            <v>Zimbabwe</v>
          </cell>
        </row>
        <row r="24">
          <cell r="A24" t="str">
            <v>Canada</v>
          </cell>
          <cell r="B24">
            <v>0.56999999999999995</v>
          </cell>
          <cell r="C24">
            <v>0.43</v>
          </cell>
        </row>
        <row r="25">
          <cell r="A25" t="str">
            <v>Syria</v>
          </cell>
          <cell r="B25">
            <v>1</v>
          </cell>
        </row>
        <row r="26">
          <cell r="A26" t="str">
            <v>United States</v>
          </cell>
          <cell r="B26">
            <v>0.47</v>
          </cell>
          <cell r="C26">
            <v>0.53</v>
          </cell>
        </row>
        <row r="27">
          <cell r="A27" t="str">
            <v>Estonia</v>
          </cell>
        </row>
        <row r="28">
          <cell r="A28" t="str">
            <v>Norway</v>
          </cell>
          <cell r="B28">
            <v>0.7</v>
          </cell>
          <cell r="C28">
            <v>0.3</v>
          </cell>
        </row>
        <row r="29">
          <cell r="A29" t="str">
            <v>Switzerland</v>
          </cell>
          <cell r="B29">
            <v>0.61</v>
          </cell>
          <cell r="C29">
            <v>0.39</v>
          </cell>
        </row>
        <row r="30">
          <cell r="A30" t="str">
            <v>Sweden</v>
          </cell>
          <cell r="B30">
            <v>0.69</v>
          </cell>
          <cell r="C30">
            <v>0.31</v>
          </cell>
        </row>
        <row r="31">
          <cell r="A31" t="str">
            <v>Belarus</v>
          </cell>
          <cell r="B31">
            <v>0.63</v>
          </cell>
          <cell r="C31">
            <v>0.37</v>
          </cell>
        </row>
        <row r="32">
          <cell r="A32" t="str">
            <v>Congo - Kinshasa</v>
          </cell>
        </row>
        <row r="33">
          <cell r="A33" t="str">
            <v>Czechia</v>
          </cell>
          <cell r="B33">
            <v>0.7</v>
          </cell>
          <cell r="C33">
            <v>0.3</v>
          </cell>
        </row>
        <row r="34">
          <cell r="A34" t="str">
            <v>Germany</v>
          </cell>
          <cell r="B34">
            <v>0.69</v>
          </cell>
          <cell r="C34">
            <v>0.31</v>
          </cell>
        </row>
        <row r="35">
          <cell r="A35" t="str">
            <v>Hungary</v>
          </cell>
          <cell r="B35">
            <v>0.71</v>
          </cell>
          <cell r="C35">
            <v>0.28999999999999998</v>
          </cell>
        </row>
        <row r="36">
          <cell r="A36" t="str">
            <v>Australia</v>
          </cell>
          <cell r="B36">
            <v>0.54</v>
          </cell>
          <cell r="C36">
            <v>0.46</v>
          </cell>
        </row>
        <row r="37">
          <cell r="A37" t="str">
            <v>Morocco</v>
          </cell>
          <cell r="B37">
            <v>0.46</v>
          </cell>
          <cell r="C37">
            <v>0.54</v>
          </cell>
        </row>
        <row r="38">
          <cell r="A38" t="str">
            <v>Bolivia</v>
          </cell>
          <cell r="B38">
            <v>1</v>
          </cell>
        </row>
        <row r="39">
          <cell r="A39" t="str">
            <v>New Zealand</v>
          </cell>
          <cell r="B39">
            <v>0.6</v>
          </cell>
          <cell r="C39">
            <v>0.4</v>
          </cell>
        </row>
        <row r="40">
          <cell r="A40" t="str">
            <v>Albania</v>
          </cell>
        </row>
        <row r="41">
          <cell r="A41" t="str">
            <v>France</v>
          </cell>
          <cell r="B41">
            <v>0.64</v>
          </cell>
          <cell r="C41">
            <v>0.36</v>
          </cell>
        </row>
        <row r="42">
          <cell r="A42" t="str">
            <v>Finland</v>
          </cell>
          <cell r="B42">
            <v>0.6</v>
          </cell>
          <cell r="C42">
            <v>0.4</v>
          </cell>
        </row>
        <row r="43">
          <cell r="A43" t="str">
            <v>Greece</v>
          </cell>
          <cell r="B43">
            <v>0.66</v>
          </cell>
          <cell r="C43">
            <v>0.34</v>
          </cell>
        </row>
        <row r="44">
          <cell r="A44" t="str">
            <v>Austria</v>
          </cell>
          <cell r="B44">
            <v>0.73</v>
          </cell>
          <cell r="C44">
            <v>0.27</v>
          </cell>
        </row>
        <row r="45">
          <cell r="A45" t="str">
            <v>Denmark</v>
          </cell>
          <cell r="B45">
            <v>0.71</v>
          </cell>
          <cell r="C45">
            <v>0.28999999999999998</v>
          </cell>
        </row>
        <row r="46">
          <cell r="A46" t="str">
            <v>Lebanon</v>
          </cell>
        </row>
        <row r="47">
          <cell r="A47" t="str">
            <v>Poland</v>
          </cell>
          <cell r="B47">
            <v>0.72</v>
          </cell>
          <cell r="C47">
            <v>0.28000000000000003</v>
          </cell>
        </row>
        <row r="48">
          <cell r="A48" t="str">
            <v>Taiwan</v>
          </cell>
          <cell r="B48">
            <v>0.51</v>
          </cell>
          <cell r="C48">
            <v>0.49</v>
          </cell>
        </row>
        <row r="49">
          <cell r="A49" t="str">
            <v>Lithuania</v>
          </cell>
          <cell r="B49">
            <v>1</v>
          </cell>
        </row>
        <row r="50">
          <cell r="A50" t="str">
            <v>Portugal</v>
          </cell>
          <cell r="B50">
            <v>0.64</v>
          </cell>
          <cell r="C50">
            <v>0.36</v>
          </cell>
        </row>
        <row r="51">
          <cell r="A51" t="str">
            <v>Croatia</v>
          </cell>
        </row>
        <row r="52">
          <cell r="A52" t="str">
            <v>Slovakia</v>
          </cell>
        </row>
        <row r="53">
          <cell r="A53" t="str">
            <v>United Kingdom</v>
          </cell>
          <cell r="B53">
            <v>0.6</v>
          </cell>
          <cell r="C53">
            <v>0.4</v>
          </cell>
        </row>
        <row r="54">
          <cell r="A54" t="str">
            <v>Russia</v>
          </cell>
          <cell r="B54">
            <v>0.6</v>
          </cell>
          <cell r="C54">
            <v>0.4</v>
          </cell>
        </row>
        <row r="55">
          <cell r="A55" t="str">
            <v>Serbia</v>
          </cell>
          <cell r="B55">
            <v>0.57999999999999996</v>
          </cell>
          <cell r="C55">
            <v>0.42</v>
          </cell>
        </row>
        <row r="56">
          <cell r="A56" t="str">
            <v>Slovenia</v>
          </cell>
        </row>
        <row r="57">
          <cell r="A57" t="str">
            <v>Algeria</v>
          </cell>
          <cell r="B57">
            <v>0.54</v>
          </cell>
          <cell r="C57">
            <v>0.46</v>
          </cell>
        </row>
        <row r="58">
          <cell r="A58" t="str">
            <v>Philippines</v>
          </cell>
          <cell r="B58">
            <v>0.78</v>
          </cell>
          <cell r="C58">
            <v>0.22</v>
          </cell>
        </row>
        <row r="59">
          <cell r="A59" t="str">
            <v>Jordan</v>
          </cell>
        </row>
        <row r="60">
          <cell r="A60" t="str">
            <v>Vietnam</v>
          </cell>
          <cell r="B60">
            <v>0.7</v>
          </cell>
          <cell r="C60">
            <v>0.3</v>
          </cell>
        </row>
        <row r="61">
          <cell r="A61" t="str">
            <v>Bulgaria</v>
          </cell>
          <cell r="B61">
            <v>0.65</v>
          </cell>
          <cell r="C61">
            <v>0.35</v>
          </cell>
        </row>
        <row r="62">
          <cell r="A62" t="str">
            <v>Costa Rica</v>
          </cell>
        </row>
        <row r="63">
          <cell r="A63" t="str">
            <v>Ukraine</v>
          </cell>
          <cell r="B63">
            <v>0.6</v>
          </cell>
          <cell r="C63">
            <v>0.4</v>
          </cell>
        </row>
        <row r="64">
          <cell r="A64" t="str">
            <v>Peru</v>
          </cell>
          <cell r="B64">
            <v>0.74</v>
          </cell>
          <cell r="C64">
            <v>0.26</v>
          </cell>
        </row>
        <row r="65">
          <cell r="A65" t="str">
            <v>Chile</v>
          </cell>
          <cell r="B65">
            <v>0.63</v>
          </cell>
          <cell r="C65">
            <v>0.37</v>
          </cell>
        </row>
        <row r="66">
          <cell r="A66" t="str">
            <v>Ecuador</v>
          </cell>
          <cell r="B66">
            <v>0.66</v>
          </cell>
          <cell r="C66">
            <v>0.34</v>
          </cell>
        </row>
        <row r="67">
          <cell r="A67" t="str">
            <v>Armenia</v>
          </cell>
        </row>
        <row r="68">
          <cell r="A68" t="str">
            <v>Belgium</v>
          </cell>
          <cell r="B68">
            <v>0.63</v>
          </cell>
          <cell r="C68">
            <v>0.37</v>
          </cell>
        </row>
        <row r="69">
          <cell r="A69" t="str">
            <v>United Arab Emirates</v>
          </cell>
          <cell r="B69">
            <v>0.37</v>
          </cell>
          <cell r="C69">
            <v>0.63</v>
          </cell>
        </row>
        <row r="70">
          <cell r="A70" t="str">
            <v>Cyprus</v>
          </cell>
        </row>
        <row r="71">
          <cell r="A71" t="str">
            <v>Iran</v>
          </cell>
          <cell r="B71">
            <v>0.61</v>
          </cell>
          <cell r="C71">
            <v>0.39</v>
          </cell>
        </row>
        <row r="72">
          <cell r="A72" t="str">
            <v>Uruguay</v>
          </cell>
        </row>
        <row r="73">
          <cell r="A73" t="str">
            <v>Bosnia &amp; Herzegovina</v>
          </cell>
        </row>
        <row r="74">
          <cell r="A74" t="str">
            <v>Malaysia</v>
          </cell>
          <cell r="B74">
            <v>0.52</v>
          </cell>
          <cell r="C74">
            <v>0.48</v>
          </cell>
        </row>
        <row r="75">
          <cell r="A75" t="str">
            <v>Colombia</v>
          </cell>
          <cell r="B75">
            <v>0.66</v>
          </cell>
          <cell r="C75">
            <v>0.34</v>
          </cell>
        </row>
        <row r="76">
          <cell r="A76" t="str">
            <v>Guatemala</v>
          </cell>
        </row>
        <row r="77">
          <cell r="A77" t="str">
            <v>Indonesia</v>
          </cell>
          <cell r="B77">
            <v>0.81</v>
          </cell>
          <cell r="C77">
            <v>0.19</v>
          </cell>
        </row>
        <row r="78">
          <cell r="A78" t="str">
            <v>Italy</v>
          </cell>
          <cell r="B78">
            <v>0.65</v>
          </cell>
          <cell r="C78">
            <v>0.35</v>
          </cell>
        </row>
        <row r="79">
          <cell r="A79" t="str">
            <v>Kenya</v>
          </cell>
          <cell r="B79">
            <v>1</v>
          </cell>
        </row>
        <row r="80">
          <cell r="A80" t="str">
            <v>Spain</v>
          </cell>
          <cell r="B80">
            <v>0.47</v>
          </cell>
          <cell r="C80">
            <v>0.53</v>
          </cell>
        </row>
        <row r="81">
          <cell r="A81" t="str">
            <v>Mexico</v>
          </cell>
          <cell r="B81">
            <v>0.74</v>
          </cell>
          <cell r="C81">
            <v>0.26</v>
          </cell>
        </row>
        <row r="82">
          <cell r="A82" t="str">
            <v>Ghana</v>
          </cell>
        </row>
        <row r="83">
          <cell r="A83" t="str">
            <v>South Africa</v>
          </cell>
          <cell r="B83">
            <v>0.56000000000000005</v>
          </cell>
          <cell r="C83">
            <v>0.44</v>
          </cell>
        </row>
        <row r="84">
          <cell r="A84" t="str">
            <v>Kazakhstan</v>
          </cell>
          <cell r="B84">
            <v>1</v>
          </cell>
        </row>
        <row r="85">
          <cell r="A85" t="str">
            <v>Egypt</v>
          </cell>
          <cell r="B85">
            <v>0.54</v>
          </cell>
          <cell r="C85">
            <v>0.46</v>
          </cell>
        </row>
        <row r="86">
          <cell r="A86" t="str">
            <v>Japan</v>
          </cell>
          <cell r="B86">
            <v>0.53</v>
          </cell>
          <cell r="C86">
            <v>0.47</v>
          </cell>
        </row>
        <row r="87">
          <cell r="A87" t="str">
            <v>Brazil</v>
          </cell>
          <cell r="B87">
            <v>0.63</v>
          </cell>
          <cell r="C87">
            <v>0.37</v>
          </cell>
        </row>
        <row r="88">
          <cell r="A88" t="str">
            <v>Argentina</v>
          </cell>
          <cell r="B88">
            <v>0.64</v>
          </cell>
          <cell r="C88">
            <v>0.36</v>
          </cell>
        </row>
        <row r="89">
          <cell r="A89" t="str">
            <v>Saudi Arabia</v>
          </cell>
        </row>
        <row r="90">
          <cell r="A90" t="str">
            <v>Turkey</v>
          </cell>
          <cell r="B90">
            <v>0.66</v>
          </cell>
          <cell r="C90">
            <v>0.34</v>
          </cell>
        </row>
        <row r="91">
          <cell r="A91" t="str">
            <v>Nigeria</v>
          </cell>
        </row>
        <row r="92">
          <cell r="A92" t="str">
            <v>Kuwait</v>
          </cell>
        </row>
        <row r="93">
          <cell r="A93" t="str">
            <v>Thailand</v>
          </cell>
          <cell r="B93">
            <v>0.47</v>
          </cell>
          <cell r="C93">
            <v>0.53</v>
          </cell>
        </row>
        <row r="94">
          <cell r="A94" t="str">
            <v>Venezuela</v>
          </cell>
        </row>
        <row r="95">
          <cell r="A95" t="str">
            <v>Svalbard &amp; Jan Mayen</v>
          </cell>
        </row>
        <row r="96">
          <cell r="A96" t="str">
            <v>Vanuatu</v>
          </cell>
        </row>
        <row r="97">
          <cell r="A97" t="str">
            <v>Djibouti</v>
          </cell>
        </row>
        <row r="98">
          <cell r="A98" t="str">
            <v>Gibraltar</v>
          </cell>
        </row>
        <row r="99">
          <cell r="A99" t="str">
            <v>Monaco</v>
          </cell>
        </row>
        <row r="100">
          <cell r="A100" t="str">
            <v>Timor-Leste</v>
          </cell>
        </row>
        <row r="101">
          <cell r="A101" t="str">
            <v>Gambia</v>
          </cell>
        </row>
        <row r="102">
          <cell r="A102" t="str">
            <v>Eswatini</v>
          </cell>
        </row>
        <row r="103">
          <cell r="A103" t="str">
            <v>Bhutan</v>
          </cell>
        </row>
        <row r="104">
          <cell r="A104" t="str">
            <v>Fiji</v>
          </cell>
        </row>
        <row r="105">
          <cell r="A105" t="str">
            <v>Lesotho</v>
          </cell>
        </row>
        <row r="106">
          <cell r="A106" t="str">
            <v>Malawi</v>
          </cell>
        </row>
        <row r="107">
          <cell r="A107" t="str">
            <v>Aruba</v>
          </cell>
        </row>
        <row r="108">
          <cell r="A108" t="str">
            <v>CuraÃ§ao</v>
          </cell>
        </row>
        <row r="109">
          <cell r="A109" t="str">
            <v>Isle of Man</v>
          </cell>
        </row>
        <row r="110">
          <cell r="A110" t="str">
            <v>French Guiana</v>
          </cell>
        </row>
        <row r="111">
          <cell r="A111" t="str">
            <v>Papua New Guinea</v>
          </cell>
        </row>
        <row r="112">
          <cell r="A112" t="str">
            <v>Maldives</v>
          </cell>
        </row>
        <row r="113">
          <cell r="A113" t="str">
            <v>Madagascar</v>
          </cell>
        </row>
        <row r="114">
          <cell r="A114" t="str">
            <v>Guam</v>
          </cell>
        </row>
        <row r="115">
          <cell r="A115" t="str">
            <v>New Caledonia</v>
          </cell>
        </row>
        <row r="116">
          <cell r="A116" t="str">
            <v>Botswana</v>
          </cell>
        </row>
        <row r="117">
          <cell r="A117" t="str">
            <v>Myanmar (Burma)</v>
          </cell>
        </row>
        <row r="118">
          <cell r="A118" t="str">
            <v>Suriname</v>
          </cell>
        </row>
        <row r="119">
          <cell r="A119" t="str">
            <v>Guadeloupe</v>
          </cell>
        </row>
        <row r="120">
          <cell r="A120" t="str">
            <v>Senegal</v>
          </cell>
        </row>
        <row r="121">
          <cell r="A121" t="str">
            <v>Guinea</v>
          </cell>
        </row>
        <row r="122">
          <cell r="A122" t="str">
            <v>Ethiopia</v>
          </cell>
        </row>
        <row r="123">
          <cell r="A123" t="str">
            <v>Rwanda</v>
          </cell>
        </row>
        <row r="124">
          <cell r="A124" t="str">
            <v>Afghanistan</v>
          </cell>
        </row>
        <row r="125">
          <cell r="A125" t="str">
            <v>Palestine</v>
          </cell>
        </row>
        <row r="126">
          <cell r="A126" t="str">
            <v>Kosovo</v>
          </cell>
        </row>
        <row r="127">
          <cell r="A127" t="str">
            <v>CÃ´te dâ€™Ivoire</v>
          </cell>
        </row>
        <row r="128">
          <cell r="A128" t="str">
            <v>Laos</v>
          </cell>
        </row>
        <row r="129">
          <cell r="A129" t="str">
            <v>Angola</v>
          </cell>
        </row>
        <row r="130">
          <cell r="A130" t="str">
            <v>RÃ©union</v>
          </cell>
        </row>
        <row r="131">
          <cell r="A131" t="str">
            <v>Trinidad &amp; Tobago</v>
          </cell>
        </row>
        <row r="132">
          <cell r="A132" t="str">
            <v>Luxembourg</v>
          </cell>
        </row>
        <row r="133">
          <cell r="A133" t="str">
            <v>Burkina Faso</v>
          </cell>
        </row>
        <row r="134">
          <cell r="A134" t="str">
            <v>Malta</v>
          </cell>
        </row>
        <row r="135">
          <cell r="A135" t="str">
            <v>Mongolia</v>
          </cell>
        </row>
        <row r="136">
          <cell r="A136" t="str">
            <v>Brunei</v>
          </cell>
        </row>
        <row r="137">
          <cell r="A137" t="str">
            <v>Macao</v>
          </cell>
        </row>
        <row r="138">
          <cell r="A138" t="str">
            <v>Honduras</v>
          </cell>
        </row>
        <row r="139">
          <cell r="A139" t="str">
            <v>Qatar</v>
          </cell>
        </row>
        <row r="140">
          <cell r="A140" t="str">
            <v>Oman</v>
          </cell>
        </row>
        <row r="141">
          <cell r="A141" t="str">
            <v>Georgia</v>
          </cell>
        </row>
        <row r="142">
          <cell r="A142" t="str">
            <v>Nicaragua</v>
          </cell>
        </row>
        <row r="143">
          <cell r="A143" t="str">
            <v>Puerto Rico</v>
          </cell>
        </row>
        <row r="144">
          <cell r="A144" t="str">
            <v>Uganda</v>
          </cell>
        </row>
        <row r="145">
          <cell r="A145" t="str">
            <v>Uzbekistan</v>
          </cell>
        </row>
        <row r="146">
          <cell r="A146" t="str">
            <v>Montenegro</v>
          </cell>
        </row>
        <row r="147">
          <cell r="A147" t="str">
            <v>Bahrain</v>
          </cell>
        </row>
        <row r="148">
          <cell r="A148" t="str">
            <v>Libya</v>
          </cell>
        </row>
        <row r="149">
          <cell r="A149" t="str">
            <v>Moldova</v>
          </cell>
        </row>
        <row r="150">
          <cell r="A150" t="str">
            <v>Latvia</v>
          </cell>
        </row>
        <row r="151">
          <cell r="A151" t="str">
            <v>Paraguay</v>
          </cell>
        </row>
        <row r="152">
          <cell r="A152" t="str">
            <v>Jamaica</v>
          </cell>
        </row>
        <row r="153">
          <cell r="A153" t="str">
            <v>Mauritius</v>
          </cell>
        </row>
        <row r="154">
          <cell r="A154" t="str">
            <v>Zambia</v>
          </cell>
        </row>
        <row r="155">
          <cell r="A155" t="str">
            <v>El Salvador</v>
          </cell>
        </row>
        <row r="156">
          <cell r="A156" t="str">
            <v>Sudan</v>
          </cell>
        </row>
        <row r="157">
          <cell r="A157" t="str">
            <v>Kyrgyzstan</v>
          </cell>
        </row>
        <row r="158">
          <cell r="A158" t="str">
            <v>Iraq</v>
          </cell>
        </row>
        <row r="159">
          <cell r="A159" t="str">
            <v>Azerbaijan</v>
          </cell>
        </row>
        <row r="160">
          <cell r="A160" t="str">
            <v>Tanzania</v>
          </cell>
        </row>
        <row r="161">
          <cell r="A161" t="str">
            <v>Cambodia</v>
          </cell>
        </row>
        <row r="162">
          <cell r="A162" t="str">
            <v>Panama</v>
          </cell>
        </row>
        <row r="163">
          <cell r="A163" t="str">
            <v>Dominican Republic</v>
          </cell>
        </row>
        <row r="164">
          <cell r="A164" t="str">
            <v>Anguilla</v>
          </cell>
        </row>
        <row r="165">
          <cell r="A165" t="str">
            <v>Ã…land Islands</v>
          </cell>
        </row>
        <row r="166">
          <cell r="A166" t="str">
            <v>Andorra</v>
          </cell>
        </row>
        <row r="167">
          <cell r="A167" t="str">
            <v>American Samoa</v>
          </cell>
        </row>
        <row r="168">
          <cell r="A168" t="str">
            <v>Antarctica</v>
          </cell>
        </row>
        <row r="169">
          <cell r="A169" t="str">
            <v>French Southern Territories</v>
          </cell>
        </row>
        <row r="170">
          <cell r="A170" t="str">
            <v>Antigua &amp; Barbuda</v>
          </cell>
        </row>
        <row r="171">
          <cell r="A171" t="str">
            <v>Burundi</v>
          </cell>
        </row>
        <row r="172">
          <cell r="A172" t="str">
            <v>Benin</v>
          </cell>
        </row>
        <row r="173">
          <cell r="A173" t="str">
            <v>Caribbean Netherlands</v>
          </cell>
        </row>
        <row r="174">
          <cell r="A174" t="str">
            <v>Bahamas</v>
          </cell>
        </row>
        <row r="175">
          <cell r="A175" t="str">
            <v>St. BarthÃ©lemy</v>
          </cell>
        </row>
        <row r="176">
          <cell r="A176" t="str">
            <v>Belize</v>
          </cell>
        </row>
        <row r="177">
          <cell r="A177" t="str">
            <v>Bermuda</v>
          </cell>
        </row>
        <row r="178">
          <cell r="A178" t="str">
            <v>Barbados</v>
          </cell>
        </row>
        <row r="179">
          <cell r="A179" t="str">
            <v>Bouvet Island</v>
          </cell>
        </row>
        <row r="180">
          <cell r="A180" t="str">
            <v>Central African Republic</v>
          </cell>
        </row>
        <row r="181">
          <cell r="A181" t="str">
            <v>Cocos (Keeling) Islands</v>
          </cell>
        </row>
        <row r="182">
          <cell r="A182" t="str">
            <v>Congo - Brazzaville</v>
          </cell>
        </row>
        <row r="183">
          <cell r="A183" t="str">
            <v>Cook Islands</v>
          </cell>
        </row>
        <row r="184">
          <cell r="A184" t="str">
            <v>Comoros</v>
          </cell>
        </row>
        <row r="185">
          <cell r="A185" t="str">
            <v>Cape Verde</v>
          </cell>
        </row>
        <row r="186">
          <cell r="A186" t="str">
            <v>Christmas Island</v>
          </cell>
        </row>
        <row r="187">
          <cell r="A187" t="str">
            <v>Cayman Islands</v>
          </cell>
        </row>
        <row r="188">
          <cell r="A188" t="str">
            <v>Dominica</v>
          </cell>
        </row>
        <row r="189">
          <cell r="A189" t="str">
            <v>Eritrea</v>
          </cell>
        </row>
        <row r="190">
          <cell r="A190" t="str">
            <v>Western Sahara</v>
          </cell>
        </row>
        <row r="191">
          <cell r="A191" t="str">
            <v>Falkland Islands (Islas Malvinas)</v>
          </cell>
        </row>
        <row r="192">
          <cell r="A192" t="str">
            <v>Faroe Islands</v>
          </cell>
        </row>
        <row r="193">
          <cell r="A193" t="str">
            <v>Micronesia</v>
          </cell>
        </row>
        <row r="194">
          <cell r="A194" t="str">
            <v>Gabon</v>
          </cell>
        </row>
        <row r="195">
          <cell r="A195" t="str">
            <v>Guernsey</v>
          </cell>
        </row>
        <row r="196">
          <cell r="A196" t="str">
            <v>Guinea-Bissau</v>
          </cell>
        </row>
        <row r="197">
          <cell r="A197" t="str">
            <v>Equatorial Guinea</v>
          </cell>
        </row>
        <row r="198">
          <cell r="A198" t="str">
            <v>Grenada</v>
          </cell>
        </row>
        <row r="199">
          <cell r="A199" t="str">
            <v>Greenland</v>
          </cell>
        </row>
        <row r="200">
          <cell r="A200" t="str">
            <v>Guyana</v>
          </cell>
        </row>
        <row r="201">
          <cell r="A201" t="str">
            <v>Heard &amp; McDonald Islands</v>
          </cell>
        </row>
        <row r="202">
          <cell r="A202" t="str">
            <v>Haiti</v>
          </cell>
        </row>
        <row r="203">
          <cell r="A203" t="str">
            <v>British Indian Ocean Territory</v>
          </cell>
        </row>
        <row r="204">
          <cell r="A204" t="str">
            <v>Jersey</v>
          </cell>
        </row>
        <row r="205">
          <cell r="A205" t="str">
            <v>Kiribati</v>
          </cell>
        </row>
        <row r="206">
          <cell r="A206" t="str">
            <v>St. Kitts &amp; Nevis</v>
          </cell>
        </row>
        <row r="207">
          <cell r="A207" t="str">
            <v>Liberia</v>
          </cell>
        </row>
        <row r="208">
          <cell r="A208" t="str">
            <v>St. Lucia</v>
          </cell>
        </row>
        <row r="209">
          <cell r="A209" t="str">
            <v>Liechtenstein</v>
          </cell>
        </row>
        <row r="210">
          <cell r="A210" t="str">
            <v>St. Martin</v>
          </cell>
        </row>
        <row r="211">
          <cell r="A211" t="str">
            <v>Marshall Islands</v>
          </cell>
        </row>
        <row r="212">
          <cell r="A212" t="str">
            <v>Mali</v>
          </cell>
        </row>
        <row r="213">
          <cell r="A213" t="str">
            <v>Northern Mariana Islands</v>
          </cell>
        </row>
        <row r="214">
          <cell r="A214" t="str">
            <v>Mozambique</v>
          </cell>
        </row>
        <row r="215">
          <cell r="A215" t="str">
            <v>Mauritania</v>
          </cell>
        </row>
        <row r="216">
          <cell r="A216" t="str">
            <v>Montserrat</v>
          </cell>
        </row>
        <row r="217">
          <cell r="A217" t="str">
            <v>Martinique</v>
          </cell>
        </row>
        <row r="218">
          <cell r="A218" t="str">
            <v>Mayotte</v>
          </cell>
        </row>
        <row r="219">
          <cell r="A219" t="str">
            <v>Namibia</v>
          </cell>
        </row>
        <row r="220">
          <cell r="A220" t="str">
            <v>Niger</v>
          </cell>
        </row>
        <row r="221">
          <cell r="A221" t="str">
            <v>Norfolk Island</v>
          </cell>
        </row>
        <row r="222">
          <cell r="A222" t="str">
            <v>Niue</v>
          </cell>
        </row>
        <row r="223">
          <cell r="A223" t="str">
            <v>Nauru</v>
          </cell>
        </row>
        <row r="224">
          <cell r="A224" t="str">
            <v>Pitcairn Islands</v>
          </cell>
        </row>
        <row r="225">
          <cell r="A225" t="str">
            <v>Palau</v>
          </cell>
        </row>
        <row r="226">
          <cell r="A226" t="str">
            <v>North Korea</v>
          </cell>
        </row>
        <row r="227">
          <cell r="A227" t="str">
            <v>French Polynesia</v>
          </cell>
        </row>
        <row r="228">
          <cell r="A228" t="str">
            <v>South Georgia &amp; South Sandwich Islands</v>
          </cell>
        </row>
        <row r="229">
          <cell r="A229" t="str">
            <v>Solomon Islands</v>
          </cell>
        </row>
        <row r="230">
          <cell r="A230" t="str">
            <v>Sierra Leone</v>
          </cell>
        </row>
        <row r="231">
          <cell r="A231" t="str">
            <v>San Marino</v>
          </cell>
        </row>
        <row r="232">
          <cell r="A232" t="str">
            <v>Somalia</v>
          </cell>
        </row>
        <row r="233">
          <cell r="A233" t="str">
            <v>St. Pierre &amp; Miquelon</v>
          </cell>
        </row>
        <row r="234">
          <cell r="A234" t="str">
            <v>South Sudan</v>
          </cell>
        </row>
        <row r="235">
          <cell r="A235" t="str">
            <v>SÃ£o TomÃ© &amp; PrÃ­ncipe</v>
          </cell>
        </row>
        <row r="236">
          <cell r="A236" t="str">
            <v>Sint Maarten</v>
          </cell>
        </row>
        <row r="237">
          <cell r="A237" t="str">
            <v>Seychelles</v>
          </cell>
        </row>
        <row r="238">
          <cell r="A238" t="str">
            <v>Turks &amp; Caicos Islands</v>
          </cell>
        </row>
        <row r="239">
          <cell r="A239" t="str">
            <v>Chad</v>
          </cell>
        </row>
        <row r="240">
          <cell r="A240" t="str">
            <v>Togo</v>
          </cell>
        </row>
        <row r="241">
          <cell r="A241" t="str">
            <v>Tajikistan</v>
          </cell>
        </row>
        <row r="242">
          <cell r="A242" t="str">
            <v>Tokelau</v>
          </cell>
        </row>
        <row r="243">
          <cell r="A243" t="str">
            <v>Turkmenistan</v>
          </cell>
        </row>
        <row r="244">
          <cell r="A244" t="str">
            <v>Tonga</v>
          </cell>
        </row>
        <row r="245">
          <cell r="A245" t="str">
            <v>Tuvalu</v>
          </cell>
        </row>
        <row r="246">
          <cell r="A246" t="str">
            <v>U.S. Outlying Islands</v>
          </cell>
        </row>
        <row r="247">
          <cell r="A247" t="str">
            <v>Vatican City</v>
          </cell>
        </row>
        <row r="248">
          <cell r="A248" t="str">
            <v>St. Vincent &amp; Grenadines</v>
          </cell>
        </row>
        <row r="249">
          <cell r="A249" t="str">
            <v>British Virgin Islands</v>
          </cell>
        </row>
        <row r="250">
          <cell r="A250" t="str">
            <v>U.S. Virgin Islands</v>
          </cell>
        </row>
        <row r="251">
          <cell r="A251" t="str">
            <v>Wallis &amp; Futuna</v>
          </cell>
        </row>
        <row r="252">
          <cell r="A252" t="str">
            <v>Samoa</v>
          </cell>
        </row>
        <row r="253">
          <cell r="A253" t="str">
            <v>Yemen</v>
          </cell>
        </row>
      </sheetData>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31)"/>
    </sheetNames>
    <sheetDataSet>
      <sheetData sheetId="0" refreshError="1">
        <row r="1">
          <cell r="A1" t="str">
            <v>Kategori: TÃ¼m kategoriler</v>
          </cell>
        </row>
        <row r="3">
          <cell r="A3" t="str">
            <v>Ãœlke</v>
          </cell>
          <cell r="B3" t="str">
            <v>MapReduce: (2018)</v>
          </cell>
          <cell r="C3" t="str">
            <v>Integer overflow: (2018)</v>
          </cell>
        </row>
        <row r="4">
          <cell r="A4" t="str">
            <v>China</v>
          </cell>
          <cell r="B4">
            <v>0.94</v>
          </cell>
          <cell r="C4">
            <v>0.06</v>
          </cell>
        </row>
        <row r="5">
          <cell r="A5" t="str">
            <v>St. Helena</v>
          </cell>
          <cell r="B5">
            <v>0.55000000000000004</v>
          </cell>
          <cell r="C5">
            <v>0.45</v>
          </cell>
        </row>
        <row r="6">
          <cell r="A6" t="str">
            <v>Singapore</v>
          </cell>
          <cell r="B6">
            <v>0.4</v>
          </cell>
          <cell r="C6">
            <v>0.6</v>
          </cell>
        </row>
        <row r="7">
          <cell r="A7" t="str">
            <v>South Korea</v>
          </cell>
          <cell r="B7">
            <v>0.7</v>
          </cell>
          <cell r="C7">
            <v>0.3</v>
          </cell>
        </row>
        <row r="8">
          <cell r="A8" t="str">
            <v>India</v>
          </cell>
          <cell r="B8">
            <v>0.65</v>
          </cell>
          <cell r="C8">
            <v>0.35</v>
          </cell>
        </row>
        <row r="9">
          <cell r="A9" t="str">
            <v>Tunisia</v>
          </cell>
          <cell r="B9">
            <v>1</v>
          </cell>
        </row>
        <row r="10">
          <cell r="A10" t="str">
            <v>Ireland</v>
          </cell>
          <cell r="B10">
            <v>0.62</v>
          </cell>
          <cell r="C10">
            <v>0.38</v>
          </cell>
        </row>
        <row r="11">
          <cell r="A11" t="str">
            <v>Israel</v>
          </cell>
          <cell r="B11">
            <v>0.53</v>
          </cell>
          <cell r="C11">
            <v>0.47</v>
          </cell>
        </row>
        <row r="12">
          <cell r="A12" t="str">
            <v>Hong Kong</v>
          </cell>
          <cell r="B12">
            <v>0.6</v>
          </cell>
          <cell r="C12">
            <v>0.4</v>
          </cell>
        </row>
        <row r="13">
          <cell r="A13" t="str">
            <v>Ghana</v>
          </cell>
          <cell r="C13">
            <v>1</v>
          </cell>
        </row>
        <row r="14">
          <cell r="A14" t="str">
            <v>Sri Lanka</v>
          </cell>
          <cell r="B14">
            <v>0.36</v>
          </cell>
          <cell r="C14">
            <v>0.64</v>
          </cell>
        </row>
        <row r="15">
          <cell r="A15" t="str">
            <v>Nepal</v>
          </cell>
        </row>
        <row r="16">
          <cell r="A16" t="str">
            <v>Pakistan</v>
          </cell>
          <cell r="B16">
            <v>0.41</v>
          </cell>
          <cell r="C16">
            <v>0.59</v>
          </cell>
        </row>
        <row r="17">
          <cell r="A17" t="str">
            <v>United States</v>
          </cell>
          <cell r="B17">
            <v>0.5</v>
          </cell>
          <cell r="C17">
            <v>0.5</v>
          </cell>
        </row>
        <row r="18">
          <cell r="A18" t="str">
            <v>Canada</v>
          </cell>
          <cell r="B18">
            <v>0.45</v>
          </cell>
          <cell r="C18">
            <v>0.55000000000000004</v>
          </cell>
        </row>
        <row r="19">
          <cell r="A19" t="str">
            <v>South Africa</v>
          </cell>
          <cell r="B19">
            <v>0.22</v>
          </cell>
          <cell r="C19">
            <v>0.78</v>
          </cell>
        </row>
        <row r="20">
          <cell r="A20" t="str">
            <v>Malaysia</v>
          </cell>
          <cell r="B20">
            <v>0.36</v>
          </cell>
          <cell r="C20">
            <v>0.64</v>
          </cell>
        </row>
        <row r="21">
          <cell r="A21" t="str">
            <v>United Kingdom</v>
          </cell>
          <cell r="B21">
            <v>0.35</v>
          </cell>
          <cell r="C21">
            <v>0.65</v>
          </cell>
        </row>
        <row r="22">
          <cell r="A22" t="str">
            <v>New Zealand</v>
          </cell>
          <cell r="B22">
            <v>0.4</v>
          </cell>
          <cell r="C22">
            <v>0.6</v>
          </cell>
        </row>
        <row r="23">
          <cell r="A23" t="str">
            <v>Morocco</v>
          </cell>
          <cell r="B23">
            <v>1</v>
          </cell>
        </row>
        <row r="24">
          <cell r="A24" t="str">
            <v>Laos</v>
          </cell>
        </row>
        <row r="25">
          <cell r="A25" t="str">
            <v>Philippines</v>
          </cell>
          <cell r="B25">
            <v>0.17</v>
          </cell>
          <cell r="C25">
            <v>0.83</v>
          </cell>
        </row>
        <row r="26">
          <cell r="A26" t="str">
            <v>Australia</v>
          </cell>
          <cell r="B26">
            <v>0.48</v>
          </cell>
          <cell r="C26">
            <v>0.52</v>
          </cell>
        </row>
        <row r="27">
          <cell r="A27" t="str">
            <v>Switzerland</v>
          </cell>
          <cell r="B27">
            <v>0.46</v>
          </cell>
          <cell r="C27">
            <v>0.54</v>
          </cell>
        </row>
        <row r="28">
          <cell r="A28" t="str">
            <v>United Arab Emirates</v>
          </cell>
          <cell r="B28">
            <v>0.43</v>
          </cell>
          <cell r="C28">
            <v>0.56999999999999995</v>
          </cell>
        </row>
        <row r="29">
          <cell r="A29" t="str">
            <v>Taiwan</v>
          </cell>
          <cell r="B29">
            <v>0.61</v>
          </cell>
          <cell r="C29">
            <v>0.39</v>
          </cell>
        </row>
        <row r="30">
          <cell r="A30" t="str">
            <v>Nigeria</v>
          </cell>
          <cell r="B30">
            <v>0.3</v>
          </cell>
          <cell r="C30">
            <v>0.7</v>
          </cell>
        </row>
        <row r="31">
          <cell r="A31" t="str">
            <v>Bangladesh</v>
          </cell>
          <cell r="B31">
            <v>0.3</v>
          </cell>
          <cell r="C31">
            <v>0.7</v>
          </cell>
        </row>
        <row r="32">
          <cell r="A32" t="str">
            <v>Sweden</v>
          </cell>
          <cell r="B32">
            <v>0.38</v>
          </cell>
          <cell r="C32">
            <v>0.62</v>
          </cell>
        </row>
        <row r="33">
          <cell r="A33" t="str">
            <v>North Macedonia</v>
          </cell>
        </row>
        <row r="34">
          <cell r="A34" t="str">
            <v>Belarus</v>
          </cell>
          <cell r="B34">
            <v>1</v>
          </cell>
        </row>
        <row r="35">
          <cell r="A35" t="str">
            <v>Finland</v>
          </cell>
          <cell r="B35">
            <v>0.53</v>
          </cell>
          <cell r="C35">
            <v>0.47</v>
          </cell>
        </row>
        <row r="36">
          <cell r="A36" t="str">
            <v>Kenya</v>
          </cell>
          <cell r="C36">
            <v>1</v>
          </cell>
        </row>
        <row r="37">
          <cell r="A37" t="str">
            <v>Austria</v>
          </cell>
          <cell r="B37">
            <v>0.36</v>
          </cell>
          <cell r="C37">
            <v>0.64</v>
          </cell>
        </row>
        <row r="38">
          <cell r="A38" t="str">
            <v>Norway</v>
          </cell>
          <cell r="B38">
            <v>0.44</v>
          </cell>
          <cell r="C38">
            <v>0.56000000000000005</v>
          </cell>
        </row>
        <row r="39">
          <cell r="A39" t="str">
            <v>Netherlands</v>
          </cell>
          <cell r="B39">
            <v>0.46</v>
          </cell>
          <cell r="C39">
            <v>0.54</v>
          </cell>
        </row>
        <row r="40">
          <cell r="A40" t="str">
            <v>Romania</v>
          </cell>
          <cell r="B40">
            <v>0.4</v>
          </cell>
          <cell r="C40">
            <v>0.6</v>
          </cell>
        </row>
        <row r="41">
          <cell r="A41" t="str">
            <v>Algeria</v>
          </cell>
          <cell r="B41">
            <v>1</v>
          </cell>
        </row>
        <row r="42">
          <cell r="A42" t="str">
            <v>France</v>
          </cell>
          <cell r="B42">
            <v>0.57999999999999996</v>
          </cell>
          <cell r="C42">
            <v>0.42</v>
          </cell>
        </row>
        <row r="43">
          <cell r="A43" t="str">
            <v>Russia</v>
          </cell>
          <cell r="B43">
            <v>0.71</v>
          </cell>
          <cell r="C43">
            <v>0.28999999999999998</v>
          </cell>
        </row>
        <row r="44">
          <cell r="A44" t="str">
            <v>Portugal</v>
          </cell>
          <cell r="B44">
            <v>0.45</v>
          </cell>
          <cell r="C44">
            <v>0.55000000000000004</v>
          </cell>
        </row>
        <row r="45">
          <cell r="A45" t="str">
            <v>Spain</v>
          </cell>
          <cell r="B45">
            <v>0.75</v>
          </cell>
          <cell r="C45">
            <v>0.25</v>
          </cell>
        </row>
        <row r="46">
          <cell r="A46" t="str">
            <v>Germany</v>
          </cell>
          <cell r="B46">
            <v>0.47</v>
          </cell>
          <cell r="C46">
            <v>0.53</v>
          </cell>
        </row>
        <row r="47">
          <cell r="A47" t="str">
            <v>Hungary</v>
          </cell>
          <cell r="B47">
            <v>1</v>
          </cell>
        </row>
        <row r="48">
          <cell r="A48" t="str">
            <v>Czechia</v>
          </cell>
          <cell r="B48">
            <v>0.56000000000000005</v>
          </cell>
          <cell r="C48">
            <v>0.44</v>
          </cell>
        </row>
        <row r="49">
          <cell r="A49" t="str">
            <v>Serbia</v>
          </cell>
          <cell r="B49">
            <v>1</v>
          </cell>
        </row>
        <row r="50">
          <cell r="A50" t="str">
            <v>Belgium</v>
          </cell>
          <cell r="B50">
            <v>0.45</v>
          </cell>
          <cell r="C50">
            <v>0.55000000000000004</v>
          </cell>
        </row>
        <row r="51">
          <cell r="A51" t="str">
            <v>Greece</v>
          </cell>
          <cell r="B51">
            <v>0.64</v>
          </cell>
          <cell r="C51">
            <v>0.36</v>
          </cell>
        </row>
        <row r="52">
          <cell r="A52" t="str">
            <v>Egypt</v>
          </cell>
          <cell r="B52">
            <v>0.41</v>
          </cell>
          <cell r="C52">
            <v>0.59</v>
          </cell>
        </row>
        <row r="53">
          <cell r="A53" t="str">
            <v>Saudi Arabia</v>
          </cell>
        </row>
        <row r="54">
          <cell r="A54" t="str">
            <v>Bulgaria</v>
          </cell>
          <cell r="B54">
            <v>1</v>
          </cell>
        </row>
        <row r="55">
          <cell r="A55" t="str">
            <v>Iran</v>
          </cell>
          <cell r="B55">
            <v>0.5</v>
          </cell>
          <cell r="C55">
            <v>0.5</v>
          </cell>
        </row>
        <row r="56">
          <cell r="A56" t="str">
            <v>Denmark</v>
          </cell>
          <cell r="B56">
            <v>0.49</v>
          </cell>
          <cell r="C56">
            <v>0.51</v>
          </cell>
        </row>
        <row r="57">
          <cell r="A57" t="str">
            <v>Croatia</v>
          </cell>
        </row>
        <row r="58">
          <cell r="A58" t="str">
            <v>Chile</v>
          </cell>
          <cell r="B58">
            <v>0.68</v>
          </cell>
          <cell r="C58">
            <v>0.32</v>
          </cell>
        </row>
        <row r="59">
          <cell r="A59" t="str">
            <v>Ukraine</v>
          </cell>
          <cell r="B59">
            <v>0.66</v>
          </cell>
          <cell r="C59">
            <v>0.34</v>
          </cell>
        </row>
        <row r="60">
          <cell r="A60" t="str">
            <v>Poland</v>
          </cell>
          <cell r="B60">
            <v>0.52</v>
          </cell>
          <cell r="C60">
            <v>0.48</v>
          </cell>
        </row>
        <row r="61">
          <cell r="A61" t="str">
            <v>Ecuador</v>
          </cell>
          <cell r="B61">
            <v>1</v>
          </cell>
        </row>
        <row r="62">
          <cell r="A62" t="str">
            <v>Japan</v>
          </cell>
          <cell r="B62">
            <v>0.86</v>
          </cell>
          <cell r="C62">
            <v>0.14000000000000001</v>
          </cell>
        </row>
        <row r="63">
          <cell r="A63" t="str">
            <v>Colombia</v>
          </cell>
          <cell r="B63">
            <v>0.66</v>
          </cell>
          <cell r="C63">
            <v>0.34</v>
          </cell>
        </row>
        <row r="64">
          <cell r="A64" t="str">
            <v>Italy</v>
          </cell>
          <cell r="B64">
            <v>0.56000000000000005</v>
          </cell>
          <cell r="C64">
            <v>0.44</v>
          </cell>
        </row>
        <row r="65">
          <cell r="A65" t="str">
            <v>Vietnam</v>
          </cell>
          <cell r="B65">
            <v>0.56999999999999995</v>
          </cell>
          <cell r="C65">
            <v>0.43</v>
          </cell>
        </row>
        <row r="66">
          <cell r="A66" t="str">
            <v>Thailand</v>
          </cell>
          <cell r="B66">
            <v>0.56000000000000005</v>
          </cell>
          <cell r="C66">
            <v>0.44</v>
          </cell>
        </row>
        <row r="67">
          <cell r="A67" t="str">
            <v>Peru</v>
          </cell>
          <cell r="B67">
            <v>1</v>
          </cell>
        </row>
        <row r="68">
          <cell r="A68" t="str">
            <v>Indonesia</v>
          </cell>
          <cell r="B68">
            <v>0.37</v>
          </cell>
          <cell r="C68">
            <v>0.63</v>
          </cell>
        </row>
        <row r="69">
          <cell r="A69" t="str">
            <v>Argentina</v>
          </cell>
          <cell r="B69">
            <v>0.57999999999999996</v>
          </cell>
          <cell r="C69">
            <v>0.42</v>
          </cell>
        </row>
        <row r="70">
          <cell r="A70" t="str">
            <v>Brazil</v>
          </cell>
          <cell r="B70">
            <v>0.52</v>
          </cell>
          <cell r="C70">
            <v>0.48</v>
          </cell>
        </row>
        <row r="71">
          <cell r="A71" t="str">
            <v>Turkey</v>
          </cell>
          <cell r="B71">
            <v>0.57999999999999996</v>
          </cell>
          <cell r="C71">
            <v>0.42</v>
          </cell>
        </row>
        <row r="72">
          <cell r="A72" t="str">
            <v>Mexico</v>
          </cell>
          <cell r="B72">
            <v>0.5</v>
          </cell>
          <cell r="C72">
            <v>0.5</v>
          </cell>
        </row>
        <row r="73">
          <cell r="A73" t="str">
            <v>Ã…land Islands</v>
          </cell>
        </row>
        <row r="74">
          <cell r="A74" t="str">
            <v>Western Sahara</v>
          </cell>
        </row>
        <row r="75">
          <cell r="A75" t="str">
            <v>Andorra</v>
          </cell>
        </row>
        <row r="76">
          <cell r="A76" t="str">
            <v>Lesotho</v>
          </cell>
        </row>
        <row r="77">
          <cell r="A77" t="str">
            <v>Cuba</v>
          </cell>
        </row>
        <row r="78">
          <cell r="A78" t="str">
            <v>Mauritania</v>
          </cell>
        </row>
        <row r="79">
          <cell r="A79" t="str">
            <v>Myanmar (Burma)</v>
          </cell>
        </row>
        <row r="80">
          <cell r="A80" t="str">
            <v>Botswana</v>
          </cell>
        </row>
        <row r="81">
          <cell r="A81" t="str">
            <v>Fiji</v>
          </cell>
        </row>
        <row r="82">
          <cell r="A82" t="str">
            <v>Ethiopia</v>
          </cell>
        </row>
        <row r="83">
          <cell r="A83" t="str">
            <v>Mauritius</v>
          </cell>
        </row>
        <row r="84">
          <cell r="A84" t="str">
            <v>Senegal</v>
          </cell>
        </row>
        <row r="85">
          <cell r="A85" t="str">
            <v>Luxembourg</v>
          </cell>
        </row>
        <row r="86">
          <cell r="A86" t="str">
            <v>Palestine</v>
          </cell>
        </row>
        <row r="87">
          <cell r="A87" t="str">
            <v>Bahamas</v>
          </cell>
        </row>
        <row r="88">
          <cell r="A88" t="str">
            <v>Burkina Faso</v>
          </cell>
        </row>
        <row r="89">
          <cell r="A89" t="str">
            <v>Madagascar</v>
          </cell>
        </row>
        <row r="90">
          <cell r="A90" t="str">
            <v>Brunei</v>
          </cell>
        </row>
        <row r="91">
          <cell r="A91" t="str">
            <v>Macao</v>
          </cell>
        </row>
        <row r="92">
          <cell r="A92" t="str">
            <v>Estonia</v>
          </cell>
        </row>
        <row r="93">
          <cell r="A93" t="str">
            <v>Qatar</v>
          </cell>
        </row>
        <row r="94">
          <cell r="A94" t="str">
            <v>Congo - Kinshasa</v>
          </cell>
        </row>
        <row r="95">
          <cell r="A95" t="str">
            <v>Yemen</v>
          </cell>
        </row>
        <row r="96">
          <cell r="A96" t="str">
            <v>Armenia</v>
          </cell>
        </row>
        <row r="97">
          <cell r="A97" t="str">
            <v>Angola</v>
          </cell>
        </row>
        <row r="98">
          <cell r="A98" t="str">
            <v>Mongolia</v>
          </cell>
        </row>
        <row r="99">
          <cell r="A99" t="str">
            <v>Jordan</v>
          </cell>
        </row>
        <row r="100">
          <cell r="A100" t="str">
            <v>Montenegro</v>
          </cell>
        </row>
        <row r="101">
          <cell r="A101" t="str">
            <v>Cyprus</v>
          </cell>
        </row>
        <row r="102">
          <cell r="A102" t="str">
            <v>El Salvador</v>
          </cell>
        </row>
        <row r="103">
          <cell r="A103" t="str">
            <v>Malta</v>
          </cell>
        </row>
        <row r="104">
          <cell r="A104" t="str">
            <v>Zimbabwe</v>
          </cell>
        </row>
        <row r="105">
          <cell r="A105" t="str">
            <v>Lithuania</v>
          </cell>
        </row>
        <row r="106">
          <cell r="A106" t="str">
            <v>Sudan</v>
          </cell>
        </row>
        <row r="107">
          <cell r="A107" t="str">
            <v>Mozambique</v>
          </cell>
        </row>
        <row r="108">
          <cell r="A108" t="str">
            <v>Lebanon</v>
          </cell>
        </row>
        <row r="109">
          <cell r="A109" t="str">
            <v>Cameroon</v>
          </cell>
        </row>
        <row r="110">
          <cell r="A110" t="str">
            <v>Georgia</v>
          </cell>
        </row>
        <row r="111">
          <cell r="A111" t="str">
            <v>Slovenia</v>
          </cell>
        </row>
        <row r="112">
          <cell r="A112" t="str">
            <v>Costa Rica</v>
          </cell>
        </row>
        <row r="113">
          <cell r="A113" t="str">
            <v>Bahrain</v>
          </cell>
        </row>
        <row r="114">
          <cell r="A114" t="str">
            <v>Syria</v>
          </cell>
        </row>
        <row r="115">
          <cell r="A115" t="str">
            <v>Jamaica</v>
          </cell>
        </row>
        <row r="116">
          <cell r="A116" t="str">
            <v>Nicaragua</v>
          </cell>
        </row>
        <row r="117">
          <cell r="A117" t="str">
            <v>Tanzania</v>
          </cell>
        </row>
        <row r="118">
          <cell r="A118" t="str">
            <v>Albania</v>
          </cell>
        </row>
        <row r="119">
          <cell r="A119" t="str">
            <v>CÃ´te dâ€™Ivoire</v>
          </cell>
        </row>
        <row r="120">
          <cell r="A120" t="str">
            <v>Kazakhstan</v>
          </cell>
        </row>
        <row r="121">
          <cell r="A121" t="str">
            <v>Latvia</v>
          </cell>
        </row>
        <row r="122">
          <cell r="A122" t="str">
            <v>Bosnia &amp; Herzegovina</v>
          </cell>
        </row>
        <row r="123">
          <cell r="A123" t="str">
            <v>Oman</v>
          </cell>
        </row>
        <row r="124">
          <cell r="A124" t="str">
            <v>Uruguay</v>
          </cell>
        </row>
        <row r="125">
          <cell r="A125" t="str">
            <v>Bolivia</v>
          </cell>
        </row>
        <row r="126">
          <cell r="A126" t="str">
            <v>Slovakia</v>
          </cell>
        </row>
        <row r="127">
          <cell r="A127" t="str">
            <v>Guatemala</v>
          </cell>
        </row>
        <row r="128">
          <cell r="A128" t="str">
            <v>Iraq</v>
          </cell>
        </row>
        <row r="129">
          <cell r="A129" t="str">
            <v>Kuwait</v>
          </cell>
        </row>
        <row r="130">
          <cell r="A130" t="str">
            <v>Uzbekistan</v>
          </cell>
        </row>
        <row r="131">
          <cell r="A131" t="str">
            <v>Puerto Rico</v>
          </cell>
        </row>
        <row r="132">
          <cell r="A132" t="str">
            <v>Panama</v>
          </cell>
        </row>
        <row r="133">
          <cell r="A133" t="str">
            <v>Azerbaijan</v>
          </cell>
        </row>
        <row r="134">
          <cell r="A134" t="str">
            <v>Venezuela</v>
          </cell>
        </row>
        <row r="135">
          <cell r="A135" t="str">
            <v>Dominican Republic</v>
          </cell>
        </row>
        <row r="136">
          <cell r="A136" t="str">
            <v>Aruba</v>
          </cell>
        </row>
        <row r="137">
          <cell r="A137" t="str">
            <v>Afghanistan</v>
          </cell>
        </row>
        <row r="138">
          <cell r="A138" t="str">
            <v>Anguilla</v>
          </cell>
        </row>
        <row r="139">
          <cell r="A139" t="str">
            <v>American Samoa</v>
          </cell>
        </row>
        <row r="140">
          <cell r="A140" t="str">
            <v>Antarctica</v>
          </cell>
        </row>
        <row r="141">
          <cell r="A141" t="str">
            <v>French Southern Territories</v>
          </cell>
        </row>
        <row r="142">
          <cell r="A142" t="str">
            <v>Antigua &amp; Barbuda</v>
          </cell>
        </row>
        <row r="143">
          <cell r="A143" t="str">
            <v>Burundi</v>
          </cell>
        </row>
        <row r="144">
          <cell r="A144" t="str">
            <v>Benin</v>
          </cell>
        </row>
        <row r="145">
          <cell r="A145" t="str">
            <v>Caribbean Netherlands</v>
          </cell>
        </row>
        <row r="146">
          <cell r="A146" t="str">
            <v>St. BarthÃ©lemy</v>
          </cell>
        </row>
        <row r="147">
          <cell r="A147" t="str">
            <v>Belize</v>
          </cell>
        </row>
        <row r="148">
          <cell r="A148" t="str">
            <v>Bermuda</v>
          </cell>
        </row>
        <row r="149">
          <cell r="A149" t="str">
            <v>Barbados</v>
          </cell>
        </row>
        <row r="150">
          <cell r="A150" t="str">
            <v>Bhutan</v>
          </cell>
        </row>
        <row r="151">
          <cell r="A151" t="str">
            <v>Bouvet Island</v>
          </cell>
        </row>
        <row r="152">
          <cell r="A152" t="str">
            <v>Central African Republic</v>
          </cell>
        </row>
        <row r="153">
          <cell r="A153" t="str">
            <v>Cocos (Keeling) Islands</v>
          </cell>
        </row>
        <row r="154">
          <cell r="A154" t="str">
            <v>Congo - Brazzaville</v>
          </cell>
        </row>
        <row r="155">
          <cell r="A155" t="str">
            <v>Cook Islands</v>
          </cell>
        </row>
        <row r="156">
          <cell r="A156" t="str">
            <v>Comoros</v>
          </cell>
        </row>
        <row r="157">
          <cell r="A157" t="str">
            <v>Cape Verde</v>
          </cell>
        </row>
        <row r="158">
          <cell r="A158" t="str">
            <v>CuraÃ§ao</v>
          </cell>
        </row>
        <row r="159">
          <cell r="A159" t="str">
            <v>Christmas Island</v>
          </cell>
        </row>
        <row r="160">
          <cell r="A160" t="str">
            <v>Cayman Islands</v>
          </cell>
        </row>
        <row r="161">
          <cell r="A161" t="str">
            <v>Djibouti</v>
          </cell>
        </row>
        <row r="162">
          <cell r="A162" t="str">
            <v>Dominica</v>
          </cell>
        </row>
        <row r="163">
          <cell r="A163" t="str">
            <v>Eritrea</v>
          </cell>
        </row>
        <row r="164">
          <cell r="A164" t="str">
            <v>Falkland Islands (Islas Malvinas)</v>
          </cell>
        </row>
        <row r="165">
          <cell r="A165" t="str">
            <v>Faroe Islands</v>
          </cell>
        </row>
        <row r="166">
          <cell r="A166" t="str">
            <v>Micronesia</v>
          </cell>
        </row>
        <row r="167">
          <cell r="A167" t="str">
            <v>Gabon</v>
          </cell>
        </row>
        <row r="168">
          <cell r="A168" t="str">
            <v>Guernsey</v>
          </cell>
        </row>
        <row r="169">
          <cell r="A169" t="str">
            <v>Gibraltar</v>
          </cell>
        </row>
        <row r="170">
          <cell r="A170" t="str">
            <v>Guinea</v>
          </cell>
        </row>
        <row r="171">
          <cell r="A171" t="str">
            <v>Guadeloupe</v>
          </cell>
        </row>
        <row r="172">
          <cell r="A172" t="str">
            <v>Gambia</v>
          </cell>
        </row>
        <row r="173">
          <cell r="A173" t="str">
            <v>Guinea-Bissau</v>
          </cell>
        </row>
        <row r="174">
          <cell r="A174" t="str">
            <v>Equatorial Guinea</v>
          </cell>
        </row>
        <row r="175">
          <cell r="A175" t="str">
            <v>Grenada</v>
          </cell>
        </row>
        <row r="176">
          <cell r="A176" t="str">
            <v>Greenland</v>
          </cell>
        </row>
        <row r="177">
          <cell r="A177" t="str">
            <v>French Guiana</v>
          </cell>
        </row>
        <row r="178">
          <cell r="A178" t="str">
            <v>Guam</v>
          </cell>
        </row>
        <row r="179">
          <cell r="A179" t="str">
            <v>Guyana</v>
          </cell>
        </row>
        <row r="180">
          <cell r="A180" t="str">
            <v>Heard &amp; McDonald Islands</v>
          </cell>
        </row>
        <row r="181">
          <cell r="A181" t="str">
            <v>Honduras</v>
          </cell>
        </row>
        <row r="182">
          <cell r="A182" t="str">
            <v>Haiti</v>
          </cell>
        </row>
        <row r="183">
          <cell r="A183" t="str">
            <v>Isle of Man</v>
          </cell>
        </row>
        <row r="184">
          <cell r="A184" t="str">
            <v>British Indian Ocean Territory</v>
          </cell>
        </row>
        <row r="185">
          <cell r="A185" t="str">
            <v>Iceland</v>
          </cell>
        </row>
        <row r="186">
          <cell r="A186" t="str">
            <v>Jersey</v>
          </cell>
        </row>
        <row r="187">
          <cell r="A187" t="str">
            <v>Kyrgyzstan</v>
          </cell>
        </row>
        <row r="188">
          <cell r="A188" t="str">
            <v>Cambodia</v>
          </cell>
        </row>
        <row r="189">
          <cell r="A189" t="str">
            <v>Kiribati</v>
          </cell>
        </row>
        <row r="190">
          <cell r="A190" t="str">
            <v>St. Kitts &amp; Nevis</v>
          </cell>
        </row>
        <row r="191">
          <cell r="A191" t="str">
            <v>Liberia</v>
          </cell>
        </row>
        <row r="192">
          <cell r="A192" t="str">
            <v>Libya</v>
          </cell>
        </row>
        <row r="193">
          <cell r="A193" t="str">
            <v>St. Lucia</v>
          </cell>
        </row>
        <row r="194">
          <cell r="A194" t="str">
            <v>Liechtenstein</v>
          </cell>
        </row>
        <row r="195">
          <cell r="A195" t="str">
            <v>St. Martin</v>
          </cell>
        </row>
        <row r="196">
          <cell r="A196" t="str">
            <v>Monaco</v>
          </cell>
        </row>
        <row r="197">
          <cell r="A197" t="str">
            <v>Moldova</v>
          </cell>
        </row>
        <row r="198">
          <cell r="A198" t="str">
            <v>Maldives</v>
          </cell>
        </row>
        <row r="199">
          <cell r="A199" t="str">
            <v>Marshall Islands</v>
          </cell>
        </row>
        <row r="200">
          <cell r="A200" t="str">
            <v>Mali</v>
          </cell>
        </row>
        <row r="201">
          <cell r="A201" t="str">
            <v>Northern Mariana Islands</v>
          </cell>
        </row>
        <row r="202">
          <cell r="A202" t="str">
            <v>Montserrat</v>
          </cell>
        </row>
        <row r="203">
          <cell r="A203" t="str">
            <v>Martinique</v>
          </cell>
        </row>
        <row r="204">
          <cell r="A204" t="str">
            <v>Malawi</v>
          </cell>
        </row>
        <row r="205">
          <cell r="A205" t="str">
            <v>Mayotte</v>
          </cell>
        </row>
        <row r="206">
          <cell r="A206" t="str">
            <v>Namibia</v>
          </cell>
        </row>
        <row r="207">
          <cell r="A207" t="str">
            <v>New Caledonia</v>
          </cell>
        </row>
        <row r="208">
          <cell r="A208" t="str">
            <v>Niger</v>
          </cell>
        </row>
        <row r="209">
          <cell r="A209" t="str">
            <v>Norfolk Island</v>
          </cell>
        </row>
        <row r="210">
          <cell r="A210" t="str">
            <v>Niue</v>
          </cell>
        </row>
        <row r="211">
          <cell r="A211" t="str">
            <v>Nauru</v>
          </cell>
        </row>
        <row r="212">
          <cell r="A212" t="str">
            <v>Pitcairn Islands</v>
          </cell>
        </row>
        <row r="213">
          <cell r="A213" t="str">
            <v>Palau</v>
          </cell>
        </row>
        <row r="214">
          <cell r="A214" t="str">
            <v>Papua New Guinea</v>
          </cell>
        </row>
        <row r="215">
          <cell r="A215" t="str">
            <v>North Korea</v>
          </cell>
        </row>
        <row r="216">
          <cell r="A216" t="str">
            <v>Paraguay</v>
          </cell>
        </row>
        <row r="217">
          <cell r="A217" t="str">
            <v>French Polynesia</v>
          </cell>
        </row>
        <row r="218">
          <cell r="A218" t="str">
            <v>RÃ©union</v>
          </cell>
        </row>
        <row r="219">
          <cell r="A219" t="str">
            <v>Rwanda</v>
          </cell>
        </row>
        <row r="220">
          <cell r="A220" t="str">
            <v>South Georgia &amp; South Sandwich Islands</v>
          </cell>
        </row>
        <row r="221">
          <cell r="A221" t="str">
            <v>Svalbard &amp; Jan Mayen</v>
          </cell>
        </row>
        <row r="222">
          <cell r="A222" t="str">
            <v>Solomon Islands</v>
          </cell>
        </row>
        <row r="223">
          <cell r="A223" t="str">
            <v>Sierra Leone</v>
          </cell>
        </row>
        <row r="224">
          <cell r="A224" t="str">
            <v>San Marino</v>
          </cell>
        </row>
        <row r="225">
          <cell r="A225" t="str">
            <v>Somalia</v>
          </cell>
        </row>
        <row r="226">
          <cell r="A226" t="str">
            <v>St. Pierre &amp; Miquelon</v>
          </cell>
        </row>
        <row r="227">
          <cell r="A227" t="str">
            <v>South Sudan</v>
          </cell>
        </row>
        <row r="228">
          <cell r="A228" t="str">
            <v>SÃ£o TomÃ© &amp; PrÃ­ncipe</v>
          </cell>
        </row>
        <row r="229">
          <cell r="A229" t="str">
            <v>Suriname</v>
          </cell>
        </row>
        <row r="230">
          <cell r="A230" t="str">
            <v>Eswatini</v>
          </cell>
        </row>
        <row r="231">
          <cell r="A231" t="str">
            <v>Sint Maarten</v>
          </cell>
        </row>
        <row r="232">
          <cell r="A232" t="str">
            <v>Seychelles</v>
          </cell>
        </row>
        <row r="233">
          <cell r="A233" t="str">
            <v>Turks &amp; Caicos Islands</v>
          </cell>
        </row>
        <row r="234">
          <cell r="A234" t="str">
            <v>Chad</v>
          </cell>
        </row>
        <row r="235">
          <cell r="A235" t="str">
            <v>Togo</v>
          </cell>
        </row>
        <row r="236">
          <cell r="A236" t="str">
            <v>Tajikistan</v>
          </cell>
        </row>
        <row r="237">
          <cell r="A237" t="str">
            <v>Tokelau</v>
          </cell>
        </row>
        <row r="238">
          <cell r="A238" t="str">
            <v>Turkmenistan</v>
          </cell>
        </row>
        <row r="239">
          <cell r="A239" t="str">
            <v>Timor-Leste</v>
          </cell>
        </row>
        <row r="240">
          <cell r="A240" t="str">
            <v>Tonga</v>
          </cell>
        </row>
        <row r="241">
          <cell r="A241" t="str">
            <v>Trinidad &amp; Tobago</v>
          </cell>
        </row>
        <row r="242">
          <cell r="A242" t="str">
            <v>Tuvalu</v>
          </cell>
        </row>
        <row r="243">
          <cell r="A243" t="str">
            <v>Uganda</v>
          </cell>
        </row>
        <row r="244">
          <cell r="A244" t="str">
            <v>U.S. Outlying Islands</v>
          </cell>
        </row>
        <row r="245">
          <cell r="A245" t="str">
            <v>Vatican City</v>
          </cell>
        </row>
        <row r="246">
          <cell r="A246" t="str">
            <v>St. Vincent &amp; Grenadines</v>
          </cell>
        </row>
        <row r="247">
          <cell r="A247" t="str">
            <v>British Virgin Islands</v>
          </cell>
        </row>
        <row r="248">
          <cell r="A248" t="str">
            <v>U.S. Virgin Islands</v>
          </cell>
        </row>
        <row r="249">
          <cell r="A249" t="str">
            <v>Vanuatu</v>
          </cell>
        </row>
        <row r="250">
          <cell r="A250" t="str">
            <v>Wallis &amp; Futuna</v>
          </cell>
        </row>
        <row r="251">
          <cell r="A251" t="str">
            <v>Samoa</v>
          </cell>
        </row>
        <row r="252">
          <cell r="A252" t="str">
            <v>Kosovo</v>
          </cell>
        </row>
        <row r="253">
          <cell r="A253" t="str">
            <v>Zambia</v>
          </cell>
        </row>
      </sheetData>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32)"/>
    </sheetNames>
    <sheetDataSet>
      <sheetData sheetId="0" refreshError="1">
        <row r="1">
          <cell r="A1" t="str">
            <v>Kategori: TÃ¼m kategoriler</v>
          </cell>
        </row>
        <row r="3">
          <cell r="A3" t="str">
            <v>Ãœlke</v>
          </cell>
          <cell r="B3" t="str">
            <v>Integer overflow: (2018)</v>
          </cell>
          <cell r="C3" t="str">
            <v>Tip Sistemi: (2018)</v>
          </cell>
        </row>
        <row r="4">
          <cell r="A4" t="str">
            <v>Bosnia &amp; Herzegovina</v>
          </cell>
          <cell r="C4">
            <v>1</v>
          </cell>
        </row>
        <row r="5">
          <cell r="A5" t="str">
            <v>Austria</v>
          </cell>
          <cell r="B5">
            <v>0.08</v>
          </cell>
          <cell r="C5">
            <v>0.92</v>
          </cell>
        </row>
        <row r="6">
          <cell r="A6" t="str">
            <v>China</v>
          </cell>
          <cell r="B6">
            <v>0.47</v>
          </cell>
          <cell r="C6">
            <v>0.53</v>
          </cell>
        </row>
        <row r="7">
          <cell r="A7" t="str">
            <v>Singapore</v>
          </cell>
          <cell r="B7">
            <v>0.79</v>
          </cell>
          <cell r="C7">
            <v>0.21</v>
          </cell>
        </row>
        <row r="8">
          <cell r="A8" t="str">
            <v>St. Helena</v>
          </cell>
          <cell r="B8">
            <v>0.56999999999999995</v>
          </cell>
          <cell r="C8">
            <v>0.43</v>
          </cell>
        </row>
        <row r="9">
          <cell r="A9" t="str">
            <v>Mauritius</v>
          </cell>
        </row>
        <row r="10">
          <cell r="A10" t="str">
            <v>Myanmar (Burma)</v>
          </cell>
          <cell r="C10">
            <v>1</v>
          </cell>
        </row>
        <row r="11">
          <cell r="A11" t="str">
            <v>North Macedonia</v>
          </cell>
          <cell r="C11">
            <v>1</v>
          </cell>
        </row>
        <row r="12">
          <cell r="A12" t="str">
            <v>Japan</v>
          </cell>
          <cell r="B12">
            <v>0.02</v>
          </cell>
          <cell r="C12">
            <v>0.98</v>
          </cell>
        </row>
        <row r="13">
          <cell r="A13" t="str">
            <v>Ethiopia</v>
          </cell>
        </row>
        <row r="14">
          <cell r="A14" t="str">
            <v>Israel</v>
          </cell>
          <cell r="B14">
            <v>0.63</v>
          </cell>
          <cell r="C14">
            <v>0.37</v>
          </cell>
        </row>
        <row r="15">
          <cell r="A15" t="str">
            <v>Nepal</v>
          </cell>
        </row>
        <row r="16">
          <cell r="A16" t="str">
            <v>Germany</v>
          </cell>
          <cell r="B16">
            <v>0.26</v>
          </cell>
          <cell r="C16">
            <v>0.74</v>
          </cell>
        </row>
        <row r="17">
          <cell r="A17" t="str">
            <v>Ghana</v>
          </cell>
          <cell r="B17">
            <v>0.57999999999999996</v>
          </cell>
          <cell r="C17">
            <v>0.42</v>
          </cell>
        </row>
        <row r="18">
          <cell r="A18" t="str">
            <v>Dominican Republic</v>
          </cell>
          <cell r="C18">
            <v>1</v>
          </cell>
        </row>
        <row r="19">
          <cell r="A19" t="str">
            <v>Sri Lanka</v>
          </cell>
          <cell r="B19">
            <v>0.66</v>
          </cell>
          <cell r="C19">
            <v>0.34</v>
          </cell>
        </row>
        <row r="20">
          <cell r="A20" t="str">
            <v>Pakistan</v>
          </cell>
          <cell r="B20">
            <v>0.5</v>
          </cell>
          <cell r="C20">
            <v>0.5</v>
          </cell>
        </row>
        <row r="21">
          <cell r="A21" t="str">
            <v>Luxembourg</v>
          </cell>
        </row>
        <row r="22">
          <cell r="A22" t="str">
            <v>India</v>
          </cell>
          <cell r="B22">
            <v>0.52</v>
          </cell>
          <cell r="C22">
            <v>0.48</v>
          </cell>
        </row>
        <row r="23">
          <cell r="A23" t="str">
            <v>South Korea</v>
          </cell>
          <cell r="B23">
            <v>0.74</v>
          </cell>
          <cell r="C23">
            <v>0.26</v>
          </cell>
        </row>
        <row r="24">
          <cell r="A24" t="str">
            <v>United States</v>
          </cell>
          <cell r="B24">
            <v>0.72</v>
          </cell>
          <cell r="C24">
            <v>0.28000000000000003</v>
          </cell>
        </row>
        <row r="25">
          <cell r="A25" t="str">
            <v>Ireland</v>
          </cell>
          <cell r="B25">
            <v>0.73</v>
          </cell>
          <cell r="C25">
            <v>0.27</v>
          </cell>
        </row>
        <row r="26">
          <cell r="A26" t="str">
            <v>Canada</v>
          </cell>
          <cell r="B26">
            <v>0.66</v>
          </cell>
          <cell r="C26">
            <v>0.34</v>
          </cell>
        </row>
        <row r="27">
          <cell r="A27" t="str">
            <v>Bolivia</v>
          </cell>
          <cell r="C27">
            <v>1</v>
          </cell>
        </row>
        <row r="28">
          <cell r="A28" t="str">
            <v>South Africa</v>
          </cell>
          <cell r="B28">
            <v>0.73</v>
          </cell>
          <cell r="C28">
            <v>0.27</v>
          </cell>
        </row>
        <row r="29">
          <cell r="A29" t="str">
            <v>Hong Kong</v>
          </cell>
          <cell r="B29">
            <v>0.75</v>
          </cell>
          <cell r="C29">
            <v>0.25</v>
          </cell>
        </row>
        <row r="30">
          <cell r="A30" t="str">
            <v>Nicaragua</v>
          </cell>
        </row>
        <row r="31">
          <cell r="A31" t="str">
            <v>Armenia</v>
          </cell>
        </row>
        <row r="32">
          <cell r="A32" t="str">
            <v>Malaysia</v>
          </cell>
          <cell r="B32">
            <v>0.62</v>
          </cell>
          <cell r="C32">
            <v>0.38</v>
          </cell>
        </row>
        <row r="33">
          <cell r="A33" t="str">
            <v>United Kingdom</v>
          </cell>
          <cell r="B33">
            <v>0.68</v>
          </cell>
          <cell r="C33">
            <v>0.32</v>
          </cell>
        </row>
        <row r="34">
          <cell r="A34" t="str">
            <v>New Zealand</v>
          </cell>
          <cell r="B34">
            <v>0.64</v>
          </cell>
          <cell r="C34">
            <v>0.36</v>
          </cell>
        </row>
        <row r="35">
          <cell r="A35" t="str">
            <v>Philippines</v>
          </cell>
          <cell r="B35">
            <v>0.48</v>
          </cell>
          <cell r="C35">
            <v>0.52</v>
          </cell>
        </row>
        <row r="36">
          <cell r="A36" t="str">
            <v>Tunisia</v>
          </cell>
          <cell r="C36">
            <v>1</v>
          </cell>
        </row>
        <row r="37">
          <cell r="A37" t="str">
            <v>Australia</v>
          </cell>
          <cell r="B37">
            <v>0.62</v>
          </cell>
          <cell r="C37">
            <v>0.38</v>
          </cell>
        </row>
        <row r="38">
          <cell r="A38" t="str">
            <v>Switzerland</v>
          </cell>
          <cell r="B38">
            <v>0.48</v>
          </cell>
          <cell r="C38">
            <v>0.52</v>
          </cell>
        </row>
        <row r="39">
          <cell r="A39" t="str">
            <v>Ecuador</v>
          </cell>
          <cell r="C39">
            <v>1</v>
          </cell>
        </row>
        <row r="40">
          <cell r="A40" t="str">
            <v>Belarus</v>
          </cell>
          <cell r="C40">
            <v>1</v>
          </cell>
        </row>
        <row r="41">
          <cell r="A41" t="str">
            <v>Russia</v>
          </cell>
          <cell r="B41">
            <v>0.21</v>
          </cell>
          <cell r="C41">
            <v>0.79</v>
          </cell>
        </row>
        <row r="42">
          <cell r="A42" t="str">
            <v>Slovenia</v>
          </cell>
          <cell r="C42">
            <v>1</v>
          </cell>
        </row>
        <row r="43">
          <cell r="A43" t="str">
            <v>United Arab Emirates</v>
          </cell>
          <cell r="B43">
            <v>0.52</v>
          </cell>
          <cell r="C43">
            <v>0.48</v>
          </cell>
        </row>
        <row r="44">
          <cell r="A44" t="str">
            <v>Nigeria</v>
          </cell>
          <cell r="B44">
            <v>0.59</v>
          </cell>
          <cell r="C44">
            <v>0.41</v>
          </cell>
        </row>
        <row r="45">
          <cell r="A45" t="str">
            <v>Honduras</v>
          </cell>
        </row>
        <row r="46">
          <cell r="A46" t="str">
            <v>Bangladesh</v>
          </cell>
          <cell r="B46">
            <v>0.57999999999999996</v>
          </cell>
          <cell r="C46">
            <v>0.42</v>
          </cell>
        </row>
        <row r="47">
          <cell r="A47" t="str">
            <v>El Salvador</v>
          </cell>
        </row>
        <row r="48">
          <cell r="A48" t="str">
            <v>Sweden</v>
          </cell>
          <cell r="B48">
            <v>0.52</v>
          </cell>
          <cell r="C48">
            <v>0.48</v>
          </cell>
        </row>
        <row r="49">
          <cell r="A49" t="str">
            <v>Serbia</v>
          </cell>
          <cell r="C49">
            <v>1</v>
          </cell>
        </row>
        <row r="50">
          <cell r="A50" t="str">
            <v>Denmark</v>
          </cell>
          <cell r="B50">
            <v>0.36</v>
          </cell>
          <cell r="C50">
            <v>0.64</v>
          </cell>
        </row>
        <row r="51">
          <cell r="A51" t="str">
            <v>Portugal</v>
          </cell>
          <cell r="B51">
            <v>0.43</v>
          </cell>
          <cell r="C51">
            <v>0.56999999999999995</v>
          </cell>
        </row>
        <row r="52">
          <cell r="A52" t="str">
            <v>Peru</v>
          </cell>
          <cell r="C52">
            <v>1</v>
          </cell>
        </row>
        <row r="53">
          <cell r="A53" t="str">
            <v>Venezuela</v>
          </cell>
          <cell r="C53">
            <v>1</v>
          </cell>
        </row>
        <row r="54">
          <cell r="A54" t="str">
            <v>Kuwait</v>
          </cell>
        </row>
        <row r="55">
          <cell r="A55" t="str">
            <v>Kenya</v>
          </cell>
        </row>
        <row r="56">
          <cell r="A56" t="str">
            <v>Taiwan</v>
          </cell>
          <cell r="B56">
            <v>0.45</v>
          </cell>
          <cell r="C56">
            <v>0.55000000000000004</v>
          </cell>
        </row>
        <row r="57">
          <cell r="A57" t="str">
            <v>Jordan</v>
          </cell>
          <cell r="C57">
            <v>1</v>
          </cell>
        </row>
        <row r="58">
          <cell r="A58" t="str">
            <v>Norway</v>
          </cell>
          <cell r="B58">
            <v>0.56000000000000005</v>
          </cell>
          <cell r="C58">
            <v>0.44</v>
          </cell>
        </row>
        <row r="59">
          <cell r="A59" t="str">
            <v>Netherlands</v>
          </cell>
          <cell r="B59">
            <v>0.53</v>
          </cell>
          <cell r="C59">
            <v>0.47</v>
          </cell>
        </row>
        <row r="60">
          <cell r="A60" t="str">
            <v>Ukraine</v>
          </cell>
          <cell r="B60">
            <v>0.24</v>
          </cell>
          <cell r="C60">
            <v>0.76</v>
          </cell>
        </row>
        <row r="61">
          <cell r="A61" t="str">
            <v>Romania</v>
          </cell>
          <cell r="B61">
            <v>0.53</v>
          </cell>
          <cell r="C61">
            <v>0.47</v>
          </cell>
        </row>
        <row r="62">
          <cell r="A62" t="str">
            <v>Panama</v>
          </cell>
        </row>
        <row r="63">
          <cell r="A63" t="str">
            <v>Finland</v>
          </cell>
          <cell r="B63">
            <v>0.5</v>
          </cell>
          <cell r="C63">
            <v>0.5</v>
          </cell>
        </row>
        <row r="64">
          <cell r="A64" t="str">
            <v>Colombia</v>
          </cell>
          <cell r="B64">
            <v>0.24</v>
          </cell>
          <cell r="C64">
            <v>0.76</v>
          </cell>
        </row>
        <row r="65">
          <cell r="A65" t="str">
            <v>Egypt</v>
          </cell>
          <cell r="B65">
            <v>0.49</v>
          </cell>
          <cell r="C65">
            <v>0.51</v>
          </cell>
        </row>
        <row r="66">
          <cell r="A66" t="str">
            <v>Belgium</v>
          </cell>
          <cell r="B66">
            <v>0.53</v>
          </cell>
          <cell r="C66">
            <v>0.47</v>
          </cell>
        </row>
        <row r="67">
          <cell r="A67" t="str">
            <v>Mexico</v>
          </cell>
          <cell r="B67">
            <v>0.23</v>
          </cell>
          <cell r="C67">
            <v>0.77</v>
          </cell>
        </row>
        <row r="68">
          <cell r="A68" t="str">
            <v>Iran</v>
          </cell>
          <cell r="B68">
            <v>0.46</v>
          </cell>
          <cell r="C68">
            <v>0.54</v>
          </cell>
        </row>
        <row r="69">
          <cell r="A69" t="str">
            <v>Czechia</v>
          </cell>
          <cell r="B69">
            <v>0.45</v>
          </cell>
          <cell r="C69">
            <v>0.55000000000000004</v>
          </cell>
        </row>
        <row r="70">
          <cell r="A70" t="str">
            <v>Guatemala</v>
          </cell>
        </row>
        <row r="71">
          <cell r="A71" t="str">
            <v>Saudi Arabia</v>
          </cell>
          <cell r="B71">
            <v>0.53</v>
          </cell>
          <cell r="C71">
            <v>0.47</v>
          </cell>
        </row>
        <row r="72">
          <cell r="A72" t="str">
            <v>Uruguay</v>
          </cell>
        </row>
        <row r="73">
          <cell r="A73" t="str">
            <v>France</v>
          </cell>
          <cell r="B73">
            <v>0.71</v>
          </cell>
          <cell r="C73">
            <v>0.28999999999999998</v>
          </cell>
        </row>
        <row r="74">
          <cell r="A74" t="str">
            <v>Vietnam</v>
          </cell>
          <cell r="B74">
            <v>0.34</v>
          </cell>
          <cell r="C74">
            <v>0.66</v>
          </cell>
        </row>
        <row r="75">
          <cell r="A75" t="str">
            <v>Croatia</v>
          </cell>
          <cell r="C75">
            <v>1</v>
          </cell>
        </row>
        <row r="76">
          <cell r="A76" t="str">
            <v>Bulgaria</v>
          </cell>
          <cell r="C76">
            <v>1</v>
          </cell>
        </row>
        <row r="77">
          <cell r="A77" t="str">
            <v>Greece</v>
          </cell>
          <cell r="B77">
            <v>0.42</v>
          </cell>
          <cell r="C77">
            <v>0.57999999999999996</v>
          </cell>
        </row>
        <row r="78">
          <cell r="A78" t="str">
            <v>Argentina</v>
          </cell>
          <cell r="B78">
            <v>0.28999999999999998</v>
          </cell>
          <cell r="C78">
            <v>0.71</v>
          </cell>
        </row>
        <row r="79">
          <cell r="A79" t="str">
            <v>Chile</v>
          </cell>
          <cell r="B79">
            <v>0.33</v>
          </cell>
          <cell r="C79">
            <v>0.67</v>
          </cell>
        </row>
        <row r="80">
          <cell r="A80" t="str">
            <v>Turkey</v>
          </cell>
          <cell r="B80">
            <v>0.27</v>
          </cell>
          <cell r="C80">
            <v>0.73</v>
          </cell>
        </row>
        <row r="81">
          <cell r="A81" t="str">
            <v>Kazakhstan</v>
          </cell>
          <cell r="C81">
            <v>1</v>
          </cell>
        </row>
        <row r="82">
          <cell r="A82" t="str">
            <v>Poland</v>
          </cell>
          <cell r="B82">
            <v>0.56999999999999995</v>
          </cell>
          <cell r="C82">
            <v>0.43</v>
          </cell>
        </row>
        <row r="83">
          <cell r="A83" t="str">
            <v>Moldova</v>
          </cell>
        </row>
        <row r="84">
          <cell r="A84" t="str">
            <v>Lebanon</v>
          </cell>
        </row>
        <row r="85">
          <cell r="A85" t="str">
            <v>Italy</v>
          </cell>
          <cell r="B85">
            <v>0.62</v>
          </cell>
          <cell r="C85">
            <v>0.38</v>
          </cell>
        </row>
        <row r="86">
          <cell r="A86" t="str">
            <v>Indonesia</v>
          </cell>
          <cell r="B86">
            <v>0.61</v>
          </cell>
          <cell r="C86">
            <v>0.39</v>
          </cell>
        </row>
        <row r="87">
          <cell r="A87" t="str">
            <v>Thailand</v>
          </cell>
          <cell r="B87">
            <v>0.48</v>
          </cell>
          <cell r="C87">
            <v>0.52</v>
          </cell>
        </row>
        <row r="88">
          <cell r="A88" t="str">
            <v>Brazil</v>
          </cell>
          <cell r="B88">
            <v>0.51</v>
          </cell>
          <cell r="C88">
            <v>0.49</v>
          </cell>
        </row>
        <row r="89">
          <cell r="A89" t="str">
            <v>Spain</v>
          </cell>
          <cell r="B89">
            <v>0.49</v>
          </cell>
          <cell r="C89">
            <v>0.51</v>
          </cell>
        </row>
        <row r="90">
          <cell r="A90" t="str">
            <v>North Korea</v>
          </cell>
        </row>
        <row r="91">
          <cell r="A91" t="str">
            <v>Marshall Islands</v>
          </cell>
        </row>
        <row r="92">
          <cell r="A92" t="str">
            <v>Ã…land Islands</v>
          </cell>
        </row>
        <row r="93">
          <cell r="A93" t="str">
            <v>Sint Maarten</v>
          </cell>
        </row>
        <row r="94">
          <cell r="A94" t="str">
            <v>Sierra Leone</v>
          </cell>
        </row>
        <row r="95">
          <cell r="A95" t="str">
            <v>Gibraltar</v>
          </cell>
        </row>
        <row r="96">
          <cell r="A96" t="str">
            <v>Grenada</v>
          </cell>
        </row>
        <row r="97">
          <cell r="A97" t="str">
            <v>Liberia</v>
          </cell>
        </row>
        <row r="98">
          <cell r="A98" t="str">
            <v>Guam</v>
          </cell>
        </row>
        <row r="99">
          <cell r="A99" t="str">
            <v>Lesotho</v>
          </cell>
        </row>
        <row r="100">
          <cell r="A100" t="str">
            <v>Cape Verde</v>
          </cell>
        </row>
        <row r="101">
          <cell r="A101" t="str">
            <v>Aruba</v>
          </cell>
        </row>
        <row r="102">
          <cell r="A102" t="str">
            <v>Togo</v>
          </cell>
        </row>
        <row r="103">
          <cell r="A103" t="str">
            <v>Namibia</v>
          </cell>
        </row>
        <row r="104">
          <cell r="A104" t="str">
            <v>Malawi</v>
          </cell>
        </row>
        <row r="105">
          <cell r="A105" t="str">
            <v>Iceland</v>
          </cell>
        </row>
        <row r="106">
          <cell r="A106" t="str">
            <v>Botswana</v>
          </cell>
        </row>
        <row r="107">
          <cell r="A107" t="str">
            <v>Jersey</v>
          </cell>
        </row>
        <row r="108">
          <cell r="A108" t="str">
            <v>Cyprus</v>
          </cell>
        </row>
        <row r="109">
          <cell r="A109" t="str">
            <v>Malta</v>
          </cell>
        </row>
        <row r="110">
          <cell r="A110" t="str">
            <v>Guyana</v>
          </cell>
        </row>
        <row r="111">
          <cell r="A111" t="str">
            <v>Fiji</v>
          </cell>
        </row>
        <row r="112">
          <cell r="A112" t="str">
            <v>Cuba</v>
          </cell>
        </row>
        <row r="113">
          <cell r="A113" t="str">
            <v>Benin</v>
          </cell>
        </row>
        <row r="114">
          <cell r="A114" t="str">
            <v>Maldives</v>
          </cell>
        </row>
        <row r="115">
          <cell r="A115" t="str">
            <v>Somalia</v>
          </cell>
        </row>
        <row r="116">
          <cell r="A116" t="str">
            <v>Trinidad &amp; Tobago</v>
          </cell>
        </row>
        <row r="117">
          <cell r="A117" t="str">
            <v>Zimbabwe</v>
          </cell>
        </row>
        <row r="118">
          <cell r="A118" t="str">
            <v>Jamaica</v>
          </cell>
        </row>
        <row r="119">
          <cell r="A119" t="str">
            <v>Bahamas</v>
          </cell>
        </row>
        <row r="120">
          <cell r="A120" t="str">
            <v>Qatar</v>
          </cell>
        </row>
        <row r="121">
          <cell r="A121" t="str">
            <v>Estonia</v>
          </cell>
        </row>
        <row r="122">
          <cell r="A122" t="str">
            <v>Burkina Faso</v>
          </cell>
        </row>
        <row r="123">
          <cell r="A123" t="str">
            <v>Zambia</v>
          </cell>
        </row>
        <row r="124">
          <cell r="A124" t="str">
            <v>Madagascar</v>
          </cell>
        </row>
        <row r="125">
          <cell r="A125" t="str">
            <v>Guadeloupe</v>
          </cell>
        </row>
        <row r="126">
          <cell r="A126" t="str">
            <v>Kosovo</v>
          </cell>
        </row>
        <row r="127">
          <cell r="A127" t="str">
            <v>Uganda</v>
          </cell>
        </row>
        <row r="128">
          <cell r="A128" t="str">
            <v>Afghanistan</v>
          </cell>
        </row>
        <row r="129">
          <cell r="A129" t="str">
            <v>Bahrain</v>
          </cell>
        </row>
        <row r="130">
          <cell r="A130" t="str">
            <v>Latvia</v>
          </cell>
        </row>
        <row r="131">
          <cell r="A131" t="str">
            <v>Costa Rica</v>
          </cell>
        </row>
        <row r="132">
          <cell r="A132" t="str">
            <v>Oman</v>
          </cell>
        </row>
        <row r="133">
          <cell r="A133" t="str">
            <v>Cameroon</v>
          </cell>
        </row>
        <row r="134">
          <cell r="A134" t="str">
            <v>Albania</v>
          </cell>
        </row>
        <row r="135">
          <cell r="A135" t="str">
            <v>Sudan</v>
          </cell>
        </row>
        <row r="136">
          <cell r="A136" t="str">
            <v>Lithuania</v>
          </cell>
        </row>
        <row r="137">
          <cell r="A137" t="str">
            <v>Angola</v>
          </cell>
        </row>
        <row r="138">
          <cell r="A138" t="str">
            <v>Mongolia</v>
          </cell>
        </row>
        <row r="139">
          <cell r="A139" t="str">
            <v>Puerto Rico</v>
          </cell>
        </row>
        <row r="140">
          <cell r="A140" t="str">
            <v>Montenegro</v>
          </cell>
        </row>
        <row r="141">
          <cell r="A141" t="str">
            <v>Laos</v>
          </cell>
        </row>
        <row r="142">
          <cell r="A142" t="str">
            <v>Mozambique</v>
          </cell>
        </row>
        <row r="143">
          <cell r="A143" t="str">
            <v>Senegal</v>
          </cell>
        </row>
        <row r="144">
          <cell r="A144" t="str">
            <v>CÃ´te dâ€™Ivoire</v>
          </cell>
        </row>
        <row r="145">
          <cell r="A145" t="str">
            <v>Algeria</v>
          </cell>
        </row>
        <row r="146">
          <cell r="A146" t="str">
            <v>RÃ©union</v>
          </cell>
        </row>
        <row r="147">
          <cell r="A147" t="str">
            <v>Morocco</v>
          </cell>
        </row>
        <row r="148">
          <cell r="A148" t="str">
            <v>Palestine</v>
          </cell>
        </row>
        <row r="149">
          <cell r="A149" t="str">
            <v>Tanzania</v>
          </cell>
        </row>
        <row r="150">
          <cell r="A150" t="str">
            <v>Georgia</v>
          </cell>
        </row>
        <row r="151">
          <cell r="A151" t="str">
            <v>Hungary</v>
          </cell>
        </row>
        <row r="152">
          <cell r="A152" t="str">
            <v>Slovakia</v>
          </cell>
        </row>
        <row r="153">
          <cell r="A153" t="str">
            <v>Cambodia</v>
          </cell>
        </row>
        <row r="154">
          <cell r="A154" t="str">
            <v>Azerbaijan</v>
          </cell>
        </row>
        <row r="155">
          <cell r="A155" t="str">
            <v>Iraq</v>
          </cell>
        </row>
        <row r="156">
          <cell r="A156" t="str">
            <v>Syria</v>
          </cell>
        </row>
        <row r="157">
          <cell r="A157" t="str">
            <v>Paraguay</v>
          </cell>
        </row>
        <row r="158">
          <cell r="A158" t="str">
            <v>Anguilla</v>
          </cell>
        </row>
        <row r="159">
          <cell r="A159" t="str">
            <v>Andorra</v>
          </cell>
        </row>
        <row r="160">
          <cell r="A160" t="str">
            <v>American Samoa</v>
          </cell>
        </row>
        <row r="161">
          <cell r="A161" t="str">
            <v>Antarctica</v>
          </cell>
        </row>
        <row r="162">
          <cell r="A162" t="str">
            <v>French Southern Territories</v>
          </cell>
        </row>
        <row r="163">
          <cell r="A163" t="str">
            <v>Antigua &amp; Barbuda</v>
          </cell>
        </row>
        <row r="164">
          <cell r="A164" t="str">
            <v>Burundi</v>
          </cell>
        </row>
        <row r="165">
          <cell r="A165" t="str">
            <v>Caribbean Netherlands</v>
          </cell>
        </row>
        <row r="166">
          <cell r="A166" t="str">
            <v>St. BarthÃ©lemy</v>
          </cell>
        </row>
        <row r="167">
          <cell r="A167" t="str">
            <v>Belize</v>
          </cell>
        </row>
        <row r="168">
          <cell r="A168" t="str">
            <v>Bermuda</v>
          </cell>
        </row>
        <row r="169">
          <cell r="A169" t="str">
            <v>Barbados</v>
          </cell>
        </row>
        <row r="170">
          <cell r="A170" t="str">
            <v>Brunei</v>
          </cell>
        </row>
        <row r="171">
          <cell r="A171" t="str">
            <v>Bhutan</v>
          </cell>
        </row>
        <row r="172">
          <cell r="A172" t="str">
            <v>Bouvet Island</v>
          </cell>
        </row>
        <row r="173">
          <cell r="A173" t="str">
            <v>Central African Republic</v>
          </cell>
        </row>
        <row r="174">
          <cell r="A174" t="str">
            <v>Cocos (Keeling) Islands</v>
          </cell>
        </row>
        <row r="175">
          <cell r="A175" t="str">
            <v>Congo - Kinshasa</v>
          </cell>
        </row>
        <row r="176">
          <cell r="A176" t="str">
            <v>Congo - Brazzaville</v>
          </cell>
        </row>
        <row r="177">
          <cell r="A177" t="str">
            <v>Cook Islands</v>
          </cell>
        </row>
        <row r="178">
          <cell r="A178" t="str">
            <v>Comoros</v>
          </cell>
        </row>
        <row r="179">
          <cell r="A179" t="str">
            <v>CuraÃ§ao</v>
          </cell>
        </row>
        <row r="180">
          <cell r="A180" t="str">
            <v>Christmas Island</v>
          </cell>
        </row>
        <row r="181">
          <cell r="A181" t="str">
            <v>Cayman Islands</v>
          </cell>
        </row>
        <row r="182">
          <cell r="A182" t="str">
            <v>Djibouti</v>
          </cell>
        </row>
        <row r="183">
          <cell r="A183" t="str">
            <v>Dominica</v>
          </cell>
        </row>
        <row r="184">
          <cell r="A184" t="str">
            <v>Eritrea</v>
          </cell>
        </row>
        <row r="185">
          <cell r="A185" t="str">
            <v>Western Sahara</v>
          </cell>
        </row>
        <row r="186">
          <cell r="A186" t="str">
            <v>Falkland Islands (Islas Malvinas)</v>
          </cell>
        </row>
        <row r="187">
          <cell r="A187" t="str">
            <v>Faroe Islands</v>
          </cell>
        </row>
        <row r="188">
          <cell r="A188" t="str">
            <v>Micronesia</v>
          </cell>
        </row>
        <row r="189">
          <cell r="A189" t="str">
            <v>Gabon</v>
          </cell>
        </row>
        <row r="190">
          <cell r="A190" t="str">
            <v>Guernsey</v>
          </cell>
        </row>
        <row r="191">
          <cell r="A191" t="str">
            <v>Guinea</v>
          </cell>
        </row>
        <row r="192">
          <cell r="A192" t="str">
            <v>Gambia</v>
          </cell>
        </row>
        <row r="193">
          <cell r="A193" t="str">
            <v>Guinea-Bissau</v>
          </cell>
        </row>
        <row r="194">
          <cell r="A194" t="str">
            <v>Equatorial Guinea</v>
          </cell>
        </row>
        <row r="195">
          <cell r="A195" t="str">
            <v>Greenland</v>
          </cell>
        </row>
        <row r="196">
          <cell r="A196" t="str">
            <v>French Guiana</v>
          </cell>
        </row>
        <row r="197">
          <cell r="A197" t="str">
            <v>Heard &amp; McDonald Islands</v>
          </cell>
        </row>
        <row r="198">
          <cell r="A198" t="str">
            <v>Haiti</v>
          </cell>
        </row>
        <row r="199">
          <cell r="A199" t="str">
            <v>Isle of Man</v>
          </cell>
        </row>
        <row r="200">
          <cell r="A200" t="str">
            <v>British Indian Ocean Territory</v>
          </cell>
        </row>
        <row r="201">
          <cell r="A201" t="str">
            <v>Kyrgyzstan</v>
          </cell>
        </row>
        <row r="202">
          <cell r="A202" t="str">
            <v>Kiribati</v>
          </cell>
        </row>
        <row r="203">
          <cell r="A203" t="str">
            <v>St. Kitts &amp; Nevis</v>
          </cell>
        </row>
        <row r="204">
          <cell r="A204" t="str">
            <v>Libya</v>
          </cell>
        </row>
        <row r="205">
          <cell r="A205" t="str">
            <v>St. Lucia</v>
          </cell>
        </row>
        <row r="206">
          <cell r="A206" t="str">
            <v>Liechtenstein</v>
          </cell>
        </row>
        <row r="207">
          <cell r="A207" t="str">
            <v>Macao</v>
          </cell>
        </row>
        <row r="208">
          <cell r="A208" t="str">
            <v>St. Martin</v>
          </cell>
        </row>
        <row r="209">
          <cell r="A209" t="str">
            <v>Monaco</v>
          </cell>
        </row>
        <row r="210">
          <cell r="A210" t="str">
            <v>Mali</v>
          </cell>
        </row>
        <row r="211">
          <cell r="A211" t="str">
            <v>Northern Mariana Islands</v>
          </cell>
        </row>
        <row r="212">
          <cell r="A212" t="str">
            <v>Mauritania</v>
          </cell>
        </row>
        <row r="213">
          <cell r="A213" t="str">
            <v>Montserrat</v>
          </cell>
        </row>
        <row r="214">
          <cell r="A214" t="str">
            <v>Martinique</v>
          </cell>
        </row>
        <row r="215">
          <cell r="A215" t="str">
            <v>Mayotte</v>
          </cell>
        </row>
        <row r="216">
          <cell r="A216" t="str">
            <v>New Caledonia</v>
          </cell>
        </row>
        <row r="217">
          <cell r="A217" t="str">
            <v>Niger</v>
          </cell>
        </row>
        <row r="218">
          <cell r="A218" t="str">
            <v>Norfolk Island</v>
          </cell>
        </row>
        <row r="219">
          <cell r="A219" t="str">
            <v>Niue</v>
          </cell>
        </row>
        <row r="220">
          <cell r="A220" t="str">
            <v>Nauru</v>
          </cell>
        </row>
        <row r="221">
          <cell r="A221" t="str">
            <v>Pitcairn Islands</v>
          </cell>
        </row>
        <row r="222">
          <cell r="A222" t="str">
            <v>Palau</v>
          </cell>
        </row>
        <row r="223">
          <cell r="A223" t="str">
            <v>Papua New Guinea</v>
          </cell>
        </row>
        <row r="224">
          <cell r="A224" t="str">
            <v>French Polynesia</v>
          </cell>
        </row>
        <row r="225">
          <cell r="A225" t="str">
            <v>Rwanda</v>
          </cell>
        </row>
        <row r="226">
          <cell r="A226" t="str">
            <v>South Georgia &amp; South Sandwich Islands</v>
          </cell>
        </row>
        <row r="227">
          <cell r="A227" t="str">
            <v>Svalbard &amp; Jan Mayen</v>
          </cell>
        </row>
        <row r="228">
          <cell r="A228" t="str">
            <v>Solomon Islands</v>
          </cell>
        </row>
        <row r="229">
          <cell r="A229" t="str">
            <v>San Marino</v>
          </cell>
        </row>
        <row r="230">
          <cell r="A230" t="str">
            <v>St. Pierre &amp; Miquelon</v>
          </cell>
        </row>
        <row r="231">
          <cell r="A231" t="str">
            <v>South Sudan</v>
          </cell>
        </row>
        <row r="232">
          <cell r="A232" t="str">
            <v>SÃ£o TomÃ© &amp; PrÃ­ncipe</v>
          </cell>
        </row>
        <row r="233">
          <cell r="A233" t="str">
            <v>Suriname</v>
          </cell>
        </row>
        <row r="234">
          <cell r="A234" t="str">
            <v>Eswatini</v>
          </cell>
        </row>
        <row r="235">
          <cell r="A235" t="str">
            <v>Seychelles</v>
          </cell>
        </row>
        <row r="236">
          <cell r="A236" t="str">
            <v>Turks &amp; Caicos Islands</v>
          </cell>
        </row>
        <row r="237">
          <cell r="A237" t="str">
            <v>Chad</v>
          </cell>
        </row>
        <row r="238">
          <cell r="A238" t="str">
            <v>Tajikistan</v>
          </cell>
        </row>
        <row r="239">
          <cell r="A239" t="str">
            <v>Tokelau</v>
          </cell>
        </row>
        <row r="240">
          <cell r="A240" t="str">
            <v>Turkmenistan</v>
          </cell>
        </row>
        <row r="241">
          <cell r="A241" t="str">
            <v>Timor-Leste</v>
          </cell>
        </row>
        <row r="242">
          <cell r="A242" t="str">
            <v>Tonga</v>
          </cell>
        </row>
        <row r="243">
          <cell r="A243" t="str">
            <v>Tuvalu</v>
          </cell>
        </row>
        <row r="244">
          <cell r="A244" t="str">
            <v>U.S. Outlying Islands</v>
          </cell>
        </row>
        <row r="245">
          <cell r="A245" t="str">
            <v>Uzbekistan</v>
          </cell>
        </row>
        <row r="246">
          <cell r="A246" t="str">
            <v>Vatican City</v>
          </cell>
        </row>
        <row r="247">
          <cell r="A247" t="str">
            <v>St. Vincent &amp; Grenadines</v>
          </cell>
        </row>
        <row r="248">
          <cell r="A248" t="str">
            <v>British Virgin Islands</v>
          </cell>
        </row>
        <row r="249">
          <cell r="A249" t="str">
            <v>U.S. Virgin Islands</v>
          </cell>
        </row>
        <row r="250">
          <cell r="A250" t="str">
            <v>Vanuatu</v>
          </cell>
        </row>
        <row r="251">
          <cell r="A251" t="str">
            <v>Wallis &amp; Futuna</v>
          </cell>
        </row>
        <row r="252">
          <cell r="A252" t="str">
            <v>Samoa</v>
          </cell>
        </row>
        <row r="253">
          <cell r="A253" t="str">
            <v>Yemen</v>
          </cell>
        </row>
      </sheetData>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33)"/>
    </sheetNames>
    <sheetDataSet>
      <sheetData sheetId="0" refreshError="1">
        <row r="1">
          <cell r="A1" t="str">
            <v>Kategori: TÃ¼m kategoriler</v>
          </cell>
        </row>
        <row r="3">
          <cell r="A3" t="str">
            <v>Ãœlke</v>
          </cell>
          <cell r="B3" t="str">
            <v>Tip Sistemi: (2018)</v>
          </cell>
          <cell r="C3" t="str">
            <v>Gradyan Ä°niÅŸ: (2018)</v>
          </cell>
        </row>
        <row r="4">
          <cell r="A4" t="str">
            <v>China</v>
          </cell>
          <cell r="B4">
            <v>0.1</v>
          </cell>
          <cell r="C4">
            <v>0.9</v>
          </cell>
        </row>
        <row r="5">
          <cell r="A5" t="str">
            <v>Bosnia &amp; Herzegovina</v>
          </cell>
          <cell r="B5">
            <v>1</v>
          </cell>
        </row>
        <row r="6">
          <cell r="A6" t="str">
            <v>Austria</v>
          </cell>
          <cell r="B6">
            <v>0.92</v>
          </cell>
          <cell r="C6">
            <v>0.08</v>
          </cell>
        </row>
        <row r="7">
          <cell r="A7" t="str">
            <v>South Korea</v>
          </cell>
          <cell r="B7">
            <v>0.11</v>
          </cell>
          <cell r="C7">
            <v>0.89</v>
          </cell>
        </row>
        <row r="8">
          <cell r="A8" t="str">
            <v>Mauritius</v>
          </cell>
        </row>
        <row r="9">
          <cell r="A9" t="str">
            <v>Singapore</v>
          </cell>
          <cell r="B9">
            <v>0.28999999999999998</v>
          </cell>
          <cell r="C9">
            <v>0.71</v>
          </cell>
        </row>
        <row r="10">
          <cell r="A10" t="str">
            <v>St. Helena</v>
          </cell>
          <cell r="B10">
            <v>0.62</v>
          </cell>
          <cell r="C10">
            <v>0.38</v>
          </cell>
        </row>
        <row r="11">
          <cell r="A11" t="str">
            <v>Myanmar (Burma)</v>
          </cell>
          <cell r="B11">
            <v>1</v>
          </cell>
        </row>
        <row r="12">
          <cell r="A12" t="str">
            <v>North Macedonia</v>
          </cell>
          <cell r="B12">
            <v>1</v>
          </cell>
        </row>
        <row r="13">
          <cell r="A13" t="str">
            <v>Japan</v>
          </cell>
          <cell r="B13">
            <v>0.84</v>
          </cell>
          <cell r="C13">
            <v>0.16</v>
          </cell>
        </row>
        <row r="14">
          <cell r="A14" t="str">
            <v>Hong Kong</v>
          </cell>
          <cell r="B14">
            <v>0.17</v>
          </cell>
          <cell r="C14">
            <v>0.83</v>
          </cell>
        </row>
        <row r="15">
          <cell r="A15" t="str">
            <v>Ethiopia</v>
          </cell>
        </row>
        <row r="16">
          <cell r="A16" t="str">
            <v>Nepal</v>
          </cell>
          <cell r="B16">
            <v>1</v>
          </cell>
        </row>
        <row r="17">
          <cell r="A17" t="str">
            <v>Germany</v>
          </cell>
          <cell r="B17">
            <v>0.66</v>
          </cell>
          <cell r="C17">
            <v>0.34</v>
          </cell>
        </row>
        <row r="18">
          <cell r="A18" t="str">
            <v>Dominican Republic</v>
          </cell>
          <cell r="B18">
            <v>1</v>
          </cell>
        </row>
        <row r="19">
          <cell r="A19" t="str">
            <v>Iceland</v>
          </cell>
        </row>
        <row r="20">
          <cell r="A20" t="str">
            <v>Pakistan</v>
          </cell>
          <cell r="B20">
            <v>0.64</v>
          </cell>
          <cell r="C20">
            <v>0.36</v>
          </cell>
        </row>
        <row r="21">
          <cell r="A21" t="str">
            <v>Taiwan</v>
          </cell>
          <cell r="B21">
            <v>0.32</v>
          </cell>
          <cell r="C21">
            <v>0.68</v>
          </cell>
        </row>
        <row r="22">
          <cell r="A22" t="str">
            <v>Luxembourg</v>
          </cell>
        </row>
        <row r="23">
          <cell r="A23" t="str">
            <v>Israel</v>
          </cell>
          <cell r="B23">
            <v>0.43</v>
          </cell>
          <cell r="C23">
            <v>0.56999999999999995</v>
          </cell>
        </row>
        <row r="24">
          <cell r="A24" t="str">
            <v>Bolivia</v>
          </cell>
          <cell r="B24">
            <v>1</v>
          </cell>
        </row>
        <row r="25">
          <cell r="A25" t="str">
            <v>India</v>
          </cell>
          <cell r="B25">
            <v>0.61</v>
          </cell>
          <cell r="C25">
            <v>0.39</v>
          </cell>
        </row>
        <row r="26">
          <cell r="A26" t="str">
            <v>Switzerland</v>
          </cell>
          <cell r="B26">
            <v>0.44</v>
          </cell>
          <cell r="C26">
            <v>0.56000000000000005</v>
          </cell>
        </row>
        <row r="27">
          <cell r="A27" t="str">
            <v>Nicaragua</v>
          </cell>
        </row>
        <row r="28">
          <cell r="A28" t="str">
            <v>Ghana</v>
          </cell>
          <cell r="B28">
            <v>1</v>
          </cell>
        </row>
        <row r="29">
          <cell r="A29" t="str">
            <v>Armenia</v>
          </cell>
        </row>
        <row r="30">
          <cell r="A30" t="str">
            <v>Cyprus</v>
          </cell>
        </row>
        <row r="31">
          <cell r="A31" t="str">
            <v>Philippines</v>
          </cell>
          <cell r="B31">
            <v>0.8</v>
          </cell>
          <cell r="C31">
            <v>0.2</v>
          </cell>
        </row>
        <row r="32">
          <cell r="A32" t="str">
            <v>Tunisia</v>
          </cell>
          <cell r="B32">
            <v>1</v>
          </cell>
        </row>
        <row r="33">
          <cell r="A33" t="str">
            <v>Canada</v>
          </cell>
          <cell r="B33">
            <v>0.41</v>
          </cell>
          <cell r="C33">
            <v>0.59</v>
          </cell>
        </row>
        <row r="34">
          <cell r="A34" t="str">
            <v>Ecuador</v>
          </cell>
          <cell r="B34">
            <v>1</v>
          </cell>
        </row>
        <row r="35">
          <cell r="A35" t="str">
            <v>Belarus</v>
          </cell>
          <cell r="B35">
            <v>0.67</v>
          </cell>
          <cell r="C35">
            <v>0.33</v>
          </cell>
        </row>
        <row r="36">
          <cell r="A36" t="str">
            <v>Russia</v>
          </cell>
          <cell r="B36">
            <v>0.62</v>
          </cell>
          <cell r="C36">
            <v>0.38</v>
          </cell>
        </row>
        <row r="37">
          <cell r="A37" t="str">
            <v>United States</v>
          </cell>
          <cell r="B37">
            <v>0.36</v>
          </cell>
          <cell r="C37">
            <v>0.64</v>
          </cell>
        </row>
        <row r="38">
          <cell r="A38" t="str">
            <v>Slovenia</v>
          </cell>
          <cell r="B38">
            <v>1</v>
          </cell>
        </row>
        <row r="39">
          <cell r="A39" t="str">
            <v>Honduras</v>
          </cell>
        </row>
        <row r="40">
          <cell r="A40" t="str">
            <v>El Salvador</v>
          </cell>
        </row>
        <row r="41">
          <cell r="A41" t="str">
            <v>United Arab Emirates</v>
          </cell>
          <cell r="B41">
            <v>1</v>
          </cell>
        </row>
        <row r="42">
          <cell r="A42" t="str">
            <v>Sri Lanka</v>
          </cell>
          <cell r="B42">
            <v>1</v>
          </cell>
        </row>
        <row r="43">
          <cell r="A43" t="str">
            <v>Serbia</v>
          </cell>
          <cell r="B43">
            <v>1</v>
          </cell>
        </row>
        <row r="44">
          <cell r="A44" t="str">
            <v>Denmark</v>
          </cell>
          <cell r="B44">
            <v>0.51</v>
          </cell>
          <cell r="C44">
            <v>0.49</v>
          </cell>
        </row>
        <row r="45">
          <cell r="A45" t="str">
            <v>Portugal</v>
          </cell>
          <cell r="B45">
            <v>0.67</v>
          </cell>
          <cell r="C45">
            <v>0.33</v>
          </cell>
        </row>
        <row r="46">
          <cell r="A46" t="str">
            <v>Ireland</v>
          </cell>
          <cell r="B46">
            <v>0.4</v>
          </cell>
          <cell r="C46">
            <v>0.6</v>
          </cell>
        </row>
        <row r="47">
          <cell r="A47" t="str">
            <v>Sweden</v>
          </cell>
          <cell r="B47">
            <v>0.56999999999999995</v>
          </cell>
          <cell r="C47">
            <v>0.43</v>
          </cell>
        </row>
        <row r="48">
          <cell r="A48" t="str">
            <v>Peru</v>
          </cell>
          <cell r="B48">
            <v>1</v>
          </cell>
        </row>
        <row r="49">
          <cell r="A49" t="str">
            <v>Venezuela</v>
          </cell>
          <cell r="B49">
            <v>1</v>
          </cell>
        </row>
        <row r="50">
          <cell r="A50" t="str">
            <v>Kuwait</v>
          </cell>
        </row>
        <row r="51">
          <cell r="A51" t="str">
            <v>Norway</v>
          </cell>
          <cell r="B51">
            <v>0.43</v>
          </cell>
          <cell r="C51">
            <v>0.56999999999999995</v>
          </cell>
        </row>
        <row r="52">
          <cell r="A52" t="str">
            <v>Finland</v>
          </cell>
          <cell r="B52">
            <v>0.47</v>
          </cell>
          <cell r="C52">
            <v>0.53</v>
          </cell>
        </row>
        <row r="53">
          <cell r="A53" t="str">
            <v>Jordan</v>
          </cell>
          <cell r="B53">
            <v>1</v>
          </cell>
        </row>
        <row r="54">
          <cell r="A54" t="str">
            <v>Malaysia</v>
          </cell>
          <cell r="B54">
            <v>0.71</v>
          </cell>
          <cell r="C54">
            <v>0.28999999999999998</v>
          </cell>
        </row>
        <row r="55">
          <cell r="A55" t="str">
            <v>Netherlands</v>
          </cell>
          <cell r="B55">
            <v>0.47</v>
          </cell>
          <cell r="C55">
            <v>0.53</v>
          </cell>
        </row>
        <row r="56">
          <cell r="A56" t="str">
            <v>Ukraine</v>
          </cell>
          <cell r="B56">
            <v>0.7</v>
          </cell>
          <cell r="C56">
            <v>0.3</v>
          </cell>
        </row>
        <row r="57">
          <cell r="A57" t="str">
            <v>Panama</v>
          </cell>
        </row>
        <row r="58">
          <cell r="A58" t="str">
            <v>Costa Rica</v>
          </cell>
          <cell r="B58">
            <v>1</v>
          </cell>
        </row>
        <row r="59">
          <cell r="A59" t="str">
            <v>New Zealand</v>
          </cell>
          <cell r="B59">
            <v>0.62</v>
          </cell>
          <cell r="C59">
            <v>0.38</v>
          </cell>
        </row>
        <row r="60">
          <cell r="A60" t="str">
            <v>Bangladesh</v>
          </cell>
          <cell r="B60">
            <v>0.62</v>
          </cell>
          <cell r="C60">
            <v>0.38</v>
          </cell>
        </row>
        <row r="61">
          <cell r="A61" t="str">
            <v>Australia</v>
          </cell>
          <cell r="B61">
            <v>0.53</v>
          </cell>
          <cell r="C61">
            <v>0.47</v>
          </cell>
        </row>
        <row r="62">
          <cell r="A62" t="str">
            <v>Colombia</v>
          </cell>
          <cell r="B62">
            <v>0.85</v>
          </cell>
          <cell r="C62">
            <v>0.15</v>
          </cell>
        </row>
        <row r="63">
          <cell r="A63" t="str">
            <v>Romania</v>
          </cell>
          <cell r="B63">
            <v>0.68</v>
          </cell>
          <cell r="C63">
            <v>0.32</v>
          </cell>
        </row>
        <row r="64">
          <cell r="A64" t="str">
            <v>Nigeria</v>
          </cell>
          <cell r="B64">
            <v>1</v>
          </cell>
        </row>
        <row r="65">
          <cell r="A65" t="str">
            <v>Egypt</v>
          </cell>
          <cell r="B65">
            <v>0.73</v>
          </cell>
          <cell r="C65">
            <v>0.27</v>
          </cell>
        </row>
        <row r="66">
          <cell r="A66" t="str">
            <v>Mexico</v>
          </cell>
          <cell r="B66">
            <v>0.85</v>
          </cell>
          <cell r="C66">
            <v>0.15</v>
          </cell>
        </row>
        <row r="67">
          <cell r="A67" t="str">
            <v>Iran</v>
          </cell>
          <cell r="B67">
            <v>0.56000000000000005</v>
          </cell>
          <cell r="C67">
            <v>0.44</v>
          </cell>
        </row>
        <row r="68">
          <cell r="A68" t="str">
            <v>Czechia</v>
          </cell>
          <cell r="B68">
            <v>0.72</v>
          </cell>
          <cell r="C68">
            <v>0.28000000000000003</v>
          </cell>
        </row>
        <row r="69">
          <cell r="A69" t="str">
            <v>United Kingdom</v>
          </cell>
          <cell r="B69">
            <v>0.52</v>
          </cell>
          <cell r="C69">
            <v>0.48</v>
          </cell>
        </row>
        <row r="70">
          <cell r="A70" t="str">
            <v>Guatemala</v>
          </cell>
        </row>
        <row r="71">
          <cell r="A71" t="str">
            <v>Greece</v>
          </cell>
          <cell r="B71">
            <v>0.44</v>
          </cell>
          <cell r="C71">
            <v>0.56000000000000005</v>
          </cell>
        </row>
        <row r="72">
          <cell r="A72" t="str">
            <v>Lithuania</v>
          </cell>
        </row>
        <row r="73">
          <cell r="A73" t="str">
            <v>Uruguay</v>
          </cell>
        </row>
        <row r="74">
          <cell r="A74" t="str">
            <v>South Africa</v>
          </cell>
          <cell r="B74">
            <v>0.55000000000000004</v>
          </cell>
          <cell r="C74">
            <v>0.45</v>
          </cell>
        </row>
        <row r="75">
          <cell r="A75" t="str">
            <v>Belgium</v>
          </cell>
          <cell r="B75">
            <v>0.5</v>
          </cell>
          <cell r="C75">
            <v>0.5</v>
          </cell>
        </row>
        <row r="76">
          <cell r="A76" t="str">
            <v>France</v>
          </cell>
          <cell r="B76">
            <v>0.28000000000000003</v>
          </cell>
          <cell r="C76">
            <v>0.72</v>
          </cell>
        </row>
        <row r="77">
          <cell r="A77" t="str">
            <v>Saudi Arabia</v>
          </cell>
          <cell r="B77">
            <v>0.66</v>
          </cell>
          <cell r="C77">
            <v>0.34</v>
          </cell>
        </row>
        <row r="78">
          <cell r="A78" t="str">
            <v>Vietnam</v>
          </cell>
          <cell r="B78">
            <v>0.64</v>
          </cell>
          <cell r="C78">
            <v>0.36</v>
          </cell>
        </row>
        <row r="79">
          <cell r="A79" t="str">
            <v>Croatia</v>
          </cell>
          <cell r="B79">
            <v>1</v>
          </cell>
        </row>
        <row r="80">
          <cell r="A80" t="str">
            <v>Latvia</v>
          </cell>
        </row>
        <row r="81">
          <cell r="A81" t="str">
            <v>Argentina</v>
          </cell>
          <cell r="B81">
            <v>1</v>
          </cell>
        </row>
        <row r="82">
          <cell r="A82" t="str">
            <v>Chile</v>
          </cell>
        </row>
        <row r="83">
          <cell r="A83" t="str">
            <v>Turkey</v>
          </cell>
          <cell r="B83">
            <v>0.67</v>
          </cell>
          <cell r="C83">
            <v>0.33</v>
          </cell>
        </row>
        <row r="84">
          <cell r="A84" t="str">
            <v>Kazakhstan</v>
          </cell>
          <cell r="B84">
            <v>0.56000000000000005</v>
          </cell>
          <cell r="C84">
            <v>0.44</v>
          </cell>
        </row>
        <row r="85">
          <cell r="A85" t="str">
            <v>Qatar</v>
          </cell>
        </row>
        <row r="86">
          <cell r="A86" t="str">
            <v>Morocco</v>
          </cell>
          <cell r="B86">
            <v>0.48</v>
          </cell>
          <cell r="C86">
            <v>0.52</v>
          </cell>
        </row>
        <row r="87">
          <cell r="A87" t="str">
            <v>Moldova</v>
          </cell>
        </row>
        <row r="88">
          <cell r="A88" t="str">
            <v>Italy</v>
          </cell>
          <cell r="B88">
            <v>0.36</v>
          </cell>
          <cell r="C88">
            <v>0.64</v>
          </cell>
        </row>
        <row r="89">
          <cell r="A89" t="str">
            <v>Hungary</v>
          </cell>
          <cell r="B89">
            <v>1</v>
          </cell>
        </row>
        <row r="90">
          <cell r="A90" t="str">
            <v>Algeria</v>
          </cell>
          <cell r="C90">
            <v>1</v>
          </cell>
        </row>
        <row r="91">
          <cell r="A91" t="str">
            <v>Poland</v>
          </cell>
          <cell r="B91">
            <v>0.5</v>
          </cell>
          <cell r="C91">
            <v>0.5</v>
          </cell>
        </row>
        <row r="92">
          <cell r="A92" t="str">
            <v>Thailand</v>
          </cell>
          <cell r="B92">
            <v>0.57999999999999996</v>
          </cell>
          <cell r="C92">
            <v>0.42</v>
          </cell>
        </row>
        <row r="93">
          <cell r="A93" t="str">
            <v>Spain</v>
          </cell>
          <cell r="B93">
            <v>0.49</v>
          </cell>
          <cell r="C93">
            <v>0.51</v>
          </cell>
        </row>
        <row r="94">
          <cell r="A94" t="str">
            <v>Iraq</v>
          </cell>
        </row>
        <row r="95">
          <cell r="A95" t="str">
            <v>Brazil</v>
          </cell>
          <cell r="B95">
            <v>0.66</v>
          </cell>
          <cell r="C95">
            <v>0.34</v>
          </cell>
        </row>
        <row r="96">
          <cell r="A96" t="str">
            <v>Indonesia</v>
          </cell>
          <cell r="B96">
            <v>0.67</v>
          </cell>
          <cell r="C96">
            <v>0.33</v>
          </cell>
        </row>
        <row r="97">
          <cell r="A97" t="str">
            <v>Solomon Islands</v>
          </cell>
        </row>
        <row r="98">
          <cell r="A98" t="str">
            <v>Turks &amp; Caicos Islands</v>
          </cell>
        </row>
        <row r="99">
          <cell r="A99" t="str">
            <v>Sint Maarten</v>
          </cell>
        </row>
        <row r="100">
          <cell r="A100" t="str">
            <v>Liechtenstein</v>
          </cell>
        </row>
        <row r="101">
          <cell r="A101" t="str">
            <v>Gibraltar</v>
          </cell>
        </row>
        <row r="102">
          <cell r="A102" t="str">
            <v>CuraÃ§ao</v>
          </cell>
        </row>
        <row r="103">
          <cell r="A103" t="str">
            <v>Burundi</v>
          </cell>
        </row>
        <row r="104">
          <cell r="A104" t="str">
            <v>Eswatini</v>
          </cell>
        </row>
        <row r="105">
          <cell r="A105" t="str">
            <v>Cayman Islands</v>
          </cell>
        </row>
        <row r="106">
          <cell r="A106" t="str">
            <v>Liberia</v>
          </cell>
        </row>
        <row r="107">
          <cell r="A107" t="str">
            <v>Aruba</v>
          </cell>
        </row>
        <row r="108">
          <cell r="A108" t="str">
            <v>Maldives</v>
          </cell>
        </row>
        <row r="109">
          <cell r="A109" t="str">
            <v>Somalia</v>
          </cell>
        </row>
        <row r="110">
          <cell r="A110" t="str">
            <v>Isle of Man</v>
          </cell>
        </row>
        <row r="111">
          <cell r="A111" t="str">
            <v>Madagascar</v>
          </cell>
        </row>
        <row r="112">
          <cell r="A112" t="str">
            <v>Jersey</v>
          </cell>
        </row>
        <row r="113">
          <cell r="A113" t="str">
            <v>Guyana</v>
          </cell>
        </row>
        <row r="114">
          <cell r="A114" t="str">
            <v>Cuba</v>
          </cell>
        </row>
        <row r="115">
          <cell r="A115" t="str">
            <v>Malta</v>
          </cell>
        </row>
        <row r="116">
          <cell r="A116" t="str">
            <v>Benin</v>
          </cell>
        </row>
        <row r="117">
          <cell r="A117" t="str">
            <v>Laos</v>
          </cell>
        </row>
        <row r="118">
          <cell r="A118" t="str">
            <v>Rwanda</v>
          </cell>
        </row>
        <row r="119">
          <cell r="A119" t="str">
            <v>Kosovo</v>
          </cell>
        </row>
        <row r="120">
          <cell r="A120" t="str">
            <v>Turkmenistan</v>
          </cell>
        </row>
        <row r="121">
          <cell r="A121" t="str">
            <v>Mozambique</v>
          </cell>
        </row>
        <row r="122">
          <cell r="A122" t="str">
            <v>Burkina Faso</v>
          </cell>
        </row>
        <row r="123">
          <cell r="A123" t="str">
            <v>Angola</v>
          </cell>
        </row>
        <row r="124">
          <cell r="A124" t="str">
            <v>Mongolia</v>
          </cell>
        </row>
        <row r="125">
          <cell r="A125" t="str">
            <v>Congo - Kinshasa</v>
          </cell>
        </row>
        <row r="126">
          <cell r="A126" t="str">
            <v>Macao</v>
          </cell>
        </row>
        <row r="127">
          <cell r="A127" t="str">
            <v>Trinidad &amp; Tobago</v>
          </cell>
        </row>
        <row r="128">
          <cell r="A128" t="str">
            <v>Afghanistan</v>
          </cell>
        </row>
        <row r="129">
          <cell r="A129" t="str">
            <v>Oman</v>
          </cell>
        </row>
        <row r="130">
          <cell r="A130" t="str">
            <v>Uzbekistan</v>
          </cell>
        </row>
        <row r="131">
          <cell r="A131" t="str">
            <v>Montenegro</v>
          </cell>
        </row>
        <row r="132">
          <cell r="A132" t="str">
            <v>Bahrain</v>
          </cell>
        </row>
        <row r="133">
          <cell r="A133" t="str">
            <v>Zimbabwe</v>
          </cell>
        </row>
        <row r="134">
          <cell r="A134" t="str">
            <v>Jamaica</v>
          </cell>
        </row>
        <row r="135">
          <cell r="A135" t="str">
            <v>Palestine</v>
          </cell>
        </row>
        <row r="136">
          <cell r="A136" t="str">
            <v>Uganda</v>
          </cell>
        </row>
        <row r="137">
          <cell r="A137" t="str">
            <v>Georgia</v>
          </cell>
        </row>
        <row r="138">
          <cell r="A138" t="str">
            <v>Yemen</v>
          </cell>
        </row>
        <row r="139">
          <cell r="A139" t="str">
            <v>Albania</v>
          </cell>
        </row>
        <row r="140">
          <cell r="A140" t="str">
            <v>Zambia</v>
          </cell>
        </row>
        <row r="141">
          <cell r="A141" t="str">
            <v>Tanzania</v>
          </cell>
        </row>
        <row r="142">
          <cell r="A142" t="str">
            <v>Bulgaria</v>
          </cell>
        </row>
        <row r="143">
          <cell r="A143" t="str">
            <v>Kyrgyzstan</v>
          </cell>
        </row>
        <row r="144">
          <cell r="A144" t="str">
            <v>Sudan</v>
          </cell>
        </row>
        <row r="145">
          <cell r="A145" t="str">
            <v>Libya</v>
          </cell>
        </row>
        <row r="146">
          <cell r="A146" t="str">
            <v>Paraguay</v>
          </cell>
        </row>
        <row r="147">
          <cell r="A147" t="str">
            <v>Estonia</v>
          </cell>
        </row>
        <row r="148">
          <cell r="A148" t="str">
            <v>Lebanon</v>
          </cell>
        </row>
        <row r="149">
          <cell r="A149" t="str">
            <v>CÃ´te dâ€™Ivoire</v>
          </cell>
        </row>
        <row r="150">
          <cell r="A150" t="str">
            <v>Slovakia</v>
          </cell>
        </row>
        <row r="151">
          <cell r="A151" t="str">
            <v>Syria</v>
          </cell>
        </row>
        <row r="152">
          <cell r="A152" t="str">
            <v>Azerbaijan</v>
          </cell>
        </row>
        <row r="153">
          <cell r="A153" t="str">
            <v>Kenya</v>
          </cell>
        </row>
        <row r="154">
          <cell r="A154" t="str">
            <v>Puerto Rico</v>
          </cell>
        </row>
        <row r="155">
          <cell r="A155" t="str">
            <v>Anguilla</v>
          </cell>
        </row>
        <row r="156">
          <cell r="A156" t="str">
            <v>Ã…land Islands</v>
          </cell>
        </row>
        <row r="157">
          <cell r="A157" t="str">
            <v>Andorra</v>
          </cell>
        </row>
        <row r="158">
          <cell r="A158" t="str">
            <v>American Samoa</v>
          </cell>
        </row>
        <row r="159">
          <cell r="A159" t="str">
            <v>Antarctica</v>
          </cell>
        </row>
        <row r="160">
          <cell r="A160" t="str">
            <v>French Southern Territories</v>
          </cell>
        </row>
        <row r="161">
          <cell r="A161" t="str">
            <v>Antigua &amp; Barbuda</v>
          </cell>
        </row>
        <row r="162">
          <cell r="A162" t="str">
            <v>Caribbean Netherlands</v>
          </cell>
        </row>
        <row r="163">
          <cell r="A163" t="str">
            <v>Bahamas</v>
          </cell>
        </row>
        <row r="164">
          <cell r="A164" t="str">
            <v>St. BarthÃ©lemy</v>
          </cell>
        </row>
        <row r="165">
          <cell r="A165" t="str">
            <v>Belize</v>
          </cell>
        </row>
        <row r="166">
          <cell r="A166" t="str">
            <v>Bermuda</v>
          </cell>
        </row>
        <row r="167">
          <cell r="A167" t="str">
            <v>Barbados</v>
          </cell>
        </row>
        <row r="168">
          <cell r="A168" t="str">
            <v>Brunei</v>
          </cell>
        </row>
        <row r="169">
          <cell r="A169" t="str">
            <v>Bhutan</v>
          </cell>
        </row>
        <row r="170">
          <cell r="A170" t="str">
            <v>Bouvet Island</v>
          </cell>
        </row>
        <row r="171">
          <cell r="A171" t="str">
            <v>Botswana</v>
          </cell>
        </row>
        <row r="172">
          <cell r="A172" t="str">
            <v>Central African Republic</v>
          </cell>
        </row>
        <row r="173">
          <cell r="A173" t="str">
            <v>Cocos (Keeling) Islands</v>
          </cell>
        </row>
        <row r="174">
          <cell r="A174" t="str">
            <v>Cameroon</v>
          </cell>
        </row>
        <row r="175">
          <cell r="A175" t="str">
            <v>Congo - Brazzaville</v>
          </cell>
        </row>
        <row r="176">
          <cell r="A176" t="str">
            <v>Cook Islands</v>
          </cell>
        </row>
        <row r="177">
          <cell r="A177" t="str">
            <v>Comoros</v>
          </cell>
        </row>
        <row r="178">
          <cell r="A178" t="str">
            <v>Cape Verde</v>
          </cell>
        </row>
        <row r="179">
          <cell r="A179" t="str">
            <v>Christmas Island</v>
          </cell>
        </row>
        <row r="180">
          <cell r="A180" t="str">
            <v>Djibouti</v>
          </cell>
        </row>
        <row r="181">
          <cell r="A181" t="str">
            <v>Dominica</v>
          </cell>
        </row>
        <row r="182">
          <cell r="A182" t="str">
            <v>Eritrea</v>
          </cell>
        </row>
        <row r="183">
          <cell r="A183" t="str">
            <v>Western Sahara</v>
          </cell>
        </row>
        <row r="184">
          <cell r="A184" t="str">
            <v>Fiji</v>
          </cell>
        </row>
        <row r="185">
          <cell r="A185" t="str">
            <v>Falkland Islands (Islas Malvinas)</v>
          </cell>
        </row>
        <row r="186">
          <cell r="A186" t="str">
            <v>Faroe Islands</v>
          </cell>
        </row>
        <row r="187">
          <cell r="A187" t="str">
            <v>Micronesia</v>
          </cell>
        </row>
        <row r="188">
          <cell r="A188" t="str">
            <v>Gabon</v>
          </cell>
        </row>
        <row r="189">
          <cell r="A189" t="str">
            <v>Guernsey</v>
          </cell>
        </row>
        <row r="190">
          <cell r="A190" t="str">
            <v>Guinea</v>
          </cell>
        </row>
        <row r="191">
          <cell r="A191" t="str">
            <v>Guadeloupe</v>
          </cell>
        </row>
        <row r="192">
          <cell r="A192" t="str">
            <v>Gambia</v>
          </cell>
        </row>
        <row r="193">
          <cell r="A193" t="str">
            <v>Guinea-Bissau</v>
          </cell>
        </row>
        <row r="194">
          <cell r="A194" t="str">
            <v>Equatorial Guinea</v>
          </cell>
        </row>
        <row r="195">
          <cell r="A195" t="str">
            <v>Grenada</v>
          </cell>
        </row>
        <row r="196">
          <cell r="A196" t="str">
            <v>Greenland</v>
          </cell>
        </row>
        <row r="197">
          <cell r="A197" t="str">
            <v>French Guiana</v>
          </cell>
        </row>
        <row r="198">
          <cell r="A198" t="str">
            <v>Guam</v>
          </cell>
        </row>
        <row r="199">
          <cell r="A199" t="str">
            <v>Heard &amp; McDonald Islands</v>
          </cell>
        </row>
        <row r="200">
          <cell r="A200" t="str">
            <v>Haiti</v>
          </cell>
        </row>
        <row r="201">
          <cell r="A201" t="str">
            <v>British Indian Ocean Territory</v>
          </cell>
        </row>
        <row r="202">
          <cell r="A202" t="str">
            <v>Cambodia</v>
          </cell>
        </row>
        <row r="203">
          <cell r="A203" t="str">
            <v>Kiribati</v>
          </cell>
        </row>
        <row r="204">
          <cell r="A204" t="str">
            <v>St. Kitts &amp; Nevis</v>
          </cell>
        </row>
        <row r="205">
          <cell r="A205" t="str">
            <v>St. Lucia</v>
          </cell>
        </row>
        <row r="206">
          <cell r="A206" t="str">
            <v>Lesotho</v>
          </cell>
        </row>
        <row r="207">
          <cell r="A207" t="str">
            <v>St. Martin</v>
          </cell>
        </row>
        <row r="208">
          <cell r="A208" t="str">
            <v>Monaco</v>
          </cell>
        </row>
        <row r="209">
          <cell r="A209" t="str">
            <v>Marshall Islands</v>
          </cell>
        </row>
        <row r="210">
          <cell r="A210" t="str">
            <v>Mali</v>
          </cell>
        </row>
        <row r="211">
          <cell r="A211" t="str">
            <v>Northern Mariana Islands</v>
          </cell>
        </row>
        <row r="212">
          <cell r="A212" t="str">
            <v>Mauritania</v>
          </cell>
        </row>
        <row r="213">
          <cell r="A213" t="str">
            <v>Montserrat</v>
          </cell>
        </row>
        <row r="214">
          <cell r="A214" t="str">
            <v>Martinique</v>
          </cell>
        </row>
        <row r="215">
          <cell r="A215" t="str">
            <v>Malawi</v>
          </cell>
        </row>
        <row r="216">
          <cell r="A216" t="str">
            <v>Mayotte</v>
          </cell>
        </row>
        <row r="217">
          <cell r="A217" t="str">
            <v>Namibia</v>
          </cell>
        </row>
        <row r="218">
          <cell r="A218" t="str">
            <v>New Caledonia</v>
          </cell>
        </row>
        <row r="219">
          <cell r="A219" t="str">
            <v>Niger</v>
          </cell>
        </row>
        <row r="220">
          <cell r="A220" t="str">
            <v>Norfolk Island</v>
          </cell>
        </row>
        <row r="221">
          <cell r="A221" t="str">
            <v>Niue</v>
          </cell>
        </row>
        <row r="222">
          <cell r="A222" t="str">
            <v>Nauru</v>
          </cell>
        </row>
        <row r="223">
          <cell r="A223" t="str">
            <v>Pitcairn Islands</v>
          </cell>
        </row>
        <row r="224">
          <cell r="A224" t="str">
            <v>Palau</v>
          </cell>
        </row>
        <row r="225">
          <cell r="A225" t="str">
            <v>Papua New Guinea</v>
          </cell>
        </row>
        <row r="226">
          <cell r="A226" t="str">
            <v>North Korea</v>
          </cell>
        </row>
        <row r="227">
          <cell r="A227" t="str">
            <v>French Polynesia</v>
          </cell>
        </row>
        <row r="228">
          <cell r="A228" t="str">
            <v>RÃ©union</v>
          </cell>
        </row>
        <row r="229">
          <cell r="A229" t="str">
            <v>Senegal</v>
          </cell>
        </row>
        <row r="230">
          <cell r="A230" t="str">
            <v>South Georgia &amp; South Sandwich Islands</v>
          </cell>
        </row>
        <row r="231">
          <cell r="A231" t="str">
            <v>Svalbard &amp; Jan Mayen</v>
          </cell>
        </row>
        <row r="232">
          <cell r="A232" t="str">
            <v>Sierra Leone</v>
          </cell>
        </row>
        <row r="233">
          <cell r="A233" t="str">
            <v>San Marino</v>
          </cell>
        </row>
        <row r="234">
          <cell r="A234" t="str">
            <v>St. Pierre &amp; Miquelon</v>
          </cell>
        </row>
        <row r="235">
          <cell r="A235" t="str">
            <v>South Sudan</v>
          </cell>
        </row>
        <row r="236">
          <cell r="A236" t="str">
            <v>SÃ£o TomÃ© &amp; PrÃ­ncipe</v>
          </cell>
        </row>
        <row r="237">
          <cell r="A237" t="str">
            <v>Suriname</v>
          </cell>
        </row>
        <row r="238">
          <cell r="A238" t="str">
            <v>Seychelles</v>
          </cell>
        </row>
        <row r="239">
          <cell r="A239" t="str">
            <v>Chad</v>
          </cell>
        </row>
        <row r="240">
          <cell r="A240" t="str">
            <v>Togo</v>
          </cell>
        </row>
        <row r="241">
          <cell r="A241" t="str">
            <v>Tajikistan</v>
          </cell>
        </row>
        <row r="242">
          <cell r="A242" t="str">
            <v>Tokelau</v>
          </cell>
        </row>
        <row r="243">
          <cell r="A243" t="str">
            <v>Timor-Leste</v>
          </cell>
        </row>
        <row r="244">
          <cell r="A244" t="str">
            <v>Tonga</v>
          </cell>
        </row>
        <row r="245">
          <cell r="A245" t="str">
            <v>Tuvalu</v>
          </cell>
        </row>
        <row r="246">
          <cell r="A246" t="str">
            <v>U.S. Outlying Islands</v>
          </cell>
        </row>
        <row r="247">
          <cell r="A247" t="str">
            <v>Vatican City</v>
          </cell>
        </row>
        <row r="248">
          <cell r="A248" t="str">
            <v>St. Vincent &amp; Grenadines</v>
          </cell>
        </row>
        <row r="249">
          <cell r="A249" t="str">
            <v>British Virgin Islands</v>
          </cell>
        </row>
        <row r="250">
          <cell r="A250" t="str">
            <v>U.S. Virgin Islands</v>
          </cell>
        </row>
        <row r="251">
          <cell r="A251" t="str">
            <v>Vanuatu</v>
          </cell>
        </row>
        <row r="252">
          <cell r="A252" t="str">
            <v>Wallis &amp; Futuna</v>
          </cell>
        </row>
        <row r="253">
          <cell r="A253" t="str">
            <v>Samoa</v>
          </cell>
        </row>
      </sheetData>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34)"/>
    </sheetNames>
    <sheetDataSet>
      <sheetData sheetId="0" refreshError="1">
        <row r="1">
          <cell r="A1" t="str">
            <v>Kategori: TÃ¼m kategoriler</v>
          </cell>
        </row>
        <row r="3">
          <cell r="A3" t="str">
            <v>Ãœlke</v>
          </cell>
          <cell r="B3" t="str">
            <v>Gradyan Ä°niÅŸ: (2018)</v>
          </cell>
          <cell r="C3" t="str">
            <v>Image segmentation: (2018)</v>
          </cell>
        </row>
        <row r="4">
          <cell r="A4" t="str">
            <v>China</v>
          </cell>
          <cell r="B4">
            <v>0.57999999999999996</v>
          </cell>
          <cell r="C4">
            <v>0.42</v>
          </cell>
        </row>
        <row r="5">
          <cell r="A5" t="str">
            <v>South Korea</v>
          </cell>
          <cell r="B5">
            <v>0.66</v>
          </cell>
          <cell r="C5">
            <v>0.34</v>
          </cell>
        </row>
        <row r="6">
          <cell r="A6" t="str">
            <v>Ethiopia</v>
          </cell>
        </row>
        <row r="7">
          <cell r="A7" t="str">
            <v>Singapore</v>
          </cell>
          <cell r="B7">
            <v>0.49</v>
          </cell>
          <cell r="C7">
            <v>0.51</v>
          </cell>
        </row>
        <row r="8">
          <cell r="A8" t="str">
            <v>Hong Kong</v>
          </cell>
          <cell r="B8">
            <v>0.55000000000000004</v>
          </cell>
          <cell r="C8">
            <v>0.45</v>
          </cell>
        </row>
        <row r="9">
          <cell r="A9" t="str">
            <v>Israel</v>
          </cell>
          <cell r="B9">
            <v>0.44</v>
          </cell>
          <cell r="C9">
            <v>0.56000000000000005</v>
          </cell>
        </row>
        <row r="10">
          <cell r="A10" t="str">
            <v>Pakistan</v>
          </cell>
          <cell r="B10">
            <v>0.36</v>
          </cell>
          <cell r="C10">
            <v>0.64</v>
          </cell>
        </row>
        <row r="11">
          <cell r="A11" t="str">
            <v>Taiwan</v>
          </cell>
          <cell r="B11">
            <v>0.72</v>
          </cell>
          <cell r="C11">
            <v>0.28000000000000003</v>
          </cell>
        </row>
        <row r="12">
          <cell r="A12" t="str">
            <v>Netherlands</v>
          </cell>
          <cell r="B12">
            <v>0.32</v>
          </cell>
          <cell r="C12">
            <v>0.68</v>
          </cell>
        </row>
        <row r="13">
          <cell r="A13" t="str">
            <v>St. Helena</v>
          </cell>
          <cell r="B13">
            <v>0.52</v>
          </cell>
          <cell r="C13">
            <v>0.48</v>
          </cell>
        </row>
        <row r="14">
          <cell r="A14" t="str">
            <v>India</v>
          </cell>
          <cell r="B14">
            <v>0.38</v>
          </cell>
          <cell r="C14">
            <v>0.62</v>
          </cell>
        </row>
        <row r="15">
          <cell r="A15" t="str">
            <v>Switzerland</v>
          </cell>
          <cell r="B15">
            <v>0.56000000000000005</v>
          </cell>
          <cell r="C15">
            <v>0.44</v>
          </cell>
        </row>
        <row r="16">
          <cell r="A16" t="str">
            <v>Bangladesh</v>
          </cell>
          <cell r="B16">
            <v>0.26</v>
          </cell>
          <cell r="C16">
            <v>0.74</v>
          </cell>
        </row>
        <row r="17">
          <cell r="A17" t="str">
            <v>Tunisia</v>
          </cell>
          <cell r="C17">
            <v>1</v>
          </cell>
        </row>
        <row r="18">
          <cell r="A18" t="str">
            <v>Iraq</v>
          </cell>
          <cell r="C18">
            <v>1</v>
          </cell>
        </row>
        <row r="19">
          <cell r="A19" t="str">
            <v>Sudan</v>
          </cell>
          <cell r="C19">
            <v>1</v>
          </cell>
        </row>
        <row r="20">
          <cell r="A20" t="str">
            <v>Canada</v>
          </cell>
          <cell r="B20">
            <v>0.56999999999999995</v>
          </cell>
          <cell r="C20">
            <v>0.43</v>
          </cell>
        </row>
        <row r="21">
          <cell r="A21" t="str">
            <v>United States</v>
          </cell>
          <cell r="B21">
            <v>0.6</v>
          </cell>
          <cell r="C21">
            <v>0.4</v>
          </cell>
        </row>
        <row r="22">
          <cell r="A22" t="str">
            <v>Malaysia</v>
          </cell>
          <cell r="B22">
            <v>0.24</v>
          </cell>
          <cell r="C22">
            <v>0.76</v>
          </cell>
        </row>
        <row r="23">
          <cell r="A23" t="str">
            <v>Belgium</v>
          </cell>
          <cell r="B23">
            <v>0.36</v>
          </cell>
          <cell r="C23">
            <v>0.64</v>
          </cell>
        </row>
        <row r="24">
          <cell r="A24" t="str">
            <v>Germany</v>
          </cell>
          <cell r="B24">
            <v>0.56000000000000005</v>
          </cell>
          <cell r="C24">
            <v>0.44</v>
          </cell>
        </row>
        <row r="25">
          <cell r="A25" t="str">
            <v>Algeria</v>
          </cell>
          <cell r="B25">
            <v>0.26</v>
          </cell>
          <cell r="C25">
            <v>0.74</v>
          </cell>
        </row>
        <row r="26">
          <cell r="A26" t="str">
            <v>Ireland</v>
          </cell>
          <cell r="B26">
            <v>0.6</v>
          </cell>
          <cell r="C26">
            <v>0.4</v>
          </cell>
        </row>
        <row r="27">
          <cell r="A27" t="str">
            <v>Denmark</v>
          </cell>
          <cell r="B27">
            <v>0.68</v>
          </cell>
          <cell r="C27">
            <v>0.32</v>
          </cell>
        </row>
        <row r="28">
          <cell r="A28" t="str">
            <v>Iran</v>
          </cell>
          <cell r="B28">
            <v>0.37</v>
          </cell>
          <cell r="C28">
            <v>0.63</v>
          </cell>
        </row>
        <row r="29">
          <cell r="A29" t="str">
            <v>Norway</v>
          </cell>
          <cell r="B29">
            <v>0.63</v>
          </cell>
          <cell r="C29">
            <v>0.37</v>
          </cell>
        </row>
        <row r="30">
          <cell r="A30" t="str">
            <v>Finland</v>
          </cell>
          <cell r="B30">
            <v>0.62</v>
          </cell>
          <cell r="C30">
            <v>0.38</v>
          </cell>
        </row>
        <row r="31">
          <cell r="A31" t="str">
            <v>Austria</v>
          </cell>
          <cell r="B31">
            <v>0.49</v>
          </cell>
          <cell r="C31">
            <v>0.51</v>
          </cell>
        </row>
        <row r="32">
          <cell r="A32" t="str">
            <v>Egypt</v>
          </cell>
          <cell r="B32">
            <v>0.23</v>
          </cell>
          <cell r="C32">
            <v>0.77</v>
          </cell>
        </row>
        <row r="33">
          <cell r="A33" t="str">
            <v>Russia</v>
          </cell>
          <cell r="B33">
            <v>0.76</v>
          </cell>
          <cell r="C33">
            <v>0.24</v>
          </cell>
        </row>
        <row r="34">
          <cell r="A34" t="str">
            <v>Sweden</v>
          </cell>
          <cell r="B34">
            <v>0.67</v>
          </cell>
          <cell r="C34">
            <v>0.33</v>
          </cell>
        </row>
        <row r="35">
          <cell r="A35" t="str">
            <v>Australia</v>
          </cell>
          <cell r="B35">
            <v>0.48</v>
          </cell>
          <cell r="C35">
            <v>0.52</v>
          </cell>
        </row>
        <row r="36">
          <cell r="A36" t="str">
            <v>Morocco</v>
          </cell>
          <cell r="B36">
            <v>0.36</v>
          </cell>
          <cell r="C36">
            <v>0.64</v>
          </cell>
        </row>
        <row r="37">
          <cell r="A37" t="str">
            <v>Greece</v>
          </cell>
          <cell r="B37">
            <v>0.7</v>
          </cell>
          <cell r="C37">
            <v>0.3</v>
          </cell>
        </row>
        <row r="38">
          <cell r="A38" t="str">
            <v>United Kingdom</v>
          </cell>
          <cell r="B38">
            <v>0.52</v>
          </cell>
          <cell r="C38">
            <v>0.48</v>
          </cell>
        </row>
        <row r="39">
          <cell r="A39" t="str">
            <v>Belarus</v>
          </cell>
          <cell r="B39">
            <v>0.73</v>
          </cell>
          <cell r="C39">
            <v>0.27</v>
          </cell>
        </row>
        <row r="40">
          <cell r="A40" t="str">
            <v>France</v>
          </cell>
          <cell r="B40">
            <v>0.59</v>
          </cell>
          <cell r="C40">
            <v>0.41</v>
          </cell>
        </row>
        <row r="41">
          <cell r="A41" t="str">
            <v>United Arab Emirates</v>
          </cell>
          <cell r="C41">
            <v>1</v>
          </cell>
        </row>
        <row r="42">
          <cell r="A42" t="str">
            <v>Philippines</v>
          </cell>
          <cell r="B42">
            <v>0.39</v>
          </cell>
          <cell r="C42">
            <v>0.61</v>
          </cell>
        </row>
        <row r="43">
          <cell r="A43" t="str">
            <v>New Zealand</v>
          </cell>
          <cell r="B43">
            <v>0.49</v>
          </cell>
          <cell r="C43">
            <v>0.51</v>
          </cell>
        </row>
        <row r="44">
          <cell r="A44" t="str">
            <v>Japan</v>
          </cell>
          <cell r="B44">
            <v>0.56999999999999995</v>
          </cell>
          <cell r="C44">
            <v>0.43</v>
          </cell>
        </row>
        <row r="45">
          <cell r="A45" t="str">
            <v>Jordan</v>
          </cell>
        </row>
        <row r="46">
          <cell r="A46" t="str">
            <v>South Africa</v>
          </cell>
          <cell r="B46">
            <v>0.59</v>
          </cell>
          <cell r="C46">
            <v>0.41</v>
          </cell>
        </row>
        <row r="47">
          <cell r="A47" t="str">
            <v>Sri Lanka</v>
          </cell>
          <cell r="C47">
            <v>1</v>
          </cell>
        </row>
        <row r="48">
          <cell r="A48" t="str">
            <v>Czechia</v>
          </cell>
          <cell r="B48">
            <v>0.35</v>
          </cell>
          <cell r="C48">
            <v>0.65</v>
          </cell>
        </row>
        <row r="49">
          <cell r="A49" t="str">
            <v>Portugal</v>
          </cell>
          <cell r="B49">
            <v>0.56000000000000005</v>
          </cell>
          <cell r="C49">
            <v>0.44</v>
          </cell>
        </row>
        <row r="50">
          <cell r="A50" t="str">
            <v>Romania</v>
          </cell>
          <cell r="B50">
            <v>0.47</v>
          </cell>
          <cell r="C50">
            <v>0.53</v>
          </cell>
        </row>
        <row r="51">
          <cell r="A51" t="str">
            <v>Nigeria</v>
          </cell>
          <cell r="C51">
            <v>1</v>
          </cell>
        </row>
        <row r="52">
          <cell r="A52" t="str">
            <v>Italy</v>
          </cell>
          <cell r="B52">
            <v>0.69</v>
          </cell>
          <cell r="C52">
            <v>0.31</v>
          </cell>
        </row>
        <row r="53">
          <cell r="A53" t="str">
            <v>Ukraine</v>
          </cell>
          <cell r="B53">
            <v>0.67</v>
          </cell>
          <cell r="C53">
            <v>0.33</v>
          </cell>
        </row>
        <row r="54">
          <cell r="A54" t="str">
            <v>Kazakhstan</v>
          </cell>
          <cell r="B54">
            <v>1</v>
          </cell>
        </row>
        <row r="55">
          <cell r="A55" t="str">
            <v>Poland</v>
          </cell>
          <cell r="B55">
            <v>0.62</v>
          </cell>
          <cell r="C55">
            <v>0.38</v>
          </cell>
        </row>
        <row r="56">
          <cell r="A56" t="str">
            <v>Vietnam</v>
          </cell>
          <cell r="B56">
            <v>0.56000000000000005</v>
          </cell>
          <cell r="C56">
            <v>0.44</v>
          </cell>
        </row>
        <row r="57">
          <cell r="A57" t="str">
            <v>Saudi Arabia</v>
          </cell>
          <cell r="B57">
            <v>0.5</v>
          </cell>
          <cell r="C57">
            <v>0.5</v>
          </cell>
        </row>
        <row r="58">
          <cell r="A58" t="str">
            <v>Thailand</v>
          </cell>
          <cell r="B58">
            <v>0.44</v>
          </cell>
          <cell r="C58">
            <v>0.56000000000000005</v>
          </cell>
        </row>
        <row r="59">
          <cell r="A59" t="str">
            <v>Spain</v>
          </cell>
          <cell r="B59">
            <v>0.51</v>
          </cell>
          <cell r="C59">
            <v>0.49</v>
          </cell>
        </row>
        <row r="60">
          <cell r="A60" t="str">
            <v>Turkey</v>
          </cell>
          <cell r="B60">
            <v>0.59</v>
          </cell>
          <cell r="C60">
            <v>0.41</v>
          </cell>
        </row>
        <row r="61">
          <cell r="A61" t="str">
            <v>Indonesia</v>
          </cell>
          <cell r="B61">
            <v>0.37</v>
          </cell>
          <cell r="C61">
            <v>0.63</v>
          </cell>
        </row>
        <row r="62">
          <cell r="A62" t="str">
            <v>Bolivia</v>
          </cell>
        </row>
        <row r="63">
          <cell r="A63" t="str">
            <v>Colombia</v>
          </cell>
          <cell r="B63">
            <v>0.67</v>
          </cell>
          <cell r="C63">
            <v>0.33</v>
          </cell>
        </row>
        <row r="64">
          <cell r="A64" t="str">
            <v>Brazil</v>
          </cell>
          <cell r="B64">
            <v>0.64</v>
          </cell>
          <cell r="C64">
            <v>0.36</v>
          </cell>
        </row>
        <row r="65">
          <cell r="A65" t="str">
            <v>Chile</v>
          </cell>
          <cell r="B65">
            <v>0.37</v>
          </cell>
          <cell r="C65">
            <v>0.63</v>
          </cell>
        </row>
        <row r="66">
          <cell r="A66" t="str">
            <v>Mexico</v>
          </cell>
          <cell r="B66">
            <v>0.62</v>
          </cell>
          <cell r="C66">
            <v>0.38</v>
          </cell>
        </row>
        <row r="67">
          <cell r="A67" t="str">
            <v>Venezuela</v>
          </cell>
        </row>
        <row r="68">
          <cell r="A68" t="str">
            <v>Lesotho</v>
          </cell>
        </row>
        <row r="69">
          <cell r="A69" t="str">
            <v>Rwanda</v>
          </cell>
        </row>
        <row r="70">
          <cell r="A70" t="str">
            <v>Guinea</v>
          </cell>
        </row>
        <row r="71">
          <cell r="A71" t="str">
            <v>Botswana</v>
          </cell>
        </row>
        <row r="72">
          <cell r="A72" t="str">
            <v>Brunei</v>
          </cell>
        </row>
        <row r="73">
          <cell r="A73" t="str">
            <v>Macao</v>
          </cell>
        </row>
        <row r="74">
          <cell r="A74" t="str">
            <v>Fiji</v>
          </cell>
        </row>
        <row r="75">
          <cell r="A75" t="str">
            <v>Cuba</v>
          </cell>
        </row>
        <row r="76">
          <cell r="A76" t="str">
            <v>Malta</v>
          </cell>
        </row>
        <row r="77">
          <cell r="A77" t="str">
            <v>Luxembourg</v>
          </cell>
        </row>
        <row r="78">
          <cell r="A78" t="str">
            <v>Turkmenistan</v>
          </cell>
        </row>
        <row r="79">
          <cell r="A79" t="str">
            <v>Lebanon</v>
          </cell>
        </row>
        <row r="80">
          <cell r="A80" t="str">
            <v>Burkina Faso</v>
          </cell>
        </row>
        <row r="81">
          <cell r="A81" t="str">
            <v>CÃ´te dâ€™Ivoire</v>
          </cell>
        </row>
        <row r="82">
          <cell r="A82" t="str">
            <v>Iceland</v>
          </cell>
        </row>
        <row r="83">
          <cell r="A83" t="str">
            <v>Nepal</v>
          </cell>
        </row>
        <row r="84">
          <cell r="A84" t="str">
            <v>Armenia</v>
          </cell>
        </row>
        <row r="85">
          <cell r="A85" t="str">
            <v>Estonia</v>
          </cell>
        </row>
        <row r="86">
          <cell r="A86" t="str">
            <v>Cameroon</v>
          </cell>
        </row>
        <row r="87">
          <cell r="A87" t="str">
            <v>North Macedonia</v>
          </cell>
        </row>
        <row r="88">
          <cell r="A88" t="str">
            <v>Myanmar (Burma)</v>
          </cell>
        </row>
        <row r="89">
          <cell r="A89" t="str">
            <v>Angola</v>
          </cell>
        </row>
        <row r="90">
          <cell r="A90" t="str">
            <v>Mongolia</v>
          </cell>
        </row>
        <row r="91">
          <cell r="A91" t="str">
            <v>Zimbabwe</v>
          </cell>
        </row>
        <row r="92">
          <cell r="A92" t="str">
            <v>Laos</v>
          </cell>
        </row>
        <row r="93">
          <cell r="A93" t="str">
            <v>Mozambique</v>
          </cell>
        </row>
        <row r="94">
          <cell r="A94" t="str">
            <v>Senegal</v>
          </cell>
        </row>
        <row r="95">
          <cell r="A95" t="str">
            <v>Mauritius</v>
          </cell>
        </row>
        <row r="96">
          <cell r="A96" t="str">
            <v>Lithuania</v>
          </cell>
        </row>
        <row r="97">
          <cell r="A97" t="str">
            <v>Oman</v>
          </cell>
        </row>
        <row r="98">
          <cell r="A98" t="str">
            <v>Bulgaria</v>
          </cell>
        </row>
        <row r="99">
          <cell r="A99" t="str">
            <v>Trinidad &amp; Tobago</v>
          </cell>
        </row>
        <row r="100">
          <cell r="A100" t="str">
            <v>Kyrgyzstan</v>
          </cell>
        </row>
        <row r="101">
          <cell r="A101" t="str">
            <v>Kuwait</v>
          </cell>
        </row>
        <row r="102">
          <cell r="A102" t="str">
            <v>RÃ©union</v>
          </cell>
        </row>
        <row r="103">
          <cell r="A103" t="str">
            <v>Syria</v>
          </cell>
        </row>
        <row r="104">
          <cell r="A104" t="str">
            <v>Jamaica</v>
          </cell>
        </row>
        <row r="105">
          <cell r="A105" t="str">
            <v>Palestine</v>
          </cell>
        </row>
        <row r="106">
          <cell r="A106" t="str">
            <v>Croatia</v>
          </cell>
        </row>
        <row r="107">
          <cell r="A107" t="str">
            <v>Latvia</v>
          </cell>
        </row>
        <row r="108">
          <cell r="A108" t="str">
            <v>Uganda</v>
          </cell>
        </row>
        <row r="109">
          <cell r="A109" t="str">
            <v>Georgia</v>
          </cell>
        </row>
        <row r="110">
          <cell r="A110" t="str">
            <v>Slovenia</v>
          </cell>
        </row>
        <row r="111">
          <cell r="A111" t="str">
            <v>Albania</v>
          </cell>
        </row>
        <row r="112">
          <cell r="A112" t="str">
            <v>Slovakia</v>
          </cell>
        </row>
        <row r="113">
          <cell r="A113" t="str">
            <v>Puerto Rico</v>
          </cell>
        </row>
        <row r="114">
          <cell r="A114" t="str">
            <v>Ecuador</v>
          </cell>
        </row>
        <row r="115">
          <cell r="A115" t="str">
            <v>Hungary</v>
          </cell>
        </row>
        <row r="116">
          <cell r="A116" t="str">
            <v>Serbia</v>
          </cell>
        </row>
        <row r="117">
          <cell r="A117" t="str">
            <v>Tanzania</v>
          </cell>
        </row>
        <row r="118">
          <cell r="A118" t="str">
            <v>Cyprus</v>
          </cell>
        </row>
        <row r="119">
          <cell r="A119" t="str">
            <v>Kenya</v>
          </cell>
        </row>
        <row r="120">
          <cell r="A120" t="str">
            <v>Costa Rica</v>
          </cell>
        </row>
        <row r="121">
          <cell r="A121" t="str">
            <v>Honduras</v>
          </cell>
        </row>
        <row r="122">
          <cell r="A122" t="str">
            <v>Moldova</v>
          </cell>
        </row>
        <row r="123">
          <cell r="A123" t="str">
            <v>Ghana</v>
          </cell>
        </row>
        <row r="124">
          <cell r="A124" t="str">
            <v>Qatar</v>
          </cell>
        </row>
        <row r="125">
          <cell r="A125" t="str">
            <v>Peru</v>
          </cell>
        </row>
        <row r="126">
          <cell r="A126" t="str">
            <v>Azerbaijan</v>
          </cell>
        </row>
        <row r="127">
          <cell r="A127" t="str">
            <v>Uruguay</v>
          </cell>
        </row>
        <row r="128">
          <cell r="A128" t="str">
            <v>Dominican Republic</v>
          </cell>
        </row>
        <row r="129">
          <cell r="A129" t="str">
            <v>Argentina</v>
          </cell>
        </row>
        <row r="130">
          <cell r="A130" t="str">
            <v>Aruba</v>
          </cell>
        </row>
        <row r="131">
          <cell r="A131" t="str">
            <v>Afghanistan</v>
          </cell>
        </row>
        <row r="132">
          <cell r="A132" t="str">
            <v>Anguilla</v>
          </cell>
        </row>
        <row r="133">
          <cell r="A133" t="str">
            <v>Ã…land Islands</v>
          </cell>
        </row>
        <row r="134">
          <cell r="A134" t="str">
            <v>Andorra</v>
          </cell>
        </row>
        <row r="135">
          <cell r="A135" t="str">
            <v>American Samoa</v>
          </cell>
        </row>
        <row r="136">
          <cell r="A136" t="str">
            <v>Antarctica</v>
          </cell>
        </row>
        <row r="137">
          <cell r="A137" t="str">
            <v>French Southern Territories</v>
          </cell>
        </row>
        <row r="138">
          <cell r="A138" t="str">
            <v>Antigua &amp; Barbuda</v>
          </cell>
        </row>
        <row r="139">
          <cell r="A139" t="str">
            <v>Burundi</v>
          </cell>
        </row>
        <row r="140">
          <cell r="A140" t="str">
            <v>Benin</v>
          </cell>
        </row>
        <row r="141">
          <cell r="A141" t="str">
            <v>Caribbean Netherlands</v>
          </cell>
        </row>
        <row r="142">
          <cell r="A142" t="str">
            <v>Bahrain</v>
          </cell>
        </row>
        <row r="143">
          <cell r="A143" t="str">
            <v>Bahamas</v>
          </cell>
        </row>
        <row r="144">
          <cell r="A144" t="str">
            <v>Bosnia &amp; Herzegovina</v>
          </cell>
        </row>
        <row r="145">
          <cell r="A145" t="str">
            <v>St. BarthÃ©lemy</v>
          </cell>
        </row>
        <row r="146">
          <cell r="A146" t="str">
            <v>Belize</v>
          </cell>
        </row>
        <row r="147">
          <cell r="A147" t="str">
            <v>Bermuda</v>
          </cell>
        </row>
        <row r="148">
          <cell r="A148" t="str">
            <v>Barbados</v>
          </cell>
        </row>
        <row r="149">
          <cell r="A149" t="str">
            <v>Bhutan</v>
          </cell>
        </row>
        <row r="150">
          <cell r="A150" t="str">
            <v>Bouvet Island</v>
          </cell>
        </row>
        <row r="151">
          <cell r="A151" t="str">
            <v>Central African Republic</v>
          </cell>
        </row>
        <row r="152">
          <cell r="A152" t="str">
            <v>Cocos (Keeling) Islands</v>
          </cell>
        </row>
        <row r="153">
          <cell r="A153" t="str">
            <v>Congo - Kinshasa</v>
          </cell>
        </row>
        <row r="154">
          <cell r="A154" t="str">
            <v>Congo - Brazzaville</v>
          </cell>
        </row>
        <row r="155">
          <cell r="A155" t="str">
            <v>Cook Islands</v>
          </cell>
        </row>
        <row r="156">
          <cell r="A156" t="str">
            <v>Comoros</v>
          </cell>
        </row>
        <row r="157">
          <cell r="A157" t="str">
            <v>Cape Verde</v>
          </cell>
        </row>
        <row r="158">
          <cell r="A158" t="str">
            <v>CuraÃ§ao</v>
          </cell>
        </row>
        <row r="159">
          <cell r="A159" t="str">
            <v>Christmas Island</v>
          </cell>
        </row>
        <row r="160">
          <cell r="A160" t="str">
            <v>Cayman Islands</v>
          </cell>
        </row>
        <row r="161">
          <cell r="A161" t="str">
            <v>Djibouti</v>
          </cell>
        </row>
        <row r="162">
          <cell r="A162" t="str">
            <v>Dominica</v>
          </cell>
        </row>
        <row r="163">
          <cell r="A163" t="str">
            <v>Eritrea</v>
          </cell>
        </row>
        <row r="164">
          <cell r="A164" t="str">
            <v>Western Sahara</v>
          </cell>
        </row>
        <row r="165">
          <cell r="A165" t="str">
            <v>Falkland Islands (Islas Malvinas)</v>
          </cell>
        </row>
        <row r="166">
          <cell r="A166" t="str">
            <v>Faroe Islands</v>
          </cell>
        </row>
        <row r="167">
          <cell r="A167" t="str">
            <v>Micronesia</v>
          </cell>
        </row>
        <row r="168">
          <cell r="A168" t="str">
            <v>Gabon</v>
          </cell>
        </row>
        <row r="169">
          <cell r="A169" t="str">
            <v>Guernsey</v>
          </cell>
        </row>
        <row r="170">
          <cell r="A170" t="str">
            <v>Gibraltar</v>
          </cell>
        </row>
        <row r="171">
          <cell r="A171" t="str">
            <v>Guadeloupe</v>
          </cell>
        </row>
        <row r="172">
          <cell r="A172" t="str">
            <v>Gambia</v>
          </cell>
        </row>
        <row r="173">
          <cell r="A173" t="str">
            <v>Guinea-Bissau</v>
          </cell>
        </row>
        <row r="174">
          <cell r="A174" t="str">
            <v>Equatorial Guinea</v>
          </cell>
        </row>
        <row r="175">
          <cell r="A175" t="str">
            <v>Grenada</v>
          </cell>
        </row>
        <row r="176">
          <cell r="A176" t="str">
            <v>Greenland</v>
          </cell>
        </row>
        <row r="177">
          <cell r="A177" t="str">
            <v>Guatemala</v>
          </cell>
        </row>
        <row r="178">
          <cell r="A178" t="str">
            <v>French Guiana</v>
          </cell>
        </row>
        <row r="179">
          <cell r="A179" t="str">
            <v>Guam</v>
          </cell>
        </row>
        <row r="180">
          <cell r="A180" t="str">
            <v>Guyana</v>
          </cell>
        </row>
        <row r="181">
          <cell r="A181" t="str">
            <v>Heard &amp; McDonald Islands</v>
          </cell>
        </row>
        <row r="182">
          <cell r="A182" t="str">
            <v>Haiti</v>
          </cell>
        </row>
        <row r="183">
          <cell r="A183" t="str">
            <v>Isle of Man</v>
          </cell>
        </row>
        <row r="184">
          <cell r="A184" t="str">
            <v>British Indian Ocean Territory</v>
          </cell>
        </row>
        <row r="185">
          <cell r="A185" t="str">
            <v>Jersey</v>
          </cell>
        </row>
        <row r="186">
          <cell r="A186" t="str">
            <v>Cambodia</v>
          </cell>
        </row>
        <row r="187">
          <cell r="A187" t="str">
            <v>Kiribati</v>
          </cell>
        </row>
        <row r="188">
          <cell r="A188" t="str">
            <v>St. Kitts &amp; Nevis</v>
          </cell>
        </row>
        <row r="189">
          <cell r="A189" t="str">
            <v>Liberia</v>
          </cell>
        </row>
        <row r="190">
          <cell r="A190" t="str">
            <v>Libya</v>
          </cell>
        </row>
        <row r="191">
          <cell r="A191" t="str">
            <v>St. Lucia</v>
          </cell>
        </row>
        <row r="192">
          <cell r="A192" t="str">
            <v>Liechtenstein</v>
          </cell>
        </row>
        <row r="193">
          <cell r="A193" t="str">
            <v>St. Martin</v>
          </cell>
        </row>
        <row r="194">
          <cell r="A194" t="str">
            <v>Monaco</v>
          </cell>
        </row>
        <row r="195">
          <cell r="A195" t="str">
            <v>Madagascar</v>
          </cell>
        </row>
        <row r="196">
          <cell r="A196" t="str">
            <v>Maldives</v>
          </cell>
        </row>
        <row r="197">
          <cell r="A197" t="str">
            <v>Marshall Islands</v>
          </cell>
        </row>
        <row r="198">
          <cell r="A198" t="str">
            <v>Mali</v>
          </cell>
        </row>
        <row r="199">
          <cell r="A199" t="str">
            <v>Montenegro</v>
          </cell>
        </row>
        <row r="200">
          <cell r="A200" t="str">
            <v>Northern Mariana Islands</v>
          </cell>
        </row>
        <row r="201">
          <cell r="A201" t="str">
            <v>Mauritania</v>
          </cell>
        </row>
        <row r="202">
          <cell r="A202" t="str">
            <v>Montserrat</v>
          </cell>
        </row>
        <row r="203">
          <cell r="A203" t="str">
            <v>Martinique</v>
          </cell>
        </row>
        <row r="204">
          <cell r="A204" t="str">
            <v>Malawi</v>
          </cell>
        </row>
        <row r="205">
          <cell r="A205" t="str">
            <v>Mayotte</v>
          </cell>
        </row>
        <row r="206">
          <cell r="A206" t="str">
            <v>Namibia</v>
          </cell>
        </row>
        <row r="207">
          <cell r="A207" t="str">
            <v>New Caledonia</v>
          </cell>
        </row>
        <row r="208">
          <cell r="A208" t="str">
            <v>Niger</v>
          </cell>
        </row>
        <row r="209">
          <cell r="A209" t="str">
            <v>Norfolk Island</v>
          </cell>
        </row>
        <row r="210">
          <cell r="A210" t="str">
            <v>Nicaragua</v>
          </cell>
        </row>
        <row r="211">
          <cell r="A211" t="str">
            <v>Niue</v>
          </cell>
        </row>
        <row r="212">
          <cell r="A212" t="str">
            <v>Nauru</v>
          </cell>
        </row>
        <row r="213">
          <cell r="A213" t="str">
            <v>Panama</v>
          </cell>
        </row>
        <row r="214">
          <cell r="A214" t="str">
            <v>Pitcairn Islands</v>
          </cell>
        </row>
        <row r="215">
          <cell r="A215" t="str">
            <v>Palau</v>
          </cell>
        </row>
        <row r="216">
          <cell r="A216" t="str">
            <v>Papua New Guinea</v>
          </cell>
        </row>
        <row r="217">
          <cell r="A217" t="str">
            <v>North Korea</v>
          </cell>
        </row>
        <row r="218">
          <cell r="A218" t="str">
            <v>Paraguay</v>
          </cell>
        </row>
        <row r="219">
          <cell r="A219" t="str">
            <v>French Polynesia</v>
          </cell>
        </row>
        <row r="220">
          <cell r="A220" t="str">
            <v>South Georgia &amp; South Sandwich Islands</v>
          </cell>
        </row>
        <row r="221">
          <cell r="A221" t="str">
            <v>Svalbard &amp; Jan Mayen</v>
          </cell>
        </row>
        <row r="222">
          <cell r="A222" t="str">
            <v>Solomon Islands</v>
          </cell>
        </row>
        <row r="223">
          <cell r="A223" t="str">
            <v>Sierra Leone</v>
          </cell>
        </row>
        <row r="224">
          <cell r="A224" t="str">
            <v>El Salvador</v>
          </cell>
        </row>
        <row r="225">
          <cell r="A225" t="str">
            <v>San Marino</v>
          </cell>
        </row>
        <row r="226">
          <cell r="A226" t="str">
            <v>Somalia</v>
          </cell>
        </row>
        <row r="227">
          <cell r="A227" t="str">
            <v>St. Pierre &amp; Miquelon</v>
          </cell>
        </row>
        <row r="228">
          <cell r="A228" t="str">
            <v>South Sudan</v>
          </cell>
        </row>
        <row r="229">
          <cell r="A229" t="str">
            <v>SÃ£o TomÃ© &amp; PrÃ­ncipe</v>
          </cell>
        </row>
        <row r="230">
          <cell r="A230" t="str">
            <v>Suriname</v>
          </cell>
        </row>
        <row r="231">
          <cell r="A231" t="str">
            <v>Eswatini</v>
          </cell>
        </row>
        <row r="232">
          <cell r="A232" t="str">
            <v>Sint Maarten</v>
          </cell>
        </row>
        <row r="233">
          <cell r="A233" t="str">
            <v>Seychelles</v>
          </cell>
        </row>
        <row r="234">
          <cell r="A234" t="str">
            <v>Turks &amp; Caicos Islands</v>
          </cell>
        </row>
        <row r="235">
          <cell r="A235" t="str">
            <v>Chad</v>
          </cell>
        </row>
        <row r="236">
          <cell r="A236" t="str">
            <v>Togo</v>
          </cell>
        </row>
        <row r="237">
          <cell r="A237" t="str">
            <v>Tajikistan</v>
          </cell>
        </row>
        <row r="238">
          <cell r="A238" t="str">
            <v>Tokelau</v>
          </cell>
        </row>
        <row r="239">
          <cell r="A239" t="str">
            <v>Timor-Leste</v>
          </cell>
        </row>
        <row r="240">
          <cell r="A240" t="str">
            <v>Tonga</v>
          </cell>
        </row>
        <row r="241">
          <cell r="A241" t="str">
            <v>Tuvalu</v>
          </cell>
        </row>
        <row r="242">
          <cell r="A242" t="str">
            <v>U.S. Outlying Islands</v>
          </cell>
        </row>
        <row r="243">
          <cell r="A243" t="str">
            <v>Uzbekistan</v>
          </cell>
        </row>
        <row r="244">
          <cell r="A244" t="str">
            <v>Vatican City</v>
          </cell>
        </row>
        <row r="245">
          <cell r="A245" t="str">
            <v>St. Vincent &amp; Grenadines</v>
          </cell>
        </row>
        <row r="246">
          <cell r="A246" t="str">
            <v>British Virgin Islands</v>
          </cell>
        </row>
        <row r="247">
          <cell r="A247" t="str">
            <v>U.S. Virgin Islands</v>
          </cell>
        </row>
        <row r="248">
          <cell r="A248" t="str">
            <v>Vanuatu</v>
          </cell>
        </row>
        <row r="249">
          <cell r="A249" t="str">
            <v>Wallis &amp; Futuna</v>
          </cell>
        </row>
        <row r="250">
          <cell r="A250" t="str">
            <v>Samoa</v>
          </cell>
        </row>
        <row r="251">
          <cell r="A251" t="str">
            <v>Kosovo</v>
          </cell>
        </row>
        <row r="252">
          <cell r="A252" t="str">
            <v>Yemen</v>
          </cell>
        </row>
        <row r="253">
          <cell r="A253" t="str">
            <v>Zambia</v>
          </cell>
        </row>
      </sheetData>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35)"/>
    </sheetNames>
    <sheetDataSet>
      <sheetData sheetId="0" refreshError="1">
        <row r="1">
          <cell r="A1" t="str">
            <v>Kategori: TÃ¼m kategoriler</v>
          </cell>
        </row>
        <row r="3">
          <cell r="A3" t="str">
            <v>Ãœlke</v>
          </cell>
          <cell r="B3" t="str">
            <v>Image segmentation: (2018)</v>
          </cell>
          <cell r="C3" t="str">
            <v>Interaction design: (2018)</v>
          </cell>
        </row>
        <row r="4">
          <cell r="A4" t="str">
            <v>China</v>
          </cell>
          <cell r="B4">
            <v>0.56999999999999995</v>
          </cell>
          <cell r="C4">
            <v>0.43</v>
          </cell>
        </row>
        <row r="5">
          <cell r="A5" t="str">
            <v>Norway</v>
          </cell>
          <cell r="B5">
            <v>0.08</v>
          </cell>
          <cell r="C5">
            <v>0.92</v>
          </cell>
        </row>
        <row r="6">
          <cell r="A6" t="str">
            <v>South Korea</v>
          </cell>
          <cell r="B6">
            <v>0.41</v>
          </cell>
          <cell r="C6">
            <v>0.59</v>
          </cell>
        </row>
        <row r="7">
          <cell r="A7" t="str">
            <v>Botswana</v>
          </cell>
        </row>
        <row r="8">
          <cell r="A8" t="str">
            <v>Singapore</v>
          </cell>
          <cell r="B8">
            <v>0.56000000000000005</v>
          </cell>
          <cell r="C8">
            <v>0.44</v>
          </cell>
        </row>
        <row r="9">
          <cell r="A9" t="str">
            <v>Sweden</v>
          </cell>
          <cell r="B9">
            <v>0.11</v>
          </cell>
          <cell r="C9">
            <v>0.89</v>
          </cell>
        </row>
        <row r="10">
          <cell r="A10" t="str">
            <v>Denmark</v>
          </cell>
          <cell r="B10">
            <v>0.14000000000000001</v>
          </cell>
          <cell r="C10">
            <v>0.86</v>
          </cell>
        </row>
        <row r="11">
          <cell r="A11" t="str">
            <v>Taiwan</v>
          </cell>
          <cell r="B11">
            <v>0.27</v>
          </cell>
          <cell r="C11">
            <v>0.73</v>
          </cell>
        </row>
        <row r="12">
          <cell r="A12" t="str">
            <v>Switzerland</v>
          </cell>
          <cell r="B12">
            <v>0.31</v>
          </cell>
          <cell r="C12">
            <v>0.69</v>
          </cell>
        </row>
        <row r="13">
          <cell r="A13" t="str">
            <v>Israel</v>
          </cell>
          <cell r="B13">
            <v>0.79</v>
          </cell>
          <cell r="C13">
            <v>0.21</v>
          </cell>
        </row>
        <row r="14">
          <cell r="A14" t="str">
            <v>Netherlands</v>
          </cell>
          <cell r="B14">
            <v>0.53</v>
          </cell>
          <cell r="C14">
            <v>0.47</v>
          </cell>
        </row>
        <row r="15">
          <cell r="A15" t="str">
            <v>Ireland</v>
          </cell>
          <cell r="B15">
            <v>0.3</v>
          </cell>
          <cell r="C15">
            <v>0.7</v>
          </cell>
        </row>
        <row r="16">
          <cell r="A16" t="str">
            <v>Hong Kong</v>
          </cell>
          <cell r="B16">
            <v>0.48</v>
          </cell>
          <cell r="C16">
            <v>0.52</v>
          </cell>
        </row>
        <row r="17">
          <cell r="A17" t="str">
            <v>Ethiopia</v>
          </cell>
          <cell r="B17">
            <v>1</v>
          </cell>
        </row>
        <row r="18">
          <cell r="A18" t="str">
            <v>India</v>
          </cell>
          <cell r="B18">
            <v>0.72</v>
          </cell>
          <cell r="C18">
            <v>0.28000000000000003</v>
          </cell>
        </row>
        <row r="19">
          <cell r="A19" t="str">
            <v>Pakistan</v>
          </cell>
          <cell r="B19">
            <v>0.74</v>
          </cell>
          <cell r="C19">
            <v>0.26</v>
          </cell>
        </row>
        <row r="20">
          <cell r="A20" t="str">
            <v>Sudan</v>
          </cell>
        </row>
        <row r="21">
          <cell r="A21" t="str">
            <v>Algeria</v>
          </cell>
          <cell r="B21">
            <v>1</v>
          </cell>
        </row>
        <row r="22">
          <cell r="A22" t="str">
            <v>Australia</v>
          </cell>
          <cell r="B22">
            <v>0.34</v>
          </cell>
          <cell r="C22">
            <v>0.66</v>
          </cell>
        </row>
        <row r="23">
          <cell r="A23" t="str">
            <v>Bangladesh</v>
          </cell>
          <cell r="B23">
            <v>0.74</v>
          </cell>
          <cell r="C23">
            <v>0.26</v>
          </cell>
        </row>
        <row r="24">
          <cell r="A24" t="str">
            <v>Tunisia</v>
          </cell>
        </row>
        <row r="25">
          <cell r="A25" t="str">
            <v>St. Helena</v>
          </cell>
          <cell r="B25">
            <v>0.53</v>
          </cell>
          <cell r="C25">
            <v>0.47</v>
          </cell>
        </row>
        <row r="26">
          <cell r="A26" t="str">
            <v>Belgium</v>
          </cell>
          <cell r="B26">
            <v>0.83</v>
          </cell>
          <cell r="C26">
            <v>0.17</v>
          </cell>
        </row>
        <row r="27">
          <cell r="A27" t="str">
            <v>Iraq</v>
          </cell>
          <cell r="B27">
            <v>1</v>
          </cell>
        </row>
        <row r="28">
          <cell r="A28" t="str">
            <v>Sri Lanka</v>
          </cell>
        </row>
        <row r="29">
          <cell r="A29" t="str">
            <v>Nigeria</v>
          </cell>
          <cell r="B29">
            <v>0.26</v>
          </cell>
          <cell r="C29">
            <v>0.74</v>
          </cell>
        </row>
        <row r="30">
          <cell r="A30" t="str">
            <v>Canada</v>
          </cell>
          <cell r="B30">
            <v>0.47</v>
          </cell>
          <cell r="C30">
            <v>0.53</v>
          </cell>
        </row>
        <row r="31">
          <cell r="A31" t="str">
            <v>Finland</v>
          </cell>
          <cell r="B31">
            <v>0.38</v>
          </cell>
          <cell r="C31">
            <v>0.62</v>
          </cell>
        </row>
        <row r="32">
          <cell r="A32" t="str">
            <v>Malaysia</v>
          </cell>
          <cell r="B32">
            <v>0.56999999999999995</v>
          </cell>
          <cell r="C32">
            <v>0.43</v>
          </cell>
        </row>
        <row r="33">
          <cell r="A33" t="str">
            <v>Iran</v>
          </cell>
          <cell r="B33">
            <v>0.8</v>
          </cell>
          <cell r="C33">
            <v>0.2</v>
          </cell>
        </row>
        <row r="34">
          <cell r="A34" t="str">
            <v>Kenya</v>
          </cell>
          <cell r="C34">
            <v>1</v>
          </cell>
        </row>
        <row r="35">
          <cell r="A35" t="str">
            <v>Egypt</v>
          </cell>
          <cell r="B35">
            <v>0.76</v>
          </cell>
          <cell r="C35">
            <v>0.24</v>
          </cell>
        </row>
        <row r="36">
          <cell r="A36" t="str">
            <v>Germany</v>
          </cell>
          <cell r="B36">
            <v>0.56999999999999995</v>
          </cell>
          <cell r="C36">
            <v>0.43</v>
          </cell>
        </row>
        <row r="37">
          <cell r="A37" t="str">
            <v>United Arab Emirates</v>
          </cell>
          <cell r="B37">
            <v>0.33</v>
          </cell>
          <cell r="C37">
            <v>0.67</v>
          </cell>
        </row>
        <row r="38">
          <cell r="A38" t="str">
            <v>South Africa</v>
          </cell>
          <cell r="B38">
            <v>0.27</v>
          </cell>
          <cell r="C38">
            <v>0.73</v>
          </cell>
        </row>
        <row r="39">
          <cell r="A39" t="str">
            <v>Austria</v>
          </cell>
          <cell r="B39">
            <v>0.59</v>
          </cell>
          <cell r="C39">
            <v>0.41</v>
          </cell>
        </row>
        <row r="40">
          <cell r="A40" t="str">
            <v>Morocco</v>
          </cell>
          <cell r="B40">
            <v>1</v>
          </cell>
        </row>
        <row r="41">
          <cell r="A41" t="str">
            <v>Philippines</v>
          </cell>
          <cell r="B41">
            <v>0.4</v>
          </cell>
          <cell r="C41">
            <v>0.6</v>
          </cell>
        </row>
        <row r="42">
          <cell r="A42" t="str">
            <v>United States</v>
          </cell>
          <cell r="B42">
            <v>0.49</v>
          </cell>
          <cell r="C42">
            <v>0.51</v>
          </cell>
        </row>
        <row r="43">
          <cell r="A43" t="str">
            <v>Portugal</v>
          </cell>
          <cell r="B43">
            <v>0.33</v>
          </cell>
          <cell r="C43">
            <v>0.67</v>
          </cell>
        </row>
        <row r="44">
          <cell r="A44" t="str">
            <v>Jordan</v>
          </cell>
        </row>
        <row r="45">
          <cell r="A45" t="str">
            <v>United Kingdom</v>
          </cell>
          <cell r="B45">
            <v>0.42</v>
          </cell>
          <cell r="C45">
            <v>0.57999999999999996</v>
          </cell>
        </row>
        <row r="46">
          <cell r="A46" t="str">
            <v>Ghana</v>
          </cell>
        </row>
        <row r="47">
          <cell r="A47" t="str">
            <v>New Zealand</v>
          </cell>
          <cell r="B47">
            <v>0.48</v>
          </cell>
          <cell r="C47">
            <v>0.52</v>
          </cell>
        </row>
        <row r="48">
          <cell r="A48" t="str">
            <v>Romania</v>
          </cell>
          <cell r="B48">
            <v>0.65</v>
          </cell>
          <cell r="C48">
            <v>0.35</v>
          </cell>
        </row>
        <row r="49">
          <cell r="A49" t="str">
            <v>Italy</v>
          </cell>
          <cell r="B49">
            <v>0.3</v>
          </cell>
          <cell r="C49">
            <v>0.7</v>
          </cell>
        </row>
        <row r="50">
          <cell r="A50" t="str">
            <v>Greece</v>
          </cell>
          <cell r="B50">
            <v>0.32</v>
          </cell>
          <cell r="C50">
            <v>0.68</v>
          </cell>
        </row>
        <row r="51">
          <cell r="A51" t="str">
            <v>France</v>
          </cell>
          <cell r="B51">
            <v>0.48</v>
          </cell>
          <cell r="C51">
            <v>0.52</v>
          </cell>
        </row>
        <row r="52">
          <cell r="A52" t="str">
            <v>Japan</v>
          </cell>
          <cell r="B52">
            <v>0.61</v>
          </cell>
          <cell r="C52">
            <v>0.39</v>
          </cell>
        </row>
        <row r="53">
          <cell r="A53" t="str">
            <v>Czechia</v>
          </cell>
          <cell r="B53">
            <v>0.53</v>
          </cell>
          <cell r="C53">
            <v>0.47</v>
          </cell>
        </row>
        <row r="54">
          <cell r="A54" t="str">
            <v>Indonesia</v>
          </cell>
          <cell r="B54">
            <v>0.33</v>
          </cell>
          <cell r="C54">
            <v>0.67</v>
          </cell>
        </row>
        <row r="55">
          <cell r="A55" t="str">
            <v>Brazil</v>
          </cell>
          <cell r="B55">
            <v>0.2</v>
          </cell>
          <cell r="C55">
            <v>0.8</v>
          </cell>
        </row>
        <row r="56">
          <cell r="A56" t="str">
            <v>Argentina</v>
          </cell>
        </row>
        <row r="57">
          <cell r="A57" t="str">
            <v>Colombia</v>
          </cell>
        </row>
        <row r="58">
          <cell r="A58" t="str">
            <v>Spain</v>
          </cell>
          <cell r="B58">
            <v>0.41</v>
          </cell>
          <cell r="C58">
            <v>0.59</v>
          </cell>
        </row>
        <row r="59">
          <cell r="A59" t="str">
            <v>Belarus</v>
          </cell>
        </row>
        <row r="60">
          <cell r="A60" t="str">
            <v>Chile</v>
          </cell>
          <cell r="B60">
            <v>0.28999999999999998</v>
          </cell>
          <cell r="C60">
            <v>0.71</v>
          </cell>
        </row>
        <row r="61">
          <cell r="A61" t="str">
            <v>Peru</v>
          </cell>
        </row>
        <row r="62">
          <cell r="A62" t="str">
            <v>Mexico</v>
          </cell>
          <cell r="B62">
            <v>0.2</v>
          </cell>
          <cell r="C62">
            <v>0.8</v>
          </cell>
        </row>
        <row r="63">
          <cell r="A63" t="str">
            <v>Guatemala</v>
          </cell>
        </row>
        <row r="64">
          <cell r="A64" t="str">
            <v>Saudi Arabia</v>
          </cell>
          <cell r="B64">
            <v>0.49</v>
          </cell>
          <cell r="C64">
            <v>0.51</v>
          </cell>
        </row>
        <row r="65">
          <cell r="A65" t="str">
            <v>Thailand</v>
          </cell>
          <cell r="B65">
            <v>0.55000000000000004</v>
          </cell>
          <cell r="C65">
            <v>0.45</v>
          </cell>
        </row>
        <row r="66">
          <cell r="A66" t="str">
            <v>Hungary</v>
          </cell>
        </row>
        <row r="67">
          <cell r="A67" t="str">
            <v>Vietnam</v>
          </cell>
          <cell r="B67">
            <v>0.52</v>
          </cell>
          <cell r="C67">
            <v>0.48</v>
          </cell>
        </row>
        <row r="68">
          <cell r="A68" t="str">
            <v>Ecuador</v>
          </cell>
        </row>
        <row r="69">
          <cell r="A69" t="str">
            <v>Russia</v>
          </cell>
          <cell r="B69">
            <v>0.56999999999999995</v>
          </cell>
          <cell r="C69">
            <v>0.43</v>
          </cell>
        </row>
        <row r="70">
          <cell r="A70" t="str">
            <v>Poland</v>
          </cell>
          <cell r="B70">
            <v>0.49</v>
          </cell>
          <cell r="C70">
            <v>0.51</v>
          </cell>
        </row>
        <row r="71">
          <cell r="A71" t="str">
            <v>Ukraine</v>
          </cell>
          <cell r="B71">
            <v>0.62</v>
          </cell>
          <cell r="C71">
            <v>0.38</v>
          </cell>
        </row>
        <row r="72">
          <cell r="A72" t="str">
            <v>Turkey</v>
          </cell>
          <cell r="B72">
            <v>0.57999999999999996</v>
          </cell>
          <cell r="C72">
            <v>0.42</v>
          </cell>
        </row>
        <row r="73">
          <cell r="A73" t="str">
            <v>Bolivia</v>
          </cell>
        </row>
        <row r="74">
          <cell r="A74" t="str">
            <v>Venezuela</v>
          </cell>
        </row>
        <row r="75">
          <cell r="A75" t="str">
            <v>North Korea</v>
          </cell>
        </row>
        <row r="76">
          <cell r="A76" t="str">
            <v>Eritrea</v>
          </cell>
        </row>
        <row r="77">
          <cell r="A77" t="str">
            <v>Monaco</v>
          </cell>
        </row>
        <row r="78">
          <cell r="A78" t="str">
            <v>Lesotho</v>
          </cell>
        </row>
        <row r="79">
          <cell r="A79" t="str">
            <v>Benin</v>
          </cell>
        </row>
        <row r="80">
          <cell r="A80" t="str">
            <v>Myanmar (Burma)</v>
          </cell>
        </row>
        <row r="81">
          <cell r="A81" t="str">
            <v>Rwanda</v>
          </cell>
        </row>
        <row r="82">
          <cell r="A82" t="str">
            <v>Cuba</v>
          </cell>
        </row>
        <row r="83">
          <cell r="A83" t="str">
            <v>Suriname</v>
          </cell>
        </row>
        <row r="84">
          <cell r="A84" t="str">
            <v>Malta</v>
          </cell>
        </row>
        <row r="85">
          <cell r="A85" t="str">
            <v>North Macedonia</v>
          </cell>
        </row>
        <row r="86">
          <cell r="A86" t="str">
            <v>Armenia</v>
          </cell>
        </row>
        <row r="87">
          <cell r="A87" t="str">
            <v>Lebanon</v>
          </cell>
        </row>
        <row r="88">
          <cell r="A88" t="str">
            <v>Nepal</v>
          </cell>
        </row>
        <row r="89">
          <cell r="A89" t="str">
            <v>Senegal</v>
          </cell>
        </row>
        <row r="90">
          <cell r="A90" t="str">
            <v>Luxembourg</v>
          </cell>
        </row>
        <row r="91">
          <cell r="A91" t="str">
            <v>Cyprus</v>
          </cell>
        </row>
        <row r="92">
          <cell r="A92" t="str">
            <v>Estonia</v>
          </cell>
        </row>
        <row r="93">
          <cell r="A93" t="str">
            <v>Iceland</v>
          </cell>
        </row>
        <row r="94">
          <cell r="A94" t="str">
            <v>Mongolia</v>
          </cell>
        </row>
        <row r="95">
          <cell r="A95" t="str">
            <v>Syria</v>
          </cell>
        </row>
        <row r="96">
          <cell r="A96" t="str">
            <v>Zimbabwe</v>
          </cell>
        </row>
        <row r="97">
          <cell r="A97" t="str">
            <v>Palestine</v>
          </cell>
        </row>
        <row r="98">
          <cell r="A98" t="str">
            <v>Cambodia</v>
          </cell>
        </row>
        <row r="99">
          <cell r="A99" t="str">
            <v>Cameroon</v>
          </cell>
        </row>
        <row r="100">
          <cell r="A100" t="str">
            <v>Congo - Kinshasa</v>
          </cell>
        </row>
        <row r="101">
          <cell r="A101" t="str">
            <v>Bahrain</v>
          </cell>
        </row>
        <row r="102">
          <cell r="A102" t="str">
            <v>Libya</v>
          </cell>
        </row>
        <row r="103">
          <cell r="A103" t="str">
            <v>Latvia</v>
          </cell>
        </row>
        <row r="104">
          <cell r="A104" t="str">
            <v>Albania</v>
          </cell>
        </row>
        <row r="105">
          <cell r="A105" t="str">
            <v>Yemen</v>
          </cell>
        </row>
        <row r="106">
          <cell r="A106" t="str">
            <v>Slovakia</v>
          </cell>
        </row>
        <row r="107">
          <cell r="A107" t="str">
            <v>Croatia</v>
          </cell>
        </row>
        <row r="108">
          <cell r="A108" t="str">
            <v>Bosnia &amp; Herzegovina</v>
          </cell>
        </row>
        <row r="109">
          <cell r="A109" t="str">
            <v>Oman</v>
          </cell>
        </row>
        <row r="110">
          <cell r="A110" t="str">
            <v>Tanzania</v>
          </cell>
        </row>
        <row r="111">
          <cell r="A111" t="str">
            <v>Moldova</v>
          </cell>
        </row>
        <row r="112">
          <cell r="A112" t="str">
            <v>Lithuania</v>
          </cell>
        </row>
        <row r="113">
          <cell r="A113" t="str">
            <v>Slovenia</v>
          </cell>
        </row>
        <row r="114">
          <cell r="A114" t="str">
            <v>Kazakhstan</v>
          </cell>
        </row>
        <row r="115">
          <cell r="A115" t="str">
            <v>Qatar</v>
          </cell>
        </row>
        <row r="116">
          <cell r="A116" t="str">
            <v>Serbia</v>
          </cell>
        </row>
        <row r="117">
          <cell r="A117" t="str">
            <v>Puerto Rico</v>
          </cell>
        </row>
        <row r="118">
          <cell r="A118" t="str">
            <v>Georgia</v>
          </cell>
        </row>
        <row r="119">
          <cell r="A119" t="str">
            <v>Paraguay</v>
          </cell>
        </row>
        <row r="120">
          <cell r="A120" t="str">
            <v>Azerbaijan</v>
          </cell>
        </row>
        <row r="121">
          <cell r="A121" t="str">
            <v>Kuwait</v>
          </cell>
        </row>
        <row r="122">
          <cell r="A122" t="str">
            <v>Uruguay</v>
          </cell>
        </row>
        <row r="123">
          <cell r="A123" t="str">
            <v>Bulgaria</v>
          </cell>
        </row>
        <row r="124">
          <cell r="A124" t="str">
            <v>Aruba</v>
          </cell>
        </row>
        <row r="125">
          <cell r="A125" t="str">
            <v>Afghanistan</v>
          </cell>
        </row>
        <row r="126">
          <cell r="A126" t="str">
            <v>Angola</v>
          </cell>
        </row>
        <row r="127">
          <cell r="A127" t="str">
            <v>Anguilla</v>
          </cell>
        </row>
        <row r="128">
          <cell r="A128" t="str">
            <v>Ã…land Islands</v>
          </cell>
        </row>
        <row r="129">
          <cell r="A129" t="str">
            <v>Andorra</v>
          </cell>
        </row>
        <row r="130">
          <cell r="A130" t="str">
            <v>American Samoa</v>
          </cell>
        </row>
        <row r="131">
          <cell r="A131" t="str">
            <v>Antarctica</v>
          </cell>
        </row>
        <row r="132">
          <cell r="A132" t="str">
            <v>French Southern Territories</v>
          </cell>
        </row>
        <row r="133">
          <cell r="A133" t="str">
            <v>Antigua &amp; Barbuda</v>
          </cell>
        </row>
        <row r="134">
          <cell r="A134" t="str">
            <v>Burundi</v>
          </cell>
        </row>
        <row r="135">
          <cell r="A135" t="str">
            <v>Caribbean Netherlands</v>
          </cell>
        </row>
        <row r="136">
          <cell r="A136" t="str">
            <v>Burkina Faso</v>
          </cell>
        </row>
        <row r="137">
          <cell r="A137" t="str">
            <v>Bahamas</v>
          </cell>
        </row>
        <row r="138">
          <cell r="A138" t="str">
            <v>St. BarthÃ©lemy</v>
          </cell>
        </row>
        <row r="139">
          <cell r="A139" t="str">
            <v>Belize</v>
          </cell>
        </row>
        <row r="140">
          <cell r="A140" t="str">
            <v>Bermuda</v>
          </cell>
        </row>
        <row r="141">
          <cell r="A141" t="str">
            <v>Barbados</v>
          </cell>
        </row>
        <row r="142">
          <cell r="A142" t="str">
            <v>Brunei</v>
          </cell>
        </row>
        <row r="143">
          <cell r="A143" t="str">
            <v>Bhutan</v>
          </cell>
        </row>
        <row r="144">
          <cell r="A144" t="str">
            <v>Bouvet Island</v>
          </cell>
        </row>
        <row r="145">
          <cell r="A145" t="str">
            <v>Central African Republic</v>
          </cell>
        </row>
        <row r="146">
          <cell r="A146" t="str">
            <v>Cocos (Keeling) Islands</v>
          </cell>
        </row>
        <row r="147">
          <cell r="A147" t="str">
            <v>CÃ´te dâ€™Ivoire</v>
          </cell>
        </row>
        <row r="148">
          <cell r="A148" t="str">
            <v>Congo - Brazzaville</v>
          </cell>
        </row>
        <row r="149">
          <cell r="A149" t="str">
            <v>Cook Islands</v>
          </cell>
        </row>
        <row r="150">
          <cell r="A150" t="str">
            <v>Comoros</v>
          </cell>
        </row>
        <row r="151">
          <cell r="A151" t="str">
            <v>Cape Verde</v>
          </cell>
        </row>
        <row r="152">
          <cell r="A152" t="str">
            <v>Costa Rica</v>
          </cell>
        </row>
        <row r="153">
          <cell r="A153" t="str">
            <v>CuraÃ§ao</v>
          </cell>
        </row>
        <row r="154">
          <cell r="A154" t="str">
            <v>Christmas Island</v>
          </cell>
        </row>
        <row r="155">
          <cell r="A155" t="str">
            <v>Cayman Islands</v>
          </cell>
        </row>
        <row r="156">
          <cell r="A156" t="str">
            <v>Djibouti</v>
          </cell>
        </row>
        <row r="157">
          <cell r="A157" t="str">
            <v>Dominica</v>
          </cell>
        </row>
        <row r="158">
          <cell r="A158" t="str">
            <v>Dominican Republic</v>
          </cell>
        </row>
        <row r="159">
          <cell r="A159" t="str">
            <v>Western Sahara</v>
          </cell>
        </row>
        <row r="160">
          <cell r="A160" t="str">
            <v>Fiji</v>
          </cell>
        </row>
        <row r="161">
          <cell r="A161" t="str">
            <v>Falkland Islands (Islas Malvinas)</v>
          </cell>
        </row>
        <row r="162">
          <cell r="A162" t="str">
            <v>Faroe Islands</v>
          </cell>
        </row>
        <row r="163">
          <cell r="A163" t="str">
            <v>Micronesia</v>
          </cell>
        </row>
        <row r="164">
          <cell r="A164" t="str">
            <v>Gabon</v>
          </cell>
        </row>
        <row r="165">
          <cell r="A165" t="str">
            <v>Guernsey</v>
          </cell>
        </row>
        <row r="166">
          <cell r="A166" t="str">
            <v>Gibraltar</v>
          </cell>
        </row>
        <row r="167">
          <cell r="A167" t="str">
            <v>Guinea</v>
          </cell>
        </row>
        <row r="168">
          <cell r="A168" t="str">
            <v>Guadeloupe</v>
          </cell>
        </row>
        <row r="169">
          <cell r="A169" t="str">
            <v>Gambia</v>
          </cell>
        </row>
        <row r="170">
          <cell r="A170" t="str">
            <v>Guinea-Bissau</v>
          </cell>
        </row>
        <row r="171">
          <cell r="A171" t="str">
            <v>Equatorial Guinea</v>
          </cell>
        </row>
        <row r="172">
          <cell r="A172" t="str">
            <v>Grenada</v>
          </cell>
        </row>
        <row r="173">
          <cell r="A173" t="str">
            <v>Greenland</v>
          </cell>
        </row>
        <row r="174">
          <cell r="A174" t="str">
            <v>French Guiana</v>
          </cell>
        </row>
        <row r="175">
          <cell r="A175" t="str">
            <v>Guam</v>
          </cell>
        </row>
        <row r="176">
          <cell r="A176" t="str">
            <v>Guyana</v>
          </cell>
        </row>
        <row r="177">
          <cell r="A177" t="str">
            <v>Heard &amp; McDonald Islands</v>
          </cell>
        </row>
        <row r="178">
          <cell r="A178" t="str">
            <v>Honduras</v>
          </cell>
        </row>
        <row r="179">
          <cell r="A179" t="str">
            <v>Haiti</v>
          </cell>
        </row>
        <row r="180">
          <cell r="A180" t="str">
            <v>Isle of Man</v>
          </cell>
        </row>
        <row r="181">
          <cell r="A181" t="str">
            <v>British Indian Ocean Territory</v>
          </cell>
        </row>
        <row r="182">
          <cell r="A182" t="str">
            <v>Jamaica</v>
          </cell>
        </row>
        <row r="183">
          <cell r="A183" t="str">
            <v>Jersey</v>
          </cell>
        </row>
        <row r="184">
          <cell r="A184" t="str">
            <v>Kyrgyzstan</v>
          </cell>
        </row>
        <row r="185">
          <cell r="A185" t="str">
            <v>Kiribati</v>
          </cell>
        </row>
        <row r="186">
          <cell r="A186" t="str">
            <v>St. Kitts &amp; Nevis</v>
          </cell>
        </row>
        <row r="187">
          <cell r="A187" t="str">
            <v>Laos</v>
          </cell>
        </row>
        <row r="188">
          <cell r="A188" t="str">
            <v>Liberia</v>
          </cell>
        </row>
        <row r="189">
          <cell r="A189" t="str">
            <v>St. Lucia</v>
          </cell>
        </row>
        <row r="190">
          <cell r="A190" t="str">
            <v>Liechtenstein</v>
          </cell>
        </row>
        <row r="191">
          <cell r="A191" t="str">
            <v>Macao</v>
          </cell>
        </row>
        <row r="192">
          <cell r="A192" t="str">
            <v>St. Martin</v>
          </cell>
        </row>
        <row r="193">
          <cell r="A193" t="str">
            <v>Madagascar</v>
          </cell>
        </row>
        <row r="194">
          <cell r="A194" t="str">
            <v>Maldives</v>
          </cell>
        </row>
        <row r="195">
          <cell r="A195" t="str">
            <v>Marshall Islands</v>
          </cell>
        </row>
        <row r="196">
          <cell r="A196" t="str">
            <v>Mali</v>
          </cell>
        </row>
        <row r="197">
          <cell r="A197" t="str">
            <v>Montenegro</v>
          </cell>
        </row>
        <row r="198">
          <cell r="A198" t="str">
            <v>Northern Mariana Islands</v>
          </cell>
        </row>
        <row r="199">
          <cell r="A199" t="str">
            <v>Mozambique</v>
          </cell>
        </row>
        <row r="200">
          <cell r="A200" t="str">
            <v>Mauritania</v>
          </cell>
        </row>
        <row r="201">
          <cell r="A201" t="str">
            <v>Montserrat</v>
          </cell>
        </row>
        <row r="202">
          <cell r="A202" t="str">
            <v>Martinique</v>
          </cell>
        </row>
        <row r="203">
          <cell r="A203" t="str">
            <v>Mauritius</v>
          </cell>
        </row>
        <row r="204">
          <cell r="A204" t="str">
            <v>Malawi</v>
          </cell>
        </row>
        <row r="205">
          <cell r="A205" t="str">
            <v>Mayotte</v>
          </cell>
        </row>
        <row r="206">
          <cell r="A206" t="str">
            <v>Namibia</v>
          </cell>
        </row>
        <row r="207">
          <cell r="A207" t="str">
            <v>New Caledonia</v>
          </cell>
        </row>
        <row r="208">
          <cell r="A208" t="str">
            <v>Niger</v>
          </cell>
        </row>
        <row r="209">
          <cell r="A209" t="str">
            <v>Norfolk Island</v>
          </cell>
        </row>
        <row r="210">
          <cell r="A210" t="str">
            <v>Nicaragua</v>
          </cell>
        </row>
        <row r="211">
          <cell r="A211" t="str">
            <v>Niue</v>
          </cell>
        </row>
        <row r="212">
          <cell r="A212" t="str">
            <v>Nauru</v>
          </cell>
        </row>
        <row r="213">
          <cell r="A213" t="str">
            <v>Panama</v>
          </cell>
        </row>
        <row r="214">
          <cell r="A214" t="str">
            <v>Pitcairn Islands</v>
          </cell>
        </row>
        <row r="215">
          <cell r="A215" t="str">
            <v>Palau</v>
          </cell>
        </row>
        <row r="216">
          <cell r="A216" t="str">
            <v>Papua New Guinea</v>
          </cell>
        </row>
        <row r="217">
          <cell r="A217" t="str">
            <v>French Polynesia</v>
          </cell>
        </row>
        <row r="218">
          <cell r="A218" t="str">
            <v>RÃ©union</v>
          </cell>
        </row>
        <row r="219">
          <cell r="A219" t="str">
            <v>South Georgia &amp; South Sandwich Islands</v>
          </cell>
        </row>
        <row r="220">
          <cell r="A220" t="str">
            <v>Svalbard &amp; Jan Mayen</v>
          </cell>
        </row>
        <row r="221">
          <cell r="A221" t="str">
            <v>Solomon Islands</v>
          </cell>
        </row>
        <row r="222">
          <cell r="A222" t="str">
            <v>Sierra Leone</v>
          </cell>
        </row>
        <row r="223">
          <cell r="A223" t="str">
            <v>El Salvador</v>
          </cell>
        </row>
        <row r="224">
          <cell r="A224" t="str">
            <v>San Marino</v>
          </cell>
        </row>
        <row r="225">
          <cell r="A225" t="str">
            <v>Somalia</v>
          </cell>
        </row>
        <row r="226">
          <cell r="A226" t="str">
            <v>St. Pierre &amp; Miquelon</v>
          </cell>
        </row>
        <row r="227">
          <cell r="A227" t="str">
            <v>South Sudan</v>
          </cell>
        </row>
        <row r="228">
          <cell r="A228" t="str">
            <v>SÃ£o TomÃ© &amp; PrÃ­ncipe</v>
          </cell>
        </row>
        <row r="229">
          <cell r="A229" t="str">
            <v>Eswatini</v>
          </cell>
        </row>
        <row r="230">
          <cell r="A230" t="str">
            <v>Sint Maarten</v>
          </cell>
        </row>
        <row r="231">
          <cell r="A231" t="str">
            <v>Seychelles</v>
          </cell>
        </row>
        <row r="232">
          <cell r="A232" t="str">
            <v>Turks &amp; Caicos Islands</v>
          </cell>
        </row>
        <row r="233">
          <cell r="A233" t="str">
            <v>Chad</v>
          </cell>
        </row>
        <row r="234">
          <cell r="A234" t="str">
            <v>Togo</v>
          </cell>
        </row>
        <row r="235">
          <cell r="A235" t="str">
            <v>Tajikistan</v>
          </cell>
        </row>
        <row r="236">
          <cell r="A236" t="str">
            <v>Tokelau</v>
          </cell>
        </row>
        <row r="237">
          <cell r="A237" t="str">
            <v>Turkmenistan</v>
          </cell>
        </row>
        <row r="238">
          <cell r="A238" t="str">
            <v>Timor-Leste</v>
          </cell>
        </row>
        <row r="239">
          <cell r="A239" t="str">
            <v>Tonga</v>
          </cell>
        </row>
        <row r="240">
          <cell r="A240" t="str">
            <v>Trinidad &amp; Tobago</v>
          </cell>
        </row>
        <row r="241">
          <cell r="A241" t="str">
            <v>Tuvalu</v>
          </cell>
        </row>
        <row r="242">
          <cell r="A242" t="str">
            <v>Uganda</v>
          </cell>
        </row>
        <row r="243">
          <cell r="A243" t="str">
            <v>U.S. Outlying Islands</v>
          </cell>
        </row>
        <row r="244">
          <cell r="A244" t="str">
            <v>Uzbekistan</v>
          </cell>
        </row>
        <row r="245">
          <cell r="A245" t="str">
            <v>Vatican City</v>
          </cell>
        </row>
        <row r="246">
          <cell r="A246" t="str">
            <v>St. Vincent &amp; Grenadines</v>
          </cell>
        </row>
        <row r="247">
          <cell r="A247" t="str">
            <v>British Virgin Islands</v>
          </cell>
        </row>
        <row r="248">
          <cell r="A248" t="str">
            <v>U.S. Virgin Islands</v>
          </cell>
        </row>
        <row r="249">
          <cell r="A249" t="str">
            <v>Vanuatu</v>
          </cell>
        </row>
        <row r="250">
          <cell r="A250" t="str">
            <v>Wallis &amp; Futuna</v>
          </cell>
        </row>
        <row r="251">
          <cell r="A251" t="str">
            <v>Samoa</v>
          </cell>
        </row>
        <row r="252">
          <cell r="A252" t="str">
            <v>Kosovo</v>
          </cell>
        </row>
        <row r="253">
          <cell r="A253" t="str">
            <v>Zambia</v>
          </cell>
        </row>
      </sheetData>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36)"/>
    </sheetNames>
    <sheetDataSet>
      <sheetData sheetId="0" refreshError="1">
        <row r="1">
          <cell r="A1" t="str">
            <v>Kategori: TÃ¼m kategoriler</v>
          </cell>
        </row>
        <row r="3">
          <cell r="A3" t="str">
            <v>Ãœlke</v>
          </cell>
          <cell r="B3" t="str">
            <v>Interaction design: (2018)</v>
          </cell>
          <cell r="C3" t="str">
            <v>Boru hattÄ±: (2018)</v>
          </cell>
        </row>
        <row r="4">
          <cell r="A4" t="str">
            <v>China</v>
          </cell>
          <cell r="B4">
            <v>0.89</v>
          </cell>
          <cell r="C4">
            <v>0.11</v>
          </cell>
        </row>
        <row r="5">
          <cell r="A5" t="str">
            <v>Angola</v>
          </cell>
          <cell r="C5">
            <v>1</v>
          </cell>
        </row>
        <row r="6">
          <cell r="A6" t="str">
            <v>Botswana</v>
          </cell>
        </row>
        <row r="7">
          <cell r="A7" t="str">
            <v>Portugal</v>
          </cell>
          <cell r="B7">
            <v>0.16</v>
          </cell>
          <cell r="C7">
            <v>0.84</v>
          </cell>
        </row>
        <row r="8">
          <cell r="A8" t="str">
            <v>Mozambique</v>
          </cell>
          <cell r="C8">
            <v>1</v>
          </cell>
        </row>
        <row r="9">
          <cell r="A9" t="str">
            <v>Brazil</v>
          </cell>
          <cell r="B9">
            <v>7.0000000000000007E-2</v>
          </cell>
          <cell r="C9">
            <v>0.93</v>
          </cell>
        </row>
        <row r="10">
          <cell r="A10" t="str">
            <v>Norway</v>
          </cell>
          <cell r="B10">
            <v>1</v>
          </cell>
        </row>
        <row r="11">
          <cell r="A11" t="str">
            <v>South Korea</v>
          </cell>
          <cell r="B11">
            <v>0.92</v>
          </cell>
          <cell r="C11">
            <v>0.08</v>
          </cell>
        </row>
        <row r="12">
          <cell r="A12" t="str">
            <v>Czechia</v>
          </cell>
          <cell r="B12">
            <v>0.08</v>
          </cell>
          <cell r="C12">
            <v>0.92</v>
          </cell>
        </row>
        <row r="13">
          <cell r="A13" t="str">
            <v>Costa Rica</v>
          </cell>
          <cell r="C13">
            <v>1</v>
          </cell>
        </row>
        <row r="14">
          <cell r="A14" t="str">
            <v>Sweden</v>
          </cell>
          <cell r="B14">
            <v>1</v>
          </cell>
        </row>
        <row r="15">
          <cell r="A15" t="str">
            <v>Denmark</v>
          </cell>
          <cell r="B15">
            <v>1</v>
          </cell>
        </row>
        <row r="16">
          <cell r="A16" t="str">
            <v>Singapore</v>
          </cell>
          <cell r="B16">
            <v>1</v>
          </cell>
        </row>
        <row r="17">
          <cell r="A17" t="str">
            <v>Bolivia</v>
          </cell>
          <cell r="C17">
            <v>1</v>
          </cell>
        </row>
        <row r="18">
          <cell r="A18" t="str">
            <v>Spain</v>
          </cell>
          <cell r="B18">
            <v>0.1</v>
          </cell>
          <cell r="C18">
            <v>0.9</v>
          </cell>
        </row>
        <row r="19">
          <cell r="A19" t="str">
            <v>Peru</v>
          </cell>
          <cell r="B19">
            <v>0.11</v>
          </cell>
          <cell r="C19">
            <v>0.89</v>
          </cell>
        </row>
        <row r="20">
          <cell r="A20" t="str">
            <v>Panama</v>
          </cell>
          <cell r="C20">
            <v>1</v>
          </cell>
        </row>
        <row r="21">
          <cell r="A21" t="str">
            <v>Taiwan</v>
          </cell>
          <cell r="B21">
            <v>0.86</v>
          </cell>
          <cell r="C21">
            <v>0.14000000000000001</v>
          </cell>
        </row>
        <row r="22">
          <cell r="A22" t="str">
            <v>Chile</v>
          </cell>
          <cell r="B22">
            <v>0.09</v>
          </cell>
          <cell r="C22">
            <v>0.91</v>
          </cell>
        </row>
        <row r="23">
          <cell r="A23" t="str">
            <v>Uruguay</v>
          </cell>
          <cell r="C23">
            <v>1</v>
          </cell>
        </row>
        <row r="24">
          <cell r="A24" t="str">
            <v>Colombia</v>
          </cell>
          <cell r="B24">
            <v>0.15</v>
          </cell>
          <cell r="C24">
            <v>0.85</v>
          </cell>
        </row>
        <row r="25">
          <cell r="A25" t="str">
            <v>Mexico</v>
          </cell>
          <cell r="B25">
            <v>0.12</v>
          </cell>
          <cell r="C25">
            <v>0.88</v>
          </cell>
        </row>
        <row r="26">
          <cell r="A26" t="str">
            <v>Switzerland</v>
          </cell>
          <cell r="B26">
            <v>0.92</v>
          </cell>
          <cell r="C26">
            <v>0.08</v>
          </cell>
        </row>
        <row r="27">
          <cell r="A27" t="str">
            <v>Hong Kong</v>
          </cell>
        </row>
        <row r="28">
          <cell r="A28" t="str">
            <v>Netherlands</v>
          </cell>
          <cell r="B28">
            <v>0.89</v>
          </cell>
          <cell r="C28">
            <v>0.11</v>
          </cell>
        </row>
        <row r="29">
          <cell r="A29" t="str">
            <v>Ireland</v>
          </cell>
          <cell r="B29">
            <v>1</v>
          </cell>
        </row>
        <row r="30">
          <cell r="A30" t="str">
            <v>Ecuador</v>
          </cell>
        </row>
        <row r="31">
          <cell r="A31" t="str">
            <v>St. Helena</v>
          </cell>
          <cell r="B31">
            <v>0.5</v>
          </cell>
          <cell r="C31">
            <v>0.5</v>
          </cell>
        </row>
        <row r="32">
          <cell r="A32" t="str">
            <v>Argentina</v>
          </cell>
          <cell r="B32">
            <v>0.19</v>
          </cell>
          <cell r="C32">
            <v>0.81</v>
          </cell>
        </row>
        <row r="33">
          <cell r="A33" t="str">
            <v>Greece</v>
          </cell>
          <cell r="B33">
            <v>0.18</v>
          </cell>
          <cell r="C33">
            <v>0.82</v>
          </cell>
        </row>
        <row r="34">
          <cell r="A34" t="str">
            <v>Australia</v>
          </cell>
          <cell r="B34">
            <v>0.93</v>
          </cell>
          <cell r="C34">
            <v>7.0000000000000007E-2</v>
          </cell>
        </row>
        <row r="35">
          <cell r="A35" t="str">
            <v>Cyprus</v>
          </cell>
        </row>
        <row r="36">
          <cell r="A36" t="str">
            <v>Guatemala</v>
          </cell>
          <cell r="C36">
            <v>1</v>
          </cell>
        </row>
        <row r="37">
          <cell r="A37" t="str">
            <v>Canada</v>
          </cell>
          <cell r="B37">
            <v>0.85</v>
          </cell>
          <cell r="C37">
            <v>0.15</v>
          </cell>
        </row>
        <row r="38">
          <cell r="A38" t="str">
            <v>Nigeria</v>
          </cell>
          <cell r="B38">
            <v>0.83</v>
          </cell>
          <cell r="C38">
            <v>0.17</v>
          </cell>
        </row>
        <row r="39">
          <cell r="A39" t="str">
            <v>Kenya</v>
          </cell>
          <cell r="B39">
            <v>0.53</v>
          </cell>
          <cell r="C39">
            <v>0.47</v>
          </cell>
        </row>
        <row r="40">
          <cell r="A40" t="str">
            <v>Malaysia</v>
          </cell>
          <cell r="B40">
            <v>0.83</v>
          </cell>
          <cell r="C40">
            <v>0.17</v>
          </cell>
        </row>
        <row r="41">
          <cell r="A41" t="str">
            <v>Finland</v>
          </cell>
          <cell r="B41">
            <v>1</v>
          </cell>
        </row>
        <row r="42">
          <cell r="A42" t="str">
            <v>United Arab Emirates</v>
          </cell>
          <cell r="B42">
            <v>1</v>
          </cell>
        </row>
        <row r="43">
          <cell r="A43" t="str">
            <v>United States</v>
          </cell>
          <cell r="B43">
            <v>0.79</v>
          </cell>
          <cell r="C43">
            <v>0.21</v>
          </cell>
        </row>
        <row r="44">
          <cell r="A44" t="str">
            <v>Dominican Republic</v>
          </cell>
          <cell r="C44">
            <v>1</v>
          </cell>
        </row>
        <row r="45">
          <cell r="A45" t="str">
            <v>Ghana</v>
          </cell>
        </row>
        <row r="46">
          <cell r="A46" t="str">
            <v>New Zealand</v>
          </cell>
          <cell r="B46">
            <v>1</v>
          </cell>
        </row>
        <row r="47">
          <cell r="A47" t="str">
            <v>Philippines</v>
          </cell>
          <cell r="B47">
            <v>0.84</v>
          </cell>
          <cell r="C47">
            <v>0.16</v>
          </cell>
        </row>
        <row r="48">
          <cell r="A48" t="str">
            <v>South Africa</v>
          </cell>
        </row>
        <row r="49">
          <cell r="A49" t="str">
            <v>United Kingdom</v>
          </cell>
          <cell r="B49">
            <v>0.89</v>
          </cell>
          <cell r="C49">
            <v>0.11</v>
          </cell>
        </row>
        <row r="50">
          <cell r="A50" t="str">
            <v>Sri Lanka</v>
          </cell>
        </row>
        <row r="51">
          <cell r="A51" t="str">
            <v>Germany</v>
          </cell>
          <cell r="B51">
            <v>0.68</v>
          </cell>
          <cell r="C51">
            <v>0.32</v>
          </cell>
        </row>
        <row r="52">
          <cell r="A52" t="str">
            <v>Pakistan</v>
          </cell>
          <cell r="B52">
            <v>0.65</v>
          </cell>
          <cell r="C52">
            <v>0.35</v>
          </cell>
        </row>
        <row r="53">
          <cell r="A53" t="str">
            <v>Venezuela</v>
          </cell>
        </row>
        <row r="54">
          <cell r="A54" t="str">
            <v>India</v>
          </cell>
          <cell r="B54">
            <v>0.55000000000000004</v>
          </cell>
          <cell r="C54">
            <v>0.45</v>
          </cell>
        </row>
        <row r="55">
          <cell r="A55" t="str">
            <v>Austria</v>
          </cell>
          <cell r="B55">
            <v>0.68</v>
          </cell>
          <cell r="C55">
            <v>0.32</v>
          </cell>
        </row>
        <row r="56">
          <cell r="A56" t="str">
            <v>Israel</v>
          </cell>
          <cell r="B56">
            <v>0.68</v>
          </cell>
          <cell r="C56">
            <v>0.32</v>
          </cell>
        </row>
        <row r="57">
          <cell r="A57" t="str">
            <v>Italy</v>
          </cell>
          <cell r="B57">
            <v>0.72</v>
          </cell>
          <cell r="C57">
            <v>0.28000000000000003</v>
          </cell>
        </row>
        <row r="58">
          <cell r="A58" t="str">
            <v>France</v>
          </cell>
          <cell r="B58">
            <v>0.74</v>
          </cell>
          <cell r="C58">
            <v>0.26</v>
          </cell>
        </row>
        <row r="59">
          <cell r="A59" t="str">
            <v>Myanmar (Burma)</v>
          </cell>
        </row>
        <row r="60">
          <cell r="A60" t="str">
            <v>Bangladesh</v>
          </cell>
          <cell r="B60">
            <v>0.56999999999999995</v>
          </cell>
          <cell r="C60">
            <v>0.43</v>
          </cell>
        </row>
        <row r="61">
          <cell r="A61" t="str">
            <v>Romania</v>
          </cell>
        </row>
        <row r="62">
          <cell r="A62" t="str">
            <v>Indonesia</v>
          </cell>
          <cell r="B62">
            <v>0.9</v>
          </cell>
          <cell r="C62">
            <v>0.1</v>
          </cell>
        </row>
        <row r="63">
          <cell r="A63" t="str">
            <v>Thailand</v>
          </cell>
        </row>
        <row r="64">
          <cell r="A64" t="str">
            <v>Japan</v>
          </cell>
          <cell r="B64">
            <v>0.63</v>
          </cell>
          <cell r="C64">
            <v>0.37</v>
          </cell>
        </row>
        <row r="65">
          <cell r="A65" t="str">
            <v>Egypt</v>
          </cell>
          <cell r="B65">
            <v>1</v>
          </cell>
        </row>
        <row r="66">
          <cell r="A66" t="str">
            <v>Iran</v>
          </cell>
          <cell r="B66">
            <v>0.81</v>
          </cell>
          <cell r="C66">
            <v>0.19</v>
          </cell>
        </row>
        <row r="67">
          <cell r="A67" t="str">
            <v>Belgium</v>
          </cell>
          <cell r="B67">
            <v>0.61</v>
          </cell>
          <cell r="C67">
            <v>0.39</v>
          </cell>
        </row>
        <row r="68">
          <cell r="A68" t="str">
            <v>Poland</v>
          </cell>
        </row>
        <row r="69">
          <cell r="A69" t="str">
            <v>Hungary</v>
          </cell>
        </row>
        <row r="70">
          <cell r="A70" t="str">
            <v>Ukraine</v>
          </cell>
          <cell r="B70">
            <v>1</v>
          </cell>
        </row>
        <row r="71">
          <cell r="A71" t="str">
            <v>Russia</v>
          </cell>
          <cell r="B71">
            <v>0.68</v>
          </cell>
          <cell r="C71">
            <v>0.32</v>
          </cell>
        </row>
        <row r="72">
          <cell r="A72" t="str">
            <v>Turkey</v>
          </cell>
          <cell r="B72">
            <v>0.63</v>
          </cell>
          <cell r="C72">
            <v>0.37</v>
          </cell>
        </row>
        <row r="73">
          <cell r="A73" t="str">
            <v>Vietnam</v>
          </cell>
          <cell r="B73">
            <v>0.71</v>
          </cell>
          <cell r="C73">
            <v>0.28999999999999998</v>
          </cell>
        </row>
        <row r="74">
          <cell r="A74" t="str">
            <v>Saudi Arabia</v>
          </cell>
          <cell r="B74">
            <v>0.47</v>
          </cell>
          <cell r="C74">
            <v>0.53</v>
          </cell>
        </row>
        <row r="75">
          <cell r="A75" t="str">
            <v>Eswatini</v>
          </cell>
        </row>
        <row r="76">
          <cell r="A76" t="str">
            <v>San Marino</v>
          </cell>
        </row>
        <row r="77">
          <cell r="A77" t="str">
            <v>Cayman Islands</v>
          </cell>
        </row>
        <row r="78">
          <cell r="A78" t="str">
            <v>Isle of Man</v>
          </cell>
        </row>
        <row r="79">
          <cell r="A79" t="str">
            <v>Macao</v>
          </cell>
        </row>
        <row r="80">
          <cell r="A80" t="str">
            <v>Mauritius</v>
          </cell>
        </row>
        <row r="81">
          <cell r="A81" t="str">
            <v>Guam</v>
          </cell>
        </row>
        <row r="82">
          <cell r="A82" t="str">
            <v>Malawi</v>
          </cell>
        </row>
        <row r="83">
          <cell r="A83" t="str">
            <v>Jersey</v>
          </cell>
        </row>
        <row r="84">
          <cell r="A84" t="str">
            <v>Gabon</v>
          </cell>
        </row>
        <row r="85">
          <cell r="A85" t="str">
            <v>Fiji</v>
          </cell>
        </row>
        <row r="86">
          <cell r="A86" t="str">
            <v>Jamaica</v>
          </cell>
        </row>
        <row r="87">
          <cell r="A87" t="str">
            <v>Ethiopia</v>
          </cell>
        </row>
        <row r="88">
          <cell r="A88" t="str">
            <v>Benin</v>
          </cell>
        </row>
        <row r="89">
          <cell r="A89" t="str">
            <v>Somalia</v>
          </cell>
        </row>
        <row r="90">
          <cell r="A90" t="str">
            <v>Iceland</v>
          </cell>
        </row>
        <row r="91">
          <cell r="A91" t="str">
            <v>Estonia</v>
          </cell>
        </row>
        <row r="92">
          <cell r="A92" t="str">
            <v>Rwanda</v>
          </cell>
        </row>
        <row r="93">
          <cell r="A93" t="str">
            <v>Haiti</v>
          </cell>
        </row>
        <row r="94">
          <cell r="A94" t="str">
            <v>Namibia</v>
          </cell>
        </row>
        <row r="95">
          <cell r="A95" t="str">
            <v>Bahrain</v>
          </cell>
        </row>
        <row r="96">
          <cell r="A96" t="str">
            <v>Madagascar</v>
          </cell>
        </row>
        <row r="97">
          <cell r="A97" t="str">
            <v>Luxembourg</v>
          </cell>
        </row>
        <row r="98">
          <cell r="A98" t="str">
            <v>Malta</v>
          </cell>
        </row>
        <row r="99">
          <cell r="A99" t="str">
            <v>Palestine</v>
          </cell>
        </row>
        <row r="100">
          <cell r="A100" t="str">
            <v>North Macedonia</v>
          </cell>
        </row>
        <row r="101">
          <cell r="A101" t="str">
            <v>Armenia</v>
          </cell>
        </row>
        <row r="102">
          <cell r="A102" t="str">
            <v>Trinidad &amp; Tobago</v>
          </cell>
        </row>
        <row r="103">
          <cell r="A103" t="str">
            <v>Kosovo</v>
          </cell>
        </row>
        <row r="104">
          <cell r="A104" t="str">
            <v>Lebanon</v>
          </cell>
        </row>
        <row r="105">
          <cell r="A105" t="str">
            <v>Laos</v>
          </cell>
        </row>
        <row r="106">
          <cell r="A106" t="str">
            <v>Uganda</v>
          </cell>
        </row>
        <row r="107">
          <cell r="A107" t="str">
            <v>Zambia</v>
          </cell>
        </row>
        <row r="108">
          <cell r="A108" t="str">
            <v>Cameroon</v>
          </cell>
        </row>
        <row r="109">
          <cell r="A109" t="str">
            <v>Qatar</v>
          </cell>
        </row>
        <row r="110">
          <cell r="A110" t="str">
            <v>Tanzania</v>
          </cell>
        </row>
        <row r="111">
          <cell r="A111" t="str">
            <v>Latvia</v>
          </cell>
        </row>
        <row r="112">
          <cell r="A112" t="str">
            <v>Kuwait</v>
          </cell>
        </row>
        <row r="113">
          <cell r="A113" t="str">
            <v>Tunisia</v>
          </cell>
        </row>
        <row r="114">
          <cell r="A114" t="str">
            <v>Albania</v>
          </cell>
        </row>
        <row r="115">
          <cell r="A115" t="str">
            <v>Lithuania</v>
          </cell>
        </row>
        <row r="116">
          <cell r="A116" t="str">
            <v>CÃ´te dâ€™Ivoire</v>
          </cell>
        </row>
        <row r="117">
          <cell r="A117" t="str">
            <v>Nepal</v>
          </cell>
        </row>
        <row r="118">
          <cell r="A118" t="str">
            <v>Azerbaijan</v>
          </cell>
        </row>
        <row r="119">
          <cell r="A119" t="str">
            <v>Belarus</v>
          </cell>
        </row>
        <row r="120">
          <cell r="A120" t="str">
            <v>Slovenia</v>
          </cell>
        </row>
        <row r="121">
          <cell r="A121" t="str">
            <v>Sudan</v>
          </cell>
        </row>
        <row r="122">
          <cell r="A122" t="str">
            <v>Bulgaria</v>
          </cell>
        </row>
        <row r="123">
          <cell r="A123" t="str">
            <v>Bosnia &amp; Herzegovina</v>
          </cell>
        </row>
        <row r="124">
          <cell r="A124" t="str">
            <v>Cambodia</v>
          </cell>
        </row>
        <row r="125">
          <cell r="A125" t="str">
            <v>Algeria</v>
          </cell>
        </row>
        <row r="126">
          <cell r="A126" t="str">
            <v>Honduras</v>
          </cell>
        </row>
        <row r="127">
          <cell r="A127" t="str">
            <v>Moldova</v>
          </cell>
        </row>
        <row r="128">
          <cell r="A128" t="str">
            <v>El Salvador</v>
          </cell>
        </row>
        <row r="129">
          <cell r="A129" t="str">
            <v>Jordan</v>
          </cell>
        </row>
        <row r="130">
          <cell r="A130" t="str">
            <v>Serbia</v>
          </cell>
        </row>
        <row r="131">
          <cell r="A131" t="str">
            <v>Puerto Rico</v>
          </cell>
        </row>
        <row r="132">
          <cell r="A132" t="str">
            <v>Paraguay</v>
          </cell>
        </row>
        <row r="133">
          <cell r="A133" t="str">
            <v>Slovakia</v>
          </cell>
        </row>
        <row r="134">
          <cell r="A134" t="str">
            <v>Croatia</v>
          </cell>
        </row>
        <row r="135">
          <cell r="A135" t="str">
            <v>Morocco</v>
          </cell>
        </row>
        <row r="136">
          <cell r="A136" t="str">
            <v>Kazakhstan</v>
          </cell>
        </row>
        <row r="137">
          <cell r="A137" t="str">
            <v>Aruba</v>
          </cell>
        </row>
        <row r="138">
          <cell r="A138" t="str">
            <v>Afghanistan</v>
          </cell>
        </row>
        <row r="139">
          <cell r="A139" t="str">
            <v>Anguilla</v>
          </cell>
        </row>
        <row r="140">
          <cell r="A140" t="str">
            <v>Ã…land Islands</v>
          </cell>
        </row>
        <row r="141">
          <cell r="A141" t="str">
            <v>Andorra</v>
          </cell>
        </row>
        <row r="142">
          <cell r="A142" t="str">
            <v>American Samoa</v>
          </cell>
        </row>
        <row r="143">
          <cell r="A143" t="str">
            <v>Antarctica</v>
          </cell>
        </row>
        <row r="144">
          <cell r="A144" t="str">
            <v>French Southern Territories</v>
          </cell>
        </row>
        <row r="145">
          <cell r="A145" t="str">
            <v>Antigua &amp; Barbuda</v>
          </cell>
        </row>
        <row r="146">
          <cell r="A146" t="str">
            <v>Burundi</v>
          </cell>
        </row>
        <row r="147">
          <cell r="A147" t="str">
            <v>Caribbean Netherlands</v>
          </cell>
        </row>
        <row r="148">
          <cell r="A148" t="str">
            <v>Burkina Faso</v>
          </cell>
        </row>
        <row r="149">
          <cell r="A149" t="str">
            <v>Bahamas</v>
          </cell>
        </row>
        <row r="150">
          <cell r="A150" t="str">
            <v>St. BarthÃ©lemy</v>
          </cell>
        </row>
        <row r="151">
          <cell r="A151" t="str">
            <v>Belize</v>
          </cell>
        </row>
        <row r="152">
          <cell r="A152" t="str">
            <v>Bermuda</v>
          </cell>
        </row>
        <row r="153">
          <cell r="A153" t="str">
            <v>Barbados</v>
          </cell>
        </row>
        <row r="154">
          <cell r="A154" t="str">
            <v>Brunei</v>
          </cell>
        </row>
        <row r="155">
          <cell r="A155" t="str">
            <v>Bhutan</v>
          </cell>
        </row>
        <row r="156">
          <cell r="A156" t="str">
            <v>Bouvet Island</v>
          </cell>
        </row>
        <row r="157">
          <cell r="A157" t="str">
            <v>Central African Republic</v>
          </cell>
        </row>
        <row r="158">
          <cell r="A158" t="str">
            <v>Cocos (Keeling) Islands</v>
          </cell>
        </row>
        <row r="159">
          <cell r="A159" t="str">
            <v>Congo - Kinshasa</v>
          </cell>
        </row>
        <row r="160">
          <cell r="A160" t="str">
            <v>Congo - Brazzaville</v>
          </cell>
        </row>
        <row r="161">
          <cell r="A161" t="str">
            <v>Cook Islands</v>
          </cell>
        </row>
        <row r="162">
          <cell r="A162" t="str">
            <v>Comoros</v>
          </cell>
        </row>
        <row r="163">
          <cell r="A163" t="str">
            <v>Cape Verde</v>
          </cell>
        </row>
        <row r="164">
          <cell r="A164" t="str">
            <v>Cuba</v>
          </cell>
        </row>
        <row r="165">
          <cell r="A165" t="str">
            <v>CuraÃ§ao</v>
          </cell>
        </row>
        <row r="166">
          <cell r="A166" t="str">
            <v>Christmas Island</v>
          </cell>
        </row>
        <row r="167">
          <cell r="A167" t="str">
            <v>Djibouti</v>
          </cell>
        </row>
        <row r="168">
          <cell r="A168" t="str">
            <v>Dominica</v>
          </cell>
        </row>
        <row r="169">
          <cell r="A169" t="str">
            <v>Eritrea</v>
          </cell>
        </row>
        <row r="170">
          <cell r="A170" t="str">
            <v>Western Sahara</v>
          </cell>
        </row>
        <row r="171">
          <cell r="A171" t="str">
            <v>Falkland Islands (Islas Malvinas)</v>
          </cell>
        </row>
        <row r="172">
          <cell r="A172" t="str">
            <v>Faroe Islands</v>
          </cell>
        </row>
        <row r="173">
          <cell r="A173" t="str">
            <v>Micronesia</v>
          </cell>
        </row>
        <row r="174">
          <cell r="A174" t="str">
            <v>Georgia</v>
          </cell>
        </row>
        <row r="175">
          <cell r="A175" t="str">
            <v>Guernsey</v>
          </cell>
        </row>
        <row r="176">
          <cell r="A176" t="str">
            <v>Gibraltar</v>
          </cell>
        </row>
        <row r="177">
          <cell r="A177" t="str">
            <v>Guinea</v>
          </cell>
        </row>
        <row r="178">
          <cell r="A178" t="str">
            <v>Guadeloupe</v>
          </cell>
        </row>
        <row r="179">
          <cell r="A179" t="str">
            <v>Gambia</v>
          </cell>
        </row>
        <row r="180">
          <cell r="A180" t="str">
            <v>Guinea-Bissau</v>
          </cell>
        </row>
        <row r="181">
          <cell r="A181" t="str">
            <v>Equatorial Guinea</v>
          </cell>
        </row>
        <row r="182">
          <cell r="A182" t="str">
            <v>Grenada</v>
          </cell>
        </row>
        <row r="183">
          <cell r="A183" t="str">
            <v>Greenland</v>
          </cell>
        </row>
        <row r="184">
          <cell r="A184" t="str">
            <v>French Guiana</v>
          </cell>
        </row>
        <row r="185">
          <cell r="A185" t="str">
            <v>Guyana</v>
          </cell>
        </row>
        <row r="186">
          <cell r="A186" t="str">
            <v>Heard &amp; McDonald Islands</v>
          </cell>
        </row>
        <row r="187">
          <cell r="A187" t="str">
            <v>British Indian Ocean Territory</v>
          </cell>
        </row>
        <row r="188">
          <cell r="A188" t="str">
            <v>Iraq</v>
          </cell>
        </row>
        <row r="189">
          <cell r="A189" t="str">
            <v>Kyrgyzstan</v>
          </cell>
        </row>
        <row r="190">
          <cell r="A190" t="str">
            <v>Kiribati</v>
          </cell>
        </row>
        <row r="191">
          <cell r="A191" t="str">
            <v>St. Kitts &amp; Nevis</v>
          </cell>
        </row>
        <row r="192">
          <cell r="A192" t="str">
            <v>Liberia</v>
          </cell>
        </row>
        <row r="193">
          <cell r="A193" t="str">
            <v>Libya</v>
          </cell>
        </row>
        <row r="194">
          <cell r="A194" t="str">
            <v>St. Lucia</v>
          </cell>
        </row>
        <row r="195">
          <cell r="A195" t="str">
            <v>Liechtenstein</v>
          </cell>
        </row>
        <row r="196">
          <cell r="A196" t="str">
            <v>Lesotho</v>
          </cell>
        </row>
        <row r="197">
          <cell r="A197" t="str">
            <v>St. Martin</v>
          </cell>
        </row>
        <row r="198">
          <cell r="A198" t="str">
            <v>Monaco</v>
          </cell>
        </row>
        <row r="199">
          <cell r="A199" t="str">
            <v>Maldives</v>
          </cell>
        </row>
        <row r="200">
          <cell r="A200" t="str">
            <v>Marshall Islands</v>
          </cell>
        </row>
        <row r="201">
          <cell r="A201" t="str">
            <v>Mali</v>
          </cell>
        </row>
        <row r="202">
          <cell r="A202" t="str">
            <v>Montenegro</v>
          </cell>
        </row>
        <row r="203">
          <cell r="A203" t="str">
            <v>Mongolia</v>
          </cell>
        </row>
        <row r="204">
          <cell r="A204" t="str">
            <v>Northern Mariana Islands</v>
          </cell>
        </row>
        <row r="205">
          <cell r="A205" t="str">
            <v>Mauritania</v>
          </cell>
        </row>
        <row r="206">
          <cell r="A206" t="str">
            <v>Montserrat</v>
          </cell>
        </row>
        <row r="207">
          <cell r="A207" t="str">
            <v>Martinique</v>
          </cell>
        </row>
        <row r="208">
          <cell r="A208" t="str">
            <v>Mayotte</v>
          </cell>
        </row>
        <row r="209">
          <cell r="A209" t="str">
            <v>New Caledonia</v>
          </cell>
        </row>
        <row r="210">
          <cell r="A210" t="str">
            <v>Niger</v>
          </cell>
        </row>
        <row r="211">
          <cell r="A211" t="str">
            <v>Norfolk Island</v>
          </cell>
        </row>
        <row r="212">
          <cell r="A212" t="str">
            <v>Nicaragua</v>
          </cell>
        </row>
        <row r="213">
          <cell r="A213" t="str">
            <v>Niue</v>
          </cell>
        </row>
        <row r="214">
          <cell r="A214" t="str">
            <v>Nauru</v>
          </cell>
        </row>
        <row r="215">
          <cell r="A215" t="str">
            <v>Oman</v>
          </cell>
        </row>
        <row r="216">
          <cell r="A216" t="str">
            <v>Pitcairn Islands</v>
          </cell>
        </row>
        <row r="217">
          <cell r="A217" t="str">
            <v>Palau</v>
          </cell>
        </row>
        <row r="218">
          <cell r="A218" t="str">
            <v>Papua New Guinea</v>
          </cell>
        </row>
        <row r="219">
          <cell r="A219" t="str">
            <v>North Korea</v>
          </cell>
        </row>
        <row r="220">
          <cell r="A220" t="str">
            <v>French Polynesia</v>
          </cell>
        </row>
        <row r="221">
          <cell r="A221" t="str">
            <v>RÃ©union</v>
          </cell>
        </row>
        <row r="222">
          <cell r="A222" t="str">
            <v>Senegal</v>
          </cell>
        </row>
        <row r="223">
          <cell r="A223" t="str">
            <v>South Georgia &amp; South Sandwich Islands</v>
          </cell>
        </row>
        <row r="224">
          <cell r="A224" t="str">
            <v>Svalbard &amp; Jan Mayen</v>
          </cell>
        </row>
        <row r="225">
          <cell r="A225" t="str">
            <v>Solomon Islands</v>
          </cell>
        </row>
        <row r="226">
          <cell r="A226" t="str">
            <v>Sierra Leone</v>
          </cell>
        </row>
        <row r="227">
          <cell r="A227" t="str">
            <v>St. Pierre &amp; Miquelon</v>
          </cell>
        </row>
        <row r="228">
          <cell r="A228" t="str">
            <v>South Sudan</v>
          </cell>
        </row>
        <row r="229">
          <cell r="A229" t="str">
            <v>SÃ£o TomÃ© &amp; PrÃ­ncipe</v>
          </cell>
        </row>
        <row r="230">
          <cell r="A230" t="str">
            <v>Suriname</v>
          </cell>
        </row>
        <row r="231">
          <cell r="A231" t="str">
            <v>Sint Maarten</v>
          </cell>
        </row>
        <row r="232">
          <cell r="A232" t="str">
            <v>Seychelles</v>
          </cell>
        </row>
        <row r="233">
          <cell r="A233" t="str">
            <v>Syria</v>
          </cell>
        </row>
        <row r="234">
          <cell r="A234" t="str">
            <v>Turks &amp; Caicos Islands</v>
          </cell>
        </row>
        <row r="235">
          <cell r="A235" t="str">
            <v>Chad</v>
          </cell>
        </row>
        <row r="236">
          <cell r="A236" t="str">
            <v>Togo</v>
          </cell>
        </row>
        <row r="237">
          <cell r="A237" t="str">
            <v>Tajikistan</v>
          </cell>
        </row>
        <row r="238">
          <cell r="A238" t="str">
            <v>Tokelau</v>
          </cell>
        </row>
        <row r="239">
          <cell r="A239" t="str">
            <v>Turkmenistan</v>
          </cell>
        </row>
        <row r="240">
          <cell r="A240" t="str">
            <v>Timor-Leste</v>
          </cell>
        </row>
        <row r="241">
          <cell r="A241" t="str">
            <v>Tonga</v>
          </cell>
        </row>
        <row r="242">
          <cell r="A242" t="str">
            <v>Tuvalu</v>
          </cell>
        </row>
        <row r="243">
          <cell r="A243" t="str">
            <v>U.S. Outlying Islands</v>
          </cell>
        </row>
        <row r="244">
          <cell r="A244" t="str">
            <v>Uzbekistan</v>
          </cell>
        </row>
        <row r="245">
          <cell r="A245" t="str">
            <v>Vatican City</v>
          </cell>
        </row>
        <row r="246">
          <cell r="A246" t="str">
            <v>St. Vincent &amp; Grenadines</v>
          </cell>
        </row>
        <row r="247">
          <cell r="A247" t="str">
            <v>British Virgin Islands</v>
          </cell>
        </row>
        <row r="248">
          <cell r="A248" t="str">
            <v>U.S. Virgin Islands</v>
          </cell>
        </row>
        <row r="249">
          <cell r="A249" t="str">
            <v>Vanuatu</v>
          </cell>
        </row>
        <row r="250">
          <cell r="A250" t="str">
            <v>Wallis &amp; Futuna</v>
          </cell>
        </row>
        <row r="251">
          <cell r="A251" t="str">
            <v>Samoa</v>
          </cell>
        </row>
        <row r="252">
          <cell r="A252" t="str">
            <v>Yemen</v>
          </cell>
        </row>
        <row r="253">
          <cell r="A253" t="str">
            <v>Zimbabwe</v>
          </cell>
        </row>
      </sheetData>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37)"/>
    </sheetNames>
    <sheetDataSet>
      <sheetData sheetId="0" refreshError="1">
        <row r="1">
          <cell r="A1" t="str">
            <v>Kategori: TÃ¼m kategoriler</v>
          </cell>
        </row>
        <row r="3">
          <cell r="A3" t="str">
            <v>Ãœlke</v>
          </cell>
          <cell r="B3" t="str">
            <v>Boru hattÄ±: (2018)</v>
          </cell>
          <cell r="C3" t="str">
            <v>B-aÄŸacÄ±: (2018)</v>
          </cell>
        </row>
        <row r="4">
          <cell r="A4" t="str">
            <v>China</v>
          </cell>
          <cell r="B4">
            <v>0.13</v>
          </cell>
          <cell r="C4">
            <v>0.87</v>
          </cell>
        </row>
        <row r="5">
          <cell r="A5" t="str">
            <v>Angola</v>
          </cell>
          <cell r="B5">
            <v>1</v>
          </cell>
        </row>
        <row r="6">
          <cell r="A6" t="str">
            <v>Portugal</v>
          </cell>
          <cell r="B6">
            <v>0.94</v>
          </cell>
          <cell r="C6">
            <v>0.06</v>
          </cell>
        </row>
        <row r="7">
          <cell r="A7" t="str">
            <v>Mozambique</v>
          </cell>
          <cell r="B7">
            <v>1</v>
          </cell>
        </row>
        <row r="8">
          <cell r="A8" t="str">
            <v>Brazil</v>
          </cell>
          <cell r="B8">
            <v>0.94</v>
          </cell>
          <cell r="C8">
            <v>0.06</v>
          </cell>
        </row>
        <row r="9">
          <cell r="A9" t="str">
            <v>Czechia</v>
          </cell>
          <cell r="B9">
            <v>0.83</v>
          </cell>
          <cell r="C9">
            <v>0.17</v>
          </cell>
        </row>
        <row r="10">
          <cell r="A10" t="str">
            <v>Costa Rica</v>
          </cell>
        </row>
        <row r="11">
          <cell r="A11" t="str">
            <v>Bolivia</v>
          </cell>
          <cell r="B11">
            <v>1</v>
          </cell>
        </row>
        <row r="12">
          <cell r="A12" t="str">
            <v>Spain</v>
          </cell>
          <cell r="B12">
            <v>0.93</v>
          </cell>
          <cell r="C12">
            <v>7.0000000000000007E-2</v>
          </cell>
        </row>
        <row r="13">
          <cell r="A13" t="str">
            <v>Peru</v>
          </cell>
          <cell r="B13">
            <v>0.91</v>
          </cell>
          <cell r="C13">
            <v>0.09</v>
          </cell>
        </row>
        <row r="14">
          <cell r="A14" t="str">
            <v>South Korea</v>
          </cell>
          <cell r="B14">
            <v>0.13</v>
          </cell>
          <cell r="C14">
            <v>0.87</v>
          </cell>
        </row>
        <row r="15">
          <cell r="A15" t="str">
            <v>Panama</v>
          </cell>
          <cell r="B15">
            <v>1</v>
          </cell>
        </row>
        <row r="16">
          <cell r="A16" t="str">
            <v>Chile</v>
          </cell>
          <cell r="B16">
            <v>0.93</v>
          </cell>
          <cell r="C16">
            <v>7.0000000000000007E-2</v>
          </cell>
        </row>
        <row r="17">
          <cell r="A17" t="str">
            <v>Uruguay</v>
          </cell>
          <cell r="B17">
            <v>1</v>
          </cell>
        </row>
        <row r="18">
          <cell r="A18" t="str">
            <v>Colombia</v>
          </cell>
          <cell r="B18">
            <v>0.91</v>
          </cell>
          <cell r="C18">
            <v>0.09</v>
          </cell>
        </row>
        <row r="19">
          <cell r="A19" t="str">
            <v>Mexico</v>
          </cell>
          <cell r="B19">
            <v>0.92</v>
          </cell>
          <cell r="C19">
            <v>0.08</v>
          </cell>
        </row>
        <row r="20">
          <cell r="A20" t="str">
            <v>St. Helena</v>
          </cell>
          <cell r="B20">
            <v>0.48</v>
          </cell>
          <cell r="C20">
            <v>0.52</v>
          </cell>
        </row>
        <row r="21">
          <cell r="A21" t="str">
            <v>Ecuador</v>
          </cell>
          <cell r="B21">
            <v>0.83</v>
          </cell>
          <cell r="C21">
            <v>0.17</v>
          </cell>
        </row>
        <row r="22">
          <cell r="A22" t="str">
            <v>India</v>
          </cell>
          <cell r="B22">
            <v>0.26</v>
          </cell>
          <cell r="C22">
            <v>0.74</v>
          </cell>
        </row>
        <row r="23">
          <cell r="A23" t="str">
            <v>Argentina</v>
          </cell>
          <cell r="B23">
            <v>0.9</v>
          </cell>
          <cell r="C23">
            <v>0.1</v>
          </cell>
        </row>
        <row r="24">
          <cell r="A24" t="str">
            <v>Greece</v>
          </cell>
          <cell r="B24">
            <v>0.8</v>
          </cell>
          <cell r="C24">
            <v>0.2</v>
          </cell>
        </row>
        <row r="25">
          <cell r="A25" t="str">
            <v>Iran</v>
          </cell>
        </row>
        <row r="26">
          <cell r="A26" t="str">
            <v>Israel</v>
          </cell>
          <cell r="B26">
            <v>0.17</v>
          </cell>
          <cell r="C26">
            <v>0.83</v>
          </cell>
        </row>
        <row r="27">
          <cell r="A27" t="str">
            <v>Cyprus</v>
          </cell>
        </row>
        <row r="28">
          <cell r="A28" t="str">
            <v>Guatemala</v>
          </cell>
          <cell r="B28">
            <v>0.65</v>
          </cell>
          <cell r="C28">
            <v>0.35</v>
          </cell>
        </row>
        <row r="29">
          <cell r="A29" t="str">
            <v>Pakistan</v>
          </cell>
          <cell r="B29">
            <v>0.28000000000000003</v>
          </cell>
          <cell r="C29">
            <v>0.72</v>
          </cell>
        </row>
        <row r="30">
          <cell r="A30" t="str">
            <v>Slovenia</v>
          </cell>
          <cell r="C30">
            <v>1</v>
          </cell>
        </row>
        <row r="31">
          <cell r="A31" t="str">
            <v>Singapore</v>
          </cell>
          <cell r="C31">
            <v>1</v>
          </cell>
        </row>
        <row r="32">
          <cell r="A32" t="str">
            <v>Dominican Republic</v>
          </cell>
          <cell r="B32">
            <v>1</v>
          </cell>
        </row>
        <row r="33">
          <cell r="A33" t="str">
            <v>Kenya</v>
          </cell>
          <cell r="B33">
            <v>1</v>
          </cell>
        </row>
        <row r="34">
          <cell r="A34" t="str">
            <v>Hong Kong</v>
          </cell>
        </row>
        <row r="35">
          <cell r="A35" t="str">
            <v>Taiwan</v>
          </cell>
          <cell r="B35">
            <v>0.34</v>
          </cell>
          <cell r="C35">
            <v>0.66</v>
          </cell>
        </row>
        <row r="36">
          <cell r="A36" t="str">
            <v>Sri Lanka</v>
          </cell>
          <cell r="B36">
            <v>0.52</v>
          </cell>
          <cell r="C36">
            <v>0.48</v>
          </cell>
        </row>
        <row r="37">
          <cell r="A37" t="str">
            <v>Venezuela</v>
          </cell>
          <cell r="B37">
            <v>0.83</v>
          </cell>
          <cell r="C37">
            <v>0.17</v>
          </cell>
        </row>
        <row r="38">
          <cell r="A38" t="str">
            <v>Serbia</v>
          </cell>
          <cell r="C38">
            <v>1</v>
          </cell>
        </row>
        <row r="39">
          <cell r="A39" t="str">
            <v>Austria</v>
          </cell>
          <cell r="B39">
            <v>0.28999999999999998</v>
          </cell>
          <cell r="C39">
            <v>0.71</v>
          </cell>
        </row>
        <row r="40">
          <cell r="A40" t="str">
            <v>Germany</v>
          </cell>
          <cell r="B40">
            <v>0.34</v>
          </cell>
          <cell r="C40">
            <v>0.66</v>
          </cell>
        </row>
        <row r="41">
          <cell r="A41" t="str">
            <v>Croatia</v>
          </cell>
          <cell r="C41">
            <v>1</v>
          </cell>
        </row>
        <row r="42">
          <cell r="A42" t="str">
            <v>United States</v>
          </cell>
          <cell r="B42">
            <v>0.28000000000000003</v>
          </cell>
          <cell r="C42">
            <v>0.72</v>
          </cell>
        </row>
        <row r="43">
          <cell r="A43" t="str">
            <v>Russia</v>
          </cell>
          <cell r="B43">
            <v>0.13</v>
          </cell>
          <cell r="C43">
            <v>0.87</v>
          </cell>
        </row>
        <row r="44">
          <cell r="A44" t="str">
            <v>Denmark</v>
          </cell>
          <cell r="C44">
            <v>1</v>
          </cell>
        </row>
        <row r="45">
          <cell r="A45" t="str">
            <v>Bangladesh</v>
          </cell>
          <cell r="B45">
            <v>0.34</v>
          </cell>
          <cell r="C45">
            <v>0.66</v>
          </cell>
        </row>
        <row r="46">
          <cell r="A46" t="str">
            <v>Canada</v>
          </cell>
          <cell r="B46">
            <v>0.25</v>
          </cell>
          <cell r="C46">
            <v>0.75</v>
          </cell>
        </row>
        <row r="47">
          <cell r="A47" t="str">
            <v>Sudan</v>
          </cell>
        </row>
        <row r="48">
          <cell r="A48" t="str">
            <v>Switzerland</v>
          </cell>
          <cell r="B48">
            <v>0.31</v>
          </cell>
          <cell r="C48">
            <v>0.69</v>
          </cell>
        </row>
        <row r="49">
          <cell r="A49" t="str">
            <v>Japan</v>
          </cell>
          <cell r="B49">
            <v>0.27</v>
          </cell>
          <cell r="C49">
            <v>0.73</v>
          </cell>
        </row>
        <row r="50">
          <cell r="A50" t="str">
            <v>Ireland</v>
          </cell>
          <cell r="C50">
            <v>1</v>
          </cell>
        </row>
        <row r="51">
          <cell r="A51" t="str">
            <v>Romania</v>
          </cell>
        </row>
        <row r="52">
          <cell r="A52" t="str">
            <v>Lithuania</v>
          </cell>
        </row>
        <row r="53">
          <cell r="A53" t="str">
            <v>Hungary</v>
          </cell>
        </row>
        <row r="54">
          <cell r="A54" t="str">
            <v>New Zealand</v>
          </cell>
          <cell r="C54">
            <v>1</v>
          </cell>
        </row>
        <row r="55">
          <cell r="A55" t="str">
            <v>Belgium</v>
          </cell>
          <cell r="B55">
            <v>0.28000000000000003</v>
          </cell>
          <cell r="C55">
            <v>0.72</v>
          </cell>
        </row>
        <row r="56">
          <cell r="A56" t="str">
            <v>Netherlands</v>
          </cell>
          <cell r="B56">
            <v>0.37</v>
          </cell>
          <cell r="C56">
            <v>0.63</v>
          </cell>
        </row>
        <row r="57">
          <cell r="A57" t="str">
            <v>Norway</v>
          </cell>
          <cell r="C57">
            <v>1</v>
          </cell>
        </row>
        <row r="58">
          <cell r="A58" t="str">
            <v>Poland</v>
          </cell>
        </row>
        <row r="59">
          <cell r="A59" t="str">
            <v>Sweden</v>
          </cell>
          <cell r="C59">
            <v>1</v>
          </cell>
        </row>
        <row r="60">
          <cell r="A60" t="str">
            <v>Belarus</v>
          </cell>
          <cell r="C60">
            <v>1</v>
          </cell>
        </row>
        <row r="61">
          <cell r="A61" t="str">
            <v>Ukraine</v>
          </cell>
          <cell r="C61">
            <v>1</v>
          </cell>
        </row>
        <row r="62">
          <cell r="A62" t="str">
            <v>Vietnam</v>
          </cell>
          <cell r="B62">
            <v>0.16</v>
          </cell>
          <cell r="C62">
            <v>0.84</v>
          </cell>
        </row>
        <row r="63">
          <cell r="A63" t="str">
            <v>United Kingdom</v>
          </cell>
          <cell r="B63">
            <v>0.23</v>
          </cell>
          <cell r="C63">
            <v>0.77</v>
          </cell>
        </row>
        <row r="64">
          <cell r="A64" t="str">
            <v>Italy</v>
          </cell>
          <cell r="B64">
            <v>0.37</v>
          </cell>
          <cell r="C64">
            <v>0.63</v>
          </cell>
        </row>
        <row r="65">
          <cell r="A65" t="str">
            <v>Algeria</v>
          </cell>
          <cell r="C65">
            <v>1</v>
          </cell>
        </row>
        <row r="66">
          <cell r="A66" t="str">
            <v>Bulgaria</v>
          </cell>
          <cell r="C66">
            <v>1</v>
          </cell>
        </row>
        <row r="67">
          <cell r="A67" t="str">
            <v>Australia</v>
          </cell>
          <cell r="B67">
            <v>0.24</v>
          </cell>
          <cell r="C67">
            <v>0.76</v>
          </cell>
        </row>
        <row r="68">
          <cell r="A68" t="str">
            <v>South Africa</v>
          </cell>
        </row>
        <row r="69">
          <cell r="A69" t="str">
            <v>Philippines</v>
          </cell>
          <cell r="B69">
            <v>0.36</v>
          </cell>
          <cell r="C69">
            <v>0.64</v>
          </cell>
        </row>
        <row r="70">
          <cell r="A70" t="str">
            <v>Egypt</v>
          </cell>
          <cell r="C70">
            <v>1</v>
          </cell>
        </row>
        <row r="71">
          <cell r="A71" t="str">
            <v>Nigeria</v>
          </cell>
        </row>
        <row r="72">
          <cell r="A72" t="str">
            <v>United Arab Emirates</v>
          </cell>
          <cell r="C72">
            <v>1</v>
          </cell>
        </row>
        <row r="73">
          <cell r="A73" t="str">
            <v>Finland</v>
          </cell>
          <cell r="C73">
            <v>1</v>
          </cell>
        </row>
        <row r="74">
          <cell r="A74" t="str">
            <v>Malaysia</v>
          </cell>
          <cell r="B74">
            <v>0.46</v>
          </cell>
          <cell r="C74">
            <v>0.54</v>
          </cell>
        </row>
        <row r="75">
          <cell r="A75" t="str">
            <v>France</v>
          </cell>
          <cell r="B75">
            <v>0.42</v>
          </cell>
          <cell r="C75">
            <v>0.57999999999999996</v>
          </cell>
        </row>
        <row r="76">
          <cell r="A76" t="str">
            <v>Indonesia</v>
          </cell>
          <cell r="B76">
            <v>0.13</v>
          </cell>
          <cell r="C76">
            <v>0.87</v>
          </cell>
        </row>
        <row r="77">
          <cell r="A77" t="str">
            <v>Saudi Arabia</v>
          </cell>
          <cell r="B77">
            <v>0.43</v>
          </cell>
          <cell r="C77">
            <v>0.56999999999999995</v>
          </cell>
        </row>
        <row r="78">
          <cell r="A78" t="str">
            <v>Turkey</v>
          </cell>
          <cell r="B78">
            <v>0.39</v>
          </cell>
          <cell r="C78">
            <v>0.61</v>
          </cell>
        </row>
        <row r="79">
          <cell r="A79" t="str">
            <v>Thailand</v>
          </cell>
        </row>
        <row r="80">
          <cell r="A80" t="str">
            <v>Equatorial Guinea</v>
          </cell>
        </row>
        <row r="81">
          <cell r="A81" t="str">
            <v>Gibraltar</v>
          </cell>
        </row>
        <row r="82">
          <cell r="A82" t="str">
            <v>Timor-Leste</v>
          </cell>
        </row>
        <row r="83">
          <cell r="A83" t="str">
            <v>Cape Verde</v>
          </cell>
        </row>
        <row r="84">
          <cell r="A84" t="str">
            <v>Benin</v>
          </cell>
        </row>
        <row r="85">
          <cell r="A85" t="str">
            <v>Lesotho</v>
          </cell>
        </row>
        <row r="86">
          <cell r="A86" t="str">
            <v>Aruba</v>
          </cell>
        </row>
        <row r="87">
          <cell r="A87" t="str">
            <v>CuraÃ§ao</v>
          </cell>
        </row>
        <row r="88">
          <cell r="A88" t="str">
            <v>Mongolia</v>
          </cell>
        </row>
        <row r="89">
          <cell r="A89" t="str">
            <v>Togo</v>
          </cell>
        </row>
        <row r="90">
          <cell r="A90" t="str">
            <v>Cuba</v>
          </cell>
        </row>
        <row r="91">
          <cell r="A91" t="str">
            <v>Turkmenistan</v>
          </cell>
        </row>
        <row r="92">
          <cell r="A92" t="str">
            <v>Zimbabwe</v>
          </cell>
        </row>
        <row r="93">
          <cell r="A93" t="str">
            <v>Guam</v>
          </cell>
        </row>
        <row r="94">
          <cell r="A94" t="str">
            <v>Jersey</v>
          </cell>
        </row>
        <row r="95">
          <cell r="A95" t="str">
            <v>Ethiopia</v>
          </cell>
        </row>
        <row r="96">
          <cell r="A96" t="str">
            <v>Luxembourg</v>
          </cell>
        </row>
        <row r="97">
          <cell r="A97" t="str">
            <v>Cameroon</v>
          </cell>
        </row>
        <row r="98">
          <cell r="A98" t="str">
            <v>El Salvador</v>
          </cell>
        </row>
        <row r="99">
          <cell r="A99" t="str">
            <v>Namibia</v>
          </cell>
        </row>
        <row r="100">
          <cell r="A100" t="str">
            <v>Honduras</v>
          </cell>
        </row>
        <row r="101">
          <cell r="A101" t="str">
            <v>Burkina Faso</v>
          </cell>
        </row>
        <row r="102">
          <cell r="A102" t="str">
            <v>CÃ´te dâ€™Ivoire</v>
          </cell>
        </row>
        <row r="103">
          <cell r="A103" t="str">
            <v>Madagascar</v>
          </cell>
        </row>
        <row r="104">
          <cell r="A104" t="str">
            <v>Macao</v>
          </cell>
        </row>
        <row r="105">
          <cell r="A105" t="str">
            <v>Puerto Rico</v>
          </cell>
        </row>
        <row r="106">
          <cell r="A106" t="str">
            <v>Nepal</v>
          </cell>
        </row>
        <row r="107">
          <cell r="A107" t="str">
            <v>Paraguay</v>
          </cell>
        </row>
        <row r="108">
          <cell r="A108" t="str">
            <v>Nicaragua</v>
          </cell>
        </row>
        <row r="109">
          <cell r="A109" t="str">
            <v>Tanzania</v>
          </cell>
        </row>
        <row r="110">
          <cell r="A110" t="str">
            <v>Tunisia</v>
          </cell>
        </row>
        <row r="111">
          <cell r="A111" t="str">
            <v>Kosovo</v>
          </cell>
        </row>
        <row r="112">
          <cell r="A112" t="str">
            <v>Armenia</v>
          </cell>
        </row>
        <row r="113">
          <cell r="A113" t="str">
            <v>Mauritius</v>
          </cell>
        </row>
        <row r="114">
          <cell r="A114" t="str">
            <v>Senegal</v>
          </cell>
        </row>
        <row r="115">
          <cell r="A115" t="str">
            <v>Zambia</v>
          </cell>
        </row>
        <row r="116">
          <cell r="A116" t="str">
            <v>Libya</v>
          </cell>
        </row>
        <row r="117">
          <cell r="A117" t="str">
            <v>Qatar</v>
          </cell>
        </row>
        <row r="118">
          <cell r="A118" t="str">
            <v>Palestine</v>
          </cell>
        </row>
        <row r="119">
          <cell r="A119" t="str">
            <v>Uganda</v>
          </cell>
        </row>
        <row r="120">
          <cell r="A120" t="str">
            <v>Albania</v>
          </cell>
        </row>
        <row r="121">
          <cell r="A121" t="str">
            <v>Myanmar (Burma)</v>
          </cell>
        </row>
        <row r="122">
          <cell r="A122" t="str">
            <v>Lebanon</v>
          </cell>
        </row>
        <row r="123">
          <cell r="A123" t="str">
            <v>Azerbaijan</v>
          </cell>
        </row>
        <row r="124">
          <cell r="A124" t="str">
            <v>Ghana</v>
          </cell>
        </row>
        <row r="125">
          <cell r="A125" t="str">
            <v>Jordan</v>
          </cell>
        </row>
        <row r="126">
          <cell r="A126" t="str">
            <v>Bosnia &amp; Herzegovina</v>
          </cell>
        </row>
        <row r="127">
          <cell r="A127" t="str">
            <v>Oman</v>
          </cell>
        </row>
        <row r="128">
          <cell r="A128" t="str">
            <v>Moldova</v>
          </cell>
        </row>
        <row r="129">
          <cell r="A129" t="str">
            <v>Kyrgyzstan</v>
          </cell>
        </row>
        <row r="130">
          <cell r="A130" t="str">
            <v>Georgia</v>
          </cell>
        </row>
        <row r="131">
          <cell r="A131" t="str">
            <v>Latvia</v>
          </cell>
        </row>
        <row r="132">
          <cell r="A132" t="str">
            <v>Slovakia</v>
          </cell>
        </row>
        <row r="133">
          <cell r="A133" t="str">
            <v>Iraq</v>
          </cell>
        </row>
        <row r="134">
          <cell r="A134" t="str">
            <v>Morocco</v>
          </cell>
        </row>
        <row r="135">
          <cell r="A135" t="str">
            <v>Kazakhstan</v>
          </cell>
        </row>
        <row r="136">
          <cell r="A136" t="str">
            <v>Afghanistan</v>
          </cell>
        </row>
        <row r="137">
          <cell r="A137" t="str">
            <v>Anguilla</v>
          </cell>
        </row>
        <row r="138">
          <cell r="A138" t="str">
            <v>Ã…land Islands</v>
          </cell>
        </row>
        <row r="139">
          <cell r="A139" t="str">
            <v>Andorra</v>
          </cell>
        </row>
        <row r="140">
          <cell r="A140" t="str">
            <v>American Samoa</v>
          </cell>
        </row>
        <row r="141">
          <cell r="A141" t="str">
            <v>Antarctica</v>
          </cell>
        </row>
        <row r="142">
          <cell r="A142" t="str">
            <v>French Southern Territories</v>
          </cell>
        </row>
        <row r="143">
          <cell r="A143" t="str">
            <v>Antigua &amp; Barbuda</v>
          </cell>
        </row>
        <row r="144">
          <cell r="A144" t="str">
            <v>Burundi</v>
          </cell>
        </row>
        <row r="145">
          <cell r="A145" t="str">
            <v>Caribbean Netherlands</v>
          </cell>
        </row>
        <row r="146">
          <cell r="A146" t="str">
            <v>Bahrain</v>
          </cell>
        </row>
        <row r="147">
          <cell r="A147" t="str">
            <v>Bahamas</v>
          </cell>
        </row>
        <row r="148">
          <cell r="A148" t="str">
            <v>St. BarthÃ©lemy</v>
          </cell>
        </row>
        <row r="149">
          <cell r="A149" t="str">
            <v>Belize</v>
          </cell>
        </row>
        <row r="150">
          <cell r="A150" t="str">
            <v>Bermuda</v>
          </cell>
        </row>
        <row r="151">
          <cell r="A151" t="str">
            <v>Barbados</v>
          </cell>
        </row>
        <row r="152">
          <cell r="A152" t="str">
            <v>Brunei</v>
          </cell>
        </row>
        <row r="153">
          <cell r="A153" t="str">
            <v>Bhutan</v>
          </cell>
        </row>
        <row r="154">
          <cell r="A154" t="str">
            <v>Bouvet Island</v>
          </cell>
        </row>
        <row r="155">
          <cell r="A155" t="str">
            <v>Botswana</v>
          </cell>
        </row>
        <row r="156">
          <cell r="A156" t="str">
            <v>Central African Republic</v>
          </cell>
        </row>
        <row r="157">
          <cell r="A157" t="str">
            <v>Cocos (Keeling) Islands</v>
          </cell>
        </row>
        <row r="158">
          <cell r="A158" t="str">
            <v>Congo - Kinshasa</v>
          </cell>
        </row>
        <row r="159">
          <cell r="A159" t="str">
            <v>Congo - Brazzaville</v>
          </cell>
        </row>
        <row r="160">
          <cell r="A160" t="str">
            <v>Cook Islands</v>
          </cell>
        </row>
        <row r="161">
          <cell r="A161" t="str">
            <v>Comoros</v>
          </cell>
        </row>
        <row r="162">
          <cell r="A162" t="str">
            <v>Christmas Island</v>
          </cell>
        </row>
        <row r="163">
          <cell r="A163" t="str">
            <v>Cayman Islands</v>
          </cell>
        </row>
        <row r="164">
          <cell r="A164" t="str">
            <v>Djibouti</v>
          </cell>
        </row>
        <row r="165">
          <cell r="A165" t="str">
            <v>Dominica</v>
          </cell>
        </row>
        <row r="166">
          <cell r="A166" t="str">
            <v>Eritrea</v>
          </cell>
        </row>
        <row r="167">
          <cell r="A167" t="str">
            <v>Western Sahara</v>
          </cell>
        </row>
        <row r="168">
          <cell r="A168" t="str">
            <v>Estonia</v>
          </cell>
        </row>
        <row r="169">
          <cell r="A169" t="str">
            <v>Fiji</v>
          </cell>
        </row>
        <row r="170">
          <cell r="A170" t="str">
            <v>Falkland Islands (Islas Malvinas)</v>
          </cell>
        </row>
        <row r="171">
          <cell r="A171" t="str">
            <v>Faroe Islands</v>
          </cell>
        </row>
        <row r="172">
          <cell r="A172" t="str">
            <v>Micronesia</v>
          </cell>
        </row>
        <row r="173">
          <cell r="A173" t="str">
            <v>Gabon</v>
          </cell>
        </row>
        <row r="174">
          <cell r="A174" t="str">
            <v>Guernsey</v>
          </cell>
        </row>
        <row r="175">
          <cell r="A175" t="str">
            <v>Guinea</v>
          </cell>
        </row>
        <row r="176">
          <cell r="A176" t="str">
            <v>Guadeloupe</v>
          </cell>
        </row>
        <row r="177">
          <cell r="A177" t="str">
            <v>Gambia</v>
          </cell>
        </row>
        <row r="178">
          <cell r="A178" t="str">
            <v>Guinea-Bissau</v>
          </cell>
        </row>
        <row r="179">
          <cell r="A179" t="str">
            <v>Grenada</v>
          </cell>
        </row>
        <row r="180">
          <cell r="A180" t="str">
            <v>Greenland</v>
          </cell>
        </row>
        <row r="181">
          <cell r="A181" t="str">
            <v>French Guiana</v>
          </cell>
        </row>
        <row r="182">
          <cell r="A182" t="str">
            <v>Guyana</v>
          </cell>
        </row>
        <row r="183">
          <cell r="A183" t="str">
            <v>Heard &amp; McDonald Islands</v>
          </cell>
        </row>
        <row r="184">
          <cell r="A184" t="str">
            <v>Haiti</v>
          </cell>
        </row>
        <row r="185">
          <cell r="A185" t="str">
            <v>Isle of Man</v>
          </cell>
        </row>
        <row r="186">
          <cell r="A186" t="str">
            <v>British Indian Ocean Territory</v>
          </cell>
        </row>
        <row r="187">
          <cell r="A187" t="str">
            <v>Iceland</v>
          </cell>
        </row>
        <row r="188">
          <cell r="A188" t="str">
            <v>Jamaica</v>
          </cell>
        </row>
        <row r="189">
          <cell r="A189" t="str">
            <v>Cambodia</v>
          </cell>
        </row>
        <row r="190">
          <cell r="A190" t="str">
            <v>Kiribati</v>
          </cell>
        </row>
        <row r="191">
          <cell r="A191" t="str">
            <v>St. Kitts &amp; Nevis</v>
          </cell>
        </row>
        <row r="192">
          <cell r="A192" t="str">
            <v>Kuwait</v>
          </cell>
        </row>
        <row r="193">
          <cell r="A193" t="str">
            <v>Laos</v>
          </cell>
        </row>
        <row r="194">
          <cell r="A194" t="str">
            <v>Liberia</v>
          </cell>
        </row>
        <row r="195">
          <cell r="A195" t="str">
            <v>St. Lucia</v>
          </cell>
        </row>
        <row r="196">
          <cell r="A196" t="str">
            <v>Liechtenstein</v>
          </cell>
        </row>
        <row r="197">
          <cell r="A197" t="str">
            <v>St. Martin</v>
          </cell>
        </row>
        <row r="198">
          <cell r="A198" t="str">
            <v>Monaco</v>
          </cell>
        </row>
        <row r="199">
          <cell r="A199" t="str">
            <v>Maldives</v>
          </cell>
        </row>
        <row r="200">
          <cell r="A200" t="str">
            <v>Marshall Islands</v>
          </cell>
        </row>
        <row r="201">
          <cell r="A201" t="str">
            <v>North Macedonia</v>
          </cell>
        </row>
        <row r="202">
          <cell r="A202" t="str">
            <v>Mali</v>
          </cell>
        </row>
        <row r="203">
          <cell r="A203" t="str">
            <v>Malta</v>
          </cell>
        </row>
        <row r="204">
          <cell r="A204" t="str">
            <v>Montenegro</v>
          </cell>
        </row>
        <row r="205">
          <cell r="A205" t="str">
            <v>Northern Mariana Islands</v>
          </cell>
        </row>
        <row r="206">
          <cell r="A206" t="str">
            <v>Mauritania</v>
          </cell>
        </row>
        <row r="207">
          <cell r="A207" t="str">
            <v>Montserrat</v>
          </cell>
        </row>
        <row r="208">
          <cell r="A208" t="str">
            <v>Martinique</v>
          </cell>
        </row>
        <row r="209">
          <cell r="A209" t="str">
            <v>Malawi</v>
          </cell>
        </row>
        <row r="210">
          <cell r="A210" t="str">
            <v>Mayotte</v>
          </cell>
        </row>
        <row r="211">
          <cell r="A211" t="str">
            <v>New Caledonia</v>
          </cell>
        </row>
        <row r="212">
          <cell r="A212" t="str">
            <v>Niger</v>
          </cell>
        </row>
        <row r="213">
          <cell r="A213" t="str">
            <v>Norfolk Island</v>
          </cell>
        </row>
        <row r="214">
          <cell r="A214" t="str">
            <v>Niue</v>
          </cell>
        </row>
        <row r="215">
          <cell r="A215" t="str">
            <v>Nauru</v>
          </cell>
        </row>
        <row r="216">
          <cell r="A216" t="str">
            <v>Pitcairn Islands</v>
          </cell>
        </row>
        <row r="217">
          <cell r="A217" t="str">
            <v>Palau</v>
          </cell>
        </row>
        <row r="218">
          <cell r="A218" t="str">
            <v>Papua New Guinea</v>
          </cell>
        </row>
        <row r="219">
          <cell r="A219" t="str">
            <v>North Korea</v>
          </cell>
        </row>
        <row r="220">
          <cell r="A220" t="str">
            <v>French Polynesia</v>
          </cell>
        </row>
        <row r="221">
          <cell r="A221" t="str">
            <v>RÃ©union</v>
          </cell>
        </row>
        <row r="222">
          <cell r="A222" t="str">
            <v>Rwanda</v>
          </cell>
        </row>
        <row r="223">
          <cell r="A223" t="str">
            <v>South Georgia &amp; South Sandwich Islands</v>
          </cell>
        </row>
        <row r="224">
          <cell r="A224" t="str">
            <v>Svalbard &amp; Jan Mayen</v>
          </cell>
        </row>
        <row r="225">
          <cell r="A225" t="str">
            <v>Solomon Islands</v>
          </cell>
        </row>
        <row r="226">
          <cell r="A226" t="str">
            <v>Sierra Leone</v>
          </cell>
        </row>
        <row r="227">
          <cell r="A227" t="str">
            <v>San Marino</v>
          </cell>
        </row>
        <row r="228">
          <cell r="A228" t="str">
            <v>Somalia</v>
          </cell>
        </row>
        <row r="229">
          <cell r="A229" t="str">
            <v>St. Pierre &amp; Miquelon</v>
          </cell>
        </row>
        <row r="230">
          <cell r="A230" t="str">
            <v>South Sudan</v>
          </cell>
        </row>
        <row r="231">
          <cell r="A231" t="str">
            <v>SÃ£o TomÃ© &amp; PrÃ­ncipe</v>
          </cell>
        </row>
        <row r="232">
          <cell r="A232" t="str">
            <v>Suriname</v>
          </cell>
        </row>
        <row r="233">
          <cell r="A233" t="str">
            <v>Eswatini</v>
          </cell>
        </row>
        <row r="234">
          <cell r="A234" t="str">
            <v>Sint Maarten</v>
          </cell>
        </row>
        <row r="235">
          <cell r="A235" t="str">
            <v>Seychelles</v>
          </cell>
        </row>
        <row r="236">
          <cell r="A236" t="str">
            <v>Syria</v>
          </cell>
        </row>
        <row r="237">
          <cell r="A237" t="str">
            <v>Turks &amp; Caicos Islands</v>
          </cell>
        </row>
        <row r="238">
          <cell r="A238" t="str">
            <v>Chad</v>
          </cell>
        </row>
        <row r="239">
          <cell r="A239" t="str">
            <v>Tajikistan</v>
          </cell>
        </row>
        <row r="240">
          <cell r="A240" t="str">
            <v>Tokelau</v>
          </cell>
        </row>
        <row r="241">
          <cell r="A241" t="str">
            <v>Tonga</v>
          </cell>
        </row>
        <row r="242">
          <cell r="A242" t="str">
            <v>Trinidad &amp; Tobago</v>
          </cell>
        </row>
        <row r="243">
          <cell r="A243" t="str">
            <v>Tuvalu</v>
          </cell>
        </row>
        <row r="244">
          <cell r="A244" t="str">
            <v>U.S. Outlying Islands</v>
          </cell>
        </row>
        <row r="245">
          <cell r="A245" t="str">
            <v>Uzbekistan</v>
          </cell>
        </row>
        <row r="246">
          <cell r="A246" t="str">
            <v>Vatican City</v>
          </cell>
        </row>
        <row r="247">
          <cell r="A247" t="str">
            <v>St. Vincent &amp; Grenadines</v>
          </cell>
        </row>
        <row r="248">
          <cell r="A248" t="str">
            <v>British Virgin Islands</v>
          </cell>
        </row>
        <row r="249">
          <cell r="A249" t="str">
            <v>U.S. Virgin Islands</v>
          </cell>
        </row>
        <row r="250">
          <cell r="A250" t="str">
            <v>Vanuatu</v>
          </cell>
        </row>
        <row r="251">
          <cell r="A251" t="str">
            <v>Wallis &amp; Futuna</v>
          </cell>
        </row>
        <row r="252">
          <cell r="A252" t="str">
            <v>Samoa</v>
          </cell>
        </row>
        <row r="253">
          <cell r="A253" t="str">
            <v>Yemen</v>
          </cell>
        </row>
      </sheetData>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38)"/>
    </sheetNames>
    <sheetDataSet>
      <sheetData sheetId="0" refreshError="1">
        <row r="1">
          <cell r="A1" t="str">
            <v>Kategori: TÃ¼m kategoriler</v>
          </cell>
        </row>
        <row r="3">
          <cell r="A3" t="str">
            <v>Ãœlke</v>
          </cell>
          <cell r="B3" t="str">
            <v>B-aÄŸacÄ±: (2018)</v>
          </cell>
          <cell r="C3" t="str">
            <v>Mutual exclusion: (2018)</v>
          </cell>
        </row>
        <row r="4">
          <cell r="A4" t="str">
            <v>China</v>
          </cell>
          <cell r="B4">
            <v>0.51</v>
          </cell>
          <cell r="C4">
            <v>0.49</v>
          </cell>
        </row>
        <row r="5">
          <cell r="A5" t="str">
            <v>South Korea</v>
          </cell>
          <cell r="B5">
            <v>0.75</v>
          </cell>
          <cell r="C5">
            <v>0.25</v>
          </cell>
        </row>
        <row r="6">
          <cell r="A6" t="str">
            <v>Taiwan</v>
          </cell>
          <cell r="B6">
            <v>0.31</v>
          </cell>
          <cell r="C6">
            <v>0.69</v>
          </cell>
        </row>
        <row r="7">
          <cell r="A7" t="str">
            <v>Israel</v>
          </cell>
          <cell r="B7">
            <v>0.45</v>
          </cell>
          <cell r="C7">
            <v>0.55000000000000004</v>
          </cell>
        </row>
        <row r="8">
          <cell r="A8" t="str">
            <v>India</v>
          </cell>
          <cell r="B8">
            <v>0.73</v>
          </cell>
          <cell r="C8">
            <v>0.27</v>
          </cell>
        </row>
        <row r="9">
          <cell r="A9" t="str">
            <v>St. Helena</v>
          </cell>
          <cell r="B9">
            <v>0.55000000000000004</v>
          </cell>
          <cell r="C9">
            <v>0.45</v>
          </cell>
        </row>
        <row r="10">
          <cell r="A10" t="str">
            <v>Japan</v>
          </cell>
          <cell r="B10">
            <v>0.24</v>
          </cell>
          <cell r="C10">
            <v>0.76</v>
          </cell>
        </row>
        <row r="11">
          <cell r="A11" t="str">
            <v>Zimbabwe</v>
          </cell>
          <cell r="C11">
            <v>1</v>
          </cell>
        </row>
        <row r="12">
          <cell r="A12" t="str">
            <v>Iran</v>
          </cell>
          <cell r="B12">
            <v>0.91</v>
          </cell>
          <cell r="C12">
            <v>0.09</v>
          </cell>
        </row>
        <row r="13">
          <cell r="A13" t="str">
            <v>Belarus</v>
          </cell>
          <cell r="B13">
            <v>0.24</v>
          </cell>
          <cell r="C13">
            <v>0.76</v>
          </cell>
        </row>
        <row r="14">
          <cell r="A14" t="str">
            <v>Czechia</v>
          </cell>
          <cell r="B14">
            <v>0.45</v>
          </cell>
          <cell r="C14">
            <v>0.55000000000000004</v>
          </cell>
        </row>
        <row r="15">
          <cell r="A15" t="str">
            <v>Kenya</v>
          </cell>
          <cell r="C15">
            <v>1</v>
          </cell>
        </row>
        <row r="16">
          <cell r="A16" t="str">
            <v>Cyprus</v>
          </cell>
        </row>
        <row r="17">
          <cell r="A17" t="str">
            <v>Russia</v>
          </cell>
          <cell r="B17">
            <v>0.36</v>
          </cell>
          <cell r="C17">
            <v>0.64</v>
          </cell>
        </row>
        <row r="18">
          <cell r="A18" t="str">
            <v>Germany</v>
          </cell>
          <cell r="B18">
            <v>0.41</v>
          </cell>
          <cell r="C18">
            <v>0.59</v>
          </cell>
        </row>
        <row r="19">
          <cell r="A19" t="str">
            <v>Austria</v>
          </cell>
          <cell r="B19">
            <v>0.46</v>
          </cell>
          <cell r="C19">
            <v>0.54</v>
          </cell>
        </row>
        <row r="20">
          <cell r="A20" t="str">
            <v>Finland</v>
          </cell>
          <cell r="B20">
            <v>0.21</v>
          </cell>
          <cell r="C20">
            <v>0.79</v>
          </cell>
        </row>
        <row r="21">
          <cell r="A21" t="str">
            <v>Pakistan</v>
          </cell>
          <cell r="B21">
            <v>0.59</v>
          </cell>
          <cell r="C21">
            <v>0.41</v>
          </cell>
        </row>
        <row r="22">
          <cell r="A22" t="str">
            <v>Slovenia</v>
          </cell>
          <cell r="B22">
            <v>1</v>
          </cell>
        </row>
        <row r="23">
          <cell r="A23" t="str">
            <v>Singapore</v>
          </cell>
          <cell r="B23">
            <v>0.65</v>
          </cell>
          <cell r="C23">
            <v>0.35</v>
          </cell>
        </row>
        <row r="24">
          <cell r="A24" t="str">
            <v>Hong Kong</v>
          </cell>
          <cell r="B24">
            <v>0.57999999999999996</v>
          </cell>
          <cell r="C24">
            <v>0.42</v>
          </cell>
        </row>
        <row r="25">
          <cell r="A25" t="str">
            <v>Guatemala</v>
          </cell>
        </row>
        <row r="26">
          <cell r="A26" t="str">
            <v>Portugal</v>
          </cell>
          <cell r="B26">
            <v>0.31</v>
          </cell>
          <cell r="C26">
            <v>0.69</v>
          </cell>
        </row>
        <row r="27">
          <cell r="A27" t="str">
            <v>Ukraine</v>
          </cell>
          <cell r="B27">
            <v>0.34</v>
          </cell>
          <cell r="C27">
            <v>0.66</v>
          </cell>
        </row>
        <row r="28">
          <cell r="A28" t="str">
            <v>Algeria</v>
          </cell>
          <cell r="B28">
            <v>0.33</v>
          </cell>
          <cell r="C28">
            <v>0.67</v>
          </cell>
        </row>
        <row r="29">
          <cell r="A29" t="str">
            <v>Sweden</v>
          </cell>
          <cell r="B29">
            <v>0.33</v>
          </cell>
          <cell r="C29">
            <v>0.67</v>
          </cell>
        </row>
        <row r="30">
          <cell r="A30" t="str">
            <v>Norway</v>
          </cell>
          <cell r="B30">
            <v>0.37</v>
          </cell>
          <cell r="C30">
            <v>0.63</v>
          </cell>
        </row>
        <row r="31">
          <cell r="A31" t="str">
            <v>Switzerland</v>
          </cell>
          <cell r="B31">
            <v>0.44</v>
          </cell>
          <cell r="C31">
            <v>0.56000000000000005</v>
          </cell>
        </row>
        <row r="32">
          <cell r="A32" t="str">
            <v>Poland</v>
          </cell>
          <cell r="B32">
            <v>0.37</v>
          </cell>
          <cell r="C32">
            <v>0.63</v>
          </cell>
        </row>
        <row r="33">
          <cell r="A33" t="str">
            <v>Sri Lanka</v>
          </cell>
          <cell r="B33">
            <v>0.68</v>
          </cell>
          <cell r="C33">
            <v>0.32</v>
          </cell>
        </row>
        <row r="34">
          <cell r="A34" t="str">
            <v>Costa Rica</v>
          </cell>
        </row>
        <row r="35">
          <cell r="A35" t="str">
            <v>Nepal</v>
          </cell>
        </row>
        <row r="36">
          <cell r="A36" t="str">
            <v>Serbia</v>
          </cell>
          <cell r="B36">
            <v>0.56999999999999995</v>
          </cell>
          <cell r="C36">
            <v>0.43</v>
          </cell>
        </row>
        <row r="37">
          <cell r="A37" t="str">
            <v>United States</v>
          </cell>
          <cell r="B37">
            <v>0.77</v>
          </cell>
          <cell r="C37">
            <v>0.23</v>
          </cell>
        </row>
        <row r="38">
          <cell r="A38" t="str">
            <v>Hungary</v>
          </cell>
          <cell r="B38">
            <v>0.42</v>
          </cell>
          <cell r="C38">
            <v>0.57999999999999996</v>
          </cell>
        </row>
        <row r="39">
          <cell r="A39" t="str">
            <v>Croatia</v>
          </cell>
          <cell r="B39">
            <v>0.56999999999999995</v>
          </cell>
          <cell r="C39">
            <v>0.43</v>
          </cell>
        </row>
        <row r="40">
          <cell r="A40" t="str">
            <v>Ireland</v>
          </cell>
          <cell r="B40">
            <v>0.57999999999999996</v>
          </cell>
          <cell r="C40">
            <v>0.42</v>
          </cell>
        </row>
        <row r="41">
          <cell r="A41" t="str">
            <v>Sudan</v>
          </cell>
        </row>
        <row r="42">
          <cell r="A42" t="str">
            <v>Canada</v>
          </cell>
          <cell r="B42">
            <v>0.7</v>
          </cell>
          <cell r="C42">
            <v>0.3</v>
          </cell>
        </row>
        <row r="43">
          <cell r="A43" t="str">
            <v>Tunisia</v>
          </cell>
          <cell r="B43">
            <v>0.5</v>
          </cell>
          <cell r="C43">
            <v>0.5</v>
          </cell>
        </row>
        <row r="44">
          <cell r="A44" t="str">
            <v>Denmark</v>
          </cell>
        </row>
        <row r="45">
          <cell r="A45" t="str">
            <v>New Zealand</v>
          </cell>
        </row>
        <row r="46">
          <cell r="A46" t="str">
            <v>Slovakia</v>
          </cell>
          <cell r="C46">
            <v>1</v>
          </cell>
        </row>
        <row r="47">
          <cell r="A47" t="str">
            <v>Netherlands</v>
          </cell>
          <cell r="B47">
            <v>0.44</v>
          </cell>
          <cell r="C47">
            <v>0.56000000000000005</v>
          </cell>
        </row>
        <row r="48">
          <cell r="A48" t="str">
            <v>Italy</v>
          </cell>
          <cell r="B48">
            <v>0.41</v>
          </cell>
          <cell r="C48">
            <v>0.59</v>
          </cell>
        </row>
        <row r="49">
          <cell r="A49" t="str">
            <v>Bangladesh</v>
          </cell>
          <cell r="B49">
            <v>0.56999999999999995</v>
          </cell>
          <cell r="C49">
            <v>0.43</v>
          </cell>
        </row>
        <row r="50">
          <cell r="A50" t="str">
            <v>Greece</v>
          </cell>
          <cell r="B50">
            <v>0.62</v>
          </cell>
          <cell r="C50">
            <v>0.38</v>
          </cell>
        </row>
        <row r="51">
          <cell r="A51" t="str">
            <v>Bolivia</v>
          </cell>
        </row>
        <row r="52">
          <cell r="A52" t="str">
            <v>South Africa</v>
          </cell>
          <cell r="B52">
            <v>0.71</v>
          </cell>
          <cell r="C52">
            <v>0.28999999999999998</v>
          </cell>
        </row>
        <row r="53">
          <cell r="A53" t="str">
            <v>Romania</v>
          </cell>
          <cell r="B53">
            <v>0.74</v>
          </cell>
          <cell r="C53">
            <v>0.26</v>
          </cell>
        </row>
        <row r="54">
          <cell r="A54" t="str">
            <v>Lithuania</v>
          </cell>
        </row>
        <row r="55">
          <cell r="A55" t="str">
            <v>Spain</v>
          </cell>
          <cell r="B55">
            <v>0.34</v>
          </cell>
          <cell r="C55">
            <v>0.66</v>
          </cell>
        </row>
        <row r="56">
          <cell r="A56" t="str">
            <v>Belgium</v>
          </cell>
          <cell r="B56">
            <v>0.6</v>
          </cell>
          <cell r="C56">
            <v>0.4</v>
          </cell>
        </row>
        <row r="57">
          <cell r="A57" t="str">
            <v>Vietnam</v>
          </cell>
          <cell r="B57">
            <v>0.66</v>
          </cell>
          <cell r="C57">
            <v>0.34</v>
          </cell>
        </row>
        <row r="58">
          <cell r="A58" t="str">
            <v>Australia</v>
          </cell>
          <cell r="B58">
            <v>0.69</v>
          </cell>
          <cell r="C58">
            <v>0.31</v>
          </cell>
        </row>
        <row r="59">
          <cell r="A59" t="str">
            <v>Bulgaria</v>
          </cell>
          <cell r="B59">
            <v>0.52</v>
          </cell>
          <cell r="C59">
            <v>0.48</v>
          </cell>
        </row>
        <row r="60">
          <cell r="A60" t="str">
            <v>United Kingdom</v>
          </cell>
          <cell r="B60">
            <v>0.75</v>
          </cell>
          <cell r="C60">
            <v>0.25</v>
          </cell>
        </row>
        <row r="61">
          <cell r="A61" t="str">
            <v>Ecuador</v>
          </cell>
        </row>
        <row r="62">
          <cell r="A62" t="str">
            <v>Brazil</v>
          </cell>
          <cell r="B62">
            <v>0.6</v>
          </cell>
          <cell r="C62">
            <v>0.4</v>
          </cell>
        </row>
        <row r="63">
          <cell r="A63" t="str">
            <v>Nigeria</v>
          </cell>
          <cell r="B63">
            <v>0.52</v>
          </cell>
          <cell r="C63">
            <v>0.48</v>
          </cell>
        </row>
        <row r="64">
          <cell r="A64" t="str">
            <v>Kazakhstan</v>
          </cell>
          <cell r="C64">
            <v>1</v>
          </cell>
        </row>
        <row r="65">
          <cell r="A65" t="str">
            <v>Egypt</v>
          </cell>
        </row>
        <row r="66">
          <cell r="A66" t="str">
            <v>Mexico</v>
          </cell>
          <cell r="B66">
            <v>0.43</v>
          </cell>
          <cell r="C66">
            <v>0.56999999999999995</v>
          </cell>
        </row>
        <row r="67">
          <cell r="A67" t="str">
            <v>France</v>
          </cell>
          <cell r="B67">
            <v>0.49</v>
          </cell>
          <cell r="C67">
            <v>0.51</v>
          </cell>
        </row>
        <row r="68">
          <cell r="A68" t="str">
            <v>Philippines</v>
          </cell>
          <cell r="B68">
            <v>0.71</v>
          </cell>
          <cell r="C68">
            <v>0.28999999999999998</v>
          </cell>
        </row>
        <row r="69">
          <cell r="A69" t="str">
            <v>Malaysia</v>
          </cell>
          <cell r="B69">
            <v>0.55000000000000004</v>
          </cell>
          <cell r="C69">
            <v>0.45</v>
          </cell>
        </row>
        <row r="70">
          <cell r="A70" t="str">
            <v>Saudi Arabia</v>
          </cell>
        </row>
        <row r="71">
          <cell r="A71" t="str">
            <v>Uruguay</v>
          </cell>
        </row>
        <row r="72">
          <cell r="A72" t="str">
            <v>Peru</v>
          </cell>
          <cell r="B72">
            <v>0.56999999999999995</v>
          </cell>
          <cell r="C72">
            <v>0.43</v>
          </cell>
        </row>
        <row r="73">
          <cell r="A73" t="str">
            <v>Chile</v>
          </cell>
          <cell r="B73">
            <v>0.61</v>
          </cell>
          <cell r="C73">
            <v>0.39</v>
          </cell>
        </row>
        <row r="74">
          <cell r="A74" t="str">
            <v>Colombia</v>
          </cell>
          <cell r="B74">
            <v>0.57999999999999996</v>
          </cell>
          <cell r="C74">
            <v>0.42</v>
          </cell>
        </row>
        <row r="75">
          <cell r="A75" t="str">
            <v>Indonesia</v>
          </cell>
          <cell r="B75">
            <v>0.51</v>
          </cell>
          <cell r="C75">
            <v>0.49</v>
          </cell>
        </row>
        <row r="76">
          <cell r="A76" t="str">
            <v>United Arab Emirates</v>
          </cell>
          <cell r="B76">
            <v>0.59</v>
          </cell>
          <cell r="C76">
            <v>0.41</v>
          </cell>
        </row>
        <row r="77">
          <cell r="A77" t="str">
            <v>Argentina</v>
          </cell>
          <cell r="B77">
            <v>0.44</v>
          </cell>
          <cell r="C77">
            <v>0.56000000000000005</v>
          </cell>
        </row>
        <row r="78">
          <cell r="A78" t="str">
            <v>Turkey</v>
          </cell>
          <cell r="B78">
            <v>0.75</v>
          </cell>
          <cell r="C78">
            <v>0.25</v>
          </cell>
        </row>
        <row r="79">
          <cell r="A79" t="str">
            <v>Venezuela</v>
          </cell>
        </row>
        <row r="80">
          <cell r="A80" t="str">
            <v>Thailand</v>
          </cell>
          <cell r="B80">
            <v>0.53</v>
          </cell>
          <cell r="C80">
            <v>0.47</v>
          </cell>
        </row>
        <row r="81">
          <cell r="A81" t="str">
            <v>Greenland</v>
          </cell>
        </row>
        <row r="82">
          <cell r="A82" t="str">
            <v>Bermuda</v>
          </cell>
        </row>
        <row r="83">
          <cell r="A83" t="str">
            <v>Burundi</v>
          </cell>
        </row>
        <row r="84">
          <cell r="A84" t="str">
            <v>Bhutan</v>
          </cell>
        </row>
        <row r="85">
          <cell r="A85" t="str">
            <v>Lesotho</v>
          </cell>
        </row>
        <row r="86">
          <cell r="A86" t="str">
            <v>Andorra</v>
          </cell>
        </row>
        <row r="87">
          <cell r="A87" t="str">
            <v>Niger</v>
          </cell>
        </row>
        <row r="88">
          <cell r="A88" t="str">
            <v>Cuba</v>
          </cell>
        </row>
        <row r="89">
          <cell r="A89" t="str">
            <v>Malawi</v>
          </cell>
        </row>
        <row r="90">
          <cell r="A90" t="str">
            <v>Mauritania</v>
          </cell>
        </row>
        <row r="91">
          <cell r="A91" t="str">
            <v>Afghanistan</v>
          </cell>
        </row>
        <row r="92">
          <cell r="A92" t="str">
            <v>Suriname</v>
          </cell>
        </row>
        <row r="93">
          <cell r="A93" t="str">
            <v>Mozambique</v>
          </cell>
        </row>
        <row r="94">
          <cell r="A94" t="str">
            <v>Ethiopia</v>
          </cell>
        </row>
        <row r="95">
          <cell r="A95" t="str">
            <v>Iceland</v>
          </cell>
        </row>
        <row r="96">
          <cell r="A96" t="str">
            <v>Turkmenistan</v>
          </cell>
        </row>
        <row r="97">
          <cell r="A97" t="str">
            <v>Cameroon</v>
          </cell>
        </row>
        <row r="98">
          <cell r="A98" t="str">
            <v>Mali</v>
          </cell>
        </row>
        <row r="99">
          <cell r="A99" t="str">
            <v>Burkina Faso</v>
          </cell>
        </row>
        <row r="100">
          <cell r="A100" t="str">
            <v>Macao</v>
          </cell>
        </row>
        <row r="101">
          <cell r="A101" t="str">
            <v>Armenia</v>
          </cell>
        </row>
        <row r="102">
          <cell r="A102" t="str">
            <v>Malta</v>
          </cell>
        </row>
        <row r="103">
          <cell r="A103" t="str">
            <v>Syria</v>
          </cell>
        </row>
        <row r="104">
          <cell r="A104" t="str">
            <v>Honduras</v>
          </cell>
        </row>
        <row r="105">
          <cell r="A105" t="str">
            <v>Libya</v>
          </cell>
        </row>
        <row r="106">
          <cell r="A106" t="str">
            <v>Oman</v>
          </cell>
        </row>
        <row r="107">
          <cell r="A107" t="str">
            <v>Angola</v>
          </cell>
        </row>
        <row r="108">
          <cell r="A108" t="str">
            <v>Mongolia</v>
          </cell>
        </row>
        <row r="109">
          <cell r="A109" t="str">
            <v>Montenegro</v>
          </cell>
        </row>
        <row r="110">
          <cell r="A110" t="str">
            <v>Latvia</v>
          </cell>
        </row>
        <row r="111">
          <cell r="A111" t="str">
            <v>Senegal</v>
          </cell>
        </row>
        <row r="112">
          <cell r="A112" t="str">
            <v>Myanmar (Burma)</v>
          </cell>
        </row>
        <row r="113">
          <cell r="A113" t="str">
            <v>Zambia</v>
          </cell>
        </row>
        <row r="114">
          <cell r="A114" t="str">
            <v>Congo - Kinshasa</v>
          </cell>
        </row>
        <row r="115">
          <cell r="A115" t="str">
            <v>Estonia</v>
          </cell>
        </row>
        <row r="116">
          <cell r="A116" t="str">
            <v>Trinidad &amp; Tobago</v>
          </cell>
        </row>
        <row r="117">
          <cell r="A117" t="str">
            <v>Bahrain</v>
          </cell>
        </row>
        <row r="118">
          <cell r="A118" t="str">
            <v>Luxembourg</v>
          </cell>
        </row>
        <row r="119">
          <cell r="A119" t="str">
            <v>Palestine</v>
          </cell>
        </row>
        <row r="120">
          <cell r="A120" t="str">
            <v>Nicaragua</v>
          </cell>
        </row>
        <row r="121">
          <cell r="A121" t="str">
            <v>North Macedonia</v>
          </cell>
        </row>
        <row r="122">
          <cell r="A122" t="str">
            <v>Yemen</v>
          </cell>
        </row>
        <row r="123">
          <cell r="A123" t="str">
            <v>Albania</v>
          </cell>
        </row>
        <row r="124">
          <cell r="A124" t="str">
            <v>CÃ´te dâ€™Ivoire</v>
          </cell>
        </row>
        <row r="125">
          <cell r="A125" t="str">
            <v>Jordan</v>
          </cell>
        </row>
        <row r="126">
          <cell r="A126" t="str">
            <v>Azerbaijan</v>
          </cell>
        </row>
        <row r="127">
          <cell r="A127" t="str">
            <v>Moldova</v>
          </cell>
        </row>
        <row r="128">
          <cell r="A128" t="str">
            <v>Ghana</v>
          </cell>
        </row>
        <row r="129">
          <cell r="A129" t="str">
            <v>Puerto Rico</v>
          </cell>
        </row>
        <row r="130">
          <cell r="A130" t="str">
            <v>Paraguay</v>
          </cell>
        </row>
        <row r="131">
          <cell r="A131" t="str">
            <v>Lebanon</v>
          </cell>
        </row>
        <row r="132">
          <cell r="A132" t="str">
            <v>Tanzania</v>
          </cell>
        </row>
        <row r="133">
          <cell r="A133" t="str">
            <v>Cambodia</v>
          </cell>
        </row>
        <row r="134">
          <cell r="A134" t="str">
            <v>Panama</v>
          </cell>
        </row>
        <row r="135">
          <cell r="A135" t="str">
            <v>Kyrgyzstan</v>
          </cell>
        </row>
        <row r="136">
          <cell r="A136" t="str">
            <v>Iraq</v>
          </cell>
        </row>
        <row r="137">
          <cell r="A137" t="str">
            <v>El Salvador</v>
          </cell>
        </row>
        <row r="138">
          <cell r="A138" t="str">
            <v>Uzbekistan</v>
          </cell>
        </row>
        <row r="139">
          <cell r="A139" t="str">
            <v>Morocco</v>
          </cell>
        </row>
        <row r="140">
          <cell r="A140" t="str">
            <v>Qatar</v>
          </cell>
        </row>
        <row r="141">
          <cell r="A141" t="str">
            <v>Georgia</v>
          </cell>
        </row>
        <row r="142">
          <cell r="A142" t="str">
            <v>Bosnia &amp; Herzegovina</v>
          </cell>
        </row>
        <row r="143">
          <cell r="A143" t="str">
            <v>Dominican Republic</v>
          </cell>
        </row>
        <row r="144">
          <cell r="A144" t="str">
            <v>Aruba</v>
          </cell>
        </row>
        <row r="145">
          <cell r="A145" t="str">
            <v>Anguilla</v>
          </cell>
        </row>
        <row r="146">
          <cell r="A146" t="str">
            <v>Ã…land Islands</v>
          </cell>
        </row>
        <row r="147">
          <cell r="A147" t="str">
            <v>American Samoa</v>
          </cell>
        </row>
        <row r="148">
          <cell r="A148" t="str">
            <v>Antarctica</v>
          </cell>
        </row>
        <row r="149">
          <cell r="A149" t="str">
            <v>French Southern Territories</v>
          </cell>
        </row>
        <row r="150">
          <cell r="A150" t="str">
            <v>Antigua &amp; Barbuda</v>
          </cell>
        </row>
        <row r="151">
          <cell r="A151" t="str">
            <v>Benin</v>
          </cell>
        </row>
        <row r="152">
          <cell r="A152" t="str">
            <v>Caribbean Netherlands</v>
          </cell>
        </row>
        <row r="153">
          <cell r="A153" t="str">
            <v>Bahamas</v>
          </cell>
        </row>
        <row r="154">
          <cell r="A154" t="str">
            <v>St. BarthÃ©lemy</v>
          </cell>
        </row>
        <row r="155">
          <cell r="A155" t="str">
            <v>Belize</v>
          </cell>
        </row>
        <row r="156">
          <cell r="A156" t="str">
            <v>Barbados</v>
          </cell>
        </row>
        <row r="157">
          <cell r="A157" t="str">
            <v>Brunei</v>
          </cell>
        </row>
        <row r="158">
          <cell r="A158" t="str">
            <v>Bouvet Island</v>
          </cell>
        </row>
        <row r="159">
          <cell r="A159" t="str">
            <v>Botswana</v>
          </cell>
        </row>
        <row r="160">
          <cell r="A160" t="str">
            <v>Central African Republic</v>
          </cell>
        </row>
        <row r="161">
          <cell r="A161" t="str">
            <v>Cocos (Keeling) Islands</v>
          </cell>
        </row>
        <row r="162">
          <cell r="A162" t="str">
            <v>Congo - Brazzaville</v>
          </cell>
        </row>
        <row r="163">
          <cell r="A163" t="str">
            <v>Cook Islands</v>
          </cell>
        </row>
        <row r="164">
          <cell r="A164" t="str">
            <v>Comoros</v>
          </cell>
        </row>
        <row r="165">
          <cell r="A165" t="str">
            <v>Cape Verde</v>
          </cell>
        </row>
        <row r="166">
          <cell r="A166" t="str">
            <v>CuraÃ§ao</v>
          </cell>
        </row>
        <row r="167">
          <cell r="A167" t="str">
            <v>Christmas Island</v>
          </cell>
        </row>
        <row r="168">
          <cell r="A168" t="str">
            <v>Cayman Islands</v>
          </cell>
        </row>
        <row r="169">
          <cell r="A169" t="str">
            <v>Djibouti</v>
          </cell>
        </row>
        <row r="170">
          <cell r="A170" t="str">
            <v>Dominica</v>
          </cell>
        </row>
        <row r="171">
          <cell r="A171" t="str">
            <v>Eritrea</v>
          </cell>
        </row>
        <row r="172">
          <cell r="A172" t="str">
            <v>Western Sahara</v>
          </cell>
        </row>
        <row r="173">
          <cell r="A173" t="str">
            <v>Fiji</v>
          </cell>
        </row>
        <row r="174">
          <cell r="A174" t="str">
            <v>Falkland Islands (Islas Malvinas)</v>
          </cell>
        </row>
        <row r="175">
          <cell r="A175" t="str">
            <v>Faroe Islands</v>
          </cell>
        </row>
        <row r="176">
          <cell r="A176" t="str">
            <v>Micronesia</v>
          </cell>
        </row>
        <row r="177">
          <cell r="A177" t="str">
            <v>Gabon</v>
          </cell>
        </row>
        <row r="178">
          <cell r="A178" t="str">
            <v>Guernsey</v>
          </cell>
        </row>
        <row r="179">
          <cell r="A179" t="str">
            <v>Gibraltar</v>
          </cell>
        </row>
        <row r="180">
          <cell r="A180" t="str">
            <v>Guinea</v>
          </cell>
        </row>
        <row r="181">
          <cell r="A181" t="str">
            <v>Guadeloupe</v>
          </cell>
        </row>
        <row r="182">
          <cell r="A182" t="str">
            <v>Gambia</v>
          </cell>
        </row>
        <row r="183">
          <cell r="A183" t="str">
            <v>Guinea-Bissau</v>
          </cell>
        </row>
        <row r="184">
          <cell r="A184" t="str">
            <v>Equatorial Guinea</v>
          </cell>
        </row>
        <row r="185">
          <cell r="A185" t="str">
            <v>Grenada</v>
          </cell>
        </row>
        <row r="186">
          <cell r="A186" t="str">
            <v>French Guiana</v>
          </cell>
        </row>
        <row r="187">
          <cell r="A187" t="str">
            <v>Guam</v>
          </cell>
        </row>
        <row r="188">
          <cell r="A188" t="str">
            <v>Guyana</v>
          </cell>
        </row>
        <row r="189">
          <cell r="A189" t="str">
            <v>Heard &amp; McDonald Islands</v>
          </cell>
        </row>
        <row r="190">
          <cell r="A190" t="str">
            <v>Haiti</v>
          </cell>
        </row>
        <row r="191">
          <cell r="A191" t="str">
            <v>Isle of Man</v>
          </cell>
        </row>
        <row r="192">
          <cell r="A192" t="str">
            <v>British Indian Ocean Territory</v>
          </cell>
        </row>
        <row r="193">
          <cell r="A193" t="str">
            <v>Jamaica</v>
          </cell>
        </row>
        <row r="194">
          <cell r="A194" t="str">
            <v>Jersey</v>
          </cell>
        </row>
        <row r="195">
          <cell r="A195" t="str">
            <v>Kiribati</v>
          </cell>
        </row>
        <row r="196">
          <cell r="A196" t="str">
            <v>St. Kitts &amp; Nevis</v>
          </cell>
        </row>
        <row r="197">
          <cell r="A197" t="str">
            <v>Kuwait</v>
          </cell>
        </row>
        <row r="198">
          <cell r="A198" t="str">
            <v>Laos</v>
          </cell>
        </row>
        <row r="199">
          <cell r="A199" t="str">
            <v>Liberia</v>
          </cell>
        </row>
        <row r="200">
          <cell r="A200" t="str">
            <v>St. Lucia</v>
          </cell>
        </row>
        <row r="201">
          <cell r="A201" t="str">
            <v>Liechtenstein</v>
          </cell>
        </row>
        <row r="202">
          <cell r="A202" t="str">
            <v>St. Martin</v>
          </cell>
        </row>
        <row r="203">
          <cell r="A203" t="str">
            <v>Monaco</v>
          </cell>
        </row>
        <row r="204">
          <cell r="A204" t="str">
            <v>Madagascar</v>
          </cell>
        </row>
        <row r="205">
          <cell r="A205" t="str">
            <v>Maldives</v>
          </cell>
        </row>
        <row r="206">
          <cell r="A206" t="str">
            <v>Marshall Islands</v>
          </cell>
        </row>
        <row r="207">
          <cell r="A207" t="str">
            <v>Northern Mariana Islands</v>
          </cell>
        </row>
        <row r="208">
          <cell r="A208" t="str">
            <v>Montserrat</v>
          </cell>
        </row>
        <row r="209">
          <cell r="A209" t="str">
            <v>Martinique</v>
          </cell>
        </row>
        <row r="210">
          <cell r="A210" t="str">
            <v>Mauritius</v>
          </cell>
        </row>
        <row r="211">
          <cell r="A211" t="str">
            <v>Mayotte</v>
          </cell>
        </row>
        <row r="212">
          <cell r="A212" t="str">
            <v>Namibia</v>
          </cell>
        </row>
        <row r="213">
          <cell r="A213" t="str">
            <v>New Caledonia</v>
          </cell>
        </row>
        <row r="214">
          <cell r="A214" t="str">
            <v>Norfolk Island</v>
          </cell>
        </row>
        <row r="215">
          <cell r="A215" t="str">
            <v>Niue</v>
          </cell>
        </row>
        <row r="216">
          <cell r="A216" t="str">
            <v>Nauru</v>
          </cell>
        </row>
        <row r="217">
          <cell r="A217" t="str">
            <v>Pitcairn Islands</v>
          </cell>
        </row>
        <row r="218">
          <cell r="A218" t="str">
            <v>Palau</v>
          </cell>
        </row>
        <row r="219">
          <cell r="A219" t="str">
            <v>Papua New Guinea</v>
          </cell>
        </row>
        <row r="220">
          <cell r="A220" t="str">
            <v>North Korea</v>
          </cell>
        </row>
        <row r="221">
          <cell r="A221" t="str">
            <v>French Polynesia</v>
          </cell>
        </row>
        <row r="222">
          <cell r="A222" t="str">
            <v>RÃ©union</v>
          </cell>
        </row>
        <row r="223">
          <cell r="A223" t="str">
            <v>Rwanda</v>
          </cell>
        </row>
        <row r="224">
          <cell r="A224" t="str">
            <v>South Georgia &amp; South Sandwich Islands</v>
          </cell>
        </row>
        <row r="225">
          <cell r="A225" t="str">
            <v>Svalbard &amp; Jan Mayen</v>
          </cell>
        </row>
        <row r="226">
          <cell r="A226" t="str">
            <v>Solomon Islands</v>
          </cell>
        </row>
        <row r="227">
          <cell r="A227" t="str">
            <v>Sierra Leone</v>
          </cell>
        </row>
        <row r="228">
          <cell r="A228" t="str">
            <v>San Marino</v>
          </cell>
        </row>
        <row r="229">
          <cell r="A229" t="str">
            <v>Somalia</v>
          </cell>
        </row>
        <row r="230">
          <cell r="A230" t="str">
            <v>St. Pierre &amp; Miquelon</v>
          </cell>
        </row>
        <row r="231">
          <cell r="A231" t="str">
            <v>South Sudan</v>
          </cell>
        </row>
        <row r="232">
          <cell r="A232" t="str">
            <v>SÃ£o TomÃ© &amp; PrÃ­ncipe</v>
          </cell>
        </row>
        <row r="233">
          <cell r="A233" t="str">
            <v>Eswatini</v>
          </cell>
        </row>
        <row r="234">
          <cell r="A234" t="str">
            <v>Sint Maarten</v>
          </cell>
        </row>
        <row r="235">
          <cell r="A235" t="str">
            <v>Seychelles</v>
          </cell>
        </row>
        <row r="236">
          <cell r="A236" t="str">
            <v>Turks &amp; Caicos Islands</v>
          </cell>
        </row>
        <row r="237">
          <cell r="A237" t="str">
            <v>Chad</v>
          </cell>
        </row>
        <row r="238">
          <cell r="A238" t="str">
            <v>Togo</v>
          </cell>
        </row>
        <row r="239">
          <cell r="A239" t="str">
            <v>Tajikistan</v>
          </cell>
        </row>
        <row r="240">
          <cell r="A240" t="str">
            <v>Tokelau</v>
          </cell>
        </row>
        <row r="241">
          <cell r="A241" t="str">
            <v>Timor-Leste</v>
          </cell>
        </row>
        <row r="242">
          <cell r="A242" t="str">
            <v>Tonga</v>
          </cell>
        </row>
        <row r="243">
          <cell r="A243" t="str">
            <v>Tuvalu</v>
          </cell>
        </row>
        <row r="244">
          <cell r="A244" t="str">
            <v>Uganda</v>
          </cell>
        </row>
        <row r="245">
          <cell r="A245" t="str">
            <v>U.S. Outlying Islands</v>
          </cell>
        </row>
        <row r="246">
          <cell r="A246" t="str">
            <v>Vatican City</v>
          </cell>
        </row>
        <row r="247">
          <cell r="A247" t="str">
            <v>St. Vincent &amp; Grenadines</v>
          </cell>
        </row>
        <row r="248">
          <cell r="A248" t="str">
            <v>British Virgin Islands</v>
          </cell>
        </row>
        <row r="249">
          <cell r="A249" t="str">
            <v>U.S. Virgin Islands</v>
          </cell>
        </row>
        <row r="250">
          <cell r="A250" t="str">
            <v>Vanuatu</v>
          </cell>
        </row>
        <row r="251">
          <cell r="A251" t="str">
            <v>Wallis &amp; Futuna</v>
          </cell>
        </row>
        <row r="252">
          <cell r="A252" t="str">
            <v>Samoa</v>
          </cell>
        </row>
        <row r="253">
          <cell r="A253" t="str">
            <v>Kosovo</v>
          </cell>
        </row>
      </sheetData>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39)"/>
    </sheetNames>
    <sheetDataSet>
      <sheetData sheetId="0" refreshError="1">
        <row r="1">
          <cell r="A1" t="str">
            <v>Kategori: TÃ¼m kategoriler</v>
          </cell>
        </row>
        <row r="3">
          <cell r="A3" t="str">
            <v>Ãœlke</v>
          </cell>
          <cell r="B3" t="str">
            <v>Mutual exclusion: (2018)</v>
          </cell>
          <cell r="C3" t="str">
            <v>Edge detection: (2018)</v>
          </cell>
        </row>
        <row r="4">
          <cell r="A4" t="str">
            <v>China</v>
          </cell>
          <cell r="B4">
            <v>0.56999999999999995</v>
          </cell>
          <cell r="C4">
            <v>0.43</v>
          </cell>
        </row>
        <row r="5">
          <cell r="A5" t="str">
            <v>Zimbabwe</v>
          </cell>
          <cell r="B5">
            <v>1</v>
          </cell>
        </row>
        <row r="6">
          <cell r="A6" t="str">
            <v>South Korea</v>
          </cell>
          <cell r="B6">
            <v>0.32</v>
          </cell>
          <cell r="C6">
            <v>0.68</v>
          </cell>
        </row>
        <row r="7">
          <cell r="A7" t="str">
            <v>Israel</v>
          </cell>
          <cell r="B7">
            <v>0.71</v>
          </cell>
          <cell r="C7">
            <v>0.28999999999999998</v>
          </cell>
        </row>
        <row r="8">
          <cell r="A8" t="str">
            <v>Taiwan</v>
          </cell>
          <cell r="B8">
            <v>0.68</v>
          </cell>
          <cell r="C8">
            <v>0.32</v>
          </cell>
        </row>
        <row r="9">
          <cell r="A9" t="str">
            <v>Ethiopia</v>
          </cell>
          <cell r="B9">
            <v>1</v>
          </cell>
        </row>
        <row r="10">
          <cell r="A10" t="str">
            <v>Japan</v>
          </cell>
          <cell r="B10">
            <v>0.69</v>
          </cell>
          <cell r="C10">
            <v>0.31</v>
          </cell>
        </row>
        <row r="11">
          <cell r="A11" t="str">
            <v>St. Helena</v>
          </cell>
          <cell r="B11">
            <v>0.65</v>
          </cell>
          <cell r="C11">
            <v>0.35</v>
          </cell>
        </row>
        <row r="12">
          <cell r="A12" t="str">
            <v>Belarus</v>
          </cell>
          <cell r="B12">
            <v>1</v>
          </cell>
        </row>
        <row r="13">
          <cell r="A13" t="str">
            <v>Kenya</v>
          </cell>
          <cell r="B13">
            <v>1</v>
          </cell>
        </row>
        <row r="14">
          <cell r="A14" t="str">
            <v>Singapore</v>
          </cell>
          <cell r="B14">
            <v>0.24</v>
          </cell>
          <cell r="C14">
            <v>0.76</v>
          </cell>
        </row>
        <row r="15">
          <cell r="A15" t="str">
            <v>Czechia</v>
          </cell>
          <cell r="B15">
            <v>0.72</v>
          </cell>
          <cell r="C15">
            <v>0.28000000000000003</v>
          </cell>
        </row>
        <row r="16">
          <cell r="A16" t="str">
            <v>Pakistan</v>
          </cell>
          <cell r="B16">
            <v>0.37</v>
          </cell>
          <cell r="C16">
            <v>0.63</v>
          </cell>
        </row>
        <row r="17">
          <cell r="A17" t="str">
            <v>Russia</v>
          </cell>
          <cell r="B17">
            <v>0.86</v>
          </cell>
          <cell r="C17">
            <v>0.14000000000000001</v>
          </cell>
        </row>
        <row r="18">
          <cell r="A18" t="str">
            <v>Germany</v>
          </cell>
          <cell r="B18">
            <v>0.67</v>
          </cell>
          <cell r="C18">
            <v>0.33</v>
          </cell>
        </row>
        <row r="19">
          <cell r="A19" t="str">
            <v>Tunisia</v>
          </cell>
          <cell r="B19">
            <v>0.35</v>
          </cell>
          <cell r="C19">
            <v>0.65</v>
          </cell>
        </row>
        <row r="20">
          <cell r="A20" t="str">
            <v>Austria</v>
          </cell>
          <cell r="B20">
            <v>0.74</v>
          </cell>
          <cell r="C20">
            <v>0.26</v>
          </cell>
        </row>
        <row r="21">
          <cell r="A21" t="str">
            <v>Finland</v>
          </cell>
          <cell r="B21">
            <v>0.72</v>
          </cell>
          <cell r="C21">
            <v>0.28000000000000003</v>
          </cell>
        </row>
        <row r="22">
          <cell r="A22" t="str">
            <v>India</v>
          </cell>
          <cell r="B22">
            <v>0.42</v>
          </cell>
          <cell r="C22">
            <v>0.57999999999999996</v>
          </cell>
        </row>
        <row r="23">
          <cell r="A23" t="str">
            <v>Ukraine</v>
          </cell>
          <cell r="B23">
            <v>0.85</v>
          </cell>
          <cell r="C23">
            <v>0.15</v>
          </cell>
        </row>
        <row r="24">
          <cell r="A24" t="str">
            <v>Algeria</v>
          </cell>
          <cell r="B24">
            <v>0.53</v>
          </cell>
          <cell r="C24">
            <v>0.47</v>
          </cell>
        </row>
        <row r="25">
          <cell r="A25" t="str">
            <v>Norway</v>
          </cell>
          <cell r="B25">
            <v>0.72</v>
          </cell>
          <cell r="C25">
            <v>0.28000000000000003</v>
          </cell>
        </row>
        <row r="26">
          <cell r="A26" t="str">
            <v>Bangladesh</v>
          </cell>
          <cell r="B26">
            <v>0.21</v>
          </cell>
          <cell r="C26">
            <v>0.79</v>
          </cell>
        </row>
        <row r="27">
          <cell r="A27" t="str">
            <v>Poland</v>
          </cell>
          <cell r="B27">
            <v>0.79</v>
          </cell>
          <cell r="C27">
            <v>0.21</v>
          </cell>
        </row>
        <row r="28">
          <cell r="A28" t="str">
            <v>Hong Kong</v>
          </cell>
          <cell r="B28">
            <v>0.46</v>
          </cell>
          <cell r="C28">
            <v>0.54</v>
          </cell>
        </row>
        <row r="29">
          <cell r="A29" t="str">
            <v>Switzerland</v>
          </cell>
          <cell r="B29">
            <v>0.45</v>
          </cell>
          <cell r="C29">
            <v>0.55000000000000004</v>
          </cell>
        </row>
        <row r="30">
          <cell r="A30" t="str">
            <v>Portugal</v>
          </cell>
          <cell r="B30">
            <v>0.73</v>
          </cell>
          <cell r="C30">
            <v>0.27</v>
          </cell>
        </row>
        <row r="31">
          <cell r="A31" t="str">
            <v>Sri Lanka</v>
          </cell>
          <cell r="B31">
            <v>0.37</v>
          </cell>
          <cell r="C31">
            <v>0.63</v>
          </cell>
        </row>
        <row r="32">
          <cell r="A32" t="str">
            <v>Hungary</v>
          </cell>
          <cell r="B32">
            <v>0.68</v>
          </cell>
          <cell r="C32">
            <v>0.32</v>
          </cell>
        </row>
        <row r="33">
          <cell r="A33" t="str">
            <v>Sweden</v>
          </cell>
          <cell r="B33">
            <v>0.64</v>
          </cell>
          <cell r="C33">
            <v>0.36</v>
          </cell>
        </row>
        <row r="34">
          <cell r="A34" t="str">
            <v>Costa Rica</v>
          </cell>
          <cell r="B34">
            <v>1</v>
          </cell>
        </row>
        <row r="35">
          <cell r="A35" t="str">
            <v>Denmark</v>
          </cell>
        </row>
        <row r="36">
          <cell r="A36" t="str">
            <v>Malaysia</v>
          </cell>
          <cell r="B36">
            <v>0.19</v>
          </cell>
          <cell r="C36">
            <v>0.81</v>
          </cell>
        </row>
        <row r="37">
          <cell r="A37" t="str">
            <v>Egypt</v>
          </cell>
        </row>
        <row r="38">
          <cell r="A38" t="str">
            <v>Canada</v>
          </cell>
          <cell r="B38">
            <v>0.3</v>
          </cell>
          <cell r="C38">
            <v>0.7</v>
          </cell>
        </row>
        <row r="39">
          <cell r="A39" t="str">
            <v>Netherlands</v>
          </cell>
          <cell r="B39">
            <v>0.6</v>
          </cell>
          <cell r="C39">
            <v>0.4</v>
          </cell>
        </row>
        <row r="40">
          <cell r="A40" t="str">
            <v>Iran</v>
          </cell>
          <cell r="B40">
            <v>0.23</v>
          </cell>
          <cell r="C40">
            <v>0.77</v>
          </cell>
        </row>
        <row r="41">
          <cell r="A41" t="str">
            <v>Iraq</v>
          </cell>
          <cell r="C41">
            <v>1</v>
          </cell>
        </row>
        <row r="42">
          <cell r="A42" t="str">
            <v>Ireland</v>
          </cell>
          <cell r="B42">
            <v>0.55000000000000004</v>
          </cell>
          <cell r="C42">
            <v>0.45</v>
          </cell>
        </row>
        <row r="43">
          <cell r="A43" t="str">
            <v>Serbia</v>
          </cell>
          <cell r="B43">
            <v>1</v>
          </cell>
        </row>
        <row r="44">
          <cell r="A44" t="str">
            <v>Belgium</v>
          </cell>
          <cell r="B44">
            <v>0.34</v>
          </cell>
          <cell r="C44">
            <v>0.66</v>
          </cell>
        </row>
        <row r="45">
          <cell r="A45" t="str">
            <v>Italy</v>
          </cell>
          <cell r="B45">
            <v>0.76</v>
          </cell>
          <cell r="C45">
            <v>0.24</v>
          </cell>
        </row>
        <row r="46">
          <cell r="A46" t="str">
            <v>United Arab Emirates</v>
          </cell>
          <cell r="B46">
            <v>0.3</v>
          </cell>
          <cell r="C46">
            <v>0.7</v>
          </cell>
        </row>
        <row r="47">
          <cell r="A47" t="str">
            <v>United States</v>
          </cell>
          <cell r="B47">
            <v>0.33</v>
          </cell>
          <cell r="C47">
            <v>0.67</v>
          </cell>
        </row>
        <row r="48">
          <cell r="A48" t="str">
            <v>Croatia</v>
          </cell>
          <cell r="B48">
            <v>1</v>
          </cell>
        </row>
        <row r="49">
          <cell r="A49" t="str">
            <v>Slovakia</v>
          </cell>
          <cell r="B49">
            <v>1</v>
          </cell>
        </row>
        <row r="50">
          <cell r="A50" t="str">
            <v>United Kingdom</v>
          </cell>
          <cell r="B50">
            <v>0.23</v>
          </cell>
          <cell r="C50">
            <v>0.77</v>
          </cell>
        </row>
        <row r="51">
          <cell r="A51" t="str">
            <v>Spain</v>
          </cell>
          <cell r="B51">
            <v>0.71</v>
          </cell>
          <cell r="C51">
            <v>0.28999999999999998</v>
          </cell>
        </row>
        <row r="52">
          <cell r="A52" t="str">
            <v>Bulgaria</v>
          </cell>
          <cell r="B52">
            <v>1</v>
          </cell>
        </row>
        <row r="53">
          <cell r="A53" t="str">
            <v>Greece</v>
          </cell>
          <cell r="B53">
            <v>0.59</v>
          </cell>
          <cell r="C53">
            <v>0.41</v>
          </cell>
        </row>
        <row r="54">
          <cell r="A54" t="str">
            <v>Australia</v>
          </cell>
          <cell r="B54">
            <v>0.36</v>
          </cell>
          <cell r="C54">
            <v>0.64</v>
          </cell>
        </row>
        <row r="55">
          <cell r="A55" t="str">
            <v>New Zealand</v>
          </cell>
        </row>
        <row r="56">
          <cell r="A56" t="str">
            <v>Kazakhstan</v>
          </cell>
          <cell r="B56">
            <v>1</v>
          </cell>
        </row>
        <row r="57">
          <cell r="A57" t="str">
            <v>Uruguay</v>
          </cell>
        </row>
        <row r="58">
          <cell r="A58" t="str">
            <v>Bolivia</v>
          </cell>
        </row>
        <row r="59">
          <cell r="A59" t="str">
            <v>Nigeria</v>
          </cell>
          <cell r="B59">
            <v>1</v>
          </cell>
        </row>
        <row r="60">
          <cell r="A60" t="str">
            <v>Lithuania</v>
          </cell>
        </row>
        <row r="61">
          <cell r="A61" t="str">
            <v>Philippines</v>
          </cell>
          <cell r="B61">
            <v>0.31</v>
          </cell>
          <cell r="C61">
            <v>0.69</v>
          </cell>
        </row>
        <row r="62">
          <cell r="A62" t="str">
            <v>Romania</v>
          </cell>
          <cell r="B62">
            <v>0.4</v>
          </cell>
          <cell r="C62">
            <v>0.6</v>
          </cell>
        </row>
        <row r="63">
          <cell r="A63" t="str">
            <v>Mexico</v>
          </cell>
          <cell r="B63">
            <v>0.63</v>
          </cell>
          <cell r="C63">
            <v>0.37</v>
          </cell>
        </row>
        <row r="64">
          <cell r="A64" t="str">
            <v>South Africa</v>
          </cell>
          <cell r="B64">
            <v>0.38</v>
          </cell>
          <cell r="C64">
            <v>0.62</v>
          </cell>
        </row>
        <row r="65">
          <cell r="A65" t="str">
            <v>Ghana</v>
          </cell>
        </row>
        <row r="66">
          <cell r="A66" t="str">
            <v>Vietnam</v>
          </cell>
          <cell r="B66">
            <v>0.46</v>
          </cell>
          <cell r="C66">
            <v>0.54</v>
          </cell>
        </row>
        <row r="67">
          <cell r="A67" t="str">
            <v>France</v>
          </cell>
          <cell r="B67">
            <v>0.54</v>
          </cell>
          <cell r="C67">
            <v>0.46</v>
          </cell>
        </row>
        <row r="68">
          <cell r="A68" t="str">
            <v>Turkey</v>
          </cell>
          <cell r="B68">
            <v>0.18</v>
          </cell>
          <cell r="C68">
            <v>0.82</v>
          </cell>
        </row>
        <row r="69">
          <cell r="A69" t="str">
            <v>Indonesia</v>
          </cell>
          <cell r="B69">
            <v>0.46</v>
          </cell>
          <cell r="C69">
            <v>0.54</v>
          </cell>
        </row>
        <row r="70">
          <cell r="A70" t="str">
            <v>Brazil</v>
          </cell>
          <cell r="B70">
            <v>0.75</v>
          </cell>
          <cell r="C70">
            <v>0.25</v>
          </cell>
        </row>
        <row r="71">
          <cell r="A71" t="str">
            <v>Argentina</v>
          </cell>
          <cell r="B71">
            <v>1</v>
          </cell>
        </row>
        <row r="72">
          <cell r="A72" t="str">
            <v>Thailand</v>
          </cell>
          <cell r="B72">
            <v>0.41</v>
          </cell>
          <cell r="C72">
            <v>0.59</v>
          </cell>
        </row>
        <row r="73">
          <cell r="A73" t="str">
            <v>Morocco</v>
          </cell>
        </row>
        <row r="74">
          <cell r="A74" t="str">
            <v>Peru</v>
          </cell>
          <cell r="B74">
            <v>1</v>
          </cell>
        </row>
        <row r="75">
          <cell r="A75" t="str">
            <v>Colombia</v>
          </cell>
          <cell r="B75">
            <v>0.48</v>
          </cell>
          <cell r="C75">
            <v>0.52</v>
          </cell>
        </row>
        <row r="76">
          <cell r="A76" t="str">
            <v>Guatemala</v>
          </cell>
        </row>
        <row r="77">
          <cell r="A77" t="str">
            <v>Ecuador</v>
          </cell>
        </row>
        <row r="78">
          <cell r="A78" t="str">
            <v>Saudi Arabia</v>
          </cell>
        </row>
        <row r="79">
          <cell r="A79" t="str">
            <v>Venezuela</v>
          </cell>
        </row>
        <row r="80">
          <cell r="A80" t="str">
            <v>Burundi</v>
          </cell>
        </row>
        <row r="81">
          <cell r="A81" t="str">
            <v>Macao</v>
          </cell>
        </row>
        <row r="82">
          <cell r="A82" t="str">
            <v>Namibia</v>
          </cell>
        </row>
        <row r="83">
          <cell r="A83" t="str">
            <v>Cuba</v>
          </cell>
        </row>
        <row r="84">
          <cell r="A84" t="str">
            <v>Rwanda</v>
          </cell>
        </row>
        <row r="85">
          <cell r="A85" t="str">
            <v>North Macedonia</v>
          </cell>
        </row>
        <row r="86">
          <cell r="A86" t="str">
            <v>Burkina Faso</v>
          </cell>
        </row>
        <row r="87">
          <cell r="A87" t="str">
            <v>Zambia</v>
          </cell>
        </row>
        <row r="88">
          <cell r="A88" t="str">
            <v>Estonia</v>
          </cell>
        </row>
        <row r="89">
          <cell r="A89" t="str">
            <v>Mozambique</v>
          </cell>
        </row>
        <row r="90">
          <cell r="A90" t="str">
            <v>Cameroon</v>
          </cell>
        </row>
        <row r="91">
          <cell r="A91" t="str">
            <v>Angola</v>
          </cell>
        </row>
        <row r="92">
          <cell r="A92" t="str">
            <v>Latvia</v>
          </cell>
        </row>
        <row r="93">
          <cell r="A93" t="str">
            <v>Malta</v>
          </cell>
        </row>
        <row r="94">
          <cell r="A94" t="str">
            <v>Armenia</v>
          </cell>
        </row>
        <row r="95">
          <cell r="A95" t="str">
            <v>Paraguay</v>
          </cell>
        </row>
        <row r="96">
          <cell r="A96" t="str">
            <v>Cyprus</v>
          </cell>
        </row>
        <row r="97">
          <cell r="A97" t="str">
            <v>Azerbaijan</v>
          </cell>
        </row>
        <row r="98">
          <cell r="A98" t="str">
            <v>Kyrgyzstan</v>
          </cell>
        </row>
        <row r="99">
          <cell r="A99" t="str">
            <v>Trinidad &amp; Tobago</v>
          </cell>
        </row>
        <row r="100">
          <cell r="A100" t="str">
            <v>Libya</v>
          </cell>
        </row>
        <row r="101">
          <cell r="A101" t="str">
            <v>Luxembourg</v>
          </cell>
        </row>
        <row r="102">
          <cell r="A102" t="str">
            <v>Jamaica</v>
          </cell>
        </row>
        <row r="103">
          <cell r="A103" t="str">
            <v>Nicaragua</v>
          </cell>
        </row>
        <row r="104">
          <cell r="A104" t="str">
            <v>Tanzania</v>
          </cell>
        </row>
        <row r="105">
          <cell r="A105" t="str">
            <v>Slovenia</v>
          </cell>
        </row>
        <row r="106">
          <cell r="A106" t="str">
            <v>Yemen</v>
          </cell>
        </row>
        <row r="107">
          <cell r="A107" t="str">
            <v>Nepal</v>
          </cell>
        </row>
        <row r="108">
          <cell r="A108" t="str">
            <v>Sudan</v>
          </cell>
        </row>
        <row r="109">
          <cell r="A109" t="str">
            <v>Bosnia &amp; Herzegovina</v>
          </cell>
        </row>
        <row r="110">
          <cell r="A110" t="str">
            <v>Oman</v>
          </cell>
        </row>
        <row r="111">
          <cell r="A111" t="str">
            <v>El Salvador</v>
          </cell>
        </row>
        <row r="112">
          <cell r="A112" t="str">
            <v>Syria</v>
          </cell>
        </row>
        <row r="113">
          <cell r="A113" t="str">
            <v>Qatar</v>
          </cell>
        </row>
        <row r="114">
          <cell r="A114" t="str">
            <v>Puerto Rico</v>
          </cell>
        </row>
        <row r="115">
          <cell r="A115" t="str">
            <v>Georgia</v>
          </cell>
        </row>
        <row r="116">
          <cell r="A116" t="str">
            <v>Panama</v>
          </cell>
        </row>
        <row r="117">
          <cell r="A117" t="str">
            <v>Lebanon</v>
          </cell>
        </row>
        <row r="118">
          <cell r="A118" t="str">
            <v>Jordan</v>
          </cell>
        </row>
        <row r="119">
          <cell r="A119" t="str">
            <v>Chile</v>
          </cell>
        </row>
        <row r="120">
          <cell r="A120" t="str">
            <v>Dominican Republic</v>
          </cell>
        </row>
        <row r="121">
          <cell r="A121" t="str">
            <v>Aruba</v>
          </cell>
        </row>
        <row r="122">
          <cell r="A122" t="str">
            <v>Afghanistan</v>
          </cell>
        </row>
        <row r="123">
          <cell r="A123" t="str">
            <v>Anguilla</v>
          </cell>
        </row>
        <row r="124">
          <cell r="A124" t="str">
            <v>Ã…land Islands</v>
          </cell>
        </row>
        <row r="125">
          <cell r="A125" t="str">
            <v>Albania</v>
          </cell>
        </row>
        <row r="126">
          <cell r="A126" t="str">
            <v>Andorra</v>
          </cell>
        </row>
        <row r="127">
          <cell r="A127" t="str">
            <v>American Samoa</v>
          </cell>
        </row>
        <row r="128">
          <cell r="A128" t="str">
            <v>Antarctica</v>
          </cell>
        </row>
        <row r="129">
          <cell r="A129" t="str">
            <v>French Southern Territories</v>
          </cell>
        </row>
        <row r="130">
          <cell r="A130" t="str">
            <v>Antigua &amp; Barbuda</v>
          </cell>
        </row>
        <row r="131">
          <cell r="A131" t="str">
            <v>Benin</v>
          </cell>
        </row>
        <row r="132">
          <cell r="A132" t="str">
            <v>Caribbean Netherlands</v>
          </cell>
        </row>
        <row r="133">
          <cell r="A133" t="str">
            <v>Bahrain</v>
          </cell>
        </row>
        <row r="134">
          <cell r="A134" t="str">
            <v>Bahamas</v>
          </cell>
        </row>
        <row r="135">
          <cell r="A135" t="str">
            <v>St. BarthÃ©lemy</v>
          </cell>
        </row>
        <row r="136">
          <cell r="A136" t="str">
            <v>Belize</v>
          </cell>
        </row>
        <row r="137">
          <cell r="A137" t="str">
            <v>Bermuda</v>
          </cell>
        </row>
        <row r="138">
          <cell r="A138" t="str">
            <v>Barbados</v>
          </cell>
        </row>
        <row r="139">
          <cell r="A139" t="str">
            <v>Brunei</v>
          </cell>
        </row>
        <row r="140">
          <cell r="A140" t="str">
            <v>Bhutan</v>
          </cell>
        </row>
        <row r="141">
          <cell r="A141" t="str">
            <v>Bouvet Island</v>
          </cell>
        </row>
        <row r="142">
          <cell r="A142" t="str">
            <v>Botswana</v>
          </cell>
        </row>
        <row r="143">
          <cell r="A143" t="str">
            <v>Central African Republic</v>
          </cell>
        </row>
        <row r="144">
          <cell r="A144" t="str">
            <v>Cocos (Keeling) Islands</v>
          </cell>
        </row>
        <row r="145">
          <cell r="A145" t="str">
            <v>CÃ´te dâ€™Ivoire</v>
          </cell>
        </row>
        <row r="146">
          <cell r="A146" t="str">
            <v>Congo - Kinshasa</v>
          </cell>
        </row>
        <row r="147">
          <cell r="A147" t="str">
            <v>Congo - Brazzaville</v>
          </cell>
        </row>
        <row r="148">
          <cell r="A148" t="str">
            <v>Cook Islands</v>
          </cell>
        </row>
        <row r="149">
          <cell r="A149" t="str">
            <v>Comoros</v>
          </cell>
        </row>
        <row r="150">
          <cell r="A150" t="str">
            <v>Cape Verde</v>
          </cell>
        </row>
        <row r="151">
          <cell r="A151" t="str">
            <v>CuraÃ§ao</v>
          </cell>
        </row>
        <row r="152">
          <cell r="A152" t="str">
            <v>Christmas Island</v>
          </cell>
        </row>
        <row r="153">
          <cell r="A153" t="str">
            <v>Cayman Islands</v>
          </cell>
        </row>
        <row r="154">
          <cell r="A154" t="str">
            <v>Djibouti</v>
          </cell>
        </row>
        <row r="155">
          <cell r="A155" t="str">
            <v>Dominica</v>
          </cell>
        </row>
        <row r="156">
          <cell r="A156" t="str">
            <v>Eritrea</v>
          </cell>
        </row>
        <row r="157">
          <cell r="A157" t="str">
            <v>Western Sahara</v>
          </cell>
        </row>
        <row r="158">
          <cell r="A158" t="str">
            <v>Fiji</v>
          </cell>
        </row>
        <row r="159">
          <cell r="A159" t="str">
            <v>Falkland Islands (Islas Malvinas)</v>
          </cell>
        </row>
        <row r="160">
          <cell r="A160" t="str">
            <v>Faroe Islands</v>
          </cell>
        </row>
        <row r="161">
          <cell r="A161" t="str">
            <v>Micronesia</v>
          </cell>
        </row>
        <row r="162">
          <cell r="A162" t="str">
            <v>Gabon</v>
          </cell>
        </row>
        <row r="163">
          <cell r="A163" t="str">
            <v>Guernsey</v>
          </cell>
        </row>
        <row r="164">
          <cell r="A164" t="str">
            <v>Gibraltar</v>
          </cell>
        </row>
        <row r="165">
          <cell r="A165" t="str">
            <v>Guinea</v>
          </cell>
        </row>
        <row r="166">
          <cell r="A166" t="str">
            <v>Guadeloupe</v>
          </cell>
        </row>
        <row r="167">
          <cell r="A167" t="str">
            <v>Gambia</v>
          </cell>
        </row>
        <row r="168">
          <cell r="A168" t="str">
            <v>Guinea-Bissau</v>
          </cell>
        </row>
        <row r="169">
          <cell r="A169" t="str">
            <v>Equatorial Guinea</v>
          </cell>
        </row>
        <row r="170">
          <cell r="A170" t="str">
            <v>Grenada</v>
          </cell>
        </row>
        <row r="171">
          <cell r="A171" t="str">
            <v>Greenland</v>
          </cell>
        </row>
        <row r="172">
          <cell r="A172" t="str">
            <v>French Guiana</v>
          </cell>
        </row>
        <row r="173">
          <cell r="A173" t="str">
            <v>Guam</v>
          </cell>
        </row>
        <row r="174">
          <cell r="A174" t="str">
            <v>Guyana</v>
          </cell>
        </row>
        <row r="175">
          <cell r="A175" t="str">
            <v>Heard &amp; McDonald Islands</v>
          </cell>
        </row>
        <row r="176">
          <cell r="A176" t="str">
            <v>Honduras</v>
          </cell>
        </row>
        <row r="177">
          <cell r="A177" t="str">
            <v>Haiti</v>
          </cell>
        </row>
        <row r="178">
          <cell r="A178" t="str">
            <v>Isle of Man</v>
          </cell>
        </row>
        <row r="179">
          <cell r="A179" t="str">
            <v>British Indian Ocean Territory</v>
          </cell>
        </row>
        <row r="180">
          <cell r="A180" t="str">
            <v>Iceland</v>
          </cell>
        </row>
        <row r="181">
          <cell r="A181" t="str">
            <v>Jersey</v>
          </cell>
        </row>
        <row r="182">
          <cell r="A182" t="str">
            <v>Cambodia</v>
          </cell>
        </row>
        <row r="183">
          <cell r="A183" t="str">
            <v>Kiribati</v>
          </cell>
        </row>
        <row r="184">
          <cell r="A184" t="str">
            <v>St. Kitts &amp; Nevis</v>
          </cell>
        </row>
        <row r="185">
          <cell r="A185" t="str">
            <v>Kuwait</v>
          </cell>
        </row>
        <row r="186">
          <cell r="A186" t="str">
            <v>Laos</v>
          </cell>
        </row>
        <row r="187">
          <cell r="A187" t="str">
            <v>Liberia</v>
          </cell>
        </row>
        <row r="188">
          <cell r="A188" t="str">
            <v>St. Lucia</v>
          </cell>
        </row>
        <row r="189">
          <cell r="A189" t="str">
            <v>Liechtenstein</v>
          </cell>
        </row>
        <row r="190">
          <cell r="A190" t="str">
            <v>Lesotho</v>
          </cell>
        </row>
        <row r="191">
          <cell r="A191" t="str">
            <v>St. Martin</v>
          </cell>
        </row>
        <row r="192">
          <cell r="A192" t="str">
            <v>Monaco</v>
          </cell>
        </row>
        <row r="193">
          <cell r="A193" t="str">
            <v>Moldova</v>
          </cell>
        </row>
        <row r="194">
          <cell r="A194" t="str">
            <v>Madagascar</v>
          </cell>
        </row>
        <row r="195">
          <cell r="A195" t="str">
            <v>Maldives</v>
          </cell>
        </row>
        <row r="196">
          <cell r="A196" t="str">
            <v>Marshall Islands</v>
          </cell>
        </row>
        <row r="197">
          <cell r="A197" t="str">
            <v>Mali</v>
          </cell>
        </row>
        <row r="198">
          <cell r="A198" t="str">
            <v>Myanmar (Burma)</v>
          </cell>
        </row>
        <row r="199">
          <cell r="A199" t="str">
            <v>Montenegro</v>
          </cell>
        </row>
        <row r="200">
          <cell r="A200" t="str">
            <v>Mongolia</v>
          </cell>
        </row>
        <row r="201">
          <cell r="A201" t="str">
            <v>Northern Mariana Islands</v>
          </cell>
        </row>
        <row r="202">
          <cell r="A202" t="str">
            <v>Mauritania</v>
          </cell>
        </row>
        <row r="203">
          <cell r="A203" t="str">
            <v>Montserrat</v>
          </cell>
        </row>
        <row r="204">
          <cell r="A204" t="str">
            <v>Martinique</v>
          </cell>
        </row>
        <row r="205">
          <cell r="A205" t="str">
            <v>Mauritius</v>
          </cell>
        </row>
        <row r="206">
          <cell r="A206" t="str">
            <v>Malawi</v>
          </cell>
        </row>
        <row r="207">
          <cell r="A207" t="str">
            <v>Mayotte</v>
          </cell>
        </row>
        <row r="208">
          <cell r="A208" t="str">
            <v>New Caledonia</v>
          </cell>
        </row>
        <row r="209">
          <cell r="A209" t="str">
            <v>Niger</v>
          </cell>
        </row>
        <row r="210">
          <cell r="A210" t="str">
            <v>Norfolk Island</v>
          </cell>
        </row>
        <row r="211">
          <cell r="A211" t="str">
            <v>Niue</v>
          </cell>
        </row>
        <row r="212">
          <cell r="A212" t="str">
            <v>Nauru</v>
          </cell>
        </row>
        <row r="213">
          <cell r="A213" t="str">
            <v>Pitcairn Islands</v>
          </cell>
        </row>
        <row r="214">
          <cell r="A214" t="str">
            <v>Palau</v>
          </cell>
        </row>
        <row r="215">
          <cell r="A215" t="str">
            <v>Papua New Guinea</v>
          </cell>
        </row>
        <row r="216">
          <cell r="A216" t="str">
            <v>North Korea</v>
          </cell>
        </row>
        <row r="217">
          <cell r="A217" t="str">
            <v>Palestine</v>
          </cell>
        </row>
        <row r="218">
          <cell r="A218" t="str">
            <v>French Polynesia</v>
          </cell>
        </row>
        <row r="219">
          <cell r="A219" t="str">
            <v>RÃ©union</v>
          </cell>
        </row>
        <row r="220">
          <cell r="A220" t="str">
            <v>Senegal</v>
          </cell>
        </row>
        <row r="221">
          <cell r="A221" t="str">
            <v>South Georgia &amp; South Sandwich Islands</v>
          </cell>
        </row>
        <row r="222">
          <cell r="A222" t="str">
            <v>Svalbard &amp; Jan Mayen</v>
          </cell>
        </row>
        <row r="223">
          <cell r="A223" t="str">
            <v>Solomon Islands</v>
          </cell>
        </row>
        <row r="224">
          <cell r="A224" t="str">
            <v>Sierra Leone</v>
          </cell>
        </row>
        <row r="225">
          <cell r="A225" t="str">
            <v>San Marino</v>
          </cell>
        </row>
        <row r="226">
          <cell r="A226" t="str">
            <v>Somalia</v>
          </cell>
        </row>
        <row r="227">
          <cell r="A227" t="str">
            <v>St. Pierre &amp; Miquelon</v>
          </cell>
        </row>
        <row r="228">
          <cell r="A228" t="str">
            <v>South Sudan</v>
          </cell>
        </row>
        <row r="229">
          <cell r="A229" t="str">
            <v>SÃ£o TomÃ© &amp; PrÃ­ncipe</v>
          </cell>
        </row>
        <row r="230">
          <cell r="A230" t="str">
            <v>Suriname</v>
          </cell>
        </row>
        <row r="231">
          <cell r="A231" t="str">
            <v>Eswatini</v>
          </cell>
        </row>
        <row r="232">
          <cell r="A232" t="str">
            <v>Sint Maarten</v>
          </cell>
        </row>
        <row r="233">
          <cell r="A233" t="str">
            <v>Seychelles</v>
          </cell>
        </row>
        <row r="234">
          <cell r="A234" t="str">
            <v>Turks &amp; Caicos Islands</v>
          </cell>
        </row>
        <row r="235">
          <cell r="A235" t="str">
            <v>Chad</v>
          </cell>
        </row>
        <row r="236">
          <cell r="A236" t="str">
            <v>Togo</v>
          </cell>
        </row>
        <row r="237">
          <cell r="A237" t="str">
            <v>Tajikistan</v>
          </cell>
        </row>
        <row r="238">
          <cell r="A238" t="str">
            <v>Tokelau</v>
          </cell>
        </row>
        <row r="239">
          <cell r="A239" t="str">
            <v>Turkmenistan</v>
          </cell>
        </row>
        <row r="240">
          <cell r="A240" t="str">
            <v>Timor-Leste</v>
          </cell>
        </row>
        <row r="241">
          <cell r="A241" t="str">
            <v>Tonga</v>
          </cell>
        </row>
        <row r="242">
          <cell r="A242" t="str">
            <v>Tuvalu</v>
          </cell>
        </row>
        <row r="243">
          <cell r="A243" t="str">
            <v>Uganda</v>
          </cell>
        </row>
        <row r="244">
          <cell r="A244" t="str">
            <v>U.S. Outlying Islands</v>
          </cell>
        </row>
        <row r="245">
          <cell r="A245" t="str">
            <v>Uzbekistan</v>
          </cell>
        </row>
        <row r="246">
          <cell r="A246" t="str">
            <v>Vatican City</v>
          </cell>
        </row>
        <row r="247">
          <cell r="A247" t="str">
            <v>St. Vincent &amp; Grenadines</v>
          </cell>
        </row>
        <row r="248">
          <cell r="A248" t="str">
            <v>British Virgin Islands</v>
          </cell>
        </row>
        <row r="249">
          <cell r="A249" t="str">
            <v>U.S. Virgin Islands</v>
          </cell>
        </row>
        <row r="250">
          <cell r="A250" t="str">
            <v>Vanuatu</v>
          </cell>
        </row>
        <row r="251">
          <cell r="A251" t="str">
            <v>Wallis &amp; Futuna</v>
          </cell>
        </row>
        <row r="252">
          <cell r="A252" t="str">
            <v>Samoa</v>
          </cell>
        </row>
        <row r="253">
          <cell r="A253" t="str">
            <v>Kosovo</v>
          </cell>
        </row>
      </sheetData>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40)"/>
    </sheetNames>
    <sheetDataSet>
      <sheetData sheetId="0" refreshError="1">
        <row r="1">
          <cell r="A1" t="str">
            <v>Kategori: TÃ¼m kategoriler</v>
          </cell>
        </row>
        <row r="3">
          <cell r="A3" t="str">
            <v>Ãœlke</v>
          </cell>
          <cell r="B3" t="str">
            <v>Edge detection: (2018)</v>
          </cell>
          <cell r="C3" t="str">
            <v>ImageNet: (2018)</v>
          </cell>
        </row>
        <row r="4">
          <cell r="A4" t="str">
            <v>China</v>
          </cell>
          <cell r="B4">
            <v>0.31</v>
          </cell>
          <cell r="C4">
            <v>0.69</v>
          </cell>
        </row>
        <row r="5">
          <cell r="A5" t="str">
            <v>South Korea</v>
          </cell>
          <cell r="B5">
            <v>0.36</v>
          </cell>
          <cell r="C5">
            <v>0.64</v>
          </cell>
        </row>
        <row r="6">
          <cell r="A6" t="str">
            <v>Singapore</v>
          </cell>
          <cell r="B6">
            <v>0.37</v>
          </cell>
          <cell r="C6">
            <v>0.63</v>
          </cell>
        </row>
        <row r="7">
          <cell r="A7" t="str">
            <v>Taiwan</v>
          </cell>
          <cell r="B7">
            <v>0.33</v>
          </cell>
          <cell r="C7">
            <v>0.67</v>
          </cell>
        </row>
        <row r="8">
          <cell r="A8" t="str">
            <v>Hong Kong</v>
          </cell>
          <cell r="B8">
            <v>0.32</v>
          </cell>
          <cell r="C8">
            <v>0.68</v>
          </cell>
        </row>
        <row r="9">
          <cell r="A9" t="str">
            <v>Pakistan</v>
          </cell>
          <cell r="B9">
            <v>0.77</v>
          </cell>
          <cell r="C9">
            <v>0.23</v>
          </cell>
        </row>
        <row r="10">
          <cell r="A10" t="str">
            <v>St. Helena</v>
          </cell>
          <cell r="B10">
            <v>0.43</v>
          </cell>
          <cell r="C10">
            <v>0.56999999999999995</v>
          </cell>
        </row>
        <row r="11">
          <cell r="A11" t="str">
            <v>Israel</v>
          </cell>
          <cell r="B11">
            <v>0.44</v>
          </cell>
          <cell r="C11">
            <v>0.56000000000000005</v>
          </cell>
        </row>
        <row r="12">
          <cell r="A12" t="str">
            <v>India</v>
          </cell>
          <cell r="B12">
            <v>0.69</v>
          </cell>
          <cell r="C12">
            <v>0.31</v>
          </cell>
        </row>
        <row r="13">
          <cell r="A13" t="str">
            <v>Bangladesh</v>
          </cell>
          <cell r="B13">
            <v>1</v>
          </cell>
        </row>
        <row r="14">
          <cell r="A14" t="str">
            <v>Switzerland</v>
          </cell>
          <cell r="B14">
            <v>0.49</v>
          </cell>
          <cell r="C14">
            <v>0.51</v>
          </cell>
        </row>
        <row r="15">
          <cell r="A15" t="str">
            <v>Japan</v>
          </cell>
          <cell r="B15">
            <v>0.49</v>
          </cell>
          <cell r="C15">
            <v>0.51</v>
          </cell>
        </row>
        <row r="16">
          <cell r="A16" t="str">
            <v>Algeria</v>
          </cell>
          <cell r="B16">
            <v>1</v>
          </cell>
        </row>
        <row r="17">
          <cell r="A17" t="str">
            <v>Sri Lanka</v>
          </cell>
          <cell r="B17">
            <v>1</v>
          </cell>
        </row>
        <row r="18">
          <cell r="A18" t="str">
            <v>Denmark</v>
          </cell>
          <cell r="B18">
            <v>0.64</v>
          </cell>
          <cell r="C18">
            <v>0.36</v>
          </cell>
        </row>
        <row r="19">
          <cell r="A19" t="str">
            <v>Sweden</v>
          </cell>
          <cell r="B19">
            <v>0.37</v>
          </cell>
          <cell r="C19">
            <v>0.63</v>
          </cell>
        </row>
        <row r="20">
          <cell r="A20" t="str">
            <v>United States</v>
          </cell>
          <cell r="B20">
            <v>0.41</v>
          </cell>
          <cell r="C20">
            <v>0.59</v>
          </cell>
        </row>
        <row r="21">
          <cell r="A21" t="str">
            <v>Ireland</v>
          </cell>
          <cell r="B21">
            <v>0.43</v>
          </cell>
          <cell r="C21">
            <v>0.56999999999999995</v>
          </cell>
        </row>
        <row r="22">
          <cell r="A22" t="str">
            <v>Malaysia</v>
          </cell>
          <cell r="B22">
            <v>0.77</v>
          </cell>
          <cell r="C22">
            <v>0.23</v>
          </cell>
        </row>
        <row r="23">
          <cell r="A23" t="str">
            <v>Germany</v>
          </cell>
          <cell r="B23">
            <v>0.53</v>
          </cell>
          <cell r="C23">
            <v>0.47</v>
          </cell>
        </row>
        <row r="24">
          <cell r="A24" t="str">
            <v>Egypt</v>
          </cell>
          <cell r="B24">
            <v>1</v>
          </cell>
        </row>
        <row r="25">
          <cell r="A25" t="str">
            <v>Canada</v>
          </cell>
          <cell r="B25">
            <v>0.5</v>
          </cell>
          <cell r="C25">
            <v>0.5</v>
          </cell>
        </row>
        <row r="26">
          <cell r="A26" t="str">
            <v>Iran</v>
          </cell>
          <cell r="B26">
            <v>0.73</v>
          </cell>
          <cell r="C26">
            <v>0.27</v>
          </cell>
        </row>
        <row r="27">
          <cell r="A27" t="str">
            <v>Iraq</v>
          </cell>
          <cell r="B27">
            <v>1</v>
          </cell>
        </row>
        <row r="28">
          <cell r="A28" t="str">
            <v>Czechia</v>
          </cell>
          <cell r="B28">
            <v>1</v>
          </cell>
        </row>
        <row r="29">
          <cell r="A29" t="str">
            <v>Belgium</v>
          </cell>
          <cell r="B29">
            <v>0.61</v>
          </cell>
          <cell r="C29">
            <v>0.39</v>
          </cell>
        </row>
        <row r="30">
          <cell r="A30" t="str">
            <v>Finland</v>
          </cell>
          <cell r="B30">
            <v>0.45</v>
          </cell>
          <cell r="C30">
            <v>0.55000000000000004</v>
          </cell>
        </row>
        <row r="31">
          <cell r="A31" t="str">
            <v>Philippines</v>
          </cell>
          <cell r="B31">
            <v>0.41</v>
          </cell>
          <cell r="C31">
            <v>0.59</v>
          </cell>
        </row>
        <row r="32">
          <cell r="A32" t="str">
            <v>Norway</v>
          </cell>
          <cell r="B32">
            <v>0.44</v>
          </cell>
          <cell r="C32">
            <v>0.56000000000000005</v>
          </cell>
        </row>
        <row r="33">
          <cell r="A33" t="str">
            <v>United Kingdom</v>
          </cell>
          <cell r="B33">
            <v>0.51</v>
          </cell>
          <cell r="C33">
            <v>0.49</v>
          </cell>
        </row>
        <row r="34">
          <cell r="A34" t="str">
            <v>Australia</v>
          </cell>
          <cell r="B34">
            <v>0.48</v>
          </cell>
          <cell r="C34">
            <v>0.52</v>
          </cell>
        </row>
        <row r="35">
          <cell r="A35" t="str">
            <v>France</v>
          </cell>
          <cell r="B35">
            <v>0.38</v>
          </cell>
          <cell r="C35">
            <v>0.62</v>
          </cell>
        </row>
        <row r="36">
          <cell r="A36" t="str">
            <v>Netherlands</v>
          </cell>
          <cell r="B36">
            <v>0.55000000000000004</v>
          </cell>
          <cell r="C36">
            <v>0.45</v>
          </cell>
        </row>
        <row r="37">
          <cell r="A37" t="str">
            <v>Hungary</v>
          </cell>
          <cell r="B37">
            <v>1</v>
          </cell>
        </row>
        <row r="38">
          <cell r="A38" t="str">
            <v>Austria</v>
          </cell>
          <cell r="B38">
            <v>0.59</v>
          </cell>
          <cell r="C38">
            <v>0.41</v>
          </cell>
        </row>
        <row r="39">
          <cell r="A39" t="str">
            <v>Romania</v>
          </cell>
          <cell r="B39">
            <v>1</v>
          </cell>
        </row>
        <row r="40">
          <cell r="A40" t="str">
            <v>South Africa</v>
          </cell>
          <cell r="B40">
            <v>0.62</v>
          </cell>
          <cell r="C40">
            <v>0.38</v>
          </cell>
        </row>
        <row r="41">
          <cell r="A41" t="str">
            <v>Portugal</v>
          </cell>
          <cell r="B41">
            <v>0.55000000000000004</v>
          </cell>
          <cell r="C41">
            <v>0.45</v>
          </cell>
        </row>
        <row r="42">
          <cell r="A42" t="str">
            <v>Vietnam</v>
          </cell>
          <cell r="B42">
            <v>0.67</v>
          </cell>
          <cell r="C42">
            <v>0.33</v>
          </cell>
        </row>
        <row r="43">
          <cell r="A43" t="str">
            <v>Turkey</v>
          </cell>
          <cell r="B43">
            <v>0.66</v>
          </cell>
          <cell r="C43">
            <v>0.34</v>
          </cell>
        </row>
        <row r="44">
          <cell r="A44" t="str">
            <v>Indonesia</v>
          </cell>
          <cell r="B44">
            <v>0.93</v>
          </cell>
          <cell r="C44">
            <v>7.0000000000000007E-2</v>
          </cell>
        </row>
        <row r="45">
          <cell r="A45" t="str">
            <v>Chile</v>
          </cell>
        </row>
        <row r="46">
          <cell r="A46" t="str">
            <v>Poland</v>
          </cell>
          <cell r="B46">
            <v>0.57999999999999996</v>
          </cell>
          <cell r="C46">
            <v>0.42</v>
          </cell>
        </row>
        <row r="47">
          <cell r="A47" t="str">
            <v>Spain</v>
          </cell>
          <cell r="B47">
            <v>0.43</v>
          </cell>
          <cell r="C47">
            <v>0.56999999999999995</v>
          </cell>
        </row>
        <row r="48">
          <cell r="A48" t="str">
            <v>Russia</v>
          </cell>
          <cell r="B48">
            <v>0.49</v>
          </cell>
          <cell r="C48">
            <v>0.51</v>
          </cell>
        </row>
        <row r="49">
          <cell r="A49" t="str">
            <v>Thailand</v>
          </cell>
          <cell r="B49">
            <v>0.65</v>
          </cell>
          <cell r="C49">
            <v>0.35</v>
          </cell>
        </row>
        <row r="50">
          <cell r="A50" t="str">
            <v>Mexico</v>
          </cell>
          <cell r="B50">
            <v>0.68</v>
          </cell>
          <cell r="C50">
            <v>0.32</v>
          </cell>
        </row>
        <row r="51">
          <cell r="A51" t="str">
            <v>Italy</v>
          </cell>
          <cell r="B51">
            <v>0.53</v>
          </cell>
          <cell r="C51">
            <v>0.47</v>
          </cell>
        </row>
        <row r="52">
          <cell r="A52" t="str">
            <v>Colombia</v>
          </cell>
          <cell r="B52">
            <v>1</v>
          </cell>
        </row>
        <row r="53">
          <cell r="A53" t="str">
            <v>Ukraine</v>
          </cell>
          <cell r="B53">
            <v>0.53</v>
          </cell>
          <cell r="C53">
            <v>0.47</v>
          </cell>
        </row>
        <row r="54">
          <cell r="A54" t="str">
            <v>Brazil</v>
          </cell>
          <cell r="B54">
            <v>0.38</v>
          </cell>
          <cell r="C54">
            <v>0.62</v>
          </cell>
        </row>
        <row r="55">
          <cell r="A55" t="str">
            <v>French Guiana</v>
          </cell>
        </row>
        <row r="56">
          <cell r="A56" t="str">
            <v>French Polynesia</v>
          </cell>
        </row>
        <row r="57">
          <cell r="A57" t="str">
            <v>Myanmar (Burma)</v>
          </cell>
        </row>
        <row r="58">
          <cell r="A58" t="str">
            <v>Benin</v>
          </cell>
        </row>
        <row r="59">
          <cell r="A59" t="str">
            <v>Malta</v>
          </cell>
        </row>
        <row r="60">
          <cell r="A60" t="str">
            <v>Rwanda</v>
          </cell>
        </row>
        <row r="61">
          <cell r="A61" t="str">
            <v>Madagascar</v>
          </cell>
        </row>
        <row r="62">
          <cell r="A62" t="str">
            <v>Brunei</v>
          </cell>
        </row>
        <row r="63">
          <cell r="A63" t="str">
            <v>Nepal</v>
          </cell>
        </row>
        <row r="64">
          <cell r="A64" t="str">
            <v>Ethiopia</v>
          </cell>
        </row>
        <row r="65">
          <cell r="A65" t="str">
            <v>Tunisia</v>
          </cell>
        </row>
        <row r="66">
          <cell r="A66" t="str">
            <v>Montenegro</v>
          </cell>
        </row>
        <row r="67">
          <cell r="A67" t="str">
            <v>Syria</v>
          </cell>
        </row>
        <row r="68">
          <cell r="A68" t="str">
            <v>Zimbabwe</v>
          </cell>
        </row>
        <row r="69">
          <cell r="A69" t="str">
            <v>Jamaica</v>
          </cell>
        </row>
        <row r="70">
          <cell r="A70" t="str">
            <v>Slovenia</v>
          </cell>
        </row>
        <row r="71">
          <cell r="A71" t="str">
            <v>Senegal</v>
          </cell>
        </row>
        <row r="72">
          <cell r="A72" t="str">
            <v>Trinidad &amp; Tobago</v>
          </cell>
        </row>
        <row r="73">
          <cell r="A73" t="str">
            <v>Libya</v>
          </cell>
        </row>
        <row r="74">
          <cell r="A74" t="str">
            <v>Qatar</v>
          </cell>
        </row>
        <row r="75">
          <cell r="A75" t="str">
            <v>Luxembourg</v>
          </cell>
        </row>
        <row r="76">
          <cell r="A76" t="str">
            <v>Palestine</v>
          </cell>
        </row>
        <row r="77">
          <cell r="A77" t="str">
            <v>Nicaragua</v>
          </cell>
        </row>
        <row r="78">
          <cell r="A78" t="str">
            <v>North Macedonia</v>
          </cell>
        </row>
        <row r="79">
          <cell r="A79" t="str">
            <v>Yemen</v>
          </cell>
        </row>
        <row r="80">
          <cell r="A80" t="str">
            <v>Lebanon</v>
          </cell>
        </row>
        <row r="81">
          <cell r="A81" t="str">
            <v>CÃ´te dâ€™Ivoire</v>
          </cell>
        </row>
        <row r="82">
          <cell r="A82" t="str">
            <v>United Arab Emirates</v>
          </cell>
        </row>
        <row r="83">
          <cell r="A83" t="str">
            <v>Sudan</v>
          </cell>
        </row>
        <row r="84">
          <cell r="A84" t="str">
            <v>Oman</v>
          </cell>
        </row>
        <row r="85">
          <cell r="A85" t="str">
            <v>Cyprus</v>
          </cell>
        </row>
        <row r="86">
          <cell r="A86" t="str">
            <v>New Zealand</v>
          </cell>
        </row>
        <row r="87">
          <cell r="A87" t="str">
            <v>Cambodia</v>
          </cell>
        </row>
        <row r="88">
          <cell r="A88" t="str">
            <v>Estonia</v>
          </cell>
        </row>
        <row r="89">
          <cell r="A89" t="str">
            <v>Bulgaria</v>
          </cell>
        </row>
        <row r="90">
          <cell r="A90" t="str">
            <v>Moldova</v>
          </cell>
        </row>
        <row r="91">
          <cell r="A91" t="str">
            <v>El Salvador</v>
          </cell>
        </row>
        <row r="92">
          <cell r="A92" t="str">
            <v>Ghana</v>
          </cell>
        </row>
        <row r="93">
          <cell r="A93" t="str">
            <v>Serbia</v>
          </cell>
        </row>
        <row r="94">
          <cell r="A94" t="str">
            <v>Puerto Rico</v>
          </cell>
        </row>
        <row r="95">
          <cell r="A95" t="str">
            <v>Latvia</v>
          </cell>
        </row>
        <row r="96">
          <cell r="A96" t="str">
            <v>Georgia</v>
          </cell>
        </row>
        <row r="97">
          <cell r="A97" t="str">
            <v>Greece</v>
          </cell>
        </row>
        <row r="98">
          <cell r="A98" t="str">
            <v>Bosnia &amp; Herzegovina</v>
          </cell>
        </row>
        <row r="99">
          <cell r="A99" t="str">
            <v>Kenya</v>
          </cell>
        </row>
        <row r="100">
          <cell r="A100" t="str">
            <v>Croatia</v>
          </cell>
        </row>
        <row r="101">
          <cell r="A101" t="str">
            <v>Morocco</v>
          </cell>
        </row>
        <row r="102">
          <cell r="A102" t="str">
            <v>Belarus</v>
          </cell>
        </row>
        <row r="103">
          <cell r="A103" t="str">
            <v>Jordan</v>
          </cell>
        </row>
        <row r="104">
          <cell r="A104" t="str">
            <v>Costa Rica</v>
          </cell>
        </row>
        <row r="105">
          <cell r="A105" t="str">
            <v>Lithuania</v>
          </cell>
        </row>
        <row r="106">
          <cell r="A106" t="str">
            <v>Nigeria</v>
          </cell>
        </row>
        <row r="107">
          <cell r="A107" t="str">
            <v>Slovakia</v>
          </cell>
        </row>
        <row r="108">
          <cell r="A108" t="str">
            <v>Saudi Arabia</v>
          </cell>
        </row>
        <row r="109">
          <cell r="A109" t="str">
            <v>Peru</v>
          </cell>
        </row>
        <row r="110">
          <cell r="A110" t="str">
            <v>Ecuador</v>
          </cell>
        </row>
        <row r="111">
          <cell r="A111" t="str">
            <v>Kazakhstan</v>
          </cell>
        </row>
        <row r="112">
          <cell r="A112" t="str">
            <v>Argentina</v>
          </cell>
        </row>
        <row r="113">
          <cell r="A113" t="str">
            <v>Venezuela</v>
          </cell>
        </row>
        <row r="114">
          <cell r="A114" t="str">
            <v>Aruba</v>
          </cell>
        </row>
        <row r="115">
          <cell r="A115" t="str">
            <v>Afghanistan</v>
          </cell>
        </row>
        <row r="116">
          <cell r="A116" t="str">
            <v>Angola</v>
          </cell>
        </row>
        <row r="117">
          <cell r="A117" t="str">
            <v>Anguilla</v>
          </cell>
        </row>
        <row r="118">
          <cell r="A118" t="str">
            <v>Ã…land Islands</v>
          </cell>
        </row>
        <row r="119">
          <cell r="A119" t="str">
            <v>Albania</v>
          </cell>
        </row>
        <row r="120">
          <cell r="A120" t="str">
            <v>Andorra</v>
          </cell>
        </row>
        <row r="121">
          <cell r="A121" t="str">
            <v>Armenia</v>
          </cell>
        </row>
        <row r="122">
          <cell r="A122" t="str">
            <v>American Samoa</v>
          </cell>
        </row>
        <row r="123">
          <cell r="A123" t="str">
            <v>Antarctica</v>
          </cell>
        </row>
        <row r="124">
          <cell r="A124" t="str">
            <v>French Southern Territories</v>
          </cell>
        </row>
        <row r="125">
          <cell r="A125" t="str">
            <v>Antigua &amp; Barbuda</v>
          </cell>
        </row>
        <row r="126">
          <cell r="A126" t="str">
            <v>Azerbaijan</v>
          </cell>
        </row>
        <row r="127">
          <cell r="A127" t="str">
            <v>Burundi</v>
          </cell>
        </row>
        <row r="128">
          <cell r="A128" t="str">
            <v>Caribbean Netherlands</v>
          </cell>
        </row>
        <row r="129">
          <cell r="A129" t="str">
            <v>Burkina Faso</v>
          </cell>
        </row>
        <row r="130">
          <cell r="A130" t="str">
            <v>Bahrain</v>
          </cell>
        </row>
        <row r="131">
          <cell r="A131" t="str">
            <v>Bahamas</v>
          </cell>
        </row>
        <row r="132">
          <cell r="A132" t="str">
            <v>St. BarthÃ©lemy</v>
          </cell>
        </row>
        <row r="133">
          <cell r="A133" t="str">
            <v>Belize</v>
          </cell>
        </row>
        <row r="134">
          <cell r="A134" t="str">
            <v>Bermuda</v>
          </cell>
        </row>
        <row r="135">
          <cell r="A135" t="str">
            <v>Bolivia</v>
          </cell>
        </row>
        <row r="136">
          <cell r="A136" t="str">
            <v>Barbados</v>
          </cell>
        </row>
        <row r="137">
          <cell r="A137" t="str">
            <v>Bhutan</v>
          </cell>
        </row>
        <row r="138">
          <cell r="A138" t="str">
            <v>Bouvet Island</v>
          </cell>
        </row>
        <row r="139">
          <cell r="A139" t="str">
            <v>Botswana</v>
          </cell>
        </row>
        <row r="140">
          <cell r="A140" t="str">
            <v>Central African Republic</v>
          </cell>
        </row>
        <row r="141">
          <cell r="A141" t="str">
            <v>Cocos (Keeling) Islands</v>
          </cell>
        </row>
        <row r="142">
          <cell r="A142" t="str">
            <v>Cameroon</v>
          </cell>
        </row>
        <row r="143">
          <cell r="A143" t="str">
            <v>Congo - Kinshasa</v>
          </cell>
        </row>
        <row r="144">
          <cell r="A144" t="str">
            <v>Congo - Brazzaville</v>
          </cell>
        </row>
        <row r="145">
          <cell r="A145" t="str">
            <v>Cook Islands</v>
          </cell>
        </row>
        <row r="146">
          <cell r="A146" t="str">
            <v>Comoros</v>
          </cell>
        </row>
        <row r="147">
          <cell r="A147" t="str">
            <v>Cape Verde</v>
          </cell>
        </row>
        <row r="148">
          <cell r="A148" t="str">
            <v>Cuba</v>
          </cell>
        </row>
        <row r="149">
          <cell r="A149" t="str">
            <v>CuraÃ§ao</v>
          </cell>
        </row>
        <row r="150">
          <cell r="A150" t="str">
            <v>Christmas Island</v>
          </cell>
        </row>
        <row r="151">
          <cell r="A151" t="str">
            <v>Cayman Islands</v>
          </cell>
        </row>
        <row r="152">
          <cell r="A152" t="str">
            <v>Djibouti</v>
          </cell>
        </row>
        <row r="153">
          <cell r="A153" t="str">
            <v>Dominica</v>
          </cell>
        </row>
        <row r="154">
          <cell r="A154" t="str">
            <v>Dominican Republic</v>
          </cell>
        </row>
        <row r="155">
          <cell r="A155" t="str">
            <v>Eritrea</v>
          </cell>
        </row>
        <row r="156">
          <cell r="A156" t="str">
            <v>Western Sahara</v>
          </cell>
        </row>
        <row r="157">
          <cell r="A157" t="str">
            <v>Fiji</v>
          </cell>
        </row>
        <row r="158">
          <cell r="A158" t="str">
            <v>Falkland Islands (Islas Malvinas)</v>
          </cell>
        </row>
        <row r="159">
          <cell r="A159" t="str">
            <v>Faroe Islands</v>
          </cell>
        </row>
        <row r="160">
          <cell r="A160" t="str">
            <v>Micronesia</v>
          </cell>
        </row>
        <row r="161">
          <cell r="A161" t="str">
            <v>Gabon</v>
          </cell>
        </row>
        <row r="162">
          <cell r="A162" t="str">
            <v>Guernsey</v>
          </cell>
        </row>
        <row r="163">
          <cell r="A163" t="str">
            <v>Gibraltar</v>
          </cell>
        </row>
        <row r="164">
          <cell r="A164" t="str">
            <v>Guinea</v>
          </cell>
        </row>
        <row r="165">
          <cell r="A165" t="str">
            <v>Guadeloupe</v>
          </cell>
        </row>
        <row r="166">
          <cell r="A166" t="str">
            <v>Gambia</v>
          </cell>
        </row>
        <row r="167">
          <cell r="A167" t="str">
            <v>Guinea-Bissau</v>
          </cell>
        </row>
        <row r="168">
          <cell r="A168" t="str">
            <v>Equatorial Guinea</v>
          </cell>
        </row>
        <row r="169">
          <cell r="A169" t="str">
            <v>Grenada</v>
          </cell>
        </row>
        <row r="170">
          <cell r="A170" t="str">
            <v>Greenland</v>
          </cell>
        </row>
        <row r="171">
          <cell r="A171" t="str">
            <v>Guatemala</v>
          </cell>
        </row>
        <row r="172">
          <cell r="A172" t="str">
            <v>Guam</v>
          </cell>
        </row>
        <row r="173">
          <cell r="A173" t="str">
            <v>Guyana</v>
          </cell>
        </row>
        <row r="174">
          <cell r="A174" t="str">
            <v>Heard &amp; McDonald Islands</v>
          </cell>
        </row>
        <row r="175">
          <cell r="A175" t="str">
            <v>Honduras</v>
          </cell>
        </row>
        <row r="176">
          <cell r="A176" t="str">
            <v>Haiti</v>
          </cell>
        </row>
        <row r="177">
          <cell r="A177" t="str">
            <v>Isle of Man</v>
          </cell>
        </row>
        <row r="178">
          <cell r="A178" t="str">
            <v>British Indian Ocean Territory</v>
          </cell>
        </row>
        <row r="179">
          <cell r="A179" t="str">
            <v>Iceland</v>
          </cell>
        </row>
        <row r="180">
          <cell r="A180" t="str">
            <v>Jersey</v>
          </cell>
        </row>
        <row r="181">
          <cell r="A181" t="str">
            <v>Kyrgyzstan</v>
          </cell>
        </row>
        <row r="182">
          <cell r="A182" t="str">
            <v>Kiribati</v>
          </cell>
        </row>
        <row r="183">
          <cell r="A183" t="str">
            <v>St. Kitts &amp; Nevis</v>
          </cell>
        </row>
        <row r="184">
          <cell r="A184" t="str">
            <v>Kuwait</v>
          </cell>
        </row>
        <row r="185">
          <cell r="A185" t="str">
            <v>Laos</v>
          </cell>
        </row>
        <row r="186">
          <cell r="A186" t="str">
            <v>Liberia</v>
          </cell>
        </row>
        <row r="187">
          <cell r="A187" t="str">
            <v>St. Lucia</v>
          </cell>
        </row>
        <row r="188">
          <cell r="A188" t="str">
            <v>Liechtenstein</v>
          </cell>
        </row>
        <row r="189">
          <cell r="A189" t="str">
            <v>Lesotho</v>
          </cell>
        </row>
        <row r="190">
          <cell r="A190" t="str">
            <v>Macao</v>
          </cell>
        </row>
        <row r="191">
          <cell r="A191" t="str">
            <v>St. Martin</v>
          </cell>
        </row>
        <row r="192">
          <cell r="A192" t="str">
            <v>Monaco</v>
          </cell>
        </row>
        <row r="193">
          <cell r="A193" t="str">
            <v>Maldives</v>
          </cell>
        </row>
        <row r="194">
          <cell r="A194" t="str">
            <v>Marshall Islands</v>
          </cell>
        </row>
        <row r="195">
          <cell r="A195" t="str">
            <v>Mali</v>
          </cell>
        </row>
        <row r="196">
          <cell r="A196" t="str">
            <v>Mongolia</v>
          </cell>
        </row>
        <row r="197">
          <cell r="A197" t="str">
            <v>Northern Mariana Islands</v>
          </cell>
        </row>
        <row r="198">
          <cell r="A198" t="str">
            <v>Mozambique</v>
          </cell>
        </row>
        <row r="199">
          <cell r="A199" t="str">
            <v>Mauritania</v>
          </cell>
        </row>
        <row r="200">
          <cell r="A200" t="str">
            <v>Montserrat</v>
          </cell>
        </row>
        <row r="201">
          <cell r="A201" t="str">
            <v>Martinique</v>
          </cell>
        </row>
        <row r="202">
          <cell r="A202" t="str">
            <v>Mauritius</v>
          </cell>
        </row>
        <row r="203">
          <cell r="A203" t="str">
            <v>Malawi</v>
          </cell>
        </row>
        <row r="204">
          <cell r="A204" t="str">
            <v>Mayotte</v>
          </cell>
        </row>
        <row r="205">
          <cell r="A205" t="str">
            <v>Namibia</v>
          </cell>
        </row>
        <row r="206">
          <cell r="A206" t="str">
            <v>New Caledonia</v>
          </cell>
        </row>
        <row r="207">
          <cell r="A207" t="str">
            <v>Niger</v>
          </cell>
        </row>
        <row r="208">
          <cell r="A208" t="str">
            <v>Norfolk Island</v>
          </cell>
        </row>
        <row r="209">
          <cell r="A209" t="str">
            <v>Niue</v>
          </cell>
        </row>
        <row r="210">
          <cell r="A210" t="str">
            <v>Nauru</v>
          </cell>
        </row>
        <row r="211">
          <cell r="A211" t="str">
            <v>Panama</v>
          </cell>
        </row>
        <row r="212">
          <cell r="A212" t="str">
            <v>Pitcairn Islands</v>
          </cell>
        </row>
        <row r="213">
          <cell r="A213" t="str">
            <v>Palau</v>
          </cell>
        </row>
        <row r="214">
          <cell r="A214" t="str">
            <v>Papua New Guinea</v>
          </cell>
        </row>
        <row r="215">
          <cell r="A215" t="str">
            <v>North Korea</v>
          </cell>
        </row>
        <row r="216">
          <cell r="A216" t="str">
            <v>Paraguay</v>
          </cell>
        </row>
        <row r="217">
          <cell r="A217" t="str">
            <v>RÃ©union</v>
          </cell>
        </row>
        <row r="218">
          <cell r="A218" t="str">
            <v>South Georgia &amp; South Sandwich Islands</v>
          </cell>
        </row>
        <row r="219">
          <cell r="A219" t="str">
            <v>Svalbard &amp; Jan Mayen</v>
          </cell>
        </row>
        <row r="220">
          <cell r="A220" t="str">
            <v>Solomon Islands</v>
          </cell>
        </row>
        <row r="221">
          <cell r="A221" t="str">
            <v>Sierra Leone</v>
          </cell>
        </row>
        <row r="222">
          <cell r="A222" t="str">
            <v>San Marino</v>
          </cell>
        </row>
        <row r="223">
          <cell r="A223" t="str">
            <v>Somalia</v>
          </cell>
        </row>
        <row r="224">
          <cell r="A224" t="str">
            <v>St. Pierre &amp; Miquelon</v>
          </cell>
        </row>
        <row r="225">
          <cell r="A225" t="str">
            <v>South Sudan</v>
          </cell>
        </row>
        <row r="226">
          <cell r="A226" t="str">
            <v>SÃ£o TomÃ© &amp; PrÃ­ncipe</v>
          </cell>
        </row>
        <row r="227">
          <cell r="A227" t="str">
            <v>Suriname</v>
          </cell>
        </row>
        <row r="228">
          <cell r="A228" t="str">
            <v>Eswatini</v>
          </cell>
        </row>
        <row r="229">
          <cell r="A229" t="str">
            <v>Sint Maarten</v>
          </cell>
        </row>
        <row r="230">
          <cell r="A230" t="str">
            <v>Seychelles</v>
          </cell>
        </row>
        <row r="231">
          <cell r="A231" t="str">
            <v>Turks &amp; Caicos Islands</v>
          </cell>
        </row>
        <row r="232">
          <cell r="A232" t="str">
            <v>Chad</v>
          </cell>
        </row>
        <row r="233">
          <cell r="A233" t="str">
            <v>Togo</v>
          </cell>
        </row>
        <row r="234">
          <cell r="A234" t="str">
            <v>Tajikistan</v>
          </cell>
        </row>
        <row r="235">
          <cell r="A235" t="str">
            <v>Tokelau</v>
          </cell>
        </row>
        <row r="236">
          <cell r="A236" t="str">
            <v>Turkmenistan</v>
          </cell>
        </row>
        <row r="237">
          <cell r="A237" t="str">
            <v>Timor-Leste</v>
          </cell>
        </row>
        <row r="238">
          <cell r="A238" t="str">
            <v>Tonga</v>
          </cell>
        </row>
        <row r="239">
          <cell r="A239" t="str">
            <v>Tuvalu</v>
          </cell>
        </row>
        <row r="240">
          <cell r="A240" t="str">
            <v>Tanzania</v>
          </cell>
        </row>
        <row r="241">
          <cell r="A241" t="str">
            <v>Uganda</v>
          </cell>
        </row>
        <row r="242">
          <cell r="A242" t="str">
            <v>U.S. Outlying Islands</v>
          </cell>
        </row>
        <row r="243">
          <cell r="A243" t="str">
            <v>Uruguay</v>
          </cell>
        </row>
        <row r="244">
          <cell r="A244" t="str">
            <v>Uzbekistan</v>
          </cell>
        </row>
        <row r="245">
          <cell r="A245" t="str">
            <v>Vatican City</v>
          </cell>
        </row>
        <row r="246">
          <cell r="A246" t="str">
            <v>St. Vincent &amp; Grenadines</v>
          </cell>
        </row>
        <row r="247">
          <cell r="A247" t="str">
            <v>British Virgin Islands</v>
          </cell>
        </row>
        <row r="248">
          <cell r="A248" t="str">
            <v>U.S. Virgin Islands</v>
          </cell>
        </row>
        <row r="249">
          <cell r="A249" t="str">
            <v>Vanuatu</v>
          </cell>
        </row>
        <row r="250">
          <cell r="A250" t="str">
            <v>Wallis &amp; Futuna</v>
          </cell>
        </row>
        <row r="251">
          <cell r="A251" t="str">
            <v>Samoa</v>
          </cell>
        </row>
        <row r="252">
          <cell r="A252" t="str">
            <v>Kosovo</v>
          </cell>
        </row>
        <row r="253">
          <cell r="A253" t="str">
            <v>Zambia</v>
          </cell>
        </row>
      </sheetData>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41)"/>
    </sheetNames>
    <sheetDataSet>
      <sheetData sheetId="0" refreshError="1">
        <row r="1">
          <cell r="A1" t="str">
            <v>Kategori: TÃ¼m kategoriler</v>
          </cell>
        </row>
        <row r="3">
          <cell r="A3" t="str">
            <v>Ãœlke</v>
          </cell>
          <cell r="B3" t="str">
            <v>ImageNet: (2018)</v>
          </cell>
          <cell r="C3" t="str">
            <v>Kesme kotarÄ±cÄ±: (2018)</v>
          </cell>
        </row>
        <row r="4">
          <cell r="A4" t="str">
            <v>China</v>
          </cell>
          <cell r="B4">
            <v>0.9</v>
          </cell>
          <cell r="C4">
            <v>0.1</v>
          </cell>
        </row>
        <row r="5">
          <cell r="A5" t="str">
            <v>South Korea</v>
          </cell>
          <cell r="B5">
            <v>0.76</v>
          </cell>
          <cell r="C5">
            <v>0.24</v>
          </cell>
        </row>
        <row r="6">
          <cell r="A6" t="str">
            <v>Singapore</v>
          </cell>
          <cell r="B6">
            <v>0.81</v>
          </cell>
          <cell r="C6">
            <v>0.19</v>
          </cell>
        </row>
        <row r="7">
          <cell r="A7" t="str">
            <v>Taiwan</v>
          </cell>
          <cell r="B7">
            <v>0.53</v>
          </cell>
          <cell r="C7">
            <v>0.47</v>
          </cell>
        </row>
        <row r="8">
          <cell r="A8" t="str">
            <v>Hong Kong</v>
          </cell>
          <cell r="B8">
            <v>0.62</v>
          </cell>
          <cell r="C8">
            <v>0.38</v>
          </cell>
        </row>
        <row r="9">
          <cell r="A9" t="str">
            <v>St. Helena</v>
          </cell>
          <cell r="B9">
            <v>0.67</v>
          </cell>
          <cell r="C9">
            <v>0.33</v>
          </cell>
        </row>
        <row r="10">
          <cell r="A10" t="str">
            <v>Israel</v>
          </cell>
          <cell r="B10">
            <v>1</v>
          </cell>
        </row>
        <row r="11">
          <cell r="A11" t="str">
            <v>India</v>
          </cell>
          <cell r="B11">
            <v>0.3</v>
          </cell>
          <cell r="C11">
            <v>0.7</v>
          </cell>
        </row>
        <row r="12">
          <cell r="A12" t="str">
            <v>Nepal</v>
          </cell>
          <cell r="C12">
            <v>1</v>
          </cell>
        </row>
        <row r="13">
          <cell r="A13" t="str">
            <v>Switzerland</v>
          </cell>
          <cell r="B13">
            <v>0.86</v>
          </cell>
          <cell r="C13">
            <v>0.14000000000000001</v>
          </cell>
        </row>
        <row r="14">
          <cell r="A14" t="str">
            <v>Japan</v>
          </cell>
          <cell r="B14">
            <v>0.78</v>
          </cell>
          <cell r="C14">
            <v>0.22</v>
          </cell>
        </row>
        <row r="15">
          <cell r="A15" t="str">
            <v>Pakistan</v>
          </cell>
          <cell r="B15">
            <v>0.34</v>
          </cell>
          <cell r="C15">
            <v>0.66</v>
          </cell>
        </row>
        <row r="16">
          <cell r="A16" t="str">
            <v>Sweden</v>
          </cell>
          <cell r="B16">
            <v>0.76</v>
          </cell>
          <cell r="C16">
            <v>0.24</v>
          </cell>
        </row>
        <row r="17">
          <cell r="A17" t="str">
            <v>United States</v>
          </cell>
          <cell r="B17">
            <v>0.6</v>
          </cell>
          <cell r="C17">
            <v>0.4</v>
          </cell>
        </row>
        <row r="18">
          <cell r="A18" t="str">
            <v>Ireland</v>
          </cell>
          <cell r="B18">
            <v>1</v>
          </cell>
        </row>
        <row r="19">
          <cell r="A19" t="str">
            <v>Canada</v>
          </cell>
          <cell r="B19">
            <v>0.56999999999999995</v>
          </cell>
          <cell r="C19">
            <v>0.43</v>
          </cell>
        </row>
        <row r="20">
          <cell r="A20" t="str">
            <v>Belarus</v>
          </cell>
          <cell r="C20">
            <v>1</v>
          </cell>
        </row>
        <row r="21">
          <cell r="A21" t="str">
            <v>Germany</v>
          </cell>
          <cell r="B21">
            <v>0.67</v>
          </cell>
          <cell r="C21">
            <v>0.33</v>
          </cell>
        </row>
        <row r="22">
          <cell r="A22" t="str">
            <v>Denmark</v>
          </cell>
          <cell r="B22">
            <v>0.44</v>
          </cell>
          <cell r="C22">
            <v>0.56000000000000005</v>
          </cell>
        </row>
        <row r="23">
          <cell r="A23" t="str">
            <v>Finland</v>
          </cell>
        </row>
        <row r="24">
          <cell r="A24" t="str">
            <v>Malaysia</v>
          </cell>
          <cell r="B24">
            <v>0.28000000000000003</v>
          </cell>
          <cell r="C24">
            <v>0.72</v>
          </cell>
        </row>
        <row r="25">
          <cell r="A25" t="str">
            <v>Philippines</v>
          </cell>
          <cell r="B25">
            <v>0.6</v>
          </cell>
          <cell r="C25">
            <v>0.4</v>
          </cell>
        </row>
        <row r="26">
          <cell r="A26" t="str">
            <v>Norway</v>
          </cell>
          <cell r="B26">
            <v>1</v>
          </cell>
        </row>
        <row r="27">
          <cell r="A27" t="str">
            <v>Nigeria</v>
          </cell>
          <cell r="C27">
            <v>1</v>
          </cell>
        </row>
        <row r="28">
          <cell r="A28" t="str">
            <v>United Kingdom</v>
          </cell>
          <cell r="B28">
            <v>0.55000000000000004</v>
          </cell>
          <cell r="C28">
            <v>0.45</v>
          </cell>
        </row>
        <row r="29">
          <cell r="A29" t="str">
            <v>Australia</v>
          </cell>
          <cell r="B29">
            <v>0.5</v>
          </cell>
          <cell r="C29">
            <v>0.5</v>
          </cell>
        </row>
        <row r="30">
          <cell r="A30" t="str">
            <v>France</v>
          </cell>
          <cell r="B30">
            <v>0.9</v>
          </cell>
          <cell r="C30">
            <v>0.1</v>
          </cell>
        </row>
        <row r="31">
          <cell r="A31" t="str">
            <v>Russia</v>
          </cell>
          <cell r="B31">
            <v>0.37</v>
          </cell>
          <cell r="C31">
            <v>0.63</v>
          </cell>
        </row>
        <row r="32">
          <cell r="A32" t="str">
            <v>Belgium</v>
          </cell>
          <cell r="B32">
            <v>1</v>
          </cell>
        </row>
        <row r="33">
          <cell r="A33" t="str">
            <v>Netherlands</v>
          </cell>
          <cell r="B33">
            <v>0.66</v>
          </cell>
          <cell r="C33">
            <v>0.34</v>
          </cell>
        </row>
        <row r="34">
          <cell r="A34" t="str">
            <v>Ukraine</v>
          </cell>
          <cell r="B34">
            <v>0.33</v>
          </cell>
          <cell r="C34">
            <v>0.67</v>
          </cell>
        </row>
        <row r="35">
          <cell r="A35" t="str">
            <v>Kazakhstan</v>
          </cell>
          <cell r="C35">
            <v>1</v>
          </cell>
        </row>
        <row r="36">
          <cell r="A36" t="str">
            <v>Austria</v>
          </cell>
        </row>
        <row r="37">
          <cell r="A37" t="str">
            <v>Chile</v>
          </cell>
          <cell r="B37">
            <v>1</v>
          </cell>
        </row>
        <row r="38">
          <cell r="A38" t="str">
            <v>Portugal</v>
          </cell>
          <cell r="B38">
            <v>1</v>
          </cell>
        </row>
        <row r="39">
          <cell r="A39" t="str">
            <v>Spain</v>
          </cell>
          <cell r="B39">
            <v>0.62</v>
          </cell>
          <cell r="C39">
            <v>0.38</v>
          </cell>
        </row>
        <row r="40">
          <cell r="A40" t="str">
            <v>Iran</v>
          </cell>
          <cell r="B40">
            <v>1</v>
          </cell>
        </row>
        <row r="41">
          <cell r="A41" t="str">
            <v>Poland</v>
          </cell>
          <cell r="B41">
            <v>0.46</v>
          </cell>
          <cell r="C41">
            <v>0.54</v>
          </cell>
        </row>
        <row r="42">
          <cell r="A42" t="str">
            <v>South Africa</v>
          </cell>
          <cell r="B42">
            <v>1</v>
          </cell>
        </row>
        <row r="43">
          <cell r="A43" t="str">
            <v>Italy</v>
          </cell>
          <cell r="B43">
            <v>0.69</v>
          </cell>
          <cell r="C43">
            <v>0.31</v>
          </cell>
        </row>
        <row r="44">
          <cell r="A44" t="str">
            <v>Vietnam</v>
          </cell>
          <cell r="B44">
            <v>0.64</v>
          </cell>
          <cell r="C44">
            <v>0.36</v>
          </cell>
        </row>
        <row r="45">
          <cell r="A45" t="str">
            <v>Turkey</v>
          </cell>
          <cell r="B45">
            <v>0.76</v>
          </cell>
          <cell r="C45">
            <v>0.24</v>
          </cell>
        </row>
        <row r="46">
          <cell r="A46" t="str">
            <v>Mexico</v>
          </cell>
          <cell r="B46">
            <v>0.4</v>
          </cell>
          <cell r="C46">
            <v>0.6</v>
          </cell>
        </row>
        <row r="47">
          <cell r="A47" t="str">
            <v>Brazil</v>
          </cell>
          <cell r="B47">
            <v>1</v>
          </cell>
        </row>
        <row r="48">
          <cell r="A48" t="str">
            <v>Thailand</v>
          </cell>
          <cell r="B48">
            <v>1</v>
          </cell>
        </row>
        <row r="49">
          <cell r="A49" t="str">
            <v>Indonesia</v>
          </cell>
          <cell r="B49">
            <v>0.26</v>
          </cell>
          <cell r="C49">
            <v>0.74</v>
          </cell>
        </row>
        <row r="50">
          <cell r="A50" t="str">
            <v>Togo</v>
          </cell>
        </row>
        <row r="51">
          <cell r="A51" t="str">
            <v>Niger</v>
          </cell>
        </row>
        <row r="52">
          <cell r="A52" t="str">
            <v>Papua New Guinea</v>
          </cell>
        </row>
        <row r="53">
          <cell r="A53" t="str">
            <v>Mauritius</v>
          </cell>
        </row>
        <row r="54">
          <cell r="A54" t="str">
            <v>Macao</v>
          </cell>
        </row>
        <row r="55">
          <cell r="A55" t="str">
            <v>Guinea</v>
          </cell>
        </row>
        <row r="56">
          <cell r="A56" t="str">
            <v>Malta</v>
          </cell>
        </row>
        <row r="57">
          <cell r="A57" t="str">
            <v>Mali</v>
          </cell>
        </row>
        <row r="58">
          <cell r="A58" t="str">
            <v>Martinique</v>
          </cell>
        </row>
        <row r="59">
          <cell r="A59" t="str">
            <v>Senegal</v>
          </cell>
        </row>
        <row r="60">
          <cell r="A60" t="str">
            <v>Burkina Faso</v>
          </cell>
        </row>
        <row r="61">
          <cell r="A61" t="str">
            <v>Afghanistan</v>
          </cell>
        </row>
        <row r="62">
          <cell r="A62" t="str">
            <v>Tunisia</v>
          </cell>
        </row>
        <row r="63">
          <cell r="A63" t="str">
            <v>Luxembourg</v>
          </cell>
        </row>
        <row r="64">
          <cell r="A64" t="str">
            <v>North Macedonia</v>
          </cell>
        </row>
        <row r="65">
          <cell r="A65" t="str">
            <v>Iceland</v>
          </cell>
        </row>
        <row r="66">
          <cell r="A66" t="str">
            <v>Mongolia</v>
          </cell>
        </row>
        <row r="67">
          <cell r="A67" t="str">
            <v>Ethiopia</v>
          </cell>
        </row>
        <row r="68">
          <cell r="A68" t="str">
            <v>Laos</v>
          </cell>
        </row>
        <row r="69">
          <cell r="A69" t="str">
            <v>Cyprus</v>
          </cell>
        </row>
        <row r="70">
          <cell r="A70" t="str">
            <v>Congo - Kinshasa</v>
          </cell>
        </row>
        <row r="71">
          <cell r="A71" t="str">
            <v>Trinidad &amp; Tobago</v>
          </cell>
        </row>
        <row r="72">
          <cell r="A72" t="str">
            <v>New Zealand</v>
          </cell>
        </row>
        <row r="73">
          <cell r="A73" t="str">
            <v>Bahrain</v>
          </cell>
        </row>
        <row r="74">
          <cell r="A74" t="str">
            <v>RÃ©union</v>
          </cell>
        </row>
        <row r="75">
          <cell r="A75" t="str">
            <v>Qatar</v>
          </cell>
        </row>
        <row r="76">
          <cell r="A76" t="str">
            <v>Nicaragua</v>
          </cell>
        </row>
        <row r="77">
          <cell r="A77" t="str">
            <v>Latvia</v>
          </cell>
        </row>
        <row r="78">
          <cell r="A78" t="str">
            <v>Costa Rica</v>
          </cell>
        </row>
        <row r="79">
          <cell r="A79" t="str">
            <v>Estonia</v>
          </cell>
        </row>
        <row r="80">
          <cell r="A80" t="str">
            <v>Myanmar (Burma)</v>
          </cell>
        </row>
        <row r="81">
          <cell r="A81" t="str">
            <v>Croatia</v>
          </cell>
        </row>
        <row r="82">
          <cell r="A82" t="str">
            <v>CÃ´te dâ€™Ivoire</v>
          </cell>
        </row>
        <row r="83">
          <cell r="A83" t="str">
            <v>United Arab Emirates</v>
          </cell>
        </row>
        <row r="84">
          <cell r="A84" t="str">
            <v>Greece</v>
          </cell>
        </row>
        <row r="85">
          <cell r="A85" t="str">
            <v>Sri Lanka</v>
          </cell>
        </row>
        <row r="86">
          <cell r="A86" t="str">
            <v>Serbia</v>
          </cell>
        </row>
        <row r="87">
          <cell r="A87" t="str">
            <v>Armenia</v>
          </cell>
        </row>
        <row r="88">
          <cell r="A88" t="str">
            <v>Tanzania</v>
          </cell>
        </row>
        <row r="89">
          <cell r="A89" t="str">
            <v>Algeria</v>
          </cell>
        </row>
        <row r="90">
          <cell r="A90" t="str">
            <v>Lithuania</v>
          </cell>
        </row>
        <row r="91">
          <cell r="A91" t="str">
            <v>Kyrgyzstan</v>
          </cell>
        </row>
        <row r="92">
          <cell r="A92" t="str">
            <v>Bangladesh</v>
          </cell>
        </row>
        <row r="93">
          <cell r="A93" t="str">
            <v>Uzbekistan</v>
          </cell>
        </row>
        <row r="94">
          <cell r="A94" t="str">
            <v>Ghana</v>
          </cell>
        </row>
        <row r="95">
          <cell r="A95" t="str">
            <v>Puerto Rico</v>
          </cell>
        </row>
        <row r="96">
          <cell r="A96" t="str">
            <v>Georgia</v>
          </cell>
        </row>
        <row r="97">
          <cell r="A97" t="str">
            <v>Romania</v>
          </cell>
        </row>
        <row r="98">
          <cell r="A98" t="str">
            <v>Czechia</v>
          </cell>
        </row>
        <row r="99">
          <cell r="A99" t="str">
            <v>Lebanon</v>
          </cell>
        </row>
        <row r="100">
          <cell r="A100" t="str">
            <v>Bosnia &amp; Herzegovina</v>
          </cell>
        </row>
        <row r="101">
          <cell r="A101" t="str">
            <v>Azerbaijan</v>
          </cell>
        </row>
        <row r="102">
          <cell r="A102" t="str">
            <v>Kuwait</v>
          </cell>
        </row>
        <row r="103">
          <cell r="A103" t="str">
            <v>Hungary</v>
          </cell>
        </row>
        <row r="104">
          <cell r="A104" t="str">
            <v>Morocco</v>
          </cell>
        </row>
        <row r="105">
          <cell r="A105" t="str">
            <v>Slovakia</v>
          </cell>
        </row>
        <row r="106">
          <cell r="A106" t="str">
            <v>Jordan</v>
          </cell>
        </row>
        <row r="107">
          <cell r="A107" t="str">
            <v>Uruguay</v>
          </cell>
        </row>
        <row r="108">
          <cell r="A108" t="str">
            <v>Saudi Arabia</v>
          </cell>
        </row>
        <row r="109">
          <cell r="A109" t="str">
            <v>Bolivia</v>
          </cell>
        </row>
        <row r="110">
          <cell r="A110" t="str">
            <v>Bulgaria</v>
          </cell>
        </row>
        <row r="111">
          <cell r="A111" t="str">
            <v>Egypt</v>
          </cell>
        </row>
        <row r="112">
          <cell r="A112" t="str">
            <v>Colombia</v>
          </cell>
        </row>
        <row r="113">
          <cell r="A113" t="str">
            <v>Kenya</v>
          </cell>
        </row>
        <row r="114">
          <cell r="A114" t="str">
            <v>Peru</v>
          </cell>
        </row>
        <row r="115">
          <cell r="A115" t="str">
            <v>Ecuador</v>
          </cell>
        </row>
        <row r="116">
          <cell r="A116" t="str">
            <v>Argentina</v>
          </cell>
        </row>
        <row r="117">
          <cell r="A117" t="str">
            <v>Venezuela</v>
          </cell>
        </row>
        <row r="118">
          <cell r="A118" t="str">
            <v>Aruba</v>
          </cell>
        </row>
        <row r="119">
          <cell r="A119" t="str">
            <v>Angola</v>
          </cell>
        </row>
        <row r="120">
          <cell r="A120" t="str">
            <v>Anguilla</v>
          </cell>
        </row>
        <row r="121">
          <cell r="A121" t="str">
            <v>Ã…land Islands</v>
          </cell>
        </row>
        <row r="122">
          <cell r="A122" t="str">
            <v>Albania</v>
          </cell>
        </row>
        <row r="123">
          <cell r="A123" t="str">
            <v>Andorra</v>
          </cell>
        </row>
        <row r="124">
          <cell r="A124" t="str">
            <v>American Samoa</v>
          </cell>
        </row>
        <row r="125">
          <cell r="A125" t="str">
            <v>Antarctica</v>
          </cell>
        </row>
        <row r="126">
          <cell r="A126" t="str">
            <v>French Southern Territories</v>
          </cell>
        </row>
        <row r="127">
          <cell r="A127" t="str">
            <v>Antigua &amp; Barbuda</v>
          </cell>
        </row>
        <row r="128">
          <cell r="A128" t="str">
            <v>Burundi</v>
          </cell>
        </row>
        <row r="129">
          <cell r="A129" t="str">
            <v>Benin</v>
          </cell>
        </row>
        <row r="130">
          <cell r="A130" t="str">
            <v>Caribbean Netherlands</v>
          </cell>
        </row>
        <row r="131">
          <cell r="A131" t="str">
            <v>Bahamas</v>
          </cell>
        </row>
        <row r="132">
          <cell r="A132" t="str">
            <v>St. BarthÃ©lemy</v>
          </cell>
        </row>
        <row r="133">
          <cell r="A133" t="str">
            <v>Belize</v>
          </cell>
        </row>
        <row r="134">
          <cell r="A134" t="str">
            <v>Bermuda</v>
          </cell>
        </row>
        <row r="135">
          <cell r="A135" t="str">
            <v>Barbados</v>
          </cell>
        </row>
        <row r="136">
          <cell r="A136" t="str">
            <v>Brunei</v>
          </cell>
        </row>
        <row r="137">
          <cell r="A137" t="str">
            <v>Bhutan</v>
          </cell>
        </row>
        <row r="138">
          <cell r="A138" t="str">
            <v>Bouvet Island</v>
          </cell>
        </row>
        <row r="139">
          <cell r="A139" t="str">
            <v>Botswana</v>
          </cell>
        </row>
        <row r="140">
          <cell r="A140" t="str">
            <v>Central African Republic</v>
          </cell>
        </row>
        <row r="141">
          <cell r="A141" t="str">
            <v>Cocos (Keeling) Islands</v>
          </cell>
        </row>
        <row r="142">
          <cell r="A142" t="str">
            <v>Cameroon</v>
          </cell>
        </row>
        <row r="143">
          <cell r="A143" t="str">
            <v>Congo - Brazzaville</v>
          </cell>
        </row>
        <row r="144">
          <cell r="A144" t="str">
            <v>Cook Islands</v>
          </cell>
        </row>
        <row r="145">
          <cell r="A145" t="str">
            <v>Comoros</v>
          </cell>
        </row>
        <row r="146">
          <cell r="A146" t="str">
            <v>Cape Verde</v>
          </cell>
        </row>
        <row r="147">
          <cell r="A147" t="str">
            <v>Cuba</v>
          </cell>
        </row>
        <row r="148">
          <cell r="A148" t="str">
            <v>CuraÃ§ao</v>
          </cell>
        </row>
        <row r="149">
          <cell r="A149" t="str">
            <v>Christmas Island</v>
          </cell>
        </row>
        <row r="150">
          <cell r="A150" t="str">
            <v>Cayman Islands</v>
          </cell>
        </row>
        <row r="151">
          <cell r="A151" t="str">
            <v>Djibouti</v>
          </cell>
        </row>
        <row r="152">
          <cell r="A152" t="str">
            <v>Dominica</v>
          </cell>
        </row>
        <row r="153">
          <cell r="A153" t="str">
            <v>Dominican Republic</v>
          </cell>
        </row>
        <row r="154">
          <cell r="A154" t="str">
            <v>Eritrea</v>
          </cell>
        </row>
        <row r="155">
          <cell r="A155" t="str">
            <v>Western Sahara</v>
          </cell>
        </row>
        <row r="156">
          <cell r="A156" t="str">
            <v>Fiji</v>
          </cell>
        </row>
        <row r="157">
          <cell r="A157" t="str">
            <v>Falkland Islands (Islas Malvinas)</v>
          </cell>
        </row>
        <row r="158">
          <cell r="A158" t="str">
            <v>Faroe Islands</v>
          </cell>
        </row>
        <row r="159">
          <cell r="A159" t="str">
            <v>Micronesia</v>
          </cell>
        </row>
        <row r="160">
          <cell r="A160" t="str">
            <v>Gabon</v>
          </cell>
        </row>
        <row r="161">
          <cell r="A161" t="str">
            <v>Guernsey</v>
          </cell>
        </row>
        <row r="162">
          <cell r="A162" t="str">
            <v>Gibraltar</v>
          </cell>
        </row>
        <row r="163">
          <cell r="A163" t="str">
            <v>Guadeloupe</v>
          </cell>
        </row>
        <row r="164">
          <cell r="A164" t="str">
            <v>Gambia</v>
          </cell>
        </row>
        <row r="165">
          <cell r="A165" t="str">
            <v>Guinea-Bissau</v>
          </cell>
        </row>
        <row r="166">
          <cell r="A166" t="str">
            <v>Equatorial Guinea</v>
          </cell>
        </row>
        <row r="167">
          <cell r="A167" t="str">
            <v>Grenada</v>
          </cell>
        </row>
        <row r="168">
          <cell r="A168" t="str">
            <v>Greenland</v>
          </cell>
        </row>
        <row r="169">
          <cell r="A169" t="str">
            <v>Guatemala</v>
          </cell>
        </row>
        <row r="170">
          <cell r="A170" t="str">
            <v>French Guiana</v>
          </cell>
        </row>
        <row r="171">
          <cell r="A171" t="str">
            <v>Guam</v>
          </cell>
        </row>
        <row r="172">
          <cell r="A172" t="str">
            <v>Guyana</v>
          </cell>
        </row>
        <row r="173">
          <cell r="A173" t="str">
            <v>Heard &amp; McDonald Islands</v>
          </cell>
        </row>
        <row r="174">
          <cell r="A174" t="str">
            <v>Honduras</v>
          </cell>
        </row>
        <row r="175">
          <cell r="A175" t="str">
            <v>Haiti</v>
          </cell>
        </row>
        <row r="176">
          <cell r="A176" t="str">
            <v>Isle of Man</v>
          </cell>
        </row>
        <row r="177">
          <cell r="A177" t="str">
            <v>British Indian Ocean Territory</v>
          </cell>
        </row>
        <row r="178">
          <cell r="A178" t="str">
            <v>Iraq</v>
          </cell>
        </row>
        <row r="179">
          <cell r="A179" t="str">
            <v>Jamaica</v>
          </cell>
        </row>
        <row r="180">
          <cell r="A180" t="str">
            <v>Jersey</v>
          </cell>
        </row>
        <row r="181">
          <cell r="A181" t="str">
            <v>Cambodia</v>
          </cell>
        </row>
        <row r="182">
          <cell r="A182" t="str">
            <v>Kiribati</v>
          </cell>
        </row>
        <row r="183">
          <cell r="A183" t="str">
            <v>St. Kitts &amp; Nevis</v>
          </cell>
        </row>
        <row r="184">
          <cell r="A184" t="str">
            <v>Liberia</v>
          </cell>
        </row>
        <row r="185">
          <cell r="A185" t="str">
            <v>Libya</v>
          </cell>
        </row>
        <row r="186">
          <cell r="A186" t="str">
            <v>St. Lucia</v>
          </cell>
        </row>
        <row r="187">
          <cell r="A187" t="str">
            <v>Liechtenstein</v>
          </cell>
        </row>
        <row r="188">
          <cell r="A188" t="str">
            <v>Lesotho</v>
          </cell>
        </row>
        <row r="189">
          <cell r="A189" t="str">
            <v>St. Martin</v>
          </cell>
        </row>
        <row r="190">
          <cell r="A190" t="str">
            <v>Monaco</v>
          </cell>
        </row>
        <row r="191">
          <cell r="A191" t="str">
            <v>Moldova</v>
          </cell>
        </row>
        <row r="192">
          <cell r="A192" t="str">
            <v>Madagascar</v>
          </cell>
        </row>
        <row r="193">
          <cell r="A193" t="str">
            <v>Maldives</v>
          </cell>
        </row>
        <row r="194">
          <cell r="A194" t="str">
            <v>Marshall Islands</v>
          </cell>
        </row>
        <row r="195">
          <cell r="A195" t="str">
            <v>Montenegro</v>
          </cell>
        </row>
        <row r="196">
          <cell r="A196" t="str">
            <v>Northern Mariana Islands</v>
          </cell>
        </row>
        <row r="197">
          <cell r="A197" t="str">
            <v>Mozambique</v>
          </cell>
        </row>
        <row r="198">
          <cell r="A198" t="str">
            <v>Mauritania</v>
          </cell>
        </row>
        <row r="199">
          <cell r="A199" t="str">
            <v>Montserrat</v>
          </cell>
        </row>
        <row r="200">
          <cell r="A200" t="str">
            <v>Malawi</v>
          </cell>
        </row>
        <row r="201">
          <cell r="A201" t="str">
            <v>Mayotte</v>
          </cell>
        </row>
        <row r="202">
          <cell r="A202" t="str">
            <v>Namibia</v>
          </cell>
        </row>
        <row r="203">
          <cell r="A203" t="str">
            <v>New Caledonia</v>
          </cell>
        </row>
        <row r="204">
          <cell r="A204" t="str">
            <v>Norfolk Island</v>
          </cell>
        </row>
        <row r="205">
          <cell r="A205" t="str">
            <v>Niue</v>
          </cell>
        </row>
        <row r="206">
          <cell r="A206" t="str">
            <v>Nauru</v>
          </cell>
        </row>
        <row r="207">
          <cell r="A207" t="str">
            <v>Oman</v>
          </cell>
        </row>
        <row r="208">
          <cell r="A208" t="str">
            <v>Panama</v>
          </cell>
        </row>
        <row r="209">
          <cell r="A209" t="str">
            <v>Pitcairn Islands</v>
          </cell>
        </row>
        <row r="210">
          <cell r="A210" t="str">
            <v>Palau</v>
          </cell>
        </row>
        <row r="211">
          <cell r="A211" t="str">
            <v>North Korea</v>
          </cell>
        </row>
        <row r="212">
          <cell r="A212" t="str">
            <v>Paraguay</v>
          </cell>
        </row>
        <row r="213">
          <cell r="A213" t="str">
            <v>Palestine</v>
          </cell>
        </row>
        <row r="214">
          <cell r="A214" t="str">
            <v>French Polynesia</v>
          </cell>
        </row>
        <row r="215">
          <cell r="A215" t="str">
            <v>Rwanda</v>
          </cell>
        </row>
        <row r="216">
          <cell r="A216" t="str">
            <v>Sudan</v>
          </cell>
        </row>
        <row r="217">
          <cell r="A217" t="str">
            <v>South Georgia &amp; South Sandwich Islands</v>
          </cell>
        </row>
        <row r="218">
          <cell r="A218" t="str">
            <v>Svalbard &amp; Jan Mayen</v>
          </cell>
        </row>
        <row r="219">
          <cell r="A219" t="str">
            <v>Solomon Islands</v>
          </cell>
        </row>
        <row r="220">
          <cell r="A220" t="str">
            <v>Sierra Leone</v>
          </cell>
        </row>
        <row r="221">
          <cell r="A221" t="str">
            <v>El Salvador</v>
          </cell>
        </row>
        <row r="222">
          <cell r="A222" t="str">
            <v>San Marino</v>
          </cell>
        </row>
        <row r="223">
          <cell r="A223" t="str">
            <v>Somalia</v>
          </cell>
        </row>
        <row r="224">
          <cell r="A224" t="str">
            <v>St. Pierre &amp; Miquelon</v>
          </cell>
        </row>
        <row r="225">
          <cell r="A225" t="str">
            <v>South Sudan</v>
          </cell>
        </row>
        <row r="226">
          <cell r="A226" t="str">
            <v>SÃ£o TomÃ© &amp; PrÃ­ncipe</v>
          </cell>
        </row>
        <row r="227">
          <cell r="A227" t="str">
            <v>Suriname</v>
          </cell>
        </row>
        <row r="228">
          <cell r="A228" t="str">
            <v>Slovenia</v>
          </cell>
        </row>
        <row r="229">
          <cell r="A229" t="str">
            <v>Eswatini</v>
          </cell>
        </row>
        <row r="230">
          <cell r="A230" t="str">
            <v>Sint Maarten</v>
          </cell>
        </row>
        <row r="231">
          <cell r="A231" t="str">
            <v>Seychelles</v>
          </cell>
        </row>
        <row r="232">
          <cell r="A232" t="str">
            <v>Syria</v>
          </cell>
        </row>
        <row r="233">
          <cell r="A233" t="str">
            <v>Turks &amp; Caicos Islands</v>
          </cell>
        </row>
        <row r="234">
          <cell r="A234" t="str">
            <v>Chad</v>
          </cell>
        </row>
        <row r="235">
          <cell r="A235" t="str">
            <v>Tajikistan</v>
          </cell>
        </row>
        <row r="236">
          <cell r="A236" t="str">
            <v>Tokelau</v>
          </cell>
        </row>
        <row r="237">
          <cell r="A237" t="str">
            <v>Turkmenistan</v>
          </cell>
        </row>
        <row r="238">
          <cell r="A238" t="str">
            <v>Timor-Leste</v>
          </cell>
        </row>
        <row r="239">
          <cell r="A239" t="str">
            <v>Tonga</v>
          </cell>
        </row>
        <row r="240">
          <cell r="A240" t="str">
            <v>Tuvalu</v>
          </cell>
        </row>
        <row r="241">
          <cell r="A241" t="str">
            <v>Uganda</v>
          </cell>
        </row>
        <row r="242">
          <cell r="A242" t="str">
            <v>U.S. Outlying Islands</v>
          </cell>
        </row>
        <row r="243">
          <cell r="A243" t="str">
            <v>Vatican City</v>
          </cell>
        </row>
        <row r="244">
          <cell r="A244" t="str">
            <v>St. Vincent &amp; Grenadines</v>
          </cell>
        </row>
        <row r="245">
          <cell r="A245" t="str">
            <v>British Virgin Islands</v>
          </cell>
        </row>
        <row r="246">
          <cell r="A246" t="str">
            <v>U.S. Virgin Islands</v>
          </cell>
        </row>
        <row r="247">
          <cell r="A247" t="str">
            <v>Vanuatu</v>
          </cell>
        </row>
        <row r="248">
          <cell r="A248" t="str">
            <v>Wallis &amp; Futuna</v>
          </cell>
        </row>
        <row r="249">
          <cell r="A249" t="str">
            <v>Samoa</v>
          </cell>
        </row>
        <row r="250">
          <cell r="A250" t="str">
            <v>Kosovo</v>
          </cell>
        </row>
        <row r="251">
          <cell r="A251" t="str">
            <v>Yemen</v>
          </cell>
        </row>
        <row r="252">
          <cell r="A252" t="str">
            <v>Zambia</v>
          </cell>
        </row>
        <row r="253">
          <cell r="A253" t="str">
            <v>Zimbabwe</v>
          </cell>
        </row>
      </sheetData>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42)"/>
    </sheetNames>
    <sheetDataSet>
      <sheetData sheetId="0" refreshError="1">
        <row r="1">
          <cell r="A1" t="str">
            <v>Kategori: TÃ¼m kategoriler</v>
          </cell>
        </row>
        <row r="3">
          <cell r="A3" t="str">
            <v>Ãœlke</v>
          </cell>
          <cell r="B3" t="str">
            <v>Kesme kotarÄ±cÄ±: (2018)</v>
          </cell>
          <cell r="C3" t="str">
            <v>Markov zincirli Monte Carlo: (2018)</v>
          </cell>
        </row>
        <row r="4">
          <cell r="A4" t="str">
            <v>China</v>
          </cell>
          <cell r="B4">
            <v>0.32</v>
          </cell>
          <cell r="C4">
            <v>0.68</v>
          </cell>
        </row>
        <row r="5">
          <cell r="A5" t="str">
            <v>St. Helena</v>
          </cell>
          <cell r="B5">
            <v>0.22</v>
          </cell>
          <cell r="C5">
            <v>0.78</v>
          </cell>
        </row>
        <row r="6">
          <cell r="A6" t="str">
            <v>Taiwan</v>
          </cell>
          <cell r="B6">
            <v>0.81</v>
          </cell>
          <cell r="C6">
            <v>0.19</v>
          </cell>
        </row>
        <row r="7">
          <cell r="A7" t="str">
            <v>South Korea</v>
          </cell>
          <cell r="B7">
            <v>0.56000000000000005</v>
          </cell>
          <cell r="C7">
            <v>0.44</v>
          </cell>
        </row>
        <row r="8">
          <cell r="A8" t="str">
            <v>Malaysia</v>
          </cell>
          <cell r="B8">
            <v>0.24</v>
          </cell>
          <cell r="C8">
            <v>0.76</v>
          </cell>
        </row>
        <row r="9">
          <cell r="A9" t="str">
            <v>Iran</v>
          </cell>
          <cell r="C9">
            <v>1</v>
          </cell>
        </row>
        <row r="10">
          <cell r="A10" t="str">
            <v>Hong Kong</v>
          </cell>
          <cell r="B10">
            <v>0.49</v>
          </cell>
          <cell r="C10">
            <v>0.51</v>
          </cell>
        </row>
        <row r="11">
          <cell r="A11" t="str">
            <v>India</v>
          </cell>
          <cell r="B11">
            <v>0.9</v>
          </cell>
          <cell r="C11">
            <v>0.1</v>
          </cell>
        </row>
        <row r="12">
          <cell r="A12" t="str">
            <v>Nepal</v>
          </cell>
          <cell r="B12">
            <v>1</v>
          </cell>
        </row>
        <row r="13">
          <cell r="A13" t="str">
            <v>Switzerland</v>
          </cell>
          <cell r="B13">
            <v>0.13</v>
          </cell>
          <cell r="C13">
            <v>0.87</v>
          </cell>
        </row>
        <row r="14">
          <cell r="A14" t="str">
            <v>Singapore</v>
          </cell>
          <cell r="B14">
            <v>0.42</v>
          </cell>
          <cell r="C14">
            <v>0.57999999999999996</v>
          </cell>
        </row>
        <row r="15">
          <cell r="A15" t="str">
            <v>Pakistan</v>
          </cell>
          <cell r="B15">
            <v>0.8</v>
          </cell>
          <cell r="C15">
            <v>0.2</v>
          </cell>
        </row>
        <row r="16">
          <cell r="A16" t="str">
            <v>Japan</v>
          </cell>
          <cell r="B16">
            <v>0.23</v>
          </cell>
          <cell r="C16">
            <v>0.77</v>
          </cell>
        </row>
        <row r="17">
          <cell r="A17" t="str">
            <v>Denmark</v>
          </cell>
          <cell r="B17">
            <v>0.42</v>
          </cell>
          <cell r="C17">
            <v>0.57999999999999996</v>
          </cell>
        </row>
        <row r="18">
          <cell r="A18" t="str">
            <v>Finland</v>
          </cell>
          <cell r="C18">
            <v>1</v>
          </cell>
        </row>
        <row r="19">
          <cell r="A19" t="str">
            <v>Belarus</v>
          </cell>
          <cell r="B19">
            <v>1</v>
          </cell>
        </row>
        <row r="20">
          <cell r="A20" t="str">
            <v>Australia</v>
          </cell>
          <cell r="B20">
            <v>0.44</v>
          </cell>
          <cell r="C20">
            <v>0.56000000000000005</v>
          </cell>
        </row>
        <row r="21">
          <cell r="A21" t="str">
            <v>United States</v>
          </cell>
          <cell r="B21">
            <v>0.48</v>
          </cell>
          <cell r="C21">
            <v>0.52</v>
          </cell>
        </row>
        <row r="22">
          <cell r="A22" t="str">
            <v>United Kingdom</v>
          </cell>
          <cell r="B22">
            <v>0.43</v>
          </cell>
          <cell r="C22">
            <v>0.56999999999999995</v>
          </cell>
        </row>
        <row r="23">
          <cell r="A23" t="str">
            <v>Sweden</v>
          </cell>
          <cell r="B23">
            <v>0.33</v>
          </cell>
          <cell r="C23">
            <v>0.67</v>
          </cell>
        </row>
        <row r="24">
          <cell r="A24" t="str">
            <v>Nigeria</v>
          </cell>
          <cell r="B24">
            <v>1</v>
          </cell>
        </row>
        <row r="25">
          <cell r="A25" t="str">
            <v>Canada</v>
          </cell>
          <cell r="B25">
            <v>0.51</v>
          </cell>
          <cell r="C25">
            <v>0.49</v>
          </cell>
        </row>
        <row r="26">
          <cell r="A26" t="str">
            <v>Belgium</v>
          </cell>
          <cell r="C26">
            <v>1</v>
          </cell>
        </row>
        <row r="27">
          <cell r="A27" t="str">
            <v>Norway</v>
          </cell>
          <cell r="C27">
            <v>1</v>
          </cell>
        </row>
        <row r="28">
          <cell r="A28" t="str">
            <v>Russia</v>
          </cell>
          <cell r="B28">
            <v>0.79</v>
          </cell>
          <cell r="C28">
            <v>0.21</v>
          </cell>
        </row>
        <row r="29">
          <cell r="A29" t="str">
            <v>Germany</v>
          </cell>
          <cell r="B29">
            <v>0.41</v>
          </cell>
          <cell r="C29">
            <v>0.59</v>
          </cell>
        </row>
        <row r="30">
          <cell r="A30" t="str">
            <v>Ireland</v>
          </cell>
          <cell r="C30">
            <v>1</v>
          </cell>
        </row>
        <row r="31">
          <cell r="A31" t="str">
            <v>Greece</v>
          </cell>
          <cell r="C31">
            <v>1</v>
          </cell>
        </row>
        <row r="32">
          <cell r="A32" t="str">
            <v>France</v>
          </cell>
          <cell r="B32">
            <v>0.12</v>
          </cell>
          <cell r="C32">
            <v>0.88</v>
          </cell>
        </row>
        <row r="33">
          <cell r="A33" t="str">
            <v>Sri Lanka</v>
          </cell>
          <cell r="B33">
            <v>1</v>
          </cell>
        </row>
        <row r="34">
          <cell r="A34" t="str">
            <v>Netherlands</v>
          </cell>
          <cell r="B34">
            <v>0.34</v>
          </cell>
          <cell r="C34">
            <v>0.66</v>
          </cell>
        </row>
        <row r="35">
          <cell r="A35" t="str">
            <v>Ukraine</v>
          </cell>
          <cell r="B35">
            <v>1</v>
          </cell>
        </row>
        <row r="36">
          <cell r="A36" t="str">
            <v>Philippines</v>
          </cell>
          <cell r="B36">
            <v>0.83</v>
          </cell>
          <cell r="C36">
            <v>0.17</v>
          </cell>
        </row>
        <row r="37">
          <cell r="A37" t="str">
            <v>Austria</v>
          </cell>
        </row>
        <row r="38">
          <cell r="A38" t="str">
            <v>Kazakhstan</v>
          </cell>
          <cell r="B38">
            <v>1</v>
          </cell>
        </row>
        <row r="39">
          <cell r="A39" t="str">
            <v>Italy</v>
          </cell>
          <cell r="B39">
            <v>0.22</v>
          </cell>
          <cell r="C39">
            <v>0.78</v>
          </cell>
        </row>
        <row r="40">
          <cell r="A40" t="str">
            <v>Poland</v>
          </cell>
          <cell r="B40">
            <v>0.56000000000000005</v>
          </cell>
          <cell r="C40">
            <v>0.44</v>
          </cell>
        </row>
        <row r="41">
          <cell r="A41" t="str">
            <v>Brazil</v>
          </cell>
          <cell r="C41">
            <v>1</v>
          </cell>
        </row>
        <row r="42">
          <cell r="A42" t="str">
            <v>Spain</v>
          </cell>
          <cell r="B42">
            <v>0.45</v>
          </cell>
          <cell r="C42">
            <v>0.55000000000000004</v>
          </cell>
        </row>
        <row r="43">
          <cell r="A43" t="str">
            <v>Argentina</v>
          </cell>
          <cell r="C43">
            <v>1</v>
          </cell>
        </row>
        <row r="44">
          <cell r="A44" t="str">
            <v>Colombia</v>
          </cell>
          <cell r="C44">
            <v>1</v>
          </cell>
        </row>
        <row r="45">
          <cell r="A45" t="str">
            <v>Mexico</v>
          </cell>
          <cell r="B45">
            <v>0.48</v>
          </cell>
          <cell r="C45">
            <v>0.52</v>
          </cell>
        </row>
        <row r="46">
          <cell r="A46" t="str">
            <v>Chile</v>
          </cell>
          <cell r="C46">
            <v>1</v>
          </cell>
        </row>
        <row r="47">
          <cell r="A47" t="str">
            <v>Egypt</v>
          </cell>
          <cell r="B47">
            <v>1</v>
          </cell>
        </row>
        <row r="48">
          <cell r="A48" t="str">
            <v>Turkey</v>
          </cell>
          <cell r="B48">
            <v>0.3</v>
          </cell>
          <cell r="C48">
            <v>0.7</v>
          </cell>
        </row>
        <row r="49">
          <cell r="A49" t="str">
            <v>Venezuela</v>
          </cell>
          <cell r="C49">
            <v>1</v>
          </cell>
        </row>
        <row r="50">
          <cell r="A50" t="str">
            <v>Vietnam</v>
          </cell>
          <cell r="B50">
            <v>0.55000000000000004</v>
          </cell>
          <cell r="C50">
            <v>0.45</v>
          </cell>
        </row>
        <row r="51">
          <cell r="A51" t="str">
            <v>Indonesia</v>
          </cell>
          <cell r="B51">
            <v>0.71</v>
          </cell>
          <cell r="C51">
            <v>0.28999999999999998</v>
          </cell>
        </row>
        <row r="52">
          <cell r="A52" t="str">
            <v>Eswatini</v>
          </cell>
        </row>
        <row r="53">
          <cell r="A53" t="str">
            <v>Afghanistan</v>
          </cell>
        </row>
        <row r="54">
          <cell r="A54" t="str">
            <v>Barbados</v>
          </cell>
        </row>
        <row r="55">
          <cell r="A55" t="str">
            <v>Maldives</v>
          </cell>
        </row>
        <row r="56">
          <cell r="A56" t="str">
            <v>Turkmenistan</v>
          </cell>
        </row>
        <row r="57">
          <cell r="A57" t="str">
            <v>Macao</v>
          </cell>
        </row>
        <row r="58">
          <cell r="A58" t="str">
            <v>Iceland</v>
          </cell>
        </row>
        <row r="59">
          <cell r="A59" t="str">
            <v>Kosovo</v>
          </cell>
        </row>
        <row r="60">
          <cell r="A60" t="str">
            <v>Malta</v>
          </cell>
        </row>
        <row r="61">
          <cell r="A61" t="str">
            <v>Zimbabwe</v>
          </cell>
        </row>
        <row r="62">
          <cell r="A62" t="str">
            <v>Laos</v>
          </cell>
        </row>
        <row r="63">
          <cell r="A63" t="str">
            <v>Slovenia</v>
          </cell>
        </row>
        <row r="64">
          <cell r="A64" t="str">
            <v>Mauritius</v>
          </cell>
        </row>
        <row r="65">
          <cell r="A65" t="str">
            <v>Trinidad &amp; Tobago</v>
          </cell>
        </row>
        <row r="66">
          <cell r="A66" t="str">
            <v>Bahrain</v>
          </cell>
        </row>
        <row r="67">
          <cell r="A67" t="str">
            <v>Kenya</v>
          </cell>
        </row>
        <row r="68">
          <cell r="A68" t="str">
            <v>United Arab Emirates</v>
          </cell>
        </row>
        <row r="69">
          <cell r="A69" t="str">
            <v>Ghana</v>
          </cell>
        </row>
        <row r="70">
          <cell r="A70" t="str">
            <v>Palestine</v>
          </cell>
        </row>
        <row r="71">
          <cell r="A71" t="str">
            <v>Oman</v>
          </cell>
        </row>
        <row r="72">
          <cell r="A72" t="str">
            <v>Latvia</v>
          </cell>
        </row>
        <row r="73">
          <cell r="A73" t="str">
            <v>Bangladesh</v>
          </cell>
        </row>
        <row r="74">
          <cell r="A74" t="str">
            <v>Uganda</v>
          </cell>
        </row>
        <row r="75">
          <cell r="A75" t="str">
            <v>Costa Rica</v>
          </cell>
        </row>
        <row r="76">
          <cell r="A76" t="str">
            <v>Albania</v>
          </cell>
        </row>
        <row r="77">
          <cell r="A77" t="str">
            <v>Israel</v>
          </cell>
        </row>
        <row r="78">
          <cell r="A78" t="str">
            <v>New Zealand</v>
          </cell>
        </row>
        <row r="79">
          <cell r="A79" t="str">
            <v>Croatia</v>
          </cell>
        </row>
        <row r="80">
          <cell r="A80" t="str">
            <v>Armenia</v>
          </cell>
        </row>
        <row r="81">
          <cell r="A81" t="str">
            <v>Tanzania</v>
          </cell>
        </row>
        <row r="82">
          <cell r="A82" t="str">
            <v>Cyprus</v>
          </cell>
        </row>
        <row r="83">
          <cell r="A83" t="str">
            <v>Tunisia</v>
          </cell>
        </row>
        <row r="84">
          <cell r="A84" t="str">
            <v>Estonia</v>
          </cell>
        </row>
        <row r="85">
          <cell r="A85" t="str">
            <v>Lithuania</v>
          </cell>
        </row>
        <row r="86">
          <cell r="A86" t="str">
            <v>Guatemala</v>
          </cell>
        </row>
        <row r="87">
          <cell r="A87" t="str">
            <v>Honduras</v>
          </cell>
        </row>
        <row r="88">
          <cell r="A88" t="str">
            <v>Moldova</v>
          </cell>
        </row>
        <row r="89">
          <cell r="A89" t="str">
            <v>Kyrgyzstan</v>
          </cell>
        </row>
        <row r="90">
          <cell r="A90" t="str">
            <v>Iraq</v>
          </cell>
        </row>
        <row r="91">
          <cell r="A91" t="str">
            <v>Kuwait</v>
          </cell>
        </row>
        <row r="92">
          <cell r="A92" t="str">
            <v>Uzbekistan</v>
          </cell>
        </row>
        <row r="93">
          <cell r="A93" t="str">
            <v>Syria</v>
          </cell>
        </row>
        <row r="94">
          <cell r="A94" t="str">
            <v>Serbia</v>
          </cell>
        </row>
        <row r="95">
          <cell r="A95" t="str">
            <v>Paraguay</v>
          </cell>
        </row>
        <row r="96">
          <cell r="A96" t="str">
            <v>Puerto Rico</v>
          </cell>
        </row>
        <row r="97">
          <cell r="A97" t="str">
            <v>Georgia</v>
          </cell>
        </row>
        <row r="98">
          <cell r="A98" t="str">
            <v>Lebanon</v>
          </cell>
        </row>
        <row r="99">
          <cell r="A99" t="str">
            <v>Slovakia</v>
          </cell>
        </row>
        <row r="100">
          <cell r="A100" t="str">
            <v>Bosnia &amp; Herzegovina</v>
          </cell>
        </row>
        <row r="101">
          <cell r="A101" t="str">
            <v>Romania</v>
          </cell>
        </row>
        <row r="102">
          <cell r="A102" t="str">
            <v>Saudi Arabia</v>
          </cell>
        </row>
        <row r="103">
          <cell r="A103" t="str">
            <v>Peru</v>
          </cell>
        </row>
        <row r="104">
          <cell r="A104" t="str">
            <v>Ecuador</v>
          </cell>
        </row>
        <row r="105">
          <cell r="A105" t="str">
            <v>Jordan</v>
          </cell>
        </row>
        <row r="106">
          <cell r="A106" t="str">
            <v>Uruguay</v>
          </cell>
        </row>
        <row r="107">
          <cell r="A107" t="str">
            <v>Bolivia</v>
          </cell>
        </row>
        <row r="108">
          <cell r="A108" t="str">
            <v>South Africa</v>
          </cell>
        </row>
        <row r="109">
          <cell r="A109" t="str">
            <v>Dominican Republic</v>
          </cell>
        </row>
        <row r="110">
          <cell r="A110" t="str">
            <v>Portugal</v>
          </cell>
        </row>
        <row r="111">
          <cell r="A111" t="str">
            <v>Czechia</v>
          </cell>
        </row>
        <row r="112">
          <cell r="A112" t="str">
            <v>Thailand</v>
          </cell>
        </row>
        <row r="113">
          <cell r="A113" t="str">
            <v>Bulgaria</v>
          </cell>
        </row>
        <row r="114">
          <cell r="A114" t="str">
            <v>Hungary</v>
          </cell>
        </row>
        <row r="115">
          <cell r="A115" t="str">
            <v>Algeria</v>
          </cell>
        </row>
        <row r="116">
          <cell r="A116" t="str">
            <v>Aruba</v>
          </cell>
        </row>
        <row r="117">
          <cell r="A117" t="str">
            <v>Angola</v>
          </cell>
        </row>
        <row r="118">
          <cell r="A118" t="str">
            <v>Anguilla</v>
          </cell>
        </row>
        <row r="119">
          <cell r="A119" t="str">
            <v>Ã…land Islands</v>
          </cell>
        </row>
        <row r="120">
          <cell r="A120" t="str">
            <v>Andorra</v>
          </cell>
        </row>
        <row r="121">
          <cell r="A121" t="str">
            <v>American Samoa</v>
          </cell>
        </row>
        <row r="122">
          <cell r="A122" t="str">
            <v>Antarctica</v>
          </cell>
        </row>
        <row r="123">
          <cell r="A123" t="str">
            <v>French Southern Territories</v>
          </cell>
        </row>
        <row r="124">
          <cell r="A124" t="str">
            <v>Antigua &amp; Barbuda</v>
          </cell>
        </row>
        <row r="125">
          <cell r="A125" t="str">
            <v>Azerbaijan</v>
          </cell>
        </row>
        <row r="126">
          <cell r="A126" t="str">
            <v>Burundi</v>
          </cell>
        </row>
        <row r="127">
          <cell r="A127" t="str">
            <v>Benin</v>
          </cell>
        </row>
        <row r="128">
          <cell r="A128" t="str">
            <v>Caribbean Netherlands</v>
          </cell>
        </row>
        <row r="129">
          <cell r="A129" t="str">
            <v>Burkina Faso</v>
          </cell>
        </row>
        <row r="130">
          <cell r="A130" t="str">
            <v>Bahamas</v>
          </cell>
        </row>
        <row r="131">
          <cell r="A131" t="str">
            <v>St. BarthÃ©lemy</v>
          </cell>
        </row>
        <row r="132">
          <cell r="A132" t="str">
            <v>Belize</v>
          </cell>
        </row>
        <row r="133">
          <cell r="A133" t="str">
            <v>Bermuda</v>
          </cell>
        </row>
        <row r="134">
          <cell r="A134" t="str">
            <v>Brunei</v>
          </cell>
        </row>
        <row r="135">
          <cell r="A135" t="str">
            <v>Bhutan</v>
          </cell>
        </row>
        <row r="136">
          <cell r="A136" t="str">
            <v>Bouvet Island</v>
          </cell>
        </row>
        <row r="137">
          <cell r="A137" t="str">
            <v>Botswana</v>
          </cell>
        </row>
        <row r="138">
          <cell r="A138" t="str">
            <v>Central African Republic</v>
          </cell>
        </row>
        <row r="139">
          <cell r="A139" t="str">
            <v>Cocos (Keeling) Islands</v>
          </cell>
        </row>
        <row r="140">
          <cell r="A140" t="str">
            <v>CÃ´te dâ€™Ivoire</v>
          </cell>
        </row>
        <row r="141">
          <cell r="A141" t="str">
            <v>Cameroon</v>
          </cell>
        </row>
        <row r="142">
          <cell r="A142" t="str">
            <v>Congo - Kinshasa</v>
          </cell>
        </row>
        <row r="143">
          <cell r="A143" t="str">
            <v>Congo - Brazzaville</v>
          </cell>
        </row>
        <row r="144">
          <cell r="A144" t="str">
            <v>Cook Islands</v>
          </cell>
        </row>
        <row r="145">
          <cell r="A145" t="str">
            <v>Comoros</v>
          </cell>
        </row>
        <row r="146">
          <cell r="A146" t="str">
            <v>Cape Verde</v>
          </cell>
        </row>
        <row r="147">
          <cell r="A147" t="str">
            <v>Cuba</v>
          </cell>
        </row>
        <row r="148">
          <cell r="A148" t="str">
            <v>CuraÃ§ao</v>
          </cell>
        </row>
        <row r="149">
          <cell r="A149" t="str">
            <v>Christmas Island</v>
          </cell>
        </row>
        <row r="150">
          <cell r="A150" t="str">
            <v>Cayman Islands</v>
          </cell>
        </row>
        <row r="151">
          <cell r="A151" t="str">
            <v>Djibouti</v>
          </cell>
        </row>
        <row r="152">
          <cell r="A152" t="str">
            <v>Dominica</v>
          </cell>
        </row>
        <row r="153">
          <cell r="A153" t="str">
            <v>Eritrea</v>
          </cell>
        </row>
        <row r="154">
          <cell r="A154" t="str">
            <v>Western Sahara</v>
          </cell>
        </row>
        <row r="155">
          <cell r="A155" t="str">
            <v>Ethiopia</v>
          </cell>
        </row>
        <row r="156">
          <cell r="A156" t="str">
            <v>Fiji</v>
          </cell>
        </row>
        <row r="157">
          <cell r="A157" t="str">
            <v>Falkland Islands (Islas Malvinas)</v>
          </cell>
        </row>
        <row r="158">
          <cell r="A158" t="str">
            <v>Faroe Islands</v>
          </cell>
        </row>
        <row r="159">
          <cell r="A159" t="str">
            <v>Micronesia</v>
          </cell>
        </row>
        <row r="160">
          <cell r="A160" t="str">
            <v>Gabon</v>
          </cell>
        </row>
        <row r="161">
          <cell r="A161" t="str">
            <v>Guernsey</v>
          </cell>
        </row>
        <row r="162">
          <cell r="A162" t="str">
            <v>Gibraltar</v>
          </cell>
        </row>
        <row r="163">
          <cell r="A163" t="str">
            <v>Guinea</v>
          </cell>
        </row>
        <row r="164">
          <cell r="A164" t="str">
            <v>Guadeloupe</v>
          </cell>
        </row>
        <row r="165">
          <cell r="A165" t="str">
            <v>Gambia</v>
          </cell>
        </row>
        <row r="166">
          <cell r="A166" t="str">
            <v>Guinea-Bissau</v>
          </cell>
        </row>
        <row r="167">
          <cell r="A167" t="str">
            <v>Equatorial Guinea</v>
          </cell>
        </row>
        <row r="168">
          <cell r="A168" t="str">
            <v>Grenada</v>
          </cell>
        </row>
        <row r="169">
          <cell r="A169" t="str">
            <v>Greenland</v>
          </cell>
        </row>
        <row r="170">
          <cell r="A170" t="str">
            <v>French Guiana</v>
          </cell>
        </row>
        <row r="171">
          <cell r="A171" t="str">
            <v>Guam</v>
          </cell>
        </row>
        <row r="172">
          <cell r="A172" t="str">
            <v>Guyana</v>
          </cell>
        </row>
        <row r="173">
          <cell r="A173" t="str">
            <v>Heard &amp; McDonald Islands</v>
          </cell>
        </row>
        <row r="174">
          <cell r="A174" t="str">
            <v>Haiti</v>
          </cell>
        </row>
        <row r="175">
          <cell r="A175" t="str">
            <v>Isle of Man</v>
          </cell>
        </row>
        <row r="176">
          <cell r="A176" t="str">
            <v>British Indian Ocean Territory</v>
          </cell>
        </row>
        <row r="177">
          <cell r="A177" t="str">
            <v>Jamaica</v>
          </cell>
        </row>
        <row r="178">
          <cell r="A178" t="str">
            <v>Jersey</v>
          </cell>
        </row>
        <row r="179">
          <cell r="A179" t="str">
            <v>Cambodia</v>
          </cell>
        </row>
        <row r="180">
          <cell r="A180" t="str">
            <v>Kiribati</v>
          </cell>
        </row>
        <row r="181">
          <cell r="A181" t="str">
            <v>St. Kitts &amp; Nevis</v>
          </cell>
        </row>
        <row r="182">
          <cell r="A182" t="str">
            <v>Liberia</v>
          </cell>
        </row>
        <row r="183">
          <cell r="A183" t="str">
            <v>Libya</v>
          </cell>
        </row>
        <row r="184">
          <cell r="A184" t="str">
            <v>St. Lucia</v>
          </cell>
        </row>
        <row r="185">
          <cell r="A185" t="str">
            <v>Liechtenstein</v>
          </cell>
        </row>
        <row r="186">
          <cell r="A186" t="str">
            <v>Lesotho</v>
          </cell>
        </row>
        <row r="187">
          <cell r="A187" t="str">
            <v>Luxembourg</v>
          </cell>
        </row>
        <row r="188">
          <cell r="A188" t="str">
            <v>St. Martin</v>
          </cell>
        </row>
        <row r="189">
          <cell r="A189" t="str">
            <v>Morocco</v>
          </cell>
        </row>
        <row r="190">
          <cell r="A190" t="str">
            <v>Monaco</v>
          </cell>
        </row>
        <row r="191">
          <cell r="A191" t="str">
            <v>Madagascar</v>
          </cell>
        </row>
        <row r="192">
          <cell r="A192" t="str">
            <v>Marshall Islands</v>
          </cell>
        </row>
        <row r="193">
          <cell r="A193" t="str">
            <v>North Macedonia</v>
          </cell>
        </row>
        <row r="194">
          <cell r="A194" t="str">
            <v>Mali</v>
          </cell>
        </row>
        <row r="195">
          <cell r="A195" t="str">
            <v>Myanmar (Burma)</v>
          </cell>
        </row>
        <row r="196">
          <cell r="A196" t="str">
            <v>Montenegro</v>
          </cell>
        </row>
        <row r="197">
          <cell r="A197" t="str">
            <v>Mongolia</v>
          </cell>
        </row>
        <row r="198">
          <cell r="A198" t="str">
            <v>Northern Mariana Islands</v>
          </cell>
        </row>
        <row r="199">
          <cell r="A199" t="str">
            <v>Mozambique</v>
          </cell>
        </row>
        <row r="200">
          <cell r="A200" t="str">
            <v>Mauritania</v>
          </cell>
        </row>
        <row r="201">
          <cell r="A201" t="str">
            <v>Montserrat</v>
          </cell>
        </row>
        <row r="202">
          <cell r="A202" t="str">
            <v>Martinique</v>
          </cell>
        </row>
        <row r="203">
          <cell r="A203" t="str">
            <v>Malawi</v>
          </cell>
        </row>
        <row r="204">
          <cell r="A204" t="str">
            <v>Mayotte</v>
          </cell>
        </row>
        <row r="205">
          <cell r="A205" t="str">
            <v>Namibia</v>
          </cell>
        </row>
        <row r="206">
          <cell r="A206" t="str">
            <v>New Caledonia</v>
          </cell>
        </row>
        <row r="207">
          <cell r="A207" t="str">
            <v>Niger</v>
          </cell>
        </row>
        <row r="208">
          <cell r="A208" t="str">
            <v>Norfolk Island</v>
          </cell>
        </row>
        <row r="209">
          <cell r="A209" t="str">
            <v>Nicaragua</v>
          </cell>
        </row>
        <row r="210">
          <cell r="A210" t="str">
            <v>Niue</v>
          </cell>
        </row>
        <row r="211">
          <cell r="A211" t="str">
            <v>Nauru</v>
          </cell>
        </row>
        <row r="212">
          <cell r="A212" t="str">
            <v>Panama</v>
          </cell>
        </row>
        <row r="213">
          <cell r="A213" t="str">
            <v>Pitcairn Islands</v>
          </cell>
        </row>
        <row r="214">
          <cell r="A214" t="str">
            <v>Palau</v>
          </cell>
        </row>
        <row r="215">
          <cell r="A215" t="str">
            <v>Papua New Guinea</v>
          </cell>
        </row>
        <row r="216">
          <cell r="A216" t="str">
            <v>North Korea</v>
          </cell>
        </row>
        <row r="217">
          <cell r="A217" t="str">
            <v>French Polynesia</v>
          </cell>
        </row>
        <row r="218">
          <cell r="A218" t="str">
            <v>Qatar</v>
          </cell>
        </row>
        <row r="219">
          <cell r="A219" t="str">
            <v>RÃ©union</v>
          </cell>
        </row>
        <row r="220">
          <cell r="A220" t="str">
            <v>Rwanda</v>
          </cell>
        </row>
        <row r="221">
          <cell r="A221" t="str">
            <v>Sudan</v>
          </cell>
        </row>
        <row r="222">
          <cell r="A222" t="str">
            <v>Senegal</v>
          </cell>
        </row>
        <row r="223">
          <cell r="A223" t="str">
            <v>South Georgia &amp; South Sandwich Islands</v>
          </cell>
        </row>
        <row r="224">
          <cell r="A224" t="str">
            <v>Svalbard &amp; Jan Mayen</v>
          </cell>
        </row>
        <row r="225">
          <cell r="A225" t="str">
            <v>Solomon Islands</v>
          </cell>
        </row>
        <row r="226">
          <cell r="A226" t="str">
            <v>Sierra Leone</v>
          </cell>
        </row>
        <row r="227">
          <cell r="A227" t="str">
            <v>El Salvador</v>
          </cell>
        </row>
        <row r="228">
          <cell r="A228" t="str">
            <v>San Marino</v>
          </cell>
        </row>
        <row r="229">
          <cell r="A229" t="str">
            <v>Somalia</v>
          </cell>
        </row>
        <row r="230">
          <cell r="A230" t="str">
            <v>St. Pierre &amp; Miquelon</v>
          </cell>
        </row>
        <row r="231">
          <cell r="A231" t="str">
            <v>South Sudan</v>
          </cell>
        </row>
        <row r="232">
          <cell r="A232" t="str">
            <v>SÃ£o TomÃ© &amp; PrÃ­ncipe</v>
          </cell>
        </row>
        <row r="233">
          <cell r="A233" t="str">
            <v>Suriname</v>
          </cell>
        </row>
        <row r="234">
          <cell r="A234" t="str">
            <v>Sint Maarten</v>
          </cell>
        </row>
        <row r="235">
          <cell r="A235" t="str">
            <v>Seychelles</v>
          </cell>
        </row>
        <row r="236">
          <cell r="A236" t="str">
            <v>Turks &amp; Caicos Islands</v>
          </cell>
        </row>
        <row r="237">
          <cell r="A237" t="str">
            <v>Chad</v>
          </cell>
        </row>
        <row r="238">
          <cell r="A238" t="str">
            <v>Togo</v>
          </cell>
        </row>
        <row r="239">
          <cell r="A239" t="str">
            <v>Tajikistan</v>
          </cell>
        </row>
        <row r="240">
          <cell r="A240" t="str">
            <v>Tokelau</v>
          </cell>
        </row>
        <row r="241">
          <cell r="A241" t="str">
            <v>Timor-Leste</v>
          </cell>
        </row>
        <row r="242">
          <cell r="A242" t="str">
            <v>Tonga</v>
          </cell>
        </row>
        <row r="243">
          <cell r="A243" t="str">
            <v>Tuvalu</v>
          </cell>
        </row>
        <row r="244">
          <cell r="A244" t="str">
            <v>U.S. Outlying Islands</v>
          </cell>
        </row>
        <row r="245">
          <cell r="A245" t="str">
            <v>Vatican City</v>
          </cell>
        </row>
        <row r="246">
          <cell r="A246" t="str">
            <v>St. Vincent &amp; Grenadines</v>
          </cell>
        </row>
        <row r="247">
          <cell r="A247" t="str">
            <v>British Virgin Islands</v>
          </cell>
        </row>
        <row r="248">
          <cell r="A248" t="str">
            <v>U.S. Virgin Islands</v>
          </cell>
        </row>
        <row r="249">
          <cell r="A249" t="str">
            <v>Vanuatu</v>
          </cell>
        </row>
        <row r="250">
          <cell r="A250" t="str">
            <v>Wallis &amp; Futuna</v>
          </cell>
        </row>
        <row r="251">
          <cell r="A251" t="str">
            <v>Samoa</v>
          </cell>
        </row>
        <row r="252">
          <cell r="A252" t="str">
            <v>Yemen</v>
          </cell>
        </row>
        <row r="253">
          <cell r="A253" t="str">
            <v>Zambia</v>
          </cell>
        </row>
      </sheetData>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43)"/>
    </sheetNames>
    <sheetDataSet>
      <sheetData sheetId="0" refreshError="1">
        <row r="1">
          <cell r="A1" t="str">
            <v>Kategori: TÃ¼m kategoriler</v>
          </cell>
        </row>
        <row r="3">
          <cell r="A3" t="str">
            <v>Ãœlke</v>
          </cell>
          <cell r="B3" t="str">
            <v>Markov zincirli Monte Carlo: (2018)</v>
          </cell>
          <cell r="C3" t="str">
            <v>P ile NP arasÄ±ndaki iliÅŸki: (2018)</v>
          </cell>
        </row>
        <row r="4">
          <cell r="A4" t="str">
            <v>China</v>
          </cell>
          <cell r="B4">
            <v>0.85</v>
          </cell>
          <cell r="C4">
            <v>0.15</v>
          </cell>
        </row>
        <row r="5">
          <cell r="A5" t="str">
            <v>St. Helena</v>
          </cell>
          <cell r="B5">
            <v>1</v>
          </cell>
        </row>
        <row r="6">
          <cell r="A6" t="str">
            <v>Malaysia</v>
          </cell>
          <cell r="B6">
            <v>0.86</v>
          </cell>
          <cell r="C6">
            <v>0.14000000000000001</v>
          </cell>
        </row>
        <row r="7">
          <cell r="A7" t="str">
            <v>Iran</v>
          </cell>
          <cell r="B7">
            <v>1</v>
          </cell>
        </row>
        <row r="8">
          <cell r="A8" t="str">
            <v>South Korea</v>
          </cell>
          <cell r="B8">
            <v>0.52</v>
          </cell>
          <cell r="C8">
            <v>0.48</v>
          </cell>
        </row>
        <row r="9">
          <cell r="A9" t="str">
            <v>Hong Kong</v>
          </cell>
          <cell r="B9">
            <v>0.66</v>
          </cell>
          <cell r="C9">
            <v>0.34</v>
          </cell>
        </row>
        <row r="10">
          <cell r="A10" t="str">
            <v>Switzerland</v>
          </cell>
          <cell r="B10">
            <v>0.72</v>
          </cell>
          <cell r="C10">
            <v>0.28000000000000003</v>
          </cell>
        </row>
        <row r="11">
          <cell r="A11" t="str">
            <v>Singapore</v>
          </cell>
          <cell r="B11">
            <v>0.64</v>
          </cell>
          <cell r="C11">
            <v>0.36</v>
          </cell>
        </row>
        <row r="12">
          <cell r="A12" t="str">
            <v>Japan</v>
          </cell>
          <cell r="B12">
            <v>0.78</v>
          </cell>
          <cell r="C12">
            <v>0.22</v>
          </cell>
        </row>
        <row r="13">
          <cell r="A13" t="str">
            <v>Germany</v>
          </cell>
          <cell r="B13">
            <v>0.33</v>
          </cell>
          <cell r="C13">
            <v>0.67</v>
          </cell>
        </row>
        <row r="14">
          <cell r="A14" t="str">
            <v>Austria</v>
          </cell>
          <cell r="B14">
            <v>0.28000000000000003</v>
          </cell>
          <cell r="C14">
            <v>0.72</v>
          </cell>
        </row>
        <row r="15">
          <cell r="A15" t="str">
            <v>Denmark</v>
          </cell>
          <cell r="B15">
            <v>0.75</v>
          </cell>
          <cell r="C15">
            <v>0.25</v>
          </cell>
        </row>
        <row r="16">
          <cell r="A16" t="str">
            <v>Finland</v>
          </cell>
          <cell r="B16">
            <v>0.84</v>
          </cell>
          <cell r="C16">
            <v>0.16</v>
          </cell>
        </row>
        <row r="17">
          <cell r="A17" t="str">
            <v>Israel</v>
          </cell>
          <cell r="B17">
            <v>0.39</v>
          </cell>
          <cell r="C17">
            <v>0.61</v>
          </cell>
        </row>
        <row r="18">
          <cell r="A18" t="str">
            <v>Nepal</v>
          </cell>
          <cell r="C18">
            <v>1</v>
          </cell>
        </row>
        <row r="19">
          <cell r="A19" t="str">
            <v>Uzbekistan</v>
          </cell>
          <cell r="C19">
            <v>1</v>
          </cell>
        </row>
        <row r="20">
          <cell r="A20" t="str">
            <v>Ghana</v>
          </cell>
          <cell r="C20">
            <v>1</v>
          </cell>
        </row>
        <row r="21">
          <cell r="A21" t="str">
            <v>Peru</v>
          </cell>
          <cell r="C21">
            <v>1</v>
          </cell>
        </row>
        <row r="22">
          <cell r="A22" t="str">
            <v>Australia</v>
          </cell>
          <cell r="B22">
            <v>0.64</v>
          </cell>
          <cell r="C22">
            <v>0.36</v>
          </cell>
        </row>
        <row r="23">
          <cell r="A23" t="str">
            <v>Pakistan</v>
          </cell>
          <cell r="B23">
            <v>0.3</v>
          </cell>
          <cell r="C23">
            <v>0.7</v>
          </cell>
        </row>
        <row r="24">
          <cell r="A24" t="str">
            <v>United States</v>
          </cell>
          <cell r="B24">
            <v>0.52</v>
          </cell>
          <cell r="C24">
            <v>0.48</v>
          </cell>
        </row>
        <row r="25">
          <cell r="A25" t="str">
            <v>Norway</v>
          </cell>
          <cell r="B25">
            <v>0.46</v>
          </cell>
          <cell r="C25">
            <v>0.54</v>
          </cell>
        </row>
        <row r="26">
          <cell r="A26" t="str">
            <v>United Kingdom</v>
          </cell>
          <cell r="B26">
            <v>0.67</v>
          </cell>
          <cell r="C26">
            <v>0.33</v>
          </cell>
        </row>
        <row r="27">
          <cell r="A27" t="str">
            <v>Sweden</v>
          </cell>
          <cell r="B27">
            <v>0.56999999999999995</v>
          </cell>
          <cell r="C27">
            <v>0.43</v>
          </cell>
        </row>
        <row r="28">
          <cell r="A28" t="str">
            <v>Bangladesh</v>
          </cell>
          <cell r="C28">
            <v>1</v>
          </cell>
        </row>
        <row r="29">
          <cell r="A29" t="str">
            <v>Canada</v>
          </cell>
          <cell r="B29">
            <v>0.51</v>
          </cell>
          <cell r="C29">
            <v>0.49</v>
          </cell>
        </row>
        <row r="30">
          <cell r="A30" t="str">
            <v>Taiwan</v>
          </cell>
          <cell r="B30">
            <v>0.66</v>
          </cell>
          <cell r="C30">
            <v>0.34</v>
          </cell>
        </row>
        <row r="31">
          <cell r="A31" t="str">
            <v>Belgium</v>
          </cell>
          <cell r="B31">
            <v>0.59</v>
          </cell>
          <cell r="C31">
            <v>0.41</v>
          </cell>
        </row>
        <row r="32">
          <cell r="A32" t="str">
            <v>Hungary</v>
          </cell>
          <cell r="C32">
            <v>1</v>
          </cell>
        </row>
        <row r="33">
          <cell r="A33" t="str">
            <v>Czechia</v>
          </cell>
          <cell r="C33">
            <v>1</v>
          </cell>
        </row>
        <row r="34">
          <cell r="A34" t="str">
            <v>New Zealand</v>
          </cell>
          <cell r="B34">
            <v>0.61</v>
          </cell>
          <cell r="C34">
            <v>0.39</v>
          </cell>
        </row>
        <row r="35">
          <cell r="A35" t="str">
            <v>United Arab Emirates</v>
          </cell>
          <cell r="C35">
            <v>1</v>
          </cell>
        </row>
        <row r="36">
          <cell r="A36" t="str">
            <v>South Africa</v>
          </cell>
          <cell r="B36">
            <v>0.2</v>
          </cell>
          <cell r="C36">
            <v>0.8</v>
          </cell>
        </row>
        <row r="37">
          <cell r="A37" t="str">
            <v>India</v>
          </cell>
          <cell r="B37">
            <v>0.24</v>
          </cell>
          <cell r="C37">
            <v>0.76</v>
          </cell>
        </row>
        <row r="38">
          <cell r="A38" t="str">
            <v>Ireland</v>
          </cell>
          <cell r="B38">
            <v>0.6</v>
          </cell>
          <cell r="C38">
            <v>0.4</v>
          </cell>
        </row>
        <row r="39">
          <cell r="A39" t="str">
            <v>Estonia</v>
          </cell>
        </row>
        <row r="40">
          <cell r="A40" t="str">
            <v>Greece</v>
          </cell>
          <cell r="B40">
            <v>0.57999999999999996</v>
          </cell>
          <cell r="C40">
            <v>0.42</v>
          </cell>
        </row>
        <row r="41">
          <cell r="A41" t="str">
            <v>France</v>
          </cell>
          <cell r="B41">
            <v>0.75</v>
          </cell>
          <cell r="C41">
            <v>0.25</v>
          </cell>
        </row>
        <row r="42">
          <cell r="A42" t="str">
            <v>Netherlands</v>
          </cell>
          <cell r="B42">
            <v>0.56000000000000005</v>
          </cell>
          <cell r="C42">
            <v>0.44</v>
          </cell>
        </row>
        <row r="43">
          <cell r="A43" t="str">
            <v>Ecuador</v>
          </cell>
          <cell r="C43">
            <v>1</v>
          </cell>
        </row>
        <row r="44">
          <cell r="A44" t="str">
            <v>Lithuania</v>
          </cell>
          <cell r="C44">
            <v>1</v>
          </cell>
        </row>
        <row r="45">
          <cell r="A45" t="str">
            <v>Mexico</v>
          </cell>
          <cell r="B45">
            <v>0.35</v>
          </cell>
          <cell r="C45">
            <v>0.65</v>
          </cell>
        </row>
        <row r="46">
          <cell r="A46" t="str">
            <v>Italy</v>
          </cell>
          <cell r="B46">
            <v>0.62</v>
          </cell>
          <cell r="C46">
            <v>0.38</v>
          </cell>
        </row>
        <row r="47">
          <cell r="A47" t="str">
            <v>Belarus</v>
          </cell>
          <cell r="C47">
            <v>1</v>
          </cell>
        </row>
        <row r="48">
          <cell r="A48" t="str">
            <v>Argentina</v>
          </cell>
          <cell r="B48">
            <v>0.44</v>
          </cell>
          <cell r="C48">
            <v>0.56000000000000005</v>
          </cell>
        </row>
        <row r="49">
          <cell r="A49" t="str">
            <v>Spain</v>
          </cell>
          <cell r="B49">
            <v>0.45</v>
          </cell>
          <cell r="C49">
            <v>0.55000000000000004</v>
          </cell>
        </row>
        <row r="50">
          <cell r="A50" t="str">
            <v>Colombia</v>
          </cell>
          <cell r="B50">
            <v>0.42</v>
          </cell>
          <cell r="C50">
            <v>0.57999999999999996</v>
          </cell>
        </row>
        <row r="51">
          <cell r="A51" t="str">
            <v>Brazil</v>
          </cell>
          <cell r="B51">
            <v>0.48</v>
          </cell>
          <cell r="C51">
            <v>0.52</v>
          </cell>
        </row>
        <row r="52">
          <cell r="A52" t="str">
            <v>Serbia</v>
          </cell>
          <cell r="C52">
            <v>1</v>
          </cell>
        </row>
        <row r="53">
          <cell r="A53" t="str">
            <v>Philippines</v>
          </cell>
          <cell r="B53">
            <v>0.26</v>
          </cell>
          <cell r="C53">
            <v>0.74</v>
          </cell>
        </row>
        <row r="54">
          <cell r="A54" t="str">
            <v>Saudi Arabia</v>
          </cell>
          <cell r="C54">
            <v>1</v>
          </cell>
        </row>
        <row r="55">
          <cell r="A55" t="str">
            <v>Bulgaria</v>
          </cell>
          <cell r="C55">
            <v>1</v>
          </cell>
        </row>
        <row r="56">
          <cell r="A56" t="str">
            <v>Nigeria</v>
          </cell>
          <cell r="C56">
            <v>1</v>
          </cell>
        </row>
        <row r="57">
          <cell r="A57" t="str">
            <v>Poland</v>
          </cell>
          <cell r="B57">
            <v>0.56000000000000005</v>
          </cell>
          <cell r="C57">
            <v>0.44</v>
          </cell>
        </row>
        <row r="58">
          <cell r="A58" t="str">
            <v>Croatia</v>
          </cell>
          <cell r="C58">
            <v>1</v>
          </cell>
        </row>
        <row r="59">
          <cell r="A59" t="str">
            <v>Chile</v>
          </cell>
          <cell r="B59">
            <v>0.5</v>
          </cell>
          <cell r="C59">
            <v>0.5</v>
          </cell>
        </row>
        <row r="60">
          <cell r="A60" t="str">
            <v>Romania</v>
          </cell>
          <cell r="C60">
            <v>1</v>
          </cell>
        </row>
        <row r="61">
          <cell r="A61" t="str">
            <v>Russia</v>
          </cell>
          <cell r="B61">
            <v>0.49</v>
          </cell>
          <cell r="C61">
            <v>0.51</v>
          </cell>
        </row>
        <row r="62">
          <cell r="A62" t="str">
            <v>Thailand</v>
          </cell>
          <cell r="B62">
            <v>0.38</v>
          </cell>
          <cell r="C62">
            <v>0.62</v>
          </cell>
        </row>
        <row r="63">
          <cell r="A63" t="str">
            <v>Turkey</v>
          </cell>
          <cell r="B63">
            <v>0.51</v>
          </cell>
          <cell r="C63">
            <v>0.49</v>
          </cell>
        </row>
        <row r="64">
          <cell r="A64" t="str">
            <v>Ukraine</v>
          </cell>
          <cell r="C64">
            <v>1</v>
          </cell>
        </row>
        <row r="65">
          <cell r="A65" t="str">
            <v>Venezuela</v>
          </cell>
          <cell r="B65">
            <v>0.5</v>
          </cell>
          <cell r="C65">
            <v>0.5</v>
          </cell>
        </row>
        <row r="66">
          <cell r="A66" t="str">
            <v>Vietnam</v>
          </cell>
          <cell r="B66">
            <v>0.56000000000000005</v>
          </cell>
          <cell r="C66">
            <v>0.44</v>
          </cell>
        </row>
        <row r="67">
          <cell r="A67" t="str">
            <v>Indonesia</v>
          </cell>
          <cell r="B67">
            <v>0.33</v>
          </cell>
          <cell r="C67">
            <v>0.67</v>
          </cell>
        </row>
        <row r="68">
          <cell r="A68" t="str">
            <v>U.S. Virgin Islands</v>
          </cell>
        </row>
        <row r="69">
          <cell r="A69" t="str">
            <v>Grenada</v>
          </cell>
        </row>
        <row r="70">
          <cell r="A70" t="str">
            <v>Sierra Leone</v>
          </cell>
        </row>
        <row r="71">
          <cell r="A71" t="str">
            <v>Benin</v>
          </cell>
        </row>
        <row r="72">
          <cell r="A72" t="str">
            <v>Botswana</v>
          </cell>
        </row>
        <row r="73">
          <cell r="A73" t="str">
            <v>Macao</v>
          </cell>
        </row>
        <row r="74">
          <cell r="A74" t="str">
            <v>Iceland</v>
          </cell>
        </row>
        <row r="75">
          <cell r="A75" t="str">
            <v>Rwanda</v>
          </cell>
        </row>
        <row r="76">
          <cell r="A76" t="str">
            <v>Madagascar</v>
          </cell>
        </row>
        <row r="77">
          <cell r="A77" t="str">
            <v>Guadeloupe</v>
          </cell>
        </row>
        <row r="78">
          <cell r="A78" t="str">
            <v>Uganda</v>
          </cell>
        </row>
        <row r="79">
          <cell r="A79" t="str">
            <v>North Macedonia</v>
          </cell>
        </row>
        <row r="80">
          <cell r="A80" t="str">
            <v>Ethiopia</v>
          </cell>
        </row>
        <row r="81">
          <cell r="A81" t="str">
            <v>Luxembourg</v>
          </cell>
        </row>
        <row r="82">
          <cell r="A82" t="str">
            <v>Laos</v>
          </cell>
        </row>
        <row r="83">
          <cell r="A83" t="str">
            <v>Armenia</v>
          </cell>
        </row>
        <row r="84">
          <cell r="A84" t="str">
            <v>Zambia</v>
          </cell>
        </row>
        <row r="85">
          <cell r="A85" t="str">
            <v>Cyprus</v>
          </cell>
        </row>
        <row r="86">
          <cell r="A86" t="str">
            <v>Cameroon</v>
          </cell>
        </row>
        <row r="87">
          <cell r="A87" t="str">
            <v>RÃ©union</v>
          </cell>
        </row>
        <row r="88">
          <cell r="A88" t="str">
            <v>Slovenia</v>
          </cell>
        </row>
        <row r="89">
          <cell r="A89" t="str">
            <v>Myanmar (Burma)</v>
          </cell>
        </row>
        <row r="90">
          <cell r="A90" t="str">
            <v>Azerbaijan</v>
          </cell>
        </row>
        <row r="91">
          <cell r="A91" t="str">
            <v>Moldova</v>
          </cell>
        </row>
        <row r="92">
          <cell r="A92" t="str">
            <v>Portugal</v>
          </cell>
        </row>
        <row r="93">
          <cell r="A93" t="str">
            <v>Qatar</v>
          </cell>
        </row>
        <row r="94">
          <cell r="A94" t="str">
            <v>Dominican Republic</v>
          </cell>
        </row>
        <row r="95">
          <cell r="A95" t="str">
            <v>Puerto Rico</v>
          </cell>
        </row>
        <row r="96">
          <cell r="A96" t="str">
            <v>Panama</v>
          </cell>
        </row>
        <row r="97">
          <cell r="A97" t="str">
            <v>Tunisia</v>
          </cell>
        </row>
        <row r="98">
          <cell r="A98" t="str">
            <v>Paraguay</v>
          </cell>
        </row>
        <row r="99">
          <cell r="A99" t="str">
            <v>Latvia</v>
          </cell>
        </row>
        <row r="100">
          <cell r="A100" t="str">
            <v>Lebanon</v>
          </cell>
        </row>
        <row r="101">
          <cell r="A101" t="str">
            <v>Uruguay</v>
          </cell>
        </row>
        <row r="102">
          <cell r="A102" t="str">
            <v>Bolivia</v>
          </cell>
        </row>
        <row r="103">
          <cell r="A103" t="str">
            <v>Guatemala</v>
          </cell>
        </row>
        <row r="104">
          <cell r="A104" t="str">
            <v>Sri Lanka</v>
          </cell>
        </row>
        <row r="105">
          <cell r="A105" t="str">
            <v>Algeria</v>
          </cell>
        </row>
        <row r="106">
          <cell r="A106" t="str">
            <v>Morocco</v>
          </cell>
        </row>
        <row r="107">
          <cell r="A107" t="str">
            <v>Kenya</v>
          </cell>
        </row>
        <row r="108">
          <cell r="A108" t="str">
            <v>Iraq</v>
          </cell>
        </row>
        <row r="109">
          <cell r="A109" t="str">
            <v>Slovakia</v>
          </cell>
        </row>
        <row r="110">
          <cell r="A110" t="str">
            <v>Egypt</v>
          </cell>
        </row>
        <row r="111">
          <cell r="A111" t="str">
            <v>Kazakhstan</v>
          </cell>
        </row>
        <row r="112">
          <cell r="A112" t="str">
            <v>Aruba</v>
          </cell>
        </row>
        <row r="113">
          <cell r="A113" t="str">
            <v>Afghanistan</v>
          </cell>
        </row>
        <row r="114">
          <cell r="A114" t="str">
            <v>Angola</v>
          </cell>
        </row>
        <row r="115">
          <cell r="A115" t="str">
            <v>Anguilla</v>
          </cell>
        </row>
        <row r="116">
          <cell r="A116" t="str">
            <v>Ã…land Islands</v>
          </cell>
        </row>
        <row r="117">
          <cell r="A117" t="str">
            <v>Albania</v>
          </cell>
        </row>
        <row r="118">
          <cell r="A118" t="str">
            <v>Andorra</v>
          </cell>
        </row>
        <row r="119">
          <cell r="A119" t="str">
            <v>American Samoa</v>
          </cell>
        </row>
        <row r="120">
          <cell r="A120" t="str">
            <v>Antarctica</v>
          </cell>
        </row>
        <row r="121">
          <cell r="A121" t="str">
            <v>French Southern Territories</v>
          </cell>
        </row>
        <row r="122">
          <cell r="A122" t="str">
            <v>Antigua &amp; Barbuda</v>
          </cell>
        </row>
        <row r="123">
          <cell r="A123" t="str">
            <v>Burundi</v>
          </cell>
        </row>
        <row r="124">
          <cell r="A124" t="str">
            <v>Caribbean Netherlands</v>
          </cell>
        </row>
        <row r="125">
          <cell r="A125" t="str">
            <v>Burkina Faso</v>
          </cell>
        </row>
        <row r="126">
          <cell r="A126" t="str">
            <v>Bahrain</v>
          </cell>
        </row>
        <row r="127">
          <cell r="A127" t="str">
            <v>Bahamas</v>
          </cell>
        </row>
        <row r="128">
          <cell r="A128" t="str">
            <v>Bosnia &amp; Herzegovina</v>
          </cell>
        </row>
        <row r="129">
          <cell r="A129" t="str">
            <v>St. BarthÃ©lemy</v>
          </cell>
        </row>
        <row r="130">
          <cell r="A130" t="str">
            <v>Belize</v>
          </cell>
        </row>
        <row r="131">
          <cell r="A131" t="str">
            <v>Bermuda</v>
          </cell>
        </row>
        <row r="132">
          <cell r="A132" t="str">
            <v>Barbados</v>
          </cell>
        </row>
        <row r="133">
          <cell r="A133" t="str">
            <v>Brunei</v>
          </cell>
        </row>
        <row r="134">
          <cell r="A134" t="str">
            <v>Bhutan</v>
          </cell>
        </row>
        <row r="135">
          <cell r="A135" t="str">
            <v>Bouvet Island</v>
          </cell>
        </row>
        <row r="136">
          <cell r="A136" t="str">
            <v>Central African Republic</v>
          </cell>
        </row>
        <row r="137">
          <cell r="A137" t="str">
            <v>Cocos (Keeling) Islands</v>
          </cell>
        </row>
        <row r="138">
          <cell r="A138" t="str">
            <v>CÃ´te dâ€™Ivoire</v>
          </cell>
        </row>
        <row r="139">
          <cell r="A139" t="str">
            <v>Congo - Kinshasa</v>
          </cell>
        </row>
        <row r="140">
          <cell r="A140" t="str">
            <v>Congo - Brazzaville</v>
          </cell>
        </row>
        <row r="141">
          <cell r="A141" t="str">
            <v>Cook Islands</v>
          </cell>
        </row>
        <row r="142">
          <cell r="A142" t="str">
            <v>Comoros</v>
          </cell>
        </row>
        <row r="143">
          <cell r="A143" t="str">
            <v>Cape Verde</v>
          </cell>
        </row>
        <row r="144">
          <cell r="A144" t="str">
            <v>Costa Rica</v>
          </cell>
        </row>
        <row r="145">
          <cell r="A145" t="str">
            <v>Cuba</v>
          </cell>
        </row>
        <row r="146">
          <cell r="A146" t="str">
            <v>CuraÃ§ao</v>
          </cell>
        </row>
        <row r="147">
          <cell r="A147" t="str">
            <v>Christmas Island</v>
          </cell>
        </row>
        <row r="148">
          <cell r="A148" t="str">
            <v>Cayman Islands</v>
          </cell>
        </row>
        <row r="149">
          <cell r="A149" t="str">
            <v>Djibouti</v>
          </cell>
        </row>
        <row r="150">
          <cell r="A150" t="str">
            <v>Dominica</v>
          </cell>
        </row>
        <row r="151">
          <cell r="A151" t="str">
            <v>Eritrea</v>
          </cell>
        </row>
        <row r="152">
          <cell r="A152" t="str">
            <v>Western Sahara</v>
          </cell>
        </row>
        <row r="153">
          <cell r="A153" t="str">
            <v>Fiji</v>
          </cell>
        </row>
        <row r="154">
          <cell r="A154" t="str">
            <v>Falkland Islands (Islas Malvinas)</v>
          </cell>
        </row>
        <row r="155">
          <cell r="A155" t="str">
            <v>Faroe Islands</v>
          </cell>
        </row>
        <row r="156">
          <cell r="A156" t="str">
            <v>Micronesia</v>
          </cell>
        </row>
        <row r="157">
          <cell r="A157" t="str">
            <v>Gabon</v>
          </cell>
        </row>
        <row r="158">
          <cell r="A158" t="str">
            <v>Georgia</v>
          </cell>
        </row>
        <row r="159">
          <cell r="A159" t="str">
            <v>Guernsey</v>
          </cell>
        </row>
        <row r="160">
          <cell r="A160" t="str">
            <v>Gibraltar</v>
          </cell>
        </row>
        <row r="161">
          <cell r="A161" t="str">
            <v>Guinea</v>
          </cell>
        </row>
        <row r="162">
          <cell r="A162" t="str">
            <v>Gambia</v>
          </cell>
        </row>
        <row r="163">
          <cell r="A163" t="str">
            <v>Guinea-Bissau</v>
          </cell>
        </row>
        <row r="164">
          <cell r="A164" t="str">
            <v>Equatorial Guinea</v>
          </cell>
        </row>
        <row r="165">
          <cell r="A165" t="str">
            <v>Greenland</v>
          </cell>
        </row>
        <row r="166">
          <cell r="A166" t="str">
            <v>French Guiana</v>
          </cell>
        </row>
        <row r="167">
          <cell r="A167" t="str">
            <v>Guam</v>
          </cell>
        </row>
        <row r="168">
          <cell r="A168" t="str">
            <v>Guyana</v>
          </cell>
        </row>
        <row r="169">
          <cell r="A169" t="str">
            <v>Heard &amp; McDonald Islands</v>
          </cell>
        </row>
        <row r="170">
          <cell r="A170" t="str">
            <v>Honduras</v>
          </cell>
        </row>
        <row r="171">
          <cell r="A171" t="str">
            <v>Haiti</v>
          </cell>
        </row>
        <row r="172">
          <cell r="A172" t="str">
            <v>Isle of Man</v>
          </cell>
        </row>
        <row r="173">
          <cell r="A173" t="str">
            <v>British Indian Ocean Territory</v>
          </cell>
        </row>
        <row r="174">
          <cell r="A174" t="str">
            <v>Jamaica</v>
          </cell>
        </row>
        <row r="175">
          <cell r="A175" t="str">
            <v>Jersey</v>
          </cell>
        </row>
        <row r="176">
          <cell r="A176" t="str">
            <v>Jordan</v>
          </cell>
        </row>
        <row r="177">
          <cell r="A177" t="str">
            <v>Kyrgyzstan</v>
          </cell>
        </row>
        <row r="178">
          <cell r="A178" t="str">
            <v>Cambodia</v>
          </cell>
        </row>
        <row r="179">
          <cell r="A179" t="str">
            <v>Kiribati</v>
          </cell>
        </row>
        <row r="180">
          <cell r="A180" t="str">
            <v>St. Kitts &amp; Nevis</v>
          </cell>
        </row>
        <row r="181">
          <cell r="A181" t="str">
            <v>Kuwait</v>
          </cell>
        </row>
        <row r="182">
          <cell r="A182" t="str">
            <v>Liberia</v>
          </cell>
        </row>
        <row r="183">
          <cell r="A183" t="str">
            <v>Libya</v>
          </cell>
        </row>
        <row r="184">
          <cell r="A184" t="str">
            <v>St. Lucia</v>
          </cell>
        </row>
        <row r="185">
          <cell r="A185" t="str">
            <v>Liechtenstein</v>
          </cell>
        </row>
        <row r="186">
          <cell r="A186" t="str">
            <v>Lesotho</v>
          </cell>
        </row>
        <row r="187">
          <cell r="A187" t="str">
            <v>St. Martin</v>
          </cell>
        </row>
        <row r="188">
          <cell r="A188" t="str">
            <v>Monaco</v>
          </cell>
        </row>
        <row r="189">
          <cell r="A189" t="str">
            <v>Maldives</v>
          </cell>
        </row>
        <row r="190">
          <cell r="A190" t="str">
            <v>Marshall Islands</v>
          </cell>
        </row>
        <row r="191">
          <cell r="A191" t="str">
            <v>Mali</v>
          </cell>
        </row>
        <row r="192">
          <cell r="A192" t="str">
            <v>Malta</v>
          </cell>
        </row>
        <row r="193">
          <cell r="A193" t="str">
            <v>Montenegro</v>
          </cell>
        </row>
        <row r="194">
          <cell r="A194" t="str">
            <v>Mongolia</v>
          </cell>
        </row>
        <row r="195">
          <cell r="A195" t="str">
            <v>Northern Mariana Islands</v>
          </cell>
        </row>
        <row r="196">
          <cell r="A196" t="str">
            <v>Mozambique</v>
          </cell>
        </row>
        <row r="197">
          <cell r="A197" t="str">
            <v>Mauritania</v>
          </cell>
        </row>
        <row r="198">
          <cell r="A198" t="str">
            <v>Montserrat</v>
          </cell>
        </row>
        <row r="199">
          <cell r="A199" t="str">
            <v>Martinique</v>
          </cell>
        </row>
        <row r="200">
          <cell r="A200" t="str">
            <v>Mauritius</v>
          </cell>
        </row>
        <row r="201">
          <cell r="A201" t="str">
            <v>Malawi</v>
          </cell>
        </row>
        <row r="202">
          <cell r="A202" t="str">
            <v>Mayotte</v>
          </cell>
        </row>
        <row r="203">
          <cell r="A203" t="str">
            <v>Namibia</v>
          </cell>
        </row>
        <row r="204">
          <cell r="A204" t="str">
            <v>New Caledonia</v>
          </cell>
        </row>
        <row r="205">
          <cell r="A205" t="str">
            <v>Niger</v>
          </cell>
        </row>
        <row r="206">
          <cell r="A206" t="str">
            <v>Norfolk Island</v>
          </cell>
        </row>
        <row r="207">
          <cell r="A207" t="str">
            <v>Nicaragua</v>
          </cell>
        </row>
        <row r="208">
          <cell r="A208" t="str">
            <v>Niue</v>
          </cell>
        </row>
        <row r="209">
          <cell r="A209" t="str">
            <v>Nauru</v>
          </cell>
        </row>
        <row r="210">
          <cell r="A210" t="str">
            <v>Oman</v>
          </cell>
        </row>
        <row r="211">
          <cell r="A211" t="str">
            <v>Pitcairn Islands</v>
          </cell>
        </row>
        <row r="212">
          <cell r="A212" t="str">
            <v>Palau</v>
          </cell>
        </row>
        <row r="213">
          <cell r="A213" t="str">
            <v>Papua New Guinea</v>
          </cell>
        </row>
        <row r="214">
          <cell r="A214" t="str">
            <v>North Korea</v>
          </cell>
        </row>
        <row r="215">
          <cell r="A215" t="str">
            <v>Palestine</v>
          </cell>
        </row>
        <row r="216">
          <cell r="A216" t="str">
            <v>French Polynesia</v>
          </cell>
        </row>
        <row r="217">
          <cell r="A217" t="str">
            <v>Sudan</v>
          </cell>
        </row>
        <row r="218">
          <cell r="A218" t="str">
            <v>Senegal</v>
          </cell>
        </row>
        <row r="219">
          <cell r="A219" t="str">
            <v>South Georgia &amp; South Sandwich Islands</v>
          </cell>
        </row>
        <row r="220">
          <cell r="A220" t="str">
            <v>Svalbard &amp; Jan Mayen</v>
          </cell>
        </row>
        <row r="221">
          <cell r="A221" t="str">
            <v>Solomon Islands</v>
          </cell>
        </row>
        <row r="222">
          <cell r="A222" t="str">
            <v>El Salvador</v>
          </cell>
        </row>
        <row r="223">
          <cell r="A223" t="str">
            <v>San Marino</v>
          </cell>
        </row>
        <row r="224">
          <cell r="A224" t="str">
            <v>Somalia</v>
          </cell>
        </row>
        <row r="225">
          <cell r="A225" t="str">
            <v>St. Pierre &amp; Miquelon</v>
          </cell>
        </row>
        <row r="226">
          <cell r="A226" t="str">
            <v>South Sudan</v>
          </cell>
        </row>
        <row r="227">
          <cell r="A227" t="str">
            <v>SÃ£o TomÃ© &amp; PrÃ­ncipe</v>
          </cell>
        </row>
        <row r="228">
          <cell r="A228" t="str">
            <v>Suriname</v>
          </cell>
        </row>
        <row r="229">
          <cell r="A229" t="str">
            <v>Eswatini</v>
          </cell>
        </row>
        <row r="230">
          <cell r="A230" t="str">
            <v>Sint Maarten</v>
          </cell>
        </row>
        <row r="231">
          <cell r="A231" t="str">
            <v>Seychelles</v>
          </cell>
        </row>
        <row r="232">
          <cell r="A232" t="str">
            <v>Syria</v>
          </cell>
        </row>
        <row r="233">
          <cell r="A233" t="str">
            <v>Turks &amp; Caicos Islands</v>
          </cell>
        </row>
        <row r="234">
          <cell r="A234" t="str">
            <v>Chad</v>
          </cell>
        </row>
        <row r="235">
          <cell r="A235" t="str">
            <v>Togo</v>
          </cell>
        </row>
        <row r="236">
          <cell r="A236" t="str">
            <v>Tajikistan</v>
          </cell>
        </row>
        <row r="237">
          <cell r="A237" t="str">
            <v>Tokelau</v>
          </cell>
        </row>
        <row r="238">
          <cell r="A238" t="str">
            <v>Turkmenistan</v>
          </cell>
        </row>
        <row r="239">
          <cell r="A239" t="str">
            <v>Timor-Leste</v>
          </cell>
        </row>
        <row r="240">
          <cell r="A240" t="str">
            <v>Tonga</v>
          </cell>
        </row>
        <row r="241">
          <cell r="A241" t="str">
            <v>Trinidad &amp; Tobago</v>
          </cell>
        </row>
        <row r="242">
          <cell r="A242" t="str">
            <v>Tuvalu</v>
          </cell>
        </row>
        <row r="243">
          <cell r="A243" t="str">
            <v>Tanzania</v>
          </cell>
        </row>
        <row r="244">
          <cell r="A244" t="str">
            <v>U.S. Outlying Islands</v>
          </cell>
        </row>
        <row r="245">
          <cell r="A245" t="str">
            <v>Vatican City</v>
          </cell>
        </row>
        <row r="246">
          <cell r="A246" t="str">
            <v>St. Vincent &amp; Grenadines</v>
          </cell>
        </row>
        <row r="247">
          <cell r="A247" t="str">
            <v>British Virgin Islands</v>
          </cell>
        </row>
        <row r="248">
          <cell r="A248" t="str">
            <v>Vanuatu</v>
          </cell>
        </row>
        <row r="249">
          <cell r="A249" t="str">
            <v>Wallis &amp; Futuna</v>
          </cell>
        </row>
        <row r="250">
          <cell r="A250" t="str">
            <v>Samoa</v>
          </cell>
        </row>
        <row r="251">
          <cell r="A251" t="str">
            <v>Kosovo</v>
          </cell>
        </row>
        <row r="252">
          <cell r="A252" t="str">
            <v>Yemen</v>
          </cell>
        </row>
        <row r="253">
          <cell r="A253" t="str">
            <v>Zimbabwe</v>
          </cell>
        </row>
      </sheetData>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44)"/>
    </sheetNames>
    <sheetDataSet>
      <sheetData sheetId="0" refreshError="1">
        <row r="1">
          <cell r="A1" t="str">
            <v>Kategori: TÃ¼m kategoriler</v>
          </cell>
        </row>
        <row r="3">
          <cell r="A3" t="str">
            <v>Ãœlke</v>
          </cell>
          <cell r="B3" t="str">
            <v>P ile NP arasÄ±ndaki iliÅŸki: (2018)</v>
          </cell>
          <cell r="C3" t="str">
            <v>Query optimization: (2018)</v>
          </cell>
        </row>
        <row r="4">
          <cell r="A4" t="str">
            <v>Nepal</v>
          </cell>
          <cell r="B4">
            <v>0.21</v>
          </cell>
          <cell r="C4">
            <v>0.79</v>
          </cell>
        </row>
        <row r="5">
          <cell r="A5" t="str">
            <v>China</v>
          </cell>
          <cell r="B5">
            <v>0.46</v>
          </cell>
          <cell r="C5">
            <v>0.54</v>
          </cell>
        </row>
        <row r="6">
          <cell r="A6" t="str">
            <v>Ethiopia</v>
          </cell>
          <cell r="C6">
            <v>1</v>
          </cell>
        </row>
        <row r="7">
          <cell r="A7" t="str">
            <v>South Korea</v>
          </cell>
          <cell r="B7">
            <v>0.78</v>
          </cell>
          <cell r="C7">
            <v>0.22</v>
          </cell>
        </row>
        <row r="8">
          <cell r="A8" t="str">
            <v>Iceland</v>
          </cell>
        </row>
        <row r="9">
          <cell r="A9" t="str">
            <v>Sri Lanka</v>
          </cell>
          <cell r="C9">
            <v>1</v>
          </cell>
        </row>
        <row r="10">
          <cell r="A10" t="str">
            <v>Pakistan</v>
          </cell>
          <cell r="B10">
            <v>0.36</v>
          </cell>
          <cell r="C10">
            <v>0.64</v>
          </cell>
        </row>
        <row r="11">
          <cell r="A11" t="str">
            <v>India</v>
          </cell>
          <cell r="B11">
            <v>0.31</v>
          </cell>
          <cell r="C11">
            <v>0.69</v>
          </cell>
        </row>
        <row r="12">
          <cell r="A12" t="str">
            <v>Germany</v>
          </cell>
          <cell r="B12">
            <v>0.91</v>
          </cell>
          <cell r="C12">
            <v>0.09</v>
          </cell>
        </row>
        <row r="13">
          <cell r="A13" t="str">
            <v>Tanzania</v>
          </cell>
          <cell r="C13">
            <v>1</v>
          </cell>
        </row>
        <row r="14">
          <cell r="A14" t="str">
            <v>Austria</v>
          </cell>
          <cell r="B14">
            <v>1</v>
          </cell>
        </row>
        <row r="15">
          <cell r="A15" t="str">
            <v>Israel</v>
          </cell>
          <cell r="B15">
            <v>1</v>
          </cell>
        </row>
        <row r="16">
          <cell r="A16" t="str">
            <v>Uzbekistan</v>
          </cell>
          <cell r="B16">
            <v>1</v>
          </cell>
        </row>
        <row r="17">
          <cell r="A17" t="str">
            <v>Ghana</v>
          </cell>
          <cell r="B17">
            <v>1</v>
          </cell>
        </row>
        <row r="18">
          <cell r="A18" t="str">
            <v>Hong Kong</v>
          </cell>
          <cell r="B18">
            <v>0.76</v>
          </cell>
          <cell r="C18">
            <v>0.24</v>
          </cell>
        </row>
        <row r="19">
          <cell r="A19" t="str">
            <v>Peru</v>
          </cell>
          <cell r="B19">
            <v>0.83</v>
          </cell>
          <cell r="C19">
            <v>0.17</v>
          </cell>
        </row>
        <row r="20">
          <cell r="A20" t="str">
            <v>Kenya</v>
          </cell>
          <cell r="C20">
            <v>1</v>
          </cell>
        </row>
        <row r="21">
          <cell r="A21" t="str">
            <v>Singapore</v>
          </cell>
          <cell r="B21">
            <v>0.75</v>
          </cell>
          <cell r="C21">
            <v>0.25</v>
          </cell>
        </row>
        <row r="22">
          <cell r="A22" t="str">
            <v>Norway</v>
          </cell>
          <cell r="B22">
            <v>1</v>
          </cell>
        </row>
        <row r="23">
          <cell r="A23" t="str">
            <v>United States</v>
          </cell>
          <cell r="B23">
            <v>0.68</v>
          </cell>
          <cell r="C23">
            <v>0.32</v>
          </cell>
        </row>
        <row r="24">
          <cell r="A24" t="str">
            <v>Bangladesh</v>
          </cell>
          <cell r="B24">
            <v>0.69</v>
          </cell>
          <cell r="C24">
            <v>0.31</v>
          </cell>
        </row>
        <row r="25">
          <cell r="A25" t="str">
            <v>Japan</v>
          </cell>
          <cell r="B25">
            <v>0.33</v>
          </cell>
          <cell r="C25">
            <v>0.67</v>
          </cell>
        </row>
        <row r="26">
          <cell r="A26" t="str">
            <v>Sudan</v>
          </cell>
        </row>
        <row r="27">
          <cell r="A27" t="str">
            <v>Canada</v>
          </cell>
          <cell r="B27">
            <v>0.68</v>
          </cell>
          <cell r="C27">
            <v>0.32</v>
          </cell>
        </row>
        <row r="28">
          <cell r="A28" t="str">
            <v>Hungary</v>
          </cell>
          <cell r="B28">
            <v>1</v>
          </cell>
        </row>
        <row r="29">
          <cell r="A29" t="str">
            <v>Czechia</v>
          </cell>
          <cell r="B29">
            <v>1</v>
          </cell>
        </row>
        <row r="30">
          <cell r="A30" t="str">
            <v>United Arab Emirates</v>
          </cell>
          <cell r="B30">
            <v>1</v>
          </cell>
        </row>
        <row r="31">
          <cell r="A31" t="str">
            <v>South Africa</v>
          </cell>
          <cell r="B31">
            <v>0.72</v>
          </cell>
          <cell r="C31">
            <v>0.28000000000000003</v>
          </cell>
        </row>
        <row r="32">
          <cell r="A32" t="str">
            <v>Switzerland</v>
          </cell>
          <cell r="B32">
            <v>1</v>
          </cell>
        </row>
        <row r="33">
          <cell r="A33" t="str">
            <v>Oman</v>
          </cell>
        </row>
        <row r="34">
          <cell r="A34" t="str">
            <v>Sweden</v>
          </cell>
          <cell r="B34">
            <v>0.72</v>
          </cell>
          <cell r="C34">
            <v>0.28000000000000003</v>
          </cell>
        </row>
        <row r="35">
          <cell r="A35" t="str">
            <v>Ecuador</v>
          </cell>
          <cell r="B35">
            <v>1</v>
          </cell>
        </row>
        <row r="36">
          <cell r="A36" t="str">
            <v>Australia</v>
          </cell>
          <cell r="B36">
            <v>0.69</v>
          </cell>
          <cell r="C36">
            <v>0.31</v>
          </cell>
        </row>
        <row r="37">
          <cell r="A37" t="str">
            <v>Belgium</v>
          </cell>
          <cell r="B37">
            <v>1</v>
          </cell>
        </row>
        <row r="38">
          <cell r="A38" t="str">
            <v>Russia</v>
          </cell>
          <cell r="B38">
            <v>0.28000000000000003</v>
          </cell>
          <cell r="C38">
            <v>0.72</v>
          </cell>
        </row>
        <row r="39">
          <cell r="A39" t="str">
            <v>Lithuania</v>
          </cell>
          <cell r="B39">
            <v>1</v>
          </cell>
        </row>
        <row r="40">
          <cell r="A40" t="str">
            <v>Nigeria</v>
          </cell>
          <cell r="B40">
            <v>0.38</v>
          </cell>
          <cell r="C40">
            <v>0.62</v>
          </cell>
        </row>
        <row r="41">
          <cell r="A41" t="str">
            <v>Greece</v>
          </cell>
          <cell r="B41">
            <v>1</v>
          </cell>
        </row>
        <row r="42">
          <cell r="A42" t="str">
            <v>New Zealand</v>
          </cell>
          <cell r="B42">
            <v>0.5</v>
          </cell>
          <cell r="C42">
            <v>0.5</v>
          </cell>
        </row>
        <row r="43">
          <cell r="A43" t="str">
            <v>Netherlands</v>
          </cell>
          <cell r="B43">
            <v>0.7</v>
          </cell>
          <cell r="C43">
            <v>0.3</v>
          </cell>
        </row>
        <row r="44">
          <cell r="A44" t="str">
            <v>Mexico</v>
          </cell>
          <cell r="B44">
            <v>0.73</v>
          </cell>
          <cell r="C44">
            <v>0.27</v>
          </cell>
        </row>
        <row r="45">
          <cell r="A45" t="str">
            <v>Ireland</v>
          </cell>
        </row>
        <row r="46">
          <cell r="A46" t="str">
            <v>Malaysia</v>
          </cell>
          <cell r="B46">
            <v>0.71</v>
          </cell>
          <cell r="C46">
            <v>0.28999999999999998</v>
          </cell>
        </row>
        <row r="47">
          <cell r="A47" t="str">
            <v>Denmark</v>
          </cell>
          <cell r="B47">
            <v>1</v>
          </cell>
        </row>
        <row r="48">
          <cell r="A48" t="str">
            <v>Belarus</v>
          </cell>
          <cell r="B48">
            <v>0.55000000000000004</v>
          </cell>
          <cell r="C48">
            <v>0.45</v>
          </cell>
        </row>
        <row r="49">
          <cell r="A49" t="str">
            <v>United Kingdom</v>
          </cell>
          <cell r="B49">
            <v>0.65</v>
          </cell>
          <cell r="C49">
            <v>0.35</v>
          </cell>
        </row>
        <row r="50">
          <cell r="A50" t="str">
            <v>Taiwan</v>
          </cell>
          <cell r="B50">
            <v>1</v>
          </cell>
        </row>
        <row r="51">
          <cell r="A51" t="str">
            <v>Argentina</v>
          </cell>
          <cell r="B51">
            <v>1</v>
          </cell>
        </row>
        <row r="52">
          <cell r="A52" t="str">
            <v>Philippines</v>
          </cell>
          <cell r="B52">
            <v>0.47</v>
          </cell>
          <cell r="C52">
            <v>0.53</v>
          </cell>
        </row>
        <row r="53">
          <cell r="A53" t="str">
            <v>Spain</v>
          </cell>
          <cell r="B53">
            <v>0.75</v>
          </cell>
          <cell r="C53">
            <v>0.25</v>
          </cell>
        </row>
        <row r="54">
          <cell r="A54" t="str">
            <v>Colombia</v>
          </cell>
          <cell r="B54">
            <v>1</v>
          </cell>
        </row>
        <row r="55">
          <cell r="A55" t="str">
            <v>Brazil</v>
          </cell>
          <cell r="B55">
            <v>0.94</v>
          </cell>
          <cell r="C55">
            <v>0.06</v>
          </cell>
        </row>
        <row r="56">
          <cell r="A56" t="str">
            <v>Serbia</v>
          </cell>
          <cell r="B56">
            <v>1</v>
          </cell>
        </row>
        <row r="57">
          <cell r="A57" t="str">
            <v>Saudi Arabia</v>
          </cell>
          <cell r="B57">
            <v>0.72</v>
          </cell>
          <cell r="C57">
            <v>0.28000000000000003</v>
          </cell>
        </row>
        <row r="58">
          <cell r="A58" t="str">
            <v>Bulgaria</v>
          </cell>
          <cell r="B58">
            <v>1</v>
          </cell>
        </row>
        <row r="59">
          <cell r="A59" t="str">
            <v>Iran</v>
          </cell>
          <cell r="C59">
            <v>1</v>
          </cell>
        </row>
        <row r="60">
          <cell r="A60" t="str">
            <v>Croatia</v>
          </cell>
          <cell r="B60">
            <v>1</v>
          </cell>
        </row>
        <row r="61">
          <cell r="A61" t="str">
            <v>Ukraine</v>
          </cell>
          <cell r="B61">
            <v>0.37</v>
          </cell>
          <cell r="C61">
            <v>0.63</v>
          </cell>
        </row>
        <row r="62">
          <cell r="A62" t="str">
            <v>Italy</v>
          </cell>
          <cell r="B62">
            <v>0.7</v>
          </cell>
          <cell r="C62">
            <v>0.3</v>
          </cell>
        </row>
        <row r="63">
          <cell r="A63" t="str">
            <v>Chile</v>
          </cell>
          <cell r="B63">
            <v>1</v>
          </cell>
        </row>
        <row r="64">
          <cell r="A64" t="str">
            <v>Poland</v>
          </cell>
          <cell r="B64">
            <v>0.68</v>
          </cell>
          <cell r="C64">
            <v>0.32</v>
          </cell>
        </row>
        <row r="65">
          <cell r="A65" t="str">
            <v>France</v>
          </cell>
          <cell r="B65">
            <v>0.49</v>
          </cell>
          <cell r="C65">
            <v>0.51</v>
          </cell>
        </row>
        <row r="66">
          <cell r="A66" t="str">
            <v>Egypt</v>
          </cell>
          <cell r="B66">
            <v>0.33</v>
          </cell>
          <cell r="C66">
            <v>0.67</v>
          </cell>
        </row>
        <row r="67">
          <cell r="A67" t="str">
            <v>Portugal</v>
          </cell>
          <cell r="B67">
            <v>1</v>
          </cell>
        </row>
        <row r="68">
          <cell r="A68" t="str">
            <v>Thailand</v>
          </cell>
        </row>
        <row r="69">
          <cell r="A69" t="str">
            <v>Turkey</v>
          </cell>
          <cell r="B69">
            <v>0.86</v>
          </cell>
          <cell r="C69">
            <v>0.14000000000000001</v>
          </cell>
        </row>
        <row r="70">
          <cell r="A70" t="str">
            <v>Venezuela</v>
          </cell>
          <cell r="B70">
            <v>0.56999999999999995</v>
          </cell>
          <cell r="C70">
            <v>0.43</v>
          </cell>
        </row>
        <row r="71">
          <cell r="A71" t="str">
            <v>Indonesia</v>
          </cell>
          <cell r="B71">
            <v>0.52</v>
          </cell>
          <cell r="C71">
            <v>0.48</v>
          </cell>
        </row>
        <row r="72">
          <cell r="A72" t="str">
            <v>Northern Mariana Islands</v>
          </cell>
        </row>
        <row r="73">
          <cell r="A73" t="str">
            <v>Barbados</v>
          </cell>
        </row>
        <row r="74">
          <cell r="A74" t="str">
            <v>Guyana</v>
          </cell>
        </row>
        <row r="75">
          <cell r="A75" t="str">
            <v>Papua New Guinea</v>
          </cell>
        </row>
        <row r="76">
          <cell r="A76" t="str">
            <v>Myanmar (Burma)</v>
          </cell>
        </row>
        <row r="77">
          <cell r="A77" t="str">
            <v>Macao</v>
          </cell>
        </row>
        <row r="78">
          <cell r="A78" t="str">
            <v>Afghanistan</v>
          </cell>
        </row>
        <row r="79">
          <cell r="A79" t="str">
            <v>Honduras</v>
          </cell>
        </row>
        <row r="80">
          <cell r="A80" t="str">
            <v>Montenegro</v>
          </cell>
        </row>
        <row r="81">
          <cell r="A81" t="str">
            <v>El Salvador</v>
          </cell>
        </row>
        <row r="82">
          <cell r="A82" t="str">
            <v>Malta</v>
          </cell>
        </row>
        <row r="83">
          <cell r="A83" t="str">
            <v>Jamaica</v>
          </cell>
        </row>
        <row r="84">
          <cell r="A84" t="str">
            <v>Slovenia</v>
          </cell>
        </row>
        <row r="85">
          <cell r="A85" t="str">
            <v>Paraguay</v>
          </cell>
        </row>
        <row r="86">
          <cell r="A86" t="str">
            <v>Senegal</v>
          </cell>
        </row>
        <row r="87">
          <cell r="A87" t="str">
            <v>Congo - Kinshasa</v>
          </cell>
        </row>
        <row r="88">
          <cell r="A88" t="str">
            <v>Luxembourg</v>
          </cell>
        </row>
        <row r="89">
          <cell r="A89" t="str">
            <v>Palestine</v>
          </cell>
        </row>
        <row r="90">
          <cell r="A90" t="str">
            <v>Nicaragua</v>
          </cell>
        </row>
        <row r="91">
          <cell r="A91" t="str">
            <v>Puerto Rico</v>
          </cell>
        </row>
        <row r="92">
          <cell r="A92" t="str">
            <v>Georgia</v>
          </cell>
        </row>
        <row r="93">
          <cell r="A93" t="str">
            <v>Uganda</v>
          </cell>
        </row>
        <row r="94">
          <cell r="A94" t="str">
            <v>Costa Rica</v>
          </cell>
        </row>
        <row r="95">
          <cell r="A95" t="str">
            <v>North Macedonia</v>
          </cell>
        </row>
        <row r="96">
          <cell r="A96" t="str">
            <v>Yemen</v>
          </cell>
        </row>
        <row r="97">
          <cell r="A97" t="str">
            <v>Kuwait</v>
          </cell>
        </row>
        <row r="98">
          <cell r="A98" t="str">
            <v>Cyprus</v>
          </cell>
        </row>
        <row r="99">
          <cell r="A99" t="str">
            <v>Cambodia</v>
          </cell>
        </row>
        <row r="100">
          <cell r="A100" t="str">
            <v>Tunisia</v>
          </cell>
        </row>
        <row r="101">
          <cell r="A101" t="str">
            <v>Estonia</v>
          </cell>
        </row>
        <row r="102">
          <cell r="A102" t="str">
            <v>Guatemala</v>
          </cell>
        </row>
        <row r="103">
          <cell r="A103" t="str">
            <v>St. Helena</v>
          </cell>
        </row>
        <row r="104">
          <cell r="A104" t="str">
            <v>Qatar</v>
          </cell>
        </row>
        <row r="105">
          <cell r="A105" t="str">
            <v>Lebanon</v>
          </cell>
        </row>
        <row r="106">
          <cell r="A106" t="str">
            <v>Bosnia &amp; Herzegovina</v>
          </cell>
        </row>
        <row r="107">
          <cell r="A107" t="str">
            <v>Azerbaijan</v>
          </cell>
        </row>
        <row r="108">
          <cell r="A108" t="str">
            <v>Dominican Republic</v>
          </cell>
        </row>
        <row r="109">
          <cell r="A109" t="str">
            <v>Jordan</v>
          </cell>
        </row>
        <row r="110">
          <cell r="A110" t="str">
            <v>Uruguay</v>
          </cell>
        </row>
        <row r="111">
          <cell r="A111" t="str">
            <v>Bolivia</v>
          </cell>
        </row>
        <row r="112">
          <cell r="A112" t="str">
            <v>Morocco</v>
          </cell>
        </row>
        <row r="113">
          <cell r="A113" t="str">
            <v>Finland</v>
          </cell>
        </row>
        <row r="114">
          <cell r="A114" t="str">
            <v>Romania</v>
          </cell>
        </row>
        <row r="115">
          <cell r="A115" t="str">
            <v>Iraq</v>
          </cell>
        </row>
        <row r="116">
          <cell r="A116" t="str">
            <v>Kazakhstan</v>
          </cell>
        </row>
        <row r="117">
          <cell r="A117" t="str">
            <v>Algeria</v>
          </cell>
        </row>
        <row r="118">
          <cell r="A118" t="str">
            <v>Vietnam</v>
          </cell>
        </row>
        <row r="119">
          <cell r="A119" t="str">
            <v>Aruba</v>
          </cell>
        </row>
        <row r="120">
          <cell r="A120" t="str">
            <v>Angola</v>
          </cell>
        </row>
        <row r="121">
          <cell r="A121" t="str">
            <v>Anguilla</v>
          </cell>
        </row>
        <row r="122">
          <cell r="A122" t="str">
            <v>Ã…land Islands</v>
          </cell>
        </row>
        <row r="123">
          <cell r="A123" t="str">
            <v>Albania</v>
          </cell>
        </row>
        <row r="124">
          <cell r="A124" t="str">
            <v>Andorra</v>
          </cell>
        </row>
        <row r="125">
          <cell r="A125" t="str">
            <v>Armenia</v>
          </cell>
        </row>
        <row r="126">
          <cell r="A126" t="str">
            <v>American Samoa</v>
          </cell>
        </row>
        <row r="127">
          <cell r="A127" t="str">
            <v>Antarctica</v>
          </cell>
        </row>
        <row r="128">
          <cell r="A128" t="str">
            <v>French Southern Territories</v>
          </cell>
        </row>
        <row r="129">
          <cell r="A129" t="str">
            <v>Antigua &amp; Barbuda</v>
          </cell>
        </row>
        <row r="130">
          <cell r="A130" t="str">
            <v>Burundi</v>
          </cell>
        </row>
        <row r="131">
          <cell r="A131" t="str">
            <v>Benin</v>
          </cell>
        </row>
        <row r="132">
          <cell r="A132" t="str">
            <v>Caribbean Netherlands</v>
          </cell>
        </row>
        <row r="133">
          <cell r="A133" t="str">
            <v>Burkina Faso</v>
          </cell>
        </row>
        <row r="134">
          <cell r="A134" t="str">
            <v>Bahrain</v>
          </cell>
        </row>
        <row r="135">
          <cell r="A135" t="str">
            <v>Bahamas</v>
          </cell>
        </row>
        <row r="136">
          <cell r="A136" t="str">
            <v>St. BarthÃ©lemy</v>
          </cell>
        </row>
        <row r="137">
          <cell r="A137" t="str">
            <v>Belize</v>
          </cell>
        </row>
        <row r="138">
          <cell r="A138" t="str">
            <v>Bermuda</v>
          </cell>
        </row>
        <row r="139">
          <cell r="A139" t="str">
            <v>Brunei</v>
          </cell>
        </row>
        <row r="140">
          <cell r="A140" t="str">
            <v>Bhutan</v>
          </cell>
        </row>
        <row r="141">
          <cell r="A141" t="str">
            <v>Bouvet Island</v>
          </cell>
        </row>
        <row r="142">
          <cell r="A142" t="str">
            <v>Botswana</v>
          </cell>
        </row>
        <row r="143">
          <cell r="A143" t="str">
            <v>Central African Republic</v>
          </cell>
        </row>
        <row r="144">
          <cell r="A144" t="str">
            <v>Cocos (Keeling) Islands</v>
          </cell>
        </row>
        <row r="145">
          <cell r="A145" t="str">
            <v>CÃ´te dâ€™Ivoire</v>
          </cell>
        </row>
        <row r="146">
          <cell r="A146" t="str">
            <v>Cameroon</v>
          </cell>
        </row>
        <row r="147">
          <cell r="A147" t="str">
            <v>Congo - Brazzaville</v>
          </cell>
        </row>
        <row r="148">
          <cell r="A148" t="str">
            <v>Cook Islands</v>
          </cell>
        </row>
        <row r="149">
          <cell r="A149" t="str">
            <v>Comoros</v>
          </cell>
        </row>
        <row r="150">
          <cell r="A150" t="str">
            <v>Cape Verde</v>
          </cell>
        </row>
        <row r="151">
          <cell r="A151" t="str">
            <v>Cuba</v>
          </cell>
        </row>
        <row r="152">
          <cell r="A152" t="str">
            <v>CuraÃ§ao</v>
          </cell>
        </row>
        <row r="153">
          <cell r="A153" t="str">
            <v>Christmas Island</v>
          </cell>
        </row>
        <row r="154">
          <cell r="A154" t="str">
            <v>Cayman Islands</v>
          </cell>
        </row>
        <row r="155">
          <cell r="A155" t="str">
            <v>Djibouti</v>
          </cell>
        </row>
        <row r="156">
          <cell r="A156" t="str">
            <v>Dominica</v>
          </cell>
        </row>
        <row r="157">
          <cell r="A157" t="str">
            <v>Eritrea</v>
          </cell>
        </row>
        <row r="158">
          <cell r="A158" t="str">
            <v>Western Sahara</v>
          </cell>
        </row>
        <row r="159">
          <cell r="A159" t="str">
            <v>Fiji</v>
          </cell>
        </row>
        <row r="160">
          <cell r="A160" t="str">
            <v>Falkland Islands (Islas Malvinas)</v>
          </cell>
        </row>
        <row r="161">
          <cell r="A161" t="str">
            <v>Faroe Islands</v>
          </cell>
        </row>
        <row r="162">
          <cell r="A162" t="str">
            <v>Micronesia</v>
          </cell>
        </row>
        <row r="163">
          <cell r="A163" t="str">
            <v>Gabon</v>
          </cell>
        </row>
        <row r="164">
          <cell r="A164" t="str">
            <v>Guernsey</v>
          </cell>
        </row>
        <row r="165">
          <cell r="A165" t="str">
            <v>Gibraltar</v>
          </cell>
        </row>
        <row r="166">
          <cell r="A166" t="str">
            <v>Guinea</v>
          </cell>
        </row>
        <row r="167">
          <cell r="A167" t="str">
            <v>Guadeloupe</v>
          </cell>
        </row>
        <row r="168">
          <cell r="A168" t="str">
            <v>Gambia</v>
          </cell>
        </row>
        <row r="169">
          <cell r="A169" t="str">
            <v>Guinea-Bissau</v>
          </cell>
        </row>
        <row r="170">
          <cell r="A170" t="str">
            <v>Equatorial Guinea</v>
          </cell>
        </row>
        <row r="171">
          <cell r="A171" t="str">
            <v>Grenada</v>
          </cell>
        </row>
        <row r="172">
          <cell r="A172" t="str">
            <v>Greenland</v>
          </cell>
        </row>
        <row r="173">
          <cell r="A173" t="str">
            <v>French Guiana</v>
          </cell>
        </row>
        <row r="174">
          <cell r="A174" t="str">
            <v>Guam</v>
          </cell>
        </row>
        <row r="175">
          <cell r="A175" t="str">
            <v>Heard &amp; McDonald Islands</v>
          </cell>
        </row>
        <row r="176">
          <cell r="A176" t="str">
            <v>Haiti</v>
          </cell>
        </row>
        <row r="177">
          <cell r="A177" t="str">
            <v>Isle of Man</v>
          </cell>
        </row>
        <row r="178">
          <cell r="A178" t="str">
            <v>British Indian Ocean Territory</v>
          </cell>
        </row>
        <row r="179">
          <cell r="A179" t="str">
            <v>Jersey</v>
          </cell>
        </row>
        <row r="180">
          <cell r="A180" t="str">
            <v>Kyrgyzstan</v>
          </cell>
        </row>
        <row r="181">
          <cell r="A181" t="str">
            <v>Kiribati</v>
          </cell>
        </row>
        <row r="182">
          <cell r="A182" t="str">
            <v>St. Kitts &amp; Nevis</v>
          </cell>
        </row>
        <row r="183">
          <cell r="A183" t="str">
            <v>Laos</v>
          </cell>
        </row>
        <row r="184">
          <cell r="A184" t="str">
            <v>Liberia</v>
          </cell>
        </row>
        <row r="185">
          <cell r="A185" t="str">
            <v>Libya</v>
          </cell>
        </row>
        <row r="186">
          <cell r="A186" t="str">
            <v>St. Lucia</v>
          </cell>
        </row>
        <row r="187">
          <cell r="A187" t="str">
            <v>Liechtenstein</v>
          </cell>
        </row>
        <row r="188">
          <cell r="A188" t="str">
            <v>Lesotho</v>
          </cell>
        </row>
        <row r="189">
          <cell r="A189" t="str">
            <v>Latvia</v>
          </cell>
        </row>
        <row r="190">
          <cell r="A190" t="str">
            <v>St. Martin</v>
          </cell>
        </row>
        <row r="191">
          <cell r="A191" t="str">
            <v>Monaco</v>
          </cell>
        </row>
        <row r="192">
          <cell r="A192" t="str">
            <v>Moldova</v>
          </cell>
        </row>
        <row r="193">
          <cell r="A193" t="str">
            <v>Madagascar</v>
          </cell>
        </row>
        <row r="194">
          <cell r="A194" t="str">
            <v>Maldives</v>
          </cell>
        </row>
        <row r="195">
          <cell r="A195" t="str">
            <v>Marshall Islands</v>
          </cell>
        </row>
        <row r="196">
          <cell r="A196" t="str">
            <v>Mali</v>
          </cell>
        </row>
        <row r="197">
          <cell r="A197" t="str">
            <v>Mongolia</v>
          </cell>
        </row>
        <row r="198">
          <cell r="A198" t="str">
            <v>Mozambique</v>
          </cell>
        </row>
        <row r="199">
          <cell r="A199" t="str">
            <v>Mauritania</v>
          </cell>
        </row>
        <row r="200">
          <cell r="A200" t="str">
            <v>Montserrat</v>
          </cell>
        </row>
        <row r="201">
          <cell r="A201" t="str">
            <v>Martinique</v>
          </cell>
        </row>
        <row r="202">
          <cell r="A202" t="str">
            <v>Mauritius</v>
          </cell>
        </row>
        <row r="203">
          <cell r="A203" t="str">
            <v>Malawi</v>
          </cell>
        </row>
        <row r="204">
          <cell r="A204" t="str">
            <v>Mayotte</v>
          </cell>
        </row>
        <row r="205">
          <cell r="A205" t="str">
            <v>Namibia</v>
          </cell>
        </row>
        <row r="206">
          <cell r="A206" t="str">
            <v>New Caledonia</v>
          </cell>
        </row>
        <row r="207">
          <cell r="A207" t="str">
            <v>Niger</v>
          </cell>
        </row>
        <row r="208">
          <cell r="A208" t="str">
            <v>Norfolk Island</v>
          </cell>
        </row>
        <row r="209">
          <cell r="A209" t="str">
            <v>Niue</v>
          </cell>
        </row>
        <row r="210">
          <cell r="A210" t="str">
            <v>Nauru</v>
          </cell>
        </row>
        <row r="211">
          <cell r="A211" t="str">
            <v>Panama</v>
          </cell>
        </row>
        <row r="212">
          <cell r="A212" t="str">
            <v>Pitcairn Islands</v>
          </cell>
        </row>
        <row r="213">
          <cell r="A213" t="str">
            <v>Palau</v>
          </cell>
        </row>
        <row r="214">
          <cell r="A214" t="str">
            <v>North Korea</v>
          </cell>
        </row>
        <row r="215">
          <cell r="A215" t="str">
            <v>French Polynesia</v>
          </cell>
        </row>
        <row r="216">
          <cell r="A216" t="str">
            <v>RÃ©union</v>
          </cell>
        </row>
        <row r="217">
          <cell r="A217" t="str">
            <v>Rwanda</v>
          </cell>
        </row>
        <row r="218">
          <cell r="A218" t="str">
            <v>South Georgia &amp; South Sandwich Islands</v>
          </cell>
        </row>
        <row r="219">
          <cell r="A219" t="str">
            <v>Svalbard &amp; Jan Mayen</v>
          </cell>
        </row>
        <row r="220">
          <cell r="A220" t="str">
            <v>Solomon Islands</v>
          </cell>
        </row>
        <row r="221">
          <cell r="A221" t="str">
            <v>Sierra Leone</v>
          </cell>
        </row>
        <row r="222">
          <cell r="A222" t="str">
            <v>San Marino</v>
          </cell>
        </row>
        <row r="223">
          <cell r="A223" t="str">
            <v>Somalia</v>
          </cell>
        </row>
        <row r="224">
          <cell r="A224" t="str">
            <v>St. Pierre &amp; Miquelon</v>
          </cell>
        </row>
        <row r="225">
          <cell r="A225" t="str">
            <v>South Sudan</v>
          </cell>
        </row>
        <row r="226">
          <cell r="A226" t="str">
            <v>SÃ£o TomÃ© &amp; PrÃ­ncipe</v>
          </cell>
        </row>
        <row r="227">
          <cell r="A227" t="str">
            <v>Suriname</v>
          </cell>
        </row>
        <row r="228">
          <cell r="A228" t="str">
            <v>Slovakia</v>
          </cell>
        </row>
        <row r="229">
          <cell r="A229" t="str">
            <v>Eswatini</v>
          </cell>
        </row>
        <row r="230">
          <cell r="A230" t="str">
            <v>Sint Maarten</v>
          </cell>
        </row>
        <row r="231">
          <cell r="A231" t="str">
            <v>Seychelles</v>
          </cell>
        </row>
        <row r="232">
          <cell r="A232" t="str">
            <v>Syria</v>
          </cell>
        </row>
        <row r="233">
          <cell r="A233" t="str">
            <v>Turks &amp; Caicos Islands</v>
          </cell>
        </row>
        <row r="234">
          <cell r="A234" t="str">
            <v>Chad</v>
          </cell>
        </row>
        <row r="235">
          <cell r="A235" t="str">
            <v>Togo</v>
          </cell>
        </row>
        <row r="236">
          <cell r="A236" t="str">
            <v>Tajikistan</v>
          </cell>
        </row>
        <row r="237">
          <cell r="A237" t="str">
            <v>Tokelau</v>
          </cell>
        </row>
        <row r="238">
          <cell r="A238" t="str">
            <v>Turkmenistan</v>
          </cell>
        </row>
        <row r="239">
          <cell r="A239" t="str">
            <v>Timor-Leste</v>
          </cell>
        </row>
        <row r="240">
          <cell r="A240" t="str">
            <v>Tonga</v>
          </cell>
        </row>
        <row r="241">
          <cell r="A241" t="str">
            <v>Trinidad &amp; Tobago</v>
          </cell>
        </row>
        <row r="242">
          <cell r="A242" t="str">
            <v>Tuvalu</v>
          </cell>
        </row>
        <row r="243">
          <cell r="A243" t="str">
            <v>U.S. Outlying Islands</v>
          </cell>
        </row>
        <row r="244">
          <cell r="A244" t="str">
            <v>Vatican City</v>
          </cell>
        </row>
        <row r="245">
          <cell r="A245" t="str">
            <v>St. Vincent &amp; Grenadines</v>
          </cell>
        </row>
        <row r="246">
          <cell r="A246" t="str">
            <v>British Virgin Islands</v>
          </cell>
        </row>
        <row r="247">
          <cell r="A247" t="str">
            <v>U.S. Virgin Islands</v>
          </cell>
        </row>
        <row r="248">
          <cell r="A248" t="str">
            <v>Vanuatu</v>
          </cell>
        </row>
        <row r="249">
          <cell r="A249" t="str">
            <v>Wallis &amp; Futuna</v>
          </cell>
        </row>
        <row r="250">
          <cell r="A250" t="str">
            <v>Samoa</v>
          </cell>
        </row>
        <row r="251">
          <cell r="A251" t="str">
            <v>Kosovo</v>
          </cell>
        </row>
        <row r="252">
          <cell r="A252" t="str">
            <v>Zambia</v>
          </cell>
        </row>
        <row r="253">
          <cell r="A253" t="str">
            <v>Zimbabwe</v>
          </cell>
        </row>
      </sheetData>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45)"/>
    </sheetNames>
    <sheetDataSet>
      <sheetData sheetId="0" refreshError="1">
        <row r="1">
          <cell r="A1" t="str">
            <v>Kategori: TÃ¼m kategoriler</v>
          </cell>
        </row>
        <row r="3">
          <cell r="A3" t="str">
            <v>Ãœlke</v>
          </cell>
          <cell r="B3" t="str">
            <v>Query optimization: (2018)</v>
          </cell>
          <cell r="C3" t="str">
            <v>Lambda Calculus: (2018)</v>
          </cell>
        </row>
        <row r="4">
          <cell r="A4" t="str">
            <v>Nepal</v>
          </cell>
          <cell r="B4">
            <v>1</v>
          </cell>
        </row>
        <row r="5">
          <cell r="A5" t="str">
            <v>China</v>
          </cell>
          <cell r="B5">
            <v>0.52</v>
          </cell>
          <cell r="C5">
            <v>0.48</v>
          </cell>
        </row>
        <row r="6">
          <cell r="A6" t="str">
            <v>Ethiopia</v>
          </cell>
          <cell r="B6">
            <v>1</v>
          </cell>
        </row>
        <row r="7">
          <cell r="A7" t="str">
            <v>Iceland</v>
          </cell>
        </row>
        <row r="8">
          <cell r="A8" t="str">
            <v>Sri Lanka</v>
          </cell>
          <cell r="B8">
            <v>1</v>
          </cell>
        </row>
        <row r="9">
          <cell r="A9" t="str">
            <v>Pakistan</v>
          </cell>
          <cell r="B9">
            <v>1</v>
          </cell>
        </row>
        <row r="10">
          <cell r="A10" t="str">
            <v>India</v>
          </cell>
          <cell r="B10">
            <v>0.86</v>
          </cell>
          <cell r="C10">
            <v>0.14000000000000001</v>
          </cell>
        </row>
        <row r="11">
          <cell r="A11" t="str">
            <v>Tanzania</v>
          </cell>
          <cell r="B11">
            <v>1</v>
          </cell>
        </row>
        <row r="12">
          <cell r="A12" t="str">
            <v>Kenya</v>
          </cell>
          <cell r="B12">
            <v>1</v>
          </cell>
        </row>
        <row r="13">
          <cell r="A13" t="str">
            <v>Czechia</v>
          </cell>
          <cell r="C13">
            <v>1</v>
          </cell>
        </row>
        <row r="14">
          <cell r="A14" t="str">
            <v>Japan</v>
          </cell>
          <cell r="B14">
            <v>0.68</v>
          </cell>
          <cell r="C14">
            <v>0.32</v>
          </cell>
        </row>
        <row r="15">
          <cell r="A15" t="str">
            <v>Sudan</v>
          </cell>
        </row>
        <row r="16">
          <cell r="A16" t="str">
            <v>Poland</v>
          </cell>
          <cell r="B16">
            <v>0.12</v>
          </cell>
          <cell r="C16">
            <v>0.88</v>
          </cell>
        </row>
        <row r="17">
          <cell r="A17" t="str">
            <v>Algeria</v>
          </cell>
          <cell r="C17">
            <v>1</v>
          </cell>
        </row>
        <row r="18">
          <cell r="A18" t="str">
            <v>South Korea</v>
          </cell>
          <cell r="B18">
            <v>0.45</v>
          </cell>
          <cell r="C18">
            <v>0.55000000000000004</v>
          </cell>
        </row>
        <row r="19">
          <cell r="A19" t="str">
            <v>France</v>
          </cell>
          <cell r="B19">
            <v>0.23</v>
          </cell>
          <cell r="C19">
            <v>0.77</v>
          </cell>
        </row>
        <row r="20">
          <cell r="A20" t="str">
            <v>Oman</v>
          </cell>
        </row>
        <row r="21">
          <cell r="A21" t="str">
            <v>Canada</v>
          </cell>
          <cell r="B21">
            <v>0.34</v>
          </cell>
          <cell r="C21">
            <v>0.66</v>
          </cell>
        </row>
        <row r="22">
          <cell r="A22" t="str">
            <v>Sweden</v>
          </cell>
          <cell r="B22">
            <v>0.27</v>
          </cell>
          <cell r="C22">
            <v>0.73</v>
          </cell>
        </row>
        <row r="23">
          <cell r="A23" t="str">
            <v>Germany</v>
          </cell>
          <cell r="B23">
            <v>0.2</v>
          </cell>
          <cell r="C23">
            <v>0.8</v>
          </cell>
        </row>
        <row r="24">
          <cell r="A24" t="str">
            <v>United Kingdom</v>
          </cell>
          <cell r="B24">
            <v>0.28000000000000003</v>
          </cell>
          <cell r="C24">
            <v>0.72</v>
          </cell>
        </row>
        <row r="25">
          <cell r="A25" t="str">
            <v>Finland</v>
          </cell>
          <cell r="C25">
            <v>1</v>
          </cell>
        </row>
        <row r="26">
          <cell r="A26" t="str">
            <v>Romania</v>
          </cell>
          <cell r="C26">
            <v>1</v>
          </cell>
        </row>
        <row r="27">
          <cell r="A27" t="str">
            <v>United States</v>
          </cell>
          <cell r="B27">
            <v>0.43</v>
          </cell>
          <cell r="C27">
            <v>0.56999999999999995</v>
          </cell>
        </row>
        <row r="28">
          <cell r="A28" t="str">
            <v>Austria</v>
          </cell>
          <cell r="C28">
            <v>1</v>
          </cell>
        </row>
        <row r="29">
          <cell r="A29" t="str">
            <v>Russia</v>
          </cell>
          <cell r="B29">
            <v>0.56000000000000005</v>
          </cell>
          <cell r="C29">
            <v>0.44</v>
          </cell>
        </row>
        <row r="30">
          <cell r="A30" t="str">
            <v>Belgium</v>
          </cell>
          <cell r="C30">
            <v>1</v>
          </cell>
        </row>
        <row r="31">
          <cell r="A31" t="str">
            <v>Nigeria</v>
          </cell>
          <cell r="B31">
            <v>1</v>
          </cell>
        </row>
        <row r="32">
          <cell r="A32" t="str">
            <v>Hong Kong</v>
          </cell>
          <cell r="B32">
            <v>0.42</v>
          </cell>
          <cell r="C32">
            <v>0.57999999999999996</v>
          </cell>
        </row>
        <row r="33">
          <cell r="A33" t="str">
            <v>New Zealand</v>
          </cell>
          <cell r="B33">
            <v>0.5</v>
          </cell>
          <cell r="C33">
            <v>0.5</v>
          </cell>
        </row>
        <row r="34">
          <cell r="A34" t="str">
            <v>Australia</v>
          </cell>
          <cell r="B34">
            <v>0.34</v>
          </cell>
          <cell r="C34">
            <v>0.66</v>
          </cell>
        </row>
        <row r="35">
          <cell r="A35" t="str">
            <v>Denmark</v>
          </cell>
          <cell r="C35">
            <v>1</v>
          </cell>
        </row>
        <row r="36">
          <cell r="A36" t="str">
            <v>Belarus</v>
          </cell>
          <cell r="B36">
            <v>0.45</v>
          </cell>
          <cell r="C36">
            <v>0.55000000000000004</v>
          </cell>
        </row>
        <row r="37">
          <cell r="A37" t="str">
            <v>Netherlands</v>
          </cell>
          <cell r="B37">
            <v>0.31</v>
          </cell>
          <cell r="C37">
            <v>0.69</v>
          </cell>
        </row>
        <row r="38">
          <cell r="A38" t="str">
            <v>Switzerland</v>
          </cell>
          <cell r="C38">
            <v>1</v>
          </cell>
        </row>
        <row r="39">
          <cell r="A39" t="str">
            <v>Hungary</v>
          </cell>
          <cell r="C39">
            <v>1</v>
          </cell>
        </row>
        <row r="40">
          <cell r="A40" t="str">
            <v>Italy</v>
          </cell>
          <cell r="B40">
            <v>0.23</v>
          </cell>
          <cell r="C40">
            <v>0.77</v>
          </cell>
        </row>
        <row r="41">
          <cell r="A41" t="str">
            <v>Philippines</v>
          </cell>
          <cell r="B41">
            <v>0.7</v>
          </cell>
          <cell r="C41">
            <v>0.3</v>
          </cell>
        </row>
        <row r="42">
          <cell r="A42" t="str">
            <v>Portugal</v>
          </cell>
          <cell r="C42">
            <v>1</v>
          </cell>
        </row>
        <row r="43">
          <cell r="A43" t="str">
            <v>Ireland</v>
          </cell>
        </row>
        <row r="44">
          <cell r="A44" t="str">
            <v>Chile</v>
          </cell>
          <cell r="C44">
            <v>1</v>
          </cell>
        </row>
        <row r="45">
          <cell r="A45" t="str">
            <v>Bolivia</v>
          </cell>
        </row>
        <row r="46">
          <cell r="A46" t="str">
            <v>Iran</v>
          </cell>
          <cell r="B46">
            <v>1</v>
          </cell>
        </row>
        <row r="47">
          <cell r="A47" t="str">
            <v>Kazakhstan</v>
          </cell>
          <cell r="C47">
            <v>1</v>
          </cell>
        </row>
        <row r="48">
          <cell r="A48" t="str">
            <v>Colombia</v>
          </cell>
          <cell r="C48">
            <v>1</v>
          </cell>
        </row>
        <row r="49">
          <cell r="A49" t="str">
            <v>Greece</v>
          </cell>
          <cell r="C49">
            <v>1</v>
          </cell>
        </row>
        <row r="50">
          <cell r="A50" t="str">
            <v>Norway</v>
          </cell>
          <cell r="C50">
            <v>1</v>
          </cell>
        </row>
        <row r="51">
          <cell r="A51" t="str">
            <v>Taiwan</v>
          </cell>
          <cell r="C51">
            <v>1</v>
          </cell>
        </row>
        <row r="52">
          <cell r="A52" t="str">
            <v>Singapore</v>
          </cell>
          <cell r="B52">
            <v>0.5</v>
          </cell>
          <cell r="C52">
            <v>0.5</v>
          </cell>
        </row>
        <row r="53">
          <cell r="A53" t="str">
            <v>Ukraine</v>
          </cell>
          <cell r="B53">
            <v>0.55000000000000004</v>
          </cell>
          <cell r="C53">
            <v>0.45</v>
          </cell>
        </row>
        <row r="54">
          <cell r="A54" t="str">
            <v>South Africa</v>
          </cell>
          <cell r="B54">
            <v>0.67</v>
          </cell>
          <cell r="C54">
            <v>0.33</v>
          </cell>
        </row>
        <row r="55">
          <cell r="A55" t="str">
            <v>Argentina</v>
          </cell>
          <cell r="C55">
            <v>1</v>
          </cell>
        </row>
        <row r="56">
          <cell r="A56" t="str">
            <v>Spain</v>
          </cell>
          <cell r="B56">
            <v>0.36</v>
          </cell>
          <cell r="C56">
            <v>0.64</v>
          </cell>
        </row>
        <row r="57">
          <cell r="A57" t="str">
            <v>Egypt</v>
          </cell>
          <cell r="B57">
            <v>0.5</v>
          </cell>
          <cell r="C57">
            <v>0.5</v>
          </cell>
        </row>
        <row r="58">
          <cell r="A58" t="str">
            <v>Mexico</v>
          </cell>
          <cell r="B58">
            <v>0.46</v>
          </cell>
          <cell r="C58">
            <v>0.54</v>
          </cell>
        </row>
        <row r="59">
          <cell r="A59" t="str">
            <v>Peru</v>
          </cell>
          <cell r="B59">
            <v>0.5</v>
          </cell>
          <cell r="C59">
            <v>0.5</v>
          </cell>
        </row>
        <row r="60">
          <cell r="A60" t="str">
            <v>Malaysia</v>
          </cell>
          <cell r="B60">
            <v>0.64</v>
          </cell>
          <cell r="C60">
            <v>0.36</v>
          </cell>
        </row>
        <row r="61">
          <cell r="A61" t="str">
            <v>Brazil</v>
          </cell>
          <cell r="B61">
            <v>0.13</v>
          </cell>
          <cell r="C61">
            <v>0.87</v>
          </cell>
        </row>
        <row r="62">
          <cell r="A62" t="str">
            <v>Venezuela</v>
          </cell>
          <cell r="B62">
            <v>1</v>
          </cell>
        </row>
        <row r="63">
          <cell r="A63" t="str">
            <v>Indonesia</v>
          </cell>
          <cell r="B63">
            <v>0.77</v>
          </cell>
          <cell r="C63">
            <v>0.23</v>
          </cell>
        </row>
        <row r="64">
          <cell r="A64" t="str">
            <v>Turkey</v>
          </cell>
          <cell r="B64">
            <v>0.25</v>
          </cell>
          <cell r="C64">
            <v>0.75</v>
          </cell>
        </row>
        <row r="65">
          <cell r="A65" t="str">
            <v>Lesotho</v>
          </cell>
        </row>
        <row r="66">
          <cell r="A66" t="str">
            <v>New Caledonia</v>
          </cell>
        </row>
        <row r="67">
          <cell r="A67" t="str">
            <v>Malawi</v>
          </cell>
        </row>
        <row r="68">
          <cell r="A68" t="str">
            <v>Turkmenistan</v>
          </cell>
        </row>
        <row r="69">
          <cell r="A69" t="str">
            <v>Afghanistan</v>
          </cell>
        </row>
        <row r="70">
          <cell r="A70" t="str">
            <v>St. Helena</v>
          </cell>
        </row>
        <row r="71">
          <cell r="A71" t="str">
            <v>Malta</v>
          </cell>
        </row>
        <row r="72">
          <cell r="A72" t="str">
            <v>Zambia</v>
          </cell>
        </row>
        <row r="73">
          <cell r="A73" t="str">
            <v>Moldova</v>
          </cell>
        </row>
        <row r="74">
          <cell r="A74" t="str">
            <v>Armenia</v>
          </cell>
        </row>
        <row r="75">
          <cell r="A75" t="str">
            <v>Bahrain</v>
          </cell>
        </row>
        <row r="76">
          <cell r="A76" t="str">
            <v>Syria</v>
          </cell>
        </row>
        <row r="77">
          <cell r="A77" t="str">
            <v>Qatar</v>
          </cell>
        </row>
        <row r="78">
          <cell r="A78" t="str">
            <v>Palestine</v>
          </cell>
        </row>
        <row r="79">
          <cell r="A79" t="str">
            <v>Jamaica</v>
          </cell>
        </row>
        <row r="80">
          <cell r="A80" t="str">
            <v>North Macedonia</v>
          </cell>
        </row>
        <row r="81">
          <cell r="A81" t="str">
            <v>Myanmar (Burma)</v>
          </cell>
        </row>
        <row r="82">
          <cell r="A82" t="str">
            <v>Cyprus</v>
          </cell>
        </row>
        <row r="83">
          <cell r="A83" t="str">
            <v>Estonia</v>
          </cell>
        </row>
        <row r="84">
          <cell r="A84" t="str">
            <v>Costa Rica</v>
          </cell>
        </row>
        <row r="85">
          <cell r="A85" t="str">
            <v>Honduras</v>
          </cell>
        </row>
        <row r="86">
          <cell r="A86" t="str">
            <v>Kyrgyzstan</v>
          </cell>
        </row>
        <row r="87">
          <cell r="A87" t="str">
            <v>Slovenia</v>
          </cell>
        </row>
        <row r="88">
          <cell r="A88" t="str">
            <v>El Salvador</v>
          </cell>
        </row>
        <row r="89">
          <cell r="A89" t="str">
            <v>Uzbekistan</v>
          </cell>
        </row>
        <row r="90">
          <cell r="A90" t="str">
            <v>Paraguay</v>
          </cell>
        </row>
        <row r="91">
          <cell r="A91" t="str">
            <v>Panama</v>
          </cell>
        </row>
        <row r="92">
          <cell r="A92" t="str">
            <v>Georgia</v>
          </cell>
        </row>
        <row r="93">
          <cell r="A93" t="str">
            <v>Latvia</v>
          </cell>
        </row>
        <row r="94">
          <cell r="A94" t="str">
            <v>Lebanon</v>
          </cell>
        </row>
        <row r="95">
          <cell r="A95" t="str">
            <v>Israel</v>
          </cell>
        </row>
        <row r="96">
          <cell r="A96" t="str">
            <v>Azerbaijan</v>
          </cell>
        </row>
        <row r="97">
          <cell r="A97" t="str">
            <v>Kuwait</v>
          </cell>
        </row>
        <row r="98">
          <cell r="A98" t="str">
            <v>Bangladesh</v>
          </cell>
        </row>
        <row r="99">
          <cell r="A99" t="str">
            <v>Tunisia</v>
          </cell>
        </row>
        <row r="100">
          <cell r="A100" t="str">
            <v>Lithuania</v>
          </cell>
        </row>
        <row r="101">
          <cell r="A101" t="str">
            <v>Dominican Republic</v>
          </cell>
        </row>
        <row r="102">
          <cell r="A102" t="str">
            <v>Morocco</v>
          </cell>
        </row>
        <row r="103">
          <cell r="A103" t="str">
            <v>Ecuador</v>
          </cell>
        </row>
        <row r="104">
          <cell r="A104" t="str">
            <v>Croatia</v>
          </cell>
        </row>
        <row r="105">
          <cell r="A105" t="str">
            <v>Serbia</v>
          </cell>
        </row>
        <row r="106">
          <cell r="A106" t="str">
            <v>Bulgaria</v>
          </cell>
        </row>
        <row r="107">
          <cell r="A107" t="str">
            <v>Saudi Arabia</v>
          </cell>
        </row>
        <row r="108">
          <cell r="A108" t="str">
            <v>United Arab Emirates</v>
          </cell>
        </row>
        <row r="109">
          <cell r="A109" t="str">
            <v>Vietnam</v>
          </cell>
        </row>
        <row r="110">
          <cell r="A110" t="str">
            <v>Thailand</v>
          </cell>
        </row>
        <row r="111">
          <cell r="A111" t="str">
            <v>Aruba</v>
          </cell>
        </row>
        <row r="112">
          <cell r="A112" t="str">
            <v>Angola</v>
          </cell>
        </row>
        <row r="113">
          <cell r="A113" t="str">
            <v>Anguilla</v>
          </cell>
        </row>
        <row r="114">
          <cell r="A114" t="str">
            <v>Ã…land Islands</v>
          </cell>
        </row>
        <row r="115">
          <cell r="A115" t="str">
            <v>Albania</v>
          </cell>
        </row>
        <row r="116">
          <cell r="A116" t="str">
            <v>Andorra</v>
          </cell>
        </row>
        <row r="117">
          <cell r="A117" t="str">
            <v>American Samoa</v>
          </cell>
        </row>
        <row r="118">
          <cell r="A118" t="str">
            <v>Antarctica</v>
          </cell>
        </row>
        <row r="119">
          <cell r="A119" t="str">
            <v>French Southern Territories</v>
          </cell>
        </row>
        <row r="120">
          <cell r="A120" t="str">
            <v>Antigua &amp; Barbuda</v>
          </cell>
        </row>
        <row r="121">
          <cell r="A121" t="str">
            <v>Burundi</v>
          </cell>
        </row>
        <row r="122">
          <cell r="A122" t="str">
            <v>Benin</v>
          </cell>
        </row>
        <row r="123">
          <cell r="A123" t="str">
            <v>Caribbean Netherlands</v>
          </cell>
        </row>
        <row r="124">
          <cell r="A124" t="str">
            <v>Burkina Faso</v>
          </cell>
        </row>
        <row r="125">
          <cell r="A125" t="str">
            <v>Bahamas</v>
          </cell>
        </row>
        <row r="126">
          <cell r="A126" t="str">
            <v>Bosnia &amp; Herzegovina</v>
          </cell>
        </row>
        <row r="127">
          <cell r="A127" t="str">
            <v>St. BarthÃ©lemy</v>
          </cell>
        </row>
        <row r="128">
          <cell r="A128" t="str">
            <v>Belize</v>
          </cell>
        </row>
        <row r="129">
          <cell r="A129" t="str">
            <v>Bermuda</v>
          </cell>
        </row>
        <row r="130">
          <cell r="A130" t="str">
            <v>Barbados</v>
          </cell>
        </row>
        <row r="131">
          <cell r="A131" t="str">
            <v>Brunei</v>
          </cell>
        </row>
        <row r="132">
          <cell r="A132" t="str">
            <v>Bhutan</v>
          </cell>
        </row>
        <row r="133">
          <cell r="A133" t="str">
            <v>Bouvet Island</v>
          </cell>
        </row>
        <row r="134">
          <cell r="A134" t="str">
            <v>Botswana</v>
          </cell>
        </row>
        <row r="135">
          <cell r="A135" t="str">
            <v>Central African Republic</v>
          </cell>
        </row>
        <row r="136">
          <cell r="A136" t="str">
            <v>Cocos (Keeling) Islands</v>
          </cell>
        </row>
        <row r="137">
          <cell r="A137" t="str">
            <v>CÃ´te dâ€™Ivoire</v>
          </cell>
        </row>
        <row r="138">
          <cell r="A138" t="str">
            <v>Cameroon</v>
          </cell>
        </row>
        <row r="139">
          <cell r="A139" t="str">
            <v>Congo - Kinshasa</v>
          </cell>
        </row>
        <row r="140">
          <cell r="A140" t="str">
            <v>Congo - Brazzaville</v>
          </cell>
        </row>
        <row r="141">
          <cell r="A141" t="str">
            <v>Cook Islands</v>
          </cell>
        </row>
        <row r="142">
          <cell r="A142" t="str">
            <v>Comoros</v>
          </cell>
        </row>
        <row r="143">
          <cell r="A143" t="str">
            <v>Cape Verde</v>
          </cell>
        </row>
        <row r="144">
          <cell r="A144" t="str">
            <v>Cuba</v>
          </cell>
        </row>
        <row r="145">
          <cell r="A145" t="str">
            <v>CuraÃ§ao</v>
          </cell>
        </row>
        <row r="146">
          <cell r="A146" t="str">
            <v>Christmas Island</v>
          </cell>
        </row>
        <row r="147">
          <cell r="A147" t="str">
            <v>Cayman Islands</v>
          </cell>
        </row>
        <row r="148">
          <cell r="A148" t="str">
            <v>Djibouti</v>
          </cell>
        </row>
        <row r="149">
          <cell r="A149" t="str">
            <v>Dominica</v>
          </cell>
        </row>
        <row r="150">
          <cell r="A150" t="str">
            <v>Eritrea</v>
          </cell>
        </row>
        <row r="151">
          <cell r="A151" t="str">
            <v>Western Sahara</v>
          </cell>
        </row>
        <row r="152">
          <cell r="A152" t="str">
            <v>Fiji</v>
          </cell>
        </row>
        <row r="153">
          <cell r="A153" t="str">
            <v>Falkland Islands (Islas Malvinas)</v>
          </cell>
        </row>
        <row r="154">
          <cell r="A154" t="str">
            <v>Faroe Islands</v>
          </cell>
        </row>
        <row r="155">
          <cell r="A155" t="str">
            <v>Micronesia</v>
          </cell>
        </row>
        <row r="156">
          <cell r="A156" t="str">
            <v>Gabon</v>
          </cell>
        </row>
        <row r="157">
          <cell r="A157" t="str">
            <v>Guernsey</v>
          </cell>
        </row>
        <row r="158">
          <cell r="A158" t="str">
            <v>Ghana</v>
          </cell>
        </row>
        <row r="159">
          <cell r="A159" t="str">
            <v>Gibraltar</v>
          </cell>
        </row>
        <row r="160">
          <cell r="A160" t="str">
            <v>Guinea</v>
          </cell>
        </row>
        <row r="161">
          <cell r="A161" t="str">
            <v>Guadeloupe</v>
          </cell>
        </row>
        <row r="162">
          <cell r="A162" t="str">
            <v>Gambia</v>
          </cell>
        </row>
        <row r="163">
          <cell r="A163" t="str">
            <v>Guinea-Bissau</v>
          </cell>
        </row>
        <row r="164">
          <cell r="A164" t="str">
            <v>Equatorial Guinea</v>
          </cell>
        </row>
        <row r="165">
          <cell r="A165" t="str">
            <v>Grenada</v>
          </cell>
        </row>
        <row r="166">
          <cell r="A166" t="str">
            <v>Greenland</v>
          </cell>
        </row>
        <row r="167">
          <cell r="A167" t="str">
            <v>Guatemala</v>
          </cell>
        </row>
        <row r="168">
          <cell r="A168" t="str">
            <v>French Guiana</v>
          </cell>
        </row>
        <row r="169">
          <cell r="A169" t="str">
            <v>Guam</v>
          </cell>
        </row>
        <row r="170">
          <cell r="A170" t="str">
            <v>Guyana</v>
          </cell>
        </row>
        <row r="171">
          <cell r="A171" t="str">
            <v>Heard &amp; McDonald Islands</v>
          </cell>
        </row>
        <row r="172">
          <cell r="A172" t="str">
            <v>Haiti</v>
          </cell>
        </row>
        <row r="173">
          <cell r="A173" t="str">
            <v>Isle of Man</v>
          </cell>
        </row>
        <row r="174">
          <cell r="A174" t="str">
            <v>British Indian Ocean Territory</v>
          </cell>
        </row>
        <row r="175">
          <cell r="A175" t="str">
            <v>Iraq</v>
          </cell>
        </row>
        <row r="176">
          <cell r="A176" t="str">
            <v>Jersey</v>
          </cell>
        </row>
        <row r="177">
          <cell r="A177" t="str">
            <v>Jordan</v>
          </cell>
        </row>
        <row r="178">
          <cell r="A178" t="str">
            <v>Cambodia</v>
          </cell>
        </row>
        <row r="179">
          <cell r="A179" t="str">
            <v>Kiribati</v>
          </cell>
        </row>
        <row r="180">
          <cell r="A180" t="str">
            <v>St. Kitts &amp; Nevis</v>
          </cell>
        </row>
        <row r="181">
          <cell r="A181" t="str">
            <v>Laos</v>
          </cell>
        </row>
        <row r="182">
          <cell r="A182" t="str">
            <v>Liberia</v>
          </cell>
        </row>
        <row r="183">
          <cell r="A183" t="str">
            <v>Libya</v>
          </cell>
        </row>
        <row r="184">
          <cell r="A184" t="str">
            <v>St. Lucia</v>
          </cell>
        </row>
        <row r="185">
          <cell r="A185" t="str">
            <v>Liechtenstein</v>
          </cell>
        </row>
        <row r="186">
          <cell r="A186" t="str">
            <v>Luxembourg</v>
          </cell>
        </row>
        <row r="187">
          <cell r="A187" t="str">
            <v>Macao</v>
          </cell>
        </row>
        <row r="188">
          <cell r="A188" t="str">
            <v>St. Martin</v>
          </cell>
        </row>
        <row r="189">
          <cell r="A189" t="str">
            <v>Monaco</v>
          </cell>
        </row>
        <row r="190">
          <cell r="A190" t="str">
            <v>Madagascar</v>
          </cell>
        </row>
        <row r="191">
          <cell r="A191" t="str">
            <v>Maldives</v>
          </cell>
        </row>
        <row r="192">
          <cell r="A192" t="str">
            <v>Marshall Islands</v>
          </cell>
        </row>
        <row r="193">
          <cell r="A193" t="str">
            <v>Mali</v>
          </cell>
        </row>
        <row r="194">
          <cell r="A194" t="str">
            <v>Montenegro</v>
          </cell>
        </row>
        <row r="195">
          <cell r="A195" t="str">
            <v>Mongolia</v>
          </cell>
        </row>
        <row r="196">
          <cell r="A196" t="str">
            <v>Northern Mariana Islands</v>
          </cell>
        </row>
        <row r="197">
          <cell r="A197" t="str">
            <v>Mozambique</v>
          </cell>
        </row>
        <row r="198">
          <cell r="A198" t="str">
            <v>Mauritania</v>
          </cell>
        </row>
        <row r="199">
          <cell r="A199" t="str">
            <v>Montserrat</v>
          </cell>
        </row>
        <row r="200">
          <cell r="A200" t="str">
            <v>Martinique</v>
          </cell>
        </row>
        <row r="201">
          <cell r="A201" t="str">
            <v>Mauritius</v>
          </cell>
        </row>
        <row r="202">
          <cell r="A202" t="str">
            <v>Mayotte</v>
          </cell>
        </row>
        <row r="203">
          <cell r="A203" t="str">
            <v>Namibia</v>
          </cell>
        </row>
        <row r="204">
          <cell r="A204" t="str">
            <v>Niger</v>
          </cell>
        </row>
        <row r="205">
          <cell r="A205" t="str">
            <v>Norfolk Island</v>
          </cell>
        </row>
        <row r="206">
          <cell r="A206" t="str">
            <v>Nicaragua</v>
          </cell>
        </row>
        <row r="207">
          <cell r="A207" t="str">
            <v>Niue</v>
          </cell>
        </row>
        <row r="208">
          <cell r="A208" t="str">
            <v>Nauru</v>
          </cell>
        </row>
        <row r="209">
          <cell r="A209" t="str">
            <v>Pitcairn Islands</v>
          </cell>
        </row>
        <row r="210">
          <cell r="A210" t="str">
            <v>Palau</v>
          </cell>
        </row>
        <row r="211">
          <cell r="A211" t="str">
            <v>Papua New Guinea</v>
          </cell>
        </row>
        <row r="212">
          <cell r="A212" t="str">
            <v>Puerto Rico</v>
          </cell>
        </row>
        <row r="213">
          <cell r="A213" t="str">
            <v>North Korea</v>
          </cell>
        </row>
        <row r="214">
          <cell r="A214" t="str">
            <v>French Polynesia</v>
          </cell>
        </row>
        <row r="215">
          <cell r="A215" t="str">
            <v>RÃ©union</v>
          </cell>
        </row>
        <row r="216">
          <cell r="A216" t="str">
            <v>Rwanda</v>
          </cell>
        </row>
        <row r="217">
          <cell r="A217" t="str">
            <v>Senegal</v>
          </cell>
        </row>
        <row r="218">
          <cell r="A218" t="str">
            <v>South Georgia &amp; South Sandwich Islands</v>
          </cell>
        </row>
        <row r="219">
          <cell r="A219" t="str">
            <v>Svalbard &amp; Jan Mayen</v>
          </cell>
        </row>
        <row r="220">
          <cell r="A220" t="str">
            <v>Solomon Islands</v>
          </cell>
        </row>
        <row r="221">
          <cell r="A221" t="str">
            <v>Sierra Leone</v>
          </cell>
        </row>
        <row r="222">
          <cell r="A222" t="str">
            <v>San Marino</v>
          </cell>
        </row>
        <row r="223">
          <cell r="A223" t="str">
            <v>Somalia</v>
          </cell>
        </row>
        <row r="224">
          <cell r="A224" t="str">
            <v>St. Pierre &amp; Miquelon</v>
          </cell>
        </row>
        <row r="225">
          <cell r="A225" t="str">
            <v>South Sudan</v>
          </cell>
        </row>
        <row r="226">
          <cell r="A226" t="str">
            <v>SÃ£o TomÃ© &amp; PrÃ­ncipe</v>
          </cell>
        </row>
        <row r="227">
          <cell r="A227" t="str">
            <v>Suriname</v>
          </cell>
        </row>
        <row r="228">
          <cell r="A228" t="str">
            <v>Slovakia</v>
          </cell>
        </row>
        <row r="229">
          <cell r="A229" t="str">
            <v>Eswatini</v>
          </cell>
        </row>
        <row r="230">
          <cell r="A230" t="str">
            <v>Sint Maarten</v>
          </cell>
        </row>
        <row r="231">
          <cell r="A231" t="str">
            <v>Seychelles</v>
          </cell>
        </row>
        <row r="232">
          <cell r="A232" t="str">
            <v>Turks &amp; Caicos Islands</v>
          </cell>
        </row>
        <row r="233">
          <cell r="A233" t="str">
            <v>Chad</v>
          </cell>
        </row>
        <row r="234">
          <cell r="A234" t="str">
            <v>Togo</v>
          </cell>
        </row>
        <row r="235">
          <cell r="A235" t="str">
            <v>Tajikistan</v>
          </cell>
        </row>
        <row r="236">
          <cell r="A236" t="str">
            <v>Tokelau</v>
          </cell>
        </row>
        <row r="237">
          <cell r="A237" t="str">
            <v>Timor-Leste</v>
          </cell>
        </row>
        <row r="238">
          <cell r="A238" t="str">
            <v>Tonga</v>
          </cell>
        </row>
        <row r="239">
          <cell r="A239" t="str">
            <v>Trinidad &amp; Tobago</v>
          </cell>
        </row>
        <row r="240">
          <cell r="A240" t="str">
            <v>Tuvalu</v>
          </cell>
        </row>
        <row r="241">
          <cell r="A241" t="str">
            <v>Uganda</v>
          </cell>
        </row>
        <row r="242">
          <cell r="A242" t="str">
            <v>U.S. Outlying Islands</v>
          </cell>
        </row>
        <row r="243">
          <cell r="A243" t="str">
            <v>Uruguay</v>
          </cell>
        </row>
        <row r="244">
          <cell r="A244" t="str">
            <v>Vatican City</v>
          </cell>
        </row>
        <row r="245">
          <cell r="A245" t="str">
            <v>St. Vincent &amp; Grenadines</v>
          </cell>
        </row>
        <row r="246">
          <cell r="A246" t="str">
            <v>British Virgin Islands</v>
          </cell>
        </row>
        <row r="247">
          <cell r="A247" t="str">
            <v>U.S. Virgin Islands</v>
          </cell>
        </row>
        <row r="248">
          <cell r="A248" t="str">
            <v>Vanuatu</v>
          </cell>
        </row>
        <row r="249">
          <cell r="A249" t="str">
            <v>Wallis &amp; Futuna</v>
          </cell>
        </row>
        <row r="250">
          <cell r="A250" t="str">
            <v>Samoa</v>
          </cell>
        </row>
        <row r="251">
          <cell r="A251" t="str">
            <v>Kosovo</v>
          </cell>
        </row>
        <row r="252">
          <cell r="A252" t="str">
            <v>Yemen</v>
          </cell>
        </row>
        <row r="253">
          <cell r="A253" t="str">
            <v>Zimbabwe</v>
          </cell>
        </row>
      </sheetData>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46)"/>
    </sheetNames>
    <sheetDataSet>
      <sheetData sheetId="0" refreshError="1">
        <row r="1">
          <cell r="A1" t="str">
            <v>Kategori: TÃ¼m kategoriler</v>
          </cell>
        </row>
        <row r="3">
          <cell r="A3" t="str">
            <v>Ãœlke</v>
          </cell>
          <cell r="B3" t="str">
            <v>Lambda Calculus: (2018)</v>
          </cell>
          <cell r="C3" t="str">
            <v>TCP congestion control: (2018)</v>
          </cell>
        </row>
        <row r="4">
          <cell r="A4" t="str">
            <v>China</v>
          </cell>
          <cell r="B4">
            <v>0.24</v>
          </cell>
          <cell r="C4">
            <v>0.76</v>
          </cell>
        </row>
        <row r="5">
          <cell r="A5" t="str">
            <v>Nepal</v>
          </cell>
          <cell r="C5">
            <v>1</v>
          </cell>
        </row>
        <row r="6">
          <cell r="A6" t="str">
            <v>Iceland</v>
          </cell>
        </row>
        <row r="7">
          <cell r="A7" t="str">
            <v>India</v>
          </cell>
          <cell r="B7">
            <v>0.12</v>
          </cell>
          <cell r="C7">
            <v>0.88</v>
          </cell>
        </row>
        <row r="8">
          <cell r="A8" t="str">
            <v>Pakistan</v>
          </cell>
          <cell r="C8">
            <v>1</v>
          </cell>
        </row>
        <row r="9">
          <cell r="A9" t="str">
            <v>Bangladesh</v>
          </cell>
          <cell r="C9">
            <v>1</v>
          </cell>
        </row>
        <row r="10">
          <cell r="A10" t="str">
            <v>South Korea</v>
          </cell>
          <cell r="B10">
            <v>0.41</v>
          </cell>
          <cell r="C10">
            <v>0.59</v>
          </cell>
        </row>
        <row r="11">
          <cell r="A11" t="str">
            <v>Sri Lanka</v>
          </cell>
          <cell r="C11">
            <v>1</v>
          </cell>
        </row>
        <row r="12">
          <cell r="A12" t="str">
            <v>Czechia</v>
          </cell>
          <cell r="B12">
            <v>1</v>
          </cell>
        </row>
        <row r="13">
          <cell r="A13" t="str">
            <v>Poland</v>
          </cell>
          <cell r="B13">
            <v>0.9</v>
          </cell>
          <cell r="C13">
            <v>0.1</v>
          </cell>
        </row>
        <row r="14">
          <cell r="A14" t="str">
            <v>Algeria</v>
          </cell>
          <cell r="B14">
            <v>1</v>
          </cell>
        </row>
        <row r="15">
          <cell r="A15" t="str">
            <v>France</v>
          </cell>
          <cell r="B15">
            <v>0.95</v>
          </cell>
          <cell r="C15">
            <v>0.05</v>
          </cell>
        </row>
        <row r="16">
          <cell r="A16" t="str">
            <v>Singapore</v>
          </cell>
          <cell r="B16">
            <v>0.28999999999999998</v>
          </cell>
          <cell r="C16">
            <v>0.71</v>
          </cell>
        </row>
        <row r="17">
          <cell r="A17" t="str">
            <v>Canada</v>
          </cell>
          <cell r="B17">
            <v>0.68</v>
          </cell>
          <cell r="C17">
            <v>0.32</v>
          </cell>
        </row>
        <row r="18">
          <cell r="A18" t="str">
            <v>Sweden</v>
          </cell>
          <cell r="B18">
            <v>0.78</v>
          </cell>
          <cell r="C18">
            <v>0.22</v>
          </cell>
        </row>
        <row r="19">
          <cell r="A19" t="str">
            <v>New Zealand</v>
          </cell>
          <cell r="B19">
            <v>0.41</v>
          </cell>
          <cell r="C19">
            <v>0.59</v>
          </cell>
        </row>
        <row r="20">
          <cell r="A20" t="str">
            <v>Germany</v>
          </cell>
          <cell r="B20">
            <v>0.71</v>
          </cell>
          <cell r="C20">
            <v>0.28999999999999998</v>
          </cell>
        </row>
        <row r="21">
          <cell r="A21" t="str">
            <v>United Kingdom</v>
          </cell>
          <cell r="B21">
            <v>0.81</v>
          </cell>
          <cell r="C21">
            <v>0.19</v>
          </cell>
        </row>
        <row r="22">
          <cell r="A22" t="str">
            <v>Finland</v>
          </cell>
          <cell r="B22">
            <v>0.85</v>
          </cell>
          <cell r="C22">
            <v>0.15</v>
          </cell>
        </row>
        <row r="23">
          <cell r="A23" t="str">
            <v>Hong Kong</v>
          </cell>
          <cell r="B23">
            <v>0.47</v>
          </cell>
          <cell r="C23">
            <v>0.53</v>
          </cell>
        </row>
        <row r="24">
          <cell r="A24" t="str">
            <v>Romania</v>
          </cell>
          <cell r="B24">
            <v>1</v>
          </cell>
        </row>
        <row r="25">
          <cell r="A25" t="str">
            <v>United States</v>
          </cell>
          <cell r="B25">
            <v>0.67</v>
          </cell>
          <cell r="C25">
            <v>0.33</v>
          </cell>
        </row>
        <row r="26">
          <cell r="A26" t="str">
            <v>Austria</v>
          </cell>
          <cell r="B26">
            <v>0.82</v>
          </cell>
          <cell r="C26">
            <v>0.18</v>
          </cell>
        </row>
        <row r="27">
          <cell r="A27" t="str">
            <v>Ireland</v>
          </cell>
          <cell r="B27">
            <v>0.4</v>
          </cell>
          <cell r="C27">
            <v>0.6</v>
          </cell>
        </row>
        <row r="28">
          <cell r="A28" t="str">
            <v>Switzerland</v>
          </cell>
          <cell r="B28">
            <v>0.46</v>
          </cell>
          <cell r="C28">
            <v>0.54</v>
          </cell>
        </row>
        <row r="29">
          <cell r="A29" t="str">
            <v>Belgium</v>
          </cell>
          <cell r="B29">
            <v>0.72</v>
          </cell>
          <cell r="C29">
            <v>0.28000000000000003</v>
          </cell>
        </row>
        <row r="30">
          <cell r="A30" t="str">
            <v>Australia</v>
          </cell>
          <cell r="B30">
            <v>0.6</v>
          </cell>
          <cell r="C30">
            <v>0.4</v>
          </cell>
        </row>
        <row r="31">
          <cell r="A31" t="str">
            <v>Denmark</v>
          </cell>
          <cell r="B31">
            <v>0.7</v>
          </cell>
          <cell r="C31">
            <v>0.3</v>
          </cell>
        </row>
        <row r="32">
          <cell r="A32" t="str">
            <v>Belarus</v>
          </cell>
          <cell r="B32">
            <v>1</v>
          </cell>
        </row>
        <row r="33">
          <cell r="A33" t="str">
            <v>Netherlands</v>
          </cell>
          <cell r="B33">
            <v>0.7</v>
          </cell>
          <cell r="C33">
            <v>0.3</v>
          </cell>
        </row>
        <row r="34">
          <cell r="A34" t="str">
            <v>Russia</v>
          </cell>
          <cell r="B34">
            <v>0.77</v>
          </cell>
          <cell r="C34">
            <v>0.23</v>
          </cell>
        </row>
        <row r="35">
          <cell r="A35" t="str">
            <v>Hungary</v>
          </cell>
          <cell r="B35">
            <v>1</v>
          </cell>
        </row>
        <row r="36">
          <cell r="A36" t="str">
            <v>Italy</v>
          </cell>
          <cell r="B36">
            <v>0.77</v>
          </cell>
          <cell r="C36">
            <v>0.23</v>
          </cell>
        </row>
        <row r="37">
          <cell r="A37" t="str">
            <v>Taiwan</v>
          </cell>
          <cell r="B37">
            <v>0.43</v>
          </cell>
          <cell r="C37">
            <v>0.56999999999999995</v>
          </cell>
        </row>
        <row r="38">
          <cell r="A38" t="str">
            <v>Japan</v>
          </cell>
          <cell r="B38">
            <v>0.93</v>
          </cell>
          <cell r="C38">
            <v>7.0000000000000007E-2</v>
          </cell>
        </row>
        <row r="39">
          <cell r="A39" t="str">
            <v>Israel</v>
          </cell>
          <cell r="B39">
            <v>0.5</v>
          </cell>
          <cell r="C39">
            <v>0.5</v>
          </cell>
        </row>
        <row r="40">
          <cell r="A40" t="str">
            <v>Portugal</v>
          </cell>
          <cell r="B40">
            <v>0.7</v>
          </cell>
          <cell r="C40">
            <v>0.3</v>
          </cell>
        </row>
        <row r="41">
          <cell r="A41" t="str">
            <v>Chile</v>
          </cell>
          <cell r="B41">
            <v>1</v>
          </cell>
        </row>
        <row r="42">
          <cell r="A42" t="str">
            <v>Bolivia</v>
          </cell>
        </row>
        <row r="43">
          <cell r="A43" t="str">
            <v>Kazakhstan</v>
          </cell>
          <cell r="B43">
            <v>1</v>
          </cell>
        </row>
        <row r="44">
          <cell r="A44" t="str">
            <v>Colombia</v>
          </cell>
          <cell r="B44">
            <v>1</v>
          </cell>
        </row>
        <row r="45">
          <cell r="A45" t="str">
            <v>Greece</v>
          </cell>
          <cell r="B45">
            <v>0.5</v>
          </cell>
          <cell r="C45">
            <v>0.5</v>
          </cell>
        </row>
        <row r="46">
          <cell r="A46" t="str">
            <v>Norway</v>
          </cell>
          <cell r="B46">
            <v>0.72</v>
          </cell>
          <cell r="C46">
            <v>0.28000000000000003</v>
          </cell>
        </row>
        <row r="47">
          <cell r="A47" t="str">
            <v>Malaysia</v>
          </cell>
          <cell r="B47">
            <v>0.28000000000000003</v>
          </cell>
          <cell r="C47">
            <v>0.72</v>
          </cell>
        </row>
        <row r="48">
          <cell r="A48" t="str">
            <v>Argentina</v>
          </cell>
          <cell r="B48">
            <v>1</v>
          </cell>
        </row>
        <row r="49">
          <cell r="A49" t="str">
            <v>Ukraine</v>
          </cell>
          <cell r="B49">
            <v>1</v>
          </cell>
        </row>
        <row r="50">
          <cell r="A50" t="str">
            <v>Spain</v>
          </cell>
          <cell r="B50">
            <v>0.8</v>
          </cell>
          <cell r="C50">
            <v>0.2</v>
          </cell>
        </row>
        <row r="51">
          <cell r="A51" t="str">
            <v>Philippines</v>
          </cell>
          <cell r="B51">
            <v>0.44</v>
          </cell>
          <cell r="C51">
            <v>0.56000000000000005</v>
          </cell>
        </row>
        <row r="52">
          <cell r="A52" t="str">
            <v>Egypt</v>
          </cell>
          <cell r="B52">
            <v>1</v>
          </cell>
        </row>
        <row r="53">
          <cell r="A53" t="str">
            <v>Indonesia</v>
          </cell>
          <cell r="B53">
            <v>0.11</v>
          </cell>
          <cell r="C53">
            <v>0.89</v>
          </cell>
        </row>
        <row r="54">
          <cell r="A54" t="str">
            <v>Mexico</v>
          </cell>
          <cell r="B54">
            <v>1</v>
          </cell>
        </row>
        <row r="55">
          <cell r="A55" t="str">
            <v>Peru</v>
          </cell>
          <cell r="B55">
            <v>1</v>
          </cell>
        </row>
        <row r="56">
          <cell r="A56" t="str">
            <v>Saudi Arabia</v>
          </cell>
          <cell r="C56">
            <v>1</v>
          </cell>
        </row>
        <row r="57">
          <cell r="A57" t="str">
            <v>Brazil</v>
          </cell>
          <cell r="B57">
            <v>0.81</v>
          </cell>
          <cell r="C57">
            <v>0.19</v>
          </cell>
        </row>
        <row r="58">
          <cell r="A58" t="str">
            <v>Vietnam</v>
          </cell>
          <cell r="B58">
            <v>0.3</v>
          </cell>
          <cell r="C58">
            <v>0.7</v>
          </cell>
        </row>
        <row r="59">
          <cell r="A59" t="str">
            <v>Thailand</v>
          </cell>
          <cell r="C59">
            <v>1</v>
          </cell>
        </row>
        <row r="60">
          <cell r="A60" t="str">
            <v>Turkey</v>
          </cell>
          <cell r="B60">
            <v>0.67</v>
          </cell>
          <cell r="C60">
            <v>0.33</v>
          </cell>
        </row>
        <row r="61">
          <cell r="A61" t="str">
            <v>Faroe Islands</v>
          </cell>
        </row>
        <row r="62">
          <cell r="A62" t="str">
            <v>Eswatini</v>
          </cell>
        </row>
        <row r="63">
          <cell r="A63" t="str">
            <v>Niger</v>
          </cell>
        </row>
        <row r="64">
          <cell r="A64" t="str">
            <v>Cuba</v>
          </cell>
        </row>
        <row r="65">
          <cell r="A65" t="str">
            <v>Guam</v>
          </cell>
        </row>
        <row r="66">
          <cell r="A66" t="str">
            <v>Guadeloupe</v>
          </cell>
        </row>
        <row r="67">
          <cell r="A67" t="str">
            <v>North Macedonia</v>
          </cell>
        </row>
        <row r="68">
          <cell r="A68" t="str">
            <v>Angola</v>
          </cell>
        </row>
        <row r="69">
          <cell r="A69" t="str">
            <v>Montenegro</v>
          </cell>
        </row>
        <row r="70">
          <cell r="A70" t="str">
            <v>Cameroon</v>
          </cell>
        </row>
        <row r="71">
          <cell r="A71" t="str">
            <v>Uruguay</v>
          </cell>
        </row>
        <row r="72">
          <cell r="A72" t="str">
            <v>RÃ©union</v>
          </cell>
        </row>
        <row r="73">
          <cell r="A73" t="str">
            <v>Luxembourg</v>
          </cell>
        </row>
        <row r="74">
          <cell r="A74" t="str">
            <v>Jamaica</v>
          </cell>
        </row>
        <row r="75">
          <cell r="A75" t="str">
            <v>Uganda</v>
          </cell>
        </row>
        <row r="76">
          <cell r="A76" t="str">
            <v>Myanmar (Burma)</v>
          </cell>
        </row>
        <row r="77">
          <cell r="A77" t="str">
            <v>St. Helena</v>
          </cell>
        </row>
        <row r="78">
          <cell r="A78" t="str">
            <v>Kuwait</v>
          </cell>
        </row>
        <row r="79">
          <cell r="A79" t="str">
            <v>Armenia</v>
          </cell>
        </row>
        <row r="80">
          <cell r="A80" t="str">
            <v>Slovakia</v>
          </cell>
        </row>
        <row r="81">
          <cell r="A81" t="str">
            <v>Cyprus</v>
          </cell>
        </row>
        <row r="82">
          <cell r="A82" t="str">
            <v>Estonia</v>
          </cell>
        </row>
        <row r="83">
          <cell r="A83" t="str">
            <v>Honduras</v>
          </cell>
        </row>
        <row r="84">
          <cell r="A84" t="str">
            <v>Bulgaria</v>
          </cell>
        </row>
        <row r="85">
          <cell r="A85" t="str">
            <v>Croatia</v>
          </cell>
        </row>
        <row r="86">
          <cell r="A86" t="str">
            <v>El Salvador</v>
          </cell>
        </row>
        <row r="87">
          <cell r="A87" t="str">
            <v>Qatar</v>
          </cell>
        </row>
        <row r="88">
          <cell r="A88" t="str">
            <v>Puerto Rico</v>
          </cell>
        </row>
        <row r="89">
          <cell r="A89" t="str">
            <v>Paraguay</v>
          </cell>
        </row>
        <row r="90">
          <cell r="A90" t="str">
            <v>Georgia</v>
          </cell>
        </row>
        <row r="91">
          <cell r="A91" t="str">
            <v>Lebanon</v>
          </cell>
        </row>
        <row r="92">
          <cell r="A92" t="str">
            <v>Serbia</v>
          </cell>
        </row>
        <row r="93">
          <cell r="A93" t="str">
            <v>Tunisia</v>
          </cell>
        </row>
        <row r="94">
          <cell r="A94" t="str">
            <v>Costa Rica</v>
          </cell>
        </row>
        <row r="95">
          <cell r="A95" t="str">
            <v>Guatemala</v>
          </cell>
        </row>
        <row r="96">
          <cell r="A96" t="str">
            <v>Lithuania</v>
          </cell>
        </row>
        <row r="97">
          <cell r="A97" t="str">
            <v>Ecuador</v>
          </cell>
        </row>
        <row r="98">
          <cell r="A98" t="str">
            <v>United Arab Emirates</v>
          </cell>
        </row>
        <row r="99">
          <cell r="A99" t="str">
            <v>Nigeria</v>
          </cell>
        </row>
        <row r="100">
          <cell r="A100" t="str">
            <v>Morocco</v>
          </cell>
        </row>
        <row r="101">
          <cell r="A101" t="str">
            <v>Kenya</v>
          </cell>
        </row>
        <row r="102">
          <cell r="A102" t="str">
            <v>South Africa</v>
          </cell>
        </row>
        <row r="103">
          <cell r="A103" t="str">
            <v>Iran</v>
          </cell>
        </row>
        <row r="104">
          <cell r="A104" t="str">
            <v>Aruba</v>
          </cell>
        </row>
        <row r="105">
          <cell r="A105" t="str">
            <v>Afghanistan</v>
          </cell>
        </row>
        <row r="106">
          <cell r="A106" t="str">
            <v>Anguilla</v>
          </cell>
        </row>
        <row r="107">
          <cell r="A107" t="str">
            <v>Ã…land Islands</v>
          </cell>
        </row>
        <row r="108">
          <cell r="A108" t="str">
            <v>Albania</v>
          </cell>
        </row>
        <row r="109">
          <cell r="A109" t="str">
            <v>Andorra</v>
          </cell>
        </row>
        <row r="110">
          <cell r="A110" t="str">
            <v>American Samoa</v>
          </cell>
        </row>
        <row r="111">
          <cell r="A111" t="str">
            <v>Antarctica</v>
          </cell>
        </row>
        <row r="112">
          <cell r="A112" t="str">
            <v>French Southern Territories</v>
          </cell>
        </row>
        <row r="113">
          <cell r="A113" t="str">
            <v>Antigua &amp; Barbuda</v>
          </cell>
        </row>
        <row r="114">
          <cell r="A114" t="str">
            <v>Azerbaijan</v>
          </cell>
        </row>
        <row r="115">
          <cell r="A115" t="str">
            <v>Burundi</v>
          </cell>
        </row>
        <row r="116">
          <cell r="A116" t="str">
            <v>Benin</v>
          </cell>
        </row>
        <row r="117">
          <cell r="A117" t="str">
            <v>Caribbean Netherlands</v>
          </cell>
        </row>
        <row r="118">
          <cell r="A118" t="str">
            <v>Burkina Faso</v>
          </cell>
        </row>
        <row r="119">
          <cell r="A119" t="str">
            <v>Bahrain</v>
          </cell>
        </row>
        <row r="120">
          <cell r="A120" t="str">
            <v>Bahamas</v>
          </cell>
        </row>
        <row r="121">
          <cell r="A121" t="str">
            <v>Bosnia &amp; Herzegovina</v>
          </cell>
        </row>
        <row r="122">
          <cell r="A122" t="str">
            <v>St. BarthÃ©lemy</v>
          </cell>
        </row>
        <row r="123">
          <cell r="A123" t="str">
            <v>Belize</v>
          </cell>
        </row>
        <row r="124">
          <cell r="A124" t="str">
            <v>Bermuda</v>
          </cell>
        </row>
        <row r="125">
          <cell r="A125" t="str">
            <v>Barbados</v>
          </cell>
        </row>
        <row r="126">
          <cell r="A126" t="str">
            <v>Brunei</v>
          </cell>
        </row>
        <row r="127">
          <cell r="A127" t="str">
            <v>Bhutan</v>
          </cell>
        </row>
        <row r="128">
          <cell r="A128" t="str">
            <v>Bouvet Island</v>
          </cell>
        </row>
        <row r="129">
          <cell r="A129" t="str">
            <v>Botswana</v>
          </cell>
        </row>
        <row r="130">
          <cell r="A130" t="str">
            <v>Central African Republic</v>
          </cell>
        </row>
        <row r="131">
          <cell r="A131" t="str">
            <v>Cocos (Keeling) Islands</v>
          </cell>
        </row>
        <row r="132">
          <cell r="A132" t="str">
            <v>CÃ´te dâ€™Ivoire</v>
          </cell>
        </row>
        <row r="133">
          <cell r="A133" t="str">
            <v>Congo - Kinshasa</v>
          </cell>
        </row>
        <row r="134">
          <cell r="A134" t="str">
            <v>Congo - Brazzaville</v>
          </cell>
        </row>
        <row r="135">
          <cell r="A135" t="str">
            <v>Cook Islands</v>
          </cell>
        </row>
        <row r="136">
          <cell r="A136" t="str">
            <v>Comoros</v>
          </cell>
        </row>
        <row r="137">
          <cell r="A137" t="str">
            <v>Cape Verde</v>
          </cell>
        </row>
        <row r="138">
          <cell r="A138" t="str">
            <v>CuraÃ§ao</v>
          </cell>
        </row>
        <row r="139">
          <cell r="A139" t="str">
            <v>Christmas Island</v>
          </cell>
        </row>
        <row r="140">
          <cell r="A140" t="str">
            <v>Cayman Islands</v>
          </cell>
        </row>
        <row r="141">
          <cell r="A141" t="str">
            <v>Djibouti</v>
          </cell>
        </row>
        <row r="142">
          <cell r="A142" t="str">
            <v>Dominica</v>
          </cell>
        </row>
        <row r="143">
          <cell r="A143" t="str">
            <v>Dominican Republic</v>
          </cell>
        </row>
        <row r="144">
          <cell r="A144" t="str">
            <v>Eritrea</v>
          </cell>
        </row>
        <row r="145">
          <cell r="A145" t="str">
            <v>Western Sahara</v>
          </cell>
        </row>
        <row r="146">
          <cell r="A146" t="str">
            <v>Ethiopia</v>
          </cell>
        </row>
        <row r="147">
          <cell r="A147" t="str">
            <v>Fiji</v>
          </cell>
        </row>
        <row r="148">
          <cell r="A148" t="str">
            <v>Falkland Islands (Islas Malvinas)</v>
          </cell>
        </row>
        <row r="149">
          <cell r="A149" t="str">
            <v>Micronesia</v>
          </cell>
        </row>
        <row r="150">
          <cell r="A150" t="str">
            <v>Gabon</v>
          </cell>
        </row>
        <row r="151">
          <cell r="A151" t="str">
            <v>Guernsey</v>
          </cell>
        </row>
        <row r="152">
          <cell r="A152" t="str">
            <v>Ghana</v>
          </cell>
        </row>
        <row r="153">
          <cell r="A153" t="str">
            <v>Gibraltar</v>
          </cell>
        </row>
        <row r="154">
          <cell r="A154" t="str">
            <v>Guinea</v>
          </cell>
        </row>
        <row r="155">
          <cell r="A155" t="str">
            <v>Gambia</v>
          </cell>
        </row>
        <row r="156">
          <cell r="A156" t="str">
            <v>Guinea-Bissau</v>
          </cell>
        </row>
        <row r="157">
          <cell r="A157" t="str">
            <v>Equatorial Guinea</v>
          </cell>
        </row>
        <row r="158">
          <cell r="A158" t="str">
            <v>Grenada</v>
          </cell>
        </row>
        <row r="159">
          <cell r="A159" t="str">
            <v>Greenland</v>
          </cell>
        </row>
        <row r="160">
          <cell r="A160" t="str">
            <v>French Guiana</v>
          </cell>
        </row>
        <row r="161">
          <cell r="A161" t="str">
            <v>Guyana</v>
          </cell>
        </row>
        <row r="162">
          <cell r="A162" t="str">
            <v>Heard &amp; McDonald Islands</v>
          </cell>
        </row>
        <row r="163">
          <cell r="A163" t="str">
            <v>Haiti</v>
          </cell>
        </row>
        <row r="164">
          <cell r="A164" t="str">
            <v>Isle of Man</v>
          </cell>
        </row>
        <row r="165">
          <cell r="A165" t="str">
            <v>British Indian Ocean Territory</v>
          </cell>
        </row>
        <row r="166">
          <cell r="A166" t="str">
            <v>Iraq</v>
          </cell>
        </row>
        <row r="167">
          <cell r="A167" t="str">
            <v>Jersey</v>
          </cell>
        </row>
        <row r="168">
          <cell r="A168" t="str">
            <v>Jordan</v>
          </cell>
        </row>
        <row r="169">
          <cell r="A169" t="str">
            <v>Kyrgyzstan</v>
          </cell>
        </row>
        <row r="170">
          <cell r="A170" t="str">
            <v>Cambodia</v>
          </cell>
        </row>
        <row r="171">
          <cell r="A171" t="str">
            <v>Kiribati</v>
          </cell>
        </row>
        <row r="172">
          <cell r="A172" t="str">
            <v>St. Kitts &amp; Nevis</v>
          </cell>
        </row>
        <row r="173">
          <cell r="A173" t="str">
            <v>Laos</v>
          </cell>
        </row>
        <row r="174">
          <cell r="A174" t="str">
            <v>Liberia</v>
          </cell>
        </row>
        <row r="175">
          <cell r="A175" t="str">
            <v>Libya</v>
          </cell>
        </row>
        <row r="176">
          <cell r="A176" t="str">
            <v>St. Lucia</v>
          </cell>
        </row>
        <row r="177">
          <cell r="A177" t="str">
            <v>Liechtenstein</v>
          </cell>
        </row>
        <row r="178">
          <cell r="A178" t="str">
            <v>Lesotho</v>
          </cell>
        </row>
        <row r="179">
          <cell r="A179" t="str">
            <v>Latvia</v>
          </cell>
        </row>
        <row r="180">
          <cell r="A180" t="str">
            <v>Macao</v>
          </cell>
        </row>
        <row r="181">
          <cell r="A181" t="str">
            <v>St. Martin</v>
          </cell>
        </row>
        <row r="182">
          <cell r="A182" t="str">
            <v>Monaco</v>
          </cell>
        </row>
        <row r="183">
          <cell r="A183" t="str">
            <v>Moldova</v>
          </cell>
        </row>
        <row r="184">
          <cell r="A184" t="str">
            <v>Madagascar</v>
          </cell>
        </row>
        <row r="185">
          <cell r="A185" t="str">
            <v>Maldives</v>
          </cell>
        </row>
        <row r="186">
          <cell r="A186" t="str">
            <v>Marshall Islands</v>
          </cell>
        </row>
        <row r="187">
          <cell r="A187" t="str">
            <v>Mali</v>
          </cell>
        </row>
        <row r="188">
          <cell r="A188" t="str">
            <v>Malta</v>
          </cell>
        </row>
        <row r="189">
          <cell r="A189" t="str">
            <v>Mongolia</v>
          </cell>
        </row>
        <row r="190">
          <cell r="A190" t="str">
            <v>Northern Mariana Islands</v>
          </cell>
        </row>
        <row r="191">
          <cell r="A191" t="str">
            <v>Mozambique</v>
          </cell>
        </row>
        <row r="192">
          <cell r="A192" t="str">
            <v>Mauritania</v>
          </cell>
        </row>
        <row r="193">
          <cell r="A193" t="str">
            <v>Montserrat</v>
          </cell>
        </row>
        <row r="194">
          <cell r="A194" t="str">
            <v>Martinique</v>
          </cell>
        </row>
        <row r="195">
          <cell r="A195" t="str">
            <v>Mauritius</v>
          </cell>
        </row>
        <row r="196">
          <cell r="A196" t="str">
            <v>Malawi</v>
          </cell>
        </row>
        <row r="197">
          <cell r="A197" t="str">
            <v>Mayotte</v>
          </cell>
        </row>
        <row r="198">
          <cell r="A198" t="str">
            <v>Namibia</v>
          </cell>
        </row>
        <row r="199">
          <cell r="A199" t="str">
            <v>New Caledonia</v>
          </cell>
        </row>
        <row r="200">
          <cell r="A200" t="str">
            <v>Norfolk Island</v>
          </cell>
        </row>
        <row r="201">
          <cell r="A201" t="str">
            <v>Nicaragua</v>
          </cell>
        </row>
        <row r="202">
          <cell r="A202" t="str">
            <v>Niue</v>
          </cell>
        </row>
        <row r="203">
          <cell r="A203" t="str">
            <v>Nauru</v>
          </cell>
        </row>
        <row r="204">
          <cell r="A204" t="str">
            <v>Oman</v>
          </cell>
        </row>
        <row r="205">
          <cell r="A205" t="str">
            <v>Panama</v>
          </cell>
        </row>
        <row r="206">
          <cell r="A206" t="str">
            <v>Pitcairn Islands</v>
          </cell>
        </row>
        <row r="207">
          <cell r="A207" t="str">
            <v>Palau</v>
          </cell>
        </row>
        <row r="208">
          <cell r="A208" t="str">
            <v>Papua New Guinea</v>
          </cell>
        </row>
        <row r="209">
          <cell r="A209" t="str">
            <v>North Korea</v>
          </cell>
        </row>
        <row r="210">
          <cell r="A210" t="str">
            <v>Palestine</v>
          </cell>
        </row>
        <row r="211">
          <cell r="A211" t="str">
            <v>French Polynesia</v>
          </cell>
        </row>
        <row r="212">
          <cell r="A212" t="str">
            <v>Rwanda</v>
          </cell>
        </row>
        <row r="213">
          <cell r="A213" t="str">
            <v>Sudan</v>
          </cell>
        </row>
        <row r="214">
          <cell r="A214" t="str">
            <v>Senegal</v>
          </cell>
        </row>
        <row r="215">
          <cell r="A215" t="str">
            <v>South Georgia &amp; South Sandwich Islands</v>
          </cell>
        </row>
        <row r="216">
          <cell r="A216" t="str">
            <v>Svalbard &amp; Jan Mayen</v>
          </cell>
        </row>
        <row r="217">
          <cell r="A217" t="str">
            <v>Solomon Islands</v>
          </cell>
        </row>
        <row r="218">
          <cell r="A218" t="str">
            <v>Sierra Leone</v>
          </cell>
        </row>
        <row r="219">
          <cell r="A219" t="str">
            <v>San Marino</v>
          </cell>
        </row>
        <row r="220">
          <cell r="A220" t="str">
            <v>Somalia</v>
          </cell>
        </row>
        <row r="221">
          <cell r="A221" t="str">
            <v>St. Pierre &amp; Miquelon</v>
          </cell>
        </row>
        <row r="222">
          <cell r="A222" t="str">
            <v>South Sudan</v>
          </cell>
        </row>
        <row r="223">
          <cell r="A223" t="str">
            <v>SÃ£o TomÃ© &amp; PrÃ­ncipe</v>
          </cell>
        </row>
        <row r="224">
          <cell r="A224" t="str">
            <v>Suriname</v>
          </cell>
        </row>
        <row r="225">
          <cell r="A225" t="str">
            <v>Slovenia</v>
          </cell>
        </row>
        <row r="226">
          <cell r="A226" t="str">
            <v>Sint Maarten</v>
          </cell>
        </row>
        <row r="227">
          <cell r="A227" t="str">
            <v>Seychelles</v>
          </cell>
        </row>
        <row r="228">
          <cell r="A228" t="str">
            <v>Syria</v>
          </cell>
        </row>
        <row r="229">
          <cell r="A229" t="str">
            <v>Turks &amp; Caicos Islands</v>
          </cell>
        </row>
        <row r="230">
          <cell r="A230" t="str">
            <v>Chad</v>
          </cell>
        </row>
        <row r="231">
          <cell r="A231" t="str">
            <v>Togo</v>
          </cell>
        </row>
        <row r="232">
          <cell r="A232" t="str">
            <v>Tajikistan</v>
          </cell>
        </row>
        <row r="233">
          <cell r="A233" t="str">
            <v>Tokelau</v>
          </cell>
        </row>
        <row r="234">
          <cell r="A234" t="str">
            <v>Turkmenistan</v>
          </cell>
        </row>
        <row r="235">
          <cell r="A235" t="str">
            <v>Timor-Leste</v>
          </cell>
        </row>
        <row r="236">
          <cell r="A236" t="str">
            <v>Tonga</v>
          </cell>
        </row>
        <row r="237">
          <cell r="A237" t="str">
            <v>Trinidad &amp; Tobago</v>
          </cell>
        </row>
        <row r="238">
          <cell r="A238" t="str">
            <v>Tuvalu</v>
          </cell>
        </row>
        <row r="239">
          <cell r="A239" t="str">
            <v>Tanzania</v>
          </cell>
        </row>
        <row r="240">
          <cell r="A240" t="str">
            <v>U.S. Outlying Islands</v>
          </cell>
        </row>
        <row r="241">
          <cell r="A241" t="str">
            <v>Uzbekistan</v>
          </cell>
        </row>
        <row r="242">
          <cell r="A242" t="str">
            <v>Vatican City</v>
          </cell>
        </row>
        <row r="243">
          <cell r="A243" t="str">
            <v>St. Vincent &amp; Grenadines</v>
          </cell>
        </row>
        <row r="244">
          <cell r="A244" t="str">
            <v>Venezuela</v>
          </cell>
        </row>
        <row r="245">
          <cell r="A245" t="str">
            <v>British Virgin Islands</v>
          </cell>
        </row>
        <row r="246">
          <cell r="A246" t="str">
            <v>U.S. Virgin Islands</v>
          </cell>
        </row>
        <row r="247">
          <cell r="A247" t="str">
            <v>Vanuatu</v>
          </cell>
        </row>
        <row r="248">
          <cell r="A248" t="str">
            <v>Wallis &amp; Futuna</v>
          </cell>
        </row>
        <row r="249">
          <cell r="A249" t="str">
            <v>Samoa</v>
          </cell>
        </row>
        <row r="250">
          <cell r="A250" t="str">
            <v>Kosovo</v>
          </cell>
        </row>
        <row r="251">
          <cell r="A251" t="str">
            <v>Yemen</v>
          </cell>
        </row>
        <row r="252">
          <cell r="A252" t="str">
            <v>Zambia</v>
          </cell>
        </row>
        <row r="253">
          <cell r="A253" t="str">
            <v>Zimbabwe</v>
          </cell>
        </row>
      </sheetData>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47)"/>
    </sheetNames>
    <sheetDataSet>
      <sheetData sheetId="0" refreshError="1">
        <row r="1">
          <cell r="A1" t="str">
            <v>Kategori: TÃ¼m kategoriler</v>
          </cell>
        </row>
        <row r="3">
          <cell r="A3" t="str">
            <v>Ãœlke</v>
          </cell>
          <cell r="B3" t="str">
            <v>TCP congestion control: (2018)</v>
          </cell>
          <cell r="C3" t="str">
            <v>Two-phase locking: (2018)</v>
          </cell>
        </row>
        <row r="4">
          <cell r="A4" t="str">
            <v>China</v>
          </cell>
          <cell r="B4">
            <v>1</v>
          </cell>
        </row>
        <row r="5">
          <cell r="A5" t="str">
            <v>Nepal</v>
          </cell>
          <cell r="B5">
            <v>1</v>
          </cell>
        </row>
        <row r="6">
          <cell r="A6" t="str">
            <v>India</v>
          </cell>
          <cell r="B6">
            <v>0.71</v>
          </cell>
          <cell r="C6">
            <v>0.28999999999999998</v>
          </cell>
        </row>
        <row r="7">
          <cell r="A7" t="str">
            <v>Pakistan</v>
          </cell>
          <cell r="B7">
            <v>0.81</v>
          </cell>
          <cell r="C7">
            <v>0.19</v>
          </cell>
        </row>
        <row r="8">
          <cell r="A8" t="str">
            <v>Bangladesh</v>
          </cell>
          <cell r="B8">
            <v>1</v>
          </cell>
        </row>
        <row r="9">
          <cell r="A9" t="str">
            <v>United Kingdom</v>
          </cell>
          <cell r="B9">
            <v>0.11</v>
          </cell>
          <cell r="C9">
            <v>0.89</v>
          </cell>
        </row>
        <row r="10">
          <cell r="A10" t="str">
            <v>Poland</v>
          </cell>
          <cell r="B10">
            <v>7.0000000000000007E-2</v>
          </cell>
          <cell r="C10">
            <v>0.93</v>
          </cell>
        </row>
        <row r="11">
          <cell r="A11" t="str">
            <v>South Korea</v>
          </cell>
          <cell r="B11">
            <v>0.68</v>
          </cell>
          <cell r="C11">
            <v>0.32</v>
          </cell>
        </row>
        <row r="12">
          <cell r="A12" t="str">
            <v>Sri Lanka</v>
          </cell>
          <cell r="B12">
            <v>1</v>
          </cell>
        </row>
        <row r="13">
          <cell r="A13" t="str">
            <v>Chile</v>
          </cell>
          <cell r="C13">
            <v>1</v>
          </cell>
        </row>
        <row r="14">
          <cell r="A14" t="str">
            <v>Norway</v>
          </cell>
          <cell r="B14">
            <v>0.12</v>
          </cell>
          <cell r="C14">
            <v>0.88</v>
          </cell>
        </row>
        <row r="15">
          <cell r="A15" t="str">
            <v>Singapore</v>
          </cell>
          <cell r="B15">
            <v>0.55000000000000004</v>
          </cell>
          <cell r="C15">
            <v>0.45</v>
          </cell>
        </row>
        <row r="16">
          <cell r="A16" t="str">
            <v>New Zealand</v>
          </cell>
          <cell r="B16">
            <v>0.77</v>
          </cell>
          <cell r="C16">
            <v>0.23</v>
          </cell>
        </row>
        <row r="17">
          <cell r="A17" t="str">
            <v>Hong Kong</v>
          </cell>
          <cell r="B17">
            <v>0.53</v>
          </cell>
          <cell r="C17">
            <v>0.47</v>
          </cell>
        </row>
        <row r="18">
          <cell r="A18" t="str">
            <v>Ireland</v>
          </cell>
          <cell r="B18">
            <v>0.69</v>
          </cell>
          <cell r="C18">
            <v>0.31</v>
          </cell>
        </row>
        <row r="19">
          <cell r="A19" t="str">
            <v>Switzerland</v>
          </cell>
          <cell r="B19">
            <v>1</v>
          </cell>
        </row>
        <row r="20">
          <cell r="A20" t="str">
            <v>Denmark</v>
          </cell>
          <cell r="B20">
            <v>0.3</v>
          </cell>
          <cell r="C20">
            <v>0.7</v>
          </cell>
        </row>
        <row r="21">
          <cell r="A21" t="str">
            <v>Israel</v>
          </cell>
          <cell r="B21">
            <v>0.47</v>
          </cell>
          <cell r="C21">
            <v>0.53</v>
          </cell>
        </row>
        <row r="22">
          <cell r="A22" t="str">
            <v>Taiwan</v>
          </cell>
          <cell r="B22">
            <v>0.9</v>
          </cell>
          <cell r="C22">
            <v>0.1</v>
          </cell>
        </row>
        <row r="23">
          <cell r="A23" t="str">
            <v>Canada</v>
          </cell>
          <cell r="B23">
            <v>0.62</v>
          </cell>
          <cell r="C23">
            <v>0.38</v>
          </cell>
        </row>
        <row r="24">
          <cell r="A24" t="str">
            <v>Malaysia</v>
          </cell>
          <cell r="B24">
            <v>0.45</v>
          </cell>
          <cell r="C24">
            <v>0.55000000000000004</v>
          </cell>
        </row>
        <row r="25">
          <cell r="A25" t="str">
            <v>South Africa</v>
          </cell>
          <cell r="C25">
            <v>1</v>
          </cell>
        </row>
        <row r="26">
          <cell r="A26" t="str">
            <v>Australia</v>
          </cell>
          <cell r="B26">
            <v>0.54</v>
          </cell>
          <cell r="C26">
            <v>0.46</v>
          </cell>
        </row>
        <row r="27">
          <cell r="A27" t="str">
            <v>Greece</v>
          </cell>
          <cell r="B27">
            <v>1</v>
          </cell>
        </row>
        <row r="28">
          <cell r="A28" t="str">
            <v>Argentina</v>
          </cell>
          <cell r="C28">
            <v>1</v>
          </cell>
        </row>
        <row r="29">
          <cell r="A29" t="str">
            <v>United States</v>
          </cell>
          <cell r="B29">
            <v>0.61</v>
          </cell>
          <cell r="C29">
            <v>0.39</v>
          </cell>
        </row>
        <row r="30">
          <cell r="A30" t="str">
            <v>Vietnam</v>
          </cell>
          <cell r="B30">
            <v>0.25</v>
          </cell>
          <cell r="C30">
            <v>0.75</v>
          </cell>
        </row>
        <row r="31">
          <cell r="A31" t="str">
            <v>Netherlands</v>
          </cell>
          <cell r="B31">
            <v>0.41</v>
          </cell>
          <cell r="C31">
            <v>0.59</v>
          </cell>
        </row>
        <row r="32">
          <cell r="A32" t="str">
            <v>Germany</v>
          </cell>
          <cell r="B32">
            <v>0.74</v>
          </cell>
          <cell r="C32">
            <v>0.26</v>
          </cell>
        </row>
        <row r="33">
          <cell r="A33" t="str">
            <v>Philippines</v>
          </cell>
          <cell r="B33">
            <v>0.47</v>
          </cell>
          <cell r="C33">
            <v>0.53</v>
          </cell>
        </row>
        <row r="34">
          <cell r="A34" t="str">
            <v>Indonesia</v>
          </cell>
          <cell r="B34">
            <v>0.65</v>
          </cell>
          <cell r="C34">
            <v>0.35</v>
          </cell>
        </row>
        <row r="35">
          <cell r="A35" t="str">
            <v>Saudi Arabia</v>
          </cell>
          <cell r="B35">
            <v>0.45</v>
          </cell>
          <cell r="C35">
            <v>0.55000000000000004</v>
          </cell>
        </row>
        <row r="36">
          <cell r="A36" t="str">
            <v>Sweden</v>
          </cell>
          <cell r="B36">
            <v>0.5</v>
          </cell>
          <cell r="C36">
            <v>0.5</v>
          </cell>
        </row>
        <row r="37">
          <cell r="A37" t="str">
            <v>Spain</v>
          </cell>
          <cell r="B37">
            <v>0.25</v>
          </cell>
          <cell r="C37">
            <v>0.75</v>
          </cell>
        </row>
        <row r="38">
          <cell r="A38" t="str">
            <v>Thailand</v>
          </cell>
          <cell r="B38">
            <v>0.35</v>
          </cell>
          <cell r="C38">
            <v>0.65</v>
          </cell>
        </row>
        <row r="39">
          <cell r="A39" t="str">
            <v>Mexico</v>
          </cell>
          <cell r="C39">
            <v>1</v>
          </cell>
        </row>
        <row r="40">
          <cell r="A40" t="str">
            <v>Italy</v>
          </cell>
          <cell r="B40">
            <v>0.49</v>
          </cell>
          <cell r="C40">
            <v>0.51</v>
          </cell>
        </row>
        <row r="41">
          <cell r="A41" t="str">
            <v>Austria</v>
          </cell>
          <cell r="B41">
            <v>1</v>
          </cell>
        </row>
        <row r="42">
          <cell r="A42" t="str">
            <v>Russia</v>
          </cell>
          <cell r="B42">
            <v>0.67</v>
          </cell>
          <cell r="C42">
            <v>0.33</v>
          </cell>
        </row>
        <row r="43">
          <cell r="A43" t="str">
            <v>Turkey</v>
          </cell>
          <cell r="B43">
            <v>0.35</v>
          </cell>
          <cell r="C43">
            <v>0.65</v>
          </cell>
        </row>
        <row r="44">
          <cell r="A44" t="str">
            <v>Brazil</v>
          </cell>
          <cell r="B44">
            <v>0.34</v>
          </cell>
          <cell r="C44">
            <v>0.66</v>
          </cell>
        </row>
        <row r="45">
          <cell r="A45" t="str">
            <v>France</v>
          </cell>
          <cell r="B45">
            <v>0.67</v>
          </cell>
          <cell r="C45">
            <v>0.33</v>
          </cell>
        </row>
        <row r="46">
          <cell r="A46" t="str">
            <v>Japan</v>
          </cell>
          <cell r="B46">
            <v>0.47</v>
          </cell>
          <cell r="C46">
            <v>0.53</v>
          </cell>
        </row>
        <row r="47">
          <cell r="A47" t="str">
            <v>Timor-Leste</v>
          </cell>
        </row>
        <row r="48">
          <cell r="A48" t="str">
            <v>Lesotho</v>
          </cell>
        </row>
        <row r="49">
          <cell r="A49" t="str">
            <v>Rwanda</v>
          </cell>
        </row>
        <row r="50">
          <cell r="A50" t="str">
            <v>Zimbabwe</v>
          </cell>
        </row>
        <row r="51">
          <cell r="A51" t="str">
            <v>Ethiopia</v>
          </cell>
        </row>
        <row r="52">
          <cell r="A52" t="str">
            <v>Montenegro</v>
          </cell>
        </row>
        <row r="53">
          <cell r="A53" t="str">
            <v>Kosovo</v>
          </cell>
        </row>
        <row r="54">
          <cell r="A54" t="str">
            <v>Malta</v>
          </cell>
        </row>
        <row r="55">
          <cell r="A55" t="str">
            <v>Mauritius</v>
          </cell>
        </row>
        <row r="56">
          <cell r="A56" t="str">
            <v>Zambia</v>
          </cell>
        </row>
        <row r="57">
          <cell r="A57" t="str">
            <v>Trinidad &amp; Tobago</v>
          </cell>
        </row>
        <row r="58">
          <cell r="A58" t="str">
            <v>Libya</v>
          </cell>
        </row>
        <row r="59">
          <cell r="A59" t="str">
            <v>Ghana</v>
          </cell>
        </row>
        <row r="60">
          <cell r="A60" t="str">
            <v>Jamaica</v>
          </cell>
        </row>
        <row r="61">
          <cell r="A61" t="str">
            <v>Palestine</v>
          </cell>
        </row>
        <row r="62">
          <cell r="A62" t="str">
            <v>Uganda</v>
          </cell>
        </row>
        <row r="63">
          <cell r="A63" t="str">
            <v>Yemen</v>
          </cell>
        </row>
        <row r="64">
          <cell r="A64" t="str">
            <v>Albania</v>
          </cell>
        </row>
        <row r="65">
          <cell r="A65" t="str">
            <v>Sudan</v>
          </cell>
        </row>
        <row r="66">
          <cell r="A66" t="str">
            <v>Tanzania</v>
          </cell>
        </row>
        <row r="67">
          <cell r="A67" t="str">
            <v>Cyprus</v>
          </cell>
        </row>
        <row r="68">
          <cell r="A68" t="str">
            <v>Nigeria</v>
          </cell>
        </row>
        <row r="69">
          <cell r="A69" t="str">
            <v>Estonia</v>
          </cell>
        </row>
        <row r="70">
          <cell r="A70" t="str">
            <v>St. Helena</v>
          </cell>
        </row>
        <row r="71">
          <cell r="A71" t="str">
            <v>Syria</v>
          </cell>
        </row>
        <row r="72">
          <cell r="A72" t="str">
            <v>Tunisia</v>
          </cell>
        </row>
        <row r="73">
          <cell r="A73" t="str">
            <v>Georgia</v>
          </cell>
        </row>
        <row r="74">
          <cell r="A74" t="str">
            <v>Latvia</v>
          </cell>
        </row>
        <row r="75">
          <cell r="A75" t="str">
            <v>Lebanon</v>
          </cell>
        </row>
        <row r="76">
          <cell r="A76" t="str">
            <v>Uruguay</v>
          </cell>
        </row>
        <row r="77">
          <cell r="A77" t="str">
            <v>Kenya</v>
          </cell>
        </row>
        <row r="78">
          <cell r="A78" t="str">
            <v>Iraq</v>
          </cell>
        </row>
        <row r="79">
          <cell r="A79" t="str">
            <v>Iran</v>
          </cell>
        </row>
        <row r="80">
          <cell r="A80" t="str">
            <v>Belgium</v>
          </cell>
        </row>
        <row r="81">
          <cell r="A81" t="str">
            <v>United Arab Emirates</v>
          </cell>
        </row>
        <row r="82">
          <cell r="A82" t="str">
            <v>Romania</v>
          </cell>
        </row>
        <row r="83">
          <cell r="A83" t="str">
            <v>Croatia</v>
          </cell>
        </row>
        <row r="84">
          <cell r="A84" t="str">
            <v>Egypt</v>
          </cell>
        </row>
        <row r="85">
          <cell r="A85" t="str">
            <v>Portugal</v>
          </cell>
        </row>
        <row r="86">
          <cell r="A86" t="str">
            <v>Morocco</v>
          </cell>
        </row>
        <row r="87">
          <cell r="A87" t="str">
            <v>Czechia</v>
          </cell>
        </row>
        <row r="88">
          <cell r="A88" t="str">
            <v>Kazakhstan</v>
          </cell>
        </row>
        <row r="89">
          <cell r="A89" t="str">
            <v>Finland</v>
          </cell>
        </row>
        <row r="90">
          <cell r="A90" t="str">
            <v>Colombia</v>
          </cell>
        </row>
        <row r="91">
          <cell r="A91" t="str">
            <v>Ukraine</v>
          </cell>
        </row>
        <row r="92">
          <cell r="A92" t="str">
            <v>Aruba</v>
          </cell>
        </row>
        <row r="93">
          <cell r="A93" t="str">
            <v>Afghanistan</v>
          </cell>
        </row>
        <row r="94">
          <cell r="A94" t="str">
            <v>Angola</v>
          </cell>
        </row>
        <row r="95">
          <cell r="A95" t="str">
            <v>Anguilla</v>
          </cell>
        </row>
        <row r="96">
          <cell r="A96" t="str">
            <v>Ã…land Islands</v>
          </cell>
        </row>
        <row r="97">
          <cell r="A97" t="str">
            <v>Andorra</v>
          </cell>
        </row>
        <row r="98">
          <cell r="A98" t="str">
            <v>Armenia</v>
          </cell>
        </row>
        <row r="99">
          <cell r="A99" t="str">
            <v>American Samoa</v>
          </cell>
        </row>
        <row r="100">
          <cell r="A100" t="str">
            <v>Antarctica</v>
          </cell>
        </row>
        <row r="101">
          <cell r="A101" t="str">
            <v>French Southern Territories</v>
          </cell>
        </row>
        <row r="102">
          <cell r="A102" t="str">
            <v>Antigua &amp; Barbuda</v>
          </cell>
        </row>
        <row r="103">
          <cell r="A103" t="str">
            <v>Azerbaijan</v>
          </cell>
        </row>
        <row r="104">
          <cell r="A104" t="str">
            <v>Burundi</v>
          </cell>
        </row>
        <row r="105">
          <cell r="A105" t="str">
            <v>Benin</v>
          </cell>
        </row>
        <row r="106">
          <cell r="A106" t="str">
            <v>Caribbean Netherlands</v>
          </cell>
        </row>
        <row r="107">
          <cell r="A107" t="str">
            <v>Burkina Faso</v>
          </cell>
        </row>
        <row r="108">
          <cell r="A108" t="str">
            <v>Bulgaria</v>
          </cell>
        </row>
        <row r="109">
          <cell r="A109" t="str">
            <v>Bahrain</v>
          </cell>
        </row>
        <row r="110">
          <cell r="A110" t="str">
            <v>Bahamas</v>
          </cell>
        </row>
        <row r="111">
          <cell r="A111" t="str">
            <v>Bosnia &amp; Herzegovina</v>
          </cell>
        </row>
        <row r="112">
          <cell r="A112" t="str">
            <v>St. BarthÃ©lemy</v>
          </cell>
        </row>
        <row r="113">
          <cell r="A113" t="str">
            <v>Belarus</v>
          </cell>
        </row>
        <row r="114">
          <cell r="A114" t="str">
            <v>Belize</v>
          </cell>
        </row>
        <row r="115">
          <cell r="A115" t="str">
            <v>Bermuda</v>
          </cell>
        </row>
        <row r="116">
          <cell r="A116" t="str">
            <v>Bolivia</v>
          </cell>
        </row>
        <row r="117">
          <cell r="A117" t="str">
            <v>Barbados</v>
          </cell>
        </row>
        <row r="118">
          <cell r="A118" t="str">
            <v>Brunei</v>
          </cell>
        </row>
        <row r="119">
          <cell r="A119" t="str">
            <v>Bhutan</v>
          </cell>
        </row>
        <row r="120">
          <cell r="A120" t="str">
            <v>Bouvet Island</v>
          </cell>
        </row>
        <row r="121">
          <cell r="A121" t="str">
            <v>Botswana</v>
          </cell>
        </row>
        <row r="122">
          <cell r="A122" t="str">
            <v>Central African Republic</v>
          </cell>
        </row>
        <row r="123">
          <cell r="A123" t="str">
            <v>Cocos (Keeling) Islands</v>
          </cell>
        </row>
        <row r="124">
          <cell r="A124" t="str">
            <v>CÃ´te dâ€™Ivoire</v>
          </cell>
        </row>
        <row r="125">
          <cell r="A125" t="str">
            <v>Cameroon</v>
          </cell>
        </row>
        <row r="126">
          <cell r="A126" t="str">
            <v>Congo - Kinshasa</v>
          </cell>
        </row>
        <row r="127">
          <cell r="A127" t="str">
            <v>Congo - Brazzaville</v>
          </cell>
        </row>
        <row r="128">
          <cell r="A128" t="str">
            <v>Cook Islands</v>
          </cell>
        </row>
        <row r="129">
          <cell r="A129" t="str">
            <v>Comoros</v>
          </cell>
        </row>
        <row r="130">
          <cell r="A130" t="str">
            <v>Cape Verde</v>
          </cell>
        </row>
        <row r="131">
          <cell r="A131" t="str">
            <v>Costa Rica</v>
          </cell>
        </row>
        <row r="132">
          <cell r="A132" t="str">
            <v>Cuba</v>
          </cell>
        </row>
        <row r="133">
          <cell r="A133" t="str">
            <v>CuraÃ§ao</v>
          </cell>
        </row>
        <row r="134">
          <cell r="A134" t="str">
            <v>Christmas Island</v>
          </cell>
        </row>
        <row r="135">
          <cell r="A135" t="str">
            <v>Cayman Islands</v>
          </cell>
        </row>
        <row r="136">
          <cell r="A136" t="str">
            <v>Djibouti</v>
          </cell>
        </row>
        <row r="137">
          <cell r="A137" t="str">
            <v>Dominica</v>
          </cell>
        </row>
        <row r="138">
          <cell r="A138" t="str">
            <v>Dominican Republic</v>
          </cell>
        </row>
        <row r="139">
          <cell r="A139" t="str">
            <v>Algeria</v>
          </cell>
        </row>
        <row r="140">
          <cell r="A140" t="str">
            <v>Ecuador</v>
          </cell>
        </row>
        <row r="141">
          <cell r="A141" t="str">
            <v>Eritrea</v>
          </cell>
        </row>
        <row r="142">
          <cell r="A142" t="str">
            <v>Western Sahara</v>
          </cell>
        </row>
        <row r="143">
          <cell r="A143" t="str">
            <v>Fiji</v>
          </cell>
        </row>
        <row r="144">
          <cell r="A144" t="str">
            <v>Falkland Islands (Islas Malvinas)</v>
          </cell>
        </row>
        <row r="145">
          <cell r="A145" t="str">
            <v>Faroe Islands</v>
          </cell>
        </row>
        <row r="146">
          <cell r="A146" t="str">
            <v>Micronesia</v>
          </cell>
        </row>
        <row r="147">
          <cell r="A147" t="str">
            <v>Gabon</v>
          </cell>
        </row>
        <row r="148">
          <cell r="A148" t="str">
            <v>Guernsey</v>
          </cell>
        </row>
        <row r="149">
          <cell r="A149" t="str">
            <v>Gibraltar</v>
          </cell>
        </row>
        <row r="150">
          <cell r="A150" t="str">
            <v>Guinea</v>
          </cell>
        </row>
        <row r="151">
          <cell r="A151" t="str">
            <v>Guadeloupe</v>
          </cell>
        </row>
        <row r="152">
          <cell r="A152" t="str">
            <v>Gambia</v>
          </cell>
        </row>
        <row r="153">
          <cell r="A153" t="str">
            <v>Guinea-Bissau</v>
          </cell>
        </row>
        <row r="154">
          <cell r="A154" t="str">
            <v>Equatorial Guinea</v>
          </cell>
        </row>
        <row r="155">
          <cell r="A155" t="str">
            <v>Grenada</v>
          </cell>
        </row>
        <row r="156">
          <cell r="A156" t="str">
            <v>Greenland</v>
          </cell>
        </row>
        <row r="157">
          <cell r="A157" t="str">
            <v>Guatemala</v>
          </cell>
        </row>
        <row r="158">
          <cell r="A158" t="str">
            <v>French Guiana</v>
          </cell>
        </row>
        <row r="159">
          <cell r="A159" t="str">
            <v>Guam</v>
          </cell>
        </row>
        <row r="160">
          <cell r="A160" t="str">
            <v>Guyana</v>
          </cell>
        </row>
        <row r="161">
          <cell r="A161" t="str">
            <v>Heard &amp; McDonald Islands</v>
          </cell>
        </row>
        <row r="162">
          <cell r="A162" t="str">
            <v>Honduras</v>
          </cell>
        </row>
        <row r="163">
          <cell r="A163" t="str">
            <v>Haiti</v>
          </cell>
        </row>
        <row r="164">
          <cell r="A164" t="str">
            <v>Hungary</v>
          </cell>
        </row>
        <row r="165">
          <cell r="A165" t="str">
            <v>Isle of Man</v>
          </cell>
        </row>
        <row r="166">
          <cell r="A166" t="str">
            <v>British Indian Ocean Territory</v>
          </cell>
        </row>
        <row r="167">
          <cell r="A167" t="str">
            <v>Iceland</v>
          </cell>
        </row>
        <row r="168">
          <cell r="A168" t="str">
            <v>Jersey</v>
          </cell>
        </row>
        <row r="169">
          <cell r="A169" t="str">
            <v>Jordan</v>
          </cell>
        </row>
        <row r="170">
          <cell r="A170" t="str">
            <v>Kyrgyzstan</v>
          </cell>
        </row>
        <row r="171">
          <cell r="A171" t="str">
            <v>Cambodia</v>
          </cell>
        </row>
        <row r="172">
          <cell r="A172" t="str">
            <v>Kiribati</v>
          </cell>
        </row>
        <row r="173">
          <cell r="A173" t="str">
            <v>St. Kitts &amp; Nevis</v>
          </cell>
        </row>
        <row r="174">
          <cell r="A174" t="str">
            <v>Kuwait</v>
          </cell>
        </row>
        <row r="175">
          <cell r="A175" t="str">
            <v>Laos</v>
          </cell>
        </row>
        <row r="176">
          <cell r="A176" t="str">
            <v>Liberia</v>
          </cell>
        </row>
        <row r="177">
          <cell r="A177" t="str">
            <v>St. Lucia</v>
          </cell>
        </row>
        <row r="178">
          <cell r="A178" t="str">
            <v>Liechtenstein</v>
          </cell>
        </row>
        <row r="179">
          <cell r="A179" t="str">
            <v>Lithuania</v>
          </cell>
        </row>
        <row r="180">
          <cell r="A180" t="str">
            <v>Luxembourg</v>
          </cell>
        </row>
        <row r="181">
          <cell r="A181" t="str">
            <v>Macao</v>
          </cell>
        </row>
        <row r="182">
          <cell r="A182" t="str">
            <v>St. Martin</v>
          </cell>
        </row>
        <row r="183">
          <cell r="A183" t="str">
            <v>Monaco</v>
          </cell>
        </row>
        <row r="184">
          <cell r="A184" t="str">
            <v>Moldova</v>
          </cell>
        </row>
        <row r="185">
          <cell r="A185" t="str">
            <v>Madagascar</v>
          </cell>
        </row>
        <row r="186">
          <cell r="A186" t="str">
            <v>Maldives</v>
          </cell>
        </row>
        <row r="187">
          <cell r="A187" t="str">
            <v>Marshall Islands</v>
          </cell>
        </row>
        <row r="188">
          <cell r="A188" t="str">
            <v>North Macedonia</v>
          </cell>
        </row>
        <row r="189">
          <cell r="A189" t="str">
            <v>Mali</v>
          </cell>
        </row>
        <row r="190">
          <cell r="A190" t="str">
            <v>Myanmar (Burma)</v>
          </cell>
        </row>
        <row r="191">
          <cell r="A191" t="str">
            <v>Mongolia</v>
          </cell>
        </row>
        <row r="192">
          <cell r="A192" t="str">
            <v>Northern Mariana Islands</v>
          </cell>
        </row>
        <row r="193">
          <cell r="A193" t="str">
            <v>Mozambique</v>
          </cell>
        </row>
        <row r="194">
          <cell r="A194" t="str">
            <v>Mauritania</v>
          </cell>
        </row>
        <row r="195">
          <cell r="A195" t="str">
            <v>Montserrat</v>
          </cell>
        </row>
        <row r="196">
          <cell r="A196" t="str">
            <v>Martinique</v>
          </cell>
        </row>
        <row r="197">
          <cell r="A197" t="str">
            <v>Malawi</v>
          </cell>
        </row>
        <row r="198">
          <cell r="A198" t="str">
            <v>Mayotte</v>
          </cell>
        </row>
        <row r="199">
          <cell r="A199" t="str">
            <v>Namibia</v>
          </cell>
        </row>
        <row r="200">
          <cell r="A200" t="str">
            <v>New Caledonia</v>
          </cell>
        </row>
        <row r="201">
          <cell r="A201" t="str">
            <v>Niger</v>
          </cell>
        </row>
        <row r="202">
          <cell r="A202" t="str">
            <v>Norfolk Island</v>
          </cell>
        </row>
        <row r="203">
          <cell r="A203" t="str">
            <v>Nicaragua</v>
          </cell>
        </row>
        <row r="204">
          <cell r="A204" t="str">
            <v>Niue</v>
          </cell>
        </row>
        <row r="205">
          <cell r="A205" t="str">
            <v>Nauru</v>
          </cell>
        </row>
        <row r="206">
          <cell r="A206" t="str">
            <v>Oman</v>
          </cell>
        </row>
        <row r="207">
          <cell r="A207" t="str">
            <v>Panama</v>
          </cell>
        </row>
        <row r="208">
          <cell r="A208" t="str">
            <v>Pitcairn Islands</v>
          </cell>
        </row>
        <row r="209">
          <cell r="A209" t="str">
            <v>Peru</v>
          </cell>
        </row>
        <row r="210">
          <cell r="A210" t="str">
            <v>Palau</v>
          </cell>
        </row>
        <row r="211">
          <cell r="A211" t="str">
            <v>Papua New Guinea</v>
          </cell>
        </row>
        <row r="212">
          <cell r="A212" t="str">
            <v>Puerto Rico</v>
          </cell>
        </row>
        <row r="213">
          <cell r="A213" t="str">
            <v>North Korea</v>
          </cell>
        </row>
        <row r="214">
          <cell r="A214" t="str">
            <v>Paraguay</v>
          </cell>
        </row>
        <row r="215">
          <cell r="A215" t="str">
            <v>French Polynesia</v>
          </cell>
        </row>
        <row r="216">
          <cell r="A216" t="str">
            <v>Qatar</v>
          </cell>
        </row>
        <row r="217">
          <cell r="A217" t="str">
            <v>RÃ©union</v>
          </cell>
        </row>
        <row r="218">
          <cell r="A218" t="str">
            <v>Senegal</v>
          </cell>
        </row>
        <row r="219">
          <cell r="A219" t="str">
            <v>South Georgia &amp; South Sandwich Islands</v>
          </cell>
        </row>
        <row r="220">
          <cell r="A220" t="str">
            <v>Svalbard &amp; Jan Mayen</v>
          </cell>
        </row>
        <row r="221">
          <cell r="A221" t="str">
            <v>Solomon Islands</v>
          </cell>
        </row>
        <row r="222">
          <cell r="A222" t="str">
            <v>Sierra Leone</v>
          </cell>
        </row>
        <row r="223">
          <cell r="A223" t="str">
            <v>El Salvador</v>
          </cell>
        </row>
        <row r="224">
          <cell r="A224" t="str">
            <v>San Marino</v>
          </cell>
        </row>
        <row r="225">
          <cell r="A225" t="str">
            <v>Somalia</v>
          </cell>
        </row>
        <row r="226">
          <cell r="A226" t="str">
            <v>St. Pierre &amp; Miquelon</v>
          </cell>
        </row>
        <row r="227">
          <cell r="A227" t="str">
            <v>Serbia</v>
          </cell>
        </row>
        <row r="228">
          <cell r="A228" t="str">
            <v>South Sudan</v>
          </cell>
        </row>
        <row r="229">
          <cell r="A229" t="str">
            <v>SÃ£o TomÃ© &amp; PrÃ­ncipe</v>
          </cell>
        </row>
        <row r="230">
          <cell r="A230" t="str">
            <v>Suriname</v>
          </cell>
        </row>
        <row r="231">
          <cell r="A231" t="str">
            <v>Slovakia</v>
          </cell>
        </row>
        <row r="232">
          <cell r="A232" t="str">
            <v>Slovenia</v>
          </cell>
        </row>
        <row r="233">
          <cell r="A233" t="str">
            <v>Eswatini</v>
          </cell>
        </row>
        <row r="234">
          <cell r="A234" t="str">
            <v>Sint Maarten</v>
          </cell>
        </row>
        <row r="235">
          <cell r="A235" t="str">
            <v>Seychelles</v>
          </cell>
        </row>
        <row r="236">
          <cell r="A236" t="str">
            <v>Turks &amp; Caicos Islands</v>
          </cell>
        </row>
        <row r="237">
          <cell r="A237" t="str">
            <v>Chad</v>
          </cell>
        </row>
        <row r="238">
          <cell r="A238" t="str">
            <v>Togo</v>
          </cell>
        </row>
        <row r="239">
          <cell r="A239" t="str">
            <v>Tajikistan</v>
          </cell>
        </row>
        <row r="240">
          <cell r="A240" t="str">
            <v>Tokelau</v>
          </cell>
        </row>
        <row r="241">
          <cell r="A241" t="str">
            <v>Turkmenistan</v>
          </cell>
        </row>
        <row r="242">
          <cell r="A242" t="str">
            <v>Tonga</v>
          </cell>
        </row>
        <row r="243">
          <cell r="A243" t="str">
            <v>Tuvalu</v>
          </cell>
        </row>
        <row r="244">
          <cell r="A244" t="str">
            <v>U.S. Outlying Islands</v>
          </cell>
        </row>
        <row r="245">
          <cell r="A245" t="str">
            <v>Uzbekistan</v>
          </cell>
        </row>
        <row r="246">
          <cell r="A246" t="str">
            <v>Vatican City</v>
          </cell>
        </row>
        <row r="247">
          <cell r="A247" t="str">
            <v>St. Vincent &amp; Grenadines</v>
          </cell>
        </row>
        <row r="248">
          <cell r="A248" t="str">
            <v>Venezuela</v>
          </cell>
        </row>
        <row r="249">
          <cell r="A249" t="str">
            <v>British Virgin Islands</v>
          </cell>
        </row>
        <row r="250">
          <cell r="A250" t="str">
            <v>U.S. Virgin Islands</v>
          </cell>
        </row>
        <row r="251">
          <cell r="A251" t="str">
            <v>Vanuatu</v>
          </cell>
        </row>
        <row r="252">
          <cell r="A252" t="str">
            <v>Wallis &amp; Futuna</v>
          </cell>
        </row>
        <row r="253">
          <cell r="A253" t="str">
            <v>Samoa</v>
          </cell>
        </row>
      </sheetData>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48)"/>
    </sheetNames>
    <sheetDataSet>
      <sheetData sheetId="0" refreshError="1">
        <row r="1">
          <cell r="A1" t="str">
            <v>Kategori: TÃ¼m kategoriler</v>
          </cell>
        </row>
        <row r="3">
          <cell r="A3" t="str">
            <v>Ãœlke</v>
          </cell>
          <cell r="B3" t="str">
            <v>Two-phase locking: (2018)</v>
          </cell>
          <cell r="C3" t="str">
            <v>Concurrency control: (2018)</v>
          </cell>
        </row>
        <row r="4">
          <cell r="A4" t="str">
            <v>China</v>
          </cell>
          <cell r="C4">
            <v>1</v>
          </cell>
        </row>
        <row r="5">
          <cell r="A5" t="str">
            <v>Ethiopia</v>
          </cell>
          <cell r="C5">
            <v>1</v>
          </cell>
        </row>
        <row r="6">
          <cell r="A6" t="str">
            <v>Nepal</v>
          </cell>
          <cell r="C6">
            <v>1</v>
          </cell>
        </row>
        <row r="7">
          <cell r="A7" t="str">
            <v>Zimbabwe</v>
          </cell>
          <cell r="C7">
            <v>1</v>
          </cell>
        </row>
        <row r="8">
          <cell r="A8" t="str">
            <v>Kenya</v>
          </cell>
          <cell r="C8">
            <v>1</v>
          </cell>
        </row>
        <row r="9">
          <cell r="A9" t="str">
            <v>Tanzania</v>
          </cell>
        </row>
        <row r="10">
          <cell r="A10" t="str">
            <v>Sri Lanka</v>
          </cell>
          <cell r="C10">
            <v>1</v>
          </cell>
        </row>
        <row r="11">
          <cell r="A11" t="str">
            <v>India</v>
          </cell>
          <cell r="B11">
            <v>0.31</v>
          </cell>
          <cell r="C11">
            <v>0.69</v>
          </cell>
        </row>
        <row r="12">
          <cell r="A12" t="str">
            <v>Pakistan</v>
          </cell>
          <cell r="B12">
            <v>0.23</v>
          </cell>
          <cell r="C12">
            <v>0.77</v>
          </cell>
        </row>
        <row r="13">
          <cell r="A13" t="str">
            <v>United Kingdom</v>
          </cell>
          <cell r="B13">
            <v>0.96</v>
          </cell>
          <cell r="C13">
            <v>0.04</v>
          </cell>
        </row>
        <row r="14">
          <cell r="A14" t="str">
            <v>Poland</v>
          </cell>
          <cell r="B14">
            <v>1</v>
          </cell>
        </row>
        <row r="15">
          <cell r="A15" t="str">
            <v>Chile</v>
          </cell>
          <cell r="B15">
            <v>1</v>
          </cell>
        </row>
        <row r="16">
          <cell r="A16" t="str">
            <v>Norway</v>
          </cell>
          <cell r="B16">
            <v>1</v>
          </cell>
        </row>
        <row r="17">
          <cell r="A17" t="str">
            <v>Singapore</v>
          </cell>
          <cell r="B17">
            <v>0.45</v>
          </cell>
          <cell r="C17">
            <v>0.55000000000000004</v>
          </cell>
        </row>
        <row r="18">
          <cell r="A18" t="str">
            <v>Ireland</v>
          </cell>
          <cell r="B18">
            <v>0.28000000000000003</v>
          </cell>
          <cell r="C18">
            <v>0.72</v>
          </cell>
        </row>
        <row r="19">
          <cell r="A19" t="str">
            <v>Hong Kong</v>
          </cell>
          <cell r="B19">
            <v>0.47</v>
          </cell>
          <cell r="C19">
            <v>0.53</v>
          </cell>
        </row>
        <row r="20">
          <cell r="A20" t="str">
            <v>South Africa</v>
          </cell>
          <cell r="B20">
            <v>0.37</v>
          </cell>
          <cell r="C20">
            <v>0.63</v>
          </cell>
        </row>
        <row r="21">
          <cell r="A21" t="str">
            <v>South Korea</v>
          </cell>
          <cell r="B21">
            <v>0.61</v>
          </cell>
          <cell r="C21">
            <v>0.39</v>
          </cell>
        </row>
        <row r="22">
          <cell r="A22" t="str">
            <v>Denmark</v>
          </cell>
          <cell r="B22">
            <v>1</v>
          </cell>
        </row>
        <row r="23">
          <cell r="A23" t="str">
            <v>Israel</v>
          </cell>
        </row>
        <row r="24">
          <cell r="A24" t="str">
            <v>Malaysia</v>
          </cell>
          <cell r="B24">
            <v>0.67</v>
          </cell>
          <cell r="C24">
            <v>0.33</v>
          </cell>
        </row>
        <row r="25">
          <cell r="A25" t="str">
            <v>Argentina</v>
          </cell>
          <cell r="B25">
            <v>1</v>
          </cell>
        </row>
        <row r="26">
          <cell r="A26" t="str">
            <v>Vietnam</v>
          </cell>
          <cell r="B26">
            <v>0.66</v>
          </cell>
          <cell r="C26">
            <v>0.34</v>
          </cell>
        </row>
        <row r="27">
          <cell r="A27" t="str">
            <v>Netherlands</v>
          </cell>
          <cell r="B27">
            <v>0.55000000000000004</v>
          </cell>
          <cell r="C27">
            <v>0.45</v>
          </cell>
        </row>
        <row r="28">
          <cell r="A28" t="str">
            <v>Australia</v>
          </cell>
          <cell r="B28">
            <v>0.62</v>
          </cell>
          <cell r="C28">
            <v>0.38</v>
          </cell>
        </row>
        <row r="29">
          <cell r="A29" t="str">
            <v>Philippines</v>
          </cell>
          <cell r="B29">
            <v>0.59</v>
          </cell>
          <cell r="C29">
            <v>0.41</v>
          </cell>
        </row>
        <row r="30">
          <cell r="A30" t="str">
            <v>Saudi Arabia</v>
          </cell>
          <cell r="B30">
            <v>0.46</v>
          </cell>
          <cell r="C30">
            <v>0.54</v>
          </cell>
        </row>
        <row r="31">
          <cell r="A31" t="str">
            <v>New Zealand</v>
          </cell>
          <cell r="B31">
            <v>1</v>
          </cell>
        </row>
        <row r="32">
          <cell r="A32" t="str">
            <v>Iran</v>
          </cell>
          <cell r="B32">
            <v>0.18</v>
          </cell>
          <cell r="C32">
            <v>0.82</v>
          </cell>
        </row>
        <row r="33">
          <cell r="A33" t="str">
            <v>Canada</v>
          </cell>
          <cell r="B33">
            <v>0.62</v>
          </cell>
          <cell r="C33">
            <v>0.38</v>
          </cell>
        </row>
        <row r="34">
          <cell r="A34" t="str">
            <v>Sweden</v>
          </cell>
          <cell r="B34">
            <v>1</v>
          </cell>
        </row>
        <row r="35">
          <cell r="A35" t="str">
            <v>United States</v>
          </cell>
          <cell r="B35">
            <v>0.49</v>
          </cell>
          <cell r="C35">
            <v>0.51</v>
          </cell>
        </row>
        <row r="36">
          <cell r="A36" t="str">
            <v>Spain</v>
          </cell>
          <cell r="B36">
            <v>1</v>
          </cell>
        </row>
        <row r="37">
          <cell r="A37" t="str">
            <v>Thailand</v>
          </cell>
          <cell r="B37">
            <v>0.55000000000000004</v>
          </cell>
          <cell r="C37">
            <v>0.45</v>
          </cell>
        </row>
        <row r="38">
          <cell r="A38" t="str">
            <v>Taiwan</v>
          </cell>
          <cell r="B38">
            <v>0.22</v>
          </cell>
          <cell r="C38">
            <v>0.78</v>
          </cell>
        </row>
        <row r="39">
          <cell r="A39" t="str">
            <v>Mexico</v>
          </cell>
          <cell r="B39">
            <v>1</v>
          </cell>
        </row>
        <row r="40">
          <cell r="A40" t="str">
            <v>Italy</v>
          </cell>
          <cell r="B40">
            <v>1</v>
          </cell>
        </row>
        <row r="41">
          <cell r="A41" t="str">
            <v>Indonesia</v>
          </cell>
          <cell r="B41">
            <v>0.56999999999999995</v>
          </cell>
          <cell r="C41">
            <v>0.43</v>
          </cell>
        </row>
        <row r="42">
          <cell r="A42" t="str">
            <v>Germany</v>
          </cell>
          <cell r="B42">
            <v>0.46</v>
          </cell>
          <cell r="C42">
            <v>0.54</v>
          </cell>
        </row>
        <row r="43">
          <cell r="A43" t="str">
            <v>Turkey</v>
          </cell>
          <cell r="B43">
            <v>0.79</v>
          </cell>
          <cell r="C43">
            <v>0.21</v>
          </cell>
        </row>
        <row r="44">
          <cell r="A44" t="str">
            <v>Brazil</v>
          </cell>
          <cell r="B44">
            <v>1</v>
          </cell>
        </row>
        <row r="45">
          <cell r="A45" t="str">
            <v>Japan</v>
          </cell>
          <cell r="B45">
            <v>0.36</v>
          </cell>
          <cell r="C45">
            <v>0.64</v>
          </cell>
        </row>
        <row r="46">
          <cell r="A46" t="str">
            <v>France</v>
          </cell>
          <cell r="B46">
            <v>0.4</v>
          </cell>
          <cell r="C46">
            <v>0.6</v>
          </cell>
        </row>
        <row r="47">
          <cell r="A47" t="str">
            <v>Lesotho</v>
          </cell>
        </row>
        <row r="48">
          <cell r="A48" t="str">
            <v>Isle of Man</v>
          </cell>
        </row>
        <row r="49">
          <cell r="A49" t="str">
            <v>Malawi</v>
          </cell>
        </row>
        <row r="50">
          <cell r="A50" t="str">
            <v>Zambia</v>
          </cell>
        </row>
        <row r="51">
          <cell r="A51" t="str">
            <v>North Macedonia</v>
          </cell>
        </row>
        <row r="52">
          <cell r="A52" t="str">
            <v>St. Helena</v>
          </cell>
        </row>
        <row r="53">
          <cell r="A53" t="str">
            <v>Mauritius</v>
          </cell>
        </row>
        <row r="54">
          <cell r="A54" t="str">
            <v>Bahrain</v>
          </cell>
        </row>
        <row r="55">
          <cell r="A55" t="str">
            <v>Albania</v>
          </cell>
        </row>
        <row r="56">
          <cell r="A56" t="str">
            <v>Oman</v>
          </cell>
        </row>
        <row r="57">
          <cell r="A57" t="str">
            <v>Cyprus</v>
          </cell>
        </row>
        <row r="58">
          <cell r="A58" t="str">
            <v>Uruguay</v>
          </cell>
        </row>
        <row r="59">
          <cell r="A59" t="str">
            <v>Lithuania</v>
          </cell>
        </row>
        <row r="60">
          <cell r="A60" t="str">
            <v>Kyrgyzstan</v>
          </cell>
        </row>
        <row r="61">
          <cell r="A61" t="str">
            <v>Slovakia</v>
          </cell>
        </row>
        <row r="62">
          <cell r="A62" t="str">
            <v>Ghana</v>
          </cell>
        </row>
        <row r="63">
          <cell r="A63" t="str">
            <v>Latvia</v>
          </cell>
        </row>
        <row r="64">
          <cell r="A64" t="str">
            <v>Costa Rica</v>
          </cell>
        </row>
        <row r="65">
          <cell r="A65" t="str">
            <v>Ecuador</v>
          </cell>
        </row>
        <row r="66">
          <cell r="A66" t="str">
            <v>Kuwait</v>
          </cell>
        </row>
        <row r="67">
          <cell r="A67" t="str">
            <v>Jordan</v>
          </cell>
        </row>
        <row r="68">
          <cell r="A68" t="str">
            <v>Bulgaria</v>
          </cell>
        </row>
        <row r="69">
          <cell r="A69" t="str">
            <v>Romania</v>
          </cell>
        </row>
        <row r="70">
          <cell r="A70" t="str">
            <v>United Arab Emirates</v>
          </cell>
        </row>
        <row r="71">
          <cell r="A71" t="str">
            <v>Hungary</v>
          </cell>
        </row>
        <row r="72">
          <cell r="A72" t="str">
            <v>Nigeria</v>
          </cell>
        </row>
        <row r="73">
          <cell r="A73" t="str">
            <v>Peru</v>
          </cell>
        </row>
        <row r="74">
          <cell r="A74" t="str">
            <v>Belgium</v>
          </cell>
        </row>
        <row r="75">
          <cell r="A75" t="str">
            <v>Greece</v>
          </cell>
        </row>
        <row r="76">
          <cell r="A76" t="str">
            <v>Finland</v>
          </cell>
        </row>
        <row r="77">
          <cell r="A77" t="str">
            <v>Portugal</v>
          </cell>
        </row>
        <row r="78">
          <cell r="A78" t="str">
            <v>Czechia</v>
          </cell>
        </row>
        <row r="79">
          <cell r="A79" t="str">
            <v>Switzerland</v>
          </cell>
        </row>
        <row r="80">
          <cell r="A80" t="str">
            <v>Croatia</v>
          </cell>
        </row>
        <row r="81">
          <cell r="A81" t="str">
            <v>Belarus</v>
          </cell>
        </row>
        <row r="82">
          <cell r="A82" t="str">
            <v>Bangladesh</v>
          </cell>
        </row>
        <row r="83">
          <cell r="A83" t="str">
            <v>Algeria</v>
          </cell>
        </row>
        <row r="84">
          <cell r="A84" t="str">
            <v>Colombia</v>
          </cell>
        </row>
        <row r="85">
          <cell r="A85" t="str">
            <v>Austria</v>
          </cell>
        </row>
        <row r="86">
          <cell r="A86" t="str">
            <v>Egypt</v>
          </cell>
        </row>
        <row r="87">
          <cell r="A87" t="str">
            <v>Ukraine</v>
          </cell>
        </row>
        <row r="88">
          <cell r="A88" t="str">
            <v>Russia</v>
          </cell>
        </row>
        <row r="89">
          <cell r="A89" t="str">
            <v>Aruba</v>
          </cell>
        </row>
        <row r="90">
          <cell r="A90" t="str">
            <v>Afghanistan</v>
          </cell>
        </row>
        <row r="91">
          <cell r="A91" t="str">
            <v>Angola</v>
          </cell>
        </row>
        <row r="92">
          <cell r="A92" t="str">
            <v>Anguilla</v>
          </cell>
        </row>
        <row r="93">
          <cell r="A93" t="str">
            <v>Ã…land Islands</v>
          </cell>
        </row>
        <row r="94">
          <cell r="A94" t="str">
            <v>Andorra</v>
          </cell>
        </row>
        <row r="95">
          <cell r="A95" t="str">
            <v>Armenia</v>
          </cell>
        </row>
        <row r="96">
          <cell r="A96" t="str">
            <v>American Samoa</v>
          </cell>
        </row>
        <row r="97">
          <cell r="A97" t="str">
            <v>Antarctica</v>
          </cell>
        </row>
        <row r="98">
          <cell r="A98" t="str">
            <v>French Southern Territories</v>
          </cell>
        </row>
        <row r="99">
          <cell r="A99" t="str">
            <v>Antigua &amp; Barbuda</v>
          </cell>
        </row>
        <row r="100">
          <cell r="A100" t="str">
            <v>Azerbaijan</v>
          </cell>
        </row>
        <row r="101">
          <cell r="A101" t="str">
            <v>Burundi</v>
          </cell>
        </row>
        <row r="102">
          <cell r="A102" t="str">
            <v>Benin</v>
          </cell>
        </row>
        <row r="103">
          <cell r="A103" t="str">
            <v>Caribbean Netherlands</v>
          </cell>
        </row>
        <row r="104">
          <cell r="A104" t="str">
            <v>Burkina Faso</v>
          </cell>
        </row>
        <row r="105">
          <cell r="A105" t="str">
            <v>Bahamas</v>
          </cell>
        </row>
        <row r="106">
          <cell r="A106" t="str">
            <v>Bosnia &amp; Herzegovina</v>
          </cell>
        </row>
        <row r="107">
          <cell r="A107" t="str">
            <v>St. BarthÃ©lemy</v>
          </cell>
        </row>
        <row r="108">
          <cell r="A108" t="str">
            <v>Belize</v>
          </cell>
        </row>
        <row r="109">
          <cell r="A109" t="str">
            <v>Bermuda</v>
          </cell>
        </row>
        <row r="110">
          <cell r="A110" t="str">
            <v>Bolivia</v>
          </cell>
        </row>
        <row r="111">
          <cell r="A111" t="str">
            <v>Barbados</v>
          </cell>
        </row>
        <row r="112">
          <cell r="A112" t="str">
            <v>Brunei</v>
          </cell>
        </row>
        <row r="113">
          <cell r="A113" t="str">
            <v>Bhutan</v>
          </cell>
        </row>
        <row r="114">
          <cell r="A114" t="str">
            <v>Bouvet Island</v>
          </cell>
        </row>
        <row r="115">
          <cell r="A115" t="str">
            <v>Botswana</v>
          </cell>
        </row>
        <row r="116">
          <cell r="A116" t="str">
            <v>Central African Republic</v>
          </cell>
        </row>
        <row r="117">
          <cell r="A117" t="str">
            <v>Cocos (Keeling) Islands</v>
          </cell>
        </row>
        <row r="118">
          <cell r="A118" t="str">
            <v>CÃ´te dâ€™Ivoire</v>
          </cell>
        </row>
        <row r="119">
          <cell r="A119" t="str">
            <v>Cameroon</v>
          </cell>
        </row>
        <row r="120">
          <cell r="A120" t="str">
            <v>Congo - Kinshasa</v>
          </cell>
        </row>
        <row r="121">
          <cell r="A121" t="str">
            <v>Congo - Brazzaville</v>
          </cell>
        </row>
        <row r="122">
          <cell r="A122" t="str">
            <v>Cook Islands</v>
          </cell>
        </row>
        <row r="123">
          <cell r="A123" t="str">
            <v>Comoros</v>
          </cell>
        </row>
        <row r="124">
          <cell r="A124" t="str">
            <v>Cape Verde</v>
          </cell>
        </row>
        <row r="125">
          <cell r="A125" t="str">
            <v>Cuba</v>
          </cell>
        </row>
        <row r="126">
          <cell r="A126" t="str">
            <v>CuraÃ§ao</v>
          </cell>
        </row>
        <row r="127">
          <cell r="A127" t="str">
            <v>Christmas Island</v>
          </cell>
        </row>
        <row r="128">
          <cell r="A128" t="str">
            <v>Cayman Islands</v>
          </cell>
        </row>
        <row r="129">
          <cell r="A129" t="str">
            <v>Djibouti</v>
          </cell>
        </row>
        <row r="130">
          <cell r="A130" t="str">
            <v>Dominica</v>
          </cell>
        </row>
        <row r="131">
          <cell r="A131" t="str">
            <v>Dominican Republic</v>
          </cell>
        </row>
        <row r="132">
          <cell r="A132" t="str">
            <v>Eritrea</v>
          </cell>
        </row>
        <row r="133">
          <cell r="A133" t="str">
            <v>Western Sahara</v>
          </cell>
        </row>
        <row r="134">
          <cell r="A134" t="str">
            <v>Estonia</v>
          </cell>
        </row>
        <row r="135">
          <cell r="A135" t="str">
            <v>Fiji</v>
          </cell>
        </row>
        <row r="136">
          <cell r="A136" t="str">
            <v>Falkland Islands (Islas Malvinas)</v>
          </cell>
        </row>
        <row r="137">
          <cell r="A137" t="str">
            <v>Faroe Islands</v>
          </cell>
        </row>
        <row r="138">
          <cell r="A138" t="str">
            <v>Micronesia</v>
          </cell>
        </row>
        <row r="139">
          <cell r="A139" t="str">
            <v>Gabon</v>
          </cell>
        </row>
        <row r="140">
          <cell r="A140" t="str">
            <v>Georgia</v>
          </cell>
        </row>
        <row r="141">
          <cell r="A141" t="str">
            <v>Guernsey</v>
          </cell>
        </row>
        <row r="142">
          <cell r="A142" t="str">
            <v>Gibraltar</v>
          </cell>
        </row>
        <row r="143">
          <cell r="A143" t="str">
            <v>Guinea</v>
          </cell>
        </row>
        <row r="144">
          <cell r="A144" t="str">
            <v>Guadeloupe</v>
          </cell>
        </row>
        <row r="145">
          <cell r="A145" t="str">
            <v>Gambia</v>
          </cell>
        </row>
        <row r="146">
          <cell r="A146" t="str">
            <v>Guinea-Bissau</v>
          </cell>
        </row>
        <row r="147">
          <cell r="A147" t="str">
            <v>Equatorial Guinea</v>
          </cell>
        </row>
        <row r="148">
          <cell r="A148" t="str">
            <v>Grenada</v>
          </cell>
        </row>
        <row r="149">
          <cell r="A149" t="str">
            <v>Greenland</v>
          </cell>
        </row>
        <row r="150">
          <cell r="A150" t="str">
            <v>Guatemala</v>
          </cell>
        </row>
        <row r="151">
          <cell r="A151" t="str">
            <v>French Guiana</v>
          </cell>
        </row>
        <row r="152">
          <cell r="A152" t="str">
            <v>Guam</v>
          </cell>
        </row>
        <row r="153">
          <cell r="A153" t="str">
            <v>Guyana</v>
          </cell>
        </row>
        <row r="154">
          <cell r="A154" t="str">
            <v>Heard &amp; McDonald Islands</v>
          </cell>
        </row>
        <row r="155">
          <cell r="A155" t="str">
            <v>Honduras</v>
          </cell>
        </row>
        <row r="156">
          <cell r="A156" t="str">
            <v>Haiti</v>
          </cell>
        </row>
        <row r="157">
          <cell r="A157" t="str">
            <v>British Indian Ocean Territory</v>
          </cell>
        </row>
        <row r="158">
          <cell r="A158" t="str">
            <v>Iraq</v>
          </cell>
        </row>
        <row r="159">
          <cell r="A159" t="str">
            <v>Iceland</v>
          </cell>
        </row>
        <row r="160">
          <cell r="A160" t="str">
            <v>Jamaica</v>
          </cell>
        </row>
        <row r="161">
          <cell r="A161" t="str">
            <v>Jersey</v>
          </cell>
        </row>
        <row r="162">
          <cell r="A162" t="str">
            <v>Kazakhstan</v>
          </cell>
        </row>
        <row r="163">
          <cell r="A163" t="str">
            <v>Cambodia</v>
          </cell>
        </row>
        <row r="164">
          <cell r="A164" t="str">
            <v>Kiribati</v>
          </cell>
        </row>
        <row r="165">
          <cell r="A165" t="str">
            <v>St. Kitts &amp; Nevis</v>
          </cell>
        </row>
        <row r="166">
          <cell r="A166" t="str">
            <v>Laos</v>
          </cell>
        </row>
        <row r="167">
          <cell r="A167" t="str">
            <v>Lebanon</v>
          </cell>
        </row>
        <row r="168">
          <cell r="A168" t="str">
            <v>Liberia</v>
          </cell>
        </row>
        <row r="169">
          <cell r="A169" t="str">
            <v>Libya</v>
          </cell>
        </row>
        <row r="170">
          <cell r="A170" t="str">
            <v>St. Lucia</v>
          </cell>
        </row>
        <row r="171">
          <cell r="A171" t="str">
            <v>Liechtenstein</v>
          </cell>
        </row>
        <row r="172">
          <cell r="A172" t="str">
            <v>Luxembourg</v>
          </cell>
        </row>
        <row r="173">
          <cell r="A173" t="str">
            <v>Macao</v>
          </cell>
        </row>
        <row r="174">
          <cell r="A174" t="str">
            <v>St. Martin</v>
          </cell>
        </row>
        <row r="175">
          <cell r="A175" t="str">
            <v>Morocco</v>
          </cell>
        </row>
        <row r="176">
          <cell r="A176" t="str">
            <v>Monaco</v>
          </cell>
        </row>
        <row r="177">
          <cell r="A177" t="str">
            <v>Moldova</v>
          </cell>
        </row>
        <row r="178">
          <cell r="A178" t="str">
            <v>Madagascar</v>
          </cell>
        </row>
        <row r="179">
          <cell r="A179" t="str">
            <v>Maldives</v>
          </cell>
        </row>
        <row r="180">
          <cell r="A180" t="str">
            <v>Marshall Islands</v>
          </cell>
        </row>
        <row r="181">
          <cell r="A181" t="str">
            <v>Mali</v>
          </cell>
        </row>
        <row r="182">
          <cell r="A182" t="str">
            <v>Malta</v>
          </cell>
        </row>
        <row r="183">
          <cell r="A183" t="str">
            <v>Myanmar (Burma)</v>
          </cell>
        </row>
        <row r="184">
          <cell r="A184" t="str">
            <v>Montenegro</v>
          </cell>
        </row>
        <row r="185">
          <cell r="A185" t="str">
            <v>Mongolia</v>
          </cell>
        </row>
        <row r="186">
          <cell r="A186" t="str">
            <v>Northern Mariana Islands</v>
          </cell>
        </row>
        <row r="187">
          <cell r="A187" t="str">
            <v>Mozambique</v>
          </cell>
        </row>
        <row r="188">
          <cell r="A188" t="str">
            <v>Mauritania</v>
          </cell>
        </row>
        <row r="189">
          <cell r="A189" t="str">
            <v>Montserrat</v>
          </cell>
        </row>
        <row r="190">
          <cell r="A190" t="str">
            <v>Martinique</v>
          </cell>
        </row>
        <row r="191">
          <cell r="A191" t="str">
            <v>Mayotte</v>
          </cell>
        </row>
        <row r="192">
          <cell r="A192" t="str">
            <v>Namibia</v>
          </cell>
        </row>
        <row r="193">
          <cell r="A193" t="str">
            <v>New Caledonia</v>
          </cell>
        </row>
        <row r="194">
          <cell r="A194" t="str">
            <v>Niger</v>
          </cell>
        </row>
        <row r="195">
          <cell r="A195" t="str">
            <v>Norfolk Island</v>
          </cell>
        </row>
        <row r="196">
          <cell r="A196" t="str">
            <v>Nicaragua</v>
          </cell>
        </row>
        <row r="197">
          <cell r="A197" t="str">
            <v>Niue</v>
          </cell>
        </row>
        <row r="198">
          <cell r="A198" t="str">
            <v>Nauru</v>
          </cell>
        </row>
        <row r="199">
          <cell r="A199" t="str">
            <v>Panama</v>
          </cell>
        </row>
        <row r="200">
          <cell r="A200" t="str">
            <v>Pitcairn Islands</v>
          </cell>
        </row>
        <row r="201">
          <cell r="A201" t="str">
            <v>Palau</v>
          </cell>
        </row>
        <row r="202">
          <cell r="A202" t="str">
            <v>Papua New Guinea</v>
          </cell>
        </row>
        <row r="203">
          <cell r="A203" t="str">
            <v>Puerto Rico</v>
          </cell>
        </row>
        <row r="204">
          <cell r="A204" t="str">
            <v>North Korea</v>
          </cell>
        </row>
        <row r="205">
          <cell r="A205" t="str">
            <v>Paraguay</v>
          </cell>
        </row>
        <row r="206">
          <cell r="A206" t="str">
            <v>Palestine</v>
          </cell>
        </row>
        <row r="207">
          <cell r="A207" t="str">
            <v>French Polynesia</v>
          </cell>
        </row>
        <row r="208">
          <cell r="A208" t="str">
            <v>Qatar</v>
          </cell>
        </row>
        <row r="209">
          <cell r="A209" t="str">
            <v>RÃ©union</v>
          </cell>
        </row>
        <row r="210">
          <cell r="A210" t="str">
            <v>Rwanda</v>
          </cell>
        </row>
        <row r="211">
          <cell r="A211" t="str">
            <v>Sudan</v>
          </cell>
        </row>
        <row r="212">
          <cell r="A212" t="str">
            <v>Senegal</v>
          </cell>
        </row>
        <row r="213">
          <cell r="A213" t="str">
            <v>South Georgia &amp; South Sandwich Islands</v>
          </cell>
        </row>
        <row r="214">
          <cell r="A214" t="str">
            <v>Svalbard &amp; Jan Mayen</v>
          </cell>
        </row>
        <row r="215">
          <cell r="A215" t="str">
            <v>Solomon Islands</v>
          </cell>
        </row>
        <row r="216">
          <cell r="A216" t="str">
            <v>Sierra Leone</v>
          </cell>
        </row>
        <row r="217">
          <cell r="A217" t="str">
            <v>El Salvador</v>
          </cell>
        </row>
        <row r="218">
          <cell r="A218" t="str">
            <v>San Marino</v>
          </cell>
        </row>
        <row r="219">
          <cell r="A219" t="str">
            <v>Somalia</v>
          </cell>
        </row>
        <row r="220">
          <cell r="A220" t="str">
            <v>St. Pierre &amp; Miquelon</v>
          </cell>
        </row>
        <row r="221">
          <cell r="A221" t="str">
            <v>Serbia</v>
          </cell>
        </row>
        <row r="222">
          <cell r="A222" t="str">
            <v>South Sudan</v>
          </cell>
        </row>
        <row r="223">
          <cell r="A223" t="str">
            <v>SÃ£o TomÃ© &amp; PrÃ­ncipe</v>
          </cell>
        </row>
        <row r="224">
          <cell r="A224" t="str">
            <v>Suriname</v>
          </cell>
        </row>
        <row r="225">
          <cell r="A225" t="str">
            <v>Slovenia</v>
          </cell>
        </row>
        <row r="226">
          <cell r="A226" t="str">
            <v>Eswatini</v>
          </cell>
        </row>
        <row r="227">
          <cell r="A227" t="str">
            <v>Sint Maarten</v>
          </cell>
        </row>
        <row r="228">
          <cell r="A228" t="str">
            <v>Seychelles</v>
          </cell>
        </row>
        <row r="229">
          <cell r="A229" t="str">
            <v>Syria</v>
          </cell>
        </row>
        <row r="230">
          <cell r="A230" t="str">
            <v>Turks &amp; Caicos Islands</v>
          </cell>
        </row>
        <row r="231">
          <cell r="A231" t="str">
            <v>Chad</v>
          </cell>
        </row>
        <row r="232">
          <cell r="A232" t="str">
            <v>Togo</v>
          </cell>
        </row>
        <row r="233">
          <cell r="A233" t="str">
            <v>Tajikistan</v>
          </cell>
        </row>
        <row r="234">
          <cell r="A234" t="str">
            <v>Tokelau</v>
          </cell>
        </row>
        <row r="235">
          <cell r="A235" t="str">
            <v>Turkmenistan</v>
          </cell>
        </row>
        <row r="236">
          <cell r="A236" t="str">
            <v>Timor-Leste</v>
          </cell>
        </row>
        <row r="237">
          <cell r="A237" t="str">
            <v>Tonga</v>
          </cell>
        </row>
        <row r="238">
          <cell r="A238" t="str">
            <v>Trinidad &amp; Tobago</v>
          </cell>
        </row>
        <row r="239">
          <cell r="A239" t="str">
            <v>Tunisia</v>
          </cell>
        </row>
        <row r="240">
          <cell r="A240" t="str">
            <v>Tuvalu</v>
          </cell>
        </row>
        <row r="241">
          <cell r="A241" t="str">
            <v>Uganda</v>
          </cell>
        </row>
        <row r="242">
          <cell r="A242" t="str">
            <v>U.S. Outlying Islands</v>
          </cell>
        </row>
        <row r="243">
          <cell r="A243" t="str">
            <v>Uzbekistan</v>
          </cell>
        </row>
        <row r="244">
          <cell r="A244" t="str">
            <v>Vatican City</v>
          </cell>
        </row>
        <row r="245">
          <cell r="A245" t="str">
            <v>St. Vincent &amp; Grenadines</v>
          </cell>
        </row>
        <row r="246">
          <cell r="A246" t="str">
            <v>Venezuela</v>
          </cell>
        </row>
        <row r="247">
          <cell r="A247" t="str">
            <v>British Virgin Islands</v>
          </cell>
        </row>
        <row r="248">
          <cell r="A248" t="str">
            <v>U.S. Virgin Islands</v>
          </cell>
        </row>
        <row r="249">
          <cell r="A249" t="str">
            <v>Vanuatu</v>
          </cell>
        </row>
        <row r="250">
          <cell r="A250" t="str">
            <v>Wallis &amp; Futuna</v>
          </cell>
        </row>
        <row r="251">
          <cell r="A251" t="str">
            <v>Samoa</v>
          </cell>
        </row>
        <row r="252">
          <cell r="A252" t="str">
            <v>Kosovo</v>
          </cell>
        </row>
        <row r="253">
          <cell r="A253" t="str">
            <v>Yemen</v>
          </cell>
        </row>
      </sheetData>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49)"/>
    </sheetNames>
    <sheetDataSet>
      <sheetData sheetId="0" refreshError="1">
        <row r="1">
          <cell r="A1" t="str">
            <v>Kategori: TÃ¼m kategoriler</v>
          </cell>
        </row>
        <row r="3">
          <cell r="A3" t="str">
            <v>Ãœlke</v>
          </cell>
          <cell r="B3" t="str">
            <v>Concurrency control: (2018)</v>
          </cell>
          <cell r="C3" t="str">
            <v>Sonlanma problemi: (2018)</v>
          </cell>
        </row>
        <row r="4">
          <cell r="A4" t="str">
            <v>China</v>
          </cell>
          <cell r="B4">
            <v>0.9</v>
          </cell>
          <cell r="C4">
            <v>0.1</v>
          </cell>
        </row>
        <row r="5">
          <cell r="A5" t="str">
            <v>Ethiopia</v>
          </cell>
          <cell r="B5">
            <v>1</v>
          </cell>
        </row>
        <row r="6">
          <cell r="A6" t="str">
            <v>Nepal</v>
          </cell>
          <cell r="B6">
            <v>1</v>
          </cell>
        </row>
        <row r="7">
          <cell r="A7" t="str">
            <v>Malawi</v>
          </cell>
          <cell r="B7">
            <v>1</v>
          </cell>
        </row>
        <row r="8">
          <cell r="A8" t="str">
            <v>Zimbabwe</v>
          </cell>
          <cell r="B8">
            <v>1</v>
          </cell>
        </row>
        <row r="9">
          <cell r="A9" t="str">
            <v>Kenya</v>
          </cell>
          <cell r="B9">
            <v>1</v>
          </cell>
        </row>
        <row r="10">
          <cell r="A10" t="str">
            <v>Tanzania</v>
          </cell>
          <cell r="B10">
            <v>1</v>
          </cell>
        </row>
        <row r="11">
          <cell r="A11" t="str">
            <v>Sri Lanka</v>
          </cell>
          <cell r="B11">
            <v>1</v>
          </cell>
        </row>
        <row r="12">
          <cell r="A12" t="str">
            <v>India</v>
          </cell>
          <cell r="B12">
            <v>0.79</v>
          </cell>
          <cell r="C12">
            <v>0.21</v>
          </cell>
        </row>
        <row r="13">
          <cell r="A13" t="str">
            <v>Israel</v>
          </cell>
          <cell r="C13">
            <v>1</v>
          </cell>
        </row>
        <row r="14">
          <cell r="A14" t="str">
            <v>Pakistan</v>
          </cell>
          <cell r="B14">
            <v>0.86</v>
          </cell>
          <cell r="C14">
            <v>0.14000000000000001</v>
          </cell>
        </row>
        <row r="15">
          <cell r="A15" t="str">
            <v>South Korea</v>
          </cell>
          <cell r="B15">
            <v>0.25</v>
          </cell>
          <cell r="C15">
            <v>0.75</v>
          </cell>
        </row>
        <row r="16">
          <cell r="A16" t="str">
            <v>Singapore</v>
          </cell>
          <cell r="B16">
            <v>0.71</v>
          </cell>
          <cell r="C16">
            <v>0.28999999999999998</v>
          </cell>
        </row>
        <row r="17">
          <cell r="A17" t="str">
            <v>Ireland</v>
          </cell>
          <cell r="B17">
            <v>0.77</v>
          </cell>
          <cell r="C17">
            <v>0.23</v>
          </cell>
        </row>
        <row r="18">
          <cell r="A18" t="str">
            <v>Hong Kong</v>
          </cell>
          <cell r="B18">
            <v>1</v>
          </cell>
        </row>
        <row r="19">
          <cell r="A19" t="str">
            <v>Egypt</v>
          </cell>
          <cell r="C19">
            <v>1</v>
          </cell>
        </row>
        <row r="20">
          <cell r="A20" t="str">
            <v>South Africa</v>
          </cell>
          <cell r="B20">
            <v>1</v>
          </cell>
        </row>
        <row r="21">
          <cell r="A21" t="str">
            <v>Germany</v>
          </cell>
          <cell r="B21">
            <v>0.16</v>
          </cell>
          <cell r="C21">
            <v>0.84</v>
          </cell>
        </row>
        <row r="22">
          <cell r="A22" t="str">
            <v>Finland</v>
          </cell>
          <cell r="C22">
            <v>1</v>
          </cell>
        </row>
        <row r="23">
          <cell r="A23" t="str">
            <v>Switzerland</v>
          </cell>
          <cell r="C23">
            <v>1</v>
          </cell>
        </row>
        <row r="24">
          <cell r="A24" t="str">
            <v>Czechia</v>
          </cell>
          <cell r="C24">
            <v>1</v>
          </cell>
        </row>
        <row r="25">
          <cell r="A25" t="str">
            <v>France</v>
          </cell>
          <cell r="B25">
            <v>7.0000000000000007E-2</v>
          </cell>
          <cell r="C25">
            <v>0.93</v>
          </cell>
        </row>
        <row r="26">
          <cell r="A26" t="str">
            <v>Canada</v>
          </cell>
          <cell r="B26">
            <v>0.23</v>
          </cell>
          <cell r="C26">
            <v>0.77</v>
          </cell>
        </row>
        <row r="27">
          <cell r="A27" t="str">
            <v>New Zealand</v>
          </cell>
          <cell r="C27">
            <v>1</v>
          </cell>
        </row>
        <row r="28">
          <cell r="A28" t="str">
            <v>Taiwan</v>
          </cell>
          <cell r="B28">
            <v>0.28999999999999998</v>
          </cell>
          <cell r="C28">
            <v>0.71</v>
          </cell>
        </row>
        <row r="29">
          <cell r="A29" t="str">
            <v>Austria</v>
          </cell>
          <cell r="C29">
            <v>1</v>
          </cell>
        </row>
        <row r="30">
          <cell r="A30" t="str">
            <v>Denmark</v>
          </cell>
          <cell r="C30">
            <v>1</v>
          </cell>
        </row>
        <row r="31">
          <cell r="A31" t="str">
            <v>United Kingdom</v>
          </cell>
          <cell r="B31">
            <v>0.15</v>
          </cell>
          <cell r="C31">
            <v>0.85</v>
          </cell>
        </row>
        <row r="32">
          <cell r="A32" t="str">
            <v>United States</v>
          </cell>
          <cell r="B32">
            <v>0.38</v>
          </cell>
          <cell r="C32">
            <v>0.62</v>
          </cell>
        </row>
        <row r="33">
          <cell r="A33" t="str">
            <v>Romania</v>
          </cell>
          <cell r="C33">
            <v>1</v>
          </cell>
        </row>
        <row r="34">
          <cell r="A34" t="str">
            <v>Greece</v>
          </cell>
          <cell r="C34">
            <v>1</v>
          </cell>
        </row>
        <row r="35">
          <cell r="A35" t="str">
            <v>Australia</v>
          </cell>
          <cell r="B35">
            <v>0.39</v>
          </cell>
          <cell r="C35">
            <v>0.61</v>
          </cell>
        </row>
        <row r="36">
          <cell r="A36" t="str">
            <v>Nigeria</v>
          </cell>
          <cell r="B36">
            <v>0.5</v>
          </cell>
          <cell r="C36">
            <v>0.5</v>
          </cell>
        </row>
        <row r="37">
          <cell r="A37" t="str">
            <v>Saudi Arabia</v>
          </cell>
          <cell r="B37">
            <v>1</v>
          </cell>
        </row>
        <row r="38">
          <cell r="A38" t="str">
            <v>Belgium</v>
          </cell>
          <cell r="C38">
            <v>1</v>
          </cell>
        </row>
        <row r="39">
          <cell r="A39" t="str">
            <v>Japan</v>
          </cell>
          <cell r="B39">
            <v>0.21</v>
          </cell>
          <cell r="C39">
            <v>0.79</v>
          </cell>
        </row>
        <row r="40">
          <cell r="A40" t="str">
            <v>Netherlands</v>
          </cell>
          <cell r="B40">
            <v>0.54</v>
          </cell>
          <cell r="C40">
            <v>0.46</v>
          </cell>
        </row>
        <row r="41">
          <cell r="A41" t="str">
            <v>Iran</v>
          </cell>
          <cell r="B41">
            <v>1</v>
          </cell>
        </row>
        <row r="42">
          <cell r="A42" t="str">
            <v>Philippines</v>
          </cell>
          <cell r="B42">
            <v>0.78</v>
          </cell>
          <cell r="C42">
            <v>0.22</v>
          </cell>
        </row>
        <row r="43">
          <cell r="A43" t="str">
            <v>Malaysia</v>
          </cell>
          <cell r="B43">
            <v>0.6</v>
          </cell>
          <cell r="C43">
            <v>0.4</v>
          </cell>
        </row>
        <row r="44">
          <cell r="A44" t="str">
            <v>Vietnam</v>
          </cell>
          <cell r="B44">
            <v>0.5</v>
          </cell>
          <cell r="C44">
            <v>0.5</v>
          </cell>
        </row>
        <row r="45">
          <cell r="A45" t="str">
            <v>Sweden</v>
          </cell>
          <cell r="C45">
            <v>1</v>
          </cell>
        </row>
        <row r="46">
          <cell r="A46" t="str">
            <v>Thailand</v>
          </cell>
          <cell r="B46">
            <v>1</v>
          </cell>
        </row>
        <row r="47">
          <cell r="A47" t="str">
            <v>Poland</v>
          </cell>
          <cell r="C47">
            <v>1</v>
          </cell>
        </row>
        <row r="48">
          <cell r="A48" t="str">
            <v>Spain</v>
          </cell>
          <cell r="C48">
            <v>1</v>
          </cell>
        </row>
        <row r="49">
          <cell r="A49" t="str">
            <v>Mexico</v>
          </cell>
          <cell r="C49">
            <v>1</v>
          </cell>
        </row>
        <row r="50">
          <cell r="A50" t="str">
            <v>Italy</v>
          </cell>
          <cell r="C50">
            <v>1</v>
          </cell>
        </row>
        <row r="51">
          <cell r="A51" t="str">
            <v>Peru</v>
          </cell>
          <cell r="C51">
            <v>1</v>
          </cell>
        </row>
        <row r="52">
          <cell r="A52" t="str">
            <v>Russia</v>
          </cell>
          <cell r="C52">
            <v>1</v>
          </cell>
        </row>
        <row r="53">
          <cell r="A53" t="str">
            <v>Brazil</v>
          </cell>
          <cell r="C53">
            <v>1</v>
          </cell>
        </row>
        <row r="54">
          <cell r="A54" t="str">
            <v>Indonesia</v>
          </cell>
          <cell r="B54">
            <v>0.86</v>
          </cell>
          <cell r="C54">
            <v>0.14000000000000001</v>
          </cell>
        </row>
        <row r="55">
          <cell r="A55" t="str">
            <v>Turkey</v>
          </cell>
          <cell r="B55">
            <v>0.5</v>
          </cell>
          <cell r="C55">
            <v>0.5</v>
          </cell>
        </row>
        <row r="56">
          <cell r="A56" t="str">
            <v>Bhutan</v>
          </cell>
        </row>
        <row r="57">
          <cell r="A57" t="str">
            <v>Lesotho</v>
          </cell>
        </row>
        <row r="58">
          <cell r="A58" t="str">
            <v>Guyana</v>
          </cell>
        </row>
        <row r="59">
          <cell r="A59" t="str">
            <v>Namibia</v>
          </cell>
        </row>
        <row r="60">
          <cell r="A60" t="str">
            <v>Afghanistan</v>
          </cell>
        </row>
        <row r="61">
          <cell r="A61" t="str">
            <v>Mauritius</v>
          </cell>
        </row>
        <row r="62">
          <cell r="A62" t="str">
            <v>Sudan</v>
          </cell>
        </row>
        <row r="63">
          <cell r="A63" t="str">
            <v>Libya</v>
          </cell>
        </row>
        <row r="64">
          <cell r="A64" t="str">
            <v>Jamaica</v>
          </cell>
        </row>
        <row r="65">
          <cell r="A65" t="str">
            <v>North Macedonia</v>
          </cell>
        </row>
        <row r="66">
          <cell r="A66" t="str">
            <v>Yemen</v>
          </cell>
        </row>
        <row r="67">
          <cell r="A67" t="str">
            <v>Albania</v>
          </cell>
        </row>
        <row r="68">
          <cell r="A68" t="str">
            <v>Armenia</v>
          </cell>
        </row>
        <row r="69">
          <cell r="A69" t="str">
            <v>Estonia</v>
          </cell>
        </row>
        <row r="70">
          <cell r="A70" t="str">
            <v>St. Helena</v>
          </cell>
        </row>
        <row r="71">
          <cell r="A71" t="str">
            <v>Bangladesh</v>
          </cell>
        </row>
        <row r="72">
          <cell r="A72" t="str">
            <v>Qatar</v>
          </cell>
        </row>
        <row r="73">
          <cell r="A73" t="str">
            <v>Norway</v>
          </cell>
        </row>
        <row r="74">
          <cell r="A74" t="str">
            <v>Lebanon</v>
          </cell>
        </row>
        <row r="75">
          <cell r="A75" t="str">
            <v>Jordan</v>
          </cell>
        </row>
        <row r="76">
          <cell r="A76" t="str">
            <v>Iraq</v>
          </cell>
        </row>
        <row r="77">
          <cell r="A77" t="str">
            <v>Slovakia</v>
          </cell>
        </row>
        <row r="78">
          <cell r="A78" t="str">
            <v>Serbia</v>
          </cell>
        </row>
        <row r="79">
          <cell r="A79" t="str">
            <v>Morocco</v>
          </cell>
        </row>
        <row r="80">
          <cell r="A80" t="str">
            <v>Belarus</v>
          </cell>
        </row>
        <row r="81">
          <cell r="A81" t="str">
            <v>Algeria</v>
          </cell>
        </row>
        <row r="82">
          <cell r="A82" t="str">
            <v>Portugal</v>
          </cell>
        </row>
        <row r="83">
          <cell r="A83" t="str">
            <v>Hungary</v>
          </cell>
        </row>
        <row r="84">
          <cell r="A84" t="str">
            <v>Ukraine</v>
          </cell>
        </row>
        <row r="85">
          <cell r="A85" t="str">
            <v>Argentina</v>
          </cell>
        </row>
        <row r="86">
          <cell r="A86" t="str">
            <v>Colombia</v>
          </cell>
        </row>
        <row r="87">
          <cell r="A87" t="str">
            <v>Aruba</v>
          </cell>
        </row>
        <row r="88">
          <cell r="A88" t="str">
            <v>Angola</v>
          </cell>
        </row>
        <row r="89">
          <cell r="A89" t="str">
            <v>Anguilla</v>
          </cell>
        </row>
        <row r="90">
          <cell r="A90" t="str">
            <v>Ã…land Islands</v>
          </cell>
        </row>
        <row r="91">
          <cell r="A91" t="str">
            <v>Andorra</v>
          </cell>
        </row>
        <row r="92">
          <cell r="A92" t="str">
            <v>United Arab Emirates</v>
          </cell>
        </row>
        <row r="93">
          <cell r="A93" t="str">
            <v>American Samoa</v>
          </cell>
        </row>
        <row r="94">
          <cell r="A94" t="str">
            <v>Antarctica</v>
          </cell>
        </row>
        <row r="95">
          <cell r="A95" t="str">
            <v>French Southern Territories</v>
          </cell>
        </row>
        <row r="96">
          <cell r="A96" t="str">
            <v>Antigua &amp; Barbuda</v>
          </cell>
        </row>
        <row r="97">
          <cell r="A97" t="str">
            <v>Azerbaijan</v>
          </cell>
        </row>
        <row r="98">
          <cell r="A98" t="str">
            <v>Burundi</v>
          </cell>
        </row>
        <row r="99">
          <cell r="A99" t="str">
            <v>Benin</v>
          </cell>
        </row>
        <row r="100">
          <cell r="A100" t="str">
            <v>Caribbean Netherlands</v>
          </cell>
        </row>
        <row r="101">
          <cell r="A101" t="str">
            <v>Burkina Faso</v>
          </cell>
        </row>
        <row r="102">
          <cell r="A102" t="str">
            <v>Bulgaria</v>
          </cell>
        </row>
        <row r="103">
          <cell r="A103" t="str">
            <v>Bahrain</v>
          </cell>
        </row>
        <row r="104">
          <cell r="A104" t="str">
            <v>Bahamas</v>
          </cell>
        </row>
        <row r="105">
          <cell r="A105" t="str">
            <v>Bosnia &amp; Herzegovina</v>
          </cell>
        </row>
        <row r="106">
          <cell r="A106" t="str">
            <v>St. BarthÃ©lemy</v>
          </cell>
        </row>
        <row r="107">
          <cell r="A107" t="str">
            <v>Belize</v>
          </cell>
        </row>
        <row r="108">
          <cell r="A108" t="str">
            <v>Bermuda</v>
          </cell>
        </row>
        <row r="109">
          <cell r="A109" t="str">
            <v>Bolivia</v>
          </cell>
        </row>
        <row r="110">
          <cell r="A110" t="str">
            <v>Barbados</v>
          </cell>
        </row>
        <row r="111">
          <cell r="A111" t="str">
            <v>Brunei</v>
          </cell>
        </row>
        <row r="112">
          <cell r="A112" t="str">
            <v>Bouvet Island</v>
          </cell>
        </row>
        <row r="113">
          <cell r="A113" t="str">
            <v>Botswana</v>
          </cell>
        </row>
        <row r="114">
          <cell r="A114" t="str">
            <v>Central African Republic</v>
          </cell>
        </row>
        <row r="115">
          <cell r="A115" t="str">
            <v>Cocos (Keeling) Islands</v>
          </cell>
        </row>
        <row r="116">
          <cell r="A116" t="str">
            <v>Chile</v>
          </cell>
        </row>
        <row r="117">
          <cell r="A117" t="str">
            <v>CÃ´te dâ€™Ivoire</v>
          </cell>
        </row>
        <row r="118">
          <cell r="A118" t="str">
            <v>Cameroon</v>
          </cell>
        </row>
        <row r="119">
          <cell r="A119" t="str">
            <v>Congo - Kinshasa</v>
          </cell>
        </row>
        <row r="120">
          <cell r="A120" t="str">
            <v>Congo - Brazzaville</v>
          </cell>
        </row>
        <row r="121">
          <cell r="A121" t="str">
            <v>Cook Islands</v>
          </cell>
        </row>
        <row r="122">
          <cell r="A122" t="str">
            <v>Comoros</v>
          </cell>
        </row>
        <row r="123">
          <cell r="A123" t="str">
            <v>Cape Verde</v>
          </cell>
        </row>
        <row r="124">
          <cell r="A124" t="str">
            <v>Costa Rica</v>
          </cell>
        </row>
        <row r="125">
          <cell r="A125" t="str">
            <v>Cuba</v>
          </cell>
        </row>
        <row r="126">
          <cell r="A126" t="str">
            <v>CuraÃ§ao</v>
          </cell>
        </row>
        <row r="127">
          <cell r="A127" t="str">
            <v>Christmas Island</v>
          </cell>
        </row>
        <row r="128">
          <cell r="A128" t="str">
            <v>Cayman Islands</v>
          </cell>
        </row>
        <row r="129">
          <cell r="A129" t="str">
            <v>Cyprus</v>
          </cell>
        </row>
        <row r="130">
          <cell r="A130" t="str">
            <v>Djibouti</v>
          </cell>
        </row>
        <row r="131">
          <cell r="A131" t="str">
            <v>Dominica</v>
          </cell>
        </row>
        <row r="132">
          <cell r="A132" t="str">
            <v>Dominican Republic</v>
          </cell>
        </row>
        <row r="133">
          <cell r="A133" t="str">
            <v>Ecuador</v>
          </cell>
        </row>
        <row r="134">
          <cell r="A134" t="str">
            <v>Eritrea</v>
          </cell>
        </row>
        <row r="135">
          <cell r="A135" t="str">
            <v>Western Sahara</v>
          </cell>
        </row>
        <row r="136">
          <cell r="A136" t="str">
            <v>Fiji</v>
          </cell>
        </row>
        <row r="137">
          <cell r="A137" t="str">
            <v>Falkland Islands (Islas Malvinas)</v>
          </cell>
        </row>
        <row r="138">
          <cell r="A138" t="str">
            <v>Faroe Islands</v>
          </cell>
        </row>
        <row r="139">
          <cell r="A139" t="str">
            <v>Micronesia</v>
          </cell>
        </row>
        <row r="140">
          <cell r="A140" t="str">
            <v>Gabon</v>
          </cell>
        </row>
        <row r="141">
          <cell r="A141" t="str">
            <v>Georgia</v>
          </cell>
        </row>
        <row r="142">
          <cell r="A142" t="str">
            <v>Guernsey</v>
          </cell>
        </row>
        <row r="143">
          <cell r="A143" t="str">
            <v>Ghana</v>
          </cell>
        </row>
        <row r="144">
          <cell r="A144" t="str">
            <v>Gibraltar</v>
          </cell>
        </row>
        <row r="145">
          <cell r="A145" t="str">
            <v>Guinea</v>
          </cell>
        </row>
        <row r="146">
          <cell r="A146" t="str">
            <v>Guadeloupe</v>
          </cell>
        </row>
        <row r="147">
          <cell r="A147" t="str">
            <v>Gambia</v>
          </cell>
        </row>
        <row r="148">
          <cell r="A148" t="str">
            <v>Guinea-Bissau</v>
          </cell>
        </row>
        <row r="149">
          <cell r="A149" t="str">
            <v>Equatorial Guinea</v>
          </cell>
        </row>
        <row r="150">
          <cell r="A150" t="str">
            <v>Grenada</v>
          </cell>
        </row>
        <row r="151">
          <cell r="A151" t="str">
            <v>Greenland</v>
          </cell>
        </row>
        <row r="152">
          <cell r="A152" t="str">
            <v>Guatemala</v>
          </cell>
        </row>
        <row r="153">
          <cell r="A153" t="str">
            <v>French Guiana</v>
          </cell>
        </row>
        <row r="154">
          <cell r="A154" t="str">
            <v>Guam</v>
          </cell>
        </row>
        <row r="155">
          <cell r="A155" t="str">
            <v>Heard &amp; McDonald Islands</v>
          </cell>
        </row>
        <row r="156">
          <cell r="A156" t="str">
            <v>Honduras</v>
          </cell>
        </row>
        <row r="157">
          <cell r="A157" t="str">
            <v>Croatia</v>
          </cell>
        </row>
        <row r="158">
          <cell r="A158" t="str">
            <v>Haiti</v>
          </cell>
        </row>
        <row r="159">
          <cell r="A159" t="str">
            <v>Isle of Man</v>
          </cell>
        </row>
        <row r="160">
          <cell r="A160" t="str">
            <v>British Indian Ocean Territory</v>
          </cell>
        </row>
        <row r="161">
          <cell r="A161" t="str">
            <v>Iceland</v>
          </cell>
        </row>
        <row r="162">
          <cell r="A162" t="str">
            <v>Jersey</v>
          </cell>
        </row>
        <row r="163">
          <cell r="A163" t="str">
            <v>Kazakhstan</v>
          </cell>
        </row>
        <row r="164">
          <cell r="A164" t="str">
            <v>Kyrgyzstan</v>
          </cell>
        </row>
        <row r="165">
          <cell r="A165" t="str">
            <v>Cambodia</v>
          </cell>
        </row>
        <row r="166">
          <cell r="A166" t="str">
            <v>Kiribati</v>
          </cell>
        </row>
        <row r="167">
          <cell r="A167" t="str">
            <v>St. Kitts &amp; Nevis</v>
          </cell>
        </row>
        <row r="168">
          <cell r="A168" t="str">
            <v>Kuwait</v>
          </cell>
        </row>
        <row r="169">
          <cell r="A169" t="str">
            <v>Laos</v>
          </cell>
        </row>
        <row r="170">
          <cell r="A170" t="str">
            <v>Liberia</v>
          </cell>
        </row>
        <row r="171">
          <cell r="A171" t="str">
            <v>St. Lucia</v>
          </cell>
        </row>
        <row r="172">
          <cell r="A172" t="str">
            <v>Liechtenstein</v>
          </cell>
        </row>
        <row r="173">
          <cell r="A173" t="str">
            <v>Lithuania</v>
          </cell>
        </row>
        <row r="174">
          <cell r="A174" t="str">
            <v>Luxembourg</v>
          </cell>
        </row>
        <row r="175">
          <cell r="A175" t="str">
            <v>Latvia</v>
          </cell>
        </row>
        <row r="176">
          <cell r="A176" t="str">
            <v>Macao</v>
          </cell>
        </row>
        <row r="177">
          <cell r="A177" t="str">
            <v>St. Martin</v>
          </cell>
        </row>
        <row r="178">
          <cell r="A178" t="str">
            <v>Monaco</v>
          </cell>
        </row>
        <row r="179">
          <cell r="A179" t="str">
            <v>Moldova</v>
          </cell>
        </row>
        <row r="180">
          <cell r="A180" t="str">
            <v>Madagascar</v>
          </cell>
        </row>
        <row r="181">
          <cell r="A181" t="str">
            <v>Maldives</v>
          </cell>
        </row>
        <row r="182">
          <cell r="A182" t="str">
            <v>Marshall Islands</v>
          </cell>
        </row>
        <row r="183">
          <cell r="A183" t="str">
            <v>Mali</v>
          </cell>
        </row>
        <row r="184">
          <cell r="A184" t="str">
            <v>Malta</v>
          </cell>
        </row>
        <row r="185">
          <cell r="A185" t="str">
            <v>Myanmar (Burma)</v>
          </cell>
        </row>
        <row r="186">
          <cell r="A186" t="str">
            <v>Montenegro</v>
          </cell>
        </row>
        <row r="187">
          <cell r="A187" t="str">
            <v>Mongolia</v>
          </cell>
        </row>
        <row r="188">
          <cell r="A188" t="str">
            <v>Northern Mariana Islands</v>
          </cell>
        </row>
        <row r="189">
          <cell r="A189" t="str">
            <v>Mozambique</v>
          </cell>
        </row>
        <row r="190">
          <cell r="A190" t="str">
            <v>Mauritania</v>
          </cell>
        </row>
        <row r="191">
          <cell r="A191" t="str">
            <v>Montserrat</v>
          </cell>
        </row>
        <row r="192">
          <cell r="A192" t="str">
            <v>Martinique</v>
          </cell>
        </row>
        <row r="193">
          <cell r="A193" t="str">
            <v>Mayotte</v>
          </cell>
        </row>
        <row r="194">
          <cell r="A194" t="str">
            <v>New Caledonia</v>
          </cell>
        </row>
        <row r="195">
          <cell r="A195" t="str">
            <v>Niger</v>
          </cell>
        </row>
        <row r="196">
          <cell r="A196" t="str">
            <v>Norfolk Island</v>
          </cell>
        </row>
        <row r="197">
          <cell r="A197" t="str">
            <v>Nicaragua</v>
          </cell>
        </row>
        <row r="198">
          <cell r="A198" t="str">
            <v>Niue</v>
          </cell>
        </row>
        <row r="199">
          <cell r="A199" t="str">
            <v>Nauru</v>
          </cell>
        </row>
        <row r="200">
          <cell r="A200" t="str">
            <v>Oman</v>
          </cell>
        </row>
        <row r="201">
          <cell r="A201" t="str">
            <v>Panama</v>
          </cell>
        </row>
        <row r="202">
          <cell r="A202" t="str">
            <v>Pitcairn Islands</v>
          </cell>
        </row>
        <row r="203">
          <cell r="A203" t="str">
            <v>Palau</v>
          </cell>
        </row>
        <row r="204">
          <cell r="A204" t="str">
            <v>Papua New Guinea</v>
          </cell>
        </row>
        <row r="205">
          <cell r="A205" t="str">
            <v>Puerto Rico</v>
          </cell>
        </row>
        <row r="206">
          <cell r="A206" t="str">
            <v>North Korea</v>
          </cell>
        </row>
        <row r="207">
          <cell r="A207" t="str">
            <v>Paraguay</v>
          </cell>
        </row>
        <row r="208">
          <cell r="A208" t="str">
            <v>Palestine</v>
          </cell>
        </row>
        <row r="209">
          <cell r="A209" t="str">
            <v>French Polynesia</v>
          </cell>
        </row>
        <row r="210">
          <cell r="A210" t="str">
            <v>RÃ©union</v>
          </cell>
        </row>
        <row r="211">
          <cell r="A211" t="str">
            <v>Rwanda</v>
          </cell>
        </row>
        <row r="212">
          <cell r="A212" t="str">
            <v>Senegal</v>
          </cell>
        </row>
        <row r="213">
          <cell r="A213" t="str">
            <v>South Georgia &amp; South Sandwich Islands</v>
          </cell>
        </row>
        <row r="214">
          <cell r="A214" t="str">
            <v>Svalbard &amp; Jan Mayen</v>
          </cell>
        </row>
        <row r="215">
          <cell r="A215" t="str">
            <v>Solomon Islands</v>
          </cell>
        </row>
        <row r="216">
          <cell r="A216" t="str">
            <v>Sierra Leone</v>
          </cell>
        </row>
        <row r="217">
          <cell r="A217" t="str">
            <v>El Salvador</v>
          </cell>
        </row>
        <row r="218">
          <cell r="A218" t="str">
            <v>San Marino</v>
          </cell>
        </row>
        <row r="219">
          <cell r="A219" t="str">
            <v>Somalia</v>
          </cell>
        </row>
        <row r="220">
          <cell r="A220" t="str">
            <v>St. Pierre &amp; Miquelon</v>
          </cell>
        </row>
        <row r="221">
          <cell r="A221" t="str">
            <v>South Sudan</v>
          </cell>
        </row>
        <row r="222">
          <cell r="A222" t="str">
            <v>SÃ£o TomÃ© &amp; PrÃ­ncipe</v>
          </cell>
        </row>
        <row r="223">
          <cell r="A223" t="str">
            <v>Suriname</v>
          </cell>
        </row>
        <row r="224">
          <cell r="A224" t="str">
            <v>Slovenia</v>
          </cell>
        </row>
        <row r="225">
          <cell r="A225" t="str">
            <v>Eswatini</v>
          </cell>
        </row>
        <row r="226">
          <cell r="A226" t="str">
            <v>Sint Maarten</v>
          </cell>
        </row>
        <row r="227">
          <cell r="A227" t="str">
            <v>Seychelles</v>
          </cell>
        </row>
        <row r="228">
          <cell r="A228" t="str">
            <v>Syria</v>
          </cell>
        </row>
        <row r="229">
          <cell r="A229" t="str">
            <v>Turks &amp; Caicos Islands</v>
          </cell>
        </row>
        <row r="230">
          <cell r="A230" t="str">
            <v>Chad</v>
          </cell>
        </row>
        <row r="231">
          <cell r="A231" t="str">
            <v>Togo</v>
          </cell>
        </row>
        <row r="232">
          <cell r="A232" t="str">
            <v>Tajikistan</v>
          </cell>
        </row>
        <row r="233">
          <cell r="A233" t="str">
            <v>Tokelau</v>
          </cell>
        </row>
        <row r="234">
          <cell r="A234" t="str">
            <v>Turkmenistan</v>
          </cell>
        </row>
        <row r="235">
          <cell r="A235" t="str">
            <v>Timor-Leste</v>
          </cell>
        </row>
        <row r="236">
          <cell r="A236" t="str">
            <v>Tonga</v>
          </cell>
        </row>
        <row r="237">
          <cell r="A237" t="str">
            <v>Trinidad &amp; Tobago</v>
          </cell>
        </row>
        <row r="238">
          <cell r="A238" t="str">
            <v>Tunisia</v>
          </cell>
        </row>
        <row r="239">
          <cell r="A239" t="str">
            <v>Tuvalu</v>
          </cell>
        </row>
        <row r="240">
          <cell r="A240" t="str">
            <v>Uganda</v>
          </cell>
        </row>
        <row r="241">
          <cell r="A241" t="str">
            <v>U.S. Outlying Islands</v>
          </cell>
        </row>
        <row r="242">
          <cell r="A242" t="str">
            <v>Uruguay</v>
          </cell>
        </row>
        <row r="243">
          <cell r="A243" t="str">
            <v>Uzbekistan</v>
          </cell>
        </row>
        <row r="244">
          <cell r="A244" t="str">
            <v>Vatican City</v>
          </cell>
        </row>
        <row r="245">
          <cell r="A245" t="str">
            <v>St. Vincent &amp; Grenadines</v>
          </cell>
        </row>
        <row r="246">
          <cell r="A246" t="str">
            <v>Venezuela</v>
          </cell>
        </row>
        <row r="247">
          <cell r="A247" t="str">
            <v>British Virgin Islands</v>
          </cell>
        </row>
        <row r="248">
          <cell r="A248" t="str">
            <v>U.S. Virgin Islands</v>
          </cell>
        </row>
        <row r="249">
          <cell r="A249" t="str">
            <v>Vanuatu</v>
          </cell>
        </row>
        <row r="250">
          <cell r="A250" t="str">
            <v>Wallis &amp; Futuna</v>
          </cell>
        </row>
        <row r="251">
          <cell r="A251" t="str">
            <v>Samoa</v>
          </cell>
        </row>
        <row r="252">
          <cell r="A252" t="str">
            <v>Kosovo</v>
          </cell>
        </row>
        <row r="253">
          <cell r="A253" t="str">
            <v>Zambia</v>
          </cell>
        </row>
      </sheetData>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50)"/>
    </sheetNames>
    <sheetDataSet>
      <sheetData sheetId="0" refreshError="1">
        <row r="1">
          <cell r="A1" t="str">
            <v>Kategori: TÃ¼m kategoriler</v>
          </cell>
        </row>
        <row r="3">
          <cell r="A3" t="str">
            <v>Ãœlke</v>
          </cell>
          <cell r="B3" t="str">
            <v>Sonlanma problemi: (2018)</v>
          </cell>
          <cell r="C3" t="str">
            <v>Heuristic evaluation: (2018)</v>
          </cell>
        </row>
        <row r="4">
          <cell r="A4" t="str">
            <v>China</v>
          </cell>
          <cell r="B4">
            <v>1</v>
          </cell>
        </row>
        <row r="5">
          <cell r="A5" t="str">
            <v>Israel</v>
          </cell>
          <cell r="B5">
            <v>1</v>
          </cell>
        </row>
        <row r="6">
          <cell r="A6" t="str">
            <v>Singapore</v>
          </cell>
          <cell r="B6">
            <v>0.21</v>
          </cell>
          <cell r="C6">
            <v>0.79</v>
          </cell>
        </row>
        <row r="7">
          <cell r="A7" t="str">
            <v>Malaysia</v>
          </cell>
          <cell r="B7">
            <v>0.1</v>
          </cell>
          <cell r="C7">
            <v>0.9</v>
          </cell>
        </row>
        <row r="8">
          <cell r="A8" t="str">
            <v>South Korea</v>
          </cell>
          <cell r="B8">
            <v>0.85</v>
          </cell>
          <cell r="C8">
            <v>0.15</v>
          </cell>
        </row>
        <row r="9">
          <cell r="A9" t="str">
            <v>Pakistan</v>
          </cell>
          <cell r="B9">
            <v>0.18</v>
          </cell>
          <cell r="C9">
            <v>0.82</v>
          </cell>
        </row>
        <row r="10">
          <cell r="A10" t="str">
            <v>New Zealand</v>
          </cell>
          <cell r="B10">
            <v>0.4</v>
          </cell>
          <cell r="C10">
            <v>0.6</v>
          </cell>
        </row>
        <row r="11">
          <cell r="A11" t="str">
            <v>Egypt</v>
          </cell>
          <cell r="B11">
            <v>0.89</v>
          </cell>
          <cell r="C11">
            <v>0.11</v>
          </cell>
        </row>
        <row r="12">
          <cell r="A12" t="str">
            <v>Germany</v>
          </cell>
          <cell r="B12">
            <v>0.75</v>
          </cell>
          <cell r="C12">
            <v>0.25</v>
          </cell>
        </row>
        <row r="13">
          <cell r="A13" t="str">
            <v>Finland</v>
          </cell>
          <cell r="B13">
            <v>1</v>
          </cell>
        </row>
        <row r="14">
          <cell r="A14" t="str">
            <v>Ireland</v>
          </cell>
          <cell r="B14">
            <v>0.27</v>
          </cell>
          <cell r="C14">
            <v>0.73</v>
          </cell>
        </row>
        <row r="15">
          <cell r="A15" t="str">
            <v>Switzerland</v>
          </cell>
          <cell r="B15">
            <v>1</v>
          </cell>
        </row>
        <row r="16">
          <cell r="A16" t="str">
            <v>Czechia</v>
          </cell>
          <cell r="B16">
            <v>1</v>
          </cell>
        </row>
        <row r="17">
          <cell r="A17" t="str">
            <v>Kenya</v>
          </cell>
          <cell r="C17">
            <v>1</v>
          </cell>
        </row>
        <row r="18">
          <cell r="A18" t="str">
            <v>India</v>
          </cell>
          <cell r="B18">
            <v>0.71</v>
          </cell>
          <cell r="C18">
            <v>0.28999999999999998</v>
          </cell>
        </row>
        <row r="19">
          <cell r="A19" t="str">
            <v>France</v>
          </cell>
          <cell r="B19">
            <v>1</v>
          </cell>
        </row>
        <row r="20">
          <cell r="A20" t="str">
            <v>Australia</v>
          </cell>
          <cell r="B20">
            <v>0.38</v>
          </cell>
          <cell r="C20">
            <v>0.62</v>
          </cell>
        </row>
        <row r="21">
          <cell r="A21" t="str">
            <v>Canada</v>
          </cell>
          <cell r="B21">
            <v>0.57999999999999996</v>
          </cell>
          <cell r="C21">
            <v>0.42</v>
          </cell>
        </row>
        <row r="22">
          <cell r="A22" t="str">
            <v>South Africa</v>
          </cell>
          <cell r="C22">
            <v>1</v>
          </cell>
        </row>
        <row r="23">
          <cell r="A23" t="str">
            <v>Taiwan</v>
          </cell>
          <cell r="B23">
            <v>1</v>
          </cell>
        </row>
        <row r="24">
          <cell r="A24" t="str">
            <v>Austria</v>
          </cell>
          <cell r="B24">
            <v>0.56000000000000005</v>
          </cell>
          <cell r="C24">
            <v>0.44</v>
          </cell>
        </row>
        <row r="25">
          <cell r="A25" t="str">
            <v>Sweden</v>
          </cell>
          <cell r="B25">
            <v>0.28000000000000003</v>
          </cell>
          <cell r="C25">
            <v>0.72</v>
          </cell>
        </row>
        <row r="26">
          <cell r="A26" t="str">
            <v>United Kingdom</v>
          </cell>
          <cell r="B26">
            <v>0.46</v>
          </cell>
          <cell r="C26">
            <v>0.54</v>
          </cell>
        </row>
        <row r="27">
          <cell r="A27" t="str">
            <v>Denmark</v>
          </cell>
          <cell r="B27">
            <v>1</v>
          </cell>
        </row>
        <row r="28">
          <cell r="A28" t="str">
            <v>United States</v>
          </cell>
          <cell r="B28">
            <v>0.51</v>
          </cell>
          <cell r="C28">
            <v>0.49</v>
          </cell>
        </row>
        <row r="29">
          <cell r="A29" t="str">
            <v>Romania</v>
          </cell>
          <cell r="B29">
            <v>1</v>
          </cell>
        </row>
        <row r="30">
          <cell r="A30" t="str">
            <v>Greece</v>
          </cell>
          <cell r="B30">
            <v>1</v>
          </cell>
        </row>
        <row r="31">
          <cell r="A31" t="str">
            <v>Nigeria</v>
          </cell>
          <cell r="B31">
            <v>1</v>
          </cell>
        </row>
        <row r="32">
          <cell r="A32" t="str">
            <v>Belgium</v>
          </cell>
          <cell r="B32">
            <v>1</v>
          </cell>
        </row>
        <row r="33">
          <cell r="A33" t="str">
            <v>Japan</v>
          </cell>
          <cell r="B33">
            <v>1</v>
          </cell>
        </row>
        <row r="34">
          <cell r="A34" t="str">
            <v>Philippines</v>
          </cell>
          <cell r="B34">
            <v>0.2</v>
          </cell>
          <cell r="C34">
            <v>0.8</v>
          </cell>
        </row>
        <row r="35">
          <cell r="A35" t="str">
            <v>Netherlands</v>
          </cell>
          <cell r="B35">
            <v>0.5</v>
          </cell>
          <cell r="C35">
            <v>0.5</v>
          </cell>
        </row>
        <row r="36">
          <cell r="A36" t="str">
            <v>Vietnam</v>
          </cell>
          <cell r="B36">
            <v>1</v>
          </cell>
        </row>
        <row r="37">
          <cell r="A37" t="str">
            <v>Poland</v>
          </cell>
          <cell r="B37">
            <v>1</v>
          </cell>
        </row>
        <row r="38">
          <cell r="A38" t="str">
            <v>Indonesia</v>
          </cell>
          <cell r="B38">
            <v>0.1</v>
          </cell>
          <cell r="C38">
            <v>0.9</v>
          </cell>
        </row>
        <row r="39">
          <cell r="A39" t="str">
            <v>Spain</v>
          </cell>
          <cell r="B39">
            <v>1</v>
          </cell>
        </row>
        <row r="40">
          <cell r="A40" t="str">
            <v>Mexico</v>
          </cell>
          <cell r="B40">
            <v>1</v>
          </cell>
        </row>
        <row r="41">
          <cell r="A41" t="str">
            <v>Italy</v>
          </cell>
          <cell r="B41">
            <v>1</v>
          </cell>
        </row>
        <row r="42">
          <cell r="A42" t="str">
            <v>Peru</v>
          </cell>
          <cell r="B42">
            <v>1</v>
          </cell>
        </row>
        <row r="43">
          <cell r="A43" t="str">
            <v>Russia</v>
          </cell>
          <cell r="B43">
            <v>1</v>
          </cell>
        </row>
        <row r="44">
          <cell r="A44" t="str">
            <v>Brazil</v>
          </cell>
          <cell r="B44">
            <v>1</v>
          </cell>
        </row>
        <row r="45">
          <cell r="A45" t="str">
            <v>Turkey</v>
          </cell>
          <cell r="B45">
            <v>1</v>
          </cell>
        </row>
        <row r="46">
          <cell r="A46" t="str">
            <v>South Sudan</v>
          </cell>
        </row>
        <row r="47">
          <cell r="A47" t="str">
            <v>Cape Verde</v>
          </cell>
        </row>
        <row r="48">
          <cell r="A48" t="str">
            <v>New Caledonia</v>
          </cell>
        </row>
        <row r="49">
          <cell r="A49" t="str">
            <v>Ethiopia</v>
          </cell>
        </row>
        <row r="50">
          <cell r="A50" t="str">
            <v>Guadeloupe</v>
          </cell>
        </row>
        <row r="51">
          <cell r="A51" t="str">
            <v>Macao</v>
          </cell>
        </row>
        <row r="52">
          <cell r="A52" t="str">
            <v>Lebanon</v>
          </cell>
        </row>
        <row r="53">
          <cell r="A53" t="str">
            <v>St. Helena</v>
          </cell>
        </row>
        <row r="54">
          <cell r="A54" t="str">
            <v>Palestine</v>
          </cell>
        </row>
        <row r="55">
          <cell r="A55" t="str">
            <v>North Macedonia</v>
          </cell>
        </row>
        <row r="56">
          <cell r="A56" t="str">
            <v>CÃ´te dâ€™Ivoire</v>
          </cell>
        </row>
        <row r="57">
          <cell r="A57" t="str">
            <v>Sudan</v>
          </cell>
        </row>
        <row r="58">
          <cell r="A58" t="str">
            <v>Oman</v>
          </cell>
        </row>
        <row r="59">
          <cell r="A59" t="str">
            <v>Iraq</v>
          </cell>
        </row>
        <row r="60">
          <cell r="A60" t="str">
            <v>Nepal</v>
          </cell>
        </row>
        <row r="61">
          <cell r="A61" t="str">
            <v>Syria</v>
          </cell>
        </row>
        <row r="62">
          <cell r="A62" t="str">
            <v>Jordan</v>
          </cell>
        </row>
        <row r="63">
          <cell r="A63" t="str">
            <v>Tunisia</v>
          </cell>
        </row>
        <row r="64">
          <cell r="A64" t="str">
            <v>Bulgaria</v>
          </cell>
        </row>
        <row r="65">
          <cell r="A65" t="str">
            <v>Slovenia</v>
          </cell>
        </row>
        <row r="66">
          <cell r="A66" t="str">
            <v>Morocco</v>
          </cell>
        </row>
        <row r="67">
          <cell r="A67" t="str">
            <v>Hong Kong</v>
          </cell>
        </row>
        <row r="68">
          <cell r="A68" t="str">
            <v>Uruguay</v>
          </cell>
        </row>
        <row r="69">
          <cell r="A69" t="str">
            <v>Bolivia</v>
          </cell>
        </row>
        <row r="70">
          <cell r="A70" t="str">
            <v>Sri Lanka</v>
          </cell>
        </row>
        <row r="71">
          <cell r="A71" t="str">
            <v>Croatia</v>
          </cell>
        </row>
        <row r="72">
          <cell r="A72" t="str">
            <v>Algeria</v>
          </cell>
        </row>
        <row r="73">
          <cell r="A73" t="str">
            <v>Serbia</v>
          </cell>
        </row>
        <row r="74">
          <cell r="A74" t="str">
            <v>Dominican Republic</v>
          </cell>
        </row>
        <row r="75">
          <cell r="A75" t="str">
            <v>Portugal</v>
          </cell>
        </row>
        <row r="76">
          <cell r="A76" t="str">
            <v>Chile</v>
          </cell>
        </row>
        <row r="77">
          <cell r="A77" t="str">
            <v>Saudi Arabia</v>
          </cell>
        </row>
        <row r="78">
          <cell r="A78" t="str">
            <v>Slovakia</v>
          </cell>
        </row>
        <row r="79">
          <cell r="A79" t="str">
            <v>Belarus</v>
          </cell>
        </row>
        <row r="80">
          <cell r="A80" t="str">
            <v>Ecuador</v>
          </cell>
        </row>
        <row r="81">
          <cell r="A81" t="str">
            <v>United Arab Emirates</v>
          </cell>
        </row>
        <row r="82">
          <cell r="A82" t="str">
            <v>Kazakhstan</v>
          </cell>
        </row>
        <row r="83">
          <cell r="A83" t="str">
            <v>Norway</v>
          </cell>
        </row>
        <row r="84">
          <cell r="A84" t="str">
            <v>Colombia</v>
          </cell>
        </row>
        <row r="85">
          <cell r="A85" t="str">
            <v>Hungary</v>
          </cell>
        </row>
        <row r="86">
          <cell r="A86" t="str">
            <v>Iran</v>
          </cell>
        </row>
        <row r="87">
          <cell r="A87" t="str">
            <v>Argentina</v>
          </cell>
        </row>
        <row r="88">
          <cell r="A88" t="str">
            <v>Thailand</v>
          </cell>
        </row>
        <row r="89">
          <cell r="A89" t="str">
            <v>Ukraine</v>
          </cell>
        </row>
        <row r="90">
          <cell r="A90" t="str">
            <v>Aruba</v>
          </cell>
        </row>
        <row r="91">
          <cell r="A91" t="str">
            <v>Afghanistan</v>
          </cell>
        </row>
        <row r="92">
          <cell r="A92" t="str">
            <v>Angola</v>
          </cell>
        </row>
        <row r="93">
          <cell r="A93" t="str">
            <v>Anguilla</v>
          </cell>
        </row>
        <row r="94">
          <cell r="A94" t="str">
            <v>Ã…land Islands</v>
          </cell>
        </row>
        <row r="95">
          <cell r="A95" t="str">
            <v>Albania</v>
          </cell>
        </row>
        <row r="96">
          <cell r="A96" t="str">
            <v>Andorra</v>
          </cell>
        </row>
        <row r="97">
          <cell r="A97" t="str">
            <v>Armenia</v>
          </cell>
        </row>
        <row r="98">
          <cell r="A98" t="str">
            <v>American Samoa</v>
          </cell>
        </row>
        <row r="99">
          <cell r="A99" t="str">
            <v>Antarctica</v>
          </cell>
        </row>
        <row r="100">
          <cell r="A100" t="str">
            <v>French Southern Territories</v>
          </cell>
        </row>
        <row r="101">
          <cell r="A101" t="str">
            <v>Antigua &amp; Barbuda</v>
          </cell>
        </row>
        <row r="102">
          <cell r="A102" t="str">
            <v>Azerbaijan</v>
          </cell>
        </row>
        <row r="103">
          <cell r="A103" t="str">
            <v>Burundi</v>
          </cell>
        </row>
        <row r="104">
          <cell r="A104" t="str">
            <v>Benin</v>
          </cell>
        </row>
        <row r="105">
          <cell r="A105" t="str">
            <v>Caribbean Netherlands</v>
          </cell>
        </row>
        <row r="106">
          <cell r="A106" t="str">
            <v>Burkina Faso</v>
          </cell>
        </row>
        <row r="107">
          <cell r="A107" t="str">
            <v>Bangladesh</v>
          </cell>
        </row>
        <row r="108">
          <cell r="A108" t="str">
            <v>Bahrain</v>
          </cell>
        </row>
        <row r="109">
          <cell r="A109" t="str">
            <v>Bahamas</v>
          </cell>
        </row>
        <row r="110">
          <cell r="A110" t="str">
            <v>Bosnia &amp; Herzegovina</v>
          </cell>
        </row>
        <row r="111">
          <cell r="A111" t="str">
            <v>St. BarthÃ©lemy</v>
          </cell>
        </row>
        <row r="112">
          <cell r="A112" t="str">
            <v>Belize</v>
          </cell>
        </row>
        <row r="113">
          <cell r="A113" t="str">
            <v>Bermuda</v>
          </cell>
        </row>
        <row r="114">
          <cell r="A114" t="str">
            <v>Barbados</v>
          </cell>
        </row>
        <row r="115">
          <cell r="A115" t="str">
            <v>Brunei</v>
          </cell>
        </row>
        <row r="116">
          <cell r="A116" t="str">
            <v>Bhutan</v>
          </cell>
        </row>
        <row r="117">
          <cell r="A117" t="str">
            <v>Bouvet Island</v>
          </cell>
        </row>
        <row r="118">
          <cell r="A118" t="str">
            <v>Botswana</v>
          </cell>
        </row>
        <row r="119">
          <cell r="A119" t="str">
            <v>Central African Republic</v>
          </cell>
        </row>
        <row r="120">
          <cell r="A120" t="str">
            <v>Cocos (Keeling) Islands</v>
          </cell>
        </row>
        <row r="121">
          <cell r="A121" t="str">
            <v>Cameroon</v>
          </cell>
        </row>
        <row r="122">
          <cell r="A122" t="str">
            <v>Congo - Kinshasa</v>
          </cell>
        </row>
        <row r="123">
          <cell r="A123" t="str">
            <v>Congo - Brazzaville</v>
          </cell>
        </row>
        <row r="124">
          <cell r="A124" t="str">
            <v>Cook Islands</v>
          </cell>
        </row>
        <row r="125">
          <cell r="A125" t="str">
            <v>Comoros</v>
          </cell>
        </row>
        <row r="126">
          <cell r="A126" t="str">
            <v>Costa Rica</v>
          </cell>
        </row>
        <row r="127">
          <cell r="A127" t="str">
            <v>Cuba</v>
          </cell>
        </row>
        <row r="128">
          <cell r="A128" t="str">
            <v>CuraÃ§ao</v>
          </cell>
        </row>
        <row r="129">
          <cell r="A129" t="str">
            <v>Christmas Island</v>
          </cell>
        </row>
        <row r="130">
          <cell r="A130" t="str">
            <v>Cayman Islands</v>
          </cell>
        </row>
        <row r="131">
          <cell r="A131" t="str">
            <v>Cyprus</v>
          </cell>
        </row>
        <row r="132">
          <cell r="A132" t="str">
            <v>Djibouti</v>
          </cell>
        </row>
        <row r="133">
          <cell r="A133" t="str">
            <v>Dominica</v>
          </cell>
        </row>
        <row r="134">
          <cell r="A134" t="str">
            <v>Eritrea</v>
          </cell>
        </row>
        <row r="135">
          <cell r="A135" t="str">
            <v>Western Sahara</v>
          </cell>
        </row>
        <row r="136">
          <cell r="A136" t="str">
            <v>Estonia</v>
          </cell>
        </row>
        <row r="137">
          <cell r="A137" t="str">
            <v>Fiji</v>
          </cell>
        </row>
        <row r="138">
          <cell r="A138" t="str">
            <v>Falkland Islands (Islas Malvinas)</v>
          </cell>
        </row>
        <row r="139">
          <cell r="A139" t="str">
            <v>Faroe Islands</v>
          </cell>
        </row>
        <row r="140">
          <cell r="A140" t="str">
            <v>Micronesia</v>
          </cell>
        </row>
        <row r="141">
          <cell r="A141" t="str">
            <v>Gabon</v>
          </cell>
        </row>
        <row r="142">
          <cell r="A142" t="str">
            <v>Georgia</v>
          </cell>
        </row>
        <row r="143">
          <cell r="A143" t="str">
            <v>Guernsey</v>
          </cell>
        </row>
        <row r="144">
          <cell r="A144" t="str">
            <v>Ghana</v>
          </cell>
        </row>
        <row r="145">
          <cell r="A145" t="str">
            <v>Gibraltar</v>
          </cell>
        </row>
        <row r="146">
          <cell r="A146" t="str">
            <v>Guinea</v>
          </cell>
        </row>
        <row r="147">
          <cell r="A147" t="str">
            <v>Gambia</v>
          </cell>
        </row>
        <row r="148">
          <cell r="A148" t="str">
            <v>Guinea-Bissau</v>
          </cell>
        </row>
        <row r="149">
          <cell r="A149" t="str">
            <v>Equatorial Guinea</v>
          </cell>
        </row>
        <row r="150">
          <cell r="A150" t="str">
            <v>Grenada</v>
          </cell>
        </row>
        <row r="151">
          <cell r="A151" t="str">
            <v>Greenland</v>
          </cell>
        </row>
        <row r="152">
          <cell r="A152" t="str">
            <v>Guatemala</v>
          </cell>
        </row>
        <row r="153">
          <cell r="A153" t="str">
            <v>French Guiana</v>
          </cell>
        </row>
        <row r="154">
          <cell r="A154" t="str">
            <v>Guam</v>
          </cell>
        </row>
        <row r="155">
          <cell r="A155" t="str">
            <v>Guyana</v>
          </cell>
        </row>
        <row r="156">
          <cell r="A156" t="str">
            <v>Heard &amp; McDonald Islands</v>
          </cell>
        </row>
        <row r="157">
          <cell r="A157" t="str">
            <v>Honduras</v>
          </cell>
        </row>
        <row r="158">
          <cell r="A158" t="str">
            <v>Haiti</v>
          </cell>
        </row>
        <row r="159">
          <cell r="A159" t="str">
            <v>Isle of Man</v>
          </cell>
        </row>
        <row r="160">
          <cell r="A160" t="str">
            <v>British Indian Ocean Territory</v>
          </cell>
        </row>
        <row r="161">
          <cell r="A161" t="str">
            <v>Iceland</v>
          </cell>
        </row>
        <row r="162">
          <cell r="A162" t="str">
            <v>Jamaica</v>
          </cell>
        </row>
        <row r="163">
          <cell r="A163" t="str">
            <v>Jersey</v>
          </cell>
        </row>
        <row r="164">
          <cell r="A164" t="str">
            <v>Kyrgyzstan</v>
          </cell>
        </row>
        <row r="165">
          <cell r="A165" t="str">
            <v>Cambodia</v>
          </cell>
        </row>
        <row r="166">
          <cell r="A166" t="str">
            <v>Kiribati</v>
          </cell>
        </row>
        <row r="167">
          <cell r="A167" t="str">
            <v>St. Kitts &amp; Nevis</v>
          </cell>
        </row>
        <row r="168">
          <cell r="A168" t="str">
            <v>Kuwait</v>
          </cell>
        </row>
        <row r="169">
          <cell r="A169" t="str">
            <v>Laos</v>
          </cell>
        </row>
        <row r="170">
          <cell r="A170" t="str">
            <v>Liberia</v>
          </cell>
        </row>
        <row r="171">
          <cell r="A171" t="str">
            <v>Libya</v>
          </cell>
        </row>
        <row r="172">
          <cell r="A172" t="str">
            <v>St. Lucia</v>
          </cell>
        </row>
        <row r="173">
          <cell r="A173" t="str">
            <v>Liechtenstein</v>
          </cell>
        </row>
        <row r="174">
          <cell r="A174" t="str">
            <v>Lesotho</v>
          </cell>
        </row>
        <row r="175">
          <cell r="A175" t="str">
            <v>Lithuania</v>
          </cell>
        </row>
        <row r="176">
          <cell r="A176" t="str">
            <v>Luxembourg</v>
          </cell>
        </row>
        <row r="177">
          <cell r="A177" t="str">
            <v>Latvia</v>
          </cell>
        </row>
        <row r="178">
          <cell r="A178" t="str">
            <v>St. Martin</v>
          </cell>
        </row>
        <row r="179">
          <cell r="A179" t="str">
            <v>Monaco</v>
          </cell>
        </row>
        <row r="180">
          <cell r="A180" t="str">
            <v>Moldova</v>
          </cell>
        </row>
        <row r="181">
          <cell r="A181" t="str">
            <v>Madagascar</v>
          </cell>
        </row>
        <row r="182">
          <cell r="A182" t="str">
            <v>Maldives</v>
          </cell>
        </row>
        <row r="183">
          <cell r="A183" t="str">
            <v>Marshall Islands</v>
          </cell>
        </row>
        <row r="184">
          <cell r="A184" t="str">
            <v>Mali</v>
          </cell>
        </row>
        <row r="185">
          <cell r="A185" t="str">
            <v>Malta</v>
          </cell>
        </row>
        <row r="186">
          <cell r="A186" t="str">
            <v>Myanmar (Burma)</v>
          </cell>
        </row>
        <row r="187">
          <cell r="A187" t="str">
            <v>Montenegro</v>
          </cell>
        </row>
        <row r="188">
          <cell r="A188" t="str">
            <v>Mongolia</v>
          </cell>
        </row>
        <row r="189">
          <cell r="A189" t="str">
            <v>Northern Mariana Islands</v>
          </cell>
        </row>
        <row r="190">
          <cell r="A190" t="str">
            <v>Mozambique</v>
          </cell>
        </row>
        <row r="191">
          <cell r="A191" t="str">
            <v>Mauritania</v>
          </cell>
        </row>
        <row r="192">
          <cell r="A192" t="str">
            <v>Montserrat</v>
          </cell>
        </row>
        <row r="193">
          <cell r="A193" t="str">
            <v>Martinique</v>
          </cell>
        </row>
        <row r="194">
          <cell r="A194" t="str">
            <v>Mauritius</v>
          </cell>
        </row>
        <row r="195">
          <cell r="A195" t="str">
            <v>Malawi</v>
          </cell>
        </row>
        <row r="196">
          <cell r="A196" t="str">
            <v>Mayotte</v>
          </cell>
        </row>
        <row r="197">
          <cell r="A197" t="str">
            <v>Namibia</v>
          </cell>
        </row>
        <row r="198">
          <cell r="A198" t="str">
            <v>Niger</v>
          </cell>
        </row>
        <row r="199">
          <cell r="A199" t="str">
            <v>Norfolk Island</v>
          </cell>
        </row>
        <row r="200">
          <cell r="A200" t="str">
            <v>Nicaragua</v>
          </cell>
        </row>
        <row r="201">
          <cell r="A201" t="str">
            <v>Niue</v>
          </cell>
        </row>
        <row r="202">
          <cell r="A202" t="str">
            <v>Nauru</v>
          </cell>
        </row>
        <row r="203">
          <cell r="A203" t="str">
            <v>Panama</v>
          </cell>
        </row>
        <row r="204">
          <cell r="A204" t="str">
            <v>Pitcairn Islands</v>
          </cell>
        </row>
        <row r="205">
          <cell r="A205" t="str">
            <v>Palau</v>
          </cell>
        </row>
        <row r="206">
          <cell r="A206" t="str">
            <v>Papua New Guinea</v>
          </cell>
        </row>
        <row r="207">
          <cell r="A207" t="str">
            <v>Puerto Rico</v>
          </cell>
        </row>
        <row r="208">
          <cell r="A208" t="str">
            <v>North Korea</v>
          </cell>
        </row>
        <row r="209">
          <cell r="A209" t="str">
            <v>Paraguay</v>
          </cell>
        </row>
        <row r="210">
          <cell r="A210" t="str">
            <v>French Polynesia</v>
          </cell>
        </row>
        <row r="211">
          <cell r="A211" t="str">
            <v>Qatar</v>
          </cell>
        </row>
        <row r="212">
          <cell r="A212" t="str">
            <v>RÃ©union</v>
          </cell>
        </row>
        <row r="213">
          <cell r="A213" t="str">
            <v>Rwanda</v>
          </cell>
        </row>
        <row r="214">
          <cell r="A214" t="str">
            <v>Senegal</v>
          </cell>
        </row>
        <row r="215">
          <cell r="A215" t="str">
            <v>South Georgia &amp; South Sandwich Islands</v>
          </cell>
        </row>
        <row r="216">
          <cell r="A216" t="str">
            <v>Svalbard &amp; Jan Mayen</v>
          </cell>
        </row>
        <row r="217">
          <cell r="A217" t="str">
            <v>Solomon Islands</v>
          </cell>
        </row>
        <row r="218">
          <cell r="A218" t="str">
            <v>Sierra Leone</v>
          </cell>
        </row>
        <row r="219">
          <cell r="A219" t="str">
            <v>El Salvador</v>
          </cell>
        </row>
        <row r="220">
          <cell r="A220" t="str">
            <v>San Marino</v>
          </cell>
        </row>
        <row r="221">
          <cell r="A221" t="str">
            <v>Somalia</v>
          </cell>
        </row>
        <row r="222">
          <cell r="A222" t="str">
            <v>St. Pierre &amp; Miquelon</v>
          </cell>
        </row>
        <row r="223">
          <cell r="A223" t="str">
            <v>SÃ£o TomÃ© &amp; PrÃ­ncipe</v>
          </cell>
        </row>
        <row r="224">
          <cell r="A224" t="str">
            <v>Suriname</v>
          </cell>
        </row>
        <row r="225">
          <cell r="A225" t="str">
            <v>Eswatini</v>
          </cell>
        </row>
        <row r="226">
          <cell r="A226" t="str">
            <v>Sint Maarten</v>
          </cell>
        </row>
        <row r="227">
          <cell r="A227" t="str">
            <v>Seychelles</v>
          </cell>
        </row>
        <row r="228">
          <cell r="A228" t="str">
            <v>Turks &amp; Caicos Islands</v>
          </cell>
        </row>
        <row r="229">
          <cell r="A229" t="str">
            <v>Chad</v>
          </cell>
        </row>
        <row r="230">
          <cell r="A230" t="str">
            <v>Togo</v>
          </cell>
        </row>
        <row r="231">
          <cell r="A231" t="str">
            <v>Tajikistan</v>
          </cell>
        </row>
        <row r="232">
          <cell r="A232" t="str">
            <v>Tokelau</v>
          </cell>
        </row>
        <row r="233">
          <cell r="A233" t="str">
            <v>Turkmenistan</v>
          </cell>
        </row>
        <row r="234">
          <cell r="A234" t="str">
            <v>Timor-Leste</v>
          </cell>
        </row>
        <row r="235">
          <cell r="A235" t="str">
            <v>Tonga</v>
          </cell>
        </row>
        <row r="236">
          <cell r="A236" t="str">
            <v>Trinidad &amp; Tobago</v>
          </cell>
        </row>
        <row r="237">
          <cell r="A237" t="str">
            <v>Tuvalu</v>
          </cell>
        </row>
        <row r="238">
          <cell r="A238" t="str">
            <v>Tanzania</v>
          </cell>
        </row>
        <row r="239">
          <cell r="A239" t="str">
            <v>Uganda</v>
          </cell>
        </row>
        <row r="240">
          <cell r="A240" t="str">
            <v>U.S. Outlying Islands</v>
          </cell>
        </row>
        <row r="241">
          <cell r="A241" t="str">
            <v>Uzbekistan</v>
          </cell>
        </row>
        <row r="242">
          <cell r="A242" t="str">
            <v>Vatican City</v>
          </cell>
        </row>
        <row r="243">
          <cell r="A243" t="str">
            <v>St. Vincent &amp; Grenadines</v>
          </cell>
        </row>
        <row r="244">
          <cell r="A244" t="str">
            <v>Venezuela</v>
          </cell>
        </row>
        <row r="245">
          <cell r="A245" t="str">
            <v>British Virgin Islands</v>
          </cell>
        </row>
        <row r="246">
          <cell r="A246" t="str">
            <v>U.S. Virgin Islands</v>
          </cell>
        </row>
        <row r="247">
          <cell r="A247" t="str">
            <v>Vanuatu</v>
          </cell>
        </row>
        <row r="248">
          <cell r="A248" t="str">
            <v>Wallis &amp; Futuna</v>
          </cell>
        </row>
        <row r="249">
          <cell r="A249" t="str">
            <v>Samoa</v>
          </cell>
        </row>
        <row r="250">
          <cell r="A250" t="str">
            <v>Kosovo</v>
          </cell>
        </row>
        <row r="251">
          <cell r="A251" t="str">
            <v>Yemen</v>
          </cell>
        </row>
        <row r="252">
          <cell r="A252" t="str">
            <v>Zambia</v>
          </cell>
        </row>
        <row r="253">
          <cell r="A253" t="str">
            <v>Zimbabwe</v>
          </cell>
        </row>
      </sheetData>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51)"/>
    </sheetNames>
    <sheetDataSet>
      <sheetData sheetId="0" refreshError="1">
        <row r="1">
          <cell r="A1" t="str">
            <v>Kategori: TÃ¼m kategoriler</v>
          </cell>
        </row>
        <row r="3">
          <cell r="A3" t="str">
            <v>Ãœlke</v>
          </cell>
          <cell r="B3" t="str">
            <v>Heuristic evaluation: (2018)</v>
          </cell>
          <cell r="C3" t="str">
            <v>Spectral clustering: (2018)</v>
          </cell>
        </row>
        <row r="4">
          <cell r="A4" t="str">
            <v>China</v>
          </cell>
          <cell r="C4">
            <v>1</v>
          </cell>
        </row>
        <row r="5">
          <cell r="A5" t="str">
            <v>Singapore</v>
          </cell>
          <cell r="B5">
            <v>1</v>
          </cell>
        </row>
        <row r="6">
          <cell r="A6" t="str">
            <v>Malaysia</v>
          </cell>
          <cell r="B6">
            <v>1</v>
          </cell>
        </row>
        <row r="7">
          <cell r="A7" t="str">
            <v>Pakistan</v>
          </cell>
          <cell r="B7">
            <v>1</v>
          </cell>
        </row>
        <row r="8">
          <cell r="A8" t="str">
            <v>South Korea</v>
          </cell>
          <cell r="B8">
            <v>0.27</v>
          </cell>
          <cell r="C8">
            <v>0.73</v>
          </cell>
        </row>
        <row r="9">
          <cell r="A9" t="str">
            <v>New Zealand</v>
          </cell>
          <cell r="B9">
            <v>1</v>
          </cell>
        </row>
        <row r="10">
          <cell r="A10" t="str">
            <v>Ireland</v>
          </cell>
          <cell r="B10">
            <v>1</v>
          </cell>
        </row>
        <row r="11">
          <cell r="A11" t="str">
            <v>Australia</v>
          </cell>
          <cell r="B11">
            <v>0.75</v>
          </cell>
          <cell r="C11">
            <v>0.25</v>
          </cell>
        </row>
        <row r="12">
          <cell r="A12" t="str">
            <v>Sweden</v>
          </cell>
          <cell r="B12">
            <v>1</v>
          </cell>
        </row>
        <row r="13">
          <cell r="A13" t="str">
            <v>United Kingdom</v>
          </cell>
          <cell r="B13">
            <v>0.78</v>
          </cell>
          <cell r="C13">
            <v>0.22</v>
          </cell>
        </row>
        <row r="14">
          <cell r="A14" t="str">
            <v>Kenya</v>
          </cell>
          <cell r="B14">
            <v>1</v>
          </cell>
        </row>
        <row r="15">
          <cell r="A15" t="str">
            <v>United States</v>
          </cell>
          <cell r="B15">
            <v>0.54</v>
          </cell>
          <cell r="C15">
            <v>0.46</v>
          </cell>
        </row>
        <row r="16">
          <cell r="A16" t="str">
            <v>South Africa</v>
          </cell>
          <cell r="B16">
            <v>1</v>
          </cell>
        </row>
        <row r="17">
          <cell r="A17" t="str">
            <v>Taiwan</v>
          </cell>
          <cell r="C17">
            <v>1</v>
          </cell>
        </row>
        <row r="18">
          <cell r="A18" t="str">
            <v>Canada</v>
          </cell>
          <cell r="B18">
            <v>0.74</v>
          </cell>
          <cell r="C18">
            <v>0.26</v>
          </cell>
        </row>
        <row r="19">
          <cell r="A19" t="str">
            <v>Netherlands</v>
          </cell>
          <cell r="B19">
            <v>1</v>
          </cell>
        </row>
        <row r="20">
          <cell r="A20" t="str">
            <v>Philippines</v>
          </cell>
          <cell r="B20">
            <v>1</v>
          </cell>
        </row>
        <row r="21">
          <cell r="A21" t="str">
            <v>Saudi Arabia</v>
          </cell>
          <cell r="B21">
            <v>1</v>
          </cell>
        </row>
        <row r="22">
          <cell r="A22" t="str">
            <v>India</v>
          </cell>
          <cell r="B22">
            <v>0.55000000000000004</v>
          </cell>
          <cell r="C22">
            <v>0.45</v>
          </cell>
        </row>
        <row r="23">
          <cell r="A23" t="str">
            <v>Japan</v>
          </cell>
          <cell r="C23">
            <v>1</v>
          </cell>
        </row>
        <row r="24">
          <cell r="A24" t="str">
            <v>Germany</v>
          </cell>
          <cell r="B24">
            <v>0.51</v>
          </cell>
          <cell r="C24">
            <v>0.49</v>
          </cell>
        </row>
        <row r="25">
          <cell r="A25" t="str">
            <v>Indonesia</v>
          </cell>
          <cell r="B25">
            <v>1</v>
          </cell>
        </row>
        <row r="26">
          <cell r="A26" t="str">
            <v>France</v>
          </cell>
          <cell r="C26">
            <v>1</v>
          </cell>
        </row>
        <row r="27">
          <cell r="A27" t="str">
            <v>Iran</v>
          </cell>
          <cell r="C27">
            <v>1</v>
          </cell>
        </row>
        <row r="28">
          <cell r="A28" t="str">
            <v>Botswana</v>
          </cell>
        </row>
        <row r="29">
          <cell r="A29" t="str">
            <v>Rwanda</v>
          </cell>
        </row>
        <row r="30">
          <cell r="A30" t="str">
            <v>Zimbabwe</v>
          </cell>
        </row>
        <row r="31">
          <cell r="A31" t="str">
            <v>Mauritius</v>
          </cell>
        </row>
        <row r="32">
          <cell r="A32" t="str">
            <v>Bahrain</v>
          </cell>
        </row>
        <row r="33">
          <cell r="A33" t="str">
            <v>Iceland</v>
          </cell>
        </row>
        <row r="34">
          <cell r="A34" t="str">
            <v>Malta</v>
          </cell>
        </row>
        <row r="35">
          <cell r="A35" t="str">
            <v>Myanmar (Burma)</v>
          </cell>
        </row>
        <row r="36">
          <cell r="A36" t="str">
            <v>Trinidad &amp; Tobago</v>
          </cell>
        </row>
        <row r="37">
          <cell r="A37" t="str">
            <v>Nepal</v>
          </cell>
        </row>
        <row r="38">
          <cell r="A38" t="str">
            <v>Latvia</v>
          </cell>
        </row>
        <row r="39">
          <cell r="A39" t="str">
            <v>North Macedonia</v>
          </cell>
        </row>
        <row r="40">
          <cell r="A40" t="str">
            <v>Lebanon</v>
          </cell>
        </row>
        <row r="41">
          <cell r="A41" t="str">
            <v>Cyprus</v>
          </cell>
        </row>
        <row r="42">
          <cell r="A42" t="str">
            <v>St. Helena</v>
          </cell>
        </row>
        <row r="43">
          <cell r="A43" t="str">
            <v>Uzbekistan</v>
          </cell>
        </row>
        <row r="44">
          <cell r="A44" t="str">
            <v>Sri Lanka</v>
          </cell>
        </row>
        <row r="45">
          <cell r="A45" t="str">
            <v>Slovenia</v>
          </cell>
        </row>
        <row r="46">
          <cell r="A46" t="str">
            <v>Jordan</v>
          </cell>
        </row>
        <row r="47">
          <cell r="A47" t="str">
            <v>Bulgaria</v>
          </cell>
        </row>
        <row r="48">
          <cell r="A48" t="str">
            <v>Lithuania</v>
          </cell>
        </row>
        <row r="49">
          <cell r="A49" t="str">
            <v>Hong Kong</v>
          </cell>
        </row>
        <row r="50">
          <cell r="A50" t="str">
            <v>Austria</v>
          </cell>
        </row>
        <row r="51">
          <cell r="A51" t="str">
            <v>Denmark</v>
          </cell>
        </row>
        <row r="52">
          <cell r="A52" t="str">
            <v>Norway</v>
          </cell>
        </row>
        <row r="53">
          <cell r="A53" t="str">
            <v>Nigeria</v>
          </cell>
        </row>
        <row r="54">
          <cell r="A54" t="str">
            <v>Switzerland</v>
          </cell>
        </row>
        <row r="55">
          <cell r="A55" t="str">
            <v>Finland</v>
          </cell>
        </row>
        <row r="56">
          <cell r="A56" t="str">
            <v>Greece</v>
          </cell>
        </row>
        <row r="57">
          <cell r="A57" t="str">
            <v>Belgium</v>
          </cell>
        </row>
        <row r="58">
          <cell r="A58" t="str">
            <v>Croatia</v>
          </cell>
        </row>
        <row r="59">
          <cell r="A59" t="str">
            <v>Kazakhstan</v>
          </cell>
        </row>
        <row r="60">
          <cell r="A60" t="str">
            <v>Serbia</v>
          </cell>
        </row>
        <row r="61">
          <cell r="A61" t="str">
            <v>Romania</v>
          </cell>
        </row>
        <row r="62">
          <cell r="A62" t="str">
            <v>Czechia</v>
          </cell>
        </row>
        <row r="63">
          <cell r="A63" t="str">
            <v>United Arab Emirates</v>
          </cell>
        </row>
        <row r="64">
          <cell r="A64" t="str">
            <v>Israel</v>
          </cell>
        </row>
        <row r="65">
          <cell r="A65" t="str">
            <v>Portugal</v>
          </cell>
        </row>
        <row r="66">
          <cell r="A66" t="str">
            <v>Hungary</v>
          </cell>
        </row>
        <row r="67">
          <cell r="A67" t="str">
            <v>Thailand</v>
          </cell>
        </row>
        <row r="68">
          <cell r="A68" t="str">
            <v>Egypt</v>
          </cell>
        </row>
        <row r="69">
          <cell r="A69" t="str">
            <v>Chile</v>
          </cell>
        </row>
        <row r="70">
          <cell r="A70" t="str">
            <v>Mexico</v>
          </cell>
        </row>
        <row r="71">
          <cell r="A71" t="str">
            <v>Spain</v>
          </cell>
        </row>
        <row r="72">
          <cell r="A72" t="str">
            <v>Ukraine</v>
          </cell>
        </row>
        <row r="73">
          <cell r="A73" t="str">
            <v>Colombia</v>
          </cell>
        </row>
        <row r="74">
          <cell r="A74" t="str">
            <v>Italy</v>
          </cell>
        </row>
        <row r="75">
          <cell r="A75" t="str">
            <v>Russia</v>
          </cell>
        </row>
        <row r="76">
          <cell r="A76" t="str">
            <v>Argentina</v>
          </cell>
        </row>
        <row r="77">
          <cell r="A77" t="str">
            <v>Vietnam</v>
          </cell>
        </row>
        <row r="78">
          <cell r="A78" t="str">
            <v>Poland</v>
          </cell>
        </row>
        <row r="79">
          <cell r="A79" t="str">
            <v>Brazil</v>
          </cell>
        </row>
        <row r="80">
          <cell r="A80" t="str">
            <v>Turkey</v>
          </cell>
        </row>
        <row r="81">
          <cell r="A81" t="str">
            <v>Aruba</v>
          </cell>
        </row>
        <row r="82">
          <cell r="A82" t="str">
            <v>Afghanistan</v>
          </cell>
        </row>
        <row r="83">
          <cell r="A83" t="str">
            <v>Angola</v>
          </cell>
        </row>
        <row r="84">
          <cell r="A84" t="str">
            <v>Anguilla</v>
          </cell>
        </row>
        <row r="85">
          <cell r="A85" t="str">
            <v>Ã…land Islands</v>
          </cell>
        </row>
        <row r="86">
          <cell r="A86" t="str">
            <v>Albania</v>
          </cell>
        </row>
        <row r="87">
          <cell r="A87" t="str">
            <v>Andorra</v>
          </cell>
        </row>
        <row r="88">
          <cell r="A88" t="str">
            <v>Armenia</v>
          </cell>
        </row>
        <row r="89">
          <cell r="A89" t="str">
            <v>American Samoa</v>
          </cell>
        </row>
        <row r="90">
          <cell r="A90" t="str">
            <v>Antarctica</v>
          </cell>
        </row>
        <row r="91">
          <cell r="A91" t="str">
            <v>French Southern Territories</v>
          </cell>
        </row>
        <row r="92">
          <cell r="A92" t="str">
            <v>Antigua &amp; Barbuda</v>
          </cell>
        </row>
        <row r="93">
          <cell r="A93" t="str">
            <v>Azerbaijan</v>
          </cell>
        </row>
        <row r="94">
          <cell r="A94" t="str">
            <v>Burundi</v>
          </cell>
        </row>
        <row r="95">
          <cell r="A95" t="str">
            <v>Benin</v>
          </cell>
        </row>
        <row r="96">
          <cell r="A96" t="str">
            <v>Caribbean Netherlands</v>
          </cell>
        </row>
        <row r="97">
          <cell r="A97" t="str">
            <v>Burkina Faso</v>
          </cell>
        </row>
        <row r="98">
          <cell r="A98" t="str">
            <v>Bangladesh</v>
          </cell>
        </row>
        <row r="99">
          <cell r="A99" t="str">
            <v>Bahamas</v>
          </cell>
        </row>
        <row r="100">
          <cell r="A100" t="str">
            <v>Bosnia &amp; Herzegovina</v>
          </cell>
        </row>
        <row r="101">
          <cell r="A101" t="str">
            <v>St. BarthÃ©lemy</v>
          </cell>
        </row>
        <row r="102">
          <cell r="A102" t="str">
            <v>Belarus</v>
          </cell>
        </row>
        <row r="103">
          <cell r="A103" t="str">
            <v>Belize</v>
          </cell>
        </row>
        <row r="104">
          <cell r="A104" t="str">
            <v>Bermuda</v>
          </cell>
        </row>
        <row r="105">
          <cell r="A105" t="str">
            <v>Bolivia</v>
          </cell>
        </row>
        <row r="106">
          <cell r="A106" t="str">
            <v>Barbados</v>
          </cell>
        </row>
        <row r="107">
          <cell r="A107" t="str">
            <v>Brunei</v>
          </cell>
        </row>
        <row r="108">
          <cell r="A108" t="str">
            <v>Bhutan</v>
          </cell>
        </row>
        <row r="109">
          <cell r="A109" t="str">
            <v>Bouvet Island</v>
          </cell>
        </row>
        <row r="110">
          <cell r="A110" t="str">
            <v>Central African Republic</v>
          </cell>
        </row>
        <row r="111">
          <cell r="A111" t="str">
            <v>Cocos (Keeling) Islands</v>
          </cell>
        </row>
        <row r="112">
          <cell r="A112" t="str">
            <v>CÃ´te dâ€™Ivoire</v>
          </cell>
        </row>
        <row r="113">
          <cell r="A113" t="str">
            <v>Cameroon</v>
          </cell>
        </row>
        <row r="114">
          <cell r="A114" t="str">
            <v>Congo - Kinshasa</v>
          </cell>
        </row>
        <row r="115">
          <cell r="A115" t="str">
            <v>Congo - Brazzaville</v>
          </cell>
        </row>
        <row r="116">
          <cell r="A116" t="str">
            <v>Cook Islands</v>
          </cell>
        </row>
        <row r="117">
          <cell r="A117" t="str">
            <v>Comoros</v>
          </cell>
        </row>
        <row r="118">
          <cell r="A118" t="str">
            <v>Cape Verde</v>
          </cell>
        </row>
        <row r="119">
          <cell r="A119" t="str">
            <v>Costa Rica</v>
          </cell>
        </row>
        <row r="120">
          <cell r="A120" t="str">
            <v>Cuba</v>
          </cell>
        </row>
        <row r="121">
          <cell r="A121" t="str">
            <v>CuraÃ§ao</v>
          </cell>
        </row>
        <row r="122">
          <cell r="A122" t="str">
            <v>Christmas Island</v>
          </cell>
        </row>
        <row r="123">
          <cell r="A123" t="str">
            <v>Cayman Islands</v>
          </cell>
        </row>
        <row r="124">
          <cell r="A124" t="str">
            <v>Djibouti</v>
          </cell>
        </row>
        <row r="125">
          <cell r="A125" t="str">
            <v>Dominica</v>
          </cell>
        </row>
        <row r="126">
          <cell r="A126" t="str">
            <v>Dominican Republic</v>
          </cell>
        </row>
        <row r="127">
          <cell r="A127" t="str">
            <v>Algeria</v>
          </cell>
        </row>
        <row r="128">
          <cell r="A128" t="str">
            <v>Ecuador</v>
          </cell>
        </row>
        <row r="129">
          <cell r="A129" t="str">
            <v>Eritrea</v>
          </cell>
        </row>
        <row r="130">
          <cell r="A130" t="str">
            <v>Western Sahara</v>
          </cell>
        </row>
        <row r="131">
          <cell r="A131" t="str">
            <v>Estonia</v>
          </cell>
        </row>
        <row r="132">
          <cell r="A132" t="str">
            <v>Ethiopia</v>
          </cell>
        </row>
        <row r="133">
          <cell r="A133" t="str">
            <v>Fiji</v>
          </cell>
        </row>
        <row r="134">
          <cell r="A134" t="str">
            <v>Falkland Islands (Islas Malvinas)</v>
          </cell>
        </row>
        <row r="135">
          <cell r="A135" t="str">
            <v>Faroe Islands</v>
          </cell>
        </row>
        <row r="136">
          <cell r="A136" t="str">
            <v>Micronesia</v>
          </cell>
        </row>
        <row r="137">
          <cell r="A137" t="str">
            <v>Gabon</v>
          </cell>
        </row>
        <row r="138">
          <cell r="A138" t="str">
            <v>Georgia</v>
          </cell>
        </row>
        <row r="139">
          <cell r="A139" t="str">
            <v>Guernsey</v>
          </cell>
        </row>
        <row r="140">
          <cell r="A140" t="str">
            <v>Ghana</v>
          </cell>
        </row>
        <row r="141">
          <cell r="A141" t="str">
            <v>Gibraltar</v>
          </cell>
        </row>
        <row r="142">
          <cell r="A142" t="str">
            <v>Guinea</v>
          </cell>
        </row>
        <row r="143">
          <cell r="A143" t="str">
            <v>Guadeloupe</v>
          </cell>
        </row>
        <row r="144">
          <cell r="A144" t="str">
            <v>Gambia</v>
          </cell>
        </row>
        <row r="145">
          <cell r="A145" t="str">
            <v>Guinea-Bissau</v>
          </cell>
        </row>
        <row r="146">
          <cell r="A146" t="str">
            <v>Equatorial Guinea</v>
          </cell>
        </row>
        <row r="147">
          <cell r="A147" t="str">
            <v>Grenada</v>
          </cell>
        </row>
        <row r="148">
          <cell r="A148" t="str">
            <v>Greenland</v>
          </cell>
        </row>
        <row r="149">
          <cell r="A149" t="str">
            <v>Guatemala</v>
          </cell>
        </row>
        <row r="150">
          <cell r="A150" t="str">
            <v>French Guiana</v>
          </cell>
        </row>
        <row r="151">
          <cell r="A151" t="str">
            <v>Guam</v>
          </cell>
        </row>
        <row r="152">
          <cell r="A152" t="str">
            <v>Guyana</v>
          </cell>
        </row>
        <row r="153">
          <cell r="A153" t="str">
            <v>Heard &amp; McDonald Islands</v>
          </cell>
        </row>
        <row r="154">
          <cell r="A154" t="str">
            <v>Honduras</v>
          </cell>
        </row>
        <row r="155">
          <cell r="A155" t="str">
            <v>Haiti</v>
          </cell>
        </row>
        <row r="156">
          <cell r="A156" t="str">
            <v>Isle of Man</v>
          </cell>
        </row>
        <row r="157">
          <cell r="A157" t="str">
            <v>British Indian Ocean Territory</v>
          </cell>
        </row>
        <row r="158">
          <cell r="A158" t="str">
            <v>Iraq</v>
          </cell>
        </row>
        <row r="159">
          <cell r="A159" t="str">
            <v>Jamaica</v>
          </cell>
        </row>
        <row r="160">
          <cell r="A160" t="str">
            <v>Jersey</v>
          </cell>
        </row>
        <row r="161">
          <cell r="A161" t="str">
            <v>Kyrgyzstan</v>
          </cell>
        </row>
        <row r="162">
          <cell r="A162" t="str">
            <v>Cambodia</v>
          </cell>
        </row>
        <row r="163">
          <cell r="A163" t="str">
            <v>Kiribati</v>
          </cell>
        </row>
        <row r="164">
          <cell r="A164" t="str">
            <v>St. Kitts &amp; Nevis</v>
          </cell>
        </row>
        <row r="165">
          <cell r="A165" t="str">
            <v>Kuwait</v>
          </cell>
        </row>
        <row r="166">
          <cell r="A166" t="str">
            <v>Laos</v>
          </cell>
        </row>
        <row r="167">
          <cell r="A167" t="str">
            <v>Liberia</v>
          </cell>
        </row>
        <row r="168">
          <cell r="A168" t="str">
            <v>Libya</v>
          </cell>
        </row>
        <row r="169">
          <cell r="A169" t="str">
            <v>St. Lucia</v>
          </cell>
        </row>
        <row r="170">
          <cell r="A170" t="str">
            <v>Liechtenstein</v>
          </cell>
        </row>
        <row r="171">
          <cell r="A171" t="str">
            <v>Lesotho</v>
          </cell>
        </row>
        <row r="172">
          <cell r="A172" t="str">
            <v>Luxembourg</v>
          </cell>
        </row>
        <row r="173">
          <cell r="A173" t="str">
            <v>Macao</v>
          </cell>
        </row>
        <row r="174">
          <cell r="A174" t="str">
            <v>St. Martin</v>
          </cell>
        </row>
        <row r="175">
          <cell r="A175" t="str">
            <v>Morocco</v>
          </cell>
        </row>
        <row r="176">
          <cell r="A176" t="str">
            <v>Monaco</v>
          </cell>
        </row>
        <row r="177">
          <cell r="A177" t="str">
            <v>Moldova</v>
          </cell>
        </row>
        <row r="178">
          <cell r="A178" t="str">
            <v>Madagascar</v>
          </cell>
        </row>
        <row r="179">
          <cell r="A179" t="str">
            <v>Maldives</v>
          </cell>
        </row>
        <row r="180">
          <cell r="A180" t="str">
            <v>Marshall Islands</v>
          </cell>
        </row>
        <row r="181">
          <cell r="A181" t="str">
            <v>Mali</v>
          </cell>
        </row>
        <row r="182">
          <cell r="A182" t="str">
            <v>Montenegro</v>
          </cell>
        </row>
        <row r="183">
          <cell r="A183" t="str">
            <v>Mongolia</v>
          </cell>
        </row>
        <row r="184">
          <cell r="A184" t="str">
            <v>Northern Mariana Islands</v>
          </cell>
        </row>
        <row r="185">
          <cell r="A185" t="str">
            <v>Mozambique</v>
          </cell>
        </row>
        <row r="186">
          <cell r="A186" t="str">
            <v>Mauritania</v>
          </cell>
        </row>
        <row r="187">
          <cell r="A187" t="str">
            <v>Montserrat</v>
          </cell>
        </row>
        <row r="188">
          <cell r="A188" t="str">
            <v>Martinique</v>
          </cell>
        </row>
        <row r="189">
          <cell r="A189" t="str">
            <v>Malawi</v>
          </cell>
        </row>
        <row r="190">
          <cell r="A190" t="str">
            <v>Mayotte</v>
          </cell>
        </row>
        <row r="191">
          <cell r="A191" t="str">
            <v>Namibia</v>
          </cell>
        </row>
        <row r="192">
          <cell r="A192" t="str">
            <v>New Caledonia</v>
          </cell>
        </row>
        <row r="193">
          <cell r="A193" t="str">
            <v>Niger</v>
          </cell>
        </row>
        <row r="194">
          <cell r="A194" t="str">
            <v>Norfolk Island</v>
          </cell>
        </row>
        <row r="195">
          <cell r="A195" t="str">
            <v>Nicaragua</v>
          </cell>
        </row>
        <row r="196">
          <cell r="A196" t="str">
            <v>Niue</v>
          </cell>
        </row>
        <row r="197">
          <cell r="A197" t="str">
            <v>Nauru</v>
          </cell>
        </row>
        <row r="198">
          <cell r="A198" t="str">
            <v>Oman</v>
          </cell>
        </row>
        <row r="199">
          <cell r="A199" t="str">
            <v>Panama</v>
          </cell>
        </row>
        <row r="200">
          <cell r="A200" t="str">
            <v>Pitcairn Islands</v>
          </cell>
        </row>
        <row r="201">
          <cell r="A201" t="str">
            <v>Peru</v>
          </cell>
        </row>
        <row r="202">
          <cell r="A202" t="str">
            <v>Palau</v>
          </cell>
        </row>
        <row r="203">
          <cell r="A203" t="str">
            <v>Papua New Guinea</v>
          </cell>
        </row>
        <row r="204">
          <cell r="A204" t="str">
            <v>Puerto Rico</v>
          </cell>
        </row>
        <row r="205">
          <cell r="A205" t="str">
            <v>North Korea</v>
          </cell>
        </row>
        <row r="206">
          <cell r="A206" t="str">
            <v>Paraguay</v>
          </cell>
        </row>
        <row r="207">
          <cell r="A207" t="str">
            <v>Palestine</v>
          </cell>
        </row>
        <row r="208">
          <cell r="A208" t="str">
            <v>French Polynesia</v>
          </cell>
        </row>
        <row r="209">
          <cell r="A209" t="str">
            <v>Qatar</v>
          </cell>
        </row>
        <row r="210">
          <cell r="A210" t="str">
            <v>RÃ©union</v>
          </cell>
        </row>
        <row r="211">
          <cell r="A211" t="str">
            <v>Sudan</v>
          </cell>
        </row>
        <row r="212">
          <cell r="A212" t="str">
            <v>Senegal</v>
          </cell>
        </row>
        <row r="213">
          <cell r="A213" t="str">
            <v>South Georgia &amp; South Sandwich Islands</v>
          </cell>
        </row>
        <row r="214">
          <cell r="A214" t="str">
            <v>Svalbard &amp; Jan Mayen</v>
          </cell>
        </row>
        <row r="215">
          <cell r="A215" t="str">
            <v>Solomon Islands</v>
          </cell>
        </row>
        <row r="216">
          <cell r="A216" t="str">
            <v>Sierra Leone</v>
          </cell>
        </row>
        <row r="217">
          <cell r="A217" t="str">
            <v>El Salvador</v>
          </cell>
        </row>
        <row r="218">
          <cell r="A218" t="str">
            <v>San Marino</v>
          </cell>
        </row>
        <row r="219">
          <cell r="A219" t="str">
            <v>Somalia</v>
          </cell>
        </row>
        <row r="220">
          <cell r="A220" t="str">
            <v>St. Pierre &amp; Miquelon</v>
          </cell>
        </row>
        <row r="221">
          <cell r="A221" t="str">
            <v>South Sudan</v>
          </cell>
        </row>
        <row r="222">
          <cell r="A222" t="str">
            <v>SÃ£o TomÃ© &amp; PrÃ­ncipe</v>
          </cell>
        </row>
        <row r="223">
          <cell r="A223" t="str">
            <v>Suriname</v>
          </cell>
        </row>
        <row r="224">
          <cell r="A224" t="str">
            <v>Slovakia</v>
          </cell>
        </row>
        <row r="225">
          <cell r="A225" t="str">
            <v>Eswatini</v>
          </cell>
        </row>
        <row r="226">
          <cell r="A226" t="str">
            <v>Sint Maarten</v>
          </cell>
        </row>
        <row r="227">
          <cell r="A227" t="str">
            <v>Seychelles</v>
          </cell>
        </row>
        <row r="228">
          <cell r="A228" t="str">
            <v>Syria</v>
          </cell>
        </row>
        <row r="229">
          <cell r="A229" t="str">
            <v>Turks &amp; Caicos Islands</v>
          </cell>
        </row>
        <row r="230">
          <cell r="A230" t="str">
            <v>Chad</v>
          </cell>
        </row>
        <row r="231">
          <cell r="A231" t="str">
            <v>Togo</v>
          </cell>
        </row>
        <row r="232">
          <cell r="A232" t="str">
            <v>Tajikistan</v>
          </cell>
        </row>
        <row r="233">
          <cell r="A233" t="str">
            <v>Tokelau</v>
          </cell>
        </row>
        <row r="234">
          <cell r="A234" t="str">
            <v>Turkmenistan</v>
          </cell>
        </row>
        <row r="235">
          <cell r="A235" t="str">
            <v>Timor-Leste</v>
          </cell>
        </row>
        <row r="236">
          <cell r="A236" t="str">
            <v>Tonga</v>
          </cell>
        </row>
        <row r="237">
          <cell r="A237" t="str">
            <v>Tunisia</v>
          </cell>
        </row>
        <row r="238">
          <cell r="A238" t="str">
            <v>Tuvalu</v>
          </cell>
        </row>
        <row r="239">
          <cell r="A239" t="str">
            <v>Tanzania</v>
          </cell>
        </row>
        <row r="240">
          <cell r="A240" t="str">
            <v>Uganda</v>
          </cell>
        </row>
        <row r="241">
          <cell r="A241" t="str">
            <v>U.S. Outlying Islands</v>
          </cell>
        </row>
        <row r="242">
          <cell r="A242" t="str">
            <v>Uruguay</v>
          </cell>
        </row>
        <row r="243">
          <cell r="A243" t="str">
            <v>Vatican City</v>
          </cell>
        </row>
        <row r="244">
          <cell r="A244" t="str">
            <v>St. Vincent &amp; Grenadines</v>
          </cell>
        </row>
        <row r="245">
          <cell r="A245" t="str">
            <v>Venezuela</v>
          </cell>
        </row>
        <row r="246">
          <cell r="A246" t="str">
            <v>British Virgin Islands</v>
          </cell>
        </row>
        <row r="247">
          <cell r="A247" t="str">
            <v>U.S. Virgin Islands</v>
          </cell>
        </row>
        <row r="248">
          <cell r="A248" t="str">
            <v>Vanuatu</v>
          </cell>
        </row>
        <row r="249">
          <cell r="A249" t="str">
            <v>Wallis &amp; Futuna</v>
          </cell>
        </row>
        <row r="250">
          <cell r="A250" t="str">
            <v>Samoa</v>
          </cell>
        </row>
        <row r="251">
          <cell r="A251" t="str">
            <v>Kosovo</v>
          </cell>
        </row>
        <row r="252">
          <cell r="A252" t="str">
            <v>Yemen</v>
          </cell>
        </row>
        <row r="253">
          <cell r="A253" t="str">
            <v>Zambia</v>
          </cell>
        </row>
      </sheetData>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52)"/>
    </sheetNames>
    <sheetDataSet>
      <sheetData sheetId="0" refreshError="1">
        <row r="1">
          <cell r="A1" t="str">
            <v>Kategori: TÃ¼m kategoriler</v>
          </cell>
        </row>
        <row r="3">
          <cell r="A3" t="str">
            <v>Ãœlke</v>
          </cell>
          <cell r="B3" t="str">
            <v>Spectral clustering: (2018)</v>
          </cell>
          <cell r="C3" t="str">
            <v>YazmaÃ§ Ã¶beÄŸi: (2018)</v>
          </cell>
        </row>
        <row r="4">
          <cell r="A4" t="str">
            <v>China</v>
          </cell>
          <cell r="B4">
            <v>1</v>
          </cell>
        </row>
        <row r="5">
          <cell r="A5" t="str">
            <v>South Korea</v>
          </cell>
          <cell r="B5">
            <v>0.64</v>
          </cell>
          <cell r="C5">
            <v>0.36</v>
          </cell>
        </row>
        <row r="6">
          <cell r="A6" t="str">
            <v>Austria</v>
          </cell>
          <cell r="C6">
            <v>1</v>
          </cell>
        </row>
        <row r="7">
          <cell r="A7" t="str">
            <v>Pakistan</v>
          </cell>
          <cell r="C7">
            <v>1</v>
          </cell>
        </row>
        <row r="8">
          <cell r="A8" t="str">
            <v>Saudi Arabia</v>
          </cell>
          <cell r="C8">
            <v>1</v>
          </cell>
        </row>
        <row r="9">
          <cell r="A9" t="str">
            <v>United States</v>
          </cell>
          <cell r="B9">
            <v>0.57999999999999996</v>
          </cell>
          <cell r="C9">
            <v>0.42</v>
          </cell>
        </row>
        <row r="10">
          <cell r="A10" t="str">
            <v>Taiwan</v>
          </cell>
          <cell r="B10">
            <v>0.5</v>
          </cell>
          <cell r="C10">
            <v>0.5</v>
          </cell>
        </row>
        <row r="11">
          <cell r="A11" t="str">
            <v>Japan</v>
          </cell>
          <cell r="B11">
            <v>0.44</v>
          </cell>
          <cell r="C11">
            <v>0.56000000000000005</v>
          </cell>
        </row>
        <row r="12">
          <cell r="A12" t="str">
            <v>United Arab Emirates</v>
          </cell>
          <cell r="C12">
            <v>1</v>
          </cell>
        </row>
        <row r="13">
          <cell r="A13" t="str">
            <v>India</v>
          </cell>
          <cell r="B13">
            <v>0.48</v>
          </cell>
          <cell r="C13">
            <v>0.52</v>
          </cell>
        </row>
        <row r="14">
          <cell r="A14" t="str">
            <v>Malaysia</v>
          </cell>
          <cell r="C14">
            <v>1</v>
          </cell>
        </row>
        <row r="15">
          <cell r="A15" t="str">
            <v>Germany</v>
          </cell>
          <cell r="B15">
            <v>0.51</v>
          </cell>
          <cell r="C15">
            <v>0.49</v>
          </cell>
        </row>
        <row r="16">
          <cell r="A16" t="str">
            <v>Iran</v>
          </cell>
          <cell r="B16">
            <v>1</v>
          </cell>
        </row>
        <row r="17">
          <cell r="A17" t="str">
            <v>France</v>
          </cell>
          <cell r="B17">
            <v>0.69</v>
          </cell>
          <cell r="C17">
            <v>0.31</v>
          </cell>
        </row>
        <row r="18">
          <cell r="A18" t="str">
            <v>Canada</v>
          </cell>
          <cell r="B18">
            <v>0.36</v>
          </cell>
          <cell r="C18">
            <v>0.64</v>
          </cell>
        </row>
        <row r="19">
          <cell r="A19" t="str">
            <v>Australia</v>
          </cell>
          <cell r="B19">
            <v>0.86</v>
          </cell>
          <cell r="C19">
            <v>0.14000000000000001</v>
          </cell>
        </row>
        <row r="20">
          <cell r="A20" t="str">
            <v>Italy</v>
          </cell>
          <cell r="C20">
            <v>1</v>
          </cell>
        </row>
        <row r="21">
          <cell r="A21" t="str">
            <v>Mexico</v>
          </cell>
          <cell r="C21">
            <v>1</v>
          </cell>
        </row>
        <row r="22">
          <cell r="A22" t="str">
            <v>United Kingdom</v>
          </cell>
          <cell r="B22">
            <v>0.66</v>
          </cell>
          <cell r="C22">
            <v>0.34</v>
          </cell>
        </row>
        <row r="23">
          <cell r="A23" t="str">
            <v>Russia</v>
          </cell>
          <cell r="C23">
            <v>1</v>
          </cell>
        </row>
        <row r="24">
          <cell r="A24" t="str">
            <v>Indonesia</v>
          </cell>
          <cell r="C24">
            <v>1</v>
          </cell>
        </row>
        <row r="25">
          <cell r="A25" t="str">
            <v>Thailand</v>
          </cell>
          <cell r="C25">
            <v>1</v>
          </cell>
        </row>
        <row r="26">
          <cell r="A26" t="str">
            <v>Ukraine</v>
          </cell>
          <cell r="C26">
            <v>1</v>
          </cell>
        </row>
        <row r="27">
          <cell r="A27" t="str">
            <v>Philippines</v>
          </cell>
          <cell r="C27">
            <v>1</v>
          </cell>
        </row>
        <row r="28">
          <cell r="A28" t="str">
            <v>Laos</v>
          </cell>
        </row>
        <row r="29">
          <cell r="A29" t="str">
            <v>Albania</v>
          </cell>
        </row>
        <row r="30">
          <cell r="A30" t="str">
            <v>Hong Kong</v>
          </cell>
        </row>
        <row r="31">
          <cell r="A31" t="str">
            <v>Lebanon</v>
          </cell>
        </row>
        <row r="32">
          <cell r="A32" t="str">
            <v>Israel</v>
          </cell>
        </row>
        <row r="33">
          <cell r="A33" t="str">
            <v>Honduras</v>
          </cell>
        </row>
        <row r="34">
          <cell r="A34" t="str">
            <v>Singapore</v>
          </cell>
        </row>
        <row r="35">
          <cell r="A35" t="str">
            <v>St. Helena</v>
          </cell>
        </row>
        <row r="36">
          <cell r="A36" t="str">
            <v>Syria</v>
          </cell>
        </row>
        <row r="37">
          <cell r="A37" t="str">
            <v>Latvia</v>
          </cell>
        </row>
        <row r="38">
          <cell r="A38" t="str">
            <v>Belarus</v>
          </cell>
        </row>
        <row r="39">
          <cell r="A39" t="str">
            <v>Egypt</v>
          </cell>
        </row>
        <row r="40">
          <cell r="A40" t="str">
            <v>Finland</v>
          </cell>
        </row>
        <row r="41">
          <cell r="A41" t="str">
            <v>Tunisia</v>
          </cell>
        </row>
        <row r="42">
          <cell r="A42" t="str">
            <v>Costa Rica</v>
          </cell>
        </row>
        <row r="43">
          <cell r="A43" t="str">
            <v>Sri Lanka</v>
          </cell>
        </row>
        <row r="44">
          <cell r="A44" t="str">
            <v>Denmark</v>
          </cell>
        </row>
        <row r="45">
          <cell r="A45" t="str">
            <v>Slovakia</v>
          </cell>
        </row>
        <row r="46">
          <cell r="A46" t="str">
            <v>Greece</v>
          </cell>
        </row>
        <row r="47">
          <cell r="A47" t="str">
            <v>Netherlands</v>
          </cell>
        </row>
        <row r="48">
          <cell r="A48" t="str">
            <v>Morocco</v>
          </cell>
        </row>
        <row r="49">
          <cell r="A49" t="str">
            <v>Bangladesh</v>
          </cell>
        </row>
        <row r="50">
          <cell r="A50" t="str">
            <v>Sweden</v>
          </cell>
        </row>
        <row r="51">
          <cell r="A51" t="str">
            <v>New Zealand</v>
          </cell>
        </row>
        <row r="52">
          <cell r="A52" t="str">
            <v>Algeria</v>
          </cell>
        </row>
        <row r="53">
          <cell r="A53" t="str">
            <v>Kazakhstan</v>
          </cell>
        </row>
        <row r="54">
          <cell r="A54" t="str">
            <v>Norway</v>
          </cell>
        </row>
        <row r="55">
          <cell r="A55" t="str">
            <v>Nigeria</v>
          </cell>
        </row>
        <row r="56">
          <cell r="A56" t="str">
            <v>Portugal</v>
          </cell>
        </row>
        <row r="57">
          <cell r="A57" t="str">
            <v>Argentina</v>
          </cell>
        </row>
        <row r="58">
          <cell r="A58" t="str">
            <v>Spain</v>
          </cell>
        </row>
        <row r="59">
          <cell r="A59" t="str">
            <v>Romania</v>
          </cell>
        </row>
        <row r="60">
          <cell r="A60" t="str">
            <v>Switzerland</v>
          </cell>
        </row>
        <row r="61">
          <cell r="A61" t="str">
            <v>Poland</v>
          </cell>
        </row>
        <row r="62">
          <cell r="A62" t="str">
            <v>South Africa</v>
          </cell>
        </row>
        <row r="63">
          <cell r="A63" t="str">
            <v>Colombia</v>
          </cell>
        </row>
        <row r="64">
          <cell r="A64" t="str">
            <v>Vietnam</v>
          </cell>
        </row>
        <row r="65">
          <cell r="A65" t="str">
            <v>Turkey</v>
          </cell>
        </row>
        <row r="66">
          <cell r="A66" t="str">
            <v>Brazil</v>
          </cell>
        </row>
        <row r="67">
          <cell r="A67" t="str">
            <v>Aruba</v>
          </cell>
        </row>
        <row r="68">
          <cell r="A68" t="str">
            <v>Afghanistan</v>
          </cell>
        </row>
        <row r="69">
          <cell r="A69" t="str">
            <v>Angola</v>
          </cell>
        </row>
        <row r="70">
          <cell r="A70" t="str">
            <v>Anguilla</v>
          </cell>
        </row>
        <row r="71">
          <cell r="A71" t="str">
            <v>Ã…land Islands</v>
          </cell>
        </row>
        <row r="72">
          <cell r="A72" t="str">
            <v>Andorra</v>
          </cell>
        </row>
        <row r="73">
          <cell r="A73" t="str">
            <v>Armenia</v>
          </cell>
        </row>
        <row r="74">
          <cell r="A74" t="str">
            <v>American Samoa</v>
          </cell>
        </row>
        <row r="75">
          <cell r="A75" t="str">
            <v>Antarctica</v>
          </cell>
        </row>
        <row r="76">
          <cell r="A76" t="str">
            <v>French Southern Territories</v>
          </cell>
        </row>
        <row r="77">
          <cell r="A77" t="str">
            <v>Antigua &amp; Barbuda</v>
          </cell>
        </row>
        <row r="78">
          <cell r="A78" t="str">
            <v>Azerbaijan</v>
          </cell>
        </row>
        <row r="79">
          <cell r="A79" t="str">
            <v>Burundi</v>
          </cell>
        </row>
        <row r="80">
          <cell r="A80" t="str">
            <v>Belgium</v>
          </cell>
        </row>
        <row r="81">
          <cell r="A81" t="str">
            <v>Benin</v>
          </cell>
        </row>
        <row r="82">
          <cell r="A82" t="str">
            <v>Caribbean Netherlands</v>
          </cell>
        </row>
        <row r="83">
          <cell r="A83" t="str">
            <v>Burkina Faso</v>
          </cell>
        </row>
        <row r="84">
          <cell r="A84" t="str">
            <v>Bulgaria</v>
          </cell>
        </row>
        <row r="85">
          <cell r="A85" t="str">
            <v>Bahrain</v>
          </cell>
        </row>
        <row r="86">
          <cell r="A86" t="str">
            <v>Bahamas</v>
          </cell>
        </row>
        <row r="87">
          <cell r="A87" t="str">
            <v>Bosnia &amp; Herzegovina</v>
          </cell>
        </row>
        <row r="88">
          <cell r="A88" t="str">
            <v>St. BarthÃ©lemy</v>
          </cell>
        </row>
        <row r="89">
          <cell r="A89" t="str">
            <v>Belize</v>
          </cell>
        </row>
        <row r="90">
          <cell r="A90" t="str">
            <v>Bermuda</v>
          </cell>
        </row>
        <row r="91">
          <cell r="A91" t="str">
            <v>Bolivia</v>
          </cell>
        </row>
        <row r="92">
          <cell r="A92" t="str">
            <v>Barbados</v>
          </cell>
        </row>
        <row r="93">
          <cell r="A93" t="str">
            <v>Brunei</v>
          </cell>
        </row>
        <row r="94">
          <cell r="A94" t="str">
            <v>Bhutan</v>
          </cell>
        </row>
        <row r="95">
          <cell r="A95" t="str">
            <v>Bouvet Island</v>
          </cell>
        </row>
        <row r="96">
          <cell r="A96" t="str">
            <v>Botswana</v>
          </cell>
        </row>
        <row r="97">
          <cell r="A97" t="str">
            <v>Central African Republic</v>
          </cell>
        </row>
        <row r="98">
          <cell r="A98" t="str">
            <v>Cocos (Keeling) Islands</v>
          </cell>
        </row>
        <row r="99">
          <cell r="A99" t="str">
            <v>Chile</v>
          </cell>
        </row>
        <row r="100">
          <cell r="A100" t="str">
            <v>CÃ´te dâ€™Ivoire</v>
          </cell>
        </row>
        <row r="101">
          <cell r="A101" t="str">
            <v>Cameroon</v>
          </cell>
        </row>
        <row r="102">
          <cell r="A102" t="str">
            <v>Congo - Kinshasa</v>
          </cell>
        </row>
        <row r="103">
          <cell r="A103" t="str">
            <v>Congo - Brazzaville</v>
          </cell>
        </row>
        <row r="104">
          <cell r="A104" t="str">
            <v>Cook Islands</v>
          </cell>
        </row>
        <row r="105">
          <cell r="A105" t="str">
            <v>Comoros</v>
          </cell>
        </row>
        <row r="106">
          <cell r="A106" t="str">
            <v>Cape Verde</v>
          </cell>
        </row>
        <row r="107">
          <cell r="A107" t="str">
            <v>Cuba</v>
          </cell>
        </row>
        <row r="108">
          <cell r="A108" t="str">
            <v>CuraÃ§ao</v>
          </cell>
        </row>
        <row r="109">
          <cell r="A109" t="str">
            <v>Christmas Island</v>
          </cell>
        </row>
        <row r="110">
          <cell r="A110" t="str">
            <v>Cayman Islands</v>
          </cell>
        </row>
        <row r="111">
          <cell r="A111" t="str">
            <v>Cyprus</v>
          </cell>
        </row>
        <row r="112">
          <cell r="A112" t="str">
            <v>Czechia</v>
          </cell>
        </row>
        <row r="113">
          <cell r="A113" t="str">
            <v>Djibouti</v>
          </cell>
        </row>
        <row r="114">
          <cell r="A114" t="str">
            <v>Dominica</v>
          </cell>
        </row>
        <row r="115">
          <cell r="A115" t="str">
            <v>Dominican Republic</v>
          </cell>
        </row>
        <row r="116">
          <cell r="A116" t="str">
            <v>Ecuador</v>
          </cell>
        </row>
        <row r="117">
          <cell r="A117" t="str">
            <v>Eritrea</v>
          </cell>
        </row>
        <row r="118">
          <cell r="A118" t="str">
            <v>Western Sahara</v>
          </cell>
        </row>
        <row r="119">
          <cell r="A119" t="str">
            <v>Estonia</v>
          </cell>
        </row>
        <row r="120">
          <cell r="A120" t="str">
            <v>Ethiopia</v>
          </cell>
        </row>
        <row r="121">
          <cell r="A121" t="str">
            <v>Fiji</v>
          </cell>
        </row>
        <row r="122">
          <cell r="A122" t="str">
            <v>Falkland Islands (Islas Malvinas)</v>
          </cell>
        </row>
        <row r="123">
          <cell r="A123" t="str">
            <v>Faroe Islands</v>
          </cell>
        </row>
        <row r="124">
          <cell r="A124" t="str">
            <v>Micronesia</v>
          </cell>
        </row>
        <row r="125">
          <cell r="A125" t="str">
            <v>Gabon</v>
          </cell>
        </row>
        <row r="126">
          <cell r="A126" t="str">
            <v>Georgia</v>
          </cell>
        </row>
        <row r="127">
          <cell r="A127" t="str">
            <v>Guernsey</v>
          </cell>
        </row>
        <row r="128">
          <cell r="A128" t="str">
            <v>Ghana</v>
          </cell>
        </row>
        <row r="129">
          <cell r="A129" t="str">
            <v>Gibraltar</v>
          </cell>
        </row>
        <row r="130">
          <cell r="A130" t="str">
            <v>Guinea</v>
          </cell>
        </row>
        <row r="131">
          <cell r="A131" t="str">
            <v>Guadeloupe</v>
          </cell>
        </row>
        <row r="132">
          <cell r="A132" t="str">
            <v>Gambia</v>
          </cell>
        </row>
        <row r="133">
          <cell r="A133" t="str">
            <v>Guinea-Bissau</v>
          </cell>
        </row>
        <row r="134">
          <cell r="A134" t="str">
            <v>Equatorial Guinea</v>
          </cell>
        </row>
        <row r="135">
          <cell r="A135" t="str">
            <v>Grenada</v>
          </cell>
        </row>
        <row r="136">
          <cell r="A136" t="str">
            <v>Greenland</v>
          </cell>
        </row>
        <row r="137">
          <cell r="A137" t="str">
            <v>Guatemala</v>
          </cell>
        </row>
        <row r="138">
          <cell r="A138" t="str">
            <v>French Guiana</v>
          </cell>
        </row>
        <row r="139">
          <cell r="A139" t="str">
            <v>Guam</v>
          </cell>
        </row>
        <row r="140">
          <cell r="A140" t="str">
            <v>Guyana</v>
          </cell>
        </row>
        <row r="141">
          <cell r="A141" t="str">
            <v>Heard &amp; McDonald Islands</v>
          </cell>
        </row>
        <row r="142">
          <cell r="A142" t="str">
            <v>Croatia</v>
          </cell>
        </row>
        <row r="143">
          <cell r="A143" t="str">
            <v>Haiti</v>
          </cell>
        </row>
        <row r="144">
          <cell r="A144" t="str">
            <v>Hungary</v>
          </cell>
        </row>
        <row r="145">
          <cell r="A145" t="str">
            <v>Isle of Man</v>
          </cell>
        </row>
        <row r="146">
          <cell r="A146" t="str">
            <v>British Indian Ocean Territory</v>
          </cell>
        </row>
        <row r="147">
          <cell r="A147" t="str">
            <v>Ireland</v>
          </cell>
        </row>
        <row r="148">
          <cell r="A148" t="str">
            <v>Iraq</v>
          </cell>
        </row>
        <row r="149">
          <cell r="A149" t="str">
            <v>Iceland</v>
          </cell>
        </row>
        <row r="150">
          <cell r="A150" t="str">
            <v>Jamaica</v>
          </cell>
        </row>
        <row r="151">
          <cell r="A151" t="str">
            <v>Jersey</v>
          </cell>
        </row>
        <row r="152">
          <cell r="A152" t="str">
            <v>Jordan</v>
          </cell>
        </row>
        <row r="153">
          <cell r="A153" t="str">
            <v>Kenya</v>
          </cell>
        </row>
        <row r="154">
          <cell r="A154" t="str">
            <v>Kyrgyzstan</v>
          </cell>
        </row>
        <row r="155">
          <cell r="A155" t="str">
            <v>Cambodia</v>
          </cell>
        </row>
        <row r="156">
          <cell r="A156" t="str">
            <v>Kiribati</v>
          </cell>
        </row>
        <row r="157">
          <cell r="A157" t="str">
            <v>St. Kitts &amp; Nevis</v>
          </cell>
        </row>
        <row r="158">
          <cell r="A158" t="str">
            <v>Kuwait</v>
          </cell>
        </row>
        <row r="159">
          <cell r="A159" t="str">
            <v>Liberia</v>
          </cell>
        </row>
        <row r="160">
          <cell r="A160" t="str">
            <v>Libya</v>
          </cell>
        </row>
        <row r="161">
          <cell r="A161" t="str">
            <v>St. Lucia</v>
          </cell>
        </row>
        <row r="162">
          <cell r="A162" t="str">
            <v>Liechtenstein</v>
          </cell>
        </row>
        <row r="163">
          <cell r="A163" t="str">
            <v>Lesotho</v>
          </cell>
        </row>
        <row r="164">
          <cell r="A164" t="str">
            <v>Lithuania</v>
          </cell>
        </row>
        <row r="165">
          <cell r="A165" t="str">
            <v>Luxembourg</v>
          </cell>
        </row>
        <row r="166">
          <cell r="A166" t="str">
            <v>Macao</v>
          </cell>
        </row>
        <row r="167">
          <cell r="A167" t="str">
            <v>St. Martin</v>
          </cell>
        </row>
        <row r="168">
          <cell r="A168" t="str">
            <v>Monaco</v>
          </cell>
        </row>
        <row r="169">
          <cell r="A169" t="str">
            <v>Moldova</v>
          </cell>
        </row>
        <row r="170">
          <cell r="A170" t="str">
            <v>Madagascar</v>
          </cell>
        </row>
        <row r="171">
          <cell r="A171" t="str">
            <v>Maldives</v>
          </cell>
        </row>
        <row r="172">
          <cell r="A172" t="str">
            <v>Marshall Islands</v>
          </cell>
        </row>
        <row r="173">
          <cell r="A173" t="str">
            <v>North Macedonia</v>
          </cell>
        </row>
        <row r="174">
          <cell r="A174" t="str">
            <v>Mali</v>
          </cell>
        </row>
        <row r="175">
          <cell r="A175" t="str">
            <v>Malta</v>
          </cell>
        </row>
        <row r="176">
          <cell r="A176" t="str">
            <v>Myanmar (Burma)</v>
          </cell>
        </row>
        <row r="177">
          <cell r="A177" t="str">
            <v>Montenegro</v>
          </cell>
        </row>
        <row r="178">
          <cell r="A178" t="str">
            <v>Mongolia</v>
          </cell>
        </row>
        <row r="179">
          <cell r="A179" t="str">
            <v>Northern Mariana Islands</v>
          </cell>
        </row>
        <row r="180">
          <cell r="A180" t="str">
            <v>Mozambique</v>
          </cell>
        </row>
        <row r="181">
          <cell r="A181" t="str">
            <v>Mauritania</v>
          </cell>
        </row>
        <row r="182">
          <cell r="A182" t="str">
            <v>Montserrat</v>
          </cell>
        </row>
        <row r="183">
          <cell r="A183" t="str">
            <v>Martinique</v>
          </cell>
        </row>
        <row r="184">
          <cell r="A184" t="str">
            <v>Mauritius</v>
          </cell>
        </row>
        <row r="185">
          <cell r="A185" t="str">
            <v>Malawi</v>
          </cell>
        </row>
        <row r="186">
          <cell r="A186" t="str">
            <v>Mayotte</v>
          </cell>
        </row>
        <row r="187">
          <cell r="A187" t="str">
            <v>Namibia</v>
          </cell>
        </row>
        <row r="188">
          <cell r="A188" t="str">
            <v>New Caledonia</v>
          </cell>
        </row>
        <row r="189">
          <cell r="A189" t="str">
            <v>Niger</v>
          </cell>
        </row>
        <row r="190">
          <cell r="A190" t="str">
            <v>Norfolk Island</v>
          </cell>
        </row>
        <row r="191">
          <cell r="A191" t="str">
            <v>Nicaragua</v>
          </cell>
        </row>
        <row r="192">
          <cell r="A192" t="str">
            <v>Niue</v>
          </cell>
        </row>
        <row r="193">
          <cell r="A193" t="str">
            <v>Nepal</v>
          </cell>
        </row>
        <row r="194">
          <cell r="A194" t="str">
            <v>Nauru</v>
          </cell>
        </row>
        <row r="195">
          <cell r="A195" t="str">
            <v>Oman</v>
          </cell>
        </row>
        <row r="196">
          <cell r="A196" t="str">
            <v>Panama</v>
          </cell>
        </row>
        <row r="197">
          <cell r="A197" t="str">
            <v>Pitcairn Islands</v>
          </cell>
        </row>
        <row r="198">
          <cell r="A198" t="str">
            <v>Peru</v>
          </cell>
        </row>
        <row r="199">
          <cell r="A199" t="str">
            <v>Palau</v>
          </cell>
        </row>
        <row r="200">
          <cell r="A200" t="str">
            <v>Papua New Guinea</v>
          </cell>
        </row>
        <row r="201">
          <cell r="A201" t="str">
            <v>Puerto Rico</v>
          </cell>
        </row>
        <row r="202">
          <cell r="A202" t="str">
            <v>North Korea</v>
          </cell>
        </row>
        <row r="203">
          <cell r="A203" t="str">
            <v>Paraguay</v>
          </cell>
        </row>
        <row r="204">
          <cell r="A204" t="str">
            <v>Palestine</v>
          </cell>
        </row>
        <row r="205">
          <cell r="A205" t="str">
            <v>French Polynesia</v>
          </cell>
        </row>
        <row r="206">
          <cell r="A206" t="str">
            <v>Qatar</v>
          </cell>
        </row>
        <row r="207">
          <cell r="A207" t="str">
            <v>RÃ©union</v>
          </cell>
        </row>
        <row r="208">
          <cell r="A208" t="str">
            <v>Rwanda</v>
          </cell>
        </row>
        <row r="209">
          <cell r="A209" t="str">
            <v>Sudan</v>
          </cell>
        </row>
        <row r="210">
          <cell r="A210" t="str">
            <v>Senegal</v>
          </cell>
        </row>
        <row r="211">
          <cell r="A211" t="str">
            <v>South Georgia &amp; South Sandwich Islands</v>
          </cell>
        </row>
        <row r="212">
          <cell r="A212" t="str">
            <v>Svalbard &amp; Jan Mayen</v>
          </cell>
        </row>
        <row r="213">
          <cell r="A213" t="str">
            <v>Solomon Islands</v>
          </cell>
        </row>
        <row r="214">
          <cell r="A214" t="str">
            <v>Sierra Leone</v>
          </cell>
        </row>
        <row r="215">
          <cell r="A215" t="str">
            <v>El Salvador</v>
          </cell>
        </row>
        <row r="216">
          <cell r="A216" t="str">
            <v>San Marino</v>
          </cell>
        </row>
        <row r="217">
          <cell r="A217" t="str">
            <v>Somalia</v>
          </cell>
        </row>
        <row r="218">
          <cell r="A218" t="str">
            <v>St. Pierre &amp; Miquelon</v>
          </cell>
        </row>
        <row r="219">
          <cell r="A219" t="str">
            <v>Serbia</v>
          </cell>
        </row>
        <row r="220">
          <cell r="A220" t="str">
            <v>South Sudan</v>
          </cell>
        </row>
        <row r="221">
          <cell r="A221" t="str">
            <v>SÃ£o TomÃ© &amp; PrÃ­ncipe</v>
          </cell>
        </row>
        <row r="222">
          <cell r="A222" t="str">
            <v>Suriname</v>
          </cell>
        </row>
        <row r="223">
          <cell r="A223" t="str">
            <v>Slovenia</v>
          </cell>
        </row>
        <row r="224">
          <cell r="A224" t="str">
            <v>Eswatini</v>
          </cell>
        </row>
        <row r="225">
          <cell r="A225" t="str">
            <v>Sint Maarten</v>
          </cell>
        </row>
        <row r="226">
          <cell r="A226" t="str">
            <v>Seychelles</v>
          </cell>
        </row>
        <row r="227">
          <cell r="A227" t="str">
            <v>Turks &amp; Caicos Islands</v>
          </cell>
        </row>
        <row r="228">
          <cell r="A228" t="str">
            <v>Chad</v>
          </cell>
        </row>
        <row r="229">
          <cell r="A229" t="str">
            <v>Togo</v>
          </cell>
        </row>
        <row r="230">
          <cell r="A230" t="str">
            <v>Tajikistan</v>
          </cell>
        </row>
        <row r="231">
          <cell r="A231" t="str">
            <v>Tokelau</v>
          </cell>
        </row>
        <row r="232">
          <cell r="A232" t="str">
            <v>Turkmenistan</v>
          </cell>
        </row>
        <row r="233">
          <cell r="A233" t="str">
            <v>Timor-Leste</v>
          </cell>
        </row>
        <row r="234">
          <cell r="A234" t="str">
            <v>Tonga</v>
          </cell>
        </row>
        <row r="235">
          <cell r="A235" t="str">
            <v>Trinidad &amp; Tobago</v>
          </cell>
        </row>
        <row r="236">
          <cell r="A236" t="str">
            <v>Tuvalu</v>
          </cell>
        </row>
        <row r="237">
          <cell r="A237" t="str">
            <v>Tanzania</v>
          </cell>
        </row>
        <row r="238">
          <cell r="A238" t="str">
            <v>Uganda</v>
          </cell>
        </row>
        <row r="239">
          <cell r="A239" t="str">
            <v>U.S. Outlying Islands</v>
          </cell>
        </row>
        <row r="240">
          <cell r="A240" t="str">
            <v>Uruguay</v>
          </cell>
        </row>
        <row r="241">
          <cell r="A241" t="str">
            <v>Uzbekistan</v>
          </cell>
        </row>
        <row r="242">
          <cell r="A242" t="str">
            <v>Vatican City</v>
          </cell>
        </row>
        <row r="243">
          <cell r="A243" t="str">
            <v>St. Vincent &amp; Grenadines</v>
          </cell>
        </row>
        <row r="244">
          <cell r="A244" t="str">
            <v>Venezuela</v>
          </cell>
        </row>
        <row r="245">
          <cell r="A245" t="str">
            <v>British Virgin Islands</v>
          </cell>
        </row>
        <row r="246">
          <cell r="A246" t="str">
            <v>U.S. Virgin Islands</v>
          </cell>
        </row>
        <row r="247">
          <cell r="A247" t="str">
            <v>Vanuatu</v>
          </cell>
        </row>
        <row r="248">
          <cell r="A248" t="str">
            <v>Wallis &amp; Futuna</v>
          </cell>
        </row>
        <row r="249">
          <cell r="A249" t="str">
            <v>Samoa</v>
          </cell>
        </row>
        <row r="250">
          <cell r="A250" t="str">
            <v>Kosovo</v>
          </cell>
        </row>
        <row r="251">
          <cell r="A251" t="str">
            <v>Yemen</v>
          </cell>
        </row>
        <row r="252">
          <cell r="A252" t="str">
            <v>Zambia</v>
          </cell>
        </row>
        <row r="253">
          <cell r="A253" t="str">
            <v>Zimbabwe</v>
          </cell>
        </row>
      </sheetData>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53)"/>
    </sheetNames>
    <sheetDataSet>
      <sheetData sheetId="0" refreshError="1">
        <row r="1">
          <cell r="A1" t="str">
            <v>Kategori: TÃ¼m kategoriler</v>
          </cell>
        </row>
        <row r="3">
          <cell r="A3" t="str">
            <v>Ãœlke</v>
          </cell>
          <cell r="B3" t="str">
            <v>YazmaÃ§ Ã¶beÄŸi: (2018)</v>
          </cell>
          <cell r="C3" t="str">
            <v>Chernoff bound: (2018)</v>
          </cell>
        </row>
        <row r="4">
          <cell r="A4" t="str">
            <v>Israel</v>
          </cell>
          <cell r="C4">
            <v>1</v>
          </cell>
        </row>
        <row r="5">
          <cell r="A5" t="str">
            <v>South Korea</v>
          </cell>
          <cell r="B5">
            <v>0.68</v>
          </cell>
          <cell r="C5">
            <v>0.32</v>
          </cell>
        </row>
        <row r="6">
          <cell r="A6" t="str">
            <v>Singapore</v>
          </cell>
          <cell r="B6">
            <v>1</v>
          </cell>
        </row>
        <row r="7">
          <cell r="A7" t="str">
            <v>Austria</v>
          </cell>
          <cell r="B7">
            <v>1</v>
          </cell>
        </row>
        <row r="8">
          <cell r="A8" t="str">
            <v>Hong Kong</v>
          </cell>
        </row>
        <row r="9">
          <cell r="A9" t="str">
            <v>Pakistan</v>
          </cell>
          <cell r="B9">
            <v>1</v>
          </cell>
        </row>
        <row r="10">
          <cell r="A10" t="str">
            <v>Taiwan</v>
          </cell>
          <cell r="B10">
            <v>0.75</v>
          </cell>
          <cell r="C10">
            <v>0.25</v>
          </cell>
        </row>
        <row r="11">
          <cell r="A11" t="str">
            <v>Saudi Arabia</v>
          </cell>
          <cell r="B11">
            <v>1</v>
          </cell>
        </row>
        <row r="12">
          <cell r="A12" t="str">
            <v>Egypt</v>
          </cell>
          <cell r="B12">
            <v>1</v>
          </cell>
        </row>
        <row r="13">
          <cell r="A13" t="str">
            <v>Switzerland</v>
          </cell>
        </row>
        <row r="14">
          <cell r="A14" t="str">
            <v>Japan</v>
          </cell>
          <cell r="B14">
            <v>1</v>
          </cell>
        </row>
        <row r="15">
          <cell r="A15" t="str">
            <v>United States</v>
          </cell>
          <cell r="B15">
            <v>0.47</v>
          </cell>
          <cell r="C15">
            <v>0.53</v>
          </cell>
        </row>
        <row r="16">
          <cell r="A16" t="str">
            <v>United Arab Emirates</v>
          </cell>
          <cell r="B16">
            <v>1</v>
          </cell>
        </row>
        <row r="17">
          <cell r="A17" t="str">
            <v>India</v>
          </cell>
          <cell r="B17">
            <v>0.74</v>
          </cell>
          <cell r="C17">
            <v>0.26</v>
          </cell>
        </row>
        <row r="18">
          <cell r="A18" t="str">
            <v>Philippines</v>
          </cell>
          <cell r="B18">
            <v>1</v>
          </cell>
        </row>
        <row r="19">
          <cell r="A19" t="str">
            <v>Canada</v>
          </cell>
          <cell r="B19">
            <v>0.56000000000000005</v>
          </cell>
          <cell r="C19">
            <v>0.44</v>
          </cell>
        </row>
        <row r="20">
          <cell r="A20" t="str">
            <v>Germany</v>
          </cell>
          <cell r="B20">
            <v>0.61</v>
          </cell>
          <cell r="C20">
            <v>0.39</v>
          </cell>
        </row>
        <row r="21">
          <cell r="A21" t="str">
            <v>Malaysia</v>
          </cell>
          <cell r="B21">
            <v>1</v>
          </cell>
        </row>
        <row r="22">
          <cell r="A22" t="str">
            <v>Italy</v>
          </cell>
          <cell r="B22">
            <v>1</v>
          </cell>
        </row>
        <row r="23">
          <cell r="A23" t="str">
            <v>Netherlands</v>
          </cell>
        </row>
        <row r="24">
          <cell r="A24" t="str">
            <v>Ukraine</v>
          </cell>
          <cell r="B24">
            <v>1</v>
          </cell>
        </row>
        <row r="25">
          <cell r="A25" t="str">
            <v>Romania</v>
          </cell>
          <cell r="B25">
            <v>1</v>
          </cell>
        </row>
        <row r="26">
          <cell r="A26" t="str">
            <v>Russia</v>
          </cell>
          <cell r="B26">
            <v>1</v>
          </cell>
        </row>
        <row r="27">
          <cell r="A27" t="str">
            <v>France</v>
          </cell>
          <cell r="B27">
            <v>0.61</v>
          </cell>
          <cell r="C27">
            <v>0.39</v>
          </cell>
        </row>
        <row r="28">
          <cell r="A28" t="str">
            <v>Mexico</v>
          </cell>
          <cell r="B28">
            <v>1</v>
          </cell>
        </row>
        <row r="29">
          <cell r="A29" t="str">
            <v>Indonesia</v>
          </cell>
          <cell r="B29">
            <v>1</v>
          </cell>
        </row>
        <row r="30">
          <cell r="A30" t="str">
            <v>Thailand</v>
          </cell>
          <cell r="B30">
            <v>1</v>
          </cell>
        </row>
        <row r="31">
          <cell r="A31" t="str">
            <v>Australia</v>
          </cell>
        </row>
        <row r="32">
          <cell r="A32" t="str">
            <v>United Kingdom</v>
          </cell>
          <cell r="B32">
            <v>0.53</v>
          </cell>
          <cell r="C32">
            <v>0.47</v>
          </cell>
        </row>
        <row r="33">
          <cell r="A33" t="str">
            <v>Argentina</v>
          </cell>
          <cell r="B33">
            <v>1</v>
          </cell>
        </row>
        <row r="34">
          <cell r="A34" t="str">
            <v>Turkey</v>
          </cell>
          <cell r="B34">
            <v>1</v>
          </cell>
        </row>
        <row r="35">
          <cell r="A35" t="str">
            <v>Brazil</v>
          </cell>
          <cell r="B35">
            <v>1</v>
          </cell>
        </row>
        <row r="36">
          <cell r="A36" t="str">
            <v>French Polynesia</v>
          </cell>
        </row>
        <row r="37">
          <cell r="A37" t="str">
            <v>Fiji</v>
          </cell>
        </row>
        <row r="38">
          <cell r="A38" t="str">
            <v>Somalia</v>
          </cell>
        </row>
        <row r="39">
          <cell r="A39" t="str">
            <v>Mongolia</v>
          </cell>
        </row>
        <row r="40">
          <cell r="A40" t="str">
            <v>Mozambique</v>
          </cell>
        </row>
        <row r="41">
          <cell r="A41" t="str">
            <v>Mauritius</v>
          </cell>
        </row>
        <row r="42">
          <cell r="A42" t="str">
            <v>Zambia</v>
          </cell>
        </row>
        <row r="43">
          <cell r="A43" t="str">
            <v>China</v>
          </cell>
        </row>
        <row r="44">
          <cell r="A44" t="str">
            <v>Ethiopia</v>
          </cell>
        </row>
        <row r="45">
          <cell r="A45" t="str">
            <v>Lebanon</v>
          </cell>
        </row>
        <row r="46">
          <cell r="A46" t="str">
            <v>St. Helena</v>
          </cell>
        </row>
        <row r="47">
          <cell r="A47" t="str">
            <v>Libya</v>
          </cell>
        </row>
        <row r="48">
          <cell r="A48" t="str">
            <v>Palestine</v>
          </cell>
        </row>
        <row r="49">
          <cell r="A49" t="str">
            <v>Uganda</v>
          </cell>
        </row>
        <row r="50">
          <cell r="A50" t="str">
            <v>Albania</v>
          </cell>
        </row>
        <row r="51">
          <cell r="A51" t="str">
            <v>Armenia</v>
          </cell>
        </row>
        <row r="52">
          <cell r="A52" t="str">
            <v>Jordan</v>
          </cell>
        </row>
        <row r="53">
          <cell r="A53" t="str">
            <v>Oman</v>
          </cell>
        </row>
        <row r="54">
          <cell r="A54" t="str">
            <v>Tanzania</v>
          </cell>
        </row>
        <row r="55">
          <cell r="A55" t="str">
            <v>Cyprus</v>
          </cell>
        </row>
        <row r="56">
          <cell r="A56" t="str">
            <v>Estonia</v>
          </cell>
        </row>
        <row r="57">
          <cell r="A57" t="str">
            <v>El Salvador</v>
          </cell>
        </row>
        <row r="58">
          <cell r="A58" t="str">
            <v>Syria</v>
          </cell>
        </row>
        <row r="59">
          <cell r="A59" t="str">
            <v>Qatar</v>
          </cell>
        </row>
        <row r="60">
          <cell r="A60" t="str">
            <v>Georgia</v>
          </cell>
        </row>
        <row r="61">
          <cell r="A61" t="str">
            <v>Latvia</v>
          </cell>
        </row>
        <row r="62">
          <cell r="A62" t="str">
            <v>Bosnia &amp; Herzegovina</v>
          </cell>
        </row>
        <row r="63">
          <cell r="A63" t="str">
            <v>Sri Lanka</v>
          </cell>
        </row>
        <row r="64">
          <cell r="A64" t="str">
            <v>Kuwait</v>
          </cell>
        </row>
        <row r="65">
          <cell r="A65" t="str">
            <v>Bangladesh</v>
          </cell>
        </row>
        <row r="66">
          <cell r="A66" t="str">
            <v>Kenya</v>
          </cell>
        </row>
        <row r="67">
          <cell r="A67" t="str">
            <v>Uruguay</v>
          </cell>
        </row>
        <row r="68">
          <cell r="A68" t="str">
            <v>Tunisia</v>
          </cell>
        </row>
        <row r="69">
          <cell r="A69" t="str">
            <v>Bulgaria</v>
          </cell>
        </row>
        <row r="70">
          <cell r="A70" t="str">
            <v>Guatemala</v>
          </cell>
        </row>
        <row r="71">
          <cell r="A71" t="str">
            <v>Lithuania</v>
          </cell>
        </row>
        <row r="72">
          <cell r="A72" t="str">
            <v>Nigeria</v>
          </cell>
        </row>
        <row r="73">
          <cell r="A73" t="str">
            <v>Ireland</v>
          </cell>
        </row>
        <row r="74">
          <cell r="A74" t="str">
            <v>Greece</v>
          </cell>
        </row>
        <row r="75">
          <cell r="A75" t="str">
            <v>Iraq</v>
          </cell>
        </row>
        <row r="76">
          <cell r="A76" t="str">
            <v>Czechia</v>
          </cell>
        </row>
        <row r="77">
          <cell r="A77" t="str">
            <v>Croatia</v>
          </cell>
        </row>
        <row r="78">
          <cell r="A78" t="str">
            <v>Slovakia</v>
          </cell>
        </row>
        <row r="79">
          <cell r="A79" t="str">
            <v>Algeria</v>
          </cell>
        </row>
        <row r="80">
          <cell r="A80" t="str">
            <v>Serbia</v>
          </cell>
        </row>
        <row r="81">
          <cell r="A81" t="str">
            <v>Belarus</v>
          </cell>
        </row>
        <row r="82">
          <cell r="A82" t="str">
            <v>Sweden</v>
          </cell>
        </row>
        <row r="83">
          <cell r="A83" t="str">
            <v>Ecuador</v>
          </cell>
        </row>
        <row r="84">
          <cell r="A84" t="str">
            <v>New Zealand</v>
          </cell>
        </row>
        <row r="85">
          <cell r="A85" t="str">
            <v>Iran</v>
          </cell>
        </row>
        <row r="86">
          <cell r="A86" t="str">
            <v>Chile</v>
          </cell>
        </row>
        <row r="87">
          <cell r="A87" t="str">
            <v>Kazakhstan</v>
          </cell>
        </row>
        <row r="88">
          <cell r="A88" t="str">
            <v>Norway</v>
          </cell>
        </row>
        <row r="89">
          <cell r="A89" t="str">
            <v>Finland</v>
          </cell>
        </row>
        <row r="90">
          <cell r="A90" t="str">
            <v>Portugal</v>
          </cell>
        </row>
        <row r="91">
          <cell r="A91" t="str">
            <v>Denmark</v>
          </cell>
        </row>
        <row r="92">
          <cell r="A92" t="str">
            <v>Peru</v>
          </cell>
        </row>
        <row r="93">
          <cell r="A93" t="str">
            <v>Hungary</v>
          </cell>
        </row>
        <row r="94">
          <cell r="A94" t="str">
            <v>Belgium</v>
          </cell>
        </row>
        <row r="95">
          <cell r="A95" t="str">
            <v>Colombia</v>
          </cell>
        </row>
        <row r="96">
          <cell r="A96" t="str">
            <v>South Africa</v>
          </cell>
        </row>
        <row r="97">
          <cell r="A97" t="str">
            <v>Vietnam</v>
          </cell>
        </row>
        <row r="98">
          <cell r="A98" t="str">
            <v>Spain</v>
          </cell>
        </row>
        <row r="99">
          <cell r="A99" t="str">
            <v>Poland</v>
          </cell>
        </row>
        <row r="100">
          <cell r="A100" t="str">
            <v>Aruba</v>
          </cell>
        </row>
        <row r="101">
          <cell r="A101" t="str">
            <v>Afghanistan</v>
          </cell>
        </row>
        <row r="102">
          <cell r="A102" t="str">
            <v>Angola</v>
          </cell>
        </row>
        <row r="103">
          <cell r="A103" t="str">
            <v>Anguilla</v>
          </cell>
        </row>
        <row r="104">
          <cell r="A104" t="str">
            <v>Ã…land Islands</v>
          </cell>
        </row>
        <row r="105">
          <cell r="A105" t="str">
            <v>Andorra</v>
          </cell>
        </row>
        <row r="106">
          <cell r="A106" t="str">
            <v>American Samoa</v>
          </cell>
        </row>
        <row r="107">
          <cell r="A107" t="str">
            <v>Antarctica</v>
          </cell>
        </row>
        <row r="108">
          <cell r="A108" t="str">
            <v>French Southern Territories</v>
          </cell>
        </row>
        <row r="109">
          <cell r="A109" t="str">
            <v>Antigua &amp; Barbuda</v>
          </cell>
        </row>
        <row r="110">
          <cell r="A110" t="str">
            <v>Azerbaijan</v>
          </cell>
        </row>
        <row r="111">
          <cell r="A111" t="str">
            <v>Burundi</v>
          </cell>
        </row>
        <row r="112">
          <cell r="A112" t="str">
            <v>Benin</v>
          </cell>
        </row>
        <row r="113">
          <cell r="A113" t="str">
            <v>Caribbean Netherlands</v>
          </cell>
        </row>
        <row r="114">
          <cell r="A114" t="str">
            <v>Burkina Faso</v>
          </cell>
        </row>
        <row r="115">
          <cell r="A115" t="str">
            <v>Bahrain</v>
          </cell>
        </row>
        <row r="116">
          <cell r="A116" t="str">
            <v>Bahamas</v>
          </cell>
        </row>
        <row r="117">
          <cell r="A117" t="str">
            <v>St. BarthÃ©lemy</v>
          </cell>
        </row>
        <row r="118">
          <cell r="A118" t="str">
            <v>Belize</v>
          </cell>
        </row>
        <row r="119">
          <cell r="A119" t="str">
            <v>Bermuda</v>
          </cell>
        </row>
        <row r="120">
          <cell r="A120" t="str">
            <v>Bolivia</v>
          </cell>
        </row>
        <row r="121">
          <cell r="A121" t="str">
            <v>Barbados</v>
          </cell>
        </row>
        <row r="122">
          <cell r="A122" t="str">
            <v>Brunei</v>
          </cell>
        </row>
        <row r="123">
          <cell r="A123" t="str">
            <v>Bhutan</v>
          </cell>
        </row>
        <row r="124">
          <cell r="A124" t="str">
            <v>Bouvet Island</v>
          </cell>
        </row>
        <row r="125">
          <cell r="A125" t="str">
            <v>Botswana</v>
          </cell>
        </row>
        <row r="126">
          <cell r="A126" t="str">
            <v>Central African Republic</v>
          </cell>
        </row>
        <row r="127">
          <cell r="A127" t="str">
            <v>Cocos (Keeling) Islands</v>
          </cell>
        </row>
        <row r="128">
          <cell r="A128" t="str">
            <v>CÃ´te dâ€™Ivoire</v>
          </cell>
        </row>
        <row r="129">
          <cell r="A129" t="str">
            <v>Cameroon</v>
          </cell>
        </row>
        <row r="130">
          <cell r="A130" t="str">
            <v>Congo - Kinshasa</v>
          </cell>
        </row>
        <row r="131">
          <cell r="A131" t="str">
            <v>Congo - Brazzaville</v>
          </cell>
        </row>
        <row r="132">
          <cell r="A132" t="str">
            <v>Cook Islands</v>
          </cell>
        </row>
        <row r="133">
          <cell r="A133" t="str">
            <v>Comoros</v>
          </cell>
        </row>
        <row r="134">
          <cell r="A134" t="str">
            <v>Cape Verde</v>
          </cell>
        </row>
        <row r="135">
          <cell r="A135" t="str">
            <v>Costa Rica</v>
          </cell>
        </row>
        <row r="136">
          <cell r="A136" t="str">
            <v>Cuba</v>
          </cell>
        </row>
        <row r="137">
          <cell r="A137" t="str">
            <v>CuraÃ§ao</v>
          </cell>
        </row>
        <row r="138">
          <cell r="A138" t="str">
            <v>Christmas Island</v>
          </cell>
        </row>
        <row r="139">
          <cell r="A139" t="str">
            <v>Cayman Islands</v>
          </cell>
        </row>
        <row r="140">
          <cell r="A140" t="str">
            <v>Djibouti</v>
          </cell>
        </row>
        <row r="141">
          <cell r="A141" t="str">
            <v>Dominica</v>
          </cell>
        </row>
        <row r="142">
          <cell r="A142" t="str">
            <v>Dominican Republic</v>
          </cell>
        </row>
        <row r="143">
          <cell r="A143" t="str">
            <v>Eritrea</v>
          </cell>
        </row>
        <row r="144">
          <cell r="A144" t="str">
            <v>Western Sahara</v>
          </cell>
        </row>
        <row r="145">
          <cell r="A145" t="str">
            <v>Falkland Islands (Islas Malvinas)</v>
          </cell>
        </row>
        <row r="146">
          <cell r="A146" t="str">
            <v>Faroe Islands</v>
          </cell>
        </row>
        <row r="147">
          <cell r="A147" t="str">
            <v>Micronesia</v>
          </cell>
        </row>
        <row r="148">
          <cell r="A148" t="str">
            <v>Gabon</v>
          </cell>
        </row>
        <row r="149">
          <cell r="A149" t="str">
            <v>Guernsey</v>
          </cell>
        </row>
        <row r="150">
          <cell r="A150" t="str">
            <v>Ghana</v>
          </cell>
        </row>
        <row r="151">
          <cell r="A151" t="str">
            <v>Gibraltar</v>
          </cell>
        </row>
        <row r="152">
          <cell r="A152" t="str">
            <v>Guinea</v>
          </cell>
        </row>
        <row r="153">
          <cell r="A153" t="str">
            <v>Guadeloupe</v>
          </cell>
        </row>
        <row r="154">
          <cell r="A154" t="str">
            <v>Gambia</v>
          </cell>
        </row>
        <row r="155">
          <cell r="A155" t="str">
            <v>Guinea-Bissau</v>
          </cell>
        </row>
        <row r="156">
          <cell r="A156" t="str">
            <v>Equatorial Guinea</v>
          </cell>
        </row>
        <row r="157">
          <cell r="A157" t="str">
            <v>Grenada</v>
          </cell>
        </row>
        <row r="158">
          <cell r="A158" t="str">
            <v>Greenland</v>
          </cell>
        </row>
        <row r="159">
          <cell r="A159" t="str">
            <v>French Guiana</v>
          </cell>
        </row>
        <row r="160">
          <cell r="A160" t="str">
            <v>Guam</v>
          </cell>
        </row>
        <row r="161">
          <cell r="A161" t="str">
            <v>Guyana</v>
          </cell>
        </row>
        <row r="162">
          <cell r="A162" t="str">
            <v>Heard &amp; McDonald Islands</v>
          </cell>
        </row>
        <row r="163">
          <cell r="A163" t="str">
            <v>Honduras</v>
          </cell>
        </row>
        <row r="164">
          <cell r="A164" t="str">
            <v>Haiti</v>
          </cell>
        </row>
        <row r="165">
          <cell r="A165" t="str">
            <v>Isle of Man</v>
          </cell>
        </row>
        <row r="166">
          <cell r="A166" t="str">
            <v>British Indian Ocean Territory</v>
          </cell>
        </row>
        <row r="167">
          <cell r="A167" t="str">
            <v>Iceland</v>
          </cell>
        </row>
        <row r="168">
          <cell r="A168" t="str">
            <v>Jamaica</v>
          </cell>
        </row>
        <row r="169">
          <cell r="A169" t="str">
            <v>Jersey</v>
          </cell>
        </row>
        <row r="170">
          <cell r="A170" t="str">
            <v>Kyrgyzstan</v>
          </cell>
        </row>
        <row r="171">
          <cell r="A171" t="str">
            <v>Cambodia</v>
          </cell>
        </row>
        <row r="172">
          <cell r="A172" t="str">
            <v>Kiribati</v>
          </cell>
        </row>
        <row r="173">
          <cell r="A173" t="str">
            <v>St. Kitts &amp; Nevis</v>
          </cell>
        </row>
        <row r="174">
          <cell r="A174" t="str">
            <v>Laos</v>
          </cell>
        </row>
        <row r="175">
          <cell r="A175" t="str">
            <v>Liberia</v>
          </cell>
        </row>
        <row r="176">
          <cell r="A176" t="str">
            <v>St. Lucia</v>
          </cell>
        </row>
        <row r="177">
          <cell r="A177" t="str">
            <v>Liechtenstein</v>
          </cell>
        </row>
        <row r="178">
          <cell r="A178" t="str">
            <v>Lesotho</v>
          </cell>
        </row>
        <row r="179">
          <cell r="A179" t="str">
            <v>Luxembourg</v>
          </cell>
        </row>
        <row r="180">
          <cell r="A180" t="str">
            <v>Macao</v>
          </cell>
        </row>
        <row r="181">
          <cell r="A181" t="str">
            <v>St. Martin</v>
          </cell>
        </row>
        <row r="182">
          <cell r="A182" t="str">
            <v>Morocco</v>
          </cell>
        </row>
        <row r="183">
          <cell r="A183" t="str">
            <v>Monaco</v>
          </cell>
        </row>
        <row r="184">
          <cell r="A184" t="str">
            <v>Moldova</v>
          </cell>
        </row>
        <row r="185">
          <cell r="A185" t="str">
            <v>Madagascar</v>
          </cell>
        </row>
        <row r="186">
          <cell r="A186" t="str">
            <v>Maldives</v>
          </cell>
        </row>
        <row r="187">
          <cell r="A187" t="str">
            <v>Marshall Islands</v>
          </cell>
        </row>
        <row r="188">
          <cell r="A188" t="str">
            <v>North Macedonia</v>
          </cell>
        </row>
        <row r="189">
          <cell r="A189" t="str">
            <v>Mali</v>
          </cell>
        </row>
        <row r="190">
          <cell r="A190" t="str">
            <v>Malta</v>
          </cell>
        </row>
        <row r="191">
          <cell r="A191" t="str">
            <v>Myanmar (Burma)</v>
          </cell>
        </row>
        <row r="192">
          <cell r="A192" t="str">
            <v>Montenegro</v>
          </cell>
        </row>
        <row r="193">
          <cell r="A193" t="str">
            <v>Northern Mariana Islands</v>
          </cell>
        </row>
        <row r="194">
          <cell r="A194" t="str">
            <v>Mauritania</v>
          </cell>
        </row>
        <row r="195">
          <cell r="A195" t="str">
            <v>Montserrat</v>
          </cell>
        </row>
        <row r="196">
          <cell r="A196" t="str">
            <v>Martinique</v>
          </cell>
        </row>
        <row r="197">
          <cell r="A197" t="str">
            <v>Malawi</v>
          </cell>
        </row>
        <row r="198">
          <cell r="A198" t="str">
            <v>Mayotte</v>
          </cell>
        </row>
        <row r="199">
          <cell r="A199" t="str">
            <v>Namibia</v>
          </cell>
        </row>
        <row r="200">
          <cell r="A200" t="str">
            <v>New Caledonia</v>
          </cell>
        </row>
        <row r="201">
          <cell r="A201" t="str">
            <v>Niger</v>
          </cell>
        </row>
        <row r="202">
          <cell r="A202" t="str">
            <v>Norfolk Island</v>
          </cell>
        </row>
        <row r="203">
          <cell r="A203" t="str">
            <v>Nicaragua</v>
          </cell>
        </row>
        <row r="204">
          <cell r="A204" t="str">
            <v>Niue</v>
          </cell>
        </row>
        <row r="205">
          <cell r="A205" t="str">
            <v>Nepal</v>
          </cell>
        </row>
        <row r="206">
          <cell r="A206" t="str">
            <v>Nauru</v>
          </cell>
        </row>
        <row r="207">
          <cell r="A207" t="str">
            <v>Panama</v>
          </cell>
        </row>
        <row r="208">
          <cell r="A208" t="str">
            <v>Pitcairn Islands</v>
          </cell>
        </row>
        <row r="209">
          <cell r="A209" t="str">
            <v>Palau</v>
          </cell>
        </row>
        <row r="210">
          <cell r="A210" t="str">
            <v>Papua New Guinea</v>
          </cell>
        </row>
        <row r="211">
          <cell r="A211" t="str">
            <v>Puerto Rico</v>
          </cell>
        </row>
        <row r="212">
          <cell r="A212" t="str">
            <v>North Korea</v>
          </cell>
        </row>
        <row r="213">
          <cell r="A213" t="str">
            <v>Paraguay</v>
          </cell>
        </row>
        <row r="214">
          <cell r="A214" t="str">
            <v>RÃ©union</v>
          </cell>
        </row>
        <row r="215">
          <cell r="A215" t="str">
            <v>Rwanda</v>
          </cell>
        </row>
        <row r="216">
          <cell r="A216" t="str">
            <v>Sudan</v>
          </cell>
        </row>
        <row r="217">
          <cell r="A217" t="str">
            <v>Senegal</v>
          </cell>
        </row>
        <row r="218">
          <cell r="A218" t="str">
            <v>South Georgia &amp; South Sandwich Islands</v>
          </cell>
        </row>
        <row r="219">
          <cell r="A219" t="str">
            <v>Svalbard &amp; Jan Mayen</v>
          </cell>
        </row>
        <row r="220">
          <cell r="A220" t="str">
            <v>Solomon Islands</v>
          </cell>
        </row>
        <row r="221">
          <cell r="A221" t="str">
            <v>Sierra Leone</v>
          </cell>
        </row>
        <row r="222">
          <cell r="A222" t="str">
            <v>San Marino</v>
          </cell>
        </row>
        <row r="223">
          <cell r="A223" t="str">
            <v>St. Pierre &amp; Miquelon</v>
          </cell>
        </row>
        <row r="224">
          <cell r="A224" t="str">
            <v>South Sudan</v>
          </cell>
        </row>
        <row r="225">
          <cell r="A225" t="str">
            <v>SÃ£o TomÃ© &amp; PrÃ­ncipe</v>
          </cell>
        </row>
        <row r="226">
          <cell r="A226" t="str">
            <v>Suriname</v>
          </cell>
        </row>
        <row r="227">
          <cell r="A227" t="str">
            <v>Slovenia</v>
          </cell>
        </row>
        <row r="228">
          <cell r="A228" t="str">
            <v>Eswatini</v>
          </cell>
        </row>
        <row r="229">
          <cell r="A229" t="str">
            <v>Sint Maarten</v>
          </cell>
        </row>
        <row r="230">
          <cell r="A230" t="str">
            <v>Seychelles</v>
          </cell>
        </row>
        <row r="231">
          <cell r="A231" t="str">
            <v>Turks &amp; Caicos Islands</v>
          </cell>
        </row>
        <row r="232">
          <cell r="A232" t="str">
            <v>Chad</v>
          </cell>
        </row>
        <row r="233">
          <cell r="A233" t="str">
            <v>Togo</v>
          </cell>
        </row>
        <row r="234">
          <cell r="A234" t="str">
            <v>Tajikistan</v>
          </cell>
        </row>
        <row r="235">
          <cell r="A235" t="str">
            <v>Tokelau</v>
          </cell>
        </row>
        <row r="236">
          <cell r="A236" t="str">
            <v>Turkmenistan</v>
          </cell>
        </row>
        <row r="237">
          <cell r="A237" t="str">
            <v>Timor-Leste</v>
          </cell>
        </row>
        <row r="238">
          <cell r="A238" t="str">
            <v>Tonga</v>
          </cell>
        </row>
        <row r="239">
          <cell r="A239" t="str">
            <v>Trinidad &amp; Tobago</v>
          </cell>
        </row>
        <row r="240">
          <cell r="A240" t="str">
            <v>Tuvalu</v>
          </cell>
        </row>
        <row r="241">
          <cell r="A241" t="str">
            <v>U.S. Outlying Islands</v>
          </cell>
        </row>
        <row r="242">
          <cell r="A242" t="str">
            <v>Uzbekistan</v>
          </cell>
        </row>
        <row r="243">
          <cell r="A243" t="str">
            <v>Vatican City</v>
          </cell>
        </row>
        <row r="244">
          <cell r="A244" t="str">
            <v>St. Vincent &amp; Grenadines</v>
          </cell>
        </row>
        <row r="245">
          <cell r="A245" t="str">
            <v>Venezuela</v>
          </cell>
        </row>
        <row r="246">
          <cell r="A246" t="str">
            <v>British Virgin Islands</v>
          </cell>
        </row>
        <row r="247">
          <cell r="A247" t="str">
            <v>U.S. Virgin Islands</v>
          </cell>
        </row>
        <row r="248">
          <cell r="A248" t="str">
            <v>Vanuatu</v>
          </cell>
        </row>
        <row r="249">
          <cell r="A249" t="str">
            <v>Wallis &amp; Futuna</v>
          </cell>
        </row>
        <row r="250">
          <cell r="A250" t="str">
            <v>Samoa</v>
          </cell>
        </row>
        <row r="251">
          <cell r="A251" t="str">
            <v>Kosovo</v>
          </cell>
        </row>
        <row r="252">
          <cell r="A252" t="str">
            <v>Yemen</v>
          </cell>
        </row>
        <row r="253">
          <cell r="A253" t="str">
            <v>Zimbabwe</v>
          </cell>
        </row>
      </sheetData>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54)"/>
    </sheetNames>
    <sheetDataSet>
      <sheetData sheetId="0" refreshError="1">
        <row r="1">
          <cell r="A1" t="str">
            <v>Kategori: TÃ¼m kategoriler</v>
          </cell>
        </row>
        <row r="3">
          <cell r="A3" t="str">
            <v>Ãœlke</v>
          </cell>
          <cell r="B3" t="str">
            <v>Chernoff bound: (2018)</v>
          </cell>
          <cell r="C3" t="str">
            <v>Church-Turing tezi: (2018)</v>
          </cell>
        </row>
        <row r="4">
          <cell r="A4" t="str">
            <v>Jamaica</v>
          </cell>
          <cell r="C4">
            <v>1</v>
          </cell>
        </row>
        <row r="5">
          <cell r="A5" t="str">
            <v>Israel</v>
          </cell>
          <cell r="B5">
            <v>1</v>
          </cell>
        </row>
        <row r="6">
          <cell r="A6" t="str">
            <v>Kenya</v>
          </cell>
          <cell r="C6">
            <v>1</v>
          </cell>
        </row>
        <row r="7">
          <cell r="A7" t="str">
            <v>South Korea</v>
          </cell>
          <cell r="B7">
            <v>1</v>
          </cell>
        </row>
        <row r="8">
          <cell r="A8" t="str">
            <v>United States</v>
          </cell>
          <cell r="B8">
            <v>0.66</v>
          </cell>
          <cell r="C8">
            <v>0.34</v>
          </cell>
        </row>
        <row r="9">
          <cell r="A9" t="str">
            <v>Switzerland</v>
          </cell>
          <cell r="B9">
            <v>1</v>
          </cell>
        </row>
        <row r="10">
          <cell r="A10" t="str">
            <v>India</v>
          </cell>
          <cell r="B10">
            <v>0.3</v>
          </cell>
          <cell r="C10">
            <v>0.7</v>
          </cell>
        </row>
        <row r="11">
          <cell r="A11" t="str">
            <v>Russia</v>
          </cell>
          <cell r="C11">
            <v>1</v>
          </cell>
        </row>
        <row r="12">
          <cell r="A12" t="str">
            <v>Italy</v>
          </cell>
          <cell r="C12">
            <v>1</v>
          </cell>
        </row>
        <row r="13">
          <cell r="A13" t="str">
            <v>Canada</v>
          </cell>
          <cell r="B13">
            <v>0.39</v>
          </cell>
          <cell r="C13">
            <v>0.61</v>
          </cell>
        </row>
        <row r="14">
          <cell r="A14" t="str">
            <v>Taiwan</v>
          </cell>
          <cell r="B14">
            <v>1</v>
          </cell>
        </row>
        <row r="15">
          <cell r="A15" t="str">
            <v>Germany</v>
          </cell>
          <cell r="B15">
            <v>0.54</v>
          </cell>
          <cell r="C15">
            <v>0.46</v>
          </cell>
        </row>
        <row r="16">
          <cell r="A16" t="str">
            <v>Australia</v>
          </cell>
          <cell r="C16">
            <v>1</v>
          </cell>
        </row>
        <row r="17">
          <cell r="A17" t="str">
            <v>Spain</v>
          </cell>
          <cell r="C17">
            <v>1</v>
          </cell>
        </row>
        <row r="18">
          <cell r="A18" t="str">
            <v>United Kingdom</v>
          </cell>
          <cell r="B18">
            <v>0.42</v>
          </cell>
          <cell r="C18">
            <v>0.57999999999999996</v>
          </cell>
        </row>
        <row r="19">
          <cell r="A19" t="str">
            <v>France</v>
          </cell>
          <cell r="B19">
            <v>0.31</v>
          </cell>
          <cell r="C19">
            <v>0.69</v>
          </cell>
        </row>
        <row r="20">
          <cell r="A20" t="str">
            <v>Ukraine</v>
          </cell>
          <cell r="C20">
            <v>1</v>
          </cell>
        </row>
        <row r="21">
          <cell r="A21" t="str">
            <v>Colombia</v>
          </cell>
          <cell r="C21">
            <v>1</v>
          </cell>
        </row>
        <row r="22">
          <cell r="A22" t="str">
            <v>Brazil</v>
          </cell>
          <cell r="C22">
            <v>1</v>
          </cell>
        </row>
        <row r="23">
          <cell r="A23" t="str">
            <v>Mexico</v>
          </cell>
          <cell r="C23">
            <v>1</v>
          </cell>
        </row>
        <row r="24">
          <cell r="A24" t="str">
            <v>Haiti</v>
          </cell>
        </row>
        <row r="25">
          <cell r="A25" t="str">
            <v>China</v>
          </cell>
        </row>
        <row r="26">
          <cell r="A26" t="str">
            <v>Estonia</v>
          </cell>
        </row>
        <row r="27">
          <cell r="A27" t="str">
            <v>Hong Kong</v>
          </cell>
        </row>
        <row r="28">
          <cell r="A28" t="str">
            <v>Singapore</v>
          </cell>
        </row>
        <row r="29">
          <cell r="A29" t="str">
            <v>Sweden</v>
          </cell>
        </row>
        <row r="30">
          <cell r="A30" t="str">
            <v>Bulgaria</v>
          </cell>
        </row>
        <row r="31">
          <cell r="A31" t="str">
            <v>Finland</v>
          </cell>
        </row>
        <row r="32">
          <cell r="A32" t="str">
            <v>Morocco</v>
          </cell>
        </row>
        <row r="33">
          <cell r="A33" t="str">
            <v>Algeria</v>
          </cell>
        </row>
        <row r="34">
          <cell r="A34" t="str">
            <v>United Arab Emirates</v>
          </cell>
        </row>
        <row r="35">
          <cell r="A35" t="str">
            <v>Pakistan</v>
          </cell>
        </row>
        <row r="36">
          <cell r="A36" t="str">
            <v>Iran</v>
          </cell>
        </row>
        <row r="37">
          <cell r="A37" t="str">
            <v>Hungary</v>
          </cell>
        </row>
        <row r="38">
          <cell r="A38" t="str">
            <v>Netherlands</v>
          </cell>
        </row>
        <row r="39">
          <cell r="A39" t="str">
            <v>Greece</v>
          </cell>
        </row>
        <row r="40">
          <cell r="A40" t="str">
            <v>Austria</v>
          </cell>
        </row>
        <row r="41">
          <cell r="A41" t="str">
            <v>Saudi Arabia</v>
          </cell>
        </row>
        <row r="42">
          <cell r="A42" t="str">
            <v>Belgium</v>
          </cell>
        </row>
        <row r="43">
          <cell r="A43" t="str">
            <v>Poland</v>
          </cell>
        </row>
        <row r="44">
          <cell r="A44" t="str">
            <v>Japan</v>
          </cell>
        </row>
        <row r="45">
          <cell r="A45" t="str">
            <v>Turkey</v>
          </cell>
        </row>
        <row r="46">
          <cell r="A46" t="str">
            <v>Indonesia</v>
          </cell>
        </row>
        <row r="47">
          <cell r="A47" t="str">
            <v>Aruba</v>
          </cell>
        </row>
        <row r="48">
          <cell r="A48" t="str">
            <v>Afghanistan</v>
          </cell>
        </row>
        <row r="49">
          <cell r="A49" t="str">
            <v>Angola</v>
          </cell>
        </row>
        <row r="50">
          <cell r="A50" t="str">
            <v>Anguilla</v>
          </cell>
        </row>
        <row r="51">
          <cell r="A51" t="str">
            <v>Ã…land Islands</v>
          </cell>
        </row>
        <row r="52">
          <cell r="A52" t="str">
            <v>Albania</v>
          </cell>
        </row>
        <row r="53">
          <cell r="A53" t="str">
            <v>Andorra</v>
          </cell>
        </row>
        <row r="54">
          <cell r="A54" t="str">
            <v>Argentina</v>
          </cell>
        </row>
        <row r="55">
          <cell r="A55" t="str">
            <v>Armenia</v>
          </cell>
        </row>
        <row r="56">
          <cell r="A56" t="str">
            <v>American Samoa</v>
          </cell>
        </row>
        <row r="57">
          <cell r="A57" t="str">
            <v>Antarctica</v>
          </cell>
        </row>
        <row r="58">
          <cell r="A58" t="str">
            <v>French Southern Territories</v>
          </cell>
        </row>
        <row r="59">
          <cell r="A59" t="str">
            <v>Antigua &amp; Barbuda</v>
          </cell>
        </row>
        <row r="60">
          <cell r="A60" t="str">
            <v>Azerbaijan</v>
          </cell>
        </row>
        <row r="61">
          <cell r="A61" t="str">
            <v>Burundi</v>
          </cell>
        </row>
        <row r="62">
          <cell r="A62" t="str">
            <v>Benin</v>
          </cell>
        </row>
        <row r="63">
          <cell r="A63" t="str">
            <v>Caribbean Netherlands</v>
          </cell>
        </row>
        <row r="64">
          <cell r="A64" t="str">
            <v>Burkina Faso</v>
          </cell>
        </row>
        <row r="65">
          <cell r="A65" t="str">
            <v>Bangladesh</v>
          </cell>
        </row>
        <row r="66">
          <cell r="A66" t="str">
            <v>Bahrain</v>
          </cell>
        </row>
        <row r="67">
          <cell r="A67" t="str">
            <v>Bahamas</v>
          </cell>
        </row>
        <row r="68">
          <cell r="A68" t="str">
            <v>Bosnia &amp; Herzegovina</v>
          </cell>
        </row>
        <row r="69">
          <cell r="A69" t="str">
            <v>St. BarthÃ©lemy</v>
          </cell>
        </row>
        <row r="70">
          <cell r="A70" t="str">
            <v>Belarus</v>
          </cell>
        </row>
        <row r="71">
          <cell r="A71" t="str">
            <v>Belize</v>
          </cell>
        </row>
        <row r="72">
          <cell r="A72" t="str">
            <v>Bermuda</v>
          </cell>
        </row>
        <row r="73">
          <cell r="A73" t="str">
            <v>Bolivia</v>
          </cell>
        </row>
        <row r="74">
          <cell r="A74" t="str">
            <v>Barbados</v>
          </cell>
        </row>
        <row r="75">
          <cell r="A75" t="str">
            <v>Brunei</v>
          </cell>
        </row>
        <row r="76">
          <cell r="A76" t="str">
            <v>Bhutan</v>
          </cell>
        </row>
        <row r="77">
          <cell r="A77" t="str">
            <v>Bouvet Island</v>
          </cell>
        </row>
        <row r="78">
          <cell r="A78" t="str">
            <v>Botswana</v>
          </cell>
        </row>
        <row r="79">
          <cell r="A79" t="str">
            <v>Central African Republic</v>
          </cell>
        </row>
        <row r="80">
          <cell r="A80" t="str">
            <v>Cocos (Keeling) Islands</v>
          </cell>
        </row>
        <row r="81">
          <cell r="A81" t="str">
            <v>Chile</v>
          </cell>
        </row>
        <row r="82">
          <cell r="A82" t="str">
            <v>CÃ´te dâ€™Ivoire</v>
          </cell>
        </row>
        <row r="83">
          <cell r="A83" t="str">
            <v>Cameroon</v>
          </cell>
        </row>
        <row r="84">
          <cell r="A84" t="str">
            <v>Congo - Kinshasa</v>
          </cell>
        </row>
        <row r="85">
          <cell r="A85" t="str">
            <v>Congo - Brazzaville</v>
          </cell>
        </row>
        <row r="86">
          <cell r="A86" t="str">
            <v>Cook Islands</v>
          </cell>
        </row>
        <row r="87">
          <cell r="A87" t="str">
            <v>Comoros</v>
          </cell>
        </row>
        <row r="88">
          <cell r="A88" t="str">
            <v>Cape Verde</v>
          </cell>
        </row>
        <row r="89">
          <cell r="A89" t="str">
            <v>Costa Rica</v>
          </cell>
        </row>
        <row r="90">
          <cell r="A90" t="str">
            <v>Cuba</v>
          </cell>
        </row>
        <row r="91">
          <cell r="A91" t="str">
            <v>CuraÃ§ao</v>
          </cell>
        </row>
        <row r="92">
          <cell r="A92" t="str">
            <v>Christmas Island</v>
          </cell>
        </row>
        <row r="93">
          <cell r="A93" t="str">
            <v>Cayman Islands</v>
          </cell>
        </row>
        <row r="94">
          <cell r="A94" t="str">
            <v>Cyprus</v>
          </cell>
        </row>
        <row r="95">
          <cell r="A95" t="str">
            <v>Czechia</v>
          </cell>
        </row>
        <row r="96">
          <cell r="A96" t="str">
            <v>Djibouti</v>
          </cell>
        </row>
        <row r="97">
          <cell r="A97" t="str">
            <v>Dominica</v>
          </cell>
        </row>
        <row r="98">
          <cell r="A98" t="str">
            <v>Denmark</v>
          </cell>
        </row>
        <row r="99">
          <cell r="A99" t="str">
            <v>Dominican Republic</v>
          </cell>
        </row>
        <row r="100">
          <cell r="A100" t="str">
            <v>Ecuador</v>
          </cell>
        </row>
        <row r="101">
          <cell r="A101" t="str">
            <v>Egypt</v>
          </cell>
        </row>
        <row r="102">
          <cell r="A102" t="str">
            <v>Eritrea</v>
          </cell>
        </row>
        <row r="103">
          <cell r="A103" t="str">
            <v>Western Sahara</v>
          </cell>
        </row>
        <row r="104">
          <cell r="A104" t="str">
            <v>Ethiopia</v>
          </cell>
        </row>
        <row r="105">
          <cell r="A105" t="str">
            <v>Fiji</v>
          </cell>
        </row>
        <row r="106">
          <cell r="A106" t="str">
            <v>Falkland Islands (Islas Malvinas)</v>
          </cell>
        </row>
        <row r="107">
          <cell r="A107" t="str">
            <v>Faroe Islands</v>
          </cell>
        </row>
        <row r="108">
          <cell r="A108" t="str">
            <v>Micronesia</v>
          </cell>
        </row>
        <row r="109">
          <cell r="A109" t="str">
            <v>Gabon</v>
          </cell>
        </row>
        <row r="110">
          <cell r="A110" t="str">
            <v>Georgia</v>
          </cell>
        </row>
        <row r="111">
          <cell r="A111" t="str">
            <v>Guernsey</v>
          </cell>
        </row>
        <row r="112">
          <cell r="A112" t="str">
            <v>Ghana</v>
          </cell>
        </row>
        <row r="113">
          <cell r="A113" t="str">
            <v>Gibraltar</v>
          </cell>
        </row>
        <row r="114">
          <cell r="A114" t="str">
            <v>Guinea</v>
          </cell>
        </row>
        <row r="115">
          <cell r="A115" t="str">
            <v>Guadeloupe</v>
          </cell>
        </row>
        <row r="116">
          <cell r="A116" t="str">
            <v>Gambia</v>
          </cell>
        </row>
        <row r="117">
          <cell r="A117" t="str">
            <v>Guinea-Bissau</v>
          </cell>
        </row>
        <row r="118">
          <cell r="A118" t="str">
            <v>Equatorial Guinea</v>
          </cell>
        </row>
        <row r="119">
          <cell r="A119" t="str">
            <v>Grenada</v>
          </cell>
        </row>
        <row r="120">
          <cell r="A120" t="str">
            <v>Greenland</v>
          </cell>
        </row>
        <row r="121">
          <cell r="A121" t="str">
            <v>Guatemala</v>
          </cell>
        </row>
        <row r="122">
          <cell r="A122" t="str">
            <v>French Guiana</v>
          </cell>
        </row>
        <row r="123">
          <cell r="A123" t="str">
            <v>Guam</v>
          </cell>
        </row>
        <row r="124">
          <cell r="A124" t="str">
            <v>Guyana</v>
          </cell>
        </row>
        <row r="125">
          <cell r="A125" t="str">
            <v>Heard &amp; McDonald Islands</v>
          </cell>
        </row>
        <row r="126">
          <cell r="A126" t="str">
            <v>Honduras</v>
          </cell>
        </row>
        <row r="127">
          <cell r="A127" t="str">
            <v>Croatia</v>
          </cell>
        </row>
        <row r="128">
          <cell r="A128" t="str">
            <v>Isle of Man</v>
          </cell>
        </row>
        <row r="129">
          <cell r="A129" t="str">
            <v>British Indian Ocean Territory</v>
          </cell>
        </row>
        <row r="130">
          <cell r="A130" t="str">
            <v>Ireland</v>
          </cell>
        </row>
        <row r="131">
          <cell r="A131" t="str">
            <v>Iraq</v>
          </cell>
        </row>
        <row r="132">
          <cell r="A132" t="str">
            <v>Iceland</v>
          </cell>
        </row>
        <row r="133">
          <cell r="A133" t="str">
            <v>Jersey</v>
          </cell>
        </row>
        <row r="134">
          <cell r="A134" t="str">
            <v>Jordan</v>
          </cell>
        </row>
        <row r="135">
          <cell r="A135" t="str">
            <v>Kazakhstan</v>
          </cell>
        </row>
        <row r="136">
          <cell r="A136" t="str">
            <v>Kyrgyzstan</v>
          </cell>
        </row>
        <row r="137">
          <cell r="A137" t="str">
            <v>Cambodia</v>
          </cell>
        </row>
        <row r="138">
          <cell r="A138" t="str">
            <v>Kiribati</v>
          </cell>
        </row>
        <row r="139">
          <cell r="A139" t="str">
            <v>St. Kitts &amp; Nevis</v>
          </cell>
        </row>
        <row r="140">
          <cell r="A140" t="str">
            <v>Kuwait</v>
          </cell>
        </row>
        <row r="141">
          <cell r="A141" t="str">
            <v>Laos</v>
          </cell>
        </row>
        <row r="142">
          <cell r="A142" t="str">
            <v>Lebanon</v>
          </cell>
        </row>
        <row r="143">
          <cell r="A143" t="str">
            <v>Liberia</v>
          </cell>
        </row>
        <row r="144">
          <cell r="A144" t="str">
            <v>Libya</v>
          </cell>
        </row>
        <row r="145">
          <cell r="A145" t="str">
            <v>St. Lucia</v>
          </cell>
        </row>
        <row r="146">
          <cell r="A146" t="str">
            <v>Liechtenstein</v>
          </cell>
        </row>
        <row r="147">
          <cell r="A147" t="str">
            <v>Sri Lanka</v>
          </cell>
        </row>
        <row r="148">
          <cell r="A148" t="str">
            <v>Lesotho</v>
          </cell>
        </row>
        <row r="149">
          <cell r="A149" t="str">
            <v>Lithuania</v>
          </cell>
        </row>
        <row r="150">
          <cell r="A150" t="str">
            <v>Luxembourg</v>
          </cell>
        </row>
        <row r="151">
          <cell r="A151" t="str">
            <v>Latvia</v>
          </cell>
        </row>
        <row r="152">
          <cell r="A152" t="str">
            <v>Macao</v>
          </cell>
        </row>
        <row r="153">
          <cell r="A153" t="str">
            <v>St. Martin</v>
          </cell>
        </row>
        <row r="154">
          <cell r="A154" t="str">
            <v>Monaco</v>
          </cell>
        </row>
        <row r="155">
          <cell r="A155" t="str">
            <v>Moldova</v>
          </cell>
        </row>
        <row r="156">
          <cell r="A156" t="str">
            <v>Madagascar</v>
          </cell>
        </row>
        <row r="157">
          <cell r="A157" t="str">
            <v>Maldives</v>
          </cell>
        </row>
        <row r="158">
          <cell r="A158" t="str">
            <v>Marshall Islands</v>
          </cell>
        </row>
        <row r="159">
          <cell r="A159" t="str">
            <v>North Macedonia</v>
          </cell>
        </row>
        <row r="160">
          <cell r="A160" t="str">
            <v>Mali</v>
          </cell>
        </row>
        <row r="161">
          <cell r="A161" t="str">
            <v>Malta</v>
          </cell>
        </row>
        <row r="162">
          <cell r="A162" t="str">
            <v>Myanmar (Burma)</v>
          </cell>
        </row>
        <row r="163">
          <cell r="A163" t="str">
            <v>Montenegro</v>
          </cell>
        </row>
        <row r="164">
          <cell r="A164" t="str">
            <v>Mongolia</v>
          </cell>
        </row>
        <row r="165">
          <cell r="A165" t="str">
            <v>Northern Mariana Islands</v>
          </cell>
        </row>
        <row r="166">
          <cell r="A166" t="str">
            <v>Mozambique</v>
          </cell>
        </row>
        <row r="167">
          <cell r="A167" t="str">
            <v>Mauritania</v>
          </cell>
        </row>
        <row r="168">
          <cell r="A168" t="str">
            <v>Montserrat</v>
          </cell>
        </row>
        <row r="169">
          <cell r="A169" t="str">
            <v>Martinique</v>
          </cell>
        </row>
        <row r="170">
          <cell r="A170" t="str">
            <v>Mauritius</v>
          </cell>
        </row>
        <row r="171">
          <cell r="A171" t="str">
            <v>Malawi</v>
          </cell>
        </row>
        <row r="172">
          <cell r="A172" t="str">
            <v>Malaysia</v>
          </cell>
        </row>
        <row r="173">
          <cell r="A173" t="str">
            <v>Mayotte</v>
          </cell>
        </row>
        <row r="174">
          <cell r="A174" t="str">
            <v>Namibia</v>
          </cell>
        </row>
        <row r="175">
          <cell r="A175" t="str">
            <v>New Caledonia</v>
          </cell>
        </row>
        <row r="176">
          <cell r="A176" t="str">
            <v>Niger</v>
          </cell>
        </row>
        <row r="177">
          <cell r="A177" t="str">
            <v>Norfolk Island</v>
          </cell>
        </row>
        <row r="178">
          <cell r="A178" t="str">
            <v>Nigeria</v>
          </cell>
        </row>
        <row r="179">
          <cell r="A179" t="str">
            <v>Nicaragua</v>
          </cell>
        </row>
        <row r="180">
          <cell r="A180" t="str">
            <v>Niue</v>
          </cell>
        </row>
        <row r="181">
          <cell r="A181" t="str">
            <v>Norway</v>
          </cell>
        </row>
        <row r="182">
          <cell r="A182" t="str">
            <v>Nepal</v>
          </cell>
        </row>
        <row r="183">
          <cell r="A183" t="str">
            <v>Nauru</v>
          </cell>
        </row>
        <row r="184">
          <cell r="A184" t="str">
            <v>New Zealand</v>
          </cell>
        </row>
        <row r="185">
          <cell r="A185" t="str">
            <v>Oman</v>
          </cell>
        </row>
        <row r="186">
          <cell r="A186" t="str">
            <v>Panama</v>
          </cell>
        </row>
        <row r="187">
          <cell r="A187" t="str">
            <v>Pitcairn Islands</v>
          </cell>
        </row>
        <row r="188">
          <cell r="A188" t="str">
            <v>Peru</v>
          </cell>
        </row>
        <row r="189">
          <cell r="A189" t="str">
            <v>Philippines</v>
          </cell>
        </row>
        <row r="190">
          <cell r="A190" t="str">
            <v>Palau</v>
          </cell>
        </row>
        <row r="191">
          <cell r="A191" t="str">
            <v>Papua New Guinea</v>
          </cell>
        </row>
        <row r="192">
          <cell r="A192" t="str">
            <v>Puerto Rico</v>
          </cell>
        </row>
        <row r="193">
          <cell r="A193" t="str">
            <v>North Korea</v>
          </cell>
        </row>
        <row r="194">
          <cell r="A194" t="str">
            <v>Portugal</v>
          </cell>
        </row>
        <row r="195">
          <cell r="A195" t="str">
            <v>Paraguay</v>
          </cell>
        </row>
        <row r="196">
          <cell r="A196" t="str">
            <v>Palestine</v>
          </cell>
        </row>
        <row r="197">
          <cell r="A197" t="str">
            <v>French Polynesia</v>
          </cell>
        </row>
        <row r="198">
          <cell r="A198" t="str">
            <v>Qatar</v>
          </cell>
        </row>
        <row r="199">
          <cell r="A199" t="str">
            <v>RÃ©union</v>
          </cell>
        </row>
        <row r="200">
          <cell r="A200" t="str">
            <v>Romania</v>
          </cell>
        </row>
        <row r="201">
          <cell r="A201" t="str">
            <v>Rwanda</v>
          </cell>
        </row>
        <row r="202">
          <cell r="A202" t="str">
            <v>Sudan</v>
          </cell>
        </row>
        <row r="203">
          <cell r="A203" t="str">
            <v>Senegal</v>
          </cell>
        </row>
        <row r="204">
          <cell r="A204" t="str">
            <v>South Georgia &amp; South Sandwich Islands</v>
          </cell>
        </row>
        <row r="205">
          <cell r="A205" t="str">
            <v>St. Helena</v>
          </cell>
        </row>
        <row r="206">
          <cell r="A206" t="str">
            <v>Svalbard &amp; Jan Mayen</v>
          </cell>
        </row>
        <row r="207">
          <cell r="A207" t="str">
            <v>Solomon Islands</v>
          </cell>
        </row>
        <row r="208">
          <cell r="A208" t="str">
            <v>Sierra Leone</v>
          </cell>
        </row>
        <row r="209">
          <cell r="A209" t="str">
            <v>El Salvador</v>
          </cell>
        </row>
        <row r="210">
          <cell r="A210" t="str">
            <v>San Marino</v>
          </cell>
        </row>
        <row r="211">
          <cell r="A211" t="str">
            <v>Somalia</v>
          </cell>
        </row>
        <row r="212">
          <cell r="A212" t="str">
            <v>St. Pierre &amp; Miquelon</v>
          </cell>
        </row>
        <row r="213">
          <cell r="A213" t="str">
            <v>Serbia</v>
          </cell>
        </row>
        <row r="214">
          <cell r="A214" t="str">
            <v>South Sudan</v>
          </cell>
        </row>
        <row r="215">
          <cell r="A215" t="str">
            <v>SÃ£o TomÃ© &amp; PrÃ­ncipe</v>
          </cell>
        </row>
        <row r="216">
          <cell r="A216" t="str">
            <v>Suriname</v>
          </cell>
        </row>
        <row r="217">
          <cell r="A217" t="str">
            <v>Slovakia</v>
          </cell>
        </row>
        <row r="218">
          <cell r="A218" t="str">
            <v>Slovenia</v>
          </cell>
        </row>
        <row r="219">
          <cell r="A219" t="str">
            <v>Eswatini</v>
          </cell>
        </row>
        <row r="220">
          <cell r="A220" t="str">
            <v>Sint Maarten</v>
          </cell>
        </row>
        <row r="221">
          <cell r="A221" t="str">
            <v>Seychelles</v>
          </cell>
        </row>
        <row r="222">
          <cell r="A222" t="str">
            <v>Syria</v>
          </cell>
        </row>
        <row r="223">
          <cell r="A223" t="str">
            <v>Turks &amp; Caicos Islands</v>
          </cell>
        </row>
        <row r="224">
          <cell r="A224" t="str">
            <v>Chad</v>
          </cell>
        </row>
        <row r="225">
          <cell r="A225" t="str">
            <v>Togo</v>
          </cell>
        </row>
        <row r="226">
          <cell r="A226" t="str">
            <v>Thailand</v>
          </cell>
        </row>
        <row r="227">
          <cell r="A227" t="str">
            <v>Tajikistan</v>
          </cell>
        </row>
        <row r="228">
          <cell r="A228" t="str">
            <v>Tokelau</v>
          </cell>
        </row>
        <row r="229">
          <cell r="A229" t="str">
            <v>Turkmenistan</v>
          </cell>
        </row>
        <row r="230">
          <cell r="A230" t="str">
            <v>Timor-Leste</v>
          </cell>
        </row>
        <row r="231">
          <cell r="A231" t="str">
            <v>Tonga</v>
          </cell>
        </row>
        <row r="232">
          <cell r="A232" t="str">
            <v>Trinidad &amp; Tobago</v>
          </cell>
        </row>
        <row r="233">
          <cell r="A233" t="str">
            <v>Tunisia</v>
          </cell>
        </row>
        <row r="234">
          <cell r="A234" t="str">
            <v>Tuvalu</v>
          </cell>
        </row>
        <row r="235">
          <cell r="A235" t="str">
            <v>Tanzania</v>
          </cell>
        </row>
        <row r="236">
          <cell r="A236" t="str">
            <v>Uganda</v>
          </cell>
        </row>
        <row r="237">
          <cell r="A237" t="str">
            <v>U.S. Outlying Islands</v>
          </cell>
        </row>
        <row r="238">
          <cell r="A238" t="str">
            <v>Uruguay</v>
          </cell>
        </row>
        <row r="239">
          <cell r="A239" t="str">
            <v>Uzbekistan</v>
          </cell>
        </row>
        <row r="240">
          <cell r="A240" t="str">
            <v>Vatican City</v>
          </cell>
        </row>
        <row r="241">
          <cell r="A241" t="str">
            <v>St. Vincent &amp; Grenadines</v>
          </cell>
        </row>
        <row r="242">
          <cell r="A242" t="str">
            <v>Venezuela</v>
          </cell>
        </row>
        <row r="243">
          <cell r="A243" t="str">
            <v>British Virgin Islands</v>
          </cell>
        </row>
        <row r="244">
          <cell r="A244" t="str">
            <v>U.S. Virgin Islands</v>
          </cell>
        </row>
        <row r="245">
          <cell r="A245" t="str">
            <v>Vietnam</v>
          </cell>
        </row>
        <row r="246">
          <cell r="A246" t="str">
            <v>Vanuatu</v>
          </cell>
        </row>
        <row r="247">
          <cell r="A247" t="str">
            <v>Wallis &amp; Futuna</v>
          </cell>
        </row>
        <row r="248">
          <cell r="A248" t="str">
            <v>Samoa</v>
          </cell>
        </row>
        <row r="249">
          <cell r="A249" t="str">
            <v>Kosovo</v>
          </cell>
        </row>
        <row r="250">
          <cell r="A250" t="str">
            <v>Yemen</v>
          </cell>
        </row>
        <row r="251">
          <cell r="A251" t="str">
            <v>South Africa</v>
          </cell>
        </row>
        <row r="252">
          <cell r="A252" t="str">
            <v>Zambia</v>
          </cell>
        </row>
        <row r="253">
          <cell r="A253" t="str">
            <v>Zimbabwe</v>
          </cell>
        </row>
      </sheetData>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55)"/>
    </sheetNames>
    <sheetDataSet>
      <sheetData sheetId="0" refreshError="1">
        <row r="1">
          <cell r="A1" t="str">
            <v>Kategori: TÃ¼m kategoriler</v>
          </cell>
        </row>
        <row r="3">
          <cell r="A3" t="str">
            <v>Ãœlke</v>
          </cell>
          <cell r="B3" t="str">
            <v>Church-Turing tezi: (2018)</v>
          </cell>
          <cell r="C3" t="str">
            <v>System F: (2018)</v>
          </cell>
        </row>
        <row r="4">
          <cell r="A4" t="str">
            <v>Jamaica</v>
          </cell>
          <cell r="B4">
            <v>1</v>
          </cell>
        </row>
        <row r="5">
          <cell r="A5" t="str">
            <v>Kenya</v>
          </cell>
          <cell r="B5">
            <v>1</v>
          </cell>
        </row>
        <row r="6">
          <cell r="A6" t="str">
            <v>Singapore</v>
          </cell>
          <cell r="C6">
            <v>1</v>
          </cell>
        </row>
        <row r="7">
          <cell r="A7" t="str">
            <v>Germany</v>
          </cell>
          <cell r="B7">
            <v>0.32</v>
          </cell>
          <cell r="C7">
            <v>0.68</v>
          </cell>
        </row>
        <row r="8">
          <cell r="A8" t="str">
            <v>India</v>
          </cell>
          <cell r="B8">
            <v>0.72</v>
          </cell>
          <cell r="C8">
            <v>0.28000000000000003</v>
          </cell>
        </row>
        <row r="9">
          <cell r="A9" t="str">
            <v>Russia</v>
          </cell>
          <cell r="B9">
            <v>0.71</v>
          </cell>
          <cell r="C9">
            <v>0.28999999999999998</v>
          </cell>
        </row>
        <row r="10">
          <cell r="A10" t="str">
            <v>Taiwan</v>
          </cell>
          <cell r="C10">
            <v>1</v>
          </cell>
        </row>
        <row r="11">
          <cell r="A11" t="str">
            <v>Italy</v>
          </cell>
          <cell r="B11">
            <v>0.55000000000000004</v>
          </cell>
          <cell r="C11">
            <v>0.45</v>
          </cell>
        </row>
        <row r="12">
          <cell r="A12" t="str">
            <v>Canada</v>
          </cell>
          <cell r="B12">
            <v>0.61</v>
          </cell>
          <cell r="C12">
            <v>0.39</v>
          </cell>
        </row>
        <row r="13">
          <cell r="A13" t="str">
            <v>United Kingdom</v>
          </cell>
          <cell r="B13">
            <v>0.41</v>
          </cell>
          <cell r="C13">
            <v>0.59</v>
          </cell>
        </row>
        <row r="14">
          <cell r="A14" t="str">
            <v>United States</v>
          </cell>
          <cell r="B14">
            <v>0.49</v>
          </cell>
          <cell r="C14">
            <v>0.51</v>
          </cell>
        </row>
        <row r="15">
          <cell r="A15" t="str">
            <v>France</v>
          </cell>
          <cell r="B15">
            <v>0.42</v>
          </cell>
          <cell r="C15">
            <v>0.57999999999999996</v>
          </cell>
        </row>
        <row r="16">
          <cell r="A16" t="str">
            <v>Sweden</v>
          </cell>
          <cell r="C16">
            <v>1</v>
          </cell>
        </row>
        <row r="17">
          <cell r="A17" t="str">
            <v>Australia</v>
          </cell>
          <cell r="B17">
            <v>0.5</v>
          </cell>
          <cell r="C17">
            <v>0.5</v>
          </cell>
        </row>
        <row r="18">
          <cell r="A18" t="str">
            <v>Spain</v>
          </cell>
          <cell r="B18">
            <v>0.82</v>
          </cell>
          <cell r="C18">
            <v>0.18</v>
          </cell>
        </row>
        <row r="19">
          <cell r="A19" t="str">
            <v>Turkey</v>
          </cell>
          <cell r="B19">
            <v>0.25</v>
          </cell>
          <cell r="C19">
            <v>0.75</v>
          </cell>
        </row>
        <row r="20">
          <cell r="A20" t="str">
            <v>Colombia</v>
          </cell>
          <cell r="B20">
            <v>1</v>
          </cell>
        </row>
        <row r="21">
          <cell r="A21" t="str">
            <v>Malaysia</v>
          </cell>
          <cell r="C21">
            <v>1</v>
          </cell>
        </row>
        <row r="22">
          <cell r="A22" t="str">
            <v>Netherlands</v>
          </cell>
          <cell r="B22">
            <v>0.5</v>
          </cell>
          <cell r="C22">
            <v>0.5</v>
          </cell>
        </row>
        <row r="23">
          <cell r="A23" t="str">
            <v>Brazil</v>
          </cell>
          <cell r="B23">
            <v>0.86</v>
          </cell>
          <cell r="C23">
            <v>0.14000000000000001</v>
          </cell>
        </row>
        <row r="24">
          <cell r="A24" t="str">
            <v>Mexico</v>
          </cell>
          <cell r="B24">
            <v>1</v>
          </cell>
        </row>
        <row r="25">
          <cell r="A25" t="str">
            <v>Eswatini</v>
          </cell>
        </row>
        <row r="26">
          <cell r="A26" t="str">
            <v>Zimbabwe</v>
          </cell>
        </row>
        <row r="27">
          <cell r="A27" t="str">
            <v>Malta</v>
          </cell>
        </row>
        <row r="28">
          <cell r="A28" t="str">
            <v>Nepal</v>
          </cell>
        </row>
        <row r="29">
          <cell r="A29" t="str">
            <v>China</v>
          </cell>
        </row>
        <row r="30">
          <cell r="A30" t="str">
            <v>St. Helena</v>
          </cell>
        </row>
        <row r="31">
          <cell r="A31" t="str">
            <v>Uzbekistan</v>
          </cell>
        </row>
        <row r="32">
          <cell r="A32" t="str">
            <v>Syria</v>
          </cell>
        </row>
        <row r="33">
          <cell r="A33" t="str">
            <v>Ghana</v>
          </cell>
        </row>
        <row r="34">
          <cell r="A34" t="str">
            <v>Paraguay</v>
          </cell>
        </row>
        <row r="35">
          <cell r="A35" t="str">
            <v>Bosnia &amp; Herzegovina</v>
          </cell>
        </row>
        <row r="36">
          <cell r="A36" t="str">
            <v>Slovenia</v>
          </cell>
        </row>
        <row r="37">
          <cell r="A37" t="str">
            <v>Slovakia</v>
          </cell>
        </row>
        <row r="38">
          <cell r="A38" t="str">
            <v>Israel</v>
          </cell>
        </row>
        <row r="39">
          <cell r="A39" t="str">
            <v>Finland</v>
          </cell>
        </row>
        <row r="40">
          <cell r="A40" t="str">
            <v>Greece</v>
          </cell>
        </row>
        <row r="41">
          <cell r="A41" t="str">
            <v>Switzerland</v>
          </cell>
        </row>
        <row r="42">
          <cell r="A42" t="str">
            <v>Morocco</v>
          </cell>
        </row>
        <row r="43">
          <cell r="A43" t="str">
            <v>Denmark</v>
          </cell>
        </row>
        <row r="44">
          <cell r="A44" t="str">
            <v>Bangladesh</v>
          </cell>
        </row>
        <row r="45">
          <cell r="A45" t="str">
            <v>Ecuador</v>
          </cell>
        </row>
        <row r="46">
          <cell r="A46" t="str">
            <v>Hong Kong</v>
          </cell>
        </row>
        <row r="47">
          <cell r="A47" t="str">
            <v>South Korea</v>
          </cell>
        </row>
        <row r="48">
          <cell r="A48" t="str">
            <v>Kazakhstan</v>
          </cell>
        </row>
        <row r="49">
          <cell r="A49" t="str">
            <v>Norway</v>
          </cell>
        </row>
        <row r="50">
          <cell r="A50" t="str">
            <v>Nigeria</v>
          </cell>
        </row>
        <row r="51">
          <cell r="A51" t="str">
            <v>Portugal</v>
          </cell>
        </row>
        <row r="52">
          <cell r="A52" t="str">
            <v>Czechia</v>
          </cell>
        </row>
        <row r="53">
          <cell r="A53" t="str">
            <v>Hungary</v>
          </cell>
        </row>
        <row r="54">
          <cell r="A54" t="str">
            <v>Philippines</v>
          </cell>
        </row>
        <row r="55">
          <cell r="A55" t="str">
            <v>Austria</v>
          </cell>
        </row>
        <row r="56">
          <cell r="A56" t="str">
            <v>Peru</v>
          </cell>
        </row>
        <row r="57">
          <cell r="A57" t="str">
            <v>Ukraine</v>
          </cell>
        </row>
        <row r="58">
          <cell r="A58" t="str">
            <v>Belgium</v>
          </cell>
        </row>
        <row r="59">
          <cell r="A59" t="str">
            <v>Chile</v>
          </cell>
        </row>
        <row r="60">
          <cell r="A60" t="str">
            <v>Poland</v>
          </cell>
        </row>
        <row r="61">
          <cell r="A61" t="str">
            <v>Iran</v>
          </cell>
        </row>
        <row r="62">
          <cell r="A62" t="str">
            <v>Argentina</v>
          </cell>
        </row>
        <row r="63">
          <cell r="A63" t="str">
            <v>Japan</v>
          </cell>
        </row>
        <row r="64">
          <cell r="A64" t="str">
            <v>Indonesia</v>
          </cell>
        </row>
        <row r="65">
          <cell r="A65" t="str">
            <v>Aruba</v>
          </cell>
        </row>
        <row r="66">
          <cell r="A66" t="str">
            <v>Afghanistan</v>
          </cell>
        </row>
        <row r="67">
          <cell r="A67" t="str">
            <v>Angola</v>
          </cell>
        </row>
        <row r="68">
          <cell r="A68" t="str">
            <v>Anguilla</v>
          </cell>
        </row>
        <row r="69">
          <cell r="A69" t="str">
            <v>Ã…land Islands</v>
          </cell>
        </row>
        <row r="70">
          <cell r="A70" t="str">
            <v>Albania</v>
          </cell>
        </row>
        <row r="71">
          <cell r="A71" t="str">
            <v>Andorra</v>
          </cell>
        </row>
        <row r="72">
          <cell r="A72" t="str">
            <v>United Arab Emirates</v>
          </cell>
        </row>
        <row r="73">
          <cell r="A73" t="str">
            <v>Armenia</v>
          </cell>
        </row>
        <row r="74">
          <cell r="A74" t="str">
            <v>American Samoa</v>
          </cell>
        </row>
        <row r="75">
          <cell r="A75" t="str">
            <v>Antarctica</v>
          </cell>
        </row>
        <row r="76">
          <cell r="A76" t="str">
            <v>French Southern Territories</v>
          </cell>
        </row>
        <row r="77">
          <cell r="A77" t="str">
            <v>Antigua &amp; Barbuda</v>
          </cell>
        </row>
        <row r="78">
          <cell r="A78" t="str">
            <v>Azerbaijan</v>
          </cell>
        </row>
        <row r="79">
          <cell r="A79" t="str">
            <v>Burundi</v>
          </cell>
        </row>
        <row r="80">
          <cell r="A80" t="str">
            <v>Benin</v>
          </cell>
        </row>
        <row r="81">
          <cell r="A81" t="str">
            <v>Caribbean Netherlands</v>
          </cell>
        </row>
        <row r="82">
          <cell r="A82" t="str">
            <v>Burkina Faso</v>
          </cell>
        </row>
        <row r="83">
          <cell r="A83" t="str">
            <v>Bulgaria</v>
          </cell>
        </row>
        <row r="84">
          <cell r="A84" t="str">
            <v>Bahrain</v>
          </cell>
        </row>
        <row r="85">
          <cell r="A85" t="str">
            <v>Bahamas</v>
          </cell>
        </row>
        <row r="86">
          <cell r="A86" t="str">
            <v>St. BarthÃ©lemy</v>
          </cell>
        </row>
        <row r="87">
          <cell r="A87" t="str">
            <v>Belarus</v>
          </cell>
        </row>
        <row r="88">
          <cell r="A88" t="str">
            <v>Belize</v>
          </cell>
        </row>
        <row r="89">
          <cell r="A89" t="str">
            <v>Bermuda</v>
          </cell>
        </row>
        <row r="90">
          <cell r="A90" t="str">
            <v>Bolivia</v>
          </cell>
        </row>
        <row r="91">
          <cell r="A91" t="str">
            <v>Barbados</v>
          </cell>
        </row>
        <row r="92">
          <cell r="A92" t="str">
            <v>Brunei</v>
          </cell>
        </row>
        <row r="93">
          <cell r="A93" t="str">
            <v>Bhutan</v>
          </cell>
        </row>
        <row r="94">
          <cell r="A94" t="str">
            <v>Bouvet Island</v>
          </cell>
        </row>
        <row r="95">
          <cell r="A95" t="str">
            <v>Botswana</v>
          </cell>
        </row>
        <row r="96">
          <cell r="A96" t="str">
            <v>Central African Republic</v>
          </cell>
        </row>
        <row r="97">
          <cell r="A97" t="str">
            <v>Cocos (Keeling) Islands</v>
          </cell>
        </row>
        <row r="98">
          <cell r="A98" t="str">
            <v>CÃ´te dâ€™Ivoire</v>
          </cell>
        </row>
        <row r="99">
          <cell r="A99" t="str">
            <v>Cameroon</v>
          </cell>
        </row>
        <row r="100">
          <cell r="A100" t="str">
            <v>Congo - Kinshasa</v>
          </cell>
        </row>
        <row r="101">
          <cell r="A101" t="str">
            <v>Congo - Brazzaville</v>
          </cell>
        </row>
        <row r="102">
          <cell r="A102" t="str">
            <v>Cook Islands</v>
          </cell>
        </row>
        <row r="103">
          <cell r="A103" t="str">
            <v>Comoros</v>
          </cell>
        </row>
        <row r="104">
          <cell r="A104" t="str">
            <v>Cape Verde</v>
          </cell>
        </row>
        <row r="105">
          <cell r="A105" t="str">
            <v>Costa Rica</v>
          </cell>
        </row>
        <row r="106">
          <cell r="A106" t="str">
            <v>Cuba</v>
          </cell>
        </row>
        <row r="107">
          <cell r="A107" t="str">
            <v>CuraÃ§ao</v>
          </cell>
        </row>
        <row r="108">
          <cell r="A108" t="str">
            <v>Christmas Island</v>
          </cell>
        </row>
        <row r="109">
          <cell r="A109" t="str">
            <v>Cayman Islands</v>
          </cell>
        </row>
        <row r="110">
          <cell r="A110" t="str">
            <v>Cyprus</v>
          </cell>
        </row>
        <row r="111">
          <cell r="A111" t="str">
            <v>Djibouti</v>
          </cell>
        </row>
        <row r="112">
          <cell r="A112" t="str">
            <v>Dominica</v>
          </cell>
        </row>
        <row r="113">
          <cell r="A113" t="str">
            <v>Dominican Republic</v>
          </cell>
        </row>
        <row r="114">
          <cell r="A114" t="str">
            <v>Algeria</v>
          </cell>
        </row>
        <row r="115">
          <cell r="A115" t="str">
            <v>Egypt</v>
          </cell>
        </row>
        <row r="116">
          <cell r="A116" t="str">
            <v>Eritrea</v>
          </cell>
        </row>
        <row r="117">
          <cell r="A117" t="str">
            <v>Western Sahara</v>
          </cell>
        </row>
        <row r="118">
          <cell r="A118" t="str">
            <v>Estonia</v>
          </cell>
        </row>
        <row r="119">
          <cell r="A119" t="str">
            <v>Ethiopia</v>
          </cell>
        </row>
        <row r="120">
          <cell r="A120" t="str">
            <v>Fiji</v>
          </cell>
        </row>
        <row r="121">
          <cell r="A121" t="str">
            <v>Falkland Islands (Islas Malvinas)</v>
          </cell>
        </row>
        <row r="122">
          <cell r="A122" t="str">
            <v>Faroe Islands</v>
          </cell>
        </row>
        <row r="123">
          <cell r="A123" t="str">
            <v>Micronesia</v>
          </cell>
        </row>
        <row r="124">
          <cell r="A124" t="str">
            <v>Gabon</v>
          </cell>
        </row>
        <row r="125">
          <cell r="A125" t="str">
            <v>Georgia</v>
          </cell>
        </row>
        <row r="126">
          <cell r="A126" t="str">
            <v>Guernsey</v>
          </cell>
        </row>
        <row r="127">
          <cell r="A127" t="str">
            <v>Gibraltar</v>
          </cell>
        </row>
        <row r="128">
          <cell r="A128" t="str">
            <v>Guinea</v>
          </cell>
        </row>
        <row r="129">
          <cell r="A129" t="str">
            <v>Guadeloupe</v>
          </cell>
        </row>
        <row r="130">
          <cell r="A130" t="str">
            <v>Gambia</v>
          </cell>
        </row>
        <row r="131">
          <cell r="A131" t="str">
            <v>Guinea-Bissau</v>
          </cell>
        </row>
        <row r="132">
          <cell r="A132" t="str">
            <v>Equatorial Guinea</v>
          </cell>
        </row>
        <row r="133">
          <cell r="A133" t="str">
            <v>Grenada</v>
          </cell>
        </row>
        <row r="134">
          <cell r="A134" t="str">
            <v>Greenland</v>
          </cell>
        </row>
        <row r="135">
          <cell r="A135" t="str">
            <v>Guatemala</v>
          </cell>
        </row>
        <row r="136">
          <cell r="A136" t="str">
            <v>French Guiana</v>
          </cell>
        </row>
        <row r="137">
          <cell r="A137" t="str">
            <v>Guam</v>
          </cell>
        </row>
        <row r="138">
          <cell r="A138" t="str">
            <v>Guyana</v>
          </cell>
        </row>
        <row r="139">
          <cell r="A139" t="str">
            <v>Heard &amp; McDonald Islands</v>
          </cell>
        </row>
        <row r="140">
          <cell r="A140" t="str">
            <v>Honduras</v>
          </cell>
        </row>
        <row r="141">
          <cell r="A141" t="str">
            <v>Croatia</v>
          </cell>
        </row>
        <row r="142">
          <cell r="A142" t="str">
            <v>Haiti</v>
          </cell>
        </row>
        <row r="143">
          <cell r="A143" t="str">
            <v>Isle of Man</v>
          </cell>
        </row>
        <row r="144">
          <cell r="A144" t="str">
            <v>British Indian Ocean Territory</v>
          </cell>
        </row>
        <row r="145">
          <cell r="A145" t="str">
            <v>Ireland</v>
          </cell>
        </row>
        <row r="146">
          <cell r="A146" t="str">
            <v>Iraq</v>
          </cell>
        </row>
        <row r="147">
          <cell r="A147" t="str">
            <v>Iceland</v>
          </cell>
        </row>
        <row r="148">
          <cell r="A148" t="str">
            <v>Jersey</v>
          </cell>
        </row>
        <row r="149">
          <cell r="A149" t="str">
            <v>Jordan</v>
          </cell>
        </row>
        <row r="150">
          <cell r="A150" t="str">
            <v>Kyrgyzstan</v>
          </cell>
        </row>
        <row r="151">
          <cell r="A151" t="str">
            <v>Cambodia</v>
          </cell>
        </row>
        <row r="152">
          <cell r="A152" t="str">
            <v>Kiribati</v>
          </cell>
        </row>
        <row r="153">
          <cell r="A153" t="str">
            <v>St. Kitts &amp; Nevis</v>
          </cell>
        </row>
        <row r="154">
          <cell r="A154" t="str">
            <v>Kuwait</v>
          </cell>
        </row>
        <row r="155">
          <cell r="A155" t="str">
            <v>Laos</v>
          </cell>
        </row>
        <row r="156">
          <cell r="A156" t="str">
            <v>Lebanon</v>
          </cell>
        </row>
        <row r="157">
          <cell r="A157" t="str">
            <v>Liberia</v>
          </cell>
        </row>
        <row r="158">
          <cell r="A158" t="str">
            <v>Libya</v>
          </cell>
        </row>
        <row r="159">
          <cell r="A159" t="str">
            <v>St. Lucia</v>
          </cell>
        </row>
        <row r="160">
          <cell r="A160" t="str">
            <v>Liechtenstein</v>
          </cell>
        </row>
        <row r="161">
          <cell r="A161" t="str">
            <v>Sri Lanka</v>
          </cell>
        </row>
        <row r="162">
          <cell r="A162" t="str">
            <v>Lesotho</v>
          </cell>
        </row>
        <row r="163">
          <cell r="A163" t="str">
            <v>Lithuania</v>
          </cell>
        </row>
        <row r="164">
          <cell r="A164" t="str">
            <v>Luxembourg</v>
          </cell>
        </row>
        <row r="165">
          <cell r="A165" t="str">
            <v>Latvia</v>
          </cell>
        </row>
        <row r="166">
          <cell r="A166" t="str">
            <v>Macao</v>
          </cell>
        </row>
        <row r="167">
          <cell r="A167" t="str">
            <v>St. Martin</v>
          </cell>
        </row>
        <row r="168">
          <cell r="A168" t="str">
            <v>Monaco</v>
          </cell>
        </row>
        <row r="169">
          <cell r="A169" t="str">
            <v>Moldova</v>
          </cell>
        </row>
        <row r="170">
          <cell r="A170" t="str">
            <v>Madagascar</v>
          </cell>
        </row>
        <row r="171">
          <cell r="A171" t="str">
            <v>Maldives</v>
          </cell>
        </row>
        <row r="172">
          <cell r="A172" t="str">
            <v>Marshall Islands</v>
          </cell>
        </row>
        <row r="173">
          <cell r="A173" t="str">
            <v>North Macedonia</v>
          </cell>
        </row>
        <row r="174">
          <cell r="A174" t="str">
            <v>Mali</v>
          </cell>
        </row>
        <row r="175">
          <cell r="A175" t="str">
            <v>Myanmar (Burma)</v>
          </cell>
        </row>
        <row r="176">
          <cell r="A176" t="str">
            <v>Montenegro</v>
          </cell>
        </row>
        <row r="177">
          <cell r="A177" t="str">
            <v>Mongolia</v>
          </cell>
        </row>
        <row r="178">
          <cell r="A178" t="str">
            <v>Northern Mariana Islands</v>
          </cell>
        </row>
        <row r="179">
          <cell r="A179" t="str">
            <v>Mozambique</v>
          </cell>
        </row>
        <row r="180">
          <cell r="A180" t="str">
            <v>Mauritania</v>
          </cell>
        </row>
        <row r="181">
          <cell r="A181" t="str">
            <v>Montserrat</v>
          </cell>
        </row>
        <row r="182">
          <cell r="A182" t="str">
            <v>Martinique</v>
          </cell>
        </row>
        <row r="183">
          <cell r="A183" t="str">
            <v>Mauritius</v>
          </cell>
        </row>
        <row r="184">
          <cell r="A184" t="str">
            <v>Malawi</v>
          </cell>
        </row>
        <row r="185">
          <cell r="A185" t="str">
            <v>Mayotte</v>
          </cell>
        </row>
        <row r="186">
          <cell r="A186" t="str">
            <v>Namibia</v>
          </cell>
        </row>
        <row r="187">
          <cell r="A187" t="str">
            <v>New Caledonia</v>
          </cell>
        </row>
        <row r="188">
          <cell r="A188" t="str">
            <v>Niger</v>
          </cell>
        </row>
        <row r="189">
          <cell r="A189" t="str">
            <v>Norfolk Island</v>
          </cell>
        </row>
        <row r="190">
          <cell r="A190" t="str">
            <v>Nicaragua</v>
          </cell>
        </row>
        <row r="191">
          <cell r="A191" t="str">
            <v>Niue</v>
          </cell>
        </row>
        <row r="192">
          <cell r="A192" t="str">
            <v>Nauru</v>
          </cell>
        </row>
        <row r="193">
          <cell r="A193" t="str">
            <v>New Zealand</v>
          </cell>
        </row>
        <row r="194">
          <cell r="A194" t="str">
            <v>Oman</v>
          </cell>
        </row>
        <row r="195">
          <cell r="A195" t="str">
            <v>Pakistan</v>
          </cell>
        </row>
        <row r="196">
          <cell r="A196" t="str">
            <v>Panama</v>
          </cell>
        </row>
        <row r="197">
          <cell r="A197" t="str">
            <v>Pitcairn Islands</v>
          </cell>
        </row>
        <row r="198">
          <cell r="A198" t="str">
            <v>Palau</v>
          </cell>
        </row>
        <row r="199">
          <cell r="A199" t="str">
            <v>Papua New Guinea</v>
          </cell>
        </row>
        <row r="200">
          <cell r="A200" t="str">
            <v>Puerto Rico</v>
          </cell>
        </row>
        <row r="201">
          <cell r="A201" t="str">
            <v>North Korea</v>
          </cell>
        </row>
        <row r="202">
          <cell r="A202" t="str">
            <v>Palestine</v>
          </cell>
        </row>
        <row r="203">
          <cell r="A203" t="str">
            <v>French Polynesia</v>
          </cell>
        </row>
        <row r="204">
          <cell r="A204" t="str">
            <v>Qatar</v>
          </cell>
        </row>
        <row r="205">
          <cell r="A205" t="str">
            <v>RÃ©union</v>
          </cell>
        </row>
        <row r="206">
          <cell r="A206" t="str">
            <v>Romania</v>
          </cell>
        </row>
        <row r="207">
          <cell r="A207" t="str">
            <v>Rwanda</v>
          </cell>
        </row>
        <row r="208">
          <cell r="A208" t="str">
            <v>Saudi Arabia</v>
          </cell>
        </row>
        <row r="209">
          <cell r="A209" t="str">
            <v>Sudan</v>
          </cell>
        </row>
        <row r="210">
          <cell r="A210" t="str">
            <v>Senegal</v>
          </cell>
        </row>
        <row r="211">
          <cell r="A211" t="str">
            <v>South Georgia &amp; South Sandwich Islands</v>
          </cell>
        </row>
        <row r="212">
          <cell r="A212" t="str">
            <v>Svalbard &amp; Jan Mayen</v>
          </cell>
        </row>
        <row r="213">
          <cell r="A213" t="str">
            <v>Solomon Islands</v>
          </cell>
        </row>
        <row r="214">
          <cell r="A214" t="str">
            <v>Sierra Leone</v>
          </cell>
        </row>
        <row r="215">
          <cell r="A215" t="str">
            <v>El Salvador</v>
          </cell>
        </row>
        <row r="216">
          <cell r="A216" t="str">
            <v>San Marino</v>
          </cell>
        </row>
        <row r="217">
          <cell r="A217" t="str">
            <v>Somalia</v>
          </cell>
        </row>
        <row r="218">
          <cell r="A218" t="str">
            <v>St. Pierre &amp; Miquelon</v>
          </cell>
        </row>
        <row r="219">
          <cell r="A219" t="str">
            <v>Serbia</v>
          </cell>
        </row>
        <row r="220">
          <cell r="A220" t="str">
            <v>South Sudan</v>
          </cell>
        </row>
        <row r="221">
          <cell r="A221" t="str">
            <v>SÃ£o TomÃ© &amp; PrÃ­ncipe</v>
          </cell>
        </row>
        <row r="222">
          <cell r="A222" t="str">
            <v>Suriname</v>
          </cell>
        </row>
        <row r="223">
          <cell r="A223" t="str">
            <v>Sint Maarten</v>
          </cell>
        </row>
        <row r="224">
          <cell r="A224" t="str">
            <v>Seychelles</v>
          </cell>
        </row>
        <row r="225">
          <cell r="A225" t="str">
            <v>Turks &amp; Caicos Islands</v>
          </cell>
        </row>
        <row r="226">
          <cell r="A226" t="str">
            <v>Chad</v>
          </cell>
        </row>
        <row r="227">
          <cell r="A227" t="str">
            <v>Togo</v>
          </cell>
        </row>
        <row r="228">
          <cell r="A228" t="str">
            <v>Thailand</v>
          </cell>
        </row>
        <row r="229">
          <cell r="A229" t="str">
            <v>Tajikistan</v>
          </cell>
        </row>
        <row r="230">
          <cell r="A230" t="str">
            <v>Tokelau</v>
          </cell>
        </row>
        <row r="231">
          <cell r="A231" t="str">
            <v>Turkmenistan</v>
          </cell>
        </row>
        <row r="232">
          <cell r="A232" t="str">
            <v>Timor-Leste</v>
          </cell>
        </row>
        <row r="233">
          <cell r="A233" t="str">
            <v>Tonga</v>
          </cell>
        </row>
        <row r="234">
          <cell r="A234" t="str">
            <v>Trinidad &amp; Tobago</v>
          </cell>
        </row>
        <row r="235">
          <cell r="A235" t="str">
            <v>Tunisia</v>
          </cell>
        </row>
        <row r="236">
          <cell r="A236" t="str">
            <v>Tuvalu</v>
          </cell>
        </row>
        <row r="237">
          <cell r="A237" t="str">
            <v>Tanzania</v>
          </cell>
        </row>
        <row r="238">
          <cell r="A238" t="str">
            <v>Uganda</v>
          </cell>
        </row>
        <row r="239">
          <cell r="A239" t="str">
            <v>U.S. Outlying Islands</v>
          </cell>
        </row>
        <row r="240">
          <cell r="A240" t="str">
            <v>Uruguay</v>
          </cell>
        </row>
        <row r="241">
          <cell r="A241" t="str">
            <v>Vatican City</v>
          </cell>
        </row>
        <row r="242">
          <cell r="A242" t="str">
            <v>St. Vincent &amp; Grenadines</v>
          </cell>
        </row>
        <row r="243">
          <cell r="A243" t="str">
            <v>Venezuela</v>
          </cell>
        </row>
        <row r="244">
          <cell r="A244" t="str">
            <v>British Virgin Islands</v>
          </cell>
        </row>
        <row r="245">
          <cell r="A245" t="str">
            <v>U.S. Virgin Islands</v>
          </cell>
        </row>
        <row r="246">
          <cell r="A246" t="str">
            <v>Vietnam</v>
          </cell>
        </row>
        <row r="247">
          <cell r="A247" t="str">
            <v>Vanuatu</v>
          </cell>
        </row>
        <row r="248">
          <cell r="A248" t="str">
            <v>Wallis &amp; Futuna</v>
          </cell>
        </row>
        <row r="249">
          <cell r="A249" t="str">
            <v>Samoa</v>
          </cell>
        </row>
        <row r="250">
          <cell r="A250" t="str">
            <v>Kosovo</v>
          </cell>
        </row>
        <row r="251">
          <cell r="A251" t="str">
            <v>Yemen</v>
          </cell>
        </row>
        <row r="252">
          <cell r="A252" t="str">
            <v>South Africa</v>
          </cell>
        </row>
        <row r="253">
          <cell r="A253" t="str">
            <v>Zambia</v>
          </cell>
        </row>
      </sheetData>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56)"/>
    </sheetNames>
    <sheetDataSet>
      <sheetData sheetId="0" refreshError="1">
        <row r="1">
          <cell r="A1" t="str">
            <v>Kategori: TÃ¼m kategoriler</v>
          </cell>
        </row>
        <row r="3">
          <cell r="A3" t="str">
            <v>Ãœlke</v>
          </cell>
          <cell r="B3" t="str">
            <v>System F: (2018)</v>
          </cell>
          <cell r="C3" t="str">
            <v>Matrix completion: (2018)</v>
          </cell>
        </row>
        <row r="4">
          <cell r="A4" t="str">
            <v>China</v>
          </cell>
          <cell r="C4">
            <v>1</v>
          </cell>
        </row>
        <row r="5">
          <cell r="A5" t="str">
            <v>Singapore</v>
          </cell>
          <cell r="B5">
            <v>1</v>
          </cell>
        </row>
        <row r="6">
          <cell r="A6" t="str">
            <v>Germany</v>
          </cell>
          <cell r="B6">
            <v>1</v>
          </cell>
        </row>
        <row r="7">
          <cell r="A7" t="str">
            <v>Taiwan</v>
          </cell>
          <cell r="B7">
            <v>1</v>
          </cell>
        </row>
        <row r="8">
          <cell r="A8" t="str">
            <v>United Kingdom</v>
          </cell>
          <cell r="B8">
            <v>1</v>
          </cell>
        </row>
        <row r="9">
          <cell r="A9" t="str">
            <v>United States</v>
          </cell>
          <cell r="B9">
            <v>0.51</v>
          </cell>
          <cell r="C9">
            <v>0.49</v>
          </cell>
        </row>
        <row r="10">
          <cell r="A10" t="str">
            <v>Italy</v>
          </cell>
          <cell r="B10">
            <v>1</v>
          </cell>
        </row>
        <row r="11">
          <cell r="A11" t="str">
            <v>France</v>
          </cell>
          <cell r="B11">
            <v>0.75</v>
          </cell>
          <cell r="C11">
            <v>0.25</v>
          </cell>
        </row>
        <row r="12">
          <cell r="A12" t="str">
            <v>Australia</v>
          </cell>
          <cell r="B12">
            <v>1</v>
          </cell>
        </row>
        <row r="13">
          <cell r="A13" t="str">
            <v>Turkey</v>
          </cell>
          <cell r="B13">
            <v>1</v>
          </cell>
        </row>
        <row r="14">
          <cell r="A14" t="str">
            <v>Russia</v>
          </cell>
          <cell r="B14">
            <v>1</v>
          </cell>
        </row>
        <row r="15">
          <cell r="A15" t="str">
            <v>India</v>
          </cell>
          <cell r="B15">
            <v>0.67</v>
          </cell>
          <cell r="C15">
            <v>0.33</v>
          </cell>
        </row>
        <row r="16">
          <cell r="A16" t="str">
            <v>Japan</v>
          </cell>
          <cell r="B16">
            <v>0.25</v>
          </cell>
          <cell r="C16">
            <v>0.75</v>
          </cell>
        </row>
        <row r="17">
          <cell r="A17" t="str">
            <v>Spain</v>
          </cell>
          <cell r="B17">
            <v>1</v>
          </cell>
        </row>
        <row r="18">
          <cell r="A18" t="str">
            <v>Brazil</v>
          </cell>
          <cell r="B18">
            <v>1</v>
          </cell>
        </row>
        <row r="19">
          <cell r="A19" t="str">
            <v>Congo - Brazzaville</v>
          </cell>
        </row>
        <row r="20">
          <cell r="A20" t="str">
            <v>Namibia</v>
          </cell>
        </row>
        <row r="21">
          <cell r="A21" t="str">
            <v>Congo - Kinshasa</v>
          </cell>
        </row>
        <row r="22">
          <cell r="A22" t="str">
            <v>Cameroon</v>
          </cell>
        </row>
        <row r="23">
          <cell r="A23" t="str">
            <v>Albania</v>
          </cell>
        </row>
        <row r="24">
          <cell r="A24" t="str">
            <v>Estonia</v>
          </cell>
        </row>
        <row r="25">
          <cell r="A25" t="str">
            <v>Slovenia</v>
          </cell>
        </row>
        <row r="26">
          <cell r="A26" t="str">
            <v>Czechia</v>
          </cell>
        </row>
        <row r="27">
          <cell r="A27" t="str">
            <v>Israel</v>
          </cell>
        </row>
        <row r="28">
          <cell r="A28" t="str">
            <v>Lithuania</v>
          </cell>
        </row>
        <row r="29">
          <cell r="A29" t="str">
            <v>Serbia</v>
          </cell>
        </row>
        <row r="30">
          <cell r="A30" t="str">
            <v>Greece</v>
          </cell>
        </row>
        <row r="31">
          <cell r="A31" t="str">
            <v>Bulgaria</v>
          </cell>
        </row>
        <row r="32">
          <cell r="A32" t="str">
            <v>Switzerland</v>
          </cell>
        </row>
        <row r="33">
          <cell r="A33" t="str">
            <v>Morocco</v>
          </cell>
        </row>
        <row r="34">
          <cell r="A34" t="str">
            <v>Belarus</v>
          </cell>
        </row>
        <row r="35">
          <cell r="A35" t="str">
            <v>Bangladesh</v>
          </cell>
        </row>
        <row r="36">
          <cell r="A36" t="str">
            <v>Hong Kong</v>
          </cell>
        </row>
        <row r="37">
          <cell r="A37" t="str">
            <v>Algeria</v>
          </cell>
        </row>
        <row r="38">
          <cell r="A38" t="str">
            <v>New Zealand</v>
          </cell>
        </row>
        <row r="39">
          <cell r="A39" t="str">
            <v>Kazakhstan</v>
          </cell>
        </row>
        <row r="40">
          <cell r="A40" t="str">
            <v>Austria</v>
          </cell>
        </row>
        <row r="41">
          <cell r="A41" t="str">
            <v>Ireland</v>
          </cell>
        </row>
        <row r="42">
          <cell r="A42" t="str">
            <v>Finland</v>
          </cell>
        </row>
        <row r="43">
          <cell r="A43" t="str">
            <v>Denmark</v>
          </cell>
        </row>
        <row r="44">
          <cell r="A44" t="str">
            <v>Hungary</v>
          </cell>
        </row>
        <row r="45">
          <cell r="A45" t="str">
            <v>Sweden</v>
          </cell>
        </row>
        <row r="46">
          <cell r="A46" t="str">
            <v>Ukraine</v>
          </cell>
        </row>
        <row r="47">
          <cell r="A47" t="str">
            <v>Romania</v>
          </cell>
        </row>
        <row r="48">
          <cell r="A48" t="str">
            <v>Canada</v>
          </cell>
        </row>
        <row r="49">
          <cell r="A49" t="str">
            <v>South Korea</v>
          </cell>
        </row>
        <row r="50">
          <cell r="A50" t="str">
            <v>Saudi Arabia</v>
          </cell>
        </row>
        <row r="51">
          <cell r="A51" t="str">
            <v>Belgium</v>
          </cell>
        </row>
        <row r="52">
          <cell r="A52" t="str">
            <v>Thailand</v>
          </cell>
        </row>
        <row r="53">
          <cell r="A53" t="str">
            <v>Malaysia</v>
          </cell>
        </row>
        <row r="54">
          <cell r="A54" t="str">
            <v>Vietnam</v>
          </cell>
        </row>
        <row r="55">
          <cell r="A55" t="str">
            <v>Netherlands</v>
          </cell>
        </row>
        <row r="56">
          <cell r="A56" t="str">
            <v>Iran</v>
          </cell>
        </row>
        <row r="57">
          <cell r="A57" t="str">
            <v>Aruba</v>
          </cell>
        </row>
        <row r="58">
          <cell r="A58" t="str">
            <v>Afghanistan</v>
          </cell>
        </row>
        <row r="59">
          <cell r="A59" t="str">
            <v>Angola</v>
          </cell>
        </row>
        <row r="60">
          <cell r="A60" t="str">
            <v>Anguilla</v>
          </cell>
        </row>
        <row r="61">
          <cell r="A61" t="str">
            <v>Ã…land Islands</v>
          </cell>
        </row>
        <row r="62">
          <cell r="A62" t="str">
            <v>Andorra</v>
          </cell>
        </row>
        <row r="63">
          <cell r="A63" t="str">
            <v>United Arab Emirates</v>
          </cell>
        </row>
        <row r="64">
          <cell r="A64" t="str">
            <v>Argentina</v>
          </cell>
        </row>
        <row r="65">
          <cell r="A65" t="str">
            <v>Armenia</v>
          </cell>
        </row>
        <row r="66">
          <cell r="A66" t="str">
            <v>American Samoa</v>
          </cell>
        </row>
        <row r="67">
          <cell r="A67" t="str">
            <v>Antarctica</v>
          </cell>
        </row>
        <row r="68">
          <cell r="A68" t="str">
            <v>French Southern Territories</v>
          </cell>
        </row>
        <row r="69">
          <cell r="A69" t="str">
            <v>Antigua &amp; Barbuda</v>
          </cell>
        </row>
        <row r="70">
          <cell r="A70" t="str">
            <v>Azerbaijan</v>
          </cell>
        </row>
        <row r="71">
          <cell r="A71" t="str">
            <v>Burundi</v>
          </cell>
        </row>
        <row r="72">
          <cell r="A72" t="str">
            <v>Benin</v>
          </cell>
        </row>
        <row r="73">
          <cell r="A73" t="str">
            <v>Caribbean Netherlands</v>
          </cell>
        </row>
        <row r="74">
          <cell r="A74" t="str">
            <v>Burkina Faso</v>
          </cell>
        </row>
        <row r="75">
          <cell r="A75" t="str">
            <v>Bahrain</v>
          </cell>
        </row>
        <row r="76">
          <cell r="A76" t="str">
            <v>Bahamas</v>
          </cell>
        </row>
        <row r="77">
          <cell r="A77" t="str">
            <v>Bosnia &amp; Herzegovina</v>
          </cell>
        </row>
        <row r="78">
          <cell r="A78" t="str">
            <v>St. BarthÃ©lemy</v>
          </cell>
        </row>
        <row r="79">
          <cell r="A79" t="str">
            <v>Belize</v>
          </cell>
        </row>
        <row r="80">
          <cell r="A80" t="str">
            <v>Bermuda</v>
          </cell>
        </row>
        <row r="81">
          <cell r="A81" t="str">
            <v>Bolivia</v>
          </cell>
        </row>
        <row r="82">
          <cell r="A82" t="str">
            <v>Barbados</v>
          </cell>
        </row>
        <row r="83">
          <cell r="A83" t="str">
            <v>Brunei</v>
          </cell>
        </row>
        <row r="84">
          <cell r="A84" t="str">
            <v>Bhutan</v>
          </cell>
        </row>
        <row r="85">
          <cell r="A85" t="str">
            <v>Bouvet Island</v>
          </cell>
        </row>
        <row r="86">
          <cell r="A86" t="str">
            <v>Botswana</v>
          </cell>
        </row>
        <row r="87">
          <cell r="A87" t="str">
            <v>Central African Republic</v>
          </cell>
        </row>
        <row r="88">
          <cell r="A88" t="str">
            <v>Cocos (Keeling) Islands</v>
          </cell>
        </row>
        <row r="89">
          <cell r="A89" t="str">
            <v>Chile</v>
          </cell>
        </row>
        <row r="90">
          <cell r="A90" t="str">
            <v>CÃ´te dâ€™Ivoire</v>
          </cell>
        </row>
        <row r="91">
          <cell r="A91" t="str">
            <v>Cook Islands</v>
          </cell>
        </row>
        <row r="92">
          <cell r="A92" t="str">
            <v>Colombia</v>
          </cell>
        </row>
        <row r="93">
          <cell r="A93" t="str">
            <v>Comoros</v>
          </cell>
        </row>
        <row r="94">
          <cell r="A94" t="str">
            <v>Cape Verde</v>
          </cell>
        </row>
        <row r="95">
          <cell r="A95" t="str">
            <v>Costa Rica</v>
          </cell>
        </row>
        <row r="96">
          <cell r="A96" t="str">
            <v>Cuba</v>
          </cell>
        </row>
        <row r="97">
          <cell r="A97" t="str">
            <v>CuraÃ§ao</v>
          </cell>
        </row>
        <row r="98">
          <cell r="A98" t="str">
            <v>Christmas Island</v>
          </cell>
        </row>
        <row r="99">
          <cell r="A99" t="str">
            <v>Cayman Islands</v>
          </cell>
        </row>
        <row r="100">
          <cell r="A100" t="str">
            <v>Cyprus</v>
          </cell>
        </row>
        <row r="101">
          <cell r="A101" t="str">
            <v>Djibouti</v>
          </cell>
        </row>
        <row r="102">
          <cell r="A102" t="str">
            <v>Dominica</v>
          </cell>
        </row>
        <row r="103">
          <cell r="A103" t="str">
            <v>Dominican Republic</v>
          </cell>
        </row>
        <row r="104">
          <cell r="A104" t="str">
            <v>Ecuador</v>
          </cell>
        </row>
        <row r="105">
          <cell r="A105" t="str">
            <v>Egypt</v>
          </cell>
        </row>
        <row r="106">
          <cell r="A106" t="str">
            <v>Eritrea</v>
          </cell>
        </row>
        <row r="107">
          <cell r="A107" t="str">
            <v>Western Sahara</v>
          </cell>
        </row>
        <row r="108">
          <cell r="A108" t="str">
            <v>Ethiopia</v>
          </cell>
        </row>
        <row r="109">
          <cell r="A109" t="str">
            <v>Fiji</v>
          </cell>
        </row>
        <row r="110">
          <cell r="A110" t="str">
            <v>Falkland Islands (Islas Malvinas)</v>
          </cell>
        </row>
        <row r="111">
          <cell r="A111" t="str">
            <v>Faroe Islands</v>
          </cell>
        </row>
        <row r="112">
          <cell r="A112" t="str">
            <v>Micronesia</v>
          </cell>
        </row>
        <row r="113">
          <cell r="A113" t="str">
            <v>Gabon</v>
          </cell>
        </row>
        <row r="114">
          <cell r="A114" t="str">
            <v>Georgia</v>
          </cell>
        </row>
        <row r="115">
          <cell r="A115" t="str">
            <v>Guernsey</v>
          </cell>
        </row>
        <row r="116">
          <cell r="A116" t="str">
            <v>Ghana</v>
          </cell>
        </row>
        <row r="117">
          <cell r="A117" t="str">
            <v>Gibraltar</v>
          </cell>
        </row>
        <row r="118">
          <cell r="A118" t="str">
            <v>Guinea</v>
          </cell>
        </row>
        <row r="119">
          <cell r="A119" t="str">
            <v>Guadeloupe</v>
          </cell>
        </row>
        <row r="120">
          <cell r="A120" t="str">
            <v>Gambia</v>
          </cell>
        </row>
        <row r="121">
          <cell r="A121" t="str">
            <v>Guinea-Bissau</v>
          </cell>
        </row>
        <row r="122">
          <cell r="A122" t="str">
            <v>Equatorial Guinea</v>
          </cell>
        </row>
        <row r="123">
          <cell r="A123" t="str">
            <v>Grenada</v>
          </cell>
        </row>
        <row r="124">
          <cell r="A124" t="str">
            <v>Greenland</v>
          </cell>
        </row>
        <row r="125">
          <cell r="A125" t="str">
            <v>Guatemala</v>
          </cell>
        </row>
        <row r="126">
          <cell r="A126" t="str">
            <v>French Guiana</v>
          </cell>
        </row>
        <row r="127">
          <cell r="A127" t="str">
            <v>Guam</v>
          </cell>
        </row>
        <row r="128">
          <cell r="A128" t="str">
            <v>Guyana</v>
          </cell>
        </row>
        <row r="129">
          <cell r="A129" t="str">
            <v>Heard &amp; McDonald Islands</v>
          </cell>
        </row>
        <row r="130">
          <cell r="A130" t="str">
            <v>Honduras</v>
          </cell>
        </row>
        <row r="131">
          <cell r="A131" t="str">
            <v>Croatia</v>
          </cell>
        </row>
        <row r="132">
          <cell r="A132" t="str">
            <v>Haiti</v>
          </cell>
        </row>
        <row r="133">
          <cell r="A133" t="str">
            <v>Indonesia</v>
          </cell>
        </row>
        <row r="134">
          <cell r="A134" t="str">
            <v>Isle of Man</v>
          </cell>
        </row>
        <row r="135">
          <cell r="A135" t="str">
            <v>British Indian Ocean Territory</v>
          </cell>
        </row>
        <row r="136">
          <cell r="A136" t="str">
            <v>Iraq</v>
          </cell>
        </row>
        <row r="137">
          <cell r="A137" t="str">
            <v>Iceland</v>
          </cell>
        </row>
        <row r="138">
          <cell r="A138" t="str">
            <v>Jamaica</v>
          </cell>
        </row>
        <row r="139">
          <cell r="A139" t="str">
            <v>Jersey</v>
          </cell>
        </row>
        <row r="140">
          <cell r="A140" t="str">
            <v>Jordan</v>
          </cell>
        </row>
        <row r="141">
          <cell r="A141" t="str">
            <v>Kenya</v>
          </cell>
        </row>
        <row r="142">
          <cell r="A142" t="str">
            <v>Kyrgyzstan</v>
          </cell>
        </row>
        <row r="143">
          <cell r="A143" t="str">
            <v>Cambodia</v>
          </cell>
        </row>
        <row r="144">
          <cell r="A144" t="str">
            <v>Kiribati</v>
          </cell>
        </row>
        <row r="145">
          <cell r="A145" t="str">
            <v>St. Kitts &amp; Nevis</v>
          </cell>
        </row>
        <row r="146">
          <cell r="A146" t="str">
            <v>Kuwait</v>
          </cell>
        </row>
        <row r="147">
          <cell r="A147" t="str">
            <v>Laos</v>
          </cell>
        </row>
        <row r="148">
          <cell r="A148" t="str">
            <v>Lebanon</v>
          </cell>
        </row>
        <row r="149">
          <cell r="A149" t="str">
            <v>Liberia</v>
          </cell>
        </row>
        <row r="150">
          <cell r="A150" t="str">
            <v>Libya</v>
          </cell>
        </row>
        <row r="151">
          <cell r="A151" t="str">
            <v>St. Lucia</v>
          </cell>
        </row>
        <row r="152">
          <cell r="A152" t="str">
            <v>Liechtenstein</v>
          </cell>
        </row>
        <row r="153">
          <cell r="A153" t="str">
            <v>Sri Lanka</v>
          </cell>
        </row>
        <row r="154">
          <cell r="A154" t="str">
            <v>Lesotho</v>
          </cell>
        </row>
        <row r="155">
          <cell r="A155" t="str">
            <v>Luxembourg</v>
          </cell>
        </row>
        <row r="156">
          <cell r="A156" t="str">
            <v>Latvia</v>
          </cell>
        </row>
        <row r="157">
          <cell r="A157" t="str">
            <v>Macao</v>
          </cell>
        </row>
        <row r="158">
          <cell r="A158" t="str">
            <v>St. Martin</v>
          </cell>
        </row>
        <row r="159">
          <cell r="A159" t="str">
            <v>Monaco</v>
          </cell>
        </row>
        <row r="160">
          <cell r="A160" t="str">
            <v>Moldova</v>
          </cell>
        </row>
        <row r="161">
          <cell r="A161" t="str">
            <v>Madagascar</v>
          </cell>
        </row>
        <row r="162">
          <cell r="A162" t="str">
            <v>Maldives</v>
          </cell>
        </row>
        <row r="163">
          <cell r="A163" t="str">
            <v>Mexico</v>
          </cell>
        </row>
        <row r="164">
          <cell r="A164" t="str">
            <v>Marshall Islands</v>
          </cell>
        </row>
        <row r="165">
          <cell r="A165" t="str">
            <v>North Macedonia</v>
          </cell>
        </row>
        <row r="166">
          <cell r="A166" t="str">
            <v>Mali</v>
          </cell>
        </row>
        <row r="167">
          <cell r="A167" t="str">
            <v>Malta</v>
          </cell>
        </row>
        <row r="168">
          <cell r="A168" t="str">
            <v>Myanmar (Burma)</v>
          </cell>
        </row>
        <row r="169">
          <cell r="A169" t="str">
            <v>Montenegro</v>
          </cell>
        </row>
        <row r="170">
          <cell r="A170" t="str">
            <v>Mongolia</v>
          </cell>
        </row>
        <row r="171">
          <cell r="A171" t="str">
            <v>Northern Mariana Islands</v>
          </cell>
        </row>
        <row r="172">
          <cell r="A172" t="str">
            <v>Mozambique</v>
          </cell>
        </row>
        <row r="173">
          <cell r="A173" t="str">
            <v>Mauritania</v>
          </cell>
        </row>
        <row r="174">
          <cell r="A174" t="str">
            <v>Montserrat</v>
          </cell>
        </row>
        <row r="175">
          <cell r="A175" t="str">
            <v>Martinique</v>
          </cell>
        </row>
        <row r="176">
          <cell r="A176" t="str">
            <v>Mauritius</v>
          </cell>
        </row>
        <row r="177">
          <cell r="A177" t="str">
            <v>Malawi</v>
          </cell>
        </row>
        <row r="178">
          <cell r="A178" t="str">
            <v>Mayotte</v>
          </cell>
        </row>
        <row r="179">
          <cell r="A179" t="str">
            <v>New Caledonia</v>
          </cell>
        </row>
        <row r="180">
          <cell r="A180" t="str">
            <v>Niger</v>
          </cell>
        </row>
        <row r="181">
          <cell r="A181" t="str">
            <v>Norfolk Island</v>
          </cell>
        </row>
        <row r="182">
          <cell r="A182" t="str">
            <v>Nigeria</v>
          </cell>
        </row>
        <row r="183">
          <cell r="A183" t="str">
            <v>Nicaragua</v>
          </cell>
        </row>
        <row r="184">
          <cell r="A184" t="str">
            <v>Niue</v>
          </cell>
        </row>
        <row r="185">
          <cell r="A185" t="str">
            <v>Norway</v>
          </cell>
        </row>
        <row r="186">
          <cell r="A186" t="str">
            <v>Nepal</v>
          </cell>
        </row>
        <row r="187">
          <cell r="A187" t="str">
            <v>Nauru</v>
          </cell>
        </row>
        <row r="188">
          <cell r="A188" t="str">
            <v>Oman</v>
          </cell>
        </row>
        <row r="189">
          <cell r="A189" t="str">
            <v>Pakistan</v>
          </cell>
        </row>
        <row r="190">
          <cell r="A190" t="str">
            <v>Panama</v>
          </cell>
        </row>
        <row r="191">
          <cell r="A191" t="str">
            <v>Pitcairn Islands</v>
          </cell>
        </row>
        <row r="192">
          <cell r="A192" t="str">
            <v>Peru</v>
          </cell>
        </row>
        <row r="193">
          <cell r="A193" t="str">
            <v>Philippines</v>
          </cell>
        </row>
        <row r="194">
          <cell r="A194" t="str">
            <v>Palau</v>
          </cell>
        </row>
        <row r="195">
          <cell r="A195" t="str">
            <v>Papua New Guinea</v>
          </cell>
        </row>
        <row r="196">
          <cell r="A196" t="str">
            <v>Poland</v>
          </cell>
        </row>
        <row r="197">
          <cell r="A197" t="str">
            <v>Puerto Rico</v>
          </cell>
        </row>
        <row r="198">
          <cell r="A198" t="str">
            <v>North Korea</v>
          </cell>
        </row>
        <row r="199">
          <cell r="A199" t="str">
            <v>Portugal</v>
          </cell>
        </row>
        <row r="200">
          <cell r="A200" t="str">
            <v>Paraguay</v>
          </cell>
        </row>
        <row r="201">
          <cell r="A201" t="str">
            <v>Palestine</v>
          </cell>
        </row>
        <row r="202">
          <cell r="A202" t="str">
            <v>French Polynesia</v>
          </cell>
        </row>
        <row r="203">
          <cell r="A203" t="str">
            <v>Qatar</v>
          </cell>
        </row>
        <row r="204">
          <cell r="A204" t="str">
            <v>RÃ©union</v>
          </cell>
        </row>
        <row r="205">
          <cell r="A205" t="str">
            <v>Rwanda</v>
          </cell>
        </row>
        <row r="206">
          <cell r="A206" t="str">
            <v>Sudan</v>
          </cell>
        </row>
        <row r="207">
          <cell r="A207" t="str">
            <v>Senegal</v>
          </cell>
        </row>
        <row r="208">
          <cell r="A208" t="str">
            <v>South Georgia &amp; South Sandwich Islands</v>
          </cell>
        </row>
        <row r="209">
          <cell r="A209" t="str">
            <v>St. Helena</v>
          </cell>
        </row>
        <row r="210">
          <cell r="A210" t="str">
            <v>Svalbard &amp; Jan Mayen</v>
          </cell>
        </row>
        <row r="211">
          <cell r="A211" t="str">
            <v>Solomon Islands</v>
          </cell>
        </row>
        <row r="212">
          <cell r="A212" t="str">
            <v>Sierra Leone</v>
          </cell>
        </row>
        <row r="213">
          <cell r="A213" t="str">
            <v>El Salvador</v>
          </cell>
        </row>
        <row r="214">
          <cell r="A214" t="str">
            <v>San Marino</v>
          </cell>
        </row>
        <row r="215">
          <cell r="A215" t="str">
            <v>Somalia</v>
          </cell>
        </row>
        <row r="216">
          <cell r="A216" t="str">
            <v>St. Pierre &amp; Miquelon</v>
          </cell>
        </row>
        <row r="217">
          <cell r="A217" t="str">
            <v>South Sudan</v>
          </cell>
        </row>
        <row r="218">
          <cell r="A218" t="str">
            <v>SÃ£o TomÃ© &amp; PrÃ­ncipe</v>
          </cell>
        </row>
        <row r="219">
          <cell r="A219" t="str">
            <v>Suriname</v>
          </cell>
        </row>
        <row r="220">
          <cell r="A220" t="str">
            <v>Slovakia</v>
          </cell>
        </row>
        <row r="221">
          <cell r="A221" t="str">
            <v>Eswatini</v>
          </cell>
        </row>
        <row r="222">
          <cell r="A222" t="str">
            <v>Sint Maarten</v>
          </cell>
        </row>
        <row r="223">
          <cell r="A223" t="str">
            <v>Seychelles</v>
          </cell>
        </row>
        <row r="224">
          <cell r="A224" t="str">
            <v>Syria</v>
          </cell>
        </row>
        <row r="225">
          <cell r="A225" t="str">
            <v>Turks &amp; Caicos Islands</v>
          </cell>
        </row>
        <row r="226">
          <cell r="A226" t="str">
            <v>Chad</v>
          </cell>
        </row>
        <row r="227">
          <cell r="A227" t="str">
            <v>Togo</v>
          </cell>
        </row>
        <row r="228">
          <cell r="A228" t="str">
            <v>Tajikistan</v>
          </cell>
        </row>
        <row r="229">
          <cell r="A229" t="str">
            <v>Tokelau</v>
          </cell>
        </row>
        <row r="230">
          <cell r="A230" t="str">
            <v>Turkmenistan</v>
          </cell>
        </row>
        <row r="231">
          <cell r="A231" t="str">
            <v>Timor-Leste</v>
          </cell>
        </row>
        <row r="232">
          <cell r="A232" t="str">
            <v>Tonga</v>
          </cell>
        </row>
        <row r="233">
          <cell r="A233" t="str">
            <v>Trinidad &amp; Tobago</v>
          </cell>
        </row>
        <row r="234">
          <cell r="A234" t="str">
            <v>Tunisia</v>
          </cell>
        </row>
        <row r="235">
          <cell r="A235" t="str">
            <v>Tuvalu</v>
          </cell>
        </row>
        <row r="236">
          <cell r="A236" t="str">
            <v>Tanzania</v>
          </cell>
        </row>
        <row r="237">
          <cell r="A237" t="str">
            <v>Uganda</v>
          </cell>
        </row>
        <row r="238">
          <cell r="A238" t="str">
            <v>U.S. Outlying Islands</v>
          </cell>
        </row>
        <row r="239">
          <cell r="A239" t="str">
            <v>Uruguay</v>
          </cell>
        </row>
        <row r="240">
          <cell r="A240" t="str">
            <v>Uzbekistan</v>
          </cell>
        </row>
        <row r="241">
          <cell r="A241" t="str">
            <v>Vatican City</v>
          </cell>
        </row>
        <row r="242">
          <cell r="A242" t="str">
            <v>St. Vincent &amp; Grenadines</v>
          </cell>
        </row>
        <row r="243">
          <cell r="A243" t="str">
            <v>Venezuela</v>
          </cell>
        </row>
        <row r="244">
          <cell r="A244" t="str">
            <v>British Virgin Islands</v>
          </cell>
        </row>
        <row r="245">
          <cell r="A245" t="str">
            <v>U.S. Virgin Islands</v>
          </cell>
        </row>
        <row r="246">
          <cell r="A246" t="str">
            <v>Vanuatu</v>
          </cell>
        </row>
        <row r="247">
          <cell r="A247" t="str">
            <v>Wallis &amp; Futuna</v>
          </cell>
        </row>
        <row r="248">
          <cell r="A248" t="str">
            <v>Samoa</v>
          </cell>
        </row>
        <row r="249">
          <cell r="A249" t="str">
            <v>Kosovo</v>
          </cell>
        </row>
        <row r="250">
          <cell r="A250" t="str">
            <v>Yemen</v>
          </cell>
        </row>
        <row r="251">
          <cell r="A251" t="str">
            <v>South Africa</v>
          </cell>
        </row>
        <row r="252">
          <cell r="A252" t="str">
            <v>Zambia</v>
          </cell>
        </row>
        <row r="253">
          <cell r="A253" t="str">
            <v>Zimbabwe</v>
          </cell>
        </row>
      </sheetData>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57)"/>
    </sheetNames>
    <sheetDataSet>
      <sheetData sheetId="0" refreshError="1">
        <row r="1">
          <cell r="A1" t="str">
            <v>Kategori: TÃ¼m kategoriler</v>
          </cell>
        </row>
        <row r="3">
          <cell r="A3" t="str">
            <v>Ãœlke</v>
          </cell>
          <cell r="B3" t="str">
            <v>Matrix completion: (2018)</v>
          </cell>
          <cell r="C3" t="str">
            <v>Spectral graph theory: (2018)</v>
          </cell>
        </row>
        <row r="4">
          <cell r="A4" t="str">
            <v>China</v>
          </cell>
          <cell r="B4">
            <v>0.84</v>
          </cell>
          <cell r="C4">
            <v>0.16</v>
          </cell>
        </row>
        <row r="5">
          <cell r="A5" t="str">
            <v>United States</v>
          </cell>
          <cell r="B5">
            <v>0.52</v>
          </cell>
          <cell r="C5">
            <v>0.48</v>
          </cell>
        </row>
        <row r="6">
          <cell r="A6" t="str">
            <v>India</v>
          </cell>
          <cell r="B6">
            <v>0.32</v>
          </cell>
          <cell r="C6">
            <v>0.68</v>
          </cell>
        </row>
        <row r="7">
          <cell r="A7" t="str">
            <v>Japan</v>
          </cell>
          <cell r="B7">
            <v>1</v>
          </cell>
        </row>
        <row r="8">
          <cell r="A8" t="str">
            <v>United Kingdom</v>
          </cell>
          <cell r="C8">
            <v>1</v>
          </cell>
        </row>
        <row r="9">
          <cell r="A9" t="str">
            <v>Jamaica</v>
          </cell>
        </row>
        <row r="10">
          <cell r="A10" t="str">
            <v>Cyprus</v>
          </cell>
        </row>
        <row r="11">
          <cell r="A11" t="str">
            <v>Hong Kong</v>
          </cell>
        </row>
        <row r="12">
          <cell r="A12" t="str">
            <v>St. Helena</v>
          </cell>
        </row>
        <row r="13">
          <cell r="A13" t="str">
            <v>Puerto Rico</v>
          </cell>
        </row>
        <row r="14">
          <cell r="A14" t="str">
            <v>South Korea</v>
          </cell>
        </row>
        <row r="15">
          <cell r="A15" t="str">
            <v>Slovenia</v>
          </cell>
        </row>
        <row r="16">
          <cell r="A16" t="str">
            <v>Tunisia</v>
          </cell>
        </row>
        <row r="17">
          <cell r="A17" t="str">
            <v>Uruguay</v>
          </cell>
        </row>
        <row r="18">
          <cell r="A18" t="str">
            <v>Israel</v>
          </cell>
        </row>
        <row r="19">
          <cell r="A19" t="str">
            <v>Ireland</v>
          </cell>
        </row>
        <row r="20">
          <cell r="A20" t="str">
            <v>Singapore</v>
          </cell>
        </row>
        <row r="21">
          <cell r="A21" t="str">
            <v>Finland</v>
          </cell>
        </row>
        <row r="22">
          <cell r="A22" t="str">
            <v>Sweden</v>
          </cell>
        </row>
        <row r="23">
          <cell r="A23" t="str">
            <v>Iran</v>
          </cell>
        </row>
        <row r="24">
          <cell r="A24" t="str">
            <v>Norway</v>
          </cell>
        </row>
        <row r="25">
          <cell r="A25" t="str">
            <v>Canada</v>
          </cell>
        </row>
        <row r="26">
          <cell r="A26" t="str">
            <v>Greece</v>
          </cell>
        </row>
        <row r="27">
          <cell r="A27" t="str">
            <v>Austria</v>
          </cell>
        </row>
        <row r="28">
          <cell r="A28" t="str">
            <v>Pakistan</v>
          </cell>
        </row>
        <row r="29">
          <cell r="A29" t="str">
            <v>Switzerland</v>
          </cell>
        </row>
        <row r="30">
          <cell r="A30" t="str">
            <v>Australia</v>
          </cell>
        </row>
        <row r="31">
          <cell r="A31" t="str">
            <v>Taiwan</v>
          </cell>
        </row>
        <row r="32">
          <cell r="A32" t="str">
            <v>Netherlands</v>
          </cell>
        </row>
        <row r="33">
          <cell r="A33" t="str">
            <v>Malaysia</v>
          </cell>
        </row>
        <row r="34">
          <cell r="A34" t="str">
            <v>Germany</v>
          </cell>
        </row>
        <row r="35">
          <cell r="A35" t="str">
            <v>Colombia</v>
          </cell>
        </row>
        <row r="36">
          <cell r="A36" t="str">
            <v>France</v>
          </cell>
        </row>
        <row r="37">
          <cell r="A37" t="str">
            <v>Vietnam</v>
          </cell>
        </row>
        <row r="38">
          <cell r="A38" t="str">
            <v>Russia</v>
          </cell>
        </row>
        <row r="39">
          <cell r="A39" t="str">
            <v>Mexico</v>
          </cell>
        </row>
        <row r="40">
          <cell r="A40" t="str">
            <v>Turkey</v>
          </cell>
        </row>
        <row r="41">
          <cell r="A41" t="str">
            <v>Italy</v>
          </cell>
        </row>
        <row r="42">
          <cell r="A42" t="str">
            <v>Brazil</v>
          </cell>
        </row>
        <row r="43">
          <cell r="A43" t="str">
            <v>Aruba</v>
          </cell>
        </row>
        <row r="44">
          <cell r="A44" t="str">
            <v>Afghanistan</v>
          </cell>
        </row>
        <row r="45">
          <cell r="A45" t="str">
            <v>Angola</v>
          </cell>
        </row>
        <row r="46">
          <cell r="A46" t="str">
            <v>Anguilla</v>
          </cell>
        </row>
        <row r="47">
          <cell r="A47" t="str">
            <v>Ã…land Islands</v>
          </cell>
        </row>
        <row r="48">
          <cell r="A48" t="str">
            <v>Albania</v>
          </cell>
        </row>
        <row r="49">
          <cell r="A49" t="str">
            <v>Andorra</v>
          </cell>
        </row>
        <row r="50">
          <cell r="A50" t="str">
            <v>United Arab Emirates</v>
          </cell>
        </row>
        <row r="51">
          <cell r="A51" t="str">
            <v>Argentina</v>
          </cell>
        </row>
        <row r="52">
          <cell r="A52" t="str">
            <v>Armenia</v>
          </cell>
        </row>
        <row r="53">
          <cell r="A53" t="str">
            <v>American Samoa</v>
          </cell>
        </row>
        <row r="54">
          <cell r="A54" t="str">
            <v>Antarctica</v>
          </cell>
        </row>
        <row r="55">
          <cell r="A55" t="str">
            <v>French Southern Territories</v>
          </cell>
        </row>
        <row r="56">
          <cell r="A56" t="str">
            <v>Antigua &amp; Barbuda</v>
          </cell>
        </row>
        <row r="57">
          <cell r="A57" t="str">
            <v>Azerbaijan</v>
          </cell>
        </row>
        <row r="58">
          <cell r="A58" t="str">
            <v>Burundi</v>
          </cell>
        </row>
        <row r="59">
          <cell r="A59" t="str">
            <v>Belgium</v>
          </cell>
        </row>
        <row r="60">
          <cell r="A60" t="str">
            <v>Benin</v>
          </cell>
        </row>
        <row r="61">
          <cell r="A61" t="str">
            <v>Caribbean Netherlands</v>
          </cell>
        </row>
        <row r="62">
          <cell r="A62" t="str">
            <v>Burkina Faso</v>
          </cell>
        </row>
        <row r="63">
          <cell r="A63" t="str">
            <v>Bangladesh</v>
          </cell>
        </row>
        <row r="64">
          <cell r="A64" t="str">
            <v>Bulgaria</v>
          </cell>
        </row>
        <row r="65">
          <cell r="A65" t="str">
            <v>Bahrain</v>
          </cell>
        </row>
        <row r="66">
          <cell r="A66" t="str">
            <v>Bahamas</v>
          </cell>
        </row>
        <row r="67">
          <cell r="A67" t="str">
            <v>Bosnia &amp; Herzegovina</v>
          </cell>
        </row>
        <row r="68">
          <cell r="A68" t="str">
            <v>St. BarthÃ©lemy</v>
          </cell>
        </row>
        <row r="69">
          <cell r="A69" t="str">
            <v>Belarus</v>
          </cell>
        </row>
        <row r="70">
          <cell r="A70" t="str">
            <v>Belize</v>
          </cell>
        </row>
        <row r="71">
          <cell r="A71" t="str">
            <v>Bermuda</v>
          </cell>
        </row>
        <row r="72">
          <cell r="A72" t="str">
            <v>Bolivia</v>
          </cell>
        </row>
        <row r="73">
          <cell r="A73" t="str">
            <v>Barbados</v>
          </cell>
        </row>
        <row r="74">
          <cell r="A74" t="str">
            <v>Brunei</v>
          </cell>
        </row>
        <row r="75">
          <cell r="A75" t="str">
            <v>Bhutan</v>
          </cell>
        </row>
        <row r="76">
          <cell r="A76" t="str">
            <v>Bouvet Island</v>
          </cell>
        </row>
        <row r="77">
          <cell r="A77" t="str">
            <v>Botswana</v>
          </cell>
        </row>
        <row r="78">
          <cell r="A78" t="str">
            <v>Central African Republic</v>
          </cell>
        </row>
        <row r="79">
          <cell r="A79" t="str">
            <v>Cocos (Keeling) Islands</v>
          </cell>
        </row>
        <row r="80">
          <cell r="A80" t="str">
            <v>Chile</v>
          </cell>
        </row>
        <row r="81">
          <cell r="A81" t="str">
            <v>CÃ´te dâ€™Ivoire</v>
          </cell>
        </row>
        <row r="82">
          <cell r="A82" t="str">
            <v>Cameroon</v>
          </cell>
        </row>
        <row r="83">
          <cell r="A83" t="str">
            <v>Congo - Kinshasa</v>
          </cell>
        </row>
        <row r="84">
          <cell r="A84" t="str">
            <v>Congo - Brazzaville</v>
          </cell>
        </row>
        <row r="85">
          <cell r="A85" t="str">
            <v>Cook Islands</v>
          </cell>
        </row>
        <row r="86">
          <cell r="A86" t="str">
            <v>Comoros</v>
          </cell>
        </row>
        <row r="87">
          <cell r="A87" t="str">
            <v>Cape Verde</v>
          </cell>
        </row>
        <row r="88">
          <cell r="A88" t="str">
            <v>Costa Rica</v>
          </cell>
        </row>
        <row r="89">
          <cell r="A89" t="str">
            <v>Cuba</v>
          </cell>
        </row>
        <row r="90">
          <cell r="A90" t="str">
            <v>CuraÃ§ao</v>
          </cell>
        </row>
        <row r="91">
          <cell r="A91" t="str">
            <v>Christmas Island</v>
          </cell>
        </row>
        <row r="92">
          <cell r="A92" t="str">
            <v>Cayman Islands</v>
          </cell>
        </row>
        <row r="93">
          <cell r="A93" t="str">
            <v>Czechia</v>
          </cell>
        </row>
        <row r="94">
          <cell r="A94" t="str">
            <v>Djibouti</v>
          </cell>
        </row>
        <row r="95">
          <cell r="A95" t="str">
            <v>Dominica</v>
          </cell>
        </row>
        <row r="96">
          <cell r="A96" t="str">
            <v>Denmark</v>
          </cell>
        </row>
        <row r="97">
          <cell r="A97" t="str">
            <v>Dominican Republic</v>
          </cell>
        </row>
        <row r="98">
          <cell r="A98" t="str">
            <v>Algeria</v>
          </cell>
        </row>
        <row r="99">
          <cell r="A99" t="str">
            <v>Ecuador</v>
          </cell>
        </row>
        <row r="100">
          <cell r="A100" t="str">
            <v>Egypt</v>
          </cell>
        </row>
        <row r="101">
          <cell r="A101" t="str">
            <v>Eritrea</v>
          </cell>
        </row>
        <row r="102">
          <cell r="A102" t="str">
            <v>Western Sahara</v>
          </cell>
        </row>
        <row r="103">
          <cell r="A103" t="str">
            <v>Spain</v>
          </cell>
        </row>
        <row r="104">
          <cell r="A104" t="str">
            <v>Estonia</v>
          </cell>
        </row>
        <row r="105">
          <cell r="A105" t="str">
            <v>Ethiopia</v>
          </cell>
        </row>
        <row r="106">
          <cell r="A106" t="str">
            <v>Fiji</v>
          </cell>
        </row>
        <row r="107">
          <cell r="A107" t="str">
            <v>Falkland Islands (Islas Malvinas)</v>
          </cell>
        </row>
        <row r="108">
          <cell r="A108" t="str">
            <v>Faroe Islands</v>
          </cell>
        </row>
        <row r="109">
          <cell r="A109" t="str">
            <v>Micronesia</v>
          </cell>
        </row>
        <row r="110">
          <cell r="A110" t="str">
            <v>Gabon</v>
          </cell>
        </row>
        <row r="111">
          <cell r="A111" t="str">
            <v>Georgia</v>
          </cell>
        </row>
        <row r="112">
          <cell r="A112" t="str">
            <v>Guernsey</v>
          </cell>
        </row>
        <row r="113">
          <cell r="A113" t="str">
            <v>Ghana</v>
          </cell>
        </row>
        <row r="114">
          <cell r="A114" t="str">
            <v>Gibraltar</v>
          </cell>
        </row>
        <row r="115">
          <cell r="A115" t="str">
            <v>Guinea</v>
          </cell>
        </row>
        <row r="116">
          <cell r="A116" t="str">
            <v>Guadeloupe</v>
          </cell>
        </row>
        <row r="117">
          <cell r="A117" t="str">
            <v>Gambia</v>
          </cell>
        </row>
        <row r="118">
          <cell r="A118" t="str">
            <v>Guinea-Bissau</v>
          </cell>
        </row>
        <row r="119">
          <cell r="A119" t="str">
            <v>Equatorial Guinea</v>
          </cell>
        </row>
        <row r="120">
          <cell r="A120" t="str">
            <v>Grenada</v>
          </cell>
        </row>
        <row r="121">
          <cell r="A121" t="str">
            <v>Greenland</v>
          </cell>
        </row>
        <row r="122">
          <cell r="A122" t="str">
            <v>Guatemala</v>
          </cell>
        </row>
        <row r="123">
          <cell r="A123" t="str">
            <v>French Guiana</v>
          </cell>
        </row>
        <row r="124">
          <cell r="A124" t="str">
            <v>Guam</v>
          </cell>
        </row>
        <row r="125">
          <cell r="A125" t="str">
            <v>Guyana</v>
          </cell>
        </row>
        <row r="126">
          <cell r="A126" t="str">
            <v>Heard &amp; McDonald Islands</v>
          </cell>
        </row>
        <row r="127">
          <cell r="A127" t="str">
            <v>Honduras</v>
          </cell>
        </row>
        <row r="128">
          <cell r="A128" t="str">
            <v>Croatia</v>
          </cell>
        </row>
        <row r="129">
          <cell r="A129" t="str">
            <v>Haiti</v>
          </cell>
        </row>
        <row r="130">
          <cell r="A130" t="str">
            <v>Hungary</v>
          </cell>
        </row>
        <row r="131">
          <cell r="A131" t="str">
            <v>Indonesia</v>
          </cell>
        </row>
        <row r="132">
          <cell r="A132" t="str">
            <v>Isle of Man</v>
          </cell>
        </row>
        <row r="133">
          <cell r="A133" t="str">
            <v>British Indian Ocean Territory</v>
          </cell>
        </row>
        <row r="134">
          <cell r="A134" t="str">
            <v>Iraq</v>
          </cell>
        </row>
        <row r="135">
          <cell r="A135" t="str">
            <v>Iceland</v>
          </cell>
        </row>
        <row r="136">
          <cell r="A136" t="str">
            <v>Jersey</v>
          </cell>
        </row>
        <row r="137">
          <cell r="A137" t="str">
            <v>Jordan</v>
          </cell>
        </row>
        <row r="138">
          <cell r="A138" t="str">
            <v>Kazakhstan</v>
          </cell>
        </row>
        <row r="139">
          <cell r="A139" t="str">
            <v>Kenya</v>
          </cell>
        </row>
        <row r="140">
          <cell r="A140" t="str">
            <v>Kyrgyzstan</v>
          </cell>
        </row>
        <row r="141">
          <cell r="A141" t="str">
            <v>Cambodia</v>
          </cell>
        </row>
        <row r="142">
          <cell r="A142" t="str">
            <v>Kiribati</v>
          </cell>
        </row>
        <row r="143">
          <cell r="A143" t="str">
            <v>St. Kitts &amp; Nevis</v>
          </cell>
        </row>
        <row r="144">
          <cell r="A144" t="str">
            <v>Kuwait</v>
          </cell>
        </row>
        <row r="145">
          <cell r="A145" t="str">
            <v>Laos</v>
          </cell>
        </row>
        <row r="146">
          <cell r="A146" t="str">
            <v>Lebanon</v>
          </cell>
        </row>
        <row r="147">
          <cell r="A147" t="str">
            <v>Liberia</v>
          </cell>
        </row>
        <row r="148">
          <cell r="A148" t="str">
            <v>Libya</v>
          </cell>
        </row>
        <row r="149">
          <cell r="A149" t="str">
            <v>St. Lucia</v>
          </cell>
        </row>
        <row r="150">
          <cell r="A150" t="str">
            <v>Liechtenstein</v>
          </cell>
        </row>
        <row r="151">
          <cell r="A151" t="str">
            <v>Sri Lanka</v>
          </cell>
        </row>
        <row r="152">
          <cell r="A152" t="str">
            <v>Lesotho</v>
          </cell>
        </row>
        <row r="153">
          <cell r="A153" t="str">
            <v>Lithuania</v>
          </cell>
        </row>
        <row r="154">
          <cell r="A154" t="str">
            <v>Luxembourg</v>
          </cell>
        </row>
        <row r="155">
          <cell r="A155" t="str">
            <v>Latvia</v>
          </cell>
        </row>
        <row r="156">
          <cell r="A156" t="str">
            <v>Macao</v>
          </cell>
        </row>
        <row r="157">
          <cell r="A157" t="str">
            <v>St. Martin</v>
          </cell>
        </row>
        <row r="158">
          <cell r="A158" t="str">
            <v>Morocco</v>
          </cell>
        </row>
        <row r="159">
          <cell r="A159" t="str">
            <v>Monaco</v>
          </cell>
        </row>
        <row r="160">
          <cell r="A160" t="str">
            <v>Moldova</v>
          </cell>
        </row>
        <row r="161">
          <cell r="A161" t="str">
            <v>Madagascar</v>
          </cell>
        </row>
        <row r="162">
          <cell r="A162" t="str">
            <v>Maldives</v>
          </cell>
        </row>
        <row r="163">
          <cell r="A163" t="str">
            <v>Marshall Islands</v>
          </cell>
        </row>
        <row r="164">
          <cell r="A164" t="str">
            <v>North Macedonia</v>
          </cell>
        </row>
        <row r="165">
          <cell r="A165" t="str">
            <v>Mali</v>
          </cell>
        </row>
        <row r="166">
          <cell r="A166" t="str">
            <v>Malta</v>
          </cell>
        </row>
        <row r="167">
          <cell r="A167" t="str">
            <v>Myanmar (Burma)</v>
          </cell>
        </row>
        <row r="168">
          <cell r="A168" t="str">
            <v>Montenegro</v>
          </cell>
        </row>
        <row r="169">
          <cell r="A169" t="str">
            <v>Mongolia</v>
          </cell>
        </row>
        <row r="170">
          <cell r="A170" t="str">
            <v>Northern Mariana Islands</v>
          </cell>
        </row>
        <row r="171">
          <cell r="A171" t="str">
            <v>Mozambique</v>
          </cell>
        </row>
        <row r="172">
          <cell r="A172" t="str">
            <v>Mauritania</v>
          </cell>
        </row>
        <row r="173">
          <cell r="A173" t="str">
            <v>Montserrat</v>
          </cell>
        </row>
        <row r="174">
          <cell r="A174" t="str">
            <v>Martinique</v>
          </cell>
        </row>
        <row r="175">
          <cell r="A175" t="str">
            <v>Mauritius</v>
          </cell>
        </row>
        <row r="176">
          <cell r="A176" t="str">
            <v>Malawi</v>
          </cell>
        </row>
        <row r="177">
          <cell r="A177" t="str">
            <v>Mayotte</v>
          </cell>
        </row>
        <row r="178">
          <cell r="A178" t="str">
            <v>Namibia</v>
          </cell>
        </row>
        <row r="179">
          <cell r="A179" t="str">
            <v>New Caledonia</v>
          </cell>
        </row>
        <row r="180">
          <cell r="A180" t="str">
            <v>Niger</v>
          </cell>
        </row>
        <row r="181">
          <cell r="A181" t="str">
            <v>Norfolk Island</v>
          </cell>
        </row>
        <row r="182">
          <cell r="A182" t="str">
            <v>Nigeria</v>
          </cell>
        </row>
        <row r="183">
          <cell r="A183" t="str">
            <v>Nicaragua</v>
          </cell>
        </row>
        <row r="184">
          <cell r="A184" t="str">
            <v>Niue</v>
          </cell>
        </row>
        <row r="185">
          <cell r="A185" t="str">
            <v>Nepal</v>
          </cell>
        </row>
        <row r="186">
          <cell r="A186" t="str">
            <v>Nauru</v>
          </cell>
        </row>
        <row r="187">
          <cell r="A187" t="str">
            <v>New Zealand</v>
          </cell>
        </row>
        <row r="188">
          <cell r="A188" t="str">
            <v>Oman</v>
          </cell>
        </row>
        <row r="189">
          <cell r="A189" t="str">
            <v>Panama</v>
          </cell>
        </row>
        <row r="190">
          <cell r="A190" t="str">
            <v>Pitcairn Islands</v>
          </cell>
        </row>
        <row r="191">
          <cell r="A191" t="str">
            <v>Peru</v>
          </cell>
        </row>
        <row r="192">
          <cell r="A192" t="str">
            <v>Philippines</v>
          </cell>
        </row>
        <row r="193">
          <cell r="A193" t="str">
            <v>Palau</v>
          </cell>
        </row>
        <row r="194">
          <cell r="A194" t="str">
            <v>Papua New Guinea</v>
          </cell>
        </row>
        <row r="195">
          <cell r="A195" t="str">
            <v>Poland</v>
          </cell>
        </row>
        <row r="196">
          <cell r="A196" t="str">
            <v>North Korea</v>
          </cell>
        </row>
        <row r="197">
          <cell r="A197" t="str">
            <v>Portugal</v>
          </cell>
        </row>
        <row r="198">
          <cell r="A198" t="str">
            <v>Paraguay</v>
          </cell>
        </row>
        <row r="199">
          <cell r="A199" t="str">
            <v>Palestine</v>
          </cell>
        </row>
        <row r="200">
          <cell r="A200" t="str">
            <v>French Polynesia</v>
          </cell>
        </row>
        <row r="201">
          <cell r="A201" t="str">
            <v>Qatar</v>
          </cell>
        </row>
        <row r="202">
          <cell r="A202" t="str">
            <v>RÃ©union</v>
          </cell>
        </row>
        <row r="203">
          <cell r="A203" t="str">
            <v>Romania</v>
          </cell>
        </row>
        <row r="204">
          <cell r="A204" t="str">
            <v>Rwanda</v>
          </cell>
        </row>
        <row r="205">
          <cell r="A205" t="str">
            <v>Saudi Arabia</v>
          </cell>
        </row>
        <row r="206">
          <cell r="A206" t="str">
            <v>Sudan</v>
          </cell>
        </row>
        <row r="207">
          <cell r="A207" t="str">
            <v>Senegal</v>
          </cell>
        </row>
        <row r="208">
          <cell r="A208" t="str">
            <v>South Georgia &amp; South Sandwich Islands</v>
          </cell>
        </row>
        <row r="209">
          <cell r="A209" t="str">
            <v>Svalbard &amp; Jan Mayen</v>
          </cell>
        </row>
        <row r="210">
          <cell r="A210" t="str">
            <v>Solomon Islands</v>
          </cell>
        </row>
        <row r="211">
          <cell r="A211" t="str">
            <v>Sierra Leone</v>
          </cell>
        </row>
        <row r="212">
          <cell r="A212" t="str">
            <v>El Salvador</v>
          </cell>
        </row>
        <row r="213">
          <cell r="A213" t="str">
            <v>San Marino</v>
          </cell>
        </row>
        <row r="214">
          <cell r="A214" t="str">
            <v>Somalia</v>
          </cell>
        </row>
        <row r="215">
          <cell r="A215" t="str">
            <v>St. Pierre &amp; Miquelon</v>
          </cell>
        </row>
        <row r="216">
          <cell r="A216" t="str">
            <v>Serbia</v>
          </cell>
        </row>
        <row r="217">
          <cell r="A217" t="str">
            <v>South Sudan</v>
          </cell>
        </row>
        <row r="218">
          <cell r="A218" t="str">
            <v>SÃ£o TomÃ© &amp; PrÃ­ncipe</v>
          </cell>
        </row>
        <row r="219">
          <cell r="A219" t="str">
            <v>Suriname</v>
          </cell>
        </row>
        <row r="220">
          <cell r="A220" t="str">
            <v>Slovakia</v>
          </cell>
        </row>
        <row r="221">
          <cell r="A221" t="str">
            <v>Eswatini</v>
          </cell>
        </row>
        <row r="222">
          <cell r="A222" t="str">
            <v>Sint Maarten</v>
          </cell>
        </row>
        <row r="223">
          <cell r="A223" t="str">
            <v>Seychelles</v>
          </cell>
        </row>
        <row r="224">
          <cell r="A224" t="str">
            <v>Syria</v>
          </cell>
        </row>
        <row r="225">
          <cell r="A225" t="str">
            <v>Turks &amp; Caicos Islands</v>
          </cell>
        </row>
        <row r="226">
          <cell r="A226" t="str">
            <v>Chad</v>
          </cell>
        </row>
        <row r="227">
          <cell r="A227" t="str">
            <v>Togo</v>
          </cell>
        </row>
        <row r="228">
          <cell r="A228" t="str">
            <v>Thailand</v>
          </cell>
        </row>
        <row r="229">
          <cell r="A229" t="str">
            <v>Tajikistan</v>
          </cell>
        </row>
        <row r="230">
          <cell r="A230" t="str">
            <v>Tokelau</v>
          </cell>
        </row>
        <row r="231">
          <cell r="A231" t="str">
            <v>Turkmenistan</v>
          </cell>
        </row>
        <row r="232">
          <cell r="A232" t="str">
            <v>Timor-Leste</v>
          </cell>
        </row>
        <row r="233">
          <cell r="A233" t="str">
            <v>Tonga</v>
          </cell>
        </row>
        <row r="234">
          <cell r="A234" t="str">
            <v>Trinidad &amp; Tobago</v>
          </cell>
        </row>
        <row r="235">
          <cell r="A235" t="str">
            <v>Tuvalu</v>
          </cell>
        </row>
        <row r="236">
          <cell r="A236" t="str">
            <v>Tanzania</v>
          </cell>
        </row>
        <row r="237">
          <cell r="A237" t="str">
            <v>Uganda</v>
          </cell>
        </row>
        <row r="238">
          <cell r="A238" t="str">
            <v>Ukraine</v>
          </cell>
        </row>
        <row r="239">
          <cell r="A239" t="str">
            <v>U.S. Outlying Islands</v>
          </cell>
        </row>
        <row r="240">
          <cell r="A240" t="str">
            <v>Uzbekistan</v>
          </cell>
        </row>
        <row r="241">
          <cell r="A241" t="str">
            <v>Vatican City</v>
          </cell>
        </row>
        <row r="242">
          <cell r="A242" t="str">
            <v>St. Vincent &amp; Grenadines</v>
          </cell>
        </row>
        <row r="243">
          <cell r="A243" t="str">
            <v>Venezuela</v>
          </cell>
        </row>
        <row r="244">
          <cell r="A244" t="str">
            <v>British Virgin Islands</v>
          </cell>
        </row>
        <row r="245">
          <cell r="A245" t="str">
            <v>U.S. Virgin Islands</v>
          </cell>
        </row>
        <row r="246">
          <cell r="A246" t="str">
            <v>Vanuatu</v>
          </cell>
        </row>
        <row r="247">
          <cell r="A247" t="str">
            <v>Wallis &amp; Futuna</v>
          </cell>
        </row>
        <row r="248">
          <cell r="A248" t="str">
            <v>Samoa</v>
          </cell>
        </row>
        <row r="249">
          <cell r="A249" t="str">
            <v>Kosovo</v>
          </cell>
        </row>
        <row r="250">
          <cell r="A250" t="str">
            <v>Yemen</v>
          </cell>
        </row>
        <row r="251">
          <cell r="A251" t="str">
            <v>South Africa</v>
          </cell>
        </row>
        <row r="252">
          <cell r="A252" t="str">
            <v>Zambia</v>
          </cell>
        </row>
        <row r="253">
          <cell r="A253" t="str">
            <v>Zimbabwe</v>
          </cell>
        </row>
      </sheetData>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58)"/>
    </sheetNames>
    <sheetDataSet>
      <sheetData sheetId="0" refreshError="1">
        <row r="1">
          <cell r="A1" t="str">
            <v>Kategori: TÃ¼m kategoriler</v>
          </cell>
        </row>
        <row r="3">
          <cell r="A3" t="str">
            <v>Ãœlke</v>
          </cell>
          <cell r="B3" t="str">
            <v>Spectral graph theory: (2018)</v>
          </cell>
          <cell r="C3" t="str">
            <v>Cook-Levin teoremi: (2018)</v>
          </cell>
        </row>
        <row r="4">
          <cell r="A4" t="str">
            <v>China</v>
          </cell>
          <cell r="B4">
            <v>1</v>
          </cell>
        </row>
        <row r="5">
          <cell r="A5" t="str">
            <v>Israel</v>
          </cell>
          <cell r="C5">
            <v>1</v>
          </cell>
        </row>
        <row r="6">
          <cell r="A6" t="str">
            <v>India</v>
          </cell>
          <cell r="B6">
            <v>0.22</v>
          </cell>
          <cell r="C6">
            <v>0.78</v>
          </cell>
        </row>
        <row r="7">
          <cell r="A7" t="str">
            <v>United States</v>
          </cell>
          <cell r="B7">
            <v>0.72</v>
          </cell>
          <cell r="C7">
            <v>0.28000000000000003</v>
          </cell>
        </row>
        <row r="8">
          <cell r="A8" t="str">
            <v>Canada</v>
          </cell>
          <cell r="B8">
            <v>0.74</v>
          </cell>
          <cell r="C8">
            <v>0.26</v>
          </cell>
        </row>
        <row r="9">
          <cell r="A9" t="str">
            <v>Ukraine</v>
          </cell>
          <cell r="C9">
            <v>1</v>
          </cell>
        </row>
        <row r="10">
          <cell r="A10" t="str">
            <v>United Kingdom</v>
          </cell>
          <cell r="B10">
            <v>0.75</v>
          </cell>
          <cell r="C10">
            <v>0.25</v>
          </cell>
        </row>
        <row r="11">
          <cell r="A11" t="str">
            <v>Russia</v>
          </cell>
          <cell r="C11">
            <v>1</v>
          </cell>
        </row>
        <row r="12">
          <cell r="A12" t="str">
            <v>Papua New Guinea</v>
          </cell>
        </row>
        <row r="13">
          <cell r="A13" t="str">
            <v>Ethiopia</v>
          </cell>
        </row>
        <row r="14">
          <cell r="A14" t="str">
            <v>Cyprus</v>
          </cell>
        </row>
        <row r="15">
          <cell r="A15" t="str">
            <v>Hong Kong</v>
          </cell>
        </row>
        <row r="16">
          <cell r="A16" t="str">
            <v>Puerto Rico</v>
          </cell>
        </row>
        <row r="17">
          <cell r="A17" t="str">
            <v>Latvia</v>
          </cell>
        </row>
        <row r="18">
          <cell r="A18" t="str">
            <v>Ireland</v>
          </cell>
        </row>
        <row r="19">
          <cell r="A19" t="str">
            <v>Singapore</v>
          </cell>
        </row>
        <row r="20">
          <cell r="A20" t="str">
            <v>Iran</v>
          </cell>
        </row>
        <row r="21">
          <cell r="A21" t="str">
            <v>Portugal</v>
          </cell>
        </row>
        <row r="22">
          <cell r="A22" t="str">
            <v>Belarus</v>
          </cell>
        </row>
        <row r="23">
          <cell r="A23" t="str">
            <v>New Zealand</v>
          </cell>
        </row>
        <row r="24">
          <cell r="A24" t="str">
            <v>United Arab Emirates</v>
          </cell>
        </row>
        <row r="25">
          <cell r="A25" t="str">
            <v>Kazakhstan</v>
          </cell>
        </row>
        <row r="26">
          <cell r="A26" t="str">
            <v>Pakistan</v>
          </cell>
        </row>
        <row r="27">
          <cell r="A27" t="str">
            <v>Switzerland</v>
          </cell>
        </row>
        <row r="28">
          <cell r="A28" t="str">
            <v>Finland</v>
          </cell>
        </row>
        <row r="29">
          <cell r="A29" t="str">
            <v>Australia</v>
          </cell>
        </row>
        <row r="30">
          <cell r="A30" t="str">
            <v>South Korea</v>
          </cell>
        </row>
        <row r="31">
          <cell r="A31" t="str">
            <v>Denmark</v>
          </cell>
        </row>
        <row r="32">
          <cell r="A32" t="str">
            <v>Czechia</v>
          </cell>
        </row>
        <row r="33">
          <cell r="A33" t="str">
            <v>Hungary</v>
          </cell>
        </row>
        <row r="34">
          <cell r="A34" t="str">
            <v>Taiwan</v>
          </cell>
        </row>
        <row r="35">
          <cell r="A35" t="str">
            <v>Greece</v>
          </cell>
        </row>
        <row r="36">
          <cell r="A36" t="str">
            <v>Romania</v>
          </cell>
        </row>
        <row r="37">
          <cell r="A37" t="str">
            <v>Egypt</v>
          </cell>
        </row>
        <row r="38">
          <cell r="A38" t="str">
            <v>Saudi Arabia</v>
          </cell>
        </row>
        <row r="39">
          <cell r="A39" t="str">
            <v>Sweden</v>
          </cell>
        </row>
        <row r="40">
          <cell r="A40" t="str">
            <v>Malaysia</v>
          </cell>
        </row>
        <row r="41">
          <cell r="A41" t="str">
            <v>Philippines</v>
          </cell>
        </row>
        <row r="42">
          <cell r="A42" t="str">
            <v>Indonesia</v>
          </cell>
        </row>
        <row r="43">
          <cell r="A43" t="str">
            <v>Colombia</v>
          </cell>
        </row>
        <row r="44">
          <cell r="A44" t="str">
            <v>Germany</v>
          </cell>
        </row>
        <row r="45">
          <cell r="A45" t="str">
            <v>Mexico</v>
          </cell>
        </row>
        <row r="46">
          <cell r="A46" t="str">
            <v>France</v>
          </cell>
        </row>
        <row r="47">
          <cell r="A47" t="str">
            <v>Netherlands</v>
          </cell>
        </row>
        <row r="48">
          <cell r="A48" t="str">
            <v>Thailand</v>
          </cell>
        </row>
        <row r="49">
          <cell r="A49" t="str">
            <v>Italy</v>
          </cell>
        </row>
        <row r="50">
          <cell r="A50" t="str">
            <v>Japan</v>
          </cell>
        </row>
        <row r="51">
          <cell r="A51" t="str">
            <v>Spain</v>
          </cell>
        </row>
        <row r="52">
          <cell r="A52" t="str">
            <v>Turkey</v>
          </cell>
        </row>
        <row r="53">
          <cell r="A53" t="str">
            <v>Brazil</v>
          </cell>
        </row>
        <row r="54">
          <cell r="A54" t="str">
            <v>Aruba</v>
          </cell>
        </row>
        <row r="55">
          <cell r="A55" t="str">
            <v>Afghanistan</v>
          </cell>
        </row>
        <row r="56">
          <cell r="A56" t="str">
            <v>Angola</v>
          </cell>
        </row>
        <row r="57">
          <cell r="A57" t="str">
            <v>Anguilla</v>
          </cell>
        </row>
        <row r="58">
          <cell r="A58" t="str">
            <v>Ã…land Islands</v>
          </cell>
        </row>
        <row r="59">
          <cell r="A59" t="str">
            <v>Albania</v>
          </cell>
        </row>
        <row r="60">
          <cell r="A60" t="str">
            <v>Andorra</v>
          </cell>
        </row>
        <row r="61">
          <cell r="A61" t="str">
            <v>Argentina</v>
          </cell>
        </row>
        <row r="62">
          <cell r="A62" t="str">
            <v>Armenia</v>
          </cell>
        </row>
        <row r="63">
          <cell r="A63" t="str">
            <v>American Samoa</v>
          </cell>
        </row>
        <row r="64">
          <cell r="A64" t="str">
            <v>Antarctica</v>
          </cell>
        </row>
        <row r="65">
          <cell r="A65" t="str">
            <v>French Southern Territories</v>
          </cell>
        </row>
        <row r="66">
          <cell r="A66" t="str">
            <v>Antigua &amp; Barbuda</v>
          </cell>
        </row>
        <row r="67">
          <cell r="A67" t="str">
            <v>Austria</v>
          </cell>
        </row>
        <row r="68">
          <cell r="A68" t="str">
            <v>Azerbaijan</v>
          </cell>
        </row>
        <row r="69">
          <cell r="A69" t="str">
            <v>Burundi</v>
          </cell>
        </row>
        <row r="70">
          <cell r="A70" t="str">
            <v>Belgium</v>
          </cell>
        </row>
        <row r="71">
          <cell r="A71" t="str">
            <v>Benin</v>
          </cell>
        </row>
        <row r="72">
          <cell r="A72" t="str">
            <v>Caribbean Netherlands</v>
          </cell>
        </row>
        <row r="73">
          <cell r="A73" t="str">
            <v>Burkina Faso</v>
          </cell>
        </row>
        <row r="74">
          <cell r="A74" t="str">
            <v>Bangladesh</v>
          </cell>
        </row>
        <row r="75">
          <cell r="A75" t="str">
            <v>Bulgaria</v>
          </cell>
        </row>
        <row r="76">
          <cell r="A76" t="str">
            <v>Bahrain</v>
          </cell>
        </row>
        <row r="77">
          <cell r="A77" t="str">
            <v>Bahamas</v>
          </cell>
        </row>
        <row r="78">
          <cell r="A78" t="str">
            <v>Bosnia &amp; Herzegovina</v>
          </cell>
        </row>
        <row r="79">
          <cell r="A79" t="str">
            <v>St. BarthÃ©lemy</v>
          </cell>
        </row>
        <row r="80">
          <cell r="A80" t="str">
            <v>Belize</v>
          </cell>
        </row>
        <row r="81">
          <cell r="A81" t="str">
            <v>Bermuda</v>
          </cell>
        </row>
        <row r="82">
          <cell r="A82" t="str">
            <v>Bolivia</v>
          </cell>
        </row>
        <row r="83">
          <cell r="A83" t="str">
            <v>Barbados</v>
          </cell>
        </row>
        <row r="84">
          <cell r="A84" t="str">
            <v>Brunei</v>
          </cell>
        </row>
        <row r="85">
          <cell r="A85" t="str">
            <v>Bhutan</v>
          </cell>
        </row>
        <row r="86">
          <cell r="A86" t="str">
            <v>Bouvet Island</v>
          </cell>
        </row>
        <row r="87">
          <cell r="A87" t="str">
            <v>Botswana</v>
          </cell>
        </row>
        <row r="88">
          <cell r="A88" t="str">
            <v>Central African Republic</v>
          </cell>
        </row>
        <row r="89">
          <cell r="A89" t="str">
            <v>Cocos (Keeling) Islands</v>
          </cell>
        </row>
        <row r="90">
          <cell r="A90" t="str">
            <v>Chile</v>
          </cell>
        </row>
        <row r="91">
          <cell r="A91" t="str">
            <v>CÃ´te dâ€™Ivoire</v>
          </cell>
        </row>
        <row r="92">
          <cell r="A92" t="str">
            <v>Cameroon</v>
          </cell>
        </row>
        <row r="93">
          <cell r="A93" t="str">
            <v>Congo - Kinshasa</v>
          </cell>
        </row>
        <row r="94">
          <cell r="A94" t="str">
            <v>Congo - Brazzaville</v>
          </cell>
        </row>
        <row r="95">
          <cell r="A95" t="str">
            <v>Cook Islands</v>
          </cell>
        </row>
        <row r="96">
          <cell r="A96" t="str">
            <v>Comoros</v>
          </cell>
        </row>
        <row r="97">
          <cell r="A97" t="str">
            <v>Cape Verde</v>
          </cell>
        </row>
        <row r="98">
          <cell r="A98" t="str">
            <v>Costa Rica</v>
          </cell>
        </row>
        <row r="99">
          <cell r="A99" t="str">
            <v>Cuba</v>
          </cell>
        </row>
        <row r="100">
          <cell r="A100" t="str">
            <v>CuraÃ§ao</v>
          </cell>
        </row>
        <row r="101">
          <cell r="A101" t="str">
            <v>Christmas Island</v>
          </cell>
        </row>
        <row r="102">
          <cell r="A102" t="str">
            <v>Cayman Islands</v>
          </cell>
        </row>
        <row r="103">
          <cell r="A103" t="str">
            <v>Djibouti</v>
          </cell>
        </row>
        <row r="104">
          <cell r="A104" t="str">
            <v>Dominica</v>
          </cell>
        </row>
        <row r="105">
          <cell r="A105" t="str">
            <v>Dominican Republic</v>
          </cell>
        </row>
        <row r="106">
          <cell r="A106" t="str">
            <v>Algeria</v>
          </cell>
        </row>
        <row r="107">
          <cell r="A107" t="str">
            <v>Ecuador</v>
          </cell>
        </row>
        <row r="108">
          <cell r="A108" t="str">
            <v>Eritrea</v>
          </cell>
        </row>
        <row r="109">
          <cell r="A109" t="str">
            <v>Western Sahara</v>
          </cell>
        </row>
        <row r="110">
          <cell r="A110" t="str">
            <v>Estonia</v>
          </cell>
        </row>
        <row r="111">
          <cell r="A111" t="str">
            <v>Fiji</v>
          </cell>
        </row>
        <row r="112">
          <cell r="A112" t="str">
            <v>Falkland Islands (Islas Malvinas)</v>
          </cell>
        </row>
        <row r="113">
          <cell r="A113" t="str">
            <v>Faroe Islands</v>
          </cell>
        </row>
        <row r="114">
          <cell r="A114" t="str">
            <v>Micronesia</v>
          </cell>
        </row>
        <row r="115">
          <cell r="A115" t="str">
            <v>Gabon</v>
          </cell>
        </row>
        <row r="116">
          <cell r="A116" t="str">
            <v>Georgia</v>
          </cell>
        </row>
        <row r="117">
          <cell r="A117" t="str">
            <v>Guernsey</v>
          </cell>
        </row>
        <row r="118">
          <cell r="A118" t="str">
            <v>Ghana</v>
          </cell>
        </row>
        <row r="119">
          <cell r="A119" t="str">
            <v>Gibraltar</v>
          </cell>
        </row>
        <row r="120">
          <cell r="A120" t="str">
            <v>Guinea</v>
          </cell>
        </row>
        <row r="121">
          <cell r="A121" t="str">
            <v>Guadeloupe</v>
          </cell>
        </row>
        <row r="122">
          <cell r="A122" t="str">
            <v>Gambia</v>
          </cell>
        </row>
        <row r="123">
          <cell r="A123" t="str">
            <v>Guinea-Bissau</v>
          </cell>
        </row>
        <row r="124">
          <cell r="A124" t="str">
            <v>Equatorial Guinea</v>
          </cell>
        </row>
        <row r="125">
          <cell r="A125" t="str">
            <v>Grenada</v>
          </cell>
        </row>
        <row r="126">
          <cell r="A126" t="str">
            <v>Greenland</v>
          </cell>
        </row>
        <row r="127">
          <cell r="A127" t="str">
            <v>Guatemala</v>
          </cell>
        </row>
        <row r="128">
          <cell r="A128" t="str">
            <v>French Guiana</v>
          </cell>
        </row>
        <row r="129">
          <cell r="A129" t="str">
            <v>Guam</v>
          </cell>
        </row>
        <row r="130">
          <cell r="A130" t="str">
            <v>Guyana</v>
          </cell>
        </row>
        <row r="131">
          <cell r="A131" t="str">
            <v>Heard &amp; McDonald Islands</v>
          </cell>
        </row>
        <row r="132">
          <cell r="A132" t="str">
            <v>Honduras</v>
          </cell>
        </row>
        <row r="133">
          <cell r="A133" t="str">
            <v>Croatia</v>
          </cell>
        </row>
        <row r="134">
          <cell r="A134" t="str">
            <v>Haiti</v>
          </cell>
        </row>
        <row r="135">
          <cell r="A135" t="str">
            <v>Isle of Man</v>
          </cell>
        </row>
        <row r="136">
          <cell r="A136" t="str">
            <v>British Indian Ocean Territory</v>
          </cell>
        </row>
        <row r="137">
          <cell r="A137" t="str">
            <v>Iraq</v>
          </cell>
        </row>
        <row r="138">
          <cell r="A138" t="str">
            <v>Iceland</v>
          </cell>
        </row>
        <row r="139">
          <cell r="A139" t="str">
            <v>Jamaica</v>
          </cell>
        </row>
        <row r="140">
          <cell r="A140" t="str">
            <v>Jersey</v>
          </cell>
        </row>
        <row r="141">
          <cell r="A141" t="str">
            <v>Jordan</v>
          </cell>
        </row>
        <row r="142">
          <cell r="A142" t="str">
            <v>Kenya</v>
          </cell>
        </row>
        <row r="143">
          <cell r="A143" t="str">
            <v>Kyrgyzstan</v>
          </cell>
        </row>
        <row r="144">
          <cell r="A144" t="str">
            <v>Cambodia</v>
          </cell>
        </row>
        <row r="145">
          <cell r="A145" t="str">
            <v>Kiribati</v>
          </cell>
        </row>
        <row r="146">
          <cell r="A146" t="str">
            <v>St. Kitts &amp; Nevis</v>
          </cell>
        </row>
        <row r="147">
          <cell r="A147" t="str">
            <v>Kuwait</v>
          </cell>
        </row>
        <row r="148">
          <cell r="A148" t="str">
            <v>Laos</v>
          </cell>
        </row>
        <row r="149">
          <cell r="A149" t="str">
            <v>Lebanon</v>
          </cell>
        </row>
        <row r="150">
          <cell r="A150" t="str">
            <v>Liberia</v>
          </cell>
        </row>
        <row r="151">
          <cell r="A151" t="str">
            <v>Libya</v>
          </cell>
        </row>
        <row r="152">
          <cell r="A152" t="str">
            <v>St. Lucia</v>
          </cell>
        </row>
        <row r="153">
          <cell r="A153" t="str">
            <v>Liechtenstein</v>
          </cell>
        </row>
        <row r="154">
          <cell r="A154" t="str">
            <v>Sri Lanka</v>
          </cell>
        </row>
        <row r="155">
          <cell r="A155" t="str">
            <v>Lesotho</v>
          </cell>
        </row>
        <row r="156">
          <cell r="A156" t="str">
            <v>Lithuania</v>
          </cell>
        </row>
        <row r="157">
          <cell r="A157" t="str">
            <v>Luxembourg</v>
          </cell>
        </row>
        <row r="158">
          <cell r="A158" t="str">
            <v>Macao</v>
          </cell>
        </row>
        <row r="159">
          <cell r="A159" t="str">
            <v>St. Martin</v>
          </cell>
        </row>
        <row r="160">
          <cell r="A160" t="str">
            <v>Morocco</v>
          </cell>
        </row>
        <row r="161">
          <cell r="A161" t="str">
            <v>Monaco</v>
          </cell>
        </row>
        <row r="162">
          <cell r="A162" t="str">
            <v>Moldova</v>
          </cell>
        </row>
        <row r="163">
          <cell r="A163" t="str">
            <v>Madagascar</v>
          </cell>
        </row>
        <row r="164">
          <cell r="A164" t="str">
            <v>Maldives</v>
          </cell>
        </row>
        <row r="165">
          <cell r="A165" t="str">
            <v>Marshall Islands</v>
          </cell>
        </row>
        <row r="166">
          <cell r="A166" t="str">
            <v>North Macedonia</v>
          </cell>
        </row>
        <row r="167">
          <cell r="A167" t="str">
            <v>Mali</v>
          </cell>
        </row>
        <row r="168">
          <cell r="A168" t="str">
            <v>Malta</v>
          </cell>
        </row>
        <row r="169">
          <cell r="A169" t="str">
            <v>Myanmar (Burma)</v>
          </cell>
        </row>
        <row r="170">
          <cell r="A170" t="str">
            <v>Montenegro</v>
          </cell>
        </row>
        <row r="171">
          <cell r="A171" t="str">
            <v>Mongolia</v>
          </cell>
        </row>
        <row r="172">
          <cell r="A172" t="str">
            <v>Northern Mariana Islands</v>
          </cell>
        </row>
        <row r="173">
          <cell r="A173" t="str">
            <v>Mozambique</v>
          </cell>
        </row>
        <row r="174">
          <cell r="A174" t="str">
            <v>Mauritania</v>
          </cell>
        </row>
        <row r="175">
          <cell r="A175" t="str">
            <v>Montserrat</v>
          </cell>
        </row>
        <row r="176">
          <cell r="A176" t="str">
            <v>Martinique</v>
          </cell>
        </row>
        <row r="177">
          <cell r="A177" t="str">
            <v>Mauritius</v>
          </cell>
        </row>
        <row r="178">
          <cell r="A178" t="str">
            <v>Malawi</v>
          </cell>
        </row>
        <row r="179">
          <cell r="A179" t="str">
            <v>Mayotte</v>
          </cell>
        </row>
        <row r="180">
          <cell r="A180" t="str">
            <v>Namibia</v>
          </cell>
        </row>
        <row r="181">
          <cell r="A181" t="str">
            <v>New Caledonia</v>
          </cell>
        </row>
        <row r="182">
          <cell r="A182" t="str">
            <v>Niger</v>
          </cell>
        </row>
        <row r="183">
          <cell r="A183" t="str">
            <v>Norfolk Island</v>
          </cell>
        </row>
        <row r="184">
          <cell r="A184" t="str">
            <v>Nigeria</v>
          </cell>
        </row>
        <row r="185">
          <cell r="A185" t="str">
            <v>Nicaragua</v>
          </cell>
        </row>
        <row r="186">
          <cell r="A186" t="str">
            <v>Niue</v>
          </cell>
        </row>
        <row r="187">
          <cell r="A187" t="str">
            <v>Norway</v>
          </cell>
        </row>
        <row r="188">
          <cell r="A188" t="str">
            <v>Nepal</v>
          </cell>
        </row>
        <row r="189">
          <cell r="A189" t="str">
            <v>Nauru</v>
          </cell>
        </row>
        <row r="190">
          <cell r="A190" t="str">
            <v>Oman</v>
          </cell>
        </row>
        <row r="191">
          <cell r="A191" t="str">
            <v>Panama</v>
          </cell>
        </row>
        <row r="192">
          <cell r="A192" t="str">
            <v>Pitcairn Islands</v>
          </cell>
        </row>
        <row r="193">
          <cell r="A193" t="str">
            <v>Peru</v>
          </cell>
        </row>
        <row r="194">
          <cell r="A194" t="str">
            <v>Palau</v>
          </cell>
        </row>
        <row r="195">
          <cell r="A195" t="str">
            <v>Poland</v>
          </cell>
        </row>
        <row r="196">
          <cell r="A196" t="str">
            <v>North Korea</v>
          </cell>
        </row>
        <row r="197">
          <cell r="A197" t="str">
            <v>Paraguay</v>
          </cell>
        </row>
        <row r="198">
          <cell r="A198" t="str">
            <v>Palestine</v>
          </cell>
        </row>
        <row r="199">
          <cell r="A199" t="str">
            <v>French Polynesia</v>
          </cell>
        </row>
        <row r="200">
          <cell r="A200" t="str">
            <v>Qatar</v>
          </cell>
        </row>
        <row r="201">
          <cell r="A201" t="str">
            <v>RÃ©union</v>
          </cell>
        </row>
        <row r="202">
          <cell r="A202" t="str">
            <v>Rwanda</v>
          </cell>
        </row>
        <row r="203">
          <cell r="A203" t="str">
            <v>Sudan</v>
          </cell>
        </row>
        <row r="204">
          <cell r="A204" t="str">
            <v>Senegal</v>
          </cell>
        </row>
        <row r="205">
          <cell r="A205" t="str">
            <v>South Georgia &amp; South Sandwich Islands</v>
          </cell>
        </row>
        <row r="206">
          <cell r="A206" t="str">
            <v>St. Helena</v>
          </cell>
        </row>
        <row r="207">
          <cell r="A207" t="str">
            <v>Svalbard &amp; Jan Mayen</v>
          </cell>
        </row>
        <row r="208">
          <cell r="A208" t="str">
            <v>Solomon Islands</v>
          </cell>
        </row>
        <row r="209">
          <cell r="A209" t="str">
            <v>Sierra Leone</v>
          </cell>
        </row>
        <row r="210">
          <cell r="A210" t="str">
            <v>El Salvador</v>
          </cell>
        </row>
        <row r="211">
          <cell r="A211" t="str">
            <v>San Marino</v>
          </cell>
        </row>
        <row r="212">
          <cell r="A212" t="str">
            <v>Somalia</v>
          </cell>
        </row>
        <row r="213">
          <cell r="A213" t="str">
            <v>St. Pierre &amp; Miquelon</v>
          </cell>
        </row>
        <row r="214">
          <cell r="A214" t="str">
            <v>Serbia</v>
          </cell>
        </row>
        <row r="215">
          <cell r="A215" t="str">
            <v>South Sudan</v>
          </cell>
        </row>
        <row r="216">
          <cell r="A216" t="str">
            <v>SÃ£o TomÃ© &amp; PrÃ­ncipe</v>
          </cell>
        </row>
        <row r="217">
          <cell r="A217" t="str">
            <v>Suriname</v>
          </cell>
        </row>
        <row r="218">
          <cell r="A218" t="str">
            <v>Slovakia</v>
          </cell>
        </row>
        <row r="219">
          <cell r="A219" t="str">
            <v>Slovenia</v>
          </cell>
        </row>
        <row r="220">
          <cell r="A220" t="str">
            <v>Eswatini</v>
          </cell>
        </row>
        <row r="221">
          <cell r="A221" t="str">
            <v>Sint Maarten</v>
          </cell>
        </row>
        <row r="222">
          <cell r="A222" t="str">
            <v>Seychelles</v>
          </cell>
        </row>
        <row r="223">
          <cell r="A223" t="str">
            <v>Syria</v>
          </cell>
        </row>
        <row r="224">
          <cell r="A224" t="str">
            <v>Turks &amp; Caicos Islands</v>
          </cell>
        </row>
        <row r="225">
          <cell r="A225" t="str">
            <v>Chad</v>
          </cell>
        </row>
        <row r="226">
          <cell r="A226" t="str">
            <v>Togo</v>
          </cell>
        </row>
        <row r="227">
          <cell r="A227" t="str">
            <v>Tajikistan</v>
          </cell>
        </row>
        <row r="228">
          <cell r="A228" t="str">
            <v>Tokelau</v>
          </cell>
        </row>
        <row r="229">
          <cell r="A229" t="str">
            <v>Turkmenistan</v>
          </cell>
        </row>
        <row r="230">
          <cell r="A230" t="str">
            <v>Timor-Leste</v>
          </cell>
        </row>
        <row r="231">
          <cell r="A231" t="str">
            <v>Tonga</v>
          </cell>
        </row>
        <row r="232">
          <cell r="A232" t="str">
            <v>Trinidad &amp; Tobago</v>
          </cell>
        </row>
        <row r="233">
          <cell r="A233" t="str">
            <v>Tunisia</v>
          </cell>
        </row>
        <row r="234">
          <cell r="A234" t="str">
            <v>Tuvalu</v>
          </cell>
        </row>
        <row r="235">
          <cell r="A235" t="str">
            <v>Tanzania</v>
          </cell>
        </row>
        <row r="236">
          <cell r="A236" t="str">
            <v>Uganda</v>
          </cell>
        </row>
        <row r="237">
          <cell r="A237" t="str">
            <v>U.S. Outlying Islands</v>
          </cell>
        </row>
        <row r="238">
          <cell r="A238" t="str">
            <v>Uruguay</v>
          </cell>
        </row>
        <row r="239">
          <cell r="A239" t="str">
            <v>Uzbekistan</v>
          </cell>
        </row>
        <row r="240">
          <cell r="A240" t="str">
            <v>Vatican City</v>
          </cell>
        </row>
        <row r="241">
          <cell r="A241" t="str">
            <v>St. Vincent &amp; Grenadines</v>
          </cell>
        </row>
        <row r="242">
          <cell r="A242" t="str">
            <v>Venezuela</v>
          </cell>
        </row>
        <row r="243">
          <cell r="A243" t="str">
            <v>British Virgin Islands</v>
          </cell>
        </row>
        <row r="244">
          <cell r="A244" t="str">
            <v>U.S. Virgin Islands</v>
          </cell>
        </row>
        <row r="245">
          <cell r="A245" t="str">
            <v>Vietnam</v>
          </cell>
        </row>
        <row r="246">
          <cell r="A246" t="str">
            <v>Vanuatu</v>
          </cell>
        </row>
        <row r="247">
          <cell r="A247" t="str">
            <v>Wallis &amp; Futuna</v>
          </cell>
        </row>
        <row r="248">
          <cell r="A248" t="str">
            <v>Samoa</v>
          </cell>
        </row>
        <row r="249">
          <cell r="A249" t="str">
            <v>Kosovo</v>
          </cell>
        </row>
        <row r="250">
          <cell r="A250" t="str">
            <v>Yemen</v>
          </cell>
        </row>
        <row r="251">
          <cell r="A251" t="str">
            <v>South Africa</v>
          </cell>
        </row>
        <row r="252">
          <cell r="A252" t="str">
            <v>Zambia</v>
          </cell>
        </row>
        <row r="253">
          <cell r="A253" t="str">
            <v>Zimbabwe</v>
          </cell>
        </row>
      </sheetData>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59)"/>
    </sheetNames>
    <sheetDataSet>
      <sheetData sheetId="0" refreshError="1">
        <row r="1">
          <cell r="A1" t="str">
            <v>Category: All categories</v>
          </cell>
        </row>
        <row r="3">
          <cell r="A3" t="str">
            <v>Country</v>
          </cell>
          <cell r="B3" t="str">
            <v>Cookâ€“Levin theorem: (2018)</v>
          </cell>
          <cell r="C3" t="str">
            <v>Extendible hashing: (2018)</v>
          </cell>
        </row>
        <row r="4">
          <cell r="A4" t="str">
            <v>Israel</v>
          </cell>
          <cell r="B4">
            <v>1</v>
          </cell>
        </row>
        <row r="5">
          <cell r="A5" t="str">
            <v>India</v>
          </cell>
          <cell r="B5">
            <v>0.55000000000000004</v>
          </cell>
          <cell r="C5">
            <v>0.45</v>
          </cell>
        </row>
        <row r="6">
          <cell r="A6" t="str">
            <v>South Korea</v>
          </cell>
          <cell r="B6">
            <v>0.63</v>
          </cell>
          <cell r="C6">
            <v>0.37</v>
          </cell>
        </row>
        <row r="7">
          <cell r="A7" t="str">
            <v>Norway</v>
          </cell>
          <cell r="C7">
            <v>1</v>
          </cell>
        </row>
        <row r="8">
          <cell r="A8" t="str">
            <v>Russia</v>
          </cell>
          <cell r="B8">
            <v>1</v>
          </cell>
        </row>
        <row r="9">
          <cell r="A9" t="str">
            <v>Canada</v>
          </cell>
          <cell r="B9">
            <v>0.45</v>
          </cell>
          <cell r="C9">
            <v>0.55000000000000004</v>
          </cell>
        </row>
        <row r="10">
          <cell r="A10" t="str">
            <v>United States</v>
          </cell>
          <cell r="B10">
            <v>0.68</v>
          </cell>
          <cell r="C10">
            <v>0.32</v>
          </cell>
        </row>
        <row r="11">
          <cell r="A11" t="str">
            <v>Germany</v>
          </cell>
          <cell r="B11">
            <v>1</v>
          </cell>
        </row>
        <row r="12">
          <cell r="A12" t="str">
            <v>Ukraine</v>
          </cell>
          <cell r="B12">
            <v>1</v>
          </cell>
        </row>
        <row r="13">
          <cell r="A13" t="str">
            <v>United Kingdom</v>
          </cell>
          <cell r="B13">
            <v>1</v>
          </cell>
        </row>
        <row r="14">
          <cell r="A14" t="str">
            <v>Turkey</v>
          </cell>
          <cell r="C14">
            <v>1</v>
          </cell>
        </row>
        <row r="15">
          <cell r="A15" t="str">
            <v>Ethiopia</v>
          </cell>
        </row>
        <row r="16">
          <cell r="A16" t="str">
            <v>Yemen</v>
          </cell>
        </row>
        <row r="17">
          <cell r="A17" t="str">
            <v>Nepal</v>
          </cell>
        </row>
        <row r="18">
          <cell r="A18" t="str">
            <v>New Zealand</v>
          </cell>
        </row>
        <row r="19">
          <cell r="A19" t="str">
            <v>Singapore</v>
          </cell>
        </row>
        <row r="20">
          <cell r="A20" t="str">
            <v>Denmark</v>
          </cell>
        </row>
        <row r="21">
          <cell r="A21" t="str">
            <v>Hong Kong</v>
          </cell>
        </row>
        <row r="22">
          <cell r="A22" t="str">
            <v>Kazakhstan</v>
          </cell>
        </row>
        <row r="23">
          <cell r="A23" t="str">
            <v>Nigeria</v>
          </cell>
        </row>
        <row r="24">
          <cell r="A24" t="str">
            <v>Portugal</v>
          </cell>
        </row>
        <row r="25">
          <cell r="A25" t="str">
            <v>Iran</v>
          </cell>
        </row>
        <row r="26">
          <cell r="A26" t="str">
            <v>Pakistan</v>
          </cell>
        </row>
        <row r="27">
          <cell r="A27" t="str">
            <v>Switzerland</v>
          </cell>
        </row>
        <row r="28">
          <cell r="A28" t="str">
            <v>Egypt</v>
          </cell>
        </row>
        <row r="29">
          <cell r="A29" t="str">
            <v>Belgium</v>
          </cell>
        </row>
        <row r="30">
          <cell r="A30" t="str">
            <v>Netherlands</v>
          </cell>
        </row>
        <row r="31">
          <cell r="A31" t="str">
            <v>Poland</v>
          </cell>
        </row>
        <row r="32">
          <cell r="A32" t="str">
            <v>Italy</v>
          </cell>
        </row>
        <row r="33">
          <cell r="A33" t="str">
            <v>Argentina</v>
          </cell>
        </row>
        <row r="34">
          <cell r="A34" t="str">
            <v>Japan</v>
          </cell>
        </row>
        <row r="35">
          <cell r="A35" t="str">
            <v>Australia</v>
          </cell>
        </row>
        <row r="36">
          <cell r="A36" t="str">
            <v>Mexico</v>
          </cell>
        </row>
        <row r="37">
          <cell r="A37" t="str">
            <v>Indonesia</v>
          </cell>
        </row>
        <row r="38">
          <cell r="A38" t="str">
            <v>Brazil</v>
          </cell>
        </row>
        <row r="39">
          <cell r="A39" t="str">
            <v>Aruba</v>
          </cell>
        </row>
        <row r="40">
          <cell r="A40" t="str">
            <v>Afghanistan</v>
          </cell>
        </row>
        <row r="41">
          <cell r="A41" t="str">
            <v>Angola</v>
          </cell>
        </row>
        <row r="42">
          <cell r="A42" t="str">
            <v>Anguilla</v>
          </cell>
        </row>
        <row r="43">
          <cell r="A43" t="str">
            <v>Ã…land Islands</v>
          </cell>
        </row>
        <row r="44">
          <cell r="A44" t="str">
            <v>Albania</v>
          </cell>
        </row>
        <row r="45">
          <cell r="A45" t="str">
            <v>Andorra</v>
          </cell>
        </row>
        <row r="46">
          <cell r="A46" t="str">
            <v>United Arab Emirates</v>
          </cell>
        </row>
        <row r="47">
          <cell r="A47" t="str">
            <v>Armenia</v>
          </cell>
        </row>
        <row r="48">
          <cell r="A48" t="str">
            <v>American Samoa</v>
          </cell>
        </row>
        <row r="49">
          <cell r="A49" t="str">
            <v>Antarctica</v>
          </cell>
        </row>
        <row r="50">
          <cell r="A50" t="str">
            <v>French Southern Territories</v>
          </cell>
        </row>
        <row r="51">
          <cell r="A51" t="str">
            <v>Antigua &amp; Barbuda</v>
          </cell>
        </row>
        <row r="52">
          <cell r="A52" t="str">
            <v>Austria</v>
          </cell>
        </row>
        <row r="53">
          <cell r="A53" t="str">
            <v>Azerbaijan</v>
          </cell>
        </row>
        <row r="54">
          <cell r="A54" t="str">
            <v>Burundi</v>
          </cell>
        </row>
        <row r="55">
          <cell r="A55" t="str">
            <v>Benin</v>
          </cell>
        </row>
        <row r="56">
          <cell r="A56" t="str">
            <v>Caribbean Netherlands</v>
          </cell>
        </row>
        <row r="57">
          <cell r="A57" t="str">
            <v>Burkina Faso</v>
          </cell>
        </row>
        <row r="58">
          <cell r="A58" t="str">
            <v>Bangladesh</v>
          </cell>
        </row>
        <row r="59">
          <cell r="A59" t="str">
            <v>Bulgaria</v>
          </cell>
        </row>
        <row r="60">
          <cell r="A60" t="str">
            <v>Bahrain</v>
          </cell>
        </row>
        <row r="61">
          <cell r="A61" t="str">
            <v>Bahamas</v>
          </cell>
        </row>
        <row r="62">
          <cell r="A62" t="str">
            <v>Bosnia &amp; Herzegovina</v>
          </cell>
        </row>
        <row r="63">
          <cell r="A63" t="str">
            <v>St. BarthÃ©lemy</v>
          </cell>
        </row>
        <row r="64">
          <cell r="A64" t="str">
            <v>Belarus</v>
          </cell>
        </row>
        <row r="65">
          <cell r="A65" t="str">
            <v>Belize</v>
          </cell>
        </row>
        <row r="66">
          <cell r="A66" t="str">
            <v>Bermuda</v>
          </cell>
        </row>
        <row r="67">
          <cell r="A67" t="str">
            <v>Bolivia</v>
          </cell>
        </row>
        <row r="68">
          <cell r="A68" t="str">
            <v>Barbados</v>
          </cell>
        </row>
        <row r="69">
          <cell r="A69" t="str">
            <v>Brunei</v>
          </cell>
        </row>
        <row r="70">
          <cell r="A70" t="str">
            <v>Bhutan</v>
          </cell>
        </row>
        <row r="71">
          <cell r="A71" t="str">
            <v>Bouvet Island</v>
          </cell>
        </row>
        <row r="72">
          <cell r="A72" t="str">
            <v>Botswana</v>
          </cell>
        </row>
        <row r="73">
          <cell r="A73" t="str">
            <v>Central African Republic</v>
          </cell>
        </row>
        <row r="74">
          <cell r="A74" t="str">
            <v>Cocos (Keeling) Islands</v>
          </cell>
        </row>
        <row r="75">
          <cell r="A75" t="str">
            <v>Chile</v>
          </cell>
        </row>
        <row r="76">
          <cell r="A76" t="str">
            <v>China</v>
          </cell>
        </row>
        <row r="77">
          <cell r="A77" t="str">
            <v>CÃ´te dâ€™Ivoire</v>
          </cell>
        </row>
        <row r="78">
          <cell r="A78" t="str">
            <v>Cameroon</v>
          </cell>
        </row>
        <row r="79">
          <cell r="A79" t="str">
            <v>Congo - Kinshasa</v>
          </cell>
        </row>
        <row r="80">
          <cell r="A80" t="str">
            <v>Congo - Brazzaville</v>
          </cell>
        </row>
        <row r="81">
          <cell r="A81" t="str">
            <v>Cook Islands</v>
          </cell>
        </row>
        <row r="82">
          <cell r="A82" t="str">
            <v>Colombia</v>
          </cell>
        </row>
        <row r="83">
          <cell r="A83" t="str">
            <v>Comoros</v>
          </cell>
        </row>
        <row r="84">
          <cell r="A84" t="str">
            <v>Cape Verde</v>
          </cell>
        </row>
        <row r="85">
          <cell r="A85" t="str">
            <v>Costa Rica</v>
          </cell>
        </row>
        <row r="86">
          <cell r="A86" t="str">
            <v>Cuba</v>
          </cell>
        </row>
        <row r="87">
          <cell r="A87" t="str">
            <v>CuraÃ§ao</v>
          </cell>
        </row>
        <row r="88">
          <cell r="A88" t="str">
            <v>Christmas Island</v>
          </cell>
        </row>
        <row r="89">
          <cell r="A89" t="str">
            <v>Cayman Islands</v>
          </cell>
        </row>
        <row r="90">
          <cell r="A90" t="str">
            <v>Cyprus</v>
          </cell>
        </row>
        <row r="91">
          <cell r="A91" t="str">
            <v>Czechia</v>
          </cell>
        </row>
        <row r="92">
          <cell r="A92" t="str">
            <v>Djibouti</v>
          </cell>
        </row>
        <row r="93">
          <cell r="A93" t="str">
            <v>Dominica</v>
          </cell>
        </row>
        <row r="94">
          <cell r="A94" t="str">
            <v>Dominican Republic</v>
          </cell>
        </row>
        <row r="95">
          <cell r="A95" t="str">
            <v>Algeria</v>
          </cell>
        </row>
        <row r="96">
          <cell r="A96" t="str">
            <v>Ecuador</v>
          </cell>
        </row>
        <row r="97">
          <cell r="A97" t="str">
            <v>Eritrea</v>
          </cell>
        </row>
        <row r="98">
          <cell r="A98" t="str">
            <v>Western Sahara</v>
          </cell>
        </row>
        <row r="99">
          <cell r="A99" t="str">
            <v>Spain</v>
          </cell>
        </row>
        <row r="100">
          <cell r="A100" t="str">
            <v>Estonia</v>
          </cell>
        </row>
        <row r="101">
          <cell r="A101" t="str">
            <v>Finland</v>
          </cell>
        </row>
        <row r="102">
          <cell r="A102" t="str">
            <v>Fiji</v>
          </cell>
        </row>
        <row r="103">
          <cell r="A103" t="str">
            <v>Falkland Islands (Islas Malvinas)</v>
          </cell>
        </row>
        <row r="104">
          <cell r="A104" t="str">
            <v>France</v>
          </cell>
        </row>
        <row r="105">
          <cell r="A105" t="str">
            <v>Faroe Islands</v>
          </cell>
        </row>
        <row r="106">
          <cell r="A106" t="str">
            <v>Micronesia</v>
          </cell>
        </row>
        <row r="107">
          <cell r="A107" t="str">
            <v>Gabon</v>
          </cell>
        </row>
        <row r="108">
          <cell r="A108" t="str">
            <v>Georgia</v>
          </cell>
        </row>
        <row r="109">
          <cell r="A109" t="str">
            <v>Guernsey</v>
          </cell>
        </row>
        <row r="110">
          <cell r="A110" t="str">
            <v>Ghana</v>
          </cell>
        </row>
        <row r="111">
          <cell r="A111" t="str">
            <v>Gibraltar</v>
          </cell>
        </row>
        <row r="112">
          <cell r="A112" t="str">
            <v>Guinea</v>
          </cell>
        </row>
        <row r="113">
          <cell r="A113" t="str">
            <v>Guadeloupe</v>
          </cell>
        </row>
        <row r="114">
          <cell r="A114" t="str">
            <v>Gambia</v>
          </cell>
        </row>
        <row r="115">
          <cell r="A115" t="str">
            <v>Guinea-Bissau</v>
          </cell>
        </row>
        <row r="116">
          <cell r="A116" t="str">
            <v>Equatorial Guinea</v>
          </cell>
        </row>
        <row r="117">
          <cell r="A117" t="str">
            <v>Greece</v>
          </cell>
        </row>
        <row r="118">
          <cell r="A118" t="str">
            <v>Grenada</v>
          </cell>
        </row>
        <row r="119">
          <cell r="A119" t="str">
            <v>Greenland</v>
          </cell>
        </row>
        <row r="120">
          <cell r="A120" t="str">
            <v>Guatemala</v>
          </cell>
        </row>
        <row r="121">
          <cell r="A121" t="str">
            <v>French Guiana</v>
          </cell>
        </row>
        <row r="122">
          <cell r="A122" t="str">
            <v>Guam</v>
          </cell>
        </row>
        <row r="123">
          <cell r="A123" t="str">
            <v>Guyana</v>
          </cell>
        </row>
        <row r="124">
          <cell r="A124" t="str">
            <v>Heard &amp; McDonald Islands</v>
          </cell>
        </row>
        <row r="125">
          <cell r="A125" t="str">
            <v>Honduras</v>
          </cell>
        </row>
        <row r="126">
          <cell r="A126" t="str">
            <v>Croatia</v>
          </cell>
        </row>
        <row r="127">
          <cell r="A127" t="str">
            <v>Haiti</v>
          </cell>
        </row>
        <row r="128">
          <cell r="A128" t="str">
            <v>Hungary</v>
          </cell>
        </row>
        <row r="129">
          <cell r="A129" t="str">
            <v>Isle of Man</v>
          </cell>
        </row>
        <row r="130">
          <cell r="A130" t="str">
            <v>British Indian Ocean Territory</v>
          </cell>
        </row>
        <row r="131">
          <cell r="A131" t="str">
            <v>Ireland</v>
          </cell>
        </row>
        <row r="132">
          <cell r="A132" t="str">
            <v>Iraq</v>
          </cell>
        </row>
        <row r="133">
          <cell r="A133" t="str">
            <v>Iceland</v>
          </cell>
        </row>
        <row r="134">
          <cell r="A134" t="str">
            <v>Jamaica</v>
          </cell>
        </row>
        <row r="135">
          <cell r="A135" t="str">
            <v>Jersey</v>
          </cell>
        </row>
        <row r="136">
          <cell r="A136" t="str">
            <v>Jordan</v>
          </cell>
        </row>
        <row r="137">
          <cell r="A137" t="str">
            <v>Kenya</v>
          </cell>
        </row>
        <row r="138">
          <cell r="A138" t="str">
            <v>Kyrgyzstan</v>
          </cell>
        </row>
        <row r="139">
          <cell r="A139" t="str">
            <v>Cambodia</v>
          </cell>
        </row>
        <row r="140">
          <cell r="A140" t="str">
            <v>Kiribati</v>
          </cell>
        </row>
        <row r="141">
          <cell r="A141" t="str">
            <v>St. Kitts &amp; Nevis</v>
          </cell>
        </row>
        <row r="142">
          <cell r="A142" t="str">
            <v>Kuwait</v>
          </cell>
        </row>
        <row r="143">
          <cell r="A143" t="str">
            <v>Laos</v>
          </cell>
        </row>
        <row r="144">
          <cell r="A144" t="str">
            <v>Lebanon</v>
          </cell>
        </row>
        <row r="145">
          <cell r="A145" t="str">
            <v>Liberia</v>
          </cell>
        </row>
        <row r="146">
          <cell r="A146" t="str">
            <v>Libya</v>
          </cell>
        </row>
        <row r="147">
          <cell r="A147" t="str">
            <v>St. Lucia</v>
          </cell>
        </row>
        <row r="148">
          <cell r="A148" t="str">
            <v>Liechtenstein</v>
          </cell>
        </row>
        <row r="149">
          <cell r="A149" t="str">
            <v>Sri Lanka</v>
          </cell>
        </row>
        <row r="150">
          <cell r="A150" t="str">
            <v>Lesotho</v>
          </cell>
        </row>
        <row r="151">
          <cell r="A151" t="str">
            <v>Lithuania</v>
          </cell>
        </row>
        <row r="152">
          <cell r="A152" t="str">
            <v>Luxembourg</v>
          </cell>
        </row>
        <row r="153">
          <cell r="A153" t="str">
            <v>Latvia</v>
          </cell>
        </row>
        <row r="154">
          <cell r="A154" t="str">
            <v>Macao</v>
          </cell>
        </row>
        <row r="155">
          <cell r="A155" t="str">
            <v>St. Martin</v>
          </cell>
        </row>
        <row r="156">
          <cell r="A156" t="str">
            <v>Morocco</v>
          </cell>
        </row>
        <row r="157">
          <cell r="A157" t="str">
            <v>Monaco</v>
          </cell>
        </row>
        <row r="158">
          <cell r="A158" t="str">
            <v>Moldova</v>
          </cell>
        </row>
        <row r="159">
          <cell r="A159" t="str">
            <v>Madagascar</v>
          </cell>
        </row>
        <row r="160">
          <cell r="A160" t="str">
            <v>Maldives</v>
          </cell>
        </row>
        <row r="161">
          <cell r="A161" t="str">
            <v>Marshall Islands</v>
          </cell>
        </row>
        <row r="162">
          <cell r="A162" t="str">
            <v>North Macedonia</v>
          </cell>
        </row>
        <row r="163">
          <cell r="A163" t="str">
            <v>Mali</v>
          </cell>
        </row>
        <row r="164">
          <cell r="A164" t="str">
            <v>Malta</v>
          </cell>
        </row>
        <row r="165">
          <cell r="A165" t="str">
            <v>Myanmar (Burma)</v>
          </cell>
        </row>
        <row r="166">
          <cell r="A166" t="str">
            <v>Montenegro</v>
          </cell>
        </row>
        <row r="167">
          <cell r="A167" t="str">
            <v>Mongolia</v>
          </cell>
        </row>
        <row r="168">
          <cell r="A168" t="str">
            <v>Northern Mariana Islands</v>
          </cell>
        </row>
        <row r="169">
          <cell r="A169" t="str">
            <v>Mozambique</v>
          </cell>
        </row>
        <row r="170">
          <cell r="A170" t="str">
            <v>Mauritania</v>
          </cell>
        </row>
        <row r="171">
          <cell r="A171" t="str">
            <v>Montserrat</v>
          </cell>
        </row>
        <row r="172">
          <cell r="A172" t="str">
            <v>Martinique</v>
          </cell>
        </row>
        <row r="173">
          <cell r="A173" t="str">
            <v>Mauritius</v>
          </cell>
        </row>
        <row r="174">
          <cell r="A174" t="str">
            <v>Malawi</v>
          </cell>
        </row>
        <row r="175">
          <cell r="A175" t="str">
            <v>Malaysia</v>
          </cell>
        </row>
        <row r="176">
          <cell r="A176" t="str">
            <v>Mayotte</v>
          </cell>
        </row>
        <row r="177">
          <cell r="A177" t="str">
            <v>Namibia</v>
          </cell>
        </row>
        <row r="178">
          <cell r="A178" t="str">
            <v>New Caledonia</v>
          </cell>
        </row>
        <row r="179">
          <cell r="A179" t="str">
            <v>Niger</v>
          </cell>
        </row>
        <row r="180">
          <cell r="A180" t="str">
            <v>Norfolk Island</v>
          </cell>
        </row>
        <row r="181">
          <cell r="A181" t="str">
            <v>Nicaragua</v>
          </cell>
        </row>
        <row r="182">
          <cell r="A182" t="str">
            <v>Niue</v>
          </cell>
        </row>
        <row r="183">
          <cell r="A183" t="str">
            <v>Nauru</v>
          </cell>
        </row>
        <row r="184">
          <cell r="A184" t="str">
            <v>Oman</v>
          </cell>
        </row>
        <row r="185">
          <cell r="A185" t="str">
            <v>Panama</v>
          </cell>
        </row>
        <row r="186">
          <cell r="A186" t="str">
            <v>Pitcairn Islands</v>
          </cell>
        </row>
        <row r="187">
          <cell r="A187" t="str">
            <v>Peru</v>
          </cell>
        </row>
        <row r="188">
          <cell r="A188" t="str">
            <v>Philippines</v>
          </cell>
        </row>
        <row r="189">
          <cell r="A189" t="str">
            <v>Palau</v>
          </cell>
        </row>
        <row r="190">
          <cell r="A190" t="str">
            <v>Papua New Guinea</v>
          </cell>
        </row>
        <row r="191">
          <cell r="A191" t="str">
            <v>Puerto Rico</v>
          </cell>
        </row>
        <row r="192">
          <cell r="A192" t="str">
            <v>North Korea</v>
          </cell>
        </row>
        <row r="193">
          <cell r="A193" t="str">
            <v>Paraguay</v>
          </cell>
        </row>
        <row r="194">
          <cell r="A194" t="str">
            <v>Palestine</v>
          </cell>
        </row>
        <row r="195">
          <cell r="A195" t="str">
            <v>French Polynesia</v>
          </cell>
        </row>
        <row r="196">
          <cell r="A196" t="str">
            <v>Qatar</v>
          </cell>
        </row>
        <row r="197">
          <cell r="A197" t="str">
            <v>RÃ©union</v>
          </cell>
        </row>
        <row r="198">
          <cell r="A198" t="str">
            <v>Romania</v>
          </cell>
        </row>
        <row r="199">
          <cell r="A199" t="str">
            <v>Rwanda</v>
          </cell>
        </row>
        <row r="200">
          <cell r="A200" t="str">
            <v>Saudi Arabia</v>
          </cell>
        </row>
        <row r="201">
          <cell r="A201" t="str">
            <v>Sudan</v>
          </cell>
        </row>
        <row r="202">
          <cell r="A202" t="str">
            <v>Senegal</v>
          </cell>
        </row>
        <row r="203">
          <cell r="A203" t="str">
            <v>South Georgia &amp; South Sandwich Islands</v>
          </cell>
        </row>
        <row r="204">
          <cell r="A204" t="str">
            <v>St. Helena</v>
          </cell>
        </row>
        <row r="205">
          <cell r="A205" t="str">
            <v>Svalbard &amp; Jan Mayen</v>
          </cell>
        </row>
        <row r="206">
          <cell r="A206" t="str">
            <v>Solomon Islands</v>
          </cell>
        </row>
        <row r="207">
          <cell r="A207" t="str">
            <v>Sierra Leone</v>
          </cell>
        </row>
        <row r="208">
          <cell r="A208" t="str">
            <v>El Salvador</v>
          </cell>
        </row>
        <row r="209">
          <cell r="A209" t="str">
            <v>San Marino</v>
          </cell>
        </row>
        <row r="210">
          <cell r="A210" t="str">
            <v>Somalia</v>
          </cell>
        </row>
        <row r="211">
          <cell r="A211" t="str">
            <v>St. Pierre &amp; Miquelon</v>
          </cell>
        </row>
        <row r="212">
          <cell r="A212" t="str">
            <v>Serbia</v>
          </cell>
        </row>
        <row r="213">
          <cell r="A213" t="str">
            <v>South Sudan</v>
          </cell>
        </row>
        <row r="214">
          <cell r="A214" t="str">
            <v>SÃ£o TomÃ© &amp; PrÃ­ncipe</v>
          </cell>
        </row>
        <row r="215">
          <cell r="A215" t="str">
            <v>Suriname</v>
          </cell>
        </row>
        <row r="216">
          <cell r="A216" t="str">
            <v>Slovakia</v>
          </cell>
        </row>
        <row r="217">
          <cell r="A217" t="str">
            <v>Slovenia</v>
          </cell>
        </row>
        <row r="218">
          <cell r="A218" t="str">
            <v>Sweden</v>
          </cell>
        </row>
        <row r="219">
          <cell r="A219" t="str">
            <v>Eswatini</v>
          </cell>
        </row>
        <row r="220">
          <cell r="A220" t="str">
            <v>Sint Maarten</v>
          </cell>
        </row>
        <row r="221">
          <cell r="A221" t="str">
            <v>Seychelles</v>
          </cell>
        </row>
        <row r="222">
          <cell r="A222" t="str">
            <v>Syria</v>
          </cell>
        </row>
        <row r="223">
          <cell r="A223" t="str">
            <v>Turks &amp; Caicos Islands</v>
          </cell>
        </row>
        <row r="224">
          <cell r="A224" t="str">
            <v>Chad</v>
          </cell>
        </row>
        <row r="225">
          <cell r="A225" t="str">
            <v>Togo</v>
          </cell>
        </row>
        <row r="226">
          <cell r="A226" t="str">
            <v>Thailand</v>
          </cell>
        </row>
        <row r="227">
          <cell r="A227" t="str">
            <v>Tajikistan</v>
          </cell>
        </row>
        <row r="228">
          <cell r="A228" t="str">
            <v>Tokelau</v>
          </cell>
        </row>
        <row r="229">
          <cell r="A229" t="str">
            <v>Turkmenistan</v>
          </cell>
        </row>
        <row r="230">
          <cell r="A230" t="str">
            <v>Timor-Leste</v>
          </cell>
        </row>
        <row r="231">
          <cell r="A231" t="str">
            <v>Tonga</v>
          </cell>
        </row>
        <row r="232">
          <cell r="A232" t="str">
            <v>Trinidad &amp; Tobago</v>
          </cell>
        </row>
        <row r="233">
          <cell r="A233" t="str">
            <v>Tunisia</v>
          </cell>
        </row>
        <row r="234">
          <cell r="A234" t="str">
            <v>Tuvalu</v>
          </cell>
        </row>
        <row r="235">
          <cell r="A235" t="str">
            <v>Taiwan</v>
          </cell>
        </row>
        <row r="236">
          <cell r="A236" t="str">
            <v>Tanzania</v>
          </cell>
        </row>
        <row r="237">
          <cell r="A237" t="str">
            <v>Uganda</v>
          </cell>
        </row>
        <row r="238">
          <cell r="A238" t="str">
            <v>U.S. Outlying Islands</v>
          </cell>
        </row>
        <row r="239">
          <cell r="A239" t="str">
            <v>Uruguay</v>
          </cell>
        </row>
        <row r="240">
          <cell r="A240" t="str">
            <v>Uzbekistan</v>
          </cell>
        </row>
        <row r="241">
          <cell r="A241" t="str">
            <v>Vatican City</v>
          </cell>
        </row>
        <row r="242">
          <cell r="A242" t="str">
            <v>St. Vincent &amp; Grenadines</v>
          </cell>
        </row>
        <row r="243">
          <cell r="A243" t="str">
            <v>Venezuela</v>
          </cell>
        </row>
        <row r="244">
          <cell r="A244" t="str">
            <v>British Virgin Islands</v>
          </cell>
        </row>
        <row r="245">
          <cell r="A245" t="str">
            <v>U.S. Virgin Islands</v>
          </cell>
        </row>
        <row r="246">
          <cell r="A246" t="str">
            <v>Vietnam</v>
          </cell>
        </row>
        <row r="247">
          <cell r="A247" t="str">
            <v>Vanuatu</v>
          </cell>
        </row>
        <row r="248">
          <cell r="A248" t="str">
            <v>Wallis &amp; Futuna</v>
          </cell>
        </row>
        <row r="249">
          <cell r="A249" t="str">
            <v>Samoa</v>
          </cell>
        </row>
        <row r="250">
          <cell r="A250" t="str">
            <v>Kosovo</v>
          </cell>
        </row>
        <row r="251">
          <cell r="A251" t="str">
            <v>South Africa</v>
          </cell>
        </row>
        <row r="252">
          <cell r="A252" t="str">
            <v>Zambia</v>
          </cell>
        </row>
        <row r="253">
          <cell r="A253" t="str">
            <v>Zimbabwe</v>
          </cell>
        </row>
      </sheetData>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60)"/>
    </sheetNames>
    <sheetDataSet>
      <sheetData sheetId="0" refreshError="1">
        <row r="1">
          <cell r="A1" t="str">
            <v>Kategori: TÃ¼m kategoriler</v>
          </cell>
        </row>
        <row r="3">
          <cell r="A3" t="str">
            <v>Ãœlke</v>
          </cell>
          <cell r="B3" t="str">
            <v>Extendible hashing: (2018)</v>
          </cell>
          <cell r="C3" t="str">
            <v>Post Correspondence Problemi: (2018)</v>
          </cell>
        </row>
        <row r="4">
          <cell r="A4" t="str">
            <v>Pakistan</v>
          </cell>
          <cell r="C4">
            <v>1</v>
          </cell>
        </row>
        <row r="5">
          <cell r="A5" t="str">
            <v>India</v>
          </cell>
          <cell r="B5">
            <v>0.53</v>
          </cell>
          <cell r="C5">
            <v>0.47</v>
          </cell>
        </row>
        <row r="6">
          <cell r="A6" t="str">
            <v>Norway</v>
          </cell>
          <cell r="B6">
            <v>1</v>
          </cell>
        </row>
        <row r="7">
          <cell r="A7" t="str">
            <v>Germany</v>
          </cell>
          <cell r="C7">
            <v>1</v>
          </cell>
        </row>
        <row r="8">
          <cell r="A8" t="str">
            <v>South Korea</v>
          </cell>
          <cell r="B8">
            <v>0.5</v>
          </cell>
          <cell r="C8">
            <v>0.5</v>
          </cell>
        </row>
        <row r="9">
          <cell r="A9" t="str">
            <v>Australia</v>
          </cell>
          <cell r="B9">
            <v>1</v>
          </cell>
        </row>
        <row r="10">
          <cell r="A10" t="str">
            <v>Turkey</v>
          </cell>
          <cell r="B10">
            <v>1</v>
          </cell>
        </row>
        <row r="11">
          <cell r="A11" t="str">
            <v>Canada</v>
          </cell>
          <cell r="B11">
            <v>0.5</v>
          </cell>
          <cell r="C11">
            <v>0.5</v>
          </cell>
        </row>
        <row r="12">
          <cell r="A12" t="str">
            <v>United States</v>
          </cell>
          <cell r="B12">
            <v>0.45</v>
          </cell>
          <cell r="C12">
            <v>0.55000000000000004</v>
          </cell>
        </row>
        <row r="13">
          <cell r="A13" t="str">
            <v>Ethiopia</v>
          </cell>
        </row>
        <row r="14">
          <cell r="A14" t="str">
            <v>Sudan</v>
          </cell>
        </row>
        <row r="15">
          <cell r="A15" t="str">
            <v>China</v>
          </cell>
        </row>
        <row r="16">
          <cell r="A16" t="str">
            <v>Cyprus</v>
          </cell>
        </row>
        <row r="17">
          <cell r="A17" t="str">
            <v>Estonia</v>
          </cell>
        </row>
        <row r="18">
          <cell r="A18" t="str">
            <v>Jordan</v>
          </cell>
        </row>
        <row r="19">
          <cell r="A19" t="str">
            <v>Portugal</v>
          </cell>
        </row>
        <row r="20">
          <cell r="A20" t="str">
            <v>Austria</v>
          </cell>
        </row>
        <row r="21">
          <cell r="A21" t="str">
            <v>Greece</v>
          </cell>
        </row>
        <row r="22">
          <cell r="A22" t="str">
            <v>Bangladesh</v>
          </cell>
        </row>
        <row r="23">
          <cell r="A23" t="str">
            <v>Peru</v>
          </cell>
        </row>
        <row r="24">
          <cell r="A24" t="str">
            <v>Czechia</v>
          </cell>
        </row>
        <row r="25">
          <cell r="A25" t="str">
            <v>Switzerland</v>
          </cell>
        </row>
        <row r="26">
          <cell r="A26" t="str">
            <v>Egypt</v>
          </cell>
        </row>
        <row r="27">
          <cell r="A27" t="str">
            <v>Saudi Arabia</v>
          </cell>
        </row>
        <row r="28">
          <cell r="A28" t="str">
            <v>Taiwan</v>
          </cell>
        </row>
        <row r="29">
          <cell r="A29" t="str">
            <v>Thailand</v>
          </cell>
        </row>
        <row r="30">
          <cell r="A30" t="str">
            <v>Russia</v>
          </cell>
        </row>
        <row r="31">
          <cell r="A31" t="str">
            <v>Italy</v>
          </cell>
        </row>
        <row r="32">
          <cell r="A32" t="str">
            <v>United Kingdom</v>
          </cell>
        </row>
        <row r="33">
          <cell r="A33" t="str">
            <v>Aruba</v>
          </cell>
        </row>
        <row r="34">
          <cell r="A34" t="str">
            <v>Afghanistan</v>
          </cell>
        </row>
        <row r="35">
          <cell r="A35" t="str">
            <v>Angola</v>
          </cell>
        </row>
        <row r="36">
          <cell r="A36" t="str">
            <v>Anguilla</v>
          </cell>
        </row>
        <row r="37">
          <cell r="A37" t="str">
            <v>Ã…land Islands</v>
          </cell>
        </row>
        <row r="38">
          <cell r="A38" t="str">
            <v>Albania</v>
          </cell>
        </row>
        <row r="39">
          <cell r="A39" t="str">
            <v>Andorra</v>
          </cell>
        </row>
        <row r="40">
          <cell r="A40" t="str">
            <v>United Arab Emirates</v>
          </cell>
        </row>
        <row r="41">
          <cell r="A41" t="str">
            <v>Argentina</v>
          </cell>
        </row>
        <row r="42">
          <cell r="A42" t="str">
            <v>Armenia</v>
          </cell>
        </row>
        <row r="43">
          <cell r="A43" t="str">
            <v>American Samoa</v>
          </cell>
        </row>
        <row r="44">
          <cell r="A44" t="str">
            <v>Antarctica</v>
          </cell>
        </row>
        <row r="45">
          <cell r="A45" t="str">
            <v>French Southern Territories</v>
          </cell>
        </row>
        <row r="46">
          <cell r="A46" t="str">
            <v>Antigua &amp; Barbuda</v>
          </cell>
        </row>
        <row r="47">
          <cell r="A47" t="str">
            <v>Azerbaijan</v>
          </cell>
        </row>
        <row r="48">
          <cell r="A48" t="str">
            <v>Burundi</v>
          </cell>
        </row>
        <row r="49">
          <cell r="A49" t="str">
            <v>Belgium</v>
          </cell>
        </row>
        <row r="50">
          <cell r="A50" t="str">
            <v>Benin</v>
          </cell>
        </row>
        <row r="51">
          <cell r="A51" t="str">
            <v>Caribbean Netherlands</v>
          </cell>
        </row>
        <row r="52">
          <cell r="A52" t="str">
            <v>Burkina Faso</v>
          </cell>
        </row>
        <row r="53">
          <cell r="A53" t="str">
            <v>Bulgaria</v>
          </cell>
        </row>
        <row r="54">
          <cell r="A54" t="str">
            <v>Bahrain</v>
          </cell>
        </row>
        <row r="55">
          <cell r="A55" t="str">
            <v>Bahamas</v>
          </cell>
        </row>
        <row r="56">
          <cell r="A56" t="str">
            <v>Bosnia &amp; Herzegovina</v>
          </cell>
        </row>
        <row r="57">
          <cell r="A57" t="str">
            <v>St. BarthÃ©lemy</v>
          </cell>
        </row>
        <row r="58">
          <cell r="A58" t="str">
            <v>Belarus</v>
          </cell>
        </row>
        <row r="59">
          <cell r="A59" t="str">
            <v>Belize</v>
          </cell>
        </row>
        <row r="60">
          <cell r="A60" t="str">
            <v>Bermuda</v>
          </cell>
        </row>
        <row r="61">
          <cell r="A61" t="str">
            <v>Bolivia</v>
          </cell>
        </row>
        <row r="62">
          <cell r="A62" t="str">
            <v>Brazil</v>
          </cell>
        </row>
        <row r="63">
          <cell r="A63" t="str">
            <v>Barbados</v>
          </cell>
        </row>
        <row r="64">
          <cell r="A64" t="str">
            <v>Brunei</v>
          </cell>
        </row>
        <row r="65">
          <cell r="A65" t="str">
            <v>Bhutan</v>
          </cell>
        </row>
        <row r="66">
          <cell r="A66" t="str">
            <v>Bouvet Island</v>
          </cell>
        </row>
        <row r="67">
          <cell r="A67" t="str">
            <v>Botswana</v>
          </cell>
        </row>
        <row r="68">
          <cell r="A68" t="str">
            <v>Central African Republic</v>
          </cell>
        </row>
        <row r="69">
          <cell r="A69" t="str">
            <v>Cocos (Keeling) Islands</v>
          </cell>
        </row>
        <row r="70">
          <cell r="A70" t="str">
            <v>Chile</v>
          </cell>
        </row>
        <row r="71">
          <cell r="A71" t="str">
            <v>CÃ´te dâ€™Ivoire</v>
          </cell>
        </row>
        <row r="72">
          <cell r="A72" t="str">
            <v>Cameroon</v>
          </cell>
        </row>
        <row r="73">
          <cell r="A73" t="str">
            <v>Congo - Kinshasa</v>
          </cell>
        </row>
        <row r="74">
          <cell r="A74" t="str">
            <v>Congo - Brazzaville</v>
          </cell>
        </row>
        <row r="75">
          <cell r="A75" t="str">
            <v>Cook Islands</v>
          </cell>
        </row>
        <row r="76">
          <cell r="A76" t="str">
            <v>Colombia</v>
          </cell>
        </row>
        <row r="77">
          <cell r="A77" t="str">
            <v>Comoros</v>
          </cell>
        </row>
        <row r="78">
          <cell r="A78" t="str">
            <v>Cape Verde</v>
          </cell>
        </row>
        <row r="79">
          <cell r="A79" t="str">
            <v>Costa Rica</v>
          </cell>
        </row>
        <row r="80">
          <cell r="A80" t="str">
            <v>Cuba</v>
          </cell>
        </row>
        <row r="81">
          <cell r="A81" t="str">
            <v>CuraÃ§ao</v>
          </cell>
        </row>
        <row r="82">
          <cell r="A82" t="str">
            <v>Christmas Island</v>
          </cell>
        </row>
        <row r="83">
          <cell r="A83" t="str">
            <v>Cayman Islands</v>
          </cell>
        </row>
        <row r="84">
          <cell r="A84" t="str">
            <v>Djibouti</v>
          </cell>
        </row>
        <row r="85">
          <cell r="A85" t="str">
            <v>Dominica</v>
          </cell>
        </row>
        <row r="86">
          <cell r="A86" t="str">
            <v>Denmark</v>
          </cell>
        </row>
        <row r="87">
          <cell r="A87" t="str">
            <v>Dominican Republic</v>
          </cell>
        </row>
        <row r="88">
          <cell r="A88" t="str">
            <v>Algeria</v>
          </cell>
        </row>
        <row r="89">
          <cell r="A89" t="str">
            <v>Ecuador</v>
          </cell>
        </row>
        <row r="90">
          <cell r="A90" t="str">
            <v>Eritrea</v>
          </cell>
        </row>
        <row r="91">
          <cell r="A91" t="str">
            <v>Western Sahara</v>
          </cell>
        </row>
        <row r="92">
          <cell r="A92" t="str">
            <v>Spain</v>
          </cell>
        </row>
        <row r="93">
          <cell r="A93" t="str">
            <v>Finland</v>
          </cell>
        </row>
        <row r="94">
          <cell r="A94" t="str">
            <v>Fiji</v>
          </cell>
        </row>
        <row r="95">
          <cell r="A95" t="str">
            <v>Falkland Islands (Islas Malvinas)</v>
          </cell>
        </row>
        <row r="96">
          <cell r="A96" t="str">
            <v>France</v>
          </cell>
        </row>
        <row r="97">
          <cell r="A97" t="str">
            <v>Faroe Islands</v>
          </cell>
        </row>
        <row r="98">
          <cell r="A98" t="str">
            <v>Micronesia</v>
          </cell>
        </row>
        <row r="99">
          <cell r="A99" t="str">
            <v>Gabon</v>
          </cell>
        </row>
        <row r="100">
          <cell r="A100" t="str">
            <v>Georgia</v>
          </cell>
        </row>
        <row r="101">
          <cell r="A101" t="str">
            <v>Guernsey</v>
          </cell>
        </row>
        <row r="102">
          <cell r="A102" t="str">
            <v>Ghana</v>
          </cell>
        </row>
        <row r="103">
          <cell r="A103" t="str">
            <v>Gibraltar</v>
          </cell>
        </row>
        <row r="104">
          <cell r="A104" t="str">
            <v>Guinea</v>
          </cell>
        </row>
        <row r="105">
          <cell r="A105" t="str">
            <v>Guadeloupe</v>
          </cell>
        </row>
        <row r="106">
          <cell r="A106" t="str">
            <v>Gambia</v>
          </cell>
        </row>
        <row r="107">
          <cell r="A107" t="str">
            <v>Guinea-Bissau</v>
          </cell>
        </row>
        <row r="108">
          <cell r="A108" t="str">
            <v>Equatorial Guinea</v>
          </cell>
        </row>
        <row r="109">
          <cell r="A109" t="str">
            <v>Grenada</v>
          </cell>
        </row>
        <row r="110">
          <cell r="A110" t="str">
            <v>Greenland</v>
          </cell>
        </row>
        <row r="111">
          <cell r="A111" t="str">
            <v>Guatemala</v>
          </cell>
        </row>
        <row r="112">
          <cell r="A112" t="str">
            <v>French Guiana</v>
          </cell>
        </row>
        <row r="113">
          <cell r="A113" t="str">
            <v>Guam</v>
          </cell>
        </row>
        <row r="114">
          <cell r="A114" t="str">
            <v>Guyana</v>
          </cell>
        </row>
        <row r="115">
          <cell r="A115" t="str">
            <v>Hong Kong</v>
          </cell>
        </row>
        <row r="116">
          <cell r="A116" t="str">
            <v>Heard &amp; McDonald Islands</v>
          </cell>
        </row>
        <row r="117">
          <cell r="A117" t="str">
            <v>Honduras</v>
          </cell>
        </row>
        <row r="118">
          <cell r="A118" t="str">
            <v>Croatia</v>
          </cell>
        </row>
        <row r="119">
          <cell r="A119" t="str">
            <v>Haiti</v>
          </cell>
        </row>
        <row r="120">
          <cell r="A120" t="str">
            <v>Hungary</v>
          </cell>
        </row>
        <row r="121">
          <cell r="A121" t="str">
            <v>Indonesia</v>
          </cell>
        </row>
        <row r="122">
          <cell r="A122" t="str">
            <v>Isle of Man</v>
          </cell>
        </row>
        <row r="123">
          <cell r="A123" t="str">
            <v>British Indian Ocean Territory</v>
          </cell>
        </row>
        <row r="124">
          <cell r="A124" t="str">
            <v>Ireland</v>
          </cell>
        </row>
        <row r="125">
          <cell r="A125" t="str">
            <v>Iran</v>
          </cell>
        </row>
        <row r="126">
          <cell r="A126" t="str">
            <v>Iraq</v>
          </cell>
        </row>
        <row r="127">
          <cell r="A127" t="str">
            <v>Iceland</v>
          </cell>
        </row>
        <row r="128">
          <cell r="A128" t="str">
            <v>Israel</v>
          </cell>
        </row>
        <row r="129">
          <cell r="A129" t="str">
            <v>Jamaica</v>
          </cell>
        </row>
        <row r="130">
          <cell r="A130" t="str">
            <v>Jersey</v>
          </cell>
        </row>
        <row r="131">
          <cell r="A131" t="str">
            <v>Japan</v>
          </cell>
        </row>
        <row r="132">
          <cell r="A132" t="str">
            <v>Kazakhstan</v>
          </cell>
        </row>
        <row r="133">
          <cell r="A133" t="str">
            <v>Kenya</v>
          </cell>
        </row>
        <row r="134">
          <cell r="A134" t="str">
            <v>Kyrgyzstan</v>
          </cell>
        </row>
        <row r="135">
          <cell r="A135" t="str">
            <v>Cambodia</v>
          </cell>
        </row>
        <row r="136">
          <cell r="A136" t="str">
            <v>Kiribati</v>
          </cell>
        </row>
        <row r="137">
          <cell r="A137" t="str">
            <v>St. Kitts &amp; Nevis</v>
          </cell>
        </row>
        <row r="138">
          <cell r="A138" t="str">
            <v>Kuwait</v>
          </cell>
        </row>
        <row r="139">
          <cell r="A139" t="str">
            <v>Laos</v>
          </cell>
        </row>
        <row r="140">
          <cell r="A140" t="str">
            <v>Lebanon</v>
          </cell>
        </row>
        <row r="141">
          <cell r="A141" t="str">
            <v>Liberia</v>
          </cell>
        </row>
        <row r="142">
          <cell r="A142" t="str">
            <v>Libya</v>
          </cell>
        </row>
        <row r="143">
          <cell r="A143" t="str">
            <v>St. Lucia</v>
          </cell>
        </row>
        <row r="144">
          <cell r="A144" t="str">
            <v>Liechtenstein</v>
          </cell>
        </row>
        <row r="145">
          <cell r="A145" t="str">
            <v>Sri Lanka</v>
          </cell>
        </row>
        <row r="146">
          <cell r="A146" t="str">
            <v>Lesotho</v>
          </cell>
        </row>
        <row r="147">
          <cell r="A147" t="str">
            <v>Lithuania</v>
          </cell>
        </row>
        <row r="148">
          <cell r="A148" t="str">
            <v>Luxembourg</v>
          </cell>
        </row>
        <row r="149">
          <cell r="A149" t="str">
            <v>Latvia</v>
          </cell>
        </row>
        <row r="150">
          <cell r="A150" t="str">
            <v>Macao</v>
          </cell>
        </row>
        <row r="151">
          <cell r="A151" t="str">
            <v>St. Martin</v>
          </cell>
        </row>
        <row r="152">
          <cell r="A152" t="str">
            <v>Morocco</v>
          </cell>
        </row>
        <row r="153">
          <cell r="A153" t="str">
            <v>Monaco</v>
          </cell>
        </row>
        <row r="154">
          <cell r="A154" t="str">
            <v>Moldova</v>
          </cell>
        </row>
        <row r="155">
          <cell r="A155" t="str">
            <v>Madagascar</v>
          </cell>
        </row>
        <row r="156">
          <cell r="A156" t="str">
            <v>Maldives</v>
          </cell>
        </row>
        <row r="157">
          <cell r="A157" t="str">
            <v>Mexico</v>
          </cell>
        </row>
        <row r="158">
          <cell r="A158" t="str">
            <v>Marshall Islands</v>
          </cell>
        </row>
        <row r="159">
          <cell r="A159" t="str">
            <v>North Macedonia</v>
          </cell>
        </row>
        <row r="160">
          <cell r="A160" t="str">
            <v>Mali</v>
          </cell>
        </row>
        <row r="161">
          <cell r="A161" t="str">
            <v>Malta</v>
          </cell>
        </row>
        <row r="162">
          <cell r="A162" t="str">
            <v>Myanmar (Burma)</v>
          </cell>
        </row>
        <row r="163">
          <cell r="A163" t="str">
            <v>Montenegro</v>
          </cell>
        </row>
        <row r="164">
          <cell r="A164" t="str">
            <v>Mongolia</v>
          </cell>
        </row>
        <row r="165">
          <cell r="A165" t="str">
            <v>Northern Mariana Islands</v>
          </cell>
        </row>
        <row r="166">
          <cell r="A166" t="str">
            <v>Mozambique</v>
          </cell>
        </row>
        <row r="167">
          <cell r="A167" t="str">
            <v>Mauritania</v>
          </cell>
        </row>
        <row r="168">
          <cell r="A168" t="str">
            <v>Montserrat</v>
          </cell>
        </row>
        <row r="169">
          <cell r="A169" t="str">
            <v>Martinique</v>
          </cell>
        </row>
        <row r="170">
          <cell r="A170" t="str">
            <v>Mauritius</v>
          </cell>
        </row>
        <row r="171">
          <cell r="A171" t="str">
            <v>Malawi</v>
          </cell>
        </row>
        <row r="172">
          <cell r="A172" t="str">
            <v>Malaysia</v>
          </cell>
        </row>
        <row r="173">
          <cell r="A173" t="str">
            <v>Mayotte</v>
          </cell>
        </row>
        <row r="174">
          <cell r="A174" t="str">
            <v>Namibia</v>
          </cell>
        </row>
        <row r="175">
          <cell r="A175" t="str">
            <v>New Caledonia</v>
          </cell>
        </row>
        <row r="176">
          <cell r="A176" t="str">
            <v>Niger</v>
          </cell>
        </row>
        <row r="177">
          <cell r="A177" t="str">
            <v>Norfolk Island</v>
          </cell>
        </row>
        <row r="178">
          <cell r="A178" t="str">
            <v>Nigeria</v>
          </cell>
        </row>
        <row r="179">
          <cell r="A179" t="str">
            <v>Nicaragua</v>
          </cell>
        </row>
        <row r="180">
          <cell r="A180" t="str">
            <v>Niue</v>
          </cell>
        </row>
        <row r="181">
          <cell r="A181" t="str">
            <v>Netherlands</v>
          </cell>
        </row>
        <row r="182">
          <cell r="A182" t="str">
            <v>Nepal</v>
          </cell>
        </row>
        <row r="183">
          <cell r="A183" t="str">
            <v>Nauru</v>
          </cell>
        </row>
        <row r="184">
          <cell r="A184" t="str">
            <v>New Zealand</v>
          </cell>
        </row>
        <row r="185">
          <cell r="A185" t="str">
            <v>Oman</v>
          </cell>
        </row>
        <row r="186">
          <cell r="A186" t="str">
            <v>Panama</v>
          </cell>
        </row>
        <row r="187">
          <cell r="A187" t="str">
            <v>Pitcairn Islands</v>
          </cell>
        </row>
        <row r="188">
          <cell r="A188" t="str">
            <v>Philippines</v>
          </cell>
        </row>
        <row r="189">
          <cell r="A189" t="str">
            <v>Palau</v>
          </cell>
        </row>
        <row r="190">
          <cell r="A190" t="str">
            <v>Papua New Guinea</v>
          </cell>
        </row>
        <row r="191">
          <cell r="A191" t="str">
            <v>Poland</v>
          </cell>
        </row>
        <row r="192">
          <cell r="A192" t="str">
            <v>Puerto Rico</v>
          </cell>
        </row>
        <row r="193">
          <cell r="A193" t="str">
            <v>North Korea</v>
          </cell>
        </row>
        <row r="194">
          <cell r="A194" t="str">
            <v>Paraguay</v>
          </cell>
        </row>
        <row r="195">
          <cell r="A195" t="str">
            <v>Palestine</v>
          </cell>
        </row>
        <row r="196">
          <cell r="A196" t="str">
            <v>French Polynesia</v>
          </cell>
        </row>
        <row r="197">
          <cell r="A197" t="str">
            <v>Qatar</v>
          </cell>
        </row>
        <row r="198">
          <cell r="A198" t="str">
            <v>RÃ©union</v>
          </cell>
        </row>
        <row r="199">
          <cell r="A199" t="str">
            <v>Romania</v>
          </cell>
        </row>
        <row r="200">
          <cell r="A200" t="str">
            <v>Rwanda</v>
          </cell>
        </row>
        <row r="201">
          <cell r="A201" t="str">
            <v>Senegal</v>
          </cell>
        </row>
        <row r="202">
          <cell r="A202" t="str">
            <v>Singapore</v>
          </cell>
        </row>
        <row r="203">
          <cell r="A203" t="str">
            <v>South Georgia &amp; South Sandwich Islands</v>
          </cell>
        </row>
        <row r="204">
          <cell r="A204" t="str">
            <v>St. Helena</v>
          </cell>
        </row>
        <row r="205">
          <cell r="A205" t="str">
            <v>Svalbard &amp; Jan Mayen</v>
          </cell>
        </row>
        <row r="206">
          <cell r="A206" t="str">
            <v>Solomon Islands</v>
          </cell>
        </row>
        <row r="207">
          <cell r="A207" t="str">
            <v>Sierra Leone</v>
          </cell>
        </row>
        <row r="208">
          <cell r="A208" t="str">
            <v>El Salvador</v>
          </cell>
        </row>
        <row r="209">
          <cell r="A209" t="str">
            <v>San Marino</v>
          </cell>
        </row>
        <row r="210">
          <cell r="A210" t="str">
            <v>Somalia</v>
          </cell>
        </row>
        <row r="211">
          <cell r="A211" t="str">
            <v>St. Pierre &amp; Miquelon</v>
          </cell>
        </row>
        <row r="212">
          <cell r="A212" t="str">
            <v>Serbia</v>
          </cell>
        </row>
        <row r="213">
          <cell r="A213" t="str">
            <v>South Sudan</v>
          </cell>
        </row>
        <row r="214">
          <cell r="A214" t="str">
            <v>SÃ£o TomÃ© &amp; PrÃ­ncipe</v>
          </cell>
        </row>
        <row r="215">
          <cell r="A215" t="str">
            <v>Suriname</v>
          </cell>
        </row>
        <row r="216">
          <cell r="A216" t="str">
            <v>Slovakia</v>
          </cell>
        </row>
        <row r="217">
          <cell r="A217" t="str">
            <v>Slovenia</v>
          </cell>
        </row>
        <row r="218">
          <cell r="A218" t="str">
            <v>Sweden</v>
          </cell>
        </row>
        <row r="219">
          <cell r="A219" t="str">
            <v>Eswatini</v>
          </cell>
        </row>
        <row r="220">
          <cell r="A220" t="str">
            <v>Sint Maarten</v>
          </cell>
        </row>
        <row r="221">
          <cell r="A221" t="str">
            <v>Seychelles</v>
          </cell>
        </row>
        <row r="222">
          <cell r="A222" t="str">
            <v>Syria</v>
          </cell>
        </row>
        <row r="223">
          <cell r="A223" t="str">
            <v>Turks &amp; Caicos Islands</v>
          </cell>
        </row>
        <row r="224">
          <cell r="A224" t="str">
            <v>Chad</v>
          </cell>
        </row>
        <row r="225">
          <cell r="A225" t="str">
            <v>Togo</v>
          </cell>
        </row>
        <row r="226">
          <cell r="A226" t="str">
            <v>Tajikistan</v>
          </cell>
        </row>
        <row r="227">
          <cell r="A227" t="str">
            <v>Tokelau</v>
          </cell>
        </row>
        <row r="228">
          <cell r="A228" t="str">
            <v>Turkmenistan</v>
          </cell>
        </row>
        <row r="229">
          <cell r="A229" t="str">
            <v>Timor-Leste</v>
          </cell>
        </row>
        <row r="230">
          <cell r="A230" t="str">
            <v>Tonga</v>
          </cell>
        </row>
        <row r="231">
          <cell r="A231" t="str">
            <v>Trinidad &amp; Tobago</v>
          </cell>
        </row>
        <row r="232">
          <cell r="A232" t="str">
            <v>Tunisia</v>
          </cell>
        </row>
        <row r="233">
          <cell r="A233" t="str">
            <v>Tuvalu</v>
          </cell>
        </row>
        <row r="234">
          <cell r="A234" t="str">
            <v>Tanzania</v>
          </cell>
        </row>
        <row r="235">
          <cell r="A235" t="str">
            <v>Uganda</v>
          </cell>
        </row>
        <row r="236">
          <cell r="A236" t="str">
            <v>Ukraine</v>
          </cell>
        </row>
        <row r="237">
          <cell r="A237" t="str">
            <v>U.S. Outlying Islands</v>
          </cell>
        </row>
        <row r="238">
          <cell r="A238" t="str">
            <v>Uruguay</v>
          </cell>
        </row>
        <row r="239">
          <cell r="A239" t="str">
            <v>Uzbekistan</v>
          </cell>
        </row>
        <row r="240">
          <cell r="A240" t="str">
            <v>Vatican City</v>
          </cell>
        </row>
        <row r="241">
          <cell r="A241" t="str">
            <v>St. Vincent &amp; Grenadines</v>
          </cell>
        </row>
        <row r="242">
          <cell r="A242" t="str">
            <v>Venezuela</v>
          </cell>
        </row>
        <row r="243">
          <cell r="A243" t="str">
            <v>British Virgin Islands</v>
          </cell>
        </row>
        <row r="244">
          <cell r="A244" t="str">
            <v>U.S. Virgin Islands</v>
          </cell>
        </row>
        <row r="245">
          <cell r="A245" t="str">
            <v>Vietnam</v>
          </cell>
        </row>
        <row r="246">
          <cell r="A246" t="str">
            <v>Vanuatu</v>
          </cell>
        </row>
        <row r="247">
          <cell r="A247" t="str">
            <v>Wallis &amp; Futuna</v>
          </cell>
        </row>
        <row r="248">
          <cell r="A248" t="str">
            <v>Samoa</v>
          </cell>
        </row>
        <row r="249">
          <cell r="A249" t="str">
            <v>Kosovo</v>
          </cell>
        </row>
        <row r="250">
          <cell r="A250" t="str">
            <v>Yemen</v>
          </cell>
        </row>
        <row r="251">
          <cell r="A251" t="str">
            <v>South Africa</v>
          </cell>
        </row>
        <row r="252">
          <cell r="A252" t="str">
            <v>Zambia</v>
          </cell>
        </row>
        <row r="253">
          <cell r="A253" t="str">
            <v>Zimbabwe</v>
          </cell>
        </row>
      </sheetData>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61)"/>
    </sheetNames>
    <sheetDataSet>
      <sheetData sheetId="0" refreshError="1">
        <row r="1">
          <cell r="A1" t="str">
            <v>Kategori: TÃ¼m kategoriler</v>
          </cell>
        </row>
        <row r="3">
          <cell r="A3" t="str">
            <v>Ãœlke</v>
          </cell>
          <cell r="B3" t="str">
            <v>Post Correspondence Problemi: (2018)</v>
          </cell>
          <cell r="C3" t="str">
            <v>Ã‡okterimli zamanda indirgeme: (2018)</v>
          </cell>
        </row>
        <row r="4">
          <cell r="A4" t="str">
            <v>India</v>
          </cell>
          <cell r="B4">
            <v>0.81</v>
          </cell>
          <cell r="C4">
            <v>0.19</v>
          </cell>
        </row>
        <row r="5">
          <cell r="A5" t="str">
            <v>Pakistan</v>
          </cell>
          <cell r="B5">
            <v>1</v>
          </cell>
        </row>
        <row r="6">
          <cell r="A6" t="str">
            <v>Germany</v>
          </cell>
          <cell r="B6">
            <v>0.61</v>
          </cell>
          <cell r="C6">
            <v>0.39</v>
          </cell>
        </row>
        <row r="7">
          <cell r="A7" t="str">
            <v>Canada</v>
          </cell>
          <cell r="B7">
            <v>0.28000000000000003</v>
          </cell>
          <cell r="C7">
            <v>0.72</v>
          </cell>
        </row>
        <row r="8">
          <cell r="A8" t="str">
            <v>United States</v>
          </cell>
          <cell r="B8">
            <v>0.35</v>
          </cell>
          <cell r="C8">
            <v>0.65</v>
          </cell>
        </row>
        <row r="9">
          <cell r="A9" t="str">
            <v>Japan</v>
          </cell>
          <cell r="C9">
            <v>1</v>
          </cell>
        </row>
        <row r="10">
          <cell r="A10" t="str">
            <v>Australia</v>
          </cell>
          <cell r="C10">
            <v>1</v>
          </cell>
        </row>
        <row r="11">
          <cell r="A11" t="str">
            <v>United Kingdom</v>
          </cell>
          <cell r="B11">
            <v>0.28000000000000003</v>
          </cell>
          <cell r="C11">
            <v>0.72</v>
          </cell>
        </row>
        <row r="12">
          <cell r="A12" t="str">
            <v>Congo - Kinshasa</v>
          </cell>
        </row>
        <row r="13">
          <cell r="A13" t="str">
            <v>China</v>
          </cell>
        </row>
        <row r="14">
          <cell r="A14" t="str">
            <v>Estonia</v>
          </cell>
        </row>
        <row r="15">
          <cell r="A15" t="str">
            <v>Georgia</v>
          </cell>
        </row>
        <row r="16">
          <cell r="A16" t="str">
            <v>Croatia</v>
          </cell>
        </row>
        <row r="17">
          <cell r="A17" t="str">
            <v>Slovakia</v>
          </cell>
        </row>
        <row r="18">
          <cell r="A18" t="str">
            <v>Czechia</v>
          </cell>
        </row>
        <row r="19">
          <cell r="A19" t="str">
            <v>Belarus</v>
          </cell>
        </row>
        <row r="20">
          <cell r="A20" t="str">
            <v>Bangladesh</v>
          </cell>
        </row>
        <row r="21">
          <cell r="A21" t="str">
            <v>Chile</v>
          </cell>
        </row>
        <row r="22">
          <cell r="A22" t="str">
            <v>Norway</v>
          </cell>
        </row>
        <row r="23">
          <cell r="A23" t="str">
            <v>Singapore</v>
          </cell>
        </row>
        <row r="24">
          <cell r="A24" t="str">
            <v>Finland</v>
          </cell>
        </row>
        <row r="25">
          <cell r="A25" t="str">
            <v>Hungary</v>
          </cell>
        </row>
        <row r="26">
          <cell r="A26" t="str">
            <v>Austria</v>
          </cell>
        </row>
        <row r="27">
          <cell r="A27" t="str">
            <v>Switzerland</v>
          </cell>
        </row>
        <row r="28">
          <cell r="A28" t="str">
            <v>South Korea</v>
          </cell>
        </row>
        <row r="29">
          <cell r="A29" t="str">
            <v>Philippines</v>
          </cell>
        </row>
        <row r="30">
          <cell r="A30" t="str">
            <v>Poland</v>
          </cell>
        </row>
        <row r="31">
          <cell r="A31" t="str">
            <v>Netherlands</v>
          </cell>
        </row>
        <row r="32">
          <cell r="A32" t="str">
            <v>Argentina</v>
          </cell>
        </row>
        <row r="33">
          <cell r="A33" t="str">
            <v>Brazil</v>
          </cell>
        </row>
        <row r="34">
          <cell r="A34" t="str">
            <v>Spain</v>
          </cell>
        </row>
        <row r="35">
          <cell r="A35" t="str">
            <v>Turkey</v>
          </cell>
        </row>
        <row r="36">
          <cell r="A36" t="str">
            <v>France</v>
          </cell>
        </row>
        <row r="37">
          <cell r="A37" t="str">
            <v>Aruba</v>
          </cell>
        </row>
        <row r="38">
          <cell r="A38" t="str">
            <v>Afghanistan</v>
          </cell>
        </row>
        <row r="39">
          <cell r="A39" t="str">
            <v>Angola</v>
          </cell>
        </row>
        <row r="40">
          <cell r="A40" t="str">
            <v>Anguilla</v>
          </cell>
        </row>
        <row r="41">
          <cell r="A41" t="str">
            <v>Ã…land Islands</v>
          </cell>
        </row>
        <row r="42">
          <cell r="A42" t="str">
            <v>Albania</v>
          </cell>
        </row>
        <row r="43">
          <cell r="A43" t="str">
            <v>Andorra</v>
          </cell>
        </row>
        <row r="44">
          <cell r="A44" t="str">
            <v>United Arab Emirates</v>
          </cell>
        </row>
        <row r="45">
          <cell r="A45" t="str">
            <v>Armenia</v>
          </cell>
        </row>
        <row r="46">
          <cell r="A46" t="str">
            <v>American Samoa</v>
          </cell>
        </row>
        <row r="47">
          <cell r="A47" t="str">
            <v>Antarctica</v>
          </cell>
        </row>
        <row r="48">
          <cell r="A48" t="str">
            <v>French Southern Territories</v>
          </cell>
        </row>
        <row r="49">
          <cell r="A49" t="str">
            <v>Antigua &amp; Barbuda</v>
          </cell>
        </row>
        <row r="50">
          <cell r="A50" t="str">
            <v>Azerbaijan</v>
          </cell>
        </row>
        <row r="51">
          <cell r="A51" t="str">
            <v>Burundi</v>
          </cell>
        </row>
        <row r="52">
          <cell r="A52" t="str">
            <v>Belgium</v>
          </cell>
        </row>
        <row r="53">
          <cell r="A53" t="str">
            <v>Benin</v>
          </cell>
        </row>
        <row r="54">
          <cell r="A54" t="str">
            <v>Caribbean Netherlands</v>
          </cell>
        </row>
        <row r="55">
          <cell r="A55" t="str">
            <v>Burkina Faso</v>
          </cell>
        </row>
        <row r="56">
          <cell r="A56" t="str">
            <v>Bulgaria</v>
          </cell>
        </row>
        <row r="57">
          <cell r="A57" t="str">
            <v>Bahrain</v>
          </cell>
        </row>
        <row r="58">
          <cell r="A58" t="str">
            <v>Bahamas</v>
          </cell>
        </row>
        <row r="59">
          <cell r="A59" t="str">
            <v>Bosnia &amp; Herzegovina</v>
          </cell>
        </row>
        <row r="60">
          <cell r="A60" t="str">
            <v>St. BarthÃ©lemy</v>
          </cell>
        </row>
        <row r="61">
          <cell r="A61" t="str">
            <v>Belize</v>
          </cell>
        </row>
        <row r="62">
          <cell r="A62" t="str">
            <v>Bermuda</v>
          </cell>
        </row>
        <row r="63">
          <cell r="A63" t="str">
            <v>Bolivia</v>
          </cell>
        </row>
        <row r="64">
          <cell r="A64" t="str">
            <v>Barbados</v>
          </cell>
        </row>
        <row r="65">
          <cell r="A65" t="str">
            <v>Brunei</v>
          </cell>
        </row>
        <row r="66">
          <cell r="A66" t="str">
            <v>Bhutan</v>
          </cell>
        </row>
        <row r="67">
          <cell r="A67" t="str">
            <v>Bouvet Island</v>
          </cell>
        </row>
        <row r="68">
          <cell r="A68" t="str">
            <v>Botswana</v>
          </cell>
        </row>
        <row r="69">
          <cell r="A69" t="str">
            <v>Central African Republic</v>
          </cell>
        </row>
        <row r="70">
          <cell r="A70" t="str">
            <v>Cocos (Keeling) Islands</v>
          </cell>
        </row>
        <row r="71">
          <cell r="A71" t="str">
            <v>CÃ´te dâ€™Ivoire</v>
          </cell>
        </row>
        <row r="72">
          <cell r="A72" t="str">
            <v>Cameroon</v>
          </cell>
        </row>
        <row r="73">
          <cell r="A73" t="str">
            <v>Congo - Brazzaville</v>
          </cell>
        </row>
        <row r="74">
          <cell r="A74" t="str">
            <v>Cook Islands</v>
          </cell>
        </row>
        <row r="75">
          <cell r="A75" t="str">
            <v>Colombia</v>
          </cell>
        </row>
        <row r="76">
          <cell r="A76" t="str">
            <v>Comoros</v>
          </cell>
        </row>
        <row r="77">
          <cell r="A77" t="str">
            <v>Cape Verde</v>
          </cell>
        </row>
        <row r="78">
          <cell r="A78" t="str">
            <v>Costa Rica</v>
          </cell>
        </row>
        <row r="79">
          <cell r="A79" t="str">
            <v>Cuba</v>
          </cell>
        </row>
        <row r="80">
          <cell r="A80" t="str">
            <v>CuraÃ§ao</v>
          </cell>
        </row>
        <row r="81">
          <cell r="A81" t="str">
            <v>Christmas Island</v>
          </cell>
        </row>
        <row r="82">
          <cell r="A82" t="str">
            <v>Cayman Islands</v>
          </cell>
        </row>
        <row r="83">
          <cell r="A83" t="str">
            <v>Cyprus</v>
          </cell>
        </row>
        <row r="84">
          <cell r="A84" t="str">
            <v>Djibouti</v>
          </cell>
        </row>
        <row r="85">
          <cell r="A85" t="str">
            <v>Dominica</v>
          </cell>
        </row>
        <row r="86">
          <cell r="A86" t="str">
            <v>Denmark</v>
          </cell>
        </row>
        <row r="87">
          <cell r="A87" t="str">
            <v>Dominican Republic</v>
          </cell>
        </row>
        <row r="88">
          <cell r="A88" t="str">
            <v>Algeria</v>
          </cell>
        </row>
        <row r="89">
          <cell r="A89" t="str">
            <v>Ecuador</v>
          </cell>
        </row>
        <row r="90">
          <cell r="A90" t="str">
            <v>Egypt</v>
          </cell>
        </row>
        <row r="91">
          <cell r="A91" t="str">
            <v>Eritrea</v>
          </cell>
        </row>
        <row r="92">
          <cell r="A92" t="str">
            <v>Western Sahara</v>
          </cell>
        </row>
        <row r="93">
          <cell r="A93" t="str">
            <v>Ethiopia</v>
          </cell>
        </row>
        <row r="94">
          <cell r="A94" t="str">
            <v>Fiji</v>
          </cell>
        </row>
        <row r="95">
          <cell r="A95" t="str">
            <v>Falkland Islands (Islas Malvinas)</v>
          </cell>
        </row>
        <row r="96">
          <cell r="A96" t="str">
            <v>Faroe Islands</v>
          </cell>
        </row>
        <row r="97">
          <cell r="A97" t="str">
            <v>Micronesia</v>
          </cell>
        </row>
        <row r="98">
          <cell r="A98" t="str">
            <v>Gabon</v>
          </cell>
        </row>
        <row r="99">
          <cell r="A99" t="str">
            <v>Guernsey</v>
          </cell>
        </row>
        <row r="100">
          <cell r="A100" t="str">
            <v>Ghana</v>
          </cell>
        </row>
        <row r="101">
          <cell r="A101" t="str">
            <v>Gibraltar</v>
          </cell>
        </row>
        <row r="102">
          <cell r="A102" t="str">
            <v>Guinea</v>
          </cell>
        </row>
        <row r="103">
          <cell r="A103" t="str">
            <v>Guadeloupe</v>
          </cell>
        </row>
        <row r="104">
          <cell r="A104" t="str">
            <v>Gambia</v>
          </cell>
        </row>
        <row r="105">
          <cell r="A105" t="str">
            <v>Guinea-Bissau</v>
          </cell>
        </row>
        <row r="106">
          <cell r="A106" t="str">
            <v>Equatorial Guinea</v>
          </cell>
        </row>
        <row r="107">
          <cell r="A107" t="str">
            <v>Greece</v>
          </cell>
        </row>
        <row r="108">
          <cell r="A108" t="str">
            <v>Grenada</v>
          </cell>
        </row>
        <row r="109">
          <cell r="A109" t="str">
            <v>Greenland</v>
          </cell>
        </row>
        <row r="110">
          <cell r="A110" t="str">
            <v>Guatemala</v>
          </cell>
        </row>
        <row r="111">
          <cell r="A111" t="str">
            <v>French Guiana</v>
          </cell>
        </row>
        <row r="112">
          <cell r="A112" t="str">
            <v>Guam</v>
          </cell>
        </row>
        <row r="113">
          <cell r="A113" t="str">
            <v>Guyana</v>
          </cell>
        </row>
        <row r="114">
          <cell r="A114" t="str">
            <v>Hong Kong</v>
          </cell>
        </row>
        <row r="115">
          <cell r="A115" t="str">
            <v>Heard &amp; McDonald Islands</v>
          </cell>
        </row>
        <row r="116">
          <cell r="A116" t="str">
            <v>Honduras</v>
          </cell>
        </row>
        <row r="117">
          <cell r="A117" t="str">
            <v>Haiti</v>
          </cell>
        </row>
        <row r="118">
          <cell r="A118" t="str">
            <v>Indonesia</v>
          </cell>
        </row>
        <row r="119">
          <cell r="A119" t="str">
            <v>Isle of Man</v>
          </cell>
        </row>
        <row r="120">
          <cell r="A120" t="str">
            <v>British Indian Ocean Territory</v>
          </cell>
        </row>
        <row r="121">
          <cell r="A121" t="str">
            <v>Ireland</v>
          </cell>
        </row>
        <row r="122">
          <cell r="A122" t="str">
            <v>Iran</v>
          </cell>
        </row>
        <row r="123">
          <cell r="A123" t="str">
            <v>Iraq</v>
          </cell>
        </row>
        <row r="124">
          <cell r="A124" t="str">
            <v>Iceland</v>
          </cell>
        </row>
        <row r="125">
          <cell r="A125" t="str">
            <v>Israel</v>
          </cell>
        </row>
        <row r="126">
          <cell r="A126" t="str">
            <v>Italy</v>
          </cell>
        </row>
        <row r="127">
          <cell r="A127" t="str">
            <v>Jamaica</v>
          </cell>
        </row>
        <row r="128">
          <cell r="A128" t="str">
            <v>Jersey</v>
          </cell>
        </row>
        <row r="129">
          <cell r="A129" t="str">
            <v>Jordan</v>
          </cell>
        </row>
        <row r="130">
          <cell r="A130" t="str">
            <v>Kazakhstan</v>
          </cell>
        </row>
        <row r="131">
          <cell r="A131" t="str">
            <v>Kenya</v>
          </cell>
        </row>
        <row r="132">
          <cell r="A132" t="str">
            <v>Kyrgyzstan</v>
          </cell>
        </row>
        <row r="133">
          <cell r="A133" t="str">
            <v>Cambodia</v>
          </cell>
        </row>
        <row r="134">
          <cell r="A134" t="str">
            <v>Kiribati</v>
          </cell>
        </row>
        <row r="135">
          <cell r="A135" t="str">
            <v>St. Kitts &amp; Nevis</v>
          </cell>
        </row>
        <row r="136">
          <cell r="A136" t="str">
            <v>Kuwait</v>
          </cell>
        </row>
        <row r="137">
          <cell r="A137" t="str">
            <v>Laos</v>
          </cell>
        </row>
        <row r="138">
          <cell r="A138" t="str">
            <v>Lebanon</v>
          </cell>
        </row>
        <row r="139">
          <cell r="A139" t="str">
            <v>Liberia</v>
          </cell>
        </row>
        <row r="140">
          <cell r="A140" t="str">
            <v>Libya</v>
          </cell>
        </row>
        <row r="141">
          <cell r="A141" t="str">
            <v>St. Lucia</v>
          </cell>
        </row>
        <row r="142">
          <cell r="A142" t="str">
            <v>Liechtenstein</v>
          </cell>
        </row>
        <row r="143">
          <cell r="A143" t="str">
            <v>Sri Lanka</v>
          </cell>
        </row>
        <row r="144">
          <cell r="A144" t="str">
            <v>Lesotho</v>
          </cell>
        </row>
        <row r="145">
          <cell r="A145" t="str">
            <v>Lithuania</v>
          </cell>
        </row>
        <row r="146">
          <cell r="A146" t="str">
            <v>Luxembourg</v>
          </cell>
        </row>
        <row r="147">
          <cell r="A147" t="str">
            <v>Latvia</v>
          </cell>
        </row>
        <row r="148">
          <cell r="A148" t="str">
            <v>Macao</v>
          </cell>
        </row>
        <row r="149">
          <cell r="A149" t="str">
            <v>St. Martin</v>
          </cell>
        </row>
        <row r="150">
          <cell r="A150" t="str">
            <v>Morocco</v>
          </cell>
        </row>
        <row r="151">
          <cell r="A151" t="str">
            <v>Monaco</v>
          </cell>
        </row>
        <row r="152">
          <cell r="A152" t="str">
            <v>Moldova</v>
          </cell>
        </row>
        <row r="153">
          <cell r="A153" t="str">
            <v>Madagascar</v>
          </cell>
        </row>
        <row r="154">
          <cell r="A154" t="str">
            <v>Maldives</v>
          </cell>
        </row>
        <row r="155">
          <cell r="A155" t="str">
            <v>Mexico</v>
          </cell>
        </row>
        <row r="156">
          <cell r="A156" t="str">
            <v>Marshall Islands</v>
          </cell>
        </row>
        <row r="157">
          <cell r="A157" t="str">
            <v>North Macedonia</v>
          </cell>
        </row>
        <row r="158">
          <cell r="A158" t="str">
            <v>Mali</v>
          </cell>
        </row>
        <row r="159">
          <cell r="A159" t="str">
            <v>Malta</v>
          </cell>
        </row>
        <row r="160">
          <cell r="A160" t="str">
            <v>Myanmar (Burma)</v>
          </cell>
        </row>
        <row r="161">
          <cell r="A161" t="str">
            <v>Montenegro</v>
          </cell>
        </row>
        <row r="162">
          <cell r="A162" t="str">
            <v>Mongolia</v>
          </cell>
        </row>
        <row r="163">
          <cell r="A163" t="str">
            <v>Northern Mariana Islands</v>
          </cell>
        </row>
        <row r="164">
          <cell r="A164" t="str">
            <v>Mozambique</v>
          </cell>
        </row>
        <row r="165">
          <cell r="A165" t="str">
            <v>Mauritania</v>
          </cell>
        </row>
        <row r="166">
          <cell r="A166" t="str">
            <v>Montserrat</v>
          </cell>
        </row>
        <row r="167">
          <cell r="A167" t="str">
            <v>Martinique</v>
          </cell>
        </row>
        <row r="168">
          <cell r="A168" t="str">
            <v>Mauritius</v>
          </cell>
        </row>
        <row r="169">
          <cell r="A169" t="str">
            <v>Malawi</v>
          </cell>
        </row>
        <row r="170">
          <cell r="A170" t="str">
            <v>Malaysia</v>
          </cell>
        </row>
        <row r="171">
          <cell r="A171" t="str">
            <v>Mayotte</v>
          </cell>
        </row>
        <row r="172">
          <cell r="A172" t="str">
            <v>Namibia</v>
          </cell>
        </row>
        <row r="173">
          <cell r="A173" t="str">
            <v>New Caledonia</v>
          </cell>
        </row>
        <row r="174">
          <cell r="A174" t="str">
            <v>Niger</v>
          </cell>
        </row>
        <row r="175">
          <cell r="A175" t="str">
            <v>Norfolk Island</v>
          </cell>
        </row>
        <row r="176">
          <cell r="A176" t="str">
            <v>Nigeria</v>
          </cell>
        </row>
        <row r="177">
          <cell r="A177" t="str">
            <v>Nicaragua</v>
          </cell>
        </row>
        <row r="178">
          <cell r="A178" t="str">
            <v>Niue</v>
          </cell>
        </row>
        <row r="179">
          <cell r="A179" t="str">
            <v>Nepal</v>
          </cell>
        </row>
        <row r="180">
          <cell r="A180" t="str">
            <v>Nauru</v>
          </cell>
        </row>
        <row r="181">
          <cell r="A181" t="str">
            <v>New Zealand</v>
          </cell>
        </row>
        <row r="182">
          <cell r="A182" t="str">
            <v>Oman</v>
          </cell>
        </row>
        <row r="183">
          <cell r="A183" t="str">
            <v>Panama</v>
          </cell>
        </row>
        <row r="184">
          <cell r="A184" t="str">
            <v>Pitcairn Islands</v>
          </cell>
        </row>
        <row r="185">
          <cell r="A185" t="str">
            <v>Peru</v>
          </cell>
        </row>
        <row r="186">
          <cell r="A186" t="str">
            <v>Palau</v>
          </cell>
        </row>
        <row r="187">
          <cell r="A187" t="str">
            <v>Papua New Guinea</v>
          </cell>
        </row>
        <row r="188">
          <cell r="A188" t="str">
            <v>Puerto Rico</v>
          </cell>
        </row>
        <row r="189">
          <cell r="A189" t="str">
            <v>North Korea</v>
          </cell>
        </row>
        <row r="190">
          <cell r="A190" t="str">
            <v>Portugal</v>
          </cell>
        </row>
        <row r="191">
          <cell r="A191" t="str">
            <v>Paraguay</v>
          </cell>
        </row>
        <row r="192">
          <cell r="A192" t="str">
            <v>Palestine</v>
          </cell>
        </row>
        <row r="193">
          <cell r="A193" t="str">
            <v>French Polynesia</v>
          </cell>
        </row>
        <row r="194">
          <cell r="A194" t="str">
            <v>Qatar</v>
          </cell>
        </row>
        <row r="195">
          <cell r="A195" t="str">
            <v>RÃ©union</v>
          </cell>
        </row>
        <row r="196">
          <cell r="A196" t="str">
            <v>Romania</v>
          </cell>
        </row>
        <row r="197">
          <cell r="A197" t="str">
            <v>Russia</v>
          </cell>
        </row>
        <row r="198">
          <cell r="A198" t="str">
            <v>Rwanda</v>
          </cell>
        </row>
        <row r="199">
          <cell r="A199" t="str">
            <v>Saudi Arabia</v>
          </cell>
        </row>
        <row r="200">
          <cell r="A200" t="str">
            <v>Sudan</v>
          </cell>
        </row>
        <row r="201">
          <cell r="A201" t="str">
            <v>Senegal</v>
          </cell>
        </row>
        <row r="202">
          <cell r="A202" t="str">
            <v>South Georgia &amp; South Sandwich Islands</v>
          </cell>
        </row>
        <row r="203">
          <cell r="A203" t="str">
            <v>St. Helena</v>
          </cell>
        </row>
        <row r="204">
          <cell r="A204" t="str">
            <v>Svalbard &amp; Jan Mayen</v>
          </cell>
        </row>
        <row r="205">
          <cell r="A205" t="str">
            <v>Solomon Islands</v>
          </cell>
        </row>
        <row r="206">
          <cell r="A206" t="str">
            <v>Sierra Leone</v>
          </cell>
        </row>
        <row r="207">
          <cell r="A207" t="str">
            <v>El Salvador</v>
          </cell>
        </row>
        <row r="208">
          <cell r="A208" t="str">
            <v>San Marino</v>
          </cell>
        </row>
        <row r="209">
          <cell r="A209" t="str">
            <v>Somalia</v>
          </cell>
        </row>
        <row r="210">
          <cell r="A210" t="str">
            <v>St. Pierre &amp; Miquelon</v>
          </cell>
        </row>
        <row r="211">
          <cell r="A211" t="str">
            <v>Serbia</v>
          </cell>
        </row>
        <row r="212">
          <cell r="A212" t="str">
            <v>South Sudan</v>
          </cell>
        </row>
        <row r="213">
          <cell r="A213" t="str">
            <v>SÃ£o TomÃ© &amp; PrÃ­ncipe</v>
          </cell>
        </row>
        <row r="214">
          <cell r="A214" t="str">
            <v>Suriname</v>
          </cell>
        </row>
        <row r="215">
          <cell r="A215" t="str">
            <v>Slovenia</v>
          </cell>
        </row>
        <row r="216">
          <cell r="A216" t="str">
            <v>Sweden</v>
          </cell>
        </row>
        <row r="217">
          <cell r="A217" t="str">
            <v>Eswatini</v>
          </cell>
        </row>
        <row r="218">
          <cell r="A218" t="str">
            <v>Sint Maarten</v>
          </cell>
        </row>
        <row r="219">
          <cell r="A219" t="str">
            <v>Seychelles</v>
          </cell>
        </row>
        <row r="220">
          <cell r="A220" t="str">
            <v>Syria</v>
          </cell>
        </row>
        <row r="221">
          <cell r="A221" t="str">
            <v>Turks &amp; Caicos Islands</v>
          </cell>
        </row>
        <row r="222">
          <cell r="A222" t="str">
            <v>Chad</v>
          </cell>
        </row>
        <row r="223">
          <cell r="A223" t="str">
            <v>Togo</v>
          </cell>
        </row>
        <row r="224">
          <cell r="A224" t="str">
            <v>Thailand</v>
          </cell>
        </row>
        <row r="225">
          <cell r="A225" t="str">
            <v>Tajikistan</v>
          </cell>
        </row>
        <row r="226">
          <cell r="A226" t="str">
            <v>Tokelau</v>
          </cell>
        </row>
        <row r="227">
          <cell r="A227" t="str">
            <v>Turkmenistan</v>
          </cell>
        </row>
        <row r="228">
          <cell r="A228" t="str">
            <v>Timor-Leste</v>
          </cell>
        </row>
        <row r="229">
          <cell r="A229" t="str">
            <v>Tonga</v>
          </cell>
        </row>
        <row r="230">
          <cell r="A230" t="str">
            <v>Trinidad &amp; Tobago</v>
          </cell>
        </row>
        <row r="231">
          <cell r="A231" t="str">
            <v>Tunisia</v>
          </cell>
        </row>
        <row r="232">
          <cell r="A232" t="str">
            <v>Tuvalu</v>
          </cell>
        </row>
        <row r="233">
          <cell r="A233" t="str">
            <v>Taiwan</v>
          </cell>
        </row>
        <row r="234">
          <cell r="A234" t="str">
            <v>Tanzania</v>
          </cell>
        </row>
        <row r="235">
          <cell r="A235" t="str">
            <v>Uganda</v>
          </cell>
        </row>
        <row r="236">
          <cell r="A236" t="str">
            <v>Ukraine</v>
          </cell>
        </row>
        <row r="237">
          <cell r="A237" t="str">
            <v>U.S. Outlying Islands</v>
          </cell>
        </row>
        <row r="238">
          <cell r="A238" t="str">
            <v>Uruguay</v>
          </cell>
        </row>
        <row r="239">
          <cell r="A239" t="str">
            <v>Uzbekistan</v>
          </cell>
        </row>
        <row r="240">
          <cell r="A240" t="str">
            <v>Vatican City</v>
          </cell>
        </row>
        <row r="241">
          <cell r="A241" t="str">
            <v>St. Vincent &amp; Grenadines</v>
          </cell>
        </row>
        <row r="242">
          <cell r="A242" t="str">
            <v>Venezuela</v>
          </cell>
        </row>
        <row r="243">
          <cell r="A243" t="str">
            <v>British Virgin Islands</v>
          </cell>
        </row>
        <row r="244">
          <cell r="A244" t="str">
            <v>U.S. Virgin Islands</v>
          </cell>
        </row>
        <row r="245">
          <cell r="A245" t="str">
            <v>Vietnam</v>
          </cell>
        </row>
        <row r="246">
          <cell r="A246" t="str">
            <v>Vanuatu</v>
          </cell>
        </row>
        <row r="247">
          <cell r="A247" t="str">
            <v>Wallis &amp; Futuna</v>
          </cell>
        </row>
        <row r="248">
          <cell r="A248" t="str">
            <v>Samoa</v>
          </cell>
        </row>
        <row r="249">
          <cell r="A249" t="str">
            <v>Kosovo</v>
          </cell>
        </row>
        <row r="250">
          <cell r="A250" t="str">
            <v>Yemen</v>
          </cell>
        </row>
        <row r="251">
          <cell r="A251" t="str">
            <v>South Africa</v>
          </cell>
        </row>
        <row r="252">
          <cell r="A252" t="str">
            <v>Zambia</v>
          </cell>
        </row>
        <row r="253">
          <cell r="A253" t="str">
            <v>Zimbabwe</v>
          </cell>
        </row>
      </sheetData>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62)"/>
    </sheetNames>
    <sheetDataSet>
      <sheetData sheetId="0" refreshError="1">
        <row r="1">
          <cell r="A1" t="str">
            <v>Kategori: TÃ¼m kategoriler</v>
          </cell>
        </row>
        <row r="3">
          <cell r="A3" t="str">
            <v>Ãœlke</v>
          </cell>
          <cell r="B3" t="str">
            <v>Ã‡okterimli zamanda indirgeme: (2018)</v>
          </cell>
          <cell r="C3" t="str">
            <v>Linear hashing: (2018)</v>
          </cell>
        </row>
        <row r="4">
          <cell r="A4" t="str">
            <v>Sudan</v>
          </cell>
        </row>
        <row r="5">
          <cell r="A5" t="str">
            <v>Greece</v>
          </cell>
          <cell r="C5">
            <v>1</v>
          </cell>
        </row>
        <row r="6">
          <cell r="A6" t="str">
            <v>South Korea</v>
          </cell>
          <cell r="C6">
            <v>1</v>
          </cell>
        </row>
        <row r="7">
          <cell r="A7" t="str">
            <v>India</v>
          </cell>
          <cell r="B7">
            <v>0.33</v>
          </cell>
          <cell r="C7">
            <v>0.67</v>
          </cell>
        </row>
        <row r="8">
          <cell r="A8" t="str">
            <v>Germany</v>
          </cell>
          <cell r="B8">
            <v>0.87</v>
          </cell>
          <cell r="C8">
            <v>0.13</v>
          </cell>
        </row>
        <row r="9">
          <cell r="A9" t="str">
            <v>Canada</v>
          </cell>
          <cell r="B9">
            <v>0.67</v>
          </cell>
          <cell r="C9">
            <v>0.33</v>
          </cell>
        </row>
        <row r="10">
          <cell r="A10" t="str">
            <v>United States</v>
          </cell>
          <cell r="B10">
            <v>0.65</v>
          </cell>
          <cell r="C10">
            <v>0.35</v>
          </cell>
        </row>
        <row r="11">
          <cell r="A11" t="str">
            <v>Japan</v>
          </cell>
          <cell r="B11">
            <v>1</v>
          </cell>
        </row>
        <row r="12">
          <cell r="A12" t="str">
            <v>United Kingdom</v>
          </cell>
          <cell r="B12">
            <v>1</v>
          </cell>
        </row>
        <row r="13">
          <cell r="A13" t="str">
            <v>Australia</v>
          </cell>
          <cell r="C13">
            <v>1</v>
          </cell>
        </row>
        <row r="14">
          <cell r="A14" t="str">
            <v>Turkey</v>
          </cell>
          <cell r="C14">
            <v>1</v>
          </cell>
        </row>
        <row r="15">
          <cell r="A15" t="str">
            <v>Trinidad &amp; Tobago</v>
          </cell>
        </row>
        <row r="16">
          <cell r="A16" t="str">
            <v>Israel</v>
          </cell>
        </row>
        <row r="17">
          <cell r="A17" t="str">
            <v>Czechia</v>
          </cell>
        </row>
        <row r="18">
          <cell r="A18" t="str">
            <v>Bulgaria</v>
          </cell>
        </row>
        <row r="19">
          <cell r="A19" t="str">
            <v>Switzerland</v>
          </cell>
        </row>
        <row r="20">
          <cell r="A20" t="str">
            <v>Bangladesh</v>
          </cell>
        </row>
        <row r="21">
          <cell r="A21" t="str">
            <v>New Zealand</v>
          </cell>
        </row>
        <row r="22">
          <cell r="A22" t="str">
            <v>Ireland</v>
          </cell>
        </row>
        <row r="23">
          <cell r="A23" t="str">
            <v>Austria</v>
          </cell>
        </row>
        <row r="24">
          <cell r="A24" t="str">
            <v>Pakistan</v>
          </cell>
        </row>
        <row r="25">
          <cell r="A25" t="str">
            <v>Romania</v>
          </cell>
        </row>
        <row r="26">
          <cell r="A26" t="str">
            <v>Peru</v>
          </cell>
        </row>
        <row r="27">
          <cell r="A27" t="str">
            <v>Belgium</v>
          </cell>
        </row>
        <row r="28">
          <cell r="A28" t="str">
            <v>Sweden</v>
          </cell>
        </row>
        <row r="29">
          <cell r="A29" t="str">
            <v>Malaysia</v>
          </cell>
        </row>
        <row r="30">
          <cell r="A30" t="str">
            <v>Philippines</v>
          </cell>
        </row>
        <row r="31">
          <cell r="A31" t="str">
            <v>Netherlands</v>
          </cell>
        </row>
        <row r="32">
          <cell r="A32" t="str">
            <v>Argentina</v>
          </cell>
        </row>
        <row r="33">
          <cell r="A33" t="str">
            <v>Mexico</v>
          </cell>
        </row>
        <row r="34">
          <cell r="A34" t="str">
            <v>Poland</v>
          </cell>
        </row>
        <row r="35">
          <cell r="A35" t="str">
            <v>France</v>
          </cell>
        </row>
        <row r="36">
          <cell r="A36" t="str">
            <v>Italy</v>
          </cell>
        </row>
        <row r="37">
          <cell r="A37" t="str">
            <v>Brazil</v>
          </cell>
        </row>
        <row r="38">
          <cell r="A38" t="str">
            <v>Aruba</v>
          </cell>
        </row>
        <row r="39">
          <cell r="A39" t="str">
            <v>Afghanistan</v>
          </cell>
        </row>
        <row r="40">
          <cell r="A40" t="str">
            <v>Angola</v>
          </cell>
        </row>
        <row r="41">
          <cell r="A41" t="str">
            <v>Anguilla</v>
          </cell>
        </row>
        <row r="42">
          <cell r="A42" t="str">
            <v>Ã…land Islands</v>
          </cell>
        </row>
        <row r="43">
          <cell r="A43" t="str">
            <v>Albania</v>
          </cell>
        </row>
        <row r="44">
          <cell r="A44" t="str">
            <v>Andorra</v>
          </cell>
        </row>
        <row r="45">
          <cell r="A45" t="str">
            <v>United Arab Emirates</v>
          </cell>
        </row>
        <row r="46">
          <cell r="A46" t="str">
            <v>Armenia</v>
          </cell>
        </row>
        <row r="47">
          <cell r="A47" t="str">
            <v>American Samoa</v>
          </cell>
        </row>
        <row r="48">
          <cell r="A48" t="str">
            <v>Antarctica</v>
          </cell>
        </row>
        <row r="49">
          <cell r="A49" t="str">
            <v>French Southern Territories</v>
          </cell>
        </row>
        <row r="50">
          <cell r="A50" t="str">
            <v>Antigua &amp; Barbuda</v>
          </cell>
        </row>
        <row r="51">
          <cell r="A51" t="str">
            <v>Azerbaijan</v>
          </cell>
        </row>
        <row r="52">
          <cell r="A52" t="str">
            <v>Burundi</v>
          </cell>
        </row>
        <row r="53">
          <cell r="A53" t="str">
            <v>Benin</v>
          </cell>
        </row>
        <row r="54">
          <cell r="A54" t="str">
            <v>Caribbean Netherlands</v>
          </cell>
        </row>
        <row r="55">
          <cell r="A55" t="str">
            <v>Burkina Faso</v>
          </cell>
        </row>
        <row r="56">
          <cell r="A56" t="str">
            <v>Bahrain</v>
          </cell>
        </row>
        <row r="57">
          <cell r="A57" t="str">
            <v>Bahamas</v>
          </cell>
        </row>
        <row r="58">
          <cell r="A58" t="str">
            <v>Bosnia &amp; Herzegovina</v>
          </cell>
        </row>
        <row r="59">
          <cell r="A59" t="str">
            <v>St. BarthÃ©lemy</v>
          </cell>
        </row>
        <row r="60">
          <cell r="A60" t="str">
            <v>Belarus</v>
          </cell>
        </row>
        <row r="61">
          <cell r="A61" t="str">
            <v>Belize</v>
          </cell>
        </row>
        <row r="62">
          <cell r="A62" t="str">
            <v>Bermuda</v>
          </cell>
        </row>
        <row r="63">
          <cell r="A63" t="str">
            <v>Bolivia</v>
          </cell>
        </row>
        <row r="64">
          <cell r="A64" t="str">
            <v>Barbados</v>
          </cell>
        </row>
        <row r="65">
          <cell r="A65" t="str">
            <v>Brunei</v>
          </cell>
        </row>
        <row r="66">
          <cell r="A66" t="str">
            <v>Bhutan</v>
          </cell>
        </row>
        <row r="67">
          <cell r="A67" t="str">
            <v>Bouvet Island</v>
          </cell>
        </row>
        <row r="68">
          <cell r="A68" t="str">
            <v>Botswana</v>
          </cell>
        </row>
        <row r="69">
          <cell r="A69" t="str">
            <v>Central African Republic</v>
          </cell>
        </row>
        <row r="70">
          <cell r="A70" t="str">
            <v>Cocos (Keeling) Islands</v>
          </cell>
        </row>
        <row r="71">
          <cell r="A71" t="str">
            <v>Chile</v>
          </cell>
        </row>
        <row r="72">
          <cell r="A72" t="str">
            <v>China</v>
          </cell>
        </row>
        <row r="73">
          <cell r="A73" t="str">
            <v>CÃ´te dâ€™Ivoire</v>
          </cell>
        </row>
        <row r="74">
          <cell r="A74" t="str">
            <v>Cameroon</v>
          </cell>
        </row>
        <row r="75">
          <cell r="A75" t="str">
            <v>Congo - Kinshasa</v>
          </cell>
        </row>
        <row r="76">
          <cell r="A76" t="str">
            <v>Congo - Brazzaville</v>
          </cell>
        </row>
        <row r="77">
          <cell r="A77" t="str">
            <v>Cook Islands</v>
          </cell>
        </row>
        <row r="78">
          <cell r="A78" t="str">
            <v>Colombia</v>
          </cell>
        </row>
        <row r="79">
          <cell r="A79" t="str">
            <v>Comoros</v>
          </cell>
        </row>
        <row r="80">
          <cell r="A80" t="str">
            <v>Cape Verde</v>
          </cell>
        </row>
        <row r="81">
          <cell r="A81" t="str">
            <v>Costa Rica</v>
          </cell>
        </row>
        <row r="82">
          <cell r="A82" t="str">
            <v>Cuba</v>
          </cell>
        </row>
        <row r="83">
          <cell r="A83" t="str">
            <v>CuraÃ§ao</v>
          </cell>
        </row>
        <row r="84">
          <cell r="A84" t="str">
            <v>Christmas Island</v>
          </cell>
        </row>
        <row r="85">
          <cell r="A85" t="str">
            <v>Cayman Islands</v>
          </cell>
        </row>
        <row r="86">
          <cell r="A86" t="str">
            <v>Cyprus</v>
          </cell>
        </row>
        <row r="87">
          <cell r="A87" t="str">
            <v>Djibouti</v>
          </cell>
        </row>
        <row r="88">
          <cell r="A88" t="str">
            <v>Dominica</v>
          </cell>
        </row>
        <row r="89">
          <cell r="A89" t="str">
            <v>Denmark</v>
          </cell>
        </row>
        <row r="90">
          <cell r="A90" t="str">
            <v>Dominican Republic</v>
          </cell>
        </row>
        <row r="91">
          <cell r="A91" t="str">
            <v>Algeria</v>
          </cell>
        </row>
        <row r="92">
          <cell r="A92" t="str">
            <v>Ecuador</v>
          </cell>
        </row>
        <row r="93">
          <cell r="A93" t="str">
            <v>Egypt</v>
          </cell>
        </row>
        <row r="94">
          <cell r="A94" t="str">
            <v>Eritrea</v>
          </cell>
        </row>
        <row r="95">
          <cell r="A95" t="str">
            <v>Western Sahara</v>
          </cell>
        </row>
        <row r="96">
          <cell r="A96" t="str">
            <v>Spain</v>
          </cell>
        </row>
        <row r="97">
          <cell r="A97" t="str">
            <v>Estonia</v>
          </cell>
        </row>
        <row r="98">
          <cell r="A98" t="str">
            <v>Ethiopia</v>
          </cell>
        </row>
        <row r="99">
          <cell r="A99" t="str">
            <v>Finland</v>
          </cell>
        </row>
        <row r="100">
          <cell r="A100" t="str">
            <v>Fiji</v>
          </cell>
        </row>
        <row r="101">
          <cell r="A101" t="str">
            <v>Falkland Islands (Islas Malvinas)</v>
          </cell>
        </row>
        <row r="102">
          <cell r="A102" t="str">
            <v>Faroe Islands</v>
          </cell>
        </row>
        <row r="103">
          <cell r="A103" t="str">
            <v>Micronesia</v>
          </cell>
        </row>
        <row r="104">
          <cell r="A104" t="str">
            <v>Gabon</v>
          </cell>
        </row>
        <row r="105">
          <cell r="A105" t="str">
            <v>Georgia</v>
          </cell>
        </row>
        <row r="106">
          <cell r="A106" t="str">
            <v>Guernsey</v>
          </cell>
        </row>
        <row r="107">
          <cell r="A107" t="str">
            <v>Ghana</v>
          </cell>
        </row>
        <row r="108">
          <cell r="A108" t="str">
            <v>Gibraltar</v>
          </cell>
        </row>
        <row r="109">
          <cell r="A109" t="str">
            <v>Guinea</v>
          </cell>
        </row>
        <row r="110">
          <cell r="A110" t="str">
            <v>Guadeloupe</v>
          </cell>
        </row>
        <row r="111">
          <cell r="A111" t="str">
            <v>Gambia</v>
          </cell>
        </row>
        <row r="112">
          <cell r="A112" t="str">
            <v>Guinea-Bissau</v>
          </cell>
        </row>
        <row r="113">
          <cell r="A113" t="str">
            <v>Equatorial Guinea</v>
          </cell>
        </row>
        <row r="114">
          <cell r="A114" t="str">
            <v>Grenada</v>
          </cell>
        </row>
        <row r="115">
          <cell r="A115" t="str">
            <v>Greenland</v>
          </cell>
        </row>
        <row r="116">
          <cell r="A116" t="str">
            <v>Guatemala</v>
          </cell>
        </row>
        <row r="117">
          <cell r="A117" t="str">
            <v>French Guiana</v>
          </cell>
        </row>
        <row r="118">
          <cell r="A118" t="str">
            <v>Guam</v>
          </cell>
        </row>
        <row r="119">
          <cell r="A119" t="str">
            <v>Guyana</v>
          </cell>
        </row>
        <row r="120">
          <cell r="A120" t="str">
            <v>Hong Kong</v>
          </cell>
        </row>
        <row r="121">
          <cell r="A121" t="str">
            <v>Heard &amp; McDonald Islands</v>
          </cell>
        </row>
        <row r="122">
          <cell r="A122" t="str">
            <v>Honduras</v>
          </cell>
        </row>
        <row r="123">
          <cell r="A123" t="str">
            <v>Croatia</v>
          </cell>
        </row>
        <row r="124">
          <cell r="A124" t="str">
            <v>Haiti</v>
          </cell>
        </row>
        <row r="125">
          <cell r="A125" t="str">
            <v>Hungary</v>
          </cell>
        </row>
        <row r="126">
          <cell r="A126" t="str">
            <v>Indonesia</v>
          </cell>
        </row>
        <row r="127">
          <cell r="A127" t="str">
            <v>Isle of Man</v>
          </cell>
        </row>
        <row r="128">
          <cell r="A128" t="str">
            <v>British Indian Ocean Territory</v>
          </cell>
        </row>
        <row r="129">
          <cell r="A129" t="str">
            <v>Iran</v>
          </cell>
        </row>
        <row r="130">
          <cell r="A130" t="str">
            <v>Iraq</v>
          </cell>
        </row>
        <row r="131">
          <cell r="A131" t="str">
            <v>Iceland</v>
          </cell>
        </row>
        <row r="132">
          <cell r="A132" t="str">
            <v>Jamaica</v>
          </cell>
        </row>
        <row r="133">
          <cell r="A133" t="str">
            <v>Jersey</v>
          </cell>
        </row>
        <row r="134">
          <cell r="A134" t="str">
            <v>Jordan</v>
          </cell>
        </row>
        <row r="135">
          <cell r="A135" t="str">
            <v>Kazakhstan</v>
          </cell>
        </row>
        <row r="136">
          <cell r="A136" t="str">
            <v>Kenya</v>
          </cell>
        </row>
        <row r="137">
          <cell r="A137" t="str">
            <v>Kyrgyzstan</v>
          </cell>
        </row>
        <row r="138">
          <cell r="A138" t="str">
            <v>Cambodia</v>
          </cell>
        </row>
        <row r="139">
          <cell r="A139" t="str">
            <v>Kiribati</v>
          </cell>
        </row>
        <row r="140">
          <cell r="A140" t="str">
            <v>St. Kitts &amp; Nevis</v>
          </cell>
        </row>
        <row r="141">
          <cell r="A141" t="str">
            <v>Kuwait</v>
          </cell>
        </row>
        <row r="142">
          <cell r="A142" t="str">
            <v>Laos</v>
          </cell>
        </row>
        <row r="143">
          <cell r="A143" t="str">
            <v>Lebanon</v>
          </cell>
        </row>
        <row r="144">
          <cell r="A144" t="str">
            <v>Liberia</v>
          </cell>
        </row>
        <row r="145">
          <cell r="A145" t="str">
            <v>Libya</v>
          </cell>
        </row>
        <row r="146">
          <cell r="A146" t="str">
            <v>St. Lucia</v>
          </cell>
        </row>
        <row r="147">
          <cell r="A147" t="str">
            <v>Liechtenstein</v>
          </cell>
        </row>
        <row r="148">
          <cell r="A148" t="str">
            <v>Sri Lanka</v>
          </cell>
        </row>
        <row r="149">
          <cell r="A149" t="str">
            <v>Lesotho</v>
          </cell>
        </row>
        <row r="150">
          <cell r="A150" t="str">
            <v>Lithuania</v>
          </cell>
        </row>
        <row r="151">
          <cell r="A151" t="str">
            <v>Luxembourg</v>
          </cell>
        </row>
        <row r="152">
          <cell r="A152" t="str">
            <v>Latvia</v>
          </cell>
        </row>
        <row r="153">
          <cell r="A153" t="str">
            <v>Macao</v>
          </cell>
        </row>
        <row r="154">
          <cell r="A154" t="str">
            <v>St. Martin</v>
          </cell>
        </row>
        <row r="155">
          <cell r="A155" t="str">
            <v>Morocco</v>
          </cell>
        </row>
        <row r="156">
          <cell r="A156" t="str">
            <v>Monaco</v>
          </cell>
        </row>
        <row r="157">
          <cell r="A157" t="str">
            <v>Moldova</v>
          </cell>
        </row>
        <row r="158">
          <cell r="A158" t="str">
            <v>Madagascar</v>
          </cell>
        </row>
        <row r="159">
          <cell r="A159" t="str">
            <v>Maldives</v>
          </cell>
        </row>
        <row r="160">
          <cell r="A160" t="str">
            <v>Marshall Islands</v>
          </cell>
        </row>
        <row r="161">
          <cell r="A161" t="str">
            <v>North Macedonia</v>
          </cell>
        </row>
        <row r="162">
          <cell r="A162" t="str">
            <v>Mali</v>
          </cell>
        </row>
        <row r="163">
          <cell r="A163" t="str">
            <v>Malta</v>
          </cell>
        </row>
        <row r="164">
          <cell r="A164" t="str">
            <v>Myanmar (Burma)</v>
          </cell>
        </row>
        <row r="165">
          <cell r="A165" t="str">
            <v>Montenegro</v>
          </cell>
        </row>
        <row r="166">
          <cell r="A166" t="str">
            <v>Mongolia</v>
          </cell>
        </row>
        <row r="167">
          <cell r="A167" t="str">
            <v>Northern Mariana Islands</v>
          </cell>
        </row>
        <row r="168">
          <cell r="A168" t="str">
            <v>Mozambique</v>
          </cell>
        </row>
        <row r="169">
          <cell r="A169" t="str">
            <v>Mauritania</v>
          </cell>
        </row>
        <row r="170">
          <cell r="A170" t="str">
            <v>Montserrat</v>
          </cell>
        </row>
        <row r="171">
          <cell r="A171" t="str">
            <v>Martinique</v>
          </cell>
        </row>
        <row r="172">
          <cell r="A172" t="str">
            <v>Mauritius</v>
          </cell>
        </row>
        <row r="173">
          <cell r="A173" t="str">
            <v>Malawi</v>
          </cell>
        </row>
        <row r="174">
          <cell r="A174" t="str">
            <v>Mayotte</v>
          </cell>
        </row>
        <row r="175">
          <cell r="A175" t="str">
            <v>Namibia</v>
          </cell>
        </row>
        <row r="176">
          <cell r="A176" t="str">
            <v>New Caledonia</v>
          </cell>
        </row>
        <row r="177">
          <cell r="A177" t="str">
            <v>Niger</v>
          </cell>
        </row>
        <row r="178">
          <cell r="A178" t="str">
            <v>Norfolk Island</v>
          </cell>
        </row>
        <row r="179">
          <cell r="A179" t="str">
            <v>Nigeria</v>
          </cell>
        </row>
        <row r="180">
          <cell r="A180" t="str">
            <v>Nicaragua</v>
          </cell>
        </row>
        <row r="181">
          <cell r="A181" t="str">
            <v>Niue</v>
          </cell>
        </row>
        <row r="182">
          <cell r="A182" t="str">
            <v>Norway</v>
          </cell>
        </row>
        <row r="183">
          <cell r="A183" t="str">
            <v>Nepal</v>
          </cell>
        </row>
        <row r="184">
          <cell r="A184" t="str">
            <v>Nauru</v>
          </cell>
        </row>
        <row r="185">
          <cell r="A185" t="str">
            <v>Oman</v>
          </cell>
        </row>
        <row r="186">
          <cell r="A186" t="str">
            <v>Panama</v>
          </cell>
        </row>
        <row r="187">
          <cell r="A187" t="str">
            <v>Pitcairn Islands</v>
          </cell>
        </row>
        <row r="188">
          <cell r="A188" t="str">
            <v>Palau</v>
          </cell>
        </row>
        <row r="189">
          <cell r="A189" t="str">
            <v>Papua New Guinea</v>
          </cell>
        </row>
        <row r="190">
          <cell r="A190" t="str">
            <v>Puerto Rico</v>
          </cell>
        </row>
        <row r="191">
          <cell r="A191" t="str">
            <v>North Korea</v>
          </cell>
        </row>
        <row r="192">
          <cell r="A192" t="str">
            <v>Portugal</v>
          </cell>
        </row>
        <row r="193">
          <cell r="A193" t="str">
            <v>Paraguay</v>
          </cell>
        </row>
        <row r="194">
          <cell r="A194" t="str">
            <v>Palestine</v>
          </cell>
        </row>
        <row r="195">
          <cell r="A195" t="str">
            <v>French Polynesia</v>
          </cell>
        </row>
        <row r="196">
          <cell r="A196" t="str">
            <v>Qatar</v>
          </cell>
        </row>
        <row r="197">
          <cell r="A197" t="str">
            <v>RÃ©union</v>
          </cell>
        </row>
        <row r="198">
          <cell r="A198" t="str">
            <v>Russia</v>
          </cell>
        </row>
        <row r="199">
          <cell r="A199" t="str">
            <v>Rwanda</v>
          </cell>
        </row>
        <row r="200">
          <cell r="A200" t="str">
            <v>Saudi Arabia</v>
          </cell>
        </row>
        <row r="201">
          <cell r="A201" t="str">
            <v>Senegal</v>
          </cell>
        </row>
        <row r="202">
          <cell r="A202" t="str">
            <v>Singapore</v>
          </cell>
        </row>
        <row r="203">
          <cell r="A203" t="str">
            <v>South Georgia &amp; South Sandwich Islands</v>
          </cell>
        </row>
        <row r="204">
          <cell r="A204" t="str">
            <v>St. Helena</v>
          </cell>
        </row>
        <row r="205">
          <cell r="A205" t="str">
            <v>Svalbard &amp; Jan Mayen</v>
          </cell>
        </row>
        <row r="206">
          <cell r="A206" t="str">
            <v>Solomon Islands</v>
          </cell>
        </row>
        <row r="207">
          <cell r="A207" t="str">
            <v>Sierra Leone</v>
          </cell>
        </row>
        <row r="208">
          <cell r="A208" t="str">
            <v>El Salvador</v>
          </cell>
        </row>
        <row r="209">
          <cell r="A209" t="str">
            <v>San Marino</v>
          </cell>
        </row>
        <row r="210">
          <cell r="A210" t="str">
            <v>Somalia</v>
          </cell>
        </row>
        <row r="211">
          <cell r="A211" t="str">
            <v>St. Pierre &amp; Miquelon</v>
          </cell>
        </row>
        <row r="212">
          <cell r="A212" t="str">
            <v>Serbia</v>
          </cell>
        </row>
        <row r="213">
          <cell r="A213" t="str">
            <v>South Sudan</v>
          </cell>
        </row>
        <row r="214">
          <cell r="A214" t="str">
            <v>SÃ£o TomÃ© &amp; PrÃ­ncipe</v>
          </cell>
        </row>
        <row r="215">
          <cell r="A215" t="str">
            <v>Suriname</v>
          </cell>
        </row>
        <row r="216">
          <cell r="A216" t="str">
            <v>Slovakia</v>
          </cell>
        </row>
        <row r="217">
          <cell r="A217" t="str">
            <v>Slovenia</v>
          </cell>
        </row>
        <row r="218">
          <cell r="A218" t="str">
            <v>Eswatini</v>
          </cell>
        </row>
        <row r="219">
          <cell r="A219" t="str">
            <v>Sint Maarten</v>
          </cell>
        </row>
        <row r="220">
          <cell r="A220" t="str">
            <v>Seychelles</v>
          </cell>
        </row>
        <row r="221">
          <cell r="A221" t="str">
            <v>Syria</v>
          </cell>
        </row>
        <row r="222">
          <cell r="A222" t="str">
            <v>Turks &amp; Caicos Islands</v>
          </cell>
        </row>
        <row r="223">
          <cell r="A223" t="str">
            <v>Chad</v>
          </cell>
        </row>
        <row r="224">
          <cell r="A224" t="str">
            <v>Togo</v>
          </cell>
        </row>
        <row r="225">
          <cell r="A225" t="str">
            <v>Thailand</v>
          </cell>
        </row>
        <row r="226">
          <cell r="A226" t="str">
            <v>Tajikistan</v>
          </cell>
        </row>
        <row r="227">
          <cell r="A227" t="str">
            <v>Tokelau</v>
          </cell>
        </row>
        <row r="228">
          <cell r="A228" t="str">
            <v>Turkmenistan</v>
          </cell>
        </row>
        <row r="229">
          <cell r="A229" t="str">
            <v>Timor-Leste</v>
          </cell>
        </row>
        <row r="230">
          <cell r="A230" t="str">
            <v>Tonga</v>
          </cell>
        </row>
        <row r="231">
          <cell r="A231" t="str">
            <v>Tunisia</v>
          </cell>
        </row>
        <row r="232">
          <cell r="A232" t="str">
            <v>Tuvalu</v>
          </cell>
        </row>
        <row r="233">
          <cell r="A233" t="str">
            <v>Taiwan</v>
          </cell>
        </row>
        <row r="234">
          <cell r="A234" t="str">
            <v>Tanzania</v>
          </cell>
        </row>
        <row r="235">
          <cell r="A235" t="str">
            <v>Uganda</v>
          </cell>
        </row>
        <row r="236">
          <cell r="A236" t="str">
            <v>Ukraine</v>
          </cell>
        </row>
        <row r="237">
          <cell r="A237" t="str">
            <v>U.S. Outlying Islands</v>
          </cell>
        </row>
        <row r="238">
          <cell r="A238" t="str">
            <v>Uruguay</v>
          </cell>
        </row>
        <row r="239">
          <cell r="A239" t="str">
            <v>Uzbekistan</v>
          </cell>
        </row>
        <row r="240">
          <cell r="A240" t="str">
            <v>Vatican City</v>
          </cell>
        </row>
        <row r="241">
          <cell r="A241" t="str">
            <v>St. Vincent &amp; Grenadines</v>
          </cell>
        </row>
        <row r="242">
          <cell r="A242" t="str">
            <v>Venezuela</v>
          </cell>
        </row>
        <row r="243">
          <cell r="A243" t="str">
            <v>British Virgin Islands</v>
          </cell>
        </row>
        <row r="244">
          <cell r="A244" t="str">
            <v>U.S. Virgin Islands</v>
          </cell>
        </row>
        <row r="245">
          <cell r="A245" t="str">
            <v>Vietnam</v>
          </cell>
        </row>
        <row r="246">
          <cell r="A246" t="str">
            <v>Vanuatu</v>
          </cell>
        </row>
        <row r="247">
          <cell r="A247" t="str">
            <v>Wallis &amp; Futuna</v>
          </cell>
        </row>
        <row r="248">
          <cell r="A248" t="str">
            <v>Samoa</v>
          </cell>
        </row>
        <row r="249">
          <cell r="A249" t="str">
            <v>Kosovo</v>
          </cell>
        </row>
        <row r="250">
          <cell r="A250" t="str">
            <v>Yemen</v>
          </cell>
        </row>
        <row r="251">
          <cell r="A251" t="str">
            <v>South Africa</v>
          </cell>
        </row>
        <row r="252">
          <cell r="A252" t="str">
            <v>Zambia</v>
          </cell>
        </row>
        <row r="253">
          <cell r="A253" t="str">
            <v>Zimbabwe</v>
          </cell>
        </row>
      </sheetData>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63)"/>
    </sheetNames>
    <sheetDataSet>
      <sheetData sheetId="0" refreshError="1">
        <row r="1">
          <cell r="A1" t="str">
            <v>Kategori: TÃ¼m kategoriler</v>
          </cell>
        </row>
        <row r="3">
          <cell r="A3" t="str">
            <v>Ãœlke</v>
          </cell>
          <cell r="B3" t="str">
            <v>Linear hashing: (2018)</v>
          </cell>
          <cell r="C3" t="str">
            <v>Countâ€“min sketch: (2018)</v>
          </cell>
        </row>
        <row r="4">
          <cell r="A4" t="str">
            <v>Sudan</v>
          </cell>
          <cell r="B4">
            <v>1</v>
          </cell>
        </row>
        <row r="5">
          <cell r="A5" t="str">
            <v>India</v>
          </cell>
          <cell r="B5">
            <v>0.86</v>
          </cell>
          <cell r="C5">
            <v>0.14000000000000001</v>
          </cell>
        </row>
        <row r="6">
          <cell r="A6" t="str">
            <v>Austria</v>
          </cell>
          <cell r="B6">
            <v>1</v>
          </cell>
        </row>
        <row r="7">
          <cell r="A7" t="str">
            <v>United States</v>
          </cell>
          <cell r="B7">
            <v>0.23</v>
          </cell>
          <cell r="C7">
            <v>0.77</v>
          </cell>
        </row>
        <row r="8">
          <cell r="A8" t="str">
            <v>Germany</v>
          </cell>
          <cell r="B8">
            <v>0.6</v>
          </cell>
          <cell r="C8">
            <v>0.4</v>
          </cell>
        </row>
        <row r="9">
          <cell r="A9" t="str">
            <v>China</v>
          </cell>
        </row>
        <row r="10">
          <cell r="A10" t="str">
            <v>Malta</v>
          </cell>
        </row>
        <row r="11">
          <cell r="A11" t="str">
            <v>Cyprus</v>
          </cell>
        </row>
        <row r="12">
          <cell r="A12" t="str">
            <v>Hong Kong</v>
          </cell>
        </row>
        <row r="13">
          <cell r="A13" t="str">
            <v>Costa Rica</v>
          </cell>
        </row>
        <row r="14">
          <cell r="A14" t="str">
            <v>Sri Lanka</v>
          </cell>
        </row>
        <row r="15">
          <cell r="A15" t="str">
            <v>Croatia</v>
          </cell>
        </row>
        <row r="16">
          <cell r="A16" t="str">
            <v>Bulgaria</v>
          </cell>
        </row>
        <row r="17">
          <cell r="A17" t="str">
            <v>Algeria</v>
          </cell>
        </row>
        <row r="18">
          <cell r="A18" t="str">
            <v>Belgium</v>
          </cell>
        </row>
        <row r="19">
          <cell r="A19" t="str">
            <v>Singapore</v>
          </cell>
        </row>
        <row r="20">
          <cell r="A20" t="str">
            <v>Israel</v>
          </cell>
        </row>
        <row r="21">
          <cell r="A21" t="str">
            <v>Pakistan</v>
          </cell>
        </row>
        <row r="22">
          <cell r="A22" t="str">
            <v>South Africa</v>
          </cell>
        </row>
        <row r="23">
          <cell r="A23" t="str">
            <v>South Korea</v>
          </cell>
        </row>
        <row r="24">
          <cell r="A24" t="str">
            <v>Canada</v>
          </cell>
        </row>
        <row r="25">
          <cell r="A25" t="str">
            <v>Thailand</v>
          </cell>
        </row>
        <row r="26">
          <cell r="A26" t="str">
            <v>Turkey</v>
          </cell>
        </row>
        <row r="27">
          <cell r="A27" t="str">
            <v>Japan</v>
          </cell>
        </row>
        <row r="28">
          <cell r="A28" t="str">
            <v>Australia</v>
          </cell>
        </row>
        <row r="29">
          <cell r="A29" t="str">
            <v>Brazil</v>
          </cell>
        </row>
        <row r="30">
          <cell r="A30" t="str">
            <v>Mexico</v>
          </cell>
        </row>
        <row r="31">
          <cell r="A31" t="str">
            <v>Russia</v>
          </cell>
        </row>
        <row r="32">
          <cell r="A32" t="str">
            <v>Italy</v>
          </cell>
        </row>
        <row r="33">
          <cell r="A33" t="str">
            <v>France</v>
          </cell>
        </row>
        <row r="34">
          <cell r="A34" t="str">
            <v>United Kingdom</v>
          </cell>
        </row>
        <row r="35">
          <cell r="A35" t="str">
            <v>Aruba</v>
          </cell>
        </row>
        <row r="36">
          <cell r="A36" t="str">
            <v>Afghanistan</v>
          </cell>
        </row>
        <row r="37">
          <cell r="A37" t="str">
            <v>Angola</v>
          </cell>
        </row>
        <row r="38">
          <cell r="A38" t="str">
            <v>Anguilla</v>
          </cell>
        </row>
        <row r="39">
          <cell r="A39" t="str">
            <v>Ã…land Islands</v>
          </cell>
        </row>
        <row r="40">
          <cell r="A40" t="str">
            <v>Albania</v>
          </cell>
        </row>
        <row r="41">
          <cell r="A41" t="str">
            <v>Andorra</v>
          </cell>
        </row>
        <row r="42">
          <cell r="A42" t="str">
            <v>United Arab Emirates</v>
          </cell>
        </row>
        <row r="43">
          <cell r="A43" t="str">
            <v>Argentina</v>
          </cell>
        </row>
        <row r="44">
          <cell r="A44" t="str">
            <v>Armenia</v>
          </cell>
        </row>
        <row r="45">
          <cell r="A45" t="str">
            <v>American Samoa</v>
          </cell>
        </row>
        <row r="46">
          <cell r="A46" t="str">
            <v>Antarctica</v>
          </cell>
        </row>
        <row r="47">
          <cell r="A47" t="str">
            <v>French Southern Territories</v>
          </cell>
        </row>
        <row r="48">
          <cell r="A48" t="str">
            <v>Antigua &amp; Barbuda</v>
          </cell>
        </row>
        <row r="49">
          <cell r="A49" t="str">
            <v>Azerbaijan</v>
          </cell>
        </row>
        <row r="50">
          <cell r="A50" t="str">
            <v>Burundi</v>
          </cell>
        </row>
        <row r="51">
          <cell r="A51" t="str">
            <v>Benin</v>
          </cell>
        </row>
        <row r="52">
          <cell r="A52" t="str">
            <v>Caribbean Netherlands</v>
          </cell>
        </row>
        <row r="53">
          <cell r="A53" t="str">
            <v>Burkina Faso</v>
          </cell>
        </row>
        <row r="54">
          <cell r="A54" t="str">
            <v>Bangladesh</v>
          </cell>
        </row>
        <row r="55">
          <cell r="A55" t="str">
            <v>Bahrain</v>
          </cell>
        </row>
        <row r="56">
          <cell r="A56" t="str">
            <v>Bahamas</v>
          </cell>
        </row>
        <row r="57">
          <cell r="A57" t="str">
            <v>Bosnia &amp; Herzegovina</v>
          </cell>
        </row>
        <row r="58">
          <cell r="A58" t="str">
            <v>St. BarthÃ©lemy</v>
          </cell>
        </row>
        <row r="59">
          <cell r="A59" t="str">
            <v>Belarus</v>
          </cell>
        </row>
        <row r="60">
          <cell r="A60" t="str">
            <v>Belize</v>
          </cell>
        </row>
        <row r="61">
          <cell r="A61" t="str">
            <v>Bermuda</v>
          </cell>
        </row>
        <row r="62">
          <cell r="A62" t="str">
            <v>Bolivia</v>
          </cell>
        </row>
        <row r="63">
          <cell r="A63" t="str">
            <v>Barbados</v>
          </cell>
        </row>
        <row r="64">
          <cell r="A64" t="str">
            <v>Brunei</v>
          </cell>
        </row>
        <row r="65">
          <cell r="A65" t="str">
            <v>Bhutan</v>
          </cell>
        </row>
        <row r="66">
          <cell r="A66" t="str">
            <v>Bouvet Island</v>
          </cell>
        </row>
        <row r="67">
          <cell r="A67" t="str">
            <v>Botswana</v>
          </cell>
        </row>
        <row r="68">
          <cell r="A68" t="str">
            <v>Central African Republic</v>
          </cell>
        </row>
        <row r="69">
          <cell r="A69" t="str">
            <v>Cocos (Keeling) Islands</v>
          </cell>
        </row>
        <row r="70">
          <cell r="A70" t="str">
            <v>Switzerland</v>
          </cell>
        </row>
        <row r="71">
          <cell r="A71" t="str">
            <v>Chile</v>
          </cell>
        </row>
        <row r="72">
          <cell r="A72" t="str">
            <v>CÃ´te dâ€™Ivoire</v>
          </cell>
        </row>
        <row r="73">
          <cell r="A73" t="str">
            <v>Cameroon</v>
          </cell>
        </row>
        <row r="74">
          <cell r="A74" t="str">
            <v>Congo - Kinshasa</v>
          </cell>
        </row>
        <row r="75">
          <cell r="A75" t="str">
            <v>Congo - Brazzaville</v>
          </cell>
        </row>
        <row r="76">
          <cell r="A76" t="str">
            <v>Cook Islands</v>
          </cell>
        </row>
        <row r="77">
          <cell r="A77" t="str">
            <v>Colombia</v>
          </cell>
        </row>
        <row r="78">
          <cell r="A78" t="str">
            <v>Comoros</v>
          </cell>
        </row>
        <row r="79">
          <cell r="A79" t="str">
            <v>Cape Verde</v>
          </cell>
        </row>
        <row r="80">
          <cell r="A80" t="str">
            <v>Cuba</v>
          </cell>
        </row>
        <row r="81">
          <cell r="A81" t="str">
            <v>CuraÃ§ao</v>
          </cell>
        </row>
        <row r="82">
          <cell r="A82" t="str">
            <v>Christmas Island</v>
          </cell>
        </row>
        <row r="83">
          <cell r="A83" t="str">
            <v>Cayman Islands</v>
          </cell>
        </row>
        <row r="84">
          <cell r="A84" t="str">
            <v>Czechia</v>
          </cell>
        </row>
        <row r="85">
          <cell r="A85" t="str">
            <v>Djibouti</v>
          </cell>
        </row>
        <row r="86">
          <cell r="A86" t="str">
            <v>Dominica</v>
          </cell>
        </row>
        <row r="87">
          <cell r="A87" t="str">
            <v>Denmark</v>
          </cell>
        </row>
        <row r="88">
          <cell r="A88" t="str">
            <v>Dominican Republic</v>
          </cell>
        </row>
        <row r="89">
          <cell r="A89" t="str">
            <v>Ecuador</v>
          </cell>
        </row>
        <row r="90">
          <cell r="A90" t="str">
            <v>Egypt</v>
          </cell>
        </row>
        <row r="91">
          <cell r="A91" t="str">
            <v>Eritrea</v>
          </cell>
        </row>
        <row r="92">
          <cell r="A92" t="str">
            <v>Western Sahara</v>
          </cell>
        </row>
        <row r="93">
          <cell r="A93" t="str">
            <v>Spain</v>
          </cell>
        </row>
        <row r="94">
          <cell r="A94" t="str">
            <v>Estonia</v>
          </cell>
        </row>
        <row r="95">
          <cell r="A95" t="str">
            <v>Ethiopia</v>
          </cell>
        </row>
        <row r="96">
          <cell r="A96" t="str">
            <v>Finland</v>
          </cell>
        </row>
        <row r="97">
          <cell r="A97" t="str">
            <v>Fiji</v>
          </cell>
        </row>
        <row r="98">
          <cell r="A98" t="str">
            <v>Falkland Islands (Islas Malvinas)</v>
          </cell>
        </row>
        <row r="99">
          <cell r="A99" t="str">
            <v>Faroe Islands</v>
          </cell>
        </row>
        <row r="100">
          <cell r="A100" t="str">
            <v>Micronesia</v>
          </cell>
        </row>
        <row r="101">
          <cell r="A101" t="str">
            <v>Gabon</v>
          </cell>
        </row>
        <row r="102">
          <cell r="A102" t="str">
            <v>Georgia</v>
          </cell>
        </row>
        <row r="103">
          <cell r="A103" t="str">
            <v>Guernsey</v>
          </cell>
        </row>
        <row r="104">
          <cell r="A104" t="str">
            <v>Ghana</v>
          </cell>
        </row>
        <row r="105">
          <cell r="A105" t="str">
            <v>Gibraltar</v>
          </cell>
        </row>
        <row r="106">
          <cell r="A106" t="str">
            <v>Guinea</v>
          </cell>
        </row>
        <row r="107">
          <cell r="A107" t="str">
            <v>Guadeloupe</v>
          </cell>
        </row>
        <row r="108">
          <cell r="A108" t="str">
            <v>Gambia</v>
          </cell>
        </row>
        <row r="109">
          <cell r="A109" t="str">
            <v>Guinea-Bissau</v>
          </cell>
        </row>
        <row r="110">
          <cell r="A110" t="str">
            <v>Equatorial Guinea</v>
          </cell>
        </row>
        <row r="111">
          <cell r="A111" t="str">
            <v>Greece</v>
          </cell>
        </row>
        <row r="112">
          <cell r="A112" t="str">
            <v>Grenada</v>
          </cell>
        </row>
        <row r="113">
          <cell r="A113" t="str">
            <v>Greenland</v>
          </cell>
        </row>
        <row r="114">
          <cell r="A114" t="str">
            <v>Guatemala</v>
          </cell>
        </row>
        <row r="115">
          <cell r="A115" t="str">
            <v>French Guiana</v>
          </cell>
        </row>
        <row r="116">
          <cell r="A116" t="str">
            <v>Guam</v>
          </cell>
        </row>
        <row r="117">
          <cell r="A117" t="str">
            <v>Guyana</v>
          </cell>
        </row>
        <row r="118">
          <cell r="A118" t="str">
            <v>Heard &amp; McDonald Islands</v>
          </cell>
        </row>
        <row r="119">
          <cell r="A119" t="str">
            <v>Honduras</v>
          </cell>
        </row>
        <row r="120">
          <cell r="A120" t="str">
            <v>Haiti</v>
          </cell>
        </row>
        <row r="121">
          <cell r="A121" t="str">
            <v>Hungary</v>
          </cell>
        </row>
        <row r="122">
          <cell r="A122" t="str">
            <v>Indonesia</v>
          </cell>
        </row>
        <row r="123">
          <cell r="A123" t="str">
            <v>Isle of Man</v>
          </cell>
        </row>
        <row r="124">
          <cell r="A124" t="str">
            <v>British Indian Ocean Territory</v>
          </cell>
        </row>
        <row r="125">
          <cell r="A125" t="str">
            <v>Ireland</v>
          </cell>
        </row>
        <row r="126">
          <cell r="A126" t="str">
            <v>Iran</v>
          </cell>
        </row>
        <row r="127">
          <cell r="A127" t="str">
            <v>Iraq</v>
          </cell>
        </row>
        <row r="128">
          <cell r="A128" t="str">
            <v>Iceland</v>
          </cell>
        </row>
        <row r="129">
          <cell r="A129" t="str">
            <v>Jamaica</v>
          </cell>
        </row>
        <row r="130">
          <cell r="A130" t="str">
            <v>Jersey</v>
          </cell>
        </row>
        <row r="131">
          <cell r="A131" t="str">
            <v>Jordan</v>
          </cell>
        </row>
        <row r="132">
          <cell r="A132" t="str">
            <v>Kazakhstan</v>
          </cell>
        </row>
        <row r="133">
          <cell r="A133" t="str">
            <v>Kenya</v>
          </cell>
        </row>
        <row r="134">
          <cell r="A134" t="str">
            <v>Kyrgyzstan</v>
          </cell>
        </row>
        <row r="135">
          <cell r="A135" t="str">
            <v>Cambodia</v>
          </cell>
        </row>
        <row r="136">
          <cell r="A136" t="str">
            <v>Kiribati</v>
          </cell>
        </row>
        <row r="137">
          <cell r="A137" t="str">
            <v>St. Kitts &amp; Nevis</v>
          </cell>
        </row>
        <row r="138">
          <cell r="A138" t="str">
            <v>Kuwait</v>
          </cell>
        </row>
        <row r="139">
          <cell r="A139" t="str">
            <v>Laos</v>
          </cell>
        </row>
        <row r="140">
          <cell r="A140" t="str">
            <v>Lebanon</v>
          </cell>
        </row>
        <row r="141">
          <cell r="A141" t="str">
            <v>Liberia</v>
          </cell>
        </row>
        <row r="142">
          <cell r="A142" t="str">
            <v>Libya</v>
          </cell>
        </row>
        <row r="143">
          <cell r="A143" t="str">
            <v>St. Lucia</v>
          </cell>
        </row>
        <row r="144">
          <cell r="A144" t="str">
            <v>Liechtenstein</v>
          </cell>
        </row>
        <row r="145">
          <cell r="A145" t="str">
            <v>Lesotho</v>
          </cell>
        </row>
        <row r="146">
          <cell r="A146" t="str">
            <v>Lithuania</v>
          </cell>
        </row>
        <row r="147">
          <cell r="A147" t="str">
            <v>Luxembourg</v>
          </cell>
        </row>
        <row r="148">
          <cell r="A148" t="str">
            <v>Latvia</v>
          </cell>
        </row>
        <row r="149">
          <cell r="A149" t="str">
            <v>Macao</v>
          </cell>
        </row>
        <row r="150">
          <cell r="A150" t="str">
            <v>St. Martin</v>
          </cell>
        </row>
        <row r="151">
          <cell r="A151" t="str">
            <v>Morocco</v>
          </cell>
        </row>
        <row r="152">
          <cell r="A152" t="str">
            <v>Monaco</v>
          </cell>
        </row>
        <row r="153">
          <cell r="A153" t="str">
            <v>Moldova</v>
          </cell>
        </row>
        <row r="154">
          <cell r="A154" t="str">
            <v>Madagascar</v>
          </cell>
        </row>
        <row r="155">
          <cell r="A155" t="str">
            <v>Maldives</v>
          </cell>
        </row>
        <row r="156">
          <cell r="A156" t="str">
            <v>Marshall Islands</v>
          </cell>
        </row>
        <row r="157">
          <cell r="A157" t="str">
            <v>North Macedonia</v>
          </cell>
        </row>
        <row r="158">
          <cell r="A158" t="str">
            <v>Mali</v>
          </cell>
        </row>
        <row r="159">
          <cell r="A159" t="str">
            <v>Myanmar (Burma)</v>
          </cell>
        </row>
        <row r="160">
          <cell r="A160" t="str">
            <v>Montenegro</v>
          </cell>
        </row>
        <row r="161">
          <cell r="A161" t="str">
            <v>Mongolia</v>
          </cell>
        </row>
        <row r="162">
          <cell r="A162" t="str">
            <v>Northern Mariana Islands</v>
          </cell>
        </row>
        <row r="163">
          <cell r="A163" t="str">
            <v>Mozambique</v>
          </cell>
        </row>
        <row r="164">
          <cell r="A164" t="str">
            <v>Mauritania</v>
          </cell>
        </row>
        <row r="165">
          <cell r="A165" t="str">
            <v>Montserrat</v>
          </cell>
        </row>
        <row r="166">
          <cell r="A166" t="str">
            <v>Martinique</v>
          </cell>
        </row>
        <row r="167">
          <cell r="A167" t="str">
            <v>Mauritius</v>
          </cell>
        </row>
        <row r="168">
          <cell r="A168" t="str">
            <v>Malawi</v>
          </cell>
        </row>
        <row r="169">
          <cell r="A169" t="str">
            <v>Malaysia</v>
          </cell>
        </row>
        <row r="170">
          <cell r="A170" t="str">
            <v>Mayotte</v>
          </cell>
        </row>
        <row r="171">
          <cell r="A171" t="str">
            <v>Namibia</v>
          </cell>
        </row>
        <row r="172">
          <cell r="A172" t="str">
            <v>New Caledonia</v>
          </cell>
        </row>
        <row r="173">
          <cell r="A173" t="str">
            <v>Niger</v>
          </cell>
        </row>
        <row r="174">
          <cell r="A174" t="str">
            <v>Norfolk Island</v>
          </cell>
        </row>
        <row r="175">
          <cell r="A175" t="str">
            <v>Nigeria</v>
          </cell>
        </row>
        <row r="176">
          <cell r="A176" t="str">
            <v>Nicaragua</v>
          </cell>
        </row>
        <row r="177">
          <cell r="A177" t="str">
            <v>Niue</v>
          </cell>
        </row>
        <row r="178">
          <cell r="A178" t="str">
            <v>Netherlands</v>
          </cell>
        </row>
        <row r="179">
          <cell r="A179" t="str">
            <v>Norway</v>
          </cell>
        </row>
        <row r="180">
          <cell r="A180" t="str">
            <v>Nepal</v>
          </cell>
        </row>
        <row r="181">
          <cell r="A181" t="str">
            <v>Nauru</v>
          </cell>
        </row>
        <row r="182">
          <cell r="A182" t="str">
            <v>New Zealand</v>
          </cell>
        </row>
        <row r="183">
          <cell r="A183" t="str">
            <v>Oman</v>
          </cell>
        </row>
        <row r="184">
          <cell r="A184" t="str">
            <v>Panama</v>
          </cell>
        </row>
        <row r="185">
          <cell r="A185" t="str">
            <v>Pitcairn Islands</v>
          </cell>
        </row>
        <row r="186">
          <cell r="A186" t="str">
            <v>Peru</v>
          </cell>
        </row>
        <row r="187">
          <cell r="A187" t="str">
            <v>Philippines</v>
          </cell>
        </row>
        <row r="188">
          <cell r="A188" t="str">
            <v>Palau</v>
          </cell>
        </row>
        <row r="189">
          <cell r="A189" t="str">
            <v>Papua New Guinea</v>
          </cell>
        </row>
        <row r="190">
          <cell r="A190" t="str">
            <v>Poland</v>
          </cell>
        </row>
        <row r="191">
          <cell r="A191" t="str">
            <v>Puerto Rico</v>
          </cell>
        </row>
        <row r="192">
          <cell r="A192" t="str">
            <v>North Korea</v>
          </cell>
        </row>
        <row r="193">
          <cell r="A193" t="str">
            <v>Portugal</v>
          </cell>
        </row>
        <row r="194">
          <cell r="A194" t="str">
            <v>Paraguay</v>
          </cell>
        </row>
        <row r="195">
          <cell r="A195" t="str">
            <v>Palestine</v>
          </cell>
        </row>
        <row r="196">
          <cell r="A196" t="str">
            <v>French Polynesia</v>
          </cell>
        </row>
        <row r="197">
          <cell r="A197" t="str">
            <v>Qatar</v>
          </cell>
        </row>
        <row r="198">
          <cell r="A198" t="str">
            <v>RÃ©union</v>
          </cell>
        </row>
        <row r="199">
          <cell r="A199" t="str">
            <v>Romania</v>
          </cell>
        </row>
        <row r="200">
          <cell r="A200" t="str">
            <v>Rwanda</v>
          </cell>
        </row>
        <row r="201">
          <cell r="A201" t="str">
            <v>Saudi Arabia</v>
          </cell>
        </row>
        <row r="202">
          <cell r="A202" t="str">
            <v>Senegal</v>
          </cell>
        </row>
        <row r="203">
          <cell r="A203" t="str">
            <v>South Georgia &amp; South Sandwich Islands</v>
          </cell>
        </row>
        <row r="204">
          <cell r="A204" t="str">
            <v>St. Helena</v>
          </cell>
        </row>
        <row r="205">
          <cell r="A205" t="str">
            <v>Svalbard &amp; Jan Mayen</v>
          </cell>
        </row>
        <row r="206">
          <cell r="A206" t="str">
            <v>Solomon Islands</v>
          </cell>
        </row>
        <row r="207">
          <cell r="A207" t="str">
            <v>Sierra Leone</v>
          </cell>
        </row>
        <row r="208">
          <cell r="A208" t="str">
            <v>El Salvador</v>
          </cell>
        </row>
        <row r="209">
          <cell r="A209" t="str">
            <v>San Marino</v>
          </cell>
        </row>
        <row r="210">
          <cell r="A210" t="str">
            <v>Somalia</v>
          </cell>
        </row>
        <row r="211">
          <cell r="A211" t="str">
            <v>St. Pierre &amp; Miquelon</v>
          </cell>
        </row>
        <row r="212">
          <cell r="A212" t="str">
            <v>Serbia</v>
          </cell>
        </row>
        <row r="213">
          <cell r="A213" t="str">
            <v>South Sudan</v>
          </cell>
        </row>
        <row r="214">
          <cell r="A214" t="str">
            <v>SÃ£o TomÃ© &amp; PrÃ­ncipe</v>
          </cell>
        </row>
        <row r="215">
          <cell r="A215" t="str">
            <v>Suriname</v>
          </cell>
        </row>
        <row r="216">
          <cell r="A216" t="str">
            <v>Slovakia</v>
          </cell>
        </row>
        <row r="217">
          <cell r="A217" t="str">
            <v>Slovenia</v>
          </cell>
        </row>
        <row r="218">
          <cell r="A218" t="str">
            <v>Sweden</v>
          </cell>
        </row>
        <row r="219">
          <cell r="A219" t="str">
            <v>Eswatini</v>
          </cell>
        </row>
        <row r="220">
          <cell r="A220" t="str">
            <v>Sint Maarten</v>
          </cell>
        </row>
        <row r="221">
          <cell r="A221" t="str">
            <v>Seychelles</v>
          </cell>
        </row>
        <row r="222">
          <cell r="A222" t="str">
            <v>Syria</v>
          </cell>
        </row>
        <row r="223">
          <cell r="A223" t="str">
            <v>Turks &amp; Caicos Islands</v>
          </cell>
        </row>
        <row r="224">
          <cell r="A224" t="str">
            <v>Chad</v>
          </cell>
        </row>
        <row r="225">
          <cell r="A225" t="str">
            <v>Togo</v>
          </cell>
        </row>
        <row r="226">
          <cell r="A226" t="str">
            <v>Tajikistan</v>
          </cell>
        </row>
        <row r="227">
          <cell r="A227" t="str">
            <v>Tokelau</v>
          </cell>
        </row>
        <row r="228">
          <cell r="A228" t="str">
            <v>Turkmenistan</v>
          </cell>
        </row>
        <row r="229">
          <cell r="A229" t="str">
            <v>Timor-Leste</v>
          </cell>
        </row>
        <row r="230">
          <cell r="A230" t="str">
            <v>Tonga</v>
          </cell>
        </row>
        <row r="231">
          <cell r="A231" t="str">
            <v>Trinidad &amp; Tobago</v>
          </cell>
        </row>
        <row r="232">
          <cell r="A232" t="str">
            <v>Tunisia</v>
          </cell>
        </row>
        <row r="233">
          <cell r="A233" t="str">
            <v>Tuvalu</v>
          </cell>
        </row>
        <row r="234">
          <cell r="A234" t="str">
            <v>Taiwan</v>
          </cell>
        </row>
        <row r="235">
          <cell r="A235" t="str">
            <v>Tanzania</v>
          </cell>
        </row>
        <row r="236">
          <cell r="A236" t="str">
            <v>Uganda</v>
          </cell>
        </row>
        <row r="237">
          <cell r="A237" t="str">
            <v>Ukraine</v>
          </cell>
        </row>
        <row r="238">
          <cell r="A238" t="str">
            <v>U.S. Outlying Islands</v>
          </cell>
        </row>
        <row r="239">
          <cell r="A239" t="str">
            <v>Uruguay</v>
          </cell>
        </row>
        <row r="240">
          <cell r="A240" t="str">
            <v>Uzbekistan</v>
          </cell>
        </row>
        <row r="241">
          <cell r="A241" t="str">
            <v>Vatican City</v>
          </cell>
        </row>
        <row r="242">
          <cell r="A242" t="str">
            <v>St. Vincent &amp; Grenadines</v>
          </cell>
        </row>
        <row r="243">
          <cell r="A243" t="str">
            <v>Venezuela</v>
          </cell>
        </row>
        <row r="244">
          <cell r="A244" t="str">
            <v>British Virgin Islands</v>
          </cell>
        </row>
        <row r="245">
          <cell r="A245" t="str">
            <v>U.S. Virgin Islands</v>
          </cell>
        </row>
        <row r="246">
          <cell r="A246" t="str">
            <v>Vietnam</v>
          </cell>
        </row>
        <row r="247">
          <cell r="A247" t="str">
            <v>Vanuatu</v>
          </cell>
        </row>
        <row r="248">
          <cell r="A248" t="str">
            <v>Wallis &amp; Futuna</v>
          </cell>
        </row>
        <row r="249">
          <cell r="A249" t="str">
            <v>Samoa</v>
          </cell>
        </row>
        <row r="250">
          <cell r="A250" t="str">
            <v>Kosovo</v>
          </cell>
        </row>
        <row r="251">
          <cell r="A251" t="str">
            <v>Yemen</v>
          </cell>
        </row>
        <row r="252">
          <cell r="A252" t="str">
            <v>Zambia</v>
          </cell>
        </row>
        <row r="253">
          <cell r="A253" t="str">
            <v>Zimbabwe</v>
          </cell>
        </row>
      </sheetData>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64)"/>
    </sheetNames>
    <sheetDataSet>
      <sheetData sheetId="0" refreshError="1">
        <row r="1">
          <cell r="A1" t="str">
            <v>Kategori: TÃ¼m kategoriler</v>
          </cell>
        </row>
        <row r="3">
          <cell r="A3" t="str">
            <v>Ãœlke</v>
          </cell>
          <cell r="B3" t="str">
            <v>Countâ€“min sketch: (2018)</v>
          </cell>
          <cell r="C3" t="str">
            <v>Polynomial hierarchy: (2018)</v>
          </cell>
        </row>
        <row r="4">
          <cell r="A4" t="str">
            <v>Russia</v>
          </cell>
          <cell r="C4">
            <v>1</v>
          </cell>
        </row>
        <row r="5">
          <cell r="A5" t="str">
            <v>United States</v>
          </cell>
          <cell r="B5">
            <v>0.87</v>
          </cell>
          <cell r="C5">
            <v>0.13</v>
          </cell>
        </row>
        <row r="6">
          <cell r="A6" t="str">
            <v>India</v>
          </cell>
          <cell r="B6">
            <v>1</v>
          </cell>
        </row>
        <row r="7">
          <cell r="A7" t="str">
            <v>Germany</v>
          </cell>
          <cell r="B7">
            <v>1</v>
          </cell>
        </row>
        <row r="8">
          <cell r="A8" t="str">
            <v>China</v>
          </cell>
        </row>
        <row r="9">
          <cell r="A9" t="str">
            <v>Greece</v>
          </cell>
        </row>
        <row r="10">
          <cell r="A10" t="str">
            <v>Israel</v>
          </cell>
        </row>
        <row r="11">
          <cell r="A11" t="str">
            <v>Belarus</v>
          </cell>
        </row>
        <row r="12">
          <cell r="A12" t="str">
            <v>Hong Kong</v>
          </cell>
        </row>
        <row r="13">
          <cell r="A13" t="str">
            <v>Taiwan</v>
          </cell>
        </row>
        <row r="14">
          <cell r="A14" t="str">
            <v>Finland</v>
          </cell>
        </row>
        <row r="15">
          <cell r="A15" t="str">
            <v>Portugal</v>
          </cell>
        </row>
        <row r="16">
          <cell r="A16" t="str">
            <v>Denmark</v>
          </cell>
        </row>
        <row r="17">
          <cell r="A17" t="str">
            <v>Saudi Arabia</v>
          </cell>
        </row>
        <row r="18">
          <cell r="A18" t="str">
            <v>Peru</v>
          </cell>
        </row>
        <row r="19">
          <cell r="A19" t="str">
            <v>Sweden</v>
          </cell>
        </row>
        <row r="20">
          <cell r="A20" t="str">
            <v>Iran</v>
          </cell>
        </row>
        <row r="21">
          <cell r="A21" t="str">
            <v>Ukraine</v>
          </cell>
        </row>
        <row r="22">
          <cell r="A22" t="str">
            <v>Canada</v>
          </cell>
        </row>
        <row r="23">
          <cell r="A23" t="str">
            <v>Turkey</v>
          </cell>
        </row>
        <row r="24">
          <cell r="A24" t="str">
            <v>Italy</v>
          </cell>
        </row>
        <row r="25">
          <cell r="A25" t="str">
            <v>United Kingdom</v>
          </cell>
        </row>
        <row r="26">
          <cell r="A26" t="str">
            <v>Australia</v>
          </cell>
        </row>
        <row r="27">
          <cell r="A27" t="str">
            <v>Poland</v>
          </cell>
        </row>
        <row r="28">
          <cell r="A28" t="str">
            <v>Spain</v>
          </cell>
        </row>
        <row r="29">
          <cell r="A29" t="str">
            <v>France</v>
          </cell>
        </row>
        <row r="30">
          <cell r="A30" t="str">
            <v>Japan</v>
          </cell>
        </row>
        <row r="31">
          <cell r="A31" t="str">
            <v>Brazil</v>
          </cell>
        </row>
        <row r="32">
          <cell r="A32" t="str">
            <v>Aruba</v>
          </cell>
        </row>
        <row r="33">
          <cell r="A33" t="str">
            <v>Afghanistan</v>
          </cell>
        </row>
        <row r="34">
          <cell r="A34" t="str">
            <v>Angola</v>
          </cell>
        </row>
        <row r="35">
          <cell r="A35" t="str">
            <v>Anguilla</v>
          </cell>
        </row>
        <row r="36">
          <cell r="A36" t="str">
            <v>Ã…land Islands</v>
          </cell>
        </row>
        <row r="37">
          <cell r="A37" t="str">
            <v>Albania</v>
          </cell>
        </row>
        <row r="38">
          <cell r="A38" t="str">
            <v>Andorra</v>
          </cell>
        </row>
        <row r="39">
          <cell r="A39" t="str">
            <v>United Arab Emirates</v>
          </cell>
        </row>
        <row r="40">
          <cell r="A40" t="str">
            <v>Argentina</v>
          </cell>
        </row>
        <row r="41">
          <cell r="A41" t="str">
            <v>Armenia</v>
          </cell>
        </row>
        <row r="42">
          <cell r="A42" t="str">
            <v>American Samoa</v>
          </cell>
        </row>
        <row r="43">
          <cell r="A43" t="str">
            <v>Antarctica</v>
          </cell>
        </row>
        <row r="44">
          <cell r="A44" t="str">
            <v>French Southern Territories</v>
          </cell>
        </row>
        <row r="45">
          <cell r="A45" t="str">
            <v>Antigua &amp; Barbuda</v>
          </cell>
        </row>
        <row r="46">
          <cell r="A46" t="str">
            <v>Austria</v>
          </cell>
        </row>
        <row r="47">
          <cell r="A47" t="str">
            <v>Azerbaijan</v>
          </cell>
        </row>
        <row r="48">
          <cell r="A48" t="str">
            <v>Burundi</v>
          </cell>
        </row>
        <row r="49">
          <cell r="A49" t="str">
            <v>Belgium</v>
          </cell>
        </row>
        <row r="50">
          <cell r="A50" t="str">
            <v>Benin</v>
          </cell>
        </row>
        <row r="51">
          <cell r="A51" t="str">
            <v>Caribbean Netherlands</v>
          </cell>
        </row>
        <row r="52">
          <cell r="A52" t="str">
            <v>Burkina Faso</v>
          </cell>
        </row>
        <row r="53">
          <cell r="A53" t="str">
            <v>Bangladesh</v>
          </cell>
        </row>
        <row r="54">
          <cell r="A54" t="str">
            <v>Bulgaria</v>
          </cell>
        </row>
        <row r="55">
          <cell r="A55" t="str">
            <v>Bahrain</v>
          </cell>
        </row>
        <row r="56">
          <cell r="A56" t="str">
            <v>Bahamas</v>
          </cell>
        </row>
        <row r="57">
          <cell r="A57" t="str">
            <v>Bosnia &amp; Herzegovina</v>
          </cell>
        </row>
        <row r="58">
          <cell r="A58" t="str">
            <v>St. BarthÃ©lemy</v>
          </cell>
        </row>
        <row r="59">
          <cell r="A59" t="str">
            <v>Belize</v>
          </cell>
        </row>
        <row r="60">
          <cell r="A60" t="str">
            <v>Bermuda</v>
          </cell>
        </row>
        <row r="61">
          <cell r="A61" t="str">
            <v>Bolivia</v>
          </cell>
        </row>
        <row r="62">
          <cell r="A62" t="str">
            <v>Barbados</v>
          </cell>
        </row>
        <row r="63">
          <cell r="A63" t="str">
            <v>Brunei</v>
          </cell>
        </row>
        <row r="64">
          <cell r="A64" t="str">
            <v>Bhutan</v>
          </cell>
        </row>
        <row r="65">
          <cell r="A65" t="str">
            <v>Bouvet Island</v>
          </cell>
        </row>
        <row r="66">
          <cell r="A66" t="str">
            <v>Botswana</v>
          </cell>
        </row>
        <row r="67">
          <cell r="A67" t="str">
            <v>Central African Republic</v>
          </cell>
        </row>
        <row r="68">
          <cell r="A68" t="str">
            <v>Cocos (Keeling) Islands</v>
          </cell>
        </row>
        <row r="69">
          <cell r="A69" t="str">
            <v>Switzerland</v>
          </cell>
        </row>
        <row r="70">
          <cell r="A70" t="str">
            <v>Chile</v>
          </cell>
        </row>
        <row r="71">
          <cell r="A71" t="str">
            <v>CÃ´te dâ€™Ivoire</v>
          </cell>
        </row>
        <row r="72">
          <cell r="A72" t="str">
            <v>Cameroon</v>
          </cell>
        </row>
        <row r="73">
          <cell r="A73" t="str">
            <v>Congo - Kinshasa</v>
          </cell>
        </row>
        <row r="74">
          <cell r="A74" t="str">
            <v>Congo - Brazzaville</v>
          </cell>
        </row>
        <row r="75">
          <cell r="A75" t="str">
            <v>Cook Islands</v>
          </cell>
        </row>
        <row r="76">
          <cell r="A76" t="str">
            <v>Colombia</v>
          </cell>
        </row>
        <row r="77">
          <cell r="A77" t="str">
            <v>Comoros</v>
          </cell>
        </row>
        <row r="78">
          <cell r="A78" t="str">
            <v>Cape Verde</v>
          </cell>
        </row>
        <row r="79">
          <cell r="A79" t="str">
            <v>Costa Rica</v>
          </cell>
        </row>
        <row r="80">
          <cell r="A80" t="str">
            <v>Cuba</v>
          </cell>
        </row>
        <row r="81">
          <cell r="A81" t="str">
            <v>CuraÃ§ao</v>
          </cell>
        </row>
        <row r="82">
          <cell r="A82" t="str">
            <v>Christmas Island</v>
          </cell>
        </row>
        <row r="83">
          <cell r="A83" t="str">
            <v>Cayman Islands</v>
          </cell>
        </row>
        <row r="84">
          <cell r="A84" t="str">
            <v>Cyprus</v>
          </cell>
        </row>
        <row r="85">
          <cell r="A85" t="str">
            <v>Czechia</v>
          </cell>
        </row>
        <row r="86">
          <cell r="A86" t="str">
            <v>Djibouti</v>
          </cell>
        </row>
        <row r="87">
          <cell r="A87" t="str">
            <v>Dominica</v>
          </cell>
        </row>
        <row r="88">
          <cell r="A88" t="str">
            <v>Dominican Republic</v>
          </cell>
        </row>
        <row r="89">
          <cell r="A89" t="str">
            <v>Algeria</v>
          </cell>
        </row>
        <row r="90">
          <cell r="A90" t="str">
            <v>Ecuador</v>
          </cell>
        </row>
        <row r="91">
          <cell r="A91" t="str">
            <v>Egypt</v>
          </cell>
        </row>
        <row r="92">
          <cell r="A92" t="str">
            <v>Eritrea</v>
          </cell>
        </row>
        <row r="93">
          <cell r="A93" t="str">
            <v>Western Sahara</v>
          </cell>
        </row>
        <row r="94">
          <cell r="A94" t="str">
            <v>Estonia</v>
          </cell>
        </row>
        <row r="95">
          <cell r="A95" t="str">
            <v>Ethiopia</v>
          </cell>
        </row>
        <row r="96">
          <cell r="A96" t="str">
            <v>Fiji</v>
          </cell>
        </row>
        <row r="97">
          <cell r="A97" t="str">
            <v>Falkland Islands (Islas Malvinas)</v>
          </cell>
        </row>
        <row r="98">
          <cell r="A98" t="str">
            <v>Faroe Islands</v>
          </cell>
        </row>
        <row r="99">
          <cell r="A99" t="str">
            <v>Micronesia</v>
          </cell>
        </row>
        <row r="100">
          <cell r="A100" t="str">
            <v>Gabon</v>
          </cell>
        </row>
        <row r="101">
          <cell r="A101" t="str">
            <v>Georgia</v>
          </cell>
        </row>
        <row r="102">
          <cell r="A102" t="str">
            <v>Guernsey</v>
          </cell>
        </row>
        <row r="103">
          <cell r="A103" t="str">
            <v>Ghana</v>
          </cell>
        </row>
        <row r="104">
          <cell r="A104" t="str">
            <v>Gibraltar</v>
          </cell>
        </row>
        <row r="105">
          <cell r="A105" t="str">
            <v>Guinea</v>
          </cell>
        </row>
        <row r="106">
          <cell r="A106" t="str">
            <v>Guadeloupe</v>
          </cell>
        </row>
        <row r="107">
          <cell r="A107" t="str">
            <v>Gambia</v>
          </cell>
        </row>
        <row r="108">
          <cell r="A108" t="str">
            <v>Guinea-Bissau</v>
          </cell>
        </row>
        <row r="109">
          <cell r="A109" t="str">
            <v>Equatorial Guinea</v>
          </cell>
        </row>
        <row r="110">
          <cell r="A110" t="str">
            <v>Grenada</v>
          </cell>
        </row>
        <row r="111">
          <cell r="A111" t="str">
            <v>Greenland</v>
          </cell>
        </row>
        <row r="112">
          <cell r="A112" t="str">
            <v>Guatemala</v>
          </cell>
        </row>
        <row r="113">
          <cell r="A113" t="str">
            <v>French Guiana</v>
          </cell>
        </row>
        <row r="114">
          <cell r="A114" t="str">
            <v>Guam</v>
          </cell>
        </row>
        <row r="115">
          <cell r="A115" t="str">
            <v>Guyana</v>
          </cell>
        </row>
        <row r="116">
          <cell r="A116" t="str">
            <v>Heard &amp; McDonald Islands</v>
          </cell>
        </row>
        <row r="117">
          <cell r="A117" t="str">
            <v>Honduras</v>
          </cell>
        </row>
        <row r="118">
          <cell r="A118" t="str">
            <v>Croatia</v>
          </cell>
        </row>
        <row r="119">
          <cell r="A119" t="str">
            <v>Haiti</v>
          </cell>
        </row>
        <row r="120">
          <cell r="A120" t="str">
            <v>Hungary</v>
          </cell>
        </row>
        <row r="121">
          <cell r="A121" t="str">
            <v>Indonesia</v>
          </cell>
        </row>
        <row r="122">
          <cell r="A122" t="str">
            <v>Isle of Man</v>
          </cell>
        </row>
        <row r="123">
          <cell r="A123" t="str">
            <v>British Indian Ocean Territory</v>
          </cell>
        </row>
        <row r="124">
          <cell r="A124" t="str">
            <v>Ireland</v>
          </cell>
        </row>
        <row r="125">
          <cell r="A125" t="str">
            <v>Iraq</v>
          </cell>
        </row>
        <row r="126">
          <cell r="A126" t="str">
            <v>Iceland</v>
          </cell>
        </row>
        <row r="127">
          <cell r="A127" t="str">
            <v>Jamaica</v>
          </cell>
        </row>
        <row r="128">
          <cell r="A128" t="str">
            <v>Jersey</v>
          </cell>
        </row>
        <row r="129">
          <cell r="A129" t="str">
            <v>Jordan</v>
          </cell>
        </row>
        <row r="130">
          <cell r="A130" t="str">
            <v>Kazakhstan</v>
          </cell>
        </row>
        <row r="131">
          <cell r="A131" t="str">
            <v>Kenya</v>
          </cell>
        </row>
        <row r="132">
          <cell r="A132" t="str">
            <v>Kyrgyzstan</v>
          </cell>
        </row>
        <row r="133">
          <cell r="A133" t="str">
            <v>Cambodia</v>
          </cell>
        </row>
        <row r="134">
          <cell r="A134" t="str">
            <v>Kiribati</v>
          </cell>
        </row>
        <row r="135">
          <cell r="A135" t="str">
            <v>St. Kitts &amp; Nevis</v>
          </cell>
        </row>
        <row r="136">
          <cell r="A136" t="str">
            <v>South Korea</v>
          </cell>
        </row>
        <row r="137">
          <cell r="A137" t="str">
            <v>Kuwait</v>
          </cell>
        </row>
        <row r="138">
          <cell r="A138" t="str">
            <v>Laos</v>
          </cell>
        </row>
        <row r="139">
          <cell r="A139" t="str">
            <v>Lebanon</v>
          </cell>
        </row>
        <row r="140">
          <cell r="A140" t="str">
            <v>Liberia</v>
          </cell>
        </row>
        <row r="141">
          <cell r="A141" t="str">
            <v>Libya</v>
          </cell>
        </row>
        <row r="142">
          <cell r="A142" t="str">
            <v>St. Lucia</v>
          </cell>
        </row>
        <row r="143">
          <cell r="A143" t="str">
            <v>Liechtenstein</v>
          </cell>
        </row>
        <row r="144">
          <cell r="A144" t="str">
            <v>Sri Lanka</v>
          </cell>
        </row>
        <row r="145">
          <cell r="A145" t="str">
            <v>Lesotho</v>
          </cell>
        </row>
        <row r="146">
          <cell r="A146" t="str">
            <v>Lithuania</v>
          </cell>
        </row>
        <row r="147">
          <cell r="A147" t="str">
            <v>Luxembourg</v>
          </cell>
        </row>
        <row r="148">
          <cell r="A148" t="str">
            <v>Latvia</v>
          </cell>
        </row>
        <row r="149">
          <cell r="A149" t="str">
            <v>Macao</v>
          </cell>
        </row>
        <row r="150">
          <cell r="A150" t="str">
            <v>St. Martin</v>
          </cell>
        </row>
        <row r="151">
          <cell r="A151" t="str">
            <v>Morocco</v>
          </cell>
        </row>
        <row r="152">
          <cell r="A152" t="str">
            <v>Monaco</v>
          </cell>
        </row>
        <row r="153">
          <cell r="A153" t="str">
            <v>Moldova</v>
          </cell>
        </row>
        <row r="154">
          <cell r="A154" t="str">
            <v>Madagascar</v>
          </cell>
        </row>
        <row r="155">
          <cell r="A155" t="str">
            <v>Maldives</v>
          </cell>
        </row>
        <row r="156">
          <cell r="A156" t="str">
            <v>Mexico</v>
          </cell>
        </row>
        <row r="157">
          <cell r="A157" t="str">
            <v>Marshall Islands</v>
          </cell>
        </row>
        <row r="158">
          <cell r="A158" t="str">
            <v>North Macedonia</v>
          </cell>
        </row>
        <row r="159">
          <cell r="A159" t="str">
            <v>Mali</v>
          </cell>
        </row>
        <row r="160">
          <cell r="A160" t="str">
            <v>Malta</v>
          </cell>
        </row>
        <row r="161">
          <cell r="A161" t="str">
            <v>Myanmar (Burma)</v>
          </cell>
        </row>
        <row r="162">
          <cell r="A162" t="str">
            <v>Montenegro</v>
          </cell>
        </row>
        <row r="163">
          <cell r="A163" t="str">
            <v>Mongolia</v>
          </cell>
        </row>
        <row r="164">
          <cell r="A164" t="str">
            <v>Northern Mariana Islands</v>
          </cell>
        </row>
        <row r="165">
          <cell r="A165" t="str">
            <v>Mozambique</v>
          </cell>
        </row>
        <row r="166">
          <cell r="A166" t="str">
            <v>Mauritania</v>
          </cell>
        </row>
        <row r="167">
          <cell r="A167" t="str">
            <v>Montserrat</v>
          </cell>
        </row>
        <row r="168">
          <cell r="A168" t="str">
            <v>Martinique</v>
          </cell>
        </row>
        <row r="169">
          <cell r="A169" t="str">
            <v>Mauritius</v>
          </cell>
        </row>
        <row r="170">
          <cell r="A170" t="str">
            <v>Malawi</v>
          </cell>
        </row>
        <row r="171">
          <cell r="A171" t="str">
            <v>Malaysia</v>
          </cell>
        </row>
        <row r="172">
          <cell r="A172" t="str">
            <v>Mayotte</v>
          </cell>
        </row>
        <row r="173">
          <cell r="A173" t="str">
            <v>Namibia</v>
          </cell>
        </row>
        <row r="174">
          <cell r="A174" t="str">
            <v>New Caledonia</v>
          </cell>
        </row>
        <row r="175">
          <cell r="A175" t="str">
            <v>Niger</v>
          </cell>
        </row>
        <row r="176">
          <cell r="A176" t="str">
            <v>Norfolk Island</v>
          </cell>
        </row>
        <row r="177">
          <cell r="A177" t="str">
            <v>Nigeria</v>
          </cell>
        </row>
        <row r="178">
          <cell r="A178" t="str">
            <v>Nicaragua</v>
          </cell>
        </row>
        <row r="179">
          <cell r="A179" t="str">
            <v>Niue</v>
          </cell>
        </row>
        <row r="180">
          <cell r="A180" t="str">
            <v>Netherlands</v>
          </cell>
        </row>
        <row r="181">
          <cell r="A181" t="str">
            <v>Norway</v>
          </cell>
        </row>
        <row r="182">
          <cell r="A182" t="str">
            <v>Nepal</v>
          </cell>
        </row>
        <row r="183">
          <cell r="A183" t="str">
            <v>Nauru</v>
          </cell>
        </row>
        <row r="184">
          <cell r="A184" t="str">
            <v>New Zealand</v>
          </cell>
        </row>
        <row r="185">
          <cell r="A185" t="str">
            <v>Oman</v>
          </cell>
        </row>
        <row r="186">
          <cell r="A186" t="str">
            <v>Pakistan</v>
          </cell>
        </row>
        <row r="187">
          <cell r="A187" t="str">
            <v>Panama</v>
          </cell>
        </row>
        <row r="188">
          <cell r="A188" t="str">
            <v>Pitcairn Islands</v>
          </cell>
        </row>
        <row r="189">
          <cell r="A189" t="str">
            <v>Philippines</v>
          </cell>
        </row>
        <row r="190">
          <cell r="A190" t="str">
            <v>Palau</v>
          </cell>
        </row>
        <row r="191">
          <cell r="A191" t="str">
            <v>Papua New Guinea</v>
          </cell>
        </row>
        <row r="192">
          <cell r="A192" t="str">
            <v>Puerto Rico</v>
          </cell>
        </row>
        <row r="193">
          <cell r="A193" t="str">
            <v>North Korea</v>
          </cell>
        </row>
        <row r="194">
          <cell r="A194" t="str">
            <v>Paraguay</v>
          </cell>
        </row>
        <row r="195">
          <cell r="A195" t="str">
            <v>Palestine</v>
          </cell>
        </row>
        <row r="196">
          <cell r="A196" t="str">
            <v>French Polynesia</v>
          </cell>
        </row>
        <row r="197">
          <cell r="A197" t="str">
            <v>Qatar</v>
          </cell>
        </row>
        <row r="198">
          <cell r="A198" t="str">
            <v>RÃ©union</v>
          </cell>
        </row>
        <row r="199">
          <cell r="A199" t="str">
            <v>Romania</v>
          </cell>
        </row>
        <row r="200">
          <cell r="A200" t="str">
            <v>Rwanda</v>
          </cell>
        </row>
        <row r="201">
          <cell r="A201" t="str">
            <v>Sudan</v>
          </cell>
        </row>
        <row r="202">
          <cell r="A202" t="str">
            <v>Senegal</v>
          </cell>
        </row>
        <row r="203">
          <cell r="A203" t="str">
            <v>Singapore</v>
          </cell>
        </row>
        <row r="204">
          <cell r="A204" t="str">
            <v>South Georgia &amp; South Sandwich Islands</v>
          </cell>
        </row>
        <row r="205">
          <cell r="A205" t="str">
            <v>St. Helena</v>
          </cell>
        </row>
        <row r="206">
          <cell r="A206" t="str">
            <v>Svalbard &amp; Jan Mayen</v>
          </cell>
        </row>
        <row r="207">
          <cell r="A207" t="str">
            <v>Solomon Islands</v>
          </cell>
        </row>
        <row r="208">
          <cell r="A208" t="str">
            <v>Sierra Leone</v>
          </cell>
        </row>
        <row r="209">
          <cell r="A209" t="str">
            <v>El Salvador</v>
          </cell>
        </row>
        <row r="210">
          <cell r="A210" t="str">
            <v>San Marino</v>
          </cell>
        </row>
        <row r="211">
          <cell r="A211" t="str">
            <v>Somalia</v>
          </cell>
        </row>
        <row r="212">
          <cell r="A212" t="str">
            <v>St. Pierre &amp; Miquelon</v>
          </cell>
        </row>
        <row r="213">
          <cell r="A213" t="str">
            <v>Serbia</v>
          </cell>
        </row>
        <row r="214">
          <cell r="A214" t="str">
            <v>South Sudan</v>
          </cell>
        </row>
        <row r="215">
          <cell r="A215" t="str">
            <v>SÃ£o TomÃ© &amp; PrÃ­ncipe</v>
          </cell>
        </row>
        <row r="216">
          <cell r="A216" t="str">
            <v>Suriname</v>
          </cell>
        </row>
        <row r="217">
          <cell r="A217" t="str">
            <v>Slovakia</v>
          </cell>
        </row>
        <row r="218">
          <cell r="A218" t="str">
            <v>Slovenia</v>
          </cell>
        </row>
        <row r="219">
          <cell r="A219" t="str">
            <v>Eswatini</v>
          </cell>
        </row>
        <row r="220">
          <cell r="A220" t="str">
            <v>Sint Maarten</v>
          </cell>
        </row>
        <row r="221">
          <cell r="A221" t="str">
            <v>Seychelles</v>
          </cell>
        </row>
        <row r="222">
          <cell r="A222" t="str">
            <v>Syria</v>
          </cell>
        </row>
        <row r="223">
          <cell r="A223" t="str">
            <v>Turks &amp; Caicos Islands</v>
          </cell>
        </row>
        <row r="224">
          <cell r="A224" t="str">
            <v>Chad</v>
          </cell>
        </row>
        <row r="225">
          <cell r="A225" t="str">
            <v>Togo</v>
          </cell>
        </row>
        <row r="226">
          <cell r="A226" t="str">
            <v>Thailand</v>
          </cell>
        </row>
        <row r="227">
          <cell r="A227" t="str">
            <v>Tajikistan</v>
          </cell>
        </row>
        <row r="228">
          <cell r="A228" t="str">
            <v>Tokelau</v>
          </cell>
        </row>
        <row r="229">
          <cell r="A229" t="str">
            <v>Turkmenistan</v>
          </cell>
        </row>
        <row r="230">
          <cell r="A230" t="str">
            <v>Timor-Leste</v>
          </cell>
        </row>
        <row r="231">
          <cell r="A231" t="str">
            <v>Tonga</v>
          </cell>
        </row>
        <row r="232">
          <cell r="A232" t="str">
            <v>Trinidad &amp; Tobago</v>
          </cell>
        </row>
        <row r="233">
          <cell r="A233" t="str">
            <v>Tunisia</v>
          </cell>
        </row>
        <row r="234">
          <cell r="A234" t="str">
            <v>Tuvalu</v>
          </cell>
        </row>
        <row r="235">
          <cell r="A235" t="str">
            <v>Tanzania</v>
          </cell>
        </row>
        <row r="236">
          <cell r="A236" t="str">
            <v>Uganda</v>
          </cell>
        </row>
        <row r="237">
          <cell r="A237" t="str">
            <v>U.S. Outlying Islands</v>
          </cell>
        </row>
        <row r="238">
          <cell r="A238" t="str">
            <v>Uruguay</v>
          </cell>
        </row>
        <row r="239">
          <cell r="A239" t="str">
            <v>Uzbekistan</v>
          </cell>
        </row>
        <row r="240">
          <cell r="A240" t="str">
            <v>Vatican City</v>
          </cell>
        </row>
        <row r="241">
          <cell r="A241" t="str">
            <v>St. Vincent &amp; Grenadines</v>
          </cell>
        </row>
        <row r="242">
          <cell r="A242" t="str">
            <v>Venezuela</v>
          </cell>
        </row>
        <row r="243">
          <cell r="A243" t="str">
            <v>British Virgin Islands</v>
          </cell>
        </row>
        <row r="244">
          <cell r="A244" t="str">
            <v>U.S. Virgin Islands</v>
          </cell>
        </row>
        <row r="245">
          <cell r="A245" t="str">
            <v>Vietnam</v>
          </cell>
        </row>
        <row r="246">
          <cell r="A246" t="str">
            <v>Vanuatu</v>
          </cell>
        </row>
        <row r="247">
          <cell r="A247" t="str">
            <v>Wallis &amp; Futuna</v>
          </cell>
        </row>
        <row r="248">
          <cell r="A248" t="str">
            <v>Samoa</v>
          </cell>
        </row>
        <row r="249">
          <cell r="A249" t="str">
            <v>Kosovo</v>
          </cell>
        </row>
        <row r="250">
          <cell r="A250" t="str">
            <v>Yemen</v>
          </cell>
        </row>
        <row r="251">
          <cell r="A251" t="str">
            <v>South Africa</v>
          </cell>
        </row>
        <row r="252">
          <cell r="A252" t="str">
            <v>Zambia</v>
          </cell>
        </row>
        <row r="253">
          <cell r="A253" t="str">
            <v>Zimbabwe</v>
          </cell>
        </row>
      </sheetData>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65)"/>
    </sheetNames>
    <sheetDataSet>
      <sheetData sheetId="0" refreshError="1">
        <row r="1">
          <cell r="A1" t="str">
            <v>Kategori: TÃ¼m kategoriler</v>
          </cell>
        </row>
        <row r="3">
          <cell r="A3" t="str">
            <v>Ãœlke</v>
          </cell>
          <cell r="B3" t="str">
            <v>Polynomial hierarchy: (2018)</v>
          </cell>
          <cell r="C3" t="str">
            <v>LovÃ¡sz local lemma: (2018)</v>
          </cell>
        </row>
        <row r="4">
          <cell r="A4" t="str">
            <v>Russia</v>
          </cell>
          <cell r="B4">
            <v>1</v>
          </cell>
        </row>
        <row r="5">
          <cell r="A5" t="str">
            <v>United States</v>
          </cell>
          <cell r="B5">
            <v>0.5</v>
          </cell>
          <cell r="C5">
            <v>0.5</v>
          </cell>
        </row>
        <row r="6">
          <cell r="A6" t="str">
            <v>China</v>
          </cell>
        </row>
        <row r="7">
          <cell r="A7" t="str">
            <v>Georgia</v>
          </cell>
        </row>
        <row r="8">
          <cell r="A8" t="str">
            <v>Bangladesh</v>
          </cell>
        </row>
        <row r="9">
          <cell r="A9" t="str">
            <v>Israel</v>
          </cell>
        </row>
        <row r="10">
          <cell r="A10" t="str">
            <v>Denmark</v>
          </cell>
        </row>
        <row r="11">
          <cell r="A11" t="str">
            <v>Greece</v>
          </cell>
        </row>
        <row r="12">
          <cell r="A12" t="str">
            <v>Ukraine</v>
          </cell>
        </row>
        <row r="13">
          <cell r="A13" t="str">
            <v>Sweden</v>
          </cell>
        </row>
        <row r="14">
          <cell r="A14" t="str">
            <v>Germany</v>
          </cell>
        </row>
        <row r="15">
          <cell r="A15" t="str">
            <v>Taiwan</v>
          </cell>
        </row>
        <row r="16">
          <cell r="A16" t="str">
            <v>Spain</v>
          </cell>
        </row>
        <row r="17">
          <cell r="A17" t="str">
            <v>Canada</v>
          </cell>
        </row>
        <row r="18">
          <cell r="A18" t="str">
            <v>France</v>
          </cell>
        </row>
        <row r="19">
          <cell r="A19" t="str">
            <v>Australia</v>
          </cell>
        </row>
        <row r="20">
          <cell r="A20" t="str">
            <v>Mexico</v>
          </cell>
        </row>
        <row r="21">
          <cell r="A21" t="str">
            <v>Indonesia</v>
          </cell>
        </row>
        <row r="22">
          <cell r="A22" t="str">
            <v>India</v>
          </cell>
        </row>
        <row r="23">
          <cell r="A23" t="str">
            <v>United Kingdom</v>
          </cell>
        </row>
        <row r="24">
          <cell r="A24" t="str">
            <v>Aruba</v>
          </cell>
        </row>
        <row r="25">
          <cell r="A25" t="str">
            <v>Afghanistan</v>
          </cell>
        </row>
        <row r="26">
          <cell r="A26" t="str">
            <v>Angola</v>
          </cell>
        </row>
        <row r="27">
          <cell r="A27" t="str">
            <v>Anguilla</v>
          </cell>
        </row>
        <row r="28">
          <cell r="A28" t="str">
            <v>Ã…land Islands</v>
          </cell>
        </row>
        <row r="29">
          <cell r="A29" t="str">
            <v>Albania</v>
          </cell>
        </row>
        <row r="30">
          <cell r="A30" t="str">
            <v>Andorra</v>
          </cell>
        </row>
        <row r="31">
          <cell r="A31" t="str">
            <v>United Arab Emirates</v>
          </cell>
        </row>
        <row r="32">
          <cell r="A32" t="str">
            <v>Argentina</v>
          </cell>
        </row>
        <row r="33">
          <cell r="A33" t="str">
            <v>Armenia</v>
          </cell>
        </row>
        <row r="34">
          <cell r="A34" t="str">
            <v>American Samoa</v>
          </cell>
        </row>
        <row r="35">
          <cell r="A35" t="str">
            <v>Antarctica</v>
          </cell>
        </row>
        <row r="36">
          <cell r="A36" t="str">
            <v>French Southern Territories</v>
          </cell>
        </row>
        <row r="37">
          <cell r="A37" t="str">
            <v>Antigua &amp; Barbuda</v>
          </cell>
        </row>
        <row r="38">
          <cell r="A38" t="str">
            <v>Austria</v>
          </cell>
        </row>
        <row r="39">
          <cell r="A39" t="str">
            <v>Azerbaijan</v>
          </cell>
        </row>
        <row r="40">
          <cell r="A40" t="str">
            <v>Burundi</v>
          </cell>
        </row>
        <row r="41">
          <cell r="A41" t="str">
            <v>Belgium</v>
          </cell>
        </row>
        <row r="42">
          <cell r="A42" t="str">
            <v>Benin</v>
          </cell>
        </row>
        <row r="43">
          <cell r="A43" t="str">
            <v>Caribbean Netherlands</v>
          </cell>
        </row>
        <row r="44">
          <cell r="A44" t="str">
            <v>Burkina Faso</v>
          </cell>
        </row>
        <row r="45">
          <cell r="A45" t="str">
            <v>Bulgaria</v>
          </cell>
        </row>
        <row r="46">
          <cell r="A46" t="str">
            <v>Bahrain</v>
          </cell>
        </row>
        <row r="47">
          <cell r="A47" t="str">
            <v>Bahamas</v>
          </cell>
        </row>
        <row r="48">
          <cell r="A48" t="str">
            <v>Bosnia &amp; Herzegovina</v>
          </cell>
        </row>
        <row r="49">
          <cell r="A49" t="str">
            <v>St. BarthÃ©lemy</v>
          </cell>
        </row>
        <row r="50">
          <cell r="A50" t="str">
            <v>Belarus</v>
          </cell>
        </row>
        <row r="51">
          <cell r="A51" t="str">
            <v>Belize</v>
          </cell>
        </row>
        <row r="52">
          <cell r="A52" t="str">
            <v>Bermuda</v>
          </cell>
        </row>
        <row r="53">
          <cell r="A53" t="str">
            <v>Bolivia</v>
          </cell>
        </row>
        <row r="54">
          <cell r="A54" t="str">
            <v>Brazil</v>
          </cell>
        </row>
        <row r="55">
          <cell r="A55" t="str">
            <v>Barbados</v>
          </cell>
        </row>
        <row r="56">
          <cell r="A56" t="str">
            <v>Brunei</v>
          </cell>
        </row>
        <row r="57">
          <cell r="A57" t="str">
            <v>Bhutan</v>
          </cell>
        </row>
        <row r="58">
          <cell r="A58" t="str">
            <v>Bouvet Island</v>
          </cell>
        </row>
        <row r="59">
          <cell r="A59" t="str">
            <v>Botswana</v>
          </cell>
        </row>
        <row r="60">
          <cell r="A60" t="str">
            <v>Central African Republic</v>
          </cell>
        </row>
        <row r="61">
          <cell r="A61" t="str">
            <v>Cocos (Keeling) Islands</v>
          </cell>
        </row>
        <row r="62">
          <cell r="A62" t="str">
            <v>Switzerland</v>
          </cell>
        </row>
        <row r="63">
          <cell r="A63" t="str">
            <v>Chile</v>
          </cell>
        </row>
        <row r="64">
          <cell r="A64" t="str">
            <v>CÃ´te dâ€™Ivoire</v>
          </cell>
        </row>
        <row r="65">
          <cell r="A65" t="str">
            <v>Cameroon</v>
          </cell>
        </row>
        <row r="66">
          <cell r="A66" t="str">
            <v>Congo - Kinshasa</v>
          </cell>
        </row>
        <row r="67">
          <cell r="A67" t="str">
            <v>Congo - Brazzaville</v>
          </cell>
        </row>
        <row r="68">
          <cell r="A68" t="str">
            <v>Cook Islands</v>
          </cell>
        </row>
        <row r="69">
          <cell r="A69" t="str">
            <v>Colombia</v>
          </cell>
        </row>
        <row r="70">
          <cell r="A70" t="str">
            <v>Comoros</v>
          </cell>
        </row>
        <row r="71">
          <cell r="A71" t="str">
            <v>Cape Verde</v>
          </cell>
        </row>
        <row r="72">
          <cell r="A72" t="str">
            <v>Costa Rica</v>
          </cell>
        </row>
        <row r="73">
          <cell r="A73" t="str">
            <v>Cuba</v>
          </cell>
        </row>
        <row r="74">
          <cell r="A74" t="str">
            <v>CuraÃ§ao</v>
          </cell>
        </row>
        <row r="75">
          <cell r="A75" t="str">
            <v>Christmas Island</v>
          </cell>
        </row>
        <row r="76">
          <cell r="A76" t="str">
            <v>Cayman Islands</v>
          </cell>
        </row>
        <row r="77">
          <cell r="A77" t="str">
            <v>Cyprus</v>
          </cell>
        </row>
        <row r="78">
          <cell r="A78" t="str">
            <v>Czechia</v>
          </cell>
        </row>
        <row r="79">
          <cell r="A79" t="str">
            <v>Djibouti</v>
          </cell>
        </row>
        <row r="80">
          <cell r="A80" t="str">
            <v>Dominica</v>
          </cell>
        </row>
        <row r="81">
          <cell r="A81" t="str">
            <v>Dominican Republic</v>
          </cell>
        </row>
        <row r="82">
          <cell r="A82" t="str">
            <v>Algeria</v>
          </cell>
        </row>
        <row r="83">
          <cell r="A83" t="str">
            <v>Ecuador</v>
          </cell>
        </row>
        <row r="84">
          <cell r="A84" t="str">
            <v>Egypt</v>
          </cell>
        </row>
        <row r="85">
          <cell r="A85" t="str">
            <v>Eritrea</v>
          </cell>
        </row>
        <row r="86">
          <cell r="A86" t="str">
            <v>Western Sahara</v>
          </cell>
        </row>
        <row r="87">
          <cell r="A87" t="str">
            <v>Estonia</v>
          </cell>
        </row>
        <row r="88">
          <cell r="A88" t="str">
            <v>Ethiopia</v>
          </cell>
        </row>
        <row r="89">
          <cell r="A89" t="str">
            <v>Finland</v>
          </cell>
        </row>
        <row r="90">
          <cell r="A90" t="str">
            <v>Fiji</v>
          </cell>
        </row>
        <row r="91">
          <cell r="A91" t="str">
            <v>Falkland Islands (Islas Malvinas)</v>
          </cell>
        </row>
        <row r="92">
          <cell r="A92" t="str">
            <v>Faroe Islands</v>
          </cell>
        </row>
        <row r="93">
          <cell r="A93" t="str">
            <v>Micronesia</v>
          </cell>
        </row>
        <row r="94">
          <cell r="A94" t="str">
            <v>Gabon</v>
          </cell>
        </row>
        <row r="95">
          <cell r="A95" t="str">
            <v>Guernsey</v>
          </cell>
        </row>
        <row r="96">
          <cell r="A96" t="str">
            <v>Ghana</v>
          </cell>
        </row>
        <row r="97">
          <cell r="A97" t="str">
            <v>Gibraltar</v>
          </cell>
        </row>
        <row r="98">
          <cell r="A98" t="str">
            <v>Guinea</v>
          </cell>
        </row>
        <row r="99">
          <cell r="A99" t="str">
            <v>Guadeloupe</v>
          </cell>
        </row>
        <row r="100">
          <cell r="A100" t="str">
            <v>Gambia</v>
          </cell>
        </row>
        <row r="101">
          <cell r="A101" t="str">
            <v>Guinea-Bissau</v>
          </cell>
        </row>
        <row r="102">
          <cell r="A102" t="str">
            <v>Equatorial Guinea</v>
          </cell>
        </row>
        <row r="103">
          <cell r="A103" t="str">
            <v>Grenada</v>
          </cell>
        </row>
        <row r="104">
          <cell r="A104" t="str">
            <v>Greenland</v>
          </cell>
        </row>
        <row r="105">
          <cell r="A105" t="str">
            <v>Guatemala</v>
          </cell>
        </row>
        <row r="106">
          <cell r="A106" t="str">
            <v>French Guiana</v>
          </cell>
        </row>
        <row r="107">
          <cell r="A107" t="str">
            <v>Guam</v>
          </cell>
        </row>
        <row r="108">
          <cell r="A108" t="str">
            <v>Guyana</v>
          </cell>
        </row>
        <row r="109">
          <cell r="A109" t="str">
            <v>Hong Kong</v>
          </cell>
        </row>
        <row r="110">
          <cell r="A110" t="str">
            <v>Heard &amp; McDonald Islands</v>
          </cell>
        </row>
        <row r="111">
          <cell r="A111" t="str">
            <v>Honduras</v>
          </cell>
        </row>
        <row r="112">
          <cell r="A112" t="str">
            <v>Croatia</v>
          </cell>
        </row>
        <row r="113">
          <cell r="A113" t="str">
            <v>Haiti</v>
          </cell>
        </row>
        <row r="114">
          <cell r="A114" t="str">
            <v>Hungary</v>
          </cell>
        </row>
        <row r="115">
          <cell r="A115" t="str">
            <v>Isle of Man</v>
          </cell>
        </row>
        <row r="116">
          <cell r="A116" t="str">
            <v>British Indian Ocean Territory</v>
          </cell>
        </row>
        <row r="117">
          <cell r="A117" t="str">
            <v>Ireland</v>
          </cell>
        </row>
        <row r="118">
          <cell r="A118" t="str">
            <v>Iran</v>
          </cell>
        </row>
        <row r="119">
          <cell r="A119" t="str">
            <v>Iraq</v>
          </cell>
        </row>
        <row r="120">
          <cell r="A120" t="str">
            <v>Iceland</v>
          </cell>
        </row>
        <row r="121">
          <cell r="A121" t="str">
            <v>Italy</v>
          </cell>
        </row>
        <row r="122">
          <cell r="A122" t="str">
            <v>Jamaica</v>
          </cell>
        </row>
        <row r="123">
          <cell r="A123" t="str">
            <v>Jersey</v>
          </cell>
        </row>
        <row r="124">
          <cell r="A124" t="str">
            <v>Jordan</v>
          </cell>
        </row>
        <row r="125">
          <cell r="A125" t="str">
            <v>Japan</v>
          </cell>
        </row>
        <row r="126">
          <cell r="A126" t="str">
            <v>Kazakhstan</v>
          </cell>
        </row>
        <row r="127">
          <cell r="A127" t="str">
            <v>Kenya</v>
          </cell>
        </row>
        <row r="128">
          <cell r="A128" t="str">
            <v>Kyrgyzstan</v>
          </cell>
        </row>
        <row r="129">
          <cell r="A129" t="str">
            <v>Cambodia</v>
          </cell>
        </row>
        <row r="130">
          <cell r="A130" t="str">
            <v>Kiribati</v>
          </cell>
        </row>
        <row r="131">
          <cell r="A131" t="str">
            <v>St. Kitts &amp; Nevis</v>
          </cell>
        </row>
        <row r="132">
          <cell r="A132" t="str">
            <v>South Korea</v>
          </cell>
        </row>
        <row r="133">
          <cell r="A133" t="str">
            <v>Kuwait</v>
          </cell>
        </row>
        <row r="134">
          <cell r="A134" t="str">
            <v>Laos</v>
          </cell>
        </row>
        <row r="135">
          <cell r="A135" t="str">
            <v>Lebanon</v>
          </cell>
        </row>
        <row r="136">
          <cell r="A136" t="str">
            <v>Liberia</v>
          </cell>
        </row>
        <row r="137">
          <cell r="A137" t="str">
            <v>Libya</v>
          </cell>
        </row>
        <row r="138">
          <cell r="A138" t="str">
            <v>St. Lucia</v>
          </cell>
        </row>
        <row r="139">
          <cell r="A139" t="str">
            <v>Liechtenstein</v>
          </cell>
        </row>
        <row r="140">
          <cell r="A140" t="str">
            <v>Sri Lanka</v>
          </cell>
        </row>
        <row r="141">
          <cell r="A141" t="str">
            <v>Lesotho</v>
          </cell>
        </row>
        <row r="142">
          <cell r="A142" t="str">
            <v>Lithuania</v>
          </cell>
        </row>
        <row r="143">
          <cell r="A143" t="str">
            <v>Luxembourg</v>
          </cell>
        </row>
        <row r="144">
          <cell r="A144" t="str">
            <v>Latvia</v>
          </cell>
        </row>
        <row r="145">
          <cell r="A145" t="str">
            <v>Macao</v>
          </cell>
        </row>
        <row r="146">
          <cell r="A146" t="str">
            <v>St. Martin</v>
          </cell>
        </row>
        <row r="147">
          <cell r="A147" t="str">
            <v>Morocco</v>
          </cell>
        </row>
        <row r="148">
          <cell r="A148" t="str">
            <v>Monaco</v>
          </cell>
        </row>
        <row r="149">
          <cell r="A149" t="str">
            <v>Moldova</v>
          </cell>
        </row>
        <row r="150">
          <cell r="A150" t="str">
            <v>Madagascar</v>
          </cell>
        </row>
        <row r="151">
          <cell r="A151" t="str">
            <v>Maldives</v>
          </cell>
        </row>
        <row r="152">
          <cell r="A152" t="str">
            <v>Marshall Islands</v>
          </cell>
        </row>
        <row r="153">
          <cell r="A153" t="str">
            <v>North Macedonia</v>
          </cell>
        </row>
        <row r="154">
          <cell r="A154" t="str">
            <v>Mali</v>
          </cell>
        </row>
        <row r="155">
          <cell r="A155" t="str">
            <v>Malta</v>
          </cell>
        </row>
        <row r="156">
          <cell r="A156" t="str">
            <v>Myanmar (Burma)</v>
          </cell>
        </row>
        <row r="157">
          <cell r="A157" t="str">
            <v>Montenegro</v>
          </cell>
        </row>
        <row r="158">
          <cell r="A158" t="str">
            <v>Mongolia</v>
          </cell>
        </row>
        <row r="159">
          <cell r="A159" t="str">
            <v>Northern Mariana Islands</v>
          </cell>
        </row>
        <row r="160">
          <cell r="A160" t="str">
            <v>Mozambique</v>
          </cell>
        </row>
        <row r="161">
          <cell r="A161" t="str">
            <v>Mauritania</v>
          </cell>
        </row>
        <row r="162">
          <cell r="A162" t="str">
            <v>Montserrat</v>
          </cell>
        </row>
        <row r="163">
          <cell r="A163" t="str">
            <v>Martinique</v>
          </cell>
        </row>
        <row r="164">
          <cell r="A164" t="str">
            <v>Mauritius</v>
          </cell>
        </row>
        <row r="165">
          <cell r="A165" t="str">
            <v>Malawi</v>
          </cell>
        </row>
        <row r="166">
          <cell r="A166" t="str">
            <v>Malaysia</v>
          </cell>
        </row>
        <row r="167">
          <cell r="A167" t="str">
            <v>Mayotte</v>
          </cell>
        </row>
        <row r="168">
          <cell r="A168" t="str">
            <v>Namibia</v>
          </cell>
        </row>
        <row r="169">
          <cell r="A169" t="str">
            <v>New Caledonia</v>
          </cell>
        </row>
        <row r="170">
          <cell r="A170" t="str">
            <v>Niger</v>
          </cell>
        </row>
        <row r="171">
          <cell r="A171" t="str">
            <v>Norfolk Island</v>
          </cell>
        </row>
        <row r="172">
          <cell r="A172" t="str">
            <v>Nigeria</v>
          </cell>
        </row>
        <row r="173">
          <cell r="A173" t="str">
            <v>Nicaragua</v>
          </cell>
        </row>
        <row r="174">
          <cell r="A174" t="str">
            <v>Niue</v>
          </cell>
        </row>
        <row r="175">
          <cell r="A175" t="str">
            <v>Netherlands</v>
          </cell>
        </row>
        <row r="176">
          <cell r="A176" t="str">
            <v>Norway</v>
          </cell>
        </row>
        <row r="177">
          <cell r="A177" t="str">
            <v>Nepal</v>
          </cell>
        </row>
        <row r="178">
          <cell r="A178" t="str">
            <v>Nauru</v>
          </cell>
        </row>
        <row r="179">
          <cell r="A179" t="str">
            <v>New Zealand</v>
          </cell>
        </row>
        <row r="180">
          <cell r="A180" t="str">
            <v>Oman</v>
          </cell>
        </row>
        <row r="181">
          <cell r="A181" t="str">
            <v>Pakistan</v>
          </cell>
        </row>
        <row r="182">
          <cell r="A182" t="str">
            <v>Panama</v>
          </cell>
        </row>
        <row r="183">
          <cell r="A183" t="str">
            <v>Pitcairn Islands</v>
          </cell>
        </row>
        <row r="184">
          <cell r="A184" t="str">
            <v>Peru</v>
          </cell>
        </row>
        <row r="185">
          <cell r="A185" t="str">
            <v>Philippines</v>
          </cell>
        </row>
        <row r="186">
          <cell r="A186" t="str">
            <v>Palau</v>
          </cell>
        </row>
        <row r="187">
          <cell r="A187" t="str">
            <v>Papua New Guinea</v>
          </cell>
        </row>
        <row r="188">
          <cell r="A188" t="str">
            <v>Poland</v>
          </cell>
        </row>
        <row r="189">
          <cell r="A189" t="str">
            <v>Puerto Rico</v>
          </cell>
        </row>
        <row r="190">
          <cell r="A190" t="str">
            <v>North Korea</v>
          </cell>
        </row>
        <row r="191">
          <cell r="A191" t="str">
            <v>Portugal</v>
          </cell>
        </row>
        <row r="192">
          <cell r="A192" t="str">
            <v>Paraguay</v>
          </cell>
        </row>
        <row r="193">
          <cell r="A193" t="str">
            <v>Palestine</v>
          </cell>
        </row>
        <row r="194">
          <cell r="A194" t="str">
            <v>French Polynesia</v>
          </cell>
        </row>
        <row r="195">
          <cell r="A195" t="str">
            <v>Qatar</v>
          </cell>
        </row>
        <row r="196">
          <cell r="A196" t="str">
            <v>RÃ©union</v>
          </cell>
        </row>
        <row r="197">
          <cell r="A197" t="str">
            <v>Romania</v>
          </cell>
        </row>
        <row r="198">
          <cell r="A198" t="str">
            <v>Rwanda</v>
          </cell>
        </row>
        <row r="199">
          <cell r="A199" t="str">
            <v>Saudi Arabia</v>
          </cell>
        </row>
        <row r="200">
          <cell r="A200" t="str">
            <v>Sudan</v>
          </cell>
        </row>
        <row r="201">
          <cell r="A201" t="str">
            <v>Senegal</v>
          </cell>
        </row>
        <row r="202">
          <cell r="A202" t="str">
            <v>Singapore</v>
          </cell>
        </row>
        <row r="203">
          <cell r="A203" t="str">
            <v>South Georgia &amp; South Sandwich Islands</v>
          </cell>
        </row>
        <row r="204">
          <cell r="A204" t="str">
            <v>St. Helena</v>
          </cell>
        </row>
        <row r="205">
          <cell r="A205" t="str">
            <v>Svalbard &amp; Jan Mayen</v>
          </cell>
        </row>
        <row r="206">
          <cell r="A206" t="str">
            <v>Solomon Islands</v>
          </cell>
        </row>
        <row r="207">
          <cell r="A207" t="str">
            <v>Sierra Leone</v>
          </cell>
        </row>
        <row r="208">
          <cell r="A208" t="str">
            <v>El Salvador</v>
          </cell>
        </row>
        <row r="209">
          <cell r="A209" t="str">
            <v>San Marino</v>
          </cell>
        </row>
        <row r="210">
          <cell r="A210" t="str">
            <v>Somalia</v>
          </cell>
        </row>
        <row r="211">
          <cell r="A211" t="str">
            <v>St. Pierre &amp; Miquelon</v>
          </cell>
        </row>
        <row r="212">
          <cell r="A212" t="str">
            <v>Serbia</v>
          </cell>
        </row>
        <row r="213">
          <cell r="A213" t="str">
            <v>South Sudan</v>
          </cell>
        </row>
        <row r="214">
          <cell r="A214" t="str">
            <v>SÃ£o TomÃ© &amp; PrÃ­ncipe</v>
          </cell>
        </row>
        <row r="215">
          <cell r="A215" t="str">
            <v>Suriname</v>
          </cell>
        </row>
        <row r="216">
          <cell r="A216" t="str">
            <v>Slovakia</v>
          </cell>
        </row>
        <row r="217">
          <cell r="A217" t="str">
            <v>Slovenia</v>
          </cell>
        </row>
        <row r="218">
          <cell r="A218" t="str">
            <v>Eswatini</v>
          </cell>
        </row>
        <row r="219">
          <cell r="A219" t="str">
            <v>Sint Maarten</v>
          </cell>
        </row>
        <row r="220">
          <cell r="A220" t="str">
            <v>Seychelles</v>
          </cell>
        </row>
        <row r="221">
          <cell r="A221" t="str">
            <v>Syria</v>
          </cell>
        </row>
        <row r="222">
          <cell r="A222" t="str">
            <v>Turks &amp; Caicos Islands</v>
          </cell>
        </row>
        <row r="223">
          <cell r="A223" t="str">
            <v>Chad</v>
          </cell>
        </row>
        <row r="224">
          <cell r="A224" t="str">
            <v>Togo</v>
          </cell>
        </row>
        <row r="225">
          <cell r="A225" t="str">
            <v>Thailand</v>
          </cell>
        </row>
        <row r="226">
          <cell r="A226" t="str">
            <v>Tajikistan</v>
          </cell>
        </row>
        <row r="227">
          <cell r="A227" t="str">
            <v>Tokelau</v>
          </cell>
        </row>
        <row r="228">
          <cell r="A228" t="str">
            <v>Turkmenistan</v>
          </cell>
        </row>
        <row r="229">
          <cell r="A229" t="str">
            <v>Timor-Leste</v>
          </cell>
        </row>
        <row r="230">
          <cell r="A230" t="str">
            <v>Tonga</v>
          </cell>
        </row>
        <row r="231">
          <cell r="A231" t="str">
            <v>Trinidad &amp; Tobago</v>
          </cell>
        </row>
        <row r="232">
          <cell r="A232" t="str">
            <v>Tunisia</v>
          </cell>
        </row>
        <row r="233">
          <cell r="A233" t="str">
            <v>Turkey</v>
          </cell>
        </row>
        <row r="234">
          <cell r="A234" t="str">
            <v>Tuvalu</v>
          </cell>
        </row>
        <row r="235">
          <cell r="A235" t="str">
            <v>Tanzania</v>
          </cell>
        </row>
        <row r="236">
          <cell r="A236" t="str">
            <v>Uganda</v>
          </cell>
        </row>
        <row r="237">
          <cell r="A237" t="str">
            <v>U.S. Outlying Islands</v>
          </cell>
        </row>
        <row r="238">
          <cell r="A238" t="str">
            <v>Uruguay</v>
          </cell>
        </row>
        <row r="239">
          <cell r="A239" t="str">
            <v>Uzbekistan</v>
          </cell>
        </row>
        <row r="240">
          <cell r="A240" t="str">
            <v>Vatican City</v>
          </cell>
        </row>
        <row r="241">
          <cell r="A241" t="str">
            <v>St. Vincent &amp; Grenadines</v>
          </cell>
        </row>
        <row r="242">
          <cell r="A242" t="str">
            <v>Venezuela</v>
          </cell>
        </row>
        <row r="243">
          <cell r="A243" t="str">
            <v>British Virgin Islands</v>
          </cell>
        </row>
        <row r="244">
          <cell r="A244" t="str">
            <v>U.S. Virgin Islands</v>
          </cell>
        </row>
        <row r="245">
          <cell r="A245" t="str">
            <v>Vietnam</v>
          </cell>
        </row>
        <row r="246">
          <cell r="A246" t="str">
            <v>Vanuatu</v>
          </cell>
        </row>
        <row r="247">
          <cell r="A247" t="str">
            <v>Wallis &amp; Futuna</v>
          </cell>
        </row>
        <row r="248">
          <cell r="A248" t="str">
            <v>Samoa</v>
          </cell>
        </row>
        <row r="249">
          <cell r="A249" t="str">
            <v>Kosovo</v>
          </cell>
        </row>
        <row r="250">
          <cell r="A250" t="str">
            <v>Yemen</v>
          </cell>
        </row>
        <row r="251">
          <cell r="A251" t="str">
            <v>South Africa</v>
          </cell>
        </row>
        <row r="252">
          <cell r="A252" t="str">
            <v>Zambia</v>
          </cell>
        </row>
        <row r="253">
          <cell r="A253" t="str">
            <v>Zimbabwe</v>
          </cell>
        </row>
      </sheetData>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66)"/>
    </sheetNames>
    <sheetDataSet>
      <sheetData sheetId="0" refreshError="1">
        <row r="1">
          <cell r="A1" t="str">
            <v>Category: All categories</v>
          </cell>
        </row>
        <row r="3">
          <cell r="A3" t="str">
            <v>Country</v>
          </cell>
          <cell r="B3" t="str">
            <v>LovÃ¡sz local lemma: (2018)</v>
          </cell>
          <cell r="C3" t="str">
            <v>Logical relations: (2018)</v>
          </cell>
        </row>
        <row r="4">
          <cell r="A4" t="str">
            <v>United States</v>
          </cell>
          <cell r="B4">
            <v>1</v>
          </cell>
        </row>
        <row r="5">
          <cell r="A5" t="str">
            <v>Mongolia</v>
          </cell>
        </row>
        <row r="6">
          <cell r="A6" t="str">
            <v>Estonia</v>
          </cell>
        </row>
        <row r="7">
          <cell r="A7" t="str">
            <v>Hong Kong</v>
          </cell>
        </row>
        <row r="8">
          <cell r="A8" t="str">
            <v>Singapore</v>
          </cell>
        </row>
        <row r="9">
          <cell r="A9" t="str">
            <v>Israel</v>
          </cell>
        </row>
        <row r="10">
          <cell r="A10" t="str">
            <v>Denmark</v>
          </cell>
        </row>
        <row r="11">
          <cell r="A11" t="str">
            <v>Hungary</v>
          </cell>
        </row>
        <row r="12">
          <cell r="A12" t="str">
            <v>Greece</v>
          </cell>
        </row>
        <row r="13">
          <cell r="A13" t="str">
            <v>Austria</v>
          </cell>
        </row>
        <row r="14">
          <cell r="A14" t="str">
            <v>Romania</v>
          </cell>
        </row>
        <row r="15">
          <cell r="A15" t="str">
            <v>Switzerland</v>
          </cell>
        </row>
        <row r="16">
          <cell r="A16" t="str">
            <v>South Korea</v>
          </cell>
        </row>
        <row r="17">
          <cell r="A17" t="str">
            <v>Canada</v>
          </cell>
        </row>
        <row r="18">
          <cell r="A18" t="str">
            <v>Germany</v>
          </cell>
        </row>
        <row r="19">
          <cell r="A19" t="str">
            <v>Poland</v>
          </cell>
        </row>
        <row r="20">
          <cell r="A20" t="str">
            <v>Russia</v>
          </cell>
        </row>
        <row r="21">
          <cell r="A21" t="str">
            <v>Turkey</v>
          </cell>
        </row>
        <row r="22">
          <cell r="A22" t="str">
            <v>France</v>
          </cell>
        </row>
        <row r="23">
          <cell r="A23" t="str">
            <v>United Kingdom</v>
          </cell>
        </row>
        <row r="24">
          <cell r="A24" t="str">
            <v>Brazil</v>
          </cell>
        </row>
        <row r="25">
          <cell r="A25" t="str">
            <v>India</v>
          </cell>
        </row>
        <row r="26">
          <cell r="A26" t="str">
            <v>Aruba</v>
          </cell>
        </row>
        <row r="27">
          <cell r="A27" t="str">
            <v>Afghanistan</v>
          </cell>
        </row>
        <row r="28">
          <cell r="A28" t="str">
            <v>Angola</v>
          </cell>
        </row>
        <row r="29">
          <cell r="A29" t="str">
            <v>Anguilla</v>
          </cell>
        </row>
        <row r="30">
          <cell r="A30" t="str">
            <v>Ã…land Islands</v>
          </cell>
        </row>
        <row r="31">
          <cell r="A31" t="str">
            <v>Albania</v>
          </cell>
        </row>
        <row r="32">
          <cell r="A32" t="str">
            <v>Andorra</v>
          </cell>
        </row>
        <row r="33">
          <cell r="A33" t="str">
            <v>United Arab Emirates</v>
          </cell>
        </row>
        <row r="34">
          <cell r="A34" t="str">
            <v>Argentina</v>
          </cell>
        </row>
        <row r="35">
          <cell r="A35" t="str">
            <v>Armenia</v>
          </cell>
        </row>
        <row r="36">
          <cell r="A36" t="str">
            <v>American Samoa</v>
          </cell>
        </row>
        <row r="37">
          <cell r="A37" t="str">
            <v>Antarctica</v>
          </cell>
        </row>
        <row r="38">
          <cell r="A38" t="str">
            <v>French Southern Territories</v>
          </cell>
        </row>
        <row r="39">
          <cell r="A39" t="str">
            <v>Antigua &amp; Barbuda</v>
          </cell>
        </row>
        <row r="40">
          <cell r="A40" t="str">
            <v>Australia</v>
          </cell>
        </row>
        <row r="41">
          <cell r="A41" t="str">
            <v>Azerbaijan</v>
          </cell>
        </row>
        <row r="42">
          <cell r="A42" t="str">
            <v>Burundi</v>
          </cell>
        </row>
        <row r="43">
          <cell r="A43" t="str">
            <v>Belgium</v>
          </cell>
        </row>
        <row r="44">
          <cell r="A44" t="str">
            <v>Benin</v>
          </cell>
        </row>
        <row r="45">
          <cell r="A45" t="str">
            <v>Caribbean Netherlands</v>
          </cell>
        </row>
        <row r="46">
          <cell r="A46" t="str">
            <v>Burkina Faso</v>
          </cell>
        </row>
        <row r="47">
          <cell r="A47" t="str">
            <v>Bangladesh</v>
          </cell>
        </row>
        <row r="48">
          <cell r="A48" t="str">
            <v>Bulgaria</v>
          </cell>
        </row>
        <row r="49">
          <cell r="A49" t="str">
            <v>Bahrain</v>
          </cell>
        </row>
        <row r="50">
          <cell r="A50" t="str">
            <v>Bahamas</v>
          </cell>
        </row>
        <row r="51">
          <cell r="A51" t="str">
            <v>Bosnia &amp; Herzegovina</v>
          </cell>
        </row>
        <row r="52">
          <cell r="A52" t="str">
            <v>St. BarthÃ©lemy</v>
          </cell>
        </row>
        <row r="53">
          <cell r="A53" t="str">
            <v>Belarus</v>
          </cell>
        </row>
        <row r="54">
          <cell r="A54" t="str">
            <v>Belize</v>
          </cell>
        </row>
        <row r="55">
          <cell r="A55" t="str">
            <v>Bermuda</v>
          </cell>
        </row>
        <row r="56">
          <cell r="A56" t="str">
            <v>Bolivia</v>
          </cell>
        </row>
        <row r="57">
          <cell r="A57" t="str">
            <v>Barbados</v>
          </cell>
        </row>
        <row r="58">
          <cell r="A58" t="str">
            <v>Brunei</v>
          </cell>
        </row>
        <row r="59">
          <cell r="A59" t="str">
            <v>Bhutan</v>
          </cell>
        </row>
        <row r="60">
          <cell r="A60" t="str">
            <v>Bouvet Island</v>
          </cell>
        </row>
        <row r="61">
          <cell r="A61" t="str">
            <v>Botswana</v>
          </cell>
        </row>
        <row r="62">
          <cell r="A62" t="str">
            <v>Central African Republic</v>
          </cell>
        </row>
        <row r="63">
          <cell r="A63" t="str">
            <v>Cocos (Keeling) Islands</v>
          </cell>
        </row>
        <row r="64">
          <cell r="A64" t="str">
            <v>Chile</v>
          </cell>
        </row>
        <row r="65">
          <cell r="A65" t="str">
            <v>China</v>
          </cell>
        </row>
        <row r="66">
          <cell r="A66" t="str">
            <v>CÃ´te dâ€™Ivoire</v>
          </cell>
        </row>
        <row r="67">
          <cell r="A67" t="str">
            <v>Cameroon</v>
          </cell>
        </row>
        <row r="68">
          <cell r="A68" t="str">
            <v>Congo - Kinshasa</v>
          </cell>
        </row>
        <row r="69">
          <cell r="A69" t="str">
            <v>Congo - Brazzaville</v>
          </cell>
        </row>
        <row r="70">
          <cell r="A70" t="str">
            <v>Cook Islands</v>
          </cell>
        </row>
        <row r="71">
          <cell r="A71" t="str">
            <v>Colombia</v>
          </cell>
        </row>
        <row r="72">
          <cell r="A72" t="str">
            <v>Comoros</v>
          </cell>
        </row>
        <row r="73">
          <cell r="A73" t="str">
            <v>Cape Verde</v>
          </cell>
        </row>
        <row r="74">
          <cell r="A74" t="str">
            <v>Costa Rica</v>
          </cell>
        </row>
        <row r="75">
          <cell r="A75" t="str">
            <v>Cuba</v>
          </cell>
        </row>
        <row r="76">
          <cell r="A76" t="str">
            <v>CuraÃ§ao</v>
          </cell>
        </row>
        <row r="77">
          <cell r="A77" t="str">
            <v>Christmas Island</v>
          </cell>
        </row>
        <row r="78">
          <cell r="A78" t="str">
            <v>Cayman Islands</v>
          </cell>
        </row>
        <row r="79">
          <cell r="A79" t="str">
            <v>Cyprus</v>
          </cell>
        </row>
        <row r="80">
          <cell r="A80" t="str">
            <v>Czechia</v>
          </cell>
        </row>
        <row r="81">
          <cell r="A81" t="str">
            <v>Djibouti</v>
          </cell>
        </row>
        <row r="82">
          <cell r="A82" t="str">
            <v>Dominica</v>
          </cell>
        </row>
        <row r="83">
          <cell r="A83" t="str">
            <v>Dominican Republic</v>
          </cell>
        </row>
        <row r="84">
          <cell r="A84" t="str">
            <v>Algeria</v>
          </cell>
        </row>
        <row r="85">
          <cell r="A85" t="str">
            <v>Ecuador</v>
          </cell>
        </row>
        <row r="86">
          <cell r="A86" t="str">
            <v>Egypt</v>
          </cell>
        </row>
        <row r="87">
          <cell r="A87" t="str">
            <v>Eritrea</v>
          </cell>
        </row>
        <row r="88">
          <cell r="A88" t="str">
            <v>Western Sahara</v>
          </cell>
        </row>
        <row r="89">
          <cell r="A89" t="str">
            <v>Spain</v>
          </cell>
        </row>
        <row r="90">
          <cell r="A90" t="str">
            <v>Ethiopia</v>
          </cell>
        </row>
        <row r="91">
          <cell r="A91" t="str">
            <v>Finland</v>
          </cell>
        </row>
        <row r="92">
          <cell r="A92" t="str">
            <v>Fiji</v>
          </cell>
        </row>
        <row r="93">
          <cell r="A93" t="str">
            <v>Falkland Islands (Islas Malvinas)</v>
          </cell>
        </row>
        <row r="94">
          <cell r="A94" t="str">
            <v>Faroe Islands</v>
          </cell>
        </row>
        <row r="95">
          <cell r="A95" t="str">
            <v>Micronesia</v>
          </cell>
        </row>
        <row r="96">
          <cell r="A96" t="str">
            <v>Gabon</v>
          </cell>
        </row>
        <row r="97">
          <cell r="A97" t="str">
            <v>Georgia</v>
          </cell>
        </row>
        <row r="98">
          <cell r="A98" t="str">
            <v>Guernsey</v>
          </cell>
        </row>
        <row r="99">
          <cell r="A99" t="str">
            <v>Ghana</v>
          </cell>
        </row>
        <row r="100">
          <cell r="A100" t="str">
            <v>Gibraltar</v>
          </cell>
        </row>
        <row r="101">
          <cell r="A101" t="str">
            <v>Guinea</v>
          </cell>
        </row>
        <row r="102">
          <cell r="A102" t="str">
            <v>Guadeloupe</v>
          </cell>
        </row>
        <row r="103">
          <cell r="A103" t="str">
            <v>Gambia</v>
          </cell>
        </row>
        <row r="104">
          <cell r="A104" t="str">
            <v>Guinea-Bissau</v>
          </cell>
        </row>
        <row r="105">
          <cell r="A105" t="str">
            <v>Equatorial Guinea</v>
          </cell>
        </row>
        <row r="106">
          <cell r="A106" t="str">
            <v>Grenada</v>
          </cell>
        </row>
        <row r="107">
          <cell r="A107" t="str">
            <v>Greenland</v>
          </cell>
        </row>
        <row r="108">
          <cell r="A108" t="str">
            <v>Guatemala</v>
          </cell>
        </row>
        <row r="109">
          <cell r="A109" t="str">
            <v>French Guiana</v>
          </cell>
        </row>
        <row r="110">
          <cell r="A110" t="str">
            <v>Guam</v>
          </cell>
        </row>
        <row r="111">
          <cell r="A111" t="str">
            <v>Guyana</v>
          </cell>
        </row>
        <row r="112">
          <cell r="A112" t="str">
            <v>Heard &amp; McDonald Islands</v>
          </cell>
        </row>
        <row r="113">
          <cell r="A113" t="str">
            <v>Honduras</v>
          </cell>
        </row>
        <row r="114">
          <cell r="A114" t="str">
            <v>Croatia</v>
          </cell>
        </row>
        <row r="115">
          <cell r="A115" t="str">
            <v>Haiti</v>
          </cell>
        </row>
        <row r="116">
          <cell r="A116" t="str">
            <v>Indonesia</v>
          </cell>
        </row>
        <row r="117">
          <cell r="A117" t="str">
            <v>Isle of Man</v>
          </cell>
        </row>
        <row r="118">
          <cell r="A118" t="str">
            <v>British Indian Ocean Territory</v>
          </cell>
        </row>
        <row r="119">
          <cell r="A119" t="str">
            <v>Ireland</v>
          </cell>
        </row>
        <row r="120">
          <cell r="A120" t="str">
            <v>Iran</v>
          </cell>
        </row>
        <row r="121">
          <cell r="A121" t="str">
            <v>Iraq</v>
          </cell>
        </row>
        <row r="122">
          <cell r="A122" t="str">
            <v>Iceland</v>
          </cell>
        </row>
        <row r="123">
          <cell r="A123" t="str">
            <v>Italy</v>
          </cell>
        </row>
        <row r="124">
          <cell r="A124" t="str">
            <v>Jamaica</v>
          </cell>
        </row>
        <row r="125">
          <cell r="A125" t="str">
            <v>Jersey</v>
          </cell>
        </row>
        <row r="126">
          <cell r="A126" t="str">
            <v>Jordan</v>
          </cell>
        </row>
        <row r="127">
          <cell r="A127" t="str">
            <v>Japan</v>
          </cell>
        </row>
        <row r="128">
          <cell r="A128" t="str">
            <v>Kazakhstan</v>
          </cell>
        </row>
        <row r="129">
          <cell r="A129" t="str">
            <v>Kenya</v>
          </cell>
        </row>
        <row r="130">
          <cell r="A130" t="str">
            <v>Kyrgyzstan</v>
          </cell>
        </row>
        <row r="131">
          <cell r="A131" t="str">
            <v>Cambodia</v>
          </cell>
        </row>
        <row r="132">
          <cell r="A132" t="str">
            <v>Kiribati</v>
          </cell>
        </row>
        <row r="133">
          <cell r="A133" t="str">
            <v>St. Kitts &amp; Nevis</v>
          </cell>
        </row>
        <row r="134">
          <cell r="A134" t="str">
            <v>Kuwait</v>
          </cell>
        </row>
        <row r="135">
          <cell r="A135" t="str">
            <v>Laos</v>
          </cell>
        </row>
        <row r="136">
          <cell r="A136" t="str">
            <v>Lebanon</v>
          </cell>
        </row>
        <row r="137">
          <cell r="A137" t="str">
            <v>Liberia</v>
          </cell>
        </row>
        <row r="138">
          <cell r="A138" t="str">
            <v>Libya</v>
          </cell>
        </row>
        <row r="139">
          <cell r="A139" t="str">
            <v>St. Lucia</v>
          </cell>
        </row>
        <row r="140">
          <cell r="A140" t="str">
            <v>Liechtenstein</v>
          </cell>
        </row>
        <row r="141">
          <cell r="A141" t="str">
            <v>Sri Lanka</v>
          </cell>
        </row>
        <row r="142">
          <cell r="A142" t="str">
            <v>Lesotho</v>
          </cell>
        </row>
        <row r="143">
          <cell r="A143" t="str">
            <v>Lithuania</v>
          </cell>
        </row>
        <row r="144">
          <cell r="A144" t="str">
            <v>Luxembourg</v>
          </cell>
        </row>
        <row r="145">
          <cell r="A145" t="str">
            <v>Latvia</v>
          </cell>
        </row>
        <row r="146">
          <cell r="A146" t="str">
            <v>Macao</v>
          </cell>
        </row>
        <row r="147">
          <cell r="A147" t="str">
            <v>St. Martin</v>
          </cell>
        </row>
        <row r="148">
          <cell r="A148" t="str">
            <v>Morocco</v>
          </cell>
        </row>
        <row r="149">
          <cell r="A149" t="str">
            <v>Monaco</v>
          </cell>
        </row>
        <row r="150">
          <cell r="A150" t="str">
            <v>Moldova</v>
          </cell>
        </row>
        <row r="151">
          <cell r="A151" t="str">
            <v>Madagascar</v>
          </cell>
        </row>
        <row r="152">
          <cell r="A152" t="str">
            <v>Maldives</v>
          </cell>
        </row>
        <row r="153">
          <cell r="A153" t="str">
            <v>Mexico</v>
          </cell>
        </row>
        <row r="154">
          <cell r="A154" t="str">
            <v>Marshall Islands</v>
          </cell>
        </row>
        <row r="155">
          <cell r="A155" t="str">
            <v>North Macedonia</v>
          </cell>
        </row>
        <row r="156">
          <cell r="A156" t="str">
            <v>Mali</v>
          </cell>
        </row>
        <row r="157">
          <cell r="A157" t="str">
            <v>Malta</v>
          </cell>
        </row>
        <row r="158">
          <cell r="A158" t="str">
            <v>Myanmar (Burma)</v>
          </cell>
        </row>
        <row r="159">
          <cell r="A159" t="str">
            <v>Montenegro</v>
          </cell>
        </row>
        <row r="160">
          <cell r="A160" t="str">
            <v>Northern Mariana Islands</v>
          </cell>
        </row>
        <row r="161">
          <cell r="A161" t="str">
            <v>Mozambique</v>
          </cell>
        </row>
        <row r="162">
          <cell r="A162" t="str">
            <v>Mauritania</v>
          </cell>
        </row>
        <row r="163">
          <cell r="A163" t="str">
            <v>Montserrat</v>
          </cell>
        </row>
        <row r="164">
          <cell r="A164" t="str">
            <v>Martinique</v>
          </cell>
        </row>
        <row r="165">
          <cell r="A165" t="str">
            <v>Mauritius</v>
          </cell>
        </row>
        <row r="166">
          <cell r="A166" t="str">
            <v>Malawi</v>
          </cell>
        </row>
        <row r="167">
          <cell r="A167" t="str">
            <v>Malaysia</v>
          </cell>
        </row>
        <row r="168">
          <cell r="A168" t="str">
            <v>Mayotte</v>
          </cell>
        </row>
        <row r="169">
          <cell r="A169" t="str">
            <v>Namibia</v>
          </cell>
        </row>
        <row r="170">
          <cell r="A170" t="str">
            <v>New Caledonia</v>
          </cell>
        </row>
        <row r="171">
          <cell r="A171" t="str">
            <v>Niger</v>
          </cell>
        </row>
        <row r="172">
          <cell r="A172" t="str">
            <v>Norfolk Island</v>
          </cell>
        </row>
        <row r="173">
          <cell r="A173" t="str">
            <v>Nigeria</v>
          </cell>
        </row>
        <row r="174">
          <cell r="A174" t="str">
            <v>Nicaragua</v>
          </cell>
        </row>
        <row r="175">
          <cell r="A175" t="str">
            <v>Niue</v>
          </cell>
        </row>
        <row r="176">
          <cell r="A176" t="str">
            <v>Netherlands</v>
          </cell>
        </row>
        <row r="177">
          <cell r="A177" t="str">
            <v>Norway</v>
          </cell>
        </row>
        <row r="178">
          <cell r="A178" t="str">
            <v>Nepal</v>
          </cell>
        </row>
        <row r="179">
          <cell r="A179" t="str">
            <v>Nauru</v>
          </cell>
        </row>
        <row r="180">
          <cell r="A180" t="str">
            <v>New Zealand</v>
          </cell>
        </row>
        <row r="181">
          <cell r="A181" t="str">
            <v>Oman</v>
          </cell>
        </row>
        <row r="182">
          <cell r="A182" t="str">
            <v>Pakistan</v>
          </cell>
        </row>
        <row r="183">
          <cell r="A183" t="str">
            <v>Panama</v>
          </cell>
        </row>
        <row r="184">
          <cell r="A184" t="str">
            <v>Pitcairn Islands</v>
          </cell>
        </row>
        <row r="185">
          <cell r="A185" t="str">
            <v>Peru</v>
          </cell>
        </row>
        <row r="186">
          <cell r="A186" t="str">
            <v>Philippines</v>
          </cell>
        </row>
        <row r="187">
          <cell r="A187" t="str">
            <v>Palau</v>
          </cell>
        </row>
        <row r="188">
          <cell r="A188" t="str">
            <v>Papua New Guinea</v>
          </cell>
        </row>
        <row r="189">
          <cell r="A189" t="str">
            <v>Puerto Rico</v>
          </cell>
        </row>
        <row r="190">
          <cell r="A190" t="str">
            <v>North Korea</v>
          </cell>
        </row>
        <row r="191">
          <cell r="A191" t="str">
            <v>Portugal</v>
          </cell>
        </row>
        <row r="192">
          <cell r="A192" t="str">
            <v>Paraguay</v>
          </cell>
        </row>
        <row r="193">
          <cell r="A193" t="str">
            <v>Palestine</v>
          </cell>
        </row>
        <row r="194">
          <cell r="A194" t="str">
            <v>French Polynesia</v>
          </cell>
        </row>
        <row r="195">
          <cell r="A195" t="str">
            <v>Qatar</v>
          </cell>
        </row>
        <row r="196">
          <cell r="A196" t="str">
            <v>RÃ©union</v>
          </cell>
        </row>
        <row r="197">
          <cell r="A197" t="str">
            <v>Rwanda</v>
          </cell>
        </row>
        <row r="198">
          <cell r="A198" t="str">
            <v>Saudi Arabia</v>
          </cell>
        </row>
        <row r="199">
          <cell r="A199" t="str">
            <v>Sudan</v>
          </cell>
        </row>
        <row r="200">
          <cell r="A200" t="str">
            <v>Senegal</v>
          </cell>
        </row>
        <row r="201">
          <cell r="A201" t="str">
            <v>South Georgia &amp; South Sandwich Islands</v>
          </cell>
        </row>
        <row r="202">
          <cell r="A202" t="str">
            <v>St. Helena</v>
          </cell>
        </row>
        <row r="203">
          <cell r="A203" t="str">
            <v>Svalbard &amp; Jan Mayen</v>
          </cell>
        </row>
        <row r="204">
          <cell r="A204" t="str">
            <v>Solomon Islands</v>
          </cell>
        </row>
        <row r="205">
          <cell r="A205" t="str">
            <v>Sierra Leone</v>
          </cell>
        </row>
        <row r="206">
          <cell r="A206" t="str">
            <v>El Salvador</v>
          </cell>
        </row>
        <row r="207">
          <cell r="A207" t="str">
            <v>San Marino</v>
          </cell>
        </row>
        <row r="208">
          <cell r="A208" t="str">
            <v>Somalia</v>
          </cell>
        </row>
        <row r="209">
          <cell r="A209" t="str">
            <v>St. Pierre &amp; Miquelon</v>
          </cell>
        </row>
        <row r="210">
          <cell r="A210" t="str">
            <v>Serbia</v>
          </cell>
        </row>
        <row r="211">
          <cell r="A211" t="str">
            <v>South Sudan</v>
          </cell>
        </row>
        <row r="212">
          <cell r="A212" t="str">
            <v>SÃ£o TomÃ© &amp; PrÃ­ncipe</v>
          </cell>
        </row>
        <row r="213">
          <cell r="A213" t="str">
            <v>Suriname</v>
          </cell>
        </row>
        <row r="214">
          <cell r="A214" t="str">
            <v>Slovakia</v>
          </cell>
        </row>
        <row r="215">
          <cell r="A215" t="str">
            <v>Slovenia</v>
          </cell>
        </row>
        <row r="216">
          <cell r="A216" t="str">
            <v>Sweden</v>
          </cell>
        </row>
        <row r="217">
          <cell r="A217" t="str">
            <v>Eswatini</v>
          </cell>
        </row>
        <row r="218">
          <cell r="A218" t="str">
            <v>Sint Maarten</v>
          </cell>
        </row>
        <row r="219">
          <cell r="A219" t="str">
            <v>Seychelles</v>
          </cell>
        </row>
        <row r="220">
          <cell r="A220" t="str">
            <v>Syria</v>
          </cell>
        </row>
        <row r="221">
          <cell r="A221" t="str">
            <v>Turks &amp; Caicos Islands</v>
          </cell>
        </row>
        <row r="222">
          <cell r="A222" t="str">
            <v>Chad</v>
          </cell>
        </row>
        <row r="223">
          <cell r="A223" t="str">
            <v>Togo</v>
          </cell>
        </row>
        <row r="224">
          <cell r="A224" t="str">
            <v>Thailand</v>
          </cell>
        </row>
        <row r="225">
          <cell r="A225" t="str">
            <v>Tajikistan</v>
          </cell>
        </row>
        <row r="226">
          <cell r="A226" t="str">
            <v>Tokelau</v>
          </cell>
        </row>
        <row r="227">
          <cell r="A227" t="str">
            <v>Turkmenistan</v>
          </cell>
        </row>
        <row r="228">
          <cell r="A228" t="str">
            <v>Timor-Leste</v>
          </cell>
        </row>
        <row r="229">
          <cell r="A229" t="str">
            <v>Tonga</v>
          </cell>
        </row>
        <row r="230">
          <cell r="A230" t="str">
            <v>Trinidad &amp; Tobago</v>
          </cell>
        </row>
        <row r="231">
          <cell r="A231" t="str">
            <v>Tunisia</v>
          </cell>
        </row>
        <row r="232">
          <cell r="A232" t="str">
            <v>Tuvalu</v>
          </cell>
        </row>
        <row r="233">
          <cell r="A233" t="str">
            <v>Taiwan</v>
          </cell>
        </row>
        <row r="234">
          <cell r="A234" t="str">
            <v>Tanzania</v>
          </cell>
        </row>
        <row r="235">
          <cell r="A235" t="str">
            <v>Uganda</v>
          </cell>
        </row>
        <row r="236">
          <cell r="A236" t="str">
            <v>Ukraine</v>
          </cell>
        </row>
        <row r="237">
          <cell r="A237" t="str">
            <v>U.S. Outlying Islands</v>
          </cell>
        </row>
        <row r="238">
          <cell r="A238" t="str">
            <v>Uruguay</v>
          </cell>
        </row>
        <row r="239">
          <cell r="A239" t="str">
            <v>Uzbekistan</v>
          </cell>
        </row>
        <row r="240">
          <cell r="A240" t="str">
            <v>Vatican City</v>
          </cell>
        </row>
        <row r="241">
          <cell r="A241" t="str">
            <v>St. Vincent &amp; Grenadines</v>
          </cell>
        </row>
        <row r="242">
          <cell r="A242" t="str">
            <v>Venezuela</v>
          </cell>
        </row>
        <row r="243">
          <cell r="A243" t="str">
            <v>British Virgin Islands</v>
          </cell>
        </row>
        <row r="244">
          <cell r="A244" t="str">
            <v>U.S. Virgin Islands</v>
          </cell>
        </row>
        <row r="245">
          <cell r="A245" t="str">
            <v>Vietnam</v>
          </cell>
        </row>
        <row r="246">
          <cell r="A246" t="str">
            <v>Vanuatu</v>
          </cell>
        </row>
        <row r="247">
          <cell r="A247" t="str">
            <v>Wallis &amp; Futuna</v>
          </cell>
        </row>
        <row r="248">
          <cell r="A248" t="str">
            <v>Samoa</v>
          </cell>
        </row>
        <row r="249">
          <cell r="A249" t="str">
            <v>Kosovo</v>
          </cell>
        </row>
        <row r="250">
          <cell r="A250" t="str">
            <v>Yemen</v>
          </cell>
        </row>
        <row r="251">
          <cell r="A251" t="str">
            <v>South Africa</v>
          </cell>
        </row>
        <row r="252">
          <cell r="A252" t="str">
            <v>Zambia</v>
          </cell>
        </row>
        <row r="253">
          <cell r="A253" t="str">
            <v>Zimbabwe</v>
          </cell>
        </row>
      </sheetData>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38)"/>
    </sheetNames>
    <sheetDataSet>
      <sheetData sheetId="0" refreshError="1">
        <row r="1">
          <cell r="A1" t="str">
            <v>Category: All categories</v>
          </cell>
        </row>
        <row r="3">
          <cell r="A3" t="str">
            <v>Country</v>
          </cell>
          <cell r="B3" t="str">
            <v>Mutual exclusion: (2018)</v>
          </cell>
          <cell r="C3" t="str">
            <v>Concurrency control: (2018)</v>
          </cell>
        </row>
        <row r="4">
          <cell r="A4" t="str">
            <v>China</v>
          </cell>
          <cell r="B4">
            <v>0.61</v>
          </cell>
          <cell r="C4">
            <v>0.39</v>
          </cell>
        </row>
        <row r="5">
          <cell r="A5" t="str">
            <v>Malawi</v>
          </cell>
          <cell r="C5">
            <v>1</v>
          </cell>
        </row>
        <row r="6">
          <cell r="A6" t="str">
            <v>Ethiopia</v>
          </cell>
        </row>
        <row r="7">
          <cell r="A7" t="str">
            <v>Zimbabwe</v>
          </cell>
        </row>
        <row r="8">
          <cell r="A8" t="str">
            <v>Nepal</v>
          </cell>
          <cell r="B8">
            <v>0.33</v>
          </cell>
          <cell r="C8">
            <v>0.67</v>
          </cell>
        </row>
        <row r="9">
          <cell r="A9" t="str">
            <v>Taiwan</v>
          </cell>
          <cell r="B9">
            <v>0.96</v>
          </cell>
          <cell r="C9">
            <v>0.04</v>
          </cell>
        </row>
        <row r="10">
          <cell r="A10" t="str">
            <v>Japan</v>
          </cell>
          <cell r="B10">
            <v>0.99</v>
          </cell>
          <cell r="C10">
            <v>0.01</v>
          </cell>
        </row>
        <row r="11">
          <cell r="A11" t="str">
            <v>Israel</v>
          </cell>
          <cell r="B11">
            <v>1</v>
          </cell>
        </row>
        <row r="12">
          <cell r="A12" t="str">
            <v>Kenya</v>
          </cell>
          <cell r="B12">
            <v>0.55000000000000004</v>
          </cell>
          <cell r="C12">
            <v>0.45</v>
          </cell>
        </row>
        <row r="13">
          <cell r="A13" t="str">
            <v>St. Helena</v>
          </cell>
          <cell r="B13">
            <v>1</v>
          </cell>
        </row>
        <row r="14">
          <cell r="A14" t="str">
            <v>Belarus</v>
          </cell>
          <cell r="B14">
            <v>1</v>
          </cell>
        </row>
        <row r="15">
          <cell r="A15" t="str">
            <v>Czechia</v>
          </cell>
          <cell r="B15">
            <v>1</v>
          </cell>
        </row>
        <row r="16">
          <cell r="A16" t="str">
            <v>Russia</v>
          </cell>
          <cell r="B16">
            <v>1</v>
          </cell>
        </row>
        <row r="17">
          <cell r="A17" t="str">
            <v>Austria</v>
          </cell>
          <cell r="B17">
            <v>1</v>
          </cell>
        </row>
        <row r="18">
          <cell r="A18" t="str">
            <v>Germany</v>
          </cell>
          <cell r="B18">
            <v>0.96</v>
          </cell>
          <cell r="C18">
            <v>0.04</v>
          </cell>
        </row>
        <row r="19">
          <cell r="A19" t="str">
            <v>Norway</v>
          </cell>
          <cell r="B19">
            <v>1</v>
          </cell>
        </row>
        <row r="20">
          <cell r="A20" t="str">
            <v>Sri Lanka</v>
          </cell>
        </row>
        <row r="21">
          <cell r="A21" t="str">
            <v>Finland</v>
          </cell>
          <cell r="B21">
            <v>1</v>
          </cell>
        </row>
        <row r="22">
          <cell r="A22" t="str">
            <v>Ukraine</v>
          </cell>
          <cell r="B22">
            <v>1</v>
          </cell>
        </row>
        <row r="23">
          <cell r="A23" t="str">
            <v>Portugal</v>
          </cell>
          <cell r="B23">
            <v>1</v>
          </cell>
        </row>
        <row r="24">
          <cell r="A24" t="str">
            <v>Algeria</v>
          </cell>
          <cell r="B24">
            <v>1</v>
          </cell>
        </row>
        <row r="25">
          <cell r="A25" t="str">
            <v>India</v>
          </cell>
          <cell r="B25">
            <v>0.46</v>
          </cell>
          <cell r="C25">
            <v>0.54</v>
          </cell>
        </row>
        <row r="26">
          <cell r="A26" t="str">
            <v>Hungary</v>
          </cell>
          <cell r="B26">
            <v>1</v>
          </cell>
        </row>
        <row r="27">
          <cell r="A27" t="str">
            <v>Laos</v>
          </cell>
        </row>
        <row r="28">
          <cell r="A28" t="str">
            <v>Poland</v>
          </cell>
          <cell r="B28">
            <v>1</v>
          </cell>
        </row>
        <row r="29">
          <cell r="A29" t="str">
            <v>South Korea</v>
          </cell>
          <cell r="B29">
            <v>0.83</v>
          </cell>
          <cell r="C29">
            <v>0.17</v>
          </cell>
        </row>
        <row r="30">
          <cell r="A30" t="str">
            <v>Sweden</v>
          </cell>
          <cell r="B30">
            <v>1</v>
          </cell>
        </row>
        <row r="31">
          <cell r="A31" t="str">
            <v>Costa Rica</v>
          </cell>
          <cell r="B31">
            <v>1</v>
          </cell>
        </row>
        <row r="32">
          <cell r="A32" t="str">
            <v>Switzerland</v>
          </cell>
          <cell r="B32">
            <v>1</v>
          </cell>
        </row>
        <row r="33">
          <cell r="A33" t="str">
            <v>Pakistan</v>
          </cell>
          <cell r="B33">
            <v>0.51</v>
          </cell>
          <cell r="C33">
            <v>0.49</v>
          </cell>
        </row>
        <row r="34">
          <cell r="A34" t="str">
            <v>Hong Kong</v>
          </cell>
          <cell r="B34">
            <v>0.7</v>
          </cell>
          <cell r="C34">
            <v>0.3</v>
          </cell>
        </row>
        <row r="35">
          <cell r="A35" t="str">
            <v>Singapore</v>
          </cell>
          <cell r="B35">
            <v>0.64</v>
          </cell>
          <cell r="C35">
            <v>0.36</v>
          </cell>
        </row>
        <row r="36">
          <cell r="A36" t="str">
            <v>Netherlands</v>
          </cell>
          <cell r="B36">
            <v>0.88</v>
          </cell>
          <cell r="C36">
            <v>0.12</v>
          </cell>
        </row>
        <row r="37">
          <cell r="A37" t="str">
            <v>Serbia</v>
          </cell>
          <cell r="B37">
            <v>1</v>
          </cell>
        </row>
        <row r="38">
          <cell r="A38" t="str">
            <v>Italy</v>
          </cell>
          <cell r="B38">
            <v>1</v>
          </cell>
        </row>
        <row r="39">
          <cell r="A39" t="str">
            <v>Bulgaria</v>
          </cell>
          <cell r="B39">
            <v>1</v>
          </cell>
        </row>
        <row r="40">
          <cell r="A40" t="str">
            <v>Guatemala</v>
          </cell>
          <cell r="B40">
            <v>1</v>
          </cell>
        </row>
        <row r="41">
          <cell r="A41" t="str">
            <v>Lithuania</v>
          </cell>
          <cell r="B41">
            <v>1</v>
          </cell>
        </row>
        <row r="42">
          <cell r="A42" t="str">
            <v>Croatia</v>
          </cell>
          <cell r="B42">
            <v>1</v>
          </cell>
        </row>
        <row r="43">
          <cell r="A43" t="str">
            <v>Spain</v>
          </cell>
          <cell r="B43">
            <v>1</v>
          </cell>
        </row>
        <row r="44">
          <cell r="A44" t="str">
            <v>Ireland</v>
          </cell>
          <cell r="B44">
            <v>0.73</v>
          </cell>
          <cell r="C44">
            <v>0.27</v>
          </cell>
        </row>
        <row r="45">
          <cell r="A45" t="str">
            <v>Slovakia</v>
          </cell>
          <cell r="B45">
            <v>1</v>
          </cell>
        </row>
        <row r="46">
          <cell r="A46" t="str">
            <v>Nigeria</v>
          </cell>
          <cell r="B46">
            <v>0.6</v>
          </cell>
          <cell r="C46">
            <v>0.4</v>
          </cell>
        </row>
        <row r="47">
          <cell r="A47" t="str">
            <v>Tunisia</v>
          </cell>
        </row>
        <row r="48">
          <cell r="A48" t="str">
            <v>France</v>
          </cell>
          <cell r="B48">
            <v>0.97</v>
          </cell>
          <cell r="C48">
            <v>0.03</v>
          </cell>
        </row>
        <row r="49">
          <cell r="A49" t="str">
            <v>Greece</v>
          </cell>
          <cell r="B49">
            <v>1</v>
          </cell>
        </row>
        <row r="50">
          <cell r="A50" t="str">
            <v>Mexico</v>
          </cell>
          <cell r="B50">
            <v>1</v>
          </cell>
        </row>
        <row r="51">
          <cell r="A51" t="str">
            <v>Bangladesh</v>
          </cell>
          <cell r="B51">
            <v>1</v>
          </cell>
        </row>
        <row r="52">
          <cell r="A52" t="str">
            <v>Romania</v>
          </cell>
          <cell r="B52">
            <v>1</v>
          </cell>
        </row>
        <row r="53">
          <cell r="A53" t="str">
            <v>Uruguay</v>
          </cell>
        </row>
        <row r="54">
          <cell r="A54" t="str">
            <v>Bolivia</v>
          </cell>
        </row>
        <row r="55">
          <cell r="A55" t="str">
            <v>Belgium</v>
          </cell>
          <cell r="B55">
            <v>1</v>
          </cell>
        </row>
        <row r="56">
          <cell r="A56" t="str">
            <v>Argentina</v>
          </cell>
          <cell r="B56">
            <v>1</v>
          </cell>
        </row>
        <row r="57">
          <cell r="A57" t="str">
            <v>Canada</v>
          </cell>
          <cell r="B57">
            <v>0.8</v>
          </cell>
          <cell r="C57">
            <v>0.2</v>
          </cell>
        </row>
        <row r="58">
          <cell r="A58" t="str">
            <v>Vietnam</v>
          </cell>
          <cell r="B58">
            <v>0.83</v>
          </cell>
          <cell r="C58">
            <v>0.17</v>
          </cell>
        </row>
        <row r="59">
          <cell r="A59" t="str">
            <v>Brazil</v>
          </cell>
          <cell r="B59">
            <v>1</v>
          </cell>
        </row>
        <row r="60">
          <cell r="A60" t="str">
            <v>United States</v>
          </cell>
          <cell r="B60">
            <v>0.72</v>
          </cell>
          <cell r="C60">
            <v>0.28000000000000003</v>
          </cell>
        </row>
        <row r="61">
          <cell r="A61" t="str">
            <v>Kazakhstan</v>
          </cell>
          <cell r="B61">
            <v>1</v>
          </cell>
        </row>
        <row r="62">
          <cell r="A62" t="str">
            <v>South Africa</v>
          </cell>
          <cell r="B62">
            <v>0.46</v>
          </cell>
          <cell r="C62">
            <v>0.54</v>
          </cell>
        </row>
        <row r="63">
          <cell r="A63" t="str">
            <v>New Zealand</v>
          </cell>
        </row>
        <row r="64">
          <cell r="A64" t="str">
            <v>Indonesia</v>
          </cell>
          <cell r="B64">
            <v>0.81</v>
          </cell>
          <cell r="C64">
            <v>0.19</v>
          </cell>
        </row>
        <row r="65">
          <cell r="A65" t="str">
            <v>Morocco</v>
          </cell>
        </row>
        <row r="66">
          <cell r="A66" t="str">
            <v>Ecuador</v>
          </cell>
          <cell r="B66">
            <v>1</v>
          </cell>
        </row>
        <row r="67">
          <cell r="A67" t="str">
            <v>Australia</v>
          </cell>
          <cell r="B67">
            <v>0.78</v>
          </cell>
          <cell r="C67">
            <v>0.22</v>
          </cell>
        </row>
        <row r="68">
          <cell r="A68" t="str">
            <v>Philippines</v>
          </cell>
          <cell r="B68">
            <v>0.65</v>
          </cell>
          <cell r="C68">
            <v>0.35</v>
          </cell>
        </row>
        <row r="69">
          <cell r="A69" t="str">
            <v>Denmark</v>
          </cell>
          <cell r="B69">
            <v>1</v>
          </cell>
        </row>
        <row r="70">
          <cell r="A70" t="str">
            <v>Malaysia</v>
          </cell>
          <cell r="B70">
            <v>0.53</v>
          </cell>
          <cell r="C70">
            <v>0.47</v>
          </cell>
        </row>
        <row r="71">
          <cell r="A71" t="str">
            <v>United Kingdom</v>
          </cell>
          <cell r="B71">
            <v>0.81</v>
          </cell>
          <cell r="C71">
            <v>0.19</v>
          </cell>
        </row>
        <row r="72">
          <cell r="A72" t="str">
            <v>Peru</v>
          </cell>
          <cell r="B72">
            <v>1</v>
          </cell>
        </row>
        <row r="73">
          <cell r="A73" t="str">
            <v>Iran</v>
          </cell>
          <cell r="B73">
            <v>0.33</v>
          </cell>
          <cell r="C73">
            <v>0.67</v>
          </cell>
        </row>
        <row r="74">
          <cell r="A74" t="str">
            <v>Chile</v>
          </cell>
          <cell r="B74">
            <v>1</v>
          </cell>
        </row>
        <row r="75">
          <cell r="A75" t="str">
            <v>Colombia</v>
          </cell>
          <cell r="B75">
            <v>1</v>
          </cell>
        </row>
        <row r="76">
          <cell r="A76" t="str">
            <v>Saudi Arabia</v>
          </cell>
        </row>
        <row r="77">
          <cell r="A77" t="str">
            <v>Thailand</v>
          </cell>
          <cell r="B77">
            <v>0.56999999999999995</v>
          </cell>
          <cell r="C77">
            <v>0.43</v>
          </cell>
        </row>
        <row r="78">
          <cell r="A78" t="str">
            <v>Venezuela</v>
          </cell>
        </row>
        <row r="79">
          <cell r="A79" t="str">
            <v>United Arab Emirates</v>
          </cell>
        </row>
        <row r="80">
          <cell r="A80" t="str">
            <v>Turkey</v>
          </cell>
          <cell r="B80">
            <v>0.89</v>
          </cell>
          <cell r="C80">
            <v>0.11</v>
          </cell>
        </row>
        <row r="81">
          <cell r="A81" t="str">
            <v>Macao</v>
          </cell>
        </row>
        <row r="82">
          <cell r="A82" t="str">
            <v>Guyana</v>
          </cell>
        </row>
        <row r="83">
          <cell r="A83" t="str">
            <v>Benin</v>
          </cell>
        </row>
        <row r="84">
          <cell r="A84" t="str">
            <v>Rwanda</v>
          </cell>
        </row>
        <row r="85">
          <cell r="A85" t="str">
            <v>Namibia</v>
          </cell>
        </row>
        <row r="86">
          <cell r="A86" t="str">
            <v>Mali</v>
          </cell>
        </row>
        <row r="87">
          <cell r="A87" t="str">
            <v>Burkina Faso</v>
          </cell>
        </row>
        <row r="88">
          <cell r="A88" t="str">
            <v>CÃ´te dâ€™Ivoire</v>
          </cell>
        </row>
        <row r="89">
          <cell r="A89" t="str">
            <v>Zambia</v>
          </cell>
        </row>
        <row r="90">
          <cell r="A90" t="str">
            <v>Armenia</v>
          </cell>
        </row>
        <row r="91">
          <cell r="A91" t="str">
            <v>Congo - Kinshasa</v>
          </cell>
        </row>
        <row r="92">
          <cell r="A92" t="str">
            <v>Brunei</v>
          </cell>
        </row>
        <row r="93">
          <cell r="A93" t="str">
            <v>Trinidad &amp; Tobago</v>
          </cell>
        </row>
        <row r="94">
          <cell r="A94" t="str">
            <v>Cameroon</v>
          </cell>
        </row>
        <row r="95">
          <cell r="A95" t="str">
            <v>Angola</v>
          </cell>
        </row>
        <row r="96">
          <cell r="A96" t="str">
            <v>Mongolia</v>
          </cell>
        </row>
        <row r="97">
          <cell r="A97" t="str">
            <v>Montenegro</v>
          </cell>
        </row>
        <row r="98">
          <cell r="A98" t="str">
            <v>Tanzania</v>
          </cell>
        </row>
        <row r="99">
          <cell r="A99" t="str">
            <v>Latvia</v>
          </cell>
        </row>
        <row r="100">
          <cell r="A100" t="str">
            <v>Mozambique</v>
          </cell>
        </row>
        <row r="101">
          <cell r="A101" t="str">
            <v>Senegal</v>
          </cell>
        </row>
        <row r="102">
          <cell r="A102" t="str">
            <v>Bosnia &amp; Herzegovina</v>
          </cell>
        </row>
        <row r="103">
          <cell r="A103" t="str">
            <v>Estonia</v>
          </cell>
        </row>
        <row r="104">
          <cell r="A104" t="str">
            <v>Kyrgyzstan</v>
          </cell>
        </row>
        <row r="105">
          <cell r="A105" t="str">
            <v>Syria</v>
          </cell>
        </row>
        <row r="106">
          <cell r="A106" t="str">
            <v>Luxembourg</v>
          </cell>
        </row>
        <row r="107">
          <cell r="A107" t="str">
            <v>Azerbaijan</v>
          </cell>
        </row>
        <row r="108">
          <cell r="A108" t="str">
            <v>Nicaragua</v>
          </cell>
        </row>
        <row r="109">
          <cell r="A109" t="str">
            <v>Georgia</v>
          </cell>
        </row>
        <row r="110">
          <cell r="A110" t="str">
            <v>North Macedonia</v>
          </cell>
        </row>
        <row r="111">
          <cell r="A111" t="str">
            <v>Slovenia</v>
          </cell>
        </row>
        <row r="112">
          <cell r="A112" t="str">
            <v>Yemen</v>
          </cell>
        </row>
        <row r="113">
          <cell r="A113" t="str">
            <v>Albania</v>
          </cell>
        </row>
        <row r="114">
          <cell r="A114" t="str">
            <v>Myanmar (Burma)</v>
          </cell>
        </row>
        <row r="115">
          <cell r="A115" t="str">
            <v>Moldova</v>
          </cell>
        </row>
        <row r="116">
          <cell r="A116" t="str">
            <v>Oman</v>
          </cell>
        </row>
        <row r="117">
          <cell r="A117" t="str">
            <v>Cyprus</v>
          </cell>
        </row>
        <row r="118">
          <cell r="A118" t="str">
            <v>Honduras</v>
          </cell>
        </row>
        <row r="119">
          <cell r="A119" t="str">
            <v>El Salvador</v>
          </cell>
        </row>
        <row r="120">
          <cell r="A120" t="str">
            <v>Qatar</v>
          </cell>
        </row>
        <row r="121">
          <cell r="A121" t="str">
            <v>Puerto Rico</v>
          </cell>
        </row>
        <row r="122">
          <cell r="A122" t="str">
            <v>Panama</v>
          </cell>
        </row>
        <row r="123">
          <cell r="A123" t="str">
            <v>Paraguay</v>
          </cell>
        </row>
        <row r="124">
          <cell r="A124" t="str">
            <v>Dominican Republic</v>
          </cell>
        </row>
        <row r="125">
          <cell r="A125" t="str">
            <v>Egypt</v>
          </cell>
        </row>
        <row r="126">
          <cell r="A126" t="str">
            <v>Iraq</v>
          </cell>
        </row>
        <row r="127">
          <cell r="A127" t="str">
            <v>Aruba</v>
          </cell>
        </row>
        <row r="128">
          <cell r="A128" t="str">
            <v>Afghanistan</v>
          </cell>
        </row>
        <row r="129">
          <cell r="A129" t="str">
            <v>Anguilla</v>
          </cell>
        </row>
        <row r="130">
          <cell r="A130" t="str">
            <v>Ã…land Islands</v>
          </cell>
        </row>
        <row r="131">
          <cell r="A131" t="str">
            <v>Andorra</v>
          </cell>
        </row>
        <row r="132">
          <cell r="A132" t="str">
            <v>American Samoa</v>
          </cell>
        </row>
        <row r="133">
          <cell r="A133" t="str">
            <v>Antarctica</v>
          </cell>
        </row>
        <row r="134">
          <cell r="A134" t="str">
            <v>French Southern Territories</v>
          </cell>
        </row>
        <row r="135">
          <cell r="A135" t="str">
            <v>Antigua &amp; Barbuda</v>
          </cell>
        </row>
        <row r="136">
          <cell r="A136" t="str">
            <v>Burundi</v>
          </cell>
        </row>
        <row r="137">
          <cell r="A137" t="str">
            <v>Caribbean Netherlands</v>
          </cell>
        </row>
        <row r="138">
          <cell r="A138" t="str">
            <v>Bahrain</v>
          </cell>
        </row>
        <row r="139">
          <cell r="A139" t="str">
            <v>Bahamas</v>
          </cell>
        </row>
        <row r="140">
          <cell r="A140" t="str">
            <v>St. BarthÃ©lemy</v>
          </cell>
        </row>
        <row r="141">
          <cell r="A141" t="str">
            <v>Belize</v>
          </cell>
        </row>
        <row r="142">
          <cell r="A142" t="str">
            <v>Bermuda</v>
          </cell>
        </row>
        <row r="143">
          <cell r="A143" t="str">
            <v>Barbados</v>
          </cell>
        </row>
        <row r="144">
          <cell r="A144" t="str">
            <v>Bhutan</v>
          </cell>
        </row>
        <row r="145">
          <cell r="A145" t="str">
            <v>Bouvet Island</v>
          </cell>
        </row>
        <row r="146">
          <cell r="A146" t="str">
            <v>Botswana</v>
          </cell>
        </row>
        <row r="147">
          <cell r="A147" t="str">
            <v>Central African Republic</v>
          </cell>
        </row>
        <row r="148">
          <cell r="A148" t="str">
            <v>Cocos (Keeling) Islands</v>
          </cell>
        </row>
        <row r="149">
          <cell r="A149" t="str">
            <v>Congo - Brazzaville</v>
          </cell>
        </row>
        <row r="150">
          <cell r="A150" t="str">
            <v>Cook Islands</v>
          </cell>
        </row>
        <row r="151">
          <cell r="A151" t="str">
            <v>Comoros</v>
          </cell>
        </row>
        <row r="152">
          <cell r="A152" t="str">
            <v>Cape Verde</v>
          </cell>
        </row>
        <row r="153">
          <cell r="A153" t="str">
            <v>Cuba</v>
          </cell>
        </row>
        <row r="154">
          <cell r="A154" t="str">
            <v>CuraÃ§ao</v>
          </cell>
        </row>
        <row r="155">
          <cell r="A155" t="str">
            <v>Christmas Island</v>
          </cell>
        </row>
        <row r="156">
          <cell r="A156" t="str">
            <v>Cayman Islands</v>
          </cell>
        </row>
        <row r="157">
          <cell r="A157" t="str">
            <v>Djibouti</v>
          </cell>
        </row>
        <row r="158">
          <cell r="A158" t="str">
            <v>Dominica</v>
          </cell>
        </row>
        <row r="159">
          <cell r="A159" t="str">
            <v>Eritrea</v>
          </cell>
        </row>
        <row r="160">
          <cell r="A160" t="str">
            <v>Western Sahara</v>
          </cell>
        </row>
        <row r="161">
          <cell r="A161" t="str">
            <v>Fiji</v>
          </cell>
        </row>
        <row r="162">
          <cell r="A162" t="str">
            <v>Falkland Islands (Islas Malvinas)</v>
          </cell>
        </row>
        <row r="163">
          <cell r="A163" t="str">
            <v>Faroe Islands</v>
          </cell>
        </row>
        <row r="164">
          <cell r="A164" t="str">
            <v>Micronesia</v>
          </cell>
        </row>
        <row r="165">
          <cell r="A165" t="str">
            <v>Gabon</v>
          </cell>
        </row>
        <row r="166">
          <cell r="A166" t="str">
            <v>Guernsey</v>
          </cell>
        </row>
        <row r="167">
          <cell r="A167" t="str">
            <v>Ghana</v>
          </cell>
        </row>
        <row r="168">
          <cell r="A168" t="str">
            <v>Gibraltar</v>
          </cell>
        </row>
        <row r="169">
          <cell r="A169" t="str">
            <v>Guinea</v>
          </cell>
        </row>
        <row r="170">
          <cell r="A170" t="str">
            <v>Guadeloupe</v>
          </cell>
        </row>
        <row r="171">
          <cell r="A171" t="str">
            <v>Gambia</v>
          </cell>
        </row>
        <row r="172">
          <cell r="A172" t="str">
            <v>Guinea-Bissau</v>
          </cell>
        </row>
        <row r="173">
          <cell r="A173" t="str">
            <v>Equatorial Guinea</v>
          </cell>
        </row>
        <row r="174">
          <cell r="A174" t="str">
            <v>Grenada</v>
          </cell>
        </row>
        <row r="175">
          <cell r="A175" t="str">
            <v>Greenland</v>
          </cell>
        </row>
        <row r="176">
          <cell r="A176" t="str">
            <v>French Guiana</v>
          </cell>
        </row>
        <row r="177">
          <cell r="A177" t="str">
            <v>Guam</v>
          </cell>
        </row>
        <row r="178">
          <cell r="A178" t="str">
            <v>Heard &amp; McDonald Islands</v>
          </cell>
        </row>
        <row r="179">
          <cell r="A179" t="str">
            <v>Haiti</v>
          </cell>
        </row>
        <row r="180">
          <cell r="A180" t="str">
            <v>Isle of Man</v>
          </cell>
        </row>
        <row r="181">
          <cell r="A181" t="str">
            <v>British Indian Ocean Territory</v>
          </cell>
        </row>
        <row r="182">
          <cell r="A182" t="str">
            <v>Iceland</v>
          </cell>
        </row>
        <row r="183">
          <cell r="A183" t="str">
            <v>Jamaica</v>
          </cell>
        </row>
        <row r="184">
          <cell r="A184" t="str">
            <v>Jersey</v>
          </cell>
        </row>
        <row r="185">
          <cell r="A185" t="str">
            <v>Jordan</v>
          </cell>
        </row>
        <row r="186">
          <cell r="A186" t="str">
            <v>Cambodia</v>
          </cell>
        </row>
        <row r="187">
          <cell r="A187" t="str">
            <v>Kiribati</v>
          </cell>
        </row>
        <row r="188">
          <cell r="A188" t="str">
            <v>St. Kitts &amp; Nevis</v>
          </cell>
        </row>
        <row r="189">
          <cell r="A189" t="str">
            <v>Kuwait</v>
          </cell>
        </row>
        <row r="190">
          <cell r="A190" t="str">
            <v>Lebanon</v>
          </cell>
        </row>
        <row r="191">
          <cell r="A191" t="str">
            <v>Liberia</v>
          </cell>
        </row>
        <row r="192">
          <cell r="A192" t="str">
            <v>Libya</v>
          </cell>
        </row>
        <row r="193">
          <cell r="A193" t="str">
            <v>St. Lucia</v>
          </cell>
        </row>
        <row r="194">
          <cell r="A194" t="str">
            <v>Liechtenstein</v>
          </cell>
        </row>
        <row r="195">
          <cell r="A195" t="str">
            <v>Lesotho</v>
          </cell>
        </row>
        <row r="196">
          <cell r="A196" t="str">
            <v>St. Martin</v>
          </cell>
        </row>
        <row r="197">
          <cell r="A197" t="str">
            <v>Monaco</v>
          </cell>
        </row>
        <row r="198">
          <cell r="A198" t="str">
            <v>Madagascar</v>
          </cell>
        </row>
        <row r="199">
          <cell r="A199" t="str">
            <v>Maldives</v>
          </cell>
        </row>
        <row r="200">
          <cell r="A200" t="str">
            <v>Marshall Islands</v>
          </cell>
        </row>
        <row r="201">
          <cell r="A201" t="str">
            <v>Malta</v>
          </cell>
        </row>
        <row r="202">
          <cell r="A202" t="str">
            <v>Northern Mariana Islands</v>
          </cell>
        </row>
        <row r="203">
          <cell r="A203" t="str">
            <v>Mauritania</v>
          </cell>
        </row>
        <row r="204">
          <cell r="A204" t="str">
            <v>Montserrat</v>
          </cell>
        </row>
        <row r="205">
          <cell r="A205" t="str">
            <v>Martinique</v>
          </cell>
        </row>
        <row r="206">
          <cell r="A206" t="str">
            <v>Mauritius</v>
          </cell>
        </row>
        <row r="207">
          <cell r="A207" t="str">
            <v>Mayotte</v>
          </cell>
        </row>
        <row r="208">
          <cell r="A208" t="str">
            <v>New Caledonia</v>
          </cell>
        </row>
        <row r="209">
          <cell r="A209" t="str">
            <v>Niger</v>
          </cell>
        </row>
        <row r="210">
          <cell r="A210" t="str">
            <v>Norfolk Island</v>
          </cell>
        </row>
        <row r="211">
          <cell r="A211" t="str">
            <v>Niue</v>
          </cell>
        </row>
        <row r="212">
          <cell r="A212" t="str">
            <v>Nauru</v>
          </cell>
        </row>
        <row r="213">
          <cell r="A213" t="str">
            <v>Pitcairn Islands</v>
          </cell>
        </row>
        <row r="214">
          <cell r="A214" t="str">
            <v>Palau</v>
          </cell>
        </row>
        <row r="215">
          <cell r="A215" t="str">
            <v>Papua New Guinea</v>
          </cell>
        </row>
        <row r="216">
          <cell r="A216" t="str">
            <v>North Korea</v>
          </cell>
        </row>
        <row r="217">
          <cell r="A217" t="str">
            <v>Palestine</v>
          </cell>
        </row>
        <row r="218">
          <cell r="A218" t="str">
            <v>French Polynesia</v>
          </cell>
        </row>
        <row r="219">
          <cell r="A219" t="str">
            <v>RÃ©union</v>
          </cell>
        </row>
        <row r="220">
          <cell r="A220" t="str">
            <v>Sudan</v>
          </cell>
        </row>
        <row r="221">
          <cell r="A221" t="str">
            <v>South Georgia &amp; South Sandwich Islands</v>
          </cell>
        </row>
        <row r="222">
          <cell r="A222" t="str">
            <v>Svalbard &amp; Jan Mayen</v>
          </cell>
        </row>
        <row r="223">
          <cell r="A223" t="str">
            <v>Solomon Islands</v>
          </cell>
        </row>
        <row r="224">
          <cell r="A224" t="str">
            <v>Sierra Leone</v>
          </cell>
        </row>
        <row r="225">
          <cell r="A225" t="str">
            <v>San Marino</v>
          </cell>
        </row>
        <row r="226">
          <cell r="A226" t="str">
            <v>Somalia</v>
          </cell>
        </row>
        <row r="227">
          <cell r="A227" t="str">
            <v>St. Pierre &amp; Miquelon</v>
          </cell>
        </row>
        <row r="228">
          <cell r="A228" t="str">
            <v>South Sudan</v>
          </cell>
        </row>
        <row r="229">
          <cell r="A229" t="str">
            <v>SÃ£o TomÃ© &amp; PrÃ­ncipe</v>
          </cell>
        </row>
        <row r="230">
          <cell r="A230" t="str">
            <v>Suriname</v>
          </cell>
        </row>
        <row r="231">
          <cell r="A231" t="str">
            <v>Eswatini</v>
          </cell>
        </row>
        <row r="232">
          <cell r="A232" t="str">
            <v>Sint Maarten</v>
          </cell>
        </row>
        <row r="233">
          <cell r="A233" t="str">
            <v>Seychelles</v>
          </cell>
        </row>
        <row r="234">
          <cell r="A234" t="str">
            <v>Turks &amp; Caicos Islands</v>
          </cell>
        </row>
        <row r="235">
          <cell r="A235" t="str">
            <v>Chad</v>
          </cell>
        </row>
        <row r="236">
          <cell r="A236" t="str">
            <v>Togo</v>
          </cell>
        </row>
        <row r="237">
          <cell r="A237" t="str">
            <v>Tajikistan</v>
          </cell>
        </row>
        <row r="238">
          <cell r="A238" t="str">
            <v>Tokelau</v>
          </cell>
        </row>
        <row r="239">
          <cell r="A239" t="str">
            <v>Turkmenistan</v>
          </cell>
        </row>
        <row r="240">
          <cell r="A240" t="str">
            <v>Timor-Leste</v>
          </cell>
        </row>
        <row r="241">
          <cell r="A241" t="str">
            <v>Tonga</v>
          </cell>
        </row>
        <row r="242">
          <cell r="A242" t="str">
            <v>Tuvalu</v>
          </cell>
        </row>
        <row r="243">
          <cell r="A243" t="str">
            <v>Uganda</v>
          </cell>
        </row>
        <row r="244">
          <cell r="A244" t="str">
            <v>U.S. Outlying Islands</v>
          </cell>
        </row>
        <row r="245">
          <cell r="A245" t="str">
            <v>Uzbekistan</v>
          </cell>
        </row>
        <row r="246">
          <cell r="A246" t="str">
            <v>Vatican City</v>
          </cell>
        </row>
        <row r="247">
          <cell r="A247" t="str">
            <v>St. Vincent &amp; Grenadines</v>
          </cell>
        </row>
        <row r="248">
          <cell r="A248" t="str">
            <v>British Virgin Islands</v>
          </cell>
        </row>
        <row r="249">
          <cell r="A249" t="str">
            <v>U.S. Virgin Islands</v>
          </cell>
        </row>
        <row r="250">
          <cell r="A250" t="str">
            <v>Vanuatu</v>
          </cell>
        </row>
        <row r="251">
          <cell r="A251" t="str">
            <v>Wallis &amp; Futuna</v>
          </cell>
        </row>
        <row r="252">
          <cell r="A252" t="str">
            <v>Samoa</v>
          </cell>
        </row>
        <row r="253">
          <cell r="A253" t="str">
            <v>Kosovo</v>
          </cell>
        </row>
      </sheetData>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43)"/>
    </sheetNames>
    <sheetDataSet>
      <sheetData sheetId="0" refreshError="1">
        <row r="1">
          <cell r="A1" t="str">
            <v>Category: All categories</v>
          </cell>
        </row>
        <row r="3">
          <cell r="A3" t="str">
            <v>Country</v>
          </cell>
          <cell r="B3" t="str">
            <v>Mutual exclusion: (2018)</v>
          </cell>
          <cell r="C3" t="str">
            <v>Spectral clustering: (2018)</v>
          </cell>
        </row>
        <row r="4">
          <cell r="A4" t="str">
            <v>China</v>
          </cell>
          <cell r="B4">
            <v>0.85</v>
          </cell>
          <cell r="C4">
            <v>0.15</v>
          </cell>
        </row>
        <row r="5">
          <cell r="A5" t="str">
            <v>Taiwan</v>
          </cell>
          <cell r="B5">
            <v>0.93</v>
          </cell>
          <cell r="C5">
            <v>7.0000000000000007E-2</v>
          </cell>
        </row>
        <row r="6">
          <cell r="A6" t="str">
            <v>Japan</v>
          </cell>
          <cell r="B6">
            <v>0.96</v>
          </cell>
          <cell r="C6">
            <v>0.04</v>
          </cell>
        </row>
        <row r="7">
          <cell r="A7" t="str">
            <v>Zimbabwe</v>
          </cell>
        </row>
        <row r="8">
          <cell r="A8" t="str">
            <v>Israel</v>
          </cell>
          <cell r="B8">
            <v>1</v>
          </cell>
        </row>
        <row r="9">
          <cell r="A9" t="str">
            <v>Kenya</v>
          </cell>
          <cell r="B9">
            <v>1</v>
          </cell>
        </row>
        <row r="10">
          <cell r="A10" t="str">
            <v>Nepal</v>
          </cell>
          <cell r="B10">
            <v>1</v>
          </cell>
        </row>
        <row r="11">
          <cell r="A11" t="str">
            <v>Belarus</v>
          </cell>
          <cell r="B11">
            <v>1</v>
          </cell>
        </row>
        <row r="12">
          <cell r="A12" t="str">
            <v>Czechia</v>
          </cell>
          <cell r="B12">
            <v>1</v>
          </cell>
        </row>
        <row r="13">
          <cell r="A13" t="str">
            <v>Russia</v>
          </cell>
          <cell r="B13">
            <v>1</v>
          </cell>
        </row>
        <row r="14">
          <cell r="A14" t="str">
            <v>Germany</v>
          </cell>
          <cell r="B14">
            <v>0.92</v>
          </cell>
          <cell r="C14">
            <v>0.08</v>
          </cell>
        </row>
        <row r="15">
          <cell r="A15" t="str">
            <v>Sweden</v>
          </cell>
          <cell r="B15">
            <v>1</v>
          </cell>
        </row>
        <row r="16">
          <cell r="A16" t="str">
            <v>Austria</v>
          </cell>
          <cell r="B16">
            <v>1</v>
          </cell>
        </row>
        <row r="17">
          <cell r="A17" t="str">
            <v>Ethiopia</v>
          </cell>
        </row>
        <row r="18">
          <cell r="A18" t="str">
            <v>Guatemala</v>
          </cell>
          <cell r="B18">
            <v>1</v>
          </cell>
        </row>
        <row r="19">
          <cell r="A19" t="str">
            <v>Hungary</v>
          </cell>
          <cell r="B19">
            <v>1</v>
          </cell>
        </row>
        <row r="20">
          <cell r="A20" t="str">
            <v>St. Helena</v>
          </cell>
          <cell r="B20">
            <v>1</v>
          </cell>
        </row>
        <row r="21">
          <cell r="A21" t="str">
            <v>Lithuania</v>
          </cell>
          <cell r="B21">
            <v>1</v>
          </cell>
        </row>
        <row r="22">
          <cell r="A22" t="str">
            <v>Norway</v>
          </cell>
          <cell r="B22">
            <v>1</v>
          </cell>
        </row>
        <row r="23">
          <cell r="A23" t="str">
            <v>Algeria</v>
          </cell>
          <cell r="B23">
            <v>1</v>
          </cell>
        </row>
        <row r="24">
          <cell r="A24" t="str">
            <v>Finland</v>
          </cell>
          <cell r="B24">
            <v>1</v>
          </cell>
        </row>
        <row r="25">
          <cell r="A25" t="str">
            <v>Switzerland</v>
          </cell>
          <cell r="B25">
            <v>1</v>
          </cell>
        </row>
        <row r="26">
          <cell r="A26" t="str">
            <v>Ukraine</v>
          </cell>
          <cell r="B26">
            <v>1</v>
          </cell>
        </row>
        <row r="27">
          <cell r="A27" t="str">
            <v>Poland</v>
          </cell>
          <cell r="B27">
            <v>1</v>
          </cell>
        </row>
        <row r="28">
          <cell r="A28" t="str">
            <v>India</v>
          </cell>
          <cell r="B28">
            <v>0.93</v>
          </cell>
          <cell r="C28">
            <v>7.0000000000000007E-2</v>
          </cell>
        </row>
        <row r="29">
          <cell r="A29" t="str">
            <v>South Korea</v>
          </cell>
          <cell r="B29">
            <v>0.6</v>
          </cell>
          <cell r="C29">
            <v>0.4</v>
          </cell>
        </row>
        <row r="30">
          <cell r="A30" t="str">
            <v>Pakistan</v>
          </cell>
          <cell r="B30">
            <v>1</v>
          </cell>
        </row>
        <row r="31">
          <cell r="A31" t="str">
            <v>Portugal</v>
          </cell>
          <cell r="B31">
            <v>1</v>
          </cell>
        </row>
        <row r="32">
          <cell r="A32" t="str">
            <v>Hong Kong</v>
          </cell>
          <cell r="B32">
            <v>1</v>
          </cell>
        </row>
        <row r="33">
          <cell r="A33" t="str">
            <v>Bulgaria</v>
          </cell>
          <cell r="B33">
            <v>1</v>
          </cell>
        </row>
        <row r="34">
          <cell r="A34" t="str">
            <v>Slovakia</v>
          </cell>
          <cell r="B34">
            <v>1</v>
          </cell>
        </row>
        <row r="35">
          <cell r="A35" t="str">
            <v>Nigeria</v>
          </cell>
          <cell r="B35">
            <v>1</v>
          </cell>
        </row>
        <row r="36">
          <cell r="A36" t="str">
            <v>Costa Rica</v>
          </cell>
          <cell r="B36">
            <v>1</v>
          </cell>
        </row>
        <row r="37">
          <cell r="A37" t="str">
            <v>Italy</v>
          </cell>
          <cell r="B37">
            <v>1</v>
          </cell>
        </row>
        <row r="38">
          <cell r="A38" t="str">
            <v>Spain</v>
          </cell>
          <cell r="B38">
            <v>1</v>
          </cell>
        </row>
        <row r="39">
          <cell r="A39" t="str">
            <v>Singapore</v>
          </cell>
          <cell r="B39">
            <v>1</v>
          </cell>
        </row>
        <row r="40">
          <cell r="A40" t="str">
            <v>Netherlands</v>
          </cell>
          <cell r="B40">
            <v>1</v>
          </cell>
        </row>
        <row r="41">
          <cell r="A41" t="str">
            <v>Serbia</v>
          </cell>
          <cell r="B41">
            <v>1</v>
          </cell>
        </row>
        <row r="42">
          <cell r="A42" t="str">
            <v>Ireland</v>
          </cell>
          <cell r="B42">
            <v>1</v>
          </cell>
        </row>
        <row r="43">
          <cell r="A43" t="str">
            <v>Croatia</v>
          </cell>
          <cell r="B43">
            <v>1</v>
          </cell>
        </row>
        <row r="44">
          <cell r="A44" t="str">
            <v>Sri Lanka</v>
          </cell>
          <cell r="B44">
            <v>1</v>
          </cell>
        </row>
        <row r="45">
          <cell r="A45" t="str">
            <v>France</v>
          </cell>
          <cell r="B45">
            <v>0.76</v>
          </cell>
          <cell r="C45">
            <v>0.24</v>
          </cell>
        </row>
        <row r="46">
          <cell r="A46" t="str">
            <v>Greece</v>
          </cell>
          <cell r="B46">
            <v>1</v>
          </cell>
        </row>
        <row r="47">
          <cell r="A47" t="str">
            <v>Mexico</v>
          </cell>
          <cell r="B47">
            <v>1</v>
          </cell>
        </row>
        <row r="48">
          <cell r="A48" t="str">
            <v>Belgium</v>
          </cell>
          <cell r="B48">
            <v>1</v>
          </cell>
        </row>
        <row r="49">
          <cell r="A49" t="str">
            <v>Canada</v>
          </cell>
          <cell r="B49">
            <v>0.78</v>
          </cell>
          <cell r="C49">
            <v>0.22</v>
          </cell>
        </row>
        <row r="50">
          <cell r="A50" t="str">
            <v>Bangladesh</v>
          </cell>
          <cell r="B50">
            <v>1</v>
          </cell>
        </row>
        <row r="51">
          <cell r="A51" t="str">
            <v>Brazil</v>
          </cell>
          <cell r="B51">
            <v>1</v>
          </cell>
        </row>
        <row r="52">
          <cell r="A52" t="str">
            <v>Bolivia</v>
          </cell>
        </row>
        <row r="53">
          <cell r="A53" t="str">
            <v>Kazakhstan</v>
          </cell>
          <cell r="B53">
            <v>1</v>
          </cell>
        </row>
        <row r="54">
          <cell r="A54" t="str">
            <v>Vietnam</v>
          </cell>
          <cell r="B54">
            <v>1</v>
          </cell>
        </row>
        <row r="55">
          <cell r="A55" t="str">
            <v>Ecuador</v>
          </cell>
          <cell r="B55">
            <v>1</v>
          </cell>
        </row>
        <row r="56">
          <cell r="A56" t="str">
            <v>Romania</v>
          </cell>
          <cell r="B56">
            <v>1</v>
          </cell>
        </row>
        <row r="57">
          <cell r="A57" t="str">
            <v>Argentina</v>
          </cell>
          <cell r="B57">
            <v>1</v>
          </cell>
        </row>
        <row r="58">
          <cell r="A58" t="str">
            <v>Malaysia</v>
          </cell>
          <cell r="B58">
            <v>1</v>
          </cell>
        </row>
        <row r="59">
          <cell r="A59" t="str">
            <v>United States</v>
          </cell>
          <cell r="B59">
            <v>0.62</v>
          </cell>
          <cell r="C59">
            <v>0.38</v>
          </cell>
        </row>
        <row r="60">
          <cell r="A60" t="str">
            <v>Indonesia</v>
          </cell>
          <cell r="B60">
            <v>1</v>
          </cell>
        </row>
        <row r="61">
          <cell r="A61" t="str">
            <v>Peru</v>
          </cell>
          <cell r="B61">
            <v>1</v>
          </cell>
        </row>
        <row r="62">
          <cell r="A62" t="str">
            <v>South Africa</v>
          </cell>
          <cell r="B62">
            <v>1</v>
          </cell>
        </row>
        <row r="63">
          <cell r="A63" t="str">
            <v>New Zealand</v>
          </cell>
        </row>
        <row r="64">
          <cell r="A64" t="str">
            <v>Uruguay</v>
          </cell>
        </row>
        <row r="65">
          <cell r="A65" t="str">
            <v>Chile</v>
          </cell>
          <cell r="B65">
            <v>1</v>
          </cell>
        </row>
        <row r="66">
          <cell r="A66" t="str">
            <v>Denmark</v>
          </cell>
          <cell r="B66">
            <v>1</v>
          </cell>
        </row>
        <row r="67">
          <cell r="A67" t="str">
            <v>Morocco</v>
          </cell>
        </row>
        <row r="68">
          <cell r="A68" t="str">
            <v>Philippines</v>
          </cell>
          <cell r="B68">
            <v>1</v>
          </cell>
        </row>
        <row r="69">
          <cell r="A69" t="str">
            <v>United Kingdom</v>
          </cell>
          <cell r="B69">
            <v>0.71</v>
          </cell>
          <cell r="C69">
            <v>0.28999999999999998</v>
          </cell>
        </row>
        <row r="70">
          <cell r="A70" t="str">
            <v>Australia</v>
          </cell>
          <cell r="B70">
            <v>0.67</v>
          </cell>
          <cell r="C70">
            <v>0.33</v>
          </cell>
        </row>
        <row r="71">
          <cell r="A71" t="str">
            <v>Egypt</v>
          </cell>
          <cell r="B71">
            <v>1</v>
          </cell>
        </row>
        <row r="72">
          <cell r="A72" t="str">
            <v>Colombia</v>
          </cell>
          <cell r="B72">
            <v>1</v>
          </cell>
        </row>
        <row r="73">
          <cell r="A73" t="str">
            <v>Thailand</v>
          </cell>
          <cell r="B73">
            <v>1</v>
          </cell>
        </row>
        <row r="74">
          <cell r="A74" t="str">
            <v>Iran</v>
          </cell>
          <cell r="B74">
            <v>0.6</v>
          </cell>
          <cell r="C74">
            <v>0.4</v>
          </cell>
        </row>
        <row r="75">
          <cell r="A75" t="str">
            <v>Venezuela</v>
          </cell>
        </row>
        <row r="76">
          <cell r="A76" t="str">
            <v>Saudi Arabia</v>
          </cell>
        </row>
        <row r="77">
          <cell r="A77" t="str">
            <v>Turkey</v>
          </cell>
          <cell r="B77">
            <v>1</v>
          </cell>
        </row>
        <row r="78">
          <cell r="A78" t="str">
            <v>United Arab Emirates</v>
          </cell>
        </row>
        <row r="79">
          <cell r="A79" t="str">
            <v>San Marino</v>
          </cell>
        </row>
        <row r="80">
          <cell r="A80" t="str">
            <v>Rwanda</v>
          </cell>
        </row>
        <row r="81">
          <cell r="A81" t="str">
            <v>Macao</v>
          </cell>
        </row>
        <row r="82">
          <cell r="A82" t="str">
            <v>Guyana</v>
          </cell>
        </row>
        <row r="83">
          <cell r="A83" t="str">
            <v>Fiji</v>
          </cell>
        </row>
        <row r="84">
          <cell r="A84" t="str">
            <v>Cameroon</v>
          </cell>
        </row>
        <row r="85">
          <cell r="A85" t="str">
            <v>Namibia</v>
          </cell>
        </row>
        <row r="86">
          <cell r="A86" t="str">
            <v>Burkina Faso</v>
          </cell>
        </row>
        <row r="87">
          <cell r="A87" t="str">
            <v>Madagascar</v>
          </cell>
        </row>
        <row r="88">
          <cell r="A88" t="str">
            <v>Angola</v>
          </cell>
        </row>
        <row r="89">
          <cell r="A89" t="str">
            <v>Brunei</v>
          </cell>
        </row>
        <row r="90">
          <cell r="A90" t="str">
            <v>Armenia</v>
          </cell>
        </row>
        <row r="91">
          <cell r="A91" t="str">
            <v>Albania</v>
          </cell>
        </row>
        <row r="92">
          <cell r="A92" t="str">
            <v>Montenegro</v>
          </cell>
        </row>
        <row r="93">
          <cell r="A93" t="str">
            <v>Tanzania</v>
          </cell>
        </row>
        <row r="94">
          <cell r="A94" t="str">
            <v>Estonia</v>
          </cell>
        </row>
        <row r="95">
          <cell r="A95" t="str">
            <v>Mozambique</v>
          </cell>
        </row>
        <row r="96">
          <cell r="A96" t="str">
            <v>Mauritius</v>
          </cell>
        </row>
        <row r="97">
          <cell r="A97" t="str">
            <v>Lebanon</v>
          </cell>
        </row>
        <row r="98">
          <cell r="A98" t="str">
            <v>Zambia</v>
          </cell>
        </row>
        <row r="99">
          <cell r="A99" t="str">
            <v>Trinidad &amp; Tobago</v>
          </cell>
        </row>
        <row r="100">
          <cell r="A100" t="str">
            <v>Bosnia &amp; Herzegovina</v>
          </cell>
        </row>
        <row r="101">
          <cell r="A101" t="str">
            <v>Bahrain</v>
          </cell>
        </row>
        <row r="102">
          <cell r="A102" t="str">
            <v>Libya</v>
          </cell>
        </row>
        <row r="103">
          <cell r="A103" t="str">
            <v>Syria</v>
          </cell>
        </row>
        <row r="104">
          <cell r="A104" t="str">
            <v>Luxembourg</v>
          </cell>
        </row>
        <row r="105">
          <cell r="A105" t="str">
            <v>Azerbaijan</v>
          </cell>
        </row>
        <row r="106">
          <cell r="A106" t="str">
            <v>Georgia</v>
          </cell>
        </row>
        <row r="107">
          <cell r="A107" t="str">
            <v>North Macedonia</v>
          </cell>
        </row>
        <row r="108">
          <cell r="A108" t="str">
            <v>Yemen</v>
          </cell>
        </row>
        <row r="109">
          <cell r="A109" t="str">
            <v>Myanmar (Burma)</v>
          </cell>
        </row>
        <row r="110">
          <cell r="A110" t="str">
            <v>Kyrgyzstan</v>
          </cell>
        </row>
        <row r="111">
          <cell r="A111" t="str">
            <v>Slovenia</v>
          </cell>
        </row>
        <row r="112">
          <cell r="A112" t="str">
            <v>Dominican Republic</v>
          </cell>
        </row>
        <row r="113">
          <cell r="A113" t="str">
            <v>Sudan</v>
          </cell>
        </row>
        <row r="114">
          <cell r="A114" t="str">
            <v>Latvia</v>
          </cell>
        </row>
        <row r="115">
          <cell r="A115" t="str">
            <v>Cyprus</v>
          </cell>
        </row>
        <row r="116">
          <cell r="A116" t="str">
            <v>Oman</v>
          </cell>
        </row>
        <row r="117">
          <cell r="A117" t="str">
            <v>Moldova</v>
          </cell>
        </row>
        <row r="118">
          <cell r="A118" t="str">
            <v>Honduras</v>
          </cell>
        </row>
        <row r="119">
          <cell r="A119" t="str">
            <v>El Salvador</v>
          </cell>
        </row>
        <row r="120">
          <cell r="A120" t="str">
            <v>Qatar</v>
          </cell>
        </row>
        <row r="121">
          <cell r="A121" t="str">
            <v>Puerto Rico</v>
          </cell>
        </row>
        <row r="122">
          <cell r="A122" t="str">
            <v>Panama</v>
          </cell>
        </row>
        <row r="123">
          <cell r="A123" t="str">
            <v>Tunisia</v>
          </cell>
        </row>
        <row r="124">
          <cell r="A124" t="str">
            <v>Paraguay</v>
          </cell>
        </row>
        <row r="125">
          <cell r="A125" t="str">
            <v>Iraq</v>
          </cell>
        </row>
        <row r="126">
          <cell r="A126" t="str">
            <v>Aruba</v>
          </cell>
        </row>
        <row r="127">
          <cell r="A127" t="str">
            <v>Afghanistan</v>
          </cell>
        </row>
        <row r="128">
          <cell r="A128" t="str">
            <v>Anguilla</v>
          </cell>
        </row>
        <row r="129">
          <cell r="A129" t="str">
            <v>Ã…land Islands</v>
          </cell>
        </row>
        <row r="130">
          <cell r="A130" t="str">
            <v>Andorra</v>
          </cell>
        </row>
        <row r="131">
          <cell r="A131" t="str">
            <v>American Samoa</v>
          </cell>
        </row>
        <row r="132">
          <cell r="A132" t="str">
            <v>Antarctica</v>
          </cell>
        </row>
        <row r="133">
          <cell r="A133" t="str">
            <v>French Southern Territories</v>
          </cell>
        </row>
        <row r="134">
          <cell r="A134" t="str">
            <v>Antigua &amp; Barbuda</v>
          </cell>
        </row>
        <row r="135">
          <cell r="A135" t="str">
            <v>Burundi</v>
          </cell>
        </row>
        <row r="136">
          <cell r="A136" t="str">
            <v>Benin</v>
          </cell>
        </row>
        <row r="137">
          <cell r="A137" t="str">
            <v>Caribbean Netherlands</v>
          </cell>
        </row>
        <row r="138">
          <cell r="A138" t="str">
            <v>Bahamas</v>
          </cell>
        </row>
        <row r="139">
          <cell r="A139" t="str">
            <v>St. BarthÃ©lemy</v>
          </cell>
        </row>
        <row r="140">
          <cell r="A140" t="str">
            <v>Belize</v>
          </cell>
        </row>
        <row r="141">
          <cell r="A141" t="str">
            <v>Bermuda</v>
          </cell>
        </row>
        <row r="142">
          <cell r="A142" t="str">
            <v>Barbados</v>
          </cell>
        </row>
        <row r="143">
          <cell r="A143" t="str">
            <v>Bhutan</v>
          </cell>
        </row>
        <row r="144">
          <cell r="A144" t="str">
            <v>Bouvet Island</v>
          </cell>
        </row>
        <row r="145">
          <cell r="A145" t="str">
            <v>Botswana</v>
          </cell>
        </row>
        <row r="146">
          <cell r="A146" t="str">
            <v>Central African Republic</v>
          </cell>
        </row>
        <row r="147">
          <cell r="A147" t="str">
            <v>Cocos (Keeling) Islands</v>
          </cell>
        </row>
        <row r="148">
          <cell r="A148" t="str">
            <v>CÃ´te dâ€™Ivoire</v>
          </cell>
        </row>
        <row r="149">
          <cell r="A149" t="str">
            <v>Congo - Kinshasa</v>
          </cell>
        </row>
        <row r="150">
          <cell r="A150" t="str">
            <v>Congo - Brazzaville</v>
          </cell>
        </row>
        <row r="151">
          <cell r="A151" t="str">
            <v>Cook Islands</v>
          </cell>
        </row>
        <row r="152">
          <cell r="A152" t="str">
            <v>Comoros</v>
          </cell>
        </row>
        <row r="153">
          <cell r="A153" t="str">
            <v>Cape Verde</v>
          </cell>
        </row>
        <row r="154">
          <cell r="A154" t="str">
            <v>Cuba</v>
          </cell>
        </row>
        <row r="155">
          <cell r="A155" t="str">
            <v>CuraÃ§ao</v>
          </cell>
        </row>
        <row r="156">
          <cell r="A156" t="str">
            <v>Christmas Island</v>
          </cell>
        </row>
        <row r="157">
          <cell r="A157" t="str">
            <v>Cayman Islands</v>
          </cell>
        </row>
        <row r="158">
          <cell r="A158" t="str">
            <v>Djibouti</v>
          </cell>
        </row>
        <row r="159">
          <cell r="A159" t="str">
            <v>Dominica</v>
          </cell>
        </row>
        <row r="160">
          <cell r="A160" t="str">
            <v>Eritrea</v>
          </cell>
        </row>
        <row r="161">
          <cell r="A161" t="str">
            <v>Western Sahara</v>
          </cell>
        </row>
        <row r="162">
          <cell r="A162" t="str">
            <v>Falkland Islands (Islas Malvinas)</v>
          </cell>
        </row>
        <row r="163">
          <cell r="A163" t="str">
            <v>Faroe Islands</v>
          </cell>
        </row>
        <row r="164">
          <cell r="A164" t="str">
            <v>Micronesia</v>
          </cell>
        </row>
        <row r="165">
          <cell r="A165" t="str">
            <v>Gabon</v>
          </cell>
        </row>
        <row r="166">
          <cell r="A166" t="str">
            <v>Guernsey</v>
          </cell>
        </row>
        <row r="167">
          <cell r="A167" t="str">
            <v>Ghana</v>
          </cell>
        </row>
        <row r="168">
          <cell r="A168" t="str">
            <v>Gibraltar</v>
          </cell>
        </row>
        <row r="169">
          <cell r="A169" t="str">
            <v>Guinea</v>
          </cell>
        </row>
        <row r="170">
          <cell r="A170" t="str">
            <v>Guadeloupe</v>
          </cell>
        </row>
        <row r="171">
          <cell r="A171" t="str">
            <v>Gambia</v>
          </cell>
        </row>
        <row r="172">
          <cell r="A172" t="str">
            <v>Guinea-Bissau</v>
          </cell>
        </row>
        <row r="173">
          <cell r="A173" t="str">
            <v>Equatorial Guinea</v>
          </cell>
        </row>
        <row r="174">
          <cell r="A174" t="str">
            <v>Grenada</v>
          </cell>
        </row>
        <row r="175">
          <cell r="A175" t="str">
            <v>Greenland</v>
          </cell>
        </row>
        <row r="176">
          <cell r="A176" t="str">
            <v>French Guiana</v>
          </cell>
        </row>
        <row r="177">
          <cell r="A177" t="str">
            <v>Guam</v>
          </cell>
        </row>
        <row r="178">
          <cell r="A178" t="str">
            <v>Heard &amp; McDonald Islands</v>
          </cell>
        </row>
        <row r="179">
          <cell r="A179" t="str">
            <v>Haiti</v>
          </cell>
        </row>
        <row r="180">
          <cell r="A180" t="str">
            <v>Isle of Man</v>
          </cell>
        </row>
        <row r="181">
          <cell r="A181" t="str">
            <v>British Indian Ocean Territory</v>
          </cell>
        </row>
        <row r="182">
          <cell r="A182" t="str">
            <v>Iceland</v>
          </cell>
        </row>
        <row r="183">
          <cell r="A183" t="str">
            <v>Jamaica</v>
          </cell>
        </row>
        <row r="184">
          <cell r="A184" t="str">
            <v>Jersey</v>
          </cell>
        </row>
        <row r="185">
          <cell r="A185" t="str">
            <v>Jordan</v>
          </cell>
        </row>
        <row r="186">
          <cell r="A186" t="str">
            <v>Cambodia</v>
          </cell>
        </row>
        <row r="187">
          <cell r="A187" t="str">
            <v>Kiribati</v>
          </cell>
        </row>
        <row r="188">
          <cell r="A188" t="str">
            <v>St. Kitts &amp; Nevis</v>
          </cell>
        </row>
        <row r="189">
          <cell r="A189" t="str">
            <v>Kuwait</v>
          </cell>
        </row>
        <row r="190">
          <cell r="A190" t="str">
            <v>Laos</v>
          </cell>
        </row>
        <row r="191">
          <cell r="A191" t="str">
            <v>Liberia</v>
          </cell>
        </row>
        <row r="192">
          <cell r="A192" t="str">
            <v>St. Lucia</v>
          </cell>
        </row>
        <row r="193">
          <cell r="A193" t="str">
            <v>Liechtenstein</v>
          </cell>
        </row>
        <row r="194">
          <cell r="A194" t="str">
            <v>Lesotho</v>
          </cell>
        </row>
        <row r="195">
          <cell r="A195" t="str">
            <v>St. Martin</v>
          </cell>
        </row>
        <row r="196">
          <cell r="A196" t="str">
            <v>Monaco</v>
          </cell>
        </row>
        <row r="197">
          <cell r="A197" t="str">
            <v>Maldives</v>
          </cell>
        </row>
        <row r="198">
          <cell r="A198" t="str">
            <v>Marshall Islands</v>
          </cell>
        </row>
        <row r="199">
          <cell r="A199" t="str">
            <v>Mali</v>
          </cell>
        </row>
        <row r="200">
          <cell r="A200" t="str">
            <v>Malta</v>
          </cell>
        </row>
        <row r="201">
          <cell r="A201" t="str">
            <v>Mongolia</v>
          </cell>
        </row>
        <row r="202">
          <cell r="A202" t="str">
            <v>Northern Mariana Islands</v>
          </cell>
        </row>
        <row r="203">
          <cell r="A203" t="str">
            <v>Mauritania</v>
          </cell>
        </row>
        <row r="204">
          <cell r="A204" t="str">
            <v>Montserrat</v>
          </cell>
        </row>
        <row r="205">
          <cell r="A205" t="str">
            <v>Martinique</v>
          </cell>
        </row>
        <row r="206">
          <cell r="A206" t="str">
            <v>Malawi</v>
          </cell>
        </row>
        <row r="207">
          <cell r="A207" t="str">
            <v>Mayotte</v>
          </cell>
        </row>
        <row r="208">
          <cell r="A208" t="str">
            <v>New Caledonia</v>
          </cell>
        </row>
        <row r="209">
          <cell r="A209" t="str">
            <v>Niger</v>
          </cell>
        </row>
        <row r="210">
          <cell r="A210" t="str">
            <v>Norfolk Island</v>
          </cell>
        </row>
        <row r="211">
          <cell r="A211" t="str">
            <v>Nicaragua</v>
          </cell>
        </row>
        <row r="212">
          <cell r="A212" t="str">
            <v>Niue</v>
          </cell>
        </row>
        <row r="213">
          <cell r="A213" t="str">
            <v>Nauru</v>
          </cell>
        </row>
        <row r="214">
          <cell r="A214" t="str">
            <v>Pitcairn Islands</v>
          </cell>
        </row>
        <row r="215">
          <cell r="A215" t="str">
            <v>Palau</v>
          </cell>
        </row>
        <row r="216">
          <cell r="A216" t="str">
            <v>Papua New Guinea</v>
          </cell>
        </row>
        <row r="217">
          <cell r="A217" t="str">
            <v>North Korea</v>
          </cell>
        </row>
        <row r="218">
          <cell r="A218" t="str">
            <v>Palestine</v>
          </cell>
        </row>
        <row r="219">
          <cell r="A219" t="str">
            <v>French Polynesia</v>
          </cell>
        </row>
        <row r="220">
          <cell r="A220" t="str">
            <v>RÃ©union</v>
          </cell>
        </row>
        <row r="221">
          <cell r="A221" t="str">
            <v>Senegal</v>
          </cell>
        </row>
        <row r="222">
          <cell r="A222" t="str">
            <v>South Georgia &amp; South Sandwich Islands</v>
          </cell>
        </row>
        <row r="223">
          <cell r="A223" t="str">
            <v>Svalbard &amp; Jan Mayen</v>
          </cell>
        </row>
        <row r="224">
          <cell r="A224" t="str">
            <v>Solomon Islands</v>
          </cell>
        </row>
        <row r="225">
          <cell r="A225" t="str">
            <v>Sierra Leone</v>
          </cell>
        </row>
        <row r="226">
          <cell r="A226" t="str">
            <v>Somalia</v>
          </cell>
        </row>
        <row r="227">
          <cell r="A227" t="str">
            <v>St. Pierre &amp; Miquelon</v>
          </cell>
        </row>
        <row r="228">
          <cell r="A228" t="str">
            <v>South Sudan</v>
          </cell>
        </row>
        <row r="229">
          <cell r="A229" t="str">
            <v>SÃ£o TomÃ© &amp; PrÃ­ncipe</v>
          </cell>
        </row>
        <row r="230">
          <cell r="A230" t="str">
            <v>Suriname</v>
          </cell>
        </row>
        <row r="231">
          <cell r="A231" t="str">
            <v>Eswatini</v>
          </cell>
        </row>
        <row r="232">
          <cell r="A232" t="str">
            <v>Sint Maarten</v>
          </cell>
        </row>
        <row r="233">
          <cell r="A233" t="str">
            <v>Seychelles</v>
          </cell>
        </row>
        <row r="234">
          <cell r="A234" t="str">
            <v>Turks &amp; Caicos Islands</v>
          </cell>
        </row>
        <row r="235">
          <cell r="A235" t="str">
            <v>Chad</v>
          </cell>
        </row>
        <row r="236">
          <cell r="A236" t="str">
            <v>Togo</v>
          </cell>
        </row>
        <row r="237">
          <cell r="A237" t="str">
            <v>Tajikistan</v>
          </cell>
        </row>
        <row r="238">
          <cell r="A238" t="str">
            <v>Tokelau</v>
          </cell>
        </row>
        <row r="239">
          <cell r="A239" t="str">
            <v>Turkmenistan</v>
          </cell>
        </row>
        <row r="240">
          <cell r="A240" t="str">
            <v>Timor-Leste</v>
          </cell>
        </row>
        <row r="241">
          <cell r="A241" t="str">
            <v>Tonga</v>
          </cell>
        </row>
        <row r="242">
          <cell r="A242" t="str">
            <v>Tuvalu</v>
          </cell>
        </row>
        <row r="243">
          <cell r="A243" t="str">
            <v>Uganda</v>
          </cell>
        </row>
        <row r="244">
          <cell r="A244" t="str">
            <v>U.S. Outlying Islands</v>
          </cell>
        </row>
        <row r="245">
          <cell r="A245" t="str">
            <v>Uzbekistan</v>
          </cell>
        </row>
        <row r="246">
          <cell r="A246" t="str">
            <v>Vatican City</v>
          </cell>
        </row>
        <row r="247">
          <cell r="A247" t="str">
            <v>St. Vincent &amp; Grenadines</v>
          </cell>
        </row>
        <row r="248">
          <cell r="A248" t="str">
            <v>British Virgin Islands</v>
          </cell>
        </row>
        <row r="249">
          <cell r="A249" t="str">
            <v>U.S. Virgin Islands</v>
          </cell>
        </row>
        <row r="250">
          <cell r="A250" t="str">
            <v>Vanuatu</v>
          </cell>
        </row>
        <row r="251">
          <cell r="A251" t="str">
            <v>Wallis &amp; Futuna</v>
          </cell>
        </row>
        <row r="252">
          <cell r="A252" t="str">
            <v>Samoa</v>
          </cell>
        </row>
        <row r="253">
          <cell r="A253" t="str">
            <v>Kosovo</v>
          </cell>
        </row>
      </sheetData>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46)"/>
    </sheetNames>
    <sheetDataSet>
      <sheetData sheetId="0" refreshError="1">
        <row r="1">
          <cell r="A1" t="str">
            <v>Category: All categories</v>
          </cell>
        </row>
        <row r="3">
          <cell r="A3" t="str">
            <v>Country</v>
          </cell>
          <cell r="B3" t="str">
            <v>Mutual exclusion: (2018)</v>
          </cell>
          <cell r="C3" t="str">
            <v>Chernoff bound: (2018)</v>
          </cell>
        </row>
        <row r="4">
          <cell r="A4" t="str">
            <v>China</v>
          </cell>
          <cell r="B4">
            <v>1</v>
          </cell>
        </row>
        <row r="5">
          <cell r="A5" t="str">
            <v>Taiwan</v>
          </cell>
          <cell r="B5">
            <v>0.98</v>
          </cell>
          <cell r="C5">
            <v>0.02</v>
          </cell>
        </row>
        <row r="6">
          <cell r="A6" t="str">
            <v>Japan</v>
          </cell>
          <cell r="B6">
            <v>1</v>
          </cell>
        </row>
        <row r="7">
          <cell r="A7" t="str">
            <v>Israel</v>
          </cell>
          <cell r="B7">
            <v>0.78</v>
          </cell>
          <cell r="C7">
            <v>0.22</v>
          </cell>
        </row>
        <row r="8">
          <cell r="A8" t="str">
            <v>Kenya</v>
          </cell>
          <cell r="B8">
            <v>1</v>
          </cell>
        </row>
        <row r="9">
          <cell r="A9" t="str">
            <v>St. Helena</v>
          </cell>
          <cell r="B9">
            <v>1</v>
          </cell>
        </row>
        <row r="10">
          <cell r="A10" t="str">
            <v>Belarus</v>
          </cell>
          <cell r="B10">
            <v>1</v>
          </cell>
        </row>
        <row r="11">
          <cell r="A11" t="str">
            <v>Czechia</v>
          </cell>
          <cell r="B11">
            <v>1</v>
          </cell>
        </row>
        <row r="12">
          <cell r="A12" t="str">
            <v>Zimbabwe</v>
          </cell>
        </row>
        <row r="13">
          <cell r="A13" t="str">
            <v>Nepal</v>
          </cell>
          <cell r="B13">
            <v>1</v>
          </cell>
        </row>
        <row r="14">
          <cell r="A14" t="str">
            <v>Russia</v>
          </cell>
          <cell r="B14">
            <v>1</v>
          </cell>
        </row>
        <row r="15">
          <cell r="A15" t="str">
            <v>Austria</v>
          </cell>
          <cell r="B15">
            <v>1</v>
          </cell>
        </row>
        <row r="16">
          <cell r="A16" t="str">
            <v>Germany</v>
          </cell>
          <cell r="B16">
            <v>0.94</v>
          </cell>
          <cell r="C16">
            <v>0.06</v>
          </cell>
        </row>
        <row r="17">
          <cell r="A17" t="str">
            <v>Norway</v>
          </cell>
          <cell r="B17">
            <v>1</v>
          </cell>
        </row>
        <row r="18">
          <cell r="A18" t="str">
            <v>Ethiopia</v>
          </cell>
        </row>
        <row r="19">
          <cell r="A19" t="str">
            <v>Finland</v>
          </cell>
          <cell r="B19">
            <v>1</v>
          </cell>
        </row>
        <row r="20">
          <cell r="A20" t="str">
            <v>Ukraine</v>
          </cell>
          <cell r="B20">
            <v>1</v>
          </cell>
        </row>
        <row r="21">
          <cell r="A21" t="str">
            <v>Portugal</v>
          </cell>
          <cell r="B21">
            <v>1</v>
          </cell>
        </row>
        <row r="22">
          <cell r="A22" t="str">
            <v>Algeria</v>
          </cell>
          <cell r="B22">
            <v>1</v>
          </cell>
        </row>
        <row r="23">
          <cell r="A23" t="str">
            <v>Hungary</v>
          </cell>
          <cell r="B23">
            <v>1</v>
          </cell>
        </row>
        <row r="24">
          <cell r="A24" t="str">
            <v>Laos</v>
          </cell>
        </row>
        <row r="25">
          <cell r="A25" t="str">
            <v>Poland</v>
          </cell>
          <cell r="B25">
            <v>1</v>
          </cell>
        </row>
        <row r="26">
          <cell r="A26" t="str">
            <v>South Korea</v>
          </cell>
          <cell r="B26">
            <v>0.88</v>
          </cell>
          <cell r="C26">
            <v>0.12</v>
          </cell>
        </row>
        <row r="27">
          <cell r="A27" t="str">
            <v>Sweden</v>
          </cell>
          <cell r="B27">
            <v>1</v>
          </cell>
        </row>
        <row r="28">
          <cell r="A28" t="str">
            <v>India</v>
          </cell>
          <cell r="B28">
            <v>0.97</v>
          </cell>
          <cell r="C28">
            <v>0.03</v>
          </cell>
        </row>
        <row r="29">
          <cell r="A29" t="str">
            <v>Sri Lanka</v>
          </cell>
          <cell r="B29">
            <v>1</v>
          </cell>
        </row>
        <row r="30">
          <cell r="A30" t="str">
            <v>Costa Rica</v>
          </cell>
          <cell r="B30">
            <v>1</v>
          </cell>
        </row>
        <row r="31">
          <cell r="A31" t="str">
            <v>Switzerland</v>
          </cell>
          <cell r="B31">
            <v>0.76</v>
          </cell>
          <cell r="C31">
            <v>0.24</v>
          </cell>
        </row>
        <row r="32">
          <cell r="A32" t="str">
            <v>Pakistan</v>
          </cell>
          <cell r="B32">
            <v>1</v>
          </cell>
        </row>
        <row r="33">
          <cell r="A33" t="str">
            <v>Hong Kong</v>
          </cell>
          <cell r="B33">
            <v>1</v>
          </cell>
        </row>
        <row r="34">
          <cell r="A34" t="str">
            <v>Singapore</v>
          </cell>
          <cell r="B34">
            <v>1</v>
          </cell>
        </row>
        <row r="35">
          <cell r="A35" t="str">
            <v>Netherlands</v>
          </cell>
          <cell r="B35">
            <v>1</v>
          </cell>
        </row>
        <row r="36">
          <cell r="A36" t="str">
            <v>Serbia</v>
          </cell>
          <cell r="B36">
            <v>1</v>
          </cell>
        </row>
        <row r="37">
          <cell r="A37" t="str">
            <v>Italy</v>
          </cell>
          <cell r="B37">
            <v>1</v>
          </cell>
        </row>
        <row r="38">
          <cell r="A38" t="str">
            <v>Bulgaria</v>
          </cell>
          <cell r="B38">
            <v>1</v>
          </cell>
        </row>
        <row r="39">
          <cell r="A39" t="str">
            <v>Guatemala</v>
          </cell>
          <cell r="B39">
            <v>1</v>
          </cell>
        </row>
        <row r="40">
          <cell r="A40" t="str">
            <v>Lithuania</v>
          </cell>
          <cell r="B40">
            <v>1</v>
          </cell>
        </row>
        <row r="41">
          <cell r="A41" t="str">
            <v>Croatia</v>
          </cell>
          <cell r="B41">
            <v>1</v>
          </cell>
        </row>
        <row r="42">
          <cell r="A42" t="str">
            <v>Spain</v>
          </cell>
          <cell r="B42">
            <v>1</v>
          </cell>
        </row>
        <row r="43">
          <cell r="A43" t="str">
            <v>Ireland</v>
          </cell>
          <cell r="B43">
            <v>1</v>
          </cell>
        </row>
        <row r="44">
          <cell r="A44" t="str">
            <v>Slovakia</v>
          </cell>
          <cell r="B44">
            <v>1</v>
          </cell>
        </row>
        <row r="45">
          <cell r="A45" t="str">
            <v>Nigeria</v>
          </cell>
          <cell r="B45">
            <v>1</v>
          </cell>
        </row>
        <row r="46">
          <cell r="A46" t="str">
            <v>Tunisia</v>
          </cell>
        </row>
        <row r="47">
          <cell r="A47" t="str">
            <v>France</v>
          </cell>
          <cell r="B47">
            <v>0.9</v>
          </cell>
          <cell r="C47">
            <v>0.1</v>
          </cell>
        </row>
        <row r="48">
          <cell r="A48" t="str">
            <v>Greece</v>
          </cell>
          <cell r="B48">
            <v>1</v>
          </cell>
        </row>
        <row r="49">
          <cell r="A49" t="str">
            <v>Mexico</v>
          </cell>
          <cell r="B49">
            <v>1</v>
          </cell>
        </row>
        <row r="50">
          <cell r="A50" t="str">
            <v>Bangladesh</v>
          </cell>
          <cell r="B50">
            <v>1</v>
          </cell>
        </row>
        <row r="51">
          <cell r="A51" t="str">
            <v>Romania</v>
          </cell>
          <cell r="B51">
            <v>1</v>
          </cell>
        </row>
        <row r="52">
          <cell r="A52" t="str">
            <v>Uruguay</v>
          </cell>
        </row>
        <row r="53">
          <cell r="A53" t="str">
            <v>Bolivia</v>
          </cell>
        </row>
        <row r="54">
          <cell r="A54" t="str">
            <v>Belgium</v>
          </cell>
          <cell r="B54">
            <v>1</v>
          </cell>
        </row>
        <row r="55">
          <cell r="A55" t="str">
            <v>Argentina</v>
          </cell>
          <cell r="B55">
            <v>1</v>
          </cell>
        </row>
        <row r="56">
          <cell r="A56" t="str">
            <v>Canada</v>
          </cell>
          <cell r="B56">
            <v>0.79</v>
          </cell>
          <cell r="C56">
            <v>0.21</v>
          </cell>
        </row>
        <row r="57">
          <cell r="A57" t="str">
            <v>Vietnam</v>
          </cell>
          <cell r="B57">
            <v>1</v>
          </cell>
        </row>
        <row r="58">
          <cell r="A58" t="str">
            <v>Brazil</v>
          </cell>
          <cell r="B58">
            <v>1</v>
          </cell>
        </row>
        <row r="59">
          <cell r="A59" t="str">
            <v>United States</v>
          </cell>
          <cell r="B59">
            <v>0.7</v>
          </cell>
          <cell r="C59">
            <v>0.3</v>
          </cell>
        </row>
        <row r="60">
          <cell r="A60" t="str">
            <v>Kazakhstan</v>
          </cell>
          <cell r="B60">
            <v>1</v>
          </cell>
        </row>
        <row r="61">
          <cell r="A61" t="str">
            <v>New Zealand</v>
          </cell>
          <cell r="B61">
            <v>1</v>
          </cell>
        </row>
        <row r="62">
          <cell r="A62" t="str">
            <v>Indonesia</v>
          </cell>
          <cell r="B62">
            <v>1</v>
          </cell>
        </row>
        <row r="63">
          <cell r="A63" t="str">
            <v>Morocco</v>
          </cell>
        </row>
        <row r="64">
          <cell r="A64" t="str">
            <v>Ecuador</v>
          </cell>
        </row>
        <row r="65">
          <cell r="A65" t="str">
            <v>Australia</v>
          </cell>
          <cell r="B65">
            <v>1</v>
          </cell>
        </row>
        <row r="66">
          <cell r="A66" t="str">
            <v>South Africa</v>
          </cell>
          <cell r="B66">
            <v>1</v>
          </cell>
        </row>
        <row r="67">
          <cell r="A67" t="str">
            <v>Philippines</v>
          </cell>
          <cell r="B67">
            <v>1</v>
          </cell>
        </row>
        <row r="68">
          <cell r="A68" t="str">
            <v>Denmark</v>
          </cell>
          <cell r="B68">
            <v>1</v>
          </cell>
        </row>
        <row r="69">
          <cell r="A69" t="str">
            <v>Malaysia</v>
          </cell>
          <cell r="B69">
            <v>1</v>
          </cell>
        </row>
        <row r="70">
          <cell r="A70" t="str">
            <v>United Kingdom</v>
          </cell>
          <cell r="B70">
            <v>0.91</v>
          </cell>
          <cell r="C70">
            <v>0.09</v>
          </cell>
        </row>
        <row r="71">
          <cell r="A71" t="str">
            <v>Peru</v>
          </cell>
          <cell r="B71">
            <v>1</v>
          </cell>
        </row>
        <row r="72">
          <cell r="A72" t="str">
            <v>Chile</v>
          </cell>
          <cell r="B72">
            <v>1</v>
          </cell>
        </row>
        <row r="73">
          <cell r="A73" t="str">
            <v>Colombia</v>
          </cell>
          <cell r="B73">
            <v>1</v>
          </cell>
        </row>
        <row r="74">
          <cell r="A74" t="str">
            <v>Egypt</v>
          </cell>
          <cell r="B74">
            <v>1</v>
          </cell>
        </row>
        <row r="75">
          <cell r="A75" t="str">
            <v>Thailand</v>
          </cell>
          <cell r="B75">
            <v>1</v>
          </cell>
        </row>
        <row r="76">
          <cell r="A76" t="str">
            <v>Venezuela</v>
          </cell>
        </row>
        <row r="77">
          <cell r="A77" t="str">
            <v>Iran</v>
          </cell>
          <cell r="B77">
            <v>1</v>
          </cell>
        </row>
        <row r="78">
          <cell r="A78" t="str">
            <v>Turkey</v>
          </cell>
          <cell r="B78">
            <v>1</v>
          </cell>
        </row>
        <row r="79">
          <cell r="A79" t="str">
            <v>Saudi Arabia</v>
          </cell>
        </row>
        <row r="80">
          <cell r="A80" t="str">
            <v>Macao</v>
          </cell>
        </row>
        <row r="81">
          <cell r="A81" t="str">
            <v>Guyana</v>
          </cell>
        </row>
        <row r="82">
          <cell r="A82" t="str">
            <v>Benin</v>
          </cell>
        </row>
        <row r="83">
          <cell r="A83" t="str">
            <v>Rwanda</v>
          </cell>
        </row>
        <row r="84">
          <cell r="A84" t="str">
            <v>Namibia</v>
          </cell>
        </row>
        <row r="85">
          <cell r="A85" t="str">
            <v>Mali</v>
          </cell>
        </row>
        <row r="86">
          <cell r="A86" t="str">
            <v>Burkina Faso</v>
          </cell>
        </row>
        <row r="87">
          <cell r="A87" t="str">
            <v>CÃ´te dâ€™Ivoire</v>
          </cell>
        </row>
        <row r="88">
          <cell r="A88" t="str">
            <v>Zambia</v>
          </cell>
        </row>
        <row r="89">
          <cell r="A89" t="str">
            <v>Armenia</v>
          </cell>
        </row>
        <row r="90">
          <cell r="A90" t="str">
            <v>Congo - Kinshasa</v>
          </cell>
        </row>
        <row r="91">
          <cell r="A91" t="str">
            <v>Brunei</v>
          </cell>
        </row>
        <row r="92">
          <cell r="A92" t="str">
            <v>Trinidad &amp; Tobago</v>
          </cell>
        </row>
        <row r="93">
          <cell r="A93" t="str">
            <v>Cameroon</v>
          </cell>
        </row>
        <row r="94">
          <cell r="A94" t="str">
            <v>Angola</v>
          </cell>
        </row>
        <row r="95">
          <cell r="A95" t="str">
            <v>Mongolia</v>
          </cell>
        </row>
        <row r="96">
          <cell r="A96" t="str">
            <v>Montenegro</v>
          </cell>
        </row>
        <row r="97">
          <cell r="A97" t="str">
            <v>Tanzania</v>
          </cell>
        </row>
        <row r="98">
          <cell r="A98" t="str">
            <v>Latvia</v>
          </cell>
        </row>
        <row r="99">
          <cell r="A99" t="str">
            <v>Mozambique</v>
          </cell>
        </row>
        <row r="100">
          <cell r="A100" t="str">
            <v>Senegal</v>
          </cell>
        </row>
        <row r="101">
          <cell r="A101" t="str">
            <v>Bosnia &amp; Herzegovina</v>
          </cell>
        </row>
        <row r="102">
          <cell r="A102" t="str">
            <v>Estonia</v>
          </cell>
        </row>
        <row r="103">
          <cell r="A103" t="str">
            <v>Kyrgyzstan</v>
          </cell>
        </row>
        <row r="104">
          <cell r="A104" t="str">
            <v>Syria</v>
          </cell>
        </row>
        <row r="105">
          <cell r="A105" t="str">
            <v>Luxembourg</v>
          </cell>
        </row>
        <row r="106">
          <cell r="A106" t="str">
            <v>Azerbaijan</v>
          </cell>
        </row>
        <row r="107">
          <cell r="A107" t="str">
            <v>Nicaragua</v>
          </cell>
        </row>
        <row r="108">
          <cell r="A108" t="str">
            <v>Georgia</v>
          </cell>
        </row>
        <row r="109">
          <cell r="A109" t="str">
            <v>North Macedonia</v>
          </cell>
        </row>
        <row r="110">
          <cell r="A110" t="str">
            <v>Slovenia</v>
          </cell>
        </row>
        <row r="111">
          <cell r="A111" t="str">
            <v>Yemen</v>
          </cell>
        </row>
        <row r="112">
          <cell r="A112" t="str">
            <v>Albania</v>
          </cell>
        </row>
        <row r="113">
          <cell r="A113" t="str">
            <v>Myanmar (Burma)</v>
          </cell>
        </row>
        <row r="114">
          <cell r="A114" t="str">
            <v>Moldova</v>
          </cell>
        </row>
        <row r="115">
          <cell r="A115" t="str">
            <v>Oman</v>
          </cell>
        </row>
        <row r="116">
          <cell r="A116" t="str">
            <v>Cyprus</v>
          </cell>
        </row>
        <row r="117">
          <cell r="A117" t="str">
            <v>Honduras</v>
          </cell>
        </row>
        <row r="118">
          <cell r="A118" t="str">
            <v>El Salvador</v>
          </cell>
        </row>
        <row r="119">
          <cell r="A119" t="str">
            <v>Qatar</v>
          </cell>
        </row>
        <row r="120">
          <cell r="A120" t="str">
            <v>Puerto Rico</v>
          </cell>
        </row>
        <row r="121">
          <cell r="A121" t="str">
            <v>Panama</v>
          </cell>
        </row>
        <row r="122">
          <cell r="A122" t="str">
            <v>Paraguay</v>
          </cell>
        </row>
        <row r="123">
          <cell r="A123" t="str">
            <v>Dominican Republic</v>
          </cell>
        </row>
        <row r="124">
          <cell r="A124" t="str">
            <v>Iraq</v>
          </cell>
        </row>
        <row r="125">
          <cell r="A125" t="str">
            <v>United Arab Emirates</v>
          </cell>
        </row>
        <row r="126">
          <cell r="A126" t="str">
            <v>Aruba</v>
          </cell>
        </row>
        <row r="127">
          <cell r="A127" t="str">
            <v>Afghanistan</v>
          </cell>
        </row>
        <row r="128">
          <cell r="A128" t="str">
            <v>Anguilla</v>
          </cell>
        </row>
        <row r="129">
          <cell r="A129" t="str">
            <v>Ã…land Islands</v>
          </cell>
        </row>
        <row r="130">
          <cell r="A130" t="str">
            <v>Andorra</v>
          </cell>
        </row>
        <row r="131">
          <cell r="A131" t="str">
            <v>American Samoa</v>
          </cell>
        </row>
        <row r="132">
          <cell r="A132" t="str">
            <v>Antarctica</v>
          </cell>
        </row>
        <row r="133">
          <cell r="A133" t="str">
            <v>French Southern Territories</v>
          </cell>
        </row>
        <row r="134">
          <cell r="A134" t="str">
            <v>Antigua &amp; Barbuda</v>
          </cell>
        </row>
        <row r="135">
          <cell r="A135" t="str">
            <v>Burundi</v>
          </cell>
        </row>
        <row r="136">
          <cell r="A136" t="str">
            <v>Caribbean Netherlands</v>
          </cell>
        </row>
        <row r="137">
          <cell r="A137" t="str">
            <v>Bahrain</v>
          </cell>
        </row>
        <row r="138">
          <cell r="A138" t="str">
            <v>Bahamas</v>
          </cell>
        </row>
        <row r="139">
          <cell r="A139" t="str">
            <v>St. BarthÃ©lemy</v>
          </cell>
        </row>
        <row r="140">
          <cell r="A140" t="str">
            <v>Belize</v>
          </cell>
        </row>
        <row r="141">
          <cell r="A141" t="str">
            <v>Bermuda</v>
          </cell>
        </row>
        <row r="142">
          <cell r="A142" t="str">
            <v>Barbados</v>
          </cell>
        </row>
        <row r="143">
          <cell r="A143" t="str">
            <v>Bhutan</v>
          </cell>
        </row>
        <row r="144">
          <cell r="A144" t="str">
            <v>Bouvet Island</v>
          </cell>
        </row>
        <row r="145">
          <cell r="A145" t="str">
            <v>Botswana</v>
          </cell>
        </row>
        <row r="146">
          <cell r="A146" t="str">
            <v>Central African Republic</v>
          </cell>
        </row>
        <row r="147">
          <cell r="A147" t="str">
            <v>Cocos (Keeling) Islands</v>
          </cell>
        </row>
        <row r="148">
          <cell r="A148" t="str">
            <v>Congo - Brazzaville</v>
          </cell>
        </row>
        <row r="149">
          <cell r="A149" t="str">
            <v>Cook Islands</v>
          </cell>
        </row>
        <row r="150">
          <cell r="A150" t="str">
            <v>Comoros</v>
          </cell>
        </row>
        <row r="151">
          <cell r="A151" t="str">
            <v>Cape Verde</v>
          </cell>
        </row>
        <row r="152">
          <cell r="A152" t="str">
            <v>Cuba</v>
          </cell>
        </row>
        <row r="153">
          <cell r="A153" t="str">
            <v>CuraÃ§ao</v>
          </cell>
        </row>
        <row r="154">
          <cell r="A154" t="str">
            <v>Christmas Island</v>
          </cell>
        </row>
        <row r="155">
          <cell r="A155" t="str">
            <v>Cayman Islands</v>
          </cell>
        </row>
        <row r="156">
          <cell r="A156" t="str">
            <v>Djibouti</v>
          </cell>
        </row>
        <row r="157">
          <cell r="A157" t="str">
            <v>Dominica</v>
          </cell>
        </row>
        <row r="158">
          <cell r="A158" t="str">
            <v>Eritrea</v>
          </cell>
        </row>
        <row r="159">
          <cell r="A159" t="str">
            <v>Western Sahara</v>
          </cell>
        </row>
        <row r="160">
          <cell r="A160" t="str">
            <v>Fiji</v>
          </cell>
        </row>
        <row r="161">
          <cell r="A161" t="str">
            <v>Falkland Islands (Islas Malvinas)</v>
          </cell>
        </row>
        <row r="162">
          <cell r="A162" t="str">
            <v>Faroe Islands</v>
          </cell>
        </row>
        <row r="163">
          <cell r="A163" t="str">
            <v>Micronesia</v>
          </cell>
        </row>
        <row r="164">
          <cell r="A164" t="str">
            <v>Gabon</v>
          </cell>
        </row>
        <row r="165">
          <cell r="A165" t="str">
            <v>Guernsey</v>
          </cell>
        </row>
        <row r="166">
          <cell r="A166" t="str">
            <v>Ghana</v>
          </cell>
        </row>
        <row r="167">
          <cell r="A167" t="str">
            <v>Gibraltar</v>
          </cell>
        </row>
        <row r="168">
          <cell r="A168" t="str">
            <v>Guinea</v>
          </cell>
        </row>
        <row r="169">
          <cell r="A169" t="str">
            <v>Guadeloupe</v>
          </cell>
        </row>
        <row r="170">
          <cell r="A170" t="str">
            <v>Gambia</v>
          </cell>
        </row>
        <row r="171">
          <cell r="A171" t="str">
            <v>Guinea-Bissau</v>
          </cell>
        </row>
        <row r="172">
          <cell r="A172" t="str">
            <v>Equatorial Guinea</v>
          </cell>
        </row>
        <row r="173">
          <cell r="A173" t="str">
            <v>Grenada</v>
          </cell>
        </row>
        <row r="174">
          <cell r="A174" t="str">
            <v>Greenland</v>
          </cell>
        </row>
        <row r="175">
          <cell r="A175" t="str">
            <v>French Guiana</v>
          </cell>
        </row>
        <row r="176">
          <cell r="A176" t="str">
            <v>Guam</v>
          </cell>
        </row>
        <row r="177">
          <cell r="A177" t="str">
            <v>Heard &amp; McDonald Islands</v>
          </cell>
        </row>
        <row r="178">
          <cell r="A178" t="str">
            <v>Haiti</v>
          </cell>
        </row>
        <row r="179">
          <cell r="A179" t="str">
            <v>Isle of Man</v>
          </cell>
        </row>
        <row r="180">
          <cell r="A180" t="str">
            <v>British Indian Ocean Territory</v>
          </cell>
        </row>
        <row r="181">
          <cell r="A181" t="str">
            <v>Iceland</v>
          </cell>
        </row>
        <row r="182">
          <cell r="A182" t="str">
            <v>Jamaica</v>
          </cell>
        </row>
        <row r="183">
          <cell r="A183" t="str">
            <v>Jersey</v>
          </cell>
        </row>
        <row r="184">
          <cell r="A184" t="str">
            <v>Jordan</v>
          </cell>
        </row>
        <row r="185">
          <cell r="A185" t="str">
            <v>Cambodia</v>
          </cell>
        </row>
        <row r="186">
          <cell r="A186" t="str">
            <v>Kiribati</v>
          </cell>
        </row>
        <row r="187">
          <cell r="A187" t="str">
            <v>St. Kitts &amp; Nevis</v>
          </cell>
        </row>
        <row r="188">
          <cell r="A188" t="str">
            <v>Kuwait</v>
          </cell>
        </row>
        <row r="189">
          <cell r="A189" t="str">
            <v>Lebanon</v>
          </cell>
        </row>
        <row r="190">
          <cell r="A190" t="str">
            <v>Liberia</v>
          </cell>
        </row>
        <row r="191">
          <cell r="A191" t="str">
            <v>Libya</v>
          </cell>
        </row>
        <row r="192">
          <cell r="A192" t="str">
            <v>St. Lucia</v>
          </cell>
        </row>
        <row r="193">
          <cell r="A193" t="str">
            <v>Liechtenstein</v>
          </cell>
        </row>
        <row r="194">
          <cell r="A194" t="str">
            <v>Lesotho</v>
          </cell>
        </row>
        <row r="195">
          <cell r="A195" t="str">
            <v>St. Martin</v>
          </cell>
        </row>
        <row r="196">
          <cell r="A196" t="str">
            <v>Monaco</v>
          </cell>
        </row>
        <row r="197">
          <cell r="A197" t="str">
            <v>Madagascar</v>
          </cell>
        </row>
        <row r="198">
          <cell r="A198" t="str">
            <v>Maldives</v>
          </cell>
        </row>
        <row r="199">
          <cell r="A199" t="str">
            <v>Marshall Islands</v>
          </cell>
        </row>
        <row r="200">
          <cell r="A200" t="str">
            <v>Malta</v>
          </cell>
        </row>
        <row r="201">
          <cell r="A201" t="str">
            <v>Northern Mariana Islands</v>
          </cell>
        </row>
        <row r="202">
          <cell r="A202" t="str">
            <v>Mauritania</v>
          </cell>
        </row>
        <row r="203">
          <cell r="A203" t="str">
            <v>Montserrat</v>
          </cell>
        </row>
        <row r="204">
          <cell r="A204" t="str">
            <v>Martinique</v>
          </cell>
        </row>
        <row r="205">
          <cell r="A205" t="str">
            <v>Mauritius</v>
          </cell>
        </row>
        <row r="206">
          <cell r="A206" t="str">
            <v>Malawi</v>
          </cell>
        </row>
        <row r="207">
          <cell r="A207" t="str">
            <v>Mayotte</v>
          </cell>
        </row>
        <row r="208">
          <cell r="A208" t="str">
            <v>New Caledonia</v>
          </cell>
        </row>
        <row r="209">
          <cell r="A209" t="str">
            <v>Niger</v>
          </cell>
        </row>
        <row r="210">
          <cell r="A210" t="str">
            <v>Norfolk Island</v>
          </cell>
        </row>
        <row r="211">
          <cell r="A211" t="str">
            <v>Niue</v>
          </cell>
        </row>
        <row r="212">
          <cell r="A212" t="str">
            <v>Nauru</v>
          </cell>
        </row>
        <row r="213">
          <cell r="A213" t="str">
            <v>Pitcairn Islands</v>
          </cell>
        </row>
        <row r="214">
          <cell r="A214" t="str">
            <v>Palau</v>
          </cell>
        </row>
        <row r="215">
          <cell r="A215" t="str">
            <v>Papua New Guinea</v>
          </cell>
        </row>
        <row r="216">
          <cell r="A216" t="str">
            <v>North Korea</v>
          </cell>
        </row>
        <row r="217">
          <cell r="A217" t="str">
            <v>Palestine</v>
          </cell>
        </row>
        <row r="218">
          <cell r="A218" t="str">
            <v>French Polynesia</v>
          </cell>
        </row>
        <row r="219">
          <cell r="A219" t="str">
            <v>RÃ©union</v>
          </cell>
        </row>
        <row r="220">
          <cell r="A220" t="str">
            <v>Sudan</v>
          </cell>
        </row>
        <row r="221">
          <cell r="A221" t="str">
            <v>South Georgia &amp; South Sandwich Islands</v>
          </cell>
        </row>
        <row r="222">
          <cell r="A222" t="str">
            <v>Svalbard &amp; Jan Mayen</v>
          </cell>
        </row>
        <row r="223">
          <cell r="A223" t="str">
            <v>Solomon Islands</v>
          </cell>
        </row>
        <row r="224">
          <cell r="A224" t="str">
            <v>Sierra Leone</v>
          </cell>
        </row>
        <row r="225">
          <cell r="A225" t="str">
            <v>San Marino</v>
          </cell>
        </row>
        <row r="226">
          <cell r="A226" t="str">
            <v>Somalia</v>
          </cell>
        </row>
        <row r="227">
          <cell r="A227" t="str">
            <v>St. Pierre &amp; Miquelon</v>
          </cell>
        </row>
        <row r="228">
          <cell r="A228" t="str">
            <v>South Sudan</v>
          </cell>
        </row>
        <row r="229">
          <cell r="A229" t="str">
            <v>SÃ£o TomÃ© &amp; PrÃ­ncipe</v>
          </cell>
        </row>
        <row r="230">
          <cell r="A230" t="str">
            <v>Suriname</v>
          </cell>
        </row>
        <row r="231">
          <cell r="A231" t="str">
            <v>Eswatini</v>
          </cell>
        </row>
        <row r="232">
          <cell r="A232" t="str">
            <v>Sint Maarten</v>
          </cell>
        </row>
        <row r="233">
          <cell r="A233" t="str">
            <v>Seychelles</v>
          </cell>
        </row>
        <row r="234">
          <cell r="A234" t="str">
            <v>Turks &amp; Caicos Islands</v>
          </cell>
        </row>
        <row r="235">
          <cell r="A235" t="str">
            <v>Chad</v>
          </cell>
        </row>
        <row r="236">
          <cell r="A236" t="str">
            <v>Togo</v>
          </cell>
        </row>
        <row r="237">
          <cell r="A237" t="str">
            <v>Tajikistan</v>
          </cell>
        </row>
        <row r="238">
          <cell r="A238" t="str">
            <v>Tokelau</v>
          </cell>
        </row>
        <row r="239">
          <cell r="A239" t="str">
            <v>Turkmenistan</v>
          </cell>
        </row>
        <row r="240">
          <cell r="A240" t="str">
            <v>Timor-Leste</v>
          </cell>
        </row>
        <row r="241">
          <cell r="A241" t="str">
            <v>Tonga</v>
          </cell>
        </row>
        <row r="242">
          <cell r="A242" t="str">
            <v>Tuvalu</v>
          </cell>
        </row>
        <row r="243">
          <cell r="A243" t="str">
            <v>Uganda</v>
          </cell>
        </row>
        <row r="244">
          <cell r="A244" t="str">
            <v>U.S. Outlying Islands</v>
          </cell>
        </row>
        <row r="245">
          <cell r="A245" t="str">
            <v>Uzbekistan</v>
          </cell>
        </row>
        <row r="246">
          <cell r="A246" t="str">
            <v>Vatican City</v>
          </cell>
        </row>
        <row r="247">
          <cell r="A247" t="str">
            <v>St. Vincent &amp; Grenadines</v>
          </cell>
        </row>
        <row r="248">
          <cell r="A248" t="str">
            <v>British Virgin Islands</v>
          </cell>
        </row>
        <row r="249">
          <cell r="A249" t="str">
            <v>U.S. Virgin Islands</v>
          </cell>
        </row>
        <row r="250">
          <cell r="A250" t="str">
            <v>Vanuatu</v>
          </cell>
        </row>
        <row r="251">
          <cell r="A251" t="str">
            <v>Wallis &amp; Futuna</v>
          </cell>
        </row>
        <row r="252">
          <cell r="A252" t="str">
            <v>Samoa</v>
          </cell>
        </row>
        <row r="253">
          <cell r="A253" t="str">
            <v>Kosovo</v>
          </cell>
        </row>
      </sheetData>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47)"/>
    </sheetNames>
    <sheetDataSet>
      <sheetData sheetId="0" refreshError="1">
        <row r="1">
          <cell r="A1" t="str">
            <v>Category: All categories</v>
          </cell>
        </row>
        <row r="3">
          <cell r="A3" t="str">
            <v>Country</v>
          </cell>
          <cell r="B3" t="str">
            <v>Mutual exclusion: (2018)</v>
          </cell>
          <cell r="C3" t="str">
            <v>Churchâ€“Turing thesis: (2018)</v>
          </cell>
        </row>
        <row r="4">
          <cell r="A4" t="str">
            <v>China</v>
          </cell>
          <cell r="B4">
            <v>1</v>
          </cell>
        </row>
        <row r="5">
          <cell r="A5" t="str">
            <v>Taiwan</v>
          </cell>
          <cell r="B5">
            <v>1</v>
          </cell>
        </row>
        <row r="6">
          <cell r="A6" t="str">
            <v>Japan</v>
          </cell>
          <cell r="B6">
            <v>1</v>
          </cell>
        </row>
        <row r="7">
          <cell r="A7" t="str">
            <v>Israel</v>
          </cell>
          <cell r="B7">
            <v>1</v>
          </cell>
        </row>
        <row r="8">
          <cell r="A8" t="str">
            <v>Kenya</v>
          </cell>
          <cell r="B8">
            <v>0.88</v>
          </cell>
          <cell r="C8">
            <v>0.12</v>
          </cell>
        </row>
        <row r="9">
          <cell r="A9" t="str">
            <v>St. Helena</v>
          </cell>
          <cell r="B9">
            <v>1</v>
          </cell>
        </row>
        <row r="10">
          <cell r="A10" t="str">
            <v>Belarus</v>
          </cell>
          <cell r="B10">
            <v>1</v>
          </cell>
        </row>
        <row r="11">
          <cell r="A11" t="str">
            <v>Czechia</v>
          </cell>
          <cell r="B11">
            <v>1</v>
          </cell>
        </row>
        <row r="12">
          <cell r="A12" t="str">
            <v>Zimbabwe</v>
          </cell>
        </row>
        <row r="13">
          <cell r="A13" t="str">
            <v>Nepal</v>
          </cell>
          <cell r="B13">
            <v>1</v>
          </cell>
        </row>
        <row r="14">
          <cell r="A14" t="str">
            <v>Russia</v>
          </cell>
          <cell r="B14">
            <v>0.94</v>
          </cell>
          <cell r="C14">
            <v>0.06</v>
          </cell>
        </row>
        <row r="15">
          <cell r="A15" t="str">
            <v>Austria</v>
          </cell>
          <cell r="B15">
            <v>1</v>
          </cell>
        </row>
        <row r="16">
          <cell r="A16" t="str">
            <v>Germany</v>
          </cell>
          <cell r="B16">
            <v>0.96</v>
          </cell>
          <cell r="C16">
            <v>0.04</v>
          </cell>
        </row>
        <row r="17">
          <cell r="A17" t="str">
            <v>Norway</v>
          </cell>
          <cell r="B17">
            <v>1</v>
          </cell>
        </row>
        <row r="18">
          <cell r="A18" t="str">
            <v>Ethiopia</v>
          </cell>
        </row>
        <row r="19">
          <cell r="A19" t="str">
            <v>Finland</v>
          </cell>
          <cell r="B19">
            <v>1</v>
          </cell>
        </row>
        <row r="20">
          <cell r="A20" t="str">
            <v>Ukraine</v>
          </cell>
          <cell r="B20">
            <v>0.96</v>
          </cell>
          <cell r="C20">
            <v>0.04</v>
          </cell>
        </row>
        <row r="21">
          <cell r="A21" t="str">
            <v>Portugal</v>
          </cell>
          <cell r="B21">
            <v>1</v>
          </cell>
        </row>
        <row r="22">
          <cell r="A22" t="str">
            <v>Algeria</v>
          </cell>
          <cell r="B22">
            <v>1</v>
          </cell>
        </row>
        <row r="23">
          <cell r="A23" t="str">
            <v>Hungary</v>
          </cell>
          <cell r="B23">
            <v>1</v>
          </cell>
        </row>
        <row r="24">
          <cell r="A24" t="str">
            <v>Laos</v>
          </cell>
        </row>
        <row r="25">
          <cell r="A25" t="str">
            <v>Poland</v>
          </cell>
          <cell r="B25">
            <v>1</v>
          </cell>
        </row>
        <row r="26">
          <cell r="A26" t="str">
            <v>South Korea</v>
          </cell>
          <cell r="B26">
            <v>1</v>
          </cell>
        </row>
        <row r="27">
          <cell r="A27" t="str">
            <v>Sweden</v>
          </cell>
          <cell r="B27">
            <v>1</v>
          </cell>
        </row>
        <row r="28">
          <cell r="A28" t="str">
            <v>India</v>
          </cell>
          <cell r="B28">
            <v>0.91</v>
          </cell>
          <cell r="C28">
            <v>0.09</v>
          </cell>
        </row>
        <row r="29">
          <cell r="A29" t="str">
            <v>Sri Lanka</v>
          </cell>
          <cell r="B29">
            <v>1</v>
          </cell>
        </row>
        <row r="30">
          <cell r="A30" t="str">
            <v>Costa Rica</v>
          </cell>
          <cell r="B30">
            <v>1</v>
          </cell>
        </row>
        <row r="31">
          <cell r="A31" t="str">
            <v>Switzerland</v>
          </cell>
          <cell r="B31">
            <v>1</v>
          </cell>
        </row>
        <row r="32">
          <cell r="A32" t="str">
            <v>Pakistan</v>
          </cell>
          <cell r="B32">
            <v>1</v>
          </cell>
        </row>
        <row r="33">
          <cell r="A33" t="str">
            <v>Hong Kong</v>
          </cell>
          <cell r="B33">
            <v>1</v>
          </cell>
        </row>
        <row r="34">
          <cell r="A34" t="str">
            <v>Singapore</v>
          </cell>
          <cell r="B34">
            <v>1</v>
          </cell>
        </row>
        <row r="35">
          <cell r="A35" t="str">
            <v>Netherlands</v>
          </cell>
          <cell r="B35">
            <v>0.96</v>
          </cell>
          <cell r="C35">
            <v>0.04</v>
          </cell>
        </row>
        <row r="36">
          <cell r="A36" t="str">
            <v>Jamaica</v>
          </cell>
          <cell r="C36">
            <v>1</v>
          </cell>
        </row>
        <row r="37">
          <cell r="A37" t="str">
            <v>Serbia</v>
          </cell>
          <cell r="B37">
            <v>1</v>
          </cell>
        </row>
        <row r="38">
          <cell r="A38" t="str">
            <v>Italy</v>
          </cell>
          <cell r="B38">
            <v>0.93</v>
          </cell>
          <cell r="C38">
            <v>7.0000000000000007E-2</v>
          </cell>
        </row>
        <row r="39">
          <cell r="A39" t="str">
            <v>Bulgaria</v>
          </cell>
          <cell r="B39">
            <v>1</v>
          </cell>
        </row>
        <row r="40">
          <cell r="A40" t="str">
            <v>Guatemala</v>
          </cell>
          <cell r="B40">
            <v>1</v>
          </cell>
        </row>
        <row r="41">
          <cell r="A41" t="str">
            <v>Lithuania</v>
          </cell>
          <cell r="B41">
            <v>1</v>
          </cell>
        </row>
        <row r="42">
          <cell r="A42" t="str">
            <v>Croatia</v>
          </cell>
          <cell r="B42">
            <v>1</v>
          </cell>
        </row>
        <row r="43">
          <cell r="A43" t="str">
            <v>Spain</v>
          </cell>
          <cell r="B43">
            <v>0.92</v>
          </cell>
          <cell r="C43">
            <v>0.08</v>
          </cell>
        </row>
        <row r="44">
          <cell r="A44" t="str">
            <v>Ireland</v>
          </cell>
          <cell r="B44">
            <v>1</v>
          </cell>
        </row>
        <row r="45">
          <cell r="A45" t="str">
            <v>Slovakia</v>
          </cell>
          <cell r="B45">
            <v>1</v>
          </cell>
        </row>
        <row r="46">
          <cell r="A46" t="str">
            <v>Nigeria</v>
          </cell>
          <cell r="B46">
            <v>1</v>
          </cell>
        </row>
        <row r="47">
          <cell r="A47" t="str">
            <v>Tunisia</v>
          </cell>
        </row>
        <row r="48">
          <cell r="A48" t="str">
            <v>France</v>
          </cell>
          <cell r="B48">
            <v>0.92</v>
          </cell>
          <cell r="C48">
            <v>0.08</v>
          </cell>
        </row>
        <row r="49">
          <cell r="A49" t="str">
            <v>Greece</v>
          </cell>
          <cell r="B49">
            <v>1</v>
          </cell>
        </row>
        <row r="50">
          <cell r="A50" t="str">
            <v>Mexico</v>
          </cell>
          <cell r="B50">
            <v>0.93</v>
          </cell>
          <cell r="C50">
            <v>7.0000000000000007E-2</v>
          </cell>
        </row>
        <row r="51">
          <cell r="A51" t="str">
            <v>Bangladesh</v>
          </cell>
          <cell r="B51">
            <v>1</v>
          </cell>
        </row>
        <row r="52">
          <cell r="A52" t="str">
            <v>Romania</v>
          </cell>
          <cell r="B52">
            <v>1</v>
          </cell>
        </row>
        <row r="53">
          <cell r="A53" t="str">
            <v>Uruguay</v>
          </cell>
        </row>
        <row r="54">
          <cell r="A54" t="str">
            <v>Belgium</v>
          </cell>
          <cell r="B54">
            <v>1</v>
          </cell>
        </row>
        <row r="55">
          <cell r="A55" t="str">
            <v>Argentina</v>
          </cell>
          <cell r="B55">
            <v>1</v>
          </cell>
        </row>
        <row r="56">
          <cell r="A56" t="str">
            <v>Canada</v>
          </cell>
          <cell r="B56">
            <v>0.78</v>
          </cell>
          <cell r="C56">
            <v>0.22</v>
          </cell>
        </row>
        <row r="57">
          <cell r="A57" t="str">
            <v>Vietnam</v>
          </cell>
          <cell r="B57">
            <v>1</v>
          </cell>
        </row>
        <row r="58">
          <cell r="A58" t="str">
            <v>Brazil</v>
          </cell>
          <cell r="B58">
            <v>0.93</v>
          </cell>
          <cell r="C58">
            <v>7.0000000000000007E-2</v>
          </cell>
        </row>
        <row r="59">
          <cell r="A59" t="str">
            <v>United States</v>
          </cell>
          <cell r="B59">
            <v>0.81</v>
          </cell>
          <cell r="C59">
            <v>0.19</v>
          </cell>
        </row>
        <row r="60">
          <cell r="A60" t="str">
            <v>Kazakhstan</v>
          </cell>
          <cell r="B60">
            <v>1</v>
          </cell>
        </row>
        <row r="61">
          <cell r="A61" t="str">
            <v>New Zealand</v>
          </cell>
          <cell r="B61">
            <v>1</v>
          </cell>
        </row>
        <row r="62">
          <cell r="A62" t="str">
            <v>Indonesia</v>
          </cell>
          <cell r="B62">
            <v>1</v>
          </cell>
        </row>
        <row r="63">
          <cell r="A63" t="str">
            <v>Morocco</v>
          </cell>
        </row>
        <row r="64">
          <cell r="A64" t="str">
            <v>Ecuador</v>
          </cell>
        </row>
        <row r="65">
          <cell r="A65" t="str">
            <v>Australia</v>
          </cell>
          <cell r="B65">
            <v>0.87</v>
          </cell>
          <cell r="C65">
            <v>0.13</v>
          </cell>
        </row>
        <row r="66">
          <cell r="A66" t="str">
            <v>South Africa</v>
          </cell>
          <cell r="B66">
            <v>1</v>
          </cell>
        </row>
        <row r="67">
          <cell r="A67" t="str">
            <v>Philippines</v>
          </cell>
          <cell r="B67">
            <v>1</v>
          </cell>
        </row>
        <row r="68">
          <cell r="A68" t="str">
            <v>Denmark</v>
          </cell>
          <cell r="B68">
            <v>1</v>
          </cell>
        </row>
        <row r="69">
          <cell r="A69" t="str">
            <v>Malaysia</v>
          </cell>
          <cell r="B69">
            <v>1</v>
          </cell>
        </row>
        <row r="70">
          <cell r="A70" t="str">
            <v>United Kingdom</v>
          </cell>
          <cell r="B70">
            <v>0.74</v>
          </cell>
          <cell r="C70">
            <v>0.26</v>
          </cell>
        </row>
        <row r="71">
          <cell r="A71" t="str">
            <v>Peru</v>
          </cell>
          <cell r="B71">
            <v>1</v>
          </cell>
        </row>
        <row r="72">
          <cell r="A72" t="str">
            <v>Chile</v>
          </cell>
          <cell r="B72">
            <v>1</v>
          </cell>
        </row>
        <row r="73">
          <cell r="A73" t="str">
            <v>Colombia</v>
          </cell>
          <cell r="B73">
            <v>0.85</v>
          </cell>
          <cell r="C73">
            <v>0.15</v>
          </cell>
        </row>
        <row r="74">
          <cell r="A74" t="str">
            <v>Egypt</v>
          </cell>
          <cell r="B74">
            <v>1</v>
          </cell>
        </row>
        <row r="75">
          <cell r="A75" t="str">
            <v>Thailand</v>
          </cell>
          <cell r="B75">
            <v>1</v>
          </cell>
        </row>
        <row r="76">
          <cell r="A76" t="str">
            <v>Venezuela</v>
          </cell>
        </row>
        <row r="77">
          <cell r="A77" t="str">
            <v>Iran</v>
          </cell>
          <cell r="B77">
            <v>1</v>
          </cell>
        </row>
        <row r="78">
          <cell r="A78" t="str">
            <v>United Arab Emirates</v>
          </cell>
        </row>
        <row r="79">
          <cell r="A79" t="str">
            <v>Turkey</v>
          </cell>
          <cell r="B79">
            <v>0.85</v>
          </cell>
          <cell r="C79">
            <v>0.15</v>
          </cell>
        </row>
        <row r="80">
          <cell r="A80" t="str">
            <v>Saudi Arabia</v>
          </cell>
        </row>
        <row r="81">
          <cell r="A81" t="str">
            <v>Macao</v>
          </cell>
        </row>
        <row r="82">
          <cell r="A82" t="str">
            <v>Guyana</v>
          </cell>
        </row>
        <row r="83">
          <cell r="A83" t="str">
            <v>Benin</v>
          </cell>
        </row>
        <row r="84">
          <cell r="A84" t="str">
            <v>Rwanda</v>
          </cell>
        </row>
        <row r="85">
          <cell r="A85" t="str">
            <v>Namibia</v>
          </cell>
        </row>
        <row r="86">
          <cell r="A86" t="str">
            <v>Mali</v>
          </cell>
        </row>
        <row r="87">
          <cell r="A87" t="str">
            <v>Burkina Faso</v>
          </cell>
        </row>
        <row r="88">
          <cell r="A88" t="str">
            <v>CÃ´te dâ€™Ivoire</v>
          </cell>
        </row>
        <row r="89">
          <cell r="A89" t="str">
            <v>Zambia</v>
          </cell>
        </row>
        <row r="90">
          <cell r="A90" t="str">
            <v>Armenia</v>
          </cell>
        </row>
        <row r="91">
          <cell r="A91" t="str">
            <v>Congo - Kinshasa</v>
          </cell>
        </row>
        <row r="92">
          <cell r="A92" t="str">
            <v>Brunei</v>
          </cell>
        </row>
        <row r="93">
          <cell r="A93" t="str">
            <v>Trinidad &amp; Tobago</v>
          </cell>
        </row>
        <row r="94">
          <cell r="A94" t="str">
            <v>Cameroon</v>
          </cell>
        </row>
        <row r="95">
          <cell r="A95" t="str">
            <v>Angola</v>
          </cell>
        </row>
        <row r="96">
          <cell r="A96" t="str">
            <v>Mongolia</v>
          </cell>
        </row>
        <row r="97">
          <cell r="A97" t="str">
            <v>Montenegro</v>
          </cell>
        </row>
        <row r="98">
          <cell r="A98" t="str">
            <v>Tanzania</v>
          </cell>
        </row>
        <row r="99">
          <cell r="A99" t="str">
            <v>Latvia</v>
          </cell>
        </row>
        <row r="100">
          <cell r="A100" t="str">
            <v>Mozambique</v>
          </cell>
        </row>
        <row r="101">
          <cell r="A101" t="str">
            <v>Senegal</v>
          </cell>
        </row>
        <row r="102">
          <cell r="A102" t="str">
            <v>Bosnia &amp; Herzegovina</v>
          </cell>
        </row>
        <row r="103">
          <cell r="A103" t="str">
            <v>Estonia</v>
          </cell>
        </row>
        <row r="104">
          <cell r="A104" t="str">
            <v>Kyrgyzstan</v>
          </cell>
        </row>
        <row r="105">
          <cell r="A105" t="str">
            <v>Syria</v>
          </cell>
        </row>
        <row r="106">
          <cell r="A106" t="str">
            <v>Luxembourg</v>
          </cell>
        </row>
        <row r="107">
          <cell r="A107" t="str">
            <v>Azerbaijan</v>
          </cell>
        </row>
        <row r="108">
          <cell r="A108" t="str">
            <v>Nicaragua</v>
          </cell>
        </row>
        <row r="109">
          <cell r="A109" t="str">
            <v>Georgia</v>
          </cell>
        </row>
        <row r="110">
          <cell r="A110" t="str">
            <v>North Macedonia</v>
          </cell>
        </row>
        <row r="111">
          <cell r="A111" t="str">
            <v>Slovenia</v>
          </cell>
        </row>
        <row r="112">
          <cell r="A112" t="str">
            <v>Yemen</v>
          </cell>
        </row>
        <row r="113">
          <cell r="A113" t="str">
            <v>Albania</v>
          </cell>
        </row>
        <row r="114">
          <cell r="A114" t="str">
            <v>Myanmar (Burma)</v>
          </cell>
        </row>
        <row r="115">
          <cell r="A115" t="str">
            <v>Moldova</v>
          </cell>
        </row>
        <row r="116">
          <cell r="A116" t="str">
            <v>Oman</v>
          </cell>
        </row>
        <row r="117">
          <cell r="A117" t="str">
            <v>Cyprus</v>
          </cell>
        </row>
        <row r="118">
          <cell r="A118" t="str">
            <v>Honduras</v>
          </cell>
        </row>
        <row r="119">
          <cell r="A119" t="str">
            <v>El Salvador</v>
          </cell>
        </row>
        <row r="120">
          <cell r="A120" t="str">
            <v>Qatar</v>
          </cell>
        </row>
        <row r="121">
          <cell r="A121" t="str">
            <v>Puerto Rico</v>
          </cell>
        </row>
        <row r="122">
          <cell r="A122" t="str">
            <v>Panama</v>
          </cell>
        </row>
        <row r="123">
          <cell r="A123" t="str">
            <v>Bolivia</v>
          </cell>
        </row>
        <row r="124">
          <cell r="A124" t="str">
            <v>Paraguay</v>
          </cell>
        </row>
        <row r="125">
          <cell r="A125" t="str">
            <v>Dominican Republic</v>
          </cell>
        </row>
        <row r="126">
          <cell r="A126" t="str">
            <v>Iraq</v>
          </cell>
        </row>
        <row r="127">
          <cell r="A127" t="str">
            <v>Aruba</v>
          </cell>
        </row>
        <row r="128">
          <cell r="A128" t="str">
            <v>Afghanistan</v>
          </cell>
        </row>
        <row r="129">
          <cell r="A129" t="str">
            <v>Anguilla</v>
          </cell>
        </row>
        <row r="130">
          <cell r="A130" t="str">
            <v>Ã…land Islands</v>
          </cell>
        </row>
        <row r="131">
          <cell r="A131" t="str">
            <v>Andorra</v>
          </cell>
        </row>
        <row r="132">
          <cell r="A132" t="str">
            <v>American Samoa</v>
          </cell>
        </row>
        <row r="133">
          <cell r="A133" t="str">
            <v>Antarctica</v>
          </cell>
        </row>
        <row r="134">
          <cell r="A134" t="str">
            <v>French Southern Territories</v>
          </cell>
        </row>
        <row r="135">
          <cell r="A135" t="str">
            <v>Antigua &amp; Barbuda</v>
          </cell>
        </row>
        <row r="136">
          <cell r="A136" t="str">
            <v>Burundi</v>
          </cell>
        </row>
        <row r="137">
          <cell r="A137" t="str">
            <v>Caribbean Netherlands</v>
          </cell>
        </row>
        <row r="138">
          <cell r="A138" t="str">
            <v>Bahrain</v>
          </cell>
        </row>
        <row r="139">
          <cell r="A139" t="str">
            <v>Bahamas</v>
          </cell>
        </row>
        <row r="140">
          <cell r="A140" t="str">
            <v>St. BarthÃ©lemy</v>
          </cell>
        </row>
        <row r="141">
          <cell r="A141" t="str">
            <v>Belize</v>
          </cell>
        </row>
        <row r="142">
          <cell r="A142" t="str">
            <v>Bermuda</v>
          </cell>
        </row>
        <row r="143">
          <cell r="A143" t="str">
            <v>Barbados</v>
          </cell>
        </row>
        <row r="144">
          <cell r="A144" t="str">
            <v>Bhutan</v>
          </cell>
        </row>
        <row r="145">
          <cell r="A145" t="str">
            <v>Bouvet Island</v>
          </cell>
        </row>
        <row r="146">
          <cell r="A146" t="str">
            <v>Botswana</v>
          </cell>
        </row>
        <row r="147">
          <cell r="A147" t="str">
            <v>Central African Republic</v>
          </cell>
        </row>
        <row r="148">
          <cell r="A148" t="str">
            <v>Cocos (Keeling) Islands</v>
          </cell>
        </row>
        <row r="149">
          <cell r="A149" t="str">
            <v>Congo - Brazzaville</v>
          </cell>
        </row>
        <row r="150">
          <cell r="A150" t="str">
            <v>Cook Islands</v>
          </cell>
        </row>
        <row r="151">
          <cell r="A151" t="str">
            <v>Comoros</v>
          </cell>
        </row>
        <row r="152">
          <cell r="A152" t="str">
            <v>Cape Verde</v>
          </cell>
        </row>
        <row r="153">
          <cell r="A153" t="str">
            <v>Cuba</v>
          </cell>
        </row>
        <row r="154">
          <cell r="A154" t="str">
            <v>CuraÃ§ao</v>
          </cell>
        </row>
        <row r="155">
          <cell r="A155" t="str">
            <v>Christmas Island</v>
          </cell>
        </row>
        <row r="156">
          <cell r="A156" t="str">
            <v>Cayman Islands</v>
          </cell>
        </row>
        <row r="157">
          <cell r="A157" t="str">
            <v>Djibouti</v>
          </cell>
        </row>
        <row r="158">
          <cell r="A158" t="str">
            <v>Dominica</v>
          </cell>
        </row>
        <row r="159">
          <cell r="A159" t="str">
            <v>Eritrea</v>
          </cell>
        </row>
        <row r="160">
          <cell r="A160" t="str">
            <v>Western Sahara</v>
          </cell>
        </row>
        <row r="161">
          <cell r="A161" t="str">
            <v>Fiji</v>
          </cell>
        </row>
        <row r="162">
          <cell r="A162" t="str">
            <v>Falkland Islands (Islas Malvinas)</v>
          </cell>
        </row>
        <row r="163">
          <cell r="A163" t="str">
            <v>Faroe Islands</v>
          </cell>
        </row>
        <row r="164">
          <cell r="A164" t="str">
            <v>Micronesia</v>
          </cell>
        </row>
        <row r="165">
          <cell r="A165" t="str">
            <v>Gabon</v>
          </cell>
        </row>
        <row r="166">
          <cell r="A166" t="str">
            <v>Guernsey</v>
          </cell>
        </row>
        <row r="167">
          <cell r="A167" t="str">
            <v>Ghana</v>
          </cell>
        </row>
        <row r="168">
          <cell r="A168" t="str">
            <v>Gibraltar</v>
          </cell>
        </row>
        <row r="169">
          <cell r="A169" t="str">
            <v>Guinea</v>
          </cell>
        </row>
        <row r="170">
          <cell r="A170" t="str">
            <v>Guadeloupe</v>
          </cell>
        </row>
        <row r="171">
          <cell r="A171" t="str">
            <v>Gambia</v>
          </cell>
        </row>
        <row r="172">
          <cell r="A172" t="str">
            <v>Guinea-Bissau</v>
          </cell>
        </row>
        <row r="173">
          <cell r="A173" t="str">
            <v>Equatorial Guinea</v>
          </cell>
        </row>
        <row r="174">
          <cell r="A174" t="str">
            <v>Grenada</v>
          </cell>
        </row>
        <row r="175">
          <cell r="A175" t="str">
            <v>Greenland</v>
          </cell>
        </row>
        <row r="176">
          <cell r="A176" t="str">
            <v>French Guiana</v>
          </cell>
        </row>
        <row r="177">
          <cell r="A177" t="str">
            <v>Guam</v>
          </cell>
        </row>
        <row r="178">
          <cell r="A178" t="str">
            <v>Heard &amp; McDonald Islands</v>
          </cell>
        </row>
        <row r="179">
          <cell r="A179" t="str">
            <v>Haiti</v>
          </cell>
        </row>
        <row r="180">
          <cell r="A180" t="str">
            <v>Isle of Man</v>
          </cell>
        </row>
        <row r="181">
          <cell r="A181" t="str">
            <v>British Indian Ocean Territory</v>
          </cell>
        </row>
        <row r="182">
          <cell r="A182" t="str">
            <v>Iceland</v>
          </cell>
        </row>
        <row r="183">
          <cell r="A183" t="str">
            <v>Jersey</v>
          </cell>
        </row>
        <row r="184">
          <cell r="A184" t="str">
            <v>Jordan</v>
          </cell>
        </row>
        <row r="185">
          <cell r="A185" t="str">
            <v>Cambodia</v>
          </cell>
        </row>
        <row r="186">
          <cell r="A186" t="str">
            <v>Kiribati</v>
          </cell>
        </row>
        <row r="187">
          <cell r="A187" t="str">
            <v>St. Kitts &amp; Nevis</v>
          </cell>
        </row>
        <row r="188">
          <cell r="A188" t="str">
            <v>Kuwait</v>
          </cell>
        </row>
        <row r="189">
          <cell r="A189" t="str">
            <v>Lebanon</v>
          </cell>
        </row>
        <row r="190">
          <cell r="A190" t="str">
            <v>Liberia</v>
          </cell>
        </row>
        <row r="191">
          <cell r="A191" t="str">
            <v>Libya</v>
          </cell>
        </row>
        <row r="192">
          <cell r="A192" t="str">
            <v>St. Lucia</v>
          </cell>
        </row>
        <row r="193">
          <cell r="A193" t="str">
            <v>Liechtenstein</v>
          </cell>
        </row>
        <row r="194">
          <cell r="A194" t="str">
            <v>Lesotho</v>
          </cell>
        </row>
        <row r="195">
          <cell r="A195" t="str">
            <v>St. Martin</v>
          </cell>
        </row>
        <row r="196">
          <cell r="A196" t="str">
            <v>Monaco</v>
          </cell>
        </row>
        <row r="197">
          <cell r="A197" t="str">
            <v>Madagascar</v>
          </cell>
        </row>
        <row r="198">
          <cell r="A198" t="str">
            <v>Maldives</v>
          </cell>
        </row>
        <row r="199">
          <cell r="A199" t="str">
            <v>Marshall Islands</v>
          </cell>
        </row>
        <row r="200">
          <cell r="A200" t="str">
            <v>Malta</v>
          </cell>
        </row>
        <row r="201">
          <cell r="A201" t="str">
            <v>Northern Mariana Islands</v>
          </cell>
        </row>
        <row r="202">
          <cell r="A202" t="str">
            <v>Mauritania</v>
          </cell>
        </row>
        <row r="203">
          <cell r="A203" t="str">
            <v>Montserrat</v>
          </cell>
        </row>
        <row r="204">
          <cell r="A204" t="str">
            <v>Martinique</v>
          </cell>
        </row>
        <row r="205">
          <cell r="A205" t="str">
            <v>Mauritius</v>
          </cell>
        </row>
        <row r="206">
          <cell r="A206" t="str">
            <v>Malawi</v>
          </cell>
        </row>
        <row r="207">
          <cell r="A207" t="str">
            <v>Mayotte</v>
          </cell>
        </row>
        <row r="208">
          <cell r="A208" t="str">
            <v>New Caledonia</v>
          </cell>
        </row>
        <row r="209">
          <cell r="A209" t="str">
            <v>Niger</v>
          </cell>
        </row>
        <row r="210">
          <cell r="A210" t="str">
            <v>Norfolk Island</v>
          </cell>
        </row>
        <row r="211">
          <cell r="A211" t="str">
            <v>Niue</v>
          </cell>
        </row>
        <row r="212">
          <cell r="A212" t="str">
            <v>Nauru</v>
          </cell>
        </row>
        <row r="213">
          <cell r="A213" t="str">
            <v>Pitcairn Islands</v>
          </cell>
        </row>
        <row r="214">
          <cell r="A214" t="str">
            <v>Palau</v>
          </cell>
        </row>
        <row r="215">
          <cell r="A215" t="str">
            <v>Papua New Guinea</v>
          </cell>
        </row>
        <row r="216">
          <cell r="A216" t="str">
            <v>North Korea</v>
          </cell>
        </row>
        <row r="217">
          <cell r="A217" t="str">
            <v>Palestine</v>
          </cell>
        </row>
        <row r="218">
          <cell r="A218" t="str">
            <v>French Polynesia</v>
          </cell>
        </row>
        <row r="219">
          <cell r="A219" t="str">
            <v>RÃ©union</v>
          </cell>
        </row>
        <row r="220">
          <cell r="A220" t="str">
            <v>Sudan</v>
          </cell>
        </row>
        <row r="221">
          <cell r="A221" t="str">
            <v>South Georgia &amp; South Sandwich Islands</v>
          </cell>
        </row>
        <row r="222">
          <cell r="A222" t="str">
            <v>Svalbard &amp; Jan Mayen</v>
          </cell>
        </row>
        <row r="223">
          <cell r="A223" t="str">
            <v>Solomon Islands</v>
          </cell>
        </row>
        <row r="224">
          <cell r="A224" t="str">
            <v>Sierra Leone</v>
          </cell>
        </row>
        <row r="225">
          <cell r="A225" t="str">
            <v>San Marino</v>
          </cell>
        </row>
        <row r="226">
          <cell r="A226" t="str">
            <v>Somalia</v>
          </cell>
        </row>
        <row r="227">
          <cell r="A227" t="str">
            <v>St. Pierre &amp; Miquelon</v>
          </cell>
        </row>
        <row r="228">
          <cell r="A228" t="str">
            <v>South Sudan</v>
          </cell>
        </row>
        <row r="229">
          <cell r="A229" t="str">
            <v>SÃ£o TomÃ© &amp; PrÃ­ncipe</v>
          </cell>
        </row>
        <row r="230">
          <cell r="A230" t="str">
            <v>Suriname</v>
          </cell>
        </row>
        <row r="231">
          <cell r="A231" t="str">
            <v>Eswatini</v>
          </cell>
        </row>
        <row r="232">
          <cell r="A232" t="str">
            <v>Sint Maarten</v>
          </cell>
        </row>
        <row r="233">
          <cell r="A233" t="str">
            <v>Seychelles</v>
          </cell>
        </row>
        <row r="234">
          <cell r="A234" t="str">
            <v>Turks &amp; Caicos Islands</v>
          </cell>
        </row>
        <row r="235">
          <cell r="A235" t="str">
            <v>Chad</v>
          </cell>
        </row>
        <row r="236">
          <cell r="A236" t="str">
            <v>Togo</v>
          </cell>
        </row>
        <row r="237">
          <cell r="A237" t="str">
            <v>Tajikistan</v>
          </cell>
        </row>
        <row r="238">
          <cell r="A238" t="str">
            <v>Tokelau</v>
          </cell>
        </row>
        <row r="239">
          <cell r="A239" t="str">
            <v>Turkmenistan</v>
          </cell>
        </row>
        <row r="240">
          <cell r="A240" t="str">
            <v>Timor-Leste</v>
          </cell>
        </row>
        <row r="241">
          <cell r="A241" t="str">
            <v>Tonga</v>
          </cell>
        </row>
        <row r="242">
          <cell r="A242" t="str">
            <v>Tuvalu</v>
          </cell>
        </row>
        <row r="243">
          <cell r="A243" t="str">
            <v>Uganda</v>
          </cell>
        </row>
        <row r="244">
          <cell r="A244" t="str">
            <v>U.S. Outlying Islands</v>
          </cell>
        </row>
        <row r="245">
          <cell r="A245" t="str">
            <v>Uzbekistan</v>
          </cell>
        </row>
        <row r="246">
          <cell r="A246" t="str">
            <v>Vatican City</v>
          </cell>
        </row>
        <row r="247">
          <cell r="A247" t="str">
            <v>St. Vincent &amp; Grenadines</v>
          </cell>
        </row>
        <row r="248">
          <cell r="A248" t="str">
            <v>British Virgin Islands</v>
          </cell>
        </row>
        <row r="249">
          <cell r="A249" t="str">
            <v>U.S. Virgin Islands</v>
          </cell>
        </row>
        <row r="250">
          <cell r="A250" t="str">
            <v>Vanuatu</v>
          </cell>
        </row>
        <row r="251">
          <cell r="A251" t="str">
            <v>Wallis &amp; Futuna</v>
          </cell>
        </row>
        <row r="252">
          <cell r="A252" t="str">
            <v>Samoa</v>
          </cell>
        </row>
        <row r="253">
          <cell r="A253" t="str">
            <v>Kosovo</v>
          </cell>
        </row>
      </sheetData>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49)"/>
    </sheetNames>
    <sheetDataSet>
      <sheetData sheetId="0" refreshError="1">
        <row r="1">
          <cell r="A1" t="str">
            <v>Category: All categories</v>
          </cell>
        </row>
        <row r="3">
          <cell r="A3" t="str">
            <v>Country</v>
          </cell>
          <cell r="B3" t="str">
            <v>Edge detection: (2018)</v>
          </cell>
          <cell r="C3" t="str">
            <v>System F: (2018)</v>
          </cell>
        </row>
        <row r="4">
          <cell r="A4" t="str">
            <v>China</v>
          </cell>
          <cell r="B4">
            <v>0.99</v>
          </cell>
          <cell r="C4">
            <v>0.01</v>
          </cell>
        </row>
        <row r="5">
          <cell r="A5" t="str">
            <v>South Korea</v>
          </cell>
          <cell r="B5">
            <v>0.96</v>
          </cell>
          <cell r="C5">
            <v>0.04</v>
          </cell>
        </row>
        <row r="6">
          <cell r="A6" t="str">
            <v>Pakistan</v>
          </cell>
          <cell r="B6">
            <v>1</v>
          </cell>
        </row>
        <row r="7">
          <cell r="A7" t="str">
            <v>Singapore</v>
          </cell>
          <cell r="B7">
            <v>0.88</v>
          </cell>
          <cell r="C7">
            <v>0.12</v>
          </cell>
        </row>
        <row r="8">
          <cell r="A8" t="str">
            <v>St. Helena</v>
          </cell>
          <cell r="B8">
            <v>1</v>
          </cell>
        </row>
        <row r="9">
          <cell r="A9" t="str">
            <v>Tunisia</v>
          </cell>
          <cell r="B9">
            <v>1</v>
          </cell>
        </row>
        <row r="10">
          <cell r="A10" t="str">
            <v>India</v>
          </cell>
          <cell r="B10">
            <v>0.98</v>
          </cell>
          <cell r="C10">
            <v>0.02</v>
          </cell>
        </row>
        <row r="11">
          <cell r="A11" t="str">
            <v>Hong Kong</v>
          </cell>
          <cell r="B11">
            <v>1</v>
          </cell>
        </row>
        <row r="12">
          <cell r="A12" t="str">
            <v>Israel</v>
          </cell>
          <cell r="B12">
            <v>1</v>
          </cell>
        </row>
        <row r="13">
          <cell r="A13" t="str">
            <v>Taiwan</v>
          </cell>
          <cell r="B13">
            <v>0.93</v>
          </cell>
          <cell r="C13">
            <v>7.0000000000000007E-2</v>
          </cell>
        </row>
        <row r="14">
          <cell r="A14" t="str">
            <v>Bangladesh</v>
          </cell>
          <cell r="B14">
            <v>1</v>
          </cell>
        </row>
        <row r="15">
          <cell r="A15" t="str">
            <v>Sri Lanka</v>
          </cell>
          <cell r="B15">
            <v>1</v>
          </cell>
        </row>
        <row r="16">
          <cell r="A16" t="str">
            <v>Switzerland</v>
          </cell>
          <cell r="B16">
            <v>1</v>
          </cell>
        </row>
        <row r="17">
          <cell r="A17" t="str">
            <v>Japan</v>
          </cell>
          <cell r="B17">
            <v>0.99</v>
          </cell>
          <cell r="C17">
            <v>0.01</v>
          </cell>
        </row>
        <row r="18">
          <cell r="A18" t="str">
            <v>Iraq</v>
          </cell>
          <cell r="B18">
            <v>1</v>
          </cell>
        </row>
        <row r="19">
          <cell r="A19" t="str">
            <v>Denmark</v>
          </cell>
          <cell r="B19">
            <v>1</v>
          </cell>
        </row>
        <row r="20">
          <cell r="A20" t="str">
            <v>Malaysia</v>
          </cell>
        </row>
        <row r="21">
          <cell r="A21" t="str">
            <v>Germany</v>
          </cell>
          <cell r="B21">
            <v>0.88</v>
          </cell>
          <cell r="C21">
            <v>0.12</v>
          </cell>
        </row>
        <row r="22">
          <cell r="A22" t="str">
            <v>Canada</v>
          </cell>
          <cell r="B22">
            <v>0.92</v>
          </cell>
          <cell r="C22">
            <v>0.08</v>
          </cell>
        </row>
        <row r="23">
          <cell r="A23" t="str">
            <v>Belgium</v>
          </cell>
          <cell r="B23">
            <v>1</v>
          </cell>
        </row>
        <row r="24">
          <cell r="A24" t="str">
            <v>Egypt</v>
          </cell>
          <cell r="B24">
            <v>1</v>
          </cell>
        </row>
        <row r="25">
          <cell r="A25" t="str">
            <v>Iran</v>
          </cell>
          <cell r="B25">
            <v>1</v>
          </cell>
        </row>
        <row r="26">
          <cell r="A26" t="str">
            <v>Ireland</v>
          </cell>
          <cell r="B26">
            <v>1</v>
          </cell>
        </row>
        <row r="27">
          <cell r="A27" t="str">
            <v>United States</v>
          </cell>
          <cell r="B27">
            <v>0.92</v>
          </cell>
          <cell r="C27">
            <v>0.08</v>
          </cell>
        </row>
        <row r="28">
          <cell r="A28" t="str">
            <v>Austria</v>
          </cell>
          <cell r="B28">
            <v>1</v>
          </cell>
        </row>
        <row r="29">
          <cell r="A29" t="str">
            <v>Hungary</v>
          </cell>
          <cell r="B29">
            <v>1</v>
          </cell>
        </row>
        <row r="30">
          <cell r="A30" t="str">
            <v>Australia</v>
          </cell>
          <cell r="B30">
            <v>0.9</v>
          </cell>
          <cell r="C30">
            <v>0.1</v>
          </cell>
        </row>
        <row r="31">
          <cell r="A31" t="str">
            <v>Czechia</v>
          </cell>
          <cell r="B31">
            <v>1</v>
          </cell>
        </row>
        <row r="32">
          <cell r="A32" t="str">
            <v>Sweden</v>
          </cell>
          <cell r="B32">
            <v>0.85</v>
          </cell>
          <cell r="C32">
            <v>0.15</v>
          </cell>
        </row>
        <row r="33">
          <cell r="A33" t="str">
            <v>Netherlands</v>
          </cell>
          <cell r="B33">
            <v>0.93</v>
          </cell>
          <cell r="C33">
            <v>7.0000000000000007E-2</v>
          </cell>
        </row>
        <row r="34">
          <cell r="A34" t="str">
            <v>New Zealand</v>
          </cell>
          <cell r="B34">
            <v>1</v>
          </cell>
        </row>
        <row r="35">
          <cell r="A35" t="str">
            <v>Algeria</v>
          </cell>
          <cell r="B35">
            <v>1</v>
          </cell>
        </row>
        <row r="36">
          <cell r="A36" t="str">
            <v>United Kingdom</v>
          </cell>
          <cell r="B36">
            <v>0.85</v>
          </cell>
          <cell r="C36">
            <v>0.15</v>
          </cell>
        </row>
        <row r="37">
          <cell r="A37" t="str">
            <v>Finland</v>
          </cell>
          <cell r="B37">
            <v>1</v>
          </cell>
        </row>
        <row r="38">
          <cell r="A38" t="str">
            <v>United Arab Emirates</v>
          </cell>
          <cell r="B38">
            <v>1</v>
          </cell>
        </row>
        <row r="39">
          <cell r="A39" t="str">
            <v>Norway</v>
          </cell>
          <cell r="B39">
            <v>1</v>
          </cell>
        </row>
        <row r="40">
          <cell r="A40" t="str">
            <v>South Africa</v>
          </cell>
          <cell r="B40">
            <v>1</v>
          </cell>
        </row>
        <row r="41">
          <cell r="A41" t="str">
            <v>Romania</v>
          </cell>
          <cell r="B41">
            <v>1</v>
          </cell>
        </row>
        <row r="42">
          <cell r="A42" t="str">
            <v>Turkey</v>
          </cell>
          <cell r="B42">
            <v>0.94</v>
          </cell>
          <cell r="C42">
            <v>0.06</v>
          </cell>
        </row>
        <row r="43">
          <cell r="A43" t="str">
            <v>Philippines</v>
          </cell>
          <cell r="B43">
            <v>0.81</v>
          </cell>
          <cell r="C43">
            <v>0.19</v>
          </cell>
        </row>
        <row r="44">
          <cell r="A44" t="str">
            <v>Ghana</v>
          </cell>
        </row>
        <row r="45">
          <cell r="A45" t="str">
            <v>Thailand</v>
          </cell>
          <cell r="B45">
            <v>1</v>
          </cell>
        </row>
        <row r="46">
          <cell r="A46" t="str">
            <v>Morocco</v>
          </cell>
          <cell r="B46">
            <v>1</v>
          </cell>
        </row>
        <row r="47">
          <cell r="A47" t="str">
            <v>Vietnam</v>
          </cell>
          <cell r="B47">
            <v>1</v>
          </cell>
        </row>
        <row r="48">
          <cell r="A48" t="str">
            <v>Indonesia</v>
          </cell>
          <cell r="B48">
            <v>1</v>
          </cell>
        </row>
        <row r="49">
          <cell r="A49" t="str">
            <v>Poland</v>
          </cell>
          <cell r="B49">
            <v>0.96</v>
          </cell>
          <cell r="C49">
            <v>0.04</v>
          </cell>
        </row>
        <row r="50">
          <cell r="A50" t="str">
            <v>France</v>
          </cell>
          <cell r="B50">
            <v>0.82</v>
          </cell>
          <cell r="C50">
            <v>0.18</v>
          </cell>
        </row>
        <row r="51">
          <cell r="A51" t="str">
            <v>Russia</v>
          </cell>
          <cell r="B51">
            <v>0.86</v>
          </cell>
          <cell r="C51">
            <v>0.14000000000000001</v>
          </cell>
        </row>
        <row r="52">
          <cell r="A52" t="str">
            <v>Portugal</v>
          </cell>
          <cell r="B52">
            <v>1</v>
          </cell>
        </row>
        <row r="53">
          <cell r="A53" t="str">
            <v>Spain</v>
          </cell>
          <cell r="B53">
            <v>0.89</v>
          </cell>
          <cell r="C53">
            <v>0.11</v>
          </cell>
        </row>
        <row r="54">
          <cell r="A54" t="str">
            <v>Ukraine</v>
          </cell>
          <cell r="B54">
            <v>1</v>
          </cell>
        </row>
        <row r="55">
          <cell r="A55" t="str">
            <v>Mexico</v>
          </cell>
          <cell r="B55">
            <v>1</v>
          </cell>
        </row>
        <row r="56">
          <cell r="A56" t="str">
            <v>Italy</v>
          </cell>
          <cell r="B56">
            <v>0.81</v>
          </cell>
          <cell r="C56">
            <v>0.19</v>
          </cell>
        </row>
        <row r="57">
          <cell r="A57" t="str">
            <v>Colombia</v>
          </cell>
          <cell r="B57">
            <v>1</v>
          </cell>
        </row>
        <row r="58">
          <cell r="A58" t="str">
            <v>Brazil</v>
          </cell>
          <cell r="B58">
            <v>0.92</v>
          </cell>
          <cell r="C58">
            <v>0.08</v>
          </cell>
        </row>
        <row r="59">
          <cell r="A59" t="str">
            <v>Greece</v>
          </cell>
          <cell r="B59">
            <v>1</v>
          </cell>
        </row>
        <row r="60">
          <cell r="A60" t="str">
            <v>Saudi Arabia</v>
          </cell>
          <cell r="B60">
            <v>1</v>
          </cell>
        </row>
        <row r="61">
          <cell r="A61" t="str">
            <v>Andorra</v>
          </cell>
        </row>
        <row r="62">
          <cell r="A62" t="str">
            <v>French Guiana</v>
          </cell>
        </row>
        <row r="63">
          <cell r="A63" t="str">
            <v>French Polynesia</v>
          </cell>
        </row>
        <row r="64">
          <cell r="A64" t="str">
            <v>Botswana</v>
          </cell>
        </row>
        <row r="65">
          <cell r="A65" t="str">
            <v>Jersey</v>
          </cell>
        </row>
        <row r="66">
          <cell r="A66" t="str">
            <v>Benin</v>
          </cell>
        </row>
        <row r="67">
          <cell r="A67" t="str">
            <v>Macao</v>
          </cell>
        </row>
        <row r="68">
          <cell r="A68" t="str">
            <v>Rwanda</v>
          </cell>
        </row>
        <row r="69">
          <cell r="A69" t="str">
            <v>Malta</v>
          </cell>
        </row>
        <row r="70">
          <cell r="A70" t="str">
            <v>Brunei</v>
          </cell>
        </row>
        <row r="71">
          <cell r="A71" t="str">
            <v>Myanmar (Burma)</v>
          </cell>
        </row>
        <row r="72">
          <cell r="A72" t="str">
            <v>Palestine</v>
          </cell>
        </row>
        <row r="73">
          <cell r="A73" t="str">
            <v>Ethiopia</v>
          </cell>
        </row>
        <row r="74">
          <cell r="A74" t="str">
            <v>Iceland</v>
          </cell>
        </row>
        <row r="75">
          <cell r="A75" t="str">
            <v>Mongolia</v>
          </cell>
        </row>
        <row r="76">
          <cell r="A76" t="str">
            <v>Kosovo</v>
          </cell>
        </row>
        <row r="77">
          <cell r="A77" t="str">
            <v>Zimbabwe</v>
          </cell>
        </row>
        <row r="78">
          <cell r="A78" t="str">
            <v>Yemen</v>
          </cell>
        </row>
        <row r="79">
          <cell r="A79" t="str">
            <v>Mauritius</v>
          </cell>
        </row>
        <row r="80">
          <cell r="A80" t="str">
            <v>Nepal</v>
          </cell>
        </row>
        <row r="81">
          <cell r="A81" t="str">
            <v>Congo - Kinshasa</v>
          </cell>
        </row>
        <row r="82">
          <cell r="A82" t="str">
            <v>Slovenia</v>
          </cell>
        </row>
        <row r="83">
          <cell r="A83" t="str">
            <v>Syria</v>
          </cell>
        </row>
        <row r="84">
          <cell r="A84" t="str">
            <v>Lebanon</v>
          </cell>
        </row>
        <row r="85">
          <cell r="A85" t="str">
            <v>Trinidad &amp; Tobago</v>
          </cell>
        </row>
        <row r="86">
          <cell r="A86" t="str">
            <v>Libya</v>
          </cell>
        </row>
        <row r="87">
          <cell r="A87" t="str">
            <v>Qatar</v>
          </cell>
        </row>
        <row r="88">
          <cell r="A88" t="str">
            <v>Jamaica</v>
          </cell>
        </row>
        <row r="89">
          <cell r="A89" t="str">
            <v>Nicaragua</v>
          </cell>
        </row>
        <row r="90">
          <cell r="A90" t="str">
            <v>Uganda</v>
          </cell>
        </row>
        <row r="91">
          <cell r="A91" t="str">
            <v>North Macedonia</v>
          </cell>
        </row>
        <row r="92">
          <cell r="A92" t="str">
            <v>Albania</v>
          </cell>
        </row>
        <row r="93">
          <cell r="A93" t="str">
            <v>CÃ´te dâ€™Ivoire</v>
          </cell>
        </row>
        <row r="94">
          <cell r="A94" t="str">
            <v>Slovakia</v>
          </cell>
        </row>
        <row r="95">
          <cell r="A95" t="str">
            <v>Sudan</v>
          </cell>
        </row>
        <row r="96">
          <cell r="A96" t="str">
            <v>Oman</v>
          </cell>
        </row>
        <row r="97">
          <cell r="A97" t="str">
            <v>Cyprus</v>
          </cell>
        </row>
        <row r="98">
          <cell r="A98" t="str">
            <v>Estonia</v>
          </cell>
        </row>
        <row r="99">
          <cell r="A99" t="str">
            <v>Honduras</v>
          </cell>
        </row>
        <row r="100">
          <cell r="A100" t="str">
            <v>Kyrgyzstan</v>
          </cell>
        </row>
        <row r="101">
          <cell r="A101" t="str">
            <v>Moldova</v>
          </cell>
        </row>
        <row r="102">
          <cell r="A102" t="str">
            <v>Serbia</v>
          </cell>
        </row>
        <row r="103">
          <cell r="A103" t="str">
            <v>Kenya</v>
          </cell>
        </row>
        <row r="104">
          <cell r="A104" t="str">
            <v>Lithuania</v>
          </cell>
        </row>
        <row r="105">
          <cell r="A105" t="str">
            <v>Georgia</v>
          </cell>
        </row>
        <row r="106">
          <cell r="A106" t="str">
            <v>Latvia</v>
          </cell>
        </row>
        <row r="107">
          <cell r="A107" t="str">
            <v>Costa Rica</v>
          </cell>
        </row>
        <row r="108">
          <cell r="A108" t="str">
            <v>Jordan</v>
          </cell>
        </row>
        <row r="109">
          <cell r="A109" t="str">
            <v>Kuwait</v>
          </cell>
        </row>
        <row r="110">
          <cell r="A110" t="str">
            <v>Bulgaria</v>
          </cell>
        </row>
        <row r="111">
          <cell r="A111" t="str">
            <v>Croatia</v>
          </cell>
        </row>
        <row r="112">
          <cell r="A112" t="str">
            <v>Belarus</v>
          </cell>
        </row>
        <row r="113">
          <cell r="A113" t="str">
            <v>Nigeria</v>
          </cell>
        </row>
        <row r="114">
          <cell r="A114" t="str">
            <v>Peru</v>
          </cell>
        </row>
        <row r="115">
          <cell r="A115" t="str">
            <v>Ecuador</v>
          </cell>
        </row>
        <row r="116">
          <cell r="A116" t="str">
            <v>Bolivia</v>
          </cell>
        </row>
        <row r="117">
          <cell r="A117" t="str">
            <v>Chile</v>
          </cell>
        </row>
        <row r="118">
          <cell r="A118" t="str">
            <v>Kazakhstan</v>
          </cell>
        </row>
        <row r="119">
          <cell r="A119" t="str">
            <v>Argentina</v>
          </cell>
        </row>
        <row r="120">
          <cell r="A120" t="str">
            <v>Venezuela</v>
          </cell>
        </row>
        <row r="121">
          <cell r="A121" t="str">
            <v>Aruba</v>
          </cell>
        </row>
        <row r="122">
          <cell r="A122" t="str">
            <v>Afghanistan</v>
          </cell>
        </row>
        <row r="123">
          <cell r="A123" t="str">
            <v>Angola</v>
          </cell>
        </row>
        <row r="124">
          <cell r="A124" t="str">
            <v>Anguilla</v>
          </cell>
        </row>
        <row r="125">
          <cell r="A125" t="str">
            <v>Ã…land Islands</v>
          </cell>
        </row>
        <row r="126">
          <cell r="A126" t="str">
            <v>Armenia</v>
          </cell>
        </row>
        <row r="127">
          <cell r="A127" t="str">
            <v>American Samoa</v>
          </cell>
        </row>
        <row r="128">
          <cell r="A128" t="str">
            <v>Antarctica</v>
          </cell>
        </row>
        <row r="129">
          <cell r="A129" t="str">
            <v>French Southern Territories</v>
          </cell>
        </row>
        <row r="130">
          <cell r="A130" t="str">
            <v>Antigua &amp; Barbuda</v>
          </cell>
        </row>
        <row r="131">
          <cell r="A131" t="str">
            <v>Azerbaijan</v>
          </cell>
        </row>
        <row r="132">
          <cell r="A132" t="str">
            <v>Burundi</v>
          </cell>
        </row>
        <row r="133">
          <cell r="A133" t="str">
            <v>Caribbean Netherlands</v>
          </cell>
        </row>
        <row r="134">
          <cell r="A134" t="str">
            <v>Burkina Faso</v>
          </cell>
        </row>
        <row r="135">
          <cell r="A135" t="str">
            <v>Bahrain</v>
          </cell>
        </row>
        <row r="136">
          <cell r="A136" t="str">
            <v>Bahamas</v>
          </cell>
        </row>
        <row r="137">
          <cell r="A137" t="str">
            <v>Bosnia &amp; Herzegovina</v>
          </cell>
        </row>
        <row r="138">
          <cell r="A138" t="str">
            <v>St. BarthÃ©lemy</v>
          </cell>
        </row>
        <row r="139">
          <cell r="A139" t="str">
            <v>Belize</v>
          </cell>
        </row>
        <row r="140">
          <cell r="A140" t="str">
            <v>Bermuda</v>
          </cell>
        </row>
        <row r="141">
          <cell r="A141" t="str">
            <v>Barbados</v>
          </cell>
        </row>
        <row r="142">
          <cell r="A142" t="str">
            <v>Bhutan</v>
          </cell>
        </row>
        <row r="143">
          <cell r="A143" t="str">
            <v>Bouvet Island</v>
          </cell>
        </row>
        <row r="144">
          <cell r="A144" t="str">
            <v>Central African Republic</v>
          </cell>
        </row>
        <row r="145">
          <cell r="A145" t="str">
            <v>Cocos (Keeling) Islands</v>
          </cell>
        </row>
        <row r="146">
          <cell r="A146" t="str">
            <v>Cameroon</v>
          </cell>
        </row>
        <row r="147">
          <cell r="A147" t="str">
            <v>Congo - Brazzaville</v>
          </cell>
        </row>
        <row r="148">
          <cell r="A148" t="str">
            <v>Cook Islands</v>
          </cell>
        </row>
        <row r="149">
          <cell r="A149" t="str">
            <v>Comoros</v>
          </cell>
        </row>
        <row r="150">
          <cell r="A150" t="str">
            <v>Cape Verde</v>
          </cell>
        </row>
        <row r="151">
          <cell r="A151" t="str">
            <v>Cuba</v>
          </cell>
        </row>
        <row r="152">
          <cell r="A152" t="str">
            <v>CuraÃ§ao</v>
          </cell>
        </row>
        <row r="153">
          <cell r="A153" t="str">
            <v>Christmas Island</v>
          </cell>
        </row>
        <row r="154">
          <cell r="A154" t="str">
            <v>Cayman Islands</v>
          </cell>
        </row>
        <row r="155">
          <cell r="A155" t="str">
            <v>Djibouti</v>
          </cell>
        </row>
        <row r="156">
          <cell r="A156" t="str">
            <v>Dominica</v>
          </cell>
        </row>
        <row r="157">
          <cell r="A157" t="str">
            <v>Dominican Republic</v>
          </cell>
        </row>
        <row r="158">
          <cell r="A158" t="str">
            <v>Eritrea</v>
          </cell>
        </row>
        <row r="159">
          <cell r="A159" t="str">
            <v>Western Sahara</v>
          </cell>
        </row>
        <row r="160">
          <cell r="A160" t="str">
            <v>Fiji</v>
          </cell>
        </row>
        <row r="161">
          <cell r="A161" t="str">
            <v>Falkland Islands (Islas Malvinas)</v>
          </cell>
        </row>
        <row r="162">
          <cell r="A162" t="str">
            <v>Faroe Islands</v>
          </cell>
        </row>
        <row r="163">
          <cell r="A163" t="str">
            <v>Micronesia</v>
          </cell>
        </row>
        <row r="164">
          <cell r="A164" t="str">
            <v>Gabon</v>
          </cell>
        </row>
        <row r="165">
          <cell r="A165" t="str">
            <v>Guernsey</v>
          </cell>
        </row>
        <row r="166">
          <cell r="A166" t="str">
            <v>Gibraltar</v>
          </cell>
        </row>
        <row r="167">
          <cell r="A167" t="str">
            <v>Guinea</v>
          </cell>
        </row>
        <row r="168">
          <cell r="A168" t="str">
            <v>Guadeloupe</v>
          </cell>
        </row>
        <row r="169">
          <cell r="A169" t="str">
            <v>Gambia</v>
          </cell>
        </row>
        <row r="170">
          <cell r="A170" t="str">
            <v>Guinea-Bissau</v>
          </cell>
        </row>
        <row r="171">
          <cell r="A171" t="str">
            <v>Equatorial Guinea</v>
          </cell>
        </row>
        <row r="172">
          <cell r="A172" t="str">
            <v>Grenada</v>
          </cell>
        </row>
        <row r="173">
          <cell r="A173" t="str">
            <v>Greenland</v>
          </cell>
        </row>
        <row r="174">
          <cell r="A174" t="str">
            <v>Guatemala</v>
          </cell>
        </row>
        <row r="175">
          <cell r="A175" t="str">
            <v>Guam</v>
          </cell>
        </row>
        <row r="176">
          <cell r="A176" t="str">
            <v>Guyana</v>
          </cell>
        </row>
        <row r="177">
          <cell r="A177" t="str">
            <v>Heard &amp; McDonald Islands</v>
          </cell>
        </row>
        <row r="178">
          <cell r="A178" t="str">
            <v>Haiti</v>
          </cell>
        </row>
        <row r="179">
          <cell r="A179" t="str">
            <v>Isle of Man</v>
          </cell>
        </row>
        <row r="180">
          <cell r="A180" t="str">
            <v>British Indian Ocean Territory</v>
          </cell>
        </row>
        <row r="181">
          <cell r="A181" t="str">
            <v>Cambodia</v>
          </cell>
        </row>
        <row r="182">
          <cell r="A182" t="str">
            <v>Kiribati</v>
          </cell>
        </row>
        <row r="183">
          <cell r="A183" t="str">
            <v>St. Kitts &amp; Nevis</v>
          </cell>
        </row>
        <row r="184">
          <cell r="A184" t="str">
            <v>Laos</v>
          </cell>
        </row>
        <row r="185">
          <cell r="A185" t="str">
            <v>Liberia</v>
          </cell>
        </row>
        <row r="186">
          <cell r="A186" t="str">
            <v>St. Lucia</v>
          </cell>
        </row>
        <row r="187">
          <cell r="A187" t="str">
            <v>Liechtenstein</v>
          </cell>
        </row>
        <row r="188">
          <cell r="A188" t="str">
            <v>Lesotho</v>
          </cell>
        </row>
        <row r="189">
          <cell r="A189" t="str">
            <v>Luxembourg</v>
          </cell>
        </row>
        <row r="190">
          <cell r="A190" t="str">
            <v>St. Martin</v>
          </cell>
        </row>
        <row r="191">
          <cell r="A191" t="str">
            <v>Monaco</v>
          </cell>
        </row>
        <row r="192">
          <cell r="A192" t="str">
            <v>Madagascar</v>
          </cell>
        </row>
        <row r="193">
          <cell r="A193" t="str">
            <v>Maldives</v>
          </cell>
        </row>
        <row r="194">
          <cell r="A194" t="str">
            <v>Marshall Islands</v>
          </cell>
        </row>
        <row r="195">
          <cell r="A195" t="str">
            <v>Mali</v>
          </cell>
        </row>
        <row r="196">
          <cell r="A196" t="str">
            <v>Montenegro</v>
          </cell>
        </row>
        <row r="197">
          <cell r="A197" t="str">
            <v>Northern Mariana Islands</v>
          </cell>
        </row>
        <row r="198">
          <cell r="A198" t="str">
            <v>Mozambique</v>
          </cell>
        </row>
        <row r="199">
          <cell r="A199" t="str">
            <v>Mauritania</v>
          </cell>
        </row>
        <row r="200">
          <cell r="A200" t="str">
            <v>Montserrat</v>
          </cell>
        </row>
        <row r="201">
          <cell r="A201" t="str">
            <v>Martinique</v>
          </cell>
        </row>
        <row r="202">
          <cell r="A202" t="str">
            <v>Malawi</v>
          </cell>
        </row>
        <row r="203">
          <cell r="A203" t="str">
            <v>Mayotte</v>
          </cell>
        </row>
        <row r="204">
          <cell r="A204" t="str">
            <v>Namibia</v>
          </cell>
        </row>
        <row r="205">
          <cell r="A205" t="str">
            <v>New Caledonia</v>
          </cell>
        </row>
        <row r="206">
          <cell r="A206" t="str">
            <v>Niger</v>
          </cell>
        </row>
        <row r="207">
          <cell r="A207" t="str">
            <v>Norfolk Island</v>
          </cell>
        </row>
        <row r="208">
          <cell r="A208" t="str">
            <v>Niue</v>
          </cell>
        </row>
        <row r="209">
          <cell r="A209" t="str">
            <v>Nauru</v>
          </cell>
        </row>
        <row r="210">
          <cell r="A210" t="str">
            <v>Panama</v>
          </cell>
        </row>
        <row r="211">
          <cell r="A211" t="str">
            <v>Pitcairn Islands</v>
          </cell>
        </row>
        <row r="212">
          <cell r="A212" t="str">
            <v>Palau</v>
          </cell>
        </row>
        <row r="213">
          <cell r="A213" t="str">
            <v>Papua New Guinea</v>
          </cell>
        </row>
        <row r="214">
          <cell r="A214" t="str">
            <v>Puerto Rico</v>
          </cell>
        </row>
        <row r="215">
          <cell r="A215" t="str">
            <v>North Korea</v>
          </cell>
        </row>
        <row r="216">
          <cell r="A216" t="str">
            <v>Paraguay</v>
          </cell>
        </row>
        <row r="217">
          <cell r="A217" t="str">
            <v>RÃ©union</v>
          </cell>
        </row>
        <row r="218">
          <cell r="A218" t="str">
            <v>Senegal</v>
          </cell>
        </row>
        <row r="219">
          <cell r="A219" t="str">
            <v>South Georgia &amp; South Sandwich Islands</v>
          </cell>
        </row>
        <row r="220">
          <cell r="A220" t="str">
            <v>Svalbard &amp; Jan Mayen</v>
          </cell>
        </row>
        <row r="221">
          <cell r="A221" t="str">
            <v>Solomon Islands</v>
          </cell>
        </row>
        <row r="222">
          <cell r="A222" t="str">
            <v>Sierra Leone</v>
          </cell>
        </row>
        <row r="223">
          <cell r="A223" t="str">
            <v>El Salvador</v>
          </cell>
        </row>
        <row r="224">
          <cell r="A224" t="str">
            <v>San Marino</v>
          </cell>
        </row>
        <row r="225">
          <cell r="A225" t="str">
            <v>Somalia</v>
          </cell>
        </row>
        <row r="226">
          <cell r="A226" t="str">
            <v>St. Pierre &amp; Miquelon</v>
          </cell>
        </row>
        <row r="227">
          <cell r="A227" t="str">
            <v>South Sudan</v>
          </cell>
        </row>
        <row r="228">
          <cell r="A228" t="str">
            <v>SÃ£o TomÃ© &amp; PrÃ­ncipe</v>
          </cell>
        </row>
        <row r="229">
          <cell r="A229" t="str">
            <v>Suriname</v>
          </cell>
        </row>
        <row r="230">
          <cell r="A230" t="str">
            <v>Eswatini</v>
          </cell>
        </row>
        <row r="231">
          <cell r="A231" t="str">
            <v>Sint Maarten</v>
          </cell>
        </row>
        <row r="232">
          <cell r="A232" t="str">
            <v>Seychelles</v>
          </cell>
        </row>
        <row r="233">
          <cell r="A233" t="str">
            <v>Turks &amp; Caicos Islands</v>
          </cell>
        </row>
        <row r="234">
          <cell r="A234" t="str">
            <v>Chad</v>
          </cell>
        </row>
        <row r="235">
          <cell r="A235" t="str">
            <v>Togo</v>
          </cell>
        </row>
        <row r="236">
          <cell r="A236" t="str">
            <v>Tajikistan</v>
          </cell>
        </row>
        <row r="237">
          <cell r="A237" t="str">
            <v>Tokelau</v>
          </cell>
        </row>
        <row r="238">
          <cell r="A238" t="str">
            <v>Turkmenistan</v>
          </cell>
        </row>
        <row r="239">
          <cell r="A239" t="str">
            <v>Timor-Leste</v>
          </cell>
        </row>
        <row r="240">
          <cell r="A240" t="str">
            <v>Tonga</v>
          </cell>
        </row>
        <row r="241">
          <cell r="A241" t="str">
            <v>Tuvalu</v>
          </cell>
        </row>
        <row r="242">
          <cell r="A242" t="str">
            <v>Tanzania</v>
          </cell>
        </row>
        <row r="243">
          <cell r="A243" t="str">
            <v>U.S. Outlying Islands</v>
          </cell>
        </row>
        <row r="244">
          <cell r="A244" t="str">
            <v>Uruguay</v>
          </cell>
        </row>
        <row r="245">
          <cell r="A245" t="str">
            <v>Uzbekistan</v>
          </cell>
        </row>
        <row r="246">
          <cell r="A246" t="str">
            <v>Vatican City</v>
          </cell>
        </row>
        <row r="247">
          <cell r="A247" t="str">
            <v>St. Vincent &amp; Grenadines</v>
          </cell>
        </row>
        <row r="248">
          <cell r="A248" t="str">
            <v>British Virgin Islands</v>
          </cell>
        </row>
        <row r="249">
          <cell r="A249" t="str">
            <v>U.S. Virgin Islands</v>
          </cell>
        </row>
        <row r="250">
          <cell r="A250" t="str">
            <v>Vanuatu</v>
          </cell>
        </row>
        <row r="251">
          <cell r="A251" t="str">
            <v>Wallis &amp; Futuna</v>
          </cell>
        </row>
        <row r="252">
          <cell r="A252" t="str">
            <v>Samoa</v>
          </cell>
        </row>
        <row r="253">
          <cell r="A253" t="str">
            <v>Zambia</v>
          </cell>
        </row>
      </sheetData>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50)"/>
    </sheetNames>
    <sheetDataSet>
      <sheetData sheetId="0" refreshError="1">
        <row r="1">
          <cell r="A1" t="str">
            <v>Category: All categories</v>
          </cell>
        </row>
        <row r="3">
          <cell r="A3" t="str">
            <v>Country</v>
          </cell>
          <cell r="B3" t="str">
            <v>Mutual exclusion: (2018)</v>
          </cell>
          <cell r="C3" t="str">
            <v>Matrix completion: (2018)</v>
          </cell>
        </row>
        <row r="4">
          <cell r="A4" t="str">
            <v>China</v>
          </cell>
          <cell r="B4">
            <v>0.87</v>
          </cell>
          <cell r="C4">
            <v>0.13</v>
          </cell>
        </row>
        <row r="5">
          <cell r="A5" t="str">
            <v>Botswana</v>
          </cell>
        </row>
        <row r="6">
          <cell r="A6" t="str">
            <v>Taiwan</v>
          </cell>
          <cell r="B6">
            <v>1</v>
          </cell>
        </row>
        <row r="7">
          <cell r="A7" t="str">
            <v>Israel</v>
          </cell>
          <cell r="B7">
            <v>1</v>
          </cell>
        </row>
        <row r="8">
          <cell r="A8" t="str">
            <v>Japan</v>
          </cell>
          <cell r="B8">
            <v>0.99</v>
          </cell>
          <cell r="C8">
            <v>0.01</v>
          </cell>
        </row>
        <row r="9">
          <cell r="A9" t="str">
            <v>Czechia</v>
          </cell>
          <cell r="B9">
            <v>1</v>
          </cell>
        </row>
        <row r="10">
          <cell r="A10" t="str">
            <v>Belarus</v>
          </cell>
          <cell r="B10">
            <v>1</v>
          </cell>
        </row>
        <row r="11">
          <cell r="A11" t="str">
            <v>Zimbabwe</v>
          </cell>
        </row>
        <row r="12">
          <cell r="A12" t="str">
            <v>Russia</v>
          </cell>
          <cell r="B12">
            <v>1</v>
          </cell>
        </row>
        <row r="13">
          <cell r="A13" t="str">
            <v>Kenya</v>
          </cell>
          <cell r="B13">
            <v>1</v>
          </cell>
        </row>
        <row r="14">
          <cell r="A14" t="str">
            <v>Austria</v>
          </cell>
          <cell r="B14">
            <v>1</v>
          </cell>
        </row>
        <row r="15">
          <cell r="A15" t="str">
            <v>Germany</v>
          </cell>
          <cell r="B15">
            <v>1</v>
          </cell>
        </row>
        <row r="16">
          <cell r="A16" t="str">
            <v>Ethiopia</v>
          </cell>
        </row>
        <row r="17">
          <cell r="A17" t="str">
            <v>St. Helena</v>
          </cell>
        </row>
        <row r="18">
          <cell r="A18" t="str">
            <v>Finland</v>
          </cell>
          <cell r="B18">
            <v>1</v>
          </cell>
        </row>
        <row r="19">
          <cell r="A19" t="str">
            <v>Nepal</v>
          </cell>
        </row>
        <row r="20">
          <cell r="A20" t="str">
            <v>South Korea</v>
          </cell>
          <cell r="B20">
            <v>1</v>
          </cell>
        </row>
        <row r="21">
          <cell r="A21" t="str">
            <v>Norway</v>
          </cell>
          <cell r="B21">
            <v>1</v>
          </cell>
        </row>
        <row r="22">
          <cell r="A22" t="str">
            <v>Ukraine</v>
          </cell>
          <cell r="B22">
            <v>1</v>
          </cell>
        </row>
        <row r="23">
          <cell r="A23" t="str">
            <v>Sweden</v>
          </cell>
          <cell r="B23">
            <v>1</v>
          </cell>
        </row>
        <row r="24">
          <cell r="A24" t="str">
            <v>Portugal</v>
          </cell>
          <cell r="B24">
            <v>1</v>
          </cell>
        </row>
        <row r="25">
          <cell r="A25" t="str">
            <v>Poland</v>
          </cell>
          <cell r="B25">
            <v>1</v>
          </cell>
        </row>
        <row r="26">
          <cell r="A26" t="str">
            <v>Switzerland</v>
          </cell>
          <cell r="B26">
            <v>1</v>
          </cell>
        </row>
        <row r="27">
          <cell r="A27" t="str">
            <v>Tunisia</v>
          </cell>
          <cell r="B27">
            <v>1</v>
          </cell>
        </row>
        <row r="28">
          <cell r="A28" t="str">
            <v>Hungary</v>
          </cell>
          <cell r="B28">
            <v>1</v>
          </cell>
        </row>
        <row r="29">
          <cell r="A29" t="str">
            <v>India</v>
          </cell>
          <cell r="B29">
            <v>0.97</v>
          </cell>
          <cell r="C29">
            <v>0.03</v>
          </cell>
        </row>
        <row r="30">
          <cell r="A30" t="str">
            <v>Slovakia</v>
          </cell>
          <cell r="B30">
            <v>1</v>
          </cell>
        </row>
        <row r="31">
          <cell r="A31" t="str">
            <v>Algeria</v>
          </cell>
          <cell r="B31">
            <v>1</v>
          </cell>
        </row>
        <row r="32">
          <cell r="A32" t="str">
            <v>Pakistan</v>
          </cell>
          <cell r="B32">
            <v>1</v>
          </cell>
        </row>
        <row r="33">
          <cell r="A33" t="str">
            <v>Serbia</v>
          </cell>
          <cell r="B33">
            <v>1</v>
          </cell>
        </row>
        <row r="34">
          <cell r="A34" t="str">
            <v>Croatia</v>
          </cell>
          <cell r="B34">
            <v>1</v>
          </cell>
        </row>
        <row r="35">
          <cell r="A35" t="str">
            <v>Guatemala</v>
          </cell>
          <cell r="B35">
            <v>1</v>
          </cell>
        </row>
        <row r="36">
          <cell r="A36" t="str">
            <v>Italy</v>
          </cell>
          <cell r="B36">
            <v>1</v>
          </cell>
        </row>
        <row r="37">
          <cell r="A37" t="str">
            <v>Netherlands</v>
          </cell>
          <cell r="B37">
            <v>1</v>
          </cell>
        </row>
        <row r="38">
          <cell r="A38" t="str">
            <v>Hong Kong</v>
          </cell>
          <cell r="B38">
            <v>1</v>
          </cell>
        </row>
        <row r="39">
          <cell r="A39" t="str">
            <v>Sri Lanka</v>
          </cell>
        </row>
        <row r="40">
          <cell r="A40" t="str">
            <v>Lithuania</v>
          </cell>
          <cell r="B40">
            <v>1</v>
          </cell>
        </row>
        <row r="41">
          <cell r="A41" t="str">
            <v>Costa Rica</v>
          </cell>
        </row>
        <row r="42">
          <cell r="A42" t="str">
            <v>Singapore</v>
          </cell>
          <cell r="B42">
            <v>1</v>
          </cell>
        </row>
        <row r="43">
          <cell r="A43" t="str">
            <v>Spain</v>
          </cell>
          <cell r="B43">
            <v>1</v>
          </cell>
        </row>
        <row r="44">
          <cell r="A44" t="str">
            <v>Bulgaria</v>
          </cell>
          <cell r="B44">
            <v>1</v>
          </cell>
        </row>
        <row r="45">
          <cell r="A45" t="str">
            <v>Kazakhstan</v>
          </cell>
          <cell r="B45">
            <v>1</v>
          </cell>
        </row>
        <row r="46">
          <cell r="A46" t="str">
            <v>Bolivia</v>
          </cell>
        </row>
        <row r="47">
          <cell r="A47" t="str">
            <v>Ireland</v>
          </cell>
          <cell r="B47">
            <v>1</v>
          </cell>
        </row>
        <row r="48">
          <cell r="A48" t="str">
            <v>Belgium</v>
          </cell>
          <cell r="B48">
            <v>1</v>
          </cell>
        </row>
        <row r="49">
          <cell r="A49" t="str">
            <v>France</v>
          </cell>
          <cell r="B49">
            <v>0.94</v>
          </cell>
          <cell r="C49">
            <v>0.06</v>
          </cell>
        </row>
        <row r="50">
          <cell r="A50" t="str">
            <v>Nigeria</v>
          </cell>
          <cell r="B50">
            <v>1</v>
          </cell>
        </row>
        <row r="51">
          <cell r="A51" t="str">
            <v>Greece</v>
          </cell>
          <cell r="B51">
            <v>1</v>
          </cell>
        </row>
        <row r="52">
          <cell r="A52" t="str">
            <v>Morocco</v>
          </cell>
          <cell r="B52">
            <v>1</v>
          </cell>
        </row>
        <row r="53">
          <cell r="A53" t="str">
            <v>Mexico</v>
          </cell>
          <cell r="B53">
            <v>1</v>
          </cell>
        </row>
        <row r="54">
          <cell r="A54" t="str">
            <v>Vietnam</v>
          </cell>
          <cell r="B54">
            <v>1</v>
          </cell>
        </row>
        <row r="55">
          <cell r="A55" t="str">
            <v>Canada</v>
          </cell>
          <cell r="B55">
            <v>1</v>
          </cell>
        </row>
        <row r="56">
          <cell r="A56" t="str">
            <v>Argentina</v>
          </cell>
          <cell r="B56">
            <v>1</v>
          </cell>
        </row>
        <row r="57">
          <cell r="A57" t="str">
            <v>Bangladesh</v>
          </cell>
          <cell r="B57">
            <v>1</v>
          </cell>
        </row>
        <row r="58">
          <cell r="A58" t="str">
            <v>Brazil</v>
          </cell>
          <cell r="B58">
            <v>1</v>
          </cell>
        </row>
        <row r="59">
          <cell r="A59" t="str">
            <v>Romania</v>
          </cell>
        </row>
        <row r="60">
          <cell r="A60" t="str">
            <v>United States</v>
          </cell>
          <cell r="B60">
            <v>0.78</v>
          </cell>
          <cell r="C60">
            <v>0.22</v>
          </cell>
        </row>
        <row r="61">
          <cell r="A61" t="str">
            <v>Chile</v>
          </cell>
          <cell r="B61">
            <v>1</v>
          </cell>
        </row>
        <row r="62">
          <cell r="A62" t="str">
            <v>Australia</v>
          </cell>
          <cell r="B62">
            <v>1</v>
          </cell>
        </row>
        <row r="63">
          <cell r="A63" t="str">
            <v>Indonesia</v>
          </cell>
          <cell r="B63">
            <v>1</v>
          </cell>
        </row>
        <row r="64">
          <cell r="A64" t="str">
            <v>Peru</v>
          </cell>
          <cell r="B64">
            <v>1</v>
          </cell>
        </row>
        <row r="65">
          <cell r="A65" t="str">
            <v>Uruguay</v>
          </cell>
        </row>
        <row r="66">
          <cell r="A66" t="str">
            <v>New Zealand</v>
          </cell>
        </row>
        <row r="67">
          <cell r="A67" t="str">
            <v>Philippines</v>
          </cell>
          <cell r="B67">
            <v>1</v>
          </cell>
        </row>
        <row r="68">
          <cell r="A68" t="str">
            <v>Colombia</v>
          </cell>
          <cell r="B68">
            <v>1</v>
          </cell>
        </row>
        <row r="69">
          <cell r="A69" t="str">
            <v>Malaysia</v>
          </cell>
          <cell r="B69">
            <v>1</v>
          </cell>
        </row>
        <row r="70">
          <cell r="A70" t="str">
            <v>United Kingdom</v>
          </cell>
          <cell r="B70">
            <v>1</v>
          </cell>
        </row>
        <row r="71">
          <cell r="A71" t="str">
            <v>Iran</v>
          </cell>
          <cell r="B71">
            <v>1</v>
          </cell>
        </row>
        <row r="72">
          <cell r="A72" t="str">
            <v>United Arab Emirates</v>
          </cell>
        </row>
        <row r="73">
          <cell r="A73" t="str">
            <v>South Africa</v>
          </cell>
          <cell r="B73">
            <v>1</v>
          </cell>
        </row>
        <row r="74">
          <cell r="A74" t="str">
            <v>Saudi Arabia</v>
          </cell>
          <cell r="B74">
            <v>1</v>
          </cell>
        </row>
        <row r="75">
          <cell r="A75" t="str">
            <v>Egypt</v>
          </cell>
          <cell r="B75">
            <v>1</v>
          </cell>
        </row>
        <row r="76">
          <cell r="A76" t="str">
            <v>Thailand</v>
          </cell>
          <cell r="B76">
            <v>1</v>
          </cell>
        </row>
        <row r="77">
          <cell r="A77" t="str">
            <v>Denmark</v>
          </cell>
        </row>
        <row r="78">
          <cell r="A78" t="str">
            <v>Ecuador</v>
          </cell>
        </row>
        <row r="79">
          <cell r="A79" t="str">
            <v>Turkey</v>
          </cell>
          <cell r="B79">
            <v>1</v>
          </cell>
        </row>
        <row r="80">
          <cell r="A80" t="str">
            <v>Venezuela</v>
          </cell>
        </row>
        <row r="81">
          <cell r="A81" t="str">
            <v>Andorra</v>
          </cell>
        </row>
        <row r="82">
          <cell r="A82" t="str">
            <v>Cuba</v>
          </cell>
        </row>
        <row r="83">
          <cell r="A83" t="str">
            <v>Benin</v>
          </cell>
        </row>
        <row r="84">
          <cell r="A84" t="str">
            <v>Angola</v>
          </cell>
        </row>
        <row r="85">
          <cell r="A85" t="str">
            <v>Rwanda</v>
          </cell>
        </row>
        <row r="86">
          <cell r="A86" t="str">
            <v>Namibia</v>
          </cell>
        </row>
        <row r="87">
          <cell r="A87" t="str">
            <v>Mozambique</v>
          </cell>
        </row>
        <row r="88">
          <cell r="A88" t="str">
            <v>Madagascar</v>
          </cell>
        </row>
        <row r="89">
          <cell r="A89" t="str">
            <v>Burkina Faso</v>
          </cell>
        </row>
        <row r="90">
          <cell r="A90" t="str">
            <v>Congo - Kinshasa</v>
          </cell>
        </row>
        <row r="91">
          <cell r="A91" t="str">
            <v>Cameroon</v>
          </cell>
        </row>
        <row r="92">
          <cell r="A92" t="str">
            <v>Brunei</v>
          </cell>
        </row>
        <row r="93">
          <cell r="A93" t="str">
            <v>Armenia</v>
          </cell>
        </row>
        <row r="94">
          <cell r="A94" t="str">
            <v>Afghanistan</v>
          </cell>
        </row>
        <row r="95">
          <cell r="A95" t="str">
            <v>Tajikistan</v>
          </cell>
        </row>
        <row r="96">
          <cell r="A96" t="str">
            <v>Estonia</v>
          </cell>
        </row>
        <row r="97">
          <cell r="A97" t="str">
            <v>Myanmar (Burma)</v>
          </cell>
        </row>
        <row r="98">
          <cell r="A98" t="str">
            <v>Iceland</v>
          </cell>
        </row>
        <row r="99">
          <cell r="A99" t="str">
            <v>Montenegro</v>
          </cell>
        </row>
        <row r="100">
          <cell r="A100" t="str">
            <v>Libya</v>
          </cell>
        </row>
        <row r="101">
          <cell r="A101" t="str">
            <v>Latvia</v>
          </cell>
        </row>
        <row r="102">
          <cell r="A102" t="str">
            <v>Zambia</v>
          </cell>
        </row>
        <row r="103">
          <cell r="A103" t="str">
            <v>Moldova</v>
          </cell>
        </row>
        <row r="104">
          <cell r="A104" t="str">
            <v>Trinidad &amp; Tobago</v>
          </cell>
        </row>
        <row r="105">
          <cell r="A105" t="str">
            <v>Luxembourg</v>
          </cell>
        </row>
        <row r="106">
          <cell r="A106" t="str">
            <v>Jamaica</v>
          </cell>
        </row>
        <row r="107">
          <cell r="A107" t="str">
            <v>Palestine</v>
          </cell>
        </row>
        <row r="108">
          <cell r="A108" t="str">
            <v>Nicaragua</v>
          </cell>
        </row>
        <row r="109">
          <cell r="A109" t="str">
            <v>Uganda</v>
          </cell>
        </row>
        <row r="110">
          <cell r="A110" t="str">
            <v>Georgia</v>
          </cell>
        </row>
        <row r="111">
          <cell r="A111" t="str">
            <v>Azerbaijan</v>
          </cell>
        </row>
        <row r="112">
          <cell r="A112" t="str">
            <v>North Macedonia</v>
          </cell>
        </row>
        <row r="113">
          <cell r="A113" t="str">
            <v>Albania</v>
          </cell>
        </row>
        <row r="114">
          <cell r="A114" t="str">
            <v>Bosnia &amp; Herzegovina</v>
          </cell>
        </row>
        <row r="115">
          <cell r="A115" t="str">
            <v>Tanzania</v>
          </cell>
        </row>
        <row r="116">
          <cell r="A116" t="str">
            <v>Cyprus</v>
          </cell>
        </row>
        <row r="117">
          <cell r="A117" t="str">
            <v>El Salvador</v>
          </cell>
        </row>
        <row r="118">
          <cell r="A118" t="str">
            <v>Sudan</v>
          </cell>
        </row>
        <row r="119">
          <cell r="A119" t="str">
            <v>Oman</v>
          </cell>
        </row>
        <row r="120">
          <cell r="A120" t="str">
            <v>Paraguay</v>
          </cell>
        </row>
        <row r="121">
          <cell r="A121" t="str">
            <v>Slovenia</v>
          </cell>
        </row>
        <row r="122">
          <cell r="A122" t="str">
            <v>Honduras</v>
          </cell>
        </row>
        <row r="123">
          <cell r="A123" t="str">
            <v>Syria</v>
          </cell>
        </row>
        <row r="124">
          <cell r="A124" t="str">
            <v>Dominican Republic</v>
          </cell>
        </row>
        <row r="125">
          <cell r="A125" t="str">
            <v>Puerto Rico</v>
          </cell>
        </row>
        <row r="126">
          <cell r="A126" t="str">
            <v>Panama</v>
          </cell>
        </row>
        <row r="127">
          <cell r="A127" t="str">
            <v>Lebanon</v>
          </cell>
        </row>
        <row r="128">
          <cell r="A128" t="str">
            <v>Aruba</v>
          </cell>
        </row>
        <row r="129">
          <cell r="A129" t="str">
            <v>Anguilla</v>
          </cell>
        </row>
        <row r="130">
          <cell r="A130" t="str">
            <v>Ã…land Islands</v>
          </cell>
        </row>
        <row r="131">
          <cell r="A131" t="str">
            <v>American Samoa</v>
          </cell>
        </row>
        <row r="132">
          <cell r="A132" t="str">
            <v>Antarctica</v>
          </cell>
        </row>
        <row r="133">
          <cell r="A133" t="str">
            <v>French Southern Territories</v>
          </cell>
        </row>
        <row r="134">
          <cell r="A134" t="str">
            <v>Antigua &amp; Barbuda</v>
          </cell>
        </row>
        <row r="135">
          <cell r="A135" t="str">
            <v>Burundi</v>
          </cell>
        </row>
        <row r="136">
          <cell r="A136" t="str">
            <v>Caribbean Netherlands</v>
          </cell>
        </row>
        <row r="137">
          <cell r="A137" t="str">
            <v>Bahrain</v>
          </cell>
        </row>
        <row r="138">
          <cell r="A138" t="str">
            <v>Bahamas</v>
          </cell>
        </row>
        <row r="139">
          <cell r="A139" t="str">
            <v>St. BarthÃ©lemy</v>
          </cell>
        </row>
        <row r="140">
          <cell r="A140" t="str">
            <v>Belize</v>
          </cell>
        </row>
        <row r="141">
          <cell r="A141" t="str">
            <v>Bermuda</v>
          </cell>
        </row>
        <row r="142">
          <cell r="A142" t="str">
            <v>Barbados</v>
          </cell>
        </row>
        <row r="143">
          <cell r="A143" t="str">
            <v>Bhutan</v>
          </cell>
        </row>
        <row r="144">
          <cell r="A144" t="str">
            <v>Bouvet Island</v>
          </cell>
        </row>
        <row r="145">
          <cell r="A145" t="str">
            <v>Central African Republic</v>
          </cell>
        </row>
        <row r="146">
          <cell r="A146" t="str">
            <v>Cocos (Keeling) Islands</v>
          </cell>
        </row>
        <row r="147">
          <cell r="A147" t="str">
            <v>CÃ´te dâ€™Ivoire</v>
          </cell>
        </row>
        <row r="148">
          <cell r="A148" t="str">
            <v>Congo - Brazzaville</v>
          </cell>
        </row>
        <row r="149">
          <cell r="A149" t="str">
            <v>Cook Islands</v>
          </cell>
        </row>
        <row r="150">
          <cell r="A150" t="str">
            <v>Comoros</v>
          </cell>
        </row>
        <row r="151">
          <cell r="A151" t="str">
            <v>Cape Verde</v>
          </cell>
        </row>
        <row r="152">
          <cell r="A152" t="str">
            <v>CuraÃ§ao</v>
          </cell>
        </row>
        <row r="153">
          <cell r="A153" t="str">
            <v>Christmas Island</v>
          </cell>
        </row>
        <row r="154">
          <cell r="A154" t="str">
            <v>Cayman Islands</v>
          </cell>
        </row>
        <row r="155">
          <cell r="A155" t="str">
            <v>Djibouti</v>
          </cell>
        </row>
        <row r="156">
          <cell r="A156" t="str">
            <v>Dominica</v>
          </cell>
        </row>
        <row r="157">
          <cell r="A157" t="str">
            <v>Eritrea</v>
          </cell>
        </row>
        <row r="158">
          <cell r="A158" t="str">
            <v>Western Sahara</v>
          </cell>
        </row>
        <row r="159">
          <cell r="A159" t="str">
            <v>Fiji</v>
          </cell>
        </row>
        <row r="160">
          <cell r="A160" t="str">
            <v>Falkland Islands (Islas Malvinas)</v>
          </cell>
        </row>
        <row r="161">
          <cell r="A161" t="str">
            <v>Faroe Islands</v>
          </cell>
        </row>
        <row r="162">
          <cell r="A162" t="str">
            <v>Micronesia</v>
          </cell>
        </row>
        <row r="163">
          <cell r="A163" t="str">
            <v>Gabon</v>
          </cell>
        </row>
        <row r="164">
          <cell r="A164" t="str">
            <v>Guernsey</v>
          </cell>
        </row>
        <row r="165">
          <cell r="A165" t="str">
            <v>Ghana</v>
          </cell>
        </row>
        <row r="166">
          <cell r="A166" t="str">
            <v>Gibraltar</v>
          </cell>
        </row>
        <row r="167">
          <cell r="A167" t="str">
            <v>Guinea</v>
          </cell>
        </row>
        <row r="168">
          <cell r="A168" t="str">
            <v>Guadeloupe</v>
          </cell>
        </row>
        <row r="169">
          <cell r="A169" t="str">
            <v>Gambia</v>
          </cell>
        </row>
        <row r="170">
          <cell r="A170" t="str">
            <v>Guinea-Bissau</v>
          </cell>
        </row>
        <row r="171">
          <cell r="A171" t="str">
            <v>Equatorial Guinea</v>
          </cell>
        </row>
        <row r="172">
          <cell r="A172" t="str">
            <v>Grenada</v>
          </cell>
        </row>
        <row r="173">
          <cell r="A173" t="str">
            <v>Greenland</v>
          </cell>
        </row>
        <row r="174">
          <cell r="A174" t="str">
            <v>French Guiana</v>
          </cell>
        </row>
        <row r="175">
          <cell r="A175" t="str">
            <v>Guam</v>
          </cell>
        </row>
        <row r="176">
          <cell r="A176" t="str">
            <v>Guyana</v>
          </cell>
        </row>
        <row r="177">
          <cell r="A177" t="str">
            <v>Heard &amp; McDonald Islands</v>
          </cell>
        </row>
        <row r="178">
          <cell r="A178" t="str">
            <v>Haiti</v>
          </cell>
        </row>
        <row r="179">
          <cell r="A179" t="str">
            <v>Isle of Man</v>
          </cell>
        </row>
        <row r="180">
          <cell r="A180" t="str">
            <v>British Indian Ocean Territory</v>
          </cell>
        </row>
        <row r="181">
          <cell r="A181" t="str">
            <v>Iraq</v>
          </cell>
        </row>
        <row r="182">
          <cell r="A182" t="str">
            <v>Jersey</v>
          </cell>
        </row>
        <row r="183">
          <cell r="A183" t="str">
            <v>Jordan</v>
          </cell>
        </row>
        <row r="184">
          <cell r="A184" t="str">
            <v>Kyrgyzstan</v>
          </cell>
        </row>
        <row r="185">
          <cell r="A185" t="str">
            <v>Cambodia</v>
          </cell>
        </row>
        <row r="186">
          <cell r="A186" t="str">
            <v>Kiribati</v>
          </cell>
        </row>
        <row r="187">
          <cell r="A187" t="str">
            <v>St. Kitts &amp; Nevis</v>
          </cell>
        </row>
        <row r="188">
          <cell r="A188" t="str">
            <v>Kuwait</v>
          </cell>
        </row>
        <row r="189">
          <cell r="A189" t="str">
            <v>Laos</v>
          </cell>
        </row>
        <row r="190">
          <cell r="A190" t="str">
            <v>Liberia</v>
          </cell>
        </row>
        <row r="191">
          <cell r="A191" t="str">
            <v>St. Lucia</v>
          </cell>
        </row>
        <row r="192">
          <cell r="A192" t="str">
            <v>Liechtenstein</v>
          </cell>
        </row>
        <row r="193">
          <cell r="A193" t="str">
            <v>Lesotho</v>
          </cell>
        </row>
        <row r="194">
          <cell r="A194" t="str">
            <v>Macao</v>
          </cell>
        </row>
        <row r="195">
          <cell r="A195" t="str">
            <v>St. Martin</v>
          </cell>
        </row>
        <row r="196">
          <cell r="A196" t="str">
            <v>Monaco</v>
          </cell>
        </row>
        <row r="197">
          <cell r="A197" t="str">
            <v>Maldives</v>
          </cell>
        </row>
        <row r="198">
          <cell r="A198" t="str">
            <v>Marshall Islands</v>
          </cell>
        </row>
        <row r="199">
          <cell r="A199" t="str">
            <v>Mali</v>
          </cell>
        </row>
        <row r="200">
          <cell r="A200" t="str">
            <v>Malta</v>
          </cell>
        </row>
        <row r="201">
          <cell r="A201" t="str">
            <v>Mongolia</v>
          </cell>
        </row>
        <row r="202">
          <cell r="A202" t="str">
            <v>Northern Mariana Islands</v>
          </cell>
        </row>
        <row r="203">
          <cell r="A203" t="str">
            <v>Mauritania</v>
          </cell>
        </row>
        <row r="204">
          <cell r="A204" t="str">
            <v>Montserrat</v>
          </cell>
        </row>
        <row r="205">
          <cell r="A205" t="str">
            <v>Martinique</v>
          </cell>
        </row>
        <row r="206">
          <cell r="A206" t="str">
            <v>Mauritius</v>
          </cell>
        </row>
        <row r="207">
          <cell r="A207" t="str">
            <v>Malawi</v>
          </cell>
        </row>
        <row r="208">
          <cell r="A208" t="str">
            <v>Mayotte</v>
          </cell>
        </row>
        <row r="209">
          <cell r="A209" t="str">
            <v>New Caledonia</v>
          </cell>
        </row>
        <row r="210">
          <cell r="A210" t="str">
            <v>Niger</v>
          </cell>
        </row>
        <row r="211">
          <cell r="A211" t="str">
            <v>Norfolk Island</v>
          </cell>
        </row>
        <row r="212">
          <cell r="A212" t="str">
            <v>Niue</v>
          </cell>
        </row>
        <row r="213">
          <cell r="A213" t="str">
            <v>Nauru</v>
          </cell>
        </row>
        <row r="214">
          <cell r="A214" t="str">
            <v>Pitcairn Islands</v>
          </cell>
        </row>
        <row r="215">
          <cell r="A215" t="str">
            <v>Palau</v>
          </cell>
        </row>
        <row r="216">
          <cell r="A216" t="str">
            <v>Papua New Guinea</v>
          </cell>
        </row>
        <row r="217">
          <cell r="A217" t="str">
            <v>North Korea</v>
          </cell>
        </row>
        <row r="218">
          <cell r="A218" t="str">
            <v>French Polynesia</v>
          </cell>
        </row>
        <row r="219">
          <cell r="A219" t="str">
            <v>Qatar</v>
          </cell>
        </row>
        <row r="220">
          <cell r="A220" t="str">
            <v>RÃ©union</v>
          </cell>
        </row>
        <row r="221">
          <cell r="A221" t="str">
            <v>Senegal</v>
          </cell>
        </row>
        <row r="222">
          <cell r="A222" t="str">
            <v>South Georgia &amp; South Sandwich Islands</v>
          </cell>
        </row>
        <row r="223">
          <cell r="A223" t="str">
            <v>Svalbard &amp; Jan Mayen</v>
          </cell>
        </row>
        <row r="224">
          <cell r="A224" t="str">
            <v>Solomon Islands</v>
          </cell>
        </row>
        <row r="225">
          <cell r="A225" t="str">
            <v>Sierra Leone</v>
          </cell>
        </row>
        <row r="226">
          <cell r="A226" t="str">
            <v>San Marino</v>
          </cell>
        </row>
        <row r="227">
          <cell r="A227" t="str">
            <v>Somalia</v>
          </cell>
        </row>
        <row r="228">
          <cell r="A228" t="str">
            <v>St. Pierre &amp; Miquelon</v>
          </cell>
        </row>
        <row r="229">
          <cell r="A229" t="str">
            <v>South Sudan</v>
          </cell>
        </row>
        <row r="230">
          <cell r="A230" t="str">
            <v>SÃ£o TomÃ© &amp; PrÃ­ncipe</v>
          </cell>
        </row>
        <row r="231">
          <cell r="A231" t="str">
            <v>Suriname</v>
          </cell>
        </row>
        <row r="232">
          <cell r="A232" t="str">
            <v>Eswatini</v>
          </cell>
        </row>
        <row r="233">
          <cell r="A233" t="str">
            <v>Sint Maarten</v>
          </cell>
        </row>
        <row r="234">
          <cell r="A234" t="str">
            <v>Seychelles</v>
          </cell>
        </row>
        <row r="235">
          <cell r="A235" t="str">
            <v>Turks &amp; Caicos Islands</v>
          </cell>
        </row>
        <row r="236">
          <cell r="A236" t="str">
            <v>Chad</v>
          </cell>
        </row>
        <row r="237">
          <cell r="A237" t="str">
            <v>Togo</v>
          </cell>
        </row>
        <row r="238">
          <cell r="A238" t="str">
            <v>Tokelau</v>
          </cell>
        </row>
        <row r="239">
          <cell r="A239" t="str">
            <v>Turkmenistan</v>
          </cell>
        </row>
        <row r="240">
          <cell r="A240" t="str">
            <v>Timor-Leste</v>
          </cell>
        </row>
        <row r="241">
          <cell r="A241" t="str">
            <v>Tonga</v>
          </cell>
        </row>
        <row r="242">
          <cell r="A242" t="str">
            <v>Tuvalu</v>
          </cell>
        </row>
        <row r="243">
          <cell r="A243" t="str">
            <v>U.S. Outlying Islands</v>
          </cell>
        </row>
        <row r="244">
          <cell r="A244" t="str">
            <v>Uzbekistan</v>
          </cell>
        </row>
        <row r="245">
          <cell r="A245" t="str">
            <v>Vatican City</v>
          </cell>
        </row>
        <row r="246">
          <cell r="A246" t="str">
            <v>St. Vincent &amp; Grenadines</v>
          </cell>
        </row>
        <row r="247">
          <cell r="A247" t="str">
            <v>British Virgin Islands</v>
          </cell>
        </row>
        <row r="248">
          <cell r="A248" t="str">
            <v>U.S. Virgin Islands</v>
          </cell>
        </row>
        <row r="249">
          <cell r="A249" t="str">
            <v>Vanuatu</v>
          </cell>
        </row>
        <row r="250">
          <cell r="A250" t="str">
            <v>Wallis &amp; Futuna</v>
          </cell>
        </row>
        <row r="251">
          <cell r="A251" t="str">
            <v>Samoa</v>
          </cell>
        </row>
        <row r="252">
          <cell r="A252" t="str">
            <v>Kosovo</v>
          </cell>
        </row>
        <row r="253">
          <cell r="A253" t="str">
            <v>Yemen</v>
          </cell>
        </row>
      </sheetData>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56)"/>
    </sheetNames>
    <sheetDataSet>
      <sheetData sheetId="0" refreshError="1">
        <row r="1">
          <cell r="A1" t="str">
            <v>Category: All categories</v>
          </cell>
        </row>
        <row r="3">
          <cell r="A3" t="str">
            <v>Country</v>
          </cell>
          <cell r="B3" t="str">
            <v>Mutual exclusion: (2018)</v>
          </cell>
          <cell r="C3" t="str">
            <v>Extendible hashing: (2018)</v>
          </cell>
        </row>
        <row r="4">
          <cell r="A4" t="str">
            <v>China</v>
          </cell>
          <cell r="B4">
            <v>1</v>
          </cell>
        </row>
        <row r="5">
          <cell r="A5" t="str">
            <v>Botswana</v>
          </cell>
        </row>
        <row r="6">
          <cell r="A6" t="str">
            <v>Israel</v>
          </cell>
          <cell r="B6">
            <v>1</v>
          </cell>
        </row>
        <row r="7">
          <cell r="A7" t="str">
            <v>Taiwan</v>
          </cell>
          <cell r="B7">
            <v>1</v>
          </cell>
        </row>
        <row r="8">
          <cell r="A8" t="str">
            <v>Japan</v>
          </cell>
          <cell r="B8">
            <v>1</v>
          </cell>
        </row>
        <row r="9">
          <cell r="A9" t="str">
            <v>Belarus</v>
          </cell>
          <cell r="B9">
            <v>1</v>
          </cell>
        </row>
        <row r="10">
          <cell r="A10" t="str">
            <v>Zimbabwe</v>
          </cell>
        </row>
        <row r="11">
          <cell r="A11" t="str">
            <v>Nepal</v>
          </cell>
          <cell r="B11">
            <v>1</v>
          </cell>
        </row>
        <row r="12">
          <cell r="A12" t="str">
            <v>Czechia</v>
          </cell>
          <cell r="B12">
            <v>1</v>
          </cell>
        </row>
        <row r="13">
          <cell r="A13" t="str">
            <v>Ethiopia</v>
          </cell>
        </row>
        <row r="14">
          <cell r="A14" t="str">
            <v>Kenya</v>
          </cell>
          <cell r="B14">
            <v>1</v>
          </cell>
        </row>
        <row r="15">
          <cell r="A15" t="str">
            <v>Russia</v>
          </cell>
          <cell r="B15">
            <v>1</v>
          </cell>
        </row>
        <row r="16">
          <cell r="A16" t="str">
            <v>Germany</v>
          </cell>
          <cell r="B16">
            <v>1</v>
          </cell>
        </row>
        <row r="17">
          <cell r="A17" t="str">
            <v>Austria</v>
          </cell>
          <cell r="B17">
            <v>1</v>
          </cell>
        </row>
        <row r="18">
          <cell r="A18" t="str">
            <v>Iceland</v>
          </cell>
        </row>
        <row r="19">
          <cell r="A19" t="str">
            <v>Norway</v>
          </cell>
          <cell r="B19">
            <v>0.94</v>
          </cell>
          <cell r="C19">
            <v>0.06</v>
          </cell>
        </row>
        <row r="20">
          <cell r="A20" t="str">
            <v>Finland</v>
          </cell>
          <cell r="B20">
            <v>1</v>
          </cell>
        </row>
        <row r="21">
          <cell r="A21" t="str">
            <v>Ukraine</v>
          </cell>
          <cell r="B21">
            <v>1</v>
          </cell>
        </row>
        <row r="22">
          <cell r="A22" t="str">
            <v>South Korea</v>
          </cell>
          <cell r="B22">
            <v>0.91</v>
          </cell>
          <cell r="C22">
            <v>0.09</v>
          </cell>
        </row>
        <row r="23">
          <cell r="A23" t="str">
            <v>Sweden</v>
          </cell>
          <cell r="B23">
            <v>1</v>
          </cell>
        </row>
        <row r="24">
          <cell r="A24" t="str">
            <v>Algeria</v>
          </cell>
          <cell r="B24">
            <v>1</v>
          </cell>
        </row>
        <row r="25">
          <cell r="A25" t="str">
            <v>St. Helena</v>
          </cell>
        </row>
        <row r="26">
          <cell r="A26" t="str">
            <v>Poland</v>
          </cell>
          <cell r="B26">
            <v>1</v>
          </cell>
        </row>
        <row r="27">
          <cell r="A27" t="str">
            <v>Switzerland</v>
          </cell>
          <cell r="B27">
            <v>1</v>
          </cell>
        </row>
        <row r="28">
          <cell r="A28" t="str">
            <v>India</v>
          </cell>
          <cell r="B28">
            <v>0.88</v>
          </cell>
          <cell r="C28">
            <v>0.12</v>
          </cell>
        </row>
        <row r="29">
          <cell r="A29" t="str">
            <v>Costa Rica</v>
          </cell>
          <cell r="B29">
            <v>1</v>
          </cell>
        </row>
        <row r="30">
          <cell r="A30" t="str">
            <v>Pakistan</v>
          </cell>
          <cell r="B30">
            <v>1</v>
          </cell>
        </row>
        <row r="31">
          <cell r="A31" t="str">
            <v>Hong Kong</v>
          </cell>
          <cell r="B31">
            <v>1</v>
          </cell>
        </row>
        <row r="32">
          <cell r="A32" t="str">
            <v>Tunisia</v>
          </cell>
          <cell r="B32">
            <v>1</v>
          </cell>
        </row>
        <row r="33">
          <cell r="A33" t="str">
            <v>Hungary</v>
          </cell>
          <cell r="B33">
            <v>1</v>
          </cell>
        </row>
        <row r="34">
          <cell r="A34" t="str">
            <v>Portugal</v>
          </cell>
          <cell r="B34">
            <v>1</v>
          </cell>
        </row>
        <row r="35">
          <cell r="A35" t="str">
            <v>Croatia</v>
          </cell>
          <cell r="B35">
            <v>1</v>
          </cell>
        </row>
        <row r="36">
          <cell r="A36" t="str">
            <v>Slovakia</v>
          </cell>
          <cell r="B36">
            <v>1</v>
          </cell>
        </row>
        <row r="37">
          <cell r="A37" t="str">
            <v>Italy</v>
          </cell>
          <cell r="B37">
            <v>1</v>
          </cell>
        </row>
        <row r="38">
          <cell r="A38" t="str">
            <v>Guatemala</v>
          </cell>
        </row>
        <row r="39">
          <cell r="A39" t="str">
            <v>Serbia</v>
          </cell>
          <cell r="B39">
            <v>1</v>
          </cell>
        </row>
        <row r="40">
          <cell r="A40" t="str">
            <v>Sri Lanka</v>
          </cell>
          <cell r="B40">
            <v>1</v>
          </cell>
        </row>
        <row r="41">
          <cell r="A41" t="str">
            <v>Spain</v>
          </cell>
          <cell r="B41">
            <v>1</v>
          </cell>
        </row>
        <row r="42">
          <cell r="A42" t="str">
            <v>Bulgaria</v>
          </cell>
          <cell r="B42">
            <v>1</v>
          </cell>
        </row>
        <row r="43">
          <cell r="A43" t="str">
            <v>Netherlands</v>
          </cell>
          <cell r="B43">
            <v>1</v>
          </cell>
        </row>
        <row r="44">
          <cell r="A44" t="str">
            <v>Nigeria</v>
          </cell>
          <cell r="B44">
            <v>1</v>
          </cell>
        </row>
        <row r="45">
          <cell r="A45" t="str">
            <v>Ireland</v>
          </cell>
          <cell r="B45">
            <v>1</v>
          </cell>
        </row>
        <row r="46">
          <cell r="A46" t="str">
            <v>Uruguay</v>
          </cell>
        </row>
        <row r="47">
          <cell r="A47" t="str">
            <v>Greece</v>
          </cell>
          <cell r="B47">
            <v>1</v>
          </cell>
        </row>
        <row r="48">
          <cell r="A48" t="str">
            <v>France</v>
          </cell>
          <cell r="B48">
            <v>1</v>
          </cell>
        </row>
        <row r="49">
          <cell r="A49" t="str">
            <v>Belgium</v>
          </cell>
          <cell r="B49">
            <v>1</v>
          </cell>
        </row>
        <row r="50">
          <cell r="A50" t="str">
            <v>Singapore</v>
          </cell>
          <cell r="B50">
            <v>1</v>
          </cell>
        </row>
        <row r="51">
          <cell r="A51" t="str">
            <v>Kazakhstan</v>
          </cell>
          <cell r="B51">
            <v>1</v>
          </cell>
        </row>
        <row r="52">
          <cell r="A52" t="str">
            <v>Vietnam</v>
          </cell>
          <cell r="B52">
            <v>1</v>
          </cell>
        </row>
        <row r="53">
          <cell r="A53" t="str">
            <v>Morocco</v>
          </cell>
          <cell r="B53">
            <v>1</v>
          </cell>
        </row>
        <row r="54">
          <cell r="A54" t="str">
            <v>Canada</v>
          </cell>
          <cell r="B54">
            <v>0.96</v>
          </cell>
          <cell r="C54">
            <v>0.04</v>
          </cell>
        </row>
        <row r="55">
          <cell r="A55" t="str">
            <v>Argentina</v>
          </cell>
          <cell r="B55">
            <v>1</v>
          </cell>
        </row>
        <row r="56">
          <cell r="A56" t="str">
            <v>Brazil</v>
          </cell>
          <cell r="B56">
            <v>1</v>
          </cell>
        </row>
        <row r="57">
          <cell r="A57" t="str">
            <v>United States</v>
          </cell>
          <cell r="B57">
            <v>0.96</v>
          </cell>
          <cell r="C57">
            <v>0.04</v>
          </cell>
        </row>
        <row r="58">
          <cell r="A58" t="str">
            <v>Bangladesh</v>
          </cell>
        </row>
        <row r="59">
          <cell r="A59" t="str">
            <v>Mexico</v>
          </cell>
          <cell r="B59">
            <v>1</v>
          </cell>
        </row>
        <row r="60">
          <cell r="A60" t="str">
            <v>Indonesia</v>
          </cell>
          <cell r="B60">
            <v>1</v>
          </cell>
        </row>
        <row r="61">
          <cell r="A61" t="str">
            <v>Chile</v>
          </cell>
          <cell r="B61">
            <v>1</v>
          </cell>
        </row>
        <row r="62">
          <cell r="A62" t="str">
            <v>Australia</v>
          </cell>
          <cell r="B62">
            <v>0.88</v>
          </cell>
          <cell r="C62">
            <v>0.12</v>
          </cell>
        </row>
        <row r="63">
          <cell r="A63" t="str">
            <v>United Arab Emirates</v>
          </cell>
        </row>
        <row r="64">
          <cell r="A64" t="str">
            <v>Lithuania</v>
          </cell>
        </row>
        <row r="65">
          <cell r="A65" t="str">
            <v>Philippines</v>
          </cell>
          <cell r="B65">
            <v>1</v>
          </cell>
        </row>
        <row r="66">
          <cell r="A66" t="str">
            <v>United Kingdom</v>
          </cell>
          <cell r="B66">
            <v>1</v>
          </cell>
        </row>
        <row r="67">
          <cell r="A67" t="str">
            <v>Peru</v>
          </cell>
          <cell r="B67">
            <v>1</v>
          </cell>
        </row>
        <row r="68">
          <cell r="A68" t="str">
            <v>Thailand</v>
          </cell>
          <cell r="B68">
            <v>1</v>
          </cell>
        </row>
        <row r="69">
          <cell r="A69" t="str">
            <v>South Africa</v>
          </cell>
        </row>
        <row r="70">
          <cell r="A70" t="str">
            <v>Romania</v>
          </cell>
          <cell r="B70">
            <v>1</v>
          </cell>
        </row>
        <row r="71">
          <cell r="A71" t="str">
            <v>Colombia</v>
          </cell>
          <cell r="B71">
            <v>1</v>
          </cell>
        </row>
        <row r="72">
          <cell r="A72" t="str">
            <v>Malaysia</v>
          </cell>
          <cell r="B72">
            <v>1</v>
          </cell>
        </row>
        <row r="73">
          <cell r="A73" t="str">
            <v>Saudi Arabia</v>
          </cell>
          <cell r="B73">
            <v>1</v>
          </cell>
        </row>
        <row r="74">
          <cell r="A74" t="str">
            <v>New Zealand</v>
          </cell>
        </row>
        <row r="75">
          <cell r="A75" t="str">
            <v>Iran</v>
          </cell>
          <cell r="B75">
            <v>1</v>
          </cell>
        </row>
        <row r="76">
          <cell r="A76" t="str">
            <v>Denmark</v>
          </cell>
        </row>
        <row r="77">
          <cell r="A77" t="str">
            <v>Egypt</v>
          </cell>
          <cell r="B77">
            <v>1</v>
          </cell>
        </row>
        <row r="78">
          <cell r="A78" t="str">
            <v>Ecuador</v>
          </cell>
        </row>
        <row r="79">
          <cell r="A79" t="str">
            <v>Turkey</v>
          </cell>
          <cell r="B79">
            <v>0.8</v>
          </cell>
          <cell r="C79">
            <v>0.2</v>
          </cell>
        </row>
        <row r="80">
          <cell r="A80" t="str">
            <v>Venezuela</v>
          </cell>
        </row>
        <row r="81">
          <cell r="A81" t="str">
            <v>Burundi</v>
          </cell>
        </row>
        <row r="82">
          <cell r="A82" t="str">
            <v>Namibia</v>
          </cell>
        </row>
        <row r="83">
          <cell r="A83" t="str">
            <v>Cuba</v>
          </cell>
        </row>
        <row r="84">
          <cell r="A84" t="str">
            <v>Mozambique</v>
          </cell>
        </row>
        <row r="85">
          <cell r="A85" t="str">
            <v>Rwanda</v>
          </cell>
        </row>
        <row r="86">
          <cell r="A86" t="str">
            <v>Burkina Faso</v>
          </cell>
        </row>
        <row r="87">
          <cell r="A87" t="str">
            <v>Zambia</v>
          </cell>
        </row>
        <row r="88">
          <cell r="A88" t="str">
            <v>Cameroon</v>
          </cell>
        </row>
        <row r="89">
          <cell r="A89" t="str">
            <v>Brunei</v>
          </cell>
        </row>
        <row r="90">
          <cell r="A90" t="str">
            <v>Tajikistan</v>
          </cell>
        </row>
        <row r="91">
          <cell r="A91" t="str">
            <v>Armenia</v>
          </cell>
        </row>
        <row r="92">
          <cell r="A92" t="str">
            <v>Myanmar (Burma)</v>
          </cell>
        </row>
        <row r="93">
          <cell r="A93" t="str">
            <v>Mongolia</v>
          </cell>
        </row>
        <row r="94">
          <cell r="A94" t="str">
            <v>Kosovo</v>
          </cell>
        </row>
        <row r="95">
          <cell r="A95" t="str">
            <v>Montenegro</v>
          </cell>
        </row>
        <row r="96">
          <cell r="A96" t="str">
            <v>Estonia</v>
          </cell>
        </row>
        <row r="97">
          <cell r="A97" t="str">
            <v>Azerbaijan</v>
          </cell>
        </row>
        <row r="98">
          <cell r="A98" t="str">
            <v>Libya</v>
          </cell>
        </row>
        <row r="99">
          <cell r="A99" t="str">
            <v>Jamaica</v>
          </cell>
        </row>
        <row r="100">
          <cell r="A100" t="str">
            <v>Palestine</v>
          </cell>
        </row>
        <row r="101">
          <cell r="A101" t="str">
            <v>Nicaragua</v>
          </cell>
        </row>
        <row r="102">
          <cell r="A102" t="str">
            <v>Tanzania</v>
          </cell>
        </row>
        <row r="103">
          <cell r="A103" t="str">
            <v>Uganda</v>
          </cell>
        </row>
        <row r="104">
          <cell r="A104" t="str">
            <v>Georgia</v>
          </cell>
        </row>
        <row r="105">
          <cell r="A105" t="str">
            <v>Paraguay</v>
          </cell>
        </row>
        <row r="106">
          <cell r="A106" t="str">
            <v>North Macedonia</v>
          </cell>
        </row>
        <row r="107">
          <cell r="A107" t="str">
            <v>Slovenia</v>
          </cell>
        </row>
        <row r="108">
          <cell r="A108" t="str">
            <v>Albania</v>
          </cell>
        </row>
        <row r="109">
          <cell r="A109" t="str">
            <v>CÃ´te dâ€™Ivoire</v>
          </cell>
        </row>
        <row r="110">
          <cell r="A110" t="str">
            <v>Bosnia &amp; Herzegovina</v>
          </cell>
        </row>
        <row r="111">
          <cell r="A111" t="str">
            <v>Latvia</v>
          </cell>
        </row>
        <row r="112">
          <cell r="A112" t="str">
            <v>Sudan</v>
          </cell>
        </row>
        <row r="113">
          <cell r="A113" t="str">
            <v>Cyprus</v>
          </cell>
        </row>
        <row r="114">
          <cell r="A114" t="str">
            <v>Moldova</v>
          </cell>
        </row>
        <row r="115">
          <cell r="A115" t="str">
            <v>El Salvador</v>
          </cell>
        </row>
        <row r="116">
          <cell r="A116" t="str">
            <v>Syria</v>
          </cell>
        </row>
        <row r="117">
          <cell r="A117" t="str">
            <v>Puerto Rico</v>
          </cell>
        </row>
        <row r="118">
          <cell r="A118" t="str">
            <v>Panama</v>
          </cell>
        </row>
        <row r="119">
          <cell r="A119" t="str">
            <v>Lebanon</v>
          </cell>
        </row>
        <row r="120">
          <cell r="A120" t="str">
            <v>Dominican Republic</v>
          </cell>
        </row>
        <row r="121">
          <cell r="A121" t="str">
            <v>Aruba</v>
          </cell>
        </row>
        <row r="122">
          <cell r="A122" t="str">
            <v>Afghanistan</v>
          </cell>
        </row>
        <row r="123">
          <cell r="A123" t="str">
            <v>Angola</v>
          </cell>
        </row>
        <row r="124">
          <cell r="A124" t="str">
            <v>Anguilla</v>
          </cell>
        </row>
        <row r="125">
          <cell r="A125" t="str">
            <v>Ã…land Islands</v>
          </cell>
        </row>
        <row r="126">
          <cell r="A126" t="str">
            <v>Andorra</v>
          </cell>
        </row>
        <row r="127">
          <cell r="A127" t="str">
            <v>American Samoa</v>
          </cell>
        </row>
        <row r="128">
          <cell r="A128" t="str">
            <v>Antarctica</v>
          </cell>
        </row>
        <row r="129">
          <cell r="A129" t="str">
            <v>French Southern Territories</v>
          </cell>
        </row>
        <row r="130">
          <cell r="A130" t="str">
            <v>Antigua &amp; Barbuda</v>
          </cell>
        </row>
        <row r="131">
          <cell r="A131" t="str">
            <v>Benin</v>
          </cell>
        </row>
        <row r="132">
          <cell r="A132" t="str">
            <v>Caribbean Netherlands</v>
          </cell>
        </row>
        <row r="133">
          <cell r="A133" t="str">
            <v>Bahrain</v>
          </cell>
        </row>
        <row r="134">
          <cell r="A134" t="str">
            <v>Bahamas</v>
          </cell>
        </row>
        <row r="135">
          <cell r="A135" t="str">
            <v>St. BarthÃ©lemy</v>
          </cell>
        </row>
        <row r="136">
          <cell r="A136" t="str">
            <v>Belize</v>
          </cell>
        </row>
        <row r="137">
          <cell r="A137" t="str">
            <v>Bermuda</v>
          </cell>
        </row>
        <row r="138">
          <cell r="A138" t="str">
            <v>Bolivia</v>
          </cell>
        </row>
        <row r="139">
          <cell r="A139" t="str">
            <v>Barbados</v>
          </cell>
        </row>
        <row r="140">
          <cell r="A140" t="str">
            <v>Bhutan</v>
          </cell>
        </row>
        <row r="141">
          <cell r="A141" t="str">
            <v>Bouvet Island</v>
          </cell>
        </row>
        <row r="142">
          <cell r="A142" t="str">
            <v>Central African Republic</v>
          </cell>
        </row>
        <row r="143">
          <cell r="A143" t="str">
            <v>Cocos (Keeling) Islands</v>
          </cell>
        </row>
        <row r="144">
          <cell r="A144" t="str">
            <v>Congo - Kinshasa</v>
          </cell>
        </row>
        <row r="145">
          <cell r="A145" t="str">
            <v>Congo - Brazzaville</v>
          </cell>
        </row>
        <row r="146">
          <cell r="A146" t="str">
            <v>Cook Islands</v>
          </cell>
        </row>
        <row r="147">
          <cell r="A147" t="str">
            <v>Comoros</v>
          </cell>
        </row>
        <row r="148">
          <cell r="A148" t="str">
            <v>Cape Verde</v>
          </cell>
        </row>
        <row r="149">
          <cell r="A149" t="str">
            <v>CuraÃ§ao</v>
          </cell>
        </row>
        <row r="150">
          <cell r="A150" t="str">
            <v>Christmas Island</v>
          </cell>
        </row>
        <row r="151">
          <cell r="A151" t="str">
            <v>Cayman Islands</v>
          </cell>
        </row>
        <row r="152">
          <cell r="A152" t="str">
            <v>Djibouti</v>
          </cell>
        </row>
        <row r="153">
          <cell r="A153" t="str">
            <v>Dominica</v>
          </cell>
        </row>
        <row r="154">
          <cell r="A154" t="str">
            <v>Eritrea</v>
          </cell>
        </row>
        <row r="155">
          <cell r="A155" t="str">
            <v>Western Sahara</v>
          </cell>
        </row>
        <row r="156">
          <cell r="A156" t="str">
            <v>Fiji</v>
          </cell>
        </row>
        <row r="157">
          <cell r="A157" t="str">
            <v>Falkland Islands (Islas Malvinas)</v>
          </cell>
        </row>
        <row r="158">
          <cell r="A158" t="str">
            <v>Faroe Islands</v>
          </cell>
        </row>
        <row r="159">
          <cell r="A159" t="str">
            <v>Micronesia</v>
          </cell>
        </row>
        <row r="160">
          <cell r="A160" t="str">
            <v>Gabon</v>
          </cell>
        </row>
        <row r="161">
          <cell r="A161" t="str">
            <v>Guernsey</v>
          </cell>
        </row>
        <row r="162">
          <cell r="A162" t="str">
            <v>Ghana</v>
          </cell>
        </row>
        <row r="163">
          <cell r="A163" t="str">
            <v>Gibraltar</v>
          </cell>
        </row>
        <row r="164">
          <cell r="A164" t="str">
            <v>Guinea</v>
          </cell>
        </row>
        <row r="165">
          <cell r="A165" t="str">
            <v>Guadeloupe</v>
          </cell>
        </row>
        <row r="166">
          <cell r="A166" t="str">
            <v>Gambia</v>
          </cell>
        </row>
        <row r="167">
          <cell r="A167" t="str">
            <v>Guinea-Bissau</v>
          </cell>
        </row>
        <row r="168">
          <cell r="A168" t="str">
            <v>Equatorial Guinea</v>
          </cell>
        </row>
        <row r="169">
          <cell r="A169" t="str">
            <v>Grenada</v>
          </cell>
        </row>
        <row r="170">
          <cell r="A170" t="str">
            <v>Greenland</v>
          </cell>
        </row>
        <row r="171">
          <cell r="A171" t="str">
            <v>French Guiana</v>
          </cell>
        </row>
        <row r="172">
          <cell r="A172" t="str">
            <v>Guam</v>
          </cell>
        </row>
        <row r="173">
          <cell r="A173" t="str">
            <v>Guyana</v>
          </cell>
        </row>
        <row r="174">
          <cell r="A174" t="str">
            <v>Heard &amp; McDonald Islands</v>
          </cell>
        </row>
        <row r="175">
          <cell r="A175" t="str">
            <v>Honduras</v>
          </cell>
        </row>
        <row r="176">
          <cell r="A176" t="str">
            <v>Haiti</v>
          </cell>
        </row>
        <row r="177">
          <cell r="A177" t="str">
            <v>Isle of Man</v>
          </cell>
        </row>
        <row r="178">
          <cell r="A178" t="str">
            <v>British Indian Ocean Territory</v>
          </cell>
        </row>
        <row r="179">
          <cell r="A179" t="str">
            <v>Iraq</v>
          </cell>
        </row>
        <row r="180">
          <cell r="A180" t="str">
            <v>Jersey</v>
          </cell>
        </row>
        <row r="181">
          <cell r="A181" t="str">
            <v>Jordan</v>
          </cell>
        </row>
        <row r="182">
          <cell r="A182" t="str">
            <v>Kyrgyzstan</v>
          </cell>
        </row>
        <row r="183">
          <cell r="A183" t="str">
            <v>Cambodia</v>
          </cell>
        </row>
        <row r="184">
          <cell r="A184" t="str">
            <v>Kiribati</v>
          </cell>
        </row>
        <row r="185">
          <cell r="A185" t="str">
            <v>St. Kitts &amp; Nevis</v>
          </cell>
        </row>
        <row r="186">
          <cell r="A186" t="str">
            <v>Kuwait</v>
          </cell>
        </row>
        <row r="187">
          <cell r="A187" t="str">
            <v>Laos</v>
          </cell>
        </row>
        <row r="188">
          <cell r="A188" t="str">
            <v>Liberia</v>
          </cell>
        </row>
        <row r="189">
          <cell r="A189" t="str">
            <v>St. Lucia</v>
          </cell>
        </row>
        <row r="190">
          <cell r="A190" t="str">
            <v>Liechtenstein</v>
          </cell>
        </row>
        <row r="191">
          <cell r="A191" t="str">
            <v>Lesotho</v>
          </cell>
        </row>
        <row r="192">
          <cell r="A192" t="str">
            <v>Luxembourg</v>
          </cell>
        </row>
        <row r="193">
          <cell r="A193" t="str">
            <v>Macao</v>
          </cell>
        </row>
        <row r="194">
          <cell r="A194" t="str">
            <v>St. Martin</v>
          </cell>
        </row>
        <row r="195">
          <cell r="A195" t="str">
            <v>Monaco</v>
          </cell>
        </row>
        <row r="196">
          <cell r="A196" t="str">
            <v>Madagascar</v>
          </cell>
        </row>
        <row r="197">
          <cell r="A197" t="str">
            <v>Maldives</v>
          </cell>
        </row>
        <row r="198">
          <cell r="A198" t="str">
            <v>Marshall Islands</v>
          </cell>
        </row>
        <row r="199">
          <cell r="A199" t="str">
            <v>Mali</v>
          </cell>
        </row>
        <row r="200">
          <cell r="A200" t="str">
            <v>Malta</v>
          </cell>
        </row>
        <row r="201">
          <cell r="A201" t="str">
            <v>Northern Mariana Islands</v>
          </cell>
        </row>
        <row r="202">
          <cell r="A202" t="str">
            <v>Mauritania</v>
          </cell>
        </row>
        <row r="203">
          <cell r="A203" t="str">
            <v>Montserrat</v>
          </cell>
        </row>
        <row r="204">
          <cell r="A204" t="str">
            <v>Martinique</v>
          </cell>
        </row>
        <row r="205">
          <cell r="A205" t="str">
            <v>Mauritius</v>
          </cell>
        </row>
        <row r="206">
          <cell r="A206" t="str">
            <v>Malawi</v>
          </cell>
        </row>
        <row r="207">
          <cell r="A207" t="str">
            <v>Mayotte</v>
          </cell>
        </row>
        <row r="208">
          <cell r="A208" t="str">
            <v>New Caledonia</v>
          </cell>
        </row>
        <row r="209">
          <cell r="A209" t="str">
            <v>Niger</v>
          </cell>
        </row>
        <row r="210">
          <cell r="A210" t="str">
            <v>Norfolk Island</v>
          </cell>
        </row>
        <row r="211">
          <cell r="A211" t="str">
            <v>Niue</v>
          </cell>
        </row>
        <row r="212">
          <cell r="A212" t="str">
            <v>Nauru</v>
          </cell>
        </row>
        <row r="213">
          <cell r="A213" t="str">
            <v>Oman</v>
          </cell>
        </row>
        <row r="214">
          <cell r="A214" t="str">
            <v>Pitcairn Islands</v>
          </cell>
        </row>
        <row r="215">
          <cell r="A215" t="str">
            <v>Palau</v>
          </cell>
        </row>
        <row r="216">
          <cell r="A216" t="str">
            <v>Papua New Guinea</v>
          </cell>
        </row>
        <row r="217">
          <cell r="A217" t="str">
            <v>North Korea</v>
          </cell>
        </row>
        <row r="218">
          <cell r="A218" t="str">
            <v>French Polynesia</v>
          </cell>
        </row>
        <row r="219">
          <cell r="A219" t="str">
            <v>Qatar</v>
          </cell>
        </row>
        <row r="220">
          <cell r="A220" t="str">
            <v>RÃ©union</v>
          </cell>
        </row>
        <row r="221">
          <cell r="A221" t="str">
            <v>Senegal</v>
          </cell>
        </row>
        <row r="222">
          <cell r="A222" t="str">
            <v>South Georgia &amp; South Sandwich Islands</v>
          </cell>
        </row>
        <row r="223">
          <cell r="A223" t="str">
            <v>Svalbard &amp; Jan Mayen</v>
          </cell>
        </row>
        <row r="224">
          <cell r="A224" t="str">
            <v>Solomon Islands</v>
          </cell>
        </row>
        <row r="225">
          <cell r="A225" t="str">
            <v>Sierra Leone</v>
          </cell>
        </row>
        <row r="226">
          <cell r="A226" t="str">
            <v>San Marino</v>
          </cell>
        </row>
        <row r="227">
          <cell r="A227" t="str">
            <v>Somalia</v>
          </cell>
        </row>
        <row r="228">
          <cell r="A228" t="str">
            <v>St. Pierre &amp; Miquelon</v>
          </cell>
        </row>
        <row r="229">
          <cell r="A229" t="str">
            <v>South Sudan</v>
          </cell>
        </row>
        <row r="230">
          <cell r="A230" t="str">
            <v>SÃ£o TomÃ© &amp; PrÃ­ncipe</v>
          </cell>
        </row>
        <row r="231">
          <cell r="A231" t="str">
            <v>Suriname</v>
          </cell>
        </row>
        <row r="232">
          <cell r="A232" t="str">
            <v>Eswatini</v>
          </cell>
        </row>
        <row r="233">
          <cell r="A233" t="str">
            <v>Sint Maarten</v>
          </cell>
        </row>
        <row r="234">
          <cell r="A234" t="str">
            <v>Seychelles</v>
          </cell>
        </row>
        <row r="235">
          <cell r="A235" t="str">
            <v>Turks &amp; Caicos Islands</v>
          </cell>
        </row>
        <row r="236">
          <cell r="A236" t="str">
            <v>Chad</v>
          </cell>
        </row>
        <row r="237">
          <cell r="A237" t="str">
            <v>Togo</v>
          </cell>
        </row>
        <row r="238">
          <cell r="A238" t="str">
            <v>Tokelau</v>
          </cell>
        </row>
        <row r="239">
          <cell r="A239" t="str">
            <v>Turkmenistan</v>
          </cell>
        </row>
        <row r="240">
          <cell r="A240" t="str">
            <v>Timor-Leste</v>
          </cell>
        </row>
        <row r="241">
          <cell r="A241" t="str">
            <v>Tonga</v>
          </cell>
        </row>
        <row r="242">
          <cell r="A242" t="str">
            <v>Trinidad &amp; Tobago</v>
          </cell>
        </row>
        <row r="243">
          <cell r="A243" t="str">
            <v>Tuvalu</v>
          </cell>
        </row>
        <row r="244">
          <cell r="A244" t="str">
            <v>U.S. Outlying Islands</v>
          </cell>
        </row>
        <row r="245">
          <cell r="A245" t="str">
            <v>Uzbekistan</v>
          </cell>
        </row>
        <row r="246">
          <cell r="A246" t="str">
            <v>Vatican City</v>
          </cell>
        </row>
        <row r="247">
          <cell r="A247" t="str">
            <v>St. Vincent &amp; Grenadines</v>
          </cell>
        </row>
        <row r="248">
          <cell r="A248" t="str">
            <v>British Virgin Islands</v>
          </cell>
        </row>
        <row r="249">
          <cell r="A249" t="str">
            <v>U.S. Virgin Islands</v>
          </cell>
        </row>
        <row r="250">
          <cell r="A250" t="str">
            <v>Vanuatu</v>
          </cell>
        </row>
        <row r="251">
          <cell r="A251" t="str">
            <v>Wallis &amp; Futuna</v>
          </cell>
        </row>
        <row r="252">
          <cell r="A252" t="str">
            <v>Samoa</v>
          </cell>
        </row>
        <row r="253">
          <cell r="A253" t="str">
            <v>Yemen</v>
          </cell>
        </row>
      </sheetData>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58)"/>
    </sheetNames>
    <sheetDataSet>
      <sheetData sheetId="0" refreshError="1">
        <row r="1">
          <cell r="A1" t="str">
            <v>Category: All categories</v>
          </cell>
        </row>
        <row r="3">
          <cell r="A3" t="str">
            <v>Country</v>
          </cell>
          <cell r="B3" t="str">
            <v>Mutual exclusion: (2018)</v>
          </cell>
          <cell r="C3" t="str">
            <v>Post correspondence problem: (2018)</v>
          </cell>
        </row>
        <row r="4">
          <cell r="A4" t="str">
            <v>China</v>
          </cell>
          <cell r="B4">
            <v>1</v>
          </cell>
        </row>
        <row r="5">
          <cell r="A5" t="str">
            <v>Botswana</v>
          </cell>
        </row>
        <row r="6">
          <cell r="A6" t="str">
            <v>Taiwan</v>
          </cell>
          <cell r="B6">
            <v>1</v>
          </cell>
        </row>
        <row r="7">
          <cell r="A7" t="str">
            <v>Israel</v>
          </cell>
          <cell r="B7">
            <v>1</v>
          </cell>
        </row>
        <row r="8">
          <cell r="A8" t="str">
            <v>Japan</v>
          </cell>
          <cell r="B8">
            <v>1</v>
          </cell>
        </row>
        <row r="9">
          <cell r="A9" t="str">
            <v>Zimbabwe</v>
          </cell>
        </row>
        <row r="10">
          <cell r="A10" t="str">
            <v>Czechia</v>
          </cell>
          <cell r="B10">
            <v>1</v>
          </cell>
        </row>
        <row r="11">
          <cell r="A11" t="str">
            <v>Belarus</v>
          </cell>
          <cell r="B11">
            <v>1</v>
          </cell>
        </row>
        <row r="12">
          <cell r="A12" t="str">
            <v>Germany</v>
          </cell>
          <cell r="B12">
            <v>0.97</v>
          </cell>
          <cell r="C12">
            <v>0.03</v>
          </cell>
        </row>
        <row r="13">
          <cell r="A13" t="str">
            <v>Russia</v>
          </cell>
          <cell r="B13">
            <v>1</v>
          </cell>
        </row>
        <row r="14">
          <cell r="A14" t="str">
            <v>Finland</v>
          </cell>
          <cell r="B14">
            <v>1</v>
          </cell>
        </row>
        <row r="15">
          <cell r="A15" t="str">
            <v>Iceland</v>
          </cell>
        </row>
        <row r="16">
          <cell r="A16" t="str">
            <v>Austria</v>
          </cell>
          <cell r="B16">
            <v>1</v>
          </cell>
        </row>
        <row r="17">
          <cell r="A17" t="str">
            <v>Ethiopia</v>
          </cell>
        </row>
        <row r="18">
          <cell r="A18" t="str">
            <v>South Korea</v>
          </cell>
        </row>
        <row r="19">
          <cell r="A19" t="str">
            <v>Norway</v>
          </cell>
          <cell r="B19">
            <v>1</v>
          </cell>
        </row>
        <row r="20">
          <cell r="A20" t="str">
            <v>Sweden</v>
          </cell>
          <cell r="B20">
            <v>1</v>
          </cell>
        </row>
        <row r="21">
          <cell r="A21" t="str">
            <v>Kenya</v>
          </cell>
          <cell r="B21">
            <v>1</v>
          </cell>
        </row>
        <row r="22">
          <cell r="A22" t="str">
            <v>Ukraine</v>
          </cell>
          <cell r="B22">
            <v>1</v>
          </cell>
        </row>
        <row r="23">
          <cell r="A23" t="str">
            <v>Lithuania</v>
          </cell>
        </row>
        <row r="24">
          <cell r="A24" t="str">
            <v>Switzerland</v>
          </cell>
          <cell r="B24">
            <v>1</v>
          </cell>
        </row>
        <row r="25">
          <cell r="A25" t="str">
            <v>Portugal</v>
          </cell>
          <cell r="B25">
            <v>1</v>
          </cell>
        </row>
        <row r="26">
          <cell r="A26" t="str">
            <v>Nepal</v>
          </cell>
          <cell r="B26">
            <v>1</v>
          </cell>
        </row>
        <row r="27">
          <cell r="A27" t="str">
            <v>Slovakia</v>
          </cell>
          <cell r="B27">
            <v>1</v>
          </cell>
        </row>
        <row r="28">
          <cell r="A28" t="str">
            <v>Poland</v>
          </cell>
          <cell r="B28">
            <v>1</v>
          </cell>
        </row>
        <row r="29">
          <cell r="A29" t="str">
            <v>Serbia</v>
          </cell>
          <cell r="B29">
            <v>1</v>
          </cell>
        </row>
        <row r="30">
          <cell r="A30" t="str">
            <v>Algeria</v>
          </cell>
          <cell r="B30">
            <v>1</v>
          </cell>
        </row>
        <row r="31">
          <cell r="A31" t="str">
            <v>Tunisia</v>
          </cell>
          <cell r="B31">
            <v>1</v>
          </cell>
        </row>
        <row r="32">
          <cell r="A32" t="str">
            <v>Hungary</v>
          </cell>
          <cell r="B32">
            <v>1</v>
          </cell>
        </row>
        <row r="33">
          <cell r="A33" t="str">
            <v>India</v>
          </cell>
          <cell r="B33">
            <v>0.88</v>
          </cell>
          <cell r="C33">
            <v>0.12</v>
          </cell>
        </row>
        <row r="34">
          <cell r="A34" t="str">
            <v>Guatemala</v>
          </cell>
        </row>
        <row r="35">
          <cell r="A35" t="str">
            <v>St. Helena</v>
          </cell>
        </row>
        <row r="36">
          <cell r="A36" t="str">
            <v>Pakistan</v>
          </cell>
          <cell r="B36">
            <v>0.91</v>
          </cell>
          <cell r="C36">
            <v>0.09</v>
          </cell>
        </row>
        <row r="37">
          <cell r="A37" t="str">
            <v>Hong Kong</v>
          </cell>
          <cell r="B37">
            <v>1</v>
          </cell>
        </row>
        <row r="38">
          <cell r="A38" t="str">
            <v>Italy</v>
          </cell>
          <cell r="B38">
            <v>1</v>
          </cell>
        </row>
        <row r="39">
          <cell r="A39" t="str">
            <v>Netherlands</v>
          </cell>
          <cell r="B39">
            <v>1</v>
          </cell>
        </row>
        <row r="40">
          <cell r="A40" t="str">
            <v>Bulgaria</v>
          </cell>
          <cell r="B40">
            <v>1</v>
          </cell>
        </row>
        <row r="41">
          <cell r="A41" t="str">
            <v>Spain</v>
          </cell>
          <cell r="B41">
            <v>1</v>
          </cell>
        </row>
        <row r="42">
          <cell r="A42" t="str">
            <v>Costa Rica</v>
          </cell>
          <cell r="B42">
            <v>1</v>
          </cell>
        </row>
        <row r="43">
          <cell r="A43" t="str">
            <v>Singapore</v>
          </cell>
          <cell r="B43">
            <v>1</v>
          </cell>
        </row>
        <row r="44">
          <cell r="A44" t="str">
            <v>Greece</v>
          </cell>
          <cell r="B44">
            <v>1</v>
          </cell>
        </row>
        <row r="45">
          <cell r="A45" t="str">
            <v>Nigeria</v>
          </cell>
          <cell r="B45">
            <v>1</v>
          </cell>
        </row>
        <row r="46">
          <cell r="A46" t="str">
            <v>Croatia</v>
          </cell>
          <cell r="B46">
            <v>1</v>
          </cell>
        </row>
        <row r="47">
          <cell r="A47" t="str">
            <v>France</v>
          </cell>
          <cell r="B47">
            <v>1</v>
          </cell>
        </row>
        <row r="48">
          <cell r="A48" t="str">
            <v>Kazakhstan</v>
          </cell>
          <cell r="B48">
            <v>1</v>
          </cell>
        </row>
        <row r="49">
          <cell r="A49" t="str">
            <v>Belgium</v>
          </cell>
          <cell r="B49">
            <v>1</v>
          </cell>
        </row>
        <row r="50">
          <cell r="A50" t="str">
            <v>Bangladesh</v>
          </cell>
        </row>
        <row r="51">
          <cell r="A51" t="str">
            <v>Mexico</v>
          </cell>
          <cell r="B51">
            <v>1</v>
          </cell>
        </row>
        <row r="52">
          <cell r="A52" t="str">
            <v>Canada</v>
          </cell>
        </row>
        <row r="53">
          <cell r="A53" t="str">
            <v>Ireland</v>
          </cell>
          <cell r="B53">
            <v>1</v>
          </cell>
        </row>
        <row r="54">
          <cell r="A54" t="str">
            <v>Morocco</v>
          </cell>
          <cell r="B54">
            <v>1</v>
          </cell>
        </row>
        <row r="55">
          <cell r="A55" t="str">
            <v>Vietnam</v>
          </cell>
          <cell r="B55">
            <v>1</v>
          </cell>
        </row>
        <row r="56">
          <cell r="A56" t="str">
            <v>Brazil</v>
          </cell>
          <cell r="B56">
            <v>1</v>
          </cell>
        </row>
        <row r="57">
          <cell r="A57" t="str">
            <v>Argentina</v>
          </cell>
          <cell r="B57">
            <v>1</v>
          </cell>
        </row>
        <row r="58">
          <cell r="A58" t="str">
            <v>Sri Lanka</v>
          </cell>
          <cell r="B58">
            <v>1</v>
          </cell>
        </row>
        <row r="59">
          <cell r="A59" t="str">
            <v>Chile</v>
          </cell>
          <cell r="B59">
            <v>1</v>
          </cell>
        </row>
        <row r="60">
          <cell r="A60" t="str">
            <v>United States</v>
          </cell>
          <cell r="B60">
            <v>0.97</v>
          </cell>
          <cell r="C60">
            <v>0.03</v>
          </cell>
        </row>
        <row r="61">
          <cell r="A61" t="str">
            <v>Indonesia</v>
          </cell>
          <cell r="B61">
            <v>1</v>
          </cell>
        </row>
        <row r="62">
          <cell r="A62" t="str">
            <v>New Zealand</v>
          </cell>
        </row>
        <row r="63">
          <cell r="A63" t="str">
            <v>Uruguay</v>
          </cell>
        </row>
        <row r="64">
          <cell r="A64" t="str">
            <v>United Arab Emirates</v>
          </cell>
        </row>
        <row r="65">
          <cell r="A65" t="str">
            <v>Australia</v>
          </cell>
          <cell r="B65">
            <v>1</v>
          </cell>
        </row>
        <row r="66">
          <cell r="A66" t="str">
            <v>Peru</v>
          </cell>
          <cell r="B66">
            <v>1</v>
          </cell>
        </row>
        <row r="67">
          <cell r="A67" t="str">
            <v>Philippines</v>
          </cell>
          <cell r="B67">
            <v>1</v>
          </cell>
        </row>
        <row r="68">
          <cell r="A68" t="str">
            <v>Malaysia</v>
          </cell>
          <cell r="B68">
            <v>1</v>
          </cell>
        </row>
        <row r="69">
          <cell r="A69" t="str">
            <v>Egypt</v>
          </cell>
          <cell r="B69">
            <v>1</v>
          </cell>
        </row>
        <row r="70">
          <cell r="A70" t="str">
            <v>Colombia</v>
          </cell>
          <cell r="B70">
            <v>1</v>
          </cell>
        </row>
        <row r="71">
          <cell r="A71" t="str">
            <v>United Kingdom</v>
          </cell>
          <cell r="B71">
            <v>0.93</v>
          </cell>
          <cell r="C71">
            <v>7.0000000000000007E-2</v>
          </cell>
        </row>
        <row r="72">
          <cell r="A72" t="str">
            <v>Saudi Arabia</v>
          </cell>
          <cell r="B72">
            <v>1</v>
          </cell>
        </row>
        <row r="73">
          <cell r="A73" t="str">
            <v>Iran</v>
          </cell>
          <cell r="B73">
            <v>1</v>
          </cell>
        </row>
        <row r="74">
          <cell r="A74" t="str">
            <v>Thailand</v>
          </cell>
          <cell r="B74">
            <v>1</v>
          </cell>
        </row>
        <row r="75">
          <cell r="A75" t="str">
            <v>Ecuador</v>
          </cell>
        </row>
        <row r="76">
          <cell r="A76" t="str">
            <v>South Africa</v>
          </cell>
        </row>
        <row r="77">
          <cell r="A77" t="str">
            <v>Denmark</v>
          </cell>
        </row>
        <row r="78">
          <cell r="A78" t="str">
            <v>Romania</v>
          </cell>
          <cell r="B78">
            <v>1</v>
          </cell>
        </row>
        <row r="79">
          <cell r="A79" t="str">
            <v>Turkey</v>
          </cell>
          <cell r="B79">
            <v>1</v>
          </cell>
        </row>
        <row r="80">
          <cell r="A80" t="str">
            <v>Venezuela</v>
          </cell>
        </row>
        <row r="81">
          <cell r="A81" t="str">
            <v>Angola</v>
          </cell>
        </row>
        <row r="82">
          <cell r="A82" t="str">
            <v>Cuba</v>
          </cell>
        </row>
        <row r="83">
          <cell r="A83" t="str">
            <v>Mozambique</v>
          </cell>
        </row>
        <row r="84">
          <cell r="A84" t="str">
            <v>Benin</v>
          </cell>
        </row>
        <row r="85">
          <cell r="A85" t="str">
            <v>Rwanda</v>
          </cell>
        </row>
        <row r="86">
          <cell r="A86" t="str">
            <v>Madagascar</v>
          </cell>
        </row>
        <row r="87">
          <cell r="A87" t="str">
            <v>Burkina Faso</v>
          </cell>
        </row>
        <row r="88">
          <cell r="A88" t="str">
            <v>Cameroon</v>
          </cell>
        </row>
        <row r="89">
          <cell r="A89" t="str">
            <v>Brunei</v>
          </cell>
        </row>
        <row r="90">
          <cell r="A90" t="str">
            <v>Libya</v>
          </cell>
        </row>
        <row r="91">
          <cell r="A91" t="str">
            <v>Tajikistan</v>
          </cell>
        </row>
        <row r="92">
          <cell r="A92" t="str">
            <v>Estonia</v>
          </cell>
        </row>
        <row r="93">
          <cell r="A93" t="str">
            <v>Armenia</v>
          </cell>
        </row>
        <row r="94">
          <cell r="A94" t="str">
            <v>Myanmar (Burma)</v>
          </cell>
        </row>
        <row r="95">
          <cell r="A95" t="str">
            <v>Montenegro</v>
          </cell>
        </row>
        <row r="96">
          <cell r="A96" t="str">
            <v>Latvia</v>
          </cell>
        </row>
        <row r="97">
          <cell r="A97" t="str">
            <v>Moldova</v>
          </cell>
        </row>
        <row r="98">
          <cell r="A98" t="str">
            <v>Trinidad &amp; Tobago</v>
          </cell>
        </row>
        <row r="99">
          <cell r="A99" t="str">
            <v>Luxembourg</v>
          </cell>
        </row>
        <row r="100">
          <cell r="A100" t="str">
            <v>Palestine</v>
          </cell>
        </row>
        <row r="101">
          <cell r="A101" t="str">
            <v>Nicaragua</v>
          </cell>
        </row>
        <row r="102">
          <cell r="A102" t="str">
            <v>Tanzania</v>
          </cell>
        </row>
        <row r="103">
          <cell r="A103" t="str">
            <v>Uganda</v>
          </cell>
        </row>
        <row r="104">
          <cell r="A104" t="str">
            <v>Georgia</v>
          </cell>
        </row>
        <row r="105">
          <cell r="A105" t="str">
            <v>North Macedonia</v>
          </cell>
        </row>
        <row r="106">
          <cell r="A106" t="str">
            <v>Albania</v>
          </cell>
        </row>
        <row r="107">
          <cell r="A107" t="str">
            <v>Bosnia &amp; Herzegovina</v>
          </cell>
        </row>
        <row r="108">
          <cell r="A108" t="str">
            <v>El Salvador</v>
          </cell>
        </row>
        <row r="109">
          <cell r="A109" t="str">
            <v>Azerbaijan</v>
          </cell>
        </row>
        <row r="110">
          <cell r="A110" t="str">
            <v>Cyprus</v>
          </cell>
        </row>
        <row r="111">
          <cell r="A111" t="str">
            <v>Oman</v>
          </cell>
        </row>
        <row r="112">
          <cell r="A112" t="str">
            <v>Honduras</v>
          </cell>
        </row>
        <row r="113">
          <cell r="A113" t="str">
            <v>Slovenia</v>
          </cell>
        </row>
        <row r="114">
          <cell r="A114" t="str">
            <v>Syria</v>
          </cell>
        </row>
        <row r="115">
          <cell r="A115" t="str">
            <v>Dominican Republic</v>
          </cell>
        </row>
        <row r="116">
          <cell r="A116" t="str">
            <v>Puerto Rico</v>
          </cell>
        </row>
        <row r="117">
          <cell r="A117" t="str">
            <v>Panama</v>
          </cell>
        </row>
        <row r="118">
          <cell r="A118" t="str">
            <v>Paraguay</v>
          </cell>
        </row>
        <row r="119">
          <cell r="A119" t="str">
            <v>Aruba</v>
          </cell>
        </row>
        <row r="120">
          <cell r="A120" t="str">
            <v>Afghanistan</v>
          </cell>
        </row>
        <row r="121">
          <cell r="A121" t="str">
            <v>Anguilla</v>
          </cell>
        </row>
        <row r="122">
          <cell r="A122" t="str">
            <v>Ã…land Islands</v>
          </cell>
        </row>
        <row r="123">
          <cell r="A123" t="str">
            <v>Andorra</v>
          </cell>
        </row>
        <row r="124">
          <cell r="A124" t="str">
            <v>American Samoa</v>
          </cell>
        </row>
        <row r="125">
          <cell r="A125" t="str">
            <v>Antarctica</v>
          </cell>
        </row>
        <row r="126">
          <cell r="A126" t="str">
            <v>French Southern Territories</v>
          </cell>
        </row>
        <row r="127">
          <cell r="A127" t="str">
            <v>Antigua &amp; Barbuda</v>
          </cell>
        </row>
        <row r="128">
          <cell r="A128" t="str">
            <v>Burundi</v>
          </cell>
        </row>
        <row r="129">
          <cell r="A129" t="str">
            <v>Caribbean Netherlands</v>
          </cell>
        </row>
        <row r="130">
          <cell r="A130" t="str">
            <v>Bahrain</v>
          </cell>
        </row>
        <row r="131">
          <cell r="A131" t="str">
            <v>Bahamas</v>
          </cell>
        </row>
        <row r="132">
          <cell r="A132" t="str">
            <v>St. BarthÃ©lemy</v>
          </cell>
        </row>
        <row r="133">
          <cell r="A133" t="str">
            <v>Belize</v>
          </cell>
        </row>
        <row r="134">
          <cell r="A134" t="str">
            <v>Bermuda</v>
          </cell>
        </row>
        <row r="135">
          <cell r="A135" t="str">
            <v>Bolivia</v>
          </cell>
        </row>
        <row r="136">
          <cell r="A136" t="str">
            <v>Barbados</v>
          </cell>
        </row>
        <row r="137">
          <cell r="A137" t="str">
            <v>Bhutan</v>
          </cell>
        </row>
        <row r="138">
          <cell r="A138" t="str">
            <v>Bouvet Island</v>
          </cell>
        </row>
        <row r="139">
          <cell r="A139" t="str">
            <v>Central African Republic</v>
          </cell>
        </row>
        <row r="140">
          <cell r="A140" t="str">
            <v>Cocos (Keeling) Islands</v>
          </cell>
        </row>
        <row r="141">
          <cell r="A141" t="str">
            <v>CÃ´te dâ€™Ivoire</v>
          </cell>
        </row>
        <row r="142">
          <cell r="A142" t="str">
            <v>Congo - Kinshasa</v>
          </cell>
        </row>
        <row r="143">
          <cell r="A143" t="str">
            <v>Congo - Brazzaville</v>
          </cell>
        </row>
        <row r="144">
          <cell r="A144" t="str">
            <v>Cook Islands</v>
          </cell>
        </row>
        <row r="145">
          <cell r="A145" t="str">
            <v>Comoros</v>
          </cell>
        </row>
        <row r="146">
          <cell r="A146" t="str">
            <v>Cape Verde</v>
          </cell>
        </row>
        <row r="147">
          <cell r="A147" t="str">
            <v>CuraÃ§ao</v>
          </cell>
        </row>
        <row r="148">
          <cell r="A148" t="str">
            <v>Christmas Island</v>
          </cell>
        </row>
        <row r="149">
          <cell r="A149" t="str">
            <v>Cayman Islands</v>
          </cell>
        </row>
        <row r="150">
          <cell r="A150" t="str">
            <v>Djibouti</v>
          </cell>
        </row>
        <row r="151">
          <cell r="A151" t="str">
            <v>Dominica</v>
          </cell>
        </row>
        <row r="152">
          <cell r="A152" t="str">
            <v>Eritrea</v>
          </cell>
        </row>
        <row r="153">
          <cell r="A153" t="str">
            <v>Western Sahara</v>
          </cell>
        </row>
        <row r="154">
          <cell r="A154" t="str">
            <v>Fiji</v>
          </cell>
        </row>
        <row r="155">
          <cell r="A155" t="str">
            <v>Falkland Islands (Islas Malvinas)</v>
          </cell>
        </row>
        <row r="156">
          <cell r="A156" t="str">
            <v>Faroe Islands</v>
          </cell>
        </row>
        <row r="157">
          <cell r="A157" t="str">
            <v>Micronesia</v>
          </cell>
        </row>
        <row r="158">
          <cell r="A158" t="str">
            <v>Gabon</v>
          </cell>
        </row>
        <row r="159">
          <cell r="A159" t="str">
            <v>Guernsey</v>
          </cell>
        </row>
        <row r="160">
          <cell r="A160" t="str">
            <v>Ghana</v>
          </cell>
        </row>
        <row r="161">
          <cell r="A161" t="str">
            <v>Gibraltar</v>
          </cell>
        </row>
        <row r="162">
          <cell r="A162" t="str">
            <v>Guinea</v>
          </cell>
        </row>
        <row r="163">
          <cell r="A163" t="str">
            <v>Guadeloupe</v>
          </cell>
        </row>
        <row r="164">
          <cell r="A164" t="str">
            <v>Gambia</v>
          </cell>
        </row>
        <row r="165">
          <cell r="A165" t="str">
            <v>Guinea-Bissau</v>
          </cell>
        </row>
        <row r="166">
          <cell r="A166" t="str">
            <v>Equatorial Guinea</v>
          </cell>
        </row>
        <row r="167">
          <cell r="A167" t="str">
            <v>Grenada</v>
          </cell>
        </row>
        <row r="168">
          <cell r="A168" t="str">
            <v>Greenland</v>
          </cell>
        </row>
        <row r="169">
          <cell r="A169" t="str">
            <v>French Guiana</v>
          </cell>
        </row>
        <row r="170">
          <cell r="A170" t="str">
            <v>Guam</v>
          </cell>
        </row>
        <row r="171">
          <cell r="A171" t="str">
            <v>Guyana</v>
          </cell>
        </row>
        <row r="172">
          <cell r="A172" t="str">
            <v>Heard &amp; McDonald Islands</v>
          </cell>
        </row>
        <row r="173">
          <cell r="A173" t="str">
            <v>Haiti</v>
          </cell>
        </row>
        <row r="174">
          <cell r="A174" t="str">
            <v>Isle of Man</v>
          </cell>
        </row>
        <row r="175">
          <cell r="A175" t="str">
            <v>British Indian Ocean Territory</v>
          </cell>
        </row>
        <row r="176">
          <cell r="A176" t="str">
            <v>Iraq</v>
          </cell>
        </row>
        <row r="177">
          <cell r="A177" t="str">
            <v>Jamaica</v>
          </cell>
        </row>
        <row r="178">
          <cell r="A178" t="str">
            <v>Jersey</v>
          </cell>
        </row>
        <row r="179">
          <cell r="A179" t="str">
            <v>Jordan</v>
          </cell>
        </row>
        <row r="180">
          <cell r="A180" t="str">
            <v>Kyrgyzstan</v>
          </cell>
        </row>
        <row r="181">
          <cell r="A181" t="str">
            <v>Cambodia</v>
          </cell>
        </row>
        <row r="182">
          <cell r="A182" t="str">
            <v>Kiribati</v>
          </cell>
        </row>
        <row r="183">
          <cell r="A183" t="str">
            <v>St. Kitts &amp; Nevis</v>
          </cell>
        </row>
        <row r="184">
          <cell r="A184" t="str">
            <v>Kuwait</v>
          </cell>
        </row>
        <row r="185">
          <cell r="A185" t="str">
            <v>Laos</v>
          </cell>
        </row>
        <row r="186">
          <cell r="A186" t="str">
            <v>Lebanon</v>
          </cell>
        </row>
        <row r="187">
          <cell r="A187" t="str">
            <v>Liberia</v>
          </cell>
        </row>
        <row r="188">
          <cell r="A188" t="str">
            <v>St. Lucia</v>
          </cell>
        </row>
        <row r="189">
          <cell r="A189" t="str">
            <v>Liechtenstein</v>
          </cell>
        </row>
        <row r="190">
          <cell r="A190" t="str">
            <v>Lesotho</v>
          </cell>
        </row>
        <row r="191">
          <cell r="A191" t="str">
            <v>Macao</v>
          </cell>
        </row>
        <row r="192">
          <cell r="A192" t="str">
            <v>St. Martin</v>
          </cell>
        </row>
        <row r="193">
          <cell r="A193" t="str">
            <v>Monaco</v>
          </cell>
        </row>
        <row r="194">
          <cell r="A194" t="str">
            <v>Maldives</v>
          </cell>
        </row>
        <row r="195">
          <cell r="A195" t="str">
            <v>Marshall Islands</v>
          </cell>
        </row>
        <row r="196">
          <cell r="A196" t="str">
            <v>Mali</v>
          </cell>
        </row>
        <row r="197">
          <cell r="A197" t="str">
            <v>Malta</v>
          </cell>
        </row>
        <row r="198">
          <cell r="A198" t="str">
            <v>Mongolia</v>
          </cell>
        </row>
        <row r="199">
          <cell r="A199" t="str">
            <v>Northern Mariana Islands</v>
          </cell>
        </row>
        <row r="200">
          <cell r="A200" t="str">
            <v>Mauritania</v>
          </cell>
        </row>
        <row r="201">
          <cell r="A201" t="str">
            <v>Montserrat</v>
          </cell>
        </row>
        <row r="202">
          <cell r="A202" t="str">
            <v>Martinique</v>
          </cell>
        </row>
        <row r="203">
          <cell r="A203" t="str">
            <v>Mauritius</v>
          </cell>
        </row>
        <row r="204">
          <cell r="A204" t="str">
            <v>Malawi</v>
          </cell>
        </row>
        <row r="205">
          <cell r="A205" t="str">
            <v>Mayotte</v>
          </cell>
        </row>
        <row r="206">
          <cell r="A206" t="str">
            <v>Namibia</v>
          </cell>
        </row>
        <row r="207">
          <cell r="A207" t="str">
            <v>New Caledonia</v>
          </cell>
        </row>
        <row r="208">
          <cell r="A208" t="str">
            <v>Niger</v>
          </cell>
        </row>
        <row r="209">
          <cell r="A209" t="str">
            <v>Norfolk Island</v>
          </cell>
        </row>
        <row r="210">
          <cell r="A210" t="str">
            <v>Niue</v>
          </cell>
        </row>
        <row r="211">
          <cell r="A211" t="str">
            <v>Nauru</v>
          </cell>
        </row>
        <row r="212">
          <cell r="A212" t="str">
            <v>Pitcairn Islands</v>
          </cell>
        </row>
        <row r="213">
          <cell r="A213" t="str">
            <v>Palau</v>
          </cell>
        </row>
        <row r="214">
          <cell r="A214" t="str">
            <v>Papua New Guinea</v>
          </cell>
        </row>
        <row r="215">
          <cell r="A215" t="str">
            <v>North Korea</v>
          </cell>
        </row>
        <row r="216">
          <cell r="A216" t="str">
            <v>French Polynesia</v>
          </cell>
        </row>
        <row r="217">
          <cell r="A217" t="str">
            <v>Qatar</v>
          </cell>
        </row>
        <row r="218">
          <cell r="A218" t="str">
            <v>RÃ©union</v>
          </cell>
        </row>
        <row r="219">
          <cell r="A219" t="str">
            <v>Sudan</v>
          </cell>
        </row>
        <row r="220">
          <cell r="A220" t="str">
            <v>Senegal</v>
          </cell>
        </row>
        <row r="221">
          <cell r="A221" t="str">
            <v>South Georgia &amp; South Sandwich Islands</v>
          </cell>
        </row>
        <row r="222">
          <cell r="A222" t="str">
            <v>Svalbard &amp; Jan Mayen</v>
          </cell>
        </row>
        <row r="223">
          <cell r="A223" t="str">
            <v>Solomon Islands</v>
          </cell>
        </row>
        <row r="224">
          <cell r="A224" t="str">
            <v>Sierra Leone</v>
          </cell>
        </row>
        <row r="225">
          <cell r="A225" t="str">
            <v>San Marino</v>
          </cell>
        </row>
        <row r="226">
          <cell r="A226" t="str">
            <v>Somalia</v>
          </cell>
        </row>
        <row r="227">
          <cell r="A227" t="str">
            <v>St. Pierre &amp; Miquelon</v>
          </cell>
        </row>
        <row r="228">
          <cell r="A228" t="str">
            <v>South Sudan</v>
          </cell>
        </row>
        <row r="229">
          <cell r="A229" t="str">
            <v>SÃ£o TomÃ© &amp; PrÃ­ncipe</v>
          </cell>
        </row>
        <row r="230">
          <cell r="A230" t="str">
            <v>Suriname</v>
          </cell>
        </row>
        <row r="231">
          <cell r="A231" t="str">
            <v>Eswatini</v>
          </cell>
        </row>
        <row r="232">
          <cell r="A232" t="str">
            <v>Sint Maarten</v>
          </cell>
        </row>
        <row r="233">
          <cell r="A233" t="str">
            <v>Seychelles</v>
          </cell>
        </row>
        <row r="234">
          <cell r="A234" t="str">
            <v>Turks &amp; Caicos Islands</v>
          </cell>
        </row>
        <row r="235">
          <cell r="A235" t="str">
            <v>Chad</v>
          </cell>
        </row>
        <row r="236">
          <cell r="A236" t="str">
            <v>Togo</v>
          </cell>
        </row>
        <row r="237">
          <cell r="A237" t="str">
            <v>Tokelau</v>
          </cell>
        </row>
        <row r="238">
          <cell r="A238" t="str">
            <v>Turkmenistan</v>
          </cell>
        </row>
        <row r="239">
          <cell r="A239" t="str">
            <v>Timor-Leste</v>
          </cell>
        </row>
        <row r="240">
          <cell r="A240" t="str">
            <v>Tonga</v>
          </cell>
        </row>
        <row r="241">
          <cell r="A241" t="str">
            <v>Tuvalu</v>
          </cell>
        </row>
        <row r="242">
          <cell r="A242" t="str">
            <v>U.S. Outlying Islands</v>
          </cell>
        </row>
        <row r="243">
          <cell r="A243" t="str">
            <v>Uzbekistan</v>
          </cell>
        </row>
        <row r="244">
          <cell r="A244" t="str">
            <v>Vatican City</v>
          </cell>
        </row>
        <row r="245">
          <cell r="A245" t="str">
            <v>St. Vincent &amp; Grenadines</v>
          </cell>
        </row>
        <row r="246">
          <cell r="A246" t="str">
            <v>British Virgin Islands</v>
          </cell>
        </row>
        <row r="247">
          <cell r="A247" t="str">
            <v>U.S. Virgin Islands</v>
          </cell>
        </row>
        <row r="248">
          <cell r="A248" t="str">
            <v>Vanuatu</v>
          </cell>
        </row>
        <row r="249">
          <cell r="A249" t="str">
            <v>Wallis &amp; Futuna</v>
          </cell>
        </row>
        <row r="250">
          <cell r="A250" t="str">
            <v>Samoa</v>
          </cell>
        </row>
        <row r="251">
          <cell r="A251" t="str">
            <v>Kosovo</v>
          </cell>
        </row>
        <row r="252">
          <cell r="A252" t="str">
            <v>Yemen</v>
          </cell>
        </row>
        <row r="253">
          <cell r="A253" t="str">
            <v>Zambia</v>
          </cell>
        </row>
      </sheetData>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60)"/>
    </sheetNames>
    <sheetDataSet>
      <sheetData sheetId="0" refreshError="1">
        <row r="1">
          <cell r="A1" t="str">
            <v>Category: All categories</v>
          </cell>
        </row>
        <row r="3">
          <cell r="A3" t="str">
            <v>Country</v>
          </cell>
          <cell r="B3" t="str">
            <v>Mutual exclusion: (2018)</v>
          </cell>
          <cell r="C3" t="str">
            <v>Polynomial-time reduction: (2018)</v>
          </cell>
        </row>
        <row r="4">
          <cell r="A4" t="str">
            <v>China</v>
          </cell>
          <cell r="B4">
            <v>1</v>
          </cell>
        </row>
        <row r="5">
          <cell r="A5" t="str">
            <v>Botswana</v>
          </cell>
        </row>
        <row r="6">
          <cell r="A6" t="str">
            <v>Taiwan</v>
          </cell>
          <cell r="B6">
            <v>1</v>
          </cell>
        </row>
        <row r="7">
          <cell r="A7" t="str">
            <v>Israel</v>
          </cell>
          <cell r="B7">
            <v>1</v>
          </cell>
        </row>
        <row r="8">
          <cell r="A8" t="str">
            <v>Japan</v>
          </cell>
          <cell r="B8">
            <v>1</v>
          </cell>
          <cell r="C8" t="str">
            <v>&lt;1%</v>
          </cell>
        </row>
        <row r="9">
          <cell r="A9" t="str">
            <v>Zimbabwe</v>
          </cell>
        </row>
        <row r="10">
          <cell r="A10" t="str">
            <v>Belarus</v>
          </cell>
          <cell r="B10">
            <v>1</v>
          </cell>
        </row>
        <row r="11">
          <cell r="A11" t="str">
            <v>Czechia</v>
          </cell>
          <cell r="B11">
            <v>1</v>
          </cell>
        </row>
        <row r="12">
          <cell r="A12" t="str">
            <v>Kenya</v>
          </cell>
          <cell r="B12">
            <v>1</v>
          </cell>
        </row>
        <row r="13">
          <cell r="A13" t="str">
            <v>Ethiopia</v>
          </cell>
        </row>
        <row r="14">
          <cell r="A14" t="str">
            <v>Russia</v>
          </cell>
          <cell r="B14">
            <v>1</v>
          </cell>
        </row>
        <row r="15">
          <cell r="A15" t="str">
            <v>Austria</v>
          </cell>
          <cell r="B15">
            <v>1</v>
          </cell>
        </row>
        <row r="16">
          <cell r="A16" t="str">
            <v>Nepal</v>
          </cell>
          <cell r="B16">
            <v>1</v>
          </cell>
        </row>
        <row r="17">
          <cell r="A17" t="str">
            <v>Germany</v>
          </cell>
          <cell r="B17">
            <v>0.98</v>
          </cell>
          <cell r="C17">
            <v>0.02</v>
          </cell>
        </row>
        <row r="18">
          <cell r="A18" t="str">
            <v>Norway</v>
          </cell>
          <cell r="B18">
            <v>1</v>
          </cell>
        </row>
        <row r="19">
          <cell r="A19" t="str">
            <v>South Korea</v>
          </cell>
          <cell r="B19">
            <v>1</v>
          </cell>
        </row>
        <row r="20">
          <cell r="A20" t="str">
            <v>Finland</v>
          </cell>
          <cell r="B20">
            <v>1</v>
          </cell>
        </row>
        <row r="21">
          <cell r="A21" t="str">
            <v>Iceland</v>
          </cell>
        </row>
        <row r="22">
          <cell r="A22" t="str">
            <v>Sweden</v>
          </cell>
          <cell r="B22">
            <v>1</v>
          </cell>
        </row>
        <row r="23">
          <cell r="A23" t="str">
            <v>Ukraine</v>
          </cell>
          <cell r="B23">
            <v>1</v>
          </cell>
        </row>
        <row r="24">
          <cell r="A24" t="str">
            <v>Portugal</v>
          </cell>
          <cell r="B24">
            <v>1</v>
          </cell>
        </row>
        <row r="25">
          <cell r="A25" t="str">
            <v>Laos</v>
          </cell>
        </row>
        <row r="26">
          <cell r="A26" t="str">
            <v>Switzerland</v>
          </cell>
          <cell r="B26">
            <v>1</v>
          </cell>
        </row>
        <row r="27">
          <cell r="A27" t="str">
            <v>Poland</v>
          </cell>
          <cell r="B27">
            <v>1</v>
          </cell>
        </row>
        <row r="28">
          <cell r="A28" t="str">
            <v>India</v>
          </cell>
          <cell r="B28">
            <v>0.96</v>
          </cell>
          <cell r="C28">
            <v>0.04</v>
          </cell>
        </row>
        <row r="29">
          <cell r="A29" t="str">
            <v>Algeria</v>
          </cell>
          <cell r="B29">
            <v>1</v>
          </cell>
        </row>
        <row r="30">
          <cell r="A30" t="str">
            <v>Tunisia</v>
          </cell>
          <cell r="B30">
            <v>1</v>
          </cell>
        </row>
        <row r="31">
          <cell r="A31" t="str">
            <v>Hong Kong</v>
          </cell>
          <cell r="B31">
            <v>1</v>
          </cell>
        </row>
        <row r="32">
          <cell r="A32" t="str">
            <v>Pakistan</v>
          </cell>
          <cell r="B32">
            <v>1</v>
          </cell>
        </row>
        <row r="33">
          <cell r="A33" t="str">
            <v>Croatia</v>
          </cell>
          <cell r="B33">
            <v>1</v>
          </cell>
        </row>
        <row r="34">
          <cell r="A34" t="str">
            <v>Hungary</v>
          </cell>
          <cell r="B34">
            <v>1</v>
          </cell>
        </row>
        <row r="35">
          <cell r="A35" t="str">
            <v>Sri Lanka</v>
          </cell>
          <cell r="B35">
            <v>1</v>
          </cell>
        </row>
        <row r="36">
          <cell r="A36" t="str">
            <v>Serbia</v>
          </cell>
          <cell r="B36">
            <v>1</v>
          </cell>
        </row>
        <row r="37">
          <cell r="A37" t="str">
            <v>Costa Rica</v>
          </cell>
          <cell r="B37">
            <v>1</v>
          </cell>
        </row>
        <row r="38">
          <cell r="A38" t="str">
            <v>Italy</v>
          </cell>
          <cell r="B38">
            <v>1</v>
          </cell>
        </row>
        <row r="39">
          <cell r="A39" t="str">
            <v>Slovakia</v>
          </cell>
          <cell r="B39">
            <v>1</v>
          </cell>
        </row>
        <row r="40">
          <cell r="A40" t="str">
            <v>Netherlands</v>
          </cell>
          <cell r="B40">
            <v>1</v>
          </cell>
        </row>
        <row r="41">
          <cell r="A41" t="str">
            <v>Bulgaria</v>
          </cell>
          <cell r="B41">
            <v>1</v>
          </cell>
        </row>
        <row r="42">
          <cell r="A42" t="str">
            <v>St. Helena</v>
          </cell>
        </row>
        <row r="43">
          <cell r="A43" t="str">
            <v>Spain</v>
          </cell>
          <cell r="B43">
            <v>1</v>
          </cell>
        </row>
        <row r="44">
          <cell r="A44" t="str">
            <v>Ireland</v>
          </cell>
          <cell r="B44">
            <v>1</v>
          </cell>
        </row>
        <row r="45">
          <cell r="A45" t="str">
            <v>Guatemala</v>
          </cell>
        </row>
        <row r="46">
          <cell r="A46" t="str">
            <v>Greece</v>
          </cell>
          <cell r="B46">
            <v>1</v>
          </cell>
        </row>
        <row r="47">
          <cell r="A47" t="str">
            <v>Nigeria</v>
          </cell>
          <cell r="B47">
            <v>1</v>
          </cell>
        </row>
        <row r="48">
          <cell r="A48" t="str">
            <v>France</v>
          </cell>
          <cell r="B48">
            <v>1</v>
          </cell>
        </row>
        <row r="49">
          <cell r="A49" t="str">
            <v>Morocco</v>
          </cell>
          <cell r="B49">
            <v>1</v>
          </cell>
        </row>
        <row r="50">
          <cell r="A50" t="str">
            <v>Belgium</v>
          </cell>
          <cell r="B50">
            <v>1</v>
          </cell>
        </row>
        <row r="51">
          <cell r="A51" t="str">
            <v>Singapore</v>
          </cell>
          <cell r="B51">
            <v>1</v>
          </cell>
        </row>
        <row r="52">
          <cell r="A52" t="str">
            <v>Chile</v>
          </cell>
          <cell r="B52">
            <v>1</v>
          </cell>
        </row>
        <row r="53">
          <cell r="A53" t="str">
            <v>Vietnam</v>
          </cell>
          <cell r="B53">
            <v>1</v>
          </cell>
        </row>
        <row r="54">
          <cell r="A54" t="str">
            <v>Uruguay</v>
          </cell>
        </row>
        <row r="55">
          <cell r="A55" t="str">
            <v>Brazil</v>
          </cell>
          <cell r="B55">
            <v>0.99</v>
          </cell>
          <cell r="C55">
            <v>0.01</v>
          </cell>
        </row>
        <row r="56">
          <cell r="A56" t="str">
            <v>Argentina</v>
          </cell>
          <cell r="B56">
            <v>1</v>
          </cell>
        </row>
        <row r="57">
          <cell r="A57" t="str">
            <v>Kazakhstan</v>
          </cell>
          <cell r="B57">
            <v>1</v>
          </cell>
        </row>
        <row r="58">
          <cell r="A58" t="str">
            <v>Canada</v>
          </cell>
          <cell r="B58">
            <v>0.8</v>
          </cell>
          <cell r="C58">
            <v>0.2</v>
          </cell>
        </row>
        <row r="59">
          <cell r="A59" t="str">
            <v>United States</v>
          </cell>
          <cell r="B59">
            <v>0.93</v>
          </cell>
          <cell r="C59">
            <v>7.0000000000000007E-2</v>
          </cell>
        </row>
        <row r="60">
          <cell r="A60" t="str">
            <v>Mexico</v>
          </cell>
          <cell r="B60">
            <v>1</v>
          </cell>
        </row>
        <row r="61">
          <cell r="A61" t="str">
            <v>Malaysia</v>
          </cell>
          <cell r="B61">
            <v>1</v>
          </cell>
        </row>
        <row r="62">
          <cell r="A62" t="str">
            <v>Indonesia</v>
          </cell>
          <cell r="B62">
            <v>1</v>
          </cell>
        </row>
        <row r="63">
          <cell r="A63" t="str">
            <v>Bangladesh</v>
          </cell>
        </row>
        <row r="64">
          <cell r="A64" t="str">
            <v>Australia</v>
          </cell>
          <cell r="B64">
            <v>0.88</v>
          </cell>
          <cell r="C64">
            <v>0.12</v>
          </cell>
        </row>
        <row r="65">
          <cell r="A65" t="str">
            <v>Bolivia</v>
          </cell>
        </row>
        <row r="66">
          <cell r="A66" t="str">
            <v>United Kingdom</v>
          </cell>
          <cell r="B66">
            <v>0.96</v>
          </cell>
          <cell r="C66">
            <v>0.04</v>
          </cell>
        </row>
        <row r="67">
          <cell r="A67" t="str">
            <v>New Zealand</v>
          </cell>
        </row>
        <row r="68">
          <cell r="A68" t="str">
            <v>United Arab Emirates</v>
          </cell>
        </row>
        <row r="69">
          <cell r="A69" t="str">
            <v>Colombia</v>
          </cell>
          <cell r="B69">
            <v>1</v>
          </cell>
        </row>
        <row r="70">
          <cell r="A70" t="str">
            <v>Peru</v>
          </cell>
          <cell r="B70">
            <v>1</v>
          </cell>
        </row>
        <row r="71">
          <cell r="A71" t="str">
            <v>Romania</v>
          </cell>
          <cell r="B71">
            <v>1</v>
          </cell>
        </row>
        <row r="72">
          <cell r="A72" t="str">
            <v>Iran</v>
          </cell>
          <cell r="B72">
            <v>1</v>
          </cell>
        </row>
        <row r="73">
          <cell r="A73" t="str">
            <v>Philippines</v>
          </cell>
          <cell r="B73">
            <v>1</v>
          </cell>
        </row>
        <row r="74">
          <cell r="A74" t="str">
            <v>Egypt</v>
          </cell>
          <cell r="B74">
            <v>1</v>
          </cell>
        </row>
        <row r="75">
          <cell r="A75" t="str">
            <v>Saudi Arabia</v>
          </cell>
          <cell r="B75">
            <v>1</v>
          </cell>
        </row>
        <row r="76">
          <cell r="A76" t="str">
            <v>Denmark</v>
          </cell>
        </row>
        <row r="77">
          <cell r="A77" t="str">
            <v>Thailand</v>
          </cell>
          <cell r="B77">
            <v>1</v>
          </cell>
        </row>
        <row r="78">
          <cell r="A78" t="str">
            <v>South Africa</v>
          </cell>
        </row>
        <row r="79">
          <cell r="A79" t="str">
            <v>Ecuador</v>
          </cell>
        </row>
        <row r="80">
          <cell r="A80" t="str">
            <v>Turkey</v>
          </cell>
          <cell r="B80">
            <v>1</v>
          </cell>
        </row>
        <row r="81">
          <cell r="A81" t="str">
            <v>Venezuela</v>
          </cell>
        </row>
        <row r="82">
          <cell r="A82" t="str">
            <v>Guyana</v>
          </cell>
        </row>
        <row r="83">
          <cell r="A83" t="str">
            <v>Cuba</v>
          </cell>
        </row>
        <row r="84">
          <cell r="A84" t="str">
            <v>Mozambique</v>
          </cell>
        </row>
        <row r="85">
          <cell r="A85" t="str">
            <v>Angola</v>
          </cell>
        </row>
        <row r="86">
          <cell r="A86" t="str">
            <v>Rwanda</v>
          </cell>
        </row>
        <row r="87">
          <cell r="A87" t="str">
            <v>Burkina Faso</v>
          </cell>
        </row>
        <row r="88">
          <cell r="A88" t="str">
            <v>Zambia</v>
          </cell>
        </row>
        <row r="89">
          <cell r="A89" t="str">
            <v>Cameroon</v>
          </cell>
        </row>
        <row r="90">
          <cell r="A90" t="str">
            <v>Armenia</v>
          </cell>
        </row>
        <row r="91">
          <cell r="A91" t="str">
            <v>Tajikistan</v>
          </cell>
        </row>
        <row r="92">
          <cell r="A92" t="str">
            <v>Albania</v>
          </cell>
        </row>
        <row r="93">
          <cell r="A93" t="str">
            <v>Myanmar (Burma)</v>
          </cell>
        </row>
        <row r="94">
          <cell r="A94" t="str">
            <v>CÃ´te dâ€™Ivoire</v>
          </cell>
        </row>
        <row r="95">
          <cell r="A95" t="str">
            <v>Mongolia</v>
          </cell>
        </row>
        <row r="96">
          <cell r="A96" t="str">
            <v>Montenegro</v>
          </cell>
        </row>
        <row r="97">
          <cell r="A97" t="str">
            <v>Estonia</v>
          </cell>
        </row>
        <row r="98">
          <cell r="A98" t="str">
            <v>Latvia</v>
          </cell>
        </row>
        <row r="99">
          <cell r="A99" t="str">
            <v>Congo - Kinshasa</v>
          </cell>
        </row>
        <row r="100">
          <cell r="A100" t="str">
            <v>Tanzania</v>
          </cell>
        </row>
        <row r="101">
          <cell r="A101" t="str">
            <v>Cyprus</v>
          </cell>
        </row>
        <row r="102">
          <cell r="A102" t="str">
            <v>Trinidad &amp; Tobago</v>
          </cell>
        </row>
        <row r="103">
          <cell r="A103" t="str">
            <v>Libya</v>
          </cell>
        </row>
        <row r="104">
          <cell r="A104" t="str">
            <v>Luxembourg</v>
          </cell>
        </row>
        <row r="105">
          <cell r="A105" t="str">
            <v>Azerbaijan</v>
          </cell>
        </row>
        <row r="106">
          <cell r="A106" t="str">
            <v>Palestine</v>
          </cell>
        </row>
        <row r="107">
          <cell r="A107" t="str">
            <v>Uganda</v>
          </cell>
        </row>
        <row r="108">
          <cell r="A108" t="str">
            <v>Georgia</v>
          </cell>
        </row>
        <row r="109">
          <cell r="A109" t="str">
            <v>North Macedonia</v>
          </cell>
        </row>
        <row r="110">
          <cell r="A110" t="str">
            <v>Bosnia &amp; Herzegovina</v>
          </cell>
        </row>
        <row r="111">
          <cell r="A111" t="str">
            <v>Syria</v>
          </cell>
        </row>
        <row r="112">
          <cell r="A112" t="str">
            <v>Slovenia</v>
          </cell>
        </row>
        <row r="113">
          <cell r="A113" t="str">
            <v>Paraguay</v>
          </cell>
        </row>
        <row r="114">
          <cell r="A114" t="str">
            <v>Oman</v>
          </cell>
        </row>
        <row r="115">
          <cell r="A115" t="str">
            <v>El Salvador</v>
          </cell>
        </row>
        <row r="116">
          <cell r="A116" t="str">
            <v>Puerto Rico</v>
          </cell>
        </row>
        <row r="117">
          <cell r="A117" t="str">
            <v>Panama</v>
          </cell>
        </row>
        <row r="118">
          <cell r="A118" t="str">
            <v>Dominican Republic</v>
          </cell>
        </row>
        <row r="119">
          <cell r="A119" t="str">
            <v>Aruba</v>
          </cell>
        </row>
        <row r="120">
          <cell r="A120" t="str">
            <v>Afghanistan</v>
          </cell>
        </row>
        <row r="121">
          <cell r="A121" t="str">
            <v>Anguilla</v>
          </cell>
        </row>
        <row r="122">
          <cell r="A122" t="str">
            <v>Ã…land Islands</v>
          </cell>
        </row>
        <row r="123">
          <cell r="A123" t="str">
            <v>Andorra</v>
          </cell>
        </row>
        <row r="124">
          <cell r="A124" t="str">
            <v>American Samoa</v>
          </cell>
        </row>
        <row r="125">
          <cell r="A125" t="str">
            <v>Antarctica</v>
          </cell>
        </row>
        <row r="126">
          <cell r="A126" t="str">
            <v>French Southern Territories</v>
          </cell>
        </row>
        <row r="127">
          <cell r="A127" t="str">
            <v>Antigua &amp; Barbuda</v>
          </cell>
        </row>
        <row r="128">
          <cell r="A128" t="str">
            <v>Burundi</v>
          </cell>
        </row>
        <row r="129">
          <cell r="A129" t="str">
            <v>Benin</v>
          </cell>
        </row>
        <row r="130">
          <cell r="A130" t="str">
            <v>Caribbean Netherlands</v>
          </cell>
        </row>
        <row r="131">
          <cell r="A131" t="str">
            <v>Bahrain</v>
          </cell>
        </row>
        <row r="132">
          <cell r="A132" t="str">
            <v>Bahamas</v>
          </cell>
        </row>
        <row r="133">
          <cell r="A133" t="str">
            <v>St. BarthÃ©lemy</v>
          </cell>
        </row>
        <row r="134">
          <cell r="A134" t="str">
            <v>Belize</v>
          </cell>
        </row>
        <row r="135">
          <cell r="A135" t="str">
            <v>Bermuda</v>
          </cell>
        </row>
        <row r="136">
          <cell r="A136" t="str">
            <v>Barbados</v>
          </cell>
        </row>
        <row r="137">
          <cell r="A137" t="str">
            <v>Brunei</v>
          </cell>
        </row>
        <row r="138">
          <cell r="A138" t="str">
            <v>Bhutan</v>
          </cell>
        </row>
        <row r="139">
          <cell r="A139" t="str">
            <v>Bouvet Island</v>
          </cell>
        </row>
        <row r="140">
          <cell r="A140" t="str">
            <v>Central African Republic</v>
          </cell>
        </row>
        <row r="141">
          <cell r="A141" t="str">
            <v>Cocos (Keeling) Islands</v>
          </cell>
        </row>
        <row r="142">
          <cell r="A142" t="str">
            <v>Congo - Brazzaville</v>
          </cell>
        </row>
        <row r="143">
          <cell r="A143" t="str">
            <v>Cook Islands</v>
          </cell>
        </row>
        <row r="144">
          <cell r="A144" t="str">
            <v>Comoros</v>
          </cell>
        </row>
        <row r="145">
          <cell r="A145" t="str">
            <v>Cape Verde</v>
          </cell>
        </row>
        <row r="146">
          <cell r="A146" t="str">
            <v>CuraÃ§ao</v>
          </cell>
        </row>
        <row r="147">
          <cell r="A147" t="str">
            <v>Christmas Island</v>
          </cell>
        </row>
        <row r="148">
          <cell r="A148" t="str">
            <v>Cayman Islands</v>
          </cell>
        </row>
        <row r="149">
          <cell r="A149" t="str">
            <v>Djibouti</v>
          </cell>
        </row>
        <row r="150">
          <cell r="A150" t="str">
            <v>Dominica</v>
          </cell>
        </row>
        <row r="151">
          <cell r="A151" t="str">
            <v>Eritrea</v>
          </cell>
        </row>
        <row r="152">
          <cell r="A152" t="str">
            <v>Western Sahara</v>
          </cell>
        </row>
        <row r="153">
          <cell r="A153" t="str">
            <v>Fiji</v>
          </cell>
        </row>
        <row r="154">
          <cell r="A154" t="str">
            <v>Falkland Islands (Islas Malvinas)</v>
          </cell>
        </row>
        <row r="155">
          <cell r="A155" t="str">
            <v>Faroe Islands</v>
          </cell>
        </row>
        <row r="156">
          <cell r="A156" t="str">
            <v>Micronesia</v>
          </cell>
        </row>
        <row r="157">
          <cell r="A157" t="str">
            <v>Gabon</v>
          </cell>
        </row>
        <row r="158">
          <cell r="A158" t="str">
            <v>Guernsey</v>
          </cell>
        </row>
        <row r="159">
          <cell r="A159" t="str">
            <v>Ghana</v>
          </cell>
        </row>
        <row r="160">
          <cell r="A160" t="str">
            <v>Gibraltar</v>
          </cell>
        </row>
        <row r="161">
          <cell r="A161" t="str">
            <v>Guinea</v>
          </cell>
        </row>
        <row r="162">
          <cell r="A162" t="str">
            <v>Guadeloupe</v>
          </cell>
        </row>
        <row r="163">
          <cell r="A163" t="str">
            <v>Gambia</v>
          </cell>
        </row>
        <row r="164">
          <cell r="A164" t="str">
            <v>Guinea-Bissau</v>
          </cell>
        </row>
        <row r="165">
          <cell r="A165" t="str">
            <v>Equatorial Guinea</v>
          </cell>
        </row>
        <row r="166">
          <cell r="A166" t="str">
            <v>Grenada</v>
          </cell>
        </row>
        <row r="167">
          <cell r="A167" t="str">
            <v>Greenland</v>
          </cell>
        </row>
        <row r="168">
          <cell r="A168" t="str">
            <v>French Guiana</v>
          </cell>
        </row>
        <row r="169">
          <cell r="A169" t="str">
            <v>Guam</v>
          </cell>
        </row>
        <row r="170">
          <cell r="A170" t="str">
            <v>Heard &amp; McDonald Islands</v>
          </cell>
        </row>
        <row r="171">
          <cell r="A171" t="str">
            <v>Honduras</v>
          </cell>
        </row>
        <row r="172">
          <cell r="A172" t="str">
            <v>Haiti</v>
          </cell>
        </row>
        <row r="173">
          <cell r="A173" t="str">
            <v>Isle of Man</v>
          </cell>
        </row>
        <row r="174">
          <cell r="A174" t="str">
            <v>British Indian Ocean Territory</v>
          </cell>
        </row>
        <row r="175">
          <cell r="A175" t="str">
            <v>Iraq</v>
          </cell>
        </row>
        <row r="176">
          <cell r="A176" t="str">
            <v>Jamaica</v>
          </cell>
        </row>
        <row r="177">
          <cell r="A177" t="str">
            <v>Jersey</v>
          </cell>
        </row>
        <row r="178">
          <cell r="A178" t="str">
            <v>Jordan</v>
          </cell>
        </row>
        <row r="179">
          <cell r="A179" t="str">
            <v>Kyrgyzstan</v>
          </cell>
        </row>
        <row r="180">
          <cell r="A180" t="str">
            <v>Cambodia</v>
          </cell>
        </row>
        <row r="181">
          <cell r="A181" t="str">
            <v>Kiribati</v>
          </cell>
        </row>
        <row r="182">
          <cell r="A182" t="str">
            <v>St. Kitts &amp; Nevis</v>
          </cell>
        </row>
        <row r="183">
          <cell r="A183" t="str">
            <v>Kuwait</v>
          </cell>
        </row>
        <row r="184">
          <cell r="A184" t="str">
            <v>Lebanon</v>
          </cell>
        </row>
        <row r="185">
          <cell r="A185" t="str">
            <v>Liberia</v>
          </cell>
        </row>
        <row r="186">
          <cell r="A186" t="str">
            <v>St. Lucia</v>
          </cell>
        </row>
        <row r="187">
          <cell r="A187" t="str">
            <v>Liechtenstein</v>
          </cell>
        </row>
        <row r="188">
          <cell r="A188" t="str">
            <v>Lesotho</v>
          </cell>
        </row>
        <row r="189">
          <cell r="A189" t="str">
            <v>Lithuania</v>
          </cell>
        </row>
        <row r="190">
          <cell r="A190" t="str">
            <v>Macao</v>
          </cell>
        </row>
        <row r="191">
          <cell r="A191" t="str">
            <v>St. Martin</v>
          </cell>
        </row>
        <row r="192">
          <cell r="A192" t="str">
            <v>Monaco</v>
          </cell>
        </row>
        <row r="193">
          <cell r="A193" t="str">
            <v>Moldova</v>
          </cell>
        </row>
        <row r="194">
          <cell r="A194" t="str">
            <v>Madagascar</v>
          </cell>
        </row>
        <row r="195">
          <cell r="A195" t="str">
            <v>Maldives</v>
          </cell>
        </row>
        <row r="196">
          <cell r="A196" t="str">
            <v>Marshall Islands</v>
          </cell>
        </row>
        <row r="197">
          <cell r="A197" t="str">
            <v>Mali</v>
          </cell>
        </row>
        <row r="198">
          <cell r="A198" t="str">
            <v>Malta</v>
          </cell>
        </row>
        <row r="199">
          <cell r="A199" t="str">
            <v>Northern Mariana Islands</v>
          </cell>
        </row>
        <row r="200">
          <cell r="A200" t="str">
            <v>Mauritania</v>
          </cell>
        </row>
        <row r="201">
          <cell r="A201" t="str">
            <v>Montserrat</v>
          </cell>
        </row>
        <row r="202">
          <cell r="A202" t="str">
            <v>Martinique</v>
          </cell>
        </row>
        <row r="203">
          <cell r="A203" t="str">
            <v>Mauritius</v>
          </cell>
        </row>
        <row r="204">
          <cell r="A204" t="str">
            <v>Malawi</v>
          </cell>
        </row>
        <row r="205">
          <cell r="A205" t="str">
            <v>Mayotte</v>
          </cell>
        </row>
        <row r="206">
          <cell r="A206" t="str">
            <v>Namibia</v>
          </cell>
        </row>
        <row r="207">
          <cell r="A207" t="str">
            <v>New Caledonia</v>
          </cell>
        </row>
        <row r="208">
          <cell r="A208" t="str">
            <v>Niger</v>
          </cell>
        </row>
        <row r="209">
          <cell r="A209" t="str">
            <v>Norfolk Island</v>
          </cell>
        </row>
        <row r="210">
          <cell r="A210" t="str">
            <v>Nicaragua</v>
          </cell>
        </row>
        <row r="211">
          <cell r="A211" t="str">
            <v>Niue</v>
          </cell>
        </row>
        <row r="212">
          <cell r="A212" t="str">
            <v>Nauru</v>
          </cell>
        </row>
        <row r="213">
          <cell r="A213" t="str">
            <v>Pitcairn Islands</v>
          </cell>
        </row>
        <row r="214">
          <cell r="A214" t="str">
            <v>Palau</v>
          </cell>
        </row>
        <row r="215">
          <cell r="A215" t="str">
            <v>Papua New Guinea</v>
          </cell>
        </row>
        <row r="216">
          <cell r="A216" t="str">
            <v>North Korea</v>
          </cell>
        </row>
        <row r="217">
          <cell r="A217" t="str">
            <v>French Polynesia</v>
          </cell>
        </row>
        <row r="218">
          <cell r="A218" t="str">
            <v>Qatar</v>
          </cell>
        </row>
        <row r="219">
          <cell r="A219" t="str">
            <v>RÃ©union</v>
          </cell>
        </row>
        <row r="220">
          <cell r="A220" t="str">
            <v>Sudan</v>
          </cell>
        </row>
        <row r="221">
          <cell r="A221" t="str">
            <v>Senegal</v>
          </cell>
        </row>
        <row r="222">
          <cell r="A222" t="str">
            <v>South Georgia &amp; South Sandwich Islands</v>
          </cell>
        </row>
        <row r="223">
          <cell r="A223" t="str">
            <v>Svalbard &amp; Jan Mayen</v>
          </cell>
        </row>
        <row r="224">
          <cell r="A224" t="str">
            <v>Solomon Islands</v>
          </cell>
        </row>
        <row r="225">
          <cell r="A225" t="str">
            <v>Sierra Leone</v>
          </cell>
        </row>
        <row r="226">
          <cell r="A226" t="str">
            <v>San Marino</v>
          </cell>
        </row>
        <row r="227">
          <cell r="A227" t="str">
            <v>Somalia</v>
          </cell>
        </row>
        <row r="228">
          <cell r="A228" t="str">
            <v>St. Pierre &amp; Miquelon</v>
          </cell>
        </row>
        <row r="229">
          <cell r="A229" t="str">
            <v>South Sudan</v>
          </cell>
        </row>
        <row r="230">
          <cell r="A230" t="str">
            <v>SÃ£o TomÃ© &amp; PrÃ­ncipe</v>
          </cell>
        </row>
        <row r="231">
          <cell r="A231" t="str">
            <v>Suriname</v>
          </cell>
        </row>
        <row r="232">
          <cell r="A232" t="str">
            <v>Eswatini</v>
          </cell>
        </row>
        <row r="233">
          <cell r="A233" t="str">
            <v>Sint Maarten</v>
          </cell>
        </row>
        <row r="234">
          <cell r="A234" t="str">
            <v>Seychelles</v>
          </cell>
        </row>
        <row r="235">
          <cell r="A235" t="str">
            <v>Turks &amp; Caicos Islands</v>
          </cell>
        </row>
        <row r="236">
          <cell r="A236" t="str">
            <v>Chad</v>
          </cell>
        </row>
        <row r="237">
          <cell r="A237" t="str">
            <v>Togo</v>
          </cell>
        </row>
        <row r="238">
          <cell r="A238" t="str">
            <v>Tokelau</v>
          </cell>
        </row>
        <row r="239">
          <cell r="A239" t="str">
            <v>Turkmenistan</v>
          </cell>
        </row>
        <row r="240">
          <cell r="A240" t="str">
            <v>Timor-Leste</v>
          </cell>
        </row>
        <row r="241">
          <cell r="A241" t="str">
            <v>Tonga</v>
          </cell>
        </row>
        <row r="242">
          <cell r="A242" t="str">
            <v>Tuvalu</v>
          </cell>
        </row>
        <row r="243">
          <cell r="A243" t="str">
            <v>U.S. Outlying Islands</v>
          </cell>
        </row>
        <row r="244">
          <cell r="A244" t="str">
            <v>Uzbekistan</v>
          </cell>
        </row>
        <row r="245">
          <cell r="A245" t="str">
            <v>Vatican City</v>
          </cell>
        </row>
        <row r="246">
          <cell r="A246" t="str">
            <v>St. Vincent &amp; Grenadines</v>
          </cell>
        </row>
        <row r="247">
          <cell r="A247" t="str">
            <v>British Virgin Islands</v>
          </cell>
        </row>
        <row r="248">
          <cell r="A248" t="str">
            <v>U.S. Virgin Islands</v>
          </cell>
        </row>
        <row r="249">
          <cell r="A249" t="str">
            <v>Vanuatu</v>
          </cell>
        </row>
        <row r="250">
          <cell r="A250" t="str">
            <v>Wallis &amp; Futuna</v>
          </cell>
        </row>
        <row r="251">
          <cell r="A251" t="str">
            <v>Samoa</v>
          </cell>
        </row>
        <row r="252">
          <cell r="A252" t="str">
            <v>Kosovo</v>
          </cell>
        </row>
        <row r="253">
          <cell r="A253" t="str">
            <v>Yemen</v>
          </cell>
        </row>
      </sheetData>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62)"/>
    </sheetNames>
    <sheetDataSet>
      <sheetData sheetId="0" refreshError="1">
        <row r="1">
          <cell r="A1" t="str">
            <v>Category: All categories</v>
          </cell>
        </row>
        <row r="3">
          <cell r="A3" t="str">
            <v>Country</v>
          </cell>
          <cell r="B3" t="str">
            <v>Mutual exclusion: (2018)</v>
          </cell>
          <cell r="C3" t="str">
            <v>Linear hashing: (2018)</v>
          </cell>
        </row>
        <row r="4">
          <cell r="A4" t="str">
            <v>China</v>
          </cell>
          <cell r="B4">
            <v>1</v>
          </cell>
        </row>
        <row r="5">
          <cell r="A5" t="str">
            <v>Botswana</v>
          </cell>
        </row>
        <row r="6">
          <cell r="A6" t="str">
            <v>Taiwan</v>
          </cell>
          <cell r="B6">
            <v>1</v>
          </cell>
        </row>
        <row r="7">
          <cell r="A7" t="str">
            <v>Israel</v>
          </cell>
          <cell r="B7">
            <v>1</v>
          </cell>
        </row>
        <row r="8">
          <cell r="A8" t="str">
            <v>Japan</v>
          </cell>
          <cell r="B8">
            <v>1</v>
          </cell>
        </row>
        <row r="9">
          <cell r="A9" t="str">
            <v>Zimbabwe</v>
          </cell>
        </row>
        <row r="10">
          <cell r="A10" t="str">
            <v>Czechia</v>
          </cell>
          <cell r="B10">
            <v>1</v>
          </cell>
        </row>
        <row r="11">
          <cell r="A11" t="str">
            <v>Belarus</v>
          </cell>
          <cell r="B11">
            <v>1</v>
          </cell>
        </row>
        <row r="12">
          <cell r="A12" t="str">
            <v>Germany</v>
          </cell>
          <cell r="B12">
            <v>1</v>
          </cell>
          <cell r="C12" t="str">
            <v>&lt;1%</v>
          </cell>
        </row>
        <row r="13">
          <cell r="A13" t="str">
            <v>Russia</v>
          </cell>
          <cell r="B13">
            <v>1</v>
          </cell>
        </row>
        <row r="14">
          <cell r="A14" t="str">
            <v>Finland</v>
          </cell>
          <cell r="B14">
            <v>1</v>
          </cell>
        </row>
        <row r="15">
          <cell r="A15" t="str">
            <v>Iceland</v>
          </cell>
        </row>
        <row r="16">
          <cell r="A16" t="str">
            <v>Austria</v>
          </cell>
          <cell r="B16">
            <v>1</v>
          </cell>
        </row>
        <row r="17">
          <cell r="A17" t="str">
            <v>Ethiopia</v>
          </cell>
        </row>
        <row r="18">
          <cell r="A18" t="str">
            <v>South Korea</v>
          </cell>
          <cell r="B18">
            <v>0.95</v>
          </cell>
          <cell r="C18">
            <v>0.05</v>
          </cell>
        </row>
        <row r="19">
          <cell r="A19" t="str">
            <v>Norway</v>
          </cell>
          <cell r="B19">
            <v>1</v>
          </cell>
        </row>
        <row r="20">
          <cell r="A20" t="str">
            <v>Sweden</v>
          </cell>
          <cell r="B20">
            <v>1</v>
          </cell>
        </row>
        <row r="21">
          <cell r="A21" t="str">
            <v>Kenya</v>
          </cell>
          <cell r="B21">
            <v>1</v>
          </cell>
        </row>
        <row r="22">
          <cell r="A22" t="str">
            <v>Ukraine</v>
          </cell>
          <cell r="B22">
            <v>1</v>
          </cell>
        </row>
        <row r="23">
          <cell r="A23" t="str">
            <v>Lithuania</v>
          </cell>
          <cell r="B23">
            <v>1</v>
          </cell>
        </row>
        <row r="24">
          <cell r="A24" t="str">
            <v>Switzerland</v>
          </cell>
          <cell r="B24">
            <v>1</v>
          </cell>
        </row>
        <row r="25">
          <cell r="A25" t="str">
            <v>Portugal</v>
          </cell>
          <cell r="B25">
            <v>1</v>
          </cell>
        </row>
        <row r="26">
          <cell r="A26" t="str">
            <v>Nepal</v>
          </cell>
          <cell r="B26">
            <v>1</v>
          </cell>
        </row>
        <row r="27">
          <cell r="A27" t="str">
            <v>Slovakia</v>
          </cell>
          <cell r="B27">
            <v>1</v>
          </cell>
        </row>
        <row r="28">
          <cell r="A28" t="str">
            <v>Poland</v>
          </cell>
          <cell r="B28">
            <v>1</v>
          </cell>
        </row>
        <row r="29">
          <cell r="A29" t="str">
            <v>Serbia</v>
          </cell>
          <cell r="B29">
            <v>1</v>
          </cell>
        </row>
        <row r="30">
          <cell r="A30" t="str">
            <v>Algeria</v>
          </cell>
          <cell r="B30">
            <v>1</v>
          </cell>
        </row>
        <row r="31">
          <cell r="A31" t="str">
            <v>Tunisia</v>
          </cell>
          <cell r="B31">
            <v>1</v>
          </cell>
        </row>
        <row r="32">
          <cell r="A32" t="str">
            <v>Hungary</v>
          </cell>
          <cell r="B32">
            <v>1</v>
          </cell>
        </row>
        <row r="33">
          <cell r="A33" t="str">
            <v>India</v>
          </cell>
          <cell r="B33">
            <v>0.91</v>
          </cell>
          <cell r="C33">
            <v>0.09</v>
          </cell>
        </row>
        <row r="34">
          <cell r="A34" t="str">
            <v>Guatemala</v>
          </cell>
          <cell r="B34">
            <v>1</v>
          </cell>
        </row>
        <row r="35">
          <cell r="A35" t="str">
            <v>St. Helena</v>
          </cell>
        </row>
        <row r="36">
          <cell r="A36" t="str">
            <v>Pakistan</v>
          </cell>
          <cell r="B36">
            <v>1</v>
          </cell>
        </row>
        <row r="37">
          <cell r="A37" t="str">
            <v>Hong Kong</v>
          </cell>
          <cell r="B37">
            <v>1</v>
          </cell>
        </row>
        <row r="38">
          <cell r="A38" t="str">
            <v>Italy</v>
          </cell>
          <cell r="B38">
            <v>1</v>
          </cell>
        </row>
        <row r="39">
          <cell r="A39" t="str">
            <v>Netherlands</v>
          </cell>
          <cell r="B39">
            <v>1</v>
          </cell>
        </row>
        <row r="40">
          <cell r="A40" t="str">
            <v>Bulgaria</v>
          </cell>
          <cell r="B40">
            <v>1</v>
          </cell>
        </row>
        <row r="41">
          <cell r="A41" t="str">
            <v>Spain</v>
          </cell>
          <cell r="B41">
            <v>1</v>
          </cell>
        </row>
        <row r="42">
          <cell r="A42" t="str">
            <v>Costa Rica</v>
          </cell>
        </row>
        <row r="43">
          <cell r="A43" t="str">
            <v>Singapore</v>
          </cell>
          <cell r="B43">
            <v>1</v>
          </cell>
        </row>
        <row r="44">
          <cell r="A44" t="str">
            <v>Greece</v>
          </cell>
          <cell r="B44">
            <v>0.68</v>
          </cell>
          <cell r="C44">
            <v>0.32</v>
          </cell>
        </row>
        <row r="45">
          <cell r="A45" t="str">
            <v>Nigeria</v>
          </cell>
          <cell r="B45">
            <v>1</v>
          </cell>
        </row>
        <row r="46">
          <cell r="A46" t="str">
            <v>Croatia</v>
          </cell>
          <cell r="B46">
            <v>1</v>
          </cell>
        </row>
        <row r="47">
          <cell r="A47" t="str">
            <v>France</v>
          </cell>
          <cell r="B47">
            <v>1</v>
          </cell>
        </row>
        <row r="48">
          <cell r="A48" t="str">
            <v>Kazakhstan</v>
          </cell>
          <cell r="B48">
            <v>1</v>
          </cell>
        </row>
        <row r="49">
          <cell r="A49" t="str">
            <v>Belgium</v>
          </cell>
          <cell r="B49">
            <v>1</v>
          </cell>
        </row>
        <row r="50">
          <cell r="A50" t="str">
            <v>Bangladesh</v>
          </cell>
          <cell r="B50">
            <v>1</v>
          </cell>
        </row>
        <row r="51">
          <cell r="A51" t="str">
            <v>Mexico</v>
          </cell>
          <cell r="B51">
            <v>1</v>
          </cell>
        </row>
        <row r="52">
          <cell r="A52" t="str">
            <v>Canada</v>
          </cell>
          <cell r="B52">
            <v>0.96</v>
          </cell>
          <cell r="C52">
            <v>0.04</v>
          </cell>
        </row>
        <row r="53">
          <cell r="A53" t="str">
            <v>Ireland</v>
          </cell>
          <cell r="B53">
            <v>1</v>
          </cell>
        </row>
        <row r="54">
          <cell r="A54" t="str">
            <v>Morocco</v>
          </cell>
          <cell r="B54">
            <v>1</v>
          </cell>
        </row>
        <row r="55">
          <cell r="A55" t="str">
            <v>Vietnam</v>
          </cell>
          <cell r="B55">
            <v>1</v>
          </cell>
        </row>
        <row r="56">
          <cell r="A56" t="str">
            <v>Brazil</v>
          </cell>
          <cell r="B56">
            <v>1</v>
          </cell>
        </row>
        <row r="57">
          <cell r="A57" t="str">
            <v>Argentina</v>
          </cell>
          <cell r="B57">
            <v>1</v>
          </cell>
        </row>
        <row r="58">
          <cell r="A58" t="str">
            <v>Sri Lanka</v>
          </cell>
          <cell r="B58">
            <v>1</v>
          </cell>
        </row>
        <row r="59">
          <cell r="A59" t="str">
            <v>Chile</v>
          </cell>
          <cell r="B59">
            <v>1</v>
          </cell>
        </row>
        <row r="60">
          <cell r="A60" t="str">
            <v>United States</v>
          </cell>
          <cell r="B60">
            <v>0.93</v>
          </cell>
          <cell r="C60">
            <v>7.0000000000000007E-2</v>
          </cell>
        </row>
        <row r="61">
          <cell r="A61" t="str">
            <v>Indonesia</v>
          </cell>
          <cell r="B61">
            <v>1</v>
          </cell>
        </row>
        <row r="62">
          <cell r="A62" t="str">
            <v>New Zealand</v>
          </cell>
        </row>
        <row r="63">
          <cell r="A63" t="str">
            <v>Uruguay</v>
          </cell>
        </row>
        <row r="64">
          <cell r="A64" t="str">
            <v>United Arab Emirates</v>
          </cell>
        </row>
        <row r="65">
          <cell r="A65" t="str">
            <v>Australia</v>
          </cell>
          <cell r="B65">
            <v>0.94</v>
          </cell>
          <cell r="C65">
            <v>0.06</v>
          </cell>
        </row>
        <row r="66">
          <cell r="A66" t="str">
            <v>Peru</v>
          </cell>
          <cell r="B66">
            <v>1</v>
          </cell>
        </row>
        <row r="67">
          <cell r="A67" t="str">
            <v>Philippines</v>
          </cell>
          <cell r="B67">
            <v>1</v>
          </cell>
        </row>
        <row r="68">
          <cell r="A68" t="str">
            <v>Malaysia</v>
          </cell>
          <cell r="B68">
            <v>1</v>
          </cell>
        </row>
        <row r="69">
          <cell r="A69" t="str">
            <v>Egypt</v>
          </cell>
          <cell r="B69">
            <v>1</v>
          </cell>
        </row>
        <row r="70">
          <cell r="A70" t="str">
            <v>Colombia</v>
          </cell>
          <cell r="B70">
            <v>1</v>
          </cell>
        </row>
        <row r="71">
          <cell r="A71" t="str">
            <v>United Kingdom</v>
          </cell>
          <cell r="B71">
            <v>1</v>
          </cell>
        </row>
        <row r="72">
          <cell r="A72" t="str">
            <v>Saudi Arabia</v>
          </cell>
          <cell r="B72">
            <v>1</v>
          </cell>
        </row>
        <row r="73">
          <cell r="A73" t="str">
            <v>Iran</v>
          </cell>
          <cell r="B73">
            <v>1</v>
          </cell>
        </row>
        <row r="74">
          <cell r="A74" t="str">
            <v>Thailand</v>
          </cell>
          <cell r="B74">
            <v>1</v>
          </cell>
        </row>
        <row r="75">
          <cell r="A75" t="str">
            <v>Ecuador</v>
          </cell>
        </row>
        <row r="76">
          <cell r="A76" t="str">
            <v>South Africa</v>
          </cell>
          <cell r="B76">
            <v>1</v>
          </cell>
        </row>
        <row r="77">
          <cell r="A77" t="str">
            <v>Denmark</v>
          </cell>
        </row>
        <row r="78">
          <cell r="A78" t="str">
            <v>Romania</v>
          </cell>
        </row>
        <row r="79">
          <cell r="A79" t="str">
            <v>Turkey</v>
          </cell>
          <cell r="B79">
            <v>0.88</v>
          </cell>
          <cell r="C79">
            <v>0.12</v>
          </cell>
        </row>
        <row r="80">
          <cell r="A80" t="str">
            <v>Venezuela</v>
          </cell>
        </row>
        <row r="81">
          <cell r="A81" t="str">
            <v>Angola</v>
          </cell>
        </row>
        <row r="82">
          <cell r="A82" t="str">
            <v>Cuba</v>
          </cell>
        </row>
        <row r="83">
          <cell r="A83" t="str">
            <v>Mozambique</v>
          </cell>
        </row>
        <row r="84">
          <cell r="A84" t="str">
            <v>Benin</v>
          </cell>
        </row>
        <row r="85">
          <cell r="A85" t="str">
            <v>Rwanda</v>
          </cell>
        </row>
        <row r="86">
          <cell r="A86" t="str">
            <v>Madagascar</v>
          </cell>
        </row>
        <row r="87">
          <cell r="A87" t="str">
            <v>Burkina Faso</v>
          </cell>
        </row>
        <row r="88">
          <cell r="A88" t="str">
            <v>Cameroon</v>
          </cell>
        </row>
        <row r="89">
          <cell r="A89" t="str">
            <v>Brunei</v>
          </cell>
        </row>
        <row r="90">
          <cell r="A90" t="str">
            <v>Libya</v>
          </cell>
        </row>
        <row r="91">
          <cell r="A91" t="str">
            <v>Tajikistan</v>
          </cell>
        </row>
        <row r="92">
          <cell r="A92" t="str">
            <v>Estonia</v>
          </cell>
        </row>
        <row r="93">
          <cell r="A93" t="str">
            <v>Armenia</v>
          </cell>
        </row>
        <row r="94">
          <cell r="A94" t="str">
            <v>Myanmar (Burma)</v>
          </cell>
        </row>
        <row r="95">
          <cell r="A95" t="str">
            <v>Montenegro</v>
          </cell>
        </row>
        <row r="96">
          <cell r="A96" t="str">
            <v>Latvia</v>
          </cell>
        </row>
        <row r="97">
          <cell r="A97" t="str">
            <v>Moldova</v>
          </cell>
        </row>
        <row r="98">
          <cell r="A98" t="str">
            <v>Trinidad &amp; Tobago</v>
          </cell>
        </row>
        <row r="99">
          <cell r="A99" t="str">
            <v>Luxembourg</v>
          </cell>
        </row>
        <row r="100">
          <cell r="A100" t="str">
            <v>Palestine</v>
          </cell>
        </row>
        <row r="101">
          <cell r="A101" t="str">
            <v>Nicaragua</v>
          </cell>
        </row>
        <row r="102">
          <cell r="A102" t="str">
            <v>Tanzania</v>
          </cell>
        </row>
        <row r="103">
          <cell r="A103" t="str">
            <v>Uganda</v>
          </cell>
        </row>
        <row r="104">
          <cell r="A104" t="str">
            <v>Georgia</v>
          </cell>
        </row>
        <row r="105">
          <cell r="A105" t="str">
            <v>North Macedonia</v>
          </cell>
        </row>
        <row r="106">
          <cell r="A106" t="str">
            <v>Albania</v>
          </cell>
        </row>
        <row r="107">
          <cell r="A107" t="str">
            <v>Bosnia &amp; Herzegovina</v>
          </cell>
        </row>
        <row r="108">
          <cell r="A108" t="str">
            <v>El Salvador</v>
          </cell>
        </row>
        <row r="109">
          <cell r="A109" t="str">
            <v>Azerbaijan</v>
          </cell>
        </row>
        <row r="110">
          <cell r="A110" t="str">
            <v>Cyprus</v>
          </cell>
        </row>
        <row r="111">
          <cell r="A111" t="str">
            <v>Oman</v>
          </cell>
        </row>
        <row r="112">
          <cell r="A112" t="str">
            <v>Honduras</v>
          </cell>
        </row>
        <row r="113">
          <cell r="A113" t="str">
            <v>Slovenia</v>
          </cell>
        </row>
        <row r="114">
          <cell r="A114" t="str">
            <v>Syria</v>
          </cell>
        </row>
        <row r="115">
          <cell r="A115" t="str">
            <v>Dominican Republic</v>
          </cell>
        </row>
        <row r="116">
          <cell r="A116" t="str">
            <v>Puerto Rico</v>
          </cell>
        </row>
        <row r="117">
          <cell r="A117" t="str">
            <v>Panama</v>
          </cell>
        </row>
        <row r="118">
          <cell r="A118" t="str">
            <v>Paraguay</v>
          </cell>
        </row>
        <row r="119">
          <cell r="A119" t="str">
            <v>Aruba</v>
          </cell>
        </row>
        <row r="120">
          <cell r="A120" t="str">
            <v>Afghanistan</v>
          </cell>
        </row>
        <row r="121">
          <cell r="A121" t="str">
            <v>Anguilla</v>
          </cell>
        </row>
        <row r="122">
          <cell r="A122" t="str">
            <v>Ã…land Islands</v>
          </cell>
        </row>
        <row r="123">
          <cell r="A123" t="str">
            <v>Andorra</v>
          </cell>
        </row>
        <row r="124">
          <cell r="A124" t="str">
            <v>American Samoa</v>
          </cell>
        </row>
        <row r="125">
          <cell r="A125" t="str">
            <v>Antarctica</v>
          </cell>
        </row>
        <row r="126">
          <cell r="A126" t="str">
            <v>French Southern Territories</v>
          </cell>
        </row>
        <row r="127">
          <cell r="A127" t="str">
            <v>Antigua &amp; Barbuda</v>
          </cell>
        </row>
        <row r="128">
          <cell r="A128" t="str">
            <v>Burundi</v>
          </cell>
        </row>
        <row r="129">
          <cell r="A129" t="str">
            <v>Caribbean Netherlands</v>
          </cell>
        </row>
        <row r="130">
          <cell r="A130" t="str">
            <v>Bahrain</v>
          </cell>
        </row>
        <row r="131">
          <cell r="A131" t="str">
            <v>Bahamas</v>
          </cell>
        </row>
        <row r="132">
          <cell r="A132" t="str">
            <v>St. BarthÃ©lemy</v>
          </cell>
        </row>
        <row r="133">
          <cell r="A133" t="str">
            <v>Belize</v>
          </cell>
        </row>
        <row r="134">
          <cell r="A134" t="str">
            <v>Bermuda</v>
          </cell>
        </row>
        <row r="135">
          <cell r="A135" t="str">
            <v>Bolivia</v>
          </cell>
        </row>
        <row r="136">
          <cell r="A136" t="str">
            <v>Barbados</v>
          </cell>
        </row>
        <row r="137">
          <cell r="A137" t="str">
            <v>Bhutan</v>
          </cell>
        </row>
        <row r="138">
          <cell r="A138" t="str">
            <v>Bouvet Island</v>
          </cell>
        </row>
        <row r="139">
          <cell r="A139" t="str">
            <v>Central African Republic</v>
          </cell>
        </row>
        <row r="140">
          <cell r="A140" t="str">
            <v>Cocos (Keeling) Islands</v>
          </cell>
        </row>
        <row r="141">
          <cell r="A141" t="str">
            <v>CÃ´te dâ€™Ivoire</v>
          </cell>
        </row>
        <row r="142">
          <cell r="A142" t="str">
            <v>Congo - Kinshasa</v>
          </cell>
        </row>
        <row r="143">
          <cell r="A143" t="str">
            <v>Congo - Brazzaville</v>
          </cell>
        </row>
        <row r="144">
          <cell r="A144" t="str">
            <v>Cook Islands</v>
          </cell>
        </row>
        <row r="145">
          <cell r="A145" t="str">
            <v>Comoros</v>
          </cell>
        </row>
        <row r="146">
          <cell r="A146" t="str">
            <v>Cape Verde</v>
          </cell>
        </row>
        <row r="147">
          <cell r="A147" t="str">
            <v>CuraÃ§ao</v>
          </cell>
        </row>
        <row r="148">
          <cell r="A148" t="str">
            <v>Christmas Island</v>
          </cell>
        </row>
        <row r="149">
          <cell r="A149" t="str">
            <v>Cayman Islands</v>
          </cell>
        </row>
        <row r="150">
          <cell r="A150" t="str">
            <v>Djibouti</v>
          </cell>
        </row>
        <row r="151">
          <cell r="A151" t="str">
            <v>Dominica</v>
          </cell>
        </row>
        <row r="152">
          <cell r="A152" t="str">
            <v>Eritrea</v>
          </cell>
        </row>
        <row r="153">
          <cell r="A153" t="str">
            <v>Western Sahara</v>
          </cell>
        </row>
        <row r="154">
          <cell r="A154" t="str">
            <v>Fiji</v>
          </cell>
        </row>
        <row r="155">
          <cell r="A155" t="str">
            <v>Falkland Islands (Islas Malvinas)</v>
          </cell>
        </row>
        <row r="156">
          <cell r="A156" t="str">
            <v>Faroe Islands</v>
          </cell>
        </row>
        <row r="157">
          <cell r="A157" t="str">
            <v>Micronesia</v>
          </cell>
        </row>
        <row r="158">
          <cell r="A158" t="str">
            <v>Gabon</v>
          </cell>
        </row>
        <row r="159">
          <cell r="A159" t="str">
            <v>Guernsey</v>
          </cell>
        </row>
        <row r="160">
          <cell r="A160" t="str">
            <v>Ghana</v>
          </cell>
        </row>
        <row r="161">
          <cell r="A161" t="str">
            <v>Gibraltar</v>
          </cell>
        </row>
        <row r="162">
          <cell r="A162" t="str">
            <v>Guinea</v>
          </cell>
        </row>
        <row r="163">
          <cell r="A163" t="str">
            <v>Guadeloupe</v>
          </cell>
        </row>
        <row r="164">
          <cell r="A164" t="str">
            <v>Gambia</v>
          </cell>
        </row>
        <row r="165">
          <cell r="A165" t="str">
            <v>Guinea-Bissau</v>
          </cell>
        </row>
        <row r="166">
          <cell r="A166" t="str">
            <v>Equatorial Guinea</v>
          </cell>
        </row>
        <row r="167">
          <cell r="A167" t="str">
            <v>Grenada</v>
          </cell>
        </row>
        <row r="168">
          <cell r="A168" t="str">
            <v>Greenland</v>
          </cell>
        </row>
        <row r="169">
          <cell r="A169" t="str">
            <v>French Guiana</v>
          </cell>
        </row>
        <row r="170">
          <cell r="A170" t="str">
            <v>Guam</v>
          </cell>
        </row>
        <row r="171">
          <cell r="A171" t="str">
            <v>Guyana</v>
          </cell>
        </row>
        <row r="172">
          <cell r="A172" t="str">
            <v>Heard &amp; McDonald Islands</v>
          </cell>
        </row>
        <row r="173">
          <cell r="A173" t="str">
            <v>Haiti</v>
          </cell>
        </row>
        <row r="174">
          <cell r="A174" t="str">
            <v>Isle of Man</v>
          </cell>
        </row>
        <row r="175">
          <cell r="A175" t="str">
            <v>British Indian Ocean Territory</v>
          </cell>
        </row>
        <row r="176">
          <cell r="A176" t="str">
            <v>Iraq</v>
          </cell>
        </row>
        <row r="177">
          <cell r="A177" t="str">
            <v>Jamaica</v>
          </cell>
        </row>
        <row r="178">
          <cell r="A178" t="str">
            <v>Jersey</v>
          </cell>
        </row>
        <row r="179">
          <cell r="A179" t="str">
            <v>Jordan</v>
          </cell>
        </row>
        <row r="180">
          <cell r="A180" t="str">
            <v>Kyrgyzstan</v>
          </cell>
        </row>
        <row r="181">
          <cell r="A181" t="str">
            <v>Cambodia</v>
          </cell>
        </row>
        <row r="182">
          <cell r="A182" t="str">
            <v>Kiribati</v>
          </cell>
        </row>
        <row r="183">
          <cell r="A183" t="str">
            <v>St. Kitts &amp; Nevis</v>
          </cell>
        </row>
        <row r="184">
          <cell r="A184" t="str">
            <v>Kuwait</v>
          </cell>
        </row>
        <row r="185">
          <cell r="A185" t="str">
            <v>Laos</v>
          </cell>
        </row>
        <row r="186">
          <cell r="A186" t="str">
            <v>Lebanon</v>
          </cell>
        </row>
        <row r="187">
          <cell r="A187" t="str">
            <v>Liberia</v>
          </cell>
        </row>
        <row r="188">
          <cell r="A188" t="str">
            <v>St. Lucia</v>
          </cell>
        </row>
        <row r="189">
          <cell r="A189" t="str">
            <v>Liechtenstein</v>
          </cell>
        </row>
        <row r="190">
          <cell r="A190" t="str">
            <v>Lesotho</v>
          </cell>
        </row>
        <row r="191">
          <cell r="A191" t="str">
            <v>Macao</v>
          </cell>
        </row>
        <row r="192">
          <cell r="A192" t="str">
            <v>St. Martin</v>
          </cell>
        </row>
        <row r="193">
          <cell r="A193" t="str">
            <v>Monaco</v>
          </cell>
        </row>
        <row r="194">
          <cell r="A194" t="str">
            <v>Maldives</v>
          </cell>
        </row>
        <row r="195">
          <cell r="A195" t="str">
            <v>Marshall Islands</v>
          </cell>
        </row>
        <row r="196">
          <cell r="A196" t="str">
            <v>Mali</v>
          </cell>
        </row>
        <row r="197">
          <cell r="A197" t="str">
            <v>Malta</v>
          </cell>
        </row>
        <row r="198">
          <cell r="A198" t="str">
            <v>Mongolia</v>
          </cell>
        </row>
        <row r="199">
          <cell r="A199" t="str">
            <v>Northern Mariana Islands</v>
          </cell>
        </row>
        <row r="200">
          <cell r="A200" t="str">
            <v>Mauritania</v>
          </cell>
        </row>
        <row r="201">
          <cell r="A201" t="str">
            <v>Montserrat</v>
          </cell>
        </row>
        <row r="202">
          <cell r="A202" t="str">
            <v>Martinique</v>
          </cell>
        </row>
        <row r="203">
          <cell r="A203" t="str">
            <v>Mauritius</v>
          </cell>
        </row>
        <row r="204">
          <cell r="A204" t="str">
            <v>Malawi</v>
          </cell>
        </row>
        <row r="205">
          <cell r="A205" t="str">
            <v>Mayotte</v>
          </cell>
        </row>
        <row r="206">
          <cell r="A206" t="str">
            <v>Namibia</v>
          </cell>
        </row>
        <row r="207">
          <cell r="A207" t="str">
            <v>New Caledonia</v>
          </cell>
        </row>
        <row r="208">
          <cell r="A208" t="str">
            <v>Niger</v>
          </cell>
        </row>
        <row r="209">
          <cell r="A209" t="str">
            <v>Norfolk Island</v>
          </cell>
        </row>
        <row r="210">
          <cell r="A210" t="str">
            <v>Niue</v>
          </cell>
        </row>
        <row r="211">
          <cell r="A211" t="str">
            <v>Nauru</v>
          </cell>
        </row>
        <row r="212">
          <cell r="A212" t="str">
            <v>Pitcairn Islands</v>
          </cell>
        </row>
        <row r="213">
          <cell r="A213" t="str">
            <v>Palau</v>
          </cell>
        </row>
        <row r="214">
          <cell r="A214" t="str">
            <v>Papua New Guinea</v>
          </cell>
        </row>
        <row r="215">
          <cell r="A215" t="str">
            <v>North Korea</v>
          </cell>
        </row>
        <row r="216">
          <cell r="A216" t="str">
            <v>French Polynesia</v>
          </cell>
        </row>
        <row r="217">
          <cell r="A217" t="str">
            <v>Qatar</v>
          </cell>
        </row>
        <row r="218">
          <cell r="A218" t="str">
            <v>RÃ©union</v>
          </cell>
        </row>
        <row r="219">
          <cell r="A219" t="str">
            <v>Sudan</v>
          </cell>
        </row>
        <row r="220">
          <cell r="A220" t="str">
            <v>Senegal</v>
          </cell>
        </row>
        <row r="221">
          <cell r="A221" t="str">
            <v>South Georgia &amp; South Sandwich Islands</v>
          </cell>
        </row>
        <row r="222">
          <cell r="A222" t="str">
            <v>Svalbard &amp; Jan Mayen</v>
          </cell>
        </row>
        <row r="223">
          <cell r="A223" t="str">
            <v>Solomon Islands</v>
          </cell>
        </row>
        <row r="224">
          <cell r="A224" t="str">
            <v>Sierra Leone</v>
          </cell>
        </row>
        <row r="225">
          <cell r="A225" t="str">
            <v>San Marino</v>
          </cell>
        </row>
        <row r="226">
          <cell r="A226" t="str">
            <v>Somalia</v>
          </cell>
        </row>
        <row r="227">
          <cell r="A227" t="str">
            <v>St. Pierre &amp; Miquelon</v>
          </cell>
        </row>
        <row r="228">
          <cell r="A228" t="str">
            <v>South Sudan</v>
          </cell>
        </row>
        <row r="229">
          <cell r="A229" t="str">
            <v>SÃ£o TomÃ© &amp; PrÃ­ncipe</v>
          </cell>
        </row>
        <row r="230">
          <cell r="A230" t="str">
            <v>Suriname</v>
          </cell>
        </row>
        <row r="231">
          <cell r="A231" t="str">
            <v>Eswatini</v>
          </cell>
        </row>
        <row r="232">
          <cell r="A232" t="str">
            <v>Sint Maarten</v>
          </cell>
        </row>
        <row r="233">
          <cell r="A233" t="str">
            <v>Seychelles</v>
          </cell>
        </row>
        <row r="234">
          <cell r="A234" t="str">
            <v>Turks &amp; Caicos Islands</v>
          </cell>
        </row>
        <row r="235">
          <cell r="A235" t="str">
            <v>Chad</v>
          </cell>
        </row>
        <row r="236">
          <cell r="A236" t="str">
            <v>Togo</v>
          </cell>
        </row>
        <row r="237">
          <cell r="A237" t="str">
            <v>Tokelau</v>
          </cell>
        </row>
        <row r="238">
          <cell r="A238" t="str">
            <v>Turkmenistan</v>
          </cell>
        </row>
        <row r="239">
          <cell r="A239" t="str">
            <v>Timor-Leste</v>
          </cell>
        </row>
        <row r="240">
          <cell r="A240" t="str">
            <v>Tonga</v>
          </cell>
        </row>
        <row r="241">
          <cell r="A241" t="str">
            <v>Tuvalu</v>
          </cell>
        </row>
        <row r="242">
          <cell r="A242" t="str">
            <v>U.S. Outlying Islands</v>
          </cell>
        </row>
        <row r="243">
          <cell r="A243" t="str">
            <v>Uzbekistan</v>
          </cell>
        </row>
        <row r="244">
          <cell r="A244" t="str">
            <v>Vatican City</v>
          </cell>
        </row>
        <row r="245">
          <cell r="A245" t="str">
            <v>St. Vincent &amp; Grenadines</v>
          </cell>
        </row>
        <row r="246">
          <cell r="A246" t="str">
            <v>British Virgin Islands</v>
          </cell>
        </row>
        <row r="247">
          <cell r="A247" t="str">
            <v>U.S. Virgin Islands</v>
          </cell>
        </row>
        <row r="248">
          <cell r="A248" t="str">
            <v>Vanuatu</v>
          </cell>
        </row>
        <row r="249">
          <cell r="A249" t="str">
            <v>Wallis &amp; Futuna</v>
          </cell>
        </row>
        <row r="250">
          <cell r="A250" t="str">
            <v>Samoa</v>
          </cell>
        </row>
        <row r="251">
          <cell r="A251" t="str">
            <v>Kosovo</v>
          </cell>
        </row>
        <row r="252">
          <cell r="A252" t="str">
            <v>Yemen</v>
          </cell>
        </row>
        <row r="253">
          <cell r="A253" t="str">
            <v>Zambia</v>
          </cell>
        </row>
      </sheetData>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64)"/>
    </sheetNames>
    <sheetDataSet>
      <sheetData sheetId="0" refreshError="1">
        <row r="1">
          <cell r="A1" t="str">
            <v>Category: All categories</v>
          </cell>
        </row>
        <row r="3">
          <cell r="A3" t="str">
            <v>Country</v>
          </cell>
          <cell r="B3" t="str">
            <v>Mutual exclusion: (2018)</v>
          </cell>
          <cell r="C3" t="str">
            <v>Countâ€“min sketch: (2018)</v>
          </cell>
        </row>
        <row r="4">
          <cell r="A4" t="str">
            <v>China</v>
          </cell>
          <cell r="B4">
            <v>1</v>
          </cell>
        </row>
        <row r="5">
          <cell r="A5" t="str">
            <v>Botswana</v>
          </cell>
        </row>
        <row r="6">
          <cell r="A6" t="str">
            <v>Taiwan</v>
          </cell>
          <cell r="B6">
            <v>1</v>
          </cell>
        </row>
        <row r="7">
          <cell r="A7" t="str">
            <v>Israel</v>
          </cell>
          <cell r="B7">
            <v>1</v>
          </cell>
        </row>
        <row r="8">
          <cell r="A8" t="str">
            <v>Japan</v>
          </cell>
          <cell r="B8">
            <v>1</v>
          </cell>
        </row>
        <row r="9">
          <cell r="A9" t="str">
            <v>Zimbabwe</v>
          </cell>
        </row>
        <row r="10">
          <cell r="A10" t="str">
            <v>Belarus</v>
          </cell>
          <cell r="B10">
            <v>1</v>
          </cell>
        </row>
        <row r="11">
          <cell r="A11" t="str">
            <v>Czechia</v>
          </cell>
          <cell r="B11">
            <v>1</v>
          </cell>
        </row>
        <row r="12">
          <cell r="A12" t="str">
            <v>Kenya</v>
          </cell>
          <cell r="B12">
            <v>1</v>
          </cell>
        </row>
        <row r="13">
          <cell r="A13" t="str">
            <v>Ethiopia</v>
          </cell>
        </row>
        <row r="14">
          <cell r="A14" t="str">
            <v>Russia</v>
          </cell>
          <cell r="B14">
            <v>1</v>
          </cell>
        </row>
        <row r="15">
          <cell r="A15" t="str">
            <v>Austria</v>
          </cell>
          <cell r="B15">
            <v>1</v>
          </cell>
        </row>
        <row r="16">
          <cell r="A16" t="str">
            <v>Nepal</v>
          </cell>
        </row>
        <row r="17">
          <cell r="A17" t="str">
            <v>Germany</v>
          </cell>
          <cell r="B17">
            <v>0.99</v>
          </cell>
          <cell r="C17">
            <v>0.01</v>
          </cell>
        </row>
        <row r="18">
          <cell r="A18" t="str">
            <v>Norway</v>
          </cell>
          <cell r="B18">
            <v>1</v>
          </cell>
        </row>
        <row r="19">
          <cell r="A19" t="str">
            <v>South Korea</v>
          </cell>
          <cell r="B19">
            <v>1</v>
          </cell>
        </row>
        <row r="20">
          <cell r="A20" t="str">
            <v>Finland</v>
          </cell>
          <cell r="B20">
            <v>1</v>
          </cell>
        </row>
        <row r="21">
          <cell r="A21" t="str">
            <v>Iceland</v>
          </cell>
        </row>
        <row r="22">
          <cell r="A22" t="str">
            <v>Sweden</v>
          </cell>
          <cell r="B22">
            <v>1</v>
          </cell>
        </row>
        <row r="23">
          <cell r="A23" t="str">
            <v>Ukraine</v>
          </cell>
          <cell r="B23">
            <v>1</v>
          </cell>
        </row>
        <row r="24">
          <cell r="A24" t="str">
            <v>Portugal</v>
          </cell>
          <cell r="B24">
            <v>1</v>
          </cell>
        </row>
        <row r="25">
          <cell r="A25" t="str">
            <v>Laos</v>
          </cell>
        </row>
        <row r="26">
          <cell r="A26" t="str">
            <v>Switzerland</v>
          </cell>
          <cell r="B26">
            <v>1</v>
          </cell>
        </row>
        <row r="27">
          <cell r="A27" t="str">
            <v>Poland</v>
          </cell>
          <cell r="B27">
            <v>1</v>
          </cell>
        </row>
        <row r="28">
          <cell r="A28" t="str">
            <v>India</v>
          </cell>
          <cell r="B28">
            <v>0.99</v>
          </cell>
          <cell r="C28">
            <v>0.01</v>
          </cell>
        </row>
        <row r="29">
          <cell r="A29" t="str">
            <v>Algeria</v>
          </cell>
          <cell r="B29">
            <v>1</v>
          </cell>
        </row>
        <row r="30">
          <cell r="A30" t="str">
            <v>Tunisia</v>
          </cell>
          <cell r="B30">
            <v>1</v>
          </cell>
        </row>
        <row r="31">
          <cell r="A31" t="str">
            <v>Hong Kong</v>
          </cell>
          <cell r="B31">
            <v>1</v>
          </cell>
        </row>
        <row r="32">
          <cell r="A32" t="str">
            <v>Pakistan</v>
          </cell>
          <cell r="B32">
            <v>1</v>
          </cell>
        </row>
        <row r="33">
          <cell r="A33" t="str">
            <v>Croatia</v>
          </cell>
          <cell r="B33">
            <v>1</v>
          </cell>
        </row>
        <row r="34">
          <cell r="A34" t="str">
            <v>Hungary</v>
          </cell>
          <cell r="B34">
            <v>1</v>
          </cell>
        </row>
        <row r="35">
          <cell r="A35" t="str">
            <v>Sri Lanka</v>
          </cell>
        </row>
        <row r="36">
          <cell r="A36" t="str">
            <v>Serbia</v>
          </cell>
          <cell r="B36">
            <v>1</v>
          </cell>
        </row>
        <row r="37">
          <cell r="A37" t="str">
            <v>Costa Rica</v>
          </cell>
        </row>
        <row r="38">
          <cell r="A38" t="str">
            <v>Italy</v>
          </cell>
          <cell r="B38">
            <v>1</v>
          </cell>
        </row>
        <row r="39">
          <cell r="A39" t="str">
            <v>Slovakia</v>
          </cell>
          <cell r="B39">
            <v>1</v>
          </cell>
        </row>
        <row r="40">
          <cell r="A40" t="str">
            <v>Netherlands</v>
          </cell>
          <cell r="B40">
            <v>1</v>
          </cell>
        </row>
        <row r="41">
          <cell r="A41" t="str">
            <v>Bulgaria</v>
          </cell>
          <cell r="B41">
            <v>1</v>
          </cell>
        </row>
        <row r="42">
          <cell r="A42" t="str">
            <v>St. Helena</v>
          </cell>
        </row>
        <row r="43">
          <cell r="A43" t="str">
            <v>Spain</v>
          </cell>
          <cell r="B43">
            <v>1</v>
          </cell>
        </row>
        <row r="44">
          <cell r="A44" t="str">
            <v>Ireland</v>
          </cell>
          <cell r="B44">
            <v>1</v>
          </cell>
        </row>
        <row r="45">
          <cell r="A45" t="str">
            <v>Guatemala</v>
          </cell>
          <cell r="B45">
            <v>1</v>
          </cell>
        </row>
        <row r="46">
          <cell r="A46" t="str">
            <v>Greece</v>
          </cell>
          <cell r="B46">
            <v>1</v>
          </cell>
        </row>
        <row r="47">
          <cell r="A47" t="str">
            <v>Nigeria</v>
          </cell>
          <cell r="B47">
            <v>1</v>
          </cell>
        </row>
        <row r="48">
          <cell r="A48" t="str">
            <v>France</v>
          </cell>
          <cell r="B48">
            <v>1</v>
          </cell>
        </row>
        <row r="49">
          <cell r="A49" t="str">
            <v>Morocco</v>
          </cell>
          <cell r="B49">
            <v>1</v>
          </cell>
        </row>
        <row r="50">
          <cell r="A50" t="str">
            <v>Belgium</v>
          </cell>
          <cell r="B50">
            <v>1</v>
          </cell>
        </row>
        <row r="51">
          <cell r="A51" t="str">
            <v>Singapore</v>
          </cell>
          <cell r="B51">
            <v>1</v>
          </cell>
        </row>
        <row r="52">
          <cell r="A52" t="str">
            <v>Chile</v>
          </cell>
          <cell r="B52">
            <v>1</v>
          </cell>
        </row>
        <row r="53">
          <cell r="A53" t="str">
            <v>Vietnam</v>
          </cell>
          <cell r="B53">
            <v>1</v>
          </cell>
        </row>
        <row r="54">
          <cell r="A54" t="str">
            <v>Uruguay</v>
          </cell>
        </row>
        <row r="55">
          <cell r="A55" t="str">
            <v>Brazil</v>
          </cell>
          <cell r="B55">
            <v>1</v>
          </cell>
        </row>
        <row r="56">
          <cell r="A56" t="str">
            <v>Argentina</v>
          </cell>
          <cell r="B56">
            <v>1</v>
          </cell>
        </row>
        <row r="57">
          <cell r="A57" t="str">
            <v>Kazakhstan</v>
          </cell>
          <cell r="B57">
            <v>1</v>
          </cell>
        </row>
        <row r="58">
          <cell r="A58" t="str">
            <v>Canada</v>
          </cell>
          <cell r="B58">
            <v>1</v>
          </cell>
        </row>
        <row r="59">
          <cell r="A59" t="str">
            <v>United States</v>
          </cell>
          <cell r="B59">
            <v>0.86</v>
          </cell>
          <cell r="C59">
            <v>0.14000000000000001</v>
          </cell>
        </row>
        <row r="60">
          <cell r="A60" t="str">
            <v>Mexico</v>
          </cell>
          <cell r="B60">
            <v>1</v>
          </cell>
        </row>
        <row r="61">
          <cell r="A61" t="str">
            <v>Malaysia</v>
          </cell>
          <cell r="B61">
            <v>1</v>
          </cell>
        </row>
        <row r="62">
          <cell r="A62" t="str">
            <v>Indonesia</v>
          </cell>
          <cell r="B62">
            <v>1</v>
          </cell>
        </row>
        <row r="63">
          <cell r="A63" t="str">
            <v>Bangladesh</v>
          </cell>
          <cell r="B63">
            <v>1</v>
          </cell>
        </row>
        <row r="64">
          <cell r="A64" t="str">
            <v>Australia</v>
          </cell>
          <cell r="B64">
            <v>1</v>
          </cell>
        </row>
        <row r="65">
          <cell r="A65" t="str">
            <v>Bolivia</v>
          </cell>
        </row>
        <row r="66">
          <cell r="A66" t="str">
            <v>United Kingdom</v>
          </cell>
          <cell r="B66">
            <v>1</v>
          </cell>
        </row>
        <row r="67">
          <cell r="A67" t="str">
            <v>New Zealand</v>
          </cell>
        </row>
        <row r="68">
          <cell r="A68" t="str">
            <v>United Arab Emirates</v>
          </cell>
        </row>
        <row r="69">
          <cell r="A69" t="str">
            <v>Colombia</v>
          </cell>
          <cell r="B69">
            <v>1</v>
          </cell>
        </row>
        <row r="70">
          <cell r="A70" t="str">
            <v>Peru</v>
          </cell>
          <cell r="B70">
            <v>1</v>
          </cell>
        </row>
        <row r="71">
          <cell r="A71" t="str">
            <v>Romania</v>
          </cell>
        </row>
        <row r="72">
          <cell r="A72" t="str">
            <v>Iran</v>
          </cell>
          <cell r="B72">
            <v>1</v>
          </cell>
        </row>
        <row r="73">
          <cell r="A73" t="str">
            <v>Philippines</v>
          </cell>
          <cell r="B73">
            <v>1</v>
          </cell>
        </row>
        <row r="74">
          <cell r="A74" t="str">
            <v>Egypt</v>
          </cell>
          <cell r="B74">
            <v>1</v>
          </cell>
        </row>
        <row r="75">
          <cell r="A75" t="str">
            <v>Saudi Arabia</v>
          </cell>
          <cell r="B75">
            <v>1</v>
          </cell>
        </row>
        <row r="76">
          <cell r="A76" t="str">
            <v>Denmark</v>
          </cell>
        </row>
        <row r="77">
          <cell r="A77" t="str">
            <v>Thailand</v>
          </cell>
          <cell r="B77">
            <v>1</v>
          </cell>
        </row>
        <row r="78">
          <cell r="A78" t="str">
            <v>South Africa</v>
          </cell>
          <cell r="B78">
            <v>1</v>
          </cell>
        </row>
        <row r="79">
          <cell r="A79" t="str">
            <v>Ecuador</v>
          </cell>
        </row>
        <row r="80">
          <cell r="A80" t="str">
            <v>Turkey</v>
          </cell>
          <cell r="B80">
            <v>1</v>
          </cell>
        </row>
        <row r="81">
          <cell r="A81" t="str">
            <v>Venezuela</v>
          </cell>
        </row>
        <row r="82">
          <cell r="A82" t="str">
            <v>Guyana</v>
          </cell>
        </row>
        <row r="83">
          <cell r="A83" t="str">
            <v>Cuba</v>
          </cell>
        </row>
        <row r="84">
          <cell r="A84" t="str">
            <v>Mozambique</v>
          </cell>
        </row>
        <row r="85">
          <cell r="A85" t="str">
            <v>Angola</v>
          </cell>
        </row>
        <row r="86">
          <cell r="A86" t="str">
            <v>Rwanda</v>
          </cell>
        </row>
        <row r="87">
          <cell r="A87" t="str">
            <v>Burkina Faso</v>
          </cell>
        </row>
        <row r="88">
          <cell r="A88" t="str">
            <v>Zambia</v>
          </cell>
        </row>
        <row r="89">
          <cell r="A89" t="str">
            <v>Cameroon</v>
          </cell>
        </row>
        <row r="90">
          <cell r="A90" t="str">
            <v>Armenia</v>
          </cell>
        </row>
        <row r="91">
          <cell r="A91" t="str">
            <v>Tajikistan</v>
          </cell>
        </row>
        <row r="92">
          <cell r="A92" t="str">
            <v>Albania</v>
          </cell>
        </row>
        <row r="93">
          <cell r="A93" t="str">
            <v>Myanmar (Burma)</v>
          </cell>
        </row>
        <row r="94">
          <cell r="A94" t="str">
            <v>CÃ´te dâ€™Ivoire</v>
          </cell>
        </row>
        <row r="95">
          <cell r="A95" t="str">
            <v>Mongolia</v>
          </cell>
        </row>
        <row r="96">
          <cell r="A96" t="str">
            <v>Montenegro</v>
          </cell>
        </row>
        <row r="97">
          <cell r="A97" t="str">
            <v>Estonia</v>
          </cell>
        </row>
        <row r="98">
          <cell r="A98" t="str">
            <v>Latvia</v>
          </cell>
        </row>
        <row r="99">
          <cell r="A99" t="str">
            <v>Congo - Kinshasa</v>
          </cell>
        </row>
        <row r="100">
          <cell r="A100" t="str">
            <v>Tanzania</v>
          </cell>
        </row>
        <row r="101">
          <cell r="A101" t="str">
            <v>Cyprus</v>
          </cell>
        </row>
        <row r="102">
          <cell r="A102" t="str">
            <v>Trinidad &amp; Tobago</v>
          </cell>
        </row>
        <row r="103">
          <cell r="A103" t="str">
            <v>Libya</v>
          </cell>
        </row>
        <row r="104">
          <cell r="A104" t="str">
            <v>Luxembourg</v>
          </cell>
        </row>
        <row r="105">
          <cell r="A105" t="str">
            <v>Azerbaijan</v>
          </cell>
        </row>
        <row r="106">
          <cell r="A106" t="str">
            <v>Palestine</v>
          </cell>
        </row>
        <row r="107">
          <cell r="A107" t="str">
            <v>Uganda</v>
          </cell>
        </row>
        <row r="108">
          <cell r="A108" t="str">
            <v>Georgia</v>
          </cell>
        </row>
        <row r="109">
          <cell r="A109" t="str">
            <v>North Macedonia</v>
          </cell>
        </row>
        <row r="110">
          <cell r="A110" t="str">
            <v>Bosnia &amp; Herzegovina</v>
          </cell>
        </row>
        <row r="111">
          <cell r="A111" t="str">
            <v>Syria</v>
          </cell>
        </row>
        <row r="112">
          <cell r="A112" t="str">
            <v>Slovenia</v>
          </cell>
        </row>
        <row r="113">
          <cell r="A113" t="str">
            <v>Paraguay</v>
          </cell>
        </row>
        <row r="114">
          <cell r="A114" t="str">
            <v>Oman</v>
          </cell>
        </row>
        <row r="115">
          <cell r="A115" t="str">
            <v>El Salvador</v>
          </cell>
        </row>
        <row r="116">
          <cell r="A116" t="str">
            <v>Puerto Rico</v>
          </cell>
        </row>
        <row r="117">
          <cell r="A117" t="str">
            <v>Panama</v>
          </cell>
        </row>
        <row r="118">
          <cell r="A118" t="str">
            <v>Dominican Republic</v>
          </cell>
        </row>
        <row r="119">
          <cell r="A119" t="str">
            <v>Aruba</v>
          </cell>
        </row>
        <row r="120">
          <cell r="A120" t="str">
            <v>Afghanistan</v>
          </cell>
        </row>
        <row r="121">
          <cell r="A121" t="str">
            <v>Anguilla</v>
          </cell>
        </row>
        <row r="122">
          <cell r="A122" t="str">
            <v>Ã…land Islands</v>
          </cell>
        </row>
        <row r="123">
          <cell r="A123" t="str">
            <v>Andorra</v>
          </cell>
        </row>
        <row r="124">
          <cell r="A124" t="str">
            <v>American Samoa</v>
          </cell>
        </row>
        <row r="125">
          <cell r="A125" t="str">
            <v>Antarctica</v>
          </cell>
        </row>
        <row r="126">
          <cell r="A126" t="str">
            <v>French Southern Territories</v>
          </cell>
        </row>
        <row r="127">
          <cell r="A127" t="str">
            <v>Antigua &amp; Barbuda</v>
          </cell>
        </row>
        <row r="128">
          <cell r="A128" t="str">
            <v>Burundi</v>
          </cell>
        </row>
        <row r="129">
          <cell r="A129" t="str">
            <v>Benin</v>
          </cell>
        </row>
        <row r="130">
          <cell r="A130" t="str">
            <v>Caribbean Netherlands</v>
          </cell>
        </row>
        <row r="131">
          <cell r="A131" t="str">
            <v>Bahrain</v>
          </cell>
        </row>
        <row r="132">
          <cell r="A132" t="str">
            <v>Bahamas</v>
          </cell>
        </row>
        <row r="133">
          <cell r="A133" t="str">
            <v>St. BarthÃ©lemy</v>
          </cell>
        </row>
        <row r="134">
          <cell r="A134" t="str">
            <v>Belize</v>
          </cell>
        </row>
        <row r="135">
          <cell r="A135" t="str">
            <v>Bermuda</v>
          </cell>
        </row>
        <row r="136">
          <cell r="A136" t="str">
            <v>Barbados</v>
          </cell>
        </row>
        <row r="137">
          <cell r="A137" t="str">
            <v>Brunei</v>
          </cell>
        </row>
        <row r="138">
          <cell r="A138" t="str">
            <v>Bhutan</v>
          </cell>
        </row>
        <row r="139">
          <cell r="A139" t="str">
            <v>Bouvet Island</v>
          </cell>
        </row>
        <row r="140">
          <cell r="A140" t="str">
            <v>Central African Republic</v>
          </cell>
        </row>
        <row r="141">
          <cell r="A141" t="str">
            <v>Cocos (Keeling) Islands</v>
          </cell>
        </row>
        <row r="142">
          <cell r="A142" t="str">
            <v>Congo - Brazzaville</v>
          </cell>
        </row>
        <row r="143">
          <cell r="A143" t="str">
            <v>Cook Islands</v>
          </cell>
        </row>
        <row r="144">
          <cell r="A144" t="str">
            <v>Comoros</v>
          </cell>
        </row>
        <row r="145">
          <cell r="A145" t="str">
            <v>Cape Verde</v>
          </cell>
        </row>
        <row r="146">
          <cell r="A146" t="str">
            <v>CuraÃ§ao</v>
          </cell>
        </row>
        <row r="147">
          <cell r="A147" t="str">
            <v>Christmas Island</v>
          </cell>
        </row>
        <row r="148">
          <cell r="A148" t="str">
            <v>Cayman Islands</v>
          </cell>
        </row>
        <row r="149">
          <cell r="A149" t="str">
            <v>Djibouti</v>
          </cell>
        </row>
        <row r="150">
          <cell r="A150" t="str">
            <v>Dominica</v>
          </cell>
        </row>
        <row r="151">
          <cell r="A151" t="str">
            <v>Eritrea</v>
          </cell>
        </row>
        <row r="152">
          <cell r="A152" t="str">
            <v>Western Sahara</v>
          </cell>
        </row>
        <row r="153">
          <cell r="A153" t="str">
            <v>Fiji</v>
          </cell>
        </row>
        <row r="154">
          <cell r="A154" t="str">
            <v>Falkland Islands (Islas Malvinas)</v>
          </cell>
        </row>
        <row r="155">
          <cell r="A155" t="str">
            <v>Faroe Islands</v>
          </cell>
        </row>
        <row r="156">
          <cell r="A156" t="str">
            <v>Micronesia</v>
          </cell>
        </row>
        <row r="157">
          <cell r="A157" t="str">
            <v>Gabon</v>
          </cell>
        </row>
        <row r="158">
          <cell r="A158" t="str">
            <v>Guernsey</v>
          </cell>
        </row>
        <row r="159">
          <cell r="A159" t="str">
            <v>Ghana</v>
          </cell>
        </row>
        <row r="160">
          <cell r="A160" t="str">
            <v>Gibraltar</v>
          </cell>
        </row>
        <row r="161">
          <cell r="A161" t="str">
            <v>Guinea</v>
          </cell>
        </row>
        <row r="162">
          <cell r="A162" t="str">
            <v>Guadeloupe</v>
          </cell>
        </row>
        <row r="163">
          <cell r="A163" t="str">
            <v>Gambia</v>
          </cell>
        </row>
        <row r="164">
          <cell r="A164" t="str">
            <v>Guinea-Bissau</v>
          </cell>
        </row>
        <row r="165">
          <cell r="A165" t="str">
            <v>Equatorial Guinea</v>
          </cell>
        </row>
        <row r="166">
          <cell r="A166" t="str">
            <v>Grenada</v>
          </cell>
        </row>
        <row r="167">
          <cell r="A167" t="str">
            <v>Greenland</v>
          </cell>
        </row>
        <row r="168">
          <cell r="A168" t="str">
            <v>French Guiana</v>
          </cell>
        </row>
        <row r="169">
          <cell r="A169" t="str">
            <v>Guam</v>
          </cell>
        </row>
        <row r="170">
          <cell r="A170" t="str">
            <v>Heard &amp; McDonald Islands</v>
          </cell>
        </row>
        <row r="171">
          <cell r="A171" t="str">
            <v>Honduras</v>
          </cell>
        </row>
        <row r="172">
          <cell r="A172" t="str">
            <v>Haiti</v>
          </cell>
        </row>
        <row r="173">
          <cell r="A173" t="str">
            <v>Isle of Man</v>
          </cell>
        </row>
        <row r="174">
          <cell r="A174" t="str">
            <v>British Indian Ocean Territory</v>
          </cell>
        </row>
        <row r="175">
          <cell r="A175" t="str">
            <v>Iraq</v>
          </cell>
        </row>
        <row r="176">
          <cell r="A176" t="str">
            <v>Jamaica</v>
          </cell>
        </row>
        <row r="177">
          <cell r="A177" t="str">
            <v>Jersey</v>
          </cell>
        </row>
        <row r="178">
          <cell r="A178" t="str">
            <v>Jordan</v>
          </cell>
        </row>
        <row r="179">
          <cell r="A179" t="str">
            <v>Kyrgyzstan</v>
          </cell>
        </row>
        <row r="180">
          <cell r="A180" t="str">
            <v>Cambodia</v>
          </cell>
        </row>
        <row r="181">
          <cell r="A181" t="str">
            <v>Kiribati</v>
          </cell>
        </row>
        <row r="182">
          <cell r="A182" t="str">
            <v>St. Kitts &amp; Nevis</v>
          </cell>
        </row>
        <row r="183">
          <cell r="A183" t="str">
            <v>Kuwait</v>
          </cell>
        </row>
        <row r="184">
          <cell r="A184" t="str">
            <v>Lebanon</v>
          </cell>
        </row>
        <row r="185">
          <cell r="A185" t="str">
            <v>Liberia</v>
          </cell>
        </row>
        <row r="186">
          <cell r="A186" t="str">
            <v>St. Lucia</v>
          </cell>
        </row>
        <row r="187">
          <cell r="A187" t="str">
            <v>Liechtenstein</v>
          </cell>
        </row>
        <row r="188">
          <cell r="A188" t="str">
            <v>Lesotho</v>
          </cell>
        </row>
        <row r="189">
          <cell r="A189" t="str">
            <v>Lithuania</v>
          </cell>
        </row>
        <row r="190">
          <cell r="A190" t="str">
            <v>Macao</v>
          </cell>
        </row>
        <row r="191">
          <cell r="A191" t="str">
            <v>St. Martin</v>
          </cell>
        </row>
        <row r="192">
          <cell r="A192" t="str">
            <v>Monaco</v>
          </cell>
        </row>
        <row r="193">
          <cell r="A193" t="str">
            <v>Moldova</v>
          </cell>
        </row>
        <row r="194">
          <cell r="A194" t="str">
            <v>Madagascar</v>
          </cell>
        </row>
        <row r="195">
          <cell r="A195" t="str">
            <v>Maldives</v>
          </cell>
        </row>
        <row r="196">
          <cell r="A196" t="str">
            <v>Marshall Islands</v>
          </cell>
        </row>
        <row r="197">
          <cell r="A197" t="str">
            <v>Mali</v>
          </cell>
        </row>
        <row r="198">
          <cell r="A198" t="str">
            <v>Malta</v>
          </cell>
        </row>
        <row r="199">
          <cell r="A199" t="str">
            <v>Northern Mariana Islands</v>
          </cell>
        </row>
        <row r="200">
          <cell r="A200" t="str">
            <v>Mauritania</v>
          </cell>
        </row>
        <row r="201">
          <cell r="A201" t="str">
            <v>Montserrat</v>
          </cell>
        </row>
        <row r="202">
          <cell r="A202" t="str">
            <v>Martinique</v>
          </cell>
        </row>
        <row r="203">
          <cell r="A203" t="str">
            <v>Mauritius</v>
          </cell>
        </row>
        <row r="204">
          <cell r="A204" t="str">
            <v>Malawi</v>
          </cell>
        </row>
        <row r="205">
          <cell r="A205" t="str">
            <v>Mayotte</v>
          </cell>
        </row>
        <row r="206">
          <cell r="A206" t="str">
            <v>Namibia</v>
          </cell>
        </row>
        <row r="207">
          <cell r="A207" t="str">
            <v>New Caledonia</v>
          </cell>
        </row>
        <row r="208">
          <cell r="A208" t="str">
            <v>Niger</v>
          </cell>
        </row>
        <row r="209">
          <cell r="A209" t="str">
            <v>Norfolk Island</v>
          </cell>
        </row>
        <row r="210">
          <cell r="A210" t="str">
            <v>Nicaragua</v>
          </cell>
        </row>
        <row r="211">
          <cell r="A211" t="str">
            <v>Niue</v>
          </cell>
        </row>
        <row r="212">
          <cell r="A212" t="str">
            <v>Nauru</v>
          </cell>
        </row>
        <row r="213">
          <cell r="A213" t="str">
            <v>Pitcairn Islands</v>
          </cell>
        </row>
        <row r="214">
          <cell r="A214" t="str">
            <v>Palau</v>
          </cell>
        </row>
        <row r="215">
          <cell r="A215" t="str">
            <v>Papua New Guinea</v>
          </cell>
        </row>
        <row r="216">
          <cell r="A216" t="str">
            <v>North Korea</v>
          </cell>
        </row>
        <row r="217">
          <cell r="A217" t="str">
            <v>French Polynesia</v>
          </cell>
        </row>
        <row r="218">
          <cell r="A218" t="str">
            <v>Qatar</v>
          </cell>
        </row>
        <row r="219">
          <cell r="A219" t="str">
            <v>RÃ©union</v>
          </cell>
        </row>
        <row r="220">
          <cell r="A220" t="str">
            <v>Sudan</v>
          </cell>
        </row>
        <row r="221">
          <cell r="A221" t="str">
            <v>Senegal</v>
          </cell>
        </row>
        <row r="222">
          <cell r="A222" t="str">
            <v>South Georgia &amp; South Sandwich Islands</v>
          </cell>
        </row>
        <row r="223">
          <cell r="A223" t="str">
            <v>Svalbard &amp; Jan Mayen</v>
          </cell>
        </row>
        <row r="224">
          <cell r="A224" t="str">
            <v>Solomon Islands</v>
          </cell>
        </row>
        <row r="225">
          <cell r="A225" t="str">
            <v>Sierra Leone</v>
          </cell>
        </row>
        <row r="226">
          <cell r="A226" t="str">
            <v>San Marino</v>
          </cell>
        </row>
        <row r="227">
          <cell r="A227" t="str">
            <v>Somalia</v>
          </cell>
        </row>
        <row r="228">
          <cell r="A228" t="str">
            <v>St. Pierre &amp; Miquelon</v>
          </cell>
        </row>
        <row r="229">
          <cell r="A229" t="str">
            <v>South Sudan</v>
          </cell>
        </row>
        <row r="230">
          <cell r="A230" t="str">
            <v>SÃ£o TomÃ© &amp; PrÃ­ncipe</v>
          </cell>
        </row>
        <row r="231">
          <cell r="A231" t="str">
            <v>Suriname</v>
          </cell>
        </row>
        <row r="232">
          <cell r="A232" t="str">
            <v>Eswatini</v>
          </cell>
        </row>
        <row r="233">
          <cell r="A233" t="str">
            <v>Sint Maarten</v>
          </cell>
        </row>
        <row r="234">
          <cell r="A234" t="str">
            <v>Seychelles</v>
          </cell>
        </row>
        <row r="235">
          <cell r="A235" t="str">
            <v>Turks &amp; Caicos Islands</v>
          </cell>
        </row>
        <row r="236">
          <cell r="A236" t="str">
            <v>Chad</v>
          </cell>
        </row>
        <row r="237">
          <cell r="A237" t="str">
            <v>Togo</v>
          </cell>
        </row>
        <row r="238">
          <cell r="A238" t="str">
            <v>Tokelau</v>
          </cell>
        </row>
        <row r="239">
          <cell r="A239" t="str">
            <v>Turkmenistan</v>
          </cell>
        </row>
        <row r="240">
          <cell r="A240" t="str">
            <v>Timor-Leste</v>
          </cell>
        </row>
        <row r="241">
          <cell r="A241" t="str">
            <v>Tonga</v>
          </cell>
        </row>
        <row r="242">
          <cell r="A242" t="str">
            <v>Tuvalu</v>
          </cell>
        </row>
        <row r="243">
          <cell r="A243" t="str">
            <v>U.S. Outlying Islands</v>
          </cell>
        </row>
        <row r="244">
          <cell r="A244" t="str">
            <v>Uzbekistan</v>
          </cell>
        </row>
        <row r="245">
          <cell r="A245" t="str">
            <v>Vatican City</v>
          </cell>
        </row>
        <row r="246">
          <cell r="A246" t="str">
            <v>St. Vincent &amp; Grenadines</v>
          </cell>
        </row>
        <row r="247">
          <cell r="A247" t="str">
            <v>British Virgin Islands</v>
          </cell>
        </row>
        <row r="248">
          <cell r="A248" t="str">
            <v>U.S. Virgin Islands</v>
          </cell>
        </row>
        <row r="249">
          <cell r="A249" t="str">
            <v>Vanuatu</v>
          </cell>
        </row>
        <row r="250">
          <cell r="A250" t="str">
            <v>Wallis &amp; Futuna</v>
          </cell>
        </row>
        <row r="251">
          <cell r="A251" t="str">
            <v>Samoa</v>
          </cell>
        </row>
        <row r="252">
          <cell r="A252" t="str">
            <v>Kosovo</v>
          </cell>
        </row>
        <row r="253">
          <cell r="A253" t="str">
            <v>Yemen</v>
          </cell>
        </row>
      </sheetData>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66)"/>
    </sheetNames>
    <sheetDataSet>
      <sheetData sheetId="0" refreshError="1">
        <row r="1">
          <cell r="A1" t="str">
            <v>Category: All categories</v>
          </cell>
        </row>
        <row r="3">
          <cell r="A3" t="str">
            <v>Country</v>
          </cell>
          <cell r="B3" t="str">
            <v>Mutual exclusion: (2018)</v>
          </cell>
          <cell r="C3" t="str">
            <v>Polynomial hierarchy: (2018)</v>
          </cell>
        </row>
        <row r="4">
          <cell r="A4" t="str">
            <v>China</v>
          </cell>
          <cell r="B4">
            <v>1</v>
          </cell>
        </row>
        <row r="5">
          <cell r="A5" t="str">
            <v>Botswana</v>
          </cell>
        </row>
        <row r="6">
          <cell r="A6" t="str">
            <v>Taiwan</v>
          </cell>
          <cell r="B6">
            <v>1</v>
          </cell>
        </row>
        <row r="7">
          <cell r="A7" t="str">
            <v>Israel</v>
          </cell>
          <cell r="B7">
            <v>1</v>
          </cell>
        </row>
        <row r="8">
          <cell r="A8" t="str">
            <v>Japan</v>
          </cell>
          <cell r="B8">
            <v>1</v>
          </cell>
        </row>
        <row r="9">
          <cell r="A9" t="str">
            <v>Zimbabwe</v>
          </cell>
        </row>
        <row r="10">
          <cell r="A10" t="str">
            <v>Czechia</v>
          </cell>
          <cell r="B10">
            <v>1</v>
          </cell>
        </row>
        <row r="11">
          <cell r="A11" t="str">
            <v>Belarus</v>
          </cell>
          <cell r="B11">
            <v>1</v>
          </cell>
        </row>
        <row r="12">
          <cell r="A12" t="str">
            <v>Germany</v>
          </cell>
          <cell r="B12">
            <v>1</v>
          </cell>
        </row>
        <row r="13">
          <cell r="A13" t="str">
            <v>Russia</v>
          </cell>
          <cell r="B13">
            <v>0.95</v>
          </cell>
          <cell r="C13">
            <v>0.05</v>
          </cell>
        </row>
        <row r="14">
          <cell r="A14" t="str">
            <v>Finland</v>
          </cell>
          <cell r="B14">
            <v>1</v>
          </cell>
        </row>
        <row r="15">
          <cell r="A15" t="str">
            <v>Iceland</v>
          </cell>
        </row>
        <row r="16">
          <cell r="A16" t="str">
            <v>Austria</v>
          </cell>
          <cell r="B16">
            <v>1</v>
          </cell>
        </row>
        <row r="17">
          <cell r="A17" t="str">
            <v>Ethiopia</v>
          </cell>
        </row>
        <row r="18">
          <cell r="A18" t="str">
            <v>South Korea</v>
          </cell>
          <cell r="B18">
            <v>1</v>
          </cell>
        </row>
        <row r="19">
          <cell r="A19" t="str">
            <v>Norway</v>
          </cell>
          <cell r="B19">
            <v>1</v>
          </cell>
        </row>
        <row r="20">
          <cell r="A20" t="str">
            <v>Sweden</v>
          </cell>
          <cell r="B20">
            <v>1</v>
          </cell>
        </row>
        <row r="21">
          <cell r="A21" t="str">
            <v>Kenya</v>
          </cell>
          <cell r="B21">
            <v>1</v>
          </cell>
        </row>
        <row r="22">
          <cell r="A22" t="str">
            <v>Ukraine</v>
          </cell>
          <cell r="B22">
            <v>1</v>
          </cell>
        </row>
        <row r="23">
          <cell r="A23" t="str">
            <v>Lithuania</v>
          </cell>
          <cell r="B23">
            <v>1</v>
          </cell>
        </row>
        <row r="24">
          <cell r="A24" t="str">
            <v>Switzerland</v>
          </cell>
          <cell r="B24">
            <v>1</v>
          </cell>
        </row>
        <row r="25">
          <cell r="A25" t="str">
            <v>Portugal</v>
          </cell>
          <cell r="B25">
            <v>1</v>
          </cell>
        </row>
        <row r="26">
          <cell r="A26" t="str">
            <v>Nepal</v>
          </cell>
          <cell r="B26">
            <v>1</v>
          </cell>
        </row>
        <row r="27">
          <cell r="A27" t="str">
            <v>Slovakia</v>
          </cell>
          <cell r="B27">
            <v>1</v>
          </cell>
        </row>
        <row r="28">
          <cell r="A28" t="str">
            <v>Poland</v>
          </cell>
          <cell r="B28">
            <v>1</v>
          </cell>
        </row>
        <row r="29">
          <cell r="A29" t="str">
            <v>Serbia</v>
          </cell>
          <cell r="B29">
            <v>1</v>
          </cell>
        </row>
        <row r="30">
          <cell r="A30" t="str">
            <v>Algeria</v>
          </cell>
          <cell r="B30">
            <v>1</v>
          </cell>
        </row>
        <row r="31">
          <cell r="A31" t="str">
            <v>Tunisia</v>
          </cell>
          <cell r="B31">
            <v>1</v>
          </cell>
        </row>
        <row r="32">
          <cell r="A32" t="str">
            <v>Hungary</v>
          </cell>
          <cell r="B32">
            <v>1</v>
          </cell>
        </row>
        <row r="33">
          <cell r="A33" t="str">
            <v>India</v>
          </cell>
          <cell r="B33">
            <v>1</v>
          </cell>
        </row>
        <row r="34">
          <cell r="A34" t="str">
            <v>Guatemala</v>
          </cell>
          <cell r="B34">
            <v>1</v>
          </cell>
        </row>
        <row r="35">
          <cell r="A35" t="str">
            <v>St. Helena</v>
          </cell>
        </row>
        <row r="36">
          <cell r="A36" t="str">
            <v>Pakistan</v>
          </cell>
          <cell r="B36">
            <v>1</v>
          </cell>
        </row>
        <row r="37">
          <cell r="A37" t="str">
            <v>Hong Kong</v>
          </cell>
          <cell r="B37">
            <v>1</v>
          </cell>
        </row>
        <row r="38">
          <cell r="A38" t="str">
            <v>Italy</v>
          </cell>
          <cell r="B38">
            <v>1</v>
          </cell>
        </row>
        <row r="39">
          <cell r="A39" t="str">
            <v>Netherlands</v>
          </cell>
          <cell r="B39">
            <v>1</v>
          </cell>
        </row>
        <row r="40">
          <cell r="A40" t="str">
            <v>Bulgaria</v>
          </cell>
          <cell r="B40">
            <v>1</v>
          </cell>
        </row>
        <row r="41">
          <cell r="A41" t="str">
            <v>Spain</v>
          </cell>
          <cell r="B41">
            <v>1</v>
          </cell>
        </row>
        <row r="42">
          <cell r="A42" t="str">
            <v>Costa Rica</v>
          </cell>
        </row>
        <row r="43">
          <cell r="A43" t="str">
            <v>Singapore</v>
          </cell>
          <cell r="B43">
            <v>1</v>
          </cell>
        </row>
        <row r="44">
          <cell r="A44" t="str">
            <v>Greece</v>
          </cell>
          <cell r="B44">
            <v>1</v>
          </cell>
        </row>
        <row r="45">
          <cell r="A45" t="str">
            <v>Nigeria</v>
          </cell>
          <cell r="B45">
            <v>1</v>
          </cell>
        </row>
        <row r="46">
          <cell r="A46" t="str">
            <v>Croatia</v>
          </cell>
          <cell r="B46">
            <v>1</v>
          </cell>
        </row>
        <row r="47">
          <cell r="A47" t="str">
            <v>France</v>
          </cell>
          <cell r="B47">
            <v>1</v>
          </cell>
        </row>
        <row r="48">
          <cell r="A48" t="str">
            <v>Kazakhstan</v>
          </cell>
          <cell r="B48">
            <v>1</v>
          </cell>
        </row>
        <row r="49">
          <cell r="A49" t="str">
            <v>Belgium</v>
          </cell>
          <cell r="B49">
            <v>1</v>
          </cell>
        </row>
        <row r="50">
          <cell r="A50" t="str">
            <v>Bangladesh</v>
          </cell>
          <cell r="B50">
            <v>1</v>
          </cell>
        </row>
        <row r="51">
          <cell r="A51" t="str">
            <v>Mexico</v>
          </cell>
          <cell r="B51">
            <v>1</v>
          </cell>
        </row>
        <row r="52">
          <cell r="A52" t="str">
            <v>Canada</v>
          </cell>
          <cell r="B52">
            <v>1</v>
          </cell>
        </row>
        <row r="53">
          <cell r="A53" t="str">
            <v>Ireland</v>
          </cell>
          <cell r="B53">
            <v>1</v>
          </cell>
        </row>
        <row r="54">
          <cell r="A54" t="str">
            <v>Morocco</v>
          </cell>
          <cell r="B54">
            <v>1</v>
          </cell>
        </row>
        <row r="55">
          <cell r="A55" t="str">
            <v>Vietnam</v>
          </cell>
          <cell r="B55">
            <v>1</v>
          </cell>
        </row>
        <row r="56">
          <cell r="A56" t="str">
            <v>Brazil</v>
          </cell>
          <cell r="B56">
            <v>1</v>
          </cell>
        </row>
        <row r="57">
          <cell r="A57" t="str">
            <v>Argentina</v>
          </cell>
          <cell r="B57">
            <v>1</v>
          </cell>
        </row>
        <row r="58">
          <cell r="A58" t="str">
            <v>Sri Lanka</v>
          </cell>
          <cell r="B58">
            <v>1</v>
          </cell>
        </row>
        <row r="59">
          <cell r="A59" t="str">
            <v>Chile</v>
          </cell>
          <cell r="B59">
            <v>1</v>
          </cell>
        </row>
        <row r="60">
          <cell r="A60" t="str">
            <v>United States</v>
          </cell>
          <cell r="B60">
            <v>0.97</v>
          </cell>
          <cell r="C60">
            <v>0.03</v>
          </cell>
        </row>
        <row r="61">
          <cell r="A61" t="str">
            <v>Indonesia</v>
          </cell>
          <cell r="B61">
            <v>1</v>
          </cell>
        </row>
        <row r="62">
          <cell r="A62" t="str">
            <v>New Zealand</v>
          </cell>
        </row>
        <row r="63">
          <cell r="A63" t="str">
            <v>Uruguay</v>
          </cell>
        </row>
        <row r="64">
          <cell r="A64" t="str">
            <v>United Arab Emirates</v>
          </cell>
        </row>
        <row r="65">
          <cell r="A65" t="str">
            <v>Australia</v>
          </cell>
          <cell r="B65">
            <v>1</v>
          </cell>
        </row>
        <row r="66">
          <cell r="A66" t="str">
            <v>Peru</v>
          </cell>
          <cell r="B66">
            <v>1</v>
          </cell>
        </row>
        <row r="67">
          <cell r="A67" t="str">
            <v>Philippines</v>
          </cell>
          <cell r="B67">
            <v>1</v>
          </cell>
        </row>
        <row r="68">
          <cell r="A68" t="str">
            <v>Malaysia</v>
          </cell>
          <cell r="B68">
            <v>1</v>
          </cell>
        </row>
        <row r="69">
          <cell r="A69" t="str">
            <v>Egypt</v>
          </cell>
          <cell r="B69">
            <v>1</v>
          </cell>
        </row>
        <row r="70">
          <cell r="A70" t="str">
            <v>Colombia</v>
          </cell>
          <cell r="B70">
            <v>1</v>
          </cell>
        </row>
        <row r="71">
          <cell r="A71" t="str">
            <v>United Kingdom</v>
          </cell>
          <cell r="B71">
            <v>1</v>
          </cell>
        </row>
        <row r="72">
          <cell r="A72" t="str">
            <v>Saudi Arabia</v>
          </cell>
          <cell r="B72">
            <v>1</v>
          </cell>
        </row>
        <row r="73">
          <cell r="A73" t="str">
            <v>Iran</v>
          </cell>
          <cell r="B73">
            <v>1</v>
          </cell>
        </row>
        <row r="74">
          <cell r="A74" t="str">
            <v>Thailand</v>
          </cell>
          <cell r="B74">
            <v>1</v>
          </cell>
        </row>
        <row r="75">
          <cell r="A75" t="str">
            <v>Ecuador</v>
          </cell>
        </row>
        <row r="76">
          <cell r="A76" t="str">
            <v>South Africa</v>
          </cell>
          <cell r="B76">
            <v>1</v>
          </cell>
        </row>
        <row r="77">
          <cell r="A77" t="str">
            <v>Denmark</v>
          </cell>
        </row>
        <row r="78">
          <cell r="A78" t="str">
            <v>Romania</v>
          </cell>
        </row>
        <row r="79">
          <cell r="A79" t="str">
            <v>Turkey</v>
          </cell>
          <cell r="B79">
            <v>1</v>
          </cell>
        </row>
        <row r="80">
          <cell r="A80" t="str">
            <v>Venezuela</v>
          </cell>
        </row>
        <row r="81">
          <cell r="A81" t="str">
            <v>Angola</v>
          </cell>
        </row>
        <row r="82">
          <cell r="A82" t="str">
            <v>Cuba</v>
          </cell>
        </row>
        <row r="83">
          <cell r="A83" t="str">
            <v>Mozambique</v>
          </cell>
        </row>
        <row r="84">
          <cell r="A84" t="str">
            <v>Benin</v>
          </cell>
        </row>
        <row r="85">
          <cell r="A85" t="str">
            <v>Rwanda</v>
          </cell>
        </row>
        <row r="86">
          <cell r="A86" t="str">
            <v>Madagascar</v>
          </cell>
        </row>
        <row r="87">
          <cell r="A87" t="str">
            <v>Burkina Faso</v>
          </cell>
        </row>
        <row r="88">
          <cell r="A88" t="str">
            <v>Cameroon</v>
          </cell>
        </row>
        <row r="89">
          <cell r="A89" t="str">
            <v>Brunei</v>
          </cell>
        </row>
        <row r="90">
          <cell r="A90" t="str">
            <v>Libya</v>
          </cell>
        </row>
        <row r="91">
          <cell r="A91" t="str">
            <v>Tajikistan</v>
          </cell>
        </row>
        <row r="92">
          <cell r="A92" t="str">
            <v>Estonia</v>
          </cell>
        </row>
        <row r="93">
          <cell r="A93" t="str">
            <v>Armenia</v>
          </cell>
        </row>
        <row r="94">
          <cell r="A94" t="str">
            <v>Myanmar (Burma)</v>
          </cell>
        </row>
        <row r="95">
          <cell r="A95" t="str">
            <v>Montenegro</v>
          </cell>
        </row>
        <row r="96">
          <cell r="A96" t="str">
            <v>Latvia</v>
          </cell>
        </row>
        <row r="97">
          <cell r="A97" t="str">
            <v>Moldova</v>
          </cell>
        </row>
        <row r="98">
          <cell r="A98" t="str">
            <v>Trinidad &amp; Tobago</v>
          </cell>
        </row>
        <row r="99">
          <cell r="A99" t="str">
            <v>Luxembourg</v>
          </cell>
        </row>
        <row r="100">
          <cell r="A100" t="str">
            <v>Palestine</v>
          </cell>
        </row>
        <row r="101">
          <cell r="A101" t="str">
            <v>Nicaragua</v>
          </cell>
        </row>
        <row r="102">
          <cell r="A102" t="str">
            <v>Tanzania</v>
          </cell>
        </row>
        <row r="103">
          <cell r="A103" t="str">
            <v>Uganda</v>
          </cell>
        </row>
        <row r="104">
          <cell r="A104" t="str">
            <v>Georgia</v>
          </cell>
        </row>
        <row r="105">
          <cell r="A105" t="str">
            <v>North Macedonia</v>
          </cell>
        </row>
        <row r="106">
          <cell r="A106" t="str">
            <v>Albania</v>
          </cell>
        </row>
        <row r="107">
          <cell r="A107" t="str">
            <v>Bosnia &amp; Herzegovina</v>
          </cell>
        </row>
        <row r="108">
          <cell r="A108" t="str">
            <v>El Salvador</v>
          </cell>
        </row>
        <row r="109">
          <cell r="A109" t="str">
            <v>Azerbaijan</v>
          </cell>
        </row>
        <row r="110">
          <cell r="A110" t="str">
            <v>Cyprus</v>
          </cell>
        </row>
        <row r="111">
          <cell r="A111" t="str">
            <v>Oman</v>
          </cell>
        </row>
        <row r="112">
          <cell r="A112" t="str">
            <v>Honduras</v>
          </cell>
        </row>
        <row r="113">
          <cell r="A113" t="str">
            <v>Slovenia</v>
          </cell>
        </row>
        <row r="114">
          <cell r="A114" t="str">
            <v>Syria</v>
          </cell>
        </row>
        <row r="115">
          <cell r="A115" t="str">
            <v>Dominican Republic</v>
          </cell>
        </row>
        <row r="116">
          <cell r="A116" t="str">
            <v>Puerto Rico</v>
          </cell>
        </row>
        <row r="117">
          <cell r="A117" t="str">
            <v>Panama</v>
          </cell>
        </row>
        <row r="118">
          <cell r="A118" t="str">
            <v>Paraguay</v>
          </cell>
        </row>
        <row r="119">
          <cell r="A119" t="str">
            <v>Aruba</v>
          </cell>
        </row>
        <row r="120">
          <cell r="A120" t="str">
            <v>Afghanistan</v>
          </cell>
        </row>
        <row r="121">
          <cell r="A121" t="str">
            <v>Anguilla</v>
          </cell>
        </row>
        <row r="122">
          <cell r="A122" t="str">
            <v>Ã…land Islands</v>
          </cell>
        </row>
        <row r="123">
          <cell r="A123" t="str">
            <v>Andorra</v>
          </cell>
        </row>
        <row r="124">
          <cell r="A124" t="str">
            <v>American Samoa</v>
          </cell>
        </row>
        <row r="125">
          <cell r="A125" t="str">
            <v>Antarctica</v>
          </cell>
        </row>
        <row r="126">
          <cell r="A126" t="str">
            <v>French Southern Territories</v>
          </cell>
        </row>
        <row r="127">
          <cell r="A127" t="str">
            <v>Antigua &amp; Barbuda</v>
          </cell>
        </row>
        <row r="128">
          <cell r="A128" t="str">
            <v>Burundi</v>
          </cell>
        </row>
        <row r="129">
          <cell r="A129" t="str">
            <v>Caribbean Netherlands</v>
          </cell>
        </row>
        <row r="130">
          <cell r="A130" t="str">
            <v>Bahrain</v>
          </cell>
        </row>
        <row r="131">
          <cell r="A131" t="str">
            <v>Bahamas</v>
          </cell>
        </row>
        <row r="132">
          <cell r="A132" t="str">
            <v>St. BarthÃ©lemy</v>
          </cell>
        </row>
        <row r="133">
          <cell r="A133" t="str">
            <v>Belize</v>
          </cell>
        </row>
        <row r="134">
          <cell r="A134" t="str">
            <v>Bermuda</v>
          </cell>
        </row>
        <row r="135">
          <cell r="A135" t="str">
            <v>Bolivia</v>
          </cell>
        </row>
        <row r="136">
          <cell r="A136" t="str">
            <v>Barbados</v>
          </cell>
        </row>
        <row r="137">
          <cell r="A137" t="str">
            <v>Bhutan</v>
          </cell>
        </row>
        <row r="138">
          <cell r="A138" t="str">
            <v>Bouvet Island</v>
          </cell>
        </row>
        <row r="139">
          <cell r="A139" t="str">
            <v>Central African Republic</v>
          </cell>
        </row>
        <row r="140">
          <cell r="A140" t="str">
            <v>Cocos (Keeling) Islands</v>
          </cell>
        </row>
        <row r="141">
          <cell r="A141" t="str">
            <v>CÃ´te dâ€™Ivoire</v>
          </cell>
        </row>
        <row r="142">
          <cell r="A142" t="str">
            <v>Congo - Kinshasa</v>
          </cell>
        </row>
        <row r="143">
          <cell r="A143" t="str">
            <v>Congo - Brazzaville</v>
          </cell>
        </row>
        <row r="144">
          <cell r="A144" t="str">
            <v>Cook Islands</v>
          </cell>
        </row>
        <row r="145">
          <cell r="A145" t="str">
            <v>Comoros</v>
          </cell>
        </row>
        <row r="146">
          <cell r="A146" t="str">
            <v>Cape Verde</v>
          </cell>
        </row>
        <row r="147">
          <cell r="A147" t="str">
            <v>CuraÃ§ao</v>
          </cell>
        </row>
        <row r="148">
          <cell r="A148" t="str">
            <v>Christmas Island</v>
          </cell>
        </row>
        <row r="149">
          <cell r="A149" t="str">
            <v>Cayman Islands</v>
          </cell>
        </row>
        <row r="150">
          <cell r="A150" t="str">
            <v>Djibouti</v>
          </cell>
        </row>
        <row r="151">
          <cell r="A151" t="str">
            <v>Dominica</v>
          </cell>
        </row>
        <row r="152">
          <cell r="A152" t="str">
            <v>Eritrea</v>
          </cell>
        </row>
        <row r="153">
          <cell r="A153" t="str">
            <v>Western Sahara</v>
          </cell>
        </row>
        <row r="154">
          <cell r="A154" t="str">
            <v>Fiji</v>
          </cell>
        </row>
        <row r="155">
          <cell r="A155" t="str">
            <v>Falkland Islands (Islas Malvinas)</v>
          </cell>
        </row>
        <row r="156">
          <cell r="A156" t="str">
            <v>Faroe Islands</v>
          </cell>
        </row>
        <row r="157">
          <cell r="A157" t="str">
            <v>Micronesia</v>
          </cell>
        </row>
        <row r="158">
          <cell r="A158" t="str">
            <v>Gabon</v>
          </cell>
        </row>
        <row r="159">
          <cell r="A159" t="str">
            <v>Guernsey</v>
          </cell>
        </row>
        <row r="160">
          <cell r="A160" t="str">
            <v>Ghana</v>
          </cell>
        </row>
        <row r="161">
          <cell r="A161" t="str">
            <v>Gibraltar</v>
          </cell>
        </row>
        <row r="162">
          <cell r="A162" t="str">
            <v>Guinea</v>
          </cell>
        </row>
        <row r="163">
          <cell r="A163" t="str">
            <v>Guadeloupe</v>
          </cell>
        </row>
        <row r="164">
          <cell r="A164" t="str">
            <v>Gambia</v>
          </cell>
        </row>
        <row r="165">
          <cell r="A165" t="str">
            <v>Guinea-Bissau</v>
          </cell>
        </row>
        <row r="166">
          <cell r="A166" t="str">
            <v>Equatorial Guinea</v>
          </cell>
        </row>
        <row r="167">
          <cell r="A167" t="str">
            <v>Grenada</v>
          </cell>
        </row>
        <row r="168">
          <cell r="A168" t="str">
            <v>Greenland</v>
          </cell>
        </row>
        <row r="169">
          <cell r="A169" t="str">
            <v>French Guiana</v>
          </cell>
        </row>
        <row r="170">
          <cell r="A170" t="str">
            <v>Guam</v>
          </cell>
        </row>
        <row r="171">
          <cell r="A171" t="str">
            <v>Guyana</v>
          </cell>
        </row>
        <row r="172">
          <cell r="A172" t="str">
            <v>Heard &amp; McDonald Islands</v>
          </cell>
        </row>
        <row r="173">
          <cell r="A173" t="str">
            <v>Haiti</v>
          </cell>
        </row>
        <row r="174">
          <cell r="A174" t="str">
            <v>Isle of Man</v>
          </cell>
        </row>
        <row r="175">
          <cell r="A175" t="str">
            <v>British Indian Ocean Territory</v>
          </cell>
        </row>
        <row r="176">
          <cell r="A176" t="str">
            <v>Iraq</v>
          </cell>
        </row>
        <row r="177">
          <cell r="A177" t="str">
            <v>Jamaica</v>
          </cell>
        </row>
        <row r="178">
          <cell r="A178" t="str">
            <v>Jersey</v>
          </cell>
        </row>
        <row r="179">
          <cell r="A179" t="str">
            <v>Jordan</v>
          </cell>
        </row>
        <row r="180">
          <cell r="A180" t="str">
            <v>Kyrgyzstan</v>
          </cell>
        </row>
        <row r="181">
          <cell r="A181" t="str">
            <v>Cambodia</v>
          </cell>
        </row>
        <row r="182">
          <cell r="A182" t="str">
            <v>Kiribati</v>
          </cell>
        </row>
        <row r="183">
          <cell r="A183" t="str">
            <v>St. Kitts &amp; Nevis</v>
          </cell>
        </row>
        <row r="184">
          <cell r="A184" t="str">
            <v>Kuwait</v>
          </cell>
        </row>
        <row r="185">
          <cell r="A185" t="str">
            <v>Laos</v>
          </cell>
        </row>
        <row r="186">
          <cell r="A186" t="str">
            <v>Lebanon</v>
          </cell>
        </row>
        <row r="187">
          <cell r="A187" t="str">
            <v>Liberia</v>
          </cell>
        </row>
        <row r="188">
          <cell r="A188" t="str">
            <v>St. Lucia</v>
          </cell>
        </row>
        <row r="189">
          <cell r="A189" t="str">
            <v>Liechtenstein</v>
          </cell>
        </row>
        <row r="190">
          <cell r="A190" t="str">
            <v>Lesotho</v>
          </cell>
        </row>
        <row r="191">
          <cell r="A191" t="str">
            <v>Macao</v>
          </cell>
        </row>
        <row r="192">
          <cell r="A192" t="str">
            <v>St. Martin</v>
          </cell>
        </row>
        <row r="193">
          <cell r="A193" t="str">
            <v>Monaco</v>
          </cell>
        </row>
        <row r="194">
          <cell r="A194" t="str">
            <v>Maldives</v>
          </cell>
        </row>
        <row r="195">
          <cell r="A195" t="str">
            <v>Marshall Islands</v>
          </cell>
        </row>
        <row r="196">
          <cell r="A196" t="str">
            <v>Mali</v>
          </cell>
        </row>
        <row r="197">
          <cell r="A197" t="str">
            <v>Malta</v>
          </cell>
        </row>
        <row r="198">
          <cell r="A198" t="str">
            <v>Mongolia</v>
          </cell>
        </row>
        <row r="199">
          <cell r="A199" t="str">
            <v>Northern Mariana Islands</v>
          </cell>
        </row>
        <row r="200">
          <cell r="A200" t="str">
            <v>Mauritania</v>
          </cell>
        </row>
        <row r="201">
          <cell r="A201" t="str">
            <v>Montserrat</v>
          </cell>
        </row>
        <row r="202">
          <cell r="A202" t="str">
            <v>Martinique</v>
          </cell>
        </row>
        <row r="203">
          <cell r="A203" t="str">
            <v>Mauritius</v>
          </cell>
        </row>
        <row r="204">
          <cell r="A204" t="str">
            <v>Malawi</v>
          </cell>
        </row>
        <row r="205">
          <cell r="A205" t="str">
            <v>Mayotte</v>
          </cell>
        </row>
        <row r="206">
          <cell r="A206" t="str">
            <v>Namibia</v>
          </cell>
        </row>
        <row r="207">
          <cell r="A207" t="str">
            <v>New Caledonia</v>
          </cell>
        </row>
        <row r="208">
          <cell r="A208" t="str">
            <v>Niger</v>
          </cell>
        </row>
        <row r="209">
          <cell r="A209" t="str">
            <v>Norfolk Island</v>
          </cell>
        </row>
        <row r="210">
          <cell r="A210" t="str">
            <v>Niue</v>
          </cell>
        </row>
        <row r="211">
          <cell r="A211" t="str">
            <v>Nauru</v>
          </cell>
        </row>
        <row r="212">
          <cell r="A212" t="str">
            <v>Pitcairn Islands</v>
          </cell>
        </row>
        <row r="213">
          <cell r="A213" t="str">
            <v>Palau</v>
          </cell>
        </row>
        <row r="214">
          <cell r="A214" t="str">
            <v>Papua New Guinea</v>
          </cell>
        </row>
        <row r="215">
          <cell r="A215" t="str">
            <v>North Korea</v>
          </cell>
        </row>
        <row r="216">
          <cell r="A216" t="str">
            <v>French Polynesia</v>
          </cell>
        </row>
        <row r="217">
          <cell r="A217" t="str">
            <v>Qatar</v>
          </cell>
        </row>
        <row r="218">
          <cell r="A218" t="str">
            <v>RÃ©union</v>
          </cell>
        </row>
        <row r="219">
          <cell r="A219" t="str">
            <v>Sudan</v>
          </cell>
        </row>
        <row r="220">
          <cell r="A220" t="str">
            <v>Senegal</v>
          </cell>
        </row>
        <row r="221">
          <cell r="A221" t="str">
            <v>South Georgia &amp; South Sandwich Islands</v>
          </cell>
        </row>
        <row r="222">
          <cell r="A222" t="str">
            <v>Svalbard &amp; Jan Mayen</v>
          </cell>
        </row>
        <row r="223">
          <cell r="A223" t="str">
            <v>Solomon Islands</v>
          </cell>
        </row>
        <row r="224">
          <cell r="A224" t="str">
            <v>Sierra Leone</v>
          </cell>
        </row>
        <row r="225">
          <cell r="A225" t="str">
            <v>San Marino</v>
          </cell>
        </row>
        <row r="226">
          <cell r="A226" t="str">
            <v>Somalia</v>
          </cell>
        </row>
        <row r="227">
          <cell r="A227" t="str">
            <v>St. Pierre &amp; Miquelon</v>
          </cell>
        </row>
        <row r="228">
          <cell r="A228" t="str">
            <v>South Sudan</v>
          </cell>
        </row>
        <row r="229">
          <cell r="A229" t="str">
            <v>SÃ£o TomÃ© &amp; PrÃ­ncipe</v>
          </cell>
        </row>
        <row r="230">
          <cell r="A230" t="str">
            <v>Suriname</v>
          </cell>
        </row>
        <row r="231">
          <cell r="A231" t="str">
            <v>Eswatini</v>
          </cell>
        </row>
        <row r="232">
          <cell r="A232" t="str">
            <v>Sint Maarten</v>
          </cell>
        </row>
        <row r="233">
          <cell r="A233" t="str">
            <v>Seychelles</v>
          </cell>
        </row>
        <row r="234">
          <cell r="A234" t="str">
            <v>Turks &amp; Caicos Islands</v>
          </cell>
        </row>
        <row r="235">
          <cell r="A235" t="str">
            <v>Chad</v>
          </cell>
        </row>
        <row r="236">
          <cell r="A236" t="str">
            <v>Togo</v>
          </cell>
        </row>
        <row r="237">
          <cell r="A237" t="str">
            <v>Tokelau</v>
          </cell>
        </row>
        <row r="238">
          <cell r="A238" t="str">
            <v>Turkmenistan</v>
          </cell>
        </row>
        <row r="239">
          <cell r="A239" t="str">
            <v>Timor-Leste</v>
          </cell>
        </row>
        <row r="240">
          <cell r="A240" t="str">
            <v>Tonga</v>
          </cell>
        </row>
        <row r="241">
          <cell r="A241" t="str">
            <v>Tuvalu</v>
          </cell>
        </row>
        <row r="242">
          <cell r="A242" t="str">
            <v>U.S. Outlying Islands</v>
          </cell>
        </row>
        <row r="243">
          <cell r="A243" t="str">
            <v>Uzbekistan</v>
          </cell>
        </row>
        <row r="244">
          <cell r="A244" t="str">
            <v>Vatican City</v>
          </cell>
        </row>
        <row r="245">
          <cell r="A245" t="str">
            <v>St. Vincent &amp; Grenadines</v>
          </cell>
        </row>
        <row r="246">
          <cell r="A246" t="str">
            <v>British Virgin Islands</v>
          </cell>
        </row>
        <row r="247">
          <cell r="A247" t="str">
            <v>U.S. Virgin Islands</v>
          </cell>
        </row>
        <row r="248">
          <cell r="A248" t="str">
            <v>Vanuatu</v>
          </cell>
        </row>
        <row r="249">
          <cell r="A249" t="str">
            <v>Wallis &amp; Futuna</v>
          </cell>
        </row>
        <row r="250">
          <cell r="A250" t="str">
            <v>Samoa</v>
          </cell>
        </row>
        <row r="251">
          <cell r="A251" t="str">
            <v>Kosovo</v>
          </cell>
        </row>
        <row r="252">
          <cell r="A252" t="str">
            <v>Yemen</v>
          </cell>
        </row>
        <row r="253">
          <cell r="A253" t="str">
            <v>Zambia</v>
          </cell>
        </row>
      </sheetData>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68)"/>
    </sheetNames>
    <sheetDataSet>
      <sheetData sheetId="0" refreshError="1">
        <row r="1">
          <cell r="A1" t="str">
            <v>Category: All categories</v>
          </cell>
        </row>
        <row r="3">
          <cell r="A3" t="str">
            <v>Country</v>
          </cell>
          <cell r="B3" t="str">
            <v>Mutual exclusion: (2018)</v>
          </cell>
          <cell r="C3" t="str">
            <v>LovÃ¡sz local lemma: (2018)</v>
          </cell>
        </row>
        <row r="4">
          <cell r="A4" t="str">
            <v>China</v>
          </cell>
          <cell r="B4">
            <v>1</v>
          </cell>
        </row>
        <row r="5">
          <cell r="A5" t="str">
            <v>Botswana</v>
          </cell>
        </row>
        <row r="6">
          <cell r="A6" t="str">
            <v>Taiwan</v>
          </cell>
          <cell r="B6">
            <v>1</v>
          </cell>
        </row>
        <row r="7">
          <cell r="A7" t="str">
            <v>Israel</v>
          </cell>
          <cell r="B7">
            <v>1</v>
          </cell>
        </row>
        <row r="8">
          <cell r="A8" t="str">
            <v>Japan</v>
          </cell>
          <cell r="B8">
            <v>1</v>
          </cell>
        </row>
        <row r="9">
          <cell r="A9" t="str">
            <v>Zimbabwe</v>
          </cell>
        </row>
        <row r="10">
          <cell r="A10" t="str">
            <v>Belarus</v>
          </cell>
          <cell r="B10">
            <v>1</v>
          </cell>
        </row>
        <row r="11">
          <cell r="A11" t="str">
            <v>Czechia</v>
          </cell>
          <cell r="B11">
            <v>1</v>
          </cell>
        </row>
        <row r="12">
          <cell r="A12" t="str">
            <v>Kenya</v>
          </cell>
          <cell r="B12">
            <v>1</v>
          </cell>
        </row>
        <row r="13">
          <cell r="A13" t="str">
            <v>Ethiopia</v>
          </cell>
        </row>
        <row r="14">
          <cell r="A14" t="str">
            <v>Russia</v>
          </cell>
          <cell r="B14">
            <v>1</v>
          </cell>
        </row>
        <row r="15">
          <cell r="A15" t="str">
            <v>Austria</v>
          </cell>
          <cell r="B15">
            <v>1</v>
          </cell>
        </row>
        <row r="16">
          <cell r="A16" t="str">
            <v>Nepal</v>
          </cell>
          <cell r="B16">
            <v>1</v>
          </cell>
        </row>
        <row r="17">
          <cell r="A17" t="str">
            <v>Germany</v>
          </cell>
          <cell r="B17">
            <v>1</v>
          </cell>
        </row>
        <row r="18">
          <cell r="A18" t="str">
            <v>Norway</v>
          </cell>
          <cell r="B18">
            <v>1</v>
          </cell>
        </row>
        <row r="19">
          <cell r="A19" t="str">
            <v>South Korea</v>
          </cell>
          <cell r="B19">
            <v>1</v>
          </cell>
        </row>
        <row r="20">
          <cell r="A20" t="str">
            <v>Finland</v>
          </cell>
          <cell r="B20">
            <v>1</v>
          </cell>
        </row>
        <row r="21">
          <cell r="A21" t="str">
            <v>Iceland</v>
          </cell>
        </row>
        <row r="22">
          <cell r="A22" t="str">
            <v>Sweden</v>
          </cell>
          <cell r="B22">
            <v>1</v>
          </cell>
        </row>
        <row r="23">
          <cell r="A23" t="str">
            <v>Ukraine</v>
          </cell>
          <cell r="B23">
            <v>1</v>
          </cell>
        </row>
        <row r="24">
          <cell r="A24" t="str">
            <v>Portugal</v>
          </cell>
          <cell r="B24">
            <v>1</v>
          </cell>
        </row>
        <row r="25">
          <cell r="A25" t="str">
            <v>Laos</v>
          </cell>
        </row>
        <row r="26">
          <cell r="A26" t="str">
            <v>Switzerland</v>
          </cell>
          <cell r="B26">
            <v>1</v>
          </cell>
        </row>
        <row r="27">
          <cell r="A27" t="str">
            <v>Poland</v>
          </cell>
          <cell r="B27">
            <v>1</v>
          </cell>
        </row>
        <row r="28">
          <cell r="A28" t="str">
            <v>India</v>
          </cell>
          <cell r="B28">
            <v>1</v>
          </cell>
        </row>
        <row r="29">
          <cell r="A29" t="str">
            <v>Algeria</v>
          </cell>
          <cell r="B29">
            <v>1</v>
          </cell>
        </row>
        <row r="30">
          <cell r="A30" t="str">
            <v>Tunisia</v>
          </cell>
          <cell r="B30">
            <v>1</v>
          </cell>
        </row>
        <row r="31">
          <cell r="A31" t="str">
            <v>Hong Kong</v>
          </cell>
          <cell r="B31">
            <v>1</v>
          </cell>
        </row>
        <row r="32">
          <cell r="A32" t="str">
            <v>Pakistan</v>
          </cell>
          <cell r="B32">
            <v>1</v>
          </cell>
        </row>
        <row r="33">
          <cell r="A33" t="str">
            <v>Croatia</v>
          </cell>
          <cell r="B33">
            <v>1</v>
          </cell>
        </row>
        <row r="34">
          <cell r="A34" t="str">
            <v>Hungary</v>
          </cell>
          <cell r="B34">
            <v>1</v>
          </cell>
        </row>
        <row r="35">
          <cell r="A35" t="str">
            <v>Sri Lanka</v>
          </cell>
          <cell r="B35">
            <v>1</v>
          </cell>
        </row>
        <row r="36">
          <cell r="A36" t="str">
            <v>Serbia</v>
          </cell>
          <cell r="B36">
            <v>1</v>
          </cell>
        </row>
        <row r="37">
          <cell r="A37" t="str">
            <v>Costa Rica</v>
          </cell>
          <cell r="B37">
            <v>1</v>
          </cell>
        </row>
        <row r="38">
          <cell r="A38" t="str">
            <v>Italy</v>
          </cell>
          <cell r="B38">
            <v>1</v>
          </cell>
        </row>
        <row r="39">
          <cell r="A39" t="str">
            <v>Slovakia</v>
          </cell>
          <cell r="B39">
            <v>1</v>
          </cell>
        </row>
        <row r="40">
          <cell r="A40" t="str">
            <v>Netherlands</v>
          </cell>
          <cell r="B40">
            <v>1</v>
          </cell>
        </row>
        <row r="41">
          <cell r="A41" t="str">
            <v>Bulgaria</v>
          </cell>
          <cell r="B41">
            <v>1</v>
          </cell>
        </row>
        <row r="42">
          <cell r="A42" t="str">
            <v>St. Helena</v>
          </cell>
        </row>
        <row r="43">
          <cell r="A43" t="str">
            <v>Spain</v>
          </cell>
          <cell r="B43">
            <v>1</v>
          </cell>
        </row>
        <row r="44">
          <cell r="A44" t="str">
            <v>Ireland</v>
          </cell>
          <cell r="B44">
            <v>1</v>
          </cell>
        </row>
        <row r="45">
          <cell r="A45" t="str">
            <v>Guatemala</v>
          </cell>
        </row>
        <row r="46">
          <cell r="A46" t="str">
            <v>Greece</v>
          </cell>
          <cell r="B46">
            <v>1</v>
          </cell>
        </row>
        <row r="47">
          <cell r="A47" t="str">
            <v>Nigeria</v>
          </cell>
          <cell r="B47">
            <v>1</v>
          </cell>
        </row>
        <row r="48">
          <cell r="A48" t="str">
            <v>France</v>
          </cell>
          <cell r="B48">
            <v>1</v>
          </cell>
        </row>
        <row r="49">
          <cell r="A49" t="str">
            <v>Morocco</v>
          </cell>
          <cell r="B49">
            <v>1</v>
          </cell>
        </row>
        <row r="50">
          <cell r="A50" t="str">
            <v>Belgium</v>
          </cell>
          <cell r="B50">
            <v>1</v>
          </cell>
        </row>
        <row r="51">
          <cell r="A51" t="str">
            <v>Singapore</v>
          </cell>
          <cell r="B51">
            <v>1</v>
          </cell>
        </row>
        <row r="52">
          <cell r="A52" t="str">
            <v>Chile</v>
          </cell>
          <cell r="B52">
            <v>1</v>
          </cell>
        </row>
        <row r="53">
          <cell r="A53" t="str">
            <v>Vietnam</v>
          </cell>
          <cell r="B53">
            <v>1</v>
          </cell>
        </row>
        <row r="54">
          <cell r="A54" t="str">
            <v>Uruguay</v>
          </cell>
        </row>
        <row r="55">
          <cell r="A55" t="str">
            <v>Brazil</v>
          </cell>
          <cell r="B55">
            <v>1</v>
          </cell>
        </row>
        <row r="56">
          <cell r="A56" t="str">
            <v>Argentina</v>
          </cell>
          <cell r="B56">
            <v>1</v>
          </cell>
        </row>
        <row r="57">
          <cell r="A57" t="str">
            <v>Kazakhstan</v>
          </cell>
          <cell r="B57">
            <v>1</v>
          </cell>
        </row>
        <row r="58">
          <cell r="A58" t="str">
            <v>Canada</v>
          </cell>
          <cell r="B58">
            <v>1</v>
          </cell>
        </row>
        <row r="59">
          <cell r="A59" t="str">
            <v>United States</v>
          </cell>
          <cell r="B59">
            <v>0.97</v>
          </cell>
          <cell r="C59">
            <v>0.03</v>
          </cell>
        </row>
        <row r="60">
          <cell r="A60" t="str">
            <v>Mexico</v>
          </cell>
          <cell r="B60">
            <v>1</v>
          </cell>
        </row>
        <row r="61">
          <cell r="A61" t="str">
            <v>Malaysia</v>
          </cell>
          <cell r="B61">
            <v>1</v>
          </cell>
        </row>
        <row r="62">
          <cell r="A62" t="str">
            <v>Indonesia</v>
          </cell>
          <cell r="B62">
            <v>1</v>
          </cell>
        </row>
        <row r="63">
          <cell r="A63" t="str">
            <v>Bangladesh</v>
          </cell>
        </row>
        <row r="64">
          <cell r="A64" t="str">
            <v>Australia</v>
          </cell>
          <cell r="B64">
            <v>1</v>
          </cell>
        </row>
        <row r="65">
          <cell r="A65" t="str">
            <v>Bolivia</v>
          </cell>
        </row>
        <row r="66">
          <cell r="A66" t="str">
            <v>United Kingdom</v>
          </cell>
          <cell r="B66">
            <v>1</v>
          </cell>
        </row>
        <row r="67">
          <cell r="A67" t="str">
            <v>New Zealand</v>
          </cell>
        </row>
        <row r="68">
          <cell r="A68" t="str">
            <v>United Arab Emirates</v>
          </cell>
        </row>
        <row r="69">
          <cell r="A69" t="str">
            <v>Colombia</v>
          </cell>
          <cell r="B69">
            <v>1</v>
          </cell>
        </row>
        <row r="70">
          <cell r="A70" t="str">
            <v>Peru</v>
          </cell>
          <cell r="B70">
            <v>1</v>
          </cell>
        </row>
        <row r="71">
          <cell r="A71" t="str">
            <v>Romania</v>
          </cell>
          <cell r="B71">
            <v>1</v>
          </cell>
        </row>
        <row r="72">
          <cell r="A72" t="str">
            <v>Iran</v>
          </cell>
          <cell r="B72">
            <v>1</v>
          </cell>
        </row>
        <row r="73">
          <cell r="A73" t="str">
            <v>Philippines</v>
          </cell>
          <cell r="B73">
            <v>1</v>
          </cell>
        </row>
        <row r="74">
          <cell r="A74" t="str">
            <v>Egypt</v>
          </cell>
          <cell r="B74">
            <v>1</v>
          </cell>
        </row>
        <row r="75">
          <cell r="A75" t="str">
            <v>Saudi Arabia</v>
          </cell>
          <cell r="B75">
            <v>1</v>
          </cell>
        </row>
        <row r="76">
          <cell r="A76" t="str">
            <v>Denmark</v>
          </cell>
        </row>
        <row r="77">
          <cell r="A77" t="str">
            <v>Thailand</v>
          </cell>
          <cell r="B77">
            <v>1</v>
          </cell>
        </row>
        <row r="78">
          <cell r="A78" t="str">
            <v>South Africa</v>
          </cell>
        </row>
        <row r="79">
          <cell r="A79" t="str">
            <v>Ecuador</v>
          </cell>
        </row>
        <row r="80">
          <cell r="A80" t="str">
            <v>Turkey</v>
          </cell>
          <cell r="B80">
            <v>1</v>
          </cell>
        </row>
        <row r="81">
          <cell r="A81" t="str">
            <v>Venezuela</v>
          </cell>
        </row>
        <row r="82">
          <cell r="A82" t="str">
            <v>Guyana</v>
          </cell>
        </row>
        <row r="83">
          <cell r="A83" t="str">
            <v>Cuba</v>
          </cell>
        </row>
        <row r="84">
          <cell r="A84" t="str">
            <v>Mozambique</v>
          </cell>
        </row>
        <row r="85">
          <cell r="A85" t="str">
            <v>Angola</v>
          </cell>
        </row>
        <row r="86">
          <cell r="A86" t="str">
            <v>Rwanda</v>
          </cell>
        </row>
        <row r="87">
          <cell r="A87" t="str">
            <v>Burkina Faso</v>
          </cell>
        </row>
        <row r="88">
          <cell r="A88" t="str">
            <v>Zambia</v>
          </cell>
        </row>
        <row r="89">
          <cell r="A89" t="str">
            <v>Cameroon</v>
          </cell>
        </row>
        <row r="90">
          <cell r="A90" t="str">
            <v>Armenia</v>
          </cell>
        </row>
        <row r="91">
          <cell r="A91" t="str">
            <v>Tajikistan</v>
          </cell>
        </row>
        <row r="92">
          <cell r="A92" t="str">
            <v>Albania</v>
          </cell>
        </row>
        <row r="93">
          <cell r="A93" t="str">
            <v>Myanmar (Burma)</v>
          </cell>
        </row>
        <row r="94">
          <cell r="A94" t="str">
            <v>CÃ´te dâ€™Ivoire</v>
          </cell>
        </row>
        <row r="95">
          <cell r="A95" t="str">
            <v>Mongolia</v>
          </cell>
        </row>
        <row r="96">
          <cell r="A96" t="str">
            <v>Montenegro</v>
          </cell>
        </row>
        <row r="97">
          <cell r="A97" t="str">
            <v>Estonia</v>
          </cell>
        </row>
        <row r="98">
          <cell r="A98" t="str">
            <v>Latvia</v>
          </cell>
        </row>
        <row r="99">
          <cell r="A99" t="str">
            <v>Congo - Kinshasa</v>
          </cell>
        </row>
        <row r="100">
          <cell r="A100" t="str">
            <v>Tanzania</v>
          </cell>
        </row>
        <row r="101">
          <cell r="A101" t="str">
            <v>Cyprus</v>
          </cell>
        </row>
        <row r="102">
          <cell r="A102" t="str">
            <v>Trinidad &amp; Tobago</v>
          </cell>
        </row>
        <row r="103">
          <cell r="A103" t="str">
            <v>Libya</v>
          </cell>
        </row>
        <row r="104">
          <cell r="A104" t="str">
            <v>Luxembourg</v>
          </cell>
        </row>
        <row r="105">
          <cell r="A105" t="str">
            <v>Azerbaijan</v>
          </cell>
        </row>
        <row r="106">
          <cell r="A106" t="str">
            <v>Palestine</v>
          </cell>
        </row>
        <row r="107">
          <cell r="A107" t="str">
            <v>Uganda</v>
          </cell>
        </row>
        <row r="108">
          <cell r="A108" t="str">
            <v>Georgia</v>
          </cell>
        </row>
        <row r="109">
          <cell r="A109" t="str">
            <v>North Macedonia</v>
          </cell>
        </row>
        <row r="110">
          <cell r="A110" t="str">
            <v>Bosnia &amp; Herzegovina</v>
          </cell>
        </row>
        <row r="111">
          <cell r="A111" t="str">
            <v>Syria</v>
          </cell>
        </row>
        <row r="112">
          <cell r="A112" t="str">
            <v>Slovenia</v>
          </cell>
        </row>
        <row r="113">
          <cell r="A113" t="str">
            <v>Paraguay</v>
          </cell>
        </row>
        <row r="114">
          <cell r="A114" t="str">
            <v>Oman</v>
          </cell>
        </row>
        <row r="115">
          <cell r="A115" t="str">
            <v>El Salvador</v>
          </cell>
        </row>
        <row r="116">
          <cell r="A116" t="str">
            <v>Puerto Rico</v>
          </cell>
        </row>
        <row r="117">
          <cell r="A117" t="str">
            <v>Panama</v>
          </cell>
        </row>
        <row r="118">
          <cell r="A118" t="str">
            <v>Dominican Republic</v>
          </cell>
        </row>
        <row r="119">
          <cell r="A119" t="str">
            <v>Aruba</v>
          </cell>
        </row>
        <row r="120">
          <cell r="A120" t="str">
            <v>Afghanistan</v>
          </cell>
        </row>
        <row r="121">
          <cell r="A121" t="str">
            <v>Anguilla</v>
          </cell>
        </row>
        <row r="122">
          <cell r="A122" t="str">
            <v>Ã…land Islands</v>
          </cell>
        </row>
        <row r="123">
          <cell r="A123" t="str">
            <v>Andorra</v>
          </cell>
        </row>
        <row r="124">
          <cell r="A124" t="str">
            <v>American Samoa</v>
          </cell>
        </row>
        <row r="125">
          <cell r="A125" t="str">
            <v>Antarctica</v>
          </cell>
        </row>
        <row r="126">
          <cell r="A126" t="str">
            <v>French Southern Territories</v>
          </cell>
        </row>
        <row r="127">
          <cell r="A127" t="str">
            <v>Antigua &amp; Barbuda</v>
          </cell>
        </row>
        <row r="128">
          <cell r="A128" t="str">
            <v>Burundi</v>
          </cell>
        </row>
        <row r="129">
          <cell r="A129" t="str">
            <v>Benin</v>
          </cell>
        </row>
        <row r="130">
          <cell r="A130" t="str">
            <v>Caribbean Netherlands</v>
          </cell>
        </row>
        <row r="131">
          <cell r="A131" t="str">
            <v>Bahrain</v>
          </cell>
        </row>
        <row r="132">
          <cell r="A132" t="str">
            <v>Bahamas</v>
          </cell>
        </row>
        <row r="133">
          <cell r="A133" t="str">
            <v>St. BarthÃ©lemy</v>
          </cell>
        </row>
        <row r="134">
          <cell r="A134" t="str">
            <v>Belize</v>
          </cell>
        </row>
        <row r="135">
          <cell r="A135" t="str">
            <v>Bermuda</v>
          </cell>
        </row>
        <row r="136">
          <cell r="A136" t="str">
            <v>Barbados</v>
          </cell>
        </row>
        <row r="137">
          <cell r="A137" t="str">
            <v>Brunei</v>
          </cell>
        </row>
        <row r="138">
          <cell r="A138" t="str">
            <v>Bhutan</v>
          </cell>
        </row>
        <row r="139">
          <cell r="A139" t="str">
            <v>Bouvet Island</v>
          </cell>
        </row>
        <row r="140">
          <cell r="A140" t="str">
            <v>Central African Republic</v>
          </cell>
        </row>
        <row r="141">
          <cell r="A141" t="str">
            <v>Cocos (Keeling) Islands</v>
          </cell>
        </row>
        <row r="142">
          <cell r="A142" t="str">
            <v>Congo - Brazzaville</v>
          </cell>
        </row>
        <row r="143">
          <cell r="A143" t="str">
            <v>Cook Islands</v>
          </cell>
        </row>
        <row r="144">
          <cell r="A144" t="str">
            <v>Comoros</v>
          </cell>
        </row>
        <row r="145">
          <cell r="A145" t="str">
            <v>Cape Verde</v>
          </cell>
        </row>
        <row r="146">
          <cell r="A146" t="str">
            <v>CuraÃ§ao</v>
          </cell>
        </row>
        <row r="147">
          <cell r="A147" t="str">
            <v>Christmas Island</v>
          </cell>
        </row>
        <row r="148">
          <cell r="A148" t="str">
            <v>Cayman Islands</v>
          </cell>
        </row>
        <row r="149">
          <cell r="A149" t="str">
            <v>Djibouti</v>
          </cell>
        </row>
        <row r="150">
          <cell r="A150" t="str">
            <v>Dominica</v>
          </cell>
        </row>
        <row r="151">
          <cell r="A151" t="str">
            <v>Eritrea</v>
          </cell>
        </row>
        <row r="152">
          <cell r="A152" t="str">
            <v>Western Sahara</v>
          </cell>
        </row>
        <row r="153">
          <cell r="A153" t="str">
            <v>Fiji</v>
          </cell>
        </row>
        <row r="154">
          <cell r="A154" t="str">
            <v>Falkland Islands (Islas Malvinas)</v>
          </cell>
        </row>
        <row r="155">
          <cell r="A155" t="str">
            <v>Faroe Islands</v>
          </cell>
        </row>
        <row r="156">
          <cell r="A156" t="str">
            <v>Micronesia</v>
          </cell>
        </row>
        <row r="157">
          <cell r="A157" t="str">
            <v>Gabon</v>
          </cell>
        </row>
        <row r="158">
          <cell r="A158" t="str">
            <v>Guernsey</v>
          </cell>
        </row>
        <row r="159">
          <cell r="A159" t="str">
            <v>Ghana</v>
          </cell>
        </row>
        <row r="160">
          <cell r="A160" t="str">
            <v>Gibraltar</v>
          </cell>
        </row>
        <row r="161">
          <cell r="A161" t="str">
            <v>Guinea</v>
          </cell>
        </row>
        <row r="162">
          <cell r="A162" t="str">
            <v>Guadeloupe</v>
          </cell>
        </row>
        <row r="163">
          <cell r="A163" t="str">
            <v>Gambia</v>
          </cell>
        </row>
        <row r="164">
          <cell r="A164" t="str">
            <v>Guinea-Bissau</v>
          </cell>
        </row>
        <row r="165">
          <cell r="A165" t="str">
            <v>Equatorial Guinea</v>
          </cell>
        </row>
        <row r="166">
          <cell r="A166" t="str">
            <v>Grenada</v>
          </cell>
        </row>
        <row r="167">
          <cell r="A167" t="str">
            <v>Greenland</v>
          </cell>
        </row>
        <row r="168">
          <cell r="A168" t="str">
            <v>French Guiana</v>
          </cell>
        </row>
        <row r="169">
          <cell r="A169" t="str">
            <v>Guam</v>
          </cell>
        </row>
        <row r="170">
          <cell r="A170" t="str">
            <v>Heard &amp; McDonald Islands</v>
          </cell>
        </row>
        <row r="171">
          <cell r="A171" t="str">
            <v>Honduras</v>
          </cell>
        </row>
        <row r="172">
          <cell r="A172" t="str">
            <v>Haiti</v>
          </cell>
        </row>
        <row r="173">
          <cell r="A173" t="str">
            <v>Isle of Man</v>
          </cell>
        </row>
        <row r="174">
          <cell r="A174" t="str">
            <v>British Indian Ocean Territory</v>
          </cell>
        </row>
        <row r="175">
          <cell r="A175" t="str">
            <v>Iraq</v>
          </cell>
        </row>
        <row r="176">
          <cell r="A176" t="str">
            <v>Jamaica</v>
          </cell>
        </row>
        <row r="177">
          <cell r="A177" t="str">
            <v>Jersey</v>
          </cell>
        </row>
        <row r="178">
          <cell r="A178" t="str">
            <v>Jordan</v>
          </cell>
        </row>
        <row r="179">
          <cell r="A179" t="str">
            <v>Kyrgyzstan</v>
          </cell>
        </row>
        <row r="180">
          <cell r="A180" t="str">
            <v>Cambodia</v>
          </cell>
        </row>
        <row r="181">
          <cell r="A181" t="str">
            <v>Kiribati</v>
          </cell>
        </row>
        <row r="182">
          <cell r="A182" t="str">
            <v>St. Kitts &amp; Nevis</v>
          </cell>
        </row>
        <row r="183">
          <cell r="A183" t="str">
            <v>Kuwait</v>
          </cell>
        </row>
        <row r="184">
          <cell r="A184" t="str">
            <v>Lebanon</v>
          </cell>
        </row>
        <row r="185">
          <cell r="A185" t="str">
            <v>Liberia</v>
          </cell>
        </row>
        <row r="186">
          <cell r="A186" t="str">
            <v>St. Lucia</v>
          </cell>
        </row>
        <row r="187">
          <cell r="A187" t="str">
            <v>Liechtenstein</v>
          </cell>
        </row>
        <row r="188">
          <cell r="A188" t="str">
            <v>Lesotho</v>
          </cell>
        </row>
        <row r="189">
          <cell r="A189" t="str">
            <v>Lithuania</v>
          </cell>
        </row>
        <row r="190">
          <cell r="A190" t="str">
            <v>Macao</v>
          </cell>
        </row>
        <row r="191">
          <cell r="A191" t="str">
            <v>St. Martin</v>
          </cell>
        </row>
        <row r="192">
          <cell r="A192" t="str">
            <v>Monaco</v>
          </cell>
        </row>
        <row r="193">
          <cell r="A193" t="str">
            <v>Moldova</v>
          </cell>
        </row>
        <row r="194">
          <cell r="A194" t="str">
            <v>Madagascar</v>
          </cell>
        </row>
        <row r="195">
          <cell r="A195" t="str">
            <v>Maldives</v>
          </cell>
        </row>
        <row r="196">
          <cell r="A196" t="str">
            <v>Marshall Islands</v>
          </cell>
        </row>
        <row r="197">
          <cell r="A197" t="str">
            <v>Mali</v>
          </cell>
        </row>
        <row r="198">
          <cell r="A198" t="str">
            <v>Malta</v>
          </cell>
        </row>
        <row r="199">
          <cell r="A199" t="str">
            <v>Northern Mariana Islands</v>
          </cell>
        </row>
        <row r="200">
          <cell r="A200" t="str">
            <v>Mauritania</v>
          </cell>
        </row>
        <row r="201">
          <cell r="A201" t="str">
            <v>Montserrat</v>
          </cell>
        </row>
        <row r="202">
          <cell r="A202" t="str">
            <v>Martinique</v>
          </cell>
        </row>
        <row r="203">
          <cell r="A203" t="str">
            <v>Mauritius</v>
          </cell>
        </row>
        <row r="204">
          <cell r="A204" t="str">
            <v>Malawi</v>
          </cell>
        </row>
        <row r="205">
          <cell r="A205" t="str">
            <v>Mayotte</v>
          </cell>
        </row>
        <row r="206">
          <cell r="A206" t="str">
            <v>Namibia</v>
          </cell>
        </row>
        <row r="207">
          <cell r="A207" t="str">
            <v>New Caledonia</v>
          </cell>
        </row>
        <row r="208">
          <cell r="A208" t="str">
            <v>Niger</v>
          </cell>
        </row>
        <row r="209">
          <cell r="A209" t="str">
            <v>Norfolk Island</v>
          </cell>
        </row>
        <row r="210">
          <cell r="A210" t="str">
            <v>Nicaragua</v>
          </cell>
        </row>
        <row r="211">
          <cell r="A211" t="str">
            <v>Niue</v>
          </cell>
        </row>
        <row r="212">
          <cell r="A212" t="str">
            <v>Nauru</v>
          </cell>
        </row>
        <row r="213">
          <cell r="A213" t="str">
            <v>Pitcairn Islands</v>
          </cell>
        </row>
        <row r="214">
          <cell r="A214" t="str">
            <v>Palau</v>
          </cell>
        </row>
        <row r="215">
          <cell r="A215" t="str">
            <v>Papua New Guinea</v>
          </cell>
        </row>
        <row r="216">
          <cell r="A216" t="str">
            <v>North Korea</v>
          </cell>
        </row>
        <row r="217">
          <cell r="A217" t="str">
            <v>French Polynesia</v>
          </cell>
        </row>
        <row r="218">
          <cell r="A218" t="str">
            <v>Qatar</v>
          </cell>
        </row>
        <row r="219">
          <cell r="A219" t="str">
            <v>RÃ©union</v>
          </cell>
        </row>
        <row r="220">
          <cell r="A220" t="str">
            <v>Sudan</v>
          </cell>
        </row>
        <row r="221">
          <cell r="A221" t="str">
            <v>Senegal</v>
          </cell>
        </row>
        <row r="222">
          <cell r="A222" t="str">
            <v>South Georgia &amp; South Sandwich Islands</v>
          </cell>
        </row>
        <row r="223">
          <cell r="A223" t="str">
            <v>Svalbard &amp; Jan Mayen</v>
          </cell>
        </row>
        <row r="224">
          <cell r="A224" t="str">
            <v>Solomon Islands</v>
          </cell>
        </row>
        <row r="225">
          <cell r="A225" t="str">
            <v>Sierra Leone</v>
          </cell>
        </row>
        <row r="226">
          <cell r="A226" t="str">
            <v>San Marino</v>
          </cell>
        </row>
        <row r="227">
          <cell r="A227" t="str">
            <v>Somalia</v>
          </cell>
        </row>
        <row r="228">
          <cell r="A228" t="str">
            <v>St. Pierre &amp; Miquelon</v>
          </cell>
        </row>
        <row r="229">
          <cell r="A229" t="str">
            <v>South Sudan</v>
          </cell>
        </row>
        <row r="230">
          <cell r="A230" t="str">
            <v>SÃ£o TomÃ© &amp; PrÃ­ncipe</v>
          </cell>
        </row>
        <row r="231">
          <cell r="A231" t="str">
            <v>Suriname</v>
          </cell>
        </row>
        <row r="232">
          <cell r="A232" t="str">
            <v>Eswatini</v>
          </cell>
        </row>
        <row r="233">
          <cell r="A233" t="str">
            <v>Sint Maarten</v>
          </cell>
        </row>
        <row r="234">
          <cell r="A234" t="str">
            <v>Seychelles</v>
          </cell>
        </row>
        <row r="235">
          <cell r="A235" t="str">
            <v>Turks &amp; Caicos Islands</v>
          </cell>
        </row>
        <row r="236">
          <cell r="A236" t="str">
            <v>Chad</v>
          </cell>
        </row>
        <row r="237">
          <cell r="A237" t="str">
            <v>Togo</v>
          </cell>
        </row>
        <row r="238">
          <cell r="A238" t="str">
            <v>Tokelau</v>
          </cell>
        </row>
        <row r="239">
          <cell r="A239" t="str">
            <v>Turkmenistan</v>
          </cell>
        </row>
        <row r="240">
          <cell r="A240" t="str">
            <v>Timor-Leste</v>
          </cell>
        </row>
        <row r="241">
          <cell r="A241" t="str">
            <v>Tonga</v>
          </cell>
        </row>
        <row r="242">
          <cell r="A242" t="str">
            <v>Tuvalu</v>
          </cell>
        </row>
        <row r="243">
          <cell r="A243" t="str">
            <v>U.S. Outlying Islands</v>
          </cell>
        </row>
        <row r="244">
          <cell r="A244" t="str">
            <v>Uzbekistan</v>
          </cell>
        </row>
        <row r="245">
          <cell r="A245" t="str">
            <v>Vatican City</v>
          </cell>
        </row>
        <row r="246">
          <cell r="A246" t="str">
            <v>St. Vincent &amp; Grenadines</v>
          </cell>
        </row>
        <row r="247">
          <cell r="A247" t="str">
            <v>British Virgin Islands</v>
          </cell>
        </row>
        <row r="248">
          <cell r="A248" t="str">
            <v>U.S. Virgin Islands</v>
          </cell>
        </row>
        <row r="249">
          <cell r="A249" t="str">
            <v>Vanuatu</v>
          </cell>
        </row>
        <row r="250">
          <cell r="A250" t="str">
            <v>Wallis &amp; Futuna</v>
          </cell>
        </row>
        <row r="251">
          <cell r="A251" t="str">
            <v>Samoa</v>
          </cell>
        </row>
        <row r="252">
          <cell r="A252" t="str">
            <v>Kosovo</v>
          </cell>
        </row>
        <row r="253">
          <cell r="A253" t="str">
            <v>Yemen</v>
          </cell>
        </row>
      </sheetData>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70)"/>
    </sheetNames>
    <sheetDataSet>
      <sheetData sheetId="0" refreshError="1">
        <row r="1">
          <cell r="A1" t="str">
            <v>Category: All categories</v>
          </cell>
        </row>
        <row r="3">
          <cell r="A3" t="str">
            <v>Country</v>
          </cell>
          <cell r="B3" t="str">
            <v>Mutual exclusion: (2018)</v>
          </cell>
          <cell r="C3" t="str">
            <v>Logical relations: (2018)</v>
          </cell>
        </row>
        <row r="4">
          <cell r="A4" t="str">
            <v>China</v>
          </cell>
          <cell r="B4">
            <v>1</v>
          </cell>
        </row>
        <row r="5">
          <cell r="A5" t="str">
            <v>Taiwan</v>
          </cell>
          <cell r="B5">
            <v>1</v>
          </cell>
        </row>
        <row r="6">
          <cell r="A6" t="str">
            <v>Israel</v>
          </cell>
          <cell r="B6">
            <v>1</v>
          </cell>
        </row>
        <row r="7">
          <cell r="A7" t="str">
            <v>Japan</v>
          </cell>
          <cell r="B7">
            <v>1</v>
          </cell>
        </row>
        <row r="8">
          <cell r="A8" t="str">
            <v>Belarus</v>
          </cell>
          <cell r="B8">
            <v>1</v>
          </cell>
        </row>
        <row r="9">
          <cell r="A9" t="str">
            <v>Austria</v>
          </cell>
          <cell r="B9">
            <v>1</v>
          </cell>
        </row>
        <row r="10">
          <cell r="A10" t="str">
            <v>Czechia</v>
          </cell>
          <cell r="B10">
            <v>1</v>
          </cell>
        </row>
        <row r="11">
          <cell r="A11" t="str">
            <v>Russia</v>
          </cell>
          <cell r="B11">
            <v>1</v>
          </cell>
        </row>
        <row r="12">
          <cell r="A12" t="str">
            <v>Kenya</v>
          </cell>
          <cell r="B12">
            <v>1</v>
          </cell>
        </row>
        <row r="13">
          <cell r="A13" t="str">
            <v>Portugal</v>
          </cell>
          <cell r="B13">
            <v>1</v>
          </cell>
        </row>
        <row r="14">
          <cell r="A14" t="str">
            <v>Norway</v>
          </cell>
          <cell r="B14">
            <v>1</v>
          </cell>
        </row>
        <row r="15">
          <cell r="A15" t="str">
            <v>South Korea</v>
          </cell>
          <cell r="B15">
            <v>1</v>
          </cell>
        </row>
        <row r="16">
          <cell r="A16" t="str">
            <v>Germany</v>
          </cell>
          <cell r="B16">
            <v>1</v>
          </cell>
        </row>
        <row r="17">
          <cell r="A17" t="str">
            <v>Sweden</v>
          </cell>
          <cell r="B17">
            <v>1</v>
          </cell>
        </row>
        <row r="18">
          <cell r="A18" t="str">
            <v>Iceland</v>
          </cell>
        </row>
        <row r="19">
          <cell r="A19" t="str">
            <v>Nepal</v>
          </cell>
          <cell r="B19">
            <v>1</v>
          </cell>
        </row>
        <row r="20">
          <cell r="A20" t="str">
            <v>Ethiopia</v>
          </cell>
        </row>
        <row r="21">
          <cell r="A21" t="str">
            <v>Finland</v>
          </cell>
          <cell r="B21">
            <v>1</v>
          </cell>
        </row>
        <row r="22">
          <cell r="A22" t="str">
            <v>Zimbabwe</v>
          </cell>
        </row>
        <row r="23">
          <cell r="A23" t="str">
            <v>Ukraine</v>
          </cell>
          <cell r="B23">
            <v>1</v>
          </cell>
        </row>
        <row r="24">
          <cell r="A24" t="str">
            <v>Switzerland</v>
          </cell>
          <cell r="B24">
            <v>1</v>
          </cell>
        </row>
        <row r="25">
          <cell r="A25" t="str">
            <v>Laos</v>
          </cell>
        </row>
        <row r="26">
          <cell r="A26" t="str">
            <v>Lithuania</v>
          </cell>
        </row>
        <row r="27">
          <cell r="A27" t="str">
            <v>Poland</v>
          </cell>
          <cell r="B27">
            <v>1</v>
          </cell>
        </row>
        <row r="28">
          <cell r="A28" t="str">
            <v>India</v>
          </cell>
          <cell r="B28">
            <v>1</v>
          </cell>
        </row>
        <row r="29">
          <cell r="A29" t="str">
            <v>Croatia</v>
          </cell>
          <cell r="B29">
            <v>1</v>
          </cell>
        </row>
        <row r="30">
          <cell r="A30" t="str">
            <v>Slovakia</v>
          </cell>
          <cell r="B30">
            <v>1</v>
          </cell>
        </row>
        <row r="31">
          <cell r="A31" t="str">
            <v>Guatemala</v>
          </cell>
        </row>
        <row r="32">
          <cell r="A32" t="str">
            <v>Hungary</v>
          </cell>
          <cell r="B32">
            <v>1</v>
          </cell>
        </row>
        <row r="33">
          <cell r="A33" t="str">
            <v>Algeria</v>
          </cell>
          <cell r="B33">
            <v>1</v>
          </cell>
        </row>
        <row r="34">
          <cell r="A34" t="str">
            <v>Tunisia</v>
          </cell>
          <cell r="B34">
            <v>1</v>
          </cell>
        </row>
        <row r="35">
          <cell r="A35" t="str">
            <v>Pakistan</v>
          </cell>
          <cell r="B35">
            <v>1</v>
          </cell>
        </row>
        <row r="36">
          <cell r="A36" t="str">
            <v>Italy</v>
          </cell>
          <cell r="B36">
            <v>1</v>
          </cell>
        </row>
        <row r="37">
          <cell r="A37" t="str">
            <v>Singapore</v>
          </cell>
          <cell r="B37">
            <v>1</v>
          </cell>
        </row>
        <row r="38">
          <cell r="A38" t="str">
            <v>Sri Lanka</v>
          </cell>
          <cell r="B38">
            <v>1</v>
          </cell>
        </row>
        <row r="39">
          <cell r="A39" t="str">
            <v>Netherlands</v>
          </cell>
          <cell r="B39">
            <v>1</v>
          </cell>
        </row>
        <row r="40">
          <cell r="A40" t="str">
            <v>St. Helena</v>
          </cell>
        </row>
        <row r="41">
          <cell r="A41" t="str">
            <v>Serbia</v>
          </cell>
          <cell r="B41">
            <v>1</v>
          </cell>
        </row>
        <row r="42">
          <cell r="A42" t="str">
            <v>Spain</v>
          </cell>
          <cell r="B42">
            <v>1</v>
          </cell>
        </row>
        <row r="43">
          <cell r="A43" t="str">
            <v>Costa Rica</v>
          </cell>
          <cell r="B43">
            <v>1</v>
          </cell>
        </row>
        <row r="44">
          <cell r="A44" t="str">
            <v>Bulgaria</v>
          </cell>
          <cell r="B44">
            <v>1</v>
          </cell>
        </row>
        <row r="45">
          <cell r="A45" t="str">
            <v>Ireland</v>
          </cell>
          <cell r="B45">
            <v>1</v>
          </cell>
        </row>
        <row r="46">
          <cell r="A46" t="str">
            <v>Belgium</v>
          </cell>
          <cell r="B46">
            <v>1</v>
          </cell>
        </row>
        <row r="47">
          <cell r="A47" t="str">
            <v>Hong Kong</v>
          </cell>
          <cell r="B47">
            <v>1</v>
          </cell>
        </row>
        <row r="48">
          <cell r="A48" t="str">
            <v>Kazakhstan</v>
          </cell>
          <cell r="B48">
            <v>1</v>
          </cell>
        </row>
        <row r="49">
          <cell r="A49" t="str">
            <v>Uruguay</v>
          </cell>
        </row>
        <row r="50">
          <cell r="A50" t="str">
            <v>Nigeria</v>
          </cell>
          <cell r="B50">
            <v>1</v>
          </cell>
        </row>
        <row r="51">
          <cell r="A51" t="str">
            <v>Greece</v>
          </cell>
          <cell r="B51">
            <v>1</v>
          </cell>
        </row>
        <row r="52">
          <cell r="A52" t="str">
            <v>France</v>
          </cell>
          <cell r="B52">
            <v>1</v>
          </cell>
        </row>
        <row r="53">
          <cell r="A53" t="str">
            <v>Morocco</v>
          </cell>
          <cell r="B53">
            <v>1</v>
          </cell>
        </row>
        <row r="54">
          <cell r="A54" t="str">
            <v>Mexico</v>
          </cell>
          <cell r="B54">
            <v>1</v>
          </cell>
        </row>
        <row r="55">
          <cell r="A55" t="str">
            <v>Bangladesh</v>
          </cell>
        </row>
        <row r="56">
          <cell r="A56" t="str">
            <v>Brazil</v>
          </cell>
          <cell r="B56">
            <v>1</v>
          </cell>
        </row>
        <row r="57">
          <cell r="A57" t="str">
            <v>Canada</v>
          </cell>
          <cell r="B57">
            <v>1</v>
          </cell>
        </row>
        <row r="58">
          <cell r="A58" t="str">
            <v>Malaysia</v>
          </cell>
          <cell r="B58">
            <v>1</v>
          </cell>
        </row>
        <row r="59">
          <cell r="A59" t="str">
            <v>Chile</v>
          </cell>
          <cell r="B59">
            <v>1</v>
          </cell>
        </row>
        <row r="60">
          <cell r="A60" t="str">
            <v>Argentina</v>
          </cell>
          <cell r="B60">
            <v>1</v>
          </cell>
        </row>
        <row r="61">
          <cell r="A61" t="str">
            <v>United States</v>
          </cell>
          <cell r="B61">
            <v>1</v>
          </cell>
        </row>
        <row r="62">
          <cell r="A62" t="str">
            <v>Vietnam</v>
          </cell>
          <cell r="B62">
            <v>1</v>
          </cell>
        </row>
        <row r="63">
          <cell r="A63" t="str">
            <v>Indonesia</v>
          </cell>
          <cell r="B63">
            <v>1</v>
          </cell>
        </row>
        <row r="64">
          <cell r="A64" t="str">
            <v>Iran</v>
          </cell>
          <cell r="B64">
            <v>1</v>
          </cell>
        </row>
        <row r="65">
          <cell r="A65" t="str">
            <v>Australia</v>
          </cell>
          <cell r="B65">
            <v>1</v>
          </cell>
        </row>
        <row r="66">
          <cell r="A66" t="str">
            <v>Saudi Arabia</v>
          </cell>
          <cell r="B66">
            <v>1</v>
          </cell>
        </row>
        <row r="67">
          <cell r="A67" t="str">
            <v>New Zealand</v>
          </cell>
        </row>
        <row r="68">
          <cell r="A68" t="str">
            <v>Peru</v>
          </cell>
          <cell r="B68">
            <v>1</v>
          </cell>
        </row>
        <row r="69">
          <cell r="A69" t="str">
            <v>Bolivia</v>
          </cell>
        </row>
        <row r="70">
          <cell r="A70" t="str">
            <v>Colombia</v>
          </cell>
          <cell r="B70">
            <v>1</v>
          </cell>
        </row>
        <row r="71">
          <cell r="A71" t="str">
            <v>United Kingdom</v>
          </cell>
          <cell r="B71">
            <v>1</v>
          </cell>
        </row>
        <row r="72">
          <cell r="A72" t="str">
            <v>Egypt</v>
          </cell>
          <cell r="B72">
            <v>1</v>
          </cell>
        </row>
        <row r="73">
          <cell r="A73" t="str">
            <v>South Africa</v>
          </cell>
        </row>
        <row r="74">
          <cell r="A74" t="str">
            <v>Thailand</v>
          </cell>
          <cell r="B74">
            <v>1</v>
          </cell>
        </row>
        <row r="75">
          <cell r="A75" t="str">
            <v>Philippines</v>
          </cell>
          <cell r="B75">
            <v>1</v>
          </cell>
        </row>
        <row r="76">
          <cell r="A76" t="str">
            <v>Ecuador</v>
          </cell>
        </row>
        <row r="77">
          <cell r="A77" t="str">
            <v>Denmark</v>
          </cell>
        </row>
        <row r="78">
          <cell r="A78" t="str">
            <v>United Arab Emirates</v>
          </cell>
        </row>
        <row r="79">
          <cell r="A79" t="str">
            <v>Romania</v>
          </cell>
          <cell r="B79">
            <v>1</v>
          </cell>
        </row>
        <row r="80">
          <cell r="A80" t="str">
            <v>Turkey</v>
          </cell>
          <cell r="B80">
            <v>1</v>
          </cell>
        </row>
        <row r="81">
          <cell r="A81" t="str">
            <v>Venezuela</v>
          </cell>
        </row>
        <row r="82">
          <cell r="A82" t="str">
            <v>Guyana</v>
          </cell>
        </row>
        <row r="83">
          <cell r="A83" t="str">
            <v>Angola</v>
          </cell>
        </row>
        <row r="84">
          <cell r="A84" t="str">
            <v>Benin</v>
          </cell>
        </row>
        <row r="85">
          <cell r="A85" t="str">
            <v>Rwanda</v>
          </cell>
        </row>
        <row r="86">
          <cell r="A86" t="str">
            <v>Madagascar</v>
          </cell>
        </row>
        <row r="87">
          <cell r="A87" t="str">
            <v>Zambia</v>
          </cell>
        </row>
        <row r="88">
          <cell r="A88" t="str">
            <v>Armenia</v>
          </cell>
        </row>
        <row r="89">
          <cell r="A89" t="str">
            <v>Brunei</v>
          </cell>
        </row>
        <row r="90">
          <cell r="A90" t="str">
            <v>Latvia</v>
          </cell>
        </row>
        <row r="91">
          <cell r="A91" t="str">
            <v>CÃ´te dâ€™Ivoire</v>
          </cell>
        </row>
        <row r="92">
          <cell r="A92" t="str">
            <v>Mongolia</v>
          </cell>
        </row>
        <row r="93">
          <cell r="A93" t="str">
            <v>Libya</v>
          </cell>
        </row>
        <row r="94">
          <cell r="A94" t="str">
            <v>Albania</v>
          </cell>
        </row>
        <row r="95">
          <cell r="A95" t="str">
            <v>Congo - Kinshasa</v>
          </cell>
        </row>
        <row r="96">
          <cell r="A96" t="str">
            <v>Cyprus</v>
          </cell>
        </row>
        <row r="97">
          <cell r="A97" t="str">
            <v>Cameroon</v>
          </cell>
        </row>
        <row r="98">
          <cell r="A98" t="str">
            <v>Estonia</v>
          </cell>
        </row>
        <row r="99">
          <cell r="A99" t="str">
            <v>Moldova</v>
          </cell>
        </row>
        <row r="100">
          <cell r="A100" t="str">
            <v>Trinidad &amp; Tobago</v>
          </cell>
        </row>
        <row r="101">
          <cell r="A101" t="str">
            <v>El Salvador</v>
          </cell>
        </row>
        <row r="102">
          <cell r="A102" t="str">
            <v>Syria</v>
          </cell>
        </row>
        <row r="103">
          <cell r="A103" t="str">
            <v>Luxembourg</v>
          </cell>
        </row>
        <row r="104">
          <cell r="A104" t="str">
            <v>Palestine</v>
          </cell>
        </row>
        <row r="105">
          <cell r="A105" t="str">
            <v>Nicaragua</v>
          </cell>
        </row>
        <row r="106">
          <cell r="A106" t="str">
            <v>North Macedonia</v>
          </cell>
        </row>
        <row r="107">
          <cell r="A107" t="str">
            <v>Paraguay</v>
          </cell>
        </row>
        <row r="108">
          <cell r="A108" t="str">
            <v>Oman</v>
          </cell>
        </row>
        <row r="109">
          <cell r="A109" t="str">
            <v>Tanzania</v>
          </cell>
        </row>
        <row r="110">
          <cell r="A110" t="str">
            <v>Azerbaijan</v>
          </cell>
        </row>
        <row r="111">
          <cell r="A111" t="str">
            <v>Honduras</v>
          </cell>
        </row>
        <row r="112">
          <cell r="A112" t="str">
            <v>Slovenia</v>
          </cell>
        </row>
        <row r="113">
          <cell r="A113" t="str">
            <v>Puerto Rico</v>
          </cell>
        </row>
        <row r="114">
          <cell r="A114" t="str">
            <v>Bosnia &amp; Herzegovina</v>
          </cell>
        </row>
        <row r="115">
          <cell r="A115" t="str">
            <v>Dominican Republic</v>
          </cell>
        </row>
        <row r="116">
          <cell r="A116" t="str">
            <v>Aruba</v>
          </cell>
        </row>
        <row r="117">
          <cell r="A117" t="str">
            <v>Afghanistan</v>
          </cell>
        </row>
        <row r="118">
          <cell r="A118" t="str">
            <v>Anguilla</v>
          </cell>
        </row>
        <row r="119">
          <cell r="A119" t="str">
            <v>Ã…land Islands</v>
          </cell>
        </row>
        <row r="120">
          <cell r="A120" t="str">
            <v>Andorra</v>
          </cell>
        </row>
        <row r="121">
          <cell r="A121" t="str">
            <v>American Samoa</v>
          </cell>
        </row>
        <row r="122">
          <cell r="A122" t="str">
            <v>Antarctica</v>
          </cell>
        </row>
        <row r="123">
          <cell r="A123" t="str">
            <v>French Southern Territories</v>
          </cell>
        </row>
        <row r="124">
          <cell r="A124" t="str">
            <v>Antigua &amp; Barbuda</v>
          </cell>
        </row>
        <row r="125">
          <cell r="A125" t="str">
            <v>Burundi</v>
          </cell>
        </row>
        <row r="126">
          <cell r="A126" t="str">
            <v>Caribbean Netherlands</v>
          </cell>
        </row>
        <row r="127">
          <cell r="A127" t="str">
            <v>Burkina Faso</v>
          </cell>
        </row>
        <row r="128">
          <cell r="A128" t="str">
            <v>Bahrain</v>
          </cell>
        </row>
        <row r="129">
          <cell r="A129" t="str">
            <v>Bahamas</v>
          </cell>
        </row>
        <row r="130">
          <cell r="A130" t="str">
            <v>St. BarthÃ©lemy</v>
          </cell>
        </row>
        <row r="131">
          <cell r="A131" t="str">
            <v>Belize</v>
          </cell>
        </row>
        <row r="132">
          <cell r="A132" t="str">
            <v>Bermuda</v>
          </cell>
        </row>
        <row r="133">
          <cell r="A133" t="str">
            <v>Barbados</v>
          </cell>
        </row>
        <row r="134">
          <cell r="A134" t="str">
            <v>Bhutan</v>
          </cell>
        </row>
        <row r="135">
          <cell r="A135" t="str">
            <v>Bouvet Island</v>
          </cell>
        </row>
        <row r="136">
          <cell r="A136" t="str">
            <v>Botswana</v>
          </cell>
        </row>
        <row r="137">
          <cell r="A137" t="str">
            <v>Central African Republic</v>
          </cell>
        </row>
        <row r="138">
          <cell r="A138" t="str">
            <v>Cocos (Keeling) Islands</v>
          </cell>
        </row>
        <row r="139">
          <cell r="A139" t="str">
            <v>Congo - Brazzaville</v>
          </cell>
        </row>
        <row r="140">
          <cell r="A140" t="str">
            <v>Cook Islands</v>
          </cell>
        </row>
        <row r="141">
          <cell r="A141" t="str">
            <v>Comoros</v>
          </cell>
        </row>
        <row r="142">
          <cell r="A142" t="str">
            <v>Cape Verde</v>
          </cell>
        </row>
        <row r="143">
          <cell r="A143" t="str">
            <v>Cuba</v>
          </cell>
        </row>
        <row r="144">
          <cell r="A144" t="str">
            <v>CuraÃ§ao</v>
          </cell>
        </row>
        <row r="145">
          <cell r="A145" t="str">
            <v>Christmas Island</v>
          </cell>
        </row>
        <row r="146">
          <cell r="A146" t="str">
            <v>Cayman Islands</v>
          </cell>
        </row>
        <row r="147">
          <cell r="A147" t="str">
            <v>Djibouti</v>
          </cell>
        </row>
        <row r="148">
          <cell r="A148" t="str">
            <v>Dominica</v>
          </cell>
        </row>
        <row r="149">
          <cell r="A149" t="str">
            <v>Eritrea</v>
          </cell>
        </row>
        <row r="150">
          <cell r="A150" t="str">
            <v>Western Sahara</v>
          </cell>
        </row>
        <row r="151">
          <cell r="A151" t="str">
            <v>Fiji</v>
          </cell>
        </row>
        <row r="152">
          <cell r="A152" t="str">
            <v>Falkland Islands (Islas Malvinas)</v>
          </cell>
        </row>
        <row r="153">
          <cell r="A153" t="str">
            <v>Faroe Islands</v>
          </cell>
        </row>
        <row r="154">
          <cell r="A154" t="str">
            <v>Micronesia</v>
          </cell>
        </row>
        <row r="155">
          <cell r="A155" t="str">
            <v>Gabon</v>
          </cell>
        </row>
        <row r="156">
          <cell r="A156" t="str">
            <v>Georgia</v>
          </cell>
        </row>
        <row r="157">
          <cell r="A157" t="str">
            <v>Guernsey</v>
          </cell>
        </row>
        <row r="158">
          <cell r="A158" t="str">
            <v>Ghana</v>
          </cell>
        </row>
        <row r="159">
          <cell r="A159" t="str">
            <v>Gibraltar</v>
          </cell>
        </row>
        <row r="160">
          <cell r="A160" t="str">
            <v>Guinea</v>
          </cell>
        </row>
        <row r="161">
          <cell r="A161" t="str">
            <v>Guadeloupe</v>
          </cell>
        </row>
        <row r="162">
          <cell r="A162" t="str">
            <v>Gambia</v>
          </cell>
        </row>
        <row r="163">
          <cell r="A163" t="str">
            <v>Guinea-Bissau</v>
          </cell>
        </row>
        <row r="164">
          <cell r="A164" t="str">
            <v>Equatorial Guinea</v>
          </cell>
        </row>
        <row r="165">
          <cell r="A165" t="str">
            <v>Grenada</v>
          </cell>
        </row>
        <row r="166">
          <cell r="A166" t="str">
            <v>Greenland</v>
          </cell>
        </row>
        <row r="167">
          <cell r="A167" t="str">
            <v>French Guiana</v>
          </cell>
        </row>
        <row r="168">
          <cell r="A168" t="str">
            <v>Guam</v>
          </cell>
        </row>
        <row r="169">
          <cell r="A169" t="str">
            <v>Heard &amp; McDonald Islands</v>
          </cell>
        </row>
        <row r="170">
          <cell r="A170" t="str">
            <v>Haiti</v>
          </cell>
        </row>
        <row r="171">
          <cell r="A171" t="str">
            <v>Isle of Man</v>
          </cell>
        </row>
        <row r="172">
          <cell r="A172" t="str">
            <v>British Indian Ocean Territory</v>
          </cell>
        </row>
        <row r="173">
          <cell r="A173" t="str">
            <v>Iraq</v>
          </cell>
        </row>
        <row r="174">
          <cell r="A174" t="str">
            <v>Jamaica</v>
          </cell>
        </row>
        <row r="175">
          <cell r="A175" t="str">
            <v>Jersey</v>
          </cell>
        </row>
        <row r="176">
          <cell r="A176" t="str">
            <v>Jordan</v>
          </cell>
        </row>
        <row r="177">
          <cell r="A177" t="str">
            <v>Kyrgyzstan</v>
          </cell>
        </row>
        <row r="178">
          <cell r="A178" t="str">
            <v>Cambodia</v>
          </cell>
        </row>
        <row r="179">
          <cell r="A179" t="str">
            <v>Kiribati</v>
          </cell>
        </row>
        <row r="180">
          <cell r="A180" t="str">
            <v>St. Kitts &amp; Nevis</v>
          </cell>
        </row>
        <row r="181">
          <cell r="A181" t="str">
            <v>Kuwait</v>
          </cell>
        </row>
        <row r="182">
          <cell r="A182" t="str">
            <v>Lebanon</v>
          </cell>
        </row>
        <row r="183">
          <cell r="A183" t="str">
            <v>Liberia</v>
          </cell>
        </row>
        <row r="184">
          <cell r="A184" t="str">
            <v>St. Lucia</v>
          </cell>
        </row>
        <row r="185">
          <cell r="A185" t="str">
            <v>Liechtenstein</v>
          </cell>
        </row>
        <row r="186">
          <cell r="A186" t="str">
            <v>Lesotho</v>
          </cell>
        </row>
        <row r="187">
          <cell r="A187" t="str">
            <v>Macao</v>
          </cell>
        </row>
        <row r="188">
          <cell r="A188" t="str">
            <v>St. Martin</v>
          </cell>
        </row>
        <row r="189">
          <cell r="A189" t="str">
            <v>Monaco</v>
          </cell>
        </row>
        <row r="190">
          <cell r="A190" t="str">
            <v>Maldives</v>
          </cell>
        </row>
        <row r="191">
          <cell r="A191" t="str">
            <v>Marshall Islands</v>
          </cell>
        </row>
        <row r="192">
          <cell r="A192" t="str">
            <v>Mali</v>
          </cell>
        </row>
        <row r="193">
          <cell r="A193" t="str">
            <v>Malta</v>
          </cell>
        </row>
        <row r="194">
          <cell r="A194" t="str">
            <v>Myanmar (Burma)</v>
          </cell>
        </row>
        <row r="195">
          <cell r="A195" t="str">
            <v>Montenegro</v>
          </cell>
        </row>
        <row r="196">
          <cell r="A196" t="str">
            <v>Northern Mariana Islands</v>
          </cell>
        </row>
        <row r="197">
          <cell r="A197" t="str">
            <v>Mozambique</v>
          </cell>
        </row>
        <row r="198">
          <cell r="A198" t="str">
            <v>Mauritania</v>
          </cell>
        </row>
        <row r="199">
          <cell r="A199" t="str">
            <v>Montserrat</v>
          </cell>
        </row>
        <row r="200">
          <cell r="A200" t="str">
            <v>Martinique</v>
          </cell>
        </row>
        <row r="201">
          <cell r="A201" t="str">
            <v>Mauritius</v>
          </cell>
        </row>
        <row r="202">
          <cell r="A202" t="str">
            <v>Malawi</v>
          </cell>
        </row>
        <row r="203">
          <cell r="A203" t="str">
            <v>Mayotte</v>
          </cell>
        </row>
        <row r="204">
          <cell r="A204" t="str">
            <v>Namibia</v>
          </cell>
        </row>
        <row r="205">
          <cell r="A205" t="str">
            <v>New Caledonia</v>
          </cell>
        </row>
        <row r="206">
          <cell r="A206" t="str">
            <v>Niger</v>
          </cell>
        </row>
        <row r="207">
          <cell r="A207" t="str">
            <v>Norfolk Island</v>
          </cell>
        </row>
        <row r="208">
          <cell r="A208" t="str">
            <v>Niue</v>
          </cell>
        </row>
        <row r="209">
          <cell r="A209" t="str">
            <v>Nauru</v>
          </cell>
        </row>
        <row r="210">
          <cell r="A210" t="str">
            <v>Panama</v>
          </cell>
        </row>
        <row r="211">
          <cell r="A211" t="str">
            <v>Pitcairn Islands</v>
          </cell>
        </row>
        <row r="212">
          <cell r="A212" t="str">
            <v>Palau</v>
          </cell>
        </row>
        <row r="213">
          <cell r="A213" t="str">
            <v>Papua New Guinea</v>
          </cell>
        </row>
        <row r="214">
          <cell r="A214" t="str">
            <v>North Korea</v>
          </cell>
        </row>
        <row r="215">
          <cell r="A215" t="str">
            <v>French Polynesia</v>
          </cell>
        </row>
        <row r="216">
          <cell r="A216" t="str">
            <v>Qatar</v>
          </cell>
        </row>
        <row r="217">
          <cell r="A217" t="str">
            <v>RÃ©union</v>
          </cell>
        </row>
        <row r="218">
          <cell r="A218" t="str">
            <v>Sudan</v>
          </cell>
        </row>
        <row r="219">
          <cell r="A219" t="str">
            <v>Senegal</v>
          </cell>
        </row>
        <row r="220">
          <cell r="A220" t="str">
            <v>South Georgia &amp; South Sandwich Islands</v>
          </cell>
        </row>
        <row r="221">
          <cell r="A221" t="str">
            <v>Svalbard &amp; Jan Mayen</v>
          </cell>
        </row>
        <row r="222">
          <cell r="A222" t="str">
            <v>Solomon Islands</v>
          </cell>
        </row>
        <row r="223">
          <cell r="A223" t="str">
            <v>Sierra Leone</v>
          </cell>
        </row>
        <row r="224">
          <cell r="A224" t="str">
            <v>San Marino</v>
          </cell>
        </row>
        <row r="225">
          <cell r="A225" t="str">
            <v>Somalia</v>
          </cell>
        </row>
        <row r="226">
          <cell r="A226" t="str">
            <v>St. Pierre &amp; Miquelon</v>
          </cell>
        </row>
        <row r="227">
          <cell r="A227" t="str">
            <v>South Sudan</v>
          </cell>
        </row>
        <row r="228">
          <cell r="A228" t="str">
            <v>SÃ£o TomÃ© &amp; PrÃ­ncipe</v>
          </cell>
        </row>
        <row r="229">
          <cell r="A229" t="str">
            <v>Suriname</v>
          </cell>
        </row>
        <row r="230">
          <cell r="A230" t="str">
            <v>Eswatini</v>
          </cell>
        </row>
        <row r="231">
          <cell r="A231" t="str">
            <v>Sint Maarten</v>
          </cell>
        </row>
        <row r="232">
          <cell r="A232" t="str">
            <v>Seychelles</v>
          </cell>
        </row>
        <row r="233">
          <cell r="A233" t="str">
            <v>Turks &amp; Caicos Islands</v>
          </cell>
        </row>
        <row r="234">
          <cell r="A234" t="str">
            <v>Chad</v>
          </cell>
        </row>
        <row r="235">
          <cell r="A235" t="str">
            <v>Togo</v>
          </cell>
        </row>
        <row r="236">
          <cell r="A236" t="str">
            <v>Tajikistan</v>
          </cell>
        </row>
        <row r="237">
          <cell r="A237" t="str">
            <v>Tokelau</v>
          </cell>
        </row>
        <row r="238">
          <cell r="A238" t="str">
            <v>Turkmenistan</v>
          </cell>
        </row>
        <row r="239">
          <cell r="A239" t="str">
            <v>Timor-Leste</v>
          </cell>
        </row>
        <row r="240">
          <cell r="A240" t="str">
            <v>Tonga</v>
          </cell>
        </row>
        <row r="241">
          <cell r="A241" t="str">
            <v>Tuvalu</v>
          </cell>
        </row>
        <row r="242">
          <cell r="A242" t="str">
            <v>Uganda</v>
          </cell>
        </row>
        <row r="243">
          <cell r="A243" t="str">
            <v>U.S. Outlying Islands</v>
          </cell>
        </row>
        <row r="244">
          <cell r="A244" t="str">
            <v>Uzbekistan</v>
          </cell>
        </row>
        <row r="245">
          <cell r="A245" t="str">
            <v>Vatican City</v>
          </cell>
        </row>
        <row r="246">
          <cell r="A246" t="str">
            <v>St. Vincent &amp; Grenadines</v>
          </cell>
        </row>
        <row r="247">
          <cell r="A247" t="str">
            <v>British Virgin Islands</v>
          </cell>
        </row>
        <row r="248">
          <cell r="A248" t="str">
            <v>U.S. Virgin Islands</v>
          </cell>
        </row>
        <row r="249">
          <cell r="A249" t="str">
            <v>Vanuatu</v>
          </cell>
        </row>
        <row r="250">
          <cell r="A250" t="str">
            <v>Wallis &amp; Futuna</v>
          </cell>
        </row>
        <row r="251">
          <cell r="A251" t="str">
            <v>Samoa</v>
          </cell>
        </row>
        <row r="252">
          <cell r="A252" t="str">
            <v>Kosovo</v>
          </cell>
        </row>
        <row r="253">
          <cell r="A253" t="str">
            <v>Yemen</v>
          </cell>
        </row>
      </sheetData>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31)"/>
    </sheetNames>
    <sheetDataSet>
      <sheetData sheetId="0" refreshError="1">
        <row r="1">
          <cell r="A1" t="str">
            <v>Category: All categories</v>
          </cell>
        </row>
        <row r="3">
          <cell r="A3" t="str">
            <v>Country</v>
          </cell>
          <cell r="B3" t="str">
            <v>Computer vision: (2018)</v>
          </cell>
          <cell r="C3" t="str">
            <v>Query optimization: (2018)</v>
          </cell>
        </row>
        <row r="4">
          <cell r="A4" t="str">
            <v>China</v>
          </cell>
          <cell r="B4">
            <v>0.97</v>
          </cell>
          <cell r="C4">
            <v>0.03</v>
          </cell>
        </row>
        <row r="5">
          <cell r="A5" t="str">
            <v>Ethiopia</v>
          </cell>
          <cell r="B5">
            <v>0.79</v>
          </cell>
          <cell r="C5">
            <v>0.21</v>
          </cell>
        </row>
        <row r="6">
          <cell r="A6" t="str">
            <v>Singapore</v>
          </cell>
          <cell r="B6">
            <v>0.98</v>
          </cell>
          <cell r="C6">
            <v>0.02</v>
          </cell>
        </row>
        <row r="7">
          <cell r="A7" t="str">
            <v>South Korea</v>
          </cell>
          <cell r="B7">
            <v>0.97</v>
          </cell>
          <cell r="C7">
            <v>0.03</v>
          </cell>
        </row>
        <row r="8">
          <cell r="A8" t="str">
            <v>Pakistan</v>
          </cell>
          <cell r="B8">
            <v>0.87</v>
          </cell>
          <cell r="C8">
            <v>0.13</v>
          </cell>
        </row>
        <row r="9">
          <cell r="A9" t="str">
            <v>Israel</v>
          </cell>
          <cell r="B9">
            <v>1</v>
          </cell>
        </row>
        <row r="10">
          <cell r="A10" t="str">
            <v>St. Helena</v>
          </cell>
          <cell r="B10">
            <v>1</v>
          </cell>
        </row>
        <row r="11">
          <cell r="A11" t="str">
            <v>Sri Lanka</v>
          </cell>
          <cell r="B11">
            <v>0.85</v>
          </cell>
          <cell r="C11">
            <v>0.15</v>
          </cell>
        </row>
        <row r="12">
          <cell r="A12" t="str">
            <v>Hong Kong</v>
          </cell>
          <cell r="B12">
            <v>0.95</v>
          </cell>
          <cell r="C12">
            <v>0.05</v>
          </cell>
        </row>
        <row r="13">
          <cell r="A13" t="str">
            <v>Laos</v>
          </cell>
        </row>
        <row r="14">
          <cell r="A14" t="str">
            <v>Taiwan</v>
          </cell>
          <cell r="B14">
            <v>1</v>
          </cell>
        </row>
        <row r="15">
          <cell r="A15" t="str">
            <v>India</v>
          </cell>
          <cell r="B15">
            <v>0.83</v>
          </cell>
          <cell r="C15">
            <v>0.17</v>
          </cell>
        </row>
        <row r="16">
          <cell r="A16" t="str">
            <v>Switzerland</v>
          </cell>
          <cell r="B16">
            <v>1</v>
          </cell>
        </row>
        <row r="17">
          <cell r="A17" t="str">
            <v>Myanmar (Burma)</v>
          </cell>
        </row>
        <row r="18">
          <cell r="A18" t="str">
            <v>Syria</v>
          </cell>
          <cell r="B18">
            <v>1</v>
          </cell>
        </row>
        <row r="19">
          <cell r="A19" t="str">
            <v>Tunisia</v>
          </cell>
          <cell r="B19">
            <v>1</v>
          </cell>
        </row>
        <row r="20">
          <cell r="A20" t="str">
            <v>Nepal</v>
          </cell>
        </row>
        <row r="21">
          <cell r="A21" t="str">
            <v>Germany</v>
          </cell>
          <cell r="B21">
            <v>0.97</v>
          </cell>
          <cell r="C21">
            <v>0.03</v>
          </cell>
        </row>
        <row r="22">
          <cell r="A22" t="str">
            <v>Canada</v>
          </cell>
          <cell r="B22">
            <v>0.93</v>
          </cell>
          <cell r="C22">
            <v>7.0000000000000007E-2</v>
          </cell>
        </row>
        <row r="23">
          <cell r="A23" t="str">
            <v>New Zealand</v>
          </cell>
          <cell r="B23">
            <v>0.92</v>
          </cell>
          <cell r="C23">
            <v>0.08</v>
          </cell>
        </row>
        <row r="24">
          <cell r="A24" t="str">
            <v>United States</v>
          </cell>
          <cell r="B24">
            <v>0.93</v>
          </cell>
          <cell r="C24">
            <v>7.0000000000000007E-2</v>
          </cell>
        </row>
        <row r="25">
          <cell r="A25" t="str">
            <v>Bangladesh</v>
          </cell>
          <cell r="B25">
            <v>0.88</v>
          </cell>
          <cell r="C25">
            <v>0.12</v>
          </cell>
        </row>
        <row r="26">
          <cell r="A26" t="str">
            <v>Ireland</v>
          </cell>
          <cell r="B26">
            <v>0.95</v>
          </cell>
          <cell r="C26">
            <v>0.05</v>
          </cell>
        </row>
        <row r="27">
          <cell r="A27" t="str">
            <v>Austria</v>
          </cell>
          <cell r="B27">
            <v>1</v>
          </cell>
        </row>
        <row r="28">
          <cell r="A28" t="str">
            <v>Cyprus</v>
          </cell>
        </row>
        <row r="29">
          <cell r="A29" t="str">
            <v>Nigeria</v>
          </cell>
          <cell r="B29">
            <v>0.98</v>
          </cell>
          <cell r="C29">
            <v>0.02</v>
          </cell>
        </row>
        <row r="30">
          <cell r="A30" t="str">
            <v>Lebanon</v>
          </cell>
        </row>
        <row r="31">
          <cell r="A31" t="str">
            <v>Egypt</v>
          </cell>
          <cell r="B31">
            <v>0.98</v>
          </cell>
          <cell r="C31">
            <v>0.02</v>
          </cell>
        </row>
        <row r="32">
          <cell r="A32" t="str">
            <v>Spain</v>
          </cell>
          <cell r="B32">
            <v>0.97</v>
          </cell>
          <cell r="C32">
            <v>0.03</v>
          </cell>
        </row>
        <row r="33">
          <cell r="A33" t="str">
            <v>Ecuador</v>
          </cell>
          <cell r="B33">
            <v>1</v>
          </cell>
        </row>
        <row r="34">
          <cell r="A34" t="str">
            <v>Malaysia</v>
          </cell>
          <cell r="B34">
            <v>0.94</v>
          </cell>
          <cell r="C34">
            <v>0.06</v>
          </cell>
        </row>
        <row r="35">
          <cell r="A35" t="str">
            <v>Slovenia</v>
          </cell>
        </row>
        <row r="36">
          <cell r="A36" t="str">
            <v>Australia</v>
          </cell>
          <cell r="B36">
            <v>0.9</v>
          </cell>
          <cell r="C36">
            <v>0.1</v>
          </cell>
        </row>
        <row r="37">
          <cell r="A37" t="str">
            <v>Portugal</v>
          </cell>
          <cell r="B37">
            <v>1</v>
          </cell>
        </row>
        <row r="38">
          <cell r="A38" t="str">
            <v>Denmark</v>
          </cell>
          <cell r="B38">
            <v>1</v>
          </cell>
        </row>
        <row r="39">
          <cell r="A39" t="str">
            <v>Latvia</v>
          </cell>
        </row>
        <row r="40">
          <cell r="A40" t="str">
            <v>Norway</v>
          </cell>
          <cell r="B40">
            <v>1</v>
          </cell>
        </row>
        <row r="41">
          <cell r="A41" t="str">
            <v>Philippines</v>
          </cell>
          <cell r="B41">
            <v>0.87</v>
          </cell>
          <cell r="C41">
            <v>0.13</v>
          </cell>
        </row>
        <row r="42">
          <cell r="A42" t="str">
            <v>Armenia</v>
          </cell>
        </row>
        <row r="43">
          <cell r="A43" t="str">
            <v>Vietnam</v>
          </cell>
          <cell r="B43">
            <v>1</v>
          </cell>
        </row>
        <row r="44">
          <cell r="A44" t="str">
            <v>United Kingdom</v>
          </cell>
          <cell r="B44">
            <v>0.94</v>
          </cell>
          <cell r="C44">
            <v>0.06</v>
          </cell>
        </row>
        <row r="45">
          <cell r="A45" t="str">
            <v>Ghana</v>
          </cell>
        </row>
        <row r="46">
          <cell r="A46" t="str">
            <v>Iraq</v>
          </cell>
          <cell r="B46">
            <v>1</v>
          </cell>
        </row>
        <row r="47">
          <cell r="A47" t="str">
            <v>Belarus</v>
          </cell>
          <cell r="B47">
            <v>0.91</v>
          </cell>
          <cell r="C47">
            <v>0.09</v>
          </cell>
        </row>
        <row r="48">
          <cell r="A48" t="str">
            <v>Netherlands</v>
          </cell>
          <cell r="B48">
            <v>0.96</v>
          </cell>
          <cell r="C48">
            <v>0.04</v>
          </cell>
        </row>
        <row r="49">
          <cell r="A49" t="str">
            <v>Czechia</v>
          </cell>
          <cell r="B49">
            <v>1</v>
          </cell>
        </row>
        <row r="50">
          <cell r="A50" t="str">
            <v>Iran</v>
          </cell>
          <cell r="B50">
            <v>0.95</v>
          </cell>
          <cell r="C50">
            <v>0.05</v>
          </cell>
        </row>
        <row r="51">
          <cell r="A51" t="str">
            <v>Croatia</v>
          </cell>
          <cell r="B51">
            <v>1</v>
          </cell>
        </row>
        <row r="52">
          <cell r="A52" t="str">
            <v>United Arab Emirates</v>
          </cell>
          <cell r="B52">
            <v>1</v>
          </cell>
        </row>
        <row r="53">
          <cell r="A53" t="str">
            <v>Romania</v>
          </cell>
          <cell r="B53">
            <v>1</v>
          </cell>
        </row>
        <row r="54">
          <cell r="A54" t="str">
            <v>Sweden</v>
          </cell>
          <cell r="B54">
            <v>0.95</v>
          </cell>
          <cell r="C54">
            <v>0.05</v>
          </cell>
        </row>
        <row r="55">
          <cell r="A55" t="str">
            <v>Finland</v>
          </cell>
          <cell r="B55">
            <v>1</v>
          </cell>
        </row>
        <row r="56">
          <cell r="A56" t="str">
            <v>Serbia</v>
          </cell>
          <cell r="B56">
            <v>1</v>
          </cell>
        </row>
        <row r="57">
          <cell r="A57" t="str">
            <v>Belgium</v>
          </cell>
          <cell r="B57">
            <v>1</v>
          </cell>
        </row>
        <row r="58">
          <cell r="A58" t="str">
            <v>South Africa</v>
          </cell>
          <cell r="B58">
            <v>0.94</v>
          </cell>
          <cell r="C58">
            <v>0.06</v>
          </cell>
        </row>
        <row r="59">
          <cell r="A59" t="str">
            <v>Algeria</v>
          </cell>
          <cell r="B59">
            <v>1</v>
          </cell>
        </row>
        <row r="60">
          <cell r="A60" t="str">
            <v>Morocco</v>
          </cell>
          <cell r="B60">
            <v>1</v>
          </cell>
        </row>
        <row r="61">
          <cell r="A61" t="str">
            <v>Estonia</v>
          </cell>
        </row>
        <row r="62">
          <cell r="A62" t="str">
            <v>Mexico</v>
          </cell>
          <cell r="B62">
            <v>0.95</v>
          </cell>
          <cell r="C62">
            <v>0.05</v>
          </cell>
        </row>
        <row r="63">
          <cell r="A63" t="str">
            <v>Colombia</v>
          </cell>
          <cell r="B63">
            <v>1</v>
          </cell>
        </row>
        <row r="64">
          <cell r="A64" t="str">
            <v>Greece</v>
          </cell>
          <cell r="B64">
            <v>1</v>
          </cell>
        </row>
        <row r="65">
          <cell r="A65" t="str">
            <v>Bolivia</v>
          </cell>
        </row>
        <row r="66">
          <cell r="A66" t="str">
            <v>Japan</v>
          </cell>
          <cell r="B66">
            <v>0.75</v>
          </cell>
          <cell r="C66">
            <v>0.25</v>
          </cell>
        </row>
        <row r="67">
          <cell r="A67" t="str">
            <v>Cambodia</v>
          </cell>
        </row>
        <row r="68">
          <cell r="A68" t="str">
            <v>Russia</v>
          </cell>
          <cell r="B68">
            <v>0.82</v>
          </cell>
          <cell r="C68">
            <v>0.18</v>
          </cell>
        </row>
        <row r="69">
          <cell r="A69" t="str">
            <v>Lithuania</v>
          </cell>
        </row>
        <row r="70">
          <cell r="A70" t="str">
            <v>Kazakhstan</v>
          </cell>
          <cell r="B70">
            <v>1</v>
          </cell>
        </row>
        <row r="71">
          <cell r="A71" t="str">
            <v>Kenya</v>
          </cell>
        </row>
        <row r="72">
          <cell r="A72" t="str">
            <v>Peru</v>
          </cell>
          <cell r="B72">
            <v>0.94</v>
          </cell>
          <cell r="C72">
            <v>0.06</v>
          </cell>
        </row>
        <row r="73">
          <cell r="A73" t="str">
            <v>Chile</v>
          </cell>
          <cell r="B73">
            <v>1</v>
          </cell>
        </row>
        <row r="74">
          <cell r="A74" t="str">
            <v>France</v>
          </cell>
          <cell r="B74">
            <v>0.89</v>
          </cell>
          <cell r="C74">
            <v>0.11</v>
          </cell>
        </row>
        <row r="75">
          <cell r="A75" t="str">
            <v>Poland</v>
          </cell>
          <cell r="B75">
            <v>0.94</v>
          </cell>
          <cell r="C75">
            <v>0.06</v>
          </cell>
        </row>
        <row r="76">
          <cell r="A76" t="str">
            <v>Ukraine</v>
          </cell>
          <cell r="B76">
            <v>0.86</v>
          </cell>
          <cell r="C76">
            <v>0.14000000000000001</v>
          </cell>
        </row>
        <row r="77">
          <cell r="A77" t="str">
            <v>Italy</v>
          </cell>
          <cell r="B77">
            <v>0.95</v>
          </cell>
          <cell r="C77">
            <v>0.05</v>
          </cell>
        </row>
        <row r="78">
          <cell r="A78" t="str">
            <v>Thailand</v>
          </cell>
          <cell r="B78">
            <v>0.96</v>
          </cell>
          <cell r="C78">
            <v>0.04</v>
          </cell>
        </row>
        <row r="79">
          <cell r="A79" t="str">
            <v>Jordan</v>
          </cell>
        </row>
        <row r="80">
          <cell r="A80" t="str">
            <v>Indonesia</v>
          </cell>
          <cell r="B80">
            <v>0.95</v>
          </cell>
          <cell r="C80">
            <v>0.05</v>
          </cell>
        </row>
        <row r="81">
          <cell r="A81" t="str">
            <v>Slovakia</v>
          </cell>
        </row>
        <row r="82">
          <cell r="A82" t="str">
            <v>Costa Rica</v>
          </cell>
        </row>
        <row r="83">
          <cell r="A83" t="str">
            <v>Mauritius</v>
          </cell>
        </row>
        <row r="84">
          <cell r="A84" t="str">
            <v>Bulgaria</v>
          </cell>
        </row>
        <row r="85">
          <cell r="A85" t="str">
            <v>Hungary</v>
          </cell>
          <cell r="B85">
            <v>1</v>
          </cell>
        </row>
        <row r="86">
          <cell r="A86" t="str">
            <v>Saudi Arabia</v>
          </cell>
        </row>
        <row r="87">
          <cell r="A87" t="str">
            <v>Brazil</v>
          </cell>
          <cell r="B87">
            <v>0.98</v>
          </cell>
          <cell r="C87">
            <v>0.02</v>
          </cell>
        </row>
        <row r="88">
          <cell r="A88" t="str">
            <v>Turkey</v>
          </cell>
          <cell r="B88">
            <v>0.95</v>
          </cell>
          <cell r="C88">
            <v>0.05</v>
          </cell>
        </row>
        <row r="89">
          <cell r="A89" t="str">
            <v>Argentina</v>
          </cell>
          <cell r="B89">
            <v>1</v>
          </cell>
        </row>
        <row r="90">
          <cell r="A90" t="str">
            <v>Venezuela</v>
          </cell>
        </row>
        <row r="91">
          <cell r="A91" t="str">
            <v>North Korea</v>
          </cell>
        </row>
        <row r="92">
          <cell r="A92" t="str">
            <v>Djibouti</v>
          </cell>
        </row>
        <row r="93">
          <cell r="A93" t="str">
            <v>Antigua &amp; Barbuda</v>
          </cell>
        </row>
        <row r="94">
          <cell r="A94" t="str">
            <v>South Sudan</v>
          </cell>
        </row>
        <row r="95">
          <cell r="A95" t="str">
            <v>Burundi</v>
          </cell>
        </row>
        <row r="96">
          <cell r="A96" t="str">
            <v>Rwanda</v>
          </cell>
        </row>
        <row r="97">
          <cell r="A97" t="str">
            <v>Cayman Islands</v>
          </cell>
        </row>
        <row r="98">
          <cell r="A98" t="str">
            <v>Lesotho</v>
          </cell>
        </row>
        <row r="99">
          <cell r="A99" t="str">
            <v>Isle of Man</v>
          </cell>
        </row>
        <row r="100">
          <cell r="A100" t="str">
            <v>Papua New Guinea</v>
          </cell>
        </row>
        <row r="101">
          <cell r="A101" t="str">
            <v>Togo</v>
          </cell>
        </row>
        <row r="102">
          <cell r="A102" t="str">
            <v>Malta</v>
          </cell>
        </row>
        <row r="103">
          <cell r="A103" t="str">
            <v>Guam</v>
          </cell>
        </row>
        <row r="104">
          <cell r="A104" t="str">
            <v>Madagascar</v>
          </cell>
        </row>
        <row r="105">
          <cell r="A105" t="str">
            <v>Zambia</v>
          </cell>
        </row>
        <row r="106">
          <cell r="A106" t="str">
            <v>Macao</v>
          </cell>
        </row>
        <row r="107">
          <cell r="A107" t="str">
            <v>Cuba</v>
          </cell>
        </row>
        <row r="108">
          <cell r="A108" t="str">
            <v>Uganda</v>
          </cell>
        </row>
        <row r="109">
          <cell r="A109" t="str">
            <v>Benin</v>
          </cell>
        </row>
        <row r="110">
          <cell r="A110" t="str">
            <v>Uzbekistan</v>
          </cell>
        </row>
        <row r="111">
          <cell r="A111" t="str">
            <v>Mongolia</v>
          </cell>
        </row>
        <row r="112">
          <cell r="A112" t="str">
            <v>North Macedonia</v>
          </cell>
        </row>
        <row r="113">
          <cell r="A113" t="str">
            <v>Kosovo</v>
          </cell>
        </row>
        <row r="114">
          <cell r="A114" t="str">
            <v>Bahrain</v>
          </cell>
        </row>
        <row r="115">
          <cell r="A115" t="str">
            <v>Tanzania</v>
          </cell>
        </row>
        <row r="116">
          <cell r="A116" t="str">
            <v>Luxembourg</v>
          </cell>
        </row>
        <row r="117">
          <cell r="A117" t="str">
            <v>Turkmenistan</v>
          </cell>
        </row>
        <row r="118">
          <cell r="A118" t="str">
            <v>Mali</v>
          </cell>
        </row>
        <row r="119">
          <cell r="A119" t="str">
            <v>Sudan</v>
          </cell>
        </row>
        <row r="120">
          <cell r="A120" t="str">
            <v>Iceland</v>
          </cell>
        </row>
        <row r="121">
          <cell r="A121" t="str">
            <v>Brunei</v>
          </cell>
        </row>
        <row r="122">
          <cell r="A122" t="str">
            <v>Zimbabwe</v>
          </cell>
        </row>
        <row r="123">
          <cell r="A123" t="str">
            <v>Afghanistan</v>
          </cell>
        </row>
        <row r="124">
          <cell r="A124" t="str">
            <v>Libya</v>
          </cell>
        </row>
        <row r="125">
          <cell r="A125" t="str">
            <v>Moldova</v>
          </cell>
        </row>
        <row r="126">
          <cell r="A126" t="str">
            <v>Yemen</v>
          </cell>
        </row>
        <row r="127">
          <cell r="A127" t="str">
            <v>Albania</v>
          </cell>
        </row>
        <row r="128">
          <cell r="A128" t="str">
            <v>Qatar</v>
          </cell>
        </row>
        <row r="129">
          <cell r="A129" t="str">
            <v>Angola</v>
          </cell>
        </row>
        <row r="130">
          <cell r="A130" t="str">
            <v>Puerto Rico</v>
          </cell>
        </row>
        <row r="131">
          <cell r="A131" t="str">
            <v>Jamaica</v>
          </cell>
        </row>
        <row r="132">
          <cell r="A132" t="str">
            <v>Palestine</v>
          </cell>
        </row>
        <row r="133">
          <cell r="A133" t="str">
            <v>Nicaragua</v>
          </cell>
        </row>
        <row r="134">
          <cell r="A134" t="str">
            <v>Mozambique</v>
          </cell>
        </row>
        <row r="135">
          <cell r="A135" t="str">
            <v>Senegal</v>
          </cell>
        </row>
        <row r="136">
          <cell r="A136" t="str">
            <v>Congo - Kinshasa</v>
          </cell>
        </row>
        <row r="137">
          <cell r="A137" t="str">
            <v>Cameroon</v>
          </cell>
        </row>
        <row r="138">
          <cell r="A138" t="str">
            <v>Guatemala</v>
          </cell>
        </row>
        <row r="139">
          <cell r="A139" t="str">
            <v>Trinidad &amp; Tobago</v>
          </cell>
        </row>
        <row r="140">
          <cell r="A140" t="str">
            <v>Kuwait</v>
          </cell>
        </row>
        <row r="141">
          <cell r="A141" t="str">
            <v>Bosnia &amp; Herzegovina</v>
          </cell>
        </row>
        <row r="142">
          <cell r="A142" t="str">
            <v>Oman</v>
          </cell>
        </row>
        <row r="143">
          <cell r="A143" t="str">
            <v>Kyrgyzstan</v>
          </cell>
        </row>
        <row r="144">
          <cell r="A144" t="str">
            <v>Dominican Republic</v>
          </cell>
        </row>
        <row r="145">
          <cell r="A145" t="str">
            <v>Azerbaijan</v>
          </cell>
        </row>
        <row r="146">
          <cell r="A146" t="str">
            <v>Uruguay</v>
          </cell>
        </row>
        <row r="147">
          <cell r="A147" t="str">
            <v>Panama</v>
          </cell>
        </row>
        <row r="148">
          <cell r="A148" t="str">
            <v>Georgia</v>
          </cell>
        </row>
        <row r="149">
          <cell r="A149" t="str">
            <v>Honduras</v>
          </cell>
        </row>
        <row r="150">
          <cell r="A150" t="str">
            <v>El Salvador</v>
          </cell>
        </row>
        <row r="151">
          <cell r="A151" t="str">
            <v>Paraguay</v>
          </cell>
        </row>
        <row r="152">
          <cell r="A152" t="str">
            <v>Aruba</v>
          </cell>
        </row>
        <row r="153">
          <cell r="A153" t="str">
            <v>Anguilla</v>
          </cell>
        </row>
        <row r="154">
          <cell r="A154" t="str">
            <v>Ã…land Islands</v>
          </cell>
        </row>
        <row r="155">
          <cell r="A155" t="str">
            <v>Andorra</v>
          </cell>
        </row>
        <row r="156">
          <cell r="A156" t="str">
            <v>American Samoa</v>
          </cell>
        </row>
        <row r="157">
          <cell r="A157" t="str">
            <v>Antarctica</v>
          </cell>
        </row>
        <row r="158">
          <cell r="A158" t="str">
            <v>French Southern Territories</v>
          </cell>
        </row>
        <row r="159">
          <cell r="A159" t="str">
            <v>Caribbean Netherlands</v>
          </cell>
        </row>
        <row r="160">
          <cell r="A160" t="str">
            <v>Burkina Faso</v>
          </cell>
        </row>
        <row r="161">
          <cell r="A161" t="str">
            <v>Bahamas</v>
          </cell>
        </row>
        <row r="162">
          <cell r="A162" t="str">
            <v>St. BarthÃ©lemy</v>
          </cell>
        </row>
        <row r="163">
          <cell r="A163" t="str">
            <v>Belize</v>
          </cell>
        </row>
        <row r="164">
          <cell r="A164" t="str">
            <v>Bermuda</v>
          </cell>
        </row>
        <row r="165">
          <cell r="A165" t="str">
            <v>Barbados</v>
          </cell>
        </row>
        <row r="166">
          <cell r="A166" t="str">
            <v>Bhutan</v>
          </cell>
        </row>
        <row r="167">
          <cell r="A167" t="str">
            <v>Bouvet Island</v>
          </cell>
        </row>
        <row r="168">
          <cell r="A168" t="str">
            <v>Botswana</v>
          </cell>
        </row>
        <row r="169">
          <cell r="A169" t="str">
            <v>Central African Republic</v>
          </cell>
        </row>
        <row r="170">
          <cell r="A170" t="str">
            <v>Cocos (Keeling) Islands</v>
          </cell>
        </row>
        <row r="171">
          <cell r="A171" t="str">
            <v>CÃ´te dâ€™Ivoire</v>
          </cell>
        </row>
        <row r="172">
          <cell r="A172" t="str">
            <v>Congo - Brazzaville</v>
          </cell>
        </row>
        <row r="173">
          <cell r="A173" t="str">
            <v>Cook Islands</v>
          </cell>
        </row>
        <row r="174">
          <cell r="A174" t="str">
            <v>Comoros</v>
          </cell>
        </row>
        <row r="175">
          <cell r="A175" t="str">
            <v>Cape Verde</v>
          </cell>
        </row>
        <row r="176">
          <cell r="A176" t="str">
            <v>CuraÃ§ao</v>
          </cell>
        </row>
        <row r="177">
          <cell r="A177" t="str">
            <v>Christmas Island</v>
          </cell>
        </row>
        <row r="178">
          <cell r="A178" t="str">
            <v>Dominica</v>
          </cell>
        </row>
        <row r="179">
          <cell r="A179" t="str">
            <v>Eritrea</v>
          </cell>
        </row>
        <row r="180">
          <cell r="A180" t="str">
            <v>Western Sahara</v>
          </cell>
        </row>
        <row r="181">
          <cell r="A181" t="str">
            <v>Fiji</v>
          </cell>
        </row>
        <row r="182">
          <cell r="A182" t="str">
            <v>Falkland Islands (Islas Malvinas)</v>
          </cell>
        </row>
        <row r="183">
          <cell r="A183" t="str">
            <v>Faroe Islands</v>
          </cell>
        </row>
        <row r="184">
          <cell r="A184" t="str">
            <v>Micronesia</v>
          </cell>
        </row>
        <row r="185">
          <cell r="A185" t="str">
            <v>Gabon</v>
          </cell>
        </row>
        <row r="186">
          <cell r="A186" t="str">
            <v>Guernsey</v>
          </cell>
        </row>
        <row r="187">
          <cell r="A187" t="str">
            <v>Gibraltar</v>
          </cell>
        </row>
        <row r="188">
          <cell r="A188" t="str">
            <v>Guinea</v>
          </cell>
        </row>
        <row r="189">
          <cell r="A189" t="str">
            <v>Guadeloupe</v>
          </cell>
        </row>
        <row r="190">
          <cell r="A190" t="str">
            <v>Gambia</v>
          </cell>
        </row>
        <row r="191">
          <cell r="A191" t="str">
            <v>Guinea-Bissau</v>
          </cell>
        </row>
        <row r="192">
          <cell r="A192" t="str">
            <v>Equatorial Guinea</v>
          </cell>
        </row>
        <row r="193">
          <cell r="A193" t="str">
            <v>Grenada</v>
          </cell>
        </row>
        <row r="194">
          <cell r="A194" t="str">
            <v>Greenland</v>
          </cell>
        </row>
        <row r="195">
          <cell r="A195" t="str">
            <v>French Guiana</v>
          </cell>
        </row>
        <row r="196">
          <cell r="A196" t="str">
            <v>Guyana</v>
          </cell>
        </row>
        <row r="197">
          <cell r="A197" t="str">
            <v>Heard &amp; McDonald Islands</v>
          </cell>
        </row>
        <row r="198">
          <cell r="A198" t="str">
            <v>Haiti</v>
          </cell>
        </row>
        <row r="199">
          <cell r="A199" t="str">
            <v>British Indian Ocean Territory</v>
          </cell>
        </row>
        <row r="200">
          <cell r="A200" t="str">
            <v>Jersey</v>
          </cell>
        </row>
        <row r="201">
          <cell r="A201" t="str">
            <v>Kiribati</v>
          </cell>
        </row>
        <row r="202">
          <cell r="A202" t="str">
            <v>St. Kitts &amp; Nevis</v>
          </cell>
        </row>
        <row r="203">
          <cell r="A203" t="str">
            <v>Liberia</v>
          </cell>
        </row>
        <row r="204">
          <cell r="A204" t="str">
            <v>St. Lucia</v>
          </cell>
        </row>
        <row r="205">
          <cell r="A205" t="str">
            <v>Liechtenstein</v>
          </cell>
        </row>
        <row r="206">
          <cell r="A206" t="str">
            <v>St. Martin</v>
          </cell>
        </row>
        <row r="207">
          <cell r="A207" t="str">
            <v>Monaco</v>
          </cell>
        </row>
        <row r="208">
          <cell r="A208" t="str">
            <v>Maldives</v>
          </cell>
        </row>
        <row r="209">
          <cell r="A209" t="str">
            <v>Marshall Islands</v>
          </cell>
        </row>
        <row r="210">
          <cell r="A210" t="str">
            <v>Montenegro</v>
          </cell>
        </row>
        <row r="211">
          <cell r="A211" t="str">
            <v>Northern Mariana Islands</v>
          </cell>
        </row>
        <row r="212">
          <cell r="A212" t="str">
            <v>Mauritania</v>
          </cell>
        </row>
        <row r="213">
          <cell r="A213" t="str">
            <v>Montserrat</v>
          </cell>
        </row>
        <row r="214">
          <cell r="A214" t="str">
            <v>Martinique</v>
          </cell>
        </row>
        <row r="215">
          <cell r="A215" t="str">
            <v>Malawi</v>
          </cell>
        </row>
        <row r="216">
          <cell r="A216" t="str">
            <v>Mayotte</v>
          </cell>
        </row>
        <row r="217">
          <cell r="A217" t="str">
            <v>Namibia</v>
          </cell>
        </row>
        <row r="218">
          <cell r="A218" t="str">
            <v>New Caledonia</v>
          </cell>
        </row>
        <row r="219">
          <cell r="A219" t="str">
            <v>Niger</v>
          </cell>
        </row>
        <row r="220">
          <cell r="A220" t="str">
            <v>Norfolk Island</v>
          </cell>
        </row>
        <row r="221">
          <cell r="A221" t="str">
            <v>Niue</v>
          </cell>
        </row>
        <row r="222">
          <cell r="A222" t="str">
            <v>Nauru</v>
          </cell>
        </row>
        <row r="223">
          <cell r="A223" t="str">
            <v>Pitcairn Islands</v>
          </cell>
        </row>
        <row r="224">
          <cell r="A224" t="str">
            <v>Palau</v>
          </cell>
        </row>
        <row r="225">
          <cell r="A225" t="str">
            <v>French Polynesia</v>
          </cell>
        </row>
        <row r="226">
          <cell r="A226" t="str">
            <v>RÃ©union</v>
          </cell>
        </row>
        <row r="227">
          <cell r="A227" t="str">
            <v>South Georgia &amp; South Sandwich Islands</v>
          </cell>
        </row>
        <row r="228">
          <cell r="A228" t="str">
            <v>Svalbard &amp; Jan Mayen</v>
          </cell>
        </row>
        <row r="229">
          <cell r="A229" t="str">
            <v>Solomon Islands</v>
          </cell>
        </row>
        <row r="230">
          <cell r="A230" t="str">
            <v>Sierra Leone</v>
          </cell>
        </row>
        <row r="231">
          <cell r="A231" t="str">
            <v>San Marino</v>
          </cell>
        </row>
        <row r="232">
          <cell r="A232" t="str">
            <v>Somalia</v>
          </cell>
        </row>
        <row r="233">
          <cell r="A233" t="str">
            <v>St. Pierre &amp; Miquelon</v>
          </cell>
        </row>
        <row r="234">
          <cell r="A234" t="str">
            <v>SÃ£o TomÃ© &amp; PrÃ­ncipe</v>
          </cell>
        </row>
        <row r="235">
          <cell r="A235" t="str">
            <v>Suriname</v>
          </cell>
        </row>
        <row r="236">
          <cell r="A236" t="str">
            <v>Eswatini</v>
          </cell>
        </row>
        <row r="237">
          <cell r="A237" t="str">
            <v>Sint Maarten</v>
          </cell>
        </row>
        <row r="238">
          <cell r="A238" t="str">
            <v>Seychelles</v>
          </cell>
        </row>
        <row r="239">
          <cell r="A239" t="str">
            <v>Turks &amp; Caicos Islands</v>
          </cell>
        </row>
        <row r="240">
          <cell r="A240" t="str">
            <v>Chad</v>
          </cell>
        </row>
        <row r="241">
          <cell r="A241" t="str">
            <v>Tajikistan</v>
          </cell>
        </row>
        <row r="242">
          <cell r="A242" t="str">
            <v>Tokelau</v>
          </cell>
        </row>
        <row r="243">
          <cell r="A243" t="str">
            <v>Timor-Leste</v>
          </cell>
        </row>
        <row r="244">
          <cell r="A244" t="str">
            <v>Tonga</v>
          </cell>
        </row>
        <row r="245">
          <cell r="A245" t="str">
            <v>Tuvalu</v>
          </cell>
        </row>
        <row r="246">
          <cell r="A246" t="str">
            <v>U.S. Outlying Islands</v>
          </cell>
        </row>
        <row r="247">
          <cell r="A247" t="str">
            <v>Vatican City</v>
          </cell>
        </row>
        <row r="248">
          <cell r="A248" t="str">
            <v>St. Vincent &amp; Grenadines</v>
          </cell>
        </row>
        <row r="249">
          <cell r="A249" t="str">
            <v>British Virgin Islands</v>
          </cell>
        </row>
        <row r="250">
          <cell r="A250" t="str">
            <v>U.S. Virgin Islands</v>
          </cell>
        </row>
        <row r="251">
          <cell r="A251" t="str">
            <v>Vanuatu</v>
          </cell>
        </row>
        <row r="252">
          <cell r="A252" t="str">
            <v>Wallis &amp; Futuna</v>
          </cell>
        </row>
        <row r="253">
          <cell r="A253" t="str">
            <v>Samoa</v>
          </cell>
        </row>
      </sheetData>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33)"/>
    </sheetNames>
    <sheetDataSet>
      <sheetData sheetId="0" refreshError="1">
        <row r="1">
          <cell r="A1" t="str">
            <v>Category: All categories</v>
          </cell>
        </row>
        <row r="3">
          <cell r="A3" t="str">
            <v>Country</v>
          </cell>
          <cell r="B3" t="str">
            <v>Mutual exclusion: (2018)</v>
          </cell>
          <cell r="C3" t="str">
            <v>Lambda calculus: (2018)</v>
          </cell>
        </row>
        <row r="4">
          <cell r="A4" t="str">
            <v>China</v>
          </cell>
          <cell r="B4">
            <v>0.9</v>
          </cell>
          <cell r="C4">
            <v>0.1</v>
          </cell>
        </row>
        <row r="5">
          <cell r="A5" t="str">
            <v>Taiwan</v>
          </cell>
          <cell r="B5">
            <v>0.94</v>
          </cell>
          <cell r="C5">
            <v>0.06</v>
          </cell>
        </row>
        <row r="6">
          <cell r="A6" t="str">
            <v>St. Helena</v>
          </cell>
          <cell r="B6">
            <v>1</v>
          </cell>
        </row>
        <row r="7">
          <cell r="A7" t="str">
            <v>Israel</v>
          </cell>
          <cell r="B7">
            <v>0.89</v>
          </cell>
          <cell r="C7">
            <v>0.11</v>
          </cell>
        </row>
        <row r="8">
          <cell r="A8" t="str">
            <v>Japan</v>
          </cell>
          <cell r="B8">
            <v>0.91</v>
          </cell>
          <cell r="C8">
            <v>0.09</v>
          </cell>
        </row>
        <row r="9">
          <cell r="A9" t="str">
            <v>Belarus</v>
          </cell>
          <cell r="B9">
            <v>0.87</v>
          </cell>
          <cell r="C9">
            <v>0.13</v>
          </cell>
        </row>
        <row r="10">
          <cell r="A10" t="str">
            <v>Austria</v>
          </cell>
          <cell r="B10">
            <v>0.83</v>
          </cell>
          <cell r="C10">
            <v>0.17</v>
          </cell>
        </row>
        <row r="11">
          <cell r="A11" t="str">
            <v>Kenya</v>
          </cell>
          <cell r="B11">
            <v>1</v>
          </cell>
        </row>
        <row r="12">
          <cell r="A12" t="str">
            <v>Zimbabwe</v>
          </cell>
        </row>
        <row r="13">
          <cell r="A13" t="str">
            <v>Nepal</v>
          </cell>
          <cell r="B13">
            <v>1</v>
          </cell>
        </row>
        <row r="14">
          <cell r="A14" t="str">
            <v>Russia</v>
          </cell>
          <cell r="B14">
            <v>0.81</v>
          </cell>
          <cell r="C14">
            <v>0.19</v>
          </cell>
        </row>
        <row r="15">
          <cell r="A15" t="str">
            <v>Germany</v>
          </cell>
          <cell r="B15">
            <v>0.77</v>
          </cell>
          <cell r="C15">
            <v>0.23</v>
          </cell>
        </row>
        <row r="16">
          <cell r="A16" t="str">
            <v>Czechia</v>
          </cell>
          <cell r="B16">
            <v>0.68</v>
          </cell>
          <cell r="C16">
            <v>0.32</v>
          </cell>
        </row>
        <row r="17">
          <cell r="A17" t="str">
            <v>Finland</v>
          </cell>
          <cell r="B17">
            <v>0.78</v>
          </cell>
          <cell r="C17">
            <v>0.22</v>
          </cell>
        </row>
        <row r="18">
          <cell r="A18" t="str">
            <v>Iceland</v>
          </cell>
          <cell r="C18">
            <v>1</v>
          </cell>
        </row>
        <row r="19">
          <cell r="A19" t="str">
            <v>Sweden</v>
          </cell>
          <cell r="B19">
            <v>0.71</v>
          </cell>
          <cell r="C19">
            <v>0.28999999999999998</v>
          </cell>
        </row>
        <row r="20">
          <cell r="A20" t="str">
            <v>Lithuania</v>
          </cell>
          <cell r="B20">
            <v>1</v>
          </cell>
        </row>
        <row r="21">
          <cell r="A21" t="str">
            <v>Ukraine</v>
          </cell>
          <cell r="B21">
            <v>0.86</v>
          </cell>
          <cell r="C21">
            <v>0.14000000000000001</v>
          </cell>
        </row>
        <row r="22">
          <cell r="A22" t="str">
            <v>Norway</v>
          </cell>
          <cell r="B22">
            <v>0.78</v>
          </cell>
          <cell r="C22">
            <v>0.22</v>
          </cell>
        </row>
        <row r="23">
          <cell r="A23" t="str">
            <v>Poland</v>
          </cell>
          <cell r="B23">
            <v>0.68</v>
          </cell>
          <cell r="C23">
            <v>0.32</v>
          </cell>
        </row>
        <row r="24">
          <cell r="A24" t="str">
            <v>Costa Rica</v>
          </cell>
          <cell r="B24">
            <v>1</v>
          </cell>
        </row>
        <row r="25">
          <cell r="A25" t="str">
            <v>South Korea</v>
          </cell>
          <cell r="B25">
            <v>0.6</v>
          </cell>
          <cell r="C25">
            <v>0.4</v>
          </cell>
        </row>
        <row r="26">
          <cell r="A26" t="str">
            <v>Hungary</v>
          </cell>
          <cell r="B26">
            <v>0.85</v>
          </cell>
          <cell r="C26">
            <v>0.15</v>
          </cell>
        </row>
        <row r="27">
          <cell r="A27" t="str">
            <v>Laos</v>
          </cell>
        </row>
        <row r="28">
          <cell r="A28" t="str">
            <v>Portugal</v>
          </cell>
          <cell r="B28">
            <v>0.74</v>
          </cell>
          <cell r="C28">
            <v>0.26</v>
          </cell>
        </row>
        <row r="29">
          <cell r="A29" t="str">
            <v>Croatia</v>
          </cell>
          <cell r="B29">
            <v>1</v>
          </cell>
        </row>
        <row r="30">
          <cell r="A30" t="str">
            <v>Sri Lanka</v>
          </cell>
          <cell r="B30">
            <v>0.84</v>
          </cell>
          <cell r="C30">
            <v>0.16</v>
          </cell>
        </row>
        <row r="31">
          <cell r="A31" t="str">
            <v>Guatemala</v>
          </cell>
          <cell r="B31">
            <v>1</v>
          </cell>
        </row>
        <row r="32">
          <cell r="A32" t="str">
            <v>Algeria</v>
          </cell>
          <cell r="B32">
            <v>0.68</v>
          </cell>
          <cell r="C32">
            <v>0.32</v>
          </cell>
        </row>
        <row r="33">
          <cell r="A33" t="str">
            <v>India</v>
          </cell>
          <cell r="B33">
            <v>0.84</v>
          </cell>
          <cell r="C33">
            <v>0.16</v>
          </cell>
        </row>
        <row r="34">
          <cell r="A34" t="str">
            <v>Switzerland</v>
          </cell>
          <cell r="B34">
            <v>0.62</v>
          </cell>
          <cell r="C34">
            <v>0.38</v>
          </cell>
        </row>
        <row r="35">
          <cell r="A35" t="str">
            <v>Pakistan</v>
          </cell>
          <cell r="B35">
            <v>1</v>
          </cell>
        </row>
        <row r="36">
          <cell r="A36" t="str">
            <v>Singapore</v>
          </cell>
          <cell r="B36">
            <v>0.65</v>
          </cell>
          <cell r="C36">
            <v>0.35</v>
          </cell>
        </row>
        <row r="37">
          <cell r="A37" t="str">
            <v>Slovakia</v>
          </cell>
          <cell r="B37">
            <v>1</v>
          </cell>
        </row>
        <row r="38">
          <cell r="A38" t="str">
            <v>Ethiopia</v>
          </cell>
        </row>
        <row r="39">
          <cell r="A39" t="str">
            <v>Hong Kong</v>
          </cell>
          <cell r="B39">
            <v>0.89</v>
          </cell>
          <cell r="C39">
            <v>0.11</v>
          </cell>
        </row>
        <row r="40">
          <cell r="A40" t="str">
            <v>Italy</v>
          </cell>
          <cell r="B40">
            <v>0.7</v>
          </cell>
          <cell r="C40">
            <v>0.3</v>
          </cell>
        </row>
        <row r="41">
          <cell r="A41" t="str">
            <v>Denmark</v>
          </cell>
          <cell r="B41">
            <v>0.24</v>
          </cell>
          <cell r="C41">
            <v>0.76</v>
          </cell>
        </row>
        <row r="42">
          <cell r="A42" t="str">
            <v>Spain</v>
          </cell>
          <cell r="B42">
            <v>0.79</v>
          </cell>
          <cell r="C42">
            <v>0.21</v>
          </cell>
        </row>
        <row r="43">
          <cell r="A43" t="str">
            <v>Nigeria</v>
          </cell>
          <cell r="B43">
            <v>1</v>
          </cell>
        </row>
        <row r="44">
          <cell r="A44" t="str">
            <v>Tunisia</v>
          </cell>
        </row>
        <row r="45">
          <cell r="A45" t="str">
            <v>Ireland</v>
          </cell>
          <cell r="B45">
            <v>0.54</v>
          </cell>
          <cell r="C45">
            <v>0.46</v>
          </cell>
        </row>
        <row r="46">
          <cell r="A46" t="str">
            <v>Netherlands</v>
          </cell>
          <cell r="B46">
            <v>0.56000000000000005</v>
          </cell>
          <cell r="C46">
            <v>0.44</v>
          </cell>
        </row>
        <row r="47">
          <cell r="A47" t="str">
            <v>France</v>
          </cell>
          <cell r="B47">
            <v>0.45</v>
          </cell>
          <cell r="C47">
            <v>0.55000000000000004</v>
          </cell>
        </row>
        <row r="48">
          <cell r="A48" t="str">
            <v>Bulgaria</v>
          </cell>
          <cell r="B48">
            <v>1</v>
          </cell>
        </row>
        <row r="49">
          <cell r="A49" t="str">
            <v>Kazakhstan</v>
          </cell>
          <cell r="B49">
            <v>0.79</v>
          </cell>
          <cell r="C49">
            <v>0.21</v>
          </cell>
        </row>
        <row r="50">
          <cell r="A50" t="str">
            <v>Bolivia</v>
          </cell>
        </row>
        <row r="51">
          <cell r="A51" t="str">
            <v>Canada</v>
          </cell>
          <cell r="B51">
            <v>0.45</v>
          </cell>
          <cell r="C51">
            <v>0.55000000000000004</v>
          </cell>
        </row>
        <row r="52">
          <cell r="A52" t="str">
            <v>Serbia</v>
          </cell>
          <cell r="B52">
            <v>1</v>
          </cell>
        </row>
        <row r="53">
          <cell r="A53" t="str">
            <v>Argentina</v>
          </cell>
          <cell r="B53">
            <v>0.71</v>
          </cell>
          <cell r="C53">
            <v>0.28999999999999998</v>
          </cell>
        </row>
        <row r="54">
          <cell r="A54" t="str">
            <v>United Kingdom</v>
          </cell>
          <cell r="B54">
            <v>0.33</v>
          </cell>
          <cell r="C54">
            <v>0.67</v>
          </cell>
        </row>
        <row r="55">
          <cell r="A55" t="str">
            <v>Bangladesh</v>
          </cell>
          <cell r="B55">
            <v>1</v>
          </cell>
        </row>
        <row r="56">
          <cell r="A56" t="str">
            <v>Australia</v>
          </cell>
          <cell r="B56">
            <v>0.36</v>
          </cell>
          <cell r="C56">
            <v>0.64</v>
          </cell>
        </row>
        <row r="57">
          <cell r="A57" t="str">
            <v>Mexico</v>
          </cell>
          <cell r="B57">
            <v>0.75</v>
          </cell>
          <cell r="C57">
            <v>0.25</v>
          </cell>
        </row>
        <row r="58">
          <cell r="A58" t="str">
            <v>Belgium</v>
          </cell>
          <cell r="B58">
            <v>0.55000000000000004</v>
          </cell>
          <cell r="C58">
            <v>0.45</v>
          </cell>
        </row>
        <row r="59">
          <cell r="A59" t="str">
            <v>Romania</v>
          </cell>
          <cell r="B59">
            <v>0.3</v>
          </cell>
          <cell r="C59">
            <v>0.7</v>
          </cell>
        </row>
        <row r="60">
          <cell r="A60" t="str">
            <v>Brazil</v>
          </cell>
          <cell r="B60">
            <v>0.74</v>
          </cell>
          <cell r="C60">
            <v>0.26</v>
          </cell>
        </row>
        <row r="61">
          <cell r="A61" t="str">
            <v>Ecuador</v>
          </cell>
          <cell r="B61">
            <v>1</v>
          </cell>
        </row>
        <row r="62">
          <cell r="A62" t="str">
            <v>Peru</v>
          </cell>
          <cell r="B62">
            <v>0.79</v>
          </cell>
          <cell r="C62">
            <v>0.21</v>
          </cell>
        </row>
        <row r="63">
          <cell r="A63" t="str">
            <v>United States</v>
          </cell>
          <cell r="B63">
            <v>0.46</v>
          </cell>
          <cell r="C63">
            <v>0.54</v>
          </cell>
        </row>
        <row r="64">
          <cell r="A64" t="str">
            <v>Greece</v>
          </cell>
          <cell r="B64">
            <v>0.53</v>
          </cell>
          <cell r="C64">
            <v>0.47</v>
          </cell>
        </row>
        <row r="65">
          <cell r="A65" t="str">
            <v>Indonesia</v>
          </cell>
          <cell r="B65">
            <v>0.93</v>
          </cell>
          <cell r="C65">
            <v>7.0000000000000007E-2</v>
          </cell>
        </row>
        <row r="66">
          <cell r="A66" t="str">
            <v>Malaysia</v>
          </cell>
          <cell r="B66">
            <v>0.6</v>
          </cell>
          <cell r="C66">
            <v>0.4</v>
          </cell>
        </row>
        <row r="67">
          <cell r="A67" t="str">
            <v>Vietnam</v>
          </cell>
          <cell r="B67">
            <v>0.88</v>
          </cell>
          <cell r="C67">
            <v>0.12</v>
          </cell>
        </row>
        <row r="68">
          <cell r="A68" t="str">
            <v>South Africa</v>
          </cell>
          <cell r="B68">
            <v>0.63</v>
          </cell>
          <cell r="C68">
            <v>0.37</v>
          </cell>
        </row>
        <row r="69">
          <cell r="A69" t="str">
            <v>Chile</v>
          </cell>
          <cell r="B69">
            <v>0.53</v>
          </cell>
          <cell r="C69">
            <v>0.47</v>
          </cell>
        </row>
        <row r="70">
          <cell r="A70" t="str">
            <v>Philippines</v>
          </cell>
          <cell r="B70">
            <v>0.67</v>
          </cell>
          <cell r="C70">
            <v>0.33</v>
          </cell>
        </row>
        <row r="71">
          <cell r="A71" t="str">
            <v>Colombia</v>
          </cell>
          <cell r="B71">
            <v>0.44</v>
          </cell>
          <cell r="C71">
            <v>0.56000000000000005</v>
          </cell>
        </row>
        <row r="72">
          <cell r="A72" t="str">
            <v>Egypt</v>
          </cell>
        </row>
        <row r="73">
          <cell r="A73" t="str">
            <v>Thailand</v>
          </cell>
          <cell r="B73">
            <v>1</v>
          </cell>
        </row>
        <row r="74">
          <cell r="A74" t="str">
            <v>New Zealand</v>
          </cell>
        </row>
        <row r="75">
          <cell r="A75" t="str">
            <v>Venezuela</v>
          </cell>
        </row>
        <row r="76">
          <cell r="A76" t="str">
            <v>Iran</v>
          </cell>
          <cell r="B76">
            <v>1</v>
          </cell>
        </row>
        <row r="77">
          <cell r="A77" t="str">
            <v>Turkey</v>
          </cell>
          <cell r="B77">
            <v>0.69</v>
          </cell>
          <cell r="C77">
            <v>0.31</v>
          </cell>
        </row>
        <row r="78">
          <cell r="A78" t="str">
            <v>United Arab Emirates</v>
          </cell>
        </row>
        <row r="79">
          <cell r="A79" t="str">
            <v>San Marino</v>
          </cell>
        </row>
        <row r="80">
          <cell r="A80" t="str">
            <v>Rwanda</v>
          </cell>
        </row>
        <row r="81">
          <cell r="A81" t="str">
            <v>Fiji</v>
          </cell>
        </row>
        <row r="82">
          <cell r="A82" t="str">
            <v>Benin</v>
          </cell>
        </row>
        <row r="83">
          <cell r="A83" t="str">
            <v>Angola</v>
          </cell>
        </row>
        <row r="84">
          <cell r="A84" t="str">
            <v>Mali</v>
          </cell>
        </row>
        <row r="85">
          <cell r="A85" t="str">
            <v>Madagascar</v>
          </cell>
        </row>
        <row r="86">
          <cell r="A86" t="str">
            <v>CÃ´te dâ€™Ivoire</v>
          </cell>
        </row>
        <row r="87">
          <cell r="A87" t="str">
            <v>Congo - Kinshasa</v>
          </cell>
        </row>
        <row r="88">
          <cell r="A88" t="str">
            <v>Cameroon</v>
          </cell>
        </row>
        <row r="89">
          <cell r="A89" t="str">
            <v>Brunei</v>
          </cell>
        </row>
        <row r="90">
          <cell r="A90" t="str">
            <v>Estonia</v>
          </cell>
        </row>
        <row r="91">
          <cell r="A91" t="str">
            <v>Zambia</v>
          </cell>
        </row>
        <row r="92">
          <cell r="A92" t="str">
            <v>Armenia</v>
          </cell>
        </row>
        <row r="93">
          <cell r="A93" t="str">
            <v>Trinidad &amp; Tobago</v>
          </cell>
        </row>
        <row r="94">
          <cell r="A94" t="str">
            <v>Mongolia</v>
          </cell>
        </row>
        <row r="95">
          <cell r="A95" t="str">
            <v>Mozambique</v>
          </cell>
        </row>
        <row r="96">
          <cell r="A96" t="str">
            <v>Senegal</v>
          </cell>
        </row>
        <row r="97">
          <cell r="A97" t="str">
            <v>Mauritius</v>
          </cell>
        </row>
        <row r="98">
          <cell r="A98" t="str">
            <v>Albania</v>
          </cell>
        </row>
        <row r="99">
          <cell r="A99" t="str">
            <v>Lebanon</v>
          </cell>
        </row>
        <row r="100">
          <cell r="A100" t="str">
            <v>Slovenia</v>
          </cell>
        </row>
        <row r="101">
          <cell r="A101" t="str">
            <v>Tanzania</v>
          </cell>
        </row>
        <row r="102">
          <cell r="A102" t="str">
            <v>Latvia</v>
          </cell>
        </row>
        <row r="103">
          <cell r="A103" t="str">
            <v>Bahrain</v>
          </cell>
        </row>
        <row r="104">
          <cell r="A104" t="str">
            <v>Libya</v>
          </cell>
        </row>
        <row r="105">
          <cell r="A105" t="str">
            <v>Syria</v>
          </cell>
        </row>
        <row r="106">
          <cell r="A106" t="str">
            <v>Nicaragua</v>
          </cell>
        </row>
        <row r="107">
          <cell r="A107" t="str">
            <v>North Macedonia</v>
          </cell>
        </row>
        <row r="108">
          <cell r="A108" t="str">
            <v>Myanmar (Burma)</v>
          </cell>
        </row>
        <row r="109">
          <cell r="A109" t="str">
            <v>Moldova</v>
          </cell>
        </row>
        <row r="110">
          <cell r="A110" t="str">
            <v>Bosnia &amp; Herzegovina</v>
          </cell>
        </row>
        <row r="111">
          <cell r="A111" t="str">
            <v>Azerbaijan</v>
          </cell>
        </row>
        <row r="112">
          <cell r="A112" t="str">
            <v>Dominican Republic</v>
          </cell>
        </row>
        <row r="113">
          <cell r="A113" t="str">
            <v>Sudan</v>
          </cell>
        </row>
        <row r="114">
          <cell r="A114" t="str">
            <v>Oman</v>
          </cell>
        </row>
        <row r="115">
          <cell r="A115" t="str">
            <v>Cyprus</v>
          </cell>
        </row>
        <row r="116">
          <cell r="A116" t="str">
            <v>Uruguay</v>
          </cell>
        </row>
        <row r="117">
          <cell r="A117" t="str">
            <v>Honduras</v>
          </cell>
        </row>
        <row r="118">
          <cell r="A118" t="str">
            <v>Kyrgyzstan</v>
          </cell>
        </row>
        <row r="119">
          <cell r="A119" t="str">
            <v>El Salvador</v>
          </cell>
        </row>
        <row r="120">
          <cell r="A120" t="str">
            <v>Qatar</v>
          </cell>
        </row>
        <row r="121">
          <cell r="A121" t="str">
            <v>Paraguay</v>
          </cell>
        </row>
        <row r="122">
          <cell r="A122" t="str">
            <v>Morocco</v>
          </cell>
        </row>
        <row r="123">
          <cell r="A123" t="str">
            <v>Saudi Arabia</v>
          </cell>
        </row>
        <row r="124">
          <cell r="A124" t="str">
            <v>Aruba</v>
          </cell>
        </row>
        <row r="125">
          <cell r="A125" t="str">
            <v>Afghanistan</v>
          </cell>
        </row>
        <row r="126">
          <cell r="A126" t="str">
            <v>Anguilla</v>
          </cell>
        </row>
        <row r="127">
          <cell r="A127" t="str">
            <v>Ã…land Islands</v>
          </cell>
        </row>
        <row r="128">
          <cell r="A128" t="str">
            <v>Andorra</v>
          </cell>
        </row>
        <row r="129">
          <cell r="A129" t="str">
            <v>American Samoa</v>
          </cell>
        </row>
        <row r="130">
          <cell r="A130" t="str">
            <v>Antarctica</v>
          </cell>
        </row>
        <row r="131">
          <cell r="A131" t="str">
            <v>French Southern Territories</v>
          </cell>
        </row>
        <row r="132">
          <cell r="A132" t="str">
            <v>Antigua &amp; Barbuda</v>
          </cell>
        </row>
        <row r="133">
          <cell r="A133" t="str">
            <v>Burundi</v>
          </cell>
        </row>
        <row r="134">
          <cell r="A134" t="str">
            <v>Caribbean Netherlands</v>
          </cell>
        </row>
        <row r="135">
          <cell r="A135" t="str">
            <v>Burkina Faso</v>
          </cell>
        </row>
        <row r="136">
          <cell r="A136" t="str">
            <v>Bahamas</v>
          </cell>
        </row>
        <row r="137">
          <cell r="A137" t="str">
            <v>St. BarthÃ©lemy</v>
          </cell>
        </row>
        <row r="138">
          <cell r="A138" t="str">
            <v>Belize</v>
          </cell>
        </row>
        <row r="139">
          <cell r="A139" t="str">
            <v>Bermuda</v>
          </cell>
        </row>
        <row r="140">
          <cell r="A140" t="str">
            <v>Barbados</v>
          </cell>
        </row>
        <row r="141">
          <cell r="A141" t="str">
            <v>Bhutan</v>
          </cell>
        </row>
        <row r="142">
          <cell r="A142" t="str">
            <v>Bouvet Island</v>
          </cell>
        </row>
        <row r="143">
          <cell r="A143" t="str">
            <v>Botswana</v>
          </cell>
        </row>
        <row r="144">
          <cell r="A144" t="str">
            <v>Central African Republic</v>
          </cell>
        </row>
        <row r="145">
          <cell r="A145" t="str">
            <v>Cocos (Keeling) Islands</v>
          </cell>
        </row>
        <row r="146">
          <cell r="A146" t="str">
            <v>Congo - Brazzaville</v>
          </cell>
        </row>
        <row r="147">
          <cell r="A147" t="str">
            <v>Cook Islands</v>
          </cell>
        </row>
        <row r="148">
          <cell r="A148" t="str">
            <v>Comoros</v>
          </cell>
        </row>
        <row r="149">
          <cell r="A149" t="str">
            <v>Cape Verde</v>
          </cell>
        </row>
        <row r="150">
          <cell r="A150" t="str">
            <v>Cuba</v>
          </cell>
        </row>
        <row r="151">
          <cell r="A151" t="str">
            <v>CuraÃ§ao</v>
          </cell>
        </row>
        <row r="152">
          <cell r="A152" t="str">
            <v>Christmas Island</v>
          </cell>
        </row>
        <row r="153">
          <cell r="A153" t="str">
            <v>Cayman Islands</v>
          </cell>
        </row>
        <row r="154">
          <cell r="A154" t="str">
            <v>Djibouti</v>
          </cell>
        </row>
        <row r="155">
          <cell r="A155" t="str">
            <v>Dominica</v>
          </cell>
        </row>
        <row r="156">
          <cell r="A156" t="str">
            <v>Eritrea</v>
          </cell>
        </row>
        <row r="157">
          <cell r="A157" t="str">
            <v>Western Sahara</v>
          </cell>
        </row>
        <row r="158">
          <cell r="A158" t="str">
            <v>Falkland Islands (Islas Malvinas)</v>
          </cell>
        </row>
        <row r="159">
          <cell r="A159" t="str">
            <v>Faroe Islands</v>
          </cell>
        </row>
        <row r="160">
          <cell r="A160" t="str">
            <v>Micronesia</v>
          </cell>
        </row>
        <row r="161">
          <cell r="A161" t="str">
            <v>Gabon</v>
          </cell>
        </row>
        <row r="162">
          <cell r="A162" t="str">
            <v>Georgia</v>
          </cell>
        </row>
        <row r="163">
          <cell r="A163" t="str">
            <v>Guernsey</v>
          </cell>
        </row>
        <row r="164">
          <cell r="A164" t="str">
            <v>Ghana</v>
          </cell>
        </row>
        <row r="165">
          <cell r="A165" t="str">
            <v>Gibraltar</v>
          </cell>
        </row>
        <row r="166">
          <cell r="A166" t="str">
            <v>Guinea</v>
          </cell>
        </row>
        <row r="167">
          <cell r="A167" t="str">
            <v>Guadeloupe</v>
          </cell>
        </row>
        <row r="168">
          <cell r="A168" t="str">
            <v>Gambia</v>
          </cell>
        </row>
        <row r="169">
          <cell r="A169" t="str">
            <v>Guinea-Bissau</v>
          </cell>
        </row>
        <row r="170">
          <cell r="A170" t="str">
            <v>Equatorial Guinea</v>
          </cell>
        </row>
        <row r="171">
          <cell r="A171" t="str">
            <v>Grenada</v>
          </cell>
        </row>
        <row r="172">
          <cell r="A172" t="str">
            <v>Greenland</v>
          </cell>
        </row>
        <row r="173">
          <cell r="A173" t="str">
            <v>French Guiana</v>
          </cell>
        </row>
        <row r="174">
          <cell r="A174" t="str">
            <v>Guam</v>
          </cell>
        </row>
        <row r="175">
          <cell r="A175" t="str">
            <v>Guyana</v>
          </cell>
        </row>
        <row r="176">
          <cell r="A176" t="str">
            <v>Heard &amp; McDonald Islands</v>
          </cell>
        </row>
        <row r="177">
          <cell r="A177" t="str">
            <v>Haiti</v>
          </cell>
        </row>
        <row r="178">
          <cell r="A178" t="str">
            <v>Isle of Man</v>
          </cell>
        </row>
        <row r="179">
          <cell r="A179" t="str">
            <v>British Indian Ocean Territory</v>
          </cell>
        </row>
        <row r="180">
          <cell r="A180" t="str">
            <v>Iraq</v>
          </cell>
        </row>
        <row r="181">
          <cell r="A181" t="str">
            <v>Jamaica</v>
          </cell>
        </row>
        <row r="182">
          <cell r="A182" t="str">
            <v>Jersey</v>
          </cell>
        </row>
        <row r="183">
          <cell r="A183" t="str">
            <v>Jordan</v>
          </cell>
        </row>
        <row r="184">
          <cell r="A184" t="str">
            <v>Cambodia</v>
          </cell>
        </row>
        <row r="185">
          <cell r="A185" t="str">
            <v>Kiribati</v>
          </cell>
        </row>
        <row r="186">
          <cell r="A186" t="str">
            <v>St. Kitts &amp; Nevis</v>
          </cell>
        </row>
        <row r="187">
          <cell r="A187" t="str">
            <v>Kuwait</v>
          </cell>
        </row>
        <row r="188">
          <cell r="A188" t="str">
            <v>Liberia</v>
          </cell>
        </row>
        <row r="189">
          <cell r="A189" t="str">
            <v>St. Lucia</v>
          </cell>
        </row>
        <row r="190">
          <cell r="A190" t="str">
            <v>Liechtenstein</v>
          </cell>
        </row>
        <row r="191">
          <cell r="A191" t="str">
            <v>Lesotho</v>
          </cell>
        </row>
        <row r="192">
          <cell r="A192" t="str">
            <v>Luxembourg</v>
          </cell>
        </row>
        <row r="193">
          <cell r="A193" t="str">
            <v>Macao</v>
          </cell>
        </row>
        <row r="194">
          <cell r="A194" t="str">
            <v>St. Martin</v>
          </cell>
        </row>
        <row r="195">
          <cell r="A195" t="str">
            <v>Monaco</v>
          </cell>
        </row>
        <row r="196">
          <cell r="A196" t="str">
            <v>Maldives</v>
          </cell>
        </row>
        <row r="197">
          <cell r="A197" t="str">
            <v>Marshall Islands</v>
          </cell>
        </row>
        <row r="198">
          <cell r="A198" t="str">
            <v>Malta</v>
          </cell>
        </row>
        <row r="199">
          <cell r="A199" t="str">
            <v>Montenegro</v>
          </cell>
        </row>
        <row r="200">
          <cell r="A200" t="str">
            <v>Northern Mariana Islands</v>
          </cell>
        </row>
        <row r="201">
          <cell r="A201" t="str">
            <v>Mauritania</v>
          </cell>
        </row>
        <row r="202">
          <cell r="A202" t="str">
            <v>Montserrat</v>
          </cell>
        </row>
        <row r="203">
          <cell r="A203" t="str">
            <v>Martinique</v>
          </cell>
        </row>
        <row r="204">
          <cell r="A204" t="str">
            <v>Malawi</v>
          </cell>
        </row>
        <row r="205">
          <cell r="A205" t="str">
            <v>Mayotte</v>
          </cell>
        </row>
        <row r="206">
          <cell r="A206" t="str">
            <v>Namibia</v>
          </cell>
        </row>
        <row r="207">
          <cell r="A207" t="str">
            <v>New Caledonia</v>
          </cell>
        </row>
        <row r="208">
          <cell r="A208" t="str">
            <v>Niger</v>
          </cell>
        </row>
        <row r="209">
          <cell r="A209" t="str">
            <v>Norfolk Island</v>
          </cell>
        </row>
        <row r="210">
          <cell r="A210" t="str">
            <v>Niue</v>
          </cell>
        </row>
        <row r="211">
          <cell r="A211" t="str">
            <v>Nauru</v>
          </cell>
        </row>
        <row r="212">
          <cell r="A212" t="str">
            <v>Panama</v>
          </cell>
        </row>
        <row r="213">
          <cell r="A213" t="str">
            <v>Pitcairn Islands</v>
          </cell>
        </row>
        <row r="214">
          <cell r="A214" t="str">
            <v>Palau</v>
          </cell>
        </row>
        <row r="215">
          <cell r="A215" t="str">
            <v>Papua New Guinea</v>
          </cell>
        </row>
        <row r="216">
          <cell r="A216" t="str">
            <v>Puerto Rico</v>
          </cell>
        </row>
        <row r="217">
          <cell r="A217" t="str">
            <v>North Korea</v>
          </cell>
        </row>
        <row r="218">
          <cell r="A218" t="str">
            <v>Palestine</v>
          </cell>
        </row>
        <row r="219">
          <cell r="A219" t="str">
            <v>French Polynesia</v>
          </cell>
        </row>
        <row r="220">
          <cell r="A220" t="str">
            <v>RÃ©union</v>
          </cell>
        </row>
        <row r="221">
          <cell r="A221" t="str">
            <v>South Georgia &amp; South Sandwich Islands</v>
          </cell>
        </row>
        <row r="222">
          <cell r="A222" t="str">
            <v>Svalbard &amp; Jan Mayen</v>
          </cell>
        </row>
        <row r="223">
          <cell r="A223" t="str">
            <v>Solomon Islands</v>
          </cell>
        </row>
        <row r="224">
          <cell r="A224" t="str">
            <v>Sierra Leone</v>
          </cell>
        </row>
        <row r="225">
          <cell r="A225" t="str">
            <v>Somalia</v>
          </cell>
        </row>
        <row r="226">
          <cell r="A226" t="str">
            <v>St. Pierre &amp; Miquelon</v>
          </cell>
        </row>
        <row r="227">
          <cell r="A227" t="str">
            <v>South Sudan</v>
          </cell>
        </row>
        <row r="228">
          <cell r="A228" t="str">
            <v>SÃ£o TomÃ© &amp; PrÃ­ncipe</v>
          </cell>
        </row>
        <row r="229">
          <cell r="A229" t="str">
            <v>Suriname</v>
          </cell>
        </row>
        <row r="230">
          <cell r="A230" t="str">
            <v>Eswatini</v>
          </cell>
        </row>
        <row r="231">
          <cell r="A231" t="str">
            <v>Sint Maarten</v>
          </cell>
        </row>
        <row r="232">
          <cell r="A232" t="str">
            <v>Seychelles</v>
          </cell>
        </row>
        <row r="233">
          <cell r="A233" t="str">
            <v>Turks &amp; Caicos Islands</v>
          </cell>
        </row>
        <row r="234">
          <cell r="A234" t="str">
            <v>Chad</v>
          </cell>
        </row>
        <row r="235">
          <cell r="A235" t="str">
            <v>Togo</v>
          </cell>
        </row>
        <row r="236">
          <cell r="A236" t="str">
            <v>Tajikistan</v>
          </cell>
        </row>
        <row r="237">
          <cell r="A237" t="str">
            <v>Tokelau</v>
          </cell>
        </row>
        <row r="238">
          <cell r="A238" t="str">
            <v>Turkmenistan</v>
          </cell>
        </row>
        <row r="239">
          <cell r="A239" t="str">
            <v>Timor-Leste</v>
          </cell>
        </row>
        <row r="240">
          <cell r="A240" t="str">
            <v>Tonga</v>
          </cell>
        </row>
        <row r="241">
          <cell r="A241" t="str">
            <v>Tuvalu</v>
          </cell>
        </row>
        <row r="242">
          <cell r="A242" t="str">
            <v>Uganda</v>
          </cell>
        </row>
        <row r="243">
          <cell r="A243" t="str">
            <v>U.S. Outlying Islands</v>
          </cell>
        </row>
        <row r="244">
          <cell r="A244" t="str">
            <v>Uzbekistan</v>
          </cell>
        </row>
        <row r="245">
          <cell r="A245" t="str">
            <v>Vatican City</v>
          </cell>
        </row>
        <row r="246">
          <cell r="A246" t="str">
            <v>St. Vincent &amp; Grenadines</v>
          </cell>
        </row>
        <row r="247">
          <cell r="A247" t="str">
            <v>British Virgin Islands</v>
          </cell>
        </row>
        <row r="248">
          <cell r="A248" t="str">
            <v>U.S. Virgin Islands</v>
          </cell>
        </row>
        <row r="249">
          <cell r="A249" t="str">
            <v>Vanuatu</v>
          </cell>
        </row>
        <row r="250">
          <cell r="A250" t="str">
            <v>Wallis &amp; Futuna</v>
          </cell>
        </row>
        <row r="251">
          <cell r="A251" t="str">
            <v>Samoa</v>
          </cell>
        </row>
        <row r="252">
          <cell r="A252" t="str">
            <v>Kosovo</v>
          </cell>
        </row>
        <row r="253">
          <cell r="A253" t="str">
            <v>Yemen</v>
          </cell>
        </row>
      </sheetData>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35)"/>
    </sheetNames>
    <sheetDataSet>
      <sheetData sheetId="0" refreshError="1">
        <row r="1">
          <cell r="A1" t="str">
            <v>Category: All categories</v>
          </cell>
        </row>
        <row r="3">
          <cell r="A3" t="str">
            <v>Country</v>
          </cell>
          <cell r="B3" t="str">
            <v>Mutual exclusion: (2018)</v>
          </cell>
          <cell r="C3" t="str">
            <v>TCP congestion control: (2018)</v>
          </cell>
        </row>
        <row r="4">
          <cell r="A4" t="str">
            <v>China</v>
          </cell>
          <cell r="B4">
            <v>0.8</v>
          </cell>
          <cell r="C4">
            <v>0.2</v>
          </cell>
        </row>
        <row r="5">
          <cell r="A5" t="str">
            <v>Taiwan</v>
          </cell>
          <cell r="B5">
            <v>0.91</v>
          </cell>
          <cell r="C5">
            <v>0.09</v>
          </cell>
        </row>
        <row r="6">
          <cell r="A6" t="str">
            <v>Japan</v>
          </cell>
          <cell r="B6">
            <v>0.99</v>
          </cell>
          <cell r="C6">
            <v>0.01</v>
          </cell>
        </row>
        <row r="7">
          <cell r="A7" t="str">
            <v>Israel</v>
          </cell>
          <cell r="B7">
            <v>0.93</v>
          </cell>
          <cell r="C7">
            <v>7.0000000000000007E-2</v>
          </cell>
        </row>
        <row r="8">
          <cell r="A8" t="str">
            <v>Kenya</v>
          </cell>
          <cell r="B8">
            <v>1</v>
          </cell>
        </row>
        <row r="9">
          <cell r="A9" t="str">
            <v>St. Helena</v>
          </cell>
          <cell r="B9">
            <v>1</v>
          </cell>
        </row>
        <row r="10">
          <cell r="A10" t="str">
            <v>Belarus</v>
          </cell>
          <cell r="B10">
            <v>1</v>
          </cell>
        </row>
        <row r="11">
          <cell r="A11" t="str">
            <v>Czechia</v>
          </cell>
          <cell r="B11">
            <v>1</v>
          </cell>
        </row>
        <row r="12">
          <cell r="A12" t="str">
            <v>Nepal</v>
          </cell>
          <cell r="B12">
            <v>0.5</v>
          </cell>
          <cell r="C12">
            <v>0.5</v>
          </cell>
        </row>
        <row r="13">
          <cell r="A13" t="str">
            <v>Russia</v>
          </cell>
          <cell r="B13">
            <v>0.94</v>
          </cell>
          <cell r="C13">
            <v>0.06</v>
          </cell>
        </row>
        <row r="14">
          <cell r="A14" t="str">
            <v>Austria</v>
          </cell>
          <cell r="B14">
            <v>0.93</v>
          </cell>
          <cell r="C14">
            <v>7.0000000000000007E-2</v>
          </cell>
        </row>
        <row r="15">
          <cell r="A15" t="str">
            <v>Germany</v>
          </cell>
          <cell r="B15">
            <v>0.91</v>
          </cell>
          <cell r="C15">
            <v>0.09</v>
          </cell>
        </row>
        <row r="16">
          <cell r="A16" t="str">
            <v>Norway</v>
          </cell>
          <cell r="B16">
            <v>0.84</v>
          </cell>
          <cell r="C16">
            <v>0.16</v>
          </cell>
        </row>
        <row r="17">
          <cell r="A17" t="str">
            <v>India</v>
          </cell>
          <cell r="B17">
            <v>0.43</v>
          </cell>
          <cell r="C17">
            <v>0.56999999999999995</v>
          </cell>
        </row>
        <row r="18">
          <cell r="A18" t="str">
            <v>Ethiopia</v>
          </cell>
        </row>
        <row r="19">
          <cell r="A19" t="str">
            <v>Finland</v>
          </cell>
          <cell r="B19">
            <v>0.85</v>
          </cell>
          <cell r="C19">
            <v>0.15</v>
          </cell>
        </row>
        <row r="20">
          <cell r="A20" t="str">
            <v>Ukraine</v>
          </cell>
          <cell r="B20">
            <v>1</v>
          </cell>
        </row>
        <row r="21">
          <cell r="A21" t="str">
            <v>Portugal</v>
          </cell>
          <cell r="B21">
            <v>0.9</v>
          </cell>
          <cell r="C21">
            <v>0.1</v>
          </cell>
        </row>
        <row r="22">
          <cell r="A22" t="str">
            <v>Algeria</v>
          </cell>
          <cell r="B22">
            <v>1</v>
          </cell>
        </row>
        <row r="23">
          <cell r="A23" t="str">
            <v>Pakistan</v>
          </cell>
          <cell r="B23">
            <v>0.43</v>
          </cell>
          <cell r="C23">
            <v>0.56999999999999995</v>
          </cell>
        </row>
        <row r="24">
          <cell r="A24" t="str">
            <v>Hungary</v>
          </cell>
          <cell r="B24">
            <v>1</v>
          </cell>
        </row>
        <row r="25">
          <cell r="A25" t="str">
            <v>Laos</v>
          </cell>
        </row>
        <row r="26">
          <cell r="A26" t="str">
            <v>Poland</v>
          </cell>
          <cell r="B26">
            <v>0.96</v>
          </cell>
          <cell r="C26">
            <v>0.04</v>
          </cell>
        </row>
        <row r="27">
          <cell r="A27" t="str">
            <v>Sri Lanka</v>
          </cell>
          <cell r="B27">
            <v>0.47</v>
          </cell>
          <cell r="C27">
            <v>0.53</v>
          </cell>
        </row>
        <row r="28">
          <cell r="A28" t="str">
            <v>South Korea</v>
          </cell>
          <cell r="B28">
            <v>0.52</v>
          </cell>
          <cell r="C28">
            <v>0.48</v>
          </cell>
        </row>
        <row r="29">
          <cell r="A29" t="str">
            <v>Sweden</v>
          </cell>
          <cell r="B29">
            <v>0.79</v>
          </cell>
          <cell r="C29">
            <v>0.21</v>
          </cell>
        </row>
        <row r="30">
          <cell r="A30" t="str">
            <v>Costa Rica</v>
          </cell>
          <cell r="B30">
            <v>1</v>
          </cell>
        </row>
        <row r="31">
          <cell r="A31" t="str">
            <v>Bangladesh</v>
          </cell>
          <cell r="B31">
            <v>0.28000000000000003</v>
          </cell>
          <cell r="C31">
            <v>0.72</v>
          </cell>
        </row>
        <row r="32">
          <cell r="A32" t="str">
            <v>Switzerland</v>
          </cell>
          <cell r="B32">
            <v>0.78</v>
          </cell>
          <cell r="C32">
            <v>0.22</v>
          </cell>
        </row>
        <row r="33">
          <cell r="A33" t="str">
            <v>Hong Kong</v>
          </cell>
          <cell r="B33">
            <v>0.6</v>
          </cell>
          <cell r="C33">
            <v>0.4</v>
          </cell>
        </row>
        <row r="34">
          <cell r="A34" t="str">
            <v>Singapore</v>
          </cell>
          <cell r="B34">
            <v>0.57999999999999996</v>
          </cell>
          <cell r="C34">
            <v>0.42</v>
          </cell>
        </row>
        <row r="35">
          <cell r="A35" t="str">
            <v>Netherlands</v>
          </cell>
          <cell r="B35">
            <v>0.89</v>
          </cell>
          <cell r="C35">
            <v>0.11</v>
          </cell>
        </row>
        <row r="36">
          <cell r="A36" t="str">
            <v>Serbia</v>
          </cell>
          <cell r="B36">
            <v>1</v>
          </cell>
        </row>
        <row r="37">
          <cell r="A37" t="str">
            <v>Italy</v>
          </cell>
          <cell r="B37">
            <v>0.9</v>
          </cell>
          <cell r="C37">
            <v>0.1</v>
          </cell>
        </row>
        <row r="38">
          <cell r="A38" t="str">
            <v>Bulgaria</v>
          </cell>
          <cell r="B38">
            <v>1</v>
          </cell>
        </row>
        <row r="39">
          <cell r="A39" t="str">
            <v>Guatemala</v>
          </cell>
          <cell r="B39">
            <v>1</v>
          </cell>
        </row>
        <row r="40">
          <cell r="A40" t="str">
            <v>Lithuania</v>
          </cell>
          <cell r="B40">
            <v>1</v>
          </cell>
        </row>
        <row r="41">
          <cell r="A41" t="str">
            <v>Croatia</v>
          </cell>
          <cell r="B41">
            <v>1</v>
          </cell>
        </row>
        <row r="42">
          <cell r="A42" t="str">
            <v>Spain</v>
          </cell>
          <cell r="B42">
            <v>0.94</v>
          </cell>
          <cell r="C42">
            <v>0.06</v>
          </cell>
        </row>
        <row r="43">
          <cell r="A43" t="str">
            <v>Ireland</v>
          </cell>
          <cell r="B43">
            <v>0.77</v>
          </cell>
          <cell r="C43">
            <v>0.23</v>
          </cell>
        </row>
        <row r="44">
          <cell r="A44" t="str">
            <v>Slovakia</v>
          </cell>
          <cell r="B44">
            <v>1</v>
          </cell>
        </row>
        <row r="45">
          <cell r="A45" t="str">
            <v>Tunisia</v>
          </cell>
        </row>
        <row r="46">
          <cell r="A46" t="str">
            <v>France</v>
          </cell>
          <cell r="B46">
            <v>0.95</v>
          </cell>
          <cell r="C46">
            <v>0.05</v>
          </cell>
        </row>
        <row r="47">
          <cell r="A47" t="str">
            <v>Greece</v>
          </cell>
          <cell r="B47">
            <v>0.69</v>
          </cell>
          <cell r="C47">
            <v>0.31</v>
          </cell>
        </row>
        <row r="48">
          <cell r="A48" t="str">
            <v>Mexico</v>
          </cell>
          <cell r="B48">
            <v>1</v>
          </cell>
        </row>
        <row r="49">
          <cell r="A49" t="str">
            <v>Romania</v>
          </cell>
          <cell r="B49">
            <v>1</v>
          </cell>
        </row>
        <row r="50">
          <cell r="A50" t="str">
            <v>Uruguay</v>
          </cell>
        </row>
        <row r="51">
          <cell r="A51" t="str">
            <v>Bolivia</v>
          </cell>
        </row>
        <row r="52">
          <cell r="A52" t="str">
            <v>Belgium</v>
          </cell>
          <cell r="B52">
            <v>0.79</v>
          </cell>
          <cell r="C52">
            <v>0.21</v>
          </cell>
        </row>
        <row r="53">
          <cell r="A53" t="str">
            <v>Argentina</v>
          </cell>
          <cell r="B53">
            <v>1</v>
          </cell>
        </row>
        <row r="54">
          <cell r="A54" t="str">
            <v>Canada</v>
          </cell>
          <cell r="B54">
            <v>0.59</v>
          </cell>
          <cell r="C54">
            <v>0.41</v>
          </cell>
        </row>
        <row r="55">
          <cell r="A55" t="str">
            <v>Vietnam</v>
          </cell>
          <cell r="B55">
            <v>0.81</v>
          </cell>
          <cell r="C55">
            <v>0.19</v>
          </cell>
        </row>
        <row r="56">
          <cell r="A56" t="str">
            <v>Brazil</v>
          </cell>
          <cell r="B56">
            <v>0.9</v>
          </cell>
          <cell r="C56">
            <v>0.1</v>
          </cell>
        </row>
        <row r="57">
          <cell r="A57" t="str">
            <v>United States</v>
          </cell>
          <cell r="B57">
            <v>0.61</v>
          </cell>
          <cell r="C57">
            <v>0.39</v>
          </cell>
        </row>
        <row r="58">
          <cell r="A58" t="str">
            <v>Kazakhstan</v>
          </cell>
          <cell r="B58">
            <v>1</v>
          </cell>
        </row>
        <row r="59">
          <cell r="A59" t="str">
            <v>New Zealand</v>
          </cell>
        </row>
        <row r="60">
          <cell r="A60" t="str">
            <v>Indonesia</v>
          </cell>
          <cell r="B60">
            <v>0.63</v>
          </cell>
          <cell r="C60">
            <v>0.37</v>
          </cell>
        </row>
        <row r="61">
          <cell r="A61" t="str">
            <v>Morocco</v>
          </cell>
        </row>
        <row r="62">
          <cell r="A62" t="str">
            <v>Ecuador</v>
          </cell>
          <cell r="B62">
            <v>1</v>
          </cell>
        </row>
        <row r="63">
          <cell r="A63" t="str">
            <v>Australia</v>
          </cell>
          <cell r="B63">
            <v>0.56999999999999995</v>
          </cell>
          <cell r="C63">
            <v>0.43</v>
          </cell>
        </row>
        <row r="64">
          <cell r="A64" t="str">
            <v>South Africa</v>
          </cell>
          <cell r="B64">
            <v>1</v>
          </cell>
        </row>
        <row r="65">
          <cell r="A65" t="str">
            <v>Philippines</v>
          </cell>
          <cell r="B65">
            <v>0.56999999999999995</v>
          </cell>
          <cell r="C65">
            <v>0.43</v>
          </cell>
        </row>
        <row r="66">
          <cell r="A66" t="str">
            <v>Denmark</v>
          </cell>
          <cell r="B66">
            <v>0.67</v>
          </cell>
          <cell r="C66">
            <v>0.33</v>
          </cell>
        </row>
        <row r="67">
          <cell r="A67" t="str">
            <v>Malaysia</v>
          </cell>
          <cell r="B67">
            <v>0.55000000000000004</v>
          </cell>
          <cell r="C67">
            <v>0.45</v>
          </cell>
        </row>
        <row r="68">
          <cell r="A68" t="str">
            <v>United Kingdom</v>
          </cell>
          <cell r="B68">
            <v>0.65</v>
          </cell>
          <cell r="C68">
            <v>0.35</v>
          </cell>
        </row>
        <row r="69">
          <cell r="A69" t="str">
            <v>Peru</v>
          </cell>
          <cell r="B69">
            <v>1</v>
          </cell>
        </row>
        <row r="70">
          <cell r="A70" t="str">
            <v>Chile</v>
          </cell>
          <cell r="B70">
            <v>1</v>
          </cell>
        </row>
        <row r="71">
          <cell r="A71" t="str">
            <v>Colombia</v>
          </cell>
          <cell r="B71">
            <v>1</v>
          </cell>
        </row>
        <row r="72">
          <cell r="A72" t="str">
            <v>Egypt</v>
          </cell>
        </row>
        <row r="73">
          <cell r="A73" t="str">
            <v>Thailand</v>
          </cell>
          <cell r="B73">
            <v>0.62</v>
          </cell>
          <cell r="C73">
            <v>0.38</v>
          </cell>
        </row>
        <row r="74">
          <cell r="A74" t="str">
            <v>Venezuela</v>
          </cell>
        </row>
        <row r="75">
          <cell r="A75" t="str">
            <v>Saudi Arabia</v>
          </cell>
        </row>
        <row r="76">
          <cell r="A76" t="str">
            <v>Turkey</v>
          </cell>
          <cell r="B76">
            <v>0.62</v>
          </cell>
          <cell r="C76">
            <v>0.38</v>
          </cell>
        </row>
        <row r="77">
          <cell r="A77" t="str">
            <v>Macao</v>
          </cell>
        </row>
        <row r="78">
          <cell r="A78" t="str">
            <v>Guyana</v>
          </cell>
        </row>
        <row r="79">
          <cell r="A79" t="str">
            <v>Benin</v>
          </cell>
        </row>
        <row r="80">
          <cell r="A80" t="str">
            <v>Rwanda</v>
          </cell>
        </row>
        <row r="81">
          <cell r="A81" t="str">
            <v>Namibia</v>
          </cell>
        </row>
        <row r="82">
          <cell r="A82" t="str">
            <v>Mali</v>
          </cell>
        </row>
        <row r="83">
          <cell r="A83" t="str">
            <v>Burkina Faso</v>
          </cell>
        </row>
        <row r="84">
          <cell r="A84" t="str">
            <v>CÃ´te dâ€™Ivoire</v>
          </cell>
        </row>
        <row r="85">
          <cell r="A85" t="str">
            <v>Zambia</v>
          </cell>
        </row>
        <row r="86">
          <cell r="A86" t="str">
            <v>Armenia</v>
          </cell>
        </row>
        <row r="87">
          <cell r="A87" t="str">
            <v>Congo - Kinshasa</v>
          </cell>
        </row>
        <row r="88">
          <cell r="A88" t="str">
            <v>Brunei</v>
          </cell>
        </row>
        <row r="89">
          <cell r="A89" t="str">
            <v>Trinidad &amp; Tobago</v>
          </cell>
        </row>
        <row r="90">
          <cell r="A90" t="str">
            <v>Zimbabwe</v>
          </cell>
        </row>
        <row r="91">
          <cell r="A91" t="str">
            <v>Cameroon</v>
          </cell>
        </row>
        <row r="92">
          <cell r="A92" t="str">
            <v>Angola</v>
          </cell>
        </row>
        <row r="93">
          <cell r="A93" t="str">
            <v>Mongolia</v>
          </cell>
        </row>
        <row r="94">
          <cell r="A94" t="str">
            <v>Montenegro</v>
          </cell>
        </row>
        <row r="95">
          <cell r="A95" t="str">
            <v>Tanzania</v>
          </cell>
        </row>
        <row r="96">
          <cell r="A96" t="str">
            <v>Latvia</v>
          </cell>
        </row>
        <row r="97">
          <cell r="A97" t="str">
            <v>Mozambique</v>
          </cell>
        </row>
        <row r="98">
          <cell r="A98" t="str">
            <v>Senegal</v>
          </cell>
        </row>
        <row r="99">
          <cell r="A99" t="str">
            <v>Bosnia &amp; Herzegovina</v>
          </cell>
        </row>
        <row r="100">
          <cell r="A100" t="str">
            <v>Estonia</v>
          </cell>
        </row>
        <row r="101">
          <cell r="A101" t="str">
            <v>Kyrgyzstan</v>
          </cell>
        </row>
        <row r="102">
          <cell r="A102" t="str">
            <v>Syria</v>
          </cell>
        </row>
        <row r="103">
          <cell r="A103" t="str">
            <v>Luxembourg</v>
          </cell>
        </row>
        <row r="104">
          <cell r="A104" t="str">
            <v>Azerbaijan</v>
          </cell>
        </row>
        <row r="105">
          <cell r="A105" t="str">
            <v>Nicaragua</v>
          </cell>
        </row>
        <row r="106">
          <cell r="A106" t="str">
            <v>Georgia</v>
          </cell>
        </row>
        <row r="107">
          <cell r="A107" t="str">
            <v>North Macedonia</v>
          </cell>
        </row>
        <row r="108">
          <cell r="A108" t="str">
            <v>Slovenia</v>
          </cell>
        </row>
        <row r="109">
          <cell r="A109" t="str">
            <v>Yemen</v>
          </cell>
        </row>
        <row r="110">
          <cell r="A110" t="str">
            <v>Albania</v>
          </cell>
        </row>
        <row r="111">
          <cell r="A111" t="str">
            <v>Myanmar (Burma)</v>
          </cell>
        </row>
        <row r="112">
          <cell r="A112" t="str">
            <v>Moldova</v>
          </cell>
        </row>
        <row r="113">
          <cell r="A113" t="str">
            <v>Nigeria</v>
          </cell>
        </row>
        <row r="114">
          <cell r="A114" t="str">
            <v>Oman</v>
          </cell>
        </row>
        <row r="115">
          <cell r="A115" t="str">
            <v>Cyprus</v>
          </cell>
        </row>
        <row r="116">
          <cell r="A116" t="str">
            <v>Honduras</v>
          </cell>
        </row>
        <row r="117">
          <cell r="A117" t="str">
            <v>El Salvador</v>
          </cell>
        </row>
        <row r="118">
          <cell r="A118" t="str">
            <v>Qatar</v>
          </cell>
        </row>
        <row r="119">
          <cell r="A119" t="str">
            <v>Puerto Rico</v>
          </cell>
        </row>
        <row r="120">
          <cell r="A120" t="str">
            <v>Panama</v>
          </cell>
        </row>
        <row r="121">
          <cell r="A121" t="str">
            <v>Paraguay</v>
          </cell>
        </row>
        <row r="122">
          <cell r="A122" t="str">
            <v>Dominican Republic</v>
          </cell>
        </row>
        <row r="123">
          <cell r="A123" t="str">
            <v>Iraq</v>
          </cell>
        </row>
        <row r="124">
          <cell r="A124" t="str">
            <v>Iran</v>
          </cell>
        </row>
        <row r="125">
          <cell r="A125" t="str">
            <v>United Arab Emirates</v>
          </cell>
        </row>
        <row r="126">
          <cell r="A126" t="str">
            <v>Aruba</v>
          </cell>
        </row>
        <row r="127">
          <cell r="A127" t="str">
            <v>Afghanistan</v>
          </cell>
        </row>
        <row r="128">
          <cell r="A128" t="str">
            <v>Anguilla</v>
          </cell>
        </row>
        <row r="129">
          <cell r="A129" t="str">
            <v>Ã…land Islands</v>
          </cell>
        </row>
        <row r="130">
          <cell r="A130" t="str">
            <v>Andorra</v>
          </cell>
        </row>
        <row r="131">
          <cell r="A131" t="str">
            <v>American Samoa</v>
          </cell>
        </row>
        <row r="132">
          <cell r="A132" t="str">
            <v>Antarctica</v>
          </cell>
        </row>
        <row r="133">
          <cell r="A133" t="str">
            <v>French Southern Territories</v>
          </cell>
        </row>
        <row r="134">
          <cell r="A134" t="str">
            <v>Antigua &amp; Barbuda</v>
          </cell>
        </row>
        <row r="135">
          <cell r="A135" t="str">
            <v>Burundi</v>
          </cell>
        </row>
        <row r="136">
          <cell r="A136" t="str">
            <v>Caribbean Netherlands</v>
          </cell>
        </row>
        <row r="137">
          <cell r="A137" t="str">
            <v>Bahrain</v>
          </cell>
        </row>
        <row r="138">
          <cell r="A138" t="str">
            <v>Bahamas</v>
          </cell>
        </row>
        <row r="139">
          <cell r="A139" t="str">
            <v>St. BarthÃ©lemy</v>
          </cell>
        </row>
        <row r="140">
          <cell r="A140" t="str">
            <v>Belize</v>
          </cell>
        </row>
        <row r="141">
          <cell r="A141" t="str">
            <v>Bermuda</v>
          </cell>
        </row>
        <row r="142">
          <cell r="A142" t="str">
            <v>Barbados</v>
          </cell>
        </row>
        <row r="143">
          <cell r="A143" t="str">
            <v>Bhutan</v>
          </cell>
        </row>
        <row r="144">
          <cell r="A144" t="str">
            <v>Bouvet Island</v>
          </cell>
        </row>
        <row r="145">
          <cell r="A145" t="str">
            <v>Botswana</v>
          </cell>
        </row>
        <row r="146">
          <cell r="A146" t="str">
            <v>Central African Republic</v>
          </cell>
        </row>
        <row r="147">
          <cell r="A147" t="str">
            <v>Cocos (Keeling) Islands</v>
          </cell>
        </row>
        <row r="148">
          <cell r="A148" t="str">
            <v>Congo - Brazzaville</v>
          </cell>
        </row>
        <row r="149">
          <cell r="A149" t="str">
            <v>Cook Islands</v>
          </cell>
        </row>
        <row r="150">
          <cell r="A150" t="str">
            <v>Comoros</v>
          </cell>
        </row>
        <row r="151">
          <cell r="A151" t="str">
            <v>Cape Verde</v>
          </cell>
        </row>
        <row r="152">
          <cell r="A152" t="str">
            <v>Cuba</v>
          </cell>
        </row>
        <row r="153">
          <cell r="A153" t="str">
            <v>CuraÃ§ao</v>
          </cell>
        </row>
        <row r="154">
          <cell r="A154" t="str">
            <v>Christmas Island</v>
          </cell>
        </row>
        <row r="155">
          <cell r="A155" t="str">
            <v>Cayman Islands</v>
          </cell>
        </row>
        <row r="156">
          <cell r="A156" t="str">
            <v>Djibouti</v>
          </cell>
        </row>
        <row r="157">
          <cell r="A157" t="str">
            <v>Dominica</v>
          </cell>
        </row>
        <row r="158">
          <cell r="A158" t="str">
            <v>Eritrea</v>
          </cell>
        </row>
        <row r="159">
          <cell r="A159" t="str">
            <v>Western Sahara</v>
          </cell>
        </row>
        <row r="160">
          <cell r="A160" t="str">
            <v>Fiji</v>
          </cell>
        </row>
        <row r="161">
          <cell r="A161" t="str">
            <v>Falkland Islands (Islas Malvinas)</v>
          </cell>
        </row>
        <row r="162">
          <cell r="A162" t="str">
            <v>Faroe Islands</v>
          </cell>
        </row>
        <row r="163">
          <cell r="A163" t="str">
            <v>Micronesia</v>
          </cell>
        </row>
        <row r="164">
          <cell r="A164" t="str">
            <v>Gabon</v>
          </cell>
        </row>
        <row r="165">
          <cell r="A165" t="str">
            <v>Guernsey</v>
          </cell>
        </row>
        <row r="166">
          <cell r="A166" t="str">
            <v>Ghana</v>
          </cell>
        </row>
        <row r="167">
          <cell r="A167" t="str">
            <v>Gibraltar</v>
          </cell>
        </row>
        <row r="168">
          <cell r="A168" t="str">
            <v>Guinea</v>
          </cell>
        </row>
        <row r="169">
          <cell r="A169" t="str">
            <v>Guadeloupe</v>
          </cell>
        </row>
        <row r="170">
          <cell r="A170" t="str">
            <v>Gambia</v>
          </cell>
        </row>
        <row r="171">
          <cell r="A171" t="str">
            <v>Guinea-Bissau</v>
          </cell>
        </row>
        <row r="172">
          <cell r="A172" t="str">
            <v>Equatorial Guinea</v>
          </cell>
        </row>
        <row r="173">
          <cell r="A173" t="str">
            <v>Grenada</v>
          </cell>
        </row>
        <row r="174">
          <cell r="A174" t="str">
            <v>Greenland</v>
          </cell>
        </row>
        <row r="175">
          <cell r="A175" t="str">
            <v>French Guiana</v>
          </cell>
        </row>
        <row r="176">
          <cell r="A176" t="str">
            <v>Guam</v>
          </cell>
        </row>
        <row r="177">
          <cell r="A177" t="str">
            <v>Heard &amp; McDonald Islands</v>
          </cell>
        </row>
        <row r="178">
          <cell r="A178" t="str">
            <v>Haiti</v>
          </cell>
        </row>
        <row r="179">
          <cell r="A179" t="str">
            <v>Isle of Man</v>
          </cell>
        </row>
        <row r="180">
          <cell r="A180" t="str">
            <v>British Indian Ocean Territory</v>
          </cell>
        </row>
        <row r="181">
          <cell r="A181" t="str">
            <v>Iceland</v>
          </cell>
        </row>
        <row r="182">
          <cell r="A182" t="str">
            <v>Jamaica</v>
          </cell>
        </row>
        <row r="183">
          <cell r="A183" t="str">
            <v>Jersey</v>
          </cell>
        </row>
        <row r="184">
          <cell r="A184" t="str">
            <v>Jordan</v>
          </cell>
        </row>
        <row r="185">
          <cell r="A185" t="str">
            <v>Cambodia</v>
          </cell>
        </row>
        <row r="186">
          <cell r="A186" t="str">
            <v>Kiribati</v>
          </cell>
        </row>
        <row r="187">
          <cell r="A187" t="str">
            <v>St. Kitts &amp; Nevis</v>
          </cell>
        </row>
        <row r="188">
          <cell r="A188" t="str">
            <v>Kuwait</v>
          </cell>
        </row>
        <row r="189">
          <cell r="A189" t="str">
            <v>Lebanon</v>
          </cell>
        </row>
        <row r="190">
          <cell r="A190" t="str">
            <v>Liberia</v>
          </cell>
        </row>
        <row r="191">
          <cell r="A191" t="str">
            <v>Libya</v>
          </cell>
        </row>
        <row r="192">
          <cell r="A192" t="str">
            <v>St. Lucia</v>
          </cell>
        </row>
        <row r="193">
          <cell r="A193" t="str">
            <v>Liechtenstein</v>
          </cell>
        </row>
        <row r="194">
          <cell r="A194" t="str">
            <v>Lesotho</v>
          </cell>
        </row>
        <row r="195">
          <cell r="A195" t="str">
            <v>St. Martin</v>
          </cell>
        </row>
        <row r="196">
          <cell r="A196" t="str">
            <v>Monaco</v>
          </cell>
        </row>
        <row r="197">
          <cell r="A197" t="str">
            <v>Madagascar</v>
          </cell>
        </row>
        <row r="198">
          <cell r="A198" t="str">
            <v>Maldives</v>
          </cell>
        </row>
        <row r="199">
          <cell r="A199" t="str">
            <v>Marshall Islands</v>
          </cell>
        </row>
        <row r="200">
          <cell r="A200" t="str">
            <v>Malta</v>
          </cell>
        </row>
        <row r="201">
          <cell r="A201" t="str">
            <v>Northern Mariana Islands</v>
          </cell>
        </row>
        <row r="202">
          <cell r="A202" t="str">
            <v>Mauritania</v>
          </cell>
        </row>
        <row r="203">
          <cell r="A203" t="str">
            <v>Montserrat</v>
          </cell>
        </row>
        <row r="204">
          <cell r="A204" t="str">
            <v>Martinique</v>
          </cell>
        </row>
        <row r="205">
          <cell r="A205" t="str">
            <v>Mauritius</v>
          </cell>
        </row>
        <row r="206">
          <cell r="A206" t="str">
            <v>Malawi</v>
          </cell>
        </row>
        <row r="207">
          <cell r="A207" t="str">
            <v>Mayotte</v>
          </cell>
        </row>
        <row r="208">
          <cell r="A208" t="str">
            <v>New Caledonia</v>
          </cell>
        </row>
        <row r="209">
          <cell r="A209" t="str">
            <v>Niger</v>
          </cell>
        </row>
        <row r="210">
          <cell r="A210" t="str">
            <v>Norfolk Island</v>
          </cell>
        </row>
        <row r="211">
          <cell r="A211" t="str">
            <v>Niue</v>
          </cell>
        </row>
        <row r="212">
          <cell r="A212" t="str">
            <v>Nauru</v>
          </cell>
        </row>
        <row r="213">
          <cell r="A213" t="str">
            <v>Pitcairn Islands</v>
          </cell>
        </row>
        <row r="214">
          <cell r="A214" t="str">
            <v>Palau</v>
          </cell>
        </row>
        <row r="215">
          <cell r="A215" t="str">
            <v>Papua New Guinea</v>
          </cell>
        </row>
        <row r="216">
          <cell r="A216" t="str">
            <v>North Korea</v>
          </cell>
        </row>
        <row r="217">
          <cell r="A217" t="str">
            <v>Palestine</v>
          </cell>
        </row>
        <row r="218">
          <cell r="A218" t="str">
            <v>French Polynesia</v>
          </cell>
        </row>
        <row r="219">
          <cell r="A219" t="str">
            <v>RÃ©union</v>
          </cell>
        </row>
        <row r="220">
          <cell r="A220" t="str">
            <v>Sudan</v>
          </cell>
        </row>
        <row r="221">
          <cell r="A221" t="str">
            <v>South Georgia &amp; South Sandwich Islands</v>
          </cell>
        </row>
        <row r="222">
          <cell r="A222" t="str">
            <v>Svalbard &amp; Jan Mayen</v>
          </cell>
        </row>
        <row r="223">
          <cell r="A223" t="str">
            <v>Solomon Islands</v>
          </cell>
        </row>
        <row r="224">
          <cell r="A224" t="str">
            <v>Sierra Leone</v>
          </cell>
        </row>
        <row r="225">
          <cell r="A225" t="str">
            <v>San Marino</v>
          </cell>
        </row>
        <row r="226">
          <cell r="A226" t="str">
            <v>Somalia</v>
          </cell>
        </row>
        <row r="227">
          <cell r="A227" t="str">
            <v>St. Pierre &amp; Miquelon</v>
          </cell>
        </row>
        <row r="228">
          <cell r="A228" t="str">
            <v>South Sudan</v>
          </cell>
        </row>
        <row r="229">
          <cell r="A229" t="str">
            <v>SÃ£o TomÃ© &amp; PrÃ­ncipe</v>
          </cell>
        </row>
        <row r="230">
          <cell r="A230" t="str">
            <v>Suriname</v>
          </cell>
        </row>
        <row r="231">
          <cell r="A231" t="str">
            <v>Eswatini</v>
          </cell>
        </row>
        <row r="232">
          <cell r="A232" t="str">
            <v>Sint Maarten</v>
          </cell>
        </row>
        <row r="233">
          <cell r="A233" t="str">
            <v>Seychelles</v>
          </cell>
        </row>
        <row r="234">
          <cell r="A234" t="str">
            <v>Turks &amp; Caicos Islands</v>
          </cell>
        </row>
        <row r="235">
          <cell r="A235" t="str">
            <v>Chad</v>
          </cell>
        </row>
        <row r="236">
          <cell r="A236" t="str">
            <v>Togo</v>
          </cell>
        </row>
        <row r="237">
          <cell r="A237" t="str">
            <v>Tajikistan</v>
          </cell>
        </row>
        <row r="238">
          <cell r="A238" t="str">
            <v>Tokelau</v>
          </cell>
        </row>
        <row r="239">
          <cell r="A239" t="str">
            <v>Turkmenistan</v>
          </cell>
        </row>
        <row r="240">
          <cell r="A240" t="str">
            <v>Timor-Leste</v>
          </cell>
        </row>
        <row r="241">
          <cell r="A241" t="str">
            <v>Tonga</v>
          </cell>
        </row>
        <row r="242">
          <cell r="A242" t="str">
            <v>Tuvalu</v>
          </cell>
        </row>
        <row r="243">
          <cell r="A243" t="str">
            <v>Uganda</v>
          </cell>
        </row>
        <row r="244">
          <cell r="A244" t="str">
            <v>U.S. Outlying Islands</v>
          </cell>
        </row>
        <row r="245">
          <cell r="A245" t="str">
            <v>Uzbekistan</v>
          </cell>
        </row>
        <row r="246">
          <cell r="A246" t="str">
            <v>Vatican City</v>
          </cell>
        </row>
        <row r="247">
          <cell r="A247" t="str">
            <v>St. Vincent &amp; Grenadines</v>
          </cell>
        </row>
        <row r="248">
          <cell r="A248" t="str">
            <v>British Virgin Islands</v>
          </cell>
        </row>
        <row r="249">
          <cell r="A249" t="str">
            <v>U.S. Virgin Islands</v>
          </cell>
        </row>
        <row r="250">
          <cell r="A250" t="str">
            <v>Vanuatu</v>
          </cell>
        </row>
        <row r="251">
          <cell r="A251" t="str">
            <v>Wallis &amp; Futuna</v>
          </cell>
        </row>
        <row r="252">
          <cell r="A252" t="str">
            <v>Samoa</v>
          </cell>
        </row>
        <row r="253">
          <cell r="A253" t="str">
            <v>Kosovo</v>
          </cell>
        </row>
      </sheetData>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37)"/>
    </sheetNames>
    <sheetDataSet>
      <sheetData sheetId="0" refreshError="1">
        <row r="1">
          <cell r="A1" t="str">
            <v>Category: All categories</v>
          </cell>
        </row>
        <row r="3">
          <cell r="A3" t="str">
            <v>Country</v>
          </cell>
          <cell r="B3" t="str">
            <v>Mutual exclusion: (2018)</v>
          </cell>
          <cell r="C3" t="str">
            <v>Two-phase locking: (2018)</v>
          </cell>
        </row>
        <row r="4">
          <cell r="A4" t="str">
            <v>China</v>
          </cell>
          <cell r="B4">
            <v>1</v>
          </cell>
        </row>
        <row r="5">
          <cell r="A5" t="str">
            <v>Taiwan</v>
          </cell>
          <cell r="B5">
            <v>0.97</v>
          </cell>
          <cell r="C5">
            <v>0.03</v>
          </cell>
        </row>
        <row r="6">
          <cell r="A6" t="str">
            <v>Japan</v>
          </cell>
          <cell r="B6">
            <v>0.99</v>
          </cell>
          <cell r="C6">
            <v>0.01</v>
          </cell>
        </row>
        <row r="7">
          <cell r="A7" t="str">
            <v>Israel</v>
          </cell>
          <cell r="B7">
            <v>0.91</v>
          </cell>
          <cell r="C7">
            <v>0.09</v>
          </cell>
        </row>
        <row r="8">
          <cell r="A8" t="str">
            <v>Kenya</v>
          </cell>
          <cell r="B8">
            <v>1</v>
          </cell>
        </row>
        <row r="9">
          <cell r="A9" t="str">
            <v>St. Helena</v>
          </cell>
          <cell r="B9">
            <v>1</v>
          </cell>
        </row>
        <row r="10">
          <cell r="A10" t="str">
            <v>Belarus</v>
          </cell>
          <cell r="B10">
            <v>1</v>
          </cell>
        </row>
        <row r="11">
          <cell r="A11" t="str">
            <v>Czechia</v>
          </cell>
          <cell r="B11">
            <v>1</v>
          </cell>
        </row>
        <row r="12">
          <cell r="A12" t="str">
            <v>Zimbabwe</v>
          </cell>
        </row>
        <row r="13">
          <cell r="A13" t="str">
            <v>Russia</v>
          </cell>
          <cell r="B13">
            <v>0.99</v>
          </cell>
          <cell r="C13">
            <v>0.01</v>
          </cell>
        </row>
        <row r="14">
          <cell r="A14" t="str">
            <v>Austria</v>
          </cell>
          <cell r="B14">
            <v>1</v>
          </cell>
        </row>
        <row r="15">
          <cell r="A15" t="str">
            <v>Germany</v>
          </cell>
          <cell r="B15">
            <v>0.97</v>
          </cell>
          <cell r="C15">
            <v>0.03</v>
          </cell>
        </row>
        <row r="16">
          <cell r="A16" t="str">
            <v>Norway</v>
          </cell>
          <cell r="B16">
            <v>0.68</v>
          </cell>
          <cell r="C16">
            <v>0.32</v>
          </cell>
        </row>
        <row r="17">
          <cell r="A17" t="str">
            <v>Ethiopia</v>
          </cell>
        </row>
        <row r="18">
          <cell r="A18" t="str">
            <v>Finland</v>
          </cell>
          <cell r="B18">
            <v>1</v>
          </cell>
        </row>
        <row r="19">
          <cell r="A19" t="str">
            <v>Ukraine</v>
          </cell>
          <cell r="B19">
            <v>1</v>
          </cell>
        </row>
        <row r="20">
          <cell r="A20" t="str">
            <v>Portugal</v>
          </cell>
          <cell r="B20">
            <v>1</v>
          </cell>
        </row>
        <row r="21">
          <cell r="A21" t="str">
            <v>Algeria</v>
          </cell>
          <cell r="B21">
            <v>1</v>
          </cell>
        </row>
        <row r="22">
          <cell r="A22" t="str">
            <v>Hungary</v>
          </cell>
          <cell r="B22">
            <v>1</v>
          </cell>
        </row>
        <row r="23">
          <cell r="A23" t="str">
            <v>Laos</v>
          </cell>
        </row>
        <row r="24">
          <cell r="A24" t="str">
            <v>Poland</v>
          </cell>
          <cell r="B24">
            <v>0.53</v>
          </cell>
          <cell r="C24">
            <v>0.47</v>
          </cell>
        </row>
        <row r="25">
          <cell r="A25" t="str">
            <v>South Korea</v>
          </cell>
          <cell r="B25">
            <v>0.85</v>
          </cell>
          <cell r="C25">
            <v>0.15</v>
          </cell>
        </row>
        <row r="26">
          <cell r="A26" t="str">
            <v>Sweden</v>
          </cell>
          <cell r="B26">
            <v>0.89</v>
          </cell>
          <cell r="C26">
            <v>0.11</v>
          </cell>
        </row>
        <row r="27">
          <cell r="A27" t="str">
            <v>India</v>
          </cell>
          <cell r="B27">
            <v>0.66</v>
          </cell>
          <cell r="C27">
            <v>0.34</v>
          </cell>
        </row>
        <row r="28">
          <cell r="A28" t="str">
            <v>Sri Lanka</v>
          </cell>
          <cell r="B28">
            <v>1</v>
          </cell>
        </row>
        <row r="29">
          <cell r="A29" t="str">
            <v>Costa Rica</v>
          </cell>
          <cell r="B29">
            <v>1</v>
          </cell>
        </row>
        <row r="30">
          <cell r="A30" t="str">
            <v>Switzerland</v>
          </cell>
          <cell r="B30">
            <v>1</v>
          </cell>
        </row>
        <row r="31">
          <cell r="A31" t="str">
            <v>Pakistan</v>
          </cell>
          <cell r="B31">
            <v>0.8</v>
          </cell>
          <cell r="C31">
            <v>0.2</v>
          </cell>
        </row>
        <row r="32">
          <cell r="A32" t="str">
            <v>Hong Kong</v>
          </cell>
          <cell r="B32">
            <v>0.65</v>
          </cell>
          <cell r="C32">
            <v>0.35</v>
          </cell>
        </row>
        <row r="33">
          <cell r="A33" t="str">
            <v>Singapore</v>
          </cell>
          <cell r="B33">
            <v>0.62</v>
          </cell>
          <cell r="C33">
            <v>0.38</v>
          </cell>
        </row>
        <row r="34">
          <cell r="A34" t="str">
            <v>Netherlands</v>
          </cell>
          <cell r="B34">
            <v>0.88</v>
          </cell>
          <cell r="C34">
            <v>0.12</v>
          </cell>
        </row>
        <row r="35">
          <cell r="A35" t="str">
            <v>United Kingdom</v>
          </cell>
          <cell r="B35">
            <v>0.2</v>
          </cell>
          <cell r="C35">
            <v>0.8</v>
          </cell>
        </row>
        <row r="36">
          <cell r="A36" t="str">
            <v>Serbia</v>
          </cell>
          <cell r="B36">
            <v>1</v>
          </cell>
        </row>
        <row r="37">
          <cell r="A37" t="str">
            <v>Chile</v>
          </cell>
          <cell r="B37">
            <v>0.19</v>
          </cell>
          <cell r="C37">
            <v>0.81</v>
          </cell>
        </row>
        <row r="38">
          <cell r="A38" t="str">
            <v>Italy</v>
          </cell>
          <cell r="B38">
            <v>0.89</v>
          </cell>
          <cell r="C38">
            <v>0.11</v>
          </cell>
        </row>
        <row r="39">
          <cell r="A39" t="str">
            <v>Bulgaria</v>
          </cell>
          <cell r="B39">
            <v>1</v>
          </cell>
        </row>
        <row r="40">
          <cell r="A40" t="str">
            <v>Guatemala</v>
          </cell>
          <cell r="B40">
            <v>1</v>
          </cell>
        </row>
        <row r="41">
          <cell r="A41" t="str">
            <v>Lithuania</v>
          </cell>
          <cell r="B41">
            <v>1</v>
          </cell>
        </row>
        <row r="42">
          <cell r="A42" t="str">
            <v>Croatia</v>
          </cell>
          <cell r="B42">
            <v>1</v>
          </cell>
        </row>
        <row r="43">
          <cell r="A43" t="str">
            <v>Spain</v>
          </cell>
          <cell r="B43">
            <v>0.85</v>
          </cell>
          <cell r="C43">
            <v>0.15</v>
          </cell>
        </row>
        <row r="44">
          <cell r="A44" t="str">
            <v>Ireland</v>
          </cell>
          <cell r="B44">
            <v>0.87</v>
          </cell>
          <cell r="C44">
            <v>0.13</v>
          </cell>
        </row>
        <row r="45">
          <cell r="A45" t="str">
            <v>Slovakia</v>
          </cell>
          <cell r="B45">
            <v>1</v>
          </cell>
        </row>
        <row r="46">
          <cell r="A46" t="str">
            <v>Nigeria</v>
          </cell>
          <cell r="B46">
            <v>1</v>
          </cell>
        </row>
        <row r="47">
          <cell r="A47" t="str">
            <v>Tunisia</v>
          </cell>
        </row>
        <row r="48">
          <cell r="A48" t="str">
            <v>Denmark</v>
          </cell>
          <cell r="B48">
            <v>0.33</v>
          </cell>
          <cell r="C48">
            <v>0.67</v>
          </cell>
        </row>
        <row r="49">
          <cell r="A49" t="str">
            <v>France</v>
          </cell>
          <cell r="B49">
            <v>0.96</v>
          </cell>
          <cell r="C49">
            <v>0.04</v>
          </cell>
        </row>
        <row r="50">
          <cell r="A50" t="str">
            <v>Greece</v>
          </cell>
          <cell r="B50">
            <v>1</v>
          </cell>
        </row>
        <row r="51">
          <cell r="A51" t="str">
            <v>Mexico</v>
          </cell>
          <cell r="B51">
            <v>0.8</v>
          </cell>
          <cell r="C51">
            <v>0.2</v>
          </cell>
        </row>
        <row r="52">
          <cell r="A52" t="str">
            <v>Bangladesh</v>
          </cell>
          <cell r="B52">
            <v>1</v>
          </cell>
        </row>
        <row r="53">
          <cell r="A53" t="str">
            <v>Romania</v>
          </cell>
          <cell r="B53">
            <v>1</v>
          </cell>
        </row>
        <row r="54">
          <cell r="A54" t="str">
            <v>Uruguay</v>
          </cell>
        </row>
        <row r="55">
          <cell r="A55" t="str">
            <v>Bolivia</v>
          </cell>
        </row>
        <row r="56">
          <cell r="A56" t="str">
            <v>Belgium</v>
          </cell>
          <cell r="B56">
            <v>1</v>
          </cell>
        </row>
        <row r="57">
          <cell r="A57" t="str">
            <v>Argentina</v>
          </cell>
          <cell r="B57">
            <v>0.64</v>
          </cell>
          <cell r="C57">
            <v>0.36</v>
          </cell>
        </row>
        <row r="58">
          <cell r="A58" t="str">
            <v>Canada</v>
          </cell>
          <cell r="B58">
            <v>0.71</v>
          </cell>
          <cell r="C58">
            <v>0.28999999999999998</v>
          </cell>
        </row>
        <row r="59">
          <cell r="A59" t="str">
            <v>Vietnam</v>
          </cell>
          <cell r="B59">
            <v>0.7</v>
          </cell>
          <cell r="C59">
            <v>0.3</v>
          </cell>
        </row>
        <row r="60">
          <cell r="A60" t="str">
            <v>Brazil</v>
          </cell>
          <cell r="B60">
            <v>0.86</v>
          </cell>
          <cell r="C60">
            <v>0.14000000000000001</v>
          </cell>
        </row>
        <row r="61">
          <cell r="A61" t="str">
            <v>United States</v>
          </cell>
          <cell r="B61">
            <v>0.72</v>
          </cell>
          <cell r="C61">
            <v>0.28000000000000003</v>
          </cell>
        </row>
        <row r="62">
          <cell r="A62" t="str">
            <v>Kazakhstan</v>
          </cell>
          <cell r="B62">
            <v>1</v>
          </cell>
        </row>
        <row r="63">
          <cell r="A63" t="str">
            <v>New Zealand</v>
          </cell>
          <cell r="B63">
            <v>0.75</v>
          </cell>
          <cell r="C63">
            <v>0.25</v>
          </cell>
        </row>
        <row r="64">
          <cell r="A64" t="str">
            <v>Indonesia</v>
          </cell>
          <cell r="B64">
            <v>0.72</v>
          </cell>
          <cell r="C64">
            <v>0.28000000000000003</v>
          </cell>
        </row>
        <row r="65">
          <cell r="A65" t="str">
            <v>Morocco</v>
          </cell>
        </row>
        <row r="66">
          <cell r="A66" t="str">
            <v>Australia</v>
          </cell>
          <cell r="B66">
            <v>0.57999999999999996</v>
          </cell>
          <cell r="C66">
            <v>0.42</v>
          </cell>
        </row>
        <row r="67">
          <cell r="A67" t="str">
            <v>South Africa</v>
          </cell>
          <cell r="B67">
            <v>0.53</v>
          </cell>
          <cell r="C67">
            <v>0.47</v>
          </cell>
        </row>
        <row r="68">
          <cell r="A68" t="str">
            <v>Malaysia</v>
          </cell>
          <cell r="B68">
            <v>0.46</v>
          </cell>
          <cell r="C68">
            <v>0.54</v>
          </cell>
        </row>
        <row r="69">
          <cell r="A69" t="str">
            <v>Philippines</v>
          </cell>
          <cell r="B69">
            <v>0.69</v>
          </cell>
          <cell r="C69">
            <v>0.31</v>
          </cell>
        </row>
        <row r="70">
          <cell r="A70" t="str">
            <v>Peru</v>
          </cell>
          <cell r="B70">
            <v>1</v>
          </cell>
        </row>
        <row r="71">
          <cell r="A71" t="str">
            <v>Colombia</v>
          </cell>
          <cell r="B71">
            <v>1</v>
          </cell>
        </row>
        <row r="72">
          <cell r="A72" t="str">
            <v>Egypt</v>
          </cell>
          <cell r="B72">
            <v>0.6</v>
          </cell>
          <cell r="C72">
            <v>0.4</v>
          </cell>
        </row>
        <row r="73">
          <cell r="A73" t="str">
            <v>Saudi Arabia</v>
          </cell>
        </row>
        <row r="74">
          <cell r="A74" t="str">
            <v>Thailand</v>
          </cell>
          <cell r="B74">
            <v>0.52</v>
          </cell>
          <cell r="C74">
            <v>0.48</v>
          </cell>
        </row>
        <row r="75">
          <cell r="A75" t="str">
            <v>Venezuela</v>
          </cell>
        </row>
        <row r="76">
          <cell r="A76" t="str">
            <v>Iran</v>
          </cell>
          <cell r="B76">
            <v>0.75</v>
          </cell>
          <cell r="C76">
            <v>0.25</v>
          </cell>
        </row>
        <row r="77">
          <cell r="A77" t="str">
            <v>United Arab Emirates</v>
          </cell>
        </row>
        <row r="78">
          <cell r="A78" t="str">
            <v>Turkey</v>
          </cell>
          <cell r="B78">
            <v>0.7</v>
          </cell>
          <cell r="C78">
            <v>0.3</v>
          </cell>
        </row>
        <row r="79">
          <cell r="A79" t="str">
            <v>Macao</v>
          </cell>
        </row>
        <row r="80">
          <cell r="A80" t="str">
            <v>Guyana</v>
          </cell>
        </row>
        <row r="81">
          <cell r="A81" t="str">
            <v>Benin</v>
          </cell>
        </row>
        <row r="82">
          <cell r="A82" t="str">
            <v>Rwanda</v>
          </cell>
        </row>
        <row r="83">
          <cell r="A83" t="str">
            <v>Namibia</v>
          </cell>
        </row>
        <row r="84">
          <cell r="A84" t="str">
            <v>Mali</v>
          </cell>
        </row>
        <row r="85">
          <cell r="A85" t="str">
            <v>Burkina Faso</v>
          </cell>
        </row>
        <row r="86">
          <cell r="A86" t="str">
            <v>CÃ´te dâ€™Ivoire</v>
          </cell>
        </row>
        <row r="87">
          <cell r="A87" t="str">
            <v>Zambia</v>
          </cell>
        </row>
        <row r="88">
          <cell r="A88" t="str">
            <v>Armenia</v>
          </cell>
        </row>
        <row r="89">
          <cell r="A89" t="str">
            <v>Congo - Kinshasa</v>
          </cell>
        </row>
        <row r="90">
          <cell r="A90" t="str">
            <v>Brunei</v>
          </cell>
        </row>
        <row r="91">
          <cell r="A91" t="str">
            <v>Trinidad &amp; Tobago</v>
          </cell>
        </row>
        <row r="92">
          <cell r="A92" t="str">
            <v>Nepal</v>
          </cell>
        </row>
        <row r="93">
          <cell r="A93" t="str">
            <v>Cameroon</v>
          </cell>
        </row>
        <row r="94">
          <cell r="A94" t="str">
            <v>Angola</v>
          </cell>
        </row>
        <row r="95">
          <cell r="A95" t="str">
            <v>Mongolia</v>
          </cell>
        </row>
        <row r="96">
          <cell r="A96" t="str">
            <v>Montenegro</v>
          </cell>
        </row>
        <row r="97">
          <cell r="A97" t="str">
            <v>Tanzania</v>
          </cell>
        </row>
        <row r="98">
          <cell r="A98" t="str">
            <v>Latvia</v>
          </cell>
        </row>
        <row r="99">
          <cell r="A99" t="str">
            <v>Mozambique</v>
          </cell>
        </row>
        <row r="100">
          <cell r="A100" t="str">
            <v>Senegal</v>
          </cell>
        </row>
        <row r="101">
          <cell r="A101" t="str">
            <v>Bosnia &amp; Herzegovina</v>
          </cell>
        </row>
        <row r="102">
          <cell r="A102" t="str">
            <v>Estonia</v>
          </cell>
        </row>
        <row r="103">
          <cell r="A103" t="str">
            <v>Kyrgyzstan</v>
          </cell>
        </row>
        <row r="104">
          <cell r="A104" t="str">
            <v>Syria</v>
          </cell>
        </row>
        <row r="105">
          <cell r="A105" t="str">
            <v>Luxembourg</v>
          </cell>
        </row>
        <row r="106">
          <cell r="A106" t="str">
            <v>Azerbaijan</v>
          </cell>
        </row>
        <row r="107">
          <cell r="A107" t="str">
            <v>Nicaragua</v>
          </cell>
        </row>
        <row r="108">
          <cell r="A108" t="str">
            <v>Georgia</v>
          </cell>
        </row>
        <row r="109">
          <cell r="A109" t="str">
            <v>North Macedonia</v>
          </cell>
        </row>
        <row r="110">
          <cell r="A110" t="str">
            <v>Slovenia</v>
          </cell>
        </row>
        <row r="111">
          <cell r="A111" t="str">
            <v>Yemen</v>
          </cell>
        </row>
        <row r="112">
          <cell r="A112" t="str">
            <v>Albania</v>
          </cell>
        </row>
        <row r="113">
          <cell r="A113" t="str">
            <v>Myanmar (Burma)</v>
          </cell>
        </row>
        <row r="114">
          <cell r="A114" t="str">
            <v>Moldova</v>
          </cell>
        </row>
        <row r="115">
          <cell r="A115" t="str">
            <v>Oman</v>
          </cell>
        </row>
        <row r="116">
          <cell r="A116" t="str">
            <v>Cyprus</v>
          </cell>
        </row>
        <row r="117">
          <cell r="A117" t="str">
            <v>Honduras</v>
          </cell>
        </row>
        <row r="118">
          <cell r="A118" t="str">
            <v>El Salvador</v>
          </cell>
        </row>
        <row r="119">
          <cell r="A119" t="str">
            <v>Qatar</v>
          </cell>
        </row>
        <row r="120">
          <cell r="A120" t="str">
            <v>Puerto Rico</v>
          </cell>
        </row>
        <row r="121">
          <cell r="A121" t="str">
            <v>Panama</v>
          </cell>
        </row>
        <row r="122">
          <cell r="A122" t="str">
            <v>Paraguay</v>
          </cell>
        </row>
        <row r="123">
          <cell r="A123" t="str">
            <v>Ecuador</v>
          </cell>
        </row>
        <row r="124">
          <cell r="A124" t="str">
            <v>Dominican Republic</v>
          </cell>
        </row>
        <row r="125">
          <cell r="A125" t="str">
            <v>Iraq</v>
          </cell>
        </row>
        <row r="126">
          <cell r="A126" t="str">
            <v>Aruba</v>
          </cell>
        </row>
        <row r="127">
          <cell r="A127" t="str">
            <v>Afghanistan</v>
          </cell>
        </row>
        <row r="128">
          <cell r="A128" t="str">
            <v>Anguilla</v>
          </cell>
        </row>
        <row r="129">
          <cell r="A129" t="str">
            <v>Ã…land Islands</v>
          </cell>
        </row>
        <row r="130">
          <cell r="A130" t="str">
            <v>Andorra</v>
          </cell>
        </row>
        <row r="131">
          <cell r="A131" t="str">
            <v>American Samoa</v>
          </cell>
        </row>
        <row r="132">
          <cell r="A132" t="str">
            <v>Antarctica</v>
          </cell>
        </row>
        <row r="133">
          <cell r="A133" t="str">
            <v>French Southern Territories</v>
          </cell>
        </row>
        <row r="134">
          <cell r="A134" t="str">
            <v>Antigua &amp; Barbuda</v>
          </cell>
        </row>
        <row r="135">
          <cell r="A135" t="str">
            <v>Burundi</v>
          </cell>
        </row>
        <row r="136">
          <cell r="A136" t="str">
            <v>Caribbean Netherlands</v>
          </cell>
        </row>
        <row r="137">
          <cell r="A137" t="str">
            <v>Bahrain</v>
          </cell>
        </row>
        <row r="138">
          <cell r="A138" t="str">
            <v>Bahamas</v>
          </cell>
        </row>
        <row r="139">
          <cell r="A139" t="str">
            <v>St. BarthÃ©lemy</v>
          </cell>
        </row>
        <row r="140">
          <cell r="A140" t="str">
            <v>Belize</v>
          </cell>
        </row>
        <row r="141">
          <cell r="A141" t="str">
            <v>Bermuda</v>
          </cell>
        </row>
        <row r="142">
          <cell r="A142" t="str">
            <v>Barbados</v>
          </cell>
        </row>
        <row r="143">
          <cell r="A143" t="str">
            <v>Bhutan</v>
          </cell>
        </row>
        <row r="144">
          <cell r="A144" t="str">
            <v>Bouvet Island</v>
          </cell>
        </row>
        <row r="145">
          <cell r="A145" t="str">
            <v>Botswana</v>
          </cell>
        </row>
        <row r="146">
          <cell r="A146" t="str">
            <v>Central African Republic</v>
          </cell>
        </row>
        <row r="147">
          <cell r="A147" t="str">
            <v>Cocos (Keeling) Islands</v>
          </cell>
        </row>
        <row r="148">
          <cell r="A148" t="str">
            <v>Congo - Brazzaville</v>
          </cell>
        </row>
        <row r="149">
          <cell r="A149" t="str">
            <v>Cook Islands</v>
          </cell>
        </row>
        <row r="150">
          <cell r="A150" t="str">
            <v>Comoros</v>
          </cell>
        </row>
        <row r="151">
          <cell r="A151" t="str">
            <v>Cape Verde</v>
          </cell>
        </row>
        <row r="152">
          <cell r="A152" t="str">
            <v>Cuba</v>
          </cell>
        </row>
        <row r="153">
          <cell r="A153" t="str">
            <v>CuraÃ§ao</v>
          </cell>
        </row>
        <row r="154">
          <cell r="A154" t="str">
            <v>Christmas Island</v>
          </cell>
        </row>
        <row r="155">
          <cell r="A155" t="str">
            <v>Cayman Islands</v>
          </cell>
        </row>
        <row r="156">
          <cell r="A156" t="str">
            <v>Djibouti</v>
          </cell>
        </row>
        <row r="157">
          <cell r="A157" t="str">
            <v>Dominica</v>
          </cell>
        </row>
        <row r="158">
          <cell r="A158" t="str">
            <v>Eritrea</v>
          </cell>
        </row>
        <row r="159">
          <cell r="A159" t="str">
            <v>Western Sahara</v>
          </cell>
        </row>
        <row r="160">
          <cell r="A160" t="str">
            <v>Fiji</v>
          </cell>
        </row>
        <row r="161">
          <cell r="A161" t="str">
            <v>Falkland Islands (Islas Malvinas)</v>
          </cell>
        </row>
        <row r="162">
          <cell r="A162" t="str">
            <v>Faroe Islands</v>
          </cell>
        </row>
        <row r="163">
          <cell r="A163" t="str">
            <v>Micronesia</v>
          </cell>
        </row>
        <row r="164">
          <cell r="A164" t="str">
            <v>Gabon</v>
          </cell>
        </row>
        <row r="165">
          <cell r="A165" t="str">
            <v>Guernsey</v>
          </cell>
        </row>
        <row r="166">
          <cell r="A166" t="str">
            <v>Ghana</v>
          </cell>
        </row>
        <row r="167">
          <cell r="A167" t="str">
            <v>Gibraltar</v>
          </cell>
        </row>
        <row r="168">
          <cell r="A168" t="str">
            <v>Guinea</v>
          </cell>
        </row>
        <row r="169">
          <cell r="A169" t="str">
            <v>Guadeloupe</v>
          </cell>
        </row>
        <row r="170">
          <cell r="A170" t="str">
            <v>Gambia</v>
          </cell>
        </row>
        <row r="171">
          <cell r="A171" t="str">
            <v>Guinea-Bissau</v>
          </cell>
        </row>
        <row r="172">
          <cell r="A172" t="str">
            <v>Equatorial Guinea</v>
          </cell>
        </row>
        <row r="173">
          <cell r="A173" t="str">
            <v>Grenada</v>
          </cell>
        </row>
        <row r="174">
          <cell r="A174" t="str">
            <v>Greenland</v>
          </cell>
        </row>
        <row r="175">
          <cell r="A175" t="str">
            <v>French Guiana</v>
          </cell>
        </row>
        <row r="176">
          <cell r="A176" t="str">
            <v>Guam</v>
          </cell>
        </row>
        <row r="177">
          <cell r="A177" t="str">
            <v>Heard &amp; McDonald Islands</v>
          </cell>
        </row>
        <row r="178">
          <cell r="A178" t="str">
            <v>Haiti</v>
          </cell>
        </row>
        <row r="179">
          <cell r="A179" t="str">
            <v>Isle of Man</v>
          </cell>
        </row>
        <row r="180">
          <cell r="A180" t="str">
            <v>British Indian Ocean Territory</v>
          </cell>
        </row>
        <row r="181">
          <cell r="A181" t="str">
            <v>Iceland</v>
          </cell>
        </row>
        <row r="182">
          <cell r="A182" t="str">
            <v>Jamaica</v>
          </cell>
        </row>
        <row r="183">
          <cell r="A183" t="str">
            <v>Jersey</v>
          </cell>
        </row>
        <row r="184">
          <cell r="A184" t="str">
            <v>Jordan</v>
          </cell>
        </row>
        <row r="185">
          <cell r="A185" t="str">
            <v>Cambodia</v>
          </cell>
        </row>
        <row r="186">
          <cell r="A186" t="str">
            <v>Kiribati</v>
          </cell>
        </row>
        <row r="187">
          <cell r="A187" t="str">
            <v>St. Kitts &amp; Nevis</v>
          </cell>
        </row>
        <row r="188">
          <cell r="A188" t="str">
            <v>Kuwait</v>
          </cell>
        </row>
        <row r="189">
          <cell r="A189" t="str">
            <v>Lebanon</v>
          </cell>
        </row>
        <row r="190">
          <cell r="A190" t="str">
            <v>Liberia</v>
          </cell>
        </row>
        <row r="191">
          <cell r="A191" t="str">
            <v>Libya</v>
          </cell>
        </row>
        <row r="192">
          <cell r="A192" t="str">
            <v>St. Lucia</v>
          </cell>
        </row>
        <row r="193">
          <cell r="A193" t="str">
            <v>Liechtenstein</v>
          </cell>
        </row>
        <row r="194">
          <cell r="A194" t="str">
            <v>Lesotho</v>
          </cell>
        </row>
        <row r="195">
          <cell r="A195" t="str">
            <v>St. Martin</v>
          </cell>
        </row>
        <row r="196">
          <cell r="A196" t="str">
            <v>Monaco</v>
          </cell>
        </row>
        <row r="197">
          <cell r="A197" t="str">
            <v>Madagascar</v>
          </cell>
        </row>
        <row r="198">
          <cell r="A198" t="str">
            <v>Maldives</v>
          </cell>
        </row>
        <row r="199">
          <cell r="A199" t="str">
            <v>Marshall Islands</v>
          </cell>
        </row>
        <row r="200">
          <cell r="A200" t="str">
            <v>Malta</v>
          </cell>
        </row>
        <row r="201">
          <cell r="A201" t="str">
            <v>Northern Mariana Islands</v>
          </cell>
        </row>
        <row r="202">
          <cell r="A202" t="str">
            <v>Mauritania</v>
          </cell>
        </row>
        <row r="203">
          <cell r="A203" t="str">
            <v>Montserrat</v>
          </cell>
        </row>
        <row r="204">
          <cell r="A204" t="str">
            <v>Martinique</v>
          </cell>
        </row>
        <row r="205">
          <cell r="A205" t="str">
            <v>Mauritius</v>
          </cell>
        </row>
        <row r="206">
          <cell r="A206" t="str">
            <v>Malawi</v>
          </cell>
        </row>
        <row r="207">
          <cell r="A207" t="str">
            <v>Mayotte</v>
          </cell>
        </row>
        <row r="208">
          <cell r="A208" t="str">
            <v>New Caledonia</v>
          </cell>
        </row>
        <row r="209">
          <cell r="A209" t="str">
            <v>Niger</v>
          </cell>
        </row>
        <row r="210">
          <cell r="A210" t="str">
            <v>Norfolk Island</v>
          </cell>
        </row>
        <row r="211">
          <cell r="A211" t="str">
            <v>Niue</v>
          </cell>
        </row>
        <row r="212">
          <cell r="A212" t="str">
            <v>Nauru</v>
          </cell>
        </row>
        <row r="213">
          <cell r="A213" t="str">
            <v>Pitcairn Islands</v>
          </cell>
        </row>
        <row r="214">
          <cell r="A214" t="str">
            <v>Palau</v>
          </cell>
        </row>
        <row r="215">
          <cell r="A215" t="str">
            <v>Papua New Guinea</v>
          </cell>
        </row>
        <row r="216">
          <cell r="A216" t="str">
            <v>North Korea</v>
          </cell>
        </row>
        <row r="217">
          <cell r="A217" t="str">
            <v>Palestine</v>
          </cell>
        </row>
        <row r="218">
          <cell r="A218" t="str">
            <v>French Polynesia</v>
          </cell>
        </row>
        <row r="219">
          <cell r="A219" t="str">
            <v>RÃ©union</v>
          </cell>
        </row>
        <row r="220">
          <cell r="A220" t="str">
            <v>Sudan</v>
          </cell>
        </row>
        <row r="221">
          <cell r="A221" t="str">
            <v>South Georgia &amp; South Sandwich Islands</v>
          </cell>
        </row>
        <row r="222">
          <cell r="A222" t="str">
            <v>Svalbard &amp; Jan Mayen</v>
          </cell>
        </row>
        <row r="223">
          <cell r="A223" t="str">
            <v>Solomon Islands</v>
          </cell>
        </row>
        <row r="224">
          <cell r="A224" t="str">
            <v>Sierra Leone</v>
          </cell>
        </row>
        <row r="225">
          <cell r="A225" t="str">
            <v>San Marino</v>
          </cell>
        </row>
        <row r="226">
          <cell r="A226" t="str">
            <v>Somalia</v>
          </cell>
        </row>
        <row r="227">
          <cell r="A227" t="str">
            <v>St. Pierre &amp; Miquelon</v>
          </cell>
        </row>
        <row r="228">
          <cell r="A228" t="str">
            <v>South Sudan</v>
          </cell>
        </row>
        <row r="229">
          <cell r="A229" t="str">
            <v>SÃ£o TomÃ© &amp; PrÃ­ncipe</v>
          </cell>
        </row>
        <row r="230">
          <cell r="A230" t="str">
            <v>Suriname</v>
          </cell>
        </row>
        <row r="231">
          <cell r="A231" t="str">
            <v>Eswatini</v>
          </cell>
        </row>
        <row r="232">
          <cell r="A232" t="str">
            <v>Sint Maarten</v>
          </cell>
        </row>
        <row r="233">
          <cell r="A233" t="str">
            <v>Seychelles</v>
          </cell>
        </row>
        <row r="234">
          <cell r="A234" t="str">
            <v>Turks &amp; Caicos Islands</v>
          </cell>
        </row>
        <row r="235">
          <cell r="A235" t="str">
            <v>Chad</v>
          </cell>
        </row>
        <row r="236">
          <cell r="A236" t="str">
            <v>Togo</v>
          </cell>
        </row>
        <row r="237">
          <cell r="A237" t="str">
            <v>Tajikistan</v>
          </cell>
        </row>
        <row r="238">
          <cell r="A238" t="str">
            <v>Tokelau</v>
          </cell>
        </row>
        <row r="239">
          <cell r="A239" t="str">
            <v>Turkmenistan</v>
          </cell>
        </row>
        <row r="240">
          <cell r="A240" t="str">
            <v>Timor-Leste</v>
          </cell>
        </row>
        <row r="241">
          <cell r="A241" t="str">
            <v>Tonga</v>
          </cell>
        </row>
        <row r="242">
          <cell r="A242" t="str">
            <v>Tuvalu</v>
          </cell>
        </row>
        <row r="243">
          <cell r="A243" t="str">
            <v>Uganda</v>
          </cell>
        </row>
        <row r="244">
          <cell r="A244" t="str">
            <v>U.S. Outlying Islands</v>
          </cell>
        </row>
        <row r="245">
          <cell r="A245" t="str">
            <v>Uzbekistan</v>
          </cell>
        </row>
        <row r="246">
          <cell r="A246" t="str">
            <v>Vatican City</v>
          </cell>
        </row>
        <row r="247">
          <cell r="A247" t="str">
            <v>St. Vincent &amp; Grenadines</v>
          </cell>
        </row>
        <row r="248">
          <cell r="A248" t="str">
            <v>British Virgin Islands</v>
          </cell>
        </row>
        <row r="249">
          <cell r="A249" t="str">
            <v>U.S. Virgin Islands</v>
          </cell>
        </row>
        <row r="250">
          <cell r="A250" t="str">
            <v>Vanuatu</v>
          </cell>
        </row>
        <row r="251">
          <cell r="A251" t="str">
            <v>Wallis &amp; Futuna</v>
          </cell>
        </row>
        <row r="252">
          <cell r="A252" t="str">
            <v>Samoa</v>
          </cell>
        </row>
        <row r="253">
          <cell r="A253" t="str">
            <v>Kosovo</v>
          </cell>
        </row>
      </sheetData>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40)"/>
    </sheetNames>
    <sheetDataSet>
      <sheetData sheetId="0" refreshError="1">
        <row r="1">
          <cell r="A1" t="str">
            <v>Category: All categories</v>
          </cell>
        </row>
        <row r="3">
          <cell r="A3" t="str">
            <v>Country</v>
          </cell>
          <cell r="B3" t="str">
            <v>Mutual exclusion: (2018)</v>
          </cell>
          <cell r="C3" t="str">
            <v>Halting problem: (2018)</v>
          </cell>
        </row>
        <row r="4">
          <cell r="A4" t="str">
            <v>China</v>
          </cell>
          <cell r="B4">
            <v>0.95</v>
          </cell>
          <cell r="C4">
            <v>0.05</v>
          </cell>
        </row>
        <row r="5">
          <cell r="A5" t="str">
            <v>Taiwan</v>
          </cell>
          <cell r="B5">
            <v>0.92</v>
          </cell>
          <cell r="C5">
            <v>0.08</v>
          </cell>
        </row>
        <row r="6">
          <cell r="A6" t="str">
            <v>Japan</v>
          </cell>
          <cell r="B6">
            <v>0.95</v>
          </cell>
          <cell r="C6">
            <v>0.05</v>
          </cell>
        </row>
        <row r="7">
          <cell r="A7" t="str">
            <v>Israel</v>
          </cell>
          <cell r="B7">
            <v>0.74</v>
          </cell>
          <cell r="C7">
            <v>0.26</v>
          </cell>
        </row>
        <row r="8">
          <cell r="A8" t="str">
            <v>Kenya</v>
          </cell>
          <cell r="B8">
            <v>1</v>
          </cell>
        </row>
        <row r="9">
          <cell r="A9" t="str">
            <v>St. Helena</v>
          </cell>
          <cell r="B9">
            <v>1</v>
          </cell>
        </row>
        <row r="10">
          <cell r="A10" t="str">
            <v>Belarus</v>
          </cell>
          <cell r="B10">
            <v>1</v>
          </cell>
        </row>
        <row r="11">
          <cell r="A11" t="str">
            <v>Czechia</v>
          </cell>
          <cell r="B11">
            <v>0.84</v>
          </cell>
          <cell r="C11">
            <v>0.16</v>
          </cell>
        </row>
        <row r="12">
          <cell r="A12" t="str">
            <v>Zimbabwe</v>
          </cell>
        </row>
        <row r="13">
          <cell r="A13" t="str">
            <v>Nepal</v>
          </cell>
        </row>
        <row r="14">
          <cell r="A14" t="str">
            <v>Russia</v>
          </cell>
          <cell r="B14">
            <v>0.96</v>
          </cell>
          <cell r="C14">
            <v>0.04</v>
          </cell>
        </row>
        <row r="15">
          <cell r="A15" t="str">
            <v>Austria</v>
          </cell>
          <cell r="B15">
            <v>0.85</v>
          </cell>
          <cell r="C15">
            <v>0.15</v>
          </cell>
        </row>
        <row r="16">
          <cell r="A16" t="str">
            <v>Germany</v>
          </cell>
          <cell r="B16">
            <v>0.81</v>
          </cell>
          <cell r="C16">
            <v>0.19</v>
          </cell>
        </row>
        <row r="17">
          <cell r="A17" t="str">
            <v>Norway</v>
          </cell>
          <cell r="B17">
            <v>0.92</v>
          </cell>
          <cell r="C17">
            <v>0.08</v>
          </cell>
        </row>
        <row r="18">
          <cell r="A18" t="str">
            <v>Finland</v>
          </cell>
          <cell r="B18">
            <v>0.85</v>
          </cell>
          <cell r="C18">
            <v>0.15</v>
          </cell>
        </row>
        <row r="19">
          <cell r="A19" t="str">
            <v>Ukraine</v>
          </cell>
          <cell r="B19">
            <v>1</v>
          </cell>
        </row>
        <row r="20">
          <cell r="A20" t="str">
            <v>Portugal</v>
          </cell>
          <cell r="B20">
            <v>1</v>
          </cell>
        </row>
        <row r="21">
          <cell r="A21" t="str">
            <v>Algeria</v>
          </cell>
          <cell r="B21">
            <v>1</v>
          </cell>
        </row>
        <row r="22">
          <cell r="A22" t="str">
            <v>Hungary</v>
          </cell>
          <cell r="B22">
            <v>1</v>
          </cell>
        </row>
        <row r="23">
          <cell r="A23" t="str">
            <v>Laos</v>
          </cell>
        </row>
        <row r="24">
          <cell r="A24" t="str">
            <v>Poland</v>
          </cell>
          <cell r="B24">
            <v>0.92</v>
          </cell>
          <cell r="C24">
            <v>0.08</v>
          </cell>
        </row>
        <row r="25">
          <cell r="A25" t="str">
            <v>South Korea</v>
          </cell>
          <cell r="B25">
            <v>0.61</v>
          </cell>
          <cell r="C25">
            <v>0.39</v>
          </cell>
        </row>
        <row r="26">
          <cell r="A26" t="str">
            <v>Sweden</v>
          </cell>
          <cell r="B26">
            <v>0.87</v>
          </cell>
          <cell r="C26">
            <v>0.13</v>
          </cell>
        </row>
        <row r="27">
          <cell r="A27" t="str">
            <v>India</v>
          </cell>
          <cell r="B27">
            <v>0.79</v>
          </cell>
          <cell r="C27">
            <v>0.21</v>
          </cell>
        </row>
        <row r="28">
          <cell r="A28" t="str">
            <v>Sri Lanka</v>
          </cell>
          <cell r="B28">
            <v>1</v>
          </cell>
        </row>
        <row r="29">
          <cell r="A29" t="str">
            <v>Costa Rica</v>
          </cell>
          <cell r="B29">
            <v>1</v>
          </cell>
        </row>
        <row r="30">
          <cell r="A30" t="str">
            <v>Switzerland</v>
          </cell>
          <cell r="B30">
            <v>0.79</v>
          </cell>
          <cell r="C30">
            <v>0.21</v>
          </cell>
        </row>
        <row r="31">
          <cell r="A31" t="str">
            <v>Pakistan</v>
          </cell>
          <cell r="B31">
            <v>0.85</v>
          </cell>
          <cell r="C31">
            <v>0.15</v>
          </cell>
        </row>
        <row r="32">
          <cell r="A32" t="str">
            <v>Hong Kong</v>
          </cell>
          <cell r="B32">
            <v>1</v>
          </cell>
        </row>
        <row r="33">
          <cell r="A33" t="str">
            <v>Singapore</v>
          </cell>
          <cell r="B33">
            <v>0.8</v>
          </cell>
          <cell r="C33">
            <v>0.2</v>
          </cell>
        </row>
        <row r="34">
          <cell r="A34" t="str">
            <v>Netherlands</v>
          </cell>
          <cell r="B34">
            <v>0.86</v>
          </cell>
          <cell r="C34">
            <v>0.14000000000000001</v>
          </cell>
        </row>
        <row r="35">
          <cell r="A35" t="str">
            <v>Serbia</v>
          </cell>
          <cell r="B35">
            <v>1</v>
          </cell>
        </row>
        <row r="36">
          <cell r="A36" t="str">
            <v>Italy</v>
          </cell>
          <cell r="B36">
            <v>0.88</v>
          </cell>
          <cell r="C36">
            <v>0.12</v>
          </cell>
        </row>
        <row r="37">
          <cell r="A37" t="str">
            <v>Bulgaria</v>
          </cell>
          <cell r="B37">
            <v>1</v>
          </cell>
        </row>
        <row r="38">
          <cell r="A38" t="str">
            <v>Guatemala</v>
          </cell>
          <cell r="B38">
            <v>1</v>
          </cell>
        </row>
        <row r="39">
          <cell r="A39" t="str">
            <v>Lithuania</v>
          </cell>
          <cell r="B39">
            <v>1</v>
          </cell>
        </row>
        <row r="40">
          <cell r="A40" t="str">
            <v>Croatia</v>
          </cell>
          <cell r="B40">
            <v>1</v>
          </cell>
        </row>
        <row r="41">
          <cell r="A41" t="str">
            <v>Spain</v>
          </cell>
          <cell r="B41">
            <v>0.88</v>
          </cell>
          <cell r="C41">
            <v>0.12</v>
          </cell>
        </row>
        <row r="42">
          <cell r="A42" t="str">
            <v>Ireland</v>
          </cell>
          <cell r="B42">
            <v>0.69</v>
          </cell>
          <cell r="C42">
            <v>0.31</v>
          </cell>
        </row>
        <row r="43">
          <cell r="A43" t="str">
            <v>Slovakia</v>
          </cell>
          <cell r="B43">
            <v>1</v>
          </cell>
        </row>
        <row r="44">
          <cell r="A44" t="str">
            <v>Nigeria</v>
          </cell>
          <cell r="B44">
            <v>0.8</v>
          </cell>
          <cell r="C44">
            <v>0.2</v>
          </cell>
        </row>
        <row r="45">
          <cell r="A45" t="str">
            <v>Tunisia</v>
          </cell>
        </row>
        <row r="46">
          <cell r="A46" t="str">
            <v>France</v>
          </cell>
          <cell r="B46">
            <v>0.59</v>
          </cell>
          <cell r="C46">
            <v>0.41</v>
          </cell>
        </row>
        <row r="47">
          <cell r="A47" t="str">
            <v>Greece</v>
          </cell>
          <cell r="B47">
            <v>0.69</v>
          </cell>
          <cell r="C47">
            <v>0.31</v>
          </cell>
        </row>
        <row r="48">
          <cell r="A48" t="str">
            <v>Mexico</v>
          </cell>
          <cell r="B48">
            <v>0.88</v>
          </cell>
          <cell r="C48">
            <v>0.12</v>
          </cell>
        </row>
        <row r="49">
          <cell r="A49" t="str">
            <v>Canada</v>
          </cell>
          <cell r="B49">
            <v>0.48</v>
          </cell>
          <cell r="C49">
            <v>0.52</v>
          </cell>
        </row>
        <row r="50">
          <cell r="A50" t="str">
            <v>Bangladesh</v>
          </cell>
          <cell r="B50">
            <v>1</v>
          </cell>
        </row>
        <row r="51">
          <cell r="A51" t="str">
            <v>Romania</v>
          </cell>
          <cell r="B51">
            <v>0.73</v>
          </cell>
          <cell r="C51">
            <v>0.27</v>
          </cell>
        </row>
        <row r="52">
          <cell r="A52" t="str">
            <v>Uruguay</v>
          </cell>
        </row>
        <row r="53">
          <cell r="A53" t="str">
            <v>Bolivia</v>
          </cell>
        </row>
        <row r="54">
          <cell r="A54" t="str">
            <v>Belgium</v>
          </cell>
          <cell r="B54">
            <v>0.68</v>
          </cell>
          <cell r="C54">
            <v>0.32</v>
          </cell>
        </row>
        <row r="55">
          <cell r="A55" t="str">
            <v>Argentina</v>
          </cell>
          <cell r="B55">
            <v>1</v>
          </cell>
        </row>
        <row r="56">
          <cell r="A56" t="str">
            <v>Vietnam</v>
          </cell>
          <cell r="B56">
            <v>0.72</v>
          </cell>
          <cell r="C56">
            <v>0.28000000000000003</v>
          </cell>
        </row>
        <row r="57">
          <cell r="A57" t="str">
            <v>Brazil</v>
          </cell>
          <cell r="B57">
            <v>0.87</v>
          </cell>
          <cell r="C57">
            <v>0.13</v>
          </cell>
        </row>
        <row r="58">
          <cell r="A58" t="str">
            <v>United States</v>
          </cell>
          <cell r="B58">
            <v>0.59</v>
          </cell>
          <cell r="C58">
            <v>0.41</v>
          </cell>
        </row>
        <row r="59">
          <cell r="A59" t="str">
            <v>Kazakhstan</v>
          </cell>
          <cell r="B59">
            <v>1</v>
          </cell>
        </row>
        <row r="60">
          <cell r="A60" t="str">
            <v>New Zealand</v>
          </cell>
        </row>
        <row r="61">
          <cell r="A61" t="str">
            <v>Indonesia</v>
          </cell>
          <cell r="B61">
            <v>0.95</v>
          </cell>
          <cell r="C61">
            <v>0.05</v>
          </cell>
        </row>
        <row r="62">
          <cell r="A62" t="str">
            <v>Morocco</v>
          </cell>
        </row>
        <row r="63">
          <cell r="A63" t="str">
            <v>Ecuador</v>
          </cell>
          <cell r="B63">
            <v>1</v>
          </cell>
        </row>
        <row r="64">
          <cell r="A64" t="str">
            <v>Australia</v>
          </cell>
          <cell r="B64">
            <v>0.65</v>
          </cell>
          <cell r="C64">
            <v>0.35</v>
          </cell>
        </row>
        <row r="65">
          <cell r="A65" t="str">
            <v>South Africa</v>
          </cell>
          <cell r="B65">
            <v>1</v>
          </cell>
        </row>
        <row r="66">
          <cell r="A66" t="str">
            <v>Philippines</v>
          </cell>
          <cell r="B66">
            <v>0.82</v>
          </cell>
          <cell r="C66">
            <v>0.18</v>
          </cell>
        </row>
        <row r="67">
          <cell r="A67" t="str">
            <v>Denmark</v>
          </cell>
          <cell r="B67">
            <v>0.55000000000000004</v>
          </cell>
          <cell r="C67">
            <v>0.45</v>
          </cell>
        </row>
        <row r="68">
          <cell r="A68" t="str">
            <v>Malaysia</v>
          </cell>
          <cell r="B68">
            <v>0.65</v>
          </cell>
          <cell r="C68">
            <v>0.35</v>
          </cell>
        </row>
        <row r="69">
          <cell r="A69" t="str">
            <v>United Kingdom</v>
          </cell>
          <cell r="B69">
            <v>0.49</v>
          </cell>
          <cell r="C69">
            <v>0.51</v>
          </cell>
        </row>
        <row r="70">
          <cell r="A70" t="str">
            <v>Peru</v>
          </cell>
          <cell r="B70">
            <v>0.8</v>
          </cell>
          <cell r="C70">
            <v>0.2</v>
          </cell>
        </row>
        <row r="71">
          <cell r="A71" t="str">
            <v>Chile</v>
          </cell>
          <cell r="B71">
            <v>1</v>
          </cell>
        </row>
        <row r="72">
          <cell r="A72" t="str">
            <v>Colombia</v>
          </cell>
          <cell r="B72">
            <v>1</v>
          </cell>
        </row>
        <row r="73">
          <cell r="A73" t="str">
            <v>Egypt</v>
          </cell>
          <cell r="B73">
            <v>0.5</v>
          </cell>
          <cell r="C73">
            <v>0.5</v>
          </cell>
        </row>
        <row r="74">
          <cell r="A74" t="str">
            <v>Thailand</v>
          </cell>
          <cell r="B74">
            <v>1</v>
          </cell>
        </row>
        <row r="75">
          <cell r="A75" t="str">
            <v>Venezuela</v>
          </cell>
        </row>
        <row r="76">
          <cell r="A76" t="str">
            <v>Iran</v>
          </cell>
          <cell r="B76">
            <v>1</v>
          </cell>
        </row>
        <row r="77">
          <cell r="A77" t="str">
            <v>Turkey</v>
          </cell>
          <cell r="B77">
            <v>0.73</v>
          </cell>
          <cell r="C77">
            <v>0.27</v>
          </cell>
        </row>
        <row r="78">
          <cell r="A78" t="str">
            <v>Macao</v>
          </cell>
        </row>
        <row r="79">
          <cell r="A79" t="str">
            <v>Guyana</v>
          </cell>
        </row>
        <row r="80">
          <cell r="A80" t="str">
            <v>Benin</v>
          </cell>
        </row>
        <row r="81">
          <cell r="A81" t="str">
            <v>Rwanda</v>
          </cell>
        </row>
        <row r="82">
          <cell r="A82" t="str">
            <v>Namibia</v>
          </cell>
        </row>
        <row r="83">
          <cell r="A83" t="str">
            <v>Mali</v>
          </cell>
        </row>
        <row r="84">
          <cell r="A84" t="str">
            <v>Burkina Faso</v>
          </cell>
        </row>
        <row r="85">
          <cell r="A85" t="str">
            <v>CÃ´te dâ€™Ivoire</v>
          </cell>
        </row>
        <row r="86">
          <cell r="A86" t="str">
            <v>Zambia</v>
          </cell>
        </row>
        <row r="87">
          <cell r="A87" t="str">
            <v>Armenia</v>
          </cell>
        </row>
        <row r="88">
          <cell r="A88" t="str">
            <v>Congo - Kinshasa</v>
          </cell>
        </row>
        <row r="89">
          <cell r="A89" t="str">
            <v>Brunei</v>
          </cell>
        </row>
        <row r="90">
          <cell r="A90" t="str">
            <v>Trinidad &amp; Tobago</v>
          </cell>
        </row>
        <row r="91">
          <cell r="A91" t="str">
            <v>Cameroon</v>
          </cell>
        </row>
        <row r="92">
          <cell r="A92" t="str">
            <v>Angola</v>
          </cell>
        </row>
        <row r="93">
          <cell r="A93" t="str">
            <v>Mongolia</v>
          </cell>
        </row>
        <row r="94">
          <cell r="A94" t="str">
            <v>Ethiopia</v>
          </cell>
        </row>
        <row r="95">
          <cell r="A95" t="str">
            <v>Montenegro</v>
          </cell>
        </row>
        <row r="96">
          <cell r="A96" t="str">
            <v>Tanzania</v>
          </cell>
        </row>
        <row r="97">
          <cell r="A97" t="str">
            <v>Latvia</v>
          </cell>
        </row>
        <row r="98">
          <cell r="A98" t="str">
            <v>Mozambique</v>
          </cell>
        </row>
        <row r="99">
          <cell r="A99" t="str">
            <v>Senegal</v>
          </cell>
        </row>
        <row r="100">
          <cell r="A100" t="str">
            <v>Bosnia &amp; Herzegovina</v>
          </cell>
        </row>
        <row r="101">
          <cell r="A101" t="str">
            <v>Estonia</v>
          </cell>
        </row>
        <row r="102">
          <cell r="A102" t="str">
            <v>Kyrgyzstan</v>
          </cell>
        </row>
        <row r="103">
          <cell r="A103" t="str">
            <v>Syria</v>
          </cell>
        </row>
        <row r="104">
          <cell r="A104" t="str">
            <v>Luxembourg</v>
          </cell>
        </row>
        <row r="105">
          <cell r="A105" t="str">
            <v>Azerbaijan</v>
          </cell>
        </row>
        <row r="106">
          <cell r="A106" t="str">
            <v>Nicaragua</v>
          </cell>
        </row>
        <row r="107">
          <cell r="A107" t="str">
            <v>Georgia</v>
          </cell>
        </row>
        <row r="108">
          <cell r="A108" t="str">
            <v>North Macedonia</v>
          </cell>
        </row>
        <row r="109">
          <cell r="A109" t="str">
            <v>Slovenia</v>
          </cell>
        </row>
        <row r="110">
          <cell r="A110" t="str">
            <v>Yemen</v>
          </cell>
        </row>
        <row r="111">
          <cell r="A111" t="str">
            <v>Albania</v>
          </cell>
        </row>
        <row r="112">
          <cell r="A112" t="str">
            <v>Myanmar (Burma)</v>
          </cell>
        </row>
        <row r="113">
          <cell r="A113" t="str">
            <v>Moldova</v>
          </cell>
        </row>
        <row r="114">
          <cell r="A114" t="str">
            <v>Oman</v>
          </cell>
        </row>
        <row r="115">
          <cell r="A115" t="str">
            <v>Cyprus</v>
          </cell>
        </row>
        <row r="116">
          <cell r="A116" t="str">
            <v>Honduras</v>
          </cell>
        </row>
        <row r="117">
          <cell r="A117" t="str">
            <v>El Salvador</v>
          </cell>
        </row>
        <row r="118">
          <cell r="A118" t="str">
            <v>Qatar</v>
          </cell>
        </row>
        <row r="119">
          <cell r="A119" t="str">
            <v>Puerto Rico</v>
          </cell>
        </row>
        <row r="120">
          <cell r="A120" t="str">
            <v>Panama</v>
          </cell>
        </row>
        <row r="121">
          <cell r="A121" t="str">
            <v>Paraguay</v>
          </cell>
        </row>
        <row r="122">
          <cell r="A122" t="str">
            <v>Dominican Republic</v>
          </cell>
        </row>
        <row r="123">
          <cell r="A123" t="str">
            <v>Iraq</v>
          </cell>
        </row>
        <row r="124">
          <cell r="A124" t="str">
            <v>United Arab Emirates</v>
          </cell>
        </row>
        <row r="125">
          <cell r="A125" t="str">
            <v>Saudi Arabia</v>
          </cell>
        </row>
        <row r="126">
          <cell r="A126" t="str">
            <v>Aruba</v>
          </cell>
        </row>
        <row r="127">
          <cell r="A127" t="str">
            <v>Afghanistan</v>
          </cell>
        </row>
        <row r="128">
          <cell r="A128" t="str">
            <v>Anguilla</v>
          </cell>
        </row>
        <row r="129">
          <cell r="A129" t="str">
            <v>Ã…land Islands</v>
          </cell>
        </row>
        <row r="130">
          <cell r="A130" t="str">
            <v>Andorra</v>
          </cell>
        </row>
        <row r="131">
          <cell r="A131" t="str">
            <v>American Samoa</v>
          </cell>
        </row>
        <row r="132">
          <cell r="A132" t="str">
            <v>Antarctica</v>
          </cell>
        </row>
        <row r="133">
          <cell r="A133" t="str">
            <v>French Southern Territories</v>
          </cell>
        </row>
        <row r="134">
          <cell r="A134" t="str">
            <v>Antigua &amp; Barbuda</v>
          </cell>
        </row>
        <row r="135">
          <cell r="A135" t="str">
            <v>Burundi</v>
          </cell>
        </row>
        <row r="136">
          <cell r="A136" t="str">
            <v>Caribbean Netherlands</v>
          </cell>
        </row>
        <row r="137">
          <cell r="A137" t="str">
            <v>Bahrain</v>
          </cell>
        </row>
        <row r="138">
          <cell r="A138" t="str">
            <v>Bahamas</v>
          </cell>
        </row>
        <row r="139">
          <cell r="A139" t="str">
            <v>St. BarthÃ©lemy</v>
          </cell>
        </row>
        <row r="140">
          <cell r="A140" t="str">
            <v>Belize</v>
          </cell>
        </row>
        <row r="141">
          <cell r="A141" t="str">
            <v>Bermuda</v>
          </cell>
        </row>
        <row r="142">
          <cell r="A142" t="str">
            <v>Barbados</v>
          </cell>
        </row>
        <row r="143">
          <cell r="A143" t="str">
            <v>Bhutan</v>
          </cell>
        </row>
        <row r="144">
          <cell r="A144" t="str">
            <v>Bouvet Island</v>
          </cell>
        </row>
        <row r="145">
          <cell r="A145" t="str">
            <v>Botswana</v>
          </cell>
        </row>
        <row r="146">
          <cell r="A146" t="str">
            <v>Central African Republic</v>
          </cell>
        </row>
        <row r="147">
          <cell r="A147" t="str">
            <v>Cocos (Keeling) Islands</v>
          </cell>
        </row>
        <row r="148">
          <cell r="A148" t="str">
            <v>Congo - Brazzaville</v>
          </cell>
        </row>
        <row r="149">
          <cell r="A149" t="str">
            <v>Cook Islands</v>
          </cell>
        </row>
        <row r="150">
          <cell r="A150" t="str">
            <v>Comoros</v>
          </cell>
        </row>
        <row r="151">
          <cell r="A151" t="str">
            <v>Cape Verde</v>
          </cell>
        </row>
        <row r="152">
          <cell r="A152" t="str">
            <v>Cuba</v>
          </cell>
        </row>
        <row r="153">
          <cell r="A153" t="str">
            <v>CuraÃ§ao</v>
          </cell>
        </row>
        <row r="154">
          <cell r="A154" t="str">
            <v>Christmas Island</v>
          </cell>
        </row>
        <row r="155">
          <cell r="A155" t="str">
            <v>Cayman Islands</v>
          </cell>
        </row>
        <row r="156">
          <cell r="A156" t="str">
            <v>Djibouti</v>
          </cell>
        </row>
        <row r="157">
          <cell r="A157" t="str">
            <v>Dominica</v>
          </cell>
        </row>
        <row r="158">
          <cell r="A158" t="str">
            <v>Eritrea</v>
          </cell>
        </row>
        <row r="159">
          <cell r="A159" t="str">
            <v>Western Sahara</v>
          </cell>
        </row>
        <row r="160">
          <cell r="A160" t="str">
            <v>Fiji</v>
          </cell>
        </row>
        <row r="161">
          <cell r="A161" t="str">
            <v>Falkland Islands (Islas Malvinas)</v>
          </cell>
        </row>
        <row r="162">
          <cell r="A162" t="str">
            <v>Faroe Islands</v>
          </cell>
        </row>
        <row r="163">
          <cell r="A163" t="str">
            <v>Micronesia</v>
          </cell>
        </row>
        <row r="164">
          <cell r="A164" t="str">
            <v>Gabon</v>
          </cell>
        </row>
        <row r="165">
          <cell r="A165" t="str">
            <v>Guernsey</v>
          </cell>
        </row>
        <row r="166">
          <cell r="A166" t="str">
            <v>Ghana</v>
          </cell>
        </row>
        <row r="167">
          <cell r="A167" t="str">
            <v>Gibraltar</v>
          </cell>
        </row>
        <row r="168">
          <cell r="A168" t="str">
            <v>Guinea</v>
          </cell>
        </row>
        <row r="169">
          <cell r="A169" t="str">
            <v>Guadeloupe</v>
          </cell>
        </row>
        <row r="170">
          <cell r="A170" t="str">
            <v>Gambia</v>
          </cell>
        </row>
        <row r="171">
          <cell r="A171" t="str">
            <v>Guinea-Bissau</v>
          </cell>
        </row>
        <row r="172">
          <cell r="A172" t="str">
            <v>Equatorial Guinea</v>
          </cell>
        </row>
        <row r="173">
          <cell r="A173" t="str">
            <v>Grenada</v>
          </cell>
        </row>
        <row r="174">
          <cell r="A174" t="str">
            <v>Greenland</v>
          </cell>
        </row>
        <row r="175">
          <cell r="A175" t="str">
            <v>French Guiana</v>
          </cell>
        </row>
        <row r="176">
          <cell r="A176" t="str">
            <v>Guam</v>
          </cell>
        </row>
        <row r="177">
          <cell r="A177" t="str">
            <v>Heard &amp; McDonald Islands</v>
          </cell>
        </row>
        <row r="178">
          <cell r="A178" t="str">
            <v>Haiti</v>
          </cell>
        </row>
        <row r="179">
          <cell r="A179" t="str">
            <v>Isle of Man</v>
          </cell>
        </row>
        <row r="180">
          <cell r="A180" t="str">
            <v>British Indian Ocean Territory</v>
          </cell>
        </row>
        <row r="181">
          <cell r="A181" t="str">
            <v>Iceland</v>
          </cell>
        </row>
        <row r="182">
          <cell r="A182" t="str">
            <v>Jamaica</v>
          </cell>
        </row>
        <row r="183">
          <cell r="A183" t="str">
            <v>Jersey</v>
          </cell>
        </row>
        <row r="184">
          <cell r="A184" t="str">
            <v>Jordan</v>
          </cell>
        </row>
        <row r="185">
          <cell r="A185" t="str">
            <v>Cambodia</v>
          </cell>
        </row>
        <row r="186">
          <cell r="A186" t="str">
            <v>Kiribati</v>
          </cell>
        </row>
        <row r="187">
          <cell r="A187" t="str">
            <v>St. Kitts &amp; Nevis</v>
          </cell>
        </row>
        <row r="188">
          <cell r="A188" t="str">
            <v>Kuwait</v>
          </cell>
        </row>
        <row r="189">
          <cell r="A189" t="str">
            <v>Lebanon</v>
          </cell>
        </row>
        <row r="190">
          <cell r="A190" t="str">
            <v>Liberia</v>
          </cell>
        </row>
        <row r="191">
          <cell r="A191" t="str">
            <v>Libya</v>
          </cell>
        </row>
        <row r="192">
          <cell r="A192" t="str">
            <v>St. Lucia</v>
          </cell>
        </row>
        <row r="193">
          <cell r="A193" t="str">
            <v>Liechtenstein</v>
          </cell>
        </row>
        <row r="194">
          <cell r="A194" t="str">
            <v>Lesotho</v>
          </cell>
        </row>
        <row r="195">
          <cell r="A195" t="str">
            <v>St. Martin</v>
          </cell>
        </row>
        <row r="196">
          <cell r="A196" t="str">
            <v>Monaco</v>
          </cell>
        </row>
        <row r="197">
          <cell r="A197" t="str">
            <v>Madagascar</v>
          </cell>
        </row>
        <row r="198">
          <cell r="A198" t="str">
            <v>Maldives</v>
          </cell>
        </row>
        <row r="199">
          <cell r="A199" t="str">
            <v>Marshall Islands</v>
          </cell>
        </row>
        <row r="200">
          <cell r="A200" t="str">
            <v>Malta</v>
          </cell>
        </row>
        <row r="201">
          <cell r="A201" t="str">
            <v>Northern Mariana Islands</v>
          </cell>
        </row>
        <row r="202">
          <cell r="A202" t="str">
            <v>Mauritania</v>
          </cell>
        </row>
        <row r="203">
          <cell r="A203" t="str">
            <v>Montserrat</v>
          </cell>
        </row>
        <row r="204">
          <cell r="A204" t="str">
            <v>Martinique</v>
          </cell>
        </row>
        <row r="205">
          <cell r="A205" t="str">
            <v>Mauritius</v>
          </cell>
        </row>
        <row r="206">
          <cell r="A206" t="str">
            <v>Malawi</v>
          </cell>
        </row>
        <row r="207">
          <cell r="A207" t="str">
            <v>Mayotte</v>
          </cell>
        </row>
        <row r="208">
          <cell r="A208" t="str">
            <v>New Caledonia</v>
          </cell>
        </row>
        <row r="209">
          <cell r="A209" t="str">
            <v>Niger</v>
          </cell>
        </row>
        <row r="210">
          <cell r="A210" t="str">
            <v>Norfolk Island</v>
          </cell>
        </row>
        <row r="211">
          <cell r="A211" t="str">
            <v>Niue</v>
          </cell>
        </row>
        <row r="212">
          <cell r="A212" t="str">
            <v>Nauru</v>
          </cell>
        </row>
        <row r="213">
          <cell r="A213" t="str">
            <v>Pitcairn Islands</v>
          </cell>
        </row>
        <row r="214">
          <cell r="A214" t="str">
            <v>Palau</v>
          </cell>
        </row>
        <row r="215">
          <cell r="A215" t="str">
            <v>Papua New Guinea</v>
          </cell>
        </row>
        <row r="216">
          <cell r="A216" t="str">
            <v>North Korea</v>
          </cell>
        </row>
        <row r="217">
          <cell r="A217" t="str">
            <v>Palestine</v>
          </cell>
        </row>
        <row r="218">
          <cell r="A218" t="str">
            <v>French Polynesia</v>
          </cell>
        </row>
        <row r="219">
          <cell r="A219" t="str">
            <v>RÃ©union</v>
          </cell>
        </row>
        <row r="220">
          <cell r="A220" t="str">
            <v>Sudan</v>
          </cell>
        </row>
        <row r="221">
          <cell r="A221" t="str">
            <v>South Georgia &amp; South Sandwich Islands</v>
          </cell>
        </row>
        <row r="222">
          <cell r="A222" t="str">
            <v>Svalbard &amp; Jan Mayen</v>
          </cell>
        </row>
        <row r="223">
          <cell r="A223" t="str">
            <v>Solomon Islands</v>
          </cell>
        </row>
        <row r="224">
          <cell r="A224" t="str">
            <v>Sierra Leone</v>
          </cell>
        </row>
        <row r="225">
          <cell r="A225" t="str">
            <v>San Marino</v>
          </cell>
        </row>
        <row r="226">
          <cell r="A226" t="str">
            <v>Somalia</v>
          </cell>
        </row>
        <row r="227">
          <cell r="A227" t="str">
            <v>St. Pierre &amp; Miquelon</v>
          </cell>
        </row>
        <row r="228">
          <cell r="A228" t="str">
            <v>South Sudan</v>
          </cell>
        </row>
        <row r="229">
          <cell r="A229" t="str">
            <v>SÃ£o TomÃ© &amp; PrÃ­ncipe</v>
          </cell>
        </row>
        <row r="230">
          <cell r="A230" t="str">
            <v>Suriname</v>
          </cell>
        </row>
        <row r="231">
          <cell r="A231" t="str">
            <v>Eswatini</v>
          </cell>
        </row>
        <row r="232">
          <cell r="A232" t="str">
            <v>Sint Maarten</v>
          </cell>
        </row>
        <row r="233">
          <cell r="A233" t="str">
            <v>Seychelles</v>
          </cell>
        </row>
        <row r="234">
          <cell r="A234" t="str">
            <v>Turks &amp; Caicos Islands</v>
          </cell>
        </row>
        <row r="235">
          <cell r="A235" t="str">
            <v>Chad</v>
          </cell>
        </row>
        <row r="236">
          <cell r="A236" t="str">
            <v>Togo</v>
          </cell>
        </row>
        <row r="237">
          <cell r="A237" t="str">
            <v>Tajikistan</v>
          </cell>
        </row>
        <row r="238">
          <cell r="A238" t="str">
            <v>Tokelau</v>
          </cell>
        </row>
        <row r="239">
          <cell r="A239" t="str">
            <v>Turkmenistan</v>
          </cell>
        </row>
        <row r="240">
          <cell r="A240" t="str">
            <v>Timor-Leste</v>
          </cell>
        </row>
        <row r="241">
          <cell r="A241" t="str">
            <v>Tonga</v>
          </cell>
        </row>
        <row r="242">
          <cell r="A242" t="str">
            <v>Tuvalu</v>
          </cell>
        </row>
        <row r="243">
          <cell r="A243" t="str">
            <v>Uganda</v>
          </cell>
        </row>
        <row r="244">
          <cell r="A244" t="str">
            <v>U.S. Outlying Islands</v>
          </cell>
        </row>
        <row r="245">
          <cell r="A245" t="str">
            <v>Uzbekistan</v>
          </cell>
        </row>
        <row r="246">
          <cell r="A246" t="str">
            <v>Vatican City</v>
          </cell>
        </row>
        <row r="247">
          <cell r="A247" t="str">
            <v>St. Vincent &amp; Grenadines</v>
          </cell>
        </row>
        <row r="248">
          <cell r="A248" t="str">
            <v>British Virgin Islands</v>
          </cell>
        </row>
        <row r="249">
          <cell r="A249" t="str">
            <v>U.S. Virgin Islands</v>
          </cell>
        </row>
        <row r="250">
          <cell r="A250" t="str">
            <v>Vanuatu</v>
          </cell>
        </row>
        <row r="251">
          <cell r="A251" t="str">
            <v>Wallis &amp; Futuna</v>
          </cell>
        </row>
        <row r="252">
          <cell r="A252" t="str">
            <v>Samoa</v>
          </cell>
        </row>
        <row r="253">
          <cell r="A253" t="str">
            <v>Kosovo</v>
          </cell>
        </row>
      </sheetData>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41)"/>
    </sheetNames>
    <sheetDataSet>
      <sheetData sheetId="0" refreshError="1">
        <row r="1">
          <cell r="A1" t="str">
            <v>Category: All categories</v>
          </cell>
        </row>
        <row r="3">
          <cell r="A3" t="str">
            <v>Country</v>
          </cell>
          <cell r="B3" t="str">
            <v>Mutual exclusion: (2018)</v>
          </cell>
          <cell r="C3" t="str">
            <v>Heuristic evaluation: (2018)</v>
          </cell>
        </row>
        <row r="4">
          <cell r="A4" t="str">
            <v>China</v>
          </cell>
          <cell r="B4">
            <v>1</v>
          </cell>
        </row>
        <row r="5">
          <cell r="A5" t="str">
            <v>Taiwan</v>
          </cell>
          <cell r="B5">
            <v>1</v>
          </cell>
        </row>
        <row r="6">
          <cell r="A6" t="str">
            <v>St. Helena</v>
          </cell>
          <cell r="B6">
            <v>1</v>
          </cell>
        </row>
        <row r="7">
          <cell r="A7" t="str">
            <v>Israel</v>
          </cell>
          <cell r="B7">
            <v>1</v>
          </cell>
        </row>
        <row r="8">
          <cell r="A8" t="str">
            <v>Japan</v>
          </cell>
          <cell r="B8">
            <v>1</v>
          </cell>
        </row>
        <row r="9">
          <cell r="A9" t="str">
            <v>Belarus</v>
          </cell>
          <cell r="B9">
            <v>1</v>
          </cell>
        </row>
        <row r="10">
          <cell r="A10" t="str">
            <v>Austria</v>
          </cell>
          <cell r="B10">
            <v>0.94</v>
          </cell>
          <cell r="C10">
            <v>0.06</v>
          </cell>
        </row>
        <row r="11">
          <cell r="A11" t="str">
            <v>Kenya</v>
          </cell>
          <cell r="B11">
            <v>0.8</v>
          </cell>
          <cell r="C11">
            <v>0.2</v>
          </cell>
        </row>
        <row r="12">
          <cell r="A12" t="str">
            <v>Zimbabwe</v>
          </cell>
        </row>
        <row r="13">
          <cell r="A13" t="str">
            <v>Nepal</v>
          </cell>
          <cell r="B13">
            <v>1</v>
          </cell>
        </row>
        <row r="14">
          <cell r="A14" t="str">
            <v>Russia</v>
          </cell>
          <cell r="B14">
            <v>1</v>
          </cell>
        </row>
        <row r="15">
          <cell r="A15" t="str">
            <v>Germany</v>
          </cell>
          <cell r="B15">
            <v>0.95</v>
          </cell>
          <cell r="C15">
            <v>0.05</v>
          </cell>
        </row>
        <row r="16">
          <cell r="A16" t="str">
            <v>Czechia</v>
          </cell>
          <cell r="B16">
            <v>1</v>
          </cell>
        </row>
        <row r="17">
          <cell r="A17" t="str">
            <v>Finland</v>
          </cell>
          <cell r="B17">
            <v>1</v>
          </cell>
        </row>
        <row r="18">
          <cell r="A18" t="str">
            <v>Sweden</v>
          </cell>
          <cell r="B18">
            <v>0.78</v>
          </cell>
          <cell r="C18">
            <v>0.22</v>
          </cell>
        </row>
        <row r="19">
          <cell r="A19" t="str">
            <v>Lithuania</v>
          </cell>
          <cell r="B19">
            <v>1</v>
          </cell>
        </row>
        <row r="20">
          <cell r="A20" t="str">
            <v>Ukraine</v>
          </cell>
          <cell r="B20">
            <v>1</v>
          </cell>
        </row>
        <row r="21">
          <cell r="A21" t="str">
            <v>Norway</v>
          </cell>
          <cell r="B21">
            <v>1</v>
          </cell>
        </row>
        <row r="22">
          <cell r="A22" t="str">
            <v>Poland</v>
          </cell>
          <cell r="B22">
            <v>1</v>
          </cell>
        </row>
        <row r="23">
          <cell r="A23" t="str">
            <v>Costa Rica</v>
          </cell>
          <cell r="B23">
            <v>1</v>
          </cell>
        </row>
        <row r="24">
          <cell r="A24" t="str">
            <v>South Korea</v>
          </cell>
          <cell r="B24">
            <v>0.86</v>
          </cell>
          <cell r="C24">
            <v>0.14000000000000001</v>
          </cell>
        </row>
        <row r="25">
          <cell r="A25" t="str">
            <v>Hungary</v>
          </cell>
          <cell r="B25">
            <v>1</v>
          </cell>
        </row>
        <row r="26">
          <cell r="A26" t="str">
            <v>Laos</v>
          </cell>
        </row>
        <row r="27">
          <cell r="A27" t="str">
            <v>Portugal</v>
          </cell>
          <cell r="B27">
            <v>1</v>
          </cell>
        </row>
        <row r="28">
          <cell r="A28" t="str">
            <v>Croatia</v>
          </cell>
          <cell r="B28">
            <v>1</v>
          </cell>
        </row>
        <row r="29">
          <cell r="A29" t="str">
            <v>Sri Lanka</v>
          </cell>
          <cell r="B29">
            <v>1</v>
          </cell>
        </row>
        <row r="30">
          <cell r="A30" t="str">
            <v>Guatemala</v>
          </cell>
          <cell r="B30">
            <v>1</v>
          </cell>
        </row>
        <row r="31">
          <cell r="A31" t="str">
            <v>Algeria</v>
          </cell>
          <cell r="B31">
            <v>1</v>
          </cell>
        </row>
        <row r="32">
          <cell r="A32" t="str">
            <v>India</v>
          </cell>
          <cell r="B32">
            <v>0.86</v>
          </cell>
          <cell r="C32">
            <v>0.14000000000000001</v>
          </cell>
        </row>
        <row r="33">
          <cell r="A33" t="str">
            <v>Switzerland</v>
          </cell>
          <cell r="B33">
            <v>1</v>
          </cell>
        </row>
        <row r="34">
          <cell r="A34" t="str">
            <v>Pakistan</v>
          </cell>
          <cell r="B34">
            <v>0.7</v>
          </cell>
          <cell r="C34">
            <v>0.3</v>
          </cell>
        </row>
        <row r="35">
          <cell r="A35" t="str">
            <v>Singapore</v>
          </cell>
          <cell r="B35">
            <v>0.56999999999999995</v>
          </cell>
          <cell r="C35">
            <v>0.43</v>
          </cell>
        </row>
        <row r="36">
          <cell r="A36" t="str">
            <v>Slovakia</v>
          </cell>
          <cell r="B36">
            <v>1</v>
          </cell>
        </row>
        <row r="37">
          <cell r="A37" t="str">
            <v>Ethiopia</v>
          </cell>
        </row>
        <row r="38">
          <cell r="A38" t="str">
            <v>Hong Kong</v>
          </cell>
          <cell r="B38">
            <v>1</v>
          </cell>
        </row>
        <row r="39">
          <cell r="A39" t="str">
            <v>Italy</v>
          </cell>
          <cell r="B39">
            <v>1</v>
          </cell>
        </row>
        <row r="40">
          <cell r="A40" t="str">
            <v>Spain</v>
          </cell>
          <cell r="B40">
            <v>1</v>
          </cell>
        </row>
        <row r="41">
          <cell r="A41" t="str">
            <v>Nigeria</v>
          </cell>
          <cell r="B41">
            <v>1</v>
          </cell>
        </row>
        <row r="42">
          <cell r="A42" t="str">
            <v>Tunisia</v>
          </cell>
        </row>
        <row r="43">
          <cell r="A43" t="str">
            <v>Ireland</v>
          </cell>
          <cell r="B43">
            <v>0.5</v>
          </cell>
          <cell r="C43">
            <v>0.5</v>
          </cell>
        </row>
        <row r="44">
          <cell r="A44" t="str">
            <v>Netherlands</v>
          </cell>
          <cell r="B44">
            <v>0.69</v>
          </cell>
          <cell r="C44">
            <v>0.31</v>
          </cell>
        </row>
        <row r="45">
          <cell r="A45" t="str">
            <v>Malaysia</v>
          </cell>
          <cell r="B45">
            <v>0.35</v>
          </cell>
          <cell r="C45">
            <v>0.65</v>
          </cell>
        </row>
        <row r="46">
          <cell r="A46" t="str">
            <v>Bulgaria</v>
          </cell>
          <cell r="B46">
            <v>1</v>
          </cell>
        </row>
        <row r="47">
          <cell r="A47" t="str">
            <v>Kazakhstan</v>
          </cell>
          <cell r="B47">
            <v>1</v>
          </cell>
        </row>
        <row r="48">
          <cell r="A48" t="str">
            <v>Uruguay</v>
          </cell>
        </row>
        <row r="49">
          <cell r="A49" t="str">
            <v>France</v>
          </cell>
          <cell r="B49">
            <v>1</v>
          </cell>
        </row>
        <row r="50">
          <cell r="A50" t="str">
            <v>Serbia</v>
          </cell>
          <cell r="B50">
            <v>1</v>
          </cell>
        </row>
        <row r="51">
          <cell r="A51" t="str">
            <v>Argentina</v>
          </cell>
          <cell r="B51">
            <v>1</v>
          </cell>
        </row>
        <row r="52">
          <cell r="A52" t="str">
            <v>Bangladesh</v>
          </cell>
          <cell r="B52">
            <v>1</v>
          </cell>
        </row>
        <row r="53">
          <cell r="A53" t="str">
            <v>Mexico</v>
          </cell>
          <cell r="B53">
            <v>1</v>
          </cell>
        </row>
        <row r="54">
          <cell r="A54" t="str">
            <v>Belgium</v>
          </cell>
          <cell r="B54">
            <v>1</v>
          </cell>
        </row>
        <row r="55">
          <cell r="A55" t="str">
            <v>Canada</v>
          </cell>
          <cell r="B55">
            <v>0.63</v>
          </cell>
          <cell r="C55">
            <v>0.37</v>
          </cell>
        </row>
        <row r="56">
          <cell r="A56" t="str">
            <v>Brazil</v>
          </cell>
          <cell r="B56">
            <v>1</v>
          </cell>
        </row>
        <row r="57">
          <cell r="A57" t="str">
            <v>Ecuador</v>
          </cell>
          <cell r="B57">
            <v>1</v>
          </cell>
        </row>
        <row r="58">
          <cell r="A58" t="str">
            <v>Peru</v>
          </cell>
          <cell r="B58">
            <v>1</v>
          </cell>
        </row>
        <row r="59">
          <cell r="A59" t="str">
            <v>Greece</v>
          </cell>
          <cell r="B59">
            <v>1</v>
          </cell>
        </row>
        <row r="60">
          <cell r="A60" t="str">
            <v>New Zealand</v>
          </cell>
        </row>
        <row r="61">
          <cell r="A61" t="str">
            <v>Indonesia</v>
          </cell>
          <cell r="B61">
            <v>0.76</v>
          </cell>
          <cell r="C61">
            <v>0.24</v>
          </cell>
        </row>
        <row r="62">
          <cell r="A62" t="str">
            <v>United States</v>
          </cell>
          <cell r="B62">
            <v>0.57999999999999996</v>
          </cell>
          <cell r="C62">
            <v>0.42</v>
          </cell>
        </row>
        <row r="63">
          <cell r="A63" t="str">
            <v>Australia</v>
          </cell>
          <cell r="B63">
            <v>0.44</v>
          </cell>
          <cell r="C63">
            <v>0.56000000000000005</v>
          </cell>
        </row>
        <row r="64">
          <cell r="A64" t="str">
            <v>Philippines</v>
          </cell>
          <cell r="B64">
            <v>0.43</v>
          </cell>
          <cell r="C64">
            <v>0.56999999999999995</v>
          </cell>
        </row>
        <row r="65">
          <cell r="A65" t="str">
            <v>Morocco</v>
          </cell>
        </row>
        <row r="66">
          <cell r="A66" t="str">
            <v>Vietnam</v>
          </cell>
          <cell r="B66">
            <v>1</v>
          </cell>
        </row>
        <row r="67">
          <cell r="A67" t="str">
            <v>South Africa</v>
          </cell>
          <cell r="B67">
            <v>0.59</v>
          </cell>
          <cell r="C67">
            <v>0.41</v>
          </cell>
        </row>
        <row r="68">
          <cell r="A68" t="str">
            <v>Bolivia</v>
          </cell>
        </row>
        <row r="69">
          <cell r="A69" t="str">
            <v>Chile</v>
          </cell>
          <cell r="B69">
            <v>1</v>
          </cell>
        </row>
        <row r="70">
          <cell r="A70" t="str">
            <v>United Kingdom</v>
          </cell>
          <cell r="B70">
            <v>0.49</v>
          </cell>
          <cell r="C70">
            <v>0.51</v>
          </cell>
        </row>
        <row r="71">
          <cell r="A71" t="str">
            <v>Egypt</v>
          </cell>
          <cell r="B71">
            <v>0.78</v>
          </cell>
          <cell r="C71">
            <v>0.22</v>
          </cell>
        </row>
        <row r="72">
          <cell r="A72" t="str">
            <v>Saudi Arabia</v>
          </cell>
        </row>
        <row r="73">
          <cell r="A73" t="str">
            <v>Romania</v>
          </cell>
          <cell r="B73">
            <v>1</v>
          </cell>
        </row>
        <row r="74">
          <cell r="A74" t="str">
            <v>Colombia</v>
          </cell>
          <cell r="B74">
            <v>1</v>
          </cell>
        </row>
        <row r="75">
          <cell r="A75" t="str">
            <v>Thailand</v>
          </cell>
          <cell r="B75">
            <v>1</v>
          </cell>
        </row>
        <row r="76">
          <cell r="A76" t="str">
            <v>Venezuela</v>
          </cell>
        </row>
        <row r="77">
          <cell r="A77" t="str">
            <v>Iran</v>
          </cell>
          <cell r="B77">
            <v>1</v>
          </cell>
        </row>
        <row r="78">
          <cell r="A78" t="str">
            <v>Turkey</v>
          </cell>
          <cell r="B78">
            <v>1</v>
          </cell>
        </row>
        <row r="79">
          <cell r="A79" t="str">
            <v>United Arab Emirates</v>
          </cell>
        </row>
        <row r="80">
          <cell r="A80" t="str">
            <v>San Marino</v>
          </cell>
        </row>
        <row r="81">
          <cell r="A81" t="str">
            <v>Rwanda</v>
          </cell>
        </row>
        <row r="82">
          <cell r="A82" t="str">
            <v>Fiji</v>
          </cell>
        </row>
        <row r="83">
          <cell r="A83" t="str">
            <v>Benin</v>
          </cell>
        </row>
        <row r="84">
          <cell r="A84" t="str">
            <v>Angola</v>
          </cell>
        </row>
        <row r="85">
          <cell r="A85" t="str">
            <v>Mali</v>
          </cell>
        </row>
        <row r="86">
          <cell r="A86" t="str">
            <v>Madagascar</v>
          </cell>
        </row>
        <row r="87">
          <cell r="A87" t="str">
            <v>CÃ´te dâ€™Ivoire</v>
          </cell>
        </row>
        <row r="88">
          <cell r="A88" t="str">
            <v>Congo - Kinshasa</v>
          </cell>
        </row>
        <row r="89">
          <cell r="A89" t="str">
            <v>Cameroon</v>
          </cell>
        </row>
        <row r="90">
          <cell r="A90" t="str">
            <v>Brunei</v>
          </cell>
        </row>
        <row r="91">
          <cell r="A91" t="str">
            <v>Estonia</v>
          </cell>
        </row>
        <row r="92">
          <cell r="A92" t="str">
            <v>Zambia</v>
          </cell>
        </row>
        <row r="93">
          <cell r="A93" t="str">
            <v>Armenia</v>
          </cell>
        </row>
        <row r="94">
          <cell r="A94" t="str">
            <v>Trinidad &amp; Tobago</v>
          </cell>
        </row>
        <row r="95">
          <cell r="A95" t="str">
            <v>Mongolia</v>
          </cell>
        </row>
        <row r="96">
          <cell r="A96" t="str">
            <v>Mozambique</v>
          </cell>
        </row>
        <row r="97">
          <cell r="A97" t="str">
            <v>Senegal</v>
          </cell>
        </row>
        <row r="98">
          <cell r="A98" t="str">
            <v>Mauritius</v>
          </cell>
        </row>
        <row r="99">
          <cell r="A99" t="str">
            <v>Albania</v>
          </cell>
        </row>
        <row r="100">
          <cell r="A100" t="str">
            <v>Lebanon</v>
          </cell>
        </row>
        <row r="101">
          <cell r="A101" t="str">
            <v>Slovenia</v>
          </cell>
        </row>
        <row r="102">
          <cell r="A102" t="str">
            <v>Tanzania</v>
          </cell>
        </row>
        <row r="103">
          <cell r="A103" t="str">
            <v>Latvia</v>
          </cell>
        </row>
        <row r="104">
          <cell r="A104" t="str">
            <v>Bahrain</v>
          </cell>
        </row>
        <row r="105">
          <cell r="A105" t="str">
            <v>Libya</v>
          </cell>
        </row>
        <row r="106">
          <cell r="A106" t="str">
            <v>Syria</v>
          </cell>
        </row>
        <row r="107">
          <cell r="A107" t="str">
            <v>Nicaragua</v>
          </cell>
        </row>
        <row r="108">
          <cell r="A108" t="str">
            <v>North Macedonia</v>
          </cell>
        </row>
        <row r="109">
          <cell r="A109" t="str">
            <v>Myanmar (Burma)</v>
          </cell>
        </row>
        <row r="110">
          <cell r="A110" t="str">
            <v>Moldova</v>
          </cell>
        </row>
        <row r="111">
          <cell r="A111" t="str">
            <v>Bosnia &amp; Herzegovina</v>
          </cell>
        </row>
        <row r="112">
          <cell r="A112" t="str">
            <v>Azerbaijan</v>
          </cell>
        </row>
        <row r="113">
          <cell r="A113" t="str">
            <v>Dominican Republic</v>
          </cell>
        </row>
        <row r="114">
          <cell r="A114" t="str">
            <v>Sudan</v>
          </cell>
        </row>
        <row r="115">
          <cell r="A115" t="str">
            <v>Oman</v>
          </cell>
        </row>
        <row r="116">
          <cell r="A116" t="str">
            <v>Cyprus</v>
          </cell>
        </row>
        <row r="117">
          <cell r="A117" t="str">
            <v>Honduras</v>
          </cell>
        </row>
        <row r="118">
          <cell r="A118" t="str">
            <v>Kyrgyzstan</v>
          </cell>
        </row>
        <row r="119">
          <cell r="A119" t="str">
            <v>El Salvador</v>
          </cell>
        </row>
        <row r="120">
          <cell r="A120" t="str">
            <v>Qatar</v>
          </cell>
        </row>
        <row r="121">
          <cell r="A121" t="str">
            <v>Paraguay</v>
          </cell>
        </row>
        <row r="122">
          <cell r="A122" t="str">
            <v>Denmark</v>
          </cell>
        </row>
        <row r="123">
          <cell r="A123" t="str">
            <v>Aruba</v>
          </cell>
        </row>
        <row r="124">
          <cell r="A124" t="str">
            <v>Afghanistan</v>
          </cell>
        </row>
        <row r="125">
          <cell r="A125" t="str">
            <v>Anguilla</v>
          </cell>
        </row>
        <row r="126">
          <cell r="A126" t="str">
            <v>Ã…land Islands</v>
          </cell>
        </row>
        <row r="127">
          <cell r="A127" t="str">
            <v>Andorra</v>
          </cell>
        </row>
        <row r="128">
          <cell r="A128" t="str">
            <v>American Samoa</v>
          </cell>
        </row>
        <row r="129">
          <cell r="A129" t="str">
            <v>Antarctica</v>
          </cell>
        </row>
        <row r="130">
          <cell r="A130" t="str">
            <v>French Southern Territories</v>
          </cell>
        </row>
        <row r="131">
          <cell r="A131" t="str">
            <v>Antigua &amp; Barbuda</v>
          </cell>
        </row>
        <row r="132">
          <cell r="A132" t="str">
            <v>Burundi</v>
          </cell>
        </row>
        <row r="133">
          <cell r="A133" t="str">
            <v>Caribbean Netherlands</v>
          </cell>
        </row>
        <row r="134">
          <cell r="A134" t="str">
            <v>Burkina Faso</v>
          </cell>
        </row>
        <row r="135">
          <cell r="A135" t="str">
            <v>Bahamas</v>
          </cell>
        </row>
        <row r="136">
          <cell r="A136" t="str">
            <v>St. BarthÃ©lemy</v>
          </cell>
        </row>
        <row r="137">
          <cell r="A137" t="str">
            <v>Belize</v>
          </cell>
        </row>
        <row r="138">
          <cell r="A138" t="str">
            <v>Bermuda</v>
          </cell>
        </row>
        <row r="139">
          <cell r="A139" t="str">
            <v>Barbados</v>
          </cell>
        </row>
        <row r="140">
          <cell r="A140" t="str">
            <v>Bhutan</v>
          </cell>
        </row>
        <row r="141">
          <cell r="A141" t="str">
            <v>Bouvet Island</v>
          </cell>
        </row>
        <row r="142">
          <cell r="A142" t="str">
            <v>Botswana</v>
          </cell>
        </row>
        <row r="143">
          <cell r="A143" t="str">
            <v>Central African Republic</v>
          </cell>
        </row>
        <row r="144">
          <cell r="A144" t="str">
            <v>Cocos (Keeling) Islands</v>
          </cell>
        </row>
        <row r="145">
          <cell r="A145" t="str">
            <v>Congo - Brazzaville</v>
          </cell>
        </row>
        <row r="146">
          <cell r="A146" t="str">
            <v>Cook Islands</v>
          </cell>
        </row>
        <row r="147">
          <cell r="A147" t="str">
            <v>Comoros</v>
          </cell>
        </row>
        <row r="148">
          <cell r="A148" t="str">
            <v>Cape Verde</v>
          </cell>
        </row>
        <row r="149">
          <cell r="A149" t="str">
            <v>Cuba</v>
          </cell>
        </row>
        <row r="150">
          <cell r="A150" t="str">
            <v>CuraÃ§ao</v>
          </cell>
        </row>
        <row r="151">
          <cell r="A151" t="str">
            <v>Christmas Island</v>
          </cell>
        </row>
        <row r="152">
          <cell r="A152" t="str">
            <v>Cayman Islands</v>
          </cell>
        </row>
        <row r="153">
          <cell r="A153" t="str">
            <v>Djibouti</v>
          </cell>
        </row>
        <row r="154">
          <cell r="A154" t="str">
            <v>Dominica</v>
          </cell>
        </row>
        <row r="155">
          <cell r="A155" t="str">
            <v>Eritrea</v>
          </cell>
        </row>
        <row r="156">
          <cell r="A156" t="str">
            <v>Western Sahara</v>
          </cell>
        </row>
        <row r="157">
          <cell r="A157" t="str">
            <v>Falkland Islands (Islas Malvinas)</v>
          </cell>
        </row>
        <row r="158">
          <cell r="A158" t="str">
            <v>Faroe Islands</v>
          </cell>
        </row>
        <row r="159">
          <cell r="A159" t="str">
            <v>Micronesia</v>
          </cell>
        </row>
        <row r="160">
          <cell r="A160" t="str">
            <v>Gabon</v>
          </cell>
        </row>
        <row r="161">
          <cell r="A161" t="str">
            <v>Georgia</v>
          </cell>
        </row>
        <row r="162">
          <cell r="A162" t="str">
            <v>Guernsey</v>
          </cell>
        </row>
        <row r="163">
          <cell r="A163" t="str">
            <v>Ghana</v>
          </cell>
        </row>
        <row r="164">
          <cell r="A164" t="str">
            <v>Gibraltar</v>
          </cell>
        </row>
        <row r="165">
          <cell r="A165" t="str">
            <v>Guinea</v>
          </cell>
        </row>
        <row r="166">
          <cell r="A166" t="str">
            <v>Guadeloupe</v>
          </cell>
        </row>
        <row r="167">
          <cell r="A167" t="str">
            <v>Gambia</v>
          </cell>
        </row>
        <row r="168">
          <cell r="A168" t="str">
            <v>Guinea-Bissau</v>
          </cell>
        </row>
        <row r="169">
          <cell r="A169" t="str">
            <v>Equatorial Guinea</v>
          </cell>
        </row>
        <row r="170">
          <cell r="A170" t="str">
            <v>Grenada</v>
          </cell>
        </row>
        <row r="171">
          <cell r="A171" t="str">
            <v>Greenland</v>
          </cell>
        </row>
        <row r="172">
          <cell r="A172" t="str">
            <v>French Guiana</v>
          </cell>
        </row>
        <row r="173">
          <cell r="A173" t="str">
            <v>Guam</v>
          </cell>
        </row>
        <row r="174">
          <cell r="A174" t="str">
            <v>Guyana</v>
          </cell>
        </row>
        <row r="175">
          <cell r="A175" t="str">
            <v>Heard &amp; McDonald Islands</v>
          </cell>
        </row>
        <row r="176">
          <cell r="A176" t="str">
            <v>Haiti</v>
          </cell>
        </row>
        <row r="177">
          <cell r="A177" t="str">
            <v>Isle of Man</v>
          </cell>
        </row>
        <row r="178">
          <cell r="A178" t="str">
            <v>British Indian Ocean Territory</v>
          </cell>
        </row>
        <row r="179">
          <cell r="A179" t="str">
            <v>Iraq</v>
          </cell>
        </row>
        <row r="180">
          <cell r="A180" t="str">
            <v>Iceland</v>
          </cell>
        </row>
        <row r="181">
          <cell r="A181" t="str">
            <v>Jamaica</v>
          </cell>
        </row>
        <row r="182">
          <cell r="A182" t="str">
            <v>Jersey</v>
          </cell>
        </row>
        <row r="183">
          <cell r="A183" t="str">
            <v>Jordan</v>
          </cell>
        </row>
        <row r="184">
          <cell r="A184" t="str">
            <v>Cambodia</v>
          </cell>
        </row>
        <row r="185">
          <cell r="A185" t="str">
            <v>Kiribati</v>
          </cell>
        </row>
        <row r="186">
          <cell r="A186" t="str">
            <v>St. Kitts &amp; Nevis</v>
          </cell>
        </row>
        <row r="187">
          <cell r="A187" t="str">
            <v>Kuwait</v>
          </cell>
        </row>
        <row r="188">
          <cell r="A188" t="str">
            <v>Liberia</v>
          </cell>
        </row>
        <row r="189">
          <cell r="A189" t="str">
            <v>St. Lucia</v>
          </cell>
        </row>
        <row r="190">
          <cell r="A190" t="str">
            <v>Liechtenstein</v>
          </cell>
        </row>
        <row r="191">
          <cell r="A191" t="str">
            <v>Lesotho</v>
          </cell>
        </row>
        <row r="192">
          <cell r="A192" t="str">
            <v>Luxembourg</v>
          </cell>
        </row>
        <row r="193">
          <cell r="A193" t="str">
            <v>Macao</v>
          </cell>
        </row>
        <row r="194">
          <cell r="A194" t="str">
            <v>St. Martin</v>
          </cell>
        </row>
        <row r="195">
          <cell r="A195" t="str">
            <v>Monaco</v>
          </cell>
        </row>
        <row r="196">
          <cell r="A196" t="str">
            <v>Maldives</v>
          </cell>
        </row>
        <row r="197">
          <cell r="A197" t="str">
            <v>Marshall Islands</v>
          </cell>
        </row>
        <row r="198">
          <cell r="A198" t="str">
            <v>Malta</v>
          </cell>
        </row>
        <row r="199">
          <cell r="A199" t="str">
            <v>Montenegro</v>
          </cell>
        </row>
        <row r="200">
          <cell r="A200" t="str">
            <v>Northern Mariana Islands</v>
          </cell>
        </row>
        <row r="201">
          <cell r="A201" t="str">
            <v>Mauritania</v>
          </cell>
        </row>
        <row r="202">
          <cell r="A202" t="str">
            <v>Montserrat</v>
          </cell>
        </row>
        <row r="203">
          <cell r="A203" t="str">
            <v>Martinique</v>
          </cell>
        </row>
        <row r="204">
          <cell r="A204" t="str">
            <v>Malawi</v>
          </cell>
        </row>
        <row r="205">
          <cell r="A205" t="str">
            <v>Mayotte</v>
          </cell>
        </row>
        <row r="206">
          <cell r="A206" t="str">
            <v>Namibia</v>
          </cell>
        </row>
        <row r="207">
          <cell r="A207" t="str">
            <v>New Caledonia</v>
          </cell>
        </row>
        <row r="208">
          <cell r="A208" t="str">
            <v>Niger</v>
          </cell>
        </row>
        <row r="209">
          <cell r="A209" t="str">
            <v>Norfolk Island</v>
          </cell>
        </row>
        <row r="210">
          <cell r="A210" t="str">
            <v>Niue</v>
          </cell>
        </row>
        <row r="211">
          <cell r="A211" t="str">
            <v>Nauru</v>
          </cell>
        </row>
        <row r="212">
          <cell r="A212" t="str">
            <v>Panama</v>
          </cell>
        </row>
        <row r="213">
          <cell r="A213" t="str">
            <v>Pitcairn Islands</v>
          </cell>
        </row>
        <row r="214">
          <cell r="A214" t="str">
            <v>Palau</v>
          </cell>
        </row>
        <row r="215">
          <cell r="A215" t="str">
            <v>Papua New Guinea</v>
          </cell>
        </row>
        <row r="216">
          <cell r="A216" t="str">
            <v>Puerto Rico</v>
          </cell>
        </row>
        <row r="217">
          <cell r="A217" t="str">
            <v>North Korea</v>
          </cell>
        </row>
        <row r="218">
          <cell r="A218" t="str">
            <v>Palestine</v>
          </cell>
        </row>
        <row r="219">
          <cell r="A219" t="str">
            <v>French Polynesia</v>
          </cell>
        </row>
        <row r="220">
          <cell r="A220" t="str">
            <v>RÃ©union</v>
          </cell>
        </row>
        <row r="221">
          <cell r="A221" t="str">
            <v>South Georgia &amp; South Sandwich Islands</v>
          </cell>
        </row>
        <row r="222">
          <cell r="A222" t="str">
            <v>Svalbard &amp; Jan Mayen</v>
          </cell>
        </row>
        <row r="223">
          <cell r="A223" t="str">
            <v>Solomon Islands</v>
          </cell>
        </row>
        <row r="224">
          <cell r="A224" t="str">
            <v>Sierra Leone</v>
          </cell>
        </row>
        <row r="225">
          <cell r="A225" t="str">
            <v>Somalia</v>
          </cell>
        </row>
        <row r="226">
          <cell r="A226" t="str">
            <v>St. Pierre &amp; Miquelon</v>
          </cell>
        </row>
        <row r="227">
          <cell r="A227" t="str">
            <v>South Sudan</v>
          </cell>
        </row>
        <row r="228">
          <cell r="A228" t="str">
            <v>SÃ£o TomÃ© &amp; PrÃ­ncipe</v>
          </cell>
        </row>
        <row r="229">
          <cell r="A229" t="str">
            <v>Suriname</v>
          </cell>
        </row>
        <row r="230">
          <cell r="A230" t="str">
            <v>Eswatini</v>
          </cell>
        </row>
        <row r="231">
          <cell r="A231" t="str">
            <v>Sint Maarten</v>
          </cell>
        </row>
        <row r="232">
          <cell r="A232" t="str">
            <v>Seychelles</v>
          </cell>
        </row>
        <row r="233">
          <cell r="A233" t="str">
            <v>Turks &amp; Caicos Islands</v>
          </cell>
        </row>
        <row r="234">
          <cell r="A234" t="str">
            <v>Chad</v>
          </cell>
        </row>
        <row r="235">
          <cell r="A235" t="str">
            <v>Togo</v>
          </cell>
        </row>
        <row r="236">
          <cell r="A236" t="str">
            <v>Tajikistan</v>
          </cell>
        </row>
        <row r="237">
          <cell r="A237" t="str">
            <v>Tokelau</v>
          </cell>
        </row>
        <row r="238">
          <cell r="A238" t="str">
            <v>Turkmenistan</v>
          </cell>
        </row>
        <row r="239">
          <cell r="A239" t="str">
            <v>Timor-Leste</v>
          </cell>
        </row>
        <row r="240">
          <cell r="A240" t="str">
            <v>Tonga</v>
          </cell>
        </row>
        <row r="241">
          <cell r="A241" t="str">
            <v>Tuvalu</v>
          </cell>
        </row>
        <row r="242">
          <cell r="A242" t="str">
            <v>Uganda</v>
          </cell>
        </row>
        <row r="243">
          <cell r="A243" t="str">
            <v>U.S. Outlying Islands</v>
          </cell>
        </row>
        <row r="244">
          <cell r="A244" t="str">
            <v>Uzbekistan</v>
          </cell>
        </row>
        <row r="245">
          <cell r="A245" t="str">
            <v>Vatican City</v>
          </cell>
        </row>
        <row r="246">
          <cell r="A246" t="str">
            <v>St. Vincent &amp; Grenadines</v>
          </cell>
        </row>
        <row r="247">
          <cell r="A247" t="str">
            <v>British Virgin Islands</v>
          </cell>
        </row>
        <row r="248">
          <cell r="A248" t="str">
            <v>U.S. Virgin Islands</v>
          </cell>
        </row>
        <row r="249">
          <cell r="A249" t="str">
            <v>Vanuatu</v>
          </cell>
        </row>
        <row r="250">
          <cell r="A250" t="str">
            <v>Wallis &amp; Futuna</v>
          </cell>
        </row>
        <row r="251">
          <cell r="A251" t="str">
            <v>Samoa</v>
          </cell>
        </row>
        <row r="252">
          <cell r="A252" t="str">
            <v>Kosovo</v>
          </cell>
        </row>
        <row r="253">
          <cell r="A253" t="str">
            <v>Yemen</v>
          </cell>
        </row>
      </sheetData>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44)"/>
    </sheetNames>
    <sheetDataSet>
      <sheetData sheetId="0" refreshError="1">
        <row r="1">
          <cell r="A1" t="str">
            <v>Category: All categories</v>
          </cell>
        </row>
        <row r="3">
          <cell r="A3" t="str">
            <v>Country</v>
          </cell>
          <cell r="B3" t="str">
            <v>Mutual exclusion: (2018)</v>
          </cell>
          <cell r="C3" t="str">
            <v>Register file: (2018)</v>
          </cell>
        </row>
        <row r="4">
          <cell r="A4" t="str">
            <v>China</v>
          </cell>
          <cell r="B4">
            <v>1</v>
          </cell>
        </row>
        <row r="5">
          <cell r="A5" t="str">
            <v>Taiwan</v>
          </cell>
          <cell r="B5">
            <v>0.96</v>
          </cell>
          <cell r="C5">
            <v>0.04</v>
          </cell>
        </row>
        <row r="6">
          <cell r="A6" t="str">
            <v>Japan</v>
          </cell>
          <cell r="B6">
            <v>0.95</v>
          </cell>
          <cell r="C6">
            <v>0.05</v>
          </cell>
        </row>
        <row r="7">
          <cell r="A7" t="str">
            <v>Israel</v>
          </cell>
          <cell r="B7">
            <v>1</v>
          </cell>
        </row>
        <row r="8">
          <cell r="A8" t="str">
            <v>Kenya</v>
          </cell>
          <cell r="B8">
            <v>1</v>
          </cell>
        </row>
        <row r="9">
          <cell r="A9" t="str">
            <v>St. Helena</v>
          </cell>
          <cell r="B9">
            <v>1</v>
          </cell>
        </row>
        <row r="10">
          <cell r="A10" t="str">
            <v>Belarus</v>
          </cell>
          <cell r="B10">
            <v>1</v>
          </cell>
        </row>
        <row r="11">
          <cell r="A11" t="str">
            <v>Czechia</v>
          </cell>
          <cell r="B11">
            <v>1</v>
          </cell>
        </row>
        <row r="12">
          <cell r="A12" t="str">
            <v>Zimbabwe</v>
          </cell>
        </row>
        <row r="13">
          <cell r="A13" t="str">
            <v>Nepal</v>
          </cell>
          <cell r="B13">
            <v>1</v>
          </cell>
        </row>
        <row r="14">
          <cell r="A14" t="str">
            <v>Russia</v>
          </cell>
          <cell r="B14">
            <v>0.98</v>
          </cell>
          <cell r="C14">
            <v>0.02</v>
          </cell>
        </row>
        <row r="15">
          <cell r="A15" t="str">
            <v>Austria</v>
          </cell>
          <cell r="B15">
            <v>0.81</v>
          </cell>
          <cell r="C15">
            <v>0.19</v>
          </cell>
        </row>
        <row r="16">
          <cell r="A16" t="str">
            <v>Germany</v>
          </cell>
          <cell r="B16">
            <v>0.93</v>
          </cell>
          <cell r="C16">
            <v>7.0000000000000007E-2</v>
          </cell>
        </row>
        <row r="17">
          <cell r="A17" t="str">
            <v>Norway</v>
          </cell>
          <cell r="B17">
            <v>1</v>
          </cell>
        </row>
        <row r="18">
          <cell r="A18" t="str">
            <v>Ethiopia</v>
          </cell>
        </row>
        <row r="19">
          <cell r="A19" t="str">
            <v>Finland</v>
          </cell>
          <cell r="B19">
            <v>1</v>
          </cell>
        </row>
        <row r="20">
          <cell r="A20" t="str">
            <v>Ukraine</v>
          </cell>
          <cell r="B20">
            <v>0.98</v>
          </cell>
          <cell r="C20">
            <v>0.02</v>
          </cell>
        </row>
        <row r="21">
          <cell r="A21" t="str">
            <v>Portugal</v>
          </cell>
          <cell r="B21">
            <v>1</v>
          </cell>
        </row>
        <row r="22">
          <cell r="A22" t="str">
            <v>Algeria</v>
          </cell>
          <cell r="B22">
            <v>1</v>
          </cell>
        </row>
        <row r="23">
          <cell r="A23" t="str">
            <v>Hungary</v>
          </cell>
          <cell r="B23">
            <v>1</v>
          </cell>
        </row>
        <row r="24">
          <cell r="A24" t="str">
            <v>Laos</v>
          </cell>
        </row>
        <row r="25">
          <cell r="A25" t="str">
            <v>Poland</v>
          </cell>
          <cell r="B25">
            <v>1</v>
          </cell>
        </row>
        <row r="26">
          <cell r="A26" t="str">
            <v>South Korea</v>
          </cell>
          <cell r="B26">
            <v>0.77</v>
          </cell>
          <cell r="C26">
            <v>0.23</v>
          </cell>
        </row>
        <row r="27">
          <cell r="A27" t="str">
            <v>Sweden</v>
          </cell>
          <cell r="B27">
            <v>1</v>
          </cell>
        </row>
        <row r="28">
          <cell r="A28" t="str">
            <v>India</v>
          </cell>
          <cell r="B28">
            <v>0.9</v>
          </cell>
          <cell r="C28">
            <v>0.1</v>
          </cell>
        </row>
        <row r="29">
          <cell r="A29" t="str">
            <v>Sri Lanka</v>
          </cell>
        </row>
        <row r="30">
          <cell r="A30" t="str">
            <v>Costa Rica</v>
          </cell>
          <cell r="B30">
            <v>1</v>
          </cell>
        </row>
        <row r="31">
          <cell r="A31" t="str">
            <v>Switzerland</v>
          </cell>
          <cell r="B31">
            <v>1</v>
          </cell>
        </row>
        <row r="32">
          <cell r="A32" t="str">
            <v>Pakistan</v>
          </cell>
          <cell r="B32">
            <v>0.78</v>
          </cell>
          <cell r="C32">
            <v>0.22</v>
          </cell>
        </row>
        <row r="33">
          <cell r="A33" t="str">
            <v>Hong Kong</v>
          </cell>
          <cell r="B33">
            <v>0.86</v>
          </cell>
          <cell r="C33">
            <v>0.14000000000000001</v>
          </cell>
        </row>
        <row r="34">
          <cell r="A34" t="str">
            <v>Singapore</v>
          </cell>
        </row>
        <row r="35">
          <cell r="A35" t="str">
            <v>Netherlands</v>
          </cell>
          <cell r="B35">
            <v>0.92</v>
          </cell>
          <cell r="C35">
            <v>0.08</v>
          </cell>
        </row>
        <row r="36">
          <cell r="A36" t="str">
            <v>Serbia</v>
          </cell>
          <cell r="B36">
            <v>1</v>
          </cell>
        </row>
        <row r="37">
          <cell r="A37" t="str">
            <v>Italy</v>
          </cell>
          <cell r="B37">
            <v>0.93</v>
          </cell>
          <cell r="C37">
            <v>7.0000000000000007E-2</v>
          </cell>
        </row>
        <row r="38">
          <cell r="A38" t="str">
            <v>Bulgaria</v>
          </cell>
          <cell r="B38">
            <v>1</v>
          </cell>
        </row>
        <row r="39">
          <cell r="A39" t="str">
            <v>Guatemala</v>
          </cell>
          <cell r="B39">
            <v>1</v>
          </cell>
        </row>
        <row r="40">
          <cell r="A40" t="str">
            <v>Lithuania</v>
          </cell>
          <cell r="B40">
            <v>1</v>
          </cell>
        </row>
        <row r="41">
          <cell r="A41" t="str">
            <v>Croatia</v>
          </cell>
          <cell r="B41">
            <v>1</v>
          </cell>
        </row>
        <row r="42">
          <cell r="A42" t="str">
            <v>Spain</v>
          </cell>
          <cell r="B42">
            <v>1</v>
          </cell>
        </row>
        <row r="43">
          <cell r="A43" t="str">
            <v>Ireland</v>
          </cell>
          <cell r="B43">
            <v>1</v>
          </cell>
        </row>
        <row r="44">
          <cell r="A44" t="str">
            <v>Slovakia</v>
          </cell>
          <cell r="B44">
            <v>1</v>
          </cell>
        </row>
        <row r="45">
          <cell r="A45" t="str">
            <v>Nigeria</v>
          </cell>
          <cell r="B45">
            <v>1</v>
          </cell>
        </row>
        <row r="46">
          <cell r="A46" t="str">
            <v>Tunisia</v>
          </cell>
        </row>
        <row r="47">
          <cell r="A47" t="str">
            <v>France</v>
          </cell>
          <cell r="B47">
            <v>0.94</v>
          </cell>
          <cell r="C47">
            <v>0.06</v>
          </cell>
        </row>
        <row r="48">
          <cell r="A48" t="str">
            <v>Greece</v>
          </cell>
          <cell r="B48">
            <v>1</v>
          </cell>
        </row>
        <row r="49">
          <cell r="A49" t="str">
            <v>Mexico</v>
          </cell>
          <cell r="B49">
            <v>0.89</v>
          </cell>
          <cell r="C49">
            <v>0.11</v>
          </cell>
        </row>
        <row r="50">
          <cell r="A50" t="str">
            <v>Bangladesh</v>
          </cell>
          <cell r="B50">
            <v>1</v>
          </cell>
        </row>
        <row r="51">
          <cell r="A51" t="str">
            <v>Romania</v>
          </cell>
          <cell r="B51">
            <v>0.87</v>
          </cell>
          <cell r="C51">
            <v>0.13</v>
          </cell>
        </row>
        <row r="52">
          <cell r="A52" t="str">
            <v>Uruguay</v>
          </cell>
        </row>
        <row r="53">
          <cell r="A53" t="str">
            <v>Bolivia</v>
          </cell>
        </row>
        <row r="54">
          <cell r="A54" t="str">
            <v>Belgium</v>
          </cell>
          <cell r="B54">
            <v>1</v>
          </cell>
        </row>
        <row r="55">
          <cell r="A55" t="str">
            <v>Argentina</v>
          </cell>
          <cell r="B55">
            <v>0.9</v>
          </cell>
          <cell r="C55">
            <v>0.1</v>
          </cell>
        </row>
        <row r="56">
          <cell r="A56" t="str">
            <v>Canada</v>
          </cell>
          <cell r="B56">
            <v>0.77</v>
          </cell>
          <cell r="C56">
            <v>0.23</v>
          </cell>
        </row>
        <row r="57">
          <cell r="A57" t="str">
            <v>Vietnam</v>
          </cell>
          <cell r="B57">
            <v>1</v>
          </cell>
        </row>
        <row r="58">
          <cell r="A58" t="str">
            <v>Brazil</v>
          </cell>
          <cell r="B58">
            <v>0.96</v>
          </cell>
          <cell r="C58">
            <v>0.04</v>
          </cell>
        </row>
        <row r="59">
          <cell r="A59" t="str">
            <v>United States</v>
          </cell>
          <cell r="B59">
            <v>0.73</v>
          </cell>
          <cell r="C59">
            <v>0.27</v>
          </cell>
        </row>
        <row r="60">
          <cell r="A60" t="str">
            <v>Kazakhstan</v>
          </cell>
          <cell r="B60">
            <v>1</v>
          </cell>
        </row>
        <row r="61">
          <cell r="A61" t="str">
            <v>New Zealand</v>
          </cell>
        </row>
        <row r="62">
          <cell r="A62" t="str">
            <v>Indonesia</v>
          </cell>
          <cell r="B62">
            <v>0.83</v>
          </cell>
          <cell r="C62">
            <v>0.17</v>
          </cell>
        </row>
        <row r="63">
          <cell r="A63" t="str">
            <v>Morocco</v>
          </cell>
        </row>
        <row r="64">
          <cell r="A64" t="str">
            <v>Saudi Arabia</v>
          </cell>
        </row>
        <row r="65">
          <cell r="A65" t="str">
            <v>Ecuador</v>
          </cell>
          <cell r="B65">
            <v>1</v>
          </cell>
        </row>
        <row r="66">
          <cell r="A66" t="str">
            <v>Australia</v>
          </cell>
          <cell r="B66">
            <v>0.84</v>
          </cell>
          <cell r="C66">
            <v>0.16</v>
          </cell>
        </row>
        <row r="67">
          <cell r="A67" t="str">
            <v>South Africa</v>
          </cell>
          <cell r="B67">
            <v>1</v>
          </cell>
        </row>
        <row r="68">
          <cell r="A68" t="str">
            <v>Philippines</v>
          </cell>
          <cell r="B68">
            <v>0.82</v>
          </cell>
          <cell r="C68">
            <v>0.18</v>
          </cell>
        </row>
        <row r="69">
          <cell r="A69" t="str">
            <v>Denmark</v>
          </cell>
          <cell r="B69">
            <v>1</v>
          </cell>
        </row>
        <row r="70">
          <cell r="A70" t="str">
            <v>Malaysia</v>
          </cell>
          <cell r="B70">
            <v>0.55000000000000004</v>
          </cell>
          <cell r="C70">
            <v>0.45</v>
          </cell>
        </row>
        <row r="71">
          <cell r="A71" t="str">
            <v>United Kingdom</v>
          </cell>
          <cell r="B71">
            <v>0.76</v>
          </cell>
          <cell r="C71">
            <v>0.24</v>
          </cell>
        </row>
        <row r="72">
          <cell r="A72" t="str">
            <v>Peru</v>
          </cell>
          <cell r="B72">
            <v>1</v>
          </cell>
        </row>
        <row r="73">
          <cell r="A73" t="str">
            <v>Chile</v>
          </cell>
          <cell r="B73">
            <v>1</v>
          </cell>
        </row>
        <row r="74">
          <cell r="A74" t="str">
            <v>Colombia</v>
          </cell>
          <cell r="B74">
            <v>1</v>
          </cell>
        </row>
        <row r="75">
          <cell r="A75" t="str">
            <v>Egypt</v>
          </cell>
          <cell r="B75">
            <v>0.5</v>
          </cell>
          <cell r="C75">
            <v>0.5</v>
          </cell>
        </row>
        <row r="76">
          <cell r="A76" t="str">
            <v>Thailand</v>
          </cell>
          <cell r="B76">
            <v>0.82</v>
          </cell>
          <cell r="C76">
            <v>0.18</v>
          </cell>
        </row>
        <row r="77">
          <cell r="A77" t="str">
            <v>Venezuela</v>
          </cell>
        </row>
        <row r="78">
          <cell r="A78" t="str">
            <v>Iran</v>
          </cell>
          <cell r="B78">
            <v>1</v>
          </cell>
        </row>
        <row r="79">
          <cell r="A79" t="str">
            <v>United Arab Emirates</v>
          </cell>
        </row>
        <row r="80">
          <cell r="A80" t="str">
            <v>Turkey</v>
          </cell>
          <cell r="B80">
            <v>0.89</v>
          </cell>
          <cell r="C80">
            <v>0.11</v>
          </cell>
        </row>
        <row r="81">
          <cell r="A81" t="str">
            <v>Macao</v>
          </cell>
        </row>
        <row r="82">
          <cell r="A82" t="str">
            <v>Guyana</v>
          </cell>
        </row>
        <row r="83">
          <cell r="A83" t="str">
            <v>Benin</v>
          </cell>
        </row>
        <row r="84">
          <cell r="A84" t="str">
            <v>Rwanda</v>
          </cell>
        </row>
        <row r="85">
          <cell r="A85" t="str">
            <v>Namibia</v>
          </cell>
        </row>
        <row r="86">
          <cell r="A86" t="str">
            <v>Mali</v>
          </cell>
        </row>
        <row r="87">
          <cell r="A87" t="str">
            <v>Burkina Faso</v>
          </cell>
        </row>
        <row r="88">
          <cell r="A88" t="str">
            <v>CÃ´te dâ€™Ivoire</v>
          </cell>
        </row>
        <row r="89">
          <cell r="A89" t="str">
            <v>Zambia</v>
          </cell>
        </row>
        <row r="90">
          <cell r="A90" t="str">
            <v>Armenia</v>
          </cell>
        </row>
        <row r="91">
          <cell r="A91" t="str">
            <v>Congo - Kinshasa</v>
          </cell>
        </row>
        <row r="92">
          <cell r="A92" t="str">
            <v>Brunei</v>
          </cell>
        </row>
        <row r="93">
          <cell r="A93" t="str">
            <v>Trinidad &amp; Tobago</v>
          </cell>
        </row>
        <row r="94">
          <cell r="A94" t="str">
            <v>Cameroon</v>
          </cell>
        </row>
        <row r="95">
          <cell r="A95" t="str">
            <v>Angola</v>
          </cell>
        </row>
        <row r="96">
          <cell r="A96" t="str">
            <v>Mongolia</v>
          </cell>
        </row>
        <row r="97">
          <cell r="A97" t="str">
            <v>Montenegro</v>
          </cell>
        </row>
        <row r="98">
          <cell r="A98" t="str">
            <v>Tanzania</v>
          </cell>
        </row>
        <row r="99">
          <cell r="A99" t="str">
            <v>Latvia</v>
          </cell>
        </row>
        <row r="100">
          <cell r="A100" t="str">
            <v>Mozambique</v>
          </cell>
        </row>
        <row r="101">
          <cell r="A101" t="str">
            <v>Senegal</v>
          </cell>
        </row>
        <row r="102">
          <cell r="A102" t="str">
            <v>Bosnia &amp; Herzegovina</v>
          </cell>
        </row>
        <row r="103">
          <cell r="A103" t="str">
            <v>Estonia</v>
          </cell>
        </row>
        <row r="104">
          <cell r="A104" t="str">
            <v>Kyrgyzstan</v>
          </cell>
        </row>
        <row r="105">
          <cell r="A105" t="str">
            <v>Syria</v>
          </cell>
        </row>
        <row r="106">
          <cell r="A106" t="str">
            <v>Luxembourg</v>
          </cell>
        </row>
        <row r="107">
          <cell r="A107" t="str">
            <v>Azerbaijan</v>
          </cell>
        </row>
        <row r="108">
          <cell r="A108" t="str">
            <v>Nicaragua</v>
          </cell>
        </row>
        <row r="109">
          <cell r="A109" t="str">
            <v>Georgia</v>
          </cell>
        </row>
        <row r="110">
          <cell r="A110" t="str">
            <v>North Macedonia</v>
          </cell>
        </row>
        <row r="111">
          <cell r="A111" t="str">
            <v>Slovenia</v>
          </cell>
        </row>
        <row r="112">
          <cell r="A112" t="str">
            <v>Yemen</v>
          </cell>
        </row>
        <row r="113">
          <cell r="A113" t="str">
            <v>Albania</v>
          </cell>
        </row>
        <row r="114">
          <cell r="A114" t="str">
            <v>Myanmar (Burma)</v>
          </cell>
        </row>
        <row r="115">
          <cell r="A115" t="str">
            <v>Moldova</v>
          </cell>
        </row>
        <row r="116">
          <cell r="A116" t="str">
            <v>Oman</v>
          </cell>
        </row>
        <row r="117">
          <cell r="A117" t="str">
            <v>Cyprus</v>
          </cell>
        </row>
        <row r="118">
          <cell r="A118" t="str">
            <v>Honduras</v>
          </cell>
        </row>
        <row r="119">
          <cell r="A119" t="str">
            <v>El Salvador</v>
          </cell>
        </row>
        <row r="120">
          <cell r="A120" t="str">
            <v>Qatar</v>
          </cell>
        </row>
        <row r="121">
          <cell r="A121" t="str">
            <v>Puerto Rico</v>
          </cell>
        </row>
        <row r="122">
          <cell r="A122" t="str">
            <v>Panama</v>
          </cell>
        </row>
        <row r="123">
          <cell r="A123" t="str">
            <v>Paraguay</v>
          </cell>
        </row>
        <row r="124">
          <cell r="A124" t="str">
            <v>Dominican Republic</v>
          </cell>
        </row>
        <row r="125">
          <cell r="A125" t="str">
            <v>Iraq</v>
          </cell>
        </row>
        <row r="126">
          <cell r="A126" t="str">
            <v>Aruba</v>
          </cell>
        </row>
        <row r="127">
          <cell r="A127" t="str">
            <v>Afghanistan</v>
          </cell>
        </row>
        <row r="128">
          <cell r="A128" t="str">
            <v>Anguilla</v>
          </cell>
        </row>
        <row r="129">
          <cell r="A129" t="str">
            <v>Ã…land Islands</v>
          </cell>
        </row>
        <row r="130">
          <cell r="A130" t="str">
            <v>Andorra</v>
          </cell>
        </row>
        <row r="131">
          <cell r="A131" t="str">
            <v>American Samoa</v>
          </cell>
        </row>
        <row r="132">
          <cell r="A132" t="str">
            <v>Antarctica</v>
          </cell>
        </row>
        <row r="133">
          <cell r="A133" t="str">
            <v>French Southern Territories</v>
          </cell>
        </row>
        <row r="134">
          <cell r="A134" t="str">
            <v>Antigua &amp; Barbuda</v>
          </cell>
        </row>
        <row r="135">
          <cell r="A135" t="str">
            <v>Burundi</v>
          </cell>
        </row>
        <row r="136">
          <cell r="A136" t="str">
            <v>Caribbean Netherlands</v>
          </cell>
        </row>
        <row r="137">
          <cell r="A137" t="str">
            <v>Bahrain</v>
          </cell>
        </row>
        <row r="138">
          <cell r="A138" t="str">
            <v>Bahamas</v>
          </cell>
        </row>
        <row r="139">
          <cell r="A139" t="str">
            <v>St. BarthÃ©lemy</v>
          </cell>
        </row>
        <row r="140">
          <cell r="A140" t="str">
            <v>Belize</v>
          </cell>
        </row>
        <row r="141">
          <cell r="A141" t="str">
            <v>Bermuda</v>
          </cell>
        </row>
        <row r="142">
          <cell r="A142" t="str">
            <v>Barbados</v>
          </cell>
        </row>
        <row r="143">
          <cell r="A143" t="str">
            <v>Bhutan</v>
          </cell>
        </row>
        <row r="144">
          <cell r="A144" t="str">
            <v>Bouvet Island</v>
          </cell>
        </row>
        <row r="145">
          <cell r="A145" t="str">
            <v>Botswana</v>
          </cell>
        </row>
        <row r="146">
          <cell r="A146" t="str">
            <v>Central African Republic</v>
          </cell>
        </row>
        <row r="147">
          <cell r="A147" t="str">
            <v>Cocos (Keeling) Islands</v>
          </cell>
        </row>
        <row r="148">
          <cell r="A148" t="str">
            <v>Congo - Brazzaville</v>
          </cell>
        </row>
        <row r="149">
          <cell r="A149" t="str">
            <v>Cook Islands</v>
          </cell>
        </row>
        <row r="150">
          <cell r="A150" t="str">
            <v>Comoros</v>
          </cell>
        </row>
        <row r="151">
          <cell r="A151" t="str">
            <v>Cape Verde</v>
          </cell>
        </row>
        <row r="152">
          <cell r="A152" t="str">
            <v>Cuba</v>
          </cell>
        </row>
        <row r="153">
          <cell r="A153" t="str">
            <v>CuraÃ§ao</v>
          </cell>
        </row>
        <row r="154">
          <cell r="A154" t="str">
            <v>Christmas Island</v>
          </cell>
        </row>
        <row r="155">
          <cell r="A155" t="str">
            <v>Cayman Islands</v>
          </cell>
        </row>
        <row r="156">
          <cell r="A156" t="str">
            <v>Djibouti</v>
          </cell>
        </row>
        <row r="157">
          <cell r="A157" t="str">
            <v>Dominica</v>
          </cell>
        </row>
        <row r="158">
          <cell r="A158" t="str">
            <v>Eritrea</v>
          </cell>
        </row>
        <row r="159">
          <cell r="A159" t="str">
            <v>Western Sahara</v>
          </cell>
        </row>
        <row r="160">
          <cell r="A160" t="str">
            <v>Fiji</v>
          </cell>
        </row>
        <row r="161">
          <cell r="A161" t="str">
            <v>Falkland Islands (Islas Malvinas)</v>
          </cell>
        </row>
        <row r="162">
          <cell r="A162" t="str">
            <v>Faroe Islands</v>
          </cell>
        </row>
        <row r="163">
          <cell r="A163" t="str">
            <v>Micronesia</v>
          </cell>
        </row>
        <row r="164">
          <cell r="A164" t="str">
            <v>Gabon</v>
          </cell>
        </row>
        <row r="165">
          <cell r="A165" t="str">
            <v>Guernsey</v>
          </cell>
        </row>
        <row r="166">
          <cell r="A166" t="str">
            <v>Ghana</v>
          </cell>
        </row>
        <row r="167">
          <cell r="A167" t="str">
            <v>Gibraltar</v>
          </cell>
        </row>
        <row r="168">
          <cell r="A168" t="str">
            <v>Guinea</v>
          </cell>
        </row>
        <row r="169">
          <cell r="A169" t="str">
            <v>Guadeloupe</v>
          </cell>
        </row>
        <row r="170">
          <cell r="A170" t="str">
            <v>Gambia</v>
          </cell>
        </row>
        <row r="171">
          <cell r="A171" t="str">
            <v>Guinea-Bissau</v>
          </cell>
        </row>
        <row r="172">
          <cell r="A172" t="str">
            <v>Equatorial Guinea</v>
          </cell>
        </row>
        <row r="173">
          <cell r="A173" t="str">
            <v>Grenada</v>
          </cell>
        </row>
        <row r="174">
          <cell r="A174" t="str">
            <v>Greenland</v>
          </cell>
        </row>
        <row r="175">
          <cell r="A175" t="str">
            <v>French Guiana</v>
          </cell>
        </row>
        <row r="176">
          <cell r="A176" t="str">
            <v>Guam</v>
          </cell>
        </row>
        <row r="177">
          <cell r="A177" t="str">
            <v>Heard &amp; McDonald Islands</v>
          </cell>
        </row>
        <row r="178">
          <cell r="A178" t="str">
            <v>Haiti</v>
          </cell>
        </row>
        <row r="179">
          <cell r="A179" t="str">
            <v>Isle of Man</v>
          </cell>
        </row>
        <row r="180">
          <cell r="A180" t="str">
            <v>British Indian Ocean Territory</v>
          </cell>
        </row>
        <row r="181">
          <cell r="A181" t="str">
            <v>Iceland</v>
          </cell>
        </row>
        <row r="182">
          <cell r="A182" t="str">
            <v>Jamaica</v>
          </cell>
        </row>
        <row r="183">
          <cell r="A183" t="str">
            <v>Jersey</v>
          </cell>
        </row>
        <row r="184">
          <cell r="A184" t="str">
            <v>Jordan</v>
          </cell>
        </row>
        <row r="185">
          <cell r="A185" t="str">
            <v>Cambodia</v>
          </cell>
        </row>
        <row r="186">
          <cell r="A186" t="str">
            <v>Kiribati</v>
          </cell>
        </row>
        <row r="187">
          <cell r="A187" t="str">
            <v>St. Kitts &amp; Nevis</v>
          </cell>
        </row>
        <row r="188">
          <cell r="A188" t="str">
            <v>Kuwait</v>
          </cell>
        </row>
        <row r="189">
          <cell r="A189" t="str">
            <v>Lebanon</v>
          </cell>
        </row>
        <row r="190">
          <cell r="A190" t="str">
            <v>Liberia</v>
          </cell>
        </row>
        <row r="191">
          <cell r="A191" t="str">
            <v>Libya</v>
          </cell>
        </row>
        <row r="192">
          <cell r="A192" t="str">
            <v>St. Lucia</v>
          </cell>
        </row>
        <row r="193">
          <cell r="A193" t="str">
            <v>Liechtenstein</v>
          </cell>
        </row>
        <row r="194">
          <cell r="A194" t="str">
            <v>Lesotho</v>
          </cell>
        </row>
        <row r="195">
          <cell r="A195" t="str">
            <v>St. Martin</v>
          </cell>
        </row>
        <row r="196">
          <cell r="A196" t="str">
            <v>Monaco</v>
          </cell>
        </row>
        <row r="197">
          <cell r="A197" t="str">
            <v>Madagascar</v>
          </cell>
        </row>
        <row r="198">
          <cell r="A198" t="str">
            <v>Maldives</v>
          </cell>
        </row>
        <row r="199">
          <cell r="A199" t="str">
            <v>Marshall Islands</v>
          </cell>
        </row>
        <row r="200">
          <cell r="A200" t="str">
            <v>Malta</v>
          </cell>
        </row>
        <row r="201">
          <cell r="A201" t="str">
            <v>Northern Mariana Islands</v>
          </cell>
        </row>
        <row r="202">
          <cell r="A202" t="str">
            <v>Mauritania</v>
          </cell>
        </row>
        <row r="203">
          <cell r="A203" t="str">
            <v>Montserrat</v>
          </cell>
        </row>
        <row r="204">
          <cell r="A204" t="str">
            <v>Martinique</v>
          </cell>
        </row>
        <row r="205">
          <cell r="A205" t="str">
            <v>Mauritius</v>
          </cell>
        </row>
        <row r="206">
          <cell r="A206" t="str">
            <v>Malawi</v>
          </cell>
        </row>
        <row r="207">
          <cell r="A207" t="str">
            <v>Mayotte</v>
          </cell>
        </row>
        <row r="208">
          <cell r="A208" t="str">
            <v>New Caledonia</v>
          </cell>
        </row>
        <row r="209">
          <cell r="A209" t="str">
            <v>Niger</v>
          </cell>
        </row>
        <row r="210">
          <cell r="A210" t="str">
            <v>Norfolk Island</v>
          </cell>
        </row>
        <row r="211">
          <cell r="A211" t="str">
            <v>Niue</v>
          </cell>
        </row>
        <row r="212">
          <cell r="A212" t="str">
            <v>Nauru</v>
          </cell>
        </row>
        <row r="213">
          <cell r="A213" t="str">
            <v>Pitcairn Islands</v>
          </cell>
        </row>
        <row r="214">
          <cell r="A214" t="str">
            <v>Palau</v>
          </cell>
        </row>
        <row r="215">
          <cell r="A215" t="str">
            <v>Papua New Guinea</v>
          </cell>
        </row>
        <row r="216">
          <cell r="A216" t="str">
            <v>North Korea</v>
          </cell>
        </row>
        <row r="217">
          <cell r="A217" t="str">
            <v>Palestine</v>
          </cell>
        </row>
        <row r="218">
          <cell r="A218" t="str">
            <v>French Polynesia</v>
          </cell>
        </row>
        <row r="219">
          <cell r="A219" t="str">
            <v>RÃ©union</v>
          </cell>
        </row>
        <row r="220">
          <cell r="A220" t="str">
            <v>Sudan</v>
          </cell>
        </row>
        <row r="221">
          <cell r="A221" t="str">
            <v>South Georgia &amp; South Sandwich Islands</v>
          </cell>
        </row>
        <row r="222">
          <cell r="A222" t="str">
            <v>Svalbard &amp; Jan Mayen</v>
          </cell>
        </row>
        <row r="223">
          <cell r="A223" t="str">
            <v>Solomon Islands</v>
          </cell>
        </row>
        <row r="224">
          <cell r="A224" t="str">
            <v>Sierra Leone</v>
          </cell>
        </row>
        <row r="225">
          <cell r="A225" t="str">
            <v>San Marino</v>
          </cell>
        </row>
        <row r="226">
          <cell r="A226" t="str">
            <v>Somalia</v>
          </cell>
        </row>
        <row r="227">
          <cell r="A227" t="str">
            <v>St. Pierre &amp; Miquelon</v>
          </cell>
        </row>
        <row r="228">
          <cell r="A228" t="str">
            <v>South Sudan</v>
          </cell>
        </row>
        <row r="229">
          <cell r="A229" t="str">
            <v>SÃ£o TomÃ© &amp; PrÃ­ncipe</v>
          </cell>
        </row>
        <row r="230">
          <cell r="A230" t="str">
            <v>Suriname</v>
          </cell>
        </row>
        <row r="231">
          <cell r="A231" t="str">
            <v>Eswatini</v>
          </cell>
        </row>
        <row r="232">
          <cell r="A232" t="str">
            <v>Sint Maarten</v>
          </cell>
        </row>
        <row r="233">
          <cell r="A233" t="str">
            <v>Seychelles</v>
          </cell>
        </row>
        <row r="234">
          <cell r="A234" t="str">
            <v>Turks &amp; Caicos Islands</v>
          </cell>
        </row>
        <row r="235">
          <cell r="A235" t="str">
            <v>Chad</v>
          </cell>
        </row>
        <row r="236">
          <cell r="A236" t="str">
            <v>Togo</v>
          </cell>
        </row>
        <row r="237">
          <cell r="A237" t="str">
            <v>Tajikistan</v>
          </cell>
        </row>
        <row r="238">
          <cell r="A238" t="str">
            <v>Tokelau</v>
          </cell>
        </row>
        <row r="239">
          <cell r="A239" t="str">
            <v>Turkmenistan</v>
          </cell>
        </row>
        <row r="240">
          <cell r="A240" t="str">
            <v>Timor-Leste</v>
          </cell>
        </row>
        <row r="241">
          <cell r="A241" t="str">
            <v>Tonga</v>
          </cell>
        </row>
        <row r="242">
          <cell r="A242" t="str">
            <v>Tuvalu</v>
          </cell>
        </row>
        <row r="243">
          <cell r="A243" t="str">
            <v>Uganda</v>
          </cell>
        </row>
        <row r="244">
          <cell r="A244" t="str">
            <v>U.S. Outlying Islands</v>
          </cell>
        </row>
        <row r="245">
          <cell r="A245" t="str">
            <v>Uzbekistan</v>
          </cell>
        </row>
        <row r="246">
          <cell r="A246" t="str">
            <v>Vatican City</v>
          </cell>
        </row>
        <row r="247">
          <cell r="A247" t="str">
            <v>St. Vincent &amp; Grenadines</v>
          </cell>
        </row>
        <row r="248">
          <cell r="A248" t="str">
            <v>British Virgin Islands</v>
          </cell>
        </row>
        <row r="249">
          <cell r="A249" t="str">
            <v>U.S. Virgin Islands</v>
          </cell>
        </row>
        <row r="250">
          <cell r="A250" t="str">
            <v>Vanuatu</v>
          </cell>
        </row>
        <row r="251">
          <cell r="A251" t="str">
            <v>Wallis &amp; Futuna</v>
          </cell>
        </row>
        <row r="252">
          <cell r="A252" t="str">
            <v>Samoa</v>
          </cell>
        </row>
        <row r="253">
          <cell r="A253" t="str">
            <v>Kosovo</v>
          </cell>
        </row>
      </sheetData>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48)"/>
    </sheetNames>
    <sheetDataSet>
      <sheetData sheetId="0" refreshError="1">
        <row r="1">
          <cell r="A1" t="str">
            <v>Category: All categories</v>
          </cell>
        </row>
        <row r="3">
          <cell r="A3" t="str">
            <v>Country</v>
          </cell>
          <cell r="B3" t="str">
            <v>Mutual exclusion: (2018)</v>
          </cell>
          <cell r="C3" t="str">
            <v>System F: (2018)</v>
          </cell>
        </row>
        <row r="4">
          <cell r="A4" t="str">
            <v>China</v>
          </cell>
        </row>
        <row r="5">
          <cell r="A5" t="str">
            <v>Taiwan</v>
          </cell>
          <cell r="B5">
            <v>0.99</v>
          </cell>
          <cell r="C5">
            <v>0.01</v>
          </cell>
        </row>
        <row r="6">
          <cell r="A6" t="str">
            <v>Japan</v>
          </cell>
          <cell r="B6">
            <v>1</v>
          </cell>
          <cell r="C6" t="str">
            <v>&lt;1%</v>
          </cell>
        </row>
        <row r="7">
          <cell r="A7" t="str">
            <v>Israel</v>
          </cell>
          <cell r="B7">
            <v>1</v>
          </cell>
        </row>
        <row r="8">
          <cell r="A8" t="str">
            <v>Kenya</v>
          </cell>
          <cell r="B8">
            <v>1</v>
          </cell>
        </row>
        <row r="9">
          <cell r="A9" t="str">
            <v>St. Helena</v>
          </cell>
          <cell r="B9">
            <v>1</v>
          </cell>
        </row>
        <row r="10">
          <cell r="A10" t="str">
            <v>Belarus</v>
          </cell>
          <cell r="B10">
            <v>1</v>
          </cell>
        </row>
        <row r="11">
          <cell r="A11" t="str">
            <v>Czechia</v>
          </cell>
          <cell r="B11">
            <v>1</v>
          </cell>
        </row>
        <row r="12">
          <cell r="A12" t="str">
            <v>Zimbabwe</v>
          </cell>
        </row>
        <row r="13">
          <cell r="A13" t="str">
            <v>Nepal</v>
          </cell>
          <cell r="B13">
            <v>1</v>
          </cell>
        </row>
        <row r="14">
          <cell r="A14" t="str">
            <v>Russia</v>
          </cell>
          <cell r="B14">
            <v>0.98</v>
          </cell>
          <cell r="C14">
            <v>0.02</v>
          </cell>
        </row>
        <row r="15">
          <cell r="A15" t="str">
            <v>Austria</v>
          </cell>
          <cell r="B15">
            <v>1</v>
          </cell>
        </row>
        <row r="16">
          <cell r="A16" t="str">
            <v>Germany</v>
          </cell>
          <cell r="B16">
            <v>0.91</v>
          </cell>
          <cell r="C16">
            <v>0.09</v>
          </cell>
        </row>
        <row r="17">
          <cell r="A17" t="str">
            <v>Norway</v>
          </cell>
          <cell r="B17">
            <v>1</v>
          </cell>
        </row>
        <row r="18">
          <cell r="A18" t="str">
            <v>Ethiopia</v>
          </cell>
        </row>
        <row r="19">
          <cell r="A19" t="str">
            <v>Finland</v>
          </cell>
          <cell r="B19">
            <v>1</v>
          </cell>
        </row>
        <row r="20">
          <cell r="A20" t="str">
            <v>Ukraine</v>
          </cell>
          <cell r="B20">
            <v>1</v>
          </cell>
        </row>
        <row r="21">
          <cell r="A21" t="str">
            <v>Portugal</v>
          </cell>
          <cell r="B21">
            <v>1</v>
          </cell>
        </row>
        <row r="22">
          <cell r="A22" t="str">
            <v>Algeria</v>
          </cell>
          <cell r="B22">
            <v>1</v>
          </cell>
        </row>
        <row r="23">
          <cell r="A23" t="str">
            <v>Hungary</v>
          </cell>
          <cell r="B23">
            <v>1</v>
          </cell>
        </row>
        <row r="24">
          <cell r="A24" t="str">
            <v>Laos</v>
          </cell>
        </row>
        <row r="25">
          <cell r="A25" t="str">
            <v>Poland</v>
          </cell>
          <cell r="B25">
            <v>0.97</v>
          </cell>
          <cell r="C25">
            <v>0.03</v>
          </cell>
        </row>
        <row r="26">
          <cell r="A26" t="str">
            <v>South Korea</v>
          </cell>
          <cell r="B26">
            <v>0.96</v>
          </cell>
          <cell r="C26">
            <v>0.04</v>
          </cell>
        </row>
        <row r="27">
          <cell r="A27" t="str">
            <v>Sweden</v>
          </cell>
          <cell r="B27">
            <v>0.93</v>
          </cell>
          <cell r="C27">
            <v>7.0000000000000007E-2</v>
          </cell>
        </row>
        <row r="28">
          <cell r="A28" t="str">
            <v>India</v>
          </cell>
          <cell r="B28">
            <v>0.98</v>
          </cell>
          <cell r="C28">
            <v>0.02</v>
          </cell>
        </row>
        <row r="29">
          <cell r="A29" t="str">
            <v>Sri Lanka</v>
          </cell>
          <cell r="B29">
            <v>1</v>
          </cell>
        </row>
        <row r="30">
          <cell r="A30" t="str">
            <v>Costa Rica</v>
          </cell>
          <cell r="B30">
            <v>1</v>
          </cell>
        </row>
        <row r="31">
          <cell r="A31" t="str">
            <v>Switzerland</v>
          </cell>
          <cell r="B31">
            <v>1</v>
          </cell>
        </row>
        <row r="32">
          <cell r="A32" t="str">
            <v>Pakistan</v>
          </cell>
          <cell r="B32">
            <v>1</v>
          </cell>
        </row>
        <row r="33">
          <cell r="A33" t="str">
            <v>Hong Kong</v>
          </cell>
          <cell r="B33">
            <v>1</v>
          </cell>
        </row>
        <row r="34">
          <cell r="A34" t="str">
            <v>Singapore</v>
          </cell>
          <cell r="B34">
            <v>0.87</v>
          </cell>
          <cell r="C34">
            <v>0.13</v>
          </cell>
        </row>
        <row r="35">
          <cell r="A35" t="str">
            <v>Netherlands</v>
          </cell>
          <cell r="B35">
            <v>0.98</v>
          </cell>
          <cell r="C35">
            <v>0.02</v>
          </cell>
        </row>
        <row r="36">
          <cell r="A36" t="str">
            <v>Serbia</v>
          </cell>
          <cell r="B36">
            <v>1</v>
          </cell>
        </row>
        <row r="37">
          <cell r="A37" t="str">
            <v>Italy</v>
          </cell>
          <cell r="B37">
            <v>0.93</v>
          </cell>
          <cell r="C37">
            <v>7.0000000000000007E-2</v>
          </cell>
        </row>
        <row r="38">
          <cell r="A38" t="str">
            <v>Bulgaria</v>
          </cell>
          <cell r="B38">
            <v>1</v>
          </cell>
        </row>
        <row r="39">
          <cell r="A39" t="str">
            <v>Guatemala</v>
          </cell>
          <cell r="B39">
            <v>1</v>
          </cell>
        </row>
        <row r="40">
          <cell r="A40" t="str">
            <v>Lithuania</v>
          </cell>
          <cell r="B40">
            <v>1</v>
          </cell>
        </row>
        <row r="41">
          <cell r="A41" t="str">
            <v>Croatia</v>
          </cell>
          <cell r="B41">
            <v>1</v>
          </cell>
        </row>
        <row r="42">
          <cell r="A42" t="str">
            <v>Spain</v>
          </cell>
          <cell r="B42">
            <v>1</v>
          </cell>
        </row>
        <row r="43">
          <cell r="A43" t="str">
            <v>Ireland</v>
          </cell>
          <cell r="B43">
            <v>1</v>
          </cell>
        </row>
        <row r="44">
          <cell r="A44" t="str">
            <v>Slovakia</v>
          </cell>
          <cell r="B44">
            <v>1</v>
          </cell>
        </row>
        <row r="45">
          <cell r="A45" t="str">
            <v>Nigeria</v>
          </cell>
          <cell r="B45">
            <v>1</v>
          </cell>
        </row>
        <row r="46">
          <cell r="A46" t="str">
            <v>Tunisia</v>
          </cell>
        </row>
        <row r="47">
          <cell r="A47" t="str">
            <v>France</v>
          </cell>
          <cell r="B47">
            <v>0.87</v>
          </cell>
          <cell r="C47">
            <v>0.13</v>
          </cell>
        </row>
        <row r="48">
          <cell r="A48" t="str">
            <v>Greece</v>
          </cell>
          <cell r="B48">
            <v>1</v>
          </cell>
        </row>
        <row r="49">
          <cell r="A49" t="str">
            <v>Mexico</v>
          </cell>
          <cell r="B49">
            <v>1</v>
          </cell>
        </row>
        <row r="50">
          <cell r="A50" t="str">
            <v>Bangladesh</v>
          </cell>
          <cell r="B50">
            <v>1</v>
          </cell>
        </row>
        <row r="51">
          <cell r="A51" t="str">
            <v>Romania</v>
          </cell>
          <cell r="B51">
            <v>1</v>
          </cell>
        </row>
        <row r="52">
          <cell r="A52" t="str">
            <v>Uruguay</v>
          </cell>
        </row>
        <row r="53">
          <cell r="A53" t="str">
            <v>Bolivia</v>
          </cell>
        </row>
        <row r="54">
          <cell r="A54" t="str">
            <v>Belgium</v>
          </cell>
          <cell r="B54">
            <v>1</v>
          </cell>
        </row>
        <row r="55">
          <cell r="A55" t="str">
            <v>Argentina</v>
          </cell>
          <cell r="B55">
            <v>1</v>
          </cell>
        </row>
        <row r="56">
          <cell r="A56" t="str">
            <v>Canada</v>
          </cell>
          <cell r="B56">
            <v>0.86</v>
          </cell>
          <cell r="C56">
            <v>0.14000000000000001</v>
          </cell>
        </row>
        <row r="57">
          <cell r="A57" t="str">
            <v>Vietnam</v>
          </cell>
          <cell r="B57">
            <v>1</v>
          </cell>
        </row>
        <row r="58">
          <cell r="A58" t="str">
            <v>Brazil</v>
          </cell>
          <cell r="B58">
            <v>0.98</v>
          </cell>
          <cell r="C58">
            <v>0.02</v>
          </cell>
        </row>
        <row r="59">
          <cell r="A59" t="str">
            <v>United States</v>
          </cell>
          <cell r="B59">
            <v>0.82</v>
          </cell>
          <cell r="C59">
            <v>0.18</v>
          </cell>
        </row>
        <row r="60">
          <cell r="A60" t="str">
            <v>Kazakhstan</v>
          </cell>
          <cell r="B60">
            <v>1</v>
          </cell>
        </row>
        <row r="61">
          <cell r="A61" t="str">
            <v>New Zealand</v>
          </cell>
          <cell r="B61">
            <v>1</v>
          </cell>
        </row>
        <row r="62">
          <cell r="A62" t="str">
            <v>Indonesia</v>
          </cell>
          <cell r="B62">
            <v>1</v>
          </cell>
        </row>
        <row r="63">
          <cell r="A63" t="str">
            <v>Morocco</v>
          </cell>
        </row>
        <row r="64">
          <cell r="A64" t="str">
            <v>Ecuador</v>
          </cell>
        </row>
        <row r="65">
          <cell r="A65" t="str">
            <v>Australia</v>
          </cell>
          <cell r="B65">
            <v>0.78</v>
          </cell>
          <cell r="C65">
            <v>0.22</v>
          </cell>
        </row>
        <row r="66">
          <cell r="A66" t="str">
            <v>South Africa</v>
          </cell>
          <cell r="B66">
            <v>1</v>
          </cell>
        </row>
        <row r="67">
          <cell r="A67" t="str">
            <v>Philippines</v>
          </cell>
          <cell r="B67">
            <v>0.69</v>
          </cell>
          <cell r="C67">
            <v>0.31</v>
          </cell>
        </row>
        <row r="68">
          <cell r="A68" t="str">
            <v>Denmark</v>
          </cell>
          <cell r="B68">
            <v>1</v>
          </cell>
        </row>
        <row r="69">
          <cell r="A69" t="str">
            <v>Malaysia</v>
          </cell>
          <cell r="B69">
            <v>0.74</v>
          </cell>
          <cell r="C69">
            <v>0.26</v>
          </cell>
        </row>
        <row r="70">
          <cell r="A70" t="str">
            <v>United Kingdom</v>
          </cell>
          <cell r="B70">
            <v>0.73</v>
          </cell>
          <cell r="C70">
            <v>0.27</v>
          </cell>
        </row>
        <row r="71">
          <cell r="A71" t="str">
            <v>Peru</v>
          </cell>
          <cell r="B71">
            <v>1</v>
          </cell>
        </row>
        <row r="72">
          <cell r="A72" t="str">
            <v>Chile</v>
          </cell>
          <cell r="B72">
            <v>1</v>
          </cell>
        </row>
        <row r="73">
          <cell r="A73" t="str">
            <v>Colombia</v>
          </cell>
          <cell r="B73">
            <v>1</v>
          </cell>
        </row>
        <row r="74">
          <cell r="A74" t="str">
            <v>Egypt</v>
          </cell>
          <cell r="B74">
            <v>1</v>
          </cell>
        </row>
        <row r="75">
          <cell r="A75" t="str">
            <v>Thailand</v>
          </cell>
          <cell r="B75">
            <v>1</v>
          </cell>
        </row>
        <row r="76">
          <cell r="A76" t="str">
            <v>Venezuela</v>
          </cell>
        </row>
        <row r="77">
          <cell r="A77" t="str">
            <v>Iran</v>
          </cell>
          <cell r="B77">
            <v>1</v>
          </cell>
        </row>
        <row r="78">
          <cell r="A78" t="str">
            <v>United Arab Emirates</v>
          </cell>
        </row>
        <row r="79">
          <cell r="A79" t="str">
            <v>Turkey</v>
          </cell>
          <cell r="B79">
            <v>0.62</v>
          </cell>
          <cell r="C79">
            <v>0.38</v>
          </cell>
        </row>
        <row r="80">
          <cell r="A80" t="str">
            <v>Saudi Arabia</v>
          </cell>
        </row>
        <row r="81">
          <cell r="A81" t="str">
            <v>Macao</v>
          </cell>
        </row>
        <row r="82">
          <cell r="A82" t="str">
            <v>Guyana</v>
          </cell>
        </row>
        <row r="83">
          <cell r="A83" t="str">
            <v>Benin</v>
          </cell>
        </row>
        <row r="84">
          <cell r="A84" t="str">
            <v>Rwanda</v>
          </cell>
        </row>
        <row r="85">
          <cell r="A85" t="str">
            <v>Namibia</v>
          </cell>
        </row>
        <row r="86">
          <cell r="A86" t="str">
            <v>Mali</v>
          </cell>
        </row>
        <row r="87">
          <cell r="A87" t="str">
            <v>Burkina Faso</v>
          </cell>
        </row>
        <row r="88">
          <cell r="A88" t="str">
            <v>CÃ´te dâ€™Ivoire</v>
          </cell>
        </row>
        <row r="89">
          <cell r="A89" t="str">
            <v>Zambia</v>
          </cell>
        </row>
        <row r="90">
          <cell r="A90" t="str">
            <v>Armenia</v>
          </cell>
        </row>
        <row r="91">
          <cell r="A91" t="str">
            <v>Congo - Kinshasa</v>
          </cell>
        </row>
        <row r="92">
          <cell r="A92" t="str">
            <v>Brunei</v>
          </cell>
        </row>
        <row r="93">
          <cell r="A93" t="str">
            <v>Trinidad &amp; Tobago</v>
          </cell>
        </row>
        <row r="94">
          <cell r="A94" t="str">
            <v>Cameroon</v>
          </cell>
        </row>
        <row r="95">
          <cell r="A95" t="str">
            <v>Angola</v>
          </cell>
        </row>
        <row r="96">
          <cell r="A96" t="str">
            <v>Mongolia</v>
          </cell>
        </row>
        <row r="97">
          <cell r="A97" t="str">
            <v>Montenegro</v>
          </cell>
        </row>
        <row r="98">
          <cell r="A98" t="str">
            <v>Tanzania</v>
          </cell>
        </row>
        <row r="99">
          <cell r="A99" t="str">
            <v>Latvia</v>
          </cell>
        </row>
        <row r="100">
          <cell r="A100" t="str">
            <v>Mozambique</v>
          </cell>
        </row>
        <row r="101">
          <cell r="A101" t="str">
            <v>Senegal</v>
          </cell>
        </row>
        <row r="102">
          <cell r="A102" t="str">
            <v>Bosnia &amp; Herzegovina</v>
          </cell>
        </row>
        <row r="103">
          <cell r="A103" t="str">
            <v>Estonia</v>
          </cell>
        </row>
        <row r="104">
          <cell r="A104" t="str">
            <v>Kyrgyzstan</v>
          </cell>
        </row>
        <row r="105">
          <cell r="A105" t="str">
            <v>Syria</v>
          </cell>
        </row>
        <row r="106">
          <cell r="A106" t="str">
            <v>Luxembourg</v>
          </cell>
        </row>
        <row r="107">
          <cell r="A107" t="str">
            <v>Azerbaijan</v>
          </cell>
        </row>
        <row r="108">
          <cell r="A108" t="str">
            <v>Nicaragua</v>
          </cell>
        </row>
        <row r="109">
          <cell r="A109" t="str">
            <v>Georgia</v>
          </cell>
        </row>
        <row r="110">
          <cell r="A110" t="str">
            <v>North Macedonia</v>
          </cell>
        </row>
        <row r="111">
          <cell r="A111" t="str">
            <v>Slovenia</v>
          </cell>
        </row>
        <row r="112">
          <cell r="A112" t="str">
            <v>Yemen</v>
          </cell>
        </row>
        <row r="113">
          <cell r="A113" t="str">
            <v>Albania</v>
          </cell>
        </row>
        <row r="114">
          <cell r="A114" t="str">
            <v>Myanmar (Burma)</v>
          </cell>
        </row>
        <row r="115">
          <cell r="A115" t="str">
            <v>Moldova</v>
          </cell>
        </row>
        <row r="116">
          <cell r="A116" t="str">
            <v>Oman</v>
          </cell>
        </row>
        <row r="117">
          <cell r="A117" t="str">
            <v>Cyprus</v>
          </cell>
        </row>
        <row r="118">
          <cell r="A118" t="str">
            <v>Honduras</v>
          </cell>
        </row>
        <row r="119">
          <cell r="A119" t="str">
            <v>El Salvador</v>
          </cell>
        </row>
        <row r="120">
          <cell r="A120" t="str">
            <v>Qatar</v>
          </cell>
        </row>
        <row r="121">
          <cell r="A121" t="str">
            <v>Puerto Rico</v>
          </cell>
        </row>
        <row r="122">
          <cell r="A122" t="str">
            <v>Panama</v>
          </cell>
        </row>
        <row r="123">
          <cell r="A123" t="str">
            <v>Paraguay</v>
          </cell>
        </row>
        <row r="124">
          <cell r="A124" t="str">
            <v>Dominican Republic</v>
          </cell>
        </row>
        <row r="125">
          <cell r="A125" t="str">
            <v>Iraq</v>
          </cell>
        </row>
        <row r="126">
          <cell r="A126" t="str">
            <v>Aruba</v>
          </cell>
        </row>
        <row r="127">
          <cell r="A127" t="str">
            <v>Afghanistan</v>
          </cell>
        </row>
        <row r="128">
          <cell r="A128" t="str">
            <v>Anguilla</v>
          </cell>
        </row>
        <row r="129">
          <cell r="A129" t="str">
            <v>Ã…land Islands</v>
          </cell>
        </row>
        <row r="130">
          <cell r="A130" t="str">
            <v>Andorra</v>
          </cell>
        </row>
        <row r="131">
          <cell r="A131" t="str">
            <v>American Samoa</v>
          </cell>
        </row>
        <row r="132">
          <cell r="A132" t="str">
            <v>Antarctica</v>
          </cell>
        </row>
        <row r="133">
          <cell r="A133" t="str">
            <v>French Southern Territories</v>
          </cell>
        </row>
        <row r="134">
          <cell r="A134" t="str">
            <v>Antigua &amp; Barbuda</v>
          </cell>
        </row>
        <row r="135">
          <cell r="A135" t="str">
            <v>Burundi</v>
          </cell>
        </row>
        <row r="136">
          <cell r="A136" t="str">
            <v>Caribbean Netherlands</v>
          </cell>
        </row>
        <row r="137">
          <cell r="A137" t="str">
            <v>Bahrain</v>
          </cell>
        </row>
        <row r="138">
          <cell r="A138" t="str">
            <v>Bahamas</v>
          </cell>
        </row>
        <row r="139">
          <cell r="A139" t="str">
            <v>St. BarthÃ©lemy</v>
          </cell>
        </row>
        <row r="140">
          <cell r="A140" t="str">
            <v>Belize</v>
          </cell>
        </row>
        <row r="141">
          <cell r="A141" t="str">
            <v>Bermuda</v>
          </cell>
        </row>
        <row r="142">
          <cell r="A142" t="str">
            <v>Barbados</v>
          </cell>
        </row>
        <row r="143">
          <cell r="A143" t="str">
            <v>Bhutan</v>
          </cell>
        </row>
        <row r="144">
          <cell r="A144" t="str">
            <v>Bouvet Island</v>
          </cell>
        </row>
        <row r="145">
          <cell r="A145" t="str">
            <v>Botswana</v>
          </cell>
        </row>
        <row r="146">
          <cell r="A146" t="str">
            <v>Central African Republic</v>
          </cell>
        </row>
        <row r="147">
          <cell r="A147" t="str">
            <v>Cocos (Keeling) Islands</v>
          </cell>
        </row>
        <row r="148">
          <cell r="A148" t="str">
            <v>Congo - Brazzaville</v>
          </cell>
        </row>
        <row r="149">
          <cell r="A149" t="str">
            <v>Cook Islands</v>
          </cell>
        </row>
        <row r="150">
          <cell r="A150" t="str">
            <v>Comoros</v>
          </cell>
        </row>
        <row r="151">
          <cell r="A151" t="str">
            <v>Cape Verde</v>
          </cell>
        </row>
        <row r="152">
          <cell r="A152" t="str">
            <v>Cuba</v>
          </cell>
        </row>
        <row r="153">
          <cell r="A153" t="str">
            <v>CuraÃ§ao</v>
          </cell>
        </row>
        <row r="154">
          <cell r="A154" t="str">
            <v>Christmas Island</v>
          </cell>
        </row>
        <row r="155">
          <cell r="A155" t="str">
            <v>Cayman Islands</v>
          </cell>
        </row>
        <row r="156">
          <cell r="A156" t="str">
            <v>Djibouti</v>
          </cell>
        </row>
        <row r="157">
          <cell r="A157" t="str">
            <v>Dominica</v>
          </cell>
        </row>
        <row r="158">
          <cell r="A158" t="str">
            <v>Eritrea</v>
          </cell>
        </row>
        <row r="159">
          <cell r="A159" t="str">
            <v>Western Sahara</v>
          </cell>
        </row>
        <row r="160">
          <cell r="A160" t="str">
            <v>Fiji</v>
          </cell>
        </row>
        <row r="161">
          <cell r="A161" t="str">
            <v>Falkland Islands (Islas Malvinas)</v>
          </cell>
        </row>
        <row r="162">
          <cell r="A162" t="str">
            <v>Faroe Islands</v>
          </cell>
        </row>
        <row r="163">
          <cell r="A163" t="str">
            <v>Micronesia</v>
          </cell>
        </row>
        <row r="164">
          <cell r="A164" t="str">
            <v>Gabon</v>
          </cell>
        </row>
        <row r="165">
          <cell r="A165" t="str">
            <v>Guernsey</v>
          </cell>
        </row>
        <row r="166">
          <cell r="A166" t="str">
            <v>Ghana</v>
          </cell>
        </row>
        <row r="167">
          <cell r="A167" t="str">
            <v>Gibraltar</v>
          </cell>
        </row>
        <row r="168">
          <cell r="A168" t="str">
            <v>Guinea</v>
          </cell>
        </row>
        <row r="169">
          <cell r="A169" t="str">
            <v>Guadeloupe</v>
          </cell>
        </row>
        <row r="170">
          <cell r="A170" t="str">
            <v>Gambia</v>
          </cell>
        </row>
        <row r="171">
          <cell r="A171" t="str">
            <v>Guinea-Bissau</v>
          </cell>
        </row>
        <row r="172">
          <cell r="A172" t="str">
            <v>Equatorial Guinea</v>
          </cell>
        </row>
        <row r="173">
          <cell r="A173" t="str">
            <v>Grenada</v>
          </cell>
        </row>
        <row r="174">
          <cell r="A174" t="str">
            <v>Greenland</v>
          </cell>
        </row>
        <row r="175">
          <cell r="A175" t="str">
            <v>French Guiana</v>
          </cell>
        </row>
        <row r="176">
          <cell r="A176" t="str">
            <v>Guam</v>
          </cell>
        </row>
        <row r="177">
          <cell r="A177" t="str">
            <v>Heard &amp; McDonald Islands</v>
          </cell>
        </row>
        <row r="178">
          <cell r="A178" t="str">
            <v>Haiti</v>
          </cell>
        </row>
        <row r="179">
          <cell r="A179" t="str">
            <v>Isle of Man</v>
          </cell>
        </row>
        <row r="180">
          <cell r="A180" t="str">
            <v>British Indian Ocean Territory</v>
          </cell>
        </row>
        <row r="181">
          <cell r="A181" t="str">
            <v>Iceland</v>
          </cell>
        </row>
        <row r="182">
          <cell r="A182" t="str">
            <v>Jamaica</v>
          </cell>
        </row>
        <row r="183">
          <cell r="A183" t="str">
            <v>Jersey</v>
          </cell>
        </row>
        <row r="184">
          <cell r="A184" t="str">
            <v>Jordan</v>
          </cell>
        </row>
        <row r="185">
          <cell r="A185" t="str">
            <v>Cambodia</v>
          </cell>
        </row>
        <row r="186">
          <cell r="A186" t="str">
            <v>Kiribati</v>
          </cell>
        </row>
        <row r="187">
          <cell r="A187" t="str">
            <v>St. Kitts &amp; Nevis</v>
          </cell>
        </row>
        <row r="188">
          <cell r="A188" t="str">
            <v>Kuwait</v>
          </cell>
        </row>
        <row r="189">
          <cell r="A189" t="str">
            <v>Lebanon</v>
          </cell>
        </row>
        <row r="190">
          <cell r="A190" t="str">
            <v>Liberia</v>
          </cell>
        </row>
        <row r="191">
          <cell r="A191" t="str">
            <v>Libya</v>
          </cell>
        </row>
        <row r="192">
          <cell r="A192" t="str">
            <v>St. Lucia</v>
          </cell>
        </row>
        <row r="193">
          <cell r="A193" t="str">
            <v>Liechtenstein</v>
          </cell>
        </row>
        <row r="194">
          <cell r="A194" t="str">
            <v>Lesotho</v>
          </cell>
        </row>
        <row r="195">
          <cell r="A195" t="str">
            <v>St. Martin</v>
          </cell>
        </row>
        <row r="196">
          <cell r="A196" t="str">
            <v>Monaco</v>
          </cell>
        </row>
        <row r="197">
          <cell r="A197" t="str">
            <v>Madagascar</v>
          </cell>
        </row>
        <row r="198">
          <cell r="A198" t="str">
            <v>Maldives</v>
          </cell>
        </row>
        <row r="199">
          <cell r="A199" t="str">
            <v>Marshall Islands</v>
          </cell>
        </row>
        <row r="200">
          <cell r="A200" t="str">
            <v>Malta</v>
          </cell>
        </row>
        <row r="201">
          <cell r="A201" t="str">
            <v>Northern Mariana Islands</v>
          </cell>
        </row>
        <row r="202">
          <cell r="A202" t="str">
            <v>Mauritania</v>
          </cell>
        </row>
        <row r="203">
          <cell r="A203" t="str">
            <v>Montserrat</v>
          </cell>
        </row>
        <row r="204">
          <cell r="A204" t="str">
            <v>Martinique</v>
          </cell>
        </row>
        <row r="205">
          <cell r="A205" t="str">
            <v>Mauritius</v>
          </cell>
        </row>
        <row r="206">
          <cell r="A206" t="str">
            <v>Malawi</v>
          </cell>
        </row>
        <row r="207">
          <cell r="A207" t="str">
            <v>Mayotte</v>
          </cell>
        </row>
        <row r="208">
          <cell r="A208" t="str">
            <v>New Caledonia</v>
          </cell>
        </row>
        <row r="209">
          <cell r="A209" t="str">
            <v>Niger</v>
          </cell>
        </row>
        <row r="210">
          <cell r="A210" t="str">
            <v>Norfolk Island</v>
          </cell>
        </row>
        <row r="211">
          <cell r="A211" t="str">
            <v>Niue</v>
          </cell>
        </row>
        <row r="212">
          <cell r="A212" t="str">
            <v>Nauru</v>
          </cell>
        </row>
        <row r="213">
          <cell r="A213" t="str">
            <v>Pitcairn Islands</v>
          </cell>
        </row>
        <row r="214">
          <cell r="A214" t="str">
            <v>Palau</v>
          </cell>
        </row>
        <row r="215">
          <cell r="A215" t="str">
            <v>Papua New Guinea</v>
          </cell>
        </row>
        <row r="216">
          <cell r="A216" t="str">
            <v>North Korea</v>
          </cell>
        </row>
        <row r="217">
          <cell r="A217" t="str">
            <v>Palestine</v>
          </cell>
        </row>
        <row r="218">
          <cell r="A218" t="str">
            <v>French Polynesia</v>
          </cell>
        </row>
        <row r="219">
          <cell r="A219" t="str">
            <v>RÃ©union</v>
          </cell>
        </row>
        <row r="220">
          <cell r="A220" t="str">
            <v>Sudan</v>
          </cell>
        </row>
        <row r="221">
          <cell r="A221" t="str">
            <v>South Georgia &amp; South Sandwich Islands</v>
          </cell>
        </row>
        <row r="222">
          <cell r="A222" t="str">
            <v>Svalbard &amp; Jan Mayen</v>
          </cell>
        </row>
        <row r="223">
          <cell r="A223" t="str">
            <v>Solomon Islands</v>
          </cell>
        </row>
        <row r="224">
          <cell r="A224" t="str">
            <v>Sierra Leone</v>
          </cell>
        </row>
        <row r="225">
          <cell r="A225" t="str">
            <v>San Marino</v>
          </cell>
        </row>
        <row r="226">
          <cell r="A226" t="str">
            <v>Somalia</v>
          </cell>
        </row>
        <row r="227">
          <cell r="A227" t="str">
            <v>St. Pierre &amp; Miquelon</v>
          </cell>
        </row>
        <row r="228">
          <cell r="A228" t="str">
            <v>South Sudan</v>
          </cell>
        </row>
        <row r="229">
          <cell r="A229" t="str">
            <v>SÃ£o TomÃ© &amp; PrÃ­ncipe</v>
          </cell>
        </row>
        <row r="230">
          <cell r="A230" t="str">
            <v>Suriname</v>
          </cell>
        </row>
        <row r="231">
          <cell r="A231" t="str">
            <v>Eswatini</v>
          </cell>
        </row>
        <row r="232">
          <cell r="A232" t="str">
            <v>Sint Maarten</v>
          </cell>
        </row>
        <row r="233">
          <cell r="A233" t="str">
            <v>Seychelles</v>
          </cell>
        </row>
        <row r="234">
          <cell r="A234" t="str">
            <v>Turks &amp; Caicos Islands</v>
          </cell>
        </row>
        <row r="235">
          <cell r="A235" t="str">
            <v>Chad</v>
          </cell>
        </row>
        <row r="236">
          <cell r="A236" t="str">
            <v>Togo</v>
          </cell>
        </row>
        <row r="237">
          <cell r="A237" t="str">
            <v>Tajikistan</v>
          </cell>
        </row>
        <row r="238">
          <cell r="A238" t="str">
            <v>Tokelau</v>
          </cell>
        </row>
        <row r="239">
          <cell r="A239" t="str">
            <v>Turkmenistan</v>
          </cell>
        </row>
        <row r="240">
          <cell r="A240" t="str">
            <v>Timor-Leste</v>
          </cell>
        </row>
        <row r="241">
          <cell r="A241" t="str">
            <v>Tonga</v>
          </cell>
        </row>
        <row r="242">
          <cell r="A242" t="str">
            <v>Tuvalu</v>
          </cell>
        </row>
        <row r="243">
          <cell r="A243" t="str">
            <v>Uganda</v>
          </cell>
        </row>
        <row r="244">
          <cell r="A244" t="str">
            <v>U.S. Outlying Islands</v>
          </cell>
        </row>
        <row r="245">
          <cell r="A245" t="str">
            <v>Uzbekistan</v>
          </cell>
        </row>
        <row r="246">
          <cell r="A246" t="str">
            <v>Vatican City</v>
          </cell>
        </row>
        <row r="247">
          <cell r="A247" t="str">
            <v>St. Vincent &amp; Grenadines</v>
          </cell>
        </row>
        <row r="248">
          <cell r="A248" t="str">
            <v>British Virgin Islands</v>
          </cell>
        </row>
        <row r="249">
          <cell r="A249" t="str">
            <v>U.S. Virgin Islands</v>
          </cell>
        </row>
        <row r="250">
          <cell r="A250" t="str">
            <v>Vanuatu</v>
          </cell>
        </row>
        <row r="251">
          <cell r="A251" t="str">
            <v>Wallis &amp; Futuna</v>
          </cell>
        </row>
        <row r="252">
          <cell r="A252" t="str">
            <v>Samoa</v>
          </cell>
        </row>
        <row r="253">
          <cell r="A253" t="str">
            <v>Kosovo</v>
          </cell>
        </row>
      </sheetData>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51)"/>
    </sheetNames>
    <sheetDataSet>
      <sheetData sheetId="0" refreshError="1">
        <row r="1">
          <cell r="A1" t="str">
            <v>Category: All categories</v>
          </cell>
        </row>
        <row r="3">
          <cell r="A3" t="str">
            <v>Country</v>
          </cell>
          <cell r="B3" t="str">
            <v>Edge detection: (2018)</v>
          </cell>
          <cell r="C3" t="str">
            <v>Matrix completion: (2018)</v>
          </cell>
        </row>
        <row r="4">
          <cell r="A4" t="str">
            <v>China</v>
          </cell>
          <cell r="B4">
            <v>0.85</v>
          </cell>
          <cell r="C4">
            <v>0.15</v>
          </cell>
        </row>
        <row r="5">
          <cell r="A5" t="str">
            <v>South Korea</v>
          </cell>
          <cell r="B5">
            <v>1</v>
          </cell>
        </row>
        <row r="6">
          <cell r="A6" t="str">
            <v>St. Helena</v>
          </cell>
          <cell r="B6">
            <v>1</v>
          </cell>
        </row>
        <row r="7">
          <cell r="A7" t="str">
            <v>Singapore</v>
          </cell>
          <cell r="B7">
            <v>1</v>
          </cell>
        </row>
        <row r="8">
          <cell r="A8" t="str">
            <v>Tunisia</v>
          </cell>
          <cell r="B8">
            <v>1</v>
          </cell>
        </row>
        <row r="9">
          <cell r="A9" t="str">
            <v>Hong Kong</v>
          </cell>
          <cell r="B9">
            <v>1</v>
          </cell>
        </row>
        <row r="10">
          <cell r="A10" t="str">
            <v>Pakistan</v>
          </cell>
          <cell r="B10">
            <v>1</v>
          </cell>
        </row>
        <row r="11">
          <cell r="A11" t="str">
            <v>Sri Lanka</v>
          </cell>
          <cell r="B11">
            <v>1</v>
          </cell>
        </row>
        <row r="12">
          <cell r="A12" t="str">
            <v>India</v>
          </cell>
          <cell r="B12">
            <v>0.99</v>
          </cell>
          <cell r="C12">
            <v>0.01</v>
          </cell>
        </row>
        <row r="13">
          <cell r="A13" t="str">
            <v>Taiwan</v>
          </cell>
          <cell r="B13">
            <v>1</v>
          </cell>
        </row>
        <row r="14">
          <cell r="A14" t="str">
            <v>Bangladesh</v>
          </cell>
          <cell r="B14">
            <v>1</v>
          </cell>
        </row>
        <row r="15">
          <cell r="A15" t="str">
            <v>Ghana</v>
          </cell>
        </row>
        <row r="16">
          <cell r="A16" t="str">
            <v>Denmark</v>
          </cell>
          <cell r="B16">
            <v>1</v>
          </cell>
        </row>
        <row r="17">
          <cell r="A17" t="str">
            <v>Israel</v>
          </cell>
          <cell r="B17">
            <v>1</v>
          </cell>
        </row>
        <row r="18">
          <cell r="A18" t="str">
            <v>Iraq</v>
          </cell>
          <cell r="B18">
            <v>1</v>
          </cell>
        </row>
        <row r="19">
          <cell r="A19" t="str">
            <v>Japan</v>
          </cell>
          <cell r="B19">
            <v>0.98</v>
          </cell>
          <cell r="C19">
            <v>0.02</v>
          </cell>
        </row>
        <row r="20">
          <cell r="A20" t="str">
            <v>Switzerland</v>
          </cell>
          <cell r="B20">
            <v>1</v>
          </cell>
        </row>
        <row r="21">
          <cell r="A21" t="str">
            <v>Malaysia</v>
          </cell>
          <cell r="B21">
            <v>1</v>
          </cell>
        </row>
        <row r="22">
          <cell r="A22" t="str">
            <v>Germany</v>
          </cell>
          <cell r="B22">
            <v>1</v>
          </cell>
        </row>
        <row r="23">
          <cell r="A23" t="str">
            <v>Canada</v>
          </cell>
          <cell r="B23">
            <v>1</v>
          </cell>
        </row>
        <row r="24">
          <cell r="A24" t="str">
            <v>New Zealand</v>
          </cell>
          <cell r="B24">
            <v>1</v>
          </cell>
        </row>
        <row r="25">
          <cell r="A25" t="str">
            <v>Czechia</v>
          </cell>
          <cell r="B25">
            <v>1</v>
          </cell>
        </row>
        <row r="26">
          <cell r="A26" t="str">
            <v>Austria</v>
          </cell>
          <cell r="B26">
            <v>1</v>
          </cell>
        </row>
        <row r="27">
          <cell r="A27" t="str">
            <v>United States</v>
          </cell>
          <cell r="B27">
            <v>0.88</v>
          </cell>
          <cell r="C27">
            <v>0.12</v>
          </cell>
        </row>
        <row r="28">
          <cell r="A28" t="str">
            <v>Hungary</v>
          </cell>
          <cell r="B28">
            <v>1</v>
          </cell>
        </row>
        <row r="29">
          <cell r="A29" t="str">
            <v>Iran</v>
          </cell>
          <cell r="B29">
            <v>1</v>
          </cell>
        </row>
        <row r="30">
          <cell r="A30" t="str">
            <v>Norway</v>
          </cell>
          <cell r="B30">
            <v>1</v>
          </cell>
        </row>
        <row r="31">
          <cell r="A31" t="str">
            <v>Egypt</v>
          </cell>
          <cell r="B31">
            <v>1</v>
          </cell>
        </row>
        <row r="32">
          <cell r="A32" t="str">
            <v>Sweden</v>
          </cell>
          <cell r="B32">
            <v>1</v>
          </cell>
        </row>
        <row r="33">
          <cell r="A33" t="str">
            <v>United Kingdom</v>
          </cell>
          <cell r="B33">
            <v>1</v>
          </cell>
        </row>
        <row r="34">
          <cell r="A34" t="str">
            <v>Romania</v>
          </cell>
          <cell r="B34">
            <v>1</v>
          </cell>
        </row>
        <row r="35">
          <cell r="A35" t="str">
            <v>Australia</v>
          </cell>
          <cell r="B35">
            <v>1</v>
          </cell>
        </row>
        <row r="36">
          <cell r="A36" t="str">
            <v>Finland</v>
          </cell>
          <cell r="B36">
            <v>1</v>
          </cell>
        </row>
        <row r="37">
          <cell r="A37" t="str">
            <v>Belgium</v>
          </cell>
          <cell r="B37">
            <v>1</v>
          </cell>
        </row>
        <row r="38">
          <cell r="A38" t="str">
            <v>Philippines</v>
          </cell>
          <cell r="B38">
            <v>1</v>
          </cell>
        </row>
        <row r="39">
          <cell r="A39" t="str">
            <v>Netherlands</v>
          </cell>
          <cell r="B39">
            <v>1</v>
          </cell>
        </row>
        <row r="40">
          <cell r="A40" t="str">
            <v>Ireland</v>
          </cell>
          <cell r="B40">
            <v>1</v>
          </cell>
        </row>
        <row r="41">
          <cell r="A41" t="str">
            <v>Portugal</v>
          </cell>
          <cell r="B41">
            <v>1</v>
          </cell>
        </row>
        <row r="42">
          <cell r="A42" t="str">
            <v>Algeria</v>
          </cell>
          <cell r="B42">
            <v>1</v>
          </cell>
        </row>
        <row r="43">
          <cell r="A43" t="str">
            <v>United Arab Emirates</v>
          </cell>
          <cell r="B43">
            <v>1</v>
          </cell>
        </row>
        <row r="44">
          <cell r="A44" t="str">
            <v>Morocco</v>
          </cell>
          <cell r="B44">
            <v>1</v>
          </cell>
        </row>
        <row r="45">
          <cell r="A45" t="str">
            <v>Vietnam</v>
          </cell>
          <cell r="B45">
            <v>1</v>
          </cell>
        </row>
        <row r="46">
          <cell r="A46" t="str">
            <v>South Africa</v>
          </cell>
          <cell r="B46">
            <v>1</v>
          </cell>
        </row>
        <row r="47">
          <cell r="A47" t="str">
            <v>Thailand</v>
          </cell>
          <cell r="B47">
            <v>1</v>
          </cell>
        </row>
        <row r="48">
          <cell r="A48" t="str">
            <v>Poland</v>
          </cell>
          <cell r="B48">
            <v>1</v>
          </cell>
        </row>
        <row r="49">
          <cell r="A49" t="str">
            <v>France</v>
          </cell>
          <cell r="B49">
            <v>0.87</v>
          </cell>
          <cell r="C49">
            <v>0.13</v>
          </cell>
        </row>
        <row r="50">
          <cell r="A50" t="str">
            <v>Turkey</v>
          </cell>
          <cell r="B50">
            <v>1</v>
          </cell>
        </row>
        <row r="51">
          <cell r="A51" t="str">
            <v>Russia</v>
          </cell>
          <cell r="B51">
            <v>1</v>
          </cell>
        </row>
        <row r="52">
          <cell r="A52" t="str">
            <v>Indonesia</v>
          </cell>
          <cell r="B52">
            <v>1</v>
          </cell>
        </row>
        <row r="53">
          <cell r="A53" t="str">
            <v>Italy</v>
          </cell>
          <cell r="B53">
            <v>1</v>
          </cell>
        </row>
        <row r="54">
          <cell r="A54" t="str">
            <v>Greece</v>
          </cell>
          <cell r="B54">
            <v>1</v>
          </cell>
        </row>
        <row r="55">
          <cell r="A55" t="str">
            <v>Colombia</v>
          </cell>
          <cell r="B55">
            <v>1</v>
          </cell>
        </row>
        <row r="56">
          <cell r="A56" t="str">
            <v>Mexico</v>
          </cell>
          <cell r="B56">
            <v>1</v>
          </cell>
        </row>
        <row r="57">
          <cell r="A57" t="str">
            <v>Saudi Arabia</v>
          </cell>
          <cell r="B57">
            <v>1</v>
          </cell>
        </row>
        <row r="58">
          <cell r="A58" t="str">
            <v>Spain</v>
          </cell>
          <cell r="B58">
            <v>1</v>
          </cell>
        </row>
        <row r="59">
          <cell r="A59" t="str">
            <v>Ukraine</v>
          </cell>
          <cell r="B59">
            <v>1</v>
          </cell>
        </row>
        <row r="60">
          <cell r="A60" t="str">
            <v>Brazil</v>
          </cell>
          <cell r="B60">
            <v>1</v>
          </cell>
        </row>
        <row r="61">
          <cell r="A61" t="str">
            <v>French Guiana</v>
          </cell>
        </row>
        <row r="62">
          <cell r="A62" t="str">
            <v>Jersey</v>
          </cell>
        </row>
        <row r="63">
          <cell r="A63" t="str">
            <v>Cuba</v>
          </cell>
        </row>
        <row r="64">
          <cell r="A64" t="str">
            <v>Myanmar (Burma)</v>
          </cell>
        </row>
        <row r="65">
          <cell r="A65" t="str">
            <v>Benin</v>
          </cell>
        </row>
        <row r="66">
          <cell r="A66" t="str">
            <v>Rwanda</v>
          </cell>
        </row>
        <row r="67">
          <cell r="A67" t="str">
            <v>Madagascar</v>
          </cell>
        </row>
        <row r="68">
          <cell r="A68" t="str">
            <v>Guadeloupe</v>
          </cell>
        </row>
        <row r="69">
          <cell r="A69" t="str">
            <v>Brunei</v>
          </cell>
        </row>
        <row r="70">
          <cell r="A70" t="str">
            <v>Nepal</v>
          </cell>
        </row>
        <row r="71">
          <cell r="A71" t="str">
            <v>Ethiopia</v>
          </cell>
        </row>
        <row r="72">
          <cell r="A72" t="str">
            <v>Syria</v>
          </cell>
        </row>
        <row r="73">
          <cell r="A73" t="str">
            <v>Mongolia</v>
          </cell>
        </row>
        <row r="74">
          <cell r="A74" t="str">
            <v>Montenegro</v>
          </cell>
        </row>
        <row r="75">
          <cell r="A75" t="str">
            <v>Malta</v>
          </cell>
        </row>
        <row r="76">
          <cell r="A76" t="str">
            <v>Estonia</v>
          </cell>
        </row>
        <row r="77">
          <cell r="A77" t="str">
            <v>Cameroon</v>
          </cell>
        </row>
        <row r="78">
          <cell r="A78" t="str">
            <v>Moldova</v>
          </cell>
        </row>
        <row r="79">
          <cell r="A79" t="str">
            <v>Luxembourg</v>
          </cell>
        </row>
        <row r="80">
          <cell r="A80" t="str">
            <v>Jamaica</v>
          </cell>
        </row>
        <row r="81">
          <cell r="A81" t="str">
            <v>Uganda</v>
          </cell>
        </row>
        <row r="82">
          <cell r="A82" t="str">
            <v>Latvia</v>
          </cell>
        </row>
        <row r="83">
          <cell r="A83" t="str">
            <v>North Macedonia</v>
          </cell>
        </row>
        <row r="84">
          <cell r="A84" t="str">
            <v>Yemen</v>
          </cell>
        </row>
        <row r="85">
          <cell r="A85" t="str">
            <v>Lithuania</v>
          </cell>
        </row>
        <row r="86">
          <cell r="A86" t="str">
            <v>Lebanon</v>
          </cell>
        </row>
        <row r="87">
          <cell r="A87" t="str">
            <v>CÃ´te dâ€™Ivoire</v>
          </cell>
        </row>
        <row r="88">
          <cell r="A88" t="str">
            <v>Jordan</v>
          </cell>
        </row>
        <row r="89">
          <cell r="A89" t="str">
            <v>Sudan</v>
          </cell>
        </row>
        <row r="90">
          <cell r="A90" t="str">
            <v>Bosnia &amp; Herzegovina</v>
          </cell>
        </row>
        <row r="91">
          <cell r="A91" t="str">
            <v>Tanzania</v>
          </cell>
        </row>
        <row r="92">
          <cell r="A92" t="str">
            <v>Cyprus</v>
          </cell>
        </row>
        <row r="93">
          <cell r="A93" t="str">
            <v>Cambodia</v>
          </cell>
        </row>
        <row r="94">
          <cell r="A94" t="str">
            <v>Qatar</v>
          </cell>
        </row>
        <row r="95">
          <cell r="A95" t="str">
            <v>Georgia</v>
          </cell>
        </row>
        <row r="96">
          <cell r="A96" t="str">
            <v>Panama</v>
          </cell>
        </row>
        <row r="97">
          <cell r="A97" t="str">
            <v>Paraguay</v>
          </cell>
        </row>
        <row r="98">
          <cell r="A98" t="str">
            <v>Slovakia</v>
          </cell>
        </row>
        <row r="99">
          <cell r="A99" t="str">
            <v>Bulgaria</v>
          </cell>
        </row>
        <row r="100">
          <cell r="A100" t="str">
            <v>Slovenia</v>
          </cell>
        </row>
        <row r="101">
          <cell r="A101" t="str">
            <v>Croatia</v>
          </cell>
        </row>
        <row r="102">
          <cell r="A102" t="str">
            <v>Nigeria</v>
          </cell>
        </row>
        <row r="103">
          <cell r="A103" t="str">
            <v>Serbia</v>
          </cell>
        </row>
        <row r="104">
          <cell r="A104" t="str">
            <v>Bolivia</v>
          </cell>
        </row>
        <row r="105">
          <cell r="A105" t="str">
            <v>Guatemala</v>
          </cell>
        </row>
        <row r="106">
          <cell r="A106" t="str">
            <v>Chile</v>
          </cell>
        </row>
        <row r="107">
          <cell r="A107" t="str">
            <v>Kazakhstan</v>
          </cell>
        </row>
        <row r="108">
          <cell r="A108" t="str">
            <v>Peru</v>
          </cell>
        </row>
        <row r="109">
          <cell r="A109" t="str">
            <v>Belarus</v>
          </cell>
        </row>
        <row r="110">
          <cell r="A110" t="str">
            <v>Argentina</v>
          </cell>
        </row>
        <row r="111">
          <cell r="A111" t="str">
            <v>Ecuador</v>
          </cell>
        </row>
        <row r="112">
          <cell r="A112" t="str">
            <v>Venezuela</v>
          </cell>
        </row>
        <row r="113">
          <cell r="A113" t="str">
            <v>Aruba</v>
          </cell>
        </row>
        <row r="114">
          <cell r="A114" t="str">
            <v>Afghanistan</v>
          </cell>
        </row>
        <row r="115">
          <cell r="A115" t="str">
            <v>Angola</v>
          </cell>
        </row>
        <row r="116">
          <cell r="A116" t="str">
            <v>Anguilla</v>
          </cell>
        </row>
        <row r="117">
          <cell r="A117" t="str">
            <v>Ã…land Islands</v>
          </cell>
        </row>
        <row r="118">
          <cell r="A118" t="str">
            <v>Albania</v>
          </cell>
        </row>
        <row r="119">
          <cell r="A119" t="str">
            <v>Andorra</v>
          </cell>
        </row>
        <row r="120">
          <cell r="A120" t="str">
            <v>Armenia</v>
          </cell>
        </row>
        <row r="121">
          <cell r="A121" t="str">
            <v>American Samoa</v>
          </cell>
        </row>
        <row r="122">
          <cell r="A122" t="str">
            <v>Antarctica</v>
          </cell>
        </row>
        <row r="123">
          <cell r="A123" t="str">
            <v>French Southern Territories</v>
          </cell>
        </row>
        <row r="124">
          <cell r="A124" t="str">
            <v>Antigua &amp; Barbuda</v>
          </cell>
        </row>
        <row r="125">
          <cell r="A125" t="str">
            <v>Azerbaijan</v>
          </cell>
        </row>
        <row r="126">
          <cell r="A126" t="str">
            <v>Burundi</v>
          </cell>
        </row>
        <row r="127">
          <cell r="A127" t="str">
            <v>Caribbean Netherlands</v>
          </cell>
        </row>
        <row r="128">
          <cell r="A128" t="str">
            <v>Burkina Faso</v>
          </cell>
        </row>
        <row r="129">
          <cell r="A129" t="str">
            <v>Bahrain</v>
          </cell>
        </row>
        <row r="130">
          <cell r="A130" t="str">
            <v>Bahamas</v>
          </cell>
        </row>
        <row r="131">
          <cell r="A131" t="str">
            <v>St. BarthÃ©lemy</v>
          </cell>
        </row>
        <row r="132">
          <cell r="A132" t="str">
            <v>Belize</v>
          </cell>
        </row>
        <row r="133">
          <cell r="A133" t="str">
            <v>Bermuda</v>
          </cell>
        </row>
        <row r="134">
          <cell r="A134" t="str">
            <v>Barbados</v>
          </cell>
        </row>
        <row r="135">
          <cell r="A135" t="str">
            <v>Bhutan</v>
          </cell>
        </row>
        <row r="136">
          <cell r="A136" t="str">
            <v>Bouvet Island</v>
          </cell>
        </row>
        <row r="137">
          <cell r="A137" t="str">
            <v>Botswana</v>
          </cell>
        </row>
        <row r="138">
          <cell r="A138" t="str">
            <v>Central African Republic</v>
          </cell>
        </row>
        <row r="139">
          <cell r="A139" t="str">
            <v>Cocos (Keeling) Islands</v>
          </cell>
        </row>
        <row r="140">
          <cell r="A140" t="str">
            <v>Congo - Kinshasa</v>
          </cell>
        </row>
        <row r="141">
          <cell r="A141" t="str">
            <v>Congo - Brazzaville</v>
          </cell>
        </row>
        <row r="142">
          <cell r="A142" t="str">
            <v>Cook Islands</v>
          </cell>
        </row>
        <row r="143">
          <cell r="A143" t="str">
            <v>Comoros</v>
          </cell>
        </row>
        <row r="144">
          <cell r="A144" t="str">
            <v>Cape Verde</v>
          </cell>
        </row>
        <row r="145">
          <cell r="A145" t="str">
            <v>Costa Rica</v>
          </cell>
        </row>
        <row r="146">
          <cell r="A146" t="str">
            <v>CuraÃ§ao</v>
          </cell>
        </row>
        <row r="147">
          <cell r="A147" t="str">
            <v>Christmas Island</v>
          </cell>
        </row>
        <row r="148">
          <cell r="A148" t="str">
            <v>Cayman Islands</v>
          </cell>
        </row>
        <row r="149">
          <cell r="A149" t="str">
            <v>Djibouti</v>
          </cell>
        </row>
        <row r="150">
          <cell r="A150" t="str">
            <v>Dominica</v>
          </cell>
        </row>
        <row r="151">
          <cell r="A151" t="str">
            <v>Dominican Republic</v>
          </cell>
        </row>
        <row r="152">
          <cell r="A152" t="str">
            <v>Eritrea</v>
          </cell>
        </row>
        <row r="153">
          <cell r="A153" t="str">
            <v>Western Sahara</v>
          </cell>
        </row>
        <row r="154">
          <cell r="A154" t="str">
            <v>Fiji</v>
          </cell>
        </row>
        <row r="155">
          <cell r="A155" t="str">
            <v>Falkland Islands (Islas Malvinas)</v>
          </cell>
        </row>
        <row r="156">
          <cell r="A156" t="str">
            <v>Faroe Islands</v>
          </cell>
        </row>
        <row r="157">
          <cell r="A157" t="str">
            <v>Micronesia</v>
          </cell>
        </row>
        <row r="158">
          <cell r="A158" t="str">
            <v>Gabon</v>
          </cell>
        </row>
        <row r="159">
          <cell r="A159" t="str">
            <v>Guernsey</v>
          </cell>
        </row>
        <row r="160">
          <cell r="A160" t="str">
            <v>Gibraltar</v>
          </cell>
        </row>
        <row r="161">
          <cell r="A161" t="str">
            <v>Guinea</v>
          </cell>
        </row>
        <row r="162">
          <cell r="A162" t="str">
            <v>Gambia</v>
          </cell>
        </row>
        <row r="163">
          <cell r="A163" t="str">
            <v>Guinea-Bissau</v>
          </cell>
        </row>
        <row r="164">
          <cell r="A164" t="str">
            <v>Equatorial Guinea</v>
          </cell>
        </row>
        <row r="165">
          <cell r="A165" t="str">
            <v>Grenada</v>
          </cell>
        </row>
        <row r="166">
          <cell r="A166" t="str">
            <v>Greenland</v>
          </cell>
        </row>
        <row r="167">
          <cell r="A167" t="str">
            <v>Guam</v>
          </cell>
        </row>
        <row r="168">
          <cell r="A168" t="str">
            <v>Guyana</v>
          </cell>
        </row>
        <row r="169">
          <cell r="A169" t="str">
            <v>Heard &amp; McDonald Islands</v>
          </cell>
        </row>
        <row r="170">
          <cell r="A170" t="str">
            <v>Honduras</v>
          </cell>
        </row>
        <row r="171">
          <cell r="A171" t="str">
            <v>Haiti</v>
          </cell>
        </row>
        <row r="172">
          <cell r="A172" t="str">
            <v>Isle of Man</v>
          </cell>
        </row>
        <row r="173">
          <cell r="A173" t="str">
            <v>British Indian Ocean Territory</v>
          </cell>
        </row>
        <row r="174">
          <cell r="A174" t="str">
            <v>Iceland</v>
          </cell>
        </row>
        <row r="175">
          <cell r="A175" t="str">
            <v>Kenya</v>
          </cell>
        </row>
        <row r="176">
          <cell r="A176" t="str">
            <v>Kyrgyzstan</v>
          </cell>
        </row>
        <row r="177">
          <cell r="A177" t="str">
            <v>Kiribati</v>
          </cell>
        </row>
        <row r="178">
          <cell r="A178" t="str">
            <v>St. Kitts &amp; Nevis</v>
          </cell>
        </row>
        <row r="179">
          <cell r="A179" t="str">
            <v>Kuwait</v>
          </cell>
        </row>
        <row r="180">
          <cell r="A180" t="str">
            <v>Laos</v>
          </cell>
        </row>
        <row r="181">
          <cell r="A181" t="str">
            <v>Liberia</v>
          </cell>
        </row>
        <row r="182">
          <cell r="A182" t="str">
            <v>Libya</v>
          </cell>
        </row>
        <row r="183">
          <cell r="A183" t="str">
            <v>St. Lucia</v>
          </cell>
        </row>
        <row r="184">
          <cell r="A184" t="str">
            <v>Liechtenstein</v>
          </cell>
        </row>
        <row r="185">
          <cell r="A185" t="str">
            <v>Lesotho</v>
          </cell>
        </row>
        <row r="186">
          <cell r="A186" t="str">
            <v>Macao</v>
          </cell>
        </row>
        <row r="187">
          <cell r="A187" t="str">
            <v>St. Martin</v>
          </cell>
        </row>
        <row r="188">
          <cell r="A188" t="str">
            <v>Monaco</v>
          </cell>
        </row>
        <row r="189">
          <cell r="A189" t="str">
            <v>Maldives</v>
          </cell>
        </row>
        <row r="190">
          <cell r="A190" t="str">
            <v>Marshall Islands</v>
          </cell>
        </row>
        <row r="191">
          <cell r="A191" t="str">
            <v>Mali</v>
          </cell>
        </row>
        <row r="192">
          <cell r="A192" t="str">
            <v>Northern Mariana Islands</v>
          </cell>
        </row>
        <row r="193">
          <cell r="A193" t="str">
            <v>Mozambique</v>
          </cell>
        </row>
        <row r="194">
          <cell r="A194" t="str">
            <v>Mauritania</v>
          </cell>
        </row>
        <row r="195">
          <cell r="A195" t="str">
            <v>Montserrat</v>
          </cell>
        </row>
        <row r="196">
          <cell r="A196" t="str">
            <v>Martinique</v>
          </cell>
        </row>
        <row r="197">
          <cell r="A197" t="str">
            <v>Mauritius</v>
          </cell>
        </row>
        <row r="198">
          <cell r="A198" t="str">
            <v>Malawi</v>
          </cell>
        </row>
        <row r="199">
          <cell r="A199" t="str">
            <v>Mayotte</v>
          </cell>
        </row>
        <row r="200">
          <cell r="A200" t="str">
            <v>Namibia</v>
          </cell>
        </row>
        <row r="201">
          <cell r="A201" t="str">
            <v>New Caledonia</v>
          </cell>
        </row>
        <row r="202">
          <cell r="A202" t="str">
            <v>Niger</v>
          </cell>
        </row>
        <row r="203">
          <cell r="A203" t="str">
            <v>Norfolk Island</v>
          </cell>
        </row>
        <row r="204">
          <cell r="A204" t="str">
            <v>Nicaragua</v>
          </cell>
        </row>
        <row r="205">
          <cell r="A205" t="str">
            <v>Niue</v>
          </cell>
        </row>
        <row r="206">
          <cell r="A206" t="str">
            <v>Nauru</v>
          </cell>
        </row>
        <row r="207">
          <cell r="A207" t="str">
            <v>Oman</v>
          </cell>
        </row>
        <row r="208">
          <cell r="A208" t="str">
            <v>Pitcairn Islands</v>
          </cell>
        </row>
        <row r="209">
          <cell r="A209" t="str">
            <v>Palau</v>
          </cell>
        </row>
        <row r="210">
          <cell r="A210" t="str">
            <v>Papua New Guinea</v>
          </cell>
        </row>
        <row r="211">
          <cell r="A211" t="str">
            <v>Puerto Rico</v>
          </cell>
        </row>
        <row r="212">
          <cell r="A212" t="str">
            <v>North Korea</v>
          </cell>
        </row>
        <row r="213">
          <cell r="A213" t="str">
            <v>Palestine</v>
          </cell>
        </row>
        <row r="214">
          <cell r="A214" t="str">
            <v>French Polynesia</v>
          </cell>
        </row>
        <row r="215">
          <cell r="A215" t="str">
            <v>RÃ©union</v>
          </cell>
        </row>
        <row r="216">
          <cell r="A216" t="str">
            <v>Senegal</v>
          </cell>
        </row>
        <row r="217">
          <cell r="A217" t="str">
            <v>South Georgia &amp; South Sandwich Islands</v>
          </cell>
        </row>
        <row r="218">
          <cell r="A218" t="str">
            <v>Svalbard &amp; Jan Mayen</v>
          </cell>
        </row>
        <row r="219">
          <cell r="A219" t="str">
            <v>Solomon Islands</v>
          </cell>
        </row>
        <row r="220">
          <cell r="A220" t="str">
            <v>Sierra Leone</v>
          </cell>
        </row>
        <row r="221">
          <cell r="A221" t="str">
            <v>El Salvador</v>
          </cell>
        </row>
        <row r="222">
          <cell r="A222" t="str">
            <v>San Marino</v>
          </cell>
        </row>
        <row r="223">
          <cell r="A223" t="str">
            <v>Somalia</v>
          </cell>
        </row>
        <row r="224">
          <cell r="A224" t="str">
            <v>St. Pierre &amp; Miquelon</v>
          </cell>
        </row>
        <row r="225">
          <cell r="A225" t="str">
            <v>South Sudan</v>
          </cell>
        </row>
        <row r="226">
          <cell r="A226" t="str">
            <v>SÃ£o TomÃ© &amp; PrÃ­ncipe</v>
          </cell>
        </row>
        <row r="227">
          <cell r="A227" t="str">
            <v>Suriname</v>
          </cell>
        </row>
        <row r="228">
          <cell r="A228" t="str">
            <v>Eswatini</v>
          </cell>
        </row>
        <row r="229">
          <cell r="A229" t="str">
            <v>Sint Maarten</v>
          </cell>
        </row>
        <row r="230">
          <cell r="A230" t="str">
            <v>Seychelles</v>
          </cell>
        </row>
        <row r="231">
          <cell r="A231" t="str">
            <v>Turks &amp; Caicos Islands</v>
          </cell>
        </row>
        <row r="232">
          <cell r="A232" t="str">
            <v>Chad</v>
          </cell>
        </row>
        <row r="233">
          <cell r="A233" t="str">
            <v>Togo</v>
          </cell>
        </row>
        <row r="234">
          <cell r="A234" t="str">
            <v>Tajikistan</v>
          </cell>
        </row>
        <row r="235">
          <cell r="A235" t="str">
            <v>Tokelau</v>
          </cell>
        </row>
        <row r="236">
          <cell r="A236" t="str">
            <v>Turkmenistan</v>
          </cell>
        </row>
        <row r="237">
          <cell r="A237" t="str">
            <v>Timor-Leste</v>
          </cell>
        </row>
        <row r="238">
          <cell r="A238" t="str">
            <v>Tonga</v>
          </cell>
        </row>
        <row r="239">
          <cell r="A239" t="str">
            <v>Trinidad &amp; Tobago</v>
          </cell>
        </row>
        <row r="240">
          <cell r="A240" t="str">
            <v>Tuvalu</v>
          </cell>
        </row>
        <row r="241">
          <cell r="A241" t="str">
            <v>U.S. Outlying Islands</v>
          </cell>
        </row>
        <row r="242">
          <cell r="A242" t="str">
            <v>Uruguay</v>
          </cell>
        </row>
        <row r="243">
          <cell r="A243" t="str">
            <v>Uzbekistan</v>
          </cell>
        </row>
        <row r="244">
          <cell r="A244" t="str">
            <v>Vatican City</v>
          </cell>
        </row>
        <row r="245">
          <cell r="A245" t="str">
            <v>St. Vincent &amp; Grenadines</v>
          </cell>
        </row>
        <row r="246">
          <cell r="A246" t="str">
            <v>British Virgin Islands</v>
          </cell>
        </row>
        <row r="247">
          <cell r="A247" t="str">
            <v>U.S. Virgin Islands</v>
          </cell>
        </row>
        <row r="248">
          <cell r="A248" t="str">
            <v>Vanuatu</v>
          </cell>
        </row>
        <row r="249">
          <cell r="A249" t="str">
            <v>Wallis &amp; Futuna</v>
          </cell>
        </row>
        <row r="250">
          <cell r="A250" t="str">
            <v>Samoa</v>
          </cell>
        </row>
        <row r="251">
          <cell r="A251" t="str">
            <v>Kosovo</v>
          </cell>
        </row>
        <row r="252">
          <cell r="A252" t="str">
            <v>Zambia</v>
          </cell>
        </row>
        <row r="253">
          <cell r="A253" t="str">
            <v>Zimbabwe</v>
          </cell>
        </row>
      </sheetData>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52)"/>
    </sheetNames>
    <sheetDataSet>
      <sheetData sheetId="0" refreshError="1">
        <row r="1">
          <cell r="A1" t="str">
            <v>Category: All categories</v>
          </cell>
        </row>
        <row r="3">
          <cell r="A3" t="str">
            <v>Country</v>
          </cell>
          <cell r="B3" t="str">
            <v>Mutual exclusion: (2018)</v>
          </cell>
          <cell r="C3" t="str">
            <v>Spectral graph theory: (2018)</v>
          </cell>
        </row>
        <row r="4">
          <cell r="A4" t="str">
            <v>China</v>
          </cell>
          <cell r="B4">
            <v>0.95</v>
          </cell>
          <cell r="C4">
            <v>0.05</v>
          </cell>
        </row>
        <row r="5">
          <cell r="A5" t="str">
            <v>Taiwan</v>
          </cell>
          <cell r="B5">
            <v>1</v>
          </cell>
        </row>
        <row r="6">
          <cell r="A6" t="str">
            <v>Israel</v>
          </cell>
          <cell r="B6">
            <v>1</v>
          </cell>
        </row>
        <row r="7">
          <cell r="A7" t="str">
            <v>Japan</v>
          </cell>
          <cell r="B7">
            <v>1</v>
          </cell>
        </row>
        <row r="8">
          <cell r="A8" t="str">
            <v>Austria</v>
          </cell>
          <cell r="B8">
            <v>1</v>
          </cell>
        </row>
        <row r="9">
          <cell r="A9" t="str">
            <v>Czechia</v>
          </cell>
          <cell r="B9">
            <v>1</v>
          </cell>
        </row>
        <row r="10">
          <cell r="A10" t="str">
            <v>St. Helena</v>
          </cell>
          <cell r="B10">
            <v>1</v>
          </cell>
        </row>
        <row r="11">
          <cell r="A11" t="str">
            <v>Belarus</v>
          </cell>
          <cell r="B11">
            <v>1</v>
          </cell>
        </row>
        <row r="12">
          <cell r="A12" t="str">
            <v>Russia</v>
          </cell>
          <cell r="B12">
            <v>1</v>
          </cell>
        </row>
        <row r="13">
          <cell r="A13" t="str">
            <v>Kenya</v>
          </cell>
          <cell r="B13">
            <v>1</v>
          </cell>
        </row>
        <row r="14">
          <cell r="A14" t="str">
            <v>Germany</v>
          </cell>
          <cell r="B14">
            <v>1</v>
          </cell>
        </row>
        <row r="15">
          <cell r="A15" t="str">
            <v>Finland</v>
          </cell>
          <cell r="B15">
            <v>1</v>
          </cell>
        </row>
        <row r="16">
          <cell r="A16" t="str">
            <v>South Korea</v>
          </cell>
          <cell r="B16">
            <v>1</v>
          </cell>
        </row>
        <row r="17">
          <cell r="A17" t="str">
            <v>Iceland</v>
          </cell>
        </row>
        <row r="18">
          <cell r="A18" t="str">
            <v>Nepal</v>
          </cell>
          <cell r="B18">
            <v>1</v>
          </cell>
        </row>
        <row r="19">
          <cell r="A19" t="str">
            <v>Portugal</v>
          </cell>
          <cell r="B19">
            <v>1</v>
          </cell>
        </row>
        <row r="20">
          <cell r="A20" t="str">
            <v>Ethiopia</v>
          </cell>
        </row>
        <row r="21">
          <cell r="A21" t="str">
            <v>Norway</v>
          </cell>
          <cell r="B21">
            <v>1</v>
          </cell>
        </row>
        <row r="22">
          <cell r="A22" t="str">
            <v>Ukraine</v>
          </cell>
          <cell r="B22">
            <v>1</v>
          </cell>
        </row>
        <row r="23">
          <cell r="A23" t="str">
            <v>Sweden</v>
          </cell>
          <cell r="B23">
            <v>1</v>
          </cell>
        </row>
        <row r="24">
          <cell r="A24" t="str">
            <v>Zimbabwe</v>
          </cell>
        </row>
        <row r="25">
          <cell r="A25" t="str">
            <v>Croatia</v>
          </cell>
          <cell r="B25">
            <v>1</v>
          </cell>
        </row>
        <row r="26">
          <cell r="A26" t="str">
            <v>Poland</v>
          </cell>
          <cell r="B26">
            <v>1</v>
          </cell>
        </row>
        <row r="27">
          <cell r="A27" t="str">
            <v>Switzerland</v>
          </cell>
          <cell r="B27">
            <v>1</v>
          </cell>
        </row>
        <row r="28">
          <cell r="A28" t="str">
            <v>Hungary</v>
          </cell>
          <cell r="B28">
            <v>1</v>
          </cell>
        </row>
        <row r="29">
          <cell r="A29" t="str">
            <v>India</v>
          </cell>
          <cell r="B29">
            <v>0.96</v>
          </cell>
          <cell r="C29">
            <v>0.04</v>
          </cell>
        </row>
        <row r="30">
          <cell r="A30" t="str">
            <v>Slovakia</v>
          </cell>
          <cell r="B30">
            <v>1</v>
          </cell>
        </row>
        <row r="31">
          <cell r="A31" t="str">
            <v>Sri Lanka</v>
          </cell>
          <cell r="B31">
            <v>1</v>
          </cell>
        </row>
        <row r="32">
          <cell r="A32" t="str">
            <v>Tunisia</v>
          </cell>
          <cell r="B32">
            <v>1</v>
          </cell>
        </row>
        <row r="33">
          <cell r="A33" t="str">
            <v>Pakistan</v>
          </cell>
          <cell r="B33">
            <v>1</v>
          </cell>
        </row>
        <row r="34">
          <cell r="A34" t="str">
            <v>Guatemala</v>
          </cell>
        </row>
        <row r="35">
          <cell r="A35" t="str">
            <v>Singapore</v>
          </cell>
          <cell r="B35">
            <v>1</v>
          </cell>
        </row>
        <row r="36">
          <cell r="A36" t="str">
            <v>Algeria</v>
          </cell>
          <cell r="B36">
            <v>1</v>
          </cell>
        </row>
        <row r="37">
          <cell r="A37" t="str">
            <v>Italy</v>
          </cell>
          <cell r="B37">
            <v>1</v>
          </cell>
        </row>
        <row r="38">
          <cell r="A38" t="str">
            <v>Serbia</v>
          </cell>
          <cell r="B38">
            <v>1</v>
          </cell>
        </row>
        <row r="39">
          <cell r="A39" t="str">
            <v>Netherlands</v>
          </cell>
          <cell r="B39">
            <v>1</v>
          </cell>
        </row>
        <row r="40">
          <cell r="A40" t="str">
            <v>Kazakhstan</v>
          </cell>
          <cell r="B40">
            <v>1</v>
          </cell>
        </row>
        <row r="41">
          <cell r="A41" t="str">
            <v>Lithuania</v>
          </cell>
        </row>
        <row r="42">
          <cell r="A42" t="str">
            <v>Spain</v>
          </cell>
          <cell r="B42">
            <v>1</v>
          </cell>
        </row>
        <row r="43">
          <cell r="A43" t="str">
            <v>Costa Rica</v>
          </cell>
          <cell r="B43">
            <v>1</v>
          </cell>
        </row>
        <row r="44">
          <cell r="A44" t="str">
            <v>Belgium</v>
          </cell>
          <cell r="B44">
            <v>1</v>
          </cell>
        </row>
        <row r="45">
          <cell r="A45" t="str">
            <v>Bulgaria</v>
          </cell>
          <cell r="B45">
            <v>1</v>
          </cell>
        </row>
        <row r="46">
          <cell r="A46" t="str">
            <v>Ireland</v>
          </cell>
          <cell r="B46">
            <v>1</v>
          </cell>
        </row>
        <row r="47">
          <cell r="A47" t="str">
            <v>Hong Kong</v>
          </cell>
          <cell r="B47">
            <v>1</v>
          </cell>
        </row>
        <row r="48">
          <cell r="A48" t="str">
            <v>Bolivia</v>
          </cell>
        </row>
        <row r="49">
          <cell r="A49" t="str">
            <v>France</v>
          </cell>
          <cell r="B49">
            <v>1</v>
          </cell>
        </row>
        <row r="50">
          <cell r="A50" t="str">
            <v>Nigeria</v>
          </cell>
          <cell r="B50">
            <v>1</v>
          </cell>
        </row>
        <row r="51">
          <cell r="A51" t="str">
            <v>Mexico</v>
          </cell>
          <cell r="B51">
            <v>1</v>
          </cell>
        </row>
        <row r="52">
          <cell r="A52" t="str">
            <v>Morocco</v>
          </cell>
          <cell r="B52">
            <v>1</v>
          </cell>
        </row>
        <row r="53">
          <cell r="A53" t="str">
            <v>Romania</v>
          </cell>
          <cell r="B53">
            <v>1</v>
          </cell>
        </row>
        <row r="54">
          <cell r="A54" t="str">
            <v>Canada</v>
          </cell>
          <cell r="B54">
            <v>0.84</v>
          </cell>
          <cell r="C54">
            <v>0.16</v>
          </cell>
        </row>
        <row r="55">
          <cell r="A55" t="str">
            <v>Greece</v>
          </cell>
          <cell r="B55">
            <v>1</v>
          </cell>
        </row>
        <row r="56">
          <cell r="A56" t="str">
            <v>Argentina</v>
          </cell>
          <cell r="B56">
            <v>1</v>
          </cell>
        </row>
        <row r="57">
          <cell r="A57" t="str">
            <v>Bangladesh</v>
          </cell>
        </row>
        <row r="58">
          <cell r="A58" t="str">
            <v>Peru</v>
          </cell>
          <cell r="B58">
            <v>1</v>
          </cell>
        </row>
        <row r="59">
          <cell r="A59" t="str">
            <v>Vietnam</v>
          </cell>
          <cell r="B59">
            <v>1</v>
          </cell>
        </row>
        <row r="60">
          <cell r="A60" t="str">
            <v>Brazil</v>
          </cell>
          <cell r="B60">
            <v>1</v>
          </cell>
        </row>
        <row r="61">
          <cell r="A61" t="str">
            <v>United States</v>
          </cell>
          <cell r="B61">
            <v>0.79</v>
          </cell>
          <cell r="C61">
            <v>0.21</v>
          </cell>
        </row>
        <row r="62">
          <cell r="A62" t="str">
            <v>Australia</v>
          </cell>
          <cell r="B62">
            <v>1</v>
          </cell>
        </row>
        <row r="63">
          <cell r="A63" t="str">
            <v>Indonesia</v>
          </cell>
          <cell r="B63">
            <v>1</v>
          </cell>
        </row>
        <row r="64">
          <cell r="A64" t="str">
            <v>Chile</v>
          </cell>
          <cell r="B64">
            <v>1</v>
          </cell>
        </row>
        <row r="65">
          <cell r="A65" t="str">
            <v>Uruguay</v>
          </cell>
        </row>
        <row r="66">
          <cell r="A66" t="str">
            <v>Iran</v>
          </cell>
          <cell r="B66">
            <v>1</v>
          </cell>
        </row>
        <row r="67">
          <cell r="A67" t="str">
            <v>New Zealand</v>
          </cell>
        </row>
        <row r="68">
          <cell r="A68" t="str">
            <v>Colombia</v>
          </cell>
          <cell r="B68">
            <v>1</v>
          </cell>
        </row>
        <row r="69">
          <cell r="A69" t="str">
            <v>Philippines</v>
          </cell>
          <cell r="B69">
            <v>1</v>
          </cell>
        </row>
        <row r="70">
          <cell r="A70" t="str">
            <v>Malaysia</v>
          </cell>
          <cell r="B70">
            <v>1</v>
          </cell>
        </row>
        <row r="71">
          <cell r="A71" t="str">
            <v>South Africa</v>
          </cell>
          <cell r="B71">
            <v>1</v>
          </cell>
        </row>
        <row r="72">
          <cell r="A72" t="str">
            <v>Saudi Arabia</v>
          </cell>
        </row>
        <row r="73">
          <cell r="A73" t="str">
            <v>United Kingdom</v>
          </cell>
          <cell r="B73">
            <v>0.84</v>
          </cell>
          <cell r="C73">
            <v>0.16</v>
          </cell>
        </row>
        <row r="74">
          <cell r="A74" t="str">
            <v>Thailand</v>
          </cell>
          <cell r="B74">
            <v>1</v>
          </cell>
        </row>
        <row r="75">
          <cell r="A75" t="str">
            <v>Egypt</v>
          </cell>
        </row>
        <row r="76">
          <cell r="A76" t="str">
            <v>Ecuador</v>
          </cell>
        </row>
        <row r="77">
          <cell r="A77" t="str">
            <v>Denmark</v>
          </cell>
        </row>
        <row r="78">
          <cell r="A78" t="str">
            <v>United Arab Emirates</v>
          </cell>
        </row>
        <row r="79">
          <cell r="A79" t="str">
            <v>Turkey</v>
          </cell>
          <cell r="B79">
            <v>1</v>
          </cell>
        </row>
        <row r="80">
          <cell r="A80" t="str">
            <v>Venezuela</v>
          </cell>
        </row>
        <row r="81">
          <cell r="A81" t="str">
            <v>Andorra</v>
          </cell>
        </row>
        <row r="82">
          <cell r="A82" t="str">
            <v>Benin</v>
          </cell>
        </row>
        <row r="83">
          <cell r="A83" t="str">
            <v>Angola</v>
          </cell>
        </row>
        <row r="84">
          <cell r="A84" t="str">
            <v>Rwanda</v>
          </cell>
        </row>
        <row r="85">
          <cell r="A85" t="str">
            <v>Namibia</v>
          </cell>
        </row>
        <row r="86">
          <cell r="A86" t="str">
            <v>Armenia</v>
          </cell>
        </row>
        <row r="87">
          <cell r="A87" t="str">
            <v>Madagascar</v>
          </cell>
        </row>
        <row r="88">
          <cell r="A88" t="str">
            <v>Congo - Kinshasa</v>
          </cell>
        </row>
        <row r="89">
          <cell r="A89" t="str">
            <v>Brunei</v>
          </cell>
        </row>
        <row r="90">
          <cell r="A90" t="str">
            <v>Afghanistan</v>
          </cell>
        </row>
        <row r="91">
          <cell r="A91" t="str">
            <v>Latvia</v>
          </cell>
        </row>
        <row r="92">
          <cell r="A92" t="str">
            <v>Cameroon</v>
          </cell>
        </row>
        <row r="93">
          <cell r="A93" t="str">
            <v>Estonia</v>
          </cell>
        </row>
        <row r="94">
          <cell r="A94" t="str">
            <v>Libya</v>
          </cell>
        </row>
        <row r="95">
          <cell r="A95" t="str">
            <v>Mozambique</v>
          </cell>
        </row>
        <row r="96">
          <cell r="A96" t="str">
            <v>Zambia</v>
          </cell>
        </row>
        <row r="97">
          <cell r="A97" t="str">
            <v>Moldova</v>
          </cell>
        </row>
        <row r="98">
          <cell r="A98" t="str">
            <v>Trinidad &amp; Tobago</v>
          </cell>
        </row>
        <row r="99">
          <cell r="A99" t="str">
            <v>El Salvador</v>
          </cell>
        </row>
        <row r="100">
          <cell r="A100" t="str">
            <v>Luxembourg</v>
          </cell>
        </row>
        <row r="101">
          <cell r="A101" t="str">
            <v>Jamaica</v>
          </cell>
        </row>
        <row r="102">
          <cell r="A102" t="str">
            <v>Palestine</v>
          </cell>
        </row>
        <row r="103">
          <cell r="A103" t="str">
            <v>Nicaragua</v>
          </cell>
        </row>
        <row r="104">
          <cell r="A104" t="str">
            <v>Cyprus</v>
          </cell>
        </row>
        <row r="105">
          <cell r="A105" t="str">
            <v>North Macedonia</v>
          </cell>
        </row>
        <row r="106">
          <cell r="A106" t="str">
            <v>Albania</v>
          </cell>
        </row>
        <row r="107">
          <cell r="A107" t="str">
            <v>Azerbaijan</v>
          </cell>
        </row>
        <row r="108">
          <cell r="A108" t="str">
            <v>Sudan</v>
          </cell>
        </row>
        <row r="109">
          <cell r="A109" t="str">
            <v>Paraguay</v>
          </cell>
        </row>
        <row r="110">
          <cell r="A110" t="str">
            <v>Bosnia &amp; Herzegovina</v>
          </cell>
        </row>
        <row r="111">
          <cell r="A111" t="str">
            <v>Tanzania</v>
          </cell>
        </row>
        <row r="112">
          <cell r="A112" t="str">
            <v>Oman</v>
          </cell>
        </row>
        <row r="113">
          <cell r="A113" t="str">
            <v>Honduras</v>
          </cell>
        </row>
        <row r="114">
          <cell r="A114" t="str">
            <v>Slovenia</v>
          </cell>
        </row>
        <row r="115">
          <cell r="A115" t="str">
            <v>Syria</v>
          </cell>
        </row>
        <row r="116">
          <cell r="A116" t="str">
            <v>Dominican Republic</v>
          </cell>
        </row>
        <row r="117">
          <cell r="A117" t="str">
            <v>Puerto Rico</v>
          </cell>
        </row>
        <row r="118">
          <cell r="A118" t="str">
            <v>Panama</v>
          </cell>
        </row>
        <row r="119">
          <cell r="A119" t="str">
            <v>Lebanon</v>
          </cell>
        </row>
        <row r="120">
          <cell r="A120" t="str">
            <v>Aruba</v>
          </cell>
        </row>
        <row r="121">
          <cell r="A121" t="str">
            <v>Anguilla</v>
          </cell>
        </row>
        <row r="122">
          <cell r="A122" t="str">
            <v>Ã…land Islands</v>
          </cell>
        </row>
        <row r="123">
          <cell r="A123" t="str">
            <v>American Samoa</v>
          </cell>
        </row>
        <row r="124">
          <cell r="A124" t="str">
            <v>Antarctica</v>
          </cell>
        </row>
        <row r="125">
          <cell r="A125" t="str">
            <v>French Southern Territories</v>
          </cell>
        </row>
        <row r="126">
          <cell r="A126" t="str">
            <v>Antigua &amp; Barbuda</v>
          </cell>
        </row>
        <row r="127">
          <cell r="A127" t="str">
            <v>Burundi</v>
          </cell>
        </row>
        <row r="128">
          <cell r="A128" t="str">
            <v>Caribbean Netherlands</v>
          </cell>
        </row>
        <row r="129">
          <cell r="A129" t="str">
            <v>Burkina Faso</v>
          </cell>
        </row>
        <row r="130">
          <cell r="A130" t="str">
            <v>Bahrain</v>
          </cell>
        </row>
        <row r="131">
          <cell r="A131" t="str">
            <v>Bahamas</v>
          </cell>
        </row>
        <row r="132">
          <cell r="A132" t="str">
            <v>St. BarthÃ©lemy</v>
          </cell>
        </row>
        <row r="133">
          <cell r="A133" t="str">
            <v>Belize</v>
          </cell>
        </row>
        <row r="134">
          <cell r="A134" t="str">
            <v>Bermuda</v>
          </cell>
        </row>
        <row r="135">
          <cell r="A135" t="str">
            <v>Barbados</v>
          </cell>
        </row>
        <row r="136">
          <cell r="A136" t="str">
            <v>Bhutan</v>
          </cell>
        </row>
        <row r="137">
          <cell r="A137" t="str">
            <v>Bouvet Island</v>
          </cell>
        </row>
        <row r="138">
          <cell r="A138" t="str">
            <v>Botswana</v>
          </cell>
        </row>
        <row r="139">
          <cell r="A139" t="str">
            <v>Central African Republic</v>
          </cell>
        </row>
        <row r="140">
          <cell r="A140" t="str">
            <v>Cocos (Keeling) Islands</v>
          </cell>
        </row>
        <row r="141">
          <cell r="A141" t="str">
            <v>CÃ´te dâ€™Ivoire</v>
          </cell>
        </row>
        <row r="142">
          <cell r="A142" t="str">
            <v>Congo - Brazzaville</v>
          </cell>
        </row>
        <row r="143">
          <cell r="A143" t="str">
            <v>Cook Islands</v>
          </cell>
        </row>
        <row r="144">
          <cell r="A144" t="str">
            <v>Comoros</v>
          </cell>
        </row>
        <row r="145">
          <cell r="A145" t="str">
            <v>Cape Verde</v>
          </cell>
        </row>
        <row r="146">
          <cell r="A146" t="str">
            <v>Cuba</v>
          </cell>
        </row>
        <row r="147">
          <cell r="A147" t="str">
            <v>CuraÃ§ao</v>
          </cell>
        </row>
        <row r="148">
          <cell r="A148" t="str">
            <v>Christmas Island</v>
          </cell>
        </row>
        <row r="149">
          <cell r="A149" t="str">
            <v>Cayman Islands</v>
          </cell>
        </row>
        <row r="150">
          <cell r="A150" t="str">
            <v>Djibouti</v>
          </cell>
        </row>
        <row r="151">
          <cell r="A151" t="str">
            <v>Dominica</v>
          </cell>
        </row>
        <row r="152">
          <cell r="A152" t="str">
            <v>Eritrea</v>
          </cell>
        </row>
        <row r="153">
          <cell r="A153" t="str">
            <v>Western Sahara</v>
          </cell>
        </row>
        <row r="154">
          <cell r="A154" t="str">
            <v>Fiji</v>
          </cell>
        </row>
        <row r="155">
          <cell r="A155" t="str">
            <v>Falkland Islands (Islas Malvinas)</v>
          </cell>
        </row>
        <row r="156">
          <cell r="A156" t="str">
            <v>Faroe Islands</v>
          </cell>
        </row>
        <row r="157">
          <cell r="A157" t="str">
            <v>Micronesia</v>
          </cell>
        </row>
        <row r="158">
          <cell r="A158" t="str">
            <v>Gabon</v>
          </cell>
        </row>
        <row r="159">
          <cell r="A159" t="str">
            <v>Georgia</v>
          </cell>
        </row>
        <row r="160">
          <cell r="A160" t="str">
            <v>Guernsey</v>
          </cell>
        </row>
        <row r="161">
          <cell r="A161" t="str">
            <v>Ghana</v>
          </cell>
        </row>
        <row r="162">
          <cell r="A162" t="str">
            <v>Gibraltar</v>
          </cell>
        </row>
        <row r="163">
          <cell r="A163" t="str">
            <v>Guinea</v>
          </cell>
        </row>
        <row r="164">
          <cell r="A164" t="str">
            <v>Guadeloupe</v>
          </cell>
        </row>
        <row r="165">
          <cell r="A165" t="str">
            <v>Gambia</v>
          </cell>
        </row>
        <row r="166">
          <cell r="A166" t="str">
            <v>Guinea-Bissau</v>
          </cell>
        </row>
        <row r="167">
          <cell r="A167" t="str">
            <v>Equatorial Guinea</v>
          </cell>
        </row>
        <row r="168">
          <cell r="A168" t="str">
            <v>Grenada</v>
          </cell>
        </row>
        <row r="169">
          <cell r="A169" t="str">
            <v>Greenland</v>
          </cell>
        </row>
        <row r="170">
          <cell r="A170" t="str">
            <v>French Guiana</v>
          </cell>
        </row>
        <row r="171">
          <cell r="A171" t="str">
            <v>Guam</v>
          </cell>
        </row>
        <row r="172">
          <cell r="A172" t="str">
            <v>Guyana</v>
          </cell>
        </row>
        <row r="173">
          <cell r="A173" t="str">
            <v>Heard &amp; McDonald Islands</v>
          </cell>
        </row>
        <row r="174">
          <cell r="A174" t="str">
            <v>Haiti</v>
          </cell>
        </row>
        <row r="175">
          <cell r="A175" t="str">
            <v>Isle of Man</v>
          </cell>
        </row>
        <row r="176">
          <cell r="A176" t="str">
            <v>British Indian Ocean Territory</v>
          </cell>
        </row>
        <row r="177">
          <cell r="A177" t="str">
            <v>Iraq</v>
          </cell>
        </row>
        <row r="178">
          <cell r="A178" t="str">
            <v>Jersey</v>
          </cell>
        </row>
        <row r="179">
          <cell r="A179" t="str">
            <v>Jordan</v>
          </cell>
        </row>
        <row r="180">
          <cell r="A180" t="str">
            <v>Kyrgyzstan</v>
          </cell>
        </row>
        <row r="181">
          <cell r="A181" t="str">
            <v>Cambodia</v>
          </cell>
        </row>
        <row r="182">
          <cell r="A182" t="str">
            <v>Kiribati</v>
          </cell>
        </row>
        <row r="183">
          <cell r="A183" t="str">
            <v>St. Kitts &amp; Nevis</v>
          </cell>
        </row>
        <row r="184">
          <cell r="A184" t="str">
            <v>Kuwait</v>
          </cell>
        </row>
        <row r="185">
          <cell r="A185" t="str">
            <v>Laos</v>
          </cell>
        </row>
        <row r="186">
          <cell r="A186" t="str">
            <v>Liberia</v>
          </cell>
        </row>
        <row r="187">
          <cell r="A187" t="str">
            <v>St. Lucia</v>
          </cell>
        </row>
        <row r="188">
          <cell r="A188" t="str">
            <v>Liechtenstein</v>
          </cell>
        </row>
        <row r="189">
          <cell r="A189" t="str">
            <v>Lesotho</v>
          </cell>
        </row>
        <row r="190">
          <cell r="A190" t="str">
            <v>Macao</v>
          </cell>
        </row>
        <row r="191">
          <cell r="A191" t="str">
            <v>St. Martin</v>
          </cell>
        </row>
        <row r="192">
          <cell r="A192" t="str">
            <v>Monaco</v>
          </cell>
        </row>
        <row r="193">
          <cell r="A193" t="str">
            <v>Maldives</v>
          </cell>
        </row>
        <row r="194">
          <cell r="A194" t="str">
            <v>Marshall Islands</v>
          </cell>
        </row>
        <row r="195">
          <cell r="A195" t="str">
            <v>Mali</v>
          </cell>
        </row>
        <row r="196">
          <cell r="A196" t="str">
            <v>Malta</v>
          </cell>
        </row>
        <row r="197">
          <cell r="A197" t="str">
            <v>Myanmar (Burma)</v>
          </cell>
        </row>
        <row r="198">
          <cell r="A198" t="str">
            <v>Montenegro</v>
          </cell>
        </row>
        <row r="199">
          <cell r="A199" t="str">
            <v>Mongolia</v>
          </cell>
        </row>
        <row r="200">
          <cell r="A200" t="str">
            <v>Northern Mariana Islands</v>
          </cell>
        </row>
        <row r="201">
          <cell r="A201" t="str">
            <v>Mauritania</v>
          </cell>
        </row>
        <row r="202">
          <cell r="A202" t="str">
            <v>Montserrat</v>
          </cell>
        </row>
        <row r="203">
          <cell r="A203" t="str">
            <v>Martinique</v>
          </cell>
        </row>
        <row r="204">
          <cell r="A204" t="str">
            <v>Mauritius</v>
          </cell>
        </row>
        <row r="205">
          <cell r="A205" t="str">
            <v>Malawi</v>
          </cell>
        </row>
        <row r="206">
          <cell r="A206" t="str">
            <v>Mayotte</v>
          </cell>
        </row>
        <row r="207">
          <cell r="A207" t="str">
            <v>New Caledonia</v>
          </cell>
        </row>
        <row r="208">
          <cell r="A208" t="str">
            <v>Niger</v>
          </cell>
        </row>
        <row r="209">
          <cell r="A209" t="str">
            <v>Norfolk Island</v>
          </cell>
        </row>
        <row r="210">
          <cell r="A210" t="str">
            <v>Niue</v>
          </cell>
        </row>
        <row r="211">
          <cell r="A211" t="str">
            <v>Nauru</v>
          </cell>
        </row>
        <row r="212">
          <cell r="A212" t="str">
            <v>Pitcairn Islands</v>
          </cell>
        </row>
        <row r="213">
          <cell r="A213" t="str">
            <v>Palau</v>
          </cell>
        </row>
        <row r="214">
          <cell r="A214" t="str">
            <v>Papua New Guinea</v>
          </cell>
        </row>
        <row r="215">
          <cell r="A215" t="str">
            <v>North Korea</v>
          </cell>
        </row>
        <row r="216">
          <cell r="A216" t="str">
            <v>French Polynesia</v>
          </cell>
        </row>
        <row r="217">
          <cell r="A217" t="str">
            <v>Qatar</v>
          </cell>
        </row>
        <row r="218">
          <cell r="A218" t="str">
            <v>RÃ©union</v>
          </cell>
        </row>
        <row r="219">
          <cell r="A219" t="str">
            <v>Senegal</v>
          </cell>
        </row>
        <row r="220">
          <cell r="A220" t="str">
            <v>South Georgia &amp; South Sandwich Islands</v>
          </cell>
        </row>
        <row r="221">
          <cell r="A221" t="str">
            <v>Svalbard &amp; Jan Mayen</v>
          </cell>
        </row>
        <row r="222">
          <cell r="A222" t="str">
            <v>Solomon Islands</v>
          </cell>
        </row>
        <row r="223">
          <cell r="A223" t="str">
            <v>Sierra Leone</v>
          </cell>
        </row>
        <row r="224">
          <cell r="A224" t="str">
            <v>San Marino</v>
          </cell>
        </row>
        <row r="225">
          <cell r="A225" t="str">
            <v>Somalia</v>
          </cell>
        </row>
        <row r="226">
          <cell r="A226" t="str">
            <v>St. Pierre &amp; Miquelon</v>
          </cell>
        </row>
        <row r="227">
          <cell r="A227" t="str">
            <v>South Sudan</v>
          </cell>
        </row>
        <row r="228">
          <cell r="A228" t="str">
            <v>SÃ£o TomÃ© &amp; PrÃ­ncipe</v>
          </cell>
        </row>
        <row r="229">
          <cell r="A229" t="str">
            <v>Suriname</v>
          </cell>
        </row>
        <row r="230">
          <cell r="A230" t="str">
            <v>Eswatini</v>
          </cell>
        </row>
        <row r="231">
          <cell r="A231" t="str">
            <v>Sint Maarten</v>
          </cell>
        </row>
        <row r="232">
          <cell r="A232" t="str">
            <v>Seychelles</v>
          </cell>
        </row>
        <row r="233">
          <cell r="A233" t="str">
            <v>Turks &amp; Caicos Islands</v>
          </cell>
        </row>
        <row r="234">
          <cell r="A234" t="str">
            <v>Chad</v>
          </cell>
        </row>
        <row r="235">
          <cell r="A235" t="str">
            <v>Togo</v>
          </cell>
        </row>
        <row r="236">
          <cell r="A236" t="str">
            <v>Tajikistan</v>
          </cell>
        </row>
        <row r="237">
          <cell r="A237" t="str">
            <v>Tokelau</v>
          </cell>
        </row>
        <row r="238">
          <cell r="A238" t="str">
            <v>Turkmenistan</v>
          </cell>
        </row>
        <row r="239">
          <cell r="A239" t="str">
            <v>Timor-Leste</v>
          </cell>
        </row>
        <row r="240">
          <cell r="A240" t="str">
            <v>Tonga</v>
          </cell>
        </row>
        <row r="241">
          <cell r="A241" t="str">
            <v>Tuvalu</v>
          </cell>
        </row>
        <row r="242">
          <cell r="A242" t="str">
            <v>Uganda</v>
          </cell>
        </row>
        <row r="243">
          <cell r="A243" t="str">
            <v>U.S. Outlying Islands</v>
          </cell>
        </row>
        <row r="244">
          <cell r="A244" t="str">
            <v>Uzbekistan</v>
          </cell>
        </row>
        <row r="245">
          <cell r="A245" t="str">
            <v>Vatican City</v>
          </cell>
        </row>
        <row r="246">
          <cell r="A246" t="str">
            <v>St. Vincent &amp; Grenadines</v>
          </cell>
        </row>
        <row r="247">
          <cell r="A247" t="str">
            <v>British Virgin Islands</v>
          </cell>
        </row>
        <row r="248">
          <cell r="A248" t="str">
            <v>U.S. Virgin Islands</v>
          </cell>
        </row>
        <row r="249">
          <cell r="A249" t="str">
            <v>Vanuatu</v>
          </cell>
        </row>
        <row r="250">
          <cell r="A250" t="str">
            <v>Wallis &amp; Futuna</v>
          </cell>
        </row>
        <row r="251">
          <cell r="A251" t="str">
            <v>Samoa</v>
          </cell>
        </row>
        <row r="252">
          <cell r="A252" t="str">
            <v>Kosovo</v>
          </cell>
        </row>
        <row r="253">
          <cell r="A253" t="str">
            <v>Yemen</v>
          </cell>
        </row>
      </sheetData>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54)"/>
    </sheetNames>
    <sheetDataSet>
      <sheetData sheetId="0" refreshError="1">
        <row r="1">
          <cell r="A1" t="str">
            <v>Category: All categories</v>
          </cell>
        </row>
        <row r="3">
          <cell r="A3" t="str">
            <v>Country</v>
          </cell>
          <cell r="B3" t="str">
            <v>Mutual exclusion: (2018)</v>
          </cell>
          <cell r="C3" t="str">
            <v>Cookâ€“Levin theorem: (2018)</v>
          </cell>
        </row>
        <row r="4">
          <cell r="A4" t="str">
            <v>China</v>
          </cell>
          <cell r="B4">
            <v>1</v>
          </cell>
        </row>
        <row r="5">
          <cell r="A5" t="str">
            <v>Botswana</v>
          </cell>
        </row>
        <row r="6">
          <cell r="A6" t="str">
            <v>Taiwan</v>
          </cell>
          <cell r="B6">
            <v>1</v>
          </cell>
        </row>
        <row r="7">
          <cell r="A7" t="str">
            <v>Israel</v>
          </cell>
          <cell r="B7">
            <v>0.89</v>
          </cell>
          <cell r="C7">
            <v>0.11</v>
          </cell>
        </row>
        <row r="8">
          <cell r="A8" t="str">
            <v>Japan</v>
          </cell>
          <cell r="B8">
            <v>1</v>
          </cell>
        </row>
        <row r="9">
          <cell r="A9" t="str">
            <v>Zimbabwe</v>
          </cell>
        </row>
        <row r="10">
          <cell r="A10" t="str">
            <v>Kenya</v>
          </cell>
          <cell r="B10">
            <v>1</v>
          </cell>
        </row>
        <row r="11">
          <cell r="A11" t="str">
            <v>Ethiopia</v>
          </cell>
        </row>
        <row r="12">
          <cell r="A12" t="str">
            <v>St. Helena</v>
          </cell>
          <cell r="B12">
            <v>1</v>
          </cell>
        </row>
        <row r="13">
          <cell r="A13" t="str">
            <v>Czechia</v>
          </cell>
          <cell r="B13">
            <v>1</v>
          </cell>
        </row>
        <row r="14">
          <cell r="A14" t="str">
            <v>Russia</v>
          </cell>
          <cell r="B14">
            <v>0.97</v>
          </cell>
          <cell r="C14">
            <v>0.03</v>
          </cell>
        </row>
        <row r="15">
          <cell r="A15" t="str">
            <v>Belarus</v>
          </cell>
          <cell r="B15">
            <v>1</v>
          </cell>
        </row>
        <row r="16">
          <cell r="A16" t="str">
            <v>Nepal</v>
          </cell>
          <cell r="B16">
            <v>1</v>
          </cell>
        </row>
        <row r="17">
          <cell r="A17" t="str">
            <v>Germany</v>
          </cell>
          <cell r="B17">
            <v>0.99</v>
          </cell>
          <cell r="C17">
            <v>0.01</v>
          </cell>
        </row>
        <row r="18">
          <cell r="A18" t="str">
            <v>Austria</v>
          </cell>
          <cell r="B18">
            <v>1</v>
          </cell>
        </row>
        <row r="19">
          <cell r="A19" t="str">
            <v>Finland</v>
          </cell>
          <cell r="B19">
            <v>1</v>
          </cell>
        </row>
        <row r="20">
          <cell r="A20" t="str">
            <v>Iceland</v>
          </cell>
        </row>
        <row r="21">
          <cell r="A21" t="str">
            <v>South Korea</v>
          </cell>
          <cell r="B21">
            <v>0.92</v>
          </cell>
          <cell r="C21">
            <v>0.08</v>
          </cell>
        </row>
        <row r="22">
          <cell r="A22" t="str">
            <v>Ukraine</v>
          </cell>
          <cell r="B22">
            <v>0.99</v>
          </cell>
          <cell r="C22">
            <v>0.01</v>
          </cell>
        </row>
        <row r="23">
          <cell r="A23" t="str">
            <v>Norway</v>
          </cell>
          <cell r="B23">
            <v>1</v>
          </cell>
        </row>
        <row r="24">
          <cell r="A24" t="str">
            <v>Sweden</v>
          </cell>
          <cell r="B24">
            <v>1</v>
          </cell>
        </row>
        <row r="25">
          <cell r="A25" t="str">
            <v>Tunisia</v>
          </cell>
          <cell r="B25">
            <v>1</v>
          </cell>
        </row>
        <row r="26">
          <cell r="A26" t="str">
            <v>Croatia</v>
          </cell>
          <cell r="B26">
            <v>1</v>
          </cell>
        </row>
        <row r="27">
          <cell r="A27" t="str">
            <v>Poland</v>
          </cell>
          <cell r="B27">
            <v>1</v>
          </cell>
        </row>
        <row r="28">
          <cell r="A28" t="str">
            <v>Portugal</v>
          </cell>
          <cell r="B28">
            <v>1</v>
          </cell>
        </row>
        <row r="29">
          <cell r="A29" t="str">
            <v>Pakistan</v>
          </cell>
          <cell r="B29">
            <v>1</v>
          </cell>
        </row>
        <row r="30">
          <cell r="A30" t="str">
            <v>Algeria</v>
          </cell>
          <cell r="B30">
            <v>1</v>
          </cell>
        </row>
        <row r="31">
          <cell r="A31" t="str">
            <v>Sri Lanka</v>
          </cell>
          <cell r="B31">
            <v>1</v>
          </cell>
        </row>
        <row r="32">
          <cell r="A32" t="str">
            <v>India</v>
          </cell>
          <cell r="B32">
            <v>0.86</v>
          </cell>
          <cell r="C32">
            <v>0.14000000000000001</v>
          </cell>
        </row>
        <row r="33">
          <cell r="A33" t="str">
            <v>Switzerland</v>
          </cell>
          <cell r="B33">
            <v>1</v>
          </cell>
        </row>
        <row r="34">
          <cell r="A34" t="str">
            <v>Hungary</v>
          </cell>
          <cell r="B34">
            <v>1</v>
          </cell>
        </row>
        <row r="35">
          <cell r="A35" t="str">
            <v>Hong Kong</v>
          </cell>
          <cell r="B35">
            <v>1</v>
          </cell>
        </row>
        <row r="36">
          <cell r="A36" t="str">
            <v>Serbia</v>
          </cell>
          <cell r="B36">
            <v>1</v>
          </cell>
        </row>
        <row r="37">
          <cell r="A37" t="str">
            <v>Netherlands</v>
          </cell>
          <cell r="B37">
            <v>1</v>
          </cell>
        </row>
        <row r="38">
          <cell r="A38" t="str">
            <v>Italy</v>
          </cell>
          <cell r="B38">
            <v>1</v>
          </cell>
        </row>
        <row r="39">
          <cell r="A39" t="str">
            <v>Slovakia</v>
          </cell>
          <cell r="B39">
            <v>1</v>
          </cell>
        </row>
        <row r="40">
          <cell r="A40" t="str">
            <v>Costa Rica</v>
          </cell>
          <cell r="B40">
            <v>1</v>
          </cell>
        </row>
        <row r="41">
          <cell r="A41" t="str">
            <v>Spain</v>
          </cell>
          <cell r="B41">
            <v>1</v>
          </cell>
        </row>
        <row r="42">
          <cell r="A42" t="str">
            <v>Bulgaria</v>
          </cell>
          <cell r="B42">
            <v>1</v>
          </cell>
        </row>
        <row r="43">
          <cell r="A43" t="str">
            <v>Guatemala</v>
          </cell>
        </row>
        <row r="44">
          <cell r="A44" t="str">
            <v>Ireland</v>
          </cell>
          <cell r="B44">
            <v>1</v>
          </cell>
        </row>
        <row r="45">
          <cell r="A45" t="str">
            <v>Singapore</v>
          </cell>
          <cell r="B45">
            <v>1</v>
          </cell>
        </row>
        <row r="46">
          <cell r="A46" t="str">
            <v>Kazakhstan</v>
          </cell>
          <cell r="B46">
            <v>1</v>
          </cell>
        </row>
        <row r="47">
          <cell r="A47" t="str">
            <v>Bolivia</v>
          </cell>
        </row>
        <row r="48">
          <cell r="A48" t="str">
            <v>France</v>
          </cell>
          <cell r="B48">
            <v>1</v>
          </cell>
        </row>
        <row r="49">
          <cell r="A49" t="str">
            <v>Belgium</v>
          </cell>
          <cell r="B49">
            <v>1</v>
          </cell>
        </row>
        <row r="50">
          <cell r="A50" t="str">
            <v>Greece</v>
          </cell>
          <cell r="B50">
            <v>1</v>
          </cell>
        </row>
        <row r="51">
          <cell r="A51" t="str">
            <v>Morocco</v>
          </cell>
          <cell r="B51">
            <v>1</v>
          </cell>
        </row>
        <row r="52">
          <cell r="A52" t="str">
            <v>Nigeria</v>
          </cell>
          <cell r="B52">
            <v>1</v>
          </cell>
        </row>
        <row r="53">
          <cell r="A53" t="str">
            <v>Vietnam</v>
          </cell>
          <cell r="B53">
            <v>1</v>
          </cell>
        </row>
        <row r="54">
          <cell r="A54" t="str">
            <v>Romania</v>
          </cell>
          <cell r="B54">
            <v>1</v>
          </cell>
        </row>
        <row r="55">
          <cell r="A55" t="str">
            <v>Argentina</v>
          </cell>
          <cell r="B55">
            <v>1</v>
          </cell>
        </row>
        <row r="56">
          <cell r="A56" t="str">
            <v>Canada</v>
          </cell>
          <cell r="B56">
            <v>0.92</v>
          </cell>
          <cell r="C56">
            <v>0.08</v>
          </cell>
        </row>
        <row r="57">
          <cell r="A57" t="str">
            <v>Chile</v>
          </cell>
          <cell r="B57">
            <v>1</v>
          </cell>
        </row>
        <row r="58">
          <cell r="A58" t="str">
            <v>United States</v>
          </cell>
          <cell r="B58">
            <v>0.91</v>
          </cell>
          <cell r="C58">
            <v>0.09</v>
          </cell>
        </row>
        <row r="59">
          <cell r="A59" t="str">
            <v>Mexico</v>
          </cell>
          <cell r="B59">
            <v>1</v>
          </cell>
        </row>
        <row r="60">
          <cell r="A60" t="str">
            <v>Brazil</v>
          </cell>
          <cell r="B60">
            <v>1</v>
          </cell>
        </row>
        <row r="61">
          <cell r="A61" t="str">
            <v>Australia</v>
          </cell>
          <cell r="B61">
            <v>1</v>
          </cell>
        </row>
        <row r="62">
          <cell r="A62" t="str">
            <v>Indonesia</v>
          </cell>
          <cell r="B62">
            <v>1</v>
          </cell>
        </row>
        <row r="63">
          <cell r="A63" t="str">
            <v>Uruguay</v>
          </cell>
        </row>
        <row r="64">
          <cell r="A64" t="str">
            <v>Peru</v>
          </cell>
          <cell r="B64">
            <v>1</v>
          </cell>
        </row>
        <row r="65">
          <cell r="A65" t="str">
            <v>Lithuania</v>
          </cell>
        </row>
        <row r="66">
          <cell r="A66" t="str">
            <v>Philippines</v>
          </cell>
          <cell r="B66">
            <v>1</v>
          </cell>
        </row>
        <row r="67">
          <cell r="A67" t="str">
            <v>Bangladesh</v>
          </cell>
        </row>
        <row r="68">
          <cell r="A68" t="str">
            <v>New Zealand</v>
          </cell>
        </row>
        <row r="69">
          <cell r="A69" t="str">
            <v>United Arab Emirates</v>
          </cell>
        </row>
        <row r="70">
          <cell r="A70" t="str">
            <v>United Kingdom</v>
          </cell>
          <cell r="B70">
            <v>0.94</v>
          </cell>
          <cell r="C70">
            <v>0.06</v>
          </cell>
        </row>
        <row r="71">
          <cell r="A71" t="str">
            <v>South Africa</v>
          </cell>
          <cell r="B71">
            <v>1</v>
          </cell>
        </row>
        <row r="72">
          <cell r="A72" t="str">
            <v>Colombia</v>
          </cell>
          <cell r="B72">
            <v>1</v>
          </cell>
        </row>
        <row r="73">
          <cell r="A73" t="str">
            <v>Malaysia</v>
          </cell>
          <cell r="B73">
            <v>1</v>
          </cell>
        </row>
        <row r="74">
          <cell r="A74" t="str">
            <v>Thailand</v>
          </cell>
          <cell r="B74">
            <v>1</v>
          </cell>
        </row>
        <row r="75">
          <cell r="A75" t="str">
            <v>Denmark</v>
          </cell>
        </row>
        <row r="76">
          <cell r="A76" t="str">
            <v>Iran</v>
          </cell>
          <cell r="B76">
            <v>1</v>
          </cell>
        </row>
        <row r="77">
          <cell r="A77" t="str">
            <v>Egypt</v>
          </cell>
        </row>
        <row r="78">
          <cell r="A78" t="str">
            <v>Saudi Arabia</v>
          </cell>
        </row>
        <row r="79">
          <cell r="A79" t="str">
            <v>Ecuador</v>
          </cell>
        </row>
        <row r="80">
          <cell r="A80" t="str">
            <v>Venezuela</v>
          </cell>
        </row>
        <row r="81">
          <cell r="A81" t="str">
            <v>Turkey</v>
          </cell>
          <cell r="B81">
            <v>1</v>
          </cell>
        </row>
        <row r="82">
          <cell r="A82" t="str">
            <v>Andorra</v>
          </cell>
        </row>
        <row r="83">
          <cell r="A83" t="str">
            <v>Cuba</v>
          </cell>
        </row>
        <row r="84">
          <cell r="A84" t="str">
            <v>Rwanda</v>
          </cell>
        </row>
        <row r="85">
          <cell r="A85" t="str">
            <v>Cameroon</v>
          </cell>
        </row>
        <row r="86">
          <cell r="A86" t="str">
            <v>Namibia</v>
          </cell>
        </row>
        <row r="87">
          <cell r="A87" t="str">
            <v>Mozambique</v>
          </cell>
        </row>
        <row r="88">
          <cell r="A88" t="str">
            <v>Burkina Faso</v>
          </cell>
        </row>
        <row r="89">
          <cell r="A89" t="str">
            <v>Armenia</v>
          </cell>
        </row>
        <row r="90">
          <cell r="A90" t="str">
            <v>Congo - Kinshasa</v>
          </cell>
        </row>
        <row r="91">
          <cell r="A91" t="str">
            <v>Afghanistan</v>
          </cell>
        </row>
        <row r="92">
          <cell r="A92" t="str">
            <v>Tajikistan</v>
          </cell>
        </row>
        <row r="93">
          <cell r="A93" t="str">
            <v>Estonia</v>
          </cell>
        </row>
        <row r="94">
          <cell r="A94" t="str">
            <v>Myanmar (Burma)</v>
          </cell>
        </row>
        <row r="95">
          <cell r="A95" t="str">
            <v>Angola</v>
          </cell>
        </row>
        <row r="96">
          <cell r="A96" t="str">
            <v>Montenegro</v>
          </cell>
        </row>
        <row r="97">
          <cell r="A97" t="str">
            <v>Latvia</v>
          </cell>
        </row>
        <row r="98">
          <cell r="A98" t="str">
            <v>Zambia</v>
          </cell>
        </row>
        <row r="99">
          <cell r="A99" t="str">
            <v>Azerbaijan</v>
          </cell>
        </row>
        <row r="100">
          <cell r="A100" t="str">
            <v>Trinidad &amp; Tobago</v>
          </cell>
        </row>
        <row r="101">
          <cell r="A101" t="str">
            <v>Bosnia &amp; Herzegovina</v>
          </cell>
        </row>
        <row r="102">
          <cell r="A102" t="str">
            <v>Libya</v>
          </cell>
        </row>
        <row r="103">
          <cell r="A103" t="str">
            <v>Jamaica</v>
          </cell>
        </row>
        <row r="104">
          <cell r="A104" t="str">
            <v>Palestine</v>
          </cell>
        </row>
        <row r="105">
          <cell r="A105" t="str">
            <v>Tanzania</v>
          </cell>
        </row>
        <row r="106">
          <cell r="A106" t="str">
            <v>Cyprus</v>
          </cell>
        </row>
        <row r="107">
          <cell r="A107" t="str">
            <v>Uganda</v>
          </cell>
        </row>
        <row r="108">
          <cell r="A108" t="str">
            <v>Georgia</v>
          </cell>
        </row>
        <row r="109">
          <cell r="A109" t="str">
            <v>North Macedonia</v>
          </cell>
        </row>
        <row r="110">
          <cell r="A110" t="str">
            <v>Albania</v>
          </cell>
        </row>
        <row r="111">
          <cell r="A111" t="str">
            <v>Slovenia</v>
          </cell>
        </row>
        <row r="112">
          <cell r="A112" t="str">
            <v>Sudan</v>
          </cell>
        </row>
        <row r="113">
          <cell r="A113" t="str">
            <v>Paraguay</v>
          </cell>
        </row>
        <row r="114">
          <cell r="A114" t="str">
            <v>Honduras</v>
          </cell>
        </row>
        <row r="115">
          <cell r="A115" t="str">
            <v>El Salvador</v>
          </cell>
        </row>
        <row r="116">
          <cell r="A116" t="str">
            <v>Syria</v>
          </cell>
        </row>
        <row r="117">
          <cell r="A117" t="str">
            <v>Puerto Rico</v>
          </cell>
        </row>
        <row r="118">
          <cell r="A118" t="str">
            <v>Panama</v>
          </cell>
        </row>
        <row r="119">
          <cell r="A119" t="str">
            <v>Lebanon</v>
          </cell>
        </row>
        <row r="120">
          <cell r="A120" t="str">
            <v>Aruba</v>
          </cell>
        </row>
        <row r="121">
          <cell r="A121" t="str">
            <v>Anguilla</v>
          </cell>
        </row>
        <row r="122">
          <cell r="A122" t="str">
            <v>Ã…land Islands</v>
          </cell>
        </row>
        <row r="123">
          <cell r="A123" t="str">
            <v>American Samoa</v>
          </cell>
        </row>
        <row r="124">
          <cell r="A124" t="str">
            <v>Antarctica</v>
          </cell>
        </row>
        <row r="125">
          <cell r="A125" t="str">
            <v>French Southern Territories</v>
          </cell>
        </row>
        <row r="126">
          <cell r="A126" t="str">
            <v>Antigua &amp; Barbuda</v>
          </cell>
        </row>
        <row r="127">
          <cell r="A127" t="str">
            <v>Burundi</v>
          </cell>
        </row>
        <row r="128">
          <cell r="A128" t="str">
            <v>Benin</v>
          </cell>
        </row>
        <row r="129">
          <cell r="A129" t="str">
            <v>Caribbean Netherlands</v>
          </cell>
        </row>
        <row r="130">
          <cell r="A130" t="str">
            <v>Bahrain</v>
          </cell>
        </row>
        <row r="131">
          <cell r="A131" t="str">
            <v>Bahamas</v>
          </cell>
        </row>
        <row r="132">
          <cell r="A132" t="str">
            <v>St. BarthÃ©lemy</v>
          </cell>
        </row>
        <row r="133">
          <cell r="A133" t="str">
            <v>Belize</v>
          </cell>
        </row>
        <row r="134">
          <cell r="A134" t="str">
            <v>Bermuda</v>
          </cell>
        </row>
        <row r="135">
          <cell r="A135" t="str">
            <v>Barbados</v>
          </cell>
        </row>
        <row r="136">
          <cell r="A136" t="str">
            <v>Brunei</v>
          </cell>
        </row>
        <row r="137">
          <cell r="A137" t="str">
            <v>Bhutan</v>
          </cell>
        </row>
        <row r="138">
          <cell r="A138" t="str">
            <v>Bouvet Island</v>
          </cell>
        </row>
        <row r="139">
          <cell r="A139" t="str">
            <v>Central African Republic</v>
          </cell>
        </row>
        <row r="140">
          <cell r="A140" t="str">
            <v>Cocos (Keeling) Islands</v>
          </cell>
        </row>
        <row r="141">
          <cell r="A141" t="str">
            <v>CÃ´te dâ€™Ivoire</v>
          </cell>
        </row>
        <row r="142">
          <cell r="A142" t="str">
            <v>Congo - Brazzaville</v>
          </cell>
        </row>
        <row r="143">
          <cell r="A143" t="str">
            <v>Cook Islands</v>
          </cell>
        </row>
        <row r="144">
          <cell r="A144" t="str">
            <v>Comoros</v>
          </cell>
        </row>
        <row r="145">
          <cell r="A145" t="str">
            <v>Cape Verde</v>
          </cell>
        </row>
        <row r="146">
          <cell r="A146" t="str">
            <v>CuraÃ§ao</v>
          </cell>
        </row>
        <row r="147">
          <cell r="A147" t="str">
            <v>Christmas Island</v>
          </cell>
        </row>
        <row r="148">
          <cell r="A148" t="str">
            <v>Cayman Islands</v>
          </cell>
        </row>
        <row r="149">
          <cell r="A149" t="str">
            <v>Djibouti</v>
          </cell>
        </row>
        <row r="150">
          <cell r="A150" t="str">
            <v>Dominica</v>
          </cell>
        </row>
        <row r="151">
          <cell r="A151" t="str">
            <v>Dominican Republic</v>
          </cell>
        </row>
        <row r="152">
          <cell r="A152" t="str">
            <v>Eritrea</v>
          </cell>
        </row>
        <row r="153">
          <cell r="A153" t="str">
            <v>Western Sahara</v>
          </cell>
        </row>
        <row r="154">
          <cell r="A154" t="str">
            <v>Fiji</v>
          </cell>
        </row>
        <row r="155">
          <cell r="A155" t="str">
            <v>Falkland Islands (Islas Malvinas)</v>
          </cell>
        </row>
        <row r="156">
          <cell r="A156" t="str">
            <v>Faroe Islands</v>
          </cell>
        </row>
        <row r="157">
          <cell r="A157" t="str">
            <v>Micronesia</v>
          </cell>
        </row>
        <row r="158">
          <cell r="A158" t="str">
            <v>Gabon</v>
          </cell>
        </row>
        <row r="159">
          <cell r="A159" t="str">
            <v>Guernsey</v>
          </cell>
        </row>
        <row r="160">
          <cell r="A160" t="str">
            <v>Ghana</v>
          </cell>
        </row>
        <row r="161">
          <cell r="A161" t="str">
            <v>Gibraltar</v>
          </cell>
        </row>
        <row r="162">
          <cell r="A162" t="str">
            <v>Guinea</v>
          </cell>
        </row>
        <row r="163">
          <cell r="A163" t="str">
            <v>Guadeloupe</v>
          </cell>
        </row>
        <row r="164">
          <cell r="A164" t="str">
            <v>Gambia</v>
          </cell>
        </row>
        <row r="165">
          <cell r="A165" t="str">
            <v>Guinea-Bissau</v>
          </cell>
        </row>
        <row r="166">
          <cell r="A166" t="str">
            <v>Equatorial Guinea</v>
          </cell>
        </row>
        <row r="167">
          <cell r="A167" t="str">
            <v>Grenada</v>
          </cell>
        </row>
        <row r="168">
          <cell r="A168" t="str">
            <v>Greenland</v>
          </cell>
        </row>
        <row r="169">
          <cell r="A169" t="str">
            <v>French Guiana</v>
          </cell>
        </row>
        <row r="170">
          <cell r="A170" t="str">
            <v>Guam</v>
          </cell>
        </row>
        <row r="171">
          <cell r="A171" t="str">
            <v>Guyana</v>
          </cell>
        </row>
        <row r="172">
          <cell r="A172" t="str">
            <v>Heard &amp; McDonald Islands</v>
          </cell>
        </row>
        <row r="173">
          <cell r="A173" t="str">
            <v>Haiti</v>
          </cell>
        </row>
        <row r="174">
          <cell r="A174" t="str">
            <v>Isle of Man</v>
          </cell>
        </row>
        <row r="175">
          <cell r="A175" t="str">
            <v>British Indian Ocean Territory</v>
          </cell>
        </row>
        <row r="176">
          <cell r="A176" t="str">
            <v>Iraq</v>
          </cell>
        </row>
        <row r="177">
          <cell r="A177" t="str">
            <v>Jersey</v>
          </cell>
        </row>
        <row r="178">
          <cell r="A178" t="str">
            <v>Jordan</v>
          </cell>
        </row>
        <row r="179">
          <cell r="A179" t="str">
            <v>Kyrgyzstan</v>
          </cell>
        </row>
        <row r="180">
          <cell r="A180" t="str">
            <v>Cambodia</v>
          </cell>
        </row>
        <row r="181">
          <cell r="A181" t="str">
            <v>Kiribati</v>
          </cell>
        </row>
        <row r="182">
          <cell r="A182" t="str">
            <v>St. Kitts &amp; Nevis</v>
          </cell>
        </row>
        <row r="183">
          <cell r="A183" t="str">
            <v>Kuwait</v>
          </cell>
        </row>
        <row r="184">
          <cell r="A184" t="str">
            <v>Laos</v>
          </cell>
        </row>
        <row r="185">
          <cell r="A185" t="str">
            <v>Liberia</v>
          </cell>
        </row>
        <row r="186">
          <cell r="A186" t="str">
            <v>St. Lucia</v>
          </cell>
        </row>
        <row r="187">
          <cell r="A187" t="str">
            <v>Liechtenstein</v>
          </cell>
        </row>
        <row r="188">
          <cell r="A188" t="str">
            <v>Lesotho</v>
          </cell>
        </row>
        <row r="189">
          <cell r="A189" t="str">
            <v>Luxembourg</v>
          </cell>
        </row>
        <row r="190">
          <cell r="A190" t="str">
            <v>Macao</v>
          </cell>
        </row>
        <row r="191">
          <cell r="A191" t="str">
            <v>St. Martin</v>
          </cell>
        </row>
        <row r="192">
          <cell r="A192" t="str">
            <v>Monaco</v>
          </cell>
        </row>
        <row r="193">
          <cell r="A193" t="str">
            <v>Moldova</v>
          </cell>
        </row>
        <row r="194">
          <cell r="A194" t="str">
            <v>Madagascar</v>
          </cell>
        </row>
        <row r="195">
          <cell r="A195" t="str">
            <v>Maldives</v>
          </cell>
        </row>
        <row r="196">
          <cell r="A196" t="str">
            <v>Marshall Islands</v>
          </cell>
        </row>
        <row r="197">
          <cell r="A197" t="str">
            <v>Mali</v>
          </cell>
        </row>
        <row r="198">
          <cell r="A198" t="str">
            <v>Malta</v>
          </cell>
        </row>
        <row r="199">
          <cell r="A199" t="str">
            <v>Mongolia</v>
          </cell>
        </row>
        <row r="200">
          <cell r="A200" t="str">
            <v>Northern Mariana Islands</v>
          </cell>
        </row>
        <row r="201">
          <cell r="A201" t="str">
            <v>Mauritania</v>
          </cell>
        </row>
        <row r="202">
          <cell r="A202" t="str">
            <v>Montserrat</v>
          </cell>
        </row>
        <row r="203">
          <cell r="A203" t="str">
            <v>Martinique</v>
          </cell>
        </row>
        <row r="204">
          <cell r="A204" t="str">
            <v>Mauritius</v>
          </cell>
        </row>
        <row r="205">
          <cell r="A205" t="str">
            <v>Malawi</v>
          </cell>
        </row>
        <row r="206">
          <cell r="A206" t="str">
            <v>Mayotte</v>
          </cell>
        </row>
        <row r="207">
          <cell r="A207" t="str">
            <v>New Caledonia</v>
          </cell>
        </row>
        <row r="208">
          <cell r="A208" t="str">
            <v>Niger</v>
          </cell>
        </row>
        <row r="209">
          <cell r="A209" t="str">
            <v>Norfolk Island</v>
          </cell>
        </row>
        <row r="210">
          <cell r="A210" t="str">
            <v>Nicaragua</v>
          </cell>
        </row>
        <row r="211">
          <cell r="A211" t="str">
            <v>Niue</v>
          </cell>
        </row>
        <row r="212">
          <cell r="A212" t="str">
            <v>Nauru</v>
          </cell>
        </row>
        <row r="213">
          <cell r="A213" t="str">
            <v>Oman</v>
          </cell>
        </row>
        <row r="214">
          <cell r="A214" t="str">
            <v>Pitcairn Islands</v>
          </cell>
        </row>
        <row r="215">
          <cell r="A215" t="str">
            <v>Palau</v>
          </cell>
        </row>
        <row r="216">
          <cell r="A216" t="str">
            <v>Papua New Guinea</v>
          </cell>
        </row>
        <row r="217">
          <cell r="A217" t="str">
            <v>North Korea</v>
          </cell>
        </row>
        <row r="218">
          <cell r="A218" t="str">
            <v>French Polynesia</v>
          </cell>
        </row>
        <row r="219">
          <cell r="A219" t="str">
            <v>Qatar</v>
          </cell>
        </row>
        <row r="220">
          <cell r="A220" t="str">
            <v>RÃ©union</v>
          </cell>
        </row>
        <row r="221">
          <cell r="A221" t="str">
            <v>Senegal</v>
          </cell>
        </row>
        <row r="222">
          <cell r="A222" t="str">
            <v>South Georgia &amp; South Sandwich Islands</v>
          </cell>
        </row>
        <row r="223">
          <cell r="A223" t="str">
            <v>Svalbard &amp; Jan Mayen</v>
          </cell>
        </row>
        <row r="224">
          <cell r="A224" t="str">
            <v>Solomon Islands</v>
          </cell>
        </row>
        <row r="225">
          <cell r="A225" t="str">
            <v>Sierra Leone</v>
          </cell>
        </row>
        <row r="226">
          <cell r="A226" t="str">
            <v>San Marino</v>
          </cell>
        </row>
        <row r="227">
          <cell r="A227" t="str">
            <v>Somalia</v>
          </cell>
        </row>
        <row r="228">
          <cell r="A228" t="str">
            <v>St. Pierre &amp; Miquelon</v>
          </cell>
        </row>
        <row r="229">
          <cell r="A229" t="str">
            <v>South Sudan</v>
          </cell>
        </row>
        <row r="230">
          <cell r="A230" t="str">
            <v>SÃ£o TomÃ© &amp; PrÃ­ncipe</v>
          </cell>
        </row>
        <row r="231">
          <cell r="A231" t="str">
            <v>Suriname</v>
          </cell>
        </row>
        <row r="232">
          <cell r="A232" t="str">
            <v>Eswatini</v>
          </cell>
        </row>
        <row r="233">
          <cell r="A233" t="str">
            <v>Sint Maarten</v>
          </cell>
        </row>
        <row r="234">
          <cell r="A234" t="str">
            <v>Seychelles</v>
          </cell>
        </row>
        <row r="235">
          <cell r="A235" t="str">
            <v>Turks &amp; Caicos Islands</v>
          </cell>
        </row>
        <row r="236">
          <cell r="A236" t="str">
            <v>Chad</v>
          </cell>
        </row>
        <row r="237">
          <cell r="A237" t="str">
            <v>Togo</v>
          </cell>
        </row>
        <row r="238">
          <cell r="A238" t="str">
            <v>Tokelau</v>
          </cell>
        </row>
        <row r="239">
          <cell r="A239" t="str">
            <v>Turkmenistan</v>
          </cell>
        </row>
        <row r="240">
          <cell r="A240" t="str">
            <v>Timor-Leste</v>
          </cell>
        </row>
        <row r="241">
          <cell r="A241" t="str">
            <v>Tonga</v>
          </cell>
        </row>
        <row r="242">
          <cell r="A242" t="str">
            <v>Tuvalu</v>
          </cell>
        </row>
        <row r="243">
          <cell r="A243" t="str">
            <v>U.S. Outlying Islands</v>
          </cell>
        </row>
        <row r="244">
          <cell r="A244" t="str">
            <v>Uzbekistan</v>
          </cell>
        </row>
        <row r="245">
          <cell r="A245" t="str">
            <v>Vatican City</v>
          </cell>
        </row>
        <row r="246">
          <cell r="A246" t="str">
            <v>St. Vincent &amp; Grenadines</v>
          </cell>
        </row>
        <row r="247">
          <cell r="A247" t="str">
            <v>British Virgin Islands</v>
          </cell>
        </row>
        <row r="248">
          <cell r="A248" t="str">
            <v>U.S. Virgin Islands</v>
          </cell>
        </row>
        <row r="249">
          <cell r="A249" t="str">
            <v>Vanuatu</v>
          </cell>
        </row>
        <row r="250">
          <cell r="A250" t="str">
            <v>Wallis &amp; Futuna</v>
          </cell>
        </row>
        <row r="251">
          <cell r="A251" t="str">
            <v>Samoa</v>
          </cell>
        </row>
        <row r="252">
          <cell r="A252" t="str">
            <v>Kosovo</v>
          </cell>
        </row>
        <row r="253">
          <cell r="A253" t="str">
            <v>Yemen</v>
          </cell>
        </row>
      </sheetData>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96)"/>
    </sheetNames>
    <sheetDataSet>
      <sheetData sheetId="0" refreshError="1">
        <row r="1">
          <cell r="A1" t="str">
            <v>Category: All categories</v>
          </cell>
        </row>
        <row r="3">
          <cell r="A3" t="str">
            <v>Country</v>
          </cell>
          <cell r="B3" t="str">
            <v>Artificial neural network: (2018)</v>
          </cell>
          <cell r="C3" t="str">
            <v>Design thinking: (2018)</v>
          </cell>
        </row>
        <row r="4">
          <cell r="A4" t="str">
            <v>China</v>
          </cell>
          <cell r="B4">
            <v>0.99</v>
          </cell>
          <cell r="C4">
            <v>0.01</v>
          </cell>
        </row>
        <row r="5">
          <cell r="A5" t="str">
            <v>South Korea</v>
          </cell>
          <cell r="B5">
            <v>0.93</v>
          </cell>
          <cell r="C5">
            <v>7.0000000000000007E-2</v>
          </cell>
        </row>
        <row r="6">
          <cell r="A6" t="str">
            <v>Singapore</v>
          </cell>
          <cell r="B6">
            <v>0.66</v>
          </cell>
          <cell r="C6">
            <v>0.34</v>
          </cell>
        </row>
        <row r="7">
          <cell r="A7" t="str">
            <v>Ethiopia</v>
          </cell>
        </row>
        <row r="8">
          <cell r="A8" t="str">
            <v>Cuba</v>
          </cell>
        </row>
        <row r="9">
          <cell r="A9" t="str">
            <v>Hong Kong</v>
          </cell>
          <cell r="B9">
            <v>0.78</v>
          </cell>
          <cell r="C9">
            <v>0.22</v>
          </cell>
        </row>
        <row r="10">
          <cell r="A10" t="str">
            <v>St. Helena</v>
          </cell>
          <cell r="B10">
            <v>0.73</v>
          </cell>
          <cell r="C10">
            <v>0.27</v>
          </cell>
        </row>
        <row r="11">
          <cell r="A11" t="str">
            <v>Taiwan</v>
          </cell>
          <cell r="B11">
            <v>0.85</v>
          </cell>
          <cell r="C11">
            <v>0.15</v>
          </cell>
        </row>
        <row r="12">
          <cell r="A12" t="str">
            <v>Nepal</v>
          </cell>
        </row>
        <row r="13">
          <cell r="A13" t="str">
            <v>Pakistan</v>
          </cell>
          <cell r="B13">
            <v>0.93</v>
          </cell>
          <cell r="C13">
            <v>7.0000000000000007E-2</v>
          </cell>
        </row>
        <row r="14">
          <cell r="A14" t="str">
            <v>Israel</v>
          </cell>
          <cell r="B14">
            <v>0.95</v>
          </cell>
          <cell r="C14">
            <v>0.05</v>
          </cell>
        </row>
        <row r="15">
          <cell r="A15" t="str">
            <v>Russia</v>
          </cell>
          <cell r="B15">
            <v>0.95</v>
          </cell>
          <cell r="C15">
            <v>0.05</v>
          </cell>
        </row>
        <row r="16">
          <cell r="A16" t="str">
            <v>Myanmar (Burma)</v>
          </cell>
        </row>
        <row r="17">
          <cell r="A17" t="str">
            <v>Zimbabwe</v>
          </cell>
        </row>
        <row r="18">
          <cell r="A18" t="str">
            <v>Iceland</v>
          </cell>
        </row>
        <row r="19">
          <cell r="A19" t="str">
            <v>Croatia</v>
          </cell>
          <cell r="B19">
            <v>0.89</v>
          </cell>
          <cell r="C19">
            <v>0.11</v>
          </cell>
        </row>
        <row r="20">
          <cell r="A20" t="str">
            <v>Mongolia</v>
          </cell>
        </row>
        <row r="21">
          <cell r="A21" t="str">
            <v>India</v>
          </cell>
          <cell r="B21">
            <v>0.87</v>
          </cell>
          <cell r="C21">
            <v>0.13</v>
          </cell>
        </row>
        <row r="22">
          <cell r="A22" t="str">
            <v>Sri Lanka</v>
          </cell>
        </row>
        <row r="23">
          <cell r="A23" t="str">
            <v>Cambodia</v>
          </cell>
        </row>
        <row r="24">
          <cell r="A24" t="str">
            <v>Switzerland</v>
          </cell>
          <cell r="B24">
            <v>0.66</v>
          </cell>
          <cell r="C24">
            <v>0.34</v>
          </cell>
        </row>
        <row r="25">
          <cell r="A25" t="str">
            <v>Bangladesh</v>
          </cell>
        </row>
        <row r="26">
          <cell r="A26" t="str">
            <v>Canada</v>
          </cell>
          <cell r="B26">
            <v>0.79</v>
          </cell>
          <cell r="C26">
            <v>0.21</v>
          </cell>
        </row>
        <row r="27">
          <cell r="A27" t="str">
            <v>Tunisia</v>
          </cell>
          <cell r="B27">
            <v>0.8</v>
          </cell>
          <cell r="C27">
            <v>0.2</v>
          </cell>
        </row>
        <row r="28">
          <cell r="A28" t="str">
            <v>Belarus</v>
          </cell>
        </row>
        <row r="29">
          <cell r="A29" t="str">
            <v>Botswana</v>
          </cell>
        </row>
        <row r="30">
          <cell r="A30" t="str">
            <v>United States</v>
          </cell>
          <cell r="B30">
            <v>0.85</v>
          </cell>
          <cell r="C30">
            <v>0.15</v>
          </cell>
        </row>
        <row r="31">
          <cell r="A31" t="str">
            <v>Peru</v>
          </cell>
          <cell r="B31">
            <v>0.33</v>
          </cell>
          <cell r="C31">
            <v>0.67</v>
          </cell>
        </row>
        <row r="32">
          <cell r="A32" t="str">
            <v>Mauritius</v>
          </cell>
        </row>
        <row r="33">
          <cell r="A33" t="str">
            <v>Malta</v>
          </cell>
        </row>
        <row r="34">
          <cell r="A34" t="str">
            <v>Macao</v>
          </cell>
        </row>
        <row r="35">
          <cell r="A35" t="str">
            <v>Czechia</v>
          </cell>
          <cell r="B35">
            <v>0.94</v>
          </cell>
          <cell r="C35">
            <v>0.06</v>
          </cell>
        </row>
        <row r="36">
          <cell r="A36" t="str">
            <v>Luxembourg</v>
          </cell>
        </row>
        <row r="37">
          <cell r="A37" t="str">
            <v>Nigeria</v>
          </cell>
          <cell r="B37">
            <v>0.89</v>
          </cell>
          <cell r="C37">
            <v>0.11</v>
          </cell>
        </row>
        <row r="38">
          <cell r="A38" t="str">
            <v>Iran</v>
          </cell>
          <cell r="B38">
            <v>0.96</v>
          </cell>
          <cell r="C38">
            <v>0.04</v>
          </cell>
        </row>
        <row r="39">
          <cell r="A39" t="str">
            <v>Cyprus</v>
          </cell>
        </row>
        <row r="40">
          <cell r="A40" t="str">
            <v>Ireland</v>
          </cell>
          <cell r="B40">
            <v>0.73</v>
          </cell>
          <cell r="C40">
            <v>0.27</v>
          </cell>
        </row>
        <row r="41">
          <cell r="A41" t="str">
            <v>Lebanon</v>
          </cell>
        </row>
        <row r="42">
          <cell r="A42" t="str">
            <v>Australia</v>
          </cell>
          <cell r="B42">
            <v>0.66</v>
          </cell>
          <cell r="C42">
            <v>0.34</v>
          </cell>
        </row>
        <row r="43">
          <cell r="A43" t="str">
            <v>Kenya</v>
          </cell>
          <cell r="B43">
            <v>0.74</v>
          </cell>
          <cell r="C43">
            <v>0.26</v>
          </cell>
        </row>
        <row r="44">
          <cell r="A44" t="str">
            <v>Norway</v>
          </cell>
          <cell r="B44">
            <v>0.69</v>
          </cell>
          <cell r="C44">
            <v>0.31</v>
          </cell>
        </row>
        <row r="45">
          <cell r="A45" t="str">
            <v>Finland</v>
          </cell>
          <cell r="B45">
            <v>0.78</v>
          </cell>
          <cell r="C45">
            <v>0.22</v>
          </cell>
        </row>
        <row r="46">
          <cell r="A46" t="str">
            <v>Malaysia</v>
          </cell>
          <cell r="B46">
            <v>0.74</v>
          </cell>
          <cell r="C46">
            <v>0.26</v>
          </cell>
        </row>
        <row r="47">
          <cell r="A47" t="str">
            <v>Armenia</v>
          </cell>
        </row>
        <row r="48">
          <cell r="A48" t="str">
            <v>Rwanda</v>
          </cell>
        </row>
        <row r="49">
          <cell r="A49" t="str">
            <v>Japan</v>
          </cell>
          <cell r="B49">
            <v>0.79</v>
          </cell>
          <cell r="C49">
            <v>0.21</v>
          </cell>
        </row>
        <row r="50">
          <cell r="A50" t="str">
            <v>Germany</v>
          </cell>
          <cell r="B50">
            <v>0.62</v>
          </cell>
          <cell r="C50">
            <v>0.38</v>
          </cell>
        </row>
        <row r="51">
          <cell r="A51" t="str">
            <v>Sweden</v>
          </cell>
          <cell r="B51">
            <v>0.81</v>
          </cell>
          <cell r="C51">
            <v>0.19</v>
          </cell>
        </row>
        <row r="52">
          <cell r="A52" t="str">
            <v>Madagascar</v>
          </cell>
        </row>
        <row r="53">
          <cell r="A53" t="str">
            <v>United Kingdom</v>
          </cell>
          <cell r="B53">
            <v>0.86</v>
          </cell>
          <cell r="C53">
            <v>0.14000000000000001</v>
          </cell>
        </row>
        <row r="54">
          <cell r="A54" t="str">
            <v>Latvia</v>
          </cell>
        </row>
        <row r="55">
          <cell r="A55" t="str">
            <v>New Zealand</v>
          </cell>
          <cell r="B55">
            <v>0.65</v>
          </cell>
          <cell r="C55">
            <v>0.35</v>
          </cell>
        </row>
        <row r="56">
          <cell r="A56" t="str">
            <v>Philippines</v>
          </cell>
          <cell r="B56">
            <v>0.76</v>
          </cell>
          <cell r="C56">
            <v>0.24</v>
          </cell>
        </row>
        <row r="57">
          <cell r="A57" t="str">
            <v>Denmark</v>
          </cell>
          <cell r="B57">
            <v>0.62</v>
          </cell>
          <cell r="C57">
            <v>0.38</v>
          </cell>
        </row>
        <row r="58">
          <cell r="A58" t="str">
            <v>Lithuania</v>
          </cell>
        </row>
        <row r="59">
          <cell r="A59" t="str">
            <v>Sudan</v>
          </cell>
        </row>
        <row r="60">
          <cell r="A60" t="str">
            <v>Netherlands</v>
          </cell>
          <cell r="B60">
            <v>0.62</v>
          </cell>
          <cell r="C60">
            <v>0.38</v>
          </cell>
        </row>
        <row r="61">
          <cell r="A61" t="str">
            <v>South Africa</v>
          </cell>
          <cell r="B61">
            <v>0.69</v>
          </cell>
          <cell r="C61">
            <v>0.31</v>
          </cell>
        </row>
        <row r="62">
          <cell r="A62" t="str">
            <v>Fiji</v>
          </cell>
        </row>
        <row r="63">
          <cell r="A63" t="str">
            <v>Cameroon</v>
          </cell>
        </row>
        <row r="64">
          <cell r="A64" t="str">
            <v>Ukraine</v>
          </cell>
          <cell r="B64">
            <v>0.91</v>
          </cell>
          <cell r="C64">
            <v>0.09</v>
          </cell>
        </row>
        <row r="65">
          <cell r="A65" t="str">
            <v>Algeria</v>
          </cell>
        </row>
        <row r="66">
          <cell r="A66" t="str">
            <v>Syria</v>
          </cell>
        </row>
        <row r="67">
          <cell r="A67" t="str">
            <v>Estonia</v>
          </cell>
        </row>
        <row r="68">
          <cell r="A68" t="str">
            <v>Tanzania</v>
          </cell>
        </row>
        <row r="69">
          <cell r="A69" t="str">
            <v>Somalia</v>
          </cell>
        </row>
        <row r="70">
          <cell r="A70" t="str">
            <v>Indonesia</v>
          </cell>
          <cell r="B70">
            <v>0.89</v>
          </cell>
          <cell r="C70">
            <v>0.11</v>
          </cell>
        </row>
        <row r="71">
          <cell r="A71" t="str">
            <v>Ghana</v>
          </cell>
        </row>
        <row r="72">
          <cell r="A72" t="str">
            <v>Trinidad &amp; Tobago</v>
          </cell>
        </row>
        <row r="73">
          <cell r="A73" t="str">
            <v>Iraq</v>
          </cell>
          <cell r="B73">
            <v>1</v>
          </cell>
        </row>
        <row r="74">
          <cell r="A74" t="str">
            <v>Laos</v>
          </cell>
        </row>
        <row r="75">
          <cell r="A75" t="str">
            <v>Austria</v>
          </cell>
          <cell r="B75">
            <v>0.65</v>
          </cell>
          <cell r="C75">
            <v>0.35</v>
          </cell>
        </row>
        <row r="76">
          <cell r="A76" t="str">
            <v>Kazakhstan</v>
          </cell>
          <cell r="B76">
            <v>0.88</v>
          </cell>
          <cell r="C76">
            <v>0.12</v>
          </cell>
        </row>
        <row r="77">
          <cell r="A77" t="str">
            <v>Morocco</v>
          </cell>
          <cell r="B77">
            <v>0.84</v>
          </cell>
          <cell r="C77">
            <v>0.16</v>
          </cell>
        </row>
        <row r="78">
          <cell r="A78" t="str">
            <v>Portugal</v>
          </cell>
          <cell r="B78">
            <v>0.66</v>
          </cell>
          <cell r="C78">
            <v>0.34</v>
          </cell>
        </row>
        <row r="79">
          <cell r="A79" t="str">
            <v>Greece</v>
          </cell>
          <cell r="B79">
            <v>0.9</v>
          </cell>
          <cell r="C79">
            <v>0.1</v>
          </cell>
        </row>
        <row r="80">
          <cell r="A80" t="str">
            <v>United Arab Emirates</v>
          </cell>
          <cell r="B80">
            <v>0.6</v>
          </cell>
          <cell r="C80">
            <v>0.4</v>
          </cell>
        </row>
        <row r="81">
          <cell r="A81" t="str">
            <v>Afghanistan</v>
          </cell>
        </row>
        <row r="82">
          <cell r="A82" t="str">
            <v>Qatar</v>
          </cell>
        </row>
        <row r="83">
          <cell r="A83" t="str">
            <v>Brunei</v>
          </cell>
        </row>
        <row r="84">
          <cell r="A84" t="str">
            <v>Belgium</v>
          </cell>
          <cell r="B84">
            <v>0.76</v>
          </cell>
          <cell r="C84">
            <v>0.24</v>
          </cell>
        </row>
        <row r="85">
          <cell r="A85" t="str">
            <v>Uganda</v>
          </cell>
        </row>
        <row r="86">
          <cell r="A86" t="str">
            <v>Oman</v>
          </cell>
        </row>
        <row r="87">
          <cell r="A87" t="str">
            <v>Poland</v>
          </cell>
          <cell r="B87">
            <v>0.76</v>
          </cell>
          <cell r="C87">
            <v>0.24</v>
          </cell>
        </row>
        <row r="88">
          <cell r="A88" t="str">
            <v>Egypt</v>
          </cell>
          <cell r="B88">
            <v>0.87</v>
          </cell>
          <cell r="C88">
            <v>0.13</v>
          </cell>
        </row>
        <row r="89">
          <cell r="A89" t="str">
            <v>Bolivia</v>
          </cell>
        </row>
        <row r="90">
          <cell r="A90" t="str">
            <v>North Macedonia</v>
          </cell>
        </row>
        <row r="91">
          <cell r="A91" t="str">
            <v>Bulgaria</v>
          </cell>
        </row>
        <row r="92">
          <cell r="A92" t="str">
            <v>Serbia</v>
          </cell>
        </row>
        <row r="93">
          <cell r="A93" t="str">
            <v>Colombia</v>
          </cell>
          <cell r="B93">
            <v>0.48</v>
          </cell>
          <cell r="C93">
            <v>0.52</v>
          </cell>
        </row>
        <row r="94">
          <cell r="A94" t="str">
            <v>Brazil</v>
          </cell>
          <cell r="B94">
            <v>0.36</v>
          </cell>
          <cell r="C94">
            <v>0.64</v>
          </cell>
        </row>
        <row r="95">
          <cell r="A95" t="str">
            <v>Slovakia</v>
          </cell>
        </row>
        <row r="96">
          <cell r="A96" t="str">
            <v>Georgia</v>
          </cell>
        </row>
        <row r="97">
          <cell r="A97" t="str">
            <v>Slovenia</v>
          </cell>
        </row>
        <row r="98">
          <cell r="A98" t="str">
            <v>France</v>
          </cell>
          <cell r="B98">
            <v>0.64</v>
          </cell>
          <cell r="C98">
            <v>0.36</v>
          </cell>
        </row>
        <row r="99">
          <cell r="A99" t="str">
            <v>Romania</v>
          </cell>
          <cell r="B99">
            <v>0.78</v>
          </cell>
          <cell r="C99">
            <v>0.22</v>
          </cell>
        </row>
        <row r="100">
          <cell r="A100" t="str">
            <v>Hungary</v>
          </cell>
          <cell r="B100">
            <v>0.83</v>
          </cell>
          <cell r="C100">
            <v>0.17</v>
          </cell>
        </row>
        <row r="101">
          <cell r="A101" t="str">
            <v>Costa Rica</v>
          </cell>
        </row>
        <row r="102">
          <cell r="A102" t="str">
            <v>El Salvador</v>
          </cell>
        </row>
        <row r="103">
          <cell r="A103" t="str">
            <v>Chile</v>
          </cell>
          <cell r="B103">
            <v>0.49</v>
          </cell>
          <cell r="C103">
            <v>0.51</v>
          </cell>
        </row>
        <row r="104">
          <cell r="A104" t="str">
            <v>Spain</v>
          </cell>
          <cell r="B104">
            <v>0.63</v>
          </cell>
          <cell r="C104">
            <v>0.37</v>
          </cell>
        </row>
        <row r="105">
          <cell r="A105" t="str">
            <v>Italy</v>
          </cell>
          <cell r="B105">
            <v>0.8</v>
          </cell>
          <cell r="C105">
            <v>0.2</v>
          </cell>
        </row>
        <row r="106">
          <cell r="A106" t="str">
            <v>Albania</v>
          </cell>
        </row>
        <row r="107">
          <cell r="A107" t="str">
            <v>Ecuador</v>
          </cell>
          <cell r="B107">
            <v>0.53</v>
          </cell>
          <cell r="C107">
            <v>0.47</v>
          </cell>
        </row>
        <row r="108">
          <cell r="A108" t="str">
            <v>Thailand</v>
          </cell>
          <cell r="B108">
            <v>0.64</v>
          </cell>
          <cell r="C108">
            <v>0.36</v>
          </cell>
        </row>
        <row r="109">
          <cell r="A109" t="str">
            <v>Moldova</v>
          </cell>
        </row>
        <row r="110">
          <cell r="A110" t="str">
            <v>Uzbekistan</v>
          </cell>
        </row>
        <row r="111">
          <cell r="A111" t="str">
            <v>Mexico</v>
          </cell>
          <cell r="B111">
            <v>0.57999999999999996</v>
          </cell>
          <cell r="C111">
            <v>0.42</v>
          </cell>
        </row>
        <row r="112">
          <cell r="A112" t="str">
            <v>Libya</v>
          </cell>
        </row>
        <row r="113">
          <cell r="A113" t="str">
            <v>Jordan</v>
          </cell>
        </row>
        <row r="114">
          <cell r="A114" t="str">
            <v>Bosnia &amp; Herzegovina</v>
          </cell>
        </row>
        <row r="115">
          <cell r="A115" t="str">
            <v>Bahrain</v>
          </cell>
        </row>
        <row r="116">
          <cell r="A116" t="str">
            <v>Turkey</v>
          </cell>
          <cell r="B116">
            <v>0.9</v>
          </cell>
          <cell r="C116">
            <v>0.1</v>
          </cell>
        </row>
        <row r="117">
          <cell r="A117" t="str">
            <v>Saudi Arabia</v>
          </cell>
          <cell r="B117">
            <v>0.8</v>
          </cell>
          <cell r="C117">
            <v>0.2</v>
          </cell>
        </row>
        <row r="118">
          <cell r="A118" t="str">
            <v>Jamaica</v>
          </cell>
        </row>
        <row r="119">
          <cell r="A119" t="str">
            <v>Yemen</v>
          </cell>
        </row>
        <row r="120">
          <cell r="A120" t="str">
            <v>Azerbaijan</v>
          </cell>
        </row>
        <row r="121">
          <cell r="A121" t="str">
            <v>Kuwait</v>
          </cell>
        </row>
        <row r="122">
          <cell r="A122" t="str">
            <v>Honduras</v>
          </cell>
        </row>
        <row r="123">
          <cell r="A123" t="str">
            <v>Panama</v>
          </cell>
        </row>
        <row r="124">
          <cell r="A124" t="str">
            <v>Puerto Rico</v>
          </cell>
        </row>
        <row r="125">
          <cell r="A125" t="str">
            <v>Kyrgyzstan</v>
          </cell>
        </row>
        <row r="126">
          <cell r="A126" t="str">
            <v>Palestine</v>
          </cell>
        </row>
        <row r="127">
          <cell r="A127" t="str">
            <v>Guatemala</v>
          </cell>
        </row>
        <row r="128">
          <cell r="A128" t="str">
            <v>Uruguay</v>
          </cell>
        </row>
        <row r="129">
          <cell r="A129" t="str">
            <v>Vietnam</v>
          </cell>
          <cell r="B129">
            <v>0.87</v>
          </cell>
          <cell r="C129">
            <v>0.13</v>
          </cell>
        </row>
        <row r="130">
          <cell r="A130" t="str">
            <v>Dominican Republic</v>
          </cell>
        </row>
        <row r="131">
          <cell r="A131" t="str">
            <v>Paraguay</v>
          </cell>
        </row>
        <row r="132">
          <cell r="A132" t="str">
            <v>Argentina</v>
          </cell>
          <cell r="B132">
            <v>0.56999999999999995</v>
          </cell>
          <cell r="C132">
            <v>0.43</v>
          </cell>
        </row>
        <row r="133">
          <cell r="A133" t="str">
            <v>Venezuela</v>
          </cell>
        </row>
        <row r="134">
          <cell r="A134" t="str">
            <v>North Korea</v>
          </cell>
        </row>
        <row r="135">
          <cell r="A135" t="str">
            <v>Eritrea</v>
          </cell>
        </row>
        <row r="136">
          <cell r="A136" t="str">
            <v>Marshall Islands</v>
          </cell>
        </row>
        <row r="137">
          <cell r="A137" t="str">
            <v>St. Kitts &amp; Nevis</v>
          </cell>
        </row>
        <row r="138">
          <cell r="A138" t="str">
            <v>Vanuatu</v>
          </cell>
        </row>
        <row r="139">
          <cell r="A139" t="str">
            <v>Central African Republic</v>
          </cell>
        </row>
        <row r="140">
          <cell r="A140" t="str">
            <v>Dominica</v>
          </cell>
        </row>
        <row r="141">
          <cell r="A141" t="str">
            <v>Liberia</v>
          </cell>
        </row>
        <row r="142">
          <cell r="A142" t="str">
            <v>Sint Maarten</v>
          </cell>
        </row>
        <row r="143">
          <cell r="A143" t="str">
            <v>Caribbean Netherlands</v>
          </cell>
        </row>
        <row r="144">
          <cell r="A144" t="str">
            <v>Solomon Islands</v>
          </cell>
        </row>
        <row r="145">
          <cell r="A145" t="str">
            <v>Eswatini</v>
          </cell>
        </row>
        <row r="146">
          <cell r="A146" t="str">
            <v>Antigua &amp; Barbuda</v>
          </cell>
        </row>
        <row r="147">
          <cell r="A147" t="str">
            <v>U.S. Virgin Islands</v>
          </cell>
        </row>
        <row r="148">
          <cell r="A148" t="str">
            <v>Burundi</v>
          </cell>
        </row>
        <row r="149">
          <cell r="A149" t="str">
            <v>Turks &amp; Caicos Islands</v>
          </cell>
        </row>
        <row r="150">
          <cell r="A150" t="str">
            <v>Ã…land Islands</v>
          </cell>
        </row>
        <row r="151">
          <cell r="A151" t="str">
            <v>Belize</v>
          </cell>
        </row>
        <row r="152">
          <cell r="A152" t="str">
            <v>Gibraltar</v>
          </cell>
        </row>
        <row r="153">
          <cell r="A153" t="str">
            <v>San Marino</v>
          </cell>
        </row>
        <row r="154">
          <cell r="A154" t="str">
            <v>Barbados</v>
          </cell>
        </row>
        <row r="155">
          <cell r="A155" t="str">
            <v>Bhutan</v>
          </cell>
        </row>
        <row r="156">
          <cell r="A156" t="str">
            <v>Djibouti</v>
          </cell>
        </row>
        <row r="157">
          <cell r="A157" t="str">
            <v>Bermuda</v>
          </cell>
        </row>
        <row r="158">
          <cell r="A158" t="str">
            <v>Namibia</v>
          </cell>
        </row>
        <row r="159">
          <cell r="A159" t="str">
            <v>Mayotte</v>
          </cell>
        </row>
        <row r="160">
          <cell r="A160" t="str">
            <v>Papua New Guinea</v>
          </cell>
        </row>
        <row r="161">
          <cell r="A161" t="str">
            <v>Faroe Islands</v>
          </cell>
        </row>
        <row r="162">
          <cell r="A162" t="str">
            <v>Benin</v>
          </cell>
        </row>
        <row r="163">
          <cell r="A163" t="str">
            <v>Liechtenstein</v>
          </cell>
        </row>
        <row r="164">
          <cell r="A164" t="str">
            <v>St. Vincent &amp; Grenadines</v>
          </cell>
        </row>
        <row r="165">
          <cell r="A165" t="str">
            <v>Lesotho</v>
          </cell>
        </row>
        <row r="166">
          <cell r="A166" t="str">
            <v>Chad</v>
          </cell>
        </row>
        <row r="167">
          <cell r="A167" t="str">
            <v>Isle of Man</v>
          </cell>
        </row>
        <row r="168">
          <cell r="A168" t="str">
            <v>South Sudan</v>
          </cell>
        </row>
        <row r="169">
          <cell r="A169" t="str">
            <v>St. Lucia</v>
          </cell>
        </row>
        <row r="170">
          <cell r="A170" t="str">
            <v>Sierra Leone</v>
          </cell>
        </row>
        <row r="171">
          <cell r="A171" t="str">
            <v>Western Sahara</v>
          </cell>
        </row>
        <row r="172">
          <cell r="A172" t="str">
            <v>Monaco</v>
          </cell>
        </row>
        <row r="173">
          <cell r="A173" t="str">
            <v>Timor-Leste</v>
          </cell>
        </row>
        <row r="174">
          <cell r="A174" t="str">
            <v>Grenada</v>
          </cell>
        </row>
        <row r="175">
          <cell r="A175" t="str">
            <v>Jersey</v>
          </cell>
        </row>
        <row r="176">
          <cell r="A176" t="str">
            <v>Bahamas</v>
          </cell>
        </row>
        <row r="177">
          <cell r="A177" t="str">
            <v>Guyana</v>
          </cell>
        </row>
        <row r="178">
          <cell r="A178" t="str">
            <v>Kosovo</v>
          </cell>
        </row>
        <row r="179">
          <cell r="A179" t="str">
            <v>Zambia</v>
          </cell>
        </row>
        <row r="180">
          <cell r="A180" t="str">
            <v>Cape Verde</v>
          </cell>
        </row>
        <row r="181">
          <cell r="A181" t="str">
            <v>Gambia</v>
          </cell>
        </row>
        <row r="182">
          <cell r="A182" t="str">
            <v>Maldives</v>
          </cell>
        </row>
        <row r="183">
          <cell r="A183" t="str">
            <v>Guam</v>
          </cell>
        </row>
        <row r="184">
          <cell r="A184" t="str">
            <v>French Guiana</v>
          </cell>
        </row>
        <row r="185">
          <cell r="A185" t="str">
            <v>Guernsey</v>
          </cell>
        </row>
        <row r="186">
          <cell r="A186" t="str">
            <v>Cayman Islands</v>
          </cell>
        </row>
        <row r="187">
          <cell r="A187" t="str">
            <v>Mauritania</v>
          </cell>
        </row>
        <row r="188">
          <cell r="A188" t="str">
            <v>Suriname</v>
          </cell>
        </row>
        <row r="189">
          <cell r="A189" t="str">
            <v>Nicaragua</v>
          </cell>
        </row>
        <row r="190">
          <cell r="A190" t="str">
            <v>Aruba</v>
          </cell>
        </row>
        <row r="191">
          <cell r="A191" t="str">
            <v>Malawi</v>
          </cell>
        </row>
        <row r="192">
          <cell r="A192" t="str">
            <v>New Caledonia</v>
          </cell>
        </row>
        <row r="193">
          <cell r="A193" t="str">
            <v>Mozambique</v>
          </cell>
        </row>
        <row r="194">
          <cell r="A194" t="str">
            <v>Angola</v>
          </cell>
        </row>
        <row r="195">
          <cell r="A195" t="str">
            <v>Congo - Kinshasa</v>
          </cell>
        </row>
        <row r="196">
          <cell r="A196" t="str">
            <v>Senegal</v>
          </cell>
        </row>
        <row r="197">
          <cell r="A197" t="str">
            <v>CuraÃ§ao</v>
          </cell>
        </row>
        <row r="198">
          <cell r="A198" t="str">
            <v>Togo</v>
          </cell>
        </row>
        <row r="199">
          <cell r="A199" t="str">
            <v>French Polynesia</v>
          </cell>
        </row>
        <row r="200">
          <cell r="A200" t="str">
            <v>Haiti</v>
          </cell>
        </row>
        <row r="201">
          <cell r="A201" t="str">
            <v>Tajikistan</v>
          </cell>
        </row>
        <row r="202">
          <cell r="A202" t="str">
            <v>Turkmenistan</v>
          </cell>
        </row>
        <row r="203">
          <cell r="A203" t="str">
            <v>Montenegro</v>
          </cell>
        </row>
        <row r="204">
          <cell r="A204" t="str">
            <v>Gabon</v>
          </cell>
        </row>
        <row r="205">
          <cell r="A205" t="str">
            <v>RÃ©union</v>
          </cell>
        </row>
        <row r="206">
          <cell r="A206" t="str">
            <v>Mali</v>
          </cell>
        </row>
        <row r="207">
          <cell r="A207" t="str">
            <v>Martinique</v>
          </cell>
        </row>
        <row r="208">
          <cell r="A208" t="str">
            <v>CÃ´te dâ€™Ivoire</v>
          </cell>
        </row>
        <row r="209">
          <cell r="A209" t="str">
            <v>Guadeloupe</v>
          </cell>
        </row>
        <row r="210">
          <cell r="A210" t="str">
            <v>Anguilla</v>
          </cell>
        </row>
        <row r="211">
          <cell r="A211" t="str">
            <v>Andorra</v>
          </cell>
        </row>
        <row r="212">
          <cell r="A212" t="str">
            <v>American Samoa</v>
          </cell>
        </row>
        <row r="213">
          <cell r="A213" t="str">
            <v>Antarctica</v>
          </cell>
        </row>
        <row r="214">
          <cell r="A214" t="str">
            <v>French Southern Territories</v>
          </cell>
        </row>
        <row r="215">
          <cell r="A215" t="str">
            <v>Burkina Faso</v>
          </cell>
        </row>
        <row r="216">
          <cell r="A216" t="str">
            <v>St. BarthÃ©lemy</v>
          </cell>
        </row>
        <row r="217">
          <cell r="A217" t="str">
            <v>Bouvet Island</v>
          </cell>
        </row>
        <row r="218">
          <cell r="A218" t="str">
            <v>Cocos (Keeling) Islands</v>
          </cell>
        </row>
        <row r="219">
          <cell r="A219" t="str">
            <v>Congo - Brazzaville</v>
          </cell>
        </row>
        <row r="220">
          <cell r="A220" t="str">
            <v>Cook Islands</v>
          </cell>
        </row>
        <row r="221">
          <cell r="A221" t="str">
            <v>Comoros</v>
          </cell>
        </row>
        <row r="222">
          <cell r="A222" t="str">
            <v>Christmas Island</v>
          </cell>
        </row>
        <row r="223">
          <cell r="A223" t="str">
            <v>Falkland Islands (Islas Malvinas)</v>
          </cell>
        </row>
        <row r="224">
          <cell r="A224" t="str">
            <v>Micronesia</v>
          </cell>
        </row>
        <row r="225">
          <cell r="A225" t="str">
            <v>Guinea</v>
          </cell>
        </row>
        <row r="226">
          <cell r="A226" t="str">
            <v>Guinea-Bissau</v>
          </cell>
        </row>
        <row r="227">
          <cell r="A227" t="str">
            <v>Equatorial Guinea</v>
          </cell>
        </row>
        <row r="228">
          <cell r="A228" t="str">
            <v>Greenland</v>
          </cell>
        </row>
        <row r="229">
          <cell r="A229" t="str">
            <v>Heard &amp; McDonald Islands</v>
          </cell>
        </row>
        <row r="230">
          <cell r="A230" t="str">
            <v>British Indian Ocean Territory</v>
          </cell>
        </row>
        <row r="231">
          <cell r="A231" t="str">
            <v>Kiribati</v>
          </cell>
        </row>
        <row r="232">
          <cell r="A232" t="str">
            <v>St. Martin</v>
          </cell>
        </row>
        <row r="233">
          <cell r="A233" t="str">
            <v>Northern Mariana Islands</v>
          </cell>
        </row>
        <row r="234">
          <cell r="A234" t="str">
            <v>Montserrat</v>
          </cell>
        </row>
        <row r="235">
          <cell r="A235" t="str">
            <v>Niger</v>
          </cell>
        </row>
        <row r="236">
          <cell r="A236" t="str">
            <v>Norfolk Island</v>
          </cell>
        </row>
        <row r="237">
          <cell r="A237" t="str">
            <v>Niue</v>
          </cell>
        </row>
        <row r="238">
          <cell r="A238" t="str">
            <v>Nauru</v>
          </cell>
        </row>
        <row r="239">
          <cell r="A239" t="str">
            <v>Pitcairn Islands</v>
          </cell>
        </row>
        <row r="240">
          <cell r="A240" t="str">
            <v>Palau</v>
          </cell>
        </row>
        <row r="241">
          <cell r="A241" t="str">
            <v>South Georgia &amp; South Sandwich Islands</v>
          </cell>
        </row>
        <row r="242">
          <cell r="A242" t="str">
            <v>Svalbard &amp; Jan Mayen</v>
          </cell>
        </row>
        <row r="243">
          <cell r="A243" t="str">
            <v>St. Pierre &amp; Miquelon</v>
          </cell>
        </row>
        <row r="244">
          <cell r="A244" t="str">
            <v>SÃ£o TomÃ© &amp; PrÃ­ncipe</v>
          </cell>
        </row>
        <row r="245">
          <cell r="A245" t="str">
            <v>Seychelles</v>
          </cell>
        </row>
        <row r="246">
          <cell r="A246" t="str">
            <v>Tokelau</v>
          </cell>
        </row>
        <row r="247">
          <cell r="A247" t="str">
            <v>Tonga</v>
          </cell>
        </row>
        <row r="248">
          <cell r="A248" t="str">
            <v>Tuvalu</v>
          </cell>
        </row>
        <row r="249">
          <cell r="A249" t="str">
            <v>U.S. Outlying Islands</v>
          </cell>
        </row>
        <row r="250">
          <cell r="A250" t="str">
            <v>Vatican City</v>
          </cell>
        </row>
        <row r="251">
          <cell r="A251" t="str">
            <v>British Virgin Islands</v>
          </cell>
        </row>
        <row r="252">
          <cell r="A252" t="str">
            <v>Wallis &amp; Futuna</v>
          </cell>
        </row>
        <row r="253">
          <cell r="A253" t="str">
            <v>Samoa</v>
          </cell>
        </row>
      </sheetData>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97)"/>
    </sheetNames>
    <sheetDataSet>
      <sheetData sheetId="0" refreshError="1">
        <row r="1">
          <cell r="A1" t="str">
            <v>Category: All categories</v>
          </cell>
        </row>
        <row r="3">
          <cell r="A3" t="str">
            <v>Country</v>
          </cell>
          <cell r="B3" t="str">
            <v>Artificial neural network: (2018)</v>
          </cell>
          <cell r="C3" t="str">
            <v>Garbage collection: (2018)</v>
          </cell>
        </row>
        <row r="4">
          <cell r="A4" t="str">
            <v>China</v>
          </cell>
          <cell r="B4">
            <v>0.87</v>
          </cell>
          <cell r="C4">
            <v>0.13</v>
          </cell>
        </row>
        <row r="5">
          <cell r="A5" t="str">
            <v>South Korea</v>
          </cell>
          <cell r="B5">
            <v>0.88</v>
          </cell>
          <cell r="C5">
            <v>0.12</v>
          </cell>
        </row>
        <row r="6">
          <cell r="A6" t="str">
            <v>Singapore</v>
          </cell>
          <cell r="B6">
            <v>0.89</v>
          </cell>
          <cell r="C6">
            <v>0.11</v>
          </cell>
        </row>
        <row r="7">
          <cell r="A7" t="str">
            <v>Ethiopia</v>
          </cell>
        </row>
        <row r="8">
          <cell r="A8" t="str">
            <v>Cuba</v>
          </cell>
        </row>
        <row r="9">
          <cell r="A9" t="str">
            <v>Hong Kong</v>
          </cell>
          <cell r="B9">
            <v>0.89</v>
          </cell>
          <cell r="C9">
            <v>0.11</v>
          </cell>
        </row>
        <row r="10">
          <cell r="A10" t="str">
            <v>St. Helena</v>
          </cell>
          <cell r="B10">
            <v>0.71</v>
          </cell>
          <cell r="C10">
            <v>0.28999999999999998</v>
          </cell>
        </row>
        <row r="11">
          <cell r="A11" t="str">
            <v>Taiwan</v>
          </cell>
          <cell r="B11">
            <v>0.88</v>
          </cell>
          <cell r="C11">
            <v>0.12</v>
          </cell>
        </row>
        <row r="12">
          <cell r="A12" t="str">
            <v>Nepal</v>
          </cell>
        </row>
        <row r="13">
          <cell r="A13" t="str">
            <v>Malta</v>
          </cell>
        </row>
        <row r="14">
          <cell r="A14" t="str">
            <v>Pakistan</v>
          </cell>
          <cell r="B14">
            <v>0.94</v>
          </cell>
          <cell r="C14">
            <v>0.06</v>
          </cell>
        </row>
        <row r="15">
          <cell r="A15" t="str">
            <v>Israel</v>
          </cell>
          <cell r="B15">
            <v>0.82</v>
          </cell>
          <cell r="C15">
            <v>0.18</v>
          </cell>
        </row>
        <row r="16">
          <cell r="A16" t="str">
            <v>Russia</v>
          </cell>
          <cell r="B16">
            <v>0.91</v>
          </cell>
          <cell r="C16">
            <v>0.09</v>
          </cell>
        </row>
        <row r="17">
          <cell r="A17" t="str">
            <v>Myanmar (Burma)</v>
          </cell>
        </row>
        <row r="18">
          <cell r="A18" t="str">
            <v>Zimbabwe</v>
          </cell>
        </row>
        <row r="19">
          <cell r="A19" t="str">
            <v>Iceland</v>
          </cell>
        </row>
        <row r="20">
          <cell r="A20" t="str">
            <v>Croatia</v>
          </cell>
        </row>
        <row r="21">
          <cell r="A21" t="str">
            <v>Mongolia</v>
          </cell>
        </row>
        <row r="22">
          <cell r="A22" t="str">
            <v>India</v>
          </cell>
          <cell r="B22">
            <v>0.82</v>
          </cell>
          <cell r="C22">
            <v>0.18</v>
          </cell>
        </row>
        <row r="23">
          <cell r="A23" t="str">
            <v>Sri Lanka</v>
          </cell>
          <cell r="B23">
            <v>0.85</v>
          </cell>
          <cell r="C23">
            <v>0.15</v>
          </cell>
        </row>
        <row r="24">
          <cell r="A24" t="str">
            <v>Cambodia</v>
          </cell>
        </row>
        <row r="25">
          <cell r="A25" t="str">
            <v>Switzerland</v>
          </cell>
          <cell r="B25">
            <v>0.86</v>
          </cell>
          <cell r="C25">
            <v>0.14000000000000001</v>
          </cell>
        </row>
        <row r="26">
          <cell r="A26" t="str">
            <v>Bangladesh</v>
          </cell>
          <cell r="B26">
            <v>0.95</v>
          </cell>
          <cell r="C26">
            <v>0.05</v>
          </cell>
        </row>
        <row r="27">
          <cell r="A27" t="str">
            <v>Canada</v>
          </cell>
          <cell r="B27">
            <v>0.63</v>
          </cell>
          <cell r="C27">
            <v>0.37</v>
          </cell>
        </row>
        <row r="28">
          <cell r="A28" t="str">
            <v>Tunisia</v>
          </cell>
        </row>
        <row r="29">
          <cell r="A29" t="str">
            <v>Belarus</v>
          </cell>
          <cell r="B29">
            <v>0.83</v>
          </cell>
          <cell r="C29">
            <v>0.17</v>
          </cell>
        </row>
        <row r="30">
          <cell r="A30" t="str">
            <v>Botswana</v>
          </cell>
        </row>
        <row r="31">
          <cell r="A31" t="str">
            <v>United States</v>
          </cell>
          <cell r="B31">
            <v>0.81</v>
          </cell>
          <cell r="C31">
            <v>0.19</v>
          </cell>
        </row>
        <row r="32">
          <cell r="A32" t="str">
            <v>Mauritius</v>
          </cell>
        </row>
        <row r="33">
          <cell r="A33" t="str">
            <v>Macao</v>
          </cell>
        </row>
        <row r="34">
          <cell r="A34" t="str">
            <v>Czechia</v>
          </cell>
          <cell r="B34">
            <v>0.88</v>
          </cell>
          <cell r="C34">
            <v>0.12</v>
          </cell>
        </row>
        <row r="35">
          <cell r="A35" t="str">
            <v>Luxembourg</v>
          </cell>
        </row>
        <row r="36">
          <cell r="A36" t="str">
            <v>Nigeria</v>
          </cell>
        </row>
        <row r="37">
          <cell r="A37" t="str">
            <v>Iran</v>
          </cell>
          <cell r="B37">
            <v>0.97</v>
          </cell>
          <cell r="C37">
            <v>0.03</v>
          </cell>
        </row>
        <row r="38">
          <cell r="A38" t="str">
            <v>Cyprus</v>
          </cell>
        </row>
        <row r="39">
          <cell r="A39" t="str">
            <v>Ireland</v>
          </cell>
          <cell r="B39">
            <v>0.82</v>
          </cell>
          <cell r="C39">
            <v>0.18</v>
          </cell>
        </row>
        <row r="40">
          <cell r="A40" t="str">
            <v>Lebanon</v>
          </cell>
        </row>
        <row r="41">
          <cell r="A41" t="str">
            <v>Australia</v>
          </cell>
          <cell r="B41">
            <v>0.71</v>
          </cell>
          <cell r="C41">
            <v>0.28999999999999998</v>
          </cell>
        </row>
        <row r="42">
          <cell r="A42" t="str">
            <v>Kenya</v>
          </cell>
          <cell r="B42">
            <v>0.84</v>
          </cell>
          <cell r="C42">
            <v>0.16</v>
          </cell>
        </row>
        <row r="43">
          <cell r="A43" t="str">
            <v>Norway</v>
          </cell>
          <cell r="B43">
            <v>0.82</v>
          </cell>
          <cell r="C43">
            <v>0.18</v>
          </cell>
        </row>
        <row r="44">
          <cell r="A44" t="str">
            <v>Finland</v>
          </cell>
          <cell r="B44">
            <v>0.9</v>
          </cell>
          <cell r="C44">
            <v>0.1</v>
          </cell>
        </row>
        <row r="45">
          <cell r="A45" t="str">
            <v>Malaysia</v>
          </cell>
          <cell r="B45">
            <v>0.89</v>
          </cell>
          <cell r="C45">
            <v>0.11</v>
          </cell>
        </row>
        <row r="46">
          <cell r="A46" t="str">
            <v>Armenia</v>
          </cell>
        </row>
        <row r="47">
          <cell r="A47" t="str">
            <v>Rwanda</v>
          </cell>
        </row>
        <row r="48">
          <cell r="A48" t="str">
            <v>Japan</v>
          </cell>
          <cell r="B48">
            <v>0.74</v>
          </cell>
          <cell r="C48">
            <v>0.26</v>
          </cell>
        </row>
        <row r="49">
          <cell r="A49" t="str">
            <v>Germany</v>
          </cell>
          <cell r="B49">
            <v>0.87</v>
          </cell>
          <cell r="C49">
            <v>0.13</v>
          </cell>
        </row>
        <row r="50">
          <cell r="A50" t="str">
            <v>Bhutan</v>
          </cell>
        </row>
        <row r="51">
          <cell r="A51" t="str">
            <v>Sweden</v>
          </cell>
          <cell r="B51">
            <v>0.87</v>
          </cell>
          <cell r="C51">
            <v>0.13</v>
          </cell>
        </row>
        <row r="52">
          <cell r="A52" t="str">
            <v>Madagascar</v>
          </cell>
        </row>
        <row r="53">
          <cell r="A53" t="str">
            <v>United Kingdom</v>
          </cell>
          <cell r="B53">
            <v>0.86</v>
          </cell>
          <cell r="C53">
            <v>0.14000000000000001</v>
          </cell>
        </row>
        <row r="54">
          <cell r="A54" t="str">
            <v>Latvia</v>
          </cell>
        </row>
        <row r="55">
          <cell r="A55" t="str">
            <v>New Zealand</v>
          </cell>
          <cell r="B55">
            <v>0.79</v>
          </cell>
          <cell r="C55">
            <v>0.21</v>
          </cell>
        </row>
        <row r="56">
          <cell r="A56" t="str">
            <v>Philippines</v>
          </cell>
          <cell r="B56">
            <v>0.78</v>
          </cell>
          <cell r="C56">
            <v>0.22</v>
          </cell>
        </row>
        <row r="57">
          <cell r="A57" t="str">
            <v>Denmark</v>
          </cell>
          <cell r="B57">
            <v>0.87</v>
          </cell>
          <cell r="C57">
            <v>0.13</v>
          </cell>
        </row>
        <row r="58">
          <cell r="A58" t="str">
            <v>Lithuania</v>
          </cell>
        </row>
        <row r="59">
          <cell r="A59" t="str">
            <v>Sudan</v>
          </cell>
        </row>
        <row r="60">
          <cell r="A60" t="str">
            <v>Netherlands</v>
          </cell>
          <cell r="B60">
            <v>0.87</v>
          </cell>
          <cell r="C60">
            <v>0.13</v>
          </cell>
        </row>
        <row r="61">
          <cell r="A61" t="str">
            <v>South Africa</v>
          </cell>
          <cell r="B61">
            <v>0.91</v>
          </cell>
          <cell r="C61">
            <v>0.09</v>
          </cell>
        </row>
        <row r="62">
          <cell r="A62" t="str">
            <v>Fiji</v>
          </cell>
        </row>
        <row r="63">
          <cell r="A63" t="str">
            <v>Cameroon</v>
          </cell>
        </row>
        <row r="64">
          <cell r="A64" t="str">
            <v>Ukraine</v>
          </cell>
          <cell r="B64">
            <v>0.86</v>
          </cell>
          <cell r="C64">
            <v>0.14000000000000001</v>
          </cell>
        </row>
        <row r="65">
          <cell r="A65" t="str">
            <v>Algeria</v>
          </cell>
          <cell r="B65">
            <v>1</v>
          </cell>
        </row>
        <row r="66">
          <cell r="A66" t="str">
            <v>Syria</v>
          </cell>
        </row>
        <row r="67">
          <cell r="A67" t="str">
            <v>Estonia</v>
          </cell>
        </row>
        <row r="68">
          <cell r="A68" t="str">
            <v>Tanzania</v>
          </cell>
        </row>
        <row r="69">
          <cell r="A69" t="str">
            <v>Somalia</v>
          </cell>
        </row>
        <row r="70">
          <cell r="A70" t="str">
            <v>Indonesia</v>
          </cell>
          <cell r="B70">
            <v>0.97</v>
          </cell>
          <cell r="C70">
            <v>0.03</v>
          </cell>
        </row>
        <row r="71">
          <cell r="A71" t="str">
            <v>Ghana</v>
          </cell>
        </row>
        <row r="72">
          <cell r="A72" t="str">
            <v>Trinidad &amp; Tobago</v>
          </cell>
        </row>
        <row r="73">
          <cell r="A73" t="str">
            <v>Iraq</v>
          </cell>
          <cell r="B73">
            <v>1</v>
          </cell>
        </row>
        <row r="74">
          <cell r="A74" t="str">
            <v>Laos</v>
          </cell>
        </row>
        <row r="75">
          <cell r="A75" t="str">
            <v>Austria</v>
          </cell>
          <cell r="B75">
            <v>0.81</v>
          </cell>
          <cell r="C75">
            <v>0.19</v>
          </cell>
        </row>
        <row r="76">
          <cell r="A76" t="str">
            <v>Kazakhstan</v>
          </cell>
        </row>
        <row r="77">
          <cell r="A77" t="str">
            <v>Morocco</v>
          </cell>
        </row>
        <row r="78">
          <cell r="A78" t="str">
            <v>Portugal</v>
          </cell>
          <cell r="B78">
            <v>0.89</v>
          </cell>
          <cell r="C78">
            <v>0.11</v>
          </cell>
        </row>
        <row r="79">
          <cell r="A79" t="str">
            <v>Greece</v>
          </cell>
          <cell r="B79">
            <v>0.89</v>
          </cell>
          <cell r="C79">
            <v>0.11</v>
          </cell>
        </row>
        <row r="80">
          <cell r="A80" t="str">
            <v>United Arab Emirates</v>
          </cell>
          <cell r="B80">
            <v>0.84</v>
          </cell>
          <cell r="C80">
            <v>0.16</v>
          </cell>
        </row>
        <row r="81">
          <cell r="A81" t="str">
            <v>Afghanistan</v>
          </cell>
        </row>
        <row r="82">
          <cell r="A82" t="str">
            <v>Qatar</v>
          </cell>
        </row>
        <row r="83">
          <cell r="A83" t="str">
            <v>Brunei</v>
          </cell>
        </row>
        <row r="84">
          <cell r="A84" t="str">
            <v>Belgium</v>
          </cell>
          <cell r="B84">
            <v>0.85</v>
          </cell>
          <cell r="C84">
            <v>0.15</v>
          </cell>
        </row>
        <row r="85">
          <cell r="A85" t="str">
            <v>Uganda</v>
          </cell>
        </row>
        <row r="86">
          <cell r="A86" t="str">
            <v>Oman</v>
          </cell>
        </row>
        <row r="87">
          <cell r="A87" t="str">
            <v>Poland</v>
          </cell>
          <cell r="B87">
            <v>0.86</v>
          </cell>
          <cell r="C87">
            <v>0.14000000000000001</v>
          </cell>
        </row>
        <row r="88">
          <cell r="A88" t="str">
            <v>Egypt</v>
          </cell>
          <cell r="B88">
            <v>0.89</v>
          </cell>
          <cell r="C88">
            <v>0.11</v>
          </cell>
        </row>
        <row r="89">
          <cell r="A89" t="str">
            <v>Peru</v>
          </cell>
          <cell r="B89">
            <v>0.81</v>
          </cell>
          <cell r="C89">
            <v>0.19</v>
          </cell>
        </row>
        <row r="90">
          <cell r="A90" t="str">
            <v>Bolivia</v>
          </cell>
        </row>
        <row r="91">
          <cell r="A91" t="str">
            <v>North Macedonia</v>
          </cell>
        </row>
        <row r="92">
          <cell r="A92" t="str">
            <v>Bulgaria</v>
          </cell>
          <cell r="B92">
            <v>0.78</v>
          </cell>
          <cell r="C92">
            <v>0.22</v>
          </cell>
        </row>
        <row r="93">
          <cell r="A93" t="str">
            <v>Costa Rica</v>
          </cell>
        </row>
        <row r="94">
          <cell r="A94" t="str">
            <v>Serbia</v>
          </cell>
        </row>
        <row r="95">
          <cell r="A95" t="str">
            <v>Slovakia</v>
          </cell>
        </row>
        <row r="96">
          <cell r="A96" t="str">
            <v>Ecuador</v>
          </cell>
          <cell r="B96">
            <v>0.47</v>
          </cell>
          <cell r="C96">
            <v>0.53</v>
          </cell>
        </row>
        <row r="97">
          <cell r="A97" t="str">
            <v>Georgia</v>
          </cell>
        </row>
        <row r="98">
          <cell r="A98" t="str">
            <v>Slovenia</v>
          </cell>
        </row>
        <row r="99">
          <cell r="A99" t="str">
            <v>France</v>
          </cell>
          <cell r="B99">
            <v>0.85</v>
          </cell>
          <cell r="C99">
            <v>0.15</v>
          </cell>
        </row>
        <row r="100">
          <cell r="A100" t="str">
            <v>Romania</v>
          </cell>
          <cell r="B100">
            <v>0.82</v>
          </cell>
          <cell r="C100">
            <v>0.18</v>
          </cell>
        </row>
        <row r="101">
          <cell r="A101" t="str">
            <v>Colombia</v>
          </cell>
          <cell r="B101">
            <v>0.7</v>
          </cell>
          <cell r="C101">
            <v>0.3</v>
          </cell>
        </row>
        <row r="102">
          <cell r="A102" t="str">
            <v>Hungary</v>
          </cell>
          <cell r="B102">
            <v>0.77</v>
          </cell>
          <cell r="C102">
            <v>0.23</v>
          </cell>
        </row>
        <row r="103">
          <cell r="A103" t="str">
            <v>Spain</v>
          </cell>
          <cell r="B103">
            <v>0.88</v>
          </cell>
          <cell r="C103">
            <v>0.12</v>
          </cell>
        </row>
        <row r="104">
          <cell r="A104" t="str">
            <v>Italy</v>
          </cell>
          <cell r="B104">
            <v>0.9</v>
          </cell>
          <cell r="C104">
            <v>0.1</v>
          </cell>
        </row>
        <row r="105">
          <cell r="A105" t="str">
            <v>Albania</v>
          </cell>
        </row>
        <row r="106">
          <cell r="A106" t="str">
            <v>Thailand</v>
          </cell>
          <cell r="B106">
            <v>0.94</v>
          </cell>
          <cell r="C106">
            <v>0.06</v>
          </cell>
        </row>
        <row r="107">
          <cell r="A107" t="str">
            <v>Chile</v>
          </cell>
          <cell r="B107">
            <v>0.59</v>
          </cell>
          <cell r="C107">
            <v>0.41</v>
          </cell>
        </row>
        <row r="108">
          <cell r="A108" t="str">
            <v>Moldova</v>
          </cell>
        </row>
        <row r="109">
          <cell r="A109" t="str">
            <v>Uzbekistan</v>
          </cell>
        </row>
        <row r="110">
          <cell r="A110" t="str">
            <v>Mexico</v>
          </cell>
          <cell r="B110">
            <v>0.51</v>
          </cell>
          <cell r="C110">
            <v>0.49</v>
          </cell>
        </row>
        <row r="111">
          <cell r="A111" t="str">
            <v>Jamaica</v>
          </cell>
        </row>
        <row r="112">
          <cell r="A112" t="str">
            <v>Libya</v>
          </cell>
        </row>
        <row r="113">
          <cell r="A113" t="str">
            <v>Jordan</v>
          </cell>
        </row>
        <row r="114">
          <cell r="A114" t="str">
            <v>Bosnia &amp; Herzegovina</v>
          </cell>
        </row>
        <row r="115">
          <cell r="A115" t="str">
            <v>Bahrain</v>
          </cell>
        </row>
        <row r="116">
          <cell r="A116" t="str">
            <v>Turkey</v>
          </cell>
          <cell r="B116">
            <v>0.73</v>
          </cell>
          <cell r="C116">
            <v>0.27</v>
          </cell>
        </row>
        <row r="117">
          <cell r="A117" t="str">
            <v>Paraguay</v>
          </cell>
        </row>
        <row r="118">
          <cell r="A118" t="str">
            <v>Saudi Arabia</v>
          </cell>
        </row>
        <row r="119">
          <cell r="A119" t="str">
            <v>Yemen</v>
          </cell>
        </row>
        <row r="120">
          <cell r="A120" t="str">
            <v>Azerbaijan</v>
          </cell>
        </row>
        <row r="121">
          <cell r="A121" t="str">
            <v>Kuwait</v>
          </cell>
        </row>
        <row r="122">
          <cell r="A122" t="str">
            <v>Guatemala</v>
          </cell>
        </row>
        <row r="123">
          <cell r="A123" t="str">
            <v>Argentina</v>
          </cell>
          <cell r="B123">
            <v>0.39</v>
          </cell>
          <cell r="C123">
            <v>0.61</v>
          </cell>
        </row>
        <row r="124">
          <cell r="A124" t="str">
            <v>El Salvador</v>
          </cell>
        </row>
        <row r="125">
          <cell r="A125" t="str">
            <v>Panama</v>
          </cell>
        </row>
        <row r="126">
          <cell r="A126" t="str">
            <v>Puerto Rico</v>
          </cell>
        </row>
        <row r="127">
          <cell r="A127" t="str">
            <v>Kyrgyzstan</v>
          </cell>
        </row>
        <row r="128">
          <cell r="A128" t="str">
            <v>Palestine</v>
          </cell>
        </row>
        <row r="129">
          <cell r="A129" t="str">
            <v>Brazil</v>
          </cell>
          <cell r="B129">
            <v>0.87</v>
          </cell>
          <cell r="C129">
            <v>0.13</v>
          </cell>
        </row>
        <row r="130">
          <cell r="A130" t="str">
            <v>Uruguay</v>
          </cell>
        </row>
        <row r="131">
          <cell r="A131" t="str">
            <v>Vietnam</v>
          </cell>
          <cell r="B131">
            <v>0.68</v>
          </cell>
          <cell r="C131">
            <v>0.32</v>
          </cell>
        </row>
        <row r="132">
          <cell r="A132" t="str">
            <v>Honduras</v>
          </cell>
        </row>
        <row r="133">
          <cell r="A133" t="str">
            <v>Dominican Republic</v>
          </cell>
        </row>
        <row r="134">
          <cell r="A134" t="str">
            <v>Venezuela</v>
          </cell>
        </row>
        <row r="135">
          <cell r="A135" t="str">
            <v>North Korea</v>
          </cell>
        </row>
        <row r="136">
          <cell r="A136" t="str">
            <v>Eritrea</v>
          </cell>
        </row>
        <row r="137">
          <cell r="A137" t="str">
            <v>Marshall Islands</v>
          </cell>
        </row>
        <row r="138">
          <cell r="A138" t="str">
            <v>St. Kitts &amp; Nevis</v>
          </cell>
        </row>
        <row r="139">
          <cell r="A139" t="str">
            <v>Vanuatu</v>
          </cell>
        </row>
        <row r="140">
          <cell r="A140" t="str">
            <v>Central African Republic</v>
          </cell>
        </row>
        <row r="141">
          <cell r="A141" t="str">
            <v>Dominica</v>
          </cell>
        </row>
        <row r="142">
          <cell r="A142" t="str">
            <v>Liberia</v>
          </cell>
        </row>
        <row r="143">
          <cell r="A143" t="str">
            <v>Sint Maarten</v>
          </cell>
        </row>
        <row r="144">
          <cell r="A144" t="str">
            <v>Caribbean Netherlands</v>
          </cell>
        </row>
        <row r="145">
          <cell r="A145" t="str">
            <v>Solomon Islands</v>
          </cell>
        </row>
        <row r="146">
          <cell r="A146" t="str">
            <v>Eswatini</v>
          </cell>
        </row>
        <row r="147">
          <cell r="A147" t="str">
            <v>Antigua &amp; Barbuda</v>
          </cell>
        </row>
        <row r="148">
          <cell r="A148" t="str">
            <v>U.S. Virgin Islands</v>
          </cell>
        </row>
        <row r="149">
          <cell r="A149" t="str">
            <v>Burundi</v>
          </cell>
        </row>
        <row r="150">
          <cell r="A150" t="str">
            <v>Turks &amp; Caicos Islands</v>
          </cell>
        </row>
        <row r="151">
          <cell r="A151" t="str">
            <v>Ã…land Islands</v>
          </cell>
        </row>
        <row r="152">
          <cell r="A152" t="str">
            <v>Belize</v>
          </cell>
        </row>
        <row r="153">
          <cell r="A153" t="str">
            <v>Gibraltar</v>
          </cell>
        </row>
        <row r="154">
          <cell r="A154" t="str">
            <v>San Marino</v>
          </cell>
        </row>
        <row r="155">
          <cell r="A155" t="str">
            <v>Barbados</v>
          </cell>
        </row>
        <row r="156">
          <cell r="A156" t="str">
            <v>Djibouti</v>
          </cell>
        </row>
        <row r="157">
          <cell r="A157" t="str">
            <v>Bermuda</v>
          </cell>
        </row>
        <row r="158">
          <cell r="A158" t="str">
            <v>Namibia</v>
          </cell>
        </row>
        <row r="159">
          <cell r="A159" t="str">
            <v>Mayotte</v>
          </cell>
        </row>
        <row r="160">
          <cell r="A160" t="str">
            <v>Papua New Guinea</v>
          </cell>
        </row>
        <row r="161">
          <cell r="A161" t="str">
            <v>Faroe Islands</v>
          </cell>
        </row>
        <row r="162">
          <cell r="A162" t="str">
            <v>Benin</v>
          </cell>
        </row>
        <row r="163">
          <cell r="A163" t="str">
            <v>Liechtenstein</v>
          </cell>
        </row>
        <row r="164">
          <cell r="A164" t="str">
            <v>St. Vincent &amp; Grenadines</v>
          </cell>
        </row>
        <row r="165">
          <cell r="A165" t="str">
            <v>Lesotho</v>
          </cell>
        </row>
        <row r="166">
          <cell r="A166" t="str">
            <v>Chad</v>
          </cell>
        </row>
        <row r="167">
          <cell r="A167" t="str">
            <v>Isle of Man</v>
          </cell>
        </row>
        <row r="168">
          <cell r="A168" t="str">
            <v>South Sudan</v>
          </cell>
        </row>
        <row r="169">
          <cell r="A169" t="str">
            <v>St. Lucia</v>
          </cell>
        </row>
        <row r="170">
          <cell r="A170" t="str">
            <v>Sierra Leone</v>
          </cell>
        </row>
        <row r="171">
          <cell r="A171" t="str">
            <v>Western Sahara</v>
          </cell>
        </row>
        <row r="172">
          <cell r="A172" t="str">
            <v>Monaco</v>
          </cell>
        </row>
        <row r="173">
          <cell r="A173" t="str">
            <v>Timor-Leste</v>
          </cell>
        </row>
        <row r="174">
          <cell r="A174" t="str">
            <v>Grenada</v>
          </cell>
        </row>
        <row r="175">
          <cell r="A175" t="str">
            <v>Jersey</v>
          </cell>
        </row>
        <row r="176">
          <cell r="A176" t="str">
            <v>Bahamas</v>
          </cell>
        </row>
        <row r="177">
          <cell r="A177" t="str">
            <v>Guyana</v>
          </cell>
        </row>
        <row r="178">
          <cell r="A178" t="str">
            <v>Kosovo</v>
          </cell>
        </row>
        <row r="179">
          <cell r="A179" t="str">
            <v>Zambia</v>
          </cell>
        </row>
        <row r="180">
          <cell r="A180" t="str">
            <v>Cape Verde</v>
          </cell>
        </row>
        <row r="181">
          <cell r="A181" t="str">
            <v>Gambia</v>
          </cell>
        </row>
        <row r="182">
          <cell r="A182" t="str">
            <v>Maldives</v>
          </cell>
        </row>
        <row r="183">
          <cell r="A183" t="str">
            <v>Guam</v>
          </cell>
        </row>
        <row r="184">
          <cell r="A184" t="str">
            <v>French Guiana</v>
          </cell>
        </row>
        <row r="185">
          <cell r="A185" t="str">
            <v>Guernsey</v>
          </cell>
        </row>
        <row r="186">
          <cell r="A186" t="str">
            <v>Cayman Islands</v>
          </cell>
        </row>
        <row r="187">
          <cell r="A187" t="str">
            <v>Mauritania</v>
          </cell>
        </row>
        <row r="188">
          <cell r="A188" t="str">
            <v>Suriname</v>
          </cell>
        </row>
        <row r="189">
          <cell r="A189" t="str">
            <v>Nicaragua</v>
          </cell>
        </row>
        <row r="190">
          <cell r="A190" t="str">
            <v>Aruba</v>
          </cell>
        </row>
        <row r="191">
          <cell r="A191" t="str">
            <v>Malawi</v>
          </cell>
        </row>
        <row r="192">
          <cell r="A192" t="str">
            <v>New Caledonia</v>
          </cell>
        </row>
        <row r="193">
          <cell r="A193" t="str">
            <v>Mozambique</v>
          </cell>
        </row>
        <row r="194">
          <cell r="A194" t="str">
            <v>Angola</v>
          </cell>
        </row>
        <row r="195">
          <cell r="A195" t="str">
            <v>Congo - Kinshasa</v>
          </cell>
        </row>
        <row r="196">
          <cell r="A196" t="str">
            <v>Senegal</v>
          </cell>
        </row>
        <row r="197">
          <cell r="A197" t="str">
            <v>CuraÃ§ao</v>
          </cell>
        </row>
        <row r="198">
          <cell r="A198" t="str">
            <v>Togo</v>
          </cell>
        </row>
        <row r="199">
          <cell r="A199" t="str">
            <v>French Polynesia</v>
          </cell>
        </row>
        <row r="200">
          <cell r="A200" t="str">
            <v>Haiti</v>
          </cell>
        </row>
        <row r="201">
          <cell r="A201" t="str">
            <v>Tajikistan</v>
          </cell>
        </row>
        <row r="202">
          <cell r="A202" t="str">
            <v>Turkmenistan</v>
          </cell>
        </row>
        <row r="203">
          <cell r="A203" t="str">
            <v>Montenegro</v>
          </cell>
        </row>
        <row r="204">
          <cell r="A204" t="str">
            <v>Gabon</v>
          </cell>
        </row>
        <row r="205">
          <cell r="A205" t="str">
            <v>RÃ©union</v>
          </cell>
        </row>
        <row r="206">
          <cell r="A206" t="str">
            <v>Mali</v>
          </cell>
        </row>
        <row r="207">
          <cell r="A207" t="str">
            <v>Martinique</v>
          </cell>
        </row>
        <row r="208">
          <cell r="A208" t="str">
            <v>CÃ´te dâ€™Ivoire</v>
          </cell>
        </row>
        <row r="209">
          <cell r="A209" t="str">
            <v>Guadeloupe</v>
          </cell>
        </row>
        <row r="210">
          <cell r="A210" t="str">
            <v>Anguilla</v>
          </cell>
        </row>
        <row r="211">
          <cell r="A211" t="str">
            <v>Andorra</v>
          </cell>
        </row>
        <row r="212">
          <cell r="A212" t="str">
            <v>American Samoa</v>
          </cell>
        </row>
        <row r="213">
          <cell r="A213" t="str">
            <v>Antarctica</v>
          </cell>
        </row>
        <row r="214">
          <cell r="A214" t="str">
            <v>French Southern Territories</v>
          </cell>
        </row>
        <row r="215">
          <cell r="A215" t="str">
            <v>Burkina Faso</v>
          </cell>
        </row>
        <row r="216">
          <cell r="A216" t="str">
            <v>St. BarthÃ©lemy</v>
          </cell>
        </row>
        <row r="217">
          <cell r="A217" t="str">
            <v>Bouvet Island</v>
          </cell>
        </row>
        <row r="218">
          <cell r="A218" t="str">
            <v>Cocos (Keeling) Islands</v>
          </cell>
        </row>
        <row r="219">
          <cell r="A219" t="str">
            <v>Congo - Brazzaville</v>
          </cell>
        </row>
        <row r="220">
          <cell r="A220" t="str">
            <v>Cook Islands</v>
          </cell>
        </row>
        <row r="221">
          <cell r="A221" t="str">
            <v>Comoros</v>
          </cell>
        </row>
        <row r="222">
          <cell r="A222" t="str">
            <v>Christmas Island</v>
          </cell>
        </row>
        <row r="223">
          <cell r="A223" t="str">
            <v>Falkland Islands (Islas Malvinas)</v>
          </cell>
        </row>
        <row r="224">
          <cell r="A224" t="str">
            <v>Micronesia</v>
          </cell>
        </row>
        <row r="225">
          <cell r="A225" t="str">
            <v>Guinea</v>
          </cell>
        </row>
        <row r="226">
          <cell r="A226" t="str">
            <v>Guinea-Bissau</v>
          </cell>
        </row>
        <row r="227">
          <cell r="A227" t="str">
            <v>Equatorial Guinea</v>
          </cell>
        </row>
        <row r="228">
          <cell r="A228" t="str">
            <v>Greenland</v>
          </cell>
        </row>
        <row r="229">
          <cell r="A229" t="str">
            <v>Heard &amp; McDonald Islands</v>
          </cell>
        </row>
        <row r="230">
          <cell r="A230" t="str">
            <v>British Indian Ocean Territory</v>
          </cell>
        </row>
        <row r="231">
          <cell r="A231" t="str">
            <v>Kiribati</v>
          </cell>
        </row>
        <row r="232">
          <cell r="A232" t="str">
            <v>St. Martin</v>
          </cell>
        </row>
        <row r="233">
          <cell r="A233" t="str">
            <v>Northern Mariana Islands</v>
          </cell>
        </row>
        <row r="234">
          <cell r="A234" t="str">
            <v>Montserrat</v>
          </cell>
        </row>
        <row r="235">
          <cell r="A235" t="str">
            <v>Niger</v>
          </cell>
        </row>
        <row r="236">
          <cell r="A236" t="str">
            <v>Norfolk Island</v>
          </cell>
        </row>
        <row r="237">
          <cell r="A237" t="str">
            <v>Niue</v>
          </cell>
        </row>
        <row r="238">
          <cell r="A238" t="str">
            <v>Nauru</v>
          </cell>
        </row>
        <row r="239">
          <cell r="A239" t="str">
            <v>Pitcairn Islands</v>
          </cell>
        </row>
        <row r="240">
          <cell r="A240" t="str">
            <v>Palau</v>
          </cell>
        </row>
        <row r="241">
          <cell r="A241" t="str">
            <v>South Georgia &amp; South Sandwich Islands</v>
          </cell>
        </row>
        <row r="242">
          <cell r="A242" t="str">
            <v>Svalbard &amp; Jan Mayen</v>
          </cell>
        </row>
        <row r="243">
          <cell r="A243" t="str">
            <v>St. Pierre &amp; Miquelon</v>
          </cell>
        </row>
        <row r="244">
          <cell r="A244" t="str">
            <v>SÃ£o TomÃ© &amp; PrÃ­ncipe</v>
          </cell>
        </row>
        <row r="245">
          <cell r="A245" t="str">
            <v>Seychelles</v>
          </cell>
        </row>
        <row r="246">
          <cell r="A246" t="str">
            <v>Tokelau</v>
          </cell>
        </row>
        <row r="247">
          <cell r="A247" t="str">
            <v>Tonga</v>
          </cell>
        </row>
        <row r="248">
          <cell r="A248" t="str">
            <v>Tuvalu</v>
          </cell>
        </row>
        <row r="249">
          <cell r="A249" t="str">
            <v>U.S. Outlying Islands</v>
          </cell>
        </row>
        <row r="250">
          <cell r="A250" t="str">
            <v>Vatican City</v>
          </cell>
        </row>
        <row r="251">
          <cell r="A251" t="str">
            <v>British Virgin Islands</v>
          </cell>
        </row>
        <row r="252">
          <cell r="A252" t="str">
            <v>Wallis &amp; Futuna</v>
          </cell>
        </row>
        <row r="253">
          <cell r="A253" t="str">
            <v>Samoa</v>
          </cell>
        </row>
      </sheetData>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09)"/>
    </sheetNames>
    <sheetDataSet>
      <sheetData sheetId="0" refreshError="1">
        <row r="1">
          <cell r="A1" t="str">
            <v>Category: All categories</v>
          </cell>
        </row>
        <row r="3">
          <cell r="A3" t="str">
            <v>Country</v>
          </cell>
          <cell r="B3" t="str">
            <v>Segmentation fault: (2018)</v>
          </cell>
          <cell r="C3" t="str">
            <v>Memory leak: (2018)</v>
          </cell>
        </row>
        <row r="4">
          <cell r="A4" t="str">
            <v>China</v>
          </cell>
          <cell r="B4">
            <v>0.39</v>
          </cell>
          <cell r="C4">
            <v>0.61</v>
          </cell>
        </row>
        <row r="5">
          <cell r="A5" t="str">
            <v>South Korea</v>
          </cell>
          <cell r="B5">
            <v>0.4</v>
          </cell>
          <cell r="C5">
            <v>0.6</v>
          </cell>
        </row>
        <row r="6">
          <cell r="A6" t="str">
            <v>St. Helena</v>
          </cell>
          <cell r="B6">
            <v>0.48</v>
          </cell>
          <cell r="C6">
            <v>0.52</v>
          </cell>
        </row>
        <row r="7">
          <cell r="A7" t="str">
            <v>Israel</v>
          </cell>
          <cell r="B7">
            <v>0.45</v>
          </cell>
          <cell r="C7">
            <v>0.55000000000000004</v>
          </cell>
        </row>
        <row r="8">
          <cell r="A8" t="str">
            <v>Japan</v>
          </cell>
          <cell r="B8">
            <v>0.35</v>
          </cell>
          <cell r="C8">
            <v>0.65</v>
          </cell>
        </row>
        <row r="9">
          <cell r="A9" t="str">
            <v>Singapore</v>
          </cell>
          <cell r="B9">
            <v>0.48</v>
          </cell>
          <cell r="C9">
            <v>0.52</v>
          </cell>
        </row>
        <row r="10">
          <cell r="A10" t="str">
            <v>Estonia</v>
          </cell>
          <cell r="B10">
            <v>0.5</v>
          </cell>
          <cell r="C10">
            <v>0.5</v>
          </cell>
        </row>
        <row r="11">
          <cell r="A11" t="str">
            <v>Germany</v>
          </cell>
          <cell r="B11">
            <v>0.67</v>
          </cell>
          <cell r="C11">
            <v>0.33</v>
          </cell>
        </row>
        <row r="12">
          <cell r="A12" t="str">
            <v>Austria</v>
          </cell>
          <cell r="B12">
            <v>0.67</v>
          </cell>
          <cell r="C12">
            <v>0.33</v>
          </cell>
        </row>
        <row r="13">
          <cell r="A13" t="str">
            <v>Switzerland</v>
          </cell>
          <cell r="B13">
            <v>0.57999999999999996</v>
          </cell>
          <cell r="C13">
            <v>0.42</v>
          </cell>
        </row>
        <row r="14">
          <cell r="A14" t="str">
            <v>Hong Kong</v>
          </cell>
          <cell r="B14">
            <v>0.48</v>
          </cell>
          <cell r="C14">
            <v>0.52</v>
          </cell>
        </row>
        <row r="15">
          <cell r="A15" t="str">
            <v>Finland</v>
          </cell>
          <cell r="B15">
            <v>0.46</v>
          </cell>
          <cell r="C15">
            <v>0.54</v>
          </cell>
        </row>
        <row r="16">
          <cell r="A16" t="str">
            <v>Czechia</v>
          </cell>
          <cell r="B16">
            <v>0.56000000000000005</v>
          </cell>
          <cell r="C16">
            <v>0.44</v>
          </cell>
        </row>
        <row r="17">
          <cell r="A17" t="str">
            <v>Cyprus</v>
          </cell>
        </row>
        <row r="18">
          <cell r="A18" t="str">
            <v>Taiwan</v>
          </cell>
          <cell r="B18">
            <v>0.52</v>
          </cell>
          <cell r="C18">
            <v>0.48</v>
          </cell>
        </row>
        <row r="19">
          <cell r="A19" t="str">
            <v>Canada</v>
          </cell>
          <cell r="B19">
            <v>0.53</v>
          </cell>
          <cell r="C19">
            <v>0.47</v>
          </cell>
        </row>
        <row r="20">
          <cell r="A20" t="str">
            <v>Sweden</v>
          </cell>
          <cell r="B20">
            <v>0.49</v>
          </cell>
          <cell r="C20">
            <v>0.51</v>
          </cell>
        </row>
        <row r="21">
          <cell r="A21" t="str">
            <v>New Zealand</v>
          </cell>
          <cell r="B21">
            <v>0.47</v>
          </cell>
          <cell r="C21">
            <v>0.53</v>
          </cell>
        </row>
        <row r="22">
          <cell r="A22" t="str">
            <v>Poland</v>
          </cell>
          <cell r="B22">
            <v>0.65</v>
          </cell>
          <cell r="C22">
            <v>0.35</v>
          </cell>
        </row>
        <row r="23">
          <cell r="A23" t="str">
            <v>Belarus</v>
          </cell>
          <cell r="B23">
            <v>0.52</v>
          </cell>
          <cell r="C23">
            <v>0.48</v>
          </cell>
        </row>
        <row r="24">
          <cell r="A24" t="str">
            <v>Norway</v>
          </cell>
          <cell r="B24">
            <v>0.51</v>
          </cell>
          <cell r="C24">
            <v>0.49</v>
          </cell>
        </row>
        <row r="25">
          <cell r="A25" t="str">
            <v>Russia</v>
          </cell>
          <cell r="B25">
            <v>0.59</v>
          </cell>
          <cell r="C25">
            <v>0.41</v>
          </cell>
        </row>
        <row r="26">
          <cell r="A26" t="str">
            <v>United States</v>
          </cell>
          <cell r="B26">
            <v>0.51</v>
          </cell>
          <cell r="C26">
            <v>0.49</v>
          </cell>
        </row>
        <row r="27">
          <cell r="A27" t="str">
            <v>Netherlands</v>
          </cell>
          <cell r="B27">
            <v>0.53</v>
          </cell>
          <cell r="C27">
            <v>0.47</v>
          </cell>
        </row>
        <row r="28">
          <cell r="A28" t="str">
            <v>Lithuania</v>
          </cell>
          <cell r="B28">
            <v>0.61</v>
          </cell>
          <cell r="C28">
            <v>0.39</v>
          </cell>
        </row>
        <row r="29">
          <cell r="A29" t="str">
            <v>Bosnia &amp; Herzegovina</v>
          </cell>
        </row>
        <row r="30">
          <cell r="A30" t="str">
            <v>Australia</v>
          </cell>
          <cell r="B30">
            <v>0.53</v>
          </cell>
          <cell r="C30">
            <v>0.47</v>
          </cell>
        </row>
        <row r="31">
          <cell r="A31" t="str">
            <v>Slovenia</v>
          </cell>
        </row>
        <row r="32">
          <cell r="A32" t="str">
            <v>Hungary</v>
          </cell>
          <cell r="B32">
            <v>0.61</v>
          </cell>
          <cell r="C32">
            <v>0.39</v>
          </cell>
        </row>
        <row r="33">
          <cell r="A33" t="str">
            <v>Romania</v>
          </cell>
          <cell r="B33">
            <v>0.56999999999999995</v>
          </cell>
          <cell r="C33">
            <v>0.43</v>
          </cell>
        </row>
        <row r="34">
          <cell r="A34" t="str">
            <v>Portugal</v>
          </cell>
          <cell r="B34">
            <v>0.6</v>
          </cell>
          <cell r="C34">
            <v>0.4</v>
          </cell>
        </row>
        <row r="35">
          <cell r="A35" t="str">
            <v>Belgium</v>
          </cell>
          <cell r="B35">
            <v>0.57999999999999996</v>
          </cell>
          <cell r="C35">
            <v>0.42</v>
          </cell>
        </row>
        <row r="36">
          <cell r="A36" t="str">
            <v>Serbia</v>
          </cell>
          <cell r="B36">
            <v>0.54</v>
          </cell>
          <cell r="C36">
            <v>0.46</v>
          </cell>
        </row>
        <row r="37">
          <cell r="A37" t="str">
            <v>Denmark</v>
          </cell>
          <cell r="B37">
            <v>0.46</v>
          </cell>
          <cell r="C37">
            <v>0.54</v>
          </cell>
        </row>
        <row r="38">
          <cell r="A38" t="str">
            <v>Bulgaria</v>
          </cell>
          <cell r="B38">
            <v>0.57999999999999996</v>
          </cell>
          <cell r="C38">
            <v>0.42</v>
          </cell>
        </row>
        <row r="39">
          <cell r="A39" t="str">
            <v>France</v>
          </cell>
          <cell r="B39">
            <v>0.65</v>
          </cell>
          <cell r="C39">
            <v>0.35</v>
          </cell>
        </row>
        <row r="40">
          <cell r="A40" t="str">
            <v>Qatar</v>
          </cell>
        </row>
        <row r="41">
          <cell r="A41" t="str">
            <v>India</v>
          </cell>
          <cell r="B41">
            <v>0.51</v>
          </cell>
          <cell r="C41">
            <v>0.49</v>
          </cell>
        </row>
        <row r="42">
          <cell r="A42" t="str">
            <v>Latvia</v>
          </cell>
        </row>
        <row r="43">
          <cell r="A43" t="str">
            <v>South Africa</v>
          </cell>
          <cell r="B43">
            <v>0.63</v>
          </cell>
          <cell r="C43">
            <v>0.37</v>
          </cell>
        </row>
        <row r="44">
          <cell r="A44" t="str">
            <v>United Kingdom</v>
          </cell>
          <cell r="B44">
            <v>0.51</v>
          </cell>
          <cell r="C44">
            <v>0.49</v>
          </cell>
        </row>
        <row r="45">
          <cell r="A45" t="str">
            <v>Slovakia</v>
          </cell>
          <cell r="B45">
            <v>0.51</v>
          </cell>
          <cell r="C45">
            <v>0.49</v>
          </cell>
        </row>
        <row r="46">
          <cell r="A46" t="str">
            <v>Tunisia</v>
          </cell>
        </row>
        <row r="47">
          <cell r="A47" t="str">
            <v>Ukraine</v>
          </cell>
          <cell r="B47">
            <v>0.49</v>
          </cell>
          <cell r="C47">
            <v>0.51</v>
          </cell>
        </row>
        <row r="48">
          <cell r="A48" t="str">
            <v>Croatia</v>
          </cell>
          <cell r="B48">
            <v>0.56000000000000005</v>
          </cell>
          <cell r="C48">
            <v>0.44</v>
          </cell>
        </row>
        <row r="49">
          <cell r="A49" t="str">
            <v>Greece</v>
          </cell>
          <cell r="B49">
            <v>0.63</v>
          </cell>
          <cell r="C49">
            <v>0.37</v>
          </cell>
        </row>
        <row r="50">
          <cell r="A50" t="str">
            <v>Ireland</v>
          </cell>
          <cell r="B50">
            <v>0.49</v>
          </cell>
          <cell r="C50">
            <v>0.51</v>
          </cell>
        </row>
        <row r="51">
          <cell r="A51" t="str">
            <v>Philippines</v>
          </cell>
          <cell r="B51">
            <v>0.51</v>
          </cell>
          <cell r="C51">
            <v>0.49</v>
          </cell>
        </row>
        <row r="52">
          <cell r="A52" t="str">
            <v>Kazakhstan</v>
          </cell>
          <cell r="B52">
            <v>0.65</v>
          </cell>
          <cell r="C52">
            <v>0.35</v>
          </cell>
        </row>
        <row r="53">
          <cell r="A53" t="str">
            <v>Sri Lanka</v>
          </cell>
        </row>
        <row r="54">
          <cell r="A54" t="str">
            <v>Mexico</v>
          </cell>
          <cell r="B54">
            <v>0.84</v>
          </cell>
          <cell r="C54">
            <v>0.16</v>
          </cell>
        </row>
        <row r="55">
          <cell r="A55" t="str">
            <v>Italy</v>
          </cell>
          <cell r="B55">
            <v>0.7</v>
          </cell>
          <cell r="C55">
            <v>0.3</v>
          </cell>
        </row>
        <row r="56">
          <cell r="A56" t="str">
            <v>United Arab Emirates</v>
          </cell>
          <cell r="B56">
            <v>0.56000000000000005</v>
          </cell>
          <cell r="C56">
            <v>0.44</v>
          </cell>
        </row>
        <row r="57">
          <cell r="A57" t="str">
            <v>Spain</v>
          </cell>
          <cell r="B57">
            <v>0.61</v>
          </cell>
          <cell r="C57">
            <v>0.39</v>
          </cell>
        </row>
        <row r="58">
          <cell r="A58" t="str">
            <v>Malaysia</v>
          </cell>
          <cell r="B58">
            <v>0.51</v>
          </cell>
          <cell r="C58">
            <v>0.49</v>
          </cell>
        </row>
        <row r="59">
          <cell r="A59" t="str">
            <v>Uruguay</v>
          </cell>
        </row>
        <row r="60">
          <cell r="A60" t="str">
            <v>Pakistan</v>
          </cell>
          <cell r="B60">
            <v>0.53</v>
          </cell>
          <cell r="C60">
            <v>0.47</v>
          </cell>
        </row>
        <row r="61">
          <cell r="A61" t="str">
            <v>Bangladesh</v>
          </cell>
        </row>
        <row r="62">
          <cell r="A62" t="str">
            <v>Algeria</v>
          </cell>
          <cell r="B62">
            <v>1</v>
          </cell>
        </row>
        <row r="63">
          <cell r="A63" t="str">
            <v>Egypt</v>
          </cell>
          <cell r="B63">
            <v>0.65</v>
          </cell>
          <cell r="C63">
            <v>0.35</v>
          </cell>
        </row>
        <row r="64">
          <cell r="A64" t="str">
            <v>Chile</v>
          </cell>
          <cell r="B64">
            <v>0.68</v>
          </cell>
          <cell r="C64">
            <v>0.32</v>
          </cell>
        </row>
        <row r="65">
          <cell r="A65" t="str">
            <v>Costa Rica</v>
          </cell>
        </row>
        <row r="66">
          <cell r="A66" t="str">
            <v>Vietnam</v>
          </cell>
          <cell r="B66">
            <v>0.56000000000000005</v>
          </cell>
          <cell r="C66">
            <v>0.44</v>
          </cell>
        </row>
        <row r="67">
          <cell r="A67" t="str">
            <v>Brazil</v>
          </cell>
          <cell r="B67">
            <v>0.69</v>
          </cell>
          <cell r="C67">
            <v>0.31</v>
          </cell>
        </row>
        <row r="68">
          <cell r="A68" t="str">
            <v>Morocco</v>
          </cell>
          <cell r="B68">
            <v>1</v>
          </cell>
        </row>
        <row r="69">
          <cell r="A69" t="str">
            <v>Argentina</v>
          </cell>
          <cell r="B69">
            <v>0.6</v>
          </cell>
          <cell r="C69">
            <v>0.4</v>
          </cell>
        </row>
        <row r="70">
          <cell r="A70" t="str">
            <v>Thailand</v>
          </cell>
          <cell r="B70">
            <v>0.59</v>
          </cell>
          <cell r="C70">
            <v>0.41</v>
          </cell>
        </row>
        <row r="71">
          <cell r="A71" t="str">
            <v>Iran</v>
          </cell>
          <cell r="B71">
            <v>0.51</v>
          </cell>
          <cell r="C71">
            <v>0.49</v>
          </cell>
        </row>
        <row r="72">
          <cell r="A72" t="str">
            <v>Mauritius</v>
          </cell>
        </row>
        <row r="73">
          <cell r="A73" t="str">
            <v>Turkey</v>
          </cell>
          <cell r="B73">
            <v>0.68</v>
          </cell>
          <cell r="C73">
            <v>0.32</v>
          </cell>
        </row>
        <row r="74">
          <cell r="A74" t="str">
            <v>Peru</v>
          </cell>
          <cell r="B74">
            <v>1</v>
          </cell>
        </row>
        <row r="75">
          <cell r="A75" t="str">
            <v>Indonesia</v>
          </cell>
          <cell r="B75">
            <v>0.68</v>
          </cell>
          <cell r="C75">
            <v>0.32</v>
          </cell>
        </row>
        <row r="76">
          <cell r="A76" t="str">
            <v>Ecuador</v>
          </cell>
        </row>
        <row r="77">
          <cell r="A77" t="str">
            <v>Colombia</v>
          </cell>
          <cell r="B77">
            <v>0.73</v>
          </cell>
          <cell r="C77">
            <v>0.27</v>
          </cell>
        </row>
        <row r="78">
          <cell r="A78" t="str">
            <v>Venezuela</v>
          </cell>
          <cell r="B78">
            <v>1</v>
          </cell>
        </row>
        <row r="79">
          <cell r="A79" t="str">
            <v>Saudi Arabia</v>
          </cell>
        </row>
        <row r="80">
          <cell r="A80" t="str">
            <v>Nigeria</v>
          </cell>
        </row>
        <row r="81">
          <cell r="A81" t="str">
            <v>San Marino</v>
          </cell>
        </row>
        <row r="82">
          <cell r="A82" t="str">
            <v>Greenland</v>
          </cell>
        </row>
        <row r="83">
          <cell r="A83" t="str">
            <v>Ã…land Islands</v>
          </cell>
        </row>
        <row r="84">
          <cell r="A84" t="str">
            <v>Guernsey</v>
          </cell>
        </row>
        <row r="85">
          <cell r="A85" t="str">
            <v>Liechtenstein</v>
          </cell>
        </row>
        <row r="86">
          <cell r="A86" t="str">
            <v>Monaco</v>
          </cell>
        </row>
        <row r="87">
          <cell r="A87" t="str">
            <v>Timor-Leste</v>
          </cell>
        </row>
        <row r="88">
          <cell r="A88" t="str">
            <v>Gambia</v>
          </cell>
        </row>
        <row r="89">
          <cell r="A89" t="str">
            <v>Benin</v>
          </cell>
        </row>
        <row r="90">
          <cell r="A90" t="str">
            <v>French Polynesia</v>
          </cell>
        </row>
        <row r="91">
          <cell r="A91" t="str">
            <v>Cayman Islands</v>
          </cell>
        </row>
        <row r="92">
          <cell r="A92" t="str">
            <v>Namibia</v>
          </cell>
        </row>
        <row r="93">
          <cell r="A93" t="str">
            <v>Lesotho</v>
          </cell>
        </row>
        <row r="94">
          <cell r="A94" t="str">
            <v>Iceland</v>
          </cell>
        </row>
        <row r="95">
          <cell r="A95" t="str">
            <v>Aruba</v>
          </cell>
        </row>
        <row r="96">
          <cell r="A96" t="str">
            <v>Madagascar</v>
          </cell>
        </row>
        <row r="97">
          <cell r="A97" t="str">
            <v>Malta</v>
          </cell>
        </row>
        <row r="98">
          <cell r="A98" t="str">
            <v>Papua New Guinea</v>
          </cell>
        </row>
        <row r="99">
          <cell r="A99" t="str">
            <v>Isle of Man</v>
          </cell>
        </row>
        <row r="100">
          <cell r="A100" t="str">
            <v>Togo</v>
          </cell>
        </row>
        <row r="101">
          <cell r="A101" t="str">
            <v>Belize</v>
          </cell>
        </row>
        <row r="102">
          <cell r="A102" t="str">
            <v>Burkina Faso</v>
          </cell>
        </row>
        <row r="103">
          <cell r="A103" t="str">
            <v>Malawi</v>
          </cell>
        </row>
        <row r="104">
          <cell r="A104" t="str">
            <v>Brunei</v>
          </cell>
        </row>
        <row r="105">
          <cell r="A105" t="str">
            <v>Macao</v>
          </cell>
        </row>
        <row r="106">
          <cell r="A106" t="str">
            <v>Gabon</v>
          </cell>
        </row>
        <row r="107">
          <cell r="A107" t="str">
            <v>Luxembourg</v>
          </cell>
        </row>
        <row r="108">
          <cell r="A108" t="str">
            <v>Laos</v>
          </cell>
        </row>
        <row r="109">
          <cell r="A109" t="str">
            <v>Ethiopia</v>
          </cell>
        </row>
        <row r="110">
          <cell r="A110" t="str">
            <v>Cuba</v>
          </cell>
        </row>
        <row r="111">
          <cell r="A111" t="str">
            <v>Tajikistan</v>
          </cell>
        </row>
        <row r="112">
          <cell r="A112" t="str">
            <v>Maldives</v>
          </cell>
        </row>
        <row r="113">
          <cell r="A113" t="str">
            <v>Congo - Kinshasa</v>
          </cell>
        </row>
        <row r="114">
          <cell r="A114" t="str">
            <v>Somalia</v>
          </cell>
        </row>
        <row r="115">
          <cell r="A115" t="str">
            <v>Guinea</v>
          </cell>
        </row>
        <row r="116">
          <cell r="A116" t="str">
            <v>Uzbekistan</v>
          </cell>
        </row>
        <row r="117">
          <cell r="A117" t="str">
            <v>Senegal</v>
          </cell>
        </row>
        <row r="118">
          <cell r="A118" t="str">
            <v>Rwanda</v>
          </cell>
        </row>
        <row r="119">
          <cell r="A119" t="str">
            <v>Afghanistan</v>
          </cell>
        </row>
        <row r="120">
          <cell r="A120" t="str">
            <v>Armenia</v>
          </cell>
        </row>
        <row r="121">
          <cell r="A121" t="str">
            <v>Myanmar (Burma)</v>
          </cell>
        </row>
        <row r="122">
          <cell r="A122" t="str">
            <v>Moldova</v>
          </cell>
        </row>
        <row r="123">
          <cell r="A123" t="str">
            <v>Bahrain</v>
          </cell>
        </row>
        <row r="124">
          <cell r="A124" t="str">
            <v>Guadeloupe</v>
          </cell>
        </row>
        <row r="125">
          <cell r="A125" t="str">
            <v>Nepal</v>
          </cell>
        </row>
        <row r="126">
          <cell r="A126" t="str">
            <v>Mongolia</v>
          </cell>
        </row>
        <row r="127">
          <cell r="A127" t="str">
            <v>Albania</v>
          </cell>
        </row>
        <row r="128">
          <cell r="A128" t="str">
            <v>Lebanon</v>
          </cell>
        </row>
        <row r="129">
          <cell r="A129" t="str">
            <v>Bolivia</v>
          </cell>
        </row>
        <row r="130">
          <cell r="A130" t="str">
            <v>Puerto Rico</v>
          </cell>
        </row>
        <row r="131">
          <cell r="A131" t="str">
            <v>Jordan</v>
          </cell>
        </row>
        <row r="132">
          <cell r="A132" t="str">
            <v>Georgia</v>
          </cell>
        </row>
        <row r="133">
          <cell r="A133" t="str">
            <v>Ghana</v>
          </cell>
        </row>
        <row r="134">
          <cell r="A134" t="str">
            <v>Jamaica</v>
          </cell>
        </row>
        <row r="135">
          <cell r="A135" t="str">
            <v>Azerbaijan</v>
          </cell>
        </row>
        <row r="136">
          <cell r="A136" t="str">
            <v>Palestine</v>
          </cell>
        </row>
        <row r="137">
          <cell r="A137" t="str">
            <v>Nicaragua</v>
          </cell>
        </row>
        <row r="138">
          <cell r="A138" t="str">
            <v>Cambodia</v>
          </cell>
        </row>
        <row r="139">
          <cell r="A139" t="str">
            <v>Uganda</v>
          </cell>
        </row>
        <row r="140">
          <cell r="A140" t="str">
            <v>Kenya</v>
          </cell>
        </row>
        <row r="141">
          <cell r="A141" t="str">
            <v>Kosovo</v>
          </cell>
        </row>
        <row r="142">
          <cell r="A142" t="str">
            <v>Montenegro</v>
          </cell>
        </row>
        <row r="143">
          <cell r="A143" t="str">
            <v>Dominican Republic</v>
          </cell>
        </row>
        <row r="144">
          <cell r="A144" t="str">
            <v>CÃ´te dâ€™Ivoire</v>
          </cell>
        </row>
        <row r="145">
          <cell r="A145" t="str">
            <v>Cameroon</v>
          </cell>
        </row>
        <row r="146">
          <cell r="A146" t="str">
            <v>Trinidad &amp; Tobago</v>
          </cell>
        </row>
        <row r="147">
          <cell r="A147" t="str">
            <v>Panama</v>
          </cell>
        </row>
        <row r="148">
          <cell r="A148" t="str">
            <v>RÃ©union</v>
          </cell>
        </row>
        <row r="149">
          <cell r="A149" t="str">
            <v>Libya</v>
          </cell>
        </row>
        <row r="150">
          <cell r="A150" t="str">
            <v>Tanzania</v>
          </cell>
        </row>
        <row r="151">
          <cell r="A151" t="str">
            <v>Kuwait</v>
          </cell>
        </row>
        <row r="152">
          <cell r="A152" t="str">
            <v>Paraguay</v>
          </cell>
        </row>
        <row r="153">
          <cell r="A153" t="str">
            <v>North Macedonia</v>
          </cell>
        </row>
        <row r="154">
          <cell r="A154" t="str">
            <v>Yemen</v>
          </cell>
        </row>
        <row r="155">
          <cell r="A155" t="str">
            <v>Kyrgyzstan</v>
          </cell>
        </row>
        <row r="156">
          <cell r="A156" t="str">
            <v>El Salvador</v>
          </cell>
        </row>
        <row r="157">
          <cell r="A157" t="str">
            <v>Guatemala</v>
          </cell>
        </row>
        <row r="158">
          <cell r="A158" t="str">
            <v>Sudan</v>
          </cell>
        </row>
        <row r="159">
          <cell r="A159" t="str">
            <v>Iraq</v>
          </cell>
        </row>
        <row r="160">
          <cell r="A160" t="str">
            <v>Oman</v>
          </cell>
        </row>
        <row r="161">
          <cell r="A161" t="str">
            <v>Honduras</v>
          </cell>
        </row>
        <row r="162">
          <cell r="A162" t="str">
            <v>Syria</v>
          </cell>
        </row>
        <row r="163">
          <cell r="A163" t="str">
            <v>Angola</v>
          </cell>
        </row>
        <row r="164">
          <cell r="A164" t="str">
            <v>Anguilla</v>
          </cell>
        </row>
        <row r="165">
          <cell r="A165" t="str">
            <v>Andorra</v>
          </cell>
        </row>
        <row r="166">
          <cell r="A166" t="str">
            <v>American Samoa</v>
          </cell>
        </row>
        <row r="167">
          <cell r="A167" t="str">
            <v>Antarctica</v>
          </cell>
        </row>
        <row r="168">
          <cell r="A168" t="str">
            <v>French Southern Territories</v>
          </cell>
        </row>
        <row r="169">
          <cell r="A169" t="str">
            <v>Antigua &amp; Barbuda</v>
          </cell>
        </row>
        <row r="170">
          <cell r="A170" t="str">
            <v>Burundi</v>
          </cell>
        </row>
        <row r="171">
          <cell r="A171" t="str">
            <v>Caribbean Netherlands</v>
          </cell>
        </row>
        <row r="172">
          <cell r="A172" t="str">
            <v>Bahamas</v>
          </cell>
        </row>
        <row r="173">
          <cell r="A173" t="str">
            <v>St. BarthÃ©lemy</v>
          </cell>
        </row>
        <row r="174">
          <cell r="A174" t="str">
            <v>Bermuda</v>
          </cell>
        </row>
        <row r="175">
          <cell r="A175" t="str">
            <v>Barbados</v>
          </cell>
        </row>
        <row r="176">
          <cell r="A176" t="str">
            <v>Bhutan</v>
          </cell>
        </row>
        <row r="177">
          <cell r="A177" t="str">
            <v>Bouvet Island</v>
          </cell>
        </row>
        <row r="178">
          <cell r="A178" t="str">
            <v>Botswana</v>
          </cell>
        </row>
        <row r="179">
          <cell r="A179" t="str">
            <v>Central African Republic</v>
          </cell>
        </row>
        <row r="180">
          <cell r="A180" t="str">
            <v>Cocos (Keeling) Islands</v>
          </cell>
        </row>
        <row r="181">
          <cell r="A181" t="str">
            <v>Congo - Brazzaville</v>
          </cell>
        </row>
        <row r="182">
          <cell r="A182" t="str">
            <v>Cook Islands</v>
          </cell>
        </row>
        <row r="183">
          <cell r="A183" t="str">
            <v>Comoros</v>
          </cell>
        </row>
        <row r="184">
          <cell r="A184" t="str">
            <v>Cape Verde</v>
          </cell>
        </row>
        <row r="185">
          <cell r="A185" t="str">
            <v>CuraÃ§ao</v>
          </cell>
        </row>
        <row r="186">
          <cell r="A186" t="str">
            <v>Christmas Island</v>
          </cell>
        </row>
        <row r="187">
          <cell r="A187" t="str">
            <v>Djibouti</v>
          </cell>
        </row>
        <row r="188">
          <cell r="A188" t="str">
            <v>Dominica</v>
          </cell>
        </row>
        <row r="189">
          <cell r="A189" t="str">
            <v>Eritrea</v>
          </cell>
        </row>
        <row r="190">
          <cell r="A190" t="str">
            <v>Western Sahara</v>
          </cell>
        </row>
        <row r="191">
          <cell r="A191" t="str">
            <v>Fiji</v>
          </cell>
        </row>
        <row r="192">
          <cell r="A192" t="str">
            <v>Falkland Islands (Islas Malvinas)</v>
          </cell>
        </row>
        <row r="193">
          <cell r="A193" t="str">
            <v>Faroe Islands</v>
          </cell>
        </row>
        <row r="194">
          <cell r="A194" t="str">
            <v>Micronesia</v>
          </cell>
        </row>
        <row r="195">
          <cell r="A195" t="str">
            <v>Gibraltar</v>
          </cell>
        </row>
        <row r="196">
          <cell r="A196" t="str">
            <v>Guinea-Bissau</v>
          </cell>
        </row>
        <row r="197">
          <cell r="A197" t="str">
            <v>Equatorial Guinea</v>
          </cell>
        </row>
        <row r="198">
          <cell r="A198" t="str">
            <v>Grenada</v>
          </cell>
        </row>
        <row r="199">
          <cell r="A199" t="str">
            <v>French Guiana</v>
          </cell>
        </row>
        <row r="200">
          <cell r="A200" t="str">
            <v>Guam</v>
          </cell>
        </row>
        <row r="201">
          <cell r="A201" t="str">
            <v>Guyana</v>
          </cell>
        </row>
        <row r="202">
          <cell r="A202" t="str">
            <v>Heard &amp; McDonald Islands</v>
          </cell>
        </row>
        <row r="203">
          <cell r="A203" t="str">
            <v>Haiti</v>
          </cell>
        </row>
        <row r="204">
          <cell r="A204" t="str">
            <v>British Indian Ocean Territory</v>
          </cell>
        </row>
        <row r="205">
          <cell r="A205" t="str">
            <v>Jersey</v>
          </cell>
        </row>
        <row r="206">
          <cell r="A206" t="str">
            <v>Kiribati</v>
          </cell>
        </row>
        <row r="207">
          <cell r="A207" t="str">
            <v>St. Kitts &amp; Nevis</v>
          </cell>
        </row>
        <row r="208">
          <cell r="A208" t="str">
            <v>Liberia</v>
          </cell>
        </row>
        <row r="209">
          <cell r="A209" t="str">
            <v>St. Lucia</v>
          </cell>
        </row>
        <row r="210">
          <cell r="A210" t="str">
            <v>St. Martin</v>
          </cell>
        </row>
        <row r="211">
          <cell r="A211" t="str">
            <v>Marshall Islands</v>
          </cell>
        </row>
        <row r="212">
          <cell r="A212" t="str">
            <v>Mali</v>
          </cell>
        </row>
        <row r="213">
          <cell r="A213" t="str">
            <v>Northern Mariana Islands</v>
          </cell>
        </row>
        <row r="214">
          <cell r="A214" t="str">
            <v>Mozambique</v>
          </cell>
        </row>
        <row r="215">
          <cell r="A215" t="str">
            <v>Mauritania</v>
          </cell>
        </row>
        <row r="216">
          <cell r="A216" t="str">
            <v>Montserrat</v>
          </cell>
        </row>
        <row r="217">
          <cell r="A217" t="str">
            <v>Martinique</v>
          </cell>
        </row>
        <row r="218">
          <cell r="A218" t="str">
            <v>Mayotte</v>
          </cell>
        </row>
        <row r="219">
          <cell r="A219" t="str">
            <v>New Caledonia</v>
          </cell>
        </row>
        <row r="220">
          <cell r="A220" t="str">
            <v>Niger</v>
          </cell>
        </row>
        <row r="221">
          <cell r="A221" t="str">
            <v>Norfolk Island</v>
          </cell>
        </row>
        <row r="222">
          <cell r="A222" t="str">
            <v>Niue</v>
          </cell>
        </row>
        <row r="223">
          <cell r="A223" t="str">
            <v>Nauru</v>
          </cell>
        </row>
        <row r="224">
          <cell r="A224" t="str">
            <v>Pitcairn Islands</v>
          </cell>
        </row>
        <row r="225">
          <cell r="A225" t="str">
            <v>Palau</v>
          </cell>
        </row>
        <row r="226">
          <cell r="A226" t="str">
            <v>North Korea</v>
          </cell>
        </row>
        <row r="227">
          <cell r="A227" t="str">
            <v>South Georgia &amp; South Sandwich Islands</v>
          </cell>
        </row>
        <row r="228">
          <cell r="A228" t="str">
            <v>Svalbard &amp; Jan Mayen</v>
          </cell>
        </row>
        <row r="229">
          <cell r="A229" t="str">
            <v>Solomon Islands</v>
          </cell>
        </row>
        <row r="230">
          <cell r="A230" t="str">
            <v>Sierra Leone</v>
          </cell>
        </row>
        <row r="231">
          <cell r="A231" t="str">
            <v>St. Pierre &amp; Miquelon</v>
          </cell>
        </row>
        <row r="232">
          <cell r="A232" t="str">
            <v>South Sudan</v>
          </cell>
        </row>
        <row r="233">
          <cell r="A233" t="str">
            <v>SÃ£o TomÃ© &amp; PrÃ­ncipe</v>
          </cell>
        </row>
        <row r="234">
          <cell r="A234" t="str">
            <v>Suriname</v>
          </cell>
        </row>
        <row r="235">
          <cell r="A235" t="str">
            <v>Eswatini</v>
          </cell>
        </row>
        <row r="236">
          <cell r="A236" t="str">
            <v>Sint Maarten</v>
          </cell>
        </row>
        <row r="237">
          <cell r="A237" t="str">
            <v>Seychelles</v>
          </cell>
        </row>
        <row r="238">
          <cell r="A238" t="str">
            <v>Turks &amp; Caicos Islands</v>
          </cell>
        </row>
        <row r="239">
          <cell r="A239" t="str">
            <v>Chad</v>
          </cell>
        </row>
        <row r="240">
          <cell r="A240" t="str">
            <v>Tokelau</v>
          </cell>
        </row>
        <row r="241">
          <cell r="A241" t="str">
            <v>Turkmenistan</v>
          </cell>
        </row>
        <row r="242">
          <cell r="A242" t="str">
            <v>Tonga</v>
          </cell>
        </row>
        <row r="243">
          <cell r="A243" t="str">
            <v>Tuvalu</v>
          </cell>
        </row>
        <row r="244">
          <cell r="A244" t="str">
            <v>U.S. Outlying Islands</v>
          </cell>
        </row>
        <row r="245">
          <cell r="A245" t="str">
            <v>Vatican City</v>
          </cell>
        </row>
        <row r="246">
          <cell r="A246" t="str">
            <v>St. Vincent &amp; Grenadines</v>
          </cell>
        </row>
        <row r="247">
          <cell r="A247" t="str">
            <v>British Virgin Islands</v>
          </cell>
        </row>
        <row r="248">
          <cell r="A248" t="str">
            <v>U.S. Virgin Islands</v>
          </cell>
        </row>
        <row r="249">
          <cell r="A249" t="str">
            <v>Vanuatu</v>
          </cell>
        </row>
        <row r="250">
          <cell r="A250" t="str">
            <v>Wallis &amp; Futuna</v>
          </cell>
        </row>
        <row r="251">
          <cell r="A251" t="str">
            <v>Samoa</v>
          </cell>
        </row>
        <row r="252">
          <cell r="A252" t="str">
            <v>Zambia</v>
          </cell>
        </row>
        <row r="253">
          <cell r="A253" t="str">
            <v>Zimbabwe</v>
          </cell>
        </row>
      </sheetData>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10)"/>
    </sheetNames>
    <sheetDataSet>
      <sheetData sheetId="0" refreshError="1">
        <row r="1">
          <cell r="A1" t="str">
            <v>Category: All categories</v>
          </cell>
        </row>
        <row r="3">
          <cell r="A3" t="str">
            <v>Country</v>
          </cell>
          <cell r="B3" t="str">
            <v>Segmentation fault: (2018)</v>
          </cell>
          <cell r="C3" t="str">
            <v>Dijkstra's algorithm: (2018)</v>
          </cell>
        </row>
        <row r="4">
          <cell r="A4" t="str">
            <v>China</v>
          </cell>
          <cell r="B4">
            <v>0.75</v>
          </cell>
          <cell r="C4">
            <v>0.25</v>
          </cell>
        </row>
        <row r="5">
          <cell r="A5" t="str">
            <v>South Korea</v>
          </cell>
          <cell r="B5">
            <v>0.77</v>
          </cell>
          <cell r="C5">
            <v>0.23</v>
          </cell>
        </row>
        <row r="6">
          <cell r="A6" t="str">
            <v>St. Helena</v>
          </cell>
          <cell r="B6">
            <v>0.63</v>
          </cell>
          <cell r="C6">
            <v>0.37</v>
          </cell>
        </row>
        <row r="7">
          <cell r="A7" t="str">
            <v>Cuba</v>
          </cell>
        </row>
        <row r="8">
          <cell r="A8" t="str">
            <v>Singapore</v>
          </cell>
          <cell r="B8">
            <v>0.52</v>
          </cell>
          <cell r="C8">
            <v>0.48</v>
          </cell>
        </row>
        <row r="9">
          <cell r="A9" t="str">
            <v>Cameroon</v>
          </cell>
        </row>
        <row r="10">
          <cell r="A10" t="str">
            <v>Israel</v>
          </cell>
          <cell r="B10">
            <v>0.6</v>
          </cell>
          <cell r="C10">
            <v>0.4</v>
          </cell>
        </row>
        <row r="11">
          <cell r="A11" t="str">
            <v>Netherlands</v>
          </cell>
          <cell r="B11">
            <v>0.39</v>
          </cell>
          <cell r="C11">
            <v>0.61</v>
          </cell>
        </row>
        <row r="12">
          <cell r="A12" t="str">
            <v>Myanmar (Burma)</v>
          </cell>
        </row>
        <row r="13">
          <cell r="A13" t="str">
            <v>Estonia</v>
          </cell>
          <cell r="B13">
            <v>0.69</v>
          </cell>
          <cell r="C13">
            <v>0.31</v>
          </cell>
        </row>
        <row r="14">
          <cell r="A14" t="str">
            <v>Ethiopia</v>
          </cell>
        </row>
        <row r="15">
          <cell r="A15" t="str">
            <v>Germany</v>
          </cell>
          <cell r="B15">
            <v>0.64</v>
          </cell>
          <cell r="C15">
            <v>0.36</v>
          </cell>
        </row>
        <row r="16">
          <cell r="A16" t="str">
            <v>Bangladesh</v>
          </cell>
          <cell r="B16">
            <v>0.23</v>
          </cell>
          <cell r="C16">
            <v>0.77</v>
          </cell>
        </row>
        <row r="17">
          <cell r="A17" t="str">
            <v>Nepal</v>
          </cell>
          <cell r="C17">
            <v>1</v>
          </cell>
        </row>
        <row r="18">
          <cell r="A18" t="str">
            <v>Austria</v>
          </cell>
          <cell r="B18">
            <v>0.67</v>
          </cell>
          <cell r="C18">
            <v>0.33</v>
          </cell>
        </row>
        <row r="19">
          <cell r="A19" t="str">
            <v>Switzerland</v>
          </cell>
          <cell r="B19">
            <v>0.63</v>
          </cell>
          <cell r="C19">
            <v>0.37</v>
          </cell>
        </row>
        <row r="20">
          <cell r="A20" t="str">
            <v>Czechia</v>
          </cell>
          <cell r="B20">
            <v>0.56000000000000005</v>
          </cell>
          <cell r="C20">
            <v>0.44</v>
          </cell>
        </row>
        <row r="21">
          <cell r="A21" t="str">
            <v>Hong Kong</v>
          </cell>
          <cell r="B21">
            <v>0.56999999999999995</v>
          </cell>
          <cell r="C21">
            <v>0.43</v>
          </cell>
        </row>
        <row r="22">
          <cell r="A22" t="str">
            <v>Tunisia</v>
          </cell>
          <cell r="B22">
            <v>0.38</v>
          </cell>
          <cell r="C22">
            <v>0.62</v>
          </cell>
        </row>
        <row r="23">
          <cell r="A23" t="str">
            <v>Cyprus</v>
          </cell>
        </row>
        <row r="24">
          <cell r="A24" t="str">
            <v>Taiwan</v>
          </cell>
          <cell r="B24">
            <v>0.62</v>
          </cell>
          <cell r="C24">
            <v>0.38</v>
          </cell>
        </row>
        <row r="25">
          <cell r="A25" t="str">
            <v>Canada</v>
          </cell>
          <cell r="B25">
            <v>0.56999999999999995</v>
          </cell>
          <cell r="C25">
            <v>0.43</v>
          </cell>
        </row>
        <row r="26">
          <cell r="A26" t="str">
            <v>India</v>
          </cell>
          <cell r="B26">
            <v>0.4</v>
          </cell>
          <cell r="C26">
            <v>0.6</v>
          </cell>
        </row>
        <row r="27">
          <cell r="A27" t="str">
            <v>Finland</v>
          </cell>
          <cell r="B27">
            <v>0.57999999999999996</v>
          </cell>
          <cell r="C27">
            <v>0.42</v>
          </cell>
        </row>
        <row r="28">
          <cell r="A28" t="str">
            <v>North Macedonia</v>
          </cell>
        </row>
        <row r="29">
          <cell r="A29" t="str">
            <v>Sweden</v>
          </cell>
          <cell r="B29">
            <v>0.57999999999999996</v>
          </cell>
          <cell r="C29">
            <v>0.42</v>
          </cell>
        </row>
        <row r="30">
          <cell r="A30" t="str">
            <v>Poland</v>
          </cell>
          <cell r="B30">
            <v>0.64</v>
          </cell>
          <cell r="C30">
            <v>0.36</v>
          </cell>
        </row>
        <row r="31">
          <cell r="A31" t="str">
            <v>Belarus</v>
          </cell>
          <cell r="B31">
            <v>0.57999999999999996</v>
          </cell>
          <cell r="C31">
            <v>0.42</v>
          </cell>
        </row>
        <row r="32">
          <cell r="A32" t="str">
            <v>Norway</v>
          </cell>
          <cell r="B32">
            <v>0.56999999999999995</v>
          </cell>
          <cell r="C32">
            <v>0.43</v>
          </cell>
        </row>
        <row r="33">
          <cell r="A33" t="str">
            <v>Pakistan</v>
          </cell>
          <cell r="B33">
            <v>0.28999999999999998</v>
          </cell>
          <cell r="C33">
            <v>0.71</v>
          </cell>
        </row>
        <row r="34">
          <cell r="A34" t="str">
            <v>Syria</v>
          </cell>
        </row>
        <row r="35">
          <cell r="A35" t="str">
            <v>Russia</v>
          </cell>
          <cell r="B35">
            <v>0.63</v>
          </cell>
          <cell r="C35">
            <v>0.37</v>
          </cell>
        </row>
        <row r="36">
          <cell r="A36" t="str">
            <v>Romania</v>
          </cell>
          <cell r="B36">
            <v>0.48</v>
          </cell>
          <cell r="C36">
            <v>0.52</v>
          </cell>
        </row>
        <row r="37">
          <cell r="A37" t="str">
            <v>United States</v>
          </cell>
          <cell r="B37">
            <v>0.56999999999999995</v>
          </cell>
          <cell r="C37">
            <v>0.43</v>
          </cell>
        </row>
        <row r="38">
          <cell r="A38" t="str">
            <v>Japan</v>
          </cell>
          <cell r="B38">
            <v>0.79</v>
          </cell>
          <cell r="C38">
            <v>0.21</v>
          </cell>
        </row>
        <row r="39">
          <cell r="A39" t="str">
            <v>Lithuania</v>
          </cell>
        </row>
        <row r="40">
          <cell r="A40" t="str">
            <v>New Zealand</v>
          </cell>
          <cell r="B40">
            <v>0.62</v>
          </cell>
          <cell r="C40">
            <v>0.38</v>
          </cell>
        </row>
        <row r="41">
          <cell r="A41" t="str">
            <v>Bosnia &amp; Herzegovina</v>
          </cell>
        </row>
        <row r="42">
          <cell r="A42" t="str">
            <v>Australia</v>
          </cell>
          <cell r="B42">
            <v>0.56999999999999995</v>
          </cell>
          <cell r="C42">
            <v>0.43</v>
          </cell>
        </row>
        <row r="43">
          <cell r="A43" t="str">
            <v>Slovenia</v>
          </cell>
          <cell r="B43">
            <v>0.65</v>
          </cell>
          <cell r="C43">
            <v>0.35</v>
          </cell>
        </row>
        <row r="44">
          <cell r="A44" t="str">
            <v>Hungary</v>
          </cell>
          <cell r="B44">
            <v>0.56999999999999995</v>
          </cell>
          <cell r="C44">
            <v>0.43</v>
          </cell>
        </row>
        <row r="45">
          <cell r="A45" t="str">
            <v>Zimbabwe</v>
          </cell>
        </row>
        <row r="46">
          <cell r="A46" t="str">
            <v>Portugal</v>
          </cell>
          <cell r="B46">
            <v>0.55000000000000004</v>
          </cell>
          <cell r="C46">
            <v>0.45</v>
          </cell>
        </row>
        <row r="47">
          <cell r="A47" t="str">
            <v>Belgium</v>
          </cell>
          <cell r="B47">
            <v>0.64</v>
          </cell>
          <cell r="C47">
            <v>0.36</v>
          </cell>
        </row>
        <row r="48">
          <cell r="A48" t="str">
            <v>Ireland</v>
          </cell>
          <cell r="B48">
            <v>0.42</v>
          </cell>
          <cell r="C48">
            <v>0.57999999999999996</v>
          </cell>
        </row>
        <row r="49">
          <cell r="A49" t="str">
            <v>Serbia</v>
          </cell>
          <cell r="B49">
            <v>0.66</v>
          </cell>
          <cell r="C49">
            <v>0.34</v>
          </cell>
        </row>
        <row r="50">
          <cell r="A50" t="str">
            <v>Sri Lanka</v>
          </cell>
        </row>
        <row r="51">
          <cell r="A51" t="str">
            <v>Bulgaria</v>
          </cell>
          <cell r="B51">
            <v>0.61</v>
          </cell>
          <cell r="C51">
            <v>0.39</v>
          </cell>
        </row>
        <row r="52">
          <cell r="A52" t="str">
            <v>France</v>
          </cell>
          <cell r="B52">
            <v>0.54</v>
          </cell>
          <cell r="C52">
            <v>0.46</v>
          </cell>
        </row>
        <row r="53">
          <cell r="A53" t="str">
            <v>Bolivia</v>
          </cell>
          <cell r="C53">
            <v>1</v>
          </cell>
        </row>
        <row r="54">
          <cell r="A54" t="str">
            <v>Qatar</v>
          </cell>
        </row>
        <row r="55">
          <cell r="A55" t="str">
            <v>Latvia</v>
          </cell>
        </row>
        <row r="56">
          <cell r="A56" t="str">
            <v>Albania</v>
          </cell>
        </row>
        <row r="57">
          <cell r="A57" t="str">
            <v>South Africa</v>
          </cell>
          <cell r="B57">
            <v>0.68</v>
          </cell>
          <cell r="C57">
            <v>0.32</v>
          </cell>
        </row>
        <row r="58">
          <cell r="A58" t="str">
            <v>United Kingdom</v>
          </cell>
          <cell r="B58">
            <v>0.56000000000000005</v>
          </cell>
          <cell r="C58">
            <v>0.44</v>
          </cell>
        </row>
        <row r="59">
          <cell r="A59" t="str">
            <v>Slovakia</v>
          </cell>
          <cell r="B59">
            <v>0.53</v>
          </cell>
          <cell r="C59">
            <v>0.47</v>
          </cell>
        </row>
        <row r="60">
          <cell r="A60" t="str">
            <v>Denmark</v>
          </cell>
          <cell r="B60">
            <v>0.52</v>
          </cell>
          <cell r="C60">
            <v>0.48</v>
          </cell>
        </row>
        <row r="61">
          <cell r="A61" t="str">
            <v>Croatia</v>
          </cell>
          <cell r="B61">
            <v>0.57999999999999996</v>
          </cell>
          <cell r="C61">
            <v>0.42</v>
          </cell>
        </row>
        <row r="62">
          <cell r="A62" t="str">
            <v>Ukraine</v>
          </cell>
          <cell r="B62">
            <v>0.63</v>
          </cell>
          <cell r="C62">
            <v>0.37</v>
          </cell>
        </row>
        <row r="63">
          <cell r="A63" t="str">
            <v>Greece</v>
          </cell>
          <cell r="B63">
            <v>0.49</v>
          </cell>
          <cell r="C63">
            <v>0.51</v>
          </cell>
        </row>
        <row r="64">
          <cell r="A64" t="str">
            <v>Morocco</v>
          </cell>
          <cell r="B64">
            <v>0.35</v>
          </cell>
          <cell r="C64">
            <v>0.65</v>
          </cell>
        </row>
        <row r="65">
          <cell r="A65" t="str">
            <v>Philippines</v>
          </cell>
          <cell r="B65">
            <v>0.54</v>
          </cell>
          <cell r="C65">
            <v>0.46</v>
          </cell>
        </row>
        <row r="66">
          <cell r="A66" t="str">
            <v>Lebanon</v>
          </cell>
        </row>
        <row r="67">
          <cell r="A67" t="str">
            <v>Kazakhstan</v>
          </cell>
          <cell r="B67">
            <v>0.63</v>
          </cell>
          <cell r="C67">
            <v>0.37</v>
          </cell>
        </row>
        <row r="68">
          <cell r="A68" t="str">
            <v>Mexico</v>
          </cell>
          <cell r="B68">
            <v>0.59</v>
          </cell>
          <cell r="C68">
            <v>0.41</v>
          </cell>
        </row>
        <row r="69">
          <cell r="A69" t="str">
            <v>Italy</v>
          </cell>
          <cell r="B69">
            <v>0.54</v>
          </cell>
          <cell r="C69">
            <v>0.46</v>
          </cell>
        </row>
        <row r="70">
          <cell r="A70" t="str">
            <v>United Arab Emirates</v>
          </cell>
        </row>
        <row r="71">
          <cell r="A71" t="str">
            <v>Peru</v>
          </cell>
          <cell r="B71">
            <v>0.37</v>
          </cell>
          <cell r="C71">
            <v>0.63</v>
          </cell>
        </row>
        <row r="72">
          <cell r="A72" t="str">
            <v>Spain</v>
          </cell>
          <cell r="B72">
            <v>0.59</v>
          </cell>
          <cell r="C72">
            <v>0.41</v>
          </cell>
        </row>
        <row r="73">
          <cell r="A73" t="str">
            <v>Chile</v>
          </cell>
          <cell r="B73">
            <v>0.44</v>
          </cell>
          <cell r="C73">
            <v>0.56000000000000005</v>
          </cell>
        </row>
        <row r="74">
          <cell r="A74" t="str">
            <v>Vietnam</v>
          </cell>
          <cell r="B74">
            <v>0.43</v>
          </cell>
          <cell r="C74">
            <v>0.56999999999999995</v>
          </cell>
        </row>
        <row r="75">
          <cell r="A75" t="str">
            <v>Malaysia</v>
          </cell>
          <cell r="B75">
            <v>0.54</v>
          </cell>
          <cell r="C75">
            <v>0.46</v>
          </cell>
        </row>
        <row r="76">
          <cell r="A76" t="str">
            <v>Algeria</v>
          </cell>
          <cell r="B76">
            <v>0.45</v>
          </cell>
          <cell r="C76">
            <v>0.55000000000000004</v>
          </cell>
        </row>
        <row r="77">
          <cell r="A77" t="str">
            <v>Uruguay</v>
          </cell>
        </row>
        <row r="78">
          <cell r="A78" t="str">
            <v>Ecuador</v>
          </cell>
        </row>
        <row r="79">
          <cell r="A79" t="str">
            <v>Iran</v>
          </cell>
          <cell r="B79">
            <v>0.42</v>
          </cell>
          <cell r="C79">
            <v>0.57999999999999996</v>
          </cell>
        </row>
        <row r="80">
          <cell r="A80" t="str">
            <v>Indonesia</v>
          </cell>
          <cell r="B80">
            <v>0.39</v>
          </cell>
          <cell r="C80">
            <v>0.61</v>
          </cell>
        </row>
        <row r="81">
          <cell r="A81" t="str">
            <v>Costa Rica</v>
          </cell>
        </row>
        <row r="82">
          <cell r="A82" t="str">
            <v>Guatemala</v>
          </cell>
        </row>
        <row r="83">
          <cell r="A83" t="str">
            <v>Egypt</v>
          </cell>
          <cell r="B83">
            <v>0.56999999999999995</v>
          </cell>
          <cell r="C83">
            <v>0.43</v>
          </cell>
        </row>
        <row r="84">
          <cell r="A84" t="str">
            <v>Colombia</v>
          </cell>
          <cell r="B84">
            <v>0.38</v>
          </cell>
          <cell r="C84">
            <v>0.62</v>
          </cell>
        </row>
        <row r="85">
          <cell r="A85" t="str">
            <v>Brazil</v>
          </cell>
          <cell r="B85">
            <v>0.57999999999999996</v>
          </cell>
          <cell r="C85">
            <v>0.42</v>
          </cell>
        </row>
        <row r="86">
          <cell r="A86" t="str">
            <v>Argentina</v>
          </cell>
          <cell r="B86">
            <v>0.55000000000000004</v>
          </cell>
          <cell r="C86">
            <v>0.45</v>
          </cell>
        </row>
        <row r="87">
          <cell r="A87" t="str">
            <v>Thailand</v>
          </cell>
          <cell r="B87">
            <v>0.66</v>
          </cell>
          <cell r="C87">
            <v>0.34</v>
          </cell>
        </row>
        <row r="88">
          <cell r="A88" t="str">
            <v>Turkey</v>
          </cell>
          <cell r="B88">
            <v>0.6</v>
          </cell>
          <cell r="C88">
            <v>0.4</v>
          </cell>
        </row>
        <row r="89">
          <cell r="A89" t="str">
            <v>Sudan</v>
          </cell>
        </row>
        <row r="90">
          <cell r="A90" t="str">
            <v>Nigeria</v>
          </cell>
        </row>
        <row r="91">
          <cell r="A91" t="str">
            <v>Saudi Arabia</v>
          </cell>
          <cell r="B91">
            <v>0.41</v>
          </cell>
          <cell r="C91">
            <v>0.59</v>
          </cell>
        </row>
        <row r="92">
          <cell r="A92" t="str">
            <v>Venezuela</v>
          </cell>
          <cell r="B92">
            <v>0.6</v>
          </cell>
          <cell r="C92">
            <v>0.4</v>
          </cell>
        </row>
        <row r="93">
          <cell r="A93" t="str">
            <v>San Marino</v>
          </cell>
        </row>
        <row r="94">
          <cell r="A94" t="str">
            <v>Greenland</v>
          </cell>
        </row>
        <row r="95">
          <cell r="A95" t="str">
            <v>Ã…land Islands</v>
          </cell>
        </row>
        <row r="96">
          <cell r="A96" t="str">
            <v>Guernsey</v>
          </cell>
        </row>
        <row r="97">
          <cell r="A97" t="str">
            <v>Liechtenstein</v>
          </cell>
        </row>
        <row r="98">
          <cell r="A98" t="str">
            <v>Monaco</v>
          </cell>
        </row>
        <row r="99">
          <cell r="A99" t="str">
            <v>Timor-Leste</v>
          </cell>
        </row>
        <row r="100">
          <cell r="A100" t="str">
            <v>Gambia</v>
          </cell>
        </row>
        <row r="101">
          <cell r="A101" t="str">
            <v>Benin</v>
          </cell>
        </row>
        <row r="102">
          <cell r="A102" t="str">
            <v>French Polynesia</v>
          </cell>
        </row>
        <row r="103">
          <cell r="A103" t="str">
            <v>Cayman Islands</v>
          </cell>
        </row>
        <row r="104">
          <cell r="A104" t="str">
            <v>Namibia</v>
          </cell>
        </row>
        <row r="105">
          <cell r="A105" t="str">
            <v>Lesotho</v>
          </cell>
        </row>
        <row r="106">
          <cell r="A106" t="str">
            <v>Iceland</v>
          </cell>
        </row>
        <row r="107">
          <cell r="A107" t="str">
            <v>Aruba</v>
          </cell>
        </row>
        <row r="108">
          <cell r="A108" t="str">
            <v>Madagascar</v>
          </cell>
        </row>
        <row r="109">
          <cell r="A109" t="str">
            <v>Malta</v>
          </cell>
        </row>
        <row r="110">
          <cell r="A110" t="str">
            <v>Papua New Guinea</v>
          </cell>
        </row>
        <row r="111">
          <cell r="A111" t="str">
            <v>Isle of Man</v>
          </cell>
        </row>
        <row r="112">
          <cell r="A112" t="str">
            <v>Togo</v>
          </cell>
        </row>
        <row r="113">
          <cell r="A113" t="str">
            <v>Belize</v>
          </cell>
        </row>
        <row r="114">
          <cell r="A114" t="str">
            <v>Burkina Faso</v>
          </cell>
        </row>
        <row r="115">
          <cell r="A115" t="str">
            <v>Malawi</v>
          </cell>
        </row>
        <row r="116">
          <cell r="A116" t="str">
            <v>Brunei</v>
          </cell>
        </row>
        <row r="117">
          <cell r="A117" t="str">
            <v>Macao</v>
          </cell>
        </row>
        <row r="118">
          <cell r="A118" t="str">
            <v>Gabon</v>
          </cell>
        </row>
        <row r="119">
          <cell r="A119" t="str">
            <v>Luxembourg</v>
          </cell>
        </row>
        <row r="120">
          <cell r="A120" t="str">
            <v>Laos</v>
          </cell>
        </row>
        <row r="121">
          <cell r="A121" t="str">
            <v>Tajikistan</v>
          </cell>
        </row>
        <row r="122">
          <cell r="A122" t="str">
            <v>Maldives</v>
          </cell>
        </row>
        <row r="123">
          <cell r="A123" t="str">
            <v>Congo - Kinshasa</v>
          </cell>
        </row>
        <row r="124">
          <cell r="A124" t="str">
            <v>Somalia</v>
          </cell>
        </row>
        <row r="125">
          <cell r="A125" t="str">
            <v>Guinea</v>
          </cell>
        </row>
        <row r="126">
          <cell r="A126" t="str">
            <v>Uzbekistan</v>
          </cell>
        </row>
        <row r="127">
          <cell r="A127" t="str">
            <v>Senegal</v>
          </cell>
        </row>
        <row r="128">
          <cell r="A128" t="str">
            <v>Rwanda</v>
          </cell>
        </row>
        <row r="129">
          <cell r="A129" t="str">
            <v>Afghanistan</v>
          </cell>
        </row>
        <row r="130">
          <cell r="A130" t="str">
            <v>Armenia</v>
          </cell>
        </row>
        <row r="131">
          <cell r="A131" t="str">
            <v>Moldova</v>
          </cell>
        </row>
        <row r="132">
          <cell r="A132" t="str">
            <v>Bahrain</v>
          </cell>
        </row>
        <row r="133">
          <cell r="A133" t="str">
            <v>Guadeloupe</v>
          </cell>
        </row>
        <row r="134">
          <cell r="A134" t="str">
            <v>Mongolia</v>
          </cell>
        </row>
        <row r="135">
          <cell r="A135" t="str">
            <v>Puerto Rico</v>
          </cell>
        </row>
        <row r="136">
          <cell r="A136" t="str">
            <v>Jordan</v>
          </cell>
        </row>
        <row r="137">
          <cell r="A137" t="str">
            <v>Georgia</v>
          </cell>
        </row>
        <row r="138">
          <cell r="A138" t="str">
            <v>Ghana</v>
          </cell>
        </row>
        <row r="139">
          <cell r="A139" t="str">
            <v>Jamaica</v>
          </cell>
        </row>
        <row r="140">
          <cell r="A140" t="str">
            <v>Azerbaijan</v>
          </cell>
        </row>
        <row r="141">
          <cell r="A141" t="str">
            <v>Palestine</v>
          </cell>
        </row>
        <row r="142">
          <cell r="A142" t="str">
            <v>Nicaragua</v>
          </cell>
        </row>
        <row r="143">
          <cell r="A143" t="str">
            <v>Cambodia</v>
          </cell>
        </row>
        <row r="144">
          <cell r="A144" t="str">
            <v>Uganda</v>
          </cell>
        </row>
        <row r="145">
          <cell r="A145" t="str">
            <v>Kenya</v>
          </cell>
        </row>
        <row r="146">
          <cell r="A146" t="str">
            <v>Kosovo</v>
          </cell>
        </row>
        <row r="147">
          <cell r="A147" t="str">
            <v>Montenegro</v>
          </cell>
        </row>
        <row r="148">
          <cell r="A148" t="str">
            <v>Mauritius</v>
          </cell>
        </row>
        <row r="149">
          <cell r="A149" t="str">
            <v>Dominican Republic</v>
          </cell>
        </row>
        <row r="150">
          <cell r="A150" t="str">
            <v>CÃ´te dâ€™Ivoire</v>
          </cell>
        </row>
        <row r="151">
          <cell r="A151" t="str">
            <v>Trinidad &amp; Tobago</v>
          </cell>
        </row>
        <row r="152">
          <cell r="A152" t="str">
            <v>Panama</v>
          </cell>
        </row>
        <row r="153">
          <cell r="A153" t="str">
            <v>RÃ©union</v>
          </cell>
        </row>
        <row r="154">
          <cell r="A154" t="str">
            <v>Libya</v>
          </cell>
        </row>
        <row r="155">
          <cell r="A155" t="str">
            <v>Tanzania</v>
          </cell>
        </row>
        <row r="156">
          <cell r="A156" t="str">
            <v>Kuwait</v>
          </cell>
        </row>
        <row r="157">
          <cell r="A157" t="str">
            <v>Paraguay</v>
          </cell>
        </row>
        <row r="158">
          <cell r="A158" t="str">
            <v>Yemen</v>
          </cell>
        </row>
        <row r="159">
          <cell r="A159" t="str">
            <v>Kyrgyzstan</v>
          </cell>
        </row>
        <row r="160">
          <cell r="A160" t="str">
            <v>El Salvador</v>
          </cell>
        </row>
        <row r="161">
          <cell r="A161" t="str">
            <v>Iraq</v>
          </cell>
        </row>
        <row r="162">
          <cell r="A162" t="str">
            <v>Oman</v>
          </cell>
        </row>
        <row r="163">
          <cell r="A163" t="str">
            <v>Honduras</v>
          </cell>
        </row>
        <row r="164">
          <cell r="A164" t="str">
            <v>Angola</v>
          </cell>
        </row>
        <row r="165">
          <cell r="A165" t="str">
            <v>Anguilla</v>
          </cell>
        </row>
        <row r="166">
          <cell r="A166" t="str">
            <v>Andorra</v>
          </cell>
        </row>
        <row r="167">
          <cell r="A167" t="str">
            <v>American Samoa</v>
          </cell>
        </row>
        <row r="168">
          <cell r="A168" t="str">
            <v>Antarctica</v>
          </cell>
        </row>
        <row r="169">
          <cell r="A169" t="str">
            <v>French Southern Territories</v>
          </cell>
        </row>
        <row r="170">
          <cell r="A170" t="str">
            <v>Antigua &amp; Barbuda</v>
          </cell>
        </row>
        <row r="171">
          <cell r="A171" t="str">
            <v>Burundi</v>
          </cell>
        </row>
        <row r="172">
          <cell r="A172" t="str">
            <v>Caribbean Netherlands</v>
          </cell>
        </row>
        <row r="173">
          <cell r="A173" t="str">
            <v>Bahamas</v>
          </cell>
        </row>
        <row r="174">
          <cell r="A174" t="str">
            <v>St. BarthÃ©lemy</v>
          </cell>
        </row>
        <row r="175">
          <cell r="A175" t="str">
            <v>Bermuda</v>
          </cell>
        </row>
        <row r="176">
          <cell r="A176" t="str">
            <v>Barbados</v>
          </cell>
        </row>
        <row r="177">
          <cell r="A177" t="str">
            <v>Bhutan</v>
          </cell>
        </row>
        <row r="178">
          <cell r="A178" t="str">
            <v>Bouvet Island</v>
          </cell>
        </row>
        <row r="179">
          <cell r="A179" t="str">
            <v>Botswana</v>
          </cell>
        </row>
        <row r="180">
          <cell r="A180" t="str">
            <v>Central African Republic</v>
          </cell>
        </row>
        <row r="181">
          <cell r="A181" t="str">
            <v>Cocos (Keeling) Islands</v>
          </cell>
        </row>
        <row r="182">
          <cell r="A182" t="str">
            <v>Congo - Brazzaville</v>
          </cell>
        </row>
        <row r="183">
          <cell r="A183" t="str">
            <v>Cook Islands</v>
          </cell>
        </row>
        <row r="184">
          <cell r="A184" t="str">
            <v>Comoros</v>
          </cell>
        </row>
        <row r="185">
          <cell r="A185" t="str">
            <v>Cape Verde</v>
          </cell>
        </row>
        <row r="186">
          <cell r="A186" t="str">
            <v>CuraÃ§ao</v>
          </cell>
        </row>
        <row r="187">
          <cell r="A187" t="str">
            <v>Christmas Island</v>
          </cell>
        </row>
        <row r="188">
          <cell r="A188" t="str">
            <v>Djibouti</v>
          </cell>
        </row>
        <row r="189">
          <cell r="A189" t="str">
            <v>Dominica</v>
          </cell>
        </row>
        <row r="190">
          <cell r="A190" t="str">
            <v>Eritrea</v>
          </cell>
        </row>
        <row r="191">
          <cell r="A191" t="str">
            <v>Western Sahara</v>
          </cell>
        </row>
        <row r="192">
          <cell r="A192" t="str">
            <v>Fiji</v>
          </cell>
        </row>
        <row r="193">
          <cell r="A193" t="str">
            <v>Falkland Islands (Islas Malvinas)</v>
          </cell>
        </row>
        <row r="194">
          <cell r="A194" t="str">
            <v>Faroe Islands</v>
          </cell>
        </row>
        <row r="195">
          <cell r="A195" t="str">
            <v>Micronesia</v>
          </cell>
        </row>
        <row r="196">
          <cell r="A196" t="str">
            <v>Gibraltar</v>
          </cell>
        </row>
        <row r="197">
          <cell r="A197" t="str">
            <v>Guinea-Bissau</v>
          </cell>
        </row>
        <row r="198">
          <cell r="A198" t="str">
            <v>Equatorial Guinea</v>
          </cell>
        </row>
        <row r="199">
          <cell r="A199" t="str">
            <v>Grenada</v>
          </cell>
        </row>
        <row r="200">
          <cell r="A200" t="str">
            <v>French Guiana</v>
          </cell>
        </row>
        <row r="201">
          <cell r="A201" t="str">
            <v>Guam</v>
          </cell>
        </row>
        <row r="202">
          <cell r="A202" t="str">
            <v>Guyana</v>
          </cell>
        </row>
        <row r="203">
          <cell r="A203" t="str">
            <v>Heard &amp; McDonald Islands</v>
          </cell>
        </row>
        <row r="204">
          <cell r="A204" t="str">
            <v>Haiti</v>
          </cell>
        </row>
        <row r="205">
          <cell r="A205" t="str">
            <v>British Indian Ocean Territory</v>
          </cell>
        </row>
        <row r="206">
          <cell r="A206" t="str">
            <v>Jersey</v>
          </cell>
        </row>
        <row r="207">
          <cell r="A207" t="str">
            <v>Kiribati</v>
          </cell>
        </row>
        <row r="208">
          <cell r="A208" t="str">
            <v>St. Kitts &amp; Nevis</v>
          </cell>
        </row>
        <row r="209">
          <cell r="A209" t="str">
            <v>Liberia</v>
          </cell>
        </row>
        <row r="210">
          <cell r="A210" t="str">
            <v>St. Lucia</v>
          </cell>
        </row>
        <row r="211">
          <cell r="A211" t="str">
            <v>St. Martin</v>
          </cell>
        </row>
        <row r="212">
          <cell r="A212" t="str">
            <v>Marshall Islands</v>
          </cell>
        </row>
        <row r="213">
          <cell r="A213" t="str">
            <v>Mali</v>
          </cell>
        </row>
        <row r="214">
          <cell r="A214" t="str">
            <v>Northern Mariana Islands</v>
          </cell>
        </row>
        <row r="215">
          <cell r="A215" t="str">
            <v>Mozambique</v>
          </cell>
        </row>
        <row r="216">
          <cell r="A216" t="str">
            <v>Mauritania</v>
          </cell>
        </row>
        <row r="217">
          <cell r="A217" t="str">
            <v>Montserrat</v>
          </cell>
        </row>
        <row r="218">
          <cell r="A218" t="str">
            <v>Martinique</v>
          </cell>
        </row>
        <row r="219">
          <cell r="A219" t="str">
            <v>Mayotte</v>
          </cell>
        </row>
        <row r="220">
          <cell r="A220" t="str">
            <v>New Caledonia</v>
          </cell>
        </row>
        <row r="221">
          <cell r="A221" t="str">
            <v>Niger</v>
          </cell>
        </row>
        <row r="222">
          <cell r="A222" t="str">
            <v>Norfolk Island</v>
          </cell>
        </row>
        <row r="223">
          <cell r="A223" t="str">
            <v>Niue</v>
          </cell>
        </row>
        <row r="224">
          <cell r="A224" t="str">
            <v>Nauru</v>
          </cell>
        </row>
        <row r="225">
          <cell r="A225" t="str">
            <v>Pitcairn Islands</v>
          </cell>
        </row>
        <row r="226">
          <cell r="A226" t="str">
            <v>Palau</v>
          </cell>
        </row>
        <row r="227">
          <cell r="A227" t="str">
            <v>North Korea</v>
          </cell>
        </row>
        <row r="228">
          <cell r="A228" t="str">
            <v>South Georgia &amp; South Sandwich Islands</v>
          </cell>
        </row>
        <row r="229">
          <cell r="A229" t="str">
            <v>Svalbard &amp; Jan Mayen</v>
          </cell>
        </row>
        <row r="230">
          <cell r="A230" t="str">
            <v>Solomon Islands</v>
          </cell>
        </row>
        <row r="231">
          <cell r="A231" t="str">
            <v>Sierra Leone</v>
          </cell>
        </row>
        <row r="232">
          <cell r="A232" t="str">
            <v>St. Pierre &amp; Miquelon</v>
          </cell>
        </row>
        <row r="233">
          <cell r="A233" t="str">
            <v>South Sudan</v>
          </cell>
        </row>
        <row r="234">
          <cell r="A234" t="str">
            <v>SÃ£o TomÃ© &amp; PrÃ­ncipe</v>
          </cell>
        </row>
        <row r="235">
          <cell r="A235" t="str">
            <v>Suriname</v>
          </cell>
        </row>
        <row r="236">
          <cell r="A236" t="str">
            <v>Eswatini</v>
          </cell>
        </row>
        <row r="237">
          <cell r="A237" t="str">
            <v>Sint Maarten</v>
          </cell>
        </row>
        <row r="238">
          <cell r="A238" t="str">
            <v>Seychelles</v>
          </cell>
        </row>
        <row r="239">
          <cell r="A239" t="str">
            <v>Turks &amp; Caicos Islands</v>
          </cell>
        </row>
        <row r="240">
          <cell r="A240" t="str">
            <v>Chad</v>
          </cell>
        </row>
        <row r="241">
          <cell r="A241" t="str">
            <v>Tokelau</v>
          </cell>
        </row>
        <row r="242">
          <cell r="A242" t="str">
            <v>Turkmenistan</v>
          </cell>
        </row>
        <row r="243">
          <cell r="A243" t="str">
            <v>Tonga</v>
          </cell>
        </row>
        <row r="244">
          <cell r="A244" t="str">
            <v>Tuvalu</v>
          </cell>
        </row>
        <row r="245">
          <cell r="A245" t="str">
            <v>U.S. Outlying Islands</v>
          </cell>
        </row>
        <row r="246">
          <cell r="A246" t="str">
            <v>Vatican City</v>
          </cell>
        </row>
        <row r="247">
          <cell r="A247" t="str">
            <v>St. Vincent &amp; Grenadines</v>
          </cell>
        </row>
        <row r="248">
          <cell r="A248" t="str">
            <v>British Virgin Islands</v>
          </cell>
        </row>
        <row r="249">
          <cell r="A249" t="str">
            <v>U.S. Virgin Islands</v>
          </cell>
        </row>
        <row r="250">
          <cell r="A250" t="str">
            <v>Vanuatu</v>
          </cell>
        </row>
        <row r="251">
          <cell r="A251" t="str">
            <v>Wallis &amp; Futuna</v>
          </cell>
        </row>
        <row r="252">
          <cell r="A252" t="str">
            <v>Samoa</v>
          </cell>
        </row>
        <row r="253">
          <cell r="A253" t="str">
            <v>Zambia</v>
          </cell>
        </row>
      </sheetData>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26)"/>
    </sheetNames>
    <sheetDataSet>
      <sheetData sheetId="0" refreshError="1">
        <row r="1">
          <cell r="A1" t="str">
            <v>Category: All categories</v>
          </cell>
        </row>
        <row r="3">
          <cell r="A3" t="str">
            <v>Country</v>
          </cell>
          <cell r="B3" t="str">
            <v>MapReduce: (2018)</v>
          </cell>
          <cell r="C3" t="str">
            <v>Interrupt handler: (2018)</v>
          </cell>
        </row>
        <row r="4">
          <cell r="A4" t="str">
            <v>China</v>
          </cell>
          <cell r="B4">
            <v>0.95</v>
          </cell>
          <cell r="C4">
            <v>0.05</v>
          </cell>
        </row>
        <row r="5">
          <cell r="A5" t="str">
            <v>St. Helena</v>
          </cell>
          <cell r="B5">
            <v>0.87</v>
          </cell>
          <cell r="C5">
            <v>0.13</v>
          </cell>
        </row>
        <row r="6">
          <cell r="A6" t="str">
            <v>South Korea</v>
          </cell>
          <cell r="B6">
            <v>0.76</v>
          </cell>
          <cell r="C6">
            <v>0.24</v>
          </cell>
        </row>
        <row r="7">
          <cell r="A7" t="str">
            <v>Singapore</v>
          </cell>
          <cell r="B7">
            <v>0.81</v>
          </cell>
          <cell r="C7">
            <v>0.19</v>
          </cell>
        </row>
        <row r="8">
          <cell r="A8" t="str">
            <v>India</v>
          </cell>
          <cell r="B8">
            <v>0.81</v>
          </cell>
          <cell r="C8">
            <v>0.19</v>
          </cell>
        </row>
        <row r="9">
          <cell r="A9" t="str">
            <v>Tunisia</v>
          </cell>
          <cell r="B9">
            <v>1</v>
          </cell>
        </row>
        <row r="10">
          <cell r="A10" t="str">
            <v>Hong Kong</v>
          </cell>
          <cell r="B10">
            <v>0.72</v>
          </cell>
          <cell r="C10">
            <v>0.28000000000000003</v>
          </cell>
        </row>
        <row r="11">
          <cell r="A11" t="str">
            <v>Ireland</v>
          </cell>
          <cell r="B11">
            <v>1</v>
          </cell>
        </row>
        <row r="12">
          <cell r="A12" t="str">
            <v>Israel</v>
          </cell>
          <cell r="B12">
            <v>1</v>
          </cell>
        </row>
        <row r="13">
          <cell r="A13" t="str">
            <v>United States</v>
          </cell>
          <cell r="B13">
            <v>0.84</v>
          </cell>
          <cell r="C13">
            <v>0.16</v>
          </cell>
        </row>
        <row r="14">
          <cell r="A14" t="str">
            <v>Nepal</v>
          </cell>
        </row>
        <row r="15">
          <cell r="A15" t="str">
            <v>Morocco</v>
          </cell>
          <cell r="B15">
            <v>1</v>
          </cell>
        </row>
        <row r="16">
          <cell r="A16" t="str">
            <v>Canada</v>
          </cell>
          <cell r="B16">
            <v>0.84</v>
          </cell>
          <cell r="C16">
            <v>0.16</v>
          </cell>
        </row>
        <row r="17">
          <cell r="A17" t="str">
            <v>North Macedonia</v>
          </cell>
        </row>
        <row r="18">
          <cell r="A18" t="str">
            <v>Taiwan</v>
          </cell>
          <cell r="B18">
            <v>0.46</v>
          </cell>
          <cell r="C18">
            <v>0.54</v>
          </cell>
        </row>
        <row r="19">
          <cell r="A19" t="str">
            <v>Australia</v>
          </cell>
          <cell r="B19">
            <v>0.83</v>
          </cell>
          <cell r="C19">
            <v>0.17</v>
          </cell>
        </row>
        <row r="20">
          <cell r="A20" t="str">
            <v>Pakistan</v>
          </cell>
          <cell r="B20">
            <v>0.64</v>
          </cell>
          <cell r="C20">
            <v>0.36</v>
          </cell>
        </row>
        <row r="21">
          <cell r="A21" t="str">
            <v>Sri Lanka</v>
          </cell>
          <cell r="B21">
            <v>0.63</v>
          </cell>
          <cell r="C21">
            <v>0.37</v>
          </cell>
        </row>
        <row r="22">
          <cell r="A22" t="str">
            <v>Belarus</v>
          </cell>
          <cell r="B22">
            <v>0.81</v>
          </cell>
          <cell r="C22">
            <v>0.19</v>
          </cell>
        </row>
        <row r="23">
          <cell r="A23" t="str">
            <v>Laos</v>
          </cell>
        </row>
        <row r="24">
          <cell r="A24" t="str">
            <v>Switzerland</v>
          </cell>
          <cell r="B24">
            <v>0.88</v>
          </cell>
          <cell r="C24">
            <v>0.12</v>
          </cell>
        </row>
        <row r="25">
          <cell r="A25" t="str">
            <v>Qatar</v>
          </cell>
        </row>
        <row r="26">
          <cell r="A26" t="str">
            <v>Jordan</v>
          </cell>
        </row>
        <row r="27">
          <cell r="A27" t="str">
            <v>Finland</v>
          </cell>
          <cell r="B27">
            <v>1</v>
          </cell>
        </row>
        <row r="28">
          <cell r="A28" t="str">
            <v>Greece</v>
          </cell>
          <cell r="B28">
            <v>1</v>
          </cell>
        </row>
        <row r="29">
          <cell r="A29" t="str">
            <v>Malaysia</v>
          </cell>
          <cell r="B29">
            <v>0.72</v>
          </cell>
          <cell r="C29">
            <v>0.28000000000000003</v>
          </cell>
        </row>
        <row r="30">
          <cell r="A30" t="str">
            <v>Netherlands</v>
          </cell>
          <cell r="B30">
            <v>0.87</v>
          </cell>
          <cell r="C30">
            <v>0.13</v>
          </cell>
        </row>
        <row r="31">
          <cell r="A31" t="str">
            <v>Serbia</v>
          </cell>
          <cell r="B31">
            <v>1</v>
          </cell>
        </row>
        <row r="32">
          <cell r="A32" t="str">
            <v>Sweden</v>
          </cell>
          <cell r="B32">
            <v>0.82</v>
          </cell>
          <cell r="C32">
            <v>0.18</v>
          </cell>
        </row>
        <row r="33">
          <cell r="A33" t="str">
            <v>New Zealand</v>
          </cell>
          <cell r="B33">
            <v>1</v>
          </cell>
        </row>
        <row r="34">
          <cell r="A34" t="str">
            <v>United Kingdom</v>
          </cell>
          <cell r="B34">
            <v>0.76</v>
          </cell>
          <cell r="C34">
            <v>0.24</v>
          </cell>
        </row>
        <row r="35">
          <cell r="A35" t="str">
            <v>France</v>
          </cell>
          <cell r="B35">
            <v>0.98</v>
          </cell>
          <cell r="C35">
            <v>0.02</v>
          </cell>
        </row>
        <row r="36">
          <cell r="A36" t="str">
            <v>Algeria</v>
          </cell>
          <cell r="B36">
            <v>1</v>
          </cell>
        </row>
        <row r="37">
          <cell r="A37" t="str">
            <v>Germany</v>
          </cell>
          <cell r="B37">
            <v>0.79</v>
          </cell>
          <cell r="C37">
            <v>0.21</v>
          </cell>
        </row>
        <row r="38">
          <cell r="A38" t="str">
            <v>United Arab Emirates</v>
          </cell>
          <cell r="B38">
            <v>1</v>
          </cell>
        </row>
        <row r="39">
          <cell r="A39" t="str">
            <v>Spain</v>
          </cell>
          <cell r="B39">
            <v>0.92</v>
          </cell>
          <cell r="C39">
            <v>0.08</v>
          </cell>
        </row>
        <row r="40">
          <cell r="A40" t="str">
            <v>Russia</v>
          </cell>
          <cell r="B40">
            <v>0.69</v>
          </cell>
          <cell r="C40">
            <v>0.31</v>
          </cell>
        </row>
        <row r="41">
          <cell r="A41" t="str">
            <v>Ukraine</v>
          </cell>
          <cell r="B41">
            <v>0.76</v>
          </cell>
          <cell r="C41">
            <v>0.24</v>
          </cell>
        </row>
        <row r="42">
          <cell r="A42" t="str">
            <v>Romania</v>
          </cell>
          <cell r="B42">
            <v>1</v>
          </cell>
        </row>
        <row r="43">
          <cell r="A43" t="str">
            <v>Portugal</v>
          </cell>
          <cell r="B43">
            <v>1</v>
          </cell>
        </row>
        <row r="44">
          <cell r="A44" t="str">
            <v>Chile</v>
          </cell>
          <cell r="B44">
            <v>1</v>
          </cell>
        </row>
        <row r="45">
          <cell r="A45" t="str">
            <v>Ecuador</v>
          </cell>
          <cell r="B45">
            <v>1</v>
          </cell>
        </row>
        <row r="46">
          <cell r="A46" t="str">
            <v>Denmark</v>
          </cell>
          <cell r="B46">
            <v>0.7</v>
          </cell>
          <cell r="C46">
            <v>0.3</v>
          </cell>
        </row>
        <row r="47">
          <cell r="A47" t="str">
            <v>Norway</v>
          </cell>
          <cell r="B47">
            <v>1</v>
          </cell>
        </row>
        <row r="48">
          <cell r="A48" t="str">
            <v>Bangladesh</v>
          </cell>
          <cell r="B48">
            <v>1</v>
          </cell>
        </row>
        <row r="49">
          <cell r="A49" t="str">
            <v>Bulgaria</v>
          </cell>
          <cell r="B49">
            <v>1</v>
          </cell>
        </row>
        <row r="50">
          <cell r="A50" t="str">
            <v>Iran</v>
          </cell>
          <cell r="B50">
            <v>1</v>
          </cell>
        </row>
        <row r="51">
          <cell r="A51" t="str">
            <v>Japan</v>
          </cell>
          <cell r="B51">
            <v>0.76</v>
          </cell>
          <cell r="C51">
            <v>0.24</v>
          </cell>
        </row>
        <row r="52">
          <cell r="A52" t="str">
            <v>Nigeria</v>
          </cell>
          <cell r="B52">
            <v>0.36</v>
          </cell>
          <cell r="C52">
            <v>0.64</v>
          </cell>
        </row>
        <row r="53">
          <cell r="A53" t="str">
            <v>Austria</v>
          </cell>
          <cell r="B53">
            <v>1</v>
          </cell>
        </row>
        <row r="54">
          <cell r="A54" t="str">
            <v>Czechia</v>
          </cell>
          <cell r="B54">
            <v>1</v>
          </cell>
        </row>
        <row r="55">
          <cell r="A55" t="str">
            <v>Poland</v>
          </cell>
          <cell r="B55">
            <v>0.7</v>
          </cell>
          <cell r="C55">
            <v>0.3</v>
          </cell>
        </row>
        <row r="56">
          <cell r="A56" t="str">
            <v>South Africa</v>
          </cell>
          <cell r="B56">
            <v>1</v>
          </cell>
        </row>
        <row r="57">
          <cell r="A57" t="str">
            <v>Uruguay</v>
          </cell>
        </row>
        <row r="58">
          <cell r="A58" t="str">
            <v>Egypt</v>
          </cell>
          <cell r="B58">
            <v>0.78</v>
          </cell>
          <cell r="C58">
            <v>0.22</v>
          </cell>
        </row>
        <row r="59">
          <cell r="A59" t="str">
            <v>Hungary</v>
          </cell>
          <cell r="B59">
            <v>1</v>
          </cell>
        </row>
        <row r="60">
          <cell r="A60" t="str">
            <v>Slovakia</v>
          </cell>
        </row>
        <row r="61">
          <cell r="A61" t="str">
            <v>Vietnam</v>
          </cell>
          <cell r="B61">
            <v>0.87</v>
          </cell>
          <cell r="C61">
            <v>0.13</v>
          </cell>
        </row>
        <row r="62">
          <cell r="A62" t="str">
            <v>Croatia</v>
          </cell>
        </row>
        <row r="63">
          <cell r="A63" t="str">
            <v>Philippines</v>
          </cell>
          <cell r="B63">
            <v>0.56000000000000005</v>
          </cell>
          <cell r="C63">
            <v>0.44</v>
          </cell>
        </row>
        <row r="64">
          <cell r="A64" t="str">
            <v>Thailand</v>
          </cell>
          <cell r="B64">
            <v>1</v>
          </cell>
        </row>
        <row r="65">
          <cell r="A65" t="str">
            <v>Colombia</v>
          </cell>
          <cell r="B65">
            <v>1</v>
          </cell>
        </row>
        <row r="66">
          <cell r="A66" t="str">
            <v>Italy</v>
          </cell>
          <cell r="B66">
            <v>0.87</v>
          </cell>
          <cell r="C66">
            <v>0.13</v>
          </cell>
        </row>
        <row r="67">
          <cell r="A67" t="str">
            <v>Saudi Arabia</v>
          </cell>
          <cell r="B67">
            <v>1</v>
          </cell>
        </row>
        <row r="68">
          <cell r="A68" t="str">
            <v>Peru</v>
          </cell>
          <cell r="B68">
            <v>1</v>
          </cell>
        </row>
        <row r="69">
          <cell r="A69" t="str">
            <v>Brazil</v>
          </cell>
          <cell r="B69">
            <v>1</v>
          </cell>
        </row>
        <row r="70">
          <cell r="A70" t="str">
            <v>Belgium</v>
          </cell>
          <cell r="B70">
            <v>1</v>
          </cell>
        </row>
        <row r="71">
          <cell r="A71" t="str">
            <v>Mexico</v>
          </cell>
          <cell r="B71">
            <v>0.71</v>
          </cell>
          <cell r="C71">
            <v>0.28999999999999998</v>
          </cell>
        </row>
        <row r="72">
          <cell r="A72" t="str">
            <v>Turkey</v>
          </cell>
          <cell r="B72">
            <v>0.93</v>
          </cell>
          <cell r="C72">
            <v>7.0000000000000007E-2</v>
          </cell>
        </row>
        <row r="73">
          <cell r="A73" t="str">
            <v>Argentina</v>
          </cell>
          <cell r="B73">
            <v>1</v>
          </cell>
        </row>
        <row r="74">
          <cell r="A74" t="str">
            <v>Indonesia</v>
          </cell>
          <cell r="B74">
            <v>0.88</v>
          </cell>
          <cell r="C74">
            <v>0.12</v>
          </cell>
        </row>
        <row r="75">
          <cell r="A75" t="str">
            <v>Ã…land Islands</v>
          </cell>
        </row>
        <row r="76">
          <cell r="A76" t="str">
            <v>Sint Maarten</v>
          </cell>
        </row>
        <row r="77">
          <cell r="A77" t="str">
            <v>Liechtenstein</v>
          </cell>
        </row>
        <row r="78">
          <cell r="A78" t="str">
            <v>Bermuda</v>
          </cell>
        </row>
        <row r="79">
          <cell r="A79" t="str">
            <v>Liberia</v>
          </cell>
        </row>
        <row r="80">
          <cell r="A80" t="str">
            <v>Mauritania</v>
          </cell>
        </row>
        <row r="81">
          <cell r="A81" t="str">
            <v>Madagascar</v>
          </cell>
        </row>
        <row r="82">
          <cell r="A82" t="str">
            <v>New Caledonia</v>
          </cell>
        </row>
        <row r="83">
          <cell r="A83" t="str">
            <v>Malawi</v>
          </cell>
        </row>
        <row r="84">
          <cell r="A84" t="str">
            <v>Botswana</v>
          </cell>
        </row>
        <row r="85">
          <cell r="A85" t="str">
            <v>Estonia</v>
          </cell>
        </row>
        <row r="86">
          <cell r="A86" t="str">
            <v>Malta</v>
          </cell>
        </row>
        <row r="87">
          <cell r="A87" t="str">
            <v>Fiji</v>
          </cell>
        </row>
        <row r="88">
          <cell r="A88" t="str">
            <v>Cuba</v>
          </cell>
        </row>
        <row r="89">
          <cell r="A89" t="str">
            <v>Senegal</v>
          </cell>
        </row>
        <row r="90">
          <cell r="A90" t="str">
            <v>Mauritius</v>
          </cell>
        </row>
        <row r="91">
          <cell r="A91" t="str">
            <v>Luxembourg</v>
          </cell>
        </row>
        <row r="92">
          <cell r="A92" t="str">
            <v>Angola</v>
          </cell>
        </row>
        <row r="93">
          <cell r="A93" t="str">
            <v>Kosovo</v>
          </cell>
        </row>
        <row r="94">
          <cell r="A94" t="str">
            <v>Myanmar (Burma)</v>
          </cell>
        </row>
        <row r="95">
          <cell r="A95" t="str">
            <v>Namibia</v>
          </cell>
        </row>
        <row r="96">
          <cell r="A96" t="str">
            <v>Palestine</v>
          </cell>
        </row>
        <row r="97">
          <cell r="A97" t="str">
            <v>Mali</v>
          </cell>
        </row>
        <row r="98">
          <cell r="A98" t="str">
            <v>Ethiopia</v>
          </cell>
        </row>
        <row r="99">
          <cell r="A99" t="str">
            <v>Martinique</v>
          </cell>
        </row>
        <row r="100">
          <cell r="A100" t="str">
            <v>Burkina Faso</v>
          </cell>
        </row>
        <row r="101">
          <cell r="A101" t="str">
            <v>Mongolia</v>
          </cell>
        </row>
        <row r="102">
          <cell r="A102" t="str">
            <v>Cyprus</v>
          </cell>
        </row>
        <row r="103">
          <cell r="A103" t="str">
            <v>Cameroon</v>
          </cell>
        </row>
        <row r="104">
          <cell r="A104" t="str">
            <v>Sudan</v>
          </cell>
        </row>
        <row r="105">
          <cell r="A105" t="str">
            <v>Brunei</v>
          </cell>
        </row>
        <row r="106">
          <cell r="A106" t="str">
            <v>Macao</v>
          </cell>
        </row>
        <row r="107">
          <cell r="A107" t="str">
            <v>Afghanistan</v>
          </cell>
        </row>
        <row r="108">
          <cell r="A108" t="str">
            <v>Lebanon</v>
          </cell>
        </row>
        <row r="109">
          <cell r="A109" t="str">
            <v>Armenia</v>
          </cell>
        </row>
        <row r="110">
          <cell r="A110" t="str">
            <v>Iceland</v>
          </cell>
        </row>
        <row r="111">
          <cell r="A111" t="str">
            <v>Bahrain</v>
          </cell>
        </row>
        <row r="112">
          <cell r="A112" t="str">
            <v>Montenegro</v>
          </cell>
        </row>
        <row r="113">
          <cell r="A113" t="str">
            <v>Azerbaijan</v>
          </cell>
        </row>
        <row r="114">
          <cell r="A114" t="str">
            <v>Uzbekistan</v>
          </cell>
        </row>
        <row r="115">
          <cell r="A115" t="str">
            <v>Libya</v>
          </cell>
        </row>
        <row r="116">
          <cell r="A116" t="str">
            <v>Zimbabwe</v>
          </cell>
        </row>
        <row r="117">
          <cell r="A117" t="str">
            <v>Mozambique</v>
          </cell>
        </row>
        <row r="118">
          <cell r="A118" t="str">
            <v>Lithuania</v>
          </cell>
        </row>
        <row r="119">
          <cell r="A119" t="str">
            <v>Trinidad &amp; Tobago</v>
          </cell>
        </row>
        <row r="120">
          <cell r="A120" t="str">
            <v>Kenya</v>
          </cell>
        </row>
        <row r="121">
          <cell r="A121" t="str">
            <v>Slovenia</v>
          </cell>
        </row>
        <row r="122">
          <cell r="A122" t="str">
            <v>Costa Rica</v>
          </cell>
        </row>
        <row r="123">
          <cell r="A123" t="str">
            <v>RÃ©union</v>
          </cell>
        </row>
        <row r="124">
          <cell r="A124" t="str">
            <v>Syria</v>
          </cell>
        </row>
        <row r="125">
          <cell r="A125" t="str">
            <v>Ghana</v>
          </cell>
        </row>
        <row r="126">
          <cell r="A126" t="str">
            <v>Jamaica</v>
          </cell>
        </row>
        <row r="127">
          <cell r="A127" t="str">
            <v>Iraq</v>
          </cell>
        </row>
        <row r="128">
          <cell r="A128" t="str">
            <v>Nicaragua</v>
          </cell>
        </row>
        <row r="129">
          <cell r="A129" t="str">
            <v>Uganda</v>
          </cell>
        </row>
        <row r="130">
          <cell r="A130" t="str">
            <v>Georgia</v>
          </cell>
        </row>
        <row r="131">
          <cell r="A131" t="str">
            <v>Yemen</v>
          </cell>
        </row>
        <row r="132">
          <cell r="A132" t="str">
            <v>Albania</v>
          </cell>
        </row>
        <row r="133">
          <cell r="A133" t="str">
            <v>CÃ´te dâ€™Ivoire</v>
          </cell>
        </row>
        <row r="134">
          <cell r="A134" t="str">
            <v>Bosnia &amp; Herzegovina</v>
          </cell>
        </row>
        <row r="135">
          <cell r="A135" t="str">
            <v>Kazakhstan</v>
          </cell>
        </row>
        <row r="136">
          <cell r="A136" t="str">
            <v>Tanzania</v>
          </cell>
        </row>
        <row r="137">
          <cell r="A137" t="str">
            <v>Oman</v>
          </cell>
        </row>
        <row r="138">
          <cell r="A138" t="str">
            <v>Bolivia</v>
          </cell>
        </row>
        <row r="139">
          <cell r="A139" t="str">
            <v>Moldova</v>
          </cell>
        </row>
        <row r="140">
          <cell r="A140" t="str">
            <v>Honduras</v>
          </cell>
        </row>
        <row r="141">
          <cell r="A141" t="str">
            <v>El Salvador</v>
          </cell>
        </row>
        <row r="142">
          <cell r="A142" t="str">
            <v>Puerto Rico</v>
          </cell>
        </row>
        <row r="143">
          <cell r="A143" t="str">
            <v>Latvia</v>
          </cell>
        </row>
        <row r="144">
          <cell r="A144" t="str">
            <v>Kuwait</v>
          </cell>
        </row>
        <row r="145">
          <cell r="A145" t="str">
            <v>Guatemala</v>
          </cell>
        </row>
        <row r="146">
          <cell r="A146" t="str">
            <v>Dominican Republic</v>
          </cell>
        </row>
        <row r="147">
          <cell r="A147" t="str">
            <v>Venezuela</v>
          </cell>
        </row>
        <row r="148">
          <cell r="A148" t="str">
            <v>Aruba</v>
          </cell>
        </row>
        <row r="149">
          <cell r="A149" t="str">
            <v>Anguilla</v>
          </cell>
        </row>
        <row r="150">
          <cell r="A150" t="str">
            <v>Andorra</v>
          </cell>
        </row>
        <row r="151">
          <cell r="A151" t="str">
            <v>American Samoa</v>
          </cell>
        </row>
        <row r="152">
          <cell r="A152" t="str">
            <v>Antarctica</v>
          </cell>
        </row>
        <row r="153">
          <cell r="A153" t="str">
            <v>French Southern Territories</v>
          </cell>
        </row>
        <row r="154">
          <cell r="A154" t="str">
            <v>Antigua &amp; Barbuda</v>
          </cell>
        </row>
        <row r="155">
          <cell r="A155" t="str">
            <v>Burundi</v>
          </cell>
        </row>
        <row r="156">
          <cell r="A156" t="str">
            <v>Benin</v>
          </cell>
        </row>
        <row r="157">
          <cell r="A157" t="str">
            <v>Caribbean Netherlands</v>
          </cell>
        </row>
        <row r="158">
          <cell r="A158" t="str">
            <v>Bahamas</v>
          </cell>
        </row>
        <row r="159">
          <cell r="A159" t="str">
            <v>St. BarthÃ©lemy</v>
          </cell>
        </row>
        <row r="160">
          <cell r="A160" t="str">
            <v>Belize</v>
          </cell>
        </row>
        <row r="161">
          <cell r="A161" t="str">
            <v>Barbados</v>
          </cell>
        </row>
        <row r="162">
          <cell r="A162" t="str">
            <v>Bhutan</v>
          </cell>
        </row>
        <row r="163">
          <cell r="A163" t="str">
            <v>Bouvet Island</v>
          </cell>
        </row>
        <row r="164">
          <cell r="A164" t="str">
            <v>Central African Republic</v>
          </cell>
        </row>
        <row r="165">
          <cell r="A165" t="str">
            <v>Cocos (Keeling) Islands</v>
          </cell>
        </row>
        <row r="166">
          <cell r="A166" t="str">
            <v>Congo - Kinshasa</v>
          </cell>
        </row>
        <row r="167">
          <cell r="A167" t="str">
            <v>Congo - Brazzaville</v>
          </cell>
        </row>
        <row r="168">
          <cell r="A168" t="str">
            <v>Cook Islands</v>
          </cell>
        </row>
        <row r="169">
          <cell r="A169" t="str">
            <v>Comoros</v>
          </cell>
        </row>
        <row r="170">
          <cell r="A170" t="str">
            <v>Cape Verde</v>
          </cell>
        </row>
        <row r="171">
          <cell r="A171" t="str">
            <v>CuraÃ§ao</v>
          </cell>
        </row>
        <row r="172">
          <cell r="A172" t="str">
            <v>Christmas Island</v>
          </cell>
        </row>
        <row r="173">
          <cell r="A173" t="str">
            <v>Cayman Islands</v>
          </cell>
        </row>
        <row r="174">
          <cell r="A174" t="str">
            <v>Djibouti</v>
          </cell>
        </row>
        <row r="175">
          <cell r="A175" t="str">
            <v>Dominica</v>
          </cell>
        </row>
        <row r="176">
          <cell r="A176" t="str">
            <v>Eritrea</v>
          </cell>
        </row>
        <row r="177">
          <cell r="A177" t="str">
            <v>Western Sahara</v>
          </cell>
        </row>
        <row r="178">
          <cell r="A178" t="str">
            <v>Falkland Islands (Islas Malvinas)</v>
          </cell>
        </row>
        <row r="179">
          <cell r="A179" t="str">
            <v>Faroe Islands</v>
          </cell>
        </row>
        <row r="180">
          <cell r="A180" t="str">
            <v>Micronesia</v>
          </cell>
        </row>
        <row r="181">
          <cell r="A181" t="str">
            <v>Gabon</v>
          </cell>
        </row>
        <row r="182">
          <cell r="A182" t="str">
            <v>Guernsey</v>
          </cell>
        </row>
        <row r="183">
          <cell r="A183" t="str">
            <v>Gibraltar</v>
          </cell>
        </row>
        <row r="184">
          <cell r="A184" t="str">
            <v>Guinea</v>
          </cell>
        </row>
        <row r="185">
          <cell r="A185" t="str">
            <v>Guadeloupe</v>
          </cell>
        </row>
        <row r="186">
          <cell r="A186" t="str">
            <v>Gambia</v>
          </cell>
        </row>
        <row r="187">
          <cell r="A187" t="str">
            <v>Guinea-Bissau</v>
          </cell>
        </row>
        <row r="188">
          <cell r="A188" t="str">
            <v>Equatorial Guinea</v>
          </cell>
        </row>
        <row r="189">
          <cell r="A189" t="str">
            <v>Grenada</v>
          </cell>
        </row>
        <row r="190">
          <cell r="A190" t="str">
            <v>Greenland</v>
          </cell>
        </row>
        <row r="191">
          <cell r="A191" t="str">
            <v>French Guiana</v>
          </cell>
        </row>
        <row r="192">
          <cell r="A192" t="str">
            <v>Guam</v>
          </cell>
        </row>
        <row r="193">
          <cell r="A193" t="str">
            <v>Guyana</v>
          </cell>
        </row>
        <row r="194">
          <cell r="A194" t="str">
            <v>Heard &amp; McDonald Islands</v>
          </cell>
        </row>
        <row r="195">
          <cell r="A195" t="str">
            <v>Haiti</v>
          </cell>
        </row>
        <row r="196">
          <cell r="A196" t="str">
            <v>Isle of Man</v>
          </cell>
        </row>
        <row r="197">
          <cell r="A197" t="str">
            <v>British Indian Ocean Territory</v>
          </cell>
        </row>
        <row r="198">
          <cell r="A198" t="str">
            <v>Jersey</v>
          </cell>
        </row>
        <row r="199">
          <cell r="A199" t="str">
            <v>Kyrgyzstan</v>
          </cell>
        </row>
        <row r="200">
          <cell r="A200" t="str">
            <v>Cambodia</v>
          </cell>
        </row>
        <row r="201">
          <cell r="A201" t="str">
            <v>Kiribati</v>
          </cell>
        </row>
        <row r="202">
          <cell r="A202" t="str">
            <v>St. Kitts &amp; Nevis</v>
          </cell>
        </row>
        <row r="203">
          <cell r="A203" t="str">
            <v>St. Lucia</v>
          </cell>
        </row>
        <row r="204">
          <cell r="A204" t="str">
            <v>Lesotho</v>
          </cell>
        </row>
        <row r="205">
          <cell r="A205" t="str">
            <v>St. Martin</v>
          </cell>
        </row>
        <row r="206">
          <cell r="A206" t="str">
            <v>Monaco</v>
          </cell>
        </row>
        <row r="207">
          <cell r="A207" t="str">
            <v>Maldives</v>
          </cell>
        </row>
        <row r="208">
          <cell r="A208" t="str">
            <v>Marshall Islands</v>
          </cell>
        </row>
        <row r="209">
          <cell r="A209" t="str">
            <v>Northern Mariana Islands</v>
          </cell>
        </row>
        <row r="210">
          <cell r="A210" t="str">
            <v>Montserrat</v>
          </cell>
        </row>
        <row r="211">
          <cell r="A211" t="str">
            <v>Mayotte</v>
          </cell>
        </row>
        <row r="212">
          <cell r="A212" t="str">
            <v>Niger</v>
          </cell>
        </row>
        <row r="213">
          <cell r="A213" t="str">
            <v>Norfolk Island</v>
          </cell>
        </row>
        <row r="214">
          <cell r="A214" t="str">
            <v>Niue</v>
          </cell>
        </row>
        <row r="215">
          <cell r="A215" t="str">
            <v>Nauru</v>
          </cell>
        </row>
        <row r="216">
          <cell r="A216" t="str">
            <v>Panama</v>
          </cell>
        </row>
        <row r="217">
          <cell r="A217" t="str">
            <v>Pitcairn Islands</v>
          </cell>
        </row>
        <row r="218">
          <cell r="A218" t="str">
            <v>Palau</v>
          </cell>
        </row>
        <row r="219">
          <cell r="A219" t="str">
            <v>Papua New Guinea</v>
          </cell>
        </row>
        <row r="220">
          <cell r="A220" t="str">
            <v>North Korea</v>
          </cell>
        </row>
        <row r="221">
          <cell r="A221" t="str">
            <v>Paraguay</v>
          </cell>
        </row>
        <row r="222">
          <cell r="A222" t="str">
            <v>French Polynesia</v>
          </cell>
        </row>
        <row r="223">
          <cell r="A223" t="str">
            <v>Rwanda</v>
          </cell>
        </row>
        <row r="224">
          <cell r="A224" t="str">
            <v>South Georgia &amp; South Sandwich Islands</v>
          </cell>
        </row>
        <row r="225">
          <cell r="A225" t="str">
            <v>Svalbard &amp; Jan Mayen</v>
          </cell>
        </row>
        <row r="226">
          <cell r="A226" t="str">
            <v>Solomon Islands</v>
          </cell>
        </row>
        <row r="227">
          <cell r="A227" t="str">
            <v>Sierra Leone</v>
          </cell>
        </row>
        <row r="228">
          <cell r="A228" t="str">
            <v>San Marino</v>
          </cell>
        </row>
        <row r="229">
          <cell r="A229" t="str">
            <v>Somalia</v>
          </cell>
        </row>
        <row r="230">
          <cell r="A230" t="str">
            <v>St. Pierre &amp; Miquelon</v>
          </cell>
        </row>
        <row r="231">
          <cell r="A231" t="str">
            <v>South Sudan</v>
          </cell>
        </row>
        <row r="232">
          <cell r="A232" t="str">
            <v>SÃ£o TomÃ© &amp; PrÃ­ncipe</v>
          </cell>
        </row>
        <row r="233">
          <cell r="A233" t="str">
            <v>Suriname</v>
          </cell>
        </row>
        <row r="234">
          <cell r="A234" t="str">
            <v>Eswatini</v>
          </cell>
        </row>
        <row r="235">
          <cell r="A235" t="str">
            <v>Seychelles</v>
          </cell>
        </row>
        <row r="236">
          <cell r="A236" t="str">
            <v>Turks &amp; Caicos Islands</v>
          </cell>
        </row>
        <row r="237">
          <cell r="A237" t="str">
            <v>Chad</v>
          </cell>
        </row>
        <row r="238">
          <cell r="A238" t="str">
            <v>Togo</v>
          </cell>
        </row>
        <row r="239">
          <cell r="A239" t="str">
            <v>Tajikistan</v>
          </cell>
        </row>
        <row r="240">
          <cell r="A240" t="str">
            <v>Tokelau</v>
          </cell>
        </row>
        <row r="241">
          <cell r="A241" t="str">
            <v>Turkmenistan</v>
          </cell>
        </row>
        <row r="242">
          <cell r="A242" t="str">
            <v>Timor-Leste</v>
          </cell>
        </row>
        <row r="243">
          <cell r="A243" t="str">
            <v>Tonga</v>
          </cell>
        </row>
        <row r="244">
          <cell r="A244" t="str">
            <v>Tuvalu</v>
          </cell>
        </row>
        <row r="245">
          <cell r="A245" t="str">
            <v>U.S. Outlying Islands</v>
          </cell>
        </row>
        <row r="246">
          <cell r="A246" t="str">
            <v>Vatican City</v>
          </cell>
        </row>
        <row r="247">
          <cell r="A247" t="str">
            <v>St. Vincent &amp; Grenadines</v>
          </cell>
        </row>
        <row r="248">
          <cell r="A248" t="str">
            <v>British Virgin Islands</v>
          </cell>
        </row>
        <row r="249">
          <cell r="A249" t="str">
            <v>U.S. Virgin Islands</v>
          </cell>
        </row>
        <row r="250">
          <cell r="A250" t="str">
            <v>Vanuatu</v>
          </cell>
        </row>
        <row r="251">
          <cell r="A251" t="str">
            <v>Wallis &amp; Futuna</v>
          </cell>
        </row>
        <row r="252">
          <cell r="A252" t="str">
            <v>Samoa</v>
          </cell>
        </row>
        <row r="253">
          <cell r="A253" t="str">
            <v>Zambia</v>
          </cell>
        </row>
      </sheetData>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28)"/>
    </sheetNames>
    <sheetDataSet>
      <sheetData sheetId="0" refreshError="1">
        <row r="1">
          <cell r="A1" t="str">
            <v>Category: All categories</v>
          </cell>
        </row>
        <row r="3">
          <cell r="A3" t="str">
            <v>Country</v>
          </cell>
          <cell r="B3" t="str">
            <v>Semaphore: (2018)</v>
          </cell>
          <cell r="C3" t="str">
            <v>Markov chain Monte Carlo: (2018)</v>
          </cell>
        </row>
        <row r="4">
          <cell r="A4" t="str">
            <v>China</v>
          </cell>
          <cell r="B4">
            <v>0.75</v>
          </cell>
          <cell r="C4">
            <v>0.25</v>
          </cell>
        </row>
        <row r="5">
          <cell r="A5" t="str">
            <v>Australia</v>
          </cell>
          <cell r="B5">
            <v>0.98</v>
          </cell>
          <cell r="C5">
            <v>0.02</v>
          </cell>
        </row>
        <row r="6">
          <cell r="A6" t="str">
            <v>South Korea</v>
          </cell>
          <cell r="B6">
            <v>0.8</v>
          </cell>
          <cell r="C6">
            <v>0.2</v>
          </cell>
        </row>
        <row r="7">
          <cell r="A7" t="str">
            <v>France</v>
          </cell>
          <cell r="B7">
            <v>0.95</v>
          </cell>
          <cell r="C7">
            <v>0.05</v>
          </cell>
        </row>
        <row r="8">
          <cell r="A8" t="str">
            <v>Slovakia</v>
          </cell>
          <cell r="B8">
            <v>1</v>
          </cell>
        </row>
        <row r="9">
          <cell r="A9" t="str">
            <v>Israel</v>
          </cell>
          <cell r="B9">
            <v>0.95</v>
          </cell>
          <cell r="C9">
            <v>0.05</v>
          </cell>
        </row>
        <row r="10">
          <cell r="A10" t="str">
            <v>St. Helena</v>
          </cell>
          <cell r="B10">
            <v>0.76</v>
          </cell>
          <cell r="C10">
            <v>0.24</v>
          </cell>
        </row>
        <row r="11">
          <cell r="A11" t="str">
            <v>Zimbabwe</v>
          </cell>
        </row>
        <row r="12">
          <cell r="A12" t="str">
            <v>Iceland</v>
          </cell>
        </row>
        <row r="13">
          <cell r="A13" t="str">
            <v>Fiji</v>
          </cell>
        </row>
        <row r="14">
          <cell r="A14" t="str">
            <v>India</v>
          </cell>
          <cell r="B14">
            <v>0.98</v>
          </cell>
          <cell r="C14">
            <v>0.02</v>
          </cell>
        </row>
        <row r="15">
          <cell r="A15" t="str">
            <v>Switzerland</v>
          </cell>
          <cell r="B15">
            <v>0.79</v>
          </cell>
          <cell r="C15">
            <v>0.21</v>
          </cell>
        </row>
        <row r="16">
          <cell r="A16" t="str">
            <v>Tunisia</v>
          </cell>
          <cell r="B16">
            <v>1</v>
          </cell>
        </row>
        <row r="17">
          <cell r="A17" t="str">
            <v>Senegal</v>
          </cell>
        </row>
        <row r="18">
          <cell r="A18" t="str">
            <v>Taiwan</v>
          </cell>
          <cell r="B18">
            <v>0.85</v>
          </cell>
          <cell r="C18">
            <v>0.15</v>
          </cell>
        </row>
        <row r="19">
          <cell r="A19" t="str">
            <v>Singapore</v>
          </cell>
          <cell r="B19">
            <v>0.84</v>
          </cell>
          <cell r="C19">
            <v>0.16</v>
          </cell>
        </row>
        <row r="20">
          <cell r="A20" t="str">
            <v>Belgium</v>
          </cell>
          <cell r="B20">
            <v>0.89</v>
          </cell>
          <cell r="C20">
            <v>0.11</v>
          </cell>
        </row>
        <row r="21">
          <cell r="A21" t="str">
            <v>Botswana</v>
          </cell>
        </row>
        <row r="22">
          <cell r="A22" t="str">
            <v>New Zealand</v>
          </cell>
          <cell r="B22">
            <v>0.94</v>
          </cell>
          <cell r="C22">
            <v>0.06</v>
          </cell>
        </row>
        <row r="23">
          <cell r="A23" t="str">
            <v>Ireland</v>
          </cell>
          <cell r="B23">
            <v>0.86</v>
          </cell>
          <cell r="C23">
            <v>0.14000000000000001</v>
          </cell>
        </row>
        <row r="24">
          <cell r="A24" t="str">
            <v>Algeria</v>
          </cell>
          <cell r="B24">
            <v>1</v>
          </cell>
        </row>
        <row r="25">
          <cell r="A25" t="str">
            <v>Pakistan</v>
          </cell>
          <cell r="B25">
            <v>0.94</v>
          </cell>
          <cell r="C25">
            <v>0.06</v>
          </cell>
        </row>
        <row r="26">
          <cell r="A26" t="str">
            <v>Canada</v>
          </cell>
          <cell r="B26">
            <v>0.85</v>
          </cell>
          <cell r="C26">
            <v>0.15</v>
          </cell>
        </row>
        <row r="27">
          <cell r="A27" t="str">
            <v>Hungary</v>
          </cell>
          <cell r="B27">
            <v>1</v>
          </cell>
        </row>
        <row r="28">
          <cell r="A28" t="str">
            <v>Kenya</v>
          </cell>
          <cell r="B28">
            <v>1</v>
          </cell>
        </row>
        <row r="29">
          <cell r="A29" t="str">
            <v>United Kingdom</v>
          </cell>
          <cell r="B29">
            <v>0.84</v>
          </cell>
          <cell r="C29">
            <v>0.16</v>
          </cell>
        </row>
        <row r="30">
          <cell r="A30" t="str">
            <v>Cyprus</v>
          </cell>
        </row>
        <row r="31">
          <cell r="A31" t="str">
            <v>Lebanon</v>
          </cell>
        </row>
        <row r="32">
          <cell r="A32" t="str">
            <v>Germany</v>
          </cell>
          <cell r="B32">
            <v>0.83</v>
          </cell>
          <cell r="C32">
            <v>0.17</v>
          </cell>
        </row>
        <row r="33">
          <cell r="A33" t="str">
            <v>North Macedonia</v>
          </cell>
        </row>
        <row r="34">
          <cell r="A34" t="str">
            <v>United States</v>
          </cell>
          <cell r="B34">
            <v>0.82</v>
          </cell>
          <cell r="C34">
            <v>0.18</v>
          </cell>
        </row>
        <row r="35">
          <cell r="A35" t="str">
            <v>Denmark</v>
          </cell>
          <cell r="B35">
            <v>0.79</v>
          </cell>
          <cell r="C35">
            <v>0.21</v>
          </cell>
        </row>
        <row r="36">
          <cell r="A36" t="str">
            <v>Hong Kong</v>
          </cell>
          <cell r="B36">
            <v>0.7</v>
          </cell>
          <cell r="C36">
            <v>0.3</v>
          </cell>
        </row>
        <row r="37">
          <cell r="A37" t="str">
            <v>Austria</v>
          </cell>
          <cell r="B37">
            <v>0.89</v>
          </cell>
          <cell r="C37">
            <v>0.11</v>
          </cell>
        </row>
        <row r="38">
          <cell r="A38" t="str">
            <v>Ethiopia</v>
          </cell>
        </row>
        <row r="39">
          <cell r="A39" t="str">
            <v>Belarus</v>
          </cell>
          <cell r="B39">
            <v>1</v>
          </cell>
        </row>
        <row r="40">
          <cell r="A40" t="str">
            <v>Sweden</v>
          </cell>
          <cell r="B40">
            <v>0.82</v>
          </cell>
          <cell r="C40">
            <v>0.18</v>
          </cell>
        </row>
        <row r="41">
          <cell r="A41" t="str">
            <v>Japan</v>
          </cell>
          <cell r="B41">
            <v>0.72</v>
          </cell>
          <cell r="C41">
            <v>0.28000000000000003</v>
          </cell>
        </row>
        <row r="42">
          <cell r="A42" t="str">
            <v>Serbia</v>
          </cell>
          <cell r="B42">
            <v>1</v>
          </cell>
        </row>
        <row r="43">
          <cell r="A43" t="str">
            <v>Bulgaria</v>
          </cell>
          <cell r="B43">
            <v>1</v>
          </cell>
        </row>
        <row r="44">
          <cell r="A44" t="str">
            <v>Philippines</v>
          </cell>
        </row>
        <row r="45">
          <cell r="A45" t="str">
            <v>Slovenia</v>
          </cell>
        </row>
        <row r="46">
          <cell r="A46" t="str">
            <v>Czechia</v>
          </cell>
          <cell r="B46">
            <v>1</v>
          </cell>
        </row>
        <row r="47">
          <cell r="A47" t="str">
            <v>Morocco</v>
          </cell>
          <cell r="B47">
            <v>1</v>
          </cell>
        </row>
        <row r="48">
          <cell r="A48" t="str">
            <v>Norway</v>
          </cell>
          <cell r="B48">
            <v>0.7</v>
          </cell>
          <cell r="C48">
            <v>0.3</v>
          </cell>
        </row>
        <row r="49">
          <cell r="A49" t="str">
            <v>Greece</v>
          </cell>
          <cell r="B49">
            <v>0.81</v>
          </cell>
          <cell r="C49">
            <v>0.19</v>
          </cell>
        </row>
        <row r="50">
          <cell r="A50" t="str">
            <v>Nepal</v>
          </cell>
        </row>
        <row r="51">
          <cell r="A51" t="str">
            <v>Portugal</v>
          </cell>
          <cell r="B51">
            <v>1</v>
          </cell>
        </row>
        <row r="52">
          <cell r="A52" t="str">
            <v>Cameroon</v>
          </cell>
        </row>
        <row r="53">
          <cell r="A53" t="str">
            <v>Russia</v>
          </cell>
          <cell r="B53">
            <v>0.93</v>
          </cell>
          <cell r="C53">
            <v>7.0000000000000007E-2</v>
          </cell>
        </row>
        <row r="54">
          <cell r="A54" t="str">
            <v>Romania</v>
          </cell>
          <cell r="B54">
            <v>1</v>
          </cell>
        </row>
        <row r="55">
          <cell r="A55" t="str">
            <v>Malaysia</v>
          </cell>
          <cell r="B55">
            <v>0.44</v>
          </cell>
          <cell r="C55">
            <v>0.56000000000000005</v>
          </cell>
        </row>
        <row r="56">
          <cell r="A56" t="str">
            <v>Sri Lanka</v>
          </cell>
        </row>
        <row r="57">
          <cell r="A57" t="str">
            <v>Croatia</v>
          </cell>
          <cell r="B57">
            <v>1</v>
          </cell>
        </row>
        <row r="58">
          <cell r="A58" t="str">
            <v>Ukraine</v>
          </cell>
          <cell r="B58">
            <v>1</v>
          </cell>
        </row>
        <row r="59">
          <cell r="A59" t="str">
            <v>South Africa</v>
          </cell>
          <cell r="B59">
            <v>0.86</v>
          </cell>
          <cell r="C59">
            <v>0.14000000000000001</v>
          </cell>
        </row>
        <row r="60">
          <cell r="A60" t="str">
            <v>Netherlands</v>
          </cell>
          <cell r="B60">
            <v>0.8</v>
          </cell>
          <cell r="C60">
            <v>0.2</v>
          </cell>
        </row>
        <row r="61">
          <cell r="A61" t="str">
            <v>Bosnia &amp; Herzegovina</v>
          </cell>
        </row>
        <row r="62">
          <cell r="A62" t="str">
            <v>Latvia</v>
          </cell>
        </row>
        <row r="63">
          <cell r="A63" t="str">
            <v>Finland</v>
          </cell>
          <cell r="B63">
            <v>0.68</v>
          </cell>
          <cell r="C63">
            <v>0.32</v>
          </cell>
        </row>
        <row r="64">
          <cell r="A64" t="str">
            <v>Iran</v>
          </cell>
          <cell r="B64">
            <v>0.41</v>
          </cell>
          <cell r="C64">
            <v>0.59</v>
          </cell>
        </row>
        <row r="65">
          <cell r="A65" t="str">
            <v>Poland</v>
          </cell>
          <cell r="B65">
            <v>0.92</v>
          </cell>
          <cell r="C65">
            <v>0.08</v>
          </cell>
        </row>
        <row r="66">
          <cell r="A66" t="str">
            <v>Palestine</v>
          </cell>
        </row>
        <row r="67">
          <cell r="A67" t="str">
            <v>Tanzania</v>
          </cell>
        </row>
        <row r="68">
          <cell r="A68" t="str">
            <v>Uruguay</v>
          </cell>
        </row>
        <row r="69">
          <cell r="A69" t="str">
            <v>Bangladesh</v>
          </cell>
          <cell r="B69">
            <v>1</v>
          </cell>
        </row>
        <row r="70">
          <cell r="A70" t="str">
            <v>Myanmar (Burma)</v>
          </cell>
        </row>
        <row r="71">
          <cell r="A71" t="str">
            <v>Moldova</v>
          </cell>
        </row>
        <row r="72">
          <cell r="A72" t="str">
            <v>Nigeria</v>
          </cell>
          <cell r="B72">
            <v>1</v>
          </cell>
        </row>
        <row r="73">
          <cell r="A73" t="str">
            <v>Vietnam</v>
          </cell>
          <cell r="B73">
            <v>0.93</v>
          </cell>
          <cell r="C73">
            <v>7.0000000000000007E-2</v>
          </cell>
        </row>
        <row r="74">
          <cell r="A74" t="str">
            <v>Jordan</v>
          </cell>
        </row>
        <row r="75">
          <cell r="A75" t="str">
            <v>United Arab Emirates</v>
          </cell>
          <cell r="B75">
            <v>1</v>
          </cell>
        </row>
        <row r="76">
          <cell r="A76" t="str">
            <v>Lithuania</v>
          </cell>
        </row>
        <row r="77">
          <cell r="A77" t="str">
            <v>Oman</v>
          </cell>
        </row>
        <row r="78">
          <cell r="A78" t="str">
            <v>Italy</v>
          </cell>
          <cell r="B78">
            <v>0.8</v>
          </cell>
          <cell r="C78">
            <v>0.2</v>
          </cell>
        </row>
        <row r="79">
          <cell r="A79" t="str">
            <v>Indonesia</v>
          </cell>
          <cell r="B79">
            <v>0.97</v>
          </cell>
          <cell r="C79">
            <v>0.03</v>
          </cell>
        </row>
        <row r="80">
          <cell r="A80" t="str">
            <v>Kazakhstan</v>
          </cell>
          <cell r="B80">
            <v>1</v>
          </cell>
        </row>
        <row r="81">
          <cell r="A81" t="str">
            <v>Egypt</v>
          </cell>
          <cell r="B81">
            <v>1</v>
          </cell>
        </row>
        <row r="82">
          <cell r="A82" t="str">
            <v>Spain</v>
          </cell>
          <cell r="B82">
            <v>0.78</v>
          </cell>
          <cell r="C82">
            <v>0.22</v>
          </cell>
        </row>
        <row r="83">
          <cell r="A83" t="str">
            <v>Saudi Arabia</v>
          </cell>
          <cell r="B83">
            <v>1</v>
          </cell>
        </row>
        <row r="84">
          <cell r="A84" t="str">
            <v>Costa Rica</v>
          </cell>
        </row>
        <row r="85">
          <cell r="A85" t="str">
            <v>Sudan</v>
          </cell>
        </row>
        <row r="86">
          <cell r="A86" t="str">
            <v>Kuwait</v>
          </cell>
        </row>
        <row r="87">
          <cell r="A87" t="str">
            <v>Bolivia</v>
          </cell>
        </row>
        <row r="88">
          <cell r="A88" t="str">
            <v>Turkey</v>
          </cell>
          <cell r="B88">
            <v>0.87</v>
          </cell>
          <cell r="C88">
            <v>0.13</v>
          </cell>
        </row>
        <row r="89">
          <cell r="A89" t="str">
            <v>Argentina</v>
          </cell>
          <cell r="B89">
            <v>0.81</v>
          </cell>
          <cell r="C89">
            <v>0.19</v>
          </cell>
        </row>
        <row r="90">
          <cell r="A90" t="str">
            <v>Mexico</v>
          </cell>
          <cell r="B90">
            <v>0.72</v>
          </cell>
          <cell r="C90">
            <v>0.28000000000000003</v>
          </cell>
        </row>
        <row r="91">
          <cell r="A91" t="str">
            <v>Chile</v>
          </cell>
          <cell r="B91">
            <v>0.63</v>
          </cell>
          <cell r="C91">
            <v>0.37</v>
          </cell>
        </row>
        <row r="92">
          <cell r="A92" t="str">
            <v>Thailand</v>
          </cell>
          <cell r="B92">
            <v>0.88</v>
          </cell>
          <cell r="C92">
            <v>0.12</v>
          </cell>
        </row>
        <row r="93">
          <cell r="A93" t="str">
            <v>Peru</v>
          </cell>
        </row>
        <row r="94">
          <cell r="A94" t="str">
            <v>Colombia</v>
          </cell>
          <cell r="B94">
            <v>0.59</v>
          </cell>
          <cell r="C94">
            <v>0.41</v>
          </cell>
        </row>
        <row r="95">
          <cell r="A95" t="str">
            <v>Brazil</v>
          </cell>
          <cell r="B95">
            <v>0.56999999999999995</v>
          </cell>
          <cell r="C95">
            <v>0.43</v>
          </cell>
        </row>
        <row r="96">
          <cell r="A96" t="str">
            <v>Venezuela</v>
          </cell>
        </row>
        <row r="97">
          <cell r="A97" t="str">
            <v>Guatemala</v>
          </cell>
        </row>
        <row r="98">
          <cell r="A98" t="str">
            <v>St. BarthÃ©lemy</v>
          </cell>
        </row>
        <row r="99">
          <cell r="A99" t="str">
            <v>Comoros</v>
          </cell>
        </row>
        <row r="100">
          <cell r="A100" t="str">
            <v>Grenada</v>
          </cell>
        </row>
        <row r="101">
          <cell r="A101" t="str">
            <v>Liechtenstein</v>
          </cell>
        </row>
        <row r="102">
          <cell r="A102" t="str">
            <v>Lesotho</v>
          </cell>
        </row>
        <row r="103">
          <cell r="A103" t="str">
            <v>French Guiana</v>
          </cell>
        </row>
        <row r="104">
          <cell r="A104" t="str">
            <v>Gambia</v>
          </cell>
        </row>
        <row r="105">
          <cell r="A105" t="str">
            <v>French Polynesia</v>
          </cell>
        </row>
        <row r="106">
          <cell r="A106" t="str">
            <v>Antigua &amp; Barbuda</v>
          </cell>
        </row>
        <row r="107">
          <cell r="A107" t="str">
            <v>Burundi</v>
          </cell>
        </row>
        <row r="108">
          <cell r="A108" t="str">
            <v>St. Lucia</v>
          </cell>
        </row>
        <row r="109">
          <cell r="A109" t="str">
            <v>Bermuda</v>
          </cell>
        </row>
        <row r="110">
          <cell r="A110" t="str">
            <v>Cayman Islands</v>
          </cell>
        </row>
        <row r="111">
          <cell r="A111" t="str">
            <v>Guyana</v>
          </cell>
        </row>
        <row r="112">
          <cell r="A112" t="str">
            <v>Madagascar</v>
          </cell>
        </row>
        <row r="113">
          <cell r="A113" t="str">
            <v>Guadeloupe</v>
          </cell>
        </row>
        <row r="114">
          <cell r="A114" t="str">
            <v>Cape Verde</v>
          </cell>
        </row>
        <row r="115">
          <cell r="A115" t="str">
            <v>New Caledonia</v>
          </cell>
        </row>
        <row r="116">
          <cell r="A116" t="str">
            <v>Papua New Guinea</v>
          </cell>
        </row>
        <row r="117">
          <cell r="A117" t="str">
            <v>Rwanda</v>
          </cell>
        </row>
        <row r="118">
          <cell r="A118" t="str">
            <v>Togo</v>
          </cell>
        </row>
        <row r="119">
          <cell r="A119" t="str">
            <v>Congo - Kinshasa</v>
          </cell>
        </row>
        <row r="120">
          <cell r="A120" t="str">
            <v>Malta</v>
          </cell>
        </row>
        <row r="121">
          <cell r="A121" t="str">
            <v>Guam</v>
          </cell>
        </row>
        <row r="122">
          <cell r="A122" t="str">
            <v>Malawi</v>
          </cell>
        </row>
        <row r="123">
          <cell r="A123" t="str">
            <v>Jersey</v>
          </cell>
        </row>
        <row r="124">
          <cell r="A124" t="str">
            <v>Macao</v>
          </cell>
        </row>
        <row r="125">
          <cell r="A125" t="str">
            <v>Mauritius</v>
          </cell>
        </row>
        <row r="126">
          <cell r="A126" t="str">
            <v>Luxembourg</v>
          </cell>
        </row>
        <row r="127">
          <cell r="A127" t="str">
            <v>Barbados</v>
          </cell>
        </row>
        <row r="128">
          <cell r="A128" t="str">
            <v>Cuba</v>
          </cell>
        </row>
        <row r="129">
          <cell r="A129" t="str">
            <v>Suriname</v>
          </cell>
        </row>
        <row r="130">
          <cell r="A130" t="str">
            <v>Zambia</v>
          </cell>
        </row>
        <row r="131">
          <cell r="A131" t="str">
            <v>Benin</v>
          </cell>
        </row>
        <row r="132">
          <cell r="A132" t="str">
            <v>Brunei</v>
          </cell>
        </row>
        <row r="133">
          <cell r="A133" t="str">
            <v>RÃ©union</v>
          </cell>
        </row>
        <row r="134">
          <cell r="A134" t="str">
            <v>Trinidad &amp; Tobago</v>
          </cell>
        </row>
        <row r="135">
          <cell r="A135" t="str">
            <v>Bahrain</v>
          </cell>
        </row>
        <row r="136">
          <cell r="A136" t="str">
            <v>Estonia</v>
          </cell>
        </row>
        <row r="137">
          <cell r="A137" t="str">
            <v>Namibia</v>
          </cell>
        </row>
        <row r="138">
          <cell r="A138" t="str">
            <v>Haiti</v>
          </cell>
        </row>
        <row r="139">
          <cell r="A139" t="str">
            <v>Bahamas</v>
          </cell>
        </row>
        <row r="140">
          <cell r="A140" t="str">
            <v>Albania</v>
          </cell>
        </row>
        <row r="141">
          <cell r="A141" t="str">
            <v>Burkina Faso</v>
          </cell>
        </row>
        <row r="142">
          <cell r="A142" t="str">
            <v>Jamaica</v>
          </cell>
        </row>
        <row r="143">
          <cell r="A143" t="str">
            <v>Afghanistan</v>
          </cell>
        </row>
        <row r="144">
          <cell r="A144" t="str">
            <v>El Salvador</v>
          </cell>
        </row>
        <row r="145">
          <cell r="A145" t="str">
            <v>Qatar</v>
          </cell>
        </row>
        <row r="146">
          <cell r="A146" t="str">
            <v>Uganda</v>
          </cell>
        </row>
        <row r="147">
          <cell r="A147" t="str">
            <v>Armenia</v>
          </cell>
        </row>
        <row r="148">
          <cell r="A148" t="str">
            <v>CÃ´te dâ€™Ivoire</v>
          </cell>
        </row>
        <row r="149">
          <cell r="A149" t="str">
            <v>Mongolia</v>
          </cell>
        </row>
        <row r="150">
          <cell r="A150" t="str">
            <v>Kosovo</v>
          </cell>
        </row>
        <row r="151">
          <cell r="A151" t="str">
            <v>Montenegro</v>
          </cell>
        </row>
        <row r="152">
          <cell r="A152" t="str">
            <v>Laos</v>
          </cell>
        </row>
        <row r="153">
          <cell r="A153" t="str">
            <v>Kyrgyzstan</v>
          </cell>
        </row>
        <row r="154">
          <cell r="A154" t="str">
            <v>Libya</v>
          </cell>
        </row>
        <row r="155">
          <cell r="A155" t="str">
            <v>Ghana</v>
          </cell>
        </row>
        <row r="156">
          <cell r="A156" t="str">
            <v>Puerto Rico</v>
          </cell>
        </row>
        <row r="157">
          <cell r="A157" t="str">
            <v>Paraguay</v>
          </cell>
        </row>
        <row r="158">
          <cell r="A158" t="str">
            <v>Iraq</v>
          </cell>
        </row>
        <row r="159">
          <cell r="A159" t="str">
            <v>Uzbekistan</v>
          </cell>
        </row>
        <row r="160">
          <cell r="A160" t="str">
            <v>Azerbaijan</v>
          </cell>
        </row>
        <row r="161">
          <cell r="A161" t="str">
            <v>Georgia</v>
          </cell>
        </row>
        <row r="162">
          <cell r="A162" t="str">
            <v>Cambodia</v>
          </cell>
        </row>
        <row r="163">
          <cell r="A163" t="str">
            <v>Honduras</v>
          </cell>
        </row>
        <row r="164">
          <cell r="A164" t="str">
            <v>Syria</v>
          </cell>
        </row>
        <row r="165">
          <cell r="A165" t="str">
            <v>Dominican Republic</v>
          </cell>
        </row>
        <row r="166">
          <cell r="A166" t="str">
            <v>Panama</v>
          </cell>
        </row>
        <row r="167">
          <cell r="A167" t="str">
            <v>Ecuador</v>
          </cell>
        </row>
        <row r="168">
          <cell r="A168" t="str">
            <v>Aruba</v>
          </cell>
        </row>
        <row r="169">
          <cell r="A169" t="str">
            <v>Angola</v>
          </cell>
        </row>
        <row r="170">
          <cell r="A170" t="str">
            <v>Anguilla</v>
          </cell>
        </row>
        <row r="171">
          <cell r="A171" t="str">
            <v>Ã…land Islands</v>
          </cell>
        </row>
        <row r="172">
          <cell r="A172" t="str">
            <v>Andorra</v>
          </cell>
        </row>
        <row r="173">
          <cell r="A173" t="str">
            <v>American Samoa</v>
          </cell>
        </row>
        <row r="174">
          <cell r="A174" t="str">
            <v>Antarctica</v>
          </cell>
        </row>
        <row r="175">
          <cell r="A175" t="str">
            <v>French Southern Territories</v>
          </cell>
        </row>
        <row r="176">
          <cell r="A176" t="str">
            <v>Caribbean Netherlands</v>
          </cell>
        </row>
        <row r="177">
          <cell r="A177" t="str">
            <v>Belize</v>
          </cell>
        </row>
        <row r="178">
          <cell r="A178" t="str">
            <v>Bhutan</v>
          </cell>
        </row>
        <row r="179">
          <cell r="A179" t="str">
            <v>Bouvet Island</v>
          </cell>
        </row>
        <row r="180">
          <cell r="A180" t="str">
            <v>Central African Republic</v>
          </cell>
        </row>
        <row r="181">
          <cell r="A181" t="str">
            <v>Cocos (Keeling) Islands</v>
          </cell>
        </row>
        <row r="182">
          <cell r="A182" t="str">
            <v>Congo - Brazzaville</v>
          </cell>
        </row>
        <row r="183">
          <cell r="A183" t="str">
            <v>Cook Islands</v>
          </cell>
        </row>
        <row r="184">
          <cell r="A184" t="str">
            <v>CuraÃ§ao</v>
          </cell>
        </row>
        <row r="185">
          <cell r="A185" t="str">
            <v>Christmas Island</v>
          </cell>
        </row>
        <row r="186">
          <cell r="A186" t="str">
            <v>Djibouti</v>
          </cell>
        </row>
        <row r="187">
          <cell r="A187" t="str">
            <v>Dominica</v>
          </cell>
        </row>
        <row r="188">
          <cell r="A188" t="str">
            <v>Eritrea</v>
          </cell>
        </row>
        <row r="189">
          <cell r="A189" t="str">
            <v>Western Sahara</v>
          </cell>
        </row>
        <row r="190">
          <cell r="A190" t="str">
            <v>Falkland Islands (Islas Malvinas)</v>
          </cell>
        </row>
        <row r="191">
          <cell r="A191" t="str">
            <v>Faroe Islands</v>
          </cell>
        </row>
        <row r="192">
          <cell r="A192" t="str">
            <v>Micronesia</v>
          </cell>
        </row>
        <row r="193">
          <cell r="A193" t="str">
            <v>Gabon</v>
          </cell>
        </row>
        <row r="194">
          <cell r="A194" t="str">
            <v>Guernsey</v>
          </cell>
        </row>
        <row r="195">
          <cell r="A195" t="str">
            <v>Gibraltar</v>
          </cell>
        </row>
        <row r="196">
          <cell r="A196" t="str">
            <v>Guinea</v>
          </cell>
        </row>
        <row r="197">
          <cell r="A197" t="str">
            <v>Guinea-Bissau</v>
          </cell>
        </row>
        <row r="198">
          <cell r="A198" t="str">
            <v>Equatorial Guinea</v>
          </cell>
        </row>
        <row r="199">
          <cell r="A199" t="str">
            <v>Greenland</v>
          </cell>
        </row>
        <row r="200">
          <cell r="A200" t="str">
            <v>Heard &amp; McDonald Islands</v>
          </cell>
        </row>
        <row r="201">
          <cell r="A201" t="str">
            <v>Isle of Man</v>
          </cell>
        </row>
        <row r="202">
          <cell r="A202" t="str">
            <v>British Indian Ocean Territory</v>
          </cell>
        </row>
        <row r="203">
          <cell r="A203" t="str">
            <v>Kiribati</v>
          </cell>
        </row>
        <row r="204">
          <cell r="A204" t="str">
            <v>St. Kitts &amp; Nevis</v>
          </cell>
        </row>
        <row r="205">
          <cell r="A205" t="str">
            <v>Liberia</v>
          </cell>
        </row>
        <row r="206">
          <cell r="A206" t="str">
            <v>St. Martin</v>
          </cell>
        </row>
        <row r="207">
          <cell r="A207" t="str">
            <v>Monaco</v>
          </cell>
        </row>
        <row r="208">
          <cell r="A208" t="str">
            <v>Maldives</v>
          </cell>
        </row>
        <row r="209">
          <cell r="A209" t="str">
            <v>Marshall Islands</v>
          </cell>
        </row>
        <row r="210">
          <cell r="A210" t="str">
            <v>Mali</v>
          </cell>
        </row>
        <row r="211">
          <cell r="A211" t="str">
            <v>Northern Mariana Islands</v>
          </cell>
        </row>
        <row r="212">
          <cell r="A212" t="str">
            <v>Mozambique</v>
          </cell>
        </row>
        <row r="213">
          <cell r="A213" t="str">
            <v>Mauritania</v>
          </cell>
        </row>
        <row r="214">
          <cell r="A214" t="str">
            <v>Montserrat</v>
          </cell>
        </row>
        <row r="215">
          <cell r="A215" t="str">
            <v>Martinique</v>
          </cell>
        </row>
        <row r="216">
          <cell r="A216" t="str">
            <v>Mayotte</v>
          </cell>
        </row>
        <row r="217">
          <cell r="A217" t="str">
            <v>Niger</v>
          </cell>
        </row>
        <row r="218">
          <cell r="A218" t="str">
            <v>Norfolk Island</v>
          </cell>
        </row>
        <row r="219">
          <cell r="A219" t="str">
            <v>Nicaragua</v>
          </cell>
        </row>
        <row r="220">
          <cell r="A220" t="str">
            <v>Niue</v>
          </cell>
        </row>
        <row r="221">
          <cell r="A221" t="str">
            <v>Nauru</v>
          </cell>
        </row>
        <row r="222">
          <cell r="A222" t="str">
            <v>Pitcairn Islands</v>
          </cell>
        </row>
        <row r="223">
          <cell r="A223" t="str">
            <v>Palau</v>
          </cell>
        </row>
        <row r="224">
          <cell r="A224" t="str">
            <v>North Korea</v>
          </cell>
        </row>
        <row r="225">
          <cell r="A225" t="str">
            <v>South Georgia &amp; South Sandwich Islands</v>
          </cell>
        </row>
        <row r="226">
          <cell r="A226" t="str">
            <v>Svalbard &amp; Jan Mayen</v>
          </cell>
        </row>
        <row r="227">
          <cell r="A227" t="str">
            <v>Solomon Islands</v>
          </cell>
        </row>
        <row r="228">
          <cell r="A228" t="str">
            <v>Sierra Leone</v>
          </cell>
        </row>
        <row r="229">
          <cell r="A229" t="str">
            <v>San Marino</v>
          </cell>
        </row>
        <row r="230">
          <cell r="A230" t="str">
            <v>Somalia</v>
          </cell>
        </row>
        <row r="231">
          <cell r="A231" t="str">
            <v>St. Pierre &amp; Miquelon</v>
          </cell>
        </row>
        <row r="232">
          <cell r="A232" t="str">
            <v>South Sudan</v>
          </cell>
        </row>
        <row r="233">
          <cell r="A233" t="str">
            <v>SÃ£o TomÃ© &amp; PrÃ­ncipe</v>
          </cell>
        </row>
        <row r="234">
          <cell r="A234" t="str">
            <v>Eswatini</v>
          </cell>
        </row>
        <row r="235">
          <cell r="A235" t="str">
            <v>Sint Maarten</v>
          </cell>
        </row>
        <row r="236">
          <cell r="A236" t="str">
            <v>Seychelles</v>
          </cell>
        </row>
        <row r="237">
          <cell r="A237" t="str">
            <v>Turks &amp; Caicos Islands</v>
          </cell>
        </row>
        <row r="238">
          <cell r="A238" t="str">
            <v>Chad</v>
          </cell>
        </row>
        <row r="239">
          <cell r="A239" t="str">
            <v>Tajikistan</v>
          </cell>
        </row>
        <row r="240">
          <cell r="A240" t="str">
            <v>Tokelau</v>
          </cell>
        </row>
        <row r="241">
          <cell r="A241" t="str">
            <v>Turkmenistan</v>
          </cell>
        </row>
        <row r="242">
          <cell r="A242" t="str">
            <v>Timor-Leste</v>
          </cell>
        </row>
        <row r="243">
          <cell r="A243" t="str">
            <v>Tonga</v>
          </cell>
        </row>
        <row r="244">
          <cell r="A244" t="str">
            <v>Tuvalu</v>
          </cell>
        </row>
        <row r="245">
          <cell r="A245" t="str">
            <v>U.S. Outlying Islands</v>
          </cell>
        </row>
        <row r="246">
          <cell r="A246" t="str">
            <v>Vatican City</v>
          </cell>
        </row>
        <row r="247">
          <cell r="A247" t="str">
            <v>St. Vincent &amp; Grenadines</v>
          </cell>
        </row>
        <row r="248">
          <cell r="A248" t="str">
            <v>British Virgin Islands</v>
          </cell>
        </row>
        <row r="249">
          <cell r="A249" t="str">
            <v>U.S. Virgin Islands</v>
          </cell>
        </row>
        <row r="250">
          <cell r="A250" t="str">
            <v>Vanuatu</v>
          </cell>
        </row>
        <row r="251">
          <cell r="A251" t="str">
            <v>Wallis &amp; Futuna</v>
          </cell>
        </row>
        <row r="252">
          <cell r="A252" t="str">
            <v>Samoa</v>
          </cell>
        </row>
        <row r="253">
          <cell r="A253" t="str">
            <v>Yemen</v>
          </cell>
        </row>
      </sheetData>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29)"/>
    </sheetNames>
    <sheetDataSet>
      <sheetData sheetId="0" refreshError="1">
        <row r="1">
          <cell r="A1" t="str">
            <v>Category: All categories</v>
          </cell>
        </row>
        <row r="3">
          <cell r="A3" t="str">
            <v>Country</v>
          </cell>
          <cell r="B3" t="str">
            <v>Semaphore: (2018)</v>
          </cell>
          <cell r="C3" t="str">
            <v>P versus NP problem: (2018)</v>
          </cell>
        </row>
        <row r="4">
          <cell r="A4" t="str">
            <v>China</v>
          </cell>
          <cell r="B4">
            <v>0.96</v>
          </cell>
          <cell r="C4">
            <v>0.04</v>
          </cell>
        </row>
        <row r="5">
          <cell r="A5" t="str">
            <v>Australia</v>
          </cell>
          <cell r="B5">
            <v>0.99</v>
          </cell>
          <cell r="C5">
            <v>0.01</v>
          </cell>
        </row>
        <row r="6">
          <cell r="A6" t="str">
            <v>South Korea</v>
          </cell>
          <cell r="B6">
            <v>0.89</v>
          </cell>
          <cell r="C6">
            <v>0.11</v>
          </cell>
        </row>
        <row r="7">
          <cell r="A7" t="str">
            <v>Slovakia</v>
          </cell>
        </row>
        <row r="8">
          <cell r="A8" t="str">
            <v>France</v>
          </cell>
          <cell r="B8">
            <v>0.99</v>
          </cell>
          <cell r="C8">
            <v>0.01</v>
          </cell>
        </row>
        <row r="9">
          <cell r="A9" t="str">
            <v>Zimbabwe</v>
          </cell>
        </row>
        <row r="10">
          <cell r="A10" t="str">
            <v>St. Helena</v>
          </cell>
          <cell r="B10">
            <v>1</v>
          </cell>
        </row>
        <row r="11">
          <cell r="A11" t="str">
            <v>Israel</v>
          </cell>
          <cell r="B11">
            <v>0.88</v>
          </cell>
          <cell r="C11">
            <v>0.12</v>
          </cell>
        </row>
        <row r="12">
          <cell r="A12" t="str">
            <v>Iceland</v>
          </cell>
        </row>
        <row r="13">
          <cell r="A13" t="str">
            <v>India</v>
          </cell>
          <cell r="B13">
            <v>0.91</v>
          </cell>
          <cell r="C13">
            <v>0.09</v>
          </cell>
        </row>
        <row r="14">
          <cell r="A14" t="str">
            <v>Switzerland</v>
          </cell>
          <cell r="B14">
            <v>0.85</v>
          </cell>
          <cell r="C14">
            <v>0.15</v>
          </cell>
        </row>
        <row r="15">
          <cell r="A15" t="str">
            <v>Ethiopia</v>
          </cell>
        </row>
        <row r="16">
          <cell r="A16" t="str">
            <v>North Macedonia</v>
          </cell>
        </row>
        <row r="17">
          <cell r="A17" t="str">
            <v>Taiwan</v>
          </cell>
          <cell r="B17">
            <v>0.93</v>
          </cell>
          <cell r="C17">
            <v>7.0000000000000007E-2</v>
          </cell>
        </row>
        <row r="18">
          <cell r="A18" t="str">
            <v>Tunisia</v>
          </cell>
          <cell r="B18">
            <v>1</v>
          </cell>
        </row>
        <row r="19">
          <cell r="A19" t="str">
            <v>Belgium</v>
          </cell>
          <cell r="B19">
            <v>0.92</v>
          </cell>
          <cell r="C19">
            <v>0.08</v>
          </cell>
        </row>
        <row r="20">
          <cell r="A20" t="str">
            <v>Botswana</v>
          </cell>
        </row>
        <row r="21">
          <cell r="A21" t="str">
            <v>New Zealand</v>
          </cell>
          <cell r="B21">
            <v>0.9</v>
          </cell>
          <cell r="C21">
            <v>0.1</v>
          </cell>
        </row>
        <row r="22">
          <cell r="A22" t="str">
            <v>Singapore</v>
          </cell>
          <cell r="B22">
            <v>0.83</v>
          </cell>
          <cell r="C22">
            <v>0.17</v>
          </cell>
        </row>
        <row r="23">
          <cell r="A23" t="str">
            <v>Pakistan</v>
          </cell>
          <cell r="B23">
            <v>0.87</v>
          </cell>
          <cell r="C23">
            <v>0.13</v>
          </cell>
        </row>
        <row r="24">
          <cell r="A24" t="str">
            <v>Algeria</v>
          </cell>
          <cell r="B24">
            <v>1</v>
          </cell>
        </row>
        <row r="25">
          <cell r="A25" t="str">
            <v>Ireland</v>
          </cell>
          <cell r="B25">
            <v>0.9</v>
          </cell>
          <cell r="C25">
            <v>0.1</v>
          </cell>
        </row>
        <row r="26">
          <cell r="A26" t="str">
            <v>Fiji</v>
          </cell>
        </row>
        <row r="27">
          <cell r="A27" t="str">
            <v>Canada</v>
          </cell>
          <cell r="B27">
            <v>0.88</v>
          </cell>
          <cell r="C27">
            <v>0.12</v>
          </cell>
        </row>
        <row r="28">
          <cell r="A28" t="str">
            <v>Hungary</v>
          </cell>
          <cell r="B28">
            <v>0.92</v>
          </cell>
          <cell r="C28">
            <v>0.08</v>
          </cell>
        </row>
        <row r="29">
          <cell r="A29" t="str">
            <v>Sweden</v>
          </cell>
          <cell r="B29">
            <v>0.84</v>
          </cell>
          <cell r="C29">
            <v>0.16</v>
          </cell>
        </row>
        <row r="30">
          <cell r="A30" t="str">
            <v>United States</v>
          </cell>
          <cell r="B30">
            <v>0.83</v>
          </cell>
          <cell r="C30">
            <v>0.17</v>
          </cell>
        </row>
        <row r="31">
          <cell r="A31" t="str">
            <v>United Kingdom</v>
          </cell>
          <cell r="B31">
            <v>0.88</v>
          </cell>
          <cell r="C31">
            <v>0.12</v>
          </cell>
        </row>
        <row r="32">
          <cell r="A32" t="str">
            <v>Germany</v>
          </cell>
          <cell r="B32">
            <v>0.74</v>
          </cell>
          <cell r="C32">
            <v>0.26</v>
          </cell>
        </row>
        <row r="33">
          <cell r="A33" t="str">
            <v>Austria</v>
          </cell>
          <cell r="B33">
            <v>0.75</v>
          </cell>
          <cell r="C33">
            <v>0.25</v>
          </cell>
        </row>
        <row r="34">
          <cell r="A34" t="str">
            <v>Japan</v>
          </cell>
          <cell r="B34">
            <v>0.9</v>
          </cell>
          <cell r="C34">
            <v>0.1</v>
          </cell>
        </row>
        <row r="35">
          <cell r="A35" t="str">
            <v>Belarus</v>
          </cell>
          <cell r="B35">
            <v>0.93</v>
          </cell>
          <cell r="C35">
            <v>7.0000000000000007E-2</v>
          </cell>
        </row>
        <row r="36">
          <cell r="A36" t="str">
            <v>Nepal</v>
          </cell>
        </row>
        <row r="37">
          <cell r="A37" t="str">
            <v>Kenya</v>
          </cell>
          <cell r="B37">
            <v>1</v>
          </cell>
        </row>
        <row r="38">
          <cell r="A38" t="str">
            <v>Hong Kong</v>
          </cell>
          <cell r="B38">
            <v>0.8</v>
          </cell>
          <cell r="C38">
            <v>0.2</v>
          </cell>
        </row>
        <row r="39">
          <cell r="A39" t="str">
            <v>Lebanon</v>
          </cell>
        </row>
        <row r="40">
          <cell r="A40" t="str">
            <v>Denmark</v>
          </cell>
          <cell r="B40">
            <v>0.85</v>
          </cell>
          <cell r="C40">
            <v>0.15</v>
          </cell>
        </row>
        <row r="41">
          <cell r="A41" t="str">
            <v>Norway</v>
          </cell>
          <cell r="B41">
            <v>0.84</v>
          </cell>
          <cell r="C41">
            <v>0.16</v>
          </cell>
        </row>
        <row r="42">
          <cell r="A42" t="str">
            <v>Slovenia</v>
          </cell>
        </row>
        <row r="43">
          <cell r="A43" t="str">
            <v>Sri Lanka</v>
          </cell>
          <cell r="B43">
            <v>1</v>
          </cell>
        </row>
        <row r="44">
          <cell r="A44" t="str">
            <v>Philippines</v>
          </cell>
          <cell r="B44">
            <v>0.85</v>
          </cell>
          <cell r="C44">
            <v>0.15</v>
          </cell>
        </row>
        <row r="45">
          <cell r="A45" t="str">
            <v>Czechia</v>
          </cell>
          <cell r="B45">
            <v>0.71</v>
          </cell>
          <cell r="C45">
            <v>0.28999999999999998</v>
          </cell>
        </row>
        <row r="46">
          <cell r="A46" t="str">
            <v>Portugal</v>
          </cell>
          <cell r="B46">
            <v>0.9</v>
          </cell>
          <cell r="C46">
            <v>0.1</v>
          </cell>
        </row>
        <row r="47">
          <cell r="A47" t="str">
            <v>Bangladesh</v>
          </cell>
          <cell r="B47">
            <v>0.79</v>
          </cell>
          <cell r="C47">
            <v>0.21</v>
          </cell>
        </row>
        <row r="48">
          <cell r="A48" t="str">
            <v>Myanmar (Burma)</v>
          </cell>
        </row>
        <row r="49">
          <cell r="A49" t="str">
            <v>Serbia</v>
          </cell>
          <cell r="B49">
            <v>0.83</v>
          </cell>
          <cell r="C49">
            <v>0.17</v>
          </cell>
        </row>
        <row r="50">
          <cell r="A50" t="str">
            <v>Greece</v>
          </cell>
          <cell r="B50">
            <v>0.84</v>
          </cell>
          <cell r="C50">
            <v>0.16</v>
          </cell>
        </row>
        <row r="51">
          <cell r="A51" t="str">
            <v>Russia</v>
          </cell>
          <cell r="B51">
            <v>0.93</v>
          </cell>
          <cell r="C51">
            <v>7.0000000000000007E-2</v>
          </cell>
        </row>
        <row r="52">
          <cell r="A52" t="str">
            <v>Finland</v>
          </cell>
          <cell r="B52">
            <v>0.9</v>
          </cell>
          <cell r="C52">
            <v>0.1</v>
          </cell>
        </row>
        <row r="53">
          <cell r="A53" t="str">
            <v>Cyprus</v>
          </cell>
        </row>
        <row r="54">
          <cell r="A54" t="str">
            <v>Cameroon</v>
          </cell>
        </row>
        <row r="55">
          <cell r="A55" t="str">
            <v>Morocco</v>
          </cell>
          <cell r="B55">
            <v>1</v>
          </cell>
        </row>
        <row r="56">
          <cell r="A56" t="str">
            <v>Moldova</v>
          </cell>
        </row>
        <row r="57">
          <cell r="A57" t="str">
            <v>Netherlands</v>
          </cell>
          <cell r="B57">
            <v>0.82</v>
          </cell>
          <cell r="C57">
            <v>0.18</v>
          </cell>
        </row>
        <row r="58">
          <cell r="A58" t="str">
            <v>Romania</v>
          </cell>
          <cell r="B58">
            <v>0.91</v>
          </cell>
          <cell r="C58">
            <v>0.09</v>
          </cell>
        </row>
        <row r="59">
          <cell r="A59" t="str">
            <v>Bulgaria</v>
          </cell>
        </row>
        <row r="60">
          <cell r="A60" t="str">
            <v>Lithuania</v>
          </cell>
        </row>
        <row r="61">
          <cell r="A61" t="str">
            <v>Croatia</v>
          </cell>
          <cell r="B61">
            <v>0.75</v>
          </cell>
          <cell r="C61">
            <v>0.25</v>
          </cell>
        </row>
        <row r="62">
          <cell r="A62" t="str">
            <v>Latvia</v>
          </cell>
        </row>
        <row r="63">
          <cell r="A63" t="str">
            <v>South Africa</v>
          </cell>
          <cell r="B63">
            <v>0.75</v>
          </cell>
          <cell r="C63">
            <v>0.25</v>
          </cell>
        </row>
        <row r="64">
          <cell r="A64" t="str">
            <v>Poland</v>
          </cell>
          <cell r="B64">
            <v>0.89</v>
          </cell>
          <cell r="C64">
            <v>0.11</v>
          </cell>
        </row>
        <row r="65">
          <cell r="A65" t="str">
            <v>Ukraine</v>
          </cell>
          <cell r="B65">
            <v>0.92</v>
          </cell>
          <cell r="C65">
            <v>0.08</v>
          </cell>
        </row>
        <row r="66">
          <cell r="A66" t="str">
            <v>Malaysia</v>
          </cell>
          <cell r="B66">
            <v>0.88</v>
          </cell>
          <cell r="C66">
            <v>0.12</v>
          </cell>
        </row>
        <row r="67">
          <cell r="A67" t="str">
            <v>Oman</v>
          </cell>
        </row>
        <row r="68">
          <cell r="A68" t="str">
            <v>Nigeria</v>
          </cell>
          <cell r="B68">
            <v>0.92</v>
          </cell>
          <cell r="C68">
            <v>0.08</v>
          </cell>
        </row>
        <row r="69">
          <cell r="A69" t="str">
            <v>Vietnam</v>
          </cell>
          <cell r="B69">
            <v>0.93</v>
          </cell>
          <cell r="C69">
            <v>7.0000000000000007E-2</v>
          </cell>
        </row>
        <row r="70">
          <cell r="A70" t="str">
            <v>United Arab Emirates</v>
          </cell>
          <cell r="B70">
            <v>0.8</v>
          </cell>
          <cell r="C70">
            <v>0.2</v>
          </cell>
        </row>
        <row r="71">
          <cell r="A71" t="str">
            <v>Uruguay</v>
          </cell>
        </row>
        <row r="72">
          <cell r="A72" t="str">
            <v>Kazakhstan</v>
          </cell>
          <cell r="B72">
            <v>1</v>
          </cell>
        </row>
        <row r="73">
          <cell r="A73" t="str">
            <v>Italy</v>
          </cell>
          <cell r="B73">
            <v>0.84</v>
          </cell>
          <cell r="C73">
            <v>0.16</v>
          </cell>
        </row>
        <row r="74">
          <cell r="A74" t="str">
            <v>Indonesia</v>
          </cell>
          <cell r="B74">
            <v>0.94</v>
          </cell>
          <cell r="C74">
            <v>0.06</v>
          </cell>
        </row>
        <row r="75">
          <cell r="A75" t="str">
            <v>Sudan</v>
          </cell>
        </row>
        <row r="76">
          <cell r="A76" t="str">
            <v>Egypt</v>
          </cell>
          <cell r="B76">
            <v>0.92</v>
          </cell>
          <cell r="C76">
            <v>0.08</v>
          </cell>
        </row>
        <row r="77">
          <cell r="A77" t="str">
            <v>Senegal</v>
          </cell>
        </row>
        <row r="78">
          <cell r="A78" t="str">
            <v>Bosnia &amp; Herzegovina</v>
          </cell>
        </row>
        <row r="79">
          <cell r="A79" t="str">
            <v>Tanzania</v>
          </cell>
        </row>
        <row r="80">
          <cell r="A80" t="str">
            <v>Spain</v>
          </cell>
          <cell r="B80">
            <v>0.73</v>
          </cell>
          <cell r="C80">
            <v>0.27</v>
          </cell>
        </row>
        <row r="81">
          <cell r="A81" t="str">
            <v>Jordan</v>
          </cell>
        </row>
        <row r="82">
          <cell r="A82" t="str">
            <v>Costa Rica</v>
          </cell>
        </row>
        <row r="83">
          <cell r="A83" t="str">
            <v>Iran</v>
          </cell>
          <cell r="B83">
            <v>1</v>
          </cell>
        </row>
        <row r="84">
          <cell r="A84" t="str">
            <v>Kuwait</v>
          </cell>
        </row>
        <row r="85">
          <cell r="A85" t="str">
            <v>Bolivia</v>
          </cell>
        </row>
        <row r="86">
          <cell r="A86" t="str">
            <v>Guatemala</v>
          </cell>
        </row>
        <row r="87">
          <cell r="A87" t="str">
            <v>Saudi Arabia</v>
          </cell>
          <cell r="B87">
            <v>0.79</v>
          </cell>
          <cell r="C87">
            <v>0.21</v>
          </cell>
        </row>
        <row r="88">
          <cell r="A88" t="str">
            <v>Peru</v>
          </cell>
        </row>
        <row r="89">
          <cell r="A89" t="str">
            <v>Turkey</v>
          </cell>
          <cell r="B89">
            <v>0.92</v>
          </cell>
          <cell r="C89">
            <v>0.08</v>
          </cell>
        </row>
        <row r="90">
          <cell r="A90" t="str">
            <v>Argentina</v>
          </cell>
          <cell r="B90">
            <v>0.66</v>
          </cell>
          <cell r="C90">
            <v>0.34</v>
          </cell>
        </row>
        <row r="91">
          <cell r="A91" t="str">
            <v>Colombia</v>
          </cell>
          <cell r="B91">
            <v>0.66</v>
          </cell>
          <cell r="C91">
            <v>0.34</v>
          </cell>
        </row>
        <row r="92">
          <cell r="A92" t="str">
            <v>Mexico</v>
          </cell>
          <cell r="B92">
            <v>0.56000000000000005</v>
          </cell>
          <cell r="C92">
            <v>0.44</v>
          </cell>
        </row>
        <row r="93">
          <cell r="A93" t="str">
            <v>Chile</v>
          </cell>
        </row>
        <row r="94">
          <cell r="A94" t="str">
            <v>Thailand</v>
          </cell>
          <cell r="B94">
            <v>0.89</v>
          </cell>
          <cell r="C94">
            <v>0.11</v>
          </cell>
        </row>
        <row r="95">
          <cell r="A95" t="str">
            <v>Brazil</v>
          </cell>
          <cell r="B95">
            <v>0.53</v>
          </cell>
          <cell r="C95">
            <v>0.47</v>
          </cell>
        </row>
        <row r="96">
          <cell r="A96" t="str">
            <v>Venezuela</v>
          </cell>
        </row>
        <row r="97">
          <cell r="A97" t="str">
            <v>Comoros</v>
          </cell>
        </row>
        <row r="98">
          <cell r="A98" t="str">
            <v>Turks &amp; Caicos Islands</v>
          </cell>
        </row>
        <row r="99">
          <cell r="A99" t="str">
            <v>Guernsey</v>
          </cell>
        </row>
        <row r="100">
          <cell r="A100" t="str">
            <v>Liechtenstein</v>
          </cell>
        </row>
        <row r="101">
          <cell r="A101" t="str">
            <v>Lesotho</v>
          </cell>
        </row>
        <row r="102">
          <cell r="A102" t="str">
            <v>Jersey</v>
          </cell>
        </row>
        <row r="103">
          <cell r="A103" t="str">
            <v>French Polynesia</v>
          </cell>
        </row>
        <row r="104">
          <cell r="A104" t="str">
            <v>Madagascar</v>
          </cell>
        </row>
        <row r="105">
          <cell r="A105" t="str">
            <v>South Sudan</v>
          </cell>
        </row>
        <row r="106">
          <cell r="A106" t="str">
            <v>Burundi</v>
          </cell>
        </row>
        <row r="107">
          <cell r="A107" t="str">
            <v>Cayman Islands</v>
          </cell>
        </row>
        <row r="108">
          <cell r="A108" t="str">
            <v>Martinique</v>
          </cell>
        </row>
        <row r="109">
          <cell r="A109" t="str">
            <v>Congo - Brazzaville</v>
          </cell>
        </row>
        <row r="110">
          <cell r="A110" t="str">
            <v>Guyana</v>
          </cell>
        </row>
        <row r="111">
          <cell r="A111" t="str">
            <v>French Guiana</v>
          </cell>
        </row>
        <row r="112">
          <cell r="A112" t="str">
            <v>Isle of Man</v>
          </cell>
        </row>
        <row r="113">
          <cell r="A113" t="str">
            <v>Togo</v>
          </cell>
        </row>
        <row r="114">
          <cell r="A114" t="str">
            <v>Guadeloupe</v>
          </cell>
        </row>
        <row r="115">
          <cell r="A115" t="str">
            <v>RÃ©union</v>
          </cell>
        </row>
        <row r="116">
          <cell r="A116" t="str">
            <v>New Caledonia</v>
          </cell>
        </row>
        <row r="117">
          <cell r="A117" t="str">
            <v>Malawi</v>
          </cell>
        </row>
        <row r="118">
          <cell r="A118" t="str">
            <v>Brunei</v>
          </cell>
        </row>
        <row r="119">
          <cell r="A119" t="str">
            <v>Macao</v>
          </cell>
        </row>
        <row r="120">
          <cell r="A120" t="str">
            <v>Malta</v>
          </cell>
        </row>
        <row r="121">
          <cell r="A121" t="str">
            <v>Cuba</v>
          </cell>
        </row>
        <row r="122">
          <cell r="A122" t="str">
            <v>Suriname</v>
          </cell>
        </row>
        <row r="123">
          <cell r="A123" t="str">
            <v>Albania</v>
          </cell>
        </row>
        <row r="124">
          <cell r="A124" t="str">
            <v>Luxembourg</v>
          </cell>
        </row>
        <row r="125">
          <cell r="A125" t="str">
            <v>Benin</v>
          </cell>
        </row>
        <row r="126">
          <cell r="A126" t="str">
            <v>Mauritius</v>
          </cell>
        </row>
        <row r="127">
          <cell r="A127" t="str">
            <v>Namibia</v>
          </cell>
        </row>
        <row r="128">
          <cell r="A128" t="str">
            <v>Haiti</v>
          </cell>
        </row>
        <row r="129">
          <cell r="A129" t="str">
            <v>Jamaica</v>
          </cell>
        </row>
        <row r="130">
          <cell r="A130" t="str">
            <v>Bahamas</v>
          </cell>
        </row>
        <row r="131">
          <cell r="A131" t="str">
            <v>Burkina Faso</v>
          </cell>
        </row>
        <row r="132">
          <cell r="A132" t="str">
            <v>Zambia</v>
          </cell>
        </row>
        <row r="133">
          <cell r="A133" t="str">
            <v>Congo - Kinshasa</v>
          </cell>
        </row>
        <row r="134">
          <cell r="A134" t="str">
            <v>Estonia</v>
          </cell>
        </row>
        <row r="135">
          <cell r="A135" t="str">
            <v>Trinidad &amp; Tobago</v>
          </cell>
        </row>
        <row r="136">
          <cell r="A136" t="str">
            <v>Afghanistan</v>
          </cell>
        </row>
        <row r="137">
          <cell r="A137" t="str">
            <v>CÃ´te dâ€™Ivoire</v>
          </cell>
        </row>
        <row r="138">
          <cell r="A138" t="str">
            <v>Armenia</v>
          </cell>
        </row>
        <row r="139">
          <cell r="A139" t="str">
            <v>Bahrain</v>
          </cell>
        </row>
        <row r="140">
          <cell r="A140" t="str">
            <v>El Salvador</v>
          </cell>
        </row>
        <row r="141">
          <cell r="A141" t="str">
            <v>Qatar</v>
          </cell>
        </row>
        <row r="142">
          <cell r="A142" t="str">
            <v>Nicaragua</v>
          </cell>
        </row>
        <row r="143">
          <cell r="A143" t="str">
            <v>Uganda</v>
          </cell>
        </row>
        <row r="144">
          <cell r="A144" t="str">
            <v>Puerto Rico</v>
          </cell>
        </row>
        <row r="145">
          <cell r="A145" t="str">
            <v>Montenegro</v>
          </cell>
        </row>
        <row r="146">
          <cell r="A146" t="str">
            <v>Ghana</v>
          </cell>
        </row>
        <row r="147">
          <cell r="A147" t="str">
            <v>Kyrgyzstan</v>
          </cell>
        </row>
        <row r="148">
          <cell r="A148" t="str">
            <v>Paraguay</v>
          </cell>
        </row>
        <row r="149">
          <cell r="A149" t="str">
            <v>Libya</v>
          </cell>
        </row>
        <row r="150">
          <cell r="A150" t="str">
            <v>Azerbaijan</v>
          </cell>
        </row>
        <row r="151">
          <cell r="A151" t="str">
            <v>Georgia</v>
          </cell>
        </row>
        <row r="152">
          <cell r="A152" t="str">
            <v>Uzbekistan</v>
          </cell>
        </row>
        <row r="153">
          <cell r="A153" t="str">
            <v>Iraq</v>
          </cell>
        </row>
        <row r="154">
          <cell r="A154" t="str">
            <v>Syria</v>
          </cell>
        </row>
        <row r="155">
          <cell r="A155" t="str">
            <v>Cambodia</v>
          </cell>
        </row>
        <row r="156">
          <cell r="A156" t="str">
            <v>Dominican Republic</v>
          </cell>
        </row>
        <row r="157">
          <cell r="A157" t="str">
            <v>Honduras</v>
          </cell>
        </row>
        <row r="158">
          <cell r="A158" t="str">
            <v>Ecuador</v>
          </cell>
        </row>
        <row r="159">
          <cell r="A159" t="str">
            <v>Panama</v>
          </cell>
        </row>
        <row r="160">
          <cell r="A160" t="str">
            <v>Aruba</v>
          </cell>
        </row>
        <row r="161">
          <cell r="A161" t="str">
            <v>Angola</v>
          </cell>
        </row>
        <row r="162">
          <cell r="A162" t="str">
            <v>Anguilla</v>
          </cell>
        </row>
        <row r="163">
          <cell r="A163" t="str">
            <v>Ã…land Islands</v>
          </cell>
        </row>
        <row r="164">
          <cell r="A164" t="str">
            <v>Andorra</v>
          </cell>
        </row>
        <row r="165">
          <cell r="A165" t="str">
            <v>American Samoa</v>
          </cell>
        </row>
        <row r="166">
          <cell r="A166" t="str">
            <v>Antarctica</v>
          </cell>
        </row>
        <row r="167">
          <cell r="A167" t="str">
            <v>French Southern Territories</v>
          </cell>
        </row>
        <row r="168">
          <cell r="A168" t="str">
            <v>Antigua &amp; Barbuda</v>
          </cell>
        </row>
        <row r="169">
          <cell r="A169" t="str">
            <v>Caribbean Netherlands</v>
          </cell>
        </row>
        <row r="170">
          <cell r="A170" t="str">
            <v>St. BarthÃ©lemy</v>
          </cell>
        </row>
        <row r="171">
          <cell r="A171" t="str">
            <v>Belize</v>
          </cell>
        </row>
        <row r="172">
          <cell r="A172" t="str">
            <v>Bermuda</v>
          </cell>
        </row>
        <row r="173">
          <cell r="A173" t="str">
            <v>Barbados</v>
          </cell>
        </row>
        <row r="174">
          <cell r="A174" t="str">
            <v>Bhutan</v>
          </cell>
        </row>
        <row r="175">
          <cell r="A175" t="str">
            <v>Bouvet Island</v>
          </cell>
        </row>
        <row r="176">
          <cell r="A176" t="str">
            <v>Central African Republic</v>
          </cell>
        </row>
        <row r="177">
          <cell r="A177" t="str">
            <v>Cocos (Keeling) Islands</v>
          </cell>
        </row>
        <row r="178">
          <cell r="A178" t="str">
            <v>Cook Islands</v>
          </cell>
        </row>
        <row r="179">
          <cell r="A179" t="str">
            <v>Cape Verde</v>
          </cell>
        </row>
        <row r="180">
          <cell r="A180" t="str">
            <v>CuraÃ§ao</v>
          </cell>
        </row>
        <row r="181">
          <cell r="A181" t="str">
            <v>Christmas Island</v>
          </cell>
        </row>
        <row r="182">
          <cell r="A182" t="str">
            <v>Djibouti</v>
          </cell>
        </row>
        <row r="183">
          <cell r="A183" t="str">
            <v>Dominica</v>
          </cell>
        </row>
        <row r="184">
          <cell r="A184" t="str">
            <v>Eritrea</v>
          </cell>
        </row>
        <row r="185">
          <cell r="A185" t="str">
            <v>Western Sahara</v>
          </cell>
        </row>
        <row r="186">
          <cell r="A186" t="str">
            <v>Falkland Islands (Islas Malvinas)</v>
          </cell>
        </row>
        <row r="187">
          <cell r="A187" t="str">
            <v>Faroe Islands</v>
          </cell>
        </row>
        <row r="188">
          <cell r="A188" t="str">
            <v>Micronesia</v>
          </cell>
        </row>
        <row r="189">
          <cell r="A189" t="str">
            <v>Gabon</v>
          </cell>
        </row>
        <row r="190">
          <cell r="A190" t="str">
            <v>Gibraltar</v>
          </cell>
        </row>
        <row r="191">
          <cell r="A191" t="str">
            <v>Guinea</v>
          </cell>
        </row>
        <row r="192">
          <cell r="A192" t="str">
            <v>Gambia</v>
          </cell>
        </row>
        <row r="193">
          <cell r="A193" t="str">
            <v>Guinea-Bissau</v>
          </cell>
        </row>
        <row r="194">
          <cell r="A194" t="str">
            <v>Equatorial Guinea</v>
          </cell>
        </row>
        <row r="195">
          <cell r="A195" t="str">
            <v>Grenada</v>
          </cell>
        </row>
        <row r="196">
          <cell r="A196" t="str">
            <v>Greenland</v>
          </cell>
        </row>
        <row r="197">
          <cell r="A197" t="str">
            <v>Guam</v>
          </cell>
        </row>
        <row r="198">
          <cell r="A198" t="str">
            <v>Heard &amp; McDonald Islands</v>
          </cell>
        </row>
        <row r="199">
          <cell r="A199" t="str">
            <v>British Indian Ocean Territory</v>
          </cell>
        </row>
        <row r="200">
          <cell r="A200" t="str">
            <v>Kiribati</v>
          </cell>
        </row>
        <row r="201">
          <cell r="A201" t="str">
            <v>St. Kitts &amp; Nevis</v>
          </cell>
        </row>
        <row r="202">
          <cell r="A202" t="str">
            <v>Laos</v>
          </cell>
        </row>
        <row r="203">
          <cell r="A203" t="str">
            <v>Liberia</v>
          </cell>
        </row>
        <row r="204">
          <cell r="A204" t="str">
            <v>St. Lucia</v>
          </cell>
        </row>
        <row r="205">
          <cell r="A205" t="str">
            <v>St. Martin</v>
          </cell>
        </row>
        <row r="206">
          <cell r="A206" t="str">
            <v>Monaco</v>
          </cell>
        </row>
        <row r="207">
          <cell r="A207" t="str">
            <v>Maldives</v>
          </cell>
        </row>
        <row r="208">
          <cell r="A208" t="str">
            <v>Marshall Islands</v>
          </cell>
        </row>
        <row r="209">
          <cell r="A209" t="str">
            <v>Mali</v>
          </cell>
        </row>
        <row r="210">
          <cell r="A210" t="str">
            <v>Mongolia</v>
          </cell>
        </row>
        <row r="211">
          <cell r="A211" t="str">
            <v>Northern Mariana Islands</v>
          </cell>
        </row>
        <row r="212">
          <cell r="A212" t="str">
            <v>Mozambique</v>
          </cell>
        </row>
        <row r="213">
          <cell r="A213" t="str">
            <v>Mauritania</v>
          </cell>
        </row>
        <row r="214">
          <cell r="A214" t="str">
            <v>Montserrat</v>
          </cell>
        </row>
        <row r="215">
          <cell r="A215" t="str">
            <v>Mayotte</v>
          </cell>
        </row>
        <row r="216">
          <cell r="A216" t="str">
            <v>Niger</v>
          </cell>
        </row>
        <row r="217">
          <cell r="A217" t="str">
            <v>Norfolk Island</v>
          </cell>
        </row>
        <row r="218">
          <cell r="A218" t="str">
            <v>Niue</v>
          </cell>
        </row>
        <row r="219">
          <cell r="A219" t="str">
            <v>Nauru</v>
          </cell>
        </row>
        <row r="220">
          <cell r="A220" t="str">
            <v>Pitcairn Islands</v>
          </cell>
        </row>
        <row r="221">
          <cell r="A221" t="str">
            <v>Palau</v>
          </cell>
        </row>
        <row r="222">
          <cell r="A222" t="str">
            <v>Papua New Guinea</v>
          </cell>
        </row>
        <row r="223">
          <cell r="A223" t="str">
            <v>North Korea</v>
          </cell>
        </row>
        <row r="224">
          <cell r="A224" t="str">
            <v>Palestine</v>
          </cell>
        </row>
        <row r="225">
          <cell r="A225" t="str">
            <v>Rwanda</v>
          </cell>
        </row>
        <row r="226">
          <cell r="A226" t="str">
            <v>South Georgia &amp; South Sandwich Islands</v>
          </cell>
        </row>
        <row r="227">
          <cell r="A227" t="str">
            <v>Svalbard &amp; Jan Mayen</v>
          </cell>
        </row>
        <row r="228">
          <cell r="A228" t="str">
            <v>Solomon Islands</v>
          </cell>
        </row>
        <row r="229">
          <cell r="A229" t="str">
            <v>Sierra Leone</v>
          </cell>
        </row>
        <row r="230">
          <cell r="A230" t="str">
            <v>San Marino</v>
          </cell>
        </row>
        <row r="231">
          <cell r="A231" t="str">
            <v>Somalia</v>
          </cell>
        </row>
        <row r="232">
          <cell r="A232" t="str">
            <v>St. Pierre &amp; Miquelon</v>
          </cell>
        </row>
        <row r="233">
          <cell r="A233" t="str">
            <v>SÃ£o TomÃ© &amp; PrÃ­ncipe</v>
          </cell>
        </row>
        <row r="234">
          <cell r="A234" t="str">
            <v>Eswatini</v>
          </cell>
        </row>
        <row r="235">
          <cell r="A235" t="str">
            <v>Sint Maarten</v>
          </cell>
        </row>
        <row r="236">
          <cell r="A236" t="str">
            <v>Seychelles</v>
          </cell>
        </row>
        <row r="237">
          <cell r="A237" t="str">
            <v>Chad</v>
          </cell>
        </row>
        <row r="238">
          <cell r="A238" t="str">
            <v>Tajikistan</v>
          </cell>
        </row>
        <row r="239">
          <cell r="A239" t="str">
            <v>Tokelau</v>
          </cell>
        </row>
        <row r="240">
          <cell r="A240" t="str">
            <v>Turkmenistan</v>
          </cell>
        </row>
        <row r="241">
          <cell r="A241" t="str">
            <v>Timor-Leste</v>
          </cell>
        </row>
        <row r="242">
          <cell r="A242" t="str">
            <v>Tonga</v>
          </cell>
        </row>
        <row r="243">
          <cell r="A243" t="str">
            <v>Tuvalu</v>
          </cell>
        </row>
        <row r="244">
          <cell r="A244" t="str">
            <v>U.S. Outlying Islands</v>
          </cell>
        </row>
        <row r="245">
          <cell r="A245" t="str">
            <v>Vatican City</v>
          </cell>
        </row>
        <row r="246">
          <cell r="A246" t="str">
            <v>St. Vincent &amp; Grenadines</v>
          </cell>
        </row>
        <row r="247">
          <cell r="A247" t="str">
            <v>British Virgin Islands</v>
          </cell>
        </row>
        <row r="248">
          <cell r="A248" t="str">
            <v>U.S. Virgin Islands</v>
          </cell>
        </row>
        <row r="249">
          <cell r="A249" t="str">
            <v>Vanuatu</v>
          </cell>
        </row>
        <row r="250">
          <cell r="A250" t="str">
            <v>Wallis &amp; Futuna</v>
          </cell>
        </row>
        <row r="251">
          <cell r="A251" t="str">
            <v>Samoa</v>
          </cell>
        </row>
        <row r="252">
          <cell r="A252" t="str">
            <v>Kosovo</v>
          </cell>
        </row>
        <row r="253">
          <cell r="A253" t="str">
            <v>Yemen</v>
          </cell>
        </row>
      </sheetData>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53)"/>
    </sheetNames>
    <sheetDataSet>
      <sheetData sheetId="0" refreshError="1">
        <row r="1">
          <cell r="A1" t="str">
            <v>Category: All categories</v>
          </cell>
        </row>
        <row r="3">
          <cell r="A3" t="str">
            <v>Country</v>
          </cell>
          <cell r="B3" t="str">
            <v>Edge detection: (2018)</v>
          </cell>
          <cell r="C3" t="str">
            <v>Spectral graph theory: (2018)</v>
          </cell>
        </row>
        <row r="4">
          <cell r="A4" t="str">
            <v>China</v>
          </cell>
          <cell r="B4">
            <v>0.93</v>
          </cell>
          <cell r="C4">
            <v>7.0000000000000007E-2</v>
          </cell>
        </row>
        <row r="5">
          <cell r="A5" t="str">
            <v>South Korea</v>
          </cell>
          <cell r="B5">
            <v>1</v>
          </cell>
        </row>
        <row r="6">
          <cell r="A6" t="str">
            <v>Hong Kong</v>
          </cell>
          <cell r="B6">
            <v>1</v>
          </cell>
        </row>
        <row r="7">
          <cell r="A7" t="str">
            <v>Singapore</v>
          </cell>
          <cell r="B7">
            <v>1</v>
          </cell>
        </row>
        <row r="8">
          <cell r="A8" t="str">
            <v>Pakistan</v>
          </cell>
          <cell r="B8">
            <v>1</v>
          </cell>
        </row>
        <row r="9">
          <cell r="A9" t="str">
            <v>Sri Lanka</v>
          </cell>
          <cell r="B9">
            <v>1</v>
          </cell>
        </row>
        <row r="10">
          <cell r="A10" t="str">
            <v>Tunisia</v>
          </cell>
          <cell r="B10">
            <v>1</v>
          </cell>
        </row>
        <row r="11">
          <cell r="A11" t="str">
            <v>India</v>
          </cell>
          <cell r="B11">
            <v>0.97</v>
          </cell>
          <cell r="C11">
            <v>0.03</v>
          </cell>
        </row>
        <row r="12">
          <cell r="A12" t="str">
            <v>Iraq</v>
          </cell>
          <cell r="B12">
            <v>1</v>
          </cell>
        </row>
        <row r="13">
          <cell r="A13" t="str">
            <v>St. Helena</v>
          </cell>
          <cell r="B13">
            <v>1</v>
          </cell>
        </row>
        <row r="14">
          <cell r="A14" t="str">
            <v>Bangladesh</v>
          </cell>
          <cell r="B14">
            <v>1</v>
          </cell>
        </row>
        <row r="15">
          <cell r="A15" t="str">
            <v>Taiwan</v>
          </cell>
          <cell r="B15">
            <v>1</v>
          </cell>
        </row>
        <row r="16">
          <cell r="A16" t="str">
            <v>Ghana</v>
          </cell>
          <cell r="B16">
            <v>1</v>
          </cell>
        </row>
        <row r="17">
          <cell r="A17" t="str">
            <v>Denmark</v>
          </cell>
          <cell r="B17">
            <v>1</v>
          </cell>
        </row>
        <row r="18">
          <cell r="A18" t="str">
            <v>Israel</v>
          </cell>
          <cell r="B18">
            <v>1</v>
          </cell>
        </row>
        <row r="19">
          <cell r="A19" t="str">
            <v>Malaysia</v>
          </cell>
          <cell r="B19">
            <v>1</v>
          </cell>
        </row>
        <row r="20">
          <cell r="A20" t="str">
            <v>Japan</v>
          </cell>
          <cell r="B20">
            <v>1</v>
          </cell>
        </row>
        <row r="21">
          <cell r="A21" t="str">
            <v>Switzerland</v>
          </cell>
          <cell r="B21">
            <v>1</v>
          </cell>
        </row>
        <row r="22">
          <cell r="A22" t="str">
            <v>Germany</v>
          </cell>
          <cell r="B22">
            <v>1</v>
          </cell>
        </row>
        <row r="23">
          <cell r="A23" t="str">
            <v>Czechia</v>
          </cell>
          <cell r="B23">
            <v>1</v>
          </cell>
        </row>
        <row r="24">
          <cell r="A24" t="str">
            <v>Canada</v>
          </cell>
          <cell r="B24">
            <v>0.9</v>
          </cell>
          <cell r="C24">
            <v>0.1</v>
          </cell>
        </row>
        <row r="25">
          <cell r="A25" t="str">
            <v>Austria</v>
          </cell>
          <cell r="B25">
            <v>1</v>
          </cell>
        </row>
        <row r="26">
          <cell r="A26" t="str">
            <v>New Zealand</v>
          </cell>
          <cell r="B26">
            <v>1</v>
          </cell>
        </row>
        <row r="27">
          <cell r="A27" t="str">
            <v>Romania</v>
          </cell>
          <cell r="B27">
            <v>1</v>
          </cell>
        </row>
        <row r="28">
          <cell r="A28" t="str">
            <v>Egypt</v>
          </cell>
          <cell r="B28">
            <v>1</v>
          </cell>
        </row>
        <row r="29">
          <cell r="A29" t="str">
            <v>Iran</v>
          </cell>
          <cell r="B29">
            <v>1</v>
          </cell>
        </row>
        <row r="30">
          <cell r="A30" t="str">
            <v>Sweden</v>
          </cell>
          <cell r="B30">
            <v>1</v>
          </cell>
        </row>
        <row r="31">
          <cell r="A31" t="str">
            <v>United States</v>
          </cell>
          <cell r="B31">
            <v>0.89</v>
          </cell>
          <cell r="C31">
            <v>0.11</v>
          </cell>
        </row>
        <row r="32">
          <cell r="A32" t="str">
            <v>Hungary</v>
          </cell>
          <cell r="B32">
            <v>1</v>
          </cell>
        </row>
        <row r="33">
          <cell r="A33" t="str">
            <v>United Kingdom</v>
          </cell>
          <cell r="B33">
            <v>0.92</v>
          </cell>
          <cell r="C33">
            <v>0.08</v>
          </cell>
        </row>
        <row r="34">
          <cell r="A34" t="str">
            <v>Australia</v>
          </cell>
          <cell r="B34">
            <v>1</v>
          </cell>
        </row>
        <row r="35">
          <cell r="A35" t="str">
            <v>Norway</v>
          </cell>
          <cell r="B35">
            <v>1</v>
          </cell>
        </row>
        <row r="36">
          <cell r="A36" t="str">
            <v>Philippines</v>
          </cell>
          <cell r="B36">
            <v>1</v>
          </cell>
        </row>
        <row r="37">
          <cell r="A37" t="str">
            <v>Belgium</v>
          </cell>
          <cell r="B37">
            <v>1</v>
          </cell>
        </row>
        <row r="38">
          <cell r="A38" t="str">
            <v>Finland</v>
          </cell>
          <cell r="B38">
            <v>1</v>
          </cell>
        </row>
        <row r="39">
          <cell r="A39" t="str">
            <v>United Arab Emirates</v>
          </cell>
          <cell r="B39">
            <v>1</v>
          </cell>
        </row>
        <row r="40">
          <cell r="A40" t="str">
            <v>Ireland</v>
          </cell>
          <cell r="B40">
            <v>1</v>
          </cell>
        </row>
        <row r="41">
          <cell r="A41" t="str">
            <v>Netherlands</v>
          </cell>
          <cell r="B41">
            <v>1</v>
          </cell>
        </row>
        <row r="42">
          <cell r="A42" t="str">
            <v>Portugal</v>
          </cell>
          <cell r="B42">
            <v>1</v>
          </cell>
        </row>
        <row r="43">
          <cell r="A43" t="str">
            <v>Morocco</v>
          </cell>
          <cell r="B43">
            <v>1</v>
          </cell>
        </row>
        <row r="44">
          <cell r="A44" t="str">
            <v>Thailand</v>
          </cell>
          <cell r="B44">
            <v>1</v>
          </cell>
        </row>
        <row r="45">
          <cell r="A45" t="str">
            <v>South Africa</v>
          </cell>
          <cell r="B45">
            <v>1</v>
          </cell>
        </row>
        <row r="46">
          <cell r="A46" t="str">
            <v>Turkey</v>
          </cell>
          <cell r="B46">
            <v>1</v>
          </cell>
        </row>
        <row r="47">
          <cell r="A47" t="str">
            <v>Vietnam</v>
          </cell>
          <cell r="B47">
            <v>1</v>
          </cell>
        </row>
        <row r="48">
          <cell r="A48" t="str">
            <v>France</v>
          </cell>
          <cell r="B48">
            <v>1</v>
          </cell>
        </row>
        <row r="49">
          <cell r="A49" t="str">
            <v>Algeria</v>
          </cell>
          <cell r="B49">
            <v>1</v>
          </cell>
        </row>
        <row r="50">
          <cell r="A50" t="str">
            <v>Poland</v>
          </cell>
          <cell r="B50">
            <v>1</v>
          </cell>
        </row>
        <row r="51">
          <cell r="A51" t="str">
            <v>Indonesia</v>
          </cell>
          <cell r="B51">
            <v>1</v>
          </cell>
        </row>
        <row r="52">
          <cell r="A52" t="str">
            <v>Russia</v>
          </cell>
          <cell r="B52">
            <v>1</v>
          </cell>
        </row>
        <row r="53">
          <cell r="A53" t="str">
            <v>Colombia</v>
          </cell>
          <cell r="B53">
            <v>1</v>
          </cell>
        </row>
        <row r="54">
          <cell r="A54" t="str">
            <v>Greece</v>
          </cell>
          <cell r="B54">
            <v>1</v>
          </cell>
        </row>
        <row r="55">
          <cell r="A55" t="str">
            <v>Mexico</v>
          </cell>
          <cell r="B55">
            <v>1</v>
          </cell>
        </row>
        <row r="56">
          <cell r="A56" t="str">
            <v>Italy</v>
          </cell>
          <cell r="B56">
            <v>1</v>
          </cell>
        </row>
        <row r="57">
          <cell r="A57" t="str">
            <v>Ukraine</v>
          </cell>
          <cell r="B57">
            <v>1</v>
          </cell>
        </row>
        <row r="58">
          <cell r="A58" t="str">
            <v>Spain</v>
          </cell>
          <cell r="B58">
            <v>1</v>
          </cell>
        </row>
        <row r="59">
          <cell r="A59" t="str">
            <v>Brazil</v>
          </cell>
          <cell r="B59">
            <v>1</v>
          </cell>
        </row>
        <row r="60">
          <cell r="A60" t="str">
            <v>Saudi Arabia</v>
          </cell>
          <cell r="B60">
            <v>1</v>
          </cell>
        </row>
        <row r="61">
          <cell r="A61" t="str">
            <v>French Guiana</v>
          </cell>
        </row>
        <row r="62">
          <cell r="A62" t="str">
            <v>Rwanda</v>
          </cell>
        </row>
        <row r="63">
          <cell r="A63" t="str">
            <v>Brunei</v>
          </cell>
        </row>
        <row r="64">
          <cell r="A64" t="str">
            <v>Jersey</v>
          </cell>
        </row>
        <row r="65">
          <cell r="A65" t="str">
            <v>Cuba</v>
          </cell>
        </row>
        <row r="66">
          <cell r="A66" t="str">
            <v>Myanmar (Burma)</v>
          </cell>
        </row>
        <row r="67">
          <cell r="A67" t="str">
            <v>Benin</v>
          </cell>
        </row>
        <row r="68">
          <cell r="A68" t="str">
            <v>Madagascar</v>
          </cell>
        </row>
        <row r="69">
          <cell r="A69" t="str">
            <v>Ethiopia</v>
          </cell>
        </row>
        <row r="70">
          <cell r="A70" t="str">
            <v>Syria</v>
          </cell>
        </row>
        <row r="71">
          <cell r="A71" t="str">
            <v>Iceland</v>
          </cell>
        </row>
        <row r="72">
          <cell r="A72" t="str">
            <v>Mongolia</v>
          </cell>
        </row>
        <row r="73">
          <cell r="A73" t="str">
            <v>Nepal</v>
          </cell>
        </row>
        <row r="74">
          <cell r="A74" t="str">
            <v>Malta</v>
          </cell>
        </row>
        <row r="75">
          <cell r="A75" t="str">
            <v>Sudan</v>
          </cell>
        </row>
        <row r="76">
          <cell r="A76" t="str">
            <v>Moldova</v>
          </cell>
        </row>
        <row r="77">
          <cell r="A77" t="str">
            <v>Trinidad &amp; Tobago</v>
          </cell>
        </row>
        <row r="78">
          <cell r="A78" t="str">
            <v>Lebanon</v>
          </cell>
        </row>
        <row r="79">
          <cell r="A79" t="str">
            <v>Luxembourg</v>
          </cell>
        </row>
        <row r="80">
          <cell r="A80" t="str">
            <v>Qatar</v>
          </cell>
        </row>
        <row r="81">
          <cell r="A81" t="str">
            <v>Jamaica</v>
          </cell>
        </row>
        <row r="82">
          <cell r="A82" t="str">
            <v>Uganda</v>
          </cell>
        </row>
        <row r="83">
          <cell r="A83" t="str">
            <v>Latvia</v>
          </cell>
        </row>
        <row r="84">
          <cell r="A84" t="str">
            <v>North Macedonia</v>
          </cell>
        </row>
        <row r="85">
          <cell r="A85" t="str">
            <v>Yemen</v>
          </cell>
        </row>
        <row r="86">
          <cell r="A86" t="str">
            <v>Albania</v>
          </cell>
        </row>
        <row r="87">
          <cell r="A87" t="str">
            <v>Costa Rica</v>
          </cell>
        </row>
        <row r="88">
          <cell r="A88" t="str">
            <v>Lithuania</v>
          </cell>
        </row>
        <row r="89">
          <cell r="A89" t="str">
            <v>Jordan</v>
          </cell>
        </row>
        <row r="90">
          <cell r="A90" t="str">
            <v>Bosnia &amp; Herzegovina</v>
          </cell>
        </row>
        <row r="91">
          <cell r="A91" t="str">
            <v>Cyprus</v>
          </cell>
        </row>
        <row r="92">
          <cell r="A92" t="str">
            <v>Cambodia</v>
          </cell>
        </row>
        <row r="93">
          <cell r="A93" t="str">
            <v>Slovakia</v>
          </cell>
        </row>
        <row r="94">
          <cell r="A94" t="str">
            <v>Estonia</v>
          </cell>
        </row>
        <row r="95">
          <cell r="A95" t="str">
            <v>Georgia</v>
          </cell>
        </row>
        <row r="96">
          <cell r="A96" t="str">
            <v>Croatia</v>
          </cell>
        </row>
        <row r="97">
          <cell r="A97" t="str">
            <v>Serbia</v>
          </cell>
        </row>
        <row r="98">
          <cell r="A98" t="str">
            <v>Ecuador</v>
          </cell>
        </row>
        <row r="99">
          <cell r="A99" t="str">
            <v>Bulgaria</v>
          </cell>
        </row>
        <row r="100">
          <cell r="A100" t="str">
            <v>Slovenia</v>
          </cell>
        </row>
        <row r="101">
          <cell r="A101" t="str">
            <v>Nigeria</v>
          </cell>
        </row>
        <row r="102">
          <cell r="A102" t="str">
            <v>Bolivia</v>
          </cell>
        </row>
        <row r="103">
          <cell r="A103" t="str">
            <v>Uruguay</v>
          </cell>
        </row>
        <row r="104">
          <cell r="A104" t="str">
            <v>Kazakhstan</v>
          </cell>
        </row>
        <row r="105">
          <cell r="A105" t="str">
            <v>Peru</v>
          </cell>
        </row>
        <row r="106">
          <cell r="A106" t="str">
            <v>Chile</v>
          </cell>
        </row>
        <row r="107">
          <cell r="A107" t="str">
            <v>Kenya</v>
          </cell>
        </row>
        <row r="108">
          <cell r="A108" t="str">
            <v>Argentina</v>
          </cell>
        </row>
        <row r="109">
          <cell r="A109" t="str">
            <v>Belarus</v>
          </cell>
        </row>
        <row r="110">
          <cell r="A110" t="str">
            <v>Venezuela</v>
          </cell>
        </row>
        <row r="111">
          <cell r="A111" t="str">
            <v>Aruba</v>
          </cell>
        </row>
        <row r="112">
          <cell r="A112" t="str">
            <v>Afghanistan</v>
          </cell>
        </row>
        <row r="113">
          <cell r="A113" t="str">
            <v>Angola</v>
          </cell>
        </row>
        <row r="114">
          <cell r="A114" t="str">
            <v>Anguilla</v>
          </cell>
        </row>
        <row r="115">
          <cell r="A115" t="str">
            <v>Ã…land Islands</v>
          </cell>
        </row>
        <row r="116">
          <cell r="A116" t="str">
            <v>Andorra</v>
          </cell>
        </row>
        <row r="117">
          <cell r="A117" t="str">
            <v>Armenia</v>
          </cell>
        </row>
        <row r="118">
          <cell r="A118" t="str">
            <v>American Samoa</v>
          </cell>
        </row>
        <row r="119">
          <cell r="A119" t="str">
            <v>Antarctica</v>
          </cell>
        </row>
        <row r="120">
          <cell r="A120" t="str">
            <v>French Southern Territories</v>
          </cell>
        </row>
        <row r="121">
          <cell r="A121" t="str">
            <v>Antigua &amp; Barbuda</v>
          </cell>
        </row>
        <row r="122">
          <cell r="A122" t="str">
            <v>Azerbaijan</v>
          </cell>
        </row>
        <row r="123">
          <cell r="A123" t="str">
            <v>Burundi</v>
          </cell>
        </row>
        <row r="124">
          <cell r="A124" t="str">
            <v>Caribbean Netherlands</v>
          </cell>
        </row>
        <row r="125">
          <cell r="A125" t="str">
            <v>Burkina Faso</v>
          </cell>
        </row>
        <row r="126">
          <cell r="A126" t="str">
            <v>Bahrain</v>
          </cell>
        </row>
        <row r="127">
          <cell r="A127" t="str">
            <v>Bahamas</v>
          </cell>
        </row>
        <row r="128">
          <cell r="A128" t="str">
            <v>St. BarthÃ©lemy</v>
          </cell>
        </row>
        <row r="129">
          <cell r="A129" t="str">
            <v>Belize</v>
          </cell>
        </row>
        <row r="130">
          <cell r="A130" t="str">
            <v>Bermuda</v>
          </cell>
        </row>
        <row r="131">
          <cell r="A131" t="str">
            <v>Barbados</v>
          </cell>
        </row>
        <row r="132">
          <cell r="A132" t="str">
            <v>Bhutan</v>
          </cell>
        </row>
        <row r="133">
          <cell r="A133" t="str">
            <v>Bouvet Island</v>
          </cell>
        </row>
        <row r="134">
          <cell r="A134" t="str">
            <v>Botswana</v>
          </cell>
        </row>
        <row r="135">
          <cell r="A135" t="str">
            <v>Central African Republic</v>
          </cell>
        </row>
        <row r="136">
          <cell r="A136" t="str">
            <v>Cocos (Keeling) Islands</v>
          </cell>
        </row>
        <row r="137">
          <cell r="A137" t="str">
            <v>CÃ´te dâ€™Ivoire</v>
          </cell>
        </row>
        <row r="138">
          <cell r="A138" t="str">
            <v>Cameroon</v>
          </cell>
        </row>
        <row r="139">
          <cell r="A139" t="str">
            <v>Congo - Kinshasa</v>
          </cell>
        </row>
        <row r="140">
          <cell r="A140" t="str">
            <v>Congo - Brazzaville</v>
          </cell>
        </row>
        <row r="141">
          <cell r="A141" t="str">
            <v>Cook Islands</v>
          </cell>
        </row>
        <row r="142">
          <cell r="A142" t="str">
            <v>Comoros</v>
          </cell>
        </row>
        <row r="143">
          <cell r="A143" t="str">
            <v>Cape Verde</v>
          </cell>
        </row>
        <row r="144">
          <cell r="A144" t="str">
            <v>CuraÃ§ao</v>
          </cell>
        </row>
        <row r="145">
          <cell r="A145" t="str">
            <v>Christmas Island</v>
          </cell>
        </row>
        <row r="146">
          <cell r="A146" t="str">
            <v>Cayman Islands</v>
          </cell>
        </row>
        <row r="147">
          <cell r="A147" t="str">
            <v>Djibouti</v>
          </cell>
        </row>
        <row r="148">
          <cell r="A148" t="str">
            <v>Dominica</v>
          </cell>
        </row>
        <row r="149">
          <cell r="A149" t="str">
            <v>Dominican Republic</v>
          </cell>
        </row>
        <row r="150">
          <cell r="A150" t="str">
            <v>Eritrea</v>
          </cell>
        </row>
        <row r="151">
          <cell r="A151" t="str">
            <v>Western Sahara</v>
          </cell>
        </row>
        <row r="152">
          <cell r="A152" t="str">
            <v>Fiji</v>
          </cell>
        </row>
        <row r="153">
          <cell r="A153" t="str">
            <v>Falkland Islands (Islas Malvinas)</v>
          </cell>
        </row>
        <row r="154">
          <cell r="A154" t="str">
            <v>Faroe Islands</v>
          </cell>
        </row>
        <row r="155">
          <cell r="A155" t="str">
            <v>Micronesia</v>
          </cell>
        </row>
        <row r="156">
          <cell r="A156" t="str">
            <v>Gabon</v>
          </cell>
        </row>
        <row r="157">
          <cell r="A157" t="str">
            <v>Guernsey</v>
          </cell>
        </row>
        <row r="158">
          <cell r="A158" t="str">
            <v>Gibraltar</v>
          </cell>
        </row>
        <row r="159">
          <cell r="A159" t="str">
            <v>Guinea</v>
          </cell>
        </row>
        <row r="160">
          <cell r="A160" t="str">
            <v>Guadeloupe</v>
          </cell>
        </row>
        <row r="161">
          <cell r="A161" t="str">
            <v>Gambia</v>
          </cell>
        </row>
        <row r="162">
          <cell r="A162" t="str">
            <v>Guinea-Bissau</v>
          </cell>
        </row>
        <row r="163">
          <cell r="A163" t="str">
            <v>Equatorial Guinea</v>
          </cell>
        </row>
        <row r="164">
          <cell r="A164" t="str">
            <v>Grenada</v>
          </cell>
        </row>
        <row r="165">
          <cell r="A165" t="str">
            <v>Greenland</v>
          </cell>
        </row>
        <row r="166">
          <cell r="A166" t="str">
            <v>Guatemala</v>
          </cell>
        </row>
        <row r="167">
          <cell r="A167" t="str">
            <v>Guam</v>
          </cell>
        </row>
        <row r="168">
          <cell r="A168" t="str">
            <v>Guyana</v>
          </cell>
        </row>
        <row r="169">
          <cell r="A169" t="str">
            <v>Heard &amp; McDonald Islands</v>
          </cell>
        </row>
        <row r="170">
          <cell r="A170" t="str">
            <v>Honduras</v>
          </cell>
        </row>
        <row r="171">
          <cell r="A171" t="str">
            <v>Haiti</v>
          </cell>
        </row>
        <row r="172">
          <cell r="A172" t="str">
            <v>Isle of Man</v>
          </cell>
        </row>
        <row r="173">
          <cell r="A173" t="str">
            <v>British Indian Ocean Territory</v>
          </cell>
        </row>
        <row r="174">
          <cell r="A174" t="str">
            <v>Kyrgyzstan</v>
          </cell>
        </row>
        <row r="175">
          <cell r="A175" t="str">
            <v>Kiribati</v>
          </cell>
        </row>
        <row r="176">
          <cell r="A176" t="str">
            <v>St. Kitts &amp; Nevis</v>
          </cell>
        </row>
        <row r="177">
          <cell r="A177" t="str">
            <v>Kuwait</v>
          </cell>
        </row>
        <row r="178">
          <cell r="A178" t="str">
            <v>Laos</v>
          </cell>
        </row>
        <row r="179">
          <cell r="A179" t="str">
            <v>Liberia</v>
          </cell>
        </row>
        <row r="180">
          <cell r="A180" t="str">
            <v>Libya</v>
          </cell>
        </row>
        <row r="181">
          <cell r="A181" t="str">
            <v>St. Lucia</v>
          </cell>
        </row>
        <row r="182">
          <cell r="A182" t="str">
            <v>Liechtenstein</v>
          </cell>
        </row>
        <row r="183">
          <cell r="A183" t="str">
            <v>Lesotho</v>
          </cell>
        </row>
        <row r="184">
          <cell r="A184" t="str">
            <v>Macao</v>
          </cell>
        </row>
        <row r="185">
          <cell r="A185" t="str">
            <v>St. Martin</v>
          </cell>
        </row>
        <row r="186">
          <cell r="A186" t="str">
            <v>Monaco</v>
          </cell>
        </row>
        <row r="187">
          <cell r="A187" t="str">
            <v>Maldives</v>
          </cell>
        </row>
        <row r="188">
          <cell r="A188" t="str">
            <v>Marshall Islands</v>
          </cell>
        </row>
        <row r="189">
          <cell r="A189" t="str">
            <v>Mali</v>
          </cell>
        </row>
        <row r="190">
          <cell r="A190" t="str">
            <v>Montenegro</v>
          </cell>
        </row>
        <row r="191">
          <cell r="A191" t="str">
            <v>Northern Mariana Islands</v>
          </cell>
        </row>
        <row r="192">
          <cell r="A192" t="str">
            <v>Mozambique</v>
          </cell>
        </row>
        <row r="193">
          <cell r="A193" t="str">
            <v>Mauritania</v>
          </cell>
        </row>
        <row r="194">
          <cell r="A194" t="str">
            <v>Montserrat</v>
          </cell>
        </row>
        <row r="195">
          <cell r="A195" t="str">
            <v>Martinique</v>
          </cell>
        </row>
        <row r="196">
          <cell r="A196" t="str">
            <v>Mauritius</v>
          </cell>
        </row>
        <row r="197">
          <cell r="A197" t="str">
            <v>Malawi</v>
          </cell>
        </row>
        <row r="198">
          <cell r="A198" t="str">
            <v>Mayotte</v>
          </cell>
        </row>
        <row r="199">
          <cell r="A199" t="str">
            <v>Namibia</v>
          </cell>
        </row>
        <row r="200">
          <cell r="A200" t="str">
            <v>New Caledonia</v>
          </cell>
        </row>
        <row r="201">
          <cell r="A201" t="str">
            <v>Niger</v>
          </cell>
        </row>
        <row r="202">
          <cell r="A202" t="str">
            <v>Norfolk Island</v>
          </cell>
        </row>
        <row r="203">
          <cell r="A203" t="str">
            <v>Nicaragua</v>
          </cell>
        </row>
        <row r="204">
          <cell r="A204" t="str">
            <v>Niue</v>
          </cell>
        </row>
        <row r="205">
          <cell r="A205" t="str">
            <v>Nauru</v>
          </cell>
        </row>
        <row r="206">
          <cell r="A206" t="str">
            <v>Oman</v>
          </cell>
        </row>
        <row r="207">
          <cell r="A207" t="str">
            <v>Panama</v>
          </cell>
        </row>
        <row r="208">
          <cell r="A208" t="str">
            <v>Pitcairn Islands</v>
          </cell>
        </row>
        <row r="209">
          <cell r="A209" t="str">
            <v>Palau</v>
          </cell>
        </row>
        <row r="210">
          <cell r="A210" t="str">
            <v>Papua New Guinea</v>
          </cell>
        </row>
        <row r="211">
          <cell r="A211" t="str">
            <v>Puerto Rico</v>
          </cell>
        </row>
        <row r="212">
          <cell r="A212" t="str">
            <v>North Korea</v>
          </cell>
        </row>
        <row r="213">
          <cell r="A213" t="str">
            <v>Paraguay</v>
          </cell>
        </row>
        <row r="214">
          <cell r="A214" t="str">
            <v>Palestine</v>
          </cell>
        </row>
        <row r="215">
          <cell r="A215" t="str">
            <v>French Polynesia</v>
          </cell>
        </row>
        <row r="216">
          <cell r="A216" t="str">
            <v>RÃ©union</v>
          </cell>
        </row>
        <row r="217">
          <cell r="A217" t="str">
            <v>Senegal</v>
          </cell>
        </row>
        <row r="218">
          <cell r="A218" t="str">
            <v>South Georgia &amp; South Sandwich Islands</v>
          </cell>
        </row>
        <row r="219">
          <cell r="A219" t="str">
            <v>Svalbard &amp; Jan Mayen</v>
          </cell>
        </row>
        <row r="220">
          <cell r="A220" t="str">
            <v>Solomon Islands</v>
          </cell>
        </row>
        <row r="221">
          <cell r="A221" t="str">
            <v>Sierra Leone</v>
          </cell>
        </row>
        <row r="222">
          <cell r="A222" t="str">
            <v>El Salvador</v>
          </cell>
        </row>
        <row r="223">
          <cell r="A223" t="str">
            <v>San Marino</v>
          </cell>
        </row>
        <row r="224">
          <cell r="A224" t="str">
            <v>Somalia</v>
          </cell>
        </row>
        <row r="225">
          <cell r="A225" t="str">
            <v>St. Pierre &amp; Miquelon</v>
          </cell>
        </row>
        <row r="226">
          <cell r="A226" t="str">
            <v>South Sudan</v>
          </cell>
        </row>
        <row r="227">
          <cell r="A227" t="str">
            <v>SÃ£o TomÃ© &amp; PrÃ­ncipe</v>
          </cell>
        </row>
        <row r="228">
          <cell r="A228" t="str">
            <v>Suriname</v>
          </cell>
        </row>
        <row r="229">
          <cell r="A229" t="str">
            <v>Eswatini</v>
          </cell>
        </row>
        <row r="230">
          <cell r="A230" t="str">
            <v>Sint Maarten</v>
          </cell>
        </row>
        <row r="231">
          <cell r="A231" t="str">
            <v>Seychelles</v>
          </cell>
        </row>
        <row r="232">
          <cell r="A232" t="str">
            <v>Turks &amp; Caicos Islands</v>
          </cell>
        </row>
        <row r="233">
          <cell r="A233" t="str">
            <v>Chad</v>
          </cell>
        </row>
        <row r="234">
          <cell r="A234" t="str">
            <v>Togo</v>
          </cell>
        </row>
        <row r="235">
          <cell r="A235" t="str">
            <v>Tajikistan</v>
          </cell>
        </row>
        <row r="236">
          <cell r="A236" t="str">
            <v>Tokelau</v>
          </cell>
        </row>
        <row r="237">
          <cell r="A237" t="str">
            <v>Turkmenistan</v>
          </cell>
        </row>
        <row r="238">
          <cell r="A238" t="str">
            <v>Timor-Leste</v>
          </cell>
        </row>
        <row r="239">
          <cell r="A239" t="str">
            <v>Tonga</v>
          </cell>
        </row>
        <row r="240">
          <cell r="A240" t="str">
            <v>Tuvalu</v>
          </cell>
        </row>
        <row r="241">
          <cell r="A241" t="str">
            <v>Tanzania</v>
          </cell>
        </row>
        <row r="242">
          <cell r="A242" t="str">
            <v>U.S. Outlying Islands</v>
          </cell>
        </row>
        <row r="243">
          <cell r="A243" t="str">
            <v>Uzbekistan</v>
          </cell>
        </row>
        <row r="244">
          <cell r="A244" t="str">
            <v>Vatican City</v>
          </cell>
        </row>
        <row r="245">
          <cell r="A245" t="str">
            <v>St. Vincent &amp; Grenadines</v>
          </cell>
        </row>
        <row r="246">
          <cell r="A246" t="str">
            <v>British Virgin Islands</v>
          </cell>
        </row>
        <row r="247">
          <cell r="A247" t="str">
            <v>U.S. Virgin Islands</v>
          </cell>
        </row>
        <row r="248">
          <cell r="A248" t="str">
            <v>Vanuatu</v>
          </cell>
        </row>
        <row r="249">
          <cell r="A249" t="str">
            <v>Wallis &amp; Futuna</v>
          </cell>
        </row>
        <row r="250">
          <cell r="A250" t="str">
            <v>Samoa</v>
          </cell>
        </row>
        <row r="251">
          <cell r="A251" t="str">
            <v>Kosovo</v>
          </cell>
        </row>
        <row r="252">
          <cell r="A252" t="str">
            <v>Zambia</v>
          </cell>
        </row>
        <row r="253">
          <cell r="A253" t="str">
            <v>Zimbabwe</v>
          </cell>
        </row>
      </sheetData>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55)"/>
    </sheetNames>
    <sheetDataSet>
      <sheetData sheetId="0" refreshError="1">
        <row r="1">
          <cell r="A1" t="str">
            <v>Category: All categories</v>
          </cell>
        </row>
        <row r="3">
          <cell r="A3" t="str">
            <v>Country</v>
          </cell>
          <cell r="B3" t="str">
            <v>P versus NP problem: (2018)</v>
          </cell>
          <cell r="C3" t="str">
            <v>Cookâ€“Levin theorem: (2018)</v>
          </cell>
        </row>
        <row r="4">
          <cell r="A4" t="str">
            <v>China</v>
          </cell>
          <cell r="B4">
            <v>1</v>
          </cell>
        </row>
        <row r="5">
          <cell r="A5" t="str">
            <v>South Korea</v>
          </cell>
          <cell r="B5">
            <v>0.94</v>
          </cell>
          <cell r="C5">
            <v>0.06</v>
          </cell>
        </row>
        <row r="6">
          <cell r="A6" t="str">
            <v>Austria</v>
          </cell>
          <cell r="B6">
            <v>1</v>
          </cell>
        </row>
        <row r="7">
          <cell r="A7" t="str">
            <v>Germany</v>
          </cell>
          <cell r="B7">
            <v>0.97</v>
          </cell>
          <cell r="C7">
            <v>0.03</v>
          </cell>
        </row>
        <row r="8">
          <cell r="A8" t="str">
            <v>Nepal</v>
          </cell>
        </row>
        <row r="9">
          <cell r="A9" t="str">
            <v>Singapore</v>
          </cell>
          <cell r="B9">
            <v>1</v>
          </cell>
        </row>
        <row r="10">
          <cell r="A10" t="str">
            <v>Norway</v>
          </cell>
          <cell r="B10">
            <v>1</v>
          </cell>
        </row>
        <row r="11">
          <cell r="A11" t="str">
            <v>Hong Kong</v>
          </cell>
          <cell r="B11">
            <v>1</v>
          </cell>
        </row>
        <row r="12">
          <cell r="A12" t="str">
            <v>Israel</v>
          </cell>
          <cell r="B12">
            <v>0.71</v>
          </cell>
          <cell r="C12">
            <v>0.28999999999999998</v>
          </cell>
        </row>
        <row r="13">
          <cell r="A13" t="str">
            <v>Switzerland</v>
          </cell>
          <cell r="B13">
            <v>1</v>
          </cell>
        </row>
        <row r="14">
          <cell r="A14" t="str">
            <v>United States</v>
          </cell>
          <cell r="B14">
            <v>0.95</v>
          </cell>
          <cell r="C14">
            <v>0.05</v>
          </cell>
        </row>
        <row r="15">
          <cell r="A15" t="str">
            <v>South Africa</v>
          </cell>
          <cell r="B15">
            <v>1</v>
          </cell>
        </row>
        <row r="16">
          <cell r="A16" t="str">
            <v>Czechia</v>
          </cell>
          <cell r="B16">
            <v>1</v>
          </cell>
        </row>
        <row r="17">
          <cell r="A17" t="str">
            <v>Peru</v>
          </cell>
          <cell r="B17">
            <v>1</v>
          </cell>
        </row>
        <row r="18">
          <cell r="A18" t="str">
            <v>Ghana</v>
          </cell>
        </row>
        <row r="19">
          <cell r="A19" t="str">
            <v>India</v>
          </cell>
          <cell r="B19">
            <v>0.77</v>
          </cell>
          <cell r="C19">
            <v>0.23</v>
          </cell>
        </row>
        <row r="20">
          <cell r="A20" t="str">
            <v>Australia</v>
          </cell>
          <cell r="B20">
            <v>1</v>
          </cell>
        </row>
        <row r="21">
          <cell r="A21" t="str">
            <v>Canada</v>
          </cell>
          <cell r="B21">
            <v>0.89</v>
          </cell>
          <cell r="C21">
            <v>0.11</v>
          </cell>
        </row>
        <row r="22">
          <cell r="A22" t="str">
            <v>Estonia</v>
          </cell>
        </row>
        <row r="23">
          <cell r="A23" t="str">
            <v>Pakistan</v>
          </cell>
          <cell r="B23">
            <v>1</v>
          </cell>
        </row>
        <row r="24">
          <cell r="A24" t="str">
            <v>Netherlands</v>
          </cell>
          <cell r="B24">
            <v>1</v>
          </cell>
        </row>
        <row r="25">
          <cell r="A25" t="str">
            <v>Bangladesh</v>
          </cell>
          <cell r="B25">
            <v>1</v>
          </cell>
        </row>
        <row r="26">
          <cell r="A26" t="str">
            <v>Mexico</v>
          </cell>
          <cell r="B26">
            <v>1</v>
          </cell>
        </row>
        <row r="27">
          <cell r="A27" t="str">
            <v>Hungary</v>
          </cell>
          <cell r="B27">
            <v>1</v>
          </cell>
        </row>
        <row r="28">
          <cell r="A28" t="str">
            <v>Denmark</v>
          </cell>
          <cell r="B28">
            <v>1</v>
          </cell>
        </row>
        <row r="29">
          <cell r="A29" t="str">
            <v>Spain</v>
          </cell>
          <cell r="B29">
            <v>1</v>
          </cell>
        </row>
        <row r="30">
          <cell r="A30" t="str">
            <v>Sweden</v>
          </cell>
          <cell r="B30">
            <v>1</v>
          </cell>
        </row>
        <row r="31">
          <cell r="A31" t="str">
            <v>Belarus</v>
          </cell>
          <cell r="B31">
            <v>1</v>
          </cell>
        </row>
        <row r="32">
          <cell r="A32" t="str">
            <v>New Zealand</v>
          </cell>
          <cell r="B32">
            <v>1</v>
          </cell>
        </row>
        <row r="33">
          <cell r="A33" t="str">
            <v>Colombia</v>
          </cell>
          <cell r="B33">
            <v>1</v>
          </cell>
        </row>
        <row r="34">
          <cell r="A34" t="str">
            <v>Ecuador</v>
          </cell>
          <cell r="B34">
            <v>1</v>
          </cell>
        </row>
        <row r="35">
          <cell r="A35" t="str">
            <v>Croatia</v>
          </cell>
          <cell r="B35">
            <v>1</v>
          </cell>
        </row>
        <row r="36">
          <cell r="A36" t="str">
            <v>Argentina</v>
          </cell>
          <cell r="B36">
            <v>1</v>
          </cell>
        </row>
        <row r="37">
          <cell r="A37" t="str">
            <v>Greece</v>
          </cell>
          <cell r="B37">
            <v>1</v>
          </cell>
        </row>
        <row r="38">
          <cell r="A38" t="str">
            <v>Chile</v>
          </cell>
          <cell r="B38">
            <v>1</v>
          </cell>
        </row>
        <row r="39">
          <cell r="A39" t="str">
            <v>Lithuania</v>
          </cell>
        </row>
        <row r="40">
          <cell r="A40" t="str">
            <v>United Kingdom</v>
          </cell>
          <cell r="B40">
            <v>0.98</v>
          </cell>
          <cell r="C40">
            <v>0.02</v>
          </cell>
        </row>
        <row r="41">
          <cell r="A41" t="str">
            <v>Taiwan</v>
          </cell>
          <cell r="B41">
            <v>1</v>
          </cell>
        </row>
        <row r="42">
          <cell r="A42" t="str">
            <v>Serbia</v>
          </cell>
          <cell r="B42">
            <v>1</v>
          </cell>
        </row>
        <row r="43">
          <cell r="A43" t="str">
            <v>Brazil</v>
          </cell>
          <cell r="B43">
            <v>1</v>
          </cell>
        </row>
        <row r="44">
          <cell r="A44" t="str">
            <v>United Arab Emirates</v>
          </cell>
          <cell r="B44">
            <v>1</v>
          </cell>
        </row>
        <row r="45">
          <cell r="A45" t="str">
            <v>Japan</v>
          </cell>
          <cell r="B45">
            <v>1</v>
          </cell>
        </row>
        <row r="46">
          <cell r="A46" t="str">
            <v>Finland</v>
          </cell>
          <cell r="B46">
            <v>1</v>
          </cell>
        </row>
        <row r="47">
          <cell r="A47" t="str">
            <v>Belgium</v>
          </cell>
          <cell r="B47">
            <v>1</v>
          </cell>
        </row>
        <row r="48">
          <cell r="A48" t="str">
            <v>Philippines</v>
          </cell>
          <cell r="B48">
            <v>1</v>
          </cell>
        </row>
        <row r="49">
          <cell r="A49" t="str">
            <v>Nigeria</v>
          </cell>
          <cell r="B49">
            <v>1</v>
          </cell>
        </row>
        <row r="50">
          <cell r="A50" t="str">
            <v>Ireland</v>
          </cell>
          <cell r="B50">
            <v>1</v>
          </cell>
        </row>
        <row r="51">
          <cell r="A51" t="str">
            <v>Portugal</v>
          </cell>
          <cell r="B51">
            <v>1</v>
          </cell>
        </row>
        <row r="52">
          <cell r="A52" t="str">
            <v>Malaysia</v>
          </cell>
          <cell r="B52">
            <v>1</v>
          </cell>
        </row>
        <row r="53">
          <cell r="A53" t="str">
            <v>Italy</v>
          </cell>
          <cell r="B53">
            <v>1</v>
          </cell>
        </row>
        <row r="54">
          <cell r="A54" t="str">
            <v>Romania</v>
          </cell>
          <cell r="B54">
            <v>1</v>
          </cell>
        </row>
        <row r="55">
          <cell r="A55" t="str">
            <v>Saudi Arabia</v>
          </cell>
          <cell r="B55">
            <v>1</v>
          </cell>
        </row>
        <row r="56">
          <cell r="A56" t="str">
            <v>Russia</v>
          </cell>
          <cell r="B56">
            <v>0.83</v>
          </cell>
          <cell r="C56">
            <v>0.17</v>
          </cell>
        </row>
        <row r="57">
          <cell r="A57" t="str">
            <v>France</v>
          </cell>
          <cell r="B57">
            <v>1</v>
          </cell>
        </row>
        <row r="58">
          <cell r="A58" t="str">
            <v>Poland</v>
          </cell>
          <cell r="B58">
            <v>1</v>
          </cell>
        </row>
        <row r="59">
          <cell r="A59" t="str">
            <v>Egypt</v>
          </cell>
          <cell r="B59">
            <v>1</v>
          </cell>
        </row>
        <row r="60">
          <cell r="A60" t="str">
            <v>Ukraine</v>
          </cell>
          <cell r="B60">
            <v>0.84</v>
          </cell>
          <cell r="C60">
            <v>0.16</v>
          </cell>
        </row>
        <row r="61">
          <cell r="A61" t="str">
            <v>Venezuela</v>
          </cell>
        </row>
        <row r="62">
          <cell r="A62" t="str">
            <v>Bulgaria</v>
          </cell>
        </row>
        <row r="63">
          <cell r="A63" t="str">
            <v>Thailand</v>
          </cell>
          <cell r="B63">
            <v>1</v>
          </cell>
        </row>
        <row r="64">
          <cell r="A64" t="str">
            <v>Indonesia</v>
          </cell>
          <cell r="B64">
            <v>1</v>
          </cell>
        </row>
        <row r="65">
          <cell r="A65" t="str">
            <v>Turkey</v>
          </cell>
          <cell r="B65">
            <v>1</v>
          </cell>
        </row>
        <row r="66">
          <cell r="A66" t="str">
            <v>Vietnam</v>
          </cell>
          <cell r="B66">
            <v>1</v>
          </cell>
        </row>
        <row r="67">
          <cell r="A67" t="str">
            <v>Guernsey</v>
          </cell>
        </row>
        <row r="68">
          <cell r="A68" t="str">
            <v>Andorra</v>
          </cell>
        </row>
        <row r="69">
          <cell r="A69" t="str">
            <v>Isle of Man</v>
          </cell>
        </row>
        <row r="70">
          <cell r="A70" t="str">
            <v>Papua New Guinea</v>
          </cell>
        </row>
        <row r="71">
          <cell r="A71" t="str">
            <v>Guyana</v>
          </cell>
        </row>
        <row r="72">
          <cell r="A72" t="str">
            <v>Guinea</v>
          </cell>
        </row>
        <row r="73">
          <cell r="A73" t="str">
            <v>Namibia</v>
          </cell>
        </row>
        <row r="74">
          <cell r="A74" t="str">
            <v>Malta</v>
          </cell>
        </row>
        <row r="75">
          <cell r="A75" t="str">
            <v>Luxembourg</v>
          </cell>
        </row>
        <row r="76">
          <cell r="A76" t="str">
            <v>Martinique</v>
          </cell>
        </row>
        <row r="77">
          <cell r="A77" t="str">
            <v>Guadeloupe</v>
          </cell>
        </row>
        <row r="78">
          <cell r="A78" t="str">
            <v>Macao</v>
          </cell>
        </row>
        <row r="79">
          <cell r="A79" t="str">
            <v>Nicaragua</v>
          </cell>
        </row>
        <row r="80">
          <cell r="A80" t="str">
            <v>Myanmar (Burma)</v>
          </cell>
        </row>
        <row r="81">
          <cell r="A81" t="str">
            <v>Angola</v>
          </cell>
        </row>
        <row r="82">
          <cell r="A82" t="str">
            <v>Jamaica</v>
          </cell>
        </row>
        <row r="83">
          <cell r="A83" t="str">
            <v>Kosovo</v>
          </cell>
        </row>
        <row r="84">
          <cell r="A84" t="str">
            <v>Ethiopia</v>
          </cell>
        </row>
        <row r="85">
          <cell r="A85" t="str">
            <v>Mauritius</v>
          </cell>
        </row>
        <row r="86">
          <cell r="A86" t="str">
            <v>Cameroon</v>
          </cell>
        </row>
        <row r="87">
          <cell r="A87" t="str">
            <v>Costa Rica</v>
          </cell>
        </row>
        <row r="88">
          <cell r="A88" t="str">
            <v>Kuwait</v>
          </cell>
        </row>
        <row r="89">
          <cell r="A89" t="str">
            <v>Slovenia</v>
          </cell>
        </row>
        <row r="90">
          <cell r="A90" t="str">
            <v>St. Helena</v>
          </cell>
        </row>
        <row r="91">
          <cell r="A91" t="str">
            <v>Bahrain</v>
          </cell>
        </row>
        <row r="92">
          <cell r="A92" t="str">
            <v>RÃ©union</v>
          </cell>
        </row>
        <row r="93">
          <cell r="A93" t="str">
            <v>Qatar</v>
          </cell>
        </row>
        <row r="94">
          <cell r="A94" t="str">
            <v>Palestine</v>
          </cell>
        </row>
        <row r="95">
          <cell r="A95" t="str">
            <v>Puerto Rico</v>
          </cell>
        </row>
        <row r="96">
          <cell r="A96" t="str">
            <v>North Macedonia</v>
          </cell>
        </row>
        <row r="97">
          <cell r="A97" t="str">
            <v>Albania</v>
          </cell>
        </row>
        <row r="98">
          <cell r="A98" t="str">
            <v>Yemen</v>
          </cell>
        </row>
        <row r="99">
          <cell r="A99" t="str">
            <v>Lebanon</v>
          </cell>
        </row>
        <row r="100">
          <cell r="A100" t="str">
            <v>Cyprus</v>
          </cell>
        </row>
        <row r="101">
          <cell r="A101" t="str">
            <v>Sri Lanka</v>
          </cell>
        </row>
        <row r="102">
          <cell r="A102" t="str">
            <v>Panama</v>
          </cell>
        </row>
        <row r="103">
          <cell r="A103" t="str">
            <v>Oman</v>
          </cell>
        </row>
        <row r="104">
          <cell r="A104" t="str">
            <v>Kenya</v>
          </cell>
        </row>
        <row r="105">
          <cell r="A105" t="str">
            <v>Cambodia</v>
          </cell>
        </row>
        <row r="106">
          <cell r="A106" t="str">
            <v>Honduras</v>
          </cell>
        </row>
        <row r="107">
          <cell r="A107" t="str">
            <v>Moldova</v>
          </cell>
        </row>
        <row r="108">
          <cell r="A108" t="str">
            <v>El Salvador</v>
          </cell>
        </row>
        <row r="109">
          <cell r="A109" t="str">
            <v>Syria</v>
          </cell>
        </row>
        <row r="110">
          <cell r="A110" t="str">
            <v>Paraguay</v>
          </cell>
        </row>
        <row r="111">
          <cell r="A111" t="str">
            <v>Georgia</v>
          </cell>
        </row>
        <row r="112">
          <cell r="A112" t="str">
            <v>Tunisia</v>
          </cell>
        </row>
        <row r="113">
          <cell r="A113" t="str">
            <v>Bolivia</v>
          </cell>
        </row>
        <row r="114">
          <cell r="A114" t="str">
            <v>Dominican Republic</v>
          </cell>
        </row>
        <row r="115">
          <cell r="A115" t="str">
            <v>Azerbaijan</v>
          </cell>
        </row>
        <row r="116">
          <cell r="A116" t="str">
            <v>Iraq</v>
          </cell>
        </row>
        <row r="117">
          <cell r="A117" t="str">
            <v>Jordan</v>
          </cell>
        </row>
        <row r="118">
          <cell r="A118" t="str">
            <v>Algeria</v>
          </cell>
        </row>
        <row r="119">
          <cell r="A119" t="str">
            <v>Uruguay</v>
          </cell>
        </row>
        <row r="120">
          <cell r="A120" t="str">
            <v>Guatemala</v>
          </cell>
        </row>
        <row r="121">
          <cell r="A121" t="str">
            <v>Kazakhstan</v>
          </cell>
        </row>
        <row r="122">
          <cell r="A122" t="str">
            <v>Morocco</v>
          </cell>
        </row>
        <row r="123">
          <cell r="A123" t="str">
            <v>Iran</v>
          </cell>
        </row>
        <row r="124">
          <cell r="A124" t="str">
            <v>Aruba</v>
          </cell>
        </row>
        <row r="125">
          <cell r="A125" t="str">
            <v>Afghanistan</v>
          </cell>
        </row>
        <row r="126">
          <cell r="A126" t="str">
            <v>Anguilla</v>
          </cell>
        </row>
        <row r="127">
          <cell r="A127" t="str">
            <v>Ã…land Islands</v>
          </cell>
        </row>
        <row r="128">
          <cell r="A128" t="str">
            <v>Armenia</v>
          </cell>
        </row>
        <row r="129">
          <cell r="A129" t="str">
            <v>American Samoa</v>
          </cell>
        </row>
        <row r="130">
          <cell r="A130" t="str">
            <v>Antarctica</v>
          </cell>
        </row>
        <row r="131">
          <cell r="A131" t="str">
            <v>French Southern Territories</v>
          </cell>
        </row>
        <row r="132">
          <cell r="A132" t="str">
            <v>Antigua &amp; Barbuda</v>
          </cell>
        </row>
        <row r="133">
          <cell r="A133" t="str">
            <v>Burundi</v>
          </cell>
        </row>
        <row r="134">
          <cell r="A134" t="str">
            <v>Benin</v>
          </cell>
        </row>
        <row r="135">
          <cell r="A135" t="str">
            <v>Caribbean Netherlands</v>
          </cell>
        </row>
        <row r="136">
          <cell r="A136" t="str">
            <v>Burkina Faso</v>
          </cell>
        </row>
        <row r="137">
          <cell r="A137" t="str">
            <v>Bahamas</v>
          </cell>
        </row>
        <row r="138">
          <cell r="A138" t="str">
            <v>Bosnia &amp; Herzegovina</v>
          </cell>
        </row>
        <row r="139">
          <cell r="A139" t="str">
            <v>St. BarthÃ©lemy</v>
          </cell>
        </row>
        <row r="140">
          <cell r="A140" t="str">
            <v>Belize</v>
          </cell>
        </row>
        <row r="141">
          <cell r="A141" t="str">
            <v>Bermuda</v>
          </cell>
        </row>
        <row r="142">
          <cell r="A142" t="str">
            <v>Barbados</v>
          </cell>
        </row>
        <row r="143">
          <cell r="A143" t="str">
            <v>Brunei</v>
          </cell>
        </row>
        <row r="144">
          <cell r="A144" t="str">
            <v>Bhutan</v>
          </cell>
        </row>
        <row r="145">
          <cell r="A145" t="str">
            <v>Bouvet Island</v>
          </cell>
        </row>
        <row r="146">
          <cell r="A146" t="str">
            <v>Botswana</v>
          </cell>
        </row>
        <row r="147">
          <cell r="A147" t="str">
            <v>Central African Republic</v>
          </cell>
        </row>
        <row r="148">
          <cell r="A148" t="str">
            <v>Cocos (Keeling) Islands</v>
          </cell>
        </row>
        <row r="149">
          <cell r="A149" t="str">
            <v>CÃ´te dâ€™Ivoire</v>
          </cell>
        </row>
        <row r="150">
          <cell r="A150" t="str">
            <v>Congo - Kinshasa</v>
          </cell>
        </row>
        <row r="151">
          <cell r="A151" t="str">
            <v>Congo - Brazzaville</v>
          </cell>
        </row>
        <row r="152">
          <cell r="A152" t="str">
            <v>Cook Islands</v>
          </cell>
        </row>
        <row r="153">
          <cell r="A153" t="str">
            <v>Comoros</v>
          </cell>
        </row>
        <row r="154">
          <cell r="A154" t="str">
            <v>Cape Verde</v>
          </cell>
        </row>
        <row r="155">
          <cell r="A155" t="str">
            <v>Cuba</v>
          </cell>
        </row>
        <row r="156">
          <cell r="A156" t="str">
            <v>CuraÃ§ao</v>
          </cell>
        </row>
        <row r="157">
          <cell r="A157" t="str">
            <v>Christmas Island</v>
          </cell>
        </row>
        <row r="158">
          <cell r="A158" t="str">
            <v>Cayman Islands</v>
          </cell>
        </row>
        <row r="159">
          <cell r="A159" t="str">
            <v>Djibouti</v>
          </cell>
        </row>
        <row r="160">
          <cell r="A160" t="str">
            <v>Dominica</v>
          </cell>
        </row>
        <row r="161">
          <cell r="A161" t="str">
            <v>Eritrea</v>
          </cell>
        </row>
        <row r="162">
          <cell r="A162" t="str">
            <v>Western Sahara</v>
          </cell>
        </row>
        <row r="163">
          <cell r="A163" t="str">
            <v>Fiji</v>
          </cell>
        </row>
        <row r="164">
          <cell r="A164" t="str">
            <v>Falkland Islands (Islas Malvinas)</v>
          </cell>
        </row>
        <row r="165">
          <cell r="A165" t="str">
            <v>Faroe Islands</v>
          </cell>
        </row>
        <row r="166">
          <cell r="A166" t="str">
            <v>Micronesia</v>
          </cell>
        </row>
        <row r="167">
          <cell r="A167" t="str">
            <v>Gabon</v>
          </cell>
        </row>
        <row r="168">
          <cell r="A168" t="str">
            <v>Gibraltar</v>
          </cell>
        </row>
        <row r="169">
          <cell r="A169" t="str">
            <v>Gambia</v>
          </cell>
        </row>
        <row r="170">
          <cell r="A170" t="str">
            <v>Guinea-Bissau</v>
          </cell>
        </row>
        <row r="171">
          <cell r="A171" t="str">
            <v>Equatorial Guinea</v>
          </cell>
        </row>
        <row r="172">
          <cell r="A172" t="str">
            <v>Grenada</v>
          </cell>
        </row>
        <row r="173">
          <cell r="A173" t="str">
            <v>Greenland</v>
          </cell>
        </row>
        <row r="174">
          <cell r="A174" t="str">
            <v>French Guiana</v>
          </cell>
        </row>
        <row r="175">
          <cell r="A175" t="str">
            <v>Guam</v>
          </cell>
        </row>
        <row r="176">
          <cell r="A176" t="str">
            <v>Heard &amp; McDonald Islands</v>
          </cell>
        </row>
        <row r="177">
          <cell r="A177" t="str">
            <v>Haiti</v>
          </cell>
        </row>
        <row r="178">
          <cell r="A178" t="str">
            <v>British Indian Ocean Territory</v>
          </cell>
        </row>
        <row r="179">
          <cell r="A179" t="str">
            <v>Iceland</v>
          </cell>
        </row>
        <row r="180">
          <cell r="A180" t="str">
            <v>Jersey</v>
          </cell>
        </row>
        <row r="181">
          <cell r="A181" t="str">
            <v>Kyrgyzstan</v>
          </cell>
        </row>
        <row r="182">
          <cell r="A182" t="str">
            <v>Kiribati</v>
          </cell>
        </row>
        <row r="183">
          <cell r="A183" t="str">
            <v>St. Kitts &amp; Nevis</v>
          </cell>
        </row>
        <row r="184">
          <cell r="A184" t="str">
            <v>Laos</v>
          </cell>
        </row>
        <row r="185">
          <cell r="A185" t="str">
            <v>Liberia</v>
          </cell>
        </row>
        <row r="186">
          <cell r="A186" t="str">
            <v>Libya</v>
          </cell>
        </row>
        <row r="187">
          <cell r="A187" t="str">
            <v>St. Lucia</v>
          </cell>
        </row>
        <row r="188">
          <cell r="A188" t="str">
            <v>Liechtenstein</v>
          </cell>
        </row>
        <row r="189">
          <cell r="A189" t="str">
            <v>Lesotho</v>
          </cell>
        </row>
        <row r="190">
          <cell r="A190" t="str">
            <v>Latvia</v>
          </cell>
        </row>
        <row r="191">
          <cell r="A191" t="str">
            <v>St. Martin</v>
          </cell>
        </row>
        <row r="192">
          <cell r="A192" t="str">
            <v>Monaco</v>
          </cell>
        </row>
        <row r="193">
          <cell r="A193" t="str">
            <v>Madagascar</v>
          </cell>
        </row>
        <row r="194">
          <cell r="A194" t="str">
            <v>Maldives</v>
          </cell>
        </row>
        <row r="195">
          <cell r="A195" t="str">
            <v>Marshall Islands</v>
          </cell>
        </row>
        <row r="196">
          <cell r="A196" t="str">
            <v>Mali</v>
          </cell>
        </row>
        <row r="197">
          <cell r="A197" t="str">
            <v>Montenegro</v>
          </cell>
        </row>
        <row r="198">
          <cell r="A198" t="str">
            <v>Mongolia</v>
          </cell>
        </row>
        <row r="199">
          <cell r="A199" t="str">
            <v>Northern Mariana Islands</v>
          </cell>
        </row>
        <row r="200">
          <cell r="A200" t="str">
            <v>Mozambique</v>
          </cell>
        </row>
        <row r="201">
          <cell r="A201" t="str">
            <v>Mauritania</v>
          </cell>
        </row>
        <row r="202">
          <cell r="A202" t="str">
            <v>Montserrat</v>
          </cell>
        </row>
        <row r="203">
          <cell r="A203" t="str">
            <v>Malawi</v>
          </cell>
        </row>
        <row r="204">
          <cell r="A204" t="str">
            <v>Mayotte</v>
          </cell>
        </row>
        <row r="205">
          <cell r="A205" t="str">
            <v>New Caledonia</v>
          </cell>
        </row>
        <row r="206">
          <cell r="A206" t="str">
            <v>Niger</v>
          </cell>
        </row>
        <row r="207">
          <cell r="A207" t="str">
            <v>Norfolk Island</v>
          </cell>
        </row>
        <row r="208">
          <cell r="A208" t="str">
            <v>Niue</v>
          </cell>
        </row>
        <row r="209">
          <cell r="A209" t="str">
            <v>Nauru</v>
          </cell>
        </row>
        <row r="210">
          <cell r="A210" t="str">
            <v>Pitcairn Islands</v>
          </cell>
        </row>
        <row r="211">
          <cell r="A211" t="str">
            <v>Palau</v>
          </cell>
        </row>
        <row r="212">
          <cell r="A212" t="str">
            <v>North Korea</v>
          </cell>
        </row>
        <row r="213">
          <cell r="A213" t="str">
            <v>French Polynesia</v>
          </cell>
        </row>
        <row r="214">
          <cell r="A214" t="str">
            <v>Rwanda</v>
          </cell>
        </row>
        <row r="215">
          <cell r="A215" t="str">
            <v>Sudan</v>
          </cell>
        </row>
        <row r="216">
          <cell r="A216" t="str">
            <v>Senegal</v>
          </cell>
        </row>
        <row r="217">
          <cell r="A217" t="str">
            <v>South Georgia &amp; South Sandwich Islands</v>
          </cell>
        </row>
        <row r="218">
          <cell r="A218" t="str">
            <v>Svalbard &amp; Jan Mayen</v>
          </cell>
        </row>
        <row r="219">
          <cell r="A219" t="str">
            <v>Solomon Islands</v>
          </cell>
        </row>
        <row r="220">
          <cell r="A220" t="str">
            <v>Sierra Leone</v>
          </cell>
        </row>
        <row r="221">
          <cell r="A221" t="str">
            <v>San Marino</v>
          </cell>
        </row>
        <row r="222">
          <cell r="A222" t="str">
            <v>Somalia</v>
          </cell>
        </row>
        <row r="223">
          <cell r="A223" t="str">
            <v>St. Pierre &amp; Miquelon</v>
          </cell>
        </row>
        <row r="224">
          <cell r="A224" t="str">
            <v>South Sudan</v>
          </cell>
        </row>
        <row r="225">
          <cell r="A225" t="str">
            <v>SÃ£o TomÃ© &amp; PrÃ­ncipe</v>
          </cell>
        </row>
        <row r="226">
          <cell r="A226" t="str">
            <v>Suriname</v>
          </cell>
        </row>
        <row r="227">
          <cell r="A227" t="str">
            <v>Slovakia</v>
          </cell>
        </row>
        <row r="228">
          <cell r="A228" t="str">
            <v>Eswatini</v>
          </cell>
        </row>
        <row r="229">
          <cell r="A229" t="str">
            <v>Sint Maarten</v>
          </cell>
        </row>
        <row r="230">
          <cell r="A230" t="str">
            <v>Seychelles</v>
          </cell>
        </row>
        <row r="231">
          <cell r="A231" t="str">
            <v>Turks &amp; Caicos Islands</v>
          </cell>
        </row>
        <row r="232">
          <cell r="A232" t="str">
            <v>Chad</v>
          </cell>
        </row>
        <row r="233">
          <cell r="A233" t="str">
            <v>Togo</v>
          </cell>
        </row>
        <row r="234">
          <cell r="A234" t="str">
            <v>Tajikistan</v>
          </cell>
        </row>
        <row r="235">
          <cell r="A235" t="str">
            <v>Tokelau</v>
          </cell>
        </row>
        <row r="236">
          <cell r="A236" t="str">
            <v>Turkmenistan</v>
          </cell>
        </row>
        <row r="237">
          <cell r="A237" t="str">
            <v>Timor-Leste</v>
          </cell>
        </row>
        <row r="238">
          <cell r="A238" t="str">
            <v>Tonga</v>
          </cell>
        </row>
        <row r="239">
          <cell r="A239" t="str">
            <v>Trinidad &amp; Tobago</v>
          </cell>
        </row>
        <row r="240">
          <cell r="A240" t="str">
            <v>Tuvalu</v>
          </cell>
        </row>
        <row r="241">
          <cell r="A241" t="str">
            <v>Tanzania</v>
          </cell>
        </row>
        <row r="242">
          <cell r="A242" t="str">
            <v>Uganda</v>
          </cell>
        </row>
        <row r="243">
          <cell r="A243" t="str">
            <v>U.S. Outlying Islands</v>
          </cell>
        </row>
        <row r="244">
          <cell r="A244" t="str">
            <v>Uzbekistan</v>
          </cell>
        </row>
        <row r="245">
          <cell r="A245" t="str">
            <v>Vatican City</v>
          </cell>
        </row>
        <row r="246">
          <cell r="A246" t="str">
            <v>St. Vincent &amp; Grenadines</v>
          </cell>
        </row>
        <row r="247">
          <cell r="A247" t="str">
            <v>British Virgin Islands</v>
          </cell>
        </row>
        <row r="248">
          <cell r="A248" t="str">
            <v>U.S. Virgin Islands</v>
          </cell>
        </row>
        <row r="249">
          <cell r="A249" t="str">
            <v>Vanuatu</v>
          </cell>
        </row>
        <row r="250">
          <cell r="A250" t="str">
            <v>Wallis &amp; Futuna</v>
          </cell>
        </row>
        <row r="251">
          <cell r="A251" t="str">
            <v>Samoa</v>
          </cell>
        </row>
        <row r="252">
          <cell r="A252" t="str">
            <v>Zambia</v>
          </cell>
        </row>
        <row r="253">
          <cell r="A253" t="str">
            <v>Zimbabwe</v>
          </cell>
        </row>
      </sheetData>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57)"/>
    </sheetNames>
    <sheetDataSet>
      <sheetData sheetId="0" refreshError="1">
        <row r="1">
          <cell r="A1" t="str">
            <v>Category: All categories</v>
          </cell>
        </row>
        <row r="3">
          <cell r="A3" t="str">
            <v>Country</v>
          </cell>
          <cell r="B3" t="str">
            <v>P versus NP problem: (2018)</v>
          </cell>
          <cell r="C3" t="str">
            <v>Extendible hashing: (2018)</v>
          </cell>
        </row>
        <row r="4">
          <cell r="A4" t="str">
            <v>China</v>
          </cell>
          <cell r="B4">
            <v>1</v>
          </cell>
        </row>
        <row r="5">
          <cell r="A5" t="str">
            <v>South Korea</v>
          </cell>
          <cell r="B5">
            <v>0.95</v>
          </cell>
          <cell r="C5">
            <v>0.05</v>
          </cell>
        </row>
        <row r="6">
          <cell r="A6" t="str">
            <v>Germany</v>
          </cell>
          <cell r="B6">
            <v>1</v>
          </cell>
        </row>
        <row r="7">
          <cell r="A7" t="str">
            <v>Austria</v>
          </cell>
          <cell r="B7">
            <v>1</v>
          </cell>
        </row>
        <row r="8">
          <cell r="A8" t="str">
            <v>Nepal</v>
          </cell>
          <cell r="B8">
            <v>1</v>
          </cell>
        </row>
        <row r="9">
          <cell r="A9" t="str">
            <v>Israel</v>
          </cell>
          <cell r="B9">
            <v>1</v>
          </cell>
        </row>
        <row r="10">
          <cell r="A10" t="str">
            <v>Singapore</v>
          </cell>
          <cell r="B10">
            <v>1</v>
          </cell>
        </row>
        <row r="11">
          <cell r="A11" t="str">
            <v>Peru</v>
          </cell>
          <cell r="B11">
            <v>1</v>
          </cell>
        </row>
        <row r="12">
          <cell r="A12" t="str">
            <v>Norway</v>
          </cell>
          <cell r="B12">
            <v>0.88</v>
          </cell>
          <cell r="C12">
            <v>0.12</v>
          </cell>
        </row>
        <row r="13">
          <cell r="A13" t="str">
            <v>South Africa</v>
          </cell>
          <cell r="B13">
            <v>1</v>
          </cell>
        </row>
        <row r="14">
          <cell r="A14" t="str">
            <v>United States</v>
          </cell>
          <cell r="B14">
            <v>0.98</v>
          </cell>
          <cell r="C14">
            <v>0.02</v>
          </cell>
        </row>
        <row r="15">
          <cell r="A15" t="str">
            <v>Hong Kong</v>
          </cell>
          <cell r="B15">
            <v>1</v>
          </cell>
        </row>
        <row r="16">
          <cell r="A16" t="str">
            <v>Australia</v>
          </cell>
          <cell r="B16">
            <v>0.97</v>
          </cell>
          <cell r="C16">
            <v>0.03</v>
          </cell>
        </row>
        <row r="17">
          <cell r="A17" t="str">
            <v>Czechia</v>
          </cell>
          <cell r="B17">
            <v>1</v>
          </cell>
        </row>
        <row r="18">
          <cell r="A18" t="str">
            <v>Hungary</v>
          </cell>
          <cell r="B18">
            <v>1</v>
          </cell>
        </row>
        <row r="19">
          <cell r="A19" t="str">
            <v>Canada</v>
          </cell>
          <cell r="B19">
            <v>0.93</v>
          </cell>
          <cell r="C19">
            <v>7.0000000000000007E-2</v>
          </cell>
        </row>
        <row r="20">
          <cell r="A20" t="str">
            <v>India</v>
          </cell>
          <cell r="B20">
            <v>0.79</v>
          </cell>
          <cell r="C20">
            <v>0.21</v>
          </cell>
        </row>
        <row r="21">
          <cell r="A21" t="str">
            <v>Switzerland</v>
          </cell>
          <cell r="B21">
            <v>1</v>
          </cell>
        </row>
        <row r="22">
          <cell r="A22" t="str">
            <v>Bangladesh</v>
          </cell>
          <cell r="B22">
            <v>1</v>
          </cell>
        </row>
        <row r="23">
          <cell r="A23" t="str">
            <v>Pakistan</v>
          </cell>
          <cell r="B23">
            <v>1</v>
          </cell>
        </row>
        <row r="24">
          <cell r="A24" t="str">
            <v>Netherlands</v>
          </cell>
          <cell r="B24">
            <v>1</v>
          </cell>
        </row>
        <row r="25">
          <cell r="A25" t="str">
            <v>Denmark</v>
          </cell>
          <cell r="B25">
            <v>1</v>
          </cell>
        </row>
        <row r="26">
          <cell r="A26" t="str">
            <v>Ghana</v>
          </cell>
        </row>
        <row r="27">
          <cell r="A27" t="str">
            <v>Spain</v>
          </cell>
          <cell r="B27">
            <v>1</v>
          </cell>
        </row>
        <row r="28">
          <cell r="A28" t="str">
            <v>Belarus</v>
          </cell>
          <cell r="B28">
            <v>1</v>
          </cell>
        </row>
        <row r="29">
          <cell r="A29" t="str">
            <v>Mexico</v>
          </cell>
          <cell r="B29">
            <v>1</v>
          </cell>
        </row>
        <row r="30">
          <cell r="A30" t="str">
            <v>Argentina</v>
          </cell>
          <cell r="B30">
            <v>1</v>
          </cell>
        </row>
        <row r="31">
          <cell r="A31" t="str">
            <v>Lithuania</v>
          </cell>
        </row>
        <row r="32">
          <cell r="A32" t="str">
            <v>Taiwan</v>
          </cell>
          <cell r="B32">
            <v>1</v>
          </cell>
        </row>
        <row r="33">
          <cell r="A33" t="str">
            <v>New Zealand</v>
          </cell>
          <cell r="B33">
            <v>1</v>
          </cell>
        </row>
        <row r="34">
          <cell r="A34" t="str">
            <v>Colombia</v>
          </cell>
          <cell r="B34">
            <v>1</v>
          </cell>
        </row>
        <row r="35">
          <cell r="A35" t="str">
            <v>Sweden</v>
          </cell>
          <cell r="B35">
            <v>1</v>
          </cell>
        </row>
        <row r="36">
          <cell r="A36" t="str">
            <v>Serbia</v>
          </cell>
          <cell r="B36">
            <v>1</v>
          </cell>
        </row>
        <row r="37">
          <cell r="A37" t="str">
            <v>Ecuador</v>
          </cell>
          <cell r="B37">
            <v>1</v>
          </cell>
        </row>
        <row r="38">
          <cell r="A38" t="str">
            <v>Japan</v>
          </cell>
          <cell r="B38">
            <v>1</v>
          </cell>
        </row>
        <row r="39">
          <cell r="A39" t="str">
            <v>Chile</v>
          </cell>
          <cell r="B39">
            <v>1</v>
          </cell>
        </row>
        <row r="40">
          <cell r="A40" t="str">
            <v>United Kingdom</v>
          </cell>
          <cell r="B40">
            <v>1</v>
          </cell>
        </row>
        <row r="41">
          <cell r="A41" t="str">
            <v>United Arab Emirates</v>
          </cell>
          <cell r="B41">
            <v>1</v>
          </cell>
        </row>
        <row r="42">
          <cell r="A42" t="str">
            <v>Portugal</v>
          </cell>
          <cell r="B42">
            <v>1</v>
          </cell>
        </row>
        <row r="43">
          <cell r="A43" t="str">
            <v>Nigeria</v>
          </cell>
          <cell r="B43">
            <v>1</v>
          </cell>
        </row>
        <row r="44">
          <cell r="A44" t="str">
            <v>Brazil</v>
          </cell>
          <cell r="B44">
            <v>1</v>
          </cell>
        </row>
        <row r="45">
          <cell r="A45" t="str">
            <v>Greece</v>
          </cell>
          <cell r="B45">
            <v>1</v>
          </cell>
        </row>
        <row r="46">
          <cell r="A46" t="str">
            <v>Belgium</v>
          </cell>
          <cell r="B46">
            <v>1</v>
          </cell>
        </row>
        <row r="47">
          <cell r="A47" t="str">
            <v>Finland</v>
          </cell>
          <cell r="B47">
            <v>1</v>
          </cell>
        </row>
        <row r="48">
          <cell r="A48" t="str">
            <v>Italy</v>
          </cell>
          <cell r="B48">
            <v>1</v>
          </cell>
        </row>
        <row r="49">
          <cell r="A49" t="str">
            <v>Philippines</v>
          </cell>
          <cell r="B49">
            <v>1</v>
          </cell>
        </row>
        <row r="50">
          <cell r="A50" t="str">
            <v>Saudi Arabia</v>
          </cell>
          <cell r="B50">
            <v>1</v>
          </cell>
        </row>
        <row r="51">
          <cell r="A51" t="str">
            <v>Malaysia</v>
          </cell>
          <cell r="B51">
            <v>1</v>
          </cell>
        </row>
        <row r="52">
          <cell r="A52" t="str">
            <v>Ireland</v>
          </cell>
          <cell r="B52">
            <v>1</v>
          </cell>
        </row>
        <row r="53">
          <cell r="A53" t="str">
            <v>France</v>
          </cell>
          <cell r="B53">
            <v>1</v>
          </cell>
        </row>
        <row r="54">
          <cell r="A54" t="str">
            <v>Russia</v>
          </cell>
          <cell r="B54">
            <v>1</v>
          </cell>
        </row>
        <row r="55">
          <cell r="A55" t="str">
            <v>Venezuela</v>
          </cell>
          <cell r="B55">
            <v>1</v>
          </cell>
        </row>
        <row r="56">
          <cell r="A56" t="str">
            <v>Poland</v>
          </cell>
          <cell r="B56">
            <v>1</v>
          </cell>
        </row>
        <row r="57">
          <cell r="A57" t="str">
            <v>Croatia</v>
          </cell>
        </row>
        <row r="58">
          <cell r="A58" t="str">
            <v>Bulgaria</v>
          </cell>
        </row>
        <row r="59">
          <cell r="A59" t="str">
            <v>Romania</v>
          </cell>
          <cell r="B59">
            <v>1</v>
          </cell>
        </row>
        <row r="60">
          <cell r="A60" t="str">
            <v>Ukraine</v>
          </cell>
          <cell r="B60">
            <v>1</v>
          </cell>
        </row>
        <row r="61">
          <cell r="A61" t="str">
            <v>Thailand</v>
          </cell>
          <cell r="B61">
            <v>1</v>
          </cell>
        </row>
        <row r="62">
          <cell r="A62" t="str">
            <v>Indonesia</v>
          </cell>
          <cell r="B62">
            <v>1</v>
          </cell>
        </row>
        <row r="63">
          <cell r="A63" t="str">
            <v>Turkey</v>
          </cell>
          <cell r="B63">
            <v>0.9</v>
          </cell>
          <cell r="C63">
            <v>0.1</v>
          </cell>
        </row>
        <row r="64">
          <cell r="A64" t="str">
            <v>Egypt</v>
          </cell>
        </row>
        <row r="65">
          <cell r="A65" t="str">
            <v>Vietnam</v>
          </cell>
          <cell r="B65">
            <v>1</v>
          </cell>
        </row>
        <row r="66">
          <cell r="A66" t="str">
            <v>Andorra</v>
          </cell>
        </row>
        <row r="67">
          <cell r="A67" t="str">
            <v>Isle of Man</v>
          </cell>
        </row>
        <row r="68">
          <cell r="A68" t="str">
            <v>Papua New Guinea</v>
          </cell>
        </row>
        <row r="69">
          <cell r="A69" t="str">
            <v>Guyana</v>
          </cell>
        </row>
        <row r="70">
          <cell r="A70" t="str">
            <v>Guinea</v>
          </cell>
        </row>
        <row r="71">
          <cell r="A71" t="str">
            <v>Malta</v>
          </cell>
        </row>
        <row r="72">
          <cell r="A72" t="str">
            <v>Luxembourg</v>
          </cell>
        </row>
        <row r="73">
          <cell r="A73" t="str">
            <v>Martinique</v>
          </cell>
        </row>
        <row r="74">
          <cell r="A74" t="str">
            <v>Myanmar (Burma)</v>
          </cell>
        </row>
        <row r="75">
          <cell r="A75" t="str">
            <v>Macao</v>
          </cell>
        </row>
        <row r="76">
          <cell r="A76" t="str">
            <v>Nicaragua</v>
          </cell>
        </row>
        <row r="77">
          <cell r="A77" t="str">
            <v>Angola</v>
          </cell>
        </row>
        <row r="78">
          <cell r="A78" t="str">
            <v>Ethiopia</v>
          </cell>
        </row>
        <row r="79">
          <cell r="A79" t="str">
            <v>Jamaica</v>
          </cell>
        </row>
        <row r="80">
          <cell r="A80" t="str">
            <v>Mauritius</v>
          </cell>
        </row>
        <row r="81">
          <cell r="A81" t="str">
            <v>Cameroon</v>
          </cell>
        </row>
        <row r="82">
          <cell r="A82" t="str">
            <v>Costa Rica</v>
          </cell>
        </row>
        <row r="83">
          <cell r="A83" t="str">
            <v>Kuwait</v>
          </cell>
        </row>
        <row r="84">
          <cell r="A84" t="str">
            <v>Slovenia</v>
          </cell>
        </row>
        <row r="85">
          <cell r="A85" t="str">
            <v>St. Helena</v>
          </cell>
        </row>
        <row r="86">
          <cell r="A86" t="str">
            <v>Bahrain</v>
          </cell>
        </row>
        <row r="87">
          <cell r="A87" t="str">
            <v>RÃ©union</v>
          </cell>
        </row>
        <row r="88">
          <cell r="A88" t="str">
            <v>Qatar</v>
          </cell>
        </row>
        <row r="89">
          <cell r="A89" t="str">
            <v>Palestine</v>
          </cell>
        </row>
        <row r="90">
          <cell r="A90" t="str">
            <v>Puerto Rico</v>
          </cell>
        </row>
        <row r="91">
          <cell r="A91" t="str">
            <v>Cyprus</v>
          </cell>
        </row>
        <row r="92">
          <cell r="A92" t="str">
            <v>North Macedonia</v>
          </cell>
        </row>
        <row r="93">
          <cell r="A93" t="str">
            <v>Panama</v>
          </cell>
        </row>
        <row r="94">
          <cell r="A94" t="str">
            <v>Yemen</v>
          </cell>
        </row>
        <row r="95">
          <cell r="A95" t="str">
            <v>Lebanon</v>
          </cell>
        </row>
        <row r="96">
          <cell r="A96" t="str">
            <v>Sri Lanka</v>
          </cell>
        </row>
        <row r="97">
          <cell r="A97" t="str">
            <v>Kenya</v>
          </cell>
        </row>
        <row r="98">
          <cell r="A98" t="str">
            <v>Oman</v>
          </cell>
        </row>
        <row r="99">
          <cell r="A99" t="str">
            <v>Cambodia</v>
          </cell>
        </row>
        <row r="100">
          <cell r="A100" t="str">
            <v>Honduras</v>
          </cell>
        </row>
        <row r="101">
          <cell r="A101" t="str">
            <v>El Salvador</v>
          </cell>
        </row>
        <row r="102">
          <cell r="A102" t="str">
            <v>Dominican Republic</v>
          </cell>
        </row>
        <row r="103">
          <cell r="A103" t="str">
            <v>Paraguay</v>
          </cell>
        </row>
        <row r="104">
          <cell r="A104" t="str">
            <v>Georgia</v>
          </cell>
        </row>
        <row r="105">
          <cell r="A105" t="str">
            <v>Tunisia</v>
          </cell>
        </row>
        <row r="106">
          <cell r="A106" t="str">
            <v>Bolivia</v>
          </cell>
        </row>
        <row r="107">
          <cell r="A107" t="str">
            <v>Azerbaijan</v>
          </cell>
        </row>
        <row r="108">
          <cell r="A108" t="str">
            <v>Iraq</v>
          </cell>
        </row>
        <row r="109">
          <cell r="A109" t="str">
            <v>Algeria</v>
          </cell>
        </row>
        <row r="110">
          <cell r="A110" t="str">
            <v>Jordan</v>
          </cell>
        </row>
        <row r="111">
          <cell r="A111" t="str">
            <v>Uruguay</v>
          </cell>
        </row>
        <row r="112">
          <cell r="A112" t="str">
            <v>Guatemala</v>
          </cell>
        </row>
        <row r="113">
          <cell r="A113" t="str">
            <v>Morocco</v>
          </cell>
        </row>
        <row r="114">
          <cell r="A114" t="str">
            <v>Kazakhstan</v>
          </cell>
        </row>
        <row r="115">
          <cell r="A115" t="str">
            <v>Iran</v>
          </cell>
        </row>
        <row r="116">
          <cell r="A116" t="str">
            <v>Aruba</v>
          </cell>
        </row>
        <row r="117">
          <cell r="A117" t="str">
            <v>Afghanistan</v>
          </cell>
        </row>
        <row r="118">
          <cell r="A118" t="str">
            <v>Anguilla</v>
          </cell>
        </row>
        <row r="119">
          <cell r="A119" t="str">
            <v>Ã…land Islands</v>
          </cell>
        </row>
        <row r="120">
          <cell r="A120" t="str">
            <v>Albania</v>
          </cell>
        </row>
        <row r="121">
          <cell r="A121" t="str">
            <v>Armenia</v>
          </cell>
        </row>
        <row r="122">
          <cell r="A122" t="str">
            <v>American Samoa</v>
          </cell>
        </row>
        <row r="123">
          <cell r="A123" t="str">
            <v>Antarctica</v>
          </cell>
        </row>
        <row r="124">
          <cell r="A124" t="str">
            <v>French Southern Territories</v>
          </cell>
        </row>
        <row r="125">
          <cell r="A125" t="str">
            <v>Antigua &amp; Barbuda</v>
          </cell>
        </row>
        <row r="126">
          <cell r="A126" t="str">
            <v>Burundi</v>
          </cell>
        </row>
        <row r="127">
          <cell r="A127" t="str">
            <v>Benin</v>
          </cell>
        </row>
        <row r="128">
          <cell r="A128" t="str">
            <v>Caribbean Netherlands</v>
          </cell>
        </row>
        <row r="129">
          <cell r="A129" t="str">
            <v>Burkina Faso</v>
          </cell>
        </row>
        <row r="130">
          <cell r="A130" t="str">
            <v>Bahamas</v>
          </cell>
        </row>
        <row r="131">
          <cell r="A131" t="str">
            <v>Bosnia &amp; Herzegovina</v>
          </cell>
        </row>
        <row r="132">
          <cell r="A132" t="str">
            <v>St. BarthÃ©lemy</v>
          </cell>
        </row>
        <row r="133">
          <cell r="A133" t="str">
            <v>Belize</v>
          </cell>
        </row>
        <row r="134">
          <cell r="A134" t="str">
            <v>Bermuda</v>
          </cell>
        </row>
        <row r="135">
          <cell r="A135" t="str">
            <v>Barbados</v>
          </cell>
        </row>
        <row r="136">
          <cell r="A136" t="str">
            <v>Brunei</v>
          </cell>
        </row>
        <row r="137">
          <cell r="A137" t="str">
            <v>Bhutan</v>
          </cell>
        </row>
        <row r="138">
          <cell r="A138" t="str">
            <v>Bouvet Island</v>
          </cell>
        </row>
        <row r="139">
          <cell r="A139" t="str">
            <v>Botswana</v>
          </cell>
        </row>
        <row r="140">
          <cell r="A140" t="str">
            <v>Central African Republic</v>
          </cell>
        </row>
        <row r="141">
          <cell r="A141" t="str">
            <v>Cocos (Keeling) Islands</v>
          </cell>
        </row>
        <row r="142">
          <cell r="A142" t="str">
            <v>CÃ´te dâ€™Ivoire</v>
          </cell>
        </row>
        <row r="143">
          <cell r="A143" t="str">
            <v>Congo - Kinshasa</v>
          </cell>
        </row>
        <row r="144">
          <cell r="A144" t="str">
            <v>Congo - Brazzaville</v>
          </cell>
        </row>
        <row r="145">
          <cell r="A145" t="str">
            <v>Cook Islands</v>
          </cell>
        </row>
        <row r="146">
          <cell r="A146" t="str">
            <v>Comoros</v>
          </cell>
        </row>
        <row r="147">
          <cell r="A147" t="str">
            <v>Cape Verde</v>
          </cell>
        </row>
        <row r="148">
          <cell r="A148" t="str">
            <v>Cuba</v>
          </cell>
        </row>
        <row r="149">
          <cell r="A149" t="str">
            <v>CuraÃ§ao</v>
          </cell>
        </row>
        <row r="150">
          <cell r="A150" t="str">
            <v>Christmas Island</v>
          </cell>
        </row>
        <row r="151">
          <cell r="A151" t="str">
            <v>Cayman Islands</v>
          </cell>
        </row>
        <row r="152">
          <cell r="A152" t="str">
            <v>Djibouti</v>
          </cell>
        </row>
        <row r="153">
          <cell r="A153" t="str">
            <v>Dominica</v>
          </cell>
        </row>
        <row r="154">
          <cell r="A154" t="str">
            <v>Eritrea</v>
          </cell>
        </row>
        <row r="155">
          <cell r="A155" t="str">
            <v>Western Sahara</v>
          </cell>
        </row>
        <row r="156">
          <cell r="A156" t="str">
            <v>Estonia</v>
          </cell>
        </row>
        <row r="157">
          <cell r="A157" t="str">
            <v>Fiji</v>
          </cell>
        </row>
        <row r="158">
          <cell r="A158" t="str">
            <v>Falkland Islands (Islas Malvinas)</v>
          </cell>
        </row>
        <row r="159">
          <cell r="A159" t="str">
            <v>Faroe Islands</v>
          </cell>
        </row>
        <row r="160">
          <cell r="A160" t="str">
            <v>Micronesia</v>
          </cell>
        </row>
        <row r="161">
          <cell r="A161" t="str">
            <v>Gabon</v>
          </cell>
        </row>
        <row r="162">
          <cell r="A162" t="str">
            <v>Guernsey</v>
          </cell>
        </row>
        <row r="163">
          <cell r="A163" t="str">
            <v>Gibraltar</v>
          </cell>
        </row>
        <row r="164">
          <cell r="A164" t="str">
            <v>Guadeloupe</v>
          </cell>
        </row>
        <row r="165">
          <cell r="A165" t="str">
            <v>Gambia</v>
          </cell>
        </row>
        <row r="166">
          <cell r="A166" t="str">
            <v>Guinea-Bissau</v>
          </cell>
        </row>
        <row r="167">
          <cell r="A167" t="str">
            <v>Equatorial Guinea</v>
          </cell>
        </row>
        <row r="168">
          <cell r="A168" t="str">
            <v>Grenada</v>
          </cell>
        </row>
        <row r="169">
          <cell r="A169" t="str">
            <v>Greenland</v>
          </cell>
        </row>
        <row r="170">
          <cell r="A170" t="str">
            <v>French Guiana</v>
          </cell>
        </row>
        <row r="171">
          <cell r="A171" t="str">
            <v>Guam</v>
          </cell>
        </row>
        <row r="172">
          <cell r="A172" t="str">
            <v>Heard &amp; McDonald Islands</v>
          </cell>
        </row>
        <row r="173">
          <cell r="A173" t="str">
            <v>Haiti</v>
          </cell>
        </row>
        <row r="174">
          <cell r="A174" t="str">
            <v>British Indian Ocean Territory</v>
          </cell>
        </row>
        <row r="175">
          <cell r="A175" t="str">
            <v>Iceland</v>
          </cell>
        </row>
        <row r="176">
          <cell r="A176" t="str">
            <v>Jersey</v>
          </cell>
        </row>
        <row r="177">
          <cell r="A177" t="str">
            <v>Kyrgyzstan</v>
          </cell>
        </row>
        <row r="178">
          <cell r="A178" t="str">
            <v>Kiribati</v>
          </cell>
        </row>
        <row r="179">
          <cell r="A179" t="str">
            <v>St. Kitts &amp; Nevis</v>
          </cell>
        </row>
        <row r="180">
          <cell r="A180" t="str">
            <v>Laos</v>
          </cell>
        </row>
        <row r="181">
          <cell r="A181" t="str">
            <v>Liberia</v>
          </cell>
        </row>
        <row r="182">
          <cell r="A182" t="str">
            <v>Libya</v>
          </cell>
        </row>
        <row r="183">
          <cell r="A183" t="str">
            <v>St. Lucia</v>
          </cell>
        </row>
        <row r="184">
          <cell r="A184" t="str">
            <v>Liechtenstein</v>
          </cell>
        </row>
        <row r="185">
          <cell r="A185" t="str">
            <v>Lesotho</v>
          </cell>
        </row>
        <row r="186">
          <cell r="A186" t="str">
            <v>Latvia</v>
          </cell>
        </row>
        <row r="187">
          <cell r="A187" t="str">
            <v>St. Martin</v>
          </cell>
        </row>
        <row r="188">
          <cell r="A188" t="str">
            <v>Monaco</v>
          </cell>
        </row>
        <row r="189">
          <cell r="A189" t="str">
            <v>Moldova</v>
          </cell>
        </row>
        <row r="190">
          <cell r="A190" t="str">
            <v>Madagascar</v>
          </cell>
        </row>
        <row r="191">
          <cell r="A191" t="str">
            <v>Maldives</v>
          </cell>
        </row>
        <row r="192">
          <cell r="A192" t="str">
            <v>Marshall Islands</v>
          </cell>
        </row>
        <row r="193">
          <cell r="A193" t="str">
            <v>Mali</v>
          </cell>
        </row>
        <row r="194">
          <cell r="A194" t="str">
            <v>Montenegro</v>
          </cell>
        </row>
        <row r="195">
          <cell r="A195" t="str">
            <v>Mongolia</v>
          </cell>
        </row>
        <row r="196">
          <cell r="A196" t="str">
            <v>Northern Mariana Islands</v>
          </cell>
        </row>
        <row r="197">
          <cell r="A197" t="str">
            <v>Mozambique</v>
          </cell>
        </row>
        <row r="198">
          <cell r="A198" t="str">
            <v>Mauritania</v>
          </cell>
        </row>
        <row r="199">
          <cell r="A199" t="str">
            <v>Montserrat</v>
          </cell>
        </row>
        <row r="200">
          <cell r="A200" t="str">
            <v>Malawi</v>
          </cell>
        </row>
        <row r="201">
          <cell r="A201" t="str">
            <v>Mayotte</v>
          </cell>
        </row>
        <row r="202">
          <cell r="A202" t="str">
            <v>Namibia</v>
          </cell>
        </row>
        <row r="203">
          <cell r="A203" t="str">
            <v>New Caledonia</v>
          </cell>
        </row>
        <row r="204">
          <cell r="A204" t="str">
            <v>Niger</v>
          </cell>
        </row>
        <row r="205">
          <cell r="A205" t="str">
            <v>Norfolk Island</v>
          </cell>
        </row>
        <row r="206">
          <cell r="A206" t="str">
            <v>Niue</v>
          </cell>
        </row>
        <row r="207">
          <cell r="A207" t="str">
            <v>Nauru</v>
          </cell>
        </row>
        <row r="208">
          <cell r="A208" t="str">
            <v>Pitcairn Islands</v>
          </cell>
        </row>
        <row r="209">
          <cell r="A209" t="str">
            <v>Palau</v>
          </cell>
        </row>
        <row r="210">
          <cell r="A210" t="str">
            <v>North Korea</v>
          </cell>
        </row>
        <row r="211">
          <cell r="A211" t="str">
            <v>French Polynesia</v>
          </cell>
        </row>
        <row r="212">
          <cell r="A212" t="str">
            <v>Rwanda</v>
          </cell>
        </row>
        <row r="213">
          <cell r="A213" t="str">
            <v>Sudan</v>
          </cell>
        </row>
        <row r="214">
          <cell r="A214" t="str">
            <v>Senegal</v>
          </cell>
        </row>
        <row r="215">
          <cell r="A215" t="str">
            <v>South Georgia &amp; South Sandwich Islands</v>
          </cell>
        </row>
        <row r="216">
          <cell r="A216" t="str">
            <v>Svalbard &amp; Jan Mayen</v>
          </cell>
        </row>
        <row r="217">
          <cell r="A217" t="str">
            <v>Solomon Islands</v>
          </cell>
        </row>
        <row r="218">
          <cell r="A218" t="str">
            <v>Sierra Leone</v>
          </cell>
        </row>
        <row r="219">
          <cell r="A219" t="str">
            <v>San Marino</v>
          </cell>
        </row>
        <row r="220">
          <cell r="A220" t="str">
            <v>Somalia</v>
          </cell>
        </row>
        <row r="221">
          <cell r="A221" t="str">
            <v>St. Pierre &amp; Miquelon</v>
          </cell>
        </row>
        <row r="222">
          <cell r="A222" t="str">
            <v>South Sudan</v>
          </cell>
        </row>
        <row r="223">
          <cell r="A223" t="str">
            <v>SÃ£o TomÃ© &amp; PrÃ­ncipe</v>
          </cell>
        </row>
        <row r="224">
          <cell r="A224" t="str">
            <v>Suriname</v>
          </cell>
        </row>
        <row r="225">
          <cell r="A225" t="str">
            <v>Slovakia</v>
          </cell>
        </row>
        <row r="226">
          <cell r="A226" t="str">
            <v>Eswatini</v>
          </cell>
        </row>
        <row r="227">
          <cell r="A227" t="str">
            <v>Sint Maarten</v>
          </cell>
        </row>
        <row r="228">
          <cell r="A228" t="str">
            <v>Seychelles</v>
          </cell>
        </row>
        <row r="229">
          <cell r="A229" t="str">
            <v>Syria</v>
          </cell>
        </row>
        <row r="230">
          <cell r="A230" t="str">
            <v>Turks &amp; Caicos Islands</v>
          </cell>
        </row>
        <row r="231">
          <cell r="A231" t="str">
            <v>Chad</v>
          </cell>
        </row>
        <row r="232">
          <cell r="A232" t="str">
            <v>Togo</v>
          </cell>
        </row>
        <row r="233">
          <cell r="A233" t="str">
            <v>Tajikistan</v>
          </cell>
        </row>
        <row r="234">
          <cell r="A234" t="str">
            <v>Tokelau</v>
          </cell>
        </row>
        <row r="235">
          <cell r="A235" t="str">
            <v>Turkmenistan</v>
          </cell>
        </row>
        <row r="236">
          <cell r="A236" t="str">
            <v>Timor-Leste</v>
          </cell>
        </row>
        <row r="237">
          <cell r="A237" t="str">
            <v>Tonga</v>
          </cell>
        </row>
        <row r="238">
          <cell r="A238" t="str">
            <v>Trinidad &amp; Tobago</v>
          </cell>
        </row>
        <row r="239">
          <cell r="A239" t="str">
            <v>Tuvalu</v>
          </cell>
        </row>
        <row r="240">
          <cell r="A240" t="str">
            <v>Tanzania</v>
          </cell>
        </row>
        <row r="241">
          <cell r="A241" t="str">
            <v>Uganda</v>
          </cell>
        </row>
        <row r="242">
          <cell r="A242" t="str">
            <v>U.S. Outlying Islands</v>
          </cell>
        </row>
        <row r="243">
          <cell r="A243" t="str">
            <v>Uzbekistan</v>
          </cell>
        </row>
        <row r="244">
          <cell r="A244" t="str">
            <v>Vatican City</v>
          </cell>
        </row>
        <row r="245">
          <cell r="A245" t="str">
            <v>St. Vincent &amp; Grenadines</v>
          </cell>
        </row>
        <row r="246">
          <cell r="A246" t="str">
            <v>British Virgin Islands</v>
          </cell>
        </row>
        <row r="247">
          <cell r="A247" t="str">
            <v>U.S. Virgin Islands</v>
          </cell>
        </row>
        <row r="248">
          <cell r="A248" t="str">
            <v>Vanuatu</v>
          </cell>
        </row>
        <row r="249">
          <cell r="A249" t="str">
            <v>Wallis &amp; Futuna</v>
          </cell>
        </row>
        <row r="250">
          <cell r="A250" t="str">
            <v>Samoa</v>
          </cell>
        </row>
        <row r="251">
          <cell r="A251" t="str">
            <v>Kosovo</v>
          </cell>
        </row>
        <row r="252">
          <cell r="A252" t="str">
            <v>Zambia</v>
          </cell>
        </row>
        <row r="253">
          <cell r="A253" t="str">
            <v>Zimbabwe</v>
          </cell>
        </row>
      </sheetData>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59)"/>
    </sheetNames>
    <sheetDataSet>
      <sheetData sheetId="0" refreshError="1">
        <row r="1">
          <cell r="A1" t="str">
            <v>Category: All categories</v>
          </cell>
        </row>
        <row r="3">
          <cell r="A3" t="str">
            <v>Country</v>
          </cell>
          <cell r="B3" t="str">
            <v>P versus NP problem: (2018)</v>
          </cell>
          <cell r="C3" t="str">
            <v>Post correspondence problem: (2018)</v>
          </cell>
        </row>
        <row r="4">
          <cell r="A4" t="str">
            <v>China</v>
          </cell>
          <cell r="B4">
            <v>1</v>
          </cell>
        </row>
        <row r="5">
          <cell r="A5" t="str">
            <v>South Korea</v>
          </cell>
          <cell r="B5">
            <v>0.97</v>
          </cell>
          <cell r="C5">
            <v>0.03</v>
          </cell>
        </row>
        <row r="6">
          <cell r="A6" t="str">
            <v>Austria</v>
          </cell>
          <cell r="B6">
            <v>1</v>
          </cell>
        </row>
        <row r="7">
          <cell r="A7" t="str">
            <v>Germany</v>
          </cell>
          <cell r="B7">
            <v>0.95</v>
          </cell>
          <cell r="C7">
            <v>0.05</v>
          </cell>
        </row>
        <row r="8">
          <cell r="A8" t="str">
            <v>Hong Kong</v>
          </cell>
          <cell r="B8">
            <v>1</v>
          </cell>
        </row>
        <row r="9">
          <cell r="A9" t="str">
            <v>Norway</v>
          </cell>
          <cell r="B9">
            <v>1</v>
          </cell>
        </row>
        <row r="10">
          <cell r="A10" t="str">
            <v>Singapore</v>
          </cell>
          <cell r="B10">
            <v>1</v>
          </cell>
        </row>
        <row r="11">
          <cell r="A11" t="str">
            <v>Israel</v>
          </cell>
          <cell r="B11">
            <v>1</v>
          </cell>
        </row>
        <row r="12">
          <cell r="A12" t="str">
            <v>Switzerland</v>
          </cell>
          <cell r="B12">
            <v>1</v>
          </cell>
        </row>
        <row r="13">
          <cell r="A13" t="str">
            <v>Ghana</v>
          </cell>
        </row>
        <row r="14">
          <cell r="A14" t="str">
            <v>United States</v>
          </cell>
          <cell r="B14">
            <v>0.99</v>
          </cell>
          <cell r="C14">
            <v>0.01</v>
          </cell>
        </row>
        <row r="15">
          <cell r="A15" t="str">
            <v>Peru</v>
          </cell>
          <cell r="B15">
            <v>1</v>
          </cell>
        </row>
        <row r="16">
          <cell r="A16" t="str">
            <v>Croatia</v>
          </cell>
          <cell r="B16">
            <v>1</v>
          </cell>
        </row>
        <row r="17">
          <cell r="A17" t="str">
            <v>Czechia</v>
          </cell>
          <cell r="B17">
            <v>1</v>
          </cell>
        </row>
        <row r="18">
          <cell r="A18" t="str">
            <v>South Africa</v>
          </cell>
          <cell r="B18">
            <v>1</v>
          </cell>
        </row>
        <row r="19">
          <cell r="A19" t="str">
            <v>India</v>
          </cell>
          <cell r="B19">
            <v>0.81</v>
          </cell>
          <cell r="C19">
            <v>0.19</v>
          </cell>
        </row>
        <row r="20">
          <cell r="A20" t="str">
            <v>Estonia</v>
          </cell>
        </row>
        <row r="21">
          <cell r="A21" t="str">
            <v>Belarus</v>
          </cell>
          <cell r="B21">
            <v>1</v>
          </cell>
        </row>
        <row r="22">
          <cell r="A22" t="str">
            <v>Pakistan</v>
          </cell>
          <cell r="B22">
            <v>0.85</v>
          </cell>
          <cell r="C22">
            <v>0.15</v>
          </cell>
        </row>
        <row r="23">
          <cell r="A23" t="str">
            <v>Canada</v>
          </cell>
          <cell r="B23">
            <v>0.96</v>
          </cell>
          <cell r="C23">
            <v>0.04</v>
          </cell>
        </row>
        <row r="24">
          <cell r="A24" t="str">
            <v>Mexico</v>
          </cell>
          <cell r="B24">
            <v>1</v>
          </cell>
        </row>
        <row r="25">
          <cell r="A25" t="str">
            <v>Nepal</v>
          </cell>
          <cell r="B25">
            <v>1</v>
          </cell>
        </row>
        <row r="26">
          <cell r="A26" t="str">
            <v>Greece</v>
          </cell>
          <cell r="B26">
            <v>1</v>
          </cell>
        </row>
        <row r="27">
          <cell r="A27" t="str">
            <v>Netherlands</v>
          </cell>
          <cell r="B27">
            <v>1</v>
          </cell>
        </row>
        <row r="28">
          <cell r="A28" t="str">
            <v>Australia</v>
          </cell>
          <cell r="B28">
            <v>1</v>
          </cell>
        </row>
        <row r="29">
          <cell r="A29" t="str">
            <v>Ecuador</v>
          </cell>
          <cell r="B29">
            <v>1</v>
          </cell>
        </row>
        <row r="30">
          <cell r="A30" t="str">
            <v>Denmark</v>
          </cell>
          <cell r="B30">
            <v>1</v>
          </cell>
        </row>
        <row r="31">
          <cell r="A31" t="str">
            <v>New Zealand</v>
          </cell>
          <cell r="B31">
            <v>1</v>
          </cell>
        </row>
        <row r="32">
          <cell r="A32" t="str">
            <v>Colombia</v>
          </cell>
          <cell r="B32">
            <v>1</v>
          </cell>
        </row>
        <row r="33">
          <cell r="A33" t="str">
            <v>Bangladesh</v>
          </cell>
          <cell r="B33">
            <v>1</v>
          </cell>
        </row>
        <row r="34">
          <cell r="A34" t="str">
            <v>Sweden</v>
          </cell>
          <cell r="B34">
            <v>1</v>
          </cell>
        </row>
        <row r="35">
          <cell r="A35" t="str">
            <v>Argentina</v>
          </cell>
          <cell r="B35">
            <v>1</v>
          </cell>
        </row>
        <row r="36">
          <cell r="A36" t="str">
            <v>Spain</v>
          </cell>
          <cell r="B36">
            <v>1</v>
          </cell>
        </row>
        <row r="37">
          <cell r="A37" t="str">
            <v>Philippines</v>
          </cell>
          <cell r="B37">
            <v>1</v>
          </cell>
        </row>
        <row r="38">
          <cell r="A38" t="str">
            <v>Lithuania</v>
          </cell>
        </row>
        <row r="39">
          <cell r="A39" t="str">
            <v>Ireland</v>
          </cell>
          <cell r="B39">
            <v>1</v>
          </cell>
        </row>
        <row r="40">
          <cell r="A40" t="str">
            <v>United Arab Emirates</v>
          </cell>
          <cell r="B40">
            <v>1</v>
          </cell>
        </row>
        <row r="41">
          <cell r="A41" t="str">
            <v>United Kingdom</v>
          </cell>
          <cell r="B41">
            <v>0.98</v>
          </cell>
          <cell r="C41">
            <v>0.02</v>
          </cell>
        </row>
        <row r="42">
          <cell r="A42" t="str">
            <v>Serbia</v>
          </cell>
          <cell r="B42">
            <v>1</v>
          </cell>
        </row>
        <row r="43">
          <cell r="A43" t="str">
            <v>Taiwan</v>
          </cell>
          <cell r="B43">
            <v>1</v>
          </cell>
        </row>
        <row r="44">
          <cell r="A44" t="str">
            <v>Japan</v>
          </cell>
          <cell r="B44">
            <v>1</v>
          </cell>
        </row>
        <row r="45">
          <cell r="A45" t="str">
            <v>Brazil</v>
          </cell>
          <cell r="B45">
            <v>1</v>
          </cell>
        </row>
        <row r="46">
          <cell r="A46" t="str">
            <v>Hungary</v>
          </cell>
          <cell r="B46">
            <v>1</v>
          </cell>
        </row>
        <row r="47">
          <cell r="A47" t="str">
            <v>Chile</v>
          </cell>
          <cell r="B47">
            <v>1</v>
          </cell>
        </row>
        <row r="48">
          <cell r="A48" t="str">
            <v>Nigeria</v>
          </cell>
          <cell r="B48">
            <v>1</v>
          </cell>
        </row>
        <row r="49">
          <cell r="A49" t="str">
            <v>Belgium</v>
          </cell>
          <cell r="B49">
            <v>1</v>
          </cell>
        </row>
        <row r="50">
          <cell r="A50" t="str">
            <v>Finland</v>
          </cell>
          <cell r="B50">
            <v>1</v>
          </cell>
        </row>
        <row r="51">
          <cell r="A51" t="str">
            <v>Saudi Arabia</v>
          </cell>
          <cell r="B51">
            <v>1</v>
          </cell>
        </row>
        <row r="52">
          <cell r="A52" t="str">
            <v>Malaysia</v>
          </cell>
          <cell r="B52">
            <v>1</v>
          </cell>
        </row>
        <row r="53">
          <cell r="A53" t="str">
            <v>Italy</v>
          </cell>
          <cell r="B53">
            <v>1</v>
          </cell>
        </row>
        <row r="54">
          <cell r="A54" t="str">
            <v>Romania</v>
          </cell>
          <cell r="B54">
            <v>1</v>
          </cell>
        </row>
        <row r="55">
          <cell r="A55" t="str">
            <v>Portugal</v>
          </cell>
          <cell r="B55">
            <v>1</v>
          </cell>
        </row>
        <row r="56">
          <cell r="A56" t="str">
            <v>Russia</v>
          </cell>
          <cell r="B56">
            <v>1</v>
          </cell>
        </row>
        <row r="57">
          <cell r="A57" t="str">
            <v>France</v>
          </cell>
          <cell r="B57">
            <v>1</v>
          </cell>
        </row>
        <row r="58">
          <cell r="A58" t="str">
            <v>Egypt</v>
          </cell>
          <cell r="B58">
            <v>1</v>
          </cell>
        </row>
        <row r="59">
          <cell r="A59" t="str">
            <v>Poland</v>
          </cell>
          <cell r="B59">
            <v>1</v>
          </cell>
        </row>
        <row r="60">
          <cell r="A60" t="str">
            <v>Ukraine</v>
          </cell>
          <cell r="B60">
            <v>1</v>
          </cell>
        </row>
        <row r="61">
          <cell r="A61" t="str">
            <v>Bulgaria</v>
          </cell>
        </row>
        <row r="62">
          <cell r="A62" t="str">
            <v>Thailand</v>
          </cell>
          <cell r="B62">
            <v>1</v>
          </cell>
        </row>
        <row r="63">
          <cell r="A63" t="str">
            <v>Vietnam</v>
          </cell>
          <cell r="B63">
            <v>1</v>
          </cell>
        </row>
        <row r="64">
          <cell r="A64" t="str">
            <v>Indonesia</v>
          </cell>
          <cell r="B64">
            <v>1</v>
          </cell>
        </row>
        <row r="65">
          <cell r="A65" t="str">
            <v>Venezuela</v>
          </cell>
          <cell r="B65">
            <v>1</v>
          </cell>
        </row>
        <row r="66">
          <cell r="A66" t="str">
            <v>Turkey</v>
          </cell>
          <cell r="B66">
            <v>1</v>
          </cell>
        </row>
        <row r="67">
          <cell r="A67" t="str">
            <v>Guernsey</v>
          </cell>
        </row>
        <row r="68">
          <cell r="A68" t="str">
            <v>Andorra</v>
          </cell>
        </row>
        <row r="69">
          <cell r="A69" t="str">
            <v>Isle of Man</v>
          </cell>
        </row>
        <row r="70">
          <cell r="A70" t="str">
            <v>Namibia</v>
          </cell>
        </row>
        <row r="71">
          <cell r="A71" t="str">
            <v>Malta</v>
          </cell>
        </row>
        <row r="72">
          <cell r="A72" t="str">
            <v>Luxembourg</v>
          </cell>
        </row>
        <row r="73">
          <cell r="A73" t="str">
            <v>Martinique</v>
          </cell>
        </row>
        <row r="74">
          <cell r="A74" t="str">
            <v>Guadeloupe</v>
          </cell>
        </row>
        <row r="75">
          <cell r="A75" t="str">
            <v>Macao</v>
          </cell>
        </row>
        <row r="76">
          <cell r="A76" t="str">
            <v>Slovenia</v>
          </cell>
        </row>
        <row r="77">
          <cell r="A77" t="str">
            <v>Kosovo</v>
          </cell>
        </row>
        <row r="78">
          <cell r="A78" t="str">
            <v>Jamaica</v>
          </cell>
        </row>
        <row r="79">
          <cell r="A79" t="str">
            <v>Mauritius</v>
          </cell>
        </row>
        <row r="80">
          <cell r="A80" t="str">
            <v>Ethiopia</v>
          </cell>
        </row>
        <row r="81">
          <cell r="A81" t="str">
            <v>Qatar</v>
          </cell>
        </row>
        <row r="82">
          <cell r="A82" t="str">
            <v>Palestine</v>
          </cell>
        </row>
        <row r="83">
          <cell r="A83" t="str">
            <v>Puerto Rico</v>
          </cell>
        </row>
        <row r="84">
          <cell r="A84" t="str">
            <v>Cyprus</v>
          </cell>
        </row>
        <row r="85">
          <cell r="A85" t="str">
            <v>Albania</v>
          </cell>
        </row>
        <row r="86">
          <cell r="A86" t="str">
            <v>Yemen</v>
          </cell>
        </row>
        <row r="87">
          <cell r="A87" t="str">
            <v>Myanmar (Burma)</v>
          </cell>
        </row>
        <row r="88">
          <cell r="A88" t="str">
            <v>St. Helena</v>
          </cell>
        </row>
        <row r="89">
          <cell r="A89" t="str">
            <v>Sri Lanka</v>
          </cell>
        </row>
        <row r="90">
          <cell r="A90" t="str">
            <v>Lebanon</v>
          </cell>
        </row>
        <row r="91">
          <cell r="A91" t="str">
            <v>Cambodia</v>
          </cell>
        </row>
        <row r="92">
          <cell r="A92" t="str">
            <v>Kenya</v>
          </cell>
        </row>
        <row r="93">
          <cell r="A93" t="str">
            <v>Tunisia</v>
          </cell>
        </row>
        <row r="94">
          <cell r="A94" t="str">
            <v>Honduras</v>
          </cell>
        </row>
        <row r="95">
          <cell r="A95" t="str">
            <v>Moldova</v>
          </cell>
        </row>
        <row r="96">
          <cell r="A96" t="str">
            <v>El Salvador</v>
          </cell>
        </row>
        <row r="97">
          <cell r="A97" t="str">
            <v>Syria</v>
          </cell>
        </row>
        <row r="98">
          <cell r="A98" t="str">
            <v>Panama</v>
          </cell>
        </row>
        <row r="99">
          <cell r="A99" t="str">
            <v>Georgia</v>
          </cell>
        </row>
        <row r="100">
          <cell r="A100" t="str">
            <v>Kazakhstan</v>
          </cell>
        </row>
        <row r="101">
          <cell r="A101" t="str">
            <v>Algeria</v>
          </cell>
        </row>
        <row r="102">
          <cell r="A102" t="str">
            <v>Bolivia</v>
          </cell>
        </row>
        <row r="103">
          <cell r="A103" t="str">
            <v>Uruguay</v>
          </cell>
        </row>
        <row r="104">
          <cell r="A104" t="str">
            <v>Guatemala</v>
          </cell>
        </row>
        <row r="105">
          <cell r="A105" t="str">
            <v>Dominican Republic</v>
          </cell>
        </row>
        <row r="106">
          <cell r="A106" t="str">
            <v>Morocco</v>
          </cell>
        </row>
        <row r="107">
          <cell r="A107" t="str">
            <v>Iran</v>
          </cell>
        </row>
        <row r="108">
          <cell r="A108" t="str">
            <v>Aruba</v>
          </cell>
        </row>
        <row r="109">
          <cell r="A109" t="str">
            <v>Afghanistan</v>
          </cell>
        </row>
        <row r="110">
          <cell r="A110" t="str">
            <v>Angola</v>
          </cell>
        </row>
        <row r="111">
          <cell r="A111" t="str">
            <v>Anguilla</v>
          </cell>
        </row>
        <row r="112">
          <cell r="A112" t="str">
            <v>Ã…land Islands</v>
          </cell>
        </row>
        <row r="113">
          <cell r="A113" t="str">
            <v>Armenia</v>
          </cell>
        </row>
        <row r="114">
          <cell r="A114" t="str">
            <v>American Samoa</v>
          </cell>
        </row>
        <row r="115">
          <cell r="A115" t="str">
            <v>Antarctica</v>
          </cell>
        </row>
        <row r="116">
          <cell r="A116" t="str">
            <v>French Southern Territories</v>
          </cell>
        </row>
        <row r="117">
          <cell r="A117" t="str">
            <v>Antigua &amp; Barbuda</v>
          </cell>
        </row>
        <row r="118">
          <cell r="A118" t="str">
            <v>Azerbaijan</v>
          </cell>
        </row>
        <row r="119">
          <cell r="A119" t="str">
            <v>Burundi</v>
          </cell>
        </row>
        <row r="120">
          <cell r="A120" t="str">
            <v>Benin</v>
          </cell>
        </row>
        <row r="121">
          <cell r="A121" t="str">
            <v>Caribbean Netherlands</v>
          </cell>
        </row>
        <row r="122">
          <cell r="A122" t="str">
            <v>Burkina Faso</v>
          </cell>
        </row>
        <row r="123">
          <cell r="A123" t="str">
            <v>Bahrain</v>
          </cell>
        </row>
        <row r="124">
          <cell r="A124" t="str">
            <v>Bahamas</v>
          </cell>
        </row>
        <row r="125">
          <cell r="A125" t="str">
            <v>Bosnia &amp; Herzegovina</v>
          </cell>
        </row>
        <row r="126">
          <cell r="A126" t="str">
            <v>St. BarthÃ©lemy</v>
          </cell>
        </row>
        <row r="127">
          <cell r="A127" t="str">
            <v>Belize</v>
          </cell>
        </row>
        <row r="128">
          <cell r="A128" t="str">
            <v>Bermuda</v>
          </cell>
        </row>
        <row r="129">
          <cell r="A129" t="str">
            <v>Barbados</v>
          </cell>
        </row>
        <row r="130">
          <cell r="A130" t="str">
            <v>Brunei</v>
          </cell>
        </row>
        <row r="131">
          <cell r="A131" t="str">
            <v>Bhutan</v>
          </cell>
        </row>
        <row r="132">
          <cell r="A132" t="str">
            <v>Bouvet Island</v>
          </cell>
        </row>
        <row r="133">
          <cell r="A133" t="str">
            <v>Botswana</v>
          </cell>
        </row>
        <row r="134">
          <cell r="A134" t="str">
            <v>Central African Republic</v>
          </cell>
        </row>
        <row r="135">
          <cell r="A135" t="str">
            <v>Cocos (Keeling) Islands</v>
          </cell>
        </row>
        <row r="136">
          <cell r="A136" t="str">
            <v>CÃ´te dâ€™Ivoire</v>
          </cell>
        </row>
        <row r="137">
          <cell r="A137" t="str">
            <v>Cameroon</v>
          </cell>
        </row>
        <row r="138">
          <cell r="A138" t="str">
            <v>Congo - Kinshasa</v>
          </cell>
        </row>
        <row r="139">
          <cell r="A139" t="str">
            <v>Congo - Brazzaville</v>
          </cell>
        </row>
        <row r="140">
          <cell r="A140" t="str">
            <v>Cook Islands</v>
          </cell>
        </row>
        <row r="141">
          <cell r="A141" t="str">
            <v>Comoros</v>
          </cell>
        </row>
        <row r="142">
          <cell r="A142" t="str">
            <v>Cape Verde</v>
          </cell>
        </row>
        <row r="143">
          <cell r="A143" t="str">
            <v>Costa Rica</v>
          </cell>
        </row>
        <row r="144">
          <cell r="A144" t="str">
            <v>Cuba</v>
          </cell>
        </row>
        <row r="145">
          <cell r="A145" t="str">
            <v>CuraÃ§ao</v>
          </cell>
        </row>
        <row r="146">
          <cell r="A146" t="str">
            <v>Christmas Island</v>
          </cell>
        </row>
        <row r="147">
          <cell r="A147" t="str">
            <v>Cayman Islands</v>
          </cell>
        </row>
        <row r="148">
          <cell r="A148" t="str">
            <v>Djibouti</v>
          </cell>
        </row>
        <row r="149">
          <cell r="A149" t="str">
            <v>Dominica</v>
          </cell>
        </row>
        <row r="150">
          <cell r="A150" t="str">
            <v>Eritrea</v>
          </cell>
        </row>
        <row r="151">
          <cell r="A151" t="str">
            <v>Western Sahara</v>
          </cell>
        </row>
        <row r="152">
          <cell r="A152" t="str">
            <v>Fiji</v>
          </cell>
        </row>
        <row r="153">
          <cell r="A153" t="str">
            <v>Falkland Islands (Islas Malvinas)</v>
          </cell>
        </row>
        <row r="154">
          <cell r="A154" t="str">
            <v>Faroe Islands</v>
          </cell>
        </row>
        <row r="155">
          <cell r="A155" t="str">
            <v>Micronesia</v>
          </cell>
        </row>
        <row r="156">
          <cell r="A156" t="str">
            <v>Gabon</v>
          </cell>
        </row>
        <row r="157">
          <cell r="A157" t="str">
            <v>Gibraltar</v>
          </cell>
        </row>
        <row r="158">
          <cell r="A158" t="str">
            <v>Guinea</v>
          </cell>
        </row>
        <row r="159">
          <cell r="A159" t="str">
            <v>Gambia</v>
          </cell>
        </row>
        <row r="160">
          <cell r="A160" t="str">
            <v>Guinea-Bissau</v>
          </cell>
        </row>
        <row r="161">
          <cell r="A161" t="str">
            <v>Equatorial Guinea</v>
          </cell>
        </row>
        <row r="162">
          <cell r="A162" t="str">
            <v>Grenada</v>
          </cell>
        </row>
        <row r="163">
          <cell r="A163" t="str">
            <v>Greenland</v>
          </cell>
        </row>
        <row r="164">
          <cell r="A164" t="str">
            <v>French Guiana</v>
          </cell>
        </row>
        <row r="165">
          <cell r="A165" t="str">
            <v>Guam</v>
          </cell>
        </row>
        <row r="166">
          <cell r="A166" t="str">
            <v>Guyana</v>
          </cell>
        </row>
        <row r="167">
          <cell r="A167" t="str">
            <v>Heard &amp; McDonald Islands</v>
          </cell>
        </row>
        <row r="168">
          <cell r="A168" t="str">
            <v>Haiti</v>
          </cell>
        </row>
        <row r="169">
          <cell r="A169" t="str">
            <v>British Indian Ocean Territory</v>
          </cell>
        </row>
        <row r="170">
          <cell r="A170" t="str">
            <v>Iraq</v>
          </cell>
        </row>
        <row r="171">
          <cell r="A171" t="str">
            <v>Iceland</v>
          </cell>
        </row>
        <row r="172">
          <cell r="A172" t="str">
            <v>Jersey</v>
          </cell>
        </row>
        <row r="173">
          <cell r="A173" t="str">
            <v>Jordan</v>
          </cell>
        </row>
        <row r="174">
          <cell r="A174" t="str">
            <v>Kyrgyzstan</v>
          </cell>
        </row>
        <row r="175">
          <cell r="A175" t="str">
            <v>Kiribati</v>
          </cell>
        </row>
        <row r="176">
          <cell r="A176" t="str">
            <v>St. Kitts &amp; Nevis</v>
          </cell>
        </row>
        <row r="177">
          <cell r="A177" t="str">
            <v>Kuwait</v>
          </cell>
        </row>
        <row r="178">
          <cell r="A178" t="str">
            <v>Laos</v>
          </cell>
        </row>
        <row r="179">
          <cell r="A179" t="str">
            <v>Liberia</v>
          </cell>
        </row>
        <row r="180">
          <cell r="A180" t="str">
            <v>Libya</v>
          </cell>
        </row>
        <row r="181">
          <cell r="A181" t="str">
            <v>St. Lucia</v>
          </cell>
        </row>
        <row r="182">
          <cell r="A182" t="str">
            <v>Liechtenstein</v>
          </cell>
        </row>
        <row r="183">
          <cell r="A183" t="str">
            <v>Lesotho</v>
          </cell>
        </row>
        <row r="184">
          <cell r="A184" t="str">
            <v>Latvia</v>
          </cell>
        </row>
        <row r="185">
          <cell r="A185" t="str">
            <v>St. Martin</v>
          </cell>
        </row>
        <row r="186">
          <cell r="A186" t="str">
            <v>Monaco</v>
          </cell>
        </row>
        <row r="187">
          <cell r="A187" t="str">
            <v>Madagascar</v>
          </cell>
        </row>
        <row r="188">
          <cell r="A188" t="str">
            <v>Maldives</v>
          </cell>
        </row>
        <row r="189">
          <cell r="A189" t="str">
            <v>Marshall Islands</v>
          </cell>
        </row>
        <row r="190">
          <cell r="A190" t="str">
            <v>North Macedonia</v>
          </cell>
        </row>
        <row r="191">
          <cell r="A191" t="str">
            <v>Mali</v>
          </cell>
        </row>
        <row r="192">
          <cell r="A192" t="str">
            <v>Montenegro</v>
          </cell>
        </row>
        <row r="193">
          <cell r="A193" t="str">
            <v>Mongolia</v>
          </cell>
        </row>
        <row r="194">
          <cell r="A194" t="str">
            <v>Northern Mariana Islands</v>
          </cell>
        </row>
        <row r="195">
          <cell r="A195" t="str">
            <v>Mozambique</v>
          </cell>
        </row>
        <row r="196">
          <cell r="A196" t="str">
            <v>Mauritania</v>
          </cell>
        </row>
        <row r="197">
          <cell r="A197" t="str">
            <v>Montserrat</v>
          </cell>
        </row>
        <row r="198">
          <cell r="A198" t="str">
            <v>Malawi</v>
          </cell>
        </row>
        <row r="199">
          <cell r="A199" t="str">
            <v>Mayotte</v>
          </cell>
        </row>
        <row r="200">
          <cell r="A200" t="str">
            <v>New Caledonia</v>
          </cell>
        </row>
        <row r="201">
          <cell r="A201" t="str">
            <v>Niger</v>
          </cell>
        </row>
        <row r="202">
          <cell r="A202" t="str">
            <v>Norfolk Island</v>
          </cell>
        </row>
        <row r="203">
          <cell r="A203" t="str">
            <v>Nicaragua</v>
          </cell>
        </row>
        <row r="204">
          <cell r="A204" t="str">
            <v>Niue</v>
          </cell>
        </row>
        <row r="205">
          <cell r="A205" t="str">
            <v>Nauru</v>
          </cell>
        </row>
        <row r="206">
          <cell r="A206" t="str">
            <v>Oman</v>
          </cell>
        </row>
        <row r="207">
          <cell r="A207" t="str">
            <v>Pitcairn Islands</v>
          </cell>
        </row>
        <row r="208">
          <cell r="A208" t="str">
            <v>Palau</v>
          </cell>
        </row>
        <row r="209">
          <cell r="A209" t="str">
            <v>Papua New Guinea</v>
          </cell>
        </row>
        <row r="210">
          <cell r="A210" t="str">
            <v>North Korea</v>
          </cell>
        </row>
        <row r="211">
          <cell r="A211" t="str">
            <v>Paraguay</v>
          </cell>
        </row>
        <row r="212">
          <cell r="A212" t="str">
            <v>French Polynesia</v>
          </cell>
        </row>
        <row r="213">
          <cell r="A213" t="str">
            <v>RÃ©union</v>
          </cell>
        </row>
        <row r="214">
          <cell r="A214" t="str">
            <v>Rwanda</v>
          </cell>
        </row>
        <row r="215">
          <cell r="A215" t="str">
            <v>Sudan</v>
          </cell>
        </row>
        <row r="216">
          <cell r="A216" t="str">
            <v>Senegal</v>
          </cell>
        </row>
        <row r="217">
          <cell r="A217" t="str">
            <v>South Georgia &amp; South Sandwich Islands</v>
          </cell>
        </row>
        <row r="218">
          <cell r="A218" t="str">
            <v>Svalbard &amp; Jan Mayen</v>
          </cell>
        </row>
        <row r="219">
          <cell r="A219" t="str">
            <v>Solomon Islands</v>
          </cell>
        </row>
        <row r="220">
          <cell r="A220" t="str">
            <v>Sierra Leone</v>
          </cell>
        </row>
        <row r="221">
          <cell r="A221" t="str">
            <v>San Marino</v>
          </cell>
        </row>
        <row r="222">
          <cell r="A222" t="str">
            <v>Somalia</v>
          </cell>
        </row>
        <row r="223">
          <cell r="A223" t="str">
            <v>St. Pierre &amp; Miquelon</v>
          </cell>
        </row>
        <row r="224">
          <cell r="A224" t="str">
            <v>South Sudan</v>
          </cell>
        </row>
        <row r="225">
          <cell r="A225" t="str">
            <v>SÃ£o TomÃ© &amp; PrÃ­ncipe</v>
          </cell>
        </row>
        <row r="226">
          <cell r="A226" t="str">
            <v>Suriname</v>
          </cell>
        </row>
        <row r="227">
          <cell r="A227" t="str">
            <v>Slovakia</v>
          </cell>
        </row>
        <row r="228">
          <cell r="A228" t="str">
            <v>Eswatini</v>
          </cell>
        </row>
        <row r="229">
          <cell r="A229" t="str">
            <v>Sint Maarten</v>
          </cell>
        </row>
        <row r="230">
          <cell r="A230" t="str">
            <v>Seychelles</v>
          </cell>
        </row>
        <row r="231">
          <cell r="A231" t="str">
            <v>Turks &amp; Caicos Islands</v>
          </cell>
        </row>
        <row r="232">
          <cell r="A232" t="str">
            <v>Chad</v>
          </cell>
        </row>
        <row r="233">
          <cell r="A233" t="str">
            <v>Togo</v>
          </cell>
        </row>
        <row r="234">
          <cell r="A234" t="str">
            <v>Tajikistan</v>
          </cell>
        </row>
        <row r="235">
          <cell r="A235" t="str">
            <v>Tokelau</v>
          </cell>
        </row>
        <row r="236">
          <cell r="A236" t="str">
            <v>Turkmenistan</v>
          </cell>
        </row>
        <row r="237">
          <cell r="A237" t="str">
            <v>Timor-Leste</v>
          </cell>
        </row>
        <row r="238">
          <cell r="A238" t="str">
            <v>Tonga</v>
          </cell>
        </row>
        <row r="239">
          <cell r="A239" t="str">
            <v>Trinidad &amp; Tobago</v>
          </cell>
        </row>
        <row r="240">
          <cell r="A240" t="str">
            <v>Tuvalu</v>
          </cell>
        </row>
        <row r="241">
          <cell r="A241" t="str">
            <v>Tanzania</v>
          </cell>
        </row>
        <row r="242">
          <cell r="A242" t="str">
            <v>Uganda</v>
          </cell>
        </row>
        <row r="243">
          <cell r="A243" t="str">
            <v>U.S. Outlying Islands</v>
          </cell>
        </row>
        <row r="244">
          <cell r="A244" t="str">
            <v>Uzbekistan</v>
          </cell>
        </row>
        <row r="245">
          <cell r="A245" t="str">
            <v>Vatican City</v>
          </cell>
        </row>
        <row r="246">
          <cell r="A246" t="str">
            <v>St. Vincent &amp; Grenadines</v>
          </cell>
        </row>
        <row r="247">
          <cell r="A247" t="str">
            <v>British Virgin Islands</v>
          </cell>
        </row>
        <row r="248">
          <cell r="A248" t="str">
            <v>U.S. Virgin Islands</v>
          </cell>
        </row>
        <row r="249">
          <cell r="A249" t="str">
            <v>Vanuatu</v>
          </cell>
        </row>
        <row r="250">
          <cell r="A250" t="str">
            <v>Wallis &amp; Futuna</v>
          </cell>
        </row>
        <row r="251">
          <cell r="A251" t="str">
            <v>Samoa</v>
          </cell>
        </row>
        <row r="252">
          <cell r="A252" t="str">
            <v>Zambia</v>
          </cell>
        </row>
        <row r="253">
          <cell r="A253" t="str">
            <v>Zimbabwe</v>
          </cell>
        </row>
      </sheetData>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61)"/>
    </sheetNames>
    <sheetDataSet>
      <sheetData sheetId="0" refreshError="1">
        <row r="1">
          <cell r="A1" t="str">
            <v>Category: All categories</v>
          </cell>
        </row>
        <row r="3">
          <cell r="A3" t="str">
            <v>Country</v>
          </cell>
          <cell r="B3" t="str">
            <v>P versus NP problem: (2018)</v>
          </cell>
          <cell r="C3" t="str">
            <v>Polynomial-time reduction: (2018)</v>
          </cell>
        </row>
        <row r="4">
          <cell r="A4" t="str">
            <v>China</v>
          </cell>
          <cell r="B4">
            <v>1</v>
          </cell>
        </row>
        <row r="5">
          <cell r="A5" t="str">
            <v>South Korea</v>
          </cell>
          <cell r="B5">
            <v>1</v>
          </cell>
        </row>
        <row r="6">
          <cell r="A6" t="str">
            <v>Germany</v>
          </cell>
          <cell r="B6">
            <v>0.97</v>
          </cell>
          <cell r="C6">
            <v>0.03</v>
          </cell>
        </row>
        <row r="7">
          <cell r="A7" t="str">
            <v>Austria</v>
          </cell>
          <cell r="B7">
            <v>1</v>
          </cell>
        </row>
        <row r="8">
          <cell r="A8" t="str">
            <v>Nepal</v>
          </cell>
          <cell r="B8">
            <v>1</v>
          </cell>
        </row>
        <row r="9">
          <cell r="A9" t="str">
            <v>Israel</v>
          </cell>
          <cell r="B9">
            <v>1</v>
          </cell>
        </row>
        <row r="10">
          <cell r="A10" t="str">
            <v>Singapore</v>
          </cell>
          <cell r="B10">
            <v>1</v>
          </cell>
        </row>
        <row r="11">
          <cell r="A11" t="str">
            <v>Peru</v>
          </cell>
          <cell r="B11">
            <v>1</v>
          </cell>
        </row>
        <row r="12">
          <cell r="A12" t="str">
            <v>Norway</v>
          </cell>
          <cell r="B12">
            <v>1</v>
          </cell>
        </row>
        <row r="13">
          <cell r="A13" t="str">
            <v>South Africa</v>
          </cell>
          <cell r="B13">
            <v>1</v>
          </cell>
        </row>
        <row r="14">
          <cell r="A14" t="str">
            <v>United States</v>
          </cell>
          <cell r="B14">
            <v>0.96</v>
          </cell>
          <cell r="C14">
            <v>0.04</v>
          </cell>
        </row>
        <row r="15">
          <cell r="A15" t="str">
            <v>Hong Kong</v>
          </cell>
          <cell r="B15">
            <v>1</v>
          </cell>
        </row>
        <row r="16">
          <cell r="A16" t="str">
            <v>Australia</v>
          </cell>
          <cell r="B16">
            <v>0.95</v>
          </cell>
          <cell r="C16">
            <v>0.05</v>
          </cell>
        </row>
        <row r="17">
          <cell r="A17" t="str">
            <v>Czechia</v>
          </cell>
          <cell r="B17">
            <v>1</v>
          </cell>
        </row>
        <row r="18">
          <cell r="A18" t="str">
            <v>Hungary</v>
          </cell>
          <cell r="B18">
            <v>1</v>
          </cell>
        </row>
        <row r="19">
          <cell r="A19" t="str">
            <v>Canada</v>
          </cell>
          <cell r="B19">
            <v>0.88</v>
          </cell>
          <cell r="C19">
            <v>0.12</v>
          </cell>
        </row>
        <row r="20">
          <cell r="A20" t="str">
            <v>India</v>
          </cell>
          <cell r="B20">
            <v>0.92</v>
          </cell>
          <cell r="C20">
            <v>0.08</v>
          </cell>
        </row>
        <row r="21">
          <cell r="A21" t="str">
            <v>Switzerland</v>
          </cell>
          <cell r="B21">
            <v>1</v>
          </cell>
        </row>
        <row r="22">
          <cell r="A22" t="str">
            <v>Bangladesh</v>
          </cell>
          <cell r="B22">
            <v>1</v>
          </cell>
        </row>
        <row r="23">
          <cell r="A23" t="str">
            <v>Pakistan</v>
          </cell>
          <cell r="B23">
            <v>1</v>
          </cell>
        </row>
        <row r="24">
          <cell r="A24" t="str">
            <v>Netherlands</v>
          </cell>
          <cell r="B24">
            <v>1</v>
          </cell>
        </row>
        <row r="25">
          <cell r="A25" t="str">
            <v>Denmark</v>
          </cell>
          <cell r="B25">
            <v>1</v>
          </cell>
        </row>
        <row r="26">
          <cell r="A26" t="str">
            <v>Ghana</v>
          </cell>
        </row>
        <row r="27">
          <cell r="A27" t="str">
            <v>Spain</v>
          </cell>
          <cell r="B27">
            <v>1</v>
          </cell>
        </row>
        <row r="28">
          <cell r="A28" t="str">
            <v>Belarus</v>
          </cell>
          <cell r="B28">
            <v>1</v>
          </cell>
        </row>
        <row r="29">
          <cell r="A29" t="str">
            <v>Mexico</v>
          </cell>
          <cell r="B29">
            <v>1</v>
          </cell>
        </row>
        <row r="30">
          <cell r="A30" t="str">
            <v>Argentina</v>
          </cell>
          <cell r="B30">
            <v>1</v>
          </cell>
        </row>
        <row r="31">
          <cell r="A31" t="str">
            <v>Lithuania</v>
          </cell>
        </row>
        <row r="32">
          <cell r="A32" t="str">
            <v>Taiwan</v>
          </cell>
          <cell r="B32">
            <v>1</v>
          </cell>
        </row>
        <row r="33">
          <cell r="A33" t="str">
            <v>New Zealand</v>
          </cell>
          <cell r="B33">
            <v>1</v>
          </cell>
        </row>
        <row r="34">
          <cell r="A34" t="str">
            <v>Colombia</v>
          </cell>
          <cell r="B34">
            <v>1</v>
          </cell>
        </row>
        <row r="35">
          <cell r="A35" t="str">
            <v>Sweden</v>
          </cell>
          <cell r="B35">
            <v>1</v>
          </cell>
        </row>
        <row r="36">
          <cell r="A36" t="str">
            <v>Serbia</v>
          </cell>
          <cell r="B36">
            <v>1</v>
          </cell>
        </row>
        <row r="37">
          <cell r="A37" t="str">
            <v>Ecuador</v>
          </cell>
          <cell r="B37">
            <v>1</v>
          </cell>
        </row>
        <row r="38">
          <cell r="A38" t="str">
            <v>Japan</v>
          </cell>
          <cell r="B38">
            <v>0.95</v>
          </cell>
          <cell r="C38">
            <v>0.05</v>
          </cell>
        </row>
        <row r="39">
          <cell r="A39" t="str">
            <v>Chile</v>
          </cell>
          <cell r="B39">
            <v>1</v>
          </cell>
        </row>
        <row r="40">
          <cell r="A40" t="str">
            <v>United Kingdom</v>
          </cell>
          <cell r="B40">
            <v>0.98</v>
          </cell>
          <cell r="C40">
            <v>0.02</v>
          </cell>
        </row>
        <row r="41">
          <cell r="A41" t="str">
            <v>United Arab Emirates</v>
          </cell>
          <cell r="B41">
            <v>1</v>
          </cell>
        </row>
        <row r="42">
          <cell r="A42" t="str">
            <v>Portugal</v>
          </cell>
          <cell r="B42">
            <v>1</v>
          </cell>
        </row>
        <row r="43">
          <cell r="A43" t="str">
            <v>Nigeria</v>
          </cell>
          <cell r="B43">
            <v>1</v>
          </cell>
        </row>
        <row r="44">
          <cell r="A44" t="str">
            <v>Brazil</v>
          </cell>
          <cell r="B44">
            <v>0.99</v>
          </cell>
          <cell r="C44">
            <v>0.01</v>
          </cell>
        </row>
        <row r="45">
          <cell r="A45" t="str">
            <v>Greece</v>
          </cell>
          <cell r="B45">
            <v>1</v>
          </cell>
        </row>
        <row r="46">
          <cell r="A46" t="str">
            <v>Belgium</v>
          </cell>
          <cell r="B46">
            <v>1</v>
          </cell>
        </row>
        <row r="47">
          <cell r="A47" t="str">
            <v>Finland</v>
          </cell>
          <cell r="B47">
            <v>1</v>
          </cell>
        </row>
        <row r="48">
          <cell r="A48" t="str">
            <v>Italy</v>
          </cell>
          <cell r="B48">
            <v>1</v>
          </cell>
        </row>
        <row r="49">
          <cell r="A49" t="str">
            <v>Philippines</v>
          </cell>
          <cell r="B49">
            <v>1</v>
          </cell>
        </row>
        <row r="50">
          <cell r="A50" t="str">
            <v>Saudi Arabia</v>
          </cell>
          <cell r="B50">
            <v>1</v>
          </cell>
        </row>
        <row r="51">
          <cell r="A51" t="str">
            <v>Malaysia</v>
          </cell>
          <cell r="B51">
            <v>1</v>
          </cell>
        </row>
        <row r="52">
          <cell r="A52" t="str">
            <v>Ireland</v>
          </cell>
          <cell r="B52">
            <v>1</v>
          </cell>
        </row>
        <row r="53">
          <cell r="A53" t="str">
            <v>France</v>
          </cell>
          <cell r="B53">
            <v>1</v>
          </cell>
        </row>
        <row r="54">
          <cell r="A54" t="str">
            <v>Russia</v>
          </cell>
          <cell r="B54">
            <v>1</v>
          </cell>
        </row>
        <row r="55">
          <cell r="A55" t="str">
            <v>Venezuela</v>
          </cell>
          <cell r="B55">
            <v>1</v>
          </cell>
        </row>
        <row r="56">
          <cell r="A56" t="str">
            <v>Poland</v>
          </cell>
          <cell r="B56">
            <v>1</v>
          </cell>
        </row>
        <row r="57">
          <cell r="A57" t="str">
            <v>Croatia</v>
          </cell>
        </row>
        <row r="58">
          <cell r="A58" t="str">
            <v>Bulgaria</v>
          </cell>
        </row>
        <row r="59">
          <cell r="A59" t="str">
            <v>Romania</v>
          </cell>
          <cell r="B59">
            <v>1</v>
          </cell>
        </row>
        <row r="60">
          <cell r="A60" t="str">
            <v>Ukraine</v>
          </cell>
          <cell r="B60">
            <v>1</v>
          </cell>
        </row>
        <row r="61">
          <cell r="A61" t="str">
            <v>Thailand</v>
          </cell>
          <cell r="B61">
            <v>1</v>
          </cell>
        </row>
        <row r="62">
          <cell r="A62" t="str">
            <v>Indonesia</v>
          </cell>
          <cell r="B62">
            <v>1</v>
          </cell>
        </row>
        <row r="63">
          <cell r="A63" t="str">
            <v>Turkey</v>
          </cell>
          <cell r="B63">
            <v>1</v>
          </cell>
        </row>
        <row r="64">
          <cell r="A64" t="str">
            <v>Egypt</v>
          </cell>
        </row>
        <row r="65">
          <cell r="A65" t="str">
            <v>Vietnam</v>
          </cell>
          <cell r="B65">
            <v>1</v>
          </cell>
        </row>
        <row r="66">
          <cell r="A66" t="str">
            <v>Andorra</v>
          </cell>
        </row>
        <row r="67">
          <cell r="A67" t="str">
            <v>Isle of Man</v>
          </cell>
        </row>
        <row r="68">
          <cell r="A68" t="str">
            <v>Papua New Guinea</v>
          </cell>
        </row>
        <row r="69">
          <cell r="A69" t="str">
            <v>Guyana</v>
          </cell>
        </row>
        <row r="70">
          <cell r="A70" t="str">
            <v>Guinea</v>
          </cell>
        </row>
        <row r="71">
          <cell r="A71" t="str">
            <v>Malta</v>
          </cell>
        </row>
        <row r="72">
          <cell r="A72" t="str">
            <v>Luxembourg</v>
          </cell>
        </row>
        <row r="73">
          <cell r="A73" t="str">
            <v>Martinique</v>
          </cell>
        </row>
        <row r="74">
          <cell r="A74" t="str">
            <v>Myanmar (Burma)</v>
          </cell>
        </row>
        <row r="75">
          <cell r="A75" t="str">
            <v>Macao</v>
          </cell>
        </row>
        <row r="76">
          <cell r="A76" t="str">
            <v>Nicaragua</v>
          </cell>
        </row>
        <row r="77">
          <cell r="A77" t="str">
            <v>Angola</v>
          </cell>
        </row>
        <row r="78">
          <cell r="A78" t="str">
            <v>Ethiopia</v>
          </cell>
        </row>
        <row r="79">
          <cell r="A79" t="str">
            <v>Jamaica</v>
          </cell>
        </row>
        <row r="80">
          <cell r="A80" t="str">
            <v>Mauritius</v>
          </cell>
        </row>
        <row r="81">
          <cell r="A81" t="str">
            <v>Cameroon</v>
          </cell>
        </row>
        <row r="82">
          <cell r="A82" t="str">
            <v>Costa Rica</v>
          </cell>
        </row>
        <row r="83">
          <cell r="A83" t="str">
            <v>Kuwait</v>
          </cell>
        </row>
        <row r="84">
          <cell r="A84" t="str">
            <v>Slovenia</v>
          </cell>
        </row>
        <row r="85">
          <cell r="A85" t="str">
            <v>St. Helena</v>
          </cell>
        </row>
        <row r="86">
          <cell r="A86" t="str">
            <v>Bahrain</v>
          </cell>
        </row>
        <row r="87">
          <cell r="A87" t="str">
            <v>RÃ©union</v>
          </cell>
        </row>
        <row r="88">
          <cell r="A88" t="str">
            <v>Qatar</v>
          </cell>
        </row>
        <row r="89">
          <cell r="A89" t="str">
            <v>Palestine</v>
          </cell>
        </row>
        <row r="90">
          <cell r="A90" t="str">
            <v>Puerto Rico</v>
          </cell>
        </row>
        <row r="91">
          <cell r="A91" t="str">
            <v>Cyprus</v>
          </cell>
        </row>
        <row r="92">
          <cell r="A92" t="str">
            <v>North Macedonia</v>
          </cell>
        </row>
        <row r="93">
          <cell r="A93" t="str">
            <v>Panama</v>
          </cell>
        </row>
        <row r="94">
          <cell r="A94" t="str">
            <v>Yemen</v>
          </cell>
        </row>
        <row r="95">
          <cell r="A95" t="str">
            <v>Lebanon</v>
          </cell>
        </row>
        <row r="96">
          <cell r="A96" t="str">
            <v>Sri Lanka</v>
          </cell>
        </row>
        <row r="97">
          <cell r="A97" t="str">
            <v>Kenya</v>
          </cell>
        </row>
        <row r="98">
          <cell r="A98" t="str">
            <v>Oman</v>
          </cell>
        </row>
        <row r="99">
          <cell r="A99" t="str">
            <v>Cambodia</v>
          </cell>
        </row>
        <row r="100">
          <cell r="A100" t="str">
            <v>Honduras</v>
          </cell>
        </row>
        <row r="101">
          <cell r="A101" t="str">
            <v>El Salvador</v>
          </cell>
        </row>
        <row r="102">
          <cell r="A102" t="str">
            <v>Dominican Republic</v>
          </cell>
        </row>
        <row r="103">
          <cell r="A103" t="str">
            <v>Paraguay</v>
          </cell>
        </row>
        <row r="104">
          <cell r="A104" t="str">
            <v>Georgia</v>
          </cell>
        </row>
        <row r="105">
          <cell r="A105" t="str">
            <v>Tunisia</v>
          </cell>
        </row>
        <row r="106">
          <cell r="A106" t="str">
            <v>Bolivia</v>
          </cell>
        </row>
        <row r="107">
          <cell r="A107" t="str">
            <v>Azerbaijan</v>
          </cell>
        </row>
        <row r="108">
          <cell r="A108" t="str">
            <v>Iraq</v>
          </cell>
        </row>
        <row r="109">
          <cell r="A109" t="str">
            <v>Algeria</v>
          </cell>
        </row>
        <row r="110">
          <cell r="A110" t="str">
            <v>Jordan</v>
          </cell>
        </row>
        <row r="111">
          <cell r="A111" t="str">
            <v>Uruguay</v>
          </cell>
        </row>
        <row r="112">
          <cell r="A112" t="str">
            <v>Guatemala</v>
          </cell>
        </row>
        <row r="113">
          <cell r="A113" t="str">
            <v>Morocco</v>
          </cell>
        </row>
        <row r="114">
          <cell r="A114" t="str">
            <v>Kazakhstan</v>
          </cell>
        </row>
        <row r="115">
          <cell r="A115" t="str">
            <v>Iran</v>
          </cell>
        </row>
        <row r="116">
          <cell r="A116" t="str">
            <v>Aruba</v>
          </cell>
        </row>
        <row r="117">
          <cell r="A117" t="str">
            <v>Afghanistan</v>
          </cell>
        </row>
        <row r="118">
          <cell r="A118" t="str">
            <v>Anguilla</v>
          </cell>
        </row>
        <row r="119">
          <cell r="A119" t="str">
            <v>Ã…land Islands</v>
          </cell>
        </row>
        <row r="120">
          <cell r="A120" t="str">
            <v>Albania</v>
          </cell>
        </row>
        <row r="121">
          <cell r="A121" t="str">
            <v>Armenia</v>
          </cell>
        </row>
        <row r="122">
          <cell r="A122" t="str">
            <v>American Samoa</v>
          </cell>
        </row>
        <row r="123">
          <cell r="A123" t="str">
            <v>Antarctica</v>
          </cell>
        </row>
        <row r="124">
          <cell r="A124" t="str">
            <v>French Southern Territories</v>
          </cell>
        </row>
        <row r="125">
          <cell r="A125" t="str">
            <v>Antigua &amp; Barbuda</v>
          </cell>
        </row>
        <row r="126">
          <cell r="A126" t="str">
            <v>Burundi</v>
          </cell>
        </row>
        <row r="127">
          <cell r="A127" t="str">
            <v>Benin</v>
          </cell>
        </row>
        <row r="128">
          <cell r="A128" t="str">
            <v>Caribbean Netherlands</v>
          </cell>
        </row>
        <row r="129">
          <cell r="A129" t="str">
            <v>Burkina Faso</v>
          </cell>
        </row>
        <row r="130">
          <cell r="A130" t="str">
            <v>Bahamas</v>
          </cell>
        </row>
        <row r="131">
          <cell r="A131" t="str">
            <v>Bosnia &amp; Herzegovina</v>
          </cell>
        </row>
        <row r="132">
          <cell r="A132" t="str">
            <v>St. BarthÃ©lemy</v>
          </cell>
        </row>
        <row r="133">
          <cell r="A133" t="str">
            <v>Belize</v>
          </cell>
        </row>
        <row r="134">
          <cell r="A134" t="str">
            <v>Bermuda</v>
          </cell>
        </row>
        <row r="135">
          <cell r="A135" t="str">
            <v>Barbados</v>
          </cell>
        </row>
        <row r="136">
          <cell r="A136" t="str">
            <v>Brunei</v>
          </cell>
        </row>
        <row r="137">
          <cell r="A137" t="str">
            <v>Bhutan</v>
          </cell>
        </row>
        <row r="138">
          <cell r="A138" t="str">
            <v>Bouvet Island</v>
          </cell>
        </row>
        <row r="139">
          <cell r="A139" t="str">
            <v>Botswana</v>
          </cell>
        </row>
        <row r="140">
          <cell r="A140" t="str">
            <v>Central African Republic</v>
          </cell>
        </row>
        <row r="141">
          <cell r="A141" t="str">
            <v>Cocos (Keeling) Islands</v>
          </cell>
        </row>
        <row r="142">
          <cell r="A142" t="str">
            <v>CÃ´te dâ€™Ivoire</v>
          </cell>
        </row>
        <row r="143">
          <cell r="A143" t="str">
            <v>Congo - Kinshasa</v>
          </cell>
        </row>
        <row r="144">
          <cell r="A144" t="str">
            <v>Congo - Brazzaville</v>
          </cell>
        </row>
        <row r="145">
          <cell r="A145" t="str">
            <v>Cook Islands</v>
          </cell>
        </row>
        <row r="146">
          <cell r="A146" t="str">
            <v>Comoros</v>
          </cell>
        </row>
        <row r="147">
          <cell r="A147" t="str">
            <v>Cape Verde</v>
          </cell>
        </row>
        <row r="148">
          <cell r="A148" t="str">
            <v>Cuba</v>
          </cell>
        </row>
        <row r="149">
          <cell r="A149" t="str">
            <v>CuraÃ§ao</v>
          </cell>
        </row>
        <row r="150">
          <cell r="A150" t="str">
            <v>Christmas Island</v>
          </cell>
        </row>
        <row r="151">
          <cell r="A151" t="str">
            <v>Cayman Islands</v>
          </cell>
        </row>
        <row r="152">
          <cell r="A152" t="str">
            <v>Djibouti</v>
          </cell>
        </row>
        <row r="153">
          <cell r="A153" t="str">
            <v>Dominica</v>
          </cell>
        </row>
        <row r="154">
          <cell r="A154" t="str">
            <v>Eritrea</v>
          </cell>
        </row>
        <row r="155">
          <cell r="A155" t="str">
            <v>Western Sahara</v>
          </cell>
        </row>
        <row r="156">
          <cell r="A156" t="str">
            <v>Estonia</v>
          </cell>
        </row>
        <row r="157">
          <cell r="A157" t="str">
            <v>Fiji</v>
          </cell>
        </row>
        <row r="158">
          <cell r="A158" t="str">
            <v>Falkland Islands (Islas Malvinas)</v>
          </cell>
        </row>
        <row r="159">
          <cell r="A159" t="str">
            <v>Faroe Islands</v>
          </cell>
        </row>
        <row r="160">
          <cell r="A160" t="str">
            <v>Micronesia</v>
          </cell>
        </row>
        <row r="161">
          <cell r="A161" t="str">
            <v>Gabon</v>
          </cell>
        </row>
        <row r="162">
          <cell r="A162" t="str">
            <v>Guernsey</v>
          </cell>
        </row>
        <row r="163">
          <cell r="A163" t="str">
            <v>Gibraltar</v>
          </cell>
        </row>
        <row r="164">
          <cell r="A164" t="str">
            <v>Guadeloupe</v>
          </cell>
        </row>
        <row r="165">
          <cell r="A165" t="str">
            <v>Gambia</v>
          </cell>
        </row>
        <row r="166">
          <cell r="A166" t="str">
            <v>Guinea-Bissau</v>
          </cell>
        </row>
        <row r="167">
          <cell r="A167" t="str">
            <v>Equatorial Guinea</v>
          </cell>
        </row>
        <row r="168">
          <cell r="A168" t="str">
            <v>Grenada</v>
          </cell>
        </row>
        <row r="169">
          <cell r="A169" t="str">
            <v>Greenland</v>
          </cell>
        </row>
        <row r="170">
          <cell r="A170" t="str">
            <v>French Guiana</v>
          </cell>
        </row>
        <row r="171">
          <cell r="A171" t="str">
            <v>Guam</v>
          </cell>
        </row>
        <row r="172">
          <cell r="A172" t="str">
            <v>Heard &amp; McDonald Islands</v>
          </cell>
        </row>
        <row r="173">
          <cell r="A173" t="str">
            <v>Haiti</v>
          </cell>
        </row>
        <row r="174">
          <cell r="A174" t="str">
            <v>British Indian Ocean Territory</v>
          </cell>
        </row>
        <row r="175">
          <cell r="A175" t="str">
            <v>Iceland</v>
          </cell>
        </row>
        <row r="176">
          <cell r="A176" t="str">
            <v>Jersey</v>
          </cell>
        </row>
        <row r="177">
          <cell r="A177" t="str">
            <v>Kyrgyzstan</v>
          </cell>
        </row>
        <row r="178">
          <cell r="A178" t="str">
            <v>Kiribati</v>
          </cell>
        </row>
        <row r="179">
          <cell r="A179" t="str">
            <v>St. Kitts &amp; Nevis</v>
          </cell>
        </row>
        <row r="180">
          <cell r="A180" t="str">
            <v>Laos</v>
          </cell>
        </row>
        <row r="181">
          <cell r="A181" t="str">
            <v>Liberia</v>
          </cell>
        </row>
        <row r="182">
          <cell r="A182" t="str">
            <v>Libya</v>
          </cell>
        </row>
        <row r="183">
          <cell r="A183" t="str">
            <v>St. Lucia</v>
          </cell>
        </row>
        <row r="184">
          <cell r="A184" t="str">
            <v>Liechtenstein</v>
          </cell>
        </row>
        <row r="185">
          <cell r="A185" t="str">
            <v>Lesotho</v>
          </cell>
        </row>
        <row r="186">
          <cell r="A186" t="str">
            <v>Latvia</v>
          </cell>
        </row>
        <row r="187">
          <cell r="A187" t="str">
            <v>St. Martin</v>
          </cell>
        </row>
        <row r="188">
          <cell r="A188" t="str">
            <v>Monaco</v>
          </cell>
        </row>
        <row r="189">
          <cell r="A189" t="str">
            <v>Moldova</v>
          </cell>
        </row>
        <row r="190">
          <cell r="A190" t="str">
            <v>Madagascar</v>
          </cell>
        </row>
        <row r="191">
          <cell r="A191" t="str">
            <v>Maldives</v>
          </cell>
        </row>
        <row r="192">
          <cell r="A192" t="str">
            <v>Marshall Islands</v>
          </cell>
        </row>
        <row r="193">
          <cell r="A193" t="str">
            <v>Mali</v>
          </cell>
        </row>
        <row r="194">
          <cell r="A194" t="str">
            <v>Montenegro</v>
          </cell>
        </row>
        <row r="195">
          <cell r="A195" t="str">
            <v>Mongolia</v>
          </cell>
        </row>
        <row r="196">
          <cell r="A196" t="str">
            <v>Northern Mariana Islands</v>
          </cell>
        </row>
        <row r="197">
          <cell r="A197" t="str">
            <v>Mozambique</v>
          </cell>
        </row>
        <row r="198">
          <cell r="A198" t="str">
            <v>Mauritania</v>
          </cell>
        </row>
        <row r="199">
          <cell r="A199" t="str">
            <v>Montserrat</v>
          </cell>
        </row>
        <row r="200">
          <cell r="A200" t="str">
            <v>Malawi</v>
          </cell>
        </row>
        <row r="201">
          <cell r="A201" t="str">
            <v>Mayotte</v>
          </cell>
        </row>
        <row r="202">
          <cell r="A202" t="str">
            <v>Namibia</v>
          </cell>
        </row>
        <row r="203">
          <cell r="A203" t="str">
            <v>New Caledonia</v>
          </cell>
        </row>
        <row r="204">
          <cell r="A204" t="str">
            <v>Niger</v>
          </cell>
        </row>
        <row r="205">
          <cell r="A205" t="str">
            <v>Norfolk Island</v>
          </cell>
        </row>
        <row r="206">
          <cell r="A206" t="str">
            <v>Niue</v>
          </cell>
        </row>
        <row r="207">
          <cell r="A207" t="str">
            <v>Nauru</v>
          </cell>
        </row>
        <row r="208">
          <cell r="A208" t="str">
            <v>Pitcairn Islands</v>
          </cell>
        </row>
        <row r="209">
          <cell r="A209" t="str">
            <v>Palau</v>
          </cell>
        </row>
        <row r="210">
          <cell r="A210" t="str">
            <v>North Korea</v>
          </cell>
        </row>
        <row r="211">
          <cell r="A211" t="str">
            <v>French Polynesia</v>
          </cell>
        </row>
        <row r="212">
          <cell r="A212" t="str">
            <v>Rwanda</v>
          </cell>
        </row>
        <row r="213">
          <cell r="A213" t="str">
            <v>Sudan</v>
          </cell>
        </row>
        <row r="214">
          <cell r="A214" t="str">
            <v>Senegal</v>
          </cell>
        </row>
        <row r="215">
          <cell r="A215" t="str">
            <v>South Georgia &amp; South Sandwich Islands</v>
          </cell>
        </row>
        <row r="216">
          <cell r="A216" t="str">
            <v>Svalbard &amp; Jan Mayen</v>
          </cell>
        </row>
        <row r="217">
          <cell r="A217" t="str">
            <v>Solomon Islands</v>
          </cell>
        </row>
        <row r="218">
          <cell r="A218" t="str">
            <v>Sierra Leone</v>
          </cell>
        </row>
        <row r="219">
          <cell r="A219" t="str">
            <v>San Marino</v>
          </cell>
        </row>
        <row r="220">
          <cell r="A220" t="str">
            <v>Somalia</v>
          </cell>
        </row>
        <row r="221">
          <cell r="A221" t="str">
            <v>St. Pierre &amp; Miquelon</v>
          </cell>
        </row>
        <row r="222">
          <cell r="A222" t="str">
            <v>South Sudan</v>
          </cell>
        </row>
        <row r="223">
          <cell r="A223" t="str">
            <v>SÃ£o TomÃ© &amp; PrÃ­ncipe</v>
          </cell>
        </row>
        <row r="224">
          <cell r="A224" t="str">
            <v>Suriname</v>
          </cell>
        </row>
        <row r="225">
          <cell r="A225" t="str">
            <v>Slovakia</v>
          </cell>
        </row>
        <row r="226">
          <cell r="A226" t="str">
            <v>Eswatini</v>
          </cell>
        </row>
        <row r="227">
          <cell r="A227" t="str">
            <v>Sint Maarten</v>
          </cell>
        </row>
        <row r="228">
          <cell r="A228" t="str">
            <v>Seychelles</v>
          </cell>
        </row>
        <row r="229">
          <cell r="A229" t="str">
            <v>Syria</v>
          </cell>
        </row>
        <row r="230">
          <cell r="A230" t="str">
            <v>Turks &amp; Caicos Islands</v>
          </cell>
        </row>
        <row r="231">
          <cell r="A231" t="str">
            <v>Chad</v>
          </cell>
        </row>
        <row r="232">
          <cell r="A232" t="str">
            <v>Togo</v>
          </cell>
        </row>
        <row r="233">
          <cell r="A233" t="str">
            <v>Tajikistan</v>
          </cell>
        </row>
        <row r="234">
          <cell r="A234" t="str">
            <v>Tokelau</v>
          </cell>
        </row>
        <row r="235">
          <cell r="A235" t="str">
            <v>Turkmenistan</v>
          </cell>
        </row>
        <row r="236">
          <cell r="A236" t="str">
            <v>Timor-Leste</v>
          </cell>
        </row>
        <row r="237">
          <cell r="A237" t="str">
            <v>Tonga</v>
          </cell>
        </row>
        <row r="238">
          <cell r="A238" t="str">
            <v>Trinidad &amp; Tobago</v>
          </cell>
        </row>
        <row r="239">
          <cell r="A239" t="str">
            <v>Tuvalu</v>
          </cell>
        </row>
        <row r="240">
          <cell r="A240" t="str">
            <v>Tanzania</v>
          </cell>
        </row>
        <row r="241">
          <cell r="A241" t="str">
            <v>Uganda</v>
          </cell>
        </row>
        <row r="242">
          <cell r="A242" t="str">
            <v>U.S. Outlying Islands</v>
          </cell>
        </row>
        <row r="243">
          <cell r="A243" t="str">
            <v>Uzbekistan</v>
          </cell>
        </row>
        <row r="244">
          <cell r="A244" t="str">
            <v>Vatican City</v>
          </cell>
        </row>
        <row r="245">
          <cell r="A245" t="str">
            <v>St. Vincent &amp; Grenadines</v>
          </cell>
        </row>
        <row r="246">
          <cell r="A246" t="str">
            <v>British Virgin Islands</v>
          </cell>
        </row>
        <row r="247">
          <cell r="A247" t="str">
            <v>U.S. Virgin Islands</v>
          </cell>
        </row>
        <row r="248">
          <cell r="A248" t="str">
            <v>Vanuatu</v>
          </cell>
        </row>
        <row r="249">
          <cell r="A249" t="str">
            <v>Wallis &amp; Futuna</v>
          </cell>
        </row>
        <row r="250">
          <cell r="A250" t="str">
            <v>Samoa</v>
          </cell>
        </row>
        <row r="251">
          <cell r="A251" t="str">
            <v>Kosovo</v>
          </cell>
        </row>
        <row r="252">
          <cell r="A252" t="str">
            <v>Zambia</v>
          </cell>
        </row>
        <row r="253">
          <cell r="A253" t="str">
            <v>Zimbabwe</v>
          </cell>
        </row>
      </sheetData>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69)"/>
    </sheetNames>
    <sheetDataSet>
      <sheetData sheetId="0" refreshError="1">
        <row r="1">
          <cell r="A1" t="str">
            <v>Category: All categories</v>
          </cell>
        </row>
        <row r="3">
          <cell r="A3" t="str">
            <v>Country</v>
          </cell>
          <cell r="B3" t="str">
            <v>P versus NP problem: (2018)</v>
          </cell>
          <cell r="C3" t="str">
            <v>LovÃ¡sz local lemma: (2018)</v>
          </cell>
        </row>
        <row r="4">
          <cell r="A4" t="str">
            <v>China</v>
          </cell>
          <cell r="B4">
            <v>1</v>
          </cell>
        </row>
        <row r="5">
          <cell r="A5" t="str">
            <v>South Korea</v>
          </cell>
          <cell r="B5">
            <v>1</v>
          </cell>
        </row>
        <row r="6">
          <cell r="A6" t="str">
            <v>Nepal</v>
          </cell>
          <cell r="B6">
            <v>1</v>
          </cell>
        </row>
        <row r="7">
          <cell r="A7" t="str">
            <v>Germany</v>
          </cell>
          <cell r="B7">
            <v>1</v>
          </cell>
        </row>
        <row r="8">
          <cell r="A8" t="str">
            <v>Austria</v>
          </cell>
          <cell r="B8">
            <v>1</v>
          </cell>
        </row>
        <row r="9">
          <cell r="A9" t="str">
            <v>Israel</v>
          </cell>
          <cell r="B9">
            <v>1</v>
          </cell>
        </row>
        <row r="10">
          <cell r="A10" t="str">
            <v>Estonia</v>
          </cell>
          <cell r="B10">
            <v>1</v>
          </cell>
        </row>
        <row r="11">
          <cell r="A11" t="str">
            <v>Peru</v>
          </cell>
          <cell r="B11">
            <v>1</v>
          </cell>
        </row>
        <row r="12">
          <cell r="A12" t="str">
            <v>South Africa</v>
          </cell>
          <cell r="B12">
            <v>1</v>
          </cell>
        </row>
        <row r="13">
          <cell r="A13" t="str">
            <v>United States</v>
          </cell>
          <cell r="B13">
            <v>0.98</v>
          </cell>
          <cell r="C13">
            <v>0.02</v>
          </cell>
        </row>
        <row r="14">
          <cell r="A14" t="str">
            <v>Hong Kong</v>
          </cell>
          <cell r="B14">
            <v>1</v>
          </cell>
        </row>
        <row r="15">
          <cell r="A15" t="str">
            <v>Czechia</v>
          </cell>
          <cell r="B15">
            <v>1</v>
          </cell>
        </row>
        <row r="16">
          <cell r="A16" t="str">
            <v>Switzerland</v>
          </cell>
          <cell r="B16">
            <v>1</v>
          </cell>
        </row>
        <row r="17">
          <cell r="A17" t="str">
            <v>India</v>
          </cell>
          <cell r="B17">
            <v>1</v>
          </cell>
        </row>
        <row r="18">
          <cell r="A18" t="str">
            <v>Australia</v>
          </cell>
          <cell r="B18">
            <v>1</v>
          </cell>
        </row>
        <row r="19">
          <cell r="A19" t="str">
            <v>Singapore</v>
          </cell>
          <cell r="B19">
            <v>1</v>
          </cell>
        </row>
        <row r="20">
          <cell r="A20" t="str">
            <v>Canada</v>
          </cell>
          <cell r="B20">
            <v>1</v>
          </cell>
        </row>
        <row r="21">
          <cell r="A21" t="str">
            <v>Norway</v>
          </cell>
          <cell r="B21">
            <v>1</v>
          </cell>
        </row>
        <row r="22">
          <cell r="A22" t="str">
            <v>Denmark</v>
          </cell>
          <cell r="B22">
            <v>1</v>
          </cell>
        </row>
        <row r="23">
          <cell r="A23" t="str">
            <v>Hungary</v>
          </cell>
          <cell r="B23">
            <v>1</v>
          </cell>
        </row>
        <row r="24">
          <cell r="A24" t="str">
            <v>Pakistan</v>
          </cell>
          <cell r="B24">
            <v>1</v>
          </cell>
        </row>
        <row r="25">
          <cell r="A25" t="str">
            <v>Bangladesh</v>
          </cell>
          <cell r="B25">
            <v>1</v>
          </cell>
        </row>
        <row r="26">
          <cell r="A26" t="str">
            <v>Netherlands</v>
          </cell>
          <cell r="B26">
            <v>1</v>
          </cell>
        </row>
        <row r="27">
          <cell r="A27" t="str">
            <v>Ghana</v>
          </cell>
        </row>
        <row r="28">
          <cell r="A28" t="str">
            <v>Mexico</v>
          </cell>
          <cell r="B28">
            <v>1</v>
          </cell>
        </row>
        <row r="29">
          <cell r="A29" t="str">
            <v>United Arab Emirates</v>
          </cell>
          <cell r="B29">
            <v>1</v>
          </cell>
        </row>
        <row r="30">
          <cell r="A30" t="str">
            <v>Spain</v>
          </cell>
          <cell r="B30">
            <v>1</v>
          </cell>
        </row>
        <row r="31">
          <cell r="A31" t="str">
            <v>Belarus</v>
          </cell>
          <cell r="B31">
            <v>1</v>
          </cell>
        </row>
        <row r="32">
          <cell r="A32" t="str">
            <v>Argentina</v>
          </cell>
          <cell r="B32">
            <v>1</v>
          </cell>
        </row>
        <row r="33">
          <cell r="A33" t="str">
            <v>Lithuania</v>
          </cell>
        </row>
        <row r="34">
          <cell r="A34" t="str">
            <v>Taiwan</v>
          </cell>
          <cell r="B34">
            <v>1</v>
          </cell>
        </row>
        <row r="35">
          <cell r="A35" t="str">
            <v>New Zealand</v>
          </cell>
          <cell r="B35">
            <v>1</v>
          </cell>
        </row>
        <row r="36">
          <cell r="A36" t="str">
            <v>Japan</v>
          </cell>
          <cell r="B36">
            <v>1</v>
          </cell>
        </row>
        <row r="37">
          <cell r="A37" t="str">
            <v>Serbia</v>
          </cell>
          <cell r="B37">
            <v>1</v>
          </cell>
        </row>
        <row r="38">
          <cell r="A38" t="str">
            <v>Sweden</v>
          </cell>
          <cell r="B38">
            <v>1</v>
          </cell>
        </row>
        <row r="39">
          <cell r="A39" t="str">
            <v>Nigeria</v>
          </cell>
          <cell r="B39">
            <v>1</v>
          </cell>
        </row>
        <row r="40">
          <cell r="A40" t="str">
            <v>United Kingdom</v>
          </cell>
          <cell r="B40">
            <v>1</v>
          </cell>
        </row>
        <row r="41">
          <cell r="A41" t="str">
            <v>Greece</v>
          </cell>
          <cell r="B41">
            <v>1</v>
          </cell>
        </row>
        <row r="42">
          <cell r="A42" t="str">
            <v>Croatia</v>
          </cell>
          <cell r="B42">
            <v>1</v>
          </cell>
        </row>
        <row r="43">
          <cell r="A43" t="str">
            <v>Malaysia</v>
          </cell>
          <cell r="B43">
            <v>1</v>
          </cell>
        </row>
        <row r="44">
          <cell r="A44" t="str">
            <v>Colombia</v>
          </cell>
          <cell r="B44">
            <v>1</v>
          </cell>
        </row>
        <row r="45">
          <cell r="A45" t="str">
            <v>Ecuador</v>
          </cell>
          <cell r="B45">
            <v>1</v>
          </cell>
        </row>
        <row r="46">
          <cell r="A46" t="str">
            <v>Brazil</v>
          </cell>
          <cell r="B46">
            <v>1</v>
          </cell>
        </row>
        <row r="47">
          <cell r="A47" t="str">
            <v>Chile</v>
          </cell>
          <cell r="B47">
            <v>1</v>
          </cell>
        </row>
        <row r="48">
          <cell r="A48" t="str">
            <v>Ireland</v>
          </cell>
          <cell r="B48">
            <v>1</v>
          </cell>
        </row>
        <row r="49">
          <cell r="A49" t="str">
            <v>Saudi Arabia</v>
          </cell>
          <cell r="B49">
            <v>1</v>
          </cell>
        </row>
        <row r="50">
          <cell r="A50" t="str">
            <v>Portugal</v>
          </cell>
          <cell r="B50">
            <v>1</v>
          </cell>
        </row>
        <row r="51">
          <cell r="A51" t="str">
            <v>Philippines</v>
          </cell>
          <cell r="B51">
            <v>1</v>
          </cell>
        </row>
        <row r="52">
          <cell r="A52" t="str">
            <v>Italy</v>
          </cell>
          <cell r="B52">
            <v>1</v>
          </cell>
        </row>
        <row r="53">
          <cell r="A53" t="str">
            <v>Belgium</v>
          </cell>
          <cell r="B53">
            <v>1</v>
          </cell>
        </row>
        <row r="54">
          <cell r="A54" t="str">
            <v>Finland</v>
          </cell>
          <cell r="B54">
            <v>1</v>
          </cell>
        </row>
        <row r="55">
          <cell r="A55" t="str">
            <v>Poland</v>
          </cell>
          <cell r="B55">
            <v>1</v>
          </cell>
        </row>
        <row r="56">
          <cell r="A56" t="str">
            <v>Bulgaria</v>
          </cell>
        </row>
        <row r="57">
          <cell r="A57" t="str">
            <v>Romania</v>
          </cell>
          <cell r="B57">
            <v>1</v>
          </cell>
        </row>
        <row r="58">
          <cell r="A58" t="str">
            <v>Russia</v>
          </cell>
          <cell r="B58">
            <v>1</v>
          </cell>
        </row>
        <row r="59">
          <cell r="A59" t="str">
            <v>France</v>
          </cell>
          <cell r="B59">
            <v>1</v>
          </cell>
        </row>
        <row r="60">
          <cell r="A60" t="str">
            <v>Ukraine</v>
          </cell>
          <cell r="B60">
            <v>1</v>
          </cell>
        </row>
        <row r="61">
          <cell r="A61" t="str">
            <v>Slovakia</v>
          </cell>
        </row>
        <row r="62">
          <cell r="A62" t="str">
            <v>Egypt</v>
          </cell>
          <cell r="B62">
            <v>1</v>
          </cell>
        </row>
        <row r="63">
          <cell r="A63" t="str">
            <v>Thailand</v>
          </cell>
          <cell r="B63">
            <v>1</v>
          </cell>
        </row>
        <row r="64">
          <cell r="A64" t="str">
            <v>Venezuela</v>
          </cell>
          <cell r="B64">
            <v>1</v>
          </cell>
        </row>
        <row r="65">
          <cell r="A65" t="str">
            <v>Turkey</v>
          </cell>
          <cell r="B65">
            <v>1</v>
          </cell>
        </row>
        <row r="66">
          <cell r="A66" t="str">
            <v>Indonesia</v>
          </cell>
          <cell r="B66">
            <v>1</v>
          </cell>
        </row>
        <row r="67">
          <cell r="A67" t="str">
            <v>Vietnam</v>
          </cell>
          <cell r="B67">
            <v>1</v>
          </cell>
        </row>
        <row r="68">
          <cell r="A68" t="str">
            <v>Bermuda</v>
          </cell>
        </row>
        <row r="69">
          <cell r="A69" t="str">
            <v>Andorra</v>
          </cell>
        </row>
        <row r="70">
          <cell r="A70" t="str">
            <v>Barbados</v>
          </cell>
        </row>
        <row r="71">
          <cell r="A71" t="str">
            <v>Isle of Man</v>
          </cell>
        </row>
        <row r="72">
          <cell r="A72" t="str">
            <v>Guyana</v>
          </cell>
        </row>
        <row r="73">
          <cell r="A73" t="str">
            <v>Guinea</v>
          </cell>
        </row>
        <row r="74">
          <cell r="A74" t="str">
            <v>Malta</v>
          </cell>
        </row>
        <row r="75">
          <cell r="A75" t="str">
            <v>Luxembourg</v>
          </cell>
        </row>
        <row r="76">
          <cell r="A76" t="str">
            <v>Martinique</v>
          </cell>
        </row>
        <row r="77">
          <cell r="A77" t="str">
            <v>Macao</v>
          </cell>
        </row>
        <row r="78">
          <cell r="A78" t="str">
            <v>Afghanistan</v>
          </cell>
        </row>
        <row r="79">
          <cell r="A79" t="str">
            <v>Slovenia</v>
          </cell>
        </row>
        <row r="80">
          <cell r="A80" t="str">
            <v>Paraguay</v>
          </cell>
        </row>
        <row r="81">
          <cell r="A81" t="str">
            <v>St. Helena</v>
          </cell>
        </row>
        <row r="82">
          <cell r="A82" t="str">
            <v>Mauritius</v>
          </cell>
        </row>
        <row r="83">
          <cell r="A83" t="str">
            <v>Cyprus</v>
          </cell>
        </row>
        <row r="84">
          <cell r="A84" t="str">
            <v>Ethiopia</v>
          </cell>
        </row>
        <row r="85">
          <cell r="A85" t="str">
            <v>Bahrain</v>
          </cell>
        </row>
        <row r="86">
          <cell r="A86" t="str">
            <v>Qatar</v>
          </cell>
        </row>
        <row r="87">
          <cell r="A87" t="str">
            <v>Jamaica</v>
          </cell>
        </row>
        <row r="88">
          <cell r="A88" t="str">
            <v>Palestine</v>
          </cell>
        </row>
        <row r="89">
          <cell r="A89" t="str">
            <v>Yemen</v>
          </cell>
        </row>
        <row r="90">
          <cell r="A90" t="str">
            <v>Myanmar (Burma)</v>
          </cell>
        </row>
        <row r="91">
          <cell r="A91" t="str">
            <v>Puerto Rico</v>
          </cell>
        </row>
        <row r="92">
          <cell r="A92" t="str">
            <v>Sudan</v>
          </cell>
        </row>
        <row r="93">
          <cell r="A93" t="str">
            <v>Georgia</v>
          </cell>
        </row>
        <row r="94">
          <cell r="A94" t="str">
            <v>Oman</v>
          </cell>
        </row>
        <row r="95">
          <cell r="A95" t="str">
            <v>Kenya</v>
          </cell>
        </row>
        <row r="96">
          <cell r="A96" t="str">
            <v>Uruguay</v>
          </cell>
        </row>
        <row r="97">
          <cell r="A97" t="str">
            <v>Cambodia</v>
          </cell>
        </row>
        <row r="98">
          <cell r="A98" t="str">
            <v>Bolivia</v>
          </cell>
        </row>
        <row r="99">
          <cell r="A99" t="str">
            <v>Tunisia</v>
          </cell>
        </row>
        <row r="100">
          <cell r="A100" t="str">
            <v>Costa Rica</v>
          </cell>
        </row>
        <row r="101">
          <cell r="A101" t="str">
            <v>Honduras</v>
          </cell>
        </row>
        <row r="102">
          <cell r="A102" t="str">
            <v>El Salvador</v>
          </cell>
        </row>
        <row r="103">
          <cell r="A103" t="str">
            <v>Panama</v>
          </cell>
        </row>
        <row r="104">
          <cell r="A104" t="str">
            <v>Lebanon</v>
          </cell>
        </row>
        <row r="105">
          <cell r="A105" t="str">
            <v>Sri Lanka</v>
          </cell>
        </row>
        <row r="106">
          <cell r="A106" t="str">
            <v>Azerbaijan</v>
          </cell>
        </row>
        <row r="107">
          <cell r="A107" t="str">
            <v>Dominican Republic</v>
          </cell>
        </row>
        <row r="108">
          <cell r="A108" t="str">
            <v>Guatemala</v>
          </cell>
        </row>
        <row r="109">
          <cell r="A109" t="str">
            <v>Morocco</v>
          </cell>
        </row>
        <row r="110">
          <cell r="A110" t="str">
            <v>Algeria</v>
          </cell>
        </row>
        <row r="111">
          <cell r="A111" t="str">
            <v>Kazakhstan</v>
          </cell>
        </row>
        <row r="112">
          <cell r="A112" t="str">
            <v>Iraq</v>
          </cell>
        </row>
        <row r="113">
          <cell r="A113" t="str">
            <v>Iran</v>
          </cell>
        </row>
        <row r="114">
          <cell r="A114" t="str">
            <v>Aruba</v>
          </cell>
        </row>
        <row r="115">
          <cell r="A115" t="str">
            <v>Angola</v>
          </cell>
        </row>
        <row r="116">
          <cell r="A116" t="str">
            <v>Anguilla</v>
          </cell>
        </row>
        <row r="117">
          <cell r="A117" t="str">
            <v>Ã…land Islands</v>
          </cell>
        </row>
        <row r="118">
          <cell r="A118" t="str">
            <v>Albania</v>
          </cell>
        </row>
        <row r="119">
          <cell r="A119" t="str">
            <v>Armenia</v>
          </cell>
        </row>
        <row r="120">
          <cell r="A120" t="str">
            <v>American Samoa</v>
          </cell>
        </row>
        <row r="121">
          <cell r="A121" t="str">
            <v>Antarctica</v>
          </cell>
        </row>
        <row r="122">
          <cell r="A122" t="str">
            <v>French Southern Territories</v>
          </cell>
        </row>
        <row r="123">
          <cell r="A123" t="str">
            <v>Antigua &amp; Barbuda</v>
          </cell>
        </row>
        <row r="124">
          <cell r="A124" t="str">
            <v>Burundi</v>
          </cell>
        </row>
        <row r="125">
          <cell r="A125" t="str">
            <v>Benin</v>
          </cell>
        </row>
        <row r="126">
          <cell r="A126" t="str">
            <v>Caribbean Netherlands</v>
          </cell>
        </row>
        <row r="127">
          <cell r="A127" t="str">
            <v>Burkina Faso</v>
          </cell>
        </row>
        <row r="128">
          <cell r="A128" t="str">
            <v>Bahamas</v>
          </cell>
        </row>
        <row r="129">
          <cell r="A129" t="str">
            <v>Bosnia &amp; Herzegovina</v>
          </cell>
        </row>
        <row r="130">
          <cell r="A130" t="str">
            <v>St. BarthÃ©lemy</v>
          </cell>
        </row>
        <row r="131">
          <cell r="A131" t="str">
            <v>Belize</v>
          </cell>
        </row>
        <row r="132">
          <cell r="A132" t="str">
            <v>Brunei</v>
          </cell>
        </row>
        <row r="133">
          <cell r="A133" t="str">
            <v>Bhutan</v>
          </cell>
        </row>
        <row r="134">
          <cell r="A134" t="str">
            <v>Bouvet Island</v>
          </cell>
        </row>
        <row r="135">
          <cell r="A135" t="str">
            <v>Botswana</v>
          </cell>
        </row>
        <row r="136">
          <cell r="A136" t="str">
            <v>Central African Republic</v>
          </cell>
        </row>
        <row r="137">
          <cell r="A137" t="str">
            <v>Cocos (Keeling) Islands</v>
          </cell>
        </row>
        <row r="138">
          <cell r="A138" t="str">
            <v>CÃ´te dâ€™Ivoire</v>
          </cell>
        </row>
        <row r="139">
          <cell r="A139" t="str">
            <v>Cameroon</v>
          </cell>
        </row>
        <row r="140">
          <cell r="A140" t="str">
            <v>Congo - Kinshasa</v>
          </cell>
        </row>
        <row r="141">
          <cell r="A141" t="str">
            <v>Congo - Brazzaville</v>
          </cell>
        </row>
        <row r="142">
          <cell r="A142" t="str">
            <v>Cook Islands</v>
          </cell>
        </row>
        <row r="143">
          <cell r="A143" t="str">
            <v>Comoros</v>
          </cell>
        </row>
        <row r="144">
          <cell r="A144" t="str">
            <v>Cape Verde</v>
          </cell>
        </row>
        <row r="145">
          <cell r="A145" t="str">
            <v>Cuba</v>
          </cell>
        </row>
        <row r="146">
          <cell r="A146" t="str">
            <v>CuraÃ§ao</v>
          </cell>
        </row>
        <row r="147">
          <cell r="A147" t="str">
            <v>Christmas Island</v>
          </cell>
        </row>
        <row r="148">
          <cell r="A148" t="str">
            <v>Cayman Islands</v>
          </cell>
        </row>
        <row r="149">
          <cell r="A149" t="str">
            <v>Djibouti</v>
          </cell>
        </row>
        <row r="150">
          <cell r="A150" t="str">
            <v>Dominica</v>
          </cell>
        </row>
        <row r="151">
          <cell r="A151" t="str">
            <v>Eritrea</v>
          </cell>
        </row>
        <row r="152">
          <cell r="A152" t="str">
            <v>Western Sahara</v>
          </cell>
        </row>
        <row r="153">
          <cell r="A153" t="str">
            <v>Fiji</v>
          </cell>
        </row>
        <row r="154">
          <cell r="A154" t="str">
            <v>Falkland Islands (Islas Malvinas)</v>
          </cell>
        </row>
        <row r="155">
          <cell r="A155" t="str">
            <v>Faroe Islands</v>
          </cell>
        </row>
        <row r="156">
          <cell r="A156" t="str">
            <v>Micronesia</v>
          </cell>
        </row>
        <row r="157">
          <cell r="A157" t="str">
            <v>Gabon</v>
          </cell>
        </row>
        <row r="158">
          <cell r="A158" t="str">
            <v>Guernsey</v>
          </cell>
        </row>
        <row r="159">
          <cell r="A159" t="str">
            <v>Gibraltar</v>
          </cell>
        </row>
        <row r="160">
          <cell r="A160" t="str">
            <v>Guadeloupe</v>
          </cell>
        </row>
        <row r="161">
          <cell r="A161" t="str">
            <v>Gambia</v>
          </cell>
        </row>
        <row r="162">
          <cell r="A162" t="str">
            <v>Guinea-Bissau</v>
          </cell>
        </row>
        <row r="163">
          <cell r="A163" t="str">
            <v>Equatorial Guinea</v>
          </cell>
        </row>
        <row r="164">
          <cell r="A164" t="str">
            <v>Grenada</v>
          </cell>
        </row>
        <row r="165">
          <cell r="A165" t="str">
            <v>Greenland</v>
          </cell>
        </row>
        <row r="166">
          <cell r="A166" t="str">
            <v>French Guiana</v>
          </cell>
        </row>
        <row r="167">
          <cell r="A167" t="str">
            <v>Guam</v>
          </cell>
        </row>
        <row r="168">
          <cell r="A168" t="str">
            <v>Heard &amp; McDonald Islands</v>
          </cell>
        </row>
        <row r="169">
          <cell r="A169" t="str">
            <v>Haiti</v>
          </cell>
        </row>
        <row r="170">
          <cell r="A170" t="str">
            <v>British Indian Ocean Territory</v>
          </cell>
        </row>
        <row r="171">
          <cell r="A171" t="str">
            <v>Iceland</v>
          </cell>
        </row>
        <row r="172">
          <cell r="A172" t="str">
            <v>Jersey</v>
          </cell>
        </row>
        <row r="173">
          <cell r="A173" t="str">
            <v>Jordan</v>
          </cell>
        </row>
        <row r="174">
          <cell r="A174" t="str">
            <v>Kyrgyzstan</v>
          </cell>
        </row>
        <row r="175">
          <cell r="A175" t="str">
            <v>Kiribati</v>
          </cell>
        </row>
        <row r="176">
          <cell r="A176" t="str">
            <v>St. Kitts &amp; Nevis</v>
          </cell>
        </row>
        <row r="177">
          <cell r="A177" t="str">
            <v>Kuwait</v>
          </cell>
        </row>
        <row r="178">
          <cell r="A178" t="str">
            <v>Laos</v>
          </cell>
        </row>
        <row r="179">
          <cell r="A179" t="str">
            <v>Liberia</v>
          </cell>
        </row>
        <row r="180">
          <cell r="A180" t="str">
            <v>Libya</v>
          </cell>
        </row>
        <row r="181">
          <cell r="A181" t="str">
            <v>St. Lucia</v>
          </cell>
        </row>
        <row r="182">
          <cell r="A182" t="str">
            <v>Liechtenstein</v>
          </cell>
        </row>
        <row r="183">
          <cell r="A183" t="str">
            <v>Lesotho</v>
          </cell>
        </row>
        <row r="184">
          <cell r="A184" t="str">
            <v>Latvia</v>
          </cell>
        </row>
        <row r="185">
          <cell r="A185" t="str">
            <v>St. Martin</v>
          </cell>
        </row>
        <row r="186">
          <cell r="A186" t="str">
            <v>Monaco</v>
          </cell>
        </row>
        <row r="187">
          <cell r="A187" t="str">
            <v>Moldova</v>
          </cell>
        </row>
        <row r="188">
          <cell r="A188" t="str">
            <v>Madagascar</v>
          </cell>
        </row>
        <row r="189">
          <cell r="A189" t="str">
            <v>Maldives</v>
          </cell>
        </row>
        <row r="190">
          <cell r="A190" t="str">
            <v>Marshall Islands</v>
          </cell>
        </row>
        <row r="191">
          <cell r="A191" t="str">
            <v>North Macedonia</v>
          </cell>
        </row>
        <row r="192">
          <cell r="A192" t="str">
            <v>Mali</v>
          </cell>
        </row>
        <row r="193">
          <cell r="A193" t="str">
            <v>Montenegro</v>
          </cell>
        </row>
        <row r="194">
          <cell r="A194" t="str">
            <v>Mongolia</v>
          </cell>
        </row>
        <row r="195">
          <cell r="A195" t="str">
            <v>Northern Mariana Islands</v>
          </cell>
        </row>
        <row r="196">
          <cell r="A196" t="str">
            <v>Mozambique</v>
          </cell>
        </row>
        <row r="197">
          <cell r="A197" t="str">
            <v>Mauritania</v>
          </cell>
        </row>
        <row r="198">
          <cell r="A198" t="str">
            <v>Montserrat</v>
          </cell>
        </row>
        <row r="199">
          <cell r="A199" t="str">
            <v>Malawi</v>
          </cell>
        </row>
        <row r="200">
          <cell r="A200" t="str">
            <v>Mayotte</v>
          </cell>
        </row>
        <row r="201">
          <cell r="A201" t="str">
            <v>Namibia</v>
          </cell>
        </row>
        <row r="202">
          <cell r="A202" t="str">
            <v>New Caledonia</v>
          </cell>
        </row>
        <row r="203">
          <cell r="A203" t="str">
            <v>Niger</v>
          </cell>
        </row>
        <row r="204">
          <cell r="A204" t="str">
            <v>Norfolk Island</v>
          </cell>
        </row>
        <row r="205">
          <cell r="A205" t="str">
            <v>Nicaragua</v>
          </cell>
        </row>
        <row r="206">
          <cell r="A206" t="str">
            <v>Niue</v>
          </cell>
        </row>
        <row r="207">
          <cell r="A207" t="str">
            <v>Nauru</v>
          </cell>
        </row>
        <row r="208">
          <cell r="A208" t="str">
            <v>Pitcairn Islands</v>
          </cell>
        </row>
        <row r="209">
          <cell r="A209" t="str">
            <v>Palau</v>
          </cell>
        </row>
        <row r="210">
          <cell r="A210" t="str">
            <v>Papua New Guinea</v>
          </cell>
        </row>
        <row r="211">
          <cell r="A211" t="str">
            <v>North Korea</v>
          </cell>
        </row>
        <row r="212">
          <cell r="A212" t="str">
            <v>French Polynesia</v>
          </cell>
        </row>
        <row r="213">
          <cell r="A213" t="str">
            <v>RÃ©union</v>
          </cell>
        </row>
        <row r="214">
          <cell r="A214" t="str">
            <v>Rwanda</v>
          </cell>
        </row>
        <row r="215">
          <cell r="A215" t="str">
            <v>Senegal</v>
          </cell>
        </row>
        <row r="216">
          <cell r="A216" t="str">
            <v>South Georgia &amp; South Sandwich Islands</v>
          </cell>
        </row>
        <row r="217">
          <cell r="A217" t="str">
            <v>Svalbard &amp; Jan Mayen</v>
          </cell>
        </row>
        <row r="218">
          <cell r="A218" t="str">
            <v>Solomon Islands</v>
          </cell>
        </row>
        <row r="219">
          <cell r="A219" t="str">
            <v>Sierra Leone</v>
          </cell>
        </row>
        <row r="220">
          <cell r="A220" t="str">
            <v>San Marino</v>
          </cell>
        </row>
        <row r="221">
          <cell r="A221" t="str">
            <v>Somalia</v>
          </cell>
        </row>
        <row r="222">
          <cell r="A222" t="str">
            <v>St. Pierre &amp; Miquelon</v>
          </cell>
        </row>
        <row r="223">
          <cell r="A223" t="str">
            <v>South Sudan</v>
          </cell>
        </row>
        <row r="224">
          <cell r="A224" t="str">
            <v>SÃ£o TomÃ© &amp; PrÃ­ncipe</v>
          </cell>
        </row>
        <row r="225">
          <cell r="A225" t="str">
            <v>Suriname</v>
          </cell>
        </row>
        <row r="226">
          <cell r="A226" t="str">
            <v>Eswatini</v>
          </cell>
        </row>
        <row r="227">
          <cell r="A227" t="str">
            <v>Sint Maarten</v>
          </cell>
        </row>
        <row r="228">
          <cell r="A228" t="str">
            <v>Seychelles</v>
          </cell>
        </row>
        <row r="229">
          <cell r="A229" t="str">
            <v>Syria</v>
          </cell>
        </row>
        <row r="230">
          <cell r="A230" t="str">
            <v>Turks &amp; Caicos Islands</v>
          </cell>
        </row>
        <row r="231">
          <cell r="A231" t="str">
            <v>Chad</v>
          </cell>
        </row>
        <row r="232">
          <cell r="A232" t="str">
            <v>Togo</v>
          </cell>
        </row>
        <row r="233">
          <cell r="A233" t="str">
            <v>Tajikistan</v>
          </cell>
        </row>
        <row r="234">
          <cell r="A234" t="str">
            <v>Tokelau</v>
          </cell>
        </row>
        <row r="235">
          <cell r="A235" t="str">
            <v>Turkmenistan</v>
          </cell>
        </row>
        <row r="236">
          <cell r="A236" t="str">
            <v>Timor-Leste</v>
          </cell>
        </row>
        <row r="237">
          <cell r="A237" t="str">
            <v>Tonga</v>
          </cell>
        </row>
        <row r="238">
          <cell r="A238" t="str">
            <v>Trinidad &amp; Tobago</v>
          </cell>
        </row>
        <row r="239">
          <cell r="A239" t="str">
            <v>Tuvalu</v>
          </cell>
        </row>
        <row r="240">
          <cell r="A240" t="str">
            <v>Tanzania</v>
          </cell>
        </row>
        <row r="241">
          <cell r="A241" t="str">
            <v>Uganda</v>
          </cell>
        </row>
        <row r="242">
          <cell r="A242" t="str">
            <v>U.S. Outlying Islands</v>
          </cell>
        </row>
        <row r="243">
          <cell r="A243" t="str">
            <v>Uzbekistan</v>
          </cell>
        </row>
        <row r="244">
          <cell r="A244" t="str">
            <v>Vatican City</v>
          </cell>
        </row>
        <row r="245">
          <cell r="A245" t="str">
            <v>St. Vincent &amp; Grenadines</v>
          </cell>
        </row>
        <row r="246">
          <cell r="A246" t="str">
            <v>British Virgin Islands</v>
          </cell>
        </row>
        <row r="247">
          <cell r="A247" t="str">
            <v>U.S. Virgin Islands</v>
          </cell>
        </row>
        <row r="248">
          <cell r="A248" t="str">
            <v>Vanuatu</v>
          </cell>
        </row>
        <row r="249">
          <cell r="A249" t="str">
            <v>Wallis &amp; Futuna</v>
          </cell>
        </row>
        <row r="250">
          <cell r="A250" t="str">
            <v>Samoa</v>
          </cell>
        </row>
        <row r="251">
          <cell r="A251" t="str">
            <v>Kosovo</v>
          </cell>
        </row>
        <row r="252">
          <cell r="A252" t="str">
            <v>Zambia</v>
          </cell>
        </row>
        <row r="253">
          <cell r="A253" t="str">
            <v>Zimbabwe</v>
          </cell>
        </row>
      </sheetData>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71)"/>
    </sheetNames>
    <sheetDataSet>
      <sheetData sheetId="0" refreshError="1">
        <row r="1">
          <cell r="A1" t="str">
            <v>Category: All categories</v>
          </cell>
        </row>
        <row r="3">
          <cell r="A3" t="str">
            <v>Country</v>
          </cell>
          <cell r="B3" t="str">
            <v>P versus NP problem: (2018)</v>
          </cell>
          <cell r="C3" t="str">
            <v>Logical relations: (2018)</v>
          </cell>
        </row>
        <row r="4">
          <cell r="A4" t="str">
            <v>China</v>
          </cell>
          <cell r="B4">
            <v>1</v>
          </cell>
        </row>
        <row r="5">
          <cell r="A5" t="str">
            <v>South Korea</v>
          </cell>
          <cell r="B5">
            <v>1</v>
          </cell>
        </row>
        <row r="6">
          <cell r="A6" t="str">
            <v>Austria</v>
          </cell>
          <cell r="B6">
            <v>1</v>
          </cell>
        </row>
        <row r="7">
          <cell r="A7" t="str">
            <v>Germany</v>
          </cell>
          <cell r="B7">
            <v>1</v>
          </cell>
        </row>
        <row r="8">
          <cell r="A8" t="str">
            <v>Hong Kong</v>
          </cell>
          <cell r="B8">
            <v>1</v>
          </cell>
        </row>
        <row r="9">
          <cell r="A9" t="str">
            <v>Norway</v>
          </cell>
          <cell r="B9">
            <v>1</v>
          </cell>
        </row>
        <row r="10">
          <cell r="A10" t="str">
            <v>Singapore</v>
          </cell>
          <cell r="B10">
            <v>1</v>
          </cell>
        </row>
        <row r="11">
          <cell r="A11" t="str">
            <v>Israel</v>
          </cell>
          <cell r="B11">
            <v>1</v>
          </cell>
        </row>
        <row r="12">
          <cell r="A12" t="str">
            <v>Switzerland</v>
          </cell>
          <cell r="B12">
            <v>1</v>
          </cell>
        </row>
        <row r="13">
          <cell r="A13" t="str">
            <v>Ghana</v>
          </cell>
        </row>
        <row r="14">
          <cell r="A14" t="str">
            <v>United States</v>
          </cell>
          <cell r="B14">
            <v>1</v>
          </cell>
        </row>
        <row r="15">
          <cell r="A15" t="str">
            <v>Peru</v>
          </cell>
          <cell r="B15">
            <v>1</v>
          </cell>
        </row>
        <row r="16">
          <cell r="A16" t="str">
            <v>Croatia</v>
          </cell>
          <cell r="B16">
            <v>1</v>
          </cell>
        </row>
        <row r="17">
          <cell r="A17" t="str">
            <v>Czechia</v>
          </cell>
          <cell r="B17">
            <v>1</v>
          </cell>
        </row>
        <row r="18">
          <cell r="A18" t="str">
            <v>South Africa</v>
          </cell>
          <cell r="B18">
            <v>1</v>
          </cell>
        </row>
        <row r="19">
          <cell r="A19" t="str">
            <v>India</v>
          </cell>
          <cell r="B19">
            <v>1</v>
          </cell>
        </row>
        <row r="20">
          <cell r="A20" t="str">
            <v>Estonia</v>
          </cell>
        </row>
        <row r="21">
          <cell r="A21" t="str">
            <v>Belarus</v>
          </cell>
          <cell r="B21">
            <v>1</v>
          </cell>
        </row>
        <row r="22">
          <cell r="A22" t="str">
            <v>Pakistan</v>
          </cell>
          <cell r="B22">
            <v>1</v>
          </cell>
        </row>
        <row r="23">
          <cell r="A23" t="str">
            <v>Canada</v>
          </cell>
          <cell r="B23">
            <v>1</v>
          </cell>
        </row>
        <row r="24">
          <cell r="A24" t="str">
            <v>Mexico</v>
          </cell>
          <cell r="B24">
            <v>1</v>
          </cell>
        </row>
        <row r="25">
          <cell r="A25" t="str">
            <v>Nepal</v>
          </cell>
        </row>
        <row r="26">
          <cell r="A26" t="str">
            <v>Greece</v>
          </cell>
          <cell r="B26">
            <v>1</v>
          </cell>
        </row>
        <row r="27">
          <cell r="A27" t="str">
            <v>Netherlands</v>
          </cell>
          <cell r="B27">
            <v>1</v>
          </cell>
        </row>
        <row r="28">
          <cell r="A28" t="str">
            <v>Australia</v>
          </cell>
          <cell r="B28">
            <v>1</v>
          </cell>
        </row>
        <row r="29">
          <cell r="A29" t="str">
            <v>Ecuador</v>
          </cell>
          <cell r="B29">
            <v>1</v>
          </cell>
        </row>
        <row r="30">
          <cell r="A30" t="str">
            <v>Denmark</v>
          </cell>
          <cell r="B30">
            <v>1</v>
          </cell>
        </row>
        <row r="31">
          <cell r="A31" t="str">
            <v>New Zealand</v>
          </cell>
          <cell r="B31">
            <v>1</v>
          </cell>
        </row>
        <row r="32">
          <cell r="A32" t="str">
            <v>Colombia</v>
          </cell>
          <cell r="B32">
            <v>1</v>
          </cell>
        </row>
        <row r="33">
          <cell r="A33" t="str">
            <v>Bangladesh</v>
          </cell>
          <cell r="B33">
            <v>1</v>
          </cell>
        </row>
        <row r="34">
          <cell r="A34" t="str">
            <v>Sweden</v>
          </cell>
          <cell r="B34">
            <v>1</v>
          </cell>
        </row>
        <row r="35">
          <cell r="A35" t="str">
            <v>Argentina</v>
          </cell>
          <cell r="B35">
            <v>1</v>
          </cell>
        </row>
        <row r="36">
          <cell r="A36" t="str">
            <v>Spain</v>
          </cell>
          <cell r="B36">
            <v>1</v>
          </cell>
        </row>
        <row r="37">
          <cell r="A37" t="str">
            <v>Philippines</v>
          </cell>
          <cell r="B37">
            <v>1</v>
          </cell>
        </row>
        <row r="38">
          <cell r="A38" t="str">
            <v>Lithuania</v>
          </cell>
        </row>
        <row r="39">
          <cell r="A39" t="str">
            <v>Ireland</v>
          </cell>
          <cell r="B39">
            <v>1</v>
          </cell>
        </row>
        <row r="40">
          <cell r="A40" t="str">
            <v>United Arab Emirates</v>
          </cell>
          <cell r="B40">
            <v>1</v>
          </cell>
        </row>
        <row r="41">
          <cell r="A41" t="str">
            <v>United Kingdom</v>
          </cell>
          <cell r="B41">
            <v>1</v>
          </cell>
        </row>
        <row r="42">
          <cell r="A42" t="str">
            <v>Serbia</v>
          </cell>
          <cell r="B42">
            <v>1</v>
          </cell>
        </row>
        <row r="43">
          <cell r="A43" t="str">
            <v>Taiwan</v>
          </cell>
          <cell r="B43">
            <v>1</v>
          </cell>
        </row>
        <row r="44">
          <cell r="A44" t="str">
            <v>Japan</v>
          </cell>
          <cell r="B44">
            <v>1</v>
          </cell>
        </row>
        <row r="45">
          <cell r="A45" t="str">
            <v>Brazil</v>
          </cell>
          <cell r="B45">
            <v>1</v>
          </cell>
        </row>
        <row r="46">
          <cell r="A46" t="str">
            <v>Hungary</v>
          </cell>
          <cell r="B46">
            <v>1</v>
          </cell>
        </row>
        <row r="47">
          <cell r="A47" t="str">
            <v>Chile</v>
          </cell>
          <cell r="B47">
            <v>1</v>
          </cell>
        </row>
        <row r="48">
          <cell r="A48" t="str">
            <v>Nigeria</v>
          </cell>
          <cell r="B48">
            <v>1</v>
          </cell>
        </row>
        <row r="49">
          <cell r="A49" t="str">
            <v>Belgium</v>
          </cell>
          <cell r="B49">
            <v>1</v>
          </cell>
        </row>
        <row r="50">
          <cell r="A50" t="str">
            <v>Finland</v>
          </cell>
          <cell r="B50">
            <v>1</v>
          </cell>
        </row>
        <row r="51">
          <cell r="A51" t="str">
            <v>Saudi Arabia</v>
          </cell>
          <cell r="B51">
            <v>1</v>
          </cell>
        </row>
        <row r="52">
          <cell r="A52" t="str">
            <v>Malaysia</v>
          </cell>
          <cell r="B52">
            <v>1</v>
          </cell>
        </row>
        <row r="53">
          <cell r="A53" t="str">
            <v>Italy</v>
          </cell>
          <cell r="B53">
            <v>1</v>
          </cell>
        </row>
        <row r="54">
          <cell r="A54" t="str">
            <v>Romania</v>
          </cell>
          <cell r="B54">
            <v>1</v>
          </cell>
        </row>
        <row r="55">
          <cell r="A55" t="str">
            <v>Portugal</v>
          </cell>
          <cell r="B55">
            <v>1</v>
          </cell>
        </row>
        <row r="56">
          <cell r="A56" t="str">
            <v>Russia</v>
          </cell>
          <cell r="B56">
            <v>1</v>
          </cell>
        </row>
        <row r="57">
          <cell r="A57" t="str">
            <v>France</v>
          </cell>
          <cell r="B57">
            <v>1</v>
          </cell>
        </row>
        <row r="58">
          <cell r="A58" t="str">
            <v>Egypt</v>
          </cell>
          <cell r="B58">
            <v>1</v>
          </cell>
        </row>
        <row r="59">
          <cell r="A59" t="str">
            <v>Poland</v>
          </cell>
          <cell r="B59">
            <v>1</v>
          </cell>
        </row>
        <row r="60">
          <cell r="A60" t="str">
            <v>Ukraine</v>
          </cell>
          <cell r="B60">
            <v>1</v>
          </cell>
        </row>
        <row r="61">
          <cell r="A61" t="str">
            <v>Bulgaria</v>
          </cell>
        </row>
        <row r="62">
          <cell r="A62" t="str">
            <v>Thailand</v>
          </cell>
          <cell r="B62">
            <v>1</v>
          </cell>
        </row>
        <row r="63">
          <cell r="A63" t="str">
            <v>Vietnam</v>
          </cell>
          <cell r="B63">
            <v>1</v>
          </cell>
        </row>
        <row r="64">
          <cell r="A64" t="str">
            <v>Indonesia</v>
          </cell>
          <cell r="B64">
            <v>1</v>
          </cell>
        </row>
        <row r="65">
          <cell r="A65" t="str">
            <v>Venezuela</v>
          </cell>
        </row>
        <row r="66">
          <cell r="A66" t="str">
            <v>Turkey</v>
          </cell>
          <cell r="B66">
            <v>1</v>
          </cell>
        </row>
        <row r="67">
          <cell r="A67" t="str">
            <v>Guernsey</v>
          </cell>
        </row>
        <row r="68">
          <cell r="A68" t="str">
            <v>Andorra</v>
          </cell>
        </row>
        <row r="69">
          <cell r="A69" t="str">
            <v>Isle of Man</v>
          </cell>
        </row>
        <row r="70">
          <cell r="A70" t="str">
            <v>Namibia</v>
          </cell>
        </row>
        <row r="71">
          <cell r="A71" t="str">
            <v>Malta</v>
          </cell>
        </row>
        <row r="72">
          <cell r="A72" t="str">
            <v>Luxembourg</v>
          </cell>
        </row>
        <row r="73">
          <cell r="A73" t="str">
            <v>Martinique</v>
          </cell>
        </row>
        <row r="74">
          <cell r="A74" t="str">
            <v>Guadeloupe</v>
          </cell>
        </row>
        <row r="75">
          <cell r="A75" t="str">
            <v>Macao</v>
          </cell>
        </row>
        <row r="76">
          <cell r="A76" t="str">
            <v>Slovenia</v>
          </cell>
        </row>
        <row r="77">
          <cell r="A77" t="str">
            <v>Kosovo</v>
          </cell>
        </row>
        <row r="78">
          <cell r="A78" t="str">
            <v>Jamaica</v>
          </cell>
        </row>
        <row r="79">
          <cell r="A79" t="str">
            <v>Mauritius</v>
          </cell>
        </row>
        <row r="80">
          <cell r="A80" t="str">
            <v>Ethiopia</v>
          </cell>
        </row>
        <row r="81">
          <cell r="A81" t="str">
            <v>Qatar</v>
          </cell>
        </row>
        <row r="82">
          <cell r="A82" t="str">
            <v>Palestine</v>
          </cell>
        </row>
        <row r="83">
          <cell r="A83" t="str">
            <v>Puerto Rico</v>
          </cell>
        </row>
        <row r="84">
          <cell r="A84" t="str">
            <v>Cyprus</v>
          </cell>
        </row>
        <row r="85">
          <cell r="A85" t="str">
            <v>Albania</v>
          </cell>
        </row>
        <row r="86">
          <cell r="A86" t="str">
            <v>Yemen</v>
          </cell>
        </row>
        <row r="87">
          <cell r="A87" t="str">
            <v>Myanmar (Burma)</v>
          </cell>
        </row>
        <row r="88">
          <cell r="A88" t="str">
            <v>St. Helena</v>
          </cell>
        </row>
        <row r="89">
          <cell r="A89" t="str">
            <v>Sri Lanka</v>
          </cell>
        </row>
        <row r="90">
          <cell r="A90" t="str">
            <v>Lebanon</v>
          </cell>
        </row>
        <row r="91">
          <cell r="A91" t="str">
            <v>Cambodia</v>
          </cell>
        </row>
        <row r="92">
          <cell r="A92" t="str">
            <v>Kenya</v>
          </cell>
        </row>
        <row r="93">
          <cell r="A93" t="str">
            <v>Tunisia</v>
          </cell>
        </row>
        <row r="94">
          <cell r="A94" t="str">
            <v>Honduras</v>
          </cell>
        </row>
        <row r="95">
          <cell r="A95" t="str">
            <v>Moldova</v>
          </cell>
        </row>
        <row r="96">
          <cell r="A96" t="str">
            <v>El Salvador</v>
          </cell>
        </row>
        <row r="97">
          <cell r="A97" t="str">
            <v>Syria</v>
          </cell>
        </row>
        <row r="98">
          <cell r="A98" t="str">
            <v>Panama</v>
          </cell>
        </row>
        <row r="99">
          <cell r="A99" t="str">
            <v>Georgia</v>
          </cell>
        </row>
        <row r="100">
          <cell r="A100" t="str">
            <v>Kazakhstan</v>
          </cell>
        </row>
        <row r="101">
          <cell r="A101" t="str">
            <v>Algeria</v>
          </cell>
        </row>
        <row r="102">
          <cell r="A102" t="str">
            <v>Bolivia</v>
          </cell>
        </row>
        <row r="103">
          <cell r="A103" t="str">
            <v>Uruguay</v>
          </cell>
        </row>
        <row r="104">
          <cell r="A104" t="str">
            <v>Guatemala</v>
          </cell>
        </row>
        <row r="105">
          <cell r="A105" t="str">
            <v>Dominican Republic</v>
          </cell>
        </row>
        <row r="106">
          <cell r="A106" t="str">
            <v>Morocco</v>
          </cell>
        </row>
        <row r="107">
          <cell r="A107" t="str">
            <v>Iran</v>
          </cell>
        </row>
        <row r="108">
          <cell r="A108" t="str">
            <v>Aruba</v>
          </cell>
        </row>
        <row r="109">
          <cell r="A109" t="str">
            <v>Afghanistan</v>
          </cell>
        </row>
        <row r="110">
          <cell r="A110" t="str">
            <v>Angola</v>
          </cell>
        </row>
        <row r="111">
          <cell r="A111" t="str">
            <v>Anguilla</v>
          </cell>
        </row>
        <row r="112">
          <cell r="A112" t="str">
            <v>Ã…land Islands</v>
          </cell>
        </row>
        <row r="113">
          <cell r="A113" t="str">
            <v>Armenia</v>
          </cell>
        </row>
        <row r="114">
          <cell r="A114" t="str">
            <v>American Samoa</v>
          </cell>
        </row>
        <row r="115">
          <cell r="A115" t="str">
            <v>Antarctica</v>
          </cell>
        </row>
        <row r="116">
          <cell r="A116" t="str">
            <v>French Southern Territories</v>
          </cell>
        </row>
        <row r="117">
          <cell r="A117" t="str">
            <v>Antigua &amp; Barbuda</v>
          </cell>
        </row>
        <row r="118">
          <cell r="A118" t="str">
            <v>Azerbaijan</v>
          </cell>
        </row>
        <row r="119">
          <cell r="A119" t="str">
            <v>Burundi</v>
          </cell>
        </row>
        <row r="120">
          <cell r="A120" t="str">
            <v>Benin</v>
          </cell>
        </row>
        <row r="121">
          <cell r="A121" t="str">
            <v>Caribbean Netherlands</v>
          </cell>
        </row>
        <row r="122">
          <cell r="A122" t="str">
            <v>Burkina Faso</v>
          </cell>
        </row>
        <row r="123">
          <cell r="A123" t="str">
            <v>Bahrain</v>
          </cell>
        </row>
        <row r="124">
          <cell r="A124" t="str">
            <v>Bahamas</v>
          </cell>
        </row>
        <row r="125">
          <cell r="A125" t="str">
            <v>Bosnia &amp; Herzegovina</v>
          </cell>
        </row>
        <row r="126">
          <cell r="A126" t="str">
            <v>St. BarthÃ©lemy</v>
          </cell>
        </row>
        <row r="127">
          <cell r="A127" t="str">
            <v>Belize</v>
          </cell>
        </row>
        <row r="128">
          <cell r="A128" t="str">
            <v>Bermuda</v>
          </cell>
        </row>
        <row r="129">
          <cell r="A129" t="str">
            <v>Barbados</v>
          </cell>
        </row>
        <row r="130">
          <cell r="A130" t="str">
            <v>Brunei</v>
          </cell>
        </row>
        <row r="131">
          <cell r="A131" t="str">
            <v>Bhutan</v>
          </cell>
        </row>
        <row r="132">
          <cell r="A132" t="str">
            <v>Bouvet Island</v>
          </cell>
        </row>
        <row r="133">
          <cell r="A133" t="str">
            <v>Botswana</v>
          </cell>
        </row>
        <row r="134">
          <cell r="A134" t="str">
            <v>Central African Republic</v>
          </cell>
        </row>
        <row r="135">
          <cell r="A135" t="str">
            <v>Cocos (Keeling) Islands</v>
          </cell>
        </row>
        <row r="136">
          <cell r="A136" t="str">
            <v>CÃ´te dâ€™Ivoire</v>
          </cell>
        </row>
        <row r="137">
          <cell r="A137" t="str">
            <v>Cameroon</v>
          </cell>
        </row>
        <row r="138">
          <cell r="A138" t="str">
            <v>Congo - Kinshasa</v>
          </cell>
        </row>
        <row r="139">
          <cell r="A139" t="str">
            <v>Congo - Brazzaville</v>
          </cell>
        </row>
        <row r="140">
          <cell r="A140" t="str">
            <v>Cook Islands</v>
          </cell>
        </row>
        <row r="141">
          <cell r="A141" t="str">
            <v>Comoros</v>
          </cell>
        </row>
        <row r="142">
          <cell r="A142" t="str">
            <v>Cape Verde</v>
          </cell>
        </row>
        <row r="143">
          <cell r="A143" t="str">
            <v>Costa Rica</v>
          </cell>
        </row>
        <row r="144">
          <cell r="A144" t="str">
            <v>Cuba</v>
          </cell>
        </row>
        <row r="145">
          <cell r="A145" t="str">
            <v>CuraÃ§ao</v>
          </cell>
        </row>
        <row r="146">
          <cell r="A146" t="str">
            <v>Christmas Island</v>
          </cell>
        </row>
        <row r="147">
          <cell r="A147" t="str">
            <v>Cayman Islands</v>
          </cell>
        </row>
        <row r="148">
          <cell r="A148" t="str">
            <v>Djibouti</v>
          </cell>
        </row>
        <row r="149">
          <cell r="A149" t="str">
            <v>Dominica</v>
          </cell>
        </row>
        <row r="150">
          <cell r="A150" t="str">
            <v>Eritrea</v>
          </cell>
        </row>
        <row r="151">
          <cell r="A151" t="str">
            <v>Western Sahara</v>
          </cell>
        </row>
        <row r="152">
          <cell r="A152" t="str">
            <v>Fiji</v>
          </cell>
        </row>
        <row r="153">
          <cell r="A153" t="str">
            <v>Falkland Islands (Islas Malvinas)</v>
          </cell>
        </row>
        <row r="154">
          <cell r="A154" t="str">
            <v>Faroe Islands</v>
          </cell>
        </row>
        <row r="155">
          <cell r="A155" t="str">
            <v>Micronesia</v>
          </cell>
        </row>
        <row r="156">
          <cell r="A156" t="str">
            <v>Gabon</v>
          </cell>
        </row>
        <row r="157">
          <cell r="A157" t="str">
            <v>Gibraltar</v>
          </cell>
        </row>
        <row r="158">
          <cell r="A158" t="str">
            <v>Guinea</v>
          </cell>
        </row>
        <row r="159">
          <cell r="A159" t="str">
            <v>Gambia</v>
          </cell>
        </row>
        <row r="160">
          <cell r="A160" t="str">
            <v>Guinea-Bissau</v>
          </cell>
        </row>
        <row r="161">
          <cell r="A161" t="str">
            <v>Equatorial Guinea</v>
          </cell>
        </row>
        <row r="162">
          <cell r="A162" t="str">
            <v>Grenada</v>
          </cell>
        </row>
        <row r="163">
          <cell r="A163" t="str">
            <v>Greenland</v>
          </cell>
        </row>
        <row r="164">
          <cell r="A164" t="str">
            <v>French Guiana</v>
          </cell>
        </row>
        <row r="165">
          <cell r="A165" t="str">
            <v>Guam</v>
          </cell>
        </row>
        <row r="166">
          <cell r="A166" t="str">
            <v>Guyana</v>
          </cell>
        </row>
        <row r="167">
          <cell r="A167" t="str">
            <v>Heard &amp; McDonald Islands</v>
          </cell>
        </row>
        <row r="168">
          <cell r="A168" t="str">
            <v>Haiti</v>
          </cell>
        </row>
        <row r="169">
          <cell r="A169" t="str">
            <v>British Indian Ocean Territory</v>
          </cell>
        </row>
        <row r="170">
          <cell r="A170" t="str">
            <v>Iraq</v>
          </cell>
        </row>
        <row r="171">
          <cell r="A171" t="str">
            <v>Iceland</v>
          </cell>
        </row>
        <row r="172">
          <cell r="A172" t="str">
            <v>Jersey</v>
          </cell>
        </row>
        <row r="173">
          <cell r="A173" t="str">
            <v>Jordan</v>
          </cell>
        </row>
        <row r="174">
          <cell r="A174" t="str">
            <v>Kyrgyzstan</v>
          </cell>
        </row>
        <row r="175">
          <cell r="A175" t="str">
            <v>Kiribati</v>
          </cell>
        </row>
        <row r="176">
          <cell r="A176" t="str">
            <v>St. Kitts &amp; Nevis</v>
          </cell>
        </row>
        <row r="177">
          <cell r="A177" t="str">
            <v>Kuwait</v>
          </cell>
        </row>
        <row r="178">
          <cell r="A178" t="str">
            <v>Laos</v>
          </cell>
        </row>
        <row r="179">
          <cell r="A179" t="str">
            <v>Liberia</v>
          </cell>
        </row>
        <row r="180">
          <cell r="A180" t="str">
            <v>Libya</v>
          </cell>
        </row>
        <row r="181">
          <cell r="A181" t="str">
            <v>St. Lucia</v>
          </cell>
        </row>
        <row r="182">
          <cell r="A182" t="str">
            <v>Liechtenstein</v>
          </cell>
        </row>
        <row r="183">
          <cell r="A183" t="str">
            <v>Lesotho</v>
          </cell>
        </row>
        <row r="184">
          <cell r="A184" t="str">
            <v>Latvia</v>
          </cell>
        </row>
        <row r="185">
          <cell r="A185" t="str">
            <v>St. Martin</v>
          </cell>
        </row>
        <row r="186">
          <cell r="A186" t="str">
            <v>Monaco</v>
          </cell>
        </row>
        <row r="187">
          <cell r="A187" t="str">
            <v>Madagascar</v>
          </cell>
        </row>
        <row r="188">
          <cell r="A188" t="str">
            <v>Maldives</v>
          </cell>
        </row>
        <row r="189">
          <cell r="A189" t="str">
            <v>Marshall Islands</v>
          </cell>
        </row>
        <row r="190">
          <cell r="A190" t="str">
            <v>North Macedonia</v>
          </cell>
        </row>
        <row r="191">
          <cell r="A191" t="str">
            <v>Mali</v>
          </cell>
        </row>
        <row r="192">
          <cell r="A192" t="str">
            <v>Montenegro</v>
          </cell>
        </row>
        <row r="193">
          <cell r="A193" t="str">
            <v>Mongolia</v>
          </cell>
        </row>
        <row r="194">
          <cell r="A194" t="str">
            <v>Northern Mariana Islands</v>
          </cell>
        </row>
        <row r="195">
          <cell r="A195" t="str">
            <v>Mozambique</v>
          </cell>
        </row>
        <row r="196">
          <cell r="A196" t="str">
            <v>Mauritania</v>
          </cell>
        </row>
        <row r="197">
          <cell r="A197" t="str">
            <v>Montserrat</v>
          </cell>
        </row>
        <row r="198">
          <cell r="A198" t="str">
            <v>Malawi</v>
          </cell>
        </row>
        <row r="199">
          <cell r="A199" t="str">
            <v>Mayotte</v>
          </cell>
        </row>
        <row r="200">
          <cell r="A200" t="str">
            <v>New Caledonia</v>
          </cell>
        </row>
        <row r="201">
          <cell r="A201" t="str">
            <v>Niger</v>
          </cell>
        </row>
        <row r="202">
          <cell r="A202" t="str">
            <v>Norfolk Island</v>
          </cell>
        </row>
        <row r="203">
          <cell r="A203" t="str">
            <v>Nicaragua</v>
          </cell>
        </row>
        <row r="204">
          <cell r="A204" t="str">
            <v>Niue</v>
          </cell>
        </row>
        <row r="205">
          <cell r="A205" t="str">
            <v>Nauru</v>
          </cell>
        </row>
        <row r="206">
          <cell r="A206" t="str">
            <v>Oman</v>
          </cell>
        </row>
        <row r="207">
          <cell r="A207" t="str">
            <v>Pitcairn Islands</v>
          </cell>
        </row>
        <row r="208">
          <cell r="A208" t="str">
            <v>Palau</v>
          </cell>
        </row>
        <row r="209">
          <cell r="A209" t="str">
            <v>Papua New Guinea</v>
          </cell>
        </row>
        <row r="210">
          <cell r="A210" t="str">
            <v>North Korea</v>
          </cell>
        </row>
        <row r="211">
          <cell r="A211" t="str">
            <v>Paraguay</v>
          </cell>
        </row>
        <row r="212">
          <cell r="A212" t="str">
            <v>French Polynesia</v>
          </cell>
        </row>
        <row r="213">
          <cell r="A213" t="str">
            <v>RÃ©union</v>
          </cell>
        </row>
        <row r="214">
          <cell r="A214" t="str">
            <v>Rwanda</v>
          </cell>
        </row>
        <row r="215">
          <cell r="A215" t="str">
            <v>Sudan</v>
          </cell>
        </row>
        <row r="216">
          <cell r="A216" t="str">
            <v>Senegal</v>
          </cell>
        </row>
        <row r="217">
          <cell r="A217" t="str">
            <v>South Georgia &amp; South Sandwich Islands</v>
          </cell>
        </row>
        <row r="218">
          <cell r="A218" t="str">
            <v>Svalbard &amp; Jan Mayen</v>
          </cell>
        </row>
        <row r="219">
          <cell r="A219" t="str">
            <v>Solomon Islands</v>
          </cell>
        </row>
        <row r="220">
          <cell r="A220" t="str">
            <v>Sierra Leone</v>
          </cell>
        </row>
        <row r="221">
          <cell r="A221" t="str">
            <v>San Marino</v>
          </cell>
        </row>
        <row r="222">
          <cell r="A222" t="str">
            <v>Somalia</v>
          </cell>
        </row>
        <row r="223">
          <cell r="A223" t="str">
            <v>St. Pierre &amp; Miquelon</v>
          </cell>
        </row>
        <row r="224">
          <cell r="A224" t="str">
            <v>South Sudan</v>
          </cell>
        </row>
        <row r="225">
          <cell r="A225" t="str">
            <v>SÃ£o TomÃ© &amp; PrÃ­ncipe</v>
          </cell>
        </row>
        <row r="226">
          <cell r="A226" t="str">
            <v>Suriname</v>
          </cell>
        </row>
        <row r="227">
          <cell r="A227" t="str">
            <v>Slovakia</v>
          </cell>
        </row>
        <row r="228">
          <cell r="A228" t="str">
            <v>Eswatini</v>
          </cell>
        </row>
        <row r="229">
          <cell r="A229" t="str">
            <v>Sint Maarten</v>
          </cell>
        </row>
        <row r="230">
          <cell r="A230" t="str">
            <v>Seychelles</v>
          </cell>
        </row>
        <row r="231">
          <cell r="A231" t="str">
            <v>Turks &amp; Caicos Islands</v>
          </cell>
        </row>
        <row r="232">
          <cell r="A232" t="str">
            <v>Chad</v>
          </cell>
        </row>
        <row r="233">
          <cell r="A233" t="str">
            <v>Togo</v>
          </cell>
        </row>
        <row r="234">
          <cell r="A234" t="str">
            <v>Tajikistan</v>
          </cell>
        </row>
        <row r="235">
          <cell r="A235" t="str">
            <v>Tokelau</v>
          </cell>
        </row>
        <row r="236">
          <cell r="A236" t="str">
            <v>Turkmenistan</v>
          </cell>
        </row>
        <row r="237">
          <cell r="A237" t="str">
            <v>Timor-Leste</v>
          </cell>
        </row>
        <row r="238">
          <cell r="A238" t="str">
            <v>Tonga</v>
          </cell>
        </row>
        <row r="239">
          <cell r="A239" t="str">
            <v>Trinidad &amp; Tobago</v>
          </cell>
        </row>
        <row r="240">
          <cell r="A240" t="str">
            <v>Tuvalu</v>
          </cell>
        </row>
        <row r="241">
          <cell r="A241" t="str">
            <v>Tanzania</v>
          </cell>
        </row>
        <row r="242">
          <cell r="A242" t="str">
            <v>Uganda</v>
          </cell>
        </row>
        <row r="243">
          <cell r="A243" t="str">
            <v>U.S. Outlying Islands</v>
          </cell>
        </row>
        <row r="244">
          <cell r="A244" t="str">
            <v>Uzbekistan</v>
          </cell>
        </row>
        <row r="245">
          <cell r="A245" t="str">
            <v>Vatican City</v>
          </cell>
        </row>
        <row r="246">
          <cell r="A246" t="str">
            <v>St. Vincent &amp; Grenadines</v>
          </cell>
        </row>
        <row r="247">
          <cell r="A247" t="str">
            <v>British Virgin Islands</v>
          </cell>
        </row>
        <row r="248">
          <cell r="A248" t="str">
            <v>U.S. Virgin Islands</v>
          </cell>
        </row>
        <row r="249">
          <cell r="A249" t="str">
            <v>Vanuatu</v>
          </cell>
        </row>
        <row r="250">
          <cell r="A250" t="str">
            <v>Wallis &amp; Futuna</v>
          </cell>
        </row>
        <row r="251">
          <cell r="A251" t="str">
            <v>Samoa</v>
          </cell>
        </row>
        <row r="252">
          <cell r="A252" t="str">
            <v>Zambia</v>
          </cell>
        </row>
        <row r="253">
          <cell r="A253" t="str">
            <v>Zimbabwe</v>
          </cell>
        </row>
      </sheetData>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87)"/>
    </sheetNames>
    <sheetDataSet>
      <sheetData sheetId="0" refreshError="1">
        <row r="1">
          <cell r="A1" t="str">
            <v>Category: All categories</v>
          </cell>
        </row>
        <row r="3">
          <cell r="A3" t="str">
            <v>Country</v>
          </cell>
          <cell r="B3" t="str">
            <v>Hypertext Transfer Protocol: (2018)</v>
          </cell>
          <cell r="C3" t="str">
            <v>Deep learning: (2018)</v>
          </cell>
        </row>
        <row r="4">
          <cell r="A4" t="str">
            <v>China</v>
          </cell>
          <cell r="B4">
            <v>0.66</v>
          </cell>
          <cell r="C4">
            <v>0.34</v>
          </cell>
        </row>
        <row r="5">
          <cell r="A5" t="str">
            <v>Cuba</v>
          </cell>
        </row>
        <row r="6">
          <cell r="A6" t="str">
            <v>Ethiopia</v>
          </cell>
        </row>
        <row r="7">
          <cell r="A7" t="str">
            <v>St. Helena</v>
          </cell>
          <cell r="B7">
            <v>0.87</v>
          </cell>
          <cell r="C7">
            <v>0.13</v>
          </cell>
        </row>
        <row r="8">
          <cell r="A8" t="str">
            <v>Myanmar (Burma)</v>
          </cell>
        </row>
        <row r="9">
          <cell r="A9" t="str">
            <v>South Korea</v>
          </cell>
          <cell r="B9">
            <v>0.57999999999999996</v>
          </cell>
          <cell r="C9">
            <v>0.42</v>
          </cell>
        </row>
        <row r="10">
          <cell r="A10" t="str">
            <v>Singapore</v>
          </cell>
          <cell r="B10">
            <v>0.77</v>
          </cell>
          <cell r="C10">
            <v>0.23</v>
          </cell>
        </row>
        <row r="11">
          <cell r="A11" t="str">
            <v>Jamaica</v>
          </cell>
        </row>
        <row r="12">
          <cell r="A12" t="str">
            <v>Togo</v>
          </cell>
        </row>
        <row r="13">
          <cell r="A13" t="str">
            <v>Liechtenstein</v>
          </cell>
        </row>
        <row r="14">
          <cell r="A14" t="str">
            <v>Papua New Guinea</v>
          </cell>
        </row>
        <row r="15">
          <cell r="A15" t="str">
            <v>Luxembourg</v>
          </cell>
        </row>
        <row r="16">
          <cell r="A16" t="str">
            <v>North Macedonia</v>
          </cell>
        </row>
        <row r="17">
          <cell r="A17" t="str">
            <v>Israel</v>
          </cell>
          <cell r="B17">
            <v>0.8</v>
          </cell>
          <cell r="C17">
            <v>0.2</v>
          </cell>
        </row>
        <row r="18">
          <cell r="A18" t="str">
            <v>Cook Islands</v>
          </cell>
        </row>
        <row r="19">
          <cell r="A19" t="str">
            <v>Chad</v>
          </cell>
        </row>
        <row r="20">
          <cell r="A20" t="str">
            <v>Tanzania</v>
          </cell>
        </row>
        <row r="21">
          <cell r="A21" t="str">
            <v>Malawi</v>
          </cell>
        </row>
        <row r="22">
          <cell r="A22" t="str">
            <v>Rwanda</v>
          </cell>
        </row>
        <row r="23">
          <cell r="A23" t="str">
            <v>Cape Verde</v>
          </cell>
        </row>
        <row r="24">
          <cell r="A24" t="str">
            <v>Angola</v>
          </cell>
        </row>
        <row r="25">
          <cell r="A25" t="str">
            <v>Madagascar</v>
          </cell>
        </row>
        <row r="26">
          <cell r="A26" t="str">
            <v>Nigeria</v>
          </cell>
          <cell r="B26">
            <v>0.96</v>
          </cell>
          <cell r="C26">
            <v>0.04</v>
          </cell>
        </row>
        <row r="27">
          <cell r="A27" t="str">
            <v>Burundi</v>
          </cell>
        </row>
        <row r="28">
          <cell r="A28" t="str">
            <v>Cameroon</v>
          </cell>
        </row>
        <row r="29">
          <cell r="A29" t="str">
            <v>Philippines</v>
          </cell>
          <cell r="B29">
            <v>0.96</v>
          </cell>
          <cell r="C29">
            <v>0.04</v>
          </cell>
        </row>
        <row r="30">
          <cell r="A30" t="str">
            <v>Hong Kong</v>
          </cell>
          <cell r="B30">
            <v>0.74</v>
          </cell>
          <cell r="C30">
            <v>0.26</v>
          </cell>
        </row>
        <row r="31">
          <cell r="A31" t="str">
            <v>Ã…land Islands</v>
          </cell>
        </row>
        <row r="32">
          <cell r="A32" t="str">
            <v>Gibraltar</v>
          </cell>
        </row>
        <row r="33">
          <cell r="A33" t="str">
            <v>Monaco</v>
          </cell>
        </row>
        <row r="34">
          <cell r="A34" t="str">
            <v>Mexico</v>
          </cell>
          <cell r="B34">
            <v>0.98</v>
          </cell>
          <cell r="C34">
            <v>0.02</v>
          </cell>
        </row>
        <row r="35">
          <cell r="A35" t="str">
            <v>Germany</v>
          </cell>
          <cell r="B35">
            <v>0.89</v>
          </cell>
          <cell r="C35">
            <v>0.11</v>
          </cell>
        </row>
        <row r="36">
          <cell r="A36" t="str">
            <v>Iceland</v>
          </cell>
        </row>
        <row r="37">
          <cell r="A37" t="str">
            <v>Somalia</v>
          </cell>
        </row>
        <row r="38">
          <cell r="A38" t="str">
            <v>Benin</v>
          </cell>
        </row>
        <row r="39">
          <cell r="A39" t="str">
            <v>Switzerland</v>
          </cell>
          <cell r="B39">
            <v>0.83</v>
          </cell>
          <cell r="C39">
            <v>0.17</v>
          </cell>
        </row>
        <row r="40">
          <cell r="A40" t="str">
            <v>Kenya</v>
          </cell>
        </row>
        <row r="41">
          <cell r="A41" t="str">
            <v>Botswana</v>
          </cell>
        </row>
        <row r="42">
          <cell r="A42" t="str">
            <v>Eswatini</v>
          </cell>
        </row>
        <row r="43">
          <cell r="A43" t="str">
            <v>Solomon Islands</v>
          </cell>
        </row>
        <row r="44">
          <cell r="A44" t="str">
            <v>Sri Lanka</v>
          </cell>
          <cell r="B44">
            <v>0.9</v>
          </cell>
          <cell r="C44">
            <v>0.1</v>
          </cell>
        </row>
        <row r="45">
          <cell r="A45" t="str">
            <v>Timor-Leste</v>
          </cell>
        </row>
        <row r="46">
          <cell r="A46" t="str">
            <v>Nepal</v>
          </cell>
        </row>
        <row r="47">
          <cell r="A47" t="str">
            <v>India</v>
          </cell>
          <cell r="B47">
            <v>0.85</v>
          </cell>
          <cell r="C47">
            <v>0.15</v>
          </cell>
        </row>
        <row r="48">
          <cell r="A48" t="str">
            <v>Greenland</v>
          </cell>
        </row>
        <row r="49">
          <cell r="A49" t="str">
            <v>Austria</v>
          </cell>
          <cell r="B49">
            <v>0.9</v>
          </cell>
          <cell r="C49">
            <v>0.1</v>
          </cell>
        </row>
        <row r="50">
          <cell r="A50" t="str">
            <v>Belarus</v>
          </cell>
        </row>
        <row r="51">
          <cell r="A51" t="str">
            <v>Estonia</v>
          </cell>
        </row>
        <row r="52">
          <cell r="A52" t="str">
            <v>Uganda</v>
          </cell>
        </row>
        <row r="53">
          <cell r="A53" t="str">
            <v>Armenia</v>
          </cell>
        </row>
        <row r="54">
          <cell r="A54" t="str">
            <v>Mali</v>
          </cell>
        </row>
        <row r="55">
          <cell r="A55" t="str">
            <v>Bangladesh</v>
          </cell>
          <cell r="B55">
            <v>0.9</v>
          </cell>
          <cell r="C55">
            <v>0.1</v>
          </cell>
        </row>
        <row r="56">
          <cell r="A56" t="str">
            <v>New Zealand</v>
          </cell>
          <cell r="B56">
            <v>0.88</v>
          </cell>
          <cell r="C56">
            <v>0.12</v>
          </cell>
        </row>
        <row r="57">
          <cell r="A57" t="str">
            <v>Japan</v>
          </cell>
          <cell r="B57">
            <v>0.71</v>
          </cell>
          <cell r="C57">
            <v>0.28999999999999998</v>
          </cell>
        </row>
        <row r="58">
          <cell r="A58" t="str">
            <v>Finland</v>
          </cell>
          <cell r="B58">
            <v>0.89</v>
          </cell>
          <cell r="C58">
            <v>0.11</v>
          </cell>
        </row>
        <row r="59">
          <cell r="A59" t="str">
            <v>Ukraine</v>
          </cell>
          <cell r="B59">
            <v>0.97</v>
          </cell>
          <cell r="C59">
            <v>0.03</v>
          </cell>
        </row>
        <row r="60">
          <cell r="A60" t="str">
            <v>Zimbabwe</v>
          </cell>
        </row>
        <row r="61">
          <cell r="A61" t="str">
            <v>Ecuador</v>
          </cell>
        </row>
        <row r="62">
          <cell r="A62" t="str">
            <v>El Salvador</v>
          </cell>
        </row>
        <row r="63">
          <cell r="A63" t="str">
            <v>Taiwan</v>
          </cell>
          <cell r="B63">
            <v>0.67</v>
          </cell>
          <cell r="C63">
            <v>0.33</v>
          </cell>
        </row>
        <row r="64">
          <cell r="A64" t="str">
            <v>Namibia</v>
          </cell>
        </row>
        <row r="65">
          <cell r="A65" t="str">
            <v>Macao</v>
          </cell>
        </row>
        <row r="66">
          <cell r="A66" t="str">
            <v>Mauritius</v>
          </cell>
        </row>
        <row r="67">
          <cell r="A67" t="str">
            <v>Czechia</v>
          </cell>
          <cell r="B67">
            <v>0.93</v>
          </cell>
          <cell r="C67">
            <v>7.0000000000000007E-2</v>
          </cell>
        </row>
        <row r="68">
          <cell r="A68" t="str">
            <v>Bhutan</v>
          </cell>
        </row>
        <row r="69">
          <cell r="A69" t="str">
            <v>Portugal</v>
          </cell>
          <cell r="B69">
            <v>0.91</v>
          </cell>
          <cell r="C69">
            <v>0.09</v>
          </cell>
        </row>
        <row r="70">
          <cell r="A70" t="str">
            <v>Gambia</v>
          </cell>
        </row>
        <row r="71">
          <cell r="A71" t="str">
            <v>Norway</v>
          </cell>
          <cell r="B71">
            <v>0.87</v>
          </cell>
          <cell r="C71">
            <v>0.13</v>
          </cell>
        </row>
        <row r="72">
          <cell r="A72" t="str">
            <v>Nicaragua</v>
          </cell>
        </row>
        <row r="73">
          <cell r="A73" t="str">
            <v>Ireland</v>
          </cell>
          <cell r="B73">
            <v>0.85</v>
          </cell>
          <cell r="C73">
            <v>0.15</v>
          </cell>
        </row>
        <row r="74">
          <cell r="A74" t="str">
            <v>Lesotho</v>
          </cell>
        </row>
        <row r="75">
          <cell r="A75" t="str">
            <v>Tunisia</v>
          </cell>
          <cell r="B75">
            <v>0.75</v>
          </cell>
          <cell r="C75">
            <v>0.25</v>
          </cell>
        </row>
        <row r="76">
          <cell r="A76" t="str">
            <v>Cyprus</v>
          </cell>
        </row>
        <row r="77">
          <cell r="A77" t="str">
            <v>Mozambique</v>
          </cell>
        </row>
        <row r="78">
          <cell r="A78" t="str">
            <v>Russia</v>
          </cell>
          <cell r="B78">
            <v>0.95</v>
          </cell>
          <cell r="C78">
            <v>0.05</v>
          </cell>
        </row>
        <row r="79">
          <cell r="A79" t="str">
            <v>Uzbekistan</v>
          </cell>
        </row>
        <row r="80">
          <cell r="A80" t="str">
            <v>Congo - Brazzaville</v>
          </cell>
        </row>
        <row r="81">
          <cell r="A81" t="str">
            <v>Costa Rica</v>
          </cell>
        </row>
        <row r="82">
          <cell r="A82" t="str">
            <v>Indonesia</v>
          </cell>
          <cell r="B82">
            <v>0.97</v>
          </cell>
          <cell r="C82">
            <v>0.03</v>
          </cell>
        </row>
        <row r="83">
          <cell r="A83" t="str">
            <v>Romania</v>
          </cell>
          <cell r="B83">
            <v>0.94</v>
          </cell>
          <cell r="C83">
            <v>0.06</v>
          </cell>
        </row>
        <row r="84">
          <cell r="A84" t="str">
            <v>South Africa</v>
          </cell>
          <cell r="B84">
            <v>0.91</v>
          </cell>
          <cell r="C84">
            <v>0.09</v>
          </cell>
        </row>
        <row r="85">
          <cell r="A85" t="str">
            <v>Guatemala</v>
          </cell>
        </row>
        <row r="86">
          <cell r="A86" t="str">
            <v>Fiji</v>
          </cell>
        </row>
        <row r="87">
          <cell r="A87" t="str">
            <v>Andorra</v>
          </cell>
        </row>
        <row r="88">
          <cell r="A88" t="str">
            <v>Netherlands</v>
          </cell>
          <cell r="B88">
            <v>0.86</v>
          </cell>
          <cell r="C88">
            <v>0.14000000000000001</v>
          </cell>
        </row>
        <row r="89">
          <cell r="A89" t="str">
            <v>Haiti</v>
          </cell>
        </row>
        <row r="90">
          <cell r="A90" t="str">
            <v>Albania</v>
          </cell>
        </row>
        <row r="91">
          <cell r="A91" t="str">
            <v>Cambodia</v>
          </cell>
        </row>
        <row r="92">
          <cell r="A92" t="str">
            <v>Honduras</v>
          </cell>
        </row>
        <row r="93">
          <cell r="A93" t="str">
            <v>Sweden</v>
          </cell>
          <cell r="B93">
            <v>0.84</v>
          </cell>
          <cell r="C93">
            <v>0.16</v>
          </cell>
        </row>
        <row r="94">
          <cell r="A94" t="str">
            <v>Paraguay</v>
          </cell>
        </row>
        <row r="95">
          <cell r="A95" t="str">
            <v>Hungary</v>
          </cell>
          <cell r="B95">
            <v>0.9</v>
          </cell>
          <cell r="C95">
            <v>0.1</v>
          </cell>
        </row>
        <row r="96">
          <cell r="A96" t="str">
            <v>Canada</v>
          </cell>
          <cell r="B96">
            <v>0.8</v>
          </cell>
          <cell r="C96">
            <v>0.2</v>
          </cell>
        </row>
        <row r="97">
          <cell r="A97" t="str">
            <v>Sierra Leone</v>
          </cell>
        </row>
        <row r="98">
          <cell r="A98" t="str">
            <v>Denmark</v>
          </cell>
          <cell r="B98">
            <v>0.86</v>
          </cell>
          <cell r="C98">
            <v>0.14000000000000001</v>
          </cell>
        </row>
        <row r="99">
          <cell r="A99" t="str">
            <v>Bolivia</v>
          </cell>
        </row>
        <row r="100">
          <cell r="A100" t="str">
            <v>CuraÃ§ao</v>
          </cell>
        </row>
        <row r="101">
          <cell r="A101" t="str">
            <v>Maldives</v>
          </cell>
        </row>
        <row r="102">
          <cell r="A102" t="str">
            <v>Turkmenistan</v>
          </cell>
        </row>
        <row r="103">
          <cell r="A103" t="str">
            <v>Seychelles</v>
          </cell>
        </row>
        <row r="104">
          <cell r="A104" t="str">
            <v>Niger</v>
          </cell>
        </row>
        <row r="105">
          <cell r="A105" t="str">
            <v>Slovakia</v>
          </cell>
        </row>
        <row r="106">
          <cell r="A106" t="str">
            <v>Latvia</v>
          </cell>
        </row>
        <row r="107">
          <cell r="A107" t="str">
            <v>Pakistan</v>
          </cell>
          <cell r="B107">
            <v>0.81</v>
          </cell>
          <cell r="C107">
            <v>0.19</v>
          </cell>
        </row>
        <row r="108">
          <cell r="A108" t="str">
            <v>Moldova</v>
          </cell>
        </row>
        <row r="109">
          <cell r="A109" t="str">
            <v>Malta</v>
          </cell>
        </row>
        <row r="110">
          <cell r="A110" t="str">
            <v>Australia</v>
          </cell>
          <cell r="B110">
            <v>0.85</v>
          </cell>
          <cell r="C110">
            <v>0.15</v>
          </cell>
        </row>
        <row r="111">
          <cell r="A111" t="str">
            <v>Ghana</v>
          </cell>
        </row>
        <row r="112">
          <cell r="A112" t="str">
            <v>Bosnia &amp; Herzegovina</v>
          </cell>
        </row>
        <row r="113">
          <cell r="A113" t="str">
            <v>Peru</v>
          </cell>
          <cell r="B113">
            <v>0.94</v>
          </cell>
          <cell r="C113">
            <v>0.06</v>
          </cell>
        </row>
        <row r="114">
          <cell r="A114" t="str">
            <v>Dominican Republic</v>
          </cell>
        </row>
        <row r="115">
          <cell r="A115" t="str">
            <v>Equatorial Guinea</v>
          </cell>
        </row>
        <row r="116">
          <cell r="A116" t="str">
            <v>United States</v>
          </cell>
          <cell r="B116">
            <v>0.8</v>
          </cell>
          <cell r="C116">
            <v>0.2</v>
          </cell>
        </row>
        <row r="117">
          <cell r="A117" t="str">
            <v>Sudan</v>
          </cell>
        </row>
        <row r="118">
          <cell r="A118" t="str">
            <v>Colombia</v>
          </cell>
          <cell r="B118">
            <v>0.95</v>
          </cell>
          <cell r="C118">
            <v>0.05</v>
          </cell>
        </row>
        <row r="119">
          <cell r="A119" t="str">
            <v>Faroe Islands</v>
          </cell>
        </row>
        <row r="120">
          <cell r="A120" t="str">
            <v>Gabon</v>
          </cell>
        </row>
        <row r="121">
          <cell r="A121" t="str">
            <v>Isle of Man</v>
          </cell>
        </row>
        <row r="122">
          <cell r="A122" t="str">
            <v>Spain</v>
          </cell>
          <cell r="B122">
            <v>0.9</v>
          </cell>
          <cell r="C122">
            <v>0.1</v>
          </cell>
        </row>
        <row r="123">
          <cell r="A123" t="str">
            <v>Mongolia</v>
          </cell>
        </row>
        <row r="124">
          <cell r="A124" t="str">
            <v>Senegal</v>
          </cell>
        </row>
        <row r="125">
          <cell r="A125" t="str">
            <v>Malaysia</v>
          </cell>
          <cell r="B125">
            <v>0.84</v>
          </cell>
          <cell r="C125">
            <v>0.16</v>
          </cell>
        </row>
        <row r="126">
          <cell r="A126" t="str">
            <v>Belgium</v>
          </cell>
          <cell r="B126">
            <v>0.85</v>
          </cell>
          <cell r="C126">
            <v>0.15</v>
          </cell>
        </row>
        <row r="127">
          <cell r="A127" t="str">
            <v>Brazil</v>
          </cell>
          <cell r="B127">
            <v>0.95</v>
          </cell>
          <cell r="C127">
            <v>0.05</v>
          </cell>
        </row>
        <row r="128">
          <cell r="A128" t="str">
            <v>Panama</v>
          </cell>
        </row>
        <row r="129">
          <cell r="A129" t="str">
            <v>Lebanon</v>
          </cell>
        </row>
        <row r="130">
          <cell r="A130" t="str">
            <v>Uruguay</v>
          </cell>
        </row>
        <row r="131">
          <cell r="A131" t="str">
            <v>United Kingdom</v>
          </cell>
          <cell r="B131">
            <v>0.85</v>
          </cell>
          <cell r="C131">
            <v>0.15</v>
          </cell>
        </row>
        <row r="132">
          <cell r="A132" t="str">
            <v>Burkina Faso</v>
          </cell>
        </row>
        <row r="133">
          <cell r="A133" t="str">
            <v>Serbia</v>
          </cell>
        </row>
        <row r="134">
          <cell r="A134" t="str">
            <v>Jersey</v>
          </cell>
        </row>
        <row r="135">
          <cell r="A135" t="str">
            <v>Zambia</v>
          </cell>
        </row>
        <row r="136">
          <cell r="A136" t="str">
            <v>France</v>
          </cell>
          <cell r="B136">
            <v>0.84</v>
          </cell>
          <cell r="C136">
            <v>0.16</v>
          </cell>
        </row>
        <row r="137">
          <cell r="A137" t="str">
            <v>United Arab Emirates</v>
          </cell>
          <cell r="B137">
            <v>0.86</v>
          </cell>
          <cell r="C137">
            <v>0.14000000000000001</v>
          </cell>
        </row>
        <row r="138">
          <cell r="A138" t="str">
            <v>Bulgaria</v>
          </cell>
        </row>
        <row r="139">
          <cell r="A139" t="str">
            <v>CÃ´te dâ€™Ivoire</v>
          </cell>
        </row>
        <row r="140">
          <cell r="A140" t="str">
            <v>Laos</v>
          </cell>
        </row>
        <row r="141">
          <cell r="A141" t="str">
            <v>Poland</v>
          </cell>
          <cell r="B141">
            <v>0.92</v>
          </cell>
          <cell r="C141">
            <v>0.08</v>
          </cell>
        </row>
        <row r="142">
          <cell r="A142" t="str">
            <v>Belize</v>
          </cell>
        </row>
        <row r="143">
          <cell r="A143" t="str">
            <v>Lithuania</v>
          </cell>
        </row>
        <row r="144">
          <cell r="A144" t="str">
            <v>Djibouti</v>
          </cell>
        </row>
        <row r="145">
          <cell r="A145" t="str">
            <v>Grenada</v>
          </cell>
        </row>
        <row r="146">
          <cell r="A146" t="str">
            <v>South Sudan</v>
          </cell>
        </row>
        <row r="147">
          <cell r="A147" t="str">
            <v>St. Lucia</v>
          </cell>
        </row>
        <row r="148">
          <cell r="A148" t="str">
            <v>Guyana</v>
          </cell>
        </row>
        <row r="149">
          <cell r="A149" t="str">
            <v>Guernsey</v>
          </cell>
        </row>
        <row r="150">
          <cell r="A150" t="str">
            <v>Barbados</v>
          </cell>
        </row>
        <row r="151">
          <cell r="A151" t="str">
            <v>New Caledonia</v>
          </cell>
        </row>
        <row r="152">
          <cell r="A152" t="str">
            <v>Congo - Kinshasa</v>
          </cell>
        </row>
        <row r="153">
          <cell r="A153" t="str">
            <v>Kosovo</v>
          </cell>
        </row>
        <row r="154">
          <cell r="A154" t="str">
            <v>Croatia</v>
          </cell>
          <cell r="B154">
            <v>0.88</v>
          </cell>
          <cell r="C154">
            <v>0.12</v>
          </cell>
        </row>
        <row r="155">
          <cell r="A155" t="str">
            <v>French Polynesia</v>
          </cell>
        </row>
        <row r="156">
          <cell r="A156" t="str">
            <v>Kazakhstan</v>
          </cell>
        </row>
        <row r="157">
          <cell r="A157" t="str">
            <v>Antigua &amp; Barbuda</v>
          </cell>
        </row>
        <row r="158">
          <cell r="A158" t="str">
            <v>Morocco</v>
          </cell>
          <cell r="B158">
            <v>0.84</v>
          </cell>
          <cell r="C158">
            <v>0.16</v>
          </cell>
        </row>
        <row r="159">
          <cell r="A159" t="str">
            <v>Argentina</v>
          </cell>
          <cell r="B159">
            <v>0.95</v>
          </cell>
          <cell r="C159">
            <v>0.05</v>
          </cell>
        </row>
        <row r="160">
          <cell r="A160" t="str">
            <v>Oman</v>
          </cell>
        </row>
        <row r="161">
          <cell r="A161" t="str">
            <v>Martinique</v>
          </cell>
        </row>
        <row r="162">
          <cell r="A162" t="str">
            <v>Cayman Islands</v>
          </cell>
        </row>
        <row r="163">
          <cell r="A163" t="str">
            <v>Georgia</v>
          </cell>
        </row>
        <row r="164">
          <cell r="A164" t="str">
            <v>Tajikistan</v>
          </cell>
        </row>
        <row r="165">
          <cell r="A165" t="str">
            <v>Chile</v>
          </cell>
          <cell r="B165">
            <v>0.91</v>
          </cell>
          <cell r="C165">
            <v>0.09</v>
          </cell>
        </row>
        <row r="166">
          <cell r="A166" t="str">
            <v>Egypt</v>
          </cell>
          <cell r="B166">
            <v>0.83</v>
          </cell>
          <cell r="C166">
            <v>0.17</v>
          </cell>
        </row>
        <row r="167">
          <cell r="A167" t="str">
            <v>Mauritania</v>
          </cell>
        </row>
        <row r="168">
          <cell r="A168" t="str">
            <v>Iran</v>
          </cell>
          <cell r="B168">
            <v>0.79</v>
          </cell>
          <cell r="C168">
            <v>0.21</v>
          </cell>
        </row>
        <row r="169">
          <cell r="A169" t="str">
            <v>Slovenia</v>
          </cell>
        </row>
        <row r="170">
          <cell r="A170" t="str">
            <v>Qatar</v>
          </cell>
        </row>
        <row r="171">
          <cell r="A171" t="str">
            <v>Kyrgyzstan</v>
          </cell>
        </row>
        <row r="172">
          <cell r="A172" t="str">
            <v>Syria</v>
          </cell>
        </row>
        <row r="173">
          <cell r="A173" t="str">
            <v>Palestine</v>
          </cell>
        </row>
        <row r="174">
          <cell r="A174" t="str">
            <v>Bahrain</v>
          </cell>
        </row>
        <row r="175">
          <cell r="A175" t="str">
            <v>Jordan</v>
          </cell>
        </row>
        <row r="176">
          <cell r="A176" t="str">
            <v>Iraq</v>
          </cell>
        </row>
        <row r="177">
          <cell r="A177" t="str">
            <v>Algeria</v>
          </cell>
          <cell r="B177">
            <v>0.84</v>
          </cell>
          <cell r="C177">
            <v>0.16</v>
          </cell>
        </row>
        <row r="178">
          <cell r="A178" t="str">
            <v>Italy</v>
          </cell>
          <cell r="B178">
            <v>0.88</v>
          </cell>
          <cell r="C178">
            <v>0.12</v>
          </cell>
        </row>
        <row r="179">
          <cell r="A179" t="str">
            <v>Puerto Rico</v>
          </cell>
        </row>
        <row r="180">
          <cell r="A180" t="str">
            <v>Afghanistan</v>
          </cell>
        </row>
        <row r="181">
          <cell r="A181" t="str">
            <v>St. Vincent &amp; Grenadines</v>
          </cell>
        </row>
        <row r="182">
          <cell r="A182" t="str">
            <v>Liberia</v>
          </cell>
        </row>
        <row r="183">
          <cell r="A183" t="str">
            <v>Libya</v>
          </cell>
        </row>
        <row r="184">
          <cell r="A184" t="str">
            <v>Yemen</v>
          </cell>
        </row>
        <row r="185">
          <cell r="A185" t="str">
            <v>Bermuda</v>
          </cell>
        </row>
        <row r="186">
          <cell r="A186" t="str">
            <v>Trinidad &amp; Tobago</v>
          </cell>
        </row>
        <row r="187">
          <cell r="A187" t="str">
            <v>Vietnam</v>
          </cell>
          <cell r="B187">
            <v>0.81</v>
          </cell>
          <cell r="C187">
            <v>0.19</v>
          </cell>
        </row>
        <row r="188">
          <cell r="A188" t="str">
            <v>Guadeloupe</v>
          </cell>
        </row>
        <row r="189">
          <cell r="A189" t="str">
            <v>Azerbaijan</v>
          </cell>
        </row>
        <row r="190">
          <cell r="A190" t="str">
            <v>Greece</v>
          </cell>
          <cell r="B190">
            <v>0.82</v>
          </cell>
          <cell r="C190">
            <v>0.18</v>
          </cell>
        </row>
        <row r="191">
          <cell r="A191" t="str">
            <v>Montenegro</v>
          </cell>
        </row>
        <row r="192">
          <cell r="A192" t="str">
            <v>Thailand</v>
          </cell>
          <cell r="B192">
            <v>0.86</v>
          </cell>
          <cell r="C192">
            <v>0.14000000000000001</v>
          </cell>
        </row>
        <row r="193">
          <cell r="A193" t="str">
            <v>Venezuela</v>
          </cell>
        </row>
        <row r="194">
          <cell r="A194" t="str">
            <v>RÃ©union</v>
          </cell>
        </row>
        <row r="195">
          <cell r="A195" t="str">
            <v>Saudi Arabia</v>
          </cell>
          <cell r="B195">
            <v>0.85</v>
          </cell>
          <cell r="C195">
            <v>0.15</v>
          </cell>
        </row>
        <row r="196">
          <cell r="A196" t="str">
            <v>Brunei</v>
          </cell>
        </row>
        <row r="197">
          <cell r="A197" t="str">
            <v>U.S. Virgin Islands</v>
          </cell>
        </row>
        <row r="198">
          <cell r="A198" t="str">
            <v>Kuwait</v>
          </cell>
        </row>
        <row r="199">
          <cell r="A199" t="str">
            <v>Bahamas</v>
          </cell>
        </row>
        <row r="200">
          <cell r="A200" t="str">
            <v>Aruba</v>
          </cell>
        </row>
        <row r="201">
          <cell r="A201" t="str">
            <v>Guinea</v>
          </cell>
        </row>
        <row r="202">
          <cell r="A202" t="str">
            <v>Mayotte</v>
          </cell>
        </row>
        <row r="203">
          <cell r="A203" t="str">
            <v>Suriname</v>
          </cell>
        </row>
        <row r="204">
          <cell r="A204" t="str">
            <v>Guam</v>
          </cell>
        </row>
        <row r="205">
          <cell r="A205" t="str">
            <v>French Guiana</v>
          </cell>
        </row>
        <row r="206">
          <cell r="A206" t="str">
            <v>Turkey</v>
          </cell>
          <cell r="B206">
            <v>0.75</v>
          </cell>
          <cell r="C206">
            <v>0.25</v>
          </cell>
        </row>
        <row r="207">
          <cell r="A207" t="str">
            <v>Eritrea</v>
          </cell>
        </row>
        <row r="208">
          <cell r="A208" t="str">
            <v>SÃ£o TomÃ© &amp; PrÃ­ncipe</v>
          </cell>
        </row>
        <row r="209">
          <cell r="A209" t="str">
            <v>Svalbard &amp; Jan Mayen</v>
          </cell>
        </row>
        <row r="210">
          <cell r="A210" t="str">
            <v>Anguilla</v>
          </cell>
        </row>
        <row r="211">
          <cell r="A211" t="str">
            <v>Vanuatu</v>
          </cell>
        </row>
        <row r="212">
          <cell r="A212" t="str">
            <v>Marshall Islands</v>
          </cell>
        </row>
        <row r="213">
          <cell r="A213" t="str">
            <v>Tonga</v>
          </cell>
        </row>
        <row r="214">
          <cell r="A214" t="str">
            <v>Palau</v>
          </cell>
        </row>
        <row r="215">
          <cell r="A215" t="str">
            <v>San Marino</v>
          </cell>
        </row>
        <row r="216">
          <cell r="A216" t="str">
            <v>Central African Republic</v>
          </cell>
        </row>
        <row r="217">
          <cell r="A217" t="str">
            <v>Northern Mariana Islands</v>
          </cell>
        </row>
        <row r="218">
          <cell r="A218" t="str">
            <v>St. Martin</v>
          </cell>
        </row>
        <row r="219">
          <cell r="A219" t="str">
            <v>Dominica</v>
          </cell>
        </row>
        <row r="220">
          <cell r="A220" t="str">
            <v>Guinea-Bissau</v>
          </cell>
        </row>
        <row r="221">
          <cell r="A221" t="str">
            <v>Samoa</v>
          </cell>
        </row>
        <row r="222">
          <cell r="A222" t="str">
            <v>St. Kitts &amp; Nevis</v>
          </cell>
        </row>
        <row r="223">
          <cell r="A223" t="str">
            <v>Caribbean Netherlands</v>
          </cell>
        </row>
        <row r="224">
          <cell r="A224" t="str">
            <v>St. BarthÃ©lemy</v>
          </cell>
        </row>
        <row r="225">
          <cell r="A225" t="str">
            <v>Turks &amp; Caicos Islands</v>
          </cell>
        </row>
        <row r="226">
          <cell r="A226" t="str">
            <v>Sint Maarten</v>
          </cell>
        </row>
        <row r="227">
          <cell r="A227" t="str">
            <v>Western Sahara</v>
          </cell>
        </row>
        <row r="228">
          <cell r="A228" t="str">
            <v>American Samoa</v>
          </cell>
        </row>
        <row r="229">
          <cell r="A229" t="str">
            <v>Antarctica</v>
          </cell>
        </row>
        <row r="230">
          <cell r="A230" t="str">
            <v>French Southern Territories</v>
          </cell>
        </row>
        <row r="231">
          <cell r="A231" t="str">
            <v>Bouvet Island</v>
          </cell>
        </row>
        <row r="232">
          <cell r="A232" t="str">
            <v>Cocos (Keeling) Islands</v>
          </cell>
        </row>
        <row r="233">
          <cell r="A233" t="str">
            <v>Comoros</v>
          </cell>
        </row>
        <row r="234">
          <cell r="A234" t="str">
            <v>Christmas Island</v>
          </cell>
        </row>
        <row r="235">
          <cell r="A235" t="str">
            <v>Falkland Islands (Islas Malvinas)</v>
          </cell>
        </row>
        <row r="236">
          <cell r="A236" t="str">
            <v>Micronesia</v>
          </cell>
        </row>
        <row r="237">
          <cell r="A237" t="str">
            <v>Heard &amp; McDonald Islands</v>
          </cell>
        </row>
        <row r="238">
          <cell r="A238" t="str">
            <v>British Indian Ocean Territory</v>
          </cell>
        </row>
        <row r="239">
          <cell r="A239" t="str">
            <v>Kiribati</v>
          </cell>
        </row>
        <row r="240">
          <cell r="A240" t="str">
            <v>Montserrat</v>
          </cell>
        </row>
        <row r="241">
          <cell r="A241" t="str">
            <v>Norfolk Island</v>
          </cell>
        </row>
        <row r="242">
          <cell r="A242" t="str">
            <v>Niue</v>
          </cell>
        </row>
        <row r="243">
          <cell r="A243" t="str">
            <v>Nauru</v>
          </cell>
        </row>
        <row r="244">
          <cell r="A244" t="str">
            <v>Pitcairn Islands</v>
          </cell>
        </row>
        <row r="245">
          <cell r="A245" t="str">
            <v>North Korea</v>
          </cell>
        </row>
        <row r="246">
          <cell r="A246" t="str">
            <v>South Georgia &amp; South Sandwich Islands</v>
          </cell>
        </row>
        <row r="247">
          <cell r="A247" t="str">
            <v>St. Pierre &amp; Miquelon</v>
          </cell>
        </row>
        <row r="248">
          <cell r="A248" t="str">
            <v>Tokelau</v>
          </cell>
        </row>
        <row r="249">
          <cell r="A249" t="str">
            <v>Tuvalu</v>
          </cell>
        </row>
        <row r="250">
          <cell r="A250" t="str">
            <v>U.S. Outlying Islands</v>
          </cell>
        </row>
        <row r="251">
          <cell r="A251" t="str">
            <v>Vatican City</v>
          </cell>
        </row>
        <row r="252">
          <cell r="A252" t="str">
            <v>British Virgin Islands</v>
          </cell>
        </row>
        <row r="253">
          <cell r="A253" t="str">
            <v>Wallis &amp; Futuna</v>
          </cell>
        </row>
      </sheetData>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90)"/>
    </sheetNames>
    <sheetDataSet>
      <sheetData sheetId="0" refreshError="1">
        <row r="1">
          <cell r="A1" t="str">
            <v>Category: All categories</v>
          </cell>
        </row>
        <row r="3">
          <cell r="A3" t="str">
            <v>Country</v>
          </cell>
          <cell r="B3" t="str">
            <v>Transmission Control Protocol: (2018)</v>
          </cell>
          <cell r="C3" t="str">
            <v>Heap: (2018)</v>
          </cell>
        </row>
        <row r="4">
          <cell r="A4" t="str">
            <v>China</v>
          </cell>
          <cell r="B4">
            <v>0.71</v>
          </cell>
          <cell r="C4">
            <v>0.28999999999999998</v>
          </cell>
        </row>
        <row r="5">
          <cell r="A5" t="str">
            <v>Cuba</v>
          </cell>
        </row>
        <row r="6">
          <cell r="A6" t="str">
            <v>St. Helena</v>
          </cell>
          <cell r="B6">
            <v>0.75</v>
          </cell>
          <cell r="C6">
            <v>0.25</v>
          </cell>
        </row>
        <row r="7">
          <cell r="A7" t="str">
            <v>South Korea</v>
          </cell>
          <cell r="B7">
            <v>0.62</v>
          </cell>
          <cell r="C7">
            <v>0.38</v>
          </cell>
        </row>
        <row r="8">
          <cell r="A8" t="str">
            <v>Botswana</v>
          </cell>
        </row>
        <row r="9">
          <cell r="A9" t="str">
            <v>Rwanda</v>
          </cell>
        </row>
        <row r="10">
          <cell r="A10" t="str">
            <v>Ethiopia</v>
          </cell>
        </row>
        <row r="11">
          <cell r="A11" t="str">
            <v>Singapore</v>
          </cell>
          <cell r="B11">
            <v>0.7</v>
          </cell>
          <cell r="C11">
            <v>0.3</v>
          </cell>
        </row>
        <row r="12">
          <cell r="A12" t="str">
            <v>Burundi</v>
          </cell>
        </row>
        <row r="13">
          <cell r="A13" t="str">
            <v>Angola</v>
          </cell>
        </row>
        <row r="14">
          <cell r="A14" t="str">
            <v>Zimbabwe</v>
          </cell>
        </row>
        <row r="15">
          <cell r="A15" t="str">
            <v>Nepal</v>
          </cell>
        </row>
        <row r="16">
          <cell r="A16" t="str">
            <v>Papua New Guinea</v>
          </cell>
        </row>
        <row r="17">
          <cell r="A17" t="str">
            <v>Myanmar (Burma)</v>
          </cell>
        </row>
        <row r="18">
          <cell r="A18" t="str">
            <v>Malawi</v>
          </cell>
        </row>
        <row r="19">
          <cell r="A19" t="str">
            <v>Isle of Man</v>
          </cell>
        </row>
        <row r="20">
          <cell r="A20" t="str">
            <v>Luxembourg</v>
          </cell>
        </row>
        <row r="21">
          <cell r="A21" t="str">
            <v>Togo</v>
          </cell>
        </row>
        <row r="22">
          <cell r="A22" t="str">
            <v>Madagascar</v>
          </cell>
        </row>
        <row r="23">
          <cell r="A23" t="str">
            <v>Hong Kong</v>
          </cell>
          <cell r="B23">
            <v>0.56000000000000005</v>
          </cell>
          <cell r="C23">
            <v>0.44</v>
          </cell>
        </row>
        <row r="24">
          <cell r="A24" t="str">
            <v>Cape Verde</v>
          </cell>
        </row>
        <row r="25">
          <cell r="A25" t="str">
            <v>Israel</v>
          </cell>
          <cell r="B25">
            <v>0.61</v>
          </cell>
          <cell r="C25">
            <v>0.39</v>
          </cell>
        </row>
        <row r="26">
          <cell r="A26" t="str">
            <v>Taiwan</v>
          </cell>
          <cell r="B26">
            <v>0.47</v>
          </cell>
          <cell r="C26">
            <v>0.53</v>
          </cell>
        </row>
        <row r="27">
          <cell r="A27" t="str">
            <v>Cameroon</v>
          </cell>
        </row>
        <row r="28">
          <cell r="A28" t="str">
            <v>Jersey</v>
          </cell>
        </row>
        <row r="29">
          <cell r="A29" t="str">
            <v>Uruguay</v>
          </cell>
        </row>
        <row r="30">
          <cell r="A30" t="str">
            <v>Eswatini</v>
          </cell>
        </row>
        <row r="31">
          <cell r="A31" t="str">
            <v>Macao</v>
          </cell>
        </row>
        <row r="32">
          <cell r="A32" t="str">
            <v>Mauritius</v>
          </cell>
        </row>
        <row r="33">
          <cell r="A33" t="str">
            <v>Brunei</v>
          </cell>
        </row>
        <row r="34">
          <cell r="A34" t="str">
            <v>Bolivia</v>
          </cell>
        </row>
        <row r="35">
          <cell r="A35" t="str">
            <v>Lesotho</v>
          </cell>
        </row>
        <row r="36">
          <cell r="A36" t="str">
            <v>Ghana</v>
          </cell>
        </row>
        <row r="37">
          <cell r="A37" t="str">
            <v>Switzerland</v>
          </cell>
          <cell r="B37">
            <v>0.78</v>
          </cell>
          <cell r="C37">
            <v>0.22</v>
          </cell>
        </row>
        <row r="38">
          <cell r="A38" t="str">
            <v>Czechia</v>
          </cell>
          <cell r="B38">
            <v>0.73</v>
          </cell>
          <cell r="C38">
            <v>0.27</v>
          </cell>
        </row>
        <row r="39">
          <cell r="A39" t="str">
            <v>Tajikistan</v>
          </cell>
        </row>
        <row r="40">
          <cell r="A40" t="str">
            <v>India</v>
          </cell>
          <cell r="B40">
            <v>0.62</v>
          </cell>
          <cell r="C40">
            <v>0.38</v>
          </cell>
        </row>
        <row r="41">
          <cell r="A41" t="str">
            <v>Somalia</v>
          </cell>
        </row>
        <row r="42">
          <cell r="A42" t="str">
            <v>Sri Lanka</v>
          </cell>
          <cell r="B42">
            <v>0.71</v>
          </cell>
          <cell r="C42">
            <v>0.28999999999999998</v>
          </cell>
        </row>
        <row r="43">
          <cell r="A43" t="str">
            <v>Bhutan</v>
          </cell>
        </row>
        <row r="44">
          <cell r="A44" t="str">
            <v>Zambia</v>
          </cell>
        </row>
        <row r="45">
          <cell r="A45" t="str">
            <v>Ireland</v>
          </cell>
          <cell r="B45">
            <v>0.71</v>
          </cell>
          <cell r="C45">
            <v>0.28999999999999998</v>
          </cell>
        </row>
        <row r="46">
          <cell r="A46" t="str">
            <v>Sierra Leone</v>
          </cell>
        </row>
        <row r="47">
          <cell r="A47" t="str">
            <v>Japan</v>
          </cell>
          <cell r="B47">
            <v>0.81</v>
          </cell>
          <cell r="C47">
            <v>0.19</v>
          </cell>
        </row>
        <row r="48">
          <cell r="A48" t="str">
            <v>Malta</v>
          </cell>
        </row>
        <row r="49">
          <cell r="A49" t="str">
            <v>Pakistan</v>
          </cell>
          <cell r="B49">
            <v>0.51</v>
          </cell>
          <cell r="C49">
            <v>0.49</v>
          </cell>
        </row>
        <row r="50">
          <cell r="A50" t="str">
            <v>Congo - Kinshasa</v>
          </cell>
        </row>
        <row r="51">
          <cell r="A51" t="str">
            <v>Uzbekistan</v>
          </cell>
        </row>
        <row r="52">
          <cell r="A52" t="str">
            <v>Tunisia</v>
          </cell>
        </row>
        <row r="53">
          <cell r="A53" t="str">
            <v>New Zealand</v>
          </cell>
          <cell r="B53">
            <v>0.52</v>
          </cell>
          <cell r="C53">
            <v>0.48</v>
          </cell>
        </row>
        <row r="54">
          <cell r="A54" t="str">
            <v>Australia</v>
          </cell>
          <cell r="B54">
            <v>0.56999999999999995</v>
          </cell>
          <cell r="C54">
            <v>0.43</v>
          </cell>
        </row>
        <row r="55">
          <cell r="A55" t="str">
            <v>Norway</v>
          </cell>
          <cell r="B55">
            <v>0.77</v>
          </cell>
          <cell r="C55">
            <v>0.23</v>
          </cell>
        </row>
        <row r="56">
          <cell r="A56" t="str">
            <v>Austria</v>
          </cell>
          <cell r="B56">
            <v>0.8</v>
          </cell>
          <cell r="C56">
            <v>0.2</v>
          </cell>
        </row>
        <row r="57">
          <cell r="A57" t="str">
            <v>Panama</v>
          </cell>
        </row>
        <row r="58">
          <cell r="A58" t="str">
            <v>Germany</v>
          </cell>
          <cell r="B58">
            <v>0.79</v>
          </cell>
          <cell r="C58">
            <v>0.21</v>
          </cell>
        </row>
        <row r="59">
          <cell r="A59" t="str">
            <v>Finland</v>
          </cell>
          <cell r="B59">
            <v>0.71</v>
          </cell>
          <cell r="C59">
            <v>0.28999999999999998</v>
          </cell>
        </row>
        <row r="60">
          <cell r="A60" t="str">
            <v>Namibia</v>
          </cell>
        </row>
        <row r="61">
          <cell r="A61" t="str">
            <v>Sweden</v>
          </cell>
          <cell r="B61">
            <v>0.75</v>
          </cell>
          <cell r="C61">
            <v>0.25</v>
          </cell>
        </row>
        <row r="62">
          <cell r="A62" t="str">
            <v>Canada</v>
          </cell>
          <cell r="B62">
            <v>0.67</v>
          </cell>
          <cell r="C62">
            <v>0.33</v>
          </cell>
        </row>
        <row r="63">
          <cell r="A63" t="str">
            <v>Senegal</v>
          </cell>
        </row>
        <row r="64">
          <cell r="A64" t="str">
            <v>Costa Rica</v>
          </cell>
        </row>
        <row r="65">
          <cell r="A65" t="str">
            <v>Philippines</v>
          </cell>
          <cell r="B65">
            <v>0.65</v>
          </cell>
          <cell r="C65">
            <v>0.35</v>
          </cell>
        </row>
        <row r="66">
          <cell r="A66" t="str">
            <v>Estonia</v>
          </cell>
        </row>
        <row r="67">
          <cell r="A67" t="str">
            <v>Mozambique</v>
          </cell>
        </row>
        <row r="68">
          <cell r="A68" t="str">
            <v>Ecuador</v>
          </cell>
        </row>
        <row r="69">
          <cell r="A69" t="str">
            <v>United Arab Emirates</v>
          </cell>
          <cell r="B69">
            <v>0.71</v>
          </cell>
          <cell r="C69">
            <v>0.28999999999999998</v>
          </cell>
        </row>
        <row r="70">
          <cell r="A70" t="str">
            <v>Honduras</v>
          </cell>
        </row>
        <row r="71">
          <cell r="A71" t="str">
            <v>Iceland</v>
          </cell>
        </row>
        <row r="72">
          <cell r="A72" t="str">
            <v>United States</v>
          </cell>
          <cell r="B72">
            <v>0.57999999999999996</v>
          </cell>
          <cell r="C72">
            <v>0.42</v>
          </cell>
        </row>
        <row r="73">
          <cell r="A73" t="str">
            <v>Jamaica</v>
          </cell>
        </row>
        <row r="74">
          <cell r="A74" t="str">
            <v>Cyprus</v>
          </cell>
        </row>
        <row r="75">
          <cell r="A75" t="str">
            <v>Uganda</v>
          </cell>
        </row>
        <row r="76">
          <cell r="A76" t="str">
            <v>Afghanistan</v>
          </cell>
        </row>
        <row r="77">
          <cell r="A77" t="str">
            <v>Netherlands</v>
          </cell>
          <cell r="B77">
            <v>0.8</v>
          </cell>
          <cell r="C77">
            <v>0.2</v>
          </cell>
        </row>
        <row r="78">
          <cell r="A78" t="str">
            <v>United Kingdom</v>
          </cell>
          <cell r="B78">
            <v>0.65</v>
          </cell>
          <cell r="C78">
            <v>0.35</v>
          </cell>
        </row>
        <row r="79">
          <cell r="A79" t="str">
            <v>Russia</v>
          </cell>
          <cell r="B79">
            <v>0.6</v>
          </cell>
          <cell r="C79">
            <v>0.4</v>
          </cell>
        </row>
        <row r="80">
          <cell r="A80" t="str">
            <v>Slovenia</v>
          </cell>
        </row>
        <row r="81">
          <cell r="A81" t="str">
            <v>Portugal</v>
          </cell>
          <cell r="B81">
            <v>0.79</v>
          </cell>
          <cell r="C81">
            <v>0.21</v>
          </cell>
        </row>
        <row r="82">
          <cell r="A82" t="str">
            <v>Hungary</v>
          </cell>
          <cell r="B82">
            <v>0.76</v>
          </cell>
          <cell r="C82">
            <v>0.24</v>
          </cell>
        </row>
        <row r="83">
          <cell r="A83" t="str">
            <v>Oman</v>
          </cell>
        </row>
        <row r="84">
          <cell r="A84" t="str">
            <v>El Salvador</v>
          </cell>
        </row>
        <row r="85">
          <cell r="A85" t="str">
            <v>Kosovo</v>
          </cell>
        </row>
        <row r="86">
          <cell r="A86" t="str">
            <v>Belgium</v>
          </cell>
          <cell r="B86">
            <v>0.78</v>
          </cell>
          <cell r="C86">
            <v>0.22</v>
          </cell>
        </row>
        <row r="87">
          <cell r="A87" t="str">
            <v>Fiji</v>
          </cell>
        </row>
        <row r="88">
          <cell r="A88" t="str">
            <v>Mongolia</v>
          </cell>
        </row>
        <row r="89">
          <cell r="A89" t="str">
            <v>Benin</v>
          </cell>
        </row>
        <row r="90">
          <cell r="A90" t="str">
            <v>Albania</v>
          </cell>
        </row>
        <row r="91">
          <cell r="A91" t="str">
            <v>Denmark</v>
          </cell>
          <cell r="B91">
            <v>0.6</v>
          </cell>
          <cell r="C91">
            <v>0.4</v>
          </cell>
        </row>
        <row r="92">
          <cell r="A92" t="str">
            <v>Maldives</v>
          </cell>
        </row>
        <row r="93">
          <cell r="A93" t="str">
            <v>Colombia</v>
          </cell>
          <cell r="B93">
            <v>0.91</v>
          </cell>
          <cell r="C93">
            <v>0.09</v>
          </cell>
        </row>
        <row r="94">
          <cell r="A94" t="str">
            <v>Bahrain</v>
          </cell>
        </row>
        <row r="95">
          <cell r="A95" t="str">
            <v>South Africa</v>
          </cell>
          <cell r="B95">
            <v>0.71</v>
          </cell>
          <cell r="C95">
            <v>0.28999999999999998</v>
          </cell>
        </row>
        <row r="96">
          <cell r="A96" t="str">
            <v>Spain</v>
          </cell>
          <cell r="B96">
            <v>0.86</v>
          </cell>
          <cell r="C96">
            <v>0.14000000000000001</v>
          </cell>
        </row>
        <row r="97">
          <cell r="A97" t="str">
            <v>Slovakia</v>
          </cell>
          <cell r="B97">
            <v>0.73</v>
          </cell>
          <cell r="C97">
            <v>0.27</v>
          </cell>
        </row>
        <row r="98">
          <cell r="A98" t="str">
            <v>Lebanon</v>
          </cell>
        </row>
        <row r="99">
          <cell r="A99" t="str">
            <v>Kenya</v>
          </cell>
          <cell r="B99">
            <v>0.69</v>
          </cell>
          <cell r="C99">
            <v>0.31</v>
          </cell>
        </row>
        <row r="100">
          <cell r="A100" t="str">
            <v>Malaysia</v>
          </cell>
          <cell r="B100">
            <v>0.67</v>
          </cell>
          <cell r="C100">
            <v>0.33</v>
          </cell>
        </row>
        <row r="101">
          <cell r="A101" t="str">
            <v>Trinidad &amp; Tobago</v>
          </cell>
        </row>
        <row r="102">
          <cell r="A102" t="str">
            <v>North Macedonia</v>
          </cell>
        </row>
        <row r="103">
          <cell r="A103" t="str">
            <v>Belarus</v>
          </cell>
          <cell r="B103">
            <v>0.55000000000000004</v>
          </cell>
          <cell r="C103">
            <v>0.45</v>
          </cell>
        </row>
        <row r="104">
          <cell r="A104" t="str">
            <v>CuraÃ§ao</v>
          </cell>
        </row>
        <row r="105">
          <cell r="A105" t="str">
            <v>Suriname</v>
          </cell>
        </row>
        <row r="106">
          <cell r="A106" t="str">
            <v>Latvia</v>
          </cell>
        </row>
        <row r="107">
          <cell r="A107" t="str">
            <v>Armenia</v>
          </cell>
        </row>
        <row r="108">
          <cell r="A108" t="str">
            <v>Bulgaria</v>
          </cell>
          <cell r="B108">
            <v>0.74</v>
          </cell>
          <cell r="C108">
            <v>0.26</v>
          </cell>
        </row>
        <row r="109">
          <cell r="A109" t="str">
            <v>Romania</v>
          </cell>
          <cell r="B109">
            <v>0.7</v>
          </cell>
          <cell r="C109">
            <v>0.3</v>
          </cell>
        </row>
        <row r="110">
          <cell r="A110" t="str">
            <v>Lithuania</v>
          </cell>
        </row>
        <row r="111">
          <cell r="A111" t="str">
            <v>Qatar</v>
          </cell>
        </row>
        <row r="112">
          <cell r="A112" t="str">
            <v>CÃ´te dâ€™Ivoire</v>
          </cell>
        </row>
        <row r="113">
          <cell r="A113" t="str">
            <v>Argentina</v>
          </cell>
          <cell r="B113">
            <v>0.91</v>
          </cell>
          <cell r="C113">
            <v>0.09</v>
          </cell>
        </row>
        <row r="114">
          <cell r="A114" t="str">
            <v>Dominican Republic</v>
          </cell>
        </row>
        <row r="115">
          <cell r="A115" t="str">
            <v>Croatia</v>
          </cell>
          <cell r="B115">
            <v>0.75</v>
          </cell>
          <cell r="C115">
            <v>0.25</v>
          </cell>
        </row>
        <row r="116">
          <cell r="A116" t="str">
            <v>Bangladesh</v>
          </cell>
          <cell r="B116">
            <v>0.66</v>
          </cell>
          <cell r="C116">
            <v>0.34</v>
          </cell>
        </row>
        <row r="117">
          <cell r="A117" t="str">
            <v>Mexico</v>
          </cell>
          <cell r="B117">
            <v>0.88</v>
          </cell>
          <cell r="C117">
            <v>0.12</v>
          </cell>
        </row>
        <row r="118">
          <cell r="A118" t="str">
            <v>France</v>
          </cell>
          <cell r="B118">
            <v>0.8</v>
          </cell>
          <cell r="C118">
            <v>0.2</v>
          </cell>
        </row>
        <row r="119">
          <cell r="A119" t="str">
            <v>Poland</v>
          </cell>
          <cell r="B119">
            <v>0.76</v>
          </cell>
          <cell r="C119">
            <v>0.24</v>
          </cell>
        </row>
        <row r="120">
          <cell r="A120" t="str">
            <v>Guatemala</v>
          </cell>
        </row>
        <row r="121">
          <cell r="A121" t="str">
            <v>Cambodia</v>
          </cell>
        </row>
        <row r="122">
          <cell r="A122" t="str">
            <v>Serbia</v>
          </cell>
          <cell r="B122">
            <v>0.62</v>
          </cell>
          <cell r="C122">
            <v>0.38</v>
          </cell>
        </row>
        <row r="123">
          <cell r="A123" t="str">
            <v>Morocco</v>
          </cell>
          <cell r="B123">
            <v>0.75</v>
          </cell>
          <cell r="C123">
            <v>0.25</v>
          </cell>
        </row>
        <row r="124">
          <cell r="A124" t="str">
            <v>Peru</v>
          </cell>
          <cell r="B124">
            <v>0.89</v>
          </cell>
          <cell r="C124">
            <v>0.11</v>
          </cell>
        </row>
        <row r="125">
          <cell r="A125" t="str">
            <v>Iran</v>
          </cell>
          <cell r="B125">
            <v>0.41</v>
          </cell>
          <cell r="C125">
            <v>0.59</v>
          </cell>
        </row>
        <row r="126">
          <cell r="A126" t="str">
            <v>Brazil</v>
          </cell>
          <cell r="B126">
            <v>0.86</v>
          </cell>
          <cell r="C126">
            <v>0.14000000000000001</v>
          </cell>
        </row>
        <row r="127">
          <cell r="A127" t="str">
            <v>Sudan</v>
          </cell>
        </row>
        <row r="128">
          <cell r="A128" t="str">
            <v>Italy</v>
          </cell>
          <cell r="B128">
            <v>0.83</v>
          </cell>
          <cell r="C128">
            <v>0.17</v>
          </cell>
        </row>
        <row r="129">
          <cell r="A129" t="str">
            <v>Libya</v>
          </cell>
        </row>
        <row r="130">
          <cell r="A130" t="str">
            <v>RÃ©union</v>
          </cell>
        </row>
        <row r="131">
          <cell r="A131" t="str">
            <v>Moldova</v>
          </cell>
        </row>
        <row r="132">
          <cell r="A132" t="str">
            <v>Martinique</v>
          </cell>
        </row>
        <row r="133">
          <cell r="A133" t="str">
            <v>Ukraine</v>
          </cell>
          <cell r="B133">
            <v>0.56000000000000005</v>
          </cell>
          <cell r="C133">
            <v>0.44</v>
          </cell>
        </row>
        <row r="134">
          <cell r="A134" t="str">
            <v>Tanzania</v>
          </cell>
        </row>
        <row r="135">
          <cell r="A135" t="str">
            <v>Nigeria</v>
          </cell>
          <cell r="B135">
            <v>0.65</v>
          </cell>
          <cell r="C135">
            <v>0.35</v>
          </cell>
        </row>
        <row r="136">
          <cell r="A136" t="str">
            <v>Montenegro</v>
          </cell>
        </row>
        <row r="137">
          <cell r="A137" t="str">
            <v>Algeria</v>
          </cell>
        </row>
        <row r="138">
          <cell r="A138" t="str">
            <v>Indonesia</v>
          </cell>
          <cell r="B138">
            <v>0.85</v>
          </cell>
          <cell r="C138">
            <v>0.15</v>
          </cell>
        </row>
        <row r="139">
          <cell r="A139" t="str">
            <v>Palestine</v>
          </cell>
        </row>
        <row r="140">
          <cell r="A140" t="str">
            <v>Barbados</v>
          </cell>
        </row>
        <row r="141">
          <cell r="A141" t="str">
            <v>Nicaragua</v>
          </cell>
        </row>
        <row r="142">
          <cell r="A142" t="str">
            <v>Yemen</v>
          </cell>
        </row>
        <row r="143">
          <cell r="A143" t="str">
            <v>Kazakhstan</v>
          </cell>
          <cell r="B143">
            <v>0.54</v>
          </cell>
          <cell r="C143">
            <v>0.46</v>
          </cell>
        </row>
        <row r="144">
          <cell r="A144" t="str">
            <v>Bahamas</v>
          </cell>
        </row>
        <row r="145">
          <cell r="A145" t="str">
            <v>Chile</v>
          </cell>
          <cell r="B145">
            <v>0.84</v>
          </cell>
          <cell r="C145">
            <v>0.16</v>
          </cell>
        </row>
        <row r="146">
          <cell r="A146" t="str">
            <v>Thailand</v>
          </cell>
          <cell r="B146">
            <v>0.69</v>
          </cell>
          <cell r="C146">
            <v>0.31</v>
          </cell>
        </row>
        <row r="147">
          <cell r="A147" t="str">
            <v>Guyana</v>
          </cell>
        </row>
        <row r="148">
          <cell r="A148" t="str">
            <v>Paraguay</v>
          </cell>
        </row>
        <row r="149">
          <cell r="A149" t="str">
            <v>Guam</v>
          </cell>
        </row>
        <row r="150">
          <cell r="A150" t="str">
            <v>Liberia</v>
          </cell>
        </row>
        <row r="151">
          <cell r="A151" t="str">
            <v>Puerto Rico</v>
          </cell>
        </row>
        <row r="152">
          <cell r="A152" t="str">
            <v>Greece</v>
          </cell>
          <cell r="B152">
            <v>0.62</v>
          </cell>
          <cell r="C152">
            <v>0.38</v>
          </cell>
        </row>
        <row r="153">
          <cell r="A153" t="str">
            <v>Jordan</v>
          </cell>
        </row>
        <row r="154">
          <cell r="A154" t="str">
            <v>Laos</v>
          </cell>
        </row>
        <row r="155">
          <cell r="A155" t="str">
            <v>Saudi Arabia</v>
          </cell>
          <cell r="B155">
            <v>0.77</v>
          </cell>
          <cell r="C155">
            <v>0.23</v>
          </cell>
        </row>
        <row r="156">
          <cell r="A156" t="str">
            <v>Syria</v>
          </cell>
        </row>
        <row r="157">
          <cell r="A157" t="str">
            <v>Vietnam</v>
          </cell>
          <cell r="B157">
            <v>0.74</v>
          </cell>
          <cell r="C157">
            <v>0.26</v>
          </cell>
        </row>
        <row r="158">
          <cell r="A158" t="str">
            <v>Bosnia &amp; Herzegovina</v>
          </cell>
        </row>
        <row r="159">
          <cell r="A159" t="str">
            <v>Turkmenistan</v>
          </cell>
        </row>
        <row r="160">
          <cell r="A160" t="str">
            <v>Kyrgyzstan</v>
          </cell>
        </row>
        <row r="161">
          <cell r="A161" t="str">
            <v>Azerbaijan</v>
          </cell>
        </row>
        <row r="162">
          <cell r="A162" t="str">
            <v>Haiti</v>
          </cell>
        </row>
        <row r="163">
          <cell r="A163" t="str">
            <v>Kuwait</v>
          </cell>
        </row>
        <row r="164">
          <cell r="A164" t="str">
            <v>Georgia</v>
          </cell>
        </row>
        <row r="165">
          <cell r="A165" t="str">
            <v>Burkina Faso</v>
          </cell>
        </row>
        <row r="166">
          <cell r="A166" t="str">
            <v>Guinea</v>
          </cell>
        </row>
        <row r="167">
          <cell r="A167" t="str">
            <v>Egypt</v>
          </cell>
          <cell r="B167">
            <v>0.65</v>
          </cell>
          <cell r="C167">
            <v>0.35</v>
          </cell>
        </row>
        <row r="168">
          <cell r="A168" t="str">
            <v>Mali</v>
          </cell>
        </row>
        <row r="169">
          <cell r="A169" t="str">
            <v>Venezuela</v>
          </cell>
        </row>
        <row r="170">
          <cell r="A170" t="str">
            <v>Turkey</v>
          </cell>
          <cell r="B170">
            <v>0.68</v>
          </cell>
          <cell r="C170">
            <v>0.32</v>
          </cell>
        </row>
        <row r="171">
          <cell r="A171" t="str">
            <v>Guadeloupe</v>
          </cell>
        </row>
        <row r="172">
          <cell r="A172" t="str">
            <v>Iraq</v>
          </cell>
        </row>
        <row r="173">
          <cell r="A173" t="str">
            <v>Eritrea</v>
          </cell>
        </row>
        <row r="174">
          <cell r="A174" t="str">
            <v>Tonga</v>
          </cell>
        </row>
        <row r="175">
          <cell r="A175" t="str">
            <v>Cook Islands</v>
          </cell>
        </row>
        <row r="176">
          <cell r="A176" t="str">
            <v>Marshall Islands</v>
          </cell>
        </row>
        <row r="177">
          <cell r="A177" t="str">
            <v>Palau</v>
          </cell>
        </row>
        <row r="178">
          <cell r="A178" t="str">
            <v>Guinea-Bissau</v>
          </cell>
        </row>
        <row r="179">
          <cell r="A179" t="str">
            <v>St. Pierre &amp; Miquelon</v>
          </cell>
        </row>
        <row r="180">
          <cell r="A180" t="str">
            <v>Vanuatu</v>
          </cell>
        </row>
        <row r="181">
          <cell r="A181" t="str">
            <v>Anguilla</v>
          </cell>
        </row>
        <row r="182">
          <cell r="A182" t="str">
            <v>Gibraltar</v>
          </cell>
        </row>
        <row r="183">
          <cell r="A183" t="str">
            <v>Central African Republic</v>
          </cell>
        </row>
        <row r="184">
          <cell r="A184" t="str">
            <v>SÃ£o TomÃ© &amp; PrÃ­ncipe</v>
          </cell>
        </row>
        <row r="185">
          <cell r="A185" t="str">
            <v>Monaco</v>
          </cell>
        </row>
        <row r="186">
          <cell r="A186" t="str">
            <v>St. BarthÃ©lemy</v>
          </cell>
        </row>
        <row r="187">
          <cell r="A187" t="str">
            <v>Comoros</v>
          </cell>
        </row>
        <row r="188">
          <cell r="A188" t="str">
            <v>Liechtenstein</v>
          </cell>
        </row>
        <row r="189">
          <cell r="A189" t="str">
            <v>Djibouti</v>
          </cell>
        </row>
        <row r="190">
          <cell r="A190" t="str">
            <v>Chad</v>
          </cell>
        </row>
        <row r="191">
          <cell r="A191" t="str">
            <v>Gambia</v>
          </cell>
        </row>
        <row r="192">
          <cell r="A192" t="str">
            <v>Ã…land Islands</v>
          </cell>
        </row>
        <row r="193">
          <cell r="A193" t="str">
            <v>South Sudan</v>
          </cell>
        </row>
        <row r="194">
          <cell r="A194" t="str">
            <v>British Virgin Islands</v>
          </cell>
        </row>
        <row r="195">
          <cell r="A195" t="str">
            <v>French Polynesia</v>
          </cell>
        </row>
        <row r="196">
          <cell r="A196" t="str">
            <v>Samoa</v>
          </cell>
        </row>
        <row r="197">
          <cell r="A197" t="str">
            <v>Sint Maarten</v>
          </cell>
        </row>
        <row r="198">
          <cell r="A198" t="str">
            <v>Caribbean Netherlands</v>
          </cell>
        </row>
        <row r="199">
          <cell r="A199" t="str">
            <v>Seychelles</v>
          </cell>
        </row>
        <row r="200">
          <cell r="A200" t="str">
            <v>Solomon Islands</v>
          </cell>
        </row>
        <row r="201">
          <cell r="A201" t="str">
            <v>Equatorial Guinea</v>
          </cell>
        </row>
        <row r="202">
          <cell r="A202" t="str">
            <v>Niger</v>
          </cell>
        </row>
        <row r="203">
          <cell r="A203" t="str">
            <v>Guernsey</v>
          </cell>
        </row>
        <row r="204">
          <cell r="A204" t="str">
            <v>U.S. Virgin Islands</v>
          </cell>
        </row>
        <row r="205">
          <cell r="A205" t="str">
            <v>Northern Mariana Islands</v>
          </cell>
        </row>
        <row r="206">
          <cell r="A206" t="str">
            <v>Congo - Brazzaville</v>
          </cell>
        </row>
        <row r="207">
          <cell r="A207" t="str">
            <v>Andorra</v>
          </cell>
        </row>
        <row r="208">
          <cell r="A208" t="str">
            <v>Mauritania</v>
          </cell>
        </row>
        <row r="209">
          <cell r="A209" t="str">
            <v>Grenada</v>
          </cell>
        </row>
        <row r="210">
          <cell r="A210" t="str">
            <v>Turks &amp; Caicos Islands</v>
          </cell>
        </row>
        <row r="211">
          <cell r="A211" t="str">
            <v>St. Vincent &amp; Grenadines</v>
          </cell>
        </row>
        <row r="212">
          <cell r="A212" t="str">
            <v>Gabon</v>
          </cell>
        </row>
        <row r="213">
          <cell r="A213" t="str">
            <v>Greenland</v>
          </cell>
        </row>
        <row r="214">
          <cell r="A214" t="str">
            <v>New Caledonia</v>
          </cell>
        </row>
        <row r="215">
          <cell r="A215" t="str">
            <v>San Marino</v>
          </cell>
        </row>
        <row r="216">
          <cell r="A216" t="str">
            <v>Bermuda</v>
          </cell>
        </row>
        <row r="217">
          <cell r="A217" t="str">
            <v>Mayotte</v>
          </cell>
        </row>
        <row r="218">
          <cell r="A218" t="str">
            <v>Faroe Islands</v>
          </cell>
        </row>
        <row r="219">
          <cell r="A219" t="str">
            <v>Cayman Islands</v>
          </cell>
        </row>
        <row r="220">
          <cell r="A220" t="str">
            <v>French Guiana</v>
          </cell>
        </row>
        <row r="221">
          <cell r="A221" t="str">
            <v>St. Lucia</v>
          </cell>
        </row>
        <row r="222">
          <cell r="A222" t="str">
            <v>Aruba</v>
          </cell>
        </row>
        <row r="223">
          <cell r="A223" t="str">
            <v>Timor-Leste</v>
          </cell>
        </row>
        <row r="224">
          <cell r="A224" t="str">
            <v>Belize</v>
          </cell>
        </row>
        <row r="225">
          <cell r="A225" t="str">
            <v>American Samoa</v>
          </cell>
        </row>
        <row r="226">
          <cell r="A226" t="str">
            <v>Antarctica</v>
          </cell>
        </row>
        <row r="227">
          <cell r="A227" t="str">
            <v>French Southern Territories</v>
          </cell>
        </row>
        <row r="228">
          <cell r="A228" t="str">
            <v>Antigua &amp; Barbuda</v>
          </cell>
        </row>
        <row r="229">
          <cell r="A229" t="str">
            <v>Bouvet Island</v>
          </cell>
        </row>
        <row r="230">
          <cell r="A230" t="str">
            <v>Cocos (Keeling) Islands</v>
          </cell>
        </row>
        <row r="231">
          <cell r="A231" t="str">
            <v>Christmas Island</v>
          </cell>
        </row>
        <row r="232">
          <cell r="A232" t="str">
            <v>Dominica</v>
          </cell>
        </row>
        <row r="233">
          <cell r="A233" t="str">
            <v>Western Sahara</v>
          </cell>
        </row>
        <row r="234">
          <cell r="A234" t="str">
            <v>Falkland Islands (Islas Malvinas)</v>
          </cell>
        </row>
        <row r="235">
          <cell r="A235" t="str">
            <v>Micronesia</v>
          </cell>
        </row>
        <row r="236">
          <cell r="A236" t="str">
            <v>Heard &amp; McDonald Islands</v>
          </cell>
        </row>
        <row r="237">
          <cell r="A237" t="str">
            <v>British Indian Ocean Territory</v>
          </cell>
        </row>
        <row r="238">
          <cell r="A238" t="str">
            <v>Kiribati</v>
          </cell>
        </row>
        <row r="239">
          <cell r="A239" t="str">
            <v>St. Kitts &amp; Nevis</v>
          </cell>
        </row>
        <row r="240">
          <cell r="A240" t="str">
            <v>St. Martin</v>
          </cell>
        </row>
        <row r="241">
          <cell r="A241" t="str">
            <v>Montserrat</v>
          </cell>
        </row>
        <row r="242">
          <cell r="A242" t="str">
            <v>Norfolk Island</v>
          </cell>
        </row>
        <row r="243">
          <cell r="A243" t="str">
            <v>Niue</v>
          </cell>
        </row>
        <row r="244">
          <cell r="A244" t="str">
            <v>Nauru</v>
          </cell>
        </row>
        <row r="245">
          <cell r="A245" t="str">
            <v>Pitcairn Islands</v>
          </cell>
        </row>
        <row r="246">
          <cell r="A246" t="str">
            <v>North Korea</v>
          </cell>
        </row>
        <row r="247">
          <cell r="A247" t="str">
            <v>South Georgia &amp; South Sandwich Islands</v>
          </cell>
        </row>
        <row r="248">
          <cell r="A248" t="str">
            <v>Svalbard &amp; Jan Mayen</v>
          </cell>
        </row>
        <row r="249">
          <cell r="A249" t="str">
            <v>Tokelau</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07)"/>
    </sheetNames>
    <sheetDataSet>
      <sheetData sheetId="0" refreshError="1">
        <row r="1">
          <cell r="A1" t="str">
            <v>Category: All categories</v>
          </cell>
        </row>
        <row r="3">
          <cell r="A3" t="str">
            <v>Country</v>
          </cell>
          <cell r="B3" t="str">
            <v>Finite-state machine: (2018)</v>
          </cell>
          <cell r="C3" t="str">
            <v>Computer vision: (2018)</v>
          </cell>
        </row>
        <row r="4">
          <cell r="A4" t="str">
            <v>Micronesia</v>
          </cell>
          <cell r="B4">
            <v>1</v>
          </cell>
        </row>
        <row r="5">
          <cell r="A5" t="str">
            <v>Guam</v>
          </cell>
          <cell r="B5">
            <v>1</v>
          </cell>
        </row>
        <row r="6">
          <cell r="A6" t="str">
            <v>China</v>
          </cell>
          <cell r="B6">
            <v>0.42</v>
          </cell>
          <cell r="C6">
            <v>0.57999999999999996</v>
          </cell>
        </row>
        <row r="7">
          <cell r="A7" t="str">
            <v>Maldives</v>
          </cell>
          <cell r="B7">
            <v>1</v>
          </cell>
        </row>
        <row r="8">
          <cell r="A8" t="str">
            <v>Fiji</v>
          </cell>
        </row>
        <row r="9">
          <cell r="A9" t="str">
            <v>Singapore</v>
          </cell>
          <cell r="B9">
            <v>0.71</v>
          </cell>
          <cell r="C9">
            <v>0.28999999999999998</v>
          </cell>
        </row>
        <row r="10">
          <cell r="A10" t="str">
            <v>Macao</v>
          </cell>
          <cell r="B10">
            <v>1</v>
          </cell>
        </row>
        <row r="11">
          <cell r="A11" t="str">
            <v>Israel</v>
          </cell>
          <cell r="B11">
            <v>0.65</v>
          </cell>
          <cell r="C11">
            <v>0.35</v>
          </cell>
        </row>
        <row r="12">
          <cell r="A12" t="str">
            <v>St. Helena</v>
          </cell>
          <cell r="B12">
            <v>0.61</v>
          </cell>
          <cell r="C12">
            <v>0.39</v>
          </cell>
        </row>
        <row r="13">
          <cell r="A13" t="str">
            <v>Ethiopia</v>
          </cell>
        </row>
        <row r="14">
          <cell r="A14" t="str">
            <v>Hong Kong</v>
          </cell>
          <cell r="B14">
            <v>0.59</v>
          </cell>
          <cell r="C14">
            <v>0.41</v>
          </cell>
        </row>
        <row r="15">
          <cell r="A15" t="str">
            <v>South Korea</v>
          </cell>
          <cell r="B15">
            <v>0.5</v>
          </cell>
          <cell r="C15">
            <v>0.5</v>
          </cell>
        </row>
        <row r="16">
          <cell r="A16" t="str">
            <v>Pakistan</v>
          </cell>
          <cell r="B16">
            <v>0.4</v>
          </cell>
          <cell r="C16">
            <v>0.6</v>
          </cell>
        </row>
        <row r="17">
          <cell r="A17" t="str">
            <v>Iceland</v>
          </cell>
        </row>
        <row r="18">
          <cell r="A18" t="str">
            <v>New Zealand</v>
          </cell>
          <cell r="B18">
            <v>0.69</v>
          </cell>
          <cell r="C18">
            <v>0.31</v>
          </cell>
        </row>
        <row r="19">
          <cell r="A19" t="str">
            <v>Sri Lanka</v>
          </cell>
          <cell r="B19">
            <v>0.41</v>
          </cell>
          <cell r="C19">
            <v>0.59</v>
          </cell>
        </row>
        <row r="20">
          <cell r="A20" t="str">
            <v>Tunisia</v>
          </cell>
          <cell r="B20">
            <v>0.56999999999999995</v>
          </cell>
          <cell r="C20">
            <v>0.43</v>
          </cell>
        </row>
        <row r="21">
          <cell r="A21" t="str">
            <v>India</v>
          </cell>
          <cell r="B21">
            <v>0.47</v>
          </cell>
          <cell r="C21">
            <v>0.53</v>
          </cell>
        </row>
        <row r="22">
          <cell r="A22" t="str">
            <v>Taiwan</v>
          </cell>
          <cell r="B22">
            <v>0.49</v>
          </cell>
          <cell r="C22">
            <v>0.51</v>
          </cell>
        </row>
        <row r="23">
          <cell r="A23" t="str">
            <v>Malaysia</v>
          </cell>
          <cell r="B23">
            <v>0.65</v>
          </cell>
          <cell r="C23">
            <v>0.35</v>
          </cell>
        </row>
        <row r="24">
          <cell r="A24" t="str">
            <v>Australia</v>
          </cell>
          <cell r="B24">
            <v>0.67</v>
          </cell>
          <cell r="C24">
            <v>0.33</v>
          </cell>
        </row>
        <row r="25">
          <cell r="A25" t="str">
            <v>United States</v>
          </cell>
          <cell r="B25">
            <v>0.57999999999999996</v>
          </cell>
          <cell r="C25">
            <v>0.42</v>
          </cell>
        </row>
        <row r="26">
          <cell r="A26" t="str">
            <v>Laos</v>
          </cell>
        </row>
        <row r="27">
          <cell r="A27" t="str">
            <v>Switzerland</v>
          </cell>
          <cell r="B27">
            <v>0.48</v>
          </cell>
          <cell r="C27">
            <v>0.52</v>
          </cell>
        </row>
        <row r="28">
          <cell r="A28" t="str">
            <v>United Kingdom</v>
          </cell>
          <cell r="B28">
            <v>0.66</v>
          </cell>
          <cell r="C28">
            <v>0.34</v>
          </cell>
        </row>
        <row r="29">
          <cell r="A29" t="str">
            <v>Canada</v>
          </cell>
          <cell r="B29">
            <v>0.55000000000000004</v>
          </cell>
          <cell r="C29">
            <v>0.45</v>
          </cell>
        </row>
        <row r="30">
          <cell r="A30" t="str">
            <v>Ireland</v>
          </cell>
          <cell r="B30">
            <v>0.53</v>
          </cell>
          <cell r="C30">
            <v>0.47</v>
          </cell>
        </row>
        <row r="31">
          <cell r="A31" t="str">
            <v>Bangladesh</v>
          </cell>
          <cell r="B31">
            <v>0.39</v>
          </cell>
          <cell r="C31">
            <v>0.61</v>
          </cell>
        </row>
        <row r="32">
          <cell r="A32" t="str">
            <v>Nepal</v>
          </cell>
        </row>
        <row r="33">
          <cell r="A33" t="str">
            <v>Norway</v>
          </cell>
          <cell r="B33">
            <v>0.68</v>
          </cell>
          <cell r="C33">
            <v>0.32</v>
          </cell>
        </row>
        <row r="34">
          <cell r="A34" t="str">
            <v>Croatia</v>
          </cell>
          <cell r="B34">
            <v>0.67</v>
          </cell>
          <cell r="C34">
            <v>0.33</v>
          </cell>
        </row>
        <row r="35">
          <cell r="A35" t="str">
            <v>Germany</v>
          </cell>
          <cell r="B35">
            <v>0.52</v>
          </cell>
          <cell r="C35">
            <v>0.48</v>
          </cell>
        </row>
        <row r="36">
          <cell r="A36" t="str">
            <v>Russia</v>
          </cell>
          <cell r="B36">
            <v>0.72</v>
          </cell>
          <cell r="C36">
            <v>0.28000000000000003</v>
          </cell>
        </row>
        <row r="37">
          <cell r="A37" t="str">
            <v>Slovenia</v>
          </cell>
        </row>
        <row r="38">
          <cell r="A38" t="str">
            <v>Syria</v>
          </cell>
          <cell r="C38">
            <v>1</v>
          </cell>
        </row>
        <row r="39">
          <cell r="A39" t="str">
            <v>Estonia</v>
          </cell>
        </row>
        <row r="40">
          <cell r="A40" t="str">
            <v>Romania</v>
          </cell>
          <cell r="B40">
            <v>0.64</v>
          </cell>
          <cell r="C40">
            <v>0.36</v>
          </cell>
        </row>
        <row r="41">
          <cell r="A41" t="str">
            <v>South Africa</v>
          </cell>
          <cell r="B41">
            <v>0.68</v>
          </cell>
          <cell r="C41">
            <v>0.32</v>
          </cell>
        </row>
        <row r="42">
          <cell r="A42" t="str">
            <v>Finland</v>
          </cell>
          <cell r="B42">
            <v>0.64</v>
          </cell>
          <cell r="C42">
            <v>0.36</v>
          </cell>
        </row>
        <row r="43">
          <cell r="A43" t="str">
            <v>Belarus</v>
          </cell>
          <cell r="B43">
            <v>0.69</v>
          </cell>
          <cell r="C43">
            <v>0.31</v>
          </cell>
        </row>
        <row r="44">
          <cell r="A44" t="str">
            <v>Serbia</v>
          </cell>
          <cell r="B44">
            <v>0.64</v>
          </cell>
          <cell r="C44">
            <v>0.36</v>
          </cell>
        </row>
        <row r="45">
          <cell r="A45" t="str">
            <v>Kenya</v>
          </cell>
        </row>
        <row r="46">
          <cell r="A46" t="str">
            <v>Slovakia</v>
          </cell>
          <cell r="B46">
            <v>0.69</v>
          </cell>
          <cell r="C46">
            <v>0.31</v>
          </cell>
        </row>
        <row r="47">
          <cell r="A47" t="str">
            <v>Austria</v>
          </cell>
          <cell r="B47">
            <v>0.55000000000000004</v>
          </cell>
          <cell r="C47">
            <v>0.45</v>
          </cell>
        </row>
        <row r="48">
          <cell r="A48" t="str">
            <v>Lebanon</v>
          </cell>
        </row>
        <row r="49">
          <cell r="A49" t="str">
            <v>Ghana</v>
          </cell>
        </row>
        <row r="50">
          <cell r="A50" t="str">
            <v>Czechia</v>
          </cell>
          <cell r="B50">
            <v>0.56000000000000005</v>
          </cell>
          <cell r="C50">
            <v>0.44</v>
          </cell>
        </row>
        <row r="51">
          <cell r="A51" t="str">
            <v>Latvia</v>
          </cell>
        </row>
        <row r="52">
          <cell r="A52" t="str">
            <v>Sweden</v>
          </cell>
          <cell r="B52">
            <v>0.56999999999999995</v>
          </cell>
          <cell r="C52">
            <v>0.43</v>
          </cell>
        </row>
        <row r="53">
          <cell r="A53" t="str">
            <v>Egypt</v>
          </cell>
          <cell r="B53">
            <v>0.28999999999999998</v>
          </cell>
          <cell r="C53">
            <v>0.71</v>
          </cell>
        </row>
        <row r="54">
          <cell r="A54" t="str">
            <v>Greece</v>
          </cell>
          <cell r="B54">
            <v>0.63</v>
          </cell>
          <cell r="C54">
            <v>0.37</v>
          </cell>
        </row>
        <row r="55">
          <cell r="A55" t="str">
            <v>Ukraine</v>
          </cell>
          <cell r="B55">
            <v>0.66</v>
          </cell>
          <cell r="C55">
            <v>0.34</v>
          </cell>
        </row>
        <row r="56">
          <cell r="A56" t="str">
            <v>Bulgaria</v>
          </cell>
        </row>
        <row r="57">
          <cell r="A57" t="str">
            <v>Portugal</v>
          </cell>
          <cell r="B57">
            <v>0.52</v>
          </cell>
          <cell r="C57">
            <v>0.48</v>
          </cell>
        </row>
        <row r="58">
          <cell r="A58" t="str">
            <v>Denmark</v>
          </cell>
          <cell r="B58">
            <v>0.54</v>
          </cell>
          <cell r="C58">
            <v>0.46</v>
          </cell>
        </row>
        <row r="59">
          <cell r="A59" t="str">
            <v>Kuwait</v>
          </cell>
        </row>
        <row r="60">
          <cell r="A60" t="str">
            <v>Mauritius</v>
          </cell>
        </row>
        <row r="61">
          <cell r="A61" t="str">
            <v>Ecuador</v>
          </cell>
          <cell r="B61">
            <v>0.37</v>
          </cell>
          <cell r="C61">
            <v>0.63</v>
          </cell>
        </row>
        <row r="62">
          <cell r="A62" t="str">
            <v>Lithuania</v>
          </cell>
        </row>
        <row r="63">
          <cell r="A63" t="str">
            <v>United Arab Emirates</v>
          </cell>
          <cell r="B63">
            <v>0.42</v>
          </cell>
          <cell r="C63">
            <v>0.57999999999999996</v>
          </cell>
        </row>
        <row r="64">
          <cell r="A64" t="str">
            <v>Spain</v>
          </cell>
          <cell r="B64">
            <v>0.28999999999999998</v>
          </cell>
          <cell r="C64">
            <v>0.71</v>
          </cell>
        </row>
        <row r="65">
          <cell r="A65" t="str">
            <v>Hungary</v>
          </cell>
          <cell r="B65">
            <v>0.71</v>
          </cell>
          <cell r="C65">
            <v>0.28999999999999998</v>
          </cell>
        </row>
        <row r="66">
          <cell r="A66" t="str">
            <v>Philippines</v>
          </cell>
          <cell r="B66">
            <v>0.55000000000000004</v>
          </cell>
          <cell r="C66">
            <v>0.45</v>
          </cell>
        </row>
        <row r="67">
          <cell r="A67" t="str">
            <v>Netherlands</v>
          </cell>
          <cell r="B67">
            <v>0.53</v>
          </cell>
          <cell r="C67">
            <v>0.47</v>
          </cell>
        </row>
        <row r="68">
          <cell r="A68" t="str">
            <v>Nigeria</v>
          </cell>
          <cell r="B68">
            <v>0.54</v>
          </cell>
          <cell r="C68">
            <v>0.46</v>
          </cell>
        </row>
        <row r="69">
          <cell r="A69" t="str">
            <v>Georgia</v>
          </cell>
        </row>
        <row r="70">
          <cell r="A70" t="str">
            <v>Vietnam</v>
          </cell>
          <cell r="B70">
            <v>0.37</v>
          </cell>
          <cell r="C70">
            <v>0.63</v>
          </cell>
        </row>
        <row r="71">
          <cell r="A71" t="str">
            <v>Bosnia &amp; Herzegovina</v>
          </cell>
        </row>
        <row r="72">
          <cell r="A72" t="str">
            <v>Belgium</v>
          </cell>
          <cell r="B72">
            <v>0.59</v>
          </cell>
          <cell r="C72">
            <v>0.41</v>
          </cell>
        </row>
        <row r="73">
          <cell r="A73" t="str">
            <v>Iran</v>
          </cell>
          <cell r="B73">
            <v>0.41</v>
          </cell>
          <cell r="C73">
            <v>0.59</v>
          </cell>
        </row>
        <row r="74">
          <cell r="A74" t="str">
            <v>Guatemala</v>
          </cell>
        </row>
        <row r="75">
          <cell r="A75" t="str">
            <v>Turkey</v>
          </cell>
          <cell r="B75">
            <v>0.73</v>
          </cell>
          <cell r="C75">
            <v>0.27</v>
          </cell>
        </row>
        <row r="76">
          <cell r="A76" t="str">
            <v>Mexico</v>
          </cell>
          <cell r="B76">
            <v>0.54</v>
          </cell>
          <cell r="C76">
            <v>0.46</v>
          </cell>
        </row>
        <row r="77">
          <cell r="A77" t="str">
            <v>Bolivia</v>
          </cell>
        </row>
        <row r="78">
          <cell r="A78" t="str">
            <v>Japan</v>
          </cell>
          <cell r="B78">
            <v>0.56999999999999995</v>
          </cell>
          <cell r="C78">
            <v>0.43</v>
          </cell>
        </row>
        <row r="79">
          <cell r="A79" t="str">
            <v>Iraq</v>
          </cell>
        </row>
        <row r="80">
          <cell r="A80" t="str">
            <v>Poland</v>
          </cell>
          <cell r="B80">
            <v>0.62</v>
          </cell>
          <cell r="C80">
            <v>0.38</v>
          </cell>
        </row>
        <row r="81">
          <cell r="A81" t="str">
            <v>Italy</v>
          </cell>
          <cell r="B81">
            <v>0.57999999999999996</v>
          </cell>
          <cell r="C81">
            <v>0.42</v>
          </cell>
        </row>
        <row r="82">
          <cell r="A82" t="str">
            <v>Algeria</v>
          </cell>
        </row>
        <row r="83">
          <cell r="A83" t="str">
            <v>Kazakhstan</v>
          </cell>
          <cell r="B83">
            <v>0.49</v>
          </cell>
          <cell r="C83">
            <v>0.51</v>
          </cell>
        </row>
        <row r="84">
          <cell r="A84" t="str">
            <v>Colombia</v>
          </cell>
          <cell r="B84">
            <v>0.49</v>
          </cell>
          <cell r="C84">
            <v>0.51</v>
          </cell>
        </row>
        <row r="85">
          <cell r="A85" t="str">
            <v>Indonesia</v>
          </cell>
          <cell r="B85">
            <v>0.59</v>
          </cell>
          <cell r="C85">
            <v>0.41</v>
          </cell>
        </row>
        <row r="86">
          <cell r="A86" t="str">
            <v>Peru</v>
          </cell>
          <cell r="B86">
            <v>0.51</v>
          </cell>
          <cell r="C86">
            <v>0.49</v>
          </cell>
        </row>
        <row r="87">
          <cell r="A87" t="str">
            <v>Costa Rica</v>
          </cell>
        </row>
        <row r="88">
          <cell r="A88" t="str">
            <v>France</v>
          </cell>
          <cell r="B88">
            <v>0.46</v>
          </cell>
          <cell r="C88">
            <v>0.54</v>
          </cell>
        </row>
        <row r="89">
          <cell r="A89" t="str">
            <v>Morocco</v>
          </cell>
          <cell r="B89">
            <v>0.51</v>
          </cell>
          <cell r="C89">
            <v>0.49</v>
          </cell>
        </row>
        <row r="90">
          <cell r="A90" t="str">
            <v>Thailand</v>
          </cell>
          <cell r="B90">
            <v>0.52</v>
          </cell>
          <cell r="C90">
            <v>0.48</v>
          </cell>
        </row>
        <row r="91">
          <cell r="A91" t="str">
            <v>Jordan</v>
          </cell>
        </row>
        <row r="92">
          <cell r="A92" t="str">
            <v>Saudi Arabia</v>
          </cell>
          <cell r="B92">
            <v>0.47</v>
          </cell>
          <cell r="C92">
            <v>0.53</v>
          </cell>
        </row>
        <row r="93">
          <cell r="A93" t="str">
            <v>El Salvador</v>
          </cell>
        </row>
        <row r="94">
          <cell r="A94" t="str">
            <v>Chile</v>
          </cell>
          <cell r="B94">
            <v>0.46</v>
          </cell>
          <cell r="C94">
            <v>0.54</v>
          </cell>
        </row>
        <row r="95">
          <cell r="A95" t="str">
            <v>Brazil</v>
          </cell>
          <cell r="B95">
            <v>0.51</v>
          </cell>
          <cell r="C95">
            <v>0.49</v>
          </cell>
        </row>
        <row r="96">
          <cell r="A96" t="str">
            <v>Argentina</v>
          </cell>
          <cell r="B96">
            <v>0.61</v>
          </cell>
          <cell r="C96">
            <v>0.39</v>
          </cell>
        </row>
        <row r="97">
          <cell r="A97" t="str">
            <v>Venezuela</v>
          </cell>
        </row>
        <row r="98">
          <cell r="A98" t="str">
            <v>Marshall Islands</v>
          </cell>
        </row>
        <row r="99">
          <cell r="A99" t="str">
            <v>Palau</v>
          </cell>
        </row>
        <row r="100">
          <cell r="A100" t="str">
            <v>Northern Mariana Islands</v>
          </cell>
        </row>
        <row r="101">
          <cell r="A101" t="str">
            <v>Tonga</v>
          </cell>
        </row>
        <row r="102">
          <cell r="A102" t="str">
            <v>Solomon Islands</v>
          </cell>
        </row>
        <row r="103">
          <cell r="A103" t="str">
            <v>Vanuatu</v>
          </cell>
        </row>
        <row r="104">
          <cell r="A104" t="str">
            <v>Samoa</v>
          </cell>
        </row>
        <row r="105">
          <cell r="A105" t="str">
            <v>St. Kitts &amp; Nevis</v>
          </cell>
        </row>
        <row r="106">
          <cell r="A106" t="str">
            <v>Ã…land Islands</v>
          </cell>
        </row>
        <row r="107">
          <cell r="A107" t="str">
            <v>Seychelles</v>
          </cell>
        </row>
        <row r="108">
          <cell r="A108" t="str">
            <v>Papua New Guinea</v>
          </cell>
        </row>
        <row r="109">
          <cell r="A109" t="str">
            <v>Liberia</v>
          </cell>
        </row>
        <row r="110">
          <cell r="A110" t="str">
            <v>Lesotho</v>
          </cell>
        </row>
        <row r="111">
          <cell r="A111" t="str">
            <v>Malta</v>
          </cell>
        </row>
        <row r="112">
          <cell r="A112" t="str">
            <v>Antigua &amp; Barbuda</v>
          </cell>
        </row>
        <row r="113">
          <cell r="A113" t="str">
            <v>St. Lucia</v>
          </cell>
        </row>
        <row r="114">
          <cell r="A114" t="str">
            <v>Bermuda</v>
          </cell>
        </row>
        <row r="115">
          <cell r="A115" t="str">
            <v>Isle of Man</v>
          </cell>
        </row>
        <row r="116">
          <cell r="A116" t="str">
            <v>Cuba</v>
          </cell>
        </row>
        <row r="117">
          <cell r="A117" t="str">
            <v>Zimbabwe</v>
          </cell>
        </row>
        <row r="118">
          <cell r="A118" t="str">
            <v>Aruba</v>
          </cell>
        </row>
        <row r="119">
          <cell r="A119" t="str">
            <v>North Macedonia</v>
          </cell>
        </row>
        <row r="120">
          <cell r="A120" t="str">
            <v>Myanmar (Burma)</v>
          </cell>
        </row>
        <row r="121">
          <cell r="A121" t="str">
            <v>CuraÃ§ao</v>
          </cell>
        </row>
        <row r="122">
          <cell r="A122" t="str">
            <v>Cyprus</v>
          </cell>
        </row>
        <row r="123">
          <cell r="A123" t="str">
            <v>Rwanda</v>
          </cell>
        </row>
        <row r="124">
          <cell r="A124" t="str">
            <v>Madagascar</v>
          </cell>
        </row>
        <row r="125">
          <cell r="A125" t="str">
            <v>Barbados</v>
          </cell>
        </row>
        <row r="126">
          <cell r="A126" t="str">
            <v>Luxembourg</v>
          </cell>
        </row>
        <row r="127">
          <cell r="A127" t="str">
            <v>Namibia</v>
          </cell>
        </row>
        <row r="128">
          <cell r="A128" t="str">
            <v>Turkmenistan</v>
          </cell>
        </row>
        <row r="129">
          <cell r="A129" t="str">
            <v>Benin</v>
          </cell>
        </row>
        <row r="130">
          <cell r="A130" t="str">
            <v>Malawi</v>
          </cell>
        </row>
        <row r="131">
          <cell r="A131" t="str">
            <v>Botswana</v>
          </cell>
        </row>
        <row r="132">
          <cell r="A132" t="str">
            <v>Cameroon</v>
          </cell>
        </row>
        <row r="133">
          <cell r="A133" t="str">
            <v>Cambodia</v>
          </cell>
        </row>
        <row r="134">
          <cell r="A134" t="str">
            <v>Brunei</v>
          </cell>
        </row>
        <row r="135">
          <cell r="A135" t="str">
            <v>Jersey</v>
          </cell>
        </row>
        <row r="136">
          <cell r="A136" t="str">
            <v>Afghanistan</v>
          </cell>
        </row>
        <row r="137">
          <cell r="A137" t="str">
            <v>Armenia</v>
          </cell>
        </row>
        <row r="138">
          <cell r="A138" t="str">
            <v>Uganda</v>
          </cell>
        </row>
        <row r="139">
          <cell r="A139" t="str">
            <v>Oman</v>
          </cell>
        </row>
        <row r="140">
          <cell r="A140" t="str">
            <v>Somalia</v>
          </cell>
        </row>
        <row r="141">
          <cell r="A141" t="str">
            <v>Trinidad &amp; Tobago</v>
          </cell>
        </row>
        <row r="142">
          <cell r="A142" t="str">
            <v>Angola</v>
          </cell>
        </row>
        <row r="143">
          <cell r="A143" t="str">
            <v>Mongolia</v>
          </cell>
        </row>
        <row r="144">
          <cell r="A144" t="str">
            <v>Sudan</v>
          </cell>
        </row>
        <row r="145">
          <cell r="A145" t="str">
            <v>Mali</v>
          </cell>
        </row>
        <row r="146">
          <cell r="A146" t="str">
            <v>Bahamas</v>
          </cell>
        </row>
        <row r="147">
          <cell r="A147" t="str">
            <v>Albania</v>
          </cell>
        </row>
        <row r="148">
          <cell r="A148" t="str">
            <v>Zambia</v>
          </cell>
        </row>
        <row r="149">
          <cell r="A149" t="str">
            <v>Burkina Faso</v>
          </cell>
        </row>
        <row r="150">
          <cell r="A150" t="str">
            <v>Tanzania</v>
          </cell>
        </row>
        <row r="151">
          <cell r="A151" t="str">
            <v>Palestine</v>
          </cell>
        </row>
        <row r="152">
          <cell r="A152" t="str">
            <v>Uzbekistan</v>
          </cell>
        </row>
        <row r="153">
          <cell r="A153" t="str">
            <v>Bahrain</v>
          </cell>
        </row>
        <row r="154">
          <cell r="A154" t="str">
            <v>Qatar</v>
          </cell>
        </row>
        <row r="155">
          <cell r="A155" t="str">
            <v>Tajikistan</v>
          </cell>
        </row>
        <row r="156">
          <cell r="A156" t="str">
            <v>Honduras</v>
          </cell>
        </row>
        <row r="157">
          <cell r="A157" t="str">
            <v>Azerbaijan</v>
          </cell>
        </row>
        <row r="158">
          <cell r="A158" t="str">
            <v>CÃ´te dâ€™Ivoire</v>
          </cell>
        </row>
        <row r="159">
          <cell r="A159" t="str">
            <v>Puerto Rico</v>
          </cell>
        </row>
        <row r="160">
          <cell r="A160" t="str">
            <v>Panama</v>
          </cell>
        </row>
        <row r="161">
          <cell r="A161" t="str">
            <v>Montenegro</v>
          </cell>
        </row>
        <row r="162">
          <cell r="A162" t="str">
            <v>Kosovo</v>
          </cell>
        </row>
        <row r="163">
          <cell r="A163" t="str">
            <v>Libya</v>
          </cell>
        </row>
        <row r="164">
          <cell r="A164" t="str">
            <v>Jamaica</v>
          </cell>
        </row>
        <row r="165">
          <cell r="A165" t="str">
            <v>Moldova</v>
          </cell>
        </row>
        <row r="166">
          <cell r="A166" t="str">
            <v>Mozambique</v>
          </cell>
        </row>
        <row r="167">
          <cell r="A167" t="str">
            <v>Congo - Kinshasa</v>
          </cell>
        </row>
        <row r="168">
          <cell r="A168" t="str">
            <v>Kyrgyzstan</v>
          </cell>
        </row>
        <row r="169">
          <cell r="A169" t="str">
            <v>Paraguay</v>
          </cell>
        </row>
        <row r="170">
          <cell r="A170" t="str">
            <v>Nicaragua</v>
          </cell>
        </row>
        <row r="171">
          <cell r="A171" t="str">
            <v>Uruguay</v>
          </cell>
        </row>
        <row r="172">
          <cell r="A172" t="str">
            <v>Yemen</v>
          </cell>
        </row>
        <row r="173">
          <cell r="A173" t="str">
            <v>Dominican Republic</v>
          </cell>
        </row>
        <row r="174">
          <cell r="A174" t="str">
            <v>Anguilla</v>
          </cell>
        </row>
        <row r="175">
          <cell r="A175" t="str">
            <v>Andorra</v>
          </cell>
        </row>
        <row r="176">
          <cell r="A176" t="str">
            <v>American Samoa</v>
          </cell>
        </row>
        <row r="177">
          <cell r="A177" t="str">
            <v>Antarctica</v>
          </cell>
        </row>
        <row r="178">
          <cell r="A178" t="str">
            <v>French Southern Territories</v>
          </cell>
        </row>
        <row r="179">
          <cell r="A179" t="str">
            <v>Burundi</v>
          </cell>
        </row>
        <row r="180">
          <cell r="A180" t="str">
            <v>Caribbean Netherlands</v>
          </cell>
        </row>
        <row r="181">
          <cell r="A181" t="str">
            <v>St. BarthÃ©lemy</v>
          </cell>
        </row>
        <row r="182">
          <cell r="A182" t="str">
            <v>Belize</v>
          </cell>
        </row>
        <row r="183">
          <cell r="A183" t="str">
            <v>Bhutan</v>
          </cell>
        </row>
        <row r="184">
          <cell r="A184" t="str">
            <v>Bouvet Island</v>
          </cell>
        </row>
        <row r="185">
          <cell r="A185" t="str">
            <v>Central African Republic</v>
          </cell>
        </row>
        <row r="186">
          <cell r="A186" t="str">
            <v>Cocos (Keeling) Islands</v>
          </cell>
        </row>
        <row r="187">
          <cell r="A187" t="str">
            <v>Congo - Brazzaville</v>
          </cell>
        </row>
        <row r="188">
          <cell r="A188" t="str">
            <v>Cook Islands</v>
          </cell>
        </row>
        <row r="189">
          <cell r="A189" t="str">
            <v>Comoros</v>
          </cell>
        </row>
        <row r="190">
          <cell r="A190" t="str">
            <v>Cape Verde</v>
          </cell>
        </row>
        <row r="191">
          <cell r="A191" t="str">
            <v>Christmas Island</v>
          </cell>
        </row>
        <row r="192">
          <cell r="A192" t="str">
            <v>Cayman Islands</v>
          </cell>
        </row>
        <row r="193">
          <cell r="A193" t="str">
            <v>Djibouti</v>
          </cell>
        </row>
        <row r="194">
          <cell r="A194" t="str">
            <v>Dominica</v>
          </cell>
        </row>
        <row r="195">
          <cell r="A195" t="str">
            <v>Eritrea</v>
          </cell>
        </row>
        <row r="196">
          <cell r="A196" t="str">
            <v>Western Sahara</v>
          </cell>
        </row>
        <row r="197">
          <cell r="A197" t="str">
            <v>Falkland Islands (Islas Malvinas)</v>
          </cell>
        </row>
        <row r="198">
          <cell r="A198" t="str">
            <v>Faroe Islands</v>
          </cell>
        </row>
        <row r="199">
          <cell r="A199" t="str">
            <v>Gabon</v>
          </cell>
        </row>
        <row r="200">
          <cell r="A200" t="str">
            <v>Guernsey</v>
          </cell>
        </row>
        <row r="201">
          <cell r="A201" t="str">
            <v>Gibraltar</v>
          </cell>
        </row>
        <row r="202">
          <cell r="A202" t="str">
            <v>Guinea</v>
          </cell>
        </row>
        <row r="203">
          <cell r="A203" t="str">
            <v>Guadeloupe</v>
          </cell>
        </row>
        <row r="204">
          <cell r="A204" t="str">
            <v>Gambia</v>
          </cell>
        </row>
        <row r="205">
          <cell r="A205" t="str">
            <v>Guinea-Bissau</v>
          </cell>
        </row>
        <row r="206">
          <cell r="A206" t="str">
            <v>Equatorial Guinea</v>
          </cell>
        </row>
        <row r="207">
          <cell r="A207" t="str">
            <v>Grenada</v>
          </cell>
        </row>
        <row r="208">
          <cell r="A208" t="str">
            <v>Greenland</v>
          </cell>
        </row>
        <row r="209">
          <cell r="A209" t="str">
            <v>French Guiana</v>
          </cell>
        </row>
        <row r="210">
          <cell r="A210" t="str">
            <v>Guyana</v>
          </cell>
        </row>
        <row r="211">
          <cell r="A211" t="str">
            <v>Heard &amp; McDonald Islands</v>
          </cell>
        </row>
        <row r="212">
          <cell r="A212" t="str">
            <v>Haiti</v>
          </cell>
        </row>
        <row r="213">
          <cell r="A213" t="str">
            <v>British Indian Ocean Territory</v>
          </cell>
        </row>
        <row r="214">
          <cell r="A214" t="str">
            <v>Kiribati</v>
          </cell>
        </row>
        <row r="215">
          <cell r="A215" t="str">
            <v>Liechtenstein</v>
          </cell>
        </row>
        <row r="216">
          <cell r="A216" t="str">
            <v>St. Martin</v>
          </cell>
        </row>
        <row r="217">
          <cell r="A217" t="str">
            <v>Monaco</v>
          </cell>
        </row>
        <row r="218">
          <cell r="A218" t="str">
            <v>Mauritania</v>
          </cell>
        </row>
        <row r="219">
          <cell r="A219" t="str">
            <v>Montserrat</v>
          </cell>
        </row>
        <row r="220">
          <cell r="A220" t="str">
            <v>Martinique</v>
          </cell>
        </row>
        <row r="221">
          <cell r="A221" t="str">
            <v>Mayotte</v>
          </cell>
        </row>
        <row r="222">
          <cell r="A222" t="str">
            <v>New Caledonia</v>
          </cell>
        </row>
        <row r="223">
          <cell r="A223" t="str">
            <v>Niger</v>
          </cell>
        </row>
        <row r="224">
          <cell r="A224" t="str">
            <v>Norfolk Island</v>
          </cell>
        </row>
        <row r="225">
          <cell r="A225" t="str">
            <v>Niue</v>
          </cell>
        </row>
        <row r="226">
          <cell r="A226" t="str">
            <v>Nauru</v>
          </cell>
        </row>
        <row r="227">
          <cell r="A227" t="str">
            <v>Pitcairn Islands</v>
          </cell>
        </row>
        <row r="228">
          <cell r="A228" t="str">
            <v>North Korea</v>
          </cell>
        </row>
        <row r="229">
          <cell r="A229" t="str">
            <v>French Polynesia</v>
          </cell>
        </row>
        <row r="230">
          <cell r="A230" t="str">
            <v>RÃ©union</v>
          </cell>
        </row>
        <row r="231">
          <cell r="A231" t="str">
            <v>Senegal</v>
          </cell>
        </row>
        <row r="232">
          <cell r="A232" t="str">
            <v>South Georgia &amp; South Sandwich Islands</v>
          </cell>
        </row>
        <row r="233">
          <cell r="A233" t="str">
            <v>Svalbard &amp; Jan Mayen</v>
          </cell>
        </row>
        <row r="234">
          <cell r="A234" t="str">
            <v>Sierra Leone</v>
          </cell>
        </row>
        <row r="235">
          <cell r="A235" t="str">
            <v>San Marino</v>
          </cell>
        </row>
        <row r="236">
          <cell r="A236" t="str">
            <v>St. Pierre &amp; Miquelon</v>
          </cell>
        </row>
        <row r="237">
          <cell r="A237" t="str">
            <v>South Sudan</v>
          </cell>
        </row>
        <row r="238">
          <cell r="A238" t="str">
            <v>SÃ£o TomÃ© &amp; PrÃ­ncipe</v>
          </cell>
        </row>
        <row r="239">
          <cell r="A239" t="str">
            <v>Suriname</v>
          </cell>
        </row>
        <row r="240">
          <cell r="A240" t="str">
            <v>Eswatini</v>
          </cell>
        </row>
        <row r="241">
          <cell r="A241" t="str">
            <v>Sint Maarten</v>
          </cell>
        </row>
        <row r="242">
          <cell r="A242" t="str">
            <v>Turks &amp; Caicos Islands</v>
          </cell>
        </row>
        <row r="243">
          <cell r="A243" t="str">
            <v>Chad</v>
          </cell>
        </row>
        <row r="244">
          <cell r="A244" t="str">
            <v>Togo</v>
          </cell>
        </row>
        <row r="245">
          <cell r="A245" t="str">
            <v>Tokelau</v>
          </cell>
        </row>
        <row r="246">
          <cell r="A246" t="str">
            <v>Timor-Leste</v>
          </cell>
        </row>
        <row r="247">
          <cell r="A247" t="str">
            <v>Tuvalu</v>
          </cell>
        </row>
        <row r="248">
          <cell r="A248" t="str">
            <v>U.S. Outlying Islands</v>
          </cell>
        </row>
        <row r="249">
          <cell r="A249" t="str">
            <v>Vatican City</v>
          </cell>
        </row>
        <row r="250">
          <cell r="A250" t="str">
            <v>St. Vincent &amp; Grenadines</v>
          </cell>
        </row>
        <row r="251">
          <cell r="A251" t="str">
            <v>British Virgin Islands</v>
          </cell>
        </row>
        <row r="252">
          <cell r="A252" t="str">
            <v>U.S. Virgin Islands</v>
          </cell>
        </row>
        <row r="253">
          <cell r="A253" t="str">
            <v>Wallis &amp; Futuna</v>
          </cell>
        </row>
      </sheetData>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16)"/>
    </sheetNames>
    <sheetDataSet>
      <sheetData sheetId="0" refreshError="1">
        <row r="1">
          <cell r="A1" t="str">
            <v>Category: All categories</v>
          </cell>
        </row>
        <row r="3">
          <cell r="A3" t="str">
            <v>Country</v>
          </cell>
          <cell r="B3" t="str">
            <v>Finite-state machine: (2018)</v>
          </cell>
          <cell r="C3" t="str">
            <v>Image segmentation: (2018)</v>
          </cell>
        </row>
        <row r="4">
          <cell r="A4" t="str">
            <v>Micronesia</v>
          </cell>
          <cell r="B4">
            <v>1</v>
          </cell>
        </row>
        <row r="5">
          <cell r="A5" t="str">
            <v>Guam</v>
          </cell>
          <cell r="B5">
            <v>1</v>
          </cell>
        </row>
        <row r="6">
          <cell r="A6" t="str">
            <v>China</v>
          </cell>
          <cell r="B6">
            <v>0.53</v>
          </cell>
          <cell r="C6">
            <v>0.47</v>
          </cell>
        </row>
        <row r="7">
          <cell r="A7" t="str">
            <v>Maldives</v>
          </cell>
          <cell r="B7">
            <v>1</v>
          </cell>
        </row>
        <row r="8">
          <cell r="A8" t="str">
            <v>Fiji</v>
          </cell>
        </row>
        <row r="9">
          <cell r="A9" t="str">
            <v>Singapore</v>
          </cell>
          <cell r="B9">
            <v>0.83</v>
          </cell>
          <cell r="C9">
            <v>0.17</v>
          </cell>
        </row>
        <row r="10">
          <cell r="A10" t="str">
            <v>Macao</v>
          </cell>
          <cell r="B10">
            <v>1</v>
          </cell>
        </row>
        <row r="11">
          <cell r="A11" t="str">
            <v>Israel</v>
          </cell>
          <cell r="B11">
            <v>0.78</v>
          </cell>
          <cell r="C11">
            <v>0.22</v>
          </cell>
        </row>
        <row r="12">
          <cell r="A12" t="str">
            <v>St. Helena</v>
          </cell>
          <cell r="B12">
            <v>0.78</v>
          </cell>
          <cell r="C12">
            <v>0.22</v>
          </cell>
        </row>
        <row r="13">
          <cell r="A13" t="str">
            <v>Hong Kong</v>
          </cell>
          <cell r="B13">
            <v>0.77</v>
          </cell>
          <cell r="C13">
            <v>0.23</v>
          </cell>
        </row>
        <row r="14">
          <cell r="A14" t="str">
            <v>South Korea</v>
          </cell>
          <cell r="B14">
            <v>0.69</v>
          </cell>
          <cell r="C14">
            <v>0.31</v>
          </cell>
        </row>
        <row r="15">
          <cell r="A15" t="str">
            <v>Ethiopia</v>
          </cell>
        </row>
        <row r="16">
          <cell r="A16" t="str">
            <v>Iceland</v>
          </cell>
        </row>
        <row r="17">
          <cell r="A17" t="str">
            <v>New Zealand</v>
          </cell>
          <cell r="B17">
            <v>0.85</v>
          </cell>
          <cell r="C17">
            <v>0.15</v>
          </cell>
        </row>
        <row r="18">
          <cell r="A18" t="str">
            <v>Pakistan</v>
          </cell>
          <cell r="B18">
            <v>0.64</v>
          </cell>
          <cell r="C18">
            <v>0.36</v>
          </cell>
        </row>
        <row r="19">
          <cell r="A19" t="str">
            <v>Tunisia</v>
          </cell>
          <cell r="B19">
            <v>0.7</v>
          </cell>
          <cell r="C19">
            <v>0.3</v>
          </cell>
        </row>
        <row r="20">
          <cell r="A20" t="str">
            <v>Malaysia</v>
          </cell>
          <cell r="B20">
            <v>0.7</v>
          </cell>
          <cell r="C20">
            <v>0.3</v>
          </cell>
        </row>
        <row r="21">
          <cell r="A21" t="str">
            <v>Australia</v>
          </cell>
          <cell r="B21">
            <v>0.78</v>
          </cell>
          <cell r="C21">
            <v>0.22</v>
          </cell>
        </row>
        <row r="22">
          <cell r="A22" t="str">
            <v>United States</v>
          </cell>
          <cell r="B22">
            <v>0.78</v>
          </cell>
          <cell r="C22">
            <v>0.22</v>
          </cell>
        </row>
        <row r="23">
          <cell r="A23" t="str">
            <v>Taiwan</v>
          </cell>
          <cell r="B23">
            <v>0.79</v>
          </cell>
          <cell r="C23">
            <v>0.21</v>
          </cell>
        </row>
        <row r="24">
          <cell r="A24" t="str">
            <v>United Kingdom</v>
          </cell>
          <cell r="B24">
            <v>0.83</v>
          </cell>
          <cell r="C24">
            <v>0.17</v>
          </cell>
        </row>
        <row r="25">
          <cell r="A25" t="str">
            <v>India</v>
          </cell>
          <cell r="B25">
            <v>0.59</v>
          </cell>
          <cell r="C25">
            <v>0.41</v>
          </cell>
        </row>
        <row r="26">
          <cell r="A26" t="str">
            <v>Canada</v>
          </cell>
          <cell r="B26">
            <v>0.76</v>
          </cell>
          <cell r="C26">
            <v>0.24</v>
          </cell>
        </row>
        <row r="27">
          <cell r="A27" t="str">
            <v>Ireland</v>
          </cell>
          <cell r="B27">
            <v>0.76</v>
          </cell>
          <cell r="C27">
            <v>0.24</v>
          </cell>
        </row>
        <row r="28">
          <cell r="A28" t="str">
            <v>Switzerland</v>
          </cell>
          <cell r="B28">
            <v>0.68</v>
          </cell>
          <cell r="C28">
            <v>0.32</v>
          </cell>
        </row>
        <row r="29">
          <cell r="A29" t="str">
            <v>Nepal</v>
          </cell>
        </row>
        <row r="30">
          <cell r="A30" t="str">
            <v>Norway</v>
          </cell>
          <cell r="B30">
            <v>0.82</v>
          </cell>
          <cell r="C30">
            <v>0.18</v>
          </cell>
        </row>
        <row r="31">
          <cell r="A31" t="str">
            <v>Sri Lanka</v>
          </cell>
          <cell r="B31">
            <v>0.82</v>
          </cell>
          <cell r="C31">
            <v>0.18</v>
          </cell>
        </row>
        <row r="32">
          <cell r="A32" t="str">
            <v>Croatia</v>
          </cell>
          <cell r="B32">
            <v>1</v>
          </cell>
        </row>
        <row r="33">
          <cell r="A33" t="str">
            <v>Germany</v>
          </cell>
          <cell r="B33">
            <v>0.72</v>
          </cell>
          <cell r="C33">
            <v>0.28000000000000003</v>
          </cell>
        </row>
        <row r="34">
          <cell r="A34" t="str">
            <v>Russia</v>
          </cell>
          <cell r="B34">
            <v>0.91</v>
          </cell>
          <cell r="C34">
            <v>0.09</v>
          </cell>
        </row>
        <row r="35">
          <cell r="A35" t="str">
            <v>Slovenia</v>
          </cell>
          <cell r="B35">
            <v>1</v>
          </cell>
        </row>
        <row r="36">
          <cell r="A36" t="str">
            <v>Estonia</v>
          </cell>
        </row>
        <row r="37">
          <cell r="A37" t="str">
            <v>Romania</v>
          </cell>
          <cell r="B37">
            <v>0.77</v>
          </cell>
          <cell r="C37">
            <v>0.23</v>
          </cell>
        </row>
        <row r="38">
          <cell r="A38" t="str">
            <v>South Africa</v>
          </cell>
          <cell r="B38">
            <v>0.84</v>
          </cell>
          <cell r="C38">
            <v>0.16</v>
          </cell>
        </row>
        <row r="39">
          <cell r="A39" t="str">
            <v>Finland</v>
          </cell>
          <cell r="B39">
            <v>0.8</v>
          </cell>
          <cell r="C39">
            <v>0.2</v>
          </cell>
        </row>
        <row r="40">
          <cell r="A40" t="str">
            <v>Belarus</v>
          </cell>
        </row>
        <row r="41">
          <cell r="A41" t="str">
            <v>Serbia</v>
          </cell>
          <cell r="B41">
            <v>1</v>
          </cell>
        </row>
        <row r="42">
          <cell r="A42" t="str">
            <v>Kenya</v>
          </cell>
          <cell r="B42">
            <v>1</v>
          </cell>
        </row>
        <row r="43">
          <cell r="A43" t="str">
            <v>Slovakia</v>
          </cell>
          <cell r="B43">
            <v>1</v>
          </cell>
        </row>
        <row r="44">
          <cell r="A44" t="str">
            <v>Austria</v>
          </cell>
          <cell r="B44">
            <v>0.68</v>
          </cell>
          <cell r="C44">
            <v>0.32</v>
          </cell>
        </row>
        <row r="45">
          <cell r="A45" t="str">
            <v>Netherlands</v>
          </cell>
          <cell r="B45">
            <v>0.45</v>
          </cell>
          <cell r="C45">
            <v>0.55000000000000004</v>
          </cell>
        </row>
        <row r="46">
          <cell r="A46" t="str">
            <v>Ghana</v>
          </cell>
        </row>
        <row r="47">
          <cell r="A47" t="str">
            <v>Czechia</v>
          </cell>
          <cell r="B47">
            <v>0.78</v>
          </cell>
          <cell r="C47">
            <v>0.22</v>
          </cell>
        </row>
        <row r="48">
          <cell r="A48" t="str">
            <v>Latvia</v>
          </cell>
        </row>
        <row r="49">
          <cell r="A49" t="str">
            <v>Sweden</v>
          </cell>
          <cell r="B49">
            <v>0.79</v>
          </cell>
          <cell r="C49">
            <v>0.21</v>
          </cell>
        </row>
        <row r="50">
          <cell r="A50" t="str">
            <v>Greece</v>
          </cell>
          <cell r="B50">
            <v>0.82</v>
          </cell>
          <cell r="C50">
            <v>0.18</v>
          </cell>
        </row>
        <row r="51">
          <cell r="A51" t="str">
            <v>Ukraine</v>
          </cell>
          <cell r="B51">
            <v>0.88</v>
          </cell>
          <cell r="C51">
            <v>0.12</v>
          </cell>
        </row>
        <row r="52">
          <cell r="A52" t="str">
            <v>Bulgaria</v>
          </cell>
          <cell r="B52">
            <v>1</v>
          </cell>
        </row>
        <row r="53">
          <cell r="A53" t="str">
            <v>Portugal</v>
          </cell>
          <cell r="B53">
            <v>0.82</v>
          </cell>
          <cell r="C53">
            <v>0.18</v>
          </cell>
        </row>
        <row r="54">
          <cell r="A54" t="str">
            <v>Denmark</v>
          </cell>
          <cell r="B54">
            <v>0.78</v>
          </cell>
          <cell r="C54">
            <v>0.22</v>
          </cell>
        </row>
        <row r="55">
          <cell r="A55" t="str">
            <v>Kuwait</v>
          </cell>
        </row>
        <row r="56">
          <cell r="A56" t="str">
            <v>Bangladesh</v>
          </cell>
          <cell r="B56">
            <v>0.55000000000000004</v>
          </cell>
          <cell r="C56">
            <v>0.45</v>
          </cell>
        </row>
        <row r="57">
          <cell r="A57" t="str">
            <v>Lithuania</v>
          </cell>
        </row>
        <row r="58">
          <cell r="A58" t="str">
            <v>Hungary</v>
          </cell>
          <cell r="B58">
            <v>0.91</v>
          </cell>
          <cell r="C58">
            <v>0.09</v>
          </cell>
        </row>
        <row r="59">
          <cell r="A59" t="str">
            <v>Philippines</v>
          </cell>
          <cell r="B59">
            <v>0.75</v>
          </cell>
          <cell r="C59">
            <v>0.25</v>
          </cell>
        </row>
        <row r="60">
          <cell r="A60" t="str">
            <v>Nigeria</v>
          </cell>
          <cell r="B60">
            <v>0.75</v>
          </cell>
          <cell r="C60">
            <v>0.25</v>
          </cell>
        </row>
        <row r="61">
          <cell r="A61" t="str">
            <v>Georgia</v>
          </cell>
        </row>
        <row r="62">
          <cell r="A62" t="str">
            <v>Bosnia &amp; Herzegovina</v>
          </cell>
        </row>
        <row r="63">
          <cell r="A63" t="str">
            <v>Belgium</v>
          </cell>
          <cell r="B63">
            <v>0.59</v>
          </cell>
          <cell r="C63">
            <v>0.41</v>
          </cell>
        </row>
        <row r="64">
          <cell r="A64" t="str">
            <v>Mauritius</v>
          </cell>
        </row>
        <row r="65">
          <cell r="A65" t="str">
            <v>Iraq</v>
          </cell>
        </row>
        <row r="66">
          <cell r="A66" t="str">
            <v>Guatemala</v>
          </cell>
        </row>
        <row r="67">
          <cell r="A67" t="str">
            <v>Turkey</v>
          </cell>
          <cell r="B67">
            <v>0.87</v>
          </cell>
          <cell r="C67">
            <v>0.13</v>
          </cell>
        </row>
        <row r="68">
          <cell r="A68" t="str">
            <v>Tanzania</v>
          </cell>
        </row>
        <row r="69">
          <cell r="A69" t="str">
            <v>Mexico</v>
          </cell>
          <cell r="B69">
            <v>0.93</v>
          </cell>
          <cell r="C69">
            <v>7.0000000000000007E-2</v>
          </cell>
        </row>
        <row r="70">
          <cell r="A70" t="str">
            <v>Lebanon</v>
          </cell>
        </row>
        <row r="71">
          <cell r="A71" t="str">
            <v>Japan</v>
          </cell>
          <cell r="B71">
            <v>0.74</v>
          </cell>
          <cell r="C71">
            <v>0.26</v>
          </cell>
        </row>
        <row r="72">
          <cell r="A72" t="str">
            <v>United Arab Emirates</v>
          </cell>
          <cell r="B72">
            <v>0.66</v>
          </cell>
          <cell r="C72">
            <v>0.34</v>
          </cell>
        </row>
        <row r="73">
          <cell r="A73" t="str">
            <v>Uzbekistan</v>
          </cell>
        </row>
        <row r="74">
          <cell r="A74" t="str">
            <v>Bolivia</v>
          </cell>
        </row>
        <row r="75">
          <cell r="A75" t="str">
            <v>Algeria</v>
          </cell>
        </row>
        <row r="76">
          <cell r="A76" t="str">
            <v>Iran</v>
          </cell>
          <cell r="B76">
            <v>0.47</v>
          </cell>
          <cell r="C76">
            <v>0.53</v>
          </cell>
        </row>
        <row r="77">
          <cell r="A77" t="str">
            <v>Poland</v>
          </cell>
          <cell r="B77">
            <v>0.81</v>
          </cell>
          <cell r="C77">
            <v>0.19</v>
          </cell>
        </row>
        <row r="78">
          <cell r="A78" t="str">
            <v>Egypt</v>
          </cell>
          <cell r="B78">
            <v>0.42</v>
          </cell>
          <cell r="C78">
            <v>0.57999999999999996</v>
          </cell>
        </row>
        <row r="79">
          <cell r="A79" t="str">
            <v>Italy</v>
          </cell>
          <cell r="B79">
            <v>0.81</v>
          </cell>
          <cell r="C79">
            <v>0.19</v>
          </cell>
        </row>
        <row r="80">
          <cell r="A80" t="str">
            <v>Indonesia</v>
          </cell>
          <cell r="B80">
            <v>0.85</v>
          </cell>
          <cell r="C80">
            <v>0.15</v>
          </cell>
        </row>
        <row r="81">
          <cell r="A81" t="str">
            <v>Colombia</v>
          </cell>
          <cell r="B81">
            <v>0.86</v>
          </cell>
          <cell r="C81">
            <v>0.14000000000000001</v>
          </cell>
        </row>
        <row r="82">
          <cell r="A82" t="str">
            <v>Ecuador</v>
          </cell>
          <cell r="B82">
            <v>1</v>
          </cell>
        </row>
        <row r="83">
          <cell r="A83" t="str">
            <v>Kazakhstan</v>
          </cell>
          <cell r="B83">
            <v>1</v>
          </cell>
        </row>
        <row r="84">
          <cell r="A84" t="str">
            <v>Peru</v>
          </cell>
          <cell r="B84">
            <v>0.86</v>
          </cell>
          <cell r="C84">
            <v>0.14000000000000001</v>
          </cell>
        </row>
        <row r="85">
          <cell r="A85" t="str">
            <v>Costa Rica</v>
          </cell>
        </row>
        <row r="86">
          <cell r="A86" t="str">
            <v>Vietnam</v>
          </cell>
          <cell r="B86">
            <v>0.8</v>
          </cell>
          <cell r="C86">
            <v>0.2</v>
          </cell>
        </row>
        <row r="87">
          <cell r="A87" t="str">
            <v>Morocco</v>
          </cell>
          <cell r="B87">
            <v>0.55000000000000004</v>
          </cell>
          <cell r="C87">
            <v>0.45</v>
          </cell>
        </row>
        <row r="88">
          <cell r="A88" t="str">
            <v>France</v>
          </cell>
          <cell r="B88">
            <v>0.65</v>
          </cell>
          <cell r="C88">
            <v>0.35</v>
          </cell>
        </row>
        <row r="89">
          <cell r="A89" t="str">
            <v>Thailand</v>
          </cell>
          <cell r="B89">
            <v>0.74</v>
          </cell>
          <cell r="C89">
            <v>0.26</v>
          </cell>
        </row>
        <row r="90">
          <cell r="A90" t="str">
            <v>Laos</v>
          </cell>
        </row>
        <row r="91">
          <cell r="A91" t="str">
            <v>El Salvador</v>
          </cell>
        </row>
        <row r="92">
          <cell r="A92" t="str">
            <v>Spain</v>
          </cell>
          <cell r="B92">
            <v>0.75</v>
          </cell>
          <cell r="C92">
            <v>0.25</v>
          </cell>
        </row>
        <row r="93">
          <cell r="A93" t="str">
            <v>Jordan</v>
          </cell>
        </row>
        <row r="94">
          <cell r="A94" t="str">
            <v>Saudi Arabia</v>
          </cell>
          <cell r="B94">
            <v>0.66</v>
          </cell>
          <cell r="C94">
            <v>0.34</v>
          </cell>
        </row>
        <row r="95">
          <cell r="A95" t="str">
            <v>Brazil</v>
          </cell>
          <cell r="B95">
            <v>0.88</v>
          </cell>
          <cell r="C95">
            <v>0.12</v>
          </cell>
        </row>
        <row r="96">
          <cell r="A96" t="str">
            <v>Chile</v>
          </cell>
        </row>
        <row r="97">
          <cell r="A97" t="str">
            <v>Argentina</v>
          </cell>
        </row>
        <row r="98">
          <cell r="A98" t="str">
            <v>Venezuela</v>
          </cell>
        </row>
        <row r="99">
          <cell r="A99" t="str">
            <v>Marshall Islands</v>
          </cell>
        </row>
        <row r="100">
          <cell r="A100" t="str">
            <v>Palau</v>
          </cell>
        </row>
        <row r="101">
          <cell r="A101" t="str">
            <v>Northern Mariana Islands</v>
          </cell>
        </row>
        <row r="102">
          <cell r="A102" t="str">
            <v>Tonga</v>
          </cell>
        </row>
        <row r="103">
          <cell r="A103" t="str">
            <v>Solomon Islands</v>
          </cell>
        </row>
        <row r="104">
          <cell r="A104" t="str">
            <v>Vanuatu</v>
          </cell>
        </row>
        <row r="105">
          <cell r="A105" t="str">
            <v>Samoa</v>
          </cell>
        </row>
        <row r="106">
          <cell r="A106" t="str">
            <v>St. Kitts &amp; Nevis</v>
          </cell>
        </row>
        <row r="107">
          <cell r="A107" t="str">
            <v>Ã…land Islands</v>
          </cell>
        </row>
        <row r="108">
          <cell r="A108" t="str">
            <v>Seychelles</v>
          </cell>
        </row>
        <row r="109">
          <cell r="A109" t="str">
            <v>Papua New Guinea</v>
          </cell>
        </row>
        <row r="110">
          <cell r="A110" t="str">
            <v>Liberia</v>
          </cell>
        </row>
        <row r="111">
          <cell r="A111" t="str">
            <v>Lesotho</v>
          </cell>
        </row>
        <row r="112">
          <cell r="A112" t="str">
            <v>Malta</v>
          </cell>
        </row>
        <row r="113">
          <cell r="A113" t="str">
            <v>Antigua &amp; Barbuda</v>
          </cell>
        </row>
        <row r="114">
          <cell r="A114" t="str">
            <v>St. Lucia</v>
          </cell>
        </row>
        <row r="115">
          <cell r="A115" t="str">
            <v>Bermuda</v>
          </cell>
        </row>
        <row r="116">
          <cell r="A116" t="str">
            <v>Isle of Man</v>
          </cell>
        </row>
        <row r="117">
          <cell r="A117" t="str">
            <v>Cuba</v>
          </cell>
        </row>
        <row r="118">
          <cell r="A118" t="str">
            <v>Zimbabwe</v>
          </cell>
        </row>
        <row r="119">
          <cell r="A119" t="str">
            <v>Aruba</v>
          </cell>
        </row>
        <row r="120">
          <cell r="A120" t="str">
            <v>North Macedonia</v>
          </cell>
        </row>
        <row r="121">
          <cell r="A121" t="str">
            <v>Myanmar (Burma)</v>
          </cell>
        </row>
        <row r="122">
          <cell r="A122" t="str">
            <v>CuraÃ§ao</v>
          </cell>
        </row>
        <row r="123">
          <cell r="A123" t="str">
            <v>Cyprus</v>
          </cell>
        </row>
        <row r="124">
          <cell r="A124" t="str">
            <v>Rwanda</v>
          </cell>
        </row>
        <row r="125">
          <cell r="A125" t="str">
            <v>Madagascar</v>
          </cell>
        </row>
        <row r="126">
          <cell r="A126" t="str">
            <v>Barbados</v>
          </cell>
        </row>
        <row r="127">
          <cell r="A127" t="str">
            <v>Luxembourg</v>
          </cell>
        </row>
        <row r="128">
          <cell r="A128" t="str">
            <v>Namibia</v>
          </cell>
        </row>
        <row r="129">
          <cell r="A129" t="str">
            <v>Turkmenistan</v>
          </cell>
        </row>
        <row r="130">
          <cell r="A130" t="str">
            <v>Benin</v>
          </cell>
        </row>
        <row r="131">
          <cell r="A131" t="str">
            <v>Malawi</v>
          </cell>
        </row>
        <row r="132">
          <cell r="A132" t="str">
            <v>Botswana</v>
          </cell>
        </row>
        <row r="133">
          <cell r="A133" t="str">
            <v>Cameroon</v>
          </cell>
        </row>
        <row r="134">
          <cell r="A134" t="str">
            <v>Cambodia</v>
          </cell>
        </row>
        <row r="135">
          <cell r="A135" t="str">
            <v>Brunei</v>
          </cell>
        </row>
        <row r="136">
          <cell r="A136" t="str">
            <v>Jersey</v>
          </cell>
        </row>
        <row r="137">
          <cell r="A137" t="str">
            <v>Afghanistan</v>
          </cell>
        </row>
        <row r="138">
          <cell r="A138" t="str">
            <v>Armenia</v>
          </cell>
        </row>
        <row r="139">
          <cell r="A139" t="str">
            <v>Uganda</v>
          </cell>
        </row>
        <row r="140">
          <cell r="A140" t="str">
            <v>Oman</v>
          </cell>
        </row>
        <row r="141">
          <cell r="A141" t="str">
            <v>Somalia</v>
          </cell>
        </row>
        <row r="142">
          <cell r="A142" t="str">
            <v>Trinidad &amp; Tobago</v>
          </cell>
        </row>
        <row r="143">
          <cell r="A143" t="str">
            <v>Angola</v>
          </cell>
        </row>
        <row r="144">
          <cell r="A144" t="str">
            <v>Mongolia</v>
          </cell>
        </row>
        <row r="145">
          <cell r="A145" t="str">
            <v>Sudan</v>
          </cell>
        </row>
        <row r="146">
          <cell r="A146" t="str">
            <v>Mali</v>
          </cell>
        </row>
        <row r="147">
          <cell r="A147" t="str">
            <v>Bahamas</v>
          </cell>
        </row>
        <row r="148">
          <cell r="A148" t="str">
            <v>Albania</v>
          </cell>
        </row>
        <row r="149">
          <cell r="A149" t="str">
            <v>Zambia</v>
          </cell>
        </row>
        <row r="150">
          <cell r="A150" t="str">
            <v>Burkina Faso</v>
          </cell>
        </row>
        <row r="151">
          <cell r="A151" t="str">
            <v>Palestine</v>
          </cell>
        </row>
        <row r="152">
          <cell r="A152" t="str">
            <v>Bahrain</v>
          </cell>
        </row>
        <row r="153">
          <cell r="A153" t="str">
            <v>Qatar</v>
          </cell>
        </row>
        <row r="154">
          <cell r="A154" t="str">
            <v>Tajikistan</v>
          </cell>
        </row>
        <row r="155">
          <cell r="A155" t="str">
            <v>Honduras</v>
          </cell>
        </row>
        <row r="156">
          <cell r="A156" t="str">
            <v>Azerbaijan</v>
          </cell>
        </row>
        <row r="157">
          <cell r="A157" t="str">
            <v>CÃ´te dâ€™Ivoire</v>
          </cell>
        </row>
        <row r="158">
          <cell r="A158" t="str">
            <v>Puerto Rico</v>
          </cell>
        </row>
        <row r="159">
          <cell r="A159" t="str">
            <v>Panama</v>
          </cell>
        </row>
        <row r="160">
          <cell r="A160" t="str">
            <v>Montenegro</v>
          </cell>
        </row>
        <row r="161">
          <cell r="A161" t="str">
            <v>Kosovo</v>
          </cell>
        </row>
        <row r="162">
          <cell r="A162" t="str">
            <v>Libya</v>
          </cell>
        </row>
        <row r="163">
          <cell r="A163" t="str">
            <v>Syria</v>
          </cell>
        </row>
        <row r="164">
          <cell r="A164" t="str">
            <v>Jamaica</v>
          </cell>
        </row>
        <row r="165">
          <cell r="A165" t="str">
            <v>Moldova</v>
          </cell>
        </row>
        <row r="166">
          <cell r="A166" t="str">
            <v>Mozambique</v>
          </cell>
        </row>
        <row r="167">
          <cell r="A167" t="str">
            <v>Congo - Kinshasa</v>
          </cell>
        </row>
        <row r="168">
          <cell r="A168" t="str">
            <v>Kyrgyzstan</v>
          </cell>
        </row>
        <row r="169">
          <cell r="A169" t="str">
            <v>Paraguay</v>
          </cell>
        </row>
        <row r="170">
          <cell r="A170" t="str">
            <v>Nicaragua</v>
          </cell>
        </row>
        <row r="171">
          <cell r="A171" t="str">
            <v>Uruguay</v>
          </cell>
        </row>
        <row r="172">
          <cell r="A172" t="str">
            <v>Yemen</v>
          </cell>
        </row>
        <row r="173">
          <cell r="A173" t="str">
            <v>Dominican Republic</v>
          </cell>
        </row>
        <row r="174">
          <cell r="A174" t="str">
            <v>Anguilla</v>
          </cell>
        </row>
        <row r="175">
          <cell r="A175" t="str">
            <v>Andorra</v>
          </cell>
        </row>
        <row r="176">
          <cell r="A176" t="str">
            <v>American Samoa</v>
          </cell>
        </row>
        <row r="177">
          <cell r="A177" t="str">
            <v>Antarctica</v>
          </cell>
        </row>
        <row r="178">
          <cell r="A178" t="str">
            <v>French Southern Territories</v>
          </cell>
        </row>
        <row r="179">
          <cell r="A179" t="str">
            <v>Burundi</v>
          </cell>
        </row>
        <row r="180">
          <cell r="A180" t="str">
            <v>Caribbean Netherlands</v>
          </cell>
        </row>
        <row r="181">
          <cell r="A181" t="str">
            <v>St. BarthÃ©lemy</v>
          </cell>
        </row>
        <row r="182">
          <cell r="A182" t="str">
            <v>Belize</v>
          </cell>
        </row>
        <row r="183">
          <cell r="A183" t="str">
            <v>Bhutan</v>
          </cell>
        </row>
        <row r="184">
          <cell r="A184" t="str">
            <v>Bouvet Island</v>
          </cell>
        </row>
        <row r="185">
          <cell r="A185" t="str">
            <v>Central African Republic</v>
          </cell>
        </row>
        <row r="186">
          <cell r="A186" t="str">
            <v>Cocos (Keeling) Islands</v>
          </cell>
        </row>
        <row r="187">
          <cell r="A187" t="str">
            <v>Congo - Brazzaville</v>
          </cell>
        </row>
        <row r="188">
          <cell r="A188" t="str">
            <v>Cook Islands</v>
          </cell>
        </row>
        <row r="189">
          <cell r="A189" t="str">
            <v>Comoros</v>
          </cell>
        </row>
        <row r="190">
          <cell r="A190" t="str">
            <v>Cape Verde</v>
          </cell>
        </row>
        <row r="191">
          <cell r="A191" t="str">
            <v>Christmas Island</v>
          </cell>
        </row>
        <row r="192">
          <cell r="A192" t="str">
            <v>Cayman Islands</v>
          </cell>
        </row>
        <row r="193">
          <cell r="A193" t="str">
            <v>Djibouti</v>
          </cell>
        </row>
        <row r="194">
          <cell r="A194" t="str">
            <v>Dominica</v>
          </cell>
        </row>
        <row r="195">
          <cell r="A195" t="str">
            <v>Eritrea</v>
          </cell>
        </row>
        <row r="196">
          <cell r="A196" t="str">
            <v>Western Sahara</v>
          </cell>
        </row>
        <row r="197">
          <cell r="A197" t="str">
            <v>Falkland Islands (Islas Malvinas)</v>
          </cell>
        </row>
        <row r="198">
          <cell r="A198" t="str">
            <v>Faroe Islands</v>
          </cell>
        </row>
        <row r="199">
          <cell r="A199" t="str">
            <v>Gabon</v>
          </cell>
        </row>
        <row r="200">
          <cell r="A200" t="str">
            <v>Guernsey</v>
          </cell>
        </row>
        <row r="201">
          <cell r="A201" t="str">
            <v>Gibraltar</v>
          </cell>
        </row>
        <row r="202">
          <cell r="A202" t="str">
            <v>Guinea</v>
          </cell>
        </row>
        <row r="203">
          <cell r="A203" t="str">
            <v>Guadeloupe</v>
          </cell>
        </row>
        <row r="204">
          <cell r="A204" t="str">
            <v>Gambia</v>
          </cell>
        </row>
        <row r="205">
          <cell r="A205" t="str">
            <v>Guinea-Bissau</v>
          </cell>
        </row>
        <row r="206">
          <cell r="A206" t="str">
            <v>Equatorial Guinea</v>
          </cell>
        </row>
        <row r="207">
          <cell r="A207" t="str">
            <v>Grenada</v>
          </cell>
        </row>
        <row r="208">
          <cell r="A208" t="str">
            <v>Greenland</v>
          </cell>
        </row>
        <row r="209">
          <cell r="A209" t="str">
            <v>French Guiana</v>
          </cell>
        </row>
        <row r="210">
          <cell r="A210" t="str">
            <v>Guyana</v>
          </cell>
        </row>
        <row r="211">
          <cell r="A211" t="str">
            <v>Heard &amp; McDonald Islands</v>
          </cell>
        </row>
        <row r="212">
          <cell r="A212" t="str">
            <v>Haiti</v>
          </cell>
        </row>
        <row r="213">
          <cell r="A213" t="str">
            <v>British Indian Ocean Territory</v>
          </cell>
        </row>
        <row r="214">
          <cell r="A214" t="str">
            <v>Kiribati</v>
          </cell>
        </row>
        <row r="215">
          <cell r="A215" t="str">
            <v>Liechtenstein</v>
          </cell>
        </row>
        <row r="216">
          <cell r="A216" t="str">
            <v>St. Martin</v>
          </cell>
        </row>
        <row r="217">
          <cell r="A217" t="str">
            <v>Monaco</v>
          </cell>
        </row>
        <row r="218">
          <cell r="A218" t="str">
            <v>Mauritania</v>
          </cell>
        </row>
        <row r="219">
          <cell r="A219" t="str">
            <v>Montserrat</v>
          </cell>
        </row>
        <row r="220">
          <cell r="A220" t="str">
            <v>Martinique</v>
          </cell>
        </row>
        <row r="221">
          <cell r="A221" t="str">
            <v>Mayotte</v>
          </cell>
        </row>
        <row r="222">
          <cell r="A222" t="str">
            <v>New Caledonia</v>
          </cell>
        </row>
        <row r="223">
          <cell r="A223" t="str">
            <v>Niger</v>
          </cell>
        </row>
        <row r="224">
          <cell r="A224" t="str">
            <v>Norfolk Island</v>
          </cell>
        </row>
        <row r="225">
          <cell r="A225" t="str">
            <v>Niue</v>
          </cell>
        </row>
        <row r="226">
          <cell r="A226" t="str">
            <v>Nauru</v>
          </cell>
        </row>
        <row r="227">
          <cell r="A227" t="str">
            <v>Pitcairn Islands</v>
          </cell>
        </row>
        <row r="228">
          <cell r="A228" t="str">
            <v>North Korea</v>
          </cell>
        </row>
        <row r="229">
          <cell r="A229" t="str">
            <v>French Polynesia</v>
          </cell>
        </row>
        <row r="230">
          <cell r="A230" t="str">
            <v>RÃ©union</v>
          </cell>
        </row>
        <row r="231">
          <cell r="A231" t="str">
            <v>Senegal</v>
          </cell>
        </row>
        <row r="232">
          <cell r="A232" t="str">
            <v>South Georgia &amp; South Sandwich Islands</v>
          </cell>
        </row>
        <row r="233">
          <cell r="A233" t="str">
            <v>Svalbard &amp; Jan Mayen</v>
          </cell>
        </row>
        <row r="234">
          <cell r="A234" t="str">
            <v>Sierra Leone</v>
          </cell>
        </row>
        <row r="235">
          <cell r="A235" t="str">
            <v>San Marino</v>
          </cell>
        </row>
        <row r="236">
          <cell r="A236" t="str">
            <v>St. Pierre &amp; Miquelon</v>
          </cell>
        </row>
        <row r="237">
          <cell r="A237" t="str">
            <v>South Sudan</v>
          </cell>
        </row>
        <row r="238">
          <cell r="A238" t="str">
            <v>SÃ£o TomÃ© &amp; PrÃ­ncipe</v>
          </cell>
        </row>
        <row r="239">
          <cell r="A239" t="str">
            <v>Suriname</v>
          </cell>
        </row>
        <row r="240">
          <cell r="A240" t="str">
            <v>Eswatini</v>
          </cell>
        </row>
        <row r="241">
          <cell r="A241" t="str">
            <v>Sint Maarten</v>
          </cell>
        </row>
        <row r="242">
          <cell r="A242" t="str">
            <v>Turks &amp; Caicos Islands</v>
          </cell>
        </row>
        <row r="243">
          <cell r="A243" t="str">
            <v>Chad</v>
          </cell>
        </row>
        <row r="244">
          <cell r="A244" t="str">
            <v>Togo</v>
          </cell>
        </row>
        <row r="245">
          <cell r="A245" t="str">
            <v>Tokelau</v>
          </cell>
        </row>
        <row r="246">
          <cell r="A246" t="str">
            <v>Timor-Leste</v>
          </cell>
        </row>
        <row r="247">
          <cell r="A247" t="str">
            <v>Tuvalu</v>
          </cell>
        </row>
        <row r="248">
          <cell r="A248" t="str">
            <v>U.S. Outlying Islands</v>
          </cell>
        </row>
        <row r="249">
          <cell r="A249" t="str">
            <v>Vatican City</v>
          </cell>
        </row>
        <row r="250">
          <cell r="A250" t="str">
            <v>St. Vincent &amp; Grenadines</v>
          </cell>
        </row>
        <row r="251">
          <cell r="A251" t="str">
            <v>British Virgin Islands</v>
          </cell>
        </row>
        <row r="252">
          <cell r="A252" t="str">
            <v>U.S. Virgin Islands</v>
          </cell>
        </row>
        <row r="253">
          <cell r="A253" t="str">
            <v>Wallis &amp; Futuna</v>
          </cell>
        </row>
      </sheetData>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17)"/>
    </sheetNames>
    <sheetDataSet>
      <sheetData sheetId="0" refreshError="1">
        <row r="1">
          <cell r="A1" t="str">
            <v>Category: All categories</v>
          </cell>
        </row>
        <row r="3">
          <cell r="A3" t="str">
            <v>Country</v>
          </cell>
          <cell r="B3" t="str">
            <v>Finite-state machine: (2018)</v>
          </cell>
          <cell r="C3" t="str">
            <v>Interaction design: (2018)</v>
          </cell>
        </row>
        <row r="4">
          <cell r="A4" t="str">
            <v>Micronesia</v>
          </cell>
          <cell r="B4">
            <v>1</v>
          </cell>
        </row>
        <row r="5">
          <cell r="A5" t="str">
            <v>Guam</v>
          </cell>
          <cell r="B5">
            <v>1</v>
          </cell>
        </row>
        <row r="6">
          <cell r="A6" t="str">
            <v>China</v>
          </cell>
          <cell r="B6">
            <v>0.57999999999999996</v>
          </cell>
          <cell r="C6">
            <v>0.42</v>
          </cell>
        </row>
        <row r="7">
          <cell r="A7" t="str">
            <v>Fiji</v>
          </cell>
          <cell r="B7">
            <v>1</v>
          </cell>
        </row>
        <row r="8">
          <cell r="A8" t="str">
            <v>Maldives</v>
          </cell>
          <cell r="B8">
            <v>1</v>
          </cell>
        </row>
        <row r="9">
          <cell r="A9" t="str">
            <v>Macao</v>
          </cell>
          <cell r="B9">
            <v>1</v>
          </cell>
        </row>
        <row r="10">
          <cell r="A10" t="str">
            <v>Singapore</v>
          </cell>
          <cell r="B10">
            <v>0.87</v>
          </cell>
          <cell r="C10">
            <v>0.13</v>
          </cell>
        </row>
        <row r="11">
          <cell r="A11" t="str">
            <v>Israel</v>
          </cell>
          <cell r="B11">
            <v>0.94</v>
          </cell>
          <cell r="C11">
            <v>0.06</v>
          </cell>
        </row>
        <row r="12">
          <cell r="A12" t="str">
            <v>St. Helena</v>
          </cell>
          <cell r="B12">
            <v>0.77</v>
          </cell>
          <cell r="C12">
            <v>0.23</v>
          </cell>
        </row>
        <row r="13">
          <cell r="A13" t="str">
            <v>Hong Kong</v>
          </cell>
          <cell r="B13">
            <v>0.78</v>
          </cell>
          <cell r="C13">
            <v>0.22</v>
          </cell>
        </row>
        <row r="14">
          <cell r="A14" t="str">
            <v>Iceland</v>
          </cell>
        </row>
        <row r="15">
          <cell r="A15" t="str">
            <v>South Korea</v>
          </cell>
          <cell r="B15">
            <v>0.56999999999999995</v>
          </cell>
          <cell r="C15">
            <v>0.43</v>
          </cell>
        </row>
        <row r="16">
          <cell r="A16" t="str">
            <v>Norway</v>
          </cell>
          <cell r="B16">
            <v>0.33</v>
          </cell>
          <cell r="C16">
            <v>0.67</v>
          </cell>
        </row>
        <row r="17">
          <cell r="A17" t="str">
            <v>Ethiopia</v>
          </cell>
        </row>
        <row r="18">
          <cell r="A18" t="str">
            <v>New Zealand</v>
          </cell>
          <cell r="B18">
            <v>0.83</v>
          </cell>
          <cell r="C18">
            <v>0.17</v>
          </cell>
        </row>
        <row r="19">
          <cell r="A19" t="str">
            <v>Botswana</v>
          </cell>
        </row>
        <row r="20">
          <cell r="A20" t="str">
            <v>Pakistan</v>
          </cell>
          <cell r="B20">
            <v>0.82</v>
          </cell>
          <cell r="C20">
            <v>0.18</v>
          </cell>
        </row>
        <row r="21">
          <cell r="A21" t="str">
            <v>Sweden</v>
          </cell>
          <cell r="B21">
            <v>0.37</v>
          </cell>
          <cell r="C21">
            <v>0.63</v>
          </cell>
        </row>
        <row r="22">
          <cell r="A22" t="str">
            <v>Malaysia</v>
          </cell>
          <cell r="B22">
            <v>0.76</v>
          </cell>
          <cell r="C22">
            <v>0.24</v>
          </cell>
        </row>
        <row r="23">
          <cell r="A23" t="str">
            <v>Tunisia</v>
          </cell>
          <cell r="B23">
            <v>0.87</v>
          </cell>
          <cell r="C23">
            <v>0.13</v>
          </cell>
        </row>
        <row r="24">
          <cell r="A24" t="str">
            <v>Slovenia</v>
          </cell>
          <cell r="B24">
            <v>1</v>
          </cell>
        </row>
        <row r="25">
          <cell r="A25" t="str">
            <v>India</v>
          </cell>
          <cell r="B25">
            <v>0.79</v>
          </cell>
          <cell r="C25">
            <v>0.21</v>
          </cell>
        </row>
        <row r="26">
          <cell r="A26" t="str">
            <v>Australia</v>
          </cell>
          <cell r="B26">
            <v>0.65</v>
          </cell>
          <cell r="C26">
            <v>0.35</v>
          </cell>
        </row>
        <row r="27">
          <cell r="A27" t="str">
            <v>United States</v>
          </cell>
          <cell r="B27">
            <v>0.77</v>
          </cell>
          <cell r="C27">
            <v>0.23</v>
          </cell>
        </row>
        <row r="28">
          <cell r="A28" t="str">
            <v>United Kingdom</v>
          </cell>
          <cell r="B28">
            <v>0.78</v>
          </cell>
          <cell r="C28">
            <v>0.22</v>
          </cell>
        </row>
        <row r="29">
          <cell r="A29" t="str">
            <v>Taiwan</v>
          </cell>
          <cell r="B29">
            <v>0.5</v>
          </cell>
          <cell r="C29">
            <v>0.5</v>
          </cell>
        </row>
        <row r="30">
          <cell r="A30" t="str">
            <v>Canada</v>
          </cell>
          <cell r="B30">
            <v>0.7</v>
          </cell>
          <cell r="C30">
            <v>0.3</v>
          </cell>
        </row>
        <row r="31">
          <cell r="A31" t="str">
            <v>Nepal</v>
          </cell>
        </row>
        <row r="32">
          <cell r="A32" t="str">
            <v>Estonia</v>
          </cell>
        </row>
        <row r="33">
          <cell r="A33" t="str">
            <v>Denmark</v>
          </cell>
          <cell r="B33">
            <v>0.37</v>
          </cell>
          <cell r="C33">
            <v>0.63</v>
          </cell>
        </row>
        <row r="34">
          <cell r="A34" t="str">
            <v>Ireland</v>
          </cell>
          <cell r="B34">
            <v>0.56000000000000005</v>
          </cell>
          <cell r="C34">
            <v>0.44</v>
          </cell>
        </row>
        <row r="35">
          <cell r="A35" t="str">
            <v>Germany</v>
          </cell>
          <cell r="B35">
            <v>0.77</v>
          </cell>
          <cell r="C35">
            <v>0.23</v>
          </cell>
        </row>
        <row r="36">
          <cell r="A36" t="str">
            <v>Romania</v>
          </cell>
          <cell r="B36">
            <v>0.9</v>
          </cell>
          <cell r="C36">
            <v>0.1</v>
          </cell>
        </row>
        <row r="37">
          <cell r="A37" t="str">
            <v>Sri Lanka</v>
          </cell>
        </row>
        <row r="38">
          <cell r="A38" t="str">
            <v>Switzerland</v>
          </cell>
          <cell r="B38">
            <v>0.5</v>
          </cell>
          <cell r="C38">
            <v>0.5</v>
          </cell>
        </row>
        <row r="39">
          <cell r="A39" t="str">
            <v>Russia</v>
          </cell>
          <cell r="B39">
            <v>0.94</v>
          </cell>
          <cell r="C39">
            <v>0.06</v>
          </cell>
        </row>
        <row r="40">
          <cell r="A40" t="str">
            <v>Finland</v>
          </cell>
          <cell r="B40">
            <v>0.71</v>
          </cell>
          <cell r="C40">
            <v>0.28999999999999998</v>
          </cell>
        </row>
        <row r="41">
          <cell r="A41" t="str">
            <v>Croatia</v>
          </cell>
          <cell r="B41">
            <v>1</v>
          </cell>
        </row>
        <row r="42">
          <cell r="A42" t="str">
            <v>Czechia</v>
          </cell>
          <cell r="B42">
            <v>0.86</v>
          </cell>
          <cell r="C42">
            <v>0.14000000000000001</v>
          </cell>
        </row>
        <row r="43">
          <cell r="A43" t="str">
            <v>Austria</v>
          </cell>
          <cell r="B43">
            <v>0.77</v>
          </cell>
          <cell r="C43">
            <v>0.23</v>
          </cell>
        </row>
        <row r="44">
          <cell r="A44" t="str">
            <v>Belarus</v>
          </cell>
          <cell r="B44">
            <v>1</v>
          </cell>
        </row>
        <row r="45">
          <cell r="A45" t="str">
            <v>Lithuania</v>
          </cell>
        </row>
        <row r="46">
          <cell r="A46" t="str">
            <v>Ghana</v>
          </cell>
        </row>
        <row r="47">
          <cell r="A47" t="str">
            <v>Mauritius</v>
          </cell>
        </row>
        <row r="48">
          <cell r="A48" t="str">
            <v>South Africa</v>
          </cell>
          <cell r="B48">
            <v>0.66</v>
          </cell>
          <cell r="C48">
            <v>0.34</v>
          </cell>
        </row>
        <row r="49">
          <cell r="A49" t="str">
            <v>Serbia</v>
          </cell>
          <cell r="B49">
            <v>1</v>
          </cell>
        </row>
        <row r="50">
          <cell r="A50" t="str">
            <v>Slovakia</v>
          </cell>
          <cell r="B50">
            <v>1</v>
          </cell>
        </row>
        <row r="51">
          <cell r="A51" t="str">
            <v>Netherlands</v>
          </cell>
          <cell r="B51">
            <v>0.47</v>
          </cell>
          <cell r="C51">
            <v>0.53</v>
          </cell>
        </row>
        <row r="52">
          <cell r="A52" t="str">
            <v>Georgia</v>
          </cell>
        </row>
        <row r="53">
          <cell r="A53" t="str">
            <v>Kuwait</v>
          </cell>
        </row>
        <row r="54">
          <cell r="A54" t="str">
            <v>Philippines</v>
          </cell>
          <cell r="B54">
            <v>0.73</v>
          </cell>
          <cell r="C54">
            <v>0.27</v>
          </cell>
        </row>
        <row r="55">
          <cell r="A55" t="str">
            <v>Kenya</v>
          </cell>
          <cell r="B55">
            <v>0.66</v>
          </cell>
          <cell r="C55">
            <v>0.34</v>
          </cell>
        </row>
        <row r="56">
          <cell r="A56" t="str">
            <v>Ukraine</v>
          </cell>
          <cell r="B56">
            <v>0.91</v>
          </cell>
          <cell r="C56">
            <v>0.09</v>
          </cell>
        </row>
        <row r="57">
          <cell r="A57" t="str">
            <v>Latvia</v>
          </cell>
        </row>
        <row r="58">
          <cell r="A58" t="str">
            <v>Greece</v>
          </cell>
          <cell r="B58">
            <v>0.79</v>
          </cell>
          <cell r="C58">
            <v>0.21</v>
          </cell>
        </row>
        <row r="59">
          <cell r="A59" t="str">
            <v>Hungary</v>
          </cell>
          <cell r="B59">
            <v>0.92</v>
          </cell>
          <cell r="C59">
            <v>0.08</v>
          </cell>
        </row>
        <row r="60">
          <cell r="A60" t="str">
            <v>Belgium</v>
          </cell>
          <cell r="B60">
            <v>0.86</v>
          </cell>
          <cell r="C60">
            <v>0.14000000000000001</v>
          </cell>
        </row>
        <row r="61">
          <cell r="A61" t="str">
            <v>Guatemala</v>
          </cell>
        </row>
        <row r="62">
          <cell r="A62" t="str">
            <v>Portugal</v>
          </cell>
          <cell r="B62">
            <v>0.63</v>
          </cell>
          <cell r="C62">
            <v>0.37</v>
          </cell>
        </row>
        <row r="63">
          <cell r="A63" t="str">
            <v>Bulgaria</v>
          </cell>
          <cell r="B63">
            <v>1</v>
          </cell>
        </row>
        <row r="64">
          <cell r="A64" t="str">
            <v>Bosnia &amp; Herzegovina</v>
          </cell>
        </row>
        <row r="65">
          <cell r="A65" t="str">
            <v>Bangladesh</v>
          </cell>
          <cell r="B65">
            <v>0.63</v>
          </cell>
          <cell r="C65">
            <v>0.37</v>
          </cell>
        </row>
        <row r="66">
          <cell r="A66" t="str">
            <v>Turkey</v>
          </cell>
          <cell r="B66">
            <v>0.91</v>
          </cell>
          <cell r="C66">
            <v>0.09</v>
          </cell>
        </row>
        <row r="67">
          <cell r="A67" t="str">
            <v>Bolivia</v>
          </cell>
        </row>
        <row r="68">
          <cell r="A68" t="str">
            <v>Nigeria</v>
          </cell>
          <cell r="B68">
            <v>0.56000000000000005</v>
          </cell>
          <cell r="C68">
            <v>0.44</v>
          </cell>
        </row>
        <row r="69">
          <cell r="A69" t="str">
            <v>Tanzania</v>
          </cell>
        </row>
        <row r="70">
          <cell r="A70" t="str">
            <v>United Arab Emirates</v>
          </cell>
          <cell r="B70">
            <v>0.57999999999999996</v>
          </cell>
          <cell r="C70">
            <v>0.42</v>
          </cell>
        </row>
        <row r="71">
          <cell r="A71" t="str">
            <v>Japan</v>
          </cell>
          <cell r="B71">
            <v>0.83</v>
          </cell>
          <cell r="C71">
            <v>0.17</v>
          </cell>
        </row>
        <row r="72">
          <cell r="A72" t="str">
            <v>Mexico</v>
          </cell>
          <cell r="B72">
            <v>0.82</v>
          </cell>
          <cell r="C72">
            <v>0.18</v>
          </cell>
        </row>
        <row r="73">
          <cell r="A73" t="str">
            <v>Uzbekistan</v>
          </cell>
        </row>
        <row r="74">
          <cell r="A74" t="str">
            <v>Laos</v>
          </cell>
        </row>
        <row r="75">
          <cell r="A75" t="str">
            <v>Lebanon</v>
          </cell>
        </row>
        <row r="76">
          <cell r="A76" t="str">
            <v>Italy</v>
          </cell>
          <cell r="B76">
            <v>0.68</v>
          </cell>
          <cell r="C76">
            <v>0.32</v>
          </cell>
        </row>
        <row r="77">
          <cell r="A77" t="str">
            <v>Costa Rica</v>
          </cell>
        </row>
        <row r="78">
          <cell r="A78" t="str">
            <v>Poland</v>
          </cell>
          <cell r="B78">
            <v>0.83</v>
          </cell>
          <cell r="C78">
            <v>0.17</v>
          </cell>
        </row>
        <row r="79">
          <cell r="A79" t="str">
            <v>Kazakhstan</v>
          </cell>
          <cell r="B79">
            <v>1</v>
          </cell>
        </row>
        <row r="80">
          <cell r="A80" t="str">
            <v>Indonesia</v>
          </cell>
          <cell r="B80">
            <v>0.73</v>
          </cell>
          <cell r="C80">
            <v>0.27</v>
          </cell>
        </row>
        <row r="81">
          <cell r="A81" t="str">
            <v>Colombia</v>
          </cell>
          <cell r="B81">
            <v>0.71</v>
          </cell>
          <cell r="C81">
            <v>0.28999999999999998</v>
          </cell>
        </row>
        <row r="82">
          <cell r="A82" t="str">
            <v>Iran</v>
          </cell>
          <cell r="B82">
            <v>0.76</v>
          </cell>
          <cell r="C82">
            <v>0.24</v>
          </cell>
        </row>
        <row r="83">
          <cell r="A83" t="str">
            <v>Ecuador</v>
          </cell>
        </row>
        <row r="84">
          <cell r="A84" t="str">
            <v>Egypt</v>
          </cell>
          <cell r="B84">
            <v>0.78</v>
          </cell>
          <cell r="C84">
            <v>0.22</v>
          </cell>
        </row>
        <row r="85">
          <cell r="A85" t="str">
            <v>Vietnam</v>
          </cell>
          <cell r="B85">
            <v>0.82</v>
          </cell>
          <cell r="C85">
            <v>0.18</v>
          </cell>
        </row>
        <row r="86">
          <cell r="A86" t="str">
            <v>Morocco</v>
          </cell>
        </row>
        <row r="87">
          <cell r="A87" t="str">
            <v>Peru</v>
          </cell>
          <cell r="B87">
            <v>0.69</v>
          </cell>
          <cell r="C87">
            <v>0.31</v>
          </cell>
        </row>
        <row r="88">
          <cell r="A88" t="str">
            <v>Thailand</v>
          </cell>
          <cell r="B88">
            <v>0.77</v>
          </cell>
          <cell r="C88">
            <v>0.23</v>
          </cell>
        </row>
        <row r="89">
          <cell r="A89" t="str">
            <v>France</v>
          </cell>
          <cell r="B89">
            <v>0.61</v>
          </cell>
          <cell r="C89">
            <v>0.39</v>
          </cell>
        </row>
        <row r="90">
          <cell r="A90" t="str">
            <v>Algeria</v>
          </cell>
        </row>
        <row r="91">
          <cell r="A91" t="str">
            <v>Spain</v>
          </cell>
          <cell r="B91">
            <v>0.62</v>
          </cell>
          <cell r="C91">
            <v>0.38</v>
          </cell>
        </row>
        <row r="92">
          <cell r="A92" t="str">
            <v>Argentina</v>
          </cell>
          <cell r="B92">
            <v>0.65</v>
          </cell>
          <cell r="C92">
            <v>0.35</v>
          </cell>
        </row>
        <row r="93">
          <cell r="A93" t="str">
            <v>Brazil</v>
          </cell>
          <cell r="B93">
            <v>0.62</v>
          </cell>
          <cell r="C93">
            <v>0.38</v>
          </cell>
        </row>
        <row r="94">
          <cell r="A94" t="str">
            <v>Saudi Arabia</v>
          </cell>
          <cell r="B94">
            <v>0.66</v>
          </cell>
          <cell r="C94">
            <v>0.34</v>
          </cell>
        </row>
        <row r="95">
          <cell r="A95" t="str">
            <v>Iraq</v>
          </cell>
        </row>
        <row r="96">
          <cell r="A96" t="str">
            <v>El Salvador</v>
          </cell>
        </row>
        <row r="97">
          <cell r="A97" t="str">
            <v>Chile</v>
          </cell>
          <cell r="B97">
            <v>0.54</v>
          </cell>
          <cell r="C97">
            <v>0.46</v>
          </cell>
        </row>
        <row r="98">
          <cell r="A98" t="str">
            <v>Venezuela</v>
          </cell>
        </row>
        <row r="99">
          <cell r="A99" t="str">
            <v>Marshall Islands</v>
          </cell>
        </row>
        <row r="100">
          <cell r="A100" t="str">
            <v>Palau</v>
          </cell>
        </row>
        <row r="101">
          <cell r="A101" t="str">
            <v>Northern Mariana Islands</v>
          </cell>
        </row>
        <row r="102">
          <cell r="A102" t="str">
            <v>Tonga</v>
          </cell>
        </row>
        <row r="103">
          <cell r="A103" t="str">
            <v>Solomon Islands</v>
          </cell>
        </row>
        <row r="104">
          <cell r="A104" t="str">
            <v>Samoa</v>
          </cell>
        </row>
        <row r="105">
          <cell r="A105" t="str">
            <v>St. Kitts &amp; Nevis</v>
          </cell>
        </row>
        <row r="106">
          <cell r="A106" t="str">
            <v>Ã…land Islands</v>
          </cell>
        </row>
        <row r="107">
          <cell r="A107" t="str">
            <v>Papua New Guinea</v>
          </cell>
        </row>
        <row r="108">
          <cell r="A108" t="str">
            <v>U.S. Virgin Islands</v>
          </cell>
        </row>
        <row r="109">
          <cell r="A109" t="str">
            <v>Monaco</v>
          </cell>
        </row>
        <row r="110">
          <cell r="A110" t="str">
            <v>Isle of Man</v>
          </cell>
        </row>
        <row r="111">
          <cell r="A111" t="str">
            <v>Lesotho</v>
          </cell>
        </row>
        <row r="112">
          <cell r="A112" t="str">
            <v>Belize</v>
          </cell>
        </row>
        <row r="113">
          <cell r="A113" t="str">
            <v>Burundi</v>
          </cell>
        </row>
        <row r="114">
          <cell r="A114" t="str">
            <v>St. Lucia</v>
          </cell>
        </row>
        <row r="115">
          <cell r="A115" t="str">
            <v>Malta</v>
          </cell>
        </row>
        <row r="116">
          <cell r="A116" t="str">
            <v>Bhutan</v>
          </cell>
        </row>
        <row r="117">
          <cell r="A117" t="str">
            <v>Myanmar (Burma)</v>
          </cell>
        </row>
        <row r="118">
          <cell r="A118" t="str">
            <v>Cape Verde</v>
          </cell>
        </row>
        <row r="119">
          <cell r="A119" t="str">
            <v>Zimbabwe</v>
          </cell>
        </row>
        <row r="120">
          <cell r="A120" t="str">
            <v>Madagascar</v>
          </cell>
        </row>
        <row r="121">
          <cell r="A121" t="str">
            <v>Benin</v>
          </cell>
        </row>
        <row r="122">
          <cell r="A122" t="str">
            <v>North Macedonia</v>
          </cell>
        </row>
        <row r="123">
          <cell r="A123" t="str">
            <v>Rwanda</v>
          </cell>
        </row>
        <row r="124">
          <cell r="A124" t="str">
            <v>French Guiana</v>
          </cell>
        </row>
        <row r="125">
          <cell r="A125" t="str">
            <v>Barbados</v>
          </cell>
        </row>
        <row r="126">
          <cell r="A126" t="str">
            <v>Cuba</v>
          </cell>
        </row>
        <row r="127">
          <cell r="A127" t="str">
            <v>Cyprus</v>
          </cell>
        </row>
        <row r="128">
          <cell r="A128" t="str">
            <v>New Caledonia</v>
          </cell>
        </row>
        <row r="129">
          <cell r="A129" t="str">
            <v>Malawi</v>
          </cell>
        </row>
        <row r="130">
          <cell r="A130" t="str">
            <v>Luxembourg</v>
          </cell>
        </row>
        <row r="131">
          <cell r="A131" t="str">
            <v>Brunei</v>
          </cell>
        </row>
        <row r="132">
          <cell r="A132" t="str">
            <v>Gabon</v>
          </cell>
        </row>
        <row r="133">
          <cell r="A133" t="str">
            <v>Trinidad &amp; Tobago</v>
          </cell>
        </row>
        <row r="134">
          <cell r="A134" t="str">
            <v>Guyana</v>
          </cell>
        </row>
        <row r="135">
          <cell r="A135" t="str">
            <v>Turkmenistan</v>
          </cell>
        </row>
        <row r="136">
          <cell r="A136" t="str">
            <v>Suriname</v>
          </cell>
        </row>
        <row r="137">
          <cell r="A137" t="str">
            <v>Puerto Rico</v>
          </cell>
        </row>
        <row r="138">
          <cell r="A138" t="str">
            <v>Oman</v>
          </cell>
        </row>
        <row r="139">
          <cell r="A139" t="str">
            <v>Cameroon</v>
          </cell>
        </row>
        <row r="140">
          <cell r="A140" t="str">
            <v>Cambodia</v>
          </cell>
        </row>
        <row r="141">
          <cell r="A141" t="str">
            <v>Mongolia</v>
          </cell>
        </row>
        <row r="142">
          <cell r="A142" t="str">
            <v>Uganda</v>
          </cell>
        </row>
        <row r="143">
          <cell r="A143" t="str">
            <v>Afghanistan</v>
          </cell>
        </row>
        <row r="144">
          <cell r="A144" t="str">
            <v>Zambia</v>
          </cell>
        </row>
        <row r="145">
          <cell r="A145" t="str">
            <v>Armenia</v>
          </cell>
        </row>
        <row r="146">
          <cell r="A146" t="str">
            <v>Namibia</v>
          </cell>
        </row>
        <row r="147">
          <cell r="A147" t="str">
            <v>Tajikistan</v>
          </cell>
        </row>
        <row r="148">
          <cell r="A148" t="str">
            <v>Moldova</v>
          </cell>
        </row>
        <row r="149">
          <cell r="A149" t="str">
            <v>Bahamas</v>
          </cell>
        </row>
        <row r="150">
          <cell r="A150" t="str">
            <v>Sudan</v>
          </cell>
        </row>
        <row r="151">
          <cell r="A151" t="str">
            <v>Mozambique</v>
          </cell>
        </row>
        <row r="152">
          <cell r="A152" t="str">
            <v>Angola</v>
          </cell>
        </row>
        <row r="153">
          <cell r="A153" t="str">
            <v>Palestine</v>
          </cell>
        </row>
        <row r="154">
          <cell r="A154" t="str">
            <v>Bahrain</v>
          </cell>
        </row>
        <row r="155">
          <cell r="A155" t="str">
            <v>Honduras</v>
          </cell>
        </row>
        <row r="156">
          <cell r="A156" t="str">
            <v>Qatar</v>
          </cell>
        </row>
        <row r="157">
          <cell r="A157" t="str">
            <v>Jamaica</v>
          </cell>
        </row>
        <row r="158">
          <cell r="A158" t="str">
            <v>Paraguay</v>
          </cell>
        </row>
        <row r="159">
          <cell r="A159" t="str">
            <v>Albania</v>
          </cell>
        </row>
        <row r="160">
          <cell r="A160" t="str">
            <v>Yemen</v>
          </cell>
        </row>
        <row r="161">
          <cell r="A161" t="str">
            <v>Montenegro</v>
          </cell>
        </row>
        <row r="162">
          <cell r="A162" t="str">
            <v>Kosovo</v>
          </cell>
        </row>
        <row r="163">
          <cell r="A163" t="str">
            <v>Azerbaijan</v>
          </cell>
        </row>
        <row r="164">
          <cell r="A164" t="str">
            <v>Libya</v>
          </cell>
        </row>
        <row r="165">
          <cell r="A165" t="str">
            <v>CÃ´te dâ€™Ivoire</v>
          </cell>
        </row>
        <row r="166">
          <cell r="A166" t="str">
            <v>Congo - Kinshasa</v>
          </cell>
        </row>
        <row r="167">
          <cell r="A167" t="str">
            <v>Uruguay</v>
          </cell>
        </row>
        <row r="168">
          <cell r="A168" t="str">
            <v>Kyrgyzstan</v>
          </cell>
        </row>
        <row r="169">
          <cell r="A169" t="str">
            <v>Panama</v>
          </cell>
        </row>
        <row r="170">
          <cell r="A170" t="str">
            <v>Syria</v>
          </cell>
        </row>
        <row r="171">
          <cell r="A171" t="str">
            <v>Nicaragua</v>
          </cell>
        </row>
        <row r="172">
          <cell r="A172" t="str">
            <v>Jordan</v>
          </cell>
        </row>
        <row r="173">
          <cell r="A173" t="str">
            <v>Dominican Republic</v>
          </cell>
        </row>
        <row r="174">
          <cell r="A174" t="str">
            <v>Aruba</v>
          </cell>
        </row>
        <row r="175">
          <cell r="A175" t="str">
            <v>Anguilla</v>
          </cell>
        </row>
        <row r="176">
          <cell r="A176" t="str">
            <v>Andorra</v>
          </cell>
        </row>
        <row r="177">
          <cell r="A177" t="str">
            <v>American Samoa</v>
          </cell>
        </row>
        <row r="178">
          <cell r="A178" t="str">
            <v>Antarctica</v>
          </cell>
        </row>
        <row r="179">
          <cell r="A179" t="str">
            <v>French Southern Territories</v>
          </cell>
        </row>
        <row r="180">
          <cell r="A180" t="str">
            <v>Antigua &amp; Barbuda</v>
          </cell>
        </row>
        <row r="181">
          <cell r="A181" t="str">
            <v>Caribbean Netherlands</v>
          </cell>
        </row>
        <row r="182">
          <cell r="A182" t="str">
            <v>Burkina Faso</v>
          </cell>
        </row>
        <row r="183">
          <cell r="A183" t="str">
            <v>St. BarthÃ©lemy</v>
          </cell>
        </row>
        <row r="184">
          <cell r="A184" t="str">
            <v>Bermuda</v>
          </cell>
        </row>
        <row r="185">
          <cell r="A185" t="str">
            <v>Bouvet Island</v>
          </cell>
        </row>
        <row r="186">
          <cell r="A186" t="str">
            <v>Central African Republic</v>
          </cell>
        </row>
        <row r="187">
          <cell r="A187" t="str">
            <v>Cocos (Keeling) Islands</v>
          </cell>
        </row>
        <row r="188">
          <cell r="A188" t="str">
            <v>Congo - Brazzaville</v>
          </cell>
        </row>
        <row r="189">
          <cell r="A189" t="str">
            <v>Cook Islands</v>
          </cell>
        </row>
        <row r="190">
          <cell r="A190" t="str">
            <v>Comoros</v>
          </cell>
        </row>
        <row r="191">
          <cell r="A191" t="str">
            <v>CuraÃ§ao</v>
          </cell>
        </row>
        <row r="192">
          <cell r="A192" t="str">
            <v>Christmas Island</v>
          </cell>
        </row>
        <row r="193">
          <cell r="A193" t="str">
            <v>Cayman Islands</v>
          </cell>
        </row>
        <row r="194">
          <cell r="A194" t="str">
            <v>Djibouti</v>
          </cell>
        </row>
        <row r="195">
          <cell r="A195" t="str">
            <v>Dominica</v>
          </cell>
        </row>
        <row r="196">
          <cell r="A196" t="str">
            <v>Eritrea</v>
          </cell>
        </row>
        <row r="197">
          <cell r="A197" t="str">
            <v>Western Sahara</v>
          </cell>
        </row>
        <row r="198">
          <cell r="A198" t="str">
            <v>Falkland Islands (Islas Malvinas)</v>
          </cell>
        </row>
        <row r="199">
          <cell r="A199" t="str">
            <v>Faroe Islands</v>
          </cell>
        </row>
        <row r="200">
          <cell r="A200" t="str">
            <v>Guernsey</v>
          </cell>
        </row>
        <row r="201">
          <cell r="A201" t="str">
            <v>Gibraltar</v>
          </cell>
        </row>
        <row r="202">
          <cell r="A202" t="str">
            <v>Guinea</v>
          </cell>
        </row>
        <row r="203">
          <cell r="A203" t="str">
            <v>Guadeloupe</v>
          </cell>
        </row>
        <row r="204">
          <cell r="A204" t="str">
            <v>Gambia</v>
          </cell>
        </row>
        <row r="205">
          <cell r="A205" t="str">
            <v>Guinea-Bissau</v>
          </cell>
        </row>
        <row r="206">
          <cell r="A206" t="str">
            <v>Equatorial Guinea</v>
          </cell>
        </row>
        <row r="207">
          <cell r="A207" t="str">
            <v>Grenada</v>
          </cell>
        </row>
        <row r="208">
          <cell r="A208" t="str">
            <v>Greenland</v>
          </cell>
        </row>
        <row r="209">
          <cell r="A209" t="str">
            <v>Heard &amp; McDonald Islands</v>
          </cell>
        </row>
        <row r="210">
          <cell r="A210" t="str">
            <v>Haiti</v>
          </cell>
        </row>
        <row r="211">
          <cell r="A211" t="str">
            <v>British Indian Ocean Territory</v>
          </cell>
        </row>
        <row r="212">
          <cell r="A212" t="str">
            <v>Jersey</v>
          </cell>
        </row>
        <row r="213">
          <cell r="A213" t="str">
            <v>Kiribati</v>
          </cell>
        </row>
        <row r="214">
          <cell r="A214" t="str">
            <v>Liberia</v>
          </cell>
        </row>
        <row r="215">
          <cell r="A215" t="str">
            <v>Liechtenstein</v>
          </cell>
        </row>
        <row r="216">
          <cell r="A216" t="str">
            <v>St. Martin</v>
          </cell>
        </row>
        <row r="217">
          <cell r="A217" t="str">
            <v>Mali</v>
          </cell>
        </row>
        <row r="218">
          <cell r="A218" t="str">
            <v>Mauritania</v>
          </cell>
        </row>
        <row r="219">
          <cell r="A219" t="str">
            <v>Montserrat</v>
          </cell>
        </row>
        <row r="220">
          <cell r="A220" t="str">
            <v>Martinique</v>
          </cell>
        </row>
        <row r="221">
          <cell r="A221" t="str">
            <v>Mayotte</v>
          </cell>
        </row>
        <row r="222">
          <cell r="A222" t="str">
            <v>Niger</v>
          </cell>
        </row>
        <row r="223">
          <cell r="A223" t="str">
            <v>Norfolk Island</v>
          </cell>
        </row>
        <row r="224">
          <cell r="A224" t="str">
            <v>Niue</v>
          </cell>
        </row>
        <row r="225">
          <cell r="A225" t="str">
            <v>Nauru</v>
          </cell>
        </row>
        <row r="226">
          <cell r="A226" t="str">
            <v>Pitcairn Islands</v>
          </cell>
        </row>
        <row r="227">
          <cell r="A227" t="str">
            <v>North Korea</v>
          </cell>
        </row>
        <row r="228">
          <cell r="A228" t="str">
            <v>French Polynesia</v>
          </cell>
        </row>
        <row r="229">
          <cell r="A229" t="str">
            <v>RÃ©union</v>
          </cell>
        </row>
        <row r="230">
          <cell r="A230" t="str">
            <v>Senegal</v>
          </cell>
        </row>
        <row r="231">
          <cell r="A231" t="str">
            <v>South Georgia &amp; South Sandwich Islands</v>
          </cell>
        </row>
        <row r="232">
          <cell r="A232" t="str">
            <v>Svalbard &amp; Jan Mayen</v>
          </cell>
        </row>
        <row r="233">
          <cell r="A233" t="str">
            <v>Sierra Leone</v>
          </cell>
        </row>
        <row r="234">
          <cell r="A234" t="str">
            <v>San Marino</v>
          </cell>
        </row>
        <row r="235">
          <cell r="A235" t="str">
            <v>Somalia</v>
          </cell>
        </row>
        <row r="236">
          <cell r="A236" t="str">
            <v>St. Pierre &amp; Miquelon</v>
          </cell>
        </row>
        <row r="237">
          <cell r="A237" t="str">
            <v>South Sudan</v>
          </cell>
        </row>
        <row r="238">
          <cell r="A238" t="str">
            <v>SÃ£o TomÃ© &amp; PrÃ­ncipe</v>
          </cell>
        </row>
        <row r="239">
          <cell r="A239" t="str">
            <v>Eswatini</v>
          </cell>
        </row>
        <row r="240">
          <cell r="A240" t="str">
            <v>Sint Maarten</v>
          </cell>
        </row>
        <row r="241">
          <cell r="A241" t="str">
            <v>Seychelles</v>
          </cell>
        </row>
        <row r="242">
          <cell r="A242" t="str">
            <v>Turks &amp; Caicos Islands</v>
          </cell>
        </row>
        <row r="243">
          <cell r="A243" t="str">
            <v>Chad</v>
          </cell>
        </row>
        <row r="244">
          <cell r="A244" t="str">
            <v>Togo</v>
          </cell>
        </row>
        <row r="245">
          <cell r="A245" t="str">
            <v>Tokelau</v>
          </cell>
        </row>
        <row r="246">
          <cell r="A246" t="str">
            <v>Timor-Leste</v>
          </cell>
        </row>
        <row r="247">
          <cell r="A247" t="str">
            <v>Tuvalu</v>
          </cell>
        </row>
        <row r="248">
          <cell r="A248" t="str">
            <v>U.S. Outlying Islands</v>
          </cell>
        </row>
        <row r="249">
          <cell r="A249" t="str">
            <v>Vatican City</v>
          </cell>
        </row>
        <row r="250">
          <cell r="A250" t="str">
            <v>St. Vincent &amp; Grenadines</v>
          </cell>
        </row>
        <row r="251">
          <cell r="A251" t="str">
            <v>British Virgin Islands</v>
          </cell>
        </row>
        <row r="252">
          <cell r="A252" t="str">
            <v>Vanuatu</v>
          </cell>
        </row>
        <row r="253">
          <cell r="A253" t="str">
            <v>Wallis &amp; Futuna</v>
          </cell>
        </row>
      </sheetData>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19)"/>
    </sheetNames>
    <sheetDataSet>
      <sheetData sheetId="0" refreshError="1">
        <row r="1">
          <cell r="A1" t="str">
            <v>Category: All categories</v>
          </cell>
        </row>
        <row r="3">
          <cell r="A3" t="str">
            <v>Country</v>
          </cell>
          <cell r="B3" t="str">
            <v>k-means clustering: (2018)</v>
          </cell>
          <cell r="C3" t="str">
            <v>Instruction pipelining: (2018)</v>
          </cell>
        </row>
        <row r="4">
          <cell r="A4" t="str">
            <v>China</v>
          </cell>
          <cell r="B4">
            <v>0.95</v>
          </cell>
          <cell r="C4">
            <v>0.05</v>
          </cell>
        </row>
        <row r="5">
          <cell r="A5" t="str">
            <v>Cambodia</v>
          </cell>
          <cell r="B5">
            <v>1</v>
          </cell>
        </row>
        <row r="6">
          <cell r="A6" t="str">
            <v>Myanmar (Burma)</v>
          </cell>
          <cell r="B6">
            <v>1</v>
          </cell>
        </row>
        <row r="7">
          <cell r="A7" t="str">
            <v>Angola</v>
          </cell>
          <cell r="C7">
            <v>1</v>
          </cell>
        </row>
        <row r="8">
          <cell r="A8" t="str">
            <v>South Korea</v>
          </cell>
          <cell r="B8">
            <v>0.95</v>
          </cell>
          <cell r="C8">
            <v>0.05</v>
          </cell>
        </row>
        <row r="9">
          <cell r="A9" t="str">
            <v>Singapore</v>
          </cell>
          <cell r="B9">
            <v>1</v>
          </cell>
        </row>
        <row r="10">
          <cell r="A10" t="str">
            <v>Portugal</v>
          </cell>
          <cell r="B10">
            <v>0.21</v>
          </cell>
          <cell r="C10">
            <v>0.79</v>
          </cell>
        </row>
        <row r="11">
          <cell r="A11" t="str">
            <v>St. Helena</v>
          </cell>
          <cell r="B11">
            <v>0.8</v>
          </cell>
          <cell r="C11">
            <v>0.2</v>
          </cell>
        </row>
        <row r="12">
          <cell r="A12" t="str">
            <v>Pakistan</v>
          </cell>
          <cell r="B12">
            <v>0.93</v>
          </cell>
          <cell r="C12">
            <v>7.0000000000000007E-2</v>
          </cell>
        </row>
        <row r="13">
          <cell r="A13" t="str">
            <v>India</v>
          </cell>
          <cell r="B13">
            <v>0.9</v>
          </cell>
          <cell r="C13">
            <v>0.1</v>
          </cell>
        </row>
        <row r="14">
          <cell r="A14" t="str">
            <v>Czechia</v>
          </cell>
          <cell r="B14">
            <v>0.2</v>
          </cell>
          <cell r="C14">
            <v>0.8</v>
          </cell>
        </row>
        <row r="15">
          <cell r="A15" t="str">
            <v>Mozambique</v>
          </cell>
          <cell r="C15">
            <v>1</v>
          </cell>
        </row>
        <row r="16">
          <cell r="A16" t="str">
            <v>Hong Kong</v>
          </cell>
        </row>
        <row r="17">
          <cell r="A17" t="str">
            <v>Brazil</v>
          </cell>
          <cell r="B17">
            <v>0.12</v>
          </cell>
          <cell r="C17">
            <v>0.88</v>
          </cell>
        </row>
        <row r="18">
          <cell r="A18" t="str">
            <v>Ethiopia</v>
          </cell>
        </row>
        <row r="19">
          <cell r="A19" t="str">
            <v>Bangladesh</v>
          </cell>
          <cell r="B19">
            <v>0.91</v>
          </cell>
          <cell r="C19">
            <v>0.09</v>
          </cell>
        </row>
        <row r="20">
          <cell r="A20" t="str">
            <v>Costa Rica</v>
          </cell>
          <cell r="C20">
            <v>1</v>
          </cell>
        </row>
        <row r="21">
          <cell r="A21" t="str">
            <v>Taiwan</v>
          </cell>
          <cell r="B21">
            <v>0.91</v>
          </cell>
          <cell r="C21">
            <v>0.09</v>
          </cell>
        </row>
        <row r="22">
          <cell r="A22" t="str">
            <v>Tunisia</v>
          </cell>
          <cell r="B22">
            <v>1</v>
          </cell>
        </row>
        <row r="23">
          <cell r="A23" t="str">
            <v>Israel</v>
          </cell>
          <cell r="B23">
            <v>0.91</v>
          </cell>
          <cell r="C23">
            <v>0.09</v>
          </cell>
        </row>
        <row r="24">
          <cell r="A24" t="str">
            <v>Nepal</v>
          </cell>
          <cell r="B24">
            <v>1</v>
          </cell>
        </row>
        <row r="25">
          <cell r="A25" t="str">
            <v>United States</v>
          </cell>
          <cell r="B25">
            <v>0.93</v>
          </cell>
          <cell r="C25">
            <v>7.0000000000000007E-2</v>
          </cell>
        </row>
        <row r="26">
          <cell r="A26" t="str">
            <v>Ireland</v>
          </cell>
          <cell r="B26">
            <v>1</v>
          </cell>
        </row>
        <row r="27">
          <cell r="A27" t="str">
            <v>Chile</v>
          </cell>
          <cell r="B27">
            <v>0.26</v>
          </cell>
          <cell r="C27">
            <v>0.74</v>
          </cell>
        </row>
        <row r="28">
          <cell r="A28" t="str">
            <v>Spain</v>
          </cell>
          <cell r="B28">
            <v>0.26</v>
          </cell>
          <cell r="C28">
            <v>0.74</v>
          </cell>
        </row>
        <row r="29">
          <cell r="A29" t="str">
            <v>Colombia</v>
          </cell>
          <cell r="B29">
            <v>0.24</v>
          </cell>
          <cell r="C29">
            <v>0.76</v>
          </cell>
        </row>
        <row r="30">
          <cell r="A30" t="str">
            <v>Sri Lanka</v>
          </cell>
          <cell r="B30">
            <v>0.83</v>
          </cell>
          <cell r="C30">
            <v>0.17</v>
          </cell>
        </row>
        <row r="31">
          <cell r="A31" t="str">
            <v>Canada</v>
          </cell>
          <cell r="B31">
            <v>0.93</v>
          </cell>
          <cell r="C31">
            <v>7.0000000000000007E-2</v>
          </cell>
        </row>
        <row r="32">
          <cell r="A32" t="str">
            <v>Iceland</v>
          </cell>
        </row>
        <row r="33">
          <cell r="A33" t="str">
            <v>Bolivia</v>
          </cell>
        </row>
        <row r="34">
          <cell r="A34" t="str">
            <v>Qatar</v>
          </cell>
        </row>
        <row r="35">
          <cell r="A35" t="str">
            <v>Mexico</v>
          </cell>
          <cell r="B35">
            <v>0.23</v>
          </cell>
          <cell r="C35">
            <v>0.77</v>
          </cell>
        </row>
        <row r="36">
          <cell r="A36" t="str">
            <v>Denmark</v>
          </cell>
          <cell r="B36">
            <v>1</v>
          </cell>
        </row>
        <row r="37">
          <cell r="A37" t="str">
            <v>New Zealand</v>
          </cell>
          <cell r="B37">
            <v>1</v>
          </cell>
        </row>
        <row r="38">
          <cell r="A38" t="str">
            <v>Peru</v>
          </cell>
          <cell r="B38">
            <v>0.28000000000000003</v>
          </cell>
          <cell r="C38">
            <v>0.72</v>
          </cell>
        </row>
        <row r="39">
          <cell r="A39" t="str">
            <v>Australia</v>
          </cell>
          <cell r="B39">
            <v>0.97</v>
          </cell>
          <cell r="C39">
            <v>0.03</v>
          </cell>
        </row>
        <row r="40">
          <cell r="A40" t="str">
            <v>United Arab Emirates</v>
          </cell>
          <cell r="B40">
            <v>1</v>
          </cell>
        </row>
        <row r="41">
          <cell r="A41" t="str">
            <v>Morocco</v>
          </cell>
          <cell r="B41">
            <v>1</v>
          </cell>
        </row>
        <row r="42">
          <cell r="A42" t="str">
            <v>Finland</v>
          </cell>
          <cell r="B42">
            <v>1</v>
          </cell>
        </row>
        <row r="43">
          <cell r="A43" t="str">
            <v>Iran</v>
          </cell>
        </row>
        <row r="44">
          <cell r="A44" t="str">
            <v>Switzerland</v>
          </cell>
          <cell r="B44">
            <v>0.89</v>
          </cell>
          <cell r="C44">
            <v>0.11</v>
          </cell>
        </row>
        <row r="45">
          <cell r="A45" t="str">
            <v>United Kingdom</v>
          </cell>
          <cell r="B45">
            <v>0.95</v>
          </cell>
          <cell r="C45">
            <v>0.05</v>
          </cell>
        </row>
        <row r="46">
          <cell r="A46" t="str">
            <v>Panama</v>
          </cell>
          <cell r="C46">
            <v>1</v>
          </cell>
        </row>
        <row r="47">
          <cell r="A47" t="str">
            <v>Uruguay</v>
          </cell>
          <cell r="C47">
            <v>1</v>
          </cell>
        </row>
        <row r="48">
          <cell r="A48" t="str">
            <v>Indonesia</v>
          </cell>
        </row>
        <row r="49">
          <cell r="A49" t="str">
            <v>Netherlands</v>
          </cell>
          <cell r="B49">
            <v>0.84</v>
          </cell>
          <cell r="C49">
            <v>0.16</v>
          </cell>
        </row>
        <row r="50">
          <cell r="A50" t="str">
            <v>Algeria</v>
          </cell>
          <cell r="B50">
            <v>1</v>
          </cell>
        </row>
        <row r="51">
          <cell r="A51" t="str">
            <v>Greece</v>
          </cell>
          <cell r="B51">
            <v>0.54</v>
          </cell>
          <cell r="C51">
            <v>0.46</v>
          </cell>
        </row>
        <row r="52">
          <cell r="A52" t="str">
            <v>Malaysia</v>
          </cell>
          <cell r="B52">
            <v>0.91</v>
          </cell>
          <cell r="C52">
            <v>0.09</v>
          </cell>
        </row>
        <row r="53">
          <cell r="A53" t="str">
            <v>Jordan</v>
          </cell>
        </row>
        <row r="54">
          <cell r="A54" t="str">
            <v>Estonia</v>
          </cell>
        </row>
        <row r="55">
          <cell r="A55" t="str">
            <v>Ecuador</v>
          </cell>
          <cell r="B55">
            <v>0.44</v>
          </cell>
          <cell r="C55">
            <v>0.56000000000000005</v>
          </cell>
        </row>
        <row r="56">
          <cell r="A56" t="str">
            <v>Germany</v>
          </cell>
          <cell r="B56">
            <v>0.81</v>
          </cell>
          <cell r="C56">
            <v>0.19</v>
          </cell>
        </row>
        <row r="57">
          <cell r="A57" t="str">
            <v>Guatemala</v>
          </cell>
          <cell r="C57">
            <v>1</v>
          </cell>
        </row>
        <row r="58">
          <cell r="A58" t="str">
            <v>Japan</v>
          </cell>
          <cell r="B58">
            <v>0.9</v>
          </cell>
          <cell r="C58">
            <v>0.1</v>
          </cell>
        </row>
        <row r="59">
          <cell r="A59" t="str">
            <v>South Africa</v>
          </cell>
        </row>
        <row r="60">
          <cell r="A60" t="str">
            <v>Argentina</v>
          </cell>
          <cell r="B60">
            <v>0.24</v>
          </cell>
          <cell r="C60">
            <v>0.76</v>
          </cell>
        </row>
        <row r="61">
          <cell r="A61" t="str">
            <v>Norway</v>
          </cell>
          <cell r="B61">
            <v>1</v>
          </cell>
        </row>
        <row r="62">
          <cell r="A62" t="str">
            <v>France</v>
          </cell>
          <cell r="B62">
            <v>0.88</v>
          </cell>
          <cell r="C62">
            <v>0.12</v>
          </cell>
        </row>
        <row r="63">
          <cell r="A63" t="str">
            <v>Slovenia</v>
          </cell>
        </row>
        <row r="64">
          <cell r="A64" t="str">
            <v>Egypt</v>
          </cell>
          <cell r="B64">
            <v>1</v>
          </cell>
        </row>
        <row r="65">
          <cell r="A65" t="str">
            <v>Iraq</v>
          </cell>
        </row>
        <row r="66">
          <cell r="A66" t="str">
            <v>Sweden</v>
          </cell>
          <cell r="B66">
            <v>1</v>
          </cell>
        </row>
        <row r="67">
          <cell r="A67" t="str">
            <v>Lebanon</v>
          </cell>
        </row>
        <row r="68">
          <cell r="A68" t="str">
            <v>Austria</v>
          </cell>
          <cell r="B68">
            <v>0.84</v>
          </cell>
          <cell r="C68">
            <v>0.16</v>
          </cell>
        </row>
        <row r="69">
          <cell r="A69" t="str">
            <v>Philippines</v>
          </cell>
          <cell r="B69">
            <v>0.9</v>
          </cell>
          <cell r="C69">
            <v>0.1</v>
          </cell>
        </row>
        <row r="70">
          <cell r="A70" t="str">
            <v>Serbia</v>
          </cell>
        </row>
        <row r="71">
          <cell r="A71" t="str">
            <v>Lithuania</v>
          </cell>
        </row>
        <row r="72">
          <cell r="A72" t="str">
            <v>Croatia</v>
          </cell>
        </row>
        <row r="73">
          <cell r="A73" t="str">
            <v>Kenya</v>
          </cell>
        </row>
        <row r="74">
          <cell r="A74" t="str">
            <v>Saudi Arabia</v>
          </cell>
        </row>
        <row r="75">
          <cell r="A75" t="str">
            <v>Thailand</v>
          </cell>
          <cell r="B75">
            <v>0.96</v>
          </cell>
          <cell r="C75">
            <v>0.04</v>
          </cell>
        </row>
        <row r="76">
          <cell r="A76" t="str">
            <v>Romania</v>
          </cell>
        </row>
        <row r="77">
          <cell r="A77" t="str">
            <v>Hungary</v>
          </cell>
        </row>
        <row r="78">
          <cell r="A78" t="str">
            <v>Belgium</v>
          </cell>
          <cell r="B78">
            <v>0.79</v>
          </cell>
          <cell r="C78">
            <v>0.21</v>
          </cell>
        </row>
        <row r="79">
          <cell r="A79" t="str">
            <v>Nigeria</v>
          </cell>
          <cell r="B79">
            <v>0.72</v>
          </cell>
          <cell r="C79">
            <v>0.28000000000000003</v>
          </cell>
        </row>
        <row r="80">
          <cell r="A80" t="str">
            <v>Russia</v>
          </cell>
          <cell r="B80">
            <v>0.91</v>
          </cell>
          <cell r="C80">
            <v>0.09</v>
          </cell>
        </row>
        <row r="81">
          <cell r="A81" t="str">
            <v>Vietnam</v>
          </cell>
          <cell r="B81">
            <v>0.93</v>
          </cell>
          <cell r="C81">
            <v>7.0000000000000007E-2</v>
          </cell>
        </row>
        <row r="82">
          <cell r="A82" t="str">
            <v>Italy</v>
          </cell>
          <cell r="B82">
            <v>0.76</v>
          </cell>
          <cell r="C82">
            <v>0.24</v>
          </cell>
        </row>
        <row r="83">
          <cell r="A83" t="str">
            <v>Kazakhstan</v>
          </cell>
          <cell r="B83">
            <v>1</v>
          </cell>
        </row>
        <row r="84">
          <cell r="A84" t="str">
            <v>Dominican Republic</v>
          </cell>
          <cell r="C84">
            <v>1</v>
          </cell>
        </row>
        <row r="85">
          <cell r="A85" t="str">
            <v>Venezuela</v>
          </cell>
          <cell r="C85">
            <v>1</v>
          </cell>
        </row>
        <row r="86">
          <cell r="A86" t="str">
            <v>Turkey</v>
          </cell>
          <cell r="B86">
            <v>0.85</v>
          </cell>
          <cell r="C86">
            <v>0.15</v>
          </cell>
        </row>
        <row r="87">
          <cell r="A87" t="str">
            <v>Belarus</v>
          </cell>
        </row>
        <row r="88">
          <cell r="A88" t="str">
            <v>Poland</v>
          </cell>
          <cell r="B88">
            <v>0.94</v>
          </cell>
          <cell r="C88">
            <v>0.06</v>
          </cell>
        </row>
        <row r="89">
          <cell r="A89" t="str">
            <v>Ukraine</v>
          </cell>
          <cell r="B89">
            <v>1</v>
          </cell>
        </row>
        <row r="90">
          <cell r="A90" t="str">
            <v>Bulgaria</v>
          </cell>
        </row>
        <row r="91">
          <cell r="A91" t="str">
            <v>SÃ£o TomÃ© &amp; PrÃ­ncipe</v>
          </cell>
        </row>
        <row r="92">
          <cell r="A92" t="str">
            <v>Ã…land Islands</v>
          </cell>
        </row>
        <row r="93">
          <cell r="A93" t="str">
            <v>Liechtenstein</v>
          </cell>
        </row>
        <row r="94">
          <cell r="A94" t="str">
            <v>U.S. Virgin Islands</v>
          </cell>
        </row>
        <row r="95">
          <cell r="A95" t="str">
            <v>Cuba</v>
          </cell>
        </row>
        <row r="96">
          <cell r="A96" t="str">
            <v>Gibraltar</v>
          </cell>
        </row>
        <row r="97">
          <cell r="A97" t="str">
            <v>Eswatini</v>
          </cell>
        </row>
        <row r="98">
          <cell r="A98" t="str">
            <v>Gambia</v>
          </cell>
        </row>
        <row r="99">
          <cell r="A99" t="str">
            <v>St. Lucia</v>
          </cell>
        </row>
        <row r="100">
          <cell r="A100" t="str">
            <v>Botswana</v>
          </cell>
        </row>
        <row r="101">
          <cell r="A101" t="str">
            <v>Brunei</v>
          </cell>
        </row>
        <row r="102">
          <cell r="A102" t="str">
            <v>Bhutan</v>
          </cell>
        </row>
        <row r="103">
          <cell r="A103" t="str">
            <v>Lesotho</v>
          </cell>
        </row>
        <row r="104">
          <cell r="A104" t="str">
            <v>Cape Verde</v>
          </cell>
        </row>
        <row r="105">
          <cell r="A105" t="str">
            <v>Bahrain</v>
          </cell>
        </row>
        <row r="106">
          <cell r="A106" t="str">
            <v>Jamaica</v>
          </cell>
        </row>
        <row r="107">
          <cell r="A107" t="str">
            <v>Guyana</v>
          </cell>
        </row>
        <row r="108">
          <cell r="A108" t="str">
            <v>Papua New Guinea</v>
          </cell>
        </row>
        <row r="109">
          <cell r="A109" t="str">
            <v>Belize</v>
          </cell>
        </row>
        <row r="110">
          <cell r="A110" t="str">
            <v>Mauritania</v>
          </cell>
        </row>
        <row r="111">
          <cell r="A111" t="str">
            <v>Cyprus</v>
          </cell>
        </row>
        <row r="112">
          <cell r="A112" t="str">
            <v>Madagascar</v>
          </cell>
        </row>
        <row r="113">
          <cell r="A113" t="str">
            <v>Malawi</v>
          </cell>
        </row>
        <row r="114">
          <cell r="A114" t="str">
            <v>Gabon</v>
          </cell>
        </row>
        <row r="115">
          <cell r="A115" t="str">
            <v>Syria</v>
          </cell>
        </row>
        <row r="116">
          <cell r="A116" t="str">
            <v>Armenia</v>
          </cell>
        </row>
        <row r="117">
          <cell r="A117" t="str">
            <v>Barbados</v>
          </cell>
        </row>
        <row r="118">
          <cell r="A118" t="str">
            <v>Suriname</v>
          </cell>
        </row>
        <row r="119">
          <cell r="A119" t="str">
            <v>Senegal</v>
          </cell>
        </row>
        <row r="120">
          <cell r="A120" t="str">
            <v>Zimbabwe</v>
          </cell>
        </row>
        <row r="121">
          <cell r="A121" t="str">
            <v>Benin</v>
          </cell>
        </row>
        <row r="122">
          <cell r="A122" t="str">
            <v>Macao</v>
          </cell>
        </row>
        <row r="123">
          <cell r="A123" t="str">
            <v>Guinea</v>
          </cell>
        </row>
        <row r="124">
          <cell r="A124" t="str">
            <v>Trinidad &amp; Tobago</v>
          </cell>
        </row>
        <row r="125">
          <cell r="A125" t="str">
            <v>Mongolia</v>
          </cell>
        </row>
        <row r="126">
          <cell r="A126" t="str">
            <v>Rwanda</v>
          </cell>
        </row>
        <row r="127">
          <cell r="A127" t="str">
            <v>Kosovo</v>
          </cell>
        </row>
        <row r="128">
          <cell r="A128" t="str">
            <v>Albania</v>
          </cell>
        </row>
        <row r="129">
          <cell r="A129" t="str">
            <v>Namibia</v>
          </cell>
        </row>
        <row r="130">
          <cell r="A130" t="str">
            <v>Laos</v>
          </cell>
        </row>
        <row r="131">
          <cell r="A131" t="str">
            <v>Bahamas</v>
          </cell>
        </row>
        <row r="132">
          <cell r="A132" t="str">
            <v>Oman</v>
          </cell>
        </row>
        <row r="133">
          <cell r="A133" t="str">
            <v>North Macedonia</v>
          </cell>
        </row>
        <row r="134">
          <cell r="A134" t="str">
            <v>Martinique</v>
          </cell>
        </row>
        <row r="135">
          <cell r="A135" t="str">
            <v>Burkina Faso</v>
          </cell>
        </row>
        <row r="136">
          <cell r="A136" t="str">
            <v>Congo - Kinshasa</v>
          </cell>
        </row>
        <row r="137">
          <cell r="A137" t="str">
            <v>Kuwait</v>
          </cell>
        </row>
        <row r="138">
          <cell r="A138" t="str">
            <v>Yemen</v>
          </cell>
        </row>
        <row r="139">
          <cell r="A139" t="str">
            <v>Tanzania</v>
          </cell>
        </row>
        <row r="140">
          <cell r="A140" t="str">
            <v>Afghanistan</v>
          </cell>
        </row>
        <row r="141">
          <cell r="A141" t="str">
            <v>Sudan</v>
          </cell>
        </row>
        <row r="142">
          <cell r="A142" t="str">
            <v>Libya</v>
          </cell>
        </row>
        <row r="143">
          <cell r="A143" t="str">
            <v>Mauritius</v>
          </cell>
        </row>
        <row r="144">
          <cell r="A144" t="str">
            <v>Luxembourg</v>
          </cell>
        </row>
        <row r="145">
          <cell r="A145" t="str">
            <v>Palestine</v>
          </cell>
        </row>
        <row r="146">
          <cell r="A146" t="str">
            <v>Latvia</v>
          </cell>
        </row>
        <row r="147">
          <cell r="A147" t="str">
            <v>Montenegro</v>
          </cell>
        </row>
        <row r="148">
          <cell r="A148" t="str">
            <v>El Salvador</v>
          </cell>
        </row>
        <row r="149">
          <cell r="A149" t="str">
            <v>Azerbaijan</v>
          </cell>
        </row>
        <row r="150">
          <cell r="A150" t="str">
            <v>Ghana</v>
          </cell>
        </row>
        <row r="151">
          <cell r="A151" t="str">
            <v>Malta</v>
          </cell>
        </row>
        <row r="152">
          <cell r="A152" t="str">
            <v>Bosnia &amp; Herzegovina</v>
          </cell>
        </row>
        <row r="153">
          <cell r="A153" t="str">
            <v>Paraguay</v>
          </cell>
        </row>
        <row r="154">
          <cell r="A154" t="str">
            <v>Zambia</v>
          </cell>
        </row>
        <row r="155">
          <cell r="A155" t="str">
            <v>Cameroon</v>
          </cell>
        </row>
        <row r="156">
          <cell r="A156" t="str">
            <v>Georgia</v>
          </cell>
        </row>
        <row r="157">
          <cell r="A157" t="str">
            <v>RÃ©union</v>
          </cell>
        </row>
        <row r="158">
          <cell r="A158" t="str">
            <v>Slovakia</v>
          </cell>
        </row>
        <row r="159">
          <cell r="A159" t="str">
            <v>Puerto Rico</v>
          </cell>
        </row>
        <row r="160">
          <cell r="A160" t="str">
            <v>Nicaragua</v>
          </cell>
        </row>
        <row r="161">
          <cell r="A161" t="str">
            <v>Uganda</v>
          </cell>
        </row>
        <row r="162">
          <cell r="A162" t="str">
            <v>Honduras</v>
          </cell>
        </row>
        <row r="163">
          <cell r="A163" t="str">
            <v>CÃ´te dâ€™Ivoire</v>
          </cell>
        </row>
        <row r="164">
          <cell r="A164" t="str">
            <v>Moldova</v>
          </cell>
        </row>
        <row r="165">
          <cell r="A165" t="str">
            <v>Kyrgyzstan</v>
          </cell>
        </row>
        <row r="166">
          <cell r="A166" t="str">
            <v>Uzbekistan</v>
          </cell>
        </row>
        <row r="167">
          <cell r="A167" t="str">
            <v>Aruba</v>
          </cell>
        </row>
        <row r="168">
          <cell r="A168" t="str">
            <v>Anguilla</v>
          </cell>
        </row>
        <row r="169">
          <cell r="A169" t="str">
            <v>Andorra</v>
          </cell>
        </row>
        <row r="170">
          <cell r="A170" t="str">
            <v>American Samoa</v>
          </cell>
        </row>
        <row r="171">
          <cell r="A171" t="str">
            <v>Antarctica</v>
          </cell>
        </row>
        <row r="172">
          <cell r="A172" t="str">
            <v>French Southern Territories</v>
          </cell>
        </row>
        <row r="173">
          <cell r="A173" t="str">
            <v>Antigua &amp; Barbuda</v>
          </cell>
        </row>
        <row r="174">
          <cell r="A174" t="str">
            <v>Burundi</v>
          </cell>
        </row>
        <row r="175">
          <cell r="A175" t="str">
            <v>Caribbean Netherlands</v>
          </cell>
        </row>
        <row r="176">
          <cell r="A176" t="str">
            <v>St. BarthÃ©lemy</v>
          </cell>
        </row>
        <row r="177">
          <cell r="A177" t="str">
            <v>Bermuda</v>
          </cell>
        </row>
        <row r="178">
          <cell r="A178" t="str">
            <v>Bouvet Island</v>
          </cell>
        </row>
        <row r="179">
          <cell r="A179" t="str">
            <v>Central African Republic</v>
          </cell>
        </row>
        <row r="180">
          <cell r="A180" t="str">
            <v>Cocos (Keeling) Islands</v>
          </cell>
        </row>
        <row r="181">
          <cell r="A181" t="str">
            <v>Congo - Brazzaville</v>
          </cell>
        </row>
        <row r="182">
          <cell r="A182" t="str">
            <v>Cook Islands</v>
          </cell>
        </row>
        <row r="183">
          <cell r="A183" t="str">
            <v>Comoros</v>
          </cell>
        </row>
        <row r="184">
          <cell r="A184" t="str">
            <v>CuraÃ§ao</v>
          </cell>
        </row>
        <row r="185">
          <cell r="A185" t="str">
            <v>Christmas Island</v>
          </cell>
        </row>
        <row r="186">
          <cell r="A186" t="str">
            <v>Cayman Islands</v>
          </cell>
        </row>
        <row r="187">
          <cell r="A187" t="str">
            <v>Djibouti</v>
          </cell>
        </row>
        <row r="188">
          <cell r="A188" t="str">
            <v>Dominica</v>
          </cell>
        </row>
        <row r="189">
          <cell r="A189" t="str">
            <v>Eritrea</v>
          </cell>
        </row>
        <row r="190">
          <cell r="A190" t="str">
            <v>Western Sahara</v>
          </cell>
        </row>
        <row r="191">
          <cell r="A191" t="str">
            <v>Fiji</v>
          </cell>
        </row>
        <row r="192">
          <cell r="A192" t="str">
            <v>Falkland Islands (Islas Malvinas)</v>
          </cell>
        </row>
        <row r="193">
          <cell r="A193" t="str">
            <v>Faroe Islands</v>
          </cell>
        </row>
        <row r="194">
          <cell r="A194" t="str">
            <v>Micronesia</v>
          </cell>
        </row>
        <row r="195">
          <cell r="A195" t="str">
            <v>Guernsey</v>
          </cell>
        </row>
        <row r="196">
          <cell r="A196" t="str">
            <v>Guadeloupe</v>
          </cell>
        </row>
        <row r="197">
          <cell r="A197" t="str">
            <v>Guinea-Bissau</v>
          </cell>
        </row>
        <row r="198">
          <cell r="A198" t="str">
            <v>Equatorial Guinea</v>
          </cell>
        </row>
        <row r="199">
          <cell r="A199" t="str">
            <v>Grenada</v>
          </cell>
        </row>
        <row r="200">
          <cell r="A200" t="str">
            <v>Greenland</v>
          </cell>
        </row>
        <row r="201">
          <cell r="A201" t="str">
            <v>French Guiana</v>
          </cell>
        </row>
        <row r="202">
          <cell r="A202" t="str">
            <v>Guam</v>
          </cell>
        </row>
        <row r="203">
          <cell r="A203" t="str">
            <v>Heard &amp; McDonald Islands</v>
          </cell>
        </row>
        <row r="204">
          <cell r="A204" t="str">
            <v>Haiti</v>
          </cell>
        </row>
        <row r="205">
          <cell r="A205" t="str">
            <v>Isle of Man</v>
          </cell>
        </row>
        <row r="206">
          <cell r="A206" t="str">
            <v>British Indian Ocean Territory</v>
          </cell>
        </row>
        <row r="207">
          <cell r="A207" t="str">
            <v>Jersey</v>
          </cell>
        </row>
        <row r="208">
          <cell r="A208" t="str">
            <v>Kiribati</v>
          </cell>
        </row>
        <row r="209">
          <cell r="A209" t="str">
            <v>St. Kitts &amp; Nevis</v>
          </cell>
        </row>
        <row r="210">
          <cell r="A210" t="str">
            <v>Liberia</v>
          </cell>
        </row>
        <row r="211">
          <cell r="A211" t="str">
            <v>St. Martin</v>
          </cell>
        </row>
        <row r="212">
          <cell r="A212" t="str">
            <v>Monaco</v>
          </cell>
        </row>
        <row r="213">
          <cell r="A213" t="str">
            <v>Maldives</v>
          </cell>
        </row>
        <row r="214">
          <cell r="A214" t="str">
            <v>Marshall Islands</v>
          </cell>
        </row>
        <row r="215">
          <cell r="A215" t="str">
            <v>Mali</v>
          </cell>
        </row>
        <row r="216">
          <cell r="A216" t="str">
            <v>Northern Mariana Islands</v>
          </cell>
        </row>
        <row r="217">
          <cell r="A217" t="str">
            <v>Montserrat</v>
          </cell>
        </row>
        <row r="218">
          <cell r="A218" t="str">
            <v>Mayotte</v>
          </cell>
        </row>
        <row r="219">
          <cell r="A219" t="str">
            <v>New Caledonia</v>
          </cell>
        </row>
        <row r="220">
          <cell r="A220" t="str">
            <v>Niger</v>
          </cell>
        </row>
        <row r="221">
          <cell r="A221" t="str">
            <v>Norfolk Island</v>
          </cell>
        </row>
        <row r="222">
          <cell r="A222" t="str">
            <v>Niue</v>
          </cell>
        </row>
        <row r="223">
          <cell r="A223" t="str">
            <v>Nauru</v>
          </cell>
        </row>
        <row r="224">
          <cell r="A224" t="str">
            <v>Pitcairn Islands</v>
          </cell>
        </row>
        <row r="225">
          <cell r="A225" t="str">
            <v>Palau</v>
          </cell>
        </row>
        <row r="226">
          <cell r="A226" t="str">
            <v>North Korea</v>
          </cell>
        </row>
        <row r="227">
          <cell r="A227" t="str">
            <v>French Polynesia</v>
          </cell>
        </row>
        <row r="228">
          <cell r="A228" t="str">
            <v>South Georgia &amp; South Sandwich Islands</v>
          </cell>
        </row>
        <row r="229">
          <cell r="A229" t="str">
            <v>Svalbard &amp; Jan Mayen</v>
          </cell>
        </row>
        <row r="230">
          <cell r="A230" t="str">
            <v>Solomon Islands</v>
          </cell>
        </row>
        <row r="231">
          <cell r="A231" t="str">
            <v>Sierra Leone</v>
          </cell>
        </row>
        <row r="232">
          <cell r="A232" t="str">
            <v>San Marino</v>
          </cell>
        </row>
        <row r="233">
          <cell r="A233" t="str">
            <v>Somalia</v>
          </cell>
        </row>
        <row r="234">
          <cell r="A234" t="str">
            <v>St. Pierre &amp; Miquelon</v>
          </cell>
        </row>
        <row r="235">
          <cell r="A235" t="str">
            <v>South Sudan</v>
          </cell>
        </row>
        <row r="236">
          <cell r="A236" t="str">
            <v>Sint Maarten</v>
          </cell>
        </row>
        <row r="237">
          <cell r="A237" t="str">
            <v>Seychelles</v>
          </cell>
        </row>
        <row r="238">
          <cell r="A238" t="str">
            <v>Turks &amp; Caicos Islands</v>
          </cell>
        </row>
        <row r="239">
          <cell r="A239" t="str">
            <v>Chad</v>
          </cell>
        </row>
        <row r="240">
          <cell r="A240" t="str">
            <v>Togo</v>
          </cell>
        </row>
        <row r="241">
          <cell r="A241" t="str">
            <v>Tajikistan</v>
          </cell>
        </row>
        <row r="242">
          <cell r="A242" t="str">
            <v>Tokelau</v>
          </cell>
        </row>
        <row r="243">
          <cell r="A243" t="str">
            <v>Turkmenistan</v>
          </cell>
        </row>
        <row r="244">
          <cell r="A244" t="str">
            <v>Timor-Leste</v>
          </cell>
        </row>
        <row r="245">
          <cell r="A245" t="str">
            <v>Tonga</v>
          </cell>
        </row>
        <row r="246">
          <cell r="A246" t="str">
            <v>Tuvalu</v>
          </cell>
        </row>
        <row r="247">
          <cell r="A247" t="str">
            <v>U.S. Outlying Islands</v>
          </cell>
        </row>
        <row r="248">
          <cell r="A248" t="str">
            <v>Vatican City</v>
          </cell>
        </row>
        <row r="249">
          <cell r="A249" t="str">
            <v>St. Vincent &amp; Grenadines</v>
          </cell>
        </row>
        <row r="250">
          <cell r="A250" t="str">
            <v>British Virgin Islands</v>
          </cell>
        </row>
        <row r="251">
          <cell r="A251" t="str">
            <v>Vanuatu</v>
          </cell>
        </row>
        <row r="252">
          <cell r="A252" t="str">
            <v>Wallis &amp; Futuna</v>
          </cell>
        </row>
        <row r="253">
          <cell r="A253" t="str">
            <v>Samoa</v>
          </cell>
        </row>
      </sheetData>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39)"/>
    </sheetNames>
    <sheetDataSet>
      <sheetData sheetId="0" refreshError="1">
        <row r="1">
          <cell r="A1" t="str">
            <v>Category: All categories</v>
          </cell>
        </row>
        <row r="3">
          <cell r="A3" t="str">
            <v>Country</v>
          </cell>
          <cell r="B3" t="str">
            <v>Edge detection: (2018)</v>
          </cell>
          <cell r="C3" t="str">
            <v>Concurrency control: (2018)</v>
          </cell>
        </row>
        <row r="4">
          <cell r="A4" t="str">
            <v>China</v>
          </cell>
          <cell r="B4">
            <v>0.63</v>
          </cell>
          <cell r="C4">
            <v>0.37</v>
          </cell>
        </row>
        <row r="5">
          <cell r="A5" t="str">
            <v>Malawi</v>
          </cell>
          <cell r="C5">
            <v>1</v>
          </cell>
        </row>
        <row r="6">
          <cell r="A6" t="str">
            <v>Ethiopia</v>
          </cell>
          <cell r="C6">
            <v>1</v>
          </cell>
        </row>
        <row r="7">
          <cell r="A7" t="str">
            <v>Zimbabwe</v>
          </cell>
          <cell r="C7">
            <v>1</v>
          </cell>
        </row>
        <row r="8">
          <cell r="A8" t="str">
            <v>Nepal</v>
          </cell>
          <cell r="C8">
            <v>1</v>
          </cell>
        </row>
        <row r="9">
          <cell r="A9" t="str">
            <v>South Korea</v>
          </cell>
          <cell r="B9">
            <v>0.92</v>
          </cell>
          <cell r="C9">
            <v>0.08</v>
          </cell>
        </row>
        <row r="10">
          <cell r="A10" t="str">
            <v>Kenya</v>
          </cell>
          <cell r="C10">
            <v>1</v>
          </cell>
        </row>
        <row r="11">
          <cell r="A11" t="str">
            <v>Singapore</v>
          </cell>
          <cell r="B11">
            <v>0.88</v>
          </cell>
          <cell r="C11">
            <v>0.12</v>
          </cell>
        </row>
        <row r="12">
          <cell r="A12" t="str">
            <v>Pakistan</v>
          </cell>
          <cell r="B12">
            <v>0.7</v>
          </cell>
          <cell r="C12">
            <v>0.3</v>
          </cell>
        </row>
        <row r="13">
          <cell r="A13" t="str">
            <v>India</v>
          </cell>
          <cell r="B13">
            <v>0.53</v>
          </cell>
          <cell r="C13">
            <v>0.47</v>
          </cell>
        </row>
        <row r="14">
          <cell r="A14" t="str">
            <v>Sri Lanka</v>
          </cell>
          <cell r="B14">
            <v>0.37</v>
          </cell>
          <cell r="C14">
            <v>0.63</v>
          </cell>
        </row>
        <row r="15">
          <cell r="A15" t="str">
            <v>St. Helena</v>
          </cell>
          <cell r="B15">
            <v>0.75</v>
          </cell>
          <cell r="C15">
            <v>0.25</v>
          </cell>
        </row>
        <row r="16">
          <cell r="A16" t="str">
            <v>Hong Kong</v>
          </cell>
          <cell r="B16">
            <v>0.83</v>
          </cell>
          <cell r="C16">
            <v>0.17</v>
          </cell>
        </row>
        <row r="17">
          <cell r="A17" t="str">
            <v>Switzerland</v>
          </cell>
          <cell r="B17">
            <v>1</v>
          </cell>
        </row>
        <row r="18">
          <cell r="A18" t="str">
            <v>Israel</v>
          </cell>
          <cell r="B18">
            <v>1</v>
          </cell>
        </row>
        <row r="19">
          <cell r="A19" t="str">
            <v>Japan</v>
          </cell>
          <cell r="B19">
            <v>0.97</v>
          </cell>
          <cell r="C19">
            <v>0.03</v>
          </cell>
        </row>
        <row r="20">
          <cell r="A20" t="str">
            <v>Taiwan</v>
          </cell>
          <cell r="B20">
            <v>0.89</v>
          </cell>
          <cell r="C20">
            <v>0.11</v>
          </cell>
        </row>
        <row r="21">
          <cell r="A21" t="str">
            <v>Bangladesh</v>
          </cell>
          <cell r="B21">
            <v>1</v>
          </cell>
        </row>
        <row r="22">
          <cell r="A22" t="str">
            <v>Denmark</v>
          </cell>
          <cell r="B22">
            <v>1</v>
          </cell>
        </row>
        <row r="23">
          <cell r="A23" t="str">
            <v>Iraq</v>
          </cell>
          <cell r="B23">
            <v>1</v>
          </cell>
        </row>
        <row r="24">
          <cell r="A24" t="str">
            <v>Malaysia</v>
          </cell>
          <cell r="B24">
            <v>0.82</v>
          </cell>
          <cell r="C24">
            <v>0.18</v>
          </cell>
        </row>
        <row r="25">
          <cell r="A25" t="str">
            <v>Tunisia</v>
          </cell>
          <cell r="B25">
            <v>1</v>
          </cell>
        </row>
        <row r="26">
          <cell r="A26" t="str">
            <v>Belgium</v>
          </cell>
          <cell r="B26">
            <v>1</v>
          </cell>
        </row>
        <row r="27">
          <cell r="A27" t="str">
            <v>Canada</v>
          </cell>
          <cell r="B27">
            <v>0.87</v>
          </cell>
          <cell r="C27">
            <v>0.13</v>
          </cell>
        </row>
        <row r="28">
          <cell r="A28" t="str">
            <v>Germany</v>
          </cell>
          <cell r="B28">
            <v>0.95</v>
          </cell>
          <cell r="C28">
            <v>0.05</v>
          </cell>
        </row>
        <row r="29">
          <cell r="A29" t="str">
            <v>Ireland</v>
          </cell>
          <cell r="B29">
            <v>0.75</v>
          </cell>
          <cell r="C29">
            <v>0.25</v>
          </cell>
        </row>
        <row r="30">
          <cell r="A30" t="str">
            <v>Egypt</v>
          </cell>
          <cell r="B30">
            <v>1</v>
          </cell>
        </row>
        <row r="31">
          <cell r="A31" t="str">
            <v>Czechia</v>
          </cell>
          <cell r="B31">
            <v>1</v>
          </cell>
        </row>
        <row r="32">
          <cell r="A32" t="str">
            <v>Algeria</v>
          </cell>
          <cell r="B32">
            <v>1</v>
          </cell>
        </row>
        <row r="33">
          <cell r="A33" t="str">
            <v>United States</v>
          </cell>
          <cell r="B33">
            <v>0.83</v>
          </cell>
          <cell r="C33">
            <v>0.17</v>
          </cell>
        </row>
        <row r="34">
          <cell r="A34" t="str">
            <v>Austria</v>
          </cell>
          <cell r="B34">
            <v>1</v>
          </cell>
        </row>
        <row r="35">
          <cell r="A35" t="str">
            <v>Sweden</v>
          </cell>
          <cell r="B35">
            <v>1</v>
          </cell>
        </row>
        <row r="36">
          <cell r="A36" t="str">
            <v>Netherlands</v>
          </cell>
          <cell r="B36">
            <v>0.84</v>
          </cell>
          <cell r="C36">
            <v>0.16</v>
          </cell>
        </row>
        <row r="37">
          <cell r="A37" t="str">
            <v>Iran</v>
          </cell>
          <cell r="B37">
            <v>0.83</v>
          </cell>
          <cell r="C37">
            <v>0.17</v>
          </cell>
        </row>
        <row r="38">
          <cell r="A38" t="str">
            <v>Australia</v>
          </cell>
          <cell r="B38">
            <v>0.84</v>
          </cell>
          <cell r="C38">
            <v>0.16</v>
          </cell>
        </row>
        <row r="39">
          <cell r="A39" t="str">
            <v>Hungary</v>
          </cell>
          <cell r="B39">
            <v>1</v>
          </cell>
        </row>
        <row r="40">
          <cell r="A40" t="str">
            <v>South Africa</v>
          </cell>
          <cell r="B40">
            <v>0.66</v>
          </cell>
          <cell r="C40">
            <v>0.34</v>
          </cell>
        </row>
        <row r="41">
          <cell r="A41" t="str">
            <v>United Kingdom</v>
          </cell>
          <cell r="B41">
            <v>0.91</v>
          </cell>
          <cell r="C41">
            <v>0.09</v>
          </cell>
        </row>
        <row r="42">
          <cell r="A42" t="str">
            <v>Tanzania</v>
          </cell>
          <cell r="C42">
            <v>1</v>
          </cell>
        </row>
        <row r="43">
          <cell r="A43" t="str">
            <v>Finland</v>
          </cell>
          <cell r="B43">
            <v>1</v>
          </cell>
        </row>
        <row r="44">
          <cell r="A44" t="str">
            <v>United Arab Emirates</v>
          </cell>
          <cell r="B44">
            <v>1</v>
          </cell>
        </row>
        <row r="45">
          <cell r="A45" t="str">
            <v>New Zealand</v>
          </cell>
          <cell r="B45">
            <v>1</v>
          </cell>
        </row>
        <row r="46">
          <cell r="A46" t="str">
            <v>Norway</v>
          </cell>
          <cell r="B46">
            <v>1</v>
          </cell>
        </row>
        <row r="47">
          <cell r="A47" t="str">
            <v>Turkey</v>
          </cell>
          <cell r="B47">
            <v>0.98</v>
          </cell>
          <cell r="C47">
            <v>0.02</v>
          </cell>
        </row>
        <row r="48">
          <cell r="A48" t="str">
            <v>Vietnam</v>
          </cell>
          <cell r="B48">
            <v>0.86</v>
          </cell>
          <cell r="C48">
            <v>0.14000000000000001</v>
          </cell>
        </row>
        <row r="49">
          <cell r="A49" t="str">
            <v>Thailand</v>
          </cell>
          <cell r="B49">
            <v>0.75</v>
          </cell>
          <cell r="C49">
            <v>0.25</v>
          </cell>
        </row>
        <row r="50">
          <cell r="A50" t="str">
            <v>Philippines</v>
          </cell>
          <cell r="B50">
            <v>0.73</v>
          </cell>
          <cell r="C50">
            <v>0.27</v>
          </cell>
        </row>
        <row r="51">
          <cell r="A51" t="str">
            <v>Indonesia</v>
          </cell>
          <cell r="B51">
            <v>0.85</v>
          </cell>
          <cell r="C51">
            <v>0.15</v>
          </cell>
        </row>
        <row r="52">
          <cell r="A52" t="str">
            <v>France</v>
          </cell>
          <cell r="B52">
            <v>0.97</v>
          </cell>
          <cell r="C52">
            <v>0.03</v>
          </cell>
        </row>
        <row r="53">
          <cell r="A53" t="str">
            <v>Morocco</v>
          </cell>
          <cell r="B53">
            <v>1</v>
          </cell>
        </row>
        <row r="54">
          <cell r="A54" t="str">
            <v>Nigeria</v>
          </cell>
          <cell r="C54">
            <v>1</v>
          </cell>
        </row>
        <row r="55">
          <cell r="A55" t="str">
            <v>Portugal</v>
          </cell>
          <cell r="B55">
            <v>1</v>
          </cell>
        </row>
        <row r="56">
          <cell r="A56" t="str">
            <v>Romania</v>
          </cell>
          <cell r="B56">
            <v>1</v>
          </cell>
        </row>
        <row r="57">
          <cell r="A57" t="str">
            <v>Poland</v>
          </cell>
          <cell r="B57">
            <v>1</v>
          </cell>
        </row>
        <row r="58">
          <cell r="A58" t="str">
            <v>Russia</v>
          </cell>
          <cell r="B58">
            <v>1</v>
          </cell>
        </row>
        <row r="59">
          <cell r="A59" t="str">
            <v>Spain</v>
          </cell>
          <cell r="B59">
            <v>1</v>
          </cell>
        </row>
        <row r="60">
          <cell r="A60" t="str">
            <v>Bolivia</v>
          </cell>
          <cell r="C60">
            <v>1</v>
          </cell>
        </row>
        <row r="61">
          <cell r="A61" t="str">
            <v>Italy</v>
          </cell>
          <cell r="B61">
            <v>1</v>
          </cell>
        </row>
        <row r="62">
          <cell r="A62" t="str">
            <v>Mexico</v>
          </cell>
          <cell r="B62">
            <v>1</v>
          </cell>
        </row>
        <row r="63">
          <cell r="A63" t="str">
            <v>Colombia</v>
          </cell>
          <cell r="B63">
            <v>1</v>
          </cell>
        </row>
        <row r="64">
          <cell r="A64" t="str">
            <v>Greece</v>
          </cell>
          <cell r="B64">
            <v>1</v>
          </cell>
        </row>
        <row r="65">
          <cell r="A65" t="str">
            <v>Ukraine</v>
          </cell>
          <cell r="B65">
            <v>1</v>
          </cell>
        </row>
        <row r="66">
          <cell r="A66" t="str">
            <v>Saudi Arabia</v>
          </cell>
          <cell r="B66">
            <v>0.64</v>
          </cell>
          <cell r="C66">
            <v>0.36</v>
          </cell>
        </row>
        <row r="67">
          <cell r="A67" t="str">
            <v>Brazil</v>
          </cell>
          <cell r="B67">
            <v>1</v>
          </cell>
        </row>
        <row r="68">
          <cell r="A68" t="str">
            <v>Andorra</v>
          </cell>
        </row>
        <row r="69">
          <cell r="A69" t="str">
            <v>French Guiana</v>
          </cell>
        </row>
        <row r="70">
          <cell r="A70" t="str">
            <v>French Polynesia</v>
          </cell>
        </row>
        <row r="71">
          <cell r="A71" t="str">
            <v>Botswana</v>
          </cell>
        </row>
        <row r="72">
          <cell r="A72" t="str">
            <v>Macao</v>
          </cell>
        </row>
        <row r="73">
          <cell r="A73" t="str">
            <v>Benin</v>
          </cell>
        </row>
        <row r="74">
          <cell r="A74" t="str">
            <v>Malta</v>
          </cell>
        </row>
        <row r="75">
          <cell r="A75" t="str">
            <v>Myanmar (Burma)</v>
          </cell>
        </row>
        <row r="76">
          <cell r="A76" t="str">
            <v>Brunei</v>
          </cell>
        </row>
        <row r="77">
          <cell r="A77" t="str">
            <v>Palestine</v>
          </cell>
        </row>
        <row r="78">
          <cell r="A78" t="str">
            <v>Mongolia</v>
          </cell>
        </row>
        <row r="79">
          <cell r="A79" t="str">
            <v>Syria</v>
          </cell>
        </row>
        <row r="80">
          <cell r="A80" t="str">
            <v>Slovenia</v>
          </cell>
        </row>
        <row r="81">
          <cell r="A81" t="str">
            <v>Yemen</v>
          </cell>
        </row>
        <row r="82">
          <cell r="A82" t="str">
            <v>Congo - Kinshasa</v>
          </cell>
        </row>
        <row r="83">
          <cell r="A83" t="str">
            <v>Libya</v>
          </cell>
        </row>
        <row r="84">
          <cell r="A84" t="str">
            <v>Qatar</v>
          </cell>
        </row>
        <row r="85">
          <cell r="A85" t="str">
            <v>Jamaica</v>
          </cell>
        </row>
        <row r="86">
          <cell r="A86" t="str">
            <v>Nicaragua</v>
          </cell>
        </row>
        <row r="87">
          <cell r="A87" t="str">
            <v>Uganda</v>
          </cell>
        </row>
        <row r="88">
          <cell r="A88" t="str">
            <v>North Macedonia</v>
          </cell>
        </row>
        <row r="89">
          <cell r="A89" t="str">
            <v>Sudan</v>
          </cell>
        </row>
        <row r="90">
          <cell r="A90" t="str">
            <v>Slovakia</v>
          </cell>
        </row>
        <row r="91">
          <cell r="A91" t="str">
            <v>Lebanon</v>
          </cell>
        </row>
        <row r="92">
          <cell r="A92" t="str">
            <v>Oman</v>
          </cell>
        </row>
        <row r="93">
          <cell r="A93" t="str">
            <v>Cyprus</v>
          </cell>
        </row>
        <row r="94">
          <cell r="A94" t="str">
            <v>Estonia</v>
          </cell>
        </row>
        <row r="95">
          <cell r="A95" t="str">
            <v>Honduras</v>
          </cell>
        </row>
        <row r="96">
          <cell r="A96" t="str">
            <v>Moldova</v>
          </cell>
        </row>
        <row r="97">
          <cell r="A97" t="str">
            <v>Ghana</v>
          </cell>
        </row>
        <row r="98">
          <cell r="A98" t="str">
            <v>Latvia</v>
          </cell>
        </row>
        <row r="99">
          <cell r="A99" t="str">
            <v>Serbia</v>
          </cell>
        </row>
        <row r="100">
          <cell r="A100" t="str">
            <v>Bulgaria</v>
          </cell>
        </row>
        <row r="101">
          <cell r="A101" t="str">
            <v>Kuwait</v>
          </cell>
        </row>
        <row r="102">
          <cell r="A102" t="str">
            <v>Belarus</v>
          </cell>
        </row>
        <row r="103">
          <cell r="A103" t="str">
            <v>Peru</v>
          </cell>
        </row>
        <row r="104">
          <cell r="A104" t="str">
            <v>Jordan</v>
          </cell>
        </row>
        <row r="105">
          <cell r="A105" t="str">
            <v>Costa Rica</v>
          </cell>
        </row>
        <row r="106">
          <cell r="A106" t="str">
            <v>Lithuania</v>
          </cell>
        </row>
        <row r="107">
          <cell r="A107" t="str">
            <v>Ecuador</v>
          </cell>
        </row>
        <row r="108">
          <cell r="A108" t="str">
            <v>Chile</v>
          </cell>
        </row>
        <row r="109">
          <cell r="A109" t="str">
            <v>Croatia</v>
          </cell>
        </row>
        <row r="110">
          <cell r="A110" t="str">
            <v>Kazakhstan</v>
          </cell>
        </row>
        <row r="111">
          <cell r="A111" t="str">
            <v>Argentina</v>
          </cell>
        </row>
        <row r="112">
          <cell r="A112" t="str">
            <v>Venezuela</v>
          </cell>
        </row>
        <row r="113">
          <cell r="A113" t="str">
            <v>Aruba</v>
          </cell>
        </row>
        <row r="114">
          <cell r="A114" t="str">
            <v>Afghanistan</v>
          </cell>
        </row>
        <row r="115">
          <cell r="A115" t="str">
            <v>Angola</v>
          </cell>
        </row>
        <row r="116">
          <cell r="A116" t="str">
            <v>Anguilla</v>
          </cell>
        </row>
        <row r="117">
          <cell r="A117" t="str">
            <v>Ã…land Islands</v>
          </cell>
        </row>
        <row r="118">
          <cell r="A118" t="str">
            <v>Albania</v>
          </cell>
        </row>
        <row r="119">
          <cell r="A119" t="str">
            <v>Armenia</v>
          </cell>
        </row>
        <row r="120">
          <cell r="A120" t="str">
            <v>American Samoa</v>
          </cell>
        </row>
        <row r="121">
          <cell r="A121" t="str">
            <v>Antarctica</v>
          </cell>
        </row>
        <row r="122">
          <cell r="A122" t="str">
            <v>French Southern Territories</v>
          </cell>
        </row>
        <row r="123">
          <cell r="A123" t="str">
            <v>Antigua &amp; Barbuda</v>
          </cell>
        </row>
        <row r="124">
          <cell r="A124" t="str">
            <v>Azerbaijan</v>
          </cell>
        </row>
        <row r="125">
          <cell r="A125" t="str">
            <v>Burundi</v>
          </cell>
        </row>
        <row r="126">
          <cell r="A126" t="str">
            <v>Caribbean Netherlands</v>
          </cell>
        </row>
        <row r="127">
          <cell r="A127" t="str">
            <v>Burkina Faso</v>
          </cell>
        </row>
        <row r="128">
          <cell r="A128" t="str">
            <v>Bahrain</v>
          </cell>
        </row>
        <row r="129">
          <cell r="A129" t="str">
            <v>Bahamas</v>
          </cell>
        </row>
        <row r="130">
          <cell r="A130" t="str">
            <v>Bosnia &amp; Herzegovina</v>
          </cell>
        </row>
        <row r="131">
          <cell r="A131" t="str">
            <v>St. BarthÃ©lemy</v>
          </cell>
        </row>
        <row r="132">
          <cell r="A132" t="str">
            <v>Belize</v>
          </cell>
        </row>
        <row r="133">
          <cell r="A133" t="str">
            <v>Bermuda</v>
          </cell>
        </row>
        <row r="134">
          <cell r="A134" t="str">
            <v>Barbados</v>
          </cell>
        </row>
        <row r="135">
          <cell r="A135" t="str">
            <v>Bhutan</v>
          </cell>
        </row>
        <row r="136">
          <cell r="A136" t="str">
            <v>Bouvet Island</v>
          </cell>
        </row>
        <row r="137">
          <cell r="A137" t="str">
            <v>Central African Republic</v>
          </cell>
        </row>
        <row r="138">
          <cell r="A138" t="str">
            <v>Cocos (Keeling) Islands</v>
          </cell>
        </row>
        <row r="139">
          <cell r="A139" t="str">
            <v>CÃ´te dâ€™Ivoire</v>
          </cell>
        </row>
        <row r="140">
          <cell r="A140" t="str">
            <v>Cameroon</v>
          </cell>
        </row>
        <row r="141">
          <cell r="A141" t="str">
            <v>Congo - Brazzaville</v>
          </cell>
        </row>
        <row r="142">
          <cell r="A142" t="str">
            <v>Cook Islands</v>
          </cell>
        </row>
        <row r="143">
          <cell r="A143" t="str">
            <v>Comoros</v>
          </cell>
        </row>
        <row r="144">
          <cell r="A144" t="str">
            <v>Cape Verde</v>
          </cell>
        </row>
        <row r="145">
          <cell r="A145" t="str">
            <v>Cuba</v>
          </cell>
        </row>
        <row r="146">
          <cell r="A146" t="str">
            <v>CuraÃ§ao</v>
          </cell>
        </row>
        <row r="147">
          <cell r="A147" t="str">
            <v>Christmas Island</v>
          </cell>
        </row>
        <row r="148">
          <cell r="A148" t="str">
            <v>Cayman Islands</v>
          </cell>
        </row>
        <row r="149">
          <cell r="A149" t="str">
            <v>Djibouti</v>
          </cell>
        </row>
        <row r="150">
          <cell r="A150" t="str">
            <v>Dominica</v>
          </cell>
        </row>
        <row r="151">
          <cell r="A151" t="str">
            <v>Dominican Republic</v>
          </cell>
        </row>
        <row r="152">
          <cell r="A152" t="str">
            <v>Eritrea</v>
          </cell>
        </row>
        <row r="153">
          <cell r="A153" t="str">
            <v>Western Sahara</v>
          </cell>
        </row>
        <row r="154">
          <cell r="A154" t="str">
            <v>Fiji</v>
          </cell>
        </row>
        <row r="155">
          <cell r="A155" t="str">
            <v>Falkland Islands (Islas Malvinas)</v>
          </cell>
        </row>
        <row r="156">
          <cell r="A156" t="str">
            <v>Faroe Islands</v>
          </cell>
        </row>
        <row r="157">
          <cell r="A157" t="str">
            <v>Micronesia</v>
          </cell>
        </row>
        <row r="158">
          <cell r="A158" t="str">
            <v>Gabon</v>
          </cell>
        </row>
        <row r="159">
          <cell r="A159" t="str">
            <v>Georgia</v>
          </cell>
        </row>
        <row r="160">
          <cell r="A160" t="str">
            <v>Guernsey</v>
          </cell>
        </row>
        <row r="161">
          <cell r="A161" t="str">
            <v>Gibraltar</v>
          </cell>
        </row>
        <row r="162">
          <cell r="A162" t="str">
            <v>Guinea</v>
          </cell>
        </row>
        <row r="163">
          <cell r="A163" t="str">
            <v>Guadeloupe</v>
          </cell>
        </row>
        <row r="164">
          <cell r="A164" t="str">
            <v>Gambia</v>
          </cell>
        </row>
        <row r="165">
          <cell r="A165" t="str">
            <v>Guinea-Bissau</v>
          </cell>
        </row>
        <row r="166">
          <cell r="A166" t="str">
            <v>Equatorial Guinea</v>
          </cell>
        </row>
        <row r="167">
          <cell r="A167" t="str">
            <v>Grenada</v>
          </cell>
        </row>
        <row r="168">
          <cell r="A168" t="str">
            <v>Greenland</v>
          </cell>
        </row>
        <row r="169">
          <cell r="A169" t="str">
            <v>Guatemala</v>
          </cell>
        </row>
        <row r="170">
          <cell r="A170" t="str">
            <v>Guam</v>
          </cell>
        </row>
        <row r="171">
          <cell r="A171" t="str">
            <v>Guyana</v>
          </cell>
        </row>
        <row r="172">
          <cell r="A172" t="str">
            <v>Heard &amp; McDonald Islands</v>
          </cell>
        </row>
        <row r="173">
          <cell r="A173" t="str">
            <v>Haiti</v>
          </cell>
        </row>
        <row r="174">
          <cell r="A174" t="str">
            <v>Isle of Man</v>
          </cell>
        </row>
        <row r="175">
          <cell r="A175" t="str">
            <v>British Indian Ocean Territory</v>
          </cell>
        </row>
        <row r="176">
          <cell r="A176" t="str">
            <v>Iceland</v>
          </cell>
        </row>
        <row r="177">
          <cell r="A177" t="str">
            <v>Jersey</v>
          </cell>
        </row>
        <row r="178">
          <cell r="A178" t="str">
            <v>Kyrgyzstan</v>
          </cell>
        </row>
        <row r="179">
          <cell r="A179" t="str">
            <v>Cambodia</v>
          </cell>
        </row>
        <row r="180">
          <cell r="A180" t="str">
            <v>Kiribati</v>
          </cell>
        </row>
        <row r="181">
          <cell r="A181" t="str">
            <v>St. Kitts &amp; Nevis</v>
          </cell>
        </row>
        <row r="182">
          <cell r="A182" t="str">
            <v>Laos</v>
          </cell>
        </row>
        <row r="183">
          <cell r="A183" t="str">
            <v>Liberia</v>
          </cell>
        </row>
        <row r="184">
          <cell r="A184" t="str">
            <v>St. Lucia</v>
          </cell>
        </row>
        <row r="185">
          <cell r="A185" t="str">
            <v>Liechtenstein</v>
          </cell>
        </row>
        <row r="186">
          <cell r="A186" t="str">
            <v>Lesotho</v>
          </cell>
        </row>
        <row r="187">
          <cell r="A187" t="str">
            <v>Luxembourg</v>
          </cell>
        </row>
        <row r="188">
          <cell r="A188" t="str">
            <v>St. Martin</v>
          </cell>
        </row>
        <row r="189">
          <cell r="A189" t="str">
            <v>Monaco</v>
          </cell>
        </row>
        <row r="190">
          <cell r="A190" t="str">
            <v>Madagascar</v>
          </cell>
        </row>
        <row r="191">
          <cell r="A191" t="str">
            <v>Maldives</v>
          </cell>
        </row>
        <row r="192">
          <cell r="A192" t="str">
            <v>Marshall Islands</v>
          </cell>
        </row>
        <row r="193">
          <cell r="A193" t="str">
            <v>Mali</v>
          </cell>
        </row>
        <row r="194">
          <cell r="A194" t="str">
            <v>Montenegro</v>
          </cell>
        </row>
        <row r="195">
          <cell r="A195" t="str">
            <v>Northern Mariana Islands</v>
          </cell>
        </row>
        <row r="196">
          <cell r="A196" t="str">
            <v>Mozambique</v>
          </cell>
        </row>
        <row r="197">
          <cell r="A197" t="str">
            <v>Mauritania</v>
          </cell>
        </row>
        <row r="198">
          <cell r="A198" t="str">
            <v>Montserrat</v>
          </cell>
        </row>
        <row r="199">
          <cell r="A199" t="str">
            <v>Martinique</v>
          </cell>
        </row>
        <row r="200">
          <cell r="A200" t="str">
            <v>Mauritius</v>
          </cell>
        </row>
        <row r="201">
          <cell r="A201" t="str">
            <v>Mayotte</v>
          </cell>
        </row>
        <row r="202">
          <cell r="A202" t="str">
            <v>Namibia</v>
          </cell>
        </row>
        <row r="203">
          <cell r="A203" t="str">
            <v>New Caledonia</v>
          </cell>
        </row>
        <row r="204">
          <cell r="A204" t="str">
            <v>Niger</v>
          </cell>
        </row>
        <row r="205">
          <cell r="A205" t="str">
            <v>Norfolk Island</v>
          </cell>
        </row>
        <row r="206">
          <cell r="A206" t="str">
            <v>Niue</v>
          </cell>
        </row>
        <row r="207">
          <cell r="A207" t="str">
            <v>Nauru</v>
          </cell>
        </row>
        <row r="208">
          <cell r="A208" t="str">
            <v>Panama</v>
          </cell>
        </row>
        <row r="209">
          <cell r="A209" t="str">
            <v>Pitcairn Islands</v>
          </cell>
        </row>
        <row r="210">
          <cell r="A210" t="str">
            <v>Palau</v>
          </cell>
        </row>
        <row r="211">
          <cell r="A211" t="str">
            <v>Papua New Guinea</v>
          </cell>
        </row>
        <row r="212">
          <cell r="A212" t="str">
            <v>Puerto Rico</v>
          </cell>
        </row>
        <row r="213">
          <cell r="A213" t="str">
            <v>North Korea</v>
          </cell>
        </row>
        <row r="214">
          <cell r="A214" t="str">
            <v>Paraguay</v>
          </cell>
        </row>
        <row r="215">
          <cell r="A215" t="str">
            <v>RÃ©union</v>
          </cell>
        </row>
        <row r="216">
          <cell r="A216" t="str">
            <v>Rwanda</v>
          </cell>
        </row>
        <row r="217">
          <cell r="A217" t="str">
            <v>Senegal</v>
          </cell>
        </row>
        <row r="218">
          <cell r="A218" t="str">
            <v>South Georgia &amp; South Sandwich Islands</v>
          </cell>
        </row>
        <row r="219">
          <cell r="A219" t="str">
            <v>Svalbard &amp; Jan Mayen</v>
          </cell>
        </row>
        <row r="220">
          <cell r="A220" t="str">
            <v>Solomon Islands</v>
          </cell>
        </row>
        <row r="221">
          <cell r="A221" t="str">
            <v>Sierra Leone</v>
          </cell>
        </row>
        <row r="222">
          <cell r="A222" t="str">
            <v>El Salvador</v>
          </cell>
        </row>
        <row r="223">
          <cell r="A223" t="str">
            <v>San Marino</v>
          </cell>
        </row>
        <row r="224">
          <cell r="A224" t="str">
            <v>Somalia</v>
          </cell>
        </row>
        <row r="225">
          <cell r="A225" t="str">
            <v>St. Pierre &amp; Miquelon</v>
          </cell>
        </row>
        <row r="226">
          <cell r="A226" t="str">
            <v>South Sudan</v>
          </cell>
        </row>
        <row r="227">
          <cell r="A227" t="str">
            <v>SÃ£o TomÃ© &amp; PrÃ­ncipe</v>
          </cell>
        </row>
        <row r="228">
          <cell r="A228" t="str">
            <v>Suriname</v>
          </cell>
        </row>
        <row r="229">
          <cell r="A229" t="str">
            <v>Eswatini</v>
          </cell>
        </row>
        <row r="230">
          <cell r="A230" t="str">
            <v>Sint Maarten</v>
          </cell>
        </row>
        <row r="231">
          <cell r="A231" t="str">
            <v>Seychelles</v>
          </cell>
        </row>
        <row r="232">
          <cell r="A232" t="str">
            <v>Turks &amp; Caicos Islands</v>
          </cell>
        </row>
        <row r="233">
          <cell r="A233" t="str">
            <v>Chad</v>
          </cell>
        </row>
        <row r="234">
          <cell r="A234" t="str">
            <v>Togo</v>
          </cell>
        </row>
        <row r="235">
          <cell r="A235" t="str">
            <v>Tajikistan</v>
          </cell>
        </row>
        <row r="236">
          <cell r="A236" t="str">
            <v>Tokelau</v>
          </cell>
        </row>
        <row r="237">
          <cell r="A237" t="str">
            <v>Turkmenistan</v>
          </cell>
        </row>
        <row r="238">
          <cell r="A238" t="str">
            <v>Timor-Leste</v>
          </cell>
        </row>
        <row r="239">
          <cell r="A239" t="str">
            <v>Tonga</v>
          </cell>
        </row>
        <row r="240">
          <cell r="A240" t="str">
            <v>Trinidad &amp; Tobago</v>
          </cell>
        </row>
        <row r="241">
          <cell r="A241" t="str">
            <v>Tuvalu</v>
          </cell>
        </row>
        <row r="242">
          <cell r="A242" t="str">
            <v>U.S. Outlying Islands</v>
          </cell>
        </row>
        <row r="243">
          <cell r="A243" t="str">
            <v>Uruguay</v>
          </cell>
        </row>
        <row r="244">
          <cell r="A244" t="str">
            <v>Uzbekistan</v>
          </cell>
        </row>
        <row r="245">
          <cell r="A245" t="str">
            <v>Vatican City</v>
          </cell>
        </row>
        <row r="246">
          <cell r="A246" t="str">
            <v>St. Vincent &amp; Grenadines</v>
          </cell>
        </row>
        <row r="247">
          <cell r="A247" t="str">
            <v>British Virgin Islands</v>
          </cell>
        </row>
        <row r="248">
          <cell r="A248" t="str">
            <v>U.S. Virgin Islands</v>
          </cell>
        </row>
        <row r="249">
          <cell r="A249" t="str">
            <v>Vanuatu</v>
          </cell>
        </row>
        <row r="250">
          <cell r="A250" t="str">
            <v>Wallis &amp; Futuna</v>
          </cell>
        </row>
        <row r="251">
          <cell r="A251" t="str">
            <v>Samoa</v>
          </cell>
        </row>
        <row r="252">
          <cell r="A252" t="str">
            <v>Kosovo</v>
          </cell>
        </row>
        <row r="253">
          <cell r="A253" t="str">
            <v>Zambia</v>
          </cell>
        </row>
      </sheetData>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45)"/>
    </sheetNames>
    <sheetDataSet>
      <sheetData sheetId="0" refreshError="1">
        <row r="1">
          <cell r="A1" t="str">
            <v>Category: All categories</v>
          </cell>
        </row>
        <row r="3">
          <cell r="A3" t="str">
            <v>Country</v>
          </cell>
          <cell r="B3" t="str">
            <v>Edge detection: (2018)</v>
          </cell>
          <cell r="C3" t="str">
            <v>Register file: (2018)</v>
          </cell>
        </row>
        <row r="4">
          <cell r="A4" t="str">
            <v>China</v>
          </cell>
          <cell r="B4">
            <v>1</v>
          </cell>
        </row>
        <row r="5">
          <cell r="A5" t="str">
            <v>South Korea</v>
          </cell>
          <cell r="B5">
            <v>0.95</v>
          </cell>
          <cell r="C5">
            <v>0.05</v>
          </cell>
        </row>
        <row r="6">
          <cell r="A6" t="str">
            <v>Singapore</v>
          </cell>
        </row>
        <row r="7">
          <cell r="A7" t="str">
            <v>Pakistan</v>
          </cell>
          <cell r="B7">
            <v>0.94</v>
          </cell>
          <cell r="C7">
            <v>0.06</v>
          </cell>
        </row>
        <row r="8">
          <cell r="A8" t="str">
            <v>India</v>
          </cell>
          <cell r="B8">
            <v>0.93</v>
          </cell>
          <cell r="C8">
            <v>7.0000000000000007E-2</v>
          </cell>
        </row>
        <row r="9">
          <cell r="A9" t="str">
            <v>Hong Kong</v>
          </cell>
          <cell r="B9">
            <v>0.89</v>
          </cell>
          <cell r="C9">
            <v>0.11</v>
          </cell>
        </row>
        <row r="10">
          <cell r="A10" t="str">
            <v>Switzerland</v>
          </cell>
          <cell r="B10">
            <v>1</v>
          </cell>
        </row>
        <row r="11">
          <cell r="A11" t="str">
            <v>Israel</v>
          </cell>
          <cell r="B11">
            <v>1</v>
          </cell>
        </row>
        <row r="12">
          <cell r="A12" t="str">
            <v>Japan</v>
          </cell>
          <cell r="B12">
            <v>0.87</v>
          </cell>
          <cell r="C12">
            <v>0.13</v>
          </cell>
        </row>
        <row r="13">
          <cell r="A13" t="str">
            <v>Taiwan</v>
          </cell>
          <cell r="B13">
            <v>0.88</v>
          </cell>
          <cell r="C13">
            <v>0.12</v>
          </cell>
        </row>
        <row r="14">
          <cell r="A14" t="str">
            <v>Bangladesh</v>
          </cell>
          <cell r="B14">
            <v>1</v>
          </cell>
        </row>
        <row r="15">
          <cell r="A15" t="str">
            <v>Denmark</v>
          </cell>
          <cell r="B15">
            <v>1</v>
          </cell>
        </row>
        <row r="16">
          <cell r="A16" t="str">
            <v>Iraq</v>
          </cell>
          <cell r="B16">
            <v>1</v>
          </cell>
        </row>
        <row r="17">
          <cell r="A17" t="str">
            <v>Malaysia</v>
          </cell>
          <cell r="B17">
            <v>0.93</v>
          </cell>
          <cell r="C17">
            <v>7.0000000000000007E-2</v>
          </cell>
        </row>
        <row r="18">
          <cell r="A18" t="str">
            <v>Tunisia</v>
          </cell>
          <cell r="B18">
            <v>1</v>
          </cell>
        </row>
        <row r="19">
          <cell r="A19" t="str">
            <v>Belgium</v>
          </cell>
          <cell r="B19">
            <v>1</v>
          </cell>
        </row>
        <row r="20">
          <cell r="A20" t="str">
            <v>Canada</v>
          </cell>
          <cell r="B20">
            <v>0.93</v>
          </cell>
          <cell r="C20">
            <v>7.0000000000000007E-2</v>
          </cell>
        </row>
        <row r="21">
          <cell r="A21" t="str">
            <v>Germany</v>
          </cell>
          <cell r="B21">
            <v>0.88</v>
          </cell>
          <cell r="C21">
            <v>0.12</v>
          </cell>
        </row>
        <row r="22">
          <cell r="A22" t="str">
            <v>Ireland</v>
          </cell>
          <cell r="B22">
            <v>1</v>
          </cell>
        </row>
        <row r="23">
          <cell r="A23" t="str">
            <v>Sri Lanka</v>
          </cell>
          <cell r="B23">
            <v>1</v>
          </cell>
        </row>
        <row r="24">
          <cell r="A24" t="str">
            <v>Egypt</v>
          </cell>
          <cell r="B24">
            <v>0.83</v>
          </cell>
          <cell r="C24">
            <v>0.17</v>
          </cell>
        </row>
        <row r="25">
          <cell r="A25" t="str">
            <v>Czechia</v>
          </cell>
          <cell r="B25">
            <v>1</v>
          </cell>
        </row>
        <row r="26">
          <cell r="A26" t="str">
            <v>Algeria</v>
          </cell>
          <cell r="B26">
            <v>1</v>
          </cell>
        </row>
        <row r="27">
          <cell r="A27" t="str">
            <v>United States</v>
          </cell>
          <cell r="B27">
            <v>0.84</v>
          </cell>
          <cell r="C27">
            <v>0.16</v>
          </cell>
        </row>
        <row r="28">
          <cell r="A28" t="str">
            <v>Austria</v>
          </cell>
          <cell r="B28">
            <v>0.66</v>
          </cell>
          <cell r="C28">
            <v>0.34</v>
          </cell>
        </row>
        <row r="29">
          <cell r="A29" t="str">
            <v>Sweden</v>
          </cell>
          <cell r="B29">
            <v>1</v>
          </cell>
        </row>
        <row r="30">
          <cell r="A30" t="str">
            <v>Netherlands</v>
          </cell>
          <cell r="B30">
            <v>0.87</v>
          </cell>
          <cell r="C30">
            <v>0.13</v>
          </cell>
        </row>
        <row r="31">
          <cell r="A31" t="str">
            <v>Iran</v>
          </cell>
          <cell r="B31">
            <v>1</v>
          </cell>
        </row>
        <row r="32">
          <cell r="A32" t="str">
            <v>Australia</v>
          </cell>
          <cell r="B32">
            <v>0.96</v>
          </cell>
          <cell r="C32">
            <v>0.04</v>
          </cell>
        </row>
        <row r="33">
          <cell r="A33" t="str">
            <v>Hungary</v>
          </cell>
          <cell r="B33">
            <v>1</v>
          </cell>
        </row>
        <row r="34">
          <cell r="A34" t="str">
            <v>South Africa</v>
          </cell>
          <cell r="B34">
            <v>1</v>
          </cell>
        </row>
        <row r="35">
          <cell r="A35" t="str">
            <v>United Kingdom</v>
          </cell>
          <cell r="B35">
            <v>0.93</v>
          </cell>
          <cell r="C35">
            <v>7.0000000000000007E-2</v>
          </cell>
        </row>
        <row r="36">
          <cell r="A36" t="str">
            <v>Finland</v>
          </cell>
          <cell r="B36">
            <v>1</v>
          </cell>
        </row>
        <row r="37">
          <cell r="A37" t="str">
            <v>United Arab Emirates</v>
          </cell>
          <cell r="B37">
            <v>0.84</v>
          </cell>
          <cell r="C37">
            <v>0.16</v>
          </cell>
        </row>
        <row r="38">
          <cell r="A38" t="str">
            <v>New Zealand</v>
          </cell>
          <cell r="B38">
            <v>1</v>
          </cell>
        </row>
        <row r="39">
          <cell r="A39" t="str">
            <v>Norway</v>
          </cell>
          <cell r="B39">
            <v>1</v>
          </cell>
        </row>
        <row r="40">
          <cell r="A40" t="str">
            <v>Turkey</v>
          </cell>
          <cell r="B40">
            <v>0.95</v>
          </cell>
          <cell r="C40">
            <v>0.05</v>
          </cell>
        </row>
        <row r="41">
          <cell r="A41" t="str">
            <v>Ghana</v>
          </cell>
        </row>
        <row r="42">
          <cell r="A42" t="str">
            <v>Vietnam</v>
          </cell>
          <cell r="B42">
            <v>1</v>
          </cell>
        </row>
        <row r="43">
          <cell r="A43" t="str">
            <v>Thailand</v>
          </cell>
          <cell r="B43">
            <v>0.93</v>
          </cell>
          <cell r="C43">
            <v>7.0000000000000007E-2</v>
          </cell>
        </row>
        <row r="44">
          <cell r="A44" t="str">
            <v>Philippines</v>
          </cell>
          <cell r="B44">
            <v>0.92</v>
          </cell>
          <cell r="C44">
            <v>0.08</v>
          </cell>
        </row>
        <row r="45">
          <cell r="A45" t="str">
            <v>Indonesia</v>
          </cell>
          <cell r="B45">
            <v>0.88</v>
          </cell>
          <cell r="C45">
            <v>0.12</v>
          </cell>
        </row>
        <row r="46">
          <cell r="A46" t="str">
            <v>France</v>
          </cell>
          <cell r="B46">
            <v>0.89</v>
          </cell>
          <cell r="C46">
            <v>0.11</v>
          </cell>
        </row>
        <row r="47">
          <cell r="A47" t="str">
            <v>Morocco</v>
          </cell>
          <cell r="B47">
            <v>1</v>
          </cell>
        </row>
        <row r="48">
          <cell r="A48" t="str">
            <v>Portugal</v>
          </cell>
          <cell r="B48">
            <v>1</v>
          </cell>
        </row>
        <row r="49">
          <cell r="A49" t="str">
            <v>Romania</v>
          </cell>
          <cell r="B49">
            <v>0.72</v>
          </cell>
          <cell r="C49">
            <v>0.28000000000000003</v>
          </cell>
        </row>
        <row r="50">
          <cell r="A50" t="str">
            <v>Poland</v>
          </cell>
          <cell r="B50">
            <v>1</v>
          </cell>
        </row>
        <row r="51">
          <cell r="A51" t="str">
            <v>Russia</v>
          </cell>
          <cell r="B51">
            <v>0.86</v>
          </cell>
          <cell r="C51">
            <v>0.14000000000000001</v>
          </cell>
        </row>
        <row r="52">
          <cell r="A52" t="str">
            <v>Spain</v>
          </cell>
          <cell r="B52">
            <v>1</v>
          </cell>
        </row>
        <row r="53">
          <cell r="A53" t="str">
            <v>Italy</v>
          </cell>
          <cell r="B53">
            <v>0.79</v>
          </cell>
          <cell r="C53">
            <v>0.21</v>
          </cell>
        </row>
        <row r="54">
          <cell r="A54" t="str">
            <v>Mexico</v>
          </cell>
          <cell r="B54">
            <v>0.87</v>
          </cell>
          <cell r="C54">
            <v>0.13</v>
          </cell>
        </row>
        <row r="55">
          <cell r="A55" t="str">
            <v>Colombia</v>
          </cell>
          <cell r="B55">
            <v>1</v>
          </cell>
        </row>
        <row r="56">
          <cell r="A56" t="str">
            <v>Ukraine</v>
          </cell>
          <cell r="B56">
            <v>0.84</v>
          </cell>
          <cell r="C56">
            <v>0.16</v>
          </cell>
        </row>
        <row r="57">
          <cell r="A57" t="str">
            <v>Saudi Arabia</v>
          </cell>
          <cell r="B57">
            <v>0.57999999999999996</v>
          </cell>
          <cell r="C57">
            <v>0.42</v>
          </cell>
        </row>
        <row r="58">
          <cell r="A58" t="str">
            <v>Brazil</v>
          </cell>
          <cell r="B58">
            <v>0.93</v>
          </cell>
          <cell r="C58">
            <v>7.0000000000000007E-2</v>
          </cell>
        </row>
        <row r="59">
          <cell r="A59" t="str">
            <v>Andorra</v>
          </cell>
        </row>
        <row r="60">
          <cell r="A60" t="str">
            <v>French Guiana</v>
          </cell>
        </row>
        <row r="61">
          <cell r="A61" t="str">
            <v>French Polynesia</v>
          </cell>
        </row>
        <row r="62">
          <cell r="A62" t="str">
            <v>Botswana</v>
          </cell>
        </row>
        <row r="63">
          <cell r="A63" t="str">
            <v>Macao</v>
          </cell>
        </row>
        <row r="64">
          <cell r="A64" t="str">
            <v>Benin</v>
          </cell>
        </row>
        <row r="65">
          <cell r="A65" t="str">
            <v>Malta</v>
          </cell>
        </row>
        <row r="66">
          <cell r="A66" t="str">
            <v>Myanmar (Burma)</v>
          </cell>
        </row>
        <row r="67">
          <cell r="A67" t="str">
            <v>Brunei</v>
          </cell>
        </row>
        <row r="68">
          <cell r="A68" t="str">
            <v>Palestine</v>
          </cell>
        </row>
        <row r="69">
          <cell r="A69" t="str">
            <v>Mongolia</v>
          </cell>
        </row>
        <row r="70">
          <cell r="A70" t="str">
            <v>Ethiopia</v>
          </cell>
        </row>
        <row r="71">
          <cell r="A71" t="str">
            <v>St. Helena</v>
          </cell>
        </row>
        <row r="72">
          <cell r="A72" t="str">
            <v>Syria</v>
          </cell>
        </row>
        <row r="73">
          <cell r="A73" t="str">
            <v>Zimbabwe</v>
          </cell>
        </row>
        <row r="74">
          <cell r="A74" t="str">
            <v>Slovenia</v>
          </cell>
        </row>
        <row r="75">
          <cell r="A75" t="str">
            <v>Yemen</v>
          </cell>
        </row>
        <row r="76">
          <cell r="A76" t="str">
            <v>Congo - Kinshasa</v>
          </cell>
        </row>
        <row r="77">
          <cell r="A77" t="str">
            <v>Nepal</v>
          </cell>
        </row>
        <row r="78">
          <cell r="A78" t="str">
            <v>Libya</v>
          </cell>
        </row>
        <row r="79">
          <cell r="A79" t="str">
            <v>Qatar</v>
          </cell>
        </row>
        <row r="80">
          <cell r="A80" t="str">
            <v>Jamaica</v>
          </cell>
        </row>
        <row r="81">
          <cell r="A81" t="str">
            <v>Nicaragua</v>
          </cell>
        </row>
        <row r="82">
          <cell r="A82" t="str">
            <v>Uganda</v>
          </cell>
        </row>
        <row r="83">
          <cell r="A83" t="str">
            <v>North Macedonia</v>
          </cell>
        </row>
        <row r="84">
          <cell r="A84" t="str">
            <v>Kenya</v>
          </cell>
        </row>
        <row r="85">
          <cell r="A85" t="str">
            <v>Sudan</v>
          </cell>
        </row>
        <row r="86">
          <cell r="A86" t="str">
            <v>Slovakia</v>
          </cell>
        </row>
        <row r="87">
          <cell r="A87" t="str">
            <v>Lebanon</v>
          </cell>
        </row>
        <row r="88">
          <cell r="A88" t="str">
            <v>Oman</v>
          </cell>
        </row>
        <row r="89">
          <cell r="A89" t="str">
            <v>Cyprus</v>
          </cell>
        </row>
        <row r="90">
          <cell r="A90" t="str">
            <v>Estonia</v>
          </cell>
        </row>
        <row r="91">
          <cell r="A91" t="str">
            <v>Honduras</v>
          </cell>
        </row>
        <row r="92">
          <cell r="A92" t="str">
            <v>Moldova</v>
          </cell>
        </row>
        <row r="93">
          <cell r="A93" t="str">
            <v>Latvia</v>
          </cell>
        </row>
        <row r="94">
          <cell r="A94" t="str">
            <v>Serbia</v>
          </cell>
        </row>
        <row r="95">
          <cell r="A95" t="str">
            <v>Bulgaria</v>
          </cell>
        </row>
        <row r="96">
          <cell r="A96" t="str">
            <v>Kuwait</v>
          </cell>
        </row>
        <row r="97">
          <cell r="A97" t="str">
            <v>Belarus</v>
          </cell>
        </row>
        <row r="98">
          <cell r="A98" t="str">
            <v>Peru</v>
          </cell>
        </row>
        <row r="99">
          <cell r="A99" t="str">
            <v>Jordan</v>
          </cell>
        </row>
        <row r="100">
          <cell r="A100" t="str">
            <v>Costa Rica</v>
          </cell>
        </row>
        <row r="101">
          <cell r="A101" t="str">
            <v>Lithuania</v>
          </cell>
        </row>
        <row r="102">
          <cell r="A102" t="str">
            <v>Nigeria</v>
          </cell>
        </row>
        <row r="103">
          <cell r="A103" t="str">
            <v>Ecuador</v>
          </cell>
        </row>
        <row r="104">
          <cell r="A104" t="str">
            <v>Chile</v>
          </cell>
        </row>
        <row r="105">
          <cell r="A105" t="str">
            <v>Greece</v>
          </cell>
        </row>
        <row r="106">
          <cell r="A106" t="str">
            <v>Croatia</v>
          </cell>
        </row>
        <row r="107">
          <cell r="A107" t="str">
            <v>Kazakhstan</v>
          </cell>
        </row>
        <row r="108">
          <cell r="A108" t="str">
            <v>Argentina</v>
          </cell>
        </row>
        <row r="109">
          <cell r="A109" t="str">
            <v>Venezuela</v>
          </cell>
        </row>
        <row r="110">
          <cell r="A110" t="str">
            <v>Aruba</v>
          </cell>
        </row>
        <row r="111">
          <cell r="A111" t="str">
            <v>Afghanistan</v>
          </cell>
        </row>
        <row r="112">
          <cell r="A112" t="str">
            <v>Angola</v>
          </cell>
        </row>
        <row r="113">
          <cell r="A113" t="str">
            <v>Anguilla</v>
          </cell>
        </row>
        <row r="114">
          <cell r="A114" t="str">
            <v>Ã…land Islands</v>
          </cell>
        </row>
        <row r="115">
          <cell r="A115" t="str">
            <v>Albania</v>
          </cell>
        </row>
        <row r="116">
          <cell r="A116" t="str">
            <v>Armenia</v>
          </cell>
        </row>
        <row r="117">
          <cell r="A117" t="str">
            <v>American Samoa</v>
          </cell>
        </row>
        <row r="118">
          <cell r="A118" t="str">
            <v>Antarctica</v>
          </cell>
        </row>
        <row r="119">
          <cell r="A119" t="str">
            <v>French Southern Territories</v>
          </cell>
        </row>
        <row r="120">
          <cell r="A120" t="str">
            <v>Antigua &amp; Barbuda</v>
          </cell>
        </row>
        <row r="121">
          <cell r="A121" t="str">
            <v>Azerbaijan</v>
          </cell>
        </row>
        <row r="122">
          <cell r="A122" t="str">
            <v>Burundi</v>
          </cell>
        </row>
        <row r="123">
          <cell r="A123" t="str">
            <v>Caribbean Netherlands</v>
          </cell>
        </row>
        <row r="124">
          <cell r="A124" t="str">
            <v>Burkina Faso</v>
          </cell>
        </row>
        <row r="125">
          <cell r="A125" t="str">
            <v>Bahrain</v>
          </cell>
        </row>
        <row r="126">
          <cell r="A126" t="str">
            <v>Bahamas</v>
          </cell>
        </row>
        <row r="127">
          <cell r="A127" t="str">
            <v>Bosnia &amp; Herzegovina</v>
          </cell>
        </row>
        <row r="128">
          <cell r="A128" t="str">
            <v>St. BarthÃ©lemy</v>
          </cell>
        </row>
        <row r="129">
          <cell r="A129" t="str">
            <v>Belize</v>
          </cell>
        </row>
        <row r="130">
          <cell r="A130" t="str">
            <v>Bermuda</v>
          </cell>
        </row>
        <row r="131">
          <cell r="A131" t="str">
            <v>Bolivia</v>
          </cell>
        </row>
        <row r="132">
          <cell r="A132" t="str">
            <v>Barbados</v>
          </cell>
        </row>
        <row r="133">
          <cell r="A133" t="str">
            <v>Bhutan</v>
          </cell>
        </row>
        <row r="134">
          <cell r="A134" t="str">
            <v>Bouvet Island</v>
          </cell>
        </row>
        <row r="135">
          <cell r="A135" t="str">
            <v>Central African Republic</v>
          </cell>
        </row>
        <row r="136">
          <cell r="A136" t="str">
            <v>Cocos (Keeling) Islands</v>
          </cell>
        </row>
        <row r="137">
          <cell r="A137" t="str">
            <v>CÃ´te dâ€™Ivoire</v>
          </cell>
        </row>
        <row r="138">
          <cell r="A138" t="str">
            <v>Cameroon</v>
          </cell>
        </row>
        <row r="139">
          <cell r="A139" t="str">
            <v>Congo - Brazzaville</v>
          </cell>
        </row>
        <row r="140">
          <cell r="A140" t="str">
            <v>Cook Islands</v>
          </cell>
        </row>
        <row r="141">
          <cell r="A141" t="str">
            <v>Comoros</v>
          </cell>
        </row>
        <row r="142">
          <cell r="A142" t="str">
            <v>Cape Verde</v>
          </cell>
        </row>
        <row r="143">
          <cell r="A143" t="str">
            <v>Cuba</v>
          </cell>
        </row>
        <row r="144">
          <cell r="A144" t="str">
            <v>CuraÃ§ao</v>
          </cell>
        </row>
        <row r="145">
          <cell r="A145" t="str">
            <v>Christmas Island</v>
          </cell>
        </row>
        <row r="146">
          <cell r="A146" t="str">
            <v>Cayman Islands</v>
          </cell>
        </row>
        <row r="147">
          <cell r="A147" t="str">
            <v>Djibouti</v>
          </cell>
        </row>
        <row r="148">
          <cell r="A148" t="str">
            <v>Dominica</v>
          </cell>
        </row>
        <row r="149">
          <cell r="A149" t="str">
            <v>Dominican Republic</v>
          </cell>
        </row>
        <row r="150">
          <cell r="A150" t="str">
            <v>Eritrea</v>
          </cell>
        </row>
        <row r="151">
          <cell r="A151" t="str">
            <v>Western Sahara</v>
          </cell>
        </row>
        <row r="152">
          <cell r="A152" t="str">
            <v>Fiji</v>
          </cell>
        </row>
        <row r="153">
          <cell r="A153" t="str">
            <v>Falkland Islands (Islas Malvinas)</v>
          </cell>
        </row>
        <row r="154">
          <cell r="A154" t="str">
            <v>Faroe Islands</v>
          </cell>
        </row>
        <row r="155">
          <cell r="A155" t="str">
            <v>Micronesia</v>
          </cell>
        </row>
        <row r="156">
          <cell r="A156" t="str">
            <v>Gabon</v>
          </cell>
        </row>
        <row r="157">
          <cell r="A157" t="str">
            <v>Georgia</v>
          </cell>
        </row>
        <row r="158">
          <cell r="A158" t="str">
            <v>Guernsey</v>
          </cell>
        </row>
        <row r="159">
          <cell r="A159" t="str">
            <v>Gibraltar</v>
          </cell>
        </row>
        <row r="160">
          <cell r="A160" t="str">
            <v>Guinea</v>
          </cell>
        </row>
        <row r="161">
          <cell r="A161" t="str">
            <v>Guadeloupe</v>
          </cell>
        </row>
        <row r="162">
          <cell r="A162" t="str">
            <v>Gambia</v>
          </cell>
        </row>
        <row r="163">
          <cell r="A163" t="str">
            <v>Guinea-Bissau</v>
          </cell>
        </row>
        <row r="164">
          <cell r="A164" t="str">
            <v>Equatorial Guinea</v>
          </cell>
        </row>
        <row r="165">
          <cell r="A165" t="str">
            <v>Grenada</v>
          </cell>
        </row>
        <row r="166">
          <cell r="A166" t="str">
            <v>Greenland</v>
          </cell>
        </row>
        <row r="167">
          <cell r="A167" t="str">
            <v>Guatemala</v>
          </cell>
        </row>
        <row r="168">
          <cell r="A168" t="str">
            <v>Guam</v>
          </cell>
        </row>
        <row r="169">
          <cell r="A169" t="str">
            <v>Guyana</v>
          </cell>
        </row>
        <row r="170">
          <cell r="A170" t="str">
            <v>Heard &amp; McDonald Islands</v>
          </cell>
        </row>
        <row r="171">
          <cell r="A171" t="str">
            <v>Haiti</v>
          </cell>
        </row>
        <row r="172">
          <cell r="A172" t="str">
            <v>Isle of Man</v>
          </cell>
        </row>
        <row r="173">
          <cell r="A173" t="str">
            <v>British Indian Ocean Territory</v>
          </cell>
        </row>
        <row r="174">
          <cell r="A174" t="str">
            <v>Iceland</v>
          </cell>
        </row>
        <row r="175">
          <cell r="A175" t="str">
            <v>Jersey</v>
          </cell>
        </row>
        <row r="176">
          <cell r="A176" t="str">
            <v>Kyrgyzstan</v>
          </cell>
        </row>
        <row r="177">
          <cell r="A177" t="str">
            <v>Cambodia</v>
          </cell>
        </row>
        <row r="178">
          <cell r="A178" t="str">
            <v>Kiribati</v>
          </cell>
        </row>
        <row r="179">
          <cell r="A179" t="str">
            <v>St. Kitts &amp; Nevis</v>
          </cell>
        </row>
        <row r="180">
          <cell r="A180" t="str">
            <v>Laos</v>
          </cell>
        </row>
        <row r="181">
          <cell r="A181" t="str">
            <v>Liberia</v>
          </cell>
        </row>
        <row r="182">
          <cell r="A182" t="str">
            <v>St. Lucia</v>
          </cell>
        </row>
        <row r="183">
          <cell r="A183" t="str">
            <v>Liechtenstein</v>
          </cell>
        </row>
        <row r="184">
          <cell r="A184" t="str">
            <v>Lesotho</v>
          </cell>
        </row>
        <row r="185">
          <cell r="A185" t="str">
            <v>Luxembourg</v>
          </cell>
        </row>
        <row r="186">
          <cell r="A186" t="str">
            <v>St. Martin</v>
          </cell>
        </row>
        <row r="187">
          <cell r="A187" t="str">
            <v>Monaco</v>
          </cell>
        </row>
        <row r="188">
          <cell r="A188" t="str">
            <v>Madagascar</v>
          </cell>
        </row>
        <row r="189">
          <cell r="A189" t="str">
            <v>Maldives</v>
          </cell>
        </row>
        <row r="190">
          <cell r="A190" t="str">
            <v>Marshall Islands</v>
          </cell>
        </row>
        <row r="191">
          <cell r="A191" t="str">
            <v>Mali</v>
          </cell>
        </row>
        <row r="192">
          <cell r="A192" t="str">
            <v>Montenegro</v>
          </cell>
        </row>
        <row r="193">
          <cell r="A193" t="str">
            <v>Northern Mariana Islands</v>
          </cell>
        </row>
        <row r="194">
          <cell r="A194" t="str">
            <v>Mozambique</v>
          </cell>
        </row>
        <row r="195">
          <cell r="A195" t="str">
            <v>Mauritania</v>
          </cell>
        </row>
        <row r="196">
          <cell r="A196" t="str">
            <v>Montserrat</v>
          </cell>
        </row>
        <row r="197">
          <cell r="A197" t="str">
            <v>Martinique</v>
          </cell>
        </row>
        <row r="198">
          <cell r="A198" t="str">
            <v>Mauritius</v>
          </cell>
        </row>
        <row r="199">
          <cell r="A199" t="str">
            <v>Malawi</v>
          </cell>
        </row>
        <row r="200">
          <cell r="A200" t="str">
            <v>Mayotte</v>
          </cell>
        </row>
        <row r="201">
          <cell r="A201" t="str">
            <v>Namibia</v>
          </cell>
        </row>
        <row r="202">
          <cell r="A202" t="str">
            <v>New Caledonia</v>
          </cell>
        </row>
        <row r="203">
          <cell r="A203" t="str">
            <v>Niger</v>
          </cell>
        </row>
        <row r="204">
          <cell r="A204" t="str">
            <v>Norfolk Island</v>
          </cell>
        </row>
        <row r="205">
          <cell r="A205" t="str">
            <v>Niue</v>
          </cell>
        </row>
        <row r="206">
          <cell r="A206" t="str">
            <v>Nauru</v>
          </cell>
        </row>
        <row r="207">
          <cell r="A207" t="str">
            <v>Panama</v>
          </cell>
        </row>
        <row r="208">
          <cell r="A208" t="str">
            <v>Pitcairn Islands</v>
          </cell>
        </row>
        <row r="209">
          <cell r="A209" t="str">
            <v>Palau</v>
          </cell>
        </row>
        <row r="210">
          <cell r="A210" t="str">
            <v>Papua New Guinea</v>
          </cell>
        </row>
        <row r="211">
          <cell r="A211" t="str">
            <v>Puerto Rico</v>
          </cell>
        </row>
        <row r="212">
          <cell r="A212" t="str">
            <v>North Korea</v>
          </cell>
        </row>
        <row r="213">
          <cell r="A213" t="str">
            <v>Paraguay</v>
          </cell>
        </row>
        <row r="214">
          <cell r="A214" t="str">
            <v>RÃ©union</v>
          </cell>
        </row>
        <row r="215">
          <cell r="A215" t="str">
            <v>Rwanda</v>
          </cell>
        </row>
        <row r="216">
          <cell r="A216" t="str">
            <v>Senegal</v>
          </cell>
        </row>
        <row r="217">
          <cell r="A217" t="str">
            <v>South Georgia &amp; South Sandwich Islands</v>
          </cell>
        </row>
        <row r="218">
          <cell r="A218" t="str">
            <v>Svalbard &amp; Jan Mayen</v>
          </cell>
        </row>
        <row r="219">
          <cell r="A219" t="str">
            <v>Solomon Islands</v>
          </cell>
        </row>
        <row r="220">
          <cell r="A220" t="str">
            <v>Sierra Leone</v>
          </cell>
        </row>
        <row r="221">
          <cell r="A221" t="str">
            <v>El Salvador</v>
          </cell>
        </row>
        <row r="222">
          <cell r="A222" t="str">
            <v>San Marino</v>
          </cell>
        </row>
        <row r="223">
          <cell r="A223" t="str">
            <v>Somalia</v>
          </cell>
        </row>
        <row r="224">
          <cell r="A224" t="str">
            <v>St. Pierre &amp; Miquelon</v>
          </cell>
        </row>
        <row r="225">
          <cell r="A225" t="str">
            <v>South Sudan</v>
          </cell>
        </row>
        <row r="226">
          <cell r="A226" t="str">
            <v>SÃ£o TomÃ© &amp; PrÃ­ncipe</v>
          </cell>
        </row>
        <row r="227">
          <cell r="A227" t="str">
            <v>Suriname</v>
          </cell>
        </row>
        <row r="228">
          <cell r="A228" t="str">
            <v>Eswatini</v>
          </cell>
        </row>
        <row r="229">
          <cell r="A229" t="str">
            <v>Sint Maarten</v>
          </cell>
        </row>
        <row r="230">
          <cell r="A230" t="str">
            <v>Seychelles</v>
          </cell>
        </row>
        <row r="231">
          <cell r="A231" t="str">
            <v>Turks &amp; Caicos Islands</v>
          </cell>
        </row>
        <row r="232">
          <cell r="A232" t="str">
            <v>Chad</v>
          </cell>
        </row>
        <row r="233">
          <cell r="A233" t="str">
            <v>Togo</v>
          </cell>
        </row>
        <row r="234">
          <cell r="A234" t="str">
            <v>Tajikistan</v>
          </cell>
        </row>
        <row r="235">
          <cell r="A235" t="str">
            <v>Tokelau</v>
          </cell>
        </row>
        <row r="236">
          <cell r="A236" t="str">
            <v>Turkmenistan</v>
          </cell>
        </row>
        <row r="237">
          <cell r="A237" t="str">
            <v>Timor-Leste</v>
          </cell>
        </row>
        <row r="238">
          <cell r="A238" t="str">
            <v>Tonga</v>
          </cell>
        </row>
        <row r="239">
          <cell r="A239" t="str">
            <v>Trinidad &amp; Tobago</v>
          </cell>
        </row>
        <row r="240">
          <cell r="A240" t="str">
            <v>Tuvalu</v>
          </cell>
        </row>
        <row r="241">
          <cell r="A241" t="str">
            <v>Tanzania</v>
          </cell>
        </row>
        <row r="242">
          <cell r="A242" t="str">
            <v>U.S. Outlying Islands</v>
          </cell>
        </row>
        <row r="243">
          <cell r="A243" t="str">
            <v>Uruguay</v>
          </cell>
        </row>
        <row r="244">
          <cell r="A244" t="str">
            <v>Uzbekistan</v>
          </cell>
        </row>
        <row r="245">
          <cell r="A245" t="str">
            <v>Vatican City</v>
          </cell>
        </row>
        <row r="246">
          <cell r="A246" t="str">
            <v>St. Vincent &amp; Grenadines</v>
          </cell>
        </row>
        <row r="247">
          <cell r="A247" t="str">
            <v>British Virgin Islands</v>
          </cell>
        </row>
        <row r="248">
          <cell r="A248" t="str">
            <v>U.S. Virgin Islands</v>
          </cell>
        </row>
        <row r="249">
          <cell r="A249" t="str">
            <v>Vanuatu</v>
          </cell>
        </row>
        <row r="250">
          <cell r="A250" t="str">
            <v>Wallis &amp; Futuna</v>
          </cell>
        </row>
        <row r="251">
          <cell r="A251" t="str">
            <v>Samoa</v>
          </cell>
        </row>
        <row r="252">
          <cell r="A252" t="str">
            <v>Kosovo</v>
          </cell>
        </row>
        <row r="253">
          <cell r="A253" t="str">
            <v>Zambia</v>
          </cell>
        </row>
      </sheetData>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80)"/>
    </sheetNames>
    <sheetDataSet>
      <sheetData sheetId="0" refreshError="1">
        <row r="1">
          <cell r="A1" t="str">
            <v>Category: All categories</v>
          </cell>
        </row>
        <row r="3">
          <cell r="A3" t="str">
            <v>Country</v>
          </cell>
          <cell r="B3" t="str">
            <v>C++: (2018)</v>
          </cell>
          <cell r="C3" t="str">
            <v>Regular expression: (2018)</v>
          </cell>
        </row>
        <row r="4">
          <cell r="A4" t="str">
            <v>North Korea</v>
          </cell>
        </row>
        <row r="5">
          <cell r="A5" t="str">
            <v>China</v>
          </cell>
          <cell r="B5">
            <v>0.74</v>
          </cell>
          <cell r="C5">
            <v>0.26</v>
          </cell>
        </row>
        <row r="6">
          <cell r="A6" t="str">
            <v>Ethiopia</v>
          </cell>
        </row>
        <row r="7">
          <cell r="A7" t="str">
            <v>South Korea</v>
          </cell>
          <cell r="B7">
            <v>0.82</v>
          </cell>
          <cell r="C7">
            <v>0.18</v>
          </cell>
        </row>
        <row r="8">
          <cell r="A8" t="str">
            <v>Pakistan</v>
          </cell>
          <cell r="B8">
            <v>0.94</v>
          </cell>
          <cell r="C8">
            <v>0.06</v>
          </cell>
        </row>
        <row r="9">
          <cell r="A9" t="str">
            <v>Cuba</v>
          </cell>
        </row>
        <row r="10">
          <cell r="A10" t="str">
            <v>Lesotho</v>
          </cell>
        </row>
        <row r="11">
          <cell r="A11" t="str">
            <v>Armenia</v>
          </cell>
        </row>
        <row r="12">
          <cell r="A12" t="str">
            <v>Rwanda</v>
          </cell>
        </row>
        <row r="13">
          <cell r="A13" t="str">
            <v>St. Helena</v>
          </cell>
          <cell r="B13">
            <v>0.6</v>
          </cell>
          <cell r="C13">
            <v>0.4</v>
          </cell>
        </row>
        <row r="14">
          <cell r="A14" t="str">
            <v>Tonga</v>
          </cell>
        </row>
        <row r="15">
          <cell r="A15" t="str">
            <v>Romania</v>
          </cell>
          <cell r="B15">
            <v>0.89</v>
          </cell>
          <cell r="C15">
            <v>0.11</v>
          </cell>
        </row>
        <row r="16">
          <cell r="A16" t="str">
            <v>Fiji</v>
          </cell>
        </row>
        <row r="17">
          <cell r="A17" t="str">
            <v>Israel</v>
          </cell>
          <cell r="B17">
            <v>0.71</v>
          </cell>
          <cell r="C17">
            <v>0.28999999999999998</v>
          </cell>
        </row>
        <row r="18">
          <cell r="A18" t="str">
            <v>Honduras</v>
          </cell>
        </row>
        <row r="19">
          <cell r="A19" t="str">
            <v>Malawi</v>
          </cell>
        </row>
        <row r="20">
          <cell r="A20" t="str">
            <v>Nepal</v>
          </cell>
        </row>
        <row r="21">
          <cell r="A21" t="str">
            <v>Belarus</v>
          </cell>
          <cell r="B21">
            <v>0.77</v>
          </cell>
          <cell r="C21">
            <v>0.23</v>
          </cell>
        </row>
        <row r="22">
          <cell r="A22" t="str">
            <v>Singapore</v>
          </cell>
          <cell r="B22">
            <v>0.75</v>
          </cell>
          <cell r="C22">
            <v>0.25</v>
          </cell>
        </row>
        <row r="23">
          <cell r="A23" t="str">
            <v>Afghanistan</v>
          </cell>
        </row>
        <row r="24">
          <cell r="A24" t="str">
            <v>Iceland</v>
          </cell>
        </row>
        <row r="25">
          <cell r="A25" t="str">
            <v>India</v>
          </cell>
          <cell r="B25">
            <v>0.84</v>
          </cell>
          <cell r="C25">
            <v>0.16</v>
          </cell>
        </row>
        <row r="26">
          <cell r="A26" t="str">
            <v>Taiwan</v>
          </cell>
          <cell r="B26">
            <v>0.84</v>
          </cell>
          <cell r="C26">
            <v>0.16</v>
          </cell>
        </row>
        <row r="27">
          <cell r="A27" t="str">
            <v>North Macedonia</v>
          </cell>
        </row>
        <row r="28">
          <cell r="A28" t="str">
            <v>Guatemala</v>
          </cell>
        </row>
        <row r="29">
          <cell r="A29" t="str">
            <v>Zimbabwe</v>
          </cell>
        </row>
        <row r="30">
          <cell r="A30" t="str">
            <v>Poland</v>
          </cell>
          <cell r="B30">
            <v>0.85</v>
          </cell>
          <cell r="C30">
            <v>0.15</v>
          </cell>
        </row>
        <row r="31">
          <cell r="A31" t="str">
            <v>Belize</v>
          </cell>
        </row>
        <row r="32">
          <cell r="A32" t="str">
            <v>Madagascar</v>
          </cell>
        </row>
        <row r="33">
          <cell r="A33" t="str">
            <v>Bosnia &amp; Herzegovina</v>
          </cell>
        </row>
        <row r="34">
          <cell r="A34" t="str">
            <v>Russia</v>
          </cell>
          <cell r="B34">
            <v>0.82</v>
          </cell>
          <cell r="C34">
            <v>0.18</v>
          </cell>
        </row>
        <row r="35">
          <cell r="A35" t="str">
            <v>Bangladesh</v>
          </cell>
          <cell r="B35">
            <v>0.92</v>
          </cell>
          <cell r="C35">
            <v>0.08</v>
          </cell>
        </row>
        <row r="36">
          <cell r="A36" t="str">
            <v>Uzbekistan</v>
          </cell>
        </row>
        <row r="37">
          <cell r="A37" t="str">
            <v>Lithuania</v>
          </cell>
          <cell r="B37">
            <v>0.83</v>
          </cell>
          <cell r="C37">
            <v>0.17</v>
          </cell>
        </row>
        <row r="38">
          <cell r="A38" t="str">
            <v>Mongolia</v>
          </cell>
        </row>
        <row r="39">
          <cell r="A39" t="str">
            <v>Cyprus</v>
          </cell>
        </row>
        <row r="40">
          <cell r="A40" t="str">
            <v>Eswatini</v>
          </cell>
        </row>
        <row r="41">
          <cell r="A41" t="str">
            <v>Hong Kong</v>
          </cell>
          <cell r="B41">
            <v>0.75</v>
          </cell>
          <cell r="C41">
            <v>0.25</v>
          </cell>
        </row>
        <row r="42">
          <cell r="A42" t="str">
            <v>Bulgaria</v>
          </cell>
          <cell r="B42">
            <v>0.78</v>
          </cell>
          <cell r="C42">
            <v>0.22</v>
          </cell>
        </row>
        <row r="43">
          <cell r="A43" t="str">
            <v>Czechia</v>
          </cell>
          <cell r="B43">
            <v>0.73</v>
          </cell>
          <cell r="C43">
            <v>0.27</v>
          </cell>
        </row>
        <row r="44">
          <cell r="A44" t="str">
            <v>Germany</v>
          </cell>
          <cell r="B44">
            <v>0.76</v>
          </cell>
          <cell r="C44">
            <v>0.24</v>
          </cell>
        </row>
        <row r="45">
          <cell r="A45" t="str">
            <v>Albania</v>
          </cell>
        </row>
        <row r="46">
          <cell r="A46" t="str">
            <v>Ukraine</v>
          </cell>
          <cell r="B46">
            <v>0.78</v>
          </cell>
          <cell r="C46">
            <v>0.22</v>
          </cell>
        </row>
        <row r="47">
          <cell r="A47" t="str">
            <v>Somalia</v>
          </cell>
        </row>
        <row r="48">
          <cell r="A48" t="str">
            <v>Latvia</v>
          </cell>
        </row>
        <row r="49">
          <cell r="A49" t="str">
            <v>Switzerland</v>
          </cell>
          <cell r="B49">
            <v>0.7</v>
          </cell>
          <cell r="C49">
            <v>0.3</v>
          </cell>
        </row>
        <row r="50">
          <cell r="A50" t="str">
            <v>Iran</v>
          </cell>
          <cell r="B50">
            <v>0.94</v>
          </cell>
          <cell r="C50">
            <v>0.06</v>
          </cell>
        </row>
        <row r="51">
          <cell r="A51" t="str">
            <v>Sudan</v>
          </cell>
        </row>
        <row r="52">
          <cell r="A52" t="str">
            <v>Sweden</v>
          </cell>
          <cell r="B52">
            <v>0.73</v>
          </cell>
          <cell r="C52">
            <v>0.27</v>
          </cell>
        </row>
        <row r="53">
          <cell r="A53" t="str">
            <v>Kazakhstan</v>
          </cell>
          <cell r="B53">
            <v>0.91</v>
          </cell>
          <cell r="C53">
            <v>0.09</v>
          </cell>
        </row>
        <row r="54">
          <cell r="A54" t="str">
            <v>Botswana</v>
          </cell>
        </row>
        <row r="55">
          <cell r="A55" t="str">
            <v>Moldova</v>
          </cell>
        </row>
        <row r="56">
          <cell r="A56" t="str">
            <v>Jordan</v>
          </cell>
        </row>
        <row r="57">
          <cell r="A57" t="str">
            <v>Philippines</v>
          </cell>
          <cell r="B57">
            <v>0.86</v>
          </cell>
          <cell r="C57">
            <v>0.14000000000000001</v>
          </cell>
        </row>
        <row r="58">
          <cell r="A58" t="str">
            <v>Austria</v>
          </cell>
          <cell r="B58">
            <v>0.76</v>
          </cell>
          <cell r="C58">
            <v>0.24</v>
          </cell>
        </row>
        <row r="59">
          <cell r="A59" t="str">
            <v>Tunisia</v>
          </cell>
        </row>
        <row r="60">
          <cell r="A60" t="str">
            <v>Zambia</v>
          </cell>
        </row>
        <row r="61">
          <cell r="A61" t="str">
            <v>Palestine</v>
          </cell>
        </row>
        <row r="62">
          <cell r="A62" t="str">
            <v>Ecuador</v>
          </cell>
        </row>
        <row r="63">
          <cell r="A63" t="str">
            <v>Canada</v>
          </cell>
          <cell r="B63">
            <v>0.74</v>
          </cell>
          <cell r="C63">
            <v>0.26</v>
          </cell>
        </row>
        <row r="64">
          <cell r="A64" t="str">
            <v>Yemen</v>
          </cell>
        </row>
        <row r="65">
          <cell r="A65" t="str">
            <v>Cameroon</v>
          </cell>
        </row>
        <row r="66">
          <cell r="A66" t="str">
            <v>Slovenia</v>
          </cell>
        </row>
        <row r="67">
          <cell r="A67" t="str">
            <v>Sri Lanka</v>
          </cell>
          <cell r="B67">
            <v>0.8</v>
          </cell>
          <cell r="C67">
            <v>0.2</v>
          </cell>
        </row>
        <row r="68">
          <cell r="A68" t="str">
            <v>Serbia</v>
          </cell>
          <cell r="B68">
            <v>0.8</v>
          </cell>
          <cell r="C68">
            <v>0.2</v>
          </cell>
        </row>
        <row r="69">
          <cell r="A69" t="str">
            <v>Myanmar (Burma)</v>
          </cell>
        </row>
        <row r="70">
          <cell r="A70" t="str">
            <v>Burundi</v>
          </cell>
        </row>
        <row r="71">
          <cell r="A71" t="str">
            <v>Finland</v>
          </cell>
          <cell r="B71">
            <v>0.73</v>
          </cell>
          <cell r="C71">
            <v>0.27</v>
          </cell>
        </row>
        <row r="72">
          <cell r="A72" t="str">
            <v>Benin</v>
          </cell>
        </row>
        <row r="73">
          <cell r="A73" t="str">
            <v>Faroe Islands</v>
          </cell>
        </row>
        <row r="74">
          <cell r="A74" t="str">
            <v>Hungary</v>
          </cell>
          <cell r="B74">
            <v>0.75</v>
          </cell>
          <cell r="C74">
            <v>0.25</v>
          </cell>
        </row>
        <row r="75">
          <cell r="A75" t="str">
            <v>Ghana</v>
          </cell>
        </row>
        <row r="76">
          <cell r="A76" t="str">
            <v>Bolivia</v>
          </cell>
        </row>
        <row r="77">
          <cell r="A77" t="str">
            <v>Papua New Guinea</v>
          </cell>
        </row>
        <row r="78">
          <cell r="A78" t="str">
            <v>Togo</v>
          </cell>
        </row>
        <row r="79">
          <cell r="A79" t="str">
            <v>United States</v>
          </cell>
          <cell r="B79">
            <v>0.74</v>
          </cell>
          <cell r="C79">
            <v>0.26</v>
          </cell>
        </row>
        <row r="80">
          <cell r="A80" t="str">
            <v>Croatia</v>
          </cell>
          <cell r="B80">
            <v>0.81</v>
          </cell>
          <cell r="C80">
            <v>0.19</v>
          </cell>
        </row>
        <row r="81">
          <cell r="A81" t="str">
            <v>Slovakia</v>
          </cell>
          <cell r="B81">
            <v>0.76</v>
          </cell>
          <cell r="C81">
            <v>0.24</v>
          </cell>
        </row>
        <row r="82">
          <cell r="A82" t="str">
            <v>Vietnam</v>
          </cell>
          <cell r="B82">
            <v>0.87</v>
          </cell>
          <cell r="C82">
            <v>0.13</v>
          </cell>
        </row>
        <row r="83">
          <cell r="A83" t="str">
            <v>Japan</v>
          </cell>
          <cell r="B83">
            <v>0.62</v>
          </cell>
          <cell r="C83">
            <v>0.38</v>
          </cell>
        </row>
        <row r="84">
          <cell r="A84" t="str">
            <v>Estonia</v>
          </cell>
        </row>
        <row r="85">
          <cell r="A85" t="str">
            <v>Georgia</v>
          </cell>
        </row>
        <row r="86">
          <cell r="A86" t="str">
            <v>Mexico</v>
          </cell>
          <cell r="B86">
            <v>0.9</v>
          </cell>
          <cell r="C86">
            <v>0.1</v>
          </cell>
        </row>
        <row r="87">
          <cell r="A87" t="str">
            <v>Norway</v>
          </cell>
          <cell r="B87">
            <v>0.72</v>
          </cell>
          <cell r="C87">
            <v>0.28000000000000003</v>
          </cell>
        </row>
        <row r="88">
          <cell r="A88" t="str">
            <v>Kenya</v>
          </cell>
        </row>
        <row r="89">
          <cell r="A89" t="str">
            <v>Laos</v>
          </cell>
        </row>
        <row r="90">
          <cell r="A90" t="str">
            <v>Malaysia</v>
          </cell>
          <cell r="B90">
            <v>0.87</v>
          </cell>
          <cell r="C90">
            <v>0.13</v>
          </cell>
        </row>
        <row r="91">
          <cell r="A91" t="str">
            <v>Angola</v>
          </cell>
        </row>
        <row r="92">
          <cell r="A92" t="str">
            <v>Syria</v>
          </cell>
        </row>
        <row r="93">
          <cell r="A93" t="str">
            <v>Lebanon</v>
          </cell>
        </row>
        <row r="94">
          <cell r="A94" t="str">
            <v>Turkmenistan</v>
          </cell>
        </row>
        <row r="95">
          <cell r="A95" t="str">
            <v>Egypt</v>
          </cell>
          <cell r="B95">
            <v>0.9</v>
          </cell>
          <cell r="C95">
            <v>0.1</v>
          </cell>
        </row>
        <row r="96">
          <cell r="A96" t="str">
            <v>Costa Rica</v>
          </cell>
        </row>
        <row r="97">
          <cell r="A97" t="str">
            <v>Libya</v>
          </cell>
        </row>
        <row r="98">
          <cell r="A98" t="str">
            <v>Bhutan</v>
          </cell>
        </row>
        <row r="99">
          <cell r="A99" t="str">
            <v>Azerbaijan</v>
          </cell>
        </row>
        <row r="100">
          <cell r="A100" t="str">
            <v>El Salvador</v>
          </cell>
        </row>
        <row r="101">
          <cell r="A101" t="str">
            <v>Oman</v>
          </cell>
        </row>
        <row r="102">
          <cell r="A102" t="str">
            <v>Cambodia</v>
          </cell>
        </row>
        <row r="103">
          <cell r="A103" t="str">
            <v>Panama</v>
          </cell>
        </row>
        <row r="104">
          <cell r="A104" t="str">
            <v>Peru</v>
          </cell>
          <cell r="B104">
            <v>0.92</v>
          </cell>
          <cell r="C104">
            <v>0.08</v>
          </cell>
        </row>
        <row r="105">
          <cell r="A105" t="str">
            <v>Congo - Brazzaville</v>
          </cell>
        </row>
        <row r="106">
          <cell r="A106" t="str">
            <v>Djibouti</v>
          </cell>
        </row>
        <row r="107">
          <cell r="A107" t="str">
            <v>Luxembourg</v>
          </cell>
        </row>
        <row r="108">
          <cell r="A108" t="str">
            <v>Netherlands</v>
          </cell>
          <cell r="B108">
            <v>0.65</v>
          </cell>
          <cell r="C108">
            <v>0.35</v>
          </cell>
        </row>
        <row r="109">
          <cell r="A109" t="str">
            <v>Portugal</v>
          </cell>
          <cell r="B109">
            <v>0.69</v>
          </cell>
          <cell r="C109">
            <v>0.31</v>
          </cell>
        </row>
        <row r="110">
          <cell r="A110" t="str">
            <v>Denmark</v>
          </cell>
          <cell r="B110">
            <v>0.66</v>
          </cell>
          <cell r="C110">
            <v>0.34</v>
          </cell>
        </row>
        <row r="111">
          <cell r="A111" t="str">
            <v>Gibraltar</v>
          </cell>
        </row>
        <row r="112">
          <cell r="A112" t="str">
            <v>Macao</v>
          </cell>
        </row>
        <row r="113">
          <cell r="A113" t="str">
            <v>New Zealand</v>
          </cell>
          <cell r="B113">
            <v>0.63</v>
          </cell>
          <cell r="C113">
            <v>0.37</v>
          </cell>
        </row>
        <row r="114">
          <cell r="A114" t="str">
            <v>Tanzania</v>
          </cell>
        </row>
        <row r="115">
          <cell r="A115" t="str">
            <v>Colombia</v>
          </cell>
          <cell r="B115">
            <v>0.86</v>
          </cell>
          <cell r="C115">
            <v>0.14000000000000001</v>
          </cell>
        </row>
        <row r="116">
          <cell r="A116" t="str">
            <v>Uganda</v>
          </cell>
        </row>
        <row r="117">
          <cell r="A117" t="str">
            <v>Trinidad &amp; Tobago</v>
          </cell>
        </row>
        <row r="118">
          <cell r="A118" t="str">
            <v>Cape Verde</v>
          </cell>
        </row>
        <row r="119">
          <cell r="A119" t="str">
            <v>Kyrgyzstan</v>
          </cell>
        </row>
        <row r="120">
          <cell r="A120" t="str">
            <v>South Africa</v>
          </cell>
          <cell r="B120">
            <v>0.78</v>
          </cell>
          <cell r="C120">
            <v>0.22</v>
          </cell>
        </row>
        <row r="121">
          <cell r="A121" t="str">
            <v>Indonesia</v>
          </cell>
          <cell r="B121">
            <v>0.93</v>
          </cell>
          <cell r="C121">
            <v>7.0000000000000007E-2</v>
          </cell>
        </row>
        <row r="122">
          <cell r="A122" t="str">
            <v>Barbados</v>
          </cell>
        </row>
        <row r="123">
          <cell r="A123" t="str">
            <v>France</v>
          </cell>
          <cell r="B123">
            <v>0.69</v>
          </cell>
          <cell r="C123">
            <v>0.31</v>
          </cell>
        </row>
        <row r="124">
          <cell r="A124" t="str">
            <v>Morocco</v>
          </cell>
          <cell r="B124">
            <v>0.84</v>
          </cell>
          <cell r="C124">
            <v>0.16</v>
          </cell>
        </row>
        <row r="125">
          <cell r="A125" t="str">
            <v>Ireland</v>
          </cell>
          <cell r="B125">
            <v>0.62</v>
          </cell>
          <cell r="C125">
            <v>0.38</v>
          </cell>
        </row>
        <row r="126">
          <cell r="A126" t="str">
            <v>St. Vincent &amp; Grenadines</v>
          </cell>
        </row>
        <row r="127">
          <cell r="A127" t="str">
            <v>Greece</v>
          </cell>
          <cell r="B127">
            <v>0.81</v>
          </cell>
          <cell r="C127">
            <v>0.19</v>
          </cell>
        </row>
        <row r="128">
          <cell r="A128" t="str">
            <v>Namibia</v>
          </cell>
        </row>
        <row r="129">
          <cell r="A129" t="str">
            <v>Sierra Leone</v>
          </cell>
        </row>
        <row r="130">
          <cell r="A130" t="str">
            <v>Malta</v>
          </cell>
        </row>
        <row r="131">
          <cell r="A131" t="str">
            <v>United Arab Emirates</v>
          </cell>
          <cell r="B131">
            <v>0.81</v>
          </cell>
          <cell r="C131">
            <v>0.19</v>
          </cell>
        </row>
        <row r="132">
          <cell r="A132" t="str">
            <v>Nicaragua</v>
          </cell>
        </row>
        <row r="133">
          <cell r="A133" t="str">
            <v>Puerto Rico</v>
          </cell>
        </row>
        <row r="134">
          <cell r="A134" t="str">
            <v>Bahrain</v>
          </cell>
        </row>
        <row r="135">
          <cell r="A135" t="str">
            <v>Mauritius</v>
          </cell>
        </row>
        <row r="136">
          <cell r="A136" t="str">
            <v>United Kingdom</v>
          </cell>
          <cell r="B136">
            <v>0.66</v>
          </cell>
          <cell r="C136">
            <v>0.34</v>
          </cell>
        </row>
        <row r="137">
          <cell r="A137" t="str">
            <v>South Sudan</v>
          </cell>
        </row>
        <row r="138">
          <cell r="A138" t="str">
            <v>Algeria</v>
          </cell>
        </row>
        <row r="139">
          <cell r="A139" t="str">
            <v>Italy</v>
          </cell>
          <cell r="B139">
            <v>0.81</v>
          </cell>
          <cell r="C139">
            <v>0.19</v>
          </cell>
        </row>
        <row r="140">
          <cell r="A140" t="str">
            <v>Belgium</v>
          </cell>
          <cell r="B140">
            <v>0.66</v>
          </cell>
          <cell r="C140">
            <v>0.34</v>
          </cell>
        </row>
        <row r="141">
          <cell r="A141" t="str">
            <v>Maldives</v>
          </cell>
        </row>
        <row r="142">
          <cell r="A142" t="str">
            <v>Australia</v>
          </cell>
          <cell r="B142">
            <v>0.62</v>
          </cell>
          <cell r="C142">
            <v>0.38</v>
          </cell>
        </row>
        <row r="143">
          <cell r="A143" t="str">
            <v>Nigeria</v>
          </cell>
        </row>
        <row r="144">
          <cell r="A144" t="str">
            <v>Guinea</v>
          </cell>
        </row>
        <row r="145">
          <cell r="A145" t="str">
            <v>Iraq</v>
          </cell>
        </row>
        <row r="146">
          <cell r="A146" t="str">
            <v>Kosovo</v>
          </cell>
        </row>
        <row r="147">
          <cell r="A147" t="str">
            <v>Jamaica</v>
          </cell>
        </row>
        <row r="148">
          <cell r="A148" t="str">
            <v>Spain</v>
          </cell>
          <cell r="B148">
            <v>0.72</v>
          </cell>
          <cell r="C148">
            <v>0.28000000000000003</v>
          </cell>
        </row>
        <row r="149">
          <cell r="A149" t="str">
            <v>Montenegro</v>
          </cell>
        </row>
        <row r="150">
          <cell r="A150" t="str">
            <v>Tajikistan</v>
          </cell>
        </row>
        <row r="151">
          <cell r="A151" t="str">
            <v>Paraguay</v>
          </cell>
        </row>
        <row r="152">
          <cell r="A152" t="str">
            <v>Brunei</v>
          </cell>
        </row>
        <row r="153">
          <cell r="A153" t="str">
            <v>Dominican Republic</v>
          </cell>
        </row>
        <row r="154">
          <cell r="A154" t="str">
            <v>Thailand</v>
          </cell>
          <cell r="B154">
            <v>0.85</v>
          </cell>
          <cell r="C154">
            <v>0.15</v>
          </cell>
        </row>
        <row r="155">
          <cell r="A155" t="str">
            <v>Mozambique</v>
          </cell>
        </row>
        <row r="156">
          <cell r="A156" t="str">
            <v>Uruguay</v>
          </cell>
        </row>
        <row r="157">
          <cell r="A157" t="str">
            <v>Haiti</v>
          </cell>
        </row>
        <row r="158">
          <cell r="A158" t="str">
            <v>Gabon</v>
          </cell>
        </row>
        <row r="159">
          <cell r="A159" t="str">
            <v>Mali</v>
          </cell>
        </row>
        <row r="160">
          <cell r="A160" t="str">
            <v>Mauritania</v>
          </cell>
        </row>
        <row r="161">
          <cell r="A161" t="str">
            <v>Congo - Kinshasa</v>
          </cell>
        </row>
        <row r="162">
          <cell r="A162" t="str">
            <v>Venezuela</v>
          </cell>
        </row>
        <row r="163">
          <cell r="A163" t="str">
            <v>Senegal</v>
          </cell>
        </row>
        <row r="164">
          <cell r="A164" t="str">
            <v>Turkey</v>
          </cell>
          <cell r="B164">
            <v>0.87</v>
          </cell>
          <cell r="C164">
            <v>0.13</v>
          </cell>
        </row>
        <row r="165">
          <cell r="A165" t="str">
            <v>Qatar</v>
          </cell>
        </row>
        <row r="166">
          <cell r="A166" t="str">
            <v>CÃ´te dâ€™Ivoire</v>
          </cell>
        </row>
        <row r="167">
          <cell r="A167" t="str">
            <v>Andorra</v>
          </cell>
        </row>
        <row r="168">
          <cell r="A168" t="str">
            <v>Chile</v>
          </cell>
          <cell r="B168">
            <v>0.74</v>
          </cell>
          <cell r="C168">
            <v>0.26</v>
          </cell>
        </row>
        <row r="169">
          <cell r="A169" t="str">
            <v>Saudi Arabia</v>
          </cell>
        </row>
        <row r="170">
          <cell r="A170" t="str">
            <v>Argentina</v>
          </cell>
          <cell r="B170">
            <v>0.76</v>
          </cell>
          <cell r="C170">
            <v>0.24</v>
          </cell>
        </row>
        <row r="171">
          <cell r="A171" t="str">
            <v>Brazil</v>
          </cell>
          <cell r="B171">
            <v>0.76</v>
          </cell>
          <cell r="C171">
            <v>0.24</v>
          </cell>
        </row>
        <row r="172">
          <cell r="A172" t="str">
            <v>Guam</v>
          </cell>
        </row>
        <row r="173">
          <cell r="A173" t="str">
            <v>French Polynesia</v>
          </cell>
        </row>
        <row r="174">
          <cell r="A174" t="str">
            <v>Cayman Islands</v>
          </cell>
        </row>
        <row r="175">
          <cell r="A175" t="str">
            <v>Guyana</v>
          </cell>
        </row>
        <row r="176">
          <cell r="A176" t="str">
            <v>Niger</v>
          </cell>
        </row>
        <row r="177">
          <cell r="A177" t="str">
            <v>Kuwait</v>
          </cell>
        </row>
        <row r="178">
          <cell r="A178" t="str">
            <v>Burkina Faso</v>
          </cell>
        </row>
        <row r="179">
          <cell r="A179" t="str">
            <v>Suriname</v>
          </cell>
        </row>
        <row r="180">
          <cell r="A180" t="str">
            <v>Antigua &amp; Barbuda</v>
          </cell>
        </row>
        <row r="181">
          <cell r="A181" t="str">
            <v>Liberia</v>
          </cell>
        </row>
        <row r="182">
          <cell r="A182" t="str">
            <v>Jersey</v>
          </cell>
        </row>
        <row r="183">
          <cell r="A183" t="str">
            <v>RÃ©union</v>
          </cell>
        </row>
        <row r="184">
          <cell r="A184" t="str">
            <v>Martinique</v>
          </cell>
        </row>
        <row r="185">
          <cell r="A185" t="str">
            <v>French Guiana</v>
          </cell>
        </row>
        <row r="186">
          <cell r="A186" t="str">
            <v>Guadeloupe</v>
          </cell>
        </row>
        <row r="187">
          <cell r="A187" t="str">
            <v>Bahamas</v>
          </cell>
        </row>
        <row r="188">
          <cell r="A188" t="str">
            <v>CuraÃ§ao</v>
          </cell>
        </row>
        <row r="189">
          <cell r="A189" t="str">
            <v>Grenada</v>
          </cell>
        </row>
        <row r="190">
          <cell r="A190" t="str">
            <v>Eritrea</v>
          </cell>
        </row>
        <row r="191">
          <cell r="A191" t="str">
            <v>Vanuatu</v>
          </cell>
        </row>
        <row r="192">
          <cell r="A192" t="str">
            <v>Liechtenstein</v>
          </cell>
        </row>
        <row r="193">
          <cell r="A193" t="str">
            <v>Svalbard &amp; Jan Mayen</v>
          </cell>
        </row>
        <row r="194">
          <cell r="A194" t="str">
            <v>Marshall Islands</v>
          </cell>
        </row>
        <row r="195">
          <cell r="A195" t="str">
            <v>Ã…land Islands</v>
          </cell>
        </row>
        <row r="196">
          <cell r="A196" t="str">
            <v>Equatorial Guinea</v>
          </cell>
        </row>
        <row r="197">
          <cell r="A197" t="str">
            <v>Comoros</v>
          </cell>
        </row>
        <row r="198">
          <cell r="A198" t="str">
            <v>St. Pierre &amp; Miquelon</v>
          </cell>
        </row>
        <row r="199">
          <cell r="A199" t="str">
            <v>Micronesia</v>
          </cell>
        </row>
        <row r="200">
          <cell r="A200" t="str">
            <v>Anguilla</v>
          </cell>
        </row>
        <row r="201">
          <cell r="A201" t="str">
            <v>Western Sahara</v>
          </cell>
        </row>
        <row r="202">
          <cell r="A202" t="str">
            <v>Dominica</v>
          </cell>
        </row>
        <row r="203">
          <cell r="A203" t="str">
            <v>SÃ£o TomÃ© &amp; PrÃ­ncipe</v>
          </cell>
        </row>
        <row r="204">
          <cell r="A204" t="str">
            <v>Solomon Islands</v>
          </cell>
        </row>
        <row r="205">
          <cell r="A205" t="str">
            <v>Seychelles</v>
          </cell>
        </row>
        <row r="206">
          <cell r="A206" t="str">
            <v>Turks &amp; Caicos Islands</v>
          </cell>
        </row>
        <row r="207">
          <cell r="A207" t="str">
            <v>San Marino</v>
          </cell>
        </row>
        <row r="208">
          <cell r="A208" t="str">
            <v>American Samoa</v>
          </cell>
        </row>
        <row r="209">
          <cell r="A209" t="str">
            <v>Timor-Leste</v>
          </cell>
        </row>
        <row r="210">
          <cell r="A210" t="str">
            <v>Gambia</v>
          </cell>
        </row>
        <row r="211">
          <cell r="A211" t="str">
            <v>Mayotte</v>
          </cell>
        </row>
        <row r="212">
          <cell r="A212" t="str">
            <v>Chad</v>
          </cell>
        </row>
        <row r="213">
          <cell r="A213" t="str">
            <v>St. Lucia</v>
          </cell>
        </row>
        <row r="214">
          <cell r="A214" t="str">
            <v>Guinea-Bissau</v>
          </cell>
        </row>
        <row r="215">
          <cell r="A215" t="str">
            <v>U.S. Virgin Islands</v>
          </cell>
        </row>
        <row r="216">
          <cell r="A216" t="str">
            <v>Central African Republic</v>
          </cell>
        </row>
        <row r="217">
          <cell r="A217" t="str">
            <v>Guernsey</v>
          </cell>
        </row>
        <row r="218">
          <cell r="A218" t="str">
            <v>New Caledonia</v>
          </cell>
        </row>
        <row r="219">
          <cell r="A219" t="str">
            <v>Isle of Man</v>
          </cell>
        </row>
        <row r="220">
          <cell r="A220" t="str">
            <v>Bermuda</v>
          </cell>
        </row>
        <row r="221">
          <cell r="A221" t="str">
            <v>Northern Mariana Islands</v>
          </cell>
        </row>
        <row r="222">
          <cell r="A222" t="str">
            <v>Monaco</v>
          </cell>
        </row>
        <row r="223">
          <cell r="A223" t="str">
            <v>St. BarthÃ©lemy</v>
          </cell>
        </row>
        <row r="224">
          <cell r="A224" t="str">
            <v>St. Kitts &amp; Nevis</v>
          </cell>
        </row>
        <row r="225">
          <cell r="A225" t="str">
            <v>Sint Maarten</v>
          </cell>
        </row>
        <row r="226">
          <cell r="A226" t="str">
            <v>Aruba</v>
          </cell>
        </row>
        <row r="227">
          <cell r="A227" t="str">
            <v>Antarctica</v>
          </cell>
        </row>
        <row r="228">
          <cell r="A228" t="str">
            <v>French Southern Territories</v>
          </cell>
        </row>
        <row r="229">
          <cell r="A229" t="str">
            <v>Caribbean Netherlands</v>
          </cell>
        </row>
        <row r="230">
          <cell r="A230" t="str">
            <v>Bouvet Island</v>
          </cell>
        </row>
        <row r="231">
          <cell r="A231" t="str">
            <v>Cocos (Keeling) Islands</v>
          </cell>
        </row>
        <row r="232">
          <cell r="A232" t="str">
            <v>Cook Islands</v>
          </cell>
        </row>
        <row r="233">
          <cell r="A233" t="str">
            <v>Christmas Island</v>
          </cell>
        </row>
        <row r="234">
          <cell r="A234" t="str">
            <v>Falkland Islands (Islas Malvinas)</v>
          </cell>
        </row>
        <row r="235">
          <cell r="A235" t="str">
            <v>Greenland</v>
          </cell>
        </row>
        <row r="236">
          <cell r="A236" t="str">
            <v>Heard &amp; McDonald Islands</v>
          </cell>
        </row>
        <row r="237">
          <cell r="A237" t="str">
            <v>British Indian Ocean Territory</v>
          </cell>
        </row>
        <row r="238">
          <cell r="A238" t="str">
            <v>Kiribati</v>
          </cell>
        </row>
        <row r="239">
          <cell r="A239" t="str">
            <v>St. Martin</v>
          </cell>
        </row>
        <row r="240">
          <cell r="A240" t="str">
            <v>Montserrat</v>
          </cell>
        </row>
        <row r="241">
          <cell r="A241" t="str">
            <v>Norfolk Island</v>
          </cell>
        </row>
        <row r="242">
          <cell r="A242" t="str">
            <v>Niue</v>
          </cell>
        </row>
        <row r="243">
          <cell r="A243" t="str">
            <v>Nauru</v>
          </cell>
        </row>
        <row r="244">
          <cell r="A244" t="str">
            <v>Pitcairn Islands</v>
          </cell>
        </row>
        <row r="245">
          <cell r="A245" t="str">
            <v>Palau</v>
          </cell>
        </row>
        <row r="246">
          <cell r="A246" t="str">
            <v>South Georgia &amp; South Sandwich Islands</v>
          </cell>
        </row>
        <row r="247">
          <cell r="A247" t="str">
            <v>Tokelau</v>
          </cell>
        </row>
        <row r="248">
          <cell r="A248" t="str">
            <v>Tuvalu</v>
          </cell>
        </row>
        <row r="249">
          <cell r="A249" t="str">
            <v>U.S. Outlying Islands</v>
          </cell>
        </row>
        <row r="250">
          <cell r="A250" t="str">
            <v>Vatican City</v>
          </cell>
        </row>
        <row r="251">
          <cell r="A251" t="str">
            <v>British Virgin Islands</v>
          </cell>
        </row>
        <row r="252">
          <cell r="A252" t="str">
            <v>Wallis &amp; Futuna</v>
          </cell>
        </row>
        <row r="253">
          <cell r="A253" t="str">
            <v>Samoa</v>
          </cell>
        </row>
      </sheetData>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81)"/>
    </sheetNames>
    <sheetDataSet>
      <sheetData sheetId="0" refreshError="1">
        <row r="1">
          <cell r="A1" t="str">
            <v>Category: All categories</v>
          </cell>
        </row>
        <row r="3">
          <cell r="A3" t="str">
            <v>Country</v>
          </cell>
          <cell r="B3" t="str">
            <v>C++: (2018)</v>
          </cell>
          <cell r="C3" t="str">
            <v>Transmission Control Protocol: (2018)</v>
          </cell>
        </row>
        <row r="4">
          <cell r="A4" t="str">
            <v>North Korea</v>
          </cell>
        </row>
        <row r="5">
          <cell r="A5" t="str">
            <v>China</v>
          </cell>
          <cell r="B5">
            <v>0.86</v>
          </cell>
          <cell r="C5">
            <v>0.14000000000000001</v>
          </cell>
        </row>
        <row r="6">
          <cell r="A6" t="str">
            <v>Ethiopia</v>
          </cell>
        </row>
        <row r="7">
          <cell r="A7" t="str">
            <v>South Korea</v>
          </cell>
          <cell r="B7">
            <v>0.86</v>
          </cell>
          <cell r="C7">
            <v>0.14000000000000001</v>
          </cell>
        </row>
        <row r="8">
          <cell r="A8" t="str">
            <v>Pakistan</v>
          </cell>
          <cell r="B8">
            <v>0.94</v>
          </cell>
          <cell r="C8">
            <v>0.06</v>
          </cell>
        </row>
        <row r="9">
          <cell r="A9" t="str">
            <v>Lesotho</v>
          </cell>
        </row>
        <row r="10">
          <cell r="A10" t="str">
            <v>Cuba</v>
          </cell>
        </row>
        <row r="11">
          <cell r="A11" t="str">
            <v>Armenia</v>
          </cell>
        </row>
        <row r="12">
          <cell r="A12" t="str">
            <v>Rwanda</v>
          </cell>
        </row>
        <row r="13">
          <cell r="A13" t="str">
            <v>St. Helena</v>
          </cell>
          <cell r="B13">
            <v>0.77</v>
          </cell>
          <cell r="C13">
            <v>0.23</v>
          </cell>
        </row>
        <row r="14">
          <cell r="A14" t="str">
            <v>Tonga</v>
          </cell>
        </row>
        <row r="15">
          <cell r="A15" t="str">
            <v>Romania</v>
          </cell>
          <cell r="B15">
            <v>0.93</v>
          </cell>
          <cell r="C15">
            <v>7.0000000000000007E-2</v>
          </cell>
        </row>
        <row r="16">
          <cell r="A16" t="str">
            <v>Fiji</v>
          </cell>
        </row>
        <row r="17">
          <cell r="A17" t="str">
            <v>Israel</v>
          </cell>
          <cell r="B17">
            <v>0.86</v>
          </cell>
          <cell r="C17">
            <v>0.14000000000000001</v>
          </cell>
        </row>
        <row r="18">
          <cell r="A18" t="str">
            <v>Honduras</v>
          </cell>
        </row>
        <row r="19">
          <cell r="A19" t="str">
            <v>Nepal</v>
          </cell>
          <cell r="B19">
            <v>0.84</v>
          </cell>
          <cell r="C19">
            <v>0.16</v>
          </cell>
        </row>
        <row r="20">
          <cell r="A20" t="str">
            <v>Singapore</v>
          </cell>
          <cell r="B20">
            <v>0.79</v>
          </cell>
          <cell r="C20">
            <v>0.21</v>
          </cell>
        </row>
        <row r="21">
          <cell r="A21" t="str">
            <v>Belize</v>
          </cell>
        </row>
        <row r="22">
          <cell r="A22" t="str">
            <v>Belarus</v>
          </cell>
          <cell r="B22">
            <v>0.92</v>
          </cell>
          <cell r="C22">
            <v>0.08</v>
          </cell>
        </row>
        <row r="23">
          <cell r="A23" t="str">
            <v>India</v>
          </cell>
          <cell r="B23">
            <v>0.87</v>
          </cell>
          <cell r="C23">
            <v>0.13</v>
          </cell>
        </row>
        <row r="24">
          <cell r="A24" t="str">
            <v>Taiwan</v>
          </cell>
          <cell r="B24">
            <v>0.86</v>
          </cell>
          <cell r="C24">
            <v>0.14000000000000001</v>
          </cell>
        </row>
        <row r="25">
          <cell r="A25" t="str">
            <v>Iceland</v>
          </cell>
        </row>
        <row r="26">
          <cell r="A26" t="str">
            <v>Zimbabwe</v>
          </cell>
        </row>
        <row r="27">
          <cell r="A27" t="str">
            <v>Afghanistan</v>
          </cell>
        </row>
        <row r="28">
          <cell r="A28" t="str">
            <v>Guatemala</v>
          </cell>
        </row>
        <row r="29">
          <cell r="A29" t="str">
            <v>North Macedonia</v>
          </cell>
        </row>
        <row r="30">
          <cell r="A30" t="str">
            <v>Eswatini</v>
          </cell>
        </row>
        <row r="31">
          <cell r="A31" t="str">
            <v>Malawi</v>
          </cell>
        </row>
        <row r="32">
          <cell r="A32" t="str">
            <v>Mongolia</v>
          </cell>
        </row>
        <row r="33">
          <cell r="A33" t="str">
            <v>Madagascar</v>
          </cell>
        </row>
        <row r="34">
          <cell r="A34" t="str">
            <v>Bosnia &amp; Herzegovina</v>
          </cell>
        </row>
        <row r="35">
          <cell r="A35" t="str">
            <v>Lithuania</v>
          </cell>
        </row>
        <row r="36">
          <cell r="A36" t="str">
            <v>Russia</v>
          </cell>
          <cell r="B36">
            <v>0.89</v>
          </cell>
          <cell r="C36">
            <v>0.11</v>
          </cell>
        </row>
        <row r="37">
          <cell r="A37" t="str">
            <v>Poland</v>
          </cell>
          <cell r="B37">
            <v>0.91</v>
          </cell>
          <cell r="C37">
            <v>0.09</v>
          </cell>
        </row>
        <row r="38">
          <cell r="A38" t="str">
            <v>Bangladesh</v>
          </cell>
          <cell r="B38">
            <v>0.91</v>
          </cell>
          <cell r="C38">
            <v>0.09</v>
          </cell>
        </row>
        <row r="39">
          <cell r="A39" t="str">
            <v>Uzbekistan</v>
          </cell>
        </row>
        <row r="40">
          <cell r="A40" t="str">
            <v>Cyprus</v>
          </cell>
        </row>
        <row r="41">
          <cell r="A41" t="str">
            <v>Somalia</v>
          </cell>
        </row>
        <row r="42">
          <cell r="A42" t="str">
            <v>Bulgaria</v>
          </cell>
          <cell r="B42">
            <v>0.9</v>
          </cell>
          <cell r="C42">
            <v>0.1</v>
          </cell>
        </row>
        <row r="43">
          <cell r="A43" t="str">
            <v>Hong Kong</v>
          </cell>
          <cell r="B43">
            <v>0.8</v>
          </cell>
          <cell r="C43">
            <v>0.2</v>
          </cell>
        </row>
        <row r="44">
          <cell r="A44" t="str">
            <v>Czechia</v>
          </cell>
          <cell r="B44">
            <v>0.83</v>
          </cell>
          <cell r="C44">
            <v>0.17</v>
          </cell>
        </row>
        <row r="45">
          <cell r="A45" t="str">
            <v>Latvia</v>
          </cell>
        </row>
        <row r="46">
          <cell r="A46" t="str">
            <v>Germany</v>
          </cell>
          <cell r="B46">
            <v>0.85</v>
          </cell>
          <cell r="C46">
            <v>0.15</v>
          </cell>
        </row>
        <row r="47">
          <cell r="A47" t="str">
            <v>Ukraine</v>
          </cell>
          <cell r="B47">
            <v>0.91</v>
          </cell>
          <cell r="C47">
            <v>0.09</v>
          </cell>
        </row>
        <row r="48">
          <cell r="A48" t="str">
            <v>Moldova</v>
          </cell>
        </row>
        <row r="49">
          <cell r="A49" t="str">
            <v>Iran</v>
          </cell>
          <cell r="B49">
            <v>0.93</v>
          </cell>
          <cell r="C49">
            <v>7.0000000000000007E-2</v>
          </cell>
        </row>
        <row r="50">
          <cell r="A50" t="str">
            <v>Switzerland</v>
          </cell>
          <cell r="B50">
            <v>0.82</v>
          </cell>
          <cell r="C50">
            <v>0.18</v>
          </cell>
        </row>
        <row r="51">
          <cell r="A51" t="str">
            <v>Sweden</v>
          </cell>
          <cell r="B51">
            <v>0.85</v>
          </cell>
          <cell r="C51">
            <v>0.15</v>
          </cell>
        </row>
        <row r="52">
          <cell r="A52" t="str">
            <v>Kazakhstan</v>
          </cell>
          <cell r="B52">
            <v>0.91</v>
          </cell>
          <cell r="C52">
            <v>0.09</v>
          </cell>
        </row>
        <row r="53">
          <cell r="A53" t="str">
            <v>Sudan</v>
          </cell>
        </row>
        <row r="54">
          <cell r="A54" t="str">
            <v>Albania</v>
          </cell>
        </row>
        <row r="55">
          <cell r="A55" t="str">
            <v>Zambia</v>
          </cell>
        </row>
        <row r="56">
          <cell r="A56" t="str">
            <v>Philippines</v>
          </cell>
          <cell r="B56">
            <v>0.85</v>
          </cell>
          <cell r="C56">
            <v>0.15</v>
          </cell>
        </row>
        <row r="57">
          <cell r="A57" t="str">
            <v>Benin</v>
          </cell>
        </row>
        <row r="58">
          <cell r="A58" t="str">
            <v>Myanmar (Burma)</v>
          </cell>
        </row>
        <row r="59">
          <cell r="A59" t="str">
            <v>Tunisia</v>
          </cell>
          <cell r="B59">
            <v>0.82</v>
          </cell>
          <cell r="C59">
            <v>0.18</v>
          </cell>
        </row>
        <row r="60">
          <cell r="A60" t="str">
            <v>Jordan</v>
          </cell>
        </row>
        <row r="61">
          <cell r="A61" t="str">
            <v>Palestine</v>
          </cell>
        </row>
        <row r="62">
          <cell r="A62" t="str">
            <v>Botswana</v>
          </cell>
        </row>
        <row r="63">
          <cell r="A63" t="str">
            <v>Austria</v>
          </cell>
          <cell r="B63">
            <v>0.83</v>
          </cell>
          <cell r="C63">
            <v>0.17</v>
          </cell>
        </row>
        <row r="64">
          <cell r="A64" t="str">
            <v>Canada</v>
          </cell>
          <cell r="B64">
            <v>0.84</v>
          </cell>
          <cell r="C64">
            <v>0.16</v>
          </cell>
        </row>
        <row r="65">
          <cell r="A65" t="str">
            <v>Serbia</v>
          </cell>
          <cell r="B65">
            <v>0.9</v>
          </cell>
          <cell r="C65">
            <v>0.1</v>
          </cell>
        </row>
        <row r="66">
          <cell r="A66" t="str">
            <v>Ecuador</v>
          </cell>
          <cell r="B66">
            <v>0.85</v>
          </cell>
          <cell r="C66">
            <v>0.15</v>
          </cell>
        </row>
        <row r="67">
          <cell r="A67" t="str">
            <v>Sri Lanka</v>
          </cell>
          <cell r="B67">
            <v>0.8</v>
          </cell>
          <cell r="C67">
            <v>0.2</v>
          </cell>
        </row>
        <row r="68">
          <cell r="A68" t="str">
            <v>Finland</v>
          </cell>
          <cell r="B68">
            <v>0.83</v>
          </cell>
          <cell r="C68">
            <v>0.17</v>
          </cell>
        </row>
        <row r="69">
          <cell r="A69" t="str">
            <v>Slovenia</v>
          </cell>
        </row>
        <row r="70">
          <cell r="A70" t="str">
            <v>Yemen</v>
          </cell>
        </row>
        <row r="71">
          <cell r="A71" t="str">
            <v>Cameroon</v>
          </cell>
        </row>
        <row r="72">
          <cell r="A72" t="str">
            <v>Burundi</v>
          </cell>
        </row>
        <row r="73">
          <cell r="A73" t="str">
            <v>Hungary</v>
          </cell>
          <cell r="B73">
            <v>0.85</v>
          </cell>
          <cell r="C73">
            <v>0.15</v>
          </cell>
        </row>
        <row r="74">
          <cell r="A74" t="str">
            <v>Bolivia</v>
          </cell>
          <cell r="B74">
            <v>0.79</v>
          </cell>
          <cell r="C74">
            <v>0.21</v>
          </cell>
        </row>
        <row r="75">
          <cell r="A75" t="str">
            <v>United States</v>
          </cell>
          <cell r="B75">
            <v>0.83</v>
          </cell>
          <cell r="C75">
            <v>0.17</v>
          </cell>
        </row>
        <row r="76">
          <cell r="A76" t="str">
            <v>Ghana</v>
          </cell>
        </row>
        <row r="77">
          <cell r="A77" t="str">
            <v>Laos</v>
          </cell>
        </row>
        <row r="78">
          <cell r="A78" t="str">
            <v>Croatia</v>
          </cell>
          <cell r="B78">
            <v>0.87</v>
          </cell>
          <cell r="C78">
            <v>0.13</v>
          </cell>
        </row>
        <row r="79">
          <cell r="A79" t="str">
            <v>Slovakia</v>
          </cell>
          <cell r="B79">
            <v>0.85</v>
          </cell>
          <cell r="C79">
            <v>0.15</v>
          </cell>
        </row>
        <row r="80">
          <cell r="A80" t="str">
            <v>Vietnam</v>
          </cell>
          <cell r="B80">
            <v>0.91</v>
          </cell>
          <cell r="C80">
            <v>0.09</v>
          </cell>
        </row>
        <row r="81">
          <cell r="A81" t="str">
            <v>Japan</v>
          </cell>
          <cell r="B81">
            <v>0.79</v>
          </cell>
          <cell r="C81">
            <v>0.21</v>
          </cell>
        </row>
        <row r="82">
          <cell r="A82" t="str">
            <v>Malaysia</v>
          </cell>
          <cell r="B82">
            <v>0.85</v>
          </cell>
          <cell r="C82">
            <v>0.15</v>
          </cell>
        </row>
        <row r="83">
          <cell r="A83" t="str">
            <v>Mexico</v>
          </cell>
          <cell r="B83">
            <v>0.85</v>
          </cell>
          <cell r="C83">
            <v>0.15</v>
          </cell>
        </row>
        <row r="84">
          <cell r="A84" t="str">
            <v>Norway</v>
          </cell>
          <cell r="B84">
            <v>0.81</v>
          </cell>
          <cell r="C84">
            <v>0.19</v>
          </cell>
        </row>
        <row r="85">
          <cell r="A85" t="str">
            <v>Georgia</v>
          </cell>
        </row>
        <row r="86">
          <cell r="A86" t="str">
            <v>Kenya</v>
          </cell>
          <cell r="B86">
            <v>0.84</v>
          </cell>
          <cell r="C86">
            <v>0.16</v>
          </cell>
        </row>
        <row r="87">
          <cell r="A87" t="str">
            <v>Lebanon</v>
          </cell>
        </row>
        <row r="88">
          <cell r="A88" t="str">
            <v>Syria</v>
          </cell>
        </row>
        <row r="89">
          <cell r="A89" t="str">
            <v>Costa Rica</v>
          </cell>
          <cell r="B89">
            <v>0.81</v>
          </cell>
          <cell r="C89">
            <v>0.19</v>
          </cell>
        </row>
        <row r="90">
          <cell r="A90" t="str">
            <v>Togo</v>
          </cell>
        </row>
        <row r="91">
          <cell r="A91" t="str">
            <v>Egypt</v>
          </cell>
          <cell r="B91">
            <v>0.92</v>
          </cell>
          <cell r="C91">
            <v>0.08</v>
          </cell>
        </row>
        <row r="92">
          <cell r="A92" t="str">
            <v>Estonia</v>
          </cell>
        </row>
        <row r="93">
          <cell r="A93" t="str">
            <v>Bhutan</v>
          </cell>
        </row>
        <row r="94">
          <cell r="A94" t="str">
            <v>Djibouti</v>
          </cell>
        </row>
        <row r="95">
          <cell r="A95" t="str">
            <v>Papua New Guinea</v>
          </cell>
        </row>
        <row r="96">
          <cell r="A96" t="str">
            <v>Angola</v>
          </cell>
        </row>
        <row r="97">
          <cell r="A97" t="str">
            <v>Azerbaijan</v>
          </cell>
        </row>
        <row r="98">
          <cell r="A98" t="str">
            <v>Turkmenistan</v>
          </cell>
        </row>
        <row r="99">
          <cell r="A99" t="str">
            <v>Libya</v>
          </cell>
        </row>
        <row r="100">
          <cell r="A100" t="str">
            <v>South Sudan</v>
          </cell>
        </row>
        <row r="101">
          <cell r="A101" t="str">
            <v>El Salvador</v>
          </cell>
        </row>
        <row r="102">
          <cell r="A102" t="str">
            <v>Peru</v>
          </cell>
          <cell r="B102">
            <v>0.85</v>
          </cell>
          <cell r="C102">
            <v>0.15</v>
          </cell>
        </row>
        <row r="103">
          <cell r="A103" t="str">
            <v>Panama</v>
          </cell>
        </row>
        <row r="104">
          <cell r="A104" t="str">
            <v>Macao</v>
          </cell>
        </row>
        <row r="105">
          <cell r="A105" t="str">
            <v>Uganda</v>
          </cell>
        </row>
        <row r="106">
          <cell r="A106" t="str">
            <v>Cambodia</v>
          </cell>
        </row>
        <row r="107">
          <cell r="A107" t="str">
            <v>Faroe Islands</v>
          </cell>
        </row>
        <row r="108">
          <cell r="A108" t="str">
            <v>New Zealand</v>
          </cell>
          <cell r="B108">
            <v>0.78</v>
          </cell>
          <cell r="C108">
            <v>0.22</v>
          </cell>
        </row>
        <row r="109">
          <cell r="A109" t="str">
            <v>Netherlands</v>
          </cell>
          <cell r="B109">
            <v>0.79</v>
          </cell>
          <cell r="C109">
            <v>0.21</v>
          </cell>
        </row>
        <row r="110">
          <cell r="A110" t="str">
            <v>Portugal</v>
          </cell>
          <cell r="B110">
            <v>0.79</v>
          </cell>
          <cell r="C110">
            <v>0.21</v>
          </cell>
        </row>
        <row r="111">
          <cell r="A111" t="str">
            <v>Oman</v>
          </cell>
        </row>
        <row r="112">
          <cell r="A112" t="str">
            <v>Tanzania</v>
          </cell>
        </row>
        <row r="113">
          <cell r="A113" t="str">
            <v>Kyrgyzstan</v>
          </cell>
        </row>
        <row r="114">
          <cell r="A114" t="str">
            <v>Colombia</v>
          </cell>
          <cell r="B114">
            <v>0.8</v>
          </cell>
          <cell r="C114">
            <v>0.2</v>
          </cell>
        </row>
        <row r="115">
          <cell r="A115" t="str">
            <v>Congo - Brazzaville</v>
          </cell>
        </row>
        <row r="116">
          <cell r="A116" t="str">
            <v>Denmark</v>
          </cell>
          <cell r="B116">
            <v>0.79</v>
          </cell>
          <cell r="C116">
            <v>0.21</v>
          </cell>
        </row>
        <row r="117">
          <cell r="A117" t="str">
            <v>South Africa</v>
          </cell>
          <cell r="B117">
            <v>0.79</v>
          </cell>
          <cell r="C117">
            <v>0.21</v>
          </cell>
        </row>
        <row r="118">
          <cell r="A118" t="str">
            <v>Nicaragua</v>
          </cell>
        </row>
        <row r="119">
          <cell r="A119" t="str">
            <v>Malta</v>
          </cell>
        </row>
        <row r="120">
          <cell r="A120" t="str">
            <v>Trinidad &amp; Tobago</v>
          </cell>
        </row>
        <row r="121">
          <cell r="A121" t="str">
            <v>Luxembourg</v>
          </cell>
        </row>
        <row r="122">
          <cell r="A122" t="str">
            <v>Indonesia</v>
          </cell>
          <cell r="B122">
            <v>0.84</v>
          </cell>
          <cell r="C122">
            <v>0.16</v>
          </cell>
        </row>
        <row r="123">
          <cell r="A123" t="str">
            <v>Greece</v>
          </cell>
          <cell r="B123">
            <v>0.85</v>
          </cell>
          <cell r="C123">
            <v>0.15</v>
          </cell>
        </row>
        <row r="124">
          <cell r="A124" t="str">
            <v>France</v>
          </cell>
          <cell r="B124">
            <v>0.81</v>
          </cell>
          <cell r="C124">
            <v>0.19</v>
          </cell>
        </row>
        <row r="125">
          <cell r="A125" t="str">
            <v>Cape Verde</v>
          </cell>
        </row>
        <row r="126">
          <cell r="A126" t="str">
            <v>Kosovo</v>
          </cell>
        </row>
        <row r="127">
          <cell r="A127" t="str">
            <v>Morocco</v>
          </cell>
          <cell r="B127">
            <v>0.8</v>
          </cell>
          <cell r="C127">
            <v>0.2</v>
          </cell>
        </row>
        <row r="128">
          <cell r="A128" t="str">
            <v>Ireland</v>
          </cell>
          <cell r="B128">
            <v>0.71</v>
          </cell>
          <cell r="C128">
            <v>0.28999999999999998</v>
          </cell>
        </row>
        <row r="129">
          <cell r="A129" t="str">
            <v>Algeria</v>
          </cell>
          <cell r="B129">
            <v>0.84</v>
          </cell>
          <cell r="C129">
            <v>0.16</v>
          </cell>
        </row>
        <row r="130">
          <cell r="A130" t="str">
            <v>Barbados</v>
          </cell>
        </row>
        <row r="131">
          <cell r="A131" t="str">
            <v>United Arab Emirates</v>
          </cell>
          <cell r="B131">
            <v>0.73</v>
          </cell>
          <cell r="C131">
            <v>0.27</v>
          </cell>
        </row>
        <row r="132">
          <cell r="A132" t="str">
            <v>United Kingdom</v>
          </cell>
          <cell r="B132">
            <v>0.75</v>
          </cell>
          <cell r="C132">
            <v>0.25</v>
          </cell>
        </row>
        <row r="133">
          <cell r="A133" t="str">
            <v>Maldives</v>
          </cell>
        </row>
        <row r="134">
          <cell r="A134" t="str">
            <v>Tajikistan</v>
          </cell>
        </row>
        <row r="135">
          <cell r="A135" t="str">
            <v>Belgium</v>
          </cell>
          <cell r="B135">
            <v>0.75</v>
          </cell>
          <cell r="C135">
            <v>0.25</v>
          </cell>
        </row>
        <row r="136">
          <cell r="A136" t="str">
            <v>Italy</v>
          </cell>
          <cell r="B136">
            <v>0.81</v>
          </cell>
          <cell r="C136">
            <v>0.19</v>
          </cell>
        </row>
        <row r="137">
          <cell r="A137" t="str">
            <v>Guinea</v>
          </cell>
        </row>
        <row r="138">
          <cell r="A138" t="str">
            <v>Puerto Rico</v>
          </cell>
        </row>
        <row r="139">
          <cell r="A139" t="str">
            <v>Bahrain</v>
          </cell>
        </row>
        <row r="140">
          <cell r="A140" t="str">
            <v>Jamaica</v>
          </cell>
        </row>
        <row r="141">
          <cell r="A141" t="str">
            <v>Australia</v>
          </cell>
          <cell r="B141">
            <v>0.71</v>
          </cell>
          <cell r="C141">
            <v>0.28999999999999998</v>
          </cell>
        </row>
        <row r="142">
          <cell r="A142" t="str">
            <v>Mauritius</v>
          </cell>
        </row>
        <row r="143">
          <cell r="A143" t="str">
            <v>Iraq</v>
          </cell>
        </row>
        <row r="144">
          <cell r="A144" t="str">
            <v>Sierra Leone</v>
          </cell>
        </row>
        <row r="145">
          <cell r="A145" t="str">
            <v>Spain</v>
          </cell>
          <cell r="B145">
            <v>0.75</v>
          </cell>
          <cell r="C145">
            <v>0.25</v>
          </cell>
        </row>
        <row r="146">
          <cell r="A146" t="str">
            <v>Nigeria</v>
          </cell>
          <cell r="B146">
            <v>0.79</v>
          </cell>
          <cell r="C146">
            <v>0.21</v>
          </cell>
        </row>
        <row r="147">
          <cell r="A147" t="str">
            <v>Namibia</v>
          </cell>
        </row>
        <row r="148">
          <cell r="A148" t="str">
            <v>St. Vincent &amp; Grenadines</v>
          </cell>
        </row>
        <row r="149">
          <cell r="A149" t="str">
            <v>Montenegro</v>
          </cell>
        </row>
        <row r="150">
          <cell r="A150" t="str">
            <v>Paraguay</v>
          </cell>
        </row>
        <row r="151">
          <cell r="A151" t="str">
            <v>Dominican Republic</v>
          </cell>
        </row>
        <row r="152">
          <cell r="A152" t="str">
            <v>Haiti</v>
          </cell>
        </row>
        <row r="153">
          <cell r="A153" t="str">
            <v>Congo - Kinshasa</v>
          </cell>
        </row>
        <row r="154">
          <cell r="A154" t="str">
            <v>Mali</v>
          </cell>
        </row>
        <row r="155">
          <cell r="A155" t="str">
            <v>Thailand</v>
          </cell>
          <cell r="B155">
            <v>0.8</v>
          </cell>
          <cell r="C155">
            <v>0.2</v>
          </cell>
        </row>
        <row r="156">
          <cell r="A156" t="str">
            <v>Uruguay</v>
          </cell>
        </row>
        <row r="157">
          <cell r="A157" t="str">
            <v>Brunei</v>
          </cell>
        </row>
        <row r="158">
          <cell r="A158" t="str">
            <v>Mozambique</v>
          </cell>
        </row>
        <row r="159">
          <cell r="A159" t="str">
            <v>Turkey</v>
          </cell>
          <cell r="B159">
            <v>0.86</v>
          </cell>
          <cell r="C159">
            <v>0.14000000000000001</v>
          </cell>
        </row>
        <row r="160">
          <cell r="A160" t="str">
            <v>Venezuela</v>
          </cell>
          <cell r="B160">
            <v>0.84</v>
          </cell>
          <cell r="C160">
            <v>0.16</v>
          </cell>
        </row>
        <row r="161">
          <cell r="A161" t="str">
            <v>Senegal</v>
          </cell>
        </row>
        <row r="162">
          <cell r="A162" t="str">
            <v>Mauritania</v>
          </cell>
        </row>
        <row r="163">
          <cell r="A163" t="str">
            <v>Qatar</v>
          </cell>
        </row>
        <row r="164">
          <cell r="A164" t="str">
            <v>Chile</v>
          </cell>
          <cell r="B164">
            <v>0.77</v>
          </cell>
          <cell r="C164">
            <v>0.23</v>
          </cell>
        </row>
        <row r="165">
          <cell r="A165" t="str">
            <v>Guyana</v>
          </cell>
        </row>
        <row r="166">
          <cell r="A166" t="str">
            <v>CÃ´te dâ€™Ivoire</v>
          </cell>
        </row>
        <row r="167">
          <cell r="A167" t="str">
            <v>Jersey</v>
          </cell>
        </row>
        <row r="168">
          <cell r="A168" t="str">
            <v>Saudi Arabia</v>
          </cell>
          <cell r="B168">
            <v>0.78</v>
          </cell>
          <cell r="C168">
            <v>0.22</v>
          </cell>
        </row>
        <row r="169">
          <cell r="A169" t="str">
            <v>Brazil</v>
          </cell>
          <cell r="B169">
            <v>0.71</v>
          </cell>
          <cell r="C169">
            <v>0.28999999999999998</v>
          </cell>
        </row>
        <row r="170">
          <cell r="A170" t="str">
            <v>Burkina Faso</v>
          </cell>
        </row>
        <row r="171">
          <cell r="A171" t="str">
            <v>French Polynesia</v>
          </cell>
        </row>
        <row r="172">
          <cell r="A172" t="str">
            <v>Argentina</v>
          </cell>
          <cell r="B172">
            <v>0.68</v>
          </cell>
          <cell r="C172">
            <v>0.32</v>
          </cell>
        </row>
        <row r="173">
          <cell r="A173" t="str">
            <v>Andorra</v>
          </cell>
        </row>
        <row r="174">
          <cell r="A174" t="str">
            <v>Niger</v>
          </cell>
        </row>
        <row r="175">
          <cell r="A175" t="str">
            <v>Gabon</v>
          </cell>
        </row>
        <row r="176">
          <cell r="A176" t="str">
            <v>Isle of Man</v>
          </cell>
        </row>
        <row r="177">
          <cell r="A177" t="str">
            <v>Guam</v>
          </cell>
        </row>
        <row r="178">
          <cell r="A178" t="str">
            <v>Suriname</v>
          </cell>
        </row>
        <row r="179">
          <cell r="A179" t="str">
            <v>Kuwait</v>
          </cell>
        </row>
        <row r="180">
          <cell r="A180" t="str">
            <v>Cayman Islands</v>
          </cell>
        </row>
        <row r="181">
          <cell r="A181" t="str">
            <v>Antigua &amp; Barbuda</v>
          </cell>
        </row>
        <row r="182">
          <cell r="A182" t="str">
            <v>St. Kitts &amp; Nevis</v>
          </cell>
        </row>
        <row r="183">
          <cell r="A183" t="str">
            <v>French Guiana</v>
          </cell>
        </row>
        <row r="184">
          <cell r="A184" t="str">
            <v>Liberia</v>
          </cell>
        </row>
        <row r="185">
          <cell r="A185" t="str">
            <v>Guadeloupe</v>
          </cell>
        </row>
        <row r="186">
          <cell r="A186" t="str">
            <v>Martinique</v>
          </cell>
        </row>
        <row r="187">
          <cell r="A187" t="str">
            <v>CuraÃ§ao</v>
          </cell>
        </row>
        <row r="188">
          <cell r="A188" t="str">
            <v>RÃ©union</v>
          </cell>
        </row>
        <row r="189">
          <cell r="A189" t="str">
            <v>Bahamas</v>
          </cell>
        </row>
        <row r="190">
          <cell r="A190" t="str">
            <v>Eritrea</v>
          </cell>
        </row>
        <row r="191">
          <cell r="A191" t="str">
            <v>Micronesia</v>
          </cell>
        </row>
        <row r="192">
          <cell r="A192" t="str">
            <v>Vanuatu</v>
          </cell>
        </row>
        <row r="193">
          <cell r="A193" t="str">
            <v>Liechtenstein</v>
          </cell>
        </row>
        <row r="194">
          <cell r="A194" t="str">
            <v>Comoros</v>
          </cell>
        </row>
        <row r="195">
          <cell r="A195" t="str">
            <v>Equatorial Guinea</v>
          </cell>
        </row>
        <row r="196">
          <cell r="A196" t="str">
            <v>Ã…land Islands</v>
          </cell>
        </row>
        <row r="197">
          <cell r="A197" t="str">
            <v>Seychelles</v>
          </cell>
        </row>
        <row r="198">
          <cell r="A198" t="str">
            <v>Solomon Islands</v>
          </cell>
        </row>
        <row r="199">
          <cell r="A199" t="str">
            <v>Guinea-Bissau</v>
          </cell>
        </row>
        <row r="200">
          <cell r="A200" t="str">
            <v>St. Pierre &amp; Miquelon</v>
          </cell>
        </row>
        <row r="201">
          <cell r="A201" t="str">
            <v>Western Sahara</v>
          </cell>
        </row>
        <row r="202">
          <cell r="A202" t="str">
            <v>Anguilla</v>
          </cell>
        </row>
        <row r="203">
          <cell r="A203" t="str">
            <v>Dominica</v>
          </cell>
        </row>
        <row r="204">
          <cell r="A204" t="str">
            <v>Turks &amp; Caicos Islands</v>
          </cell>
        </row>
        <row r="205">
          <cell r="A205" t="str">
            <v>SÃ£o TomÃ© &amp; PrÃ­ncipe</v>
          </cell>
        </row>
        <row r="206">
          <cell r="A206" t="str">
            <v>San Marino</v>
          </cell>
        </row>
        <row r="207">
          <cell r="A207" t="str">
            <v>St. Lucia</v>
          </cell>
        </row>
        <row r="208">
          <cell r="A208" t="str">
            <v>Gambia</v>
          </cell>
        </row>
        <row r="209">
          <cell r="A209" t="str">
            <v>British Virgin Islands</v>
          </cell>
        </row>
        <row r="210">
          <cell r="A210" t="str">
            <v>Bermuda</v>
          </cell>
        </row>
        <row r="211">
          <cell r="A211" t="str">
            <v>Gibraltar</v>
          </cell>
        </row>
        <row r="212">
          <cell r="A212" t="str">
            <v>Central African Republic</v>
          </cell>
        </row>
        <row r="213">
          <cell r="A213" t="str">
            <v>Guernsey</v>
          </cell>
        </row>
        <row r="214">
          <cell r="A214" t="str">
            <v>Sint Maarten</v>
          </cell>
        </row>
        <row r="215">
          <cell r="A215" t="str">
            <v>Chad</v>
          </cell>
        </row>
        <row r="216">
          <cell r="A216" t="str">
            <v>Monaco</v>
          </cell>
        </row>
        <row r="217">
          <cell r="A217" t="str">
            <v>Timor-Leste</v>
          </cell>
        </row>
        <row r="218">
          <cell r="A218" t="str">
            <v>St. BarthÃ©lemy</v>
          </cell>
        </row>
        <row r="219">
          <cell r="A219" t="str">
            <v>Greenland</v>
          </cell>
        </row>
        <row r="220">
          <cell r="A220" t="str">
            <v>U.S. Virgin Islands</v>
          </cell>
        </row>
        <row r="221">
          <cell r="A221" t="str">
            <v>Mayotte</v>
          </cell>
        </row>
        <row r="222">
          <cell r="A222" t="str">
            <v>New Caledonia</v>
          </cell>
        </row>
        <row r="223">
          <cell r="A223" t="str">
            <v>Grenada</v>
          </cell>
        </row>
        <row r="224">
          <cell r="A224" t="str">
            <v>Aruba</v>
          </cell>
        </row>
        <row r="225">
          <cell r="A225" t="str">
            <v>American Samoa</v>
          </cell>
        </row>
        <row r="226">
          <cell r="A226" t="str">
            <v>Antarctica</v>
          </cell>
        </row>
        <row r="227">
          <cell r="A227" t="str">
            <v>French Southern Territories</v>
          </cell>
        </row>
        <row r="228">
          <cell r="A228" t="str">
            <v>Caribbean Netherlands</v>
          </cell>
        </row>
        <row r="229">
          <cell r="A229" t="str">
            <v>Bouvet Island</v>
          </cell>
        </row>
        <row r="230">
          <cell r="A230" t="str">
            <v>Cocos (Keeling) Islands</v>
          </cell>
        </row>
        <row r="231">
          <cell r="A231" t="str">
            <v>Cook Islands</v>
          </cell>
        </row>
        <row r="232">
          <cell r="A232" t="str">
            <v>Christmas Island</v>
          </cell>
        </row>
        <row r="233">
          <cell r="A233" t="str">
            <v>Falkland Islands (Islas Malvinas)</v>
          </cell>
        </row>
        <row r="234">
          <cell r="A234" t="str">
            <v>Heard &amp; McDonald Islands</v>
          </cell>
        </row>
        <row r="235">
          <cell r="A235" t="str">
            <v>British Indian Ocean Territory</v>
          </cell>
        </row>
        <row r="236">
          <cell r="A236" t="str">
            <v>Kiribati</v>
          </cell>
        </row>
        <row r="237">
          <cell r="A237" t="str">
            <v>St. Martin</v>
          </cell>
        </row>
        <row r="238">
          <cell r="A238" t="str">
            <v>Marshall Islands</v>
          </cell>
        </row>
        <row r="239">
          <cell r="A239" t="str">
            <v>Northern Mariana Islands</v>
          </cell>
        </row>
        <row r="240">
          <cell r="A240" t="str">
            <v>Montserrat</v>
          </cell>
        </row>
        <row r="241">
          <cell r="A241" t="str">
            <v>Norfolk Island</v>
          </cell>
        </row>
        <row r="242">
          <cell r="A242" t="str">
            <v>Niue</v>
          </cell>
        </row>
        <row r="243">
          <cell r="A243" t="str">
            <v>Nauru</v>
          </cell>
        </row>
        <row r="244">
          <cell r="A244" t="str">
            <v>Pitcairn Islands</v>
          </cell>
        </row>
        <row r="245">
          <cell r="A245" t="str">
            <v>Palau</v>
          </cell>
        </row>
        <row r="246">
          <cell r="A246" t="str">
            <v>South Georgia &amp; South Sandwich Islands</v>
          </cell>
        </row>
        <row r="247">
          <cell r="A247" t="str">
            <v>Svalbard &amp; Jan Mayen</v>
          </cell>
        </row>
        <row r="248">
          <cell r="A248" t="str">
            <v>Tokelau</v>
          </cell>
        </row>
        <row r="249">
          <cell r="A249" t="str">
            <v>Tuvalu</v>
          </cell>
        </row>
        <row r="250">
          <cell r="A250" t="str">
            <v>U.S. Outlying Islands</v>
          </cell>
        </row>
        <row r="251">
          <cell r="A251" t="str">
            <v>Vatican City</v>
          </cell>
        </row>
        <row r="252">
          <cell r="A252" t="str">
            <v>Wallis &amp; Futuna</v>
          </cell>
        </row>
        <row r="253">
          <cell r="A253" t="str">
            <v>Samoa</v>
          </cell>
        </row>
      </sheetData>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92)"/>
    </sheetNames>
    <sheetDataSet>
      <sheetData sheetId="0" refreshError="1">
        <row r="1">
          <cell r="A1" t="str">
            <v>Category: All categories</v>
          </cell>
        </row>
        <row r="3">
          <cell r="A3" t="str">
            <v>Country</v>
          </cell>
          <cell r="B3" t="str">
            <v>For loop: (2018)</v>
          </cell>
          <cell r="C3" t="str">
            <v>Hash table: (2018)</v>
          </cell>
        </row>
        <row r="4">
          <cell r="A4" t="str">
            <v>China</v>
          </cell>
          <cell r="B4">
            <v>0.73</v>
          </cell>
          <cell r="C4">
            <v>0.27</v>
          </cell>
        </row>
        <row r="5">
          <cell r="A5" t="str">
            <v>South Korea</v>
          </cell>
          <cell r="B5">
            <v>0.85</v>
          </cell>
          <cell r="C5">
            <v>0.15</v>
          </cell>
        </row>
        <row r="6">
          <cell r="A6" t="str">
            <v>St. Helena</v>
          </cell>
          <cell r="B6">
            <v>0.81</v>
          </cell>
          <cell r="C6">
            <v>0.19</v>
          </cell>
        </row>
        <row r="7">
          <cell r="A7" t="str">
            <v>Singapore</v>
          </cell>
          <cell r="B7">
            <v>0.83</v>
          </cell>
          <cell r="C7">
            <v>0.17</v>
          </cell>
        </row>
        <row r="8">
          <cell r="A8" t="str">
            <v>Hong Kong</v>
          </cell>
          <cell r="B8">
            <v>0.88</v>
          </cell>
          <cell r="C8">
            <v>0.12</v>
          </cell>
        </row>
        <row r="9">
          <cell r="A9" t="str">
            <v>Sri Lanka</v>
          </cell>
          <cell r="B9">
            <v>0.87</v>
          </cell>
          <cell r="C9">
            <v>0.13</v>
          </cell>
        </row>
        <row r="10">
          <cell r="A10" t="str">
            <v>Pakistan</v>
          </cell>
          <cell r="B10">
            <v>0.91</v>
          </cell>
          <cell r="C10">
            <v>0.09</v>
          </cell>
        </row>
        <row r="11">
          <cell r="A11" t="str">
            <v>Nepal</v>
          </cell>
        </row>
        <row r="12">
          <cell r="A12" t="str">
            <v>Cuba</v>
          </cell>
        </row>
        <row r="13">
          <cell r="A13" t="str">
            <v>Mauritius</v>
          </cell>
        </row>
        <row r="14">
          <cell r="A14" t="str">
            <v>Iceland</v>
          </cell>
        </row>
        <row r="15">
          <cell r="A15" t="str">
            <v>India</v>
          </cell>
          <cell r="B15">
            <v>0.77</v>
          </cell>
          <cell r="C15">
            <v>0.23</v>
          </cell>
        </row>
        <row r="16">
          <cell r="A16" t="str">
            <v>Israel</v>
          </cell>
          <cell r="B16">
            <v>0.79</v>
          </cell>
          <cell r="C16">
            <v>0.21</v>
          </cell>
        </row>
        <row r="17">
          <cell r="A17" t="str">
            <v>Luxembourg</v>
          </cell>
        </row>
        <row r="18">
          <cell r="A18" t="str">
            <v>Japan</v>
          </cell>
          <cell r="B18">
            <v>0.92</v>
          </cell>
          <cell r="C18">
            <v>0.08</v>
          </cell>
        </row>
        <row r="19">
          <cell r="A19" t="str">
            <v>Rwanda</v>
          </cell>
        </row>
        <row r="20">
          <cell r="A20" t="str">
            <v>Switzerland</v>
          </cell>
          <cell r="B20">
            <v>0.87</v>
          </cell>
          <cell r="C20">
            <v>0.13</v>
          </cell>
        </row>
        <row r="21">
          <cell r="A21" t="str">
            <v>Canada</v>
          </cell>
          <cell r="B21">
            <v>0.86</v>
          </cell>
          <cell r="C21">
            <v>0.14000000000000001</v>
          </cell>
        </row>
        <row r="22">
          <cell r="A22" t="str">
            <v>Philippines</v>
          </cell>
          <cell r="B22">
            <v>0.94</v>
          </cell>
          <cell r="C22">
            <v>0.06</v>
          </cell>
        </row>
        <row r="23">
          <cell r="A23" t="str">
            <v>Armenia</v>
          </cell>
        </row>
        <row r="24">
          <cell r="A24" t="str">
            <v>Botswana</v>
          </cell>
        </row>
        <row r="25">
          <cell r="A25" t="str">
            <v>Madagascar</v>
          </cell>
        </row>
        <row r="26">
          <cell r="A26" t="str">
            <v>New Zealand</v>
          </cell>
          <cell r="B26">
            <v>0.89</v>
          </cell>
          <cell r="C26">
            <v>0.11</v>
          </cell>
        </row>
        <row r="27">
          <cell r="A27" t="str">
            <v>Myanmar (Burma)</v>
          </cell>
        </row>
        <row r="28">
          <cell r="A28" t="str">
            <v>United States</v>
          </cell>
          <cell r="B28">
            <v>0.83</v>
          </cell>
          <cell r="C28">
            <v>0.17</v>
          </cell>
        </row>
        <row r="29">
          <cell r="A29" t="str">
            <v>Taiwan</v>
          </cell>
          <cell r="B29">
            <v>0.88</v>
          </cell>
          <cell r="C29">
            <v>0.12</v>
          </cell>
        </row>
        <row r="30">
          <cell r="A30" t="str">
            <v>Ireland</v>
          </cell>
          <cell r="B30">
            <v>0.86</v>
          </cell>
          <cell r="C30">
            <v>0.14000000000000001</v>
          </cell>
        </row>
        <row r="31">
          <cell r="A31" t="str">
            <v>Macao</v>
          </cell>
        </row>
        <row r="32">
          <cell r="A32" t="str">
            <v>Estonia</v>
          </cell>
        </row>
        <row r="33">
          <cell r="A33" t="str">
            <v>Ethiopia</v>
          </cell>
        </row>
        <row r="34">
          <cell r="A34" t="str">
            <v>Australia</v>
          </cell>
          <cell r="B34">
            <v>0.89</v>
          </cell>
          <cell r="C34">
            <v>0.11</v>
          </cell>
        </row>
        <row r="35">
          <cell r="A35" t="str">
            <v>Malta</v>
          </cell>
        </row>
        <row r="36">
          <cell r="A36" t="str">
            <v>Germany</v>
          </cell>
          <cell r="B36">
            <v>0.87</v>
          </cell>
          <cell r="C36">
            <v>0.13</v>
          </cell>
        </row>
        <row r="37">
          <cell r="A37" t="str">
            <v>Tunisia</v>
          </cell>
        </row>
        <row r="38">
          <cell r="A38" t="str">
            <v>Finland</v>
          </cell>
          <cell r="B38">
            <v>0.85</v>
          </cell>
          <cell r="C38">
            <v>0.15</v>
          </cell>
        </row>
        <row r="39">
          <cell r="A39" t="str">
            <v>Cyprus</v>
          </cell>
        </row>
        <row r="40">
          <cell r="A40" t="str">
            <v>United Kingdom</v>
          </cell>
          <cell r="B40">
            <v>0.89</v>
          </cell>
          <cell r="C40">
            <v>0.11</v>
          </cell>
        </row>
        <row r="41">
          <cell r="A41" t="str">
            <v>Austria</v>
          </cell>
          <cell r="B41">
            <v>0.86</v>
          </cell>
          <cell r="C41">
            <v>0.14000000000000001</v>
          </cell>
        </row>
        <row r="42">
          <cell r="A42" t="str">
            <v>Bangladesh</v>
          </cell>
          <cell r="B42">
            <v>0.91</v>
          </cell>
          <cell r="C42">
            <v>0.09</v>
          </cell>
        </row>
        <row r="43">
          <cell r="A43" t="str">
            <v>Portugal</v>
          </cell>
          <cell r="B43">
            <v>0.84</v>
          </cell>
          <cell r="C43">
            <v>0.16</v>
          </cell>
        </row>
        <row r="44">
          <cell r="A44" t="str">
            <v>Costa Rica</v>
          </cell>
        </row>
        <row r="45">
          <cell r="A45" t="str">
            <v>Belize</v>
          </cell>
        </row>
        <row r="46">
          <cell r="A46" t="str">
            <v>Jamaica</v>
          </cell>
        </row>
        <row r="47">
          <cell r="A47" t="str">
            <v>Lebanon</v>
          </cell>
        </row>
        <row r="48">
          <cell r="A48" t="str">
            <v>Guatemala</v>
          </cell>
        </row>
        <row r="49">
          <cell r="A49" t="str">
            <v>Zimbabwe</v>
          </cell>
        </row>
        <row r="50">
          <cell r="A50" t="str">
            <v>Lesotho</v>
          </cell>
        </row>
        <row r="51">
          <cell r="A51" t="str">
            <v>Fiji</v>
          </cell>
        </row>
        <row r="52">
          <cell r="A52" t="str">
            <v>Sweden</v>
          </cell>
          <cell r="B52">
            <v>0.81</v>
          </cell>
          <cell r="C52">
            <v>0.19</v>
          </cell>
        </row>
        <row r="53">
          <cell r="A53" t="str">
            <v>South Africa</v>
          </cell>
          <cell r="B53">
            <v>0.92</v>
          </cell>
          <cell r="C53">
            <v>0.08</v>
          </cell>
        </row>
        <row r="54">
          <cell r="A54" t="str">
            <v>Malaysia</v>
          </cell>
          <cell r="B54">
            <v>0.92</v>
          </cell>
          <cell r="C54">
            <v>0.08</v>
          </cell>
        </row>
        <row r="55">
          <cell r="A55" t="str">
            <v>Netherlands</v>
          </cell>
          <cell r="B55">
            <v>0.87</v>
          </cell>
          <cell r="C55">
            <v>0.13</v>
          </cell>
        </row>
        <row r="56">
          <cell r="A56" t="str">
            <v>El Salvador</v>
          </cell>
        </row>
        <row r="57">
          <cell r="A57" t="str">
            <v>Honduras</v>
          </cell>
        </row>
        <row r="58">
          <cell r="A58" t="str">
            <v>Bhutan</v>
          </cell>
        </row>
        <row r="59">
          <cell r="A59" t="str">
            <v>Barbados</v>
          </cell>
        </row>
        <row r="60">
          <cell r="A60" t="str">
            <v>Denmark</v>
          </cell>
          <cell r="B60">
            <v>0.84</v>
          </cell>
          <cell r="C60">
            <v>0.16</v>
          </cell>
        </row>
        <row r="61">
          <cell r="A61" t="str">
            <v>Norway</v>
          </cell>
          <cell r="B61">
            <v>0.83</v>
          </cell>
          <cell r="C61">
            <v>0.17</v>
          </cell>
        </row>
        <row r="62">
          <cell r="A62" t="str">
            <v>Cameroon</v>
          </cell>
        </row>
        <row r="63">
          <cell r="A63" t="str">
            <v>Cambodia</v>
          </cell>
        </row>
        <row r="64">
          <cell r="A64" t="str">
            <v>Belarus</v>
          </cell>
          <cell r="B64">
            <v>0.78</v>
          </cell>
          <cell r="C64">
            <v>0.22</v>
          </cell>
        </row>
        <row r="65">
          <cell r="A65" t="str">
            <v>Maldives</v>
          </cell>
        </row>
        <row r="66">
          <cell r="A66" t="str">
            <v>Namibia</v>
          </cell>
        </row>
        <row r="67">
          <cell r="A67" t="str">
            <v>Latvia</v>
          </cell>
        </row>
        <row r="68">
          <cell r="A68" t="str">
            <v>Papua New Guinea</v>
          </cell>
        </row>
        <row r="69">
          <cell r="A69" t="str">
            <v>Belgium</v>
          </cell>
          <cell r="B69">
            <v>0.86</v>
          </cell>
          <cell r="C69">
            <v>0.14000000000000001</v>
          </cell>
        </row>
        <row r="70">
          <cell r="A70" t="str">
            <v>United Arab Emirates</v>
          </cell>
          <cell r="B70">
            <v>0.91</v>
          </cell>
          <cell r="C70">
            <v>0.09</v>
          </cell>
        </row>
        <row r="71">
          <cell r="A71" t="str">
            <v>Jersey</v>
          </cell>
        </row>
        <row r="72">
          <cell r="A72" t="str">
            <v>Malawi</v>
          </cell>
        </row>
        <row r="73">
          <cell r="A73" t="str">
            <v>France</v>
          </cell>
          <cell r="B73">
            <v>0.87</v>
          </cell>
          <cell r="C73">
            <v>0.13</v>
          </cell>
        </row>
        <row r="74">
          <cell r="A74" t="str">
            <v>Ecuador</v>
          </cell>
        </row>
        <row r="75">
          <cell r="A75" t="str">
            <v>Mexico</v>
          </cell>
          <cell r="B75">
            <v>0.92</v>
          </cell>
          <cell r="C75">
            <v>0.08</v>
          </cell>
        </row>
        <row r="76">
          <cell r="A76" t="str">
            <v>Bahrain</v>
          </cell>
        </row>
        <row r="77">
          <cell r="A77" t="str">
            <v>Kenya</v>
          </cell>
        </row>
        <row r="78">
          <cell r="A78" t="str">
            <v>Spain</v>
          </cell>
          <cell r="B78">
            <v>0.87</v>
          </cell>
          <cell r="C78">
            <v>0.13</v>
          </cell>
        </row>
        <row r="79">
          <cell r="A79" t="str">
            <v>Colombia</v>
          </cell>
          <cell r="B79">
            <v>0.92</v>
          </cell>
          <cell r="C79">
            <v>0.08</v>
          </cell>
        </row>
        <row r="80">
          <cell r="A80" t="str">
            <v>Slovenia</v>
          </cell>
        </row>
        <row r="81">
          <cell r="A81" t="str">
            <v>Russia</v>
          </cell>
          <cell r="B81">
            <v>0.83</v>
          </cell>
          <cell r="C81">
            <v>0.17</v>
          </cell>
        </row>
        <row r="82">
          <cell r="A82" t="str">
            <v>Bolivia</v>
          </cell>
        </row>
        <row r="83">
          <cell r="A83" t="str">
            <v>Mongolia</v>
          </cell>
        </row>
        <row r="84">
          <cell r="A84" t="str">
            <v>Serbia</v>
          </cell>
          <cell r="B84">
            <v>0.78</v>
          </cell>
          <cell r="C84">
            <v>0.22</v>
          </cell>
        </row>
        <row r="85">
          <cell r="A85" t="str">
            <v>Panama</v>
          </cell>
        </row>
        <row r="86">
          <cell r="A86" t="str">
            <v>Ukraine</v>
          </cell>
          <cell r="B86">
            <v>0.81</v>
          </cell>
          <cell r="C86">
            <v>0.19</v>
          </cell>
        </row>
        <row r="87">
          <cell r="A87" t="str">
            <v>Ghana</v>
          </cell>
        </row>
        <row r="88">
          <cell r="A88" t="str">
            <v>Kazakhstan</v>
          </cell>
          <cell r="B88">
            <v>0.9</v>
          </cell>
          <cell r="C88">
            <v>0.1</v>
          </cell>
        </row>
        <row r="89">
          <cell r="A89" t="str">
            <v>Chile</v>
          </cell>
          <cell r="B89">
            <v>0.93</v>
          </cell>
          <cell r="C89">
            <v>7.0000000000000007E-2</v>
          </cell>
        </row>
        <row r="90">
          <cell r="A90" t="str">
            <v>Montenegro</v>
          </cell>
        </row>
        <row r="91">
          <cell r="A91" t="str">
            <v>Lithuania</v>
          </cell>
        </row>
        <row r="92">
          <cell r="A92" t="str">
            <v>Uruguay</v>
          </cell>
        </row>
        <row r="93">
          <cell r="A93" t="str">
            <v>Afghanistan</v>
          </cell>
        </row>
        <row r="94">
          <cell r="A94" t="str">
            <v>Uganda</v>
          </cell>
        </row>
        <row r="95">
          <cell r="A95" t="str">
            <v>Peru</v>
          </cell>
          <cell r="B95">
            <v>0.95</v>
          </cell>
          <cell r="C95">
            <v>0.05</v>
          </cell>
        </row>
        <row r="96">
          <cell r="A96" t="str">
            <v>Moldova</v>
          </cell>
        </row>
        <row r="97">
          <cell r="A97" t="str">
            <v>Puerto Rico</v>
          </cell>
        </row>
        <row r="98">
          <cell r="A98" t="str">
            <v>Uzbekistan</v>
          </cell>
        </row>
        <row r="99">
          <cell r="A99" t="str">
            <v>Angola</v>
          </cell>
        </row>
        <row r="100">
          <cell r="A100" t="str">
            <v>Nicaragua</v>
          </cell>
        </row>
        <row r="101">
          <cell r="A101" t="str">
            <v>Qatar</v>
          </cell>
        </row>
        <row r="102">
          <cell r="A102" t="str">
            <v>North Macedonia</v>
          </cell>
        </row>
        <row r="103">
          <cell r="A103" t="str">
            <v>Benin</v>
          </cell>
        </row>
        <row r="104">
          <cell r="A104" t="str">
            <v>Mozambique</v>
          </cell>
        </row>
        <row r="105">
          <cell r="A105" t="str">
            <v>Kosovo</v>
          </cell>
        </row>
        <row r="106">
          <cell r="A106" t="str">
            <v>Palestine</v>
          </cell>
        </row>
        <row r="107">
          <cell r="A107" t="str">
            <v>Bosnia &amp; Herzegovina</v>
          </cell>
        </row>
        <row r="108">
          <cell r="A108" t="str">
            <v>Poland</v>
          </cell>
          <cell r="B108">
            <v>0.82</v>
          </cell>
          <cell r="C108">
            <v>0.18</v>
          </cell>
        </row>
        <row r="109">
          <cell r="A109" t="str">
            <v>Croatia</v>
          </cell>
          <cell r="B109">
            <v>0.79</v>
          </cell>
          <cell r="C109">
            <v>0.21</v>
          </cell>
        </row>
        <row r="110">
          <cell r="A110" t="str">
            <v>Albania</v>
          </cell>
        </row>
        <row r="111">
          <cell r="A111" t="str">
            <v>Morocco</v>
          </cell>
          <cell r="B111">
            <v>0.87</v>
          </cell>
          <cell r="C111">
            <v>0.13</v>
          </cell>
        </row>
        <row r="112">
          <cell r="A112" t="str">
            <v>Czechia</v>
          </cell>
          <cell r="B112">
            <v>0.76</v>
          </cell>
          <cell r="C112">
            <v>0.24</v>
          </cell>
        </row>
        <row r="113">
          <cell r="A113" t="str">
            <v>Hungary</v>
          </cell>
          <cell r="B113">
            <v>0.79</v>
          </cell>
          <cell r="C113">
            <v>0.21</v>
          </cell>
        </row>
        <row r="114">
          <cell r="A114" t="str">
            <v>Trinidad &amp; Tobago</v>
          </cell>
        </row>
        <row r="115">
          <cell r="A115" t="str">
            <v>Laos</v>
          </cell>
        </row>
        <row r="116">
          <cell r="A116" t="str">
            <v>Somalia</v>
          </cell>
        </row>
        <row r="117">
          <cell r="A117" t="str">
            <v>Italy</v>
          </cell>
          <cell r="B117">
            <v>0.87</v>
          </cell>
          <cell r="C117">
            <v>0.13</v>
          </cell>
        </row>
        <row r="118">
          <cell r="A118" t="str">
            <v>Azerbaijan</v>
          </cell>
        </row>
        <row r="119">
          <cell r="A119" t="str">
            <v>Tanzania</v>
          </cell>
        </row>
        <row r="120">
          <cell r="A120" t="str">
            <v>Jordan</v>
          </cell>
        </row>
        <row r="121">
          <cell r="A121" t="str">
            <v>Brunei</v>
          </cell>
        </row>
        <row r="122">
          <cell r="A122" t="str">
            <v>Nigeria</v>
          </cell>
        </row>
        <row r="123">
          <cell r="A123" t="str">
            <v>Oman</v>
          </cell>
        </row>
        <row r="124">
          <cell r="A124" t="str">
            <v>Tajikistan</v>
          </cell>
        </row>
        <row r="125">
          <cell r="A125" t="str">
            <v>Bulgaria</v>
          </cell>
        </row>
        <row r="126">
          <cell r="A126" t="str">
            <v>Dominican Republic</v>
          </cell>
        </row>
        <row r="127">
          <cell r="A127" t="str">
            <v>Argentina</v>
          </cell>
          <cell r="B127">
            <v>0.89</v>
          </cell>
          <cell r="C127">
            <v>0.11</v>
          </cell>
        </row>
        <row r="128">
          <cell r="A128" t="str">
            <v>Guyana</v>
          </cell>
        </row>
        <row r="129">
          <cell r="A129" t="str">
            <v>Senegal</v>
          </cell>
        </row>
        <row r="130">
          <cell r="A130" t="str">
            <v>Egypt</v>
          </cell>
          <cell r="B130">
            <v>0.86</v>
          </cell>
          <cell r="C130">
            <v>0.14000000000000001</v>
          </cell>
        </row>
        <row r="131">
          <cell r="A131" t="str">
            <v>Turkey</v>
          </cell>
          <cell r="B131">
            <v>0.9</v>
          </cell>
          <cell r="C131">
            <v>0.1</v>
          </cell>
        </row>
        <row r="132">
          <cell r="A132" t="str">
            <v>Greece</v>
          </cell>
          <cell r="B132">
            <v>0.75</v>
          </cell>
          <cell r="C132">
            <v>0.25</v>
          </cell>
        </row>
        <row r="133">
          <cell r="A133" t="str">
            <v>Thailand</v>
          </cell>
          <cell r="B133">
            <v>0.92</v>
          </cell>
          <cell r="C133">
            <v>0.08</v>
          </cell>
        </row>
        <row r="134">
          <cell r="A134" t="str">
            <v>Kyrgyzstan</v>
          </cell>
        </row>
        <row r="135">
          <cell r="A135" t="str">
            <v>Romania</v>
          </cell>
          <cell r="B135">
            <v>0.68</v>
          </cell>
          <cell r="C135">
            <v>0.32</v>
          </cell>
        </row>
        <row r="136">
          <cell r="A136" t="str">
            <v>Slovakia</v>
          </cell>
        </row>
        <row r="137">
          <cell r="A137" t="str">
            <v>Brazil</v>
          </cell>
          <cell r="B137">
            <v>0.89</v>
          </cell>
          <cell r="C137">
            <v>0.11</v>
          </cell>
        </row>
        <row r="138">
          <cell r="A138" t="str">
            <v>Georgia</v>
          </cell>
        </row>
        <row r="139">
          <cell r="A139" t="str">
            <v>Paraguay</v>
          </cell>
        </row>
        <row r="140">
          <cell r="A140" t="str">
            <v>RÃ©union</v>
          </cell>
        </row>
        <row r="141">
          <cell r="A141" t="str">
            <v>Congo - Kinshasa</v>
          </cell>
        </row>
        <row r="142">
          <cell r="A142" t="str">
            <v>Zambia</v>
          </cell>
        </row>
        <row r="143">
          <cell r="A143" t="str">
            <v>Sudan</v>
          </cell>
        </row>
        <row r="144">
          <cell r="A144" t="str">
            <v>CÃ´te dâ€™Ivoire</v>
          </cell>
        </row>
        <row r="145">
          <cell r="A145" t="str">
            <v>Kuwait</v>
          </cell>
        </row>
        <row r="146">
          <cell r="A146" t="str">
            <v>Algeria</v>
          </cell>
        </row>
        <row r="147">
          <cell r="A147" t="str">
            <v>Saudi Arabia</v>
          </cell>
        </row>
        <row r="148">
          <cell r="A148" t="str">
            <v>Iran</v>
          </cell>
          <cell r="B148">
            <v>0.86</v>
          </cell>
          <cell r="C148">
            <v>0.14000000000000001</v>
          </cell>
        </row>
        <row r="149">
          <cell r="A149" t="str">
            <v>Venezuela</v>
          </cell>
        </row>
        <row r="150">
          <cell r="A150" t="str">
            <v>Vietnam</v>
          </cell>
          <cell r="B150">
            <v>0.64</v>
          </cell>
          <cell r="C150">
            <v>0.36</v>
          </cell>
        </row>
        <row r="151">
          <cell r="A151" t="str">
            <v>Iraq</v>
          </cell>
        </row>
        <row r="152">
          <cell r="A152" t="str">
            <v>Yemen</v>
          </cell>
        </row>
        <row r="153">
          <cell r="A153" t="str">
            <v>Syria</v>
          </cell>
        </row>
        <row r="154">
          <cell r="A154" t="str">
            <v>Indonesia</v>
          </cell>
          <cell r="B154">
            <v>0.82</v>
          </cell>
          <cell r="C154">
            <v>0.18</v>
          </cell>
        </row>
        <row r="155">
          <cell r="A155" t="str">
            <v>North Korea</v>
          </cell>
        </row>
        <row r="156">
          <cell r="A156" t="str">
            <v>Marshall Islands</v>
          </cell>
        </row>
        <row r="157">
          <cell r="A157" t="str">
            <v>Cook Islands</v>
          </cell>
        </row>
        <row r="158">
          <cell r="A158" t="str">
            <v>St. Pierre &amp; Miquelon</v>
          </cell>
        </row>
        <row r="159">
          <cell r="A159" t="str">
            <v>Tonga</v>
          </cell>
        </row>
        <row r="160">
          <cell r="A160" t="str">
            <v>Anguilla</v>
          </cell>
        </row>
        <row r="161">
          <cell r="A161" t="str">
            <v>San Marino</v>
          </cell>
        </row>
        <row r="162">
          <cell r="A162" t="str">
            <v>Ã…land Islands</v>
          </cell>
        </row>
        <row r="163">
          <cell r="A163" t="str">
            <v>Caribbean Netherlands</v>
          </cell>
        </row>
        <row r="164">
          <cell r="A164" t="str">
            <v>Burundi</v>
          </cell>
        </row>
        <row r="165">
          <cell r="A165" t="str">
            <v>Equatorial Guinea</v>
          </cell>
        </row>
        <row r="166">
          <cell r="A166" t="str">
            <v>Faroe Islands</v>
          </cell>
        </row>
        <row r="167">
          <cell r="A167" t="str">
            <v>St. Vincent &amp; Grenadines</v>
          </cell>
        </row>
        <row r="168">
          <cell r="A168" t="str">
            <v>Dominica</v>
          </cell>
        </row>
        <row r="169">
          <cell r="A169" t="str">
            <v>St. BarthÃ©lemy</v>
          </cell>
        </row>
        <row r="170">
          <cell r="A170" t="str">
            <v>Guinea-Bissau</v>
          </cell>
        </row>
        <row r="171">
          <cell r="A171" t="str">
            <v>Comoros</v>
          </cell>
        </row>
        <row r="172">
          <cell r="A172" t="str">
            <v>Turks &amp; Caicos Islands</v>
          </cell>
        </row>
        <row r="173">
          <cell r="A173" t="str">
            <v>Gibraltar</v>
          </cell>
        </row>
        <row r="174">
          <cell r="A174" t="str">
            <v>Cape Verde</v>
          </cell>
        </row>
        <row r="175">
          <cell r="A175" t="str">
            <v>Vanuatu</v>
          </cell>
        </row>
        <row r="176">
          <cell r="A176" t="str">
            <v>Central African Republic</v>
          </cell>
        </row>
        <row r="177">
          <cell r="A177" t="str">
            <v>Togo</v>
          </cell>
        </row>
        <row r="178">
          <cell r="A178" t="str">
            <v>Samoa</v>
          </cell>
        </row>
        <row r="179">
          <cell r="A179" t="str">
            <v>Andorra</v>
          </cell>
        </row>
        <row r="180">
          <cell r="A180" t="str">
            <v>CuraÃ§ao</v>
          </cell>
        </row>
        <row r="181">
          <cell r="A181" t="str">
            <v>Sint Maarten</v>
          </cell>
        </row>
        <row r="182">
          <cell r="A182" t="str">
            <v>St. Kitts &amp; Nevis</v>
          </cell>
        </row>
        <row r="183">
          <cell r="A183" t="str">
            <v>Eswatini</v>
          </cell>
        </row>
        <row r="184">
          <cell r="A184" t="str">
            <v>Gambia</v>
          </cell>
        </row>
        <row r="185">
          <cell r="A185" t="str">
            <v>Timor-Leste</v>
          </cell>
        </row>
        <row r="186">
          <cell r="A186" t="str">
            <v>Djibouti</v>
          </cell>
        </row>
        <row r="187">
          <cell r="A187" t="str">
            <v>Antigua &amp; Barbuda</v>
          </cell>
        </row>
        <row r="188">
          <cell r="A188" t="str">
            <v>French Polynesia</v>
          </cell>
        </row>
        <row r="189">
          <cell r="A189" t="str">
            <v>U.S. Virgin Islands</v>
          </cell>
        </row>
        <row r="190">
          <cell r="A190" t="str">
            <v>Northern Mariana Islands</v>
          </cell>
        </row>
        <row r="191">
          <cell r="A191" t="str">
            <v>Monaco</v>
          </cell>
        </row>
        <row r="192">
          <cell r="A192" t="str">
            <v>Isle of Man</v>
          </cell>
        </row>
        <row r="193">
          <cell r="A193" t="str">
            <v>Cayman Islands</v>
          </cell>
        </row>
        <row r="194">
          <cell r="A194" t="str">
            <v>Liechtenstein</v>
          </cell>
        </row>
        <row r="195">
          <cell r="A195" t="str">
            <v>Guernsey</v>
          </cell>
        </row>
        <row r="196">
          <cell r="A196" t="str">
            <v>Haiti</v>
          </cell>
        </row>
        <row r="197">
          <cell r="A197" t="str">
            <v>Grenada</v>
          </cell>
        </row>
        <row r="198">
          <cell r="A198" t="str">
            <v>St. Lucia</v>
          </cell>
        </row>
        <row r="199">
          <cell r="A199" t="str">
            <v>Seychelles</v>
          </cell>
        </row>
        <row r="200">
          <cell r="A200" t="str">
            <v>Congo - Brazzaville</v>
          </cell>
        </row>
        <row r="201">
          <cell r="A201" t="str">
            <v>French Guiana</v>
          </cell>
        </row>
        <row r="202">
          <cell r="A202" t="str">
            <v>Gabon</v>
          </cell>
        </row>
        <row r="203">
          <cell r="A203" t="str">
            <v>Guam</v>
          </cell>
        </row>
        <row r="204">
          <cell r="A204" t="str">
            <v>New Caledonia</v>
          </cell>
        </row>
        <row r="205">
          <cell r="A205" t="str">
            <v>Niger</v>
          </cell>
        </row>
        <row r="206">
          <cell r="A206" t="str">
            <v>Sierra Leone</v>
          </cell>
        </row>
        <row r="207">
          <cell r="A207" t="str">
            <v>Bermuda</v>
          </cell>
        </row>
        <row r="208">
          <cell r="A208" t="str">
            <v>Suriname</v>
          </cell>
        </row>
        <row r="209">
          <cell r="A209" t="str">
            <v>Mauritania</v>
          </cell>
        </row>
        <row r="210">
          <cell r="A210" t="str">
            <v>Aruba</v>
          </cell>
        </row>
        <row r="211">
          <cell r="A211" t="str">
            <v>Burkina Faso</v>
          </cell>
        </row>
        <row r="212">
          <cell r="A212" t="str">
            <v>Mali</v>
          </cell>
        </row>
        <row r="213">
          <cell r="A213" t="str">
            <v>South Sudan</v>
          </cell>
        </row>
        <row r="214">
          <cell r="A214" t="str">
            <v>Guinea</v>
          </cell>
        </row>
        <row r="215">
          <cell r="A215" t="str">
            <v>Martinique</v>
          </cell>
        </row>
        <row r="216">
          <cell r="A216" t="str">
            <v>Guadeloupe</v>
          </cell>
        </row>
        <row r="217">
          <cell r="A217" t="str">
            <v>Bahamas</v>
          </cell>
        </row>
        <row r="218">
          <cell r="A218" t="str">
            <v>Libya</v>
          </cell>
        </row>
        <row r="219">
          <cell r="A219" t="str">
            <v>Turkmenistan</v>
          </cell>
        </row>
        <row r="220">
          <cell r="A220" t="str">
            <v>American Samoa</v>
          </cell>
        </row>
        <row r="221">
          <cell r="A221" t="str">
            <v>Antarctica</v>
          </cell>
        </row>
        <row r="222">
          <cell r="A222" t="str">
            <v>French Southern Territories</v>
          </cell>
        </row>
        <row r="223">
          <cell r="A223" t="str">
            <v>Bouvet Island</v>
          </cell>
        </row>
        <row r="224">
          <cell r="A224" t="str">
            <v>Cocos (Keeling) Islands</v>
          </cell>
        </row>
        <row r="225">
          <cell r="A225" t="str">
            <v>Christmas Island</v>
          </cell>
        </row>
        <row r="226">
          <cell r="A226" t="str">
            <v>Eritrea</v>
          </cell>
        </row>
        <row r="227">
          <cell r="A227" t="str">
            <v>Western Sahara</v>
          </cell>
        </row>
        <row r="228">
          <cell r="A228" t="str">
            <v>Falkland Islands (Islas Malvinas)</v>
          </cell>
        </row>
        <row r="229">
          <cell r="A229" t="str">
            <v>Micronesia</v>
          </cell>
        </row>
        <row r="230">
          <cell r="A230" t="str">
            <v>Greenland</v>
          </cell>
        </row>
        <row r="231">
          <cell r="A231" t="str">
            <v>Heard &amp; McDonald Islands</v>
          </cell>
        </row>
        <row r="232">
          <cell r="A232" t="str">
            <v>British Indian Ocean Territory</v>
          </cell>
        </row>
        <row r="233">
          <cell r="A233" t="str">
            <v>Kiribati</v>
          </cell>
        </row>
        <row r="234">
          <cell r="A234" t="str">
            <v>Liberia</v>
          </cell>
        </row>
        <row r="235">
          <cell r="A235" t="str">
            <v>St. Martin</v>
          </cell>
        </row>
        <row r="236">
          <cell r="A236" t="str">
            <v>Montserrat</v>
          </cell>
        </row>
        <row r="237">
          <cell r="A237" t="str">
            <v>Mayotte</v>
          </cell>
        </row>
        <row r="238">
          <cell r="A238" t="str">
            <v>Norfolk Island</v>
          </cell>
        </row>
        <row r="239">
          <cell r="A239" t="str">
            <v>Niue</v>
          </cell>
        </row>
        <row r="240">
          <cell r="A240" t="str">
            <v>Nauru</v>
          </cell>
        </row>
        <row r="241">
          <cell r="A241" t="str">
            <v>Pitcairn Islands</v>
          </cell>
        </row>
        <row r="242">
          <cell r="A242" t="str">
            <v>Palau</v>
          </cell>
        </row>
        <row r="243">
          <cell r="A243" t="str">
            <v>South Georgia &amp; South Sandwich Islands</v>
          </cell>
        </row>
        <row r="244">
          <cell r="A244" t="str">
            <v>Svalbard &amp; Jan Mayen</v>
          </cell>
        </row>
        <row r="245">
          <cell r="A245" t="str">
            <v>Solomon Islands</v>
          </cell>
        </row>
        <row r="246">
          <cell r="A246" t="str">
            <v>SÃ£o TomÃ© &amp; PrÃ­ncipe</v>
          </cell>
        </row>
        <row r="247">
          <cell r="A247" t="str">
            <v>Chad</v>
          </cell>
        </row>
        <row r="248">
          <cell r="A248" t="str">
            <v>Tokelau</v>
          </cell>
        </row>
        <row r="249">
          <cell r="A249" t="str">
            <v>Tuvalu</v>
          </cell>
        </row>
        <row r="250">
          <cell r="A250" t="str">
            <v>U.S. Outlying Islands</v>
          </cell>
        </row>
        <row r="251">
          <cell r="A251" t="str">
            <v>Vatican City</v>
          </cell>
        </row>
        <row r="252">
          <cell r="A252" t="str">
            <v>British Virgin Islands</v>
          </cell>
        </row>
        <row r="253">
          <cell r="A253" t="str">
            <v>Wallis &amp; Futuna</v>
          </cell>
        </row>
      </sheetData>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93)"/>
    </sheetNames>
    <sheetDataSet>
      <sheetData sheetId="0" refreshError="1">
        <row r="1">
          <cell r="A1" t="str">
            <v>Category: All categories</v>
          </cell>
        </row>
        <row r="3">
          <cell r="A3" t="str">
            <v>Country</v>
          </cell>
          <cell r="B3" t="str">
            <v>Transmission Control Protocol: (2018)</v>
          </cell>
          <cell r="C3" t="str">
            <v>Logistic regression: (2018)</v>
          </cell>
        </row>
        <row r="4">
          <cell r="A4" t="str">
            <v>China</v>
          </cell>
          <cell r="B4">
            <v>0.8</v>
          </cell>
          <cell r="C4">
            <v>0.2</v>
          </cell>
        </row>
        <row r="5">
          <cell r="A5" t="str">
            <v>Cuba</v>
          </cell>
        </row>
        <row r="6">
          <cell r="A6" t="str">
            <v>St. Helena</v>
          </cell>
          <cell r="B6">
            <v>0.85</v>
          </cell>
          <cell r="C6">
            <v>0.15</v>
          </cell>
        </row>
        <row r="7">
          <cell r="A7" t="str">
            <v>South Korea</v>
          </cell>
          <cell r="B7">
            <v>0.77</v>
          </cell>
          <cell r="C7">
            <v>0.23</v>
          </cell>
        </row>
        <row r="8">
          <cell r="A8" t="str">
            <v>Ethiopia</v>
          </cell>
        </row>
        <row r="9">
          <cell r="A9" t="str">
            <v>Botswana</v>
          </cell>
        </row>
        <row r="10">
          <cell r="A10" t="str">
            <v>Rwanda</v>
          </cell>
        </row>
        <row r="11">
          <cell r="A11" t="str">
            <v>Singapore</v>
          </cell>
          <cell r="B11">
            <v>0.76</v>
          </cell>
          <cell r="C11">
            <v>0.24</v>
          </cell>
        </row>
        <row r="12">
          <cell r="A12" t="str">
            <v>Burundi</v>
          </cell>
        </row>
        <row r="13">
          <cell r="A13" t="str">
            <v>Angola</v>
          </cell>
        </row>
        <row r="14">
          <cell r="A14" t="str">
            <v>Zimbabwe</v>
          </cell>
        </row>
        <row r="15">
          <cell r="A15" t="str">
            <v>Nepal</v>
          </cell>
        </row>
        <row r="16">
          <cell r="A16" t="str">
            <v>Papua New Guinea</v>
          </cell>
        </row>
        <row r="17">
          <cell r="A17" t="str">
            <v>Myanmar (Burma)</v>
          </cell>
        </row>
        <row r="18">
          <cell r="A18" t="str">
            <v>Malawi</v>
          </cell>
        </row>
        <row r="19">
          <cell r="A19" t="str">
            <v>Isle of Man</v>
          </cell>
        </row>
        <row r="20">
          <cell r="A20" t="str">
            <v>Luxembourg</v>
          </cell>
        </row>
        <row r="21">
          <cell r="A21" t="str">
            <v>Togo</v>
          </cell>
        </row>
        <row r="22">
          <cell r="A22" t="str">
            <v>Madagascar</v>
          </cell>
        </row>
        <row r="23">
          <cell r="A23" t="str">
            <v>Hong Kong</v>
          </cell>
          <cell r="B23">
            <v>0.76</v>
          </cell>
          <cell r="C23">
            <v>0.24</v>
          </cell>
        </row>
        <row r="24">
          <cell r="A24" t="str">
            <v>Cape Verde</v>
          </cell>
        </row>
        <row r="25">
          <cell r="A25" t="str">
            <v>Israel</v>
          </cell>
          <cell r="B25">
            <v>0.84</v>
          </cell>
          <cell r="C25">
            <v>0.16</v>
          </cell>
        </row>
        <row r="26">
          <cell r="A26" t="str">
            <v>Cameroon</v>
          </cell>
        </row>
        <row r="27">
          <cell r="A27" t="str">
            <v>Jersey</v>
          </cell>
        </row>
        <row r="28">
          <cell r="A28" t="str">
            <v>Uruguay</v>
          </cell>
        </row>
        <row r="29">
          <cell r="A29" t="str">
            <v>Eswatini</v>
          </cell>
        </row>
        <row r="30">
          <cell r="A30" t="str">
            <v>Macao</v>
          </cell>
        </row>
        <row r="31">
          <cell r="A31" t="str">
            <v>Mauritius</v>
          </cell>
        </row>
        <row r="32">
          <cell r="A32" t="str">
            <v>Taiwan</v>
          </cell>
          <cell r="B32">
            <v>0.82</v>
          </cell>
          <cell r="C32">
            <v>0.18</v>
          </cell>
        </row>
        <row r="33">
          <cell r="A33" t="str">
            <v>Brunei</v>
          </cell>
        </row>
        <row r="34">
          <cell r="A34" t="str">
            <v>Bolivia</v>
          </cell>
        </row>
        <row r="35">
          <cell r="A35" t="str">
            <v>Lesotho</v>
          </cell>
        </row>
        <row r="36">
          <cell r="A36" t="str">
            <v>Ghana</v>
          </cell>
        </row>
        <row r="37">
          <cell r="A37" t="str">
            <v>Switzerland</v>
          </cell>
          <cell r="B37">
            <v>0.81</v>
          </cell>
          <cell r="C37">
            <v>0.19</v>
          </cell>
        </row>
        <row r="38">
          <cell r="A38" t="str">
            <v>Czechia</v>
          </cell>
          <cell r="B38">
            <v>0.92</v>
          </cell>
          <cell r="C38">
            <v>0.08</v>
          </cell>
        </row>
        <row r="39">
          <cell r="A39" t="str">
            <v>India</v>
          </cell>
          <cell r="B39">
            <v>0.83</v>
          </cell>
          <cell r="C39">
            <v>0.17</v>
          </cell>
        </row>
        <row r="40">
          <cell r="A40" t="str">
            <v>Somalia</v>
          </cell>
        </row>
        <row r="41">
          <cell r="A41" t="str">
            <v>Sri Lanka</v>
          </cell>
          <cell r="B41">
            <v>0.87</v>
          </cell>
          <cell r="C41">
            <v>0.13</v>
          </cell>
        </row>
        <row r="42">
          <cell r="A42" t="str">
            <v>Bhutan</v>
          </cell>
        </row>
        <row r="43">
          <cell r="A43" t="str">
            <v>Zambia</v>
          </cell>
        </row>
        <row r="44">
          <cell r="A44" t="str">
            <v>Ireland</v>
          </cell>
          <cell r="B44">
            <v>0.8</v>
          </cell>
          <cell r="C44">
            <v>0.2</v>
          </cell>
        </row>
        <row r="45">
          <cell r="A45" t="str">
            <v>Sierra Leone</v>
          </cell>
        </row>
        <row r="46">
          <cell r="A46" t="str">
            <v>Japan</v>
          </cell>
          <cell r="B46">
            <v>0.86</v>
          </cell>
          <cell r="C46">
            <v>0.14000000000000001</v>
          </cell>
        </row>
        <row r="47">
          <cell r="A47" t="str">
            <v>Malta</v>
          </cell>
        </row>
        <row r="48">
          <cell r="A48" t="str">
            <v>Pakistan</v>
          </cell>
          <cell r="B48">
            <v>0.83</v>
          </cell>
          <cell r="C48">
            <v>0.17</v>
          </cell>
        </row>
        <row r="49">
          <cell r="A49" t="str">
            <v>Congo - Kinshasa</v>
          </cell>
        </row>
        <row r="50">
          <cell r="A50" t="str">
            <v>Tunisia</v>
          </cell>
          <cell r="B50">
            <v>0.85</v>
          </cell>
          <cell r="C50">
            <v>0.15</v>
          </cell>
        </row>
        <row r="51">
          <cell r="A51" t="str">
            <v>New Zealand</v>
          </cell>
          <cell r="B51">
            <v>0.81</v>
          </cell>
          <cell r="C51">
            <v>0.19</v>
          </cell>
        </row>
        <row r="52">
          <cell r="A52" t="str">
            <v>Australia</v>
          </cell>
          <cell r="B52">
            <v>0.78</v>
          </cell>
          <cell r="C52">
            <v>0.22</v>
          </cell>
        </row>
        <row r="53">
          <cell r="A53" t="str">
            <v>Norway</v>
          </cell>
          <cell r="B53">
            <v>0.81</v>
          </cell>
          <cell r="C53">
            <v>0.19</v>
          </cell>
        </row>
        <row r="54">
          <cell r="A54" t="str">
            <v>Austria</v>
          </cell>
          <cell r="B54">
            <v>0.87</v>
          </cell>
          <cell r="C54">
            <v>0.13</v>
          </cell>
        </row>
        <row r="55">
          <cell r="A55" t="str">
            <v>Panama</v>
          </cell>
        </row>
        <row r="56">
          <cell r="A56" t="str">
            <v>Germany</v>
          </cell>
          <cell r="B56">
            <v>0.84</v>
          </cell>
          <cell r="C56">
            <v>0.16</v>
          </cell>
        </row>
        <row r="57">
          <cell r="A57" t="str">
            <v>Finland</v>
          </cell>
          <cell r="B57">
            <v>0.79</v>
          </cell>
          <cell r="C57">
            <v>0.21</v>
          </cell>
        </row>
        <row r="58">
          <cell r="A58" t="str">
            <v>Namibia</v>
          </cell>
        </row>
        <row r="59">
          <cell r="A59" t="str">
            <v>Sweden</v>
          </cell>
          <cell r="B59">
            <v>0.81</v>
          </cell>
          <cell r="C59">
            <v>0.19</v>
          </cell>
        </row>
        <row r="60">
          <cell r="A60" t="str">
            <v>Canada</v>
          </cell>
          <cell r="B60">
            <v>0.76</v>
          </cell>
          <cell r="C60">
            <v>0.24</v>
          </cell>
        </row>
        <row r="61">
          <cell r="A61" t="str">
            <v>Senegal</v>
          </cell>
        </row>
        <row r="62">
          <cell r="A62" t="str">
            <v>Costa Rica</v>
          </cell>
        </row>
        <row r="63">
          <cell r="A63" t="str">
            <v>Philippines</v>
          </cell>
          <cell r="B63">
            <v>0.87</v>
          </cell>
          <cell r="C63">
            <v>0.13</v>
          </cell>
        </row>
        <row r="64">
          <cell r="A64" t="str">
            <v>Mozambique</v>
          </cell>
        </row>
        <row r="65">
          <cell r="A65" t="str">
            <v>Ecuador</v>
          </cell>
          <cell r="B65">
            <v>0.93</v>
          </cell>
          <cell r="C65">
            <v>7.0000000000000007E-2</v>
          </cell>
        </row>
        <row r="66">
          <cell r="A66" t="str">
            <v>United Arab Emirates</v>
          </cell>
          <cell r="B66">
            <v>0.91</v>
          </cell>
          <cell r="C66">
            <v>0.09</v>
          </cell>
        </row>
        <row r="67">
          <cell r="A67" t="str">
            <v>Honduras</v>
          </cell>
        </row>
        <row r="68">
          <cell r="A68" t="str">
            <v>Iceland</v>
          </cell>
        </row>
        <row r="69">
          <cell r="A69" t="str">
            <v>United States</v>
          </cell>
          <cell r="B69">
            <v>0.73</v>
          </cell>
          <cell r="C69">
            <v>0.27</v>
          </cell>
        </row>
        <row r="70">
          <cell r="A70" t="str">
            <v>Jamaica</v>
          </cell>
        </row>
        <row r="71">
          <cell r="A71" t="str">
            <v>Cyprus</v>
          </cell>
        </row>
        <row r="72">
          <cell r="A72" t="str">
            <v>Uganda</v>
          </cell>
        </row>
        <row r="73">
          <cell r="A73" t="str">
            <v>Afghanistan</v>
          </cell>
        </row>
        <row r="74">
          <cell r="A74" t="str">
            <v>Netherlands</v>
          </cell>
          <cell r="B74">
            <v>0.7</v>
          </cell>
          <cell r="C74">
            <v>0.3</v>
          </cell>
        </row>
        <row r="75">
          <cell r="A75" t="str">
            <v>United Kingdom</v>
          </cell>
          <cell r="B75">
            <v>0.8</v>
          </cell>
          <cell r="C75">
            <v>0.2</v>
          </cell>
        </row>
        <row r="76">
          <cell r="A76" t="str">
            <v>Estonia</v>
          </cell>
        </row>
        <row r="77">
          <cell r="A77" t="str">
            <v>Russia</v>
          </cell>
          <cell r="B77">
            <v>0.92</v>
          </cell>
          <cell r="C77">
            <v>0.08</v>
          </cell>
        </row>
        <row r="78">
          <cell r="A78" t="str">
            <v>Slovenia</v>
          </cell>
        </row>
        <row r="79">
          <cell r="A79" t="str">
            <v>Portugal</v>
          </cell>
          <cell r="B79">
            <v>0.82</v>
          </cell>
          <cell r="C79">
            <v>0.18</v>
          </cell>
        </row>
        <row r="80">
          <cell r="A80" t="str">
            <v>Hungary</v>
          </cell>
          <cell r="B80">
            <v>0.92</v>
          </cell>
          <cell r="C80">
            <v>0.08</v>
          </cell>
        </row>
        <row r="81">
          <cell r="A81" t="str">
            <v>Oman</v>
          </cell>
        </row>
        <row r="82">
          <cell r="A82" t="str">
            <v>El Salvador</v>
          </cell>
        </row>
        <row r="83">
          <cell r="A83" t="str">
            <v>Kosovo</v>
          </cell>
        </row>
        <row r="84">
          <cell r="A84" t="str">
            <v>Belgium</v>
          </cell>
          <cell r="B84">
            <v>0.79</v>
          </cell>
          <cell r="C84">
            <v>0.21</v>
          </cell>
        </row>
        <row r="85">
          <cell r="A85" t="str">
            <v>Fiji</v>
          </cell>
        </row>
        <row r="86">
          <cell r="A86" t="str">
            <v>Mongolia</v>
          </cell>
        </row>
        <row r="87">
          <cell r="A87" t="str">
            <v>Benin</v>
          </cell>
        </row>
        <row r="88">
          <cell r="A88" t="str">
            <v>Albania</v>
          </cell>
        </row>
        <row r="89">
          <cell r="A89" t="str">
            <v>Denmark</v>
          </cell>
          <cell r="B89">
            <v>0.7</v>
          </cell>
          <cell r="C89">
            <v>0.3</v>
          </cell>
        </row>
        <row r="90">
          <cell r="A90" t="str">
            <v>Maldives</v>
          </cell>
        </row>
        <row r="91">
          <cell r="A91" t="str">
            <v>Colombia</v>
          </cell>
          <cell r="B91">
            <v>0.88</v>
          </cell>
          <cell r="C91">
            <v>0.12</v>
          </cell>
        </row>
        <row r="92">
          <cell r="A92" t="str">
            <v>Bahrain</v>
          </cell>
        </row>
        <row r="93">
          <cell r="A93" t="str">
            <v>South Africa</v>
          </cell>
          <cell r="B93">
            <v>0.8</v>
          </cell>
          <cell r="C93">
            <v>0.2</v>
          </cell>
        </row>
        <row r="94">
          <cell r="A94" t="str">
            <v>Spain</v>
          </cell>
          <cell r="B94">
            <v>0.89</v>
          </cell>
          <cell r="C94">
            <v>0.11</v>
          </cell>
        </row>
        <row r="95">
          <cell r="A95" t="str">
            <v>Slovakia</v>
          </cell>
        </row>
        <row r="96">
          <cell r="A96" t="str">
            <v>Lebanon</v>
          </cell>
        </row>
        <row r="97">
          <cell r="A97" t="str">
            <v>Kenya</v>
          </cell>
          <cell r="B97">
            <v>0.69</v>
          </cell>
          <cell r="C97">
            <v>0.31</v>
          </cell>
        </row>
        <row r="98">
          <cell r="A98" t="str">
            <v>Malaysia</v>
          </cell>
          <cell r="B98">
            <v>0.81</v>
          </cell>
          <cell r="C98">
            <v>0.19</v>
          </cell>
        </row>
        <row r="99">
          <cell r="A99" t="str">
            <v>Trinidad &amp; Tobago</v>
          </cell>
        </row>
        <row r="100">
          <cell r="A100" t="str">
            <v>North Macedonia</v>
          </cell>
        </row>
        <row r="101">
          <cell r="A101" t="str">
            <v>Belarus</v>
          </cell>
        </row>
        <row r="102">
          <cell r="A102" t="str">
            <v>CuraÃ§ao</v>
          </cell>
        </row>
        <row r="103">
          <cell r="A103" t="str">
            <v>Suriname</v>
          </cell>
        </row>
        <row r="104">
          <cell r="A104" t="str">
            <v>Latvia</v>
          </cell>
        </row>
        <row r="105">
          <cell r="A105" t="str">
            <v>Armenia</v>
          </cell>
        </row>
        <row r="106">
          <cell r="A106" t="str">
            <v>Bulgaria</v>
          </cell>
        </row>
        <row r="107">
          <cell r="A107" t="str">
            <v>Romania</v>
          </cell>
          <cell r="B107">
            <v>0.93</v>
          </cell>
          <cell r="C107">
            <v>7.0000000000000007E-2</v>
          </cell>
        </row>
        <row r="108">
          <cell r="A108" t="str">
            <v>Lithuania</v>
          </cell>
        </row>
        <row r="109">
          <cell r="A109" t="str">
            <v>Qatar</v>
          </cell>
        </row>
        <row r="110">
          <cell r="A110" t="str">
            <v>CÃ´te dâ€™Ivoire</v>
          </cell>
        </row>
        <row r="111">
          <cell r="A111" t="str">
            <v>Argentina</v>
          </cell>
          <cell r="B111">
            <v>0.96</v>
          </cell>
          <cell r="C111">
            <v>0.04</v>
          </cell>
        </row>
        <row r="112">
          <cell r="A112" t="str">
            <v>Dominican Republic</v>
          </cell>
          <cell r="B112">
            <v>1</v>
          </cell>
        </row>
        <row r="113">
          <cell r="A113" t="str">
            <v>Croatia</v>
          </cell>
        </row>
        <row r="114">
          <cell r="A114" t="str">
            <v>Bangladesh</v>
          </cell>
          <cell r="B114">
            <v>0.77</v>
          </cell>
          <cell r="C114">
            <v>0.23</v>
          </cell>
        </row>
        <row r="115">
          <cell r="A115" t="str">
            <v>Mexico</v>
          </cell>
          <cell r="B115">
            <v>0.93</v>
          </cell>
          <cell r="C115">
            <v>7.0000000000000007E-2</v>
          </cell>
        </row>
        <row r="116">
          <cell r="A116" t="str">
            <v>France</v>
          </cell>
          <cell r="B116">
            <v>0.87</v>
          </cell>
          <cell r="C116">
            <v>0.13</v>
          </cell>
        </row>
        <row r="117">
          <cell r="A117" t="str">
            <v>Poland</v>
          </cell>
          <cell r="B117">
            <v>0.92</v>
          </cell>
          <cell r="C117">
            <v>0.08</v>
          </cell>
        </row>
        <row r="118">
          <cell r="A118" t="str">
            <v>Guatemala</v>
          </cell>
        </row>
        <row r="119">
          <cell r="A119" t="str">
            <v>Cambodia</v>
          </cell>
        </row>
        <row r="120">
          <cell r="A120" t="str">
            <v>Serbia</v>
          </cell>
        </row>
        <row r="121">
          <cell r="A121" t="str">
            <v>Morocco</v>
          </cell>
          <cell r="B121">
            <v>0.85</v>
          </cell>
          <cell r="C121">
            <v>0.15</v>
          </cell>
        </row>
        <row r="122">
          <cell r="A122" t="str">
            <v>Peru</v>
          </cell>
          <cell r="B122">
            <v>0.84</v>
          </cell>
          <cell r="C122">
            <v>0.16</v>
          </cell>
        </row>
        <row r="123">
          <cell r="A123" t="str">
            <v>Brazil</v>
          </cell>
          <cell r="B123">
            <v>0.93</v>
          </cell>
          <cell r="C123">
            <v>7.0000000000000007E-2</v>
          </cell>
        </row>
        <row r="124">
          <cell r="A124" t="str">
            <v>Sudan</v>
          </cell>
        </row>
        <row r="125">
          <cell r="A125" t="str">
            <v>Italy</v>
          </cell>
          <cell r="B125">
            <v>0.9</v>
          </cell>
          <cell r="C125">
            <v>0.1</v>
          </cell>
        </row>
        <row r="126">
          <cell r="A126" t="str">
            <v>Libya</v>
          </cell>
        </row>
        <row r="127">
          <cell r="A127" t="str">
            <v>Uzbekistan</v>
          </cell>
        </row>
        <row r="128">
          <cell r="A128" t="str">
            <v>RÃ©union</v>
          </cell>
        </row>
        <row r="129">
          <cell r="A129" t="str">
            <v>Moldova</v>
          </cell>
        </row>
        <row r="130">
          <cell r="A130" t="str">
            <v>Martinique</v>
          </cell>
        </row>
        <row r="131">
          <cell r="A131" t="str">
            <v>Ukraine</v>
          </cell>
          <cell r="B131">
            <v>0.94</v>
          </cell>
          <cell r="C131">
            <v>0.06</v>
          </cell>
        </row>
        <row r="132">
          <cell r="A132" t="str">
            <v>Tanzania</v>
          </cell>
        </row>
        <row r="133">
          <cell r="A133" t="str">
            <v>Nigeria</v>
          </cell>
          <cell r="B133">
            <v>0.73</v>
          </cell>
          <cell r="C133">
            <v>0.27</v>
          </cell>
        </row>
        <row r="134">
          <cell r="A134" t="str">
            <v>Montenegro</v>
          </cell>
        </row>
        <row r="135">
          <cell r="A135" t="str">
            <v>Algeria</v>
          </cell>
        </row>
        <row r="136">
          <cell r="A136" t="str">
            <v>Indonesia</v>
          </cell>
          <cell r="B136">
            <v>0.79</v>
          </cell>
          <cell r="C136">
            <v>0.21</v>
          </cell>
        </row>
        <row r="137">
          <cell r="A137" t="str">
            <v>Palestine</v>
          </cell>
        </row>
        <row r="138">
          <cell r="A138" t="str">
            <v>Barbados</v>
          </cell>
        </row>
        <row r="139">
          <cell r="A139" t="str">
            <v>Nicaragua</v>
          </cell>
        </row>
        <row r="140">
          <cell r="A140" t="str">
            <v>Yemen</v>
          </cell>
        </row>
        <row r="141">
          <cell r="A141" t="str">
            <v>Kazakhstan</v>
          </cell>
        </row>
        <row r="142">
          <cell r="A142" t="str">
            <v>Bahamas</v>
          </cell>
        </row>
        <row r="143">
          <cell r="A143" t="str">
            <v>Chile</v>
          </cell>
          <cell r="B143">
            <v>0.81</v>
          </cell>
          <cell r="C143">
            <v>0.19</v>
          </cell>
        </row>
        <row r="144">
          <cell r="A144" t="str">
            <v>Cayman Islands</v>
          </cell>
        </row>
        <row r="145">
          <cell r="A145" t="str">
            <v>Thailand</v>
          </cell>
          <cell r="B145">
            <v>0.8</v>
          </cell>
          <cell r="C145">
            <v>0.2</v>
          </cell>
        </row>
        <row r="146">
          <cell r="A146" t="str">
            <v>Paraguay</v>
          </cell>
        </row>
        <row r="147">
          <cell r="A147" t="str">
            <v>Guam</v>
          </cell>
        </row>
        <row r="148">
          <cell r="A148" t="str">
            <v>Liberia</v>
          </cell>
        </row>
        <row r="149">
          <cell r="A149" t="str">
            <v>Puerto Rico</v>
          </cell>
        </row>
        <row r="150">
          <cell r="A150" t="str">
            <v>Greece</v>
          </cell>
          <cell r="B150">
            <v>0.81</v>
          </cell>
          <cell r="C150">
            <v>0.19</v>
          </cell>
        </row>
        <row r="151">
          <cell r="A151" t="str">
            <v>Jordan</v>
          </cell>
        </row>
        <row r="152">
          <cell r="A152" t="str">
            <v>Laos</v>
          </cell>
        </row>
        <row r="153">
          <cell r="A153" t="str">
            <v>Saudi Arabia</v>
          </cell>
          <cell r="B153">
            <v>0.89</v>
          </cell>
          <cell r="C153">
            <v>0.11</v>
          </cell>
        </row>
        <row r="154">
          <cell r="A154" t="str">
            <v>Iran</v>
          </cell>
          <cell r="B154">
            <v>0.81</v>
          </cell>
          <cell r="C154">
            <v>0.19</v>
          </cell>
        </row>
        <row r="155">
          <cell r="A155" t="str">
            <v>Syria</v>
          </cell>
        </row>
        <row r="156">
          <cell r="A156" t="str">
            <v>Vietnam</v>
          </cell>
          <cell r="B156">
            <v>0.92</v>
          </cell>
          <cell r="C156">
            <v>0.08</v>
          </cell>
        </row>
        <row r="157">
          <cell r="A157" t="str">
            <v>Bosnia &amp; Herzegovina</v>
          </cell>
        </row>
        <row r="158">
          <cell r="A158" t="str">
            <v>Turkmenistan</v>
          </cell>
        </row>
        <row r="159">
          <cell r="A159" t="str">
            <v>Azerbaijan</v>
          </cell>
        </row>
        <row r="160">
          <cell r="A160" t="str">
            <v>Haiti</v>
          </cell>
        </row>
        <row r="161">
          <cell r="A161" t="str">
            <v>Kuwait</v>
          </cell>
        </row>
        <row r="162">
          <cell r="A162" t="str">
            <v>Georgia</v>
          </cell>
        </row>
        <row r="163">
          <cell r="A163" t="str">
            <v>Guinea</v>
          </cell>
        </row>
        <row r="164">
          <cell r="A164" t="str">
            <v>Egypt</v>
          </cell>
          <cell r="B164">
            <v>0.81</v>
          </cell>
          <cell r="C164">
            <v>0.19</v>
          </cell>
        </row>
        <row r="165">
          <cell r="A165" t="str">
            <v>Mali</v>
          </cell>
        </row>
        <row r="166">
          <cell r="A166" t="str">
            <v>Tajikistan</v>
          </cell>
        </row>
        <row r="167">
          <cell r="A167" t="str">
            <v>Venezuela</v>
          </cell>
        </row>
        <row r="168">
          <cell r="A168" t="str">
            <v>Turkey</v>
          </cell>
          <cell r="B168">
            <v>0.85</v>
          </cell>
          <cell r="C168">
            <v>0.15</v>
          </cell>
        </row>
        <row r="169">
          <cell r="A169" t="str">
            <v>Kyrgyzstan</v>
          </cell>
        </row>
        <row r="170">
          <cell r="A170" t="str">
            <v>Guadeloupe</v>
          </cell>
        </row>
        <row r="171">
          <cell r="A171" t="str">
            <v>Iraq</v>
          </cell>
        </row>
        <row r="172">
          <cell r="A172" t="str">
            <v>Eritrea</v>
          </cell>
        </row>
        <row r="173">
          <cell r="A173" t="str">
            <v>Tonga</v>
          </cell>
        </row>
        <row r="174">
          <cell r="A174" t="str">
            <v>Cook Islands</v>
          </cell>
        </row>
        <row r="175">
          <cell r="A175" t="str">
            <v>Marshall Islands</v>
          </cell>
        </row>
        <row r="176">
          <cell r="A176" t="str">
            <v>Palau</v>
          </cell>
        </row>
        <row r="177">
          <cell r="A177" t="str">
            <v>Guinea-Bissau</v>
          </cell>
        </row>
        <row r="178">
          <cell r="A178" t="str">
            <v>St. Pierre &amp; Miquelon</v>
          </cell>
        </row>
        <row r="179">
          <cell r="A179" t="str">
            <v>Vanuatu</v>
          </cell>
        </row>
        <row r="180">
          <cell r="A180" t="str">
            <v>Anguilla</v>
          </cell>
        </row>
        <row r="181">
          <cell r="A181" t="str">
            <v>Gibraltar</v>
          </cell>
        </row>
        <row r="182">
          <cell r="A182" t="str">
            <v>Central African Republic</v>
          </cell>
        </row>
        <row r="183">
          <cell r="A183" t="str">
            <v>SÃ£o TomÃ© &amp; PrÃ­ncipe</v>
          </cell>
        </row>
        <row r="184">
          <cell r="A184" t="str">
            <v>Monaco</v>
          </cell>
        </row>
        <row r="185">
          <cell r="A185" t="str">
            <v>St. BarthÃ©lemy</v>
          </cell>
        </row>
        <row r="186">
          <cell r="A186" t="str">
            <v>Comoros</v>
          </cell>
        </row>
        <row r="187">
          <cell r="A187" t="str">
            <v>Liechtenstein</v>
          </cell>
        </row>
        <row r="188">
          <cell r="A188" t="str">
            <v>Djibouti</v>
          </cell>
        </row>
        <row r="189">
          <cell r="A189" t="str">
            <v>Chad</v>
          </cell>
        </row>
        <row r="190">
          <cell r="A190" t="str">
            <v>Gambia</v>
          </cell>
        </row>
        <row r="191">
          <cell r="A191" t="str">
            <v>Ã…land Islands</v>
          </cell>
        </row>
        <row r="192">
          <cell r="A192" t="str">
            <v>South Sudan</v>
          </cell>
        </row>
        <row r="193">
          <cell r="A193" t="str">
            <v>British Virgin Islands</v>
          </cell>
        </row>
        <row r="194">
          <cell r="A194" t="str">
            <v>French Polynesia</v>
          </cell>
        </row>
        <row r="195">
          <cell r="A195" t="str">
            <v>Samoa</v>
          </cell>
        </row>
        <row r="196">
          <cell r="A196" t="str">
            <v>Sint Maarten</v>
          </cell>
        </row>
        <row r="197">
          <cell r="A197" t="str">
            <v>Caribbean Netherlands</v>
          </cell>
        </row>
        <row r="198">
          <cell r="A198" t="str">
            <v>Seychelles</v>
          </cell>
        </row>
        <row r="199">
          <cell r="A199" t="str">
            <v>Solomon Islands</v>
          </cell>
        </row>
        <row r="200">
          <cell r="A200" t="str">
            <v>Equatorial Guinea</v>
          </cell>
        </row>
        <row r="201">
          <cell r="A201" t="str">
            <v>Niger</v>
          </cell>
        </row>
        <row r="202">
          <cell r="A202" t="str">
            <v>Guernsey</v>
          </cell>
        </row>
        <row r="203">
          <cell r="A203" t="str">
            <v>U.S. Virgin Islands</v>
          </cell>
        </row>
        <row r="204">
          <cell r="A204" t="str">
            <v>Northern Mariana Islands</v>
          </cell>
        </row>
        <row r="205">
          <cell r="A205" t="str">
            <v>Congo - Brazzaville</v>
          </cell>
        </row>
        <row r="206">
          <cell r="A206" t="str">
            <v>Andorra</v>
          </cell>
        </row>
        <row r="207">
          <cell r="A207" t="str">
            <v>Mauritania</v>
          </cell>
        </row>
        <row r="208">
          <cell r="A208" t="str">
            <v>Grenada</v>
          </cell>
        </row>
        <row r="209">
          <cell r="A209" t="str">
            <v>Turks &amp; Caicos Islands</v>
          </cell>
        </row>
        <row r="210">
          <cell r="A210" t="str">
            <v>St. Vincent &amp; Grenadines</v>
          </cell>
        </row>
        <row r="211">
          <cell r="A211" t="str">
            <v>Gabon</v>
          </cell>
        </row>
        <row r="212">
          <cell r="A212" t="str">
            <v>Greenland</v>
          </cell>
        </row>
        <row r="213">
          <cell r="A213" t="str">
            <v>New Caledonia</v>
          </cell>
        </row>
        <row r="214">
          <cell r="A214" t="str">
            <v>San Marino</v>
          </cell>
        </row>
        <row r="215">
          <cell r="A215" t="str">
            <v>Bermuda</v>
          </cell>
        </row>
        <row r="216">
          <cell r="A216" t="str">
            <v>Mayotte</v>
          </cell>
        </row>
        <row r="217">
          <cell r="A217" t="str">
            <v>Faroe Islands</v>
          </cell>
        </row>
        <row r="218">
          <cell r="A218" t="str">
            <v>Guyana</v>
          </cell>
        </row>
        <row r="219">
          <cell r="A219" t="str">
            <v>French Guiana</v>
          </cell>
        </row>
        <row r="220">
          <cell r="A220" t="str">
            <v>St. Lucia</v>
          </cell>
        </row>
        <row r="221">
          <cell r="A221" t="str">
            <v>Aruba</v>
          </cell>
        </row>
        <row r="222">
          <cell r="A222" t="str">
            <v>Timor-Leste</v>
          </cell>
        </row>
        <row r="223">
          <cell r="A223" t="str">
            <v>Burkina Faso</v>
          </cell>
        </row>
        <row r="224">
          <cell r="A224" t="str">
            <v>Belize</v>
          </cell>
        </row>
        <row r="225">
          <cell r="A225" t="str">
            <v>American Samoa</v>
          </cell>
        </row>
        <row r="226">
          <cell r="A226" t="str">
            <v>Antarctica</v>
          </cell>
        </row>
        <row r="227">
          <cell r="A227" t="str">
            <v>French Southern Territories</v>
          </cell>
        </row>
        <row r="228">
          <cell r="A228" t="str">
            <v>Antigua &amp; Barbuda</v>
          </cell>
        </row>
        <row r="229">
          <cell r="A229" t="str">
            <v>Bouvet Island</v>
          </cell>
        </row>
        <row r="230">
          <cell r="A230" t="str">
            <v>Cocos (Keeling) Islands</v>
          </cell>
        </row>
        <row r="231">
          <cell r="A231" t="str">
            <v>Christmas Island</v>
          </cell>
        </row>
        <row r="232">
          <cell r="A232" t="str">
            <v>Dominica</v>
          </cell>
        </row>
        <row r="233">
          <cell r="A233" t="str">
            <v>Western Sahara</v>
          </cell>
        </row>
        <row r="234">
          <cell r="A234" t="str">
            <v>Falkland Islands (Islas Malvinas)</v>
          </cell>
        </row>
        <row r="235">
          <cell r="A235" t="str">
            <v>Micronesia</v>
          </cell>
        </row>
        <row r="236">
          <cell r="A236" t="str">
            <v>Heard &amp; McDonald Islands</v>
          </cell>
        </row>
        <row r="237">
          <cell r="A237" t="str">
            <v>British Indian Ocean Territory</v>
          </cell>
        </row>
        <row r="238">
          <cell r="A238" t="str">
            <v>Kiribati</v>
          </cell>
        </row>
        <row r="239">
          <cell r="A239" t="str">
            <v>St. Kitts &amp; Nevis</v>
          </cell>
        </row>
        <row r="240">
          <cell r="A240" t="str">
            <v>St. Martin</v>
          </cell>
        </row>
        <row r="241">
          <cell r="A241" t="str">
            <v>Montserrat</v>
          </cell>
        </row>
        <row r="242">
          <cell r="A242" t="str">
            <v>Norfolk Island</v>
          </cell>
        </row>
        <row r="243">
          <cell r="A243" t="str">
            <v>Niue</v>
          </cell>
        </row>
        <row r="244">
          <cell r="A244" t="str">
            <v>Nauru</v>
          </cell>
        </row>
        <row r="245">
          <cell r="A245" t="str">
            <v>Pitcairn Islands</v>
          </cell>
        </row>
        <row r="246">
          <cell r="A246" t="str">
            <v>North Korea</v>
          </cell>
        </row>
        <row r="247">
          <cell r="A247" t="str">
            <v>South Georgia &amp; South Sandwich Islands</v>
          </cell>
        </row>
        <row r="248">
          <cell r="A248" t="str">
            <v>Svalbard &amp; Jan Mayen</v>
          </cell>
        </row>
        <row r="249">
          <cell r="A249" t="str">
            <v>Tokelau</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98)"/>
    </sheetNames>
    <sheetDataSet>
      <sheetData sheetId="0" refreshError="1">
        <row r="1">
          <cell r="A1" t="str">
            <v>Category: All categories</v>
          </cell>
        </row>
        <row r="3">
          <cell r="A3" t="str">
            <v>Country</v>
          </cell>
          <cell r="B3" t="str">
            <v>Transmission Control Protocol: (2018)</v>
          </cell>
          <cell r="C3" t="str">
            <v>Garbage collection: (2018)</v>
          </cell>
        </row>
        <row r="4">
          <cell r="A4" t="str">
            <v>China</v>
          </cell>
          <cell r="B4">
            <v>0.8</v>
          </cell>
          <cell r="C4">
            <v>0.2</v>
          </cell>
        </row>
        <row r="5">
          <cell r="A5" t="str">
            <v>Cuba</v>
          </cell>
        </row>
        <row r="6">
          <cell r="A6" t="str">
            <v>St. Helena</v>
          </cell>
          <cell r="B6">
            <v>0.85</v>
          </cell>
          <cell r="C6">
            <v>0.15</v>
          </cell>
        </row>
        <row r="7">
          <cell r="A7" t="str">
            <v>South Korea</v>
          </cell>
          <cell r="B7">
            <v>0.86</v>
          </cell>
          <cell r="C7">
            <v>0.14000000000000001</v>
          </cell>
        </row>
        <row r="8">
          <cell r="A8" t="str">
            <v>Botswana</v>
          </cell>
        </row>
        <row r="9">
          <cell r="A9" t="str">
            <v>Rwanda</v>
          </cell>
        </row>
        <row r="10">
          <cell r="A10" t="str">
            <v>Ethiopia</v>
          </cell>
        </row>
        <row r="11">
          <cell r="A11" t="str">
            <v>Singapore</v>
          </cell>
          <cell r="B11">
            <v>0.89</v>
          </cell>
          <cell r="C11">
            <v>0.11</v>
          </cell>
        </row>
        <row r="12">
          <cell r="A12" t="str">
            <v>Angola</v>
          </cell>
        </row>
        <row r="13">
          <cell r="A13" t="str">
            <v>Burundi</v>
          </cell>
        </row>
        <row r="14">
          <cell r="A14" t="str">
            <v>Nepal</v>
          </cell>
        </row>
        <row r="15">
          <cell r="A15" t="str">
            <v>Isle of Man</v>
          </cell>
        </row>
        <row r="16">
          <cell r="A16" t="str">
            <v>Papua New Guinea</v>
          </cell>
        </row>
        <row r="17">
          <cell r="A17" t="str">
            <v>Myanmar (Burma)</v>
          </cell>
        </row>
        <row r="18">
          <cell r="A18" t="str">
            <v>Zimbabwe</v>
          </cell>
        </row>
        <row r="19">
          <cell r="A19" t="str">
            <v>Luxembourg</v>
          </cell>
        </row>
        <row r="20">
          <cell r="A20" t="str">
            <v>Cameroon</v>
          </cell>
        </row>
        <row r="21">
          <cell r="A21" t="str">
            <v>Hong Kong</v>
          </cell>
          <cell r="B21">
            <v>0.88</v>
          </cell>
          <cell r="C21">
            <v>0.12</v>
          </cell>
        </row>
        <row r="22">
          <cell r="A22" t="str">
            <v>Togo</v>
          </cell>
        </row>
        <row r="23">
          <cell r="A23" t="str">
            <v>Israel</v>
          </cell>
          <cell r="B23">
            <v>0.89</v>
          </cell>
          <cell r="C23">
            <v>0.11</v>
          </cell>
        </row>
        <row r="24">
          <cell r="A24" t="str">
            <v>Uruguay</v>
          </cell>
          <cell r="B24">
            <v>0.87</v>
          </cell>
          <cell r="C24">
            <v>0.13</v>
          </cell>
        </row>
        <row r="25">
          <cell r="A25" t="str">
            <v>Macao</v>
          </cell>
        </row>
        <row r="26">
          <cell r="A26" t="str">
            <v>Madagascar</v>
          </cell>
        </row>
        <row r="27">
          <cell r="A27" t="str">
            <v>Mauritius</v>
          </cell>
        </row>
        <row r="28">
          <cell r="A28" t="str">
            <v>Bolivia</v>
          </cell>
        </row>
        <row r="29">
          <cell r="A29" t="str">
            <v>Taiwan</v>
          </cell>
          <cell r="B29">
            <v>0.87</v>
          </cell>
          <cell r="C29">
            <v>0.13</v>
          </cell>
        </row>
        <row r="30">
          <cell r="A30" t="str">
            <v>Eswatini</v>
          </cell>
        </row>
        <row r="31">
          <cell r="A31" t="str">
            <v>Jersey</v>
          </cell>
        </row>
        <row r="32">
          <cell r="A32" t="str">
            <v>Congo - Kinshasa</v>
          </cell>
        </row>
        <row r="33">
          <cell r="A33" t="str">
            <v>Czechia</v>
          </cell>
          <cell r="B33">
            <v>0.93</v>
          </cell>
          <cell r="C33">
            <v>7.0000000000000007E-2</v>
          </cell>
        </row>
        <row r="34">
          <cell r="A34" t="str">
            <v>Switzerland</v>
          </cell>
          <cell r="B34">
            <v>0.9</v>
          </cell>
          <cell r="C34">
            <v>0.1</v>
          </cell>
        </row>
        <row r="35">
          <cell r="A35" t="str">
            <v>Sri Lanka</v>
          </cell>
          <cell r="B35">
            <v>0.88</v>
          </cell>
          <cell r="C35">
            <v>0.12</v>
          </cell>
        </row>
        <row r="36">
          <cell r="A36" t="str">
            <v>India</v>
          </cell>
          <cell r="B36">
            <v>0.85</v>
          </cell>
          <cell r="C36">
            <v>0.15</v>
          </cell>
        </row>
        <row r="37">
          <cell r="A37" t="str">
            <v>Zambia</v>
          </cell>
        </row>
        <row r="38">
          <cell r="A38" t="str">
            <v>Ireland</v>
          </cell>
          <cell r="B38">
            <v>0.89</v>
          </cell>
          <cell r="C38">
            <v>0.11</v>
          </cell>
        </row>
        <row r="39">
          <cell r="A39" t="str">
            <v>Malawi</v>
          </cell>
        </row>
        <row r="40">
          <cell r="A40" t="str">
            <v>Bhutan</v>
          </cell>
        </row>
        <row r="41">
          <cell r="A41" t="str">
            <v>Malta</v>
          </cell>
        </row>
        <row r="42">
          <cell r="A42" t="str">
            <v>Sierra Leone</v>
          </cell>
        </row>
        <row r="43">
          <cell r="A43" t="str">
            <v>Lesotho</v>
          </cell>
        </row>
        <row r="44">
          <cell r="A44" t="str">
            <v>Pakistan</v>
          </cell>
          <cell r="B44">
            <v>0.93</v>
          </cell>
          <cell r="C44">
            <v>7.0000000000000007E-2</v>
          </cell>
        </row>
        <row r="45">
          <cell r="A45" t="str">
            <v>Ghana</v>
          </cell>
        </row>
        <row r="46">
          <cell r="A46" t="str">
            <v>Somalia</v>
          </cell>
        </row>
        <row r="47">
          <cell r="A47" t="str">
            <v>Japan</v>
          </cell>
          <cell r="B47">
            <v>0.83</v>
          </cell>
          <cell r="C47">
            <v>0.17</v>
          </cell>
        </row>
        <row r="48">
          <cell r="A48" t="str">
            <v>Afghanistan</v>
          </cell>
        </row>
        <row r="49">
          <cell r="A49" t="str">
            <v>Tunisia</v>
          </cell>
        </row>
        <row r="50">
          <cell r="A50" t="str">
            <v>Austria</v>
          </cell>
          <cell r="B50">
            <v>0.94</v>
          </cell>
          <cell r="C50">
            <v>0.06</v>
          </cell>
        </row>
        <row r="51">
          <cell r="A51" t="str">
            <v>Australia</v>
          </cell>
          <cell r="B51">
            <v>0.8</v>
          </cell>
          <cell r="C51">
            <v>0.2</v>
          </cell>
        </row>
        <row r="52">
          <cell r="A52" t="str">
            <v>Senegal</v>
          </cell>
        </row>
        <row r="53">
          <cell r="A53" t="str">
            <v>Brunei</v>
          </cell>
        </row>
        <row r="54">
          <cell r="A54" t="str">
            <v>Norway</v>
          </cell>
          <cell r="B54">
            <v>0.86</v>
          </cell>
          <cell r="C54">
            <v>0.14000000000000001</v>
          </cell>
        </row>
        <row r="55">
          <cell r="A55" t="str">
            <v>Liberia</v>
          </cell>
        </row>
        <row r="56">
          <cell r="A56" t="str">
            <v>Germany</v>
          </cell>
          <cell r="B56">
            <v>0.92</v>
          </cell>
          <cell r="C56">
            <v>0.08</v>
          </cell>
        </row>
        <row r="57">
          <cell r="A57" t="str">
            <v>Sweden</v>
          </cell>
          <cell r="B57">
            <v>0.91</v>
          </cell>
          <cell r="C57">
            <v>0.09</v>
          </cell>
        </row>
        <row r="58">
          <cell r="A58" t="str">
            <v>Namibia</v>
          </cell>
        </row>
        <row r="59">
          <cell r="A59" t="str">
            <v>United Arab Emirates</v>
          </cell>
          <cell r="B59">
            <v>0.93</v>
          </cell>
          <cell r="C59">
            <v>7.0000000000000007E-2</v>
          </cell>
        </row>
        <row r="60">
          <cell r="A60" t="str">
            <v>Uganda</v>
          </cell>
        </row>
        <row r="61">
          <cell r="A61" t="str">
            <v>Estonia</v>
          </cell>
        </row>
        <row r="62">
          <cell r="A62" t="str">
            <v>Honduras</v>
          </cell>
        </row>
        <row r="63">
          <cell r="A63" t="str">
            <v>Canada</v>
          </cell>
          <cell r="B63">
            <v>0.66</v>
          </cell>
          <cell r="C63">
            <v>0.34</v>
          </cell>
        </row>
        <row r="64">
          <cell r="A64" t="str">
            <v>Finland</v>
          </cell>
          <cell r="B64">
            <v>0.93</v>
          </cell>
          <cell r="C64">
            <v>7.0000000000000007E-2</v>
          </cell>
        </row>
        <row r="65">
          <cell r="A65" t="str">
            <v>New Zealand</v>
          </cell>
          <cell r="B65">
            <v>0.86</v>
          </cell>
          <cell r="C65">
            <v>0.14000000000000001</v>
          </cell>
        </row>
        <row r="66">
          <cell r="A66" t="str">
            <v>Fiji</v>
          </cell>
        </row>
        <row r="67">
          <cell r="A67" t="str">
            <v>Netherlands</v>
          </cell>
          <cell r="B67">
            <v>0.91</v>
          </cell>
          <cell r="C67">
            <v>0.09</v>
          </cell>
        </row>
        <row r="68">
          <cell r="A68" t="str">
            <v>Philippines</v>
          </cell>
          <cell r="B68">
            <v>0.84</v>
          </cell>
          <cell r="C68">
            <v>0.16</v>
          </cell>
        </row>
        <row r="69">
          <cell r="A69" t="str">
            <v>Cyprus</v>
          </cell>
        </row>
        <row r="70">
          <cell r="A70" t="str">
            <v>United States</v>
          </cell>
          <cell r="B70">
            <v>0.82</v>
          </cell>
          <cell r="C70">
            <v>0.18</v>
          </cell>
        </row>
        <row r="71">
          <cell r="A71" t="str">
            <v>Slovenia</v>
          </cell>
        </row>
        <row r="72">
          <cell r="A72" t="str">
            <v>Ecuador</v>
          </cell>
          <cell r="B72">
            <v>0.74</v>
          </cell>
          <cell r="C72">
            <v>0.26</v>
          </cell>
        </row>
        <row r="73">
          <cell r="A73" t="str">
            <v>Portugal</v>
          </cell>
          <cell r="B73">
            <v>0.94</v>
          </cell>
          <cell r="C73">
            <v>0.06</v>
          </cell>
        </row>
        <row r="74">
          <cell r="A74" t="str">
            <v>Jamaica</v>
          </cell>
        </row>
        <row r="75">
          <cell r="A75" t="str">
            <v>United Kingdom</v>
          </cell>
          <cell r="B75">
            <v>0.91</v>
          </cell>
          <cell r="C75">
            <v>0.09</v>
          </cell>
        </row>
        <row r="76">
          <cell r="A76" t="str">
            <v>Costa Rica</v>
          </cell>
          <cell r="B76">
            <v>0.74</v>
          </cell>
          <cell r="C76">
            <v>0.26</v>
          </cell>
        </row>
        <row r="77">
          <cell r="A77" t="str">
            <v>Russia</v>
          </cell>
          <cell r="B77">
            <v>0.91</v>
          </cell>
          <cell r="C77">
            <v>0.09</v>
          </cell>
        </row>
        <row r="78">
          <cell r="A78" t="str">
            <v>Panama</v>
          </cell>
        </row>
        <row r="79">
          <cell r="A79" t="str">
            <v>El Salvador</v>
          </cell>
        </row>
        <row r="80">
          <cell r="A80" t="str">
            <v>Kosovo</v>
          </cell>
        </row>
        <row r="81">
          <cell r="A81" t="str">
            <v>Mongolia</v>
          </cell>
        </row>
        <row r="82">
          <cell r="A82" t="str">
            <v>CuraÃ§ao</v>
          </cell>
        </row>
        <row r="83">
          <cell r="A83" t="str">
            <v>Trinidad &amp; Tobago</v>
          </cell>
        </row>
        <row r="84">
          <cell r="A84" t="str">
            <v>Oman</v>
          </cell>
        </row>
        <row r="85">
          <cell r="A85" t="str">
            <v>Iceland</v>
          </cell>
        </row>
        <row r="86">
          <cell r="A86" t="str">
            <v>Belgium</v>
          </cell>
          <cell r="B86">
            <v>0.92</v>
          </cell>
          <cell r="C86">
            <v>0.08</v>
          </cell>
        </row>
        <row r="87">
          <cell r="A87" t="str">
            <v>Albania</v>
          </cell>
        </row>
        <row r="88">
          <cell r="A88" t="str">
            <v>Mozambique</v>
          </cell>
        </row>
        <row r="89">
          <cell r="A89" t="str">
            <v>Hungary</v>
          </cell>
          <cell r="B89">
            <v>0.88</v>
          </cell>
          <cell r="C89">
            <v>0.12</v>
          </cell>
        </row>
        <row r="90">
          <cell r="A90" t="str">
            <v>Latvia</v>
          </cell>
        </row>
        <row r="91">
          <cell r="A91" t="str">
            <v>Denmark</v>
          </cell>
          <cell r="B91">
            <v>0.88</v>
          </cell>
          <cell r="C91">
            <v>0.12</v>
          </cell>
        </row>
        <row r="92">
          <cell r="A92" t="str">
            <v>South Africa</v>
          </cell>
          <cell r="B92">
            <v>0.91</v>
          </cell>
          <cell r="C92">
            <v>0.09</v>
          </cell>
        </row>
        <row r="93">
          <cell r="A93" t="str">
            <v>Benin</v>
          </cell>
        </row>
        <row r="94">
          <cell r="A94" t="str">
            <v>Bulgaria</v>
          </cell>
          <cell r="B94">
            <v>0.92</v>
          </cell>
          <cell r="C94">
            <v>0.08</v>
          </cell>
        </row>
        <row r="95">
          <cell r="A95" t="str">
            <v>Colombia</v>
          </cell>
          <cell r="B95">
            <v>0.84</v>
          </cell>
          <cell r="C95">
            <v>0.16</v>
          </cell>
        </row>
        <row r="96">
          <cell r="A96" t="str">
            <v>Slovakia</v>
          </cell>
        </row>
        <row r="97">
          <cell r="A97" t="str">
            <v>Malaysia</v>
          </cell>
          <cell r="B97">
            <v>0.9</v>
          </cell>
          <cell r="C97">
            <v>0.1</v>
          </cell>
        </row>
        <row r="98">
          <cell r="A98" t="str">
            <v>Spain</v>
          </cell>
          <cell r="B98">
            <v>0.95</v>
          </cell>
          <cell r="C98">
            <v>0.05</v>
          </cell>
        </row>
        <row r="99">
          <cell r="A99" t="str">
            <v>Lebanon</v>
          </cell>
        </row>
        <row r="100">
          <cell r="A100" t="str">
            <v>Maldives</v>
          </cell>
        </row>
        <row r="101">
          <cell r="A101" t="str">
            <v>Armenia</v>
          </cell>
        </row>
        <row r="102">
          <cell r="A102" t="str">
            <v>Cape Verde</v>
          </cell>
        </row>
        <row r="103">
          <cell r="A103" t="str">
            <v>Lithuania</v>
          </cell>
        </row>
        <row r="104">
          <cell r="A104" t="str">
            <v>Argentina</v>
          </cell>
          <cell r="B104">
            <v>0.78</v>
          </cell>
          <cell r="C104">
            <v>0.22</v>
          </cell>
        </row>
        <row r="105">
          <cell r="A105" t="str">
            <v>Romania</v>
          </cell>
          <cell r="B105">
            <v>0.92</v>
          </cell>
          <cell r="C105">
            <v>0.08</v>
          </cell>
        </row>
        <row r="106">
          <cell r="A106" t="str">
            <v>Mexico</v>
          </cell>
          <cell r="B106">
            <v>0.71</v>
          </cell>
          <cell r="C106">
            <v>0.28999999999999998</v>
          </cell>
        </row>
        <row r="107">
          <cell r="A107" t="str">
            <v>Belarus</v>
          </cell>
          <cell r="B107">
            <v>0.83</v>
          </cell>
          <cell r="C107">
            <v>0.17</v>
          </cell>
        </row>
        <row r="108">
          <cell r="A108" t="str">
            <v>Bangladesh</v>
          </cell>
          <cell r="B108">
            <v>0.92</v>
          </cell>
          <cell r="C108">
            <v>0.08</v>
          </cell>
        </row>
        <row r="109">
          <cell r="A109" t="str">
            <v>Kenya</v>
          </cell>
          <cell r="B109">
            <v>0.82</v>
          </cell>
          <cell r="C109">
            <v>0.18</v>
          </cell>
        </row>
        <row r="110">
          <cell r="A110" t="str">
            <v>Dominican Republic</v>
          </cell>
        </row>
        <row r="111">
          <cell r="A111" t="str">
            <v>Cambodia</v>
          </cell>
        </row>
        <row r="112">
          <cell r="A112" t="str">
            <v>North Macedonia</v>
          </cell>
        </row>
        <row r="113">
          <cell r="A113" t="str">
            <v>Qatar</v>
          </cell>
        </row>
        <row r="114">
          <cell r="A114" t="str">
            <v>Tanzania</v>
          </cell>
        </row>
        <row r="115">
          <cell r="A115" t="str">
            <v>Bahrain</v>
          </cell>
        </row>
        <row r="116">
          <cell r="A116" t="str">
            <v>Croatia</v>
          </cell>
        </row>
        <row r="117">
          <cell r="A117" t="str">
            <v>Sudan</v>
          </cell>
        </row>
        <row r="118">
          <cell r="A118" t="str">
            <v>France</v>
          </cell>
          <cell r="B118">
            <v>0.92</v>
          </cell>
          <cell r="C118">
            <v>0.08</v>
          </cell>
        </row>
        <row r="119">
          <cell r="A119" t="str">
            <v>Haiti</v>
          </cell>
        </row>
        <row r="120">
          <cell r="A120" t="str">
            <v>Poland</v>
          </cell>
          <cell r="B120">
            <v>0.9</v>
          </cell>
          <cell r="C120">
            <v>0.1</v>
          </cell>
        </row>
        <row r="121">
          <cell r="A121" t="str">
            <v>CÃ´te dâ€™Ivoire</v>
          </cell>
        </row>
        <row r="122">
          <cell r="A122" t="str">
            <v>Cayman Islands</v>
          </cell>
        </row>
        <row r="123">
          <cell r="A123" t="str">
            <v>Peru</v>
          </cell>
          <cell r="B123">
            <v>0.87</v>
          </cell>
          <cell r="C123">
            <v>0.13</v>
          </cell>
        </row>
        <row r="124">
          <cell r="A124" t="str">
            <v>Morocco</v>
          </cell>
        </row>
        <row r="125">
          <cell r="A125" t="str">
            <v>Brazil</v>
          </cell>
          <cell r="B125">
            <v>0.96</v>
          </cell>
          <cell r="C125">
            <v>0.04</v>
          </cell>
        </row>
        <row r="126">
          <cell r="A126" t="str">
            <v>Suriname</v>
          </cell>
        </row>
        <row r="127">
          <cell r="A127" t="str">
            <v>Guatemala</v>
          </cell>
        </row>
        <row r="128">
          <cell r="A128" t="str">
            <v>Italy</v>
          </cell>
          <cell r="B128">
            <v>0.95</v>
          </cell>
          <cell r="C128">
            <v>0.05</v>
          </cell>
        </row>
        <row r="129">
          <cell r="A129" t="str">
            <v>Ukraine</v>
          </cell>
          <cell r="B129">
            <v>0.88</v>
          </cell>
          <cell r="C129">
            <v>0.12</v>
          </cell>
        </row>
        <row r="130">
          <cell r="A130" t="str">
            <v>Serbia</v>
          </cell>
        </row>
        <row r="131">
          <cell r="A131" t="str">
            <v>Uzbekistan</v>
          </cell>
        </row>
        <row r="132">
          <cell r="A132" t="str">
            <v>Martinique</v>
          </cell>
        </row>
        <row r="133">
          <cell r="A133" t="str">
            <v>Moldova</v>
          </cell>
        </row>
        <row r="134">
          <cell r="A134" t="str">
            <v>Guam</v>
          </cell>
        </row>
        <row r="135">
          <cell r="A135" t="str">
            <v>RÃ©union</v>
          </cell>
        </row>
        <row r="136">
          <cell r="A136" t="str">
            <v>Bahamas</v>
          </cell>
        </row>
        <row r="137">
          <cell r="A137" t="str">
            <v>Nigeria</v>
          </cell>
        </row>
        <row r="138">
          <cell r="A138" t="str">
            <v>Algeria</v>
          </cell>
          <cell r="B138">
            <v>1</v>
          </cell>
        </row>
        <row r="139">
          <cell r="A139" t="str">
            <v>Palestine</v>
          </cell>
        </row>
        <row r="140">
          <cell r="A140" t="str">
            <v>Barbados</v>
          </cell>
        </row>
        <row r="141">
          <cell r="A141" t="str">
            <v>Nicaragua</v>
          </cell>
        </row>
        <row r="142">
          <cell r="A142" t="str">
            <v>Libya</v>
          </cell>
        </row>
        <row r="143">
          <cell r="A143" t="str">
            <v>Kazakhstan</v>
          </cell>
        </row>
        <row r="144">
          <cell r="A144" t="str">
            <v>Indonesia</v>
          </cell>
          <cell r="B144">
            <v>0.97</v>
          </cell>
          <cell r="C144">
            <v>0.03</v>
          </cell>
        </row>
        <row r="145">
          <cell r="A145" t="str">
            <v>Thailand</v>
          </cell>
          <cell r="B145">
            <v>0.97</v>
          </cell>
          <cell r="C145">
            <v>0.03</v>
          </cell>
        </row>
        <row r="146">
          <cell r="A146" t="str">
            <v>Puerto Rico</v>
          </cell>
        </row>
        <row r="147">
          <cell r="A147" t="str">
            <v>Yemen</v>
          </cell>
        </row>
        <row r="148">
          <cell r="A148" t="str">
            <v>Laos</v>
          </cell>
        </row>
        <row r="149">
          <cell r="A149" t="str">
            <v>Jordan</v>
          </cell>
        </row>
        <row r="150">
          <cell r="A150" t="str">
            <v>Greece</v>
          </cell>
          <cell r="B150">
            <v>0.9</v>
          </cell>
          <cell r="C150">
            <v>0.1</v>
          </cell>
        </row>
        <row r="151">
          <cell r="A151" t="str">
            <v>Chile</v>
          </cell>
          <cell r="B151">
            <v>0.68</v>
          </cell>
          <cell r="C151">
            <v>0.32</v>
          </cell>
        </row>
        <row r="152">
          <cell r="A152" t="str">
            <v>Burkina Faso</v>
          </cell>
        </row>
        <row r="153">
          <cell r="A153" t="str">
            <v>Vietnam</v>
          </cell>
          <cell r="B153">
            <v>0.85</v>
          </cell>
          <cell r="C153">
            <v>0.15</v>
          </cell>
        </row>
        <row r="154">
          <cell r="A154" t="str">
            <v>Montenegro</v>
          </cell>
        </row>
        <row r="155">
          <cell r="A155" t="str">
            <v>Bosnia &amp; Herzegovina</v>
          </cell>
        </row>
        <row r="156">
          <cell r="A156" t="str">
            <v>Paraguay</v>
          </cell>
        </row>
        <row r="157">
          <cell r="A157" t="str">
            <v>Saudi Arabia</v>
          </cell>
        </row>
        <row r="158">
          <cell r="A158" t="str">
            <v>Turkmenistan</v>
          </cell>
        </row>
        <row r="159">
          <cell r="A159" t="str">
            <v>Iran</v>
          </cell>
          <cell r="B159">
            <v>0.95</v>
          </cell>
          <cell r="C159">
            <v>0.05</v>
          </cell>
        </row>
        <row r="160">
          <cell r="A160" t="str">
            <v>Guyana</v>
          </cell>
        </row>
        <row r="161">
          <cell r="A161" t="str">
            <v>Mali</v>
          </cell>
        </row>
        <row r="162">
          <cell r="A162" t="str">
            <v>Syria</v>
          </cell>
        </row>
        <row r="163">
          <cell r="A163" t="str">
            <v>Guinea</v>
          </cell>
        </row>
        <row r="164">
          <cell r="A164" t="str">
            <v>Azerbaijan</v>
          </cell>
        </row>
        <row r="165">
          <cell r="A165" t="str">
            <v>Kuwait</v>
          </cell>
        </row>
        <row r="166">
          <cell r="A166" t="str">
            <v>Georgia</v>
          </cell>
        </row>
        <row r="167">
          <cell r="A167" t="str">
            <v>Egypt</v>
          </cell>
          <cell r="B167">
            <v>0.84</v>
          </cell>
          <cell r="C167">
            <v>0.16</v>
          </cell>
        </row>
        <row r="168">
          <cell r="A168" t="str">
            <v>Kyrgyzstan</v>
          </cell>
        </row>
        <row r="169">
          <cell r="A169" t="str">
            <v>Venezuela</v>
          </cell>
          <cell r="B169">
            <v>0.89</v>
          </cell>
          <cell r="C169">
            <v>0.11</v>
          </cell>
        </row>
        <row r="170">
          <cell r="A170" t="str">
            <v>Turkey</v>
          </cell>
          <cell r="B170">
            <v>0.77</v>
          </cell>
          <cell r="C170">
            <v>0.23</v>
          </cell>
        </row>
        <row r="171">
          <cell r="A171" t="str">
            <v>Guadeloupe</v>
          </cell>
        </row>
        <row r="172">
          <cell r="A172" t="str">
            <v>Tajikistan</v>
          </cell>
        </row>
        <row r="173">
          <cell r="A173" t="str">
            <v>Iraq</v>
          </cell>
        </row>
        <row r="174">
          <cell r="A174" t="str">
            <v>Nauru</v>
          </cell>
        </row>
        <row r="175">
          <cell r="A175" t="str">
            <v>Eritrea</v>
          </cell>
        </row>
        <row r="176">
          <cell r="A176" t="str">
            <v>Montserrat</v>
          </cell>
        </row>
        <row r="177">
          <cell r="A177" t="str">
            <v>Cook Islands</v>
          </cell>
        </row>
        <row r="178">
          <cell r="A178" t="str">
            <v>Tonga</v>
          </cell>
        </row>
        <row r="179">
          <cell r="A179" t="str">
            <v>Marshall Islands</v>
          </cell>
        </row>
        <row r="180">
          <cell r="A180" t="str">
            <v>Vanuatu</v>
          </cell>
        </row>
        <row r="181">
          <cell r="A181" t="str">
            <v>Palau</v>
          </cell>
        </row>
        <row r="182">
          <cell r="A182" t="str">
            <v>Central African Republic</v>
          </cell>
        </row>
        <row r="183">
          <cell r="A183" t="str">
            <v>Anguilla</v>
          </cell>
        </row>
        <row r="184">
          <cell r="A184" t="str">
            <v>St. BarthÃ©lemy</v>
          </cell>
        </row>
        <row r="185">
          <cell r="A185" t="str">
            <v>SÃ£o TomÃ© &amp; PrÃ­ncipe</v>
          </cell>
        </row>
        <row r="186">
          <cell r="A186" t="str">
            <v>Monaco</v>
          </cell>
        </row>
        <row r="187">
          <cell r="A187" t="str">
            <v>Gibraltar</v>
          </cell>
        </row>
        <row r="188">
          <cell r="A188" t="str">
            <v>Sint Maarten</v>
          </cell>
        </row>
        <row r="189">
          <cell r="A189" t="str">
            <v>Gambia</v>
          </cell>
        </row>
        <row r="190">
          <cell r="A190" t="str">
            <v>Equatorial Guinea</v>
          </cell>
        </row>
        <row r="191">
          <cell r="A191" t="str">
            <v>Guinea-Bissau</v>
          </cell>
        </row>
        <row r="192">
          <cell r="A192" t="str">
            <v>Turks &amp; Caicos Islands</v>
          </cell>
        </row>
        <row r="193">
          <cell r="A193" t="str">
            <v>Comoros</v>
          </cell>
        </row>
        <row r="194">
          <cell r="A194" t="str">
            <v>Liechtenstein</v>
          </cell>
        </row>
        <row r="195">
          <cell r="A195" t="str">
            <v>Seychelles</v>
          </cell>
        </row>
        <row r="196">
          <cell r="A196" t="str">
            <v>Ã…land Islands</v>
          </cell>
        </row>
        <row r="197">
          <cell r="A197" t="str">
            <v>South Sudan</v>
          </cell>
        </row>
        <row r="198">
          <cell r="A198" t="str">
            <v>Chad</v>
          </cell>
        </row>
        <row r="199">
          <cell r="A199" t="str">
            <v>Caribbean Netherlands</v>
          </cell>
        </row>
        <row r="200">
          <cell r="A200" t="str">
            <v>Solomon Islands</v>
          </cell>
        </row>
        <row r="201">
          <cell r="A201" t="str">
            <v>Congo - Brazzaville</v>
          </cell>
        </row>
        <row r="202">
          <cell r="A202" t="str">
            <v>French Polynesia</v>
          </cell>
        </row>
        <row r="203">
          <cell r="A203" t="str">
            <v>Djibouti</v>
          </cell>
        </row>
        <row r="204">
          <cell r="A204" t="str">
            <v>Mauritania</v>
          </cell>
        </row>
        <row r="205">
          <cell r="A205" t="str">
            <v>New Caledonia</v>
          </cell>
        </row>
        <row r="206">
          <cell r="A206" t="str">
            <v>Andorra</v>
          </cell>
        </row>
        <row r="207">
          <cell r="A207" t="str">
            <v>U.S. Virgin Islands</v>
          </cell>
        </row>
        <row r="208">
          <cell r="A208" t="str">
            <v>Guernsey</v>
          </cell>
        </row>
        <row r="209">
          <cell r="A209" t="str">
            <v>St. Vincent &amp; Grenadines</v>
          </cell>
        </row>
        <row r="210">
          <cell r="A210" t="str">
            <v>Niger</v>
          </cell>
        </row>
        <row r="211">
          <cell r="A211" t="str">
            <v>San Marino</v>
          </cell>
        </row>
        <row r="212">
          <cell r="A212" t="str">
            <v>St. Lucia</v>
          </cell>
        </row>
        <row r="213">
          <cell r="A213" t="str">
            <v>Gabon</v>
          </cell>
        </row>
        <row r="214">
          <cell r="A214" t="str">
            <v>Bermuda</v>
          </cell>
        </row>
        <row r="215">
          <cell r="A215" t="str">
            <v>Mayotte</v>
          </cell>
        </row>
        <row r="216">
          <cell r="A216" t="str">
            <v>Faroe Islands</v>
          </cell>
        </row>
        <row r="217">
          <cell r="A217" t="str">
            <v>Timor-Leste</v>
          </cell>
        </row>
        <row r="218">
          <cell r="A218" t="str">
            <v>Grenada</v>
          </cell>
        </row>
        <row r="219">
          <cell r="A219" t="str">
            <v>French Guiana</v>
          </cell>
        </row>
        <row r="220">
          <cell r="A220" t="str">
            <v>Belize</v>
          </cell>
        </row>
        <row r="221">
          <cell r="A221" t="str">
            <v>Aruba</v>
          </cell>
        </row>
        <row r="222">
          <cell r="A222" t="str">
            <v>American Samoa</v>
          </cell>
        </row>
        <row r="223">
          <cell r="A223" t="str">
            <v>Antarctica</v>
          </cell>
        </row>
        <row r="224">
          <cell r="A224" t="str">
            <v>French Southern Territories</v>
          </cell>
        </row>
        <row r="225">
          <cell r="A225" t="str">
            <v>Antigua &amp; Barbuda</v>
          </cell>
        </row>
        <row r="226">
          <cell r="A226" t="str">
            <v>Bouvet Island</v>
          </cell>
        </row>
        <row r="227">
          <cell r="A227" t="str">
            <v>Cocos (Keeling) Islands</v>
          </cell>
        </row>
        <row r="228">
          <cell r="A228" t="str">
            <v>Christmas Island</v>
          </cell>
        </row>
        <row r="229">
          <cell r="A229" t="str">
            <v>Dominica</v>
          </cell>
        </row>
        <row r="230">
          <cell r="A230" t="str">
            <v>Western Sahara</v>
          </cell>
        </row>
        <row r="231">
          <cell r="A231" t="str">
            <v>Falkland Islands (Islas Malvinas)</v>
          </cell>
        </row>
        <row r="232">
          <cell r="A232" t="str">
            <v>Micronesia</v>
          </cell>
        </row>
        <row r="233">
          <cell r="A233" t="str">
            <v>Greenland</v>
          </cell>
        </row>
        <row r="234">
          <cell r="A234" t="str">
            <v>Heard &amp; McDonald Islands</v>
          </cell>
        </row>
        <row r="235">
          <cell r="A235" t="str">
            <v>British Indian Ocean Territory</v>
          </cell>
        </row>
        <row r="236">
          <cell r="A236" t="str">
            <v>Kiribati</v>
          </cell>
        </row>
        <row r="237">
          <cell r="A237" t="str">
            <v>St. Kitts &amp; Nevis</v>
          </cell>
        </row>
        <row r="238">
          <cell r="A238" t="str">
            <v>St. Martin</v>
          </cell>
        </row>
        <row r="239">
          <cell r="A239" t="str">
            <v>Northern Mariana Islands</v>
          </cell>
        </row>
        <row r="240">
          <cell r="A240" t="str">
            <v>Norfolk Island</v>
          </cell>
        </row>
        <row r="241">
          <cell r="A241" t="str">
            <v>Niue</v>
          </cell>
        </row>
        <row r="242">
          <cell r="A242" t="str">
            <v>Pitcairn Islands</v>
          </cell>
        </row>
        <row r="243">
          <cell r="A243" t="str">
            <v>North Korea</v>
          </cell>
        </row>
        <row r="244">
          <cell r="A244" t="str">
            <v>South Georgia &amp; South Sandwich Islands</v>
          </cell>
        </row>
        <row r="245">
          <cell r="A245" t="str">
            <v>Svalbard &amp; Jan Mayen</v>
          </cell>
        </row>
        <row r="246">
          <cell r="A246" t="str">
            <v>St. Pierre &amp; Miquelon</v>
          </cell>
        </row>
        <row r="247">
          <cell r="A247" t="str">
            <v>Tokelau</v>
          </cell>
        </row>
        <row r="248">
          <cell r="A248" t="str">
            <v>Tuvalu</v>
          </cell>
        </row>
        <row r="249">
          <cell r="A249" t="str">
            <v>U.S. Outlying Islands</v>
          </cell>
        </row>
        <row r="250">
          <cell r="A250" t="str">
            <v>Vatican City</v>
          </cell>
        </row>
        <row r="251">
          <cell r="A251" t="str">
            <v>British Virgin Islands</v>
          </cell>
        </row>
        <row r="252">
          <cell r="A252" t="str">
            <v>Wallis &amp; Futuna</v>
          </cell>
        </row>
        <row r="253">
          <cell r="A253" t="str">
            <v>Samoa</v>
          </cell>
        </row>
      </sheetData>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00)"/>
    </sheetNames>
    <sheetDataSet>
      <sheetData sheetId="0" refreshError="1">
        <row r="1">
          <cell r="A1" t="str">
            <v>Category: All categories</v>
          </cell>
        </row>
        <row r="3">
          <cell r="A3" t="str">
            <v>Country</v>
          </cell>
          <cell r="B3" t="str">
            <v>Artificial neural network: (2018)</v>
          </cell>
          <cell r="C3" t="str">
            <v>Null pointer: (2018)</v>
          </cell>
        </row>
        <row r="4">
          <cell r="A4" t="str">
            <v>China</v>
          </cell>
          <cell r="B4">
            <v>0.96</v>
          </cell>
          <cell r="C4">
            <v>0.04</v>
          </cell>
        </row>
        <row r="5">
          <cell r="A5" t="str">
            <v>South Korea</v>
          </cell>
          <cell r="B5">
            <v>0.94</v>
          </cell>
          <cell r="C5">
            <v>0.06</v>
          </cell>
        </row>
        <row r="6">
          <cell r="A6" t="str">
            <v>Singapore</v>
          </cell>
          <cell r="B6">
            <v>0.82</v>
          </cell>
          <cell r="C6">
            <v>0.18</v>
          </cell>
        </row>
        <row r="7">
          <cell r="A7" t="str">
            <v>Cuba</v>
          </cell>
        </row>
        <row r="8">
          <cell r="A8" t="str">
            <v>St. Helena</v>
          </cell>
          <cell r="B8">
            <v>0.64</v>
          </cell>
          <cell r="C8">
            <v>0.36</v>
          </cell>
        </row>
        <row r="9">
          <cell r="A9" t="str">
            <v>Ethiopia</v>
          </cell>
        </row>
        <row r="10">
          <cell r="A10" t="str">
            <v>Hong Kong</v>
          </cell>
          <cell r="B10">
            <v>0.89</v>
          </cell>
          <cell r="C10">
            <v>0.11</v>
          </cell>
        </row>
        <row r="11">
          <cell r="A11" t="str">
            <v>Taiwan</v>
          </cell>
          <cell r="B11">
            <v>0.96</v>
          </cell>
          <cell r="C11">
            <v>0.04</v>
          </cell>
        </row>
        <row r="12">
          <cell r="A12" t="str">
            <v>Zimbabwe</v>
          </cell>
        </row>
        <row r="13">
          <cell r="A13" t="str">
            <v>Nepal</v>
          </cell>
        </row>
        <row r="14">
          <cell r="A14" t="str">
            <v>Botswana</v>
          </cell>
        </row>
        <row r="15">
          <cell r="A15" t="str">
            <v>Israel</v>
          </cell>
          <cell r="B15">
            <v>0.8</v>
          </cell>
          <cell r="C15">
            <v>0.2</v>
          </cell>
        </row>
        <row r="16">
          <cell r="A16" t="str">
            <v>Pakistan</v>
          </cell>
          <cell r="B16">
            <v>0.85</v>
          </cell>
          <cell r="C16">
            <v>0.15</v>
          </cell>
        </row>
        <row r="17">
          <cell r="A17" t="str">
            <v>Iceland</v>
          </cell>
        </row>
        <row r="18">
          <cell r="A18" t="str">
            <v>Myanmar (Burma)</v>
          </cell>
        </row>
        <row r="19">
          <cell r="A19" t="str">
            <v>Fiji</v>
          </cell>
        </row>
        <row r="20">
          <cell r="A20" t="str">
            <v>Russia</v>
          </cell>
          <cell r="B20">
            <v>0.96</v>
          </cell>
          <cell r="C20">
            <v>0.04</v>
          </cell>
        </row>
        <row r="21">
          <cell r="A21" t="str">
            <v>Croatia</v>
          </cell>
          <cell r="B21">
            <v>0.89</v>
          </cell>
          <cell r="C21">
            <v>0.11</v>
          </cell>
        </row>
        <row r="22">
          <cell r="A22" t="str">
            <v>India</v>
          </cell>
          <cell r="B22">
            <v>0.76</v>
          </cell>
          <cell r="C22">
            <v>0.24</v>
          </cell>
        </row>
        <row r="23">
          <cell r="A23" t="str">
            <v>Sri Lanka</v>
          </cell>
          <cell r="B23">
            <v>0.76</v>
          </cell>
          <cell r="C23">
            <v>0.24</v>
          </cell>
        </row>
        <row r="24">
          <cell r="A24" t="str">
            <v>Bangladesh</v>
          </cell>
          <cell r="B24">
            <v>0.9</v>
          </cell>
          <cell r="C24">
            <v>0.1</v>
          </cell>
        </row>
        <row r="25">
          <cell r="A25" t="str">
            <v>Cambodia</v>
          </cell>
        </row>
        <row r="26">
          <cell r="A26" t="str">
            <v>Mongolia</v>
          </cell>
        </row>
        <row r="27">
          <cell r="A27" t="str">
            <v>Macao</v>
          </cell>
        </row>
        <row r="28">
          <cell r="A28" t="str">
            <v>Canada</v>
          </cell>
          <cell r="B28">
            <v>0.77</v>
          </cell>
          <cell r="C28">
            <v>0.23</v>
          </cell>
        </row>
        <row r="29">
          <cell r="A29" t="str">
            <v>Rwanda</v>
          </cell>
        </row>
        <row r="30">
          <cell r="A30" t="str">
            <v>Tunisia</v>
          </cell>
        </row>
        <row r="31">
          <cell r="A31" t="str">
            <v>Switzerland</v>
          </cell>
          <cell r="B31">
            <v>0.84</v>
          </cell>
          <cell r="C31">
            <v>0.16</v>
          </cell>
        </row>
        <row r="32">
          <cell r="A32" t="str">
            <v>United States</v>
          </cell>
          <cell r="B32">
            <v>0.76</v>
          </cell>
          <cell r="C32">
            <v>0.24</v>
          </cell>
        </row>
        <row r="33">
          <cell r="A33" t="str">
            <v>Belarus</v>
          </cell>
          <cell r="B33">
            <v>0.91</v>
          </cell>
          <cell r="C33">
            <v>0.09</v>
          </cell>
        </row>
        <row r="34">
          <cell r="A34" t="str">
            <v>Nigeria</v>
          </cell>
        </row>
        <row r="35">
          <cell r="A35" t="str">
            <v>Iran</v>
          </cell>
          <cell r="B35">
            <v>0.94</v>
          </cell>
          <cell r="C35">
            <v>0.06</v>
          </cell>
        </row>
        <row r="36">
          <cell r="A36" t="str">
            <v>Czechia</v>
          </cell>
          <cell r="B36">
            <v>0.87</v>
          </cell>
          <cell r="C36">
            <v>0.13</v>
          </cell>
        </row>
        <row r="37">
          <cell r="A37" t="str">
            <v>Cyprus</v>
          </cell>
        </row>
        <row r="38">
          <cell r="A38" t="str">
            <v>Kenya</v>
          </cell>
          <cell r="B38">
            <v>0.88</v>
          </cell>
          <cell r="C38">
            <v>0.12</v>
          </cell>
        </row>
        <row r="39">
          <cell r="A39" t="str">
            <v>Mauritius</v>
          </cell>
        </row>
        <row r="40">
          <cell r="A40" t="str">
            <v>Madagascar</v>
          </cell>
        </row>
        <row r="41">
          <cell r="A41" t="str">
            <v>Ireland</v>
          </cell>
          <cell r="B41">
            <v>0.71</v>
          </cell>
          <cell r="C41">
            <v>0.28999999999999998</v>
          </cell>
        </row>
        <row r="42">
          <cell r="A42" t="str">
            <v>Luxembourg</v>
          </cell>
        </row>
        <row r="43">
          <cell r="A43" t="str">
            <v>Cameroon</v>
          </cell>
        </row>
        <row r="44">
          <cell r="A44" t="str">
            <v>Malta</v>
          </cell>
        </row>
        <row r="45">
          <cell r="A45" t="str">
            <v>Australia</v>
          </cell>
          <cell r="B45">
            <v>0.76</v>
          </cell>
          <cell r="C45">
            <v>0.24</v>
          </cell>
        </row>
        <row r="46">
          <cell r="A46" t="str">
            <v>Lebanon</v>
          </cell>
        </row>
        <row r="47">
          <cell r="A47" t="str">
            <v>New Zealand</v>
          </cell>
          <cell r="B47">
            <v>0.72</v>
          </cell>
          <cell r="C47">
            <v>0.28000000000000003</v>
          </cell>
        </row>
        <row r="48">
          <cell r="A48" t="str">
            <v>Finland</v>
          </cell>
          <cell r="B48">
            <v>0.82</v>
          </cell>
          <cell r="C48">
            <v>0.18</v>
          </cell>
        </row>
        <row r="49">
          <cell r="A49" t="str">
            <v>Norway</v>
          </cell>
          <cell r="B49">
            <v>0.84</v>
          </cell>
          <cell r="C49">
            <v>0.16</v>
          </cell>
        </row>
        <row r="50">
          <cell r="A50" t="str">
            <v>Germany</v>
          </cell>
          <cell r="B50">
            <v>0.85</v>
          </cell>
          <cell r="C50">
            <v>0.15</v>
          </cell>
        </row>
        <row r="51">
          <cell r="A51" t="str">
            <v>Malaysia</v>
          </cell>
          <cell r="B51">
            <v>0.84</v>
          </cell>
          <cell r="C51">
            <v>0.16</v>
          </cell>
        </row>
        <row r="52">
          <cell r="A52" t="str">
            <v>Philippines</v>
          </cell>
          <cell r="B52">
            <v>0.79</v>
          </cell>
          <cell r="C52">
            <v>0.21</v>
          </cell>
        </row>
        <row r="53">
          <cell r="A53" t="str">
            <v>United Kingdom</v>
          </cell>
          <cell r="B53">
            <v>0.77</v>
          </cell>
          <cell r="C53">
            <v>0.23</v>
          </cell>
        </row>
        <row r="54">
          <cell r="A54" t="str">
            <v>Japan</v>
          </cell>
          <cell r="B54">
            <v>0.93</v>
          </cell>
          <cell r="C54">
            <v>7.0000000000000007E-2</v>
          </cell>
        </row>
        <row r="55">
          <cell r="A55" t="str">
            <v>Sweden</v>
          </cell>
          <cell r="B55">
            <v>0.75</v>
          </cell>
          <cell r="C55">
            <v>0.25</v>
          </cell>
        </row>
        <row r="56">
          <cell r="A56" t="str">
            <v>Denmark</v>
          </cell>
          <cell r="B56">
            <v>0.86</v>
          </cell>
          <cell r="C56">
            <v>0.14000000000000001</v>
          </cell>
        </row>
        <row r="57">
          <cell r="A57" t="str">
            <v>South Africa</v>
          </cell>
          <cell r="B57">
            <v>0.82</v>
          </cell>
          <cell r="C57">
            <v>0.18</v>
          </cell>
        </row>
        <row r="58">
          <cell r="A58" t="str">
            <v>Netherlands</v>
          </cell>
          <cell r="B58">
            <v>0.81</v>
          </cell>
          <cell r="C58">
            <v>0.19</v>
          </cell>
        </row>
        <row r="59">
          <cell r="A59" t="str">
            <v>Latvia</v>
          </cell>
        </row>
        <row r="60">
          <cell r="A60" t="str">
            <v>Algeria</v>
          </cell>
          <cell r="B60">
            <v>1</v>
          </cell>
        </row>
        <row r="61">
          <cell r="A61" t="str">
            <v>Sudan</v>
          </cell>
        </row>
        <row r="62">
          <cell r="A62" t="str">
            <v>Ghana</v>
          </cell>
        </row>
        <row r="63">
          <cell r="A63" t="str">
            <v>Ukraine</v>
          </cell>
          <cell r="B63">
            <v>0.9</v>
          </cell>
          <cell r="C63">
            <v>0.1</v>
          </cell>
        </row>
        <row r="64">
          <cell r="A64" t="str">
            <v>Armenia</v>
          </cell>
        </row>
        <row r="65">
          <cell r="A65" t="str">
            <v>Estonia</v>
          </cell>
        </row>
        <row r="66">
          <cell r="A66" t="str">
            <v>Lithuania</v>
          </cell>
        </row>
        <row r="67">
          <cell r="A67" t="str">
            <v>Laos</v>
          </cell>
        </row>
        <row r="68">
          <cell r="A68" t="str">
            <v>Indonesia</v>
          </cell>
          <cell r="B68">
            <v>0.95</v>
          </cell>
          <cell r="C68">
            <v>0.05</v>
          </cell>
        </row>
        <row r="69">
          <cell r="A69" t="str">
            <v>Greece</v>
          </cell>
          <cell r="B69">
            <v>0.91</v>
          </cell>
          <cell r="C69">
            <v>0.09</v>
          </cell>
        </row>
        <row r="70">
          <cell r="A70" t="str">
            <v>Kazakhstan</v>
          </cell>
          <cell r="B70">
            <v>1</v>
          </cell>
        </row>
        <row r="71">
          <cell r="A71" t="str">
            <v>Austria</v>
          </cell>
          <cell r="B71">
            <v>0.82</v>
          </cell>
          <cell r="C71">
            <v>0.18</v>
          </cell>
        </row>
        <row r="72">
          <cell r="A72" t="str">
            <v>Trinidad &amp; Tobago</v>
          </cell>
        </row>
        <row r="73">
          <cell r="A73" t="str">
            <v>Syria</v>
          </cell>
        </row>
        <row r="74">
          <cell r="A74" t="str">
            <v>United Arab Emirates</v>
          </cell>
          <cell r="B74">
            <v>0.83</v>
          </cell>
          <cell r="C74">
            <v>0.17</v>
          </cell>
        </row>
        <row r="75">
          <cell r="A75" t="str">
            <v>Portugal</v>
          </cell>
          <cell r="B75">
            <v>0.8</v>
          </cell>
          <cell r="C75">
            <v>0.2</v>
          </cell>
        </row>
        <row r="76">
          <cell r="A76" t="str">
            <v>Tanzania</v>
          </cell>
        </row>
        <row r="77">
          <cell r="A77" t="str">
            <v>Iraq</v>
          </cell>
          <cell r="B77">
            <v>1</v>
          </cell>
        </row>
        <row r="78">
          <cell r="A78" t="str">
            <v>Morocco</v>
          </cell>
        </row>
        <row r="79">
          <cell r="A79" t="str">
            <v>Uganda</v>
          </cell>
        </row>
        <row r="80">
          <cell r="A80" t="str">
            <v>Jamaica</v>
          </cell>
        </row>
        <row r="81">
          <cell r="A81" t="str">
            <v>Belgium</v>
          </cell>
          <cell r="B81">
            <v>0.81</v>
          </cell>
          <cell r="C81">
            <v>0.19</v>
          </cell>
        </row>
        <row r="82">
          <cell r="A82" t="str">
            <v>North Macedonia</v>
          </cell>
        </row>
        <row r="83">
          <cell r="A83" t="str">
            <v>Brunei</v>
          </cell>
        </row>
        <row r="84">
          <cell r="A84" t="str">
            <v>Egypt</v>
          </cell>
          <cell r="B84">
            <v>0.88</v>
          </cell>
          <cell r="C84">
            <v>0.12</v>
          </cell>
        </row>
        <row r="85">
          <cell r="A85" t="str">
            <v>Libya</v>
          </cell>
        </row>
        <row r="86">
          <cell r="A86" t="str">
            <v>Poland</v>
          </cell>
          <cell r="B86">
            <v>0.86</v>
          </cell>
          <cell r="C86">
            <v>0.14000000000000001</v>
          </cell>
        </row>
        <row r="87">
          <cell r="A87" t="str">
            <v>Peru</v>
          </cell>
        </row>
        <row r="88">
          <cell r="A88" t="str">
            <v>Slovenia</v>
          </cell>
        </row>
        <row r="89">
          <cell r="A89" t="str">
            <v>Oman</v>
          </cell>
        </row>
        <row r="90">
          <cell r="A90" t="str">
            <v>Albania</v>
          </cell>
        </row>
        <row r="91">
          <cell r="A91" t="str">
            <v>Bulgaria</v>
          </cell>
          <cell r="B91">
            <v>0.8</v>
          </cell>
          <cell r="C91">
            <v>0.2</v>
          </cell>
        </row>
        <row r="92">
          <cell r="A92" t="str">
            <v>Moldova</v>
          </cell>
        </row>
        <row r="93">
          <cell r="A93" t="str">
            <v>Bhutan</v>
          </cell>
        </row>
        <row r="94">
          <cell r="A94" t="str">
            <v>Afghanistan</v>
          </cell>
        </row>
        <row r="95">
          <cell r="A95" t="str">
            <v>Bolivia</v>
          </cell>
        </row>
        <row r="96">
          <cell r="A96" t="str">
            <v>Serbia</v>
          </cell>
          <cell r="B96">
            <v>0.72</v>
          </cell>
          <cell r="C96">
            <v>0.28000000000000003</v>
          </cell>
        </row>
        <row r="97">
          <cell r="A97" t="str">
            <v>Slovakia</v>
          </cell>
        </row>
        <row r="98">
          <cell r="A98" t="str">
            <v>Colombia</v>
          </cell>
          <cell r="B98">
            <v>0.93</v>
          </cell>
          <cell r="C98">
            <v>7.0000000000000007E-2</v>
          </cell>
        </row>
        <row r="99">
          <cell r="A99" t="str">
            <v>France</v>
          </cell>
          <cell r="B99">
            <v>0.86</v>
          </cell>
          <cell r="C99">
            <v>0.14000000000000001</v>
          </cell>
        </row>
        <row r="100">
          <cell r="A100" t="str">
            <v>Jordan</v>
          </cell>
        </row>
        <row r="101">
          <cell r="A101" t="str">
            <v>Bahrain</v>
          </cell>
        </row>
        <row r="102">
          <cell r="A102" t="str">
            <v>Hungary</v>
          </cell>
          <cell r="B102">
            <v>0.85</v>
          </cell>
          <cell r="C102">
            <v>0.15</v>
          </cell>
        </row>
        <row r="103">
          <cell r="A103" t="str">
            <v>Spain</v>
          </cell>
          <cell r="B103">
            <v>0.88</v>
          </cell>
          <cell r="C103">
            <v>0.12</v>
          </cell>
        </row>
        <row r="104">
          <cell r="A104" t="str">
            <v>Romania</v>
          </cell>
          <cell r="B104">
            <v>0.7</v>
          </cell>
          <cell r="C104">
            <v>0.3</v>
          </cell>
        </row>
        <row r="105">
          <cell r="A105" t="str">
            <v>Italy</v>
          </cell>
          <cell r="B105">
            <v>0.91</v>
          </cell>
          <cell r="C105">
            <v>0.09</v>
          </cell>
        </row>
        <row r="106">
          <cell r="A106" t="str">
            <v>Qatar</v>
          </cell>
        </row>
        <row r="107">
          <cell r="A107" t="str">
            <v>Chile</v>
          </cell>
        </row>
        <row r="108">
          <cell r="A108" t="str">
            <v>Costa Rica</v>
          </cell>
        </row>
        <row r="109">
          <cell r="A109" t="str">
            <v>Ecuador</v>
          </cell>
          <cell r="B109">
            <v>1</v>
          </cell>
        </row>
        <row r="110">
          <cell r="A110" t="str">
            <v>Georgia</v>
          </cell>
        </row>
        <row r="111">
          <cell r="A111" t="str">
            <v>Mexico</v>
          </cell>
          <cell r="B111">
            <v>0.92</v>
          </cell>
          <cell r="C111">
            <v>0.08</v>
          </cell>
        </row>
        <row r="112">
          <cell r="A112" t="str">
            <v>Uzbekistan</v>
          </cell>
        </row>
        <row r="113">
          <cell r="A113" t="str">
            <v>Thailand</v>
          </cell>
          <cell r="B113">
            <v>0.91</v>
          </cell>
          <cell r="C113">
            <v>0.09</v>
          </cell>
        </row>
        <row r="114">
          <cell r="A114" t="str">
            <v>Bosnia &amp; Herzegovina</v>
          </cell>
        </row>
        <row r="115">
          <cell r="A115" t="str">
            <v>Turkey</v>
          </cell>
          <cell r="B115">
            <v>0.9</v>
          </cell>
          <cell r="C115">
            <v>0.1</v>
          </cell>
        </row>
        <row r="116">
          <cell r="A116" t="str">
            <v>Somalia</v>
          </cell>
        </row>
        <row r="117">
          <cell r="A117" t="str">
            <v>Kyrgyzstan</v>
          </cell>
        </row>
        <row r="118">
          <cell r="A118" t="str">
            <v>Kuwait</v>
          </cell>
        </row>
        <row r="119">
          <cell r="A119" t="str">
            <v>Yemen</v>
          </cell>
        </row>
        <row r="120">
          <cell r="A120" t="str">
            <v>Saudi Arabia</v>
          </cell>
          <cell r="B120">
            <v>0.87</v>
          </cell>
          <cell r="C120">
            <v>0.13</v>
          </cell>
        </row>
        <row r="121">
          <cell r="A121" t="str">
            <v>Palestine</v>
          </cell>
        </row>
        <row r="122">
          <cell r="A122" t="str">
            <v>Honduras</v>
          </cell>
        </row>
        <row r="123">
          <cell r="A123" t="str">
            <v>Vietnam</v>
          </cell>
          <cell r="B123">
            <v>0.65</v>
          </cell>
          <cell r="C123">
            <v>0.35</v>
          </cell>
        </row>
        <row r="124">
          <cell r="A124" t="str">
            <v>Azerbaijan</v>
          </cell>
        </row>
        <row r="125">
          <cell r="A125" t="str">
            <v>Brazil</v>
          </cell>
          <cell r="B125">
            <v>0.9</v>
          </cell>
          <cell r="C125">
            <v>0.1</v>
          </cell>
        </row>
        <row r="126">
          <cell r="A126" t="str">
            <v>El Salvador</v>
          </cell>
        </row>
        <row r="127">
          <cell r="A127" t="str">
            <v>Uruguay</v>
          </cell>
        </row>
        <row r="128">
          <cell r="A128" t="str">
            <v>Panama</v>
          </cell>
        </row>
        <row r="129">
          <cell r="A129" t="str">
            <v>Puerto Rico</v>
          </cell>
        </row>
        <row r="130">
          <cell r="A130" t="str">
            <v>Argentina</v>
          </cell>
          <cell r="B130">
            <v>0.84</v>
          </cell>
          <cell r="C130">
            <v>0.16</v>
          </cell>
        </row>
        <row r="131">
          <cell r="A131" t="str">
            <v>Paraguay</v>
          </cell>
        </row>
        <row r="132">
          <cell r="A132" t="str">
            <v>Dominican Republic</v>
          </cell>
        </row>
        <row r="133">
          <cell r="A133" t="str">
            <v>Guatemala</v>
          </cell>
        </row>
        <row r="134">
          <cell r="A134" t="str">
            <v>Venezuela</v>
          </cell>
        </row>
        <row r="135">
          <cell r="A135" t="str">
            <v>North Korea</v>
          </cell>
        </row>
        <row r="136">
          <cell r="A136" t="str">
            <v>Eritrea</v>
          </cell>
        </row>
        <row r="137">
          <cell r="A137" t="str">
            <v>Vanuatu</v>
          </cell>
        </row>
        <row r="138">
          <cell r="A138" t="str">
            <v>U.S. Virgin Islands</v>
          </cell>
        </row>
        <row r="139">
          <cell r="A139" t="str">
            <v>Dominica</v>
          </cell>
        </row>
        <row r="140">
          <cell r="A140" t="str">
            <v>Liberia</v>
          </cell>
        </row>
        <row r="141">
          <cell r="A141" t="str">
            <v>Caribbean Netherlands</v>
          </cell>
        </row>
        <row r="142">
          <cell r="A142" t="str">
            <v>Gambia</v>
          </cell>
        </row>
        <row r="143">
          <cell r="A143" t="str">
            <v>Bermuda</v>
          </cell>
        </row>
        <row r="144">
          <cell r="A144" t="str">
            <v>Sint Maarten</v>
          </cell>
        </row>
        <row r="145">
          <cell r="A145" t="str">
            <v>Gibraltar</v>
          </cell>
        </row>
        <row r="146">
          <cell r="A146" t="str">
            <v>Timor-Leste</v>
          </cell>
        </row>
        <row r="147">
          <cell r="A147" t="str">
            <v>Turks &amp; Caicos Islands</v>
          </cell>
        </row>
        <row r="148">
          <cell r="A148" t="str">
            <v>Guyana</v>
          </cell>
        </row>
        <row r="149">
          <cell r="A149" t="str">
            <v>Belize</v>
          </cell>
        </row>
        <row r="150">
          <cell r="A150" t="str">
            <v>Greenland</v>
          </cell>
        </row>
        <row r="151">
          <cell r="A151" t="str">
            <v>Eswatini</v>
          </cell>
        </row>
        <row r="152">
          <cell r="A152" t="str">
            <v>Aruba</v>
          </cell>
        </row>
        <row r="153">
          <cell r="A153" t="str">
            <v>Antigua &amp; Barbuda</v>
          </cell>
        </row>
        <row r="154">
          <cell r="A154" t="str">
            <v>Papua New Guinea</v>
          </cell>
        </row>
        <row r="155">
          <cell r="A155" t="str">
            <v>Togo</v>
          </cell>
        </row>
        <row r="156">
          <cell r="A156" t="str">
            <v>Djibouti</v>
          </cell>
        </row>
        <row r="157">
          <cell r="A157" t="str">
            <v>Grenada</v>
          </cell>
        </row>
        <row r="158">
          <cell r="A158" t="str">
            <v>Benin</v>
          </cell>
        </row>
        <row r="159">
          <cell r="A159" t="str">
            <v>Seychelles</v>
          </cell>
        </row>
        <row r="160">
          <cell r="A160" t="str">
            <v>Mayotte</v>
          </cell>
        </row>
        <row r="161">
          <cell r="A161" t="str">
            <v>Namibia</v>
          </cell>
        </row>
        <row r="162">
          <cell r="A162" t="str">
            <v>Isle of Man</v>
          </cell>
        </row>
        <row r="163">
          <cell r="A163" t="str">
            <v>Faroe Islands</v>
          </cell>
        </row>
        <row r="164">
          <cell r="A164" t="str">
            <v>Liechtenstein</v>
          </cell>
        </row>
        <row r="165">
          <cell r="A165" t="str">
            <v>St. Vincent &amp; Grenadines</v>
          </cell>
        </row>
        <row r="166">
          <cell r="A166" t="str">
            <v>Maldives</v>
          </cell>
        </row>
        <row r="167">
          <cell r="A167" t="str">
            <v>Jersey</v>
          </cell>
        </row>
        <row r="168">
          <cell r="A168" t="str">
            <v>Bahamas</v>
          </cell>
        </row>
        <row r="169">
          <cell r="A169" t="str">
            <v>Monaco</v>
          </cell>
        </row>
        <row r="170">
          <cell r="A170" t="str">
            <v>Kosovo</v>
          </cell>
        </row>
        <row r="171">
          <cell r="A171" t="str">
            <v>Barbados</v>
          </cell>
        </row>
        <row r="172">
          <cell r="A172" t="str">
            <v>Zambia</v>
          </cell>
        </row>
        <row r="173">
          <cell r="A173" t="str">
            <v>Lesotho</v>
          </cell>
        </row>
        <row r="174">
          <cell r="A174" t="str">
            <v>Cape Verde</v>
          </cell>
        </row>
        <row r="175">
          <cell r="A175" t="str">
            <v>Angola</v>
          </cell>
        </row>
        <row r="176">
          <cell r="A176" t="str">
            <v>South Sudan</v>
          </cell>
        </row>
        <row r="177">
          <cell r="A177" t="str">
            <v>Burundi</v>
          </cell>
        </row>
        <row r="178">
          <cell r="A178" t="str">
            <v>St. Lucia</v>
          </cell>
        </row>
        <row r="179">
          <cell r="A179" t="str">
            <v>Haiti</v>
          </cell>
        </row>
        <row r="180">
          <cell r="A180" t="str">
            <v>CuraÃ§ao</v>
          </cell>
        </row>
        <row r="181">
          <cell r="A181" t="str">
            <v>Guernsey</v>
          </cell>
        </row>
        <row r="182">
          <cell r="A182" t="str">
            <v>Nicaragua</v>
          </cell>
        </row>
        <row r="183">
          <cell r="A183" t="str">
            <v>Mauritania</v>
          </cell>
        </row>
        <row r="184">
          <cell r="A184" t="str">
            <v>Congo - Kinshasa</v>
          </cell>
        </row>
        <row r="185">
          <cell r="A185" t="str">
            <v>Malawi</v>
          </cell>
        </row>
        <row r="186">
          <cell r="A186" t="str">
            <v>Mozambique</v>
          </cell>
        </row>
        <row r="187">
          <cell r="A187" t="str">
            <v>Senegal</v>
          </cell>
        </row>
        <row r="188">
          <cell r="A188" t="str">
            <v>Gabon</v>
          </cell>
        </row>
        <row r="189">
          <cell r="A189" t="str">
            <v>French Guiana</v>
          </cell>
        </row>
        <row r="190">
          <cell r="A190" t="str">
            <v>French Polynesia</v>
          </cell>
        </row>
        <row r="191">
          <cell r="A191" t="str">
            <v>Suriname</v>
          </cell>
        </row>
        <row r="192">
          <cell r="A192" t="str">
            <v>Turkmenistan</v>
          </cell>
        </row>
        <row r="193">
          <cell r="A193" t="str">
            <v>New Caledonia</v>
          </cell>
        </row>
        <row r="194">
          <cell r="A194" t="str">
            <v>Mali</v>
          </cell>
        </row>
        <row r="195">
          <cell r="A195" t="str">
            <v>RÃ©union</v>
          </cell>
        </row>
        <row r="196">
          <cell r="A196" t="str">
            <v>Tajikistan</v>
          </cell>
        </row>
        <row r="197">
          <cell r="A197" t="str">
            <v>Montenegro</v>
          </cell>
        </row>
        <row r="198">
          <cell r="A198" t="str">
            <v>Guinea</v>
          </cell>
        </row>
        <row r="199">
          <cell r="A199" t="str">
            <v>Martinique</v>
          </cell>
        </row>
        <row r="200">
          <cell r="A200" t="str">
            <v>CÃ´te dâ€™Ivoire</v>
          </cell>
        </row>
        <row r="201">
          <cell r="A201" t="str">
            <v>Guadeloupe</v>
          </cell>
        </row>
        <row r="202">
          <cell r="A202" t="str">
            <v>Anguilla</v>
          </cell>
        </row>
        <row r="203">
          <cell r="A203" t="str">
            <v>Ã…land Islands</v>
          </cell>
        </row>
        <row r="204">
          <cell r="A204" t="str">
            <v>Andorra</v>
          </cell>
        </row>
        <row r="205">
          <cell r="A205" t="str">
            <v>American Samoa</v>
          </cell>
        </row>
        <row r="206">
          <cell r="A206" t="str">
            <v>Antarctica</v>
          </cell>
        </row>
        <row r="207">
          <cell r="A207" t="str">
            <v>French Southern Territories</v>
          </cell>
        </row>
        <row r="208">
          <cell r="A208" t="str">
            <v>Burkina Faso</v>
          </cell>
        </row>
        <row r="209">
          <cell r="A209" t="str">
            <v>St. BarthÃ©lemy</v>
          </cell>
        </row>
        <row r="210">
          <cell r="A210" t="str">
            <v>Bouvet Island</v>
          </cell>
        </row>
        <row r="211">
          <cell r="A211" t="str">
            <v>Central African Republic</v>
          </cell>
        </row>
        <row r="212">
          <cell r="A212" t="str">
            <v>Cocos (Keeling) Islands</v>
          </cell>
        </row>
        <row r="213">
          <cell r="A213" t="str">
            <v>Congo - Brazzaville</v>
          </cell>
        </row>
        <row r="214">
          <cell r="A214" t="str">
            <v>Cook Islands</v>
          </cell>
        </row>
        <row r="215">
          <cell r="A215" t="str">
            <v>Comoros</v>
          </cell>
        </row>
        <row r="216">
          <cell r="A216" t="str">
            <v>Christmas Island</v>
          </cell>
        </row>
        <row r="217">
          <cell r="A217" t="str">
            <v>Cayman Islands</v>
          </cell>
        </row>
        <row r="218">
          <cell r="A218" t="str">
            <v>Western Sahara</v>
          </cell>
        </row>
        <row r="219">
          <cell r="A219" t="str">
            <v>Falkland Islands (Islas Malvinas)</v>
          </cell>
        </row>
        <row r="220">
          <cell r="A220" t="str">
            <v>Micronesia</v>
          </cell>
        </row>
        <row r="221">
          <cell r="A221" t="str">
            <v>Guinea-Bissau</v>
          </cell>
        </row>
        <row r="222">
          <cell r="A222" t="str">
            <v>Equatorial Guinea</v>
          </cell>
        </row>
        <row r="223">
          <cell r="A223" t="str">
            <v>Guam</v>
          </cell>
        </row>
        <row r="224">
          <cell r="A224" t="str">
            <v>Heard &amp; McDonald Islands</v>
          </cell>
        </row>
        <row r="225">
          <cell r="A225" t="str">
            <v>British Indian Ocean Territory</v>
          </cell>
        </row>
        <row r="226">
          <cell r="A226" t="str">
            <v>Kiribati</v>
          </cell>
        </row>
        <row r="227">
          <cell r="A227" t="str">
            <v>St. Kitts &amp; Nevis</v>
          </cell>
        </row>
        <row r="228">
          <cell r="A228" t="str">
            <v>St. Martin</v>
          </cell>
        </row>
        <row r="229">
          <cell r="A229" t="str">
            <v>Marshall Islands</v>
          </cell>
        </row>
        <row r="230">
          <cell r="A230" t="str">
            <v>Northern Mariana Islands</v>
          </cell>
        </row>
        <row r="231">
          <cell r="A231" t="str">
            <v>Montserrat</v>
          </cell>
        </row>
        <row r="232">
          <cell r="A232" t="str">
            <v>Niger</v>
          </cell>
        </row>
        <row r="233">
          <cell r="A233" t="str">
            <v>Norfolk Island</v>
          </cell>
        </row>
        <row r="234">
          <cell r="A234" t="str">
            <v>Niue</v>
          </cell>
        </row>
        <row r="235">
          <cell r="A235" t="str">
            <v>Nauru</v>
          </cell>
        </row>
        <row r="236">
          <cell r="A236" t="str">
            <v>Pitcairn Islands</v>
          </cell>
        </row>
        <row r="237">
          <cell r="A237" t="str">
            <v>Palau</v>
          </cell>
        </row>
        <row r="238">
          <cell r="A238" t="str">
            <v>South Georgia &amp; South Sandwich Islands</v>
          </cell>
        </row>
        <row r="239">
          <cell r="A239" t="str">
            <v>Svalbard &amp; Jan Mayen</v>
          </cell>
        </row>
        <row r="240">
          <cell r="A240" t="str">
            <v>Solomon Islands</v>
          </cell>
        </row>
        <row r="241">
          <cell r="A241" t="str">
            <v>Sierra Leone</v>
          </cell>
        </row>
        <row r="242">
          <cell r="A242" t="str">
            <v>San Marino</v>
          </cell>
        </row>
        <row r="243">
          <cell r="A243" t="str">
            <v>St. Pierre &amp; Miquelon</v>
          </cell>
        </row>
        <row r="244">
          <cell r="A244" t="str">
            <v>SÃ£o TomÃ© &amp; PrÃ­ncipe</v>
          </cell>
        </row>
        <row r="245">
          <cell r="A245" t="str">
            <v>Chad</v>
          </cell>
        </row>
        <row r="246">
          <cell r="A246" t="str">
            <v>Tokelau</v>
          </cell>
        </row>
        <row r="247">
          <cell r="A247" t="str">
            <v>Tonga</v>
          </cell>
        </row>
        <row r="248">
          <cell r="A248" t="str">
            <v>Tuvalu</v>
          </cell>
        </row>
        <row r="249">
          <cell r="A249" t="str">
            <v>U.S. Outlying Islands</v>
          </cell>
        </row>
        <row r="250">
          <cell r="A250" t="str">
            <v>Vatican City</v>
          </cell>
        </row>
        <row r="251">
          <cell r="A251" t="str">
            <v>British Virgin Islands</v>
          </cell>
        </row>
        <row r="252">
          <cell r="A252" t="str">
            <v>Wallis &amp; Futuna</v>
          </cell>
        </row>
        <row r="253">
          <cell r="A253" t="str">
            <v>Samoa</v>
          </cell>
        </row>
      </sheetData>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01)"/>
    </sheetNames>
    <sheetDataSet>
      <sheetData sheetId="0" refreshError="1">
        <row r="1">
          <cell r="A1" t="str">
            <v>Category: All categories</v>
          </cell>
        </row>
        <row r="3">
          <cell r="A3" t="str">
            <v>Country</v>
          </cell>
          <cell r="B3" t="str">
            <v>Transmission Control Protocol: (2018)</v>
          </cell>
          <cell r="C3" t="str">
            <v>Finite-state machine: (2018)</v>
          </cell>
        </row>
        <row r="4">
          <cell r="A4" t="str">
            <v>Micronesia</v>
          </cell>
          <cell r="C4">
            <v>1</v>
          </cell>
        </row>
        <row r="5">
          <cell r="A5" t="str">
            <v>China</v>
          </cell>
          <cell r="B5">
            <v>0.89</v>
          </cell>
          <cell r="C5">
            <v>0.11</v>
          </cell>
        </row>
        <row r="6">
          <cell r="A6" t="str">
            <v>Cuba</v>
          </cell>
        </row>
        <row r="7">
          <cell r="A7" t="str">
            <v>Guam</v>
          </cell>
        </row>
        <row r="8">
          <cell r="A8" t="str">
            <v>South Korea</v>
          </cell>
          <cell r="B8">
            <v>0.9</v>
          </cell>
          <cell r="C8">
            <v>0.1</v>
          </cell>
        </row>
        <row r="9">
          <cell r="A9" t="str">
            <v>St. Helena</v>
          </cell>
          <cell r="B9">
            <v>0.88</v>
          </cell>
          <cell r="C9">
            <v>0.12</v>
          </cell>
        </row>
        <row r="10">
          <cell r="A10" t="str">
            <v>Botswana</v>
          </cell>
        </row>
        <row r="11">
          <cell r="A11" t="str">
            <v>Rwanda</v>
          </cell>
        </row>
        <row r="12">
          <cell r="A12" t="str">
            <v>Zimbabwe</v>
          </cell>
        </row>
        <row r="13">
          <cell r="A13" t="str">
            <v>Singapore</v>
          </cell>
          <cell r="B13">
            <v>0.7</v>
          </cell>
          <cell r="C13">
            <v>0.3</v>
          </cell>
        </row>
        <row r="14">
          <cell r="A14" t="str">
            <v>Fiji</v>
          </cell>
        </row>
        <row r="15">
          <cell r="A15" t="str">
            <v>Togo</v>
          </cell>
        </row>
        <row r="16">
          <cell r="A16" t="str">
            <v>Ethiopia</v>
          </cell>
        </row>
        <row r="17">
          <cell r="A17" t="str">
            <v>Angola</v>
          </cell>
        </row>
        <row r="18">
          <cell r="A18" t="str">
            <v>Myanmar (Burma)</v>
          </cell>
        </row>
        <row r="19">
          <cell r="A19" t="str">
            <v>Isle of Man</v>
          </cell>
        </row>
        <row r="20">
          <cell r="A20" t="str">
            <v>Malawi</v>
          </cell>
        </row>
        <row r="21">
          <cell r="A21" t="str">
            <v>Luxembourg</v>
          </cell>
        </row>
        <row r="22">
          <cell r="A22" t="str">
            <v>Nepal</v>
          </cell>
          <cell r="B22">
            <v>0.89</v>
          </cell>
          <cell r="C22">
            <v>0.11</v>
          </cell>
        </row>
        <row r="23">
          <cell r="A23" t="str">
            <v>Hong Kong</v>
          </cell>
          <cell r="B23">
            <v>0.84</v>
          </cell>
          <cell r="C23">
            <v>0.16</v>
          </cell>
        </row>
        <row r="24">
          <cell r="A24" t="str">
            <v>Madagascar</v>
          </cell>
        </row>
        <row r="25">
          <cell r="A25" t="str">
            <v>Israel</v>
          </cell>
          <cell r="B25">
            <v>0.77</v>
          </cell>
          <cell r="C25">
            <v>0.23</v>
          </cell>
        </row>
        <row r="26">
          <cell r="A26" t="str">
            <v>Sierra Leone</v>
          </cell>
        </row>
        <row r="27">
          <cell r="A27" t="str">
            <v>Cameroon</v>
          </cell>
        </row>
        <row r="28">
          <cell r="A28" t="str">
            <v>Uruguay</v>
          </cell>
          <cell r="B28">
            <v>1</v>
          </cell>
        </row>
        <row r="29">
          <cell r="A29" t="str">
            <v>Bhutan</v>
          </cell>
        </row>
        <row r="30">
          <cell r="A30" t="str">
            <v>Maldives</v>
          </cell>
        </row>
        <row r="31">
          <cell r="A31" t="str">
            <v>Malta</v>
          </cell>
        </row>
        <row r="32">
          <cell r="A32" t="str">
            <v>Papua New Guinea</v>
          </cell>
        </row>
        <row r="33">
          <cell r="A33" t="str">
            <v>Macao</v>
          </cell>
        </row>
        <row r="34">
          <cell r="A34" t="str">
            <v>Congo - Kinshasa</v>
          </cell>
        </row>
        <row r="35">
          <cell r="A35" t="str">
            <v>Sri Lanka</v>
          </cell>
          <cell r="B35">
            <v>0.93</v>
          </cell>
          <cell r="C35">
            <v>7.0000000000000007E-2</v>
          </cell>
        </row>
        <row r="36">
          <cell r="A36" t="str">
            <v>Liberia</v>
          </cell>
        </row>
        <row r="37">
          <cell r="A37" t="str">
            <v>Taiwan</v>
          </cell>
          <cell r="B37">
            <v>0.88</v>
          </cell>
          <cell r="C37">
            <v>0.12</v>
          </cell>
        </row>
        <row r="38">
          <cell r="A38" t="str">
            <v>Bolivia</v>
          </cell>
        </row>
        <row r="39">
          <cell r="A39" t="str">
            <v>Switzerland</v>
          </cell>
          <cell r="B39">
            <v>0.89</v>
          </cell>
          <cell r="C39">
            <v>0.11</v>
          </cell>
        </row>
        <row r="40">
          <cell r="A40" t="str">
            <v>Burundi</v>
          </cell>
        </row>
        <row r="41">
          <cell r="A41" t="str">
            <v>Czechia</v>
          </cell>
          <cell r="B41">
            <v>0.92</v>
          </cell>
          <cell r="C41">
            <v>0.08</v>
          </cell>
        </row>
        <row r="42">
          <cell r="A42" t="str">
            <v>Iceland</v>
          </cell>
        </row>
        <row r="43">
          <cell r="A43" t="str">
            <v>India</v>
          </cell>
          <cell r="B43">
            <v>0.89</v>
          </cell>
          <cell r="C43">
            <v>0.11</v>
          </cell>
        </row>
        <row r="44">
          <cell r="A44" t="str">
            <v>Zambia</v>
          </cell>
        </row>
        <row r="45">
          <cell r="A45" t="str">
            <v>Mauritius</v>
          </cell>
        </row>
        <row r="46">
          <cell r="A46" t="str">
            <v>Senegal</v>
          </cell>
        </row>
        <row r="47">
          <cell r="A47" t="str">
            <v>Pakistan</v>
          </cell>
          <cell r="B47">
            <v>0.84</v>
          </cell>
          <cell r="C47">
            <v>0.16</v>
          </cell>
        </row>
        <row r="48">
          <cell r="A48" t="str">
            <v>Ireland</v>
          </cell>
          <cell r="B48">
            <v>0.9</v>
          </cell>
          <cell r="C48">
            <v>0.1</v>
          </cell>
        </row>
        <row r="49">
          <cell r="A49" t="str">
            <v>Brunei</v>
          </cell>
        </row>
        <row r="50">
          <cell r="A50" t="str">
            <v>Lesotho</v>
          </cell>
        </row>
        <row r="51">
          <cell r="A51" t="str">
            <v>Ghana</v>
          </cell>
        </row>
        <row r="52">
          <cell r="A52" t="str">
            <v>Somalia</v>
          </cell>
        </row>
        <row r="53">
          <cell r="A53" t="str">
            <v>Jersey</v>
          </cell>
        </row>
        <row r="54">
          <cell r="A54" t="str">
            <v>Japan</v>
          </cell>
          <cell r="B54">
            <v>0.95</v>
          </cell>
          <cell r="C54">
            <v>0.05</v>
          </cell>
        </row>
        <row r="55">
          <cell r="A55" t="str">
            <v>Australia</v>
          </cell>
          <cell r="B55">
            <v>0.88</v>
          </cell>
          <cell r="C55">
            <v>0.12</v>
          </cell>
        </row>
        <row r="56">
          <cell r="A56" t="str">
            <v>Tunisia</v>
          </cell>
          <cell r="B56">
            <v>0.85</v>
          </cell>
          <cell r="C56">
            <v>0.15</v>
          </cell>
        </row>
        <row r="57">
          <cell r="A57" t="str">
            <v>Austria</v>
          </cell>
          <cell r="B57">
            <v>0.92</v>
          </cell>
          <cell r="C57">
            <v>0.08</v>
          </cell>
        </row>
        <row r="58">
          <cell r="A58" t="str">
            <v>Norway</v>
          </cell>
          <cell r="B58">
            <v>0.88</v>
          </cell>
          <cell r="C58">
            <v>0.12</v>
          </cell>
        </row>
        <row r="59">
          <cell r="A59" t="str">
            <v>Mongolia</v>
          </cell>
        </row>
        <row r="60">
          <cell r="A60" t="str">
            <v>Sweden</v>
          </cell>
          <cell r="B60">
            <v>0.9</v>
          </cell>
          <cell r="C60">
            <v>0.1</v>
          </cell>
        </row>
        <row r="61">
          <cell r="A61" t="str">
            <v>Germany</v>
          </cell>
          <cell r="B61">
            <v>0.89</v>
          </cell>
          <cell r="C61">
            <v>0.11</v>
          </cell>
        </row>
        <row r="62">
          <cell r="A62" t="str">
            <v>Jamaica</v>
          </cell>
        </row>
        <row r="63">
          <cell r="A63" t="str">
            <v>Afghanistan</v>
          </cell>
        </row>
        <row r="64">
          <cell r="A64" t="str">
            <v>Eswatini</v>
          </cell>
        </row>
        <row r="65">
          <cell r="A65" t="str">
            <v>Uganda</v>
          </cell>
        </row>
        <row r="66">
          <cell r="A66" t="str">
            <v>United Arab Emirates</v>
          </cell>
          <cell r="B66">
            <v>0.95</v>
          </cell>
          <cell r="C66">
            <v>0.05</v>
          </cell>
        </row>
        <row r="67">
          <cell r="A67" t="str">
            <v>Cyprus</v>
          </cell>
        </row>
        <row r="68">
          <cell r="A68" t="str">
            <v>Canada</v>
          </cell>
          <cell r="B68">
            <v>0.86</v>
          </cell>
          <cell r="C68">
            <v>0.14000000000000001</v>
          </cell>
        </row>
        <row r="69">
          <cell r="A69" t="str">
            <v>Estonia</v>
          </cell>
        </row>
        <row r="70">
          <cell r="A70" t="str">
            <v>Slovenia</v>
          </cell>
        </row>
        <row r="71">
          <cell r="A71" t="str">
            <v>Finland</v>
          </cell>
          <cell r="B71">
            <v>0.88</v>
          </cell>
          <cell r="C71">
            <v>0.12</v>
          </cell>
        </row>
        <row r="72">
          <cell r="A72" t="str">
            <v>Portugal</v>
          </cell>
          <cell r="B72">
            <v>0.9</v>
          </cell>
          <cell r="C72">
            <v>0.1</v>
          </cell>
        </row>
        <row r="73">
          <cell r="A73" t="str">
            <v>United States</v>
          </cell>
          <cell r="B73">
            <v>0.85</v>
          </cell>
          <cell r="C73">
            <v>0.15</v>
          </cell>
        </row>
        <row r="74">
          <cell r="A74" t="str">
            <v>Netherlands</v>
          </cell>
          <cell r="B74">
            <v>0.91</v>
          </cell>
          <cell r="C74">
            <v>0.09</v>
          </cell>
        </row>
        <row r="75">
          <cell r="A75" t="str">
            <v>Philippines</v>
          </cell>
          <cell r="B75">
            <v>0.92</v>
          </cell>
          <cell r="C75">
            <v>0.08</v>
          </cell>
        </row>
        <row r="76">
          <cell r="A76" t="str">
            <v>New Zealand</v>
          </cell>
          <cell r="B76">
            <v>0.82</v>
          </cell>
          <cell r="C76">
            <v>0.18</v>
          </cell>
        </row>
        <row r="77">
          <cell r="A77" t="str">
            <v>United Kingdom</v>
          </cell>
          <cell r="B77">
            <v>0.86</v>
          </cell>
          <cell r="C77">
            <v>0.14000000000000001</v>
          </cell>
        </row>
        <row r="78">
          <cell r="A78" t="str">
            <v>Namibia</v>
          </cell>
        </row>
        <row r="79">
          <cell r="A79" t="str">
            <v>Russia</v>
          </cell>
          <cell r="B79">
            <v>0.87</v>
          </cell>
          <cell r="C79">
            <v>0.13</v>
          </cell>
        </row>
        <row r="80">
          <cell r="A80" t="str">
            <v>Ecuador</v>
          </cell>
          <cell r="B80">
            <v>0.94</v>
          </cell>
          <cell r="C80">
            <v>0.06</v>
          </cell>
        </row>
        <row r="81">
          <cell r="A81" t="str">
            <v>Kosovo</v>
          </cell>
        </row>
        <row r="82">
          <cell r="A82" t="str">
            <v>Albania</v>
          </cell>
        </row>
        <row r="83">
          <cell r="A83" t="str">
            <v>Costa Rica</v>
          </cell>
        </row>
        <row r="84">
          <cell r="A84" t="str">
            <v>Latvia</v>
          </cell>
        </row>
        <row r="85">
          <cell r="A85" t="str">
            <v>Slovakia</v>
          </cell>
          <cell r="B85">
            <v>0.89</v>
          </cell>
          <cell r="C85">
            <v>0.11</v>
          </cell>
        </row>
        <row r="86">
          <cell r="A86" t="str">
            <v>Honduras</v>
          </cell>
        </row>
        <row r="87">
          <cell r="A87" t="str">
            <v>Oman</v>
          </cell>
        </row>
        <row r="88">
          <cell r="A88" t="str">
            <v>Mozambique</v>
          </cell>
        </row>
        <row r="89">
          <cell r="A89" t="str">
            <v>Bulgaria</v>
          </cell>
          <cell r="B89">
            <v>0.88</v>
          </cell>
          <cell r="C89">
            <v>0.12</v>
          </cell>
        </row>
        <row r="90">
          <cell r="A90" t="str">
            <v>Panama</v>
          </cell>
        </row>
        <row r="91">
          <cell r="A91" t="str">
            <v>Armenia</v>
          </cell>
        </row>
        <row r="92">
          <cell r="A92" t="str">
            <v>Belgium</v>
          </cell>
          <cell r="B92">
            <v>0.92</v>
          </cell>
          <cell r="C92">
            <v>0.08</v>
          </cell>
        </row>
        <row r="93">
          <cell r="A93" t="str">
            <v>Hungary</v>
          </cell>
          <cell r="B93">
            <v>0.9</v>
          </cell>
          <cell r="C93">
            <v>0.1</v>
          </cell>
        </row>
        <row r="94">
          <cell r="A94" t="str">
            <v>Sudan</v>
          </cell>
        </row>
        <row r="95">
          <cell r="A95" t="str">
            <v>El Salvador</v>
          </cell>
        </row>
        <row r="96">
          <cell r="A96" t="str">
            <v>Trinidad &amp; Tobago</v>
          </cell>
        </row>
        <row r="97">
          <cell r="A97" t="str">
            <v>Spain</v>
          </cell>
          <cell r="B97">
            <v>0.96</v>
          </cell>
          <cell r="C97">
            <v>0.04</v>
          </cell>
        </row>
        <row r="98">
          <cell r="A98" t="str">
            <v>South Africa</v>
          </cell>
          <cell r="B98">
            <v>0.88</v>
          </cell>
          <cell r="C98">
            <v>0.12</v>
          </cell>
        </row>
        <row r="99">
          <cell r="A99" t="str">
            <v>Barbados</v>
          </cell>
        </row>
        <row r="100">
          <cell r="A100" t="str">
            <v>Colombia</v>
          </cell>
          <cell r="B100">
            <v>0.93</v>
          </cell>
          <cell r="C100">
            <v>7.0000000000000007E-2</v>
          </cell>
        </row>
        <row r="101">
          <cell r="A101" t="str">
            <v>Malaysia</v>
          </cell>
          <cell r="B101">
            <v>0.82</v>
          </cell>
          <cell r="C101">
            <v>0.18</v>
          </cell>
        </row>
        <row r="102">
          <cell r="A102" t="str">
            <v>Kenya</v>
          </cell>
          <cell r="B102">
            <v>0.89</v>
          </cell>
          <cell r="C102">
            <v>0.11</v>
          </cell>
        </row>
        <row r="103">
          <cell r="A103" t="str">
            <v>Denmark</v>
          </cell>
          <cell r="B103">
            <v>0.88</v>
          </cell>
          <cell r="C103">
            <v>0.12</v>
          </cell>
        </row>
        <row r="104">
          <cell r="A104" t="str">
            <v>Belarus</v>
          </cell>
          <cell r="B104">
            <v>0.84</v>
          </cell>
          <cell r="C104">
            <v>0.16</v>
          </cell>
        </row>
        <row r="105">
          <cell r="A105" t="str">
            <v>Benin</v>
          </cell>
        </row>
        <row r="106">
          <cell r="A106" t="str">
            <v>Cape Verde</v>
          </cell>
        </row>
        <row r="107">
          <cell r="A107" t="str">
            <v>Martinique</v>
          </cell>
        </row>
        <row r="108">
          <cell r="A108" t="str">
            <v>Laos</v>
          </cell>
        </row>
        <row r="109">
          <cell r="A109" t="str">
            <v>North Macedonia</v>
          </cell>
        </row>
        <row r="110">
          <cell r="A110" t="str">
            <v>Qatar</v>
          </cell>
        </row>
        <row r="111">
          <cell r="A111" t="str">
            <v>Mali</v>
          </cell>
        </row>
        <row r="112">
          <cell r="A112" t="str">
            <v>Mexico</v>
          </cell>
          <cell r="B112">
            <v>0.92</v>
          </cell>
          <cell r="C112">
            <v>0.08</v>
          </cell>
        </row>
        <row r="113">
          <cell r="A113" t="str">
            <v>Lebanon</v>
          </cell>
        </row>
        <row r="114">
          <cell r="A114" t="str">
            <v>Bangladesh</v>
          </cell>
          <cell r="B114">
            <v>0.9</v>
          </cell>
          <cell r="C114">
            <v>0.1</v>
          </cell>
        </row>
        <row r="115">
          <cell r="A115" t="str">
            <v>Romania</v>
          </cell>
          <cell r="B115">
            <v>0.85</v>
          </cell>
          <cell r="C115">
            <v>0.15</v>
          </cell>
        </row>
        <row r="116">
          <cell r="A116" t="str">
            <v>Lithuania</v>
          </cell>
        </row>
        <row r="117">
          <cell r="A117" t="str">
            <v>Argentina</v>
          </cell>
          <cell r="B117">
            <v>0.95</v>
          </cell>
          <cell r="C117">
            <v>0.05</v>
          </cell>
        </row>
        <row r="118">
          <cell r="A118" t="str">
            <v>Poland</v>
          </cell>
          <cell r="B118">
            <v>0.93</v>
          </cell>
          <cell r="C118">
            <v>7.0000000000000007E-2</v>
          </cell>
        </row>
        <row r="119">
          <cell r="A119" t="str">
            <v>France</v>
          </cell>
          <cell r="B119">
            <v>0.95</v>
          </cell>
          <cell r="C119">
            <v>0.05</v>
          </cell>
        </row>
        <row r="120">
          <cell r="A120" t="str">
            <v>Uzbekistan</v>
          </cell>
        </row>
        <row r="121">
          <cell r="A121" t="str">
            <v>Tanzania</v>
          </cell>
        </row>
        <row r="122">
          <cell r="A122" t="str">
            <v>Guatemala</v>
          </cell>
        </row>
        <row r="123">
          <cell r="A123" t="str">
            <v>CÃ´te dâ€™Ivoire</v>
          </cell>
        </row>
        <row r="124">
          <cell r="A124" t="str">
            <v>Palestine</v>
          </cell>
        </row>
        <row r="125">
          <cell r="A125" t="str">
            <v>Brazil</v>
          </cell>
          <cell r="B125">
            <v>0.96</v>
          </cell>
          <cell r="C125">
            <v>0.04</v>
          </cell>
        </row>
        <row r="126">
          <cell r="A126" t="str">
            <v>Croatia</v>
          </cell>
          <cell r="B126">
            <v>0.82</v>
          </cell>
          <cell r="C126">
            <v>0.18</v>
          </cell>
        </row>
        <row r="127">
          <cell r="A127" t="str">
            <v>Peru</v>
          </cell>
          <cell r="B127">
            <v>0.94</v>
          </cell>
          <cell r="C127">
            <v>0.06</v>
          </cell>
        </row>
        <row r="128">
          <cell r="A128" t="str">
            <v>Dominican Republic</v>
          </cell>
          <cell r="B128">
            <v>1</v>
          </cell>
        </row>
        <row r="129">
          <cell r="A129" t="str">
            <v>Suriname</v>
          </cell>
        </row>
        <row r="130">
          <cell r="A130" t="str">
            <v>Serbia</v>
          </cell>
          <cell r="B130">
            <v>0.88</v>
          </cell>
          <cell r="C130">
            <v>0.12</v>
          </cell>
        </row>
        <row r="131">
          <cell r="A131" t="str">
            <v>Moldova</v>
          </cell>
        </row>
        <row r="132">
          <cell r="A132" t="str">
            <v>Guinea</v>
          </cell>
        </row>
        <row r="133">
          <cell r="A133" t="str">
            <v>Italy</v>
          </cell>
          <cell r="B133">
            <v>0.92</v>
          </cell>
          <cell r="C133">
            <v>0.08</v>
          </cell>
        </row>
        <row r="134">
          <cell r="A134" t="str">
            <v>Morocco</v>
          </cell>
        </row>
        <row r="135">
          <cell r="A135" t="str">
            <v>Kazakhstan</v>
          </cell>
          <cell r="B135">
            <v>0.94</v>
          </cell>
          <cell r="C135">
            <v>0.06</v>
          </cell>
        </row>
        <row r="136">
          <cell r="A136" t="str">
            <v>Bahamas</v>
          </cell>
        </row>
        <row r="137">
          <cell r="A137" t="str">
            <v>Paraguay</v>
          </cell>
        </row>
        <row r="138">
          <cell r="A138" t="str">
            <v>Ukraine</v>
          </cell>
          <cell r="B138">
            <v>0.86</v>
          </cell>
          <cell r="C138">
            <v>0.14000000000000001</v>
          </cell>
        </row>
        <row r="139">
          <cell r="A139" t="str">
            <v>Algeria</v>
          </cell>
        </row>
        <row r="140">
          <cell r="A140" t="str">
            <v>CuraÃ§ao</v>
          </cell>
        </row>
        <row r="141">
          <cell r="A141" t="str">
            <v>Cambodia</v>
          </cell>
        </row>
        <row r="142">
          <cell r="A142" t="str">
            <v>Burkina Faso</v>
          </cell>
        </row>
        <row r="143">
          <cell r="A143" t="str">
            <v>Nicaragua</v>
          </cell>
        </row>
        <row r="144">
          <cell r="A144" t="str">
            <v>Bahrain</v>
          </cell>
        </row>
        <row r="145">
          <cell r="A145" t="str">
            <v>Indonesia</v>
          </cell>
          <cell r="B145">
            <v>0.91</v>
          </cell>
          <cell r="C145">
            <v>0.09</v>
          </cell>
        </row>
        <row r="146">
          <cell r="A146" t="str">
            <v>Nigeria</v>
          </cell>
          <cell r="B146">
            <v>0.88</v>
          </cell>
          <cell r="C146">
            <v>0.12</v>
          </cell>
        </row>
        <row r="147">
          <cell r="A147" t="str">
            <v>Thailand</v>
          </cell>
          <cell r="B147">
            <v>0.93</v>
          </cell>
          <cell r="C147">
            <v>7.0000000000000007E-2</v>
          </cell>
        </row>
        <row r="148">
          <cell r="A148" t="str">
            <v>Greece</v>
          </cell>
          <cell r="B148">
            <v>0.85</v>
          </cell>
          <cell r="C148">
            <v>0.15</v>
          </cell>
        </row>
        <row r="149">
          <cell r="A149" t="str">
            <v>Cayman Islands</v>
          </cell>
        </row>
        <row r="150">
          <cell r="A150" t="str">
            <v>Jordan</v>
          </cell>
        </row>
        <row r="151">
          <cell r="A151" t="str">
            <v>Montenegro</v>
          </cell>
        </row>
        <row r="152">
          <cell r="A152" t="str">
            <v>Azerbaijan</v>
          </cell>
        </row>
        <row r="153">
          <cell r="A153" t="str">
            <v>Libya</v>
          </cell>
        </row>
        <row r="154">
          <cell r="A154" t="str">
            <v>Chile</v>
          </cell>
          <cell r="B154">
            <v>0.96</v>
          </cell>
          <cell r="C154">
            <v>0.04</v>
          </cell>
        </row>
        <row r="155">
          <cell r="A155" t="str">
            <v>Bosnia &amp; Herzegovina</v>
          </cell>
        </row>
        <row r="156">
          <cell r="A156" t="str">
            <v>Haiti</v>
          </cell>
        </row>
        <row r="157">
          <cell r="A157" t="str">
            <v>Iran</v>
          </cell>
          <cell r="B157">
            <v>0.89</v>
          </cell>
          <cell r="C157">
            <v>0.11</v>
          </cell>
        </row>
        <row r="158">
          <cell r="A158" t="str">
            <v>RÃ©union</v>
          </cell>
        </row>
        <row r="159">
          <cell r="A159" t="str">
            <v>Guyana</v>
          </cell>
        </row>
        <row r="160">
          <cell r="A160" t="str">
            <v>Vietnam</v>
          </cell>
          <cell r="B160">
            <v>0.91</v>
          </cell>
          <cell r="C160">
            <v>0.09</v>
          </cell>
        </row>
        <row r="161">
          <cell r="A161" t="str">
            <v>Saudi Arabia</v>
          </cell>
          <cell r="B161">
            <v>0.92</v>
          </cell>
          <cell r="C161">
            <v>0.08</v>
          </cell>
        </row>
        <row r="162">
          <cell r="A162" t="str">
            <v>Georgia</v>
          </cell>
        </row>
        <row r="163">
          <cell r="A163" t="str">
            <v>Kuwait</v>
          </cell>
        </row>
        <row r="164">
          <cell r="A164" t="str">
            <v>Puerto Rico</v>
          </cell>
        </row>
        <row r="165">
          <cell r="A165" t="str">
            <v>Syria</v>
          </cell>
        </row>
        <row r="166">
          <cell r="A166" t="str">
            <v>Egypt</v>
          </cell>
          <cell r="B166">
            <v>0.87</v>
          </cell>
          <cell r="C166">
            <v>0.13</v>
          </cell>
        </row>
        <row r="167">
          <cell r="A167" t="str">
            <v>Kyrgyzstan</v>
          </cell>
        </row>
        <row r="168">
          <cell r="A168" t="str">
            <v>Yemen</v>
          </cell>
        </row>
        <row r="169">
          <cell r="A169" t="str">
            <v>Turkmenistan</v>
          </cell>
        </row>
        <row r="170">
          <cell r="A170" t="str">
            <v>Venezuela</v>
          </cell>
        </row>
        <row r="171">
          <cell r="A171" t="str">
            <v>Iraq</v>
          </cell>
        </row>
        <row r="172">
          <cell r="A172" t="str">
            <v>Turkey</v>
          </cell>
          <cell r="B172">
            <v>0.81</v>
          </cell>
          <cell r="C172">
            <v>0.19</v>
          </cell>
        </row>
        <row r="173">
          <cell r="A173" t="str">
            <v>Guadeloupe</v>
          </cell>
        </row>
        <row r="174">
          <cell r="A174" t="str">
            <v>Tajikistan</v>
          </cell>
        </row>
        <row r="175">
          <cell r="A175" t="str">
            <v>North Korea</v>
          </cell>
        </row>
        <row r="176">
          <cell r="A176" t="str">
            <v>Nauru</v>
          </cell>
        </row>
        <row r="177">
          <cell r="A177" t="str">
            <v>Eritrea</v>
          </cell>
        </row>
        <row r="178">
          <cell r="A178" t="str">
            <v>Montserrat</v>
          </cell>
        </row>
        <row r="179">
          <cell r="A179" t="str">
            <v>Tonga</v>
          </cell>
        </row>
        <row r="180">
          <cell r="A180" t="str">
            <v>SÃ£o TomÃ© &amp; PrÃ­ncipe</v>
          </cell>
        </row>
        <row r="181">
          <cell r="A181" t="str">
            <v>Cook Islands</v>
          </cell>
        </row>
        <row r="182">
          <cell r="A182" t="str">
            <v>Palau</v>
          </cell>
        </row>
        <row r="183">
          <cell r="A183" t="str">
            <v>Comoros</v>
          </cell>
        </row>
        <row r="184">
          <cell r="A184" t="str">
            <v>Vanuatu</v>
          </cell>
        </row>
        <row r="185">
          <cell r="A185" t="str">
            <v>Central African Republic</v>
          </cell>
        </row>
        <row r="186">
          <cell r="A186" t="str">
            <v>St. BarthÃ©lemy</v>
          </cell>
        </row>
        <row r="187">
          <cell r="A187" t="str">
            <v>Guinea-Bissau</v>
          </cell>
        </row>
        <row r="188">
          <cell r="A188" t="str">
            <v>St. Kitts &amp; Nevis</v>
          </cell>
        </row>
        <row r="189">
          <cell r="A189" t="str">
            <v>Gibraltar</v>
          </cell>
        </row>
        <row r="190">
          <cell r="A190" t="str">
            <v>Equatorial Guinea</v>
          </cell>
        </row>
        <row r="191">
          <cell r="A191" t="str">
            <v>Ã…land Islands</v>
          </cell>
        </row>
        <row r="192">
          <cell r="A192" t="str">
            <v>American Samoa</v>
          </cell>
        </row>
        <row r="193">
          <cell r="A193" t="str">
            <v>St. Martin</v>
          </cell>
        </row>
        <row r="194">
          <cell r="A194" t="str">
            <v>Sint Maarten</v>
          </cell>
        </row>
        <row r="195">
          <cell r="A195" t="str">
            <v>Chad</v>
          </cell>
        </row>
        <row r="196">
          <cell r="A196" t="str">
            <v>Gambia</v>
          </cell>
        </row>
        <row r="197">
          <cell r="A197" t="str">
            <v>Djibouti</v>
          </cell>
        </row>
        <row r="198">
          <cell r="A198" t="str">
            <v>Antigua &amp; Barbuda</v>
          </cell>
        </row>
        <row r="199">
          <cell r="A199" t="str">
            <v>Dominica</v>
          </cell>
        </row>
        <row r="200">
          <cell r="A200" t="str">
            <v>Monaco</v>
          </cell>
        </row>
        <row r="201">
          <cell r="A201" t="str">
            <v>Turks &amp; Caicos Islands</v>
          </cell>
        </row>
        <row r="202">
          <cell r="A202" t="str">
            <v>Seychelles</v>
          </cell>
        </row>
        <row r="203">
          <cell r="A203" t="str">
            <v>Mauritania</v>
          </cell>
        </row>
        <row r="204">
          <cell r="A204" t="str">
            <v>Faroe Islands</v>
          </cell>
        </row>
        <row r="205">
          <cell r="A205" t="str">
            <v>Timor-Leste</v>
          </cell>
        </row>
        <row r="206">
          <cell r="A206" t="str">
            <v>Grenada</v>
          </cell>
        </row>
        <row r="207">
          <cell r="A207" t="str">
            <v>Congo - Brazzaville</v>
          </cell>
        </row>
        <row r="208">
          <cell r="A208" t="str">
            <v>San Marino</v>
          </cell>
        </row>
        <row r="209">
          <cell r="A209" t="str">
            <v>U.S. Virgin Islands</v>
          </cell>
        </row>
        <row r="210">
          <cell r="A210" t="str">
            <v>New Caledonia</v>
          </cell>
        </row>
        <row r="211">
          <cell r="A211" t="str">
            <v>South Sudan</v>
          </cell>
        </row>
        <row r="212">
          <cell r="A212" t="str">
            <v>Andorra</v>
          </cell>
        </row>
        <row r="213">
          <cell r="A213" t="str">
            <v>Liechtenstein</v>
          </cell>
        </row>
        <row r="214">
          <cell r="A214" t="str">
            <v>St. Vincent &amp; Grenadines</v>
          </cell>
        </row>
        <row r="215">
          <cell r="A215" t="str">
            <v>Greenland</v>
          </cell>
        </row>
        <row r="216">
          <cell r="A216" t="str">
            <v>Guernsey</v>
          </cell>
        </row>
        <row r="217">
          <cell r="A217" t="str">
            <v>French Polynesia</v>
          </cell>
        </row>
        <row r="218">
          <cell r="A218" t="str">
            <v>Niger</v>
          </cell>
        </row>
        <row r="219">
          <cell r="A219" t="str">
            <v>St. Lucia</v>
          </cell>
        </row>
        <row r="220">
          <cell r="A220" t="str">
            <v>Bermuda</v>
          </cell>
        </row>
        <row r="221">
          <cell r="A221" t="str">
            <v>Mayotte</v>
          </cell>
        </row>
        <row r="222">
          <cell r="A222" t="str">
            <v>Gabon</v>
          </cell>
        </row>
        <row r="223">
          <cell r="A223" t="str">
            <v>Belize</v>
          </cell>
        </row>
        <row r="224">
          <cell r="A224" t="str">
            <v>French Guiana</v>
          </cell>
        </row>
        <row r="225">
          <cell r="A225" t="str">
            <v>Aruba</v>
          </cell>
        </row>
        <row r="226">
          <cell r="A226" t="str">
            <v>Anguilla</v>
          </cell>
        </row>
        <row r="227">
          <cell r="A227" t="str">
            <v>Antarctica</v>
          </cell>
        </row>
        <row r="228">
          <cell r="A228" t="str">
            <v>French Southern Territories</v>
          </cell>
        </row>
        <row r="229">
          <cell r="A229" t="str">
            <v>Caribbean Netherlands</v>
          </cell>
        </row>
        <row r="230">
          <cell r="A230" t="str">
            <v>Bouvet Island</v>
          </cell>
        </row>
        <row r="231">
          <cell r="A231" t="str">
            <v>Cocos (Keeling) Islands</v>
          </cell>
        </row>
        <row r="232">
          <cell r="A232" t="str">
            <v>Christmas Island</v>
          </cell>
        </row>
        <row r="233">
          <cell r="A233" t="str">
            <v>Western Sahara</v>
          </cell>
        </row>
        <row r="234">
          <cell r="A234" t="str">
            <v>Falkland Islands (Islas Malvinas)</v>
          </cell>
        </row>
        <row r="235">
          <cell r="A235" t="str">
            <v>Heard &amp; McDonald Islands</v>
          </cell>
        </row>
        <row r="236">
          <cell r="A236" t="str">
            <v>British Indian Ocean Territory</v>
          </cell>
        </row>
        <row r="237">
          <cell r="A237" t="str">
            <v>Kiribati</v>
          </cell>
        </row>
        <row r="238">
          <cell r="A238" t="str">
            <v>Marshall Islands</v>
          </cell>
        </row>
        <row r="239">
          <cell r="A239" t="str">
            <v>Northern Mariana Islands</v>
          </cell>
        </row>
        <row r="240">
          <cell r="A240" t="str">
            <v>Norfolk Island</v>
          </cell>
        </row>
        <row r="241">
          <cell r="A241" t="str">
            <v>Niue</v>
          </cell>
        </row>
        <row r="242">
          <cell r="A242" t="str">
            <v>Pitcairn Islands</v>
          </cell>
        </row>
        <row r="243">
          <cell r="A243" t="str">
            <v>South Georgia &amp; South Sandwich Islands</v>
          </cell>
        </row>
        <row r="244">
          <cell r="A244" t="str">
            <v>Svalbard &amp; Jan Mayen</v>
          </cell>
        </row>
        <row r="245">
          <cell r="A245" t="str">
            <v>Solomon Islands</v>
          </cell>
        </row>
        <row r="246">
          <cell r="A246" t="str">
            <v>St. Pierre &amp; Miquelon</v>
          </cell>
        </row>
        <row r="247">
          <cell r="A247" t="str">
            <v>Tokelau</v>
          </cell>
        </row>
        <row r="248">
          <cell r="A248" t="str">
            <v>Tuvalu</v>
          </cell>
        </row>
        <row r="249">
          <cell r="A249" t="str">
            <v>U.S. Outlying Islands</v>
          </cell>
        </row>
        <row r="250">
          <cell r="A250" t="str">
            <v>Vatican City</v>
          </cell>
        </row>
        <row r="251">
          <cell r="A251" t="str">
            <v>British Virgin Islands</v>
          </cell>
        </row>
        <row r="252">
          <cell r="A252" t="str">
            <v>Wallis &amp; Futuna</v>
          </cell>
        </row>
        <row r="253">
          <cell r="A253" t="str">
            <v>Samoa</v>
          </cell>
        </row>
      </sheetData>
    </sheetDataSet>
  </externalBook>
</externalLink>
</file>

<file path=xl/externalLinks/externalLink1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12)"/>
    </sheetNames>
    <sheetDataSet>
      <sheetData sheetId="0" refreshError="1">
        <row r="1">
          <cell r="A1" t="str">
            <v>Category: All categories</v>
          </cell>
        </row>
        <row r="3">
          <cell r="A3" t="str">
            <v>Country</v>
          </cell>
          <cell r="B3" t="str">
            <v>Finite-state machine: (2018)</v>
          </cell>
          <cell r="C3" t="str">
            <v>MapReduce: (2018)</v>
          </cell>
        </row>
        <row r="4">
          <cell r="A4" t="str">
            <v>Micronesia</v>
          </cell>
          <cell r="B4">
            <v>1</v>
          </cell>
        </row>
        <row r="5">
          <cell r="A5" t="str">
            <v>China</v>
          </cell>
          <cell r="B5">
            <v>0.34</v>
          </cell>
          <cell r="C5">
            <v>0.66</v>
          </cell>
        </row>
        <row r="6">
          <cell r="A6" t="str">
            <v>Guam</v>
          </cell>
          <cell r="B6">
            <v>1</v>
          </cell>
        </row>
        <row r="7">
          <cell r="A7" t="str">
            <v>Maldives</v>
          </cell>
          <cell r="B7">
            <v>1</v>
          </cell>
        </row>
        <row r="8">
          <cell r="A8" t="str">
            <v>Fiji</v>
          </cell>
        </row>
        <row r="9">
          <cell r="A9" t="str">
            <v>Singapore</v>
          </cell>
          <cell r="B9">
            <v>0.84</v>
          </cell>
          <cell r="C9">
            <v>0.16</v>
          </cell>
        </row>
        <row r="10">
          <cell r="A10" t="str">
            <v>Macao</v>
          </cell>
          <cell r="B10">
            <v>1</v>
          </cell>
        </row>
        <row r="11">
          <cell r="A11" t="str">
            <v>Israel</v>
          </cell>
          <cell r="B11">
            <v>0.76</v>
          </cell>
          <cell r="C11">
            <v>0.24</v>
          </cell>
        </row>
        <row r="12">
          <cell r="A12" t="str">
            <v>St. Helena</v>
          </cell>
          <cell r="B12">
            <v>0.62</v>
          </cell>
          <cell r="C12">
            <v>0.38</v>
          </cell>
        </row>
        <row r="13">
          <cell r="A13" t="str">
            <v>Hong Kong</v>
          </cell>
          <cell r="B13">
            <v>0.68</v>
          </cell>
          <cell r="C13">
            <v>0.32</v>
          </cell>
        </row>
        <row r="14">
          <cell r="A14" t="str">
            <v>South Korea</v>
          </cell>
          <cell r="B14">
            <v>0.57999999999999996</v>
          </cell>
          <cell r="C14">
            <v>0.42</v>
          </cell>
        </row>
        <row r="15">
          <cell r="A15" t="str">
            <v>Ethiopia</v>
          </cell>
        </row>
        <row r="16">
          <cell r="A16" t="str">
            <v>Iceland</v>
          </cell>
        </row>
        <row r="17">
          <cell r="A17" t="str">
            <v>New Zealand</v>
          </cell>
          <cell r="B17">
            <v>0.86</v>
          </cell>
          <cell r="C17">
            <v>0.14000000000000001</v>
          </cell>
        </row>
        <row r="18">
          <cell r="A18" t="str">
            <v>India</v>
          </cell>
          <cell r="B18">
            <v>0.43</v>
          </cell>
          <cell r="C18">
            <v>0.56999999999999995</v>
          </cell>
        </row>
        <row r="19">
          <cell r="A19" t="str">
            <v>Pakistan</v>
          </cell>
          <cell r="B19">
            <v>0.69</v>
          </cell>
          <cell r="C19">
            <v>0.31</v>
          </cell>
        </row>
        <row r="20">
          <cell r="A20" t="str">
            <v>Tunisia</v>
          </cell>
          <cell r="B20">
            <v>0.53</v>
          </cell>
          <cell r="C20">
            <v>0.47</v>
          </cell>
        </row>
        <row r="21">
          <cell r="A21" t="str">
            <v>Ireland</v>
          </cell>
          <cell r="B21">
            <v>0.45</v>
          </cell>
          <cell r="C21">
            <v>0.55000000000000004</v>
          </cell>
        </row>
        <row r="22">
          <cell r="A22" t="str">
            <v>Malaysia</v>
          </cell>
          <cell r="B22">
            <v>0.78</v>
          </cell>
          <cell r="C22">
            <v>0.22</v>
          </cell>
        </row>
        <row r="23">
          <cell r="A23" t="str">
            <v>Australia</v>
          </cell>
          <cell r="B23">
            <v>0.69</v>
          </cell>
          <cell r="C23">
            <v>0.31</v>
          </cell>
        </row>
        <row r="24">
          <cell r="A24" t="str">
            <v>United States</v>
          </cell>
          <cell r="B24">
            <v>0.61</v>
          </cell>
          <cell r="C24">
            <v>0.39</v>
          </cell>
        </row>
        <row r="25">
          <cell r="A25" t="str">
            <v>Taiwan</v>
          </cell>
          <cell r="B25">
            <v>0.7</v>
          </cell>
          <cell r="C25">
            <v>0.3</v>
          </cell>
        </row>
        <row r="26">
          <cell r="A26" t="str">
            <v>United Kingdom</v>
          </cell>
          <cell r="B26">
            <v>0.78</v>
          </cell>
          <cell r="C26">
            <v>0.22</v>
          </cell>
        </row>
        <row r="27">
          <cell r="A27" t="str">
            <v>Canada</v>
          </cell>
          <cell r="B27">
            <v>0.67</v>
          </cell>
          <cell r="C27">
            <v>0.33</v>
          </cell>
        </row>
        <row r="28">
          <cell r="A28" t="str">
            <v>Switzerland</v>
          </cell>
          <cell r="B28">
            <v>0.7</v>
          </cell>
          <cell r="C28">
            <v>0.3</v>
          </cell>
        </row>
        <row r="29">
          <cell r="A29" t="str">
            <v>Nepal</v>
          </cell>
        </row>
        <row r="30">
          <cell r="A30" t="str">
            <v>Norway</v>
          </cell>
          <cell r="B30">
            <v>0.77</v>
          </cell>
          <cell r="C30">
            <v>0.23</v>
          </cell>
        </row>
        <row r="31">
          <cell r="A31" t="str">
            <v>Sri Lanka</v>
          </cell>
          <cell r="B31">
            <v>0.7</v>
          </cell>
          <cell r="C31">
            <v>0.3</v>
          </cell>
        </row>
        <row r="32">
          <cell r="A32" t="str">
            <v>Croatia</v>
          </cell>
        </row>
        <row r="33">
          <cell r="A33" t="str">
            <v>Germany</v>
          </cell>
          <cell r="B33">
            <v>0.76</v>
          </cell>
          <cell r="C33">
            <v>0.24</v>
          </cell>
        </row>
        <row r="34">
          <cell r="A34" t="str">
            <v>Russia</v>
          </cell>
          <cell r="B34">
            <v>0.76</v>
          </cell>
          <cell r="C34">
            <v>0.24</v>
          </cell>
        </row>
        <row r="35">
          <cell r="A35" t="str">
            <v>Slovenia</v>
          </cell>
          <cell r="B35">
            <v>1</v>
          </cell>
        </row>
        <row r="36">
          <cell r="A36" t="str">
            <v>Estonia</v>
          </cell>
        </row>
        <row r="37">
          <cell r="A37" t="str">
            <v>Romania</v>
          </cell>
          <cell r="B37">
            <v>0.82</v>
          </cell>
          <cell r="C37">
            <v>0.18</v>
          </cell>
        </row>
        <row r="38">
          <cell r="A38" t="str">
            <v>South Africa</v>
          </cell>
          <cell r="B38">
            <v>0.78</v>
          </cell>
          <cell r="C38">
            <v>0.22</v>
          </cell>
        </row>
        <row r="39">
          <cell r="A39" t="str">
            <v>Finland</v>
          </cell>
          <cell r="B39">
            <v>0.73</v>
          </cell>
          <cell r="C39">
            <v>0.27</v>
          </cell>
        </row>
        <row r="40">
          <cell r="A40" t="str">
            <v>Belarus</v>
          </cell>
          <cell r="B40">
            <v>0.66</v>
          </cell>
          <cell r="C40">
            <v>0.34</v>
          </cell>
        </row>
        <row r="41">
          <cell r="A41" t="str">
            <v>Serbia</v>
          </cell>
          <cell r="B41">
            <v>0.77</v>
          </cell>
          <cell r="C41">
            <v>0.23</v>
          </cell>
        </row>
        <row r="42">
          <cell r="A42" t="str">
            <v>Kenya</v>
          </cell>
          <cell r="B42">
            <v>1</v>
          </cell>
        </row>
        <row r="43">
          <cell r="A43" t="str">
            <v>Slovakia</v>
          </cell>
        </row>
        <row r="44">
          <cell r="A44" t="str">
            <v>Austria</v>
          </cell>
          <cell r="B44">
            <v>0.79</v>
          </cell>
          <cell r="C44">
            <v>0.21</v>
          </cell>
        </row>
        <row r="45">
          <cell r="A45" t="str">
            <v>Ghana</v>
          </cell>
        </row>
        <row r="46">
          <cell r="A46" t="str">
            <v>Czechia</v>
          </cell>
          <cell r="B46">
            <v>0.74</v>
          </cell>
          <cell r="C46">
            <v>0.26</v>
          </cell>
        </row>
        <row r="47">
          <cell r="A47" t="str">
            <v>Latvia</v>
          </cell>
        </row>
        <row r="48">
          <cell r="A48" t="str">
            <v>Sweden</v>
          </cell>
          <cell r="B48">
            <v>0.68</v>
          </cell>
          <cell r="C48">
            <v>0.32</v>
          </cell>
        </row>
        <row r="49">
          <cell r="A49" t="str">
            <v>Greece</v>
          </cell>
          <cell r="B49">
            <v>0.67</v>
          </cell>
          <cell r="C49">
            <v>0.33</v>
          </cell>
        </row>
        <row r="50">
          <cell r="A50" t="str">
            <v>Ukraine</v>
          </cell>
          <cell r="B50">
            <v>0.74</v>
          </cell>
          <cell r="C50">
            <v>0.26</v>
          </cell>
        </row>
        <row r="51">
          <cell r="A51" t="str">
            <v>Bulgaria</v>
          </cell>
          <cell r="B51">
            <v>0.7</v>
          </cell>
          <cell r="C51">
            <v>0.3</v>
          </cell>
        </row>
        <row r="52">
          <cell r="A52" t="str">
            <v>Portugal</v>
          </cell>
          <cell r="B52">
            <v>0.7</v>
          </cell>
          <cell r="C52">
            <v>0.3</v>
          </cell>
        </row>
        <row r="53">
          <cell r="A53" t="str">
            <v>Denmark</v>
          </cell>
          <cell r="B53">
            <v>0.72</v>
          </cell>
          <cell r="C53">
            <v>0.28000000000000003</v>
          </cell>
        </row>
        <row r="54">
          <cell r="A54" t="str">
            <v>Kuwait</v>
          </cell>
        </row>
        <row r="55">
          <cell r="A55" t="str">
            <v>Bangladesh</v>
          </cell>
          <cell r="B55">
            <v>0.71</v>
          </cell>
          <cell r="C55">
            <v>0.28999999999999998</v>
          </cell>
        </row>
        <row r="56">
          <cell r="A56" t="str">
            <v>Lithuania</v>
          </cell>
        </row>
        <row r="57">
          <cell r="A57" t="str">
            <v>Hungary</v>
          </cell>
          <cell r="B57">
            <v>0.75</v>
          </cell>
          <cell r="C57">
            <v>0.25</v>
          </cell>
        </row>
        <row r="58">
          <cell r="A58" t="str">
            <v>Philippines</v>
          </cell>
          <cell r="B58">
            <v>0.82</v>
          </cell>
          <cell r="C58">
            <v>0.18</v>
          </cell>
        </row>
        <row r="59">
          <cell r="A59" t="str">
            <v>Netherlands</v>
          </cell>
          <cell r="B59">
            <v>0.67</v>
          </cell>
          <cell r="C59">
            <v>0.33</v>
          </cell>
        </row>
        <row r="60">
          <cell r="A60" t="str">
            <v>Nigeria</v>
          </cell>
          <cell r="B60">
            <v>0.76</v>
          </cell>
          <cell r="C60">
            <v>0.24</v>
          </cell>
        </row>
        <row r="61">
          <cell r="A61" t="str">
            <v>Georgia</v>
          </cell>
        </row>
        <row r="62">
          <cell r="A62" t="str">
            <v>Bosnia &amp; Herzegovina</v>
          </cell>
        </row>
        <row r="63">
          <cell r="A63" t="str">
            <v>Belgium</v>
          </cell>
          <cell r="B63">
            <v>0.74</v>
          </cell>
          <cell r="C63">
            <v>0.26</v>
          </cell>
        </row>
        <row r="64">
          <cell r="A64" t="str">
            <v>Morocco</v>
          </cell>
          <cell r="B64">
            <v>0.38</v>
          </cell>
          <cell r="C64">
            <v>0.62</v>
          </cell>
        </row>
        <row r="65">
          <cell r="A65" t="str">
            <v>Guatemala</v>
          </cell>
        </row>
        <row r="66">
          <cell r="A66" t="str">
            <v>Turkey</v>
          </cell>
          <cell r="B66">
            <v>0.84</v>
          </cell>
          <cell r="C66">
            <v>0.16</v>
          </cell>
        </row>
        <row r="67">
          <cell r="A67" t="str">
            <v>Tanzania</v>
          </cell>
        </row>
        <row r="68">
          <cell r="A68" t="str">
            <v>Mexico</v>
          </cell>
          <cell r="B68">
            <v>0.83</v>
          </cell>
          <cell r="C68">
            <v>0.17</v>
          </cell>
        </row>
        <row r="69">
          <cell r="A69" t="str">
            <v>Lebanon</v>
          </cell>
        </row>
        <row r="70">
          <cell r="A70" t="str">
            <v>Japan</v>
          </cell>
          <cell r="B70">
            <v>0.71</v>
          </cell>
          <cell r="C70">
            <v>0.28999999999999998</v>
          </cell>
        </row>
        <row r="71">
          <cell r="A71" t="str">
            <v>United Arab Emirates</v>
          </cell>
          <cell r="B71">
            <v>0.54</v>
          </cell>
          <cell r="C71">
            <v>0.46</v>
          </cell>
        </row>
        <row r="72">
          <cell r="A72" t="str">
            <v>Uzbekistan</v>
          </cell>
        </row>
        <row r="73">
          <cell r="A73" t="str">
            <v>Bolivia</v>
          </cell>
        </row>
        <row r="74">
          <cell r="A74" t="str">
            <v>Poland</v>
          </cell>
          <cell r="B74">
            <v>0.7</v>
          </cell>
          <cell r="C74">
            <v>0.3</v>
          </cell>
        </row>
        <row r="75">
          <cell r="A75" t="str">
            <v>Italy</v>
          </cell>
          <cell r="B75">
            <v>0.71</v>
          </cell>
          <cell r="C75">
            <v>0.28999999999999998</v>
          </cell>
        </row>
        <row r="76">
          <cell r="A76" t="str">
            <v>Qatar</v>
          </cell>
        </row>
        <row r="77">
          <cell r="A77" t="str">
            <v>Indonesia</v>
          </cell>
          <cell r="B77">
            <v>0.79</v>
          </cell>
          <cell r="C77">
            <v>0.21</v>
          </cell>
        </row>
        <row r="78">
          <cell r="A78" t="str">
            <v>Colombia</v>
          </cell>
          <cell r="B78">
            <v>0.64</v>
          </cell>
          <cell r="C78">
            <v>0.36</v>
          </cell>
        </row>
        <row r="79">
          <cell r="A79" t="str">
            <v>Ecuador</v>
          </cell>
          <cell r="B79">
            <v>0.63</v>
          </cell>
          <cell r="C79">
            <v>0.37</v>
          </cell>
        </row>
        <row r="80">
          <cell r="A80" t="str">
            <v>Kazakhstan</v>
          </cell>
          <cell r="B80">
            <v>1</v>
          </cell>
        </row>
        <row r="81">
          <cell r="A81" t="str">
            <v>Iran</v>
          </cell>
          <cell r="B81">
            <v>0.6</v>
          </cell>
          <cell r="C81">
            <v>0.4</v>
          </cell>
        </row>
        <row r="82">
          <cell r="A82" t="str">
            <v>Peru</v>
          </cell>
          <cell r="B82">
            <v>0.73</v>
          </cell>
          <cell r="C82">
            <v>0.27</v>
          </cell>
        </row>
        <row r="83">
          <cell r="A83" t="str">
            <v>Costa Rica</v>
          </cell>
        </row>
        <row r="84">
          <cell r="A84" t="str">
            <v>Vietnam</v>
          </cell>
          <cell r="B84">
            <v>0.7</v>
          </cell>
          <cell r="C84">
            <v>0.3</v>
          </cell>
        </row>
        <row r="85">
          <cell r="A85" t="str">
            <v>Algeria</v>
          </cell>
        </row>
        <row r="86">
          <cell r="A86" t="str">
            <v>France</v>
          </cell>
          <cell r="B86">
            <v>0.49</v>
          </cell>
          <cell r="C86">
            <v>0.51</v>
          </cell>
        </row>
        <row r="87">
          <cell r="A87" t="str">
            <v>Spain</v>
          </cell>
          <cell r="B87">
            <v>0.46</v>
          </cell>
          <cell r="C87">
            <v>0.54</v>
          </cell>
        </row>
        <row r="88">
          <cell r="A88" t="str">
            <v>Egypt</v>
          </cell>
          <cell r="B88">
            <v>0.59</v>
          </cell>
          <cell r="C88">
            <v>0.41</v>
          </cell>
        </row>
        <row r="89">
          <cell r="A89" t="str">
            <v>Thailand</v>
          </cell>
          <cell r="B89">
            <v>0.61</v>
          </cell>
          <cell r="C89">
            <v>0.39</v>
          </cell>
        </row>
        <row r="90">
          <cell r="A90" t="str">
            <v>Laos</v>
          </cell>
        </row>
        <row r="91">
          <cell r="A91" t="str">
            <v>El Salvador</v>
          </cell>
        </row>
        <row r="92">
          <cell r="A92" t="str">
            <v>Jordan</v>
          </cell>
        </row>
        <row r="93">
          <cell r="A93" t="str">
            <v>Saudi Arabia</v>
          </cell>
          <cell r="B93">
            <v>0.73</v>
          </cell>
          <cell r="C93">
            <v>0.27</v>
          </cell>
        </row>
        <row r="94">
          <cell r="A94" t="str">
            <v>Brazil</v>
          </cell>
          <cell r="B94">
            <v>0.65</v>
          </cell>
          <cell r="C94">
            <v>0.35</v>
          </cell>
        </row>
        <row r="95">
          <cell r="A95" t="str">
            <v>Chile</v>
          </cell>
          <cell r="B95">
            <v>0.52</v>
          </cell>
          <cell r="C95">
            <v>0.48</v>
          </cell>
        </row>
        <row r="96">
          <cell r="A96" t="str">
            <v>Argentina</v>
          </cell>
          <cell r="B96">
            <v>0.67</v>
          </cell>
          <cell r="C96">
            <v>0.33</v>
          </cell>
        </row>
        <row r="97">
          <cell r="A97" t="str">
            <v>Iraq</v>
          </cell>
        </row>
        <row r="98">
          <cell r="A98" t="str">
            <v>Venezuela</v>
          </cell>
        </row>
        <row r="99">
          <cell r="A99" t="str">
            <v>Marshall Islands</v>
          </cell>
        </row>
        <row r="100">
          <cell r="A100" t="str">
            <v>Palau</v>
          </cell>
        </row>
        <row r="101">
          <cell r="A101" t="str">
            <v>Northern Mariana Islands</v>
          </cell>
        </row>
        <row r="102">
          <cell r="A102" t="str">
            <v>Tonga</v>
          </cell>
        </row>
        <row r="103">
          <cell r="A103" t="str">
            <v>Solomon Islands</v>
          </cell>
        </row>
        <row r="104">
          <cell r="A104" t="str">
            <v>Vanuatu</v>
          </cell>
        </row>
        <row r="105">
          <cell r="A105" t="str">
            <v>Samoa</v>
          </cell>
        </row>
        <row r="106">
          <cell r="A106" t="str">
            <v>St. Kitts &amp; Nevis</v>
          </cell>
        </row>
        <row r="107">
          <cell r="A107" t="str">
            <v>Ã…land Islands</v>
          </cell>
        </row>
        <row r="108">
          <cell r="A108" t="str">
            <v>Seychelles</v>
          </cell>
        </row>
        <row r="109">
          <cell r="A109" t="str">
            <v>Papua New Guinea</v>
          </cell>
        </row>
        <row r="110">
          <cell r="A110" t="str">
            <v>Liberia</v>
          </cell>
        </row>
        <row r="111">
          <cell r="A111" t="str">
            <v>Lesotho</v>
          </cell>
        </row>
        <row r="112">
          <cell r="A112" t="str">
            <v>Malta</v>
          </cell>
        </row>
        <row r="113">
          <cell r="A113" t="str">
            <v>Antigua &amp; Barbuda</v>
          </cell>
        </row>
        <row r="114">
          <cell r="A114" t="str">
            <v>St. Lucia</v>
          </cell>
        </row>
        <row r="115">
          <cell r="A115" t="str">
            <v>Bermuda</v>
          </cell>
        </row>
        <row r="116">
          <cell r="A116" t="str">
            <v>Isle of Man</v>
          </cell>
        </row>
        <row r="117">
          <cell r="A117" t="str">
            <v>Cuba</v>
          </cell>
        </row>
        <row r="118">
          <cell r="A118" t="str">
            <v>Zimbabwe</v>
          </cell>
        </row>
        <row r="119">
          <cell r="A119" t="str">
            <v>Aruba</v>
          </cell>
        </row>
        <row r="120">
          <cell r="A120" t="str">
            <v>North Macedonia</v>
          </cell>
        </row>
        <row r="121">
          <cell r="A121" t="str">
            <v>Myanmar (Burma)</v>
          </cell>
        </row>
        <row r="122">
          <cell r="A122" t="str">
            <v>CuraÃ§ao</v>
          </cell>
        </row>
        <row r="123">
          <cell r="A123" t="str">
            <v>Cyprus</v>
          </cell>
        </row>
        <row r="124">
          <cell r="A124" t="str">
            <v>Rwanda</v>
          </cell>
        </row>
        <row r="125">
          <cell r="A125" t="str">
            <v>Madagascar</v>
          </cell>
        </row>
        <row r="126">
          <cell r="A126" t="str">
            <v>Barbados</v>
          </cell>
        </row>
        <row r="127">
          <cell r="A127" t="str">
            <v>Luxembourg</v>
          </cell>
        </row>
        <row r="128">
          <cell r="A128" t="str">
            <v>Namibia</v>
          </cell>
        </row>
        <row r="129">
          <cell r="A129" t="str">
            <v>Turkmenistan</v>
          </cell>
        </row>
        <row r="130">
          <cell r="A130" t="str">
            <v>Benin</v>
          </cell>
        </row>
        <row r="131">
          <cell r="A131" t="str">
            <v>Malawi</v>
          </cell>
        </row>
        <row r="132">
          <cell r="A132" t="str">
            <v>Botswana</v>
          </cell>
        </row>
        <row r="133">
          <cell r="A133" t="str">
            <v>Cameroon</v>
          </cell>
        </row>
        <row r="134">
          <cell r="A134" t="str">
            <v>Cambodia</v>
          </cell>
        </row>
        <row r="135">
          <cell r="A135" t="str">
            <v>Brunei</v>
          </cell>
        </row>
        <row r="136">
          <cell r="A136" t="str">
            <v>Jersey</v>
          </cell>
        </row>
        <row r="137">
          <cell r="A137" t="str">
            <v>Afghanistan</v>
          </cell>
        </row>
        <row r="138">
          <cell r="A138" t="str">
            <v>Armenia</v>
          </cell>
        </row>
        <row r="139">
          <cell r="A139" t="str">
            <v>Uganda</v>
          </cell>
        </row>
        <row r="140">
          <cell r="A140" t="str">
            <v>Oman</v>
          </cell>
        </row>
        <row r="141">
          <cell r="A141" t="str">
            <v>Somalia</v>
          </cell>
        </row>
        <row r="142">
          <cell r="A142" t="str">
            <v>Trinidad &amp; Tobago</v>
          </cell>
        </row>
        <row r="143">
          <cell r="A143" t="str">
            <v>Angola</v>
          </cell>
        </row>
        <row r="144">
          <cell r="A144" t="str">
            <v>Mongolia</v>
          </cell>
        </row>
        <row r="145">
          <cell r="A145" t="str">
            <v>Sudan</v>
          </cell>
        </row>
        <row r="146">
          <cell r="A146" t="str">
            <v>Mali</v>
          </cell>
        </row>
        <row r="147">
          <cell r="A147" t="str">
            <v>Bahamas</v>
          </cell>
        </row>
        <row r="148">
          <cell r="A148" t="str">
            <v>Albania</v>
          </cell>
        </row>
        <row r="149">
          <cell r="A149" t="str">
            <v>Mauritius</v>
          </cell>
        </row>
        <row r="150">
          <cell r="A150" t="str">
            <v>Zambia</v>
          </cell>
        </row>
        <row r="151">
          <cell r="A151" t="str">
            <v>Burkina Faso</v>
          </cell>
        </row>
        <row r="152">
          <cell r="A152" t="str">
            <v>Palestine</v>
          </cell>
        </row>
        <row r="153">
          <cell r="A153" t="str">
            <v>Bahrain</v>
          </cell>
        </row>
        <row r="154">
          <cell r="A154" t="str">
            <v>Tajikistan</v>
          </cell>
        </row>
        <row r="155">
          <cell r="A155" t="str">
            <v>Honduras</v>
          </cell>
        </row>
        <row r="156">
          <cell r="A156" t="str">
            <v>Azerbaijan</v>
          </cell>
        </row>
        <row r="157">
          <cell r="A157" t="str">
            <v>CÃ´te dâ€™Ivoire</v>
          </cell>
        </row>
        <row r="158">
          <cell r="A158" t="str">
            <v>Puerto Rico</v>
          </cell>
        </row>
        <row r="159">
          <cell r="A159" t="str">
            <v>Panama</v>
          </cell>
        </row>
        <row r="160">
          <cell r="A160" t="str">
            <v>Montenegro</v>
          </cell>
        </row>
        <row r="161">
          <cell r="A161" t="str">
            <v>Kosovo</v>
          </cell>
        </row>
        <row r="162">
          <cell r="A162" t="str">
            <v>Libya</v>
          </cell>
        </row>
        <row r="163">
          <cell r="A163" t="str">
            <v>Syria</v>
          </cell>
        </row>
        <row r="164">
          <cell r="A164" t="str">
            <v>Jamaica</v>
          </cell>
        </row>
        <row r="165">
          <cell r="A165" t="str">
            <v>Moldova</v>
          </cell>
        </row>
        <row r="166">
          <cell r="A166" t="str">
            <v>Mozambique</v>
          </cell>
        </row>
        <row r="167">
          <cell r="A167" t="str">
            <v>Congo - Kinshasa</v>
          </cell>
        </row>
        <row r="168">
          <cell r="A168" t="str">
            <v>Kyrgyzstan</v>
          </cell>
        </row>
        <row r="169">
          <cell r="A169" t="str">
            <v>Paraguay</v>
          </cell>
        </row>
        <row r="170">
          <cell r="A170" t="str">
            <v>Nicaragua</v>
          </cell>
        </row>
        <row r="171">
          <cell r="A171" t="str">
            <v>Uruguay</v>
          </cell>
        </row>
        <row r="172">
          <cell r="A172" t="str">
            <v>Yemen</v>
          </cell>
        </row>
        <row r="173">
          <cell r="A173" t="str">
            <v>Dominican Republic</v>
          </cell>
        </row>
        <row r="174">
          <cell r="A174" t="str">
            <v>Anguilla</v>
          </cell>
        </row>
        <row r="175">
          <cell r="A175" t="str">
            <v>Andorra</v>
          </cell>
        </row>
        <row r="176">
          <cell r="A176" t="str">
            <v>American Samoa</v>
          </cell>
        </row>
        <row r="177">
          <cell r="A177" t="str">
            <v>Antarctica</v>
          </cell>
        </row>
        <row r="178">
          <cell r="A178" t="str">
            <v>French Southern Territories</v>
          </cell>
        </row>
        <row r="179">
          <cell r="A179" t="str">
            <v>Burundi</v>
          </cell>
        </row>
        <row r="180">
          <cell r="A180" t="str">
            <v>Caribbean Netherlands</v>
          </cell>
        </row>
        <row r="181">
          <cell r="A181" t="str">
            <v>St. BarthÃ©lemy</v>
          </cell>
        </row>
        <row r="182">
          <cell r="A182" t="str">
            <v>Belize</v>
          </cell>
        </row>
        <row r="183">
          <cell r="A183" t="str">
            <v>Bhutan</v>
          </cell>
        </row>
        <row r="184">
          <cell r="A184" t="str">
            <v>Bouvet Island</v>
          </cell>
        </row>
        <row r="185">
          <cell r="A185" t="str">
            <v>Central African Republic</v>
          </cell>
        </row>
        <row r="186">
          <cell r="A186" t="str">
            <v>Cocos (Keeling) Islands</v>
          </cell>
        </row>
        <row r="187">
          <cell r="A187" t="str">
            <v>Congo - Brazzaville</v>
          </cell>
        </row>
        <row r="188">
          <cell r="A188" t="str">
            <v>Cook Islands</v>
          </cell>
        </row>
        <row r="189">
          <cell r="A189" t="str">
            <v>Comoros</v>
          </cell>
        </row>
        <row r="190">
          <cell r="A190" t="str">
            <v>Cape Verde</v>
          </cell>
        </row>
        <row r="191">
          <cell r="A191" t="str">
            <v>Christmas Island</v>
          </cell>
        </row>
        <row r="192">
          <cell r="A192" t="str">
            <v>Cayman Islands</v>
          </cell>
        </row>
        <row r="193">
          <cell r="A193" t="str">
            <v>Djibouti</v>
          </cell>
        </row>
        <row r="194">
          <cell r="A194" t="str">
            <v>Dominica</v>
          </cell>
        </row>
        <row r="195">
          <cell r="A195" t="str">
            <v>Eritrea</v>
          </cell>
        </row>
        <row r="196">
          <cell r="A196" t="str">
            <v>Western Sahara</v>
          </cell>
        </row>
        <row r="197">
          <cell r="A197" t="str">
            <v>Falkland Islands (Islas Malvinas)</v>
          </cell>
        </row>
        <row r="198">
          <cell r="A198" t="str">
            <v>Faroe Islands</v>
          </cell>
        </row>
        <row r="199">
          <cell r="A199" t="str">
            <v>Gabon</v>
          </cell>
        </row>
        <row r="200">
          <cell r="A200" t="str">
            <v>Guernsey</v>
          </cell>
        </row>
        <row r="201">
          <cell r="A201" t="str">
            <v>Gibraltar</v>
          </cell>
        </row>
        <row r="202">
          <cell r="A202" t="str">
            <v>Guinea</v>
          </cell>
        </row>
        <row r="203">
          <cell r="A203" t="str">
            <v>Guadeloupe</v>
          </cell>
        </row>
        <row r="204">
          <cell r="A204" t="str">
            <v>Gambia</v>
          </cell>
        </row>
        <row r="205">
          <cell r="A205" t="str">
            <v>Guinea-Bissau</v>
          </cell>
        </row>
        <row r="206">
          <cell r="A206" t="str">
            <v>Equatorial Guinea</v>
          </cell>
        </row>
        <row r="207">
          <cell r="A207" t="str">
            <v>Grenada</v>
          </cell>
        </row>
        <row r="208">
          <cell r="A208" t="str">
            <v>Greenland</v>
          </cell>
        </row>
        <row r="209">
          <cell r="A209" t="str">
            <v>French Guiana</v>
          </cell>
        </row>
        <row r="210">
          <cell r="A210" t="str">
            <v>Guyana</v>
          </cell>
        </row>
        <row r="211">
          <cell r="A211" t="str">
            <v>Heard &amp; McDonald Islands</v>
          </cell>
        </row>
        <row r="212">
          <cell r="A212" t="str">
            <v>Haiti</v>
          </cell>
        </row>
        <row r="213">
          <cell r="A213" t="str">
            <v>British Indian Ocean Territory</v>
          </cell>
        </row>
        <row r="214">
          <cell r="A214" t="str">
            <v>Kiribati</v>
          </cell>
        </row>
        <row r="215">
          <cell r="A215" t="str">
            <v>Liechtenstein</v>
          </cell>
        </row>
        <row r="216">
          <cell r="A216" t="str">
            <v>St. Martin</v>
          </cell>
        </row>
        <row r="217">
          <cell r="A217" t="str">
            <v>Monaco</v>
          </cell>
        </row>
        <row r="218">
          <cell r="A218" t="str">
            <v>Mauritania</v>
          </cell>
        </row>
        <row r="219">
          <cell r="A219" t="str">
            <v>Montserrat</v>
          </cell>
        </row>
        <row r="220">
          <cell r="A220" t="str">
            <v>Martinique</v>
          </cell>
        </row>
        <row r="221">
          <cell r="A221" t="str">
            <v>Mayotte</v>
          </cell>
        </row>
        <row r="222">
          <cell r="A222" t="str">
            <v>New Caledonia</v>
          </cell>
        </row>
        <row r="223">
          <cell r="A223" t="str">
            <v>Niger</v>
          </cell>
        </row>
        <row r="224">
          <cell r="A224" t="str">
            <v>Norfolk Island</v>
          </cell>
        </row>
        <row r="225">
          <cell r="A225" t="str">
            <v>Niue</v>
          </cell>
        </row>
        <row r="226">
          <cell r="A226" t="str">
            <v>Nauru</v>
          </cell>
        </row>
        <row r="227">
          <cell r="A227" t="str">
            <v>Pitcairn Islands</v>
          </cell>
        </row>
        <row r="228">
          <cell r="A228" t="str">
            <v>North Korea</v>
          </cell>
        </row>
        <row r="229">
          <cell r="A229" t="str">
            <v>French Polynesia</v>
          </cell>
        </row>
        <row r="230">
          <cell r="A230" t="str">
            <v>RÃ©union</v>
          </cell>
        </row>
        <row r="231">
          <cell r="A231" t="str">
            <v>Senegal</v>
          </cell>
        </row>
        <row r="232">
          <cell r="A232" t="str">
            <v>South Georgia &amp; South Sandwich Islands</v>
          </cell>
        </row>
        <row r="233">
          <cell r="A233" t="str">
            <v>Svalbard &amp; Jan Mayen</v>
          </cell>
        </row>
        <row r="234">
          <cell r="A234" t="str">
            <v>Sierra Leone</v>
          </cell>
        </row>
        <row r="235">
          <cell r="A235" t="str">
            <v>San Marino</v>
          </cell>
        </row>
        <row r="236">
          <cell r="A236" t="str">
            <v>St. Pierre &amp; Miquelon</v>
          </cell>
        </row>
        <row r="237">
          <cell r="A237" t="str">
            <v>South Sudan</v>
          </cell>
        </row>
        <row r="238">
          <cell r="A238" t="str">
            <v>SÃ£o TomÃ© &amp; PrÃ­ncipe</v>
          </cell>
        </row>
        <row r="239">
          <cell r="A239" t="str">
            <v>Suriname</v>
          </cell>
        </row>
        <row r="240">
          <cell r="A240" t="str">
            <v>Eswatini</v>
          </cell>
        </row>
        <row r="241">
          <cell r="A241" t="str">
            <v>Sint Maarten</v>
          </cell>
        </row>
        <row r="242">
          <cell r="A242" t="str">
            <v>Turks &amp; Caicos Islands</v>
          </cell>
        </row>
        <row r="243">
          <cell r="A243" t="str">
            <v>Chad</v>
          </cell>
        </row>
        <row r="244">
          <cell r="A244" t="str">
            <v>Togo</v>
          </cell>
        </row>
        <row r="245">
          <cell r="A245" t="str">
            <v>Tokelau</v>
          </cell>
        </row>
        <row r="246">
          <cell r="A246" t="str">
            <v>Timor-Leste</v>
          </cell>
        </row>
        <row r="247">
          <cell r="A247" t="str">
            <v>Tuvalu</v>
          </cell>
        </row>
        <row r="248">
          <cell r="A248" t="str">
            <v>U.S. Outlying Islands</v>
          </cell>
        </row>
        <row r="249">
          <cell r="A249" t="str">
            <v>Vatican City</v>
          </cell>
        </row>
        <row r="250">
          <cell r="A250" t="str">
            <v>St. Vincent &amp; Grenadines</v>
          </cell>
        </row>
        <row r="251">
          <cell r="A251" t="str">
            <v>British Virgin Islands</v>
          </cell>
        </row>
        <row r="252">
          <cell r="A252" t="str">
            <v>U.S. Virgin Islands</v>
          </cell>
        </row>
        <row r="253">
          <cell r="A253" t="str">
            <v>Wallis &amp; Futuna</v>
          </cell>
        </row>
      </sheetData>
    </sheetDataSet>
  </externalBook>
</externalLink>
</file>

<file path=xl/externalLinks/externalLink1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20)"/>
    </sheetNames>
    <sheetDataSet>
      <sheetData sheetId="0" refreshError="1">
        <row r="1">
          <cell r="A1" t="str">
            <v>Category: All categories</v>
          </cell>
        </row>
        <row r="3">
          <cell r="A3" t="str">
            <v>Country</v>
          </cell>
          <cell r="B3" t="str">
            <v>Semaphore: (2018)</v>
          </cell>
          <cell r="C3" t="str">
            <v>B-tree: (2018)</v>
          </cell>
        </row>
        <row r="4">
          <cell r="A4" t="str">
            <v>China</v>
          </cell>
          <cell r="B4">
            <v>0.56000000000000005</v>
          </cell>
          <cell r="C4">
            <v>0.44</v>
          </cell>
        </row>
        <row r="5">
          <cell r="A5" t="str">
            <v>Australia</v>
          </cell>
          <cell r="B5">
            <v>0.98</v>
          </cell>
          <cell r="C5">
            <v>0.02</v>
          </cell>
        </row>
        <row r="6">
          <cell r="A6" t="str">
            <v>South Korea</v>
          </cell>
          <cell r="B6">
            <v>0.68</v>
          </cell>
          <cell r="C6">
            <v>0.32</v>
          </cell>
        </row>
        <row r="7">
          <cell r="A7" t="str">
            <v>France</v>
          </cell>
          <cell r="B7">
            <v>0.96</v>
          </cell>
          <cell r="C7">
            <v>0.04</v>
          </cell>
        </row>
        <row r="8">
          <cell r="A8" t="str">
            <v>Slovakia</v>
          </cell>
          <cell r="B8">
            <v>1</v>
          </cell>
        </row>
        <row r="9">
          <cell r="A9" t="str">
            <v>St. Helena</v>
          </cell>
          <cell r="B9">
            <v>0.76</v>
          </cell>
          <cell r="C9">
            <v>0.24</v>
          </cell>
        </row>
        <row r="10">
          <cell r="A10" t="str">
            <v>Israel</v>
          </cell>
          <cell r="B10">
            <v>0.69</v>
          </cell>
          <cell r="C10">
            <v>0.31</v>
          </cell>
        </row>
        <row r="11">
          <cell r="A11" t="str">
            <v>Zimbabwe</v>
          </cell>
        </row>
        <row r="12">
          <cell r="A12" t="str">
            <v>Fiji</v>
          </cell>
        </row>
        <row r="13">
          <cell r="A13" t="str">
            <v>India</v>
          </cell>
          <cell r="B13">
            <v>0.67</v>
          </cell>
          <cell r="C13">
            <v>0.33</v>
          </cell>
        </row>
        <row r="14">
          <cell r="A14" t="str">
            <v>Switzerland</v>
          </cell>
          <cell r="B14">
            <v>0.89</v>
          </cell>
          <cell r="C14">
            <v>0.11</v>
          </cell>
        </row>
        <row r="15">
          <cell r="A15" t="str">
            <v>Tunisia</v>
          </cell>
        </row>
        <row r="16">
          <cell r="A16" t="str">
            <v>Ethiopia</v>
          </cell>
        </row>
        <row r="17">
          <cell r="A17" t="str">
            <v>Singapore</v>
          </cell>
          <cell r="B17">
            <v>0.76</v>
          </cell>
          <cell r="C17">
            <v>0.24</v>
          </cell>
        </row>
        <row r="18">
          <cell r="A18" t="str">
            <v>Taiwan</v>
          </cell>
          <cell r="B18">
            <v>0.76</v>
          </cell>
          <cell r="C18">
            <v>0.24</v>
          </cell>
        </row>
        <row r="19">
          <cell r="A19" t="str">
            <v>Botswana</v>
          </cell>
        </row>
        <row r="20">
          <cell r="A20" t="str">
            <v>Belgium</v>
          </cell>
          <cell r="B20">
            <v>0.85</v>
          </cell>
          <cell r="C20">
            <v>0.15</v>
          </cell>
        </row>
        <row r="21">
          <cell r="A21" t="str">
            <v>New Zealand</v>
          </cell>
          <cell r="B21">
            <v>0.85</v>
          </cell>
          <cell r="C21">
            <v>0.15</v>
          </cell>
        </row>
        <row r="22">
          <cell r="A22" t="str">
            <v>Canada</v>
          </cell>
          <cell r="B22">
            <v>0.81</v>
          </cell>
          <cell r="C22">
            <v>0.19</v>
          </cell>
        </row>
        <row r="23">
          <cell r="A23" t="str">
            <v>Pakistan</v>
          </cell>
          <cell r="B23">
            <v>0.68</v>
          </cell>
          <cell r="C23">
            <v>0.32</v>
          </cell>
        </row>
        <row r="24">
          <cell r="A24" t="str">
            <v>Hungary</v>
          </cell>
          <cell r="B24">
            <v>0.86</v>
          </cell>
          <cell r="C24">
            <v>0.14000000000000001</v>
          </cell>
        </row>
        <row r="25">
          <cell r="A25" t="str">
            <v>Ireland</v>
          </cell>
          <cell r="B25">
            <v>0.78</v>
          </cell>
          <cell r="C25">
            <v>0.22</v>
          </cell>
        </row>
        <row r="26">
          <cell r="A26" t="str">
            <v>Lebanon</v>
          </cell>
        </row>
        <row r="27">
          <cell r="A27" t="str">
            <v>United Kingdom</v>
          </cell>
          <cell r="B27">
            <v>0.85</v>
          </cell>
          <cell r="C27">
            <v>0.15</v>
          </cell>
        </row>
        <row r="28">
          <cell r="A28" t="str">
            <v>Algeria</v>
          </cell>
          <cell r="B28">
            <v>0.84</v>
          </cell>
          <cell r="C28">
            <v>0.16</v>
          </cell>
        </row>
        <row r="29">
          <cell r="A29" t="str">
            <v>Sweden</v>
          </cell>
          <cell r="B29">
            <v>0.83</v>
          </cell>
          <cell r="C29">
            <v>0.17</v>
          </cell>
        </row>
        <row r="30">
          <cell r="A30" t="str">
            <v>North Macedonia</v>
          </cell>
        </row>
        <row r="31">
          <cell r="A31" t="str">
            <v>Hong Kong</v>
          </cell>
          <cell r="B31">
            <v>0.68</v>
          </cell>
          <cell r="C31">
            <v>0.32</v>
          </cell>
        </row>
        <row r="32">
          <cell r="A32" t="str">
            <v>United States</v>
          </cell>
          <cell r="B32">
            <v>0.75</v>
          </cell>
          <cell r="C32">
            <v>0.25</v>
          </cell>
        </row>
        <row r="33">
          <cell r="A33" t="str">
            <v>Denmark</v>
          </cell>
          <cell r="B33">
            <v>0.77</v>
          </cell>
          <cell r="C33">
            <v>0.23</v>
          </cell>
        </row>
        <row r="34">
          <cell r="A34" t="str">
            <v>Belarus</v>
          </cell>
          <cell r="B34">
            <v>0.75</v>
          </cell>
          <cell r="C34">
            <v>0.25</v>
          </cell>
        </row>
        <row r="35">
          <cell r="A35" t="str">
            <v>Germany</v>
          </cell>
          <cell r="B35">
            <v>0.73</v>
          </cell>
          <cell r="C35">
            <v>0.27</v>
          </cell>
        </row>
        <row r="36">
          <cell r="A36" t="str">
            <v>Senegal</v>
          </cell>
        </row>
        <row r="37">
          <cell r="A37" t="str">
            <v>Kenya</v>
          </cell>
          <cell r="B37">
            <v>1</v>
          </cell>
        </row>
        <row r="38">
          <cell r="A38" t="str">
            <v>Philippines</v>
          </cell>
          <cell r="B38">
            <v>0.87</v>
          </cell>
          <cell r="C38">
            <v>0.13</v>
          </cell>
        </row>
        <row r="39">
          <cell r="A39" t="str">
            <v>Sri Lanka</v>
          </cell>
        </row>
        <row r="40">
          <cell r="A40" t="str">
            <v>Japan</v>
          </cell>
          <cell r="B40">
            <v>0.79</v>
          </cell>
          <cell r="C40">
            <v>0.21</v>
          </cell>
        </row>
        <row r="41">
          <cell r="A41" t="str">
            <v>Cyprus</v>
          </cell>
        </row>
        <row r="42">
          <cell r="A42" t="str">
            <v>Nepal</v>
          </cell>
        </row>
        <row r="43">
          <cell r="A43" t="str">
            <v>Serbia</v>
          </cell>
          <cell r="B43">
            <v>0.67</v>
          </cell>
          <cell r="C43">
            <v>0.33</v>
          </cell>
        </row>
        <row r="44">
          <cell r="A44" t="str">
            <v>Portugal</v>
          </cell>
          <cell r="B44">
            <v>0.87</v>
          </cell>
          <cell r="C44">
            <v>0.13</v>
          </cell>
        </row>
        <row r="45">
          <cell r="A45" t="str">
            <v>Iran</v>
          </cell>
          <cell r="B45">
            <v>0.28999999999999998</v>
          </cell>
          <cell r="C45">
            <v>0.71</v>
          </cell>
        </row>
        <row r="46">
          <cell r="A46" t="str">
            <v>Austria</v>
          </cell>
          <cell r="B46">
            <v>0.72</v>
          </cell>
          <cell r="C46">
            <v>0.28000000000000003</v>
          </cell>
        </row>
        <row r="47">
          <cell r="A47" t="str">
            <v>Norway</v>
          </cell>
          <cell r="B47">
            <v>0.78</v>
          </cell>
          <cell r="C47">
            <v>0.22</v>
          </cell>
        </row>
        <row r="48">
          <cell r="A48" t="str">
            <v>Greece</v>
          </cell>
          <cell r="B48">
            <v>0.76</v>
          </cell>
          <cell r="C48">
            <v>0.24</v>
          </cell>
        </row>
        <row r="49">
          <cell r="A49" t="str">
            <v>Finland</v>
          </cell>
          <cell r="B49">
            <v>0.84</v>
          </cell>
          <cell r="C49">
            <v>0.16</v>
          </cell>
        </row>
        <row r="50">
          <cell r="A50" t="str">
            <v>Russia</v>
          </cell>
          <cell r="B50">
            <v>0.68</v>
          </cell>
          <cell r="C50">
            <v>0.32</v>
          </cell>
        </row>
        <row r="51">
          <cell r="A51" t="str">
            <v>Bangladesh</v>
          </cell>
          <cell r="B51">
            <v>0.7</v>
          </cell>
          <cell r="C51">
            <v>0.3</v>
          </cell>
        </row>
        <row r="52">
          <cell r="A52" t="str">
            <v>Moldova</v>
          </cell>
        </row>
        <row r="53">
          <cell r="A53" t="str">
            <v>Latvia</v>
          </cell>
        </row>
        <row r="54">
          <cell r="A54" t="str">
            <v>Netherlands</v>
          </cell>
          <cell r="B54">
            <v>0.76</v>
          </cell>
          <cell r="C54">
            <v>0.24</v>
          </cell>
        </row>
        <row r="55">
          <cell r="A55" t="str">
            <v>Croatia</v>
          </cell>
          <cell r="B55">
            <v>0.61</v>
          </cell>
          <cell r="C55">
            <v>0.39</v>
          </cell>
        </row>
        <row r="56">
          <cell r="A56" t="str">
            <v>South Africa</v>
          </cell>
          <cell r="B56">
            <v>0.76</v>
          </cell>
          <cell r="C56">
            <v>0.24</v>
          </cell>
        </row>
        <row r="57">
          <cell r="A57" t="str">
            <v>Myanmar (Burma)</v>
          </cell>
        </row>
        <row r="58">
          <cell r="A58" t="str">
            <v>Oman</v>
          </cell>
        </row>
        <row r="59">
          <cell r="A59" t="str">
            <v>Romania</v>
          </cell>
          <cell r="B59">
            <v>0.74</v>
          </cell>
          <cell r="C59">
            <v>0.26</v>
          </cell>
        </row>
        <row r="60">
          <cell r="A60" t="str">
            <v>Slovenia</v>
          </cell>
        </row>
        <row r="61">
          <cell r="A61" t="str">
            <v>Czechia</v>
          </cell>
          <cell r="B61">
            <v>0.56999999999999995</v>
          </cell>
          <cell r="C61">
            <v>0.43</v>
          </cell>
        </row>
        <row r="62">
          <cell r="A62" t="str">
            <v>Ukraine</v>
          </cell>
          <cell r="B62">
            <v>0.74</v>
          </cell>
          <cell r="C62">
            <v>0.26</v>
          </cell>
        </row>
        <row r="63">
          <cell r="A63" t="str">
            <v>Malaysia</v>
          </cell>
          <cell r="B63">
            <v>0.82</v>
          </cell>
          <cell r="C63">
            <v>0.18</v>
          </cell>
        </row>
        <row r="64">
          <cell r="A64" t="str">
            <v>Lithuania</v>
          </cell>
        </row>
        <row r="65">
          <cell r="A65" t="str">
            <v>Bulgaria</v>
          </cell>
          <cell r="B65">
            <v>0.69</v>
          </cell>
          <cell r="C65">
            <v>0.31</v>
          </cell>
        </row>
        <row r="66">
          <cell r="A66" t="str">
            <v>Nigeria</v>
          </cell>
          <cell r="B66">
            <v>0.82</v>
          </cell>
          <cell r="C66">
            <v>0.18</v>
          </cell>
        </row>
        <row r="67">
          <cell r="A67" t="str">
            <v>Palestine</v>
          </cell>
        </row>
        <row r="68">
          <cell r="A68" t="str">
            <v>Morocco</v>
          </cell>
          <cell r="B68">
            <v>1</v>
          </cell>
        </row>
        <row r="69">
          <cell r="A69" t="str">
            <v>Vietnam</v>
          </cell>
          <cell r="B69">
            <v>0.7</v>
          </cell>
          <cell r="C69">
            <v>0.3</v>
          </cell>
        </row>
        <row r="70">
          <cell r="A70" t="str">
            <v>Poland</v>
          </cell>
          <cell r="B70">
            <v>0.69</v>
          </cell>
          <cell r="C70">
            <v>0.31</v>
          </cell>
        </row>
        <row r="71">
          <cell r="A71" t="str">
            <v>Egypt</v>
          </cell>
          <cell r="B71">
            <v>0.71</v>
          </cell>
          <cell r="C71">
            <v>0.28999999999999998</v>
          </cell>
        </row>
        <row r="72">
          <cell r="A72" t="str">
            <v>Indonesia</v>
          </cell>
          <cell r="B72">
            <v>0.77</v>
          </cell>
          <cell r="C72">
            <v>0.23</v>
          </cell>
        </row>
        <row r="73">
          <cell r="A73" t="str">
            <v>Italy</v>
          </cell>
          <cell r="B73">
            <v>0.74</v>
          </cell>
          <cell r="C73">
            <v>0.26</v>
          </cell>
        </row>
        <row r="74">
          <cell r="A74" t="str">
            <v>United Arab Emirates</v>
          </cell>
          <cell r="B74">
            <v>0.68</v>
          </cell>
          <cell r="C74">
            <v>0.32</v>
          </cell>
        </row>
        <row r="75">
          <cell r="A75" t="str">
            <v>Kazakhstan</v>
          </cell>
          <cell r="B75">
            <v>1</v>
          </cell>
        </row>
        <row r="76">
          <cell r="A76" t="str">
            <v>Sudan</v>
          </cell>
        </row>
        <row r="77">
          <cell r="A77" t="str">
            <v>Spain</v>
          </cell>
          <cell r="B77">
            <v>0.75</v>
          </cell>
          <cell r="C77">
            <v>0.25</v>
          </cell>
        </row>
        <row r="78">
          <cell r="A78" t="str">
            <v>Bosnia &amp; Herzegovina</v>
          </cell>
        </row>
        <row r="79">
          <cell r="A79" t="str">
            <v>Tanzania</v>
          </cell>
        </row>
        <row r="80">
          <cell r="A80" t="str">
            <v>Saudi Arabia</v>
          </cell>
          <cell r="B80">
            <v>0.72</v>
          </cell>
          <cell r="C80">
            <v>0.28000000000000003</v>
          </cell>
        </row>
        <row r="81">
          <cell r="A81" t="str">
            <v>Guatemala</v>
          </cell>
        </row>
        <row r="82">
          <cell r="A82" t="str">
            <v>Jordan</v>
          </cell>
        </row>
        <row r="83">
          <cell r="A83" t="str">
            <v>Uruguay</v>
          </cell>
        </row>
        <row r="84">
          <cell r="A84" t="str">
            <v>Costa Rica</v>
          </cell>
        </row>
        <row r="85">
          <cell r="A85" t="str">
            <v>Turkey</v>
          </cell>
          <cell r="B85">
            <v>0.69</v>
          </cell>
          <cell r="C85">
            <v>0.31</v>
          </cell>
        </row>
        <row r="86">
          <cell r="A86" t="str">
            <v>Argentina</v>
          </cell>
          <cell r="B86">
            <v>0.63</v>
          </cell>
          <cell r="C86">
            <v>0.37</v>
          </cell>
        </row>
        <row r="87">
          <cell r="A87" t="str">
            <v>Kuwait</v>
          </cell>
        </row>
        <row r="88">
          <cell r="A88" t="str">
            <v>Ecuador</v>
          </cell>
          <cell r="C88">
            <v>1</v>
          </cell>
        </row>
        <row r="89">
          <cell r="A89" t="str">
            <v>Mexico</v>
          </cell>
          <cell r="B89">
            <v>0.65</v>
          </cell>
          <cell r="C89">
            <v>0.35</v>
          </cell>
        </row>
        <row r="90">
          <cell r="A90" t="str">
            <v>Brazil</v>
          </cell>
          <cell r="B90">
            <v>0.42</v>
          </cell>
          <cell r="C90">
            <v>0.57999999999999996</v>
          </cell>
        </row>
        <row r="91">
          <cell r="A91" t="str">
            <v>Bolivia</v>
          </cell>
        </row>
        <row r="92">
          <cell r="A92" t="str">
            <v>Thailand</v>
          </cell>
          <cell r="B92">
            <v>0.64</v>
          </cell>
          <cell r="C92">
            <v>0.36</v>
          </cell>
        </row>
        <row r="93">
          <cell r="A93" t="str">
            <v>Peru</v>
          </cell>
        </row>
        <row r="94">
          <cell r="A94" t="str">
            <v>Colombia</v>
          </cell>
          <cell r="B94">
            <v>0.51</v>
          </cell>
          <cell r="C94">
            <v>0.49</v>
          </cell>
        </row>
        <row r="95">
          <cell r="A95" t="str">
            <v>Chile</v>
          </cell>
          <cell r="B95">
            <v>0.56000000000000005</v>
          </cell>
          <cell r="C95">
            <v>0.44</v>
          </cell>
        </row>
        <row r="96">
          <cell r="A96" t="str">
            <v>Venezuela</v>
          </cell>
        </row>
        <row r="97">
          <cell r="A97" t="str">
            <v>St. BarthÃ©lemy</v>
          </cell>
        </row>
        <row r="98">
          <cell r="A98" t="str">
            <v>Grenada</v>
          </cell>
        </row>
        <row r="99">
          <cell r="A99" t="str">
            <v>Turks &amp; Caicos Islands</v>
          </cell>
        </row>
        <row r="100">
          <cell r="A100" t="str">
            <v>Guernsey</v>
          </cell>
        </row>
        <row r="101">
          <cell r="A101" t="str">
            <v>Liechtenstein</v>
          </cell>
        </row>
        <row r="102">
          <cell r="A102" t="str">
            <v>Gambia</v>
          </cell>
        </row>
        <row r="103">
          <cell r="A103" t="str">
            <v>Antigua &amp; Barbuda</v>
          </cell>
        </row>
        <row r="104">
          <cell r="A104" t="str">
            <v>South Sudan</v>
          </cell>
        </row>
        <row r="105">
          <cell r="A105" t="str">
            <v>Burundi</v>
          </cell>
        </row>
        <row r="106">
          <cell r="A106" t="str">
            <v>St. Lucia</v>
          </cell>
        </row>
        <row r="107">
          <cell r="A107" t="str">
            <v>Bermuda</v>
          </cell>
        </row>
        <row r="108">
          <cell r="A108" t="str">
            <v>New Caledonia</v>
          </cell>
        </row>
        <row r="109">
          <cell r="A109" t="str">
            <v>French Guiana</v>
          </cell>
        </row>
        <row r="110">
          <cell r="A110" t="str">
            <v>Jersey</v>
          </cell>
        </row>
        <row r="111">
          <cell r="A111" t="str">
            <v>Cape Verde</v>
          </cell>
        </row>
        <row r="112">
          <cell r="A112" t="str">
            <v>Martinique</v>
          </cell>
        </row>
        <row r="113">
          <cell r="A113" t="str">
            <v>Congo - Brazzaville</v>
          </cell>
        </row>
        <row r="114">
          <cell r="A114" t="str">
            <v>Madagascar</v>
          </cell>
        </row>
        <row r="115">
          <cell r="A115" t="str">
            <v>Guadeloupe</v>
          </cell>
        </row>
        <row r="116">
          <cell r="A116" t="str">
            <v>Malta</v>
          </cell>
        </row>
        <row r="117">
          <cell r="A117" t="str">
            <v>Isle of Man</v>
          </cell>
        </row>
        <row r="118">
          <cell r="A118" t="str">
            <v>Papua New Guinea</v>
          </cell>
        </row>
        <row r="119">
          <cell r="A119" t="str">
            <v>Rwanda</v>
          </cell>
        </row>
        <row r="120">
          <cell r="A120" t="str">
            <v>RÃ©union</v>
          </cell>
        </row>
        <row r="121">
          <cell r="A121" t="str">
            <v>Guam</v>
          </cell>
        </row>
        <row r="122">
          <cell r="A122" t="str">
            <v>Malawi</v>
          </cell>
        </row>
        <row r="123">
          <cell r="A123" t="str">
            <v>Luxembourg</v>
          </cell>
        </row>
        <row r="124">
          <cell r="A124" t="str">
            <v>Guyana</v>
          </cell>
        </row>
        <row r="125">
          <cell r="A125" t="str">
            <v>Congo - Kinshasa</v>
          </cell>
        </row>
        <row r="126">
          <cell r="A126" t="str">
            <v>Barbados</v>
          </cell>
        </row>
        <row r="127">
          <cell r="A127" t="str">
            <v>Cuba</v>
          </cell>
        </row>
        <row r="128">
          <cell r="A128" t="str">
            <v>Suriname</v>
          </cell>
        </row>
        <row r="129">
          <cell r="A129" t="str">
            <v>Trinidad &amp; Tobago</v>
          </cell>
        </row>
        <row r="130">
          <cell r="A130" t="str">
            <v>Albania</v>
          </cell>
        </row>
        <row r="131">
          <cell r="A131" t="str">
            <v>Namibia</v>
          </cell>
        </row>
        <row r="132">
          <cell r="A132" t="str">
            <v>Haiti</v>
          </cell>
        </row>
        <row r="133">
          <cell r="A133" t="str">
            <v>Bahamas</v>
          </cell>
        </row>
        <row r="134">
          <cell r="A134" t="str">
            <v>Mauritius</v>
          </cell>
        </row>
        <row r="135">
          <cell r="A135" t="str">
            <v>Cameroon</v>
          </cell>
        </row>
        <row r="136">
          <cell r="A136" t="str">
            <v>Jamaica</v>
          </cell>
        </row>
        <row r="137">
          <cell r="A137" t="str">
            <v>Brunei</v>
          </cell>
        </row>
        <row r="138">
          <cell r="A138" t="str">
            <v>Macao</v>
          </cell>
        </row>
        <row r="139">
          <cell r="A139" t="str">
            <v>CÃ´te dâ€™Ivoire</v>
          </cell>
        </row>
        <row r="140">
          <cell r="A140" t="str">
            <v>Puerto Rico</v>
          </cell>
        </row>
        <row r="141">
          <cell r="A141" t="str">
            <v>Ghana</v>
          </cell>
        </row>
        <row r="142">
          <cell r="A142" t="str">
            <v>Nicaragua</v>
          </cell>
        </row>
        <row r="143">
          <cell r="A143" t="str">
            <v>Uganda</v>
          </cell>
        </row>
        <row r="144">
          <cell r="A144" t="str">
            <v>Estonia</v>
          </cell>
        </row>
        <row r="145">
          <cell r="A145" t="str">
            <v>Armenia</v>
          </cell>
        </row>
        <row r="146">
          <cell r="A146" t="str">
            <v>Iceland</v>
          </cell>
        </row>
        <row r="147">
          <cell r="A147" t="str">
            <v>Mongolia</v>
          </cell>
        </row>
        <row r="148">
          <cell r="A148" t="str">
            <v>Paraguay</v>
          </cell>
        </row>
        <row r="149">
          <cell r="A149" t="str">
            <v>Kosovo</v>
          </cell>
        </row>
        <row r="150">
          <cell r="A150" t="str">
            <v>Laos</v>
          </cell>
        </row>
        <row r="151">
          <cell r="A151" t="str">
            <v>Zambia</v>
          </cell>
        </row>
        <row r="152">
          <cell r="A152" t="str">
            <v>Azerbaijan</v>
          </cell>
        </row>
        <row r="153">
          <cell r="A153" t="str">
            <v>Georgia</v>
          </cell>
        </row>
        <row r="154">
          <cell r="A154" t="str">
            <v>Bahrain</v>
          </cell>
        </row>
        <row r="155">
          <cell r="A155" t="str">
            <v>Uzbekistan</v>
          </cell>
        </row>
        <row r="156">
          <cell r="A156" t="str">
            <v>Libya</v>
          </cell>
        </row>
        <row r="157">
          <cell r="A157" t="str">
            <v>Qatar</v>
          </cell>
        </row>
        <row r="158">
          <cell r="A158" t="str">
            <v>Iraq</v>
          </cell>
        </row>
        <row r="159">
          <cell r="A159" t="str">
            <v>Syria</v>
          </cell>
        </row>
        <row r="160">
          <cell r="A160" t="str">
            <v>Dominican Republic</v>
          </cell>
        </row>
        <row r="161">
          <cell r="A161" t="str">
            <v>Cambodia</v>
          </cell>
        </row>
        <row r="162">
          <cell r="A162" t="str">
            <v>Panama</v>
          </cell>
        </row>
        <row r="163">
          <cell r="A163" t="str">
            <v>Aruba</v>
          </cell>
        </row>
        <row r="164">
          <cell r="A164" t="str">
            <v>Afghanistan</v>
          </cell>
        </row>
        <row r="165">
          <cell r="A165" t="str">
            <v>Angola</v>
          </cell>
        </row>
        <row r="166">
          <cell r="A166" t="str">
            <v>Anguilla</v>
          </cell>
        </row>
        <row r="167">
          <cell r="A167" t="str">
            <v>Ã…land Islands</v>
          </cell>
        </row>
        <row r="168">
          <cell r="A168" t="str">
            <v>Andorra</v>
          </cell>
        </row>
        <row r="169">
          <cell r="A169" t="str">
            <v>American Samoa</v>
          </cell>
        </row>
        <row r="170">
          <cell r="A170" t="str">
            <v>Antarctica</v>
          </cell>
        </row>
        <row r="171">
          <cell r="A171" t="str">
            <v>French Southern Territories</v>
          </cell>
        </row>
        <row r="172">
          <cell r="A172" t="str">
            <v>Benin</v>
          </cell>
        </row>
        <row r="173">
          <cell r="A173" t="str">
            <v>Caribbean Netherlands</v>
          </cell>
        </row>
        <row r="174">
          <cell r="A174" t="str">
            <v>Burkina Faso</v>
          </cell>
        </row>
        <row r="175">
          <cell r="A175" t="str">
            <v>Belize</v>
          </cell>
        </row>
        <row r="176">
          <cell r="A176" t="str">
            <v>Bhutan</v>
          </cell>
        </row>
        <row r="177">
          <cell r="A177" t="str">
            <v>Bouvet Island</v>
          </cell>
        </row>
        <row r="178">
          <cell r="A178" t="str">
            <v>Central African Republic</v>
          </cell>
        </row>
        <row r="179">
          <cell r="A179" t="str">
            <v>Cocos (Keeling) Islands</v>
          </cell>
        </row>
        <row r="180">
          <cell r="A180" t="str">
            <v>Cook Islands</v>
          </cell>
        </row>
        <row r="181">
          <cell r="A181" t="str">
            <v>Comoros</v>
          </cell>
        </row>
        <row r="182">
          <cell r="A182" t="str">
            <v>CuraÃ§ao</v>
          </cell>
        </row>
        <row r="183">
          <cell r="A183" t="str">
            <v>Christmas Island</v>
          </cell>
        </row>
        <row r="184">
          <cell r="A184" t="str">
            <v>Cayman Islands</v>
          </cell>
        </row>
        <row r="185">
          <cell r="A185" t="str">
            <v>Djibouti</v>
          </cell>
        </row>
        <row r="186">
          <cell r="A186" t="str">
            <v>Dominica</v>
          </cell>
        </row>
        <row r="187">
          <cell r="A187" t="str">
            <v>Eritrea</v>
          </cell>
        </row>
        <row r="188">
          <cell r="A188" t="str">
            <v>Western Sahara</v>
          </cell>
        </row>
        <row r="189">
          <cell r="A189" t="str">
            <v>Falkland Islands (Islas Malvinas)</v>
          </cell>
        </row>
        <row r="190">
          <cell r="A190" t="str">
            <v>Faroe Islands</v>
          </cell>
        </row>
        <row r="191">
          <cell r="A191" t="str">
            <v>Micronesia</v>
          </cell>
        </row>
        <row r="192">
          <cell r="A192" t="str">
            <v>Gabon</v>
          </cell>
        </row>
        <row r="193">
          <cell r="A193" t="str">
            <v>Gibraltar</v>
          </cell>
        </row>
        <row r="194">
          <cell r="A194" t="str">
            <v>Guinea</v>
          </cell>
        </row>
        <row r="195">
          <cell r="A195" t="str">
            <v>Guinea-Bissau</v>
          </cell>
        </row>
        <row r="196">
          <cell r="A196" t="str">
            <v>Equatorial Guinea</v>
          </cell>
        </row>
        <row r="197">
          <cell r="A197" t="str">
            <v>Greenland</v>
          </cell>
        </row>
        <row r="198">
          <cell r="A198" t="str">
            <v>Heard &amp; McDonald Islands</v>
          </cell>
        </row>
        <row r="199">
          <cell r="A199" t="str">
            <v>Honduras</v>
          </cell>
        </row>
        <row r="200">
          <cell r="A200" t="str">
            <v>British Indian Ocean Territory</v>
          </cell>
        </row>
        <row r="201">
          <cell r="A201" t="str">
            <v>Kyrgyzstan</v>
          </cell>
        </row>
        <row r="202">
          <cell r="A202" t="str">
            <v>Kiribati</v>
          </cell>
        </row>
        <row r="203">
          <cell r="A203" t="str">
            <v>St. Kitts &amp; Nevis</v>
          </cell>
        </row>
        <row r="204">
          <cell r="A204" t="str">
            <v>Liberia</v>
          </cell>
        </row>
        <row r="205">
          <cell r="A205" t="str">
            <v>Lesotho</v>
          </cell>
        </row>
        <row r="206">
          <cell r="A206" t="str">
            <v>St. Martin</v>
          </cell>
        </row>
        <row r="207">
          <cell r="A207" t="str">
            <v>Monaco</v>
          </cell>
        </row>
        <row r="208">
          <cell r="A208" t="str">
            <v>Maldives</v>
          </cell>
        </row>
        <row r="209">
          <cell r="A209" t="str">
            <v>Marshall Islands</v>
          </cell>
        </row>
        <row r="210">
          <cell r="A210" t="str">
            <v>Mali</v>
          </cell>
        </row>
        <row r="211">
          <cell r="A211" t="str">
            <v>Montenegro</v>
          </cell>
        </row>
        <row r="212">
          <cell r="A212" t="str">
            <v>Northern Mariana Islands</v>
          </cell>
        </row>
        <row r="213">
          <cell r="A213" t="str">
            <v>Mozambique</v>
          </cell>
        </row>
        <row r="214">
          <cell r="A214" t="str">
            <v>Mauritania</v>
          </cell>
        </row>
        <row r="215">
          <cell r="A215" t="str">
            <v>Montserrat</v>
          </cell>
        </row>
        <row r="216">
          <cell r="A216" t="str">
            <v>Mayotte</v>
          </cell>
        </row>
        <row r="217">
          <cell r="A217" t="str">
            <v>Niger</v>
          </cell>
        </row>
        <row r="218">
          <cell r="A218" t="str">
            <v>Norfolk Island</v>
          </cell>
        </row>
        <row r="219">
          <cell r="A219" t="str">
            <v>Niue</v>
          </cell>
        </row>
        <row r="220">
          <cell r="A220" t="str">
            <v>Nauru</v>
          </cell>
        </row>
        <row r="221">
          <cell r="A221" t="str">
            <v>Pitcairn Islands</v>
          </cell>
        </row>
        <row r="222">
          <cell r="A222" t="str">
            <v>Palau</v>
          </cell>
        </row>
        <row r="223">
          <cell r="A223" t="str">
            <v>North Korea</v>
          </cell>
        </row>
        <row r="224">
          <cell r="A224" t="str">
            <v>French Polynesia</v>
          </cell>
        </row>
        <row r="225">
          <cell r="A225" t="str">
            <v>South Georgia &amp; South Sandwich Islands</v>
          </cell>
        </row>
        <row r="226">
          <cell r="A226" t="str">
            <v>Svalbard &amp; Jan Mayen</v>
          </cell>
        </row>
        <row r="227">
          <cell r="A227" t="str">
            <v>Solomon Islands</v>
          </cell>
        </row>
        <row r="228">
          <cell r="A228" t="str">
            <v>Sierra Leone</v>
          </cell>
        </row>
        <row r="229">
          <cell r="A229" t="str">
            <v>El Salvador</v>
          </cell>
        </row>
        <row r="230">
          <cell r="A230" t="str">
            <v>San Marino</v>
          </cell>
        </row>
        <row r="231">
          <cell r="A231" t="str">
            <v>Somalia</v>
          </cell>
        </row>
        <row r="232">
          <cell r="A232" t="str">
            <v>St. Pierre &amp; Miquelon</v>
          </cell>
        </row>
        <row r="233">
          <cell r="A233" t="str">
            <v>SÃ£o TomÃ© &amp; PrÃ­ncipe</v>
          </cell>
        </row>
        <row r="234">
          <cell r="A234" t="str">
            <v>Eswatini</v>
          </cell>
        </row>
        <row r="235">
          <cell r="A235" t="str">
            <v>Sint Maarten</v>
          </cell>
        </row>
        <row r="236">
          <cell r="A236" t="str">
            <v>Seychelles</v>
          </cell>
        </row>
        <row r="237">
          <cell r="A237" t="str">
            <v>Chad</v>
          </cell>
        </row>
        <row r="238">
          <cell r="A238" t="str">
            <v>Togo</v>
          </cell>
        </row>
        <row r="239">
          <cell r="A239" t="str">
            <v>Tajikistan</v>
          </cell>
        </row>
        <row r="240">
          <cell r="A240" t="str">
            <v>Tokelau</v>
          </cell>
        </row>
        <row r="241">
          <cell r="A241" t="str">
            <v>Turkmenistan</v>
          </cell>
        </row>
        <row r="242">
          <cell r="A242" t="str">
            <v>Timor-Leste</v>
          </cell>
        </row>
        <row r="243">
          <cell r="A243" t="str">
            <v>Tonga</v>
          </cell>
        </row>
        <row r="244">
          <cell r="A244" t="str">
            <v>Tuvalu</v>
          </cell>
        </row>
        <row r="245">
          <cell r="A245" t="str">
            <v>U.S. Outlying Islands</v>
          </cell>
        </row>
        <row r="246">
          <cell r="A246" t="str">
            <v>Vatican City</v>
          </cell>
        </row>
        <row r="247">
          <cell r="A247" t="str">
            <v>St. Vincent &amp; Grenadines</v>
          </cell>
        </row>
        <row r="248">
          <cell r="A248" t="str">
            <v>British Virgin Islands</v>
          </cell>
        </row>
        <row r="249">
          <cell r="A249" t="str">
            <v>U.S. Virgin Islands</v>
          </cell>
        </row>
        <row r="250">
          <cell r="A250" t="str">
            <v>Vanuatu</v>
          </cell>
        </row>
        <row r="251">
          <cell r="A251" t="str">
            <v>Wallis &amp; Futuna</v>
          </cell>
        </row>
        <row r="252">
          <cell r="A252" t="str">
            <v>Samoa</v>
          </cell>
        </row>
        <row r="253">
          <cell r="A253" t="str">
            <v>Yemen</v>
          </cell>
        </row>
      </sheetData>
    </sheetDataSet>
  </externalBook>
</externalLink>
</file>

<file path=xl/externalLinks/externalLink1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24)"/>
    </sheetNames>
    <sheetDataSet>
      <sheetData sheetId="0" refreshError="1">
        <row r="1">
          <cell r="A1" t="str">
            <v>Category: All categories</v>
          </cell>
        </row>
        <row r="3">
          <cell r="A3" t="str">
            <v>Country</v>
          </cell>
          <cell r="B3" t="str">
            <v>Mutual exclusion: (2018)</v>
          </cell>
          <cell r="C3" t="str">
            <v>ImageNet: (2018)</v>
          </cell>
        </row>
        <row r="4">
          <cell r="A4" t="str">
            <v>China</v>
          </cell>
          <cell r="B4">
            <v>0.34</v>
          </cell>
          <cell r="C4">
            <v>0.66</v>
          </cell>
        </row>
        <row r="5">
          <cell r="A5" t="str">
            <v>South Korea</v>
          </cell>
          <cell r="B5">
            <v>0.19</v>
          </cell>
          <cell r="C5">
            <v>0.81</v>
          </cell>
        </row>
        <row r="6">
          <cell r="A6" t="str">
            <v>Botswana</v>
          </cell>
        </row>
        <row r="7">
          <cell r="A7" t="str">
            <v>Singapore</v>
          </cell>
          <cell r="B7">
            <v>0.17</v>
          </cell>
          <cell r="C7">
            <v>0.83</v>
          </cell>
        </row>
        <row r="8">
          <cell r="A8" t="str">
            <v>Israel</v>
          </cell>
          <cell r="B8">
            <v>0.64</v>
          </cell>
          <cell r="C8">
            <v>0.36</v>
          </cell>
        </row>
        <row r="9">
          <cell r="A9" t="str">
            <v>Taiwan</v>
          </cell>
          <cell r="B9">
            <v>0.51</v>
          </cell>
          <cell r="C9">
            <v>0.49</v>
          </cell>
        </row>
        <row r="10">
          <cell r="A10" t="str">
            <v>Nepal</v>
          </cell>
          <cell r="B10">
            <v>1</v>
          </cell>
        </row>
        <row r="11">
          <cell r="A11" t="str">
            <v>Zimbabwe</v>
          </cell>
        </row>
        <row r="12">
          <cell r="A12" t="str">
            <v>Japan</v>
          </cell>
          <cell r="B12">
            <v>0.7</v>
          </cell>
          <cell r="C12">
            <v>0.3</v>
          </cell>
        </row>
        <row r="13">
          <cell r="A13" t="str">
            <v>Belarus</v>
          </cell>
          <cell r="B13">
            <v>1</v>
          </cell>
        </row>
        <row r="14">
          <cell r="A14" t="str">
            <v>Czechia</v>
          </cell>
          <cell r="B14">
            <v>1</v>
          </cell>
        </row>
        <row r="15">
          <cell r="A15" t="str">
            <v>Hong Kong</v>
          </cell>
          <cell r="B15">
            <v>0.26</v>
          </cell>
          <cell r="C15">
            <v>0.74</v>
          </cell>
        </row>
        <row r="16">
          <cell r="A16" t="str">
            <v>Austria</v>
          </cell>
          <cell r="B16">
            <v>0.87</v>
          </cell>
          <cell r="C16">
            <v>0.13</v>
          </cell>
        </row>
        <row r="17">
          <cell r="A17" t="str">
            <v>St. Helena</v>
          </cell>
        </row>
        <row r="18">
          <cell r="A18" t="str">
            <v>Kenya</v>
          </cell>
          <cell r="B18">
            <v>1</v>
          </cell>
        </row>
        <row r="19">
          <cell r="A19" t="str">
            <v>Russia</v>
          </cell>
          <cell r="B19">
            <v>0.82</v>
          </cell>
          <cell r="C19">
            <v>0.18</v>
          </cell>
        </row>
        <row r="20">
          <cell r="A20" t="str">
            <v>Portugal</v>
          </cell>
          <cell r="B20">
            <v>0.81</v>
          </cell>
          <cell r="C20">
            <v>0.19</v>
          </cell>
        </row>
        <row r="21">
          <cell r="A21" t="str">
            <v>Germany</v>
          </cell>
          <cell r="B21">
            <v>0.67</v>
          </cell>
          <cell r="C21">
            <v>0.33</v>
          </cell>
        </row>
        <row r="22">
          <cell r="A22" t="str">
            <v>Ukraine</v>
          </cell>
          <cell r="B22">
            <v>0.84</v>
          </cell>
          <cell r="C22">
            <v>0.16</v>
          </cell>
        </row>
        <row r="23">
          <cell r="A23" t="str">
            <v>Norway</v>
          </cell>
          <cell r="B23">
            <v>0.64</v>
          </cell>
          <cell r="C23">
            <v>0.36</v>
          </cell>
        </row>
        <row r="24">
          <cell r="A24" t="str">
            <v>Laos</v>
          </cell>
        </row>
        <row r="25">
          <cell r="A25" t="str">
            <v>Sweden</v>
          </cell>
          <cell r="B25">
            <v>0.62</v>
          </cell>
          <cell r="C25">
            <v>0.38</v>
          </cell>
        </row>
        <row r="26">
          <cell r="A26" t="str">
            <v>Switzerland</v>
          </cell>
          <cell r="B26">
            <v>0.56000000000000005</v>
          </cell>
          <cell r="C26">
            <v>0.44</v>
          </cell>
        </row>
        <row r="27">
          <cell r="A27" t="str">
            <v>Tunisia</v>
          </cell>
          <cell r="B27">
            <v>1</v>
          </cell>
        </row>
        <row r="28">
          <cell r="A28" t="str">
            <v>Poland</v>
          </cell>
          <cell r="B28">
            <v>0.82</v>
          </cell>
          <cell r="C28">
            <v>0.18</v>
          </cell>
        </row>
        <row r="29">
          <cell r="A29" t="str">
            <v>Algeria</v>
          </cell>
          <cell r="B29">
            <v>1</v>
          </cell>
        </row>
        <row r="30">
          <cell r="A30" t="str">
            <v>India</v>
          </cell>
          <cell r="B30">
            <v>0.61</v>
          </cell>
          <cell r="C30">
            <v>0.39</v>
          </cell>
        </row>
        <row r="31">
          <cell r="A31" t="str">
            <v>United States</v>
          </cell>
          <cell r="B31">
            <v>0.24</v>
          </cell>
          <cell r="C31">
            <v>0.76</v>
          </cell>
        </row>
        <row r="32">
          <cell r="A32" t="str">
            <v>Pakistan</v>
          </cell>
          <cell r="B32">
            <v>0.56000000000000005</v>
          </cell>
          <cell r="C32">
            <v>0.44</v>
          </cell>
        </row>
        <row r="33">
          <cell r="A33" t="str">
            <v>Finland</v>
          </cell>
          <cell r="B33">
            <v>0.49</v>
          </cell>
          <cell r="C33">
            <v>0.51</v>
          </cell>
        </row>
        <row r="34">
          <cell r="A34" t="str">
            <v>Ireland</v>
          </cell>
          <cell r="B34">
            <v>0.42</v>
          </cell>
          <cell r="C34">
            <v>0.57999999999999996</v>
          </cell>
        </row>
        <row r="35">
          <cell r="A35" t="str">
            <v>Hungary</v>
          </cell>
          <cell r="B35">
            <v>1</v>
          </cell>
        </row>
        <row r="36">
          <cell r="A36" t="str">
            <v>Canada</v>
          </cell>
          <cell r="B36">
            <v>0.28999999999999998</v>
          </cell>
          <cell r="C36">
            <v>0.71</v>
          </cell>
        </row>
        <row r="37">
          <cell r="A37" t="str">
            <v>Netherlands</v>
          </cell>
          <cell r="B37">
            <v>0.59</v>
          </cell>
          <cell r="C37">
            <v>0.41</v>
          </cell>
        </row>
        <row r="38">
          <cell r="A38" t="str">
            <v>Philippines</v>
          </cell>
          <cell r="B38">
            <v>0.22</v>
          </cell>
          <cell r="C38">
            <v>0.78</v>
          </cell>
        </row>
        <row r="39">
          <cell r="A39" t="str">
            <v>Italy</v>
          </cell>
          <cell r="B39">
            <v>0.78</v>
          </cell>
          <cell r="C39">
            <v>0.22</v>
          </cell>
        </row>
        <row r="40">
          <cell r="A40" t="str">
            <v>Costa Rica</v>
          </cell>
          <cell r="B40">
            <v>1</v>
          </cell>
        </row>
        <row r="41">
          <cell r="A41" t="str">
            <v>Guatemala</v>
          </cell>
          <cell r="B41">
            <v>1</v>
          </cell>
        </row>
        <row r="42">
          <cell r="A42" t="str">
            <v>Slovakia</v>
          </cell>
          <cell r="B42">
            <v>1</v>
          </cell>
        </row>
        <row r="43">
          <cell r="A43" t="str">
            <v>Denmark</v>
          </cell>
          <cell r="B43">
            <v>0.25</v>
          </cell>
          <cell r="C43">
            <v>0.75</v>
          </cell>
        </row>
        <row r="44">
          <cell r="A44" t="str">
            <v>Spain</v>
          </cell>
          <cell r="B44">
            <v>0.66</v>
          </cell>
          <cell r="C44">
            <v>0.34</v>
          </cell>
        </row>
        <row r="45">
          <cell r="A45" t="str">
            <v>Bulgaria</v>
          </cell>
          <cell r="B45">
            <v>1</v>
          </cell>
        </row>
        <row r="46">
          <cell r="A46" t="str">
            <v>France</v>
          </cell>
          <cell r="B46">
            <v>0.39</v>
          </cell>
          <cell r="C46">
            <v>0.61</v>
          </cell>
        </row>
        <row r="47">
          <cell r="A47" t="str">
            <v>United Kingdom</v>
          </cell>
          <cell r="B47">
            <v>0.25</v>
          </cell>
          <cell r="C47">
            <v>0.75</v>
          </cell>
        </row>
        <row r="48">
          <cell r="A48" t="str">
            <v>Bolivia</v>
          </cell>
        </row>
        <row r="49">
          <cell r="A49" t="str">
            <v>Nigeria</v>
          </cell>
          <cell r="B49">
            <v>1</v>
          </cell>
        </row>
        <row r="50">
          <cell r="A50" t="str">
            <v>Belgium</v>
          </cell>
          <cell r="B50">
            <v>0.39</v>
          </cell>
          <cell r="C50">
            <v>0.61</v>
          </cell>
        </row>
        <row r="51">
          <cell r="A51" t="str">
            <v>Australia</v>
          </cell>
          <cell r="B51">
            <v>0.35</v>
          </cell>
          <cell r="C51">
            <v>0.65</v>
          </cell>
        </row>
        <row r="52">
          <cell r="A52" t="str">
            <v>Romania</v>
          </cell>
          <cell r="B52">
            <v>1</v>
          </cell>
        </row>
        <row r="53">
          <cell r="A53" t="str">
            <v>South Africa</v>
          </cell>
          <cell r="B53">
            <v>0.59</v>
          </cell>
          <cell r="C53">
            <v>0.41</v>
          </cell>
        </row>
        <row r="54">
          <cell r="A54" t="str">
            <v>Argentina</v>
          </cell>
          <cell r="B54">
            <v>1</v>
          </cell>
        </row>
        <row r="55">
          <cell r="A55" t="str">
            <v>Kazakhstan</v>
          </cell>
          <cell r="B55">
            <v>1</v>
          </cell>
        </row>
        <row r="56">
          <cell r="A56" t="str">
            <v>Vietnam</v>
          </cell>
          <cell r="B56">
            <v>0.59</v>
          </cell>
          <cell r="C56">
            <v>0.41</v>
          </cell>
        </row>
        <row r="57">
          <cell r="A57" t="str">
            <v>Lithuania</v>
          </cell>
        </row>
        <row r="58">
          <cell r="A58" t="str">
            <v>Mexico</v>
          </cell>
          <cell r="B58">
            <v>0.73</v>
          </cell>
          <cell r="C58">
            <v>0.27</v>
          </cell>
        </row>
        <row r="59">
          <cell r="A59" t="str">
            <v>Brazil</v>
          </cell>
          <cell r="B59">
            <v>0.68</v>
          </cell>
          <cell r="C59">
            <v>0.32</v>
          </cell>
        </row>
        <row r="60">
          <cell r="A60" t="str">
            <v>Bangladesh</v>
          </cell>
        </row>
        <row r="61">
          <cell r="A61" t="str">
            <v>Ecuador</v>
          </cell>
          <cell r="B61">
            <v>1</v>
          </cell>
        </row>
        <row r="62">
          <cell r="A62" t="str">
            <v>Chile</v>
          </cell>
          <cell r="B62">
            <v>0.62</v>
          </cell>
          <cell r="C62">
            <v>0.38</v>
          </cell>
        </row>
        <row r="63">
          <cell r="A63" t="str">
            <v>Indonesia</v>
          </cell>
          <cell r="B63">
            <v>0.8</v>
          </cell>
          <cell r="C63">
            <v>0.2</v>
          </cell>
        </row>
        <row r="64">
          <cell r="A64" t="str">
            <v>Iran</v>
          </cell>
          <cell r="B64">
            <v>0.5</v>
          </cell>
          <cell r="C64">
            <v>0.5</v>
          </cell>
        </row>
        <row r="65">
          <cell r="A65" t="str">
            <v>Uruguay</v>
          </cell>
        </row>
        <row r="66">
          <cell r="A66" t="str">
            <v>Malaysia</v>
          </cell>
          <cell r="B66">
            <v>0.52</v>
          </cell>
          <cell r="C66">
            <v>0.48</v>
          </cell>
        </row>
        <row r="67">
          <cell r="A67" t="str">
            <v>Peru</v>
          </cell>
          <cell r="B67">
            <v>1</v>
          </cell>
        </row>
        <row r="68">
          <cell r="A68" t="str">
            <v>Turkey</v>
          </cell>
          <cell r="B68">
            <v>0.3</v>
          </cell>
          <cell r="C68">
            <v>0.7</v>
          </cell>
        </row>
        <row r="69">
          <cell r="A69" t="str">
            <v>Colombia</v>
          </cell>
        </row>
        <row r="70">
          <cell r="A70" t="str">
            <v>Thailand</v>
          </cell>
          <cell r="B70">
            <v>0.56999999999999995</v>
          </cell>
          <cell r="C70">
            <v>0.43</v>
          </cell>
        </row>
        <row r="71">
          <cell r="A71" t="str">
            <v>Saudi Arabia</v>
          </cell>
          <cell r="B71">
            <v>1</v>
          </cell>
        </row>
        <row r="72">
          <cell r="A72" t="str">
            <v>Venezuela</v>
          </cell>
        </row>
        <row r="73">
          <cell r="A73" t="str">
            <v>Cuba</v>
          </cell>
        </row>
        <row r="74">
          <cell r="A74" t="str">
            <v>Angola</v>
          </cell>
        </row>
        <row r="75">
          <cell r="A75" t="str">
            <v>Rwanda</v>
          </cell>
        </row>
        <row r="76">
          <cell r="A76" t="str">
            <v>Namibia</v>
          </cell>
        </row>
        <row r="77">
          <cell r="A77" t="str">
            <v>Burkina Faso</v>
          </cell>
        </row>
        <row r="78">
          <cell r="A78" t="str">
            <v>Zambia</v>
          </cell>
        </row>
        <row r="79">
          <cell r="A79" t="str">
            <v>Brunei</v>
          </cell>
        </row>
        <row r="80">
          <cell r="A80" t="str">
            <v>Macao</v>
          </cell>
        </row>
        <row r="81">
          <cell r="A81" t="str">
            <v>Armenia</v>
          </cell>
        </row>
        <row r="82">
          <cell r="A82" t="str">
            <v>Tajikistan</v>
          </cell>
        </row>
        <row r="83">
          <cell r="A83" t="str">
            <v>North Macedonia</v>
          </cell>
        </row>
        <row r="84">
          <cell r="A84" t="str">
            <v>Estonia</v>
          </cell>
        </row>
        <row r="85">
          <cell r="A85" t="str">
            <v>CÃ´te dâ€™Ivoire</v>
          </cell>
        </row>
        <row r="86">
          <cell r="A86" t="str">
            <v>Iceland</v>
          </cell>
        </row>
        <row r="87">
          <cell r="A87" t="str">
            <v>Kosovo</v>
          </cell>
        </row>
        <row r="88">
          <cell r="A88" t="str">
            <v>Montenegro</v>
          </cell>
        </row>
        <row r="89">
          <cell r="A89" t="str">
            <v>Malta</v>
          </cell>
        </row>
        <row r="90">
          <cell r="A90" t="str">
            <v>Mozambique</v>
          </cell>
        </row>
        <row r="91">
          <cell r="A91" t="str">
            <v>Senegal</v>
          </cell>
        </row>
        <row r="92">
          <cell r="A92" t="str">
            <v>Congo - Kinshasa</v>
          </cell>
        </row>
        <row r="93">
          <cell r="A93" t="str">
            <v>Cameroon</v>
          </cell>
        </row>
        <row r="94">
          <cell r="A94" t="str">
            <v>Latvia</v>
          </cell>
        </row>
        <row r="95">
          <cell r="A95" t="str">
            <v>Ethiopia</v>
          </cell>
        </row>
        <row r="96">
          <cell r="A96" t="str">
            <v>Luxembourg</v>
          </cell>
        </row>
        <row r="97">
          <cell r="A97" t="str">
            <v>Jamaica</v>
          </cell>
        </row>
        <row r="98">
          <cell r="A98" t="str">
            <v>Palestine</v>
          </cell>
        </row>
        <row r="99">
          <cell r="A99" t="str">
            <v>Nicaragua</v>
          </cell>
        </row>
        <row r="100">
          <cell r="A100" t="str">
            <v>Tanzania</v>
          </cell>
        </row>
        <row r="101">
          <cell r="A101" t="str">
            <v>Cyprus</v>
          </cell>
        </row>
        <row r="102">
          <cell r="A102" t="str">
            <v>Georgia</v>
          </cell>
        </row>
        <row r="103">
          <cell r="A103" t="str">
            <v>Slovenia</v>
          </cell>
        </row>
        <row r="104">
          <cell r="A104" t="str">
            <v>Myanmar (Burma)</v>
          </cell>
        </row>
        <row r="105">
          <cell r="A105" t="str">
            <v>Serbia</v>
          </cell>
        </row>
        <row r="106">
          <cell r="A106" t="str">
            <v>Lebanon</v>
          </cell>
        </row>
        <row r="107">
          <cell r="A107" t="str">
            <v>Bosnia &amp; Herzegovina</v>
          </cell>
        </row>
        <row r="108">
          <cell r="A108" t="str">
            <v>Azerbaijan</v>
          </cell>
        </row>
        <row r="109">
          <cell r="A109" t="str">
            <v>Croatia</v>
          </cell>
        </row>
        <row r="110">
          <cell r="A110" t="str">
            <v>Sudan</v>
          </cell>
        </row>
        <row r="111">
          <cell r="A111" t="str">
            <v>Sri Lanka</v>
          </cell>
        </row>
        <row r="112">
          <cell r="A112" t="str">
            <v>Jordan</v>
          </cell>
        </row>
        <row r="113">
          <cell r="A113" t="str">
            <v>Oman</v>
          </cell>
        </row>
        <row r="114">
          <cell r="A114" t="str">
            <v>Honduras</v>
          </cell>
        </row>
        <row r="115">
          <cell r="A115" t="str">
            <v>El Salvador</v>
          </cell>
        </row>
        <row r="116">
          <cell r="A116" t="str">
            <v>Syria</v>
          </cell>
        </row>
        <row r="117">
          <cell r="A117" t="str">
            <v>Qatar</v>
          </cell>
        </row>
        <row r="118">
          <cell r="A118" t="str">
            <v>Puerto Rico</v>
          </cell>
        </row>
        <row r="119">
          <cell r="A119" t="str">
            <v>Greece</v>
          </cell>
        </row>
        <row r="120">
          <cell r="A120" t="str">
            <v>Panama</v>
          </cell>
        </row>
        <row r="121">
          <cell r="A121" t="str">
            <v>Paraguay</v>
          </cell>
        </row>
        <row r="122">
          <cell r="A122" t="str">
            <v>New Zealand</v>
          </cell>
        </row>
        <row r="123">
          <cell r="A123" t="str">
            <v>Dominican Republic</v>
          </cell>
        </row>
        <row r="124">
          <cell r="A124" t="str">
            <v>Morocco</v>
          </cell>
        </row>
        <row r="125">
          <cell r="A125" t="str">
            <v>United Arab Emirates</v>
          </cell>
        </row>
        <row r="126">
          <cell r="A126" t="str">
            <v>Egypt</v>
          </cell>
        </row>
        <row r="127">
          <cell r="A127" t="str">
            <v>Aruba</v>
          </cell>
        </row>
        <row r="128">
          <cell r="A128" t="str">
            <v>Afghanistan</v>
          </cell>
        </row>
        <row r="129">
          <cell r="A129" t="str">
            <v>Anguilla</v>
          </cell>
        </row>
        <row r="130">
          <cell r="A130" t="str">
            <v>Ã…land Islands</v>
          </cell>
        </row>
        <row r="131">
          <cell r="A131" t="str">
            <v>Albania</v>
          </cell>
        </row>
        <row r="132">
          <cell r="A132" t="str">
            <v>Andorra</v>
          </cell>
        </row>
        <row r="133">
          <cell r="A133" t="str">
            <v>American Samoa</v>
          </cell>
        </row>
        <row r="134">
          <cell r="A134" t="str">
            <v>Antarctica</v>
          </cell>
        </row>
        <row r="135">
          <cell r="A135" t="str">
            <v>French Southern Territories</v>
          </cell>
        </row>
        <row r="136">
          <cell r="A136" t="str">
            <v>Antigua &amp; Barbuda</v>
          </cell>
        </row>
        <row r="137">
          <cell r="A137" t="str">
            <v>Burundi</v>
          </cell>
        </row>
        <row r="138">
          <cell r="A138" t="str">
            <v>Benin</v>
          </cell>
        </row>
        <row r="139">
          <cell r="A139" t="str">
            <v>Caribbean Netherlands</v>
          </cell>
        </row>
        <row r="140">
          <cell r="A140" t="str">
            <v>Bahrain</v>
          </cell>
        </row>
        <row r="141">
          <cell r="A141" t="str">
            <v>Bahamas</v>
          </cell>
        </row>
        <row r="142">
          <cell r="A142" t="str">
            <v>St. BarthÃ©lemy</v>
          </cell>
        </row>
        <row r="143">
          <cell r="A143" t="str">
            <v>Belize</v>
          </cell>
        </row>
        <row r="144">
          <cell r="A144" t="str">
            <v>Bermuda</v>
          </cell>
        </row>
        <row r="145">
          <cell r="A145" t="str">
            <v>Barbados</v>
          </cell>
        </row>
        <row r="146">
          <cell r="A146" t="str">
            <v>Bhutan</v>
          </cell>
        </row>
        <row r="147">
          <cell r="A147" t="str">
            <v>Bouvet Island</v>
          </cell>
        </row>
        <row r="148">
          <cell r="A148" t="str">
            <v>Central African Republic</v>
          </cell>
        </row>
        <row r="149">
          <cell r="A149" t="str">
            <v>Cocos (Keeling) Islands</v>
          </cell>
        </row>
        <row r="150">
          <cell r="A150" t="str">
            <v>Congo - Brazzaville</v>
          </cell>
        </row>
        <row r="151">
          <cell r="A151" t="str">
            <v>Cook Islands</v>
          </cell>
        </row>
        <row r="152">
          <cell r="A152" t="str">
            <v>Comoros</v>
          </cell>
        </row>
        <row r="153">
          <cell r="A153" t="str">
            <v>Cape Verde</v>
          </cell>
        </row>
        <row r="154">
          <cell r="A154" t="str">
            <v>CuraÃ§ao</v>
          </cell>
        </row>
        <row r="155">
          <cell r="A155" t="str">
            <v>Christmas Island</v>
          </cell>
        </row>
        <row r="156">
          <cell r="A156" t="str">
            <v>Cayman Islands</v>
          </cell>
        </row>
        <row r="157">
          <cell r="A157" t="str">
            <v>Djibouti</v>
          </cell>
        </row>
        <row r="158">
          <cell r="A158" t="str">
            <v>Dominica</v>
          </cell>
        </row>
        <row r="159">
          <cell r="A159" t="str">
            <v>Eritrea</v>
          </cell>
        </row>
        <row r="160">
          <cell r="A160" t="str">
            <v>Western Sahara</v>
          </cell>
        </row>
        <row r="161">
          <cell r="A161" t="str">
            <v>Fiji</v>
          </cell>
        </row>
        <row r="162">
          <cell r="A162" t="str">
            <v>Falkland Islands (Islas Malvinas)</v>
          </cell>
        </row>
        <row r="163">
          <cell r="A163" t="str">
            <v>Faroe Islands</v>
          </cell>
        </row>
        <row r="164">
          <cell r="A164" t="str">
            <v>Micronesia</v>
          </cell>
        </row>
        <row r="165">
          <cell r="A165" t="str">
            <v>Gabon</v>
          </cell>
        </row>
        <row r="166">
          <cell r="A166" t="str">
            <v>Guernsey</v>
          </cell>
        </row>
        <row r="167">
          <cell r="A167" t="str">
            <v>Ghana</v>
          </cell>
        </row>
        <row r="168">
          <cell r="A168" t="str">
            <v>Gibraltar</v>
          </cell>
        </row>
        <row r="169">
          <cell r="A169" t="str">
            <v>Guinea</v>
          </cell>
        </row>
        <row r="170">
          <cell r="A170" t="str">
            <v>Guadeloupe</v>
          </cell>
        </row>
        <row r="171">
          <cell r="A171" t="str">
            <v>Gambia</v>
          </cell>
        </row>
        <row r="172">
          <cell r="A172" t="str">
            <v>Guinea-Bissau</v>
          </cell>
        </row>
        <row r="173">
          <cell r="A173" t="str">
            <v>Equatorial Guinea</v>
          </cell>
        </row>
        <row r="174">
          <cell r="A174" t="str">
            <v>Grenada</v>
          </cell>
        </row>
        <row r="175">
          <cell r="A175" t="str">
            <v>Greenland</v>
          </cell>
        </row>
        <row r="176">
          <cell r="A176" t="str">
            <v>French Guiana</v>
          </cell>
        </row>
        <row r="177">
          <cell r="A177" t="str">
            <v>Guam</v>
          </cell>
        </row>
        <row r="178">
          <cell r="A178" t="str">
            <v>Guyana</v>
          </cell>
        </row>
        <row r="179">
          <cell r="A179" t="str">
            <v>Heard &amp; McDonald Islands</v>
          </cell>
        </row>
        <row r="180">
          <cell r="A180" t="str">
            <v>Haiti</v>
          </cell>
        </row>
        <row r="181">
          <cell r="A181" t="str">
            <v>Isle of Man</v>
          </cell>
        </row>
        <row r="182">
          <cell r="A182" t="str">
            <v>British Indian Ocean Territory</v>
          </cell>
        </row>
        <row r="183">
          <cell r="A183" t="str">
            <v>Iraq</v>
          </cell>
        </row>
        <row r="184">
          <cell r="A184" t="str">
            <v>Jersey</v>
          </cell>
        </row>
        <row r="185">
          <cell r="A185" t="str">
            <v>Kyrgyzstan</v>
          </cell>
        </row>
        <row r="186">
          <cell r="A186" t="str">
            <v>Cambodia</v>
          </cell>
        </row>
        <row r="187">
          <cell r="A187" t="str">
            <v>Kiribati</v>
          </cell>
        </row>
        <row r="188">
          <cell r="A188" t="str">
            <v>St. Kitts &amp; Nevis</v>
          </cell>
        </row>
        <row r="189">
          <cell r="A189" t="str">
            <v>Kuwait</v>
          </cell>
        </row>
        <row r="190">
          <cell r="A190" t="str">
            <v>Liberia</v>
          </cell>
        </row>
        <row r="191">
          <cell r="A191" t="str">
            <v>Libya</v>
          </cell>
        </row>
        <row r="192">
          <cell r="A192" t="str">
            <v>St. Lucia</v>
          </cell>
        </row>
        <row r="193">
          <cell r="A193" t="str">
            <v>Liechtenstein</v>
          </cell>
        </row>
        <row r="194">
          <cell r="A194" t="str">
            <v>Lesotho</v>
          </cell>
        </row>
        <row r="195">
          <cell r="A195" t="str">
            <v>St. Martin</v>
          </cell>
        </row>
        <row r="196">
          <cell r="A196" t="str">
            <v>Monaco</v>
          </cell>
        </row>
        <row r="197">
          <cell r="A197" t="str">
            <v>Moldova</v>
          </cell>
        </row>
        <row r="198">
          <cell r="A198" t="str">
            <v>Madagascar</v>
          </cell>
        </row>
        <row r="199">
          <cell r="A199" t="str">
            <v>Maldives</v>
          </cell>
        </row>
        <row r="200">
          <cell r="A200" t="str">
            <v>Marshall Islands</v>
          </cell>
        </row>
        <row r="201">
          <cell r="A201" t="str">
            <v>Mali</v>
          </cell>
        </row>
        <row r="202">
          <cell r="A202" t="str">
            <v>Mongolia</v>
          </cell>
        </row>
        <row r="203">
          <cell r="A203" t="str">
            <v>Northern Mariana Islands</v>
          </cell>
        </row>
        <row r="204">
          <cell r="A204" t="str">
            <v>Mauritania</v>
          </cell>
        </row>
        <row r="205">
          <cell r="A205" t="str">
            <v>Montserrat</v>
          </cell>
        </row>
        <row r="206">
          <cell r="A206" t="str">
            <v>Martinique</v>
          </cell>
        </row>
        <row r="207">
          <cell r="A207" t="str">
            <v>Mauritius</v>
          </cell>
        </row>
        <row r="208">
          <cell r="A208" t="str">
            <v>Malawi</v>
          </cell>
        </row>
        <row r="209">
          <cell r="A209" t="str">
            <v>Mayotte</v>
          </cell>
        </row>
        <row r="210">
          <cell r="A210" t="str">
            <v>New Caledonia</v>
          </cell>
        </row>
        <row r="211">
          <cell r="A211" t="str">
            <v>Niger</v>
          </cell>
        </row>
        <row r="212">
          <cell r="A212" t="str">
            <v>Norfolk Island</v>
          </cell>
        </row>
        <row r="213">
          <cell r="A213" t="str">
            <v>Niue</v>
          </cell>
        </row>
        <row r="214">
          <cell r="A214" t="str">
            <v>Nauru</v>
          </cell>
        </row>
        <row r="215">
          <cell r="A215" t="str">
            <v>Pitcairn Islands</v>
          </cell>
        </row>
        <row r="216">
          <cell r="A216" t="str">
            <v>Palau</v>
          </cell>
        </row>
        <row r="217">
          <cell r="A217" t="str">
            <v>Papua New Guinea</v>
          </cell>
        </row>
        <row r="218">
          <cell r="A218" t="str">
            <v>North Korea</v>
          </cell>
        </row>
        <row r="219">
          <cell r="A219" t="str">
            <v>French Polynesia</v>
          </cell>
        </row>
        <row r="220">
          <cell r="A220" t="str">
            <v>RÃ©union</v>
          </cell>
        </row>
        <row r="221">
          <cell r="A221" t="str">
            <v>South Georgia &amp; South Sandwich Islands</v>
          </cell>
        </row>
        <row r="222">
          <cell r="A222" t="str">
            <v>Svalbard &amp; Jan Mayen</v>
          </cell>
        </row>
        <row r="223">
          <cell r="A223" t="str">
            <v>Solomon Islands</v>
          </cell>
        </row>
        <row r="224">
          <cell r="A224" t="str">
            <v>Sierra Leone</v>
          </cell>
        </row>
        <row r="225">
          <cell r="A225" t="str">
            <v>San Marino</v>
          </cell>
        </row>
        <row r="226">
          <cell r="A226" t="str">
            <v>Somalia</v>
          </cell>
        </row>
        <row r="227">
          <cell r="A227" t="str">
            <v>St. Pierre &amp; Miquelon</v>
          </cell>
        </row>
        <row r="228">
          <cell r="A228" t="str">
            <v>South Sudan</v>
          </cell>
        </row>
        <row r="229">
          <cell r="A229" t="str">
            <v>SÃ£o TomÃ© &amp; PrÃ­ncipe</v>
          </cell>
        </row>
        <row r="230">
          <cell r="A230" t="str">
            <v>Suriname</v>
          </cell>
        </row>
        <row r="231">
          <cell r="A231" t="str">
            <v>Eswatini</v>
          </cell>
        </row>
        <row r="232">
          <cell r="A232" t="str">
            <v>Sint Maarten</v>
          </cell>
        </row>
        <row r="233">
          <cell r="A233" t="str">
            <v>Seychelles</v>
          </cell>
        </row>
        <row r="234">
          <cell r="A234" t="str">
            <v>Turks &amp; Caicos Islands</v>
          </cell>
        </row>
        <row r="235">
          <cell r="A235" t="str">
            <v>Chad</v>
          </cell>
        </row>
        <row r="236">
          <cell r="A236" t="str">
            <v>Togo</v>
          </cell>
        </row>
        <row r="237">
          <cell r="A237" t="str">
            <v>Tokelau</v>
          </cell>
        </row>
        <row r="238">
          <cell r="A238" t="str">
            <v>Turkmenistan</v>
          </cell>
        </row>
        <row r="239">
          <cell r="A239" t="str">
            <v>Timor-Leste</v>
          </cell>
        </row>
        <row r="240">
          <cell r="A240" t="str">
            <v>Tonga</v>
          </cell>
        </row>
        <row r="241">
          <cell r="A241" t="str">
            <v>Trinidad &amp; Tobago</v>
          </cell>
        </row>
        <row r="242">
          <cell r="A242" t="str">
            <v>Tuvalu</v>
          </cell>
        </row>
        <row r="243">
          <cell r="A243" t="str">
            <v>Uganda</v>
          </cell>
        </row>
        <row r="244">
          <cell r="A244" t="str">
            <v>U.S. Outlying Islands</v>
          </cell>
        </row>
        <row r="245">
          <cell r="A245" t="str">
            <v>Uzbekistan</v>
          </cell>
        </row>
        <row r="246">
          <cell r="A246" t="str">
            <v>Vatican City</v>
          </cell>
        </row>
        <row r="247">
          <cell r="A247" t="str">
            <v>St. Vincent &amp; Grenadines</v>
          </cell>
        </row>
        <row r="248">
          <cell r="A248" t="str">
            <v>British Virgin Islands</v>
          </cell>
        </row>
        <row r="249">
          <cell r="A249" t="str">
            <v>U.S. Virgin Islands</v>
          </cell>
        </row>
        <row r="250">
          <cell r="A250" t="str">
            <v>Vanuatu</v>
          </cell>
        </row>
        <row r="251">
          <cell r="A251" t="str">
            <v>Wallis &amp; Futuna</v>
          </cell>
        </row>
        <row r="252">
          <cell r="A252" t="str">
            <v>Samoa</v>
          </cell>
        </row>
        <row r="253">
          <cell r="A253" t="str">
            <v>Yemen</v>
          </cell>
        </row>
      </sheetData>
    </sheetDataSet>
  </externalBook>
</externalLink>
</file>

<file path=xl/externalLinks/externalLink1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36)"/>
    </sheetNames>
    <sheetDataSet>
      <sheetData sheetId="0" refreshError="1">
        <row r="1">
          <cell r="A1" t="str">
            <v>Category: All categories</v>
          </cell>
        </row>
        <row r="3">
          <cell r="A3" t="str">
            <v>Country</v>
          </cell>
          <cell r="B3" t="str">
            <v>Edge detection: (2018)</v>
          </cell>
          <cell r="C3" t="str">
            <v>TCP congestion control: (2018)</v>
          </cell>
        </row>
        <row r="4">
          <cell r="A4" t="str">
            <v>China</v>
          </cell>
          <cell r="B4">
            <v>0.77</v>
          </cell>
          <cell r="C4">
            <v>0.23</v>
          </cell>
        </row>
        <row r="5">
          <cell r="A5" t="str">
            <v>South Korea</v>
          </cell>
          <cell r="B5">
            <v>0.79</v>
          </cell>
          <cell r="C5">
            <v>0.21</v>
          </cell>
        </row>
        <row r="6">
          <cell r="A6" t="str">
            <v>Nepal</v>
          </cell>
          <cell r="C6">
            <v>1</v>
          </cell>
        </row>
        <row r="7">
          <cell r="A7" t="str">
            <v>Singapore</v>
          </cell>
          <cell r="B7">
            <v>0.79</v>
          </cell>
          <cell r="C7">
            <v>0.21</v>
          </cell>
        </row>
        <row r="8">
          <cell r="A8" t="str">
            <v>Pakistan</v>
          </cell>
          <cell r="B8">
            <v>0.65</v>
          </cell>
          <cell r="C8">
            <v>0.35</v>
          </cell>
        </row>
        <row r="9">
          <cell r="A9" t="str">
            <v>India</v>
          </cell>
          <cell r="B9">
            <v>0.53</v>
          </cell>
          <cell r="C9">
            <v>0.47</v>
          </cell>
        </row>
        <row r="10">
          <cell r="A10" t="str">
            <v>St. Helena</v>
          </cell>
          <cell r="B10">
            <v>1</v>
          </cell>
        </row>
        <row r="11">
          <cell r="A11" t="str">
            <v>Hong Kong</v>
          </cell>
          <cell r="B11">
            <v>0.71</v>
          </cell>
          <cell r="C11">
            <v>0.28999999999999998</v>
          </cell>
        </row>
        <row r="12">
          <cell r="A12" t="str">
            <v>Switzerland</v>
          </cell>
          <cell r="B12">
            <v>0.84</v>
          </cell>
          <cell r="C12">
            <v>0.16</v>
          </cell>
        </row>
        <row r="13">
          <cell r="A13" t="str">
            <v>Israel</v>
          </cell>
          <cell r="B13">
            <v>0.83</v>
          </cell>
          <cell r="C13">
            <v>0.17</v>
          </cell>
        </row>
        <row r="14">
          <cell r="A14" t="str">
            <v>Japan</v>
          </cell>
          <cell r="B14">
            <v>0.98</v>
          </cell>
          <cell r="C14">
            <v>0.02</v>
          </cell>
        </row>
        <row r="15">
          <cell r="A15" t="str">
            <v>Taiwan</v>
          </cell>
          <cell r="B15">
            <v>0.79</v>
          </cell>
          <cell r="C15">
            <v>0.21</v>
          </cell>
        </row>
        <row r="16">
          <cell r="A16" t="str">
            <v>Bangladesh</v>
          </cell>
          <cell r="B16">
            <v>0.59</v>
          </cell>
          <cell r="C16">
            <v>0.41</v>
          </cell>
        </row>
        <row r="17">
          <cell r="A17" t="str">
            <v>Denmark</v>
          </cell>
          <cell r="B17">
            <v>0.87</v>
          </cell>
          <cell r="C17">
            <v>0.13</v>
          </cell>
        </row>
        <row r="18">
          <cell r="A18" t="str">
            <v>Iraq</v>
          </cell>
          <cell r="B18">
            <v>1</v>
          </cell>
        </row>
        <row r="19">
          <cell r="A19" t="str">
            <v>Malaysia</v>
          </cell>
          <cell r="B19">
            <v>0.83</v>
          </cell>
          <cell r="C19">
            <v>0.17</v>
          </cell>
        </row>
        <row r="20">
          <cell r="A20" t="str">
            <v>Tunisia</v>
          </cell>
          <cell r="B20">
            <v>1</v>
          </cell>
        </row>
        <row r="21">
          <cell r="A21" t="str">
            <v>Belgium</v>
          </cell>
          <cell r="B21">
            <v>0.95</v>
          </cell>
          <cell r="C21">
            <v>0.05</v>
          </cell>
        </row>
        <row r="22">
          <cell r="A22" t="str">
            <v>Canada</v>
          </cell>
          <cell r="B22">
            <v>0.81</v>
          </cell>
          <cell r="C22">
            <v>0.19</v>
          </cell>
        </row>
        <row r="23">
          <cell r="A23" t="str">
            <v>Germany</v>
          </cell>
          <cell r="B23">
            <v>0.85</v>
          </cell>
          <cell r="C23">
            <v>0.15</v>
          </cell>
        </row>
        <row r="24">
          <cell r="A24" t="str">
            <v>Sri Lanka</v>
          </cell>
          <cell r="B24">
            <v>0.5</v>
          </cell>
          <cell r="C24">
            <v>0.5</v>
          </cell>
        </row>
        <row r="25">
          <cell r="A25" t="str">
            <v>Ireland</v>
          </cell>
          <cell r="B25">
            <v>0.79</v>
          </cell>
          <cell r="C25">
            <v>0.21</v>
          </cell>
        </row>
        <row r="26">
          <cell r="A26" t="str">
            <v>Egypt</v>
          </cell>
          <cell r="B26">
            <v>1</v>
          </cell>
        </row>
        <row r="27">
          <cell r="A27" t="str">
            <v>Czechia</v>
          </cell>
          <cell r="B27">
            <v>1</v>
          </cell>
        </row>
        <row r="28">
          <cell r="A28" t="str">
            <v>Algeria</v>
          </cell>
          <cell r="B28">
            <v>1</v>
          </cell>
        </row>
        <row r="29">
          <cell r="A29" t="str">
            <v>United States</v>
          </cell>
          <cell r="B29">
            <v>0.75</v>
          </cell>
          <cell r="C29">
            <v>0.25</v>
          </cell>
        </row>
        <row r="30">
          <cell r="A30" t="str">
            <v>Austria</v>
          </cell>
          <cell r="B30">
            <v>0.92</v>
          </cell>
          <cell r="C30">
            <v>0.08</v>
          </cell>
        </row>
        <row r="31">
          <cell r="A31" t="str">
            <v>Sweden</v>
          </cell>
          <cell r="B31">
            <v>0.68</v>
          </cell>
          <cell r="C31">
            <v>0.32</v>
          </cell>
        </row>
        <row r="32">
          <cell r="A32" t="str">
            <v>Netherlands</v>
          </cell>
          <cell r="B32">
            <v>0.87</v>
          </cell>
          <cell r="C32">
            <v>0.13</v>
          </cell>
        </row>
        <row r="33">
          <cell r="A33" t="str">
            <v>Iran</v>
          </cell>
          <cell r="B33">
            <v>1</v>
          </cell>
        </row>
        <row r="34">
          <cell r="A34" t="str">
            <v>Australia</v>
          </cell>
          <cell r="B34">
            <v>0.77</v>
          </cell>
          <cell r="C34">
            <v>0.23</v>
          </cell>
        </row>
        <row r="35">
          <cell r="A35" t="str">
            <v>Hungary</v>
          </cell>
          <cell r="B35">
            <v>1</v>
          </cell>
        </row>
        <row r="36">
          <cell r="A36" t="str">
            <v>South Africa</v>
          </cell>
          <cell r="B36">
            <v>1</v>
          </cell>
        </row>
        <row r="37">
          <cell r="A37" t="str">
            <v>United Kingdom</v>
          </cell>
          <cell r="B37">
            <v>0.83</v>
          </cell>
          <cell r="C37">
            <v>0.17</v>
          </cell>
        </row>
        <row r="38">
          <cell r="A38" t="str">
            <v>Finland</v>
          </cell>
          <cell r="B38">
            <v>0.77</v>
          </cell>
          <cell r="C38">
            <v>0.23</v>
          </cell>
        </row>
        <row r="39">
          <cell r="A39" t="str">
            <v>United Arab Emirates</v>
          </cell>
          <cell r="B39">
            <v>1</v>
          </cell>
        </row>
        <row r="40">
          <cell r="A40" t="str">
            <v>New Zealand</v>
          </cell>
          <cell r="B40">
            <v>0.53</v>
          </cell>
          <cell r="C40">
            <v>0.47</v>
          </cell>
        </row>
        <row r="41">
          <cell r="A41" t="str">
            <v>Norway</v>
          </cell>
          <cell r="B41">
            <v>0.56000000000000005</v>
          </cell>
          <cell r="C41">
            <v>0.44</v>
          </cell>
        </row>
        <row r="42">
          <cell r="A42" t="str">
            <v>Turkey</v>
          </cell>
          <cell r="B42">
            <v>0.89</v>
          </cell>
          <cell r="C42">
            <v>0.11</v>
          </cell>
        </row>
        <row r="43">
          <cell r="A43" t="str">
            <v>Vietnam</v>
          </cell>
          <cell r="B43">
            <v>0.85</v>
          </cell>
          <cell r="C43">
            <v>0.15</v>
          </cell>
        </row>
        <row r="44">
          <cell r="A44" t="str">
            <v>Thailand</v>
          </cell>
          <cell r="B44">
            <v>0.86</v>
          </cell>
          <cell r="C44">
            <v>0.14000000000000001</v>
          </cell>
        </row>
        <row r="45">
          <cell r="A45" t="str">
            <v>Philippines</v>
          </cell>
          <cell r="B45">
            <v>0.62</v>
          </cell>
          <cell r="C45">
            <v>0.38</v>
          </cell>
        </row>
        <row r="46">
          <cell r="A46" t="str">
            <v>Indonesia</v>
          </cell>
          <cell r="B46">
            <v>0.73</v>
          </cell>
          <cell r="C46">
            <v>0.27</v>
          </cell>
        </row>
        <row r="47">
          <cell r="A47" t="str">
            <v>France</v>
          </cell>
          <cell r="B47">
            <v>0.94</v>
          </cell>
          <cell r="C47">
            <v>0.06</v>
          </cell>
        </row>
        <row r="48">
          <cell r="A48" t="str">
            <v>Morocco</v>
          </cell>
          <cell r="B48">
            <v>1</v>
          </cell>
        </row>
        <row r="49">
          <cell r="A49" t="str">
            <v>Portugal</v>
          </cell>
          <cell r="B49">
            <v>0.8</v>
          </cell>
          <cell r="C49">
            <v>0.2</v>
          </cell>
        </row>
        <row r="50">
          <cell r="A50" t="str">
            <v>Greece</v>
          </cell>
          <cell r="B50">
            <v>0.4</v>
          </cell>
          <cell r="C50">
            <v>0.6</v>
          </cell>
        </row>
        <row r="51">
          <cell r="A51" t="str">
            <v>Romania</v>
          </cell>
          <cell r="B51">
            <v>1</v>
          </cell>
        </row>
        <row r="52">
          <cell r="A52" t="str">
            <v>Poland</v>
          </cell>
          <cell r="B52">
            <v>0.77</v>
          </cell>
          <cell r="C52">
            <v>0.23</v>
          </cell>
        </row>
        <row r="53">
          <cell r="A53" t="str">
            <v>Russia</v>
          </cell>
          <cell r="B53">
            <v>0.72</v>
          </cell>
          <cell r="C53">
            <v>0.28000000000000003</v>
          </cell>
        </row>
        <row r="54">
          <cell r="A54" t="str">
            <v>Spain</v>
          </cell>
          <cell r="B54">
            <v>0.88</v>
          </cell>
          <cell r="C54">
            <v>0.12</v>
          </cell>
        </row>
        <row r="55">
          <cell r="A55" t="str">
            <v>Italy</v>
          </cell>
          <cell r="B55">
            <v>0.75</v>
          </cell>
          <cell r="C55">
            <v>0.25</v>
          </cell>
        </row>
        <row r="56">
          <cell r="A56" t="str">
            <v>Mexico</v>
          </cell>
          <cell r="B56">
            <v>1</v>
          </cell>
        </row>
        <row r="57">
          <cell r="A57" t="str">
            <v>Colombia</v>
          </cell>
          <cell r="B57">
            <v>1</v>
          </cell>
        </row>
        <row r="58">
          <cell r="A58" t="str">
            <v>Ukraine</v>
          </cell>
          <cell r="B58">
            <v>1</v>
          </cell>
        </row>
        <row r="59">
          <cell r="A59" t="str">
            <v>Saudi Arabia</v>
          </cell>
          <cell r="B59">
            <v>0.5</v>
          </cell>
          <cell r="C59">
            <v>0.5</v>
          </cell>
        </row>
        <row r="60">
          <cell r="A60" t="str">
            <v>Brazil</v>
          </cell>
          <cell r="B60">
            <v>0.84</v>
          </cell>
          <cell r="C60">
            <v>0.16</v>
          </cell>
        </row>
        <row r="61">
          <cell r="A61" t="str">
            <v>Andorra</v>
          </cell>
        </row>
        <row r="62">
          <cell r="A62" t="str">
            <v>French Guiana</v>
          </cell>
        </row>
        <row r="63">
          <cell r="A63" t="str">
            <v>French Polynesia</v>
          </cell>
        </row>
        <row r="64">
          <cell r="A64" t="str">
            <v>Botswana</v>
          </cell>
        </row>
        <row r="65">
          <cell r="A65" t="str">
            <v>Macao</v>
          </cell>
        </row>
        <row r="66">
          <cell r="A66" t="str">
            <v>Benin</v>
          </cell>
        </row>
        <row r="67">
          <cell r="A67" t="str">
            <v>Malta</v>
          </cell>
        </row>
        <row r="68">
          <cell r="A68" t="str">
            <v>Myanmar (Burma)</v>
          </cell>
        </row>
        <row r="69">
          <cell r="A69" t="str">
            <v>Brunei</v>
          </cell>
        </row>
        <row r="70">
          <cell r="A70" t="str">
            <v>Palestine</v>
          </cell>
        </row>
        <row r="71">
          <cell r="A71" t="str">
            <v>Mongolia</v>
          </cell>
        </row>
        <row r="72">
          <cell r="A72" t="str">
            <v>Ethiopia</v>
          </cell>
        </row>
        <row r="73">
          <cell r="A73" t="str">
            <v>Syria</v>
          </cell>
        </row>
        <row r="74">
          <cell r="A74" t="str">
            <v>Zimbabwe</v>
          </cell>
        </row>
        <row r="75">
          <cell r="A75" t="str">
            <v>Slovenia</v>
          </cell>
        </row>
        <row r="76">
          <cell r="A76" t="str">
            <v>Yemen</v>
          </cell>
        </row>
        <row r="77">
          <cell r="A77" t="str">
            <v>Congo - Kinshasa</v>
          </cell>
        </row>
        <row r="78">
          <cell r="A78" t="str">
            <v>Libya</v>
          </cell>
        </row>
        <row r="79">
          <cell r="A79" t="str">
            <v>Qatar</v>
          </cell>
        </row>
        <row r="80">
          <cell r="A80" t="str">
            <v>Jamaica</v>
          </cell>
        </row>
        <row r="81">
          <cell r="A81" t="str">
            <v>Nicaragua</v>
          </cell>
        </row>
        <row r="82">
          <cell r="A82" t="str">
            <v>Uganda</v>
          </cell>
        </row>
        <row r="83">
          <cell r="A83" t="str">
            <v>North Macedonia</v>
          </cell>
        </row>
        <row r="84">
          <cell r="A84" t="str">
            <v>Kenya</v>
          </cell>
        </row>
        <row r="85">
          <cell r="A85" t="str">
            <v>Sudan</v>
          </cell>
        </row>
        <row r="86">
          <cell r="A86" t="str">
            <v>Slovakia</v>
          </cell>
        </row>
        <row r="87">
          <cell r="A87" t="str">
            <v>Lebanon</v>
          </cell>
        </row>
        <row r="88">
          <cell r="A88" t="str">
            <v>Oman</v>
          </cell>
        </row>
        <row r="89">
          <cell r="A89" t="str">
            <v>Cyprus</v>
          </cell>
        </row>
        <row r="90">
          <cell r="A90" t="str">
            <v>Estonia</v>
          </cell>
        </row>
        <row r="91">
          <cell r="A91" t="str">
            <v>Honduras</v>
          </cell>
        </row>
        <row r="92">
          <cell r="A92" t="str">
            <v>Moldova</v>
          </cell>
        </row>
        <row r="93">
          <cell r="A93" t="str">
            <v>Ghana</v>
          </cell>
        </row>
        <row r="94">
          <cell r="A94" t="str">
            <v>Latvia</v>
          </cell>
        </row>
        <row r="95">
          <cell r="A95" t="str">
            <v>Serbia</v>
          </cell>
        </row>
        <row r="96">
          <cell r="A96" t="str">
            <v>Bulgaria</v>
          </cell>
        </row>
        <row r="97">
          <cell r="A97" t="str">
            <v>Kuwait</v>
          </cell>
        </row>
        <row r="98">
          <cell r="A98" t="str">
            <v>Belarus</v>
          </cell>
        </row>
        <row r="99">
          <cell r="A99" t="str">
            <v>Peru</v>
          </cell>
        </row>
        <row r="100">
          <cell r="A100" t="str">
            <v>Jordan</v>
          </cell>
        </row>
        <row r="101">
          <cell r="A101" t="str">
            <v>Costa Rica</v>
          </cell>
        </row>
        <row r="102">
          <cell r="A102" t="str">
            <v>Lithuania</v>
          </cell>
        </row>
        <row r="103">
          <cell r="A103" t="str">
            <v>Nigeria</v>
          </cell>
        </row>
        <row r="104">
          <cell r="A104" t="str">
            <v>Ecuador</v>
          </cell>
        </row>
        <row r="105">
          <cell r="A105" t="str">
            <v>Chile</v>
          </cell>
        </row>
        <row r="106">
          <cell r="A106" t="str">
            <v>Croatia</v>
          </cell>
        </row>
        <row r="107">
          <cell r="A107" t="str">
            <v>Kazakhstan</v>
          </cell>
        </row>
        <row r="108">
          <cell r="A108" t="str">
            <v>Argentina</v>
          </cell>
        </row>
        <row r="109">
          <cell r="A109" t="str">
            <v>Venezuela</v>
          </cell>
        </row>
        <row r="110">
          <cell r="A110" t="str">
            <v>Aruba</v>
          </cell>
        </row>
        <row r="111">
          <cell r="A111" t="str">
            <v>Afghanistan</v>
          </cell>
        </row>
        <row r="112">
          <cell r="A112" t="str">
            <v>Angola</v>
          </cell>
        </row>
        <row r="113">
          <cell r="A113" t="str">
            <v>Anguilla</v>
          </cell>
        </row>
        <row r="114">
          <cell r="A114" t="str">
            <v>Ã…land Islands</v>
          </cell>
        </row>
        <row r="115">
          <cell r="A115" t="str">
            <v>Albania</v>
          </cell>
        </row>
        <row r="116">
          <cell r="A116" t="str">
            <v>Armenia</v>
          </cell>
        </row>
        <row r="117">
          <cell r="A117" t="str">
            <v>American Samoa</v>
          </cell>
        </row>
        <row r="118">
          <cell r="A118" t="str">
            <v>Antarctica</v>
          </cell>
        </row>
        <row r="119">
          <cell r="A119" t="str">
            <v>French Southern Territories</v>
          </cell>
        </row>
        <row r="120">
          <cell r="A120" t="str">
            <v>Antigua &amp; Barbuda</v>
          </cell>
        </row>
        <row r="121">
          <cell r="A121" t="str">
            <v>Azerbaijan</v>
          </cell>
        </row>
        <row r="122">
          <cell r="A122" t="str">
            <v>Burundi</v>
          </cell>
        </row>
        <row r="123">
          <cell r="A123" t="str">
            <v>Caribbean Netherlands</v>
          </cell>
        </row>
        <row r="124">
          <cell r="A124" t="str">
            <v>Burkina Faso</v>
          </cell>
        </row>
        <row r="125">
          <cell r="A125" t="str">
            <v>Bahrain</v>
          </cell>
        </row>
        <row r="126">
          <cell r="A126" t="str">
            <v>Bahamas</v>
          </cell>
        </row>
        <row r="127">
          <cell r="A127" t="str">
            <v>Bosnia &amp; Herzegovina</v>
          </cell>
        </row>
        <row r="128">
          <cell r="A128" t="str">
            <v>St. BarthÃ©lemy</v>
          </cell>
        </row>
        <row r="129">
          <cell r="A129" t="str">
            <v>Belize</v>
          </cell>
        </row>
        <row r="130">
          <cell r="A130" t="str">
            <v>Bermuda</v>
          </cell>
        </row>
        <row r="131">
          <cell r="A131" t="str">
            <v>Bolivia</v>
          </cell>
        </row>
        <row r="132">
          <cell r="A132" t="str">
            <v>Barbados</v>
          </cell>
        </row>
        <row r="133">
          <cell r="A133" t="str">
            <v>Bhutan</v>
          </cell>
        </row>
        <row r="134">
          <cell r="A134" t="str">
            <v>Bouvet Island</v>
          </cell>
        </row>
        <row r="135">
          <cell r="A135" t="str">
            <v>Central African Republic</v>
          </cell>
        </row>
        <row r="136">
          <cell r="A136" t="str">
            <v>Cocos (Keeling) Islands</v>
          </cell>
        </row>
        <row r="137">
          <cell r="A137" t="str">
            <v>CÃ´te dâ€™Ivoire</v>
          </cell>
        </row>
        <row r="138">
          <cell r="A138" t="str">
            <v>Cameroon</v>
          </cell>
        </row>
        <row r="139">
          <cell r="A139" t="str">
            <v>Congo - Brazzaville</v>
          </cell>
        </row>
        <row r="140">
          <cell r="A140" t="str">
            <v>Cook Islands</v>
          </cell>
        </row>
        <row r="141">
          <cell r="A141" t="str">
            <v>Comoros</v>
          </cell>
        </row>
        <row r="142">
          <cell r="A142" t="str">
            <v>Cape Verde</v>
          </cell>
        </row>
        <row r="143">
          <cell r="A143" t="str">
            <v>Cuba</v>
          </cell>
        </row>
        <row r="144">
          <cell r="A144" t="str">
            <v>CuraÃ§ao</v>
          </cell>
        </row>
        <row r="145">
          <cell r="A145" t="str">
            <v>Christmas Island</v>
          </cell>
        </row>
        <row r="146">
          <cell r="A146" t="str">
            <v>Cayman Islands</v>
          </cell>
        </row>
        <row r="147">
          <cell r="A147" t="str">
            <v>Djibouti</v>
          </cell>
        </row>
        <row r="148">
          <cell r="A148" t="str">
            <v>Dominica</v>
          </cell>
        </row>
        <row r="149">
          <cell r="A149" t="str">
            <v>Dominican Republic</v>
          </cell>
        </row>
        <row r="150">
          <cell r="A150" t="str">
            <v>Eritrea</v>
          </cell>
        </row>
        <row r="151">
          <cell r="A151" t="str">
            <v>Western Sahara</v>
          </cell>
        </row>
        <row r="152">
          <cell r="A152" t="str">
            <v>Fiji</v>
          </cell>
        </row>
        <row r="153">
          <cell r="A153" t="str">
            <v>Falkland Islands (Islas Malvinas)</v>
          </cell>
        </row>
        <row r="154">
          <cell r="A154" t="str">
            <v>Faroe Islands</v>
          </cell>
        </row>
        <row r="155">
          <cell r="A155" t="str">
            <v>Micronesia</v>
          </cell>
        </row>
        <row r="156">
          <cell r="A156" t="str">
            <v>Gabon</v>
          </cell>
        </row>
        <row r="157">
          <cell r="A157" t="str">
            <v>Georgia</v>
          </cell>
        </row>
        <row r="158">
          <cell r="A158" t="str">
            <v>Guernsey</v>
          </cell>
        </row>
        <row r="159">
          <cell r="A159" t="str">
            <v>Gibraltar</v>
          </cell>
        </row>
        <row r="160">
          <cell r="A160" t="str">
            <v>Guinea</v>
          </cell>
        </row>
        <row r="161">
          <cell r="A161" t="str">
            <v>Guadeloupe</v>
          </cell>
        </row>
        <row r="162">
          <cell r="A162" t="str">
            <v>Gambia</v>
          </cell>
        </row>
        <row r="163">
          <cell r="A163" t="str">
            <v>Guinea-Bissau</v>
          </cell>
        </row>
        <row r="164">
          <cell r="A164" t="str">
            <v>Equatorial Guinea</v>
          </cell>
        </row>
        <row r="165">
          <cell r="A165" t="str">
            <v>Grenada</v>
          </cell>
        </row>
        <row r="166">
          <cell r="A166" t="str">
            <v>Greenland</v>
          </cell>
        </row>
        <row r="167">
          <cell r="A167" t="str">
            <v>Guatemala</v>
          </cell>
        </row>
        <row r="168">
          <cell r="A168" t="str">
            <v>Guam</v>
          </cell>
        </row>
        <row r="169">
          <cell r="A169" t="str">
            <v>Guyana</v>
          </cell>
        </row>
        <row r="170">
          <cell r="A170" t="str">
            <v>Heard &amp; McDonald Islands</v>
          </cell>
        </row>
        <row r="171">
          <cell r="A171" t="str">
            <v>Haiti</v>
          </cell>
        </row>
        <row r="172">
          <cell r="A172" t="str">
            <v>Isle of Man</v>
          </cell>
        </row>
        <row r="173">
          <cell r="A173" t="str">
            <v>British Indian Ocean Territory</v>
          </cell>
        </row>
        <row r="174">
          <cell r="A174" t="str">
            <v>Iceland</v>
          </cell>
        </row>
        <row r="175">
          <cell r="A175" t="str">
            <v>Jersey</v>
          </cell>
        </row>
        <row r="176">
          <cell r="A176" t="str">
            <v>Kyrgyzstan</v>
          </cell>
        </row>
        <row r="177">
          <cell r="A177" t="str">
            <v>Cambodia</v>
          </cell>
        </row>
        <row r="178">
          <cell r="A178" t="str">
            <v>Kiribati</v>
          </cell>
        </row>
        <row r="179">
          <cell r="A179" t="str">
            <v>St. Kitts &amp; Nevis</v>
          </cell>
        </row>
        <row r="180">
          <cell r="A180" t="str">
            <v>Laos</v>
          </cell>
        </row>
        <row r="181">
          <cell r="A181" t="str">
            <v>Liberia</v>
          </cell>
        </row>
        <row r="182">
          <cell r="A182" t="str">
            <v>St. Lucia</v>
          </cell>
        </row>
        <row r="183">
          <cell r="A183" t="str">
            <v>Liechtenstein</v>
          </cell>
        </row>
        <row r="184">
          <cell r="A184" t="str">
            <v>Lesotho</v>
          </cell>
        </row>
        <row r="185">
          <cell r="A185" t="str">
            <v>Luxembourg</v>
          </cell>
        </row>
        <row r="186">
          <cell r="A186" t="str">
            <v>St. Martin</v>
          </cell>
        </row>
        <row r="187">
          <cell r="A187" t="str">
            <v>Monaco</v>
          </cell>
        </row>
        <row r="188">
          <cell r="A188" t="str">
            <v>Madagascar</v>
          </cell>
        </row>
        <row r="189">
          <cell r="A189" t="str">
            <v>Maldives</v>
          </cell>
        </row>
        <row r="190">
          <cell r="A190" t="str">
            <v>Marshall Islands</v>
          </cell>
        </row>
        <row r="191">
          <cell r="A191" t="str">
            <v>Mali</v>
          </cell>
        </row>
        <row r="192">
          <cell r="A192" t="str">
            <v>Montenegro</v>
          </cell>
        </row>
        <row r="193">
          <cell r="A193" t="str">
            <v>Northern Mariana Islands</v>
          </cell>
        </row>
        <row r="194">
          <cell r="A194" t="str">
            <v>Mozambique</v>
          </cell>
        </row>
        <row r="195">
          <cell r="A195" t="str">
            <v>Mauritania</v>
          </cell>
        </row>
        <row r="196">
          <cell r="A196" t="str">
            <v>Montserrat</v>
          </cell>
        </row>
        <row r="197">
          <cell r="A197" t="str">
            <v>Martinique</v>
          </cell>
        </row>
        <row r="198">
          <cell r="A198" t="str">
            <v>Mauritius</v>
          </cell>
        </row>
        <row r="199">
          <cell r="A199" t="str">
            <v>Malawi</v>
          </cell>
        </row>
        <row r="200">
          <cell r="A200" t="str">
            <v>Mayotte</v>
          </cell>
        </row>
        <row r="201">
          <cell r="A201" t="str">
            <v>Namibia</v>
          </cell>
        </row>
        <row r="202">
          <cell r="A202" t="str">
            <v>New Caledonia</v>
          </cell>
        </row>
        <row r="203">
          <cell r="A203" t="str">
            <v>Niger</v>
          </cell>
        </row>
        <row r="204">
          <cell r="A204" t="str">
            <v>Norfolk Island</v>
          </cell>
        </row>
        <row r="205">
          <cell r="A205" t="str">
            <v>Niue</v>
          </cell>
        </row>
        <row r="206">
          <cell r="A206" t="str">
            <v>Nauru</v>
          </cell>
        </row>
        <row r="207">
          <cell r="A207" t="str">
            <v>Panama</v>
          </cell>
        </row>
        <row r="208">
          <cell r="A208" t="str">
            <v>Pitcairn Islands</v>
          </cell>
        </row>
        <row r="209">
          <cell r="A209" t="str">
            <v>Palau</v>
          </cell>
        </row>
        <row r="210">
          <cell r="A210" t="str">
            <v>Papua New Guinea</v>
          </cell>
        </row>
        <row r="211">
          <cell r="A211" t="str">
            <v>Puerto Rico</v>
          </cell>
        </row>
        <row r="212">
          <cell r="A212" t="str">
            <v>North Korea</v>
          </cell>
        </row>
        <row r="213">
          <cell r="A213" t="str">
            <v>Paraguay</v>
          </cell>
        </row>
        <row r="214">
          <cell r="A214" t="str">
            <v>RÃ©union</v>
          </cell>
        </row>
        <row r="215">
          <cell r="A215" t="str">
            <v>Rwanda</v>
          </cell>
        </row>
        <row r="216">
          <cell r="A216" t="str">
            <v>Senegal</v>
          </cell>
        </row>
        <row r="217">
          <cell r="A217" t="str">
            <v>South Georgia &amp; South Sandwich Islands</v>
          </cell>
        </row>
        <row r="218">
          <cell r="A218" t="str">
            <v>Svalbard &amp; Jan Mayen</v>
          </cell>
        </row>
        <row r="219">
          <cell r="A219" t="str">
            <v>Solomon Islands</v>
          </cell>
        </row>
        <row r="220">
          <cell r="A220" t="str">
            <v>Sierra Leone</v>
          </cell>
        </row>
        <row r="221">
          <cell r="A221" t="str">
            <v>El Salvador</v>
          </cell>
        </row>
        <row r="222">
          <cell r="A222" t="str">
            <v>San Marino</v>
          </cell>
        </row>
        <row r="223">
          <cell r="A223" t="str">
            <v>Somalia</v>
          </cell>
        </row>
        <row r="224">
          <cell r="A224" t="str">
            <v>St. Pierre &amp; Miquelon</v>
          </cell>
        </row>
        <row r="225">
          <cell r="A225" t="str">
            <v>South Sudan</v>
          </cell>
        </row>
        <row r="226">
          <cell r="A226" t="str">
            <v>SÃ£o TomÃ© &amp; PrÃ­ncipe</v>
          </cell>
        </row>
        <row r="227">
          <cell r="A227" t="str">
            <v>Suriname</v>
          </cell>
        </row>
        <row r="228">
          <cell r="A228" t="str">
            <v>Eswatini</v>
          </cell>
        </row>
        <row r="229">
          <cell r="A229" t="str">
            <v>Sint Maarten</v>
          </cell>
        </row>
        <row r="230">
          <cell r="A230" t="str">
            <v>Seychelles</v>
          </cell>
        </row>
        <row r="231">
          <cell r="A231" t="str">
            <v>Turks &amp; Caicos Islands</v>
          </cell>
        </row>
        <row r="232">
          <cell r="A232" t="str">
            <v>Chad</v>
          </cell>
        </row>
        <row r="233">
          <cell r="A233" t="str">
            <v>Togo</v>
          </cell>
        </row>
        <row r="234">
          <cell r="A234" t="str">
            <v>Tajikistan</v>
          </cell>
        </row>
        <row r="235">
          <cell r="A235" t="str">
            <v>Tokelau</v>
          </cell>
        </row>
        <row r="236">
          <cell r="A236" t="str">
            <v>Turkmenistan</v>
          </cell>
        </row>
        <row r="237">
          <cell r="A237" t="str">
            <v>Timor-Leste</v>
          </cell>
        </row>
        <row r="238">
          <cell r="A238" t="str">
            <v>Tonga</v>
          </cell>
        </row>
        <row r="239">
          <cell r="A239" t="str">
            <v>Trinidad &amp; Tobago</v>
          </cell>
        </row>
        <row r="240">
          <cell r="A240" t="str">
            <v>Tuvalu</v>
          </cell>
        </row>
        <row r="241">
          <cell r="A241" t="str">
            <v>Tanzania</v>
          </cell>
        </row>
        <row r="242">
          <cell r="A242" t="str">
            <v>U.S. Outlying Islands</v>
          </cell>
        </row>
        <row r="243">
          <cell r="A243" t="str">
            <v>Uruguay</v>
          </cell>
        </row>
        <row r="244">
          <cell r="A244" t="str">
            <v>Uzbekistan</v>
          </cell>
        </row>
        <row r="245">
          <cell r="A245" t="str">
            <v>Vatican City</v>
          </cell>
        </row>
        <row r="246">
          <cell r="A246" t="str">
            <v>St. Vincent &amp; Grenadines</v>
          </cell>
        </row>
        <row r="247">
          <cell r="A247" t="str">
            <v>British Virgin Islands</v>
          </cell>
        </row>
        <row r="248">
          <cell r="A248" t="str">
            <v>U.S. Virgin Islands</v>
          </cell>
        </row>
        <row r="249">
          <cell r="A249" t="str">
            <v>Vanuatu</v>
          </cell>
        </row>
        <row r="250">
          <cell r="A250" t="str">
            <v>Wallis &amp; Futuna</v>
          </cell>
        </row>
        <row r="251">
          <cell r="A251" t="str">
            <v>Samoa</v>
          </cell>
        </row>
        <row r="252">
          <cell r="A252" t="str">
            <v>Kosovo</v>
          </cell>
        </row>
        <row r="253">
          <cell r="A253" t="str">
            <v>Zambia</v>
          </cell>
        </row>
      </sheetData>
    </sheetDataSet>
  </externalBook>
</externalLink>
</file>

<file path=xl/externalLinks/externalLink1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78)"/>
    </sheetNames>
    <sheetDataSet>
      <sheetData sheetId="0" refreshError="1">
        <row r="1">
          <cell r="A1" t="str">
            <v>Category: All categories</v>
          </cell>
        </row>
        <row r="3">
          <cell r="A3" t="str">
            <v>Country</v>
          </cell>
          <cell r="B3" t="str">
            <v>Hypertext Transfer Protocol: (2018)</v>
          </cell>
          <cell r="C3" t="str">
            <v>Stack: (2018)</v>
          </cell>
        </row>
        <row r="4">
          <cell r="A4" t="str">
            <v>China</v>
          </cell>
          <cell r="B4">
            <v>0.73</v>
          </cell>
          <cell r="C4">
            <v>0.27</v>
          </cell>
        </row>
        <row r="5">
          <cell r="A5" t="str">
            <v>Cuba</v>
          </cell>
        </row>
        <row r="6">
          <cell r="A6" t="str">
            <v>Ethiopia</v>
          </cell>
        </row>
        <row r="7">
          <cell r="A7" t="str">
            <v>St. Helena</v>
          </cell>
          <cell r="B7">
            <v>0.74</v>
          </cell>
          <cell r="C7">
            <v>0.26</v>
          </cell>
        </row>
        <row r="8">
          <cell r="A8" t="str">
            <v>Myanmar (Burma)</v>
          </cell>
        </row>
        <row r="9">
          <cell r="A9" t="str">
            <v>South Korea</v>
          </cell>
          <cell r="B9">
            <v>0.61</v>
          </cell>
          <cell r="C9">
            <v>0.39</v>
          </cell>
        </row>
        <row r="10">
          <cell r="A10" t="str">
            <v>Singapore</v>
          </cell>
          <cell r="B10">
            <v>0.64</v>
          </cell>
          <cell r="C10">
            <v>0.36</v>
          </cell>
        </row>
        <row r="11">
          <cell r="A11" t="str">
            <v>Jamaica</v>
          </cell>
        </row>
        <row r="12">
          <cell r="A12" t="str">
            <v>Togo</v>
          </cell>
        </row>
        <row r="13">
          <cell r="A13" t="str">
            <v>Papua New Guinea</v>
          </cell>
        </row>
        <row r="14">
          <cell r="A14" t="str">
            <v>Taiwan</v>
          </cell>
          <cell r="B14">
            <v>0.34</v>
          </cell>
          <cell r="C14">
            <v>0.66</v>
          </cell>
        </row>
        <row r="15">
          <cell r="A15" t="str">
            <v>Chad</v>
          </cell>
        </row>
        <row r="16">
          <cell r="A16" t="str">
            <v>North Macedonia</v>
          </cell>
        </row>
        <row r="17">
          <cell r="A17" t="str">
            <v>Israel</v>
          </cell>
          <cell r="B17">
            <v>0.69</v>
          </cell>
          <cell r="C17">
            <v>0.31</v>
          </cell>
        </row>
        <row r="18">
          <cell r="A18" t="str">
            <v>Luxembourg</v>
          </cell>
        </row>
        <row r="19">
          <cell r="A19" t="str">
            <v>Cook Islands</v>
          </cell>
        </row>
        <row r="20">
          <cell r="A20" t="str">
            <v>Liechtenstein</v>
          </cell>
        </row>
        <row r="21">
          <cell r="A21" t="str">
            <v>Nigeria</v>
          </cell>
          <cell r="B21">
            <v>0.86</v>
          </cell>
          <cell r="C21">
            <v>0.14000000000000001</v>
          </cell>
        </row>
        <row r="22">
          <cell r="A22" t="str">
            <v>Angola</v>
          </cell>
        </row>
        <row r="23">
          <cell r="A23" t="str">
            <v>Tanzania</v>
          </cell>
        </row>
        <row r="24">
          <cell r="A24" t="str">
            <v>Malawi</v>
          </cell>
        </row>
        <row r="25">
          <cell r="A25" t="str">
            <v>Madagascar</v>
          </cell>
        </row>
        <row r="26">
          <cell r="A26" t="str">
            <v>Greenland</v>
          </cell>
        </row>
        <row r="27">
          <cell r="A27" t="str">
            <v>Ã…land Islands</v>
          </cell>
        </row>
        <row r="28">
          <cell r="A28" t="str">
            <v>Philippines</v>
          </cell>
          <cell r="B28">
            <v>0.69</v>
          </cell>
          <cell r="C28">
            <v>0.31</v>
          </cell>
        </row>
        <row r="29">
          <cell r="A29" t="str">
            <v>Cape Verde</v>
          </cell>
        </row>
        <row r="30">
          <cell r="A30" t="str">
            <v>Cameroon</v>
          </cell>
        </row>
        <row r="31">
          <cell r="A31" t="str">
            <v>Iceland</v>
          </cell>
        </row>
        <row r="32">
          <cell r="A32" t="str">
            <v>Hong Kong</v>
          </cell>
          <cell r="B32">
            <v>0.51</v>
          </cell>
          <cell r="C32">
            <v>0.49</v>
          </cell>
        </row>
        <row r="33">
          <cell r="A33" t="str">
            <v>Mexico</v>
          </cell>
          <cell r="B33">
            <v>0.91</v>
          </cell>
          <cell r="C33">
            <v>0.09</v>
          </cell>
        </row>
        <row r="34">
          <cell r="A34" t="str">
            <v>Gibraltar</v>
          </cell>
        </row>
        <row r="35">
          <cell r="A35" t="str">
            <v>Germany</v>
          </cell>
          <cell r="B35">
            <v>0.76</v>
          </cell>
          <cell r="C35">
            <v>0.24</v>
          </cell>
        </row>
        <row r="36">
          <cell r="A36" t="str">
            <v>Benin</v>
          </cell>
        </row>
        <row r="37">
          <cell r="A37" t="str">
            <v>Kenya</v>
          </cell>
          <cell r="B37">
            <v>0.79</v>
          </cell>
          <cell r="C37">
            <v>0.21</v>
          </cell>
        </row>
        <row r="38">
          <cell r="A38" t="str">
            <v>Switzerland</v>
          </cell>
          <cell r="B38">
            <v>0.73</v>
          </cell>
          <cell r="C38">
            <v>0.27</v>
          </cell>
        </row>
        <row r="39">
          <cell r="A39" t="str">
            <v>Czechia</v>
          </cell>
          <cell r="B39">
            <v>0.45</v>
          </cell>
          <cell r="C39">
            <v>0.55000000000000004</v>
          </cell>
        </row>
        <row r="40">
          <cell r="A40" t="str">
            <v>Burundi</v>
          </cell>
        </row>
        <row r="41">
          <cell r="A41" t="str">
            <v>Botswana</v>
          </cell>
        </row>
        <row r="42">
          <cell r="A42" t="str">
            <v>Bhutan</v>
          </cell>
        </row>
        <row r="43">
          <cell r="A43" t="str">
            <v>Rwanda</v>
          </cell>
        </row>
        <row r="44">
          <cell r="A44" t="str">
            <v>Sri Lanka</v>
          </cell>
          <cell r="B44">
            <v>0.68</v>
          </cell>
          <cell r="C44">
            <v>0.32</v>
          </cell>
        </row>
        <row r="45">
          <cell r="A45" t="str">
            <v>Belarus</v>
          </cell>
          <cell r="B45">
            <v>0.71</v>
          </cell>
          <cell r="C45">
            <v>0.28999999999999998</v>
          </cell>
        </row>
        <row r="46">
          <cell r="A46" t="str">
            <v>Mali</v>
          </cell>
        </row>
        <row r="47">
          <cell r="A47" t="str">
            <v>Uganda</v>
          </cell>
        </row>
        <row r="48">
          <cell r="A48" t="str">
            <v>India</v>
          </cell>
          <cell r="B48">
            <v>0.64</v>
          </cell>
          <cell r="C48">
            <v>0.36</v>
          </cell>
        </row>
        <row r="49">
          <cell r="A49" t="str">
            <v>Nepal</v>
          </cell>
        </row>
        <row r="50">
          <cell r="A50" t="str">
            <v>Austria</v>
          </cell>
          <cell r="B50">
            <v>0.74</v>
          </cell>
          <cell r="C50">
            <v>0.26</v>
          </cell>
        </row>
        <row r="51">
          <cell r="A51" t="str">
            <v>Armenia</v>
          </cell>
        </row>
        <row r="52">
          <cell r="A52" t="str">
            <v>Estonia</v>
          </cell>
        </row>
        <row r="53">
          <cell r="A53" t="str">
            <v>Congo - Brazzaville</v>
          </cell>
        </row>
        <row r="54">
          <cell r="A54" t="str">
            <v>Bangladesh</v>
          </cell>
          <cell r="B54">
            <v>0.74</v>
          </cell>
          <cell r="C54">
            <v>0.26</v>
          </cell>
        </row>
        <row r="55">
          <cell r="A55" t="str">
            <v>Monaco</v>
          </cell>
        </row>
        <row r="56">
          <cell r="A56" t="str">
            <v>Ecuador</v>
          </cell>
        </row>
        <row r="57">
          <cell r="A57" t="str">
            <v>Japan</v>
          </cell>
          <cell r="B57">
            <v>0.65</v>
          </cell>
          <cell r="C57">
            <v>0.35</v>
          </cell>
        </row>
        <row r="58">
          <cell r="A58" t="str">
            <v>El Salvador</v>
          </cell>
        </row>
        <row r="59">
          <cell r="A59" t="str">
            <v>Finland</v>
          </cell>
          <cell r="B59">
            <v>0.64</v>
          </cell>
          <cell r="C59">
            <v>0.36</v>
          </cell>
        </row>
        <row r="60">
          <cell r="A60" t="str">
            <v>Ukraine</v>
          </cell>
          <cell r="B60">
            <v>0.76</v>
          </cell>
          <cell r="C60">
            <v>0.24</v>
          </cell>
        </row>
        <row r="61">
          <cell r="A61" t="str">
            <v>Eswatini</v>
          </cell>
        </row>
        <row r="62">
          <cell r="A62" t="str">
            <v>Zimbabwe</v>
          </cell>
        </row>
        <row r="63">
          <cell r="A63" t="str">
            <v>Timor-Leste</v>
          </cell>
        </row>
        <row r="64">
          <cell r="A64" t="str">
            <v>Mauritius</v>
          </cell>
        </row>
        <row r="65">
          <cell r="A65" t="str">
            <v>Macao</v>
          </cell>
        </row>
        <row r="66">
          <cell r="A66" t="str">
            <v>Nicaragua</v>
          </cell>
        </row>
        <row r="67">
          <cell r="A67" t="str">
            <v>New Zealand</v>
          </cell>
          <cell r="B67">
            <v>0.55000000000000004</v>
          </cell>
          <cell r="C67">
            <v>0.45</v>
          </cell>
        </row>
        <row r="68">
          <cell r="A68" t="str">
            <v>Portugal</v>
          </cell>
          <cell r="B68">
            <v>0.75</v>
          </cell>
          <cell r="C68">
            <v>0.25</v>
          </cell>
        </row>
        <row r="69">
          <cell r="A69" t="str">
            <v>Somalia</v>
          </cell>
        </row>
        <row r="70">
          <cell r="A70" t="str">
            <v>Tunisia</v>
          </cell>
        </row>
        <row r="71">
          <cell r="A71" t="str">
            <v>Mozambique</v>
          </cell>
        </row>
        <row r="72">
          <cell r="A72" t="str">
            <v>Costa Rica</v>
          </cell>
        </row>
        <row r="73">
          <cell r="A73" t="str">
            <v>Niger</v>
          </cell>
        </row>
        <row r="74">
          <cell r="A74" t="str">
            <v>Slovenia</v>
          </cell>
        </row>
        <row r="75">
          <cell r="A75" t="str">
            <v>Ireland</v>
          </cell>
          <cell r="B75">
            <v>0.57999999999999996</v>
          </cell>
          <cell r="C75">
            <v>0.42</v>
          </cell>
        </row>
        <row r="76">
          <cell r="A76" t="str">
            <v>Norway</v>
          </cell>
          <cell r="B76">
            <v>0.61</v>
          </cell>
          <cell r="C76">
            <v>0.39</v>
          </cell>
        </row>
        <row r="77">
          <cell r="A77" t="str">
            <v>Russia</v>
          </cell>
          <cell r="B77">
            <v>0.71</v>
          </cell>
          <cell r="C77">
            <v>0.28999999999999998</v>
          </cell>
        </row>
        <row r="78">
          <cell r="A78" t="str">
            <v>Equatorial Guinea</v>
          </cell>
        </row>
        <row r="79">
          <cell r="A79" t="str">
            <v>Guatemala</v>
          </cell>
        </row>
        <row r="80">
          <cell r="A80" t="str">
            <v>Namibia</v>
          </cell>
        </row>
        <row r="81">
          <cell r="A81" t="str">
            <v>Slovakia</v>
          </cell>
          <cell r="B81">
            <v>0.48</v>
          </cell>
          <cell r="C81">
            <v>0.52</v>
          </cell>
        </row>
        <row r="82">
          <cell r="A82" t="str">
            <v>Romania</v>
          </cell>
          <cell r="B82">
            <v>0.68</v>
          </cell>
          <cell r="C82">
            <v>0.32</v>
          </cell>
        </row>
        <row r="83">
          <cell r="A83" t="str">
            <v>Uzbekistan</v>
          </cell>
        </row>
        <row r="84">
          <cell r="A84" t="str">
            <v>Indonesia</v>
          </cell>
          <cell r="B84">
            <v>0.83</v>
          </cell>
          <cell r="C84">
            <v>0.17</v>
          </cell>
        </row>
        <row r="85">
          <cell r="A85" t="str">
            <v>Netherlands</v>
          </cell>
          <cell r="B85">
            <v>0.59</v>
          </cell>
          <cell r="C85">
            <v>0.41</v>
          </cell>
        </row>
        <row r="86">
          <cell r="A86" t="str">
            <v>Cyprus</v>
          </cell>
        </row>
        <row r="87">
          <cell r="A87" t="str">
            <v>Sweden</v>
          </cell>
          <cell r="B87">
            <v>0.56000000000000005</v>
          </cell>
          <cell r="C87">
            <v>0.44</v>
          </cell>
        </row>
        <row r="88">
          <cell r="A88" t="str">
            <v>Paraguay</v>
          </cell>
        </row>
        <row r="89">
          <cell r="A89" t="str">
            <v>Albania</v>
          </cell>
        </row>
        <row r="90">
          <cell r="A90" t="str">
            <v>Hungary</v>
          </cell>
          <cell r="B90">
            <v>0.76</v>
          </cell>
          <cell r="C90">
            <v>0.24</v>
          </cell>
        </row>
        <row r="91">
          <cell r="A91" t="str">
            <v>Isle of Man</v>
          </cell>
        </row>
        <row r="92">
          <cell r="A92" t="str">
            <v>Malta</v>
          </cell>
        </row>
        <row r="93">
          <cell r="A93" t="str">
            <v>South Africa</v>
          </cell>
          <cell r="B93">
            <v>0.65</v>
          </cell>
          <cell r="C93">
            <v>0.35</v>
          </cell>
        </row>
        <row r="94">
          <cell r="A94" t="str">
            <v>Denmark</v>
          </cell>
          <cell r="B94">
            <v>0.62</v>
          </cell>
          <cell r="C94">
            <v>0.38</v>
          </cell>
        </row>
        <row r="95">
          <cell r="A95" t="str">
            <v>Honduras</v>
          </cell>
        </row>
        <row r="96">
          <cell r="A96" t="str">
            <v>Canada</v>
          </cell>
          <cell r="B96">
            <v>0.52</v>
          </cell>
          <cell r="C96">
            <v>0.48</v>
          </cell>
        </row>
        <row r="97">
          <cell r="A97" t="str">
            <v>Haiti</v>
          </cell>
        </row>
        <row r="98">
          <cell r="A98" t="str">
            <v>Moldova</v>
          </cell>
        </row>
        <row r="99">
          <cell r="A99" t="str">
            <v>Ghana</v>
          </cell>
        </row>
        <row r="100">
          <cell r="A100" t="str">
            <v>Turkmenistan</v>
          </cell>
        </row>
        <row r="101">
          <cell r="A101" t="str">
            <v>Pakistan</v>
          </cell>
          <cell r="B101">
            <v>0.54</v>
          </cell>
          <cell r="C101">
            <v>0.46</v>
          </cell>
        </row>
        <row r="102">
          <cell r="A102" t="str">
            <v>Bolivia</v>
          </cell>
        </row>
        <row r="103">
          <cell r="A103" t="str">
            <v>Latvia</v>
          </cell>
        </row>
        <row r="104">
          <cell r="A104" t="str">
            <v>Australia</v>
          </cell>
          <cell r="B104">
            <v>0.53</v>
          </cell>
          <cell r="C104">
            <v>0.47</v>
          </cell>
        </row>
        <row r="105">
          <cell r="A105" t="str">
            <v>Senegal</v>
          </cell>
        </row>
        <row r="106">
          <cell r="A106" t="str">
            <v>Solomon Islands</v>
          </cell>
        </row>
        <row r="107">
          <cell r="A107" t="str">
            <v>Maldives</v>
          </cell>
        </row>
        <row r="108">
          <cell r="A108" t="str">
            <v>Gambia</v>
          </cell>
        </row>
        <row r="109">
          <cell r="A109" t="str">
            <v>Burkina Faso</v>
          </cell>
        </row>
        <row r="110">
          <cell r="A110" t="str">
            <v>United States</v>
          </cell>
          <cell r="B110">
            <v>0.51</v>
          </cell>
          <cell r="C110">
            <v>0.49</v>
          </cell>
        </row>
        <row r="111">
          <cell r="A111" t="str">
            <v>Faroe Islands</v>
          </cell>
        </row>
        <row r="112">
          <cell r="A112" t="str">
            <v>Peru</v>
          </cell>
          <cell r="B112">
            <v>0.88</v>
          </cell>
          <cell r="C112">
            <v>0.12</v>
          </cell>
        </row>
        <row r="113">
          <cell r="A113" t="str">
            <v>Cambodia</v>
          </cell>
        </row>
        <row r="114">
          <cell r="A114" t="str">
            <v>Guam</v>
          </cell>
        </row>
        <row r="115">
          <cell r="A115" t="str">
            <v>Lesotho</v>
          </cell>
        </row>
        <row r="116">
          <cell r="A116" t="str">
            <v>Colombia</v>
          </cell>
          <cell r="B116">
            <v>0.87</v>
          </cell>
          <cell r="C116">
            <v>0.13</v>
          </cell>
        </row>
        <row r="117">
          <cell r="A117" t="str">
            <v>Brunei</v>
          </cell>
        </row>
        <row r="118">
          <cell r="A118" t="str">
            <v>Fiji</v>
          </cell>
        </row>
        <row r="119">
          <cell r="A119" t="str">
            <v>Bosnia &amp; Herzegovina</v>
          </cell>
        </row>
        <row r="120">
          <cell r="A120" t="str">
            <v>Dominican Republic</v>
          </cell>
        </row>
        <row r="121">
          <cell r="A121" t="str">
            <v>Mongolia</v>
          </cell>
        </row>
        <row r="122">
          <cell r="A122" t="str">
            <v>Zambia</v>
          </cell>
        </row>
        <row r="123">
          <cell r="A123" t="str">
            <v>CÃ´te dâ€™Ivoire</v>
          </cell>
        </row>
        <row r="124">
          <cell r="A124" t="str">
            <v>Laos</v>
          </cell>
        </row>
        <row r="125">
          <cell r="A125" t="str">
            <v>Lebanon</v>
          </cell>
        </row>
        <row r="126">
          <cell r="A126" t="str">
            <v>Sudan</v>
          </cell>
        </row>
        <row r="127">
          <cell r="A127" t="str">
            <v>Brazil</v>
          </cell>
          <cell r="B127">
            <v>0.87</v>
          </cell>
          <cell r="C127">
            <v>0.13</v>
          </cell>
        </row>
        <row r="128">
          <cell r="A128" t="str">
            <v>Spain</v>
          </cell>
          <cell r="B128">
            <v>0.81</v>
          </cell>
          <cell r="C128">
            <v>0.19</v>
          </cell>
        </row>
        <row r="129">
          <cell r="A129" t="str">
            <v>Guyana</v>
          </cell>
        </row>
        <row r="130">
          <cell r="A130" t="str">
            <v>CuraÃ§ao</v>
          </cell>
        </row>
        <row r="131">
          <cell r="A131" t="str">
            <v>Belgium</v>
          </cell>
          <cell r="B131">
            <v>0.67</v>
          </cell>
          <cell r="C131">
            <v>0.33</v>
          </cell>
        </row>
        <row r="132">
          <cell r="A132" t="str">
            <v>Malaysia</v>
          </cell>
          <cell r="B132">
            <v>0.6</v>
          </cell>
          <cell r="C132">
            <v>0.4</v>
          </cell>
        </row>
        <row r="133">
          <cell r="A133" t="str">
            <v>Bulgaria</v>
          </cell>
          <cell r="B133">
            <v>0.57999999999999996</v>
          </cell>
          <cell r="C133">
            <v>0.42</v>
          </cell>
        </row>
        <row r="134">
          <cell r="A134" t="str">
            <v>Andorra</v>
          </cell>
        </row>
        <row r="135">
          <cell r="A135" t="str">
            <v>Serbia</v>
          </cell>
          <cell r="B135">
            <v>0.57999999999999996</v>
          </cell>
          <cell r="C135">
            <v>0.42</v>
          </cell>
        </row>
        <row r="136">
          <cell r="A136" t="str">
            <v>United Arab Emirates</v>
          </cell>
          <cell r="B136">
            <v>0.61</v>
          </cell>
          <cell r="C136">
            <v>0.39</v>
          </cell>
        </row>
        <row r="137">
          <cell r="A137" t="str">
            <v>United Kingdom</v>
          </cell>
          <cell r="B137">
            <v>0.53</v>
          </cell>
          <cell r="C137">
            <v>0.47</v>
          </cell>
        </row>
        <row r="138">
          <cell r="A138" t="str">
            <v>Belize</v>
          </cell>
        </row>
        <row r="139">
          <cell r="A139" t="str">
            <v>Antigua &amp; Barbuda</v>
          </cell>
        </row>
        <row r="140">
          <cell r="A140" t="str">
            <v>Uruguay</v>
          </cell>
        </row>
        <row r="141">
          <cell r="A141" t="str">
            <v>Liberia</v>
          </cell>
        </row>
        <row r="142">
          <cell r="A142" t="str">
            <v>France</v>
          </cell>
          <cell r="B142">
            <v>0.83</v>
          </cell>
          <cell r="C142">
            <v>0.17</v>
          </cell>
        </row>
        <row r="143">
          <cell r="A143" t="str">
            <v>Gabon</v>
          </cell>
        </row>
        <row r="144">
          <cell r="A144" t="str">
            <v>Lithuania</v>
          </cell>
        </row>
        <row r="145">
          <cell r="A145" t="str">
            <v>Panama</v>
          </cell>
        </row>
        <row r="146">
          <cell r="A146" t="str">
            <v>New Caledonia</v>
          </cell>
        </row>
        <row r="147">
          <cell r="A147" t="str">
            <v>Poland</v>
          </cell>
          <cell r="B147">
            <v>0.63</v>
          </cell>
          <cell r="C147">
            <v>0.37</v>
          </cell>
        </row>
        <row r="148">
          <cell r="A148" t="str">
            <v>French Polynesia</v>
          </cell>
        </row>
        <row r="149">
          <cell r="A149" t="str">
            <v>Sierra Leone</v>
          </cell>
        </row>
        <row r="150">
          <cell r="A150" t="str">
            <v>Jersey</v>
          </cell>
        </row>
        <row r="151">
          <cell r="A151" t="str">
            <v>Barbados</v>
          </cell>
        </row>
        <row r="152">
          <cell r="A152" t="str">
            <v>Croatia</v>
          </cell>
          <cell r="B152">
            <v>0.6</v>
          </cell>
          <cell r="C152">
            <v>0.4</v>
          </cell>
        </row>
        <row r="153">
          <cell r="A153" t="str">
            <v>Kosovo</v>
          </cell>
        </row>
        <row r="154">
          <cell r="A154" t="str">
            <v>Kazakhstan</v>
          </cell>
          <cell r="B154">
            <v>0.74</v>
          </cell>
          <cell r="C154">
            <v>0.26</v>
          </cell>
        </row>
        <row r="155">
          <cell r="A155" t="str">
            <v>South Sudan</v>
          </cell>
        </row>
        <row r="156">
          <cell r="A156" t="str">
            <v>Cayman Islands</v>
          </cell>
        </row>
        <row r="157">
          <cell r="A157" t="str">
            <v>Morocco</v>
          </cell>
        </row>
        <row r="158">
          <cell r="A158" t="str">
            <v>Argentina</v>
          </cell>
          <cell r="B158">
            <v>0.85</v>
          </cell>
          <cell r="C158">
            <v>0.15</v>
          </cell>
        </row>
        <row r="159">
          <cell r="A159" t="str">
            <v>Congo - Kinshasa</v>
          </cell>
        </row>
        <row r="160">
          <cell r="A160" t="str">
            <v>Mauritania</v>
          </cell>
        </row>
        <row r="161">
          <cell r="A161" t="str">
            <v>Chile</v>
          </cell>
          <cell r="B161">
            <v>0.8</v>
          </cell>
          <cell r="C161">
            <v>0.2</v>
          </cell>
        </row>
        <row r="162">
          <cell r="A162" t="str">
            <v>Qatar</v>
          </cell>
        </row>
        <row r="163">
          <cell r="A163" t="str">
            <v>Iran</v>
          </cell>
          <cell r="B163">
            <v>0.55000000000000004</v>
          </cell>
          <cell r="C163">
            <v>0.45</v>
          </cell>
        </row>
        <row r="164">
          <cell r="A164" t="str">
            <v>Afghanistan</v>
          </cell>
        </row>
        <row r="165">
          <cell r="A165" t="str">
            <v>Palestine</v>
          </cell>
        </row>
        <row r="166">
          <cell r="A166" t="str">
            <v>Tajikistan</v>
          </cell>
        </row>
        <row r="167">
          <cell r="A167" t="str">
            <v>Egypt</v>
          </cell>
          <cell r="B167">
            <v>0.73</v>
          </cell>
          <cell r="C167">
            <v>0.27</v>
          </cell>
        </row>
        <row r="168">
          <cell r="A168" t="str">
            <v>Jordan</v>
          </cell>
        </row>
        <row r="169">
          <cell r="A169" t="str">
            <v>Guernsey</v>
          </cell>
        </row>
        <row r="170">
          <cell r="A170" t="str">
            <v>Georgia</v>
          </cell>
        </row>
        <row r="171">
          <cell r="A171" t="str">
            <v>Bermuda</v>
          </cell>
        </row>
        <row r="172">
          <cell r="A172" t="str">
            <v>Oman</v>
          </cell>
        </row>
        <row r="173">
          <cell r="A173" t="str">
            <v>Algeria</v>
          </cell>
        </row>
        <row r="174">
          <cell r="A174" t="str">
            <v>Martinique</v>
          </cell>
        </row>
        <row r="175">
          <cell r="A175" t="str">
            <v>Kyrgyzstan</v>
          </cell>
        </row>
        <row r="176">
          <cell r="A176" t="str">
            <v>St. Lucia</v>
          </cell>
        </row>
        <row r="177">
          <cell r="A177" t="str">
            <v>Italy</v>
          </cell>
          <cell r="B177">
            <v>0.69</v>
          </cell>
          <cell r="C177">
            <v>0.31</v>
          </cell>
        </row>
        <row r="178">
          <cell r="A178" t="str">
            <v>Iraq</v>
          </cell>
        </row>
        <row r="179">
          <cell r="A179" t="str">
            <v>Bahrain</v>
          </cell>
        </row>
        <row r="180">
          <cell r="A180" t="str">
            <v>Syria</v>
          </cell>
        </row>
        <row r="181">
          <cell r="A181" t="str">
            <v>Puerto Rico</v>
          </cell>
        </row>
        <row r="182">
          <cell r="A182" t="str">
            <v>Djibouti</v>
          </cell>
        </row>
        <row r="183">
          <cell r="A183" t="str">
            <v>Montenegro</v>
          </cell>
        </row>
        <row r="184">
          <cell r="A184" t="str">
            <v>Vietnam</v>
          </cell>
          <cell r="B184">
            <v>0.68</v>
          </cell>
          <cell r="C184">
            <v>0.32</v>
          </cell>
        </row>
        <row r="185">
          <cell r="A185" t="str">
            <v>Azerbaijan</v>
          </cell>
        </row>
        <row r="186">
          <cell r="A186" t="str">
            <v>Yemen</v>
          </cell>
        </row>
        <row r="187">
          <cell r="A187" t="str">
            <v>Mayotte</v>
          </cell>
        </row>
        <row r="188">
          <cell r="A188" t="str">
            <v>Greece</v>
          </cell>
          <cell r="B188">
            <v>0.52</v>
          </cell>
          <cell r="C188">
            <v>0.48</v>
          </cell>
        </row>
        <row r="189">
          <cell r="A189" t="str">
            <v>Trinidad &amp; Tobago</v>
          </cell>
        </row>
        <row r="190">
          <cell r="A190" t="str">
            <v>Guadeloupe</v>
          </cell>
        </row>
        <row r="191">
          <cell r="A191" t="str">
            <v>Libya</v>
          </cell>
        </row>
        <row r="192">
          <cell r="A192" t="str">
            <v>RÃ©union</v>
          </cell>
        </row>
        <row r="193">
          <cell r="A193" t="str">
            <v>Thailand</v>
          </cell>
          <cell r="B193">
            <v>0.61</v>
          </cell>
          <cell r="C193">
            <v>0.39</v>
          </cell>
        </row>
        <row r="194">
          <cell r="A194" t="str">
            <v>Venezuela</v>
          </cell>
        </row>
        <row r="195">
          <cell r="A195" t="str">
            <v>Guinea</v>
          </cell>
        </row>
        <row r="196">
          <cell r="A196" t="str">
            <v>Saudi Arabia</v>
          </cell>
          <cell r="B196">
            <v>0.68</v>
          </cell>
          <cell r="C196">
            <v>0.32</v>
          </cell>
        </row>
        <row r="197">
          <cell r="A197" t="str">
            <v>Grenada</v>
          </cell>
        </row>
        <row r="198">
          <cell r="A198" t="str">
            <v>Bahamas</v>
          </cell>
        </row>
        <row r="199">
          <cell r="A199" t="str">
            <v>Kuwait</v>
          </cell>
        </row>
        <row r="200">
          <cell r="A200" t="str">
            <v>Turkey</v>
          </cell>
          <cell r="B200">
            <v>0.63</v>
          </cell>
          <cell r="C200">
            <v>0.37</v>
          </cell>
        </row>
        <row r="201">
          <cell r="A201" t="str">
            <v>French Guiana</v>
          </cell>
        </row>
        <row r="202">
          <cell r="A202" t="str">
            <v>North Korea</v>
          </cell>
        </row>
        <row r="203">
          <cell r="A203" t="str">
            <v>Falkland Islands (Islas Malvinas)</v>
          </cell>
        </row>
        <row r="204">
          <cell r="A204" t="str">
            <v>Eritrea</v>
          </cell>
        </row>
        <row r="205">
          <cell r="A205" t="str">
            <v>Svalbard &amp; Jan Mayen</v>
          </cell>
        </row>
        <row r="206">
          <cell r="A206" t="str">
            <v>Vanuatu</v>
          </cell>
        </row>
        <row r="207">
          <cell r="A207" t="str">
            <v>SÃ£o TomÃ© &amp; PrÃ­ncipe</v>
          </cell>
        </row>
        <row r="208">
          <cell r="A208" t="str">
            <v>Marshall Islands</v>
          </cell>
        </row>
        <row r="209">
          <cell r="A209" t="str">
            <v>Guinea-Bissau</v>
          </cell>
        </row>
        <row r="210">
          <cell r="A210" t="str">
            <v>Tonga</v>
          </cell>
        </row>
        <row r="211">
          <cell r="A211" t="str">
            <v>Palau</v>
          </cell>
        </row>
        <row r="212">
          <cell r="A212" t="str">
            <v>San Marino</v>
          </cell>
        </row>
        <row r="213">
          <cell r="A213" t="str">
            <v>Central African Republic</v>
          </cell>
        </row>
        <row r="214">
          <cell r="A214" t="str">
            <v>Comoros</v>
          </cell>
        </row>
        <row r="215">
          <cell r="A215" t="str">
            <v>Micronesia</v>
          </cell>
        </row>
        <row r="216">
          <cell r="A216" t="str">
            <v>Caribbean Netherlands</v>
          </cell>
        </row>
        <row r="217">
          <cell r="A217" t="str">
            <v>St. Martin</v>
          </cell>
        </row>
        <row r="218">
          <cell r="A218" t="str">
            <v>Dominica</v>
          </cell>
        </row>
        <row r="219">
          <cell r="A219" t="str">
            <v>Samoa</v>
          </cell>
        </row>
        <row r="220">
          <cell r="A220" t="str">
            <v>Northern Mariana Islands</v>
          </cell>
        </row>
        <row r="221">
          <cell r="A221" t="str">
            <v>St. Vincent &amp; Grenadines</v>
          </cell>
        </row>
        <row r="222">
          <cell r="A222" t="str">
            <v>St. Kitts &amp; Nevis</v>
          </cell>
        </row>
        <row r="223">
          <cell r="A223" t="str">
            <v>British Virgin Islands</v>
          </cell>
        </row>
        <row r="224">
          <cell r="A224" t="str">
            <v>Seychelles</v>
          </cell>
        </row>
        <row r="225">
          <cell r="A225" t="str">
            <v>Turks &amp; Caicos Islands</v>
          </cell>
        </row>
        <row r="226">
          <cell r="A226" t="str">
            <v>Sint Maarten</v>
          </cell>
        </row>
        <row r="227">
          <cell r="A227" t="str">
            <v>Aruba</v>
          </cell>
        </row>
        <row r="228">
          <cell r="A228" t="str">
            <v>U.S. Virgin Islands</v>
          </cell>
        </row>
        <row r="229">
          <cell r="A229" t="str">
            <v>Suriname</v>
          </cell>
        </row>
        <row r="230">
          <cell r="A230" t="str">
            <v>St. BarthÃ©lemy</v>
          </cell>
        </row>
        <row r="231">
          <cell r="A231" t="str">
            <v>Western Sahara</v>
          </cell>
        </row>
        <row r="232">
          <cell r="A232" t="str">
            <v>Anguilla</v>
          </cell>
        </row>
        <row r="233">
          <cell r="A233" t="str">
            <v>American Samoa</v>
          </cell>
        </row>
        <row r="234">
          <cell r="A234" t="str">
            <v>Antarctica</v>
          </cell>
        </row>
        <row r="235">
          <cell r="A235" t="str">
            <v>French Southern Territories</v>
          </cell>
        </row>
        <row r="236">
          <cell r="A236" t="str">
            <v>Bouvet Island</v>
          </cell>
        </row>
        <row r="237">
          <cell r="A237" t="str">
            <v>Cocos (Keeling) Islands</v>
          </cell>
        </row>
        <row r="238">
          <cell r="A238" t="str">
            <v>Christmas Island</v>
          </cell>
        </row>
        <row r="239">
          <cell r="A239" t="str">
            <v>Heard &amp; McDonald Islands</v>
          </cell>
        </row>
        <row r="240">
          <cell r="A240" t="str">
            <v>British Indian Ocean Territory</v>
          </cell>
        </row>
        <row r="241">
          <cell r="A241" t="str">
            <v>Kiribati</v>
          </cell>
        </row>
        <row r="242">
          <cell r="A242" t="str">
            <v>Montserrat</v>
          </cell>
        </row>
        <row r="243">
          <cell r="A243" t="str">
            <v>Norfolk Island</v>
          </cell>
        </row>
        <row r="244">
          <cell r="A244" t="str">
            <v>Niue</v>
          </cell>
        </row>
        <row r="245">
          <cell r="A245" t="str">
            <v>Nauru</v>
          </cell>
        </row>
        <row r="246">
          <cell r="A246" t="str">
            <v>Pitcairn Islands</v>
          </cell>
        </row>
        <row r="247">
          <cell r="A247" t="str">
            <v>South Georgia &amp; South Sandwich Islands</v>
          </cell>
        </row>
        <row r="248">
          <cell r="A248" t="str">
            <v>St. Pierre &amp; Miquelon</v>
          </cell>
        </row>
        <row r="249">
          <cell r="A249" t="str">
            <v>Tokelau</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1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84)"/>
    </sheetNames>
    <sheetDataSet>
      <sheetData sheetId="0" refreshError="1">
        <row r="1">
          <cell r="A1" t="str">
            <v>Category: All categories</v>
          </cell>
        </row>
        <row r="3">
          <cell r="A3" t="str">
            <v>Country</v>
          </cell>
          <cell r="B3" t="str">
            <v>Database: (2018)</v>
          </cell>
          <cell r="C3" t="str">
            <v>NaN: (2018)</v>
          </cell>
        </row>
        <row r="4">
          <cell r="A4" t="str">
            <v>Eritrea</v>
          </cell>
        </row>
        <row r="5">
          <cell r="A5" t="str">
            <v>China</v>
          </cell>
          <cell r="B5">
            <v>0.95</v>
          </cell>
          <cell r="C5">
            <v>0.05</v>
          </cell>
        </row>
        <row r="6">
          <cell r="A6" t="str">
            <v>Cuba</v>
          </cell>
        </row>
        <row r="7">
          <cell r="A7" t="str">
            <v>Haiti</v>
          </cell>
        </row>
        <row r="8">
          <cell r="A8" t="str">
            <v>Ethiopia</v>
          </cell>
        </row>
        <row r="9">
          <cell r="A9" t="str">
            <v>St. Helena</v>
          </cell>
        </row>
        <row r="10">
          <cell r="A10" t="str">
            <v>Botswana</v>
          </cell>
        </row>
        <row r="11">
          <cell r="A11" t="str">
            <v>Zimbabwe</v>
          </cell>
        </row>
        <row r="12">
          <cell r="A12" t="str">
            <v>Papua New Guinea</v>
          </cell>
        </row>
        <row r="13">
          <cell r="A13" t="str">
            <v>Malawi</v>
          </cell>
        </row>
        <row r="14">
          <cell r="A14" t="str">
            <v>Rwanda</v>
          </cell>
        </row>
        <row r="15">
          <cell r="A15" t="str">
            <v>Solomon Islands</v>
          </cell>
        </row>
        <row r="16">
          <cell r="A16" t="str">
            <v>Myanmar (Burma)</v>
          </cell>
        </row>
        <row r="17">
          <cell r="A17" t="str">
            <v>Equatorial Guinea</v>
          </cell>
        </row>
        <row r="18">
          <cell r="A18" t="str">
            <v>Madagascar</v>
          </cell>
        </row>
        <row r="19">
          <cell r="A19" t="str">
            <v>Vanuatu</v>
          </cell>
        </row>
        <row r="20">
          <cell r="A20" t="str">
            <v>Timor-Leste</v>
          </cell>
        </row>
        <row r="21">
          <cell r="A21" t="str">
            <v>Samoa</v>
          </cell>
        </row>
        <row r="22">
          <cell r="A22" t="str">
            <v>Lesotho</v>
          </cell>
        </row>
        <row r="23">
          <cell r="A23" t="str">
            <v>Central African Republic</v>
          </cell>
        </row>
        <row r="24">
          <cell r="A24" t="str">
            <v>Eswatini</v>
          </cell>
        </row>
        <row r="25">
          <cell r="A25" t="str">
            <v>Togo</v>
          </cell>
        </row>
        <row r="26">
          <cell r="A26" t="str">
            <v>Fiji</v>
          </cell>
        </row>
        <row r="27">
          <cell r="A27" t="str">
            <v>Cape Verde</v>
          </cell>
        </row>
        <row r="28">
          <cell r="A28" t="str">
            <v>Nepal</v>
          </cell>
        </row>
        <row r="29">
          <cell r="A29" t="str">
            <v>Afghanistan</v>
          </cell>
        </row>
        <row r="30">
          <cell r="A30" t="str">
            <v>South Korea</v>
          </cell>
          <cell r="B30">
            <v>0.96</v>
          </cell>
          <cell r="C30">
            <v>0.04</v>
          </cell>
        </row>
        <row r="31">
          <cell r="A31" t="str">
            <v>Cameroon</v>
          </cell>
        </row>
        <row r="32">
          <cell r="A32" t="str">
            <v>Burundi</v>
          </cell>
        </row>
        <row r="33">
          <cell r="A33" t="str">
            <v>Liechtenstein</v>
          </cell>
        </row>
        <row r="34">
          <cell r="A34" t="str">
            <v>Guinea-Bissau</v>
          </cell>
        </row>
        <row r="35">
          <cell r="A35" t="str">
            <v>Uganda</v>
          </cell>
        </row>
        <row r="36">
          <cell r="A36" t="str">
            <v>Bhutan</v>
          </cell>
        </row>
        <row r="37">
          <cell r="A37" t="str">
            <v>Sri Lanka</v>
          </cell>
          <cell r="B37">
            <v>0.87</v>
          </cell>
          <cell r="C37">
            <v>0.13</v>
          </cell>
        </row>
        <row r="38">
          <cell r="A38" t="str">
            <v>Singapore</v>
          </cell>
          <cell r="B38">
            <v>0.89</v>
          </cell>
          <cell r="C38">
            <v>0.11</v>
          </cell>
        </row>
        <row r="39">
          <cell r="A39" t="str">
            <v>Angola</v>
          </cell>
        </row>
        <row r="40">
          <cell r="A40" t="str">
            <v>British Virgin Islands</v>
          </cell>
        </row>
        <row r="41">
          <cell r="A41" t="str">
            <v>Congo - Brazzaville</v>
          </cell>
        </row>
        <row r="42">
          <cell r="A42" t="str">
            <v>Benin</v>
          </cell>
        </row>
        <row r="43">
          <cell r="A43" t="str">
            <v>Pakistan</v>
          </cell>
          <cell r="B43">
            <v>0.94</v>
          </cell>
          <cell r="C43">
            <v>0.06</v>
          </cell>
        </row>
        <row r="44">
          <cell r="A44" t="str">
            <v>Mauritius</v>
          </cell>
        </row>
        <row r="45">
          <cell r="A45" t="str">
            <v>Congo - Kinshasa</v>
          </cell>
        </row>
        <row r="46">
          <cell r="A46" t="str">
            <v>Tonga</v>
          </cell>
        </row>
        <row r="47">
          <cell r="A47" t="str">
            <v>Luxembourg</v>
          </cell>
        </row>
        <row r="48">
          <cell r="A48" t="str">
            <v>Ghana</v>
          </cell>
        </row>
        <row r="49">
          <cell r="A49" t="str">
            <v>Somalia</v>
          </cell>
        </row>
        <row r="50">
          <cell r="A50" t="str">
            <v>Kenya</v>
          </cell>
        </row>
        <row r="51">
          <cell r="A51" t="str">
            <v>El Salvador</v>
          </cell>
        </row>
        <row r="52">
          <cell r="A52" t="str">
            <v>Gambia</v>
          </cell>
        </row>
        <row r="53">
          <cell r="A53" t="str">
            <v>Djibouti</v>
          </cell>
        </row>
        <row r="54">
          <cell r="A54" t="str">
            <v>South Africa</v>
          </cell>
          <cell r="B54">
            <v>0.92</v>
          </cell>
          <cell r="C54">
            <v>0.08</v>
          </cell>
        </row>
        <row r="55">
          <cell r="A55" t="str">
            <v>Estonia</v>
          </cell>
        </row>
        <row r="56">
          <cell r="A56" t="str">
            <v>Liberia</v>
          </cell>
        </row>
        <row r="57">
          <cell r="A57" t="str">
            <v>Colombia</v>
          </cell>
          <cell r="B57">
            <v>0.96</v>
          </cell>
          <cell r="C57">
            <v>0.04</v>
          </cell>
        </row>
        <row r="58">
          <cell r="A58" t="str">
            <v>Senegal</v>
          </cell>
        </row>
        <row r="59">
          <cell r="A59" t="str">
            <v>Belize</v>
          </cell>
        </row>
        <row r="60">
          <cell r="A60" t="str">
            <v>SÃ£o TomÃ© &amp; PrÃ­ncipe</v>
          </cell>
        </row>
        <row r="61">
          <cell r="A61" t="str">
            <v>Mozambique</v>
          </cell>
        </row>
        <row r="62">
          <cell r="A62" t="str">
            <v>New Zealand</v>
          </cell>
          <cell r="B62">
            <v>0.95</v>
          </cell>
          <cell r="C62">
            <v>0.05</v>
          </cell>
        </row>
        <row r="63">
          <cell r="A63" t="str">
            <v>Jamaica</v>
          </cell>
        </row>
        <row r="64">
          <cell r="A64" t="str">
            <v>Tanzania</v>
          </cell>
        </row>
        <row r="65">
          <cell r="A65" t="str">
            <v>Tunisia</v>
          </cell>
        </row>
        <row r="66">
          <cell r="A66" t="str">
            <v>Hong Kong</v>
          </cell>
          <cell r="B66">
            <v>0.93</v>
          </cell>
          <cell r="C66">
            <v>7.0000000000000007E-2</v>
          </cell>
        </row>
        <row r="67">
          <cell r="A67" t="str">
            <v>Latvia</v>
          </cell>
        </row>
        <row r="68">
          <cell r="A68" t="str">
            <v>Niger</v>
          </cell>
        </row>
        <row r="69">
          <cell r="A69" t="str">
            <v>Chad</v>
          </cell>
        </row>
        <row r="70">
          <cell r="A70" t="str">
            <v>Czechia</v>
          </cell>
          <cell r="B70">
            <v>0.97</v>
          </cell>
          <cell r="C70">
            <v>0.03</v>
          </cell>
        </row>
        <row r="71">
          <cell r="A71" t="str">
            <v>South Sudan</v>
          </cell>
        </row>
        <row r="72">
          <cell r="A72" t="str">
            <v>Canada</v>
          </cell>
          <cell r="B72">
            <v>0.95</v>
          </cell>
          <cell r="C72">
            <v>0.05</v>
          </cell>
        </row>
        <row r="73">
          <cell r="A73" t="str">
            <v>India</v>
          </cell>
          <cell r="B73">
            <v>0.93</v>
          </cell>
          <cell r="C73">
            <v>7.0000000000000007E-2</v>
          </cell>
        </row>
        <row r="74">
          <cell r="A74" t="str">
            <v>Philippines</v>
          </cell>
          <cell r="B74">
            <v>0.93</v>
          </cell>
          <cell r="C74">
            <v>7.0000000000000007E-2</v>
          </cell>
        </row>
        <row r="75">
          <cell r="A75" t="str">
            <v>Malta</v>
          </cell>
        </row>
        <row r="76">
          <cell r="A76" t="str">
            <v>Zambia</v>
          </cell>
        </row>
        <row r="77">
          <cell r="A77" t="str">
            <v>Brunei</v>
          </cell>
        </row>
        <row r="78">
          <cell r="A78" t="str">
            <v>Iceland</v>
          </cell>
        </row>
        <row r="79">
          <cell r="A79" t="str">
            <v>Switzerland</v>
          </cell>
          <cell r="B79">
            <v>0.94</v>
          </cell>
          <cell r="C79">
            <v>0.06</v>
          </cell>
        </row>
        <row r="80">
          <cell r="A80" t="str">
            <v>San Marino</v>
          </cell>
        </row>
        <row r="81">
          <cell r="A81" t="str">
            <v>Sierra Leone</v>
          </cell>
        </row>
        <row r="82">
          <cell r="A82" t="str">
            <v>Australia</v>
          </cell>
          <cell r="B82">
            <v>0.9</v>
          </cell>
          <cell r="C82">
            <v>0.1</v>
          </cell>
        </row>
        <row r="83">
          <cell r="A83" t="str">
            <v>Sudan</v>
          </cell>
        </row>
        <row r="84">
          <cell r="A84" t="str">
            <v>Taiwan</v>
          </cell>
          <cell r="B84">
            <v>0.97</v>
          </cell>
          <cell r="C84">
            <v>0.03</v>
          </cell>
        </row>
        <row r="85">
          <cell r="A85" t="str">
            <v>Nigeria</v>
          </cell>
          <cell r="B85">
            <v>0.87</v>
          </cell>
          <cell r="C85">
            <v>0.13</v>
          </cell>
        </row>
        <row r="86">
          <cell r="A86" t="str">
            <v>Ecuador</v>
          </cell>
          <cell r="B86">
            <v>0.93</v>
          </cell>
          <cell r="C86">
            <v>7.0000000000000007E-2</v>
          </cell>
        </row>
        <row r="87">
          <cell r="A87" t="str">
            <v>Ireland</v>
          </cell>
          <cell r="B87">
            <v>0.94</v>
          </cell>
          <cell r="C87">
            <v>0.06</v>
          </cell>
        </row>
        <row r="88">
          <cell r="A88" t="str">
            <v>Honduras</v>
          </cell>
        </row>
        <row r="89">
          <cell r="A89" t="str">
            <v>Northern Mariana Islands</v>
          </cell>
        </row>
        <row r="90">
          <cell r="A90" t="str">
            <v>Namibia</v>
          </cell>
        </row>
        <row r="91">
          <cell r="A91" t="str">
            <v>Guatemala</v>
          </cell>
          <cell r="B91">
            <v>0.91</v>
          </cell>
          <cell r="C91">
            <v>0.09</v>
          </cell>
        </row>
        <row r="92">
          <cell r="A92" t="str">
            <v>United States</v>
          </cell>
          <cell r="B92">
            <v>0.95</v>
          </cell>
          <cell r="C92">
            <v>0.05</v>
          </cell>
        </row>
        <row r="93">
          <cell r="A93" t="str">
            <v>Dominica</v>
          </cell>
        </row>
        <row r="94">
          <cell r="A94" t="str">
            <v>Yemen</v>
          </cell>
        </row>
        <row r="95">
          <cell r="A95" t="str">
            <v>Cyprus</v>
          </cell>
        </row>
        <row r="96">
          <cell r="A96" t="str">
            <v>Isle of Man</v>
          </cell>
        </row>
        <row r="97">
          <cell r="A97" t="str">
            <v>Maldives</v>
          </cell>
        </row>
        <row r="98">
          <cell r="A98" t="str">
            <v>Costa Rica</v>
          </cell>
          <cell r="B98">
            <v>0.92</v>
          </cell>
          <cell r="C98">
            <v>0.08</v>
          </cell>
        </row>
        <row r="99">
          <cell r="A99" t="str">
            <v>Bangladesh</v>
          </cell>
          <cell r="B99">
            <v>0.95</v>
          </cell>
          <cell r="C99">
            <v>0.05</v>
          </cell>
        </row>
        <row r="100">
          <cell r="A100" t="str">
            <v>North Macedonia</v>
          </cell>
        </row>
        <row r="101">
          <cell r="A101" t="str">
            <v>St. Vincent &amp; Grenadines</v>
          </cell>
        </row>
        <row r="102">
          <cell r="A102" t="str">
            <v>Lebanon</v>
          </cell>
        </row>
        <row r="103">
          <cell r="A103" t="str">
            <v>Portugal</v>
          </cell>
          <cell r="B103">
            <v>0.88</v>
          </cell>
          <cell r="C103">
            <v>0.12</v>
          </cell>
        </row>
        <row r="104">
          <cell r="A104" t="str">
            <v>Netherlands</v>
          </cell>
          <cell r="B104">
            <v>0.93</v>
          </cell>
          <cell r="C104">
            <v>7.0000000000000007E-2</v>
          </cell>
        </row>
        <row r="105">
          <cell r="A105" t="str">
            <v>CÃ´te dâ€™Ivoire</v>
          </cell>
        </row>
        <row r="106">
          <cell r="A106" t="str">
            <v>Macao</v>
          </cell>
        </row>
        <row r="107">
          <cell r="A107" t="str">
            <v>Japan</v>
          </cell>
          <cell r="B107">
            <v>0.91</v>
          </cell>
          <cell r="C107">
            <v>0.09</v>
          </cell>
        </row>
        <row r="108">
          <cell r="A108" t="str">
            <v>Albania</v>
          </cell>
        </row>
        <row r="109">
          <cell r="A109" t="str">
            <v>Malaysia</v>
          </cell>
          <cell r="B109">
            <v>0.92</v>
          </cell>
          <cell r="C109">
            <v>0.08</v>
          </cell>
        </row>
        <row r="110">
          <cell r="A110" t="str">
            <v>Nicaragua</v>
          </cell>
        </row>
        <row r="111">
          <cell r="A111" t="str">
            <v>Jersey</v>
          </cell>
        </row>
        <row r="112">
          <cell r="A112" t="str">
            <v>Germany</v>
          </cell>
          <cell r="B112">
            <v>0.93</v>
          </cell>
          <cell r="C112">
            <v>7.0000000000000007E-2</v>
          </cell>
        </row>
        <row r="113">
          <cell r="A113" t="str">
            <v>Mongolia</v>
          </cell>
        </row>
        <row r="114">
          <cell r="A114" t="str">
            <v>United Arab Emirates</v>
          </cell>
          <cell r="B114">
            <v>0.93</v>
          </cell>
          <cell r="C114">
            <v>7.0000000000000007E-2</v>
          </cell>
        </row>
        <row r="115">
          <cell r="A115" t="str">
            <v>Panama</v>
          </cell>
        </row>
        <row r="116">
          <cell r="A116" t="str">
            <v>Bermuda</v>
          </cell>
        </row>
        <row r="117">
          <cell r="A117" t="str">
            <v>Denmark</v>
          </cell>
          <cell r="B117">
            <v>0.9</v>
          </cell>
          <cell r="C117">
            <v>0.1</v>
          </cell>
        </row>
        <row r="118">
          <cell r="A118" t="str">
            <v>Peru</v>
          </cell>
          <cell r="B118">
            <v>0.92</v>
          </cell>
          <cell r="C118">
            <v>0.08</v>
          </cell>
        </row>
        <row r="119">
          <cell r="A119" t="str">
            <v>United Kingdom</v>
          </cell>
          <cell r="B119">
            <v>0.9</v>
          </cell>
          <cell r="C119">
            <v>0.1</v>
          </cell>
        </row>
        <row r="120">
          <cell r="A120" t="str">
            <v>Mexico</v>
          </cell>
          <cell r="B120">
            <v>0.86</v>
          </cell>
          <cell r="C120">
            <v>0.14000000000000001</v>
          </cell>
        </row>
        <row r="121">
          <cell r="A121" t="str">
            <v>Austria</v>
          </cell>
          <cell r="B121">
            <v>0.94</v>
          </cell>
          <cell r="C121">
            <v>0.06</v>
          </cell>
        </row>
        <row r="122">
          <cell r="A122" t="str">
            <v>Andorra</v>
          </cell>
        </row>
        <row r="123">
          <cell r="A123" t="str">
            <v>Indonesia</v>
          </cell>
          <cell r="B123">
            <v>0.98</v>
          </cell>
          <cell r="C123">
            <v>0.02</v>
          </cell>
        </row>
        <row r="124">
          <cell r="A124" t="str">
            <v>Oman</v>
          </cell>
        </row>
        <row r="125">
          <cell r="A125" t="str">
            <v>Monaco</v>
          </cell>
        </row>
        <row r="126">
          <cell r="A126" t="str">
            <v>Belarus</v>
          </cell>
          <cell r="B126">
            <v>0.92</v>
          </cell>
          <cell r="C126">
            <v>0.08</v>
          </cell>
        </row>
        <row r="127">
          <cell r="A127" t="str">
            <v>Faroe Islands</v>
          </cell>
        </row>
        <row r="128">
          <cell r="A128" t="str">
            <v>Libya</v>
          </cell>
        </row>
        <row r="129">
          <cell r="A129" t="str">
            <v>Gabon</v>
          </cell>
        </row>
        <row r="130">
          <cell r="A130" t="str">
            <v>Bolivia</v>
          </cell>
          <cell r="B130">
            <v>0.92</v>
          </cell>
          <cell r="C130">
            <v>0.08</v>
          </cell>
        </row>
        <row r="131">
          <cell r="A131" t="str">
            <v>Laos</v>
          </cell>
        </row>
        <row r="132">
          <cell r="A132" t="str">
            <v>Gibraltar</v>
          </cell>
        </row>
        <row r="133">
          <cell r="A133" t="str">
            <v>Bahrain</v>
          </cell>
        </row>
        <row r="134">
          <cell r="A134" t="str">
            <v>Dominican Republic</v>
          </cell>
          <cell r="B134">
            <v>0.87</v>
          </cell>
          <cell r="C134">
            <v>0.13</v>
          </cell>
        </row>
        <row r="135">
          <cell r="A135" t="str">
            <v>Seychelles</v>
          </cell>
        </row>
        <row r="136">
          <cell r="A136" t="str">
            <v>Lithuania</v>
          </cell>
        </row>
        <row r="137">
          <cell r="A137" t="str">
            <v>Belgium</v>
          </cell>
          <cell r="B137">
            <v>0.86</v>
          </cell>
          <cell r="C137">
            <v>0.14000000000000001</v>
          </cell>
        </row>
        <row r="138">
          <cell r="A138" t="str">
            <v>Kosovo</v>
          </cell>
        </row>
        <row r="139">
          <cell r="A139" t="str">
            <v>Cambodia</v>
          </cell>
        </row>
        <row r="140">
          <cell r="A140" t="str">
            <v>Barbados</v>
          </cell>
        </row>
        <row r="141">
          <cell r="A141" t="str">
            <v>Moldova</v>
          </cell>
        </row>
        <row r="142">
          <cell r="A142" t="str">
            <v>Sweden</v>
          </cell>
          <cell r="B142">
            <v>0.96</v>
          </cell>
          <cell r="C142">
            <v>0.04</v>
          </cell>
        </row>
        <row r="143">
          <cell r="A143" t="str">
            <v>Guernsey</v>
          </cell>
        </row>
        <row r="144">
          <cell r="A144" t="str">
            <v>Trinidad &amp; Tobago</v>
          </cell>
        </row>
        <row r="145">
          <cell r="A145" t="str">
            <v>Hungary</v>
          </cell>
          <cell r="B145">
            <v>0.97</v>
          </cell>
          <cell r="C145">
            <v>0.03</v>
          </cell>
        </row>
        <row r="146">
          <cell r="A146" t="str">
            <v>Russia</v>
          </cell>
          <cell r="B146">
            <v>0.9</v>
          </cell>
          <cell r="C146">
            <v>0.1</v>
          </cell>
        </row>
        <row r="147">
          <cell r="A147" t="str">
            <v>Ã…land Islands</v>
          </cell>
        </row>
        <row r="148">
          <cell r="A148" t="str">
            <v>Finland</v>
          </cell>
          <cell r="B148">
            <v>0.92</v>
          </cell>
          <cell r="C148">
            <v>0.08</v>
          </cell>
        </row>
        <row r="149">
          <cell r="A149" t="str">
            <v>Palestine</v>
          </cell>
        </row>
        <row r="150">
          <cell r="A150" t="str">
            <v>CuraÃ§ao</v>
          </cell>
        </row>
        <row r="151">
          <cell r="A151" t="str">
            <v>Serbia</v>
          </cell>
        </row>
        <row r="152">
          <cell r="A152" t="str">
            <v>Armenia</v>
          </cell>
        </row>
        <row r="153">
          <cell r="A153" t="str">
            <v>Slovakia</v>
          </cell>
        </row>
        <row r="154">
          <cell r="A154" t="str">
            <v>Romania</v>
          </cell>
          <cell r="B154">
            <v>0.82</v>
          </cell>
          <cell r="C154">
            <v>0.18</v>
          </cell>
        </row>
        <row r="155">
          <cell r="A155" t="str">
            <v>Burkina Faso</v>
          </cell>
        </row>
        <row r="156">
          <cell r="A156" t="str">
            <v>Qatar</v>
          </cell>
        </row>
        <row r="157">
          <cell r="A157" t="str">
            <v>St. Lucia</v>
          </cell>
        </row>
        <row r="158">
          <cell r="A158" t="str">
            <v>Grenada</v>
          </cell>
        </row>
        <row r="159">
          <cell r="A159" t="str">
            <v>Poland</v>
          </cell>
          <cell r="B159">
            <v>0.84</v>
          </cell>
          <cell r="C159">
            <v>0.16</v>
          </cell>
        </row>
        <row r="160">
          <cell r="A160" t="str">
            <v>Norway</v>
          </cell>
          <cell r="B160">
            <v>0.96</v>
          </cell>
          <cell r="C160">
            <v>0.04</v>
          </cell>
        </row>
        <row r="161">
          <cell r="A161" t="str">
            <v>St. Kitts &amp; Nevis</v>
          </cell>
        </row>
        <row r="162">
          <cell r="A162" t="str">
            <v>Israel</v>
          </cell>
          <cell r="B162">
            <v>0.94</v>
          </cell>
          <cell r="C162">
            <v>0.06</v>
          </cell>
        </row>
        <row r="163">
          <cell r="A163" t="str">
            <v>Ukraine</v>
          </cell>
          <cell r="B163">
            <v>0.94</v>
          </cell>
          <cell r="C163">
            <v>0.06</v>
          </cell>
        </row>
        <row r="164">
          <cell r="A164" t="str">
            <v>Turks &amp; Caicos Islands</v>
          </cell>
        </row>
        <row r="165">
          <cell r="A165" t="str">
            <v>Guyana</v>
          </cell>
        </row>
        <row r="166">
          <cell r="A166" t="str">
            <v>Kyrgyzstan</v>
          </cell>
        </row>
        <row r="167">
          <cell r="A167" t="str">
            <v>Cayman Islands</v>
          </cell>
        </row>
        <row r="168">
          <cell r="A168" t="str">
            <v>Slovenia</v>
          </cell>
        </row>
        <row r="169">
          <cell r="A169" t="str">
            <v>Kazakhstan</v>
          </cell>
          <cell r="B169">
            <v>0.9</v>
          </cell>
          <cell r="C169">
            <v>0.1</v>
          </cell>
        </row>
        <row r="170">
          <cell r="A170" t="str">
            <v>Uzbekistan</v>
          </cell>
        </row>
        <row r="171">
          <cell r="A171" t="str">
            <v>Jordan</v>
          </cell>
        </row>
        <row r="172">
          <cell r="A172" t="str">
            <v>Suriname</v>
          </cell>
        </row>
        <row r="173">
          <cell r="A173" t="str">
            <v>Bosnia &amp; Herzegovina</v>
          </cell>
        </row>
        <row r="174">
          <cell r="A174" t="str">
            <v>Spain</v>
          </cell>
          <cell r="B174">
            <v>0.91</v>
          </cell>
          <cell r="C174">
            <v>0.09</v>
          </cell>
        </row>
        <row r="175">
          <cell r="A175" t="str">
            <v>Morocco</v>
          </cell>
        </row>
        <row r="176">
          <cell r="A176" t="str">
            <v>Italy</v>
          </cell>
          <cell r="B176">
            <v>0.97</v>
          </cell>
          <cell r="C176">
            <v>0.03</v>
          </cell>
        </row>
        <row r="177">
          <cell r="A177" t="str">
            <v>Bulgaria</v>
          </cell>
          <cell r="B177">
            <v>0.9</v>
          </cell>
          <cell r="C177">
            <v>0.1</v>
          </cell>
        </row>
        <row r="178">
          <cell r="A178" t="str">
            <v>Croatia</v>
          </cell>
          <cell r="B178">
            <v>0.89</v>
          </cell>
          <cell r="C178">
            <v>0.11</v>
          </cell>
        </row>
        <row r="179">
          <cell r="A179" t="str">
            <v>Chile</v>
          </cell>
          <cell r="B179">
            <v>0.78</v>
          </cell>
          <cell r="C179">
            <v>0.22</v>
          </cell>
        </row>
        <row r="180">
          <cell r="A180" t="str">
            <v>Puerto Rico</v>
          </cell>
        </row>
        <row r="181">
          <cell r="A181" t="str">
            <v>Thailand</v>
          </cell>
          <cell r="B181">
            <v>0.96</v>
          </cell>
          <cell r="C181">
            <v>0.04</v>
          </cell>
        </row>
        <row r="182">
          <cell r="A182" t="str">
            <v>Guam</v>
          </cell>
        </row>
        <row r="183">
          <cell r="A183" t="str">
            <v>Mali</v>
          </cell>
        </row>
        <row r="184">
          <cell r="A184" t="str">
            <v>Antigua &amp; Barbuda</v>
          </cell>
        </row>
        <row r="185">
          <cell r="A185" t="str">
            <v>Vietnam</v>
          </cell>
          <cell r="B185">
            <v>0.89</v>
          </cell>
          <cell r="C185">
            <v>0.11</v>
          </cell>
        </row>
        <row r="186">
          <cell r="A186" t="str">
            <v>Mauritania</v>
          </cell>
        </row>
        <row r="187">
          <cell r="A187" t="str">
            <v>Guinea</v>
          </cell>
        </row>
        <row r="188">
          <cell r="A188" t="str">
            <v>Algeria</v>
          </cell>
        </row>
        <row r="189">
          <cell r="A189" t="str">
            <v>U.S. Virgin Islands</v>
          </cell>
        </row>
        <row r="190">
          <cell r="A190" t="str">
            <v>Paraguay</v>
          </cell>
        </row>
        <row r="191">
          <cell r="A191" t="str">
            <v>Egypt</v>
          </cell>
          <cell r="B191">
            <v>0.96</v>
          </cell>
          <cell r="C191">
            <v>0.04</v>
          </cell>
        </row>
        <row r="192">
          <cell r="A192" t="str">
            <v>France</v>
          </cell>
          <cell r="B192">
            <v>0.93</v>
          </cell>
          <cell r="C192">
            <v>7.0000000000000007E-2</v>
          </cell>
        </row>
        <row r="193">
          <cell r="A193" t="str">
            <v>French Polynesia</v>
          </cell>
        </row>
        <row r="194">
          <cell r="A194" t="str">
            <v>Tajikistan</v>
          </cell>
        </row>
        <row r="195">
          <cell r="A195" t="str">
            <v>Uruguay</v>
          </cell>
        </row>
        <row r="196">
          <cell r="A196" t="str">
            <v>New Caledonia</v>
          </cell>
        </row>
        <row r="197">
          <cell r="A197" t="str">
            <v>Montenegro</v>
          </cell>
        </row>
        <row r="198">
          <cell r="A198" t="str">
            <v>Kuwait</v>
          </cell>
        </row>
        <row r="199">
          <cell r="A199" t="str">
            <v>Greece</v>
          </cell>
          <cell r="B199">
            <v>0.9</v>
          </cell>
          <cell r="C199">
            <v>0.1</v>
          </cell>
        </row>
        <row r="200">
          <cell r="A200" t="str">
            <v>Saudi Arabia</v>
          </cell>
          <cell r="B200">
            <v>0.96</v>
          </cell>
          <cell r="C200">
            <v>0.04</v>
          </cell>
        </row>
        <row r="201">
          <cell r="A201" t="str">
            <v>Iran</v>
          </cell>
          <cell r="B201">
            <v>0.97</v>
          </cell>
          <cell r="C201">
            <v>0.03</v>
          </cell>
        </row>
        <row r="202">
          <cell r="A202" t="str">
            <v>French Guiana</v>
          </cell>
        </row>
        <row r="203">
          <cell r="A203" t="str">
            <v>Bahamas</v>
          </cell>
        </row>
        <row r="204">
          <cell r="A204" t="str">
            <v>Syria</v>
          </cell>
        </row>
        <row r="205">
          <cell r="A205" t="str">
            <v>Brazil</v>
          </cell>
          <cell r="B205">
            <v>0.74</v>
          </cell>
          <cell r="C205">
            <v>0.26</v>
          </cell>
        </row>
        <row r="206">
          <cell r="A206" t="str">
            <v>Azerbaijan</v>
          </cell>
        </row>
        <row r="207">
          <cell r="A207" t="str">
            <v>Sint Maarten</v>
          </cell>
        </row>
        <row r="208">
          <cell r="A208" t="str">
            <v>Aruba</v>
          </cell>
        </row>
        <row r="209">
          <cell r="A209" t="str">
            <v>Venezuela</v>
          </cell>
          <cell r="B209">
            <v>0.87</v>
          </cell>
          <cell r="C209">
            <v>0.13</v>
          </cell>
        </row>
        <row r="210">
          <cell r="A210" t="str">
            <v>Argentina</v>
          </cell>
          <cell r="B210">
            <v>0.92</v>
          </cell>
          <cell r="C210">
            <v>0.08</v>
          </cell>
        </row>
        <row r="211">
          <cell r="A211" t="str">
            <v>Iraq</v>
          </cell>
        </row>
        <row r="212">
          <cell r="A212" t="str">
            <v>Georgia</v>
          </cell>
        </row>
        <row r="213">
          <cell r="A213" t="str">
            <v>RÃ©union</v>
          </cell>
        </row>
        <row r="214">
          <cell r="A214" t="str">
            <v>Turkmenistan</v>
          </cell>
        </row>
        <row r="215">
          <cell r="A215" t="str">
            <v>Guadeloupe</v>
          </cell>
        </row>
        <row r="216">
          <cell r="A216" t="str">
            <v>Greenland</v>
          </cell>
        </row>
        <row r="217">
          <cell r="A217" t="str">
            <v>Turkey</v>
          </cell>
          <cell r="B217">
            <v>0.95</v>
          </cell>
          <cell r="C217">
            <v>0.05</v>
          </cell>
        </row>
        <row r="218">
          <cell r="A218" t="str">
            <v>Western Sahara</v>
          </cell>
        </row>
        <row r="219">
          <cell r="A219" t="str">
            <v>Martinique</v>
          </cell>
        </row>
        <row r="220">
          <cell r="A220" t="str">
            <v>Mayotte</v>
          </cell>
        </row>
        <row r="221">
          <cell r="A221" t="str">
            <v>North Korea</v>
          </cell>
        </row>
        <row r="222">
          <cell r="A222" t="str">
            <v>Cook Islands</v>
          </cell>
        </row>
        <row r="223">
          <cell r="A223" t="str">
            <v>Nauru</v>
          </cell>
        </row>
        <row r="224">
          <cell r="A224" t="str">
            <v>Falkland Islands (Islas Malvinas)</v>
          </cell>
        </row>
        <row r="225">
          <cell r="A225" t="str">
            <v>Comoros</v>
          </cell>
        </row>
        <row r="226">
          <cell r="A226" t="str">
            <v>Palau</v>
          </cell>
        </row>
        <row r="227">
          <cell r="A227" t="str">
            <v>St. Pierre &amp; Miquelon</v>
          </cell>
        </row>
        <row r="228">
          <cell r="A228" t="str">
            <v>Marshall Islands</v>
          </cell>
        </row>
        <row r="229">
          <cell r="A229" t="str">
            <v>Svalbard &amp; Jan Mayen</v>
          </cell>
        </row>
        <row r="230">
          <cell r="A230" t="str">
            <v>American Samoa</v>
          </cell>
        </row>
        <row r="231">
          <cell r="A231" t="str">
            <v>Caribbean Netherlands</v>
          </cell>
        </row>
        <row r="232">
          <cell r="A232" t="str">
            <v>Micronesia</v>
          </cell>
        </row>
        <row r="233">
          <cell r="A233" t="str">
            <v>St. Martin</v>
          </cell>
        </row>
        <row r="234">
          <cell r="A234" t="str">
            <v>Anguilla</v>
          </cell>
        </row>
        <row r="235">
          <cell r="A235" t="str">
            <v>St. BarthÃ©lemy</v>
          </cell>
        </row>
        <row r="236">
          <cell r="A236" t="str">
            <v>Antarctica</v>
          </cell>
        </row>
        <row r="237">
          <cell r="A237" t="str">
            <v>French Southern Territories</v>
          </cell>
        </row>
        <row r="238">
          <cell r="A238" t="str">
            <v>Bouvet Island</v>
          </cell>
        </row>
        <row r="239">
          <cell r="A239" t="str">
            <v>Cocos (Keeling) Islands</v>
          </cell>
        </row>
        <row r="240">
          <cell r="A240" t="str">
            <v>Christmas Island</v>
          </cell>
        </row>
        <row r="241">
          <cell r="A241" t="str">
            <v>Heard &amp; McDonald Islands</v>
          </cell>
        </row>
        <row r="242">
          <cell r="A242" t="str">
            <v>British Indian Ocean Territory</v>
          </cell>
        </row>
        <row r="243">
          <cell r="A243" t="str">
            <v>Kiribati</v>
          </cell>
        </row>
        <row r="244">
          <cell r="A244" t="str">
            <v>Montserrat</v>
          </cell>
        </row>
        <row r="245">
          <cell r="A245" t="str">
            <v>Norfolk Island</v>
          </cell>
        </row>
        <row r="246">
          <cell r="A246" t="str">
            <v>Niue</v>
          </cell>
        </row>
        <row r="247">
          <cell r="A247" t="str">
            <v>Pitcairn Islands</v>
          </cell>
        </row>
        <row r="248">
          <cell r="A248" t="str">
            <v>South Georgia &amp; South Sandwich Islands</v>
          </cell>
        </row>
        <row r="249">
          <cell r="A249" t="str">
            <v>Tokelau</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1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85)"/>
    </sheetNames>
    <sheetDataSet>
      <sheetData sheetId="0" refreshError="1">
        <row r="1">
          <cell r="A1" t="str">
            <v>Category: All categories</v>
          </cell>
        </row>
        <row r="3">
          <cell r="A3" t="str">
            <v>Country</v>
          </cell>
          <cell r="B3" t="str">
            <v>Database: (2018)</v>
          </cell>
          <cell r="C3" t="str">
            <v>Artificial neural network: (2018)</v>
          </cell>
        </row>
        <row r="4">
          <cell r="A4" t="str">
            <v>Eritrea</v>
          </cell>
        </row>
        <row r="5">
          <cell r="A5" t="str">
            <v>China</v>
          </cell>
          <cell r="B5">
            <v>0.67</v>
          </cell>
          <cell r="C5">
            <v>0.33</v>
          </cell>
        </row>
        <row r="6">
          <cell r="A6" t="str">
            <v>Cuba</v>
          </cell>
        </row>
        <row r="7">
          <cell r="A7" t="str">
            <v>Ethiopia</v>
          </cell>
        </row>
        <row r="8">
          <cell r="A8" t="str">
            <v>St. Helena</v>
          </cell>
          <cell r="B8">
            <v>0.95</v>
          </cell>
          <cell r="C8">
            <v>0.05</v>
          </cell>
        </row>
        <row r="9">
          <cell r="A9" t="str">
            <v>Zimbabwe</v>
          </cell>
        </row>
        <row r="10">
          <cell r="A10" t="str">
            <v>Botswana</v>
          </cell>
        </row>
        <row r="11">
          <cell r="A11" t="str">
            <v>Malawi</v>
          </cell>
        </row>
        <row r="12">
          <cell r="A12" t="str">
            <v>Papua New Guinea</v>
          </cell>
        </row>
        <row r="13">
          <cell r="A13" t="str">
            <v>Rwanda</v>
          </cell>
        </row>
        <row r="14">
          <cell r="A14" t="str">
            <v>Madagascar</v>
          </cell>
        </row>
        <row r="15">
          <cell r="A15" t="str">
            <v>Guinea-Bissau</v>
          </cell>
        </row>
        <row r="16">
          <cell r="A16" t="str">
            <v>Myanmar (Burma)</v>
          </cell>
        </row>
        <row r="17">
          <cell r="A17" t="str">
            <v>Samoa</v>
          </cell>
        </row>
        <row r="18">
          <cell r="A18" t="str">
            <v>Central African Republic</v>
          </cell>
        </row>
        <row r="19">
          <cell r="A19" t="str">
            <v>SÃ£o TomÃ© &amp; PrÃ­ncipe</v>
          </cell>
        </row>
        <row r="20">
          <cell r="A20" t="str">
            <v>Eswatini</v>
          </cell>
        </row>
        <row r="21">
          <cell r="A21" t="str">
            <v>Timor-Leste</v>
          </cell>
        </row>
        <row r="22">
          <cell r="A22" t="str">
            <v>Nepal</v>
          </cell>
          <cell r="B22">
            <v>0.93</v>
          </cell>
          <cell r="C22">
            <v>7.0000000000000007E-2</v>
          </cell>
        </row>
        <row r="23">
          <cell r="A23" t="str">
            <v>Djibouti</v>
          </cell>
        </row>
        <row r="24">
          <cell r="A24" t="str">
            <v>South Korea</v>
          </cell>
          <cell r="B24">
            <v>0.8</v>
          </cell>
          <cell r="C24">
            <v>0.2</v>
          </cell>
        </row>
        <row r="25">
          <cell r="A25" t="str">
            <v>Afghanistan</v>
          </cell>
        </row>
        <row r="26">
          <cell r="A26" t="str">
            <v>Lesotho</v>
          </cell>
        </row>
        <row r="27">
          <cell r="A27" t="str">
            <v>Sri Lanka</v>
          </cell>
          <cell r="B27">
            <v>0.94</v>
          </cell>
          <cell r="C27">
            <v>0.06</v>
          </cell>
        </row>
        <row r="28">
          <cell r="A28" t="str">
            <v>Singapore</v>
          </cell>
          <cell r="B28">
            <v>0.89</v>
          </cell>
          <cell r="C28">
            <v>0.11</v>
          </cell>
        </row>
        <row r="29">
          <cell r="A29" t="str">
            <v>Cameroon</v>
          </cell>
        </row>
        <row r="30">
          <cell r="A30" t="str">
            <v>Uganda</v>
          </cell>
        </row>
        <row r="31">
          <cell r="A31" t="str">
            <v>Bhutan</v>
          </cell>
        </row>
        <row r="32">
          <cell r="A32" t="str">
            <v>Burundi</v>
          </cell>
        </row>
        <row r="33">
          <cell r="A33" t="str">
            <v>Angola</v>
          </cell>
        </row>
        <row r="34">
          <cell r="A34" t="str">
            <v>Togo</v>
          </cell>
        </row>
        <row r="35">
          <cell r="A35" t="str">
            <v>Cape Verde</v>
          </cell>
        </row>
        <row r="36">
          <cell r="A36" t="str">
            <v>Liechtenstein</v>
          </cell>
        </row>
        <row r="37">
          <cell r="A37" t="str">
            <v>Equatorial Guinea</v>
          </cell>
        </row>
        <row r="38">
          <cell r="A38" t="str">
            <v>Fiji</v>
          </cell>
        </row>
        <row r="39">
          <cell r="A39" t="str">
            <v>Solomon Islands</v>
          </cell>
        </row>
        <row r="40">
          <cell r="A40" t="str">
            <v>Pakistan</v>
          </cell>
          <cell r="B40">
            <v>0.93</v>
          </cell>
          <cell r="C40">
            <v>7.0000000000000007E-2</v>
          </cell>
        </row>
        <row r="41">
          <cell r="A41" t="str">
            <v>Mauritius</v>
          </cell>
        </row>
        <row r="42">
          <cell r="A42" t="str">
            <v>Vanuatu</v>
          </cell>
        </row>
        <row r="43">
          <cell r="A43" t="str">
            <v>Luxembourg</v>
          </cell>
        </row>
        <row r="44">
          <cell r="A44" t="str">
            <v>Congo - Kinshasa</v>
          </cell>
        </row>
        <row r="45">
          <cell r="A45" t="str">
            <v>Ghana</v>
          </cell>
        </row>
        <row r="46">
          <cell r="A46" t="str">
            <v>Benin</v>
          </cell>
        </row>
        <row r="47">
          <cell r="A47" t="str">
            <v>Mozambique</v>
          </cell>
        </row>
        <row r="48">
          <cell r="A48" t="str">
            <v>South Africa</v>
          </cell>
          <cell r="B48">
            <v>0.96</v>
          </cell>
          <cell r="C48">
            <v>0.04</v>
          </cell>
        </row>
        <row r="49">
          <cell r="A49" t="str">
            <v>Estonia</v>
          </cell>
        </row>
        <row r="50">
          <cell r="A50" t="str">
            <v>Somalia</v>
          </cell>
        </row>
        <row r="51">
          <cell r="A51" t="str">
            <v>El Salvador</v>
          </cell>
        </row>
        <row r="52">
          <cell r="A52" t="str">
            <v>Liberia</v>
          </cell>
        </row>
        <row r="53">
          <cell r="A53" t="str">
            <v>Congo - Brazzaville</v>
          </cell>
        </row>
        <row r="54">
          <cell r="A54" t="str">
            <v>Colombia</v>
          </cell>
          <cell r="B54">
            <v>0.98</v>
          </cell>
          <cell r="C54">
            <v>0.02</v>
          </cell>
        </row>
        <row r="55">
          <cell r="A55" t="str">
            <v>Kenya</v>
          </cell>
          <cell r="B55">
            <v>0.94</v>
          </cell>
          <cell r="C55">
            <v>0.06</v>
          </cell>
        </row>
        <row r="56">
          <cell r="A56" t="str">
            <v>Tunisia</v>
          </cell>
          <cell r="B56">
            <v>0.93</v>
          </cell>
          <cell r="C56">
            <v>7.0000000000000007E-2</v>
          </cell>
        </row>
        <row r="57">
          <cell r="A57" t="str">
            <v>Niger</v>
          </cell>
        </row>
        <row r="58">
          <cell r="A58" t="str">
            <v>Gambia</v>
          </cell>
        </row>
        <row r="59">
          <cell r="A59" t="str">
            <v>Tanzania</v>
          </cell>
        </row>
        <row r="60">
          <cell r="A60" t="str">
            <v>Latvia</v>
          </cell>
        </row>
        <row r="61">
          <cell r="A61" t="str">
            <v>New Zealand</v>
          </cell>
          <cell r="B61">
            <v>0.95</v>
          </cell>
          <cell r="C61">
            <v>0.05</v>
          </cell>
        </row>
        <row r="62">
          <cell r="A62" t="str">
            <v>Hong Kong</v>
          </cell>
          <cell r="B62">
            <v>0.88</v>
          </cell>
          <cell r="C62">
            <v>0.12</v>
          </cell>
        </row>
        <row r="63">
          <cell r="A63" t="str">
            <v>Jamaica</v>
          </cell>
        </row>
        <row r="64">
          <cell r="A64" t="str">
            <v>Czechia</v>
          </cell>
          <cell r="B64">
            <v>0.94</v>
          </cell>
          <cell r="C64">
            <v>0.06</v>
          </cell>
        </row>
        <row r="65">
          <cell r="A65" t="str">
            <v>Malta</v>
          </cell>
        </row>
        <row r="66">
          <cell r="A66" t="str">
            <v>Canada</v>
          </cell>
          <cell r="B66">
            <v>0.93</v>
          </cell>
          <cell r="C66">
            <v>7.0000000000000007E-2</v>
          </cell>
        </row>
        <row r="67">
          <cell r="A67" t="str">
            <v>Gibraltar</v>
          </cell>
        </row>
        <row r="68">
          <cell r="A68" t="str">
            <v>India</v>
          </cell>
          <cell r="B68">
            <v>0.92</v>
          </cell>
          <cell r="C68">
            <v>0.08</v>
          </cell>
        </row>
        <row r="69">
          <cell r="A69" t="str">
            <v>Philippines</v>
          </cell>
          <cell r="B69">
            <v>0.95</v>
          </cell>
          <cell r="C69">
            <v>0.05</v>
          </cell>
        </row>
        <row r="70">
          <cell r="A70" t="str">
            <v>Namibia</v>
          </cell>
        </row>
        <row r="71">
          <cell r="A71" t="str">
            <v>Chad</v>
          </cell>
        </row>
        <row r="72">
          <cell r="A72" t="str">
            <v>Senegal</v>
          </cell>
        </row>
        <row r="73">
          <cell r="A73" t="str">
            <v>Brunei</v>
          </cell>
        </row>
        <row r="74">
          <cell r="A74" t="str">
            <v>Zambia</v>
          </cell>
        </row>
        <row r="75">
          <cell r="A75" t="str">
            <v>St. Vincent &amp; Grenadines</v>
          </cell>
        </row>
        <row r="76">
          <cell r="A76" t="str">
            <v>Sudan</v>
          </cell>
        </row>
        <row r="77">
          <cell r="A77" t="str">
            <v>British Virgin Islands</v>
          </cell>
        </row>
        <row r="78">
          <cell r="A78" t="str">
            <v>Nigeria</v>
          </cell>
          <cell r="B78">
            <v>0.93</v>
          </cell>
          <cell r="C78">
            <v>7.0000000000000007E-2</v>
          </cell>
        </row>
        <row r="79">
          <cell r="A79" t="str">
            <v>Switzerland</v>
          </cell>
          <cell r="B79">
            <v>0.92</v>
          </cell>
          <cell r="C79">
            <v>0.08</v>
          </cell>
        </row>
        <row r="80">
          <cell r="A80" t="str">
            <v>South Sudan</v>
          </cell>
        </row>
        <row r="81">
          <cell r="A81" t="str">
            <v>Australia</v>
          </cell>
          <cell r="B81">
            <v>0.94</v>
          </cell>
          <cell r="C81">
            <v>0.06</v>
          </cell>
        </row>
        <row r="82">
          <cell r="A82" t="str">
            <v>Belize</v>
          </cell>
        </row>
        <row r="83">
          <cell r="A83" t="str">
            <v>Ireland</v>
          </cell>
          <cell r="B83">
            <v>0.93</v>
          </cell>
          <cell r="C83">
            <v>7.0000000000000007E-2</v>
          </cell>
        </row>
        <row r="84">
          <cell r="A84" t="str">
            <v>Sierra Leone</v>
          </cell>
        </row>
        <row r="85">
          <cell r="A85" t="str">
            <v>Guatemala</v>
          </cell>
        </row>
        <row r="86">
          <cell r="A86" t="str">
            <v>Taiwan</v>
          </cell>
          <cell r="B86">
            <v>0.88</v>
          </cell>
          <cell r="C86">
            <v>0.12</v>
          </cell>
        </row>
        <row r="87">
          <cell r="A87" t="str">
            <v>United States</v>
          </cell>
          <cell r="B87">
            <v>0.92</v>
          </cell>
          <cell r="C87">
            <v>0.08</v>
          </cell>
        </row>
        <row r="88">
          <cell r="A88" t="str">
            <v>Ecuador</v>
          </cell>
          <cell r="B88">
            <v>0.97</v>
          </cell>
          <cell r="C88">
            <v>0.03</v>
          </cell>
        </row>
        <row r="89">
          <cell r="A89" t="str">
            <v>Dominica</v>
          </cell>
        </row>
        <row r="90">
          <cell r="A90" t="str">
            <v>Jersey</v>
          </cell>
        </row>
        <row r="91">
          <cell r="A91" t="str">
            <v>Iceland</v>
          </cell>
        </row>
        <row r="92">
          <cell r="A92" t="str">
            <v>Lebanon</v>
          </cell>
        </row>
        <row r="93">
          <cell r="A93" t="str">
            <v>Honduras</v>
          </cell>
        </row>
        <row r="94">
          <cell r="A94" t="str">
            <v>Costa Rica</v>
          </cell>
        </row>
        <row r="95">
          <cell r="A95" t="str">
            <v>Maldives</v>
          </cell>
        </row>
        <row r="96">
          <cell r="A96" t="str">
            <v>Monaco</v>
          </cell>
        </row>
        <row r="97">
          <cell r="A97" t="str">
            <v>Cyprus</v>
          </cell>
        </row>
        <row r="98">
          <cell r="A98" t="str">
            <v>Mongolia</v>
          </cell>
        </row>
        <row r="99">
          <cell r="A99" t="str">
            <v>CÃ´te dâ€™Ivoire</v>
          </cell>
        </row>
        <row r="100">
          <cell r="A100" t="str">
            <v>Malaysia</v>
          </cell>
          <cell r="B100">
            <v>0.94</v>
          </cell>
          <cell r="C100">
            <v>0.06</v>
          </cell>
        </row>
        <row r="101">
          <cell r="A101" t="str">
            <v>U.S. Virgin Islands</v>
          </cell>
        </row>
        <row r="102">
          <cell r="A102" t="str">
            <v>Bangladesh</v>
          </cell>
          <cell r="B102">
            <v>0.91</v>
          </cell>
          <cell r="C102">
            <v>0.09</v>
          </cell>
        </row>
        <row r="103">
          <cell r="A103" t="str">
            <v>Yemen</v>
          </cell>
        </row>
        <row r="104">
          <cell r="A104" t="str">
            <v>Portugal</v>
          </cell>
          <cell r="B104">
            <v>0.95</v>
          </cell>
          <cell r="C104">
            <v>0.05</v>
          </cell>
        </row>
        <row r="105">
          <cell r="A105" t="str">
            <v>Isle of Man</v>
          </cell>
        </row>
        <row r="106">
          <cell r="A106" t="str">
            <v>Japan</v>
          </cell>
          <cell r="B106">
            <v>0.94</v>
          </cell>
          <cell r="C106">
            <v>0.06</v>
          </cell>
        </row>
        <row r="107">
          <cell r="A107" t="str">
            <v>Albania</v>
          </cell>
        </row>
        <row r="108">
          <cell r="A108" t="str">
            <v>Netherlands</v>
          </cell>
          <cell r="B108">
            <v>0.94</v>
          </cell>
          <cell r="C108">
            <v>0.06</v>
          </cell>
        </row>
        <row r="109">
          <cell r="A109" t="str">
            <v>North Macedonia</v>
          </cell>
        </row>
        <row r="110">
          <cell r="A110" t="str">
            <v>San Marino</v>
          </cell>
        </row>
        <row r="111">
          <cell r="A111" t="str">
            <v>Tonga</v>
          </cell>
        </row>
        <row r="112">
          <cell r="A112" t="str">
            <v>Germany</v>
          </cell>
          <cell r="B112">
            <v>0.93</v>
          </cell>
          <cell r="C112">
            <v>7.0000000000000007E-2</v>
          </cell>
        </row>
        <row r="113">
          <cell r="A113" t="str">
            <v>Panama</v>
          </cell>
        </row>
        <row r="114">
          <cell r="A114" t="str">
            <v>United Arab Emirates</v>
          </cell>
          <cell r="B114">
            <v>0.95</v>
          </cell>
          <cell r="C114">
            <v>0.05</v>
          </cell>
        </row>
        <row r="115">
          <cell r="A115" t="str">
            <v>Haiti</v>
          </cell>
        </row>
        <row r="116">
          <cell r="A116" t="str">
            <v>Macao</v>
          </cell>
        </row>
        <row r="117">
          <cell r="A117" t="str">
            <v>Nicaragua</v>
          </cell>
        </row>
        <row r="118">
          <cell r="A118" t="str">
            <v>Austria</v>
          </cell>
          <cell r="B118">
            <v>0.95</v>
          </cell>
          <cell r="C118">
            <v>0.05</v>
          </cell>
        </row>
        <row r="119">
          <cell r="A119" t="str">
            <v>Denmark</v>
          </cell>
          <cell r="B119">
            <v>0.94</v>
          </cell>
          <cell r="C119">
            <v>0.06</v>
          </cell>
        </row>
        <row r="120">
          <cell r="A120" t="str">
            <v>Peru</v>
          </cell>
          <cell r="B120">
            <v>0.96</v>
          </cell>
          <cell r="C120">
            <v>0.04</v>
          </cell>
        </row>
        <row r="121">
          <cell r="A121" t="str">
            <v>Mexico</v>
          </cell>
          <cell r="B121">
            <v>0.97</v>
          </cell>
          <cell r="C121">
            <v>0.03</v>
          </cell>
        </row>
        <row r="122">
          <cell r="A122" t="str">
            <v>United Kingdom</v>
          </cell>
          <cell r="B122">
            <v>0.94</v>
          </cell>
          <cell r="C122">
            <v>0.06</v>
          </cell>
        </row>
        <row r="123">
          <cell r="A123" t="str">
            <v>Libya</v>
          </cell>
        </row>
        <row r="124">
          <cell r="A124" t="str">
            <v>Barbados</v>
          </cell>
        </row>
        <row r="125">
          <cell r="A125" t="str">
            <v>Bolivia</v>
          </cell>
        </row>
        <row r="126">
          <cell r="A126" t="str">
            <v>Belarus</v>
          </cell>
          <cell r="B126">
            <v>0.91</v>
          </cell>
          <cell r="C126">
            <v>0.09</v>
          </cell>
        </row>
        <row r="127">
          <cell r="A127" t="str">
            <v>Indonesia</v>
          </cell>
          <cell r="B127">
            <v>0.94</v>
          </cell>
          <cell r="C127">
            <v>0.06</v>
          </cell>
        </row>
        <row r="128">
          <cell r="A128" t="str">
            <v>Andorra</v>
          </cell>
        </row>
        <row r="129">
          <cell r="A129" t="str">
            <v>Faroe Islands</v>
          </cell>
        </row>
        <row r="130">
          <cell r="A130" t="str">
            <v>Cambodia</v>
          </cell>
        </row>
        <row r="131">
          <cell r="A131" t="str">
            <v>Grenada</v>
          </cell>
        </row>
        <row r="132">
          <cell r="A132" t="str">
            <v>Gabon</v>
          </cell>
        </row>
        <row r="133">
          <cell r="A133" t="str">
            <v>Laos</v>
          </cell>
        </row>
        <row r="134">
          <cell r="A134" t="str">
            <v>Belgium</v>
          </cell>
          <cell r="B134">
            <v>0.95</v>
          </cell>
          <cell r="C134">
            <v>0.05</v>
          </cell>
        </row>
        <row r="135">
          <cell r="A135" t="str">
            <v>St. Kitts &amp; Nevis</v>
          </cell>
        </row>
        <row r="136">
          <cell r="A136" t="str">
            <v>Oman</v>
          </cell>
        </row>
        <row r="137">
          <cell r="A137" t="str">
            <v>Moldova</v>
          </cell>
        </row>
        <row r="138">
          <cell r="A138" t="str">
            <v>Hungary</v>
          </cell>
          <cell r="B138">
            <v>0.96</v>
          </cell>
          <cell r="C138">
            <v>0.04</v>
          </cell>
        </row>
        <row r="139">
          <cell r="A139" t="str">
            <v>Trinidad &amp; Tobago</v>
          </cell>
        </row>
        <row r="140">
          <cell r="A140" t="str">
            <v>Lithuania</v>
          </cell>
        </row>
        <row r="141">
          <cell r="A141" t="str">
            <v>Cayman Islands</v>
          </cell>
        </row>
        <row r="142">
          <cell r="A142" t="str">
            <v>Bahrain</v>
          </cell>
        </row>
        <row r="143">
          <cell r="A143" t="str">
            <v>Kosovo</v>
          </cell>
        </row>
        <row r="144">
          <cell r="A144" t="str">
            <v>Guernsey</v>
          </cell>
        </row>
        <row r="145">
          <cell r="A145" t="str">
            <v>Dominican Republic</v>
          </cell>
        </row>
        <row r="146">
          <cell r="A146" t="str">
            <v>Finland</v>
          </cell>
          <cell r="B146">
            <v>0.92</v>
          </cell>
          <cell r="C146">
            <v>0.08</v>
          </cell>
        </row>
        <row r="147">
          <cell r="A147" t="str">
            <v>St. Lucia</v>
          </cell>
        </row>
        <row r="148">
          <cell r="A148" t="str">
            <v>Bermuda</v>
          </cell>
        </row>
        <row r="149">
          <cell r="A149" t="str">
            <v>Sweden</v>
          </cell>
          <cell r="B149">
            <v>0.92</v>
          </cell>
          <cell r="C149">
            <v>0.08</v>
          </cell>
        </row>
        <row r="150">
          <cell r="A150" t="str">
            <v>Russia</v>
          </cell>
          <cell r="B150">
            <v>0.88</v>
          </cell>
          <cell r="C150">
            <v>0.12</v>
          </cell>
        </row>
        <row r="151">
          <cell r="A151" t="str">
            <v>Guyana</v>
          </cell>
        </row>
        <row r="152">
          <cell r="A152" t="str">
            <v>Armenia</v>
          </cell>
        </row>
        <row r="153">
          <cell r="A153" t="str">
            <v>Qatar</v>
          </cell>
        </row>
        <row r="154">
          <cell r="A154" t="str">
            <v>Palestine</v>
          </cell>
        </row>
        <row r="155">
          <cell r="A155" t="str">
            <v>Slovakia</v>
          </cell>
          <cell r="B155">
            <v>0.95</v>
          </cell>
          <cell r="C155">
            <v>0.05</v>
          </cell>
        </row>
        <row r="156">
          <cell r="A156" t="str">
            <v>Suriname</v>
          </cell>
        </row>
        <row r="157">
          <cell r="A157" t="str">
            <v>Serbia</v>
          </cell>
          <cell r="B157">
            <v>0.96</v>
          </cell>
          <cell r="C157">
            <v>0.04</v>
          </cell>
        </row>
        <row r="158">
          <cell r="A158" t="str">
            <v>Turks &amp; Caicos Islands</v>
          </cell>
        </row>
        <row r="159">
          <cell r="A159" t="str">
            <v>Romania</v>
          </cell>
          <cell r="B159">
            <v>0.96</v>
          </cell>
          <cell r="C159">
            <v>0.04</v>
          </cell>
        </row>
        <row r="160">
          <cell r="A160" t="str">
            <v>Poland</v>
          </cell>
          <cell r="B160">
            <v>0.95</v>
          </cell>
          <cell r="C160">
            <v>0.05</v>
          </cell>
        </row>
        <row r="161">
          <cell r="A161" t="str">
            <v>Israel</v>
          </cell>
          <cell r="B161">
            <v>0.87</v>
          </cell>
          <cell r="C161">
            <v>0.13</v>
          </cell>
        </row>
        <row r="162">
          <cell r="A162" t="str">
            <v>Norway</v>
          </cell>
          <cell r="B162">
            <v>0.92</v>
          </cell>
          <cell r="C162">
            <v>0.08</v>
          </cell>
        </row>
        <row r="163">
          <cell r="A163" t="str">
            <v>Burkina Faso</v>
          </cell>
        </row>
        <row r="164">
          <cell r="A164" t="str">
            <v>French Polynesia</v>
          </cell>
        </row>
        <row r="165">
          <cell r="A165" t="str">
            <v>Mali</v>
          </cell>
        </row>
        <row r="166">
          <cell r="A166" t="str">
            <v>Mauritania</v>
          </cell>
        </row>
        <row r="167">
          <cell r="A167" t="str">
            <v>Seychelles</v>
          </cell>
        </row>
        <row r="168">
          <cell r="A168" t="str">
            <v>Ukraine</v>
          </cell>
          <cell r="B168">
            <v>0.92</v>
          </cell>
          <cell r="C168">
            <v>0.08</v>
          </cell>
        </row>
        <row r="169">
          <cell r="A169" t="str">
            <v>CuraÃ§ao</v>
          </cell>
        </row>
        <row r="170">
          <cell r="A170" t="str">
            <v>Uzbekistan</v>
          </cell>
        </row>
        <row r="171">
          <cell r="A171" t="str">
            <v>Morocco</v>
          </cell>
          <cell r="B171">
            <v>0.94</v>
          </cell>
          <cell r="C171">
            <v>0.06</v>
          </cell>
        </row>
        <row r="172">
          <cell r="A172" t="str">
            <v>Kazakhstan</v>
          </cell>
          <cell r="B172">
            <v>0.93</v>
          </cell>
          <cell r="C172">
            <v>7.0000000000000007E-2</v>
          </cell>
        </row>
        <row r="173">
          <cell r="A173" t="str">
            <v>Ã…land Islands</v>
          </cell>
        </row>
        <row r="174">
          <cell r="A174" t="str">
            <v>Italy</v>
          </cell>
          <cell r="B174">
            <v>0.95</v>
          </cell>
          <cell r="C174">
            <v>0.05</v>
          </cell>
        </row>
        <row r="175">
          <cell r="A175" t="str">
            <v>Slovenia</v>
          </cell>
        </row>
        <row r="176">
          <cell r="A176" t="str">
            <v>Spain</v>
          </cell>
          <cell r="B176">
            <v>0.95</v>
          </cell>
          <cell r="C176">
            <v>0.05</v>
          </cell>
        </row>
        <row r="177">
          <cell r="A177" t="str">
            <v>Jordan</v>
          </cell>
        </row>
        <row r="178">
          <cell r="A178" t="str">
            <v>Thailand</v>
          </cell>
          <cell r="B178">
            <v>0.96</v>
          </cell>
          <cell r="C178">
            <v>0.04</v>
          </cell>
        </row>
        <row r="179">
          <cell r="A179" t="str">
            <v>Bulgaria</v>
          </cell>
          <cell r="B179">
            <v>0.95</v>
          </cell>
          <cell r="C179">
            <v>0.05</v>
          </cell>
        </row>
        <row r="180">
          <cell r="A180" t="str">
            <v>Guinea</v>
          </cell>
        </row>
        <row r="181">
          <cell r="A181" t="str">
            <v>Croatia</v>
          </cell>
          <cell r="B181">
            <v>0.87</v>
          </cell>
          <cell r="C181">
            <v>0.13</v>
          </cell>
        </row>
        <row r="182">
          <cell r="A182" t="str">
            <v>Chile</v>
          </cell>
          <cell r="B182">
            <v>0.95</v>
          </cell>
          <cell r="C182">
            <v>0.05</v>
          </cell>
        </row>
        <row r="183">
          <cell r="A183" t="str">
            <v>Bosnia &amp; Herzegovina</v>
          </cell>
        </row>
        <row r="184">
          <cell r="A184" t="str">
            <v>Antigua &amp; Barbuda</v>
          </cell>
        </row>
        <row r="185">
          <cell r="A185" t="str">
            <v>Kyrgyzstan</v>
          </cell>
        </row>
        <row r="186">
          <cell r="A186" t="str">
            <v>Puerto Rico</v>
          </cell>
        </row>
        <row r="187">
          <cell r="A187" t="str">
            <v>Paraguay</v>
          </cell>
        </row>
        <row r="188">
          <cell r="A188" t="str">
            <v>Algeria</v>
          </cell>
          <cell r="B188">
            <v>0.92</v>
          </cell>
          <cell r="C188">
            <v>0.08</v>
          </cell>
        </row>
        <row r="189">
          <cell r="A189" t="str">
            <v>Vietnam</v>
          </cell>
          <cell r="B189">
            <v>0.97</v>
          </cell>
          <cell r="C189">
            <v>0.03</v>
          </cell>
        </row>
        <row r="190">
          <cell r="A190" t="str">
            <v>Sint Maarten</v>
          </cell>
        </row>
        <row r="191">
          <cell r="A191" t="str">
            <v>Egypt</v>
          </cell>
          <cell r="B191">
            <v>0.93</v>
          </cell>
          <cell r="C191">
            <v>7.0000000000000007E-2</v>
          </cell>
        </row>
        <row r="192">
          <cell r="A192" t="str">
            <v>France</v>
          </cell>
          <cell r="B192">
            <v>0.94</v>
          </cell>
          <cell r="C192">
            <v>0.06</v>
          </cell>
        </row>
        <row r="193">
          <cell r="A193" t="str">
            <v>New Caledonia</v>
          </cell>
        </row>
        <row r="194">
          <cell r="A194" t="str">
            <v>Uruguay</v>
          </cell>
        </row>
        <row r="195">
          <cell r="A195" t="str">
            <v>Montenegro</v>
          </cell>
        </row>
        <row r="196">
          <cell r="A196" t="str">
            <v>Northern Mariana Islands</v>
          </cell>
        </row>
        <row r="197">
          <cell r="A197" t="str">
            <v>Kuwait</v>
          </cell>
        </row>
        <row r="198">
          <cell r="A198" t="str">
            <v>Saudi Arabia</v>
          </cell>
          <cell r="B198">
            <v>0.96</v>
          </cell>
          <cell r="C198">
            <v>0.04</v>
          </cell>
        </row>
        <row r="199">
          <cell r="A199" t="str">
            <v>Greece</v>
          </cell>
          <cell r="B199">
            <v>0.9</v>
          </cell>
          <cell r="C199">
            <v>0.1</v>
          </cell>
        </row>
        <row r="200">
          <cell r="A200" t="str">
            <v>Tajikistan</v>
          </cell>
        </row>
        <row r="201">
          <cell r="A201" t="str">
            <v>Bahamas</v>
          </cell>
        </row>
        <row r="202">
          <cell r="A202" t="str">
            <v>Guam</v>
          </cell>
        </row>
        <row r="203">
          <cell r="A203" t="str">
            <v>Aruba</v>
          </cell>
        </row>
        <row r="204">
          <cell r="A204" t="str">
            <v>Iran</v>
          </cell>
          <cell r="B204">
            <v>0.85</v>
          </cell>
          <cell r="C204">
            <v>0.15</v>
          </cell>
        </row>
        <row r="205">
          <cell r="A205" t="str">
            <v>Syria</v>
          </cell>
        </row>
        <row r="206">
          <cell r="A206" t="str">
            <v>Caribbean Netherlands</v>
          </cell>
        </row>
        <row r="207">
          <cell r="A207" t="str">
            <v>Azerbaijan</v>
          </cell>
        </row>
        <row r="208">
          <cell r="A208" t="str">
            <v>Brazil</v>
          </cell>
          <cell r="B208">
            <v>0.95</v>
          </cell>
          <cell r="C208">
            <v>0.05</v>
          </cell>
        </row>
        <row r="209">
          <cell r="A209" t="str">
            <v>French Guiana</v>
          </cell>
        </row>
        <row r="210">
          <cell r="A210" t="str">
            <v>Argentina</v>
          </cell>
          <cell r="B210">
            <v>0.96</v>
          </cell>
          <cell r="C210">
            <v>0.04</v>
          </cell>
        </row>
        <row r="211">
          <cell r="A211" t="str">
            <v>Venezuela</v>
          </cell>
        </row>
        <row r="212">
          <cell r="A212" t="str">
            <v>Georgia</v>
          </cell>
        </row>
        <row r="213">
          <cell r="A213" t="str">
            <v>Turkmenistan</v>
          </cell>
        </row>
        <row r="214">
          <cell r="A214" t="str">
            <v>Iraq</v>
          </cell>
        </row>
        <row r="215">
          <cell r="A215" t="str">
            <v>RÃ©union</v>
          </cell>
        </row>
        <row r="216">
          <cell r="A216" t="str">
            <v>Guadeloupe</v>
          </cell>
        </row>
        <row r="217">
          <cell r="A217" t="str">
            <v>Greenland</v>
          </cell>
        </row>
        <row r="218">
          <cell r="A218" t="str">
            <v>Mayotte</v>
          </cell>
        </row>
        <row r="219">
          <cell r="A219" t="str">
            <v>Turkey</v>
          </cell>
          <cell r="B219">
            <v>0.92</v>
          </cell>
          <cell r="C219">
            <v>0.08</v>
          </cell>
        </row>
        <row r="220">
          <cell r="A220" t="str">
            <v>Martinique</v>
          </cell>
        </row>
        <row r="221">
          <cell r="A221" t="str">
            <v>Western Sahara</v>
          </cell>
        </row>
        <row r="222">
          <cell r="A222" t="str">
            <v>North Korea</v>
          </cell>
        </row>
        <row r="223">
          <cell r="A223" t="str">
            <v>Cook Islands</v>
          </cell>
        </row>
        <row r="224">
          <cell r="A224" t="str">
            <v>Falkland Islands (Islas Malvinas)</v>
          </cell>
        </row>
        <row r="225">
          <cell r="A225" t="str">
            <v>Marshall Islands</v>
          </cell>
        </row>
        <row r="226">
          <cell r="A226" t="str">
            <v>Comoros</v>
          </cell>
        </row>
        <row r="227">
          <cell r="A227" t="str">
            <v>Svalbard &amp; Jan Mayen</v>
          </cell>
        </row>
        <row r="228">
          <cell r="A228" t="str">
            <v>Palau</v>
          </cell>
        </row>
        <row r="229">
          <cell r="A229" t="str">
            <v>Micronesia</v>
          </cell>
        </row>
        <row r="230">
          <cell r="A230" t="str">
            <v>American Samoa</v>
          </cell>
        </row>
        <row r="231">
          <cell r="A231" t="str">
            <v>Anguilla</v>
          </cell>
        </row>
        <row r="232">
          <cell r="A232" t="str">
            <v>St. Pierre &amp; Miquelon</v>
          </cell>
        </row>
        <row r="233">
          <cell r="A233" t="str">
            <v>St. Martin</v>
          </cell>
        </row>
        <row r="234">
          <cell r="A234" t="str">
            <v>St. BarthÃ©lemy</v>
          </cell>
        </row>
        <row r="235">
          <cell r="A235" t="str">
            <v>Antarctica</v>
          </cell>
        </row>
        <row r="236">
          <cell r="A236" t="str">
            <v>French Southern Territories</v>
          </cell>
        </row>
        <row r="237">
          <cell r="A237" t="str">
            <v>Bouvet Island</v>
          </cell>
        </row>
        <row r="238">
          <cell r="A238" t="str">
            <v>Cocos (Keeling) Islands</v>
          </cell>
        </row>
        <row r="239">
          <cell r="A239" t="str">
            <v>Christmas Island</v>
          </cell>
        </row>
        <row r="240">
          <cell r="A240" t="str">
            <v>Heard &amp; McDonald Islands</v>
          </cell>
        </row>
        <row r="241">
          <cell r="A241" t="str">
            <v>British Indian Ocean Territory</v>
          </cell>
        </row>
        <row r="242">
          <cell r="A242" t="str">
            <v>Kiribati</v>
          </cell>
        </row>
        <row r="243">
          <cell r="A243" t="str">
            <v>Montserrat</v>
          </cell>
        </row>
        <row r="244">
          <cell r="A244" t="str">
            <v>Norfolk Island</v>
          </cell>
        </row>
        <row r="245">
          <cell r="A245" t="str">
            <v>Niue</v>
          </cell>
        </row>
        <row r="246">
          <cell r="A246" t="str">
            <v>Nauru</v>
          </cell>
        </row>
        <row r="247">
          <cell r="A247" t="str">
            <v>Pitcairn Islands</v>
          </cell>
        </row>
        <row r="248">
          <cell r="A248" t="str">
            <v>South Georgia &amp; South Sandwich Islands</v>
          </cell>
        </row>
        <row r="249">
          <cell r="A249" t="str">
            <v>Tokelau</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1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14)"/>
    </sheetNames>
    <sheetDataSet>
      <sheetData sheetId="0" refreshError="1">
        <row r="1">
          <cell r="A1" t="str">
            <v>Category: All categories</v>
          </cell>
        </row>
        <row r="3">
          <cell r="A3" t="str">
            <v>Country</v>
          </cell>
          <cell r="B3" t="str">
            <v>Finite-state machine: (2018)</v>
          </cell>
          <cell r="C3" t="str">
            <v>Type system: (2018)</v>
          </cell>
        </row>
        <row r="4">
          <cell r="A4" t="str">
            <v>Micronesia</v>
          </cell>
          <cell r="B4">
            <v>1</v>
          </cell>
        </row>
        <row r="5">
          <cell r="A5" t="str">
            <v>Guam</v>
          </cell>
          <cell r="B5">
            <v>1</v>
          </cell>
        </row>
        <row r="6">
          <cell r="A6" t="str">
            <v>China</v>
          </cell>
          <cell r="B6">
            <v>0.86</v>
          </cell>
          <cell r="C6">
            <v>0.14000000000000001</v>
          </cell>
        </row>
        <row r="7">
          <cell r="A7" t="str">
            <v>Maldives</v>
          </cell>
          <cell r="B7">
            <v>1</v>
          </cell>
        </row>
        <row r="8">
          <cell r="A8" t="str">
            <v>Fiji</v>
          </cell>
        </row>
        <row r="9">
          <cell r="A9" t="str">
            <v>Bosnia &amp; Herzegovina</v>
          </cell>
        </row>
        <row r="10">
          <cell r="A10" t="str">
            <v>Singapore</v>
          </cell>
          <cell r="B10">
            <v>0.92</v>
          </cell>
          <cell r="C10">
            <v>0.08</v>
          </cell>
        </row>
        <row r="11">
          <cell r="A11" t="str">
            <v>Macao</v>
          </cell>
          <cell r="B11">
            <v>1</v>
          </cell>
        </row>
        <row r="12">
          <cell r="A12" t="str">
            <v>Austria</v>
          </cell>
          <cell r="B12">
            <v>0.17</v>
          </cell>
          <cell r="C12">
            <v>0.83</v>
          </cell>
        </row>
        <row r="13">
          <cell r="A13" t="str">
            <v>Israel</v>
          </cell>
          <cell r="B13">
            <v>0.87</v>
          </cell>
          <cell r="C13">
            <v>0.13</v>
          </cell>
        </row>
        <row r="14">
          <cell r="A14" t="str">
            <v>St. Helena</v>
          </cell>
          <cell r="B14">
            <v>0.64</v>
          </cell>
          <cell r="C14">
            <v>0.36</v>
          </cell>
        </row>
        <row r="15">
          <cell r="A15" t="str">
            <v>Hong Kong</v>
          </cell>
          <cell r="B15">
            <v>0.86</v>
          </cell>
          <cell r="C15">
            <v>0.14000000000000001</v>
          </cell>
        </row>
        <row r="16">
          <cell r="A16" t="str">
            <v>South Korea</v>
          </cell>
          <cell r="B16">
            <v>0.88</v>
          </cell>
          <cell r="C16">
            <v>0.12</v>
          </cell>
        </row>
        <row r="17">
          <cell r="A17" t="str">
            <v>Ethiopia</v>
          </cell>
        </row>
        <row r="18">
          <cell r="A18" t="str">
            <v>Iceland</v>
          </cell>
        </row>
        <row r="19">
          <cell r="A19" t="str">
            <v>New Zealand</v>
          </cell>
          <cell r="B19">
            <v>0.83</v>
          </cell>
          <cell r="C19">
            <v>0.17</v>
          </cell>
        </row>
        <row r="20">
          <cell r="A20" t="str">
            <v>Pakistan</v>
          </cell>
          <cell r="B20">
            <v>0.65</v>
          </cell>
          <cell r="C20">
            <v>0.35</v>
          </cell>
        </row>
        <row r="21">
          <cell r="A21" t="str">
            <v>Tunisia</v>
          </cell>
        </row>
        <row r="22">
          <cell r="A22" t="str">
            <v>Malaysia</v>
          </cell>
          <cell r="B22">
            <v>0.8</v>
          </cell>
          <cell r="C22">
            <v>0.2</v>
          </cell>
        </row>
        <row r="23">
          <cell r="A23" t="str">
            <v>Australia</v>
          </cell>
          <cell r="B23">
            <v>0.8</v>
          </cell>
          <cell r="C23">
            <v>0.2</v>
          </cell>
        </row>
        <row r="24">
          <cell r="A24" t="str">
            <v>United States</v>
          </cell>
          <cell r="B24">
            <v>0.8</v>
          </cell>
          <cell r="C24">
            <v>0.2</v>
          </cell>
        </row>
        <row r="25">
          <cell r="A25" t="str">
            <v>Japan</v>
          </cell>
          <cell r="B25">
            <v>0.28999999999999998</v>
          </cell>
          <cell r="C25">
            <v>0.71</v>
          </cell>
        </row>
        <row r="26">
          <cell r="A26" t="str">
            <v>Taiwan</v>
          </cell>
          <cell r="B26">
            <v>0.76</v>
          </cell>
          <cell r="C26">
            <v>0.24</v>
          </cell>
        </row>
        <row r="27">
          <cell r="A27" t="str">
            <v>United Kingdom</v>
          </cell>
          <cell r="B27">
            <v>0.79</v>
          </cell>
          <cell r="C27">
            <v>0.21</v>
          </cell>
        </row>
        <row r="28">
          <cell r="A28" t="str">
            <v>India</v>
          </cell>
          <cell r="B28">
            <v>0.61</v>
          </cell>
          <cell r="C28">
            <v>0.39</v>
          </cell>
        </row>
        <row r="29">
          <cell r="A29" t="str">
            <v>Canada</v>
          </cell>
          <cell r="B29">
            <v>0.75</v>
          </cell>
          <cell r="C29">
            <v>0.25</v>
          </cell>
        </row>
        <row r="30">
          <cell r="A30" t="str">
            <v>Mauritius</v>
          </cell>
        </row>
        <row r="31">
          <cell r="A31" t="str">
            <v>Ireland</v>
          </cell>
          <cell r="B31">
            <v>0.79</v>
          </cell>
          <cell r="C31">
            <v>0.21</v>
          </cell>
        </row>
        <row r="32">
          <cell r="A32" t="str">
            <v>Switzerland</v>
          </cell>
          <cell r="B32">
            <v>0.64</v>
          </cell>
          <cell r="C32">
            <v>0.36</v>
          </cell>
        </row>
        <row r="33">
          <cell r="A33" t="str">
            <v>Nepal</v>
          </cell>
        </row>
        <row r="34">
          <cell r="A34" t="str">
            <v>Norway</v>
          </cell>
          <cell r="B34">
            <v>0.73</v>
          </cell>
          <cell r="C34">
            <v>0.27</v>
          </cell>
        </row>
        <row r="35">
          <cell r="A35" t="str">
            <v>Sri Lanka</v>
          </cell>
          <cell r="B35">
            <v>0.68</v>
          </cell>
          <cell r="C35">
            <v>0.32</v>
          </cell>
        </row>
        <row r="36">
          <cell r="A36" t="str">
            <v>Croatia</v>
          </cell>
          <cell r="B36">
            <v>0.73</v>
          </cell>
          <cell r="C36">
            <v>0.27</v>
          </cell>
        </row>
        <row r="37">
          <cell r="A37" t="str">
            <v>Germany</v>
          </cell>
          <cell r="B37">
            <v>0.52</v>
          </cell>
          <cell r="C37">
            <v>0.48</v>
          </cell>
        </row>
        <row r="38">
          <cell r="A38" t="str">
            <v>Russia</v>
          </cell>
          <cell r="B38">
            <v>0.66</v>
          </cell>
          <cell r="C38">
            <v>0.34</v>
          </cell>
        </row>
        <row r="39">
          <cell r="A39" t="str">
            <v>Slovenia</v>
          </cell>
          <cell r="B39">
            <v>0.64</v>
          </cell>
          <cell r="C39">
            <v>0.36</v>
          </cell>
        </row>
        <row r="40">
          <cell r="A40" t="str">
            <v>Estonia</v>
          </cell>
        </row>
        <row r="41">
          <cell r="A41" t="str">
            <v>Romania</v>
          </cell>
          <cell r="B41">
            <v>0.68</v>
          </cell>
          <cell r="C41">
            <v>0.32</v>
          </cell>
        </row>
        <row r="42">
          <cell r="A42" t="str">
            <v>South Africa</v>
          </cell>
          <cell r="B42">
            <v>0.73</v>
          </cell>
          <cell r="C42">
            <v>0.27</v>
          </cell>
        </row>
        <row r="43">
          <cell r="A43" t="str">
            <v>Finland</v>
          </cell>
          <cell r="B43">
            <v>0.72</v>
          </cell>
          <cell r="C43">
            <v>0.28000000000000003</v>
          </cell>
        </row>
        <row r="44">
          <cell r="A44" t="str">
            <v>Belarus</v>
          </cell>
          <cell r="B44">
            <v>0.68</v>
          </cell>
          <cell r="C44">
            <v>0.32</v>
          </cell>
        </row>
        <row r="45">
          <cell r="A45" t="str">
            <v>Serbia</v>
          </cell>
          <cell r="B45">
            <v>0.63</v>
          </cell>
          <cell r="C45">
            <v>0.37</v>
          </cell>
        </row>
        <row r="46">
          <cell r="A46" t="str">
            <v>Kenya</v>
          </cell>
        </row>
        <row r="47">
          <cell r="A47" t="str">
            <v>Slovakia</v>
          </cell>
        </row>
        <row r="48">
          <cell r="A48" t="str">
            <v>Dominican Republic</v>
          </cell>
          <cell r="C48">
            <v>1</v>
          </cell>
        </row>
        <row r="49">
          <cell r="A49" t="str">
            <v>Ghana</v>
          </cell>
        </row>
        <row r="50">
          <cell r="A50" t="str">
            <v>Czechia</v>
          </cell>
          <cell r="B50">
            <v>0.75</v>
          </cell>
          <cell r="C50">
            <v>0.25</v>
          </cell>
        </row>
        <row r="51">
          <cell r="A51" t="str">
            <v>Latvia</v>
          </cell>
        </row>
        <row r="52">
          <cell r="A52" t="str">
            <v>Sweden</v>
          </cell>
          <cell r="B52">
            <v>0.68</v>
          </cell>
          <cell r="C52">
            <v>0.32</v>
          </cell>
        </row>
        <row r="53">
          <cell r="A53" t="str">
            <v>Greece</v>
          </cell>
          <cell r="B53">
            <v>0.81</v>
          </cell>
          <cell r="C53">
            <v>0.19</v>
          </cell>
        </row>
        <row r="54">
          <cell r="A54" t="str">
            <v>Ukraine</v>
          </cell>
          <cell r="B54">
            <v>0.66</v>
          </cell>
          <cell r="C54">
            <v>0.34</v>
          </cell>
        </row>
        <row r="55">
          <cell r="A55" t="str">
            <v>Bulgaria</v>
          </cell>
          <cell r="B55">
            <v>0.72</v>
          </cell>
          <cell r="C55">
            <v>0.28000000000000003</v>
          </cell>
        </row>
        <row r="56">
          <cell r="A56" t="str">
            <v>Portugal</v>
          </cell>
          <cell r="B56">
            <v>0.56999999999999995</v>
          </cell>
          <cell r="C56">
            <v>0.43</v>
          </cell>
        </row>
        <row r="57">
          <cell r="A57" t="str">
            <v>Denmark</v>
          </cell>
          <cell r="B57">
            <v>0.62</v>
          </cell>
          <cell r="C57">
            <v>0.38</v>
          </cell>
        </row>
        <row r="58">
          <cell r="A58" t="str">
            <v>Bolivia</v>
          </cell>
        </row>
        <row r="59">
          <cell r="A59" t="str">
            <v>Kuwait</v>
          </cell>
        </row>
        <row r="60">
          <cell r="A60" t="str">
            <v>Bangladesh</v>
          </cell>
          <cell r="B60">
            <v>0.62</v>
          </cell>
          <cell r="C60">
            <v>0.38</v>
          </cell>
        </row>
        <row r="61">
          <cell r="A61" t="str">
            <v>Lithuania</v>
          </cell>
        </row>
        <row r="62">
          <cell r="A62" t="str">
            <v>Honduras</v>
          </cell>
        </row>
        <row r="63">
          <cell r="A63" t="str">
            <v>Hungary</v>
          </cell>
          <cell r="B63">
            <v>0.81</v>
          </cell>
          <cell r="C63">
            <v>0.19</v>
          </cell>
        </row>
        <row r="64">
          <cell r="A64" t="str">
            <v>Philippines</v>
          </cell>
          <cell r="B64">
            <v>0.55000000000000004</v>
          </cell>
          <cell r="C64">
            <v>0.45</v>
          </cell>
        </row>
        <row r="65">
          <cell r="A65" t="str">
            <v>Netherlands</v>
          </cell>
          <cell r="B65">
            <v>0.63</v>
          </cell>
          <cell r="C65">
            <v>0.37</v>
          </cell>
        </row>
        <row r="66">
          <cell r="A66" t="str">
            <v>Nigeria</v>
          </cell>
          <cell r="B66">
            <v>0.64</v>
          </cell>
          <cell r="C66">
            <v>0.36</v>
          </cell>
        </row>
        <row r="67">
          <cell r="A67" t="str">
            <v>Georgia</v>
          </cell>
        </row>
        <row r="68">
          <cell r="A68" t="str">
            <v>Qatar</v>
          </cell>
        </row>
        <row r="69">
          <cell r="A69" t="str">
            <v>Belgium</v>
          </cell>
          <cell r="B69">
            <v>0.72</v>
          </cell>
          <cell r="C69">
            <v>0.28000000000000003</v>
          </cell>
        </row>
        <row r="70">
          <cell r="A70" t="str">
            <v>Guatemala</v>
          </cell>
        </row>
        <row r="71">
          <cell r="A71" t="str">
            <v>Turkey</v>
          </cell>
          <cell r="B71">
            <v>0.73</v>
          </cell>
          <cell r="C71">
            <v>0.27</v>
          </cell>
        </row>
        <row r="72">
          <cell r="A72" t="str">
            <v>Tanzania</v>
          </cell>
        </row>
        <row r="73">
          <cell r="A73" t="str">
            <v>Mexico</v>
          </cell>
          <cell r="B73">
            <v>0.6</v>
          </cell>
          <cell r="C73">
            <v>0.4</v>
          </cell>
        </row>
        <row r="74">
          <cell r="A74" t="str">
            <v>Venezuela</v>
          </cell>
        </row>
        <row r="75">
          <cell r="A75" t="str">
            <v>Lebanon</v>
          </cell>
        </row>
        <row r="76">
          <cell r="A76" t="str">
            <v>El Salvador</v>
          </cell>
        </row>
        <row r="77">
          <cell r="A77" t="str">
            <v>Ecuador</v>
          </cell>
          <cell r="B77">
            <v>0.46</v>
          </cell>
          <cell r="C77">
            <v>0.54</v>
          </cell>
        </row>
        <row r="78">
          <cell r="A78" t="str">
            <v>United Arab Emirates</v>
          </cell>
          <cell r="B78">
            <v>0.51</v>
          </cell>
          <cell r="C78">
            <v>0.49</v>
          </cell>
        </row>
        <row r="79">
          <cell r="A79" t="str">
            <v>Uzbekistan</v>
          </cell>
        </row>
        <row r="80">
          <cell r="A80" t="str">
            <v>Peru</v>
          </cell>
          <cell r="B80">
            <v>0.44</v>
          </cell>
          <cell r="C80">
            <v>0.56000000000000005</v>
          </cell>
        </row>
        <row r="81">
          <cell r="A81" t="str">
            <v>Poland</v>
          </cell>
          <cell r="B81">
            <v>0.75</v>
          </cell>
          <cell r="C81">
            <v>0.25</v>
          </cell>
        </row>
        <row r="82">
          <cell r="A82" t="str">
            <v>Italy</v>
          </cell>
          <cell r="B82">
            <v>0.84</v>
          </cell>
          <cell r="C82">
            <v>0.16</v>
          </cell>
        </row>
        <row r="83">
          <cell r="A83" t="str">
            <v>Indonesia</v>
          </cell>
          <cell r="B83">
            <v>0.83</v>
          </cell>
          <cell r="C83">
            <v>0.17</v>
          </cell>
        </row>
        <row r="84">
          <cell r="A84" t="str">
            <v>Colombia</v>
          </cell>
          <cell r="B84">
            <v>0.54</v>
          </cell>
          <cell r="C84">
            <v>0.46</v>
          </cell>
        </row>
        <row r="85">
          <cell r="A85" t="str">
            <v>Kazakhstan</v>
          </cell>
          <cell r="B85">
            <v>0.64</v>
          </cell>
          <cell r="C85">
            <v>0.36</v>
          </cell>
        </row>
        <row r="86">
          <cell r="A86" t="str">
            <v>Iran</v>
          </cell>
          <cell r="B86">
            <v>0.56000000000000005</v>
          </cell>
          <cell r="C86">
            <v>0.44</v>
          </cell>
        </row>
        <row r="87">
          <cell r="A87" t="str">
            <v>Nicaragua</v>
          </cell>
        </row>
        <row r="88">
          <cell r="A88" t="str">
            <v>Puerto Rico</v>
          </cell>
        </row>
        <row r="89">
          <cell r="A89" t="str">
            <v>Panama</v>
          </cell>
        </row>
        <row r="90">
          <cell r="A90" t="str">
            <v>Costa Rica</v>
          </cell>
        </row>
        <row r="91">
          <cell r="A91" t="str">
            <v>Vietnam</v>
          </cell>
          <cell r="B91">
            <v>0.6</v>
          </cell>
          <cell r="C91">
            <v>0.4</v>
          </cell>
        </row>
        <row r="92">
          <cell r="A92" t="str">
            <v>Morocco</v>
          </cell>
        </row>
        <row r="93">
          <cell r="A93" t="str">
            <v>Jordan</v>
          </cell>
        </row>
        <row r="94">
          <cell r="A94" t="str">
            <v>France</v>
          </cell>
          <cell r="B94">
            <v>0.74</v>
          </cell>
          <cell r="C94">
            <v>0.26</v>
          </cell>
        </row>
        <row r="95">
          <cell r="A95" t="str">
            <v>Egypt</v>
          </cell>
          <cell r="B95">
            <v>0.52</v>
          </cell>
          <cell r="C95">
            <v>0.48</v>
          </cell>
        </row>
        <row r="96">
          <cell r="A96" t="str">
            <v>Thailand</v>
          </cell>
          <cell r="B96">
            <v>0.64</v>
          </cell>
          <cell r="C96">
            <v>0.36</v>
          </cell>
        </row>
        <row r="97">
          <cell r="A97" t="str">
            <v>Spain</v>
          </cell>
          <cell r="B97">
            <v>0.7</v>
          </cell>
          <cell r="C97">
            <v>0.3</v>
          </cell>
        </row>
        <row r="98">
          <cell r="A98" t="str">
            <v>Algeria</v>
          </cell>
        </row>
        <row r="99">
          <cell r="A99" t="str">
            <v>Argentina</v>
          </cell>
          <cell r="B99">
            <v>0.45</v>
          </cell>
          <cell r="C99">
            <v>0.55000000000000004</v>
          </cell>
        </row>
        <row r="100">
          <cell r="A100" t="str">
            <v>Uruguay</v>
          </cell>
        </row>
        <row r="101">
          <cell r="A101" t="str">
            <v>Saudi Arabia</v>
          </cell>
          <cell r="B101">
            <v>0.55000000000000004</v>
          </cell>
          <cell r="C101">
            <v>0.45</v>
          </cell>
        </row>
        <row r="102">
          <cell r="A102" t="str">
            <v>Brazil</v>
          </cell>
          <cell r="B102">
            <v>0.67</v>
          </cell>
          <cell r="C102">
            <v>0.33</v>
          </cell>
        </row>
        <row r="103">
          <cell r="A103" t="str">
            <v>Chile</v>
          </cell>
          <cell r="B103">
            <v>0.52</v>
          </cell>
          <cell r="C103">
            <v>0.48</v>
          </cell>
        </row>
        <row r="104">
          <cell r="A104" t="str">
            <v>Iraq</v>
          </cell>
        </row>
        <row r="105">
          <cell r="A105" t="str">
            <v>Marshall Islands</v>
          </cell>
        </row>
        <row r="106">
          <cell r="A106" t="str">
            <v>Palau</v>
          </cell>
        </row>
        <row r="107">
          <cell r="A107" t="str">
            <v>Northern Mariana Islands</v>
          </cell>
        </row>
        <row r="108">
          <cell r="A108" t="str">
            <v>Tonga</v>
          </cell>
        </row>
        <row r="109">
          <cell r="A109" t="str">
            <v>Solomon Islands</v>
          </cell>
        </row>
        <row r="110">
          <cell r="A110" t="str">
            <v>Vanuatu</v>
          </cell>
        </row>
        <row r="111">
          <cell r="A111" t="str">
            <v>Samoa</v>
          </cell>
        </row>
        <row r="112">
          <cell r="A112" t="str">
            <v>St. Kitts &amp; Nevis</v>
          </cell>
        </row>
        <row r="113">
          <cell r="A113" t="str">
            <v>Ã…land Islands</v>
          </cell>
        </row>
        <row r="114">
          <cell r="A114" t="str">
            <v>Seychelles</v>
          </cell>
        </row>
        <row r="115">
          <cell r="A115" t="str">
            <v>Papua New Guinea</v>
          </cell>
        </row>
        <row r="116">
          <cell r="A116" t="str">
            <v>Liberia</v>
          </cell>
        </row>
        <row r="117">
          <cell r="A117" t="str">
            <v>Lesotho</v>
          </cell>
        </row>
        <row r="118">
          <cell r="A118" t="str">
            <v>Malta</v>
          </cell>
        </row>
        <row r="119">
          <cell r="A119" t="str">
            <v>Antigua &amp; Barbuda</v>
          </cell>
        </row>
        <row r="120">
          <cell r="A120" t="str">
            <v>St. Lucia</v>
          </cell>
        </row>
        <row r="121">
          <cell r="A121" t="str">
            <v>Bermuda</v>
          </cell>
        </row>
        <row r="122">
          <cell r="A122" t="str">
            <v>Isle of Man</v>
          </cell>
        </row>
        <row r="123">
          <cell r="A123" t="str">
            <v>Cuba</v>
          </cell>
        </row>
        <row r="124">
          <cell r="A124" t="str">
            <v>Zimbabwe</v>
          </cell>
        </row>
        <row r="125">
          <cell r="A125" t="str">
            <v>Aruba</v>
          </cell>
        </row>
        <row r="126">
          <cell r="A126" t="str">
            <v>North Macedonia</v>
          </cell>
        </row>
        <row r="127">
          <cell r="A127" t="str">
            <v>Myanmar (Burma)</v>
          </cell>
        </row>
        <row r="128">
          <cell r="A128" t="str">
            <v>CuraÃ§ao</v>
          </cell>
        </row>
        <row r="129">
          <cell r="A129" t="str">
            <v>Cyprus</v>
          </cell>
        </row>
        <row r="130">
          <cell r="A130" t="str">
            <v>Rwanda</v>
          </cell>
        </row>
        <row r="131">
          <cell r="A131" t="str">
            <v>Madagascar</v>
          </cell>
        </row>
        <row r="132">
          <cell r="A132" t="str">
            <v>Barbados</v>
          </cell>
        </row>
        <row r="133">
          <cell r="A133" t="str">
            <v>Luxembourg</v>
          </cell>
        </row>
        <row r="134">
          <cell r="A134" t="str">
            <v>Namibia</v>
          </cell>
        </row>
        <row r="135">
          <cell r="A135" t="str">
            <v>Turkmenistan</v>
          </cell>
        </row>
        <row r="136">
          <cell r="A136" t="str">
            <v>Benin</v>
          </cell>
        </row>
        <row r="137">
          <cell r="A137" t="str">
            <v>Malawi</v>
          </cell>
        </row>
        <row r="138">
          <cell r="A138" t="str">
            <v>Botswana</v>
          </cell>
        </row>
        <row r="139">
          <cell r="A139" t="str">
            <v>Cameroon</v>
          </cell>
        </row>
        <row r="140">
          <cell r="A140" t="str">
            <v>Cambodia</v>
          </cell>
        </row>
        <row r="141">
          <cell r="A141" t="str">
            <v>Brunei</v>
          </cell>
        </row>
        <row r="142">
          <cell r="A142" t="str">
            <v>Jersey</v>
          </cell>
        </row>
        <row r="143">
          <cell r="A143" t="str">
            <v>Afghanistan</v>
          </cell>
        </row>
        <row r="144">
          <cell r="A144" t="str">
            <v>Armenia</v>
          </cell>
        </row>
        <row r="145">
          <cell r="A145" t="str">
            <v>Uganda</v>
          </cell>
        </row>
        <row r="146">
          <cell r="A146" t="str">
            <v>Oman</v>
          </cell>
        </row>
        <row r="147">
          <cell r="A147" t="str">
            <v>Somalia</v>
          </cell>
        </row>
        <row r="148">
          <cell r="A148" t="str">
            <v>Trinidad &amp; Tobago</v>
          </cell>
        </row>
        <row r="149">
          <cell r="A149" t="str">
            <v>Angola</v>
          </cell>
        </row>
        <row r="150">
          <cell r="A150" t="str">
            <v>Mongolia</v>
          </cell>
        </row>
        <row r="151">
          <cell r="A151" t="str">
            <v>Sudan</v>
          </cell>
        </row>
        <row r="152">
          <cell r="A152" t="str">
            <v>Mali</v>
          </cell>
        </row>
        <row r="153">
          <cell r="A153" t="str">
            <v>Bahamas</v>
          </cell>
        </row>
        <row r="154">
          <cell r="A154" t="str">
            <v>Albania</v>
          </cell>
        </row>
        <row r="155">
          <cell r="A155" t="str">
            <v>Zambia</v>
          </cell>
        </row>
        <row r="156">
          <cell r="A156" t="str">
            <v>Burkina Faso</v>
          </cell>
        </row>
        <row r="157">
          <cell r="A157" t="str">
            <v>Palestine</v>
          </cell>
        </row>
        <row r="158">
          <cell r="A158" t="str">
            <v>Bahrain</v>
          </cell>
        </row>
        <row r="159">
          <cell r="A159" t="str">
            <v>Tajikistan</v>
          </cell>
        </row>
        <row r="160">
          <cell r="A160" t="str">
            <v>Azerbaijan</v>
          </cell>
        </row>
        <row r="161">
          <cell r="A161" t="str">
            <v>CÃ´te dâ€™Ivoire</v>
          </cell>
        </row>
        <row r="162">
          <cell r="A162" t="str">
            <v>Montenegro</v>
          </cell>
        </row>
        <row r="163">
          <cell r="A163" t="str">
            <v>Kosovo</v>
          </cell>
        </row>
        <row r="164">
          <cell r="A164" t="str">
            <v>Libya</v>
          </cell>
        </row>
        <row r="165">
          <cell r="A165" t="str">
            <v>Syria</v>
          </cell>
        </row>
        <row r="166">
          <cell r="A166" t="str">
            <v>Jamaica</v>
          </cell>
        </row>
        <row r="167">
          <cell r="A167" t="str">
            <v>Moldova</v>
          </cell>
        </row>
        <row r="168">
          <cell r="A168" t="str">
            <v>Laos</v>
          </cell>
        </row>
        <row r="169">
          <cell r="A169" t="str">
            <v>Mozambique</v>
          </cell>
        </row>
        <row r="170">
          <cell r="A170" t="str">
            <v>Congo - Kinshasa</v>
          </cell>
        </row>
        <row r="171">
          <cell r="A171" t="str">
            <v>Kyrgyzstan</v>
          </cell>
        </row>
        <row r="172">
          <cell r="A172" t="str">
            <v>Paraguay</v>
          </cell>
        </row>
        <row r="173">
          <cell r="A173" t="str">
            <v>Yemen</v>
          </cell>
        </row>
        <row r="174">
          <cell r="A174" t="str">
            <v>Anguilla</v>
          </cell>
        </row>
        <row r="175">
          <cell r="A175" t="str">
            <v>Andorra</v>
          </cell>
        </row>
        <row r="176">
          <cell r="A176" t="str">
            <v>American Samoa</v>
          </cell>
        </row>
        <row r="177">
          <cell r="A177" t="str">
            <v>Antarctica</v>
          </cell>
        </row>
        <row r="178">
          <cell r="A178" t="str">
            <v>French Southern Territories</v>
          </cell>
        </row>
        <row r="179">
          <cell r="A179" t="str">
            <v>Burundi</v>
          </cell>
        </row>
        <row r="180">
          <cell r="A180" t="str">
            <v>Caribbean Netherlands</v>
          </cell>
        </row>
        <row r="181">
          <cell r="A181" t="str">
            <v>St. BarthÃ©lemy</v>
          </cell>
        </row>
        <row r="182">
          <cell r="A182" t="str">
            <v>Belize</v>
          </cell>
        </row>
        <row r="183">
          <cell r="A183" t="str">
            <v>Bhutan</v>
          </cell>
        </row>
        <row r="184">
          <cell r="A184" t="str">
            <v>Bouvet Island</v>
          </cell>
        </row>
        <row r="185">
          <cell r="A185" t="str">
            <v>Central African Republic</v>
          </cell>
        </row>
        <row r="186">
          <cell r="A186" t="str">
            <v>Cocos (Keeling) Islands</v>
          </cell>
        </row>
        <row r="187">
          <cell r="A187" t="str">
            <v>Congo - Brazzaville</v>
          </cell>
        </row>
        <row r="188">
          <cell r="A188" t="str">
            <v>Cook Islands</v>
          </cell>
        </row>
        <row r="189">
          <cell r="A189" t="str">
            <v>Comoros</v>
          </cell>
        </row>
        <row r="190">
          <cell r="A190" t="str">
            <v>Cape Verde</v>
          </cell>
        </row>
        <row r="191">
          <cell r="A191" t="str">
            <v>Christmas Island</v>
          </cell>
        </row>
        <row r="192">
          <cell r="A192" t="str">
            <v>Cayman Islands</v>
          </cell>
        </row>
        <row r="193">
          <cell r="A193" t="str">
            <v>Djibouti</v>
          </cell>
        </row>
        <row r="194">
          <cell r="A194" t="str">
            <v>Dominica</v>
          </cell>
        </row>
        <row r="195">
          <cell r="A195" t="str">
            <v>Eritrea</v>
          </cell>
        </row>
        <row r="196">
          <cell r="A196" t="str">
            <v>Western Sahara</v>
          </cell>
        </row>
        <row r="197">
          <cell r="A197" t="str">
            <v>Falkland Islands (Islas Malvinas)</v>
          </cell>
        </row>
        <row r="198">
          <cell r="A198" t="str">
            <v>Faroe Islands</v>
          </cell>
        </row>
        <row r="199">
          <cell r="A199" t="str">
            <v>Gabon</v>
          </cell>
        </row>
        <row r="200">
          <cell r="A200" t="str">
            <v>Guernsey</v>
          </cell>
        </row>
        <row r="201">
          <cell r="A201" t="str">
            <v>Gibraltar</v>
          </cell>
        </row>
        <row r="202">
          <cell r="A202" t="str">
            <v>Guinea</v>
          </cell>
        </row>
        <row r="203">
          <cell r="A203" t="str">
            <v>Guadeloupe</v>
          </cell>
        </row>
        <row r="204">
          <cell r="A204" t="str">
            <v>Gambia</v>
          </cell>
        </row>
        <row r="205">
          <cell r="A205" t="str">
            <v>Guinea-Bissau</v>
          </cell>
        </row>
        <row r="206">
          <cell r="A206" t="str">
            <v>Equatorial Guinea</v>
          </cell>
        </row>
        <row r="207">
          <cell r="A207" t="str">
            <v>Grenada</v>
          </cell>
        </row>
        <row r="208">
          <cell r="A208" t="str">
            <v>Greenland</v>
          </cell>
        </row>
        <row r="209">
          <cell r="A209" t="str">
            <v>French Guiana</v>
          </cell>
        </row>
        <row r="210">
          <cell r="A210" t="str">
            <v>Guyana</v>
          </cell>
        </row>
        <row r="211">
          <cell r="A211" t="str">
            <v>Heard &amp; McDonald Islands</v>
          </cell>
        </row>
        <row r="212">
          <cell r="A212" t="str">
            <v>Haiti</v>
          </cell>
        </row>
        <row r="213">
          <cell r="A213" t="str">
            <v>British Indian Ocean Territory</v>
          </cell>
        </row>
        <row r="214">
          <cell r="A214" t="str">
            <v>Kiribati</v>
          </cell>
        </row>
        <row r="215">
          <cell r="A215" t="str">
            <v>Liechtenstein</v>
          </cell>
        </row>
        <row r="216">
          <cell r="A216" t="str">
            <v>St. Martin</v>
          </cell>
        </row>
        <row r="217">
          <cell r="A217" t="str">
            <v>Monaco</v>
          </cell>
        </row>
        <row r="218">
          <cell r="A218" t="str">
            <v>Mauritania</v>
          </cell>
        </row>
        <row r="219">
          <cell r="A219" t="str">
            <v>Montserrat</v>
          </cell>
        </row>
        <row r="220">
          <cell r="A220" t="str">
            <v>Martinique</v>
          </cell>
        </row>
        <row r="221">
          <cell r="A221" t="str">
            <v>Mayotte</v>
          </cell>
        </row>
        <row r="222">
          <cell r="A222" t="str">
            <v>New Caledonia</v>
          </cell>
        </row>
        <row r="223">
          <cell r="A223" t="str">
            <v>Niger</v>
          </cell>
        </row>
        <row r="224">
          <cell r="A224" t="str">
            <v>Norfolk Island</v>
          </cell>
        </row>
        <row r="225">
          <cell r="A225" t="str">
            <v>Niue</v>
          </cell>
        </row>
        <row r="226">
          <cell r="A226" t="str">
            <v>Nauru</v>
          </cell>
        </row>
        <row r="227">
          <cell r="A227" t="str">
            <v>Pitcairn Islands</v>
          </cell>
        </row>
        <row r="228">
          <cell r="A228" t="str">
            <v>North Korea</v>
          </cell>
        </row>
        <row r="229">
          <cell r="A229" t="str">
            <v>French Polynesia</v>
          </cell>
        </row>
        <row r="230">
          <cell r="A230" t="str">
            <v>RÃ©union</v>
          </cell>
        </row>
        <row r="231">
          <cell r="A231" t="str">
            <v>Senegal</v>
          </cell>
        </row>
        <row r="232">
          <cell r="A232" t="str">
            <v>South Georgia &amp; South Sandwich Islands</v>
          </cell>
        </row>
        <row r="233">
          <cell r="A233" t="str">
            <v>Svalbard &amp; Jan Mayen</v>
          </cell>
        </row>
        <row r="234">
          <cell r="A234" t="str">
            <v>Sierra Leone</v>
          </cell>
        </row>
        <row r="235">
          <cell r="A235" t="str">
            <v>San Marino</v>
          </cell>
        </row>
        <row r="236">
          <cell r="A236" t="str">
            <v>St. Pierre &amp; Miquelon</v>
          </cell>
        </row>
        <row r="237">
          <cell r="A237" t="str">
            <v>South Sudan</v>
          </cell>
        </row>
        <row r="238">
          <cell r="A238" t="str">
            <v>SÃ£o TomÃ© &amp; PrÃ­ncipe</v>
          </cell>
        </row>
        <row r="239">
          <cell r="A239" t="str">
            <v>Suriname</v>
          </cell>
        </row>
        <row r="240">
          <cell r="A240" t="str">
            <v>Eswatini</v>
          </cell>
        </row>
        <row r="241">
          <cell r="A241" t="str">
            <v>Sint Maarten</v>
          </cell>
        </row>
        <row r="242">
          <cell r="A242" t="str">
            <v>Turks &amp; Caicos Islands</v>
          </cell>
        </row>
        <row r="243">
          <cell r="A243" t="str">
            <v>Chad</v>
          </cell>
        </row>
        <row r="244">
          <cell r="A244" t="str">
            <v>Togo</v>
          </cell>
        </row>
        <row r="245">
          <cell r="A245" t="str">
            <v>Tokelau</v>
          </cell>
        </row>
        <row r="246">
          <cell r="A246" t="str">
            <v>Timor-Leste</v>
          </cell>
        </row>
        <row r="247">
          <cell r="A247" t="str">
            <v>Tuvalu</v>
          </cell>
        </row>
        <row r="248">
          <cell r="A248" t="str">
            <v>U.S. Outlying Islands</v>
          </cell>
        </row>
        <row r="249">
          <cell r="A249" t="str">
            <v>Vatican City</v>
          </cell>
        </row>
        <row r="250">
          <cell r="A250" t="str">
            <v>St. Vincent &amp; Grenadines</v>
          </cell>
        </row>
        <row r="251">
          <cell r="A251" t="str">
            <v>British Virgin Islands</v>
          </cell>
        </row>
        <row r="252">
          <cell r="A252" t="str">
            <v>U.S. Virgin Islands</v>
          </cell>
        </row>
        <row r="253">
          <cell r="A253" t="str">
            <v>Wallis &amp; Futuna</v>
          </cell>
        </row>
      </sheetData>
    </sheetDataSet>
  </externalBook>
</externalLink>
</file>

<file path=xl/externalLinks/externalLink1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15)"/>
    </sheetNames>
    <sheetDataSet>
      <sheetData sheetId="0" refreshError="1">
        <row r="1">
          <cell r="A1" t="str">
            <v>Category: All categories</v>
          </cell>
        </row>
        <row r="3">
          <cell r="A3" t="str">
            <v>Country</v>
          </cell>
          <cell r="B3" t="str">
            <v>Finite-state machine: (2018)</v>
          </cell>
          <cell r="C3" t="str">
            <v>Gradient descent: (2018)</v>
          </cell>
        </row>
        <row r="4">
          <cell r="A4" t="str">
            <v>Micronesia</v>
          </cell>
          <cell r="B4">
            <v>1</v>
          </cell>
        </row>
        <row r="5">
          <cell r="A5" t="str">
            <v>Guam</v>
          </cell>
          <cell r="B5">
            <v>1</v>
          </cell>
        </row>
        <row r="6">
          <cell r="A6" t="str">
            <v>China</v>
          </cell>
          <cell r="B6">
            <v>0.41</v>
          </cell>
          <cell r="C6">
            <v>0.59</v>
          </cell>
        </row>
        <row r="7">
          <cell r="A7" t="str">
            <v>Fiji</v>
          </cell>
        </row>
        <row r="8">
          <cell r="A8" t="str">
            <v>Maldives</v>
          </cell>
          <cell r="B8">
            <v>1</v>
          </cell>
        </row>
        <row r="9">
          <cell r="A9" t="str">
            <v>Singapore</v>
          </cell>
          <cell r="B9">
            <v>0.83</v>
          </cell>
          <cell r="C9">
            <v>0.17</v>
          </cell>
        </row>
        <row r="10">
          <cell r="A10" t="str">
            <v>Macao</v>
          </cell>
          <cell r="B10">
            <v>1</v>
          </cell>
        </row>
        <row r="11">
          <cell r="A11" t="str">
            <v>Israel</v>
          </cell>
          <cell r="B11">
            <v>0.82</v>
          </cell>
          <cell r="C11">
            <v>0.18</v>
          </cell>
        </row>
        <row r="12">
          <cell r="A12" t="str">
            <v>St. Helena</v>
          </cell>
          <cell r="B12">
            <v>0.67</v>
          </cell>
          <cell r="C12">
            <v>0.33</v>
          </cell>
        </row>
        <row r="13">
          <cell r="A13" t="str">
            <v>South Korea</v>
          </cell>
          <cell r="B13">
            <v>0.54</v>
          </cell>
          <cell r="C13">
            <v>0.46</v>
          </cell>
        </row>
        <row r="14">
          <cell r="A14" t="str">
            <v>Hong Kong</v>
          </cell>
          <cell r="B14">
            <v>0.64</v>
          </cell>
          <cell r="C14">
            <v>0.36</v>
          </cell>
        </row>
        <row r="15">
          <cell r="A15" t="str">
            <v>Iceland</v>
          </cell>
        </row>
        <row r="16">
          <cell r="A16" t="str">
            <v>New Zealand</v>
          </cell>
          <cell r="B16">
            <v>0.91</v>
          </cell>
          <cell r="C16">
            <v>0.09</v>
          </cell>
        </row>
        <row r="17">
          <cell r="A17" t="str">
            <v>Ethiopia</v>
          </cell>
        </row>
        <row r="18">
          <cell r="A18" t="str">
            <v>Pakistan</v>
          </cell>
          <cell r="B18">
            <v>0.74</v>
          </cell>
          <cell r="C18">
            <v>0.26</v>
          </cell>
        </row>
        <row r="19">
          <cell r="A19" t="str">
            <v>Malaysia</v>
          </cell>
          <cell r="B19">
            <v>0.89</v>
          </cell>
          <cell r="C19">
            <v>0.11</v>
          </cell>
        </row>
        <row r="20">
          <cell r="A20" t="str">
            <v>Tunisia</v>
          </cell>
          <cell r="B20">
            <v>1</v>
          </cell>
        </row>
        <row r="21">
          <cell r="A21" t="str">
            <v>Taiwan</v>
          </cell>
          <cell r="B21">
            <v>0.61</v>
          </cell>
          <cell r="C21">
            <v>0.39</v>
          </cell>
        </row>
        <row r="22">
          <cell r="A22" t="str">
            <v>Slovenia</v>
          </cell>
          <cell r="B22">
            <v>1</v>
          </cell>
        </row>
        <row r="23">
          <cell r="A23" t="str">
            <v>Nepal</v>
          </cell>
        </row>
        <row r="24">
          <cell r="A24" t="str">
            <v>United States</v>
          </cell>
          <cell r="B24">
            <v>0.7</v>
          </cell>
          <cell r="C24">
            <v>0.3</v>
          </cell>
        </row>
        <row r="25">
          <cell r="A25" t="str">
            <v>Australia</v>
          </cell>
          <cell r="B25">
            <v>0.79</v>
          </cell>
          <cell r="C25">
            <v>0.21</v>
          </cell>
        </row>
        <row r="26">
          <cell r="A26" t="str">
            <v>India</v>
          </cell>
          <cell r="B26">
            <v>0.7</v>
          </cell>
          <cell r="C26">
            <v>0.3</v>
          </cell>
        </row>
        <row r="27">
          <cell r="A27" t="str">
            <v>United Kingdom</v>
          </cell>
          <cell r="B27">
            <v>0.79</v>
          </cell>
          <cell r="C27">
            <v>0.21</v>
          </cell>
        </row>
        <row r="28">
          <cell r="A28" t="str">
            <v>Canada</v>
          </cell>
          <cell r="B28">
            <v>0.69</v>
          </cell>
          <cell r="C28">
            <v>0.31</v>
          </cell>
        </row>
        <row r="29">
          <cell r="A29" t="str">
            <v>Ireland</v>
          </cell>
          <cell r="B29">
            <v>0.69</v>
          </cell>
          <cell r="C29">
            <v>0.31</v>
          </cell>
        </row>
        <row r="30">
          <cell r="A30" t="str">
            <v>Switzerland</v>
          </cell>
          <cell r="B30">
            <v>0.63</v>
          </cell>
          <cell r="C30">
            <v>0.37</v>
          </cell>
        </row>
        <row r="31">
          <cell r="A31" t="str">
            <v>Sri Lanka</v>
          </cell>
          <cell r="B31">
            <v>1</v>
          </cell>
        </row>
        <row r="32">
          <cell r="A32" t="str">
            <v>Croatia</v>
          </cell>
          <cell r="B32">
            <v>1</v>
          </cell>
        </row>
        <row r="33">
          <cell r="A33" t="str">
            <v>Germany</v>
          </cell>
          <cell r="B33">
            <v>0.69</v>
          </cell>
          <cell r="C33">
            <v>0.31</v>
          </cell>
        </row>
        <row r="34">
          <cell r="A34" t="str">
            <v>Belarus</v>
          </cell>
          <cell r="B34">
            <v>0.77</v>
          </cell>
          <cell r="C34">
            <v>0.23</v>
          </cell>
        </row>
        <row r="35">
          <cell r="A35" t="str">
            <v>Norway</v>
          </cell>
          <cell r="B35">
            <v>0.8</v>
          </cell>
          <cell r="C35">
            <v>0.2</v>
          </cell>
        </row>
        <row r="36">
          <cell r="A36" t="str">
            <v>Russia</v>
          </cell>
          <cell r="B36">
            <v>0.73</v>
          </cell>
          <cell r="C36">
            <v>0.27</v>
          </cell>
        </row>
        <row r="37">
          <cell r="A37" t="str">
            <v>Romania</v>
          </cell>
          <cell r="B37">
            <v>0.87</v>
          </cell>
          <cell r="C37">
            <v>0.13</v>
          </cell>
        </row>
        <row r="38">
          <cell r="A38" t="str">
            <v>Finland</v>
          </cell>
          <cell r="B38">
            <v>0.72</v>
          </cell>
          <cell r="C38">
            <v>0.28000000000000003</v>
          </cell>
        </row>
        <row r="39">
          <cell r="A39" t="str">
            <v>Georgia</v>
          </cell>
        </row>
        <row r="40">
          <cell r="A40" t="str">
            <v>Bulgaria</v>
          </cell>
          <cell r="B40">
            <v>1</v>
          </cell>
        </row>
        <row r="41">
          <cell r="A41" t="str">
            <v>Mauritius</v>
          </cell>
        </row>
        <row r="42">
          <cell r="A42" t="str">
            <v>Denmark</v>
          </cell>
          <cell r="B42">
            <v>0.7</v>
          </cell>
          <cell r="C42">
            <v>0.3</v>
          </cell>
        </row>
        <row r="43">
          <cell r="A43" t="str">
            <v>Ghana</v>
          </cell>
        </row>
        <row r="44">
          <cell r="A44" t="str">
            <v>Austria</v>
          </cell>
          <cell r="B44">
            <v>0.7</v>
          </cell>
          <cell r="C44">
            <v>0.3</v>
          </cell>
        </row>
        <row r="45">
          <cell r="A45" t="str">
            <v>Kenya</v>
          </cell>
          <cell r="B45">
            <v>1</v>
          </cell>
        </row>
        <row r="46">
          <cell r="A46" t="str">
            <v>Portugal</v>
          </cell>
          <cell r="B46">
            <v>0.75</v>
          </cell>
          <cell r="C46">
            <v>0.25</v>
          </cell>
        </row>
        <row r="47">
          <cell r="A47" t="str">
            <v>Hungary</v>
          </cell>
          <cell r="B47">
            <v>1</v>
          </cell>
        </row>
        <row r="48">
          <cell r="A48" t="str">
            <v>Serbia</v>
          </cell>
          <cell r="B48">
            <v>1</v>
          </cell>
        </row>
        <row r="49">
          <cell r="A49" t="str">
            <v>Estonia</v>
          </cell>
        </row>
        <row r="50">
          <cell r="A50" t="str">
            <v>Czechia</v>
          </cell>
          <cell r="B50">
            <v>0.83</v>
          </cell>
          <cell r="C50">
            <v>0.17</v>
          </cell>
        </row>
        <row r="51">
          <cell r="A51" t="str">
            <v>Ukraine</v>
          </cell>
          <cell r="B51">
            <v>0.82</v>
          </cell>
          <cell r="C51">
            <v>0.18</v>
          </cell>
        </row>
        <row r="52">
          <cell r="A52" t="str">
            <v>Netherlands</v>
          </cell>
          <cell r="B52">
            <v>0.62</v>
          </cell>
          <cell r="C52">
            <v>0.38</v>
          </cell>
        </row>
        <row r="53">
          <cell r="A53" t="str">
            <v>Sweden</v>
          </cell>
          <cell r="B53">
            <v>0.69</v>
          </cell>
          <cell r="C53">
            <v>0.31</v>
          </cell>
        </row>
        <row r="54">
          <cell r="A54" t="str">
            <v>South Africa</v>
          </cell>
          <cell r="B54">
            <v>0.82</v>
          </cell>
          <cell r="C54">
            <v>0.18</v>
          </cell>
        </row>
        <row r="55">
          <cell r="A55" t="str">
            <v>Slovakia</v>
          </cell>
          <cell r="B55">
            <v>1</v>
          </cell>
        </row>
        <row r="56">
          <cell r="A56" t="str">
            <v>Nigeria</v>
          </cell>
          <cell r="B56">
            <v>1</v>
          </cell>
        </row>
        <row r="57">
          <cell r="A57" t="str">
            <v>Greece</v>
          </cell>
          <cell r="B57">
            <v>0.7</v>
          </cell>
          <cell r="C57">
            <v>0.3</v>
          </cell>
        </row>
        <row r="58">
          <cell r="A58" t="str">
            <v>Guatemala</v>
          </cell>
        </row>
        <row r="59">
          <cell r="A59" t="str">
            <v>Kuwait</v>
          </cell>
        </row>
        <row r="60">
          <cell r="A60" t="str">
            <v>Latvia</v>
          </cell>
        </row>
        <row r="61">
          <cell r="A61" t="str">
            <v>Lithuania</v>
          </cell>
        </row>
        <row r="62">
          <cell r="A62" t="str">
            <v>Bangladesh</v>
          </cell>
          <cell r="B62">
            <v>0.73</v>
          </cell>
          <cell r="C62">
            <v>0.27</v>
          </cell>
        </row>
        <row r="63">
          <cell r="A63" t="str">
            <v>Philippines</v>
          </cell>
          <cell r="B63">
            <v>0.81</v>
          </cell>
          <cell r="C63">
            <v>0.19</v>
          </cell>
        </row>
        <row r="64">
          <cell r="A64" t="str">
            <v>Laos</v>
          </cell>
        </row>
        <row r="65">
          <cell r="A65" t="str">
            <v>Belgium</v>
          </cell>
          <cell r="B65">
            <v>0.7</v>
          </cell>
          <cell r="C65">
            <v>0.3</v>
          </cell>
        </row>
        <row r="66">
          <cell r="A66" t="str">
            <v>Kazakhstan</v>
          </cell>
          <cell r="B66">
            <v>0.73</v>
          </cell>
          <cell r="C66">
            <v>0.27</v>
          </cell>
        </row>
        <row r="67">
          <cell r="A67" t="str">
            <v>Turkey</v>
          </cell>
          <cell r="B67">
            <v>0.82</v>
          </cell>
          <cell r="C67">
            <v>0.18</v>
          </cell>
        </row>
        <row r="68">
          <cell r="A68" t="str">
            <v>Japan</v>
          </cell>
          <cell r="B68">
            <v>0.7</v>
          </cell>
          <cell r="C68">
            <v>0.3</v>
          </cell>
        </row>
        <row r="69">
          <cell r="A69" t="str">
            <v>Lebanon</v>
          </cell>
        </row>
        <row r="70">
          <cell r="A70" t="str">
            <v>Mexico</v>
          </cell>
          <cell r="B70">
            <v>0.88</v>
          </cell>
          <cell r="C70">
            <v>0.12</v>
          </cell>
        </row>
        <row r="71">
          <cell r="A71" t="str">
            <v>Bolivia</v>
          </cell>
        </row>
        <row r="72">
          <cell r="A72" t="str">
            <v>Costa Rica</v>
          </cell>
        </row>
        <row r="73">
          <cell r="A73" t="str">
            <v>Bosnia &amp; Herzegovina</v>
          </cell>
        </row>
        <row r="74">
          <cell r="A74" t="str">
            <v>Poland</v>
          </cell>
          <cell r="B74">
            <v>0.74</v>
          </cell>
          <cell r="C74">
            <v>0.26</v>
          </cell>
        </row>
        <row r="75">
          <cell r="A75" t="str">
            <v>United Arab Emirates</v>
          </cell>
          <cell r="B75">
            <v>1</v>
          </cell>
        </row>
        <row r="76">
          <cell r="A76" t="str">
            <v>Indonesia</v>
          </cell>
          <cell r="B76">
            <v>0.89</v>
          </cell>
          <cell r="C76">
            <v>0.11</v>
          </cell>
        </row>
        <row r="77">
          <cell r="A77" t="str">
            <v>Italy</v>
          </cell>
          <cell r="B77">
            <v>0.71</v>
          </cell>
          <cell r="C77">
            <v>0.28999999999999998</v>
          </cell>
        </row>
        <row r="78">
          <cell r="A78" t="str">
            <v>Egypt</v>
          </cell>
          <cell r="B78">
            <v>0.75</v>
          </cell>
          <cell r="C78">
            <v>0.25</v>
          </cell>
        </row>
        <row r="79">
          <cell r="A79" t="str">
            <v>Colombia</v>
          </cell>
          <cell r="B79">
            <v>0.82</v>
          </cell>
          <cell r="C79">
            <v>0.18</v>
          </cell>
        </row>
        <row r="80">
          <cell r="A80" t="str">
            <v>Ecuador</v>
          </cell>
          <cell r="B80">
            <v>1</v>
          </cell>
        </row>
        <row r="81">
          <cell r="A81" t="str">
            <v>Tanzania</v>
          </cell>
        </row>
        <row r="82">
          <cell r="A82" t="str">
            <v>Iran</v>
          </cell>
          <cell r="B82">
            <v>0.62</v>
          </cell>
          <cell r="C82">
            <v>0.38</v>
          </cell>
        </row>
        <row r="83">
          <cell r="A83" t="str">
            <v>Vietnam</v>
          </cell>
          <cell r="B83">
            <v>0.71</v>
          </cell>
          <cell r="C83">
            <v>0.28999999999999998</v>
          </cell>
        </row>
        <row r="84">
          <cell r="A84" t="str">
            <v>El Salvador</v>
          </cell>
        </row>
        <row r="85">
          <cell r="A85" t="str">
            <v>Jordan</v>
          </cell>
        </row>
        <row r="86">
          <cell r="A86" t="str">
            <v>France</v>
          </cell>
          <cell r="B86">
            <v>0.53</v>
          </cell>
          <cell r="C86">
            <v>0.47</v>
          </cell>
        </row>
        <row r="87">
          <cell r="A87" t="str">
            <v>Algeria</v>
          </cell>
        </row>
        <row r="88">
          <cell r="A88" t="str">
            <v>Saudi Arabia</v>
          </cell>
          <cell r="B88">
            <v>0.72</v>
          </cell>
          <cell r="C88">
            <v>0.28000000000000003</v>
          </cell>
        </row>
        <row r="89">
          <cell r="A89" t="str">
            <v>Thailand</v>
          </cell>
          <cell r="B89">
            <v>0.74</v>
          </cell>
          <cell r="C89">
            <v>0.26</v>
          </cell>
        </row>
        <row r="90">
          <cell r="A90" t="str">
            <v>Argentina</v>
          </cell>
          <cell r="B90">
            <v>1</v>
          </cell>
        </row>
        <row r="91">
          <cell r="A91" t="str">
            <v>Peru</v>
          </cell>
          <cell r="B91">
            <v>1</v>
          </cell>
        </row>
        <row r="92">
          <cell r="A92" t="str">
            <v>Morocco</v>
          </cell>
          <cell r="B92">
            <v>0.66</v>
          </cell>
          <cell r="C92">
            <v>0.34</v>
          </cell>
        </row>
        <row r="93">
          <cell r="A93" t="str">
            <v>Spain</v>
          </cell>
          <cell r="B93">
            <v>0.69</v>
          </cell>
          <cell r="C93">
            <v>0.31</v>
          </cell>
        </row>
        <row r="94">
          <cell r="A94" t="str">
            <v>Brazil</v>
          </cell>
          <cell r="B94">
            <v>0.79</v>
          </cell>
          <cell r="C94">
            <v>0.21</v>
          </cell>
        </row>
        <row r="95">
          <cell r="A95" t="str">
            <v>Chile</v>
          </cell>
          <cell r="B95">
            <v>0.71</v>
          </cell>
          <cell r="C95">
            <v>0.28999999999999998</v>
          </cell>
        </row>
        <row r="96">
          <cell r="A96" t="str">
            <v>Iraq</v>
          </cell>
        </row>
        <row r="97">
          <cell r="A97" t="str">
            <v>Uzbekistan</v>
          </cell>
        </row>
        <row r="98">
          <cell r="A98" t="str">
            <v>Venezuela</v>
          </cell>
        </row>
        <row r="99">
          <cell r="A99" t="str">
            <v>Marshall Islands</v>
          </cell>
        </row>
        <row r="100">
          <cell r="A100" t="str">
            <v>Palau</v>
          </cell>
        </row>
        <row r="101">
          <cell r="A101" t="str">
            <v>Northern Mariana Islands</v>
          </cell>
        </row>
        <row r="102">
          <cell r="A102" t="str">
            <v>Vanuatu</v>
          </cell>
        </row>
        <row r="103">
          <cell r="A103" t="str">
            <v>Samoa</v>
          </cell>
        </row>
        <row r="104">
          <cell r="A104" t="str">
            <v>St. Kitts &amp; Nevis</v>
          </cell>
        </row>
        <row r="105">
          <cell r="A105" t="str">
            <v>Ã…land Islands</v>
          </cell>
        </row>
        <row r="106">
          <cell r="A106" t="str">
            <v>Seychelles</v>
          </cell>
        </row>
        <row r="107">
          <cell r="A107" t="str">
            <v>Papua New Guinea</v>
          </cell>
        </row>
        <row r="108">
          <cell r="A108" t="str">
            <v>Liberia</v>
          </cell>
        </row>
        <row r="109">
          <cell r="A109" t="str">
            <v>Lesotho</v>
          </cell>
        </row>
        <row r="110">
          <cell r="A110" t="str">
            <v>U.S. Virgin Islands</v>
          </cell>
        </row>
        <row r="111">
          <cell r="A111" t="str">
            <v>Monaco</v>
          </cell>
        </row>
        <row r="112">
          <cell r="A112" t="str">
            <v>Malta</v>
          </cell>
        </row>
        <row r="113">
          <cell r="A113" t="str">
            <v>Belize</v>
          </cell>
        </row>
        <row r="114">
          <cell r="A114" t="str">
            <v>Antigua &amp; Barbuda</v>
          </cell>
        </row>
        <row r="115">
          <cell r="A115" t="str">
            <v>Burundi</v>
          </cell>
        </row>
        <row r="116">
          <cell r="A116" t="str">
            <v>Bermuda</v>
          </cell>
        </row>
        <row r="117">
          <cell r="A117" t="str">
            <v>Zimbabwe</v>
          </cell>
        </row>
        <row r="118">
          <cell r="A118" t="str">
            <v>Bhutan</v>
          </cell>
        </row>
        <row r="119">
          <cell r="A119" t="str">
            <v>Cape Verde</v>
          </cell>
        </row>
        <row r="120">
          <cell r="A120" t="str">
            <v>Barbados</v>
          </cell>
        </row>
        <row r="121">
          <cell r="A121" t="str">
            <v>Aruba</v>
          </cell>
        </row>
        <row r="122">
          <cell r="A122" t="str">
            <v>Turkmenistan</v>
          </cell>
        </row>
        <row r="123">
          <cell r="A123" t="str">
            <v>CuraÃ§ao</v>
          </cell>
        </row>
        <row r="124">
          <cell r="A124" t="str">
            <v>French Guiana</v>
          </cell>
        </row>
        <row r="125">
          <cell r="A125" t="str">
            <v>Isle of Man</v>
          </cell>
        </row>
        <row r="126">
          <cell r="A126" t="str">
            <v>Cuba</v>
          </cell>
        </row>
        <row r="127">
          <cell r="A127" t="str">
            <v>Namibia</v>
          </cell>
        </row>
        <row r="128">
          <cell r="A128" t="str">
            <v>Myanmar (Burma)</v>
          </cell>
        </row>
        <row r="129">
          <cell r="A129" t="str">
            <v>Luxembourg</v>
          </cell>
        </row>
        <row r="130">
          <cell r="A130" t="str">
            <v>Madagascar</v>
          </cell>
        </row>
        <row r="131">
          <cell r="A131" t="str">
            <v>New Caledonia</v>
          </cell>
        </row>
        <row r="132">
          <cell r="A132" t="str">
            <v>Malawi</v>
          </cell>
        </row>
        <row r="133">
          <cell r="A133" t="str">
            <v>Botswana</v>
          </cell>
        </row>
        <row r="134">
          <cell r="A134" t="str">
            <v>Cameroon</v>
          </cell>
        </row>
        <row r="135">
          <cell r="A135" t="str">
            <v>Jersey</v>
          </cell>
        </row>
        <row r="136">
          <cell r="A136" t="str">
            <v>Gabon</v>
          </cell>
        </row>
        <row r="137">
          <cell r="A137" t="str">
            <v>Armenia</v>
          </cell>
        </row>
        <row r="138">
          <cell r="A138" t="str">
            <v>Trinidad &amp; Tobago</v>
          </cell>
        </row>
        <row r="139">
          <cell r="A139" t="str">
            <v>Guyana</v>
          </cell>
        </row>
        <row r="140">
          <cell r="A140" t="str">
            <v>North Macedonia</v>
          </cell>
        </row>
        <row r="141">
          <cell r="A141" t="str">
            <v>Angola</v>
          </cell>
        </row>
        <row r="142">
          <cell r="A142" t="str">
            <v>Mozambique</v>
          </cell>
        </row>
        <row r="143">
          <cell r="A143" t="str">
            <v>Suriname</v>
          </cell>
        </row>
        <row r="144">
          <cell r="A144" t="str">
            <v>Cyprus</v>
          </cell>
        </row>
        <row r="145">
          <cell r="A145" t="str">
            <v>Tajikistan</v>
          </cell>
        </row>
        <row r="146">
          <cell r="A146" t="str">
            <v>Benin</v>
          </cell>
        </row>
        <row r="147">
          <cell r="A147" t="str">
            <v>Oman</v>
          </cell>
        </row>
        <row r="148">
          <cell r="A148" t="str">
            <v>Somalia</v>
          </cell>
        </row>
        <row r="149">
          <cell r="A149" t="str">
            <v>Albania</v>
          </cell>
        </row>
        <row r="150">
          <cell r="A150" t="str">
            <v>Zambia</v>
          </cell>
        </row>
        <row r="151">
          <cell r="A151" t="str">
            <v>Sudan</v>
          </cell>
        </row>
        <row r="152">
          <cell r="A152" t="str">
            <v>Palestine</v>
          </cell>
        </row>
        <row r="153">
          <cell r="A153" t="str">
            <v>Mali</v>
          </cell>
        </row>
        <row r="154">
          <cell r="A154" t="str">
            <v>Puerto Rico</v>
          </cell>
        </row>
        <row r="155">
          <cell r="A155" t="str">
            <v>Moldova</v>
          </cell>
        </row>
        <row r="156">
          <cell r="A156" t="str">
            <v>Burkina Faso</v>
          </cell>
        </row>
        <row r="157">
          <cell r="A157" t="str">
            <v>Brunei</v>
          </cell>
        </row>
        <row r="158">
          <cell r="A158" t="str">
            <v>Afghanistan</v>
          </cell>
        </row>
        <row r="159">
          <cell r="A159" t="str">
            <v>Qatar</v>
          </cell>
        </row>
        <row r="160">
          <cell r="A160" t="str">
            <v>Uganda</v>
          </cell>
        </row>
        <row r="161">
          <cell r="A161" t="str">
            <v>Cambodia</v>
          </cell>
        </row>
        <row r="162">
          <cell r="A162" t="str">
            <v>Yemen</v>
          </cell>
        </row>
        <row r="163">
          <cell r="A163" t="str">
            <v>Paraguay</v>
          </cell>
        </row>
        <row r="164">
          <cell r="A164" t="str">
            <v>Kosovo</v>
          </cell>
        </row>
        <row r="165">
          <cell r="A165" t="str">
            <v>Montenegro</v>
          </cell>
        </row>
        <row r="166">
          <cell r="A166" t="str">
            <v>Honduras</v>
          </cell>
        </row>
        <row r="167">
          <cell r="A167" t="str">
            <v>Jamaica</v>
          </cell>
        </row>
        <row r="168">
          <cell r="A168" t="str">
            <v>Panama</v>
          </cell>
        </row>
        <row r="169">
          <cell r="A169" t="str">
            <v>Azerbaijan</v>
          </cell>
        </row>
        <row r="170">
          <cell r="A170" t="str">
            <v>Congo - Kinshasa</v>
          </cell>
        </row>
        <row r="171">
          <cell r="A171" t="str">
            <v>Uruguay</v>
          </cell>
        </row>
        <row r="172">
          <cell r="A172" t="str">
            <v>Kyrgyzstan</v>
          </cell>
        </row>
        <row r="173">
          <cell r="A173" t="str">
            <v>Bahrain</v>
          </cell>
        </row>
        <row r="174">
          <cell r="A174" t="str">
            <v>Libya</v>
          </cell>
        </row>
        <row r="175">
          <cell r="A175" t="str">
            <v>Syria</v>
          </cell>
        </row>
        <row r="176">
          <cell r="A176" t="str">
            <v>Nicaragua</v>
          </cell>
        </row>
        <row r="177">
          <cell r="A177" t="str">
            <v>CÃ´te dâ€™Ivoire</v>
          </cell>
        </row>
        <row r="178">
          <cell r="A178" t="str">
            <v>Dominican Republic</v>
          </cell>
        </row>
        <row r="179">
          <cell r="A179" t="str">
            <v>Anguilla</v>
          </cell>
        </row>
        <row r="180">
          <cell r="A180" t="str">
            <v>Andorra</v>
          </cell>
        </row>
        <row r="181">
          <cell r="A181" t="str">
            <v>American Samoa</v>
          </cell>
        </row>
        <row r="182">
          <cell r="A182" t="str">
            <v>Antarctica</v>
          </cell>
        </row>
        <row r="183">
          <cell r="A183" t="str">
            <v>French Southern Territories</v>
          </cell>
        </row>
        <row r="184">
          <cell r="A184" t="str">
            <v>Caribbean Netherlands</v>
          </cell>
        </row>
        <row r="185">
          <cell r="A185" t="str">
            <v>Bahamas</v>
          </cell>
        </row>
        <row r="186">
          <cell r="A186" t="str">
            <v>St. BarthÃ©lemy</v>
          </cell>
        </row>
        <row r="187">
          <cell r="A187" t="str">
            <v>Bouvet Island</v>
          </cell>
        </row>
        <row r="188">
          <cell r="A188" t="str">
            <v>Central African Republic</v>
          </cell>
        </row>
        <row r="189">
          <cell r="A189" t="str">
            <v>Cocos (Keeling) Islands</v>
          </cell>
        </row>
        <row r="190">
          <cell r="A190" t="str">
            <v>Congo - Brazzaville</v>
          </cell>
        </row>
        <row r="191">
          <cell r="A191" t="str">
            <v>Cook Islands</v>
          </cell>
        </row>
        <row r="192">
          <cell r="A192" t="str">
            <v>Comoros</v>
          </cell>
        </row>
        <row r="193">
          <cell r="A193" t="str">
            <v>Christmas Island</v>
          </cell>
        </row>
        <row r="194">
          <cell r="A194" t="str">
            <v>Cayman Islands</v>
          </cell>
        </row>
        <row r="195">
          <cell r="A195" t="str">
            <v>Djibouti</v>
          </cell>
        </row>
        <row r="196">
          <cell r="A196" t="str">
            <v>Dominica</v>
          </cell>
        </row>
        <row r="197">
          <cell r="A197" t="str">
            <v>Eritrea</v>
          </cell>
        </row>
        <row r="198">
          <cell r="A198" t="str">
            <v>Western Sahara</v>
          </cell>
        </row>
        <row r="199">
          <cell r="A199" t="str">
            <v>Falkland Islands (Islas Malvinas)</v>
          </cell>
        </row>
        <row r="200">
          <cell r="A200" t="str">
            <v>Faroe Islands</v>
          </cell>
        </row>
        <row r="201">
          <cell r="A201" t="str">
            <v>Guernsey</v>
          </cell>
        </row>
        <row r="202">
          <cell r="A202" t="str">
            <v>Gibraltar</v>
          </cell>
        </row>
        <row r="203">
          <cell r="A203" t="str">
            <v>Guinea</v>
          </cell>
        </row>
        <row r="204">
          <cell r="A204" t="str">
            <v>Guadeloupe</v>
          </cell>
        </row>
        <row r="205">
          <cell r="A205" t="str">
            <v>Gambia</v>
          </cell>
        </row>
        <row r="206">
          <cell r="A206" t="str">
            <v>Guinea-Bissau</v>
          </cell>
        </row>
        <row r="207">
          <cell r="A207" t="str">
            <v>Equatorial Guinea</v>
          </cell>
        </row>
        <row r="208">
          <cell r="A208" t="str">
            <v>Grenada</v>
          </cell>
        </row>
        <row r="209">
          <cell r="A209" t="str">
            <v>Greenland</v>
          </cell>
        </row>
        <row r="210">
          <cell r="A210" t="str">
            <v>Heard &amp; McDonald Islands</v>
          </cell>
        </row>
        <row r="211">
          <cell r="A211" t="str">
            <v>Haiti</v>
          </cell>
        </row>
        <row r="212">
          <cell r="A212" t="str">
            <v>British Indian Ocean Territory</v>
          </cell>
        </row>
        <row r="213">
          <cell r="A213" t="str">
            <v>Kiribati</v>
          </cell>
        </row>
        <row r="214">
          <cell r="A214" t="str">
            <v>St. Lucia</v>
          </cell>
        </row>
        <row r="215">
          <cell r="A215" t="str">
            <v>Liechtenstein</v>
          </cell>
        </row>
        <row r="216">
          <cell r="A216" t="str">
            <v>St. Martin</v>
          </cell>
        </row>
        <row r="217">
          <cell r="A217" t="str">
            <v>Mongolia</v>
          </cell>
        </row>
        <row r="218">
          <cell r="A218" t="str">
            <v>Mauritania</v>
          </cell>
        </row>
        <row r="219">
          <cell r="A219" t="str">
            <v>Montserrat</v>
          </cell>
        </row>
        <row r="220">
          <cell r="A220" t="str">
            <v>Martinique</v>
          </cell>
        </row>
        <row r="221">
          <cell r="A221" t="str">
            <v>Mayotte</v>
          </cell>
        </row>
        <row r="222">
          <cell r="A222" t="str">
            <v>Niger</v>
          </cell>
        </row>
        <row r="223">
          <cell r="A223" t="str">
            <v>Norfolk Island</v>
          </cell>
        </row>
        <row r="224">
          <cell r="A224" t="str">
            <v>Niue</v>
          </cell>
        </row>
        <row r="225">
          <cell r="A225" t="str">
            <v>Nauru</v>
          </cell>
        </row>
        <row r="226">
          <cell r="A226" t="str">
            <v>Pitcairn Islands</v>
          </cell>
        </row>
        <row r="227">
          <cell r="A227" t="str">
            <v>North Korea</v>
          </cell>
        </row>
        <row r="228">
          <cell r="A228" t="str">
            <v>French Polynesia</v>
          </cell>
        </row>
        <row r="229">
          <cell r="A229" t="str">
            <v>RÃ©union</v>
          </cell>
        </row>
        <row r="230">
          <cell r="A230" t="str">
            <v>Rwanda</v>
          </cell>
        </row>
        <row r="231">
          <cell r="A231" t="str">
            <v>Senegal</v>
          </cell>
        </row>
        <row r="232">
          <cell r="A232" t="str">
            <v>South Georgia &amp; South Sandwich Islands</v>
          </cell>
        </row>
        <row r="233">
          <cell r="A233" t="str">
            <v>Svalbard &amp; Jan Mayen</v>
          </cell>
        </row>
        <row r="234">
          <cell r="A234" t="str">
            <v>Solomon Islands</v>
          </cell>
        </row>
        <row r="235">
          <cell r="A235" t="str">
            <v>Sierra Leone</v>
          </cell>
        </row>
        <row r="236">
          <cell r="A236" t="str">
            <v>San Marino</v>
          </cell>
        </row>
        <row r="237">
          <cell r="A237" t="str">
            <v>St. Pierre &amp; Miquelon</v>
          </cell>
        </row>
        <row r="238">
          <cell r="A238" t="str">
            <v>South Sudan</v>
          </cell>
        </row>
        <row r="239">
          <cell r="A239" t="str">
            <v>SÃ£o TomÃ© &amp; PrÃ­ncipe</v>
          </cell>
        </row>
        <row r="240">
          <cell r="A240" t="str">
            <v>Eswatini</v>
          </cell>
        </row>
        <row r="241">
          <cell r="A241" t="str">
            <v>Sint Maarten</v>
          </cell>
        </row>
        <row r="242">
          <cell r="A242" t="str">
            <v>Turks &amp; Caicos Islands</v>
          </cell>
        </row>
        <row r="243">
          <cell r="A243" t="str">
            <v>Chad</v>
          </cell>
        </row>
        <row r="244">
          <cell r="A244" t="str">
            <v>Togo</v>
          </cell>
        </row>
        <row r="245">
          <cell r="A245" t="str">
            <v>Tokelau</v>
          </cell>
        </row>
        <row r="246">
          <cell r="A246" t="str">
            <v>Timor-Leste</v>
          </cell>
        </row>
        <row r="247">
          <cell r="A247" t="str">
            <v>Tonga</v>
          </cell>
        </row>
        <row r="248">
          <cell r="A248" t="str">
            <v>Tuvalu</v>
          </cell>
        </row>
        <row r="249">
          <cell r="A249" t="str">
            <v>U.S. Outlying Islands</v>
          </cell>
        </row>
        <row r="250">
          <cell r="A250" t="str">
            <v>Vatican City</v>
          </cell>
        </row>
        <row r="251">
          <cell r="A251" t="str">
            <v>St. Vincent &amp; Grenadines</v>
          </cell>
        </row>
        <row r="252">
          <cell r="A252" t="str">
            <v>British Virgin Islands</v>
          </cell>
        </row>
        <row r="253">
          <cell r="A253" t="str">
            <v>Wallis &amp; Futuna</v>
          </cell>
        </row>
      </sheetData>
    </sheetDataSet>
  </externalBook>
</externalLink>
</file>

<file path=xl/externalLinks/externalLink1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21)"/>
    </sheetNames>
    <sheetDataSet>
      <sheetData sheetId="0" refreshError="1">
        <row r="1">
          <cell r="A1" t="str">
            <v>Category: All categories</v>
          </cell>
        </row>
        <row r="3">
          <cell r="A3" t="str">
            <v>Country</v>
          </cell>
          <cell r="B3" t="str">
            <v>Computer vision: (2018)</v>
          </cell>
          <cell r="C3" t="str">
            <v>Mutual exclusion: (2018)</v>
          </cell>
        </row>
        <row r="4">
          <cell r="A4" t="str">
            <v>China</v>
          </cell>
          <cell r="B4">
            <v>0.74</v>
          </cell>
          <cell r="C4">
            <v>0.26</v>
          </cell>
        </row>
        <row r="5">
          <cell r="A5" t="str">
            <v>Ethiopia</v>
          </cell>
        </row>
        <row r="6">
          <cell r="A6" t="str">
            <v>Singapore</v>
          </cell>
          <cell r="B6">
            <v>0.94</v>
          </cell>
          <cell r="C6">
            <v>0.06</v>
          </cell>
        </row>
        <row r="7">
          <cell r="A7" t="str">
            <v>South Korea</v>
          </cell>
          <cell r="B7">
            <v>0.89</v>
          </cell>
          <cell r="C7">
            <v>0.11</v>
          </cell>
        </row>
        <row r="8">
          <cell r="A8" t="str">
            <v>Pakistan</v>
          </cell>
          <cell r="B8">
            <v>0.88</v>
          </cell>
          <cell r="C8">
            <v>0.12</v>
          </cell>
        </row>
        <row r="9">
          <cell r="A9" t="str">
            <v>Israel</v>
          </cell>
          <cell r="B9">
            <v>0.75</v>
          </cell>
          <cell r="C9">
            <v>0.25</v>
          </cell>
        </row>
        <row r="10">
          <cell r="A10" t="str">
            <v>St. Helena</v>
          </cell>
          <cell r="B10">
            <v>0.7</v>
          </cell>
          <cell r="C10">
            <v>0.3</v>
          </cell>
        </row>
        <row r="11">
          <cell r="A11" t="str">
            <v>Sri Lanka</v>
          </cell>
          <cell r="B11">
            <v>0.94</v>
          </cell>
          <cell r="C11">
            <v>0.06</v>
          </cell>
        </row>
        <row r="12">
          <cell r="A12" t="str">
            <v>Hong Kong</v>
          </cell>
          <cell r="B12">
            <v>0.87</v>
          </cell>
          <cell r="C12">
            <v>0.13</v>
          </cell>
        </row>
        <row r="13">
          <cell r="A13" t="str">
            <v>Laos</v>
          </cell>
        </row>
        <row r="14">
          <cell r="A14" t="str">
            <v>Taiwan</v>
          </cell>
          <cell r="B14">
            <v>0.68</v>
          </cell>
          <cell r="C14">
            <v>0.32</v>
          </cell>
        </row>
        <row r="15">
          <cell r="A15" t="str">
            <v>India</v>
          </cell>
          <cell r="B15">
            <v>0.84</v>
          </cell>
          <cell r="C15">
            <v>0.16</v>
          </cell>
        </row>
        <row r="16">
          <cell r="A16" t="str">
            <v>Switzerland</v>
          </cell>
          <cell r="B16">
            <v>0.81</v>
          </cell>
          <cell r="C16">
            <v>0.19</v>
          </cell>
        </row>
        <row r="17">
          <cell r="A17" t="str">
            <v>Myanmar (Burma)</v>
          </cell>
        </row>
        <row r="18">
          <cell r="A18" t="str">
            <v>Syria</v>
          </cell>
          <cell r="B18">
            <v>1</v>
          </cell>
        </row>
        <row r="19">
          <cell r="A19" t="str">
            <v>Tunisia</v>
          </cell>
          <cell r="B19">
            <v>0.85</v>
          </cell>
          <cell r="C19">
            <v>0.15</v>
          </cell>
        </row>
        <row r="20">
          <cell r="A20" t="str">
            <v>Botswana</v>
          </cell>
        </row>
        <row r="21">
          <cell r="A21" t="str">
            <v>Nepal</v>
          </cell>
        </row>
        <row r="22">
          <cell r="A22" t="str">
            <v>Germany</v>
          </cell>
          <cell r="B22">
            <v>0.7</v>
          </cell>
          <cell r="C22">
            <v>0.3</v>
          </cell>
        </row>
        <row r="23">
          <cell r="A23" t="str">
            <v>Canada</v>
          </cell>
          <cell r="B23">
            <v>0.92</v>
          </cell>
          <cell r="C23">
            <v>0.08</v>
          </cell>
        </row>
        <row r="24">
          <cell r="A24" t="str">
            <v>New Zealand</v>
          </cell>
        </row>
        <row r="25">
          <cell r="A25" t="str">
            <v>United States</v>
          </cell>
          <cell r="B25">
            <v>0.91</v>
          </cell>
          <cell r="C25">
            <v>0.09</v>
          </cell>
        </row>
        <row r="26">
          <cell r="A26" t="str">
            <v>Bangladesh</v>
          </cell>
        </row>
        <row r="27">
          <cell r="A27" t="str">
            <v>Ireland</v>
          </cell>
          <cell r="B27">
            <v>0.89</v>
          </cell>
          <cell r="C27">
            <v>0.11</v>
          </cell>
        </row>
        <row r="28">
          <cell r="A28" t="str">
            <v>Austria</v>
          </cell>
          <cell r="B28">
            <v>0.61</v>
          </cell>
          <cell r="C28">
            <v>0.39</v>
          </cell>
        </row>
        <row r="29">
          <cell r="A29" t="str">
            <v>Cyprus</v>
          </cell>
        </row>
        <row r="30">
          <cell r="A30" t="str">
            <v>Nigeria</v>
          </cell>
          <cell r="B30">
            <v>0.88</v>
          </cell>
          <cell r="C30">
            <v>0.12</v>
          </cell>
        </row>
        <row r="31">
          <cell r="A31" t="str">
            <v>Lebanon</v>
          </cell>
        </row>
        <row r="32">
          <cell r="A32" t="str">
            <v>Egypt</v>
          </cell>
        </row>
        <row r="33">
          <cell r="A33" t="str">
            <v>Spain</v>
          </cell>
          <cell r="B33">
            <v>0.82</v>
          </cell>
          <cell r="C33">
            <v>0.18</v>
          </cell>
        </row>
        <row r="34">
          <cell r="A34" t="str">
            <v>Ecuador</v>
          </cell>
        </row>
        <row r="35">
          <cell r="A35" t="str">
            <v>Malaysia</v>
          </cell>
          <cell r="B35">
            <v>0.9</v>
          </cell>
          <cell r="C35">
            <v>0.1</v>
          </cell>
        </row>
        <row r="36">
          <cell r="A36" t="str">
            <v>Slovenia</v>
          </cell>
        </row>
        <row r="37">
          <cell r="A37" t="str">
            <v>Australia</v>
          </cell>
          <cell r="B37">
            <v>0.92</v>
          </cell>
          <cell r="C37">
            <v>0.08</v>
          </cell>
        </row>
        <row r="38">
          <cell r="A38" t="str">
            <v>Portugal</v>
          </cell>
          <cell r="B38">
            <v>0.66</v>
          </cell>
          <cell r="C38">
            <v>0.34</v>
          </cell>
        </row>
        <row r="39">
          <cell r="A39" t="str">
            <v>Zimbabwe</v>
          </cell>
        </row>
        <row r="40">
          <cell r="A40" t="str">
            <v>Denmark</v>
          </cell>
          <cell r="B40">
            <v>0.93</v>
          </cell>
          <cell r="C40">
            <v>7.0000000000000007E-2</v>
          </cell>
        </row>
        <row r="41">
          <cell r="A41" t="str">
            <v>Latvia</v>
          </cell>
        </row>
        <row r="42">
          <cell r="A42" t="str">
            <v>Norway</v>
          </cell>
          <cell r="B42">
            <v>0.68</v>
          </cell>
          <cell r="C42">
            <v>0.32</v>
          </cell>
        </row>
        <row r="43">
          <cell r="A43" t="str">
            <v>Japan</v>
          </cell>
          <cell r="B43">
            <v>0.39</v>
          </cell>
          <cell r="C43">
            <v>0.61</v>
          </cell>
        </row>
        <row r="44">
          <cell r="A44" t="str">
            <v>Philippines</v>
          </cell>
          <cell r="B44">
            <v>0.92</v>
          </cell>
          <cell r="C44">
            <v>0.08</v>
          </cell>
        </row>
        <row r="45">
          <cell r="A45" t="str">
            <v>Armenia</v>
          </cell>
        </row>
        <row r="46">
          <cell r="A46" t="str">
            <v>Vietnam</v>
          </cell>
          <cell r="B46">
            <v>0.86</v>
          </cell>
          <cell r="C46">
            <v>0.14000000000000001</v>
          </cell>
        </row>
        <row r="47">
          <cell r="A47" t="str">
            <v>United Kingdom</v>
          </cell>
          <cell r="B47">
            <v>0.93</v>
          </cell>
          <cell r="C47">
            <v>7.0000000000000007E-2</v>
          </cell>
        </row>
        <row r="48">
          <cell r="A48" t="str">
            <v>Ghana</v>
          </cell>
        </row>
        <row r="49">
          <cell r="A49" t="str">
            <v>Iraq</v>
          </cell>
          <cell r="B49">
            <v>1</v>
          </cell>
        </row>
        <row r="50">
          <cell r="A50" t="str">
            <v>Belarus</v>
          </cell>
          <cell r="B50">
            <v>0.5</v>
          </cell>
          <cell r="C50">
            <v>0.5</v>
          </cell>
        </row>
        <row r="51">
          <cell r="A51" t="str">
            <v>Netherlands</v>
          </cell>
          <cell r="B51">
            <v>0.74</v>
          </cell>
          <cell r="C51">
            <v>0.26</v>
          </cell>
        </row>
        <row r="52">
          <cell r="A52" t="str">
            <v>Czechia</v>
          </cell>
          <cell r="B52">
            <v>0.54</v>
          </cell>
          <cell r="C52">
            <v>0.46</v>
          </cell>
        </row>
        <row r="53">
          <cell r="A53" t="str">
            <v>Iran</v>
          </cell>
          <cell r="B53">
            <v>0.92</v>
          </cell>
          <cell r="C53">
            <v>0.08</v>
          </cell>
        </row>
        <row r="54">
          <cell r="A54" t="str">
            <v>Croatia</v>
          </cell>
          <cell r="B54">
            <v>0.77</v>
          </cell>
          <cell r="C54">
            <v>0.23</v>
          </cell>
        </row>
        <row r="55">
          <cell r="A55" t="str">
            <v>United Arab Emirates</v>
          </cell>
        </row>
        <row r="56">
          <cell r="A56" t="str">
            <v>Romania</v>
          </cell>
          <cell r="B56">
            <v>0.81</v>
          </cell>
          <cell r="C56">
            <v>0.19</v>
          </cell>
        </row>
        <row r="57">
          <cell r="A57" t="str">
            <v>Sweden</v>
          </cell>
          <cell r="B57">
            <v>0.64</v>
          </cell>
          <cell r="C57">
            <v>0.36</v>
          </cell>
        </row>
        <row r="58">
          <cell r="A58" t="str">
            <v>Finland</v>
          </cell>
          <cell r="B58">
            <v>0.62</v>
          </cell>
          <cell r="C58">
            <v>0.38</v>
          </cell>
        </row>
        <row r="59">
          <cell r="A59" t="str">
            <v>Serbia</v>
          </cell>
          <cell r="B59">
            <v>0.8</v>
          </cell>
          <cell r="C59">
            <v>0.2</v>
          </cell>
        </row>
        <row r="60">
          <cell r="A60" t="str">
            <v>Belgium</v>
          </cell>
          <cell r="B60">
            <v>0.82</v>
          </cell>
          <cell r="C60">
            <v>0.18</v>
          </cell>
        </row>
        <row r="61">
          <cell r="A61" t="str">
            <v>South Africa</v>
          </cell>
          <cell r="B61">
            <v>0.81</v>
          </cell>
          <cell r="C61">
            <v>0.19</v>
          </cell>
        </row>
        <row r="62">
          <cell r="A62" t="str">
            <v>Algeria</v>
          </cell>
          <cell r="B62">
            <v>0.56000000000000005</v>
          </cell>
          <cell r="C62">
            <v>0.44</v>
          </cell>
        </row>
        <row r="63">
          <cell r="A63" t="str">
            <v>Russia</v>
          </cell>
          <cell r="B63">
            <v>0.46</v>
          </cell>
          <cell r="C63">
            <v>0.54</v>
          </cell>
        </row>
        <row r="64">
          <cell r="A64" t="str">
            <v>Morocco</v>
          </cell>
        </row>
        <row r="65">
          <cell r="A65" t="str">
            <v>Estonia</v>
          </cell>
        </row>
        <row r="66">
          <cell r="A66" t="str">
            <v>Mexico</v>
          </cell>
          <cell r="B66">
            <v>0.84</v>
          </cell>
          <cell r="C66">
            <v>0.16</v>
          </cell>
        </row>
        <row r="67">
          <cell r="A67" t="str">
            <v>Colombia</v>
          </cell>
          <cell r="B67">
            <v>0.91</v>
          </cell>
          <cell r="C67">
            <v>0.09</v>
          </cell>
        </row>
        <row r="68">
          <cell r="A68" t="str">
            <v>Greece</v>
          </cell>
          <cell r="B68">
            <v>0.83</v>
          </cell>
          <cell r="C68">
            <v>0.17</v>
          </cell>
        </row>
        <row r="69">
          <cell r="A69" t="str">
            <v>Bolivia</v>
          </cell>
        </row>
        <row r="70">
          <cell r="A70" t="str">
            <v>Cambodia</v>
          </cell>
        </row>
        <row r="71">
          <cell r="A71" t="str">
            <v>Kenya</v>
          </cell>
        </row>
        <row r="72">
          <cell r="A72" t="str">
            <v>Lithuania</v>
          </cell>
        </row>
        <row r="73">
          <cell r="A73" t="str">
            <v>Kazakhstan</v>
          </cell>
          <cell r="B73">
            <v>0.76</v>
          </cell>
          <cell r="C73">
            <v>0.24</v>
          </cell>
        </row>
        <row r="74">
          <cell r="A74" t="str">
            <v>Ukraine</v>
          </cell>
          <cell r="B74">
            <v>0.47</v>
          </cell>
          <cell r="C74">
            <v>0.53</v>
          </cell>
        </row>
        <row r="75">
          <cell r="A75" t="str">
            <v>Peru</v>
          </cell>
          <cell r="B75">
            <v>0.88</v>
          </cell>
          <cell r="C75">
            <v>0.12</v>
          </cell>
        </row>
        <row r="76">
          <cell r="A76" t="str">
            <v>Chile</v>
          </cell>
          <cell r="B76">
            <v>0.83</v>
          </cell>
          <cell r="C76">
            <v>0.17</v>
          </cell>
        </row>
        <row r="77">
          <cell r="A77" t="str">
            <v>France</v>
          </cell>
          <cell r="B77">
            <v>0.78</v>
          </cell>
          <cell r="C77">
            <v>0.22</v>
          </cell>
        </row>
        <row r="78">
          <cell r="A78" t="str">
            <v>Poland</v>
          </cell>
          <cell r="B78">
            <v>0.56000000000000005</v>
          </cell>
          <cell r="C78">
            <v>0.44</v>
          </cell>
        </row>
        <row r="79">
          <cell r="A79" t="str">
            <v>Italy</v>
          </cell>
          <cell r="B79">
            <v>0.63</v>
          </cell>
          <cell r="C79">
            <v>0.37</v>
          </cell>
        </row>
        <row r="80">
          <cell r="A80" t="str">
            <v>Thailand</v>
          </cell>
          <cell r="B80">
            <v>0.89</v>
          </cell>
          <cell r="C80">
            <v>0.11</v>
          </cell>
        </row>
        <row r="81">
          <cell r="A81" t="str">
            <v>Jordan</v>
          </cell>
        </row>
        <row r="82">
          <cell r="A82" t="str">
            <v>Indonesia</v>
          </cell>
          <cell r="B82">
            <v>0.8</v>
          </cell>
          <cell r="C82">
            <v>0.2</v>
          </cell>
        </row>
        <row r="83">
          <cell r="A83" t="str">
            <v>Slovakia</v>
          </cell>
        </row>
        <row r="84">
          <cell r="A84" t="str">
            <v>Costa Rica</v>
          </cell>
        </row>
        <row r="85">
          <cell r="A85" t="str">
            <v>Mauritius</v>
          </cell>
        </row>
        <row r="86">
          <cell r="A86" t="str">
            <v>Bulgaria</v>
          </cell>
        </row>
        <row r="87">
          <cell r="A87" t="str">
            <v>Hungary</v>
          </cell>
          <cell r="B87">
            <v>0.55000000000000004</v>
          </cell>
          <cell r="C87">
            <v>0.45</v>
          </cell>
        </row>
        <row r="88">
          <cell r="A88" t="str">
            <v>Saudi Arabia</v>
          </cell>
          <cell r="B88">
            <v>0.87</v>
          </cell>
          <cell r="C88">
            <v>0.13</v>
          </cell>
        </row>
        <row r="89">
          <cell r="A89" t="str">
            <v>Brazil</v>
          </cell>
          <cell r="B89">
            <v>0.75</v>
          </cell>
          <cell r="C89">
            <v>0.25</v>
          </cell>
        </row>
        <row r="90">
          <cell r="A90" t="str">
            <v>Turkey</v>
          </cell>
          <cell r="B90">
            <v>0.9</v>
          </cell>
          <cell r="C90">
            <v>0.1</v>
          </cell>
        </row>
        <row r="91">
          <cell r="A91" t="str">
            <v>Argentina</v>
          </cell>
          <cell r="B91">
            <v>0.62</v>
          </cell>
          <cell r="C91">
            <v>0.38</v>
          </cell>
        </row>
        <row r="92">
          <cell r="A92" t="str">
            <v>Venezuela</v>
          </cell>
        </row>
        <row r="93">
          <cell r="A93" t="str">
            <v>North Korea</v>
          </cell>
        </row>
        <row r="94">
          <cell r="A94" t="str">
            <v>Djibouti</v>
          </cell>
        </row>
        <row r="95">
          <cell r="A95" t="str">
            <v>Antigua &amp; Barbuda</v>
          </cell>
        </row>
        <row r="96">
          <cell r="A96" t="str">
            <v>South Sudan</v>
          </cell>
        </row>
        <row r="97">
          <cell r="A97" t="str">
            <v>Burundi</v>
          </cell>
        </row>
        <row r="98">
          <cell r="A98" t="str">
            <v>Rwanda</v>
          </cell>
        </row>
        <row r="99">
          <cell r="A99" t="str">
            <v>Cayman Islands</v>
          </cell>
        </row>
        <row r="100">
          <cell r="A100" t="str">
            <v>Lesotho</v>
          </cell>
        </row>
        <row r="101">
          <cell r="A101" t="str">
            <v>Isle of Man</v>
          </cell>
        </row>
        <row r="102">
          <cell r="A102" t="str">
            <v>Papua New Guinea</v>
          </cell>
        </row>
        <row r="103">
          <cell r="A103" t="str">
            <v>Togo</v>
          </cell>
        </row>
        <row r="104">
          <cell r="A104" t="str">
            <v>Malta</v>
          </cell>
        </row>
        <row r="105">
          <cell r="A105" t="str">
            <v>Guam</v>
          </cell>
        </row>
        <row r="106">
          <cell r="A106" t="str">
            <v>Madagascar</v>
          </cell>
        </row>
        <row r="107">
          <cell r="A107" t="str">
            <v>Zambia</v>
          </cell>
        </row>
        <row r="108">
          <cell r="A108" t="str">
            <v>Macao</v>
          </cell>
        </row>
        <row r="109">
          <cell r="A109" t="str">
            <v>Cuba</v>
          </cell>
        </row>
        <row r="110">
          <cell r="A110" t="str">
            <v>Uganda</v>
          </cell>
        </row>
        <row r="111">
          <cell r="A111" t="str">
            <v>Benin</v>
          </cell>
        </row>
        <row r="112">
          <cell r="A112" t="str">
            <v>Uzbekistan</v>
          </cell>
        </row>
        <row r="113">
          <cell r="A113" t="str">
            <v>Mongolia</v>
          </cell>
        </row>
        <row r="114">
          <cell r="A114" t="str">
            <v>North Macedonia</v>
          </cell>
        </row>
        <row r="115">
          <cell r="A115" t="str">
            <v>Kosovo</v>
          </cell>
        </row>
        <row r="116">
          <cell r="A116" t="str">
            <v>Bahrain</v>
          </cell>
        </row>
        <row r="117">
          <cell r="A117" t="str">
            <v>Tanzania</v>
          </cell>
        </row>
        <row r="118">
          <cell r="A118" t="str">
            <v>Luxembourg</v>
          </cell>
        </row>
        <row r="119">
          <cell r="A119" t="str">
            <v>Turkmenistan</v>
          </cell>
        </row>
        <row r="120">
          <cell r="A120" t="str">
            <v>Mali</v>
          </cell>
        </row>
        <row r="121">
          <cell r="A121" t="str">
            <v>Sudan</v>
          </cell>
        </row>
        <row r="122">
          <cell r="A122" t="str">
            <v>Iceland</v>
          </cell>
        </row>
        <row r="123">
          <cell r="A123" t="str">
            <v>Brunei</v>
          </cell>
        </row>
        <row r="124">
          <cell r="A124" t="str">
            <v>Afghanistan</v>
          </cell>
        </row>
        <row r="125">
          <cell r="A125" t="str">
            <v>Libya</v>
          </cell>
        </row>
        <row r="126">
          <cell r="A126" t="str">
            <v>Moldova</v>
          </cell>
        </row>
        <row r="127">
          <cell r="A127" t="str">
            <v>Yemen</v>
          </cell>
        </row>
        <row r="128">
          <cell r="A128" t="str">
            <v>Albania</v>
          </cell>
        </row>
        <row r="129">
          <cell r="A129" t="str">
            <v>Qatar</v>
          </cell>
        </row>
        <row r="130">
          <cell r="A130" t="str">
            <v>Angola</v>
          </cell>
        </row>
        <row r="131">
          <cell r="A131" t="str">
            <v>Puerto Rico</v>
          </cell>
        </row>
        <row r="132">
          <cell r="A132" t="str">
            <v>Jamaica</v>
          </cell>
        </row>
        <row r="133">
          <cell r="A133" t="str">
            <v>Palestine</v>
          </cell>
        </row>
        <row r="134">
          <cell r="A134" t="str">
            <v>Nicaragua</v>
          </cell>
        </row>
        <row r="135">
          <cell r="A135" t="str">
            <v>Mozambique</v>
          </cell>
        </row>
        <row r="136">
          <cell r="A136" t="str">
            <v>Senegal</v>
          </cell>
        </row>
        <row r="137">
          <cell r="A137" t="str">
            <v>Congo - Kinshasa</v>
          </cell>
        </row>
        <row r="138">
          <cell r="A138" t="str">
            <v>Cameroon</v>
          </cell>
        </row>
        <row r="139">
          <cell r="A139" t="str">
            <v>Guatemala</v>
          </cell>
        </row>
        <row r="140">
          <cell r="A140" t="str">
            <v>Trinidad &amp; Tobago</v>
          </cell>
        </row>
        <row r="141">
          <cell r="A141" t="str">
            <v>Kuwait</v>
          </cell>
        </row>
        <row r="142">
          <cell r="A142" t="str">
            <v>Bosnia &amp; Herzegovina</v>
          </cell>
        </row>
        <row r="143">
          <cell r="A143" t="str">
            <v>Oman</v>
          </cell>
        </row>
        <row r="144">
          <cell r="A144" t="str">
            <v>Kyrgyzstan</v>
          </cell>
        </row>
        <row r="145">
          <cell r="A145" t="str">
            <v>Dominican Republic</v>
          </cell>
        </row>
        <row r="146">
          <cell r="A146" t="str">
            <v>Azerbaijan</v>
          </cell>
        </row>
        <row r="147">
          <cell r="A147" t="str">
            <v>Uruguay</v>
          </cell>
        </row>
        <row r="148">
          <cell r="A148" t="str">
            <v>Panama</v>
          </cell>
        </row>
        <row r="149">
          <cell r="A149" t="str">
            <v>Georgia</v>
          </cell>
        </row>
        <row r="150">
          <cell r="A150" t="str">
            <v>Honduras</v>
          </cell>
        </row>
        <row r="151">
          <cell r="A151" t="str">
            <v>El Salvador</v>
          </cell>
        </row>
        <row r="152">
          <cell r="A152" t="str">
            <v>Paraguay</v>
          </cell>
        </row>
        <row r="153">
          <cell r="A153" t="str">
            <v>Aruba</v>
          </cell>
        </row>
        <row r="154">
          <cell r="A154" t="str">
            <v>Anguilla</v>
          </cell>
        </row>
        <row r="155">
          <cell r="A155" t="str">
            <v>Ã…land Islands</v>
          </cell>
        </row>
        <row r="156">
          <cell r="A156" t="str">
            <v>Andorra</v>
          </cell>
        </row>
        <row r="157">
          <cell r="A157" t="str">
            <v>American Samoa</v>
          </cell>
        </row>
        <row r="158">
          <cell r="A158" t="str">
            <v>Antarctica</v>
          </cell>
        </row>
        <row r="159">
          <cell r="A159" t="str">
            <v>French Southern Territories</v>
          </cell>
        </row>
        <row r="160">
          <cell r="A160" t="str">
            <v>Caribbean Netherlands</v>
          </cell>
        </row>
        <row r="161">
          <cell r="A161" t="str">
            <v>Burkina Faso</v>
          </cell>
        </row>
        <row r="162">
          <cell r="A162" t="str">
            <v>Bahamas</v>
          </cell>
        </row>
        <row r="163">
          <cell r="A163" t="str">
            <v>St. BarthÃ©lemy</v>
          </cell>
        </row>
        <row r="164">
          <cell r="A164" t="str">
            <v>Belize</v>
          </cell>
        </row>
        <row r="165">
          <cell r="A165" t="str">
            <v>Bermuda</v>
          </cell>
        </row>
        <row r="166">
          <cell r="A166" t="str">
            <v>Barbados</v>
          </cell>
        </row>
        <row r="167">
          <cell r="A167" t="str">
            <v>Bhutan</v>
          </cell>
        </row>
        <row r="168">
          <cell r="A168" t="str">
            <v>Bouvet Island</v>
          </cell>
        </row>
        <row r="169">
          <cell r="A169" t="str">
            <v>Central African Republic</v>
          </cell>
        </row>
        <row r="170">
          <cell r="A170" t="str">
            <v>Cocos (Keeling) Islands</v>
          </cell>
        </row>
        <row r="171">
          <cell r="A171" t="str">
            <v>CÃ´te dâ€™Ivoire</v>
          </cell>
        </row>
        <row r="172">
          <cell r="A172" t="str">
            <v>Congo - Brazzaville</v>
          </cell>
        </row>
        <row r="173">
          <cell r="A173" t="str">
            <v>Cook Islands</v>
          </cell>
        </row>
        <row r="174">
          <cell r="A174" t="str">
            <v>Comoros</v>
          </cell>
        </row>
        <row r="175">
          <cell r="A175" t="str">
            <v>Cape Verde</v>
          </cell>
        </row>
        <row r="176">
          <cell r="A176" t="str">
            <v>CuraÃ§ao</v>
          </cell>
        </row>
        <row r="177">
          <cell r="A177" t="str">
            <v>Christmas Island</v>
          </cell>
        </row>
        <row r="178">
          <cell r="A178" t="str">
            <v>Dominica</v>
          </cell>
        </row>
        <row r="179">
          <cell r="A179" t="str">
            <v>Eritrea</v>
          </cell>
        </row>
        <row r="180">
          <cell r="A180" t="str">
            <v>Western Sahara</v>
          </cell>
        </row>
        <row r="181">
          <cell r="A181" t="str">
            <v>Fiji</v>
          </cell>
        </row>
        <row r="182">
          <cell r="A182" t="str">
            <v>Falkland Islands (Islas Malvinas)</v>
          </cell>
        </row>
        <row r="183">
          <cell r="A183" t="str">
            <v>Faroe Islands</v>
          </cell>
        </row>
        <row r="184">
          <cell r="A184" t="str">
            <v>Micronesia</v>
          </cell>
        </row>
        <row r="185">
          <cell r="A185" t="str">
            <v>Gabon</v>
          </cell>
        </row>
        <row r="186">
          <cell r="A186" t="str">
            <v>Guernsey</v>
          </cell>
        </row>
        <row r="187">
          <cell r="A187" t="str">
            <v>Gibraltar</v>
          </cell>
        </row>
        <row r="188">
          <cell r="A188" t="str">
            <v>Guinea</v>
          </cell>
        </row>
        <row r="189">
          <cell r="A189" t="str">
            <v>Guadeloupe</v>
          </cell>
        </row>
        <row r="190">
          <cell r="A190" t="str">
            <v>Gambia</v>
          </cell>
        </row>
        <row r="191">
          <cell r="A191" t="str">
            <v>Guinea-Bissau</v>
          </cell>
        </row>
        <row r="192">
          <cell r="A192" t="str">
            <v>Equatorial Guinea</v>
          </cell>
        </row>
        <row r="193">
          <cell r="A193" t="str">
            <v>Grenada</v>
          </cell>
        </row>
        <row r="194">
          <cell r="A194" t="str">
            <v>Greenland</v>
          </cell>
        </row>
        <row r="195">
          <cell r="A195" t="str">
            <v>French Guiana</v>
          </cell>
        </row>
        <row r="196">
          <cell r="A196" t="str">
            <v>Guyana</v>
          </cell>
        </row>
        <row r="197">
          <cell r="A197" t="str">
            <v>Heard &amp; McDonald Islands</v>
          </cell>
        </row>
        <row r="198">
          <cell r="A198" t="str">
            <v>Haiti</v>
          </cell>
        </row>
        <row r="199">
          <cell r="A199" t="str">
            <v>British Indian Ocean Territory</v>
          </cell>
        </row>
        <row r="200">
          <cell r="A200" t="str">
            <v>Jersey</v>
          </cell>
        </row>
        <row r="201">
          <cell r="A201" t="str">
            <v>Kiribati</v>
          </cell>
        </row>
        <row r="202">
          <cell r="A202" t="str">
            <v>St. Kitts &amp; Nevis</v>
          </cell>
        </row>
        <row r="203">
          <cell r="A203" t="str">
            <v>Liberia</v>
          </cell>
        </row>
        <row r="204">
          <cell r="A204" t="str">
            <v>St. Lucia</v>
          </cell>
        </row>
        <row r="205">
          <cell r="A205" t="str">
            <v>Liechtenstein</v>
          </cell>
        </row>
        <row r="206">
          <cell r="A206" t="str">
            <v>St. Martin</v>
          </cell>
        </row>
        <row r="207">
          <cell r="A207" t="str">
            <v>Monaco</v>
          </cell>
        </row>
        <row r="208">
          <cell r="A208" t="str">
            <v>Maldives</v>
          </cell>
        </row>
        <row r="209">
          <cell r="A209" t="str">
            <v>Marshall Islands</v>
          </cell>
        </row>
        <row r="210">
          <cell r="A210" t="str">
            <v>Montenegro</v>
          </cell>
        </row>
        <row r="211">
          <cell r="A211" t="str">
            <v>Northern Mariana Islands</v>
          </cell>
        </row>
        <row r="212">
          <cell r="A212" t="str">
            <v>Mauritania</v>
          </cell>
        </row>
        <row r="213">
          <cell r="A213" t="str">
            <v>Montserrat</v>
          </cell>
        </row>
        <row r="214">
          <cell r="A214" t="str">
            <v>Martinique</v>
          </cell>
        </row>
        <row r="215">
          <cell r="A215" t="str">
            <v>Malawi</v>
          </cell>
        </row>
        <row r="216">
          <cell r="A216" t="str">
            <v>Mayotte</v>
          </cell>
        </row>
        <row r="217">
          <cell r="A217" t="str">
            <v>Namibia</v>
          </cell>
        </row>
        <row r="218">
          <cell r="A218" t="str">
            <v>New Caledonia</v>
          </cell>
        </row>
        <row r="219">
          <cell r="A219" t="str">
            <v>Niger</v>
          </cell>
        </row>
        <row r="220">
          <cell r="A220" t="str">
            <v>Norfolk Island</v>
          </cell>
        </row>
        <row r="221">
          <cell r="A221" t="str">
            <v>Niue</v>
          </cell>
        </row>
        <row r="222">
          <cell r="A222" t="str">
            <v>Nauru</v>
          </cell>
        </row>
        <row r="223">
          <cell r="A223" t="str">
            <v>Pitcairn Islands</v>
          </cell>
        </row>
        <row r="224">
          <cell r="A224" t="str">
            <v>Palau</v>
          </cell>
        </row>
        <row r="225">
          <cell r="A225" t="str">
            <v>French Polynesia</v>
          </cell>
        </row>
        <row r="226">
          <cell r="A226" t="str">
            <v>RÃ©union</v>
          </cell>
        </row>
        <row r="227">
          <cell r="A227" t="str">
            <v>South Georgia &amp; South Sandwich Islands</v>
          </cell>
        </row>
        <row r="228">
          <cell r="A228" t="str">
            <v>Svalbard &amp; Jan Mayen</v>
          </cell>
        </row>
        <row r="229">
          <cell r="A229" t="str">
            <v>Solomon Islands</v>
          </cell>
        </row>
        <row r="230">
          <cell r="A230" t="str">
            <v>Sierra Leone</v>
          </cell>
        </row>
        <row r="231">
          <cell r="A231" t="str">
            <v>San Marino</v>
          </cell>
        </row>
        <row r="232">
          <cell r="A232" t="str">
            <v>Somalia</v>
          </cell>
        </row>
        <row r="233">
          <cell r="A233" t="str">
            <v>St. Pierre &amp; Miquelon</v>
          </cell>
        </row>
        <row r="234">
          <cell r="A234" t="str">
            <v>SÃ£o TomÃ© &amp; PrÃ­ncipe</v>
          </cell>
        </row>
        <row r="235">
          <cell r="A235" t="str">
            <v>Suriname</v>
          </cell>
        </row>
        <row r="236">
          <cell r="A236" t="str">
            <v>Eswatini</v>
          </cell>
        </row>
        <row r="237">
          <cell r="A237" t="str">
            <v>Sint Maarten</v>
          </cell>
        </row>
        <row r="238">
          <cell r="A238" t="str">
            <v>Seychelles</v>
          </cell>
        </row>
        <row r="239">
          <cell r="A239" t="str">
            <v>Turks &amp; Caicos Islands</v>
          </cell>
        </row>
        <row r="240">
          <cell r="A240" t="str">
            <v>Chad</v>
          </cell>
        </row>
        <row r="241">
          <cell r="A241" t="str">
            <v>Tajikistan</v>
          </cell>
        </row>
        <row r="242">
          <cell r="A242" t="str">
            <v>Tokelau</v>
          </cell>
        </row>
        <row r="243">
          <cell r="A243" t="str">
            <v>Timor-Leste</v>
          </cell>
        </row>
        <row r="244">
          <cell r="A244" t="str">
            <v>Tonga</v>
          </cell>
        </row>
        <row r="245">
          <cell r="A245" t="str">
            <v>Tuvalu</v>
          </cell>
        </row>
        <row r="246">
          <cell r="A246" t="str">
            <v>U.S. Outlying Islands</v>
          </cell>
        </row>
        <row r="247">
          <cell r="A247" t="str">
            <v>Vatican City</v>
          </cell>
        </row>
        <row r="248">
          <cell r="A248" t="str">
            <v>St. Vincent &amp; Grenadines</v>
          </cell>
        </row>
        <row r="249">
          <cell r="A249" t="str">
            <v>British Virgin Islands</v>
          </cell>
        </row>
        <row r="250">
          <cell r="A250" t="str">
            <v>U.S. Virgin Islands</v>
          </cell>
        </row>
        <row r="251">
          <cell r="A251" t="str">
            <v>Vanuatu</v>
          </cell>
        </row>
        <row r="252">
          <cell r="A252" t="str">
            <v>Wallis &amp; Futuna</v>
          </cell>
        </row>
        <row r="253">
          <cell r="A253" t="str">
            <v>Samoa</v>
          </cell>
        </row>
      </sheetData>
    </sheetDataSet>
  </externalBook>
</externalLink>
</file>

<file path=xl/externalLinks/externalLink1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34)"/>
    </sheetNames>
    <sheetDataSet>
      <sheetData sheetId="0" refreshError="1">
        <row r="1">
          <cell r="A1" t="str">
            <v>Category: All categories</v>
          </cell>
        </row>
        <row r="3">
          <cell r="A3" t="str">
            <v>Country</v>
          </cell>
          <cell r="B3" t="str">
            <v>Edge detection: (2018)</v>
          </cell>
          <cell r="C3" t="str">
            <v>Lambda calculus: (2018)</v>
          </cell>
        </row>
        <row r="4">
          <cell r="A4" t="str">
            <v>China</v>
          </cell>
          <cell r="B4">
            <v>0.92</v>
          </cell>
          <cell r="C4">
            <v>0.08</v>
          </cell>
        </row>
        <row r="5">
          <cell r="A5" t="str">
            <v>Iceland</v>
          </cell>
          <cell r="C5">
            <v>1</v>
          </cell>
        </row>
        <row r="6">
          <cell r="A6" t="str">
            <v>South Korea</v>
          </cell>
          <cell r="B6">
            <v>0.82</v>
          </cell>
          <cell r="C6">
            <v>0.18</v>
          </cell>
        </row>
        <row r="7">
          <cell r="A7" t="str">
            <v>Singapore</v>
          </cell>
          <cell r="B7">
            <v>0.9</v>
          </cell>
          <cell r="C7">
            <v>0.1</v>
          </cell>
        </row>
        <row r="8">
          <cell r="A8" t="str">
            <v>Tunisia</v>
          </cell>
          <cell r="B8">
            <v>1</v>
          </cell>
        </row>
        <row r="9">
          <cell r="A9" t="str">
            <v>Pakistan</v>
          </cell>
          <cell r="B9">
            <v>1</v>
          </cell>
        </row>
        <row r="10">
          <cell r="A10" t="str">
            <v>Bangladesh</v>
          </cell>
          <cell r="B10">
            <v>1</v>
          </cell>
        </row>
        <row r="11">
          <cell r="A11" t="str">
            <v>India</v>
          </cell>
          <cell r="B11">
            <v>0.88</v>
          </cell>
          <cell r="C11">
            <v>0.12</v>
          </cell>
        </row>
        <row r="12">
          <cell r="A12" t="str">
            <v>St. Helena</v>
          </cell>
          <cell r="B12">
            <v>1</v>
          </cell>
        </row>
        <row r="13">
          <cell r="A13" t="str">
            <v>Taiwan</v>
          </cell>
          <cell r="B13">
            <v>0.92</v>
          </cell>
          <cell r="C13">
            <v>0.08</v>
          </cell>
        </row>
        <row r="14">
          <cell r="A14" t="str">
            <v>Switzerland</v>
          </cell>
          <cell r="B14">
            <v>0.75</v>
          </cell>
          <cell r="C14">
            <v>0.25</v>
          </cell>
        </row>
        <row r="15">
          <cell r="A15" t="str">
            <v>Hong Kong</v>
          </cell>
          <cell r="B15">
            <v>0.86</v>
          </cell>
          <cell r="C15">
            <v>0.14000000000000001</v>
          </cell>
        </row>
        <row r="16">
          <cell r="A16" t="str">
            <v>Israel</v>
          </cell>
          <cell r="B16">
            <v>0.85</v>
          </cell>
          <cell r="C16">
            <v>0.15</v>
          </cell>
        </row>
        <row r="17">
          <cell r="A17" t="str">
            <v>Iraq</v>
          </cell>
          <cell r="B17">
            <v>1</v>
          </cell>
        </row>
        <row r="18">
          <cell r="A18" t="str">
            <v>Japan</v>
          </cell>
          <cell r="B18">
            <v>0.79</v>
          </cell>
          <cell r="C18">
            <v>0.21</v>
          </cell>
        </row>
        <row r="19">
          <cell r="A19" t="str">
            <v>Egypt</v>
          </cell>
          <cell r="B19">
            <v>0.9</v>
          </cell>
          <cell r="C19">
            <v>0.1</v>
          </cell>
        </row>
        <row r="20">
          <cell r="A20" t="str">
            <v>Denmark</v>
          </cell>
          <cell r="B20">
            <v>0.61</v>
          </cell>
          <cell r="C20">
            <v>0.39</v>
          </cell>
        </row>
        <row r="21">
          <cell r="A21" t="str">
            <v>Malaysia</v>
          </cell>
          <cell r="B21">
            <v>0.92</v>
          </cell>
          <cell r="C21">
            <v>0.08</v>
          </cell>
        </row>
        <row r="22">
          <cell r="A22" t="str">
            <v>Canada</v>
          </cell>
          <cell r="B22">
            <v>0.66</v>
          </cell>
          <cell r="C22">
            <v>0.34</v>
          </cell>
        </row>
        <row r="23">
          <cell r="A23" t="str">
            <v>Sri Lanka</v>
          </cell>
        </row>
        <row r="24">
          <cell r="A24" t="str">
            <v>Belgium</v>
          </cell>
          <cell r="B24">
            <v>0.74</v>
          </cell>
          <cell r="C24">
            <v>0.26</v>
          </cell>
        </row>
        <row r="25">
          <cell r="A25" t="str">
            <v>Germany</v>
          </cell>
          <cell r="B25">
            <v>0.65</v>
          </cell>
          <cell r="C25">
            <v>0.35</v>
          </cell>
        </row>
        <row r="26">
          <cell r="A26" t="str">
            <v>Czechia</v>
          </cell>
          <cell r="B26">
            <v>0.42</v>
          </cell>
          <cell r="C26">
            <v>0.57999999999999996</v>
          </cell>
        </row>
        <row r="27">
          <cell r="A27" t="str">
            <v>Norway</v>
          </cell>
          <cell r="B27">
            <v>0.6</v>
          </cell>
          <cell r="C27">
            <v>0.4</v>
          </cell>
        </row>
        <row r="28">
          <cell r="A28" t="str">
            <v>United States</v>
          </cell>
          <cell r="B28">
            <v>0.61</v>
          </cell>
          <cell r="C28">
            <v>0.39</v>
          </cell>
        </row>
        <row r="29">
          <cell r="A29" t="str">
            <v>Algeria</v>
          </cell>
          <cell r="B29">
            <v>0.62</v>
          </cell>
          <cell r="C29">
            <v>0.38</v>
          </cell>
        </row>
        <row r="30">
          <cell r="A30" t="str">
            <v>Poland</v>
          </cell>
          <cell r="B30">
            <v>0.33</v>
          </cell>
          <cell r="C30">
            <v>0.67</v>
          </cell>
        </row>
        <row r="31">
          <cell r="A31" t="str">
            <v>New Zealand</v>
          </cell>
          <cell r="B31">
            <v>0.5</v>
          </cell>
          <cell r="C31">
            <v>0.5</v>
          </cell>
        </row>
        <row r="32">
          <cell r="A32" t="str">
            <v>Ireland</v>
          </cell>
          <cell r="B32">
            <v>0.67</v>
          </cell>
          <cell r="C32">
            <v>0.33</v>
          </cell>
        </row>
        <row r="33">
          <cell r="A33" t="str">
            <v>Hungary</v>
          </cell>
          <cell r="B33">
            <v>0.62</v>
          </cell>
          <cell r="C33">
            <v>0.38</v>
          </cell>
        </row>
        <row r="34">
          <cell r="A34" t="str">
            <v>United Arab Emirates</v>
          </cell>
          <cell r="B34">
            <v>1</v>
          </cell>
        </row>
        <row r="35">
          <cell r="A35" t="str">
            <v>Finland</v>
          </cell>
          <cell r="B35">
            <v>0.63</v>
          </cell>
          <cell r="C35">
            <v>0.37</v>
          </cell>
        </row>
        <row r="36">
          <cell r="A36" t="str">
            <v>Netherlands</v>
          </cell>
          <cell r="B36">
            <v>0.54</v>
          </cell>
          <cell r="C36">
            <v>0.46</v>
          </cell>
        </row>
        <row r="37">
          <cell r="A37" t="str">
            <v>South Africa</v>
          </cell>
        </row>
        <row r="38">
          <cell r="A38" t="str">
            <v>France</v>
          </cell>
          <cell r="B38">
            <v>0.39</v>
          </cell>
          <cell r="C38">
            <v>0.61</v>
          </cell>
        </row>
        <row r="39">
          <cell r="A39" t="str">
            <v>Romania</v>
          </cell>
          <cell r="B39">
            <v>0.55000000000000004</v>
          </cell>
          <cell r="C39">
            <v>0.45</v>
          </cell>
        </row>
        <row r="40">
          <cell r="A40" t="str">
            <v>Iran</v>
          </cell>
          <cell r="B40">
            <v>1</v>
          </cell>
        </row>
        <row r="41">
          <cell r="A41" t="str">
            <v>Australia</v>
          </cell>
          <cell r="B41">
            <v>0.56999999999999995</v>
          </cell>
          <cell r="C41">
            <v>0.43</v>
          </cell>
        </row>
        <row r="42">
          <cell r="A42" t="str">
            <v>United Kingdom</v>
          </cell>
          <cell r="B42">
            <v>0.5</v>
          </cell>
          <cell r="C42">
            <v>0.5</v>
          </cell>
        </row>
        <row r="43">
          <cell r="A43" t="str">
            <v>Austria</v>
          </cell>
          <cell r="B43">
            <v>0.48</v>
          </cell>
          <cell r="C43">
            <v>0.52</v>
          </cell>
        </row>
        <row r="44">
          <cell r="A44" t="str">
            <v>Sweden</v>
          </cell>
          <cell r="B44">
            <v>0.56000000000000005</v>
          </cell>
          <cell r="C44">
            <v>0.44</v>
          </cell>
        </row>
        <row r="45">
          <cell r="A45" t="str">
            <v>Philippines</v>
          </cell>
          <cell r="B45">
            <v>0.73</v>
          </cell>
          <cell r="C45">
            <v>0.27</v>
          </cell>
        </row>
        <row r="46">
          <cell r="A46" t="str">
            <v>Ghana</v>
          </cell>
        </row>
        <row r="47">
          <cell r="A47" t="str">
            <v>Turkey</v>
          </cell>
          <cell r="B47">
            <v>0.89</v>
          </cell>
          <cell r="C47">
            <v>0.11</v>
          </cell>
        </row>
        <row r="48">
          <cell r="A48" t="str">
            <v>Morocco</v>
          </cell>
          <cell r="B48">
            <v>1</v>
          </cell>
        </row>
        <row r="49">
          <cell r="A49" t="str">
            <v>Belarus</v>
          </cell>
          <cell r="C49">
            <v>1</v>
          </cell>
        </row>
        <row r="50">
          <cell r="A50" t="str">
            <v>Indonesia</v>
          </cell>
          <cell r="B50">
            <v>0.95</v>
          </cell>
          <cell r="C50">
            <v>0.05</v>
          </cell>
        </row>
        <row r="51">
          <cell r="A51" t="str">
            <v>Russia</v>
          </cell>
          <cell r="B51">
            <v>0.38</v>
          </cell>
          <cell r="C51">
            <v>0.62</v>
          </cell>
        </row>
        <row r="52">
          <cell r="A52" t="str">
            <v>Portugal</v>
          </cell>
          <cell r="B52">
            <v>0.44</v>
          </cell>
          <cell r="C52">
            <v>0.56000000000000005</v>
          </cell>
        </row>
        <row r="53">
          <cell r="A53" t="str">
            <v>Thailand</v>
          </cell>
          <cell r="B53">
            <v>1</v>
          </cell>
        </row>
        <row r="54">
          <cell r="A54" t="str">
            <v>Greece</v>
          </cell>
          <cell r="B54">
            <v>0.48</v>
          </cell>
          <cell r="C54">
            <v>0.52</v>
          </cell>
        </row>
        <row r="55">
          <cell r="A55" t="str">
            <v>Vietnam</v>
          </cell>
          <cell r="B55">
            <v>0.86</v>
          </cell>
          <cell r="C55">
            <v>0.14000000000000001</v>
          </cell>
        </row>
        <row r="56">
          <cell r="A56" t="str">
            <v>Italy</v>
          </cell>
          <cell r="B56">
            <v>0.45</v>
          </cell>
          <cell r="C56">
            <v>0.55000000000000004</v>
          </cell>
        </row>
        <row r="57">
          <cell r="A57" t="str">
            <v>Bolivia</v>
          </cell>
        </row>
        <row r="58">
          <cell r="A58" t="str">
            <v>Colombia</v>
          </cell>
          <cell r="B58">
            <v>0.62</v>
          </cell>
          <cell r="C58">
            <v>0.38</v>
          </cell>
        </row>
        <row r="59">
          <cell r="A59" t="str">
            <v>Saudi Arabia</v>
          </cell>
          <cell r="B59">
            <v>1</v>
          </cell>
        </row>
        <row r="60">
          <cell r="A60" t="str">
            <v>Ukraine</v>
          </cell>
          <cell r="B60">
            <v>0.45</v>
          </cell>
          <cell r="C60">
            <v>0.55000000000000004</v>
          </cell>
        </row>
        <row r="61">
          <cell r="A61" t="str">
            <v>Argentina</v>
          </cell>
          <cell r="C61">
            <v>1</v>
          </cell>
        </row>
        <row r="62">
          <cell r="A62" t="str">
            <v>Mexico</v>
          </cell>
          <cell r="B62">
            <v>0.57999999999999996</v>
          </cell>
          <cell r="C62">
            <v>0.42</v>
          </cell>
        </row>
        <row r="63">
          <cell r="A63" t="str">
            <v>Spain</v>
          </cell>
          <cell r="B63">
            <v>0.56000000000000005</v>
          </cell>
          <cell r="C63">
            <v>0.44</v>
          </cell>
        </row>
        <row r="64">
          <cell r="A64" t="str">
            <v>Brazil</v>
          </cell>
          <cell r="B64">
            <v>0.54</v>
          </cell>
          <cell r="C64">
            <v>0.46</v>
          </cell>
        </row>
        <row r="65">
          <cell r="A65" t="str">
            <v>French Guiana</v>
          </cell>
        </row>
        <row r="66">
          <cell r="A66" t="str">
            <v>Benin</v>
          </cell>
        </row>
        <row r="67">
          <cell r="A67" t="str">
            <v>Macao</v>
          </cell>
        </row>
        <row r="68">
          <cell r="A68" t="str">
            <v>Ethiopia</v>
          </cell>
        </row>
        <row r="69">
          <cell r="A69" t="str">
            <v>Myanmar (Burma)</v>
          </cell>
        </row>
        <row r="70">
          <cell r="A70" t="str">
            <v>Brunei</v>
          </cell>
        </row>
        <row r="71">
          <cell r="A71" t="str">
            <v>Malta</v>
          </cell>
        </row>
        <row r="72">
          <cell r="A72" t="str">
            <v>Nepal</v>
          </cell>
        </row>
        <row r="73">
          <cell r="A73" t="str">
            <v>Jamaica</v>
          </cell>
        </row>
        <row r="74">
          <cell r="A74" t="str">
            <v>Montenegro</v>
          </cell>
        </row>
        <row r="75">
          <cell r="A75" t="str">
            <v>Slovenia</v>
          </cell>
        </row>
        <row r="76">
          <cell r="A76" t="str">
            <v>Sudan</v>
          </cell>
        </row>
        <row r="77">
          <cell r="A77" t="str">
            <v>Senegal</v>
          </cell>
        </row>
        <row r="78">
          <cell r="A78" t="str">
            <v>Qatar</v>
          </cell>
        </row>
        <row r="79">
          <cell r="A79" t="str">
            <v>Palestine</v>
          </cell>
        </row>
        <row r="80">
          <cell r="A80" t="str">
            <v>North Macedonia</v>
          </cell>
        </row>
        <row r="81">
          <cell r="A81" t="str">
            <v>Costa Rica</v>
          </cell>
        </row>
        <row r="82">
          <cell r="A82" t="str">
            <v>Yemen</v>
          </cell>
        </row>
        <row r="83">
          <cell r="A83" t="str">
            <v>Lebanon</v>
          </cell>
        </row>
        <row r="84">
          <cell r="A84" t="str">
            <v>CÃ´te dâ€™Ivoire</v>
          </cell>
        </row>
        <row r="85">
          <cell r="A85" t="str">
            <v>Bosnia &amp; Herzegovina</v>
          </cell>
        </row>
        <row r="86">
          <cell r="A86" t="str">
            <v>Serbia</v>
          </cell>
        </row>
        <row r="87">
          <cell r="A87" t="str">
            <v>Bulgaria</v>
          </cell>
        </row>
        <row r="88">
          <cell r="A88" t="str">
            <v>Lithuania</v>
          </cell>
        </row>
        <row r="89">
          <cell r="A89" t="str">
            <v>Armenia</v>
          </cell>
        </row>
        <row r="90">
          <cell r="A90" t="str">
            <v>Slovakia</v>
          </cell>
        </row>
        <row r="91">
          <cell r="A91" t="str">
            <v>Cyprus</v>
          </cell>
        </row>
        <row r="92">
          <cell r="A92" t="str">
            <v>Estonia</v>
          </cell>
        </row>
        <row r="93">
          <cell r="A93" t="str">
            <v>Honduras</v>
          </cell>
        </row>
        <row r="94">
          <cell r="A94" t="str">
            <v>Moldova</v>
          </cell>
        </row>
        <row r="95">
          <cell r="A95" t="str">
            <v>Kuwait</v>
          </cell>
        </row>
        <row r="96">
          <cell r="A96" t="str">
            <v>El Salvador</v>
          </cell>
        </row>
        <row r="97">
          <cell r="A97" t="str">
            <v>Croatia</v>
          </cell>
        </row>
        <row r="98">
          <cell r="A98" t="str">
            <v>Syria</v>
          </cell>
        </row>
        <row r="99">
          <cell r="A99" t="str">
            <v>Latvia</v>
          </cell>
        </row>
        <row r="100">
          <cell r="A100" t="str">
            <v>Jordan</v>
          </cell>
        </row>
        <row r="101">
          <cell r="A101" t="str">
            <v>Nigeria</v>
          </cell>
        </row>
        <row r="102">
          <cell r="A102" t="str">
            <v>Chile</v>
          </cell>
        </row>
        <row r="103">
          <cell r="A103" t="str">
            <v>Peru</v>
          </cell>
        </row>
        <row r="104">
          <cell r="A104" t="str">
            <v>Ecuador</v>
          </cell>
        </row>
        <row r="105">
          <cell r="A105" t="str">
            <v>Kazakhstan</v>
          </cell>
        </row>
        <row r="106">
          <cell r="A106" t="str">
            <v>Kenya</v>
          </cell>
        </row>
        <row r="107">
          <cell r="A107" t="str">
            <v>Venezuela</v>
          </cell>
        </row>
        <row r="108">
          <cell r="A108" t="str">
            <v>Aruba</v>
          </cell>
        </row>
        <row r="109">
          <cell r="A109" t="str">
            <v>Afghanistan</v>
          </cell>
        </row>
        <row r="110">
          <cell r="A110" t="str">
            <v>Angola</v>
          </cell>
        </row>
        <row r="111">
          <cell r="A111" t="str">
            <v>Anguilla</v>
          </cell>
        </row>
        <row r="112">
          <cell r="A112" t="str">
            <v>Ã…land Islands</v>
          </cell>
        </row>
        <row r="113">
          <cell r="A113" t="str">
            <v>Albania</v>
          </cell>
        </row>
        <row r="114">
          <cell r="A114" t="str">
            <v>Andorra</v>
          </cell>
        </row>
        <row r="115">
          <cell r="A115" t="str">
            <v>American Samoa</v>
          </cell>
        </row>
        <row r="116">
          <cell r="A116" t="str">
            <v>Antarctica</v>
          </cell>
        </row>
        <row r="117">
          <cell r="A117" t="str">
            <v>French Southern Territories</v>
          </cell>
        </row>
        <row r="118">
          <cell r="A118" t="str">
            <v>Antigua &amp; Barbuda</v>
          </cell>
        </row>
        <row r="119">
          <cell r="A119" t="str">
            <v>Azerbaijan</v>
          </cell>
        </row>
        <row r="120">
          <cell r="A120" t="str">
            <v>Burundi</v>
          </cell>
        </row>
        <row r="121">
          <cell r="A121" t="str">
            <v>Caribbean Netherlands</v>
          </cell>
        </row>
        <row r="122">
          <cell r="A122" t="str">
            <v>Burkina Faso</v>
          </cell>
        </row>
        <row r="123">
          <cell r="A123" t="str">
            <v>Bahrain</v>
          </cell>
        </row>
        <row r="124">
          <cell r="A124" t="str">
            <v>Bahamas</v>
          </cell>
        </row>
        <row r="125">
          <cell r="A125" t="str">
            <v>St. BarthÃ©lemy</v>
          </cell>
        </row>
        <row r="126">
          <cell r="A126" t="str">
            <v>Belize</v>
          </cell>
        </row>
        <row r="127">
          <cell r="A127" t="str">
            <v>Bermuda</v>
          </cell>
        </row>
        <row r="128">
          <cell r="A128" t="str">
            <v>Barbados</v>
          </cell>
        </row>
        <row r="129">
          <cell r="A129" t="str">
            <v>Bhutan</v>
          </cell>
        </row>
        <row r="130">
          <cell r="A130" t="str">
            <v>Bouvet Island</v>
          </cell>
        </row>
        <row r="131">
          <cell r="A131" t="str">
            <v>Botswana</v>
          </cell>
        </row>
        <row r="132">
          <cell r="A132" t="str">
            <v>Central African Republic</v>
          </cell>
        </row>
        <row r="133">
          <cell r="A133" t="str">
            <v>Cocos (Keeling) Islands</v>
          </cell>
        </row>
        <row r="134">
          <cell r="A134" t="str">
            <v>Cameroon</v>
          </cell>
        </row>
        <row r="135">
          <cell r="A135" t="str">
            <v>Congo - Kinshasa</v>
          </cell>
        </row>
        <row r="136">
          <cell r="A136" t="str">
            <v>Congo - Brazzaville</v>
          </cell>
        </row>
        <row r="137">
          <cell r="A137" t="str">
            <v>Cook Islands</v>
          </cell>
        </row>
        <row r="138">
          <cell r="A138" t="str">
            <v>Comoros</v>
          </cell>
        </row>
        <row r="139">
          <cell r="A139" t="str">
            <v>Cape Verde</v>
          </cell>
        </row>
        <row r="140">
          <cell r="A140" t="str">
            <v>Cuba</v>
          </cell>
        </row>
        <row r="141">
          <cell r="A141" t="str">
            <v>CuraÃ§ao</v>
          </cell>
        </row>
        <row r="142">
          <cell r="A142" t="str">
            <v>Christmas Island</v>
          </cell>
        </row>
        <row r="143">
          <cell r="A143" t="str">
            <v>Cayman Islands</v>
          </cell>
        </row>
        <row r="144">
          <cell r="A144" t="str">
            <v>Djibouti</v>
          </cell>
        </row>
        <row r="145">
          <cell r="A145" t="str">
            <v>Dominica</v>
          </cell>
        </row>
        <row r="146">
          <cell r="A146" t="str">
            <v>Dominican Republic</v>
          </cell>
        </row>
        <row r="147">
          <cell r="A147" t="str">
            <v>Eritrea</v>
          </cell>
        </row>
        <row r="148">
          <cell r="A148" t="str">
            <v>Western Sahara</v>
          </cell>
        </row>
        <row r="149">
          <cell r="A149" t="str">
            <v>Fiji</v>
          </cell>
        </row>
        <row r="150">
          <cell r="A150" t="str">
            <v>Falkland Islands (Islas Malvinas)</v>
          </cell>
        </row>
        <row r="151">
          <cell r="A151" t="str">
            <v>Faroe Islands</v>
          </cell>
        </row>
        <row r="152">
          <cell r="A152" t="str">
            <v>Micronesia</v>
          </cell>
        </row>
        <row r="153">
          <cell r="A153" t="str">
            <v>Gabon</v>
          </cell>
        </row>
        <row r="154">
          <cell r="A154" t="str">
            <v>Georgia</v>
          </cell>
        </row>
        <row r="155">
          <cell r="A155" t="str">
            <v>Guernsey</v>
          </cell>
        </row>
        <row r="156">
          <cell r="A156" t="str">
            <v>Gibraltar</v>
          </cell>
        </row>
        <row r="157">
          <cell r="A157" t="str">
            <v>Guinea</v>
          </cell>
        </row>
        <row r="158">
          <cell r="A158" t="str">
            <v>Guadeloupe</v>
          </cell>
        </row>
        <row r="159">
          <cell r="A159" t="str">
            <v>Gambia</v>
          </cell>
        </row>
        <row r="160">
          <cell r="A160" t="str">
            <v>Guinea-Bissau</v>
          </cell>
        </row>
        <row r="161">
          <cell r="A161" t="str">
            <v>Equatorial Guinea</v>
          </cell>
        </row>
        <row r="162">
          <cell r="A162" t="str">
            <v>Grenada</v>
          </cell>
        </row>
        <row r="163">
          <cell r="A163" t="str">
            <v>Greenland</v>
          </cell>
        </row>
        <row r="164">
          <cell r="A164" t="str">
            <v>Guatemala</v>
          </cell>
        </row>
        <row r="165">
          <cell r="A165" t="str">
            <v>Guam</v>
          </cell>
        </row>
        <row r="166">
          <cell r="A166" t="str">
            <v>Guyana</v>
          </cell>
        </row>
        <row r="167">
          <cell r="A167" t="str">
            <v>Heard &amp; McDonald Islands</v>
          </cell>
        </row>
        <row r="168">
          <cell r="A168" t="str">
            <v>Haiti</v>
          </cell>
        </row>
        <row r="169">
          <cell r="A169" t="str">
            <v>Isle of Man</v>
          </cell>
        </row>
        <row r="170">
          <cell r="A170" t="str">
            <v>British Indian Ocean Territory</v>
          </cell>
        </row>
        <row r="171">
          <cell r="A171" t="str">
            <v>Jersey</v>
          </cell>
        </row>
        <row r="172">
          <cell r="A172" t="str">
            <v>Kyrgyzstan</v>
          </cell>
        </row>
        <row r="173">
          <cell r="A173" t="str">
            <v>Cambodia</v>
          </cell>
        </row>
        <row r="174">
          <cell r="A174" t="str">
            <v>Kiribati</v>
          </cell>
        </row>
        <row r="175">
          <cell r="A175" t="str">
            <v>St. Kitts &amp; Nevis</v>
          </cell>
        </row>
        <row r="176">
          <cell r="A176" t="str">
            <v>Laos</v>
          </cell>
        </row>
        <row r="177">
          <cell r="A177" t="str">
            <v>Liberia</v>
          </cell>
        </row>
        <row r="178">
          <cell r="A178" t="str">
            <v>Libya</v>
          </cell>
        </row>
        <row r="179">
          <cell r="A179" t="str">
            <v>St. Lucia</v>
          </cell>
        </row>
        <row r="180">
          <cell r="A180" t="str">
            <v>Liechtenstein</v>
          </cell>
        </row>
        <row r="181">
          <cell r="A181" t="str">
            <v>Lesotho</v>
          </cell>
        </row>
        <row r="182">
          <cell r="A182" t="str">
            <v>Luxembourg</v>
          </cell>
        </row>
        <row r="183">
          <cell r="A183" t="str">
            <v>St. Martin</v>
          </cell>
        </row>
        <row r="184">
          <cell r="A184" t="str">
            <v>Monaco</v>
          </cell>
        </row>
        <row r="185">
          <cell r="A185" t="str">
            <v>Madagascar</v>
          </cell>
        </row>
        <row r="186">
          <cell r="A186" t="str">
            <v>Maldives</v>
          </cell>
        </row>
        <row r="187">
          <cell r="A187" t="str">
            <v>Marshall Islands</v>
          </cell>
        </row>
        <row r="188">
          <cell r="A188" t="str">
            <v>Mali</v>
          </cell>
        </row>
        <row r="189">
          <cell r="A189" t="str">
            <v>Mongolia</v>
          </cell>
        </row>
        <row r="190">
          <cell r="A190" t="str">
            <v>Northern Mariana Islands</v>
          </cell>
        </row>
        <row r="191">
          <cell r="A191" t="str">
            <v>Mozambique</v>
          </cell>
        </row>
        <row r="192">
          <cell r="A192" t="str">
            <v>Mauritania</v>
          </cell>
        </row>
        <row r="193">
          <cell r="A193" t="str">
            <v>Montserrat</v>
          </cell>
        </row>
        <row r="194">
          <cell r="A194" t="str">
            <v>Martinique</v>
          </cell>
        </row>
        <row r="195">
          <cell r="A195" t="str">
            <v>Mauritius</v>
          </cell>
        </row>
        <row r="196">
          <cell r="A196" t="str">
            <v>Malawi</v>
          </cell>
        </row>
        <row r="197">
          <cell r="A197" t="str">
            <v>Mayotte</v>
          </cell>
        </row>
        <row r="198">
          <cell r="A198" t="str">
            <v>Namibia</v>
          </cell>
        </row>
        <row r="199">
          <cell r="A199" t="str">
            <v>New Caledonia</v>
          </cell>
        </row>
        <row r="200">
          <cell r="A200" t="str">
            <v>Niger</v>
          </cell>
        </row>
        <row r="201">
          <cell r="A201" t="str">
            <v>Norfolk Island</v>
          </cell>
        </row>
        <row r="202">
          <cell r="A202" t="str">
            <v>Nicaragua</v>
          </cell>
        </row>
        <row r="203">
          <cell r="A203" t="str">
            <v>Niue</v>
          </cell>
        </row>
        <row r="204">
          <cell r="A204" t="str">
            <v>Nauru</v>
          </cell>
        </row>
        <row r="205">
          <cell r="A205" t="str">
            <v>Oman</v>
          </cell>
        </row>
        <row r="206">
          <cell r="A206" t="str">
            <v>Panama</v>
          </cell>
        </row>
        <row r="207">
          <cell r="A207" t="str">
            <v>Pitcairn Islands</v>
          </cell>
        </row>
        <row r="208">
          <cell r="A208" t="str">
            <v>Palau</v>
          </cell>
        </row>
        <row r="209">
          <cell r="A209" t="str">
            <v>Papua New Guinea</v>
          </cell>
        </row>
        <row r="210">
          <cell r="A210" t="str">
            <v>Puerto Rico</v>
          </cell>
        </row>
        <row r="211">
          <cell r="A211" t="str">
            <v>North Korea</v>
          </cell>
        </row>
        <row r="212">
          <cell r="A212" t="str">
            <v>Paraguay</v>
          </cell>
        </row>
        <row r="213">
          <cell r="A213" t="str">
            <v>French Polynesia</v>
          </cell>
        </row>
        <row r="214">
          <cell r="A214" t="str">
            <v>RÃ©union</v>
          </cell>
        </row>
        <row r="215">
          <cell r="A215" t="str">
            <v>Rwanda</v>
          </cell>
        </row>
        <row r="216">
          <cell r="A216" t="str">
            <v>South Georgia &amp; South Sandwich Islands</v>
          </cell>
        </row>
        <row r="217">
          <cell r="A217" t="str">
            <v>Svalbard &amp; Jan Mayen</v>
          </cell>
        </row>
        <row r="218">
          <cell r="A218" t="str">
            <v>Solomon Islands</v>
          </cell>
        </row>
        <row r="219">
          <cell r="A219" t="str">
            <v>Sierra Leone</v>
          </cell>
        </row>
        <row r="220">
          <cell r="A220" t="str">
            <v>San Marino</v>
          </cell>
        </row>
        <row r="221">
          <cell r="A221" t="str">
            <v>Somalia</v>
          </cell>
        </row>
        <row r="222">
          <cell r="A222" t="str">
            <v>St. Pierre &amp; Miquelon</v>
          </cell>
        </row>
        <row r="223">
          <cell r="A223" t="str">
            <v>South Sudan</v>
          </cell>
        </row>
        <row r="224">
          <cell r="A224" t="str">
            <v>SÃ£o TomÃ© &amp; PrÃ­ncipe</v>
          </cell>
        </row>
        <row r="225">
          <cell r="A225" t="str">
            <v>Suriname</v>
          </cell>
        </row>
        <row r="226">
          <cell r="A226" t="str">
            <v>Eswatini</v>
          </cell>
        </row>
        <row r="227">
          <cell r="A227" t="str">
            <v>Sint Maarten</v>
          </cell>
        </row>
        <row r="228">
          <cell r="A228" t="str">
            <v>Seychelles</v>
          </cell>
        </row>
        <row r="229">
          <cell r="A229" t="str">
            <v>Turks &amp; Caicos Islands</v>
          </cell>
        </row>
        <row r="230">
          <cell r="A230" t="str">
            <v>Chad</v>
          </cell>
        </row>
        <row r="231">
          <cell r="A231" t="str">
            <v>Togo</v>
          </cell>
        </row>
        <row r="232">
          <cell r="A232" t="str">
            <v>Tajikistan</v>
          </cell>
        </row>
        <row r="233">
          <cell r="A233" t="str">
            <v>Tokelau</v>
          </cell>
        </row>
        <row r="234">
          <cell r="A234" t="str">
            <v>Turkmenistan</v>
          </cell>
        </row>
        <row r="235">
          <cell r="A235" t="str">
            <v>Timor-Leste</v>
          </cell>
        </row>
        <row r="236">
          <cell r="A236" t="str">
            <v>Tonga</v>
          </cell>
        </row>
        <row r="237">
          <cell r="A237" t="str">
            <v>Trinidad &amp; Tobago</v>
          </cell>
        </row>
        <row r="238">
          <cell r="A238" t="str">
            <v>Tuvalu</v>
          </cell>
        </row>
        <row r="239">
          <cell r="A239" t="str">
            <v>Tanzania</v>
          </cell>
        </row>
        <row r="240">
          <cell r="A240" t="str">
            <v>Uganda</v>
          </cell>
        </row>
        <row r="241">
          <cell r="A241" t="str">
            <v>U.S. Outlying Islands</v>
          </cell>
        </row>
        <row r="242">
          <cell r="A242" t="str">
            <v>Uruguay</v>
          </cell>
        </row>
        <row r="243">
          <cell r="A243" t="str">
            <v>Uzbekistan</v>
          </cell>
        </row>
        <row r="244">
          <cell r="A244" t="str">
            <v>Vatican City</v>
          </cell>
        </row>
        <row r="245">
          <cell r="A245" t="str">
            <v>St. Vincent &amp; Grenadines</v>
          </cell>
        </row>
        <row r="246">
          <cell r="A246" t="str">
            <v>British Virgin Islands</v>
          </cell>
        </row>
        <row r="247">
          <cell r="A247" t="str">
            <v>U.S. Virgin Islands</v>
          </cell>
        </row>
        <row r="248">
          <cell r="A248" t="str">
            <v>Vanuatu</v>
          </cell>
        </row>
        <row r="249">
          <cell r="A249" t="str">
            <v>Wallis &amp; Futuna</v>
          </cell>
        </row>
        <row r="250">
          <cell r="A250" t="str">
            <v>Samoa</v>
          </cell>
        </row>
        <row r="251">
          <cell r="A251" t="str">
            <v>Kosovo</v>
          </cell>
        </row>
        <row r="252">
          <cell r="A252" t="str">
            <v>Zambia</v>
          </cell>
        </row>
        <row r="253">
          <cell r="A253" t="str">
            <v>Zimbabwe</v>
          </cell>
        </row>
      </sheetData>
    </sheetDataSet>
  </externalBook>
</externalLink>
</file>

<file path=xl/externalLinks/externalLink1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42)"/>
    </sheetNames>
    <sheetDataSet>
      <sheetData sheetId="0" refreshError="1">
        <row r="1">
          <cell r="A1" t="str">
            <v>Category: All categories</v>
          </cell>
        </row>
        <row r="3">
          <cell r="A3" t="str">
            <v>Country</v>
          </cell>
          <cell r="B3" t="str">
            <v>Edge detection: (2018)</v>
          </cell>
          <cell r="C3" t="str">
            <v>Heuristic evaluation: (2018)</v>
          </cell>
        </row>
        <row r="4">
          <cell r="A4" t="str">
            <v>China</v>
          </cell>
          <cell r="B4">
            <v>1</v>
          </cell>
        </row>
        <row r="5">
          <cell r="A5" t="str">
            <v>South Korea</v>
          </cell>
          <cell r="B5">
            <v>0.94</v>
          </cell>
          <cell r="C5">
            <v>0.06</v>
          </cell>
        </row>
        <row r="6">
          <cell r="A6" t="str">
            <v>St. Helena</v>
          </cell>
          <cell r="B6">
            <v>1</v>
          </cell>
        </row>
        <row r="7">
          <cell r="A7" t="str">
            <v>Singapore</v>
          </cell>
          <cell r="B7">
            <v>0.78</v>
          </cell>
          <cell r="C7">
            <v>0.22</v>
          </cell>
        </row>
        <row r="8">
          <cell r="A8" t="str">
            <v>Pakistan</v>
          </cell>
          <cell r="B8">
            <v>0.79</v>
          </cell>
          <cell r="C8">
            <v>0.21</v>
          </cell>
        </row>
        <row r="9">
          <cell r="A9" t="str">
            <v>Tunisia</v>
          </cell>
          <cell r="B9">
            <v>1</v>
          </cell>
        </row>
        <row r="10">
          <cell r="A10" t="str">
            <v>Hong Kong</v>
          </cell>
          <cell r="B10">
            <v>1</v>
          </cell>
        </row>
        <row r="11">
          <cell r="A11" t="str">
            <v>India</v>
          </cell>
          <cell r="B11">
            <v>0.9</v>
          </cell>
          <cell r="C11">
            <v>0.1</v>
          </cell>
        </row>
        <row r="12">
          <cell r="A12" t="str">
            <v>Sri Lanka</v>
          </cell>
          <cell r="B12">
            <v>1</v>
          </cell>
        </row>
        <row r="13">
          <cell r="A13" t="str">
            <v>Bangladesh</v>
          </cell>
          <cell r="B13">
            <v>1</v>
          </cell>
        </row>
        <row r="14">
          <cell r="A14" t="str">
            <v>Taiwan</v>
          </cell>
          <cell r="B14">
            <v>1</v>
          </cell>
        </row>
        <row r="15">
          <cell r="A15" t="str">
            <v>Iraq</v>
          </cell>
          <cell r="B15">
            <v>1</v>
          </cell>
        </row>
        <row r="16">
          <cell r="A16" t="str">
            <v>Israel</v>
          </cell>
          <cell r="B16">
            <v>1</v>
          </cell>
        </row>
        <row r="17">
          <cell r="A17" t="str">
            <v>Switzerland</v>
          </cell>
          <cell r="B17">
            <v>1</v>
          </cell>
        </row>
        <row r="18">
          <cell r="A18" t="str">
            <v>Japan</v>
          </cell>
          <cell r="B18">
            <v>1</v>
          </cell>
        </row>
        <row r="19">
          <cell r="A19" t="str">
            <v>Denmark</v>
          </cell>
          <cell r="B19">
            <v>1</v>
          </cell>
        </row>
        <row r="20">
          <cell r="A20" t="str">
            <v>Malaysia</v>
          </cell>
          <cell r="B20">
            <v>0.65</v>
          </cell>
          <cell r="C20">
            <v>0.35</v>
          </cell>
        </row>
        <row r="21">
          <cell r="A21" t="str">
            <v>Germany</v>
          </cell>
          <cell r="B21">
            <v>0.89</v>
          </cell>
          <cell r="C21">
            <v>0.11</v>
          </cell>
        </row>
        <row r="22">
          <cell r="A22" t="str">
            <v>Ireland</v>
          </cell>
          <cell r="B22">
            <v>0.69</v>
          </cell>
          <cell r="C22">
            <v>0.31</v>
          </cell>
        </row>
        <row r="23">
          <cell r="A23" t="str">
            <v>Canada</v>
          </cell>
          <cell r="B23">
            <v>0.82</v>
          </cell>
          <cell r="C23">
            <v>0.18</v>
          </cell>
        </row>
        <row r="24">
          <cell r="A24" t="str">
            <v>Czechia</v>
          </cell>
          <cell r="B24">
            <v>1</v>
          </cell>
        </row>
        <row r="25">
          <cell r="A25" t="str">
            <v>Hungary</v>
          </cell>
          <cell r="B25">
            <v>1</v>
          </cell>
        </row>
        <row r="26">
          <cell r="A26" t="str">
            <v>Austria</v>
          </cell>
          <cell r="B26">
            <v>0.79</v>
          </cell>
          <cell r="C26">
            <v>0.21</v>
          </cell>
        </row>
        <row r="27">
          <cell r="A27" t="str">
            <v>United States</v>
          </cell>
          <cell r="B27">
            <v>0.76</v>
          </cell>
          <cell r="C27">
            <v>0.24</v>
          </cell>
        </row>
        <row r="28">
          <cell r="A28" t="str">
            <v>Belgium</v>
          </cell>
          <cell r="B28">
            <v>1</v>
          </cell>
        </row>
        <row r="29">
          <cell r="A29" t="str">
            <v>Algeria</v>
          </cell>
          <cell r="B29">
            <v>1</v>
          </cell>
        </row>
        <row r="30">
          <cell r="A30" t="str">
            <v>Philippines</v>
          </cell>
          <cell r="B30">
            <v>0.78</v>
          </cell>
          <cell r="C30">
            <v>0.22</v>
          </cell>
        </row>
        <row r="31">
          <cell r="A31" t="str">
            <v>Netherlands</v>
          </cell>
          <cell r="B31">
            <v>0.72</v>
          </cell>
          <cell r="C31">
            <v>0.28000000000000003</v>
          </cell>
        </row>
        <row r="32">
          <cell r="A32" t="str">
            <v>Australia</v>
          </cell>
          <cell r="B32">
            <v>0.66</v>
          </cell>
          <cell r="C32">
            <v>0.34</v>
          </cell>
        </row>
        <row r="33">
          <cell r="A33" t="str">
            <v>Egypt</v>
          </cell>
          <cell r="B33">
            <v>0.92</v>
          </cell>
          <cell r="C33">
            <v>0.08</v>
          </cell>
        </row>
        <row r="34">
          <cell r="A34" t="str">
            <v>Morocco</v>
          </cell>
          <cell r="B34">
            <v>1</v>
          </cell>
        </row>
        <row r="35">
          <cell r="A35" t="str">
            <v>Finland</v>
          </cell>
          <cell r="B35">
            <v>1</v>
          </cell>
        </row>
        <row r="36">
          <cell r="A36" t="str">
            <v>Sweden</v>
          </cell>
          <cell r="B36">
            <v>0.61</v>
          </cell>
          <cell r="C36">
            <v>0.39</v>
          </cell>
        </row>
        <row r="37">
          <cell r="A37" t="str">
            <v>Iran</v>
          </cell>
          <cell r="B37">
            <v>1</v>
          </cell>
        </row>
        <row r="38">
          <cell r="A38" t="str">
            <v>New Zealand</v>
          </cell>
          <cell r="B38">
            <v>0.72</v>
          </cell>
          <cell r="C38">
            <v>0.28000000000000003</v>
          </cell>
        </row>
        <row r="39">
          <cell r="A39" t="str">
            <v>Kenya</v>
          </cell>
          <cell r="C39">
            <v>1</v>
          </cell>
        </row>
        <row r="40">
          <cell r="A40" t="str">
            <v>United Kingdom</v>
          </cell>
          <cell r="B40">
            <v>0.71</v>
          </cell>
          <cell r="C40">
            <v>0.28999999999999998</v>
          </cell>
        </row>
        <row r="41">
          <cell r="A41" t="str">
            <v>South Africa</v>
          </cell>
          <cell r="B41">
            <v>0.64</v>
          </cell>
          <cell r="C41">
            <v>0.36</v>
          </cell>
        </row>
        <row r="42">
          <cell r="A42" t="str">
            <v>Romania</v>
          </cell>
          <cell r="B42">
            <v>1</v>
          </cell>
        </row>
        <row r="43">
          <cell r="A43" t="str">
            <v>Thailand</v>
          </cell>
          <cell r="B43">
            <v>1</v>
          </cell>
        </row>
        <row r="44">
          <cell r="A44" t="str">
            <v>Portugal</v>
          </cell>
          <cell r="B44">
            <v>1</v>
          </cell>
        </row>
        <row r="45">
          <cell r="A45" t="str">
            <v>Ghana</v>
          </cell>
        </row>
        <row r="46">
          <cell r="A46" t="str">
            <v>United Arab Emirates</v>
          </cell>
          <cell r="B46">
            <v>1</v>
          </cell>
        </row>
        <row r="47">
          <cell r="A47" t="str">
            <v>Norway</v>
          </cell>
          <cell r="B47">
            <v>1</v>
          </cell>
        </row>
        <row r="48">
          <cell r="A48" t="str">
            <v>Turkey</v>
          </cell>
          <cell r="B48">
            <v>1</v>
          </cell>
        </row>
        <row r="49">
          <cell r="A49" t="str">
            <v>Vietnam</v>
          </cell>
          <cell r="B49">
            <v>1</v>
          </cell>
        </row>
        <row r="50">
          <cell r="A50" t="str">
            <v>Indonesia</v>
          </cell>
          <cell r="B50">
            <v>0.73</v>
          </cell>
          <cell r="C50">
            <v>0.27</v>
          </cell>
        </row>
        <row r="51">
          <cell r="A51" t="str">
            <v>France</v>
          </cell>
          <cell r="B51">
            <v>1</v>
          </cell>
        </row>
        <row r="52">
          <cell r="A52" t="str">
            <v>Russia</v>
          </cell>
          <cell r="B52">
            <v>1</v>
          </cell>
        </row>
        <row r="53">
          <cell r="A53" t="str">
            <v>Poland</v>
          </cell>
          <cell r="B53">
            <v>1</v>
          </cell>
        </row>
        <row r="54">
          <cell r="A54" t="str">
            <v>Italy</v>
          </cell>
          <cell r="B54">
            <v>1</v>
          </cell>
        </row>
        <row r="55">
          <cell r="A55" t="str">
            <v>Spain</v>
          </cell>
          <cell r="B55">
            <v>1</v>
          </cell>
        </row>
        <row r="56">
          <cell r="A56" t="str">
            <v>Mexico</v>
          </cell>
          <cell r="B56">
            <v>1</v>
          </cell>
        </row>
        <row r="57">
          <cell r="A57" t="str">
            <v>Greece</v>
          </cell>
          <cell r="B57">
            <v>1</v>
          </cell>
        </row>
        <row r="58">
          <cell r="A58" t="str">
            <v>Colombia</v>
          </cell>
          <cell r="B58">
            <v>1</v>
          </cell>
        </row>
        <row r="59">
          <cell r="A59" t="str">
            <v>Brazil</v>
          </cell>
          <cell r="B59">
            <v>1</v>
          </cell>
        </row>
        <row r="60">
          <cell r="A60" t="str">
            <v>Ukraine</v>
          </cell>
          <cell r="B60">
            <v>1</v>
          </cell>
        </row>
        <row r="61">
          <cell r="A61" t="str">
            <v>Saudi Arabia</v>
          </cell>
          <cell r="B61">
            <v>0.63</v>
          </cell>
          <cell r="C61">
            <v>0.37</v>
          </cell>
        </row>
        <row r="62">
          <cell r="A62" t="str">
            <v>French Guiana</v>
          </cell>
        </row>
        <row r="63">
          <cell r="A63" t="str">
            <v>Rwanda</v>
          </cell>
        </row>
        <row r="64">
          <cell r="A64" t="str">
            <v>French Polynesia</v>
          </cell>
        </row>
        <row r="65">
          <cell r="A65" t="str">
            <v>Botswana</v>
          </cell>
        </row>
        <row r="66">
          <cell r="A66" t="str">
            <v>Jersey</v>
          </cell>
        </row>
        <row r="67">
          <cell r="A67" t="str">
            <v>Cuba</v>
          </cell>
        </row>
        <row r="68">
          <cell r="A68" t="str">
            <v>Benin</v>
          </cell>
        </row>
        <row r="69">
          <cell r="A69" t="str">
            <v>Martinique</v>
          </cell>
        </row>
        <row r="70">
          <cell r="A70" t="str">
            <v>Guadeloupe</v>
          </cell>
        </row>
        <row r="71">
          <cell r="A71" t="str">
            <v>Brunei</v>
          </cell>
        </row>
        <row r="72">
          <cell r="A72" t="str">
            <v>Ethiopia</v>
          </cell>
        </row>
        <row r="73">
          <cell r="A73" t="str">
            <v>Albania</v>
          </cell>
        </row>
        <row r="74">
          <cell r="A74" t="str">
            <v>Mongolia</v>
          </cell>
        </row>
        <row r="75">
          <cell r="A75" t="str">
            <v>Montenegro</v>
          </cell>
        </row>
        <row r="76">
          <cell r="A76" t="str">
            <v>Malta</v>
          </cell>
        </row>
        <row r="77">
          <cell r="A77" t="str">
            <v>Zimbabwe</v>
          </cell>
        </row>
        <row r="78">
          <cell r="A78" t="str">
            <v>Syria</v>
          </cell>
        </row>
        <row r="79">
          <cell r="A79" t="str">
            <v>Cameroon</v>
          </cell>
        </row>
        <row r="80">
          <cell r="A80" t="str">
            <v>Costa Rica</v>
          </cell>
        </row>
        <row r="81">
          <cell r="A81" t="str">
            <v>Estonia</v>
          </cell>
        </row>
        <row r="82">
          <cell r="A82" t="str">
            <v>Nepal</v>
          </cell>
        </row>
        <row r="83">
          <cell r="A83" t="str">
            <v>Slovenia</v>
          </cell>
        </row>
        <row r="84">
          <cell r="A84" t="str">
            <v>Sudan</v>
          </cell>
        </row>
        <row r="85">
          <cell r="A85" t="str">
            <v>Libya</v>
          </cell>
        </row>
        <row r="86">
          <cell r="A86" t="str">
            <v>Luxembourg</v>
          </cell>
        </row>
        <row r="87">
          <cell r="A87" t="str">
            <v>Slovakia</v>
          </cell>
        </row>
        <row r="88">
          <cell r="A88" t="str">
            <v>Nicaragua</v>
          </cell>
        </row>
        <row r="89">
          <cell r="A89" t="str">
            <v>Uganda</v>
          </cell>
        </row>
        <row r="90">
          <cell r="A90" t="str">
            <v>North Macedonia</v>
          </cell>
        </row>
        <row r="91">
          <cell r="A91" t="str">
            <v>Yemen</v>
          </cell>
        </row>
        <row r="92">
          <cell r="A92" t="str">
            <v>Myanmar (Burma)</v>
          </cell>
        </row>
        <row r="93">
          <cell r="A93" t="str">
            <v>Lebanon</v>
          </cell>
        </row>
        <row r="94">
          <cell r="A94" t="str">
            <v>Lithuania</v>
          </cell>
        </row>
        <row r="95">
          <cell r="A95" t="str">
            <v>Jordan</v>
          </cell>
        </row>
        <row r="96">
          <cell r="A96" t="str">
            <v>Cyprus</v>
          </cell>
        </row>
        <row r="97">
          <cell r="A97" t="str">
            <v>Tanzania</v>
          </cell>
        </row>
        <row r="98">
          <cell r="A98" t="str">
            <v>Oman</v>
          </cell>
        </row>
        <row r="99">
          <cell r="A99" t="str">
            <v>Honduras</v>
          </cell>
        </row>
        <row r="100">
          <cell r="A100" t="str">
            <v>Moldova</v>
          </cell>
        </row>
        <row r="101">
          <cell r="A101" t="str">
            <v>Qatar</v>
          </cell>
        </row>
        <row r="102">
          <cell r="A102" t="str">
            <v>Georgia</v>
          </cell>
        </row>
        <row r="103">
          <cell r="A103" t="str">
            <v>Latvia</v>
          </cell>
        </row>
        <row r="104">
          <cell r="A104" t="str">
            <v>Bosnia &amp; Herzegovina</v>
          </cell>
        </row>
        <row r="105">
          <cell r="A105" t="str">
            <v>Belarus</v>
          </cell>
        </row>
        <row r="106">
          <cell r="A106" t="str">
            <v>Ecuador</v>
          </cell>
        </row>
        <row r="107">
          <cell r="A107" t="str">
            <v>Serbia</v>
          </cell>
        </row>
        <row r="108">
          <cell r="A108" t="str">
            <v>Kuwait</v>
          </cell>
        </row>
        <row r="109">
          <cell r="A109" t="str">
            <v>Croatia</v>
          </cell>
        </row>
        <row r="110">
          <cell r="A110" t="str">
            <v>Kazakhstan</v>
          </cell>
        </row>
        <row r="111">
          <cell r="A111" t="str">
            <v>Chile</v>
          </cell>
        </row>
        <row r="112">
          <cell r="A112" t="str">
            <v>Bulgaria</v>
          </cell>
        </row>
        <row r="113">
          <cell r="A113" t="str">
            <v>Peru</v>
          </cell>
        </row>
        <row r="114">
          <cell r="A114" t="str">
            <v>Nigeria</v>
          </cell>
        </row>
        <row r="115">
          <cell r="A115" t="str">
            <v>Argentina</v>
          </cell>
        </row>
        <row r="116">
          <cell r="A116" t="str">
            <v>Aruba</v>
          </cell>
        </row>
        <row r="117">
          <cell r="A117" t="str">
            <v>Afghanistan</v>
          </cell>
        </row>
        <row r="118">
          <cell r="A118" t="str">
            <v>Angola</v>
          </cell>
        </row>
        <row r="119">
          <cell r="A119" t="str">
            <v>Anguilla</v>
          </cell>
        </row>
        <row r="120">
          <cell r="A120" t="str">
            <v>Ã…land Islands</v>
          </cell>
        </row>
        <row r="121">
          <cell r="A121" t="str">
            <v>Andorra</v>
          </cell>
        </row>
        <row r="122">
          <cell r="A122" t="str">
            <v>Armenia</v>
          </cell>
        </row>
        <row r="123">
          <cell r="A123" t="str">
            <v>American Samoa</v>
          </cell>
        </row>
        <row r="124">
          <cell r="A124" t="str">
            <v>Antarctica</v>
          </cell>
        </row>
        <row r="125">
          <cell r="A125" t="str">
            <v>French Southern Territories</v>
          </cell>
        </row>
        <row r="126">
          <cell r="A126" t="str">
            <v>Antigua &amp; Barbuda</v>
          </cell>
        </row>
        <row r="127">
          <cell r="A127" t="str">
            <v>Azerbaijan</v>
          </cell>
        </row>
        <row r="128">
          <cell r="A128" t="str">
            <v>Burundi</v>
          </cell>
        </row>
        <row r="129">
          <cell r="A129" t="str">
            <v>Caribbean Netherlands</v>
          </cell>
        </row>
        <row r="130">
          <cell r="A130" t="str">
            <v>Burkina Faso</v>
          </cell>
        </row>
        <row r="131">
          <cell r="A131" t="str">
            <v>Bahrain</v>
          </cell>
        </row>
        <row r="132">
          <cell r="A132" t="str">
            <v>Bahamas</v>
          </cell>
        </row>
        <row r="133">
          <cell r="A133" t="str">
            <v>St. BarthÃ©lemy</v>
          </cell>
        </row>
        <row r="134">
          <cell r="A134" t="str">
            <v>Belize</v>
          </cell>
        </row>
        <row r="135">
          <cell r="A135" t="str">
            <v>Bermuda</v>
          </cell>
        </row>
        <row r="136">
          <cell r="A136" t="str">
            <v>Bolivia</v>
          </cell>
        </row>
        <row r="137">
          <cell r="A137" t="str">
            <v>Barbados</v>
          </cell>
        </row>
        <row r="138">
          <cell r="A138" t="str">
            <v>Bhutan</v>
          </cell>
        </row>
        <row r="139">
          <cell r="A139" t="str">
            <v>Bouvet Island</v>
          </cell>
        </row>
        <row r="140">
          <cell r="A140" t="str">
            <v>Central African Republic</v>
          </cell>
        </row>
        <row r="141">
          <cell r="A141" t="str">
            <v>Cocos (Keeling) Islands</v>
          </cell>
        </row>
        <row r="142">
          <cell r="A142" t="str">
            <v>CÃ´te dâ€™Ivoire</v>
          </cell>
        </row>
        <row r="143">
          <cell r="A143" t="str">
            <v>Congo - Kinshasa</v>
          </cell>
        </row>
        <row r="144">
          <cell r="A144" t="str">
            <v>Congo - Brazzaville</v>
          </cell>
        </row>
        <row r="145">
          <cell r="A145" t="str">
            <v>Cook Islands</v>
          </cell>
        </row>
        <row r="146">
          <cell r="A146" t="str">
            <v>Comoros</v>
          </cell>
        </row>
        <row r="147">
          <cell r="A147" t="str">
            <v>Cape Verde</v>
          </cell>
        </row>
        <row r="148">
          <cell r="A148" t="str">
            <v>CuraÃ§ao</v>
          </cell>
        </row>
        <row r="149">
          <cell r="A149" t="str">
            <v>Christmas Island</v>
          </cell>
        </row>
        <row r="150">
          <cell r="A150" t="str">
            <v>Cayman Islands</v>
          </cell>
        </row>
        <row r="151">
          <cell r="A151" t="str">
            <v>Djibouti</v>
          </cell>
        </row>
        <row r="152">
          <cell r="A152" t="str">
            <v>Dominica</v>
          </cell>
        </row>
        <row r="153">
          <cell r="A153" t="str">
            <v>Dominican Republic</v>
          </cell>
        </row>
        <row r="154">
          <cell r="A154" t="str">
            <v>Eritrea</v>
          </cell>
        </row>
        <row r="155">
          <cell r="A155" t="str">
            <v>Western Sahara</v>
          </cell>
        </row>
        <row r="156">
          <cell r="A156" t="str">
            <v>Fiji</v>
          </cell>
        </row>
        <row r="157">
          <cell r="A157" t="str">
            <v>Falkland Islands (Islas Malvinas)</v>
          </cell>
        </row>
        <row r="158">
          <cell r="A158" t="str">
            <v>Faroe Islands</v>
          </cell>
        </row>
        <row r="159">
          <cell r="A159" t="str">
            <v>Micronesia</v>
          </cell>
        </row>
        <row r="160">
          <cell r="A160" t="str">
            <v>Gabon</v>
          </cell>
        </row>
        <row r="161">
          <cell r="A161" t="str">
            <v>Guernsey</v>
          </cell>
        </row>
        <row r="162">
          <cell r="A162" t="str">
            <v>Gibraltar</v>
          </cell>
        </row>
        <row r="163">
          <cell r="A163" t="str">
            <v>Guinea</v>
          </cell>
        </row>
        <row r="164">
          <cell r="A164" t="str">
            <v>Gambia</v>
          </cell>
        </row>
        <row r="165">
          <cell r="A165" t="str">
            <v>Guinea-Bissau</v>
          </cell>
        </row>
        <row r="166">
          <cell r="A166" t="str">
            <v>Equatorial Guinea</v>
          </cell>
        </row>
        <row r="167">
          <cell r="A167" t="str">
            <v>Grenada</v>
          </cell>
        </row>
        <row r="168">
          <cell r="A168" t="str">
            <v>Greenland</v>
          </cell>
        </row>
        <row r="169">
          <cell r="A169" t="str">
            <v>Guatemala</v>
          </cell>
        </row>
        <row r="170">
          <cell r="A170" t="str">
            <v>Guam</v>
          </cell>
        </row>
        <row r="171">
          <cell r="A171" t="str">
            <v>Guyana</v>
          </cell>
        </row>
        <row r="172">
          <cell r="A172" t="str">
            <v>Heard &amp; McDonald Islands</v>
          </cell>
        </row>
        <row r="173">
          <cell r="A173" t="str">
            <v>Haiti</v>
          </cell>
        </row>
        <row r="174">
          <cell r="A174" t="str">
            <v>Isle of Man</v>
          </cell>
        </row>
        <row r="175">
          <cell r="A175" t="str">
            <v>British Indian Ocean Territory</v>
          </cell>
        </row>
        <row r="176">
          <cell r="A176" t="str">
            <v>Iceland</v>
          </cell>
        </row>
        <row r="177">
          <cell r="A177" t="str">
            <v>Jamaica</v>
          </cell>
        </row>
        <row r="178">
          <cell r="A178" t="str">
            <v>Kyrgyzstan</v>
          </cell>
        </row>
        <row r="179">
          <cell r="A179" t="str">
            <v>Cambodia</v>
          </cell>
        </row>
        <row r="180">
          <cell r="A180" t="str">
            <v>Kiribati</v>
          </cell>
        </row>
        <row r="181">
          <cell r="A181" t="str">
            <v>St. Kitts &amp; Nevis</v>
          </cell>
        </row>
        <row r="182">
          <cell r="A182" t="str">
            <v>Laos</v>
          </cell>
        </row>
        <row r="183">
          <cell r="A183" t="str">
            <v>Liberia</v>
          </cell>
        </row>
        <row r="184">
          <cell r="A184" t="str">
            <v>St. Lucia</v>
          </cell>
        </row>
        <row r="185">
          <cell r="A185" t="str">
            <v>Liechtenstein</v>
          </cell>
        </row>
        <row r="186">
          <cell r="A186" t="str">
            <v>Lesotho</v>
          </cell>
        </row>
        <row r="187">
          <cell r="A187" t="str">
            <v>Macao</v>
          </cell>
        </row>
        <row r="188">
          <cell r="A188" t="str">
            <v>St. Martin</v>
          </cell>
        </row>
        <row r="189">
          <cell r="A189" t="str">
            <v>Monaco</v>
          </cell>
        </row>
        <row r="190">
          <cell r="A190" t="str">
            <v>Madagascar</v>
          </cell>
        </row>
        <row r="191">
          <cell r="A191" t="str">
            <v>Maldives</v>
          </cell>
        </row>
        <row r="192">
          <cell r="A192" t="str">
            <v>Marshall Islands</v>
          </cell>
        </row>
        <row r="193">
          <cell r="A193" t="str">
            <v>Mali</v>
          </cell>
        </row>
        <row r="194">
          <cell r="A194" t="str">
            <v>Northern Mariana Islands</v>
          </cell>
        </row>
        <row r="195">
          <cell r="A195" t="str">
            <v>Mozambique</v>
          </cell>
        </row>
        <row r="196">
          <cell r="A196" t="str">
            <v>Mauritania</v>
          </cell>
        </row>
        <row r="197">
          <cell r="A197" t="str">
            <v>Montserrat</v>
          </cell>
        </row>
        <row r="198">
          <cell r="A198" t="str">
            <v>Mauritius</v>
          </cell>
        </row>
        <row r="199">
          <cell r="A199" t="str">
            <v>Malawi</v>
          </cell>
        </row>
        <row r="200">
          <cell r="A200" t="str">
            <v>Mayotte</v>
          </cell>
        </row>
        <row r="201">
          <cell r="A201" t="str">
            <v>Namibia</v>
          </cell>
        </row>
        <row r="202">
          <cell r="A202" t="str">
            <v>New Caledonia</v>
          </cell>
        </row>
        <row r="203">
          <cell r="A203" t="str">
            <v>Niger</v>
          </cell>
        </row>
        <row r="204">
          <cell r="A204" t="str">
            <v>Norfolk Island</v>
          </cell>
        </row>
        <row r="205">
          <cell r="A205" t="str">
            <v>Niue</v>
          </cell>
        </row>
        <row r="206">
          <cell r="A206" t="str">
            <v>Nauru</v>
          </cell>
        </row>
        <row r="207">
          <cell r="A207" t="str">
            <v>Panama</v>
          </cell>
        </row>
        <row r="208">
          <cell r="A208" t="str">
            <v>Pitcairn Islands</v>
          </cell>
        </row>
        <row r="209">
          <cell r="A209" t="str">
            <v>Palau</v>
          </cell>
        </row>
        <row r="210">
          <cell r="A210" t="str">
            <v>Papua New Guinea</v>
          </cell>
        </row>
        <row r="211">
          <cell r="A211" t="str">
            <v>Puerto Rico</v>
          </cell>
        </row>
        <row r="212">
          <cell r="A212" t="str">
            <v>North Korea</v>
          </cell>
        </row>
        <row r="213">
          <cell r="A213" t="str">
            <v>Paraguay</v>
          </cell>
        </row>
        <row r="214">
          <cell r="A214" t="str">
            <v>Palestine</v>
          </cell>
        </row>
        <row r="215">
          <cell r="A215" t="str">
            <v>RÃ©union</v>
          </cell>
        </row>
        <row r="216">
          <cell r="A216" t="str">
            <v>Senegal</v>
          </cell>
        </row>
        <row r="217">
          <cell r="A217" t="str">
            <v>South Georgia &amp; South Sandwich Islands</v>
          </cell>
        </row>
        <row r="218">
          <cell r="A218" t="str">
            <v>Svalbard &amp; Jan Mayen</v>
          </cell>
        </row>
        <row r="219">
          <cell r="A219" t="str">
            <v>Solomon Islands</v>
          </cell>
        </row>
        <row r="220">
          <cell r="A220" t="str">
            <v>Sierra Leone</v>
          </cell>
        </row>
        <row r="221">
          <cell r="A221" t="str">
            <v>El Salvador</v>
          </cell>
        </row>
        <row r="222">
          <cell r="A222" t="str">
            <v>San Marino</v>
          </cell>
        </row>
        <row r="223">
          <cell r="A223" t="str">
            <v>Somalia</v>
          </cell>
        </row>
        <row r="224">
          <cell r="A224" t="str">
            <v>St. Pierre &amp; Miquelon</v>
          </cell>
        </row>
        <row r="225">
          <cell r="A225" t="str">
            <v>South Sudan</v>
          </cell>
        </row>
        <row r="226">
          <cell r="A226" t="str">
            <v>SÃ£o TomÃ© &amp; PrÃ­ncipe</v>
          </cell>
        </row>
        <row r="227">
          <cell r="A227" t="str">
            <v>Suriname</v>
          </cell>
        </row>
        <row r="228">
          <cell r="A228" t="str">
            <v>Eswatini</v>
          </cell>
        </row>
        <row r="229">
          <cell r="A229" t="str">
            <v>Sint Maarten</v>
          </cell>
        </row>
        <row r="230">
          <cell r="A230" t="str">
            <v>Seychelles</v>
          </cell>
        </row>
        <row r="231">
          <cell r="A231" t="str">
            <v>Turks &amp; Caicos Islands</v>
          </cell>
        </row>
        <row r="232">
          <cell r="A232" t="str">
            <v>Chad</v>
          </cell>
        </row>
        <row r="233">
          <cell r="A233" t="str">
            <v>Togo</v>
          </cell>
        </row>
        <row r="234">
          <cell r="A234" t="str">
            <v>Tajikistan</v>
          </cell>
        </row>
        <row r="235">
          <cell r="A235" t="str">
            <v>Tokelau</v>
          </cell>
        </row>
        <row r="236">
          <cell r="A236" t="str">
            <v>Turkmenistan</v>
          </cell>
        </row>
        <row r="237">
          <cell r="A237" t="str">
            <v>Timor-Leste</v>
          </cell>
        </row>
        <row r="238">
          <cell r="A238" t="str">
            <v>Tonga</v>
          </cell>
        </row>
        <row r="239">
          <cell r="A239" t="str">
            <v>Trinidad &amp; Tobago</v>
          </cell>
        </row>
        <row r="240">
          <cell r="A240" t="str">
            <v>Tuvalu</v>
          </cell>
        </row>
        <row r="241">
          <cell r="A241" t="str">
            <v>U.S. Outlying Islands</v>
          </cell>
        </row>
        <row r="242">
          <cell r="A242" t="str">
            <v>Uruguay</v>
          </cell>
        </row>
        <row r="243">
          <cell r="A243" t="str">
            <v>Uzbekistan</v>
          </cell>
        </row>
        <row r="244">
          <cell r="A244" t="str">
            <v>Vatican City</v>
          </cell>
        </row>
        <row r="245">
          <cell r="A245" t="str">
            <v>St. Vincent &amp; Grenadines</v>
          </cell>
        </row>
        <row r="246">
          <cell r="A246" t="str">
            <v>Venezuela</v>
          </cell>
        </row>
        <row r="247">
          <cell r="A247" t="str">
            <v>British Virgin Islands</v>
          </cell>
        </row>
        <row r="248">
          <cell r="A248" t="str">
            <v>U.S. Virgin Islands</v>
          </cell>
        </row>
        <row r="249">
          <cell r="A249" t="str">
            <v>Vanuatu</v>
          </cell>
        </row>
        <row r="250">
          <cell r="A250" t="str">
            <v>Wallis &amp; Futuna</v>
          </cell>
        </row>
        <row r="251">
          <cell r="A251" t="str">
            <v>Samoa</v>
          </cell>
        </row>
        <row r="252">
          <cell r="A252" t="str">
            <v>Kosovo</v>
          </cell>
        </row>
        <row r="253">
          <cell r="A253" t="str">
            <v>Zambia</v>
          </cell>
        </row>
      </sheetData>
    </sheetDataSet>
  </externalBook>
</externalLink>
</file>

<file path=xl/externalLinks/externalLink1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89)"/>
    </sheetNames>
    <sheetDataSet>
      <sheetData sheetId="0" refreshError="1">
        <row r="1">
          <cell r="A1" t="str">
            <v>Category: All categories</v>
          </cell>
        </row>
        <row r="3">
          <cell r="A3" t="str">
            <v>Country</v>
          </cell>
          <cell r="B3" t="str">
            <v>For loop: (2018)</v>
          </cell>
          <cell r="C3" t="str">
            <v>Deep learning: (2018)</v>
          </cell>
        </row>
        <row r="4">
          <cell r="A4" t="str">
            <v>China</v>
          </cell>
          <cell r="B4">
            <v>0.45</v>
          </cell>
          <cell r="C4">
            <v>0.55000000000000004</v>
          </cell>
        </row>
        <row r="5">
          <cell r="A5" t="str">
            <v>South Korea</v>
          </cell>
          <cell r="B5">
            <v>0.56000000000000005</v>
          </cell>
          <cell r="C5">
            <v>0.44</v>
          </cell>
        </row>
        <row r="6">
          <cell r="A6" t="str">
            <v>St. Helena</v>
          </cell>
          <cell r="B6">
            <v>0.81</v>
          </cell>
          <cell r="C6">
            <v>0.19</v>
          </cell>
        </row>
        <row r="7">
          <cell r="A7" t="str">
            <v>Singapore</v>
          </cell>
          <cell r="B7">
            <v>0.67</v>
          </cell>
          <cell r="C7">
            <v>0.33</v>
          </cell>
        </row>
        <row r="8">
          <cell r="A8" t="str">
            <v>Hong Kong</v>
          </cell>
          <cell r="B8">
            <v>0.7</v>
          </cell>
          <cell r="C8">
            <v>0.3</v>
          </cell>
        </row>
        <row r="9">
          <cell r="A9" t="str">
            <v>Iceland</v>
          </cell>
        </row>
        <row r="10">
          <cell r="A10" t="str">
            <v>Pakistan</v>
          </cell>
          <cell r="B10">
            <v>0.83</v>
          </cell>
          <cell r="C10">
            <v>0.17</v>
          </cell>
        </row>
        <row r="11">
          <cell r="A11" t="str">
            <v>Sri Lanka</v>
          </cell>
        </row>
        <row r="12">
          <cell r="A12" t="str">
            <v>Cuba</v>
          </cell>
        </row>
        <row r="13">
          <cell r="A13" t="str">
            <v>Luxembourg</v>
          </cell>
        </row>
        <row r="14">
          <cell r="A14" t="str">
            <v>Mauritius</v>
          </cell>
        </row>
        <row r="15">
          <cell r="A15" t="str">
            <v>India</v>
          </cell>
          <cell r="B15">
            <v>0.81</v>
          </cell>
          <cell r="C15">
            <v>0.19</v>
          </cell>
        </row>
        <row r="16">
          <cell r="A16" t="str">
            <v>Nepal</v>
          </cell>
        </row>
        <row r="17">
          <cell r="A17" t="str">
            <v>Israel</v>
          </cell>
          <cell r="B17">
            <v>0.66</v>
          </cell>
          <cell r="C17">
            <v>0.34</v>
          </cell>
        </row>
        <row r="18">
          <cell r="A18" t="str">
            <v>Japan</v>
          </cell>
          <cell r="B18">
            <v>0.66</v>
          </cell>
          <cell r="C18">
            <v>0.34</v>
          </cell>
        </row>
        <row r="19">
          <cell r="A19" t="str">
            <v>Myanmar (Burma)</v>
          </cell>
        </row>
        <row r="20">
          <cell r="A20" t="str">
            <v>Canada</v>
          </cell>
          <cell r="B20">
            <v>0.79</v>
          </cell>
          <cell r="C20">
            <v>0.21</v>
          </cell>
        </row>
        <row r="21">
          <cell r="A21" t="str">
            <v>Switzerland</v>
          </cell>
          <cell r="B21">
            <v>0.75</v>
          </cell>
          <cell r="C21">
            <v>0.25</v>
          </cell>
        </row>
        <row r="22">
          <cell r="A22" t="str">
            <v>Philippines</v>
          </cell>
          <cell r="B22">
            <v>0.93</v>
          </cell>
          <cell r="C22">
            <v>7.0000000000000007E-2</v>
          </cell>
        </row>
        <row r="23">
          <cell r="A23" t="str">
            <v>Armenia</v>
          </cell>
        </row>
        <row r="24">
          <cell r="A24" t="str">
            <v>Botswana</v>
          </cell>
        </row>
        <row r="25">
          <cell r="A25" t="str">
            <v>United States</v>
          </cell>
          <cell r="B25">
            <v>0.79</v>
          </cell>
          <cell r="C25">
            <v>0.21</v>
          </cell>
        </row>
        <row r="26">
          <cell r="A26" t="str">
            <v>Malta</v>
          </cell>
        </row>
        <row r="27">
          <cell r="A27" t="str">
            <v>New Zealand</v>
          </cell>
          <cell r="B27">
            <v>0.84</v>
          </cell>
          <cell r="C27">
            <v>0.16</v>
          </cell>
        </row>
        <row r="28">
          <cell r="A28" t="str">
            <v>Rwanda</v>
          </cell>
        </row>
        <row r="29">
          <cell r="A29" t="str">
            <v>Macao</v>
          </cell>
        </row>
        <row r="30">
          <cell r="A30" t="str">
            <v>Taiwan</v>
          </cell>
          <cell r="B30">
            <v>0.56999999999999995</v>
          </cell>
          <cell r="C30">
            <v>0.43</v>
          </cell>
        </row>
        <row r="31">
          <cell r="A31" t="str">
            <v>Madagascar</v>
          </cell>
        </row>
        <row r="32">
          <cell r="A32" t="str">
            <v>Ireland</v>
          </cell>
          <cell r="B32">
            <v>0.78</v>
          </cell>
          <cell r="C32">
            <v>0.22</v>
          </cell>
        </row>
        <row r="33">
          <cell r="A33" t="str">
            <v>Australia</v>
          </cell>
          <cell r="B33">
            <v>0.81</v>
          </cell>
          <cell r="C33">
            <v>0.19</v>
          </cell>
        </row>
        <row r="34">
          <cell r="A34" t="str">
            <v>Lesotho</v>
          </cell>
        </row>
        <row r="35">
          <cell r="A35" t="str">
            <v>Tunisia</v>
          </cell>
          <cell r="B35">
            <v>0.65</v>
          </cell>
          <cell r="C35">
            <v>0.35</v>
          </cell>
        </row>
        <row r="36">
          <cell r="A36" t="str">
            <v>Estonia</v>
          </cell>
        </row>
        <row r="37">
          <cell r="A37" t="str">
            <v>Germany</v>
          </cell>
          <cell r="B37">
            <v>0.78</v>
          </cell>
          <cell r="C37">
            <v>0.22</v>
          </cell>
        </row>
        <row r="38">
          <cell r="A38" t="str">
            <v>Ethiopia</v>
          </cell>
        </row>
        <row r="39">
          <cell r="A39" t="str">
            <v>Finland</v>
          </cell>
          <cell r="B39">
            <v>0.83</v>
          </cell>
          <cell r="C39">
            <v>0.17</v>
          </cell>
        </row>
        <row r="40">
          <cell r="A40" t="str">
            <v>Maldives</v>
          </cell>
        </row>
        <row r="41">
          <cell r="A41" t="str">
            <v>United Kingdom</v>
          </cell>
          <cell r="B41">
            <v>0.8</v>
          </cell>
          <cell r="C41">
            <v>0.2</v>
          </cell>
        </row>
        <row r="42">
          <cell r="A42" t="str">
            <v>Bangladesh</v>
          </cell>
          <cell r="B42">
            <v>0.79</v>
          </cell>
          <cell r="C42">
            <v>0.21</v>
          </cell>
        </row>
        <row r="43">
          <cell r="A43" t="str">
            <v>Fiji</v>
          </cell>
        </row>
        <row r="44">
          <cell r="A44" t="str">
            <v>Austria</v>
          </cell>
          <cell r="B44">
            <v>0.79</v>
          </cell>
          <cell r="C44">
            <v>0.21</v>
          </cell>
        </row>
        <row r="45">
          <cell r="A45" t="str">
            <v>Cyprus</v>
          </cell>
        </row>
        <row r="46">
          <cell r="A46" t="str">
            <v>Portugal</v>
          </cell>
          <cell r="B46">
            <v>0.83</v>
          </cell>
          <cell r="C46">
            <v>0.17</v>
          </cell>
        </row>
        <row r="47">
          <cell r="A47" t="str">
            <v>Jamaica</v>
          </cell>
        </row>
        <row r="48">
          <cell r="A48" t="str">
            <v>Barbados</v>
          </cell>
        </row>
        <row r="49">
          <cell r="A49" t="str">
            <v>Sweden</v>
          </cell>
          <cell r="B49">
            <v>0.76</v>
          </cell>
          <cell r="C49">
            <v>0.24</v>
          </cell>
        </row>
        <row r="50">
          <cell r="A50" t="str">
            <v>Costa Rica</v>
          </cell>
        </row>
        <row r="51">
          <cell r="A51" t="str">
            <v>Guatemala</v>
          </cell>
        </row>
        <row r="52">
          <cell r="A52" t="str">
            <v>Lebanon</v>
          </cell>
        </row>
        <row r="53">
          <cell r="A53" t="str">
            <v>Netherlands</v>
          </cell>
          <cell r="B53">
            <v>0.76</v>
          </cell>
          <cell r="C53">
            <v>0.24</v>
          </cell>
        </row>
        <row r="54">
          <cell r="A54" t="str">
            <v>South Africa</v>
          </cell>
          <cell r="B54">
            <v>0.86</v>
          </cell>
          <cell r="C54">
            <v>0.14000000000000001</v>
          </cell>
        </row>
        <row r="55">
          <cell r="A55" t="str">
            <v>Malaysia</v>
          </cell>
          <cell r="B55">
            <v>0.78</v>
          </cell>
          <cell r="C55">
            <v>0.22</v>
          </cell>
        </row>
        <row r="56">
          <cell r="A56" t="str">
            <v>Norway</v>
          </cell>
          <cell r="B56">
            <v>0.77</v>
          </cell>
          <cell r="C56">
            <v>0.23</v>
          </cell>
        </row>
        <row r="57">
          <cell r="A57" t="str">
            <v>Zimbabwe</v>
          </cell>
        </row>
        <row r="58">
          <cell r="A58" t="str">
            <v>Honduras</v>
          </cell>
        </row>
        <row r="59">
          <cell r="A59" t="str">
            <v>Denmark</v>
          </cell>
          <cell r="B59">
            <v>0.76</v>
          </cell>
          <cell r="C59">
            <v>0.24</v>
          </cell>
        </row>
        <row r="60">
          <cell r="A60" t="str">
            <v>El Salvador</v>
          </cell>
        </row>
        <row r="61">
          <cell r="A61" t="str">
            <v>Belarus</v>
          </cell>
        </row>
        <row r="62">
          <cell r="A62" t="str">
            <v>Latvia</v>
          </cell>
        </row>
        <row r="63">
          <cell r="A63" t="str">
            <v>Cameroon</v>
          </cell>
        </row>
        <row r="64">
          <cell r="A64" t="str">
            <v>Cambodia</v>
          </cell>
        </row>
        <row r="65">
          <cell r="A65" t="str">
            <v>United Arab Emirates</v>
          </cell>
          <cell r="B65">
            <v>0.78</v>
          </cell>
          <cell r="C65">
            <v>0.22</v>
          </cell>
        </row>
        <row r="66">
          <cell r="A66" t="str">
            <v>Belize</v>
          </cell>
        </row>
        <row r="67">
          <cell r="A67" t="str">
            <v>Ecuador</v>
          </cell>
        </row>
        <row r="68">
          <cell r="A68" t="str">
            <v>Belgium</v>
          </cell>
          <cell r="B68">
            <v>0.76</v>
          </cell>
          <cell r="C68">
            <v>0.24</v>
          </cell>
        </row>
        <row r="69">
          <cell r="A69" t="str">
            <v>Slovenia</v>
          </cell>
        </row>
        <row r="70">
          <cell r="A70" t="str">
            <v>France</v>
          </cell>
          <cell r="B70">
            <v>0.74</v>
          </cell>
          <cell r="C70">
            <v>0.26</v>
          </cell>
        </row>
        <row r="71">
          <cell r="A71" t="str">
            <v>Namibia</v>
          </cell>
        </row>
        <row r="72">
          <cell r="A72" t="str">
            <v>Bahrain</v>
          </cell>
        </row>
        <row r="73">
          <cell r="A73" t="str">
            <v>Mexico</v>
          </cell>
          <cell r="B73">
            <v>0.93</v>
          </cell>
          <cell r="C73">
            <v>7.0000000000000007E-2</v>
          </cell>
        </row>
        <row r="74">
          <cell r="A74" t="str">
            <v>Bolivia</v>
          </cell>
        </row>
        <row r="75">
          <cell r="A75" t="str">
            <v>Colombia</v>
          </cell>
          <cell r="B75">
            <v>0.91</v>
          </cell>
          <cell r="C75">
            <v>0.09</v>
          </cell>
        </row>
        <row r="76">
          <cell r="A76" t="str">
            <v>Guyana</v>
          </cell>
        </row>
        <row r="77">
          <cell r="A77" t="str">
            <v>Russia</v>
          </cell>
          <cell r="B77">
            <v>0.88</v>
          </cell>
          <cell r="C77">
            <v>0.12</v>
          </cell>
        </row>
        <row r="78">
          <cell r="A78" t="str">
            <v>Jersey</v>
          </cell>
        </row>
        <row r="79">
          <cell r="A79" t="str">
            <v>Bhutan</v>
          </cell>
        </row>
        <row r="80">
          <cell r="A80" t="str">
            <v>Spain</v>
          </cell>
          <cell r="B80">
            <v>0.81</v>
          </cell>
          <cell r="C80">
            <v>0.19</v>
          </cell>
        </row>
        <row r="81">
          <cell r="A81" t="str">
            <v>Kenya</v>
          </cell>
        </row>
        <row r="82">
          <cell r="A82" t="str">
            <v>North Macedonia</v>
          </cell>
        </row>
        <row r="83">
          <cell r="A83" t="str">
            <v>Qatar</v>
          </cell>
        </row>
        <row r="84">
          <cell r="A84" t="str">
            <v>Trinidad &amp; Tobago</v>
          </cell>
        </row>
        <row r="85">
          <cell r="A85" t="str">
            <v>Serbia</v>
          </cell>
        </row>
        <row r="86">
          <cell r="A86" t="str">
            <v>Papua New Guinea</v>
          </cell>
        </row>
        <row r="87">
          <cell r="A87" t="str">
            <v>Kosovo</v>
          </cell>
        </row>
        <row r="88">
          <cell r="A88" t="str">
            <v>Ukraine</v>
          </cell>
          <cell r="B88">
            <v>0.91</v>
          </cell>
          <cell r="C88">
            <v>0.09</v>
          </cell>
        </row>
        <row r="89">
          <cell r="A89" t="str">
            <v>Kazakhstan</v>
          </cell>
        </row>
        <row r="90">
          <cell r="A90" t="str">
            <v>Chile</v>
          </cell>
          <cell r="B90">
            <v>0.85</v>
          </cell>
          <cell r="C90">
            <v>0.15</v>
          </cell>
        </row>
        <row r="91">
          <cell r="A91" t="str">
            <v>Panama</v>
          </cell>
        </row>
        <row r="92">
          <cell r="A92" t="str">
            <v>Uruguay</v>
          </cell>
        </row>
        <row r="93">
          <cell r="A93" t="str">
            <v>Mozambique</v>
          </cell>
        </row>
        <row r="94">
          <cell r="A94" t="str">
            <v>Moldova</v>
          </cell>
        </row>
        <row r="95">
          <cell r="A95" t="str">
            <v>Peru</v>
          </cell>
          <cell r="B95">
            <v>0.88</v>
          </cell>
          <cell r="C95">
            <v>0.12</v>
          </cell>
        </row>
        <row r="96">
          <cell r="A96" t="str">
            <v>Mongolia</v>
          </cell>
        </row>
        <row r="97">
          <cell r="A97" t="str">
            <v>Puerto Rico</v>
          </cell>
        </row>
        <row r="98">
          <cell r="A98" t="str">
            <v>Lithuania</v>
          </cell>
        </row>
        <row r="99">
          <cell r="A99" t="str">
            <v>Benin</v>
          </cell>
        </row>
        <row r="100">
          <cell r="A100" t="str">
            <v>Uzbekistan</v>
          </cell>
        </row>
        <row r="101">
          <cell r="A101" t="str">
            <v>Somalia</v>
          </cell>
        </row>
        <row r="102">
          <cell r="A102" t="str">
            <v>Bosnia &amp; Herzegovina</v>
          </cell>
        </row>
        <row r="103">
          <cell r="A103" t="str">
            <v>Palestine</v>
          </cell>
        </row>
        <row r="104">
          <cell r="A104" t="str">
            <v>Croatia</v>
          </cell>
          <cell r="B104">
            <v>0.78</v>
          </cell>
          <cell r="C104">
            <v>0.22</v>
          </cell>
        </row>
        <row r="105">
          <cell r="A105" t="str">
            <v>Afghanistan</v>
          </cell>
        </row>
        <row r="106">
          <cell r="A106" t="str">
            <v>Uganda</v>
          </cell>
        </row>
        <row r="107">
          <cell r="A107" t="str">
            <v>Poland</v>
          </cell>
          <cell r="B107">
            <v>0.82</v>
          </cell>
          <cell r="C107">
            <v>0.18</v>
          </cell>
        </row>
        <row r="108">
          <cell r="A108" t="str">
            <v>Ghana</v>
          </cell>
        </row>
        <row r="109">
          <cell r="A109" t="str">
            <v>Laos</v>
          </cell>
        </row>
        <row r="110">
          <cell r="A110" t="str">
            <v>Morocco</v>
          </cell>
          <cell r="B110">
            <v>0.67</v>
          </cell>
          <cell r="C110">
            <v>0.33</v>
          </cell>
        </row>
        <row r="111">
          <cell r="A111" t="str">
            <v>Hungary</v>
          </cell>
          <cell r="B111">
            <v>0.77</v>
          </cell>
          <cell r="C111">
            <v>0.23</v>
          </cell>
        </row>
        <row r="112">
          <cell r="A112" t="str">
            <v>Czechia</v>
          </cell>
          <cell r="B112">
            <v>0.78</v>
          </cell>
          <cell r="C112">
            <v>0.22</v>
          </cell>
        </row>
        <row r="113">
          <cell r="A113" t="str">
            <v>Tanzania</v>
          </cell>
        </row>
        <row r="114">
          <cell r="A114" t="str">
            <v>Bulgaria</v>
          </cell>
        </row>
        <row r="115">
          <cell r="A115" t="str">
            <v>Italy</v>
          </cell>
          <cell r="B115">
            <v>0.79</v>
          </cell>
          <cell r="C115">
            <v>0.21</v>
          </cell>
        </row>
        <row r="116">
          <cell r="A116" t="str">
            <v>Nicaragua</v>
          </cell>
        </row>
        <row r="117">
          <cell r="A117" t="str">
            <v>Jordan</v>
          </cell>
        </row>
        <row r="118">
          <cell r="A118" t="str">
            <v>Montenegro</v>
          </cell>
        </row>
        <row r="119">
          <cell r="A119" t="str">
            <v>Brunei</v>
          </cell>
        </row>
        <row r="120">
          <cell r="A120" t="str">
            <v>Angola</v>
          </cell>
        </row>
        <row r="121">
          <cell r="A121" t="str">
            <v>Malawi</v>
          </cell>
        </row>
        <row r="122">
          <cell r="A122" t="str">
            <v>Nigeria</v>
          </cell>
          <cell r="B122">
            <v>0.77</v>
          </cell>
          <cell r="C122">
            <v>0.23</v>
          </cell>
        </row>
        <row r="123">
          <cell r="A123" t="str">
            <v>Argentina</v>
          </cell>
          <cell r="B123">
            <v>0.88</v>
          </cell>
          <cell r="C123">
            <v>0.12</v>
          </cell>
        </row>
        <row r="124">
          <cell r="A124" t="str">
            <v>Albania</v>
          </cell>
        </row>
        <row r="125">
          <cell r="A125" t="str">
            <v>Greece</v>
          </cell>
          <cell r="B125">
            <v>0.7</v>
          </cell>
          <cell r="C125">
            <v>0.3</v>
          </cell>
        </row>
        <row r="126">
          <cell r="A126" t="str">
            <v>Oman</v>
          </cell>
        </row>
        <row r="127">
          <cell r="A127" t="str">
            <v>Zambia</v>
          </cell>
        </row>
        <row r="128">
          <cell r="A128" t="str">
            <v>Egypt</v>
          </cell>
          <cell r="B128">
            <v>0.63</v>
          </cell>
          <cell r="C128">
            <v>0.37</v>
          </cell>
        </row>
        <row r="129">
          <cell r="A129" t="str">
            <v>Thailand</v>
          </cell>
          <cell r="B129">
            <v>0.76</v>
          </cell>
          <cell r="C129">
            <v>0.24</v>
          </cell>
        </row>
        <row r="130">
          <cell r="A130" t="str">
            <v>Turkey</v>
          </cell>
          <cell r="B130">
            <v>0.72</v>
          </cell>
          <cell r="C130">
            <v>0.28000000000000003</v>
          </cell>
        </row>
        <row r="131">
          <cell r="A131" t="str">
            <v>Brazil</v>
          </cell>
          <cell r="B131">
            <v>0.84</v>
          </cell>
          <cell r="C131">
            <v>0.16</v>
          </cell>
        </row>
        <row r="132">
          <cell r="A132" t="str">
            <v>Georgia</v>
          </cell>
        </row>
        <row r="133">
          <cell r="A133" t="str">
            <v>Kyrgyzstan</v>
          </cell>
        </row>
        <row r="134">
          <cell r="A134" t="str">
            <v>Slovakia</v>
          </cell>
        </row>
        <row r="135">
          <cell r="A135" t="str">
            <v>Azerbaijan</v>
          </cell>
        </row>
        <row r="136">
          <cell r="A136" t="str">
            <v>Senegal</v>
          </cell>
        </row>
        <row r="137">
          <cell r="A137" t="str">
            <v>Dominican Republic</v>
          </cell>
        </row>
        <row r="138">
          <cell r="A138" t="str">
            <v>Sudan</v>
          </cell>
        </row>
        <row r="139">
          <cell r="A139" t="str">
            <v>Kuwait</v>
          </cell>
        </row>
        <row r="140">
          <cell r="A140" t="str">
            <v>Romania</v>
          </cell>
          <cell r="B140">
            <v>0.72</v>
          </cell>
          <cell r="C140">
            <v>0.28000000000000003</v>
          </cell>
        </row>
        <row r="141">
          <cell r="A141" t="str">
            <v>Paraguay</v>
          </cell>
        </row>
        <row r="142">
          <cell r="A142" t="str">
            <v>Congo - Kinshasa</v>
          </cell>
        </row>
        <row r="143">
          <cell r="A143" t="str">
            <v>CÃ´te dâ€™Ivoire</v>
          </cell>
        </row>
        <row r="144">
          <cell r="A144" t="str">
            <v>Algeria</v>
          </cell>
        </row>
        <row r="145">
          <cell r="A145" t="str">
            <v>Iran</v>
          </cell>
          <cell r="B145">
            <v>0.46</v>
          </cell>
          <cell r="C145">
            <v>0.54</v>
          </cell>
        </row>
        <row r="146">
          <cell r="A146" t="str">
            <v>Tajikistan</v>
          </cell>
        </row>
        <row r="147">
          <cell r="A147" t="str">
            <v>Saudi Arabia</v>
          </cell>
          <cell r="B147">
            <v>0.73</v>
          </cell>
          <cell r="C147">
            <v>0.27</v>
          </cell>
        </row>
        <row r="148">
          <cell r="A148" t="str">
            <v>RÃ©union</v>
          </cell>
        </row>
        <row r="149">
          <cell r="A149" t="str">
            <v>Yemen</v>
          </cell>
        </row>
        <row r="150">
          <cell r="A150" t="str">
            <v>Venezuela</v>
          </cell>
        </row>
        <row r="151">
          <cell r="A151" t="str">
            <v>Vietnam</v>
          </cell>
          <cell r="B151">
            <v>0.52</v>
          </cell>
          <cell r="C151">
            <v>0.48</v>
          </cell>
        </row>
        <row r="152">
          <cell r="A152" t="str">
            <v>Iraq</v>
          </cell>
        </row>
        <row r="153">
          <cell r="A153" t="str">
            <v>Syria</v>
          </cell>
        </row>
        <row r="154">
          <cell r="A154" t="str">
            <v>Indonesia</v>
          </cell>
          <cell r="B154">
            <v>0.63</v>
          </cell>
          <cell r="C154">
            <v>0.37</v>
          </cell>
        </row>
        <row r="155">
          <cell r="A155" t="str">
            <v>Eritrea</v>
          </cell>
        </row>
        <row r="156">
          <cell r="A156" t="str">
            <v>Marshall Islands</v>
          </cell>
        </row>
        <row r="157">
          <cell r="A157" t="str">
            <v>Guinea-Bissau</v>
          </cell>
        </row>
        <row r="158">
          <cell r="A158" t="str">
            <v>St. Pierre &amp; Miquelon</v>
          </cell>
        </row>
        <row r="159">
          <cell r="A159" t="str">
            <v>Tonga</v>
          </cell>
        </row>
        <row r="160">
          <cell r="A160" t="str">
            <v>Anguilla</v>
          </cell>
        </row>
        <row r="161">
          <cell r="A161" t="str">
            <v>San Marino</v>
          </cell>
        </row>
        <row r="162">
          <cell r="A162" t="str">
            <v>Ã…land Islands</v>
          </cell>
        </row>
        <row r="163">
          <cell r="A163" t="str">
            <v>Caribbean Netherlands</v>
          </cell>
        </row>
        <row r="164">
          <cell r="A164" t="str">
            <v>Liechtenstein</v>
          </cell>
        </row>
        <row r="165">
          <cell r="A165" t="str">
            <v>Faroe Islands</v>
          </cell>
        </row>
        <row r="166">
          <cell r="A166" t="str">
            <v>Burundi</v>
          </cell>
        </row>
        <row r="167">
          <cell r="A167" t="str">
            <v>Gibraltar</v>
          </cell>
        </row>
        <row r="168">
          <cell r="A168" t="str">
            <v>Cape Verde</v>
          </cell>
        </row>
        <row r="169">
          <cell r="A169" t="str">
            <v>Timor-Leste</v>
          </cell>
        </row>
        <row r="170">
          <cell r="A170" t="str">
            <v>St. Kitts &amp; Nevis</v>
          </cell>
        </row>
        <row r="171">
          <cell r="A171" t="str">
            <v>Vanuatu</v>
          </cell>
        </row>
        <row r="172">
          <cell r="A172" t="str">
            <v>British Virgin Islands</v>
          </cell>
        </row>
        <row r="173">
          <cell r="A173" t="str">
            <v>Dominica</v>
          </cell>
        </row>
        <row r="174">
          <cell r="A174" t="str">
            <v>Monaco</v>
          </cell>
        </row>
        <row r="175">
          <cell r="A175" t="str">
            <v>Cayman Islands</v>
          </cell>
        </row>
        <row r="176">
          <cell r="A176" t="str">
            <v>Samoa</v>
          </cell>
        </row>
        <row r="177">
          <cell r="A177" t="str">
            <v>U.S. Virgin Islands</v>
          </cell>
        </row>
        <row r="178">
          <cell r="A178" t="str">
            <v>Equatorial Guinea</v>
          </cell>
        </row>
        <row r="179">
          <cell r="A179" t="str">
            <v>Djibouti</v>
          </cell>
        </row>
        <row r="180">
          <cell r="A180" t="str">
            <v>Isle of Man</v>
          </cell>
        </row>
        <row r="181">
          <cell r="A181" t="str">
            <v>Togo</v>
          </cell>
        </row>
        <row r="182">
          <cell r="A182" t="str">
            <v>French Polynesia</v>
          </cell>
        </row>
        <row r="183">
          <cell r="A183" t="str">
            <v>Northern Mariana Islands</v>
          </cell>
        </row>
        <row r="184">
          <cell r="A184" t="str">
            <v>New Caledonia</v>
          </cell>
        </row>
        <row r="185">
          <cell r="A185" t="str">
            <v>Sint Maarten</v>
          </cell>
        </row>
        <row r="186">
          <cell r="A186" t="str">
            <v>Haiti</v>
          </cell>
        </row>
        <row r="187">
          <cell r="A187" t="str">
            <v>Antigua &amp; Barbuda</v>
          </cell>
        </row>
        <row r="188">
          <cell r="A188" t="str">
            <v>Eswatini</v>
          </cell>
        </row>
        <row r="189">
          <cell r="A189" t="str">
            <v>Guam</v>
          </cell>
        </row>
        <row r="190">
          <cell r="A190" t="str">
            <v>Liberia</v>
          </cell>
        </row>
        <row r="191">
          <cell r="A191" t="str">
            <v>CuraÃ§ao</v>
          </cell>
        </row>
        <row r="192">
          <cell r="A192" t="str">
            <v>Andorra</v>
          </cell>
        </row>
        <row r="193">
          <cell r="A193" t="str">
            <v>Grenada</v>
          </cell>
        </row>
        <row r="194">
          <cell r="A194" t="str">
            <v>Bermuda</v>
          </cell>
        </row>
        <row r="195">
          <cell r="A195" t="str">
            <v>Mauritania</v>
          </cell>
        </row>
        <row r="196">
          <cell r="A196" t="str">
            <v>Seychelles</v>
          </cell>
        </row>
        <row r="197">
          <cell r="A197" t="str">
            <v>French Guiana</v>
          </cell>
        </row>
        <row r="198">
          <cell r="A198" t="str">
            <v>Gambia</v>
          </cell>
        </row>
        <row r="199">
          <cell r="A199" t="str">
            <v>Suriname</v>
          </cell>
        </row>
        <row r="200">
          <cell r="A200" t="str">
            <v>Sierra Leone</v>
          </cell>
        </row>
        <row r="201">
          <cell r="A201" t="str">
            <v>Turkmenistan</v>
          </cell>
        </row>
        <row r="202">
          <cell r="A202" t="str">
            <v>Congo - Brazzaville</v>
          </cell>
        </row>
        <row r="203">
          <cell r="A203" t="str">
            <v>Aruba</v>
          </cell>
        </row>
        <row r="204">
          <cell r="A204" t="str">
            <v>Mali</v>
          </cell>
        </row>
        <row r="205">
          <cell r="A205" t="str">
            <v>Martinique</v>
          </cell>
        </row>
        <row r="206">
          <cell r="A206" t="str">
            <v>Libya</v>
          </cell>
        </row>
        <row r="207">
          <cell r="A207" t="str">
            <v>South Sudan</v>
          </cell>
        </row>
        <row r="208">
          <cell r="A208" t="str">
            <v>St. Lucia</v>
          </cell>
        </row>
        <row r="209">
          <cell r="A209" t="str">
            <v>Guernsey</v>
          </cell>
        </row>
        <row r="210">
          <cell r="A210" t="str">
            <v>Gabon</v>
          </cell>
        </row>
        <row r="211">
          <cell r="A211" t="str">
            <v>Guadeloupe</v>
          </cell>
        </row>
        <row r="212">
          <cell r="A212" t="str">
            <v>Bahamas</v>
          </cell>
        </row>
        <row r="213">
          <cell r="A213" t="str">
            <v>Burkina Faso</v>
          </cell>
        </row>
        <row r="214">
          <cell r="A214" t="str">
            <v>Guinea</v>
          </cell>
        </row>
        <row r="215">
          <cell r="A215" t="str">
            <v>American Samoa</v>
          </cell>
        </row>
        <row r="216">
          <cell r="A216" t="str">
            <v>Antarctica</v>
          </cell>
        </row>
        <row r="217">
          <cell r="A217" t="str">
            <v>French Southern Territories</v>
          </cell>
        </row>
        <row r="218">
          <cell r="A218" t="str">
            <v>St. BarthÃ©lemy</v>
          </cell>
        </row>
        <row r="219">
          <cell r="A219" t="str">
            <v>Bouvet Island</v>
          </cell>
        </row>
        <row r="220">
          <cell r="A220" t="str">
            <v>Central African Republic</v>
          </cell>
        </row>
        <row r="221">
          <cell r="A221" t="str">
            <v>Cocos (Keeling) Islands</v>
          </cell>
        </row>
        <row r="222">
          <cell r="A222" t="str">
            <v>Cook Islands</v>
          </cell>
        </row>
        <row r="223">
          <cell r="A223" t="str">
            <v>Comoros</v>
          </cell>
        </row>
        <row r="224">
          <cell r="A224" t="str">
            <v>Christmas Island</v>
          </cell>
        </row>
        <row r="225">
          <cell r="A225" t="str">
            <v>Western Sahara</v>
          </cell>
        </row>
        <row r="226">
          <cell r="A226" t="str">
            <v>Falkland Islands (Islas Malvinas)</v>
          </cell>
        </row>
        <row r="227">
          <cell r="A227" t="str">
            <v>Micronesia</v>
          </cell>
        </row>
        <row r="228">
          <cell r="A228" t="str">
            <v>Greenland</v>
          </cell>
        </row>
        <row r="229">
          <cell r="A229" t="str">
            <v>Heard &amp; McDonald Islands</v>
          </cell>
        </row>
        <row r="230">
          <cell r="A230" t="str">
            <v>British Indian Ocean Territory</v>
          </cell>
        </row>
        <row r="231">
          <cell r="A231" t="str">
            <v>Kiribati</v>
          </cell>
        </row>
        <row r="232">
          <cell r="A232" t="str">
            <v>St. Martin</v>
          </cell>
        </row>
        <row r="233">
          <cell r="A233" t="str">
            <v>Montserrat</v>
          </cell>
        </row>
        <row r="234">
          <cell r="A234" t="str">
            <v>Mayotte</v>
          </cell>
        </row>
        <row r="235">
          <cell r="A235" t="str">
            <v>Niger</v>
          </cell>
        </row>
        <row r="236">
          <cell r="A236" t="str">
            <v>Norfolk Island</v>
          </cell>
        </row>
        <row r="237">
          <cell r="A237" t="str">
            <v>Niue</v>
          </cell>
        </row>
        <row r="238">
          <cell r="A238" t="str">
            <v>Nauru</v>
          </cell>
        </row>
        <row r="239">
          <cell r="A239" t="str">
            <v>Pitcairn Islands</v>
          </cell>
        </row>
        <row r="240">
          <cell r="A240" t="str">
            <v>Palau</v>
          </cell>
        </row>
        <row r="241">
          <cell r="A241" t="str">
            <v>North Korea</v>
          </cell>
        </row>
        <row r="242">
          <cell r="A242" t="str">
            <v>South Georgia &amp; South Sandwich Islands</v>
          </cell>
        </row>
        <row r="243">
          <cell r="A243" t="str">
            <v>Svalbard &amp; Jan Mayen</v>
          </cell>
        </row>
        <row r="244">
          <cell r="A244" t="str">
            <v>Solomon Islands</v>
          </cell>
        </row>
        <row r="245">
          <cell r="A245" t="str">
            <v>SÃ£o TomÃ© &amp; PrÃ­ncipe</v>
          </cell>
        </row>
        <row r="246">
          <cell r="A246" t="str">
            <v>Turks &amp; Caicos Islands</v>
          </cell>
        </row>
        <row r="247">
          <cell r="A247" t="str">
            <v>Chad</v>
          </cell>
        </row>
        <row r="248">
          <cell r="A248" t="str">
            <v>Tokelau</v>
          </cell>
        </row>
        <row r="249">
          <cell r="A249" t="str">
            <v>Tuvalu</v>
          </cell>
        </row>
        <row r="250">
          <cell r="A250" t="str">
            <v>U.S. Outlying Islands</v>
          </cell>
        </row>
        <row r="251">
          <cell r="A251" t="str">
            <v>Vatican City</v>
          </cell>
        </row>
        <row r="252">
          <cell r="A252" t="str">
            <v>St. Vincent &amp; Grenadines</v>
          </cell>
        </row>
        <row r="253">
          <cell r="A253" t="str">
            <v>Wallis &amp; Futuna</v>
          </cell>
        </row>
      </sheetData>
    </sheetDataSet>
  </externalBook>
</externalLink>
</file>

<file path=xl/externalLinks/externalLink1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94)"/>
    </sheetNames>
    <sheetDataSet>
      <sheetData sheetId="0" refreshError="1">
        <row r="1">
          <cell r="A1" t="str">
            <v>Category: All categories</v>
          </cell>
        </row>
        <row r="3">
          <cell r="A3" t="str">
            <v>Country</v>
          </cell>
          <cell r="B3" t="str">
            <v>NaN: (2018)</v>
          </cell>
          <cell r="C3" t="str">
            <v>Logistic regression: (2018)</v>
          </cell>
        </row>
        <row r="4">
          <cell r="A4" t="str">
            <v>Haiti</v>
          </cell>
          <cell r="B4">
            <v>1</v>
          </cell>
        </row>
        <row r="5">
          <cell r="A5" t="str">
            <v>CuraÃ§ao</v>
          </cell>
        </row>
        <row r="6">
          <cell r="A6" t="str">
            <v>China</v>
          </cell>
          <cell r="B6">
            <v>0.49</v>
          </cell>
          <cell r="C6">
            <v>0.51</v>
          </cell>
        </row>
        <row r="7">
          <cell r="A7" t="str">
            <v>Fiji</v>
          </cell>
        </row>
        <row r="8">
          <cell r="A8" t="str">
            <v>Aruba</v>
          </cell>
        </row>
        <row r="9">
          <cell r="A9" t="str">
            <v>Myanmar (Burma)</v>
          </cell>
          <cell r="B9">
            <v>1</v>
          </cell>
        </row>
        <row r="10">
          <cell r="A10" t="str">
            <v>Ethiopia</v>
          </cell>
        </row>
        <row r="11">
          <cell r="A11" t="str">
            <v>Sri Lanka</v>
          </cell>
        </row>
        <row r="12">
          <cell r="A12" t="str">
            <v>Benin</v>
          </cell>
        </row>
        <row r="13">
          <cell r="A13" t="str">
            <v>Singapore</v>
          </cell>
          <cell r="B13">
            <v>0.73</v>
          </cell>
          <cell r="C13">
            <v>0.27</v>
          </cell>
        </row>
        <row r="14">
          <cell r="A14" t="str">
            <v>Maldives</v>
          </cell>
        </row>
        <row r="15">
          <cell r="A15" t="str">
            <v>Nicaragua</v>
          </cell>
        </row>
        <row r="16">
          <cell r="A16" t="str">
            <v>Chile</v>
          </cell>
          <cell r="B16">
            <v>0.93</v>
          </cell>
          <cell r="C16">
            <v>7.0000000000000007E-2</v>
          </cell>
        </row>
        <row r="17">
          <cell r="A17" t="str">
            <v>Isle of Man</v>
          </cell>
        </row>
        <row r="18">
          <cell r="A18" t="str">
            <v>Turkmenistan</v>
          </cell>
        </row>
        <row r="19">
          <cell r="A19" t="str">
            <v>Romania</v>
          </cell>
          <cell r="B19">
            <v>0.97</v>
          </cell>
          <cell r="C19">
            <v>0.03</v>
          </cell>
        </row>
        <row r="20">
          <cell r="A20" t="str">
            <v>Malawi</v>
          </cell>
        </row>
        <row r="21">
          <cell r="A21" t="str">
            <v>Brazil</v>
          </cell>
          <cell r="B21">
            <v>0.97</v>
          </cell>
          <cell r="C21">
            <v>0.03</v>
          </cell>
        </row>
        <row r="22">
          <cell r="A22" t="str">
            <v>Nigeria</v>
          </cell>
          <cell r="B22">
            <v>0.87</v>
          </cell>
          <cell r="C22">
            <v>0.13</v>
          </cell>
        </row>
        <row r="23">
          <cell r="A23" t="str">
            <v>Honduras</v>
          </cell>
          <cell r="B23">
            <v>1</v>
          </cell>
        </row>
        <row r="24">
          <cell r="A24" t="str">
            <v>Tanzania</v>
          </cell>
          <cell r="B24">
            <v>0.74</v>
          </cell>
          <cell r="C24">
            <v>0.26</v>
          </cell>
        </row>
        <row r="25">
          <cell r="A25" t="str">
            <v>Belgium</v>
          </cell>
          <cell r="B25">
            <v>0.85</v>
          </cell>
          <cell r="C25">
            <v>0.15</v>
          </cell>
        </row>
        <row r="26">
          <cell r="A26" t="str">
            <v>Poland</v>
          </cell>
          <cell r="B26">
            <v>0.96</v>
          </cell>
          <cell r="C26">
            <v>0.04</v>
          </cell>
        </row>
        <row r="27">
          <cell r="A27" t="str">
            <v>Mexico</v>
          </cell>
          <cell r="B27">
            <v>0.96</v>
          </cell>
          <cell r="C27">
            <v>0.04</v>
          </cell>
        </row>
        <row r="28">
          <cell r="A28" t="str">
            <v>Kosovo</v>
          </cell>
        </row>
        <row r="29">
          <cell r="A29" t="str">
            <v>Portugal</v>
          </cell>
          <cell r="B29">
            <v>0.88</v>
          </cell>
          <cell r="C29">
            <v>0.12</v>
          </cell>
        </row>
        <row r="30">
          <cell r="A30" t="str">
            <v>St. Helena</v>
          </cell>
          <cell r="B30">
            <v>0.66</v>
          </cell>
          <cell r="C30">
            <v>0.34</v>
          </cell>
        </row>
        <row r="31">
          <cell r="A31" t="str">
            <v>Dominican Republic</v>
          </cell>
          <cell r="B31">
            <v>1</v>
          </cell>
        </row>
        <row r="32">
          <cell r="A32" t="str">
            <v>Australia</v>
          </cell>
          <cell r="B32">
            <v>0.79</v>
          </cell>
          <cell r="C32">
            <v>0.21</v>
          </cell>
        </row>
        <row r="33">
          <cell r="A33" t="str">
            <v>Rwanda</v>
          </cell>
        </row>
        <row r="34">
          <cell r="A34" t="str">
            <v>Luxembourg</v>
          </cell>
        </row>
        <row r="35">
          <cell r="A35" t="str">
            <v>South Africa</v>
          </cell>
          <cell r="B35">
            <v>0.84</v>
          </cell>
          <cell r="C35">
            <v>0.16</v>
          </cell>
        </row>
        <row r="36">
          <cell r="A36" t="str">
            <v>Brunei</v>
          </cell>
        </row>
        <row r="37">
          <cell r="A37" t="str">
            <v>Iceland</v>
          </cell>
        </row>
        <row r="38">
          <cell r="A38" t="str">
            <v>Uzbekistan</v>
          </cell>
        </row>
        <row r="39">
          <cell r="A39" t="str">
            <v>United Kingdom</v>
          </cell>
          <cell r="B39">
            <v>0.82</v>
          </cell>
          <cell r="C39">
            <v>0.18</v>
          </cell>
        </row>
        <row r="40">
          <cell r="A40" t="str">
            <v>Angola</v>
          </cell>
        </row>
        <row r="41">
          <cell r="A41" t="str">
            <v>Guatemala</v>
          </cell>
          <cell r="B41">
            <v>1</v>
          </cell>
        </row>
        <row r="42">
          <cell r="A42" t="str">
            <v>Denmark</v>
          </cell>
          <cell r="B42">
            <v>0.73</v>
          </cell>
          <cell r="C42">
            <v>0.27</v>
          </cell>
        </row>
        <row r="43">
          <cell r="A43" t="str">
            <v>South Korea</v>
          </cell>
          <cell r="B43">
            <v>0.45</v>
          </cell>
          <cell r="C43">
            <v>0.55000000000000004</v>
          </cell>
        </row>
        <row r="44">
          <cell r="A44" t="str">
            <v>Namibia</v>
          </cell>
        </row>
        <row r="45">
          <cell r="A45" t="str">
            <v>Pakistan</v>
          </cell>
          <cell r="B45">
            <v>0.8</v>
          </cell>
          <cell r="C45">
            <v>0.2</v>
          </cell>
        </row>
        <row r="46">
          <cell r="A46" t="str">
            <v>Japan</v>
          </cell>
          <cell r="B46">
            <v>0.82</v>
          </cell>
          <cell r="C46">
            <v>0.18</v>
          </cell>
        </row>
        <row r="47">
          <cell r="A47" t="str">
            <v>Armenia</v>
          </cell>
        </row>
        <row r="48">
          <cell r="A48" t="str">
            <v>Philippines</v>
          </cell>
          <cell r="B48">
            <v>0.85</v>
          </cell>
          <cell r="C48">
            <v>0.15</v>
          </cell>
        </row>
        <row r="49">
          <cell r="A49" t="str">
            <v>Russia</v>
          </cell>
          <cell r="B49">
            <v>0.92</v>
          </cell>
          <cell r="C49">
            <v>0.08</v>
          </cell>
        </row>
        <row r="50">
          <cell r="A50" t="str">
            <v>Kyrgyzstan</v>
          </cell>
        </row>
        <row r="51">
          <cell r="A51" t="str">
            <v>India</v>
          </cell>
          <cell r="B51">
            <v>0.78</v>
          </cell>
          <cell r="C51">
            <v>0.22</v>
          </cell>
        </row>
        <row r="52">
          <cell r="A52" t="str">
            <v>Hong Kong</v>
          </cell>
          <cell r="B52">
            <v>0.63</v>
          </cell>
          <cell r="C52">
            <v>0.37</v>
          </cell>
        </row>
        <row r="53">
          <cell r="A53" t="str">
            <v>Peru</v>
          </cell>
          <cell r="B53">
            <v>0.88</v>
          </cell>
          <cell r="C53">
            <v>0.12</v>
          </cell>
        </row>
        <row r="54">
          <cell r="A54" t="str">
            <v>Costa Rica</v>
          </cell>
        </row>
        <row r="55">
          <cell r="A55" t="str">
            <v>Tajikistan</v>
          </cell>
        </row>
        <row r="56">
          <cell r="A56" t="str">
            <v>Malaysia</v>
          </cell>
          <cell r="B56">
            <v>0.8</v>
          </cell>
          <cell r="C56">
            <v>0.2</v>
          </cell>
        </row>
        <row r="57">
          <cell r="A57" t="str">
            <v>Moldova</v>
          </cell>
        </row>
        <row r="58">
          <cell r="A58" t="str">
            <v>Belarus</v>
          </cell>
        </row>
        <row r="59">
          <cell r="A59" t="str">
            <v>Switzerland</v>
          </cell>
          <cell r="B59">
            <v>0.71</v>
          </cell>
          <cell r="C59">
            <v>0.28999999999999998</v>
          </cell>
        </row>
        <row r="60">
          <cell r="A60" t="str">
            <v>CÃ´te dâ€™Ivoire</v>
          </cell>
        </row>
        <row r="61">
          <cell r="A61" t="str">
            <v>Bolivia</v>
          </cell>
        </row>
        <row r="62">
          <cell r="A62" t="str">
            <v>Vietnam</v>
          </cell>
          <cell r="B62">
            <v>0.94</v>
          </cell>
          <cell r="C62">
            <v>0.06</v>
          </cell>
        </row>
        <row r="63">
          <cell r="A63" t="str">
            <v>Kazakhstan</v>
          </cell>
          <cell r="B63">
            <v>0.94</v>
          </cell>
          <cell r="C63">
            <v>0.06</v>
          </cell>
        </row>
        <row r="64">
          <cell r="A64" t="str">
            <v>Zimbabwe</v>
          </cell>
        </row>
        <row r="65">
          <cell r="A65" t="str">
            <v>Croatia</v>
          </cell>
        </row>
        <row r="66">
          <cell r="A66" t="str">
            <v>Ecuador</v>
          </cell>
        </row>
        <row r="67">
          <cell r="A67" t="str">
            <v>Netherlands</v>
          </cell>
          <cell r="B67">
            <v>0.65</v>
          </cell>
          <cell r="C67">
            <v>0.35</v>
          </cell>
        </row>
        <row r="68">
          <cell r="A68" t="str">
            <v>Qatar</v>
          </cell>
        </row>
        <row r="69">
          <cell r="A69" t="str">
            <v>United Arab Emirates</v>
          </cell>
          <cell r="B69">
            <v>0.9</v>
          </cell>
          <cell r="C69">
            <v>0.1</v>
          </cell>
        </row>
        <row r="70">
          <cell r="A70" t="str">
            <v>Finland</v>
          </cell>
          <cell r="B70">
            <v>0.73</v>
          </cell>
          <cell r="C70">
            <v>0.27</v>
          </cell>
        </row>
        <row r="71">
          <cell r="A71" t="str">
            <v>Azerbaijan</v>
          </cell>
        </row>
        <row r="72">
          <cell r="A72" t="str">
            <v>Germany</v>
          </cell>
          <cell r="B72">
            <v>0.78</v>
          </cell>
          <cell r="C72">
            <v>0.22</v>
          </cell>
        </row>
        <row r="73">
          <cell r="A73" t="str">
            <v>Laos</v>
          </cell>
        </row>
        <row r="74">
          <cell r="A74" t="str">
            <v>El Salvador</v>
          </cell>
        </row>
        <row r="75">
          <cell r="A75" t="str">
            <v>Nepal</v>
          </cell>
        </row>
        <row r="76">
          <cell r="A76" t="str">
            <v>Bulgaria</v>
          </cell>
        </row>
        <row r="77">
          <cell r="A77" t="str">
            <v>Panama</v>
          </cell>
        </row>
        <row r="78">
          <cell r="A78" t="str">
            <v>Ireland</v>
          </cell>
          <cell r="B78">
            <v>0.68</v>
          </cell>
          <cell r="C78">
            <v>0.32</v>
          </cell>
        </row>
        <row r="79">
          <cell r="A79" t="str">
            <v>Mozambique</v>
          </cell>
        </row>
        <row r="80">
          <cell r="A80" t="str">
            <v>Spain</v>
          </cell>
          <cell r="B80">
            <v>0.85</v>
          </cell>
          <cell r="C80">
            <v>0.15</v>
          </cell>
        </row>
        <row r="81">
          <cell r="A81" t="str">
            <v>Colombia</v>
          </cell>
          <cell r="B81">
            <v>0.85</v>
          </cell>
          <cell r="C81">
            <v>0.15</v>
          </cell>
        </row>
        <row r="82">
          <cell r="A82" t="str">
            <v>New Zealand</v>
          </cell>
          <cell r="B82">
            <v>0.71</v>
          </cell>
          <cell r="C82">
            <v>0.28999999999999998</v>
          </cell>
        </row>
        <row r="83">
          <cell r="A83" t="str">
            <v>Malta</v>
          </cell>
        </row>
        <row r="84">
          <cell r="A84" t="str">
            <v>Cyprus</v>
          </cell>
        </row>
        <row r="85">
          <cell r="A85" t="str">
            <v>Canada</v>
          </cell>
          <cell r="B85">
            <v>0.63</v>
          </cell>
          <cell r="C85">
            <v>0.37</v>
          </cell>
        </row>
        <row r="86">
          <cell r="A86" t="str">
            <v>Ghana</v>
          </cell>
        </row>
        <row r="87">
          <cell r="A87" t="str">
            <v>Greece</v>
          </cell>
          <cell r="B87">
            <v>0.83</v>
          </cell>
          <cell r="C87">
            <v>0.17</v>
          </cell>
        </row>
        <row r="88">
          <cell r="A88" t="str">
            <v>Venezuela</v>
          </cell>
        </row>
        <row r="89">
          <cell r="A89" t="str">
            <v>Cambodia</v>
          </cell>
        </row>
        <row r="90">
          <cell r="A90" t="str">
            <v>North Macedonia</v>
          </cell>
        </row>
        <row r="91">
          <cell r="A91" t="str">
            <v>United States</v>
          </cell>
          <cell r="B91">
            <v>0.61</v>
          </cell>
          <cell r="C91">
            <v>0.39</v>
          </cell>
        </row>
        <row r="92">
          <cell r="A92" t="str">
            <v>Guadeloupe</v>
          </cell>
        </row>
        <row r="93">
          <cell r="A93" t="str">
            <v>Austria</v>
          </cell>
          <cell r="B93">
            <v>0.75</v>
          </cell>
          <cell r="C93">
            <v>0.25</v>
          </cell>
        </row>
        <row r="94">
          <cell r="A94" t="str">
            <v>Uganda</v>
          </cell>
        </row>
        <row r="95">
          <cell r="A95" t="str">
            <v>Uruguay</v>
          </cell>
        </row>
        <row r="96">
          <cell r="A96" t="str">
            <v>Lithuania</v>
          </cell>
        </row>
        <row r="97">
          <cell r="A97" t="str">
            <v>Israel</v>
          </cell>
          <cell r="B97">
            <v>0.64</v>
          </cell>
          <cell r="C97">
            <v>0.36</v>
          </cell>
        </row>
        <row r="98">
          <cell r="A98" t="str">
            <v>Estonia</v>
          </cell>
        </row>
        <row r="99">
          <cell r="A99" t="str">
            <v>Paraguay</v>
          </cell>
        </row>
        <row r="100">
          <cell r="A100" t="str">
            <v>Bahrain</v>
          </cell>
        </row>
        <row r="101">
          <cell r="A101" t="str">
            <v>Ukraine</v>
          </cell>
          <cell r="B101">
            <v>0.91</v>
          </cell>
          <cell r="C101">
            <v>0.09</v>
          </cell>
        </row>
        <row r="102">
          <cell r="A102" t="str">
            <v>Bangladesh</v>
          </cell>
          <cell r="B102">
            <v>0.7</v>
          </cell>
          <cell r="C102">
            <v>0.3</v>
          </cell>
        </row>
        <row r="103">
          <cell r="A103" t="str">
            <v>Kuwait</v>
          </cell>
        </row>
        <row r="104">
          <cell r="A104" t="str">
            <v>France</v>
          </cell>
          <cell r="B104">
            <v>0.81</v>
          </cell>
          <cell r="C104">
            <v>0.19</v>
          </cell>
        </row>
        <row r="105">
          <cell r="A105" t="str">
            <v>Lebanon</v>
          </cell>
        </row>
        <row r="106">
          <cell r="A106" t="str">
            <v>Czechia</v>
          </cell>
          <cell r="B106">
            <v>0.79</v>
          </cell>
          <cell r="C106">
            <v>0.21</v>
          </cell>
        </row>
        <row r="107">
          <cell r="A107" t="str">
            <v>Mongolia</v>
          </cell>
        </row>
        <row r="108">
          <cell r="A108" t="str">
            <v>Mauritius</v>
          </cell>
        </row>
        <row r="109">
          <cell r="A109" t="str">
            <v>Bosnia &amp; Herzegovina</v>
          </cell>
        </row>
        <row r="110">
          <cell r="A110" t="str">
            <v>Oman</v>
          </cell>
        </row>
        <row r="111">
          <cell r="A111" t="str">
            <v>Taiwan</v>
          </cell>
          <cell r="B111">
            <v>0.59</v>
          </cell>
          <cell r="C111">
            <v>0.41</v>
          </cell>
        </row>
        <row r="112">
          <cell r="A112" t="str">
            <v>Sweden</v>
          </cell>
          <cell r="B112">
            <v>0.61</v>
          </cell>
          <cell r="C112">
            <v>0.39</v>
          </cell>
        </row>
        <row r="113">
          <cell r="A113" t="str">
            <v>Zambia</v>
          </cell>
        </row>
        <row r="114">
          <cell r="A114" t="str">
            <v>Afghanistan</v>
          </cell>
        </row>
        <row r="115">
          <cell r="A115" t="str">
            <v>Norway</v>
          </cell>
          <cell r="B115">
            <v>0.57999999999999996</v>
          </cell>
          <cell r="C115">
            <v>0.42</v>
          </cell>
        </row>
        <row r="116">
          <cell r="A116" t="str">
            <v>Latvia</v>
          </cell>
        </row>
        <row r="117">
          <cell r="A117" t="str">
            <v>Kenya</v>
          </cell>
        </row>
        <row r="118">
          <cell r="A118" t="str">
            <v>Cameroon</v>
          </cell>
        </row>
        <row r="119">
          <cell r="A119" t="str">
            <v>Argentina</v>
          </cell>
          <cell r="B119">
            <v>0.92</v>
          </cell>
          <cell r="C119">
            <v>0.08</v>
          </cell>
        </row>
        <row r="120">
          <cell r="A120" t="str">
            <v>Trinidad &amp; Tobago</v>
          </cell>
        </row>
        <row r="121">
          <cell r="A121" t="str">
            <v>Thailand</v>
          </cell>
          <cell r="B121">
            <v>0.69</v>
          </cell>
          <cell r="C121">
            <v>0.31</v>
          </cell>
        </row>
        <row r="122">
          <cell r="A122" t="str">
            <v>Congo - Kinshasa</v>
          </cell>
        </row>
        <row r="123">
          <cell r="A123" t="str">
            <v>Georgia</v>
          </cell>
        </row>
        <row r="124">
          <cell r="A124" t="str">
            <v>Albania</v>
          </cell>
        </row>
        <row r="125">
          <cell r="A125" t="str">
            <v>Jamaica</v>
          </cell>
        </row>
        <row r="126">
          <cell r="A126" t="str">
            <v>Morocco</v>
          </cell>
        </row>
        <row r="127">
          <cell r="A127" t="str">
            <v>RÃ©union</v>
          </cell>
        </row>
        <row r="128">
          <cell r="A128" t="str">
            <v>Saudi Arabia</v>
          </cell>
          <cell r="B128">
            <v>0.77</v>
          </cell>
          <cell r="C128">
            <v>0.23</v>
          </cell>
        </row>
        <row r="129">
          <cell r="A129" t="str">
            <v>Tunisia</v>
          </cell>
        </row>
        <row r="130">
          <cell r="A130" t="str">
            <v>Hungary</v>
          </cell>
          <cell r="B130">
            <v>0.77</v>
          </cell>
          <cell r="C130">
            <v>0.23</v>
          </cell>
        </row>
        <row r="131">
          <cell r="A131" t="str">
            <v>Italy</v>
          </cell>
          <cell r="B131">
            <v>0.74</v>
          </cell>
          <cell r="C131">
            <v>0.26</v>
          </cell>
        </row>
        <row r="132">
          <cell r="A132" t="str">
            <v>Sudan</v>
          </cell>
        </row>
        <row r="133">
          <cell r="A133" t="str">
            <v>Jordan</v>
          </cell>
        </row>
        <row r="134">
          <cell r="A134" t="str">
            <v>Indonesia</v>
          </cell>
          <cell r="B134">
            <v>0.56000000000000005</v>
          </cell>
          <cell r="C134">
            <v>0.44</v>
          </cell>
        </row>
        <row r="135">
          <cell r="A135" t="str">
            <v>Egypt</v>
          </cell>
          <cell r="B135">
            <v>0.7</v>
          </cell>
          <cell r="C135">
            <v>0.3</v>
          </cell>
        </row>
        <row r="136">
          <cell r="A136" t="str">
            <v>Iraq</v>
          </cell>
        </row>
        <row r="137">
          <cell r="A137" t="str">
            <v>Algeria</v>
          </cell>
        </row>
        <row r="138">
          <cell r="A138" t="str">
            <v>Turkey</v>
          </cell>
          <cell r="B138">
            <v>0.76</v>
          </cell>
          <cell r="C138">
            <v>0.24</v>
          </cell>
        </row>
        <row r="139">
          <cell r="A139" t="str">
            <v>Slovenia</v>
          </cell>
        </row>
        <row r="140">
          <cell r="A140" t="str">
            <v>Serbia</v>
          </cell>
        </row>
        <row r="141">
          <cell r="A141" t="str">
            <v>Slovakia</v>
          </cell>
        </row>
        <row r="142">
          <cell r="A142" t="str">
            <v>Puerto Rico</v>
          </cell>
        </row>
        <row r="143">
          <cell r="A143" t="str">
            <v>Iran</v>
          </cell>
          <cell r="B143">
            <v>0.56999999999999995</v>
          </cell>
          <cell r="C143">
            <v>0.43</v>
          </cell>
        </row>
        <row r="144">
          <cell r="A144" t="str">
            <v>Syria</v>
          </cell>
        </row>
        <row r="145">
          <cell r="A145" t="str">
            <v>Marshall Islands</v>
          </cell>
        </row>
        <row r="146">
          <cell r="A146" t="str">
            <v>Cook Islands</v>
          </cell>
        </row>
        <row r="147">
          <cell r="A147" t="str">
            <v>Guinea-Bissau</v>
          </cell>
        </row>
        <row r="148">
          <cell r="A148" t="str">
            <v>Palau</v>
          </cell>
        </row>
        <row r="149">
          <cell r="A149" t="str">
            <v>Tonga</v>
          </cell>
        </row>
        <row r="150">
          <cell r="A150" t="str">
            <v>Turks &amp; Caicos Islands</v>
          </cell>
        </row>
        <row r="151">
          <cell r="A151" t="str">
            <v>Caribbean Netherlands</v>
          </cell>
        </row>
        <row r="152">
          <cell r="A152" t="str">
            <v>SÃ£o TomÃ© &amp; PrÃ­ncipe</v>
          </cell>
        </row>
        <row r="153">
          <cell r="A153" t="str">
            <v>St. Martin</v>
          </cell>
        </row>
        <row r="154">
          <cell r="A154" t="str">
            <v>Lesotho</v>
          </cell>
        </row>
        <row r="155">
          <cell r="A155" t="str">
            <v>French Guiana</v>
          </cell>
        </row>
        <row r="156">
          <cell r="A156" t="str">
            <v>Faroe Islands</v>
          </cell>
        </row>
        <row r="157">
          <cell r="A157" t="str">
            <v>Gambia</v>
          </cell>
        </row>
        <row r="158">
          <cell r="A158" t="str">
            <v>Vanuatu</v>
          </cell>
        </row>
        <row r="159">
          <cell r="A159" t="str">
            <v>U.S. Virgin Islands</v>
          </cell>
        </row>
        <row r="160">
          <cell r="A160" t="str">
            <v>Ã…land Islands</v>
          </cell>
        </row>
        <row r="161">
          <cell r="A161" t="str">
            <v>Eswatini</v>
          </cell>
        </row>
        <row r="162">
          <cell r="A162" t="str">
            <v>Central African Republic</v>
          </cell>
        </row>
        <row r="163">
          <cell r="A163" t="str">
            <v>Timor-Leste</v>
          </cell>
        </row>
        <row r="164">
          <cell r="A164" t="str">
            <v>Bermuda</v>
          </cell>
        </row>
        <row r="165">
          <cell r="A165" t="str">
            <v>Solomon Islands</v>
          </cell>
        </row>
        <row r="166">
          <cell r="A166" t="str">
            <v>Andorra</v>
          </cell>
        </row>
        <row r="167">
          <cell r="A167" t="str">
            <v>Guernsey</v>
          </cell>
        </row>
        <row r="168">
          <cell r="A168" t="str">
            <v>Northern Mariana Islands</v>
          </cell>
        </row>
        <row r="169">
          <cell r="A169" t="str">
            <v>Burundi</v>
          </cell>
        </row>
        <row r="170">
          <cell r="A170" t="str">
            <v>Gibraltar</v>
          </cell>
        </row>
        <row r="171">
          <cell r="A171" t="str">
            <v>Bahamas</v>
          </cell>
        </row>
        <row r="172">
          <cell r="A172" t="str">
            <v>Bhutan</v>
          </cell>
        </row>
        <row r="173">
          <cell r="A173" t="str">
            <v>St. BarthÃ©lemy</v>
          </cell>
        </row>
        <row r="174">
          <cell r="A174" t="str">
            <v>Guyana</v>
          </cell>
        </row>
        <row r="175">
          <cell r="A175" t="str">
            <v>Liechtenstein</v>
          </cell>
        </row>
        <row r="176">
          <cell r="A176" t="str">
            <v>Papua New Guinea</v>
          </cell>
        </row>
        <row r="177">
          <cell r="A177" t="str">
            <v>Niger</v>
          </cell>
        </row>
        <row r="178">
          <cell r="A178" t="str">
            <v>Guinea</v>
          </cell>
        </row>
        <row r="179">
          <cell r="A179" t="str">
            <v>San Marino</v>
          </cell>
        </row>
        <row r="180">
          <cell r="A180" t="str">
            <v>Antigua &amp; Barbuda</v>
          </cell>
        </row>
        <row r="181">
          <cell r="A181" t="str">
            <v>Sint Maarten</v>
          </cell>
        </row>
        <row r="182">
          <cell r="A182" t="str">
            <v>Gabon</v>
          </cell>
        </row>
        <row r="183">
          <cell r="A183" t="str">
            <v>Somalia</v>
          </cell>
        </row>
        <row r="184">
          <cell r="A184" t="str">
            <v>St. Vincent &amp; Grenadines</v>
          </cell>
        </row>
        <row r="185">
          <cell r="A185" t="str">
            <v>Liberia</v>
          </cell>
        </row>
        <row r="186">
          <cell r="A186" t="str">
            <v>Botswana</v>
          </cell>
        </row>
        <row r="187">
          <cell r="A187" t="str">
            <v>Cape Verde</v>
          </cell>
        </row>
        <row r="188">
          <cell r="A188" t="str">
            <v>Cuba</v>
          </cell>
        </row>
        <row r="189">
          <cell r="A189" t="str">
            <v>Macao</v>
          </cell>
        </row>
        <row r="190">
          <cell r="A190" t="str">
            <v>Sierra Leone</v>
          </cell>
        </row>
        <row r="191">
          <cell r="A191" t="str">
            <v>Madagascar</v>
          </cell>
        </row>
        <row r="192">
          <cell r="A192" t="str">
            <v>Monaco</v>
          </cell>
        </row>
        <row r="193">
          <cell r="A193" t="str">
            <v>Belize</v>
          </cell>
        </row>
        <row r="194">
          <cell r="A194" t="str">
            <v>Jersey</v>
          </cell>
        </row>
        <row r="195">
          <cell r="A195" t="str">
            <v>Togo</v>
          </cell>
        </row>
        <row r="196">
          <cell r="A196" t="str">
            <v>Suriname</v>
          </cell>
        </row>
        <row r="197">
          <cell r="A197" t="str">
            <v>Congo - Brazzaville</v>
          </cell>
        </row>
        <row r="198">
          <cell r="A198" t="str">
            <v>Senegal</v>
          </cell>
        </row>
        <row r="199">
          <cell r="A199" t="str">
            <v>Martinique</v>
          </cell>
        </row>
        <row r="200">
          <cell r="A200" t="str">
            <v>South Sudan</v>
          </cell>
        </row>
        <row r="201">
          <cell r="A201" t="str">
            <v>St. Lucia</v>
          </cell>
        </row>
        <row r="202">
          <cell r="A202" t="str">
            <v>Barbados</v>
          </cell>
        </row>
        <row r="203">
          <cell r="A203" t="str">
            <v>New Caledonia</v>
          </cell>
        </row>
        <row r="204">
          <cell r="A204" t="str">
            <v>French Polynesia</v>
          </cell>
        </row>
        <row r="205">
          <cell r="A205" t="str">
            <v>Cayman Islands</v>
          </cell>
        </row>
        <row r="206">
          <cell r="A206" t="str">
            <v>Guam</v>
          </cell>
        </row>
        <row r="207">
          <cell r="A207" t="str">
            <v>Mali</v>
          </cell>
        </row>
        <row r="208">
          <cell r="A208" t="str">
            <v>Burkina Faso</v>
          </cell>
        </row>
        <row r="209">
          <cell r="A209" t="str">
            <v>Montenegro</v>
          </cell>
        </row>
        <row r="210">
          <cell r="A210" t="str">
            <v>Mauritania</v>
          </cell>
        </row>
        <row r="211">
          <cell r="A211" t="str">
            <v>Libya</v>
          </cell>
        </row>
        <row r="212">
          <cell r="A212" t="str">
            <v>Palestine</v>
          </cell>
        </row>
        <row r="213">
          <cell r="A213" t="str">
            <v>Yemen</v>
          </cell>
        </row>
        <row r="214">
          <cell r="A214" t="str">
            <v>Anguilla</v>
          </cell>
        </row>
        <row r="215">
          <cell r="A215" t="str">
            <v>American Samoa</v>
          </cell>
        </row>
        <row r="216">
          <cell r="A216" t="str">
            <v>Antarctica</v>
          </cell>
        </row>
        <row r="217">
          <cell r="A217" t="str">
            <v>French Southern Territories</v>
          </cell>
        </row>
        <row r="218">
          <cell r="A218" t="str">
            <v>Bouvet Island</v>
          </cell>
        </row>
        <row r="219">
          <cell r="A219" t="str">
            <v>Cocos (Keeling) Islands</v>
          </cell>
        </row>
        <row r="220">
          <cell r="A220" t="str">
            <v>Comoros</v>
          </cell>
        </row>
        <row r="221">
          <cell r="A221" t="str">
            <v>Christmas Island</v>
          </cell>
        </row>
        <row r="222">
          <cell r="A222" t="str">
            <v>Djibouti</v>
          </cell>
        </row>
        <row r="223">
          <cell r="A223" t="str">
            <v>Dominica</v>
          </cell>
        </row>
        <row r="224">
          <cell r="A224" t="str">
            <v>Eritrea</v>
          </cell>
        </row>
        <row r="225">
          <cell r="A225" t="str">
            <v>Western Sahara</v>
          </cell>
        </row>
        <row r="226">
          <cell r="A226" t="str">
            <v>Falkland Islands (Islas Malvinas)</v>
          </cell>
        </row>
        <row r="227">
          <cell r="A227" t="str">
            <v>Micronesia</v>
          </cell>
        </row>
        <row r="228">
          <cell r="A228" t="str">
            <v>Equatorial Guinea</v>
          </cell>
        </row>
        <row r="229">
          <cell r="A229" t="str">
            <v>Grenada</v>
          </cell>
        </row>
        <row r="230">
          <cell r="A230" t="str">
            <v>Greenland</v>
          </cell>
        </row>
        <row r="231">
          <cell r="A231" t="str">
            <v>Heard &amp; McDonald Islands</v>
          </cell>
        </row>
        <row r="232">
          <cell r="A232" t="str">
            <v>British Indian Ocean Territory</v>
          </cell>
        </row>
        <row r="233">
          <cell r="A233" t="str">
            <v>Kiribati</v>
          </cell>
        </row>
        <row r="234">
          <cell r="A234" t="str">
            <v>St. Kitts &amp; Nevis</v>
          </cell>
        </row>
        <row r="235">
          <cell r="A235" t="str">
            <v>Montserrat</v>
          </cell>
        </row>
        <row r="236">
          <cell r="A236" t="str">
            <v>Mayotte</v>
          </cell>
        </row>
        <row r="237">
          <cell r="A237" t="str">
            <v>Norfolk Island</v>
          </cell>
        </row>
        <row r="238">
          <cell r="A238" t="str">
            <v>Niue</v>
          </cell>
        </row>
        <row r="239">
          <cell r="A239" t="str">
            <v>Nauru</v>
          </cell>
        </row>
        <row r="240">
          <cell r="A240" t="str">
            <v>Pitcairn Islands</v>
          </cell>
        </row>
        <row r="241">
          <cell r="A241" t="str">
            <v>North Korea</v>
          </cell>
        </row>
        <row r="242">
          <cell r="A242" t="str">
            <v>South Georgia &amp; South Sandwich Islands</v>
          </cell>
        </row>
        <row r="243">
          <cell r="A243" t="str">
            <v>Svalbard &amp; Jan Mayen</v>
          </cell>
        </row>
        <row r="244">
          <cell r="A244" t="str">
            <v>St. Pierre &amp; Miquelon</v>
          </cell>
        </row>
        <row r="245">
          <cell r="A245" t="str">
            <v>Seychelles</v>
          </cell>
        </row>
        <row r="246">
          <cell r="A246" t="str">
            <v>Chad</v>
          </cell>
        </row>
        <row r="247">
          <cell r="A247" t="str">
            <v>Tokelau</v>
          </cell>
        </row>
        <row r="248">
          <cell r="A248" t="str">
            <v>Tuvalu</v>
          </cell>
        </row>
        <row r="249">
          <cell r="A249" t="str">
            <v>U.S. Outlying Islands</v>
          </cell>
        </row>
        <row r="250">
          <cell r="A250" t="str">
            <v>Vatican City</v>
          </cell>
        </row>
        <row r="251">
          <cell r="A251" t="str">
            <v>British Virgin Islands</v>
          </cell>
        </row>
        <row r="252">
          <cell r="A252" t="str">
            <v>Wallis &amp; Futuna</v>
          </cell>
        </row>
        <row r="253">
          <cell r="A253" t="str">
            <v>Samoa</v>
          </cell>
        </row>
      </sheetData>
    </sheetDataSet>
  </externalBook>
</externalLink>
</file>

<file path=xl/externalLinks/externalLink1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05)"/>
    </sheetNames>
    <sheetDataSet>
      <sheetData sheetId="0" refreshError="1">
        <row r="1">
          <cell r="A1" t="str">
            <v>Category: All categories</v>
          </cell>
        </row>
        <row r="3">
          <cell r="A3" t="str">
            <v>Country</v>
          </cell>
          <cell r="B3" t="str">
            <v>Artificial neural network: (2018)</v>
          </cell>
          <cell r="C3" t="str">
            <v>k-means clustering: (2018)</v>
          </cell>
        </row>
        <row r="4">
          <cell r="A4" t="str">
            <v>China</v>
          </cell>
          <cell r="B4">
            <v>0.91</v>
          </cell>
          <cell r="C4">
            <v>0.09</v>
          </cell>
        </row>
        <row r="5">
          <cell r="A5" t="str">
            <v>South Korea</v>
          </cell>
          <cell r="B5">
            <v>0.9</v>
          </cell>
          <cell r="C5">
            <v>0.1</v>
          </cell>
        </row>
        <row r="6">
          <cell r="A6" t="str">
            <v>Singapore</v>
          </cell>
          <cell r="B6">
            <v>0.83</v>
          </cell>
          <cell r="C6">
            <v>0.17</v>
          </cell>
        </row>
        <row r="7">
          <cell r="A7" t="str">
            <v>Hong Kong</v>
          </cell>
          <cell r="B7">
            <v>0.86</v>
          </cell>
          <cell r="C7">
            <v>0.14000000000000001</v>
          </cell>
        </row>
        <row r="8">
          <cell r="A8" t="str">
            <v>Ethiopia</v>
          </cell>
        </row>
        <row r="9">
          <cell r="A9" t="str">
            <v>St. Helena</v>
          </cell>
          <cell r="B9">
            <v>0.83</v>
          </cell>
          <cell r="C9">
            <v>0.17</v>
          </cell>
        </row>
        <row r="10">
          <cell r="A10" t="str">
            <v>Nepal</v>
          </cell>
        </row>
        <row r="11">
          <cell r="A11" t="str">
            <v>Taiwan</v>
          </cell>
          <cell r="B11">
            <v>0.87</v>
          </cell>
          <cell r="C11">
            <v>0.13</v>
          </cell>
        </row>
        <row r="12">
          <cell r="A12" t="str">
            <v>Pakistan</v>
          </cell>
          <cell r="B12">
            <v>0.81</v>
          </cell>
          <cell r="C12">
            <v>0.19</v>
          </cell>
        </row>
        <row r="13">
          <cell r="A13" t="str">
            <v>Botswana</v>
          </cell>
        </row>
        <row r="14">
          <cell r="A14" t="str">
            <v>Israel</v>
          </cell>
          <cell r="B14">
            <v>0.87</v>
          </cell>
          <cell r="C14">
            <v>0.13</v>
          </cell>
        </row>
        <row r="15">
          <cell r="A15" t="str">
            <v>Cuba</v>
          </cell>
        </row>
        <row r="16">
          <cell r="A16" t="str">
            <v>Myanmar (Burma)</v>
          </cell>
        </row>
        <row r="17">
          <cell r="A17" t="str">
            <v>Iceland</v>
          </cell>
        </row>
        <row r="18">
          <cell r="A18" t="str">
            <v>Russia</v>
          </cell>
          <cell r="B18">
            <v>0.96</v>
          </cell>
          <cell r="C18">
            <v>0.04</v>
          </cell>
        </row>
        <row r="19">
          <cell r="A19" t="str">
            <v>Bangladesh</v>
          </cell>
          <cell r="B19">
            <v>0.85</v>
          </cell>
          <cell r="C19">
            <v>0.15</v>
          </cell>
        </row>
        <row r="20">
          <cell r="A20" t="str">
            <v>Croatia</v>
          </cell>
        </row>
        <row r="21">
          <cell r="A21" t="str">
            <v>Zimbabwe</v>
          </cell>
        </row>
        <row r="22">
          <cell r="A22" t="str">
            <v>India</v>
          </cell>
          <cell r="B22">
            <v>0.78</v>
          </cell>
          <cell r="C22">
            <v>0.22</v>
          </cell>
        </row>
        <row r="23">
          <cell r="A23" t="str">
            <v>Cambodia</v>
          </cell>
        </row>
        <row r="24">
          <cell r="A24" t="str">
            <v>Switzerland</v>
          </cell>
          <cell r="B24">
            <v>0.88</v>
          </cell>
          <cell r="C24">
            <v>0.12</v>
          </cell>
        </row>
        <row r="25">
          <cell r="A25" t="str">
            <v>Sri Lanka</v>
          </cell>
          <cell r="B25">
            <v>0.83</v>
          </cell>
          <cell r="C25">
            <v>0.17</v>
          </cell>
        </row>
        <row r="26">
          <cell r="A26" t="str">
            <v>Malta</v>
          </cell>
        </row>
        <row r="27">
          <cell r="A27" t="str">
            <v>Canada</v>
          </cell>
          <cell r="B27">
            <v>0.87</v>
          </cell>
          <cell r="C27">
            <v>0.13</v>
          </cell>
        </row>
        <row r="28">
          <cell r="A28" t="str">
            <v>Mauritius</v>
          </cell>
        </row>
        <row r="29">
          <cell r="A29" t="str">
            <v>Belarus</v>
          </cell>
        </row>
        <row r="30">
          <cell r="A30" t="str">
            <v>United States</v>
          </cell>
          <cell r="B30">
            <v>0.84</v>
          </cell>
          <cell r="C30">
            <v>0.16</v>
          </cell>
        </row>
        <row r="31">
          <cell r="A31" t="str">
            <v>Cyprus</v>
          </cell>
        </row>
        <row r="32">
          <cell r="A32" t="str">
            <v>Mongolia</v>
          </cell>
        </row>
        <row r="33">
          <cell r="A33" t="str">
            <v>Tunisia</v>
          </cell>
          <cell r="B33">
            <v>0.81</v>
          </cell>
          <cell r="C33">
            <v>0.19</v>
          </cell>
        </row>
        <row r="34">
          <cell r="A34" t="str">
            <v>Nigeria</v>
          </cell>
        </row>
        <row r="35">
          <cell r="A35" t="str">
            <v>Macao</v>
          </cell>
        </row>
        <row r="36">
          <cell r="A36" t="str">
            <v>Czechia</v>
          </cell>
          <cell r="B36">
            <v>0.93</v>
          </cell>
          <cell r="C36">
            <v>7.0000000000000007E-2</v>
          </cell>
        </row>
        <row r="37">
          <cell r="A37" t="str">
            <v>Iran</v>
          </cell>
          <cell r="B37">
            <v>0.87</v>
          </cell>
          <cell r="C37">
            <v>0.13</v>
          </cell>
        </row>
        <row r="38">
          <cell r="A38" t="str">
            <v>Finland</v>
          </cell>
          <cell r="B38">
            <v>0.87</v>
          </cell>
          <cell r="C38">
            <v>0.13</v>
          </cell>
        </row>
        <row r="39">
          <cell r="A39" t="str">
            <v>Madagascar</v>
          </cell>
        </row>
        <row r="40">
          <cell r="A40" t="str">
            <v>Rwanda</v>
          </cell>
        </row>
        <row r="41">
          <cell r="A41" t="str">
            <v>Kenya</v>
          </cell>
        </row>
        <row r="42">
          <cell r="A42" t="str">
            <v>Armenia</v>
          </cell>
        </row>
        <row r="43">
          <cell r="A43" t="str">
            <v>Australia</v>
          </cell>
          <cell r="B43">
            <v>0.85</v>
          </cell>
          <cell r="C43">
            <v>0.15</v>
          </cell>
        </row>
        <row r="44">
          <cell r="A44" t="str">
            <v>Ireland</v>
          </cell>
          <cell r="B44">
            <v>0.82</v>
          </cell>
          <cell r="C44">
            <v>0.18</v>
          </cell>
        </row>
        <row r="45">
          <cell r="A45" t="str">
            <v>Norway</v>
          </cell>
          <cell r="B45">
            <v>0.88</v>
          </cell>
          <cell r="C45">
            <v>0.12</v>
          </cell>
        </row>
        <row r="46">
          <cell r="A46" t="str">
            <v>Luxembourg</v>
          </cell>
        </row>
        <row r="47">
          <cell r="A47" t="str">
            <v>Malaysia</v>
          </cell>
          <cell r="B47">
            <v>0.87</v>
          </cell>
          <cell r="C47">
            <v>0.13</v>
          </cell>
        </row>
        <row r="48">
          <cell r="A48" t="str">
            <v>Germany</v>
          </cell>
          <cell r="B48">
            <v>0.89</v>
          </cell>
          <cell r="C48">
            <v>0.11</v>
          </cell>
        </row>
        <row r="49">
          <cell r="A49" t="str">
            <v>New Zealand</v>
          </cell>
          <cell r="B49">
            <v>0.81</v>
          </cell>
          <cell r="C49">
            <v>0.19</v>
          </cell>
        </row>
        <row r="50">
          <cell r="A50" t="str">
            <v>Sweden</v>
          </cell>
          <cell r="B50">
            <v>0.89</v>
          </cell>
          <cell r="C50">
            <v>0.11</v>
          </cell>
        </row>
        <row r="51">
          <cell r="A51" t="str">
            <v>Japan</v>
          </cell>
          <cell r="B51">
            <v>0.89</v>
          </cell>
          <cell r="C51">
            <v>0.11</v>
          </cell>
        </row>
        <row r="52">
          <cell r="A52" t="str">
            <v>Algeria</v>
          </cell>
          <cell r="B52">
            <v>0.87</v>
          </cell>
          <cell r="C52">
            <v>0.13</v>
          </cell>
        </row>
        <row r="53">
          <cell r="A53" t="str">
            <v>United Kingdom</v>
          </cell>
          <cell r="B53">
            <v>0.86</v>
          </cell>
          <cell r="C53">
            <v>0.14000000000000001</v>
          </cell>
        </row>
        <row r="54">
          <cell r="A54" t="str">
            <v>Estonia</v>
          </cell>
        </row>
        <row r="55">
          <cell r="A55" t="str">
            <v>Syria</v>
          </cell>
        </row>
        <row r="56">
          <cell r="A56" t="str">
            <v>Sudan</v>
          </cell>
        </row>
        <row r="57">
          <cell r="A57" t="str">
            <v>Lebanon</v>
          </cell>
        </row>
        <row r="58">
          <cell r="A58" t="str">
            <v>Philippines</v>
          </cell>
          <cell r="B58">
            <v>0.89</v>
          </cell>
          <cell r="C58">
            <v>0.11</v>
          </cell>
        </row>
        <row r="59">
          <cell r="A59" t="str">
            <v>Denmark</v>
          </cell>
          <cell r="B59">
            <v>0.84</v>
          </cell>
          <cell r="C59">
            <v>0.16</v>
          </cell>
        </row>
        <row r="60">
          <cell r="A60" t="str">
            <v>Netherlands</v>
          </cell>
          <cell r="B60">
            <v>0.86</v>
          </cell>
          <cell r="C60">
            <v>0.14000000000000001</v>
          </cell>
        </row>
        <row r="61">
          <cell r="A61" t="str">
            <v>Fiji</v>
          </cell>
        </row>
        <row r="62">
          <cell r="A62" t="str">
            <v>Ukraine</v>
          </cell>
          <cell r="B62">
            <v>0.94</v>
          </cell>
          <cell r="C62">
            <v>0.06</v>
          </cell>
        </row>
        <row r="63">
          <cell r="A63" t="str">
            <v>South Africa</v>
          </cell>
          <cell r="B63">
            <v>0.87</v>
          </cell>
          <cell r="C63">
            <v>0.13</v>
          </cell>
        </row>
        <row r="64">
          <cell r="A64" t="str">
            <v>Lithuania</v>
          </cell>
        </row>
        <row r="65">
          <cell r="A65" t="str">
            <v>Indonesia</v>
          </cell>
          <cell r="B65">
            <v>0.84</v>
          </cell>
          <cell r="C65">
            <v>0.16</v>
          </cell>
        </row>
        <row r="66">
          <cell r="A66" t="str">
            <v>Latvia</v>
          </cell>
        </row>
        <row r="67">
          <cell r="A67" t="str">
            <v>Greece</v>
          </cell>
          <cell r="B67">
            <v>0.86</v>
          </cell>
          <cell r="C67">
            <v>0.14000000000000001</v>
          </cell>
        </row>
        <row r="68">
          <cell r="A68" t="str">
            <v>Cameroon</v>
          </cell>
        </row>
        <row r="69">
          <cell r="A69" t="str">
            <v>Iraq</v>
          </cell>
        </row>
        <row r="70">
          <cell r="A70" t="str">
            <v>Brunei</v>
          </cell>
        </row>
        <row r="71">
          <cell r="A71" t="str">
            <v>Tanzania</v>
          </cell>
        </row>
        <row r="72">
          <cell r="A72" t="str">
            <v>Austria</v>
          </cell>
          <cell r="B72">
            <v>0.89</v>
          </cell>
          <cell r="C72">
            <v>0.11</v>
          </cell>
        </row>
        <row r="73">
          <cell r="A73" t="str">
            <v>Trinidad &amp; Tobago</v>
          </cell>
        </row>
        <row r="74">
          <cell r="A74" t="str">
            <v>Somalia</v>
          </cell>
        </row>
        <row r="75">
          <cell r="A75" t="str">
            <v>Kazakhstan</v>
          </cell>
        </row>
        <row r="76">
          <cell r="A76" t="str">
            <v>Oman</v>
          </cell>
        </row>
        <row r="77">
          <cell r="A77" t="str">
            <v>Ghana</v>
          </cell>
        </row>
        <row r="78">
          <cell r="A78" t="str">
            <v>Uganda</v>
          </cell>
        </row>
        <row r="79">
          <cell r="A79" t="str">
            <v>Morocco</v>
          </cell>
          <cell r="B79">
            <v>0.8</v>
          </cell>
          <cell r="C79">
            <v>0.2</v>
          </cell>
        </row>
        <row r="80">
          <cell r="A80" t="str">
            <v>Slovenia</v>
          </cell>
        </row>
        <row r="81">
          <cell r="A81" t="str">
            <v>Portugal</v>
          </cell>
          <cell r="B81">
            <v>0.81</v>
          </cell>
          <cell r="C81">
            <v>0.19</v>
          </cell>
        </row>
        <row r="82">
          <cell r="A82" t="str">
            <v>United Arab Emirates</v>
          </cell>
          <cell r="B82">
            <v>0.74</v>
          </cell>
          <cell r="C82">
            <v>0.26</v>
          </cell>
        </row>
        <row r="83">
          <cell r="A83" t="str">
            <v>Belgium</v>
          </cell>
          <cell r="B83">
            <v>0.87</v>
          </cell>
          <cell r="C83">
            <v>0.13</v>
          </cell>
        </row>
        <row r="84">
          <cell r="A84" t="str">
            <v>Laos</v>
          </cell>
        </row>
        <row r="85">
          <cell r="A85" t="str">
            <v>Poland</v>
          </cell>
          <cell r="B85">
            <v>0.93</v>
          </cell>
          <cell r="C85">
            <v>7.0000000000000007E-2</v>
          </cell>
        </row>
        <row r="86">
          <cell r="A86" t="str">
            <v>Peru</v>
          </cell>
          <cell r="B86">
            <v>0.91</v>
          </cell>
          <cell r="C86">
            <v>0.09</v>
          </cell>
        </row>
        <row r="87">
          <cell r="A87" t="str">
            <v>Jordan</v>
          </cell>
        </row>
        <row r="88">
          <cell r="A88" t="str">
            <v>Qatar</v>
          </cell>
        </row>
        <row r="89">
          <cell r="A89" t="str">
            <v>Georgia</v>
          </cell>
        </row>
        <row r="90">
          <cell r="A90" t="str">
            <v>Egypt</v>
          </cell>
          <cell r="B90">
            <v>0.85</v>
          </cell>
          <cell r="C90">
            <v>0.15</v>
          </cell>
        </row>
        <row r="91">
          <cell r="A91" t="str">
            <v>Bolivia</v>
          </cell>
        </row>
        <row r="92">
          <cell r="A92" t="str">
            <v>Serbia</v>
          </cell>
          <cell r="B92">
            <v>0.87</v>
          </cell>
          <cell r="C92">
            <v>0.13</v>
          </cell>
        </row>
        <row r="93">
          <cell r="A93" t="str">
            <v>North Macedonia</v>
          </cell>
        </row>
        <row r="94">
          <cell r="A94" t="str">
            <v>Bulgaria</v>
          </cell>
        </row>
        <row r="95">
          <cell r="A95" t="str">
            <v>Slovakia</v>
          </cell>
        </row>
        <row r="96">
          <cell r="A96" t="str">
            <v>Yemen</v>
          </cell>
        </row>
        <row r="97">
          <cell r="A97" t="str">
            <v>Romania</v>
          </cell>
          <cell r="B97">
            <v>0.87</v>
          </cell>
          <cell r="C97">
            <v>0.13</v>
          </cell>
        </row>
        <row r="98">
          <cell r="A98" t="str">
            <v>France</v>
          </cell>
          <cell r="B98">
            <v>0.81</v>
          </cell>
          <cell r="C98">
            <v>0.19</v>
          </cell>
        </row>
        <row r="99">
          <cell r="A99" t="str">
            <v>Ecuador</v>
          </cell>
          <cell r="B99">
            <v>0.88</v>
          </cell>
          <cell r="C99">
            <v>0.12</v>
          </cell>
        </row>
        <row r="100">
          <cell r="A100" t="str">
            <v>Spain</v>
          </cell>
          <cell r="B100">
            <v>0.85</v>
          </cell>
          <cell r="C100">
            <v>0.15</v>
          </cell>
        </row>
        <row r="101">
          <cell r="A101" t="str">
            <v>Moldova</v>
          </cell>
        </row>
        <row r="102">
          <cell r="A102" t="str">
            <v>Colombia</v>
          </cell>
          <cell r="B102">
            <v>0.85</v>
          </cell>
          <cell r="C102">
            <v>0.15</v>
          </cell>
        </row>
        <row r="103">
          <cell r="A103" t="str">
            <v>Albania</v>
          </cell>
        </row>
        <row r="104">
          <cell r="A104" t="str">
            <v>Italy</v>
          </cell>
          <cell r="B104">
            <v>0.88</v>
          </cell>
          <cell r="C104">
            <v>0.12</v>
          </cell>
        </row>
        <row r="105">
          <cell r="A105" t="str">
            <v>Thailand</v>
          </cell>
          <cell r="B105">
            <v>0.86</v>
          </cell>
          <cell r="C105">
            <v>0.14000000000000001</v>
          </cell>
        </row>
        <row r="106">
          <cell r="A106" t="str">
            <v>Libya</v>
          </cell>
        </row>
        <row r="107">
          <cell r="A107" t="str">
            <v>Hungary</v>
          </cell>
          <cell r="B107">
            <v>0.9</v>
          </cell>
          <cell r="C107">
            <v>0.1</v>
          </cell>
        </row>
        <row r="108">
          <cell r="A108" t="str">
            <v>Jamaica</v>
          </cell>
        </row>
        <row r="109">
          <cell r="A109" t="str">
            <v>Afghanistan</v>
          </cell>
        </row>
        <row r="110">
          <cell r="A110" t="str">
            <v>Chile</v>
          </cell>
          <cell r="B110">
            <v>0.81</v>
          </cell>
          <cell r="C110">
            <v>0.19</v>
          </cell>
        </row>
        <row r="111">
          <cell r="A111" t="str">
            <v>Mexico</v>
          </cell>
          <cell r="B111">
            <v>0.89</v>
          </cell>
          <cell r="C111">
            <v>0.11</v>
          </cell>
        </row>
        <row r="112">
          <cell r="A112" t="str">
            <v>Turkey</v>
          </cell>
          <cell r="B112">
            <v>0.87</v>
          </cell>
          <cell r="C112">
            <v>0.13</v>
          </cell>
        </row>
        <row r="113">
          <cell r="A113" t="str">
            <v>Azerbaijan</v>
          </cell>
        </row>
        <row r="114">
          <cell r="A114" t="str">
            <v>Palestine</v>
          </cell>
        </row>
        <row r="115">
          <cell r="A115" t="str">
            <v>Uzbekistan</v>
          </cell>
        </row>
        <row r="116">
          <cell r="A116" t="str">
            <v>Bosnia &amp; Herzegovina</v>
          </cell>
        </row>
        <row r="117">
          <cell r="A117" t="str">
            <v>Kuwait</v>
          </cell>
        </row>
        <row r="118">
          <cell r="A118" t="str">
            <v>Costa Rica</v>
          </cell>
        </row>
        <row r="119">
          <cell r="A119" t="str">
            <v>Saudi Arabia</v>
          </cell>
          <cell r="B119">
            <v>0.86</v>
          </cell>
          <cell r="C119">
            <v>0.14000000000000001</v>
          </cell>
        </row>
        <row r="120">
          <cell r="A120" t="str">
            <v>Bahrain</v>
          </cell>
        </row>
        <row r="121">
          <cell r="A121" t="str">
            <v>Kyrgyzstan</v>
          </cell>
        </row>
        <row r="122">
          <cell r="A122" t="str">
            <v>Puerto Rico</v>
          </cell>
        </row>
        <row r="123">
          <cell r="A123" t="str">
            <v>Brazil</v>
          </cell>
          <cell r="B123">
            <v>0.87</v>
          </cell>
          <cell r="C123">
            <v>0.13</v>
          </cell>
        </row>
        <row r="124">
          <cell r="A124" t="str">
            <v>Vietnam</v>
          </cell>
          <cell r="B124">
            <v>0.81</v>
          </cell>
          <cell r="C124">
            <v>0.19</v>
          </cell>
        </row>
        <row r="125">
          <cell r="A125" t="str">
            <v>Guatemala</v>
          </cell>
        </row>
        <row r="126">
          <cell r="A126" t="str">
            <v>Uruguay</v>
          </cell>
        </row>
        <row r="127">
          <cell r="A127" t="str">
            <v>Panama</v>
          </cell>
        </row>
        <row r="128">
          <cell r="A128" t="str">
            <v>Honduras</v>
          </cell>
        </row>
        <row r="129">
          <cell r="A129" t="str">
            <v>Dominican Republic</v>
          </cell>
        </row>
        <row r="130">
          <cell r="A130" t="str">
            <v>Argentina</v>
          </cell>
          <cell r="B130">
            <v>0.88</v>
          </cell>
          <cell r="C130">
            <v>0.12</v>
          </cell>
        </row>
        <row r="131">
          <cell r="A131" t="str">
            <v>El Salvador</v>
          </cell>
        </row>
        <row r="132">
          <cell r="A132" t="str">
            <v>Paraguay</v>
          </cell>
        </row>
        <row r="133">
          <cell r="A133" t="str">
            <v>Venezuela</v>
          </cell>
        </row>
        <row r="134">
          <cell r="A134" t="str">
            <v>North Korea</v>
          </cell>
        </row>
        <row r="135">
          <cell r="A135" t="str">
            <v>Eritrea</v>
          </cell>
        </row>
        <row r="136">
          <cell r="A136" t="str">
            <v>Svalbard &amp; Jan Mayen</v>
          </cell>
        </row>
        <row r="137">
          <cell r="A137" t="str">
            <v>Marshall Islands</v>
          </cell>
        </row>
        <row r="138">
          <cell r="A138" t="str">
            <v>American Samoa</v>
          </cell>
        </row>
        <row r="139">
          <cell r="A139" t="str">
            <v>British Virgin Islands</v>
          </cell>
        </row>
        <row r="140">
          <cell r="A140" t="str">
            <v>St. Kitts &amp; Nevis</v>
          </cell>
        </row>
        <row r="141">
          <cell r="A141" t="str">
            <v>Burundi</v>
          </cell>
        </row>
        <row r="142">
          <cell r="A142" t="str">
            <v>Sint Maarten</v>
          </cell>
        </row>
        <row r="143">
          <cell r="A143" t="str">
            <v>Solomon Islands</v>
          </cell>
        </row>
        <row r="144">
          <cell r="A144" t="str">
            <v>Faroe Islands</v>
          </cell>
        </row>
        <row r="145">
          <cell r="A145" t="str">
            <v>San Marino</v>
          </cell>
        </row>
        <row r="146">
          <cell r="A146" t="str">
            <v>Gibraltar</v>
          </cell>
        </row>
        <row r="147">
          <cell r="A147" t="str">
            <v>Liberia</v>
          </cell>
        </row>
        <row r="148">
          <cell r="A148" t="str">
            <v>Turks &amp; Caicos Islands</v>
          </cell>
        </row>
        <row r="149">
          <cell r="A149" t="str">
            <v>Ã…land Islands</v>
          </cell>
        </row>
        <row r="150">
          <cell r="A150" t="str">
            <v>Antigua &amp; Barbuda</v>
          </cell>
        </row>
        <row r="151">
          <cell r="A151" t="str">
            <v>Cape Verde</v>
          </cell>
        </row>
        <row r="152">
          <cell r="A152" t="str">
            <v>Guyana</v>
          </cell>
        </row>
        <row r="153">
          <cell r="A153" t="str">
            <v>Mayotte</v>
          </cell>
        </row>
        <row r="154">
          <cell r="A154" t="str">
            <v>French Guiana</v>
          </cell>
        </row>
        <row r="155">
          <cell r="A155" t="str">
            <v>Eswatini</v>
          </cell>
        </row>
        <row r="156">
          <cell r="A156" t="str">
            <v>Maldives</v>
          </cell>
        </row>
        <row r="157">
          <cell r="A157" t="str">
            <v>Liechtenstein</v>
          </cell>
        </row>
        <row r="158">
          <cell r="A158" t="str">
            <v>St. Vincent &amp; Grenadines</v>
          </cell>
        </row>
        <row r="159">
          <cell r="A159" t="str">
            <v>Malawi</v>
          </cell>
        </row>
        <row r="160">
          <cell r="A160" t="str">
            <v>Lesotho</v>
          </cell>
        </row>
        <row r="161">
          <cell r="A161" t="str">
            <v>Chad</v>
          </cell>
        </row>
        <row r="162">
          <cell r="A162" t="str">
            <v>U.S. Virgin Islands</v>
          </cell>
        </row>
        <row r="163">
          <cell r="A163" t="str">
            <v>Papua New Guinea</v>
          </cell>
        </row>
        <row r="164">
          <cell r="A164" t="str">
            <v>Bermuda</v>
          </cell>
        </row>
        <row r="165">
          <cell r="A165" t="str">
            <v>Aruba</v>
          </cell>
        </row>
        <row r="166">
          <cell r="A166" t="str">
            <v>Western Sahara</v>
          </cell>
        </row>
        <row r="167">
          <cell r="A167" t="str">
            <v>Monaco</v>
          </cell>
        </row>
        <row r="168">
          <cell r="A168" t="str">
            <v>Belize</v>
          </cell>
        </row>
        <row r="169">
          <cell r="A169" t="str">
            <v>Barbados</v>
          </cell>
        </row>
        <row r="170">
          <cell r="A170" t="str">
            <v>Timor-Leste</v>
          </cell>
        </row>
        <row r="171">
          <cell r="A171" t="str">
            <v>Grenada</v>
          </cell>
        </row>
        <row r="172">
          <cell r="A172" t="str">
            <v>Djibouti</v>
          </cell>
        </row>
        <row r="173">
          <cell r="A173" t="str">
            <v>Bhutan</v>
          </cell>
        </row>
        <row r="174">
          <cell r="A174" t="str">
            <v>Isle of Man</v>
          </cell>
        </row>
        <row r="175">
          <cell r="A175" t="str">
            <v>Bahamas</v>
          </cell>
        </row>
        <row r="176">
          <cell r="A176" t="str">
            <v>Kosovo</v>
          </cell>
        </row>
        <row r="177">
          <cell r="A177" t="str">
            <v>Gambia</v>
          </cell>
        </row>
        <row r="178">
          <cell r="A178" t="str">
            <v>Zambia</v>
          </cell>
        </row>
        <row r="179">
          <cell r="A179" t="str">
            <v>Jersey</v>
          </cell>
        </row>
        <row r="180">
          <cell r="A180" t="str">
            <v>Mauritania</v>
          </cell>
        </row>
        <row r="181">
          <cell r="A181" t="str">
            <v>South Sudan</v>
          </cell>
        </row>
        <row r="182">
          <cell r="A182" t="str">
            <v>Namibia</v>
          </cell>
        </row>
        <row r="183">
          <cell r="A183" t="str">
            <v>Guernsey</v>
          </cell>
        </row>
        <row r="184">
          <cell r="A184" t="str">
            <v>Gabon</v>
          </cell>
        </row>
        <row r="185">
          <cell r="A185" t="str">
            <v>Cayman Islands</v>
          </cell>
        </row>
        <row r="186">
          <cell r="A186" t="str">
            <v>Suriname</v>
          </cell>
        </row>
        <row r="187">
          <cell r="A187" t="str">
            <v>Senegal</v>
          </cell>
        </row>
        <row r="188">
          <cell r="A188" t="str">
            <v>Sierra Leone</v>
          </cell>
        </row>
        <row r="189">
          <cell r="A189" t="str">
            <v>New Caledonia</v>
          </cell>
        </row>
        <row r="190">
          <cell r="A190" t="str">
            <v>Benin</v>
          </cell>
        </row>
        <row r="191">
          <cell r="A191" t="str">
            <v>Mozambique</v>
          </cell>
        </row>
        <row r="192">
          <cell r="A192" t="str">
            <v>Nicaragua</v>
          </cell>
        </row>
        <row r="193">
          <cell r="A193" t="str">
            <v>Congo - Kinshasa</v>
          </cell>
        </row>
        <row r="194">
          <cell r="A194" t="str">
            <v>CuraÃ§ao</v>
          </cell>
        </row>
        <row r="195">
          <cell r="A195" t="str">
            <v>Togo</v>
          </cell>
        </row>
        <row r="196">
          <cell r="A196" t="str">
            <v>Montenegro</v>
          </cell>
        </row>
        <row r="197">
          <cell r="A197" t="str">
            <v>CÃ´te dâ€™Ivoire</v>
          </cell>
        </row>
        <row r="198">
          <cell r="A198" t="str">
            <v>Angola</v>
          </cell>
        </row>
        <row r="199">
          <cell r="A199" t="str">
            <v>Guam</v>
          </cell>
        </row>
        <row r="200">
          <cell r="A200" t="str">
            <v>RÃ©union</v>
          </cell>
        </row>
        <row r="201">
          <cell r="A201" t="str">
            <v>Turkmenistan</v>
          </cell>
        </row>
        <row r="202">
          <cell r="A202" t="str">
            <v>Haiti</v>
          </cell>
        </row>
        <row r="203">
          <cell r="A203" t="str">
            <v>Mali</v>
          </cell>
        </row>
        <row r="204">
          <cell r="A204" t="str">
            <v>Martinique</v>
          </cell>
        </row>
        <row r="205">
          <cell r="A205" t="str">
            <v>Guadeloupe</v>
          </cell>
        </row>
        <row r="206">
          <cell r="A206" t="str">
            <v>Tajikistan</v>
          </cell>
        </row>
        <row r="207">
          <cell r="A207" t="str">
            <v>Anguilla</v>
          </cell>
        </row>
        <row r="208">
          <cell r="A208" t="str">
            <v>Andorra</v>
          </cell>
        </row>
        <row r="209">
          <cell r="A209" t="str">
            <v>Antarctica</v>
          </cell>
        </row>
        <row r="210">
          <cell r="A210" t="str">
            <v>French Southern Territories</v>
          </cell>
        </row>
        <row r="211">
          <cell r="A211" t="str">
            <v>Caribbean Netherlands</v>
          </cell>
        </row>
        <row r="212">
          <cell r="A212" t="str">
            <v>Burkina Faso</v>
          </cell>
        </row>
        <row r="213">
          <cell r="A213" t="str">
            <v>St. BarthÃ©lemy</v>
          </cell>
        </row>
        <row r="214">
          <cell r="A214" t="str">
            <v>Bouvet Island</v>
          </cell>
        </row>
        <row r="215">
          <cell r="A215" t="str">
            <v>Central African Republic</v>
          </cell>
        </row>
        <row r="216">
          <cell r="A216" t="str">
            <v>Cocos (Keeling) Islands</v>
          </cell>
        </row>
        <row r="217">
          <cell r="A217" t="str">
            <v>Congo - Brazzaville</v>
          </cell>
        </row>
        <row r="218">
          <cell r="A218" t="str">
            <v>Cook Islands</v>
          </cell>
        </row>
        <row r="219">
          <cell r="A219" t="str">
            <v>Comoros</v>
          </cell>
        </row>
        <row r="220">
          <cell r="A220" t="str">
            <v>Christmas Island</v>
          </cell>
        </row>
        <row r="221">
          <cell r="A221" t="str">
            <v>Dominica</v>
          </cell>
        </row>
        <row r="222">
          <cell r="A222" t="str">
            <v>Falkland Islands (Islas Malvinas)</v>
          </cell>
        </row>
        <row r="223">
          <cell r="A223" t="str">
            <v>Micronesia</v>
          </cell>
        </row>
        <row r="224">
          <cell r="A224" t="str">
            <v>Guinea</v>
          </cell>
        </row>
        <row r="225">
          <cell r="A225" t="str">
            <v>Guinea-Bissau</v>
          </cell>
        </row>
        <row r="226">
          <cell r="A226" t="str">
            <v>Equatorial Guinea</v>
          </cell>
        </row>
        <row r="227">
          <cell r="A227" t="str">
            <v>Greenland</v>
          </cell>
        </row>
        <row r="228">
          <cell r="A228" t="str">
            <v>Heard &amp; McDonald Islands</v>
          </cell>
        </row>
        <row r="229">
          <cell r="A229" t="str">
            <v>British Indian Ocean Territory</v>
          </cell>
        </row>
        <row r="230">
          <cell r="A230" t="str">
            <v>Kiribati</v>
          </cell>
        </row>
        <row r="231">
          <cell r="A231" t="str">
            <v>St. Lucia</v>
          </cell>
        </row>
        <row r="232">
          <cell r="A232" t="str">
            <v>St. Martin</v>
          </cell>
        </row>
        <row r="233">
          <cell r="A233" t="str">
            <v>Northern Mariana Islands</v>
          </cell>
        </row>
        <row r="234">
          <cell r="A234" t="str">
            <v>Montserrat</v>
          </cell>
        </row>
        <row r="235">
          <cell r="A235" t="str">
            <v>Niger</v>
          </cell>
        </row>
        <row r="236">
          <cell r="A236" t="str">
            <v>Norfolk Island</v>
          </cell>
        </row>
        <row r="237">
          <cell r="A237" t="str">
            <v>Niue</v>
          </cell>
        </row>
        <row r="238">
          <cell r="A238" t="str">
            <v>Nauru</v>
          </cell>
        </row>
        <row r="239">
          <cell r="A239" t="str">
            <v>Pitcairn Islands</v>
          </cell>
        </row>
        <row r="240">
          <cell r="A240" t="str">
            <v>Palau</v>
          </cell>
        </row>
        <row r="241">
          <cell r="A241" t="str">
            <v>French Polynesia</v>
          </cell>
        </row>
        <row r="242">
          <cell r="A242" t="str">
            <v>South Georgia &amp; South Sandwich Islands</v>
          </cell>
        </row>
        <row r="243">
          <cell r="A243" t="str">
            <v>St. Pierre &amp; Miquelon</v>
          </cell>
        </row>
        <row r="244">
          <cell r="A244" t="str">
            <v>SÃ£o TomÃ© &amp; PrÃ­ncipe</v>
          </cell>
        </row>
        <row r="245">
          <cell r="A245" t="str">
            <v>Seychelles</v>
          </cell>
        </row>
        <row r="246">
          <cell r="A246" t="str">
            <v>Tokelau</v>
          </cell>
        </row>
        <row r="247">
          <cell r="A247" t="str">
            <v>Tonga</v>
          </cell>
        </row>
        <row r="248">
          <cell r="A248" t="str">
            <v>Tuvalu</v>
          </cell>
        </row>
        <row r="249">
          <cell r="A249" t="str">
            <v>U.S. Outlying Islands</v>
          </cell>
        </row>
        <row r="250">
          <cell r="A250" t="str">
            <v>Vatican City</v>
          </cell>
        </row>
        <row r="251">
          <cell r="A251" t="str">
            <v>Vanuatu</v>
          </cell>
        </row>
        <row r="252">
          <cell r="A252" t="str">
            <v>Wallis &amp; Futuna</v>
          </cell>
        </row>
        <row r="253">
          <cell r="A253" t="str">
            <v>Samoa</v>
          </cell>
        </row>
      </sheetData>
    </sheetDataSet>
  </externalBook>
</externalLink>
</file>

<file path=xl/externalLinks/externalLink1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06)"/>
    </sheetNames>
    <sheetDataSet>
      <sheetData sheetId="0" refreshError="1">
        <row r="1">
          <cell r="A1" t="str">
            <v>Category: All categories</v>
          </cell>
        </row>
        <row r="3">
          <cell r="A3" t="str">
            <v>Country</v>
          </cell>
          <cell r="B3" t="str">
            <v>Artificial neural network: (2018)</v>
          </cell>
          <cell r="C3" t="str">
            <v>Semaphore: (2018)</v>
          </cell>
        </row>
        <row r="4">
          <cell r="A4" t="str">
            <v>China</v>
          </cell>
          <cell r="B4">
            <v>0.96</v>
          </cell>
          <cell r="C4">
            <v>0.04</v>
          </cell>
        </row>
        <row r="5">
          <cell r="A5" t="str">
            <v>South Korea</v>
          </cell>
          <cell r="B5">
            <v>0.93</v>
          </cell>
          <cell r="C5">
            <v>7.0000000000000007E-2</v>
          </cell>
        </row>
        <row r="6">
          <cell r="A6" t="str">
            <v>Singapore</v>
          </cell>
          <cell r="B6">
            <v>0.93</v>
          </cell>
          <cell r="C6">
            <v>7.0000000000000007E-2</v>
          </cell>
        </row>
        <row r="7">
          <cell r="A7" t="str">
            <v>Cuba</v>
          </cell>
        </row>
        <row r="8">
          <cell r="A8" t="str">
            <v>St. Helena</v>
          </cell>
          <cell r="B8">
            <v>0.87</v>
          </cell>
          <cell r="C8">
            <v>0.13</v>
          </cell>
        </row>
        <row r="9">
          <cell r="A9" t="str">
            <v>Hong Kong</v>
          </cell>
          <cell r="B9">
            <v>0.95</v>
          </cell>
          <cell r="C9">
            <v>0.05</v>
          </cell>
        </row>
        <row r="10">
          <cell r="A10" t="str">
            <v>Ethiopia</v>
          </cell>
        </row>
        <row r="11">
          <cell r="A11" t="str">
            <v>Zimbabwe</v>
          </cell>
        </row>
        <row r="12">
          <cell r="A12" t="str">
            <v>Taiwan</v>
          </cell>
          <cell r="B12">
            <v>0.91</v>
          </cell>
          <cell r="C12">
            <v>0.09</v>
          </cell>
        </row>
        <row r="13">
          <cell r="A13" t="str">
            <v>Nepal</v>
          </cell>
        </row>
        <row r="14">
          <cell r="A14" t="str">
            <v>Pakistan</v>
          </cell>
          <cell r="B14">
            <v>0.9</v>
          </cell>
          <cell r="C14">
            <v>0.1</v>
          </cell>
        </row>
        <row r="15">
          <cell r="A15" t="str">
            <v>Myanmar (Burma)</v>
          </cell>
        </row>
        <row r="16">
          <cell r="A16" t="str">
            <v>Israel</v>
          </cell>
          <cell r="B16">
            <v>0.83</v>
          </cell>
          <cell r="C16">
            <v>0.17</v>
          </cell>
        </row>
        <row r="17">
          <cell r="A17" t="str">
            <v>Russia</v>
          </cell>
          <cell r="B17">
            <v>0.94</v>
          </cell>
          <cell r="C17">
            <v>0.06</v>
          </cell>
        </row>
        <row r="18">
          <cell r="A18" t="str">
            <v>Croatia</v>
          </cell>
          <cell r="B18">
            <v>0.95</v>
          </cell>
          <cell r="C18">
            <v>0.05</v>
          </cell>
        </row>
        <row r="19">
          <cell r="A19" t="str">
            <v>Fiji</v>
          </cell>
        </row>
        <row r="20">
          <cell r="A20" t="str">
            <v>Iceland</v>
          </cell>
        </row>
        <row r="21">
          <cell r="A21" t="str">
            <v>India</v>
          </cell>
          <cell r="B21">
            <v>0.84</v>
          </cell>
          <cell r="C21">
            <v>0.16</v>
          </cell>
        </row>
        <row r="22">
          <cell r="A22" t="str">
            <v>Cambodia</v>
          </cell>
        </row>
        <row r="23">
          <cell r="A23" t="str">
            <v>Rwanda</v>
          </cell>
        </row>
        <row r="24">
          <cell r="A24" t="str">
            <v>Sri Lanka</v>
          </cell>
          <cell r="B24">
            <v>0.93</v>
          </cell>
          <cell r="C24">
            <v>7.0000000000000007E-2</v>
          </cell>
        </row>
        <row r="25">
          <cell r="A25" t="str">
            <v>Bangladesh</v>
          </cell>
          <cell r="B25">
            <v>0.92</v>
          </cell>
          <cell r="C25">
            <v>0.08</v>
          </cell>
        </row>
        <row r="26">
          <cell r="A26" t="str">
            <v>Mongolia</v>
          </cell>
        </row>
        <row r="27">
          <cell r="A27" t="str">
            <v>Canada</v>
          </cell>
          <cell r="B27">
            <v>0.89</v>
          </cell>
          <cell r="C27">
            <v>0.11</v>
          </cell>
        </row>
        <row r="28">
          <cell r="A28" t="str">
            <v>Tunisia</v>
          </cell>
          <cell r="B28">
            <v>0.84</v>
          </cell>
          <cell r="C28">
            <v>0.16</v>
          </cell>
        </row>
        <row r="29">
          <cell r="A29" t="str">
            <v>Switzerland</v>
          </cell>
          <cell r="B29">
            <v>0.85</v>
          </cell>
          <cell r="C29">
            <v>0.15</v>
          </cell>
        </row>
        <row r="30">
          <cell r="A30" t="str">
            <v>Botswana</v>
          </cell>
        </row>
        <row r="31">
          <cell r="A31" t="str">
            <v>United States</v>
          </cell>
          <cell r="B31">
            <v>0.89</v>
          </cell>
          <cell r="C31">
            <v>0.11</v>
          </cell>
        </row>
        <row r="32">
          <cell r="A32" t="str">
            <v>Belarus</v>
          </cell>
          <cell r="B32">
            <v>0.93</v>
          </cell>
          <cell r="C32">
            <v>7.0000000000000007E-2</v>
          </cell>
        </row>
        <row r="33">
          <cell r="A33" t="str">
            <v>Malta</v>
          </cell>
        </row>
        <row r="34">
          <cell r="A34" t="str">
            <v>Nigeria</v>
          </cell>
          <cell r="B34">
            <v>0.95</v>
          </cell>
          <cell r="C34">
            <v>0.05</v>
          </cell>
        </row>
        <row r="35">
          <cell r="A35" t="str">
            <v>Czechia</v>
          </cell>
          <cell r="B35">
            <v>0.89</v>
          </cell>
          <cell r="C35">
            <v>0.11</v>
          </cell>
        </row>
        <row r="36">
          <cell r="A36" t="str">
            <v>Australia</v>
          </cell>
          <cell r="B36">
            <v>0.46</v>
          </cell>
          <cell r="C36">
            <v>0.54</v>
          </cell>
        </row>
        <row r="37">
          <cell r="A37" t="str">
            <v>Mauritius</v>
          </cell>
        </row>
        <row r="38">
          <cell r="A38" t="str">
            <v>Cyprus</v>
          </cell>
        </row>
        <row r="39">
          <cell r="A39" t="str">
            <v>Kenya</v>
          </cell>
          <cell r="B39">
            <v>0.92</v>
          </cell>
          <cell r="C39">
            <v>0.08</v>
          </cell>
        </row>
        <row r="40">
          <cell r="A40" t="str">
            <v>Luxembourg</v>
          </cell>
        </row>
        <row r="41">
          <cell r="A41" t="str">
            <v>Iran</v>
          </cell>
          <cell r="B41">
            <v>0.96</v>
          </cell>
          <cell r="C41">
            <v>0.04</v>
          </cell>
        </row>
        <row r="42">
          <cell r="A42" t="str">
            <v>Ireland</v>
          </cell>
          <cell r="B42">
            <v>0.88</v>
          </cell>
          <cell r="C42">
            <v>0.12</v>
          </cell>
        </row>
        <row r="43">
          <cell r="A43" t="str">
            <v>Macao</v>
          </cell>
        </row>
        <row r="44">
          <cell r="A44" t="str">
            <v>Bhutan</v>
          </cell>
        </row>
        <row r="45">
          <cell r="A45" t="str">
            <v>Norway</v>
          </cell>
          <cell r="B45">
            <v>0.91</v>
          </cell>
          <cell r="C45">
            <v>0.09</v>
          </cell>
        </row>
        <row r="46">
          <cell r="A46" t="str">
            <v>Armenia</v>
          </cell>
        </row>
        <row r="47">
          <cell r="A47" t="str">
            <v>Madagascar</v>
          </cell>
        </row>
        <row r="48">
          <cell r="A48" t="str">
            <v>Sweden</v>
          </cell>
          <cell r="B48">
            <v>0.87</v>
          </cell>
          <cell r="C48">
            <v>0.13</v>
          </cell>
        </row>
        <row r="49">
          <cell r="A49" t="str">
            <v>Malaysia</v>
          </cell>
          <cell r="B49">
            <v>0.92</v>
          </cell>
          <cell r="C49">
            <v>0.08</v>
          </cell>
        </row>
        <row r="50">
          <cell r="A50" t="str">
            <v>Finland</v>
          </cell>
          <cell r="B50">
            <v>0.9</v>
          </cell>
          <cell r="C50">
            <v>0.1</v>
          </cell>
        </row>
        <row r="51">
          <cell r="A51" t="str">
            <v>New Zealand</v>
          </cell>
          <cell r="B51">
            <v>0.84</v>
          </cell>
          <cell r="C51">
            <v>0.16</v>
          </cell>
        </row>
        <row r="52">
          <cell r="A52" t="str">
            <v>Latvia</v>
          </cell>
        </row>
        <row r="53">
          <cell r="A53" t="str">
            <v>Germany</v>
          </cell>
          <cell r="B53">
            <v>0.88</v>
          </cell>
          <cell r="C53">
            <v>0.12</v>
          </cell>
        </row>
        <row r="54">
          <cell r="A54" t="str">
            <v>Lebanon</v>
          </cell>
        </row>
        <row r="55">
          <cell r="A55" t="str">
            <v>Denmark</v>
          </cell>
          <cell r="B55">
            <v>0.88</v>
          </cell>
          <cell r="C55">
            <v>0.12</v>
          </cell>
        </row>
        <row r="56">
          <cell r="A56" t="str">
            <v>United Kingdom</v>
          </cell>
          <cell r="B56">
            <v>0.85</v>
          </cell>
          <cell r="C56">
            <v>0.15</v>
          </cell>
        </row>
        <row r="57">
          <cell r="A57" t="str">
            <v>Japan</v>
          </cell>
          <cell r="B57">
            <v>0.87</v>
          </cell>
          <cell r="C57">
            <v>0.13</v>
          </cell>
        </row>
        <row r="58">
          <cell r="A58" t="str">
            <v>Philippines</v>
          </cell>
          <cell r="B58">
            <v>0.87</v>
          </cell>
          <cell r="C58">
            <v>0.13</v>
          </cell>
        </row>
        <row r="59">
          <cell r="A59" t="str">
            <v>Ukraine</v>
          </cell>
          <cell r="B59">
            <v>0.92</v>
          </cell>
          <cell r="C59">
            <v>0.08</v>
          </cell>
        </row>
        <row r="60">
          <cell r="A60" t="str">
            <v>Estonia</v>
          </cell>
        </row>
        <row r="61">
          <cell r="A61" t="str">
            <v>Netherlands</v>
          </cell>
          <cell r="B61">
            <v>0.9</v>
          </cell>
          <cell r="C61">
            <v>0.1</v>
          </cell>
        </row>
        <row r="62">
          <cell r="A62" t="str">
            <v>Laos</v>
          </cell>
        </row>
        <row r="63">
          <cell r="A63" t="str">
            <v>Sudan</v>
          </cell>
        </row>
        <row r="64">
          <cell r="A64" t="str">
            <v>Algeria</v>
          </cell>
          <cell r="B64">
            <v>0.82</v>
          </cell>
          <cell r="C64">
            <v>0.18</v>
          </cell>
        </row>
        <row r="65">
          <cell r="A65" t="str">
            <v>South Africa</v>
          </cell>
          <cell r="B65">
            <v>0.91</v>
          </cell>
          <cell r="C65">
            <v>0.09</v>
          </cell>
        </row>
        <row r="66">
          <cell r="A66" t="str">
            <v>Ghana</v>
          </cell>
        </row>
        <row r="67">
          <cell r="A67" t="str">
            <v>Lithuania</v>
          </cell>
        </row>
        <row r="68">
          <cell r="A68" t="str">
            <v>Greece</v>
          </cell>
          <cell r="B68">
            <v>0.88</v>
          </cell>
          <cell r="C68">
            <v>0.12</v>
          </cell>
        </row>
        <row r="69">
          <cell r="A69" t="str">
            <v>Indonesia</v>
          </cell>
          <cell r="B69">
            <v>0.93</v>
          </cell>
          <cell r="C69">
            <v>7.0000000000000007E-2</v>
          </cell>
        </row>
        <row r="70">
          <cell r="A70" t="str">
            <v>Jamaica</v>
          </cell>
        </row>
        <row r="71">
          <cell r="A71" t="str">
            <v>Trinidad &amp; Tobago</v>
          </cell>
        </row>
        <row r="72">
          <cell r="A72" t="str">
            <v>Austria</v>
          </cell>
          <cell r="B72">
            <v>0.85</v>
          </cell>
          <cell r="C72">
            <v>0.15</v>
          </cell>
        </row>
        <row r="73">
          <cell r="A73" t="str">
            <v>Iraq</v>
          </cell>
          <cell r="B73">
            <v>1</v>
          </cell>
        </row>
        <row r="74">
          <cell r="A74" t="str">
            <v>Tanzania</v>
          </cell>
        </row>
        <row r="75">
          <cell r="A75" t="str">
            <v>Kazakhstan</v>
          </cell>
          <cell r="B75">
            <v>0.92</v>
          </cell>
          <cell r="C75">
            <v>0.08</v>
          </cell>
        </row>
        <row r="76">
          <cell r="A76" t="str">
            <v>Syria</v>
          </cell>
        </row>
        <row r="77">
          <cell r="A77" t="str">
            <v>Portugal</v>
          </cell>
          <cell r="B77">
            <v>0.88</v>
          </cell>
          <cell r="C77">
            <v>0.12</v>
          </cell>
        </row>
        <row r="78">
          <cell r="A78" t="str">
            <v>Albania</v>
          </cell>
        </row>
        <row r="79">
          <cell r="A79" t="str">
            <v>United Arab Emirates</v>
          </cell>
          <cell r="B79">
            <v>0.9</v>
          </cell>
          <cell r="C79">
            <v>0.1</v>
          </cell>
        </row>
        <row r="80">
          <cell r="A80" t="str">
            <v>Morocco</v>
          </cell>
          <cell r="B80">
            <v>0.87</v>
          </cell>
          <cell r="C80">
            <v>0.13</v>
          </cell>
        </row>
        <row r="81">
          <cell r="A81" t="str">
            <v>Slovenia</v>
          </cell>
        </row>
        <row r="82">
          <cell r="A82" t="str">
            <v>Brunei</v>
          </cell>
        </row>
        <row r="83">
          <cell r="A83" t="str">
            <v>North Macedonia</v>
          </cell>
        </row>
        <row r="84">
          <cell r="A84" t="str">
            <v>Cameroon</v>
          </cell>
        </row>
        <row r="85">
          <cell r="A85" t="str">
            <v>Uganda</v>
          </cell>
        </row>
        <row r="86">
          <cell r="A86" t="str">
            <v>Somalia</v>
          </cell>
        </row>
        <row r="87">
          <cell r="A87" t="str">
            <v>Belgium</v>
          </cell>
          <cell r="B87">
            <v>0.76</v>
          </cell>
          <cell r="C87">
            <v>0.24</v>
          </cell>
        </row>
        <row r="88">
          <cell r="A88" t="str">
            <v>Egypt</v>
          </cell>
          <cell r="B88">
            <v>0.9</v>
          </cell>
          <cell r="C88">
            <v>0.1</v>
          </cell>
        </row>
        <row r="89">
          <cell r="A89" t="str">
            <v>Poland</v>
          </cell>
          <cell r="B89">
            <v>0.89</v>
          </cell>
          <cell r="C89">
            <v>0.11</v>
          </cell>
        </row>
        <row r="90">
          <cell r="A90" t="str">
            <v>Moldova</v>
          </cell>
        </row>
        <row r="91">
          <cell r="A91" t="str">
            <v>Peru</v>
          </cell>
        </row>
        <row r="92">
          <cell r="A92" t="str">
            <v>Libya</v>
          </cell>
        </row>
        <row r="93">
          <cell r="A93" t="str">
            <v>Georgia</v>
          </cell>
        </row>
        <row r="94">
          <cell r="A94" t="str">
            <v>Bulgaria</v>
          </cell>
          <cell r="B94">
            <v>0.86</v>
          </cell>
          <cell r="C94">
            <v>0.14000000000000001</v>
          </cell>
        </row>
        <row r="95">
          <cell r="A95" t="str">
            <v>Oman</v>
          </cell>
        </row>
        <row r="96">
          <cell r="A96" t="str">
            <v>Serbia</v>
          </cell>
          <cell r="B96">
            <v>0.81</v>
          </cell>
          <cell r="C96">
            <v>0.19</v>
          </cell>
        </row>
        <row r="97">
          <cell r="A97" t="str">
            <v>Qatar</v>
          </cell>
        </row>
        <row r="98">
          <cell r="A98" t="str">
            <v>Romania</v>
          </cell>
          <cell r="B98">
            <v>0.85</v>
          </cell>
          <cell r="C98">
            <v>0.15</v>
          </cell>
        </row>
        <row r="99">
          <cell r="A99" t="str">
            <v>Jordan</v>
          </cell>
        </row>
        <row r="100">
          <cell r="A100" t="str">
            <v>Bolivia</v>
          </cell>
        </row>
        <row r="101">
          <cell r="A101" t="str">
            <v>Hungary</v>
          </cell>
          <cell r="B101">
            <v>0.75</v>
          </cell>
          <cell r="C101">
            <v>0.25</v>
          </cell>
        </row>
        <row r="102">
          <cell r="A102" t="str">
            <v>Colombia</v>
          </cell>
          <cell r="B102">
            <v>0.96</v>
          </cell>
          <cell r="C102">
            <v>0.04</v>
          </cell>
        </row>
        <row r="103">
          <cell r="A103" t="str">
            <v>France</v>
          </cell>
          <cell r="B103">
            <v>0.55000000000000004</v>
          </cell>
          <cell r="C103">
            <v>0.45</v>
          </cell>
        </row>
        <row r="104">
          <cell r="A104" t="str">
            <v>Slovakia</v>
          </cell>
          <cell r="B104">
            <v>0.56000000000000005</v>
          </cell>
          <cell r="C104">
            <v>0.44</v>
          </cell>
        </row>
        <row r="105">
          <cell r="A105" t="str">
            <v>Spain</v>
          </cell>
          <cell r="B105">
            <v>0.91</v>
          </cell>
          <cell r="C105">
            <v>0.09</v>
          </cell>
        </row>
        <row r="106">
          <cell r="A106" t="str">
            <v>Italy</v>
          </cell>
          <cell r="B106">
            <v>0.89</v>
          </cell>
          <cell r="C106">
            <v>0.11</v>
          </cell>
        </row>
        <row r="107">
          <cell r="A107" t="str">
            <v>Palestine</v>
          </cell>
        </row>
        <row r="108">
          <cell r="A108" t="str">
            <v>Ecuador</v>
          </cell>
          <cell r="B108">
            <v>1</v>
          </cell>
        </row>
        <row r="109">
          <cell r="A109" t="str">
            <v>Chile</v>
          </cell>
        </row>
        <row r="110">
          <cell r="A110" t="str">
            <v>Mexico</v>
          </cell>
          <cell r="B110">
            <v>0.94</v>
          </cell>
          <cell r="C110">
            <v>0.06</v>
          </cell>
        </row>
        <row r="111">
          <cell r="A111" t="str">
            <v>Thailand</v>
          </cell>
          <cell r="B111">
            <v>0.96</v>
          </cell>
          <cell r="C111">
            <v>0.04</v>
          </cell>
        </row>
        <row r="112">
          <cell r="A112" t="str">
            <v>Costa Rica</v>
          </cell>
        </row>
        <row r="113">
          <cell r="A113" t="str">
            <v>Uzbekistan</v>
          </cell>
        </row>
        <row r="114">
          <cell r="A114" t="str">
            <v>Bahrain</v>
          </cell>
        </row>
        <row r="115">
          <cell r="A115" t="str">
            <v>Afghanistan</v>
          </cell>
        </row>
        <row r="116">
          <cell r="A116" t="str">
            <v>Azerbaijan</v>
          </cell>
        </row>
        <row r="117">
          <cell r="A117" t="str">
            <v>Turkey</v>
          </cell>
          <cell r="B117">
            <v>0.92</v>
          </cell>
          <cell r="C117">
            <v>0.08</v>
          </cell>
        </row>
        <row r="118">
          <cell r="A118" t="str">
            <v>Yemen</v>
          </cell>
        </row>
        <row r="119">
          <cell r="A119" t="str">
            <v>Saudi Arabia</v>
          </cell>
          <cell r="B119">
            <v>0.91</v>
          </cell>
          <cell r="C119">
            <v>0.09</v>
          </cell>
        </row>
        <row r="120">
          <cell r="A120" t="str">
            <v>Bosnia &amp; Herzegovina</v>
          </cell>
        </row>
        <row r="121">
          <cell r="A121" t="str">
            <v>Kuwait</v>
          </cell>
        </row>
        <row r="122">
          <cell r="A122" t="str">
            <v>Brazil</v>
          </cell>
          <cell r="B122">
            <v>0.95</v>
          </cell>
          <cell r="C122">
            <v>0.05</v>
          </cell>
        </row>
        <row r="123">
          <cell r="A123" t="str">
            <v>Honduras</v>
          </cell>
        </row>
        <row r="124">
          <cell r="A124" t="str">
            <v>Vietnam</v>
          </cell>
          <cell r="B124">
            <v>0.83</v>
          </cell>
          <cell r="C124">
            <v>0.17</v>
          </cell>
        </row>
        <row r="125">
          <cell r="A125" t="str">
            <v>Kyrgyzstan</v>
          </cell>
        </row>
        <row r="126">
          <cell r="A126" t="str">
            <v>Puerto Rico</v>
          </cell>
        </row>
        <row r="127">
          <cell r="A127" t="str">
            <v>Uruguay</v>
          </cell>
        </row>
        <row r="128">
          <cell r="A128" t="str">
            <v>Panama</v>
          </cell>
        </row>
        <row r="129">
          <cell r="A129" t="str">
            <v>Paraguay</v>
          </cell>
        </row>
        <row r="130">
          <cell r="A130" t="str">
            <v>Guatemala</v>
          </cell>
        </row>
        <row r="131">
          <cell r="A131" t="str">
            <v>Argentina</v>
          </cell>
          <cell r="B131">
            <v>0.89</v>
          </cell>
          <cell r="C131">
            <v>0.11</v>
          </cell>
        </row>
        <row r="132">
          <cell r="A132" t="str">
            <v>Dominican Republic</v>
          </cell>
        </row>
        <row r="133">
          <cell r="A133" t="str">
            <v>El Salvador</v>
          </cell>
        </row>
        <row r="134">
          <cell r="A134" t="str">
            <v>Venezuela</v>
          </cell>
        </row>
        <row r="135">
          <cell r="A135" t="str">
            <v>North Korea</v>
          </cell>
        </row>
        <row r="136">
          <cell r="A136" t="str">
            <v>Eritrea</v>
          </cell>
        </row>
        <row r="137">
          <cell r="A137" t="str">
            <v>Svalbard &amp; Jan Mayen</v>
          </cell>
        </row>
        <row r="138">
          <cell r="A138" t="str">
            <v>American Samoa</v>
          </cell>
        </row>
        <row r="139">
          <cell r="A139" t="str">
            <v>SÃ£o TomÃ© &amp; PrÃ­ncipe</v>
          </cell>
        </row>
        <row r="140">
          <cell r="A140" t="str">
            <v>Sint Maarten</v>
          </cell>
        </row>
        <row r="141">
          <cell r="A141" t="str">
            <v>Vanuatu</v>
          </cell>
        </row>
        <row r="142">
          <cell r="A142" t="str">
            <v>British Virgin Islands</v>
          </cell>
        </row>
        <row r="143">
          <cell r="A143" t="str">
            <v>Central African Republic</v>
          </cell>
        </row>
        <row r="144">
          <cell r="A144" t="str">
            <v>Dominica</v>
          </cell>
        </row>
        <row r="145">
          <cell r="A145" t="str">
            <v>Caribbean Netherlands</v>
          </cell>
        </row>
        <row r="146">
          <cell r="A146" t="str">
            <v>Solomon Islands</v>
          </cell>
        </row>
        <row r="147">
          <cell r="A147" t="str">
            <v>Faroe Islands</v>
          </cell>
        </row>
        <row r="148">
          <cell r="A148" t="str">
            <v>St. Vincent &amp; Grenadines</v>
          </cell>
        </row>
        <row r="149">
          <cell r="A149" t="str">
            <v>Lesotho</v>
          </cell>
        </row>
        <row r="150">
          <cell r="A150" t="str">
            <v>Aruba</v>
          </cell>
        </row>
        <row r="151">
          <cell r="A151" t="str">
            <v>Gambia</v>
          </cell>
        </row>
        <row r="152">
          <cell r="A152" t="str">
            <v>Timor-Leste</v>
          </cell>
        </row>
        <row r="153">
          <cell r="A153" t="str">
            <v>Grenada</v>
          </cell>
        </row>
        <row r="154">
          <cell r="A154" t="str">
            <v>Turks &amp; Caicos Islands</v>
          </cell>
        </row>
        <row r="155">
          <cell r="A155" t="str">
            <v>Liberia</v>
          </cell>
        </row>
        <row r="156">
          <cell r="A156" t="str">
            <v>Isle of Man</v>
          </cell>
        </row>
        <row r="157">
          <cell r="A157" t="str">
            <v>St. Kitts &amp; Nevis</v>
          </cell>
        </row>
        <row r="158">
          <cell r="A158" t="str">
            <v>Greenland</v>
          </cell>
        </row>
        <row r="159">
          <cell r="A159" t="str">
            <v>U.S. Virgin Islands</v>
          </cell>
        </row>
        <row r="160">
          <cell r="A160" t="str">
            <v>Bermuda</v>
          </cell>
        </row>
        <row r="161">
          <cell r="A161" t="str">
            <v>Ã…land Islands</v>
          </cell>
        </row>
        <row r="162">
          <cell r="A162" t="str">
            <v>Eswatini</v>
          </cell>
        </row>
        <row r="163">
          <cell r="A163" t="str">
            <v>San Marino</v>
          </cell>
        </row>
        <row r="164">
          <cell r="A164" t="str">
            <v>Antigua &amp; Barbuda</v>
          </cell>
        </row>
        <row r="165">
          <cell r="A165" t="str">
            <v>Monaco</v>
          </cell>
        </row>
        <row r="166">
          <cell r="A166" t="str">
            <v>Djibouti</v>
          </cell>
        </row>
        <row r="167">
          <cell r="A167" t="str">
            <v>Burundi</v>
          </cell>
        </row>
        <row r="168">
          <cell r="A168" t="str">
            <v>Seychelles</v>
          </cell>
        </row>
        <row r="169">
          <cell r="A169" t="str">
            <v>Mayotte</v>
          </cell>
        </row>
        <row r="170">
          <cell r="A170" t="str">
            <v>Barbados</v>
          </cell>
        </row>
        <row r="171">
          <cell r="A171" t="str">
            <v>Togo</v>
          </cell>
        </row>
        <row r="172">
          <cell r="A172" t="str">
            <v>Liechtenstein</v>
          </cell>
        </row>
        <row r="173">
          <cell r="A173" t="str">
            <v>Namibia</v>
          </cell>
        </row>
        <row r="174">
          <cell r="A174" t="str">
            <v>Chad</v>
          </cell>
        </row>
        <row r="175">
          <cell r="A175" t="str">
            <v>Gibraltar</v>
          </cell>
        </row>
        <row r="176">
          <cell r="A176" t="str">
            <v>Western Sahara</v>
          </cell>
        </row>
        <row r="177">
          <cell r="A177" t="str">
            <v>Benin</v>
          </cell>
        </row>
        <row r="178">
          <cell r="A178" t="str">
            <v>Guyana</v>
          </cell>
        </row>
        <row r="179">
          <cell r="A179" t="str">
            <v>Zambia</v>
          </cell>
        </row>
        <row r="180">
          <cell r="A180" t="str">
            <v>Jersey</v>
          </cell>
        </row>
        <row r="181">
          <cell r="A181" t="str">
            <v>Belize</v>
          </cell>
        </row>
        <row r="182">
          <cell r="A182" t="str">
            <v>Malawi</v>
          </cell>
        </row>
        <row r="183">
          <cell r="A183" t="str">
            <v>Kosovo</v>
          </cell>
        </row>
        <row r="184">
          <cell r="A184" t="str">
            <v>Papua New Guinea</v>
          </cell>
        </row>
        <row r="185">
          <cell r="A185" t="str">
            <v>Sierra Leone</v>
          </cell>
        </row>
        <row r="186">
          <cell r="A186" t="str">
            <v>Cape Verde</v>
          </cell>
        </row>
        <row r="187">
          <cell r="A187" t="str">
            <v>Maldives</v>
          </cell>
        </row>
        <row r="188">
          <cell r="A188" t="str">
            <v>Bahamas</v>
          </cell>
        </row>
        <row r="189">
          <cell r="A189" t="str">
            <v>New Caledonia</v>
          </cell>
        </row>
        <row r="190">
          <cell r="A190" t="str">
            <v>Guernsey</v>
          </cell>
        </row>
        <row r="191">
          <cell r="A191" t="str">
            <v>Mozambique</v>
          </cell>
        </row>
        <row r="192">
          <cell r="A192" t="str">
            <v>Cayman Islands</v>
          </cell>
        </row>
        <row r="193">
          <cell r="A193" t="str">
            <v>Angola</v>
          </cell>
        </row>
        <row r="194">
          <cell r="A194" t="str">
            <v>Haiti</v>
          </cell>
        </row>
        <row r="195">
          <cell r="A195" t="str">
            <v>Andorra</v>
          </cell>
        </row>
        <row r="196">
          <cell r="A196" t="str">
            <v>Turkmenistan</v>
          </cell>
        </row>
        <row r="197">
          <cell r="A197" t="str">
            <v>Senegal</v>
          </cell>
        </row>
        <row r="198">
          <cell r="A198" t="str">
            <v>Nicaragua</v>
          </cell>
        </row>
        <row r="199">
          <cell r="A199" t="str">
            <v>Suriname</v>
          </cell>
        </row>
        <row r="200">
          <cell r="A200" t="str">
            <v>CuraÃ§ao</v>
          </cell>
        </row>
        <row r="201">
          <cell r="A201" t="str">
            <v>Gabon</v>
          </cell>
        </row>
        <row r="202">
          <cell r="A202" t="str">
            <v>French Polynesia</v>
          </cell>
        </row>
        <row r="203">
          <cell r="A203" t="str">
            <v>Congo - Kinshasa</v>
          </cell>
        </row>
        <row r="204">
          <cell r="A204" t="str">
            <v>Mauritania</v>
          </cell>
        </row>
        <row r="205">
          <cell r="A205" t="str">
            <v>Montenegro</v>
          </cell>
        </row>
        <row r="206">
          <cell r="A206" t="str">
            <v>Guam</v>
          </cell>
        </row>
        <row r="207">
          <cell r="A207" t="str">
            <v>Tajikistan</v>
          </cell>
        </row>
        <row r="208">
          <cell r="A208" t="str">
            <v>CÃ´te dâ€™Ivoire</v>
          </cell>
        </row>
        <row r="209">
          <cell r="A209" t="str">
            <v>RÃ©union</v>
          </cell>
        </row>
        <row r="210">
          <cell r="A210" t="str">
            <v>Mali</v>
          </cell>
        </row>
        <row r="211">
          <cell r="A211" t="str">
            <v>Martinique</v>
          </cell>
        </row>
        <row r="212">
          <cell r="A212" t="str">
            <v>Guinea</v>
          </cell>
        </row>
        <row r="213">
          <cell r="A213" t="str">
            <v>Burkina Faso</v>
          </cell>
        </row>
        <row r="214">
          <cell r="A214" t="str">
            <v>Anguilla</v>
          </cell>
        </row>
        <row r="215">
          <cell r="A215" t="str">
            <v>Antarctica</v>
          </cell>
        </row>
        <row r="216">
          <cell r="A216" t="str">
            <v>French Southern Territories</v>
          </cell>
        </row>
        <row r="217">
          <cell r="A217" t="str">
            <v>St. BarthÃ©lemy</v>
          </cell>
        </row>
        <row r="218">
          <cell r="A218" t="str">
            <v>Bouvet Island</v>
          </cell>
        </row>
        <row r="219">
          <cell r="A219" t="str">
            <v>Cocos (Keeling) Islands</v>
          </cell>
        </row>
        <row r="220">
          <cell r="A220" t="str">
            <v>Congo - Brazzaville</v>
          </cell>
        </row>
        <row r="221">
          <cell r="A221" t="str">
            <v>Cook Islands</v>
          </cell>
        </row>
        <row r="222">
          <cell r="A222" t="str">
            <v>Comoros</v>
          </cell>
        </row>
        <row r="223">
          <cell r="A223" t="str">
            <v>Christmas Island</v>
          </cell>
        </row>
        <row r="224">
          <cell r="A224" t="str">
            <v>Falkland Islands (Islas Malvinas)</v>
          </cell>
        </row>
        <row r="225">
          <cell r="A225" t="str">
            <v>Micronesia</v>
          </cell>
        </row>
        <row r="226">
          <cell r="A226" t="str">
            <v>Guadeloupe</v>
          </cell>
        </row>
        <row r="227">
          <cell r="A227" t="str">
            <v>Guinea-Bissau</v>
          </cell>
        </row>
        <row r="228">
          <cell r="A228" t="str">
            <v>Equatorial Guinea</v>
          </cell>
        </row>
        <row r="229">
          <cell r="A229" t="str">
            <v>French Guiana</v>
          </cell>
        </row>
        <row r="230">
          <cell r="A230" t="str">
            <v>Heard &amp; McDonald Islands</v>
          </cell>
        </row>
        <row r="231">
          <cell r="A231" t="str">
            <v>British Indian Ocean Territory</v>
          </cell>
        </row>
        <row r="232">
          <cell r="A232" t="str">
            <v>Kiribati</v>
          </cell>
        </row>
        <row r="233">
          <cell r="A233" t="str">
            <v>St. Lucia</v>
          </cell>
        </row>
        <row r="234">
          <cell r="A234" t="str">
            <v>St. Martin</v>
          </cell>
        </row>
        <row r="235">
          <cell r="A235" t="str">
            <v>Marshall Islands</v>
          </cell>
        </row>
        <row r="236">
          <cell r="A236" t="str">
            <v>Northern Mariana Islands</v>
          </cell>
        </row>
        <row r="237">
          <cell r="A237" t="str">
            <v>Montserrat</v>
          </cell>
        </row>
        <row r="238">
          <cell r="A238" t="str">
            <v>Niger</v>
          </cell>
        </row>
        <row r="239">
          <cell r="A239" t="str">
            <v>Norfolk Island</v>
          </cell>
        </row>
        <row r="240">
          <cell r="A240" t="str">
            <v>Niue</v>
          </cell>
        </row>
        <row r="241">
          <cell r="A241" t="str">
            <v>Nauru</v>
          </cell>
        </row>
        <row r="242">
          <cell r="A242" t="str">
            <v>Pitcairn Islands</v>
          </cell>
        </row>
        <row r="243">
          <cell r="A243" t="str">
            <v>Palau</v>
          </cell>
        </row>
        <row r="244">
          <cell r="A244" t="str">
            <v>South Georgia &amp; South Sandwich Islands</v>
          </cell>
        </row>
        <row r="245">
          <cell r="A245" t="str">
            <v>St. Pierre &amp; Miquelon</v>
          </cell>
        </row>
        <row r="246">
          <cell r="A246" t="str">
            <v>South Sudan</v>
          </cell>
        </row>
        <row r="247">
          <cell r="A247" t="str">
            <v>Tokelau</v>
          </cell>
        </row>
        <row r="248">
          <cell r="A248" t="str">
            <v>Tonga</v>
          </cell>
        </row>
        <row r="249">
          <cell r="A249" t="str">
            <v>Tuvalu</v>
          </cell>
        </row>
        <row r="250">
          <cell r="A250" t="str">
            <v>U.S. Outlying Islands</v>
          </cell>
        </row>
        <row r="251">
          <cell r="A251" t="str">
            <v>Vatican City</v>
          </cell>
        </row>
        <row r="252">
          <cell r="A252" t="str">
            <v>Wallis &amp; Futuna</v>
          </cell>
        </row>
        <row r="253">
          <cell r="A253" t="str">
            <v>Samoa</v>
          </cell>
        </row>
      </sheetData>
    </sheetDataSet>
  </externalBook>
</externalLink>
</file>

<file path=xl/externalLinks/externalLink1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18)"/>
    </sheetNames>
    <sheetDataSet>
      <sheetData sheetId="0" refreshError="1">
        <row r="1">
          <cell r="A1" t="str">
            <v>Category: All categories</v>
          </cell>
        </row>
        <row r="3">
          <cell r="A3" t="str">
            <v>Country</v>
          </cell>
          <cell r="B3" t="str">
            <v>Finite-state machine: (2018)</v>
          </cell>
          <cell r="C3" t="str">
            <v>Instruction pipelining: (2018)</v>
          </cell>
        </row>
        <row r="4">
          <cell r="A4" t="str">
            <v>Micronesia</v>
          </cell>
          <cell r="B4">
            <v>1</v>
          </cell>
        </row>
        <row r="5">
          <cell r="A5" t="str">
            <v>Guam</v>
          </cell>
          <cell r="B5">
            <v>1</v>
          </cell>
        </row>
        <row r="6">
          <cell r="A6" t="str">
            <v>China</v>
          </cell>
          <cell r="B6">
            <v>0.93</v>
          </cell>
          <cell r="C6">
            <v>7.0000000000000007E-2</v>
          </cell>
        </row>
        <row r="7">
          <cell r="A7" t="str">
            <v>Fiji</v>
          </cell>
          <cell r="B7">
            <v>1</v>
          </cell>
        </row>
        <row r="8">
          <cell r="A8" t="str">
            <v>Maldives</v>
          </cell>
          <cell r="B8">
            <v>1</v>
          </cell>
        </row>
        <row r="9">
          <cell r="A9" t="str">
            <v>Macao</v>
          </cell>
          <cell r="B9">
            <v>1</v>
          </cell>
        </row>
        <row r="10">
          <cell r="A10" t="str">
            <v>Singapore</v>
          </cell>
          <cell r="B10">
            <v>1</v>
          </cell>
        </row>
        <row r="11">
          <cell r="A11" t="str">
            <v>Angola</v>
          </cell>
          <cell r="C11">
            <v>1</v>
          </cell>
        </row>
        <row r="12">
          <cell r="A12" t="str">
            <v>Israel</v>
          </cell>
          <cell r="B12">
            <v>0.98</v>
          </cell>
          <cell r="C12">
            <v>0.02</v>
          </cell>
        </row>
        <row r="13">
          <cell r="A13" t="str">
            <v>Mozambique</v>
          </cell>
          <cell r="C13">
            <v>1</v>
          </cell>
        </row>
        <row r="14">
          <cell r="A14" t="str">
            <v>Hong Kong</v>
          </cell>
        </row>
        <row r="15">
          <cell r="A15" t="str">
            <v>St. Helena</v>
          </cell>
          <cell r="B15">
            <v>0.84</v>
          </cell>
          <cell r="C15">
            <v>0.16</v>
          </cell>
        </row>
        <row r="16">
          <cell r="A16" t="str">
            <v>Portugal</v>
          </cell>
          <cell r="B16">
            <v>0.22</v>
          </cell>
          <cell r="C16">
            <v>0.78</v>
          </cell>
        </row>
        <row r="17">
          <cell r="A17" t="str">
            <v>South Korea</v>
          </cell>
          <cell r="B17">
            <v>0.96</v>
          </cell>
          <cell r="C17">
            <v>0.04</v>
          </cell>
        </row>
        <row r="18">
          <cell r="A18" t="str">
            <v>Iceland</v>
          </cell>
        </row>
        <row r="19">
          <cell r="A19" t="str">
            <v>Ethiopia</v>
          </cell>
        </row>
        <row r="20">
          <cell r="A20" t="str">
            <v>Brazil</v>
          </cell>
          <cell r="B20">
            <v>0.12</v>
          </cell>
          <cell r="C20">
            <v>0.88</v>
          </cell>
        </row>
        <row r="21">
          <cell r="A21" t="str">
            <v>Nepal</v>
          </cell>
        </row>
        <row r="22">
          <cell r="A22" t="str">
            <v>Czechia</v>
          </cell>
          <cell r="B22">
            <v>0.37</v>
          </cell>
          <cell r="C22">
            <v>0.63</v>
          </cell>
        </row>
        <row r="23">
          <cell r="A23" t="str">
            <v>Pakistan</v>
          </cell>
          <cell r="B23">
            <v>0.9</v>
          </cell>
          <cell r="C23">
            <v>0.1</v>
          </cell>
        </row>
        <row r="24">
          <cell r="A24" t="str">
            <v>New Zealand</v>
          </cell>
          <cell r="B24">
            <v>1</v>
          </cell>
        </row>
        <row r="25">
          <cell r="A25" t="str">
            <v>Malaysia</v>
          </cell>
          <cell r="B25">
            <v>0.94</v>
          </cell>
          <cell r="C25">
            <v>0.06</v>
          </cell>
        </row>
        <row r="26">
          <cell r="A26" t="str">
            <v>Slovenia</v>
          </cell>
          <cell r="B26">
            <v>1</v>
          </cell>
        </row>
        <row r="27">
          <cell r="A27" t="str">
            <v>Estonia</v>
          </cell>
          <cell r="B27">
            <v>1</v>
          </cell>
        </row>
        <row r="28">
          <cell r="A28" t="str">
            <v>Taiwan</v>
          </cell>
          <cell r="B28">
            <v>0.88</v>
          </cell>
          <cell r="C28">
            <v>0.12</v>
          </cell>
        </row>
        <row r="29">
          <cell r="A29" t="str">
            <v>Australia</v>
          </cell>
          <cell r="B29">
            <v>0.98</v>
          </cell>
          <cell r="C29">
            <v>0.02</v>
          </cell>
        </row>
        <row r="30">
          <cell r="A30" t="str">
            <v>United States</v>
          </cell>
          <cell r="B30">
            <v>0.93</v>
          </cell>
          <cell r="C30">
            <v>7.0000000000000007E-2</v>
          </cell>
        </row>
        <row r="31">
          <cell r="A31" t="str">
            <v>Ghana</v>
          </cell>
        </row>
        <row r="32">
          <cell r="A32" t="str">
            <v>Chile</v>
          </cell>
          <cell r="B32">
            <v>0.17</v>
          </cell>
          <cell r="C32">
            <v>0.83</v>
          </cell>
        </row>
        <row r="33">
          <cell r="A33" t="str">
            <v>India</v>
          </cell>
          <cell r="B33">
            <v>0.83</v>
          </cell>
          <cell r="C33">
            <v>0.17</v>
          </cell>
        </row>
        <row r="34">
          <cell r="A34" t="str">
            <v>Canada</v>
          </cell>
          <cell r="B34">
            <v>0.94</v>
          </cell>
          <cell r="C34">
            <v>0.06</v>
          </cell>
        </row>
        <row r="35">
          <cell r="A35" t="str">
            <v>Spain</v>
          </cell>
          <cell r="B35">
            <v>0.18</v>
          </cell>
          <cell r="C35">
            <v>0.82</v>
          </cell>
        </row>
        <row r="36">
          <cell r="A36" t="str">
            <v>Colombia</v>
          </cell>
          <cell r="B36">
            <v>0.28000000000000003</v>
          </cell>
          <cell r="C36">
            <v>0.72</v>
          </cell>
        </row>
        <row r="37">
          <cell r="A37" t="str">
            <v>United Kingdom</v>
          </cell>
          <cell r="B37">
            <v>0.97</v>
          </cell>
          <cell r="C37">
            <v>0.03</v>
          </cell>
        </row>
        <row r="38">
          <cell r="A38" t="str">
            <v>Belarus</v>
          </cell>
          <cell r="B38">
            <v>1</v>
          </cell>
        </row>
        <row r="39">
          <cell r="A39" t="str">
            <v>Peru</v>
          </cell>
          <cell r="B39">
            <v>0.24</v>
          </cell>
          <cell r="C39">
            <v>0.76</v>
          </cell>
        </row>
        <row r="40">
          <cell r="A40" t="str">
            <v>Norway</v>
          </cell>
          <cell r="B40">
            <v>1</v>
          </cell>
        </row>
        <row r="41">
          <cell r="A41" t="str">
            <v>Romania</v>
          </cell>
        </row>
        <row r="42">
          <cell r="A42" t="str">
            <v>Mexico</v>
          </cell>
          <cell r="B42">
            <v>0.33</v>
          </cell>
          <cell r="C42">
            <v>0.67</v>
          </cell>
        </row>
        <row r="43">
          <cell r="A43" t="str">
            <v>Russia</v>
          </cell>
          <cell r="B43">
            <v>0.97</v>
          </cell>
          <cell r="C43">
            <v>0.03</v>
          </cell>
        </row>
        <row r="44">
          <cell r="A44" t="str">
            <v>Ireland</v>
          </cell>
          <cell r="B44">
            <v>1</v>
          </cell>
        </row>
        <row r="45">
          <cell r="A45" t="str">
            <v>Germany</v>
          </cell>
          <cell r="B45">
            <v>0.87</v>
          </cell>
          <cell r="C45">
            <v>0.13</v>
          </cell>
        </row>
        <row r="46">
          <cell r="A46" t="str">
            <v>Costa Rica</v>
          </cell>
        </row>
        <row r="47">
          <cell r="A47" t="str">
            <v>Finland</v>
          </cell>
          <cell r="B47">
            <v>1</v>
          </cell>
        </row>
        <row r="48">
          <cell r="A48" t="str">
            <v>Tunisia</v>
          </cell>
          <cell r="B48">
            <v>1</v>
          </cell>
        </row>
        <row r="49">
          <cell r="A49" t="str">
            <v>Switzerland</v>
          </cell>
          <cell r="B49">
            <v>0.93</v>
          </cell>
          <cell r="C49">
            <v>7.0000000000000007E-2</v>
          </cell>
        </row>
        <row r="50">
          <cell r="A50" t="str">
            <v>Bolivia</v>
          </cell>
        </row>
        <row r="51">
          <cell r="A51" t="str">
            <v>Sri Lanka</v>
          </cell>
        </row>
        <row r="52">
          <cell r="A52" t="str">
            <v>Sweden</v>
          </cell>
          <cell r="B52">
            <v>1</v>
          </cell>
        </row>
        <row r="53">
          <cell r="A53" t="str">
            <v>Slovakia</v>
          </cell>
          <cell r="B53">
            <v>1</v>
          </cell>
        </row>
        <row r="54">
          <cell r="A54" t="str">
            <v>Austria</v>
          </cell>
          <cell r="B54">
            <v>0.88</v>
          </cell>
          <cell r="C54">
            <v>0.12</v>
          </cell>
        </row>
        <row r="55">
          <cell r="A55" t="str">
            <v>Bulgaria</v>
          </cell>
          <cell r="B55">
            <v>1</v>
          </cell>
        </row>
        <row r="56">
          <cell r="A56" t="str">
            <v>Uruguay</v>
          </cell>
          <cell r="C56">
            <v>1</v>
          </cell>
        </row>
        <row r="57">
          <cell r="A57" t="str">
            <v>Kenya</v>
          </cell>
          <cell r="B57">
            <v>0.75</v>
          </cell>
          <cell r="C57">
            <v>0.25</v>
          </cell>
        </row>
        <row r="58">
          <cell r="A58" t="str">
            <v>Croatia</v>
          </cell>
          <cell r="B58">
            <v>1</v>
          </cell>
        </row>
        <row r="59">
          <cell r="A59" t="str">
            <v>Tanzania</v>
          </cell>
        </row>
        <row r="60">
          <cell r="A60" t="str">
            <v>Serbia</v>
          </cell>
          <cell r="B60">
            <v>1</v>
          </cell>
        </row>
        <row r="61">
          <cell r="A61" t="str">
            <v>Panama</v>
          </cell>
          <cell r="C61">
            <v>1</v>
          </cell>
        </row>
        <row r="62">
          <cell r="A62" t="str">
            <v>Ukraine</v>
          </cell>
          <cell r="B62">
            <v>1</v>
          </cell>
        </row>
        <row r="63">
          <cell r="A63" t="str">
            <v>Bosnia &amp; Herzegovina</v>
          </cell>
        </row>
        <row r="64">
          <cell r="A64" t="str">
            <v>Guatemala</v>
          </cell>
        </row>
        <row r="65">
          <cell r="A65" t="str">
            <v>Netherlands</v>
          </cell>
          <cell r="B65">
            <v>0.84</v>
          </cell>
          <cell r="C65">
            <v>0.16</v>
          </cell>
        </row>
        <row r="66">
          <cell r="A66" t="str">
            <v>Denmark</v>
          </cell>
          <cell r="B66">
            <v>1</v>
          </cell>
        </row>
        <row r="67">
          <cell r="A67" t="str">
            <v>Mauritius</v>
          </cell>
        </row>
        <row r="68">
          <cell r="A68" t="str">
            <v>Argentina</v>
          </cell>
          <cell r="B68">
            <v>0.26</v>
          </cell>
          <cell r="C68">
            <v>0.74</v>
          </cell>
        </row>
        <row r="69">
          <cell r="A69" t="str">
            <v>Philippines</v>
          </cell>
          <cell r="B69">
            <v>0.9</v>
          </cell>
          <cell r="C69">
            <v>0.1</v>
          </cell>
        </row>
        <row r="70">
          <cell r="A70" t="str">
            <v>South Africa</v>
          </cell>
        </row>
        <row r="71">
          <cell r="A71" t="str">
            <v>Georgia</v>
          </cell>
        </row>
        <row r="72">
          <cell r="A72" t="str">
            <v>Lithuania</v>
          </cell>
        </row>
        <row r="73">
          <cell r="A73" t="str">
            <v>Uzbekistan</v>
          </cell>
        </row>
        <row r="74">
          <cell r="A74" t="str">
            <v>Bangladesh</v>
          </cell>
          <cell r="B74">
            <v>0.81</v>
          </cell>
          <cell r="C74">
            <v>0.19</v>
          </cell>
        </row>
        <row r="75">
          <cell r="A75" t="str">
            <v>Greece</v>
          </cell>
          <cell r="B75">
            <v>0.51</v>
          </cell>
          <cell r="C75">
            <v>0.49</v>
          </cell>
        </row>
        <row r="76">
          <cell r="A76" t="str">
            <v>Turkey</v>
          </cell>
          <cell r="B76">
            <v>0.93</v>
          </cell>
          <cell r="C76">
            <v>7.0000000000000007E-2</v>
          </cell>
        </row>
        <row r="77">
          <cell r="A77" t="str">
            <v>Nigeria</v>
          </cell>
          <cell r="B77">
            <v>0.83</v>
          </cell>
          <cell r="C77">
            <v>0.17</v>
          </cell>
        </row>
        <row r="78">
          <cell r="A78" t="str">
            <v>Belgium</v>
          </cell>
          <cell r="B78">
            <v>0.84</v>
          </cell>
          <cell r="C78">
            <v>0.16</v>
          </cell>
        </row>
        <row r="79">
          <cell r="A79" t="str">
            <v>Hungary</v>
          </cell>
        </row>
        <row r="80">
          <cell r="A80" t="str">
            <v>Kuwait</v>
          </cell>
        </row>
        <row r="81">
          <cell r="A81" t="str">
            <v>Latvia</v>
          </cell>
        </row>
        <row r="82">
          <cell r="A82" t="str">
            <v>United Arab Emirates</v>
          </cell>
          <cell r="B82">
            <v>1</v>
          </cell>
        </row>
        <row r="83">
          <cell r="A83" t="str">
            <v>Japan</v>
          </cell>
          <cell r="B83">
            <v>0.88</v>
          </cell>
          <cell r="C83">
            <v>0.12</v>
          </cell>
        </row>
        <row r="84">
          <cell r="A84" t="str">
            <v>Ecuador</v>
          </cell>
          <cell r="B84">
            <v>0.32</v>
          </cell>
          <cell r="C84">
            <v>0.68</v>
          </cell>
        </row>
        <row r="85">
          <cell r="A85" t="str">
            <v>Laos</v>
          </cell>
        </row>
        <row r="86">
          <cell r="A86" t="str">
            <v>Poland</v>
          </cell>
          <cell r="B86">
            <v>0.98</v>
          </cell>
          <cell r="C86">
            <v>0.02</v>
          </cell>
        </row>
        <row r="87">
          <cell r="A87" t="str">
            <v>Kazakhstan</v>
          </cell>
          <cell r="B87">
            <v>1</v>
          </cell>
        </row>
        <row r="88">
          <cell r="A88" t="str">
            <v>Iran</v>
          </cell>
        </row>
        <row r="89">
          <cell r="A89" t="str">
            <v>Dominican Republic</v>
          </cell>
          <cell r="C89">
            <v>1</v>
          </cell>
        </row>
        <row r="90">
          <cell r="A90" t="str">
            <v>Italy</v>
          </cell>
          <cell r="B90">
            <v>0.81</v>
          </cell>
          <cell r="C90">
            <v>0.19</v>
          </cell>
        </row>
        <row r="91">
          <cell r="A91" t="str">
            <v>Egypt</v>
          </cell>
          <cell r="B91">
            <v>1</v>
          </cell>
        </row>
        <row r="92">
          <cell r="A92" t="str">
            <v>Lebanon</v>
          </cell>
        </row>
        <row r="93">
          <cell r="A93" t="str">
            <v>Indonesia</v>
          </cell>
          <cell r="B93">
            <v>0.97</v>
          </cell>
          <cell r="C93">
            <v>0.03</v>
          </cell>
        </row>
        <row r="94">
          <cell r="A94" t="str">
            <v>Venezuela</v>
          </cell>
        </row>
        <row r="95">
          <cell r="A95" t="str">
            <v>Vietnam</v>
          </cell>
          <cell r="B95">
            <v>0.89</v>
          </cell>
          <cell r="C95">
            <v>0.11</v>
          </cell>
        </row>
        <row r="96">
          <cell r="A96" t="str">
            <v>Algeria</v>
          </cell>
        </row>
        <row r="97">
          <cell r="A97" t="str">
            <v>Jordan</v>
          </cell>
        </row>
        <row r="98">
          <cell r="A98" t="str">
            <v>France</v>
          </cell>
          <cell r="B98">
            <v>0.81</v>
          </cell>
          <cell r="C98">
            <v>0.19</v>
          </cell>
        </row>
        <row r="99">
          <cell r="A99" t="str">
            <v>Saudi Arabia</v>
          </cell>
          <cell r="B99">
            <v>0.84</v>
          </cell>
          <cell r="C99">
            <v>0.16</v>
          </cell>
        </row>
        <row r="100">
          <cell r="A100" t="str">
            <v>Thailand</v>
          </cell>
        </row>
        <row r="101">
          <cell r="A101" t="str">
            <v>Morocco</v>
          </cell>
        </row>
        <row r="102">
          <cell r="A102" t="str">
            <v>Iraq</v>
          </cell>
        </row>
        <row r="103">
          <cell r="A103" t="str">
            <v>Nauru</v>
          </cell>
        </row>
        <row r="104">
          <cell r="A104" t="str">
            <v>Marshall Islands</v>
          </cell>
        </row>
        <row r="105">
          <cell r="A105" t="str">
            <v>Palau</v>
          </cell>
        </row>
        <row r="106">
          <cell r="A106" t="str">
            <v>Tonga</v>
          </cell>
        </row>
        <row r="107">
          <cell r="A107" t="str">
            <v>Northern Mariana Islands</v>
          </cell>
        </row>
        <row r="108">
          <cell r="A108" t="str">
            <v>Solomon Islands</v>
          </cell>
        </row>
        <row r="109">
          <cell r="A109" t="str">
            <v>Samoa</v>
          </cell>
        </row>
        <row r="110">
          <cell r="A110" t="str">
            <v>Dominica</v>
          </cell>
        </row>
        <row r="111">
          <cell r="A111" t="str">
            <v>Gibraltar</v>
          </cell>
        </row>
        <row r="112">
          <cell r="A112" t="str">
            <v>Eswatini</v>
          </cell>
        </row>
        <row r="113">
          <cell r="A113" t="str">
            <v>Ã…land Islands</v>
          </cell>
        </row>
        <row r="114">
          <cell r="A114" t="str">
            <v>Papua New Guinea</v>
          </cell>
        </row>
        <row r="115">
          <cell r="A115" t="str">
            <v>St. Vincent &amp; Grenadines</v>
          </cell>
        </row>
        <row r="116">
          <cell r="A116" t="str">
            <v>Sierra Leone</v>
          </cell>
        </row>
        <row r="117">
          <cell r="A117" t="str">
            <v>Monaco</v>
          </cell>
        </row>
        <row r="118">
          <cell r="A118" t="str">
            <v>Gambia</v>
          </cell>
        </row>
        <row r="119">
          <cell r="A119" t="str">
            <v>Burundi</v>
          </cell>
        </row>
        <row r="120">
          <cell r="A120" t="str">
            <v>Bermuda</v>
          </cell>
        </row>
        <row r="121">
          <cell r="A121" t="str">
            <v>Malawi</v>
          </cell>
        </row>
        <row r="122">
          <cell r="A122" t="str">
            <v>Bhutan</v>
          </cell>
        </row>
        <row r="123">
          <cell r="A123" t="str">
            <v>Lesotho</v>
          </cell>
        </row>
        <row r="124">
          <cell r="A124" t="str">
            <v>Cape Verde</v>
          </cell>
        </row>
        <row r="125">
          <cell r="A125" t="str">
            <v>Myanmar (Burma)</v>
          </cell>
        </row>
        <row r="126">
          <cell r="A126" t="str">
            <v>Aruba</v>
          </cell>
        </row>
        <row r="127">
          <cell r="A127" t="str">
            <v>Isle of Man</v>
          </cell>
        </row>
        <row r="128">
          <cell r="A128" t="str">
            <v>French Guiana</v>
          </cell>
        </row>
        <row r="129">
          <cell r="A129" t="str">
            <v>Cyprus</v>
          </cell>
        </row>
        <row r="130">
          <cell r="A130" t="str">
            <v>Cuba</v>
          </cell>
        </row>
        <row r="131">
          <cell r="A131" t="str">
            <v>Cameroon</v>
          </cell>
        </row>
        <row r="132">
          <cell r="A132" t="str">
            <v>Belize</v>
          </cell>
        </row>
        <row r="133">
          <cell r="A133" t="str">
            <v>Trinidad &amp; Tobago</v>
          </cell>
        </row>
        <row r="134">
          <cell r="A134" t="str">
            <v>Zimbabwe</v>
          </cell>
        </row>
        <row r="135">
          <cell r="A135" t="str">
            <v>New Caledonia</v>
          </cell>
        </row>
        <row r="136">
          <cell r="A136" t="str">
            <v>Botswana</v>
          </cell>
        </row>
        <row r="137">
          <cell r="A137" t="str">
            <v>Congo - Kinshasa</v>
          </cell>
        </row>
        <row r="138">
          <cell r="A138" t="str">
            <v>Brunei</v>
          </cell>
        </row>
        <row r="139">
          <cell r="A139" t="str">
            <v>Armenia</v>
          </cell>
        </row>
        <row r="140">
          <cell r="A140" t="str">
            <v>Guyana</v>
          </cell>
        </row>
        <row r="141">
          <cell r="A141" t="str">
            <v>Luxembourg</v>
          </cell>
        </row>
        <row r="142">
          <cell r="A142" t="str">
            <v>Turkmenistan</v>
          </cell>
        </row>
        <row r="143">
          <cell r="A143" t="str">
            <v>Bahamas</v>
          </cell>
        </row>
        <row r="144">
          <cell r="A144" t="str">
            <v>Barbados</v>
          </cell>
        </row>
        <row r="145">
          <cell r="A145" t="str">
            <v>Libya</v>
          </cell>
        </row>
        <row r="146">
          <cell r="A146" t="str">
            <v>Suriname</v>
          </cell>
        </row>
        <row r="147">
          <cell r="A147" t="str">
            <v>Madagascar</v>
          </cell>
        </row>
        <row r="148">
          <cell r="A148" t="str">
            <v>Palestine</v>
          </cell>
        </row>
        <row r="149">
          <cell r="A149" t="str">
            <v>Malta</v>
          </cell>
        </row>
        <row r="150">
          <cell r="A150" t="str">
            <v>Benin</v>
          </cell>
        </row>
        <row r="151">
          <cell r="A151" t="str">
            <v>North Macedonia</v>
          </cell>
        </row>
        <row r="152">
          <cell r="A152" t="str">
            <v>Moldova</v>
          </cell>
        </row>
        <row r="153">
          <cell r="A153" t="str">
            <v>Afghanistan</v>
          </cell>
        </row>
        <row r="154">
          <cell r="A154" t="str">
            <v>Rwanda</v>
          </cell>
        </row>
        <row r="155">
          <cell r="A155" t="str">
            <v>Bahrain</v>
          </cell>
        </row>
        <row r="156">
          <cell r="A156" t="str">
            <v>Sudan</v>
          </cell>
        </row>
        <row r="157">
          <cell r="A157" t="str">
            <v>Oman</v>
          </cell>
        </row>
        <row r="158">
          <cell r="A158" t="str">
            <v>Cambodia</v>
          </cell>
        </row>
        <row r="159">
          <cell r="A159" t="str">
            <v>Namibia</v>
          </cell>
        </row>
        <row r="160">
          <cell r="A160" t="str">
            <v>Honduras</v>
          </cell>
        </row>
        <row r="161">
          <cell r="A161" t="str">
            <v>Mali</v>
          </cell>
        </row>
        <row r="162">
          <cell r="A162" t="str">
            <v>Qatar</v>
          </cell>
        </row>
        <row r="163">
          <cell r="A163" t="str">
            <v>Zambia</v>
          </cell>
        </row>
        <row r="164">
          <cell r="A164" t="str">
            <v>Mongolia</v>
          </cell>
        </row>
        <row r="165">
          <cell r="A165" t="str">
            <v>Kosovo</v>
          </cell>
        </row>
        <row r="166">
          <cell r="A166" t="str">
            <v>Montenegro</v>
          </cell>
        </row>
        <row r="167">
          <cell r="A167" t="str">
            <v>Uganda</v>
          </cell>
        </row>
        <row r="168">
          <cell r="A168" t="str">
            <v>Yemen</v>
          </cell>
        </row>
        <row r="169">
          <cell r="A169" t="str">
            <v>Syria</v>
          </cell>
        </row>
        <row r="170">
          <cell r="A170" t="str">
            <v>Tajikistan</v>
          </cell>
        </row>
        <row r="171">
          <cell r="A171" t="str">
            <v>Jamaica</v>
          </cell>
        </row>
        <row r="172">
          <cell r="A172" t="str">
            <v>Azerbaijan</v>
          </cell>
        </row>
        <row r="173">
          <cell r="A173" t="str">
            <v>Puerto Rico</v>
          </cell>
        </row>
        <row r="174">
          <cell r="A174" t="str">
            <v>Albania</v>
          </cell>
        </row>
        <row r="175">
          <cell r="A175" t="str">
            <v>Nicaragua</v>
          </cell>
        </row>
        <row r="176">
          <cell r="A176" t="str">
            <v>Paraguay</v>
          </cell>
        </row>
        <row r="177">
          <cell r="A177" t="str">
            <v>Kyrgyzstan</v>
          </cell>
        </row>
        <row r="178">
          <cell r="A178" t="str">
            <v>CÃ´te dâ€™Ivoire</v>
          </cell>
        </row>
        <row r="179">
          <cell r="A179" t="str">
            <v>El Salvador</v>
          </cell>
        </row>
        <row r="180">
          <cell r="A180" t="str">
            <v>Anguilla</v>
          </cell>
        </row>
        <row r="181">
          <cell r="A181" t="str">
            <v>Andorra</v>
          </cell>
        </row>
        <row r="182">
          <cell r="A182" t="str">
            <v>American Samoa</v>
          </cell>
        </row>
        <row r="183">
          <cell r="A183" t="str">
            <v>Antarctica</v>
          </cell>
        </row>
        <row r="184">
          <cell r="A184" t="str">
            <v>French Southern Territories</v>
          </cell>
        </row>
        <row r="185">
          <cell r="A185" t="str">
            <v>Antigua &amp; Barbuda</v>
          </cell>
        </row>
        <row r="186">
          <cell r="A186" t="str">
            <v>Caribbean Netherlands</v>
          </cell>
        </row>
        <row r="187">
          <cell r="A187" t="str">
            <v>Burkina Faso</v>
          </cell>
        </row>
        <row r="188">
          <cell r="A188" t="str">
            <v>St. BarthÃ©lemy</v>
          </cell>
        </row>
        <row r="189">
          <cell r="A189" t="str">
            <v>Bouvet Island</v>
          </cell>
        </row>
        <row r="190">
          <cell r="A190" t="str">
            <v>Central African Republic</v>
          </cell>
        </row>
        <row r="191">
          <cell r="A191" t="str">
            <v>Cocos (Keeling) Islands</v>
          </cell>
        </row>
        <row r="192">
          <cell r="A192" t="str">
            <v>Congo - Brazzaville</v>
          </cell>
        </row>
        <row r="193">
          <cell r="A193" t="str">
            <v>Cook Islands</v>
          </cell>
        </row>
        <row r="194">
          <cell r="A194" t="str">
            <v>Comoros</v>
          </cell>
        </row>
        <row r="195">
          <cell r="A195" t="str">
            <v>CuraÃ§ao</v>
          </cell>
        </row>
        <row r="196">
          <cell r="A196" t="str">
            <v>Christmas Island</v>
          </cell>
        </row>
        <row r="197">
          <cell r="A197" t="str">
            <v>Cayman Islands</v>
          </cell>
        </row>
        <row r="198">
          <cell r="A198" t="str">
            <v>Djibouti</v>
          </cell>
        </row>
        <row r="199">
          <cell r="A199" t="str">
            <v>Eritrea</v>
          </cell>
        </row>
        <row r="200">
          <cell r="A200" t="str">
            <v>Western Sahara</v>
          </cell>
        </row>
        <row r="201">
          <cell r="A201" t="str">
            <v>Falkland Islands (Islas Malvinas)</v>
          </cell>
        </row>
        <row r="202">
          <cell r="A202" t="str">
            <v>Faroe Islands</v>
          </cell>
        </row>
        <row r="203">
          <cell r="A203" t="str">
            <v>Gabon</v>
          </cell>
        </row>
        <row r="204">
          <cell r="A204" t="str">
            <v>Guernsey</v>
          </cell>
        </row>
        <row r="205">
          <cell r="A205" t="str">
            <v>Guinea</v>
          </cell>
        </row>
        <row r="206">
          <cell r="A206" t="str">
            <v>Guadeloupe</v>
          </cell>
        </row>
        <row r="207">
          <cell r="A207" t="str">
            <v>Guinea-Bissau</v>
          </cell>
        </row>
        <row r="208">
          <cell r="A208" t="str">
            <v>Equatorial Guinea</v>
          </cell>
        </row>
        <row r="209">
          <cell r="A209" t="str">
            <v>Grenada</v>
          </cell>
        </row>
        <row r="210">
          <cell r="A210" t="str">
            <v>Greenland</v>
          </cell>
        </row>
        <row r="211">
          <cell r="A211" t="str">
            <v>Heard &amp; McDonald Islands</v>
          </cell>
        </row>
        <row r="212">
          <cell r="A212" t="str">
            <v>Haiti</v>
          </cell>
        </row>
        <row r="213">
          <cell r="A213" t="str">
            <v>British Indian Ocean Territory</v>
          </cell>
        </row>
        <row r="214">
          <cell r="A214" t="str">
            <v>Jersey</v>
          </cell>
        </row>
        <row r="215">
          <cell r="A215" t="str">
            <v>Kiribati</v>
          </cell>
        </row>
        <row r="216">
          <cell r="A216" t="str">
            <v>St. Kitts &amp; Nevis</v>
          </cell>
        </row>
        <row r="217">
          <cell r="A217" t="str">
            <v>Liberia</v>
          </cell>
        </row>
        <row r="218">
          <cell r="A218" t="str">
            <v>St. Lucia</v>
          </cell>
        </row>
        <row r="219">
          <cell r="A219" t="str">
            <v>Liechtenstein</v>
          </cell>
        </row>
        <row r="220">
          <cell r="A220" t="str">
            <v>St. Martin</v>
          </cell>
        </row>
        <row r="221">
          <cell r="A221" t="str">
            <v>Mauritania</v>
          </cell>
        </row>
        <row r="222">
          <cell r="A222" t="str">
            <v>Montserrat</v>
          </cell>
        </row>
        <row r="223">
          <cell r="A223" t="str">
            <v>Martinique</v>
          </cell>
        </row>
        <row r="224">
          <cell r="A224" t="str">
            <v>Mayotte</v>
          </cell>
        </row>
        <row r="225">
          <cell r="A225" t="str">
            <v>Niger</v>
          </cell>
        </row>
        <row r="226">
          <cell r="A226" t="str">
            <v>Norfolk Island</v>
          </cell>
        </row>
        <row r="227">
          <cell r="A227" t="str">
            <v>Niue</v>
          </cell>
        </row>
        <row r="228">
          <cell r="A228" t="str">
            <v>Pitcairn Islands</v>
          </cell>
        </row>
        <row r="229">
          <cell r="A229" t="str">
            <v>North Korea</v>
          </cell>
        </row>
        <row r="230">
          <cell r="A230" t="str">
            <v>French Polynesia</v>
          </cell>
        </row>
        <row r="231">
          <cell r="A231" t="str">
            <v>RÃ©union</v>
          </cell>
        </row>
        <row r="232">
          <cell r="A232" t="str">
            <v>Senegal</v>
          </cell>
        </row>
        <row r="233">
          <cell r="A233" t="str">
            <v>South Georgia &amp; South Sandwich Islands</v>
          </cell>
        </row>
        <row r="234">
          <cell r="A234" t="str">
            <v>Svalbard &amp; Jan Mayen</v>
          </cell>
        </row>
        <row r="235">
          <cell r="A235" t="str">
            <v>San Marino</v>
          </cell>
        </row>
        <row r="236">
          <cell r="A236" t="str">
            <v>Somalia</v>
          </cell>
        </row>
        <row r="237">
          <cell r="A237" t="str">
            <v>St. Pierre &amp; Miquelon</v>
          </cell>
        </row>
        <row r="238">
          <cell r="A238" t="str">
            <v>South Sudan</v>
          </cell>
        </row>
        <row r="239">
          <cell r="A239" t="str">
            <v>SÃ£o TomÃ© &amp; PrÃ­ncipe</v>
          </cell>
        </row>
        <row r="240">
          <cell r="A240" t="str">
            <v>Sint Maarten</v>
          </cell>
        </row>
        <row r="241">
          <cell r="A241" t="str">
            <v>Seychelles</v>
          </cell>
        </row>
        <row r="242">
          <cell r="A242" t="str">
            <v>Turks &amp; Caicos Islands</v>
          </cell>
        </row>
        <row r="243">
          <cell r="A243" t="str">
            <v>Chad</v>
          </cell>
        </row>
        <row r="244">
          <cell r="A244" t="str">
            <v>Togo</v>
          </cell>
        </row>
        <row r="245">
          <cell r="A245" t="str">
            <v>Tokelau</v>
          </cell>
        </row>
        <row r="246">
          <cell r="A246" t="str">
            <v>Timor-Leste</v>
          </cell>
        </row>
        <row r="247">
          <cell r="A247" t="str">
            <v>Tuvalu</v>
          </cell>
        </row>
        <row r="248">
          <cell r="A248" t="str">
            <v>U.S. Outlying Islands</v>
          </cell>
        </row>
        <row r="249">
          <cell r="A249" t="str">
            <v>Vatican City</v>
          </cell>
        </row>
        <row r="250">
          <cell r="A250" t="str">
            <v>British Virgin Islands</v>
          </cell>
        </row>
        <row r="251">
          <cell r="A251" t="str">
            <v>U.S. Virgin Islands</v>
          </cell>
        </row>
        <row r="252">
          <cell r="A252" t="str">
            <v>Vanuatu</v>
          </cell>
        </row>
        <row r="253">
          <cell r="A253" t="str">
            <v>Wallis &amp; Futuna</v>
          </cell>
        </row>
      </sheetData>
    </sheetDataSet>
  </externalBook>
</externalLink>
</file>

<file path=xl/externalLinks/externalLink1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99)"/>
    </sheetNames>
    <sheetDataSet>
      <sheetData sheetId="0" refreshError="1">
        <row r="1">
          <cell r="A1" t="str">
            <v>Category: All categories</v>
          </cell>
        </row>
        <row r="3">
          <cell r="A3" t="str">
            <v>Country</v>
          </cell>
          <cell r="B3" t="str">
            <v>Transmission Control Protocol: (2018)</v>
          </cell>
          <cell r="C3" t="str">
            <v>Null pointer: (2018)</v>
          </cell>
        </row>
        <row r="4">
          <cell r="A4" t="str">
            <v>China</v>
          </cell>
          <cell r="B4">
            <v>0.93</v>
          </cell>
          <cell r="C4">
            <v>7.0000000000000007E-2</v>
          </cell>
        </row>
        <row r="5">
          <cell r="A5" t="str">
            <v>Cuba</v>
          </cell>
        </row>
        <row r="6">
          <cell r="A6" t="str">
            <v>St. Helena</v>
          </cell>
          <cell r="B6">
            <v>0.76</v>
          </cell>
          <cell r="C6">
            <v>0.24</v>
          </cell>
        </row>
        <row r="7">
          <cell r="A7" t="str">
            <v>South Korea</v>
          </cell>
          <cell r="B7">
            <v>0.93</v>
          </cell>
          <cell r="C7">
            <v>7.0000000000000007E-2</v>
          </cell>
        </row>
        <row r="8">
          <cell r="A8" t="str">
            <v>Botswana</v>
          </cell>
        </row>
        <row r="9">
          <cell r="A9" t="str">
            <v>Rwanda</v>
          </cell>
        </row>
        <row r="10">
          <cell r="A10" t="str">
            <v>Ethiopia</v>
          </cell>
        </row>
        <row r="11">
          <cell r="A11" t="str">
            <v>Singapore</v>
          </cell>
          <cell r="B11">
            <v>0.82</v>
          </cell>
          <cell r="C11">
            <v>0.18</v>
          </cell>
        </row>
        <row r="12">
          <cell r="A12" t="str">
            <v>Angola</v>
          </cell>
        </row>
        <row r="13">
          <cell r="A13" t="str">
            <v>Burundi</v>
          </cell>
        </row>
        <row r="14">
          <cell r="A14" t="str">
            <v>Nepal</v>
          </cell>
        </row>
        <row r="15">
          <cell r="A15" t="str">
            <v>Isle of Man</v>
          </cell>
        </row>
        <row r="16">
          <cell r="A16" t="str">
            <v>Papua New Guinea</v>
          </cell>
        </row>
        <row r="17">
          <cell r="A17" t="str">
            <v>Myanmar (Burma)</v>
          </cell>
        </row>
        <row r="18">
          <cell r="A18" t="str">
            <v>Zimbabwe</v>
          </cell>
        </row>
        <row r="19">
          <cell r="A19" t="str">
            <v>Luxembourg</v>
          </cell>
        </row>
        <row r="20">
          <cell r="A20" t="str">
            <v>Cameroon</v>
          </cell>
        </row>
        <row r="21">
          <cell r="A21" t="str">
            <v>Hong Kong</v>
          </cell>
          <cell r="B21">
            <v>0.88</v>
          </cell>
          <cell r="C21">
            <v>0.12</v>
          </cell>
        </row>
        <row r="22">
          <cell r="A22" t="str">
            <v>Togo</v>
          </cell>
        </row>
        <row r="23">
          <cell r="A23" t="str">
            <v>Israel</v>
          </cell>
          <cell r="B23">
            <v>0.85</v>
          </cell>
          <cell r="C23">
            <v>0.15</v>
          </cell>
        </row>
        <row r="24">
          <cell r="A24" t="str">
            <v>Uruguay</v>
          </cell>
        </row>
        <row r="25">
          <cell r="A25" t="str">
            <v>Macao</v>
          </cell>
        </row>
        <row r="26">
          <cell r="A26" t="str">
            <v>Madagascar</v>
          </cell>
        </row>
        <row r="27">
          <cell r="A27" t="str">
            <v>Mauritius</v>
          </cell>
        </row>
        <row r="28">
          <cell r="A28" t="str">
            <v>Bolivia</v>
          </cell>
          <cell r="B28">
            <v>1</v>
          </cell>
        </row>
        <row r="29">
          <cell r="A29" t="str">
            <v>Taiwan</v>
          </cell>
          <cell r="B29">
            <v>0.95</v>
          </cell>
          <cell r="C29">
            <v>0.05</v>
          </cell>
        </row>
        <row r="30">
          <cell r="A30" t="str">
            <v>Eswatini</v>
          </cell>
        </row>
        <row r="31">
          <cell r="A31" t="str">
            <v>Jersey</v>
          </cell>
        </row>
        <row r="32">
          <cell r="A32" t="str">
            <v>Congo - Kinshasa</v>
          </cell>
        </row>
        <row r="33">
          <cell r="A33" t="str">
            <v>Czechia</v>
          </cell>
          <cell r="B33">
            <v>0.92</v>
          </cell>
          <cell r="C33">
            <v>0.08</v>
          </cell>
        </row>
        <row r="34">
          <cell r="A34" t="str">
            <v>Switzerland</v>
          </cell>
          <cell r="B34">
            <v>0.88</v>
          </cell>
          <cell r="C34">
            <v>0.12</v>
          </cell>
        </row>
        <row r="35">
          <cell r="A35" t="str">
            <v>Sri Lanka</v>
          </cell>
          <cell r="B35">
            <v>0.81</v>
          </cell>
          <cell r="C35">
            <v>0.19</v>
          </cell>
        </row>
        <row r="36">
          <cell r="A36" t="str">
            <v>India</v>
          </cell>
          <cell r="B36">
            <v>0.8</v>
          </cell>
          <cell r="C36">
            <v>0.2</v>
          </cell>
        </row>
        <row r="37">
          <cell r="A37" t="str">
            <v>Zambia</v>
          </cell>
        </row>
        <row r="38">
          <cell r="A38" t="str">
            <v>Ireland</v>
          </cell>
          <cell r="B38">
            <v>0.81</v>
          </cell>
          <cell r="C38">
            <v>0.19</v>
          </cell>
        </row>
        <row r="39">
          <cell r="A39" t="str">
            <v>Malawi</v>
          </cell>
        </row>
        <row r="40">
          <cell r="A40" t="str">
            <v>Bhutan</v>
          </cell>
        </row>
        <row r="41">
          <cell r="A41" t="str">
            <v>Malta</v>
          </cell>
        </row>
        <row r="42">
          <cell r="A42" t="str">
            <v>Sierra Leone</v>
          </cell>
        </row>
        <row r="43">
          <cell r="A43" t="str">
            <v>Lesotho</v>
          </cell>
        </row>
        <row r="44">
          <cell r="A44" t="str">
            <v>Pakistan</v>
          </cell>
          <cell r="B44">
            <v>0.85</v>
          </cell>
          <cell r="C44">
            <v>0.15</v>
          </cell>
        </row>
        <row r="45">
          <cell r="A45" t="str">
            <v>Ghana</v>
          </cell>
        </row>
        <row r="46">
          <cell r="A46" t="str">
            <v>Somalia</v>
          </cell>
        </row>
        <row r="47">
          <cell r="A47" t="str">
            <v>Japan</v>
          </cell>
          <cell r="B47">
            <v>0.96</v>
          </cell>
          <cell r="C47">
            <v>0.04</v>
          </cell>
        </row>
        <row r="48">
          <cell r="A48" t="str">
            <v>Afghanistan</v>
          </cell>
        </row>
        <row r="49">
          <cell r="A49" t="str">
            <v>Tunisia</v>
          </cell>
        </row>
        <row r="50">
          <cell r="A50" t="str">
            <v>Austria</v>
          </cell>
          <cell r="B50">
            <v>0.91</v>
          </cell>
          <cell r="C50">
            <v>0.09</v>
          </cell>
        </row>
        <row r="51">
          <cell r="A51" t="str">
            <v>Australia</v>
          </cell>
          <cell r="B51">
            <v>0.83</v>
          </cell>
          <cell r="C51">
            <v>0.17</v>
          </cell>
        </row>
        <row r="52">
          <cell r="A52" t="str">
            <v>Senegal</v>
          </cell>
        </row>
        <row r="53">
          <cell r="A53" t="str">
            <v>Brunei</v>
          </cell>
        </row>
        <row r="54">
          <cell r="A54" t="str">
            <v>Norway</v>
          </cell>
          <cell r="B54">
            <v>0.91</v>
          </cell>
          <cell r="C54">
            <v>0.09</v>
          </cell>
        </row>
        <row r="55">
          <cell r="A55" t="str">
            <v>Liberia</v>
          </cell>
        </row>
        <row r="56">
          <cell r="A56" t="str">
            <v>Germany</v>
          </cell>
          <cell r="B56">
            <v>0.9</v>
          </cell>
          <cell r="C56">
            <v>0.1</v>
          </cell>
        </row>
        <row r="57">
          <cell r="A57" t="str">
            <v>Sweden</v>
          </cell>
          <cell r="B57">
            <v>0.83</v>
          </cell>
          <cell r="C57">
            <v>0.17</v>
          </cell>
        </row>
        <row r="58">
          <cell r="A58" t="str">
            <v>Namibia</v>
          </cell>
        </row>
        <row r="59">
          <cell r="A59" t="str">
            <v>United Arab Emirates</v>
          </cell>
          <cell r="B59">
            <v>0.9</v>
          </cell>
          <cell r="C59">
            <v>0.1</v>
          </cell>
        </row>
        <row r="60">
          <cell r="A60" t="str">
            <v>Uganda</v>
          </cell>
        </row>
        <row r="61">
          <cell r="A61" t="str">
            <v>Estonia</v>
          </cell>
        </row>
        <row r="62">
          <cell r="A62" t="str">
            <v>Honduras</v>
          </cell>
        </row>
        <row r="63">
          <cell r="A63" t="str">
            <v>Canada</v>
          </cell>
          <cell r="B63">
            <v>0.79</v>
          </cell>
          <cell r="C63">
            <v>0.21</v>
          </cell>
        </row>
        <row r="64">
          <cell r="A64" t="str">
            <v>Finland</v>
          </cell>
          <cell r="B64">
            <v>0.87</v>
          </cell>
          <cell r="C64">
            <v>0.13</v>
          </cell>
        </row>
        <row r="65">
          <cell r="A65" t="str">
            <v>New Zealand</v>
          </cell>
          <cell r="B65">
            <v>0.8</v>
          </cell>
          <cell r="C65">
            <v>0.2</v>
          </cell>
        </row>
        <row r="66">
          <cell r="A66" t="str">
            <v>Fiji</v>
          </cell>
        </row>
        <row r="67">
          <cell r="A67" t="str">
            <v>Netherlands</v>
          </cell>
          <cell r="B67">
            <v>0.88</v>
          </cell>
          <cell r="C67">
            <v>0.12</v>
          </cell>
        </row>
        <row r="68">
          <cell r="A68" t="str">
            <v>Philippines</v>
          </cell>
          <cell r="B68">
            <v>0.86</v>
          </cell>
          <cell r="C68">
            <v>0.14000000000000001</v>
          </cell>
        </row>
        <row r="69">
          <cell r="A69" t="str">
            <v>Cyprus</v>
          </cell>
        </row>
        <row r="70">
          <cell r="A70" t="str">
            <v>United States</v>
          </cell>
          <cell r="B70">
            <v>0.78</v>
          </cell>
          <cell r="C70">
            <v>0.22</v>
          </cell>
        </row>
        <row r="71">
          <cell r="A71" t="str">
            <v>Slovenia</v>
          </cell>
        </row>
        <row r="72">
          <cell r="A72" t="str">
            <v>Ecuador</v>
          </cell>
          <cell r="B72">
            <v>1</v>
          </cell>
        </row>
        <row r="73">
          <cell r="A73" t="str">
            <v>Portugal</v>
          </cell>
          <cell r="B73">
            <v>0.89</v>
          </cell>
          <cell r="C73">
            <v>0.11</v>
          </cell>
        </row>
        <row r="74">
          <cell r="A74" t="str">
            <v>Jamaica</v>
          </cell>
        </row>
        <row r="75">
          <cell r="A75" t="str">
            <v>United Kingdom</v>
          </cell>
          <cell r="B75">
            <v>0.84</v>
          </cell>
          <cell r="C75">
            <v>0.16</v>
          </cell>
        </row>
        <row r="76">
          <cell r="A76" t="str">
            <v>Costa Rica</v>
          </cell>
        </row>
        <row r="77">
          <cell r="A77" t="str">
            <v>Russia</v>
          </cell>
          <cell r="B77">
            <v>0.96</v>
          </cell>
          <cell r="C77">
            <v>0.04</v>
          </cell>
        </row>
        <row r="78">
          <cell r="A78" t="str">
            <v>Panama</v>
          </cell>
        </row>
        <row r="79">
          <cell r="A79" t="str">
            <v>El Salvador</v>
          </cell>
        </row>
        <row r="80">
          <cell r="A80" t="str">
            <v>Kosovo</v>
          </cell>
        </row>
        <row r="81">
          <cell r="A81" t="str">
            <v>Mongolia</v>
          </cell>
        </row>
        <row r="82">
          <cell r="A82" t="str">
            <v>CuraÃ§ao</v>
          </cell>
        </row>
        <row r="83">
          <cell r="A83" t="str">
            <v>Trinidad &amp; Tobago</v>
          </cell>
        </row>
        <row r="84">
          <cell r="A84" t="str">
            <v>Oman</v>
          </cell>
        </row>
        <row r="85">
          <cell r="A85" t="str">
            <v>Iceland</v>
          </cell>
        </row>
        <row r="86">
          <cell r="A86" t="str">
            <v>Belgium</v>
          </cell>
          <cell r="B86">
            <v>0.9</v>
          </cell>
          <cell r="C86">
            <v>0.1</v>
          </cell>
        </row>
        <row r="87">
          <cell r="A87" t="str">
            <v>Albania</v>
          </cell>
        </row>
        <row r="88">
          <cell r="A88" t="str">
            <v>Mozambique</v>
          </cell>
        </row>
        <row r="89">
          <cell r="A89" t="str">
            <v>Hungary</v>
          </cell>
          <cell r="B89">
            <v>0.93</v>
          </cell>
          <cell r="C89">
            <v>7.0000000000000007E-2</v>
          </cell>
        </row>
        <row r="90">
          <cell r="A90" t="str">
            <v>Latvia</v>
          </cell>
        </row>
        <row r="91">
          <cell r="A91" t="str">
            <v>Denmark</v>
          </cell>
          <cell r="B91">
            <v>0.89</v>
          </cell>
          <cell r="C91">
            <v>0.11</v>
          </cell>
        </row>
        <row r="92">
          <cell r="A92" t="str">
            <v>South Africa</v>
          </cell>
          <cell r="B92">
            <v>0.87</v>
          </cell>
          <cell r="C92">
            <v>0.13</v>
          </cell>
        </row>
        <row r="93">
          <cell r="A93" t="str">
            <v>Benin</v>
          </cell>
        </row>
        <row r="94">
          <cell r="A94" t="str">
            <v>Bulgaria</v>
          </cell>
          <cell r="B94">
            <v>0.9</v>
          </cell>
          <cell r="C94">
            <v>0.1</v>
          </cell>
        </row>
        <row r="95">
          <cell r="A95" t="str">
            <v>Colombia</v>
          </cell>
          <cell r="B95">
            <v>0.97</v>
          </cell>
          <cell r="C95">
            <v>0.03</v>
          </cell>
        </row>
        <row r="96">
          <cell r="A96" t="str">
            <v>Slovakia</v>
          </cell>
        </row>
        <row r="97">
          <cell r="A97" t="str">
            <v>Malaysia</v>
          </cell>
          <cell r="B97">
            <v>0.88</v>
          </cell>
          <cell r="C97">
            <v>0.12</v>
          </cell>
        </row>
        <row r="98">
          <cell r="A98" t="str">
            <v>Spain</v>
          </cell>
          <cell r="B98">
            <v>0.95</v>
          </cell>
          <cell r="C98">
            <v>0.05</v>
          </cell>
        </row>
        <row r="99">
          <cell r="A99" t="str">
            <v>Lebanon</v>
          </cell>
        </row>
        <row r="100">
          <cell r="A100" t="str">
            <v>Maldives</v>
          </cell>
        </row>
        <row r="101">
          <cell r="A101" t="str">
            <v>Armenia</v>
          </cell>
        </row>
        <row r="102">
          <cell r="A102" t="str">
            <v>Cape Verde</v>
          </cell>
        </row>
        <row r="103">
          <cell r="A103" t="str">
            <v>Lithuania</v>
          </cell>
        </row>
        <row r="104">
          <cell r="A104" t="str">
            <v>Argentina</v>
          </cell>
          <cell r="B104">
            <v>0.96</v>
          </cell>
          <cell r="C104">
            <v>0.04</v>
          </cell>
        </row>
        <row r="105">
          <cell r="A105" t="str">
            <v>Romania</v>
          </cell>
          <cell r="B105">
            <v>0.84</v>
          </cell>
          <cell r="C105">
            <v>0.16</v>
          </cell>
        </row>
        <row r="106">
          <cell r="A106" t="str">
            <v>Mexico</v>
          </cell>
          <cell r="B106">
            <v>0.96</v>
          </cell>
          <cell r="C106">
            <v>0.04</v>
          </cell>
        </row>
        <row r="107">
          <cell r="A107" t="str">
            <v>Belarus</v>
          </cell>
          <cell r="B107">
            <v>0.92</v>
          </cell>
          <cell r="C107">
            <v>0.08</v>
          </cell>
        </row>
        <row r="108">
          <cell r="A108" t="str">
            <v>Bangladesh</v>
          </cell>
          <cell r="B108">
            <v>0.88</v>
          </cell>
          <cell r="C108">
            <v>0.12</v>
          </cell>
        </row>
        <row r="109">
          <cell r="A109" t="str">
            <v>Kenya</v>
          </cell>
        </row>
        <row r="110">
          <cell r="A110" t="str">
            <v>Dominican Republic</v>
          </cell>
          <cell r="B110">
            <v>1</v>
          </cell>
        </row>
        <row r="111">
          <cell r="A111" t="str">
            <v>Cambodia</v>
          </cell>
        </row>
        <row r="112">
          <cell r="A112" t="str">
            <v>North Macedonia</v>
          </cell>
        </row>
        <row r="113">
          <cell r="A113" t="str">
            <v>Qatar</v>
          </cell>
        </row>
        <row r="114">
          <cell r="A114" t="str">
            <v>Tanzania</v>
          </cell>
        </row>
        <row r="115">
          <cell r="A115" t="str">
            <v>Bahrain</v>
          </cell>
        </row>
        <row r="116">
          <cell r="A116" t="str">
            <v>Croatia</v>
          </cell>
          <cell r="B116">
            <v>0.85</v>
          </cell>
          <cell r="C116">
            <v>0.15</v>
          </cell>
        </row>
        <row r="117">
          <cell r="A117" t="str">
            <v>Sudan</v>
          </cell>
        </row>
        <row r="118">
          <cell r="A118" t="str">
            <v>France</v>
          </cell>
          <cell r="B118">
            <v>0.93</v>
          </cell>
          <cell r="C118">
            <v>7.0000000000000007E-2</v>
          </cell>
        </row>
        <row r="119">
          <cell r="A119" t="str">
            <v>Haiti</v>
          </cell>
        </row>
        <row r="120">
          <cell r="A120" t="str">
            <v>Poland</v>
          </cell>
          <cell r="B120">
            <v>0.9</v>
          </cell>
          <cell r="C120">
            <v>0.1</v>
          </cell>
        </row>
        <row r="121">
          <cell r="A121" t="str">
            <v>CÃ´te dâ€™Ivoire</v>
          </cell>
        </row>
        <row r="122">
          <cell r="A122" t="str">
            <v>Cayman Islands</v>
          </cell>
        </row>
        <row r="123">
          <cell r="A123" t="str">
            <v>Peru</v>
          </cell>
        </row>
        <row r="124">
          <cell r="A124" t="str">
            <v>Morocco</v>
          </cell>
        </row>
        <row r="125">
          <cell r="A125" t="str">
            <v>Brazil</v>
          </cell>
          <cell r="B125">
            <v>0.97</v>
          </cell>
          <cell r="C125">
            <v>0.03</v>
          </cell>
        </row>
        <row r="126">
          <cell r="A126" t="str">
            <v>Suriname</v>
          </cell>
        </row>
        <row r="127">
          <cell r="A127" t="str">
            <v>Guatemala</v>
          </cell>
        </row>
        <row r="128">
          <cell r="A128" t="str">
            <v>Italy</v>
          </cell>
          <cell r="B128">
            <v>0.95</v>
          </cell>
          <cell r="C128">
            <v>0.05</v>
          </cell>
        </row>
        <row r="129">
          <cell r="A129" t="str">
            <v>Ukraine</v>
          </cell>
          <cell r="B129">
            <v>0.91</v>
          </cell>
          <cell r="C129">
            <v>0.09</v>
          </cell>
        </row>
        <row r="130">
          <cell r="A130" t="str">
            <v>Serbia</v>
          </cell>
          <cell r="B130">
            <v>0.82</v>
          </cell>
          <cell r="C130">
            <v>0.18</v>
          </cell>
        </row>
        <row r="131">
          <cell r="A131" t="str">
            <v>Uzbekistan</v>
          </cell>
        </row>
        <row r="132">
          <cell r="A132" t="str">
            <v>Martinique</v>
          </cell>
        </row>
        <row r="133">
          <cell r="A133" t="str">
            <v>Moldova</v>
          </cell>
        </row>
        <row r="134">
          <cell r="A134" t="str">
            <v>Guam</v>
          </cell>
        </row>
        <row r="135">
          <cell r="A135" t="str">
            <v>RÃ©union</v>
          </cell>
        </row>
        <row r="136">
          <cell r="A136" t="str">
            <v>Bahamas</v>
          </cell>
        </row>
        <row r="137">
          <cell r="A137" t="str">
            <v>Nigeria</v>
          </cell>
        </row>
        <row r="138">
          <cell r="A138" t="str">
            <v>Algeria</v>
          </cell>
          <cell r="B138">
            <v>1</v>
          </cell>
        </row>
        <row r="139">
          <cell r="A139" t="str">
            <v>Palestine</v>
          </cell>
        </row>
        <row r="140">
          <cell r="A140" t="str">
            <v>Barbados</v>
          </cell>
        </row>
        <row r="141">
          <cell r="A141" t="str">
            <v>Nicaragua</v>
          </cell>
        </row>
        <row r="142">
          <cell r="A142" t="str">
            <v>Libya</v>
          </cell>
        </row>
        <row r="143">
          <cell r="A143" t="str">
            <v>Kazakhstan</v>
          </cell>
          <cell r="B143">
            <v>1</v>
          </cell>
        </row>
        <row r="144">
          <cell r="A144" t="str">
            <v>Indonesia</v>
          </cell>
          <cell r="B144">
            <v>0.95</v>
          </cell>
          <cell r="C144">
            <v>0.05</v>
          </cell>
        </row>
        <row r="145">
          <cell r="A145" t="str">
            <v>Thailand</v>
          </cell>
          <cell r="B145">
            <v>0.95</v>
          </cell>
          <cell r="C145">
            <v>0.05</v>
          </cell>
        </row>
        <row r="146">
          <cell r="A146" t="str">
            <v>Puerto Rico</v>
          </cell>
        </row>
        <row r="147">
          <cell r="A147" t="str">
            <v>Yemen</v>
          </cell>
        </row>
        <row r="148">
          <cell r="A148" t="str">
            <v>Laos</v>
          </cell>
        </row>
        <row r="149">
          <cell r="A149" t="str">
            <v>Jordan</v>
          </cell>
        </row>
        <row r="150">
          <cell r="A150" t="str">
            <v>Greece</v>
          </cell>
          <cell r="B150">
            <v>0.89</v>
          </cell>
          <cell r="C150">
            <v>0.11</v>
          </cell>
        </row>
        <row r="151">
          <cell r="A151" t="str">
            <v>Chile</v>
          </cell>
          <cell r="B151">
            <v>0.96</v>
          </cell>
          <cell r="C151">
            <v>0.04</v>
          </cell>
        </row>
        <row r="152">
          <cell r="A152" t="str">
            <v>Burkina Faso</v>
          </cell>
        </row>
        <row r="153">
          <cell r="A153" t="str">
            <v>Vietnam</v>
          </cell>
          <cell r="B153">
            <v>0.82</v>
          </cell>
          <cell r="C153">
            <v>0.18</v>
          </cell>
        </row>
        <row r="154">
          <cell r="A154" t="str">
            <v>Montenegro</v>
          </cell>
        </row>
        <row r="155">
          <cell r="A155" t="str">
            <v>Bosnia &amp; Herzegovina</v>
          </cell>
        </row>
        <row r="156">
          <cell r="A156" t="str">
            <v>Paraguay</v>
          </cell>
        </row>
        <row r="157">
          <cell r="A157" t="str">
            <v>Saudi Arabia</v>
          </cell>
          <cell r="B157">
            <v>0.92</v>
          </cell>
          <cell r="C157">
            <v>0.08</v>
          </cell>
        </row>
        <row r="158">
          <cell r="A158" t="str">
            <v>Turkmenistan</v>
          </cell>
        </row>
        <row r="159">
          <cell r="A159" t="str">
            <v>Iran</v>
          </cell>
          <cell r="B159">
            <v>0.9</v>
          </cell>
          <cell r="C159">
            <v>0.1</v>
          </cell>
        </row>
        <row r="160">
          <cell r="A160" t="str">
            <v>Mali</v>
          </cell>
        </row>
        <row r="161">
          <cell r="A161" t="str">
            <v>Syria</v>
          </cell>
        </row>
        <row r="162">
          <cell r="A162" t="str">
            <v>Guinea</v>
          </cell>
        </row>
        <row r="163">
          <cell r="A163" t="str">
            <v>Azerbaijan</v>
          </cell>
        </row>
        <row r="164">
          <cell r="A164" t="str">
            <v>Kuwait</v>
          </cell>
        </row>
        <row r="165">
          <cell r="A165" t="str">
            <v>Georgia</v>
          </cell>
        </row>
        <row r="166">
          <cell r="A166" t="str">
            <v>Egypt</v>
          </cell>
          <cell r="B166">
            <v>0.88</v>
          </cell>
          <cell r="C166">
            <v>0.12</v>
          </cell>
        </row>
        <row r="167">
          <cell r="A167" t="str">
            <v>Kyrgyzstan</v>
          </cell>
        </row>
        <row r="168">
          <cell r="A168" t="str">
            <v>Venezuela</v>
          </cell>
          <cell r="B168">
            <v>1</v>
          </cell>
        </row>
        <row r="169">
          <cell r="A169" t="str">
            <v>Turkey</v>
          </cell>
          <cell r="B169">
            <v>0.92</v>
          </cell>
          <cell r="C169">
            <v>0.08</v>
          </cell>
        </row>
        <row r="170">
          <cell r="A170" t="str">
            <v>Guadeloupe</v>
          </cell>
        </row>
        <row r="171">
          <cell r="A171" t="str">
            <v>Tajikistan</v>
          </cell>
        </row>
        <row r="172">
          <cell r="A172" t="str">
            <v>Iraq</v>
          </cell>
        </row>
        <row r="173">
          <cell r="A173" t="str">
            <v>Guyana</v>
          </cell>
        </row>
        <row r="174">
          <cell r="A174" t="str">
            <v>Nauru</v>
          </cell>
        </row>
        <row r="175">
          <cell r="A175" t="str">
            <v>Eritrea</v>
          </cell>
        </row>
        <row r="176">
          <cell r="A176" t="str">
            <v>Montserrat</v>
          </cell>
        </row>
        <row r="177">
          <cell r="A177" t="str">
            <v>Cook Islands</v>
          </cell>
        </row>
        <row r="178">
          <cell r="A178" t="str">
            <v>Tonga</v>
          </cell>
        </row>
        <row r="179">
          <cell r="A179" t="str">
            <v>Marshall Islands</v>
          </cell>
        </row>
        <row r="180">
          <cell r="A180" t="str">
            <v>Vanuatu</v>
          </cell>
        </row>
        <row r="181">
          <cell r="A181" t="str">
            <v>Palau</v>
          </cell>
        </row>
        <row r="182">
          <cell r="A182" t="str">
            <v>Central African Republic</v>
          </cell>
        </row>
        <row r="183">
          <cell r="A183" t="str">
            <v>Anguilla</v>
          </cell>
        </row>
        <row r="184">
          <cell r="A184" t="str">
            <v>St. BarthÃ©lemy</v>
          </cell>
        </row>
        <row r="185">
          <cell r="A185" t="str">
            <v>SÃ£o TomÃ© &amp; PrÃ­ncipe</v>
          </cell>
        </row>
        <row r="186">
          <cell r="A186" t="str">
            <v>Monaco</v>
          </cell>
        </row>
        <row r="187">
          <cell r="A187" t="str">
            <v>Gibraltar</v>
          </cell>
        </row>
        <row r="188">
          <cell r="A188" t="str">
            <v>Sint Maarten</v>
          </cell>
        </row>
        <row r="189">
          <cell r="A189" t="str">
            <v>Gambia</v>
          </cell>
        </row>
        <row r="190">
          <cell r="A190" t="str">
            <v>Equatorial Guinea</v>
          </cell>
        </row>
        <row r="191">
          <cell r="A191" t="str">
            <v>Guinea-Bissau</v>
          </cell>
        </row>
        <row r="192">
          <cell r="A192" t="str">
            <v>Turks &amp; Caicos Islands</v>
          </cell>
        </row>
        <row r="193">
          <cell r="A193" t="str">
            <v>Comoros</v>
          </cell>
        </row>
        <row r="194">
          <cell r="A194" t="str">
            <v>Liechtenstein</v>
          </cell>
        </row>
        <row r="195">
          <cell r="A195" t="str">
            <v>Seychelles</v>
          </cell>
        </row>
        <row r="196">
          <cell r="A196" t="str">
            <v>Ã…land Islands</v>
          </cell>
        </row>
        <row r="197">
          <cell r="A197" t="str">
            <v>South Sudan</v>
          </cell>
        </row>
        <row r="198">
          <cell r="A198" t="str">
            <v>Chad</v>
          </cell>
        </row>
        <row r="199">
          <cell r="A199" t="str">
            <v>Caribbean Netherlands</v>
          </cell>
        </row>
        <row r="200">
          <cell r="A200" t="str">
            <v>Solomon Islands</v>
          </cell>
        </row>
        <row r="201">
          <cell r="A201" t="str">
            <v>Congo - Brazzaville</v>
          </cell>
        </row>
        <row r="202">
          <cell r="A202" t="str">
            <v>French Polynesia</v>
          </cell>
        </row>
        <row r="203">
          <cell r="A203" t="str">
            <v>Djibouti</v>
          </cell>
        </row>
        <row r="204">
          <cell r="A204" t="str">
            <v>Mauritania</v>
          </cell>
        </row>
        <row r="205">
          <cell r="A205" t="str">
            <v>New Caledonia</v>
          </cell>
        </row>
        <row r="206">
          <cell r="A206" t="str">
            <v>Andorra</v>
          </cell>
        </row>
        <row r="207">
          <cell r="A207" t="str">
            <v>U.S. Virgin Islands</v>
          </cell>
        </row>
        <row r="208">
          <cell r="A208" t="str">
            <v>Guernsey</v>
          </cell>
        </row>
        <row r="209">
          <cell r="A209" t="str">
            <v>St. Vincent &amp; Grenadines</v>
          </cell>
        </row>
        <row r="210">
          <cell r="A210" t="str">
            <v>Niger</v>
          </cell>
        </row>
        <row r="211">
          <cell r="A211" t="str">
            <v>San Marino</v>
          </cell>
        </row>
        <row r="212">
          <cell r="A212" t="str">
            <v>St. Lucia</v>
          </cell>
        </row>
        <row r="213">
          <cell r="A213" t="str">
            <v>Gabon</v>
          </cell>
        </row>
        <row r="214">
          <cell r="A214" t="str">
            <v>Bermuda</v>
          </cell>
        </row>
        <row r="215">
          <cell r="A215" t="str">
            <v>Mayotte</v>
          </cell>
        </row>
        <row r="216">
          <cell r="A216" t="str">
            <v>Faroe Islands</v>
          </cell>
        </row>
        <row r="217">
          <cell r="A217" t="str">
            <v>Timor-Leste</v>
          </cell>
        </row>
        <row r="218">
          <cell r="A218" t="str">
            <v>Grenada</v>
          </cell>
        </row>
        <row r="219">
          <cell r="A219" t="str">
            <v>French Guiana</v>
          </cell>
        </row>
        <row r="220">
          <cell r="A220" t="str">
            <v>Belize</v>
          </cell>
        </row>
        <row r="221">
          <cell r="A221" t="str">
            <v>Aruba</v>
          </cell>
        </row>
        <row r="222">
          <cell r="A222" t="str">
            <v>American Samoa</v>
          </cell>
        </row>
        <row r="223">
          <cell r="A223" t="str">
            <v>Antarctica</v>
          </cell>
        </row>
        <row r="224">
          <cell r="A224" t="str">
            <v>French Southern Territories</v>
          </cell>
        </row>
        <row r="225">
          <cell r="A225" t="str">
            <v>Antigua &amp; Barbuda</v>
          </cell>
        </row>
        <row r="226">
          <cell r="A226" t="str">
            <v>Bouvet Island</v>
          </cell>
        </row>
        <row r="227">
          <cell r="A227" t="str">
            <v>Cocos (Keeling) Islands</v>
          </cell>
        </row>
        <row r="228">
          <cell r="A228" t="str">
            <v>Christmas Island</v>
          </cell>
        </row>
        <row r="229">
          <cell r="A229" t="str">
            <v>Dominica</v>
          </cell>
        </row>
        <row r="230">
          <cell r="A230" t="str">
            <v>Western Sahara</v>
          </cell>
        </row>
        <row r="231">
          <cell r="A231" t="str">
            <v>Falkland Islands (Islas Malvinas)</v>
          </cell>
        </row>
        <row r="232">
          <cell r="A232" t="str">
            <v>Micronesia</v>
          </cell>
        </row>
        <row r="233">
          <cell r="A233" t="str">
            <v>Greenland</v>
          </cell>
        </row>
        <row r="234">
          <cell r="A234" t="str">
            <v>Heard &amp; McDonald Islands</v>
          </cell>
        </row>
        <row r="235">
          <cell r="A235" t="str">
            <v>British Indian Ocean Territory</v>
          </cell>
        </row>
        <row r="236">
          <cell r="A236" t="str">
            <v>Kiribati</v>
          </cell>
        </row>
        <row r="237">
          <cell r="A237" t="str">
            <v>St. Kitts &amp; Nevis</v>
          </cell>
        </row>
        <row r="238">
          <cell r="A238" t="str">
            <v>St. Martin</v>
          </cell>
        </row>
        <row r="239">
          <cell r="A239" t="str">
            <v>Northern Mariana Islands</v>
          </cell>
        </row>
        <row r="240">
          <cell r="A240" t="str">
            <v>Norfolk Island</v>
          </cell>
        </row>
        <row r="241">
          <cell r="A241" t="str">
            <v>Niue</v>
          </cell>
        </row>
        <row r="242">
          <cell r="A242" t="str">
            <v>Pitcairn Islands</v>
          </cell>
        </row>
        <row r="243">
          <cell r="A243" t="str">
            <v>North Korea</v>
          </cell>
        </row>
        <row r="244">
          <cell r="A244" t="str">
            <v>South Georgia &amp; South Sandwich Islands</v>
          </cell>
        </row>
        <row r="245">
          <cell r="A245" t="str">
            <v>Svalbard &amp; Jan Mayen</v>
          </cell>
        </row>
        <row r="246">
          <cell r="A246" t="str">
            <v>St. Pierre &amp; Miquelon</v>
          </cell>
        </row>
        <row r="247">
          <cell r="A247" t="str">
            <v>Tokelau</v>
          </cell>
        </row>
        <row r="248">
          <cell r="A248" t="str">
            <v>Tuvalu</v>
          </cell>
        </row>
        <row r="249">
          <cell r="A249" t="str">
            <v>U.S. Outlying Islands</v>
          </cell>
        </row>
        <row r="250">
          <cell r="A250" t="str">
            <v>Vatican City</v>
          </cell>
        </row>
        <row r="251">
          <cell r="A251" t="str">
            <v>British Virgin Islands</v>
          </cell>
        </row>
        <row r="252">
          <cell r="A252" t="str">
            <v>Wallis &amp; Futuna</v>
          </cell>
        </row>
        <row r="253">
          <cell r="A253" t="str">
            <v>Samoa</v>
          </cell>
        </row>
      </sheetData>
    </sheetDataSet>
  </externalBook>
</externalLink>
</file>

<file path=xl/externalLinks/externalLink1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23)"/>
    </sheetNames>
    <sheetDataSet>
      <sheetData sheetId="0" refreshError="1">
        <row r="1">
          <cell r="A1" t="str">
            <v>Category: All categories</v>
          </cell>
        </row>
        <row r="3">
          <cell r="A3" t="str">
            <v>Country</v>
          </cell>
          <cell r="B3" t="str">
            <v>B-tree: (2018)</v>
          </cell>
          <cell r="C3" t="str">
            <v>Edge detection: (2018)</v>
          </cell>
        </row>
        <row r="4">
          <cell r="A4" t="str">
            <v>China</v>
          </cell>
          <cell r="B4">
            <v>0.54</v>
          </cell>
          <cell r="C4">
            <v>0.46</v>
          </cell>
        </row>
        <row r="5">
          <cell r="A5" t="str">
            <v>South Korea</v>
          </cell>
          <cell r="B5">
            <v>0.56000000000000005</v>
          </cell>
          <cell r="C5">
            <v>0.44</v>
          </cell>
        </row>
        <row r="6">
          <cell r="A6" t="str">
            <v>India</v>
          </cell>
          <cell r="B6">
            <v>0.66</v>
          </cell>
          <cell r="C6">
            <v>0.34</v>
          </cell>
        </row>
        <row r="7">
          <cell r="A7" t="str">
            <v>Israel</v>
          </cell>
          <cell r="B7">
            <v>0.64</v>
          </cell>
          <cell r="C7">
            <v>0.36</v>
          </cell>
        </row>
        <row r="8">
          <cell r="A8" t="str">
            <v>Iran</v>
          </cell>
          <cell r="B8">
            <v>0.79</v>
          </cell>
          <cell r="C8">
            <v>0.21</v>
          </cell>
        </row>
        <row r="9">
          <cell r="A9" t="str">
            <v>Singapore</v>
          </cell>
          <cell r="B9">
            <v>0.4</v>
          </cell>
          <cell r="C9">
            <v>0.6</v>
          </cell>
        </row>
        <row r="10">
          <cell r="A10" t="str">
            <v>Tunisia</v>
          </cell>
        </row>
        <row r="11">
          <cell r="A11" t="str">
            <v>Pakistan</v>
          </cell>
          <cell r="B11">
            <v>0.45</v>
          </cell>
          <cell r="C11">
            <v>0.55000000000000004</v>
          </cell>
        </row>
        <row r="12">
          <cell r="A12" t="str">
            <v>St. Helena</v>
          </cell>
          <cell r="B12">
            <v>0.52</v>
          </cell>
          <cell r="C12">
            <v>0.48</v>
          </cell>
        </row>
        <row r="13">
          <cell r="A13" t="str">
            <v>Hong Kong</v>
          </cell>
          <cell r="B13">
            <v>0.43</v>
          </cell>
          <cell r="C13">
            <v>0.56999999999999995</v>
          </cell>
        </row>
        <row r="14">
          <cell r="A14" t="str">
            <v>Guatemala</v>
          </cell>
          <cell r="B14">
            <v>1</v>
          </cell>
        </row>
        <row r="15">
          <cell r="A15" t="str">
            <v>Czechia</v>
          </cell>
          <cell r="B15">
            <v>0.65</v>
          </cell>
          <cell r="C15">
            <v>0.35</v>
          </cell>
        </row>
        <row r="16">
          <cell r="A16" t="str">
            <v>Bangladesh</v>
          </cell>
          <cell r="B16">
            <v>0.34</v>
          </cell>
          <cell r="C16">
            <v>0.66</v>
          </cell>
        </row>
        <row r="17">
          <cell r="A17" t="str">
            <v>Sri Lanka</v>
          </cell>
          <cell r="B17">
            <v>0.63</v>
          </cell>
          <cell r="C17">
            <v>0.37</v>
          </cell>
        </row>
        <row r="18">
          <cell r="A18" t="str">
            <v>Costa Rica</v>
          </cell>
          <cell r="B18">
            <v>1</v>
          </cell>
        </row>
        <row r="19">
          <cell r="A19" t="str">
            <v>Taiwan</v>
          </cell>
          <cell r="B19">
            <v>0.49</v>
          </cell>
          <cell r="C19">
            <v>0.51</v>
          </cell>
        </row>
        <row r="20">
          <cell r="A20" t="str">
            <v>Cyprus</v>
          </cell>
        </row>
        <row r="21">
          <cell r="A21" t="str">
            <v>Slovenia</v>
          </cell>
          <cell r="B21">
            <v>1</v>
          </cell>
        </row>
        <row r="22">
          <cell r="A22" t="str">
            <v>Denmark</v>
          </cell>
          <cell r="B22">
            <v>0.46</v>
          </cell>
          <cell r="C22">
            <v>0.54</v>
          </cell>
        </row>
        <row r="23">
          <cell r="A23" t="str">
            <v>Germany</v>
          </cell>
          <cell r="B23">
            <v>0.56999999999999995</v>
          </cell>
          <cell r="C23">
            <v>0.43</v>
          </cell>
        </row>
        <row r="24">
          <cell r="A24" t="str">
            <v>Switzerland</v>
          </cell>
          <cell r="B24">
            <v>0.43</v>
          </cell>
          <cell r="C24">
            <v>0.56999999999999995</v>
          </cell>
        </row>
        <row r="25">
          <cell r="A25" t="str">
            <v>Belarus</v>
          </cell>
          <cell r="B25">
            <v>1</v>
          </cell>
        </row>
        <row r="26">
          <cell r="A26" t="str">
            <v>Japan</v>
          </cell>
          <cell r="B26">
            <v>0.42</v>
          </cell>
          <cell r="C26">
            <v>0.57999999999999996</v>
          </cell>
        </row>
        <row r="27">
          <cell r="A27" t="str">
            <v>Austria</v>
          </cell>
          <cell r="B27">
            <v>0.68</v>
          </cell>
          <cell r="C27">
            <v>0.32</v>
          </cell>
        </row>
        <row r="28">
          <cell r="A28" t="str">
            <v>United States</v>
          </cell>
          <cell r="B28">
            <v>0.61</v>
          </cell>
          <cell r="C28">
            <v>0.39</v>
          </cell>
        </row>
        <row r="29">
          <cell r="A29" t="str">
            <v>Canada</v>
          </cell>
          <cell r="B29">
            <v>0.56999999999999995</v>
          </cell>
          <cell r="C29">
            <v>0.43</v>
          </cell>
        </row>
        <row r="30">
          <cell r="A30" t="str">
            <v>Russia</v>
          </cell>
          <cell r="B30">
            <v>0.75</v>
          </cell>
          <cell r="C30">
            <v>0.25</v>
          </cell>
        </row>
        <row r="31">
          <cell r="A31" t="str">
            <v>Ireland</v>
          </cell>
          <cell r="B31">
            <v>0.6</v>
          </cell>
          <cell r="C31">
            <v>0.4</v>
          </cell>
        </row>
        <row r="32">
          <cell r="A32" t="str">
            <v>Malaysia</v>
          </cell>
          <cell r="B32">
            <v>0.32</v>
          </cell>
          <cell r="C32">
            <v>0.68</v>
          </cell>
        </row>
        <row r="33">
          <cell r="A33" t="str">
            <v>Ecuador</v>
          </cell>
          <cell r="B33">
            <v>1</v>
          </cell>
        </row>
        <row r="34">
          <cell r="A34" t="str">
            <v>Croatia</v>
          </cell>
          <cell r="B34">
            <v>1</v>
          </cell>
        </row>
        <row r="35">
          <cell r="A35" t="str">
            <v>Greece</v>
          </cell>
          <cell r="B35">
            <v>0.85</v>
          </cell>
          <cell r="C35">
            <v>0.15</v>
          </cell>
        </row>
        <row r="36">
          <cell r="A36" t="str">
            <v>Serbia</v>
          </cell>
          <cell r="B36">
            <v>1</v>
          </cell>
        </row>
        <row r="37">
          <cell r="A37" t="str">
            <v>Ghana</v>
          </cell>
        </row>
        <row r="38">
          <cell r="A38" t="str">
            <v>Bulgaria</v>
          </cell>
          <cell r="B38">
            <v>1</v>
          </cell>
        </row>
        <row r="39">
          <cell r="A39" t="str">
            <v>Belgium</v>
          </cell>
          <cell r="B39">
            <v>0.46</v>
          </cell>
          <cell r="C39">
            <v>0.54</v>
          </cell>
        </row>
        <row r="40">
          <cell r="A40" t="str">
            <v>New Zealand</v>
          </cell>
          <cell r="B40">
            <v>0.49</v>
          </cell>
          <cell r="C40">
            <v>0.51</v>
          </cell>
        </row>
        <row r="41">
          <cell r="A41" t="str">
            <v>Poland</v>
          </cell>
          <cell r="B41">
            <v>0.72</v>
          </cell>
          <cell r="C41">
            <v>0.28000000000000003</v>
          </cell>
        </row>
        <row r="42">
          <cell r="A42" t="str">
            <v>South Africa</v>
          </cell>
          <cell r="B42">
            <v>0.66</v>
          </cell>
          <cell r="C42">
            <v>0.34</v>
          </cell>
        </row>
        <row r="43">
          <cell r="A43" t="str">
            <v>Romania</v>
          </cell>
          <cell r="B43">
            <v>0.53</v>
          </cell>
          <cell r="C43">
            <v>0.47</v>
          </cell>
        </row>
        <row r="44">
          <cell r="A44" t="str">
            <v>Vietnam</v>
          </cell>
          <cell r="B44">
            <v>0.7</v>
          </cell>
          <cell r="C44">
            <v>0.3</v>
          </cell>
        </row>
        <row r="45">
          <cell r="A45" t="str">
            <v>Iraq</v>
          </cell>
          <cell r="C45">
            <v>1</v>
          </cell>
        </row>
        <row r="46">
          <cell r="A46" t="str">
            <v>Netherlands</v>
          </cell>
          <cell r="B46">
            <v>0.48</v>
          </cell>
          <cell r="C46">
            <v>0.52</v>
          </cell>
        </row>
        <row r="47">
          <cell r="A47" t="str">
            <v>Ukraine</v>
          </cell>
          <cell r="B47">
            <v>0.73</v>
          </cell>
          <cell r="C47">
            <v>0.27</v>
          </cell>
        </row>
        <row r="48">
          <cell r="A48" t="str">
            <v>Australia</v>
          </cell>
          <cell r="B48">
            <v>0.54</v>
          </cell>
          <cell r="C48">
            <v>0.46</v>
          </cell>
        </row>
        <row r="49">
          <cell r="A49" t="str">
            <v>Egypt</v>
          </cell>
          <cell r="B49">
            <v>0.46</v>
          </cell>
          <cell r="C49">
            <v>0.54</v>
          </cell>
        </row>
        <row r="50">
          <cell r="A50" t="str">
            <v>Norway</v>
          </cell>
          <cell r="B50">
            <v>0.51</v>
          </cell>
          <cell r="C50">
            <v>0.49</v>
          </cell>
        </row>
        <row r="51">
          <cell r="A51" t="str">
            <v>Portugal</v>
          </cell>
          <cell r="B51">
            <v>0.65</v>
          </cell>
          <cell r="C51">
            <v>0.35</v>
          </cell>
        </row>
        <row r="52">
          <cell r="A52" t="str">
            <v>United Arab Emirates</v>
          </cell>
          <cell r="B52">
            <v>0.59</v>
          </cell>
          <cell r="C52">
            <v>0.41</v>
          </cell>
        </row>
        <row r="53">
          <cell r="A53" t="str">
            <v>Philippines</v>
          </cell>
          <cell r="B53">
            <v>0.41</v>
          </cell>
          <cell r="C53">
            <v>0.59</v>
          </cell>
        </row>
        <row r="54">
          <cell r="A54" t="str">
            <v>Sweden</v>
          </cell>
          <cell r="B54">
            <v>0.49</v>
          </cell>
          <cell r="C54">
            <v>0.51</v>
          </cell>
        </row>
        <row r="55">
          <cell r="A55" t="str">
            <v>Finland</v>
          </cell>
          <cell r="B55">
            <v>0.42</v>
          </cell>
          <cell r="C55">
            <v>0.57999999999999996</v>
          </cell>
        </row>
        <row r="56">
          <cell r="A56" t="str">
            <v>United Kingdom</v>
          </cell>
          <cell r="B56">
            <v>0.51</v>
          </cell>
          <cell r="C56">
            <v>0.49</v>
          </cell>
        </row>
        <row r="57">
          <cell r="A57" t="str">
            <v>Brazil</v>
          </cell>
          <cell r="B57">
            <v>0.79</v>
          </cell>
          <cell r="C57">
            <v>0.21</v>
          </cell>
        </row>
        <row r="58">
          <cell r="A58" t="str">
            <v>Hungary</v>
          </cell>
          <cell r="B58">
            <v>0.49</v>
          </cell>
          <cell r="C58">
            <v>0.51</v>
          </cell>
        </row>
        <row r="59">
          <cell r="A59" t="str">
            <v>Algeria</v>
          </cell>
          <cell r="B59">
            <v>0.48</v>
          </cell>
          <cell r="C59">
            <v>0.52</v>
          </cell>
        </row>
        <row r="60">
          <cell r="A60" t="str">
            <v>Bolivia</v>
          </cell>
        </row>
        <row r="61">
          <cell r="A61" t="str">
            <v>Italy</v>
          </cell>
          <cell r="B61">
            <v>0.67</v>
          </cell>
          <cell r="C61">
            <v>0.33</v>
          </cell>
        </row>
        <row r="62">
          <cell r="A62" t="str">
            <v>Nigeria</v>
          </cell>
          <cell r="B62">
            <v>1</v>
          </cell>
        </row>
        <row r="63">
          <cell r="A63" t="str">
            <v>Peru</v>
          </cell>
          <cell r="B63">
            <v>1</v>
          </cell>
        </row>
        <row r="64">
          <cell r="A64" t="str">
            <v>Chile</v>
          </cell>
          <cell r="B64">
            <v>1</v>
          </cell>
        </row>
        <row r="65">
          <cell r="A65" t="str">
            <v>Indonesia</v>
          </cell>
          <cell r="B65">
            <v>0.55000000000000004</v>
          </cell>
          <cell r="C65">
            <v>0.45</v>
          </cell>
        </row>
        <row r="66">
          <cell r="A66" t="str">
            <v>Thailand</v>
          </cell>
          <cell r="B66">
            <v>0.38</v>
          </cell>
          <cell r="C66">
            <v>0.62</v>
          </cell>
        </row>
        <row r="67">
          <cell r="A67" t="str">
            <v>Turkey</v>
          </cell>
          <cell r="B67">
            <v>0.43</v>
          </cell>
          <cell r="C67">
            <v>0.56999999999999995</v>
          </cell>
        </row>
        <row r="68">
          <cell r="A68" t="str">
            <v>Saudi Arabia</v>
          </cell>
          <cell r="B68">
            <v>0.66</v>
          </cell>
          <cell r="C68">
            <v>0.34</v>
          </cell>
        </row>
        <row r="69">
          <cell r="A69" t="str">
            <v>France</v>
          </cell>
          <cell r="B69">
            <v>0.54</v>
          </cell>
          <cell r="C69">
            <v>0.46</v>
          </cell>
        </row>
        <row r="70">
          <cell r="A70" t="str">
            <v>Venezuela</v>
          </cell>
          <cell r="B70">
            <v>1</v>
          </cell>
        </row>
        <row r="71">
          <cell r="A71" t="str">
            <v>Spain</v>
          </cell>
          <cell r="B71">
            <v>0.56000000000000005</v>
          </cell>
          <cell r="C71">
            <v>0.44</v>
          </cell>
        </row>
        <row r="72">
          <cell r="A72" t="str">
            <v>Mexico</v>
          </cell>
          <cell r="B72">
            <v>0.56999999999999995</v>
          </cell>
          <cell r="C72">
            <v>0.43</v>
          </cell>
        </row>
        <row r="73">
          <cell r="A73" t="str">
            <v>Colombia</v>
          </cell>
          <cell r="B73">
            <v>0.62</v>
          </cell>
          <cell r="C73">
            <v>0.38</v>
          </cell>
        </row>
        <row r="74">
          <cell r="A74" t="str">
            <v>Morocco</v>
          </cell>
          <cell r="C74">
            <v>1</v>
          </cell>
        </row>
        <row r="75">
          <cell r="A75" t="str">
            <v>Argentina</v>
          </cell>
          <cell r="B75">
            <v>1</v>
          </cell>
        </row>
        <row r="76">
          <cell r="A76" t="str">
            <v>Liechtenstein</v>
          </cell>
        </row>
        <row r="77">
          <cell r="A77" t="str">
            <v>Andorra</v>
          </cell>
        </row>
        <row r="78">
          <cell r="A78" t="str">
            <v>Grenada</v>
          </cell>
        </row>
        <row r="79">
          <cell r="A79" t="str">
            <v>Burundi</v>
          </cell>
        </row>
        <row r="80">
          <cell r="A80" t="str">
            <v>Niger</v>
          </cell>
        </row>
        <row r="81">
          <cell r="A81" t="str">
            <v>Papua New Guinea</v>
          </cell>
        </row>
        <row r="82">
          <cell r="A82" t="str">
            <v>Mauritania</v>
          </cell>
        </row>
        <row r="83">
          <cell r="A83" t="str">
            <v>Cuba</v>
          </cell>
        </row>
        <row r="84">
          <cell r="A84" t="str">
            <v>Malta</v>
          </cell>
        </row>
        <row r="85">
          <cell r="A85" t="str">
            <v>Somalia</v>
          </cell>
        </row>
        <row r="86">
          <cell r="A86" t="str">
            <v>Afghanistan</v>
          </cell>
        </row>
        <row r="87">
          <cell r="A87" t="str">
            <v>Iceland</v>
          </cell>
        </row>
        <row r="88">
          <cell r="A88" t="str">
            <v>Mozambique</v>
          </cell>
        </row>
        <row r="89">
          <cell r="A89" t="str">
            <v>Burkina Faso</v>
          </cell>
        </row>
        <row r="90">
          <cell r="A90" t="str">
            <v>Cameroon</v>
          </cell>
        </row>
        <row r="91">
          <cell r="A91" t="str">
            <v>Brunei</v>
          </cell>
        </row>
        <row r="92">
          <cell r="A92" t="str">
            <v>Estonia</v>
          </cell>
        </row>
        <row r="93">
          <cell r="A93" t="str">
            <v>Macao</v>
          </cell>
        </row>
        <row r="94">
          <cell r="A94" t="str">
            <v>Kosovo</v>
          </cell>
        </row>
        <row r="95">
          <cell r="A95" t="str">
            <v>Ethiopia</v>
          </cell>
        </row>
        <row r="96">
          <cell r="A96" t="str">
            <v>Oman</v>
          </cell>
        </row>
        <row r="97">
          <cell r="A97" t="str">
            <v>Armenia</v>
          </cell>
        </row>
        <row r="98">
          <cell r="A98" t="str">
            <v>North Macedonia</v>
          </cell>
        </row>
        <row r="99">
          <cell r="A99" t="str">
            <v>Montenegro</v>
          </cell>
        </row>
        <row r="100">
          <cell r="A100" t="str">
            <v>Honduras</v>
          </cell>
        </row>
        <row r="101">
          <cell r="A101" t="str">
            <v>Zimbabwe</v>
          </cell>
        </row>
        <row r="102">
          <cell r="A102" t="str">
            <v>Laos</v>
          </cell>
        </row>
        <row r="103">
          <cell r="A103" t="str">
            <v>Palestine</v>
          </cell>
        </row>
        <row r="104">
          <cell r="A104" t="str">
            <v>Senegal</v>
          </cell>
        </row>
        <row r="105">
          <cell r="A105" t="str">
            <v>Yemen</v>
          </cell>
        </row>
        <row r="106">
          <cell r="A106" t="str">
            <v>Myanmar (Burma)</v>
          </cell>
        </row>
        <row r="107">
          <cell r="A107" t="str">
            <v>Nepal</v>
          </cell>
        </row>
        <row r="108">
          <cell r="A108" t="str">
            <v>Jordan</v>
          </cell>
        </row>
        <row r="109">
          <cell r="A109" t="str">
            <v>Zambia</v>
          </cell>
        </row>
        <row r="110">
          <cell r="A110" t="str">
            <v>Cambodia</v>
          </cell>
        </row>
        <row r="111">
          <cell r="A111" t="str">
            <v>Congo - Kinshasa</v>
          </cell>
        </row>
        <row r="112">
          <cell r="A112" t="str">
            <v>Syria</v>
          </cell>
        </row>
        <row r="113">
          <cell r="A113" t="str">
            <v>Sudan</v>
          </cell>
        </row>
        <row r="114">
          <cell r="A114" t="str">
            <v>Trinidad &amp; Tobago</v>
          </cell>
        </row>
        <row r="115">
          <cell r="A115" t="str">
            <v>Latvia</v>
          </cell>
        </row>
        <row r="116">
          <cell r="A116" t="str">
            <v>Bahrain</v>
          </cell>
        </row>
        <row r="117">
          <cell r="A117" t="str">
            <v>Libya</v>
          </cell>
        </row>
        <row r="118">
          <cell r="A118" t="str">
            <v>Qatar</v>
          </cell>
        </row>
        <row r="119">
          <cell r="A119" t="str">
            <v>Luxembourg</v>
          </cell>
        </row>
        <row r="120">
          <cell r="A120" t="str">
            <v>Nicaragua</v>
          </cell>
        </row>
        <row r="121">
          <cell r="A121" t="str">
            <v>Puerto Rico</v>
          </cell>
        </row>
        <row r="122">
          <cell r="A122" t="str">
            <v>Paraguay</v>
          </cell>
        </row>
        <row r="123">
          <cell r="A123" t="str">
            <v>Georgia</v>
          </cell>
        </row>
        <row r="124">
          <cell r="A124" t="str">
            <v>Albania</v>
          </cell>
        </row>
        <row r="125">
          <cell r="A125" t="str">
            <v>Moldova</v>
          </cell>
        </row>
        <row r="126">
          <cell r="A126" t="str">
            <v>CÃ´te dâ€™Ivoire</v>
          </cell>
        </row>
        <row r="127">
          <cell r="A127" t="str">
            <v>Azerbaijan</v>
          </cell>
        </row>
        <row r="128">
          <cell r="A128" t="str">
            <v>Kuwait</v>
          </cell>
        </row>
        <row r="129">
          <cell r="A129" t="str">
            <v>Lebanon</v>
          </cell>
        </row>
        <row r="130">
          <cell r="A130" t="str">
            <v>Panama</v>
          </cell>
        </row>
        <row r="131">
          <cell r="A131" t="str">
            <v>Slovakia</v>
          </cell>
        </row>
        <row r="132">
          <cell r="A132" t="str">
            <v>Bosnia &amp; Herzegovina</v>
          </cell>
        </row>
        <row r="133">
          <cell r="A133" t="str">
            <v>Lithuania</v>
          </cell>
        </row>
        <row r="134">
          <cell r="A134" t="str">
            <v>Kyrgyzstan</v>
          </cell>
        </row>
        <row r="135">
          <cell r="A135" t="str">
            <v>Kazakhstan</v>
          </cell>
        </row>
        <row r="136">
          <cell r="A136" t="str">
            <v>El Salvador</v>
          </cell>
        </row>
        <row r="137">
          <cell r="A137" t="str">
            <v>Uzbekistan</v>
          </cell>
        </row>
        <row r="138">
          <cell r="A138" t="str">
            <v>Kenya</v>
          </cell>
        </row>
        <row r="139">
          <cell r="A139" t="str">
            <v>Uruguay</v>
          </cell>
        </row>
        <row r="140">
          <cell r="A140" t="str">
            <v>Dominican Republic</v>
          </cell>
        </row>
        <row r="141">
          <cell r="A141" t="str">
            <v>Aruba</v>
          </cell>
        </row>
        <row r="142">
          <cell r="A142" t="str">
            <v>Angola</v>
          </cell>
        </row>
        <row r="143">
          <cell r="A143" t="str">
            <v>Anguilla</v>
          </cell>
        </row>
        <row r="144">
          <cell r="A144" t="str">
            <v>Ã…land Islands</v>
          </cell>
        </row>
        <row r="145">
          <cell r="A145" t="str">
            <v>American Samoa</v>
          </cell>
        </row>
        <row r="146">
          <cell r="A146" t="str">
            <v>Antarctica</v>
          </cell>
        </row>
        <row r="147">
          <cell r="A147" t="str">
            <v>French Southern Territories</v>
          </cell>
        </row>
        <row r="148">
          <cell r="A148" t="str">
            <v>Antigua &amp; Barbuda</v>
          </cell>
        </row>
        <row r="149">
          <cell r="A149" t="str">
            <v>Benin</v>
          </cell>
        </row>
        <row r="150">
          <cell r="A150" t="str">
            <v>Caribbean Netherlands</v>
          </cell>
        </row>
        <row r="151">
          <cell r="A151" t="str">
            <v>Bahamas</v>
          </cell>
        </row>
        <row r="152">
          <cell r="A152" t="str">
            <v>St. BarthÃ©lemy</v>
          </cell>
        </row>
        <row r="153">
          <cell r="A153" t="str">
            <v>Belize</v>
          </cell>
        </row>
        <row r="154">
          <cell r="A154" t="str">
            <v>Bermuda</v>
          </cell>
        </row>
        <row r="155">
          <cell r="A155" t="str">
            <v>Barbados</v>
          </cell>
        </row>
        <row r="156">
          <cell r="A156" t="str">
            <v>Bhutan</v>
          </cell>
        </row>
        <row r="157">
          <cell r="A157" t="str">
            <v>Bouvet Island</v>
          </cell>
        </row>
        <row r="158">
          <cell r="A158" t="str">
            <v>Botswana</v>
          </cell>
        </row>
        <row r="159">
          <cell r="A159" t="str">
            <v>Central African Republic</v>
          </cell>
        </row>
        <row r="160">
          <cell r="A160" t="str">
            <v>Cocos (Keeling) Islands</v>
          </cell>
        </row>
        <row r="161">
          <cell r="A161" t="str">
            <v>Congo - Brazzaville</v>
          </cell>
        </row>
        <row r="162">
          <cell r="A162" t="str">
            <v>Cook Islands</v>
          </cell>
        </row>
        <row r="163">
          <cell r="A163" t="str">
            <v>Comoros</v>
          </cell>
        </row>
        <row r="164">
          <cell r="A164" t="str">
            <v>Cape Verde</v>
          </cell>
        </row>
        <row r="165">
          <cell r="A165" t="str">
            <v>CuraÃ§ao</v>
          </cell>
        </row>
        <row r="166">
          <cell r="A166" t="str">
            <v>Christmas Island</v>
          </cell>
        </row>
        <row r="167">
          <cell r="A167" t="str">
            <v>Cayman Islands</v>
          </cell>
        </row>
        <row r="168">
          <cell r="A168" t="str">
            <v>Djibouti</v>
          </cell>
        </row>
        <row r="169">
          <cell r="A169" t="str">
            <v>Dominica</v>
          </cell>
        </row>
        <row r="170">
          <cell r="A170" t="str">
            <v>Eritrea</v>
          </cell>
        </row>
        <row r="171">
          <cell r="A171" t="str">
            <v>Western Sahara</v>
          </cell>
        </row>
        <row r="172">
          <cell r="A172" t="str">
            <v>Fiji</v>
          </cell>
        </row>
        <row r="173">
          <cell r="A173" t="str">
            <v>Falkland Islands (Islas Malvinas)</v>
          </cell>
        </row>
        <row r="174">
          <cell r="A174" t="str">
            <v>Faroe Islands</v>
          </cell>
        </row>
        <row r="175">
          <cell r="A175" t="str">
            <v>Micronesia</v>
          </cell>
        </row>
        <row r="176">
          <cell r="A176" t="str">
            <v>Gabon</v>
          </cell>
        </row>
        <row r="177">
          <cell r="A177" t="str">
            <v>Guernsey</v>
          </cell>
        </row>
        <row r="178">
          <cell r="A178" t="str">
            <v>Gibraltar</v>
          </cell>
        </row>
        <row r="179">
          <cell r="A179" t="str">
            <v>Guinea</v>
          </cell>
        </row>
        <row r="180">
          <cell r="A180" t="str">
            <v>Guadeloupe</v>
          </cell>
        </row>
        <row r="181">
          <cell r="A181" t="str">
            <v>Gambia</v>
          </cell>
        </row>
        <row r="182">
          <cell r="A182" t="str">
            <v>Guinea-Bissau</v>
          </cell>
        </row>
        <row r="183">
          <cell r="A183" t="str">
            <v>Equatorial Guinea</v>
          </cell>
        </row>
        <row r="184">
          <cell r="A184" t="str">
            <v>Greenland</v>
          </cell>
        </row>
        <row r="185">
          <cell r="A185" t="str">
            <v>French Guiana</v>
          </cell>
        </row>
        <row r="186">
          <cell r="A186" t="str">
            <v>Guam</v>
          </cell>
        </row>
        <row r="187">
          <cell r="A187" t="str">
            <v>Guyana</v>
          </cell>
        </row>
        <row r="188">
          <cell r="A188" t="str">
            <v>Heard &amp; McDonald Islands</v>
          </cell>
        </row>
        <row r="189">
          <cell r="A189" t="str">
            <v>Haiti</v>
          </cell>
        </row>
        <row r="190">
          <cell r="A190" t="str">
            <v>Isle of Man</v>
          </cell>
        </row>
        <row r="191">
          <cell r="A191" t="str">
            <v>British Indian Ocean Territory</v>
          </cell>
        </row>
        <row r="192">
          <cell r="A192" t="str">
            <v>Jamaica</v>
          </cell>
        </row>
        <row r="193">
          <cell r="A193" t="str">
            <v>Jersey</v>
          </cell>
        </row>
        <row r="194">
          <cell r="A194" t="str">
            <v>Kiribati</v>
          </cell>
        </row>
        <row r="195">
          <cell r="A195" t="str">
            <v>St. Kitts &amp; Nevis</v>
          </cell>
        </row>
        <row r="196">
          <cell r="A196" t="str">
            <v>Liberia</v>
          </cell>
        </row>
        <row r="197">
          <cell r="A197" t="str">
            <v>St. Lucia</v>
          </cell>
        </row>
        <row r="198">
          <cell r="A198" t="str">
            <v>Lesotho</v>
          </cell>
        </row>
        <row r="199">
          <cell r="A199" t="str">
            <v>St. Martin</v>
          </cell>
        </row>
        <row r="200">
          <cell r="A200" t="str">
            <v>Monaco</v>
          </cell>
        </row>
        <row r="201">
          <cell r="A201" t="str">
            <v>Madagascar</v>
          </cell>
        </row>
        <row r="202">
          <cell r="A202" t="str">
            <v>Maldives</v>
          </cell>
        </row>
        <row r="203">
          <cell r="A203" t="str">
            <v>Marshall Islands</v>
          </cell>
        </row>
        <row r="204">
          <cell r="A204" t="str">
            <v>Mali</v>
          </cell>
        </row>
        <row r="205">
          <cell r="A205" t="str">
            <v>Mongolia</v>
          </cell>
        </row>
        <row r="206">
          <cell r="A206" t="str">
            <v>Northern Mariana Islands</v>
          </cell>
        </row>
        <row r="207">
          <cell r="A207" t="str">
            <v>Montserrat</v>
          </cell>
        </row>
        <row r="208">
          <cell r="A208" t="str">
            <v>Martinique</v>
          </cell>
        </row>
        <row r="209">
          <cell r="A209" t="str">
            <v>Mauritius</v>
          </cell>
        </row>
        <row r="210">
          <cell r="A210" t="str">
            <v>Malawi</v>
          </cell>
        </row>
        <row r="211">
          <cell r="A211" t="str">
            <v>Mayotte</v>
          </cell>
        </row>
        <row r="212">
          <cell r="A212" t="str">
            <v>Namibia</v>
          </cell>
        </row>
        <row r="213">
          <cell r="A213" t="str">
            <v>New Caledonia</v>
          </cell>
        </row>
        <row r="214">
          <cell r="A214" t="str">
            <v>Norfolk Island</v>
          </cell>
        </row>
        <row r="215">
          <cell r="A215" t="str">
            <v>Niue</v>
          </cell>
        </row>
        <row r="216">
          <cell r="A216" t="str">
            <v>Nauru</v>
          </cell>
        </row>
        <row r="217">
          <cell r="A217" t="str">
            <v>Pitcairn Islands</v>
          </cell>
        </row>
        <row r="218">
          <cell r="A218" t="str">
            <v>Palau</v>
          </cell>
        </row>
        <row r="219">
          <cell r="A219" t="str">
            <v>North Korea</v>
          </cell>
        </row>
        <row r="220">
          <cell r="A220" t="str">
            <v>French Polynesia</v>
          </cell>
        </row>
        <row r="221">
          <cell r="A221" t="str">
            <v>RÃ©union</v>
          </cell>
        </row>
        <row r="222">
          <cell r="A222" t="str">
            <v>Rwanda</v>
          </cell>
        </row>
        <row r="223">
          <cell r="A223" t="str">
            <v>South Georgia &amp; South Sandwich Islands</v>
          </cell>
        </row>
        <row r="224">
          <cell r="A224" t="str">
            <v>Svalbard &amp; Jan Mayen</v>
          </cell>
        </row>
        <row r="225">
          <cell r="A225" t="str">
            <v>Solomon Islands</v>
          </cell>
        </row>
        <row r="226">
          <cell r="A226" t="str">
            <v>Sierra Leone</v>
          </cell>
        </row>
        <row r="227">
          <cell r="A227" t="str">
            <v>San Marino</v>
          </cell>
        </row>
        <row r="228">
          <cell r="A228" t="str">
            <v>St. Pierre &amp; Miquelon</v>
          </cell>
        </row>
        <row r="229">
          <cell r="A229" t="str">
            <v>South Sudan</v>
          </cell>
        </row>
        <row r="230">
          <cell r="A230" t="str">
            <v>SÃ£o TomÃ© &amp; PrÃ­ncipe</v>
          </cell>
        </row>
        <row r="231">
          <cell r="A231" t="str">
            <v>Suriname</v>
          </cell>
        </row>
        <row r="232">
          <cell r="A232" t="str">
            <v>Eswatini</v>
          </cell>
        </row>
        <row r="233">
          <cell r="A233" t="str">
            <v>Sint Maarten</v>
          </cell>
        </row>
        <row r="234">
          <cell r="A234" t="str">
            <v>Seychelles</v>
          </cell>
        </row>
        <row r="235">
          <cell r="A235" t="str">
            <v>Turks &amp; Caicos Islands</v>
          </cell>
        </row>
        <row r="236">
          <cell r="A236" t="str">
            <v>Chad</v>
          </cell>
        </row>
        <row r="237">
          <cell r="A237" t="str">
            <v>Togo</v>
          </cell>
        </row>
        <row r="238">
          <cell r="A238" t="str">
            <v>Tajikistan</v>
          </cell>
        </row>
        <row r="239">
          <cell r="A239" t="str">
            <v>Tokelau</v>
          </cell>
        </row>
        <row r="240">
          <cell r="A240" t="str">
            <v>Turkmenistan</v>
          </cell>
        </row>
        <row r="241">
          <cell r="A241" t="str">
            <v>Timor-Leste</v>
          </cell>
        </row>
        <row r="242">
          <cell r="A242" t="str">
            <v>Tonga</v>
          </cell>
        </row>
        <row r="243">
          <cell r="A243" t="str">
            <v>Tuvalu</v>
          </cell>
        </row>
        <row r="244">
          <cell r="A244" t="str">
            <v>Tanzania</v>
          </cell>
        </row>
        <row r="245">
          <cell r="A245" t="str">
            <v>Uganda</v>
          </cell>
        </row>
        <row r="246">
          <cell r="A246" t="str">
            <v>U.S. Outlying Islands</v>
          </cell>
        </row>
        <row r="247">
          <cell r="A247" t="str">
            <v>Vatican City</v>
          </cell>
        </row>
        <row r="248">
          <cell r="A248" t="str">
            <v>St. Vincent &amp; Grenadines</v>
          </cell>
        </row>
        <row r="249">
          <cell r="A249" t="str">
            <v>British Virgin Islands</v>
          </cell>
        </row>
        <row r="250">
          <cell r="A250" t="str">
            <v>U.S. Virgin Islands</v>
          </cell>
        </row>
        <row r="251">
          <cell r="A251" t="str">
            <v>Vanuatu</v>
          </cell>
        </row>
        <row r="252">
          <cell r="A252" t="str">
            <v>Wallis &amp; Futuna</v>
          </cell>
        </row>
        <row r="253">
          <cell r="A253" t="str">
            <v>Samoa</v>
          </cell>
        </row>
      </sheetData>
    </sheetDataSet>
  </externalBook>
</externalLink>
</file>

<file path=xl/externalLinks/externalLink1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30)"/>
    </sheetNames>
    <sheetDataSet>
      <sheetData sheetId="0" refreshError="1">
        <row r="1">
          <cell r="A1" t="str">
            <v>Category: All categories</v>
          </cell>
        </row>
        <row r="3">
          <cell r="A3" t="str">
            <v>Country</v>
          </cell>
          <cell r="B3" t="str">
            <v>Mutual exclusion: (2018)</v>
          </cell>
          <cell r="C3" t="str">
            <v>P versus NP problem: (2018)</v>
          </cell>
        </row>
        <row r="4">
          <cell r="A4" t="str">
            <v>China</v>
          </cell>
          <cell r="B4">
            <v>0.95</v>
          </cell>
          <cell r="C4">
            <v>0.05</v>
          </cell>
        </row>
        <row r="5">
          <cell r="A5" t="str">
            <v>Botswana</v>
          </cell>
        </row>
        <row r="6">
          <cell r="A6" t="str">
            <v>Taiwan</v>
          </cell>
          <cell r="B6">
            <v>0.92</v>
          </cell>
          <cell r="C6">
            <v>0.08</v>
          </cell>
        </row>
        <row r="7">
          <cell r="A7" t="str">
            <v>Zimbabwe</v>
          </cell>
        </row>
        <row r="8">
          <cell r="A8" t="str">
            <v>Israel</v>
          </cell>
          <cell r="B8">
            <v>0.79</v>
          </cell>
          <cell r="C8">
            <v>0.21</v>
          </cell>
        </row>
        <row r="9">
          <cell r="A9" t="str">
            <v>Iceland</v>
          </cell>
        </row>
        <row r="10">
          <cell r="A10" t="str">
            <v>Japan</v>
          </cell>
          <cell r="B10">
            <v>0.87</v>
          </cell>
          <cell r="C10">
            <v>0.13</v>
          </cell>
        </row>
        <row r="11">
          <cell r="A11" t="str">
            <v>Belarus</v>
          </cell>
          <cell r="B11">
            <v>0.81</v>
          </cell>
          <cell r="C11">
            <v>0.19</v>
          </cell>
        </row>
        <row r="12">
          <cell r="A12" t="str">
            <v>Czechia</v>
          </cell>
          <cell r="B12">
            <v>0.67</v>
          </cell>
          <cell r="C12">
            <v>0.33</v>
          </cell>
        </row>
        <row r="13">
          <cell r="A13" t="str">
            <v>Kenya</v>
          </cell>
          <cell r="B13">
            <v>1</v>
          </cell>
        </row>
        <row r="14">
          <cell r="A14" t="str">
            <v>Austria</v>
          </cell>
          <cell r="B14">
            <v>0.65</v>
          </cell>
          <cell r="C14">
            <v>0.35</v>
          </cell>
        </row>
        <row r="15">
          <cell r="A15" t="str">
            <v>South Korea</v>
          </cell>
          <cell r="B15">
            <v>0.63</v>
          </cell>
          <cell r="C15">
            <v>0.37</v>
          </cell>
        </row>
        <row r="16">
          <cell r="A16" t="str">
            <v>Russia</v>
          </cell>
          <cell r="B16">
            <v>0.9</v>
          </cell>
          <cell r="C16">
            <v>0.1</v>
          </cell>
        </row>
        <row r="17">
          <cell r="A17" t="str">
            <v>Portugal</v>
          </cell>
          <cell r="B17">
            <v>0.87</v>
          </cell>
          <cell r="C17">
            <v>0.13</v>
          </cell>
        </row>
        <row r="18">
          <cell r="A18" t="str">
            <v>Germany</v>
          </cell>
          <cell r="B18">
            <v>0.57999999999999996</v>
          </cell>
          <cell r="C18">
            <v>0.42</v>
          </cell>
        </row>
        <row r="19">
          <cell r="A19" t="str">
            <v>Sweden</v>
          </cell>
          <cell r="B19">
            <v>0.81</v>
          </cell>
          <cell r="C19">
            <v>0.19</v>
          </cell>
        </row>
        <row r="20">
          <cell r="A20" t="str">
            <v>Norway</v>
          </cell>
          <cell r="B20">
            <v>0.77</v>
          </cell>
          <cell r="C20">
            <v>0.23</v>
          </cell>
        </row>
        <row r="21">
          <cell r="A21" t="str">
            <v>Poland</v>
          </cell>
          <cell r="B21">
            <v>0.88</v>
          </cell>
          <cell r="C21">
            <v>0.12</v>
          </cell>
        </row>
        <row r="22">
          <cell r="A22" t="str">
            <v>Finland</v>
          </cell>
          <cell r="B22">
            <v>0.9</v>
          </cell>
          <cell r="C22">
            <v>0.1</v>
          </cell>
        </row>
        <row r="23">
          <cell r="A23" t="str">
            <v>Tunisia</v>
          </cell>
          <cell r="B23">
            <v>1</v>
          </cell>
        </row>
        <row r="24">
          <cell r="A24" t="str">
            <v>Slovakia</v>
          </cell>
        </row>
        <row r="25">
          <cell r="A25" t="str">
            <v>Hungary</v>
          </cell>
          <cell r="B25">
            <v>0.82</v>
          </cell>
          <cell r="C25">
            <v>0.18</v>
          </cell>
        </row>
        <row r="26">
          <cell r="A26" t="str">
            <v>Switzerland</v>
          </cell>
          <cell r="B26">
            <v>0.68</v>
          </cell>
          <cell r="C26">
            <v>0.32</v>
          </cell>
        </row>
        <row r="27">
          <cell r="A27" t="str">
            <v>St. Helena</v>
          </cell>
          <cell r="B27">
            <v>1</v>
          </cell>
        </row>
        <row r="28">
          <cell r="A28" t="str">
            <v>India</v>
          </cell>
          <cell r="B28">
            <v>0.66</v>
          </cell>
          <cell r="C28">
            <v>0.34</v>
          </cell>
        </row>
        <row r="29">
          <cell r="A29" t="str">
            <v>Croatia</v>
          </cell>
          <cell r="B29">
            <v>0.64</v>
          </cell>
          <cell r="C29">
            <v>0.36</v>
          </cell>
        </row>
        <row r="30">
          <cell r="A30" t="str">
            <v>Ukraine</v>
          </cell>
          <cell r="B30">
            <v>0.92</v>
          </cell>
          <cell r="C30">
            <v>0.08</v>
          </cell>
        </row>
        <row r="31">
          <cell r="A31" t="str">
            <v>Pakistan</v>
          </cell>
          <cell r="B31">
            <v>0.62</v>
          </cell>
          <cell r="C31">
            <v>0.38</v>
          </cell>
        </row>
        <row r="32">
          <cell r="A32" t="str">
            <v>Nepal</v>
          </cell>
          <cell r="B32">
            <v>0.67</v>
          </cell>
          <cell r="C32">
            <v>0.33</v>
          </cell>
        </row>
        <row r="33">
          <cell r="A33" t="str">
            <v>Algeria</v>
          </cell>
          <cell r="B33">
            <v>1</v>
          </cell>
        </row>
        <row r="34">
          <cell r="A34" t="str">
            <v>Spain</v>
          </cell>
          <cell r="B34">
            <v>0.67</v>
          </cell>
          <cell r="C34">
            <v>0.33</v>
          </cell>
        </row>
        <row r="35">
          <cell r="A35" t="str">
            <v>Ireland</v>
          </cell>
          <cell r="B35">
            <v>0.72</v>
          </cell>
          <cell r="C35">
            <v>0.28000000000000003</v>
          </cell>
        </row>
        <row r="36">
          <cell r="A36" t="str">
            <v>Singapore</v>
          </cell>
          <cell r="B36">
            <v>0.49</v>
          </cell>
          <cell r="C36">
            <v>0.51</v>
          </cell>
        </row>
        <row r="37">
          <cell r="A37" t="str">
            <v>Netherlands</v>
          </cell>
          <cell r="B37">
            <v>0.66</v>
          </cell>
          <cell r="C37">
            <v>0.34</v>
          </cell>
        </row>
        <row r="38">
          <cell r="A38" t="str">
            <v>Uruguay</v>
          </cell>
        </row>
        <row r="39">
          <cell r="A39" t="str">
            <v>Italy</v>
          </cell>
          <cell r="B39">
            <v>0.79</v>
          </cell>
          <cell r="C39">
            <v>0.21</v>
          </cell>
        </row>
        <row r="40">
          <cell r="A40" t="str">
            <v>Guatemala</v>
          </cell>
          <cell r="B40">
            <v>1</v>
          </cell>
        </row>
        <row r="41">
          <cell r="A41" t="str">
            <v>Peru</v>
          </cell>
          <cell r="B41">
            <v>0.27</v>
          </cell>
          <cell r="C41">
            <v>0.73</v>
          </cell>
        </row>
        <row r="42">
          <cell r="A42" t="str">
            <v>Hong Kong</v>
          </cell>
          <cell r="B42">
            <v>0.5</v>
          </cell>
          <cell r="C42">
            <v>0.5</v>
          </cell>
        </row>
        <row r="43">
          <cell r="A43" t="str">
            <v>Serbia</v>
          </cell>
          <cell r="B43">
            <v>0.79</v>
          </cell>
          <cell r="C43">
            <v>0.21</v>
          </cell>
        </row>
        <row r="44">
          <cell r="A44" t="str">
            <v>Lithuania</v>
          </cell>
        </row>
        <row r="45">
          <cell r="A45" t="str">
            <v>South Africa</v>
          </cell>
          <cell r="B45">
            <v>0.26</v>
          </cell>
          <cell r="C45">
            <v>0.74</v>
          </cell>
        </row>
        <row r="46">
          <cell r="A46" t="str">
            <v>United States</v>
          </cell>
          <cell r="B46">
            <v>0.32</v>
          </cell>
          <cell r="C46">
            <v>0.68</v>
          </cell>
        </row>
        <row r="47">
          <cell r="A47" t="str">
            <v>Denmark</v>
          </cell>
          <cell r="B47">
            <v>0.24</v>
          </cell>
          <cell r="C47">
            <v>0.76</v>
          </cell>
        </row>
        <row r="48">
          <cell r="A48" t="str">
            <v>Greece</v>
          </cell>
          <cell r="B48">
            <v>0.7</v>
          </cell>
          <cell r="C48">
            <v>0.3</v>
          </cell>
        </row>
        <row r="49">
          <cell r="A49" t="str">
            <v>Sri Lanka</v>
          </cell>
        </row>
        <row r="50">
          <cell r="A50" t="str">
            <v>Nigeria</v>
          </cell>
          <cell r="B50">
            <v>0.75</v>
          </cell>
          <cell r="C50">
            <v>0.25</v>
          </cell>
        </row>
        <row r="51">
          <cell r="A51" t="str">
            <v>Canada</v>
          </cell>
          <cell r="B51">
            <v>0.41</v>
          </cell>
          <cell r="C51">
            <v>0.59</v>
          </cell>
        </row>
        <row r="52">
          <cell r="A52" t="str">
            <v>Bolivia</v>
          </cell>
        </row>
        <row r="53">
          <cell r="A53" t="str">
            <v>Bangladesh</v>
          </cell>
          <cell r="B53">
            <v>0.47</v>
          </cell>
          <cell r="C53">
            <v>0.53</v>
          </cell>
        </row>
        <row r="54">
          <cell r="A54" t="str">
            <v>Colombia</v>
          </cell>
          <cell r="B54">
            <v>0.25</v>
          </cell>
          <cell r="C54">
            <v>0.75</v>
          </cell>
        </row>
        <row r="55">
          <cell r="A55" t="str">
            <v>Australia</v>
          </cell>
          <cell r="B55">
            <v>0.38</v>
          </cell>
          <cell r="C55">
            <v>0.62</v>
          </cell>
        </row>
        <row r="56">
          <cell r="A56" t="str">
            <v>Argentina</v>
          </cell>
          <cell r="B56">
            <v>0.56999999999999995</v>
          </cell>
          <cell r="C56">
            <v>0.43</v>
          </cell>
        </row>
        <row r="57">
          <cell r="A57" t="str">
            <v>Bulgaria</v>
          </cell>
        </row>
        <row r="58">
          <cell r="A58" t="str">
            <v>Mexico</v>
          </cell>
          <cell r="B58">
            <v>0.52</v>
          </cell>
          <cell r="C58">
            <v>0.48</v>
          </cell>
        </row>
        <row r="59">
          <cell r="A59" t="str">
            <v>Uzbekistan</v>
          </cell>
        </row>
        <row r="60">
          <cell r="A60" t="str">
            <v>Ghana</v>
          </cell>
        </row>
        <row r="61">
          <cell r="A61" t="str">
            <v>France</v>
          </cell>
          <cell r="B61">
            <v>0.73</v>
          </cell>
          <cell r="C61">
            <v>0.27</v>
          </cell>
        </row>
        <row r="62">
          <cell r="A62" t="str">
            <v>United Arab Emirates</v>
          </cell>
        </row>
        <row r="63">
          <cell r="A63" t="str">
            <v>Ecuador</v>
          </cell>
          <cell r="B63">
            <v>0.57999999999999996</v>
          </cell>
          <cell r="C63">
            <v>0.42</v>
          </cell>
        </row>
        <row r="64">
          <cell r="A64" t="str">
            <v>Belgium</v>
          </cell>
          <cell r="B64">
            <v>0.46</v>
          </cell>
          <cell r="C64">
            <v>0.54</v>
          </cell>
        </row>
        <row r="65">
          <cell r="A65" t="str">
            <v>Indonesia</v>
          </cell>
          <cell r="B65">
            <v>0.79</v>
          </cell>
          <cell r="C65">
            <v>0.21</v>
          </cell>
        </row>
        <row r="66">
          <cell r="A66" t="str">
            <v>Brazil</v>
          </cell>
          <cell r="B66">
            <v>0.54</v>
          </cell>
          <cell r="C66">
            <v>0.46</v>
          </cell>
        </row>
        <row r="67">
          <cell r="A67" t="str">
            <v>Vietnam</v>
          </cell>
          <cell r="B67">
            <v>0.77</v>
          </cell>
          <cell r="C67">
            <v>0.23</v>
          </cell>
        </row>
        <row r="68">
          <cell r="A68" t="str">
            <v>Philippines</v>
          </cell>
          <cell r="B68">
            <v>0.47</v>
          </cell>
          <cell r="C68">
            <v>0.53</v>
          </cell>
        </row>
        <row r="69">
          <cell r="A69" t="str">
            <v>Saudi Arabia</v>
          </cell>
          <cell r="B69">
            <v>0.6</v>
          </cell>
          <cell r="C69">
            <v>0.4</v>
          </cell>
        </row>
        <row r="70">
          <cell r="A70" t="str">
            <v>United Kingdom</v>
          </cell>
          <cell r="B70">
            <v>0.39</v>
          </cell>
          <cell r="C70">
            <v>0.61</v>
          </cell>
        </row>
        <row r="71">
          <cell r="A71" t="str">
            <v>Morocco</v>
          </cell>
        </row>
        <row r="72">
          <cell r="A72" t="str">
            <v>Chile</v>
          </cell>
          <cell r="B72">
            <v>0.52</v>
          </cell>
          <cell r="C72">
            <v>0.48</v>
          </cell>
        </row>
        <row r="73">
          <cell r="A73" t="str">
            <v>Kazakhstan</v>
          </cell>
          <cell r="B73">
            <v>1</v>
          </cell>
        </row>
        <row r="74">
          <cell r="A74" t="str">
            <v>Iran</v>
          </cell>
          <cell r="B74">
            <v>1</v>
          </cell>
        </row>
        <row r="75">
          <cell r="A75" t="str">
            <v>Romania</v>
          </cell>
          <cell r="B75">
            <v>0.56000000000000005</v>
          </cell>
          <cell r="C75">
            <v>0.44</v>
          </cell>
        </row>
        <row r="76">
          <cell r="A76" t="str">
            <v>Malaysia</v>
          </cell>
          <cell r="B76">
            <v>0.56999999999999995</v>
          </cell>
          <cell r="C76">
            <v>0.43</v>
          </cell>
        </row>
        <row r="77">
          <cell r="A77" t="str">
            <v>New Zealand</v>
          </cell>
        </row>
        <row r="78">
          <cell r="A78" t="str">
            <v>Costa Rica</v>
          </cell>
        </row>
        <row r="79">
          <cell r="A79" t="str">
            <v>Thailand</v>
          </cell>
          <cell r="B79">
            <v>0.67</v>
          </cell>
          <cell r="C79">
            <v>0.33</v>
          </cell>
        </row>
        <row r="80">
          <cell r="A80" t="str">
            <v>Egypt</v>
          </cell>
        </row>
        <row r="81">
          <cell r="A81" t="str">
            <v>Turkey</v>
          </cell>
          <cell r="B81">
            <v>0.74</v>
          </cell>
          <cell r="C81">
            <v>0.26</v>
          </cell>
        </row>
        <row r="82">
          <cell r="A82" t="str">
            <v>Venezuela</v>
          </cell>
        </row>
        <row r="83">
          <cell r="A83" t="str">
            <v>Mauritania</v>
          </cell>
        </row>
        <row r="84">
          <cell r="A84" t="str">
            <v>Cuba</v>
          </cell>
        </row>
        <row r="85">
          <cell r="A85" t="str">
            <v>Benin</v>
          </cell>
        </row>
        <row r="86">
          <cell r="A86" t="str">
            <v>Rwanda</v>
          </cell>
        </row>
        <row r="87">
          <cell r="A87" t="str">
            <v>Armenia</v>
          </cell>
        </row>
        <row r="88">
          <cell r="A88" t="str">
            <v>Burkina Faso</v>
          </cell>
        </row>
        <row r="89">
          <cell r="A89" t="str">
            <v>Madagascar</v>
          </cell>
        </row>
        <row r="90">
          <cell r="A90" t="str">
            <v>Angola</v>
          </cell>
        </row>
        <row r="91">
          <cell r="A91" t="str">
            <v>Guadeloupe</v>
          </cell>
        </row>
        <row r="92">
          <cell r="A92" t="str">
            <v>Macao</v>
          </cell>
        </row>
        <row r="93">
          <cell r="A93" t="str">
            <v>Trinidad &amp; Tobago</v>
          </cell>
        </row>
        <row r="94">
          <cell r="A94" t="str">
            <v>Libya</v>
          </cell>
        </row>
        <row r="95">
          <cell r="A95" t="str">
            <v>Tajikistan</v>
          </cell>
        </row>
        <row r="96">
          <cell r="A96" t="str">
            <v>North Macedonia</v>
          </cell>
        </row>
        <row r="97">
          <cell r="A97" t="str">
            <v>Montenegro</v>
          </cell>
        </row>
        <row r="98">
          <cell r="A98" t="str">
            <v>Malta</v>
          </cell>
        </row>
        <row r="99">
          <cell r="A99" t="str">
            <v>Estonia</v>
          </cell>
        </row>
        <row r="100">
          <cell r="A100" t="str">
            <v>Latvia</v>
          </cell>
        </row>
        <row r="101">
          <cell r="A101" t="str">
            <v>Mozambique</v>
          </cell>
        </row>
        <row r="102">
          <cell r="A102" t="str">
            <v>Mauritius</v>
          </cell>
        </row>
        <row r="103">
          <cell r="A103" t="str">
            <v>Lebanon</v>
          </cell>
        </row>
        <row r="104">
          <cell r="A104" t="str">
            <v>Tanzania</v>
          </cell>
        </row>
        <row r="105">
          <cell r="A105" t="str">
            <v>Cameroon</v>
          </cell>
        </row>
        <row r="106">
          <cell r="A106" t="str">
            <v>Moldova</v>
          </cell>
        </row>
        <row r="107">
          <cell r="A107" t="str">
            <v>Ethiopia</v>
          </cell>
        </row>
        <row r="108">
          <cell r="A108" t="str">
            <v>Luxembourg</v>
          </cell>
        </row>
        <row r="109">
          <cell r="A109" t="str">
            <v>Azerbaijan</v>
          </cell>
        </row>
        <row r="110">
          <cell r="A110" t="str">
            <v>Palestine</v>
          </cell>
        </row>
        <row r="111">
          <cell r="A111" t="str">
            <v>Georgia</v>
          </cell>
        </row>
        <row r="112">
          <cell r="A112" t="str">
            <v>Slovenia</v>
          </cell>
        </row>
        <row r="113">
          <cell r="A113" t="str">
            <v>Albania</v>
          </cell>
        </row>
        <row r="114">
          <cell r="A114" t="str">
            <v>Myanmar (Burma)</v>
          </cell>
        </row>
        <row r="115">
          <cell r="A115" t="str">
            <v>Jordan</v>
          </cell>
        </row>
        <row r="116">
          <cell r="A116" t="str">
            <v>Bosnia &amp; Herzegovina</v>
          </cell>
        </row>
        <row r="117">
          <cell r="A117" t="str">
            <v>Cyprus</v>
          </cell>
        </row>
        <row r="118">
          <cell r="A118" t="str">
            <v>Oman</v>
          </cell>
        </row>
        <row r="119">
          <cell r="A119" t="str">
            <v>Honduras</v>
          </cell>
        </row>
        <row r="120">
          <cell r="A120" t="str">
            <v>El Salvador</v>
          </cell>
        </row>
        <row r="121">
          <cell r="A121" t="str">
            <v>Syria</v>
          </cell>
        </row>
        <row r="122">
          <cell r="A122" t="str">
            <v>Qatar</v>
          </cell>
        </row>
        <row r="123">
          <cell r="A123" t="str">
            <v>Dominican Republic</v>
          </cell>
        </row>
        <row r="124">
          <cell r="A124" t="str">
            <v>Puerto Rico</v>
          </cell>
        </row>
        <row r="125">
          <cell r="A125" t="str">
            <v>Aruba</v>
          </cell>
        </row>
        <row r="126">
          <cell r="A126" t="str">
            <v>Afghanistan</v>
          </cell>
        </row>
        <row r="127">
          <cell r="A127" t="str">
            <v>Anguilla</v>
          </cell>
        </row>
        <row r="128">
          <cell r="A128" t="str">
            <v>Ã…land Islands</v>
          </cell>
        </row>
        <row r="129">
          <cell r="A129" t="str">
            <v>Andorra</v>
          </cell>
        </row>
        <row r="130">
          <cell r="A130" t="str">
            <v>American Samoa</v>
          </cell>
        </row>
        <row r="131">
          <cell r="A131" t="str">
            <v>Antarctica</v>
          </cell>
        </row>
        <row r="132">
          <cell r="A132" t="str">
            <v>French Southern Territories</v>
          </cell>
        </row>
        <row r="133">
          <cell r="A133" t="str">
            <v>Antigua &amp; Barbuda</v>
          </cell>
        </row>
        <row r="134">
          <cell r="A134" t="str">
            <v>Burundi</v>
          </cell>
        </row>
        <row r="135">
          <cell r="A135" t="str">
            <v>Caribbean Netherlands</v>
          </cell>
        </row>
        <row r="136">
          <cell r="A136" t="str">
            <v>Bahrain</v>
          </cell>
        </row>
        <row r="137">
          <cell r="A137" t="str">
            <v>Bahamas</v>
          </cell>
        </row>
        <row r="138">
          <cell r="A138" t="str">
            <v>St. BarthÃ©lemy</v>
          </cell>
        </row>
        <row r="139">
          <cell r="A139" t="str">
            <v>Belize</v>
          </cell>
        </row>
        <row r="140">
          <cell r="A140" t="str">
            <v>Bermuda</v>
          </cell>
        </row>
        <row r="141">
          <cell r="A141" t="str">
            <v>Barbados</v>
          </cell>
        </row>
        <row r="142">
          <cell r="A142" t="str">
            <v>Brunei</v>
          </cell>
        </row>
        <row r="143">
          <cell r="A143" t="str">
            <v>Bhutan</v>
          </cell>
        </row>
        <row r="144">
          <cell r="A144" t="str">
            <v>Bouvet Island</v>
          </cell>
        </row>
        <row r="145">
          <cell r="A145" t="str">
            <v>Central African Republic</v>
          </cell>
        </row>
        <row r="146">
          <cell r="A146" t="str">
            <v>Cocos (Keeling) Islands</v>
          </cell>
        </row>
        <row r="147">
          <cell r="A147" t="str">
            <v>CÃ´te dâ€™Ivoire</v>
          </cell>
        </row>
        <row r="148">
          <cell r="A148" t="str">
            <v>Congo - Kinshasa</v>
          </cell>
        </row>
        <row r="149">
          <cell r="A149" t="str">
            <v>Congo - Brazzaville</v>
          </cell>
        </row>
        <row r="150">
          <cell r="A150" t="str">
            <v>Cook Islands</v>
          </cell>
        </row>
        <row r="151">
          <cell r="A151" t="str">
            <v>Comoros</v>
          </cell>
        </row>
        <row r="152">
          <cell r="A152" t="str">
            <v>Cape Verde</v>
          </cell>
        </row>
        <row r="153">
          <cell r="A153" t="str">
            <v>CuraÃ§ao</v>
          </cell>
        </row>
        <row r="154">
          <cell r="A154" t="str">
            <v>Christmas Island</v>
          </cell>
        </row>
        <row r="155">
          <cell r="A155" t="str">
            <v>Cayman Islands</v>
          </cell>
        </row>
        <row r="156">
          <cell r="A156" t="str">
            <v>Djibouti</v>
          </cell>
        </row>
        <row r="157">
          <cell r="A157" t="str">
            <v>Dominica</v>
          </cell>
        </row>
        <row r="158">
          <cell r="A158" t="str">
            <v>Eritrea</v>
          </cell>
        </row>
        <row r="159">
          <cell r="A159" t="str">
            <v>Western Sahara</v>
          </cell>
        </row>
        <row r="160">
          <cell r="A160" t="str">
            <v>Fiji</v>
          </cell>
        </row>
        <row r="161">
          <cell r="A161" t="str">
            <v>Falkland Islands (Islas Malvinas)</v>
          </cell>
        </row>
        <row r="162">
          <cell r="A162" t="str">
            <v>Faroe Islands</v>
          </cell>
        </row>
        <row r="163">
          <cell r="A163" t="str">
            <v>Micronesia</v>
          </cell>
        </row>
        <row r="164">
          <cell r="A164" t="str">
            <v>Gabon</v>
          </cell>
        </row>
        <row r="165">
          <cell r="A165" t="str">
            <v>Guernsey</v>
          </cell>
        </row>
        <row r="166">
          <cell r="A166" t="str">
            <v>Gibraltar</v>
          </cell>
        </row>
        <row r="167">
          <cell r="A167" t="str">
            <v>Guinea</v>
          </cell>
        </row>
        <row r="168">
          <cell r="A168" t="str">
            <v>Gambia</v>
          </cell>
        </row>
        <row r="169">
          <cell r="A169" t="str">
            <v>Guinea-Bissau</v>
          </cell>
        </row>
        <row r="170">
          <cell r="A170" t="str">
            <v>Equatorial Guinea</v>
          </cell>
        </row>
        <row r="171">
          <cell r="A171" t="str">
            <v>Grenada</v>
          </cell>
        </row>
        <row r="172">
          <cell r="A172" t="str">
            <v>Greenland</v>
          </cell>
        </row>
        <row r="173">
          <cell r="A173" t="str">
            <v>French Guiana</v>
          </cell>
        </row>
        <row r="174">
          <cell r="A174" t="str">
            <v>Guam</v>
          </cell>
        </row>
        <row r="175">
          <cell r="A175" t="str">
            <v>Guyana</v>
          </cell>
        </row>
        <row r="176">
          <cell r="A176" t="str">
            <v>Heard &amp; McDonald Islands</v>
          </cell>
        </row>
        <row r="177">
          <cell r="A177" t="str">
            <v>Haiti</v>
          </cell>
        </row>
        <row r="178">
          <cell r="A178" t="str">
            <v>Isle of Man</v>
          </cell>
        </row>
        <row r="179">
          <cell r="A179" t="str">
            <v>British Indian Ocean Territory</v>
          </cell>
        </row>
        <row r="180">
          <cell r="A180" t="str">
            <v>Iraq</v>
          </cell>
        </row>
        <row r="181">
          <cell r="A181" t="str">
            <v>Jamaica</v>
          </cell>
        </row>
        <row r="182">
          <cell r="A182" t="str">
            <v>Jersey</v>
          </cell>
        </row>
        <row r="183">
          <cell r="A183" t="str">
            <v>Kyrgyzstan</v>
          </cell>
        </row>
        <row r="184">
          <cell r="A184" t="str">
            <v>Cambodia</v>
          </cell>
        </row>
        <row r="185">
          <cell r="A185" t="str">
            <v>Kiribati</v>
          </cell>
        </row>
        <row r="186">
          <cell r="A186" t="str">
            <v>St. Kitts &amp; Nevis</v>
          </cell>
        </row>
        <row r="187">
          <cell r="A187" t="str">
            <v>Kuwait</v>
          </cell>
        </row>
        <row r="188">
          <cell r="A188" t="str">
            <v>Laos</v>
          </cell>
        </row>
        <row r="189">
          <cell r="A189" t="str">
            <v>Liberia</v>
          </cell>
        </row>
        <row r="190">
          <cell r="A190" t="str">
            <v>St. Lucia</v>
          </cell>
        </row>
        <row r="191">
          <cell r="A191" t="str">
            <v>Liechtenstein</v>
          </cell>
        </row>
        <row r="192">
          <cell r="A192" t="str">
            <v>Lesotho</v>
          </cell>
        </row>
        <row r="193">
          <cell r="A193" t="str">
            <v>St. Martin</v>
          </cell>
        </row>
        <row r="194">
          <cell r="A194" t="str">
            <v>Monaco</v>
          </cell>
        </row>
        <row r="195">
          <cell r="A195" t="str">
            <v>Maldives</v>
          </cell>
        </row>
        <row r="196">
          <cell r="A196" t="str">
            <v>Marshall Islands</v>
          </cell>
        </row>
        <row r="197">
          <cell r="A197" t="str">
            <v>Mali</v>
          </cell>
        </row>
        <row r="198">
          <cell r="A198" t="str">
            <v>Mongolia</v>
          </cell>
        </row>
        <row r="199">
          <cell r="A199" t="str">
            <v>Northern Mariana Islands</v>
          </cell>
        </row>
        <row r="200">
          <cell r="A200" t="str">
            <v>Montserrat</v>
          </cell>
        </row>
        <row r="201">
          <cell r="A201" t="str">
            <v>Martinique</v>
          </cell>
        </row>
        <row r="202">
          <cell r="A202" t="str">
            <v>Malawi</v>
          </cell>
        </row>
        <row r="203">
          <cell r="A203" t="str">
            <v>Mayotte</v>
          </cell>
        </row>
        <row r="204">
          <cell r="A204" t="str">
            <v>Namibia</v>
          </cell>
        </row>
        <row r="205">
          <cell r="A205" t="str">
            <v>New Caledonia</v>
          </cell>
        </row>
        <row r="206">
          <cell r="A206" t="str">
            <v>Niger</v>
          </cell>
        </row>
        <row r="207">
          <cell r="A207" t="str">
            <v>Norfolk Island</v>
          </cell>
        </row>
        <row r="208">
          <cell r="A208" t="str">
            <v>Nicaragua</v>
          </cell>
        </row>
        <row r="209">
          <cell r="A209" t="str">
            <v>Niue</v>
          </cell>
        </row>
        <row r="210">
          <cell r="A210" t="str">
            <v>Nauru</v>
          </cell>
        </row>
        <row r="211">
          <cell r="A211" t="str">
            <v>Panama</v>
          </cell>
        </row>
        <row r="212">
          <cell r="A212" t="str">
            <v>Pitcairn Islands</v>
          </cell>
        </row>
        <row r="213">
          <cell r="A213" t="str">
            <v>Palau</v>
          </cell>
        </row>
        <row r="214">
          <cell r="A214" t="str">
            <v>Papua New Guinea</v>
          </cell>
        </row>
        <row r="215">
          <cell r="A215" t="str">
            <v>North Korea</v>
          </cell>
        </row>
        <row r="216">
          <cell r="A216" t="str">
            <v>Paraguay</v>
          </cell>
        </row>
        <row r="217">
          <cell r="A217" t="str">
            <v>French Polynesia</v>
          </cell>
        </row>
        <row r="218">
          <cell r="A218" t="str">
            <v>RÃ©union</v>
          </cell>
        </row>
        <row r="219">
          <cell r="A219" t="str">
            <v>Sudan</v>
          </cell>
        </row>
        <row r="220">
          <cell r="A220" t="str">
            <v>Senegal</v>
          </cell>
        </row>
        <row r="221">
          <cell r="A221" t="str">
            <v>South Georgia &amp; South Sandwich Islands</v>
          </cell>
        </row>
        <row r="222">
          <cell r="A222" t="str">
            <v>Svalbard &amp; Jan Mayen</v>
          </cell>
        </row>
        <row r="223">
          <cell r="A223" t="str">
            <v>Solomon Islands</v>
          </cell>
        </row>
        <row r="224">
          <cell r="A224" t="str">
            <v>Sierra Leone</v>
          </cell>
        </row>
        <row r="225">
          <cell r="A225" t="str">
            <v>San Marino</v>
          </cell>
        </row>
        <row r="226">
          <cell r="A226" t="str">
            <v>Somalia</v>
          </cell>
        </row>
        <row r="227">
          <cell r="A227" t="str">
            <v>St. Pierre &amp; Miquelon</v>
          </cell>
        </row>
        <row r="228">
          <cell r="A228" t="str">
            <v>South Sudan</v>
          </cell>
        </row>
        <row r="229">
          <cell r="A229" t="str">
            <v>SÃ£o TomÃ© &amp; PrÃ­ncipe</v>
          </cell>
        </row>
        <row r="230">
          <cell r="A230" t="str">
            <v>Suriname</v>
          </cell>
        </row>
        <row r="231">
          <cell r="A231" t="str">
            <v>Eswatini</v>
          </cell>
        </row>
        <row r="232">
          <cell r="A232" t="str">
            <v>Sint Maarten</v>
          </cell>
        </row>
        <row r="233">
          <cell r="A233" t="str">
            <v>Seychelles</v>
          </cell>
        </row>
        <row r="234">
          <cell r="A234" t="str">
            <v>Turks &amp; Caicos Islands</v>
          </cell>
        </row>
        <row r="235">
          <cell r="A235" t="str">
            <v>Chad</v>
          </cell>
        </row>
        <row r="236">
          <cell r="A236" t="str">
            <v>Togo</v>
          </cell>
        </row>
        <row r="237">
          <cell r="A237" t="str">
            <v>Tokelau</v>
          </cell>
        </row>
        <row r="238">
          <cell r="A238" t="str">
            <v>Turkmenistan</v>
          </cell>
        </row>
        <row r="239">
          <cell r="A239" t="str">
            <v>Timor-Leste</v>
          </cell>
        </row>
        <row r="240">
          <cell r="A240" t="str">
            <v>Tonga</v>
          </cell>
        </row>
        <row r="241">
          <cell r="A241" t="str">
            <v>Tuvalu</v>
          </cell>
        </row>
        <row r="242">
          <cell r="A242" t="str">
            <v>Uganda</v>
          </cell>
        </row>
        <row r="243">
          <cell r="A243" t="str">
            <v>U.S. Outlying Islands</v>
          </cell>
        </row>
        <row r="244">
          <cell r="A244" t="str">
            <v>Vatican City</v>
          </cell>
        </row>
        <row r="245">
          <cell r="A245" t="str">
            <v>St. Vincent &amp; Grenadines</v>
          </cell>
        </row>
        <row r="246">
          <cell r="A246" t="str">
            <v>British Virgin Islands</v>
          </cell>
        </row>
        <row r="247">
          <cell r="A247" t="str">
            <v>U.S. Virgin Islands</v>
          </cell>
        </row>
        <row r="248">
          <cell r="A248" t="str">
            <v>Vanuatu</v>
          </cell>
        </row>
        <row r="249">
          <cell r="A249" t="str">
            <v>Wallis &amp; Futuna</v>
          </cell>
        </row>
        <row r="250">
          <cell r="A250" t="str">
            <v>Samoa</v>
          </cell>
        </row>
        <row r="251">
          <cell r="A251" t="str">
            <v>Kosovo</v>
          </cell>
        </row>
        <row r="252">
          <cell r="A252" t="str">
            <v>Yemen</v>
          </cell>
        </row>
        <row r="253">
          <cell r="A253" t="str">
            <v>Zambia</v>
          </cell>
        </row>
      </sheetData>
    </sheetDataSet>
  </externalBook>
</externalLink>
</file>

<file path=xl/externalLinks/externalLink1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63)"/>
    </sheetNames>
    <sheetDataSet>
      <sheetData sheetId="0" refreshError="1">
        <row r="1">
          <cell r="A1" t="str">
            <v>Category: All categories</v>
          </cell>
        </row>
        <row r="3">
          <cell r="A3" t="str">
            <v>Country</v>
          </cell>
          <cell r="B3" t="str">
            <v>P versus NP problem: (2018)</v>
          </cell>
          <cell r="C3" t="str">
            <v>Linear hashing: (2018)</v>
          </cell>
        </row>
        <row r="4">
          <cell r="A4" t="str">
            <v>China</v>
          </cell>
          <cell r="B4">
            <v>1</v>
          </cell>
        </row>
        <row r="5">
          <cell r="A5" t="str">
            <v>South Korea</v>
          </cell>
          <cell r="B5">
            <v>0.95</v>
          </cell>
          <cell r="C5">
            <v>0.05</v>
          </cell>
        </row>
        <row r="6">
          <cell r="A6" t="str">
            <v>Austria</v>
          </cell>
          <cell r="B6">
            <v>0.92</v>
          </cell>
          <cell r="C6">
            <v>0.08</v>
          </cell>
        </row>
        <row r="7">
          <cell r="A7" t="str">
            <v>Germany</v>
          </cell>
          <cell r="B7">
            <v>0.99</v>
          </cell>
          <cell r="C7">
            <v>0.01</v>
          </cell>
        </row>
        <row r="8">
          <cell r="A8" t="str">
            <v>Hong Kong</v>
          </cell>
          <cell r="B8">
            <v>1</v>
          </cell>
        </row>
        <row r="9">
          <cell r="A9" t="str">
            <v>Norway</v>
          </cell>
          <cell r="B9">
            <v>0.9</v>
          </cell>
          <cell r="C9">
            <v>0.1</v>
          </cell>
        </row>
        <row r="10">
          <cell r="A10" t="str">
            <v>Singapore</v>
          </cell>
          <cell r="B10">
            <v>1</v>
          </cell>
        </row>
        <row r="11">
          <cell r="A11" t="str">
            <v>Israel</v>
          </cell>
          <cell r="B11">
            <v>1</v>
          </cell>
        </row>
        <row r="12">
          <cell r="A12" t="str">
            <v>Switzerland</v>
          </cell>
          <cell r="B12">
            <v>1</v>
          </cell>
        </row>
        <row r="13">
          <cell r="A13" t="str">
            <v>Ghana</v>
          </cell>
        </row>
        <row r="14">
          <cell r="A14" t="str">
            <v>United States</v>
          </cell>
          <cell r="B14">
            <v>0.97</v>
          </cell>
          <cell r="C14">
            <v>0.03</v>
          </cell>
        </row>
        <row r="15">
          <cell r="A15" t="str">
            <v>Peru</v>
          </cell>
          <cell r="B15">
            <v>1</v>
          </cell>
        </row>
        <row r="16">
          <cell r="A16" t="str">
            <v>Croatia</v>
          </cell>
          <cell r="B16">
            <v>1</v>
          </cell>
        </row>
        <row r="17">
          <cell r="A17" t="str">
            <v>Czechia</v>
          </cell>
          <cell r="B17">
            <v>1</v>
          </cell>
        </row>
        <row r="18">
          <cell r="A18" t="str">
            <v>South Africa</v>
          </cell>
          <cell r="B18">
            <v>1</v>
          </cell>
        </row>
        <row r="19">
          <cell r="A19" t="str">
            <v>India</v>
          </cell>
          <cell r="B19">
            <v>0.86</v>
          </cell>
          <cell r="C19">
            <v>0.14000000000000001</v>
          </cell>
        </row>
        <row r="20">
          <cell r="A20" t="str">
            <v>Estonia</v>
          </cell>
        </row>
        <row r="21">
          <cell r="A21" t="str">
            <v>Belarus</v>
          </cell>
          <cell r="B21">
            <v>1</v>
          </cell>
        </row>
        <row r="22">
          <cell r="A22" t="str">
            <v>Pakistan</v>
          </cell>
          <cell r="B22">
            <v>1</v>
          </cell>
        </row>
        <row r="23">
          <cell r="A23" t="str">
            <v>Canada</v>
          </cell>
          <cell r="B23">
            <v>0.98</v>
          </cell>
          <cell r="C23">
            <v>0.02</v>
          </cell>
        </row>
        <row r="24">
          <cell r="A24" t="str">
            <v>Mexico</v>
          </cell>
          <cell r="B24">
            <v>1</v>
          </cell>
        </row>
        <row r="25">
          <cell r="A25" t="str">
            <v>Nepal</v>
          </cell>
        </row>
        <row r="26">
          <cell r="A26" t="str">
            <v>Greece</v>
          </cell>
          <cell r="B26">
            <v>0.64</v>
          </cell>
          <cell r="C26">
            <v>0.36</v>
          </cell>
        </row>
        <row r="27">
          <cell r="A27" t="str">
            <v>Netherlands</v>
          </cell>
          <cell r="B27">
            <v>1</v>
          </cell>
        </row>
        <row r="28">
          <cell r="A28" t="str">
            <v>Australia</v>
          </cell>
          <cell r="B28">
            <v>1</v>
          </cell>
        </row>
        <row r="29">
          <cell r="A29" t="str">
            <v>Ecuador</v>
          </cell>
          <cell r="B29">
            <v>1</v>
          </cell>
        </row>
        <row r="30">
          <cell r="A30" t="str">
            <v>Denmark</v>
          </cell>
          <cell r="B30">
            <v>1</v>
          </cell>
        </row>
        <row r="31">
          <cell r="A31" t="str">
            <v>New Zealand</v>
          </cell>
          <cell r="B31">
            <v>1</v>
          </cell>
        </row>
        <row r="32">
          <cell r="A32" t="str">
            <v>Colombia</v>
          </cell>
          <cell r="B32">
            <v>1</v>
          </cell>
        </row>
        <row r="33">
          <cell r="A33" t="str">
            <v>Bangladesh</v>
          </cell>
          <cell r="B33">
            <v>1</v>
          </cell>
        </row>
        <row r="34">
          <cell r="A34" t="str">
            <v>Sweden</v>
          </cell>
          <cell r="B34">
            <v>1</v>
          </cell>
        </row>
        <row r="35">
          <cell r="A35" t="str">
            <v>Argentina</v>
          </cell>
          <cell r="B35">
            <v>1</v>
          </cell>
        </row>
        <row r="36">
          <cell r="A36" t="str">
            <v>Spain</v>
          </cell>
          <cell r="B36">
            <v>1</v>
          </cell>
        </row>
        <row r="37">
          <cell r="A37" t="str">
            <v>Philippines</v>
          </cell>
          <cell r="B37">
            <v>1</v>
          </cell>
        </row>
        <row r="38">
          <cell r="A38" t="str">
            <v>Lithuania</v>
          </cell>
        </row>
        <row r="39">
          <cell r="A39" t="str">
            <v>Ireland</v>
          </cell>
          <cell r="B39">
            <v>1</v>
          </cell>
        </row>
        <row r="40">
          <cell r="A40" t="str">
            <v>United Arab Emirates</v>
          </cell>
          <cell r="B40">
            <v>1</v>
          </cell>
        </row>
        <row r="41">
          <cell r="A41" t="str">
            <v>United Kingdom</v>
          </cell>
          <cell r="B41">
            <v>1</v>
          </cell>
        </row>
        <row r="42">
          <cell r="A42" t="str">
            <v>Serbia</v>
          </cell>
          <cell r="B42">
            <v>1</v>
          </cell>
        </row>
        <row r="43">
          <cell r="A43" t="str">
            <v>Taiwan</v>
          </cell>
          <cell r="B43">
            <v>1</v>
          </cell>
        </row>
        <row r="44">
          <cell r="A44" t="str">
            <v>Japan</v>
          </cell>
          <cell r="B44">
            <v>1</v>
          </cell>
        </row>
        <row r="45">
          <cell r="A45" t="str">
            <v>Brazil</v>
          </cell>
          <cell r="B45">
            <v>1</v>
          </cell>
        </row>
        <row r="46">
          <cell r="A46" t="str">
            <v>Hungary</v>
          </cell>
          <cell r="B46">
            <v>1</v>
          </cell>
        </row>
        <row r="47">
          <cell r="A47" t="str">
            <v>Chile</v>
          </cell>
          <cell r="B47">
            <v>1</v>
          </cell>
        </row>
        <row r="48">
          <cell r="A48" t="str">
            <v>Nigeria</v>
          </cell>
          <cell r="B48">
            <v>1</v>
          </cell>
        </row>
        <row r="49">
          <cell r="A49" t="str">
            <v>Belgium</v>
          </cell>
          <cell r="B49">
            <v>1</v>
          </cell>
        </row>
        <row r="50">
          <cell r="A50" t="str">
            <v>Finland</v>
          </cell>
          <cell r="B50">
            <v>1</v>
          </cell>
        </row>
        <row r="51">
          <cell r="A51" t="str">
            <v>Saudi Arabia</v>
          </cell>
          <cell r="B51">
            <v>1</v>
          </cell>
        </row>
        <row r="52">
          <cell r="A52" t="str">
            <v>Malaysia</v>
          </cell>
          <cell r="B52">
            <v>1</v>
          </cell>
        </row>
        <row r="53">
          <cell r="A53" t="str">
            <v>Italy</v>
          </cell>
          <cell r="B53">
            <v>1</v>
          </cell>
        </row>
        <row r="54">
          <cell r="A54" t="str">
            <v>Romania</v>
          </cell>
          <cell r="B54">
            <v>1</v>
          </cell>
        </row>
        <row r="55">
          <cell r="A55" t="str">
            <v>Portugal</v>
          </cell>
          <cell r="B55">
            <v>1</v>
          </cell>
        </row>
        <row r="56">
          <cell r="A56" t="str">
            <v>Russia</v>
          </cell>
          <cell r="B56">
            <v>1</v>
          </cell>
        </row>
        <row r="57">
          <cell r="A57" t="str">
            <v>France</v>
          </cell>
          <cell r="B57">
            <v>1</v>
          </cell>
        </row>
        <row r="58">
          <cell r="A58" t="str">
            <v>Egypt</v>
          </cell>
          <cell r="B58">
            <v>1</v>
          </cell>
        </row>
        <row r="59">
          <cell r="A59" t="str">
            <v>Poland</v>
          </cell>
          <cell r="B59">
            <v>1</v>
          </cell>
        </row>
        <row r="60">
          <cell r="A60" t="str">
            <v>Ukraine</v>
          </cell>
          <cell r="B60">
            <v>1</v>
          </cell>
        </row>
        <row r="61">
          <cell r="A61" t="str">
            <v>Bulgaria</v>
          </cell>
        </row>
        <row r="62">
          <cell r="A62" t="str">
            <v>Thailand</v>
          </cell>
          <cell r="B62">
            <v>1</v>
          </cell>
        </row>
        <row r="63">
          <cell r="A63" t="str">
            <v>Vietnam</v>
          </cell>
          <cell r="B63">
            <v>1</v>
          </cell>
        </row>
        <row r="64">
          <cell r="A64" t="str">
            <v>Indonesia</v>
          </cell>
          <cell r="B64">
            <v>1</v>
          </cell>
        </row>
        <row r="65">
          <cell r="A65" t="str">
            <v>Venezuela</v>
          </cell>
        </row>
        <row r="66">
          <cell r="A66" t="str">
            <v>Turkey</v>
          </cell>
          <cell r="B66">
            <v>0.85</v>
          </cell>
          <cell r="C66">
            <v>0.15</v>
          </cell>
        </row>
        <row r="67">
          <cell r="A67" t="str">
            <v>Guernsey</v>
          </cell>
        </row>
        <row r="68">
          <cell r="A68" t="str">
            <v>Andorra</v>
          </cell>
        </row>
        <row r="69">
          <cell r="A69" t="str">
            <v>Isle of Man</v>
          </cell>
        </row>
        <row r="70">
          <cell r="A70" t="str">
            <v>Namibia</v>
          </cell>
        </row>
        <row r="71">
          <cell r="A71" t="str">
            <v>Malta</v>
          </cell>
        </row>
        <row r="72">
          <cell r="A72" t="str">
            <v>Luxembourg</v>
          </cell>
        </row>
        <row r="73">
          <cell r="A73" t="str">
            <v>Martinique</v>
          </cell>
        </row>
        <row r="74">
          <cell r="A74" t="str">
            <v>Guadeloupe</v>
          </cell>
        </row>
        <row r="75">
          <cell r="A75" t="str">
            <v>Macao</v>
          </cell>
        </row>
        <row r="76">
          <cell r="A76" t="str">
            <v>Slovenia</v>
          </cell>
        </row>
        <row r="77">
          <cell r="A77" t="str">
            <v>Kosovo</v>
          </cell>
        </row>
        <row r="78">
          <cell r="A78" t="str">
            <v>Jamaica</v>
          </cell>
        </row>
        <row r="79">
          <cell r="A79" t="str">
            <v>Mauritius</v>
          </cell>
        </row>
        <row r="80">
          <cell r="A80" t="str">
            <v>Ethiopia</v>
          </cell>
        </row>
        <row r="81">
          <cell r="A81" t="str">
            <v>Qatar</v>
          </cell>
        </row>
        <row r="82">
          <cell r="A82" t="str">
            <v>Palestine</v>
          </cell>
        </row>
        <row r="83">
          <cell r="A83" t="str">
            <v>Puerto Rico</v>
          </cell>
        </row>
        <row r="84">
          <cell r="A84" t="str">
            <v>Cyprus</v>
          </cell>
        </row>
        <row r="85">
          <cell r="A85" t="str">
            <v>Albania</v>
          </cell>
        </row>
        <row r="86">
          <cell r="A86" t="str">
            <v>Yemen</v>
          </cell>
        </row>
        <row r="87">
          <cell r="A87" t="str">
            <v>Myanmar (Burma)</v>
          </cell>
        </row>
        <row r="88">
          <cell r="A88" t="str">
            <v>St. Helena</v>
          </cell>
        </row>
        <row r="89">
          <cell r="A89" t="str">
            <v>Sri Lanka</v>
          </cell>
        </row>
        <row r="90">
          <cell r="A90" t="str">
            <v>Lebanon</v>
          </cell>
        </row>
        <row r="91">
          <cell r="A91" t="str">
            <v>Cambodia</v>
          </cell>
        </row>
        <row r="92">
          <cell r="A92" t="str">
            <v>Kenya</v>
          </cell>
        </row>
        <row r="93">
          <cell r="A93" t="str">
            <v>Tunisia</v>
          </cell>
        </row>
        <row r="94">
          <cell r="A94" t="str">
            <v>Honduras</v>
          </cell>
        </row>
        <row r="95">
          <cell r="A95" t="str">
            <v>Moldova</v>
          </cell>
        </row>
        <row r="96">
          <cell r="A96" t="str">
            <v>El Salvador</v>
          </cell>
        </row>
        <row r="97">
          <cell r="A97" t="str">
            <v>Syria</v>
          </cell>
        </row>
        <row r="98">
          <cell r="A98" t="str">
            <v>Panama</v>
          </cell>
        </row>
        <row r="99">
          <cell r="A99" t="str">
            <v>Georgia</v>
          </cell>
        </row>
        <row r="100">
          <cell r="A100" t="str">
            <v>Kazakhstan</v>
          </cell>
        </row>
        <row r="101">
          <cell r="A101" t="str">
            <v>Algeria</v>
          </cell>
        </row>
        <row r="102">
          <cell r="A102" t="str">
            <v>Bolivia</v>
          </cell>
        </row>
        <row r="103">
          <cell r="A103" t="str">
            <v>Uruguay</v>
          </cell>
        </row>
        <row r="104">
          <cell r="A104" t="str">
            <v>Guatemala</v>
          </cell>
        </row>
        <row r="105">
          <cell r="A105" t="str">
            <v>Dominican Republic</v>
          </cell>
        </row>
        <row r="106">
          <cell r="A106" t="str">
            <v>Morocco</v>
          </cell>
        </row>
        <row r="107">
          <cell r="A107" t="str">
            <v>Iran</v>
          </cell>
        </row>
        <row r="108">
          <cell r="A108" t="str">
            <v>Aruba</v>
          </cell>
        </row>
        <row r="109">
          <cell r="A109" t="str">
            <v>Afghanistan</v>
          </cell>
        </row>
        <row r="110">
          <cell r="A110" t="str">
            <v>Angola</v>
          </cell>
        </row>
        <row r="111">
          <cell r="A111" t="str">
            <v>Anguilla</v>
          </cell>
        </row>
        <row r="112">
          <cell r="A112" t="str">
            <v>Ã…land Islands</v>
          </cell>
        </row>
        <row r="113">
          <cell r="A113" t="str">
            <v>Armenia</v>
          </cell>
        </row>
        <row r="114">
          <cell r="A114" t="str">
            <v>American Samoa</v>
          </cell>
        </row>
        <row r="115">
          <cell r="A115" t="str">
            <v>Antarctica</v>
          </cell>
        </row>
        <row r="116">
          <cell r="A116" t="str">
            <v>French Southern Territories</v>
          </cell>
        </row>
        <row r="117">
          <cell r="A117" t="str">
            <v>Antigua &amp; Barbuda</v>
          </cell>
        </row>
        <row r="118">
          <cell r="A118" t="str">
            <v>Azerbaijan</v>
          </cell>
        </row>
        <row r="119">
          <cell r="A119" t="str">
            <v>Burundi</v>
          </cell>
        </row>
        <row r="120">
          <cell r="A120" t="str">
            <v>Benin</v>
          </cell>
        </row>
        <row r="121">
          <cell r="A121" t="str">
            <v>Caribbean Netherlands</v>
          </cell>
        </row>
        <row r="122">
          <cell r="A122" t="str">
            <v>Burkina Faso</v>
          </cell>
        </row>
        <row r="123">
          <cell r="A123" t="str">
            <v>Bahrain</v>
          </cell>
        </row>
        <row r="124">
          <cell r="A124" t="str">
            <v>Bahamas</v>
          </cell>
        </row>
        <row r="125">
          <cell r="A125" t="str">
            <v>Bosnia &amp; Herzegovina</v>
          </cell>
        </row>
        <row r="126">
          <cell r="A126" t="str">
            <v>St. BarthÃ©lemy</v>
          </cell>
        </row>
        <row r="127">
          <cell r="A127" t="str">
            <v>Belize</v>
          </cell>
        </row>
        <row r="128">
          <cell r="A128" t="str">
            <v>Bermuda</v>
          </cell>
        </row>
        <row r="129">
          <cell r="A129" t="str">
            <v>Barbados</v>
          </cell>
        </row>
        <row r="130">
          <cell r="A130" t="str">
            <v>Brunei</v>
          </cell>
        </row>
        <row r="131">
          <cell r="A131" t="str">
            <v>Bhutan</v>
          </cell>
        </row>
        <row r="132">
          <cell r="A132" t="str">
            <v>Bouvet Island</v>
          </cell>
        </row>
        <row r="133">
          <cell r="A133" t="str">
            <v>Botswana</v>
          </cell>
        </row>
        <row r="134">
          <cell r="A134" t="str">
            <v>Central African Republic</v>
          </cell>
        </row>
        <row r="135">
          <cell r="A135" t="str">
            <v>Cocos (Keeling) Islands</v>
          </cell>
        </row>
        <row r="136">
          <cell r="A136" t="str">
            <v>CÃ´te dâ€™Ivoire</v>
          </cell>
        </row>
        <row r="137">
          <cell r="A137" t="str">
            <v>Cameroon</v>
          </cell>
        </row>
        <row r="138">
          <cell r="A138" t="str">
            <v>Congo - Kinshasa</v>
          </cell>
        </row>
        <row r="139">
          <cell r="A139" t="str">
            <v>Congo - Brazzaville</v>
          </cell>
        </row>
        <row r="140">
          <cell r="A140" t="str">
            <v>Cook Islands</v>
          </cell>
        </row>
        <row r="141">
          <cell r="A141" t="str">
            <v>Comoros</v>
          </cell>
        </row>
        <row r="142">
          <cell r="A142" t="str">
            <v>Cape Verde</v>
          </cell>
        </row>
        <row r="143">
          <cell r="A143" t="str">
            <v>Costa Rica</v>
          </cell>
        </row>
        <row r="144">
          <cell r="A144" t="str">
            <v>Cuba</v>
          </cell>
        </row>
        <row r="145">
          <cell r="A145" t="str">
            <v>CuraÃ§ao</v>
          </cell>
        </row>
        <row r="146">
          <cell r="A146" t="str">
            <v>Christmas Island</v>
          </cell>
        </row>
        <row r="147">
          <cell r="A147" t="str">
            <v>Cayman Islands</v>
          </cell>
        </row>
        <row r="148">
          <cell r="A148" t="str">
            <v>Djibouti</v>
          </cell>
        </row>
        <row r="149">
          <cell r="A149" t="str">
            <v>Dominica</v>
          </cell>
        </row>
        <row r="150">
          <cell r="A150" t="str">
            <v>Eritrea</v>
          </cell>
        </row>
        <row r="151">
          <cell r="A151" t="str">
            <v>Western Sahara</v>
          </cell>
        </row>
        <row r="152">
          <cell r="A152" t="str">
            <v>Fiji</v>
          </cell>
        </row>
        <row r="153">
          <cell r="A153" t="str">
            <v>Falkland Islands (Islas Malvinas)</v>
          </cell>
        </row>
        <row r="154">
          <cell r="A154" t="str">
            <v>Faroe Islands</v>
          </cell>
        </row>
        <row r="155">
          <cell r="A155" t="str">
            <v>Micronesia</v>
          </cell>
        </row>
        <row r="156">
          <cell r="A156" t="str">
            <v>Gabon</v>
          </cell>
        </row>
        <row r="157">
          <cell r="A157" t="str">
            <v>Gibraltar</v>
          </cell>
        </row>
        <row r="158">
          <cell r="A158" t="str">
            <v>Guinea</v>
          </cell>
        </row>
        <row r="159">
          <cell r="A159" t="str">
            <v>Gambia</v>
          </cell>
        </row>
        <row r="160">
          <cell r="A160" t="str">
            <v>Guinea-Bissau</v>
          </cell>
        </row>
        <row r="161">
          <cell r="A161" t="str">
            <v>Equatorial Guinea</v>
          </cell>
        </row>
        <row r="162">
          <cell r="A162" t="str">
            <v>Grenada</v>
          </cell>
        </row>
        <row r="163">
          <cell r="A163" t="str">
            <v>Greenland</v>
          </cell>
        </row>
        <row r="164">
          <cell r="A164" t="str">
            <v>French Guiana</v>
          </cell>
        </row>
        <row r="165">
          <cell r="A165" t="str">
            <v>Guam</v>
          </cell>
        </row>
        <row r="166">
          <cell r="A166" t="str">
            <v>Guyana</v>
          </cell>
        </row>
        <row r="167">
          <cell r="A167" t="str">
            <v>Heard &amp; McDonald Islands</v>
          </cell>
        </row>
        <row r="168">
          <cell r="A168" t="str">
            <v>Haiti</v>
          </cell>
        </row>
        <row r="169">
          <cell r="A169" t="str">
            <v>British Indian Ocean Territory</v>
          </cell>
        </row>
        <row r="170">
          <cell r="A170" t="str">
            <v>Iraq</v>
          </cell>
        </row>
        <row r="171">
          <cell r="A171" t="str">
            <v>Iceland</v>
          </cell>
        </row>
        <row r="172">
          <cell r="A172" t="str">
            <v>Jersey</v>
          </cell>
        </row>
        <row r="173">
          <cell r="A173" t="str">
            <v>Jordan</v>
          </cell>
        </row>
        <row r="174">
          <cell r="A174" t="str">
            <v>Kyrgyzstan</v>
          </cell>
        </row>
        <row r="175">
          <cell r="A175" t="str">
            <v>Kiribati</v>
          </cell>
        </row>
        <row r="176">
          <cell r="A176" t="str">
            <v>St. Kitts &amp; Nevis</v>
          </cell>
        </row>
        <row r="177">
          <cell r="A177" t="str">
            <v>Kuwait</v>
          </cell>
        </row>
        <row r="178">
          <cell r="A178" t="str">
            <v>Laos</v>
          </cell>
        </row>
        <row r="179">
          <cell r="A179" t="str">
            <v>Liberia</v>
          </cell>
        </row>
        <row r="180">
          <cell r="A180" t="str">
            <v>Libya</v>
          </cell>
        </row>
        <row r="181">
          <cell r="A181" t="str">
            <v>St. Lucia</v>
          </cell>
        </row>
        <row r="182">
          <cell r="A182" t="str">
            <v>Liechtenstein</v>
          </cell>
        </row>
        <row r="183">
          <cell r="A183" t="str">
            <v>Lesotho</v>
          </cell>
        </row>
        <row r="184">
          <cell r="A184" t="str">
            <v>Latvia</v>
          </cell>
        </row>
        <row r="185">
          <cell r="A185" t="str">
            <v>St. Martin</v>
          </cell>
        </row>
        <row r="186">
          <cell r="A186" t="str">
            <v>Monaco</v>
          </cell>
        </row>
        <row r="187">
          <cell r="A187" t="str">
            <v>Madagascar</v>
          </cell>
        </row>
        <row r="188">
          <cell r="A188" t="str">
            <v>Maldives</v>
          </cell>
        </row>
        <row r="189">
          <cell r="A189" t="str">
            <v>Marshall Islands</v>
          </cell>
        </row>
        <row r="190">
          <cell r="A190" t="str">
            <v>North Macedonia</v>
          </cell>
        </row>
        <row r="191">
          <cell r="A191" t="str">
            <v>Mali</v>
          </cell>
        </row>
        <row r="192">
          <cell r="A192" t="str">
            <v>Montenegro</v>
          </cell>
        </row>
        <row r="193">
          <cell r="A193" t="str">
            <v>Mongolia</v>
          </cell>
        </row>
        <row r="194">
          <cell r="A194" t="str">
            <v>Northern Mariana Islands</v>
          </cell>
        </row>
        <row r="195">
          <cell r="A195" t="str">
            <v>Mozambique</v>
          </cell>
        </row>
        <row r="196">
          <cell r="A196" t="str">
            <v>Mauritania</v>
          </cell>
        </row>
        <row r="197">
          <cell r="A197" t="str">
            <v>Montserrat</v>
          </cell>
        </row>
        <row r="198">
          <cell r="A198" t="str">
            <v>Malawi</v>
          </cell>
        </row>
        <row r="199">
          <cell r="A199" t="str">
            <v>Mayotte</v>
          </cell>
        </row>
        <row r="200">
          <cell r="A200" t="str">
            <v>New Caledonia</v>
          </cell>
        </row>
        <row r="201">
          <cell r="A201" t="str">
            <v>Niger</v>
          </cell>
        </row>
        <row r="202">
          <cell r="A202" t="str">
            <v>Norfolk Island</v>
          </cell>
        </row>
        <row r="203">
          <cell r="A203" t="str">
            <v>Nicaragua</v>
          </cell>
        </row>
        <row r="204">
          <cell r="A204" t="str">
            <v>Niue</v>
          </cell>
        </row>
        <row r="205">
          <cell r="A205" t="str">
            <v>Nauru</v>
          </cell>
        </row>
        <row r="206">
          <cell r="A206" t="str">
            <v>Oman</v>
          </cell>
        </row>
        <row r="207">
          <cell r="A207" t="str">
            <v>Pitcairn Islands</v>
          </cell>
        </row>
        <row r="208">
          <cell r="A208" t="str">
            <v>Palau</v>
          </cell>
        </row>
        <row r="209">
          <cell r="A209" t="str">
            <v>Papua New Guinea</v>
          </cell>
        </row>
        <row r="210">
          <cell r="A210" t="str">
            <v>North Korea</v>
          </cell>
        </row>
        <row r="211">
          <cell r="A211" t="str">
            <v>Paraguay</v>
          </cell>
        </row>
        <row r="212">
          <cell r="A212" t="str">
            <v>French Polynesia</v>
          </cell>
        </row>
        <row r="213">
          <cell r="A213" t="str">
            <v>RÃ©union</v>
          </cell>
        </row>
        <row r="214">
          <cell r="A214" t="str">
            <v>Rwanda</v>
          </cell>
        </row>
        <row r="215">
          <cell r="A215" t="str">
            <v>Sudan</v>
          </cell>
        </row>
        <row r="216">
          <cell r="A216" t="str">
            <v>Senegal</v>
          </cell>
        </row>
        <row r="217">
          <cell r="A217" t="str">
            <v>South Georgia &amp; South Sandwich Islands</v>
          </cell>
        </row>
        <row r="218">
          <cell r="A218" t="str">
            <v>Svalbard &amp; Jan Mayen</v>
          </cell>
        </row>
        <row r="219">
          <cell r="A219" t="str">
            <v>Solomon Islands</v>
          </cell>
        </row>
        <row r="220">
          <cell r="A220" t="str">
            <v>Sierra Leone</v>
          </cell>
        </row>
        <row r="221">
          <cell r="A221" t="str">
            <v>San Marino</v>
          </cell>
        </row>
        <row r="222">
          <cell r="A222" t="str">
            <v>Somalia</v>
          </cell>
        </row>
        <row r="223">
          <cell r="A223" t="str">
            <v>St. Pierre &amp; Miquelon</v>
          </cell>
        </row>
        <row r="224">
          <cell r="A224" t="str">
            <v>South Sudan</v>
          </cell>
        </row>
        <row r="225">
          <cell r="A225" t="str">
            <v>SÃ£o TomÃ© &amp; PrÃ­ncipe</v>
          </cell>
        </row>
        <row r="226">
          <cell r="A226" t="str">
            <v>Suriname</v>
          </cell>
        </row>
        <row r="227">
          <cell r="A227" t="str">
            <v>Slovakia</v>
          </cell>
        </row>
        <row r="228">
          <cell r="A228" t="str">
            <v>Eswatini</v>
          </cell>
        </row>
        <row r="229">
          <cell r="A229" t="str">
            <v>Sint Maarten</v>
          </cell>
        </row>
        <row r="230">
          <cell r="A230" t="str">
            <v>Seychelles</v>
          </cell>
        </row>
        <row r="231">
          <cell r="A231" t="str">
            <v>Turks &amp; Caicos Islands</v>
          </cell>
        </row>
        <row r="232">
          <cell r="A232" t="str">
            <v>Chad</v>
          </cell>
        </row>
        <row r="233">
          <cell r="A233" t="str">
            <v>Togo</v>
          </cell>
        </row>
        <row r="234">
          <cell r="A234" t="str">
            <v>Tajikistan</v>
          </cell>
        </row>
        <row r="235">
          <cell r="A235" t="str">
            <v>Tokelau</v>
          </cell>
        </row>
        <row r="236">
          <cell r="A236" t="str">
            <v>Turkmenistan</v>
          </cell>
        </row>
        <row r="237">
          <cell r="A237" t="str">
            <v>Timor-Leste</v>
          </cell>
        </row>
        <row r="238">
          <cell r="A238" t="str">
            <v>Tonga</v>
          </cell>
        </row>
        <row r="239">
          <cell r="A239" t="str">
            <v>Trinidad &amp; Tobago</v>
          </cell>
        </row>
        <row r="240">
          <cell r="A240" t="str">
            <v>Tuvalu</v>
          </cell>
        </row>
        <row r="241">
          <cell r="A241" t="str">
            <v>Tanzania</v>
          </cell>
        </row>
        <row r="242">
          <cell r="A242" t="str">
            <v>Uganda</v>
          </cell>
        </row>
        <row r="243">
          <cell r="A243" t="str">
            <v>U.S. Outlying Islands</v>
          </cell>
        </row>
        <row r="244">
          <cell r="A244" t="str">
            <v>Uzbekistan</v>
          </cell>
        </row>
        <row r="245">
          <cell r="A245" t="str">
            <v>Vatican City</v>
          </cell>
        </row>
        <row r="246">
          <cell r="A246" t="str">
            <v>St. Vincent &amp; Grenadines</v>
          </cell>
        </row>
        <row r="247">
          <cell r="A247" t="str">
            <v>British Virgin Islands</v>
          </cell>
        </row>
        <row r="248">
          <cell r="A248" t="str">
            <v>U.S. Virgin Islands</v>
          </cell>
        </row>
        <row r="249">
          <cell r="A249" t="str">
            <v>Vanuatu</v>
          </cell>
        </row>
        <row r="250">
          <cell r="A250" t="str">
            <v>Wallis &amp; Futuna</v>
          </cell>
        </row>
        <row r="251">
          <cell r="A251" t="str">
            <v>Samoa</v>
          </cell>
        </row>
        <row r="252">
          <cell r="A252" t="str">
            <v>Zambia</v>
          </cell>
        </row>
        <row r="253">
          <cell r="A253" t="str">
            <v>Zimbabwe</v>
          </cell>
        </row>
      </sheetData>
    </sheetDataSet>
  </externalBook>
</externalLink>
</file>

<file path=xl/externalLinks/externalLink1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65)"/>
    </sheetNames>
    <sheetDataSet>
      <sheetData sheetId="0" refreshError="1">
        <row r="1">
          <cell r="A1" t="str">
            <v>Category: All categories</v>
          </cell>
        </row>
        <row r="3">
          <cell r="A3" t="str">
            <v>Country</v>
          </cell>
          <cell r="B3" t="str">
            <v>P versus NP problem: (2018)</v>
          </cell>
          <cell r="C3" t="str">
            <v>Countâ€“min sketch: (2018)</v>
          </cell>
        </row>
        <row r="4">
          <cell r="A4" t="str">
            <v>China</v>
          </cell>
          <cell r="B4">
            <v>1</v>
          </cell>
        </row>
        <row r="5">
          <cell r="A5" t="str">
            <v>South Korea</v>
          </cell>
          <cell r="B5">
            <v>1</v>
          </cell>
        </row>
        <row r="6">
          <cell r="A6" t="str">
            <v>Austria</v>
          </cell>
          <cell r="B6">
            <v>1</v>
          </cell>
        </row>
        <row r="7">
          <cell r="A7" t="str">
            <v>Germany</v>
          </cell>
          <cell r="B7">
            <v>0.98</v>
          </cell>
          <cell r="C7">
            <v>0.02</v>
          </cell>
        </row>
        <row r="8">
          <cell r="A8" t="str">
            <v>Hong Kong</v>
          </cell>
          <cell r="B8">
            <v>1</v>
          </cell>
        </row>
        <row r="9">
          <cell r="A9" t="str">
            <v>Norway</v>
          </cell>
          <cell r="B9">
            <v>1</v>
          </cell>
        </row>
        <row r="10">
          <cell r="A10" t="str">
            <v>Singapore</v>
          </cell>
          <cell r="B10">
            <v>1</v>
          </cell>
        </row>
        <row r="11">
          <cell r="A11" t="str">
            <v>Israel</v>
          </cell>
          <cell r="B11">
            <v>1</v>
          </cell>
        </row>
        <row r="12">
          <cell r="A12" t="str">
            <v>Switzerland</v>
          </cell>
          <cell r="B12">
            <v>1</v>
          </cell>
        </row>
        <row r="13">
          <cell r="A13" t="str">
            <v>Ghana</v>
          </cell>
        </row>
        <row r="14">
          <cell r="A14" t="str">
            <v>United States</v>
          </cell>
          <cell r="B14">
            <v>0.94</v>
          </cell>
          <cell r="C14">
            <v>0.06</v>
          </cell>
        </row>
        <row r="15">
          <cell r="A15" t="str">
            <v>Peru</v>
          </cell>
          <cell r="B15">
            <v>1</v>
          </cell>
        </row>
        <row r="16">
          <cell r="A16" t="str">
            <v>Croatia</v>
          </cell>
          <cell r="B16">
            <v>1</v>
          </cell>
        </row>
        <row r="17">
          <cell r="A17" t="str">
            <v>Czechia</v>
          </cell>
          <cell r="B17">
            <v>1</v>
          </cell>
        </row>
        <row r="18">
          <cell r="A18" t="str">
            <v>South Africa</v>
          </cell>
          <cell r="B18">
            <v>1</v>
          </cell>
        </row>
        <row r="19">
          <cell r="A19" t="str">
            <v>India</v>
          </cell>
          <cell r="B19">
            <v>0.98</v>
          </cell>
          <cell r="C19">
            <v>0.02</v>
          </cell>
        </row>
        <row r="20">
          <cell r="A20" t="str">
            <v>Estonia</v>
          </cell>
        </row>
        <row r="21">
          <cell r="A21" t="str">
            <v>Belarus</v>
          </cell>
          <cell r="B21">
            <v>1</v>
          </cell>
        </row>
        <row r="22">
          <cell r="A22" t="str">
            <v>Pakistan</v>
          </cell>
          <cell r="B22">
            <v>1</v>
          </cell>
        </row>
        <row r="23">
          <cell r="A23" t="str">
            <v>Canada</v>
          </cell>
          <cell r="B23">
            <v>1</v>
          </cell>
        </row>
        <row r="24">
          <cell r="A24" t="str">
            <v>Mexico</v>
          </cell>
          <cell r="B24">
            <v>1</v>
          </cell>
        </row>
        <row r="25">
          <cell r="A25" t="str">
            <v>Nepal</v>
          </cell>
        </row>
        <row r="26">
          <cell r="A26" t="str">
            <v>Greece</v>
          </cell>
          <cell r="B26">
            <v>1</v>
          </cell>
        </row>
        <row r="27">
          <cell r="A27" t="str">
            <v>Netherlands</v>
          </cell>
          <cell r="B27">
            <v>1</v>
          </cell>
        </row>
        <row r="28">
          <cell r="A28" t="str">
            <v>Australia</v>
          </cell>
          <cell r="B28">
            <v>1</v>
          </cell>
        </row>
        <row r="29">
          <cell r="A29" t="str">
            <v>Ecuador</v>
          </cell>
          <cell r="B29">
            <v>1</v>
          </cell>
        </row>
        <row r="30">
          <cell r="A30" t="str">
            <v>Denmark</v>
          </cell>
          <cell r="B30">
            <v>1</v>
          </cell>
        </row>
        <row r="31">
          <cell r="A31" t="str">
            <v>New Zealand</v>
          </cell>
          <cell r="B31">
            <v>1</v>
          </cell>
        </row>
        <row r="32">
          <cell r="A32" t="str">
            <v>Colombia</v>
          </cell>
          <cell r="B32">
            <v>1</v>
          </cell>
        </row>
        <row r="33">
          <cell r="A33" t="str">
            <v>Bangladesh</v>
          </cell>
          <cell r="B33">
            <v>1</v>
          </cell>
        </row>
        <row r="34">
          <cell r="A34" t="str">
            <v>Sweden</v>
          </cell>
          <cell r="B34">
            <v>1</v>
          </cell>
        </row>
        <row r="35">
          <cell r="A35" t="str">
            <v>Argentina</v>
          </cell>
          <cell r="B35">
            <v>1</v>
          </cell>
        </row>
        <row r="36">
          <cell r="A36" t="str">
            <v>Spain</v>
          </cell>
          <cell r="B36">
            <v>1</v>
          </cell>
        </row>
        <row r="37">
          <cell r="A37" t="str">
            <v>Philippines</v>
          </cell>
          <cell r="B37">
            <v>1</v>
          </cell>
        </row>
        <row r="38">
          <cell r="A38" t="str">
            <v>Lithuania</v>
          </cell>
        </row>
        <row r="39">
          <cell r="A39" t="str">
            <v>Ireland</v>
          </cell>
          <cell r="B39">
            <v>1</v>
          </cell>
        </row>
        <row r="40">
          <cell r="A40" t="str">
            <v>United Arab Emirates</v>
          </cell>
          <cell r="B40">
            <v>1</v>
          </cell>
        </row>
        <row r="41">
          <cell r="A41" t="str">
            <v>United Kingdom</v>
          </cell>
          <cell r="B41">
            <v>1</v>
          </cell>
        </row>
        <row r="42">
          <cell r="A42" t="str">
            <v>Serbia</v>
          </cell>
          <cell r="B42">
            <v>1</v>
          </cell>
        </row>
        <row r="43">
          <cell r="A43" t="str">
            <v>Taiwan</v>
          </cell>
          <cell r="B43">
            <v>1</v>
          </cell>
        </row>
        <row r="44">
          <cell r="A44" t="str">
            <v>Japan</v>
          </cell>
          <cell r="B44">
            <v>1</v>
          </cell>
        </row>
        <row r="45">
          <cell r="A45" t="str">
            <v>Brazil</v>
          </cell>
          <cell r="B45">
            <v>1</v>
          </cell>
        </row>
        <row r="46">
          <cell r="A46" t="str">
            <v>Hungary</v>
          </cell>
          <cell r="B46">
            <v>1</v>
          </cell>
        </row>
        <row r="47">
          <cell r="A47" t="str">
            <v>Chile</v>
          </cell>
          <cell r="B47">
            <v>1</v>
          </cell>
        </row>
        <row r="48">
          <cell r="A48" t="str">
            <v>Nigeria</v>
          </cell>
          <cell r="B48">
            <v>1</v>
          </cell>
        </row>
        <row r="49">
          <cell r="A49" t="str">
            <v>Belgium</v>
          </cell>
          <cell r="B49">
            <v>1</v>
          </cell>
        </row>
        <row r="50">
          <cell r="A50" t="str">
            <v>Finland</v>
          </cell>
          <cell r="B50">
            <v>1</v>
          </cell>
        </row>
        <row r="51">
          <cell r="A51" t="str">
            <v>Saudi Arabia</v>
          </cell>
          <cell r="B51">
            <v>1</v>
          </cell>
        </row>
        <row r="52">
          <cell r="A52" t="str">
            <v>Malaysia</v>
          </cell>
          <cell r="B52">
            <v>1</v>
          </cell>
        </row>
        <row r="53">
          <cell r="A53" t="str">
            <v>Italy</v>
          </cell>
          <cell r="B53">
            <v>1</v>
          </cell>
        </row>
        <row r="54">
          <cell r="A54" t="str">
            <v>Romania</v>
          </cell>
          <cell r="B54">
            <v>1</v>
          </cell>
        </row>
        <row r="55">
          <cell r="A55" t="str">
            <v>Portugal</v>
          </cell>
          <cell r="B55">
            <v>1</v>
          </cell>
        </row>
        <row r="56">
          <cell r="A56" t="str">
            <v>Russia</v>
          </cell>
          <cell r="B56">
            <v>1</v>
          </cell>
        </row>
        <row r="57">
          <cell r="A57" t="str">
            <v>France</v>
          </cell>
          <cell r="B57">
            <v>1</v>
          </cell>
        </row>
        <row r="58">
          <cell r="A58" t="str">
            <v>Egypt</v>
          </cell>
          <cell r="B58">
            <v>1</v>
          </cell>
        </row>
        <row r="59">
          <cell r="A59" t="str">
            <v>Poland</v>
          </cell>
          <cell r="B59">
            <v>1</v>
          </cell>
        </row>
        <row r="60">
          <cell r="A60" t="str">
            <v>Ukraine</v>
          </cell>
          <cell r="B60">
            <v>1</v>
          </cell>
        </row>
        <row r="61">
          <cell r="A61" t="str">
            <v>Bulgaria</v>
          </cell>
        </row>
        <row r="62">
          <cell r="A62" t="str">
            <v>Thailand</v>
          </cell>
          <cell r="B62">
            <v>1</v>
          </cell>
        </row>
        <row r="63">
          <cell r="A63" t="str">
            <v>Vietnam</v>
          </cell>
          <cell r="B63">
            <v>1</v>
          </cell>
        </row>
        <row r="64">
          <cell r="A64" t="str">
            <v>Indonesia</v>
          </cell>
          <cell r="B64">
            <v>1</v>
          </cell>
        </row>
        <row r="65">
          <cell r="A65" t="str">
            <v>Venezuela</v>
          </cell>
        </row>
        <row r="66">
          <cell r="A66" t="str">
            <v>Turkey</v>
          </cell>
          <cell r="B66">
            <v>1</v>
          </cell>
        </row>
        <row r="67">
          <cell r="A67" t="str">
            <v>Guernsey</v>
          </cell>
        </row>
        <row r="68">
          <cell r="A68" t="str">
            <v>Andorra</v>
          </cell>
        </row>
        <row r="69">
          <cell r="A69" t="str">
            <v>Isle of Man</v>
          </cell>
        </row>
        <row r="70">
          <cell r="A70" t="str">
            <v>Namibia</v>
          </cell>
        </row>
        <row r="71">
          <cell r="A71" t="str">
            <v>Malta</v>
          </cell>
        </row>
        <row r="72">
          <cell r="A72" t="str">
            <v>Luxembourg</v>
          </cell>
        </row>
        <row r="73">
          <cell r="A73" t="str">
            <v>Martinique</v>
          </cell>
        </row>
        <row r="74">
          <cell r="A74" t="str">
            <v>Guadeloupe</v>
          </cell>
        </row>
        <row r="75">
          <cell r="A75" t="str">
            <v>Macao</v>
          </cell>
        </row>
        <row r="76">
          <cell r="A76" t="str">
            <v>Slovenia</v>
          </cell>
        </row>
        <row r="77">
          <cell r="A77" t="str">
            <v>Kosovo</v>
          </cell>
        </row>
        <row r="78">
          <cell r="A78" t="str">
            <v>Jamaica</v>
          </cell>
        </row>
        <row r="79">
          <cell r="A79" t="str">
            <v>Mauritius</v>
          </cell>
        </row>
        <row r="80">
          <cell r="A80" t="str">
            <v>Ethiopia</v>
          </cell>
        </row>
        <row r="81">
          <cell r="A81" t="str">
            <v>Qatar</v>
          </cell>
        </row>
        <row r="82">
          <cell r="A82" t="str">
            <v>Palestine</v>
          </cell>
        </row>
        <row r="83">
          <cell r="A83" t="str">
            <v>Puerto Rico</v>
          </cell>
        </row>
        <row r="84">
          <cell r="A84" t="str">
            <v>Cyprus</v>
          </cell>
        </row>
        <row r="85">
          <cell r="A85" t="str">
            <v>Albania</v>
          </cell>
        </row>
        <row r="86">
          <cell r="A86" t="str">
            <v>Yemen</v>
          </cell>
        </row>
        <row r="87">
          <cell r="A87" t="str">
            <v>Myanmar (Burma)</v>
          </cell>
        </row>
        <row r="88">
          <cell r="A88" t="str">
            <v>St. Helena</v>
          </cell>
        </row>
        <row r="89">
          <cell r="A89" t="str">
            <v>Sri Lanka</v>
          </cell>
        </row>
        <row r="90">
          <cell r="A90" t="str">
            <v>Lebanon</v>
          </cell>
        </row>
        <row r="91">
          <cell r="A91" t="str">
            <v>Cambodia</v>
          </cell>
        </row>
        <row r="92">
          <cell r="A92" t="str">
            <v>Kenya</v>
          </cell>
        </row>
        <row r="93">
          <cell r="A93" t="str">
            <v>Tunisia</v>
          </cell>
        </row>
        <row r="94">
          <cell r="A94" t="str">
            <v>Honduras</v>
          </cell>
        </row>
        <row r="95">
          <cell r="A95" t="str">
            <v>Moldova</v>
          </cell>
        </row>
        <row r="96">
          <cell r="A96" t="str">
            <v>El Salvador</v>
          </cell>
        </row>
        <row r="97">
          <cell r="A97" t="str">
            <v>Syria</v>
          </cell>
        </row>
        <row r="98">
          <cell r="A98" t="str">
            <v>Panama</v>
          </cell>
        </row>
        <row r="99">
          <cell r="A99" t="str">
            <v>Georgia</v>
          </cell>
        </row>
        <row r="100">
          <cell r="A100" t="str">
            <v>Kazakhstan</v>
          </cell>
        </row>
        <row r="101">
          <cell r="A101" t="str">
            <v>Algeria</v>
          </cell>
        </row>
        <row r="102">
          <cell r="A102" t="str">
            <v>Bolivia</v>
          </cell>
        </row>
        <row r="103">
          <cell r="A103" t="str">
            <v>Uruguay</v>
          </cell>
        </row>
        <row r="104">
          <cell r="A104" t="str">
            <v>Guatemala</v>
          </cell>
        </row>
        <row r="105">
          <cell r="A105" t="str">
            <v>Dominican Republic</v>
          </cell>
        </row>
        <row r="106">
          <cell r="A106" t="str">
            <v>Morocco</v>
          </cell>
        </row>
        <row r="107">
          <cell r="A107" t="str">
            <v>Iran</v>
          </cell>
        </row>
        <row r="108">
          <cell r="A108" t="str">
            <v>Aruba</v>
          </cell>
        </row>
        <row r="109">
          <cell r="A109" t="str">
            <v>Afghanistan</v>
          </cell>
        </row>
        <row r="110">
          <cell r="A110" t="str">
            <v>Angola</v>
          </cell>
        </row>
        <row r="111">
          <cell r="A111" t="str">
            <v>Anguilla</v>
          </cell>
        </row>
        <row r="112">
          <cell r="A112" t="str">
            <v>Ã…land Islands</v>
          </cell>
        </row>
        <row r="113">
          <cell r="A113" t="str">
            <v>Armenia</v>
          </cell>
        </row>
        <row r="114">
          <cell r="A114" t="str">
            <v>American Samoa</v>
          </cell>
        </row>
        <row r="115">
          <cell r="A115" t="str">
            <v>Antarctica</v>
          </cell>
        </row>
        <row r="116">
          <cell r="A116" t="str">
            <v>French Southern Territories</v>
          </cell>
        </row>
        <row r="117">
          <cell r="A117" t="str">
            <v>Antigua &amp; Barbuda</v>
          </cell>
        </row>
        <row r="118">
          <cell r="A118" t="str">
            <v>Azerbaijan</v>
          </cell>
        </row>
        <row r="119">
          <cell r="A119" t="str">
            <v>Burundi</v>
          </cell>
        </row>
        <row r="120">
          <cell r="A120" t="str">
            <v>Benin</v>
          </cell>
        </row>
        <row r="121">
          <cell r="A121" t="str">
            <v>Caribbean Netherlands</v>
          </cell>
        </row>
        <row r="122">
          <cell r="A122" t="str">
            <v>Burkina Faso</v>
          </cell>
        </row>
        <row r="123">
          <cell r="A123" t="str">
            <v>Bahrain</v>
          </cell>
        </row>
        <row r="124">
          <cell r="A124" t="str">
            <v>Bahamas</v>
          </cell>
        </row>
        <row r="125">
          <cell r="A125" t="str">
            <v>Bosnia &amp; Herzegovina</v>
          </cell>
        </row>
        <row r="126">
          <cell r="A126" t="str">
            <v>St. BarthÃ©lemy</v>
          </cell>
        </row>
        <row r="127">
          <cell r="A127" t="str">
            <v>Belize</v>
          </cell>
        </row>
        <row r="128">
          <cell r="A128" t="str">
            <v>Bermuda</v>
          </cell>
        </row>
        <row r="129">
          <cell r="A129" t="str">
            <v>Barbados</v>
          </cell>
        </row>
        <row r="130">
          <cell r="A130" t="str">
            <v>Brunei</v>
          </cell>
        </row>
        <row r="131">
          <cell r="A131" t="str">
            <v>Bhutan</v>
          </cell>
        </row>
        <row r="132">
          <cell r="A132" t="str">
            <v>Bouvet Island</v>
          </cell>
        </row>
        <row r="133">
          <cell r="A133" t="str">
            <v>Botswana</v>
          </cell>
        </row>
        <row r="134">
          <cell r="A134" t="str">
            <v>Central African Republic</v>
          </cell>
        </row>
        <row r="135">
          <cell r="A135" t="str">
            <v>Cocos (Keeling) Islands</v>
          </cell>
        </row>
        <row r="136">
          <cell r="A136" t="str">
            <v>CÃ´te dâ€™Ivoire</v>
          </cell>
        </row>
        <row r="137">
          <cell r="A137" t="str">
            <v>Cameroon</v>
          </cell>
        </row>
        <row r="138">
          <cell r="A138" t="str">
            <v>Congo - Kinshasa</v>
          </cell>
        </row>
        <row r="139">
          <cell r="A139" t="str">
            <v>Congo - Brazzaville</v>
          </cell>
        </row>
        <row r="140">
          <cell r="A140" t="str">
            <v>Cook Islands</v>
          </cell>
        </row>
        <row r="141">
          <cell r="A141" t="str">
            <v>Comoros</v>
          </cell>
        </row>
        <row r="142">
          <cell r="A142" t="str">
            <v>Cape Verde</v>
          </cell>
        </row>
        <row r="143">
          <cell r="A143" t="str">
            <v>Costa Rica</v>
          </cell>
        </row>
        <row r="144">
          <cell r="A144" t="str">
            <v>Cuba</v>
          </cell>
        </row>
        <row r="145">
          <cell r="A145" t="str">
            <v>CuraÃ§ao</v>
          </cell>
        </row>
        <row r="146">
          <cell r="A146" t="str">
            <v>Christmas Island</v>
          </cell>
        </row>
        <row r="147">
          <cell r="A147" t="str">
            <v>Cayman Islands</v>
          </cell>
        </row>
        <row r="148">
          <cell r="A148" t="str">
            <v>Djibouti</v>
          </cell>
        </row>
        <row r="149">
          <cell r="A149" t="str">
            <v>Dominica</v>
          </cell>
        </row>
        <row r="150">
          <cell r="A150" t="str">
            <v>Eritrea</v>
          </cell>
        </row>
        <row r="151">
          <cell r="A151" t="str">
            <v>Western Sahara</v>
          </cell>
        </row>
        <row r="152">
          <cell r="A152" t="str">
            <v>Fiji</v>
          </cell>
        </row>
        <row r="153">
          <cell r="A153" t="str">
            <v>Falkland Islands (Islas Malvinas)</v>
          </cell>
        </row>
        <row r="154">
          <cell r="A154" t="str">
            <v>Faroe Islands</v>
          </cell>
        </row>
        <row r="155">
          <cell r="A155" t="str">
            <v>Micronesia</v>
          </cell>
        </row>
        <row r="156">
          <cell r="A156" t="str">
            <v>Gabon</v>
          </cell>
        </row>
        <row r="157">
          <cell r="A157" t="str">
            <v>Gibraltar</v>
          </cell>
        </row>
        <row r="158">
          <cell r="A158" t="str">
            <v>Guinea</v>
          </cell>
        </row>
        <row r="159">
          <cell r="A159" t="str">
            <v>Gambia</v>
          </cell>
        </row>
        <row r="160">
          <cell r="A160" t="str">
            <v>Guinea-Bissau</v>
          </cell>
        </row>
        <row r="161">
          <cell r="A161" t="str">
            <v>Equatorial Guinea</v>
          </cell>
        </row>
        <row r="162">
          <cell r="A162" t="str">
            <v>Grenada</v>
          </cell>
        </row>
        <row r="163">
          <cell r="A163" t="str">
            <v>Greenland</v>
          </cell>
        </row>
        <row r="164">
          <cell r="A164" t="str">
            <v>French Guiana</v>
          </cell>
        </row>
        <row r="165">
          <cell r="A165" t="str">
            <v>Guam</v>
          </cell>
        </row>
        <row r="166">
          <cell r="A166" t="str">
            <v>Guyana</v>
          </cell>
        </row>
        <row r="167">
          <cell r="A167" t="str">
            <v>Heard &amp; McDonald Islands</v>
          </cell>
        </row>
        <row r="168">
          <cell r="A168" t="str">
            <v>Haiti</v>
          </cell>
        </row>
        <row r="169">
          <cell r="A169" t="str">
            <v>British Indian Ocean Territory</v>
          </cell>
        </row>
        <row r="170">
          <cell r="A170" t="str">
            <v>Iraq</v>
          </cell>
        </row>
        <row r="171">
          <cell r="A171" t="str">
            <v>Iceland</v>
          </cell>
        </row>
        <row r="172">
          <cell r="A172" t="str">
            <v>Jersey</v>
          </cell>
        </row>
        <row r="173">
          <cell r="A173" t="str">
            <v>Jordan</v>
          </cell>
        </row>
        <row r="174">
          <cell r="A174" t="str">
            <v>Kyrgyzstan</v>
          </cell>
        </row>
        <row r="175">
          <cell r="A175" t="str">
            <v>Kiribati</v>
          </cell>
        </row>
        <row r="176">
          <cell r="A176" t="str">
            <v>St. Kitts &amp; Nevis</v>
          </cell>
        </row>
        <row r="177">
          <cell r="A177" t="str">
            <v>Kuwait</v>
          </cell>
        </row>
        <row r="178">
          <cell r="A178" t="str">
            <v>Laos</v>
          </cell>
        </row>
        <row r="179">
          <cell r="A179" t="str">
            <v>Liberia</v>
          </cell>
        </row>
        <row r="180">
          <cell r="A180" t="str">
            <v>Libya</v>
          </cell>
        </row>
        <row r="181">
          <cell r="A181" t="str">
            <v>St. Lucia</v>
          </cell>
        </row>
        <row r="182">
          <cell r="A182" t="str">
            <v>Liechtenstein</v>
          </cell>
        </row>
        <row r="183">
          <cell r="A183" t="str">
            <v>Lesotho</v>
          </cell>
        </row>
        <row r="184">
          <cell r="A184" t="str">
            <v>Latvia</v>
          </cell>
        </row>
        <row r="185">
          <cell r="A185" t="str">
            <v>St. Martin</v>
          </cell>
        </row>
        <row r="186">
          <cell r="A186" t="str">
            <v>Monaco</v>
          </cell>
        </row>
        <row r="187">
          <cell r="A187" t="str">
            <v>Madagascar</v>
          </cell>
        </row>
        <row r="188">
          <cell r="A188" t="str">
            <v>Maldives</v>
          </cell>
        </row>
        <row r="189">
          <cell r="A189" t="str">
            <v>Marshall Islands</v>
          </cell>
        </row>
        <row r="190">
          <cell r="A190" t="str">
            <v>North Macedonia</v>
          </cell>
        </row>
        <row r="191">
          <cell r="A191" t="str">
            <v>Mali</v>
          </cell>
        </row>
        <row r="192">
          <cell r="A192" t="str">
            <v>Montenegro</v>
          </cell>
        </row>
        <row r="193">
          <cell r="A193" t="str">
            <v>Mongolia</v>
          </cell>
        </row>
        <row r="194">
          <cell r="A194" t="str">
            <v>Northern Mariana Islands</v>
          </cell>
        </row>
        <row r="195">
          <cell r="A195" t="str">
            <v>Mozambique</v>
          </cell>
        </row>
        <row r="196">
          <cell r="A196" t="str">
            <v>Mauritania</v>
          </cell>
        </row>
        <row r="197">
          <cell r="A197" t="str">
            <v>Montserrat</v>
          </cell>
        </row>
        <row r="198">
          <cell r="A198" t="str">
            <v>Malawi</v>
          </cell>
        </row>
        <row r="199">
          <cell r="A199" t="str">
            <v>Mayotte</v>
          </cell>
        </row>
        <row r="200">
          <cell r="A200" t="str">
            <v>New Caledonia</v>
          </cell>
        </row>
        <row r="201">
          <cell r="A201" t="str">
            <v>Niger</v>
          </cell>
        </row>
        <row r="202">
          <cell r="A202" t="str">
            <v>Norfolk Island</v>
          </cell>
        </row>
        <row r="203">
          <cell r="A203" t="str">
            <v>Nicaragua</v>
          </cell>
        </row>
        <row r="204">
          <cell r="A204" t="str">
            <v>Niue</v>
          </cell>
        </row>
        <row r="205">
          <cell r="A205" t="str">
            <v>Nauru</v>
          </cell>
        </row>
        <row r="206">
          <cell r="A206" t="str">
            <v>Oman</v>
          </cell>
        </row>
        <row r="207">
          <cell r="A207" t="str">
            <v>Pitcairn Islands</v>
          </cell>
        </row>
        <row r="208">
          <cell r="A208" t="str">
            <v>Palau</v>
          </cell>
        </row>
        <row r="209">
          <cell r="A209" t="str">
            <v>Papua New Guinea</v>
          </cell>
        </row>
        <row r="210">
          <cell r="A210" t="str">
            <v>North Korea</v>
          </cell>
        </row>
        <row r="211">
          <cell r="A211" t="str">
            <v>Paraguay</v>
          </cell>
        </row>
        <row r="212">
          <cell r="A212" t="str">
            <v>French Polynesia</v>
          </cell>
        </row>
        <row r="213">
          <cell r="A213" t="str">
            <v>RÃ©union</v>
          </cell>
        </row>
        <row r="214">
          <cell r="A214" t="str">
            <v>Rwanda</v>
          </cell>
        </row>
        <row r="215">
          <cell r="A215" t="str">
            <v>Sudan</v>
          </cell>
        </row>
        <row r="216">
          <cell r="A216" t="str">
            <v>Senegal</v>
          </cell>
        </row>
        <row r="217">
          <cell r="A217" t="str">
            <v>South Georgia &amp; South Sandwich Islands</v>
          </cell>
        </row>
        <row r="218">
          <cell r="A218" t="str">
            <v>Svalbard &amp; Jan Mayen</v>
          </cell>
        </row>
        <row r="219">
          <cell r="A219" t="str">
            <v>Solomon Islands</v>
          </cell>
        </row>
        <row r="220">
          <cell r="A220" t="str">
            <v>Sierra Leone</v>
          </cell>
        </row>
        <row r="221">
          <cell r="A221" t="str">
            <v>San Marino</v>
          </cell>
        </row>
        <row r="222">
          <cell r="A222" t="str">
            <v>Somalia</v>
          </cell>
        </row>
        <row r="223">
          <cell r="A223" t="str">
            <v>St. Pierre &amp; Miquelon</v>
          </cell>
        </row>
        <row r="224">
          <cell r="A224" t="str">
            <v>South Sudan</v>
          </cell>
        </row>
        <row r="225">
          <cell r="A225" t="str">
            <v>SÃ£o TomÃ© &amp; PrÃ­ncipe</v>
          </cell>
        </row>
        <row r="226">
          <cell r="A226" t="str">
            <v>Suriname</v>
          </cell>
        </row>
        <row r="227">
          <cell r="A227" t="str">
            <v>Slovakia</v>
          </cell>
        </row>
        <row r="228">
          <cell r="A228" t="str">
            <v>Eswatini</v>
          </cell>
        </row>
        <row r="229">
          <cell r="A229" t="str">
            <v>Sint Maarten</v>
          </cell>
        </row>
        <row r="230">
          <cell r="A230" t="str">
            <v>Seychelles</v>
          </cell>
        </row>
        <row r="231">
          <cell r="A231" t="str">
            <v>Turks &amp; Caicos Islands</v>
          </cell>
        </row>
        <row r="232">
          <cell r="A232" t="str">
            <v>Chad</v>
          </cell>
        </row>
        <row r="233">
          <cell r="A233" t="str">
            <v>Togo</v>
          </cell>
        </row>
        <row r="234">
          <cell r="A234" t="str">
            <v>Tajikistan</v>
          </cell>
        </row>
        <row r="235">
          <cell r="A235" t="str">
            <v>Tokelau</v>
          </cell>
        </row>
        <row r="236">
          <cell r="A236" t="str">
            <v>Turkmenistan</v>
          </cell>
        </row>
        <row r="237">
          <cell r="A237" t="str">
            <v>Timor-Leste</v>
          </cell>
        </row>
        <row r="238">
          <cell r="A238" t="str">
            <v>Tonga</v>
          </cell>
        </row>
        <row r="239">
          <cell r="A239" t="str">
            <v>Trinidad &amp; Tobago</v>
          </cell>
        </row>
        <row r="240">
          <cell r="A240" t="str">
            <v>Tuvalu</v>
          </cell>
        </row>
        <row r="241">
          <cell r="A241" t="str">
            <v>Tanzania</v>
          </cell>
        </row>
        <row r="242">
          <cell r="A242" t="str">
            <v>Uganda</v>
          </cell>
        </row>
        <row r="243">
          <cell r="A243" t="str">
            <v>U.S. Outlying Islands</v>
          </cell>
        </row>
        <row r="244">
          <cell r="A244" t="str">
            <v>Uzbekistan</v>
          </cell>
        </row>
        <row r="245">
          <cell r="A245" t="str">
            <v>Vatican City</v>
          </cell>
        </row>
        <row r="246">
          <cell r="A246" t="str">
            <v>St. Vincent &amp; Grenadines</v>
          </cell>
        </row>
        <row r="247">
          <cell r="A247" t="str">
            <v>British Virgin Islands</v>
          </cell>
        </row>
        <row r="248">
          <cell r="A248" t="str">
            <v>U.S. Virgin Islands</v>
          </cell>
        </row>
        <row r="249">
          <cell r="A249" t="str">
            <v>Vanuatu</v>
          </cell>
        </row>
        <row r="250">
          <cell r="A250" t="str">
            <v>Wallis &amp; Futuna</v>
          </cell>
        </row>
        <row r="251">
          <cell r="A251" t="str">
            <v>Samoa</v>
          </cell>
        </row>
        <row r="252">
          <cell r="A252" t="str">
            <v>Zambia</v>
          </cell>
        </row>
        <row r="253">
          <cell r="A253" t="str">
            <v>Zimbabwe</v>
          </cell>
        </row>
      </sheetData>
    </sheetDataSet>
  </externalBook>
</externalLink>
</file>

<file path=xl/externalLinks/externalLink1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67)"/>
    </sheetNames>
    <sheetDataSet>
      <sheetData sheetId="0" refreshError="1">
        <row r="1">
          <cell r="A1" t="str">
            <v>Category: All categories</v>
          </cell>
        </row>
        <row r="3">
          <cell r="A3" t="str">
            <v>Country</v>
          </cell>
          <cell r="B3" t="str">
            <v>P versus NP problem: (2018)</v>
          </cell>
          <cell r="C3" t="str">
            <v>Polynomial hierarchy: (2018)</v>
          </cell>
        </row>
        <row r="4">
          <cell r="A4" t="str">
            <v>China</v>
          </cell>
          <cell r="B4">
            <v>1</v>
          </cell>
        </row>
        <row r="5">
          <cell r="A5" t="str">
            <v>South Korea</v>
          </cell>
          <cell r="B5">
            <v>1</v>
          </cell>
        </row>
        <row r="6">
          <cell r="A6" t="str">
            <v>Austria</v>
          </cell>
          <cell r="B6">
            <v>1</v>
          </cell>
        </row>
        <row r="7">
          <cell r="A7" t="str">
            <v>Germany</v>
          </cell>
          <cell r="B7">
            <v>1</v>
          </cell>
        </row>
        <row r="8">
          <cell r="A8" t="str">
            <v>Hong Kong</v>
          </cell>
          <cell r="B8">
            <v>1</v>
          </cell>
        </row>
        <row r="9">
          <cell r="A9" t="str">
            <v>Norway</v>
          </cell>
          <cell r="B9">
            <v>1</v>
          </cell>
        </row>
        <row r="10">
          <cell r="A10" t="str">
            <v>Singapore</v>
          </cell>
          <cell r="B10">
            <v>1</v>
          </cell>
        </row>
        <row r="11">
          <cell r="A11" t="str">
            <v>Israel</v>
          </cell>
          <cell r="B11">
            <v>1</v>
          </cell>
        </row>
        <row r="12">
          <cell r="A12" t="str">
            <v>Switzerland</v>
          </cell>
          <cell r="B12">
            <v>1</v>
          </cell>
        </row>
        <row r="13">
          <cell r="A13" t="str">
            <v>Ghana</v>
          </cell>
        </row>
        <row r="14">
          <cell r="A14" t="str">
            <v>United States</v>
          </cell>
          <cell r="B14">
            <v>0.99</v>
          </cell>
          <cell r="C14">
            <v>0.01</v>
          </cell>
        </row>
        <row r="15">
          <cell r="A15" t="str">
            <v>Peru</v>
          </cell>
          <cell r="B15">
            <v>1</v>
          </cell>
        </row>
        <row r="16">
          <cell r="A16" t="str">
            <v>Croatia</v>
          </cell>
          <cell r="B16">
            <v>1</v>
          </cell>
        </row>
        <row r="17">
          <cell r="A17" t="str">
            <v>Czechia</v>
          </cell>
          <cell r="B17">
            <v>1</v>
          </cell>
        </row>
        <row r="18">
          <cell r="A18" t="str">
            <v>South Africa</v>
          </cell>
          <cell r="B18">
            <v>1</v>
          </cell>
        </row>
        <row r="19">
          <cell r="A19" t="str">
            <v>India</v>
          </cell>
          <cell r="B19">
            <v>1</v>
          </cell>
        </row>
        <row r="20">
          <cell r="A20" t="str">
            <v>Estonia</v>
          </cell>
        </row>
        <row r="21">
          <cell r="A21" t="str">
            <v>Belarus</v>
          </cell>
          <cell r="B21">
            <v>1</v>
          </cell>
        </row>
        <row r="22">
          <cell r="A22" t="str">
            <v>Pakistan</v>
          </cell>
          <cell r="B22">
            <v>1</v>
          </cell>
        </row>
        <row r="23">
          <cell r="A23" t="str">
            <v>Canada</v>
          </cell>
          <cell r="B23">
            <v>1</v>
          </cell>
        </row>
        <row r="24">
          <cell r="A24" t="str">
            <v>Mexico</v>
          </cell>
          <cell r="B24">
            <v>1</v>
          </cell>
        </row>
        <row r="25">
          <cell r="A25" t="str">
            <v>Nepal</v>
          </cell>
        </row>
        <row r="26">
          <cell r="A26" t="str">
            <v>Greece</v>
          </cell>
          <cell r="B26">
            <v>1</v>
          </cell>
        </row>
        <row r="27">
          <cell r="A27" t="str">
            <v>Netherlands</v>
          </cell>
          <cell r="B27">
            <v>1</v>
          </cell>
        </row>
        <row r="28">
          <cell r="A28" t="str">
            <v>Australia</v>
          </cell>
          <cell r="B28">
            <v>1</v>
          </cell>
        </row>
        <row r="29">
          <cell r="A29" t="str">
            <v>Ecuador</v>
          </cell>
          <cell r="B29">
            <v>1</v>
          </cell>
        </row>
        <row r="30">
          <cell r="A30" t="str">
            <v>Denmark</v>
          </cell>
          <cell r="B30">
            <v>1</v>
          </cell>
        </row>
        <row r="31">
          <cell r="A31" t="str">
            <v>New Zealand</v>
          </cell>
          <cell r="B31">
            <v>1</v>
          </cell>
        </row>
        <row r="32">
          <cell r="A32" t="str">
            <v>Colombia</v>
          </cell>
          <cell r="B32">
            <v>1</v>
          </cell>
        </row>
        <row r="33">
          <cell r="A33" t="str">
            <v>Bangladesh</v>
          </cell>
          <cell r="B33">
            <v>1</v>
          </cell>
        </row>
        <row r="34">
          <cell r="A34" t="str">
            <v>Sweden</v>
          </cell>
          <cell r="B34">
            <v>1</v>
          </cell>
        </row>
        <row r="35">
          <cell r="A35" t="str">
            <v>Argentina</v>
          </cell>
          <cell r="B35">
            <v>1</v>
          </cell>
        </row>
        <row r="36">
          <cell r="A36" t="str">
            <v>Spain</v>
          </cell>
          <cell r="B36">
            <v>1</v>
          </cell>
        </row>
        <row r="37">
          <cell r="A37" t="str">
            <v>Philippines</v>
          </cell>
          <cell r="B37">
            <v>1</v>
          </cell>
        </row>
        <row r="38">
          <cell r="A38" t="str">
            <v>Lithuania</v>
          </cell>
        </row>
        <row r="39">
          <cell r="A39" t="str">
            <v>Ireland</v>
          </cell>
          <cell r="B39">
            <v>1</v>
          </cell>
        </row>
        <row r="40">
          <cell r="A40" t="str">
            <v>United Arab Emirates</v>
          </cell>
          <cell r="B40">
            <v>1</v>
          </cell>
        </row>
        <row r="41">
          <cell r="A41" t="str">
            <v>United Kingdom</v>
          </cell>
          <cell r="B41">
            <v>1</v>
          </cell>
        </row>
        <row r="42">
          <cell r="A42" t="str">
            <v>Serbia</v>
          </cell>
          <cell r="B42">
            <v>1</v>
          </cell>
        </row>
        <row r="43">
          <cell r="A43" t="str">
            <v>Taiwan</v>
          </cell>
          <cell r="B43">
            <v>1</v>
          </cell>
        </row>
        <row r="44">
          <cell r="A44" t="str">
            <v>Japan</v>
          </cell>
          <cell r="B44">
            <v>1</v>
          </cell>
        </row>
        <row r="45">
          <cell r="A45" t="str">
            <v>Brazil</v>
          </cell>
          <cell r="B45">
            <v>1</v>
          </cell>
        </row>
        <row r="46">
          <cell r="A46" t="str">
            <v>Hungary</v>
          </cell>
          <cell r="B46">
            <v>1</v>
          </cell>
        </row>
        <row r="47">
          <cell r="A47" t="str">
            <v>Chile</v>
          </cell>
          <cell r="B47">
            <v>1</v>
          </cell>
        </row>
        <row r="48">
          <cell r="A48" t="str">
            <v>Nigeria</v>
          </cell>
          <cell r="B48">
            <v>1</v>
          </cell>
        </row>
        <row r="49">
          <cell r="A49" t="str">
            <v>Belgium</v>
          </cell>
          <cell r="B49">
            <v>1</v>
          </cell>
        </row>
        <row r="50">
          <cell r="A50" t="str">
            <v>Finland</v>
          </cell>
          <cell r="B50">
            <v>1</v>
          </cell>
        </row>
        <row r="51">
          <cell r="A51" t="str">
            <v>Saudi Arabia</v>
          </cell>
          <cell r="B51">
            <v>1</v>
          </cell>
        </row>
        <row r="52">
          <cell r="A52" t="str">
            <v>Malaysia</v>
          </cell>
          <cell r="B52">
            <v>1</v>
          </cell>
        </row>
        <row r="53">
          <cell r="A53" t="str">
            <v>Italy</v>
          </cell>
          <cell r="B53">
            <v>1</v>
          </cell>
        </row>
        <row r="54">
          <cell r="A54" t="str">
            <v>Romania</v>
          </cell>
          <cell r="B54">
            <v>1</v>
          </cell>
        </row>
        <row r="55">
          <cell r="A55" t="str">
            <v>Portugal</v>
          </cell>
          <cell r="B55">
            <v>1</v>
          </cell>
        </row>
        <row r="56">
          <cell r="A56" t="str">
            <v>Russia</v>
          </cell>
          <cell r="B56">
            <v>0.74</v>
          </cell>
          <cell r="C56">
            <v>0.26</v>
          </cell>
        </row>
        <row r="57">
          <cell r="A57" t="str">
            <v>France</v>
          </cell>
          <cell r="B57">
            <v>1</v>
          </cell>
        </row>
        <row r="58">
          <cell r="A58" t="str">
            <v>Egypt</v>
          </cell>
          <cell r="B58">
            <v>1</v>
          </cell>
        </row>
        <row r="59">
          <cell r="A59" t="str">
            <v>Poland</v>
          </cell>
          <cell r="B59">
            <v>1</v>
          </cell>
        </row>
        <row r="60">
          <cell r="A60" t="str">
            <v>Ukraine</v>
          </cell>
          <cell r="B60">
            <v>1</v>
          </cell>
        </row>
        <row r="61">
          <cell r="A61" t="str">
            <v>Bulgaria</v>
          </cell>
        </row>
        <row r="62">
          <cell r="A62" t="str">
            <v>Thailand</v>
          </cell>
          <cell r="B62">
            <v>1</v>
          </cell>
        </row>
        <row r="63">
          <cell r="A63" t="str">
            <v>Vietnam</v>
          </cell>
          <cell r="B63">
            <v>1</v>
          </cell>
        </row>
        <row r="64">
          <cell r="A64" t="str">
            <v>Indonesia</v>
          </cell>
          <cell r="B64">
            <v>1</v>
          </cell>
        </row>
        <row r="65">
          <cell r="A65" t="str">
            <v>Venezuela</v>
          </cell>
        </row>
        <row r="66">
          <cell r="A66" t="str">
            <v>Turkey</v>
          </cell>
          <cell r="B66">
            <v>1</v>
          </cell>
        </row>
        <row r="67">
          <cell r="A67" t="str">
            <v>Guernsey</v>
          </cell>
        </row>
        <row r="68">
          <cell r="A68" t="str">
            <v>Andorra</v>
          </cell>
        </row>
        <row r="69">
          <cell r="A69" t="str">
            <v>Isle of Man</v>
          </cell>
        </row>
        <row r="70">
          <cell r="A70" t="str">
            <v>Namibia</v>
          </cell>
        </row>
        <row r="71">
          <cell r="A71" t="str">
            <v>Malta</v>
          </cell>
        </row>
        <row r="72">
          <cell r="A72" t="str">
            <v>Luxembourg</v>
          </cell>
        </row>
        <row r="73">
          <cell r="A73" t="str">
            <v>Martinique</v>
          </cell>
        </row>
        <row r="74">
          <cell r="A74" t="str">
            <v>Guadeloupe</v>
          </cell>
        </row>
        <row r="75">
          <cell r="A75" t="str">
            <v>Macao</v>
          </cell>
        </row>
        <row r="76">
          <cell r="A76" t="str">
            <v>Slovenia</v>
          </cell>
        </row>
        <row r="77">
          <cell r="A77" t="str">
            <v>Kosovo</v>
          </cell>
        </row>
        <row r="78">
          <cell r="A78" t="str">
            <v>Jamaica</v>
          </cell>
        </row>
        <row r="79">
          <cell r="A79" t="str">
            <v>Mauritius</v>
          </cell>
        </row>
        <row r="80">
          <cell r="A80" t="str">
            <v>Ethiopia</v>
          </cell>
        </row>
        <row r="81">
          <cell r="A81" t="str">
            <v>Qatar</v>
          </cell>
        </row>
        <row r="82">
          <cell r="A82" t="str">
            <v>Palestine</v>
          </cell>
        </row>
        <row r="83">
          <cell r="A83" t="str">
            <v>Puerto Rico</v>
          </cell>
        </row>
        <row r="84">
          <cell r="A84" t="str">
            <v>Cyprus</v>
          </cell>
        </row>
        <row r="85">
          <cell r="A85" t="str">
            <v>Albania</v>
          </cell>
        </row>
        <row r="86">
          <cell r="A86" t="str">
            <v>Yemen</v>
          </cell>
        </row>
        <row r="87">
          <cell r="A87" t="str">
            <v>Myanmar (Burma)</v>
          </cell>
        </row>
        <row r="88">
          <cell r="A88" t="str">
            <v>St. Helena</v>
          </cell>
        </row>
        <row r="89">
          <cell r="A89" t="str">
            <v>Sri Lanka</v>
          </cell>
        </row>
        <row r="90">
          <cell r="A90" t="str">
            <v>Lebanon</v>
          </cell>
        </row>
        <row r="91">
          <cell r="A91" t="str">
            <v>Cambodia</v>
          </cell>
        </row>
        <row r="92">
          <cell r="A92" t="str">
            <v>Kenya</v>
          </cell>
        </row>
        <row r="93">
          <cell r="A93" t="str">
            <v>Tunisia</v>
          </cell>
        </row>
        <row r="94">
          <cell r="A94" t="str">
            <v>Honduras</v>
          </cell>
        </row>
        <row r="95">
          <cell r="A95" t="str">
            <v>Moldova</v>
          </cell>
        </row>
        <row r="96">
          <cell r="A96" t="str">
            <v>El Salvador</v>
          </cell>
        </row>
        <row r="97">
          <cell r="A97" t="str">
            <v>Syria</v>
          </cell>
        </row>
        <row r="98">
          <cell r="A98" t="str">
            <v>Panama</v>
          </cell>
        </row>
        <row r="99">
          <cell r="A99" t="str">
            <v>Georgia</v>
          </cell>
        </row>
        <row r="100">
          <cell r="A100" t="str">
            <v>Kazakhstan</v>
          </cell>
        </row>
        <row r="101">
          <cell r="A101" t="str">
            <v>Algeria</v>
          </cell>
        </row>
        <row r="102">
          <cell r="A102" t="str">
            <v>Bolivia</v>
          </cell>
        </row>
        <row r="103">
          <cell r="A103" t="str">
            <v>Uruguay</v>
          </cell>
        </row>
        <row r="104">
          <cell r="A104" t="str">
            <v>Guatemala</v>
          </cell>
        </row>
        <row r="105">
          <cell r="A105" t="str">
            <v>Dominican Republic</v>
          </cell>
        </row>
        <row r="106">
          <cell r="A106" t="str">
            <v>Morocco</v>
          </cell>
        </row>
        <row r="107">
          <cell r="A107" t="str">
            <v>Iran</v>
          </cell>
        </row>
        <row r="108">
          <cell r="A108" t="str">
            <v>Aruba</v>
          </cell>
        </row>
        <row r="109">
          <cell r="A109" t="str">
            <v>Afghanistan</v>
          </cell>
        </row>
        <row r="110">
          <cell r="A110" t="str">
            <v>Angola</v>
          </cell>
        </row>
        <row r="111">
          <cell r="A111" t="str">
            <v>Anguilla</v>
          </cell>
        </row>
        <row r="112">
          <cell r="A112" t="str">
            <v>Ã…land Islands</v>
          </cell>
        </row>
        <row r="113">
          <cell r="A113" t="str">
            <v>Armenia</v>
          </cell>
        </row>
        <row r="114">
          <cell r="A114" t="str">
            <v>American Samoa</v>
          </cell>
        </row>
        <row r="115">
          <cell r="A115" t="str">
            <v>Antarctica</v>
          </cell>
        </row>
        <row r="116">
          <cell r="A116" t="str">
            <v>French Southern Territories</v>
          </cell>
        </row>
        <row r="117">
          <cell r="A117" t="str">
            <v>Antigua &amp; Barbuda</v>
          </cell>
        </row>
        <row r="118">
          <cell r="A118" t="str">
            <v>Azerbaijan</v>
          </cell>
        </row>
        <row r="119">
          <cell r="A119" t="str">
            <v>Burundi</v>
          </cell>
        </row>
        <row r="120">
          <cell r="A120" t="str">
            <v>Benin</v>
          </cell>
        </row>
        <row r="121">
          <cell r="A121" t="str">
            <v>Caribbean Netherlands</v>
          </cell>
        </row>
        <row r="122">
          <cell r="A122" t="str">
            <v>Burkina Faso</v>
          </cell>
        </row>
        <row r="123">
          <cell r="A123" t="str">
            <v>Bahrain</v>
          </cell>
        </row>
        <row r="124">
          <cell r="A124" t="str">
            <v>Bahamas</v>
          </cell>
        </row>
        <row r="125">
          <cell r="A125" t="str">
            <v>Bosnia &amp; Herzegovina</v>
          </cell>
        </row>
        <row r="126">
          <cell r="A126" t="str">
            <v>St. BarthÃ©lemy</v>
          </cell>
        </row>
        <row r="127">
          <cell r="A127" t="str">
            <v>Belize</v>
          </cell>
        </row>
        <row r="128">
          <cell r="A128" t="str">
            <v>Bermuda</v>
          </cell>
        </row>
        <row r="129">
          <cell r="A129" t="str">
            <v>Barbados</v>
          </cell>
        </row>
        <row r="130">
          <cell r="A130" t="str">
            <v>Brunei</v>
          </cell>
        </row>
        <row r="131">
          <cell r="A131" t="str">
            <v>Bhutan</v>
          </cell>
        </row>
        <row r="132">
          <cell r="A132" t="str">
            <v>Bouvet Island</v>
          </cell>
        </row>
        <row r="133">
          <cell r="A133" t="str">
            <v>Botswana</v>
          </cell>
        </row>
        <row r="134">
          <cell r="A134" t="str">
            <v>Central African Republic</v>
          </cell>
        </row>
        <row r="135">
          <cell r="A135" t="str">
            <v>Cocos (Keeling) Islands</v>
          </cell>
        </row>
        <row r="136">
          <cell r="A136" t="str">
            <v>CÃ´te dâ€™Ivoire</v>
          </cell>
        </row>
        <row r="137">
          <cell r="A137" t="str">
            <v>Cameroon</v>
          </cell>
        </row>
        <row r="138">
          <cell r="A138" t="str">
            <v>Congo - Kinshasa</v>
          </cell>
        </row>
        <row r="139">
          <cell r="A139" t="str">
            <v>Congo - Brazzaville</v>
          </cell>
        </row>
        <row r="140">
          <cell r="A140" t="str">
            <v>Cook Islands</v>
          </cell>
        </row>
        <row r="141">
          <cell r="A141" t="str">
            <v>Comoros</v>
          </cell>
        </row>
        <row r="142">
          <cell r="A142" t="str">
            <v>Cape Verde</v>
          </cell>
        </row>
        <row r="143">
          <cell r="A143" t="str">
            <v>Costa Rica</v>
          </cell>
        </row>
        <row r="144">
          <cell r="A144" t="str">
            <v>Cuba</v>
          </cell>
        </row>
        <row r="145">
          <cell r="A145" t="str">
            <v>CuraÃ§ao</v>
          </cell>
        </row>
        <row r="146">
          <cell r="A146" t="str">
            <v>Christmas Island</v>
          </cell>
        </row>
        <row r="147">
          <cell r="A147" t="str">
            <v>Cayman Islands</v>
          </cell>
        </row>
        <row r="148">
          <cell r="A148" t="str">
            <v>Djibouti</v>
          </cell>
        </row>
        <row r="149">
          <cell r="A149" t="str">
            <v>Dominica</v>
          </cell>
        </row>
        <row r="150">
          <cell r="A150" t="str">
            <v>Eritrea</v>
          </cell>
        </row>
        <row r="151">
          <cell r="A151" t="str">
            <v>Western Sahara</v>
          </cell>
        </row>
        <row r="152">
          <cell r="A152" t="str">
            <v>Fiji</v>
          </cell>
        </row>
        <row r="153">
          <cell r="A153" t="str">
            <v>Falkland Islands (Islas Malvinas)</v>
          </cell>
        </row>
        <row r="154">
          <cell r="A154" t="str">
            <v>Faroe Islands</v>
          </cell>
        </row>
        <row r="155">
          <cell r="A155" t="str">
            <v>Micronesia</v>
          </cell>
        </row>
        <row r="156">
          <cell r="A156" t="str">
            <v>Gabon</v>
          </cell>
        </row>
        <row r="157">
          <cell r="A157" t="str">
            <v>Gibraltar</v>
          </cell>
        </row>
        <row r="158">
          <cell r="A158" t="str">
            <v>Guinea</v>
          </cell>
        </row>
        <row r="159">
          <cell r="A159" t="str">
            <v>Gambia</v>
          </cell>
        </row>
        <row r="160">
          <cell r="A160" t="str">
            <v>Guinea-Bissau</v>
          </cell>
        </row>
        <row r="161">
          <cell r="A161" t="str">
            <v>Equatorial Guinea</v>
          </cell>
        </row>
        <row r="162">
          <cell r="A162" t="str">
            <v>Grenada</v>
          </cell>
        </row>
        <row r="163">
          <cell r="A163" t="str">
            <v>Greenland</v>
          </cell>
        </row>
        <row r="164">
          <cell r="A164" t="str">
            <v>French Guiana</v>
          </cell>
        </row>
        <row r="165">
          <cell r="A165" t="str">
            <v>Guam</v>
          </cell>
        </row>
        <row r="166">
          <cell r="A166" t="str">
            <v>Guyana</v>
          </cell>
        </row>
        <row r="167">
          <cell r="A167" t="str">
            <v>Heard &amp; McDonald Islands</v>
          </cell>
        </row>
        <row r="168">
          <cell r="A168" t="str">
            <v>Haiti</v>
          </cell>
        </row>
        <row r="169">
          <cell r="A169" t="str">
            <v>British Indian Ocean Territory</v>
          </cell>
        </row>
        <row r="170">
          <cell r="A170" t="str">
            <v>Iraq</v>
          </cell>
        </row>
        <row r="171">
          <cell r="A171" t="str">
            <v>Iceland</v>
          </cell>
        </row>
        <row r="172">
          <cell r="A172" t="str">
            <v>Jersey</v>
          </cell>
        </row>
        <row r="173">
          <cell r="A173" t="str">
            <v>Jordan</v>
          </cell>
        </row>
        <row r="174">
          <cell r="A174" t="str">
            <v>Kyrgyzstan</v>
          </cell>
        </row>
        <row r="175">
          <cell r="A175" t="str">
            <v>Kiribati</v>
          </cell>
        </row>
        <row r="176">
          <cell r="A176" t="str">
            <v>St. Kitts &amp; Nevis</v>
          </cell>
        </row>
        <row r="177">
          <cell r="A177" t="str">
            <v>Kuwait</v>
          </cell>
        </row>
        <row r="178">
          <cell r="A178" t="str">
            <v>Laos</v>
          </cell>
        </row>
        <row r="179">
          <cell r="A179" t="str">
            <v>Liberia</v>
          </cell>
        </row>
        <row r="180">
          <cell r="A180" t="str">
            <v>Libya</v>
          </cell>
        </row>
        <row r="181">
          <cell r="A181" t="str">
            <v>St. Lucia</v>
          </cell>
        </row>
        <row r="182">
          <cell r="A182" t="str">
            <v>Liechtenstein</v>
          </cell>
        </row>
        <row r="183">
          <cell r="A183" t="str">
            <v>Lesotho</v>
          </cell>
        </row>
        <row r="184">
          <cell r="A184" t="str">
            <v>Latvia</v>
          </cell>
        </row>
        <row r="185">
          <cell r="A185" t="str">
            <v>St. Martin</v>
          </cell>
        </row>
        <row r="186">
          <cell r="A186" t="str">
            <v>Monaco</v>
          </cell>
        </row>
        <row r="187">
          <cell r="A187" t="str">
            <v>Madagascar</v>
          </cell>
        </row>
        <row r="188">
          <cell r="A188" t="str">
            <v>Maldives</v>
          </cell>
        </row>
        <row r="189">
          <cell r="A189" t="str">
            <v>Marshall Islands</v>
          </cell>
        </row>
        <row r="190">
          <cell r="A190" t="str">
            <v>North Macedonia</v>
          </cell>
        </row>
        <row r="191">
          <cell r="A191" t="str">
            <v>Mali</v>
          </cell>
        </row>
        <row r="192">
          <cell r="A192" t="str">
            <v>Montenegro</v>
          </cell>
        </row>
        <row r="193">
          <cell r="A193" t="str">
            <v>Mongolia</v>
          </cell>
        </row>
        <row r="194">
          <cell r="A194" t="str">
            <v>Northern Mariana Islands</v>
          </cell>
        </row>
        <row r="195">
          <cell r="A195" t="str">
            <v>Mozambique</v>
          </cell>
        </row>
        <row r="196">
          <cell r="A196" t="str">
            <v>Mauritania</v>
          </cell>
        </row>
        <row r="197">
          <cell r="A197" t="str">
            <v>Montserrat</v>
          </cell>
        </row>
        <row r="198">
          <cell r="A198" t="str">
            <v>Malawi</v>
          </cell>
        </row>
        <row r="199">
          <cell r="A199" t="str">
            <v>Mayotte</v>
          </cell>
        </row>
        <row r="200">
          <cell r="A200" t="str">
            <v>New Caledonia</v>
          </cell>
        </row>
        <row r="201">
          <cell r="A201" t="str">
            <v>Niger</v>
          </cell>
        </row>
        <row r="202">
          <cell r="A202" t="str">
            <v>Norfolk Island</v>
          </cell>
        </row>
        <row r="203">
          <cell r="A203" t="str">
            <v>Nicaragua</v>
          </cell>
        </row>
        <row r="204">
          <cell r="A204" t="str">
            <v>Niue</v>
          </cell>
        </row>
        <row r="205">
          <cell r="A205" t="str">
            <v>Nauru</v>
          </cell>
        </row>
        <row r="206">
          <cell r="A206" t="str">
            <v>Oman</v>
          </cell>
        </row>
        <row r="207">
          <cell r="A207" t="str">
            <v>Pitcairn Islands</v>
          </cell>
        </row>
        <row r="208">
          <cell r="A208" t="str">
            <v>Palau</v>
          </cell>
        </row>
        <row r="209">
          <cell r="A209" t="str">
            <v>Papua New Guinea</v>
          </cell>
        </row>
        <row r="210">
          <cell r="A210" t="str">
            <v>North Korea</v>
          </cell>
        </row>
        <row r="211">
          <cell r="A211" t="str">
            <v>Paraguay</v>
          </cell>
        </row>
        <row r="212">
          <cell r="A212" t="str">
            <v>French Polynesia</v>
          </cell>
        </row>
        <row r="213">
          <cell r="A213" t="str">
            <v>RÃ©union</v>
          </cell>
        </row>
        <row r="214">
          <cell r="A214" t="str">
            <v>Rwanda</v>
          </cell>
        </row>
        <row r="215">
          <cell r="A215" t="str">
            <v>Sudan</v>
          </cell>
        </row>
        <row r="216">
          <cell r="A216" t="str">
            <v>Senegal</v>
          </cell>
        </row>
        <row r="217">
          <cell r="A217" t="str">
            <v>South Georgia &amp; South Sandwich Islands</v>
          </cell>
        </row>
        <row r="218">
          <cell r="A218" t="str">
            <v>Svalbard &amp; Jan Mayen</v>
          </cell>
        </row>
        <row r="219">
          <cell r="A219" t="str">
            <v>Solomon Islands</v>
          </cell>
        </row>
        <row r="220">
          <cell r="A220" t="str">
            <v>Sierra Leone</v>
          </cell>
        </row>
        <row r="221">
          <cell r="A221" t="str">
            <v>San Marino</v>
          </cell>
        </row>
        <row r="222">
          <cell r="A222" t="str">
            <v>Somalia</v>
          </cell>
        </row>
        <row r="223">
          <cell r="A223" t="str">
            <v>St. Pierre &amp; Miquelon</v>
          </cell>
        </row>
        <row r="224">
          <cell r="A224" t="str">
            <v>South Sudan</v>
          </cell>
        </row>
        <row r="225">
          <cell r="A225" t="str">
            <v>SÃ£o TomÃ© &amp; PrÃ­ncipe</v>
          </cell>
        </row>
        <row r="226">
          <cell r="A226" t="str">
            <v>Suriname</v>
          </cell>
        </row>
        <row r="227">
          <cell r="A227" t="str">
            <v>Slovakia</v>
          </cell>
        </row>
        <row r="228">
          <cell r="A228" t="str">
            <v>Eswatini</v>
          </cell>
        </row>
        <row r="229">
          <cell r="A229" t="str">
            <v>Sint Maarten</v>
          </cell>
        </row>
        <row r="230">
          <cell r="A230" t="str">
            <v>Seychelles</v>
          </cell>
        </row>
        <row r="231">
          <cell r="A231" t="str">
            <v>Turks &amp; Caicos Islands</v>
          </cell>
        </row>
        <row r="232">
          <cell r="A232" t="str">
            <v>Chad</v>
          </cell>
        </row>
        <row r="233">
          <cell r="A233" t="str">
            <v>Togo</v>
          </cell>
        </row>
        <row r="234">
          <cell r="A234" t="str">
            <v>Tajikistan</v>
          </cell>
        </row>
        <row r="235">
          <cell r="A235" t="str">
            <v>Tokelau</v>
          </cell>
        </row>
        <row r="236">
          <cell r="A236" t="str">
            <v>Turkmenistan</v>
          </cell>
        </row>
        <row r="237">
          <cell r="A237" t="str">
            <v>Timor-Leste</v>
          </cell>
        </row>
        <row r="238">
          <cell r="A238" t="str">
            <v>Tonga</v>
          </cell>
        </row>
        <row r="239">
          <cell r="A239" t="str">
            <v>Trinidad &amp; Tobago</v>
          </cell>
        </row>
        <row r="240">
          <cell r="A240" t="str">
            <v>Tuvalu</v>
          </cell>
        </row>
        <row r="241">
          <cell r="A241" t="str">
            <v>Tanzania</v>
          </cell>
        </row>
        <row r="242">
          <cell r="A242" t="str">
            <v>Uganda</v>
          </cell>
        </row>
        <row r="243">
          <cell r="A243" t="str">
            <v>U.S. Outlying Islands</v>
          </cell>
        </row>
        <row r="244">
          <cell r="A244" t="str">
            <v>Uzbekistan</v>
          </cell>
        </row>
        <row r="245">
          <cell r="A245" t="str">
            <v>Vatican City</v>
          </cell>
        </row>
        <row r="246">
          <cell r="A246" t="str">
            <v>St. Vincent &amp; Grenadines</v>
          </cell>
        </row>
        <row r="247">
          <cell r="A247" t="str">
            <v>British Virgin Islands</v>
          </cell>
        </row>
        <row r="248">
          <cell r="A248" t="str">
            <v>U.S. Virgin Islands</v>
          </cell>
        </row>
        <row r="249">
          <cell r="A249" t="str">
            <v>Vanuatu</v>
          </cell>
        </row>
        <row r="250">
          <cell r="A250" t="str">
            <v>Wallis &amp; Futuna</v>
          </cell>
        </row>
        <row r="251">
          <cell r="A251" t="str">
            <v>Samoa</v>
          </cell>
        </row>
        <row r="252">
          <cell r="A252" t="str">
            <v>Zambia</v>
          </cell>
        </row>
        <row r="253">
          <cell r="A253" t="str">
            <v>Zimbabwe</v>
          </cell>
        </row>
      </sheetData>
    </sheetDataSet>
  </externalBook>
</externalLink>
</file>

<file path=xl/externalLinks/externalLink1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69)"/>
    </sheetNames>
    <sheetDataSet>
      <sheetData sheetId="0" refreshError="1">
        <row r="1">
          <cell r="A1" t="str">
            <v>Category: All categories</v>
          </cell>
        </row>
        <row r="3">
          <cell r="A3" t="str">
            <v>Country</v>
          </cell>
          <cell r="B3" t="str">
            <v>Java: (2018)</v>
          </cell>
          <cell r="C3" t="str">
            <v>Database: (2018)</v>
          </cell>
        </row>
        <row r="4">
          <cell r="A4" t="str">
            <v>China</v>
          </cell>
          <cell r="B4">
            <v>0.8</v>
          </cell>
          <cell r="C4">
            <v>0.2</v>
          </cell>
        </row>
        <row r="5">
          <cell r="A5" t="str">
            <v>Eritrea</v>
          </cell>
        </row>
        <row r="6">
          <cell r="A6" t="str">
            <v>Madagascar</v>
          </cell>
        </row>
        <row r="7">
          <cell r="A7" t="str">
            <v>Bangladesh</v>
          </cell>
          <cell r="B7">
            <v>0.88</v>
          </cell>
          <cell r="C7">
            <v>0.12</v>
          </cell>
        </row>
        <row r="8">
          <cell r="A8" t="str">
            <v>St. Helena</v>
          </cell>
          <cell r="B8">
            <v>0.69</v>
          </cell>
          <cell r="C8">
            <v>0.31</v>
          </cell>
        </row>
        <row r="9">
          <cell r="A9" t="str">
            <v>Ethiopia</v>
          </cell>
          <cell r="B9">
            <v>0.67</v>
          </cell>
          <cell r="C9">
            <v>0.33</v>
          </cell>
        </row>
        <row r="10">
          <cell r="A10" t="str">
            <v>Cameroon</v>
          </cell>
        </row>
        <row r="11">
          <cell r="A11" t="str">
            <v>Cuba</v>
          </cell>
        </row>
        <row r="12">
          <cell r="A12" t="str">
            <v>South Korea</v>
          </cell>
          <cell r="B12">
            <v>0.79</v>
          </cell>
          <cell r="C12">
            <v>0.21</v>
          </cell>
        </row>
        <row r="13">
          <cell r="A13" t="str">
            <v>Burundi</v>
          </cell>
        </row>
        <row r="14">
          <cell r="A14" t="str">
            <v>Togo</v>
          </cell>
        </row>
        <row r="15">
          <cell r="A15" t="str">
            <v>Sierra Leone</v>
          </cell>
        </row>
        <row r="16">
          <cell r="A16" t="str">
            <v>Benin</v>
          </cell>
        </row>
        <row r="17">
          <cell r="A17" t="str">
            <v>Zambia</v>
          </cell>
        </row>
        <row r="18">
          <cell r="A18" t="str">
            <v>India</v>
          </cell>
          <cell r="B18">
            <v>0.78</v>
          </cell>
          <cell r="C18">
            <v>0.22</v>
          </cell>
        </row>
        <row r="19">
          <cell r="A19" t="str">
            <v>Sri Lanka</v>
          </cell>
          <cell r="B19">
            <v>0.71</v>
          </cell>
          <cell r="C19">
            <v>0.28999999999999998</v>
          </cell>
        </row>
        <row r="20">
          <cell r="A20" t="str">
            <v>Malawi</v>
          </cell>
        </row>
        <row r="21">
          <cell r="A21" t="str">
            <v>Nigeria</v>
          </cell>
          <cell r="B21">
            <v>0.79</v>
          </cell>
          <cell r="C21">
            <v>0.21</v>
          </cell>
        </row>
        <row r="22">
          <cell r="A22" t="str">
            <v>Uganda</v>
          </cell>
        </row>
        <row r="23">
          <cell r="A23" t="str">
            <v>Ã…land Islands</v>
          </cell>
        </row>
        <row r="24">
          <cell r="A24" t="str">
            <v>SÃ£o TomÃ© &amp; PrÃ­ncipe</v>
          </cell>
        </row>
        <row r="25">
          <cell r="A25" t="str">
            <v>Congo - Kinshasa</v>
          </cell>
        </row>
        <row r="26">
          <cell r="A26" t="str">
            <v>Rwanda</v>
          </cell>
        </row>
        <row r="27">
          <cell r="A27" t="str">
            <v>Guinea</v>
          </cell>
        </row>
        <row r="28">
          <cell r="A28" t="str">
            <v>Mozambique</v>
          </cell>
        </row>
        <row r="29">
          <cell r="A29" t="str">
            <v>Burkina Faso</v>
          </cell>
        </row>
        <row r="30">
          <cell r="A30" t="str">
            <v>Myanmar (Burma)</v>
          </cell>
        </row>
        <row r="31">
          <cell r="A31" t="str">
            <v>Congo - Brazzaville</v>
          </cell>
        </row>
        <row r="32">
          <cell r="A32" t="str">
            <v>Singapore</v>
          </cell>
          <cell r="B32">
            <v>0.65</v>
          </cell>
          <cell r="C32">
            <v>0.35</v>
          </cell>
        </row>
        <row r="33">
          <cell r="A33" t="str">
            <v>Uzbekistan</v>
          </cell>
        </row>
        <row r="34">
          <cell r="A34" t="str">
            <v>Botswana</v>
          </cell>
        </row>
        <row r="35">
          <cell r="A35" t="str">
            <v>Tunisia</v>
          </cell>
          <cell r="B35">
            <v>0.7</v>
          </cell>
          <cell r="C35">
            <v>0.3</v>
          </cell>
        </row>
        <row r="36">
          <cell r="A36" t="str">
            <v>Luxembourg</v>
          </cell>
        </row>
        <row r="37">
          <cell r="A37" t="str">
            <v>Zimbabwe</v>
          </cell>
        </row>
        <row r="38">
          <cell r="A38" t="str">
            <v>CÃ´te dâ€™Ivoire</v>
          </cell>
        </row>
        <row r="39">
          <cell r="A39" t="str">
            <v>Nepal</v>
          </cell>
        </row>
        <row r="40">
          <cell r="A40" t="str">
            <v>Estonia</v>
          </cell>
        </row>
        <row r="41">
          <cell r="A41" t="str">
            <v>Papua New Guinea</v>
          </cell>
        </row>
        <row r="42">
          <cell r="A42" t="str">
            <v>Israel</v>
          </cell>
          <cell r="B42">
            <v>0.78</v>
          </cell>
          <cell r="C42">
            <v>0.22</v>
          </cell>
        </row>
        <row r="43">
          <cell r="A43" t="str">
            <v>Belarus</v>
          </cell>
          <cell r="B43">
            <v>0.74</v>
          </cell>
          <cell r="C43">
            <v>0.26</v>
          </cell>
        </row>
        <row r="44">
          <cell r="A44" t="str">
            <v>Angola</v>
          </cell>
        </row>
        <row r="45">
          <cell r="A45" t="str">
            <v>Pakistan</v>
          </cell>
          <cell r="B45">
            <v>0.62</v>
          </cell>
          <cell r="C45">
            <v>0.38</v>
          </cell>
        </row>
        <row r="46">
          <cell r="A46" t="str">
            <v>Niger</v>
          </cell>
        </row>
        <row r="47">
          <cell r="A47" t="str">
            <v>Guinea-Bissau</v>
          </cell>
        </row>
        <row r="48">
          <cell r="A48" t="str">
            <v>Central African Republic</v>
          </cell>
        </row>
        <row r="49">
          <cell r="A49" t="str">
            <v>North Macedonia</v>
          </cell>
        </row>
        <row r="50">
          <cell r="A50" t="str">
            <v>Hong Kong</v>
          </cell>
          <cell r="B50">
            <v>0.64</v>
          </cell>
          <cell r="C50">
            <v>0.36</v>
          </cell>
        </row>
        <row r="51">
          <cell r="A51" t="str">
            <v>Chad</v>
          </cell>
        </row>
        <row r="52">
          <cell r="A52" t="str">
            <v>Solomon Islands</v>
          </cell>
        </row>
        <row r="53">
          <cell r="A53" t="str">
            <v>Armenia</v>
          </cell>
        </row>
        <row r="54">
          <cell r="A54" t="str">
            <v>Eswatini</v>
          </cell>
        </row>
        <row r="55">
          <cell r="A55" t="str">
            <v>Timor-Leste</v>
          </cell>
        </row>
        <row r="56">
          <cell r="A56" t="str">
            <v>Mali</v>
          </cell>
        </row>
        <row r="57">
          <cell r="A57" t="str">
            <v>Samoa</v>
          </cell>
        </row>
        <row r="58">
          <cell r="A58" t="str">
            <v>Vanuatu</v>
          </cell>
        </row>
        <row r="59">
          <cell r="A59" t="str">
            <v>Lesotho</v>
          </cell>
        </row>
        <row r="60">
          <cell r="A60" t="str">
            <v>Tanzania</v>
          </cell>
        </row>
        <row r="61">
          <cell r="A61" t="str">
            <v>Switzerland</v>
          </cell>
          <cell r="B61">
            <v>0.65</v>
          </cell>
          <cell r="C61">
            <v>0.35</v>
          </cell>
        </row>
        <row r="62">
          <cell r="A62" t="str">
            <v>Albania</v>
          </cell>
        </row>
        <row r="63">
          <cell r="A63" t="str">
            <v>Ecuador</v>
          </cell>
          <cell r="B63">
            <v>0.66</v>
          </cell>
          <cell r="C63">
            <v>0.34</v>
          </cell>
        </row>
        <row r="64">
          <cell r="A64" t="str">
            <v>Mauritius</v>
          </cell>
        </row>
        <row r="65">
          <cell r="A65" t="str">
            <v>Germany</v>
          </cell>
          <cell r="B65">
            <v>0.67</v>
          </cell>
          <cell r="C65">
            <v>0.33</v>
          </cell>
        </row>
        <row r="66">
          <cell r="A66" t="str">
            <v>Ghana</v>
          </cell>
        </row>
        <row r="67">
          <cell r="A67" t="str">
            <v>Senegal</v>
          </cell>
        </row>
        <row r="68">
          <cell r="A68" t="str">
            <v>Serbia</v>
          </cell>
          <cell r="B68">
            <v>0.71</v>
          </cell>
          <cell r="C68">
            <v>0.28999999999999998</v>
          </cell>
        </row>
        <row r="69">
          <cell r="A69" t="str">
            <v>Cape Verde</v>
          </cell>
        </row>
        <row r="70">
          <cell r="A70" t="str">
            <v>Tonga</v>
          </cell>
        </row>
        <row r="71">
          <cell r="A71" t="str">
            <v>Hungary</v>
          </cell>
          <cell r="B71">
            <v>0.69</v>
          </cell>
          <cell r="C71">
            <v>0.31</v>
          </cell>
        </row>
        <row r="72">
          <cell r="A72" t="str">
            <v>Costa Rica</v>
          </cell>
          <cell r="B72">
            <v>0.66</v>
          </cell>
          <cell r="C72">
            <v>0.34</v>
          </cell>
        </row>
        <row r="73">
          <cell r="A73" t="str">
            <v>Equatorial Guinea</v>
          </cell>
        </row>
        <row r="74">
          <cell r="A74" t="str">
            <v>Gabon</v>
          </cell>
        </row>
        <row r="75">
          <cell r="A75" t="str">
            <v>Bulgaria</v>
          </cell>
          <cell r="B75">
            <v>0.73</v>
          </cell>
          <cell r="C75">
            <v>0.27</v>
          </cell>
        </row>
        <row r="76">
          <cell r="A76" t="str">
            <v>Kenya</v>
          </cell>
          <cell r="B76">
            <v>0.57999999999999996</v>
          </cell>
          <cell r="C76">
            <v>0.42</v>
          </cell>
        </row>
        <row r="77">
          <cell r="A77" t="str">
            <v>Bhutan</v>
          </cell>
        </row>
        <row r="78">
          <cell r="A78" t="str">
            <v>Portugal</v>
          </cell>
          <cell r="B78">
            <v>0.66</v>
          </cell>
          <cell r="C78">
            <v>0.34</v>
          </cell>
        </row>
        <row r="79">
          <cell r="A79" t="str">
            <v>Afghanistan</v>
          </cell>
        </row>
        <row r="80">
          <cell r="A80" t="str">
            <v>Romania</v>
          </cell>
          <cell r="B80">
            <v>0.69</v>
          </cell>
          <cell r="C80">
            <v>0.31</v>
          </cell>
        </row>
        <row r="81">
          <cell r="A81" t="str">
            <v>Czechia</v>
          </cell>
          <cell r="B81">
            <v>0.59</v>
          </cell>
          <cell r="C81">
            <v>0.41</v>
          </cell>
        </row>
        <row r="82">
          <cell r="A82" t="str">
            <v>Ireland</v>
          </cell>
          <cell r="B82">
            <v>0.63</v>
          </cell>
          <cell r="C82">
            <v>0.37</v>
          </cell>
        </row>
        <row r="83">
          <cell r="A83" t="str">
            <v>Austria</v>
          </cell>
          <cell r="B83">
            <v>0.66</v>
          </cell>
          <cell r="C83">
            <v>0.34</v>
          </cell>
        </row>
        <row r="84">
          <cell r="A84" t="str">
            <v>Mongolia</v>
          </cell>
        </row>
        <row r="85">
          <cell r="A85" t="str">
            <v>Sweden</v>
          </cell>
          <cell r="B85">
            <v>0.68</v>
          </cell>
          <cell r="C85">
            <v>0.32</v>
          </cell>
        </row>
        <row r="86">
          <cell r="A86" t="str">
            <v>Latvia</v>
          </cell>
        </row>
        <row r="87">
          <cell r="A87" t="str">
            <v>El Salvador</v>
          </cell>
        </row>
        <row r="88">
          <cell r="A88" t="str">
            <v>Poland</v>
          </cell>
          <cell r="B88">
            <v>0.69</v>
          </cell>
          <cell r="C88">
            <v>0.31</v>
          </cell>
        </row>
        <row r="89">
          <cell r="A89" t="str">
            <v>Namibia</v>
          </cell>
        </row>
        <row r="90">
          <cell r="A90" t="str">
            <v>Moldova</v>
          </cell>
        </row>
        <row r="91">
          <cell r="A91" t="str">
            <v>Liechtenstein</v>
          </cell>
        </row>
        <row r="92">
          <cell r="A92" t="str">
            <v>Fiji</v>
          </cell>
        </row>
        <row r="93">
          <cell r="A93" t="str">
            <v>Iceland</v>
          </cell>
        </row>
        <row r="94">
          <cell r="A94" t="str">
            <v>Cambodia</v>
          </cell>
        </row>
        <row r="95">
          <cell r="A95" t="str">
            <v>Japan</v>
          </cell>
          <cell r="B95">
            <v>0.63</v>
          </cell>
          <cell r="C95">
            <v>0.37</v>
          </cell>
        </row>
        <row r="96">
          <cell r="A96" t="str">
            <v>Philippines</v>
          </cell>
          <cell r="B96">
            <v>0.57999999999999996</v>
          </cell>
          <cell r="C96">
            <v>0.42</v>
          </cell>
        </row>
        <row r="97">
          <cell r="A97" t="str">
            <v>Kosovo</v>
          </cell>
        </row>
        <row r="98">
          <cell r="A98" t="str">
            <v>Vietnam</v>
          </cell>
          <cell r="B98">
            <v>0.72</v>
          </cell>
          <cell r="C98">
            <v>0.28000000000000003</v>
          </cell>
        </row>
        <row r="99">
          <cell r="A99" t="str">
            <v>Ukraine</v>
          </cell>
          <cell r="B99">
            <v>0.68</v>
          </cell>
          <cell r="C99">
            <v>0.32</v>
          </cell>
        </row>
        <row r="100">
          <cell r="A100" t="str">
            <v>Sudan</v>
          </cell>
        </row>
        <row r="101">
          <cell r="A101" t="str">
            <v>Liberia</v>
          </cell>
        </row>
        <row r="102">
          <cell r="A102" t="str">
            <v>United States</v>
          </cell>
          <cell r="B102">
            <v>0.6</v>
          </cell>
          <cell r="C102">
            <v>0.4</v>
          </cell>
        </row>
        <row r="103">
          <cell r="A103" t="str">
            <v>Colombia</v>
          </cell>
          <cell r="B103">
            <v>0.54</v>
          </cell>
          <cell r="C103">
            <v>0.46</v>
          </cell>
        </row>
        <row r="104">
          <cell r="A104" t="str">
            <v>Canada</v>
          </cell>
          <cell r="B104">
            <v>0.56999999999999995</v>
          </cell>
          <cell r="C104">
            <v>0.43</v>
          </cell>
        </row>
        <row r="105">
          <cell r="A105" t="str">
            <v>Lithuania</v>
          </cell>
          <cell r="B105">
            <v>0.65</v>
          </cell>
          <cell r="C105">
            <v>0.35</v>
          </cell>
        </row>
        <row r="106">
          <cell r="A106" t="str">
            <v>Dominica</v>
          </cell>
        </row>
        <row r="107">
          <cell r="A107" t="str">
            <v>Malta</v>
          </cell>
        </row>
        <row r="108">
          <cell r="A108" t="str">
            <v>Palestine</v>
          </cell>
        </row>
        <row r="109">
          <cell r="A109" t="str">
            <v>Lebanon</v>
          </cell>
        </row>
        <row r="110">
          <cell r="A110" t="str">
            <v>Laos</v>
          </cell>
        </row>
        <row r="111">
          <cell r="A111" t="str">
            <v>Guatemala</v>
          </cell>
          <cell r="B111">
            <v>0.56999999999999995</v>
          </cell>
          <cell r="C111">
            <v>0.43</v>
          </cell>
        </row>
        <row r="112">
          <cell r="A112" t="str">
            <v>Mexico</v>
          </cell>
          <cell r="B112">
            <v>0.62</v>
          </cell>
          <cell r="C112">
            <v>0.38</v>
          </cell>
        </row>
        <row r="113">
          <cell r="A113" t="str">
            <v>Mauritania</v>
          </cell>
        </row>
        <row r="114">
          <cell r="A114" t="str">
            <v>Bolivia</v>
          </cell>
        </row>
        <row r="115">
          <cell r="A115" t="str">
            <v>Taiwan</v>
          </cell>
          <cell r="B115">
            <v>0.57999999999999996</v>
          </cell>
          <cell r="C115">
            <v>0.42</v>
          </cell>
        </row>
        <row r="116">
          <cell r="A116" t="str">
            <v>Morocco</v>
          </cell>
          <cell r="B116">
            <v>0.68</v>
          </cell>
          <cell r="C116">
            <v>0.32</v>
          </cell>
        </row>
        <row r="117">
          <cell r="A117" t="str">
            <v>Finland</v>
          </cell>
          <cell r="B117">
            <v>0.64</v>
          </cell>
          <cell r="C117">
            <v>0.36</v>
          </cell>
        </row>
        <row r="118">
          <cell r="A118" t="str">
            <v>Spain</v>
          </cell>
          <cell r="B118">
            <v>0.68</v>
          </cell>
          <cell r="C118">
            <v>0.32</v>
          </cell>
        </row>
        <row r="119">
          <cell r="A119" t="str">
            <v>Gambia</v>
          </cell>
        </row>
        <row r="120">
          <cell r="A120" t="str">
            <v>Andorra</v>
          </cell>
        </row>
        <row r="121">
          <cell r="A121" t="str">
            <v>Cyprus</v>
          </cell>
        </row>
        <row r="122">
          <cell r="A122" t="str">
            <v>Peru</v>
          </cell>
          <cell r="B122">
            <v>0.6</v>
          </cell>
          <cell r="C122">
            <v>0.4</v>
          </cell>
        </row>
        <row r="123">
          <cell r="A123" t="str">
            <v>Slovakia</v>
          </cell>
          <cell r="B123">
            <v>0.64</v>
          </cell>
          <cell r="C123">
            <v>0.36</v>
          </cell>
        </row>
        <row r="124">
          <cell r="A124" t="str">
            <v>Djibouti</v>
          </cell>
        </row>
        <row r="125">
          <cell r="A125" t="str">
            <v>South Africa</v>
          </cell>
          <cell r="B125">
            <v>0.48</v>
          </cell>
          <cell r="C125">
            <v>0.52</v>
          </cell>
        </row>
        <row r="126">
          <cell r="A126" t="str">
            <v>Norway</v>
          </cell>
          <cell r="B126">
            <v>0.65</v>
          </cell>
          <cell r="C126">
            <v>0.35</v>
          </cell>
        </row>
        <row r="127">
          <cell r="A127" t="str">
            <v>Slovenia</v>
          </cell>
        </row>
        <row r="128">
          <cell r="A128" t="str">
            <v>Croatia</v>
          </cell>
          <cell r="B128">
            <v>0.67</v>
          </cell>
          <cell r="C128">
            <v>0.33</v>
          </cell>
        </row>
        <row r="129">
          <cell r="A129" t="str">
            <v>Belize</v>
          </cell>
        </row>
        <row r="130">
          <cell r="A130" t="str">
            <v>Belgium</v>
          </cell>
          <cell r="B130">
            <v>0.61</v>
          </cell>
          <cell r="C130">
            <v>0.39</v>
          </cell>
        </row>
        <row r="131">
          <cell r="A131" t="str">
            <v>Uruguay</v>
          </cell>
        </row>
        <row r="132">
          <cell r="A132" t="str">
            <v>British Virgin Islands</v>
          </cell>
        </row>
        <row r="133">
          <cell r="A133" t="str">
            <v>Denmark</v>
          </cell>
          <cell r="B133">
            <v>0.59</v>
          </cell>
          <cell r="C133">
            <v>0.41</v>
          </cell>
        </row>
        <row r="134">
          <cell r="A134" t="str">
            <v>Somalia</v>
          </cell>
        </row>
        <row r="135">
          <cell r="A135" t="str">
            <v>Gibraltar</v>
          </cell>
        </row>
        <row r="136">
          <cell r="A136" t="str">
            <v>New Zealand</v>
          </cell>
          <cell r="B136">
            <v>0.48</v>
          </cell>
          <cell r="C136">
            <v>0.52</v>
          </cell>
        </row>
        <row r="137">
          <cell r="A137" t="str">
            <v>Netherlands</v>
          </cell>
          <cell r="B137">
            <v>0.56000000000000005</v>
          </cell>
          <cell r="C137">
            <v>0.44</v>
          </cell>
        </row>
        <row r="138">
          <cell r="A138" t="str">
            <v>Russia</v>
          </cell>
          <cell r="B138">
            <v>0.61</v>
          </cell>
          <cell r="C138">
            <v>0.39</v>
          </cell>
        </row>
        <row r="139">
          <cell r="A139" t="str">
            <v>Kyrgyzstan</v>
          </cell>
        </row>
        <row r="140">
          <cell r="A140" t="str">
            <v>Kazakhstan</v>
          </cell>
          <cell r="B140">
            <v>0.64</v>
          </cell>
          <cell r="C140">
            <v>0.36</v>
          </cell>
        </row>
        <row r="141">
          <cell r="A141" t="str">
            <v>Bosnia &amp; Herzegovina</v>
          </cell>
        </row>
        <row r="142">
          <cell r="A142" t="str">
            <v>Macao</v>
          </cell>
        </row>
        <row r="143">
          <cell r="A143" t="str">
            <v>Algeria</v>
          </cell>
          <cell r="B143">
            <v>0.67</v>
          </cell>
          <cell r="C143">
            <v>0.33</v>
          </cell>
        </row>
        <row r="144">
          <cell r="A144" t="str">
            <v>Jamaica</v>
          </cell>
        </row>
        <row r="145">
          <cell r="A145" t="str">
            <v>Azerbaijan</v>
          </cell>
        </row>
        <row r="146">
          <cell r="A146" t="str">
            <v>Brunei</v>
          </cell>
        </row>
        <row r="147">
          <cell r="A147" t="str">
            <v>France</v>
          </cell>
          <cell r="B147">
            <v>0.66</v>
          </cell>
          <cell r="C147">
            <v>0.34</v>
          </cell>
        </row>
        <row r="148">
          <cell r="A148" t="str">
            <v>Brazil</v>
          </cell>
          <cell r="B148">
            <v>0.72</v>
          </cell>
          <cell r="C148">
            <v>0.28000000000000003</v>
          </cell>
        </row>
        <row r="149">
          <cell r="A149" t="str">
            <v>South Sudan</v>
          </cell>
        </row>
        <row r="150">
          <cell r="A150" t="str">
            <v>Honduras</v>
          </cell>
        </row>
        <row r="151">
          <cell r="A151" t="str">
            <v>Syria</v>
          </cell>
        </row>
        <row r="152">
          <cell r="A152" t="str">
            <v>Australia</v>
          </cell>
          <cell r="B152">
            <v>0.51</v>
          </cell>
          <cell r="C152">
            <v>0.49</v>
          </cell>
        </row>
        <row r="153">
          <cell r="A153" t="str">
            <v>Paraguay</v>
          </cell>
        </row>
        <row r="154">
          <cell r="A154" t="str">
            <v>Jordan</v>
          </cell>
        </row>
        <row r="155">
          <cell r="A155" t="str">
            <v>Indonesia</v>
          </cell>
          <cell r="B155">
            <v>0.54</v>
          </cell>
          <cell r="C155">
            <v>0.46</v>
          </cell>
        </row>
        <row r="156">
          <cell r="A156" t="str">
            <v>Turkmenistan</v>
          </cell>
        </row>
        <row r="157">
          <cell r="A157" t="str">
            <v>Malaysia</v>
          </cell>
          <cell r="B157">
            <v>0.53</v>
          </cell>
          <cell r="C157">
            <v>0.47</v>
          </cell>
        </row>
        <row r="158">
          <cell r="A158" t="str">
            <v>United Arab Emirates</v>
          </cell>
          <cell r="B158">
            <v>0.53</v>
          </cell>
          <cell r="C158">
            <v>0.47</v>
          </cell>
        </row>
        <row r="159">
          <cell r="A159" t="str">
            <v>Yemen</v>
          </cell>
        </row>
        <row r="160">
          <cell r="A160" t="str">
            <v>Bermuda</v>
          </cell>
        </row>
        <row r="161">
          <cell r="A161" t="str">
            <v>San Marino</v>
          </cell>
        </row>
        <row r="162">
          <cell r="A162" t="str">
            <v>Greece</v>
          </cell>
          <cell r="B162">
            <v>0.66</v>
          </cell>
          <cell r="C162">
            <v>0.34</v>
          </cell>
        </row>
        <row r="163">
          <cell r="A163" t="str">
            <v>Iran</v>
          </cell>
          <cell r="B163">
            <v>0.68</v>
          </cell>
          <cell r="C163">
            <v>0.32</v>
          </cell>
        </row>
        <row r="164">
          <cell r="A164" t="str">
            <v>Haiti</v>
          </cell>
        </row>
        <row r="165">
          <cell r="A165" t="str">
            <v>Monaco</v>
          </cell>
        </row>
        <row r="166">
          <cell r="A166" t="str">
            <v>Isle of Man</v>
          </cell>
        </row>
        <row r="167">
          <cell r="A167" t="str">
            <v>Italy</v>
          </cell>
          <cell r="B167">
            <v>0.57999999999999996</v>
          </cell>
          <cell r="C167">
            <v>0.42</v>
          </cell>
        </row>
        <row r="168">
          <cell r="A168" t="str">
            <v>United Kingdom</v>
          </cell>
          <cell r="B168">
            <v>0.51</v>
          </cell>
          <cell r="C168">
            <v>0.49</v>
          </cell>
        </row>
        <row r="169">
          <cell r="A169" t="str">
            <v>Chile</v>
          </cell>
          <cell r="B169">
            <v>0.59</v>
          </cell>
          <cell r="C169">
            <v>0.41</v>
          </cell>
        </row>
        <row r="170">
          <cell r="A170" t="str">
            <v>Panama</v>
          </cell>
        </row>
        <row r="171">
          <cell r="A171" t="str">
            <v>Northern Mariana Islands</v>
          </cell>
        </row>
        <row r="172">
          <cell r="A172" t="str">
            <v>Nicaragua</v>
          </cell>
        </row>
        <row r="173">
          <cell r="A173" t="str">
            <v>Bahrain</v>
          </cell>
        </row>
        <row r="174">
          <cell r="A174" t="str">
            <v>Maldives</v>
          </cell>
        </row>
        <row r="175">
          <cell r="A175" t="str">
            <v>Barbados</v>
          </cell>
        </row>
        <row r="176">
          <cell r="A176" t="str">
            <v>Egypt</v>
          </cell>
          <cell r="B176">
            <v>0.59</v>
          </cell>
          <cell r="C176">
            <v>0.41</v>
          </cell>
        </row>
        <row r="177">
          <cell r="A177" t="str">
            <v>Faroe Islands</v>
          </cell>
        </row>
        <row r="178">
          <cell r="A178" t="str">
            <v>Jersey</v>
          </cell>
        </row>
        <row r="179">
          <cell r="A179" t="str">
            <v>Montenegro</v>
          </cell>
        </row>
        <row r="180">
          <cell r="A180" t="str">
            <v>Venezuela</v>
          </cell>
          <cell r="B180">
            <v>0.68</v>
          </cell>
          <cell r="C180">
            <v>0.32</v>
          </cell>
        </row>
        <row r="181">
          <cell r="A181" t="str">
            <v>Trinidad &amp; Tobago</v>
          </cell>
        </row>
        <row r="182">
          <cell r="A182" t="str">
            <v>New Caledonia</v>
          </cell>
        </row>
        <row r="183">
          <cell r="A183" t="str">
            <v>St. Vincent &amp; Grenadines</v>
          </cell>
        </row>
        <row r="184">
          <cell r="A184" t="str">
            <v>Oman</v>
          </cell>
        </row>
        <row r="185">
          <cell r="A185" t="str">
            <v>French Polynesia</v>
          </cell>
        </row>
        <row r="186">
          <cell r="A186" t="str">
            <v>Western Sahara</v>
          </cell>
        </row>
        <row r="187">
          <cell r="A187" t="str">
            <v>Dominican Republic</v>
          </cell>
        </row>
        <row r="188">
          <cell r="A188" t="str">
            <v>St. Kitts &amp; Nevis</v>
          </cell>
        </row>
        <row r="189">
          <cell r="A189" t="str">
            <v>Cayman Islands</v>
          </cell>
        </row>
        <row r="190">
          <cell r="A190" t="str">
            <v>Libya</v>
          </cell>
        </row>
        <row r="191">
          <cell r="A191" t="str">
            <v>Guernsey</v>
          </cell>
        </row>
        <row r="192">
          <cell r="A192" t="str">
            <v>Argentina</v>
          </cell>
          <cell r="B192">
            <v>0.66</v>
          </cell>
          <cell r="C192">
            <v>0.34</v>
          </cell>
        </row>
        <row r="193">
          <cell r="A193" t="str">
            <v>Turkey</v>
          </cell>
          <cell r="B193">
            <v>0.72</v>
          </cell>
          <cell r="C193">
            <v>0.28000000000000003</v>
          </cell>
        </row>
        <row r="194">
          <cell r="A194" t="str">
            <v>Suriname</v>
          </cell>
        </row>
        <row r="195">
          <cell r="A195" t="str">
            <v>Georgia</v>
          </cell>
        </row>
        <row r="196">
          <cell r="A196" t="str">
            <v>Guyana</v>
          </cell>
        </row>
        <row r="197">
          <cell r="A197" t="str">
            <v>U.S. Virgin Islands</v>
          </cell>
        </row>
        <row r="198">
          <cell r="A198" t="str">
            <v>Tajikistan</v>
          </cell>
        </row>
        <row r="199">
          <cell r="A199" t="str">
            <v>Qatar</v>
          </cell>
        </row>
        <row r="200">
          <cell r="A200" t="str">
            <v>Antigua &amp; Barbuda</v>
          </cell>
        </row>
        <row r="201">
          <cell r="A201" t="str">
            <v>Saudi Arabia</v>
          </cell>
          <cell r="B201">
            <v>0.6</v>
          </cell>
          <cell r="C201">
            <v>0.4</v>
          </cell>
        </row>
        <row r="202">
          <cell r="A202" t="str">
            <v>Caribbean Netherlands</v>
          </cell>
        </row>
        <row r="203">
          <cell r="A203" t="str">
            <v>Turks &amp; Caicos Islands</v>
          </cell>
        </row>
        <row r="204">
          <cell r="A204" t="str">
            <v>CuraÃ§ao</v>
          </cell>
        </row>
        <row r="205">
          <cell r="A205" t="str">
            <v>St. Lucia</v>
          </cell>
        </row>
        <row r="206">
          <cell r="A206" t="str">
            <v>Thailand</v>
          </cell>
          <cell r="B206">
            <v>0.49</v>
          </cell>
          <cell r="C206">
            <v>0.51</v>
          </cell>
        </row>
        <row r="207">
          <cell r="A207" t="str">
            <v>Puerto Rico</v>
          </cell>
        </row>
        <row r="208">
          <cell r="A208" t="str">
            <v>Seychelles</v>
          </cell>
        </row>
        <row r="209">
          <cell r="A209" t="str">
            <v>Sint Maarten</v>
          </cell>
        </row>
        <row r="210">
          <cell r="A210" t="str">
            <v>Greenland</v>
          </cell>
        </row>
        <row r="211">
          <cell r="A211" t="str">
            <v>Iraq</v>
          </cell>
        </row>
        <row r="212">
          <cell r="A212" t="str">
            <v>Guam</v>
          </cell>
        </row>
        <row r="213">
          <cell r="A213" t="str">
            <v>Kuwait</v>
          </cell>
        </row>
        <row r="214">
          <cell r="A214" t="str">
            <v>RÃ©union</v>
          </cell>
        </row>
        <row r="215">
          <cell r="A215" t="str">
            <v>Grenada</v>
          </cell>
        </row>
        <row r="216">
          <cell r="A216" t="str">
            <v>Guadeloupe</v>
          </cell>
        </row>
        <row r="217">
          <cell r="A217" t="str">
            <v>Aruba</v>
          </cell>
        </row>
        <row r="218">
          <cell r="A218" t="str">
            <v>French Guiana</v>
          </cell>
        </row>
        <row r="219">
          <cell r="A219" t="str">
            <v>St. BarthÃ©lemy</v>
          </cell>
        </row>
        <row r="220">
          <cell r="A220" t="str">
            <v>Bahamas</v>
          </cell>
        </row>
        <row r="221">
          <cell r="A221" t="str">
            <v>Martinique</v>
          </cell>
        </row>
        <row r="222">
          <cell r="A222" t="str">
            <v>Mayotte</v>
          </cell>
        </row>
        <row r="223">
          <cell r="A223" t="str">
            <v>North Korea</v>
          </cell>
        </row>
        <row r="224">
          <cell r="A224" t="str">
            <v>Falkland Islands (Islas Malvinas)</v>
          </cell>
        </row>
        <row r="225">
          <cell r="A225" t="str">
            <v>Comoros</v>
          </cell>
        </row>
        <row r="226">
          <cell r="A226" t="str">
            <v>Anguilla</v>
          </cell>
        </row>
        <row r="227">
          <cell r="A227" t="str">
            <v>Montserrat</v>
          </cell>
        </row>
        <row r="228">
          <cell r="A228" t="str">
            <v>St. Pierre &amp; Miquelon</v>
          </cell>
        </row>
        <row r="229">
          <cell r="A229" t="str">
            <v>Cook Islands</v>
          </cell>
        </row>
        <row r="230">
          <cell r="A230" t="str">
            <v>Marshall Islands</v>
          </cell>
        </row>
        <row r="231">
          <cell r="A231" t="str">
            <v>American Samoa</v>
          </cell>
        </row>
        <row r="232">
          <cell r="A232" t="str">
            <v>St. Martin</v>
          </cell>
        </row>
        <row r="233">
          <cell r="A233" t="str">
            <v>Palau</v>
          </cell>
        </row>
        <row r="234">
          <cell r="A234" t="str">
            <v>Micronesia</v>
          </cell>
        </row>
        <row r="235">
          <cell r="A235" t="str">
            <v>Antarctica</v>
          </cell>
        </row>
        <row r="236">
          <cell r="A236" t="str">
            <v>French Southern Territories</v>
          </cell>
        </row>
        <row r="237">
          <cell r="A237" t="str">
            <v>Bouvet Island</v>
          </cell>
        </row>
        <row r="238">
          <cell r="A238" t="str">
            <v>Cocos (Keeling) Islands</v>
          </cell>
        </row>
        <row r="239">
          <cell r="A239" t="str">
            <v>Christmas Island</v>
          </cell>
        </row>
        <row r="240">
          <cell r="A240" t="str">
            <v>Heard &amp; McDonald Islands</v>
          </cell>
        </row>
        <row r="241">
          <cell r="A241" t="str">
            <v>British Indian Ocean Territory</v>
          </cell>
        </row>
        <row r="242">
          <cell r="A242" t="str">
            <v>Kiribati</v>
          </cell>
        </row>
        <row r="243">
          <cell r="A243" t="str">
            <v>Norfolk Island</v>
          </cell>
        </row>
        <row r="244">
          <cell r="A244" t="str">
            <v>Niue</v>
          </cell>
        </row>
        <row r="245">
          <cell r="A245" t="str">
            <v>Nauru</v>
          </cell>
        </row>
        <row r="246">
          <cell r="A246" t="str">
            <v>Pitcairn Islands</v>
          </cell>
        </row>
        <row r="247">
          <cell r="A247" t="str">
            <v>South Georgia &amp; South Sandwich Islands</v>
          </cell>
        </row>
        <row r="248">
          <cell r="A248" t="str">
            <v>Svalbard &amp; Jan Mayen</v>
          </cell>
        </row>
        <row r="249">
          <cell r="A249" t="str">
            <v>Tokelau</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1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70)"/>
    </sheetNames>
    <sheetDataSet>
      <sheetData sheetId="0">
        <row r="1">
          <cell r="A1" t="str">
            <v>Category: All categories</v>
          </cell>
        </row>
        <row r="3">
          <cell r="A3" t="str">
            <v>Country</v>
          </cell>
          <cell r="B3" t="str">
            <v>Java: (2018)</v>
          </cell>
          <cell r="C3" t="str">
            <v>String: (2018)</v>
          </cell>
        </row>
        <row r="4">
          <cell r="A4" t="str">
            <v>China</v>
          </cell>
          <cell r="B4">
            <v>0.64</v>
          </cell>
          <cell r="C4">
            <v>0.36</v>
          </cell>
        </row>
        <row r="5">
          <cell r="A5" t="str">
            <v>Madagascar</v>
          </cell>
        </row>
        <row r="6">
          <cell r="A6" t="str">
            <v>Bangladesh</v>
          </cell>
          <cell r="B6">
            <v>0.92</v>
          </cell>
          <cell r="C6">
            <v>0.08</v>
          </cell>
        </row>
        <row r="7">
          <cell r="A7" t="str">
            <v>St. Helena</v>
          </cell>
          <cell r="B7">
            <v>0.65</v>
          </cell>
          <cell r="C7">
            <v>0.35</v>
          </cell>
        </row>
        <row r="8">
          <cell r="A8" t="str">
            <v>Ethiopia</v>
          </cell>
        </row>
        <row r="9">
          <cell r="A9" t="str">
            <v>Cameroon</v>
          </cell>
        </row>
        <row r="10">
          <cell r="A10" t="str">
            <v>South Korea</v>
          </cell>
          <cell r="B10">
            <v>0.71</v>
          </cell>
          <cell r="C10">
            <v>0.28999999999999998</v>
          </cell>
        </row>
        <row r="11">
          <cell r="A11" t="str">
            <v>Eritrea</v>
          </cell>
        </row>
        <row r="12">
          <cell r="A12" t="str">
            <v>Sierra Leone</v>
          </cell>
        </row>
        <row r="13">
          <cell r="A13" t="str">
            <v>Burundi</v>
          </cell>
        </row>
        <row r="14">
          <cell r="A14" t="str">
            <v>Togo</v>
          </cell>
        </row>
        <row r="15">
          <cell r="A15" t="str">
            <v>Benin</v>
          </cell>
        </row>
        <row r="16">
          <cell r="A16" t="str">
            <v>SÃ£o TomÃ© &amp; PrÃ­ncipe</v>
          </cell>
        </row>
        <row r="17">
          <cell r="A17" t="str">
            <v>Zambia</v>
          </cell>
        </row>
        <row r="18">
          <cell r="A18" t="str">
            <v>India</v>
          </cell>
          <cell r="B18">
            <v>0.77</v>
          </cell>
          <cell r="C18">
            <v>0.23</v>
          </cell>
        </row>
        <row r="19">
          <cell r="A19" t="str">
            <v>Sri Lanka</v>
          </cell>
          <cell r="B19">
            <v>0.8</v>
          </cell>
          <cell r="C19">
            <v>0.2</v>
          </cell>
        </row>
        <row r="20">
          <cell r="A20" t="str">
            <v>Nigeria</v>
          </cell>
          <cell r="B20">
            <v>0.93</v>
          </cell>
          <cell r="C20">
            <v>7.0000000000000007E-2</v>
          </cell>
        </row>
        <row r="21">
          <cell r="A21" t="str">
            <v>Uganda</v>
          </cell>
        </row>
        <row r="22">
          <cell r="A22" t="str">
            <v>Malawi</v>
          </cell>
        </row>
        <row r="23">
          <cell r="A23" t="str">
            <v>Cuba</v>
          </cell>
        </row>
        <row r="24">
          <cell r="A24" t="str">
            <v>Ã…land Islands</v>
          </cell>
        </row>
        <row r="25">
          <cell r="A25" t="str">
            <v>Rwanda</v>
          </cell>
        </row>
        <row r="26">
          <cell r="A26" t="str">
            <v>Congo - Kinshasa</v>
          </cell>
        </row>
        <row r="27">
          <cell r="A27" t="str">
            <v>Guinea</v>
          </cell>
        </row>
        <row r="28">
          <cell r="A28" t="str">
            <v>Congo - Brazzaville</v>
          </cell>
        </row>
        <row r="29">
          <cell r="A29" t="str">
            <v>Mozambique</v>
          </cell>
        </row>
        <row r="30">
          <cell r="A30" t="str">
            <v>Singapore</v>
          </cell>
          <cell r="B30">
            <v>0.61</v>
          </cell>
          <cell r="C30">
            <v>0.39</v>
          </cell>
        </row>
        <row r="31">
          <cell r="A31" t="str">
            <v>Myanmar (Burma)</v>
          </cell>
        </row>
        <row r="32">
          <cell r="A32" t="str">
            <v>Burkina Faso</v>
          </cell>
        </row>
        <row r="33">
          <cell r="A33" t="str">
            <v>Luxembourg</v>
          </cell>
        </row>
        <row r="34">
          <cell r="A34" t="str">
            <v>Uzbekistan</v>
          </cell>
        </row>
        <row r="35">
          <cell r="A35" t="str">
            <v>Tunisia</v>
          </cell>
          <cell r="B35">
            <v>0.79</v>
          </cell>
          <cell r="C35">
            <v>0.21</v>
          </cell>
        </row>
        <row r="36">
          <cell r="A36" t="str">
            <v>Botswana</v>
          </cell>
        </row>
        <row r="37">
          <cell r="A37" t="str">
            <v>Tonga</v>
          </cell>
        </row>
        <row r="38">
          <cell r="A38" t="str">
            <v>Central African Republic</v>
          </cell>
        </row>
        <row r="39">
          <cell r="A39" t="str">
            <v>CÃ´te dâ€™Ivoire</v>
          </cell>
        </row>
        <row r="40">
          <cell r="A40" t="str">
            <v>Nepal</v>
          </cell>
        </row>
        <row r="41">
          <cell r="A41" t="str">
            <v>Estonia</v>
          </cell>
        </row>
        <row r="42">
          <cell r="A42" t="str">
            <v>Niger</v>
          </cell>
        </row>
        <row r="43">
          <cell r="A43" t="str">
            <v>Israel</v>
          </cell>
          <cell r="B43">
            <v>0.54</v>
          </cell>
          <cell r="C43">
            <v>0.46</v>
          </cell>
        </row>
        <row r="44">
          <cell r="A44" t="str">
            <v>Belarus</v>
          </cell>
          <cell r="B44">
            <v>0.66</v>
          </cell>
          <cell r="C44">
            <v>0.34</v>
          </cell>
        </row>
        <row r="45">
          <cell r="A45" t="str">
            <v>Angola</v>
          </cell>
        </row>
        <row r="46">
          <cell r="A46" t="str">
            <v>Chad</v>
          </cell>
        </row>
        <row r="47">
          <cell r="A47" t="str">
            <v>Pakistan</v>
          </cell>
          <cell r="B47">
            <v>0.73</v>
          </cell>
          <cell r="C47">
            <v>0.27</v>
          </cell>
        </row>
        <row r="48">
          <cell r="A48" t="str">
            <v>North Macedonia</v>
          </cell>
        </row>
        <row r="49">
          <cell r="A49" t="str">
            <v>Hong Kong</v>
          </cell>
          <cell r="B49">
            <v>0.6</v>
          </cell>
          <cell r="C49">
            <v>0.4</v>
          </cell>
        </row>
        <row r="50">
          <cell r="A50" t="str">
            <v>Guinea-Bissau</v>
          </cell>
        </row>
        <row r="51">
          <cell r="A51" t="str">
            <v>Lesotho</v>
          </cell>
        </row>
        <row r="52">
          <cell r="A52" t="str">
            <v>Armenia</v>
          </cell>
        </row>
        <row r="53">
          <cell r="A53" t="str">
            <v>Zimbabwe</v>
          </cell>
        </row>
        <row r="54">
          <cell r="A54" t="str">
            <v>Mauritius</v>
          </cell>
        </row>
        <row r="55">
          <cell r="A55" t="str">
            <v>Switzerland</v>
          </cell>
          <cell r="B55">
            <v>0.62</v>
          </cell>
          <cell r="C55">
            <v>0.38</v>
          </cell>
        </row>
        <row r="56">
          <cell r="A56" t="str">
            <v>Tanzania</v>
          </cell>
        </row>
        <row r="57">
          <cell r="A57" t="str">
            <v>Albania</v>
          </cell>
        </row>
        <row r="58">
          <cell r="A58" t="str">
            <v>Mali</v>
          </cell>
        </row>
        <row r="59">
          <cell r="A59" t="str">
            <v>Ecuador</v>
          </cell>
          <cell r="B59">
            <v>0.85</v>
          </cell>
          <cell r="C59">
            <v>0.15</v>
          </cell>
        </row>
        <row r="60">
          <cell r="A60" t="str">
            <v>Cape Verde</v>
          </cell>
        </row>
        <row r="61">
          <cell r="A61" t="str">
            <v>Eswatini</v>
          </cell>
        </row>
        <row r="62">
          <cell r="A62" t="str">
            <v>Germany</v>
          </cell>
          <cell r="B62">
            <v>0.65</v>
          </cell>
          <cell r="C62">
            <v>0.35</v>
          </cell>
        </row>
        <row r="63">
          <cell r="A63" t="str">
            <v>Ghana</v>
          </cell>
        </row>
        <row r="64">
          <cell r="A64" t="str">
            <v>Serbia</v>
          </cell>
          <cell r="B64">
            <v>0.7</v>
          </cell>
          <cell r="C64">
            <v>0.3</v>
          </cell>
        </row>
        <row r="65">
          <cell r="A65" t="str">
            <v>Costa Rica</v>
          </cell>
        </row>
        <row r="66">
          <cell r="A66" t="str">
            <v>Gabon</v>
          </cell>
        </row>
        <row r="67">
          <cell r="A67" t="str">
            <v>Senegal</v>
          </cell>
        </row>
        <row r="68">
          <cell r="A68" t="str">
            <v>Hungary</v>
          </cell>
          <cell r="B68">
            <v>0.7</v>
          </cell>
          <cell r="C68">
            <v>0.3</v>
          </cell>
        </row>
        <row r="69">
          <cell r="A69" t="str">
            <v>Portugal</v>
          </cell>
          <cell r="B69">
            <v>0.65</v>
          </cell>
          <cell r="C69">
            <v>0.35</v>
          </cell>
        </row>
        <row r="70">
          <cell r="A70" t="str">
            <v>Bulgaria</v>
          </cell>
          <cell r="B70">
            <v>0.64</v>
          </cell>
          <cell r="C70">
            <v>0.36</v>
          </cell>
        </row>
        <row r="71">
          <cell r="A71" t="str">
            <v>Ireland</v>
          </cell>
          <cell r="B71">
            <v>0.63</v>
          </cell>
          <cell r="C71">
            <v>0.37</v>
          </cell>
        </row>
        <row r="72">
          <cell r="A72" t="str">
            <v>Kenya</v>
          </cell>
        </row>
        <row r="73">
          <cell r="A73" t="str">
            <v>Romania</v>
          </cell>
          <cell r="B73">
            <v>0.68</v>
          </cell>
          <cell r="C73">
            <v>0.32</v>
          </cell>
        </row>
        <row r="74">
          <cell r="A74" t="str">
            <v>Czechia</v>
          </cell>
          <cell r="B74">
            <v>0.59</v>
          </cell>
          <cell r="C74">
            <v>0.41</v>
          </cell>
        </row>
        <row r="75">
          <cell r="A75" t="str">
            <v>Equatorial Guinea</v>
          </cell>
        </row>
        <row r="76">
          <cell r="A76" t="str">
            <v>Austria</v>
          </cell>
          <cell r="B76">
            <v>0.64</v>
          </cell>
          <cell r="C76">
            <v>0.36</v>
          </cell>
        </row>
        <row r="77">
          <cell r="A77" t="str">
            <v>Kosovo</v>
          </cell>
        </row>
        <row r="78">
          <cell r="A78" t="str">
            <v>Latvia</v>
          </cell>
        </row>
        <row r="79">
          <cell r="A79" t="str">
            <v>Sweden</v>
          </cell>
          <cell r="B79">
            <v>0.62</v>
          </cell>
          <cell r="C79">
            <v>0.38</v>
          </cell>
        </row>
        <row r="80">
          <cell r="A80" t="str">
            <v>Sudan</v>
          </cell>
        </row>
        <row r="81">
          <cell r="A81" t="str">
            <v>El Salvador</v>
          </cell>
        </row>
        <row r="82">
          <cell r="A82" t="str">
            <v>Poland</v>
          </cell>
          <cell r="B82">
            <v>0.72</v>
          </cell>
          <cell r="C82">
            <v>0.28000000000000003</v>
          </cell>
        </row>
        <row r="83">
          <cell r="A83" t="str">
            <v>Philippines</v>
          </cell>
          <cell r="B83">
            <v>0.68</v>
          </cell>
          <cell r="C83">
            <v>0.32</v>
          </cell>
        </row>
        <row r="84">
          <cell r="A84" t="str">
            <v>Japan</v>
          </cell>
          <cell r="B84">
            <v>0.6</v>
          </cell>
          <cell r="C84">
            <v>0.4</v>
          </cell>
        </row>
        <row r="85">
          <cell r="A85" t="str">
            <v>Mongolia</v>
          </cell>
        </row>
        <row r="86">
          <cell r="A86" t="str">
            <v>Cambodia</v>
          </cell>
        </row>
        <row r="87">
          <cell r="A87" t="str">
            <v>Papua New Guinea</v>
          </cell>
        </row>
        <row r="88">
          <cell r="A88" t="str">
            <v>Laos</v>
          </cell>
        </row>
        <row r="89">
          <cell r="A89" t="str">
            <v>Vietnam</v>
          </cell>
          <cell r="B89">
            <v>0.77</v>
          </cell>
          <cell r="C89">
            <v>0.23</v>
          </cell>
        </row>
        <row r="90">
          <cell r="A90" t="str">
            <v>Moldova</v>
          </cell>
        </row>
        <row r="91">
          <cell r="A91" t="str">
            <v>Malta</v>
          </cell>
        </row>
        <row r="92">
          <cell r="A92" t="str">
            <v>Andorra</v>
          </cell>
        </row>
        <row r="93">
          <cell r="A93" t="str">
            <v>Palestine</v>
          </cell>
        </row>
        <row r="94">
          <cell r="A94" t="str">
            <v>Mauritania</v>
          </cell>
        </row>
        <row r="95">
          <cell r="A95" t="str">
            <v>Namibia</v>
          </cell>
        </row>
        <row r="96">
          <cell r="A96" t="str">
            <v>Ukraine</v>
          </cell>
          <cell r="B96">
            <v>0.65</v>
          </cell>
          <cell r="C96">
            <v>0.35</v>
          </cell>
        </row>
        <row r="97">
          <cell r="A97" t="str">
            <v>Canada</v>
          </cell>
          <cell r="B97">
            <v>0.59</v>
          </cell>
          <cell r="C97">
            <v>0.41</v>
          </cell>
        </row>
        <row r="98">
          <cell r="A98" t="str">
            <v>Colombia</v>
          </cell>
          <cell r="B98">
            <v>0.8</v>
          </cell>
          <cell r="C98">
            <v>0.2</v>
          </cell>
        </row>
        <row r="99">
          <cell r="A99" t="str">
            <v>United States</v>
          </cell>
          <cell r="B99">
            <v>0.59</v>
          </cell>
          <cell r="C99">
            <v>0.41</v>
          </cell>
        </row>
        <row r="100">
          <cell r="A100" t="str">
            <v>Afghanistan</v>
          </cell>
        </row>
        <row r="101">
          <cell r="A101" t="str">
            <v>Lithuania</v>
          </cell>
          <cell r="B101">
            <v>0.62</v>
          </cell>
          <cell r="C101">
            <v>0.38</v>
          </cell>
        </row>
        <row r="102">
          <cell r="A102" t="str">
            <v>Lebanon</v>
          </cell>
        </row>
        <row r="103">
          <cell r="A103" t="str">
            <v>Bolivia</v>
          </cell>
        </row>
        <row r="104">
          <cell r="A104" t="str">
            <v>Iceland</v>
          </cell>
        </row>
        <row r="105">
          <cell r="A105" t="str">
            <v>Liechtenstein</v>
          </cell>
        </row>
        <row r="106">
          <cell r="A106" t="str">
            <v>Gibraltar</v>
          </cell>
        </row>
        <row r="107">
          <cell r="A107" t="str">
            <v>Mexico</v>
          </cell>
          <cell r="B107">
            <v>0.8</v>
          </cell>
          <cell r="C107">
            <v>0.2</v>
          </cell>
        </row>
        <row r="108">
          <cell r="A108" t="str">
            <v>Bhutan</v>
          </cell>
        </row>
        <row r="109">
          <cell r="A109" t="str">
            <v>Comoros</v>
          </cell>
        </row>
        <row r="110">
          <cell r="A110" t="str">
            <v>Morocco</v>
          </cell>
        </row>
        <row r="111">
          <cell r="A111" t="str">
            <v>Finland</v>
          </cell>
          <cell r="B111">
            <v>0.56000000000000005</v>
          </cell>
          <cell r="C111">
            <v>0.44</v>
          </cell>
        </row>
        <row r="112">
          <cell r="A112" t="str">
            <v>Spain</v>
          </cell>
          <cell r="B112">
            <v>0.71</v>
          </cell>
          <cell r="C112">
            <v>0.28999999999999998</v>
          </cell>
        </row>
        <row r="113">
          <cell r="A113" t="str">
            <v>Taiwan</v>
          </cell>
          <cell r="B113">
            <v>0.56000000000000005</v>
          </cell>
          <cell r="C113">
            <v>0.44</v>
          </cell>
        </row>
        <row r="114">
          <cell r="A114" t="str">
            <v>Guatemala</v>
          </cell>
        </row>
        <row r="115">
          <cell r="A115" t="str">
            <v>Norway</v>
          </cell>
          <cell r="B115">
            <v>0.56000000000000005</v>
          </cell>
          <cell r="C115">
            <v>0.44</v>
          </cell>
        </row>
        <row r="116">
          <cell r="A116" t="str">
            <v>Slovenia</v>
          </cell>
        </row>
        <row r="117">
          <cell r="A117" t="str">
            <v>Peru</v>
          </cell>
          <cell r="B117">
            <v>0.82</v>
          </cell>
          <cell r="C117">
            <v>0.18</v>
          </cell>
        </row>
        <row r="118">
          <cell r="A118" t="str">
            <v>Cyprus</v>
          </cell>
        </row>
        <row r="119">
          <cell r="A119" t="str">
            <v>Belgium</v>
          </cell>
          <cell r="B119">
            <v>0.62</v>
          </cell>
          <cell r="C119">
            <v>0.38</v>
          </cell>
        </row>
        <row r="120">
          <cell r="A120" t="str">
            <v>Croatia</v>
          </cell>
          <cell r="B120">
            <v>0.66</v>
          </cell>
          <cell r="C120">
            <v>0.34</v>
          </cell>
        </row>
        <row r="121">
          <cell r="A121" t="str">
            <v>Gambia</v>
          </cell>
        </row>
        <row r="122">
          <cell r="A122" t="str">
            <v>Slovakia</v>
          </cell>
          <cell r="B122">
            <v>0.63</v>
          </cell>
          <cell r="C122">
            <v>0.37</v>
          </cell>
        </row>
        <row r="123">
          <cell r="A123" t="str">
            <v>Liberia</v>
          </cell>
        </row>
        <row r="124">
          <cell r="A124" t="str">
            <v>Uruguay</v>
          </cell>
        </row>
        <row r="125">
          <cell r="A125" t="str">
            <v>Macao</v>
          </cell>
        </row>
        <row r="126">
          <cell r="A126" t="str">
            <v>South Africa</v>
          </cell>
          <cell r="B126">
            <v>0.63</v>
          </cell>
          <cell r="C126">
            <v>0.37</v>
          </cell>
        </row>
        <row r="127">
          <cell r="A127" t="str">
            <v>Denmark</v>
          </cell>
          <cell r="B127">
            <v>0.54</v>
          </cell>
          <cell r="C127">
            <v>0.46</v>
          </cell>
        </row>
        <row r="128">
          <cell r="A128" t="str">
            <v>Kyrgyzstan</v>
          </cell>
        </row>
        <row r="129">
          <cell r="A129" t="str">
            <v>Netherlands</v>
          </cell>
          <cell r="B129">
            <v>0.54</v>
          </cell>
          <cell r="C129">
            <v>0.46</v>
          </cell>
        </row>
        <row r="130">
          <cell r="A130" t="str">
            <v>Somalia</v>
          </cell>
        </row>
        <row r="131">
          <cell r="A131" t="str">
            <v>Russia</v>
          </cell>
          <cell r="B131">
            <v>0.55000000000000004</v>
          </cell>
          <cell r="C131">
            <v>0.45</v>
          </cell>
        </row>
        <row r="132">
          <cell r="A132" t="str">
            <v>Timor-Leste</v>
          </cell>
        </row>
        <row r="133">
          <cell r="A133" t="str">
            <v>Kazakhstan</v>
          </cell>
          <cell r="B133">
            <v>0.67</v>
          </cell>
          <cell r="C133">
            <v>0.33</v>
          </cell>
        </row>
        <row r="134">
          <cell r="A134" t="str">
            <v>Bosnia &amp; Herzegovina</v>
          </cell>
        </row>
        <row r="135">
          <cell r="A135" t="str">
            <v>Djibouti</v>
          </cell>
        </row>
        <row r="136">
          <cell r="A136" t="str">
            <v>South Sudan</v>
          </cell>
        </row>
        <row r="137">
          <cell r="A137" t="str">
            <v>Algeria</v>
          </cell>
        </row>
        <row r="138">
          <cell r="A138" t="str">
            <v>Monaco</v>
          </cell>
        </row>
        <row r="139">
          <cell r="A139" t="str">
            <v>New Zealand</v>
          </cell>
          <cell r="B139">
            <v>0.5</v>
          </cell>
          <cell r="C139">
            <v>0.5</v>
          </cell>
        </row>
        <row r="140">
          <cell r="A140" t="str">
            <v>Jordan</v>
          </cell>
        </row>
        <row r="141">
          <cell r="A141" t="str">
            <v>Azerbaijan</v>
          </cell>
        </row>
        <row r="142">
          <cell r="A142" t="str">
            <v>France</v>
          </cell>
          <cell r="B142">
            <v>0.67</v>
          </cell>
          <cell r="C142">
            <v>0.33</v>
          </cell>
        </row>
        <row r="143">
          <cell r="A143" t="str">
            <v>Brazil</v>
          </cell>
          <cell r="B143">
            <v>0.78</v>
          </cell>
          <cell r="C143">
            <v>0.22</v>
          </cell>
        </row>
        <row r="144">
          <cell r="A144" t="str">
            <v>Australia</v>
          </cell>
          <cell r="B144">
            <v>0.53</v>
          </cell>
          <cell r="C144">
            <v>0.47</v>
          </cell>
        </row>
        <row r="145">
          <cell r="A145" t="str">
            <v>Dominica</v>
          </cell>
        </row>
        <row r="146">
          <cell r="A146" t="str">
            <v>Syria</v>
          </cell>
        </row>
        <row r="147">
          <cell r="A147" t="str">
            <v>Paraguay</v>
          </cell>
        </row>
        <row r="148">
          <cell r="A148" t="str">
            <v>Honduras</v>
          </cell>
        </row>
        <row r="149">
          <cell r="A149" t="str">
            <v>United Arab Emirates</v>
          </cell>
          <cell r="B149">
            <v>0.64</v>
          </cell>
          <cell r="C149">
            <v>0.36</v>
          </cell>
        </row>
        <row r="150">
          <cell r="A150" t="str">
            <v>Indonesia</v>
          </cell>
          <cell r="B150">
            <v>0.8</v>
          </cell>
          <cell r="C150">
            <v>0.2</v>
          </cell>
        </row>
        <row r="151">
          <cell r="A151" t="str">
            <v>Faroe Islands</v>
          </cell>
        </row>
        <row r="152">
          <cell r="A152" t="str">
            <v>Malaysia</v>
          </cell>
          <cell r="B152">
            <v>0.65</v>
          </cell>
          <cell r="C152">
            <v>0.35</v>
          </cell>
        </row>
        <row r="153">
          <cell r="A153" t="str">
            <v>Nicaragua</v>
          </cell>
        </row>
        <row r="154">
          <cell r="A154" t="str">
            <v>Greece</v>
          </cell>
          <cell r="B154">
            <v>0.71</v>
          </cell>
          <cell r="C154">
            <v>0.28999999999999998</v>
          </cell>
        </row>
        <row r="155">
          <cell r="A155" t="str">
            <v>Haiti</v>
          </cell>
        </row>
        <row r="156">
          <cell r="A156" t="str">
            <v>Iran</v>
          </cell>
          <cell r="B156">
            <v>0.68</v>
          </cell>
          <cell r="C156">
            <v>0.32</v>
          </cell>
        </row>
        <row r="157">
          <cell r="A157" t="str">
            <v>Italy</v>
          </cell>
          <cell r="B157">
            <v>0.66</v>
          </cell>
          <cell r="C157">
            <v>0.34</v>
          </cell>
        </row>
        <row r="158">
          <cell r="A158" t="str">
            <v>Chile</v>
          </cell>
          <cell r="B158">
            <v>0.7</v>
          </cell>
          <cell r="C158">
            <v>0.3</v>
          </cell>
        </row>
        <row r="159">
          <cell r="A159" t="str">
            <v>United Kingdom</v>
          </cell>
          <cell r="B159">
            <v>0.54</v>
          </cell>
          <cell r="C159">
            <v>0.46</v>
          </cell>
        </row>
        <row r="160">
          <cell r="A160" t="str">
            <v>Maldives</v>
          </cell>
        </row>
        <row r="161">
          <cell r="A161" t="str">
            <v>Turkmenistan</v>
          </cell>
        </row>
        <row r="162">
          <cell r="A162" t="str">
            <v>New Caledonia</v>
          </cell>
        </row>
        <row r="163">
          <cell r="A163" t="str">
            <v>Brunei</v>
          </cell>
        </row>
        <row r="164">
          <cell r="A164" t="str">
            <v>French Polynesia</v>
          </cell>
        </row>
        <row r="165">
          <cell r="A165" t="str">
            <v>Egypt</v>
          </cell>
          <cell r="B165">
            <v>0.72</v>
          </cell>
          <cell r="C165">
            <v>0.28000000000000003</v>
          </cell>
        </row>
        <row r="166">
          <cell r="A166" t="str">
            <v>Yemen</v>
          </cell>
        </row>
        <row r="167">
          <cell r="A167" t="str">
            <v>Isle of Man</v>
          </cell>
        </row>
        <row r="168">
          <cell r="A168" t="str">
            <v>Fiji</v>
          </cell>
        </row>
        <row r="169">
          <cell r="A169" t="str">
            <v>Bahrain</v>
          </cell>
        </row>
        <row r="170">
          <cell r="A170" t="str">
            <v>Venezuela</v>
          </cell>
        </row>
        <row r="171">
          <cell r="A171" t="str">
            <v>San Marino</v>
          </cell>
        </row>
        <row r="172">
          <cell r="A172" t="str">
            <v>Montenegro</v>
          </cell>
        </row>
        <row r="173">
          <cell r="A173" t="str">
            <v>Oman</v>
          </cell>
        </row>
        <row r="174">
          <cell r="A174" t="str">
            <v>Jamaica</v>
          </cell>
        </row>
        <row r="175">
          <cell r="A175" t="str">
            <v>Guernsey</v>
          </cell>
        </row>
        <row r="176">
          <cell r="A176" t="str">
            <v>Panama</v>
          </cell>
        </row>
        <row r="177">
          <cell r="A177" t="str">
            <v>Western Sahara</v>
          </cell>
        </row>
        <row r="178">
          <cell r="A178" t="str">
            <v>Argentina</v>
          </cell>
          <cell r="B178">
            <v>0.72</v>
          </cell>
          <cell r="C178">
            <v>0.28000000000000003</v>
          </cell>
        </row>
        <row r="179">
          <cell r="A179" t="str">
            <v>Tajikistan</v>
          </cell>
        </row>
        <row r="180">
          <cell r="A180" t="str">
            <v>Suriname</v>
          </cell>
        </row>
        <row r="181">
          <cell r="A181" t="str">
            <v>Vanuatu</v>
          </cell>
        </row>
        <row r="182">
          <cell r="A182" t="str">
            <v>Turkey</v>
          </cell>
          <cell r="B182">
            <v>0.78</v>
          </cell>
          <cell r="C182">
            <v>0.22</v>
          </cell>
        </row>
        <row r="183">
          <cell r="A183" t="str">
            <v>Georgia</v>
          </cell>
        </row>
        <row r="184">
          <cell r="A184" t="str">
            <v>Saudi Arabia</v>
          </cell>
          <cell r="B184">
            <v>0.8</v>
          </cell>
          <cell r="C184">
            <v>0.2</v>
          </cell>
        </row>
        <row r="185">
          <cell r="A185" t="str">
            <v>Qatar</v>
          </cell>
        </row>
        <row r="186">
          <cell r="A186" t="str">
            <v>Libya</v>
          </cell>
        </row>
        <row r="187">
          <cell r="A187" t="str">
            <v>Barbados</v>
          </cell>
        </row>
        <row r="188">
          <cell r="A188" t="str">
            <v>Samoa</v>
          </cell>
        </row>
        <row r="189">
          <cell r="A189" t="str">
            <v>Seychelles</v>
          </cell>
        </row>
        <row r="190">
          <cell r="A190" t="str">
            <v>Guam</v>
          </cell>
        </row>
        <row r="191">
          <cell r="A191" t="str">
            <v>Thailand</v>
          </cell>
          <cell r="B191">
            <v>0.68</v>
          </cell>
          <cell r="C191">
            <v>0.32</v>
          </cell>
        </row>
        <row r="192">
          <cell r="A192" t="str">
            <v>Solomon Islands</v>
          </cell>
        </row>
        <row r="193">
          <cell r="A193" t="str">
            <v>Dominican Republic</v>
          </cell>
        </row>
        <row r="194">
          <cell r="A194" t="str">
            <v>CuraÃ§ao</v>
          </cell>
        </row>
        <row r="195">
          <cell r="A195" t="str">
            <v>U.S. Virgin Islands</v>
          </cell>
        </row>
        <row r="196">
          <cell r="A196" t="str">
            <v>Jersey</v>
          </cell>
        </row>
        <row r="197">
          <cell r="A197" t="str">
            <v>Puerto Rico</v>
          </cell>
        </row>
        <row r="198">
          <cell r="A198" t="str">
            <v>Cayman Islands</v>
          </cell>
        </row>
        <row r="199">
          <cell r="A199" t="str">
            <v>Trinidad &amp; Tobago</v>
          </cell>
        </row>
        <row r="200">
          <cell r="A200" t="str">
            <v>Greenland</v>
          </cell>
        </row>
        <row r="201">
          <cell r="A201" t="str">
            <v>Grenada</v>
          </cell>
        </row>
        <row r="202">
          <cell r="A202" t="str">
            <v>RÃ©union</v>
          </cell>
        </row>
        <row r="203">
          <cell r="A203" t="str">
            <v>St. Kitts &amp; Nevis</v>
          </cell>
        </row>
        <row r="204">
          <cell r="A204" t="str">
            <v>Iraq</v>
          </cell>
        </row>
        <row r="205">
          <cell r="A205" t="str">
            <v>Kuwait</v>
          </cell>
        </row>
        <row r="206">
          <cell r="A206" t="str">
            <v>Northern Mariana Islands</v>
          </cell>
        </row>
        <row r="207">
          <cell r="A207" t="str">
            <v>St. BarthÃ©lemy</v>
          </cell>
        </row>
        <row r="208">
          <cell r="A208" t="str">
            <v>Antigua &amp; Barbuda</v>
          </cell>
        </row>
        <row r="209">
          <cell r="A209" t="str">
            <v>Guadeloupe</v>
          </cell>
        </row>
        <row r="210">
          <cell r="A210" t="str">
            <v>St. Vincent &amp; Grenadines</v>
          </cell>
        </row>
        <row r="211">
          <cell r="A211" t="str">
            <v>Sint Maarten</v>
          </cell>
        </row>
        <row r="212">
          <cell r="A212" t="str">
            <v>Bermuda</v>
          </cell>
        </row>
        <row r="213">
          <cell r="A213" t="str">
            <v>St. Lucia</v>
          </cell>
        </row>
        <row r="214">
          <cell r="A214" t="str">
            <v>Belize</v>
          </cell>
        </row>
        <row r="215">
          <cell r="A215" t="str">
            <v>Aruba</v>
          </cell>
        </row>
        <row r="216">
          <cell r="A216" t="str">
            <v>French Guiana</v>
          </cell>
        </row>
        <row r="217">
          <cell r="A217" t="str">
            <v>Martinique</v>
          </cell>
        </row>
        <row r="218">
          <cell r="A218" t="str">
            <v>Guyana</v>
          </cell>
        </row>
        <row r="219">
          <cell r="A219" t="str">
            <v>Bahamas</v>
          </cell>
        </row>
        <row r="220">
          <cell r="A220" t="str">
            <v>Mayotte</v>
          </cell>
        </row>
        <row r="221">
          <cell r="A221" t="str">
            <v>North Korea</v>
          </cell>
        </row>
        <row r="222">
          <cell r="A222" t="str">
            <v>Nauru</v>
          </cell>
        </row>
        <row r="223">
          <cell r="A223" t="str">
            <v>Anguilla</v>
          </cell>
        </row>
        <row r="224">
          <cell r="A224" t="str">
            <v>Falkland Islands (Islas Malvinas)</v>
          </cell>
        </row>
        <row r="225">
          <cell r="A225" t="str">
            <v>Montserrat</v>
          </cell>
        </row>
        <row r="226">
          <cell r="A226" t="str">
            <v>St. Pierre &amp; Miquelon</v>
          </cell>
        </row>
        <row r="227">
          <cell r="A227" t="str">
            <v>St. Martin</v>
          </cell>
        </row>
        <row r="228">
          <cell r="A228" t="str">
            <v>Turks &amp; Caicos Islands</v>
          </cell>
        </row>
        <row r="229">
          <cell r="A229" t="str">
            <v>Cook Islands</v>
          </cell>
        </row>
        <row r="230">
          <cell r="A230" t="str">
            <v>Marshall Islands</v>
          </cell>
        </row>
        <row r="231">
          <cell r="A231" t="str">
            <v>American Samoa</v>
          </cell>
        </row>
        <row r="232">
          <cell r="A232" t="str">
            <v>Caribbean Netherlands</v>
          </cell>
        </row>
        <row r="233">
          <cell r="A233" t="str">
            <v>Palau</v>
          </cell>
        </row>
        <row r="234">
          <cell r="A234" t="str">
            <v>Micronesia</v>
          </cell>
        </row>
        <row r="235">
          <cell r="A235" t="str">
            <v>British Virgin Islands</v>
          </cell>
        </row>
        <row r="236">
          <cell r="A236" t="str">
            <v>Antarctica</v>
          </cell>
        </row>
        <row r="237">
          <cell r="A237" t="str">
            <v>French Southern Territories</v>
          </cell>
        </row>
        <row r="238">
          <cell r="A238" t="str">
            <v>Bouvet Island</v>
          </cell>
        </row>
        <row r="239">
          <cell r="A239" t="str">
            <v>Cocos (Keeling) Islands</v>
          </cell>
        </row>
        <row r="240">
          <cell r="A240" t="str">
            <v>Christmas Island</v>
          </cell>
        </row>
        <row r="241">
          <cell r="A241" t="str">
            <v>Heard &amp; McDonald Islands</v>
          </cell>
        </row>
        <row r="242">
          <cell r="A242" t="str">
            <v>British Indian Ocean Territory</v>
          </cell>
        </row>
        <row r="243">
          <cell r="A243" t="str">
            <v>Kiribati</v>
          </cell>
        </row>
        <row r="244">
          <cell r="A244" t="str">
            <v>Norfolk Island</v>
          </cell>
        </row>
        <row r="245">
          <cell r="A245" t="str">
            <v>Niue</v>
          </cell>
        </row>
        <row r="246">
          <cell r="A246" t="str">
            <v>Pitcairn Islands</v>
          </cell>
        </row>
        <row r="247">
          <cell r="A247" t="str">
            <v>South Georgia &amp; South Sandwich Islands</v>
          </cell>
        </row>
        <row r="248">
          <cell r="A248" t="str">
            <v>Svalbard &amp; Jan Mayen</v>
          </cell>
        </row>
        <row r="249">
          <cell r="A249" t="str">
            <v>Tokelau</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1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71)"/>
    </sheetNames>
    <sheetDataSet>
      <sheetData sheetId="0" refreshError="1">
        <row r="1">
          <cell r="A1" t="str">
            <v>Category: All categories</v>
          </cell>
        </row>
        <row r="3">
          <cell r="A3" t="str">
            <v>Country</v>
          </cell>
          <cell r="B3" t="str">
            <v>Java: (2018)</v>
          </cell>
          <cell r="C3" t="str">
            <v>C++: (2018)</v>
          </cell>
        </row>
        <row r="4">
          <cell r="A4" t="str">
            <v>North Korea</v>
          </cell>
        </row>
        <row r="5">
          <cell r="A5" t="str">
            <v>China</v>
          </cell>
          <cell r="B5">
            <v>0.7</v>
          </cell>
          <cell r="C5">
            <v>0.3</v>
          </cell>
        </row>
        <row r="6">
          <cell r="A6" t="str">
            <v>Madagascar</v>
          </cell>
        </row>
        <row r="7">
          <cell r="A7" t="str">
            <v>St. Helena</v>
          </cell>
          <cell r="B7">
            <v>0.86</v>
          </cell>
          <cell r="C7">
            <v>0.14000000000000001</v>
          </cell>
        </row>
        <row r="8">
          <cell r="A8" t="str">
            <v>Bangladesh</v>
          </cell>
          <cell r="B8">
            <v>0.91</v>
          </cell>
          <cell r="C8">
            <v>0.09</v>
          </cell>
        </row>
        <row r="9">
          <cell r="A9" t="str">
            <v>Ethiopia</v>
          </cell>
          <cell r="B9">
            <v>0.71</v>
          </cell>
          <cell r="C9">
            <v>0.28999999999999998</v>
          </cell>
        </row>
        <row r="10">
          <cell r="A10" t="str">
            <v>Eritrea</v>
          </cell>
        </row>
        <row r="11">
          <cell r="A11" t="str">
            <v>Cameroon</v>
          </cell>
        </row>
        <row r="12">
          <cell r="A12" t="str">
            <v>South Korea</v>
          </cell>
          <cell r="B12">
            <v>0.75</v>
          </cell>
          <cell r="C12">
            <v>0.25</v>
          </cell>
        </row>
        <row r="13">
          <cell r="A13" t="str">
            <v>Sierra Leone</v>
          </cell>
        </row>
        <row r="14">
          <cell r="A14" t="str">
            <v>Burundi</v>
          </cell>
        </row>
        <row r="15">
          <cell r="A15" t="str">
            <v>Togo</v>
          </cell>
        </row>
        <row r="16">
          <cell r="A16" t="str">
            <v>Benin</v>
          </cell>
        </row>
        <row r="17">
          <cell r="A17" t="str">
            <v>Zambia</v>
          </cell>
        </row>
        <row r="18">
          <cell r="A18" t="str">
            <v>SÃ£o TomÃ© &amp; PrÃ­ncipe</v>
          </cell>
        </row>
        <row r="19">
          <cell r="A19" t="str">
            <v>India</v>
          </cell>
          <cell r="B19">
            <v>0.83</v>
          </cell>
          <cell r="C19">
            <v>0.17</v>
          </cell>
        </row>
        <row r="20">
          <cell r="A20" t="str">
            <v>Sri Lanka</v>
          </cell>
          <cell r="B20">
            <v>0.89</v>
          </cell>
          <cell r="C20">
            <v>0.11</v>
          </cell>
        </row>
        <row r="21">
          <cell r="A21" t="str">
            <v>Uganda</v>
          </cell>
        </row>
        <row r="22">
          <cell r="A22" t="str">
            <v>Malawi</v>
          </cell>
        </row>
        <row r="23">
          <cell r="A23" t="str">
            <v>Nigeria</v>
          </cell>
          <cell r="B23">
            <v>0.94</v>
          </cell>
          <cell r="C23">
            <v>0.06</v>
          </cell>
        </row>
        <row r="24">
          <cell r="A24" t="str">
            <v>Cuba</v>
          </cell>
        </row>
        <row r="25">
          <cell r="A25" t="str">
            <v>Ã…land Islands</v>
          </cell>
        </row>
        <row r="26">
          <cell r="A26" t="str">
            <v>Congo - Kinshasa</v>
          </cell>
        </row>
        <row r="27">
          <cell r="A27" t="str">
            <v>Rwanda</v>
          </cell>
        </row>
        <row r="28">
          <cell r="A28" t="str">
            <v>Guinea</v>
          </cell>
        </row>
        <row r="29">
          <cell r="A29" t="str">
            <v>Congo - Brazzaville</v>
          </cell>
        </row>
        <row r="30">
          <cell r="A30" t="str">
            <v>Botswana</v>
          </cell>
        </row>
        <row r="31">
          <cell r="A31" t="str">
            <v>Mozambique</v>
          </cell>
        </row>
        <row r="32">
          <cell r="A32" t="str">
            <v>Singapore</v>
          </cell>
          <cell r="B32">
            <v>0.78</v>
          </cell>
          <cell r="C32">
            <v>0.22</v>
          </cell>
        </row>
        <row r="33">
          <cell r="A33" t="str">
            <v>Myanmar (Burma)</v>
          </cell>
        </row>
        <row r="34">
          <cell r="A34" t="str">
            <v>Luxembourg</v>
          </cell>
        </row>
        <row r="35">
          <cell r="A35" t="str">
            <v>Burkina Faso</v>
          </cell>
        </row>
        <row r="36">
          <cell r="A36" t="str">
            <v>Tunisia</v>
          </cell>
          <cell r="B36">
            <v>0.84</v>
          </cell>
          <cell r="C36">
            <v>0.16</v>
          </cell>
        </row>
        <row r="37">
          <cell r="A37" t="str">
            <v>Uzbekistan</v>
          </cell>
          <cell r="B37">
            <v>0.78</v>
          </cell>
          <cell r="C37">
            <v>0.22</v>
          </cell>
        </row>
        <row r="38">
          <cell r="A38" t="str">
            <v>Central African Republic</v>
          </cell>
        </row>
        <row r="39">
          <cell r="A39" t="str">
            <v>CÃ´te dâ€™Ivoire</v>
          </cell>
        </row>
        <row r="40">
          <cell r="A40" t="str">
            <v>Nepal</v>
          </cell>
        </row>
        <row r="41">
          <cell r="A41" t="str">
            <v>Niger</v>
          </cell>
        </row>
        <row r="42">
          <cell r="A42" t="str">
            <v>Estonia</v>
          </cell>
        </row>
        <row r="43">
          <cell r="A43" t="str">
            <v>Israel</v>
          </cell>
          <cell r="B43">
            <v>0.72</v>
          </cell>
          <cell r="C43">
            <v>0.28000000000000003</v>
          </cell>
        </row>
        <row r="44">
          <cell r="A44" t="str">
            <v>Belarus</v>
          </cell>
          <cell r="B44">
            <v>0.74</v>
          </cell>
          <cell r="C44">
            <v>0.26</v>
          </cell>
        </row>
        <row r="45">
          <cell r="A45" t="str">
            <v>Pakistan</v>
          </cell>
          <cell r="B45">
            <v>0.56999999999999995</v>
          </cell>
          <cell r="C45">
            <v>0.43</v>
          </cell>
        </row>
        <row r="46">
          <cell r="A46" t="str">
            <v>Angola</v>
          </cell>
        </row>
        <row r="47">
          <cell r="A47" t="str">
            <v>Guinea-Bissau</v>
          </cell>
        </row>
        <row r="48">
          <cell r="A48" t="str">
            <v>Lesotho</v>
          </cell>
        </row>
        <row r="49">
          <cell r="A49" t="str">
            <v>North Macedonia</v>
          </cell>
        </row>
        <row r="50">
          <cell r="A50" t="str">
            <v>Zimbabwe</v>
          </cell>
        </row>
        <row r="51">
          <cell r="A51" t="str">
            <v>Hong Kong</v>
          </cell>
          <cell r="B51">
            <v>0.76</v>
          </cell>
          <cell r="C51">
            <v>0.24</v>
          </cell>
        </row>
        <row r="52">
          <cell r="A52" t="str">
            <v>Chad</v>
          </cell>
        </row>
        <row r="53">
          <cell r="A53" t="str">
            <v>Armenia</v>
          </cell>
        </row>
        <row r="54">
          <cell r="A54" t="str">
            <v>Albania</v>
          </cell>
        </row>
        <row r="55">
          <cell r="A55" t="str">
            <v>Mauritius</v>
          </cell>
        </row>
        <row r="56">
          <cell r="A56" t="str">
            <v>Eswatini</v>
          </cell>
        </row>
        <row r="57">
          <cell r="A57" t="str">
            <v>Switzerland</v>
          </cell>
          <cell r="B57">
            <v>0.78</v>
          </cell>
          <cell r="C57">
            <v>0.22</v>
          </cell>
        </row>
        <row r="58">
          <cell r="A58" t="str">
            <v>Mali</v>
          </cell>
        </row>
        <row r="59">
          <cell r="A59" t="str">
            <v>Ecuador</v>
          </cell>
          <cell r="B59">
            <v>0.79</v>
          </cell>
          <cell r="C59">
            <v>0.21</v>
          </cell>
        </row>
        <row r="60">
          <cell r="A60" t="str">
            <v>Tanzania</v>
          </cell>
        </row>
        <row r="61">
          <cell r="A61" t="str">
            <v>Germany</v>
          </cell>
          <cell r="B61">
            <v>0.76</v>
          </cell>
          <cell r="C61">
            <v>0.24</v>
          </cell>
        </row>
        <row r="62">
          <cell r="A62" t="str">
            <v>Equatorial Guinea</v>
          </cell>
        </row>
        <row r="63">
          <cell r="A63" t="str">
            <v>Ghana</v>
          </cell>
        </row>
        <row r="64">
          <cell r="A64" t="str">
            <v>Serbia</v>
          </cell>
          <cell r="B64">
            <v>0.77</v>
          </cell>
          <cell r="C64">
            <v>0.23</v>
          </cell>
        </row>
        <row r="65">
          <cell r="A65" t="str">
            <v>Tonga</v>
          </cell>
        </row>
        <row r="66">
          <cell r="A66" t="str">
            <v>Costa Rica</v>
          </cell>
        </row>
        <row r="67">
          <cell r="A67" t="str">
            <v>Senegal</v>
          </cell>
        </row>
        <row r="68">
          <cell r="A68" t="str">
            <v>Hungary</v>
          </cell>
          <cell r="B68">
            <v>0.79</v>
          </cell>
          <cell r="C68">
            <v>0.21</v>
          </cell>
        </row>
        <row r="69">
          <cell r="A69" t="str">
            <v>Gabon</v>
          </cell>
        </row>
        <row r="70">
          <cell r="A70" t="str">
            <v>Cape Verde</v>
          </cell>
        </row>
        <row r="71">
          <cell r="A71" t="str">
            <v>Bulgaria</v>
          </cell>
          <cell r="B71">
            <v>0.72</v>
          </cell>
          <cell r="C71">
            <v>0.28000000000000003</v>
          </cell>
        </row>
        <row r="72">
          <cell r="A72" t="str">
            <v>Portugal</v>
          </cell>
          <cell r="B72">
            <v>0.84</v>
          </cell>
          <cell r="C72">
            <v>0.16</v>
          </cell>
        </row>
        <row r="73">
          <cell r="A73" t="str">
            <v>Ireland</v>
          </cell>
          <cell r="B73">
            <v>0.86</v>
          </cell>
          <cell r="C73">
            <v>0.14000000000000001</v>
          </cell>
        </row>
        <row r="74">
          <cell r="A74" t="str">
            <v>Kenya</v>
          </cell>
          <cell r="B74">
            <v>0.79</v>
          </cell>
          <cell r="C74">
            <v>0.21</v>
          </cell>
        </row>
        <row r="75">
          <cell r="A75" t="str">
            <v>Romania</v>
          </cell>
          <cell r="B75">
            <v>0.62</v>
          </cell>
          <cell r="C75">
            <v>0.38</v>
          </cell>
        </row>
        <row r="76">
          <cell r="A76" t="str">
            <v>Austria</v>
          </cell>
          <cell r="B76">
            <v>0.75</v>
          </cell>
          <cell r="C76">
            <v>0.25</v>
          </cell>
        </row>
        <row r="77">
          <cell r="A77" t="str">
            <v>Sudan</v>
          </cell>
        </row>
        <row r="78">
          <cell r="A78" t="str">
            <v>Afghanistan</v>
          </cell>
        </row>
        <row r="79">
          <cell r="A79" t="str">
            <v>El Salvador</v>
          </cell>
        </row>
        <row r="80">
          <cell r="A80" t="str">
            <v>Czechia</v>
          </cell>
          <cell r="B80">
            <v>0.72</v>
          </cell>
          <cell r="C80">
            <v>0.28000000000000003</v>
          </cell>
        </row>
        <row r="81">
          <cell r="A81" t="str">
            <v>Sweden</v>
          </cell>
          <cell r="B81">
            <v>0.74</v>
          </cell>
          <cell r="C81">
            <v>0.26</v>
          </cell>
        </row>
        <row r="82">
          <cell r="A82" t="str">
            <v>Kosovo</v>
          </cell>
        </row>
        <row r="83">
          <cell r="A83" t="str">
            <v>Mongolia</v>
          </cell>
        </row>
        <row r="84">
          <cell r="A84" t="str">
            <v>Latvia</v>
          </cell>
        </row>
        <row r="85">
          <cell r="A85" t="str">
            <v>Poland</v>
          </cell>
          <cell r="B85">
            <v>0.67</v>
          </cell>
          <cell r="C85">
            <v>0.33</v>
          </cell>
        </row>
        <row r="86">
          <cell r="A86" t="str">
            <v>Philippines</v>
          </cell>
          <cell r="B86">
            <v>0.74</v>
          </cell>
          <cell r="C86">
            <v>0.26</v>
          </cell>
        </row>
        <row r="87">
          <cell r="A87" t="str">
            <v>Japan</v>
          </cell>
          <cell r="B87">
            <v>0.78</v>
          </cell>
          <cell r="C87">
            <v>0.22</v>
          </cell>
        </row>
        <row r="88">
          <cell r="A88" t="str">
            <v>Liechtenstein</v>
          </cell>
        </row>
        <row r="89">
          <cell r="A89" t="str">
            <v>Palestine</v>
          </cell>
        </row>
        <row r="90">
          <cell r="A90" t="str">
            <v>Moldova</v>
          </cell>
        </row>
        <row r="91">
          <cell r="A91" t="str">
            <v>Laos</v>
          </cell>
        </row>
        <row r="92">
          <cell r="A92" t="str">
            <v>Vietnam</v>
          </cell>
          <cell r="B92">
            <v>0.77</v>
          </cell>
          <cell r="C92">
            <v>0.23</v>
          </cell>
        </row>
        <row r="93">
          <cell r="A93" t="str">
            <v>Canada</v>
          </cell>
          <cell r="B93">
            <v>0.74</v>
          </cell>
          <cell r="C93">
            <v>0.26</v>
          </cell>
        </row>
        <row r="94">
          <cell r="A94" t="str">
            <v>Papua New Guinea</v>
          </cell>
        </row>
        <row r="95">
          <cell r="A95" t="str">
            <v>Lithuania</v>
          </cell>
          <cell r="B95">
            <v>0.67</v>
          </cell>
          <cell r="C95">
            <v>0.33</v>
          </cell>
        </row>
        <row r="96">
          <cell r="A96" t="str">
            <v>Iceland</v>
          </cell>
        </row>
        <row r="97">
          <cell r="A97" t="str">
            <v>Colombia</v>
          </cell>
          <cell r="B97">
            <v>0.83</v>
          </cell>
          <cell r="C97">
            <v>0.17</v>
          </cell>
        </row>
        <row r="98">
          <cell r="A98" t="str">
            <v>Cambodia</v>
          </cell>
        </row>
        <row r="99">
          <cell r="A99" t="str">
            <v>Ukraine</v>
          </cell>
          <cell r="B99">
            <v>0.71</v>
          </cell>
          <cell r="C99">
            <v>0.28999999999999998</v>
          </cell>
        </row>
        <row r="100">
          <cell r="A100" t="str">
            <v>United States</v>
          </cell>
          <cell r="B100">
            <v>0.76</v>
          </cell>
          <cell r="C100">
            <v>0.24</v>
          </cell>
        </row>
        <row r="101">
          <cell r="A101" t="str">
            <v>Bolivia</v>
          </cell>
          <cell r="B101">
            <v>0.75</v>
          </cell>
          <cell r="C101">
            <v>0.25</v>
          </cell>
        </row>
        <row r="102">
          <cell r="A102" t="str">
            <v>Malta</v>
          </cell>
        </row>
        <row r="103">
          <cell r="A103" t="str">
            <v>Namibia</v>
          </cell>
        </row>
        <row r="104">
          <cell r="A104" t="str">
            <v>Lebanon</v>
          </cell>
        </row>
        <row r="105">
          <cell r="A105" t="str">
            <v>Bhutan</v>
          </cell>
        </row>
        <row r="106">
          <cell r="A106" t="str">
            <v>Mexico</v>
          </cell>
          <cell r="B106">
            <v>0.76</v>
          </cell>
          <cell r="C106">
            <v>0.24</v>
          </cell>
        </row>
        <row r="107">
          <cell r="A107" t="str">
            <v>Guatemala</v>
          </cell>
        </row>
        <row r="108">
          <cell r="A108" t="str">
            <v>Mauritania</v>
          </cell>
        </row>
        <row r="109">
          <cell r="A109" t="str">
            <v>Spain</v>
          </cell>
          <cell r="B109">
            <v>0.85</v>
          </cell>
          <cell r="C109">
            <v>0.15</v>
          </cell>
        </row>
        <row r="110">
          <cell r="A110" t="str">
            <v>Taiwan</v>
          </cell>
          <cell r="B110">
            <v>0.63</v>
          </cell>
          <cell r="C110">
            <v>0.37</v>
          </cell>
        </row>
        <row r="111">
          <cell r="A111" t="str">
            <v>Morocco</v>
          </cell>
          <cell r="B111">
            <v>0.83</v>
          </cell>
          <cell r="C111">
            <v>0.17</v>
          </cell>
        </row>
        <row r="112">
          <cell r="A112" t="str">
            <v>Finland</v>
          </cell>
          <cell r="B112">
            <v>0.73</v>
          </cell>
          <cell r="C112">
            <v>0.27</v>
          </cell>
        </row>
        <row r="113">
          <cell r="A113" t="str">
            <v>Andorra</v>
          </cell>
        </row>
        <row r="114">
          <cell r="A114" t="str">
            <v>Peru</v>
          </cell>
          <cell r="B114">
            <v>0.78</v>
          </cell>
          <cell r="C114">
            <v>0.22</v>
          </cell>
        </row>
        <row r="115">
          <cell r="A115" t="str">
            <v>Gibraltar</v>
          </cell>
        </row>
        <row r="116">
          <cell r="A116" t="str">
            <v>Norway</v>
          </cell>
          <cell r="B116">
            <v>0.75</v>
          </cell>
          <cell r="C116">
            <v>0.25</v>
          </cell>
        </row>
        <row r="117">
          <cell r="A117" t="str">
            <v>Slovenia</v>
          </cell>
        </row>
        <row r="118">
          <cell r="A118" t="str">
            <v>Cyprus</v>
          </cell>
        </row>
        <row r="119">
          <cell r="A119" t="str">
            <v>Liberia</v>
          </cell>
        </row>
        <row r="120">
          <cell r="A120" t="str">
            <v>Belgium</v>
          </cell>
          <cell r="B120">
            <v>0.83</v>
          </cell>
          <cell r="C120">
            <v>0.17</v>
          </cell>
        </row>
        <row r="121">
          <cell r="A121" t="str">
            <v>Uruguay</v>
          </cell>
        </row>
        <row r="122">
          <cell r="A122" t="str">
            <v>Gambia</v>
          </cell>
        </row>
        <row r="123">
          <cell r="A123" t="str">
            <v>Somalia</v>
          </cell>
        </row>
        <row r="124">
          <cell r="A124" t="str">
            <v>Timor-Leste</v>
          </cell>
        </row>
        <row r="125">
          <cell r="A125" t="str">
            <v>Croatia</v>
          </cell>
          <cell r="B125">
            <v>0.73</v>
          </cell>
          <cell r="C125">
            <v>0.27</v>
          </cell>
        </row>
        <row r="126">
          <cell r="A126" t="str">
            <v>Slovakia</v>
          </cell>
          <cell r="B126">
            <v>0.73</v>
          </cell>
          <cell r="C126">
            <v>0.27</v>
          </cell>
        </row>
        <row r="127">
          <cell r="A127" t="str">
            <v>South Africa</v>
          </cell>
          <cell r="B127">
            <v>0.8</v>
          </cell>
          <cell r="C127">
            <v>0.2</v>
          </cell>
        </row>
        <row r="128">
          <cell r="A128" t="str">
            <v>Denmark</v>
          </cell>
          <cell r="B128">
            <v>0.79</v>
          </cell>
          <cell r="C128">
            <v>0.21</v>
          </cell>
        </row>
        <row r="129">
          <cell r="A129" t="str">
            <v>Kyrgyzstan</v>
          </cell>
        </row>
        <row r="130">
          <cell r="A130" t="str">
            <v>Comoros</v>
          </cell>
        </row>
        <row r="131">
          <cell r="A131" t="str">
            <v>Netherlands</v>
          </cell>
          <cell r="B131">
            <v>0.78</v>
          </cell>
          <cell r="C131">
            <v>0.22</v>
          </cell>
        </row>
        <row r="132">
          <cell r="A132" t="str">
            <v>Russia</v>
          </cell>
          <cell r="B132">
            <v>0.61</v>
          </cell>
          <cell r="C132">
            <v>0.39</v>
          </cell>
        </row>
        <row r="133">
          <cell r="A133" t="str">
            <v>Kazakhstan</v>
          </cell>
          <cell r="B133">
            <v>0.67</v>
          </cell>
          <cell r="C133">
            <v>0.33</v>
          </cell>
        </row>
        <row r="134">
          <cell r="A134" t="str">
            <v>Macao</v>
          </cell>
        </row>
        <row r="135">
          <cell r="A135" t="str">
            <v>Bosnia &amp; Herzegovina</v>
          </cell>
        </row>
        <row r="136">
          <cell r="A136" t="str">
            <v>Algeria</v>
          </cell>
          <cell r="B136">
            <v>0.8</v>
          </cell>
          <cell r="C136">
            <v>0.2</v>
          </cell>
        </row>
        <row r="137">
          <cell r="A137" t="str">
            <v>Jordan</v>
          </cell>
        </row>
        <row r="138">
          <cell r="A138" t="str">
            <v>Monaco</v>
          </cell>
        </row>
        <row r="139">
          <cell r="A139" t="str">
            <v>New Zealand</v>
          </cell>
          <cell r="B139">
            <v>0.77</v>
          </cell>
          <cell r="C139">
            <v>0.23</v>
          </cell>
        </row>
        <row r="140">
          <cell r="A140" t="str">
            <v>France</v>
          </cell>
          <cell r="B140">
            <v>0.78</v>
          </cell>
          <cell r="C140">
            <v>0.22</v>
          </cell>
        </row>
        <row r="141">
          <cell r="A141" t="str">
            <v>Australia</v>
          </cell>
          <cell r="B141">
            <v>0.8</v>
          </cell>
          <cell r="C141">
            <v>0.2</v>
          </cell>
        </row>
        <row r="142">
          <cell r="A142" t="str">
            <v>Djibouti</v>
          </cell>
        </row>
        <row r="143">
          <cell r="A143" t="str">
            <v>Azerbaijan</v>
          </cell>
        </row>
        <row r="144">
          <cell r="A144" t="str">
            <v>Brazil</v>
          </cell>
          <cell r="B144">
            <v>0.87</v>
          </cell>
          <cell r="C144">
            <v>0.13</v>
          </cell>
        </row>
        <row r="145">
          <cell r="A145" t="str">
            <v>Paraguay</v>
          </cell>
        </row>
        <row r="146">
          <cell r="A146" t="str">
            <v>South Sudan</v>
          </cell>
        </row>
        <row r="147">
          <cell r="A147" t="str">
            <v>Syria</v>
          </cell>
        </row>
        <row r="148">
          <cell r="A148" t="str">
            <v>Indonesia</v>
          </cell>
          <cell r="B148">
            <v>0.77</v>
          </cell>
          <cell r="C148">
            <v>0.23</v>
          </cell>
        </row>
        <row r="149">
          <cell r="A149" t="str">
            <v>United Arab Emirates</v>
          </cell>
          <cell r="B149">
            <v>0.79</v>
          </cell>
          <cell r="C149">
            <v>0.21</v>
          </cell>
        </row>
        <row r="150">
          <cell r="A150" t="str">
            <v>Fiji</v>
          </cell>
        </row>
        <row r="151">
          <cell r="A151" t="str">
            <v>Honduras</v>
          </cell>
        </row>
        <row r="152">
          <cell r="A152" t="str">
            <v>Haiti</v>
          </cell>
        </row>
        <row r="153">
          <cell r="A153" t="str">
            <v>Malaysia</v>
          </cell>
          <cell r="B153">
            <v>0.69</v>
          </cell>
          <cell r="C153">
            <v>0.31</v>
          </cell>
        </row>
        <row r="154">
          <cell r="A154" t="str">
            <v>Greece</v>
          </cell>
          <cell r="B154">
            <v>0.76</v>
          </cell>
          <cell r="C154">
            <v>0.24</v>
          </cell>
        </row>
        <row r="155">
          <cell r="A155" t="str">
            <v>Iran</v>
          </cell>
          <cell r="B155">
            <v>0.63</v>
          </cell>
          <cell r="C155">
            <v>0.37</v>
          </cell>
        </row>
        <row r="156">
          <cell r="A156" t="str">
            <v>Nicaragua</v>
          </cell>
        </row>
        <row r="157">
          <cell r="A157" t="str">
            <v>New Caledonia</v>
          </cell>
        </row>
        <row r="158">
          <cell r="A158" t="str">
            <v>Chile</v>
          </cell>
          <cell r="B158">
            <v>0.85</v>
          </cell>
          <cell r="C158">
            <v>0.15</v>
          </cell>
        </row>
        <row r="159">
          <cell r="A159" t="str">
            <v>Italy</v>
          </cell>
          <cell r="B159">
            <v>0.77</v>
          </cell>
          <cell r="C159">
            <v>0.23</v>
          </cell>
        </row>
        <row r="160">
          <cell r="A160" t="str">
            <v>United Kingdom</v>
          </cell>
          <cell r="B160">
            <v>0.76</v>
          </cell>
          <cell r="C160">
            <v>0.24</v>
          </cell>
        </row>
        <row r="161">
          <cell r="A161" t="str">
            <v>Bahrain</v>
          </cell>
        </row>
        <row r="162">
          <cell r="A162" t="str">
            <v>Turkmenistan</v>
          </cell>
        </row>
        <row r="163">
          <cell r="A163" t="str">
            <v>French Polynesia</v>
          </cell>
        </row>
        <row r="164">
          <cell r="A164" t="str">
            <v>Maldives</v>
          </cell>
        </row>
        <row r="165">
          <cell r="A165" t="str">
            <v>Egypt</v>
          </cell>
          <cell r="B165">
            <v>0.67</v>
          </cell>
          <cell r="C165">
            <v>0.33</v>
          </cell>
        </row>
        <row r="166">
          <cell r="A166" t="str">
            <v>Yemen</v>
          </cell>
        </row>
        <row r="167">
          <cell r="A167" t="str">
            <v>Dominica</v>
          </cell>
        </row>
        <row r="168">
          <cell r="A168" t="str">
            <v>Brunei</v>
          </cell>
        </row>
        <row r="169">
          <cell r="A169" t="str">
            <v>Venezuela</v>
          </cell>
          <cell r="B169">
            <v>0.82</v>
          </cell>
          <cell r="C169">
            <v>0.18</v>
          </cell>
        </row>
        <row r="170">
          <cell r="A170" t="str">
            <v>Belize</v>
          </cell>
        </row>
        <row r="171">
          <cell r="A171" t="str">
            <v>Montenegro</v>
          </cell>
        </row>
        <row r="172">
          <cell r="A172" t="str">
            <v>San Marino</v>
          </cell>
        </row>
        <row r="173">
          <cell r="A173" t="str">
            <v>Isle of Man</v>
          </cell>
        </row>
        <row r="174">
          <cell r="A174" t="str">
            <v>Panama</v>
          </cell>
        </row>
        <row r="175">
          <cell r="A175" t="str">
            <v>Jamaica</v>
          </cell>
        </row>
        <row r="176">
          <cell r="A176" t="str">
            <v>Oman</v>
          </cell>
        </row>
        <row r="177">
          <cell r="A177" t="str">
            <v>Tajikistan</v>
          </cell>
        </row>
        <row r="178">
          <cell r="A178" t="str">
            <v>Suriname</v>
          </cell>
        </row>
        <row r="179">
          <cell r="A179" t="str">
            <v>Argentina</v>
          </cell>
          <cell r="B179">
            <v>0.83</v>
          </cell>
          <cell r="C179">
            <v>0.17</v>
          </cell>
        </row>
        <row r="180">
          <cell r="A180" t="str">
            <v>Turkey</v>
          </cell>
          <cell r="B180">
            <v>0.79</v>
          </cell>
          <cell r="C180">
            <v>0.21</v>
          </cell>
        </row>
        <row r="181">
          <cell r="A181" t="str">
            <v>Seychelles</v>
          </cell>
        </row>
        <row r="182">
          <cell r="A182" t="str">
            <v>Faroe Islands</v>
          </cell>
        </row>
        <row r="183">
          <cell r="A183" t="str">
            <v>Georgia</v>
          </cell>
        </row>
        <row r="184">
          <cell r="A184" t="str">
            <v>Libya</v>
          </cell>
        </row>
        <row r="185">
          <cell r="A185" t="str">
            <v>Samoa</v>
          </cell>
        </row>
        <row r="186">
          <cell r="A186" t="str">
            <v>Saudi Arabia</v>
          </cell>
          <cell r="B186">
            <v>0.83</v>
          </cell>
          <cell r="C186">
            <v>0.17</v>
          </cell>
        </row>
        <row r="187">
          <cell r="A187" t="str">
            <v>Qatar</v>
          </cell>
        </row>
        <row r="188">
          <cell r="A188" t="str">
            <v>St. Kitts &amp; Nevis</v>
          </cell>
        </row>
        <row r="189">
          <cell r="A189" t="str">
            <v>Western Sahara</v>
          </cell>
        </row>
        <row r="190">
          <cell r="A190" t="str">
            <v>Thailand</v>
          </cell>
          <cell r="B190">
            <v>0.75</v>
          </cell>
          <cell r="C190">
            <v>0.25</v>
          </cell>
        </row>
        <row r="191">
          <cell r="A191" t="str">
            <v>U.S. Virgin Islands</v>
          </cell>
        </row>
        <row r="192">
          <cell r="A192" t="str">
            <v>Barbados</v>
          </cell>
        </row>
        <row r="193">
          <cell r="A193" t="str">
            <v>Greenland</v>
          </cell>
        </row>
        <row r="194">
          <cell r="A194" t="str">
            <v>CuraÃ§ao</v>
          </cell>
        </row>
        <row r="195">
          <cell r="A195" t="str">
            <v>Dominican Republic</v>
          </cell>
        </row>
        <row r="196">
          <cell r="A196" t="str">
            <v>Puerto Rico</v>
          </cell>
        </row>
        <row r="197">
          <cell r="A197" t="str">
            <v>Guam</v>
          </cell>
        </row>
        <row r="198">
          <cell r="A198" t="str">
            <v>Trinidad &amp; Tobago</v>
          </cell>
        </row>
        <row r="199">
          <cell r="A199" t="str">
            <v>Cayman Islands</v>
          </cell>
        </row>
        <row r="200">
          <cell r="A200" t="str">
            <v>Solomon Islands</v>
          </cell>
        </row>
        <row r="201">
          <cell r="A201" t="str">
            <v>Jersey</v>
          </cell>
        </row>
        <row r="202">
          <cell r="A202" t="str">
            <v>Grenada</v>
          </cell>
        </row>
        <row r="203">
          <cell r="A203" t="str">
            <v>Guadeloupe</v>
          </cell>
        </row>
        <row r="204">
          <cell r="A204" t="str">
            <v>RÃ©union</v>
          </cell>
        </row>
        <row r="205">
          <cell r="A205" t="str">
            <v>Antigua &amp; Barbuda</v>
          </cell>
        </row>
        <row r="206">
          <cell r="A206" t="str">
            <v>Iraq</v>
          </cell>
        </row>
        <row r="207">
          <cell r="A207" t="str">
            <v>Kuwait</v>
          </cell>
        </row>
        <row r="208">
          <cell r="A208" t="str">
            <v>St. Lucia</v>
          </cell>
        </row>
        <row r="209">
          <cell r="A209" t="str">
            <v>St. Vincent &amp; Grenadines</v>
          </cell>
        </row>
        <row r="210">
          <cell r="A210" t="str">
            <v>St. BarthÃ©lemy</v>
          </cell>
        </row>
        <row r="211">
          <cell r="A211" t="str">
            <v>Mayotte</v>
          </cell>
        </row>
        <row r="212">
          <cell r="A212" t="str">
            <v>Guernsey</v>
          </cell>
        </row>
        <row r="213">
          <cell r="A213" t="str">
            <v>Guyana</v>
          </cell>
        </row>
        <row r="214">
          <cell r="A214" t="str">
            <v>Aruba</v>
          </cell>
        </row>
        <row r="215">
          <cell r="A215" t="str">
            <v>Northern Mariana Islands</v>
          </cell>
        </row>
        <row r="216">
          <cell r="A216" t="str">
            <v>Martinique</v>
          </cell>
        </row>
        <row r="217">
          <cell r="A217" t="str">
            <v>Sint Maarten</v>
          </cell>
        </row>
        <row r="218">
          <cell r="A218" t="str">
            <v>Caribbean Netherlands</v>
          </cell>
        </row>
        <row r="219">
          <cell r="A219" t="str">
            <v>Bahamas</v>
          </cell>
        </row>
        <row r="220">
          <cell r="A220" t="str">
            <v>French Guiana</v>
          </cell>
        </row>
        <row r="221">
          <cell r="A221" t="str">
            <v>Bermuda</v>
          </cell>
        </row>
        <row r="222">
          <cell r="A222" t="str">
            <v>Nauru</v>
          </cell>
        </row>
        <row r="223">
          <cell r="A223" t="str">
            <v>Falkland Islands (Islas Malvinas)</v>
          </cell>
        </row>
        <row r="224">
          <cell r="A224" t="str">
            <v>Montserrat</v>
          </cell>
        </row>
        <row r="225">
          <cell r="A225" t="str">
            <v>St. Pierre &amp; Miquelon</v>
          </cell>
        </row>
        <row r="226">
          <cell r="A226" t="str">
            <v>St. Martin</v>
          </cell>
        </row>
        <row r="227">
          <cell r="A227" t="str">
            <v>American Samoa</v>
          </cell>
        </row>
        <row r="228">
          <cell r="A228" t="str">
            <v>Anguilla</v>
          </cell>
        </row>
        <row r="229">
          <cell r="A229" t="str">
            <v>Palau</v>
          </cell>
        </row>
        <row r="230">
          <cell r="A230" t="str">
            <v>Cook Islands</v>
          </cell>
        </row>
        <row r="231">
          <cell r="A231" t="str">
            <v>Marshall Islands</v>
          </cell>
        </row>
        <row r="232">
          <cell r="A232" t="str">
            <v>Turks &amp; Caicos Islands</v>
          </cell>
        </row>
        <row r="233">
          <cell r="A233" t="str">
            <v>Vanuatu</v>
          </cell>
        </row>
        <row r="234">
          <cell r="A234" t="str">
            <v>British Virgin Islands</v>
          </cell>
        </row>
        <row r="235">
          <cell r="A235" t="str">
            <v>Micronesia</v>
          </cell>
        </row>
        <row r="236">
          <cell r="A236" t="str">
            <v>Antarctica</v>
          </cell>
        </row>
        <row r="237">
          <cell r="A237" t="str">
            <v>French Southern Territories</v>
          </cell>
        </row>
        <row r="238">
          <cell r="A238" t="str">
            <v>Bouvet Island</v>
          </cell>
        </row>
        <row r="239">
          <cell r="A239" t="str">
            <v>Cocos (Keeling) Islands</v>
          </cell>
        </row>
        <row r="240">
          <cell r="A240" t="str">
            <v>Christmas Island</v>
          </cell>
        </row>
        <row r="241">
          <cell r="A241" t="str">
            <v>Heard &amp; McDonald Islands</v>
          </cell>
        </row>
        <row r="242">
          <cell r="A242" t="str">
            <v>British Indian Ocean Territory</v>
          </cell>
        </row>
        <row r="243">
          <cell r="A243" t="str">
            <v>Kiribati</v>
          </cell>
        </row>
        <row r="244">
          <cell r="A244" t="str">
            <v>Norfolk Island</v>
          </cell>
        </row>
        <row r="245">
          <cell r="A245" t="str">
            <v>Niue</v>
          </cell>
        </row>
        <row r="246">
          <cell r="A246" t="str">
            <v>Pitcairn Islands</v>
          </cell>
        </row>
        <row r="247">
          <cell r="A247" t="str">
            <v>South Georgia &amp; South Sandwich Islands</v>
          </cell>
        </row>
        <row r="248">
          <cell r="A248" t="str">
            <v>Svalbard &amp; Jan Mayen</v>
          </cell>
        </row>
        <row r="249">
          <cell r="A249" t="str">
            <v>Tokelau</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1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11)"/>
    </sheetNames>
    <sheetDataSet>
      <sheetData sheetId="0" refreshError="1">
        <row r="1">
          <cell r="A1" t="str">
            <v>Category: All categories</v>
          </cell>
        </row>
        <row r="3">
          <cell r="A3" t="str">
            <v>Country</v>
          </cell>
          <cell r="B3" t="str">
            <v>Semaphore: (2018)</v>
          </cell>
          <cell r="C3" t="str">
            <v>MapReduce: (2018)</v>
          </cell>
        </row>
        <row r="4">
          <cell r="A4" t="str">
            <v>China</v>
          </cell>
          <cell r="B4">
            <v>0.24</v>
          </cell>
          <cell r="C4">
            <v>0.76</v>
          </cell>
        </row>
        <row r="5">
          <cell r="A5" t="str">
            <v>Australia</v>
          </cell>
          <cell r="B5">
            <v>0.91</v>
          </cell>
          <cell r="C5">
            <v>0.09</v>
          </cell>
        </row>
        <row r="6">
          <cell r="A6" t="str">
            <v>Fiji</v>
          </cell>
        </row>
        <row r="7">
          <cell r="A7" t="str">
            <v>South Korea</v>
          </cell>
          <cell r="B7">
            <v>0.57999999999999996</v>
          </cell>
          <cell r="C7">
            <v>0.42</v>
          </cell>
        </row>
        <row r="8">
          <cell r="A8" t="str">
            <v>Slovakia</v>
          </cell>
        </row>
        <row r="9">
          <cell r="A9" t="str">
            <v>France</v>
          </cell>
          <cell r="B9">
            <v>0.87</v>
          </cell>
          <cell r="C9">
            <v>0.13</v>
          </cell>
        </row>
        <row r="10">
          <cell r="A10" t="str">
            <v>St. Helena</v>
          </cell>
          <cell r="B10">
            <v>0.49</v>
          </cell>
          <cell r="C10">
            <v>0.51</v>
          </cell>
        </row>
        <row r="11">
          <cell r="A11" t="str">
            <v>India</v>
          </cell>
          <cell r="B11">
            <v>0.48</v>
          </cell>
          <cell r="C11">
            <v>0.52</v>
          </cell>
        </row>
        <row r="12">
          <cell r="A12" t="str">
            <v>Ethiopia</v>
          </cell>
        </row>
        <row r="13">
          <cell r="A13" t="str">
            <v>Israel</v>
          </cell>
          <cell r="B13">
            <v>0.55000000000000004</v>
          </cell>
          <cell r="C13">
            <v>0.45</v>
          </cell>
        </row>
        <row r="14">
          <cell r="A14" t="str">
            <v>Tunisia</v>
          </cell>
          <cell r="B14">
            <v>0.5</v>
          </cell>
          <cell r="C14">
            <v>0.5</v>
          </cell>
        </row>
        <row r="15">
          <cell r="A15" t="str">
            <v>Ireland</v>
          </cell>
          <cell r="B15">
            <v>0.37</v>
          </cell>
          <cell r="C15">
            <v>0.63</v>
          </cell>
        </row>
        <row r="16">
          <cell r="A16" t="str">
            <v>Singapore</v>
          </cell>
          <cell r="B16">
            <v>0.47</v>
          </cell>
          <cell r="C16">
            <v>0.53</v>
          </cell>
        </row>
        <row r="17">
          <cell r="A17" t="str">
            <v>Hong Kong</v>
          </cell>
          <cell r="B17">
            <v>0.37</v>
          </cell>
          <cell r="C17">
            <v>0.63</v>
          </cell>
        </row>
        <row r="18">
          <cell r="A18" t="str">
            <v>Nepal</v>
          </cell>
        </row>
        <row r="19">
          <cell r="A19" t="str">
            <v>Switzerland</v>
          </cell>
          <cell r="B19">
            <v>0.71</v>
          </cell>
          <cell r="C19">
            <v>0.28999999999999998</v>
          </cell>
        </row>
        <row r="20">
          <cell r="A20" t="str">
            <v>Botswana</v>
          </cell>
        </row>
        <row r="21">
          <cell r="A21" t="str">
            <v>Pakistan</v>
          </cell>
          <cell r="B21">
            <v>0.61</v>
          </cell>
          <cell r="C21">
            <v>0.39</v>
          </cell>
        </row>
        <row r="22">
          <cell r="A22" t="str">
            <v>Belgium</v>
          </cell>
          <cell r="B22">
            <v>0.84</v>
          </cell>
          <cell r="C22">
            <v>0.16</v>
          </cell>
        </row>
        <row r="23">
          <cell r="A23" t="str">
            <v>Senegal</v>
          </cell>
        </row>
        <row r="24">
          <cell r="A24" t="str">
            <v>Taiwan</v>
          </cell>
          <cell r="B24">
            <v>0.63</v>
          </cell>
          <cell r="C24">
            <v>0.37</v>
          </cell>
        </row>
        <row r="25">
          <cell r="A25" t="str">
            <v>Zimbabwe</v>
          </cell>
        </row>
        <row r="26">
          <cell r="A26" t="str">
            <v>Cameroon</v>
          </cell>
        </row>
        <row r="27">
          <cell r="A27" t="str">
            <v>Algeria</v>
          </cell>
          <cell r="B27">
            <v>0.73</v>
          </cell>
          <cell r="C27">
            <v>0.27</v>
          </cell>
        </row>
        <row r="28">
          <cell r="A28" t="str">
            <v>Iceland</v>
          </cell>
        </row>
        <row r="29">
          <cell r="A29" t="str">
            <v>Hungary</v>
          </cell>
          <cell r="B29">
            <v>0.77</v>
          </cell>
          <cell r="C29">
            <v>0.23</v>
          </cell>
        </row>
        <row r="30">
          <cell r="A30" t="str">
            <v>North Macedonia</v>
          </cell>
        </row>
        <row r="31">
          <cell r="A31" t="str">
            <v>New Zealand</v>
          </cell>
          <cell r="B31">
            <v>0.75</v>
          </cell>
          <cell r="C31">
            <v>0.25</v>
          </cell>
        </row>
        <row r="32">
          <cell r="A32" t="str">
            <v>Canada</v>
          </cell>
          <cell r="B32">
            <v>0.59</v>
          </cell>
          <cell r="C32">
            <v>0.41</v>
          </cell>
        </row>
        <row r="33">
          <cell r="A33" t="str">
            <v>Cyprus</v>
          </cell>
        </row>
        <row r="34">
          <cell r="A34" t="str">
            <v>Lebanon</v>
          </cell>
        </row>
        <row r="35">
          <cell r="A35" t="str">
            <v>United Kingdom</v>
          </cell>
          <cell r="B35">
            <v>0.7</v>
          </cell>
          <cell r="C35">
            <v>0.3</v>
          </cell>
        </row>
        <row r="36">
          <cell r="A36" t="str">
            <v>United States</v>
          </cell>
          <cell r="B36">
            <v>0.51</v>
          </cell>
          <cell r="C36">
            <v>0.49</v>
          </cell>
        </row>
        <row r="37">
          <cell r="A37" t="str">
            <v>Czechia</v>
          </cell>
          <cell r="B37">
            <v>0.73</v>
          </cell>
          <cell r="C37">
            <v>0.27</v>
          </cell>
        </row>
        <row r="38">
          <cell r="A38" t="str">
            <v>Serbia</v>
          </cell>
          <cell r="B38">
            <v>0.73</v>
          </cell>
          <cell r="C38">
            <v>0.27</v>
          </cell>
        </row>
        <row r="39">
          <cell r="A39" t="str">
            <v>Sweden</v>
          </cell>
          <cell r="B39">
            <v>0.66</v>
          </cell>
          <cell r="C39">
            <v>0.34</v>
          </cell>
        </row>
        <row r="40">
          <cell r="A40" t="str">
            <v>Belarus</v>
          </cell>
          <cell r="B40">
            <v>0.61</v>
          </cell>
          <cell r="C40">
            <v>0.39</v>
          </cell>
        </row>
        <row r="41">
          <cell r="A41" t="str">
            <v>Philippines</v>
          </cell>
          <cell r="B41">
            <v>0.82</v>
          </cell>
          <cell r="C41">
            <v>0.18</v>
          </cell>
        </row>
        <row r="42">
          <cell r="A42" t="str">
            <v>Moldova</v>
          </cell>
        </row>
        <row r="43">
          <cell r="A43" t="str">
            <v>Japan</v>
          </cell>
          <cell r="B43">
            <v>0.77</v>
          </cell>
          <cell r="C43">
            <v>0.23</v>
          </cell>
        </row>
        <row r="44">
          <cell r="A44" t="str">
            <v>Germany</v>
          </cell>
          <cell r="B44">
            <v>0.68</v>
          </cell>
          <cell r="C44">
            <v>0.32</v>
          </cell>
        </row>
        <row r="45">
          <cell r="A45" t="str">
            <v>Morocco</v>
          </cell>
          <cell r="B45">
            <v>0.39</v>
          </cell>
          <cell r="C45">
            <v>0.61</v>
          </cell>
        </row>
        <row r="46">
          <cell r="A46" t="str">
            <v>Denmark</v>
          </cell>
          <cell r="B46">
            <v>0.7</v>
          </cell>
          <cell r="C46">
            <v>0.3</v>
          </cell>
        </row>
        <row r="47">
          <cell r="A47" t="str">
            <v>Sri Lanka</v>
          </cell>
        </row>
        <row r="48">
          <cell r="A48" t="str">
            <v>Kenya</v>
          </cell>
          <cell r="B48">
            <v>1</v>
          </cell>
        </row>
        <row r="49">
          <cell r="A49" t="str">
            <v>Bangladesh</v>
          </cell>
          <cell r="B49">
            <v>0.71</v>
          </cell>
          <cell r="C49">
            <v>0.28999999999999998</v>
          </cell>
        </row>
        <row r="50">
          <cell r="A50" t="str">
            <v>Austria</v>
          </cell>
          <cell r="B50">
            <v>0.69</v>
          </cell>
          <cell r="C50">
            <v>0.31</v>
          </cell>
        </row>
        <row r="51">
          <cell r="A51" t="str">
            <v>Portugal</v>
          </cell>
          <cell r="B51">
            <v>0.62</v>
          </cell>
          <cell r="C51">
            <v>0.38</v>
          </cell>
        </row>
        <row r="52">
          <cell r="A52" t="str">
            <v>Norway</v>
          </cell>
          <cell r="B52">
            <v>0.67</v>
          </cell>
          <cell r="C52">
            <v>0.33</v>
          </cell>
        </row>
        <row r="53">
          <cell r="A53" t="str">
            <v>Finland</v>
          </cell>
          <cell r="B53">
            <v>0.6</v>
          </cell>
          <cell r="C53">
            <v>0.4</v>
          </cell>
        </row>
        <row r="54">
          <cell r="A54" t="str">
            <v>Greece</v>
          </cell>
          <cell r="B54">
            <v>0.6</v>
          </cell>
          <cell r="C54">
            <v>0.4</v>
          </cell>
        </row>
        <row r="55">
          <cell r="A55" t="str">
            <v>Russia</v>
          </cell>
          <cell r="B55">
            <v>0.57999999999999996</v>
          </cell>
          <cell r="C55">
            <v>0.42</v>
          </cell>
        </row>
        <row r="56">
          <cell r="A56" t="str">
            <v>Latvia</v>
          </cell>
        </row>
        <row r="57">
          <cell r="A57" t="str">
            <v>Jordan</v>
          </cell>
        </row>
        <row r="58">
          <cell r="A58" t="str">
            <v>Netherlands</v>
          </cell>
          <cell r="B58">
            <v>0.56999999999999995</v>
          </cell>
          <cell r="C58">
            <v>0.43</v>
          </cell>
        </row>
        <row r="59">
          <cell r="A59" t="str">
            <v>Laos</v>
          </cell>
        </row>
        <row r="60">
          <cell r="A60" t="str">
            <v>Slovenia</v>
          </cell>
        </row>
        <row r="61">
          <cell r="A61" t="str">
            <v>Romania</v>
          </cell>
          <cell r="B61">
            <v>0.71</v>
          </cell>
          <cell r="C61">
            <v>0.28999999999999998</v>
          </cell>
        </row>
        <row r="62">
          <cell r="A62" t="str">
            <v>United Arab Emirates</v>
          </cell>
          <cell r="B62">
            <v>0.52</v>
          </cell>
          <cell r="C62">
            <v>0.48</v>
          </cell>
        </row>
        <row r="63">
          <cell r="A63" t="str">
            <v>Croatia</v>
          </cell>
        </row>
        <row r="64">
          <cell r="A64" t="str">
            <v>South Africa</v>
          </cell>
          <cell r="B64">
            <v>0.57999999999999996</v>
          </cell>
          <cell r="C64">
            <v>0.42</v>
          </cell>
        </row>
        <row r="65">
          <cell r="A65" t="str">
            <v>Oman</v>
          </cell>
        </row>
        <row r="66">
          <cell r="A66" t="str">
            <v>Egypt</v>
          </cell>
          <cell r="B66">
            <v>0.71</v>
          </cell>
          <cell r="C66">
            <v>0.28999999999999998</v>
          </cell>
        </row>
        <row r="67">
          <cell r="A67" t="str">
            <v>Malaysia</v>
          </cell>
          <cell r="B67">
            <v>0.54</v>
          </cell>
          <cell r="C67">
            <v>0.46</v>
          </cell>
        </row>
        <row r="68">
          <cell r="A68" t="str">
            <v>Ukraine</v>
          </cell>
          <cell r="B68">
            <v>0.61</v>
          </cell>
          <cell r="C68">
            <v>0.39</v>
          </cell>
        </row>
        <row r="69">
          <cell r="A69" t="str">
            <v>Nigeria</v>
          </cell>
        </row>
        <row r="70">
          <cell r="A70" t="str">
            <v>Indonesia</v>
          </cell>
          <cell r="B70">
            <v>0.79</v>
          </cell>
          <cell r="C70">
            <v>0.21</v>
          </cell>
        </row>
        <row r="71">
          <cell r="A71" t="str">
            <v>Vietnam</v>
          </cell>
          <cell r="B71">
            <v>0.66</v>
          </cell>
          <cell r="C71">
            <v>0.34</v>
          </cell>
        </row>
        <row r="72">
          <cell r="A72" t="str">
            <v>Poland</v>
          </cell>
          <cell r="B72">
            <v>0.62</v>
          </cell>
          <cell r="C72">
            <v>0.38</v>
          </cell>
        </row>
        <row r="73">
          <cell r="A73" t="str">
            <v>Kazakhstan</v>
          </cell>
          <cell r="B73">
            <v>1</v>
          </cell>
        </row>
        <row r="74">
          <cell r="A74" t="str">
            <v>Spain</v>
          </cell>
          <cell r="B74">
            <v>0.45</v>
          </cell>
          <cell r="C74">
            <v>0.55000000000000004</v>
          </cell>
        </row>
        <row r="75">
          <cell r="A75" t="str">
            <v>Italy</v>
          </cell>
          <cell r="B75">
            <v>0.61</v>
          </cell>
          <cell r="C75">
            <v>0.39</v>
          </cell>
        </row>
        <row r="76">
          <cell r="A76" t="str">
            <v>Bulgaria</v>
          </cell>
        </row>
        <row r="77">
          <cell r="A77" t="str">
            <v>Lithuania</v>
          </cell>
        </row>
        <row r="78">
          <cell r="A78" t="str">
            <v>Sudan</v>
          </cell>
        </row>
        <row r="79">
          <cell r="A79" t="str">
            <v>Iran</v>
          </cell>
          <cell r="B79">
            <v>0.46</v>
          </cell>
          <cell r="C79">
            <v>0.54</v>
          </cell>
        </row>
        <row r="80">
          <cell r="A80" t="str">
            <v>Bosnia &amp; Herzegovina</v>
          </cell>
        </row>
        <row r="81">
          <cell r="A81" t="str">
            <v>Qatar</v>
          </cell>
        </row>
        <row r="82">
          <cell r="A82" t="str">
            <v>Uruguay</v>
          </cell>
        </row>
        <row r="83">
          <cell r="A83" t="str">
            <v>Costa Rica</v>
          </cell>
        </row>
        <row r="84">
          <cell r="A84" t="str">
            <v>Guatemala</v>
          </cell>
        </row>
        <row r="85">
          <cell r="A85" t="str">
            <v>Ecuador</v>
          </cell>
          <cell r="C85">
            <v>1</v>
          </cell>
        </row>
        <row r="86">
          <cell r="A86" t="str">
            <v>Colombia</v>
          </cell>
          <cell r="B86">
            <v>0.32</v>
          </cell>
          <cell r="C86">
            <v>0.68</v>
          </cell>
        </row>
        <row r="87">
          <cell r="A87" t="str">
            <v>Chile</v>
          </cell>
        </row>
        <row r="88">
          <cell r="A88" t="str">
            <v>Tanzania</v>
          </cell>
        </row>
        <row r="89">
          <cell r="A89" t="str">
            <v>Thailand</v>
          </cell>
          <cell r="B89">
            <v>0.39</v>
          </cell>
          <cell r="C89">
            <v>0.61</v>
          </cell>
        </row>
        <row r="90">
          <cell r="A90" t="str">
            <v>Saudi Arabia</v>
          </cell>
          <cell r="B90">
            <v>0.61</v>
          </cell>
          <cell r="C90">
            <v>0.39</v>
          </cell>
        </row>
        <row r="91">
          <cell r="A91" t="str">
            <v>Argentina</v>
          </cell>
          <cell r="B91">
            <v>0.55000000000000004</v>
          </cell>
          <cell r="C91">
            <v>0.45</v>
          </cell>
        </row>
        <row r="92">
          <cell r="A92" t="str">
            <v>Turkey</v>
          </cell>
          <cell r="B92">
            <v>0.61</v>
          </cell>
          <cell r="C92">
            <v>0.39</v>
          </cell>
        </row>
        <row r="93">
          <cell r="A93" t="str">
            <v>Kuwait</v>
          </cell>
        </row>
        <row r="94">
          <cell r="A94" t="str">
            <v>Mexico</v>
          </cell>
          <cell r="B94">
            <v>0.59</v>
          </cell>
          <cell r="C94">
            <v>0.41</v>
          </cell>
        </row>
        <row r="95">
          <cell r="A95" t="str">
            <v>Brazil</v>
          </cell>
          <cell r="B95">
            <v>0.42</v>
          </cell>
          <cell r="C95">
            <v>0.57999999999999996</v>
          </cell>
        </row>
        <row r="96">
          <cell r="A96" t="str">
            <v>Peru</v>
          </cell>
        </row>
        <row r="97">
          <cell r="A97" t="str">
            <v>Venezuela</v>
          </cell>
        </row>
        <row r="98">
          <cell r="A98" t="str">
            <v>St. BarthÃ©lemy</v>
          </cell>
        </row>
        <row r="99">
          <cell r="A99" t="str">
            <v>U.S. Virgin Islands</v>
          </cell>
        </row>
        <row r="100">
          <cell r="A100" t="str">
            <v>Timor-Leste</v>
          </cell>
        </row>
        <row r="101">
          <cell r="A101" t="str">
            <v>Grenada</v>
          </cell>
        </row>
        <row r="102">
          <cell r="A102" t="str">
            <v>French Guiana</v>
          </cell>
        </row>
        <row r="103">
          <cell r="A103" t="str">
            <v>Antigua &amp; Barbuda</v>
          </cell>
        </row>
        <row r="104">
          <cell r="A104" t="str">
            <v>Martinique</v>
          </cell>
        </row>
        <row r="105">
          <cell r="A105" t="str">
            <v>New Caledonia</v>
          </cell>
        </row>
        <row r="106">
          <cell r="A106" t="str">
            <v>Guernsey</v>
          </cell>
        </row>
        <row r="107">
          <cell r="A107" t="str">
            <v>Cape Verde</v>
          </cell>
        </row>
        <row r="108">
          <cell r="A108" t="str">
            <v>Congo - Brazzaville</v>
          </cell>
        </row>
        <row r="109">
          <cell r="A109" t="str">
            <v>RÃ©union</v>
          </cell>
        </row>
        <row r="110">
          <cell r="A110" t="str">
            <v>Jersey</v>
          </cell>
        </row>
        <row r="111">
          <cell r="A111" t="str">
            <v>French Polynesia</v>
          </cell>
        </row>
        <row r="112">
          <cell r="A112" t="str">
            <v>Congo - Kinshasa</v>
          </cell>
        </row>
        <row r="113">
          <cell r="A113" t="str">
            <v>Malta</v>
          </cell>
        </row>
        <row r="114">
          <cell r="A114" t="str">
            <v>Madagascar</v>
          </cell>
        </row>
        <row r="115">
          <cell r="A115" t="str">
            <v>Malawi</v>
          </cell>
        </row>
        <row r="116">
          <cell r="A116" t="str">
            <v>Macao</v>
          </cell>
        </row>
        <row r="117">
          <cell r="A117" t="str">
            <v>Guyana</v>
          </cell>
        </row>
        <row r="118">
          <cell r="A118" t="str">
            <v>Luxembourg</v>
          </cell>
        </row>
        <row r="119">
          <cell r="A119" t="str">
            <v>Cuba</v>
          </cell>
        </row>
        <row r="120">
          <cell r="A120" t="str">
            <v>Suriname</v>
          </cell>
        </row>
        <row r="121">
          <cell r="A121" t="str">
            <v>Guadeloupe</v>
          </cell>
        </row>
        <row r="122">
          <cell r="A122" t="str">
            <v>Benin</v>
          </cell>
        </row>
        <row r="123">
          <cell r="A123" t="str">
            <v>Uganda</v>
          </cell>
        </row>
        <row r="124">
          <cell r="A124" t="str">
            <v>Somalia</v>
          </cell>
        </row>
        <row r="125">
          <cell r="A125" t="str">
            <v>Guinea</v>
          </cell>
        </row>
        <row r="126">
          <cell r="A126" t="str">
            <v>Rwanda</v>
          </cell>
        </row>
        <row r="127">
          <cell r="A127" t="str">
            <v>Namibia</v>
          </cell>
        </row>
        <row r="128">
          <cell r="A128" t="str">
            <v>Haiti</v>
          </cell>
        </row>
        <row r="129">
          <cell r="A129" t="str">
            <v>Bahamas</v>
          </cell>
        </row>
        <row r="130">
          <cell r="A130" t="str">
            <v>Mali</v>
          </cell>
        </row>
        <row r="131">
          <cell r="A131" t="str">
            <v>Zambia</v>
          </cell>
        </row>
        <row r="132">
          <cell r="A132" t="str">
            <v>Brunei</v>
          </cell>
        </row>
        <row r="133">
          <cell r="A133" t="str">
            <v>Palestine</v>
          </cell>
        </row>
        <row r="134">
          <cell r="A134" t="str">
            <v>Ghana</v>
          </cell>
        </row>
        <row r="135">
          <cell r="A135" t="str">
            <v>Armenia</v>
          </cell>
        </row>
        <row r="136">
          <cell r="A136" t="str">
            <v>Puerto Rico</v>
          </cell>
        </row>
        <row r="137">
          <cell r="A137" t="str">
            <v>Estonia</v>
          </cell>
        </row>
        <row r="138">
          <cell r="A138" t="str">
            <v>Mauritius</v>
          </cell>
        </row>
        <row r="139">
          <cell r="A139" t="str">
            <v>Albania</v>
          </cell>
        </row>
        <row r="140">
          <cell r="A140" t="str">
            <v>Trinidad &amp; Tobago</v>
          </cell>
        </row>
        <row r="141">
          <cell r="A141" t="str">
            <v>Kosovo</v>
          </cell>
        </row>
        <row r="142">
          <cell r="A142" t="str">
            <v>Jamaica</v>
          </cell>
        </row>
        <row r="143">
          <cell r="A143" t="str">
            <v>Mozambique</v>
          </cell>
        </row>
        <row r="144">
          <cell r="A144" t="str">
            <v>CÃ´te dâ€™Ivoire</v>
          </cell>
        </row>
        <row r="145">
          <cell r="A145" t="str">
            <v>Paraguay</v>
          </cell>
        </row>
        <row r="146">
          <cell r="A146" t="str">
            <v>Bahrain</v>
          </cell>
        </row>
        <row r="147">
          <cell r="A147" t="str">
            <v>Libya</v>
          </cell>
        </row>
        <row r="148">
          <cell r="A148" t="str">
            <v>Syria</v>
          </cell>
        </row>
        <row r="149">
          <cell r="A149" t="str">
            <v>Nicaragua</v>
          </cell>
        </row>
        <row r="150">
          <cell r="A150" t="str">
            <v>Dominican Republic</v>
          </cell>
        </row>
        <row r="151">
          <cell r="A151" t="str">
            <v>Yemen</v>
          </cell>
        </row>
        <row r="152">
          <cell r="A152" t="str">
            <v>Myanmar (Burma)</v>
          </cell>
        </row>
        <row r="153">
          <cell r="A153" t="str">
            <v>Azerbaijan</v>
          </cell>
        </row>
        <row r="154">
          <cell r="A154" t="str">
            <v>Georgia</v>
          </cell>
        </row>
        <row r="155">
          <cell r="A155" t="str">
            <v>Honduras</v>
          </cell>
        </row>
        <row r="156">
          <cell r="A156" t="str">
            <v>El Salvador</v>
          </cell>
        </row>
        <row r="157">
          <cell r="A157" t="str">
            <v>Uzbekistan</v>
          </cell>
        </row>
        <row r="158">
          <cell r="A158" t="str">
            <v>Iraq</v>
          </cell>
        </row>
        <row r="159">
          <cell r="A159" t="str">
            <v>Panama</v>
          </cell>
        </row>
        <row r="160">
          <cell r="A160" t="str">
            <v>Bolivia</v>
          </cell>
        </row>
        <row r="161">
          <cell r="A161" t="str">
            <v>Aruba</v>
          </cell>
        </row>
        <row r="162">
          <cell r="A162" t="str">
            <v>Afghanistan</v>
          </cell>
        </row>
        <row r="163">
          <cell r="A163" t="str">
            <v>Angola</v>
          </cell>
        </row>
        <row r="164">
          <cell r="A164" t="str">
            <v>Anguilla</v>
          </cell>
        </row>
        <row r="165">
          <cell r="A165" t="str">
            <v>Ã…land Islands</v>
          </cell>
        </row>
        <row r="166">
          <cell r="A166" t="str">
            <v>Andorra</v>
          </cell>
        </row>
        <row r="167">
          <cell r="A167" t="str">
            <v>American Samoa</v>
          </cell>
        </row>
        <row r="168">
          <cell r="A168" t="str">
            <v>Antarctica</v>
          </cell>
        </row>
        <row r="169">
          <cell r="A169" t="str">
            <v>French Southern Territories</v>
          </cell>
        </row>
        <row r="170">
          <cell r="A170" t="str">
            <v>Burundi</v>
          </cell>
        </row>
        <row r="171">
          <cell r="A171" t="str">
            <v>Caribbean Netherlands</v>
          </cell>
        </row>
        <row r="172">
          <cell r="A172" t="str">
            <v>Burkina Faso</v>
          </cell>
        </row>
        <row r="173">
          <cell r="A173" t="str">
            <v>Belize</v>
          </cell>
        </row>
        <row r="174">
          <cell r="A174" t="str">
            <v>Bermuda</v>
          </cell>
        </row>
        <row r="175">
          <cell r="A175" t="str">
            <v>Barbados</v>
          </cell>
        </row>
        <row r="176">
          <cell r="A176" t="str">
            <v>Bhutan</v>
          </cell>
        </row>
        <row r="177">
          <cell r="A177" t="str">
            <v>Bouvet Island</v>
          </cell>
        </row>
        <row r="178">
          <cell r="A178" t="str">
            <v>Central African Republic</v>
          </cell>
        </row>
        <row r="179">
          <cell r="A179" t="str">
            <v>Cocos (Keeling) Islands</v>
          </cell>
        </row>
        <row r="180">
          <cell r="A180" t="str">
            <v>Cook Islands</v>
          </cell>
        </row>
        <row r="181">
          <cell r="A181" t="str">
            <v>Comoros</v>
          </cell>
        </row>
        <row r="182">
          <cell r="A182" t="str">
            <v>CuraÃ§ao</v>
          </cell>
        </row>
        <row r="183">
          <cell r="A183" t="str">
            <v>Christmas Island</v>
          </cell>
        </row>
        <row r="184">
          <cell r="A184" t="str">
            <v>Cayman Islands</v>
          </cell>
        </row>
        <row r="185">
          <cell r="A185" t="str">
            <v>Djibouti</v>
          </cell>
        </row>
        <row r="186">
          <cell r="A186" t="str">
            <v>Dominica</v>
          </cell>
        </row>
        <row r="187">
          <cell r="A187" t="str">
            <v>Eritrea</v>
          </cell>
        </row>
        <row r="188">
          <cell r="A188" t="str">
            <v>Western Sahara</v>
          </cell>
        </row>
        <row r="189">
          <cell r="A189" t="str">
            <v>Falkland Islands (Islas Malvinas)</v>
          </cell>
        </row>
        <row r="190">
          <cell r="A190" t="str">
            <v>Faroe Islands</v>
          </cell>
        </row>
        <row r="191">
          <cell r="A191" t="str">
            <v>Micronesia</v>
          </cell>
        </row>
        <row r="192">
          <cell r="A192" t="str">
            <v>Gabon</v>
          </cell>
        </row>
        <row r="193">
          <cell r="A193" t="str">
            <v>Gibraltar</v>
          </cell>
        </row>
        <row r="194">
          <cell r="A194" t="str">
            <v>Gambia</v>
          </cell>
        </row>
        <row r="195">
          <cell r="A195" t="str">
            <v>Guinea-Bissau</v>
          </cell>
        </row>
        <row r="196">
          <cell r="A196" t="str">
            <v>Equatorial Guinea</v>
          </cell>
        </row>
        <row r="197">
          <cell r="A197" t="str">
            <v>Greenland</v>
          </cell>
        </row>
        <row r="198">
          <cell r="A198" t="str">
            <v>Guam</v>
          </cell>
        </row>
        <row r="199">
          <cell r="A199" t="str">
            <v>Heard &amp; McDonald Islands</v>
          </cell>
        </row>
        <row r="200">
          <cell r="A200" t="str">
            <v>Isle of Man</v>
          </cell>
        </row>
        <row r="201">
          <cell r="A201" t="str">
            <v>British Indian Ocean Territory</v>
          </cell>
        </row>
        <row r="202">
          <cell r="A202" t="str">
            <v>Kyrgyzstan</v>
          </cell>
        </row>
        <row r="203">
          <cell r="A203" t="str">
            <v>Cambodia</v>
          </cell>
        </row>
        <row r="204">
          <cell r="A204" t="str">
            <v>Kiribati</v>
          </cell>
        </row>
        <row r="205">
          <cell r="A205" t="str">
            <v>St. Kitts &amp; Nevis</v>
          </cell>
        </row>
        <row r="206">
          <cell r="A206" t="str">
            <v>Liberia</v>
          </cell>
        </row>
        <row r="207">
          <cell r="A207" t="str">
            <v>St. Lucia</v>
          </cell>
        </row>
        <row r="208">
          <cell r="A208" t="str">
            <v>Liechtenstein</v>
          </cell>
        </row>
        <row r="209">
          <cell r="A209" t="str">
            <v>Lesotho</v>
          </cell>
        </row>
        <row r="210">
          <cell r="A210" t="str">
            <v>St. Martin</v>
          </cell>
        </row>
        <row r="211">
          <cell r="A211" t="str">
            <v>Monaco</v>
          </cell>
        </row>
        <row r="212">
          <cell r="A212" t="str">
            <v>Maldives</v>
          </cell>
        </row>
        <row r="213">
          <cell r="A213" t="str">
            <v>Marshall Islands</v>
          </cell>
        </row>
        <row r="214">
          <cell r="A214" t="str">
            <v>Montenegro</v>
          </cell>
        </row>
        <row r="215">
          <cell r="A215" t="str">
            <v>Mongolia</v>
          </cell>
        </row>
        <row r="216">
          <cell r="A216" t="str">
            <v>Northern Mariana Islands</v>
          </cell>
        </row>
        <row r="217">
          <cell r="A217" t="str">
            <v>Mauritania</v>
          </cell>
        </row>
        <row r="218">
          <cell r="A218" t="str">
            <v>Montserrat</v>
          </cell>
        </row>
        <row r="219">
          <cell r="A219" t="str">
            <v>Mayotte</v>
          </cell>
        </row>
        <row r="220">
          <cell r="A220" t="str">
            <v>Niger</v>
          </cell>
        </row>
        <row r="221">
          <cell r="A221" t="str">
            <v>Norfolk Island</v>
          </cell>
        </row>
        <row r="222">
          <cell r="A222" t="str">
            <v>Niue</v>
          </cell>
        </row>
        <row r="223">
          <cell r="A223" t="str">
            <v>Nauru</v>
          </cell>
        </row>
        <row r="224">
          <cell r="A224" t="str">
            <v>Pitcairn Islands</v>
          </cell>
        </row>
        <row r="225">
          <cell r="A225" t="str">
            <v>Palau</v>
          </cell>
        </row>
        <row r="226">
          <cell r="A226" t="str">
            <v>Papua New Guinea</v>
          </cell>
        </row>
        <row r="227">
          <cell r="A227" t="str">
            <v>North Korea</v>
          </cell>
        </row>
        <row r="228">
          <cell r="A228" t="str">
            <v>South Georgia &amp; South Sandwich Islands</v>
          </cell>
        </row>
        <row r="229">
          <cell r="A229" t="str">
            <v>Svalbard &amp; Jan Mayen</v>
          </cell>
        </row>
        <row r="230">
          <cell r="A230" t="str">
            <v>Solomon Islands</v>
          </cell>
        </row>
        <row r="231">
          <cell r="A231" t="str">
            <v>Sierra Leone</v>
          </cell>
        </row>
        <row r="232">
          <cell r="A232" t="str">
            <v>San Marino</v>
          </cell>
        </row>
        <row r="233">
          <cell r="A233" t="str">
            <v>St. Pierre &amp; Miquelon</v>
          </cell>
        </row>
        <row r="234">
          <cell r="A234" t="str">
            <v>South Sudan</v>
          </cell>
        </row>
        <row r="235">
          <cell r="A235" t="str">
            <v>SÃ£o TomÃ© &amp; PrÃ­ncipe</v>
          </cell>
        </row>
        <row r="236">
          <cell r="A236" t="str">
            <v>Eswatini</v>
          </cell>
        </row>
        <row r="237">
          <cell r="A237" t="str">
            <v>Sint Maarten</v>
          </cell>
        </row>
        <row r="238">
          <cell r="A238" t="str">
            <v>Seychelles</v>
          </cell>
        </row>
        <row r="239">
          <cell r="A239" t="str">
            <v>Turks &amp; Caicos Islands</v>
          </cell>
        </row>
        <row r="240">
          <cell r="A240" t="str">
            <v>Chad</v>
          </cell>
        </row>
        <row r="241">
          <cell r="A241" t="str">
            <v>Togo</v>
          </cell>
        </row>
        <row r="242">
          <cell r="A242" t="str">
            <v>Tajikistan</v>
          </cell>
        </row>
        <row r="243">
          <cell r="A243" t="str">
            <v>Tokelau</v>
          </cell>
        </row>
        <row r="244">
          <cell r="A244" t="str">
            <v>Turkmenistan</v>
          </cell>
        </row>
        <row r="245">
          <cell r="A245" t="str">
            <v>Tonga</v>
          </cell>
        </row>
        <row r="246">
          <cell r="A246" t="str">
            <v>Tuvalu</v>
          </cell>
        </row>
        <row r="247">
          <cell r="A247" t="str">
            <v>U.S. Outlying Islands</v>
          </cell>
        </row>
        <row r="248">
          <cell r="A248" t="str">
            <v>Vatican City</v>
          </cell>
        </row>
        <row r="249">
          <cell r="A249" t="str">
            <v>St. Vincent &amp; Grenadines</v>
          </cell>
        </row>
        <row r="250">
          <cell r="A250" t="str">
            <v>British Virgin Islands</v>
          </cell>
        </row>
        <row r="251">
          <cell r="A251" t="str">
            <v>Vanuatu</v>
          </cell>
        </row>
        <row r="252">
          <cell r="A252" t="str">
            <v>Wallis &amp; Futuna</v>
          </cell>
        </row>
        <row r="253">
          <cell r="A253" t="str">
            <v>Samoa</v>
          </cell>
        </row>
      </sheetData>
    </sheetDataSet>
  </externalBook>
</externalLink>
</file>

<file path=xl/externalLinks/externalLink1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13)"/>
    </sheetNames>
    <sheetDataSet>
      <sheetData sheetId="0" refreshError="1">
        <row r="1">
          <cell r="A1" t="str">
            <v>Category: All categories</v>
          </cell>
        </row>
        <row r="3">
          <cell r="A3" t="str">
            <v>Country</v>
          </cell>
          <cell r="B3" t="str">
            <v>Finite-state machine: (2018)</v>
          </cell>
          <cell r="C3" t="str">
            <v>Integer overflow: (2018)</v>
          </cell>
        </row>
        <row r="4">
          <cell r="A4" t="str">
            <v>Micronesia</v>
          </cell>
          <cell r="B4">
            <v>1</v>
          </cell>
        </row>
        <row r="5">
          <cell r="A5" t="str">
            <v>Guam</v>
          </cell>
          <cell r="B5">
            <v>1</v>
          </cell>
        </row>
        <row r="6">
          <cell r="A6" t="str">
            <v>China</v>
          </cell>
          <cell r="B6">
            <v>0.88</v>
          </cell>
          <cell r="C6">
            <v>0.12</v>
          </cell>
        </row>
        <row r="7">
          <cell r="A7" t="str">
            <v>Maldives</v>
          </cell>
          <cell r="B7">
            <v>1</v>
          </cell>
        </row>
        <row r="8">
          <cell r="A8" t="str">
            <v>Fiji</v>
          </cell>
        </row>
        <row r="9">
          <cell r="A9" t="str">
            <v>Singapore</v>
          </cell>
          <cell r="B9">
            <v>0.8</v>
          </cell>
          <cell r="C9">
            <v>0.2</v>
          </cell>
        </row>
        <row r="10">
          <cell r="A10" t="str">
            <v>Macao</v>
          </cell>
          <cell r="B10">
            <v>1</v>
          </cell>
        </row>
        <row r="11">
          <cell r="A11" t="str">
            <v>Israel</v>
          </cell>
          <cell r="B11">
            <v>0.8</v>
          </cell>
          <cell r="C11">
            <v>0.2</v>
          </cell>
        </row>
        <row r="12">
          <cell r="A12" t="str">
            <v>St. Helena</v>
          </cell>
          <cell r="B12">
            <v>0.53</v>
          </cell>
          <cell r="C12">
            <v>0.47</v>
          </cell>
        </row>
        <row r="13">
          <cell r="A13" t="str">
            <v>Hong Kong</v>
          </cell>
          <cell r="B13">
            <v>0.77</v>
          </cell>
          <cell r="C13">
            <v>0.23</v>
          </cell>
        </row>
        <row r="14">
          <cell r="A14" t="str">
            <v>South Korea</v>
          </cell>
          <cell r="B14">
            <v>0.71</v>
          </cell>
          <cell r="C14">
            <v>0.28999999999999998</v>
          </cell>
        </row>
        <row r="15">
          <cell r="A15" t="str">
            <v>Ethiopia</v>
          </cell>
        </row>
        <row r="16">
          <cell r="A16" t="str">
            <v>Iceland</v>
          </cell>
        </row>
        <row r="17">
          <cell r="A17" t="str">
            <v>New Zealand</v>
          </cell>
          <cell r="B17">
            <v>0.72</v>
          </cell>
          <cell r="C17">
            <v>0.28000000000000003</v>
          </cell>
        </row>
        <row r="18">
          <cell r="A18" t="str">
            <v>Pakistan</v>
          </cell>
          <cell r="B18">
            <v>0.65</v>
          </cell>
          <cell r="C18">
            <v>0.35</v>
          </cell>
        </row>
        <row r="19">
          <cell r="A19" t="str">
            <v>Tunisia</v>
          </cell>
          <cell r="B19">
            <v>1</v>
          </cell>
        </row>
        <row r="20">
          <cell r="A20" t="str">
            <v>Malaysia</v>
          </cell>
          <cell r="B20">
            <v>0.68</v>
          </cell>
          <cell r="C20">
            <v>0.32</v>
          </cell>
        </row>
        <row r="21">
          <cell r="A21" t="str">
            <v>Australia</v>
          </cell>
          <cell r="B21">
            <v>0.67</v>
          </cell>
          <cell r="C21">
            <v>0.33</v>
          </cell>
        </row>
        <row r="22">
          <cell r="A22" t="str">
            <v>United States</v>
          </cell>
          <cell r="B22">
            <v>0.61</v>
          </cell>
          <cell r="C22">
            <v>0.39</v>
          </cell>
        </row>
        <row r="23">
          <cell r="A23" t="str">
            <v>Taiwan</v>
          </cell>
          <cell r="B23">
            <v>0.81</v>
          </cell>
          <cell r="C23">
            <v>0.19</v>
          </cell>
        </row>
        <row r="24">
          <cell r="A24" t="str">
            <v>United Kingdom</v>
          </cell>
          <cell r="B24">
            <v>0.63</v>
          </cell>
          <cell r="C24">
            <v>0.37</v>
          </cell>
        </row>
        <row r="25">
          <cell r="A25" t="str">
            <v>India</v>
          </cell>
          <cell r="B25">
            <v>0.59</v>
          </cell>
          <cell r="C25">
            <v>0.41</v>
          </cell>
        </row>
        <row r="26">
          <cell r="A26" t="str">
            <v>Canada</v>
          </cell>
          <cell r="B26">
            <v>0.59</v>
          </cell>
          <cell r="C26">
            <v>0.41</v>
          </cell>
        </row>
        <row r="27">
          <cell r="A27" t="str">
            <v>Ireland</v>
          </cell>
          <cell r="B27">
            <v>0.57999999999999996</v>
          </cell>
          <cell r="C27">
            <v>0.42</v>
          </cell>
        </row>
        <row r="28">
          <cell r="A28" t="str">
            <v>Switzerland</v>
          </cell>
          <cell r="B28">
            <v>0.69</v>
          </cell>
          <cell r="C28">
            <v>0.31</v>
          </cell>
        </row>
        <row r="29">
          <cell r="A29" t="str">
            <v>Nepal</v>
          </cell>
        </row>
        <row r="30">
          <cell r="A30" t="str">
            <v>Norway</v>
          </cell>
          <cell r="B30">
            <v>0.77</v>
          </cell>
          <cell r="C30">
            <v>0.23</v>
          </cell>
        </row>
        <row r="31">
          <cell r="A31" t="str">
            <v>Sri Lanka</v>
          </cell>
          <cell r="B31">
            <v>0.56000000000000005</v>
          </cell>
          <cell r="C31">
            <v>0.44</v>
          </cell>
        </row>
        <row r="32">
          <cell r="A32" t="str">
            <v>Croatia</v>
          </cell>
          <cell r="B32">
            <v>1</v>
          </cell>
        </row>
        <row r="33">
          <cell r="A33" t="str">
            <v>Germany</v>
          </cell>
          <cell r="B33">
            <v>0.76</v>
          </cell>
          <cell r="C33">
            <v>0.24</v>
          </cell>
        </row>
        <row r="34">
          <cell r="A34" t="str">
            <v>Russia</v>
          </cell>
          <cell r="B34">
            <v>0.88</v>
          </cell>
          <cell r="C34">
            <v>0.12</v>
          </cell>
        </row>
        <row r="35">
          <cell r="A35" t="str">
            <v>Slovenia</v>
          </cell>
          <cell r="B35">
            <v>1</v>
          </cell>
        </row>
        <row r="36">
          <cell r="A36" t="str">
            <v>Romania</v>
          </cell>
          <cell r="B36">
            <v>0.74</v>
          </cell>
          <cell r="C36">
            <v>0.26</v>
          </cell>
        </row>
        <row r="37">
          <cell r="A37" t="str">
            <v>South Africa</v>
          </cell>
          <cell r="B37">
            <v>0.55000000000000004</v>
          </cell>
          <cell r="C37">
            <v>0.45</v>
          </cell>
        </row>
        <row r="38">
          <cell r="A38" t="str">
            <v>Finland</v>
          </cell>
          <cell r="B38">
            <v>0.72</v>
          </cell>
          <cell r="C38">
            <v>0.28000000000000003</v>
          </cell>
        </row>
        <row r="39">
          <cell r="A39" t="str">
            <v>Ghana</v>
          </cell>
        </row>
        <row r="40">
          <cell r="A40" t="str">
            <v>Belarus</v>
          </cell>
          <cell r="B40">
            <v>1</v>
          </cell>
        </row>
        <row r="41">
          <cell r="A41" t="str">
            <v>Serbia</v>
          </cell>
          <cell r="B41">
            <v>1</v>
          </cell>
        </row>
        <row r="42">
          <cell r="A42" t="str">
            <v>Kenya</v>
          </cell>
          <cell r="B42">
            <v>0.7</v>
          </cell>
          <cell r="C42">
            <v>0.3</v>
          </cell>
        </row>
        <row r="43">
          <cell r="A43" t="str">
            <v>Slovakia</v>
          </cell>
          <cell r="B43">
            <v>1</v>
          </cell>
        </row>
        <row r="44">
          <cell r="A44" t="str">
            <v>Austria</v>
          </cell>
          <cell r="B44">
            <v>0.65</v>
          </cell>
          <cell r="C44">
            <v>0.35</v>
          </cell>
        </row>
        <row r="45">
          <cell r="A45" t="str">
            <v>Czechia</v>
          </cell>
          <cell r="B45">
            <v>0.76</v>
          </cell>
          <cell r="C45">
            <v>0.24</v>
          </cell>
        </row>
        <row r="46">
          <cell r="A46" t="str">
            <v>Latvia</v>
          </cell>
        </row>
        <row r="47">
          <cell r="A47" t="str">
            <v>Sweden</v>
          </cell>
          <cell r="B47">
            <v>0.68</v>
          </cell>
          <cell r="C47">
            <v>0.32</v>
          </cell>
        </row>
        <row r="48">
          <cell r="A48" t="str">
            <v>Greece</v>
          </cell>
          <cell r="B48">
            <v>0.8</v>
          </cell>
          <cell r="C48">
            <v>0.2</v>
          </cell>
        </row>
        <row r="49">
          <cell r="A49" t="str">
            <v>Ukraine</v>
          </cell>
          <cell r="B49">
            <v>0.82</v>
          </cell>
          <cell r="C49">
            <v>0.18</v>
          </cell>
        </row>
        <row r="50">
          <cell r="A50" t="str">
            <v>Bulgaria</v>
          </cell>
          <cell r="B50">
            <v>1</v>
          </cell>
        </row>
        <row r="51">
          <cell r="A51" t="str">
            <v>Portugal</v>
          </cell>
          <cell r="B51">
            <v>0.7</v>
          </cell>
          <cell r="C51">
            <v>0.3</v>
          </cell>
        </row>
        <row r="52">
          <cell r="A52" t="str">
            <v>Denmark</v>
          </cell>
          <cell r="B52">
            <v>0.79</v>
          </cell>
          <cell r="C52">
            <v>0.21</v>
          </cell>
        </row>
        <row r="53">
          <cell r="A53" t="str">
            <v>Kuwait</v>
          </cell>
        </row>
        <row r="54">
          <cell r="A54" t="str">
            <v>Bangladesh</v>
          </cell>
          <cell r="B54">
            <v>0.62</v>
          </cell>
          <cell r="C54">
            <v>0.38</v>
          </cell>
        </row>
        <row r="55">
          <cell r="A55" t="str">
            <v>Lithuania</v>
          </cell>
        </row>
        <row r="56">
          <cell r="A56" t="str">
            <v>Hungary</v>
          </cell>
          <cell r="B56">
            <v>1</v>
          </cell>
        </row>
        <row r="57">
          <cell r="A57" t="str">
            <v>Philippines</v>
          </cell>
          <cell r="B57">
            <v>0.53</v>
          </cell>
          <cell r="C57">
            <v>0.47</v>
          </cell>
        </row>
        <row r="58">
          <cell r="A58" t="str">
            <v>Netherlands</v>
          </cell>
          <cell r="B58">
            <v>0.62</v>
          </cell>
          <cell r="C58">
            <v>0.38</v>
          </cell>
        </row>
        <row r="59">
          <cell r="A59" t="str">
            <v>Nigeria</v>
          </cell>
          <cell r="B59">
            <v>0.52</v>
          </cell>
          <cell r="C59">
            <v>0.48</v>
          </cell>
        </row>
        <row r="60">
          <cell r="A60" t="str">
            <v>Georgia</v>
          </cell>
        </row>
        <row r="61">
          <cell r="A61" t="str">
            <v>Bosnia &amp; Herzegovina</v>
          </cell>
        </row>
        <row r="62">
          <cell r="A62" t="str">
            <v>Belgium</v>
          </cell>
          <cell r="B62">
            <v>0.65</v>
          </cell>
          <cell r="C62">
            <v>0.35</v>
          </cell>
        </row>
        <row r="63">
          <cell r="A63" t="str">
            <v>Guatemala</v>
          </cell>
        </row>
        <row r="64">
          <cell r="A64" t="str">
            <v>Turkey</v>
          </cell>
          <cell r="B64">
            <v>0.87</v>
          </cell>
          <cell r="C64">
            <v>0.13</v>
          </cell>
        </row>
        <row r="65">
          <cell r="A65" t="str">
            <v>Tanzania</v>
          </cell>
        </row>
        <row r="66">
          <cell r="A66" t="str">
            <v>Mexico</v>
          </cell>
          <cell r="B66">
            <v>0.86</v>
          </cell>
          <cell r="C66">
            <v>0.14000000000000001</v>
          </cell>
        </row>
        <row r="67">
          <cell r="A67" t="str">
            <v>Lebanon</v>
          </cell>
        </row>
        <row r="68">
          <cell r="A68" t="str">
            <v>Japan</v>
          </cell>
          <cell r="B68">
            <v>0.92</v>
          </cell>
          <cell r="C68">
            <v>0.08</v>
          </cell>
        </row>
        <row r="69">
          <cell r="A69" t="str">
            <v>United Arab Emirates</v>
          </cell>
          <cell r="B69">
            <v>0.5</v>
          </cell>
          <cell r="C69">
            <v>0.5</v>
          </cell>
        </row>
        <row r="70">
          <cell r="A70" t="str">
            <v>Uzbekistan</v>
          </cell>
        </row>
        <row r="71">
          <cell r="A71" t="str">
            <v>Bolivia</v>
          </cell>
        </row>
        <row r="72">
          <cell r="A72" t="str">
            <v>Poland</v>
          </cell>
          <cell r="B72">
            <v>0.7</v>
          </cell>
          <cell r="C72">
            <v>0.3</v>
          </cell>
        </row>
        <row r="73">
          <cell r="A73" t="str">
            <v>Italy</v>
          </cell>
          <cell r="B73">
            <v>0.74</v>
          </cell>
          <cell r="C73">
            <v>0.26</v>
          </cell>
        </row>
        <row r="74">
          <cell r="A74" t="str">
            <v>Indonesia</v>
          </cell>
          <cell r="B74">
            <v>0.72</v>
          </cell>
          <cell r="C74">
            <v>0.28000000000000003</v>
          </cell>
        </row>
        <row r="75">
          <cell r="A75" t="str">
            <v>Colombia</v>
          </cell>
          <cell r="B75">
            <v>0.81</v>
          </cell>
          <cell r="C75">
            <v>0.19</v>
          </cell>
        </row>
        <row r="76">
          <cell r="A76" t="str">
            <v>Ecuador</v>
          </cell>
          <cell r="B76">
            <v>1</v>
          </cell>
        </row>
        <row r="77">
          <cell r="A77" t="str">
            <v>Kazakhstan</v>
          </cell>
          <cell r="B77">
            <v>1</v>
          </cell>
        </row>
        <row r="78">
          <cell r="A78" t="str">
            <v>Iran</v>
          </cell>
          <cell r="B78">
            <v>0.61</v>
          </cell>
          <cell r="C78">
            <v>0.39</v>
          </cell>
        </row>
        <row r="79">
          <cell r="A79" t="str">
            <v>Peru</v>
          </cell>
          <cell r="B79">
            <v>1</v>
          </cell>
        </row>
        <row r="80">
          <cell r="A80" t="str">
            <v>Vietnam</v>
          </cell>
          <cell r="B80">
            <v>0.74</v>
          </cell>
          <cell r="C80">
            <v>0.26</v>
          </cell>
        </row>
        <row r="81">
          <cell r="A81" t="str">
            <v>Morocco</v>
          </cell>
          <cell r="B81">
            <v>1</v>
          </cell>
        </row>
        <row r="82">
          <cell r="A82" t="str">
            <v>France</v>
          </cell>
          <cell r="B82">
            <v>0.56000000000000005</v>
          </cell>
          <cell r="C82">
            <v>0.44</v>
          </cell>
        </row>
        <row r="83">
          <cell r="A83" t="str">
            <v>Egypt</v>
          </cell>
          <cell r="B83">
            <v>0.56000000000000005</v>
          </cell>
          <cell r="C83">
            <v>0.44</v>
          </cell>
        </row>
        <row r="84">
          <cell r="A84" t="str">
            <v>Thailand</v>
          </cell>
          <cell r="B84">
            <v>0.72</v>
          </cell>
          <cell r="C84">
            <v>0.28000000000000003</v>
          </cell>
        </row>
        <row r="85">
          <cell r="A85" t="str">
            <v>El Salvador</v>
          </cell>
        </row>
        <row r="86">
          <cell r="A86" t="str">
            <v>Spain</v>
          </cell>
          <cell r="B86">
            <v>0.71</v>
          </cell>
          <cell r="C86">
            <v>0.28999999999999998</v>
          </cell>
        </row>
        <row r="87">
          <cell r="A87" t="str">
            <v>Jordan</v>
          </cell>
        </row>
        <row r="88">
          <cell r="A88" t="str">
            <v>Algeria</v>
          </cell>
        </row>
        <row r="89">
          <cell r="A89" t="str">
            <v>Saudi Arabia</v>
          </cell>
          <cell r="B89">
            <v>0.5</v>
          </cell>
          <cell r="C89">
            <v>0.5</v>
          </cell>
        </row>
        <row r="90">
          <cell r="A90" t="str">
            <v>Brazil</v>
          </cell>
          <cell r="B90">
            <v>0.66</v>
          </cell>
          <cell r="C90">
            <v>0.34</v>
          </cell>
        </row>
        <row r="91">
          <cell r="A91" t="str">
            <v>Chile</v>
          </cell>
          <cell r="B91">
            <v>0.73</v>
          </cell>
          <cell r="C91">
            <v>0.27</v>
          </cell>
        </row>
        <row r="92">
          <cell r="A92" t="str">
            <v>Argentina</v>
          </cell>
          <cell r="B92">
            <v>0.73</v>
          </cell>
          <cell r="C92">
            <v>0.27</v>
          </cell>
        </row>
        <row r="93">
          <cell r="A93" t="str">
            <v>Iraq</v>
          </cell>
        </row>
        <row r="94">
          <cell r="A94" t="str">
            <v>Venezuela</v>
          </cell>
        </row>
        <row r="95">
          <cell r="A95" t="str">
            <v>Marshall Islands</v>
          </cell>
        </row>
        <row r="96">
          <cell r="A96" t="str">
            <v>Palau</v>
          </cell>
        </row>
        <row r="97">
          <cell r="A97" t="str">
            <v>Northern Mariana Islands</v>
          </cell>
        </row>
        <row r="98">
          <cell r="A98" t="str">
            <v>Tonga</v>
          </cell>
        </row>
        <row r="99">
          <cell r="A99" t="str">
            <v>Solomon Islands</v>
          </cell>
        </row>
        <row r="100">
          <cell r="A100" t="str">
            <v>Vanuatu</v>
          </cell>
        </row>
        <row r="101">
          <cell r="A101" t="str">
            <v>Samoa</v>
          </cell>
        </row>
        <row r="102">
          <cell r="A102" t="str">
            <v>St. Kitts &amp; Nevis</v>
          </cell>
        </row>
        <row r="103">
          <cell r="A103" t="str">
            <v>Ã…land Islands</v>
          </cell>
        </row>
        <row r="104">
          <cell r="A104" t="str">
            <v>Seychelles</v>
          </cell>
        </row>
        <row r="105">
          <cell r="A105" t="str">
            <v>Papua New Guinea</v>
          </cell>
        </row>
        <row r="106">
          <cell r="A106" t="str">
            <v>Liberia</v>
          </cell>
        </row>
        <row r="107">
          <cell r="A107" t="str">
            <v>Lesotho</v>
          </cell>
        </row>
        <row r="108">
          <cell r="A108" t="str">
            <v>Malta</v>
          </cell>
        </row>
        <row r="109">
          <cell r="A109" t="str">
            <v>Antigua &amp; Barbuda</v>
          </cell>
        </row>
        <row r="110">
          <cell r="A110" t="str">
            <v>St. Lucia</v>
          </cell>
        </row>
        <row r="111">
          <cell r="A111" t="str">
            <v>Bermuda</v>
          </cell>
        </row>
        <row r="112">
          <cell r="A112" t="str">
            <v>Isle of Man</v>
          </cell>
        </row>
        <row r="113">
          <cell r="A113" t="str">
            <v>Cuba</v>
          </cell>
        </row>
        <row r="114">
          <cell r="A114" t="str">
            <v>Zimbabwe</v>
          </cell>
        </row>
        <row r="115">
          <cell r="A115" t="str">
            <v>Aruba</v>
          </cell>
        </row>
        <row r="116">
          <cell r="A116" t="str">
            <v>North Macedonia</v>
          </cell>
        </row>
        <row r="117">
          <cell r="A117" t="str">
            <v>Myanmar (Burma)</v>
          </cell>
        </row>
        <row r="118">
          <cell r="A118" t="str">
            <v>CuraÃ§ao</v>
          </cell>
        </row>
        <row r="119">
          <cell r="A119" t="str">
            <v>Cyprus</v>
          </cell>
        </row>
        <row r="120">
          <cell r="A120" t="str">
            <v>Rwanda</v>
          </cell>
        </row>
        <row r="121">
          <cell r="A121" t="str">
            <v>Madagascar</v>
          </cell>
        </row>
        <row r="122">
          <cell r="A122" t="str">
            <v>Barbados</v>
          </cell>
        </row>
        <row r="123">
          <cell r="A123" t="str">
            <v>Luxembourg</v>
          </cell>
        </row>
        <row r="124">
          <cell r="A124" t="str">
            <v>Namibia</v>
          </cell>
        </row>
        <row r="125">
          <cell r="A125" t="str">
            <v>Turkmenistan</v>
          </cell>
        </row>
        <row r="126">
          <cell r="A126" t="str">
            <v>Benin</v>
          </cell>
        </row>
        <row r="127">
          <cell r="A127" t="str">
            <v>Malawi</v>
          </cell>
        </row>
        <row r="128">
          <cell r="A128" t="str">
            <v>Botswana</v>
          </cell>
        </row>
        <row r="129">
          <cell r="A129" t="str">
            <v>Cameroon</v>
          </cell>
        </row>
        <row r="130">
          <cell r="A130" t="str">
            <v>Cambodia</v>
          </cell>
        </row>
        <row r="131">
          <cell r="A131" t="str">
            <v>Brunei</v>
          </cell>
        </row>
        <row r="132">
          <cell r="A132" t="str">
            <v>Jersey</v>
          </cell>
        </row>
        <row r="133">
          <cell r="A133" t="str">
            <v>Estonia</v>
          </cell>
        </row>
        <row r="134">
          <cell r="A134" t="str">
            <v>Afghanistan</v>
          </cell>
        </row>
        <row r="135">
          <cell r="A135" t="str">
            <v>Armenia</v>
          </cell>
        </row>
        <row r="136">
          <cell r="A136" t="str">
            <v>Uganda</v>
          </cell>
        </row>
        <row r="137">
          <cell r="A137" t="str">
            <v>Oman</v>
          </cell>
        </row>
        <row r="138">
          <cell r="A138" t="str">
            <v>Somalia</v>
          </cell>
        </row>
        <row r="139">
          <cell r="A139" t="str">
            <v>Trinidad &amp; Tobago</v>
          </cell>
        </row>
        <row r="140">
          <cell r="A140" t="str">
            <v>Angola</v>
          </cell>
        </row>
        <row r="141">
          <cell r="A141" t="str">
            <v>Mongolia</v>
          </cell>
        </row>
        <row r="142">
          <cell r="A142" t="str">
            <v>Sudan</v>
          </cell>
        </row>
        <row r="143">
          <cell r="A143" t="str">
            <v>Mali</v>
          </cell>
        </row>
        <row r="144">
          <cell r="A144" t="str">
            <v>Bahamas</v>
          </cell>
        </row>
        <row r="145">
          <cell r="A145" t="str">
            <v>Albania</v>
          </cell>
        </row>
        <row r="146">
          <cell r="A146" t="str">
            <v>Mauritius</v>
          </cell>
        </row>
        <row r="147">
          <cell r="A147" t="str">
            <v>Zambia</v>
          </cell>
        </row>
        <row r="148">
          <cell r="A148" t="str">
            <v>Burkina Faso</v>
          </cell>
        </row>
        <row r="149">
          <cell r="A149" t="str">
            <v>Palestine</v>
          </cell>
        </row>
        <row r="150">
          <cell r="A150" t="str">
            <v>Bahrain</v>
          </cell>
        </row>
        <row r="151">
          <cell r="A151" t="str">
            <v>Qatar</v>
          </cell>
        </row>
        <row r="152">
          <cell r="A152" t="str">
            <v>Tajikistan</v>
          </cell>
        </row>
        <row r="153">
          <cell r="A153" t="str">
            <v>Costa Rica</v>
          </cell>
        </row>
        <row r="154">
          <cell r="A154" t="str">
            <v>Honduras</v>
          </cell>
        </row>
        <row r="155">
          <cell r="A155" t="str">
            <v>Azerbaijan</v>
          </cell>
        </row>
        <row r="156">
          <cell r="A156" t="str">
            <v>CÃ´te dâ€™Ivoire</v>
          </cell>
        </row>
        <row r="157">
          <cell r="A157" t="str">
            <v>Puerto Rico</v>
          </cell>
        </row>
        <row r="158">
          <cell r="A158" t="str">
            <v>Panama</v>
          </cell>
        </row>
        <row r="159">
          <cell r="A159" t="str">
            <v>Montenegro</v>
          </cell>
        </row>
        <row r="160">
          <cell r="A160" t="str">
            <v>Kosovo</v>
          </cell>
        </row>
        <row r="161">
          <cell r="A161" t="str">
            <v>Libya</v>
          </cell>
        </row>
        <row r="162">
          <cell r="A162" t="str">
            <v>Syria</v>
          </cell>
        </row>
        <row r="163">
          <cell r="A163" t="str">
            <v>Jamaica</v>
          </cell>
        </row>
        <row r="164">
          <cell r="A164" t="str">
            <v>Moldova</v>
          </cell>
        </row>
        <row r="165">
          <cell r="A165" t="str">
            <v>Laos</v>
          </cell>
        </row>
        <row r="166">
          <cell r="A166" t="str">
            <v>Mozambique</v>
          </cell>
        </row>
        <row r="167">
          <cell r="A167" t="str">
            <v>Congo - Kinshasa</v>
          </cell>
        </row>
        <row r="168">
          <cell r="A168" t="str">
            <v>Kyrgyzstan</v>
          </cell>
        </row>
        <row r="169">
          <cell r="A169" t="str">
            <v>Paraguay</v>
          </cell>
        </row>
        <row r="170">
          <cell r="A170" t="str">
            <v>Nicaragua</v>
          </cell>
        </row>
        <row r="171">
          <cell r="A171" t="str">
            <v>Uruguay</v>
          </cell>
        </row>
        <row r="172">
          <cell r="A172" t="str">
            <v>Yemen</v>
          </cell>
        </row>
        <row r="173">
          <cell r="A173" t="str">
            <v>Dominican Republic</v>
          </cell>
        </row>
        <row r="174">
          <cell r="A174" t="str">
            <v>Anguilla</v>
          </cell>
        </row>
        <row r="175">
          <cell r="A175" t="str">
            <v>Andorra</v>
          </cell>
        </row>
        <row r="176">
          <cell r="A176" t="str">
            <v>American Samoa</v>
          </cell>
        </row>
        <row r="177">
          <cell r="A177" t="str">
            <v>Antarctica</v>
          </cell>
        </row>
        <row r="178">
          <cell r="A178" t="str">
            <v>French Southern Territories</v>
          </cell>
        </row>
        <row r="179">
          <cell r="A179" t="str">
            <v>Burundi</v>
          </cell>
        </row>
        <row r="180">
          <cell r="A180" t="str">
            <v>Caribbean Netherlands</v>
          </cell>
        </row>
        <row r="181">
          <cell r="A181" t="str">
            <v>St. BarthÃ©lemy</v>
          </cell>
        </row>
        <row r="182">
          <cell r="A182" t="str">
            <v>Belize</v>
          </cell>
        </row>
        <row r="183">
          <cell r="A183" t="str">
            <v>Bhutan</v>
          </cell>
        </row>
        <row r="184">
          <cell r="A184" t="str">
            <v>Bouvet Island</v>
          </cell>
        </row>
        <row r="185">
          <cell r="A185" t="str">
            <v>Central African Republic</v>
          </cell>
        </row>
        <row r="186">
          <cell r="A186" t="str">
            <v>Cocos (Keeling) Islands</v>
          </cell>
        </row>
        <row r="187">
          <cell r="A187" t="str">
            <v>Congo - Brazzaville</v>
          </cell>
        </row>
        <row r="188">
          <cell r="A188" t="str">
            <v>Cook Islands</v>
          </cell>
        </row>
        <row r="189">
          <cell r="A189" t="str">
            <v>Comoros</v>
          </cell>
        </row>
        <row r="190">
          <cell r="A190" t="str">
            <v>Cape Verde</v>
          </cell>
        </row>
        <row r="191">
          <cell r="A191" t="str">
            <v>Christmas Island</v>
          </cell>
        </row>
        <row r="192">
          <cell r="A192" t="str">
            <v>Cayman Islands</v>
          </cell>
        </row>
        <row r="193">
          <cell r="A193" t="str">
            <v>Djibouti</v>
          </cell>
        </row>
        <row r="194">
          <cell r="A194" t="str">
            <v>Dominica</v>
          </cell>
        </row>
        <row r="195">
          <cell r="A195" t="str">
            <v>Eritrea</v>
          </cell>
        </row>
        <row r="196">
          <cell r="A196" t="str">
            <v>Western Sahara</v>
          </cell>
        </row>
        <row r="197">
          <cell r="A197" t="str">
            <v>Falkland Islands (Islas Malvinas)</v>
          </cell>
        </row>
        <row r="198">
          <cell r="A198" t="str">
            <v>Faroe Islands</v>
          </cell>
        </row>
        <row r="199">
          <cell r="A199" t="str">
            <v>Gabon</v>
          </cell>
        </row>
        <row r="200">
          <cell r="A200" t="str">
            <v>Guernsey</v>
          </cell>
        </row>
        <row r="201">
          <cell r="A201" t="str">
            <v>Gibraltar</v>
          </cell>
        </row>
        <row r="202">
          <cell r="A202" t="str">
            <v>Guinea</v>
          </cell>
        </row>
        <row r="203">
          <cell r="A203" t="str">
            <v>Guadeloupe</v>
          </cell>
        </row>
        <row r="204">
          <cell r="A204" t="str">
            <v>Gambia</v>
          </cell>
        </row>
        <row r="205">
          <cell r="A205" t="str">
            <v>Guinea-Bissau</v>
          </cell>
        </row>
        <row r="206">
          <cell r="A206" t="str">
            <v>Equatorial Guinea</v>
          </cell>
        </row>
        <row r="207">
          <cell r="A207" t="str">
            <v>Grenada</v>
          </cell>
        </row>
        <row r="208">
          <cell r="A208" t="str">
            <v>Greenland</v>
          </cell>
        </row>
        <row r="209">
          <cell r="A209" t="str">
            <v>French Guiana</v>
          </cell>
        </row>
        <row r="210">
          <cell r="A210" t="str">
            <v>Guyana</v>
          </cell>
        </row>
        <row r="211">
          <cell r="A211" t="str">
            <v>Heard &amp; McDonald Islands</v>
          </cell>
        </row>
        <row r="212">
          <cell r="A212" t="str">
            <v>Haiti</v>
          </cell>
        </row>
        <row r="213">
          <cell r="A213" t="str">
            <v>British Indian Ocean Territory</v>
          </cell>
        </row>
        <row r="214">
          <cell r="A214" t="str">
            <v>Kiribati</v>
          </cell>
        </row>
        <row r="215">
          <cell r="A215" t="str">
            <v>Liechtenstein</v>
          </cell>
        </row>
        <row r="216">
          <cell r="A216" t="str">
            <v>St. Martin</v>
          </cell>
        </row>
        <row r="217">
          <cell r="A217" t="str">
            <v>Monaco</v>
          </cell>
        </row>
        <row r="218">
          <cell r="A218" t="str">
            <v>Mauritania</v>
          </cell>
        </row>
        <row r="219">
          <cell r="A219" t="str">
            <v>Montserrat</v>
          </cell>
        </row>
        <row r="220">
          <cell r="A220" t="str">
            <v>Martinique</v>
          </cell>
        </row>
        <row r="221">
          <cell r="A221" t="str">
            <v>Mayotte</v>
          </cell>
        </row>
        <row r="222">
          <cell r="A222" t="str">
            <v>New Caledonia</v>
          </cell>
        </row>
        <row r="223">
          <cell r="A223" t="str">
            <v>Niger</v>
          </cell>
        </row>
        <row r="224">
          <cell r="A224" t="str">
            <v>Norfolk Island</v>
          </cell>
        </row>
        <row r="225">
          <cell r="A225" t="str">
            <v>Niue</v>
          </cell>
        </row>
        <row r="226">
          <cell r="A226" t="str">
            <v>Nauru</v>
          </cell>
        </row>
        <row r="227">
          <cell r="A227" t="str">
            <v>Pitcairn Islands</v>
          </cell>
        </row>
        <row r="228">
          <cell r="A228" t="str">
            <v>North Korea</v>
          </cell>
        </row>
        <row r="229">
          <cell r="A229" t="str">
            <v>French Polynesia</v>
          </cell>
        </row>
        <row r="230">
          <cell r="A230" t="str">
            <v>RÃ©union</v>
          </cell>
        </row>
        <row r="231">
          <cell r="A231" t="str">
            <v>Senegal</v>
          </cell>
        </row>
        <row r="232">
          <cell r="A232" t="str">
            <v>South Georgia &amp; South Sandwich Islands</v>
          </cell>
        </row>
        <row r="233">
          <cell r="A233" t="str">
            <v>Svalbard &amp; Jan Mayen</v>
          </cell>
        </row>
        <row r="234">
          <cell r="A234" t="str">
            <v>Sierra Leone</v>
          </cell>
        </row>
        <row r="235">
          <cell r="A235" t="str">
            <v>San Marino</v>
          </cell>
        </row>
        <row r="236">
          <cell r="A236" t="str">
            <v>St. Pierre &amp; Miquelon</v>
          </cell>
        </row>
        <row r="237">
          <cell r="A237" t="str">
            <v>South Sudan</v>
          </cell>
        </row>
        <row r="238">
          <cell r="A238" t="str">
            <v>SÃ£o TomÃ© &amp; PrÃ­ncipe</v>
          </cell>
        </row>
        <row r="239">
          <cell r="A239" t="str">
            <v>Suriname</v>
          </cell>
        </row>
        <row r="240">
          <cell r="A240" t="str">
            <v>Eswatini</v>
          </cell>
        </row>
        <row r="241">
          <cell r="A241" t="str">
            <v>Sint Maarten</v>
          </cell>
        </row>
        <row r="242">
          <cell r="A242" t="str">
            <v>Turks &amp; Caicos Islands</v>
          </cell>
        </row>
        <row r="243">
          <cell r="A243" t="str">
            <v>Chad</v>
          </cell>
        </row>
        <row r="244">
          <cell r="A244" t="str">
            <v>Togo</v>
          </cell>
        </row>
        <row r="245">
          <cell r="A245" t="str">
            <v>Tokelau</v>
          </cell>
        </row>
        <row r="246">
          <cell r="A246" t="str">
            <v>Timor-Leste</v>
          </cell>
        </row>
        <row r="247">
          <cell r="A247" t="str">
            <v>Tuvalu</v>
          </cell>
        </row>
        <row r="248">
          <cell r="A248" t="str">
            <v>U.S. Outlying Islands</v>
          </cell>
        </row>
        <row r="249">
          <cell r="A249" t="str">
            <v>Vatican City</v>
          </cell>
        </row>
        <row r="250">
          <cell r="A250" t="str">
            <v>St. Vincent &amp; Grenadines</v>
          </cell>
        </row>
        <row r="251">
          <cell r="A251" t="str">
            <v>British Virgin Islands</v>
          </cell>
        </row>
        <row r="252">
          <cell r="A252" t="str">
            <v>U.S. Virgin Islands</v>
          </cell>
        </row>
        <row r="253">
          <cell r="A253" t="str">
            <v>Wallis &amp; Futuna</v>
          </cell>
        </row>
      </sheetData>
    </sheetDataSet>
  </externalBook>
</externalLink>
</file>

<file path=xl/externalLinks/externalLink1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22)"/>
    </sheetNames>
    <sheetDataSet>
      <sheetData sheetId="0" refreshError="1">
        <row r="1">
          <cell r="A1" t="str">
            <v>Category: All categories</v>
          </cell>
        </row>
        <row r="3">
          <cell r="A3" t="str">
            <v>Country</v>
          </cell>
          <cell r="B3" t="str">
            <v>Interaction design: (2018)</v>
          </cell>
          <cell r="C3" t="str">
            <v>Mutual exclusion: (2018)</v>
          </cell>
        </row>
        <row r="4">
          <cell r="A4" t="str">
            <v>China</v>
          </cell>
          <cell r="B4">
            <v>0.56000000000000005</v>
          </cell>
          <cell r="C4">
            <v>0.44</v>
          </cell>
        </row>
        <row r="5">
          <cell r="A5" t="str">
            <v>Botswana</v>
          </cell>
        </row>
        <row r="6">
          <cell r="A6" t="str">
            <v>Norway</v>
          </cell>
          <cell r="B6">
            <v>0.86</v>
          </cell>
          <cell r="C6">
            <v>0.14000000000000001</v>
          </cell>
        </row>
        <row r="7">
          <cell r="A7" t="str">
            <v>South Korea</v>
          </cell>
          <cell r="B7">
            <v>0.83</v>
          </cell>
          <cell r="C7">
            <v>0.17</v>
          </cell>
        </row>
        <row r="8">
          <cell r="A8" t="str">
            <v>Sweden</v>
          </cell>
          <cell r="B8">
            <v>0.82</v>
          </cell>
          <cell r="C8">
            <v>0.18</v>
          </cell>
        </row>
        <row r="9">
          <cell r="A9" t="str">
            <v>Singapore</v>
          </cell>
          <cell r="B9">
            <v>0.87</v>
          </cell>
          <cell r="C9">
            <v>0.13</v>
          </cell>
        </row>
        <row r="10">
          <cell r="A10" t="str">
            <v>Denmark</v>
          </cell>
        </row>
        <row r="11">
          <cell r="A11" t="str">
            <v>Taiwan</v>
          </cell>
          <cell r="B11">
            <v>0.59</v>
          </cell>
          <cell r="C11">
            <v>0.41</v>
          </cell>
        </row>
        <row r="12">
          <cell r="A12" t="str">
            <v>Switzerland</v>
          </cell>
          <cell r="B12">
            <v>0.77</v>
          </cell>
          <cell r="C12">
            <v>0.23</v>
          </cell>
        </row>
        <row r="13">
          <cell r="A13" t="str">
            <v>St. Helena</v>
          </cell>
        </row>
        <row r="14">
          <cell r="A14" t="str">
            <v>Netherlands</v>
          </cell>
          <cell r="B14">
            <v>0.81</v>
          </cell>
          <cell r="C14">
            <v>0.19</v>
          </cell>
        </row>
        <row r="15">
          <cell r="A15" t="str">
            <v>Israel</v>
          </cell>
          <cell r="B15">
            <v>0.25</v>
          </cell>
          <cell r="C15">
            <v>0.75</v>
          </cell>
        </row>
        <row r="16">
          <cell r="A16" t="str">
            <v>Hong Kong</v>
          </cell>
          <cell r="B16">
            <v>0.8</v>
          </cell>
          <cell r="C16">
            <v>0.2</v>
          </cell>
        </row>
        <row r="17">
          <cell r="A17" t="str">
            <v>Ireland</v>
          </cell>
          <cell r="B17">
            <v>0.81</v>
          </cell>
          <cell r="C17">
            <v>0.19</v>
          </cell>
        </row>
        <row r="18">
          <cell r="A18" t="str">
            <v>Nepal</v>
          </cell>
        </row>
        <row r="19">
          <cell r="A19" t="str">
            <v>Japan</v>
          </cell>
          <cell r="B19">
            <v>0.18</v>
          </cell>
          <cell r="C19">
            <v>0.82</v>
          </cell>
        </row>
        <row r="20">
          <cell r="A20" t="str">
            <v>Belarus</v>
          </cell>
          <cell r="C20">
            <v>1</v>
          </cell>
        </row>
        <row r="21">
          <cell r="A21" t="str">
            <v>Czechia</v>
          </cell>
          <cell r="B21">
            <v>0.18</v>
          </cell>
          <cell r="C21">
            <v>0.82</v>
          </cell>
        </row>
        <row r="22">
          <cell r="A22" t="str">
            <v>Austria</v>
          </cell>
          <cell r="B22">
            <v>0.35</v>
          </cell>
          <cell r="C22">
            <v>0.65</v>
          </cell>
        </row>
        <row r="23">
          <cell r="A23" t="str">
            <v>Australia</v>
          </cell>
          <cell r="B23">
            <v>0.9</v>
          </cell>
          <cell r="C23">
            <v>0.1</v>
          </cell>
        </row>
        <row r="24">
          <cell r="A24" t="str">
            <v>New Zealand</v>
          </cell>
        </row>
        <row r="25">
          <cell r="A25" t="str">
            <v>Nigeria</v>
          </cell>
          <cell r="B25">
            <v>0.8</v>
          </cell>
          <cell r="C25">
            <v>0.2</v>
          </cell>
        </row>
        <row r="26">
          <cell r="A26" t="str">
            <v>Kenya</v>
          </cell>
          <cell r="B26">
            <v>0.39</v>
          </cell>
          <cell r="C26">
            <v>0.61</v>
          </cell>
        </row>
        <row r="27">
          <cell r="A27" t="str">
            <v>Myanmar (Burma)</v>
          </cell>
        </row>
        <row r="28">
          <cell r="A28" t="str">
            <v>Russia</v>
          </cell>
          <cell r="B28">
            <v>0.15</v>
          </cell>
          <cell r="C28">
            <v>0.85</v>
          </cell>
        </row>
        <row r="29">
          <cell r="A29" t="str">
            <v>Canada</v>
          </cell>
          <cell r="B29">
            <v>0.83</v>
          </cell>
          <cell r="C29">
            <v>0.17</v>
          </cell>
        </row>
        <row r="30">
          <cell r="A30" t="str">
            <v>Malaysia</v>
          </cell>
          <cell r="B30">
            <v>0.88</v>
          </cell>
          <cell r="C30">
            <v>0.12</v>
          </cell>
        </row>
        <row r="31">
          <cell r="A31" t="str">
            <v>Portugal</v>
          </cell>
          <cell r="B31">
            <v>0.49</v>
          </cell>
          <cell r="C31">
            <v>0.51</v>
          </cell>
        </row>
        <row r="32">
          <cell r="A32" t="str">
            <v>United States</v>
          </cell>
          <cell r="B32">
            <v>0.83</v>
          </cell>
          <cell r="C32">
            <v>0.17</v>
          </cell>
        </row>
        <row r="33">
          <cell r="A33" t="str">
            <v>Germany</v>
          </cell>
          <cell r="B33">
            <v>0.43</v>
          </cell>
          <cell r="C33">
            <v>0.56999999999999995</v>
          </cell>
        </row>
        <row r="34">
          <cell r="A34" t="str">
            <v>Philippines</v>
          </cell>
          <cell r="B34">
            <v>0.87</v>
          </cell>
          <cell r="C34">
            <v>0.13</v>
          </cell>
        </row>
        <row r="35">
          <cell r="A35" t="str">
            <v>Ghana</v>
          </cell>
          <cell r="B35">
            <v>1</v>
          </cell>
        </row>
        <row r="36">
          <cell r="A36" t="str">
            <v>United Arab Emirates</v>
          </cell>
        </row>
        <row r="37">
          <cell r="A37" t="str">
            <v>United Kingdom</v>
          </cell>
          <cell r="B37">
            <v>0.88</v>
          </cell>
          <cell r="C37">
            <v>0.12</v>
          </cell>
        </row>
        <row r="38">
          <cell r="A38" t="str">
            <v>Ukraine</v>
          </cell>
          <cell r="B38">
            <v>0.23</v>
          </cell>
          <cell r="C38">
            <v>0.77</v>
          </cell>
        </row>
        <row r="39">
          <cell r="A39" t="str">
            <v>Tunisia</v>
          </cell>
        </row>
        <row r="40">
          <cell r="A40" t="str">
            <v>Laos</v>
          </cell>
        </row>
        <row r="41">
          <cell r="A41" t="str">
            <v>South Africa</v>
          </cell>
          <cell r="B41">
            <v>0.74</v>
          </cell>
          <cell r="C41">
            <v>0.26</v>
          </cell>
        </row>
        <row r="42">
          <cell r="A42" t="str">
            <v>India</v>
          </cell>
          <cell r="B42">
            <v>0.54</v>
          </cell>
          <cell r="C42">
            <v>0.46</v>
          </cell>
        </row>
        <row r="43">
          <cell r="A43" t="str">
            <v>Poland</v>
          </cell>
          <cell r="B43">
            <v>0.28000000000000003</v>
          </cell>
          <cell r="C43">
            <v>0.72</v>
          </cell>
        </row>
        <row r="44">
          <cell r="A44" t="str">
            <v>Bangladesh</v>
          </cell>
          <cell r="B44">
            <v>0.77</v>
          </cell>
          <cell r="C44">
            <v>0.23</v>
          </cell>
        </row>
        <row r="45">
          <cell r="A45" t="str">
            <v>Finland</v>
          </cell>
          <cell r="B45">
            <v>0.54</v>
          </cell>
          <cell r="C45">
            <v>0.46</v>
          </cell>
        </row>
        <row r="46">
          <cell r="A46" t="str">
            <v>Algeria</v>
          </cell>
          <cell r="C46">
            <v>1</v>
          </cell>
        </row>
        <row r="47">
          <cell r="A47" t="str">
            <v>Pakistan</v>
          </cell>
          <cell r="B47">
            <v>0.49</v>
          </cell>
          <cell r="C47">
            <v>0.51</v>
          </cell>
        </row>
        <row r="48">
          <cell r="A48" t="str">
            <v>Hungary</v>
          </cell>
        </row>
        <row r="49">
          <cell r="A49" t="str">
            <v>Italy</v>
          </cell>
          <cell r="B49">
            <v>0.53</v>
          </cell>
          <cell r="C49">
            <v>0.47</v>
          </cell>
        </row>
        <row r="50">
          <cell r="A50" t="str">
            <v>France</v>
          </cell>
          <cell r="B50">
            <v>0.66</v>
          </cell>
          <cell r="C50">
            <v>0.34</v>
          </cell>
        </row>
        <row r="51">
          <cell r="A51" t="str">
            <v>Guatemala</v>
          </cell>
        </row>
        <row r="52">
          <cell r="A52" t="str">
            <v>Slovakia</v>
          </cell>
          <cell r="C52">
            <v>1</v>
          </cell>
        </row>
        <row r="53">
          <cell r="A53" t="str">
            <v>Spain</v>
          </cell>
          <cell r="B53">
            <v>0.46</v>
          </cell>
          <cell r="C53">
            <v>0.54</v>
          </cell>
        </row>
        <row r="54">
          <cell r="A54" t="str">
            <v>Croatia</v>
          </cell>
          <cell r="C54">
            <v>1</v>
          </cell>
        </row>
        <row r="55">
          <cell r="A55" t="str">
            <v>Peru</v>
          </cell>
          <cell r="B55">
            <v>0.74</v>
          </cell>
          <cell r="C55">
            <v>0.26</v>
          </cell>
        </row>
        <row r="56">
          <cell r="A56" t="str">
            <v>Argentina</v>
          </cell>
          <cell r="B56">
            <v>0.62</v>
          </cell>
          <cell r="C56">
            <v>0.38</v>
          </cell>
        </row>
        <row r="57">
          <cell r="A57" t="str">
            <v>Colombia</v>
          </cell>
          <cell r="B57">
            <v>0.74</v>
          </cell>
          <cell r="C57">
            <v>0.26</v>
          </cell>
        </row>
        <row r="58">
          <cell r="A58" t="str">
            <v>Sri Lanka</v>
          </cell>
        </row>
        <row r="59">
          <cell r="A59" t="str">
            <v>Egypt</v>
          </cell>
          <cell r="B59">
            <v>0.87</v>
          </cell>
          <cell r="C59">
            <v>0.13</v>
          </cell>
        </row>
        <row r="60">
          <cell r="A60" t="str">
            <v>Brazil</v>
          </cell>
          <cell r="B60">
            <v>0.62</v>
          </cell>
          <cell r="C60">
            <v>0.38</v>
          </cell>
        </row>
        <row r="61">
          <cell r="A61" t="str">
            <v>Iran</v>
          </cell>
          <cell r="B61">
            <v>0.68</v>
          </cell>
          <cell r="C61">
            <v>0.32</v>
          </cell>
        </row>
        <row r="62">
          <cell r="A62" t="str">
            <v>Chile</v>
          </cell>
          <cell r="B62">
            <v>0.63</v>
          </cell>
          <cell r="C62">
            <v>0.37</v>
          </cell>
        </row>
        <row r="63">
          <cell r="A63" t="str">
            <v>Indonesia</v>
          </cell>
          <cell r="B63">
            <v>0.65</v>
          </cell>
          <cell r="C63">
            <v>0.35</v>
          </cell>
        </row>
        <row r="64">
          <cell r="A64" t="str">
            <v>Belgium</v>
          </cell>
          <cell r="B64">
            <v>0.61</v>
          </cell>
          <cell r="C64">
            <v>0.39</v>
          </cell>
        </row>
        <row r="65">
          <cell r="A65" t="str">
            <v>Romania</v>
          </cell>
          <cell r="B65">
            <v>0.53</v>
          </cell>
          <cell r="C65">
            <v>0.47</v>
          </cell>
        </row>
        <row r="66">
          <cell r="A66" t="str">
            <v>Greece</v>
          </cell>
          <cell r="B66">
            <v>0.56000000000000005</v>
          </cell>
          <cell r="C66">
            <v>0.44</v>
          </cell>
        </row>
        <row r="67">
          <cell r="A67" t="str">
            <v>Mexico</v>
          </cell>
          <cell r="B67">
            <v>0.56999999999999995</v>
          </cell>
          <cell r="C67">
            <v>0.43</v>
          </cell>
        </row>
        <row r="68">
          <cell r="A68" t="str">
            <v>Thailand</v>
          </cell>
          <cell r="B68">
            <v>0.69</v>
          </cell>
          <cell r="C68">
            <v>0.31</v>
          </cell>
        </row>
        <row r="69">
          <cell r="A69" t="str">
            <v>Saudi Arabia</v>
          </cell>
          <cell r="B69">
            <v>0.72</v>
          </cell>
          <cell r="C69">
            <v>0.28000000000000003</v>
          </cell>
        </row>
        <row r="70">
          <cell r="A70" t="str">
            <v>Ecuador</v>
          </cell>
        </row>
        <row r="71">
          <cell r="A71" t="str">
            <v>Kazakhstan</v>
          </cell>
          <cell r="C71">
            <v>1</v>
          </cell>
        </row>
        <row r="72">
          <cell r="A72" t="str">
            <v>Vietnam</v>
          </cell>
          <cell r="B72">
            <v>0.47</v>
          </cell>
          <cell r="C72">
            <v>0.53</v>
          </cell>
        </row>
        <row r="73">
          <cell r="A73" t="str">
            <v>Turkey</v>
          </cell>
          <cell r="B73">
            <v>0.69</v>
          </cell>
          <cell r="C73">
            <v>0.31</v>
          </cell>
        </row>
        <row r="74">
          <cell r="A74" t="str">
            <v>Venezuela</v>
          </cell>
        </row>
        <row r="75">
          <cell r="A75" t="str">
            <v>San Marino</v>
          </cell>
        </row>
        <row r="76">
          <cell r="A76" t="str">
            <v>Gambia</v>
          </cell>
        </row>
        <row r="77">
          <cell r="A77" t="str">
            <v>Eswatini</v>
          </cell>
        </row>
        <row r="78">
          <cell r="A78" t="str">
            <v>Lesotho</v>
          </cell>
        </row>
        <row r="79">
          <cell r="A79" t="str">
            <v>Sierra Leone</v>
          </cell>
        </row>
        <row r="80">
          <cell r="A80" t="str">
            <v>Papua New Guinea</v>
          </cell>
        </row>
        <row r="81">
          <cell r="A81" t="str">
            <v>Namibia</v>
          </cell>
        </row>
        <row r="82">
          <cell r="A82" t="str">
            <v>Iceland</v>
          </cell>
        </row>
        <row r="83">
          <cell r="A83" t="str">
            <v>Gabon</v>
          </cell>
        </row>
        <row r="84">
          <cell r="A84" t="str">
            <v>Fiji</v>
          </cell>
        </row>
        <row r="85">
          <cell r="A85" t="str">
            <v>Malta</v>
          </cell>
        </row>
        <row r="86">
          <cell r="A86" t="str">
            <v>Benin</v>
          </cell>
        </row>
        <row r="87">
          <cell r="A87" t="str">
            <v>Somalia</v>
          </cell>
        </row>
        <row r="88">
          <cell r="A88" t="str">
            <v>Zimbabwe</v>
          </cell>
        </row>
        <row r="89">
          <cell r="A89" t="str">
            <v>Haiti</v>
          </cell>
        </row>
        <row r="90">
          <cell r="A90" t="str">
            <v>Mauritius</v>
          </cell>
        </row>
        <row r="91">
          <cell r="A91" t="str">
            <v>Guadeloupe</v>
          </cell>
        </row>
        <row r="92">
          <cell r="A92" t="str">
            <v>Madagascar</v>
          </cell>
        </row>
        <row r="93">
          <cell r="A93" t="str">
            <v>Macao</v>
          </cell>
        </row>
        <row r="94">
          <cell r="A94" t="str">
            <v>Ethiopia</v>
          </cell>
        </row>
        <row r="95">
          <cell r="A95" t="str">
            <v>Jamaica</v>
          </cell>
        </row>
        <row r="96">
          <cell r="A96" t="str">
            <v>Estonia</v>
          </cell>
        </row>
        <row r="97">
          <cell r="A97" t="str">
            <v>Armenia</v>
          </cell>
        </row>
        <row r="98">
          <cell r="A98" t="str">
            <v>Lebanon</v>
          </cell>
        </row>
        <row r="99">
          <cell r="A99" t="str">
            <v>Trinidad &amp; Tobago</v>
          </cell>
        </row>
        <row r="100">
          <cell r="A100" t="str">
            <v>Montenegro</v>
          </cell>
        </row>
        <row r="101">
          <cell r="A101" t="str">
            <v>Bahrain</v>
          </cell>
        </row>
        <row r="102">
          <cell r="A102" t="str">
            <v>Kosovo</v>
          </cell>
        </row>
        <row r="103">
          <cell r="A103" t="str">
            <v>Cyprus</v>
          </cell>
        </row>
        <row r="104">
          <cell r="A104" t="str">
            <v>Luxembourg</v>
          </cell>
        </row>
        <row r="105">
          <cell r="A105" t="str">
            <v>Uruguay</v>
          </cell>
        </row>
        <row r="106">
          <cell r="A106" t="str">
            <v>North Macedonia</v>
          </cell>
        </row>
        <row r="107">
          <cell r="A107" t="str">
            <v>Mozambique</v>
          </cell>
        </row>
        <row r="108">
          <cell r="A108" t="str">
            <v>Senegal</v>
          </cell>
        </row>
        <row r="109">
          <cell r="A109" t="str">
            <v>Zambia</v>
          </cell>
        </row>
        <row r="110">
          <cell r="A110" t="str">
            <v>Honduras</v>
          </cell>
        </row>
        <row r="111">
          <cell r="A111" t="str">
            <v>Slovenia</v>
          </cell>
        </row>
        <row r="112">
          <cell r="A112" t="str">
            <v>Bosnia &amp; Herzegovina</v>
          </cell>
        </row>
        <row r="113">
          <cell r="A113" t="str">
            <v>Costa Rica</v>
          </cell>
        </row>
        <row r="114">
          <cell r="A114" t="str">
            <v>Serbia</v>
          </cell>
        </row>
        <row r="115">
          <cell r="A115" t="str">
            <v>Qatar</v>
          </cell>
        </row>
        <row r="116">
          <cell r="A116" t="str">
            <v>Palestine</v>
          </cell>
        </row>
        <row r="117">
          <cell r="A117" t="str">
            <v>Uganda</v>
          </cell>
        </row>
        <row r="118">
          <cell r="A118" t="str">
            <v>Cambodia</v>
          </cell>
        </row>
        <row r="119">
          <cell r="A119" t="str">
            <v>Albania</v>
          </cell>
        </row>
        <row r="120">
          <cell r="A120" t="str">
            <v>CÃ´te dâ€™Ivoire</v>
          </cell>
        </row>
        <row r="121">
          <cell r="A121" t="str">
            <v>Jordan</v>
          </cell>
        </row>
        <row r="122">
          <cell r="A122" t="str">
            <v>Bulgaria</v>
          </cell>
        </row>
        <row r="123">
          <cell r="A123" t="str">
            <v>Kuwait</v>
          </cell>
        </row>
        <row r="124">
          <cell r="A124" t="str">
            <v>Sudan</v>
          </cell>
        </row>
        <row r="125">
          <cell r="A125" t="str">
            <v>Panama</v>
          </cell>
        </row>
        <row r="126">
          <cell r="A126" t="str">
            <v>Tanzania</v>
          </cell>
        </row>
        <row r="127">
          <cell r="A127" t="str">
            <v>Bolivia</v>
          </cell>
        </row>
        <row r="128">
          <cell r="A128" t="str">
            <v>Dominican Republic</v>
          </cell>
        </row>
        <row r="129">
          <cell r="A129" t="str">
            <v>Azerbaijan</v>
          </cell>
        </row>
        <row r="130">
          <cell r="A130" t="str">
            <v>Moldova</v>
          </cell>
        </row>
        <row r="131">
          <cell r="A131" t="str">
            <v>Georgia</v>
          </cell>
        </row>
        <row r="132">
          <cell r="A132" t="str">
            <v>Lithuania</v>
          </cell>
        </row>
        <row r="133">
          <cell r="A133" t="str">
            <v>Morocco</v>
          </cell>
        </row>
        <row r="134">
          <cell r="A134" t="str">
            <v>Iraq</v>
          </cell>
        </row>
        <row r="135">
          <cell r="A135" t="str">
            <v>Aruba</v>
          </cell>
        </row>
        <row r="136">
          <cell r="A136" t="str">
            <v>Afghanistan</v>
          </cell>
        </row>
        <row r="137">
          <cell r="A137" t="str">
            <v>Angola</v>
          </cell>
        </row>
        <row r="138">
          <cell r="A138" t="str">
            <v>Anguilla</v>
          </cell>
        </row>
        <row r="139">
          <cell r="A139" t="str">
            <v>Ã…land Islands</v>
          </cell>
        </row>
        <row r="140">
          <cell r="A140" t="str">
            <v>Andorra</v>
          </cell>
        </row>
        <row r="141">
          <cell r="A141" t="str">
            <v>American Samoa</v>
          </cell>
        </row>
        <row r="142">
          <cell r="A142" t="str">
            <v>Antarctica</v>
          </cell>
        </row>
        <row r="143">
          <cell r="A143" t="str">
            <v>French Southern Territories</v>
          </cell>
        </row>
        <row r="144">
          <cell r="A144" t="str">
            <v>Antigua &amp; Barbuda</v>
          </cell>
        </row>
        <row r="145">
          <cell r="A145" t="str">
            <v>Burundi</v>
          </cell>
        </row>
        <row r="146">
          <cell r="A146" t="str">
            <v>Caribbean Netherlands</v>
          </cell>
        </row>
        <row r="147">
          <cell r="A147" t="str">
            <v>Burkina Faso</v>
          </cell>
        </row>
        <row r="148">
          <cell r="A148" t="str">
            <v>Bahamas</v>
          </cell>
        </row>
        <row r="149">
          <cell r="A149" t="str">
            <v>St. BarthÃ©lemy</v>
          </cell>
        </row>
        <row r="150">
          <cell r="A150" t="str">
            <v>Belize</v>
          </cell>
        </row>
        <row r="151">
          <cell r="A151" t="str">
            <v>Bermuda</v>
          </cell>
        </row>
        <row r="152">
          <cell r="A152" t="str">
            <v>Barbados</v>
          </cell>
        </row>
        <row r="153">
          <cell r="A153" t="str">
            <v>Brunei</v>
          </cell>
        </row>
        <row r="154">
          <cell r="A154" t="str">
            <v>Bhutan</v>
          </cell>
        </row>
        <row r="155">
          <cell r="A155" t="str">
            <v>Bouvet Island</v>
          </cell>
        </row>
        <row r="156">
          <cell r="A156" t="str">
            <v>Central African Republic</v>
          </cell>
        </row>
        <row r="157">
          <cell r="A157" t="str">
            <v>Cocos (Keeling) Islands</v>
          </cell>
        </row>
        <row r="158">
          <cell r="A158" t="str">
            <v>Cameroon</v>
          </cell>
        </row>
        <row r="159">
          <cell r="A159" t="str">
            <v>Congo - Kinshasa</v>
          </cell>
        </row>
        <row r="160">
          <cell r="A160" t="str">
            <v>Congo - Brazzaville</v>
          </cell>
        </row>
        <row r="161">
          <cell r="A161" t="str">
            <v>Cook Islands</v>
          </cell>
        </row>
        <row r="162">
          <cell r="A162" t="str">
            <v>Comoros</v>
          </cell>
        </row>
        <row r="163">
          <cell r="A163" t="str">
            <v>Cape Verde</v>
          </cell>
        </row>
        <row r="164">
          <cell r="A164" t="str">
            <v>Cuba</v>
          </cell>
        </row>
        <row r="165">
          <cell r="A165" t="str">
            <v>CuraÃ§ao</v>
          </cell>
        </row>
        <row r="166">
          <cell r="A166" t="str">
            <v>Christmas Island</v>
          </cell>
        </row>
        <row r="167">
          <cell r="A167" t="str">
            <v>Cayman Islands</v>
          </cell>
        </row>
        <row r="168">
          <cell r="A168" t="str">
            <v>Djibouti</v>
          </cell>
        </row>
        <row r="169">
          <cell r="A169" t="str">
            <v>Dominica</v>
          </cell>
        </row>
        <row r="170">
          <cell r="A170" t="str">
            <v>Eritrea</v>
          </cell>
        </row>
        <row r="171">
          <cell r="A171" t="str">
            <v>Western Sahara</v>
          </cell>
        </row>
        <row r="172">
          <cell r="A172" t="str">
            <v>Falkland Islands (Islas Malvinas)</v>
          </cell>
        </row>
        <row r="173">
          <cell r="A173" t="str">
            <v>Faroe Islands</v>
          </cell>
        </row>
        <row r="174">
          <cell r="A174" t="str">
            <v>Micronesia</v>
          </cell>
        </row>
        <row r="175">
          <cell r="A175" t="str">
            <v>Guernsey</v>
          </cell>
        </row>
        <row r="176">
          <cell r="A176" t="str">
            <v>Gibraltar</v>
          </cell>
        </row>
        <row r="177">
          <cell r="A177" t="str">
            <v>Guinea</v>
          </cell>
        </row>
        <row r="178">
          <cell r="A178" t="str">
            <v>Guinea-Bissau</v>
          </cell>
        </row>
        <row r="179">
          <cell r="A179" t="str">
            <v>Equatorial Guinea</v>
          </cell>
        </row>
        <row r="180">
          <cell r="A180" t="str">
            <v>Grenada</v>
          </cell>
        </row>
        <row r="181">
          <cell r="A181" t="str">
            <v>Greenland</v>
          </cell>
        </row>
        <row r="182">
          <cell r="A182" t="str">
            <v>French Guiana</v>
          </cell>
        </row>
        <row r="183">
          <cell r="A183" t="str">
            <v>Guam</v>
          </cell>
        </row>
        <row r="184">
          <cell r="A184" t="str">
            <v>Guyana</v>
          </cell>
        </row>
        <row r="185">
          <cell r="A185" t="str">
            <v>Heard &amp; McDonald Islands</v>
          </cell>
        </row>
        <row r="186">
          <cell r="A186" t="str">
            <v>Isle of Man</v>
          </cell>
        </row>
        <row r="187">
          <cell r="A187" t="str">
            <v>British Indian Ocean Territory</v>
          </cell>
        </row>
        <row r="188">
          <cell r="A188" t="str">
            <v>Jersey</v>
          </cell>
        </row>
        <row r="189">
          <cell r="A189" t="str">
            <v>Kyrgyzstan</v>
          </cell>
        </row>
        <row r="190">
          <cell r="A190" t="str">
            <v>Kiribati</v>
          </cell>
        </row>
        <row r="191">
          <cell r="A191" t="str">
            <v>St. Kitts &amp; Nevis</v>
          </cell>
        </row>
        <row r="192">
          <cell r="A192" t="str">
            <v>Liberia</v>
          </cell>
        </row>
        <row r="193">
          <cell r="A193" t="str">
            <v>Libya</v>
          </cell>
        </row>
        <row r="194">
          <cell r="A194" t="str">
            <v>St. Lucia</v>
          </cell>
        </row>
        <row r="195">
          <cell r="A195" t="str">
            <v>Liechtenstein</v>
          </cell>
        </row>
        <row r="196">
          <cell r="A196" t="str">
            <v>Latvia</v>
          </cell>
        </row>
        <row r="197">
          <cell r="A197" t="str">
            <v>St. Martin</v>
          </cell>
        </row>
        <row r="198">
          <cell r="A198" t="str">
            <v>Monaco</v>
          </cell>
        </row>
        <row r="199">
          <cell r="A199" t="str">
            <v>Maldives</v>
          </cell>
        </row>
        <row r="200">
          <cell r="A200" t="str">
            <v>Marshall Islands</v>
          </cell>
        </row>
        <row r="201">
          <cell r="A201" t="str">
            <v>Mali</v>
          </cell>
        </row>
        <row r="202">
          <cell r="A202" t="str">
            <v>Mongolia</v>
          </cell>
        </row>
        <row r="203">
          <cell r="A203" t="str">
            <v>Northern Mariana Islands</v>
          </cell>
        </row>
        <row r="204">
          <cell r="A204" t="str">
            <v>Mauritania</v>
          </cell>
        </row>
        <row r="205">
          <cell r="A205" t="str">
            <v>Montserrat</v>
          </cell>
        </row>
        <row r="206">
          <cell r="A206" t="str">
            <v>Martinique</v>
          </cell>
        </row>
        <row r="207">
          <cell r="A207" t="str">
            <v>Malawi</v>
          </cell>
        </row>
        <row r="208">
          <cell r="A208" t="str">
            <v>Mayotte</v>
          </cell>
        </row>
        <row r="209">
          <cell r="A209" t="str">
            <v>New Caledonia</v>
          </cell>
        </row>
        <row r="210">
          <cell r="A210" t="str">
            <v>Niger</v>
          </cell>
        </row>
        <row r="211">
          <cell r="A211" t="str">
            <v>Norfolk Island</v>
          </cell>
        </row>
        <row r="212">
          <cell r="A212" t="str">
            <v>Nicaragua</v>
          </cell>
        </row>
        <row r="213">
          <cell r="A213" t="str">
            <v>Niue</v>
          </cell>
        </row>
        <row r="214">
          <cell r="A214" t="str">
            <v>Nauru</v>
          </cell>
        </row>
        <row r="215">
          <cell r="A215" t="str">
            <v>Oman</v>
          </cell>
        </row>
        <row r="216">
          <cell r="A216" t="str">
            <v>Pitcairn Islands</v>
          </cell>
        </row>
        <row r="217">
          <cell r="A217" t="str">
            <v>Palau</v>
          </cell>
        </row>
        <row r="218">
          <cell r="A218" t="str">
            <v>Puerto Rico</v>
          </cell>
        </row>
        <row r="219">
          <cell r="A219" t="str">
            <v>North Korea</v>
          </cell>
        </row>
        <row r="220">
          <cell r="A220" t="str">
            <v>Paraguay</v>
          </cell>
        </row>
        <row r="221">
          <cell r="A221" t="str">
            <v>French Polynesia</v>
          </cell>
        </row>
        <row r="222">
          <cell r="A222" t="str">
            <v>RÃ©union</v>
          </cell>
        </row>
        <row r="223">
          <cell r="A223" t="str">
            <v>Rwanda</v>
          </cell>
        </row>
        <row r="224">
          <cell r="A224" t="str">
            <v>South Georgia &amp; South Sandwich Islands</v>
          </cell>
        </row>
        <row r="225">
          <cell r="A225" t="str">
            <v>Svalbard &amp; Jan Mayen</v>
          </cell>
        </row>
        <row r="226">
          <cell r="A226" t="str">
            <v>Solomon Islands</v>
          </cell>
        </row>
        <row r="227">
          <cell r="A227" t="str">
            <v>El Salvador</v>
          </cell>
        </row>
        <row r="228">
          <cell r="A228" t="str">
            <v>St. Pierre &amp; Miquelon</v>
          </cell>
        </row>
        <row r="229">
          <cell r="A229" t="str">
            <v>South Sudan</v>
          </cell>
        </row>
        <row r="230">
          <cell r="A230" t="str">
            <v>SÃ£o TomÃ© &amp; PrÃ­ncipe</v>
          </cell>
        </row>
        <row r="231">
          <cell r="A231" t="str">
            <v>Suriname</v>
          </cell>
        </row>
        <row r="232">
          <cell r="A232" t="str">
            <v>Sint Maarten</v>
          </cell>
        </row>
        <row r="233">
          <cell r="A233" t="str">
            <v>Seychelles</v>
          </cell>
        </row>
        <row r="234">
          <cell r="A234" t="str">
            <v>Syria</v>
          </cell>
        </row>
        <row r="235">
          <cell r="A235" t="str">
            <v>Turks &amp; Caicos Islands</v>
          </cell>
        </row>
        <row r="236">
          <cell r="A236" t="str">
            <v>Chad</v>
          </cell>
        </row>
        <row r="237">
          <cell r="A237" t="str">
            <v>Togo</v>
          </cell>
        </row>
        <row r="238">
          <cell r="A238" t="str">
            <v>Tajikistan</v>
          </cell>
        </row>
        <row r="239">
          <cell r="A239" t="str">
            <v>Tokelau</v>
          </cell>
        </row>
        <row r="240">
          <cell r="A240" t="str">
            <v>Turkmenistan</v>
          </cell>
        </row>
        <row r="241">
          <cell r="A241" t="str">
            <v>Timor-Leste</v>
          </cell>
        </row>
        <row r="242">
          <cell r="A242" t="str">
            <v>Tonga</v>
          </cell>
        </row>
        <row r="243">
          <cell r="A243" t="str">
            <v>Tuvalu</v>
          </cell>
        </row>
        <row r="244">
          <cell r="A244" t="str">
            <v>U.S. Outlying Islands</v>
          </cell>
        </row>
        <row r="245">
          <cell r="A245" t="str">
            <v>Uzbekistan</v>
          </cell>
        </row>
        <row r="246">
          <cell r="A246" t="str">
            <v>Vatican City</v>
          </cell>
        </row>
        <row r="247">
          <cell r="A247" t="str">
            <v>St. Vincent &amp; Grenadines</v>
          </cell>
        </row>
        <row r="248">
          <cell r="A248" t="str">
            <v>British Virgin Islands</v>
          </cell>
        </row>
        <row r="249">
          <cell r="A249" t="str">
            <v>U.S. Virgin Islands</v>
          </cell>
        </row>
        <row r="250">
          <cell r="A250" t="str">
            <v>Vanuatu</v>
          </cell>
        </row>
        <row r="251">
          <cell r="A251" t="str">
            <v>Wallis &amp; Futuna</v>
          </cell>
        </row>
        <row r="252">
          <cell r="A252" t="str">
            <v>Samoa</v>
          </cell>
        </row>
        <row r="253">
          <cell r="A253" t="str">
            <v>Yemen</v>
          </cell>
        </row>
      </sheetData>
    </sheetDataSet>
  </externalBook>
</externalLink>
</file>

<file path=xl/externalLinks/externalLink1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27)"/>
    </sheetNames>
    <sheetDataSet>
      <sheetData sheetId="0" refreshError="1">
        <row r="1">
          <cell r="A1" t="str">
            <v>Category: All categories</v>
          </cell>
        </row>
        <row r="3">
          <cell r="A3" t="str">
            <v>Country</v>
          </cell>
          <cell r="B3" t="str">
            <v>Mutual exclusion: (2018)</v>
          </cell>
          <cell r="C3" t="str">
            <v>Interrupt handler: (2018)</v>
          </cell>
        </row>
        <row r="4">
          <cell r="A4" t="str">
            <v>China</v>
          </cell>
          <cell r="B4">
            <v>0.81</v>
          </cell>
          <cell r="C4">
            <v>0.19</v>
          </cell>
        </row>
        <row r="5">
          <cell r="A5" t="str">
            <v>Botswana</v>
          </cell>
        </row>
        <row r="6">
          <cell r="A6" t="str">
            <v>Israel</v>
          </cell>
          <cell r="B6">
            <v>1</v>
          </cell>
        </row>
        <row r="7">
          <cell r="A7" t="str">
            <v>Taiwan</v>
          </cell>
          <cell r="B7">
            <v>0.55000000000000004</v>
          </cell>
          <cell r="C7">
            <v>0.45</v>
          </cell>
        </row>
        <row r="8">
          <cell r="A8" t="str">
            <v>Nepal</v>
          </cell>
          <cell r="B8">
            <v>0.67</v>
          </cell>
          <cell r="C8">
            <v>0.33</v>
          </cell>
        </row>
        <row r="9">
          <cell r="A9" t="str">
            <v>Zimbabwe</v>
          </cell>
        </row>
        <row r="10">
          <cell r="A10" t="str">
            <v>Japan</v>
          </cell>
          <cell r="B10">
            <v>0.89</v>
          </cell>
          <cell r="C10">
            <v>0.11</v>
          </cell>
        </row>
        <row r="11">
          <cell r="A11" t="str">
            <v>Belarus</v>
          </cell>
          <cell r="B11">
            <v>0.85</v>
          </cell>
          <cell r="C11">
            <v>0.15</v>
          </cell>
        </row>
        <row r="12">
          <cell r="A12" t="str">
            <v>South Korea</v>
          </cell>
          <cell r="B12">
            <v>0.38</v>
          </cell>
          <cell r="C12">
            <v>0.62</v>
          </cell>
        </row>
        <row r="13">
          <cell r="A13" t="str">
            <v>Czechia</v>
          </cell>
          <cell r="B13">
            <v>1</v>
          </cell>
        </row>
        <row r="14">
          <cell r="A14" t="str">
            <v>Austria</v>
          </cell>
          <cell r="B14">
            <v>1</v>
          </cell>
        </row>
        <row r="15">
          <cell r="A15" t="str">
            <v>Kenya</v>
          </cell>
          <cell r="B15">
            <v>1</v>
          </cell>
        </row>
        <row r="16">
          <cell r="A16" t="str">
            <v>Hong Kong</v>
          </cell>
          <cell r="B16">
            <v>0.28999999999999998</v>
          </cell>
          <cell r="C16">
            <v>0.71</v>
          </cell>
        </row>
        <row r="17">
          <cell r="A17" t="str">
            <v>Russia</v>
          </cell>
          <cell r="B17">
            <v>0.75</v>
          </cell>
          <cell r="C17">
            <v>0.25</v>
          </cell>
        </row>
        <row r="18">
          <cell r="A18" t="str">
            <v>Portugal</v>
          </cell>
          <cell r="B18">
            <v>1</v>
          </cell>
        </row>
        <row r="19">
          <cell r="A19" t="str">
            <v>St. Helena</v>
          </cell>
        </row>
        <row r="20">
          <cell r="A20" t="str">
            <v>Germany</v>
          </cell>
          <cell r="B20">
            <v>0.82</v>
          </cell>
          <cell r="C20">
            <v>0.18</v>
          </cell>
        </row>
        <row r="21">
          <cell r="A21" t="str">
            <v>India</v>
          </cell>
          <cell r="B21">
            <v>0.41</v>
          </cell>
          <cell r="C21">
            <v>0.59</v>
          </cell>
        </row>
        <row r="22">
          <cell r="A22" t="str">
            <v>Ukraine</v>
          </cell>
          <cell r="B22">
            <v>0.72</v>
          </cell>
          <cell r="C22">
            <v>0.28000000000000003</v>
          </cell>
        </row>
        <row r="23">
          <cell r="A23" t="str">
            <v>Norway</v>
          </cell>
          <cell r="B23">
            <v>1</v>
          </cell>
        </row>
        <row r="24">
          <cell r="A24" t="str">
            <v>Laos</v>
          </cell>
        </row>
        <row r="25">
          <cell r="A25" t="str">
            <v>Sweden</v>
          </cell>
          <cell r="B25">
            <v>0.85</v>
          </cell>
          <cell r="C25">
            <v>0.15</v>
          </cell>
        </row>
        <row r="26">
          <cell r="A26" t="str">
            <v>Switzerland</v>
          </cell>
          <cell r="B26">
            <v>0.77</v>
          </cell>
          <cell r="C26">
            <v>0.23</v>
          </cell>
        </row>
        <row r="27">
          <cell r="A27" t="str">
            <v>Tunisia</v>
          </cell>
          <cell r="B27">
            <v>1</v>
          </cell>
        </row>
        <row r="28">
          <cell r="A28" t="str">
            <v>Poland</v>
          </cell>
          <cell r="B28">
            <v>0.73</v>
          </cell>
          <cell r="C28">
            <v>0.27</v>
          </cell>
        </row>
        <row r="29">
          <cell r="A29" t="str">
            <v>Pakistan</v>
          </cell>
          <cell r="B29">
            <v>0.47</v>
          </cell>
          <cell r="C29">
            <v>0.53</v>
          </cell>
        </row>
        <row r="30">
          <cell r="A30" t="str">
            <v>Algeria</v>
          </cell>
          <cell r="B30">
            <v>1</v>
          </cell>
        </row>
        <row r="31">
          <cell r="A31" t="str">
            <v>Singapore</v>
          </cell>
          <cell r="B31">
            <v>0.42</v>
          </cell>
          <cell r="C31">
            <v>0.57999999999999996</v>
          </cell>
        </row>
        <row r="32">
          <cell r="A32" t="str">
            <v>Finland</v>
          </cell>
          <cell r="B32">
            <v>1</v>
          </cell>
        </row>
        <row r="33">
          <cell r="A33" t="str">
            <v>Hungary</v>
          </cell>
          <cell r="B33">
            <v>1</v>
          </cell>
        </row>
        <row r="34">
          <cell r="A34" t="str">
            <v>Ethiopia</v>
          </cell>
        </row>
        <row r="35">
          <cell r="A35" t="str">
            <v>Netherlands</v>
          </cell>
          <cell r="B35">
            <v>0.78</v>
          </cell>
          <cell r="C35">
            <v>0.22</v>
          </cell>
        </row>
        <row r="36">
          <cell r="A36" t="str">
            <v>Italy</v>
          </cell>
          <cell r="B36">
            <v>0.88</v>
          </cell>
          <cell r="C36">
            <v>0.12</v>
          </cell>
        </row>
        <row r="37">
          <cell r="A37" t="str">
            <v>Guatemala</v>
          </cell>
          <cell r="B37">
            <v>1</v>
          </cell>
        </row>
        <row r="38">
          <cell r="A38" t="str">
            <v>Serbia</v>
          </cell>
          <cell r="B38">
            <v>1</v>
          </cell>
        </row>
        <row r="39">
          <cell r="A39" t="str">
            <v>Slovakia</v>
          </cell>
          <cell r="B39">
            <v>1</v>
          </cell>
        </row>
        <row r="40">
          <cell r="A40" t="str">
            <v>Ireland</v>
          </cell>
          <cell r="B40">
            <v>1</v>
          </cell>
        </row>
        <row r="41">
          <cell r="A41" t="str">
            <v>Spain</v>
          </cell>
          <cell r="B41">
            <v>0.84</v>
          </cell>
          <cell r="C41">
            <v>0.16</v>
          </cell>
        </row>
        <row r="42">
          <cell r="A42" t="str">
            <v>Denmark</v>
          </cell>
          <cell r="B42">
            <v>0.26</v>
          </cell>
          <cell r="C42">
            <v>0.74</v>
          </cell>
        </row>
        <row r="43">
          <cell r="A43" t="str">
            <v>Croatia</v>
          </cell>
          <cell r="B43">
            <v>1</v>
          </cell>
        </row>
        <row r="44">
          <cell r="A44" t="str">
            <v>Bulgaria</v>
          </cell>
          <cell r="B44">
            <v>1</v>
          </cell>
        </row>
        <row r="45">
          <cell r="A45" t="str">
            <v>Malaysia</v>
          </cell>
          <cell r="B45">
            <v>0.28000000000000003</v>
          </cell>
          <cell r="C45">
            <v>0.72</v>
          </cell>
        </row>
        <row r="46">
          <cell r="A46" t="str">
            <v>Australia</v>
          </cell>
          <cell r="B46">
            <v>0.28999999999999998</v>
          </cell>
          <cell r="C46">
            <v>0.71</v>
          </cell>
        </row>
        <row r="47">
          <cell r="A47" t="str">
            <v>United States</v>
          </cell>
          <cell r="B47">
            <v>0.35</v>
          </cell>
          <cell r="C47">
            <v>0.65</v>
          </cell>
        </row>
        <row r="48">
          <cell r="A48" t="str">
            <v>Nigeria</v>
          </cell>
          <cell r="B48">
            <v>0.46</v>
          </cell>
          <cell r="C48">
            <v>0.54</v>
          </cell>
        </row>
        <row r="49">
          <cell r="A49" t="str">
            <v>Canada</v>
          </cell>
          <cell r="B49">
            <v>0.37</v>
          </cell>
          <cell r="C49">
            <v>0.63</v>
          </cell>
        </row>
        <row r="50">
          <cell r="A50" t="str">
            <v>Sri Lanka</v>
          </cell>
        </row>
        <row r="51">
          <cell r="A51" t="str">
            <v>Philippines</v>
          </cell>
          <cell r="B51">
            <v>0.3</v>
          </cell>
          <cell r="C51">
            <v>0.7</v>
          </cell>
        </row>
        <row r="52">
          <cell r="A52" t="str">
            <v>Bolivia</v>
          </cell>
        </row>
        <row r="53">
          <cell r="A53" t="str">
            <v>United Kingdom</v>
          </cell>
          <cell r="B53">
            <v>0.28000000000000003</v>
          </cell>
          <cell r="C53">
            <v>0.72</v>
          </cell>
        </row>
        <row r="54">
          <cell r="A54" t="str">
            <v>Romania</v>
          </cell>
          <cell r="B54">
            <v>1</v>
          </cell>
        </row>
        <row r="55">
          <cell r="A55" t="str">
            <v>South Africa</v>
          </cell>
          <cell r="B55">
            <v>1</v>
          </cell>
        </row>
        <row r="56">
          <cell r="A56" t="str">
            <v>Greece</v>
          </cell>
          <cell r="B56">
            <v>1</v>
          </cell>
        </row>
        <row r="57">
          <cell r="A57" t="str">
            <v>France</v>
          </cell>
          <cell r="B57">
            <v>0.86</v>
          </cell>
          <cell r="C57">
            <v>0.14000000000000001</v>
          </cell>
        </row>
        <row r="58">
          <cell r="A58" t="str">
            <v>Argentina</v>
          </cell>
          <cell r="B58">
            <v>1</v>
          </cell>
        </row>
        <row r="59">
          <cell r="A59" t="str">
            <v>Kazakhstan</v>
          </cell>
        </row>
        <row r="60">
          <cell r="A60" t="str">
            <v>Vietnam</v>
          </cell>
          <cell r="B60">
            <v>0.68</v>
          </cell>
          <cell r="C60">
            <v>0.32</v>
          </cell>
        </row>
        <row r="61">
          <cell r="A61" t="str">
            <v>Mexico</v>
          </cell>
          <cell r="B61">
            <v>0.66</v>
          </cell>
          <cell r="C61">
            <v>0.34</v>
          </cell>
        </row>
        <row r="62">
          <cell r="A62" t="str">
            <v>Brazil</v>
          </cell>
          <cell r="B62">
            <v>1</v>
          </cell>
        </row>
        <row r="63">
          <cell r="A63" t="str">
            <v>Ecuador</v>
          </cell>
          <cell r="B63">
            <v>1</v>
          </cell>
        </row>
        <row r="64">
          <cell r="A64" t="str">
            <v>Belgium</v>
          </cell>
          <cell r="B64">
            <v>1</v>
          </cell>
        </row>
        <row r="65">
          <cell r="A65" t="str">
            <v>Chile</v>
          </cell>
          <cell r="B65">
            <v>1</v>
          </cell>
        </row>
        <row r="66">
          <cell r="A66" t="str">
            <v>Egypt</v>
          </cell>
        </row>
        <row r="67">
          <cell r="A67" t="str">
            <v>Indonesia</v>
          </cell>
          <cell r="B67">
            <v>0.79</v>
          </cell>
          <cell r="C67">
            <v>0.21</v>
          </cell>
        </row>
        <row r="68">
          <cell r="A68" t="str">
            <v>Iran</v>
          </cell>
          <cell r="B68">
            <v>1</v>
          </cell>
        </row>
        <row r="69">
          <cell r="A69" t="str">
            <v>Peru</v>
          </cell>
          <cell r="B69">
            <v>1</v>
          </cell>
        </row>
        <row r="70">
          <cell r="A70" t="str">
            <v>Colombia</v>
          </cell>
          <cell r="B70">
            <v>1</v>
          </cell>
        </row>
        <row r="71">
          <cell r="A71" t="str">
            <v>Thailand</v>
          </cell>
          <cell r="B71">
            <v>1</v>
          </cell>
        </row>
        <row r="72">
          <cell r="A72" t="str">
            <v>Morocco</v>
          </cell>
        </row>
        <row r="73">
          <cell r="A73" t="str">
            <v>Turkey</v>
          </cell>
          <cell r="B73">
            <v>0.71</v>
          </cell>
          <cell r="C73">
            <v>0.28999999999999998</v>
          </cell>
        </row>
        <row r="74">
          <cell r="A74" t="str">
            <v>Cuba</v>
          </cell>
        </row>
        <row r="75">
          <cell r="A75" t="str">
            <v>Angola</v>
          </cell>
        </row>
        <row r="76">
          <cell r="A76" t="str">
            <v>Rwanda</v>
          </cell>
        </row>
        <row r="77">
          <cell r="A77" t="str">
            <v>Namibia</v>
          </cell>
        </row>
        <row r="78">
          <cell r="A78" t="str">
            <v>Burkina Faso</v>
          </cell>
        </row>
        <row r="79">
          <cell r="A79" t="str">
            <v>Zambia</v>
          </cell>
        </row>
        <row r="80">
          <cell r="A80" t="str">
            <v>Brunei</v>
          </cell>
        </row>
        <row r="81">
          <cell r="A81" t="str">
            <v>Macao</v>
          </cell>
        </row>
        <row r="82">
          <cell r="A82" t="str">
            <v>Armenia</v>
          </cell>
        </row>
        <row r="83">
          <cell r="A83" t="str">
            <v>Tajikistan</v>
          </cell>
        </row>
        <row r="84">
          <cell r="A84" t="str">
            <v>North Macedonia</v>
          </cell>
        </row>
        <row r="85">
          <cell r="A85" t="str">
            <v>Estonia</v>
          </cell>
        </row>
        <row r="86">
          <cell r="A86" t="str">
            <v>CÃ´te dâ€™Ivoire</v>
          </cell>
        </row>
        <row r="87">
          <cell r="A87" t="str">
            <v>Iceland</v>
          </cell>
        </row>
        <row r="88">
          <cell r="A88" t="str">
            <v>Kosovo</v>
          </cell>
        </row>
        <row r="89">
          <cell r="A89" t="str">
            <v>Montenegro</v>
          </cell>
        </row>
        <row r="90">
          <cell r="A90" t="str">
            <v>Malta</v>
          </cell>
        </row>
        <row r="91">
          <cell r="A91" t="str">
            <v>Mozambique</v>
          </cell>
        </row>
        <row r="92">
          <cell r="A92" t="str">
            <v>Senegal</v>
          </cell>
        </row>
        <row r="93">
          <cell r="A93" t="str">
            <v>Congo - Kinshasa</v>
          </cell>
        </row>
        <row r="94">
          <cell r="A94" t="str">
            <v>Cameroon</v>
          </cell>
        </row>
        <row r="95">
          <cell r="A95" t="str">
            <v>Latvia</v>
          </cell>
        </row>
        <row r="96">
          <cell r="A96" t="str">
            <v>Luxembourg</v>
          </cell>
        </row>
        <row r="97">
          <cell r="A97" t="str">
            <v>Jamaica</v>
          </cell>
        </row>
        <row r="98">
          <cell r="A98" t="str">
            <v>Palestine</v>
          </cell>
        </row>
        <row r="99">
          <cell r="A99" t="str">
            <v>Nicaragua</v>
          </cell>
        </row>
        <row r="100">
          <cell r="A100" t="str">
            <v>Tanzania</v>
          </cell>
        </row>
        <row r="101">
          <cell r="A101" t="str">
            <v>Cyprus</v>
          </cell>
        </row>
        <row r="102">
          <cell r="A102" t="str">
            <v>Georgia</v>
          </cell>
        </row>
        <row r="103">
          <cell r="A103" t="str">
            <v>Costa Rica</v>
          </cell>
        </row>
        <row r="104">
          <cell r="A104" t="str">
            <v>Slovenia</v>
          </cell>
        </row>
        <row r="105">
          <cell r="A105" t="str">
            <v>Myanmar (Burma)</v>
          </cell>
        </row>
        <row r="106">
          <cell r="A106" t="str">
            <v>Lebanon</v>
          </cell>
        </row>
        <row r="107">
          <cell r="A107" t="str">
            <v>Bosnia &amp; Herzegovina</v>
          </cell>
        </row>
        <row r="108">
          <cell r="A108" t="str">
            <v>Azerbaijan</v>
          </cell>
        </row>
        <row r="109">
          <cell r="A109" t="str">
            <v>Sudan</v>
          </cell>
        </row>
        <row r="110">
          <cell r="A110" t="str">
            <v>Jordan</v>
          </cell>
        </row>
        <row r="111">
          <cell r="A111" t="str">
            <v>Oman</v>
          </cell>
        </row>
        <row r="112">
          <cell r="A112" t="str">
            <v>Honduras</v>
          </cell>
        </row>
        <row r="113">
          <cell r="A113" t="str">
            <v>El Salvador</v>
          </cell>
        </row>
        <row r="114">
          <cell r="A114" t="str">
            <v>Syria</v>
          </cell>
        </row>
        <row r="115">
          <cell r="A115" t="str">
            <v>Qatar</v>
          </cell>
        </row>
        <row r="116">
          <cell r="A116" t="str">
            <v>Puerto Rico</v>
          </cell>
        </row>
        <row r="117">
          <cell r="A117" t="str">
            <v>Panama</v>
          </cell>
        </row>
        <row r="118">
          <cell r="A118" t="str">
            <v>Paraguay</v>
          </cell>
        </row>
        <row r="119">
          <cell r="A119" t="str">
            <v>Lithuania</v>
          </cell>
        </row>
        <row r="120">
          <cell r="A120" t="str">
            <v>Bangladesh</v>
          </cell>
        </row>
        <row r="121">
          <cell r="A121" t="str">
            <v>New Zealand</v>
          </cell>
        </row>
        <row r="122">
          <cell r="A122" t="str">
            <v>Uruguay</v>
          </cell>
        </row>
        <row r="123">
          <cell r="A123" t="str">
            <v>Dominican Republic</v>
          </cell>
        </row>
        <row r="124">
          <cell r="A124" t="str">
            <v>Saudi Arabia</v>
          </cell>
        </row>
        <row r="125">
          <cell r="A125" t="str">
            <v>United Arab Emirates</v>
          </cell>
        </row>
        <row r="126">
          <cell r="A126" t="str">
            <v>Venezuela</v>
          </cell>
        </row>
        <row r="127">
          <cell r="A127" t="str">
            <v>Aruba</v>
          </cell>
        </row>
        <row r="128">
          <cell r="A128" t="str">
            <v>Afghanistan</v>
          </cell>
        </row>
        <row r="129">
          <cell r="A129" t="str">
            <v>Anguilla</v>
          </cell>
        </row>
        <row r="130">
          <cell r="A130" t="str">
            <v>Ã…land Islands</v>
          </cell>
        </row>
        <row r="131">
          <cell r="A131" t="str">
            <v>Albania</v>
          </cell>
        </row>
        <row r="132">
          <cell r="A132" t="str">
            <v>Andorra</v>
          </cell>
        </row>
        <row r="133">
          <cell r="A133" t="str">
            <v>American Samoa</v>
          </cell>
        </row>
        <row r="134">
          <cell r="A134" t="str">
            <v>Antarctica</v>
          </cell>
        </row>
        <row r="135">
          <cell r="A135" t="str">
            <v>French Southern Territories</v>
          </cell>
        </row>
        <row r="136">
          <cell r="A136" t="str">
            <v>Antigua &amp; Barbuda</v>
          </cell>
        </row>
        <row r="137">
          <cell r="A137" t="str">
            <v>Burundi</v>
          </cell>
        </row>
        <row r="138">
          <cell r="A138" t="str">
            <v>Benin</v>
          </cell>
        </row>
        <row r="139">
          <cell r="A139" t="str">
            <v>Caribbean Netherlands</v>
          </cell>
        </row>
        <row r="140">
          <cell r="A140" t="str">
            <v>Bahrain</v>
          </cell>
        </row>
        <row r="141">
          <cell r="A141" t="str">
            <v>Bahamas</v>
          </cell>
        </row>
        <row r="142">
          <cell r="A142" t="str">
            <v>St. BarthÃ©lemy</v>
          </cell>
        </row>
        <row r="143">
          <cell r="A143" t="str">
            <v>Belize</v>
          </cell>
        </row>
        <row r="144">
          <cell r="A144" t="str">
            <v>Bermuda</v>
          </cell>
        </row>
        <row r="145">
          <cell r="A145" t="str">
            <v>Barbados</v>
          </cell>
        </row>
        <row r="146">
          <cell r="A146" t="str">
            <v>Bhutan</v>
          </cell>
        </row>
        <row r="147">
          <cell r="A147" t="str">
            <v>Bouvet Island</v>
          </cell>
        </row>
        <row r="148">
          <cell r="A148" t="str">
            <v>Central African Republic</v>
          </cell>
        </row>
        <row r="149">
          <cell r="A149" t="str">
            <v>Cocos (Keeling) Islands</v>
          </cell>
        </row>
        <row r="150">
          <cell r="A150" t="str">
            <v>Congo - Brazzaville</v>
          </cell>
        </row>
        <row r="151">
          <cell r="A151" t="str">
            <v>Cook Islands</v>
          </cell>
        </row>
        <row r="152">
          <cell r="A152" t="str">
            <v>Comoros</v>
          </cell>
        </row>
        <row r="153">
          <cell r="A153" t="str">
            <v>Cape Verde</v>
          </cell>
        </row>
        <row r="154">
          <cell r="A154" t="str">
            <v>CuraÃ§ao</v>
          </cell>
        </row>
        <row r="155">
          <cell r="A155" t="str">
            <v>Christmas Island</v>
          </cell>
        </row>
        <row r="156">
          <cell r="A156" t="str">
            <v>Cayman Islands</v>
          </cell>
        </row>
        <row r="157">
          <cell r="A157" t="str">
            <v>Djibouti</v>
          </cell>
        </row>
        <row r="158">
          <cell r="A158" t="str">
            <v>Dominica</v>
          </cell>
        </row>
        <row r="159">
          <cell r="A159" t="str">
            <v>Eritrea</v>
          </cell>
        </row>
        <row r="160">
          <cell r="A160" t="str">
            <v>Western Sahara</v>
          </cell>
        </row>
        <row r="161">
          <cell r="A161" t="str">
            <v>Fiji</v>
          </cell>
        </row>
        <row r="162">
          <cell r="A162" t="str">
            <v>Falkland Islands (Islas Malvinas)</v>
          </cell>
        </row>
        <row r="163">
          <cell r="A163" t="str">
            <v>Faroe Islands</v>
          </cell>
        </row>
        <row r="164">
          <cell r="A164" t="str">
            <v>Micronesia</v>
          </cell>
        </row>
        <row r="165">
          <cell r="A165" t="str">
            <v>Gabon</v>
          </cell>
        </row>
        <row r="166">
          <cell r="A166" t="str">
            <v>Guernsey</v>
          </cell>
        </row>
        <row r="167">
          <cell r="A167" t="str">
            <v>Ghana</v>
          </cell>
        </row>
        <row r="168">
          <cell r="A168" t="str">
            <v>Gibraltar</v>
          </cell>
        </row>
        <row r="169">
          <cell r="A169" t="str">
            <v>Guinea</v>
          </cell>
        </row>
        <row r="170">
          <cell r="A170" t="str">
            <v>Guadeloupe</v>
          </cell>
        </row>
        <row r="171">
          <cell r="A171" t="str">
            <v>Gambia</v>
          </cell>
        </row>
        <row r="172">
          <cell r="A172" t="str">
            <v>Guinea-Bissau</v>
          </cell>
        </row>
        <row r="173">
          <cell r="A173" t="str">
            <v>Equatorial Guinea</v>
          </cell>
        </row>
        <row r="174">
          <cell r="A174" t="str">
            <v>Grenada</v>
          </cell>
        </row>
        <row r="175">
          <cell r="A175" t="str">
            <v>Greenland</v>
          </cell>
        </row>
        <row r="176">
          <cell r="A176" t="str">
            <v>French Guiana</v>
          </cell>
        </row>
        <row r="177">
          <cell r="A177" t="str">
            <v>Guam</v>
          </cell>
        </row>
        <row r="178">
          <cell r="A178" t="str">
            <v>Guyana</v>
          </cell>
        </row>
        <row r="179">
          <cell r="A179" t="str">
            <v>Heard &amp; McDonald Islands</v>
          </cell>
        </row>
        <row r="180">
          <cell r="A180" t="str">
            <v>Haiti</v>
          </cell>
        </row>
        <row r="181">
          <cell r="A181" t="str">
            <v>Isle of Man</v>
          </cell>
        </row>
        <row r="182">
          <cell r="A182" t="str">
            <v>British Indian Ocean Territory</v>
          </cell>
        </row>
        <row r="183">
          <cell r="A183" t="str">
            <v>Iraq</v>
          </cell>
        </row>
        <row r="184">
          <cell r="A184" t="str">
            <v>Jersey</v>
          </cell>
        </row>
        <row r="185">
          <cell r="A185" t="str">
            <v>Kyrgyzstan</v>
          </cell>
        </row>
        <row r="186">
          <cell r="A186" t="str">
            <v>Cambodia</v>
          </cell>
        </row>
        <row r="187">
          <cell r="A187" t="str">
            <v>Kiribati</v>
          </cell>
        </row>
        <row r="188">
          <cell r="A188" t="str">
            <v>St. Kitts &amp; Nevis</v>
          </cell>
        </row>
        <row r="189">
          <cell r="A189" t="str">
            <v>Kuwait</v>
          </cell>
        </row>
        <row r="190">
          <cell r="A190" t="str">
            <v>Liberia</v>
          </cell>
        </row>
        <row r="191">
          <cell r="A191" t="str">
            <v>Libya</v>
          </cell>
        </row>
        <row r="192">
          <cell r="A192" t="str">
            <v>St. Lucia</v>
          </cell>
        </row>
        <row r="193">
          <cell r="A193" t="str">
            <v>Liechtenstein</v>
          </cell>
        </row>
        <row r="194">
          <cell r="A194" t="str">
            <v>Lesotho</v>
          </cell>
        </row>
        <row r="195">
          <cell r="A195" t="str">
            <v>St. Martin</v>
          </cell>
        </row>
        <row r="196">
          <cell r="A196" t="str">
            <v>Monaco</v>
          </cell>
        </row>
        <row r="197">
          <cell r="A197" t="str">
            <v>Moldova</v>
          </cell>
        </row>
        <row r="198">
          <cell r="A198" t="str">
            <v>Madagascar</v>
          </cell>
        </row>
        <row r="199">
          <cell r="A199" t="str">
            <v>Maldives</v>
          </cell>
        </row>
        <row r="200">
          <cell r="A200" t="str">
            <v>Marshall Islands</v>
          </cell>
        </row>
        <row r="201">
          <cell r="A201" t="str">
            <v>Mali</v>
          </cell>
        </row>
        <row r="202">
          <cell r="A202" t="str">
            <v>Mongolia</v>
          </cell>
        </row>
        <row r="203">
          <cell r="A203" t="str">
            <v>Northern Mariana Islands</v>
          </cell>
        </row>
        <row r="204">
          <cell r="A204" t="str">
            <v>Mauritania</v>
          </cell>
        </row>
        <row r="205">
          <cell r="A205" t="str">
            <v>Montserrat</v>
          </cell>
        </row>
        <row r="206">
          <cell r="A206" t="str">
            <v>Martinique</v>
          </cell>
        </row>
        <row r="207">
          <cell r="A207" t="str">
            <v>Mauritius</v>
          </cell>
        </row>
        <row r="208">
          <cell r="A208" t="str">
            <v>Malawi</v>
          </cell>
        </row>
        <row r="209">
          <cell r="A209" t="str">
            <v>Mayotte</v>
          </cell>
        </row>
        <row r="210">
          <cell r="A210" t="str">
            <v>New Caledonia</v>
          </cell>
        </row>
        <row r="211">
          <cell r="A211" t="str">
            <v>Niger</v>
          </cell>
        </row>
        <row r="212">
          <cell r="A212" t="str">
            <v>Norfolk Island</v>
          </cell>
        </row>
        <row r="213">
          <cell r="A213" t="str">
            <v>Niue</v>
          </cell>
        </row>
        <row r="214">
          <cell r="A214" t="str">
            <v>Nauru</v>
          </cell>
        </row>
        <row r="215">
          <cell r="A215" t="str">
            <v>Pitcairn Islands</v>
          </cell>
        </row>
        <row r="216">
          <cell r="A216" t="str">
            <v>Palau</v>
          </cell>
        </row>
        <row r="217">
          <cell r="A217" t="str">
            <v>Papua New Guinea</v>
          </cell>
        </row>
        <row r="218">
          <cell r="A218" t="str">
            <v>North Korea</v>
          </cell>
        </row>
        <row r="219">
          <cell r="A219" t="str">
            <v>French Polynesia</v>
          </cell>
        </row>
        <row r="220">
          <cell r="A220" t="str">
            <v>RÃ©union</v>
          </cell>
        </row>
        <row r="221">
          <cell r="A221" t="str">
            <v>South Georgia &amp; South Sandwich Islands</v>
          </cell>
        </row>
        <row r="222">
          <cell r="A222" t="str">
            <v>Svalbard &amp; Jan Mayen</v>
          </cell>
        </row>
        <row r="223">
          <cell r="A223" t="str">
            <v>Solomon Islands</v>
          </cell>
        </row>
        <row r="224">
          <cell r="A224" t="str">
            <v>Sierra Leone</v>
          </cell>
        </row>
        <row r="225">
          <cell r="A225" t="str">
            <v>San Marino</v>
          </cell>
        </row>
        <row r="226">
          <cell r="A226" t="str">
            <v>Somalia</v>
          </cell>
        </row>
        <row r="227">
          <cell r="A227" t="str">
            <v>St. Pierre &amp; Miquelon</v>
          </cell>
        </row>
        <row r="228">
          <cell r="A228" t="str">
            <v>South Sudan</v>
          </cell>
        </row>
        <row r="229">
          <cell r="A229" t="str">
            <v>SÃ£o TomÃ© &amp; PrÃ­ncipe</v>
          </cell>
        </row>
        <row r="230">
          <cell r="A230" t="str">
            <v>Suriname</v>
          </cell>
        </row>
        <row r="231">
          <cell r="A231" t="str">
            <v>Eswatini</v>
          </cell>
        </row>
        <row r="232">
          <cell r="A232" t="str">
            <v>Sint Maarten</v>
          </cell>
        </row>
        <row r="233">
          <cell r="A233" t="str">
            <v>Seychelles</v>
          </cell>
        </row>
        <row r="234">
          <cell r="A234" t="str">
            <v>Turks &amp; Caicos Islands</v>
          </cell>
        </row>
        <row r="235">
          <cell r="A235" t="str">
            <v>Chad</v>
          </cell>
        </row>
        <row r="236">
          <cell r="A236" t="str">
            <v>Togo</v>
          </cell>
        </row>
        <row r="237">
          <cell r="A237" t="str">
            <v>Tokelau</v>
          </cell>
        </row>
        <row r="238">
          <cell r="A238" t="str">
            <v>Turkmenistan</v>
          </cell>
        </row>
        <row r="239">
          <cell r="A239" t="str">
            <v>Timor-Leste</v>
          </cell>
        </row>
        <row r="240">
          <cell r="A240" t="str">
            <v>Tonga</v>
          </cell>
        </row>
        <row r="241">
          <cell r="A241" t="str">
            <v>Trinidad &amp; Tobago</v>
          </cell>
        </row>
        <row r="242">
          <cell r="A242" t="str">
            <v>Tuvalu</v>
          </cell>
        </row>
        <row r="243">
          <cell r="A243" t="str">
            <v>Uganda</v>
          </cell>
        </row>
        <row r="244">
          <cell r="A244" t="str">
            <v>U.S. Outlying Islands</v>
          </cell>
        </row>
        <row r="245">
          <cell r="A245" t="str">
            <v>Uzbekistan</v>
          </cell>
        </row>
        <row r="246">
          <cell r="A246" t="str">
            <v>Vatican City</v>
          </cell>
        </row>
        <row r="247">
          <cell r="A247" t="str">
            <v>St. Vincent &amp; Grenadines</v>
          </cell>
        </row>
        <row r="248">
          <cell r="A248" t="str">
            <v>British Virgin Islands</v>
          </cell>
        </row>
        <row r="249">
          <cell r="A249" t="str">
            <v>U.S. Virgin Islands</v>
          </cell>
        </row>
        <row r="250">
          <cell r="A250" t="str">
            <v>Vanuatu</v>
          </cell>
        </row>
        <row r="251">
          <cell r="A251" t="str">
            <v>Wallis &amp; Futuna</v>
          </cell>
        </row>
        <row r="252">
          <cell r="A252" t="str">
            <v>Samoa</v>
          </cell>
        </row>
        <row r="253">
          <cell r="A253" t="str">
            <v>Yemen</v>
          </cell>
        </row>
      </sheetData>
    </sheetDataSet>
  </externalBook>
</externalLink>
</file>

<file path=xl/externalLinks/externalLink1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32)"/>
    </sheetNames>
    <sheetDataSet>
      <sheetData sheetId="0" refreshError="1">
        <row r="1">
          <cell r="A1" t="str">
            <v>Category: All categories</v>
          </cell>
        </row>
        <row r="3">
          <cell r="A3" t="str">
            <v>Country</v>
          </cell>
          <cell r="B3" t="str">
            <v>Mutual exclusion: (2018)</v>
          </cell>
          <cell r="C3" t="str">
            <v>Query optimization: (2018)</v>
          </cell>
        </row>
        <row r="4">
          <cell r="A4" t="str">
            <v>China</v>
          </cell>
          <cell r="B4">
            <v>0.93</v>
          </cell>
          <cell r="C4">
            <v>7.0000000000000007E-2</v>
          </cell>
        </row>
        <row r="5">
          <cell r="A5" t="str">
            <v>Botswana</v>
          </cell>
        </row>
        <row r="6">
          <cell r="A6" t="str">
            <v>Israel</v>
          </cell>
          <cell r="B6">
            <v>1</v>
          </cell>
        </row>
        <row r="7">
          <cell r="A7" t="str">
            <v>Taiwan</v>
          </cell>
          <cell r="B7">
            <v>1</v>
          </cell>
        </row>
        <row r="8">
          <cell r="A8" t="str">
            <v>Nepal</v>
          </cell>
          <cell r="B8">
            <v>0.6</v>
          </cell>
          <cell r="C8">
            <v>0.4</v>
          </cell>
        </row>
        <row r="9">
          <cell r="A9" t="str">
            <v>Ethiopia</v>
          </cell>
        </row>
        <row r="10">
          <cell r="A10" t="str">
            <v>Zimbabwe</v>
          </cell>
        </row>
        <row r="11">
          <cell r="A11" t="str">
            <v>Japan</v>
          </cell>
          <cell r="B11">
            <v>0.82</v>
          </cell>
          <cell r="C11">
            <v>0.18</v>
          </cell>
        </row>
        <row r="12">
          <cell r="A12" t="str">
            <v>Belarus</v>
          </cell>
          <cell r="B12">
            <v>0.89</v>
          </cell>
          <cell r="C12">
            <v>0.11</v>
          </cell>
        </row>
        <row r="13">
          <cell r="A13" t="str">
            <v>Czechia</v>
          </cell>
          <cell r="B13">
            <v>1</v>
          </cell>
        </row>
        <row r="14">
          <cell r="A14" t="str">
            <v>Austria</v>
          </cell>
          <cell r="B14">
            <v>1</v>
          </cell>
        </row>
        <row r="15">
          <cell r="A15" t="str">
            <v>Kenya</v>
          </cell>
          <cell r="B15">
            <v>0.71</v>
          </cell>
          <cell r="C15">
            <v>0.28999999999999998</v>
          </cell>
        </row>
        <row r="16">
          <cell r="A16" t="str">
            <v>Russia</v>
          </cell>
          <cell r="B16">
            <v>0.84</v>
          </cell>
          <cell r="C16">
            <v>0.16</v>
          </cell>
        </row>
        <row r="17">
          <cell r="A17" t="str">
            <v>Portugal</v>
          </cell>
          <cell r="B17">
            <v>1</v>
          </cell>
        </row>
        <row r="18">
          <cell r="A18" t="str">
            <v>Sri Lanka</v>
          </cell>
        </row>
        <row r="19">
          <cell r="A19" t="str">
            <v>Germany</v>
          </cell>
          <cell r="B19">
            <v>0.93</v>
          </cell>
          <cell r="C19">
            <v>7.0000000000000007E-2</v>
          </cell>
        </row>
        <row r="20">
          <cell r="A20" t="str">
            <v>South Korea</v>
          </cell>
          <cell r="B20">
            <v>0.88</v>
          </cell>
          <cell r="C20">
            <v>0.12</v>
          </cell>
        </row>
        <row r="21">
          <cell r="A21" t="str">
            <v>Iceland</v>
          </cell>
        </row>
        <row r="22">
          <cell r="A22" t="str">
            <v>Ukraine</v>
          </cell>
          <cell r="B22">
            <v>0.86</v>
          </cell>
          <cell r="C22">
            <v>0.14000000000000001</v>
          </cell>
        </row>
        <row r="23">
          <cell r="A23" t="str">
            <v>Norway</v>
          </cell>
          <cell r="B23">
            <v>1</v>
          </cell>
        </row>
        <row r="24">
          <cell r="A24" t="str">
            <v>Laos</v>
          </cell>
        </row>
        <row r="25">
          <cell r="A25" t="str">
            <v>Pakistan</v>
          </cell>
          <cell r="B25">
            <v>0.45</v>
          </cell>
          <cell r="C25">
            <v>0.55000000000000004</v>
          </cell>
        </row>
        <row r="26">
          <cell r="A26" t="str">
            <v>Sweden</v>
          </cell>
          <cell r="B26">
            <v>0.97</v>
          </cell>
          <cell r="C26">
            <v>0.03</v>
          </cell>
        </row>
        <row r="27">
          <cell r="A27" t="str">
            <v>Switzerland</v>
          </cell>
          <cell r="B27">
            <v>1</v>
          </cell>
        </row>
        <row r="28">
          <cell r="A28" t="str">
            <v>Sudan</v>
          </cell>
          <cell r="C28">
            <v>1</v>
          </cell>
        </row>
        <row r="29">
          <cell r="A29" t="str">
            <v>Tunisia</v>
          </cell>
          <cell r="B29">
            <v>1</v>
          </cell>
        </row>
        <row r="30">
          <cell r="A30" t="str">
            <v>Poland</v>
          </cell>
          <cell r="B30">
            <v>0.95</v>
          </cell>
          <cell r="C30">
            <v>0.05</v>
          </cell>
        </row>
        <row r="31">
          <cell r="A31" t="str">
            <v>Algeria</v>
          </cell>
          <cell r="B31">
            <v>1</v>
          </cell>
        </row>
        <row r="32">
          <cell r="A32" t="str">
            <v>India</v>
          </cell>
          <cell r="B32">
            <v>0.5</v>
          </cell>
          <cell r="C32">
            <v>0.5</v>
          </cell>
        </row>
        <row r="33">
          <cell r="A33" t="str">
            <v>Tanzania</v>
          </cell>
          <cell r="C33">
            <v>1</v>
          </cell>
        </row>
        <row r="34">
          <cell r="A34" t="str">
            <v>Finland</v>
          </cell>
          <cell r="B34">
            <v>1</v>
          </cell>
        </row>
        <row r="35">
          <cell r="A35" t="str">
            <v>Hungary</v>
          </cell>
          <cell r="B35">
            <v>1</v>
          </cell>
        </row>
        <row r="36">
          <cell r="A36" t="str">
            <v>Netherlands</v>
          </cell>
          <cell r="B36">
            <v>0.81</v>
          </cell>
          <cell r="C36">
            <v>0.19</v>
          </cell>
        </row>
        <row r="37">
          <cell r="A37" t="str">
            <v>Oman</v>
          </cell>
          <cell r="C37">
            <v>1</v>
          </cell>
        </row>
        <row r="38">
          <cell r="A38" t="str">
            <v>Hong Kong</v>
          </cell>
          <cell r="B38">
            <v>0.75</v>
          </cell>
          <cell r="C38">
            <v>0.25</v>
          </cell>
        </row>
        <row r="39">
          <cell r="A39" t="str">
            <v>Italy</v>
          </cell>
          <cell r="B39">
            <v>0.91</v>
          </cell>
          <cell r="C39">
            <v>0.09</v>
          </cell>
        </row>
        <row r="40">
          <cell r="A40" t="str">
            <v>Costa Rica</v>
          </cell>
          <cell r="B40">
            <v>1</v>
          </cell>
        </row>
        <row r="41">
          <cell r="A41" t="str">
            <v>Singapore</v>
          </cell>
          <cell r="B41">
            <v>0.68</v>
          </cell>
          <cell r="C41">
            <v>0.32</v>
          </cell>
        </row>
        <row r="42">
          <cell r="A42" t="str">
            <v>Guatemala</v>
          </cell>
          <cell r="B42">
            <v>1</v>
          </cell>
        </row>
        <row r="43">
          <cell r="A43" t="str">
            <v>Serbia</v>
          </cell>
          <cell r="B43">
            <v>1</v>
          </cell>
        </row>
        <row r="44">
          <cell r="A44" t="str">
            <v>Slovakia</v>
          </cell>
          <cell r="B44">
            <v>1</v>
          </cell>
        </row>
        <row r="45">
          <cell r="A45" t="str">
            <v>Ireland</v>
          </cell>
          <cell r="B45">
            <v>0.76</v>
          </cell>
          <cell r="C45">
            <v>0.24</v>
          </cell>
        </row>
        <row r="46">
          <cell r="A46" t="str">
            <v>Spain</v>
          </cell>
          <cell r="B46">
            <v>0.87</v>
          </cell>
          <cell r="C46">
            <v>0.13</v>
          </cell>
        </row>
        <row r="47">
          <cell r="A47" t="str">
            <v>Croatia</v>
          </cell>
          <cell r="B47">
            <v>1</v>
          </cell>
        </row>
        <row r="48">
          <cell r="A48" t="str">
            <v>Bulgaria</v>
          </cell>
          <cell r="B48">
            <v>1</v>
          </cell>
        </row>
        <row r="49">
          <cell r="A49" t="str">
            <v>Bolivia</v>
          </cell>
        </row>
        <row r="50">
          <cell r="A50" t="str">
            <v>Nigeria</v>
          </cell>
          <cell r="B50">
            <v>0.65</v>
          </cell>
          <cell r="C50">
            <v>0.35</v>
          </cell>
        </row>
        <row r="51">
          <cell r="A51" t="str">
            <v>Romania</v>
          </cell>
          <cell r="B51">
            <v>1</v>
          </cell>
        </row>
        <row r="52">
          <cell r="A52" t="str">
            <v>South Africa</v>
          </cell>
          <cell r="B52">
            <v>0.59</v>
          </cell>
          <cell r="C52">
            <v>0.41</v>
          </cell>
        </row>
        <row r="53">
          <cell r="A53" t="str">
            <v>Greece</v>
          </cell>
          <cell r="B53">
            <v>1</v>
          </cell>
        </row>
        <row r="54">
          <cell r="A54" t="str">
            <v>France</v>
          </cell>
          <cell r="B54">
            <v>0.69</v>
          </cell>
          <cell r="C54">
            <v>0.31</v>
          </cell>
        </row>
        <row r="55">
          <cell r="A55" t="str">
            <v>Argentina</v>
          </cell>
          <cell r="B55">
            <v>1</v>
          </cell>
        </row>
        <row r="56">
          <cell r="A56" t="str">
            <v>Kazakhstan</v>
          </cell>
          <cell r="B56">
            <v>1</v>
          </cell>
        </row>
        <row r="57">
          <cell r="A57" t="str">
            <v>Vietnam</v>
          </cell>
          <cell r="B57">
            <v>1</v>
          </cell>
        </row>
        <row r="58">
          <cell r="A58" t="str">
            <v>Lithuania</v>
          </cell>
        </row>
        <row r="59">
          <cell r="A59" t="str">
            <v>Mexico</v>
          </cell>
          <cell r="B59">
            <v>0.81</v>
          </cell>
          <cell r="C59">
            <v>0.19</v>
          </cell>
        </row>
        <row r="60">
          <cell r="A60" t="str">
            <v>Canada</v>
          </cell>
          <cell r="B60">
            <v>0.61</v>
          </cell>
          <cell r="C60">
            <v>0.39</v>
          </cell>
        </row>
        <row r="61">
          <cell r="A61" t="str">
            <v>Bangladesh</v>
          </cell>
          <cell r="B61">
            <v>0.5</v>
          </cell>
          <cell r="C61">
            <v>0.5</v>
          </cell>
        </row>
        <row r="62">
          <cell r="A62" t="str">
            <v>Brazil</v>
          </cell>
          <cell r="B62">
            <v>0.92</v>
          </cell>
          <cell r="C62">
            <v>0.08</v>
          </cell>
        </row>
        <row r="63">
          <cell r="A63" t="str">
            <v>Ecuador</v>
          </cell>
          <cell r="B63">
            <v>1</v>
          </cell>
        </row>
        <row r="64">
          <cell r="A64" t="str">
            <v>Belgium</v>
          </cell>
          <cell r="B64">
            <v>1</v>
          </cell>
        </row>
        <row r="65">
          <cell r="A65" t="str">
            <v>United States</v>
          </cell>
          <cell r="B65">
            <v>0.55000000000000004</v>
          </cell>
          <cell r="C65">
            <v>0.45</v>
          </cell>
        </row>
        <row r="66">
          <cell r="A66" t="str">
            <v>Chile</v>
          </cell>
          <cell r="B66">
            <v>1</v>
          </cell>
        </row>
        <row r="67">
          <cell r="A67" t="str">
            <v>Malaysia</v>
          </cell>
          <cell r="B67">
            <v>0.44</v>
          </cell>
          <cell r="C67">
            <v>0.56000000000000005</v>
          </cell>
        </row>
        <row r="68">
          <cell r="A68" t="str">
            <v>Philippines</v>
          </cell>
          <cell r="B68">
            <v>0.43</v>
          </cell>
          <cell r="C68">
            <v>0.56999999999999995</v>
          </cell>
        </row>
        <row r="69">
          <cell r="A69" t="str">
            <v>Indonesia</v>
          </cell>
          <cell r="B69">
            <v>0.82</v>
          </cell>
          <cell r="C69">
            <v>0.18</v>
          </cell>
        </row>
        <row r="70">
          <cell r="A70" t="str">
            <v>New Zealand</v>
          </cell>
        </row>
        <row r="71">
          <cell r="A71" t="str">
            <v>Iran</v>
          </cell>
          <cell r="B71">
            <v>0.6</v>
          </cell>
          <cell r="C71">
            <v>0.4</v>
          </cell>
        </row>
        <row r="72">
          <cell r="A72" t="str">
            <v>Uruguay</v>
          </cell>
        </row>
        <row r="73">
          <cell r="A73" t="str">
            <v>Australia</v>
          </cell>
          <cell r="B73">
            <v>0.55000000000000004</v>
          </cell>
          <cell r="C73">
            <v>0.45</v>
          </cell>
        </row>
        <row r="74">
          <cell r="A74" t="str">
            <v>Peru</v>
          </cell>
          <cell r="B74">
            <v>0.75</v>
          </cell>
          <cell r="C74">
            <v>0.25</v>
          </cell>
        </row>
        <row r="75">
          <cell r="A75" t="str">
            <v>Colombia</v>
          </cell>
          <cell r="B75">
            <v>1</v>
          </cell>
        </row>
        <row r="76">
          <cell r="A76" t="str">
            <v>Thailand</v>
          </cell>
          <cell r="B76">
            <v>0.74</v>
          </cell>
          <cell r="C76">
            <v>0.26</v>
          </cell>
        </row>
        <row r="77">
          <cell r="A77" t="str">
            <v>United Kingdom</v>
          </cell>
          <cell r="B77">
            <v>0.52</v>
          </cell>
          <cell r="C77">
            <v>0.48</v>
          </cell>
        </row>
        <row r="78">
          <cell r="A78" t="str">
            <v>Saudi Arabia</v>
          </cell>
          <cell r="B78">
            <v>0.67</v>
          </cell>
          <cell r="C78">
            <v>0.33</v>
          </cell>
        </row>
        <row r="79">
          <cell r="A79" t="str">
            <v>Venezuela</v>
          </cell>
        </row>
        <row r="80">
          <cell r="A80" t="str">
            <v>Egypt</v>
          </cell>
        </row>
        <row r="81">
          <cell r="A81" t="str">
            <v>Turkey</v>
          </cell>
          <cell r="B81">
            <v>0.71</v>
          </cell>
          <cell r="C81">
            <v>0.28999999999999998</v>
          </cell>
        </row>
        <row r="82">
          <cell r="A82" t="str">
            <v>Cuba</v>
          </cell>
        </row>
        <row r="83">
          <cell r="A83" t="str">
            <v>Angola</v>
          </cell>
        </row>
        <row r="84">
          <cell r="A84" t="str">
            <v>Rwanda</v>
          </cell>
        </row>
        <row r="85">
          <cell r="A85" t="str">
            <v>Namibia</v>
          </cell>
        </row>
        <row r="86">
          <cell r="A86" t="str">
            <v>Burkina Faso</v>
          </cell>
        </row>
        <row r="87">
          <cell r="A87" t="str">
            <v>Zambia</v>
          </cell>
        </row>
        <row r="88">
          <cell r="A88" t="str">
            <v>Brunei</v>
          </cell>
        </row>
        <row r="89">
          <cell r="A89" t="str">
            <v>Macao</v>
          </cell>
        </row>
        <row r="90">
          <cell r="A90" t="str">
            <v>Armenia</v>
          </cell>
        </row>
        <row r="91">
          <cell r="A91" t="str">
            <v>Tajikistan</v>
          </cell>
        </row>
        <row r="92">
          <cell r="A92" t="str">
            <v>St. Helena</v>
          </cell>
        </row>
        <row r="93">
          <cell r="A93" t="str">
            <v>North Macedonia</v>
          </cell>
        </row>
        <row r="94">
          <cell r="A94" t="str">
            <v>Estonia</v>
          </cell>
        </row>
        <row r="95">
          <cell r="A95" t="str">
            <v>CÃ´te dâ€™Ivoire</v>
          </cell>
        </row>
        <row r="96">
          <cell r="A96" t="str">
            <v>Kosovo</v>
          </cell>
        </row>
        <row r="97">
          <cell r="A97" t="str">
            <v>Montenegro</v>
          </cell>
        </row>
        <row r="98">
          <cell r="A98" t="str">
            <v>Malta</v>
          </cell>
        </row>
        <row r="99">
          <cell r="A99" t="str">
            <v>Mozambique</v>
          </cell>
        </row>
        <row r="100">
          <cell r="A100" t="str">
            <v>Senegal</v>
          </cell>
        </row>
        <row r="101">
          <cell r="A101" t="str">
            <v>Congo - Kinshasa</v>
          </cell>
        </row>
        <row r="102">
          <cell r="A102" t="str">
            <v>Cameroon</v>
          </cell>
        </row>
        <row r="103">
          <cell r="A103" t="str">
            <v>Latvia</v>
          </cell>
        </row>
        <row r="104">
          <cell r="A104" t="str">
            <v>Luxembourg</v>
          </cell>
        </row>
        <row r="105">
          <cell r="A105" t="str">
            <v>Jamaica</v>
          </cell>
        </row>
        <row r="106">
          <cell r="A106" t="str">
            <v>Palestine</v>
          </cell>
        </row>
        <row r="107">
          <cell r="A107" t="str">
            <v>Nicaragua</v>
          </cell>
        </row>
        <row r="108">
          <cell r="A108" t="str">
            <v>Cyprus</v>
          </cell>
        </row>
        <row r="109">
          <cell r="A109" t="str">
            <v>Georgia</v>
          </cell>
        </row>
        <row r="110">
          <cell r="A110" t="str">
            <v>Slovenia</v>
          </cell>
        </row>
        <row r="111">
          <cell r="A111" t="str">
            <v>Myanmar (Burma)</v>
          </cell>
        </row>
        <row r="112">
          <cell r="A112" t="str">
            <v>Lebanon</v>
          </cell>
        </row>
        <row r="113">
          <cell r="A113" t="str">
            <v>Bosnia &amp; Herzegovina</v>
          </cell>
        </row>
        <row r="114">
          <cell r="A114" t="str">
            <v>Azerbaijan</v>
          </cell>
        </row>
        <row r="115">
          <cell r="A115" t="str">
            <v>Jordan</v>
          </cell>
        </row>
        <row r="116">
          <cell r="A116" t="str">
            <v>Honduras</v>
          </cell>
        </row>
        <row r="117">
          <cell r="A117" t="str">
            <v>El Salvador</v>
          </cell>
        </row>
        <row r="118">
          <cell r="A118" t="str">
            <v>Syria</v>
          </cell>
        </row>
        <row r="119">
          <cell r="A119" t="str">
            <v>Qatar</v>
          </cell>
        </row>
        <row r="120">
          <cell r="A120" t="str">
            <v>Puerto Rico</v>
          </cell>
        </row>
        <row r="121">
          <cell r="A121" t="str">
            <v>Panama</v>
          </cell>
        </row>
        <row r="122">
          <cell r="A122" t="str">
            <v>Paraguay</v>
          </cell>
        </row>
        <row r="123">
          <cell r="A123" t="str">
            <v>Denmark</v>
          </cell>
        </row>
        <row r="124">
          <cell r="A124" t="str">
            <v>Dominican Republic</v>
          </cell>
        </row>
        <row r="125">
          <cell r="A125" t="str">
            <v>Morocco</v>
          </cell>
        </row>
        <row r="126">
          <cell r="A126" t="str">
            <v>United Arab Emirates</v>
          </cell>
        </row>
        <row r="127">
          <cell r="A127" t="str">
            <v>Aruba</v>
          </cell>
        </row>
        <row r="128">
          <cell r="A128" t="str">
            <v>Afghanistan</v>
          </cell>
        </row>
        <row r="129">
          <cell r="A129" t="str">
            <v>Anguilla</v>
          </cell>
        </row>
        <row r="130">
          <cell r="A130" t="str">
            <v>Ã…land Islands</v>
          </cell>
        </row>
        <row r="131">
          <cell r="A131" t="str">
            <v>Albania</v>
          </cell>
        </row>
        <row r="132">
          <cell r="A132" t="str">
            <v>Andorra</v>
          </cell>
        </row>
        <row r="133">
          <cell r="A133" t="str">
            <v>American Samoa</v>
          </cell>
        </row>
        <row r="134">
          <cell r="A134" t="str">
            <v>Antarctica</v>
          </cell>
        </row>
        <row r="135">
          <cell r="A135" t="str">
            <v>French Southern Territories</v>
          </cell>
        </row>
        <row r="136">
          <cell r="A136" t="str">
            <v>Antigua &amp; Barbuda</v>
          </cell>
        </row>
        <row r="137">
          <cell r="A137" t="str">
            <v>Burundi</v>
          </cell>
        </row>
        <row r="138">
          <cell r="A138" t="str">
            <v>Benin</v>
          </cell>
        </row>
        <row r="139">
          <cell r="A139" t="str">
            <v>Caribbean Netherlands</v>
          </cell>
        </row>
        <row r="140">
          <cell r="A140" t="str">
            <v>Bahrain</v>
          </cell>
        </row>
        <row r="141">
          <cell r="A141" t="str">
            <v>Bahamas</v>
          </cell>
        </row>
        <row r="142">
          <cell r="A142" t="str">
            <v>St. BarthÃ©lemy</v>
          </cell>
        </row>
        <row r="143">
          <cell r="A143" t="str">
            <v>Belize</v>
          </cell>
        </row>
        <row r="144">
          <cell r="A144" t="str">
            <v>Bermuda</v>
          </cell>
        </row>
        <row r="145">
          <cell r="A145" t="str">
            <v>Barbados</v>
          </cell>
        </row>
        <row r="146">
          <cell r="A146" t="str">
            <v>Bhutan</v>
          </cell>
        </row>
        <row r="147">
          <cell r="A147" t="str">
            <v>Bouvet Island</v>
          </cell>
        </row>
        <row r="148">
          <cell r="A148" t="str">
            <v>Central African Republic</v>
          </cell>
        </row>
        <row r="149">
          <cell r="A149" t="str">
            <v>Cocos (Keeling) Islands</v>
          </cell>
        </row>
        <row r="150">
          <cell r="A150" t="str">
            <v>Congo - Brazzaville</v>
          </cell>
        </row>
        <row r="151">
          <cell r="A151" t="str">
            <v>Cook Islands</v>
          </cell>
        </row>
        <row r="152">
          <cell r="A152" t="str">
            <v>Comoros</v>
          </cell>
        </row>
        <row r="153">
          <cell r="A153" t="str">
            <v>Cape Verde</v>
          </cell>
        </row>
        <row r="154">
          <cell r="A154" t="str">
            <v>CuraÃ§ao</v>
          </cell>
        </row>
        <row r="155">
          <cell r="A155" t="str">
            <v>Christmas Island</v>
          </cell>
        </row>
        <row r="156">
          <cell r="A156" t="str">
            <v>Cayman Islands</v>
          </cell>
        </row>
        <row r="157">
          <cell r="A157" t="str">
            <v>Djibouti</v>
          </cell>
        </row>
        <row r="158">
          <cell r="A158" t="str">
            <v>Dominica</v>
          </cell>
        </row>
        <row r="159">
          <cell r="A159" t="str">
            <v>Eritrea</v>
          </cell>
        </row>
        <row r="160">
          <cell r="A160" t="str">
            <v>Western Sahara</v>
          </cell>
        </row>
        <row r="161">
          <cell r="A161" t="str">
            <v>Fiji</v>
          </cell>
        </row>
        <row r="162">
          <cell r="A162" t="str">
            <v>Falkland Islands (Islas Malvinas)</v>
          </cell>
        </row>
        <row r="163">
          <cell r="A163" t="str">
            <v>Faroe Islands</v>
          </cell>
        </row>
        <row r="164">
          <cell r="A164" t="str">
            <v>Micronesia</v>
          </cell>
        </row>
        <row r="165">
          <cell r="A165" t="str">
            <v>Gabon</v>
          </cell>
        </row>
        <row r="166">
          <cell r="A166" t="str">
            <v>Guernsey</v>
          </cell>
        </row>
        <row r="167">
          <cell r="A167" t="str">
            <v>Ghana</v>
          </cell>
        </row>
        <row r="168">
          <cell r="A168" t="str">
            <v>Gibraltar</v>
          </cell>
        </row>
        <row r="169">
          <cell r="A169" t="str">
            <v>Guinea</v>
          </cell>
        </row>
        <row r="170">
          <cell r="A170" t="str">
            <v>Guadeloupe</v>
          </cell>
        </row>
        <row r="171">
          <cell r="A171" t="str">
            <v>Gambia</v>
          </cell>
        </row>
        <row r="172">
          <cell r="A172" t="str">
            <v>Guinea-Bissau</v>
          </cell>
        </row>
        <row r="173">
          <cell r="A173" t="str">
            <v>Equatorial Guinea</v>
          </cell>
        </row>
        <row r="174">
          <cell r="A174" t="str">
            <v>Grenada</v>
          </cell>
        </row>
        <row r="175">
          <cell r="A175" t="str">
            <v>Greenland</v>
          </cell>
        </row>
        <row r="176">
          <cell r="A176" t="str">
            <v>French Guiana</v>
          </cell>
        </row>
        <row r="177">
          <cell r="A177" t="str">
            <v>Guam</v>
          </cell>
        </row>
        <row r="178">
          <cell r="A178" t="str">
            <v>Guyana</v>
          </cell>
        </row>
        <row r="179">
          <cell r="A179" t="str">
            <v>Heard &amp; McDonald Islands</v>
          </cell>
        </row>
        <row r="180">
          <cell r="A180" t="str">
            <v>Haiti</v>
          </cell>
        </row>
        <row r="181">
          <cell r="A181" t="str">
            <v>Isle of Man</v>
          </cell>
        </row>
        <row r="182">
          <cell r="A182" t="str">
            <v>British Indian Ocean Territory</v>
          </cell>
        </row>
        <row r="183">
          <cell r="A183" t="str">
            <v>Iraq</v>
          </cell>
        </row>
        <row r="184">
          <cell r="A184" t="str">
            <v>Jersey</v>
          </cell>
        </row>
        <row r="185">
          <cell r="A185" t="str">
            <v>Kyrgyzstan</v>
          </cell>
        </row>
        <row r="186">
          <cell r="A186" t="str">
            <v>Cambodia</v>
          </cell>
        </row>
        <row r="187">
          <cell r="A187" t="str">
            <v>Kiribati</v>
          </cell>
        </row>
        <row r="188">
          <cell r="A188" t="str">
            <v>St. Kitts &amp; Nevis</v>
          </cell>
        </row>
        <row r="189">
          <cell r="A189" t="str">
            <v>Kuwait</v>
          </cell>
        </row>
        <row r="190">
          <cell r="A190" t="str">
            <v>Liberia</v>
          </cell>
        </row>
        <row r="191">
          <cell r="A191" t="str">
            <v>Libya</v>
          </cell>
        </row>
        <row r="192">
          <cell r="A192" t="str">
            <v>St. Lucia</v>
          </cell>
        </row>
        <row r="193">
          <cell r="A193" t="str">
            <v>Liechtenstein</v>
          </cell>
        </row>
        <row r="194">
          <cell r="A194" t="str">
            <v>Lesotho</v>
          </cell>
        </row>
        <row r="195">
          <cell r="A195" t="str">
            <v>St. Martin</v>
          </cell>
        </row>
        <row r="196">
          <cell r="A196" t="str">
            <v>Monaco</v>
          </cell>
        </row>
        <row r="197">
          <cell r="A197" t="str">
            <v>Moldova</v>
          </cell>
        </row>
        <row r="198">
          <cell r="A198" t="str">
            <v>Madagascar</v>
          </cell>
        </row>
        <row r="199">
          <cell r="A199" t="str">
            <v>Maldives</v>
          </cell>
        </row>
        <row r="200">
          <cell r="A200" t="str">
            <v>Marshall Islands</v>
          </cell>
        </row>
        <row r="201">
          <cell r="A201" t="str">
            <v>Mali</v>
          </cell>
        </row>
        <row r="202">
          <cell r="A202" t="str">
            <v>Mongolia</v>
          </cell>
        </row>
        <row r="203">
          <cell r="A203" t="str">
            <v>Northern Mariana Islands</v>
          </cell>
        </row>
        <row r="204">
          <cell r="A204" t="str">
            <v>Mauritania</v>
          </cell>
        </row>
        <row r="205">
          <cell r="A205" t="str">
            <v>Montserrat</v>
          </cell>
        </row>
        <row r="206">
          <cell r="A206" t="str">
            <v>Martinique</v>
          </cell>
        </row>
        <row r="207">
          <cell r="A207" t="str">
            <v>Mauritius</v>
          </cell>
        </row>
        <row r="208">
          <cell r="A208" t="str">
            <v>Malawi</v>
          </cell>
        </row>
        <row r="209">
          <cell r="A209" t="str">
            <v>Mayotte</v>
          </cell>
        </row>
        <row r="210">
          <cell r="A210" t="str">
            <v>New Caledonia</v>
          </cell>
        </row>
        <row r="211">
          <cell r="A211" t="str">
            <v>Niger</v>
          </cell>
        </row>
        <row r="212">
          <cell r="A212" t="str">
            <v>Norfolk Island</v>
          </cell>
        </row>
        <row r="213">
          <cell r="A213" t="str">
            <v>Niue</v>
          </cell>
        </row>
        <row r="214">
          <cell r="A214" t="str">
            <v>Nauru</v>
          </cell>
        </row>
        <row r="215">
          <cell r="A215" t="str">
            <v>Pitcairn Islands</v>
          </cell>
        </row>
        <row r="216">
          <cell r="A216" t="str">
            <v>Palau</v>
          </cell>
        </row>
        <row r="217">
          <cell r="A217" t="str">
            <v>Papua New Guinea</v>
          </cell>
        </row>
        <row r="218">
          <cell r="A218" t="str">
            <v>North Korea</v>
          </cell>
        </row>
        <row r="219">
          <cell r="A219" t="str">
            <v>French Polynesia</v>
          </cell>
        </row>
        <row r="220">
          <cell r="A220" t="str">
            <v>RÃ©union</v>
          </cell>
        </row>
        <row r="221">
          <cell r="A221" t="str">
            <v>South Georgia &amp; South Sandwich Islands</v>
          </cell>
        </row>
        <row r="222">
          <cell r="A222" t="str">
            <v>Svalbard &amp; Jan Mayen</v>
          </cell>
        </row>
        <row r="223">
          <cell r="A223" t="str">
            <v>Solomon Islands</v>
          </cell>
        </row>
        <row r="224">
          <cell r="A224" t="str">
            <v>Sierra Leone</v>
          </cell>
        </row>
        <row r="225">
          <cell r="A225" t="str">
            <v>San Marino</v>
          </cell>
        </row>
        <row r="226">
          <cell r="A226" t="str">
            <v>Somalia</v>
          </cell>
        </row>
        <row r="227">
          <cell r="A227" t="str">
            <v>St. Pierre &amp; Miquelon</v>
          </cell>
        </row>
        <row r="228">
          <cell r="A228" t="str">
            <v>South Sudan</v>
          </cell>
        </row>
        <row r="229">
          <cell r="A229" t="str">
            <v>SÃ£o TomÃ© &amp; PrÃ­ncipe</v>
          </cell>
        </row>
        <row r="230">
          <cell r="A230" t="str">
            <v>Suriname</v>
          </cell>
        </row>
        <row r="231">
          <cell r="A231" t="str">
            <v>Eswatini</v>
          </cell>
        </row>
        <row r="232">
          <cell r="A232" t="str">
            <v>Sint Maarten</v>
          </cell>
        </row>
        <row r="233">
          <cell r="A233" t="str">
            <v>Seychelles</v>
          </cell>
        </row>
        <row r="234">
          <cell r="A234" t="str">
            <v>Turks &amp; Caicos Islands</v>
          </cell>
        </row>
        <row r="235">
          <cell r="A235" t="str">
            <v>Chad</v>
          </cell>
        </row>
        <row r="236">
          <cell r="A236" t="str">
            <v>Togo</v>
          </cell>
        </row>
        <row r="237">
          <cell r="A237" t="str">
            <v>Tokelau</v>
          </cell>
        </row>
        <row r="238">
          <cell r="A238" t="str">
            <v>Turkmenistan</v>
          </cell>
        </row>
        <row r="239">
          <cell r="A239" t="str">
            <v>Timor-Leste</v>
          </cell>
        </row>
        <row r="240">
          <cell r="A240" t="str">
            <v>Tonga</v>
          </cell>
        </row>
        <row r="241">
          <cell r="A241" t="str">
            <v>Trinidad &amp; Tobago</v>
          </cell>
        </row>
        <row r="242">
          <cell r="A242" t="str">
            <v>Tuvalu</v>
          </cell>
        </row>
        <row r="243">
          <cell r="A243" t="str">
            <v>Uganda</v>
          </cell>
        </row>
        <row r="244">
          <cell r="A244" t="str">
            <v>U.S. Outlying Islands</v>
          </cell>
        </row>
        <row r="245">
          <cell r="A245" t="str">
            <v>Uzbekistan</v>
          </cell>
        </row>
        <row r="246">
          <cell r="A246" t="str">
            <v>Vatican City</v>
          </cell>
        </row>
        <row r="247">
          <cell r="A247" t="str">
            <v>St. Vincent &amp; Grenadines</v>
          </cell>
        </row>
        <row r="248">
          <cell r="A248" t="str">
            <v>British Virgin Islands</v>
          </cell>
        </row>
        <row r="249">
          <cell r="A249" t="str">
            <v>U.S. Virgin Islands</v>
          </cell>
        </row>
        <row r="250">
          <cell r="A250" t="str">
            <v>Vanuatu</v>
          </cell>
        </row>
        <row r="251">
          <cell r="A251" t="str">
            <v>Wallis &amp; Futuna</v>
          </cell>
        </row>
        <row r="252">
          <cell r="A252" t="str">
            <v>Samoa</v>
          </cell>
        </row>
        <row r="253">
          <cell r="A253" t="str">
            <v>Yemen</v>
          </cell>
        </row>
      </sheetData>
    </sheetDataSet>
  </externalBook>
</externalLink>
</file>

<file path=xl/externalLinks/externalLink1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95)"/>
    </sheetNames>
    <sheetDataSet>
      <sheetData sheetId="0" refreshError="1">
        <row r="1">
          <cell r="A1" t="str">
            <v>Category: All categories</v>
          </cell>
        </row>
        <row r="3">
          <cell r="A3" t="str">
            <v>Country</v>
          </cell>
          <cell r="B3" t="str">
            <v>Transmission Control Protocol: (2018)</v>
          </cell>
          <cell r="C3" t="str">
            <v>Design thinking: (2018)</v>
          </cell>
        </row>
        <row r="4">
          <cell r="A4" t="str">
            <v>China</v>
          </cell>
          <cell r="B4">
            <v>0.98</v>
          </cell>
          <cell r="C4">
            <v>0.02</v>
          </cell>
        </row>
        <row r="5">
          <cell r="A5" t="str">
            <v>Cuba</v>
          </cell>
        </row>
        <row r="6">
          <cell r="A6" t="str">
            <v>St. Helena</v>
          </cell>
          <cell r="B6">
            <v>0.85</v>
          </cell>
          <cell r="C6">
            <v>0.15</v>
          </cell>
        </row>
        <row r="7">
          <cell r="A7" t="str">
            <v>South Korea</v>
          </cell>
          <cell r="B7">
            <v>0.92</v>
          </cell>
          <cell r="C7">
            <v>0.08</v>
          </cell>
        </row>
        <row r="8">
          <cell r="A8" t="str">
            <v>Botswana</v>
          </cell>
        </row>
        <row r="9">
          <cell r="A9" t="str">
            <v>Rwanda</v>
          </cell>
        </row>
        <row r="10">
          <cell r="A10" t="str">
            <v>Ethiopia</v>
          </cell>
        </row>
        <row r="11">
          <cell r="A11" t="str">
            <v>Singapore</v>
          </cell>
          <cell r="B11">
            <v>0.67</v>
          </cell>
          <cell r="C11">
            <v>0.33</v>
          </cell>
        </row>
        <row r="12">
          <cell r="A12" t="str">
            <v>Burundi</v>
          </cell>
        </row>
        <row r="13">
          <cell r="A13" t="str">
            <v>Angola</v>
          </cell>
        </row>
        <row r="14">
          <cell r="A14" t="str">
            <v>Zimbabwe</v>
          </cell>
        </row>
        <row r="15">
          <cell r="A15" t="str">
            <v>Nepal</v>
          </cell>
        </row>
        <row r="16">
          <cell r="A16" t="str">
            <v>Papua New Guinea</v>
          </cell>
        </row>
        <row r="17">
          <cell r="A17" t="str">
            <v>Myanmar (Burma)</v>
          </cell>
        </row>
        <row r="18">
          <cell r="A18" t="str">
            <v>Malawi</v>
          </cell>
        </row>
        <row r="19">
          <cell r="A19" t="str">
            <v>Isle of Man</v>
          </cell>
        </row>
        <row r="20">
          <cell r="A20" t="str">
            <v>Luxembourg</v>
          </cell>
        </row>
        <row r="21">
          <cell r="A21" t="str">
            <v>Togo</v>
          </cell>
        </row>
        <row r="22">
          <cell r="A22" t="str">
            <v>Madagascar</v>
          </cell>
        </row>
        <row r="23">
          <cell r="A23" t="str">
            <v>Hong Kong</v>
          </cell>
          <cell r="B23">
            <v>0.79</v>
          </cell>
          <cell r="C23">
            <v>0.21</v>
          </cell>
        </row>
        <row r="24">
          <cell r="A24" t="str">
            <v>Cape Verde</v>
          </cell>
        </row>
        <row r="25">
          <cell r="A25" t="str">
            <v>Israel</v>
          </cell>
          <cell r="B25">
            <v>0.95</v>
          </cell>
          <cell r="C25">
            <v>0.05</v>
          </cell>
        </row>
        <row r="26">
          <cell r="A26" t="str">
            <v>Cameroon</v>
          </cell>
        </row>
        <row r="27">
          <cell r="A27" t="str">
            <v>Jersey</v>
          </cell>
        </row>
        <row r="28">
          <cell r="A28" t="str">
            <v>Uruguay</v>
          </cell>
          <cell r="B28">
            <v>0.9</v>
          </cell>
          <cell r="C28">
            <v>0.1</v>
          </cell>
        </row>
        <row r="29">
          <cell r="A29" t="str">
            <v>Eswatini</v>
          </cell>
        </row>
        <row r="30">
          <cell r="A30" t="str">
            <v>Macao</v>
          </cell>
        </row>
        <row r="31">
          <cell r="A31" t="str">
            <v>Mauritius</v>
          </cell>
        </row>
        <row r="32">
          <cell r="A32" t="str">
            <v>Taiwan</v>
          </cell>
          <cell r="B32">
            <v>0.85</v>
          </cell>
          <cell r="C32">
            <v>0.15</v>
          </cell>
        </row>
        <row r="33">
          <cell r="A33" t="str">
            <v>Brunei</v>
          </cell>
        </row>
        <row r="34">
          <cell r="A34" t="str">
            <v>Bolivia</v>
          </cell>
          <cell r="B34">
            <v>0.89</v>
          </cell>
          <cell r="C34">
            <v>0.11</v>
          </cell>
        </row>
        <row r="35">
          <cell r="A35" t="str">
            <v>Lesotho</v>
          </cell>
        </row>
        <row r="36">
          <cell r="A36" t="str">
            <v>Ghana</v>
          </cell>
        </row>
        <row r="37">
          <cell r="A37" t="str">
            <v>Switzerland</v>
          </cell>
          <cell r="B37">
            <v>0.72</v>
          </cell>
          <cell r="C37">
            <v>0.28000000000000003</v>
          </cell>
        </row>
        <row r="38">
          <cell r="A38" t="str">
            <v>Czechia</v>
          </cell>
          <cell r="B38">
            <v>0.96</v>
          </cell>
          <cell r="C38">
            <v>0.04</v>
          </cell>
        </row>
        <row r="39">
          <cell r="A39" t="str">
            <v>India</v>
          </cell>
          <cell r="B39">
            <v>0.9</v>
          </cell>
          <cell r="C39">
            <v>0.1</v>
          </cell>
        </row>
        <row r="40">
          <cell r="A40" t="str">
            <v>Somalia</v>
          </cell>
        </row>
        <row r="41">
          <cell r="A41" t="str">
            <v>Sri Lanka</v>
          </cell>
        </row>
        <row r="42">
          <cell r="A42" t="str">
            <v>Bhutan</v>
          </cell>
        </row>
        <row r="43">
          <cell r="A43" t="str">
            <v>Zambia</v>
          </cell>
        </row>
        <row r="44">
          <cell r="A44" t="str">
            <v>Ireland</v>
          </cell>
          <cell r="B44">
            <v>0.81</v>
          </cell>
          <cell r="C44">
            <v>0.19</v>
          </cell>
        </row>
        <row r="45">
          <cell r="A45" t="str">
            <v>Sierra Leone</v>
          </cell>
        </row>
        <row r="46">
          <cell r="A46" t="str">
            <v>Japan</v>
          </cell>
          <cell r="B46">
            <v>0.87</v>
          </cell>
          <cell r="C46">
            <v>0.13</v>
          </cell>
        </row>
        <row r="47">
          <cell r="A47" t="str">
            <v>Malta</v>
          </cell>
        </row>
        <row r="48">
          <cell r="A48" t="str">
            <v>Pakistan</v>
          </cell>
          <cell r="B48">
            <v>0.94</v>
          </cell>
          <cell r="C48">
            <v>0.06</v>
          </cell>
        </row>
        <row r="49">
          <cell r="A49" t="str">
            <v>Congo - Kinshasa</v>
          </cell>
        </row>
        <row r="50">
          <cell r="A50" t="str">
            <v>Tunisia</v>
          </cell>
          <cell r="B50">
            <v>0.83</v>
          </cell>
          <cell r="C50">
            <v>0.17</v>
          </cell>
        </row>
        <row r="51">
          <cell r="A51" t="str">
            <v>New Zealand</v>
          </cell>
          <cell r="B51">
            <v>0.79</v>
          </cell>
          <cell r="C51">
            <v>0.21</v>
          </cell>
        </row>
        <row r="52">
          <cell r="A52" t="str">
            <v>Australia</v>
          </cell>
          <cell r="B52">
            <v>0.74</v>
          </cell>
          <cell r="C52">
            <v>0.26</v>
          </cell>
        </row>
        <row r="53">
          <cell r="A53" t="str">
            <v>Norway</v>
          </cell>
          <cell r="B53">
            <v>0.79</v>
          </cell>
          <cell r="C53">
            <v>0.21</v>
          </cell>
        </row>
        <row r="54">
          <cell r="A54" t="str">
            <v>Austria</v>
          </cell>
          <cell r="B54">
            <v>0.82</v>
          </cell>
          <cell r="C54">
            <v>0.18</v>
          </cell>
        </row>
        <row r="55">
          <cell r="A55" t="str">
            <v>Panama</v>
          </cell>
        </row>
        <row r="56">
          <cell r="A56" t="str">
            <v>Germany</v>
          </cell>
          <cell r="B56">
            <v>0.73</v>
          </cell>
          <cell r="C56">
            <v>0.27</v>
          </cell>
        </row>
        <row r="57">
          <cell r="A57" t="str">
            <v>Finland</v>
          </cell>
          <cell r="B57">
            <v>0.82</v>
          </cell>
          <cell r="C57">
            <v>0.18</v>
          </cell>
        </row>
        <row r="58">
          <cell r="A58" t="str">
            <v>Namibia</v>
          </cell>
        </row>
        <row r="59">
          <cell r="A59" t="str">
            <v>Sweden</v>
          </cell>
          <cell r="B59">
            <v>0.87</v>
          </cell>
          <cell r="C59">
            <v>0.13</v>
          </cell>
        </row>
        <row r="60">
          <cell r="A60" t="str">
            <v>Canada</v>
          </cell>
          <cell r="B60">
            <v>0.8</v>
          </cell>
          <cell r="C60">
            <v>0.2</v>
          </cell>
        </row>
        <row r="61">
          <cell r="A61" t="str">
            <v>Senegal</v>
          </cell>
        </row>
        <row r="62">
          <cell r="A62" t="str">
            <v>Costa Rica</v>
          </cell>
          <cell r="B62">
            <v>0.69</v>
          </cell>
          <cell r="C62">
            <v>0.31</v>
          </cell>
        </row>
        <row r="63">
          <cell r="A63" t="str">
            <v>Philippines</v>
          </cell>
          <cell r="B63">
            <v>0.84</v>
          </cell>
          <cell r="C63">
            <v>0.16</v>
          </cell>
        </row>
        <row r="64">
          <cell r="A64" t="str">
            <v>Mozambique</v>
          </cell>
        </row>
        <row r="65">
          <cell r="A65" t="str">
            <v>Ecuador</v>
          </cell>
          <cell r="B65">
            <v>0.75</v>
          </cell>
          <cell r="C65">
            <v>0.25</v>
          </cell>
        </row>
        <row r="66">
          <cell r="A66" t="str">
            <v>United Arab Emirates</v>
          </cell>
          <cell r="B66">
            <v>0.77</v>
          </cell>
          <cell r="C66">
            <v>0.23</v>
          </cell>
        </row>
        <row r="67">
          <cell r="A67" t="str">
            <v>Honduras</v>
          </cell>
        </row>
        <row r="68">
          <cell r="A68" t="str">
            <v>Iceland</v>
          </cell>
        </row>
        <row r="69">
          <cell r="A69" t="str">
            <v>United States</v>
          </cell>
          <cell r="B69">
            <v>0.86</v>
          </cell>
          <cell r="C69">
            <v>0.14000000000000001</v>
          </cell>
        </row>
        <row r="70">
          <cell r="A70" t="str">
            <v>Jamaica</v>
          </cell>
        </row>
        <row r="71">
          <cell r="A71" t="str">
            <v>Cyprus</v>
          </cell>
        </row>
        <row r="72">
          <cell r="A72" t="str">
            <v>Uganda</v>
          </cell>
        </row>
        <row r="73">
          <cell r="A73" t="str">
            <v>Afghanistan</v>
          </cell>
        </row>
        <row r="74">
          <cell r="A74" t="str">
            <v>Netherlands</v>
          </cell>
          <cell r="B74">
            <v>0.74</v>
          </cell>
          <cell r="C74">
            <v>0.26</v>
          </cell>
        </row>
        <row r="75">
          <cell r="A75" t="str">
            <v>United Kingdom</v>
          </cell>
          <cell r="B75">
            <v>0.91</v>
          </cell>
          <cell r="C75">
            <v>0.09</v>
          </cell>
        </row>
        <row r="76">
          <cell r="A76" t="str">
            <v>Estonia</v>
          </cell>
        </row>
        <row r="77">
          <cell r="A77" t="str">
            <v>Russia</v>
          </cell>
          <cell r="B77">
            <v>0.95</v>
          </cell>
          <cell r="C77">
            <v>0.05</v>
          </cell>
        </row>
        <row r="78">
          <cell r="A78" t="str">
            <v>Slovenia</v>
          </cell>
        </row>
        <row r="79">
          <cell r="A79" t="str">
            <v>Portugal</v>
          </cell>
          <cell r="B79">
            <v>0.76</v>
          </cell>
          <cell r="C79">
            <v>0.24</v>
          </cell>
        </row>
        <row r="80">
          <cell r="A80" t="str">
            <v>Hungary</v>
          </cell>
          <cell r="B80">
            <v>0.95</v>
          </cell>
          <cell r="C80">
            <v>0.05</v>
          </cell>
        </row>
        <row r="81">
          <cell r="A81" t="str">
            <v>Oman</v>
          </cell>
        </row>
        <row r="82">
          <cell r="A82" t="str">
            <v>El Salvador</v>
          </cell>
        </row>
        <row r="83">
          <cell r="A83" t="str">
            <v>Kosovo</v>
          </cell>
        </row>
        <row r="84">
          <cell r="A84" t="str">
            <v>Belgium</v>
          </cell>
          <cell r="B84">
            <v>0.86</v>
          </cell>
          <cell r="C84">
            <v>0.14000000000000001</v>
          </cell>
        </row>
        <row r="85">
          <cell r="A85" t="str">
            <v>Fiji</v>
          </cell>
        </row>
        <row r="86">
          <cell r="A86" t="str">
            <v>Mongolia</v>
          </cell>
        </row>
        <row r="87">
          <cell r="A87" t="str">
            <v>Peru</v>
          </cell>
          <cell r="B87">
            <v>0.45</v>
          </cell>
          <cell r="C87">
            <v>0.55000000000000004</v>
          </cell>
        </row>
        <row r="88">
          <cell r="A88" t="str">
            <v>Benin</v>
          </cell>
        </row>
        <row r="89">
          <cell r="A89" t="str">
            <v>Albania</v>
          </cell>
        </row>
        <row r="90">
          <cell r="A90" t="str">
            <v>Denmark</v>
          </cell>
          <cell r="B90">
            <v>0.69</v>
          </cell>
          <cell r="C90">
            <v>0.31</v>
          </cell>
        </row>
        <row r="91">
          <cell r="A91" t="str">
            <v>Maldives</v>
          </cell>
        </row>
        <row r="92">
          <cell r="A92" t="str">
            <v>Colombia</v>
          </cell>
          <cell r="B92">
            <v>0.69</v>
          </cell>
          <cell r="C92">
            <v>0.31</v>
          </cell>
        </row>
        <row r="93">
          <cell r="A93" t="str">
            <v>Bahrain</v>
          </cell>
        </row>
        <row r="94">
          <cell r="A94" t="str">
            <v>South Africa</v>
          </cell>
          <cell r="B94">
            <v>0.79</v>
          </cell>
          <cell r="C94">
            <v>0.21</v>
          </cell>
        </row>
        <row r="95">
          <cell r="A95" t="str">
            <v>Spain</v>
          </cell>
          <cell r="B95">
            <v>0.8</v>
          </cell>
          <cell r="C95">
            <v>0.2</v>
          </cell>
        </row>
        <row r="96">
          <cell r="A96" t="str">
            <v>Slovakia</v>
          </cell>
        </row>
        <row r="97">
          <cell r="A97" t="str">
            <v>Lebanon</v>
          </cell>
        </row>
        <row r="98">
          <cell r="A98" t="str">
            <v>Kenya</v>
          </cell>
          <cell r="B98">
            <v>0.78</v>
          </cell>
          <cell r="C98">
            <v>0.22</v>
          </cell>
        </row>
        <row r="99">
          <cell r="A99" t="str">
            <v>Malaysia</v>
          </cell>
          <cell r="B99">
            <v>0.75</v>
          </cell>
          <cell r="C99">
            <v>0.25</v>
          </cell>
        </row>
        <row r="100">
          <cell r="A100" t="str">
            <v>Trinidad &amp; Tobago</v>
          </cell>
        </row>
        <row r="101">
          <cell r="A101" t="str">
            <v>North Macedonia</v>
          </cell>
        </row>
        <row r="102">
          <cell r="A102" t="str">
            <v>Belarus</v>
          </cell>
        </row>
        <row r="103">
          <cell r="A103" t="str">
            <v>CuraÃ§ao</v>
          </cell>
        </row>
        <row r="104">
          <cell r="A104" t="str">
            <v>Suriname</v>
          </cell>
        </row>
        <row r="105">
          <cell r="A105" t="str">
            <v>Latvia</v>
          </cell>
        </row>
        <row r="106">
          <cell r="A106" t="str">
            <v>Armenia</v>
          </cell>
        </row>
        <row r="107">
          <cell r="A107" t="str">
            <v>Bulgaria</v>
          </cell>
        </row>
        <row r="108">
          <cell r="A108" t="str">
            <v>Romania</v>
          </cell>
          <cell r="B108">
            <v>0.89</v>
          </cell>
          <cell r="C108">
            <v>0.11</v>
          </cell>
        </row>
        <row r="109">
          <cell r="A109" t="str">
            <v>Lithuania</v>
          </cell>
        </row>
        <row r="110">
          <cell r="A110" t="str">
            <v>Qatar</v>
          </cell>
        </row>
        <row r="111">
          <cell r="A111" t="str">
            <v>CÃ´te dâ€™Ivoire</v>
          </cell>
        </row>
        <row r="112">
          <cell r="A112" t="str">
            <v>Argentina</v>
          </cell>
          <cell r="B112">
            <v>0.88</v>
          </cell>
          <cell r="C112">
            <v>0.12</v>
          </cell>
        </row>
        <row r="113">
          <cell r="A113" t="str">
            <v>Dominican Republic</v>
          </cell>
        </row>
        <row r="114">
          <cell r="A114" t="str">
            <v>Croatia</v>
          </cell>
          <cell r="B114">
            <v>0.86</v>
          </cell>
          <cell r="C114">
            <v>0.14000000000000001</v>
          </cell>
        </row>
        <row r="115">
          <cell r="A115" t="str">
            <v>Bangladesh</v>
          </cell>
        </row>
        <row r="116">
          <cell r="A116" t="str">
            <v>Mexico</v>
          </cell>
          <cell r="B116">
            <v>0.77</v>
          </cell>
          <cell r="C116">
            <v>0.23</v>
          </cell>
        </row>
        <row r="117">
          <cell r="A117" t="str">
            <v>France</v>
          </cell>
          <cell r="B117">
            <v>0.78</v>
          </cell>
          <cell r="C117">
            <v>0.22</v>
          </cell>
        </row>
        <row r="118">
          <cell r="A118" t="str">
            <v>Poland</v>
          </cell>
          <cell r="B118">
            <v>0.85</v>
          </cell>
          <cell r="C118">
            <v>0.15</v>
          </cell>
        </row>
        <row r="119">
          <cell r="A119" t="str">
            <v>Guatemala</v>
          </cell>
        </row>
        <row r="120">
          <cell r="A120" t="str">
            <v>Cambodia</v>
          </cell>
        </row>
        <row r="121">
          <cell r="A121" t="str">
            <v>Serbia</v>
          </cell>
        </row>
        <row r="122">
          <cell r="A122" t="str">
            <v>Morocco</v>
          </cell>
          <cell r="B122">
            <v>0.86</v>
          </cell>
          <cell r="C122">
            <v>0.14000000000000001</v>
          </cell>
        </row>
        <row r="123">
          <cell r="A123" t="str">
            <v>Brazil</v>
          </cell>
          <cell r="B123">
            <v>0.64</v>
          </cell>
          <cell r="C123">
            <v>0.36</v>
          </cell>
        </row>
        <row r="124">
          <cell r="A124" t="str">
            <v>Sudan</v>
          </cell>
        </row>
        <row r="125">
          <cell r="A125" t="str">
            <v>Italy</v>
          </cell>
          <cell r="B125">
            <v>0.9</v>
          </cell>
          <cell r="C125">
            <v>0.1</v>
          </cell>
        </row>
        <row r="126">
          <cell r="A126" t="str">
            <v>Libya</v>
          </cell>
        </row>
        <row r="127">
          <cell r="A127" t="str">
            <v>Uzbekistan</v>
          </cell>
        </row>
        <row r="128">
          <cell r="A128" t="str">
            <v>RÃ©union</v>
          </cell>
        </row>
        <row r="129">
          <cell r="A129" t="str">
            <v>Moldova</v>
          </cell>
        </row>
        <row r="130">
          <cell r="A130" t="str">
            <v>Martinique</v>
          </cell>
        </row>
        <row r="131">
          <cell r="A131" t="str">
            <v>Ukraine</v>
          </cell>
          <cell r="B131">
            <v>0.92</v>
          </cell>
          <cell r="C131">
            <v>0.08</v>
          </cell>
        </row>
        <row r="132">
          <cell r="A132" t="str">
            <v>Tanzania</v>
          </cell>
        </row>
        <row r="133">
          <cell r="A133" t="str">
            <v>Nigeria</v>
          </cell>
          <cell r="B133">
            <v>0.89</v>
          </cell>
          <cell r="C133">
            <v>0.11</v>
          </cell>
        </row>
        <row r="134">
          <cell r="A134" t="str">
            <v>Montenegro</v>
          </cell>
        </row>
        <row r="135">
          <cell r="A135" t="str">
            <v>Algeria</v>
          </cell>
        </row>
        <row r="136">
          <cell r="A136" t="str">
            <v>Indonesia</v>
          </cell>
          <cell r="B136">
            <v>0.89</v>
          </cell>
          <cell r="C136">
            <v>0.11</v>
          </cell>
        </row>
        <row r="137">
          <cell r="A137" t="str">
            <v>Palestine</v>
          </cell>
        </row>
        <row r="138">
          <cell r="A138" t="str">
            <v>Barbados</v>
          </cell>
        </row>
        <row r="139">
          <cell r="A139" t="str">
            <v>Nicaragua</v>
          </cell>
        </row>
        <row r="140">
          <cell r="A140" t="str">
            <v>Yemen</v>
          </cell>
        </row>
        <row r="141">
          <cell r="A141" t="str">
            <v>Kazakhstan</v>
          </cell>
          <cell r="B141">
            <v>0.9</v>
          </cell>
          <cell r="C141">
            <v>0.1</v>
          </cell>
        </row>
        <row r="142">
          <cell r="A142" t="str">
            <v>Bahamas</v>
          </cell>
        </row>
        <row r="143">
          <cell r="A143" t="str">
            <v>Chile</v>
          </cell>
          <cell r="B143">
            <v>0.62</v>
          </cell>
          <cell r="C143">
            <v>0.38</v>
          </cell>
        </row>
        <row r="144">
          <cell r="A144" t="str">
            <v>Cayman Islands</v>
          </cell>
        </row>
        <row r="145">
          <cell r="A145" t="str">
            <v>Thailand</v>
          </cell>
          <cell r="B145">
            <v>0.74</v>
          </cell>
          <cell r="C145">
            <v>0.26</v>
          </cell>
        </row>
        <row r="146">
          <cell r="A146" t="str">
            <v>Guyana</v>
          </cell>
        </row>
        <row r="147">
          <cell r="A147" t="str">
            <v>Paraguay</v>
          </cell>
        </row>
        <row r="148">
          <cell r="A148" t="str">
            <v>Guam</v>
          </cell>
        </row>
        <row r="149">
          <cell r="A149" t="str">
            <v>Liberia</v>
          </cell>
        </row>
        <row r="150">
          <cell r="A150" t="str">
            <v>Puerto Rico</v>
          </cell>
        </row>
        <row r="151">
          <cell r="A151" t="str">
            <v>Greece</v>
          </cell>
          <cell r="B151">
            <v>0.92</v>
          </cell>
          <cell r="C151">
            <v>0.08</v>
          </cell>
        </row>
        <row r="152">
          <cell r="A152" t="str">
            <v>Jordan</v>
          </cell>
        </row>
        <row r="153">
          <cell r="A153" t="str">
            <v>Laos</v>
          </cell>
        </row>
        <row r="154">
          <cell r="A154" t="str">
            <v>Saudi Arabia</v>
          </cell>
          <cell r="B154">
            <v>0.9</v>
          </cell>
          <cell r="C154">
            <v>0.1</v>
          </cell>
        </row>
        <row r="155">
          <cell r="A155" t="str">
            <v>Iran</v>
          </cell>
          <cell r="B155">
            <v>0.94</v>
          </cell>
          <cell r="C155">
            <v>0.06</v>
          </cell>
        </row>
        <row r="156">
          <cell r="A156" t="str">
            <v>Syria</v>
          </cell>
        </row>
        <row r="157">
          <cell r="A157" t="str">
            <v>Vietnam</v>
          </cell>
          <cell r="B157">
            <v>0.94</v>
          </cell>
          <cell r="C157">
            <v>0.06</v>
          </cell>
        </row>
        <row r="158">
          <cell r="A158" t="str">
            <v>Bosnia &amp; Herzegovina</v>
          </cell>
        </row>
        <row r="159">
          <cell r="A159" t="str">
            <v>Turkmenistan</v>
          </cell>
        </row>
        <row r="160">
          <cell r="A160" t="str">
            <v>Azerbaijan</v>
          </cell>
        </row>
        <row r="161">
          <cell r="A161" t="str">
            <v>Haiti</v>
          </cell>
        </row>
        <row r="162">
          <cell r="A162" t="str">
            <v>Kuwait</v>
          </cell>
        </row>
        <row r="163">
          <cell r="A163" t="str">
            <v>Georgia</v>
          </cell>
        </row>
        <row r="164">
          <cell r="A164" t="str">
            <v>Burkina Faso</v>
          </cell>
        </row>
        <row r="165">
          <cell r="A165" t="str">
            <v>Guinea</v>
          </cell>
        </row>
        <row r="166">
          <cell r="A166" t="str">
            <v>Egypt</v>
          </cell>
          <cell r="B166">
            <v>0.85</v>
          </cell>
          <cell r="C166">
            <v>0.15</v>
          </cell>
        </row>
        <row r="167">
          <cell r="A167" t="str">
            <v>Mali</v>
          </cell>
        </row>
        <row r="168">
          <cell r="A168" t="str">
            <v>Tajikistan</v>
          </cell>
        </row>
        <row r="169">
          <cell r="A169" t="str">
            <v>Venezuela</v>
          </cell>
        </row>
        <row r="170">
          <cell r="A170" t="str">
            <v>Turkey</v>
          </cell>
          <cell r="B170">
            <v>0.91</v>
          </cell>
          <cell r="C170">
            <v>0.09</v>
          </cell>
        </row>
        <row r="171">
          <cell r="A171" t="str">
            <v>Kyrgyzstan</v>
          </cell>
        </row>
        <row r="172">
          <cell r="A172" t="str">
            <v>Guadeloupe</v>
          </cell>
        </row>
        <row r="173">
          <cell r="A173" t="str">
            <v>Iraq</v>
          </cell>
        </row>
        <row r="174">
          <cell r="A174" t="str">
            <v>Eritrea</v>
          </cell>
        </row>
        <row r="175">
          <cell r="A175" t="str">
            <v>Tonga</v>
          </cell>
        </row>
        <row r="176">
          <cell r="A176" t="str">
            <v>Cook Islands</v>
          </cell>
        </row>
        <row r="177">
          <cell r="A177" t="str">
            <v>Marshall Islands</v>
          </cell>
        </row>
        <row r="178">
          <cell r="A178" t="str">
            <v>Palau</v>
          </cell>
        </row>
        <row r="179">
          <cell r="A179" t="str">
            <v>Guinea-Bissau</v>
          </cell>
        </row>
        <row r="180">
          <cell r="A180" t="str">
            <v>St. Pierre &amp; Miquelon</v>
          </cell>
        </row>
        <row r="181">
          <cell r="A181" t="str">
            <v>Vanuatu</v>
          </cell>
        </row>
        <row r="182">
          <cell r="A182" t="str">
            <v>Anguilla</v>
          </cell>
        </row>
        <row r="183">
          <cell r="A183" t="str">
            <v>Gibraltar</v>
          </cell>
        </row>
        <row r="184">
          <cell r="A184" t="str">
            <v>Central African Republic</v>
          </cell>
        </row>
        <row r="185">
          <cell r="A185" t="str">
            <v>SÃ£o TomÃ© &amp; PrÃ­ncipe</v>
          </cell>
        </row>
        <row r="186">
          <cell r="A186" t="str">
            <v>Monaco</v>
          </cell>
        </row>
        <row r="187">
          <cell r="A187" t="str">
            <v>St. BarthÃ©lemy</v>
          </cell>
        </row>
        <row r="188">
          <cell r="A188" t="str">
            <v>Comoros</v>
          </cell>
        </row>
        <row r="189">
          <cell r="A189" t="str">
            <v>Liechtenstein</v>
          </cell>
        </row>
        <row r="190">
          <cell r="A190" t="str">
            <v>Djibouti</v>
          </cell>
        </row>
        <row r="191">
          <cell r="A191" t="str">
            <v>Chad</v>
          </cell>
        </row>
        <row r="192">
          <cell r="A192" t="str">
            <v>Gambia</v>
          </cell>
        </row>
        <row r="193">
          <cell r="A193" t="str">
            <v>Ã…land Islands</v>
          </cell>
        </row>
        <row r="194">
          <cell r="A194" t="str">
            <v>South Sudan</v>
          </cell>
        </row>
        <row r="195">
          <cell r="A195" t="str">
            <v>British Virgin Islands</v>
          </cell>
        </row>
        <row r="196">
          <cell r="A196" t="str">
            <v>French Polynesia</v>
          </cell>
        </row>
        <row r="197">
          <cell r="A197" t="str">
            <v>Samoa</v>
          </cell>
        </row>
        <row r="198">
          <cell r="A198" t="str">
            <v>Sint Maarten</v>
          </cell>
        </row>
        <row r="199">
          <cell r="A199" t="str">
            <v>Caribbean Netherlands</v>
          </cell>
        </row>
        <row r="200">
          <cell r="A200" t="str">
            <v>Seychelles</v>
          </cell>
        </row>
        <row r="201">
          <cell r="A201" t="str">
            <v>Solomon Islands</v>
          </cell>
        </row>
        <row r="202">
          <cell r="A202" t="str">
            <v>Equatorial Guinea</v>
          </cell>
        </row>
        <row r="203">
          <cell r="A203" t="str">
            <v>Niger</v>
          </cell>
        </row>
        <row r="204">
          <cell r="A204" t="str">
            <v>Guernsey</v>
          </cell>
        </row>
        <row r="205">
          <cell r="A205" t="str">
            <v>U.S. Virgin Islands</v>
          </cell>
        </row>
        <row r="206">
          <cell r="A206" t="str">
            <v>Northern Mariana Islands</v>
          </cell>
        </row>
        <row r="207">
          <cell r="A207" t="str">
            <v>Congo - Brazzaville</v>
          </cell>
        </row>
        <row r="208">
          <cell r="A208" t="str">
            <v>Andorra</v>
          </cell>
        </row>
        <row r="209">
          <cell r="A209" t="str">
            <v>Mauritania</v>
          </cell>
        </row>
        <row r="210">
          <cell r="A210" t="str">
            <v>Grenada</v>
          </cell>
        </row>
        <row r="211">
          <cell r="A211" t="str">
            <v>Turks &amp; Caicos Islands</v>
          </cell>
        </row>
        <row r="212">
          <cell r="A212" t="str">
            <v>St. Vincent &amp; Grenadines</v>
          </cell>
        </row>
        <row r="213">
          <cell r="A213" t="str">
            <v>Gabon</v>
          </cell>
        </row>
        <row r="214">
          <cell r="A214" t="str">
            <v>Greenland</v>
          </cell>
        </row>
        <row r="215">
          <cell r="A215" t="str">
            <v>New Caledonia</v>
          </cell>
        </row>
        <row r="216">
          <cell r="A216" t="str">
            <v>San Marino</v>
          </cell>
        </row>
        <row r="217">
          <cell r="A217" t="str">
            <v>Bermuda</v>
          </cell>
        </row>
        <row r="218">
          <cell r="A218" t="str">
            <v>Mayotte</v>
          </cell>
        </row>
        <row r="219">
          <cell r="A219" t="str">
            <v>Faroe Islands</v>
          </cell>
        </row>
        <row r="220">
          <cell r="A220" t="str">
            <v>French Guiana</v>
          </cell>
        </row>
        <row r="221">
          <cell r="A221" t="str">
            <v>St. Lucia</v>
          </cell>
        </row>
        <row r="222">
          <cell r="A222" t="str">
            <v>Aruba</v>
          </cell>
        </row>
        <row r="223">
          <cell r="A223" t="str">
            <v>Timor-Leste</v>
          </cell>
        </row>
        <row r="224">
          <cell r="A224" t="str">
            <v>Belize</v>
          </cell>
        </row>
        <row r="225">
          <cell r="A225" t="str">
            <v>American Samoa</v>
          </cell>
        </row>
        <row r="226">
          <cell r="A226" t="str">
            <v>Antarctica</v>
          </cell>
        </row>
        <row r="227">
          <cell r="A227" t="str">
            <v>French Southern Territories</v>
          </cell>
        </row>
        <row r="228">
          <cell r="A228" t="str">
            <v>Antigua &amp; Barbuda</v>
          </cell>
        </row>
        <row r="229">
          <cell r="A229" t="str">
            <v>Bouvet Island</v>
          </cell>
        </row>
        <row r="230">
          <cell r="A230" t="str">
            <v>Cocos (Keeling) Islands</v>
          </cell>
        </row>
        <row r="231">
          <cell r="A231" t="str">
            <v>Christmas Island</v>
          </cell>
        </row>
        <row r="232">
          <cell r="A232" t="str">
            <v>Dominica</v>
          </cell>
        </row>
        <row r="233">
          <cell r="A233" t="str">
            <v>Western Sahara</v>
          </cell>
        </row>
        <row r="234">
          <cell r="A234" t="str">
            <v>Falkland Islands (Islas Malvinas)</v>
          </cell>
        </row>
        <row r="235">
          <cell r="A235" t="str">
            <v>Micronesia</v>
          </cell>
        </row>
        <row r="236">
          <cell r="A236" t="str">
            <v>Heard &amp; McDonald Islands</v>
          </cell>
        </row>
        <row r="237">
          <cell r="A237" t="str">
            <v>British Indian Ocean Territory</v>
          </cell>
        </row>
        <row r="238">
          <cell r="A238" t="str">
            <v>Kiribati</v>
          </cell>
        </row>
        <row r="239">
          <cell r="A239" t="str">
            <v>St. Kitts &amp; Nevis</v>
          </cell>
        </row>
        <row r="240">
          <cell r="A240" t="str">
            <v>St. Martin</v>
          </cell>
        </row>
        <row r="241">
          <cell r="A241" t="str">
            <v>Montserrat</v>
          </cell>
        </row>
        <row r="242">
          <cell r="A242" t="str">
            <v>Norfolk Island</v>
          </cell>
        </row>
        <row r="243">
          <cell r="A243" t="str">
            <v>Niue</v>
          </cell>
        </row>
        <row r="244">
          <cell r="A244" t="str">
            <v>Nauru</v>
          </cell>
        </row>
        <row r="245">
          <cell r="A245" t="str">
            <v>Pitcairn Islands</v>
          </cell>
        </row>
        <row r="246">
          <cell r="A246" t="str">
            <v>North Korea</v>
          </cell>
        </row>
        <row r="247">
          <cell r="A247" t="str">
            <v>South Georgia &amp; South Sandwich Islands</v>
          </cell>
        </row>
        <row r="248">
          <cell r="A248" t="str">
            <v>Svalbard &amp; Jan Mayen</v>
          </cell>
        </row>
        <row r="249">
          <cell r="A249" t="str">
            <v>Tokelau</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1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25)"/>
    </sheetNames>
    <sheetDataSet>
      <sheetData sheetId="0" refreshError="1">
        <row r="1">
          <cell r="A1" t="str">
            <v>Category: All categories</v>
          </cell>
        </row>
        <row r="3">
          <cell r="A3" t="str">
            <v>Country</v>
          </cell>
          <cell r="B3" t="str">
            <v>B-tree: (2018)</v>
          </cell>
          <cell r="C3" t="str">
            <v>ImageNet: (2018)</v>
          </cell>
        </row>
        <row r="4">
          <cell r="A4" t="str">
            <v>China</v>
          </cell>
          <cell r="B4">
            <v>0.37</v>
          </cell>
          <cell r="C4">
            <v>0.63</v>
          </cell>
        </row>
        <row r="5">
          <cell r="A5" t="str">
            <v>South Korea</v>
          </cell>
          <cell r="B5">
            <v>0.39</v>
          </cell>
          <cell r="C5">
            <v>0.61</v>
          </cell>
        </row>
        <row r="6">
          <cell r="A6" t="str">
            <v>Singapore</v>
          </cell>
          <cell r="B6">
            <v>0.31</v>
          </cell>
          <cell r="C6">
            <v>0.69</v>
          </cell>
        </row>
        <row r="7">
          <cell r="A7" t="str">
            <v>India</v>
          </cell>
          <cell r="B7">
            <v>0.8</v>
          </cell>
          <cell r="C7">
            <v>0.2</v>
          </cell>
        </row>
        <row r="8">
          <cell r="A8" t="str">
            <v>Taiwan</v>
          </cell>
          <cell r="B8">
            <v>0.31</v>
          </cell>
          <cell r="C8">
            <v>0.69</v>
          </cell>
        </row>
        <row r="9">
          <cell r="A9" t="str">
            <v>Israel</v>
          </cell>
          <cell r="B9">
            <v>0.56999999999999995</v>
          </cell>
          <cell r="C9">
            <v>0.43</v>
          </cell>
        </row>
        <row r="10">
          <cell r="A10" t="str">
            <v>Iran</v>
          </cell>
          <cell r="B10">
            <v>0.88</v>
          </cell>
          <cell r="C10">
            <v>0.12</v>
          </cell>
        </row>
        <row r="11">
          <cell r="A11" t="str">
            <v>Hong Kong</v>
          </cell>
          <cell r="B11">
            <v>0.38</v>
          </cell>
          <cell r="C11">
            <v>0.62</v>
          </cell>
        </row>
        <row r="12">
          <cell r="A12" t="str">
            <v>Guatemala</v>
          </cell>
          <cell r="B12">
            <v>1</v>
          </cell>
        </row>
        <row r="13">
          <cell r="A13" t="str">
            <v>St. Helena</v>
          </cell>
          <cell r="B13">
            <v>0.46</v>
          </cell>
          <cell r="C13">
            <v>0.54</v>
          </cell>
        </row>
        <row r="14">
          <cell r="A14" t="str">
            <v>Costa Rica</v>
          </cell>
          <cell r="B14">
            <v>1</v>
          </cell>
        </row>
        <row r="15">
          <cell r="A15" t="str">
            <v>Cyprus</v>
          </cell>
        </row>
        <row r="16">
          <cell r="A16" t="str">
            <v>Sri Lanka</v>
          </cell>
          <cell r="B16">
            <v>1</v>
          </cell>
        </row>
        <row r="17">
          <cell r="A17" t="str">
            <v>Pakistan</v>
          </cell>
          <cell r="B17">
            <v>0.69</v>
          </cell>
          <cell r="C17">
            <v>0.31</v>
          </cell>
        </row>
        <row r="18">
          <cell r="A18" t="str">
            <v>Czechia</v>
          </cell>
          <cell r="B18">
            <v>1</v>
          </cell>
        </row>
        <row r="19">
          <cell r="A19" t="str">
            <v>Switzerland</v>
          </cell>
          <cell r="B19">
            <v>0.41</v>
          </cell>
          <cell r="C19">
            <v>0.59</v>
          </cell>
        </row>
        <row r="20">
          <cell r="A20" t="str">
            <v>Germany</v>
          </cell>
          <cell r="B20">
            <v>0.62</v>
          </cell>
          <cell r="C20">
            <v>0.38</v>
          </cell>
        </row>
        <row r="21">
          <cell r="A21" t="str">
            <v>Belarus</v>
          </cell>
          <cell r="B21">
            <v>1</v>
          </cell>
        </row>
        <row r="22">
          <cell r="A22" t="str">
            <v>Denmark</v>
          </cell>
          <cell r="B22">
            <v>0.59</v>
          </cell>
          <cell r="C22">
            <v>0.41</v>
          </cell>
        </row>
        <row r="23">
          <cell r="A23" t="str">
            <v>Austria</v>
          </cell>
          <cell r="B23">
            <v>0.75</v>
          </cell>
          <cell r="C23">
            <v>0.25</v>
          </cell>
        </row>
        <row r="24">
          <cell r="A24" t="str">
            <v>Slovenia</v>
          </cell>
          <cell r="B24">
            <v>1</v>
          </cell>
        </row>
        <row r="25">
          <cell r="A25" t="str">
            <v>United States</v>
          </cell>
          <cell r="B25">
            <v>0.5</v>
          </cell>
          <cell r="C25">
            <v>0.5</v>
          </cell>
        </row>
        <row r="26">
          <cell r="A26" t="str">
            <v>Japan</v>
          </cell>
          <cell r="B26">
            <v>0.44</v>
          </cell>
          <cell r="C26">
            <v>0.56000000000000005</v>
          </cell>
        </row>
        <row r="27">
          <cell r="A27" t="str">
            <v>Ecuador</v>
          </cell>
          <cell r="B27">
            <v>1</v>
          </cell>
        </row>
        <row r="28">
          <cell r="A28" t="str">
            <v>Finland</v>
          </cell>
          <cell r="B28">
            <v>0.25</v>
          </cell>
          <cell r="C28">
            <v>0.75</v>
          </cell>
        </row>
        <row r="29">
          <cell r="A29" t="str">
            <v>Nepal</v>
          </cell>
        </row>
        <row r="30">
          <cell r="A30" t="str">
            <v>Greece</v>
          </cell>
          <cell r="B30">
            <v>1</v>
          </cell>
        </row>
        <row r="31">
          <cell r="A31" t="str">
            <v>Canada</v>
          </cell>
          <cell r="B31">
            <v>0.51</v>
          </cell>
          <cell r="C31">
            <v>0.49</v>
          </cell>
        </row>
        <row r="32">
          <cell r="A32" t="str">
            <v>Russia</v>
          </cell>
          <cell r="B32">
            <v>0.71</v>
          </cell>
          <cell r="C32">
            <v>0.28999999999999998</v>
          </cell>
        </row>
        <row r="33">
          <cell r="A33" t="str">
            <v>Sudan</v>
          </cell>
        </row>
        <row r="34">
          <cell r="A34" t="str">
            <v>Bulgaria</v>
          </cell>
          <cell r="B34">
            <v>1</v>
          </cell>
        </row>
        <row r="35">
          <cell r="A35" t="str">
            <v>Romania</v>
          </cell>
          <cell r="B35">
            <v>1</v>
          </cell>
        </row>
        <row r="36">
          <cell r="A36" t="str">
            <v>South Africa</v>
          </cell>
          <cell r="B36">
            <v>0.75</v>
          </cell>
          <cell r="C36">
            <v>0.25</v>
          </cell>
        </row>
        <row r="37">
          <cell r="A37" t="str">
            <v>Philippines</v>
          </cell>
          <cell r="B37">
            <v>0.28999999999999998</v>
          </cell>
          <cell r="C37">
            <v>0.71</v>
          </cell>
        </row>
        <row r="38">
          <cell r="A38" t="str">
            <v>Sweden</v>
          </cell>
          <cell r="B38">
            <v>0.45</v>
          </cell>
          <cell r="C38">
            <v>0.55000000000000004</v>
          </cell>
        </row>
        <row r="39">
          <cell r="A39" t="str">
            <v>New Zealand</v>
          </cell>
          <cell r="B39">
            <v>1</v>
          </cell>
        </row>
        <row r="40">
          <cell r="A40" t="str">
            <v>Poland</v>
          </cell>
          <cell r="B40">
            <v>0.72</v>
          </cell>
          <cell r="C40">
            <v>0.28000000000000003</v>
          </cell>
        </row>
        <row r="41">
          <cell r="A41" t="str">
            <v>Bangladesh</v>
          </cell>
          <cell r="B41">
            <v>1</v>
          </cell>
        </row>
        <row r="42">
          <cell r="A42" t="str">
            <v>Ireland</v>
          </cell>
          <cell r="B42">
            <v>0.5</v>
          </cell>
          <cell r="C42">
            <v>0.5</v>
          </cell>
        </row>
        <row r="43">
          <cell r="A43" t="str">
            <v>Portugal</v>
          </cell>
          <cell r="B43">
            <v>0.6</v>
          </cell>
          <cell r="C43">
            <v>0.4</v>
          </cell>
        </row>
        <row r="44">
          <cell r="A44" t="str">
            <v>Norway</v>
          </cell>
          <cell r="B44">
            <v>0.5</v>
          </cell>
          <cell r="C44">
            <v>0.5</v>
          </cell>
        </row>
        <row r="45">
          <cell r="A45" t="str">
            <v>Vietnam</v>
          </cell>
          <cell r="B45">
            <v>0.77</v>
          </cell>
          <cell r="C45">
            <v>0.23</v>
          </cell>
        </row>
        <row r="46">
          <cell r="A46" t="str">
            <v>United Arab Emirates</v>
          </cell>
          <cell r="B46">
            <v>1</v>
          </cell>
        </row>
        <row r="47">
          <cell r="A47" t="str">
            <v>Australia</v>
          </cell>
          <cell r="B47">
            <v>0.56999999999999995</v>
          </cell>
          <cell r="C47">
            <v>0.43</v>
          </cell>
        </row>
        <row r="48">
          <cell r="A48" t="str">
            <v>Belgium</v>
          </cell>
          <cell r="B48">
            <v>0.45</v>
          </cell>
          <cell r="C48">
            <v>0.55000000000000004</v>
          </cell>
        </row>
        <row r="49">
          <cell r="A49" t="str">
            <v>Ukraine</v>
          </cell>
          <cell r="B49">
            <v>0.72</v>
          </cell>
          <cell r="C49">
            <v>0.28000000000000003</v>
          </cell>
        </row>
        <row r="50">
          <cell r="A50" t="str">
            <v>Brazil</v>
          </cell>
          <cell r="B50">
            <v>0.79</v>
          </cell>
          <cell r="C50">
            <v>0.21</v>
          </cell>
        </row>
        <row r="51">
          <cell r="A51" t="str">
            <v>United Kingdom</v>
          </cell>
          <cell r="B51">
            <v>0.48</v>
          </cell>
          <cell r="C51">
            <v>0.52</v>
          </cell>
        </row>
        <row r="52">
          <cell r="A52" t="str">
            <v>Croatia</v>
          </cell>
          <cell r="B52">
            <v>1</v>
          </cell>
        </row>
        <row r="53">
          <cell r="A53" t="str">
            <v>France</v>
          </cell>
          <cell r="B53">
            <v>0.38</v>
          </cell>
          <cell r="C53">
            <v>0.62</v>
          </cell>
        </row>
        <row r="54">
          <cell r="A54" t="str">
            <v>Netherlands</v>
          </cell>
          <cell r="B54">
            <v>0.49</v>
          </cell>
          <cell r="C54">
            <v>0.51</v>
          </cell>
        </row>
        <row r="55">
          <cell r="A55" t="str">
            <v>Hungary</v>
          </cell>
          <cell r="B55">
            <v>1</v>
          </cell>
        </row>
        <row r="56">
          <cell r="A56" t="str">
            <v>Italy</v>
          </cell>
          <cell r="B56">
            <v>0.69</v>
          </cell>
          <cell r="C56">
            <v>0.31</v>
          </cell>
        </row>
        <row r="57">
          <cell r="A57" t="str">
            <v>Peru</v>
          </cell>
          <cell r="B57">
            <v>1</v>
          </cell>
        </row>
        <row r="58">
          <cell r="A58" t="str">
            <v>Bolivia</v>
          </cell>
        </row>
        <row r="59">
          <cell r="A59" t="str">
            <v>Egypt</v>
          </cell>
          <cell r="B59">
            <v>1</v>
          </cell>
        </row>
        <row r="60">
          <cell r="A60" t="str">
            <v>Nigeria</v>
          </cell>
          <cell r="B60">
            <v>1</v>
          </cell>
        </row>
        <row r="61">
          <cell r="A61" t="str">
            <v>Chile</v>
          </cell>
        </row>
        <row r="62">
          <cell r="A62" t="str">
            <v>Malaysia</v>
          </cell>
          <cell r="B62">
            <v>0.56000000000000005</v>
          </cell>
          <cell r="C62">
            <v>0.44</v>
          </cell>
        </row>
        <row r="63">
          <cell r="A63" t="str">
            <v>Algeria</v>
          </cell>
          <cell r="B63">
            <v>1</v>
          </cell>
        </row>
        <row r="64">
          <cell r="A64" t="str">
            <v>Indonesia</v>
          </cell>
          <cell r="B64">
            <v>0.82</v>
          </cell>
          <cell r="C64">
            <v>0.18</v>
          </cell>
        </row>
        <row r="65">
          <cell r="A65" t="str">
            <v>Lithuania</v>
          </cell>
        </row>
        <row r="66">
          <cell r="A66" t="str">
            <v>Mexico</v>
          </cell>
          <cell r="B66">
            <v>0.72</v>
          </cell>
          <cell r="C66">
            <v>0.28000000000000003</v>
          </cell>
        </row>
        <row r="67">
          <cell r="A67" t="str">
            <v>Saudi Arabia</v>
          </cell>
          <cell r="B67">
            <v>1</v>
          </cell>
        </row>
        <row r="68">
          <cell r="A68" t="str">
            <v>Venezuela</v>
          </cell>
          <cell r="B68">
            <v>1</v>
          </cell>
        </row>
        <row r="69">
          <cell r="A69" t="str">
            <v>Spain</v>
          </cell>
          <cell r="B69">
            <v>0.54</v>
          </cell>
          <cell r="C69">
            <v>0.46</v>
          </cell>
        </row>
        <row r="70">
          <cell r="A70" t="str">
            <v>Turkey</v>
          </cell>
          <cell r="B70">
            <v>0.61</v>
          </cell>
          <cell r="C70">
            <v>0.39</v>
          </cell>
        </row>
        <row r="71">
          <cell r="A71" t="str">
            <v>Colombia</v>
          </cell>
          <cell r="B71">
            <v>1</v>
          </cell>
        </row>
        <row r="72">
          <cell r="A72" t="str">
            <v>Argentina</v>
          </cell>
          <cell r="B72">
            <v>1</v>
          </cell>
        </row>
        <row r="73">
          <cell r="A73" t="str">
            <v>Thailand</v>
          </cell>
          <cell r="B73">
            <v>0.53</v>
          </cell>
          <cell r="C73">
            <v>0.47</v>
          </cell>
        </row>
        <row r="74">
          <cell r="A74" t="str">
            <v>Liechtenstein</v>
          </cell>
        </row>
        <row r="75">
          <cell r="A75" t="str">
            <v>Andorra</v>
          </cell>
        </row>
        <row r="76">
          <cell r="A76" t="str">
            <v>Grenada</v>
          </cell>
        </row>
        <row r="77">
          <cell r="A77" t="str">
            <v>Papua New Guinea</v>
          </cell>
        </row>
        <row r="78">
          <cell r="A78" t="str">
            <v>Cuba</v>
          </cell>
        </row>
        <row r="79">
          <cell r="A79" t="str">
            <v>Somalia</v>
          </cell>
        </row>
        <row r="80">
          <cell r="A80" t="str">
            <v>Afghanistan</v>
          </cell>
        </row>
        <row r="81">
          <cell r="A81" t="str">
            <v>Oman</v>
          </cell>
        </row>
        <row r="82">
          <cell r="A82" t="str">
            <v>Malta</v>
          </cell>
        </row>
        <row r="83">
          <cell r="A83" t="str">
            <v>Mozambique</v>
          </cell>
        </row>
        <row r="84">
          <cell r="A84" t="str">
            <v>Burkina Faso</v>
          </cell>
        </row>
        <row r="85">
          <cell r="A85" t="str">
            <v>Cameroon</v>
          </cell>
        </row>
        <row r="86">
          <cell r="A86" t="str">
            <v>Brunei</v>
          </cell>
        </row>
        <row r="87">
          <cell r="A87" t="str">
            <v>Estonia</v>
          </cell>
        </row>
        <row r="88">
          <cell r="A88" t="str">
            <v>Macao</v>
          </cell>
        </row>
        <row r="89">
          <cell r="A89" t="str">
            <v>Kosovo</v>
          </cell>
        </row>
        <row r="90">
          <cell r="A90" t="str">
            <v>North Macedonia</v>
          </cell>
        </row>
        <row r="91">
          <cell r="A91" t="str">
            <v>Yemen</v>
          </cell>
        </row>
        <row r="92">
          <cell r="A92" t="str">
            <v>Myanmar (Burma)</v>
          </cell>
        </row>
        <row r="93">
          <cell r="A93" t="str">
            <v>Syria</v>
          </cell>
        </row>
        <row r="94">
          <cell r="A94" t="str">
            <v>Zimbabwe</v>
          </cell>
        </row>
        <row r="95">
          <cell r="A95" t="str">
            <v>Honduras</v>
          </cell>
        </row>
        <row r="96">
          <cell r="A96" t="str">
            <v>Laos</v>
          </cell>
        </row>
        <row r="97">
          <cell r="A97" t="str">
            <v>Palestine</v>
          </cell>
        </row>
        <row r="98">
          <cell r="A98" t="str">
            <v>Senegal</v>
          </cell>
        </row>
        <row r="99">
          <cell r="A99" t="str">
            <v>Jordan</v>
          </cell>
        </row>
        <row r="100">
          <cell r="A100" t="str">
            <v>Zambia</v>
          </cell>
        </row>
        <row r="101">
          <cell r="A101" t="str">
            <v>Congo - Kinshasa</v>
          </cell>
        </row>
        <row r="102">
          <cell r="A102" t="str">
            <v>Moldova</v>
          </cell>
        </row>
        <row r="103">
          <cell r="A103" t="str">
            <v>Latvia</v>
          </cell>
        </row>
        <row r="104">
          <cell r="A104" t="str">
            <v>Trinidad &amp; Tobago</v>
          </cell>
        </row>
        <row r="105">
          <cell r="A105" t="str">
            <v>Ethiopia</v>
          </cell>
        </row>
        <row r="106">
          <cell r="A106" t="str">
            <v>Armenia</v>
          </cell>
        </row>
        <row r="107">
          <cell r="A107" t="str">
            <v>Bahrain</v>
          </cell>
        </row>
        <row r="108">
          <cell r="A108" t="str">
            <v>Libya</v>
          </cell>
        </row>
        <row r="109">
          <cell r="A109" t="str">
            <v>Qatar</v>
          </cell>
        </row>
        <row r="110">
          <cell r="A110" t="str">
            <v>Luxembourg</v>
          </cell>
        </row>
        <row r="111">
          <cell r="A111" t="str">
            <v>Serbia</v>
          </cell>
        </row>
        <row r="112">
          <cell r="A112" t="str">
            <v>Nicaragua</v>
          </cell>
        </row>
        <row r="113">
          <cell r="A113" t="str">
            <v>Puerto Rico</v>
          </cell>
        </row>
        <row r="114">
          <cell r="A114" t="str">
            <v>Georgia</v>
          </cell>
        </row>
        <row r="115">
          <cell r="A115" t="str">
            <v>Paraguay</v>
          </cell>
        </row>
        <row r="116">
          <cell r="A116" t="str">
            <v>Tunisia</v>
          </cell>
        </row>
        <row r="117">
          <cell r="A117" t="str">
            <v>Lebanon</v>
          </cell>
        </row>
        <row r="118">
          <cell r="A118" t="str">
            <v>CÃ´te dâ€™Ivoire</v>
          </cell>
        </row>
        <row r="119">
          <cell r="A119" t="str">
            <v>Bosnia &amp; Herzegovina</v>
          </cell>
        </row>
        <row r="120">
          <cell r="A120" t="str">
            <v>Azerbaijan</v>
          </cell>
        </row>
        <row r="121">
          <cell r="A121" t="str">
            <v>Kuwait</v>
          </cell>
        </row>
        <row r="122">
          <cell r="A122" t="str">
            <v>Kyrgyzstan</v>
          </cell>
        </row>
        <row r="123">
          <cell r="A123" t="str">
            <v>El Salvador</v>
          </cell>
        </row>
        <row r="124">
          <cell r="A124" t="str">
            <v>Uzbekistan</v>
          </cell>
        </row>
        <row r="125">
          <cell r="A125" t="str">
            <v>Ghana</v>
          </cell>
        </row>
        <row r="126">
          <cell r="A126" t="str">
            <v>Panama</v>
          </cell>
        </row>
        <row r="127">
          <cell r="A127" t="str">
            <v>Slovakia</v>
          </cell>
        </row>
        <row r="128">
          <cell r="A128" t="str">
            <v>Kenya</v>
          </cell>
        </row>
        <row r="129">
          <cell r="A129" t="str">
            <v>Kazakhstan</v>
          </cell>
        </row>
        <row r="130">
          <cell r="A130" t="str">
            <v>Dominican Republic</v>
          </cell>
        </row>
        <row r="131">
          <cell r="A131" t="str">
            <v>Uruguay</v>
          </cell>
        </row>
        <row r="132">
          <cell r="A132" t="str">
            <v>Morocco</v>
          </cell>
        </row>
        <row r="133">
          <cell r="A133" t="str">
            <v>Aruba</v>
          </cell>
        </row>
        <row r="134">
          <cell r="A134" t="str">
            <v>Angola</v>
          </cell>
        </row>
        <row r="135">
          <cell r="A135" t="str">
            <v>Anguilla</v>
          </cell>
        </row>
        <row r="136">
          <cell r="A136" t="str">
            <v>Ã…land Islands</v>
          </cell>
        </row>
        <row r="137">
          <cell r="A137" t="str">
            <v>Albania</v>
          </cell>
        </row>
        <row r="138">
          <cell r="A138" t="str">
            <v>American Samoa</v>
          </cell>
        </row>
        <row r="139">
          <cell r="A139" t="str">
            <v>Antarctica</v>
          </cell>
        </row>
        <row r="140">
          <cell r="A140" t="str">
            <v>French Southern Territories</v>
          </cell>
        </row>
        <row r="141">
          <cell r="A141" t="str">
            <v>Antigua &amp; Barbuda</v>
          </cell>
        </row>
        <row r="142">
          <cell r="A142" t="str">
            <v>Burundi</v>
          </cell>
        </row>
        <row r="143">
          <cell r="A143" t="str">
            <v>Benin</v>
          </cell>
        </row>
        <row r="144">
          <cell r="A144" t="str">
            <v>Caribbean Netherlands</v>
          </cell>
        </row>
        <row r="145">
          <cell r="A145" t="str">
            <v>Bahamas</v>
          </cell>
        </row>
        <row r="146">
          <cell r="A146" t="str">
            <v>St. BarthÃ©lemy</v>
          </cell>
        </row>
        <row r="147">
          <cell r="A147" t="str">
            <v>Belize</v>
          </cell>
        </row>
        <row r="148">
          <cell r="A148" t="str">
            <v>Bermuda</v>
          </cell>
        </row>
        <row r="149">
          <cell r="A149" t="str">
            <v>Barbados</v>
          </cell>
        </row>
        <row r="150">
          <cell r="A150" t="str">
            <v>Bhutan</v>
          </cell>
        </row>
        <row r="151">
          <cell r="A151" t="str">
            <v>Bouvet Island</v>
          </cell>
        </row>
        <row r="152">
          <cell r="A152" t="str">
            <v>Botswana</v>
          </cell>
        </row>
        <row r="153">
          <cell r="A153" t="str">
            <v>Central African Republic</v>
          </cell>
        </row>
        <row r="154">
          <cell r="A154" t="str">
            <v>Cocos (Keeling) Islands</v>
          </cell>
        </row>
        <row r="155">
          <cell r="A155" t="str">
            <v>Congo - Brazzaville</v>
          </cell>
        </row>
        <row r="156">
          <cell r="A156" t="str">
            <v>Cook Islands</v>
          </cell>
        </row>
        <row r="157">
          <cell r="A157" t="str">
            <v>Comoros</v>
          </cell>
        </row>
        <row r="158">
          <cell r="A158" t="str">
            <v>Cape Verde</v>
          </cell>
        </row>
        <row r="159">
          <cell r="A159" t="str">
            <v>CuraÃ§ao</v>
          </cell>
        </row>
        <row r="160">
          <cell r="A160" t="str">
            <v>Christmas Island</v>
          </cell>
        </row>
        <row r="161">
          <cell r="A161" t="str">
            <v>Cayman Islands</v>
          </cell>
        </row>
        <row r="162">
          <cell r="A162" t="str">
            <v>Djibouti</v>
          </cell>
        </row>
        <row r="163">
          <cell r="A163" t="str">
            <v>Dominica</v>
          </cell>
        </row>
        <row r="164">
          <cell r="A164" t="str">
            <v>Eritrea</v>
          </cell>
        </row>
        <row r="165">
          <cell r="A165" t="str">
            <v>Western Sahara</v>
          </cell>
        </row>
        <row r="166">
          <cell r="A166" t="str">
            <v>Fiji</v>
          </cell>
        </row>
        <row r="167">
          <cell r="A167" t="str">
            <v>Falkland Islands (Islas Malvinas)</v>
          </cell>
        </row>
        <row r="168">
          <cell r="A168" t="str">
            <v>Faroe Islands</v>
          </cell>
        </row>
        <row r="169">
          <cell r="A169" t="str">
            <v>Micronesia</v>
          </cell>
        </row>
        <row r="170">
          <cell r="A170" t="str">
            <v>Gabon</v>
          </cell>
        </row>
        <row r="171">
          <cell r="A171" t="str">
            <v>Guernsey</v>
          </cell>
        </row>
        <row r="172">
          <cell r="A172" t="str">
            <v>Gibraltar</v>
          </cell>
        </row>
        <row r="173">
          <cell r="A173" t="str">
            <v>Guinea</v>
          </cell>
        </row>
        <row r="174">
          <cell r="A174" t="str">
            <v>Guadeloupe</v>
          </cell>
        </row>
        <row r="175">
          <cell r="A175" t="str">
            <v>Gambia</v>
          </cell>
        </row>
        <row r="176">
          <cell r="A176" t="str">
            <v>Guinea-Bissau</v>
          </cell>
        </row>
        <row r="177">
          <cell r="A177" t="str">
            <v>Equatorial Guinea</v>
          </cell>
        </row>
        <row r="178">
          <cell r="A178" t="str">
            <v>Greenland</v>
          </cell>
        </row>
        <row r="179">
          <cell r="A179" t="str">
            <v>French Guiana</v>
          </cell>
        </row>
        <row r="180">
          <cell r="A180" t="str">
            <v>Guam</v>
          </cell>
        </row>
        <row r="181">
          <cell r="A181" t="str">
            <v>Guyana</v>
          </cell>
        </row>
        <row r="182">
          <cell r="A182" t="str">
            <v>Heard &amp; McDonald Islands</v>
          </cell>
        </row>
        <row r="183">
          <cell r="A183" t="str">
            <v>Haiti</v>
          </cell>
        </row>
        <row r="184">
          <cell r="A184" t="str">
            <v>Isle of Man</v>
          </cell>
        </row>
        <row r="185">
          <cell r="A185" t="str">
            <v>British Indian Ocean Territory</v>
          </cell>
        </row>
        <row r="186">
          <cell r="A186" t="str">
            <v>Iraq</v>
          </cell>
        </row>
        <row r="187">
          <cell r="A187" t="str">
            <v>Iceland</v>
          </cell>
        </row>
        <row r="188">
          <cell r="A188" t="str">
            <v>Jamaica</v>
          </cell>
        </row>
        <row r="189">
          <cell r="A189" t="str">
            <v>Jersey</v>
          </cell>
        </row>
        <row r="190">
          <cell r="A190" t="str">
            <v>Cambodia</v>
          </cell>
        </row>
        <row r="191">
          <cell r="A191" t="str">
            <v>Kiribati</v>
          </cell>
        </row>
        <row r="192">
          <cell r="A192" t="str">
            <v>St. Kitts &amp; Nevis</v>
          </cell>
        </row>
        <row r="193">
          <cell r="A193" t="str">
            <v>Liberia</v>
          </cell>
        </row>
        <row r="194">
          <cell r="A194" t="str">
            <v>St. Lucia</v>
          </cell>
        </row>
        <row r="195">
          <cell r="A195" t="str">
            <v>Lesotho</v>
          </cell>
        </row>
        <row r="196">
          <cell r="A196" t="str">
            <v>St. Martin</v>
          </cell>
        </row>
        <row r="197">
          <cell r="A197" t="str">
            <v>Monaco</v>
          </cell>
        </row>
        <row r="198">
          <cell r="A198" t="str">
            <v>Madagascar</v>
          </cell>
        </row>
        <row r="199">
          <cell r="A199" t="str">
            <v>Maldives</v>
          </cell>
        </row>
        <row r="200">
          <cell r="A200" t="str">
            <v>Marshall Islands</v>
          </cell>
        </row>
        <row r="201">
          <cell r="A201" t="str">
            <v>Mali</v>
          </cell>
        </row>
        <row r="202">
          <cell r="A202" t="str">
            <v>Montenegro</v>
          </cell>
        </row>
        <row r="203">
          <cell r="A203" t="str">
            <v>Mongolia</v>
          </cell>
        </row>
        <row r="204">
          <cell r="A204" t="str">
            <v>Northern Mariana Islands</v>
          </cell>
        </row>
        <row r="205">
          <cell r="A205" t="str">
            <v>Mauritania</v>
          </cell>
        </row>
        <row r="206">
          <cell r="A206" t="str">
            <v>Montserrat</v>
          </cell>
        </row>
        <row r="207">
          <cell r="A207" t="str">
            <v>Martinique</v>
          </cell>
        </row>
        <row r="208">
          <cell r="A208" t="str">
            <v>Mauritius</v>
          </cell>
        </row>
        <row r="209">
          <cell r="A209" t="str">
            <v>Malawi</v>
          </cell>
        </row>
        <row r="210">
          <cell r="A210" t="str">
            <v>Mayotte</v>
          </cell>
        </row>
        <row r="211">
          <cell r="A211" t="str">
            <v>Namibia</v>
          </cell>
        </row>
        <row r="212">
          <cell r="A212" t="str">
            <v>New Caledonia</v>
          </cell>
        </row>
        <row r="213">
          <cell r="A213" t="str">
            <v>Niger</v>
          </cell>
        </row>
        <row r="214">
          <cell r="A214" t="str">
            <v>Norfolk Island</v>
          </cell>
        </row>
        <row r="215">
          <cell r="A215" t="str">
            <v>Niue</v>
          </cell>
        </row>
        <row r="216">
          <cell r="A216" t="str">
            <v>Nauru</v>
          </cell>
        </row>
        <row r="217">
          <cell r="A217" t="str">
            <v>Pitcairn Islands</v>
          </cell>
        </row>
        <row r="218">
          <cell r="A218" t="str">
            <v>Palau</v>
          </cell>
        </row>
        <row r="219">
          <cell r="A219" t="str">
            <v>North Korea</v>
          </cell>
        </row>
        <row r="220">
          <cell r="A220" t="str">
            <v>French Polynesia</v>
          </cell>
        </row>
        <row r="221">
          <cell r="A221" t="str">
            <v>RÃ©union</v>
          </cell>
        </row>
        <row r="222">
          <cell r="A222" t="str">
            <v>Rwanda</v>
          </cell>
        </row>
        <row r="223">
          <cell r="A223" t="str">
            <v>South Georgia &amp; South Sandwich Islands</v>
          </cell>
        </row>
        <row r="224">
          <cell r="A224" t="str">
            <v>Svalbard &amp; Jan Mayen</v>
          </cell>
        </row>
        <row r="225">
          <cell r="A225" t="str">
            <v>Solomon Islands</v>
          </cell>
        </row>
        <row r="226">
          <cell r="A226" t="str">
            <v>Sierra Leone</v>
          </cell>
        </row>
        <row r="227">
          <cell r="A227" t="str">
            <v>San Marino</v>
          </cell>
        </row>
        <row r="228">
          <cell r="A228" t="str">
            <v>St. Pierre &amp; Miquelon</v>
          </cell>
        </row>
        <row r="229">
          <cell r="A229" t="str">
            <v>South Sudan</v>
          </cell>
        </row>
        <row r="230">
          <cell r="A230" t="str">
            <v>SÃ£o TomÃ© &amp; PrÃ­ncipe</v>
          </cell>
        </row>
        <row r="231">
          <cell r="A231" t="str">
            <v>Suriname</v>
          </cell>
        </row>
        <row r="232">
          <cell r="A232" t="str">
            <v>Eswatini</v>
          </cell>
        </row>
        <row r="233">
          <cell r="A233" t="str">
            <v>Sint Maarten</v>
          </cell>
        </row>
        <row r="234">
          <cell r="A234" t="str">
            <v>Seychelles</v>
          </cell>
        </row>
        <row r="235">
          <cell r="A235" t="str">
            <v>Turks &amp; Caicos Islands</v>
          </cell>
        </row>
        <row r="236">
          <cell r="A236" t="str">
            <v>Chad</v>
          </cell>
        </row>
        <row r="237">
          <cell r="A237" t="str">
            <v>Togo</v>
          </cell>
        </row>
        <row r="238">
          <cell r="A238" t="str">
            <v>Tajikistan</v>
          </cell>
        </row>
        <row r="239">
          <cell r="A239" t="str">
            <v>Tokelau</v>
          </cell>
        </row>
        <row r="240">
          <cell r="A240" t="str">
            <v>Turkmenistan</v>
          </cell>
        </row>
        <row r="241">
          <cell r="A241" t="str">
            <v>Timor-Leste</v>
          </cell>
        </row>
        <row r="242">
          <cell r="A242" t="str">
            <v>Tonga</v>
          </cell>
        </row>
        <row r="243">
          <cell r="A243" t="str">
            <v>Tuvalu</v>
          </cell>
        </row>
        <row r="244">
          <cell r="A244" t="str">
            <v>Tanzania</v>
          </cell>
        </row>
        <row r="245">
          <cell r="A245" t="str">
            <v>Uganda</v>
          </cell>
        </row>
        <row r="246">
          <cell r="A246" t="str">
            <v>U.S. Outlying Islands</v>
          </cell>
        </row>
        <row r="247">
          <cell r="A247" t="str">
            <v>Vatican City</v>
          </cell>
        </row>
        <row r="248">
          <cell r="A248" t="str">
            <v>St. Vincent &amp; Grenadines</v>
          </cell>
        </row>
        <row r="249">
          <cell r="A249" t="str">
            <v>British Virgin Islands</v>
          </cell>
        </row>
        <row r="250">
          <cell r="A250" t="str">
            <v>U.S. Virgin Islands</v>
          </cell>
        </row>
        <row r="251">
          <cell r="A251" t="str">
            <v>Vanuatu</v>
          </cell>
        </row>
        <row r="252">
          <cell r="A252" t="str">
            <v>Wallis &amp; Futuna</v>
          </cell>
        </row>
        <row r="253">
          <cell r="A253" t="str">
            <v>Samoa</v>
          </cell>
        </row>
      </sheetData>
    </sheetDataSet>
  </externalBook>
</externalLink>
</file>

<file path=xl/externalLinks/externalLink1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76)"/>
    </sheetNames>
    <sheetDataSet>
      <sheetData sheetId="0" refreshError="1">
        <row r="1">
          <cell r="A1" t="str">
            <v>Category: All categories</v>
          </cell>
        </row>
        <row r="3">
          <cell r="A3" t="str">
            <v>Country</v>
          </cell>
          <cell r="B3" t="str">
            <v>Database: (2018)</v>
          </cell>
          <cell r="C3" t="str">
            <v>For loop: (2018)</v>
          </cell>
        </row>
        <row r="4">
          <cell r="A4" t="str">
            <v>Eritrea</v>
          </cell>
        </row>
        <row r="5">
          <cell r="A5" t="str">
            <v>China</v>
          </cell>
          <cell r="B5">
            <v>0.76</v>
          </cell>
          <cell r="C5">
            <v>0.24</v>
          </cell>
        </row>
        <row r="6">
          <cell r="A6" t="str">
            <v>Cuba</v>
          </cell>
        </row>
        <row r="7">
          <cell r="A7" t="str">
            <v>Ethiopia</v>
          </cell>
        </row>
        <row r="8">
          <cell r="A8" t="str">
            <v>St. Helena</v>
          </cell>
          <cell r="B8">
            <v>0.84</v>
          </cell>
          <cell r="C8">
            <v>0.16</v>
          </cell>
        </row>
        <row r="9">
          <cell r="A9" t="str">
            <v>Botswana</v>
          </cell>
        </row>
        <row r="10">
          <cell r="A10" t="str">
            <v>Zimbabwe</v>
          </cell>
        </row>
        <row r="11">
          <cell r="A11" t="str">
            <v>Papua New Guinea</v>
          </cell>
        </row>
        <row r="12">
          <cell r="A12" t="str">
            <v>Malawi</v>
          </cell>
        </row>
        <row r="13">
          <cell r="A13" t="str">
            <v>Rwanda</v>
          </cell>
        </row>
        <row r="14">
          <cell r="A14" t="str">
            <v>Solomon Islands</v>
          </cell>
        </row>
        <row r="15">
          <cell r="A15" t="str">
            <v>Myanmar (Burma)</v>
          </cell>
        </row>
        <row r="16">
          <cell r="A16" t="str">
            <v>Madagascar</v>
          </cell>
        </row>
        <row r="17">
          <cell r="A17" t="str">
            <v>Equatorial Guinea</v>
          </cell>
        </row>
        <row r="18">
          <cell r="A18" t="str">
            <v>Vanuatu</v>
          </cell>
        </row>
        <row r="19">
          <cell r="A19" t="str">
            <v>Timor-Leste</v>
          </cell>
        </row>
        <row r="20">
          <cell r="A20" t="str">
            <v>Samoa</v>
          </cell>
        </row>
        <row r="21">
          <cell r="A21" t="str">
            <v>Lesotho</v>
          </cell>
        </row>
        <row r="22">
          <cell r="A22" t="str">
            <v>Central African Republic</v>
          </cell>
        </row>
        <row r="23">
          <cell r="A23" t="str">
            <v>Eswatini</v>
          </cell>
        </row>
        <row r="24">
          <cell r="A24" t="str">
            <v>Togo</v>
          </cell>
        </row>
        <row r="25">
          <cell r="A25" t="str">
            <v>Fiji</v>
          </cell>
        </row>
        <row r="26">
          <cell r="A26" t="str">
            <v>Nepal</v>
          </cell>
        </row>
        <row r="27">
          <cell r="A27" t="str">
            <v>Afghanistan</v>
          </cell>
        </row>
        <row r="28">
          <cell r="A28" t="str">
            <v>Cape Verde</v>
          </cell>
        </row>
        <row r="29">
          <cell r="A29" t="str">
            <v>South Korea</v>
          </cell>
          <cell r="B29">
            <v>0.71</v>
          </cell>
          <cell r="C29">
            <v>0.28999999999999998</v>
          </cell>
        </row>
        <row r="30">
          <cell r="A30" t="str">
            <v>Uganda</v>
          </cell>
        </row>
        <row r="31">
          <cell r="A31" t="str">
            <v>Cameroon</v>
          </cell>
        </row>
        <row r="32">
          <cell r="A32" t="str">
            <v>Burundi</v>
          </cell>
        </row>
        <row r="33">
          <cell r="A33" t="str">
            <v>Liechtenstein</v>
          </cell>
        </row>
        <row r="34">
          <cell r="A34" t="str">
            <v>Guinea-Bissau</v>
          </cell>
        </row>
        <row r="35">
          <cell r="A35" t="str">
            <v>Bhutan</v>
          </cell>
        </row>
        <row r="36">
          <cell r="A36" t="str">
            <v>Sri Lanka</v>
          </cell>
          <cell r="B36">
            <v>0.85</v>
          </cell>
          <cell r="C36">
            <v>0.15</v>
          </cell>
        </row>
        <row r="37">
          <cell r="A37" t="str">
            <v>Singapore</v>
          </cell>
          <cell r="B37">
            <v>0.79</v>
          </cell>
          <cell r="C37">
            <v>0.21</v>
          </cell>
        </row>
        <row r="38">
          <cell r="A38" t="str">
            <v>Angola</v>
          </cell>
        </row>
        <row r="39">
          <cell r="A39" t="str">
            <v>British Virgin Islands</v>
          </cell>
        </row>
        <row r="40">
          <cell r="A40" t="str">
            <v>Congo - Brazzaville</v>
          </cell>
        </row>
        <row r="41">
          <cell r="A41" t="str">
            <v>Benin</v>
          </cell>
        </row>
        <row r="42">
          <cell r="A42" t="str">
            <v>Pakistan</v>
          </cell>
          <cell r="B42">
            <v>0.83</v>
          </cell>
          <cell r="C42">
            <v>0.17</v>
          </cell>
        </row>
        <row r="43">
          <cell r="A43" t="str">
            <v>Congo - Kinshasa</v>
          </cell>
        </row>
        <row r="44">
          <cell r="A44" t="str">
            <v>Mauritius</v>
          </cell>
        </row>
        <row r="45">
          <cell r="A45" t="str">
            <v>Tonga</v>
          </cell>
        </row>
        <row r="46">
          <cell r="A46" t="str">
            <v>Luxembourg</v>
          </cell>
        </row>
        <row r="47">
          <cell r="A47" t="str">
            <v>Ghana</v>
          </cell>
        </row>
        <row r="48">
          <cell r="A48" t="str">
            <v>Somalia</v>
          </cell>
        </row>
        <row r="49">
          <cell r="A49" t="str">
            <v>El Salvador</v>
          </cell>
        </row>
        <row r="50">
          <cell r="A50" t="str">
            <v>Kenya</v>
          </cell>
          <cell r="B50">
            <v>0.93</v>
          </cell>
          <cell r="C50">
            <v>7.0000000000000007E-2</v>
          </cell>
        </row>
        <row r="51">
          <cell r="A51" t="str">
            <v>Djibouti</v>
          </cell>
        </row>
        <row r="52">
          <cell r="A52" t="str">
            <v>Gambia</v>
          </cell>
        </row>
        <row r="53">
          <cell r="A53" t="str">
            <v>South Africa</v>
          </cell>
          <cell r="B53">
            <v>0.9</v>
          </cell>
          <cell r="C53">
            <v>0.1</v>
          </cell>
        </row>
        <row r="54">
          <cell r="A54" t="str">
            <v>Estonia</v>
          </cell>
        </row>
        <row r="55">
          <cell r="A55" t="str">
            <v>Colombia</v>
          </cell>
          <cell r="B55">
            <v>0.92</v>
          </cell>
          <cell r="C55">
            <v>0.08</v>
          </cell>
        </row>
        <row r="56">
          <cell r="A56" t="str">
            <v>Senegal</v>
          </cell>
        </row>
        <row r="57">
          <cell r="A57" t="str">
            <v>Liberia</v>
          </cell>
        </row>
        <row r="58">
          <cell r="A58" t="str">
            <v>Belize</v>
          </cell>
        </row>
        <row r="59">
          <cell r="A59" t="str">
            <v>SÃ£o TomÃ© &amp; PrÃ­ncipe</v>
          </cell>
        </row>
        <row r="60">
          <cell r="A60" t="str">
            <v>Mozambique</v>
          </cell>
        </row>
        <row r="61">
          <cell r="A61" t="str">
            <v>New Zealand</v>
          </cell>
          <cell r="B61">
            <v>0.86</v>
          </cell>
          <cell r="C61">
            <v>0.14000000000000001</v>
          </cell>
        </row>
        <row r="62">
          <cell r="A62" t="str">
            <v>Tunisia</v>
          </cell>
          <cell r="B62">
            <v>0.87</v>
          </cell>
          <cell r="C62">
            <v>0.13</v>
          </cell>
        </row>
        <row r="63">
          <cell r="A63" t="str">
            <v>Hong Kong</v>
          </cell>
          <cell r="B63">
            <v>0.78</v>
          </cell>
          <cell r="C63">
            <v>0.22</v>
          </cell>
        </row>
        <row r="64">
          <cell r="A64" t="str">
            <v>Tanzania</v>
          </cell>
        </row>
        <row r="65">
          <cell r="A65" t="str">
            <v>Jamaica</v>
          </cell>
        </row>
        <row r="66">
          <cell r="A66" t="str">
            <v>Latvia</v>
          </cell>
        </row>
        <row r="67">
          <cell r="A67" t="str">
            <v>Niger</v>
          </cell>
        </row>
        <row r="68">
          <cell r="A68" t="str">
            <v>Czechia</v>
          </cell>
          <cell r="B68">
            <v>0.94</v>
          </cell>
          <cell r="C68">
            <v>0.06</v>
          </cell>
        </row>
        <row r="69">
          <cell r="A69" t="str">
            <v>India</v>
          </cell>
          <cell r="B69">
            <v>0.82</v>
          </cell>
          <cell r="C69">
            <v>0.18</v>
          </cell>
        </row>
        <row r="70">
          <cell r="A70" t="str">
            <v>South Sudan</v>
          </cell>
        </row>
        <row r="71">
          <cell r="A71" t="str">
            <v>Chad</v>
          </cell>
        </row>
        <row r="72">
          <cell r="A72" t="str">
            <v>Philippines</v>
          </cell>
          <cell r="B72">
            <v>0.84</v>
          </cell>
          <cell r="C72">
            <v>0.16</v>
          </cell>
        </row>
        <row r="73">
          <cell r="A73" t="str">
            <v>Malta</v>
          </cell>
        </row>
        <row r="74">
          <cell r="A74" t="str">
            <v>Canada</v>
          </cell>
          <cell r="B74">
            <v>0.83</v>
          </cell>
          <cell r="C74">
            <v>0.17</v>
          </cell>
        </row>
        <row r="75">
          <cell r="A75" t="str">
            <v>Zambia</v>
          </cell>
        </row>
        <row r="76">
          <cell r="A76" t="str">
            <v>Brunei</v>
          </cell>
        </row>
        <row r="77">
          <cell r="A77" t="str">
            <v>Iceland</v>
          </cell>
        </row>
        <row r="78">
          <cell r="A78" t="str">
            <v>San Marino</v>
          </cell>
        </row>
        <row r="79">
          <cell r="A79" t="str">
            <v>Switzerland</v>
          </cell>
          <cell r="B79">
            <v>0.82</v>
          </cell>
          <cell r="C79">
            <v>0.18</v>
          </cell>
        </row>
        <row r="80">
          <cell r="A80" t="str">
            <v>Australia</v>
          </cell>
          <cell r="B80">
            <v>0.85</v>
          </cell>
          <cell r="C80">
            <v>0.15</v>
          </cell>
        </row>
        <row r="81">
          <cell r="A81" t="str">
            <v>Sudan</v>
          </cell>
        </row>
        <row r="82">
          <cell r="A82" t="str">
            <v>Nigeria</v>
          </cell>
          <cell r="B82">
            <v>0.94</v>
          </cell>
          <cell r="C82">
            <v>0.06</v>
          </cell>
        </row>
        <row r="83">
          <cell r="A83" t="str">
            <v>Sierra Leone</v>
          </cell>
        </row>
        <row r="84">
          <cell r="A84" t="str">
            <v>Taiwan</v>
          </cell>
          <cell r="B84">
            <v>0.84</v>
          </cell>
          <cell r="C84">
            <v>0.16</v>
          </cell>
        </row>
        <row r="85">
          <cell r="A85" t="str">
            <v>Ecuador</v>
          </cell>
          <cell r="B85">
            <v>0.9</v>
          </cell>
          <cell r="C85">
            <v>0.1</v>
          </cell>
        </row>
        <row r="86">
          <cell r="A86" t="str">
            <v>Ireland</v>
          </cell>
          <cell r="B86">
            <v>0.84</v>
          </cell>
          <cell r="C86">
            <v>0.16</v>
          </cell>
        </row>
        <row r="87">
          <cell r="A87" t="str">
            <v>Honduras</v>
          </cell>
        </row>
        <row r="88">
          <cell r="A88" t="str">
            <v>Guatemala</v>
          </cell>
          <cell r="B88">
            <v>0.88</v>
          </cell>
          <cell r="C88">
            <v>0.12</v>
          </cell>
        </row>
        <row r="89">
          <cell r="A89" t="str">
            <v>Namibia</v>
          </cell>
        </row>
        <row r="90">
          <cell r="A90" t="str">
            <v>Northern Mariana Islands</v>
          </cell>
        </row>
        <row r="91">
          <cell r="A91" t="str">
            <v>United States</v>
          </cell>
          <cell r="B91">
            <v>0.83</v>
          </cell>
          <cell r="C91">
            <v>0.17</v>
          </cell>
        </row>
        <row r="92">
          <cell r="A92" t="str">
            <v>Dominica</v>
          </cell>
        </row>
        <row r="93">
          <cell r="A93" t="str">
            <v>Yemen</v>
          </cell>
        </row>
        <row r="94">
          <cell r="A94" t="str">
            <v>Isle of Man</v>
          </cell>
        </row>
        <row r="95">
          <cell r="A95" t="str">
            <v>Cyprus</v>
          </cell>
        </row>
        <row r="96">
          <cell r="A96" t="str">
            <v>Maldives</v>
          </cell>
        </row>
        <row r="97">
          <cell r="A97" t="str">
            <v>Costa Rica</v>
          </cell>
          <cell r="B97">
            <v>0.87</v>
          </cell>
          <cell r="C97">
            <v>0.13</v>
          </cell>
        </row>
        <row r="98">
          <cell r="A98" t="str">
            <v>Bangladesh</v>
          </cell>
          <cell r="B98">
            <v>0.86</v>
          </cell>
          <cell r="C98">
            <v>0.14000000000000001</v>
          </cell>
        </row>
        <row r="99">
          <cell r="A99" t="str">
            <v>North Macedonia</v>
          </cell>
        </row>
        <row r="100">
          <cell r="A100" t="str">
            <v>St. Vincent &amp; Grenadines</v>
          </cell>
        </row>
        <row r="101">
          <cell r="A101" t="str">
            <v>Lebanon</v>
          </cell>
        </row>
        <row r="102">
          <cell r="A102" t="str">
            <v>Portugal</v>
          </cell>
          <cell r="B102">
            <v>0.86</v>
          </cell>
          <cell r="C102">
            <v>0.14000000000000001</v>
          </cell>
        </row>
        <row r="103">
          <cell r="A103" t="str">
            <v>Netherlands</v>
          </cell>
          <cell r="B103">
            <v>0.87</v>
          </cell>
          <cell r="C103">
            <v>0.13</v>
          </cell>
        </row>
        <row r="104">
          <cell r="A104" t="str">
            <v>CÃ´te dâ€™Ivoire</v>
          </cell>
        </row>
        <row r="105">
          <cell r="A105" t="str">
            <v>Albania</v>
          </cell>
        </row>
        <row r="106">
          <cell r="A106" t="str">
            <v>Macao</v>
          </cell>
        </row>
        <row r="107">
          <cell r="A107" t="str">
            <v>Japan</v>
          </cell>
          <cell r="B107">
            <v>0.79</v>
          </cell>
          <cell r="C107">
            <v>0.21</v>
          </cell>
        </row>
        <row r="108">
          <cell r="A108" t="str">
            <v>Malaysia</v>
          </cell>
          <cell r="B108">
            <v>0.87</v>
          </cell>
          <cell r="C108">
            <v>0.13</v>
          </cell>
        </row>
        <row r="109">
          <cell r="A109" t="str">
            <v>Nicaragua</v>
          </cell>
        </row>
        <row r="110">
          <cell r="A110" t="str">
            <v>Jersey</v>
          </cell>
        </row>
        <row r="111">
          <cell r="A111" t="str">
            <v>Germany</v>
          </cell>
          <cell r="B111">
            <v>0.84</v>
          </cell>
          <cell r="C111">
            <v>0.16</v>
          </cell>
        </row>
        <row r="112">
          <cell r="A112" t="str">
            <v>Mongolia</v>
          </cell>
        </row>
        <row r="113">
          <cell r="A113" t="str">
            <v>United Arab Emirates</v>
          </cell>
          <cell r="B113">
            <v>0.88</v>
          </cell>
          <cell r="C113">
            <v>0.12</v>
          </cell>
        </row>
        <row r="114">
          <cell r="A114" t="str">
            <v>Bermuda</v>
          </cell>
        </row>
        <row r="115">
          <cell r="A115" t="str">
            <v>Panama</v>
          </cell>
        </row>
        <row r="116">
          <cell r="A116" t="str">
            <v>Denmark</v>
          </cell>
          <cell r="B116">
            <v>0.87</v>
          </cell>
          <cell r="C116">
            <v>0.13</v>
          </cell>
        </row>
        <row r="117">
          <cell r="A117" t="str">
            <v>Indonesia</v>
          </cell>
          <cell r="B117">
            <v>0.98</v>
          </cell>
          <cell r="C117">
            <v>0.02</v>
          </cell>
        </row>
        <row r="118">
          <cell r="A118" t="str">
            <v>Peru</v>
          </cell>
          <cell r="B118">
            <v>0.91</v>
          </cell>
          <cell r="C118">
            <v>0.09</v>
          </cell>
        </row>
        <row r="119">
          <cell r="A119" t="str">
            <v>Austria</v>
          </cell>
          <cell r="B119">
            <v>0.85</v>
          </cell>
          <cell r="C119">
            <v>0.15</v>
          </cell>
        </row>
        <row r="120">
          <cell r="A120" t="str">
            <v>United Kingdom</v>
          </cell>
          <cell r="B120">
            <v>0.85</v>
          </cell>
          <cell r="C120">
            <v>0.15</v>
          </cell>
        </row>
        <row r="121">
          <cell r="A121" t="str">
            <v>Oman</v>
          </cell>
        </row>
        <row r="122">
          <cell r="A122" t="str">
            <v>Mexico</v>
          </cell>
          <cell r="B122">
            <v>0.89</v>
          </cell>
          <cell r="C122">
            <v>0.11</v>
          </cell>
        </row>
        <row r="123">
          <cell r="A123" t="str">
            <v>Andorra</v>
          </cell>
        </row>
        <row r="124">
          <cell r="A124" t="str">
            <v>Monaco</v>
          </cell>
        </row>
        <row r="125">
          <cell r="A125" t="str">
            <v>Belarus</v>
          </cell>
          <cell r="B125">
            <v>0.87</v>
          </cell>
          <cell r="C125">
            <v>0.13</v>
          </cell>
        </row>
        <row r="126">
          <cell r="A126" t="str">
            <v>Faroe Islands</v>
          </cell>
        </row>
        <row r="127">
          <cell r="A127" t="str">
            <v>Libya</v>
          </cell>
        </row>
        <row r="128">
          <cell r="A128" t="str">
            <v>Gabon</v>
          </cell>
        </row>
        <row r="129">
          <cell r="A129" t="str">
            <v>Bolivia</v>
          </cell>
        </row>
        <row r="130">
          <cell r="A130" t="str">
            <v>Gibraltar</v>
          </cell>
        </row>
        <row r="131">
          <cell r="A131" t="str">
            <v>Bahrain</v>
          </cell>
        </row>
        <row r="132">
          <cell r="A132" t="str">
            <v>Laos</v>
          </cell>
        </row>
        <row r="133">
          <cell r="A133" t="str">
            <v>Dominican Republic</v>
          </cell>
        </row>
        <row r="134">
          <cell r="A134" t="str">
            <v>Belgium</v>
          </cell>
          <cell r="B134">
            <v>0.88</v>
          </cell>
          <cell r="C134">
            <v>0.12</v>
          </cell>
        </row>
        <row r="135">
          <cell r="A135" t="str">
            <v>Seychelles</v>
          </cell>
        </row>
        <row r="136">
          <cell r="A136" t="str">
            <v>Lithuania</v>
          </cell>
        </row>
        <row r="137">
          <cell r="A137" t="str">
            <v>Kosovo</v>
          </cell>
        </row>
        <row r="138">
          <cell r="A138" t="str">
            <v>Cambodia</v>
          </cell>
        </row>
        <row r="139">
          <cell r="A139" t="str">
            <v>Barbados</v>
          </cell>
        </row>
        <row r="140">
          <cell r="A140" t="str">
            <v>Moldova</v>
          </cell>
        </row>
        <row r="141">
          <cell r="A141" t="str">
            <v>Sweden</v>
          </cell>
          <cell r="B141">
            <v>0.84</v>
          </cell>
          <cell r="C141">
            <v>0.16</v>
          </cell>
        </row>
        <row r="142">
          <cell r="A142" t="str">
            <v>Guernsey</v>
          </cell>
        </row>
        <row r="143">
          <cell r="A143" t="str">
            <v>Ã…land Islands</v>
          </cell>
        </row>
        <row r="144">
          <cell r="A144" t="str">
            <v>Trinidad &amp; Tobago</v>
          </cell>
        </row>
        <row r="145">
          <cell r="A145" t="str">
            <v>Hungary</v>
          </cell>
          <cell r="B145">
            <v>0.92</v>
          </cell>
          <cell r="C145">
            <v>0.08</v>
          </cell>
        </row>
        <row r="146">
          <cell r="A146" t="str">
            <v>Russia</v>
          </cell>
          <cell r="B146">
            <v>0.88</v>
          </cell>
          <cell r="C146">
            <v>0.12</v>
          </cell>
        </row>
        <row r="147">
          <cell r="A147" t="str">
            <v>Palestine</v>
          </cell>
        </row>
        <row r="148">
          <cell r="A148" t="str">
            <v>Finland</v>
          </cell>
          <cell r="B148">
            <v>0.83</v>
          </cell>
          <cell r="C148">
            <v>0.17</v>
          </cell>
        </row>
        <row r="149">
          <cell r="A149" t="str">
            <v>CuraÃ§ao</v>
          </cell>
        </row>
        <row r="150">
          <cell r="A150" t="str">
            <v>Serbia</v>
          </cell>
          <cell r="B150">
            <v>0.89</v>
          </cell>
          <cell r="C150">
            <v>0.11</v>
          </cell>
        </row>
        <row r="151">
          <cell r="A151" t="str">
            <v>Slovakia</v>
          </cell>
        </row>
        <row r="152">
          <cell r="A152" t="str">
            <v>Armenia</v>
          </cell>
        </row>
        <row r="153">
          <cell r="A153" t="str">
            <v>Haiti</v>
          </cell>
        </row>
        <row r="154">
          <cell r="A154" t="str">
            <v>Romania</v>
          </cell>
          <cell r="B154">
            <v>0.94</v>
          </cell>
          <cell r="C154">
            <v>0.06</v>
          </cell>
        </row>
        <row r="155">
          <cell r="A155" t="str">
            <v>Qatar</v>
          </cell>
        </row>
        <row r="156">
          <cell r="A156" t="str">
            <v>Burkina Faso</v>
          </cell>
        </row>
        <row r="157">
          <cell r="A157" t="str">
            <v>St. Lucia</v>
          </cell>
        </row>
        <row r="158">
          <cell r="A158" t="str">
            <v>Grenada</v>
          </cell>
        </row>
        <row r="159">
          <cell r="A159" t="str">
            <v>Poland</v>
          </cell>
          <cell r="B159">
            <v>0.9</v>
          </cell>
          <cell r="C159">
            <v>0.1</v>
          </cell>
        </row>
        <row r="160">
          <cell r="A160" t="str">
            <v>Norway</v>
          </cell>
          <cell r="B160">
            <v>0.84</v>
          </cell>
          <cell r="C160">
            <v>0.16</v>
          </cell>
        </row>
        <row r="161">
          <cell r="A161" t="str">
            <v>Israel</v>
          </cell>
          <cell r="B161">
            <v>0.74</v>
          </cell>
          <cell r="C161">
            <v>0.26</v>
          </cell>
        </row>
        <row r="162">
          <cell r="A162" t="str">
            <v>St. Kitts &amp; Nevis</v>
          </cell>
        </row>
        <row r="163">
          <cell r="A163" t="str">
            <v>Ukraine</v>
          </cell>
          <cell r="B163">
            <v>0.88</v>
          </cell>
          <cell r="C163">
            <v>0.12</v>
          </cell>
        </row>
        <row r="164">
          <cell r="A164" t="str">
            <v>Turks &amp; Caicos Islands</v>
          </cell>
        </row>
        <row r="165">
          <cell r="A165" t="str">
            <v>Guyana</v>
          </cell>
        </row>
        <row r="166">
          <cell r="A166" t="str">
            <v>Kyrgyzstan</v>
          </cell>
        </row>
        <row r="167">
          <cell r="A167" t="str">
            <v>Cayman Islands</v>
          </cell>
        </row>
        <row r="168">
          <cell r="A168" t="str">
            <v>Slovenia</v>
          </cell>
        </row>
        <row r="169">
          <cell r="A169" t="str">
            <v>Kazakhstan</v>
          </cell>
          <cell r="B169">
            <v>0.88</v>
          </cell>
          <cell r="C169">
            <v>0.12</v>
          </cell>
        </row>
        <row r="170">
          <cell r="A170" t="str">
            <v>Uzbekistan</v>
          </cell>
        </row>
        <row r="171">
          <cell r="A171" t="str">
            <v>Jordan</v>
          </cell>
        </row>
        <row r="172">
          <cell r="A172" t="str">
            <v>Suriname</v>
          </cell>
        </row>
        <row r="173">
          <cell r="A173" t="str">
            <v>Bosnia &amp; Herzegovina</v>
          </cell>
        </row>
        <row r="174">
          <cell r="A174" t="str">
            <v>Morocco</v>
          </cell>
          <cell r="B174">
            <v>0.9</v>
          </cell>
          <cell r="C174">
            <v>0.1</v>
          </cell>
        </row>
        <row r="175">
          <cell r="A175" t="str">
            <v>Spain</v>
          </cell>
          <cell r="B175">
            <v>0.87</v>
          </cell>
          <cell r="C175">
            <v>0.13</v>
          </cell>
        </row>
        <row r="176">
          <cell r="A176" t="str">
            <v>Bulgaria</v>
          </cell>
          <cell r="B176">
            <v>0.9</v>
          </cell>
          <cell r="C176">
            <v>0.1</v>
          </cell>
        </row>
        <row r="177">
          <cell r="A177" t="str">
            <v>Italy</v>
          </cell>
          <cell r="B177">
            <v>0.9</v>
          </cell>
          <cell r="C177">
            <v>0.1</v>
          </cell>
        </row>
        <row r="178">
          <cell r="A178" t="str">
            <v>Croatia</v>
          </cell>
          <cell r="B178">
            <v>0.89</v>
          </cell>
          <cell r="C178">
            <v>0.11</v>
          </cell>
        </row>
        <row r="179">
          <cell r="A179" t="str">
            <v>Puerto Rico</v>
          </cell>
        </row>
        <row r="180">
          <cell r="A180" t="str">
            <v>Thailand</v>
          </cell>
          <cell r="B180">
            <v>0.92</v>
          </cell>
          <cell r="C180">
            <v>0.08</v>
          </cell>
        </row>
        <row r="181">
          <cell r="A181" t="str">
            <v>Chile</v>
          </cell>
          <cell r="B181">
            <v>0.87</v>
          </cell>
          <cell r="C181">
            <v>0.13</v>
          </cell>
        </row>
        <row r="182">
          <cell r="A182" t="str">
            <v>Guam</v>
          </cell>
        </row>
        <row r="183">
          <cell r="A183" t="str">
            <v>Mali</v>
          </cell>
        </row>
        <row r="184">
          <cell r="A184" t="str">
            <v>Antigua &amp; Barbuda</v>
          </cell>
        </row>
        <row r="185">
          <cell r="A185" t="str">
            <v>Vietnam</v>
          </cell>
          <cell r="B185">
            <v>0.95</v>
          </cell>
          <cell r="C185">
            <v>0.05</v>
          </cell>
        </row>
        <row r="186">
          <cell r="A186" t="str">
            <v>Mauritania</v>
          </cell>
        </row>
        <row r="187">
          <cell r="A187" t="str">
            <v>Guinea</v>
          </cell>
        </row>
        <row r="188">
          <cell r="A188" t="str">
            <v>Algeria</v>
          </cell>
        </row>
        <row r="189">
          <cell r="A189" t="str">
            <v>U.S. Virgin Islands</v>
          </cell>
        </row>
        <row r="190">
          <cell r="A190" t="str">
            <v>Paraguay</v>
          </cell>
        </row>
        <row r="191">
          <cell r="A191" t="str">
            <v>Egypt</v>
          </cell>
          <cell r="B191">
            <v>0.91</v>
          </cell>
          <cell r="C191">
            <v>0.09</v>
          </cell>
        </row>
        <row r="192">
          <cell r="A192" t="str">
            <v>France</v>
          </cell>
          <cell r="B192">
            <v>0.83</v>
          </cell>
          <cell r="C192">
            <v>0.17</v>
          </cell>
        </row>
        <row r="193">
          <cell r="A193" t="str">
            <v>French Polynesia</v>
          </cell>
        </row>
        <row r="194">
          <cell r="A194" t="str">
            <v>Tajikistan</v>
          </cell>
        </row>
        <row r="195">
          <cell r="A195" t="str">
            <v>Uruguay</v>
          </cell>
        </row>
        <row r="196">
          <cell r="A196" t="str">
            <v>New Caledonia</v>
          </cell>
        </row>
        <row r="197">
          <cell r="A197" t="str">
            <v>Caribbean Netherlands</v>
          </cell>
        </row>
        <row r="198">
          <cell r="A198" t="str">
            <v>Montenegro</v>
          </cell>
        </row>
        <row r="199">
          <cell r="A199" t="str">
            <v>Kuwait</v>
          </cell>
        </row>
        <row r="200">
          <cell r="A200" t="str">
            <v>Greece</v>
          </cell>
          <cell r="B200">
            <v>0.89</v>
          </cell>
          <cell r="C200">
            <v>0.11</v>
          </cell>
        </row>
        <row r="201">
          <cell r="A201" t="str">
            <v>Saudi Arabia</v>
          </cell>
          <cell r="B201">
            <v>0.92</v>
          </cell>
          <cell r="C201">
            <v>0.08</v>
          </cell>
        </row>
        <row r="202">
          <cell r="A202" t="str">
            <v>Iran</v>
          </cell>
          <cell r="B202">
            <v>0.93</v>
          </cell>
          <cell r="C202">
            <v>7.0000000000000007E-2</v>
          </cell>
        </row>
        <row r="203">
          <cell r="A203" t="str">
            <v>French Guiana</v>
          </cell>
        </row>
        <row r="204">
          <cell r="A204" t="str">
            <v>Bahamas</v>
          </cell>
        </row>
        <row r="205">
          <cell r="A205" t="str">
            <v>Syria</v>
          </cell>
        </row>
        <row r="206">
          <cell r="A206" t="str">
            <v>Azerbaijan</v>
          </cell>
        </row>
        <row r="207">
          <cell r="A207" t="str">
            <v>Brazil</v>
          </cell>
          <cell r="B207">
            <v>0.89</v>
          </cell>
          <cell r="C207">
            <v>0.11</v>
          </cell>
        </row>
        <row r="208">
          <cell r="A208" t="str">
            <v>Sint Maarten</v>
          </cell>
        </row>
        <row r="209">
          <cell r="A209" t="str">
            <v>Aruba</v>
          </cell>
        </row>
        <row r="210">
          <cell r="A210" t="str">
            <v>Venezuela</v>
          </cell>
          <cell r="B210">
            <v>0.92</v>
          </cell>
          <cell r="C210">
            <v>0.08</v>
          </cell>
        </row>
        <row r="211">
          <cell r="A211" t="str">
            <v>Argentina</v>
          </cell>
          <cell r="B211">
            <v>0.86</v>
          </cell>
          <cell r="C211">
            <v>0.14000000000000001</v>
          </cell>
        </row>
        <row r="212">
          <cell r="A212" t="str">
            <v>Iraq</v>
          </cell>
        </row>
        <row r="213">
          <cell r="A213" t="str">
            <v>Georgia</v>
          </cell>
        </row>
        <row r="214">
          <cell r="A214" t="str">
            <v>RÃ©union</v>
          </cell>
        </row>
        <row r="215">
          <cell r="A215" t="str">
            <v>Turkmenistan</v>
          </cell>
        </row>
        <row r="216">
          <cell r="A216" t="str">
            <v>Guadeloupe</v>
          </cell>
        </row>
        <row r="217">
          <cell r="A217" t="str">
            <v>Greenland</v>
          </cell>
        </row>
        <row r="218">
          <cell r="A218" t="str">
            <v>Turkey</v>
          </cell>
          <cell r="B218">
            <v>0.84</v>
          </cell>
          <cell r="C218">
            <v>0.16</v>
          </cell>
        </row>
        <row r="219">
          <cell r="A219" t="str">
            <v>Western Sahara</v>
          </cell>
        </row>
        <row r="220">
          <cell r="A220" t="str">
            <v>Martinique</v>
          </cell>
        </row>
        <row r="221">
          <cell r="A221" t="str">
            <v>Mayotte</v>
          </cell>
        </row>
        <row r="222">
          <cell r="A222" t="str">
            <v>North Korea</v>
          </cell>
        </row>
        <row r="223">
          <cell r="A223" t="str">
            <v>Cook Islands</v>
          </cell>
        </row>
        <row r="224">
          <cell r="A224" t="str">
            <v>Nauru</v>
          </cell>
        </row>
        <row r="225">
          <cell r="A225" t="str">
            <v>Falkland Islands (Islas Malvinas)</v>
          </cell>
        </row>
        <row r="226">
          <cell r="A226" t="str">
            <v>Comoros</v>
          </cell>
        </row>
        <row r="227">
          <cell r="A227" t="str">
            <v>Palau</v>
          </cell>
        </row>
        <row r="228">
          <cell r="A228" t="str">
            <v>St. Pierre &amp; Miquelon</v>
          </cell>
        </row>
        <row r="229">
          <cell r="A229" t="str">
            <v>Marshall Islands</v>
          </cell>
        </row>
        <row r="230">
          <cell r="A230" t="str">
            <v>Svalbard &amp; Jan Mayen</v>
          </cell>
        </row>
        <row r="231">
          <cell r="A231" t="str">
            <v>American Samoa</v>
          </cell>
        </row>
        <row r="232">
          <cell r="A232" t="str">
            <v>Micronesia</v>
          </cell>
        </row>
        <row r="233">
          <cell r="A233" t="str">
            <v>St. Martin</v>
          </cell>
        </row>
        <row r="234">
          <cell r="A234" t="str">
            <v>Anguilla</v>
          </cell>
        </row>
        <row r="235">
          <cell r="A235" t="str">
            <v>St. BarthÃ©lemy</v>
          </cell>
        </row>
        <row r="236">
          <cell r="A236" t="str">
            <v>Antarctica</v>
          </cell>
        </row>
        <row r="237">
          <cell r="A237" t="str">
            <v>French Southern Territories</v>
          </cell>
        </row>
        <row r="238">
          <cell r="A238" t="str">
            <v>Bouvet Island</v>
          </cell>
        </row>
        <row r="239">
          <cell r="A239" t="str">
            <v>Cocos (Keeling) Islands</v>
          </cell>
        </row>
        <row r="240">
          <cell r="A240" t="str">
            <v>Christmas Island</v>
          </cell>
        </row>
        <row r="241">
          <cell r="A241" t="str">
            <v>Heard &amp; McDonald Islands</v>
          </cell>
        </row>
        <row r="242">
          <cell r="A242" t="str">
            <v>British Indian Ocean Territory</v>
          </cell>
        </row>
        <row r="243">
          <cell r="A243" t="str">
            <v>Kiribati</v>
          </cell>
        </row>
        <row r="244">
          <cell r="A244" t="str">
            <v>Montserrat</v>
          </cell>
        </row>
        <row r="245">
          <cell r="A245" t="str">
            <v>Norfolk Island</v>
          </cell>
        </row>
        <row r="246">
          <cell r="A246" t="str">
            <v>Niue</v>
          </cell>
        </row>
        <row r="247">
          <cell r="A247" t="str">
            <v>Pitcairn Islands</v>
          </cell>
        </row>
        <row r="248">
          <cell r="A248" t="str">
            <v>South Georgia &amp; South Sandwich Islands</v>
          </cell>
        </row>
        <row r="249">
          <cell r="A249" t="str">
            <v>Tokelau</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1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77)"/>
    </sheetNames>
    <sheetDataSet>
      <sheetData sheetId="0" refreshError="1">
        <row r="1">
          <cell r="A1" t="str">
            <v>Category: All categories</v>
          </cell>
        </row>
        <row r="3">
          <cell r="A3" t="str">
            <v>Country</v>
          </cell>
          <cell r="B3" t="str">
            <v>Database: (2018)</v>
          </cell>
          <cell r="C3" t="str">
            <v>Stack: (2018)</v>
          </cell>
        </row>
        <row r="4">
          <cell r="A4" t="str">
            <v>Eritrea</v>
          </cell>
        </row>
        <row r="5">
          <cell r="A5" t="str">
            <v>China</v>
          </cell>
          <cell r="B5">
            <v>0.78</v>
          </cell>
          <cell r="C5">
            <v>0.22</v>
          </cell>
        </row>
        <row r="6">
          <cell r="A6" t="str">
            <v>Cuba</v>
          </cell>
        </row>
        <row r="7">
          <cell r="A7" t="str">
            <v>Ethiopia</v>
          </cell>
        </row>
        <row r="8">
          <cell r="A8" t="str">
            <v>St. Helena</v>
          </cell>
          <cell r="B8">
            <v>0.89</v>
          </cell>
          <cell r="C8">
            <v>0.11</v>
          </cell>
        </row>
        <row r="9">
          <cell r="A9" t="str">
            <v>Zimbabwe</v>
          </cell>
        </row>
        <row r="10">
          <cell r="A10" t="str">
            <v>Botswana</v>
          </cell>
        </row>
        <row r="11">
          <cell r="A11" t="str">
            <v>Malawi</v>
          </cell>
        </row>
        <row r="12">
          <cell r="A12" t="str">
            <v>Papua New Guinea</v>
          </cell>
        </row>
        <row r="13">
          <cell r="A13" t="str">
            <v>Rwanda</v>
          </cell>
        </row>
        <row r="14">
          <cell r="A14" t="str">
            <v>Madagascar</v>
          </cell>
        </row>
        <row r="15">
          <cell r="A15" t="str">
            <v>Guinea-Bissau</v>
          </cell>
        </row>
        <row r="16">
          <cell r="A16" t="str">
            <v>Myanmar (Burma)</v>
          </cell>
        </row>
        <row r="17">
          <cell r="A17" t="str">
            <v>Samoa</v>
          </cell>
        </row>
        <row r="18">
          <cell r="A18" t="str">
            <v>Central African Republic</v>
          </cell>
        </row>
        <row r="19">
          <cell r="A19" t="str">
            <v>SÃ£o TomÃ© &amp; PrÃ­ncipe</v>
          </cell>
        </row>
        <row r="20">
          <cell r="A20" t="str">
            <v>Eswatini</v>
          </cell>
        </row>
        <row r="21">
          <cell r="A21" t="str">
            <v>Timor-Leste</v>
          </cell>
        </row>
        <row r="22">
          <cell r="A22" t="str">
            <v>Nepal</v>
          </cell>
        </row>
        <row r="23">
          <cell r="A23" t="str">
            <v>Djibouti</v>
          </cell>
        </row>
        <row r="24">
          <cell r="A24" t="str">
            <v>South Korea</v>
          </cell>
          <cell r="B24">
            <v>0.78</v>
          </cell>
          <cell r="C24">
            <v>0.22</v>
          </cell>
        </row>
        <row r="25">
          <cell r="A25" t="str">
            <v>Afghanistan</v>
          </cell>
        </row>
        <row r="26">
          <cell r="A26" t="str">
            <v>Lesotho</v>
          </cell>
        </row>
        <row r="27">
          <cell r="A27" t="str">
            <v>Sri Lanka</v>
          </cell>
          <cell r="B27">
            <v>0.91</v>
          </cell>
          <cell r="C27">
            <v>0.09</v>
          </cell>
        </row>
        <row r="28">
          <cell r="A28" t="str">
            <v>Singapore</v>
          </cell>
          <cell r="B28">
            <v>0.81</v>
          </cell>
          <cell r="C28">
            <v>0.19</v>
          </cell>
        </row>
        <row r="29">
          <cell r="A29" t="str">
            <v>Cameroon</v>
          </cell>
        </row>
        <row r="30">
          <cell r="A30" t="str">
            <v>Uganda</v>
          </cell>
        </row>
        <row r="31">
          <cell r="A31" t="str">
            <v>Bhutan</v>
          </cell>
        </row>
        <row r="32">
          <cell r="A32" t="str">
            <v>Burundi</v>
          </cell>
        </row>
        <row r="33">
          <cell r="A33" t="str">
            <v>Angola</v>
          </cell>
        </row>
        <row r="34">
          <cell r="A34" t="str">
            <v>Togo</v>
          </cell>
        </row>
        <row r="35">
          <cell r="A35" t="str">
            <v>Cape Verde</v>
          </cell>
        </row>
        <row r="36">
          <cell r="A36" t="str">
            <v>Liechtenstein</v>
          </cell>
        </row>
        <row r="37">
          <cell r="A37" t="str">
            <v>Equatorial Guinea</v>
          </cell>
        </row>
        <row r="38">
          <cell r="A38" t="str">
            <v>Fiji</v>
          </cell>
        </row>
        <row r="39">
          <cell r="A39" t="str">
            <v>Solomon Islands</v>
          </cell>
        </row>
        <row r="40">
          <cell r="A40" t="str">
            <v>Pakistan</v>
          </cell>
          <cell r="B40">
            <v>0.88</v>
          </cell>
          <cell r="C40">
            <v>0.12</v>
          </cell>
        </row>
        <row r="41">
          <cell r="A41" t="str">
            <v>Mauritius</v>
          </cell>
        </row>
        <row r="42">
          <cell r="A42" t="str">
            <v>Vanuatu</v>
          </cell>
        </row>
        <row r="43">
          <cell r="A43" t="str">
            <v>Luxembourg</v>
          </cell>
        </row>
        <row r="44">
          <cell r="A44" t="str">
            <v>Congo - Kinshasa</v>
          </cell>
        </row>
        <row r="45">
          <cell r="A45" t="str">
            <v>Ghana</v>
          </cell>
        </row>
        <row r="46">
          <cell r="A46" t="str">
            <v>Benin</v>
          </cell>
        </row>
        <row r="47">
          <cell r="A47" t="str">
            <v>Mozambique</v>
          </cell>
        </row>
        <row r="48">
          <cell r="A48" t="str">
            <v>South Africa</v>
          </cell>
          <cell r="B48">
            <v>0.91</v>
          </cell>
          <cell r="C48">
            <v>0.09</v>
          </cell>
        </row>
        <row r="49">
          <cell r="A49" t="str">
            <v>Estonia</v>
          </cell>
        </row>
        <row r="50">
          <cell r="A50" t="str">
            <v>Somalia</v>
          </cell>
        </row>
        <row r="51">
          <cell r="A51" t="str">
            <v>El Salvador</v>
          </cell>
        </row>
        <row r="52">
          <cell r="A52" t="str">
            <v>Liberia</v>
          </cell>
        </row>
        <row r="53">
          <cell r="A53" t="str">
            <v>Congo - Brazzaville</v>
          </cell>
        </row>
        <row r="54">
          <cell r="A54" t="str">
            <v>Colombia</v>
          </cell>
          <cell r="B54">
            <v>0.98</v>
          </cell>
          <cell r="C54">
            <v>0.02</v>
          </cell>
        </row>
        <row r="55">
          <cell r="A55" t="str">
            <v>Kenya</v>
          </cell>
          <cell r="B55">
            <v>0.93</v>
          </cell>
          <cell r="C55">
            <v>7.0000000000000007E-2</v>
          </cell>
        </row>
        <row r="56">
          <cell r="A56" t="str">
            <v>Tunisia</v>
          </cell>
        </row>
        <row r="57">
          <cell r="A57" t="str">
            <v>Niger</v>
          </cell>
        </row>
        <row r="58">
          <cell r="A58" t="str">
            <v>Gambia</v>
          </cell>
        </row>
        <row r="59">
          <cell r="A59" t="str">
            <v>Tanzania</v>
          </cell>
        </row>
        <row r="60">
          <cell r="A60" t="str">
            <v>Latvia</v>
          </cell>
        </row>
        <row r="61">
          <cell r="A61" t="str">
            <v>New Zealand</v>
          </cell>
          <cell r="B61">
            <v>0.83</v>
          </cell>
          <cell r="C61">
            <v>0.17</v>
          </cell>
        </row>
        <row r="62">
          <cell r="A62" t="str">
            <v>Hong Kong</v>
          </cell>
          <cell r="B62">
            <v>0.76</v>
          </cell>
          <cell r="C62">
            <v>0.24</v>
          </cell>
        </row>
        <row r="63">
          <cell r="A63" t="str">
            <v>Jamaica</v>
          </cell>
        </row>
        <row r="64">
          <cell r="A64" t="str">
            <v>Czechia</v>
          </cell>
          <cell r="B64">
            <v>0.76</v>
          </cell>
          <cell r="C64">
            <v>0.24</v>
          </cell>
        </row>
        <row r="65">
          <cell r="A65" t="str">
            <v>Malta</v>
          </cell>
        </row>
        <row r="66">
          <cell r="A66" t="str">
            <v>Canada</v>
          </cell>
          <cell r="B66">
            <v>0.83</v>
          </cell>
          <cell r="C66">
            <v>0.17</v>
          </cell>
        </row>
        <row r="67">
          <cell r="A67" t="str">
            <v>Gibraltar</v>
          </cell>
        </row>
        <row r="68">
          <cell r="A68" t="str">
            <v>India</v>
          </cell>
          <cell r="B68">
            <v>0.86</v>
          </cell>
          <cell r="C68">
            <v>0.14000000000000001</v>
          </cell>
        </row>
        <row r="69">
          <cell r="A69" t="str">
            <v>Philippines</v>
          </cell>
          <cell r="B69">
            <v>0.86</v>
          </cell>
          <cell r="C69">
            <v>0.14000000000000001</v>
          </cell>
        </row>
        <row r="70">
          <cell r="A70" t="str">
            <v>Namibia</v>
          </cell>
        </row>
        <row r="71">
          <cell r="A71" t="str">
            <v>Chad</v>
          </cell>
        </row>
        <row r="72">
          <cell r="A72" t="str">
            <v>Senegal</v>
          </cell>
        </row>
        <row r="73">
          <cell r="A73" t="str">
            <v>Brunei</v>
          </cell>
        </row>
        <row r="74">
          <cell r="A74" t="str">
            <v>Zambia</v>
          </cell>
        </row>
        <row r="75">
          <cell r="A75" t="str">
            <v>St. Vincent &amp; Grenadines</v>
          </cell>
        </row>
        <row r="76">
          <cell r="A76" t="str">
            <v>Sudan</v>
          </cell>
        </row>
        <row r="77">
          <cell r="A77" t="str">
            <v>British Virgin Islands</v>
          </cell>
        </row>
        <row r="78">
          <cell r="A78" t="str">
            <v>Nigeria</v>
          </cell>
          <cell r="B78">
            <v>0.94</v>
          </cell>
          <cell r="C78">
            <v>0.06</v>
          </cell>
        </row>
        <row r="79">
          <cell r="A79" t="str">
            <v>Switzerland</v>
          </cell>
          <cell r="B79">
            <v>0.88</v>
          </cell>
          <cell r="C79">
            <v>0.12</v>
          </cell>
        </row>
        <row r="80">
          <cell r="A80" t="str">
            <v>South Sudan</v>
          </cell>
        </row>
        <row r="81">
          <cell r="A81" t="str">
            <v>Australia</v>
          </cell>
          <cell r="B81">
            <v>0.82</v>
          </cell>
          <cell r="C81">
            <v>0.18</v>
          </cell>
        </row>
        <row r="82">
          <cell r="A82" t="str">
            <v>Belize</v>
          </cell>
        </row>
        <row r="83">
          <cell r="A83" t="str">
            <v>Ireland</v>
          </cell>
          <cell r="B83">
            <v>0.83</v>
          </cell>
          <cell r="C83">
            <v>0.17</v>
          </cell>
        </row>
        <row r="84">
          <cell r="A84" t="str">
            <v>Sierra Leone</v>
          </cell>
        </row>
        <row r="85">
          <cell r="A85" t="str">
            <v>Guatemala</v>
          </cell>
        </row>
        <row r="86">
          <cell r="A86" t="str">
            <v>Taiwan</v>
          </cell>
          <cell r="B86">
            <v>0.62</v>
          </cell>
          <cell r="C86">
            <v>0.38</v>
          </cell>
        </row>
        <row r="87">
          <cell r="A87" t="str">
            <v>United States</v>
          </cell>
          <cell r="B87">
            <v>0.82</v>
          </cell>
          <cell r="C87">
            <v>0.18</v>
          </cell>
        </row>
        <row r="88">
          <cell r="A88" t="str">
            <v>Ecuador</v>
          </cell>
        </row>
        <row r="89">
          <cell r="A89" t="str">
            <v>Dominica</v>
          </cell>
        </row>
        <row r="90">
          <cell r="A90" t="str">
            <v>Jersey</v>
          </cell>
        </row>
        <row r="91">
          <cell r="A91" t="str">
            <v>Iceland</v>
          </cell>
        </row>
        <row r="92">
          <cell r="A92" t="str">
            <v>Lebanon</v>
          </cell>
        </row>
        <row r="93">
          <cell r="A93" t="str">
            <v>Honduras</v>
          </cell>
        </row>
        <row r="94">
          <cell r="A94" t="str">
            <v>Costa Rica</v>
          </cell>
        </row>
        <row r="95">
          <cell r="A95" t="str">
            <v>Maldives</v>
          </cell>
        </row>
        <row r="96">
          <cell r="A96" t="str">
            <v>Monaco</v>
          </cell>
        </row>
        <row r="97">
          <cell r="A97" t="str">
            <v>Cyprus</v>
          </cell>
        </row>
        <row r="98">
          <cell r="A98" t="str">
            <v>Mongolia</v>
          </cell>
        </row>
        <row r="99">
          <cell r="A99" t="str">
            <v>CÃ´te dâ€™Ivoire</v>
          </cell>
        </row>
        <row r="100">
          <cell r="A100" t="str">
            <v>Malaysia</v>
          </cell>
          <cell r="B100">
            <v>0.87</v>
          </cell>
          <cell r="C100">
            <v>0.13</v>
          </cell>
        </row>
        <row r="101">
          <cell r="A101" t="str">
            <v>U.S. Virgin Islands</v>
          </cell>
        </row>
        <row r="102">
          <cell r="A102" t="str">
            <v>Bangladesh</v>
          </cell>
          <cell r="B102">
            <v>0.89</v>
          </cell>
          <cell r="C102">
            <v>0.11</v>
          </cell>
        </row>
        <row r="103">
          <cell r="A103" t="str">
            <v>Yemen</v>
          </cell>
        </row>
        <row r="104">
          <cell r="A104" t="str">
            <v>Portugal</v>
          </cell>
          <cell r="B104">
            <v>0.91</v>
          </cell>
          <cell r="C104">
            <v>0.09</v>
          </cell>
        </row>
        <row r="105">
          <cell r="A105" t="str">
            <v>Isle of Man</v>
          </cell>
        </row>
        <row r="106">
          <cell r="A106" t="str">
            <v>Japan</v>
          </cell>
          <cell r="B106">
            <v>0.85</v>
          </cell>
          <cell r="C106">
            <v>0.15</v>
          </cell>
        </row>
        <row r="107">
          <cell r="A107" t="str">
            <v>Albania</v>
          </cell>
        </row>
        <row r="108">
          <cell r="A108" t="str">
            <v>Netherlands</v>
          </cell>
          <cell r="B108">
            <v>0.83</v>
          </cell>
          <cell r="C108">
            <v>0.17</v>
          </cell>
        </row>
        <row r="109">
          <cell r="A109" t="str">
            <v>North Macedonia</v>
          </cell>
        </row>
        <row r="110">
          <cell r="A110" t="str">
            <v>San Marino</v>
          </cell>
        </row>
        <row r="111">
          <cell r="A111" t="str">
            <v>Tonga</v>
          </cell>
        </row>
        <row r="112">
          <cell r="A112" t="str">
            <v>Germany</v>
          </cell>
          <cell r="B112">
            <v>0.88</v>
          </cell>
          <cell r="C112">
            <v>0.12</v>
          </cell>
        </row>
        <row r="113">
          <cell r="A113" t="str">
            <v>Panama</v>
          </cell>
        </row>
        <row r="114">
          <cell r="A114" t="str">
            <v>United Arab Emirates</v>
          </cell>
          <cell r="B114">
            <v>0.87</v>
          </cell>
          <cell r="C114">
            <v>0.13</v>
          </cell>
        </row>
        <row r="115">
          <cell r="A115" t="str">
            <v>Haiti</v>
          </cell>
        </row>
        <row r="116">
          <cell r="A116" t="str">
            <v>Macao</v>
          </cell>
        </row>
        <row r="117">
          <cell r="A117" t="str">
            <v>Nicaragua</v>
          </cell>
        </row>
        <row r="118">
          <cell r="A118" t="str">
            <v>Austria</v>
          </cell>
          <cell r="B118">
            <v>0.88</v>
          </cell>
          <cell r="C118">
            <v>0.12</v>
          </cell>
        </row>
        <row r="119">
          <cell r="A119" t="str">
            <v>Denmark</v>
          </cell>
          <cell r="B119">
            <v>0.85</v>
          </cell>
          <cell r="C119">
            <v>0.15</v>
          </cell>
        </row>
        <row r="120">
          <cell r="A120" t="str">
            <v>Peru</v>
          </cell>
          <cell r="B120">
            <v>0.97</v>
          </cell>
          <cell r="C120">
            <v>0.03</v>
          </cell>
        </row>
        <row r="121">
          <cell r="A121" t="str">
            <v>Mexico</v>
          </cell>
          <cell r="B121">
            <v>0.96</v>
          </cell>
          <cell r="C121">
            <v>0.04</v>
          </cell>
        </row>
        <row r="122">
          <cell r="A122" t="str">
            <v>United Kingdom</v>
          </cell>
          <cell r="B122">
            <v>0.82</v>
          </cell>
          <cell r="C122">
            <v>0.18</v>
          </cell>
        </row>
        <row r="123">
          <cell r="A123" t="str">
            <v>Libya</v>
          </cell>
        </row>
        <row r="124">
          <cell r="A124" t="str">
            <v>Barbados</v>
          </cell>
        </row>
        <row r="125">
          <cell r="A125" t="str">
            <v>Bolivia</v>
          </cell>
        </row>
        <row r="126">
          <cell r="A126" t="str">
            <v>Belarus</v>
          </cell>
          <cell r="B126">
            <v>0.86</v>
          </cell>
          <cell r="C126">
            <v>0.14000000000000001</v>
          </cell>
        </row>
        <row r="127">
          <cell r="A127" t="str">
            <v>Indonesia</v>
          </cell>
          <cell r="B127">
            <v>0.94</v>
          </cell>
          <cell r="C127">
            <v>0.06</v>
          </cell>
        </row>
        <row r="128">
          <cell r="A128" t="str">
            <v>Andorra</v>
          </cell>
        </row>
        <row r="129">
          <cell r="A129" t="str">
            <v>Faroe Islands</v>
          </cell>
        </row>
        <row r="130">
          <cell r="A130" t="str">
            <v>Cambodia</v>
          </cell>
        </row>
        <row r="131">
          <cell r="A131" t="str">
            <v>Grenada</v>
          </cell>
        </row>
        <row r="132">
          <cell r="A132" t="str">
            <v>Gabon</v>
          </cell>
        </row>
        <row r="133">
          <cell r="A133" t="str">
            <v>Laos</v>
          </cell>
        </row>
        <row r="134">
          <cell r="A134" t="str">
            <v>Belgium</v>
          </cell>
          <cell r="B134">
            <v>0.89</v>
          </cell>
          <cell r="C134">
            <v>0.11</v>
          </cell>
        </row>
        <row r="135">
          <cell r="A135" t="str">
            <v>St. Kitts &amp; Nevis</v>
          </cell>
        </row>
        <row r="136">
          <cell r="A136" t="str">
            <v>Oman</v>
          </cell>
        </row>
        <row r="137">
          <cell r="A137" t="str">
            <v>Moldova</v>
          </cell>
        </row>
        <row r="138">
          <cell r="A138" t="str">
            <v>Hungary</v>
          </cell>
          <cell r="B138">
            <v>0.91</v>
          </cell>
          <cell r="C138">
            <v>0.09</v>
          </cell>
        </row>
        <row r="139">
          <cell r="A139" t="str">
            <v>Trinidad &amp; Tobago</v>
          </cell>
        </row>
        <row r="140">
          <cell r="A140" t="str">
            <v>Lithuania</v>
          </cell>
          <cell r="B140">
            <v>0.85</v>
          </cell>
          <cell r="C140">
            <v>0.15</v>
          </cell>
        </row>
        <row r="141">
          <cell r="A141" t="str">
            <v>Cayman Islands</v>
          </cell>
        </row>
        <row r="142">
          <cell r="A142" t="str">
            <v>Bahrain</v>
          </cell>
        </row>
        <row r="143">
          <cell r="A143" t="str">
            <v>Kosovo</v>
          </cell>
        </row>
        <row r="144">
          <cell r="A144" t="str">
            <v>Guernsey</v>
          </cell>
        </row>
        <row r="145">
          <cell r="A145" t="str">
            <v>Dominican Republic</v>
          </cell>
        </row>
        <row r="146">
          <cell r="A146" t="str">
            <v>Finland</v>
          </cell>
          <cell r="B146">
            <v>0.82</v>
          </cell>
          <cell r="C146">
            <v>0.18</v>
          </cell>
        </row>
        <row r="147">
          <cell r="A147" t="str">
            <v>St. Lucia</v>
          </cell>
        </row>
        <row r="148">
          <cell r="A148" t="str">
            <v>Bermuda</v>
          </cell>
        </row>
        <row r="149">
          <cell r="A149" t="str">
            <v>Sweden</v>
          </cell>
          <cell r="B149">
            <v>0.8</v>
          </cell>
          <cell r="C149">
            <v>0.2</v>
          </cell>
        </row>
        <row r="150">
          <cell r="A150" t="str">
            <v>Russia</v>
          </cell>
          <cell r="B150">
            <v>0.88</v>
          </cell>
          <cell r="C150">
            <v>0.12</v>
          </cell>
        </row>
        <row r="151">
          <cell r="A151" t="str">
            <v>Guyana</v>
          </cell>
        </row>
        <row r="152">
          <cell r="A152" t="str">
            <v>Armenia</v>
          </cell>
        </row>
        <row r="153">
          <cell r="A153" t="str">
            <v>Qatar</v>
          </cell>
        </row>
        <row r="154">
          <cell r="A154" t="str">
            <v>Palestine</v>
          </cell>
        </row>
        <row r="155">
          <cell r="A155" t="str">
            <v>Slovakia</v>
          </cell>
          <cell r="B155">
            <v>0.74</v>
          </cell>
          <cell r="C155">
            <v>0.26</v>
          </cell>
        </row>
        <row r="156">
          <cell r="A156" t="str">
            <v>Suriname</v>
          </cell>
        </row>
        <row r="157">
          <cell r="A157" t="str">
            <v>Serbia</v>
          </cell>
          <cell r="B157">
            <v>0.82</v>
          </cell>
          <cell r="C157">
            <v>0.18</v>
          </cell>
        </row>
        <row r="158">
          <cell r="A158" t="str">
            <v>Turks &amp; Caicos Islands</v>
          </cell>
        </row>
        <row r="159">
          <cell r="A159" t="str">
            <v>Romania</v>
          </cell>
          <cell r="B159">
            <v>0.86</v>
          </cell>
          <cell r="C159">
            <v>0.14000000000000001</v>
          </cell>
        </row>
        <row r="160">
          <cell r="A160" t="str">
            <v>Poland</v>
          </cell>
          <cell r="B160">
            <v>0.86</v>
          </cell>
          <cell r="C160">
            <v>0.14000000000000001</v>
          </cell>
        </row>
        <row r="161">
          <cell r="A161" t="str">
            <v>Israel</v>
          </cell>
          <cell r="B161">
            <v>0.76</v>
          </cell>
          <cell r="C161">
            <v>0.24</v>
          </cell>
        </row>
        <row r="162">
          <cell r="A162" t="str">
            <v>Norway</v>
          </cell>
          <cell r="B162">
            <v>0.8</v>
          </cell>
          <cell r="C162">
            <v>0.2</v>
          </cell>
        </row>
        <row r="163">
          <cell r="A163" t="str">
            <v>Burkina Faso</v>
          </cell>
        </row>
        <row r="164">
          <cell r="A164" t="str">
            <v>French Polynesia</v>
          </cell>
        </row>
        <row r="165">
          <cell r="A165" t="str">
            <v>Mali</v>
          </cell>
        </row>
        <row r="166">
          <cell r="A166" t="str">
            <v>Mauritania</v>
          </cell>
        </row>
        <row r="167">
          <cell r="A167" t="str">
            <v>Seychelles</v>
          </cell>
        </row>
        <row r="168">
          <cell r="A168" t="str">
            <v>Ukraine</v>
          </cell>
          <cell r="B168">
            <v>0.88</v>
          </cell>
          <cell r="C168">
            <v>0.12</v>
          </cell>
        </row>
        <row r="169">
          <cell r="A169" t="str">
            <v>CuraÃ§ao</v>
          </cell>
        </row>
        <row r="170">
          <cell r="A170" t="str">
            <v>Uzbekistan</v>
          </cell>
        </row>
        <row r="171">
          <cell r="A171" t="str">
            <v>Morocco</v>
          </cell>
        </row>
        <row r="172">
          <cell r="A172" t="str">
            <v>Kazakhstan</v>
          </cell>
          <cell r="B172">
            <v>0.92</v>
          </cell>
          <cell r="C172">
            <v>0.08</v>
          </cell>
        </row>
        <row r="173">
          <cell r="A173" t="str">
            <v>Ã…land Islands</v>
          </cell>
        </row>
        <row r="174">
          <cell r="A174" t="str">
            <v>Italy</v>
          </cell>
          <cell r="B174">
            <v>0.91</v>
          </cell>
          <cell r="C174">
            <v>0.09</v>
          </cell>
        </row>
        <row r="175">
          <cell r="A175" t="str">
            <v>Slovenia</v>
          </cell>
        </row>
        <row r="176">
          <cell r="A176" t="str">
            <v>Spain</v>
          </cell>
          <cell r="B176">
            <v>0.93</v>
          </cell>
          <cell r="C176">
            <v>7.0000000000000007E-2</v>
          </cell>
        </row>
        <row r="177">
          <cell r="A177" t="str">
            <v>Jordan</v>
          </cell>
        </row>
        <row r="178">
          <cell r="A178" t="str">
            <v>Thailand</v>
          </cell>
          <cell r="B178">
            <v>0.9</v>
          </cell>
          <cell r="C178">
            <v>0.1</v>
          </cell>
        </row>
        <row r="179">
          <cell r="A179" t="str">
            <v>Bulgaria</v>
          </cell>
          <cell r="B179">
            <v>0.81</v>
          </cell>
          <cell r="C179">
            <v>0.19</v>
          </cell>
        </row>
        <row r="180">
          <cell r="A180" t="str">
            <v>Guinea</v>
          </cell>
        </row>
        <row r="181">
          <cell r="A181" t="str">
            <v>Croatia</v>
          </cell>
          <cell r="B181">
            <v>0.84</v>
          </cell>
          <cell r="C181">
            <v>0.16</v>
          </cell>
        </row>
        <row r="182">
          <cell r="A182" t="str">
            <v>Chile</v>
          </cell>
          <cell r="B182">
            <v>0.94</v>
          </cell>
          <cell r="C182">
            <v>0.06</v>
          </cell>
        </row>
        <row r="183">
          <cell r="A183" t="str">
            <v>Bosnia &amp; Herzegovina</v>
          </cell>
        </row>
        <row r="184">
          <cell r="A184" t="str">
            <v>Antigua &amp; Barbuda</v>
          </cell>
        </row>
        <row r="185">
          <cell r="A185" t="str">
            <v>Kyrgyzstan</v>
          </cell>
        </row>
        <row r="186">
          <cell r="A186" t="str">
            <v>Puerto Rico</v>
          </cell>
        </row>
        <row r="187">
          <cell r="A187" t="str">
            <v>Paraguay</v>
          </cell>
        </row>
        <row r="188">
          <cell r="A188" t="str">
            <v>Algeria</v>
          </cell>
        </row>
        <row r="189">
          <cell r="A189" t="str">
            <v>Vietnam</v>
          </cell>
          <cell r="B189">
            <v>0.91</v>
          </cell>
          <cell r="C189">
            <v>0.09</v>
          </cell>
        </row>
        <row r="190">
          <cell r="A190" t="str">
            <v>Sint Maarten</v>
          </cell>
        </row>
        <row r="191">
          <cell r="A191" t="str">
            <v>Egypt</v>
          </cell>
          <cell r="B191">
            <v>0.91</v>
          </cell>
          <cell r="C191">
            <v>0.09</v>
          </cell>
        </row>
        <row r="192">
          <cell r="A192" t="str">
            <v>France</v>
          </cell>
          <cell r="B192">
            <v>0.93</v>
          </cell>
          <cell r="C192">
            <v>7.0000000000000007E-2</v>
          </cell>
        </row>
        <row r="193">
          <cell r="A193" t="str">
            <v>New Caledonia</v>
          </cell>
        </row>
        <row r="194">
          <cell r="A194" t="str">
            <v>Uruguay</v>
          </cell>
        </row>
        <row r="195">
          <cell r="A195" t="str">
            <v>Montenegro</v>
          </cell>
        </row>
        <row r="196">
          <cell r="A196" t="str">
            <v>Northern Mariana Islands</v>
          </cell>
        </row>
        <row r="197">
          <cell r="A197" t="str">
            <v>Kuwait</v>
          </cell>
        </row>
        <row r="198">
          <cell r="A198" t="str">
            <v>Saudi Arabia</v>
          </cell>
          <cell r="B198">
            <v>0.91</v>
          </cell>
          <cell r="C198">
            <v>0.09</v>
          </cell>
        </row>
        <row r="199">
          <cell r="A199" t="str">
            <v>Greece</v>
          </cell>
          <cell r="B199">
            <v>0.82</v>
          </cell>
          <cell r="C199">
            <v>0.18</v>
          </cell>
        </row>
        <row r="200">
          <cell r="A200" t="str">
            <v>Tajikistan</v>
          </cell>
        </row>
        <row r="201">
          <cell r="A201" t="str">
            <v>Bahamas</v>
          </cell>
        </row>
        <row r="202">
          <cell r="A202" t="str">
            <v>Guam</v>
          </cell>
        </row>
        <row r="203">
          <cell r="A203" t="str">
            <v>Aruba</v>
          </cell>
        </row>
        <row r="204">
          <cell r="A204" t="str">
            <v>Iran</v>
          </cell>
          <cell r="B204">
            <v>0.78</v>
          </cell>
          <cell r="C204">
            <v>0.22</v>
          </cell>
        </row>
        <row r="205">
          <cell r="A205" t="str">
            <v>Syria</v>
          </cell>
        </row>
        <row r="206">
          <cell r="A206" t="str">
            <v>Caribbean Netherlands</v>
          </cell>
        </row>
        <row r="207">
          <cell r="A207" t="str">
            <v>Azerbaijan</v>
          </cell>
        </row>
        <row r="208">
          <cell r="A208" t="str">
            <v>Brazil</v>
          </cell>
          <cell r="B208">
            <v>0.93</v>
          </cell>
          <cell r="C208">
            <v>7.0000000000000007E-2</v>
          </cell>
        </row>
        <row r="209">
          <cell r="A209" t="str">
            <v>French Guiana</v>
          </cell>
        </row>
        <row r="210">
          <cell r="A210" t="str">
            <v>Argentina</v>
          </cell>
          <cell r="B210">
            <v>0.93</v>
          </cell>
          <cell r="C210">
            <v>7.0000000000000007E-2</v>
          </cell>
        </row>
        <row r="211">
          <cell r="A211" t="str">
            <v>Venezuela</v>
          </cell>
        </row>
        <row r="212">
          <cell r="A212" t="str">
            <v>Georgia</v>
          </cell>
        </row>
        <row r="213">
          <cell r="A213" t="str">
            <v>Turkmenistan</v>
          </cell>
        </row>
        <row r="214">
          <cell r="A214" t="str">
            <v>Iraq</v>
          </cell>
        </row>
        <row r="215">
          <cell r="A215" t="str">
            <v>RÃ©union</v>
          </cell>
        </row>
        <row r="216">
          <cell r="A216" t="str">
            <v>Guadeloupe</v>
          </cell>
        </row>
        <row r="217">
          <cell r="A217" t="str">
            <v>Greenland</v>
          </cell>
        </row>
        <row r="218">
          <cell r="A218" t="str">
            <v>Mayotte</v>
          </cell>
        </row>
        <row r="219">
          <cell r="A219" t="str">
            <v>Turkey</v>
          </cell>
          <cell r="B219">
            <v>0.89</v>
          </cell>
          <cell r="C219">
            <v>0.11</v>
          </cell>
        </row>
        <row r="220">
          <cell r="A220" t="str">
            <v>Martinique</v>
          </cell>
        </row>
        <row r="221">
          <cell r="A221" t="str">
            <v>Western Sahara</v>
          </cell>
        </row>
        <row r="222">
          <cell r="A222" t="str">
            <v>North Korea</v>
          </cell>
        </row>
        <row r="223">
          <cell r="A223" t="str">
            <v>Cook Islands</v>
          </cell>
        </row>
        <row r="224">
          <cell r="A224" t="str">
            <v>Falkland Islands (Islas Malvinas)</v>
          </cell>
        </row>
        <row r="225">
          <cell r="A225" t="str">
            <v>Marshall Islands</v>
          </cell>
        </row>
        <row r="226">
          <cell r="A226" t="str">
            <v>Comoros</v>
          </cell>
        </row>
        <row r="227">
          <cell r="A227" t="str">
            <v>Svalbard &amp; Jan Mayen</v>
          </cell>
        </row>
        <row r="228">
          <cell r="A228" t="str">
            <v>Palau</v>
          </cell>
        </row>
        <row r="229">
          <cell r="A229" t="str">
            <v>Micronesia</v>
          </cell>
        </row>
        <row r="230">
          <cell r="A230" t="str">
            <v>American Samoa</v>
          </cell>
        </row>
        <row r="231">
          <cell r="A231" t="str">
            <v>Anguilla</v>
          </cell>
        </row>
        <row r="232">
          <cell r="A232" t="str">
            <v>St. Pierre &amp; Miquelon</v>
          </cell>
        </row>
        <row r="233">
          <cell r="A233" t="str">
            <v>St. Martin</v>
          </cell>
        </row>
        <row r="234">
          <cell r="A234" t="str">
            <v>St. BarthÃ©lemy</v>
          </cell>
        </row>
        <row r="235">
          <cell r="A235" t="str">
            <v>Antarctica</v>
          </cell>
        </row>
        <row r="236">
          <cell r="A236" t="str">
            <v>French Southern Territories</v>
          </cell>
        </row>
        <row r="237">
          <cell r="A237" t="str">
            <v>Bouvet Island</v>
          </cell>
        </row>
        <row r="238">
          <cell r="A238" t="str">
            <v>Cocos (Keeling) Islands</v>
          </cell>
        </row>
        <row r="239">
          <cell r="A239" t="str">
            <v>Christmas Island</v>
          </cell>
        </row>
        <row r="240">
          <cell r="A240" t="str">
            <v>Heard &amp; McDonald Islands</v>
          </cell>
        </row>
        <row r="241">
          <cell r="A241" t="str">
            <v>British Indian Ocean Territory</v>
          </cell>
        </row>
        <row r="242">
          <cell r="A242" t="str">
            <v>Kiribati</v>
          </cell>
        </row>
        <row r="243">
          <cell r="A243" t="str">
            <v>Montserrat</v>
          </cell>
        </row>
        <row r="244">
          <cell r="A244" t="str">
            <v>Norfolk Island</v>
          </cell>
        </row>
        <row r="245">
          <cell r="A245" t="str">
            <v>Niue</v>
          </cell>
        </row>
        <row r="246">
          <cell r="A246" t="str">
            <v>Nauru</v>
          </cell>
        </row>
        <row r="247">
          <cell r="A247" t="str">
            <v>Pitcairn Islands</v>
          </cell>
        </row>
        <row r="248">
          <cell r="A248" t="str">
            <v>South Georgia &amp; South Sandwich Islands</v>
          </cell>
        </row>
        <row r="249">
          <cell r="A249" t="str">
            <v>Tokelau</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1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79)"/>
    </sheetNames>
    <sheetDataSet>
      <sheetData sheetId="0" refreshError="1">
        <row r="1">
          <cell r="A1" t="str">
            <v>Category: All categories</v>
          </cell>
        </row>
        <row r="3">
          <cell r="A3" t="str">
            <v>Country</v>
          </cell>
          <cell r="B3" t="str">
            <v>Hypertext Transfer Protocol: (2018)</v>
          </cell>
          <cell r="C3" t="str">
            <v>Regular expression: (2018)</v>
          </cell>
        </row>
        <row r="4">
          <cell r="A4" t="str">
            <v>China</v>
          </cell>
          <cell r="B4">
            <v>0.55000000000000004</v>
          </cell>
          <cell r="C4">
            <v>0.45</v>
          </cell>
        </row>
        <row r="5">
          <cell r="A5" t="str">
            <v>Cuba</v>
          </cell>
        </row>
        <row r="6">
          <cell r="A6" t="str">
            <v>Ethiopia</v>
          </cell>
        </row>
        <row r="7">
          <cell r="A7" t="str">
            <v>St. Helena</v>
          </cell>
          <cell r="B7">
            <v>0.55000000000000004</v>
          </cell>
          <cell r="C7">
            <v>0.45</v>
          </cell>
        </row>
        <row r="8">
          <cell r="A8" t="str">
            <v>Myanmar (Burma)</v>
          </cell>
        </row>
        <row r="9">
          <cell r="A9" t="str">
            <v>South Korea</v>
          </cell>
          <cell r="B9">
            <v>0.61</v>
          </cell>
          <cell r="C9">
            <v>0.39</v>
          </cell>
        </row>
        <row r="10">
          <cell r="A10" t="str">
            <v>Liechtenstein</v>
          </cell>
        </row>
        <row r="11">
          <cell r="A11" t="str">
            <v>Singapore</v>
          </cell>
          <cell r="B11">
            <v>0.7</v>
          </cell>
          <cell r="C11">
            <v>0.3</v>
          </cell>
        </row>
        <row r="12">
          <cell r="A12" t="str">
            <v>Jamaica</v>
          </cell>
        </row>
        <row r="13">
          <cell r="A13" t="str">
            <v>Papua New Guinea</v>
          </cell>
        </row>
        <row r="14">
          <cell r="A14" t="str">
            <v>Togo</v>
          </cell>
        </row>
        <row r="15">
          <cell r="A15" t="str">
            <v>Israel</v>
          </cell>
          <cell r="B15">
            <v>0.59</v>
          </cell>
          <cell r="C15">
            <v>0.41</v>
          </cell>
        </row>
        <row r="16">
          <cell r="A16" t="str">
            <v>North Macedonia</v>
          </cell>
        </row>
        <row r="17">
          <cell r="A17" t="str">
            <v>Cook Islands</v>
          </cell>
        </row>
        <row r="18">
          <cell r="A18" t="str">
            <v>Burundi</v>
          </cell>
        </row>
        <row r="19">
          <cell r="A19" t="str">
            <v>Chad</v>
          </cell>
        </row>
        <row r="20">
          <cell r="A20" t="str">
            <v>Luxembourg</v>
          </cell>
        </row>
        <row r="21">
          <cell r="A21" t="str">
            <v>Nigeria</v>
          </cell>
        </row>
        <row r="22">
          <cell r="A22" t="str">
            <v>Angola</v>
          </cell>
        </row>
        <row r="23">
          <cell r="A23" t="str">
            <v>Tanzania</v>
          </cell>
        </row>
        <row r="24">
          <cell r="A24" t="str">
            <v>Cape Verde</v>
          </cell>
        </row>
        <row r="25">
          <cell r="A25" t="str">
            <v>Rwanda</v>
          </cell>
        </row>
        <row r="26">
          <cell r="A26" t="str">
            <v>Malawi</v>
          </cell>
        </row>
        <row r="27">
          <cell r="A27" t="str">
            <v>Cameroon</v>
          </cell>
        </row>
        <row r="28">
          <cell r="A28" t="str">
            <v>Madagascar</v>
          </cell>
        </row>
        <row r="29">
          <cell r="A29" t="str">
            <v>Hong Kong</v>
          </cell>
          <cell r="B29">
            <v>0.64</v>
          </cell>
          <cell r="C29">
            <v>0.36</v>
          </cell>
        </row>
        <row r="30">
          <cell r="A30" t="str">
            <v>Philippines</v>
          </cell>
          <cell r="B30">
            <v>0.81</v>
          </cell>
          <cell r="C30">
            <v>0.19</v>
          </cell>
        </row>
        <row r="31">
          <cell r="A31" t="str">
            <v>Bhutan</v>
          </cell>
        </row>
        <row r="32">
          <cell r="A32" t="str">
            <v>Gibraltar</v>
          </cell>
        </row>
        <row r="33">
          <cell r="A33" t="str">
            <v>Mexico</v>
          </cell>
          <cell r="B33">
            <v>0.89</v>
          </cell>
          <cell r="C33">
            <v>0.11</v>
          </cell>
        </row>
        <row r="34">
          <cell r="A34" t="str">
            <v>Benin</v>
          </cell>
        </row>
        <row r="35">
          <cell r="A35" t="str">
            <v>Germany</v>
          </cell>
          <cell r="B35">
            <v>0.67</v>
          </cell>
          <cell r="C35">
            <v>0.33</v>
          </cell>
        </row>
        <row r="36">
          <cell r="A36" t="str">
            <v>Somalia</v>
          </cell>
        </row>
        <row r="37">
          <cell r="A37" t="str">
            <v>Greenland</v>
          </cell>
        </row>
        <row r="38">
          <cell r="A38" t="str">
            <v>Kenya</v>
          </cell>
        </row>
        <row r="39">
          <cell r="A39" t="str">
            <v>Nepal</v>
          </cell>
        </row>
        <row r="40">
          <cell r="A40" t="str">
            <v>Botswana</v>
          </cell>
        </row>
        <row r="41">
          <cell r="A41" t="str">
            <v>Switzerland</v>
          </cell>
          <cell r="B41">
            <v>0.6</v>
          </cell>
          <cell r="C41">
            <v>0.4</v>
          </cell>
        </row>
        <row r="42">
          <cell r="A42" t="str">
            <v>Mali</v>
          </cell>
        </row>
        <row r="43">
          <cell r="A43" t="str">
            <v>Iceland</v>
          </cell>
        </row>
        <row r="44">
          <cell r="A44" t="str">
            <v>Sri Lanka</v>
          </cell>
          <cell r="B44">
            <v>0.71</v>
          </cell>
          <cell r="C44">
            <v>0.28999999999999998</v>
          </cell>
        </row>
        <row r="45">
          <cell r="A45" t="str">
            <v>Armenia</v>
          </cell>
        </row>
        <row r="46">
          <cell r="A46" t="str">
            <v>Austria</v>
          </cell>
          <cell r="B46">
            <v>0.65</v>
          </cell>
          <cell r="C46">
            <v>0.35</v>
          </cell>
        </row>
        <row r="47">
          <cell r="A47" t="str">
            <v>India</v>
          </cell>
          <cell r="B47">
            <v>0.68</v>
          </cell>
          <cell r="C47">
            <v>0.32</v>
          </cell>
        </row>
        <row r="48">
          <cell r="A48" t="str">
            <v>Eswatini</v>
          </cell>
        </row>
        <row r="49">
          <cell r="A49" t="str">
            <v>Belarus</v>
          </cell>
          <cell r="B49">
            <v>0.56999999999999995</v>
          </cell>
          <cell r="C49">
            <v>0.43</v>
          </cell>
        </row>
        <row r="50">
          <cell r="A50" t="str">
            <v>Uganda</v>
          </cell>
        </row>
        <row r="51">
          <cell r="A51" t="str">
            <v>Bangladesh</v>
          </cell>
          <cell r="B51">
            <v>0.83</v>
          </cell>
          <cell r="C51">
            <v>0.17</v>
          </cell>
        </row>
        <row r="52">
          <cell r="A52" t="str">
            <v>Zimbabwe</v>
          </cell>
        </row>
        <row r="53">
          <cell r="A53" t="str">
            <v>El Salvador</v>
          </cell>
        </row>
        <row r="54">
          <cell r="A54" t="str">
            <v>Ecuador</v>
          </cell>
        </row>
        <row r="55">
          <cell r="A55" t="str">
            <v>Japan</v>
          </cell>
          <cell r="B55">
            <v>0.53</v>
          </cell>
          <cell r="C55">
            <v>0.47</v>
          </cell>
        </row>
        <row r="56">
          <cell r="A56" t="str">
            <v>Estonia</v>
          </cell>
        </row>
        <row r="57">
          <cell r="A57" t="str">
            <v>Finland</v>
          </cell>
          <cell r="B57">
            <v>0.63</v>
          </cell>
          <cell r="C57">
            <v>0.37</v>
          </cell>
        </row>
        <row r="58">
          <cell r="A58" t="str">
            <v>Taiwan</v>
          </cell>
          <cell r="B58">
            <v>0.67</v>
          </cell>
          <cell r="C58">
            <v>0.33</v>
          </cell>
        </row>
        <row r="59">
          <cell r="A59" t="str">
            <v>Ukraine</v>
          </cell>
          <cell r="B59">
            <v>0.65</v>
          </cell>
          <cell r="C59">
            <v>0.35</v>
          </cell>
        </row>
        <row r="60">
          <cell r="A60" t="str">
            <v>Nicaragua</v>
          </cell>
        </row>
        <row r="61">
          <cell r="A61" t="str">
            <v>New Zealand</v>
          </cell>
          <cell r="B61">
            <v>0.62</v>
          </cell>
          <cell r="C61">
            <v>0.38</v>
          </cell>
        </row>
        <row r="62">
          <cell r="A62" t="str">
            <v>Czechia</v>
          </cell>
          <cell r="B62">
            <v>0.56000000000000005</v>
          </cell>
          <cell r="C62">
            <v>0.44</v>
          </cell>
        </row>
        <row r="63">
          <cell r="A63" t="str">
            <v>Congo - Brazzaville</v>
          </cell>
        </row>
        <row r="64">
          <cell r="A64" t="str">
            <v>Mozambique</v>
          </cell>
        </row>
        <row r="65">
          <cell r="A65" t="str">
            <v>Timor-Leste</v>
          </cell>
        </row>
        <row r="66">
          <cell r="A66" t="str">
            <v>Portugal</v>
          </cell>
          <cell r="B66">
            <v>0.67</v>
          </cell>
          <cell r="C66">
            <v>0.33</v>
          </cell>
        </row>
        <row r="67">
          <cell r="A67" t="str">
            <v>Namibia</v>
          </cell>
        </row>
        <row r="68">
          <cell r="A68" t="str">
            <v>Norway</v>
          </cell>
          <cell r="B68">
            <v>0.63</v>
          </cell>
          <cell r="C68">
            <v>0.37</v>
          </cell>
        </row>
        <row r="69">
          <cell r="A69" t="str">
            <v>Russia</v>
          </cell>
          <cell r="B69">
            <v>0.64</v>
          </cell>
          <cell r="C69">
            <v>0.36</v>
          </cell>
        </row>
        <row r="70">
          <cell r="A70" t="str">
            <v>Ireland</v>
          </cell>
          <cell r="B70">
            <v>0.6</v>
          </cell>
          <cell r="C70">
            <v>0.4</v>
          </cell>
        </row>
        <row r="71">
          <cell r="A71" t="str">
            <v>Costa Rica</v>
          </cell>
        </row>
        <row r="72">
          <cell r="A72" t="str">
            <v>South Sudan</v>
          </cell>
        </row>
        <row r="73">
          <cell r="A73" t="str">
            <v>Macao</v>
          </cell>
        </row>
        <row r="74">
          <cell r="A74" t="str">
            <v>Lesotho</v>
          </cell>
        </row>
        <row r="75">
          <cell r="A75" t="str">
            <v>Uzbekistan</v>
          </cell>
        </row>
        <row r="76">
          <cell r="A76" t="str">
            <v>Maldives</v>
          </cell>
        </row>
        <row r="77">
          <cell r="A77" t="str">
            <v>Tunisia</v>
          </cell>
        </row>
        <row r="78">
          <cell r="A78" t="str">
            <v>Monaco</v>
          </cell>
        </row>
        <row r="79">
          <cell r="A79" t="str">
            <v>Cyprus</v>
          </cell>
        </row>
        <row r="80">
          <cell r="A80" t="str">
            <v>Albania</v>
          </cell>
        </row>
        <row r="81">
          <cell r="A81" t="str">
            <v>Romania</v>
          </cell>
          <cell r="B81">
            <v>0.67</v>
          </cell>
          <cell r="C81">
            <v>0.33</v>
          </cell>
        </row>
        <row r="82">
          <cell r="A82" t="str">
            <v>Indonesia</v>
          </cell>
          <cell r="B82">
            <v>0.91</v>
          </cell>
          <cell r="C82">
            <v>0.09</v>
          </cell>
        </row>
        <row r="83">
          <cell r="A83" t="str">
            <v>Guatemala</v>
          </cell>
        </row>
        <row r="84">
          <cell r="A84" t="str">
            <v>Mauritius</v>
          </cell>
        </row>
        <row r="85">
          <cell r="A85" t="str">
            <v>Moldova</v>
          </cell>
        </row>
        <row r="86">
          <cell r="A86" t="str">
            <v>Gambia</v>
          </cell>
        </row>
        <row r="87">
          <cell r="A87" t="str">
            <v>Netherlands</v>
          </cell>
          <cell r="B87">
            <v>0.59</v>
          </cell>
          <cell r="C87">
            <v>0.41</v>
          </cell>
        </row>
        <row r="88">
          <cell r="A88" t="str">
            <v>South Africa</v>
          </cell>
          <cell r="B88">
            <v>0.74</v>
          </cell>
          <cell r="C88">
            <v>0.26</v>
          </cell>
        </row>
        <row r="89">
          <cell r="A89" t="str">
            <v>Sweden</v>
          </cell>
          <cell r="B89">
            <v>0.56000000000000005</v>
          </cell>
          <cell r="C89">
            <v>0.44</v>
          </cell>
        </row>
        <row r="90">
          <cell r="A90" t="str">
            <v>Malta</v>
          </cell>
        </row>
        <row r="91">
          <cell r="A91" t="str">
            <v>Honduras</v>
          </cell>
        </row>
        <row r="92">
          <cell r="A92" t="str">
            <v>Haiti</v>
          </cell>
        </row>
        <row r="93">
          <cell r="A93" t="str">
            <v>Canada</v>
          </cell>
          <cell r="B93">
            <v>0.57999999999999996</v>
          </cell>
          <cell r="C93">
            <v>0.42</v>
          </cell>
        </row>
        <row r="94">
          <cell r="A94" t="str">
            <v>Paraguay</v>
          </cell>
        </row>
        <row r="95">
          <cell r="A95" t="str">
            <v>Denmark</v>
          </cell>
          <cell r="B95">
            <v>0.59</v>
          </cell>
          <cell r="C95">
            <v>0.41</v>
          </cell>
        </row>
        <row r="96">
          <cell r="A96" t="str">
            <v>Cambodia</v>
          </cell>
        </row>
        <row r="97">
          <cell r="A97" t="str">
            <v>Ghana</v>
          </cell>
        </row>
        <row r="98">
          <cell r="A98" t="str">
            <v>Hungary</v>
          </cell>
          <cell r="B98">
            <v>0.61</v>
          </cell>
          <cell r="C98">
            <v>0.39</v>
          </cell>
        </row>
        <row r="99">
          <cell r="A99" t="str">
            <v>Slovakia</v>
          </cell>
          <cell r="B99">
            <v>0.64</v>
          </cell>
          <cell r="C99">
            <v>0.36</v>
          </cell>
        </row>
        <row r="100">
          <cell r="A100" t="str">
            <v>Turkmenistan</v>
          </cell>
        </row>
        <row r="101">
          <cell r="A101" t="str">
            <v>Niger</v>
          </cell>
        </row>
        <row r="102">
          <cell r="A102" t="str">
            <v>Australia</v>
          </cell>
          <cell r="B102">
            <v>0.6</v>
          </cell>
          <cell r="C102">
            <v>0.4</v>
          </cell>
        </row>
        <row r="103">
          <cell r="A103" t="str">
            <v>CÃ´te dâ€™Ivoire</v>
          </cell>
        </row>
        <row r="104">
          <cell r="A104" t="str">
            <v>Pakistan</v>
          </cell>
          <cell r="B104">
            <v>0.66</v>
          </cell>
          <cell r="C104">
            <v>0.34</v>
          </cell>
        </row>
        <row r="105">
          <cell r="A105" t="str">
            <v>Bolivia</v>
          </cell>
        </row>
        <row r="106">
          <cell r="A106" t="str">
            <v>Equatorial Guinea</v>
          </cell>
        </row>
        <row r="107">
          <cell r="A107" t="str">
            <v>Peru</v>
          </cell>
          <cell r="B107">
            <v>0.87</v>
          </cell>
          <cell r="C107">
            <v>0.13</v>
          </cell>
        </row>
        <row r="108">
          <cell r="A108" t="str">
            <v>United States</v>
          </cell>
          <cell r="B108">
            <v>0.56999999999999995</v>
          </cell>
          <cell r="C108">
            <v>0.43</v>
          </cell>
        </row>
        <row r="109">
          <cell r="A109" t="str">
            <v>Fiji</v>
          </cell>
        </row>
        <row r="110">
          <cell r="A110" t="str">
            <v>Dominican Republic</v>
          </cell>
        </row>
        <row r="111">
          <cell r="A111" t="str">
            <v>Colombia</v>
          </cell>
          <cell r="B111">
            <v>0.81</v>
          </cell>
          <cell r="C111">
            <v>0.19</v>
          </cell>
        </row>
        <row r="112">
          <cell r="A112" t="str">
            <v>Bosnia &amp; Herzegovina</v>
          </cell>
        </row>
        <row r="113">
          <cell r="A113" t="str">
            <v>Latvia</v>
          </cell>
        </row>
        <row r="114">
          <cell r="A114" t="str">
            <v>Spain</v>
          </cell>
          <cell r="B114">
            <v>0.7</v>
          </cell>
          <cell r="C114">
            <v>0.3</v>
          </cell>
        </row>
        <row r="115">
          <cell r="A115" t="str">
            <v>CuraÃ§ao</v>
          </cell>
        </row>
        <row r="116">
          <cell r="A116" t="str">
            <v>Uruguay</v>
          </cell>
        </row>
        <row r="117">
          <cell r="A117" t="str">
            <v>Zambia</v>
          </cell>
        </row>
        <row r="118">
          <cell r="A118" t="str">
            <v>Grenada</v>
          </cell>
        </row>
        <row r="119">
          <cell r="A119" t="str">
            <v>Brazil</v>
          </cell>
          <cell r="B119">
            <v>0.81</v>
          </cell>
          <cell r="C119">
            <v>0.19</v>
          </cell>
        </row>
        <row r="120">
          <cell r="A120" t="str">
            <v>Sudan</v>
          </cell>
        </row>
        <row r="121">
          <cell r="A121" t="str">
            <v>Sierra Leone</v>
          </cell>
        </row>
        <row r="122">
          <cell r="A122" t="str">
            <v>Isle of Man</v>
          </cell>
        </row>
        <row r="123">
          <cell r="A123" t="str">
            <v>Burkina Faso</v>
          </cell>
        </row>
        <row r="124">
          <cell r="A124" t="str">
            <v>Bulgaria</v>
          </cell>
          <cell r="B124">
            <v>0.53</v>
          </cell>
          <cell r="C124">
            <v>0.47</v>
          </cell>
        </row>
        <row r="125">
          <cell r="A125" t="str">
            <v>Serbia</v>
          </cell>
          <cell r="B125">
            <v>0.62</v>
          </cell>
          <cell r="C125">
            <v>0.38</v>
          </cell>
        </row>
        <row r="126">
          <cell r="A126" t="str">
            <v>Lebanon</v>
          </cell>
        </row>
        <row r="127">
          <cell r="A127" t="str">
            <v>United Kingdom</v>
          </cell>
          <cell r="B127">
            <v>0.6</v>
          </cell>
          <cell r="C127">
            <v>0.4</v>
          </cell>
        </row>
        <row r="128">
          <cell r="A128" t="str">
            <v>Andorra</v>
          </cell>
        </row>
        <row r="129">
          <cell r="A129" t="str">
            <v>Belgium</v>
          </cell>
          <cell r="B129">
            <v>0.6</v>
          </cell>
          <cell r="C129">
            <v>0.4</v>
          </cell>
        </row>
        <row r="130">
          <cell r="A130" t="str">
            <v>Malaysia</v>
          </cell>
          <cell r="B130">
            <v>0.78</v>
          </cell>
          <cell r="C130">
            <v>0.22</v>
          </cell>
        </row>
        <row r="131">
          <cell r="A131" t="str">
            <v>Antigua &amp; Barbuda</v>
          </cell>
        </row>
        <row r="132">
          <cell r="A132" t="str">
            <v>Laos</v>
          </cell>
        </row>
        <row r="133">
          <cell r="A133" t="str">
            <v>France</v>
          </cell>
          <cell r="B133">
            <v>0.61</v>
          </cell>
          <cell r="C133">
            <v>0.39</v>
          </cell>
        </row>
        <row r="134">
          <cell r="A134" t="str">
            <v>Guyana</v>
          </cell>
        </row>
        <row r="135">
          <cell r="A135" t="str">
            <v>Panama</v>
          </cell>
        </row>
        <row r="136">
          <cell r="A136" t="str">
            <v>Faroe Islands</v>
          </cell>
        </row>
        <row r="137">
          <cell r="A137" t="str">
            <v>Poland</v>
          </cell>
          <cell r="B137">
            <v>0.59</v>
          </cell>
          <cell r="C137">
            <v>0.41</v>
          </cell>
        </row>
        <row r="138">
          <cell r="A138" t="str">
            <v>Senegal</v>
          </cell>
        </row>
        <row r="139">
          <cell r="A139" t="str">
            <v>United Arab Emirates</v>
          </cell>
          <cell r="B139">
            <v>0.74</v>
          </cell>
          <cell r="C139">
            <v>0.26</v>
          </cell>
        </row>
        <row r="140">
          <cell r="A140" t="str">
            <v>Djibouti</v>
          </cell>
        </row>
        <row r="141">
          <cell r="A141" t="str">
            <v>Lithuania</v>
          </cell>
        </row>
        <row r="142">
          <cell r="A142" t="str">
            <v>Congo - Kinshasa</v>
          </cell>
        </row>
        <row r="143">
          <cell r="A143" t="str">
            <v>Mongolia</v>
          </cell>
        </row>
        <row r="144">
          <cell r="A144" t="str">
            <v>New Caledonia</v>
          </cell>
        </row>
        <row r="145">
          <cell r="A145" t="str">
            <v>Kazakhstan</v>
          </cell>
          <cell r="B145">
            <v>0.75</v>
          </cell>
          <cell r="C145">
            <v>0.25</v>
          </cell>
        </row>
        <row r="146">
          <cell r="A146" t="str">
            <v>Mauritania</v>
          </cell>
        </row>
        <row r="147">
          <cell r="A147" t="str">
            <v>Croatia</v>
          </cell>
          <cell r="B147">
            <v>0.62</v>
          </cell>
          <cell r="C147">
            <v>0.38</v>
          </cell>
        </row>
        <row r="148">
          <cell r="A148" t="str">
            <v>Liberia</v>
          </cell>
        </row>
        <row r="149">
          <cell r="A149" t="str">
            <v>Solomon Islands</v>
          </cell>
        </row>
        <row r="150">
          <cell r="A150" t="str">
            <v>Morocco</v>
          </cell>
          <cell r="B150">
            <v>0.77</v>
          </cell>
          <cell r="C150">
            <v>0.23</v>
          </cell>
        </row>
        <row r="151">
          <cell r="A151" t="str">
            <v>Belize</v>
          </cell>
        </row>
        <row r="152">
          <cell r="A152" t="str">
            <v>Barbados</v>
          </cell>
        </row>
        <row r="153">
          <cell r="A153" t="str">
            <v>Kosovo</v>
          </cell>
        </row>
        <row r="154">
          <cell r="A154" t="str">
            <v>Guernsey</v>
          </cell>
        </row>
        <row r="155">
          <cell r="A155" t="str">
            <v>Jersey</v>
          </cell>
        </row>
        <row r="156">
          <cell r="A156" t="str">
            <v>Slovenia</v>
          </cell>
        </row>
        <row r="157">
          <cell r="A157" t="str">
            <v>Gabon</v>
          </cell>
        </row>
        <row r="158">
          <cell r="A158" t="str">
            <v>Argentina</v>
          </cell>
          <cell r="B158">
            <v>0.77</v>
          </cell>
          <cell r="C158">
            <v>0.23</v>
          </cell>
        </row>
        <row r="159">
          <cell r="A159" t="str">
            <v>French Polynesia</v>
          </cell>
        </row>
        <row r="160">
          <cell r="A160" t="str">
            <v>Afghanistan</v>
          </cell>
        </row>
        <row r="161">
          <cell r="A161" t="str">
            <v>Cayman Islands</v>
          </cell>
        </row>
        <row r="162">
          <cell r="A162" t="str">
            <v>Qatar</v>
          </cell>
        </row>
        <row r="163">
          <cell r="A163" t="str">
            <v>Iran</v>
          </cell>
          <cell r="B163">
            <v>0.8</v>
          </cell>
          <cell r="C163">
            <v>0.2</v>
          </cell>
        </row>
        <row r="164">
          <cell r="A164" t="str">
            <v>Chile</v>
          </cell>
          <cell r="B164">
            <v>0.75</v>
          </cell>
          <cell r="C164">
            <v>0.25</v>
          </cell>
        </row>
        <row r="165">
          <cell r="A165" t="str">
            <v>Jordan</v>
          </cell>
        </row>
        <row r="166">
          <cell r="A166" t="str">
            <v>Tajikistan</v>
          </cell>
        </row>
        <row r="167">
          <cell r="A167" t="str">
            <v>Georgia</v>
          </cell>
        </row>
        <row r="168">
          <cell r="A168" t="str">
            <v>Oman</v>
          </cell>
        </row>
        <row r="169">
          <cell r="A169" t="str">
            <v>Egypt</v>
          </cell>
          <cell r="B169">
            <v>0.78</v>
          </cell>
          <cell r="C169">
            <v>0.22</v>
          </cell>
        </row>
        <row r="170">
          <cell r="A170" t="str">
            <v>Palestine</v>
          </cell>
        </row>
        <row r="171">
          <cell r="A171" t="str">
            <v>Kyrgyzstan</v>
          </cell>
        </row>
        <row r="172">
          <cell r="A172" t="str">
            <v>Martinique</v>
          </cell>
        </row>
        <row r="173">
          <cell r="A173" t="str">
            <v>Algeria</v>
          </cell>
        </row>
        <row r="174">
          <cell r="A174" t="str">
            <v>Bahrain</v>
          </cell>
        </row>
        <row r="175">
          <cell r="A175" t="str">
            <v>Puerto Rico</v>
          </cell>
        </row>
        <row r="176">
          <cell r="A176" t="str">
            <v>Iraq</v>
          </cell>
        </row>
        <row r="177">
          <cell r="A177" t="str">
            <v>Italy</v>
          </cell>
          <cell r="B177">
            <v>0.69</v>
          </cell>
          <cell r="C177">
            <v>0.31</v>
          </cell>
        </row>
        <row r="178">
          <cell r="A178" t="str">
            <v>Syria</v>
          </cell>
        </row>
        <row r="179">
          <cell r="A179" t="str">
            <v>St. Vincent &amp; Grenadines</v>
          </cell>
        </row>
        <row r="180">
          <cell r="A180" t="str">
            <v>Guadeloupe</v>
          </cell>
        </row>
        <row r="181">
          <cell r="A181" t="str">
            <v>RÃ©union</v>
          </cell>
        </row>
        <row r="182">
          <cell r="A182" t="str">
            <v>St. Lucia</v>
          </cell>
        </row>
        <row r="183">
          <cell r="A183" t="str">
            <v>Trinidad &amp; Tobago</v>
          </cell>
        </row>
        <row r="184">
          <cell r="A184" t="str">
            <v>Vietnam</v>
          </cell>
          <cell r="B184">
            <v>0.64</v>
          </cell>
          <cell r="C184">
            <v>0.36</v>
          </cell>
        </row>
        <row r="185">
          <cell r="A185" t="str">
            <v>Libya</v>
          </cell>
        </row>
        <row r="186">
          <cell r="A186" t="str">
            <v>U.S. Virgin Islands</v>
          </cell>
        </row>
        <row r="187">
          <cell r="A187" t="str">
            <v>Montenegro</v>
          </cell>
        </row>
        <row r="188">
          <cell r="A188" t="str">
            <v>Seychelles</v>
          </cell>
        </row>
        <row r="189">
          <cell r="A189" t="str">
            <v>Greece</v>
          </cell>
          <cell r="B189">
            <v>0.67</v>
          </cell>
          <cell r="C189">
            <v>0.33</v>
          </cell>
        </row>
        <row r="190">
          <cell r="A190" t="str">
            <v>Aruba</v>
          </cell>
        </row>
        <row r="191">
          <cell r="A191" t="str">
            <v>Venezuela</v>
          </cell>
        </row>
        <row r="192">
          <cell r="A192" t="str">
            <v>Azerbaijan</v>
          </cell>
        </row>
        <row r="193">
          <cell r="A193" t="str">
            <v>Thailand</v>
          </cell>
          <cell r="B193">
            <v>0.75</v>
          </cell>
          <cell r="C193">
            <v>0.25</v>
          </cell>
        </row>
        <row r="194">
          <cell r="A194" t="str">
            <v>Brunei</v>
          </cell>
        </row>
        <row r="195">
          <cell r="A195" t="str">
            <v>Yemen</v>
          </cell>
        </row>
        <row r="196">
          <cell r="A196" t="str">
            <v>Saudi Arabia</v>
          </cell>
        </row>
        <row r="197">
          <cell r="A197" t="str">
            <v>Guinea</v>
          </cell>
        </row>
        <row r="198">
          <cell r="A198" t="str">
            <v>Suriname</v>
          </cell>
        </row>
        <row r="199">
          <cell r="A199" t="str">
            <v>Kuwait</v>
          </cell>
        </row>
        <row r="200">
          <cell r="A200" t="str">
            <v>Mayotte</v>
          </cell>
        </row>
        <row r="201">
          <cell r="A201" t="str">
            <v>Bahamas</v>
          </cell>
        </row>
        <row r="202">
          <cell r="A202" t="str">
            <v>Guam</v>
          </cell>
        </row>
        <row r="203">
          <cell r="A203" t="str">
            <v>Bermuda</v>
          </cell>
        </row>
        <row r="204">
          <cell r="A204" t="str">
            <v>Turkey</v>
          </cell>
          <cell r="B204">
            <v>0.7</v>
          </cell>
          <cell r="C204">
            <v>0.3</v>
          </cell>
        </row>
        <row r="205">
          <cell r="A205" t="str">
            <v>French Guiana</v>
          </cell>
        </row>
        <row r="206">
          <cell r="A206" t="str">
            <v>Eritrea</v>
          </cell>
        </row>
        <row r="207">
          <cell r="A207" t="str">
            <v>Svalbard &amp; Jan Mayen</v>
          </cell>
        </row>
        <row r="208">
          <cell r="A208" t="str">
            <v>SÃ£o TomÃ© &amp; PrÃ­ncipe</v>
          </cell>
        </row>
        <row r="209">
          <cell r="A209" t="str">
            <v>Vanuatu</v>
          </cell>
        </row>
        <row r="210">
          <cell r="A210" t="str">
            <v>Marshall Islands</v>
          </cell>
        </row>
        <row r="211">
          <cell r="A211" t="str">
            <v>Central African Republic</v>
          </cell>
        </row>
        <row r="212">
          <cell r="A212" t="str">
            <v>San Marino</v>
          </cell>
        </row>
        <row r="213">
          <cell r="A213" t="str">
            <v>Guinea-Bissau</v>
          </cell>
        </row>
        <row r="214">
          <cell r="A214" t="str">
            <v>Ã…land Islands</v>
          </cell>
        </row>
        <row r="215">
          <cell r="A215" t="str">
            <v>Tonga</v>
          </cell>
        </row>
        <row r="216">
          <cell r="A216" t="str">
            <v>St. Martin</v>
          </cell>
        </row>
        <row r="217">
          <cell r="A217" t="str">
            <v>Dominica</v>
          </cell>
        </row>
        <row r="218">
          <cell r="A218" t="str">
            <v>St. BarthÃ©lemy</v>
          </cell>
        </row>
        <row r="219">
          <cell r="A219" t="str">
            <v>Samoa</v>
          </cell>
        </row>
        <row r="220">
          <cell r="A220" t="str">
            <v>Northern Mariana Islands</v>
          </cell>
        </row>
        <row r="221">
          <cell r="A221" t="str">
            <v>Caribbean Netherlands</v>
          </cell>
        </row>
        <row r="222">
          <cell r="A222" t="str">
            <v>Comoros</v>
          </cell>
        </row>
        <row r="223">
          <cell r="A223" t="str">
            <v>Turks &amp; Caicos Islands</v>
          </cell>
        </row>
        <row r="224">
          <cell r="A224" t="str">
            <v>Western Sahara</v>
          </cell>
        </row>
        <row r="225">
          <cell r="A225" t="str">
            <v>St. Kitts &amp; Nevis</v>
          </cell>
        </row>
        <row r="226">
          <cell r="A226" t="str">
            <v>Sint Maarten</v>
          </cell>
        </row>
        <row r="227">
          <cell r="A227" t="str">
            <v>Anguilla</v>
          </cell>
        </row>
        <row r="228">
          <cell r="A228" t="str">
            <v>American Samoa</v>
          </cell>
        </row>
        <row r="229">
          <cell r="A229" t="str">
            <v>Antarctica</v>
          </cell>
        </row>
        <row r="230">
          <cell r="A230" t="str">
            <v>French Southern Territories</v>
          </cell>
        </row>
        <row r="231">
          <cell r="A231" t="str">
            <v>Bouvet Island</v>
          </cell>
        </row>
        <row r="232">
          <cell r="A232" t="str">
            <v>Cocos (Keeling) Islands</v>
          </cell>
        </row>
        <row r="233">
          <cell r="A233" t="str">
            <v>Christmas Island</v>
          </cell>
        </row>
        <row r="234">
          <cell r="A234" t="str">
            <v>Falkland Islands (Islas Malvinas)</v>
          </cell>
        </row>
        <row r="235">
          <cell r="A235" t="str">
            <v>Micronesia</v>
          </cell>
        </row>
        <row r="236">
          <cell r="A236" t="str">
            <v>Heard &amp; McDonald Islands</v>
          </cell>
        </row>
        <row r="237">
          <cell r="A237" t="str">
            <v>British Indian Ocean Territory</v>
          </cell>
        </row>
        <row r="238">
          <cell r="A238" t="str">
            <v>Kiribati</v>
          </cell>
        </row>
        <row r="239">
          <cell r="A239" t="str">
            <v>Montserrat</v>
          </cell>
        </row>
        <row r="240">
          <cell r="A240" t="str">
            <v>Norfolk Island</v>
          </cell>
        </row>
        <row r="241">
          <cell r="A241" t="str">
            <v>Niue</v>
          </cell>
        </row>
        <row r="242">
          <cell r="A242" t="str">
            <v>Nauru</v>
          </cell>
        </row>
        <row r="243">
          <cell r="A243" t="str">
            <v>Pitcairn Islands</v>
          </cell>
        </row>
        <row r="244">
          <cell r="A244" t="str">
            <v>Palau</v>
          </cell>
        </row>
        <row r="245">
          <cell r="A245" t="str">
            <v>North Korea</v>
          </cell>
        </row>
        <row r="246">
          <cell r="A246" t="str">
            <v>South Georgia &amp; South Sandwich Islands</v>
          </cell>
        </row>
        <row r="247">
          <cell r="A247" t="str">
            <v>St. Pierre &amp; Miquelon</v>
          </cell>
        </row>
        <row r="248">
          <cell r="A248" t="str">
            <v>Tokelau</v>
          </cell>
        </row>
        <row r="249">
          <cell r="A249" t="str">
            <v>Tuvalu</v>
          </cell>
        </row>
        <row r="250">
          <cell r="A250" t="str">
            <v>U.S. Outlying Islands</v>
          </cell>
        </row>
        <row r="251">
          <cell r="A251" t="str">
            <v>Vatican City</v>
          </cell>
        </row>
        <row r="252">
          <cell r="A252" t="str">
            <v>British Virgin Islands</v>
          </cell>
        </row>
        <row r="253">
          <cell r="A253" t="str">
            <v>Wallis &amp; Futuna</v>
          </cell>
        </row>
      </sheetData>
    </sheetDataSet>
  </externalBook>
</externalLink>
</file>

<file path=xl/externalLinks/externalLink1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03)"/>
    </sheetNames>
    <sheetDataSet>
      <sheetData sheetId="0" refreshError="1">
        <row r="1">
          <cell r="A1" t="str">
            <v>Category: All categories</v>
          </cell>
        </row>
        <row r="3">
          <cell r="A3" t="str">
            <v>Country</v>
          </cell>
          <cell r="B3" t="str">
            <v>Transmission Control Protocol: (2018)</v>
          </cell>
          <cell r="C3" t="str">
            <v>k-means clustering: (2018)</v>
          </cell>
        </row>
        <row r="4">
          <cell r="A4" t="str">
            <v>China</v>
          </cell>
          <cell r="B4">
            <v>0.86</v>
          </cell>
          <cell r="C4">
            <v>0.14000000000000001</v>
          </cell>
        </row>
        <row r="5">
          <cell r="A5" t="str">
            <v>Cuba</v>
          </cell>
        </row>
        <row r="6">
          <cell r="A6" t="str">
            <v>St. Helena</v>
          </cell>
          <cell r="B6">
            <v>0.91</v>
          </cell>
          <cell r="C6">
            <v>0.09</v>
          </cell>
        </row>
        <row r="7">
          <cell r="A7" t="str">
            <v>South Korea</v>
          </cell>
          <cell r="B7">
            <v>0.88</v>
          </cell>
          <cell r="C7">
            <v>0.12</v>
          </cell>
        </row>
        <row r="8">
          <cell r="A8" t="str">
            <v>Botswana</v>
          </cell>
        </row>
        <row r="9">
          <cell r="A9" t="str">
            <v>Rwanda</v>
          </cell>
        </row>
        <row r="10">
          <cell r="A10" t="str">
            <v>Singapore</v>
          </cell>
          <cell r="B10">
            <v>0.86</v>
          </cell>
          <cell r="C10">
            <v>0.14000000000000001</v>
          </cell>
        </row>
        <row r="11">
          <cell r="A11" t="str">
            <v>Ethiopia</v>
          </cell>
        </row>
        <row r="12">
          <cell r="A12" t="str">
            <v>Myanmar (Burma)</v>
          </cell>
        </row>
        <row r="13">
          <cell r="A13" t="str">
            <v>Zimbabwe</v>
          </cell>
        </row>
        <row r="14">
          <cell r="A14" t="str">
            <v>Angola</v>
          </cell>
        </row>
        <row r="15">
          <cell r="A15" t="str">
            <v>Nepal</v>
          </cell>
        </row>
        <row r="16">
          <cell r="A16" t="str">
            <v>Malawi</v>
          </cell>
        </row>
        <row r="17">
          <cell r="A17" t="str">
            <v>Luxembourg</v>
          </cell>
        </row>
        <row r="18">
          <cell r="A18" t="str">
            <v>Madagascar</v>
          </cell>
        </row>
        <row r="19">
          <cell r="A19" t="str">
            <v>Papua New Guinea</v>
          </cell>
        </row>
        <row r="20">
          <cell r="A20" t="str">
            <v>Macao</v>
          </cell>
        </row>
        <row r="21">
          <cell r="A21" t="str">
            <v>Hong Kong</v>
          </cell>
          <cell r="B21">
            <v>0.86</v>
          </cell>
          <cell r="C21">
            <v>0.14000000000000001</v>
          </cell>
        </row>
        <row r="22">
          <cell r="A22" t="str">
            <v>Cameroon</v>
          </cell>
        </row>
        <row r="23">
          <cell r="A23" t="str">
            <v>Uruguay</v>
          </cell>
          <cell r="B23">
            <v>1</v>
          </cell>
        </row>
        <row r="24">
          <cell r="A24" t="str">
            <v>Isle of Man</v>
          </cell>
        </row>
        <row r="25">
          <cell r="A25" t="str">
            <v>Eswatini</v>
          </cell>
        </row>
        <row r="26">
          <cell r="A26" t="str">
            <v>Israel</v>
          </cell>
          <cell r="B26">
            <v>0.89</v>
          </cell>
          <cell r="C26">
            <v>0.11</v>
          </cell>
        </row>
        <row r="27">
          <cell r="A27" t="str">
            <v>Togo</v>
          </cell>
        </row>
        <row r="28">
          <cell r="A28" t="str">
            <v>Cape Verde</v>
          </cell>
        </row>
        <row r="29">
          <cell r="A29" t="str">
            <v>Brunei</v>
          </cell>
        </row>
        <row r="30">
          <cell r="A30" t="str">
            <v>Taiwan</v>
          </cell>
          <cell r="B30">
            <v>0.86</v>
          </cell>
          <cell r="C30">
            <v>0.14000000000000001</v>
          </cell>
        </row>
        <row r="31">
          <cell r="A31" t="str">
            <v>Switzerland</v>
          </cell>
          <cell r="B31">
            <v>0.9</v>
          </cell>
          <cell r="C31">
            <v>0.1</v>
          </cell>
        </row>
        <row r="32">
          <cell r="A32" t="str">
            <v>Bolivia</v>
          </cell>
        </row>
        <row r="33">
          <cell r="A33" t="str">
            <v>Czechia</v>
          </cell>
          <cell r="B33">
            <v>0.95</v>
          </cell>
          <cell r="C33">
            <v>0.05</v>
          </cell>
        </row>
        <row r="34">
          <cell r="A34" t="str">
            <v>Ghana</v>
          </cell>
        </row>
        <row r="35">
          <cell r="A35" t="str">
            <v>Sri Lanka</v>
          </cell>
          <cell r="B35">
            <v>0.87</v>
          </cell>
          <cell r="C35">
            <v>0.13</v>
          </cell>
        </row>
        <row r="36">
          <cell r="A36" t="str">
            <v>Mauritius</v>
          </cell>
        </row>
        <row r="37">
          <cell r="A37" t="str">
            <v>India</v>
          </cell>
          <cell r="B37">
            <v>0.81</v>
          </cell>
          <cell r="C37">
            <v>0.19</v>
          </cell>
        </row>
        <row r="38">
          <cell r="A38" t="str">
            <v>Malta</v>
          </cell>
        </row>
        <row r="39">
          <cell r="A39" t="str">
            <v>Congo - Kinshasa</v>
          </cell>
        </row>
        <row r="40">
          <cell r="A40" t="str">
            <v>Sierra Leone</v>
          </cell>
        </row>
        <row r="41">
          <cell r="A41" t="str">
            <v>Pakistan</v>
          </cell>
          <cell r="B41">
            <v>0.8</v>
          </cell>
          <cell r="C41">
            <v>0.2</v>
          </cell>
        </row>
        <row r="42">
          <cell r="A42" t="str">
            <v>Tunisia</v>
          </cell>
          <cell r="B42">
            <v>0.86</v>
          </cell>
          <cell r="C42">
            <v>0.14000000000000001</v>
          </cell>
        </row>
        <row r="43">
          <cell r="A43" t="str">
            <v>Bhutan</v>
          </cell>
        </row>
        <row r="44">
          <cell r="A44" t="str">
            <v>Japan</v>
          </cell>
          <cell r="B44">
            <v>0.94</v>
          </cell>
          <cell r="C44">
            <v>0.06</v>
          </cell>
        </row>
        <row r="45">
          <cell r="A45" t="str">
            <v>Ireland</v>
          </cell>
          <cell r="B45">
            <v>0.88</v>
          </cell>
          <cell r="C45">
            <v>0.12</v>
          </cell>
        </row>
        <row r="46">
          <cell r="A46" t="str">
            <v>Iceland</v>
          </cell>
        </row>
        <row r="47">
          <cell r="A47" t="str">
            <v>Austria</v>
          </cell>
          <cell r="B47">
            <v>0.94</v>
          </cell>
          <cell r="C47">
            <v>0.06</v>
          </cell>
        </row>
        <row r="48">
          <cell r="A48" t="str">
            <v>Australia</v>
          </cell>
          <cell r="B48">
            <v>0.9</v>
          </cell>
          <cell r="C48">
            <v>0.1</v>
          </cell>
        </row>
        <row r="49">
          <cell r="A49" t="str">
            <v>Sweden</v>
          </cell>
          <cell r="B49">
            <v>0.94</v>
          </cell>
          <cell r="C49">
            <v>0.06</v>
          </cell>
        </row>
        <row r="50">
          <cell r="A50" t="str">
            <v>Zambia</v>
          </cell>
        </row>
        <row r="51">
          <cell r="A51" t="str">
            <v>Panama</v>
          </cell>
        </row>
        <row r="52">
          <cell r="A52" t="str">
            <v>Burundi</v>
          </cell>
        </row>
        <row r="53">
          <cell r="A53" t="str">
            <v>Finland</v>
          </cell>
          <cell r="B53">
            <v>0.9</v>
          </cell>
          <cell r="C53">
            <v>0.1</v>
          </cell>
        </row>
        <row r="54">
          <cell r="A54" t="str">
            <v>Germany</v>
          </cell>
          <cell r="B54">
            <v>0.93</v>
          </cell>
          <cell r="C54">
            <v>7.0000000000000007E-2</v>
          </cell>
        </row>
        <row r="55">
          <cell r="A55" t="str">
            <v>Costa Rica</v>
          </cell>
          <cell r="B55">
            <v>1</v>
          </cell>
        </row>
        <row r="56">
          <cell r="A56" t="str">
            <v>Norway</v>
          </cell>
          <cell r="B56">
            <v>0.93</v>
          </cell>
          <cell r="C56">
            <v>7.0000000000000007E-2</v>
          </cell>
        </row>
        <row r="57">
          <cell r="A57" t="str">
            <v>Namibia</v>
          </cell>
        </row>
        <row r="58">
          <cell r="A58" t="str">
            <v>Lesotho</v>
          </cell>
        </row>
        <row r="59">
          <cell r="A59" t="str">
            <v>Senegal</v>
          </cell>
        </row>
        <row r="60">
          <cell r="A60" t="str">
            <v>United Arab Emirates</v>
          </cell>
          <cell r="B60">
            <v>0.86</v>
          </cell>
          <cell r="C60">
            <v>0.14000000000000001</v>
          </cell>
        </row>
        <row r="61">
          <cell r="A61" t="str">
            <v>Afghanistan</v>
          </cell>
        </row>
        <row r="62">
          <cell r="A62" t="str">
            <v>Cyprus</v>
          </cell>
        </row>
        <row r="63">
          <cell r="A63" t="str">
            <v>Honduras</v>
          </cell>
        </row>
        <row r="64">
          <cell r="A64" t="str">
            <v>New Zealand</v>
          </cell>
          <cell r="B64">
            <v>0.89</v>
          </cell>
          <cell r="C64">
            <v>0.11</v>
          </cell>
        </row>
        <row r="65">
          <cell r="A65" t="str">
            <v>CuraÃ§ao</v>
          </cell>
        </row>
        <row r="66">
          <cell r="A66" t="str">
            <v>Philippines</v>
          </cell>
          <cell r="B66">
            <v>0.93</v>
          </cell>
          <cell r="C66">
            <v>7.0000000000000007E-2</v>
          </cell>
        </row>
        <row r="67">
          <cell r="A67" t="str">
            <v>Somalia</v>
          </cell>
        </row>
        <row r="68">
          <cell r="A68" t="str">
            <v>Canada</v>
          </cell>
          <cell r="B68">
            <v>0.87</v>
          </cell>
          <cell r="C68">
            <v>0.13</v>
          </cell>
        </row>
        <row r="69">
          <cell r="A69" t="str">
            <v>United States</v>
          </cell>
          <cell r="B69">
            <v>0.86</v>
          </cell>
          <cell r="C69">
            <v>0.14000000000000001</v>
          </cell>
        </row>
        <row r="70">
          <cell r="A70" t="str">
            <v>Netherlands</v>
          </cell>
          <cell r="B70">
            <v>0.91</v>
          </cell>
          <cell r="C70">
            <v>0.09</v>
          </cell>
        </row>
        <row r="71">
          <cell r="A71" t="str">
            <v>El Salvador</v>
          </cell>
        </row>
        <row r="72">
          <cell r="A72" t="str">
            <v>Ecuador</v>
          </cell>
          <cell r="B72">
            <v>0.94</v>
          </cell>
          <cell r="C72">
            <v>0.06</v>
          </cell>
        </row>
        <row r="73">
          <cell r="A73" t="str">
            <v>Guam</v>
          </cell>
        </row>
        <row r="74">
          <cell r="A74" t="str">
            <v>Slovenia</v>
          </cell>
        </row>
        <row r="75">
          <cell r="A75" t="str">
            <v>Oman</v>
          </cell>
        </row>
        <row r="76">
          <cell r="A76" t="str">
            <v>Russia</v>
          </cell>
          <cell r="B76">
            <v>0.96</v>
          </cell>
          <cell r="C76">
            <v>0.04</v>
          </cell>
        </row>
        <row r="77">
          <cell r="A77" t="str">
            <v>Mongolia</v>
          </cell>
        </row>
        <row r="78">
          <cell r="A78" t="str">
            <v>United Kingdom</v>
          </cell>
          <cell r="B78">
            <v>0.9</v>
          </cell>
          <cell r="C78">
            <v>0.1</v>
          </cell>
        </row>
        <row r="79">
          <cell r="A79" t="str">
            <v>Portugal</v>
          </cell>
          <cell r="B79">
            <v>0.91</v>
          </cell>
          <cell r="C79">
            <v>0.09</v>
          </cell>
        </row>
        <row r="80">
          <cell r="A80" t="str">
            <v>Estonia</v>
          </cell>
        </row>
        <row r="81">
          <cell r="A81" t="str">
            <v>Suriname</v>
          </cell>
        </row>
        <row r="82">
          <cell r="A82" t="str">
            <v>Jamaica</v>
          </cell>
        </row>
        <row r="83">
          <cell r="A83" t="str">
            <v>Mozambique</v>
          </cell>
        </row>
        <row r="84">
          <cell r="A84" t="str">
            <v>Uganda</v>
          </cell>
        </row>
        <row r="85">
          <cell r="A85" t="str">
            <v>Fiji</v>
          </cell>
        </row>
        <row r="86">
          <cell r="A86" t="str">
            <v>Belgium</v>
          </cell>
          <cell r="B86">
            <v>0.94</v>
          </cell>
          <cell r="C86">
            <v>0.06</v>
          </cell>
        </row>
        <row r="87">
          <cell r="A87" t="str">
            <v>Jersey</v>
          </cell>
        </row>
        <row r="88">
          <cell r="A88" t="str">
            <v>Guyana</v>
          </cell>
        </row>
        <row r="89">
          <cell r="A89" t="str">
            <v>Denmark</v>
          </cell>
          <cell r="B89">
            <v>0.87</v>
          </cell>
          <cell r="C89">
            <v>0.13</v>
          </cell>
        </row>
        <row r="90">
          <cell r="A90" t="str">
            <v>Bahrain</v>
          </cell>
        </row>
        <row r="91">
          <cell r="A91" t="str">
            <v>Belarus</v>
          </cell>
        </row>
        <row r="92">
          <cell r="A92" t="str">
            <v>Spain</v>
          </cell>
          <cell r="B92">
            <v>0.94</v>
          </cell>
          <cell r="C92">
            <v>0.06</v>
          </cell>
        </row>
        <row r="93">
          <cell r="A93" t="str">
            <v>Hungary</v>
          </cell>
          <cell r="B93">
            <v>0.96</v>
          </cell>
          <cell r="C93">
            <v>0.04</v>
          </cell>
        </row>
        <row r="94">
          <cell r="A94" t="str">
            <v>Latvia</v>
          </cell>
        </row>
        <row r="95">
          <cell r="A95" t="str">
            <v>Slovakia</v>
          </cell>
        </row>
        <row r="96">
          <cell r="A96" t="str">
            <v>South Africa</v>
          </cell>
          <cell r="B96">
            <v>0.91</v>
          </cell>
          <cell r="C96">
            <v>0.09</v>
          </cell>
        </row>
        <row r="97">
          <cell r="A97" t="str">
            <v>Kenya</v>
          </cell>
        </row>
        <row r="98">
          <cell r="A98" t="str">
            <v>Malaysia</v>
          </cell>
          <cell r="B98">
            <v>0.89</v>
          </cell>
          <cell r="C98">
            <v>0.11</v>
          </cell>
        </row>
        <row r="99">
          <cell r="A99" t="str">
            <v>Colombia</v>
          </cell>
          <cell r="B99">
            <v>0.94</v>
          </cell>
          <cell r="C99">
            <v>0.06</v>
          </cell>
        </row>
        <row r="100">
          <cell r="A100" t="str">
            <v>Kosovo</v>
          </cell>
        </row>
        <row r="101">
          <cell r="A101" t="str">
            <v>Albania</v>
          </cell>
        </row>
        <row r="102">
          <cell r="A102" t="str">
            <v>Lebanon</v>
          </cell>
        </row>
        <row r="103">
          <cell r="A103" t="str">
            <v>Lithuania</v>
          </cell>
        </row>
        <row r="104">
          <cell r="A104" t="str">
            <v>Qatar</v>
          </cell>
        </row>
        <row r="105">
          <cell r="A105" t="str">
            <v>Bangladesh</v>
          </cell>
          <cell r="B105">
            <v>0.79</v>
          </cell>
          <cell r="C105">
            <v>0.21</v>
          </cell>
        </row>
        <row r="106">
          <cell r="A106" t="str">
            <v>Moldova</v>
          </cell>
        </row>
        <row r="107">
          <cell r="A107" t="str">
            <v>Mexico</v>
          </cell>
          <cell r="B107">
            <v>0.96</v>
          </cell>
          <cell r="C107">
            <v>0.04</v>
          </cell>
        </row>
        <row r="108">
          <cell r="A108" t="str">
            <v>Guatemala</v>
          </cell>
        </row>
        <row r="109">
          <cell r="A109" t="str">
            <v>Argentina</v>
          </cell>
          <cell r="B109">
            <v>0.97</v>
          </cell>
          <cell r="C109">
            <v>0.03</v>
          </cell>
        </row>
        <row r="110">
          <cell r="A110" t="str">
            <v>Benin</v>
          </cell>
        </row>
        <row r="111">
          <cell r="A111" t="str">
            <v>North Macedonia</v>
          </cell>
        </row>
        <row r="112">
          <cell r="A112" t="str">
            <v>Poland</v>
          </cell>
          <cell r="B112">
            <v>0.96</v>
          </cell>
          <cell r="C112">
            <v>0.04</v>
          </cell>
        </row>
        <row r="113">
          <cell r="A113" t="str">
            <v>Romania</v>
          </cell>
          <cell r="B113">
            <v>0.93</v>
          </cell>
          <cell r="C113">
            <v>7.0000000000000007E-2</v>
          </cell>
        </row>
        <row r="114">
          <cell r="A114" t="str">
            <v>Armenia</v>
          </cell>
        </row>
        <row r="115">
          <cell r="A115" t="str">
            <v>Cayman Islands</v>
          </cell>
        </row>
        <row r="116">
          <cell r="A116" t="str">
            <v>Bulgaria</v>
          </cell>
          <cell r="B116">
            <v>0.95</v>
          </cell>
          <cell r="C116">
            <v>0.05</v>
          </cell>
        </row>
        <row r="117">
          <cell r="A117" t="str">
            <v>Sudan</v>
          </cell>
        </row>
        <row r="118">
          <cell r="A118" t="str">
            <v>France</v>
          </cell>
          <cell r="B118">
            <v>0.9</v>
          </cell>
          <cell r="C118">
            <v>0.1</v>
          </cell>
        </row>
        <row r="119">
          <cell r="A119" t="str">
            <v>CÃ´te dâ€™Ivoire</v>
          </cell>
        </row>
        <row r="120">
          <cell r="A120" t="str">
            <v>Mali</v>
          </cell>
        </row>
        <row r="121">
          <cell r="A121" t="str">
            <v>Maldives</v>
          </cell>
        </row>
        <row r="122">
          <cell r="A122" t="str">
            <v>Dominican Republic</v>
          </cell>
          <cell r="B122">
            <v>1</v>
          </cell>
        </row>
        <row r="123">
          <cell r="A123" t="str">
            <v>Croatia</v>
          </cell>
        </row>
        <row r="124">
          <cell r="A124" t="str">
            <v>Uzbekistan</v>
          </cell>
        </row>
        <row r="125">
          <cell r="A125" t="str">
            <v>Palestine</v>
          </cell>
        </row>
        <row r="126">
          <cell r="A126" t="str">
            <v>Brazil</v>
          </cell>
          <cell r="B126">
            <v>0.96</v>
          </cell>
          <cell r="C126">
            <v>0.04</v>
          </cell>
        </row>
        <row r="127">
          <cell r="A127" t="str">
            <v>Morocco</v>
          </cell>
          <cell r="B127">
            <v>0.88</v>
          </cell>
          <cell r="C127">
            <v>0.12</v>
          </cell>
        </row>
        <row r="128">
          <cell r="A128" t="str">
            <v>Peru</v>
          </cell>
          <cell r="B128">
            <v>0.94</v>
          </cell>
          <cell r="C128">
            <v>0.06</v>
          </cell>
        </row>
        <row r="129">
          <cell r="A129" t="str">
            <v>Italy</v>
          </cell>
          <cell r="B129">
            <v>0.94</v>
          </cell>
          <cell r="C129">
            <v>0.06</v>
          </cell>
        </row>
        <row r="130">
          <cell r="A130" t="str">
            <v>Cambodia</v>
          </cell>
        </row>
        <row r="131">
          <cell r="A131" t="str">
            <v>Trinidad &amp; Tobago</v>
          </cell>
        </row>
        <row r="132">
          <cell r="A132" t="str">
            <v>Laos</v>
          </cell>
        </row>
        <row r="133">
          <cell r="A133" t="str">
            <v>Serbia</v>
          </cell>
          <cell r="B133">
            <v>0.93</v>
          </cell>
          <cell r="C133">
            <v>7.0000000000000007E-2</v>
          </cell>
        </row>
        <row r="134">
          <cell r="A134" t="str">
            <v>Martinique</v>
          </cell>
        </row>
        <row r="135">
          <cell r="A135" t="str">
            <v>Haiti</v>
          </cell>
        </row>
        <row r="136">
          <cell r="A136" t="str">
            <v>Algeria</v>
          </cell>
          <cell r="B136">
            <v>0.86</v>
          </cell>
          <cell r="C136">
            <v>0.14000000000000001</v>
          </cell>
        </row>
        <row r="137">
          <cell r="A137" t="str">
            <v>Liberia</v>
          </cell>
        </row>
        <row r="138">
          <cell r="A138" t="str">
            <v>Ukraine</v>
          </cell>
          <cell r="B138">
            <v>0.94</v>
          </cell>
          <cell r="C138">
            <v>0.06</v>
          </cell>
        </row>
        <row r="139">
          <cell r="A139" t="str">
            <v>Tanzania</v>
          </cell>
        </row>
        <row r="140">
          <cell r="A140" t="str">
            <v>Libya</v>
          </cell>
        </row>
        <row r="141">
          <cell r="A141" t="str">
            <v>Kazakhstan</v>
          </cell>
        </row>
        <row r="142">
          <cell r="A142" t="str">
            <v>Bahamas</v>
          </cell>
        </row>
        <row r="143">
          <cell r="A143" t="str">
            <v>Guinea</v>
          </cell>
        </row>
        <row r="144">
          <cell r="A144" t="str">
            <v>Nigeria</v>
          </cell>
          <cell r="B144">
            <v>0.92</v>
          </cell>
          <cell r="C144">
            <v>0.08</v>
          </cell>
        </row>
        <row r="145">
          <cell r="A145" t="str">
            <v>Nicaragua</v>
          </cell>
        </row>
        <row r="146">
          <cell r="A146" t="str">
            <v>Greece</v>
          </cell>
          <cell r="B146">
            <v>0.84</v>
          </cell>
          <cell r="C146">
            <v>0.16</v>
          </cell>
        </row>
        <row r="147">
          <cell r="A147" t="str">
            <v>Indonesia</v>
          </cell>
          <cell r="B147">
            <v>0.84</v>
          </cell>
          <cell r="C147">
            <v>0.16</v>
          </cell>
        </row>
        <row r="148">
          <cell r="A148" t="str">
            <v>Paraguay</v>
          </cell>
        </row>
        <row r="149">
          <cell r="A149" t="str">
            <v>Thailand</v>
          </cell>
          <cell r="B149">
            <v>0.91</v>
          </cell>
          <cell r="C149">
            <v>0.09</v>
          </cell>
        </row>
        <row r="150">
          <cell r="A150" t="str">
            <v>Barbados</v>
          </cell>
        </row>
        <row r="151">
          <cell r="A151" t="str">
            <v>Bosnia &amp; Herzegovina</v>
          </cell>
        </row>
        <row r="152">
          <cell r="A152" t="str">
            <v>Jordan</v>
          </cell>
        </row>
        <row r="153">
          <cell r="A153" t="str">
            <v>Azerbaijan</v>
          </cell>
        </row>
        <row r="154">
          <cell r="A154" t="str">
            <v>Chile</v>
          </cell>
          <cell r="B154">
            <v>0.89</v>
          </cell>
          <cell r="C154">
            <v>0.11</v>
          </cell>
        </row>
        <row r="155">
          <cell r="A155" t="str">
            <v>RÃ©union</v>
          </cell>
        </row>
        <row r="156">
          <cell r="A156" t="str">
            <v>Montenegro</v>
          </cell>
        </row>
        <row r="157">
          <cell r="A157" t="str">
            <v>Vietnam</v>
          </cell>
          <cell r="B157">
            <v>0.91</v>
          </cell>
          <cell r="C157">
            <v>0.09</v>
          </cell>
        </row>
        <row r="158">
          <cell r="A158" t="str">
            <v>Saudi Arabia</v>
          </cell>
          <cell r="B158">
            <v>0.89</v>
          </cell>
          <cell r="C158">
            <v>0.11</v>
          </cell>
        </row>
        <row r="159">
          <cell r="A159" t="str">
            <v>Burkina Faso</v>
          </cell>
        </row>
        <row r="160">
          <cell r="A160" t="str">
            <v>Iran</v>
          </cell>
          <cell r="B160">
            <v>0.8</v>
          </cell>
          <cell r="C160">
            <v>0.2</v>
          </cell>
        </row>
        <row r="161">
          <cell r="A161" t="str">
            <v>Yemen</v>
          </cell>
        </row>
        <row r="162">
          <cell r="A162" t="str">
            <v>Kuwait</v>
          </cell>
        </row>
        <row r="163">
          <cell r="A163" t="str">
            <v>Guadeloupe</v>
          </cell>
        </row>
        <row r="164">
          <cell r="A164" t="str">
            <v>Syria</v>
          </cell>
        </row>
        <row r="165">
          <cell r="A165" t="str">
            <v>Puerto Rico</v>
          </cell>
        </row>
        <row r="166">
          <cell r="A166" t="str">
            <v>Georgia</v>
          </cell>
        </row>
        <row r="167">
          <cell r="A167" t="str">
            <v>Egypt</v>
          </cell>
          <cell r="B167">
            <v>0.83</v>
          </cell>
          <cell r="C167">
            <v>0.17</v>
          </cell>
        </row>
        <row r="168">
          <cell r="A168" t="str">
            <v>Tajikistan</v>
          </cell>
        </row>
        <row r="169">
          <cell r="A169" t="str">
            <v>Venezuela</v>
          </cell>
          <cell r="B169">
            <v>1</v>
          </cell>
        </row>
        <row r="170">
          <cell r="A170" t="str">
            <v>Turkmenistan</v>
          </cell>
        </row>
        <row r="171">
          <cell r="A171" t="str">
            <v>Kyrgyzstan</v>
          </cell>
        </row>
        <row r="172">
          <cell r="A172" t="str">
            <v>Turkey</v>
          </cell>
          <cell r="B172">
            <v>0.89</v>
          </cell>
          <cell r="C172">
            <v>0.11</v>
          </cell>
        </row>
        <row r="173">
          <cell r="A173" t="str">
            <v>Iraq</v>
          </cell>
        </row>
        <row r="174">
          <cell r="A174" t="str">
            <v>North Korea</v>
          </cell>
        </row>
        <row r="175">
          <cell r="A175" t="str">
            <v>Nauru</v>
          </cell>
        </row>
        <row r="176">
          <cell r="A176" t="str">
            <v>Cook Islands</v>
          </cell>
        </row>
        <row r="177">
          <cell r="A177" t="str">
            <v>Svalbard &amp; Jan Mayen</v>
          </cell>
        </row>
        <row r="178">
          <cell r="A178" t="str">
            <v>Tonga</v>
          </cell>
        </row>
        <row r="179">
          <cell r="A179" t="str">
            <v>American Samoa</v>
          </cell>
        </row>
        <row r="180">
          <cell r="A180" t="str">
            <v>Palau</v>
          </cell>
        </row>
        <row r="181">
          <cell r="A181" t="str">
            <v>St. Pierre &amp; Miquelon</v>
          </cell>
        </row>
        <row r="182">
          <cell r="A182" t="str">
            <v>Micronesia</v>
          </cell>
        </row>
        <row r="183">
          <cell r="A183" t="str">
            <v>Vanuatu</v>
          </cell>
        </row>
        <row r="184">
          <cell r="A184" t="str">
            <v>Anguilla</v>
          </cell>
        </row>
        <row r="185">
          <cell r="A185" t="str">
            <v>Gibraltar</v>
          </cell>
        </row>
        <row r="186">
          <cell r="A186" t="str">
            <v>SÃ£o TomÃ© &amp; PrÃ­ncipe</v>
          </cell>
        </row>
        <row r="187">
          <cell r="A187" t="str">
            <v>Samoa</v>
          </cell>
        </row>
        <row r="188">
          <cell r="A188" t="str">
            <v>Central African Republic</v>
          </cell>
        </row>
        <row r="189">
          <cell r="A189" t="str">
            <v>Gambia</v>
          </cell>
        </row>
        <row r="190">
          <cell r="A190" t="str">
            <v>Guinea-Bissau</v>
          </cell>
        </row>
        <row r="191">
          <cell r="A191" t="str">
            <v>Djibouti</v>
          </cell>
        </row>
        <row r="192">
          <cell r="A192" t="str">
            <v>Comoros</v>
          </cell>
        </row>
        <row r="193">
          <cell r="A193" t="str">
            <v>Sint Maarten</v>
          </cell>
        </row>
        <row r="194">
          <cell r="A194" t="str">
            <v>Greenland</v>
          </cell>
        </row>
        <row r="195">
          <cell r="A195" t="str">
            <v>Liechtenstein</v>
          </cell>
        </row>
        <row r="196">
          <cell r="A196" t="str">
            <v>Dominica</v>
          </cell>
        </row>
        <row r="197">
          <cell r="A197" t="str">
            <v>Monaco</v>
          </cell>
        </row>
        <row r="198">
          <cell r="A198" t="str">
            <v>Solomon Islands</v>
          </cell>
        </row>
        <row r="199">
          <cell r="A199" t="str">
            <v>French Polynesia</v>
          </cell>
        </row>
        <row r="200">
          <cell r="A200" t="str">
            <v>Equatorial Guinea</v>
          </cell>
        </row>
        <row r="201">
          <cell r="A201" t="str">
            <v>Ã…land Islands</v>
          </cell>
        </row>
        <row r="202">
          <cell r="A202" t="str">
            <v>Grenada</v>
          </cell>
        </row>
        <row r="203">
          <cell r="A203" t="str">
            <v>Chad</v>
          </cell>
        </row>
        <row r="204">
          <cell r="A204" t="str">
            <v>Northern Mariana Islands</v>
          </cell>
        </row>
        <row r="205">
          <cell r="A205" t="str">
            <v>Andorra</v>
          </cell>
        </row>
        <row r="206">
          <cell r="A206" t="str">
            <v>Bermuda</v>
          </cell>
        </row>
        <row r="207">
          <cell r="A207" t="str">
            <v>San Marino</v>
          </cell>
        </row>
        <row r="208">
          <cell r="A208" t="str">
            <v>Congo - Brazzaville</v>
          </cell>
        </row>
        <row r="209">
          <cell r="A209" t="str">
            <v>New Caledonia</v>
          </cell>
        </row>
        <row r="210">
          <cell r="A210" t="str">
            <v>St. BarthÃ©lemy</v>
          </cell>
        </row>
        <row r="211">
          <cell r="A211" t="str">
            <v>St. Vincent &amp; Grenadines</v>
          </cell>
        </row>
        <row r="212">
          <cell r="A212" t="str">
            <v>Timor-Leste</v>
          </cell>
        </row>
        <row r="213">
          <cell r="A213" t="str">
            <v>South Sudan</v>
          </cell>
        </row>
        <row r="214">
          <cell r="A214" t="str">
            <v>Faroe Islands</v>
          </cell>
        </row>
        <row r="215">
          <cell r="A215" t="str">
            <v>Turks &amp; Caicos Islands</v>
          </cell>
        </row>
        <row r="216">
          <cell r="A216" t="str">
            <v>Seychelles</v>
          </cell>
        </row>
        <row r="217">
          <cell r="A217" t="str">
            <v>St. Kitts &amp; Nevis</v>
          </cell>
        </row>
        <row r="218">
          <cell r="A218" t="str">
            <v>St. Lucia</v>
          </cell>
        </row>
        <row r="219">
          <cell r="A219" t="str">
            <v>Gabon</v>
          </cell>
        </row>
        <row r="220">
          <cell r="A220" t="str">
            <v>Antigua &amp; Barbuda</v>
          </cell>
        </row>
        <row r="221">
          <cell r="A221" t="str">
            <v>Belize</v>
          </cell>
        </row>
        <row r="222">
          <cell r="A222" t="str">
            <v>Mayotte</v>
          </cell>
        </row>
        <row r="223">
          <cell r="A223" t="str">
            <v>Mauritania</v>
          </cell>
        </row>
        <row r="224">
          <cell r="A224" t="str">
            <v>French Guiana</v>
          </cell>
        </row>
        <row r="225">
          <cell r="A225" t="str">
            <v>Niger</v>
          </cell>
        </row>
        <row r="226">
          <cell r="A226" t="str">
            <v>U.S. Virgin Islands</v>
          </cell>
        </row>
        <row r="227">
          <cell r="A227" t="str">
            <v>Western Sahara</v>
          </cell>
        </row>
        <row r="228">
          <cell r="A228" t="str">
            <v>Guernsey</v>
          </cell>
        </row>
        <row r="229">
          <cell r="A229" t="str">
            <v>Aruba</v>
          </cell>
        </row>
        <row r="230">
          <cell r="A230" t="str">
            <v>Antarctica</v>
          </cell>
        </row>
        <row r="231">
          <cell r="A231" t="str">
            <v>French Southern Territories</v>
          </cell>
        </row>
        <row r="232">
          <cell r="A232" t="str">
            <v>Caribbean Netherlands</v>
          </cell>
        </row>
        <row r="233">
          <cell r="A233" t="str">
            <v>Bouvet Island</v>
          </cell>
        </row>
        <row r="234">
          <cell r="A234" t="str">
            <v>Cocos (Keeling) Islands</v>
          </cell>
        </row>
        <row r="235">
          <cell r="A235" t="str">
            <v>Christmas Island</v>
          </cell>
        </row>
        <row r="236">
          <cell r="A236" t="str">
            <v>Eritrea</v>
          </cell>
        </row>
        <row r="237">
          <cell r="A237" t="str">
            <v>Falkland Islands (Islas Malvinas)</v>
          </cell>
        </row>
        <row r="238">
          <cell r="A238" t="str">
            <v>Heard &amp; McDonald Islands</v>
          </cell>
        </row>
        <row r="239">
          <cell r="A239" t="str">
            <v>British Indian Ocean Territory</v>
          </cell>
        </row>
        <row r="240">
          <cell r="A240" t="str">
            <v>Kiribati</v>
          </cell>
        </row>
        <row r="241">
          <cell r="A241" t="str">
            <v>St. Martin</v>
          </cell>
        </row>
        <row r="242">
          <cell r="A242" t="str">
            <v>Marshall Islands</v>
          </cell>
        </row>
        <row r="243">
          <cell r="A243" t="str">
            <v>Montserrat</v>
          </cell>
        </row>
        <row r="244">
          <cell r="A244" t="str">
            <v>Norfolk Island</v>
          </cell>
        </row>
        <row r="245">
          <cell r="A245" t="str">
            <v>Niue</v>
          </cell>
        </row>
        <row r="246">
          <cell r="A246" t="str">
            <v>Pitcairn Islands</v>
          </cell>
        </row>
        <row r="247">
          <cell r="A247" t="str">
            <v>South Georgia &amp; South Sandwich Islands</v>
          </cell>
        </row>
        <row r="248">
          <cell r="A248" t="str">
            <v>Tokelau</v>
          </cell>
        </row>
        <row r="249">
          <cell r="A249" t="str">
            <v>Tuvalu</v>
          </cell>
        </row>
        <row r="250">
          <cell r="A250" t="str">
            <v>U.S. Outlying Islands</v>
          </cell>
        </row>
        <row r="251">
          <cell r="A251" t="str">
            <v>Vatican City</v>
          </cell>
        </row>
        <row r="252">
          <cell r="A252" t="str">
            <v>British Virgin Islands</v>
          </cell>
        </row>
        <row r="253">
          <cell r="A253" t="str">
            <v>Wallis &amp; Futuna</v>
          </cell>
        </row>
      </sheetData>
    </sheetDataSet>
  </externalBook>
</externalLink>
</file>

<file path=xl/externalLinks/externalLink1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67)"/>
    </sheetNames>
    <sheetDataSet>
      <sheetData sheetId="0" refreshError="1">
        <row r="1">
          <cell r="A1" t="str">
            <v>Category: All categories</v>
          </cell>
        </row>
        <row r="3">
          <cell r="A3" t="str">
            <v>Country</v>
          </cell>
          <cell r="B3" t="str">
            <v>Java: (2018)</v>
          </cell>
          <cell r="C3" t="str">
            <v>JavaScript: (2018)</v>
          </cell>
        </row>
        <row r="4">
          <cell r="A4" t="str">
            <v>China</v>
          </cell>
          <cell r="B4">
            <v>0.54</v>
          </cell>
          <cell r="C4">
            <v>0.46</v>
          </cell>
        </row>
        <row r="5">
          <cell r="A5" t="str">
            <v>Madagascar</v>
          </cell>
        </row>
        <row r="6">
          <cell r="A6" t="str">
            <v>Bangladesh</v>
          </cell>
          <cell r="B6">
            <v>0.84</v>
          </cell>
          <cell r="C6">
            <v>0.16</v>
          </cell>
        </row>
        <row r="7">
          <cell r="A7" t="str">
            <v>St. Helena</v>
          </cell>
          <cell r="B7">
            <v>0.63</v>
          </cell>
          <cell r="C7">
            <v>0.37</v>
          </cell>
        </row>
        <row r="8">
          <cell r="A8" t="str">
            <v>Ethiopia</v>
          </cell>
        </row>
        <row r="9">
          <cell r="A9" t="str">
            <v>Cameroon</v>
          </cell>
        </row>
        <row r="10">
          <cell r="A10" t="str">
            <v>South Korea</v>
          </cell>
          <cell r="B10">
            <v>0.57999999999999996</v>
          </cell>
          <cell r="C10">
            <v>0.42</v>
          </cell>
        </row>
        <row r="11">
          <cell r="A11" t="str">
            <v>Sierra Leone</v>
          </cell>
        </row>
        <row r="12">
          <cell r="A12" t="str">
            <v>Burundi</v>
          </cell>
        </row>
        <row r="13">
          <cell r="A13" t="str">
            <v>Togo</v>
          </cell>
        </row>
        <row r="14">
          <cell r="A14" t="str">
            <v>Armenia</v>
          </cell>
        </row>
        <row r="15">
          <cell r="A15" t="str">
            <v>Eritrea</v>
          </cell>
        </row>
        <row r="16">
          <cell r="A16" t="str">
            <v>Benin</v>
          </cell>
        </row>
        <row r="17">
          <cell r="A17" t="str">
            <v>Zambia</v>
          </cell>
        </row>
        <row r="18">
          <cell r="A18" t="str">
            <v>India</v>
          </cell>
          <cell r="B18">
            <v>0.67</v>
          </cell>
          <cell r="C18">
            <v>0.33</v>
          </cell>
        </row>
        <row r="19">
          <cell r="A19" t="str">
            <v>Malawi</v>
          </cell>
        </row>
        <row r="20">
          <cell r="A20" t="str">
            <v>Sri Lanka</v>
          </cell>
          <cell r="B20">
            <v>0.66</v>
          </cell>
          <cell r="C20">
            <v>0.34</v>
          </cell>
        </row>
        <row r="21">
          <cell r="A21" t="str">
            <v>Ã…land Islands</v>
          </cell>
        </row>
        <row r="22">
          <cell r="A22" t="str">
            <v>Nigeria</v>
          </cell>
          <cell r="B22">
            <v>0.82</v>
          </cell>
          <cell r="C22">
            <v>0.18</v>
          </cell>
        </row>
        <row r="23">
          <cell r="A23" t="str">
            <v>SÃ£o TomÃ© &amp; PrÃ­ncipe</v>
          </cell>
        </row>
        <row r="24">
          <cell r="A24" t="str">
            <v>Uganda</v>
          </cell>
        </row>
        <row r="25">
          <cell r="A25" t="str">
            <v>Cuba</v>
          </cell>
        </row>
        <row r="26">
          <cell r="A26" t="str">
            <v>Congo - Kinshasa</v>
          </cell>
        </row>
        <row r="27">
          <cell r="A27" t="str">
            <v>Burkina Faso</v>
          </cell>
        </row>
        <row r="28">
          <cell r="A28" t="str">
            <v>Rwanda</v>
          </cell>
        </row>
        <row r="29">
          <cell r="A29" t="str">
            <v>Guinea</v>
          </cell>
        </row>
        <row r="30">
          <cell r="A30" t="str">
            <v>Congo - Brazzaville</v>
          </cell>
        </row>
        <row r="31">
          <cell r="A31" t="str">
            <v>Mozambique</v>
          </cell>
        </row>
        <row r="32">
          <cell r="A32" t="str">
            <v>Myanmar (Burma)</v>
          </cell>
        </row>
        <row r="33">
          <cell r="A33" t="str">
            <v>Singapore</v>
          </cell>
          <cell r="B33">
            <v>0.56000000000000005</v>
          </cell>
          <cell r="C33">
            <v>0.44</v>
          </cell>
        </row>
        <row r="34">
          <cell r="A34" t="str">
            <v>Uzbekistan</v>
          </cell>
        </row>
        <row r="35">
          <cell r="A35" t="str">
            <v>Guinea-Bissau</v>
          </cell>
        </row>
        <row r="36">
          <cell r="A36" t="str">
            <v>Israel</v>
          </cell>
          <cell r="B36">
            <v>0.46</v>
          </cell>
          <cell r="C36">
            <v>0.54</v>
          </cell>
        </row>
        <row r="37">
          <cell r="A37" t="str">
            <v>Botswana</v>
          </cell>
        </row>
        <row r="38">
          <cell r="A38" t="str">
            <v>Luxembourg</v>
          </cell>
        </row>
        <row r="39">
          <cell r="A39" t="str">
            <v>Tunisia</v>
          </cell>
          <cell r="B39">
            <v>0.57999999999999996</v>
          </cell>
          <cell r="C39">
            <v>0.42</v>
          </cell>
        </row>
        <row r="40">
          <cell r="A40" t="str">
            <v>Estonia</v>
          </cell>
        </row>
        <row r="41">
          <cell r="A41" t="str">
            <v>Belarus</v>
          </cell>
          <cell r="B41">
            <v>0.47</v>
          </cell>
          <cell r="C41">
            <v>0.53</v>
          </cell>
        </row>
        <row r="42">
          <cell r="A42" t="str">
            <v>Iceland</v>
          </cell>
        </row>
        <row r="43">
          <cell r="A43" t="str">
            <v>CÃ´te dâ€™Ivoire</v>
          </cell>
        </row>
        <row r="44">
          <cell r="A44" t="str">
            <v>Nepal</v>
          </cell>
        </row>
        <row r="45">
          <cell r="A45" t="str">
            <v>Tonga</v>
          </cell>
        </row>
        <row r="46">
          <cell r="A46" t="str">
            <v>Niger</v>
          </cell>
        </row>
        <row r="47">
          <cell r="A47" t="str">
            <v>Gibraltar</v>
          </cell>
        </row>
        <row r="48">
          <cell r="A48" t="str">
            <v>Angola</v>
          </cell>
        </row>
        <row r="49">
          <cell r="A49" t="str">
            <v>Chad</v>
          </cell>
        </row>
        <row r="50">
          <cell r="A50" t="str">
            <v>North Macedonia</v>
          </cell>
        </row>
        <row r="51">
          <cell r="A51" t="str">
            <v>Pakistan</v>
          </cell>
          <cell r="B51">
            <v>0.57999999999999996</v>
          </cell>
          <cell r="C51">
            <v>0.42</v>
          </cell>
        </row>
        <row r="52">
          <cell r="A52" t="str">
            <v>Central African Republic</v>
          </cell>
        </row>
        <row r="53">
          <cell r="A53" t="str">
            <v>Hong Kong</v>
          </cell>
          <cell r="B53">
            <v>0.5</v>
          </cell>
          <cell r="C53">
            <v>0.5</v>
          </cell>
        </row>
        <row r="54">
          <cell r="A54" t="str">
            <v>Zimbabwe</v>
          </cell>
        </row>
        <row r="55">
          <cell r="A55" t="str">
            <v>Ukraine</v>
          </cell>
          <cell r="B55">
            <v>0.41</v>
          </cell>
          <cell r="C55">
            <v>0.59</v>
          </cell>
        </row>
        <row r="56">
          <cell r="A56" t="str">
            <v>Serbia</v>
          </cell>
          <cell r="B56">
            <v>0.48</v>
          </cell>
          <cell r="C56">
            <v>0.52</v>
          </cell>
        </row>
        <row r="57">
          <cell r="A57" t="str">
            <v>Tanzania</v>
          </cell>
        </row>
        <row r="58">
          <cell r="A58" t="str">
            <v>Switzerland</v>
          </cell>
          <cell r="B58">
            <v>0.54</v>
          </cell>
          <cell r="C58">
            <v>0.46</v>
          </cell>
        </row>
        <row r="59">
          <cell r="A59" t="str">
            <v>Malta</v>
          </cell>
        </row>
        <row r="60">
          <cell r="A60" t="str">
            <v>Ecuador</v>
          </cell>
          <cell r="B60">
            <v>0.75</v>
          </cell>
          <cell r="C60">
            <v>0.25</v>
          </cell>
        </row>
        <row r="61">
          <cell r="A61" t="str">
            <v>Albania</v>
          </cell>
        </row>
        <row r="62">
          <cell r="A62" t="str">
            <v>Mali</v>
          </cell>
        </row>
        <row r="63">
          <cell r="A63" t="str">
            <v>Germany</v>
          </cell>
          <cell r="B63">
            <v>0.59</v>
          </cell>
          <cell r="C63">
            <v>0.41</v>
          </cell>
        </row>
        <row r="64">
          <cell r="A64" t="str">
            <v>Mauritius</v>
          </cell>
        </row>
        <row r="65">
          <cell r="A65" t="str">
            <v>Lithuania</v>
          </cell>
          <cell r="B65">
            <v>0.45</v>
          </cell>
          <cell r="C65">
            <v>0.55000000000000004</v>
          </cell>
        </row>
        <row r="66">
          <cell r="A66" t="str">
            <v>Bulgaria</v>
          </cell>
          <cell r="B66">
            <v>0.48</v>
          </cell>
          <cell r="C66">
            <v>0.52</v>
          </cell>
        </row>
        <row r="67">
          <cell r="A67" t="str">
            <v>Latvia</v>
          </cell>
        </row>
        <row r="68">
          <cell r="A68" t="str">
            <v>Ghana</v>
          </cell>
        </row>
        <row r="69">
          <cell r="A69" t="str">
            <v>Lesotho</v>
          </cell>
        </row>
        <row r="70">
          <cell r="A70" t="str">
            <v>Senegal</v>
          </cell>
        </row>
        <row r="71">
          <cell r="A71" t="str">
            <v>Finland</v>
          </cell>
          <cell r="B71">
            <v>0.43</v>
          </cell>
          <cell r="C71">
            <v>0.56999999999999995</v>
          </cell>
        </row>
        <row r="72">
          <cell r="A72" t="str">
            <v>Costa Rica</v>
          </cell>
          <cell r="B72">
            <v>0.56000000000000005</v>
          </cell>
          <cell r="C72">
            <v>0.44</v>
          </cell>
        </row>
        <row r="73">
          <cell r="A73" t="str">
            <v>Hungary</v>
          </cell>
          <cell r="B73">
            <v>0.59</v>
          </cell>
          <cell r="C73">
            <v>0.41</v>
          </cell>
        </row>
        <row r="74">
          <cell r="A74" t="str">
            <v>Moldova</v>
          </cell>
        </row>
        <row r="75">
          <cell r="A75" t="str">
            <v>Faroe Islands</v>
          </cell>
        </row>
        <row r="76">
          <cell r="A76" t="str">
            <v>Eswatini</v>
          </cell>
        </row>
        <row r="77">
          <cell r="A77" t="str">
            <v>Cape Verde</v>
          </cell>
        </row>
        <row r="78">
          <cell r="A78" t="str">
            <v>Kenya</v>
          </cell>
          <cell r="B78">
            <v>0.67</v>
          </cell>
          <cell r="C78">
            <v>0.33</v>
          </cell>
        </row>
        <row r="79">
          <cell r="A79" t="str">
            <v>Portugal</v>
          </cell>
          <cell r="B79">
            <v>0.52</v>
          </cell>
          <cell r="C79">
            <v>0.48</v>
          </cell>
        </row>
        <row r="80">
          <cell r="A80" t="str">
            <v>Sweden</v>
          </cell>
          <cell r="B80">
            <v>0.48</v>
          </cell>
          <cell r="C80">
            <v>0.52</v>
          </cell>
        </row>
        <row r="81">
          <cell r="A81" t="str">
            <v>Romania</v>
          </cell>
          <cell r="B81">
            <v>0.55000000000000004</v>
          </cell>
          <cell r="C81">
            <v>0.45</v>
          </cell>
        </row>
        <row r="82">
          <cell r="A82" t="str">
            <v>Czechia</v>
          </cell>
          <cell r="B82">
            <v>0.5</v>
          </cell>
          <cell r="C82">
            <v>0.5</v>
          </cell>
        </row>
        <row r="83">
          <cell r="A83" t="str">
            <v>New Zealand</v>
          </cell>
          <cell r="B83">
            <v>0.4</v>
          </cell>
          <cell r="C83">
            <v>0.6</v>
          </cell>
        </row>
        <row r="84">
          <cell r="A84" t="str">
            <v>Ireland</v>
          </cell>
          <cell r="B84">
            <v>0.56000000000000005</v>
          </cell>
          <cell r="C84">
            <v>0.44</v>
          </cell>
        </row>
        <row r="85">
          <cell r="A85" t="str">
            <v>Gabon</v>
          </cell>
        </row>
        <row r="86">
          <cell r="A86" t="str">
            <v>Austria</v>
          </cell>
          <cell r="B86">
            <v>0.56999999999999995</v>
          </cell>
          <cell r="C86">
            <v>0.43</v>
          </cell>
        </row>
        <row r="87">
          <cell r="A87" t="str">
            <v>Papua New Guinea</v>
          </cell>
        </row>
        <row r="88">
          <cell r="A88" t="str">
            <v>El Salvador</v>
          </cell>
        </row>
        <row r="89">
          <cell r="A89" t="str">
            <v>Cambodia</v>
          </cell>
        </row>
        <row r="90">
          <cell r="A90" t="str">
            <v>Canada</v>
          </cell>
          <cell r="B90">
            <v>0.49</v>
          </cell>
          <cell r="C90">
            <v>0.51</v>
          </cell>
        </row>
        <row r="91">
          <cell r="A91" t="str">
            <v>Bhutan</v>
          </cell>
        </row>
        <row r="92">
          <cell r="A92" t="str">
            <v>Sudan</v>
          </cell>
        </row>
        <row r="93">
          <cell r="A93" t="str">
            <v>Philippines</v>
          </cell>
          <cell r="B93">
            <v>0.51</v>
          </cell>
          <cell r="C93">
            <v>0.49</v>
          </cell>
        </row>
        <row r="94">
          <cell r="A94" t="str">
            <v>Poland</v>
          </cell>
          <cell r="B94">
            <v>0.56000000000000005</v>
          </cell>
          <cell r="C94">
            <v>0.44</v>
          </cell>
        </row>
        <row r="95">
          <cell r="A95" t="str">
            <v>Liechtenstein</v>
          </cell>
        </row>
        <row r="96">
          <cell r="A96" t="str">
            <v>Slovenia</v>
          </cell>
        </row>
        <row r="97">
          <cell r="A97" t="str">
            <v>Taiwan</v>
          </cell>
          <cell r="B97">
            <v>0.47</v>
          </cell>
          <cell r="C97">
            <v>0.53</v>
          </cell>
        </row>
        <row r="98">
          <cell r="A98" t="str">
            <v>Mongolia</v>
          </cell>
        </row>
        <row r="99">
          <cell r="A99" t="str">
            <v>Japan</v>
          </cell>
          <cell r="B99">
            <v>0.53</v>
          </cell>
          <cell r="C99">
            <v>0.47</v>
          </cell>
        </row>
        <row r="100">
          <cell r="A100" t="str">
            <v>Kosovo</v>
          </cell>
        </row>
        <row r="101">
          <cell r="A101" t="str">
            <v>Netherlands</v>
          </cell>
          <cell r="B101">
            <v>0.44</v>
          </cell>
          <cell r="C101">
            <v>0.56000000000000005</v>
          </cell>
        </row>
        <row r="102">
          <cell r="A102" t="str">
            <v>Vietnam</v>
          </cell>
          <cell r="B102">
            <v>0.62</v>
          </cell>
          <cell r="C102">
            <v>0.38</v>
          </cell>
        </row>
        <row r="103">
          <cell r="A103" t="str">
            <v>Norway</v>
          </cell>
          <cell r="B103">
            <v>0.46</v>
          </cell>
          <cell r="C103">
            <v>0.54</v>
          </cell>
        </row>
        <row r="104">
          <cell r="A104" t="str">
            <v>Colombia</v>
          </cell>
          <cell r="B104">
            <v>0.62</v>
          </cell>
          <cell r="C104">
            <v>0.38</v>
          </cell>
        </row>
        <row r="105">
          <cell r="A105" t="str">
            <v>United States</v>
          </cell>
          <cell r="B105">
            <v>0.53</v>
          </cell>
          <cell r="C105">
            <v>0.47</v>
          </cell>
        </row>
        <row r="106">
          <cell r="A106" t="str">
            <v>Palestine</v>
          </cell>
        </row>
        <row r="107">
          <cell r="A107" t="str">
            <v>Namibia</v>
          </cell>
        </row>
        <row r="108">
          <cell r="A108" t="str">
            <v>Liberia</v>
          </cell>
        </row>
        <row r="109">
          <cell r="A109" t="str">
            <v>Laos</v>
          </cell>
        </row>
        <row r="110">
          <cell r="A110" t="str">
            <v>Lebanon</v>
          </cell>
        </row>
        <row r="111">
          <cell r="A111" t="str">
            <v>Afghanistan</v>
          </cell>
        </row>
        <row r="112">
          <cell r="A112" t="str">
            <v>San Marino</v>
          </cell>
        </row>
        <row r="113">
          <cell r="A113" t="str">
            <v>Russia</v>
          </cell>
          <cell r="B113">
            <v>0.45</v>
          </cell>
          <cell r="C113">
            <v>0.55000000000000004</v>
          </cell>
        </row>
        <row r="114">
          <cell r="A114" t="str">
            <v>Cyprus</v>
          </cell>
        </row>
        <row r="115">
          <cell r="A115" t="str">
            <v>Denmark</v>
          </cell>
          <cell r="B115">
            <v>0.47</v>
          </cell>
          <cell r="C115">
            <v>0.53</v>
          </cell>
        </row>
        <row r="116">
          <cell r="A116" t="str">
            <v>Bolivia</v>
          </cell>
        </row>
        <row r="117">
          <cell r="A117" t="str">
            <v>Mauritania</v>
          </cell>
        </row>
        <row r="118">
          <cell r="A118" t="str">
            <v>Morocco</v>
          </cell>
          <cell r="B118">
            <v>0.62</v>
          </cell>
          <cell r="C118">
            <v>0.38</v>
          </cell>
        </row>
        <row r="119">
          <cell r="A119" t="str">
            <v>Equatorial Guinea</v>
          </cell>
        </row>
        <row r="120">
          <cell r="A120" t="str">
            <v>Guatemala</v>
          </cell>
        </row>
        <row r="121">
          <cell r="A121" t="str">
            <v>Mexico</v>
          </cell>
          <cell r="B121">
            <v>0.65</v>
          </cell>
          <cell r="C121">
            <v>0.35</v>
          </cell>
        </row>
        <row r="122">
          <cell r="A122" t="str">
            <v>Gambia</v>
          </cell>
        </row>
        <row r="123">
          <cell r="A123" t="str">
            <v>Spain</v>
          </cell>
          <cell r="B123">
            <v>0.56999999999999995</v>
          </cell>
          <cell r="C123">
            <v>0.43</v>
          </cell>
        </row>
        <row r="124">
          <cell r="A124" t="str">
            <v>Monaco</v>
          </cell>
        </row>
        <row r="125">
          <cell r="A125" t="str">
            <v>Andorra</v>
          </cell>
        </row>
        <row r="126">
          <cell r="A126" t="str">
            <v>Slovakia</v>
          </cell>
          <cell r="B126">
            <v>0.53</v>
          </cell>
          <cell r="C126">
            <v>0.47</v>
          </cell>
        </row>
        <row r="127">
          <cell r="A127" t="str">
            <v>Peru</v>
          </cell>
          <cell r="B127">
            <v>0.63</v>
          </cell>
          <cell r="C127">
            <v>0.37</v>
          </cell>
        </row>
        <row r="128">
          <cell r="A128" t="str">
            <v>Belgium</v>
          </cell>
          <cell r="B128">
            <v>0.51</v>
          </cell>
          <cell r="C128">
            <v>0.49</v>
          </cell>
        </row>
        <row r="129">
          <cell r="A129" t="str">
            <v>Croatia</v>
          </cell>
          <cell r="B129">
            <v>0.56000000000000005</v>
          </cell>
          <cell r="C129">
            <v>0.44</v>
          </cell>
        </row>
        <row r="130">
          <cell r="A130" t="str">
            <v>Comoros</v>
          </cell>
        </row>
        <row r="131">
          <cell r="A131" t="str">
            <v>Australia</v>
          </cell>
          <cell r="B131">
            <v>0.45</v>
          </cell>
          <cell r="C131">
            <v>0.55000000000000004</v>
          </cell>
        </row>
        <row r="132">
          <cell r="A132" t="str">
            <v>Macao</v>
          </cell>
        </row>
        <row r="133">
          <cell r="A133" t="str">
            <v>Uruguay</v>
          </cell>
        </row>
        <row r="134">
          <cell r="A134" t="str">
            <v>South Africa</v>
          </cell>
          <cell r="B134">
            <v>0.56000000000000005</v>
          </cell>
          <cell r="C134">
            <v>0.44</v>
          </cell>
        </row>
        <row r="135">
          <cell r="A135" t="str">
            <v>Dominica</v>
          </cell>
        </row>
        <row r="136">
          <cell r="A136" t="str">
            <v>Kyrgyzstan</v>
          </cell>
        </row>
        <row r="137">
          <cell r="A137" t="str">
            <v>Kazakhstan</v>
          </cell>
          <cell r="B137">
            <v>0.59</v>
          </cell>
          <cell r="C137">
            <v>0.41</v>
          </cell>
        </row>
        <row r="138">
          <cell r="A138" t="str">
            <v>Bosnia &amp; Herzegovina</v>
          </cell>
        </row>
        <row r="139">
          <cell r="A139" t="str">
            <v>France</v>
          </cell>
          <cell r="B139">
            <v>0.48</v>
          </cell>
          <cell r="C139">
            <v>0.52</v>
          </cell>
        </row>
        <row r="140">
          <cell r="A140" t="str">
            <v>Somalia</v>
          </cell>
        </row>
        <row r="141">
          <cell r="A141" t="str">
            <v>Djibouti</v>
          </cell>
        </row>
        <row r="142">
          <cell r="A142" t="str">
            <v>Maldives</v>
          </cell>
        </row>
        <row r="143">
          <cell r="A143" t="str">
            <v>Algeria</v>
          </cell>
        </row>
        <row r="144">
          <cell r="A144" t="str">
            <v>United Kingdom</v>
          </cell>
          <cell r="B144">
            <v>0.45</v>
          </cell>
          <cell r="C144">
            <v>0.55000000000000004</v>
          </cell>
        </row>
        <row r="145">
          <cell r="A145" t="str">
            <v>South Sudan</v>
          </cell>
        </row>
        <row r="146">
          <cell r="A146" t="str">
            <v>Isle of Man</v>
          </cell>
        </row>
        <row r="147">
          <cell r="A147" t="str">
            <v>Paraguay</v>
          </cell>
        </row>
        <row r="148">
          <cell r="A148" t="str">
            <v>Brazil</v>
          </cell>
          <cell r="B148">
            <v>0.62</v>
          </cell>
          <cell r="C148">
            <v>0.38</v>
          </cell>
        </row>
        <row r="149">
          <cell r="A149" t="str">
            <v>Azerbaijan</v>
          </cell>
        </row>
        <row r="150">
          <cell r="A150" t="str">
            <v>Jordan</v>
          </cell>
        </row>
        <row r="151">
          <cell r="A151" t="str">
            <v>Honduras</v>
          </cell>
        </row>
        <row r="152">
          <cell r="A152" t="str">
            <v>Jersey</v>
          </cell>
        </row>
        <row r="153">
          <cell r="A153" t="str">
            <v>Syria</v>
          </cell>
        </row>
        <row r="154">
          <cell r="A154" t="str">
            <v>Timor-Leste</v>
          </cell>
        </row>
        <row r="155">
          <cell r="A155" t="str">
            <v>United Arab Emirates</v>
          </cell>
          <cell r="B155">
            <v>0.52</v>
          </cell>
          <cell r="C155">
            <v>0.48</v>
          </cell>
        </row>
        <row r="156">
          <cell r="A156" t="str">
            <v>Haiti</v>
          </cell>
        </row>
        <row r="157">
          <cell r="A157" t="str">
            <v>Malaysia</v>
          </cell>
          <cell r="B157">
            <v>0.53</v>
          </cell>
          <cell r="C157">
            <v>0.47</v>
          </cell>
        </row>
        <row r="158">
          <cell r="A158" t="str">
            <v>Indonesia</v>
          </cell>
          <cell r="B158">
            <v>0.66</v>
          </cell>
          <cell r="C158">
            <v>0.34</v>
          </cell>
        </row>
        <row r="159">
          <cell r="A159" t="str">
            <v>French Polynesia</v>
          </cell>
        </row>
        <row r="160">
          <cell r="A160" t="str">
            <v>Georgia</v>
          </cell>
        </row>
        <row r="161">
          <cell r="A161" t="str">
            <v>Greece</v>
          </cell>
          <cell r="B161">
            <v>0.56000000000000005</v>
          </cell>
          <cell r="C161">
            <v>0.44</v>
          </cell>
        </row>
        <row r="162">
          <cell r="A162" t="str">
            <v>Iran</v>
          </cell>
          <cell r="B162">
            <v>0.62</v>
          </cell>
          <cell r="C162">
            <v>0.38</v>
          </cell>
        </row>
        <row r="163">
          <cell r="A163" t="str">
            <v>Turkmenistan</v>
          </cell>
        </row>
        <row r="164">
          <cell r="A164" t="str">
            <v>Nicaragua</v>
          </cell>
        </row>
        <row r="165">
          <cell r="A165" t="str">
            <v>Italy</v>
          </cell>
          <cell r="B165">
            <v>0.57999999999999996</v>
          </cell>
          <cell r="C165">
            <v>0.42</v>
          </cell>
        </row>
        <row r="166">
          <cell r="A166" t="str">
            <v>Western Sahara</v>
          </cell>
        </row>
        <row r="167">
          <cell r="A167" t="str">
            <v>Yemen</v>
          </cell>
        </row>
        <row r="168">
          <cell r="A168" t="str">
            <v>Brunei</v>
          </cell>
        </row>
        <row r="169">
          <cell r="A169" t="str">
            <v>Fiji</v>
          </cell>
        </row>
        <row r="170">
          <cell r="A170" t="str">
            <v>Montenegro</v>
          </cell>
        </row>
        <row r="171">
          <cell r="A171" t="str">
            <v>Guernsey</v>
          </cell>
        </row>
        <row r="172">
          <cell r="A172" t="str">
            <v>Chile</v>
          </cell>
          <cell r="B172">
            <v>0.53</v>
          </cell>
          <cell r="C172">
            <v>0.47</v>
          </cell>
        </row>
        <row r="173">
          <cell r="A173" t="str">
            <v>Venezuela</v>
          </cell>
          <cell r="B173">
            <v>0.65</v>
          </cell>
          <cell r="C173">
            <v>0.35</v>
          </cell>
        </row>
        <row r="174">
          <cell r="A174" t="str">
            <v>Egypt</v>
          </cell>
          <cell r="B174">
            <v>0.56999999999999995</v>
          </cell>
          <cell r="C174">
            <v>0.43</v>
          </cell>
        </row>
        <row r="175">
          <cell r="A175" t="str">
            <v>Oman</v>
          </cell>
        </row>
        <row r="176">
          <cell r="A176" t="str">
            <v>Panama</v>
          </cell>
        </row>
        <row r="177">
          <cell r="A177" t="str">
            <v>New Caledonia</v>
          </cell>
        </row>
        <row r="178">
          <cell r="A178" t="str">
            <v>Bahrain</v>
          </cell>
        </row>
        <row r="179">
          <cell r="A179" t="str">
            <v>Jamaica</v>
          </cell>
        </row>
        <row r="180">
          <cell r="A180" t="str">
            <v>Argentina</v>
          </cell>
          <cell r="B180">
            <v>0.53</v>
          </cell>
          <cell r="C180">
            <v>0.47</v>
          </cell>
        </row>
        <row r="181">
          <cell r="A181" t="str">
            <v>Tajikistan</v>
          </cell>
        </row>
        <row r="182">
          <cell r="A182" t="str">
            <v>Vanuatu</v>
          </cell>
        </row>
        <row r="183">
          <cell r="A183" t="str">
            <v>Turkey</v>
          </cell>
          <cell r="B183">
            <v>0.64</v>
          </cell>
          <cell r="C183">
            <v>0.36</v>
          </cell>
        </row>
        <row r="184">
          <cell r="A184" t="str">
            <v>Suriname</v>
          </cell>
        </row>
        <row r="185">
          <cell r="A185" t="str">
            <v>CuraÃ§ao</v>
          </cell>
        </row>
        <row r="186">
          <cell r="A186" t="str">
            <v>Qatar</v>
          </cell>
        </row>
        <row r="187">
          <cell r="A187" t="str">
            <v>Barbados</v>
          </cell>
        </row>
        <row r="188">
          <cell r="A188" t="str">
            <v>Saudi Arabia</v>
          </cell>
          <cell r="B188">
            <v>0.71</v>
          </cell>
          <cell r="C188">
            <v>0.28999999999999998</v>
          </cell>
        </row>
        <row r="189">
          <cell r="A189" t="str">
            <v>Libya</v>
          </cell>
        </row>
        <row r="190">
          <cell r="A190" t="str">
            <v>Greenland</v>
          </cell>
        </row>
        <row r="191">
          <cell r="A191" t="str">
            <v>U.S. Virgin Islands</v>
          </cell>
        </row>
        <row r="192">
          <cell r="A192" t="str">
            <v>Solomon Islands</v>
          </cell>
        </row>
        <row r="193">
          <cell r="A193" t="str">
            <v>Grenada</v>
          </cell>
        </row>
        <row r="194">
          <cell r="A194" t="str">
            <v>Dominican Republic</v>
          </cell>
        </row>
        <row r="195">
          <cell r="A195" t="str">
            <v>Thailand</v>
          </cell>
          <cell r="B195">
            <v>0.51</v>
          </cell>
          <cell r="C195">
            <v>0.49</v>
          </cell>
        </row>
        <row r="196">
          <cell r="A196" t="str">
            <v>Trinidad &amp; Tobago</v>
          </cell>
        </row>
        <row r="197">
          <cell r="A197" t="str">
            <v>Guam</v>
          </cell>
        </row>
        <row r="198">
          <cell r="A198" t="str">
            <v>Puerto Rico</v>
          </cell>
        </row>
        <row r="199">
          <cell r="A199" t="str">
            <v>Cayman Islands</v>
          </cell>
        </row>
        <row r="200">
          <cell r="A200" t="str">
            <v>Antigua &amp; Barbuda</v>
          </cell>
        </row>
        <row r="201">
          <cell r="A201" t="str">
            <v>St. BarthÃ©lemy</v>
          </cell>
        </row>
        <row r="202">
          <cell r="A202" t="str">
            <v>RÃ©union</v>
          </cell>
        </row>
        <row r="203">
          <cell r="A203" t="str">
            <v>Iraq</v>
          </cell>
        </row>
        <row r="204">
          <cell r="A204" t="str">
            <v>Belize</v>
          </cell>
        </row>
        <row r="205">
          <cell r="A205" t="str">
            <v>Sint Maarten</v>
          </cell>
        </row>
        <row r="206">
          <cell r="A206" t="str">
            <v>Aruba</v>
          </cell>
        </row>
        <row r="207">
          <cell r="A207" t="str">
            <v>Guadeloupe</v>
          </cell>
        </row>
        <row r="208">
          <cell r="A208" t="str">
            <v>Kuwait</v>
          </cell>
        </row>
        <row r="209">
          <cell r="A209" t="str">
            <v>St. Kitts &amp; Nevis</v>
          </cell>
        </row>
        <row r="210">
          <cell r="A210" t="str">
            <v>Caribbean Netherlands</v>
          </cell>
        </row>
        <row r="211">
          <cell r="A211" t="str">
            <v>British Virgin Islands</v>
          </cell>
        </row>
        <row r="212">
          <cell r="A212" t="str">
            <v>St. Vincent &amp; Grenadines</v>
          </cell>
        </row>
        <row r="213">
          <cell r="A213" t="str">
            <v>Bermuda</v>
          </cell>
        </row>
        <row r="214">
          <cell r="A214" t="str">
            <v>Martinique</v>
          </cell>
        </row>
        <row r="215">
          <cell r="A215" t="str">
            <v>French Guiana</v>
          </cell>
        </row>
        <row r="216">
          <cell r="A216" t="str">
            <v>Guyana</v>
          </cell>
        </row>
        <row r="217">
          <cell r="A217" t="str">
            <v>St. Lucia</v>
          </cell>
        </row>
        <row r="218">
          <cell r="A218" t="str">
            <v>Bahamas</v>
          </cell>
        </row>
        <row r="219">
          <cell r="A219" t="str">
            <v>North Korea</v>
          </cell>
        </row>
        <row r="220">
          <cell r="A220" t="str">
            <v>Falkland Islands (Islas Malvinas)</v>
          </cell>
        </row>
        <row r="221">
          <cell r="A221" t="str">
            <v>Nauru</v>
          </cell>
        </row>
        <row r="222">
          <cell r="A222" t="str">
            <v>Anguilla</v>
          </cell>
        </row>
        <row r="223">
          <cell r="A223" t="str">
            <v>Seychelles</v>
          </cell>
        </row>
        <row r="224">
          <cell r="A224" t="str">
            <v>American Samoa</v>
          </cell>
        </row>
        <row r="225">
          <cell r="A225" t="str">
            <v>Northern Mariana Islands</v>
          </cell>
        </row>
        <row r="226">
          <cell r="A226" t="str">
            <v>St. Pierre &amp; Miquelon</v>
          </cell>
        </row>
        <row r="227">
          <cell r="A227" t="str">
            <v>Cook Islands</v>
          </cell>
        </row>
        <row r="228">
          <cell r="A228" t="str">
            <v>Turks &amp; Caicos Islands</v>
          </cell>
        </row>
        <row r="229">
          <cell r="A229" t="str">
            <v>Marshall Islands</v>
          </cell>
        </row>
        <row r="230">
          <cell r="A230" t="str">
            <v>Samoa</v>
          </cell>
        </row>
        <row r="231">
          <cell r="A231" t="str">
            <v>Micronesia</v>
          </cell>
        </row>
        <row r="232">
          <cell r="A232" t="str">
            <v>Mayotte</v>
          </cell>
        </row>
        <row r="233">
          <cell r="A233" t="str">
            <v>St. Martin</v>
          </cell>
        </row>
        <row r="234">
          <cell r="A234" t="str">
            <v>Antarctica</v>
          </cell>
        </row>
        <row r="235">
          <cell r="A235" t="str">
            <v>French Southern Territories</v>
          </cell>
        </row>
        <row r="236">
          <cell r="A236" t="str">
            <v>Bouvet Island</v>
          </cell>
        </row>
        <row r="237">
          <cell r="A237" t="str">
            <v>Cocos (Keeling) Islands</v>
          </cell>
        </row>
        <row r="238">
          <cell r="A238" t="str">
            <v>Christmas Island</v>
          </cell>
        </row>
        <row r="239">
          <cell r="A239" t="str">
            <v>Heard &amp; McDonald Islands</v>
          </cell>
        </row>
        <row r="240">
          <cell r="A240" t="str">
            <v>British Indian Ocean Territory</v>
          </cell>
        </row>
        <row r="241">
          <cell r="A241" t="str">
            <v>Kiribati</v>
          </cell>
        </row>
        <row r="242">
          <cell r="A242" t="str">
            <v>Montserrat</v>
          </cell>
        </row>
        <row r="243">
          <cell r="A243" t="str">
            <v>Norfolk Island</v>
          </cell>
        </row>
        <row r="244">
          <cell r="A244" t="str">
            <v>Niue</v>
          </cell>
        </row>
        <row r="245">
          <cell r="A245" t="str">
            <v>Pitcairn Islands</v>
          </cell>
        </row>
        <row r="246">
          <cell r="A246" t="str">
            <v>Palau</v>
          </cell>
        </row>
        <row r="247">
          <cell r="A247" t="str">
            <v>South Georgia &amp; South Sandwich Islands</v>
          </cell>
        </row>
        <row r="248">
          <cell r="A248" t="str">
            <v>Svalbard &amp; Jan Mayen</v>
          </cell>
        </row>
        <row r="249">
          <cell r="A249" t="str">
            <v>Tokelau</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1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68)"/>
    </sheetNames>
    <sheetDataSet>
      <sheetData sheetId="0" refreshError="1">
        <row r="1">
          <cell r="A1" t="str">
            <v>Category: All categories</v>
          </cell>
        </row>
        <row r="3">
          <cell r="A3" t="str">
            <v>Country</v>
          </cell>
          <cell r="B3" t="str">
            <v>Java: (2018)</v>
          </cell>
          <cell r="C3" t="str">
            <v>SQL: (2018)</v>
          </cell>
        </row>
        <row r="4">
          <cell r="A4" t="str">
            <v>China</v>
          </cell>
          <cell r="B4">
            <v>0.8</v>
          </cell>
          <cell r="C4">
            <v>0.2</v>
          </cell>
        </row>
        <row r="5">
          <cell r="A5" t="str">
            <v>Madagascar</v>
          </cell>
        </row>
        <row r="6">
          <cell r="A6" t="str">
            <v>Bangladesh</v>
          </cell>
          <cell r="B6">
            <v>0.9</v>
          </cell>
          <cell r="C6">
            <v>0.1</v>
          </cell>
        </row>
        <row r="7">
          <cell r="A7" t="str">
            <v>St. Helena</v>
          </cell>
          <cell r="B7">
            <v>0.55000000000000004</v>
          </cell>
          <cell r="C7">
            <v>0.45</v>
          </cell>
        </row>
        <row r="8">
          <cell r="A8" t="str">
            <v>Ethiopia</v>
          </cell>
        </row>
        <row r="9">
          <cell r="A9" t="str">
            <v>Cameroon</v>
          </cell>
        </row>
        <row r="10">
          <cell r="A10" t="str">
            <v>Eritrea</v>
          </cell>
        </row>
        <row r="11">
          <cell r="A11" t="str">
            <v>South Korea</v>
          </cell>
          <cell r="B11">
            <v>0.81</v>
          </cell>
          <cell r="C11">
            <v>0.19</v>
          </cell>
        </row>
        <row r="12">
          <cell r="A12" t="str">
            <v>Burundi</v>
          </cell>
        </row>
        <row r="13">
          <cell r="A13" t="str">
            <v>Togo</v>
          </cell>
        </row>
        <row r="14">
          <cell r="A14" t="str">
            <v>Sierra Leone</v>
          </cell>
        </row>
        <row r="15">
          <cell r="A15" t="str">
            <v>Benin</v>
          </cell>
        </row>
        <row r="16">
          <cell r="A16" t="str">
            <v>Zambia</v>
          </cell>
        </row>
        <row r="17">
          <cell r="A17" t="str">
            <v>India</v>
          </cell>
          <cell r="B17">
            <v>0.68</v>
          </cell>
          <cell r="C17">
            <v>0.32</v>
          </cell>
        </row>
        <row r="18">
          <cell r="A18" t="str">
            <v>Sri Lanka</v>
          </cell>
          <cell r="B18">
            <v>0.7</v>
          </cell>
          <cell r="C18">
            <v>0.3</v>
          </cell>
        </row>
        <row r="19">
          <cell r="A19" t="str">
            <v>Malawi</v>
          </cell>
        </row>
        <row r="20">
          <cell r="A20" t="str">
            <v>Nigeria</v>
          </cell>
          <cell r="B20">
            <v>0.91</v>
          </cell>
          <cell r="C20">
            <v>0.09</v>
          </cell>
        </row>
        <row r="21">
          <cell r="A21" t="str">
            <v>Uganda</v>
          </cell>
        </row>
        <row r="22">
          <cell r="A22" t="str">
            <v>Cuba</v>
          </cell>
        </row>
        <row r="23">
          <cell r="A23" t="str">
            <v>Ã…land Islands</v>
          </cell>
        </row>
        <row r="24">
          <cell r="A24" t="str">
            <v>SÃ£o TomÃ© &amp; PrÃ­ncipe</v>
          </cell>
        </row>
        <row r="25">
          <cell r="A25" t="str">
            <v>Congo - Kinshasa</v>
          </cell>
        </row>
        <row r="26">
          <cell r="A26" t="str">
            <v>Rwanda</v>
          </cell>
        </row>
        <row r="27">
          <cell r="A27" t="str">
            <v>Guinea</v>
          </cell>
        </row>
        <row r="28">
          <cell r="A28" t="str">
            <v>Mozambique</v>
          </cell>
        </row>
        <row r="29">
          <cell r="A29" t="str">
            <v>Burkina Faso</v>
          </cell>
        </row>
        <row r="30">
          <cell r="A30" t="str">
            <v>Myanmar (Burma)</v>
          </cell>
        </row>
        <row r="31">
          <cell r="A31" t="str">
            <v>Congo - Brazzaville</v>
          </cell>
        </row>
        <row r="32">
          <cell r="A32" t="str">
            <v>Singapore</v>
          </cell>
          <cell r="B32">
            <v>0.56000000000000005</v>
          </cell>
          <cell r="C32">
            <v>0.44</v>
          </cell>
        </row>
        <row r="33">
          <cell r="A33" t="str">
            <v>Uzbekistan</v>
          </cell>
        </row>
        <row r="34">
          <cell r="A34" t="str">
            <v>Botswana</v>
          </cell>
        </row>
        <row r="35">
          <cell r="A35" t="str">
            <v>Tunisia</v>
          </cell>
          <cell r="B35">
            <v>0.66</v>
          </cell>
          <cell r="C35">
            <v>0.34</v>
          </cell>
        </row>
        <row r="36">
          <cell r="A36" t="str">
            <v>Luxembourg</v>
          </cell>
        </row>
        <row r="37">
          <cell r="A37" t="str">
            <v>CÃ´te dâ€™Ivoire</v>
          </cell>
        </row>
        <row r="38">
          <cell r="A38" t="str">
            <v>Nepal</v>
          </cell>
        </row>
        <row r="39">
          <cell r="A39" t="str">
            <v>Estonia</v>
          </cell>
        </row>
        <row r="40">
          <cell r="A40" t="str">
            <v>Israel</v>
          </cell>
          <cell r="B40">
            <v>0.61</v>
          </cell>
          <cell r="C40">
            <v>0.39</v>
          </cell>
        </row>
        <row r="41">
          <cell r="A41" t="str">
            <v>Belarus</v>
          </cell>
          <cell r="B41">
            <v>0.71</v>
          </cell>
          <cell r="C41">
            <v>0.28999999999999998</v>
          </cell>
        </row>
        <row r="42">
          <cell r="A42" t="str">
            <v>Gibraltar</v>
          </cell>
        </row>
        <row r="43">
          <cell r="A43" t="str">
            <v>Angola</v>
          </cell>
        </row>
        <row r="44">
          <cell r="A44" t="str">
            <v>Pakistan</v>
          </cell>
          <cell r="B44">
            <v>0.64</v>
          </cell>
          <cell r="C44">
            <v>0.36</v>
          </cell>
        </row>
        <row r="45">
          <cell r="A45" t="str">
            <v>Niger</v>
          </cell>
        </row>
        <row r="46">
          <cell r="A46" t="str">
            <v>Liechtenstein</v>
          </cell>
        </row>
        <row r="47">
          <cell r="A47" t="str">
            <v>Guinea-Bissau</v>
          </cell>
        </row>
        <row r="48">
          <cell r="A48" t="str">
            <v>Central African Republic</v>
          </cell>
        </row>
        <row r="49">
          <cell r="A49" t="str">
            <v>North Macedonia</v>
          </cell>
        </row>
        <row r="50">
          <cell r="A50" t="str">
            <v>Hong Kong</v>
          </cell>
          <cell r="B50">
            <v>0.57999999999999996</v>
          </cell>
          <cell r="C50">
            <v>0.42</v>
          </cell>
        </row>
        <row r="51">
          <cell r="A51" t="str">
            <v>Chad</v>
          </cell>
        </row>
        <row r="52">
          <cell r="A52" t="str">
            <v>Zimbabwe</v>
          </cell>
        </row>
        <row r="53">
          <cell r="A53" t="str">
            <v>Armenia</v>
          </cell>
        </row>
        <row r="54">
          <cell r="A54" t="str">
            <v>Mali</v>
          </cell>
        </row>
        <row r="55">
          <cell r="A55" t="str">
            <v>Lesotho</v>
          </cell>
        </row>
        <row r="56">
          <cell r="A56" t="str">
            <v>Tanzania</v>
          </cell>
        </row>
        <row r="57">
          <cell r="A57" t="str">
            <v>Switzerland</v>
          </cell>
          <cell r="B57">
            <v>0.59</v>
          </cell>
          <cell r="C57">
            <v>0.41</v>
          </cell>
        </row>
        <row r="58">
          <cell r="A58" t="str">
            <v>Albania</v>
          </cell>
        </row>
        <row r="59">
          <cell r="A59" t="str">
            <v>Isle of Man</v>
          </cell>
        </row>
        <row r="60">
          <cell r="A60" t="str">
            <v>Ecuador</v>
          </cell>
          <cell r="B60">
            <v>0.67</v>
          </cell>
          <cell r="C60">
            <v>0.33</v>
          </cell>
        </row>
        <row r="61">
          <cell r="A61" t="str">
            <v>Mauritius</v>
          </cell>
        </row>
        <row r="62">
          <cell r="A62" t="str">
            <v>Eswatini</v>
          </cell>
        </row>
        <row r="63">
          <cell r="A63" t="str">
            <v>Germany</v>
          </cell>
          <cell r="B63">
            <v>0.67</v>
          </cell>
          <cell r="C63">
            <v>0.33</v>
          </cell>
        </row>
        <row r="64">
          <cell r="A64" t="str">
            <v>Ghana</v>
          </cell>
        </row>
        <row r="65">
          <cell r="A65" t="str">
            <v>Senegal</v>
          </cell>
        </row>
        <row r="66">
          <cell r="A66" t="str">
            <v>Serbia</v>
          </cell>
          <cell r="B66">
            <v>0.65</v>
          </cell>
          <cell r="C66">
            <v>0.35</v>
          </cell>
        </row>
        <row r="67">
          <cell r="A67" t="str">
            <v>Cape Verde</v>
          </cell>
        </row>
        <row r="68">
          <cell r="A68" t="str">
            <v>Hungary</v>
          </cell>
          <cell r="B68">
            <v>0.7</v>
          </cell>
          <cell r="C68">
            <v>0.3</v>
          </cell>
        </row>
        <row r="69">
          <cell r="A69" t="str">
            <v>Costa Rica</v>
          </cell>
          <cell r="B69">
            <v>0.51</v>
          </cell>
          <cell r="C69">
            <v>0.49</v>
          </cell>
        </row>
        <row r="70">
          <cell r="A70" t="str">
            <v>Gabon</v>
          </cell>
        </row>
        <row r="71">
          <cell r="A71" t="str">
            <v>Bulgaria</v>
          </cell>
          <cell r="B71">
            <v>0.67</v>
          </cell>
          <cell r="C71">
            <v>0.33</v>
          </cell>
        </row>
        <row r="72">
          <cell r="A72" t="str">
            <v>Kenya</v>
          </cell>
        </row>
        <row r="73">
          <cell r="A73" t="str">
            <v>Malta</v>
          </cell>
        </row>
        <row r="74">
          <cell r="A74" t="str">
            <v>El Salvador</v>
          </cell>
        </row>
        <row r="75">
          <cell r="A75" t="str">
            <v>Portugal</v>
          </cell>
          <cell r="B75">
            <v>0.55000000000000004</v>
          </cell>
          <cell r="C75">
            <v>0.45</v>
          </cell>
        </row>
        <row r="76">
          <cell r="A76" t="str">
            <v>Romania</v>
          </cell>
          <cell r="B76">
            <v>0.64</v>
          </cell>
          <cell r="C76">
            <v>0.36</v>
          </cell>
        </row>
        <row r="77">
          <cell r="A77" t="str">
            <v>Czechia</v>
          </cell>
          <cell r="B77">
            <v>0.57999999999999996</v>
          </cell>
          <cell r="C77">
            <v>0.42</v>
          </cell>
        </row>
        <row r="78">
          <cell r="A78" t="str">
            <v>Ireland</v>
          </cell>
          <cell r="B78">
            <v>0.57999999999999996</v>
          </cell>
          <cell r="C78">
            <v>0.42</v>
          </cell>
        </row>
        <row r="79">
          <cell r="A79" t="str">
            <v>Austria</v>
          </cell>
          <cell r="B79">
            <v>0.63</v>
          </cell>
          <cell r="C79">
            <v>0.37</v>
          </cell>
        </row>
        <row r="80">
          <cell r="A80" t="str">
            <v>Iceland</v>
          </cell>
        </row>
        <row r="81">
          <cell r="A81" t="str">
            <v>Papua New Guinea</v>
          </cell>
        </row>
        <row r="82">
          <cell r="A82" t="str">
            <v>Mongolia</v>
          </cell>
        </row>
        <row r="83">
          <cell r="A83" t="str">
            <v>Sweden</v>
          </cell>
          <cell r="B83">
            <v>0.6</v>
          </cell>
          <cell r="C83">
            <v>0.4</v>
          </cell>
        </row>
        <row r="84">
          <cell r="A84" t="str">
            <v>Latvia</v>
          </cell>
        </row>
        <row r="85">
          <cell r="A85" t="str">
            <v>Afghanistan</v>
          </cell>
        </row>
        <row r="86">
          <cell r="A86" t="str">
            <v>Bhutan</v>
          </cell>
        </row>
        <row r="87">
          <cell r="A87" t="str">
            <v>Poland</v>
          </cell>
          <cell r="B87">
            <v>0.65</v>
          </cell>
          <cell r="C87">
            <v>0.35</v>
          </cell>
        </row>
        <row r="88">
          <cell r="A88" t="str">
            <v>Jersey</v>
          </cell>
        </row>
        <row r="89">
          <cell r="A89" t="str">
            <v>Namibia</v>
          </cell>
        </row>
        <row r="90">
          <cell r="A90" t="str">
            <v>Moldova</v>
          </cell>
        </row>
        <row r="91">
          <cell r="A91" t="str">
            <v>Bermuda</v>
          </cell>
        </row>
        <row r="92">
          <cell r="A92" t="str">
            <v>Macao</v>
          </cell>
        </row>
        <row r="93">
          <cell r="A93" t="str">
            <v>Cambodia</v>
          </cell>
        </row>
        <row r="94">
          <cell r="A94" t="str">
            <v>Japan</v>
          </cell>
          <cell r="B94">
            <v>0.6</v>
          </cell>
          <cell r="C94">
            <v>0.4</v>
          </cell>
        </row>
        <row r="95">
          <cell r="A95" t="str">
            <v>Philippines</v>
          </cell>
          <cell r="B95">
            <v>0.56999999999999995</v>
          </cell>
          <cell r="C95">
            <v>0.43</v>
          </cell>
        </row>
        <row r="96">
          <cell r="A96" t="str">
            <v>New Zealand</v>
          </cell>
          <cell r="B96">
            <v>0.42</v>
          </cell>
          <cell r="C96">
            <v>0.57999999999999996</v>
          </cell>
        </row>
        <row r="97">
          <cell r="A97" t="str">
            <v>Kosovo</v>
          </cell>
        </row>
        <row r="98">
          <cell r="A98" t="str">
            <v>Vietnam</v>
          </cell>
          <cell r="B98">
            <v>0.67</v>
          </cell>
          <cell r="C98">
            <v>0.33</v>
          </cell>
        </row>
        <row r="99">
          <cell r="A99" t="str">
            <v>Ukraine</v>
          </cell>
          <cell r="B99">
            <v>0.69</v>
          </cell>
          <cell r="C99">
            <v>0.31</v>
          </cell>
        </row>
        <row r="100">
          <cell r="A100" t="str">
            <v>Sudan</v>
          </cell>
        </row>
        <row r="101">
          <cell r="A101" t="str">
            <v>Liberia</v>
          </cell>
        </row>
        <row r="102">
          <cell r="A102" t="str">
            <v>United States</v>
          </cell>
          <cell r="B102">
            <v>0.55000000000000004</v>
          </cell>
          <cell r="C102">
            <v>0.45</v>
          </cell>
        </row>
        <row r="103">
          <cell r="A103" t="str">
            <v>Colombia</v>
          </cell>
          <cell r="B103">
            <v>0.61</v>
          </cell>
          <cell r="C103">
            <v>0.39</v>
          </cell>
        </row>
        <row r="104">
          <cell r="A104" t="str">
            <v>Canada</v>
          </cell>
          <cell r="B104">
            <v>0.55000000000000004</v>
          </cell>
          <cell r="C104">
            <v>0.45</v>
          </cell>
        </row>
        <row r="105">
          <cell r="A105" t="str">
            <v>Lithuania</v>
          </cell>
          <cell r="B105">
            <v>0.61</v>
          </cell>
          <cell r="C105">
            <v>0.39</v>
          </cell>
        </row>
        <row r="106">
          <cell r="A106" t="str">
            <v>Nicaragua</v>
          </cell>
        </row>
        <row r="107">
          <cell r="A107" t="str">
            <v>Palestine</v>
          </cell>
        </row>
        <row r="108">
          <cell r="A108" t="str">
            <v>Lebanon</v>
          </cell>
        </row>
        <row r="109">
          <cell r="A109" t="str">
            <v>Laos</v>
          </cell>
        </row>
        <row r="110">
          <cell r="A110" t="str">
            <v>Guatemala</v>
          </cell>
          <cell r="B110">
            <v>0.56000000000000005</v>
          </cell>
          <cell r="C110">
            <v>0.44</v>
          </cell>
        </row>
        <row r="111">
          <cell r="A111" t="str">
            <v>Mexico</v>
          </cell>
          <cell r="B111">
            <v>0.6</v>
          </cell>
          <cell r="C111">
            <v>0.4</v>
          </cell>
        </row>
        <row r="112">
          <cell r="A112" t="str">
            <v>Equatorial Guinea</v>
          </cell>
        </row>
        <row r="113">
          <cell r="A113" t="str">
            <v>Mauritania</v>
          </cell>
        </row>
        <row r="114">
          <cell r="A114" t="str">
            <v>Bolivia</v>
          </cell>
        </row>
        <row r="115">
          <cell r="A115" t="str">
            <v>Taiwan</v>
          </cell>
          <cell r="B115">
            <v>0.54</v>
          </cell>
          <cell r="C115">
            <v>0.46</v>
          </cell>
        </row>
        <row r="116">
          <cell r="A116" t="str">
            <v>Morocco</v>
          </cell>
          <cell r="B116">
            <v>0.64</v>
          </cell>
          <cell r="C116">
            <v>0.36</v>
          </cell>
        </row>
        <row r="117">
          <cell r="A117" t="str">
            <v>South Africa</v>
          </cell>
          <cell r="B117">
            <v>0.47</v>
          </cell>
          <cell r="C117">
            <v>0.53</v>
          </cell>
        </row>
        <row r="118">
          <cell r="A118" t="str">
            <v>Finland</v>
          </cell>
          <cell r="B118">
            <v>0.62</v>
          </cell>
          <cell r="C118">
            <v>0.38</v>
          </cell>
        </row>
        <row r="119">
          <cell r="A119" t="str">
            <v>Honduras</v>
          </cell>
        </row>
        <row r="120">
          <cell r="A120" t="str">
            <v>Spain</v>
          </cell>
          <cell r="B120">
            <v>0.66</v>
          </cell>
          <cell r="C120">
            <v>0.34</v>
          </cell>
        </row>
        <row r="121">
          <cell r="A121" t="str">
            <v>Gambia</v>
          </cell>
        </row>
        <row r="122">
          <cell r="A122" t="str">
            <v>Andorra</v>
          </cell>
        </row>
        <row r="123">
          <cell r="A123" t="str">
            <v>Cyprus</v>
          </cell>
        </row>
        <row r="124">
          <cell r="A124" t="str">
            <v>Peru</v>
          </cell>
          <cell r="B124">
            <v>0.5</v>
          </cell>
          <cell r="C124">
            <v>0.5</v>
          </cell>
        </row>
        <row r="125">
          <cell r="A125" t="str">
            <v>Slovakia</v>
          </cell>
          <cell r="B125">
            <v>0.64</v>
          </cell>
          <cell r="C125">
            <v>0.36</v>
          </cell>
        </row>
        <row r="126">
          <cell r="A126" t="str">
            <v>Norway</v>
          </cell>
          <cell r="B126">
            <v>0.56999999999999995</v>
          </cell>
          <cell r="C126">
            <v>0.43</v>
          </cell>
        </row>
        <row r="127">
          <cell r="A127" t="str">
            <v>Slovenia</v>
          </cell>
        </row>
        <row r="128">
          <cell r="A128" t="str">
            <v>Djibouti</v>
          </cell>
        </row>
        <row r="129">
          <cell r="A129" t="str">
            <v>Croatia</v>
          </cell>
          <cell r="B129">
            <v>0.62</v>
          </cell>
          <cell r="C129">
            <v>0.38</v>
          </cell>
        </row>
        <row r="130">
          <cell r="A130" t="str">
            <v>Belgium</v>
          </cell>
          <cell r="B130">
            <v>0.56999999999999995</v>
          </cell>
          <cell r="C130">
            <v>0.43</v>
          </cell>
        </row>
        <row r="131">
          <cell r="A131" t="str">
            <v>Uruguay</v>
          </cell>
        </row>
        <row r="132">
          <cell r="A132" t="str">
            <v>Australia</v>
          </cell>
          <cell r="B132">
            <v>0.45</v>
          </cell>
          <cell r="C132">
            <v>0.55000000000000004</v>
          </cell>
        </row>
        <row r="133">
          <cell r="A133" t="str">
            <v>Denmark</v>
          </cell>
          <cell r="B133">
            <v>0.5</v>
          </cell>
          <cell r="C133">
            <v>0.5</v>
          </cell>
        </row>
        <row r="134">
          <cell r="A134" t="str">
            <v>Somalia</v>
          </cell>
        </row>
        <row r="135">
          <cell r="A135" t="str">
            <v>United Arab Emirates</v>
          </cell>
          <cell r="B135">
            <v>0.44</v>
          </cell>
          <cell r="C135">
            <v>0.56000000000000005</v>
          </cell>
        </row>
        <row r="136">
          <cell r="A136" t="str">
            <v>Vanuatu</v>
          </cell>
        </row>
        <row r="137">
          <cell r="A137" t="str">
            <v>Netherlands</v>
          </cell>
          <cell r="B137">
            <v>0.52</v>
          </cell>
          <cell r="C137">
            <v>0.48</v>
          </cell>
        </row>
        <row r="138">
          <cell r="A138" t="str">
            <v>Russia</v>
          </cell>
          <cell r="B138">
            <v>0.6</v>
          </cell>
          <cell r="C138">
            <v>0.4</v>
          </cell>
        </row>
        <row r="139">
          <cell r="A139" t="str">
            <v>Kyrgyzstan</v>
          </cell>
        </row>
        <row r="140">
          <cell r="A140" t="str">
            <v>Timor-Leste</v>
          </cell>
        </row>
        <row r="141">
          <cell r="A141" t="str">
            <v>Kazakhstan</v>
          </cell>
          <cell r="B141">
            <v>0.67</v>
          </cell>
          <cell r="C141">
            <v>0.33</v>
          </cell>
        </row>
        <row r="142">
          <cell r="A142" t="str">
            <v>Bosnia &amp; Herzegovina</v>
          </cell>
        </row>
        <row r="143">
          <cell r="A143" t="str">
            <v>Faroe Islands</v>
          </cell>
        </row>
        <row r="144">
          <cell r="A144" t="str">
            <v>Dominica</v>
          </cell>
        </row>
        <row r="145">
          <cell r="A145" t="str">
            <v>Algeria</v>
          </cell>
          <cell r="B145">
            <v>0.7</v>
          </cell>
          <cell r="C145">
            <v>0.3</v>
          </cell>
        </row>
        <row r="146">
          <cell r="A146" t="str">
            <v>Comoros</v>
          </cell>
        </row>
        <row r="147">
          <cell r="A147" t="str">
            <v>Bahrain</v>
          </cell>
        </row>
        <row r="148">
          <cell r="A148" t="str">
            <v>Azerbaijan</v>
          </cell>
        </row>
        <row r="149">
          <cell r="A149" t="str">
            <v>United Kingdom</v>
          </cell>
          <cell r="B149">
            <v>0.46</v>
          </cell>
          <cell r="C149">
            <v>0.54</v>
          </cell>
        </row>
        <row r="150">
          <cell r="A150" t="str">
            <v>France</v>
          </cell>
          <cell r="B150">
            <v>0.61</v>
          </cell>
          <cell r="C150">
            <v>0.39</v>
          </cell>
        </row>
        <row r="151">
          <cell r="A151" t="str">
            <v>Brazil</v>
          </cell>
          <cell r="B151">
            <v>0.66</v>
          </cell>
          <cell r="C151">
            <v>0.34</v>
          </cell>
        </row>
        <row r="152">
          <cell r="A152" t="str">
            <v>Guernsey</v>
          </cell>
        </row>
        <row r="153">
          <cell r="A153" t="str">
            <v>Syria</v>
          </cell>
        </row>
        <row r="154">
          <cell r="A154" t="str">
            <v>Paraguay</v>
          </cell>
        </row>
        <row r="155">
          <cell r="A155" t="str">
            <v>Jordan</v>
          </cell>
        </row>
        <row r="156">
          <cell r="A156" t="str">
            <v>Monaco</v>
          </cell>
        </row>
        <row r="157">
          <cell r="A157" t="str">
            <v>Cayman Islands</v>
          </cell>
        </row>
        <row r="158">
          <cell r="A158" t="str">
            <v>Indonesia</v>
          </cell>
          <cell r="B158">
            <v>0.72</v>
          </cell>
          <cell r="C158">
            <v>0.28000000000000003</v>
          </cell>
        </row>
        <row r="159">
          <cell r="A159" t="str">
            <v>Turkmenistan</v>
          </cell>
        </row>
        <row r="160">
          <cell r="A160" t="str">
            <v>Malaysia</v>
          </cell>
          <cell r="B160">
            <v>0.5</v>
          </cell>
          <cell r="C160">
            <v>0.5</v>
          </cell>
        </row>
        <row r="161">
          <cell r="A161" t="str">
            <v>South Sudan</v>
          </cell>
        </row>
        <row r="162">
          <cell r="A162" t="str">
            <v>Chile</v>
          </cell>
          <cell r="B162">
            <v>0.48</v>
          </cell>
          <cell r="C162">
            <v>0.52</v>
          </cell>
        </row>
        <row r="163">
          <cell r="A163" t="str">
            <v>San Marino</v>
          </cell>
        </row>
        <row r="164">
          <cell r="A164" t="str">
            <v>Greece</v>
          </cell>
          <cell r="B164">
            <v>0.61</v>
          </cell>
          <cell r="C164">
            <v>0.39</v>
          </cell>
        </row>
        <row r="165">
          <cell r="A165" t="str">
            <v>Iran</v>
          </cell>
          <cell r="B165">
            <v>0.57999999999999996</v>
          </cell>
          <cell r="C165">
            <v>0.42</v>
          </cell>
        </row>
        <row r="166">
          <cell r="A166" t="str">
            <v>Haiti</v>
          </cell>
        </row>
        <row r="167">
          <cell r="A167" t="str">
            <v>Panama</v>
          </cell>
        </row>
        <row r="168">
          <cell r="A168" t="str">
            <v>Italy</v>
          </cell>
          <cell r="B168">
            <v>0.64</v>
          </cell>
          <cell r="C168">
            <v>0.36</v>
          </cell>
        </row>
        <row r="169">
          <cell r="A169" t="str">
            <v>CuraÃ§ao</v>
          </cell>
        </row>
        <row r="170">
          <cell r="A170" t="str">
            <v>Maldives</v>
          </cell>
        </row>
        <row r="171">
          <cell r="A171" t="str">
            <v>Dominican Republic</v>
          </cell>
        </row>
        <row r="172">
          <cell r="A172" t="str">
            <v>Yemen</v>
          </cell>
        </row>
        <row r="173">
          <cell r="A173" t="str">
            <v>Egypt</v>
          </cell>
          <cell r="B173">
            <v>0.6</v>
          </cell>
          <cell r="C173">
            <v>0.4</v>
          </cell>
        </row>
        <row r="174">
          <cell r="A174" t="str">
            <v>Brunei</v>
          </cell>
        </row>
        <row r="175">
          <cell r="A175" t="str">
            <v>Montenegro</v>
          </cell>
        </row>
        <row r="176">
          <cell r="A176" t="str">
            <v>Oman</v>
          </cell>
        </row>
        <row r="177">
          <cell r="A177" t="str">
            <v>Venezuela</v>
          </cell>
          <cell r="B177">
            <v>0.75</v>
          </cell>
          <cell r="C177">
            <v>0.25</v>
          </cell>
        </row>
        <row r="178">
          <cell r="A178" t="str">
            <v>Fiji</v>
          </cell>
        </row>
        <row r="179">
          <cell r="A179" t="str">
            <v>Qatar</v>
          </cell>
        </row>
        <row r="180">
          <cell r="A180" t="str">
            <v>New Caledonia</v>
          </cell>
        </row>
        <row r="181">
          <cell r="A181" t="str">
            <v>Jamaica</v>
          </cell>
        </row>
        <row r="182">
          <cell r="A182" t="str">
            <v>French Polynesia</v>
          </cell>
        </row>
        <row r="183">
          <cell r="A183" t="str">
            <v>Western Sahara</v>
          </cell>
        </row>
        <row r="184">
          <cell r="A184" t="str">
            <v>Argentina</v>
          </cell>
          <cell r="B184">
            <v>0.59</v>
          </cell>
          <cell r="C184">
            <v>0.41</v>
          </cell>
        </row>
        <row r="185">
          <cell r="A185" t="str">
            <v>Turkey</v>
          </cell>
          <cell r="B185">
            <v>0.6</v>
          </cell>
          <cell r="C185">
            <v>0.4</v>
          </cell>
        </row>
        <row r="186">
          <cell r="A186" t="str">
            <v>Georgia</v>
          </cell>
        </row>
        <row r="187">
          <cell r="A187" t="str">
            <v>Libya</v>
          </cell>
        </row>
        <row r="188">
          <cell r="A188" t="str">
            <v>Barbados</v>
          </cell>
        </row>
        <row r="189">
          <cell r="A189" t="str">
            <v>U.S. Virgin Islands</v>
          </cell>
        </row>
        <row r="190">
          <cell r="A190" t="str">
            <v>Tajikistan</v>
          </cell>
        </row>
        <row r="191">
          <cell r="A191" t="str">
            <v>Suriname</v>
          </cell>
        </row>
        <row r="192">
          <cell r="A192" t="str">
            <v>Saudi Arabia</v>
          </cell>
          <cell r="B192">
            <v>0.57999999999999996</v>
          </cell>
          <cell r="C192">
            <v>0.42</v>
          </cell>
        </row>
        <row r="193">
          <cell r="A193" t="str">
            <v>Puerto Rico</v>
          </cell>
        </row>
        <row r="194">
          <cell r="A194" t="str">
            <v>Greenland</v>
          </cell>
        </row>
        <row r="195">
          <cell r="A195" t="str">
            <v>Kuwait</v>
          </cell>
        </row>
        <row r="196">
          <cell r="A196" t="str">
            <v>Antigua &amp; Barbuda</v>
          </cell>
        </row>
        <row r="197">
          <cell r="A197" t="str">
            <v>Thailand</v>
          </cell>
          <cell r="B197">
            <v>0.51</v>
          </cell>
          <cell r="C197">
            <v>0.49</v>
          </cell>
        </row>
        <row r="198">
          <cell r="A198" t="str">
            <v>Seychelles</v>
          </cell>
        </row>
        <row r="199">
          <cell r="A199" t="str">
            <v>Trinidad &amp; Tobago</v>
          </cell>
        </row>
        <row r="200">
          <cell r="A200" t="str">
            <v>Guyana</v>
          </cell>
        </row>
        <row r="201">
          <cell r="A201" t="str">
            <v>Iraq</v>
          </cell>
        </row>
        <row r="202">
          <cell r="A202" t="str">
            <v>St. Kitts &amp; Nevis</v>
          </cell>
        </row>
        <row r="203">
          <cell r="A203" t="str">
            <v>RÃ©union</v>
          </cell>
        </row>
        <row r="204">
          <cell r="A204" t="str">
            <v>Northern Mariana Islands</v>
          </cell>
        </row>
        <row r="205">
          <cell r="A205" t="str">
            <v>Turks &amp; Caicos Islands</v>
          </cell>
        </row>
        <row r="206">
          <cell r="A206" t="str">
            <v>Guadeloupe</v>
          </cell>
        </row>
        <row r="207">
          <cell r="A207" t="str">
            <v>Belize</v>
          </cell>
        </row>
        <row r="208">
          <cell r="A208" t="str">
            <v>Guam</v>
          </cell>
        </row>
        <row r="209">
          <cell r="A209" t="str">
            <v>Grenada</v>
          </cell>
        </row>
        <row r="210">
          <cell r="A210" t="str">
            <v>St. Lucia</v>
          </cell>
        </row>
        <row r="211">
          <cell r="A211" t="str">
            <v>Aruba</v>
          </cell>
        </row>
        <row r="212">
          <cell r="A212" t="str">
            <v>St. BarthÃ©lemy</v>
          </cell>
        </row>
        <row r="213">
          <cell r="A213" t="str">
            <v>Bahamas</v>
          </cell>
        </row>
        <row r="214">
          <cell r="A214" t="str">
            <v>St. Vincent &amp; Grenadines</v>
          </cell>
        </row>
        <row r="215">
          <cell r="A215" t="str">
            <v>Martinique</v>
          </cell>
        </row>
        <row r="216">
          <cell r="A216" t="str">
            <v>French Guiana</v>
          </cell>
        </row>
        <row r="217">
          <cell r="A217" t="str">
            <v>Mayotte</v>
          </cell>
        </row>
        <row r="218">
          <cell r="A218" t="str">
            <v>North Korea</v>
          </cell>
        </row>
        <row r="219">
          <cell r="A219" t="str">
            <v>Falkland Islands (Islas Malvinas)</v>
          </cell>
        </row>
        <row r="220">
          <cell r="A220" t="str">
            <v>Tonga</v>
          </cell>
        </row>
        <row r="221">
          <cell r="A221" t="str">
            <v>Anguilla</v>
          </cell>
        </row>
        <row r="222">
          <cell r="A222" t="str">
            <v>Montserrat</v>
          </cell>
        </row>
        <row r="223">
          <cell r="A223" t="str">
            <v>St. Pierre &amp; Miquelon</v>
          </cell>
        </row>
        <row r="224">
          <cell r="A224" t="str">
            <v>Solomon Islands</v>
          </cell>
        </row>
        <row r="225">
          <cell r="A225" t="str">
            <v>Cook Islands</v>
          </cell>
        </row>
        <row r="226">
          <cell r="A226" t="str">
            <v>Marshall Islands</v>
          </cell>
        </row>
        <row r="227">
          <cell r="A227" t="str">
            <v>British Virgin Islands</v>
          </cell>
        </row>
        <row r="228">
          <cell r="A228" t="str">
            <v>American Samoa</v>
          </cell>
        </row>
        <row r="229">
          <cell r="A229" t="str">
            <v>Samoa</v>
          </cell>
        </row>
        <row r="230">
          <cell r="A230" t="str">
            <v>St. Martin</v>
          </cell>
        </row>
        <row r="231">
          <cell r="A231" t="str">
            <v>Palau</v>
          </cell>
        </row>
        <row r="232">
          <cell r="A232" t="str">
            <v>Micronesia</v>
          </cell>
        </row>
        <row r="233">
          <cell r="A233" t="str">
            <v>Caribbean Netherlands</v>
          </cell>
        </row>
        <row r="234">
          <cell r="A234" t="str">
            <v>Sint Maarten</v>
          </cell>
        </row>
        <row r="235">
          <cell r="A235" t="str">
            <v>Antarctica</v>
          </cell>
        </row>
        <row r="236">
          <cell r="A236" t="str">
            <v>French Southern Territories</v>
          </cell>
        </row>
        <row r="237">
          <cell r="A237" t="str">
            <v>Bouvet Island</v>
          </cell>
        </row>
        <row r="238">
          <cell r="A238" t="str">
            <v>Cocos (Keeling) Islands</v>
          </cell>
        </row>
        <row r="239">
          <cell r="A239" t="str">
            <v>Christmas Island</v>
          </cell>
        </row>
        <row r="240">
          <cell r="A240" t="str">
            <v>Heard &amp; McDonald Islands</v>
          </cell>
        </row>
        <row r="241">
          <cell r="A241" t="str">
            <v>British Indian Ocean Territory</v>
          </cell>
        </row>
        <row r="242">
          <cell r="A242" t="str">
            <v>Kiribati</v>
          </cell>
        </row>
        <row r="243">
          <cell r="A243" t="str">
            <v>Norfolk Island</v>
          </cell>
        </row>
        <row r="244">
          <cell r="A244" t="str">
            <v>Niue</v>
          </cell>
        </row>
        <row r="245">
          <cell r="A245" t="str">
            <v>Nauru</v>
          </cell>
        </row>
        <row r="246">
          <cell r="A246" t="str">
            <v>Pitcairn Islands</v>
          </cell>
        </row>
        <row r="247">
          <cell r="A247" t="str">
            <v>South Georgia &amp; South Sandwich Islands</v>
          </cell>
        </row>
        <row r="248">
          <cell r="A248" t="str">
            <v>Svalbard &amp; Jan Mayen</v>
          </cell>
        </row>
        <row r="249">
          <cell r="A249" t="str">
            <v>Tokelau</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1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72)"/>
    </sheetNames>
    <sheetDataSet>
      <sheetData sheetId="0" refreshError="1">
        <row r="1">
          <cell r="A1" t="str">
            <v>Category: All categories</v>
          </cell>
        </row>
        <row r="3">
          <cell r="A3" t="str">
            <v>Country</v>
          </cell>
          <cell r="B3" t="str">
            <v>Java: (2018)</v>
          </cell>
          <cell r="C3" t="str">
            <v>React: (2018)</v>
          </cell>
        </row>
        <row r="4">
          <cell r="A4" t="str">
            <v>China</v>
          </cell>
          <cell r="B4">
            <v>0.74</v>
          </cell>
          <cell r="C4">
            <v>0.26</v>
          </cell>
        </row>
        <row r="5">
          <cell r="A5" t="str">
            <v>Madagascar</v>
          </cell>
        </row>
        <row r="6">
          <cell r="A6" t="str">
            <v>Bangladesh</v>
          </cell>
          <cell r="B6">
            <v>0.96</v>
          </cell>
          <cell r="C6">
            <v>0.04</v>
          </cell>
        </row>
        <row r="7">
          <cell r="A7" t="str">
            <v>St. Helena</v>
          </cell>
          <cell r="B7">
            <v>0.86</v>
          </cell>
          <cell r="C7">
            <v>0.14000000000000001</v>
          </cell>
        </row>
        <row r="8">
          <cell r="A8" t="str">
            <v>Ethiopia</v>
          </cell>
        </row>
        <row r="9">
          <cell r="A9" t="str">
            <v>Cameroon</v>
          </cell>
        </row>
        <row r="10">
          <cell r="A10" t="str">
            <v>South Korea</v>
          </cell>
          <cell r="B10">
            <v>0.87</v>
          </cell>
          <cell r="C10">
            <v>0.13</v>
          </cell>
        </row>
        <row r="11">
          <cell r="A11" t="str">
            <v>Eritrea</v>
          </cell>
        </row>
        <row r="12">
          <cell r="A12" t="str">
            <v>Sierra Leone</v>
          </cell>
        </row>
        <row r="13">
          <cell r="A13" t="str">
            <v>Burundi</v>
          </cell>
        </row>
        <row r="14">
          <cell r="A14" t="str">
            <v>Togo</v>
          </cell>
        </row>
        <row r="15">
          <cell r="A15" t="str">
            <v>Benin</v>
          </cell>
        </row>
        <row r="16">
          <cell r="A16" t="str">
            <v>Zambia</v>
          </cell>
        </row>
        <row r="17">
          <cell r="A17" t="str">
            <v>Malawi</v>
          </cell>
        </row>
        <row r="18">
          <cell r="A18" t="str">
            <v>India</v>
          </cell>
          <cell r="B18">
            <v>0.9</v>
          </cell>
          <cell r="C18">
            <v>0.1</v>
          </cell>
        </row>
        <row r="19">
          <cell r="A19" t="str">
            <v>Sri Lanka</v>
          </cell>
          <cell r="B19">
            <v>0.83</v>
          </cell>
          <cell r="C19">
            <v>0.17</v>
          </cell>
        </row>
        <row r="20">
          <cell r="A20" t="str">
            <v>Uganda</v>
          </cell>
        </row>
        <row r="21">
          <cell r="A21" t="str">
            <v>Nigeria</v>
          </cell>
          <cell r="B21">
            <v>0.93</v>
          </cell>
          <cell r="C21">
            <v>7.0000000000000007E-2</v>
          </cell>
        </row>
        <row r="22">
          <cell r="A22" t="str">
            <v>Ã…land Islands</v>
          </cell>
        </row>
        <row r="23">
          <cell r="A23" t="str">
            <v>SÃ£o TomÃ© &amp; PrÃ­ncipe</v>
          </cell>
        </row>
        <row r="24">
          <cell r="A24" t="str">
            <v>Cuba</v>
          </cell>
        </row>
        <row r="25">
          <cell r="A25" t="str">
            <v>Congo - Kinshasa</v>
          </cell>
        </row>
        <row r="26">
          <cell r="A26" t="str">
            <v>Congo - Brazzaville</v>
          </cell>
        </row>
        <row r="27">
          <cell r="A27" t="str">
            <v>Rwanda</v>
          </cell>
        </row>
        <row r="28">
          <cell r="A28" t="str">
            <v>Burkina Faso</v>
          </cell>
        </row>
        <row r="29">
          <cell r="A29" t="str">
            <v>Botswana</v>
          </cell>
        </row>
        <row r="30">
          <cell r="A30" t="str">
            <v>Guinea</v>
          </cell>
        </row>
        <row r="31">
          <cell r="A31" t="str">
            <v>Guinea-Bissau</v>
          </cell>
        </row>
        <row r="32">
          <cell r="A32" t="str">
            <v>Mozambique</v>
          </cell>
        </row>
        <row r="33">
          <cell r="A33" t="str">
            <v>Myanmar (Burma)</v>
          </cell>
        </row>
        <row r="34">
          <cell r="A34" t="str">
            <v>Singapore</v>
          </cell>
          <cell r="B34">
            <v>0.77</v>
          </cell>
          <cell r="C34">
            <v>0.23</v>
          </cell>
        </row>
        <row r="35">
          <cell r="A35" t="str">
            <v>Uzbekistan</v>
          </cell>
        </row>
        <row r="36">
          <cell r="A36" t="str">
            <v>Luxembourg</v>
          </cell>
        </row>
        <row r="37">
          <cell r="A37" t="str">
            <v>Tunisia</v>
          </cell>
          <cell r="B37">
            <v>0.86</v>
          </cell>
          <cell r="C37">
            <v>0.14000000000000001</v>
          </cell>
        </row>
        <row r="38">
          <cell r="A38" t="str">
            <v>CÃ´te dâ€™Ivoire</v>
          </cell>
        </row>
        <row r="39">
          <cell r="A39" t="str">
            <v>Nepal</v>
          </cell>
        </row>
        <row r="40">
          <cell r="A40" t="str">
            <v>Niger</v>
          </cell>
        </row>
        <row r="41">
          <cell r="A41" t="str">
            <v>Estonia</v>
          </cell>
        </row>
        <row r="42">
          <cell r="A42" t="str">
            <v>Israel</v>
          </cell>
          <cell r="B42">
            <v>0.72</v>
          </cell>
          <cell r="C42">
            <v>0.28000000000000003</v>
          </cell>
        </row>
        <row r="43">
          <cell r="A43" t="str">
            <v>Belarus</v>
          </cell>
          <cell r="B43">
            <v>0.76</v>
          </cell>
          <cell r="C43">
            <v>0.24</v>
          </cell>
        </row>
        <row r="44">
          <cell r="A44" t="str">
            <v>Angola</v>
          </cell>
        </row>
        <row r="45">
          <cell r="A45" t="str">
            <v>Pakistan</v>
          </cell>
          <cell r="B45">
            <v>0.82</v>
          </cell>
          <cell r="C45">
            <v>0.18</v>
          </cell>
        </row>
        <row r="46">
          <cell r="A46" t="str">
            <v>Central African Republic</v>
          </cell>
        </row>
        <row r="47">
          <cell r="A47" t="str">
            <v>Zimbabwe</v>
          </cell>
        </row>
        <row r="48">
          <cell r="A48" t="str">
            <v>Hong Kong</v>
          </cell>
          <cell r="B48">
            <v>0.68</v>
          </cell>
          <cell r="C48">
            <v>0.32</v>
          </cell>
        </row>
        <row r="49">
          <cell r="A49" t="str">
            <v>Chad</v>
          </cell>
        </row>
        <row r="50">
          <cell r="A50" t="str">
            <v>North Macedonia</v>
          </cell>
        </row>
        <row r="51">
          <cell r="A51" t="str">
            <v>Armenia</v>
          </cell>
        </row>
        <row r="52">
          <cell r="A52" t="str">
            <v>Albania</v>
          </cell>
        </row>
        <row r="53">
          <cell r="A53" t="str">
            <v>Tanzania</v>
          </cell>
        </row>
        <row r="54">
          <cell r="A54" t="str">
            <v>Ecuador</v>
          </cell>
          <cell r="B54">
            <v>0.94</v>
          </cell>
          <cell r="C54">
            <v>0.06</v>
          </cell>
        </row>
        <row r="55">
          <cell r="A55" t="str">
            <v>Switzerland</v>
          </cell>
          <cell r="B55">
            <v>0.85</v>
          </cell>
          <cell r="C55">
            <v>0.15</v>
          </cell>
        </row>
        <row r="56">
          <cell r="A56" t="str">
            <v>Mali</v>
          </cell>
        </row>
        <row r="57">
          <cell r="A57" t="str">
            <v>Germany</v>
          </cell>
          <cell r="B57">
            <v>0.87</v>
          </cell>
          <cell r="C57">
            <v>0.13</v>
          </cell>
        </row>
        <row r="58">
          <cell r="A58" t="str">
            <v>Mauritius</v>
          </cell>
        </row>
        <row r="59">
          <cell r="A59" t="str">
            <v>Lesotho</v>
          </cell>
        </row>
        <row r="60">
          <cell r="A60" t="str">
            <v>Eswatini</v>
          </cell>
        </row>
        <row r="61">
          <cell r="A61" t="str">
            <v>Serbia</v>
          </cell>
          <cell r="B61">
            <v>0.75</v>
          </cell>
          <cell r="C61">
            <v>0.25</v>
          </cell>
        </row>
        <row r="62">
          <cell r="A62" t="str">
            <v>Senegal</v>
          </cell>
        </row>
        <row r="63">
          <cell r="A63" t="str">
            <v>Ghana</v>
          </cell>
        </row>
        <row r="64">
          <cell r="A64" t="str">
            <v>Hungary</v>
          </cell>
          <cell r="B64">
            <v>0.87</v>
          </cell>
          <cell r="C64">
            <v>0.13</v>
          </cell>
        </row>
        <row r="65">
          <cell r="A65" t="str">
            <v>Costa Rica</v>
          </cell>
          <cell r="B65">
            <v>0.82</v>
          </cell>
          <cell r="C65">
            <v>0.18</v>
          </cell>
        </row>
        <row r="66">
          <cell r="A66" t="str">
            <v>Kenya</v>
          </cell>
          <cell r="B66">
            <v>0.86</v>
          </cell>
          <cell r="C66">
            <v>0.14000000000000001</v>
          </cell>
        </row>
        <row r="67">
          <cell r="A67" t="str">
            <v>Bulgaria</v>
          </cell>
          <cell r="B67">
            <v>0.78</v>
          </cell>
          <cell r="C67">
            <v>0.22</v>
          </cell>
        </row>
        <row r="68">
          <cell r="A68" t="str">
            <v>Portugal</v>
          </cell>
          <cell r="B68">
            <v>0.79</v>
          </cell>
          <cell r="C68">
            <v>0.21</v>
          </cell>
        </row>
        <row r="69">
          <cell r="A69" t="str">
            <v>Ireland</v>
          </cell>
          <cell r="B69">
            <v>0.82</v>
          </cell>
          <cell r="C69">
            <v>0.18</v>
          </cell>
        </row>
        <row r="70">
          <cell r="A70" t="str">
            <v>Romania</v>
          </cell>
          <cell r="B70">
            <v>0.81</v>
          </cell>
          <cell r="C70">
            <v>0.19</v>
          </cell>
        </row>
        <row r="71">
          <cell r="A71" t="str">
            <v>Liechtenstein</v>
          </cell>
        </row>
        <row r="72">
          <cell r="A72" t="str">
            <v>Austria</v>
          </cell>
          <cell r="B72">
            <v>0.87</v>
          </cell>
          <cell r="C72">
            <v>0.13</v>
          </cell>
        </row>
        <row r="73">
          <cell r="A73" t="str">
            <v>Gabon</v>
          </cell>
        </row>
        <row r="74">
          <cell r="A74" t="str">
            <v>Tonga</v>
          </cell>
        </row>
        <row r="75">
          <cell r="A75" t="str">
            <v>Czechia</v>
          </cell>
          <cell r="B75">
            <v>0.77</v>
          </cell>
          <cell r="C75">
            <v>0.23</v>
          </cell>
        </row>
        <row r="76">
          <cell r="A76" t="str">
            <v>El Salvador</v>
          </cell>
        </row>
        <row r="77">
          <cell r="A77" t="str">
            <v>Bhutan</v>
          </cell>
        </row>
        <row r="78">
          <cell r="A78" t="str">
            <v>Papua New Guinea</v>
          </cell>
        </row>
        <row r="79">
          <cell r="A79" t="str">
            <v>Mongolia</v>
          </cell>
        </row>
        <row r="80">
          <cell r="A80" t="str">
            <v>Sweden</v>
          </cell>
          <cell r="B80">
            <v>0.69</v>
          </cell>
          <cell r="C80">
            <v>0.31</v>
          </cell>
        </row>
        <row r="81">
          <cell r="A81" t="str">
            <v>Sudan</v>
          </cell>
        </row>
        <row r="82">
          <cell r="A82" t="str">
            <v>Equatorial Guinea</v>
          </cell>
        </row>
        <row r="83">
          <cell r="A83" t="str">
            <v>Afghanistan</v>
          </cell>
        </row>
        <row r="84">
          <cell r="A84" t="str">
            <v>Moldova</v>
          </cell>
        </row>
        <row r="85">
          <cell r="A85" t="str">
            <v>Latvia</v>
          </cell>
        </row>
        <row r="86">
          <cell r="A86" t="str">
            <v>Cape Verde</v>
          </cell>
        </row>
        <row r="87">
          <cell r="A87" t="str">
            <v>Poland</v>
          </cell>
          <cell r="B87">
            <v>0.82</v>
          </cell>
          <cell r="C87">
            <v>0.18</v>
          </cell>
        </row>
        <row r="88">
          <cell r="A88" t="str">
            <v>Philippines</v>
          </cell>
          <cell r="B88">
            <v>0.8</v>
          </cell>
          <cell r="C88">
            <v>0.2</v>
          </cell>
        </row>
        <row r="89">
          <cell r="A89" t="str">
            <v>Japan</v>
          </cell>
          <cell r="B89">
            <v>0.91</v>
          </cell>
          <cell r="C89">
            <v>0.09</v>
          </cell>
        </row>
        <row r="90">
          <cell r="A90" t="str">
            <v>Cambodia</v>
          </cell>
        </row>
        <row r="91">
          <cell r="A91" t="str">
            <v>Lithuania</v>
          </cell>
          <cell r="B91">
            <v>0.69</v>
          </cell>
          <cell r="C91">
            <v>0.31</v>
          </cell>
        </row>
        <row r="92">
          <cell r="A92" t="str">
            <v>Canada</v>
          </cell>
          <cell r="B92">
            <v>0.75</v>
          </cell>
          <cell r="C92">
            <v>0.25</v>
          </cell>
        </row>
        <row r="93">
          <cell r="A93" t="str">
            <v>Iceland</v>
          </cell>
        </row>
        <row r="94">
          <cell r="A94" t="str">
            <v>Liberia</v>
          </cell>
        </row>
        <row r="95">
          <cell r="A95" t="str">
            <v>Palestine</v>
          </cell>
        </row>
        <row r="96">
          <cell r="A96" t="str">
            <v>Vietnam</v>
          </cell>
          <cell r="B96">
            <v>0.76</v>
          </cell>
          <cell r="C96">
            <v>0.24</v>
          </cell>
        </row>
        <row r="97">
          <cell r="A97" t="str">
            <v>Colombia</v>
          </cell>
          <cell r="B97">
            <v>0.89</v>
          </cell>
          <cell r="C97">
            <v>0.11</v>
          </cell>
        </row>
        <row r="98">
          <cell r="A98" t="str">
            <v>United States</v>
          </cell>
          <cell r="B98">
            <v>0.79</v>
          </cell>
          <cell r="C98">
            <v>0.21</v>
          </cell>
        </row>
        <row r="99">
          <cell r="A99" t="str">
            <v>Kosovo</v>
          </cell>
        </row>
        <row r="100">
          <cell r="A100" t="str">
            <v>Ukraine</v>
          </cell>
          <cell r="B100">
            <v>0.72</v>
          </cell>
          <cell r="C100">
            <v>0.28000000000000003</v>
          </cell>
        </row>
        <row r="101">
          <cell r="A101" t="str">
            <v>Laos</v>
          </cell>
        </row>
        <row r="102">
          <cell r="A102" t="str">
            <v>Namibia</v>
          </cell>
        </row>
        <row r="103">
          <cell r="A103" t="str">
            <v>Malta</v>
          </cell>
        </row>
        <row r="104">
          <cell r="A104" t="str">
            <v>Bolivia</v>
          </cell>
        </row>
        <row r="105">
          <cell r="A105" t="str">
            <v>Guatemala</v>
          </cell>
        </row>
        <row r="106">
          <cell r="A106" t="str">
            <v>Lebanon</v>
          </cell>
        </row>
        <row r="107">
          <cell r="A107" t="str">
            <v>Taiwan</v>
          </cell>
          <cell r="B107">
            <v>0.8</v>
          </cell>
          <cell r="C107">
            <v>0.2</v>
          </cell>
        </row>
        <row r="108">
          <cell r="A108" t="str">
            <v>Mexico</v>
          </cell>
          <cell r="B108">
            <v>0.9</v>
          </cell>
          <cell r="C108">
            <v>0.1</v>
          </cell>
        </row>
        <row r="109">
          <cell r="A109" t="str">
            <v>Morocco</v>
          </cell>
          <cell r="B109">
            <v>0.86</v>
          </cell>
          <cell r="C109">
            <v>0.14000000000000001</v>
          </cell>
        </row>
        <row r="110">
          <cell r="A110" t="str">
            <v>Spain</v>
          </cell>
          <cell r="B110">
            <v>0.87</v>
          </cell>
          <cell r="C110">
            <v>0.13</v>
          </cell>
        </row>
        <row r="111">
          <cell r="A111" t="str">
            <v>Gambia</v>
          </cell>
        </row>
        <row r="112">
          <cell r="A112" t="str">
            <v>Slovenia</v>
          </cell>
        </row>
        <row r="113">
          <cell r="A113" t="str">
            <v>Finland</v>
          </cell>
          <cell r="B113">
            <v>0.62</v>
          </cell>
          <cell r="C113">
            <v>0.38</v>
          </cell>
        </row>
        <row r="114">
          <cell r="A114" t="str">
            <v>Peru</v>
          </cell>
          <cell r="B114">
            <v>0.92</v>
          </cell>
          <cell r="C114">
            <v>0.08</v>
          </cell>
        </row>
        <row r="115">
          <cell r="A115" t="str">
            <v>Norway</v>
          </cell>
          <cell r="B115">
            <v>0.66</v>
          </cell>
          <cell r="C115">
            <v>0.34</v>
          </cell>
        </row>
        <row r="116">
          <cell r="A116" t="str">
            <v>Gibraltar</v>
          </cell>
        </row>
        <row r="117">
          <cell r="A117" t="str">
            <v>Mauritania</v>
          </cell>
        </row>
        <row r="118">
          <cell r="A118" t="str">
            <v>Cyprus</v>
          </cell>
        </row>
        <row r="119">
          <cell r="A119" t="str">
            <v>Slovakia</v>
          </cell>
          <cell r="B119">
            <v>0.81</v>
          </cell>
          <cell r="C119">
            <v>0.19</v>
          </cell>
        </row>
        <row r="120">
          <cell r="A120" t="str">
            <v>Belgium</v>
          </cell>
          <cell r="B120">
            <v>0.8</v>
          </cell>
          <cell r="C120">
            <v>0.2</v>
          </cell>
        </row>
        <row r="121">
          <cell r="A121" t="str">
            <v>Croatia</v>
          </cell>
          <cell r="B121">
            <v>0.78</v>
          </cell>
          <cell r="C121">
            <v>0.22</v>
          </cell>
        </row>
        <row r="122">
          <cell r="A122" t="str">
            <v>Uruguay</v>
          </cell>
        </row>
        <row r="123">
          <cell r="A123" t="str">
            <v>South Africa</v>
          </cell>
          <cell r="B123">
            <v>0.82</v>
          </cell>
          <cell r="C123">
            <v>0.18</v>
          </cell>
        </row>
        <row r="124">
          <cell r="A124" t="str">
            <v>Somalia</v>
          </cell>
        </row>
        <row r="125">
          <cell r="A125" t="str">
            <v>Denmark</v>
          </cell>
          <cell r="B125">
            <v>0.73</v>
          </cell>
          <cell r="C125">
            <v>0.27</v>
          </cell>
        </row>
        <row r="126">
          <cell r="A126" t="str">
            <v>Netherlands</v>
          </cell>
          <cell r="B126">
            <v>0.75</v>
          </cell>
          <cell r="C126">
            <v>0.25</v>
          </cell>
        </row>
        <row r="127">
          <cell r="A127" t="str">
            <v>Andorra</v>
          </cell>
        </row>
        <row r="128">
          <cell r="A128" t="str">
            <v>Kyrgyzstan</v>
          </cell>
        </row>
        <row r="129">
          <cell r="A129" t="str">
            <v>Kazakhstan</v>
          </cell>
          <cell r="B129">
            <v>0.85</v>
          </cell>
          <cell r="C129">
            <v>0.15</v>
          </cell>
        </row>
        <row r="130">
          <cell r="A130" t="str">
            <v>Macao</v>
          </cell>
        </row>
        <row r="131">
          <cell r="A131" t="str">
            <v>Russia</v>
          </cell>
          <cell r="B131">
            <v>0.77</v>
          </cell>
          <cell r="C131">
            <v>0.23</v>
          </cell>
        </row>
        <row r="132">
          <cell r="A132" t="str">
            <v>Bosnia &amp; Herzegovina</v>
          </cell>
        </row>
        <row r="133">
          <cell r="A133" t="str">
            <v>Algeria</v>
          </cell>
        </row>
        <row r="134">
          <cell r="A134" t="str">
            <v>Timor-Leste</v>
          </cell>
        </row>
        <row r="135">
          <cell r="A135" t="str">
            <v>Comoros</v>
          </cell>
        </row>
        <row r="136">
          <cell r="A136" t="str">
            <v>New Zealand</v>
          </cell>
          <cell r="B136">
            <v>0.63</v>
          </cell>
          <cell r="C136">
            <v>0.37</v>
          </cell>
        </row>
        <row r="137">
          <cell r="A137" t="str">
            <v>Jordan</v>
          </cell>
        </row>
        <row r="138">
          <cell r="A138" t="str">
            <v>Paraguay</v>
          </cell>
        </row>
        <row r="139">
          <cell r="A139" t="str">
            <v>Brazil</v>
          </cell>
          <cell r="B139">
            <v>0.83</v>
          </cell>
          <cell r="C139">
            <v>0.17</v>
          </cell>
        </row>
        <row r="140">
          <cell r="A140" t="str">
            <v>Djibouti</v>
          </cell>
        </row>
        <row r="141">
          <cell r="A141" t="str">
            <v>France</v>
          </cell>
          <cell r="B141">
            <v>0.77</v>
          </cell>
          <cell r="C141">
            <v>0.23</v>
          </cell>
        </row>
        <row r="142">
          <cell r="A142" t="str">
            <v>Australia</v>
          </cell>
          <cell r="B142">
            <v>0.69</v>
          </cell>
          <cell r="C142">
            <v>0.31</v>
          </cell>
        </row>
        <row r="143">
          <cell r="A143" t="str">
            <v>Haiti</v>
          </cell>
        </row>
        <row r="144">
          <cell r="A144" t="str">
            <v>Azerbaijan</v>
          </cell>
        </row>
        <row r="145">
          <cell r="A145" t="str">
            <v>Honduras</v>
          </cell>
        </row>
        <row r="146">
          <cell r="A146" t="str">
            <v>Syria</v>
          </cell>
        </row>
        <row r="147">
          <cell r="A147" t="str">
            <v>South Sudan</v>
          </cell>
        </row>
        <row r="148">
          <cell r="A148" t="str">
            <v>United Arab Emirates</v>
          </cell>
          <cell r="B148">
            <v>0.81</v>
          </cell>
          <cell r="C148">
            <v>0.19</v>
          </cell>
        </row>
        <row r="149">
          <cell r="A149" t="str">
            <v>Malaysia</v>
          </cell>
          <cell r="B149">
            <v>0.78</v>
          </cell>
          <cell r="C149">
            <v>0.22</v>
          </cell>
        </row>
        <row r="150">
          <cell r="A150" t="str">
            <v>San Marino</v>
          </cell>
        </row>
        <row r="151">
          <cell r="A151" t="str">
            <v>Indonesia</v>
          </cell>
          <cell r="B151">
            <v>0.85</v>
          </cell>
          <cell r="C151">
            <v>0.15</v>
          </cell>
        </row>
        <row r="152">
          <cell r="A152" t="str">
            <v>Dominica</v>
          </cell>
        </row>
        <row r="153">
          <cell r="A153" t="str">
            <v>French Polynesia</v>
          </cell>
        </row>
        <row r="154">
          <cell r="A154" t="str">
            <v>Greece</v>
          </cell>
          <cell r="B154">
            <v>0.82</v>
          </cell>
          <cell r="C154">
            <v>0.18</v>
          </cell>
        </row>
        <row r="155">
          <cell r="A155" t="str">
            <v>Iran</v>
          </cell>
          <cell r="B155">
            <v>0.83</v>
          </cell>
          <cell r="C155">
            <v>0.17</v>
          </cell>
        </row>
        <row r="156">
          <cell r="A156" t="str">
            <v>Turkmenistan</v>
          </cell>
        </row>
        <row r="157">
          <cell r="A157" t="str">
            <v>Monaco</v>
          </cell>
        </row>
        <row r="158">
          <cell r="A158" t="str">
            <v>Montenegro</v>
          </cell>
        </row>
        <row r="159">
          <cell r="A159" t="str">
            <v>Italy</v>
          </cell>
          <cell r="B159">
            <v>0.89</v>
          </cell>
          <cell r="C159">
            <v>0.11</v>
          </cell>
        </row>
        <row r="160">
          <cell r="A160" t="str">
            <v>Nicaragua</v>
          </cell>
        </row>
        <row r="161">
          <cell r="A161" t="str">
            <v>Yemen</v>
          </cell>
        </row>
        <row r="162">
          <cell r="A162" t="str">
            <v>Chile</v>
          </cell>
          <cell r="B162">
            <v>0.83</v>
          </cell>
          <cell r="C162">
            <v>0.17</v>
          </cell>
        </row>
        <row r="163">
          <cell r="A163" t="str">
            <v>United Kingdom</v>
          </cell>
          <cell r="B163">
            <v>0.72</v>
          </cell>
          <cell r="C163">
            <v>0.28000000000000003</v>
          </cell>
        </row>
        <row r="164">
          <cell r="A164" t="str">
            <v>Maldives</v>
          </cell>
        </row>
        <row r="165">
          <cell r="A165" t="str">
            <v>Fiji</v>
          </cell>
        </row>
        <row r="166">
          <cell r="A166" t="str">
            <v>Brunei</v>
          </cell>
        </row>
        <row r="167">
          <cell r="A167" t="str">
            <v>Venezuela</v>
          </cell>
          <cell r="B167">
            <v>0.91</v>
          </cell>
          <cell r="C167">
            <v>0.09</v>
          </cell>
        </row>
        <row r="168">
          <cell r="A168" t="str">
            <v>Egypt</v>
          </cell>
          <cell r="B168">
            <v>0.83</v>
          </cell>
          <cell r="C168">
            <v>0.17</v>
          </cell>
        </row>
        <row r="169">
          <cell r="A169" t="str">
            <v>Seychelles</v>
          </cell>
        </row>
        <row r="170">
          <cell r="A170" t="str">
            <v>Bahrain</v>
          </cell>
        </row>
        <row r="171">
          <cell r="A171" t="str">
            <v>New Caledonia</v>
          </cell>
        </row>
        <row r="172">
          <cell r="A172" t="str">
            <v>Panama</v>
          </cell>
        </row>
        <row r="173">
          <cell r="A173" t="str">
            <v>Faroe Islands</v>
          </cell>
        </row>
        <row r="174">
          <cell r="A174" t="str">
            <v>Western Sahara</v>
          </cell>
        </row>
        <row r="175">
          <cell r="A175" t="str">
            <v>Tajikistan</v>
          </cell>
        </row>
        <row r="176">
          <cell r="A176" t="str">
            <v>Oman</v>
          </cell>
        </row>
        <row r="177">
          <cell r="A177" t="str">
            <v>Argentina</v>
          </cell>
          <cell r="B177">
            <v>0.77</v>
          </cell>
          <cell r="C177">
            <v>0.23</v>
          </cell>
        </row>
        <row r="178">
          <cell r="A178" t="str">
            <v>Jamaica</v>
          </cell>
        </row>
        <row r="179">
          <cell r="A179" t="str">
            <v>Isle of Man</v>
          </cell>
        </row>
        <row r="180">
          <cell r="A180" t="str">
            <v>Turkey</v>
          </cell>
          <cell r="B180">
            <v>0.86</v>
          </cell>
          <cell r="C180">
            <v>0.14000000000000001</v>
          </cell>
        </row>
        <row r="181">
          <cell r="A181" t="str">
            <v>Suriname</v>
          </cell>
        </row>
        <row r="182">
          <cell r="A182" t="str">
            <v>Libya</v>
          </cell>
        </row>
        <row r="183">
          <cell r="A183" t="str">
            <v>Georgia</v>
          </cell>
        </row>
        <row r="184">
          <cell r="A184" t="str">
            <v>Greenland</v>
          </cell>
        </row>
        <row r="185">
          <cell r="A185" t="str">
            <v>Saudi Arabia</v>
          </cell>
          <cell r="B185">
            <v>0.92</v>
          </cell>
          <cell r="C185">
            <v>0.08</v>
          </cell>
        </row>
        <row r="186">
          <cell r="A186" t="str">
            <v>Qatar</v>
          </cell>
        </row>
        <row r="187">
          <cell r="A187" t="str">
            <v>U.S. Virgin Islands</v>
          </cell>
        </row>
        <row r="188">
          <cell r="A188" t="str">
            <v>CuraÃ§ao</v>
          </cell>
        </row>
        <row r="189">
          <cell r="A189" t="str">
            <v>St. Kitts &amp; Nevis</v>
          </cell>
        </row>
        <row r="190">
          <cell r="A190" t="str">
            <v>Thailand</v>
          </cell>
          <cell r="B190">
            <v>0.72</v>
          </cell>
          <cell r="C190">
            <v>0.28000000000000003</v>
          </cell>
        </row>
        <row r="191">
          <cell r="A191" t="str">
            <v>Dominican Republic</v>
          </cell>
        </row>
        <row r="192">
          <cell r="A192" t="str">
            <v>Grenada</v>
          </cell>
        </row>
        <row r="193">
          <cell r="A193" t="str">
            <v>Solomon Islands</v>
          </cell>
        </row>
        <row r="194">
          <cell r="A194" t="str">
            <v>Vanuatu</v>
          </cell>
        </row>
        <row r="195">
          <cell r="A195" t="str">
            <v>Trinidad &amp; Tobago</v>
          </cell>
        </row>
        <row r="196">
          <cell r="A196" t="str">
            <v>Barbados</v>
          </cell>
        </row>
        <row r="197">
          <cell r="A197" t="str">
            <v>Puerto Rico</v>
          </cell>
        </row>
        <row r="198">
          <cell r="A198" t="str">
            <v>Guam</v>
          </cell>
        </row>
        <row r="199">
          <cell r="A199" t="str">
            <v>Iraq</v>
          </cell>
        </row>
        <row r="200">
          <cell r="A200" t="str">
            <v>RÃ©union</v>
          </cell>
        </row>
        <row r="201">
          <cell r="A201" t="str">
            <v>Antigua &amp; Barbuda</v>
          </cell>
        </row>
        <row r="202">
          <cell r="A202" t="str">
            <v>Cayman Islands</v>
          </cell>
        </row>
        <row r="203">
          <cell r="A203" t="str">
            <v>St. BarthÃ©lemy</v>
          </cell>
        </row>
        <row r="204">
          <cell r="A204" t="str">
            <v>Jersey</v>
          </cell>
        </row>
        <row r="205">
          <cell r="A205" t="str">
            <v>Kuwait</v>
          </cell>
        </row>
        <row r="206">
          <cell r="A206" t="str">
            <v>Samoa</v>
          </cell>
        </row>
        <row r="207">
          <cell r="A207" t="str">
            <v>Mayotte</v>
          </cell>
        </row>
        <row r="208">
          <cell r="A208" t="str">
            <v>Guadeloupe</v>
          </cell>
        </row>
        <row r="209">
          <cell r="A209" t="str">
            <v>Northern Mariana Islands</v>
          </cell>
        </row>
        <row r="210">
          <cell r="A210" t="str">
            <v>Guernsey</v>
          </cell>
        </row>
        <row r="211">
          <cell r="A211" t="str">
            <v>Guyana</v>
          </cell>
        </row>
        <row r="212">
          <cell r="A212" t="str">
            <v>Aruba</v>
          </cell>
        </row>
        <row r="213">
          <cell r="A213" t="str">
            <v>Caribbean Netherlands</v>
          </cell>
        </row>
        <row r="214">
          <cell r="A214" t="str">
            <v>St. Vincent &amp; Grenadines</v>
          </cell>
        </row>
        <row r="215">
          <cell r="A215" t="str">
            <v>St. Lucia</v>
          </cell>
        </row>
        <row r="216">
          <cell r="A216" t="str">
            <v>French Guiana</v>
          </cell>
        </row>
        <row r="217">
          <cell r="A217" t="str">
            <v>Bahamas</v>
          </cell>
        </row>
        <row r="218">
          <cell r="A218" t="str">
            <v>Belize</v>
          </cell>
        </row>
        <row r="219">
          <cell r="A219" t="str">
            <v>Martinique</v>
          </cell>
        </row>
        <row r="220">
          <cell r="A220" t="str">
            <v>Bermuda</v>
          </cell>
        </row>
        <row r="221">
          <cell r="A221" t="str">
            <v>Sint Maarten</v>
          </cell>
        </row>
        <row r="222">
          <cell r="A222" t="str">
            <v>North Korea</v>
          </cell>
        </row>
        <row r="223">
          <cell r="A223" t="str">
            <v>Falkland Islands (Islas Malvinas)</v>
          </cell>
        </row>
        <row r="224">
          <cell r="A224" t="str">
            <v>Nauru</v>
          </cell>
        </row>
        <row r="225">
          <cell r="A225" t="str">
            <v>American Samoa</v>
          </cell>
        </row>
        <row r="226">
          <cell r="A226" t="str">
            <v>Palau</v>
          </cell>
        </row>
        <row r="227">
          <cell r="A227" t="str">
            <v>Anguilla</v>
          </cell>
        </row>
        <row r="228">
          <cell r="A228" t="str">
            <v>Cook Islands</v>
          </cell>
        </row>
        <row r="229">
          <cell r="A229" t="str">
            <v>St. Martin</v>
          </cell>
        </row>
        <row r="230">
          <cell r="A230" t="str">
            <v>Marshall Islands</v>
          </cell>
        </row>
        <row r="231">
          <cell r="A231" t="str">
            <v>St. Pierre &amp; Miquelon</v>
          </cell>
        </row>
        <row r="232">
          <cell r="A232" t="str">
            <v>Micronesia</v>
          </cell>
        </row>
        <row r="233">
          <cell r="A233" t="str">
            <v>Turks &amp; Caicos Islands</v>
          </cell>
        </row>
        <row r="234">
          <cell r="A234" t="str">
            <v>British Virgin Islands</v>
          </cell>
        </row>
        <row r="235">
          <cell r="A235" t="str">
            <v>Antarctica</v>
          </cell>
        </row>
        <row r="236">
          <cell r="A236" t="str">
            <v>French Southern Territories</v>
          </cell>
        </row>
        <row r="237">
          <cell r="A237" t="str">
            <v>Bouvet Island</v>
          </cell>
        </row>
        <row r="238">
          <cell r="A238" t="str">
            <v>Cocos (Keeling) Islands</v>
          </cell>
        </row>
        <row r="239">
          <cell r="A239" t="str">
            <v>Christmas Island</v>
          </cell>
        </row>
        <row r="240">
          <cell r="A240" t="str">
            <v>Heard &amp; McDonald Islands</v>
          </cell>
        </row>
        <row r="241">
          <cell r="A241" t="str">
            <v>British Indian Ocean Territory</v>
          </cell>
        </row>
        <row r="242">
          <cell r="A242" t="str">
            <v>Kiribati</v>
          </cell>
        </row>
        <row r="243">
          <cell r="A243" t="str">
            <v>Montserrat</v>
          </cell>
        </row>
        <row r="244">
          <cell r="A244" t="str">
            <v>Norfolk Island</v>
          </cell>
        </row>
        <row r="245">
          <cell r="A245" t="str">
            <v>Niue</v>
          </cell>
        </row>
        <row r="246">
          <cell r="A246" t="str">
            <v>Pitcairn Islands</v>
          </cell>
        </row>
        <row r="247">
          <cell r="A247" t="str">
            <v>South Georgia &amp; South Sandwich Islands</v>
          </cell>
        </row>
        <row r="248">
          <cell r="A248" t="str">
            <v>Svalbard &amp; Jan Mayen</v>
          </cell>
        </row>
        <row r="249">
          <cell r="A249" t="str">
            <v>Tokelau</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1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73)"/>
    </sheetNames>
    <sheetDataSet>
      <sheetData sheetId="0" refreshError="1">
        <row r="1">
          <cell r="A1" t="str">
            <v>Category: All categories</v>
          </cell>
        </row>
        <row r="3">
          <cell r="A3" t="str">
            <v>Country</v>
          </cell>
          <cell r="B3" t="str">
            <v>Database: (2018)</v>
          </cell>
          <cell r="C3" t="str">
            <v>Cache: (2018)</v>
          </cell>
        </row>
        <row r="4">
          <cell r="A4" t="str">
            <v>Eritrea</v>
          </cell>
        </row>
        <row r="5">
          <cell r="A5" t="str">
            <v>China</v>
          </cell>
          <cell r="B5">
            <v>0.64</v>
          </cell>
          <cell r="C5">
            <v>0.36</v>
          </cell>
        </row>
        <row r="6">
          <cell r="A6" t="str">
            <v>Cuba</v>
          </cell>
        </row>
        <row r="7">
          <cell r="A7" t="str">
            <v>Ethiopia</v>
          </cell>
        </row>
        <row r="8">
          <cell r="A8" t="str">
            <v>St. Helena</v>
          </cell>
          <cell r="B8">
            <v>0.79</v>
          </cell>
          <cell r="C8">
            <v>0.21</v>
          </cell>
        </row>
        <row r="9">
          <cell r="A9" t="str">
            <v>Botswana</v>
          </cell>
        </row>
        <row r="10">
          <cell r="A10" t="str">
            <v>Zimbabwe</v>
          </cell>
        </row>
        <row r="11">
          <cell r="A11" t="str">
            <v>Papua New Guinea</v>
          </cell>
        </row>
        <row r="12">
          <cell r="A12" t="str">
            <v>Malawi</v>
          </cell>
        </row>
        <row r="13">
          <cell r="A13" t="str">
            <v>Rwanda</v>
          </cell>
        </row>
        <row r="14">
          <cell r="A14" t="str">
            <v>Solomon Islands</v>
          </cell>
        </row>
        <row r="15">
          <cell r="A15" t="str">
            <v>Myanmar (Burma)</v>
          </cell>
        </row>
        <row r="16">
          <cell r="A16" t="str">
            <v>Madagascar</v>
          </cell>
        </row>
        <row r="17">
          <cell r="A17" t="str">
            <v>Equatorial Guinea</v>
          </cell>
        </row>
        <row r="18">
          <cell r="A18" t="str">
            <v>Vanuatu</v>
          </cell>
        </row>
        <row r="19">
          <cell r="A19" t="str">
            <v>Timor-Leste</v>
          </cell>
        </row>
        <row r="20">
          <cell r="A20" t="str">
            <v>Samoa</v>
          </cell>
        </row>
        <row r="21">
          <cell r="A21" t="str">
            <v>Lesotho</v>
          </cell>
        </row>
        <row r="22">
          <cell r="A22" t="str">
            <v>Central African Republic</v>
          </cell>
        </row>
        <row r="23">
          <cell r="A23" t="str">
            <v>Eswatini</v>
          </cell>
        </row>
        <row r="24">
          <cell r="A24" t="str">
            <v>Togo</v>
          </cell>
        </row>
        <row r="25">
          <cell r="A25" t="str">
            <v>Fiji</v>
          </cell>
        </row>
        <row r="26">
          <cell r="A26" t="str">
            <v>Nepal</v>
          </cell>
        </row>
        <row r="27">
          <cell r="A27" t="str">
            <v>Afghanistan</v>
          </cell>
        </row>
        <row r="28">
          <cell r="A28" t="str">
            <v>Cape Verde</v>
          </cell>
        </row>
        <row r="29">
          <cell r="A29" t="str">
            <v>South Korea</v>
          </cell>
          <cell r="B29">
            <v>0.77</v>
          </cell>
          <cell r="C29">
            <v>0.23</v>
          </cell>
        </row>
        <row r="30">
          <cell r="A30" t="str">
            <v>Uganda</v>
          </cell>
        </row>
        <row r="31">
          <cell r="A31" t="str">
            <v>Cameroon</v>
          </cell>
        </row>
        <row r="32">
          <cell r="A32" t="str">
            <v>Burundi</v>
          </cell>
        </row>
        <row r="33">
          <cell r="A33" t="str">
            <v>Liechtenstein</v>
          </cell>
        </row>
        <row r="34">
          <cell r="A34" t="str">
            <v>Guinea-Bissau</v>
          </cell>
        </row>
        <row r="35">
          <cell r="A35" t="str">
            <v>Bhutan</v>
          </cell>
        </row>
        <row r="36">
          <cell r="A36" t="str">
            <v>Sri Lanka</v>
          </cell>
          <cell r="B36">
            <v>0.85</v>
          </cell>
          <cell r="C36">
            <v>0.15</v>
          </cell>
        </row>
        <row r="37">
          <cell r="A37" t="str">
            <v>Singapore</v>
          </cell>
          <cell r="B37">
            <v>0.71</v>
          </cell>
          <cell r="C37">
            <v>0.28999999999999998</v>
          </cell>
        </row>
        <row r="38">
          <cell r="A38" t="str">
            <v>Angola</v>
          </cell>
        </row>
        <row r="39">
          <cell r="A39" t="str">
            <v>British Virgin Islands</v>
          </cell>
        </row>
        <row r="40">
          <cell r="A40" t="str">
            <v>Congo - Brazzaville</v>
          </cell>
        </row>
        <row r="41">
          <cell r="A41" t="str">
            <v>Benin</v>
          </cell>
        </row>
        <row r="42">
          <cell r="A42" t="str">
            <v>Pakistan</v>
          </cell>
          <cell r="B42">
            <v>0.85</v>
          </cell>
          <cell r="C42">
            <v>0.15</v>
          </cell>
        </row>
        <row r="43">
          <cell r="A43" t="str">
            <v>Congo - Kinshasa</v>
          </cell>
        </row>
        <row r="44">
          <cell r="A44" t="str">
            <v>Mauritius</v>
          </cell>
        </row>
        <row r="45">
          <cell r="A45" t="str">
            <v>Tonga</v>
          </cell>
        </row>
        <row r="46">
          <cell r="A46" t="str">
            <v>Luxembourg</v>
          </cell>
        </row>
        <row r="47">
          <cell r="A47" t="str">
            <v>Ghana</v>
          </cell>
        </row>
        <row r="48">
          <cell r="A48" t="str">
            <v>Somalia</v>
          </cell>
        </row>
        <row r="49">
          <cell r="A49" t="str">
            <v>El Salvador</v>
          </cell>
        </row>
        <row r="50">
          <cell r="A50" t="str">
            <v>Kenya</v>
          </cell>
          <cell r="B50">
            <v>0.86</v>
          </cell>
          <cell r="C50">
            <v>0.14000000000000001</v>
          </cell>
        </row>
        <row r="51">
          <cell r="A51" t="str">
            <v>Djibouti</v>
          </cell>
        </row>
        <row r="52">
          <cell r="A52" t="str">
            <v>Gambia</v>
          </cell>
        </row>
        <row r="53">
          <cell r="A53" t="str">
            <v>South Africa</v>
          </cell>
          <cell r="B53">
            <v>0.83</v>
          </cell>
          <cell r="C53">
            <v>0.17</v>
          </cell>
        </row>
        <row r="54">
          <cell r="A54" t="str">
            <v>Estonia</v>
          </cell>
        </row>
        <row r="55">
          <cell r="A55" t="str">
            <v>Colombia</v>
          </cell>
          <cell r="B55">
            <v>0.86</v>
          </cell>
          <cell r="C55">
            <v>0.14000000000000001</v>
          </cell>
        </row>
        <row r="56">
          <cell r="A56" t="str">
            <v>Senegal</v>
          </cell>
        </row>
        <row r="57">
          <cell r="A57" t="str">
            <v>Liberia</v>
          </cell>
        </row>
        <row r="58">
          <cell r="A58" t="str">
            <v>Belize</v>
          </cell>
        </row>
        <row r="59">
          <cell r="A59" t="str">
            <v>SÃ£o TomÃ© &amp; PrÃ­ncipe</v>
          </cell>
        </row>
        <row r="60">
          <cell r="A60" t="str">
            <v>Mozambique</v>
          </cell>
        </row>
        <row r="61">
          <cell r="A61" t="str">
            <v>New Zealand</v>
          </cell>
          <cell r="B61">
            <v>0.73</v>
          </cell>
          <cell r="C61">
            <v>0.27</v>
          </cell>
        </row>
        <row r="62">
          <cell r="A62" t="str">
            <v>Tunisia</v>
          </cell>
          <cell r="B62">
            <v>0.79</v>
          </cell>
          <cell r="C62">
            <v>0.21</v>
          </cell>
        </row>
        <row r="63">
          <cell r="A63" t="str">
            <v>Hong Kong</v>
          </cell>
          <cell r="B63">
            <v>0.73</v>
          </cell>
          <cell r="C63">
            <v>0.27</v>
          </cell>
        </row>
        <row r="64">
          <cell r="A64" t="str">
            <v>Tanzania</v>
          </cell>
        </row>
        <row r="65">
          <cell r="A65" t="str">
            <v>Jamaica</v>
          </cell>
        </row>
        <row r="66">
          <cell r="A66" t="str">
            <v>Latvia</v>
          </cell>
        </row>
        <row r="67">
          <cell r="A67" t="str">
            <v>Niger</v>
          </cell>
        </row>
        <row r="68">
          <cell r="A68" t="str">
            <v>Czechia</v>
          </cell>
          <cell r="B68">
            <v>0.79</v>
          </cell>
          <cell r="C68">
            <v>0.21</v>
          </cell>
        </row>
        <row r="69">
          <cell r="A69" t="str">
            <v>India</v>
          </cell>
          <cell r="B69">
            <v>0.83</v>
          </cell>
          <cell r="C69">
            <v>0.17</v>
          </cell>
        </row>
        <row r="70">
          <cell r="A70" t="str">
            <v>South Sudan</v>
          </cell>
        </row>
        <row r="71">
          <cell r="A71" t="str">
            <v>Chad</v>
          </cell>
        </row>
        <row r="72">
          <cell r="A72" t="str">
            <v>Philippines</v>
          </cell>
          <cell r="B72">
            <v>0.73</v>
          </cell>
          <cell r="C72">
            <v>0.27</v>
          </cell>
        </row>
        <row r="73">
          <cell r="A73" t="str">
            <v>Malta</v>
          </cell>
        </row>
        <row r="74">
          <cell r="A74" t="str">
            <v>Canada</v>
          </cell>
          <cell r="B74">
            <v>0.72</v>
          </cell>
          <cell r="C74">
            <v>0.28000000000000003</v>
          </cell>
        </row>
        <row r="75">
          <cell r="A75" t="str">
            <v>Zambia</v>
          </cell>
        </row>
        <row r="76">
          <cell r="A76" t="str">
            <v>Brunei</v>
          </cell>
        </row>
        <row r="77">
          <cell r="A77" t="str">
            <v>Iceland</v>
          </cell>
        </row>
        <row r="78">
          <cell r="A78" t="str">
            <v>San Marino</v>
          </cell>
        </row>
        <row r="79">
          <cell r="A79" t="str">
            <v>Switzerland</v>
          </cell>
          <cell r="B79">
            <v>0.72</v>
          </cell>
          <cell r="C79">
            <v>0.28000000000000003</v>
          </cell>
        </row>
        <row r="80">
          <cell r="A80" t="str">
            <v>Australia</v>
          </cell>
          <cell r="B80">
            <v>0.72</v>
          </cell>
          <cell r="C80">
            <v>0.28000000000000003</v>
          </cell>
        </row>
        <row r="81">
          <cell r="A81" t="str">
            <v>Sudan</v>
          </cell>
        </row>
        <row r="82">
          <cell r="A82" t="str">
            <v>Nigeria</v>
          </cell>
          <cell r="B82">
            <v>0.87</v>
          </cell>
          <cell r="C82">
            <v>0.13</v>
          </cell>
        </row>
        <row r="83">
          <cell r="A83" t="str">
            <v>Sierra Leone</v>
          </cell>
        </row>
        <row r="84">
          <cell r="A84" t="str">
            <v>Taiwan</v>
          </cell>
          <cell r="B84">
            <v>0.79</v>
          </cell>
          <cell r="C84">
            <v>0.21</v>
          </cell>
        </row>
        <row r="85">
          <cell r="A85" t="str">
            <v>Ecuador</v>
          </cell>
          <cell r="B85">
            <v>0.86</v>
          </cell>
          <cell r="C85">
            <v>0.14000000000000001</v>
          </cell>
        </row>
        <row r="86">
          <cell r="A86" t="str">
            <v>Ireland</v>
          </cell>
          <cell r="B86">
            <v>0.71</v>
          </cell>
          <cell r="C86">
            <v>0.28999999999999998</v>
          </cell>
        </row>
        <row r="87">
          <cell r="A87" t="str">
            <v>Honduras</v>
          </cell>
        </row>
        <row r="88">
          <cell r="A88" t="str">
            <v>Guatemala</v>
          </cell>
        </row>
        <row r="89">
          <cell r="A89" t="str">
            <v>Namibia</v>
          </cell>
        </row>
        <row r="90">
          <cell r="A90" t="str">
            <v>Northern Mariana Islands</v>
          </cell>
        </row>
        <row r="91">
          <cell r="A91" t="str">
            <v>United States</v>
          </cell>
          <cell r="B91">
            <v>0.72</v>
          </cell>
          <cell r="C91">
            <v>0.28000000000000003</v>
          </cell>
        </row>
        <row r="92">
          <cell r="A92" t="str">
            <v>Dominica</v>
          </cell>
        </row>
        <row r="93">
          <cell r="A93" t="str">
            <v>Yemen</v>
          </cell>
        </row>
        <row r="94">
          <cell r="A94" t="str">
            <v>Isle of Man</v>
          </cell>
        </row>
        <row r="95">
          <cell r="A95" t="str">
            <v>Cyprus</v>
          </cell>
        </row>
        <row r="96">
          <cell r="A96" t="str">
            <v>Maldives</v>
          </cell>
        </row>
        <row r="97">
          <cell r="A97" t="str">
            <v>Costa Rica</v>
          </cell>
          <cell r="B97">
            <v>0.78</v>
          </cell>
          <cell r="C97">
            <v>0.22</v>
          </cell>
        </row>
        <row r="98">
          <cell r="A98" t="str">
            <v>Bangladesh</v>
          </cell>
          <cell r="B98">
            <v>0.83</v>
          </cell>
          <cell r="C98">
            <v>0.17</v>
          </cell>
        </row>
        <row r="99">
          <cell r="A99" t="str">
            <v>North Macedonia</v>
          </cell>
        </row>
        <row r="100">
          <cell r="A100" t="str">
            <v>St. Vincent &amp; Grenadines</v>
          </cell>
        </row>
        <row r="101">
          <cell r="A101" t="str">
            <v>Lebanon</v>
          </cell>
        </row>
        <row r="102">
          <cell r="A102" t="str">
            <v>Portugal</v>
          </cell>
          <cell r="B102">
            <v>0.73</v>
          </cell>
          <cell r="C102">
            <v>0.27</v>
          </cell>
        </row>
        <row r="103">
          <cell r="A103" t="str">
            <v>Netherlands</v>
          </cell>
          <cell r="B103">
            <v>0.71</v>
          </cell>
          <cell r="C103">
            <v>0.28999999999999998</v>
          </cell>
        </row>
        <row r="104">
          <cell r="A104" t="str">
            <v>CÃ´te dâ€™Ivoire</v>
          </cell>
        </row>
        <row r="105">
          <cell r="A105" t="str">
            <v>Albania</v>
          </cell>
        </row>
        <row r="106">
          <cell r="A106" t="str">
            <v>Macao</v>
          </cell>
        </row>
        <row r="107">
          <cell r="A107" t="str">
            <v>Japan</v>
          </cell>
          <cell r="B107">
            <v>0.64</v>
          </cell>
          <cell r="C107">
            <v>0.36</v>
          </cell>
        </row>
        <row r="108">
          <cell r="A108" t="str">
            <v>Malaysia</v>
          </cell>
          <cell r="B108">
            <v>0.78</v>
          </cell>
          <cell r="C108">
            <v>0.22</v>
          </cell>
        </row>
        <row r="109">
          <cell r="A109" t="str">
            <v>Nicaragua</v>
          </cell>
        </row>
        <row r="110">
          <cell r="A110" t="str">
            <v>Jersey</v>
          </cell>
        </row>
        <row r="111">
          <cell r="A111" t="str">
            <v>Germany</v>
          </cell>
          <cell r="B111">
            <v>0.71</v>
          </cell>
          <cell r="C111">
            <v>0.28999999999999998</v>
          </cell>
        </row>
        <row r="112">
          <cell r="A112" t="str">
            <v>Mongolia</v>
          </cell>
        </row>
        <row r="113">
          <cell r="A113" t="str">
            <v>United Arab Emirates</v>
          </cell>
          <cell r="B113">
            <v>0.75</v>
          </cell>
          <cell r="C113">
            <v>0.25</v>
          </cell>
        </row>
        <row r="114">
          <cell r="A114" t="str">
            <v>Bermuda</v>
          </cell>
        </row>
        <row r="115">
          <cell r="A115" t="str">
            <v>Panama</v>
          </cell>
        </row>
        <row r="116">
          <cell r="A116" t="str">
            <v>Denmark</v>
          </cell>
          <cell r="B116">
            <v>0.73</v>
          </cell>
          <cell r="C116">
            <v>0.27</v>
          </cell>
        </row>
        <row r="117">
          <cell r="A117" t="str">
            <v>Indonesia</v>
          </cell>
          <cell r="B117">
            <v>0.82</v>
          </cell>
          <cell r="C117">
            <v>0.18</v>
          </cell>
        </row>
        <row r="118">
          <cell r="A118" t="str">
            <v>Peru</v>
          </cell>
          <cell r="B118">
            <v>0.77</v>
          </cell>
          <cell r="C118">
            <v>0.23</v>
          </cell>
        </row>
        <row r="119">
          <cell r="A119" t="str">
            <v>Austria</v>
          </cell>
          <cell r="B119">
            <v>0.73</v>
          </cell>
          <cell r="C119">
            <v>0.27</v>
          </cell>
        </row>
        <row r="120">
          <cell r="A120" t="str">
            <v>United Kingdom</v>
          </cell>
          <cell r="B120">
            <v>0.69</v>
          </cell>
          <cell r="C120">
            <v>0.31</v>
          </cell>
        </row>
        <row r="121">
          <cell r="A121" t="str">
            <v>Oman</v>
          </cell>
        </row>
        <row r="122">
          <cell r="A122" t="str">
            <v>Mexico</v>
          </cell>
          <cell r="B122">
            <v>0.81</v>
          </cell>
          <cell r="C122">
            <v>0.19</v>
          </cell>
        </row>
        <row r="123">
          <cell r="A123" t="str">
            <v>Andorra</v>
          </cell>
        </row>
        <row r="124">
          <cell r="A124" t="str">
            <v>Monaco</v>
          </cell>
        </row>
        <row r="125">
          <cell r="A125" t="str">
            <v>Belarus</v>
          </cell>
          <cell r="B125">
            <v>0.53</v>
          </cell>
          <cell r="C125">
            <v>0.47</v>
          </cell>
        </row>
        <row r="126">
          <cell r="A126" t="str">
            <v>Faroe Islands</v>
          </cell>
        </row>
        <row r="127">
          <cell r="A127" t="str">
            <v>Libya</v>
          </cell>
        </row>
        <row r="128">
          <cell r="A128" t="str">
            <v>Gabon</v>
          </cell>
        </row>
        <row r="129">
          <cell r="A129" t="str">
            <v>Bolivia</v>
          </cell>
        </row>
        <row r="130">
          <cell r="A130" t="str">
            <v>Gibraltar</v>
          </cell>
        </row>
        <row r="131">
          <cell r="A131" t="str">
            <v>Bahrain</v>
          </cell>
        </row>
        <row r="132">
          <cell r="A132" t="str">
            <v>Laos</v>
          </cell>
        </row>
        <row r="133">
          <cell r="A133" t="str">
            <v>Dominican Republic</v>
          </cell>
        </row>
        <row r="134">
          <cell r="A134" t="str">
            <v>Belgium</v>
          </cell>
          <cell r="B134">
            <v>0.73</v>
          </cell>
          <cell r="C134">
            <v>0.27</v>
          </cell>
        </row>
        <row r="135">
          <cell r="A135" t="str">
            <v>Seychelles</v>
          </cell>
        </row>
        <row r="136">
          <cell r="A136" t="str">
            <v>Lithuania</v>
          </cell>
          <cell r="B136">
            <v>0.74</v>
          </cell>
          <cell r="C136">
            <v>0.26</v>
          </cell>
        </row>
        <row r="137">
          <cell r="A137" t="str">
            <v>Kosovo</v>
          </cell>
        </row>
        <row r="138">
          <cell r="A138" t="str">
            <v>Cambodia</v>
          </cell>
        </row>
        <row r="139">
          <cell r="A139" t="str">
            <v>Barbados</v>
          </cell>
        </row>
        <row r="140">
          <cell r="A140" t="str">
            <v>Moldova</v>
          </cell>
        </row>
        <row r="141">
          <cell r="A141" t="str">
            <v>Sweden</v>
          </cell>
          <cell r="B141">
            <v>0.69</v>
          </cell>
          <cell r="C141">
            <v>0.31</v>
          </cell>
        </row>
        <row r="142">
          <cell r="A142" t="str">
            <v>Guernsey</v>
          </cell>
        </row>
        <row r="143">
          <cell r="A143" t="str">
            <v>Ã…land Islands</v>
          </cell>
        </row>
        <row r="144">
          <cell r="A144" t="str">
            <v>Trinidad &amp; Tobago</v>
          </cell>
        </row>
        <row r="145">
          <cell r="A145" t="str">
            <v>Hungary</v>
          </cell>
          <cell r="B145">
            <v>0.78</v>
          </cell>
          <cell r="C145">
            <v>0.22</v>
          </cell>
        </row>
        <row r="146">
          <cell r="A146" t="str">
            <v>Russia</v>
          </cell>
          <cell r="B146">
            <v>0.56000000000000005</v>
          </cell>
          <cell r="C146">
            <v>0.44</v>
          </cell>
        </row>
        <row r="147">
          <cell r="A147" t="str">
            <v>Palestine</v>
          </cell>
        </row>
        <row r="148">
          <cell r="A148" t="str">
            <v>Finland</v>
          </cell>
          <cell r="B148">
            <v>0.68</v>
          </cell>
          <cell r="C148">
            <v>0.32</v>
          </cell>
        </row>
        <row r="149">
          <cell r="A149" t="str">
            <v>CuraÃ§ao</v>
          </cell>
        </row>
        <row r="150">
          <cell r="A150" t="str">
            <v>Serbia</v>
          </cell>
          <cell r="B150">
            <v>0.77</v>
          </cell>
          <cell r="C150">
            <v>0.23</v>
          </cell>
        </row>
        <row r="151">
          <cell r="A151" t="str">
            <v>Slovakia</v>
          </cell>
          <cell r="B151">
            <v>0.79</v>
          </cell>
          <cell r="C151">
            <v>0.21</v>
          </cell>
        </row>
        <row r="152">
          <cell r="A152" t="str">
            <v>Armenia</v>
          </cell>
        </row>
        <row r="153">
          <cell r="A153" t="str">
            <v>Haiti</v>
          </cell>
        </row>
        <row r="154">
          <cell r="A154" t="str">
            <v>Romania</v>
          </cell>
          <cell r="B154">
            <v>0.73</v>
          </cell>
          <cell r="C154">
            <v>0.27</v>
          </cell>
        </row>
        <row r="155">
          <cell r="A155" t="str">
            <v>Kazakhstan</v>
          </cell>
          <cell r="B155">
            <v>0.48</v>
          </cell>
          <cell r="C155">
            <v>0.52</v>
          </cell>
        </row>
        <row r="156">
          <cell r="A156" t="str">
            <v>Qatar</v>
          </cell>
        </row>
        <row r="157">
          <cell r="A157" t="str">
            <v>Burkina Faso</v>
          </cell>
        </row>
        <row r="158">
          <cell r="A158" t="str">
            <v>St. Lucia</v>
          </cell>
        </row>
        <row r="159">
          <cell r="A159" t="str">
            <v>Grenada</v>
          </cell>
        </row>
        <row r="160">
          <cell r="A160" t="str">
            <v>Poland</v>
          </cell>
          <cell r="B160">
            <v>0.79</v>
          </cell>
          <cell r="C160">
            <v>0.21</v>
          </cell>
        </row>
        <row r="161">
          <cell r="A161" t="str">
            <v>Norway</v>
          </cell>
          <cell r="B161">
            <v>0.7</v>
          </cell>
          <cell r="C161">
            <v>0.3</v>
          </cell>
        </row>
        <row r="162">
          <cell r="A162" t="str">
            <v>Israel</v>
          </cell>
          <cell r="B162">
            <v>0.68</v>
          </cell>
          <cell r="C162">
            <v>0.32</v>
          </cell>
        </row>
        <row r="163">
          <cell r="A163" t="str">
            <v>St. Kitts &amp; Nevis</v>
          </cell>
        </row>
        <row r="164">
          <cell r="A164" t="str">
            <v>Ukraine</v>
          </cell>
          <cell r="B164">
            <v>0.54</v>
          </cell>
          <cell r="C164">
            <v>0.46</v>
          </cell>
        </row>
        <row r="165">
          <cell r="A165" t="str">
            <v>Turks &amp; Caicos Islands</v>
          </cell>
        </row>
        <row r="166">
          <cell r="A166" t="str">
            <v>Guyana</v>
          </cell>
        </row>
        <row r="167">
          <cell r="A167" t="str">
            <v>Kyrgyzstan</v>
          </cell>
        </row>
        <row r="168">
          <cell r="A168" t="str">
            <v>Cayman Islands</v>
          </cell>
        </row>
        <row r="169">
          <cell r="A169" t="str">
            <v>Slovenia</v>
          </cell>
        </row>
        <row r="170">
          <cell r="A170" t="str">
            <v>Uzbekistan</v>
          </cell>
        </row>
        <row r="171">
          <cell r="A171" t="str">
            <v>Jordan</v>
          </cell>
        </row>
        <row r="172">
          <cell r="A172" t="str">
            <v>Suriname</v>
          </cell>
        </row>
        <row r="173">
          <cell r="A173" t="str">
            <v>Bosnia &amp; Herzegovina</v>
          </cell>
        </row>
        <row r="174">
          <cell r="A174" t="str">
            <v>Morocco</v>
          </cell>
          <cell r="B174">
            <v>0.81</v>
          </cell>
          <cell r="C174">
            <v>0.19</v>
          </cell>
        </row>
        <row r="175">
          <cell r="A175" t="str">
            <v>Spain</v>
          </cell>
          <cell r="B175">
            <v>0.69</v>
          </cell>
          <cell r="C175">
            <v>0.31</v>
          </cell>
        </row>
        <row r="176">
          <cell r="A176" t="str">
            <v>Bulgaria</v>
          </cell>
          <cell r="B176">
            <v>0.65</v>
          </cell>
          <cell r="C176">
            <v>0.35</v>
          </cell>
        </row>
        <row r="177">
          <cell r="A177" t="str">
            <v>Italy</v>
          </cell>
          <cell r="B177">
            <v>0.75</v>
          </cell>
          <cell r="C177">
            <v>0.25</v>
          </cell>
        </row>
        <row r="178">
          <cell r="A178" t="str">
            <v>Croatia</v>
          </cell>
          <cell r="B178">
            <v>0.75</v>
          </cell>
          <cell r="C178">
            <v>0.25</v>
          </cell>
        </row>
        <row r="179">
          <cell r="A179" t="str">
            <v>Puerto Rico</v>
          </cell>
        </row>
        <row r="180">
          <cell r="A180" t="str">
            <v>Thailand</v>
          </cell>
          <cell r="B180">
            <v>0.71</v>
          </cell>
          <cell r="C180">
            <v>0.28999999999999998</v>
          </cell>
        </row>
        <row r="181">
          <cell r="A181" t="str">
            <v>Chile</v>
          </cell>
          <cell r="B181">
            <v>0.78</v>
          </cell>
          <cell r="C181">
            <v>0.22</v>
          </cell>
        </row>
        <row r="182">
          <cell r="A182" t="str">
            <v>Guam</v>
          </cell>
        </row>
        <row r="183">
          <cell r="A183" t="str">
            <v>Mali</v>
          </cell>
        </row>
        <row r="184">
          <cell r="A184" t="str">
            <v>Antigua &amp; Barbuda</v>
          </cell>
        </row>
        <row r="185">
          <cell r="A185" t="str">
            <v>Vietnam</v>
          </cell>
          <cell r="B185">
            <v>0.81</v>
          </cell>
          <cell r="C185">
            <v>0.19</v>
          </cell>
        </row>
        <row r="186">
          <cell r="A186" t="str">
            <v>Mauritania</v>
          </cell>
        </row>
        <row r="187">
          <cell r="A187" t="str">
            <v>Guinea</v>
          </cell>
        </row>
        <row r="188">
          <cell r="A188" t="str">
            <v>Algeria</v>
          </cell>
          <cell r="B188">
            <v>0.83</v>
          </cell>
          <cell r="C188">
            <v>0.17</v>
          </cell>
        </row>
        <row r="189">
          <cell r="A189" t="str">
            <v>U.S. Virgin Islands</v>
          </cell>
        </row>
        <row r="190">
          <cell r="A190" t="str">
            <v>Paraguay</v>
          </cell>
        </row>
        <row r="191">
          <cell r="A191" t="str">
            <v>Egypt</v>
          </cell>
          <cell r="B191">
            <v>0.84</v>
          </cell>
          <cell r="C191">
            <v>0.16</v>
          </cell>
        </row>
        <row r="192">
          <cell r="A192" t="str">
            <v>France</v>
          </cell>
          <cell r="B192">
            <v>0.68</v>
          </cell>
          <cell r="C192">
            <v>0.32</v>
          </cell>
        </row>
        <row r="193">
          <cell r="A193" t="str">
            <v>French Polynesia</v>
          </cell>
        </row>
        <row r="194">
          <cell r="A194" t="str">
            <v>Tajikistan</v>
          </cell>
        </row>
        <row r="195">
          <cell r="A195" t="str">
            <v>Turkmenistan</v>
          </cell>
        </row>
        <row r="196">
          <cell r="A196" t="str">
            <v>Uruguay</v>
          </cell>
        </row>
        <row r="197">
          <cell r="A197" t="str">
            <v>New Caledonia</v>
          </cell>
        </row>
        <row r="198">
          <cell r="A198" t="str">
            <v>Caribbean Netherlands</v>
          </cell>
        </row>
        <row r="199">
          <cell r="A199" t="str">
            <v>Montenegro</v>
          </cell>
        </row>
        <row r="200">
          <cell r="A200" t="str">
            <v>Kuwait</v>
          </cell>
        </row>
        <row r="201">
          <cell r="A201" t="str">
            <v>Greece</v>
          </cell>
          <cell r="B201">
            <v>0.72</v>
          </cell>
          <cell r="C201">
            <v>0.28000000000000003</v>
          </cell>
        </row>
        <row r="202">
          <cell r="A202" t="str">
            <v>Saudi Arabia</v>
          </cell>
          <cell r="B202">
            <v>0.87</v>
          </cell>
          <cell r="C202">
            <v>0.13</v>
          </cell>
        </row>
        <row r="203">
          <cell r="A203" t="str">
            <v>Iran</v>
          </cell>
          <cell r="B203">
            <v>0.77</v>
          </cell>
          <cell r="C203">
            <v>0.23</v>
          </cell>
        </row>
        <row r="204">
          <cell r="A204" t="str">
            <v>French Guiana</v>
          </cell>
        </row>
        <row r="205">
          <cell r="A205" t="str">
            <v>Bahamas</v>
          </cell>
        </row>
        <row r="206">
          <cell r="A206" t="str">
            <v>Syria</v>
          </cell>
        </row>
        <row r="207">
          <cell r="A207" t="str">
            <v>Azerbaijan</v>
          </cell>
        </row>
        <row r="208">
          <cell r="A208" t="str">
            <v>Brazil</v>
          </cell>
          <cell r="B208">
            <v>0.63</v>
          </cell>
          <cell r="C208">
            <v>0.37</v>
          </cell>
        </row>
        <row r="209">
          <cell r="A209" t="str">
            <v>Sint Maarten</v>
          </cell>
        </row>
        <row r="210">
          <cell r="A210" t="str">
            <v>Aruba</v>
          </cell>
        </row>
        <row r="211">
          <cell r="A211" t="str">
            <v>Venezuela</v>
          </cell>
          <cell r="B211">
            <v>0.74</v>
          </cell>
          <cell r="C211">
            <v>0.26</v>
          </cell>
        </row>
        <row r="212">
          <cell r="A212" t="str">
            <v>Argentina</v>
          </cell>
          <cell r="B212">
            <v>0.68</v>
          </cell>
          <cell r="C212">
            <v>0.32</v>
          </cell>
        </row>
        <row r="213">
          <cell r="A213" t="str">
            <v>Iraq</v>
          </cell>
        </row>
        <row r="214">
          <cell r="A214" t="str">
            <v>Georgia</v>
          </cell>
        </row>
        <row r="215">
          <cell r="A215" t="str">
            <v>RÃ©union</v>
          </cell>
        </row>
        <row r="216">
          <cell r="A216" t="str">
            <v>Guadeloupe</v>
          </cell>
        </row>
        <row r="217">
          <cell r="A217" t="str">
            <v>Greenland</v>
          </cell>
        </row>
        <row r="218">
          <cell r="A218" t="str">
            <v>Turkey</v>
          </cell>
          <cell r="B218">
            <v>0.8</v>
          </cell>
          <cell r="C218">
            <v>0.2</v>
          </cell>
        </row>
        <row r="219">
          <cell r="A219" t="str">
            <v>Western Sahara</v>
          </cell>
        </row>
        <row r="220">
          <cell r="A220" t="str">
            <v>Martinique</v>
          </cell>
        </row>
        <row r="221">
          <cell r="A221" t="str">
            <v>Mayotte</v>
          </cell>
        </row>
        <row r="222">
          <cell r="A222" t="str">
            <v>North Korea</v>
          </cell>
        </row>
        <row r="223">
          <cell r="A223" t="str">
            <v>Cook Islands</v>
          </cell>
        </row>
        <row r="224">
          <cell r="A224" t="str">
            <v>Nauru</v>
          </cell>
        </row>
        <row r="225">
          <cell r="A225" t="str">
            <v>Falkland Islands (Islas Malvinas)</v>
          </cell>
        </row>
        <row r="226">
          <cell r="A226" t="str">
            <v>Comoros</v>
          </cell>
        </row>
        <row r="227">
          <cell r="A227" t="str">
            <v>Palau</v>
          </cell>
        </row>
        <row r="228">
          <cell r="A228" t="str">
            <v>St. Pierre &amp; Miquelon</v>
          </cell>
        </row>
        <row r="229">
          <cell r="A229" t="str">
            <v>Marshall Islands</v>
          </cell>
        </row>
        <row r="230">
          <cell r="A230" t="str">
            <v>Svalbard &amp; Jan Mayen</v>
          </cell>
        </row>
        <row r="231">
          <cell r="A231" t="str">
            <v>American Samoa</v>
          </cell>
        </row>
        <row r="232">
          <cell r="A232" t="str">
            <v>Micronesia</v>
          </cell>
        </row>
        <row r="233">
          <cell r="A233" t="str">
            <v>St. Martin</v>
          </cell>
        </row>
        <row r="234">
          <cell r="A234" t="str">
            <v>Anguilla</v>
          </cell>
        </row>
        <row r="235">
          <cell r="A235" t="str">
            <v>St. BarthÃ©lemy</v>
          </cell>
        </row>
        <row r="236">
          <cell r="A236" t="str">
            <v>Antarctica</v>
          </cell>
        </row>
        <row r="237">
          <cell r="A237" t="str">
            <v>French Southern Territories</v>
          </cell>
        </row>
        <row r="238">
          <cell r="A238" t="str">
            <v>Bouvet Island</v>
          </cell>
        </row>
        <row r="239">
          <cell r="A239" t="str">
            <v>Cocos (Keeling) Islands</v>
          </cell>
        </row>
        <row r="240">
          <cell r="A240" t="str">
            <v>Christmas Island</v>
          </cell>
        </row>
        <row r="241">
          <cell r="A241" t="str">
            <v>Heard &amp; McDonald Islands</v>
          </cell>
        </row>
        <row r="242">
          <cell r="A242" t="str">
            <v>British Indian Ocean Territory</v>
          </cell>
        </row>
        <row r="243">
          <cell r="A243" t="str">
            <v>Kiribati</v>
          </cell>
        </row>
        <row r="244">
          <cell r="A244" t="str">
            <v>Montserrat</v>
          </cell>
        </row>
        <row r="245">
          <cell r="A245" t="str">
            <v>Norfolk Island</v>
          </cell>
        </row>
        <row r="246">
          <cell r="A246" t="str">
            <v>Niue</v>
          </cell>
        </row>
        <row r="247">
          <cell r="A247" t="str">
            <v>Pitcairn Islands</v>
          </cell>
        </row>
        <row r="248">
          <cell r="A248" t="str">
            <v>South Georgia &amp; South Sandwich Islands</v>
          </cell>
        </row>
        <row r="249">
          <cell r="A249" t="str">
            <v>Tokelau</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1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74)"/>
    </sheetNames>
    <sheetDataSet>
      <sheetData sheetId="0">
        <row r="1">
          <cell r="A1" t="str">
            <v>Category: All categories</v>
          </cell>
        </row>
        <row r="3">
          <cell r="A3" t="str">
            <v>Country</v>
          </cell>
          <cell r="B3" t="str">
            <v>Database: (2018)</v>
          </cell>
          <cell r="C3" t="str">
            <v>Hypertext Transfer Protocol: (2018)</v>
          </cell>
        </row>
        <row r="4">
          <cell r="A4" t="str">
            <v>Eritrea</v>
          </cell>
        </row>
        <row r="5">
          <cell r="A5" t="str">
            <v>China</v>
          </cell>
          <cell r="B5">
            <v>0.56999999999999995</v>
          </cell>
          <cell r="C5">
            <v>0.43</v>
          </cell>
        </row>
        <row r="6">
          <cell r="A6" t="str">
            <v>Cuba</v>
          </cell>
        </row>
        <row r="7">
          <cell r="A7" t="str">
            <v>Ethiopia</v>
          </cell>
          <cell r="B7">
            <v>0.72</v>
          </cell>
          <cell r="C7">
            <v>0.28000000000000003</v>
          </cell>
        </row>
        <row r="8">
          <cell r="A8" t="str">
            <v>St. Helena</v>
          </cell>
          <cell r="B8">
            <v>0.75</v>
          </cell>
          <cell r="C8">
            <v>0.25</v>
          </cell>
        </row>
        <row r="9">
          <cell r="A9" t="str">
            <v>Botswana</v>
          </cell>
        </row>
        <row r="10">
          <cell r="A10" t="str">
            <v>Zimbabwe</v>
          </cell>
        </row>
        <row r="11">
          <cell r="A11" t="str">
            <v>Papua New Guinea</v>
          </cell>
        </row>
        <row r="12">
          <cell r="A12" t="str">
            <v>Malawi</v>
          </cell>
        </row>
        <row r="13">
          <cell r="A13" t="str">
            <v>Rwanda</v>
          </cell>
        </row>
        <row r="14">
          <cell r="A14" t="str">
            <v>Solomon Islands</v>
          </cell>
        </row>
        <row r="15">
          <cell r="A15" t="str">
            <v>Myanmar (Burma)</v>
          </cell>
        </row>
        <row r="16">
          <cell r="A16" t="str">
            <v>Madagascar</v>
          </cell>
        </row>
        <row r="17">
          <cell r="A17" t="str">
            <v>Equatorial Guinea</v>
          </cell>
        </row>
        <row r="18">
          <cell r="A18" t="str">
            <v>Vanuatu</v>
          </cell>
        </row>
        <row r="19">
          <cell r="A19" t="str">
            <v>Timor-Leste</v>
          </cell>
        </row>
        <row r="20">
          <cell r="A20" t="str">
            <v>Samoa</v>
          </cell>
        </row>
        <row r="21">
          <cell r="A21" t="str">
            <v>Lesotho</v>
          </cell>
        </row>
        <row r="22">
          <cell r="A22" t="str">
            <v>Central African Republic</v>
          </cell>
        </row>
        <row r="23">
          <cell r="A23" t="str">
            <v>Eswatini</v>
          </cell>
        </row>
        <row r="24">
          <cell r="A24" t="str">
            <v>Togo</v>
          </cell>
        </row>
        <row r="25">
          <cell r="A25" t="str">
            <v>Fiji</v>
          </cell>
        </row>
        <row r="26">
          <cell r="A26" t="str">
            <v>Nepal</v>
          </cell>
        </row>
        <row r="27">
          <cell r="A27" t="str">
            <v>Afghanistan</v>
          </cell>
        </row>
        <row r="28">
          <cell r="A28" t="str">
            <v>Cape Verde</v>
          </cell>
        </row>
        <row r="29">
          <cell r="A29" t="str">
            <v>South Korea</v>
          </cell>
          <cell r="B29">
            <v>0.7</v>
          </cell>
          <cell r="C29">
            <v>0.3</v>
          </cell>
        </row>
        <row r="30">
          <cell r="A30" t="str">
            <v>Uganda</v>
          </cell>
        </row>
        <row r="31">
          <cell r="A31" t="str">
            <v>Cameroon</v>
          </cell>
        </row>
        <row r="32">
          <cell r="A32" t="str">
            <v>Burundi</v>
          </cell>
        </row>
        <row r="33">
          <cell r="A33" t="str">
            <v>Liechtenstein</v>
          </cell>
        </row>
        <row r="34">
          <cell r="A34" t="str">
            <v>Guinea-Bissau</v>
          </cell>
        </row>
        <row r="35">
          <cell r="A35" t="str">
            <v>Bhutan</v>
          </cell>
        </row>
        <row r="36">
          <cell r="A36" t="str">
            <v>Sri Lanka</v>
          </cell>
          <cell r="B36">
            <v>0.83</v>
          </cell>
          <cell r="C36">
            <v>0.17</v>
          </cell>
        </row>
        <row r="37">
          <cell r="A37" t="str">
            <v>Singapore</v>
          </cell>
          <cell r="B37">
            <v>0.69</v>
          </cell>
          <cell r="C37">
            <v>0.31</v>
          </cell>
        </row>
        <row r="38">
          <cell r="A38" t="str">
            <v>Angola</v>
          </cell>
        </row>
        <row r="39">
          <cell r="A39" t="str">
            <v>British Virgin Islands</v>
          </cell>
        </row>
        <row r="40">
          <cell r="A40" t="str">
            <v>Congo - Brazzaville</v>
          </cell>
        </row>
        <row r="41">
          <cell r="A41" t="str">
            <v>Benin</v>
          </cell>
        </row>
        <row r="42">
          <cell r="A42" t="str">
            <v>Pakistan</v>
          </cell>
          <cell r="B42">
            <v>0.85</v>
          </cell>
          <cell r="C42">
            <v>0.15</v>
          </cell>
        </row>
        <row r="43">
          <cell r="A43" t="str">
            <v>Congo - Kinshasa</v>
          </cell>
        </row>
        <row r="44">
          <cell r="A44" t="str">
            <v>Mauritius</v>
          </cell>
        </row>
        <row r="45">
          <cell r="A45" t="str">
            <v>Tonga</v>
          </cell>
        </row>
        <row r="46">
          <cell r="A46" t="str">
            <v>Luxembourg</v>
          </cell>
        </row>
        <row r="47">
          <cell r="A47" t="str">
            <v>Ghana</v>
          </cell>
        </row>
        <row r="48">
          <cell r="A48" t="str">
            <v>Somalia</v>
          </cell>
        </row>
        <row r="49">
          <cell r="A49" t="str">
            <v>El Salvador</v>
          </cell>
        </row>
        <row r="50">
          <cell r="A50" t="str">
            <v>Kenya</v>
          </cell>
          <cell r="B50">
            <v>0.77</v>
          </cell>
          <cell r="C50">
            <v>0.23</v>
          </cell>
        </row>
        <row r="51">
          <cell r="A51" t="str">
            <v>Djibouti</v>
          </cell>
        </row>
        <row r="52">
          <cell r="A52" t="str">
            <v>Gambia</v>
          </cell>
        </row>
        <row r="53">
          <cell r="A53" t="str">
            <v>South Africa</v>
          </cell>
          <cell r="B53">
            <v>0.84</v>
          </cell>
          <cell r="C53">
            <v>0.16</v>
          </cell>
        </row>
        <row r="54">
          <cell r="A54" t="str">
            <v>Estonia</v>
          </cell>
        </row>
        <row r="55">
          <cell r="A55" t="str">
            <v>Colombia</v>
          </cell>
          <cell r="B55">
            <v>0.85</v>
          </cell>
          <cell r="C55">
            <v>0.15</v>
          </cell>
        </row>
        <row r="56">
          <cell r="A56" t="str">
            <v>Senegal</v>
          </cell>
        </row>
        <row r="57">
          <cell r="A57" t="str">
            <v>Liberia</v>
          </cell>
        </row>
        <row r="58">
          <cell r="A58" t="str">
            <v>Belize</v>
          </cell>
        </row>
        <row r="59">
          <cell r="A59" t="str">
            <v>SÃ£o TomÃ© &amp; PrÃ­ncipe</v>
          </cell>
        </row>
        <row r="60">
          <cell r="A60" t="str">
            <v>Mozambique</v>
          </cell>
        </row>
        <row r="61">
          <cell r="A61" t="str">
            <v>New Zealand</v>
          </cell>
          <cell r="B61">
            <v>0.8</v>
          </cell>
          <cell r="C61">
            <v>0.2</v>
          </cell>
        </row>
        <row r="62">
          <cell r="A62" t="str">
            <v>Tunisia</v>
          </cell>
          <cell r="B62">
            <v>0.81</v>
          </cell>
          <cell r="C62">
            <v>0.19</v>
          </cell>
        </row>
        <row r="63">
          <cell r="A63" t="str">
            <v>Hong Kong</v>
          </cell>
          <cell r="B63">
            <v>0.75</v>
          </cell>
          <cell r="C63">
            <v>0.25</v>
          </cell>
        </row>
        <row r="64">
          <cell r="A64" t="str">
            <v>Tanzania</v>
          </cell>
        </row>
        <row r="65">
          <cell r="A65" t="str">
            <v>Jamaica</v>
          </cell>
        </row>
        <row r="66">
          <cell r="A66" t="str">
            <v>Latvia</v>
          </cell>
        </row>
        <row r="67">
          <cell r="A67" t="str">
            <v>Niger</v>
          </cell>
        </row>
        <row r="68">
          <cell r="A68" t="str">
            <v>Czechia</v>
          </cell>
          <cell r="B68">
            <v>0.78</v>
          </cell>
          <cell r="C68">
            <v>0.22</v>
          </cell>
        </row>
        <row r="69">
          <cell r="A69" t="str">
            <v>India</v>
          </cell>
          <cell r="B69">
            <v>0.77</v>
          </cell>
          <cell r="C69">
            <v>0.23</v>
          </cell>
        </row>
        <row r="70">
          <cell r="A70" t="str">
            <v>South Sudan</v>
          </cell>
        </row>
        <row r="71">
          <cell r="A71" t="str">
            <v>Chad</v>
          </cell>
        </row>
        <row r="72">
          <cell r="A72" t="str">
            <v>Philippines</v>
          </cell>
          <cell r="B72">
            <v>0.72</v>
          </cell>
          <cell r="C72">
            <v>0.28000000000000003</v>
          </cell>
        </row>
        <row r="73">
          <cell r="A73" t="str">
            <v>Malta</v>
          </cell>
        </row>
        <row r="74">
          <cell r="A74" t="str">
            <v>Canada</v>
          </cell>
          <cell r="B74">
            <v>0.82</v>
          </cell>
          <cell r="C74">
            <v>0.18</v>
          </cell>
        </row>
        <row r="75">
          <cell r="A75" t="str">
            <v>Zambia</v>
          </cell>
        </row>
        <row r="76">
          <cell r="A76" t="str">
            <v>Brunei</v>
          </cell>
        </row>
        <row r="77">
          <cell r="A77" t="str">
            <v>Iceland</v>
          </cell>
        </row>
        <row r="78">
          <cell r="A78" t="str">
            <v>San Marino</v>
          </cell>
        </row>
        <row r="79">
          <cell r="A79" t="str">
            <v>Switzerland</v>
          </cell>
          <cell r="B79">
            <v>0.73</v>
          </cell>
          <cell r="C79">
            <v>0.27</v>
          </cell>
        </row>
        <row r="80">
          <cell r="A80" t="str">
            <v>Australia</v>
          </cell>
          <cell r="B80">
            <v>0.81</v>
          </cell>
          <cell r="C80">
            <v>0.19</v>
          </cell>
        </row>
        <row r="81">
          <cell r="A81" t="str">
            <v>Sudan</v>
          </cell>
        </row>
        <row r="82">
          <cell r="A82" t="str">
            <v>Nigeria</v>
          </cell>
          <cell r="B82">
            <v>0.69</v>
          </cell>
          <cell r="C82">
            <v>0.31</v>
          </cell>
        </row>
        <row r="83">
          <cell r="A83" t="str">
            <v>Sierra Leone</v>
          </cell>
        </row>
        <row r="84">
          <cell r="A84" t="str">
            <v>Taiwan</v>
          </cell>
          <cell r="B84">
            <v>0.76</v>
          </cell>
          <cell r="C84">
            <v>0.24</v>
          </cell>
        </row>
        <row r="85">
          <cell r="A85" t="str">
            <v>Ecuador</v>
          </cell>
          <cell r="B85">
            <v>0.76</v>
          </cell>
          <cell r="C85">
            <v>0.24</v>
          </cell>
        </row>
        <row r="86">
          <cell r="A86" t="str">
            <v>Ireland</v>
          </cell>
          <cell r="B86">
            <v>0.78</v>
          </cell>
          <cell r="C86">
            <v>0.22</v>
          </cell>
        </row>
        <row r="87">
          <cell r="A87" t="str">
            <v>Honduras</v>
          </cell>
        </row>
        <row r="88">
          <cell r="A88" t="str">
            <v>Guatemala</v>
          </cell>
          <cell r="B88">
            <v>0.79</v>
          </cell>
          <cell r="C88">
            <v>0.21</v>
          </cell>
        </row>
        <row r="89">
          <cell r="A89" t="str">
            <v>Namibia</v>
          </cell>
        </row>
        <row r="90">
          <cell r="A90" t="str">
            <v>Northern Mariana Islands</v>
          </cell>
        </row>
        <row r="91">
          <cell r="A91" t="str">
            <v>United States</v>
          </cell>
          <cell r="B91">
            <v>0.81</v>
          </cell>
          <cell r="C91">
            <v>0.19</v>
          </cell>
        </row>
        <row r="92">
          <cell r="A92" t="str">
            <v>Dominica</v>
          </cell>
        </row>
        <row r="93">
          <cell r="A93" t="str">
            <v>Yemen</v>
          </cell>
        </row>
        <row r="94">
          <cell r="A94" t="str">
            <v>Isle of Man</v>
          </cell>
        </row>
        <row r="95">
          <cell r="A95" t="str">
            <v>Cyprus</v>
          </cell>
        </row>
        <row r="96">
          <cell r="A96" t="str">
            <v>Maldives</v>
          </cell>
        </row>
        <row r="97">
          <cell r="A97" t="str">
            <v>Costa Rica</v>
          </cell>
          <cell r="B97">
            <v>0.78</v>
          </cell>
          <cell r="C97">
            <v>0.22</v>
          </cell>
        </row>
        <row r="98">
          <cell r="A98" t="str">
            <v>Bangladesh</v>
          </cell>
          <cell r="B98">
            <v>0.74</v>
          </cell>
          <cell r="C98">
            <v>0.26</v>
          </cell>
        </row>
        <row r="99">
          <cell r="A99" t="str">
            <v>North Macedonia</v>
          </cell>
        </row>
        <row r="100">
          <cell r="A100" t="str">
            <v>St. Vincent &amp; Grenadines</v>
          </cell>
        </row>
        <row r="101">
          <cell r="A101" t="str">
            <v>Lebanon</v>
          </cell>
        </row>
        <row r="102">
          <cell r="A102" t="str">
            <v>Portugal</v>
          </cell>
          <cell r="B102">
            <v>0.76</v>
          </cell>
          <cell r="C102">
            <v>0.24</v>
          </cell>
        </row>
        <row r="103">
          <cell r="A103" t="str">
            <v>Netherlands</v>
          </cell>
          <cell r="B103">
            <v>0.78</v>
          </cell>
          <cell r="C103">
            <v>0.22</v>
          </cell>
        </row>
        <row r="104">
          <cell r="A104" t="str">
            <v>CÃ´te dâ€™Ivoire</v>
          </cell>
        </row>
        <row r="105">
          <cell r="A105" t="str">
            <v>Albania</v>
          </cell>
        </row>
        <row r="106">
          <cell r="A106" t="str">
            <v>Macao</v>
          </cell>
        </row>
        <row r="107">
          <cell r="A107" t="str">
            <v>Japan</v>
          </cell>
          <cell r="B107">
            <v>0.74</v>
          </cell>
          <cell r="C107">
            <v>0.26</v>
          </cell>
        </row>
        <row r="108">
          <cell r="A108" t="str">
            <v>Malaysia</v>
          </cell>
          <cell r="B108">
            <v>0.82</v>
          </cell>
          <cell r="C108">
            <v>0.18</v>
          </cell>
        </row>
        <row r="109">
          <cell r="A109" t="str">
            <v>Nicaragua</v>
          </cell>
        </row>
        <row r="110">
          <cell r="A110" t="str">
            <v>Jersey</v>
          </cell>
        </row>
        <row r="111">
          <cell r="A111" t="str">
            <v>Germany</v>
          </cell>
          <cell r="B111">
            <v>0.7</v>
          </cell>
          <cell r="C111">
            <v>0.3</v>
          </cell>
        </row>
        <row r="112">
          <cell r="A112" t="str">
            <v>Mongolia</v>
          </cell>
        </row>
        <row r="113">
          <cell r="A113" t="str">
            <v>United Arab Emirates</v>
          </cell>
          <cell r="B113">
            <v>0.81</v>
          </cell>
          <cell r="C113">
            <v>0.19</v>
          </cell>
        </row>
        <row r="114">
          <cell r="A114" t="str">
            <v>Bermuda</v>
          </cell>
        </row>
        <row r="115">
          <cell r="A115" t="str">
            <v>Panama</v>
          </cell>
        </row>
        <row r="116">
          <cell r="A116" t="str">
            <v>Denmark</v>
          </cell>
          <cell r="B116">
            <v>0.78</v>
          </cell>
          <cell r="C116">
            <v>0.22</v>
          </cell>
        </row>
        <row r="117">
          <cell r="A117" t="str">
            <v>Indonesia</v>
          </cell>
          <cell r="B117">
            <v>0.77</v>
          </cell>
          <cell r="C117">
            <v>0.23</v>
          </cell>
        </row>
        <row r="118">
          <cell r="A118" t="str">
            <v>Peru</v>
          </cell>
          <cell r="B118">
            <v>0.79</v>
          </cell>
          <cell r="C118">
            <v>0.21</v>
          </cell>
        </row>
        <row r="119">
          <cell r="A119" t="str">
            <v>Austria</v>
          </cell>
          <cell r="B119">
            <v>0.72</v>
          </cell>
          <cell r="C119">
            <v>0.28000000000000003</v>
          </cell>
        </row>
        <row r="120">
          <cell r="A120" t="str">
            <v>United Kingdom</v>
          </cell>
          <cell r="B120">
            <v>0.81</v>
          </cell>
          <cell r="C120">
            <v>0.19</v>
          </cell>
        </row>
        <row r="121">
          <cell r="A121" t="str">
            <v>Oman</v>
          </cell>
        </row>
        <row r="122">
          <cell r="A122" t="str">
            <v>Mexico</v>
          </cell>
          <cell r="B122">
            <v>0.69</v>
          </cell>
          <cell r="C122">
            <v>0.31</v>
          </cell>
        </row>
        <row r="123">
          <cell r="A123" t="str">
            <v>Andorra</v>
          </cell>
        </row>
        <row r="124">
          <cell r="A124" t="str">
            <v>Monaco</v>
          </cell>
        </row>
        <row r="125">
          <cell r="A125" t="str">
            <v>Belarus</v>
          </cell>
          <cell r="B125">
            <v>0.71</v>
          </cell>
          <cell r="C125">
            <v>0.28999999999999998</v>
          </cell>
        </row>
        <row r="126">
          <cell r="A126" t="str">
            <v>Faroe Islands</v>
          </cell>
        </row>
        <row r="127">
          <cell r="A127" t="str">
            <v>Libya</v>
          </cell>
        </row>
        <row r="128">
          <cell r="A128" t="str">
            <v>Gabon</v>
          </cell>
        </row>
        <row r="129">
          <cell r="A129" t="str">
            <v>Bolivia</v>
          </cell>
          <cell r="B129">
            <v>0.76</v>
          </cell>
          <cell r="C129">
            <v>0.24</v>
          </cell>
        </row>
        <row r="130">
          <cell r="A130" t="str">
            <v>Gibraltar</v>
          </cell>
        </row>
        <row r="131">
          <cell r="A131" t="str">
            <v>Bahrain</v>
          </cell>
        </row>
        <row r="132">
          <cell r="A132" t="str">
            <v>Laos</v>
          </cell>
        </row>
        <row r="133">
          <cell r="A133" t="str">
            <v>Dominican Republic</v>
          </cell>
          <cell r="B133">
            <v>0.8</v>
          </cell>
          <cell r="C133">
            <v>0.2</v>
          </cell>
        </row>
        <row r="134">
          <cell r="A134" t="str">
            <v>Belgium</v>
          </cell>
          <cell r="B134">
            <v>0.8</v>
          </cell>
          <cell r="C134">
            <v>0.2</v>
          </cell>
        </row>
        <row r="135">
          <cell r="A135" t="str">
            <v>Seychelles</v>
          </cell>
        </row>
        <row r="136">
          <cell r="A136" t="str">
            <v>Lithuania</v>
          </cell>
        </row>
        <row r="137">
          <cell r="A137" t="str">
            <v>Kosovo</v>
          </cell>
        </row>
        <row r="138">
          <cell r="A138" t="str">
            <v>Cambodia</v>
          </cell>
        </row>
        <row r="139">
          <cell r="A139" t="str">
            <v>Barbados</v>
          </cell>
        </row>
        <row r="140">
          <cell r="A140" t="str">
            <v>Moldova</v>
          </cell>
        </row>
        <row r="141">
          <cell r="A141" t="str">
            <v>Sweden</v>
          </cell>
          <cell r="B141">
            <v>0.75</v>
          </cell>
          <cell r="C141">
            <v>0.25</v>
          </cell>
        </row>
        <row r="142">
          <cell r="A142" t="str">
            <v>Guernsey</v>
          </cell>
        </row>
        <row r="143">
          <cell r="A143" t="str">
            <v>Ã…land Islands</v>
          </cell>
        </row>
        <row r="144">
          <cell r="A144" t="str">
            <v>Trinidad &amp; Tobago</v>
          </cell>
        </row>
        <row r="145">
          <cell r="A145" t="str">
            <v>Hungary</v>
          </cell>
          <cell r="B145">
            <v>0.76</v>
          </cell>
          <cell r="C145">
            <v>0.24</v>
          </cell>
        </row>
        <row r="146">
          <cell r="A146" t="str">
            <v>Russia</v>
          </cell>
          <cell r="B146">
            <v>0.74</v>
          </cell>
          <cell r="C146">
            <v>0.26</v>
          </cell>
        </row>
        <row r="147">
          <cell r="A147" t="str">
            <v>Palestine</v>
          </cell>
        </row>
        <row r="148">
          <cell r="A148" t="str">
            <v>Finland</v>
          </cell>
          <cell r="B148">
            <v>0.71</v>
          </cell>
          <cell r="C148">
            <v>0.28999999999999998</v>
          </cell>
        </row>
        <row r="149">
          <cell r="A149" t="str">
            <v>CuraÃ§ao</v>
          </cell>
        </row>
        <row r="150">
          <cell r="A150" t="str">
            <v>Serbia</v>
          </cell>
          <cell r="B150">
            <v>0.78</v>
          </cell>
          <cell r="C150">
            <v>0.22</v>
          </cell>
        </row>
        <row r="151">
          <cell r="A151" t="str">
            <v>Slovakia</v>
          </cell>
          <cell r="B151">
            <v>0.76</v>
          </cell>
          <cell r="C151">
            <v>0.24</v>
          </cell>
        </row>
        <row r="152">
          <cell r="A152" t="str">
            <v>Armenia</v>
          </cell>
        </row>
        <row r="153">
          <cell r="A153" t="str">
            <v>Haiti</v>
          </cell>
        </row>
        <row r="154">
          <cell r="A154" t="str">
            <v>Romania</v>
          </cell>
          <cell r="B154">
            <v>0.73</v>
          </cell>
          <cell r="C154">
            <v>0.27</v>
          </cell>
        </row>
        <row r="155">
          <cell r="A155" t="str">
            <v>Qatar</v>
          </cell>
        </row>
        <row r="156">
          <cell r="A156" t="str">
            <v>Burkina Faso</v>
          </cell>
        </row>
        <row r="157">
          <cell r="A157" t="str">
            <v>St. Lucia</v>
          </cell>
        </row>
        <row r="158">
          <cell r="A158" t="str">
            <v>Grenada</v>
          </cell>
        </row>
        <row r="159">
          <cell r="A159" t="str">
            <v>Poland</v>
          </cell>
          <cell r="B159">
            <v>0.79</v>
          </cell>
          <cell r="C159">
            <v>0.21</v>
          </cell>
        </row>
        <row r="160">
          <cell r="A160" t="str">
            <v>Norway</v>
          </cell>
          <cell r="B160">
            <v>0.72</v>
          </cell>
          <cell r="C160">
            <v>0.28000000000000003</v>
          </cell>
        </row>
        <row r="161">
          <cell r="A161" t="str">
            <v>Israel</v>
          </cell>
          <cell r="B161">
            <v>0.59</v>
          </cell>
          <cell r="C161">
            <v>0.41</v>
          </cell>
        </row>
        <row r="162">
          <cell r="A162" t="str">
            <v>St. Kitts &amp; Nevis</v>
          </cell>
        </row>
        <row r="163">
          <cell r="A163" t="str">
            <v>Ukraine</v>
          </cell>
          <cell r="B163">
            <v>0.69</v>
          </cell>
          <cell r="C163">
            <v>0.31</v>
          </cell>
        </row>
        <row r="164">
          <cell r="A164" t="str">
            <v>Turks &amp; Caicos Islands</v>
          </cell>
        </row>
        <row r="165">
          <cell r="A165" t="str">
            <v>Guyana</v>
          </cell>
        </row>
        <row r="166">
          <cell r="A166" t="str">
            <v>Kyrgyzstan</v>
          </cell>
        </row>
        <row r="167">
          <cell r="A167" t="str">
            <v>Cayman Islands</v>
          </cell>
        </row>
        <row r="168">
          <cell r="A168" t="str">
            <v>Slovenia</v>
          </cell>
        </row>
        <row r="169">
          <cell r="A169" t="str">
            <v>Kazakhstan</v>
          </cell>
          <cell r="B169">
            <v>0.8</v>
          </cell>
          <cell r="C169">
            <v>0.2</v>
          </cell>
        </row>
        <row r="170">
          <cell r="A170" t="str">
            <v>Uzbekistan</v>
          </cell>
        </row>
        <row r="171">
          <cell r="A171" t="str">
            <v>Jordan</v>
          </cell>
        </row>
        <row r="172">
          <cell r="A172" t="str">
            <v>Suriname</v>
          </cell>
        </row>
        <row r="173">
          <cell r="A173" t="str">
            <v>Bosnia &amp; Herzegovina</v>
          </cell>
        </row>
        <row r="174">
          <cell r="A174" t="str">
            <v>Morocco</v>
          </cell>
          <cell r="B174">
            <v>0.79</v>
          </cell>
          <cell r="C174">
            <v>0.21</v>
          </cell>
        </row>
        <row r="175">
          <cell r="A175" t="str">
            <v>Spain</v>
          </cell>
          <cell r="B175">
            <v>0.75</v>
          </cell>
          <cell r="C175">
            <v>0.25</v>
          </cell>
        </row>
        <row r="176">
          <cell r="A176" t="str">
            <v>Bulgaria</v>
          </cell>
          <cell r="B176">
            <v>0.75</v>
          </cell>
          <cell r="C176">
            <v>0.25</v>
          </cell>
        </row>
        <row r="177">
          <cell r="A177" t="str">
            <v>Italy</v>
          </cell>
          <cell r="B177">
            <v>0.83</v>
          </cell>
          <cell r="C177">
            <v>0.17</v>
          </cell>
        </row>
        <row r="178">
          <cell r="A178" t="str">
            <v>Croatia</v>
          </cell>
          <cell r="B178">
            <v>0.78</v>
          </cell>
          <cell r="C178">
            <v>0.22</v>
          </cell>
        </row>
        <row r="179">
          <cell r="A179" t="str">
            <v>Puerto Rico</v>
          </cell>
        </row>
        <row r="180">
          <cell r="A180" t="str">
            <v>Thailand</v>
          </cell>
          <cell r="B180">
            <v>0.85</v>
          </cell>
          <cell r="C180">
            <v>0.15</v>
          </cell>
        </row>
        <row r="181">
          <cell r="A181" t="str">
            <v>Chile</v>
          </cell>
          <cell r="B181">
            <v>0.79</v>
          </cell>
          <cell r="C181">
            <v>0.21</v>
          </cell>
        </row>
        <row r="182">
          <cell r="A182" t="str">
            <v>Guam</v>
          </cell>
        </row>
        <row r="183">
          <cell r="A183" t="str">
            <v>Mali</v>
          </cell>
        </row>
        <row r="184">
          <cell r="A184" t="str">
            <v>Antigua &amp; Barbuda</v>
          </cell>
        </row>
        <row r="185">
          <cell r="A185" t="str">
            <v>Vietnam</v>
          </cell>
          <cell r="B185">
            <v>0.83</v>
          </cell>
          <cell r="C185">
            <v>0.17</v>
          </cell>
        </row>
        <row r="186">
          <cell r="A186" t="str">
            <v>Mauritania</v>
          </cell>
        </row>
        <row r="187">
          <cell r="A187" t="str">
            <v>Guinea</v>
          </cell>
        </row>
        <row r="188">
          <cell r="A188" t="str">
            <v>Algeria</v>
          </cell>
          <cell r="B188">
            <v>0.81</v>
          </cell>
          <cell r="C188">
            <v>0.19</v>
          </cell>
        </row>
        <row r="189">
          <cell r="A189" t="str">
            <v>U.S. Virgin Islands</v>
          </cell>
        </row>
        <row r="190">
          <cell r="A190" t="str">
            <v>Paraguay</v>
          </cell>
        </row>
        <row r="191">
          <cell r="A191" t="str">
            <v>Egypt</v>
          </cell>
          <cell r="B191">
            <v>0.79</v>
          </cell>
          <cell r="C191">
            <v>0.21</v>
          </cell>
        </row>
        <row r="192">
          <cell r="A192" t="str">
            <v>France</v>
          </cell>
          <cell r="B192">
            <v>0.74</v>
          </cell>
          <cell r="C192">
            <v>0.26</v>
          </cell>
        </row>
        <row r="193">
          <cell r="A193" t="str">
            <v>French Polynesia</v>
          </cell>
        </row>
        <row r="194">
          <cell r="A194" t="str">
            <v>Tajikistan</v>
          </cell>
        </row>
        <row r="195">
          <cell r="A195" t="str">
            <v>Uruguay</v>
          </cell>
        </row>
        <row r="196">
          <cell r="A196" t="str">
            <v>New Caledonia</v>
          </cell>
        </row>
        <row r="197">
          <cell r="A197" t="str">
            <v>Caribbean Netherlands</v>
          </cell>
        </row>
        <row r="198">
          <cell r="A198" t="str">
            <v>Montenegro</v>
          </cell>
        </row>
        <row r="199">
          <cell r="A199" t="str">
            <v>Kuwait</v>
          </cell>
        </row>
        <row r="200">
          <cell r="A200" t="str">
            <v>Greenland</v>
          </cell>
        </row>
        <row r="201">
          <cell r="A201" t="str">
            <v>Greece</v>
          </cell>
          <cell r="B201">
            <v>0.81</v>
          </cell>
          <cell r="C201">
            <v>0.19</v>
          </cell>
        </row>
        <row r="202">
          <cell r="A202" t="str">
            <v>Saudi Arabia</v>
          </cell>
          <cell r="B202">
            <v>0.81</v>
          </cell>
          <cell r="C202">
            <v>0.19</v>
          </cell>
        </row>
        <row r="203">
          <cell r="A203" t="str">
            <v>Iran</v>
          </cell>
          <cell r="B203">
            <v>0.74</v>
          </cell>
          <cell r="C203">
            <v>0.26</v>
          </cell>
        </row>
        <row r="204">
          <cell r="A204" t="str">
            <v>French Guiana</v>
          </cell>
        </row>
        <row r="205">
          <cell r="A205" t="str">
            <v>Bahamas</v>
          </cell>
        </row>
        <row r="206">
          <cell r="A206" t="str">
            <v>Syria</v>
          </cell>
        </row>
        <row r="207">
          <cell r="A207" t="str">
            <v>Azerbaijan</v>
          </cell>
        </row>
        <row r="208">
          <cell r="A208" t="str">
            <v>Brazil</v>
          </cell>
          <cell r="B208">
            <v>0.66</v>
          </cell>
          <cell r="C208">
            <v>0.34</v>
          </cell>
        </row>
        <row r="209">
          <cell r="A209" t="str">
            <v>Sint Maarten</v>
          </cell>
        </row>
        <row r="210">
          <cell r="A210" t="str">
            <v>Aruba</v>
          </cell>
        </row>
        <row r="211">
          <cell r="A211" t="str">
            <v>Venezuela</v>
          </cell>
          <cell r="B211">
            <v>0.77</v>
          </cell>
          <cell r="C211">
            <v>0.23</v>
          </cell>
        </row>
        <row r="212">
          <cell r="A212" t="str">
            <v>Argentina</v>
          </cell>
          <cell r="B212">
            <v>0.69</v>
          </cell>
          <cell r="C212">
            <v>0.31</v>
          </cell>
        </row>
        <row r="213">
          <cell r="A213" t="str">
            <v>Iraq</v>
          </cell>
        </row>
        <row r="214">
          <cell r="A214" t="str">
            <v>Georgia</v>
          </cell>
        </row>
        <row r="215">
          <cell r="A215" t="str">
            <v>RÃ©union</v>
          </cell>
        </row>
        <row r="216">
          <cell r="A216" t="str">
            <v>Turkmenistan</v>
          </cell>
        </row>
        <row r="217">
          <cell r="A217" t="str">
            <v>Guadeloupe</v>
          </cell>
        </row>
        <row r="218">
          <cell r="A218" t="str">
            <v>Turkey</v>
          </cell>
          <cell r="B218">
            <v>0.82</v>
          </cell>
          <cell r="C218">
            <v>0.18</v>
          </cell>
        </row>
        <row r="219">
          <cell r="A219" t="str">
            <v>Western Sahara</v>
          </cell>
        </row>
        <row r="220">
          <cell r="A220" t="str">
            <v>Martinique</v>
          </cell>
        </row>
        <row r="221">
          <cell r="A221" t="str">
            <v>Mayotte</v>
          </cell>
        </row>
        <row r="222">
          <cell r="A222" t="str">
            <v>North Korea</v>
          </cell>
        </row>
        <row r="223">
          <cell r="A223" t="str">
            <v>Cook Islands</v>
          </cell>
        </row>
        <row r="224">
          <cell r="A224" t="str">
            <v>Nauru</v>
          </cell>
        </row>
        <row r="225">
          <cell r="A225" t="str">
            <v>Falkland Islands (Islas Malvinas)</v>
          </cell>
        </row>
        <row r="226">
          <cell r="A226" t="str">
            <v>Comoros</v>
          </cell>
        </row>
        <row r="227">
          <cell r="A227" t="str">
            <v>Palau</v>
          </cell>
        </row>
        <row r="228">
          <cell r="A228" t="str">
            <v>St. Pierre &amp; Miquelon</v>
          </cell>
        </row>
        <row r="229">
          <cell r="A229" t="str">
            <v>Marshall Islands</v>
          </cell>
        </row>
        <row r="230">
          <cell r="A230" t="str">
            <v>Svalbard &amp; Jan Mayen</v>
          </cell>
        </row>
        <row r="231">
          <cell r="A231" t="str">
            <v>American Samoa</v>
          </cell>
        </row>
        <row r="232">
          <cell r="A232" t="str">
            <v>Micronesia</v>
          </cell>
        </row>
        <row r="233">
          <cell r="A233" t="str">
            <v>St. Martin</v>
          </cell>
        </row>
        <row r="234">
          <cell r="A234" t="str">
            <v>Anguilla</v>
          </cell>
        </row>
        <row r="235">
          <cell r="A235" t="str">
            <v>St. BarthÃ©lemy</v>
          </cell>
        </row>
        <row r="236">
          <cell r="A236" t="str">
            <v>Antarctica</v>
          </cell>
        </row>
        <row r="237">
          <cell r="A237" t="str">
            <v>French Southern Territories</v>
          </cell>
        </row>
        <row r="238">
          <cell r="A238" t="str">
            <v>Bouvet Island</v>
          </cell>
        </row>
        <row r="239">
          <cell r="A239" t="str">
            <v>Cocos (Keeling) Islands</v>
          </cell>
        </row>
        <row r="240">
          <cell r="A240" t="str">
            <v>Christmas Island</v>
          </cell>
        </row>
        <row r="241">
          <cell r="A241" t="str">
            <v>Heard &amp; McDonald Islands</v>
          </cell>
        </row>
        <row r="242">
          <cell r="A242" t="str">
            <v>British Indian Ocean Territory</v>
          </cell>
        </row>
        <row r="243">
          <cell r="A243" t="str">
            <v>Kiribati</v>
          </cell>
        </row>
        <row r="244">
          <cell r="A244" t="str">
            <v>Montserrat</v>
          </cell>
        </row>
        <row r="245">
          <cell r="A245" t="str">
            <v>Norfolk Island</v>
          </cell>
        </row>
        <row r="246">
          <cell r="A246" t="str">
            <v>Niue</v>
          </cell>
        </row>
        <row r="247">
          <cell r="A247" t="str">
            <v>Pitcairn Islands</v>
          </cell>
        </row>
        <row r="248">
          <cell r="A248" t="str">
            <v>South Georgia &amp; South Sandwich Islands</v>
          </cell>
        </row>
        <row r="249">
          <cell r="A249" t="str">
            <v>Tokelau</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1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82)"/>
    </sheetNames>
    <sheetDataSet>
      <sheetData sheetId="0">
        <row r="1">
          <cell r="A1" t="str">
            <v>Category: All categories</v>
          </cell>
        </row>
        <row r="3">
          <cell r="A3" t="str">
            <v>Country</v>
          </cell>
          <cell r="B3" t="str">
            <v>Hypertext Transfer Protocol: (2018)</v>
          </cell>
          <cell r="C3" t="str">
            <v>Transmission Control Protocol: (2018)</v>
          </cell>
        </row>
        <row r="4">
          <cell r="A4" t="str">
            <v>China</v>
          </cell>
          <cell r="B4">
            <v>0.72</v>
          </cell>
          <cell r="C4">
            <v>0.28000000000000003</v>
          </cell>
        </row>
        <row r="5">
          <cell r="A5" t="str">
            <v>Cuba</v>
          </cell>
        </row>
        <row r="6">
          <cell r="A6" t="str">
            <v>Ethiopia</v>
          </cell>
        </row>
        <row r="7">
          <cell r="A7" t="str">
            <v>St. Helena</v>
          </cell>
          <cell r="B7">
            <v>0.76</v>
          </cell>
          <cell r="C7">
            <v>0.24</v>
          </cell>
        </row>
        <row r="8">
          <cell r="A8" t="str">
            <v>Myanmar (Burma)</v>
          </cell>
        </row>
        <row r="9">
          <cell r="A9" t="str">
            <v>South Korea</v>
          </cell>
          <cell r="B9">
            <v>0.68</v>
          </cell>
          <cell r="C9">
            <v>0.32</v>
          </cell>
        </row>
        <row r="10">
          <cell r="A10" t="str">
            <v>Jamaica</v>
          </cell>
        </row>
        <row r="11">
          <cell r="A11" t="str">
            <v>Singapore</v>
          </cell>
          <cell r="B11">
            <v>0.75</v>
          </cell>
          <cell r="C11">
            <v>0.25</v>
          </cell>
        </row>
        <row r="12">
          <cell r="A12" t="str">
            <v>Togo</v>
          </cell>
        </row>
        <row r="13">
          <cell r="A13" t="str">
            <v>Papua New Guinea</v>
          </cell>
        </row>
        <row r="14">
          <cell r="A14" t="str">
            <v>Liechtenstein</v>
          </cell>
        </row>
        <row r="15">
          <cell r="A15" t="str">
            <v>North Macedonia</v>
          </cell>
        </row>
        <row r="16">
          <cell r="A16" t="str">
            <v>Greenland</v>
          </cell>
        </row>
        <row r="17">
          <cell r="A17" t="str">
            <v>Ã…land Islands</v>
          </cell>
        </row>
        <row r="18">
          <cell r="A18" t="str">
            <v>Israel</v>
          </cell>
          <cell r="B18">
            <v>0.77</v>
          </cell>
          <cell r="C18">
            <v>0.23</v>
          </cell>
        </row>
        <row r="19">
          <cell r="A19" t="str">
            <v>Luxembourg</v>
          </cell>
        </row>
        <row r="20">
          <cell r="A20" t="str">
            <v>Cook Islands</v>
          </cell>
        </row>
        <row r="21">
          <cell r="A21" t="str">
            <v>Angola</v>
          </cell>
        </row>
        <row r="22">
          <cell r="A22" t="str">
            <v>Gibraltar</v>
          </cell>
        </row>
        <row r="23">
          <cell r="A23" t="str">
            <v>Nigeria</v>
          </cell>
          <cell r="B23">
            <v>0.89</v>
          </cell>
          <cell r="C23">
            <v>0.11</v>
          </cell>
        </row>
        <row r="24">
          <cell r="A24" t="str">
            <v>Chad</v>
          </cell>
        </row>
        <row r="25">
          <cell r="A25" t="str">
            <v>Madagascar</v>
          </cell>
        </row>
        <row r="26">
          <cell r="A26" t="str">
            <v>Tanzania</v>
          </cell>
        </row>
        <row r="27">
          <cell r="A27" t="str">
            <v>Timor-Leste</v>
          </cell>
        </row>
        <row r="28">
          <cell r="A28" t="str">
            <v>Malawi</v>
          </cell>
        </row>
        <row r="29">
          <cell r="A29" t="str">
            <v>Philippines</v>
          </cell>
          <cell r="B29">
            <v>0.81</v>
          </cell>
          <cell r="C29">
            <v>0.19</v>
          </cell>
        </row>
        <row r="30">
          <cell r="A30" t="str">
            <v>Iceland</v>
          </cell>
        </row>
        <row r="31">
          <cell r="A31" t="str">
            <v>Cameroon</v>
          </cell>
        </row>
        <row r="32">
          <cell r="A32" t="str">
            <v>Hong Kong</v>
          </cell>
          <cell r="B32">
            <v>0.71</v>
          </cell>
          <cell r="C32">
            <v>0.28999999999999998</v>
          </cell>
        </row>
        <row r="33">
          <cell r="A33" t="str">
            <v>Mexico</v>
          </cell>
          <cell r="B33">
            <v>0.84</v>
          </cell>
          <cell r="C33">
            <v>0.16</v>
          </cell>
        </row>
        <row r="34">
          <cell r="A34" t="str">
            <v>Benin</v>
          </cell>
        </row>
        <row r="35">
          <cell r="A35" t="str">
            <v>Germany</v>
          </cell>
          <cell r="B35">
            <v>0.79</v>
          </cell>
          <cell r="C35">
            <v>0.21</v>
          </cell>
        </row>
        <row r="36">
          <cell r="A36" t="str">
            <v>Rwanda</v>
          </cell>
        </row>
        <row r="37">
          <cell r="A37" t="str">
            <v>Mali</v>
          </cell>
        </row>
        <row r="38">
          <cell r="A38" t="str">
            <v>Switzerland</v>
          </cell>
          <cell r="B38">
            <v>0.75</v>
          </cell>
          <cell r="C38">
            <v>0.25</v>
          </cell>
        </row>
        <row r="39">
          <cell r="A39" t="str">
            <v>Kenya</v>
          </cell>
          <cell r="B39">
            <v>0.82</v>
          </cell>
          <cell r="C39">
            <v>0.18</v>
          </cell>
        </row>
        <row r="40">
          <cell r="A40" t="str">
            <v>Bhutan</v>
          </cell>
        </row>
        <row r="41">
          <cell r="A41" t="str">
            <v>Uganda</v>
          </cell>
        </row>
        <row r="42">
          <cell r="A42" t="str">
            <v>Burundi</v>
          </cell>
        </row>
        <row r="43">
          <cell r="A43" t="str">
            <v>Austria</v>
          </cell>
          <cell r="B43">
            <v>0.76</v>
          </cell>
          <cell r="C43">
            <v>0.24</v>
          </cell>
        </row>
        <row r="44">
          <cell r="A44" t="str">
            <v>Nepal</v>
          </cell>
        </row>
        <row r="45">
          <cell r="A45" t="str">
            <v>Belarus</v>
          </cell>
          <cell r="B45">
            <v>0.82</v>
          </cell>
          <cell r="C45">
            <v>0.18</v>
          </cell>
        </row>
        <row r="46">
          <cell r="A46" t="str">
            <v>Congo - Brazzaville</v>
          </cell>
        </row>
        <row r="47">
          <cell r="A47" t="str">
            <v>India</v>
          </cell>
          <cell r="B47">
            <v>0.74</v>
          </cell>
          <cell r="C47">
            <v>0.26</v>
          </cell>
        </row>
        <row r="48">
          <cell r="A48" t="str">
            <v>Sri Lanka</v>
          </cell>
          <cell r="B48">
            <v>0.72</v>
          </cell>
          <cell r="C48">
            <v>0.28000000000000003</v>
          </cell>
        </row>
        <row r="49">
          <cell r="A49" t="str">
            <v>Armenia</v>
          </cell>
        </row>
        <row r="50">
          <cell r="A50" t="str">
            <v>Cape Verde</v>
          </cell>
        </row>
        <row r="51">
          <cell r="A51" t="str">
            <v>Botswana</v>
          </cell>
        </row>
        <row r="52">
          <cell r="A52" t="str">
            <v>Ecuador</v>
          </cell>
          <cell r="B52">
            <v>0.77</v>
          </cell>
          <cell r="C52">
            <v>0.23</v>
          </cell>
        </row>
        <row r="53">
          <cell r="A53" t="str">
            <v>Estonia</v>
          </cell>
        </row>
        <row r="54">
          <cell r="A54" t="str">
            <v>Bangladesh</v>
          </cell>
          <cell r="B54">
            <v>0.8</v>
          </cell>
          <cell r="C54">
            <v>0.2</v>
          </cell>
        </row>
        <row r="55">
          <cell r="A55" t="str">
            <v>Niger</v>
          </cell>
        </row>
        <row r="56">
          <cell r="A56" t="str">
            <v>Japan</v>
          </cell>
          <cell r="B56">
            <v>0.73</v>
          </cell>
          <cell r="C56">
            <v>0.27</v>
          </cell>
        </row>
        <row r="57">
          <cell r="A57" t="str">
            <v>Ukraine</v>
          </cell>
          <cell r="B57">
            <v>0.84</v>
          </cell>
          <cell r="C57">
            <v>0.16</v>
          </cell>
        </row>
        <row r="58">
          <cell r="A58" t="str">
            <v>Taiwan</v>
          </cell>
          <cell r="B58">
            <v>0.7</v>
          </cell>
          <cell r="C58">
            <v>0.3</v>
          </cell>
        </row>
        <row r="59">
          <cell r="A59" t="str">
            <v>Finland</v>
          </cell>
          <cell r="B59">
            <v>0.77</v>
          </cell>
          <cell r="C59">
            <v>0.23</v>
          </cell>
        </row>
        <row r="60">
          <cell r="A60" t="str">
            <v>Czechia</v>
          </cell>
          <cell r="B60">
            <v>0.71</v>
          </cell>
          <cell r="C60">
            <v>0.28999999999999998</v>
          </cell>
        </row>
        <row r="61">
          <cell r="A61" t="str">
            <v>Eswatini</v>
          </cell>
        </row>
        <row r="62">
          <cell r="A62" t="str">
            <v>Zimbabwe</v>
          </cell>
        </row>
        <row r="63">
          <cell r="A63" t="str">
            <v>New Zealand</v>
          </cell>
          <cell r="B63">
            <v>0.75</v>
          </cell>
          <cell r="C63">
            <v>0.25</v>
          </cell>
        </row>
        <row r="64">
          <cell r="A64" t="str">
            <v>Nicaragua</v>
          </cell>
        </row>
        <row r="65">
          <cell r="A65" t="str">
            <v>Monaco</v>
          </cell>
        </row>
        <row r="66">
          <cell r="A66" t="str">
            <v>El Salvador</v>
          </cell>
        </row>
        <row r="67">
          <cell r="A67" t="str">
            <v>Tunisia</v>
          </cell>
          <cell r="B67">
            <v>0.71</v>
          </cell>
          <cell r="C67">
            <v>0.28999999999999998</v>
          </cell>
        </row>
        <row r="68">
          <cell r="A68" t="str">
            <v>Portugal</v>
          </cell>
          <cell r="B68">
            <v>0.75</v>
          </cell>
          <cell r="C68">
            <v>0.25</v>
          </cell>
        </row>
        <row r="69">
          <cell r="A69" t="str">
            <v>Norway</v>
          </cell>
          <cell r="B69">
            <v>0.73</v>
          </cell>
          <cell r="C69">
            <v>0.27</v>
          </cell>
        </row>
        <row r="70">
          <cell r="A70" t="str">
            <v>Mauritius</v>
          </cell>
        </row>
        <row r="71">
          <cell r="A71" t="str">
            <v>Ireland</v>
          </cell>
          <cell r="B71">
            <v>0.69</v>
          </cell>
          <cell r="C71">
            <v>0.31</v>
          </cell>
        </row>
        <row r="72">
          <cell r="A72" t="str">
            <v>Macao</v>
          </cell>
        </row>
        <row r="73">
          <cell r="A73" t="str">
            <v>Russia</v>
          </cell>
          <cell r="B73">
            <v>0.75</v>
          </cell>
          <cell r="C73">
            <v>0.25</v>
          </cell>
        </row>
        <row r="74">
          <cell r="A74" t="str">
            <v>Mozambique</v>
          </cell>
        </row>
        <row r="75">
          <cell r="A75" t="str">
            <v>Guatemala</v>
          </cell>
        </row>
        <row r="76">
          <cell r="A76" t="str">
            <v>Lesotho</v>
          </cell>
        </row>
        <row r="77">
          <cell r="A77" t="str">
            <v>Uzbekistan</v>
          </cell>
        </row>
        <row r="78">
          <cell r="A78" t="str">
            <v>Costa Rica</v>
          </cell>
          <cell r="B78">
            <v>0.74</v>
          </cell>
          <cell r="C78">
            <v>0.26</v>
          </cell>
        </row>
        <row r="79">
          <cell r="A79" t="str">
            <v>Romania</v>
          </cell>
          <cell r="B79">
            <v>0.78</v>
          </cell>
          <cell r="C79">
            <v>0.22</v>
          </cell>
        </row>
        <row r="80">
          <cell r="A80" t="str">
            <v>Albania</v>
          </cell>
        </row>
        <row r="81">
          <cell r="A81" t="str">
            <v>Indonesia</v>
          </cell>
          <cell r="B81">
            <v>0.83</v>
          </cell>
          <cell r="C81">
            <v>0.17</v>
          </cell>
        </row>
        <row r="82">
          <cell r="A82" t="str">
            <v>Honduras</v>
          </cell>
        </row>
        <row r="83">
          <cell r="A83" t="str">
            <v>Gambia</v>
          </cell>
        </row>
        <row r="84">
          <cell r="A84" t="str">
            <v>Turkmenistan</v>
          </cell>
        </row>
        <row r="85">
          <cell r="A85" t="str">
            <v>Netherlands</v>
          </cell>
          <cell r="B85">
            <v>0.73</v>
          </cell>
          <cell r="C85">
            <v>0.27</v>
          </cell>
        </row>
        <row r="86">
          <cell r="A86" t="str">
            <v>Antigua &amp; Barbuda</v>
          </cell>
        </row>
        <row r="87">
          <cell r="A87" t="str">
            <v>Cyprus</v>
          </cell>
        </row>
        <row r="88">
          <cell r="A88" t="str">
            <v>Denmark</v>
          </cell>
          <cell r="B88">
            <v>0.76</v>
          </cell>
          <cell r="C88">
            <v>0.24</v>
          </cell>
        </row>
        <row r="89">
          <cell r="A89" t="str">
            <v>Maldives</v>
          </cell>
        </row>
        <row r="90">
          <cell r="A90" t="str">
            <v>Isle of Man</v>
          </cell>
        </row>
        <row r="91">
          <cell r="A91" t="str">
            <v>Sweden</v>
          </cell>
          <cell r="B91">
            <v>0.7</v>
          </cell>
          <cell r="C91">
            <v>0.3</v>
          </cell>
        </row>
        <row r="92">
          <cell r="A92" t="str">
            <v>Hungary</v>
          </cell>
          <cell r="B92">
            <v>0.75</v>
          </cell>
          <cell r="C92">
            <v>0.25</v>
          </cell>
        </row>
        <row r="93">
          <cell r="A93" t="str">
            <v>Malta</v>
          </cell>
        </row>
        <row r="94">
          <cell r="A94" t="str">
            <v>South Africa</v>
          </cell>
          <cell r="B94">
            <v>0.76</v>
          </cell>
          <cell r="C94">
            <v>0.24</v>
          </cell>
        </row>
        <row r="95">
          <cell r="A95" t="str">
            <v>Paraguay</v>
          </cell>
        </row>
        <row r="96">
          <cell r="A96" t="str">
            <v>Bolivia</v>
          </cell>
          <cell r="B96">
            <v>0.65</v>
          </cell>
          <cell r="C96">
            <v>0.35</v>
          </cell>
        </row>
        <row r="97">
          <cell r="A97" t="str">
            <v>Canada</v>
          </cell>
          <cell r="B97">
            <v>0.71</v>
          </cell>
          <cell r="C97">
            <v>0.28999999999999998</v>
          </cell>
        </row>
        <row r="98">
          <cell r="A98" t="str">
            <v>Senegal</v>
          </cell>
        </row>
        <row r="99">
          <cell r="A99" t="str">
            <v>Slovakia</v>
          </cell>
          <cell r="B99">
            <v>0.75</v>
          </cell>
          <cell r="C99">
            <v>0.25</v>
          </cell>
        </row>
        <row r="100">
          <cell r="A100" t="str">
            <v>Burkina Faso</v>
          </cell>
        </row>
        <row r="101">
          <cell r="A101" t="str">
            <v>Somalia</v>
          </cell>
        </row>
        <row r="102">
          <cell r="A102" t="str">
            <v>Moldova</v>
          </cell>
        </row>
        <row r="103">
          <cell r="A103" t="str">
            <v>Ghana</v>
          </cell>
        </row>
        <row r="104">
          <cell r="A104" t="str">
            <v>Guyana</v>
          </cell>
        </row>
        <row r="105">
          <cell r="A105" t="str">
            <v>Latvia</v>
          </cell>
        </row>
        <row r="106">
          <cell r="A106" t="str">
            <v>Pakistan</v>
          </cell>
          <cell r="B106">
            <v>0.67</v>
          </cell>
          <cell r="C106">
            <v>0.33</v>
          </cell>
        </row>
        <row r="107">
          <cell r="A107" t="str">
            <v>Haiti</v>
          </cell>
        </row>
        <row r="108">
          <cell r="A108" t="str">
            <v>Australia</v>
          </cell>
          <cell r="B108">
            <v>0.69</v>
          </cell>
          <cell r="C108">
            <v>0.31</v>
          </cell>
        </row>
        <row r="109">
          <cell r="A109" t="str">
            <v>Namibia</v>
          </cell>
        </row>
        <row r="110">
          <cell r="A110" t="str">
            <v>Peru</v>
          </cell>
          <cell r="B110">
            <v>0.78</v>
          </cell>
          <cell r="C110">
            <v>0.22</v>
          </cell>
        </row>
        <row r="111">
          <cell r="A111" t="str">
            <v>Equatorial Guinea</v>
          </cell>
        </row>
        <row r="112">
          <cell r="A112" t="str">
            <v>Zambia</v>
          </cell>
        </row>
        <row r="113">
          <cell r="A113" t="str">
            <v>Faroe Islands</v>
          </cell>
        </row>
        <row r="114">
          <cell r="A114" t="str">
            <v>United States</v>
          </cell>
          <cell r="B114">
            <v>0.7</v>
          </cell>
          <cell r="C114">
            <v>0.3</v>
          </cell>
        </row>
        <row r="115">
          <cell r="A115" t="str">
            <v>Lebanon</v>
          </cell>
        </row>
        <row r="116">
          <cell r="A116" t="str">
            <v>Cambodia</v>
          </cell>
        </row>
        <row r="117">
          <cell r="A117" t="str">
            <v>CÃ´te dâ€™Ivoire</v>
          </cell>
        </row>
        <row r="118">
          <cell r="A118" t="str">
            <v>Sudan</v>
          </cell>
        </row>
        <row r="119">
          <cell r="A119" t="str">
            <v>Liberia</v>
          </cell>
        </row>
        <row r="120">
          <cell r="A120" t="str">
            <v>Andorra</v>
          </cell>
        </row>
        <row r="121">
          <cell r="A121" t="str">
            <v>Colombia</v>
          </cell>
          <cell r="B121">
            <v>0.72</v>
          </cell>
          <cell r="C121">
            <v>0.28000000000000003</v>
          </cell>
        </row>
        <row r="122">
          <cell r="A122" t="str">
            <v>Spain</v>
          </cell>
          <cell r="B122">
            <v>0.73</v>
          </cell>
          <cell r="C122">
            <v>0.27</v>
          </cell>
        </row>
        <row r="123">
          <cell r="A123" t="str">
            <v>Dominican Republic</v>
          </cell>
          <cell r="B123">
            <v>0.75</v>
          </cell>
          <cell r="C123">
            <v>0.25</v>
          </cell>
        </row>
        <row r="124">
          <cell r="A124" t="str">
            <v>Brazil</v>
          </cell>
          <cell r="B124">
            <v>0.77</v>
          </cell>
          <cell r="C124">
            <v>0.23</v>
          </cell>
        </row>
        <row r="125">
          <cell r="A125" t="str">
            <v>Serbia</v>
          </cell>
          <cell r="B125">
            <v>0.77</v>
          </cell>
          <cell r="C125">
            <v>0.23</v>
          </cell>
        </row>
        <row r="126">
          <cell r="A126" t="str">
            <v>Mongolia</v>
          </cell>
        </row>
        <row r="127">
          <cell r="A127" t="str">
            <v>New Caledonia</v>
          </cell>
        </row>
        <row r="128">
          <cell r="A128" t="str">
            <v>South Sudan</v>
          </cell>
        </row>
        <row r="129">
          <cell r="A129" t="str">
            <v>Bosnia &amp; Herzegovina</v>
          </cell>
        </row>
        <row r="130">
          <cell r="A130" t="str">
            <v>United Arab Emirates</v>
          </cell>
          <cell r="B130">
            <v>0.68</v>
          </cell>
          <cell r="C130">
            <v>0.32</v>
          </cell>
        </row>
        <row r="131">
          <cell r="A131" t="str">
            <v>Belgium</v>
          </cell>
          <cell r="B131">
            <v>0.7</v>
          </cell>
          <cell r="C131">
            <v>0.3</v>
          </cell>
        </row>
        <row r="132">
          <cell r="A132" t="str">
            <v>Bulgaria</v>
          </cell>
          <cell r="B132">
            <v>0.73</v>
          </cell>
          <cell r="C132">
            <v>0.27</v>
          </cell>
        </row>
        <row r="133">
          <cell r="A133" t="str">
            <v>United Kingdom</v>
          </cell>
          <cell r="B133">
            <v>0.69</v>
          </cell>
          <cell r="C133">
            <v>0.31</v>
          </cell>
        </row>
        <row r="134">
          <cell r="A134" t="str">
            <v>Uruguay</v>
          </cell>
        </row>
        <row r="135">
          <cell r="A135" t="str">
            <v>Malaysia</v>
          </cell>
          <cell r="B135">
            <v>0.72</v>
          </cell>
          <cell r="C135">
            <v>0.28000000000000003</v>
          </cell>
        </row>
        <row r="136">
          <cell r="A136" t="str">
            <v>Laos</v>
          </cell>
        </row>
        <row r="137">
          <cell r="A137" t="str">
            <v>Barbados</v>
          </cell>
        </row>
        <row r="138">
          <cell r="A138" t="str">
            <v>France</v>
          </cell>
          <cell r="B138">
            <v>0.74</v>
          </cell>
          <cell r="C138">
            <v>0.26</v>
          </cell>
        </row>
        <row r="139">
          <cell r="A139" t="str">
            <v>CuraÃ§ao</v>
          </cell>
        </row>
        <row r="140">
          <cell r="A140" t="str">
            <v>Poland</v>
          </cell>
          <cell r="B140">
            <v>0.74</v>
          </cell>
          <cell r="C140">
            <v>0.26</v>
          </cell>
        </row>
        <row r="141">
          <cell r="A141" t="str">
            <v>French Polynesia</v>
          </cell>
        </row>
        <row r="142">
          <cell r="A142" t="str">
            <v>Mauritania</v>
          </cell>
        </row>
        <row r="143">
          <cell r="A143" t="str">
            <v>Lithuania</v>
          </cell>
        </row>
        <row r="144">
          <cell r="A144" t="str">
            <v>Cayman Islands</v>
          </cell>
        </row>
        <row r="145">
          <cell r="A145" t="str">
            <v>Sierra Leone</v>
          </cell>
        </row>
        <row r="146">
          <cell r="A146" t="str">
            <v>Jersey</v>
          </cell>
        </row>
        <row r="147">
          <cell r="A147" t="str">
            <v>Kazakhstan</v>
          </cell>
          <cell r="B147">
            <v>0.75</v>
          </cell>
          <cell r="C147">
            <v>0.25</v>
          </cell>
        </row>
        <row r="148">
          <cell r="A148" t="str">
            <v>Croatia</v>
          </cell>
          <cell r="B148">
            <v>0.73</v>
          </cell>
          <cell r="C148">
            <v>0.27</v>
          </cell>
        </row>
        <row r="149">
          <cell r="A149" t="str">
            <v>Kosovo</v>
          </cell>
        </row>
        <row r="150">
          <cell r="A150" t="str">
            <v>Panama</v>
          </cell>
        </row>
        <row r="151">
          <cell r="A151" t="str">
            <v>Tajikistan</v>
          </cell>
        </row>
        <row r="152">
          <cell r="A152" t="str">
            <v>Fiji</v>
          </cell>
        </row>
        <row r="153">
          <cell r="A153" t="str">
            <v>Morocco</v>
          </cell>
          <cell r="B153">
            <v>0.74</v>
          </cell>
          <cell r="C153">
            <v>0.26</v>
          </cell>
        </row>
        <row r="154">
          <cell r="A154" t="str">
            <v>Argentina</v>
          </cell>
          <cell r="B154">
            <v>0.7</v>
          </cell>
          <cell r="C154">
            <v>0.3</v>
          </cell>
        </row>
        <row r="155">
          <cell r="A155" t="str">
            <v>Belize</v>
          </cell>
        </row>
        <row r="156">
          <cell r="A156" t="str">
            <v>Gabon</v>
          </cell>
        </row>
        <row r="157">
          <cell r="A157" t="str">
            <v>Slovenia</v>
          </cell>
        </row>
        <row r="158">
          <cell r="A158" t="str">
            <v>Chile</v>
          </cell>
          <cell r="B158">
            <v>0.77</v>
          </cell>
          <cell r="C158">
            <v>0.23</v>
          </cell>
        </row>
        <row r="159">
          <cell r="A159" t="str">
            <v>Congo - Kinshasa</v>
          </cell>
        </row>
        <row r="160">
          <cell r="A160" t="str">
            <v>Iran</v>
          </cell>
          <cell r="B160">
            <v>0.77</v>
          </cell>
          <cell r="C160">
            <v>0.23</v>
          </cell>
        </row>
        <row r="161">
          <cell r="A161" t="str">
            <v>Palestine</v>
          </cell>
        </row>
        <row r="162">
          <cell r="A162" t="str">
            <v>Qatar</v>
          </cell>
        </row>
        <row r="163">
          <cell r="A163" t="str">
            <v>Egypt</v>
          </cell>
          <cell r="B163">
            <v>0.81</v>
          </cell>
          <cell r="C163">
            <v>0.19</v>
          </cell>
        </row>
        <row r="164">
          <cell r="A164" t="str">
            <v>St. Vincent &amp; Grenadines</v>
          </cell>
        </row>
        <row r="165">
          <cell r="A165" t="str">
            <v>Jordan</v>
          </cell>
        </row>
        <row r="166">
          <cell r="A166" t="str">
            <v>Georgia</v>
          </cell>
        </row>
        <row r="167">
          <cell r="A167" t="str">
            <v>Algeria</v>
          </cell>
          <cell r="B167">
            <v>0.71</v>
          </cell>
          <cell r="C167">
            <v>0.28999999999999998</v>
          </cell>
        </row>
        <row r="168">
          <cell r="A168" t="str">
            <v>Kyrgyzstan</v>
          </cell>
        </row>
        <row r="169">
          <cell r="A169" t="str">
            <v>Oman</v>
          </cell>
        </row>
        <row r="170">
          <cell r="A170" t="str">
            <v>Guernsey</v>
          </cell>
        </row>
        <row r="171">
          <cell r="A171" t="str">
            <v>Syria</v>
          </cell>
        </row>
        <row r="172">
          <cell r="A172" t="str">
            <v>Martinique</v>
          </cell>
        </row>
        <row r="173">
          <cell r="A173" t="str">
            <v>Bahrain</v>
          </cell>
        </row>
        <row r="174">
          <cell r="A174" t="str">
            <v>Puerto Rico</v>
          </cell>
        </row>
        <row r="175">
          <cell r="A175" t="str">
            <v>Iraq</v>
          </cell>
        </row>
        <row r="176">
          <cell r="A176" t="str">
            <v>Azerbaijan</v>
          </cell>
        </row>
        <row r="177">
          <cell r="A177" t="str">
            <v>Italy</v>
          </cell>
          <cell r="B177">
            <v>0.67</v>
          </cell>
          <cell r="C177">
            <v>0.33</v>
          </cell>
        </row>
        <row r="178">
          <cell r="A178" t="str">
            <v>Afghanistan</v>
          </cell>
        </row>
        <row r="179">
          <cell r="A179" t="str">
            <v>Brunei</v>
          </cell>
        </row>
        <row r="180">
          <cell r="A180" t="str">
            <v>Yemen</v>
          </cell>
        </row>
        <row r="181">
          <cell r="A181" t="str">
            <v>Guinea</v>
          </cell>
        </row>
        <row r="182">
          <cell r="A182" t="str">
            <v>Djibouti</v>
          </cell>
        </row>
        <row r="183">
          <cell r="A183" t="str">
            <v>St. Lucia</v>
          </cell>
        </row>
        <row r="184">
          <cell r="A184" t="str">
            <v>Vietnam</v>
          </cell>
          <cell r="B184">
            <v>0.73</v>
          </cell>
          <cell r="C184">
            <v>0.27</v>
          </cell>
        </row>
        <row r="185">
          <cell r="A185" t="str">
            <v>Libya</v>
          </cell>
        </row>
        <row r="186">
          <cell r="A186" t="str">
            <v>Solomon Islands</v>
          </cell>
        </row>
        <row r="187">
          <cell r="A187" t="str">
            <v>RÃ©union</v>
          </cell>
        </row>
        <row r="188">
          <cell r="A188" t="str">
            <v>Greece</v>
          </cell>
          <cell r="B188">
            <v>0.67</v>
          </cell>
          <cell r="C188">
            <v>0.33</v>
          </cell>
        </row>
        <row r="189">
          <cell r="A189" t="str">
            <v>Venezuela</v>
          </cell>
          <cell r="B189">
            <v>0.77</v>
          </cell>
          <cell r="C189">
            <v>0.23</v>
          </cell>
        </row>
        <row r="190">
          <cell r="A190" t="str">
            <v>Guadeloupe</v>
          </cell>
        </row>
        <row r="191">
          <cell r="A191" t="str">
            <v>Thailand</v>
          </cell>
          <cell r="B191">
            <v>0.67</v>
          </cell>
          <cell r="C191">
            <v>0.33</v>
          </cell>
        </row>
        <row r="192">
          <cell r="A192" t="str">
            <v>Bermuda</v>
          </cell>
        </row>
        <row r="193">
          <cell r="A193" t="str">
            <v>Montenegro</v>
          </cell>
        </row>
        <row r="194">
          <cell r="A194" t="str">
            <v>Saudi Arabia</v>
          </cell>
          <cell r="B194">
            <v>0.69</v>
          </cell>
          <cell r="C194">
            <v>0.31</v>
          </cell>
        </row>
        <row r="195">
          <cell r="A195" t="str">
            <v>Trinidad &amp; Tobago</v>
          </cell>
        </row>
        <row r="196">
          <cell r="A196" t="str">
            <v>Kuwait</v>
          </cell>
        </row>
        <row r="197">
          <cell r="A197" t="str">
            <v>Bahamas</v>
          </cell>
        </row>
        <row r="198">
          <cell r="A198" t="str">
            <v>Mayotte</v>
          </cell>
        </row>
        <row r="199">
          <cell r="A199" t="str">
            <v>Suriname</v>
          </cell>
        </row>
        <row r="200">
          <cell r="A200" t="str">
            <v>French Guiana</v>
          </cell>
        </row>
        <row r="201">
          <cell r="A201" t="str">
            <v>Guam</v>
          </cell>
        </row>
        <row r="202">
          <cell r="A202" t="str">
            <v>U.S. Virgin Islands</v>
          </cell>
        </row>
        <row r="203">
          <cell r="A203" t="str">
            <v>Aruba</v>
          </cell>
        </row>
        <row r="204">
          <cell r="A204" t="str">
            <v>Turkey</v>
          </cell>
          <cell r="B204">
            <v>0.68</v>
          </cell>
          <cell r="C204">
            <v>0.32</v>
          </cell>
        </row>
        <row r="205">
          <cell r="A205" t="str">
            <v>North Korea</v>
          </cell>
        </row>
        <row r="206">
          <cell r="A206" t="str">
            <v>Eritrea</v>
          </cell>
        </row>
        <row r="207">
          <cell r="A207" t="str">
            <v>Svalbard &amp; Jan Mayen</v>
          </cell>
        </row>
        <row r="208">
          <cell r="A208" t="str">
            <v>SÃ£o TomÃ© &amp; PrÃ­ncipe</v>
          </cell>
        </row>
        <row r="209">
          <cell r="A209" t="str">
            <v>Vanuatu</v>
          </cell>
        </row>
        <row r="210">
          <cell r="A210" t="str">
            <v>Marshall Islands</v>
          </cell>
        </row>
        <row r="211">
          <cell r="A211" t="str">
            <v>Guinea-Bissau</v>
          </cell>
        </row>
        <row r="212">
          <cell r="A212" t="str">
            <v>Dominica</v>
          </cell>
        </row>
        <row r="213">
          <cell r="A213" t="str">
            <v>San Marino</v>
          </cell>
        </row>
        <row r="214">
          <cell r="A214" t="str">
            <v>St. Martin</v>
          </cell>
        </row>
        <row r="215">
          <cell r="A215" t="str">
            <v>Palau</v>
          </cell>
        </row>
        <row r="216">
          <cell r="A216" t="str">
            <v>Comoros</v>
          </cell>
        </row>
        <row r="217">
          <cell r="A217" t="str">
            <v>Micronesia</v>
          </cell>
        </row>
        <row r="218">
          <cell r="A218" t="str">
            <v>Caribbean Netherlands</v>
          </cell>
        </row>
        <row r="219">
          <cell r="A219" t="str">
            <v>Northern Mariana Islands</v>
          </cell>
        </row>
        <row r="220">
          <cell r="A220" t="str">
            <v>Tonga</v>
          </cell>
        </row>
        <row r="221">
          <cell r="A221" t="str">
            <v>Central African Republic</v>
          </cell>
        </row>
        <row r="222">
          <cell r="A222" t="str">
            <v>British Virgin Islands</v>
          </cell>
        </row>
        <row r="223">
          <cell r="A223" t="str">
            <v>Samoa</v>
          </cell>
        </row>
        <row r="224">
          <cell r="A224" t="str">
            <v>Sint Maarten</v>
          </cell>
        </row>
        <row r="225">
          <cell r="A225" t="str">
            <v>St. Kitts &amp; Nevis</v>
          </cell>
        </row>
        <row r="226">
          <cell r="A226" t="str">
            <v>Grenada</v>
          </cell>
        </row>
        <row r="227">
          <cell r="A227" t="str">
            <v>Turks &amp; Caicos Islands</v>
          </cell>
        </row>
        <row r="228">
          <cell r="A228" t="str">
            <v>Western Sahara</v>
          </cell>
        </row>
        <row r="229">
          <cell r="A229" t="str">
            <v>Anguilla</v>
          </cell>
        </row>
        <row r="230">
          <cell r="A230" t="str">
            <v>American Samoa</v>
          </cell>
        </row>
        <row r="231">
          <cell r="A231" t="str">
            <v>Antarctica</v>
          </cell>
        </row>
        <row r="232">
          <cell r="A232" t="str">
            <v>French Southern Territories</v>
          </cell>
        </row>
        <row r="233">
          <cell r="A233" t="str">
            <v>St. BarthÃ©lemy</v>
          </cell>
        </row>
        <row r="234">
          <cell r="A234" t="str">
            <v>Bouvet Island</v>
          </cell>
        </row>
        <row r="235">
          <cell r="A235" t="str">
            <v>Cocos (Keeling) Islands</v>
          </cell>
        </row>
        <row r="236">
          <cell r="A236" t="str">
            <v>Christmas Island</v>
          </cell>
        </row>
        <row r="237">
          <cell r="A237" t="str">
            <v>Falkland Islands (Islas Malvinas)</v>
          </cell>
        </row>
        <row r="238">
          <cell r="A238" t="str">
            <v>Heard &amp; McDonald Islands</v>
          </cell>
        </row>
        <row r="239">
          <cell r="A239" t="str">
            <v>British Indian Ocean Territory</v>
          </cell>
        </row>
        <row r="240">
          <cell r="A240" t="str">
            <v>Kiribati</v>
          </cell>
        </row>
        <row r="241">
          <cell r="A241" t="str">
            <v>Montserrat</v>
          </cell>
        </row>
        <row r="242">
          <cell r="A242" t="str">
            <v>Norfolk Island</v>
          </cell>
        </row>
        <row r="243">
          <cell r="A243" t="str">
            <v>Niue</v>
          </cell>
        </row>
        <row r="244">
          <cell r="A244" t="str">
            <v>Nauru</v>
          </cell>
        </row>
        <row r="245">
          <cell r="A245" t="str">
            <v>Pitcairn Islands</v>
          </cell>
        </row>
        <row r="246">
          <cell r="A246" t="str">
            <v>South Georgia &amp; South Sandwich Islands</v>
          </cell>
        </row>
        <row r="247">
          <cell r="A247" t="str">
            <v>St. Pierre &amp; Miquelon</v>
          </cell>
        </row>
        <row r="248">
          <cell r="A248" t="str">
            <v>Seychelles</v>
          </cell>
        </row>
        <row r="249">
          <cell r="A249" t="str">
            <v>Tokelau</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1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86)"/>
    </sheetNames>
    <sheetDataSet>
      <sheetData sheetId="0">
        <row r="1">
          <cell r="A1" t="str">
            <v>Category: All categories</v>
          </cell>
        </row>
        <row r="3">
          <cell r="A3" t="str">
            <v>Country</v>
          </cell>
          <cell r="B3" t="str">
            <v>Hypertext Transfer Protocol: (2018)</v>
          </cell>
          <cell r="C3" t="str">
            <v>Artificial neural network: (2018)</v>
          </cell>
        </row>
        <row r="4">
          <cell r="A4" t="str">
            <v>China</v>
          </cell>
          <cell r="B4">
            <v>0.6</v>
          </cell>
          <cell r="C4">
            <v>0.4</v>
          </cell>
        </row>
        <row r="5">
          <cell r="A5" t="str">
            <v>Cuba</v>
          </cell>
        </row>
        <row r="6">
          <cell r="A6" t="str">
            <v>Ethiopia</v>
          </cell>
        </row>
        <row r="7">
          <cell r="A7" t="str">
            <v>St. Helena</v>
          </cell>
          <cell r="B7">
            <v>0.87</v>
          </cell>
          <cell r="C7">
            <v>0.13</v>
          </cell>
        </row>
        <row r="8">
          <cell r="A8" t="str">
            <v>Myanmar (Burma)</v>
          </cell>
        </row>
        <row r="9">
          <cell r="A9" t="str">
            <v>South Korea</v>
          </cell>
          <cell r="B9">
            <v>0.65</v>
          </cell>
          <cell r="C9">
            <v>0.35</v>
          </cell>
        </row>
        <row r="10">
          <cell r="A10" t="str">
            <v>Jamaica</v>
          </cell>
        </row>
        <row r="11">
          <cell r="A11" t="str">
            <v>Singapore</v>
          </cell>
          <cell r="B11">
            <v>0.76</v>
          </cell>
          <cell r="C11">
            <v>0.24</v>
          </cell>
        </row>
        <row r="12">
          <cell r="A12" t="str">
            <v>Togo</v>
          </cell>
        </row>
        <row r="13">
          <cell r="A13" t="str">
            <v>Papua New Guinea</v>
          </cell>
        </row>
        <row r="14">
          <cell r="A14" t="str">
            <v>Liechtenstein</v>
          </cell>
        </row>
        <row r="15">
          <cell r="A15" t="str">
            <v>North Macedonia</v>
          </cell>
        </row>
        <row r="16">
          <cell r="A16" t="str">
            <v>Greenland</v>
          </cell>
        </row>
        <row r="17">
          <cell r="A17" t="str">
            <v>Ã…land Islands</v>
          </cell>
        </row>
        <row r="18">
          <cell r="A18" t="str">
            <v>Israel</v>
          </cell>
          <cell r="B18">
            <v>0.83</v>
          </cell>
          <cell r="C18">
            <v>0.17</v>
          </cell>
        </row>
        <row r="19">
          <cell r="A19" t="str">
            <v>Luxembourg</v>
          </cell>
        </row>
        <row r="20">
          <cell r="A20" t="str">
            <v>Cook Islands</v>
          </cell>
        </row>
        <row r="21">
          <cell r="A21" t="str">
            <v>Angola</v>
          </cell>
        </row>
        <row r="22">
          <cell r="A22" t="str">
            <v>Gibraltar</v>
          </cell>
        </row>
        <row r="23">
          <cell r="A23" t="str">
            <v>Nigeria</v>
          </cell>
          <cell r="B23">
            <v>0.86</v>
          </cell>
          <cell r="C23">
            <v>0.14000000000000001</v>
          </cell>
        </row>
        <row r="24">
          <cell r="A24" t="str">
            <v>Chad</v>
          </cell>
        </row>
        <row r="25">
          <cell r="A25" t="str">
            <v>Madagascar</v>
          </cell>
        </row>
        <row r="26">
          <cell r="A26" t="str">
            <v>Tanzania</v>
          </cell>
        </row>
        <row r="27">
          <cell r="A27" t="str">
            <v>Timor-Leste</v>
          </cell>
        </row>
        <row r="28">
          <cell r="A28" t="str">
            <v>Malawi</v>
          </cell>
        </row>
        <row r="29">
          <cell r="A29" t="str">
            <v>Philippines</v>
          </cell>
          <cell r="B29">
            <v>0.87</v>
          </cell>
          <cell r="C29">
            <v>0.13</v>
          </cell>
        </row>
        <row r="30">
          <cell r="A30" t="str">
            <v>Iceland</v>
          </cell>
        </row>
        <row r="31">
          <cell r="A31" t="str">
            <v>Cameroon</v>
          </cell>
        </row>
        <row r="32">
          <cell r="A32" t="str">
            <v>Mexico</v>
          </cell>
          <cell r="B32">
            <v>0.93</v>
          </cell>
          <cell r="C32">
            <v>7.0000000000000007E-2</v>
          </cell>
        </row>
        <row r="33">
          <cell r="A33" t="str">
            <v>Hong Kong</v>
          </cell>
          <cell r="B33">
            <v>0.7</v>
          </cell>
          <cell r="C33">
            <v>0.3</v>
          </cell>
        </row>
        <row r="34">
          <cell r="A34" t="str">
            <v>Benin</v>
          </cell>
        </row>
        <row r="35">
          <cell r="A35" t="str">
            <v>Germany</v>
          </cell>
          <cell r="B35">
            <v>0.86</v>
          </cell>
          <cell r="C35">
            <v>0.14000000000000001</v>
          </cell>
        </row>
        <row r="36">
          <cell r="A36" t="str">
            <v>Rwanda</v>
          </cell>
        </row>
        <row r="37">
          <cell r="A37" t="str">
            <v>Mali</v>
          </cell>
        </row>
        <row r="38">
          <cell r="A38" t="str">
            <v>Switzerland</v>
          </cell>
          <cell r="B38">
            <v>0.8</v>
          </cell>
          <cell r="C38">
            <v>0.2</v>
          </cell>
        </row>
        <row r="39">
          <cell r="A39" t="str">
            <v>Kenya</v>
          </cell>
          <cell r="B39">
            <v>0.84</v>
          </cell>
          <cell r="C39">
            <v>0.16</v>
          </cell>
        </row>
        <row r="40">
          <cell r="A40" t="str">
            <v>Bhutan</v>
          </cell>
        </row>
        <row r="41">
          <cell r="A41" t="str">
            <v>Uganda</v>
          </cell>
        </row>
        <row r="42">
          <cell r="A42" t="str">
            <v>Burundi</v>
          </cell>
        </row>
        <row r="43">
          <cell r="A43" t="str">
            <v>Austria</v>
          </cell>
          <cell r="B43">
            <v>0.88</v>
          </cell>
          <cell r="C43">
            <v>0.12</v>
          </cell>
        </row>
        <row r="44">
          <cell r="A44" t="str">
            <v>Belarus</v>
          </cell>
          <cell r="B44">
            <v>0.79</v>
          </cell>
          <cell r="C44">
            <v>0.21</v>
          </cell>
        </row>
        <row r="45">
          <cell r="A45" t="str">
            <v>Nepal</v>
          </cell>
        </row>
        <row r="46">
          <cell r="A46" t="str">
            <v>Congo - Brazzaville</v>
          </cell>
        </row>
        <row r="47">
          <cell r="A47" t="str">
            <v>India</v>
          </cell>
          <cell r="B47">
            <v>0.77</v>
          </cell>
          <cell r="C47">
            <v>0.23</v>
          </cell>
        </row>
        <row r="48">
          <cell r="A48" t="str">
            <v>Sri Lanka</v>
          </cell>
          <cell r="B48">
            <v>0.78</v>
          </cell>
          <cell r="C48">
            <v>0.22</v>
          </cell>
        </row>
        <row r="49">
          <cell r="A49" t="str">
            <v>Armenia</v>
          </cell>
        </row>
        <row r="50">
          <cell r="A50" t="str">
            <v>Botswana</v>
          </cell>
        </row>
        <row r="51">
          <cell r="A51" t="str">
            <v>Cape Verde</v>
          </cell>
        </row>
        <row r="52">
          <cell r="A52" t="str">
            <v>Ecuador</v>
          </cell>
          <cell r="B52">
            <v>0.91</v>
          </cell>
          <cell r="C52">
            <v>0.09</v>
          </cell>
        </row>
        <row r="53">
          <cell r="A53" t="str">
            <v>Estonia</v>
          </cell>
        </row>
        <row r="54">
          <cell r="A54" t="str">
            <v>Bangladesh</v>
          </cell>
          <cell r="B54">
            <v>0.78</v>
          </cell>
          <cell r="C54">
            <v>0.22</v>
          </cell>
        </row>
        <row r="55">
          <cell r="A55" t="str">
            <v>Niger</v>
          </cell>
        </row>
        <row r="56">
          <cell r="A56" t="str">
            <v>Japan</v>
          </cell>
          <cell r="B56">
            <v>0.83</v>
          </cell>
          <cell r="C56">
            <v>0.17</v>
          </cell>
        </row>
        <row r="57">
          <cell r="A57" t="str">
            <v>Ukraine</v>
          </cell>
          <cell r="B57">
            <v>0.85</v>
          </cell>
          <cell r="C57">
            <v>0.15</v>
          </cell>
        </row>
        <row r="58">
          <cell r="A58" t="str">
            <v>Taiwan</v>
          </cell>
          <cell r="B58">
            <v>0.69</v>
          </cell>
          <cell r="C58">
            <v>0.31</v>
          </cell>
        </row>
        <row r="59">
          <cell r="A59" t="str">
            <v>Finland</v>
          </cell>
          <cell r="B59">
            <v>0.82</v>
          </cell>
          <cell r="C59">
            <v>0.18</v>
          </cell>
        </row>
        <row r="60">
          <cell r="A60" t="str">
            <v>Czechia</v>
          </cell>
          <cell r="B60">
            <v>0.8</v>
          </cell>
          <cell r="C60">
            <v>0.2</v>
          </cell>
        </row>
        <row r="61">
          <cell r="A61" t="str">
            <v>Eswatini</v>
          </cell>
        </row>
        <row r="62">
          <cell r="A62" t="str">
            <v>Zimbabwe</v>
          </cell>
        </row>
        <row r="63">
          <cell r="A63" t="str">
            <v>New Zealand</v>
          </cell>
          <cell r="B63">
            <v>0.83</v>
          </cell>
          <cell r="C63">
            <v>0.17</v>
          </cell>
        </row>
        <row r="64">
          <cell r="A64" t="str">
            <v>Nicaragua</v>
          </cell>
        </row>
        <row r="65">
          <cell r="A65" t="str">
            <v>Monaco</v>
          </cell>
        </row>
        <row r="66">
          <cell r="A66" t="str">
            <v>El Salvador</v>
          </cell>
        </row>
        <row r="67">
          <cell r="A67" t="str">
            <v>Tunisia</v>
          </cell>
          <cell r="B67">
            <v>0.76</v>
          </cell>
          <cell r="C67">
            <v>0.24</v>
          </cell>
        </row>
        <row r="68">
          <cell r="A68" t="str">
            <v>Portugal</v>
          </cell>
          <cell r="B68">
            <v>0.86</v>
          </cell>
          <cell r="C68">
            <v>0.14000000000000001</v>
          </cell>
        </row>
        <row r="69">
          <cell r="A69" t="str">
            <v>Norway</v>
          </cell>
          <cell r="B69">
            <v>0.81</v>
          </cell>
          <cell r="C69">
            <v>0.19</v>
          </cell>
        </row>
        <row r="70">
          <cell r="A70" t="str">
            <v>Mauritius</v>
          </cell>
        </row>
        <row r="71">
          <cell r="A71" t="str">
            <v>Ireland</v>
          </cell>
          <cell r="B71">
            <v>0.8</v>
          </cell>
          <cell r="C71">
            <v>0.2</v>
          </cell>
        </row>
        <row r="72">
          <cell r="A72" t="str">
            <v>Macao</v>
          </cell>
        </row>
        <row r="73">
          <cell r="A73" t="str">
            <v>Russia</v>
          </cell>
          <cell r="B73">
            <v>0.72</v>
          </cell>
          <cell r="C73">
            <v>0.28000000000000003</v>
          </cell>
        </row>
        <row r="74">
          <cell r="A74" t="str">
            <v>Mozambique</v>
          </cell>
        </row>
        <row r="75">
          <cell r="A75" t="str">
            <v>Lesotho</v>
          </cell>
        </row>
        <row r="76">
          <cell r="A76" t="str">
            <v>Uzbekistan</v>
          </cell>
        </row>
        <row r="77">
          <cell r="A77" t="str">
            <v>Guatemala</v>
          </cell>
        </row>
        <row r="78">
          <cell r="A78" t="str">
            <v>Romania</v>
          </cell>
          <cell r="B78">
            <v>0.89</v>
          </cell>
          <cell r="C78">
            <v>0.11</v>
          </cell>
        </row>
        <row r="79">
          <cell r="A79" t="str">
            <v>Costa Rica</v>
          </cell>
        </row>
        <row r="80">
          <cell r="A80" t="str">
            <v>Albania</v>
          </cell>
        </row>
        <row r="81">
          <cell r="A81" t="str">
            <v>Honduras</v>
          </cell>
        </row>
        <row r="82">
          <cell r="A82" t="str">
            <v>Gambia</v>
          </cell>
        </row>
        <row r="83">
          <cell r="A83" t="str">
            <v>Indonesia</v>
          </cell>
          <cell r="B83">
            <v>0.83</v>
          </cell>
          <cell r="C83">
            <v>0.17</v>
          </cell>
        </row>
        <row r="84">
          <cell r="A84" t="str">
            <v>Netherlands</v>
          </cell>
          <cell r="B84">
            <v>0.82</v>
          </cell>
          <cell r="C84">
            <v>0.18</v>
          </cell>
        </row>
        <row r="85">
          <cell r="A85" t="str">
            <v>Turkmenistan</v>
          </cell>
        </row>
        <row r="86">
          <cell r="A86" t="str">
            <v>Antigua &amp; Barbuda</v>
          </cell>
        </row>
        <row r="87">
          <cell r="A87" t="str">
            <v>Maldives</v>
          </cell>
        </row>
        <row r="88">
          <cell r="A88" t="str">
            <v>Cyprus</v>
          </cell>
        </row>
        <row r="89">
          <cell r="A89" t="str">
            <v>Denmark</v>
          </cell>
          <cell r="B89">
            <v>0.81</v>
          </cell>
          <cell r="C89">
            <v>0.19</v>
          </cell>
        </row>
        <row r="90">
          <cell r="A90" t="str">
            <v>Isle of Man</v>
          </cell>
        </row>
        <row r="91">
          <cell r="A91" t="str">
            <v>Hungary</v>
          </cell>
          <cell r="B91">
            <v>0.88</v>
          </cell>
          <cell r="C91">
            <v>0.12</v>
          </cell>
        </row>
        <row r="92">
          <cell r="A92" t="str">
            <v>Sweden</v>
          </cell>
          <cell r="B92">
            <v>0.8</v>
          </cell>
          <cell r="C92">
            <v>0.2</v>
          </cell>
        </row>
        <row r="93">
          <cell r="A93" t="str">
            <v>Paraguay</v>
          </cell>
        </row>
        <row r="94">
          <cell r="A94" t="str">
            <v>Malta</v>
          </cell>
        </row>
        <row r="95">
          <cell r="A95" t="str">
            <v>South Africa</v>
          </cell>
          <cell r="B95">
            <v>0.81</v>
          </cell>
          <cell r="C95">
            <v>0.19</v>
          </cell>
        </row>
        <row r="96">
          <cell r="A96" t="str">
            <v>Canada</v>
          </cell>
          <cell r="B96">
            <v>0.73</v>
          </cell>
          <cell r="C96">
            <v>0.27</v>
          </cell>
        </row>
        <row r="97">
          <cell r="A97" t="str">
            <v>Bolivia</v>
          </cell>
        </row>
        <row r="98">
          <cell r="A98" t="str">
            <v>Senegal</v>
          </cell>
        </row>
        <row r="99">
          <cell r="A99" t="str">
            <v>Burkina Faso</v>
          </cell>
        </row>
        <row r="100">
          <cell r="A100" t="str">
            <v>Moldova</v>
          </cell>
        </row>
        <row r="101">
          <cell r="A101" t="str">
            <v>Slovakia</v>
          </cell>
          <cell r="B101">
            <v>0.87</v>
          </cell>
          <cell r="C101">
            <v>0.13</v>
          </cell>
        </row>
        <row r="102">
          <cell r="A102" t="str">
            <v>Guyana</v>
          </cell>
        </row>
        <row r="103">
          <cell r="A103" t="str">
            <v>Somalia</v>
          </cell>
        </row>
        <row r="104">
          <cell r="A104" t="str">
            <v>Ghana</v>
          </cell>
        </row>
        <row r="105">
          <cell r="A105" t="str">
            <v>Latvia</v>
          </cell>
        </row>
        <row r="106">
          <cell r="A106" t="str">
            <v>Pakistan</v>
          </cell>
          <cell r="B106">
            <v>0.67</v>
          </cell>
          <cell r="C106">
            <v>0.33</v>
          </cell>
        </row>
        <row r="107">
          <cell r="A107" t="str">
            <v>Haiti</v>
          </cell>
        </row>
        <row r="108">
          <cell r="A108" t="str">
            <v>Australia</v>
          </cell>
          <cell r="B108">
            <v>0.77</v>
          </cell>
          <cell r="C108">
            <v>0.23</v>
          </cell>
        </row>
        <row r="109">
          <cell r="A109" t="str">
            <v>Namibia</v>
          </cell>
        </row>
        <row r="110">
          <cell r="A110" t="str">
            <v>Peru</v>
          </cell>
          <cell r="B110">
            <v>0.85</v>
          </cell>
          <cell r="C110">
            <v>0.15</v>
          </cell>
        </row>
        <row r="111">
          <cell r="A111" t="str">
            <v>Equatorial Guinea</v>
          </cell>
        </row>
        <row r="112">
          <cell r="A112" t="str">
            <v>Zambia</v>
          </cell>
        </row>
        <row r="113">
          <cell r="A113" t="str">
            <v>Faroe Islands</v>
          </cell>
        </row>
        <row r="114">
          <cell r="A114" t="str">
            <v>United States</v>
          </cell>
          <cell r="B114">
            <v>0.73</v>
          </cell>
          <cell r="C114">
            <v>0.27</v>
          </cell>
        </row>
        <row r="115">
          <cell r="A115" t="str">
            <v>Lebanon</v>
          </cell>
        </row>
        <row r="116">
          <cell r="A116" t="str">
            <v>Cambodia</v>
          </cell>
        </row>
        <row r="117">
          <cell r="A117" t="str">
            <v>CÃ´te dâ€™Ivoire</v>
          </cell>
        </row>
        <row r="118">
          <cell r="A118" t="str">
            <v>Sudan</v>
          </cell>
        </row>
        <row r="119">
          <cell r="A119" t="str">
            <v>Liberia</v>
          </cell>
        </row>
        <row r="120">
          <cell r="A120" t="str">
            <v>Andorra</v>
          </cell>
        </row>
        <row r="121">
          <cell r="A121" t="str">
            <v>Colombia</v>
          </cell>
          <cell r="B121">
            <v>0.86</v>
          </cell>
          <cell r="C121">
            <v>0.14000000000000001</v>
          </cell>
        </row>
        <row r="122">
          <cell r="A122" t="str">
            <v>Spain</v>
          </cell>
          <cell r="B122">
            <v>0.87</v>
          </cell>
          <cell r="C122">
            <v>0.13</v>
          </cell>
        </row>
        <row r="123">
          <cell r="A123" t="str">
            <v>Dominican Republic</v>
          </cell>
        </row>
        <row r="124">
          <cell r="A124" t="str">
            <v>Brazil</v>
          </cell>
          <cell r="B124">
            <v>0.91</v>
          </cell>
          <cell r="C124">
            <v>0.09</v>
          </cell>
        </row>
        <row r="125">
          <cell r="A125" t="str">
            <v>Serbia</v>
          </cell>
          <cell r="B125">
            <v>0.85</v>
          </cell>
          <cell r="C125">
            <v>0.15</v>
          </cell>
        </row>
        <row r="126">
          <cell r="A126" t="str">
            <v>Mongolia</v>
          </cell>
        </row>
        <row r="127">
          <cell r="A127" t="str">
            <v>New Caledonia</v>
          </cell>
        </row>
        <row r="128">
          <cell r="A128" t="str">
            <v>South Sudan</v>
          </cell>
        </row>
        <row r="129">
          <cell r="A129" t="str">
            <v>United Arab Emirates</v>
          </cell>
          <cell r="B129">
            <v>0.82</v>
          </cell>
          <cell r="C129">
            <v>0.18</v>
          </cell>
        </row>
        <row r="130">
          <cell r="A130" t="str">
            <v>Bosnia &amp; Herzegovina</v>
          </cell>
        </row>
        <row r="131">
          <cell r="A131" t="str">
            <v>Belgium</v>
          </cell>
          <cell r="B131">
            <v>0.82</v>
          </cell>
          <cell r="C131">
            <v>0.18</v>
          </cell>
        </row>
        <row r="132">
          <cell r="A132" t="str">
            <v>United Kingdom</v>
          </cell>
          <cell r="B132">
            <v>0.77</v>
          </cell>
          <cell r="C132">
            <v>0.23</v>
          </cell>
        </row>
        <row r="133">
          <cell r="A133" t="str">
            <v>Bulgaria</v>
          </cell>
          <cell r="B133">
            <v>0.84</v>
          </cell>
          <cell r="C133">
            <v>0.16</v>
          </cell>
        </row>
        <row r="134">
          <cell r="A134" t="str">
            <v>Malaysia</v>
          </cell>
          <cell r="B134">
            <v>0.75</v>
          </cell>
          <cell r="C134">
            <v>0.25</v>
          </cell>
        </row>
        <row r="135">
          <cell r="A135" t="str">
            <v>Laos</v>
          </cell>
        </row>
        <row r="136">
          <cell r="A136" t="str">
            <v>Uruguay</v>
          </cell>
        </row>
        <row r="137">
          <cell r="A137" t="str">
            <v>Barbados</v>
          </cell>
        </row>
        <row r="138">
          <cell r="A138" t="str">
            <v>France</v>
          </cell>
          <cell r="B138">
            <v>0.85</v>
          </cell>
          <cell r="C138">
            <v>0.15</v>
          </cell>
        </row>
        <row r="139">
          <cell r="A139" t="str">
            <v>CuraÃ§ao</v>
          </cell>
        </row>
        <row r="140">
          <cell r="A140" t="str">
            <v>Poland</v>
          </cell>
          <cell r="B140">
            <v>0.82</v>
          </cell>
          <cell r="C140">
            <v>0.18</v>
          </cell>
        </row>
        <row r="141">
          <cell r="A141" t="str">
            <v>French Polynesia</v>
          </cell>
        </row>
        <row r="142">
          <cell r="A142" t="str">
            <v>Mauritania</v>
          </cell>
        </row>
        <row r="143">
          <cell r="A143" t="str">
            <v>Lithuania</v>
          </cell>
        </row>
        <row r="144">
          <cell r="A144" t="str">
            <v>Sierra Leone</v>
          </cell>
        </row>
        <row r="145">
          <cell r="A145" t="str">
            <v>Cayman Islands</v>
          </cell>
        </row>
        <row r="146">
          <cell r="A146" t="str">
            <v>Jersey</v>
          </cell>
        </row>
        <row r="147">
          <cell r="A147" t="str">
            <v>Kazakhstan</v>
          </cell>
          <cell r="B147">
            <v>0.79</v>
          </cell>
          <cell r="C147">
            <v>0.21</v>
          </cell>
        </row>
        <row r="148">
          <cell r="A148" t="str">
            <v>Croatia</v>
          </cell>
          <cell r="B148">
            <v>0.64</v>
          </cell>
          <cell r="C148">
            <v>0.36</v>
          </cell>
        </row>
        <row r="149">
          <cell r="A149" t="str">
            <v>Panama</v>
          </cell>
        </row>
        <row r="150">
          <cell r="A150" t="str">
            <v>Kosovo</v>
          </cell>
        </row>
        <row r="151">
          <cell r="A151" t="str">
            <v>Tajikistan</v>
          </cell>
        </row>
        <row r="152">
          <cell r="A152" t="str">
            <v>Fiji</v>
          </cell>
        </row>
        <row r="153">
          <cell r="A153" t="str">
            <v>Morocco</v>
          </cell>
          <cell r="B153">
            <v>0.78</v>
          </cell>
          <cell r="C153">
            <v>0.22</v>
          </cell>
        </row>
        <row r="154">
          <cell r="A154" t="str">
            <v>Argentina</v>
          </cell>
          <cell r="B154">
            <v>0.92</v>
          </cell>
          <cell r="C154">
            <v>0.08</v>
          </cell>
        </row>
        <row r="155">
          <cell r="A155" t="str">
            <v>Belize</v>
          </cell>
        </row>
        <row r="156">
          <cell r="A156" t="str">
            <v>Gabon</v>
          </cell>
        </row>
        <row r="157">
          <cell r="A157" t="str">
            <v>Slovenia</v>
          </cell>
        </row>
        <row r="158">
          <cell r="A158" t="str">
            <v>Chile</v>
          </cell>
          <cell r="B158">
            <v>0.84</v>
          </cell>
          <cell r="C158">
            <v>0.16</v>
          </cell>
        </row>
        <row r="159">
          <cell r="A159" t="str">
            <v>Congo - Kinshasa</v>
          </cell>
        </row>
        <row r="160">
          <cell r="A160" t="str">
            <v>Iran</v>
          </cell>
          <cell r="B160">
            <v>0.68</v>
          </cell>
          <cell r="C160">
            <v>0.32</v>
          </cell>
        </row>
        <row r="161">
          <cell r="A161" t="str">
            <v>Palestine</v>
          </cell>
        </row>
        <row r="162">
          <cell r="A162" t="str">
            <v>Qatar</v>
          </cell>
        </row>
        <row r="163">
          <cell r="A163" t="str">
            <v>Egypt</v>
          </cell>
          <cell r="B163">
            <v>0.79</v>
          </cell>
          <cell r="C163">
            <v>0.21</v>
          </cell>
        </row>
        <row r="164">
          <cell r="A164" t="str">
            <v>St. Vincent &amp; Grenadines</v>
          </cell>
        </row>
        <row r="165">
          <cell r="A165" t="str">
            <v>Jordan</v>
          </cell>
        </row>
        <row r="166">
          <cell r="A166" t="str">
            <v>Georgia</v>
          </cell>
        </row>
        <row r="167">
          <cell r="A167" t="str">
            <v>Algeria</v>
          </cell>
          <cell r="B167">
            <v>0.72</v>
          </cell>
          <cell r="C167">
            <v>0.28000000000000003</v>
          </cell>
        </row>
        <row r="168">
          <cell r="A168" t="str">
            <v>Kyrgyzstan</v>
          </cell>
        </row>
        <row r="169">
          <cell r="A169" t="str">
            <v>Guernsey</v>
          </cell>
        </row>
        <row r="170">
          <cell r="A170" t="str">
            <v>Oman</v>
          </cell>
        </row>
        <row r="171">
          <cell r="A171" t="str">
            <v>Syria</v>
          </cell>
        </row>
        <row r="172">
          <cell r="A172" t="str">
            <v>Martinique</v>
          </cell>
        </row>
        <row r="173">
          <cell r="A173" t="str">
            <v>Puerto Rico</v>
          </cell>
        </row>
        <row r="174">
          <cell r="A174" t="str">
            <v>Bahrain</v>
          </cell>
        </row>
        <row r="175">
          <cell r="A175" t="str">
            <v>Iraq</v>
          </cell>
        </row>
        <row r="176">
          <cell r="A176" t="str">
            <v>Italy</v>
          </cell>
          <cell r="B176">
            <v>0.81</v>
          </cell>
          <cell r="C176">
            <v>0.19</v>
          </cell>
        </row>
        <row r="177">
          <cell r="A177" t="str">
            <v>Afghanistan</v>
          </cell>
        </row>
        <row r="178">
          <cell r="A178" t="str">
            <v>Azerbaijan</v>
          </cell>
        </row>
        <row r="179">
          <cell r="A179" t="str">
            <v>Yemen</v>
          </cell>
        </row>
        <row r="180">
          <cell r="A180" t="str">
            <v>Guinea</v>
          </cell>
        </row>
        <row r="181">
          <cell r="A181" t="str">
            <v>Djibouti</v>
          </cell>
        </row>
        <row r="182">
          <cell r="A182" t="str">
            <v>St. Lucia</v>
          </cell>
        </row>
        <row r="183">
          <cell r="A183" t="str">
            <v>Brunei</v>
          </cell>
        </row>
        <row r="184">
          <cell r="A184" t="str">
            <v>Vietnam</v>
          </cell>
          <cell r="B184">
            <v>0.87</v>
          </cell>
          <cell r="C184">
            <v>0.13</v>
          </cell>
        </row>
        <row r="185">
          <cell r="A185" t="str">
            <v>Libya</v>
          </cell>
        </row>
        <row r="186">
          <cell r="A186" t="str">
            <v>Greece</v>
          </cell>
          <cell r="B186">
            <v>0.71</v>
          </cell>
          <cell r="C186">
            <v>0.28999999999999998</v>
          </cell>
        </row>
        <row r="187">
          <cell r="A187" t="str">
            <v>RÃ©union</v>
          </cell>
        </row>
        <row r="188">
          <cell r="A188" t="str">
            <v>Venezuela</v>
          </cell>
        </row>
        <row r="189">
          <cell r="A189" t="str">
            <v>Guadeloupe</v>
          </cell>
        </row>
        <row r="190">
          <cell r="A190" t="str">
            <v>Thailand</v>
          </cell>
          <cell r="B190">
            <v>0.78</v>
          </cell>
          <cell r="C190">
            <v>0.22</v>
          </cell>
        </row>
        <row r="191">
          <cell r="A191" t="str">
            <v>Bermuda</v>
          </cell>
        </row>
        <row r="192">
          <cell r="A192" t="str">
            <v>Montenegro</v>
          </cell>
        </row>
        <row r="193">
          <cell r="A193" t="str">
            <v>Saudi Arabia</v>
          </cell>
          <cell r="B193">
            <v>0.81</v>
          </cell>
          <cell r="C193">
            <v>0.19</v>
          </cell>
        </row>
        <row r="194">
          <cell r="A194" t="str">
            <v>Trinidad &amp; Tobago</v>
          </cell>
        </row>
        <row r="195">
          <cell r="A195" t="str">
            <v>Kuwait</v>
          </cell>
        </row>
        <row r="196">
          <cell r="A196" t="str">
            <v>Bahamas</v>
          </cell>
        </row>
        <row r="197">
          <cell r="A197" t="str">
            <v>Mayotte</v>
          </cell>
        </row>
        <row r="198">
          <cell r="A198" t="str">
            <v>Grenada</v>
          </cell>
        </row>
        <row r="199">
          <cell r="A199" t="str">
            <v>Suriname</v>
          </cell>
        </row>
        <row r="200">
          <cell r="A200" t="str">
            <v>French Guiana</v>
          </cell>
        </row>
        <row r="201">
          <cell r="A201" t="str">
            <v>Guam</v>
          </cell>
        </row>
        <row r="202">
          <cell r="A202" t="str">
            <v>Aruba</v>
          </cell>
        </row>
        <row r="203">
          <cell r="A203" t="str">
            <v>Turkey</v>
          </cell>
          <cell r="B203">
            <v>0.71</v>
          </cell>
          <cell r="C203">
            <v>0.28999999999999998</v>
          </cell>
        </row>
        <row r="204">
          <cell r="A204" t="str">
            <v>North Korea</v>
          </cell>
        </row>
        <row r="205">
          <cell r="A205" t="str">
            <v>Eritrea</v>
          </cell>
        </row>
        <row r="206">
          <cell r="A206" t="str">
            <v>Svalbard &amp; Jan Mayen</v>
          </cell>
        </row>
        <row r="207">
          <cell r="A207" t="str">
            <v>SÃ£o TomÃ© &amp; PrÃ­ncipe</v>
          </cell>
        </row>
        <row r="208">
          <cell r="A208" t="str">
            <v>Vanuatu</v>
          </cell>
        </row>
        <row r="209">
          <cell r="A209" t="str">
            <v>Guinea-Bissau</v>
          </cell>
        </row>
        <row r="210">
          <cell r="A210" t="str">
            <v>Marshall Islands</v>
          </cell>
        </row>
        <row r="211">
          <cell r="A211" t="str">
            <v>Dominica</v>
          </cell>
        </row>
        <row r="212">
          <cell r="A212" t="str">
            <v>San Marino</v>
          </cell>
        </row>
        <row r="213">
          <cell r="A213" t="str">
            <v>St. Martin</v>
          </cell>
        </row>
        <row r="214">
          <cell r="A214" t="str">
            <v>Palau</v>
          </cell>
        </row>
        <row r="215">
          <cell r="A215" t="str">
            <v>Comoros</v>
          </cell>
        </row>
        <row r="216">
          <cell r="A216" t="str">
            <v>Micronesia</v>
          </cell>
        </row>
        <row r="217">
          <cell r="A217" t="str">
            <v>Caribbean Netherlands</v>
          </cell>
        </row>
        <row r="218">
          <cell r="A218" t="str">
            <v>Northern Mariana Islands</v>
          </cell>
        </row>
        <row r="219">
          <cell r="A219" t="str">
            <v>Tonga</v>
          </cell>
        </row>
        <row r="220">
          <cell r="A220" t="str">
            <v>Central African Republic</v>
          </cell>
        </row>
        <row r="221">
          <cell r="A221" t="str">
            <v>British Virgin Islands</v>
          </cell>
        </row>
        <row r="222">
          <cell r="A222" t="str">
            <v>Samoa</v>
          </cell>
        </row>
        <row r="223">
          <cell r="A223" t="str">
            <v>Sint Maarten</v>
          </cell>
        </row>
        <row r="224">
          <cell r="A224" t="str">
            <v>Solomon Islands</v>
          </cell>
        </row>
        <row r="225">
          <cell r="A225" t="str">
            <v>St. Kitts &amp; Nevis</v>
          </cell>
        </row>
        <row r="226">
          <cell r="A226" t="str">
            <v>Turks &amp; Caicos Islands</v>
          </cell>
        </row>
        <row r="227">
          <cell r="A227" t="str">
            <v>U.S. Virgin Islands</v>
          </cell>
        </row>
        <row r="228">
          <cell r="A228" t="str">
            <v>Western Sahara</v>
          </cell>
        </row>
        <row r="229">
          <cell r="A229" t="str">
            <v>Anguilla</v>
          </cell>
        </row>
        <row r="230">
          <cell r="A230" t="str">
            <v>American Samoa</v>
          </cell>
        </row>
        <row r="231">
          <cell r="A231" t="str">
            <v>Antarctica</v>
          </cell>
        </row>
        <row r="232">
          <cell r="A232" t="str">
            <v>French Southern Territories</v>
          </cell>
        </row>
        <row r="233">
          <cell r="A233" t="str">
            <v>St. BarthÃ©lemy</v>
          </cell>
        </row>
        <row r="234">
          <cell r="A234" t="str">
            <v>Bouvet Island</v>
          </cell>
        </row>
        <row r="235">
          <cell r="A235" t="str">
            <v>Cocos (Keeling) Islands</v>
          </cell>
        </row>
        <row r="236">
          <cell r="A236" t="str">
            <v>Christmas Island</v>
          </cell>
        </row>
        <row r="237">
          <cell r="A237" t="str">
            <v>Falkland Islands (Islas Malvinas)</v>
          </cell>
        </row>
        <row r="238">
          <cell r="A238" t="str">
            <v>Heard &amp; McDonald Islands</v>
          </cell>
        </row>
        <row r="239">
          <cell r="A239" t="str">
            <v>British Indian Ocean Territory</v>
          </cell>
        </row>
        <row r="240">
          <cell r="A240" t="str">
            <v>Kiribati</v>
          </cell>
        </row>
        <row r="241">
          <cell r="A241" t="str">
            <v>Montserrat</v>
          </cell>
        </row>
        <row r="242">
          <cell r="A242" t="str">
            <v>Norfolk Island</v>
          </cell>
        </row>
        <row r="243">
          <cell r="A243" t="str">
            <v>Niue</v>
          </cell>
        </row>
        <row r="244">
          <cell r="A244" t="str">
            <v>Nauru</v>
          </cell>
        </row>
        <row r="245">
          <cell r="A245" t="str">
            <v>Pitcairn Islands</v>
          </cell>
        </row>
        <row r="246">
          <cell r="A246" t="str">
            <v>South Georgia &amp; South Sandwich Islands</v>
          </cell>
        </row>
        <row r="247">
          <cell r="A247" t="str">
            <v>St. Pierre &amp; Miquelon</v>
          </cell>
        </row>
        <row r="248">
          <cell r="A248" t="str">
            <v>Seychelles</v>
          </cell>
        </row>
        <row r="249">
          <cell r="A249" t="str">
            <v>Tokelau</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1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02)"/>
    </sheetNames>
    <sheetDataSet>
      <sheetData sheetId="0">
        <row r="1">
          <cell r="A1" t="str">
            <v>Category: All categories</v>
          </cell>
        </row>
        <row r="3">
          <cell r="A3" t="str">
            <v>Country</v>
          </cell>
          <cell r="B3" t="str">
            <v>Artificial neural network: (2018)</v>
          </cell>
          <cell r="C3" t="str">
            <v>Finite-state machine: (2018)</v>
          </cell>
        </row>
        <row r="4">
          <cell r="A4" t="str">
            <v>Micronesia</v>
          </cell>
          <cell r="C4">
            <v>1</v>
          </cell>
        </row>
        <row r="5">
          <cell r="A5" t="str">
            <v>China</v>
          </cell>
          <cell r="B5">
            <v>0.94</v>
          </cell>
          <cell r="C5">
            <v>0.06</v>
          </cell>
        </row>
        <row r="6">
          <cell r="A6" t="str">
            <v>South Korea</v>
          </cell>
          <cell r="B6">
            <v>0.92</v>
          </cell>
          <cell r="C6">
            <v>0.08</v>
          </cell>
        </row>
        <row r="7">
          <cell r="A7" t="str">
            <v>Guam</v>
          </cell>
          <cell r="C7">
            <v>1</v>
          </cell>
        </row>
        <row r="8">
          <cell r="A8" t="str">
            <v>Singapore</v>
          </cell>
          <cell r="B8">
            <v>0.69</v>
          </cell>
          <cell r="C8">
            <v>0.31</v>
          </cell>
        </row>
        <row r="9">
          <cell r="A9" t="str">
            <v>Maldives</v>
          </cell>
          <cell r="C9">
            <v>1</v>
          </cell>
        </row>
        <row r="10">
          <cell r="A10" t="str">
            <v>Cuba</v>
          </cell>
        </row>
        <row r="11">
          <cell r="A11" t="str">
            <v>Fiji</v>
          </cell>
        </row>
        <row r="12">
          <cell r="A12" t="str">
            <v>St. Helena</v>
          </cell>
          <cell r="B12">
            <v>0.78</v>
          </cell>
          <cell r="C12">
            <v>0.22</v>
          </cell>
        </row>
        <row r="13">
          <cell r="A13" t="str">
            <v>Ethiopia</v>
          </cell>
        </row>
        <row r="14">
          <cell r="A14" t="str">
            <v>Hong Kong</v>
          </cell>
          <cell r="B14">
            <v>0.83</v>
          </cell>
          <cell r="C14">
            <v>0.17</v>
          </cell>
        </row>
        <row r="15">
          <cell r="A15" t="str">
            <v>Taiwan</v>
          </cell>
          <cell r="B15">
            <v>0.88</v>
          </cell>
          <cell r="C15">
            <v>0.12</v>
          </cell>
        </row>
        <row r="16">
          <cell r="A16" t="str">
            <v>Zimbabwe</v>
          </cell>
        </row>
        <row r="17">
          <cell r="A17" t="str">
            <v>Nepal</v>
          </cell>
        </row>
        <row r="18">
          <cell r="A18" t="str">
            <v>Botswana</v>
          </cell>
        </row>
        <row r="19">
          <cell r="A19" t="str">
            <v>Israel</v>
          </cell>
          <cell r="B19">
            <v>0.69</v>
          </cell>
          <cell r="C19">
            <v>0.31</v>
          </cell>
        </row>
        <row r="20">
          <cell r="A20" t="str">
            <v>Pakistan</v>
          </cell>
          <cell r="B20">
            <v>0.84</v>
          </cell>
          <cell r="C20">
            <v>0.16</v>
          </cell>
        </row>
        <row r="21">
          <cell r="A21" t="str">
            <v>Iceland</v>
          </cell>
        </row>
        <row r="22">
          <cell r="A22" t="str">
            <v>Myanmar (Burma)</v>
          </cell>
        </row>
        <row r="23">
          <cell r="A23" t="str">
            <v>Russia</v>
          </cell>
          <cell r="B23">
            <v>0.88</v>
          </cell>
          <cell r="C23">
            <v>0.12</v>
          </cell>
        </row>
        <row r="24">
          <cell r="A24" t="str">
            <v>Macao</v>
          </cell>
        </row>
        <row r="25">
          <cell r="A25" t="str">
            <v>Croatia</v>
          </cell>
          <cell r="B25">
            <v>0.9</v>
          </cell>
          <cell r="C25">
            <v>0.1</v>
          </cell>
        </row>
        <row r="26">
          <cell r="A26" t="str">
            <v>India</v>
          </cell>
          <cell r="B26">
            <v>0.86</v>
          </cell>
          <cell r="C26">
            <v>0.14000000000000001</v>
          </cell>
        </row>
        <row r="27">
          <cell r="A27" t="str">
            <v>Sri Lanka</v>
          </cell>
          <cell r="B27">
            <v>0.89</v>
          </cell>
          <cell r="C27">
            <v>0.11</v>
          </cell>
        </row>
        <row r="28">
          <cell r="A28" t="str">
            <v>Bangladesh</v>
          </cell>
          <cell r="B28">
            <v>0.9</v>
          </cell>
          <cell r="C28">
            <v>0.1</v>
          </cell>
        </row>
        <row r="29">
          <cell r="A29" t="str">
            <v>Cambodia</v>
          </cell>
        </row>
        <row r="30">
          <cell r="A30" t="str">
            <v>Mongolia</v>
          </cell>
        </row>
        <row r="31">
          <cell r="A31" t="str">
            <v>Canada</v>
          </cell>
          <cell r="B31">
            <v>0.86</v>
          </cell>
          <cell r="C31">
            <v>0.14000000000000001</v>
          </cell>
        </row>
        <row r="32">
          <cell r="A32" t="str">
            <v>Rwanda</v>
          </cell>
        </row>
        <row r="33">
          <cell r="A33" t="str">
            <v>Tunisia</v>
          </cell>
          <cell r="B33">
            <v>0.79</v>
          </cell>
          <cell r="C33">
            <v>0.21</v>
          </cell>
        </row>
        <row r="34">
          <cell r="A34" t="str">
            <v>Switzerland</v>
          </cell>
          <cell r="B34">
            <v>0.86</v>
          </cell>
          <cell r="C34">
            <v>0.14000000000000001</v>
          </cell>
        </row>
        <row r="35">
          <cell r="A35" t="str">
            <v>United States</v>
          </cell>
          <cell r="B35">
            <v>0.84</v>
          </cell>
          <cell r="C35">
            <v>0.16</v>
          </cell>
        </row>
        <row r="36">
          <cell r="A36" t="str">
            <v>Belarus</v>
          </cell>
          <cell r="B36">
            <v>0.87</v>
          </cell>
          <cell r="C36">
            <v>0.13</v>
          </cell>
        </row>
        <row r="37">
          <cell r="A37" t="str">
            <v>Nigeria</v>
          </cell>
          <cell r="B37">
            <v>0.9</v>
          </cell>
          <cell r="C37">
            <v>0.1</v>
          </cell>
        </row>
        <row r="38">
          <cell r="A38" t="str">
            <v>Iran</v>
          </cell>
          <cell r="B38">
            <v>0.94</v>
          </cell>
          <cell r="C38">
            <v>0.06</v>
          </cell>
        </row>
        <row r="39">
          <cell r="A39" t="str">
            <v>Czechia</v>
          </cell>
          <cell r="B39">
            <v>0.88</v>
          </cell>
          <cell r="C39">
            <v>0.12</v>
          </cell>
        </row>
        <row r="40">
          <cell r="A40" t="str">
            <v>Cyprus</v>
          </cell>
        </row>
        <row r="41">
          <cell r="A41" t="str">
            <v>Kenya</v>
          </cell>
          <cell r="B41">
            <v>0.86</v>
          </cell>
          <cell r="C41">
            <v>0.14000000000000001</v>
          </cell>
        </row>
        <row r="42">
          <cell r="A42" t="str">
            <v>Mauritius</v>
          </cell>
        </row>
        <row r="43">
          <cell r="A43" t="str">
            <v>Madagascar</v>
          </cell>
        </row>
        <row r="44">
          <cell r="A44" t="str">
            <v>Ireland</v>
          </cell>
          <cell r="B44">
            <v>0.84</v>
          </cell>
          <cell r="C44">
            <v>0.16</v>
          </cell>
        </row>
        <row r="45">
          <cell r="A45" t="str">
            <v>Luxembourg</v>
          </cell>
        </row>
        <row r="46">
          <cell r="A46" t="str">
            <v>Cameroon</v>
          </cell>
        </row>
        <row r="47">
          <cell r="A47" t="str">
            <v>Malta</v>
          </cell>
        </row>
        <row r="48">
          <cell r="A48" t="str">
            <v>Australia</v>
          </cell>
          <cell r="B48">
            <v>0.8</v>
          </cell>
          <cell r="C48">
            <v>0.2</v>
          </cell>
        </row>
        <row r="49">
          <cell r="A49" t="str">
            <v>Lebanon</v>
          </cell>
        </row>
        <row r="50">
          <cell r="A50" t="str">
            <v>New Zealand</v>
          </cell>
          <cell r="B50">
            <v>0.76</v>
          </cell>
          <cell r="C50">
            <v>0.24</v>
          </cell>
        </row>
        <row r="51">
          <cell r="A51" t="str">
            <v>Finland</v>
          </cell>
          <cell r="B51">
            <v>0.85</v>
          </cell>
          <cell r="C51">
            <v>0.15</v>
          </cell>
        </row>
        <row r="52">
          <cell r="A52" t="str">
            <v>Norway</v>
          </cell>
          <cell r="B52">
            <v>0.79</v>
          </cell>
          <cell r="C52">
            <v>0.21</v>
          </cell>
        </row>
        <row r="53">
          <cell r="A53" t="str">
            <v>Germany</v>
          </cell>
          <cell r="B53">
            <v>0.82</v>
          </cell>
          <cell r="C53">
            <v>0.18</v>
          </cell>
        </row>
        <row r="54">
          <cell r="A54" t="str">
            <v>Malaysia</v>
          </cell>
          <cell r="B54">
            <v>0.78</v>
          </cell>
          <cell r="C54">
            <v>0.22</v>
          </cell>
        </row>
        <row r="55">
          <cell r="A55" t="str">
            <v>Philippines</v>
          </cell>
          <cell r="B55">
            <v>0.88</v>
          </cell>
          <cell r="C55">
            <v>0.12</v>
          </cell>
        </row>
        <row r="56">
          <cell r="A56" t="str">
            <v>United Kingdom</v>
          </cell>
          <cell r="B56">
            <v>0.8</v>
          </cell>
          <cell r="C56">
            <v>0.2</v>
          </cell>
        </row>
        <row r="57">
          <cell r="A57" t="str">
            <v>Japan</v>
          </cell>
          <cell r="B57">
            <v>0.9</v>
          </cell>
          <cell r="C57">
            <v>0.1</v>
          </cell>
        </row>
        <row r="58">
          <cell r="A58" t="str">
            <v>Sweden</v>
          </cell>
          <cell r="B58">
            <v>0.85</v>
          </cell>
          <cell r="C58">
            <v>0.15</v>
          </cell>
        </row>
        <row r="59">
          <cell r="A59" t="str">
            <v>Denmark</v>
          </cell>
          <cell r="B59">
            <v>0.87</v>
          </cell>
          <cell r="C59">
            <v>0.13</v>
          </cell>
        </row>
        <row r="60">
          <cell r="A60" t="str">
            <v>South Africa</v>
          </cell>
          <cell r="B60">
            <v>0.85</v>
          </cell>
          <cell r="C60">
            <v>0.15</v>
          </cell>
        </row>
        <row r="61">
          <cell r="A61" t="str">
            <v>Netherlands</v>
          </cell>
          <cell r="B61">
            <v>0.86</v>
          </cell>
          <cell r="C61">
            <v>0.14000000000000001</v>
          </cell>
        </row>
        <row r="62">
          <cell r="A62" t="str">
            <v>Latvia</v>
          </cell>
        </row>
        <row r="63">
          <cell r="A63" t="str">
            <v>Algeria</v>
          </cell>
        </row>
        <row r="64">
          <cell r="A64" t="str">
            <v>Sudan</v>
          </cell>
        </row>
        <row r="65">
          <cell r="A65" t="str">
            <v>Ghana</v>
          </cell>
        </row>
        <row r="66">
          <cell r="A66" t="str">
            <v>Ukraine</v>
          </cell>
          <cell r="B66">
            <v>0.87</v>
          </cell>
          <cell r="C66">
            <v>0.13</v>
          </cell>
        </row>
        <row r="67">
          <cell r="A67" t="str">
            <v>Armenia</v>
          </cell>
        </row>
        <row r="68">
          <cell r="A68" t="str">
            <v>Estonia</v>
          </cell>
        </row>
        <row r="69">
          <cell r="A69" t="str">
            <v>Lithuania</v>
          </cell>
        </row>
        <row r="70">
          <cell r="A70" t="str">
            <v>Laos</v>
          </cell>
        </row>
        <row r="71">
          <cell r="A71" t="str">
            <v>Indonesia</v>
          </cell>
          <cell r="B71">
            <v>0.91</v>
          </cell>
          <cell r="C71">
            <v>0.09</v>
          </cell>
        </row>
        <row r="72">
          <cell r="A72" t="str">
            <v>Greece</v>
          </cell>
          <cell r="B72">
            <v>0.83</v>
          </cell>
          <cell r="C72">
            <v>0.17</v>
          </cell>
        </row>
        <row r="73">
          <cell r="A73" t="str">
            <v>Kazakhstan</v>
          </cell>
          <cell r="B73">
            <v>0.9</v>
          </cell>
          <cell r="C73">
            <v>0.1</v>
          </cell>
        </row>
        <row r="74">
          <cell r="A74" t="str">
            <v>Austria</v>
          </cell>
          <cell r="B74">
            <v>0.82</v>
          </cell>
          <cell r="C74">
            <v>0.18</v>
          </cell>
        </row>
        <row r="75">
          <cell r="A75" t="str">
            <v>Trinidad &amp; Tobago</v>
          </cell>
        </row>
        <row r="76">
          <cell r="A76" t="str">
            <v>Syria</v>
          </cell>
        </row>
        <row r="77">
          <cell r="A77" t="str">
            <v>United Arab Emirates</v>
          </cell>
          <cell r="B77">
            <v>0.84</v>
          </cell>
          <cell r="C77">
            <v>0.16</v>
          </cell>
        </row>
        <row r="78">
          <cell r="A78" t="str">
            <v>Portugal</v>
          </cell>
          <cell r="B78">
            <v>0.81</v>
          </cell>
          <cell r="C78">
            <v>0.19</v>
          </cell>
        </row>
        <row r="79">
          <cell r="A79" t="str">
            <v>Tanzania</v>
          </cell>
        </row>
        <row r="80">
          <cell r="A80" t="str">
            <v>Iraq</v>
          </cell>
        </row>
        <row r="81">
          <cell r="A81" t="str">
            <v>Morocco</v>
          </cell>
        </row>
        <row r="82">
          <cell r="A82" t="str">
            <v>Uganda</v>
          </cell>
        </row>
        <row r="83">
          <cell r="A83" t="str">
            <v>Jamaica</v>
          </cell>
        </row>
        <row r="84">
          <cell r="A84" t="str">
            <v>Belgium</v>
          </cell>
          <cell r="B84">
            <v>0.84</v>
          </cell>
          <cell r="C84">
            <v>0.16</v>
          </cell>
        </row>
        <row r="85">
          <cell r="A85" t="str">
            <v>North Macedonia</v>
          </cell>
        </row>
        <row r="86">
          <cell r="A86" t="str">
            <v>Brunei</v>
          </cell>
        </row>
        <row r="87">
          <cell r="A87" t="str">
            <v>Egypt</v>
          </cell>
          <cell r="B87">
            <v>0.89</v>
          </cell>
          <cell r="C87">
            <v>0.11</v>
          </cell>
        </row>
        <row r="88">
          <cell r="A88" t="str">
            <v>Libya</v>
          </cell>
        </row>
        <row r="89">
          <cell r="A89" t="str">
            <v>Poland</v>
          </cell>
          <cell r="B89">
            <v>0.87</v>
          </cell>
          <cell r="C89">
            <v>0.13</v>
          </cell>
        </row>
        <row r="90">
          <cell r="A90" t="str">
            <v>Peru</v>
          </cell>
          <cell r="B90">
            <v>0.9</v>
          </cell>
          <cell r="C90">
            <v>0.1</v>
          </cell>
        </row>
        <row r="91">
          <cell r="A91" t="str">
            <v>Slovenia</v>
          </cell>
        </row>
        <row r="92">
          <cell r="A92" t="str">
            <v>Oman</v>
          </cell>
        </row>
        <row r="93">
          <cell r="A93" t="str">
            <v>Albania</v>
          </cell>
        </row>
        <row r="94">
          <cell r="A94" t="str">
            <v>Bulgaria</v>
          </cell>
          <cell r="B94">
            <v>0.79</v>
          </cell>
          <cell r="C94">
            <v>0.21</v>
          </cell>
        </row>
        <row r="95">
          <cell r="A95" t="str">
            <v>Moldova</v>
          </cell>
        </row>
        <row r="96">
          <cell r="A96" t="str">
            <v>Bhutan</v>
          </cell>
        </row>
        <row r="97">
          <cell r="A97" t="str">
            <v>Afghanistan</v>
          </cell>
        </row>
        <row r="98">
          <cell r="A98" t="str">
            <v>Bolivia</v>
          </cell>
        </row>
        <row r="99">
          <cell r="A99" t="str">
            <v>Serbia</v>
          </cell>
          <cell r="B99">
            <v>0.74</v>
          </cell>
          <cell r="C99">
            <v>0.26</v>
          </cell>
        </row>
        <row r="100">
          <cell r="A100" t="str">
            <v>Slovakia</v>
          </cell>
          <cell r="B100">
            <v>0.76</v>
          </cell>
          <cell r="C100">
            <v>0.24</v>
          </cell>
        </row>
        <row r="101">
          <cell r="A101" t="str">
            <v>Colombia</v>
          </cell>
          <cell r="B101">
            <v>0.85</v>
          </cell>
          <cell r="C101">
            <v>0.15</v>
          </cell>
        </row>
        <row r="102">
          <cell r="A102" t="str">
            <v>France</v>
          </cell>
          <cell r="B102">
            <v>0.9</v>
          </cell>
          <cell r="C102">
            <v>0.1</v>
          </cell>
        </row>
        <row r="103">
          <cell r="A103" t="str">
            <v>Jordan</v>
          </cell>
        </row>
        <row r="104">
          <cell r="A104" t="str">
            <v>Bahrain</v>
          </cell>
        </row>
        <row r="105">
          <cell r="A105" t="str">
            <v>Hungary</v>
          </cell>
          <cell r="B105">
            <v>0.76</v>
          </cell>
          <cell r="C105">
            <v>0.24</v>
          </cell>
        </row>
        <row r="106">
          <cell r="A106" t="str">
            <v>Spain</v>
          </cell>
          <cell r="B106">
            <v>0.9</v>
          </cell>
          <cell r="C106">
            <v>0.1</v>
          </cell>
        </row>
        <row r="107">
          <cell r="A107" t="str">
            <v>Romania</v>
          </cell>
          <cell r="B107">
            <v>0.71</v>
          </cell>
          <cell r="C107">
            <v>0.28999999999999998</v>
          </cell>
        </row>
        <row r="108">
          <cell r="A108" t="str">
            <v>Italy</v>
          </cell>
          <cell r="B108">
            <v>0.85</v>
          </cell>
          <cell r="C108">
            <v>0.15</v>
          </cell>
        </row>
        <row r="109">
          <cell r="A109" t="str">
            <v>Qatar</v>
          </cell>
        </row>
        <row r="110">
          <cell r="A110" t="str">
            <v>Chile</v>
          </cell>
          <cell r="B110">
            <v>0.91</v>
          </cell>
          <cell r="C110">
            <v>0.09</v>
          </cell>
        </row>
        <row r="111">
          <cell r="A111" t="str">
            <v>Costa Rica</v>
          </cell>
        </row>
        <row r="112">
          <cell r="A112" t="str">
            <v>Ecuador</v>
          </cell>
          <cell r="B112">
            <v>0.86</v>
          </cell>
          <cell r="C112">
            <v>0.14000000000000001</v>
          </cell>
        </row>
        <row r="113">
          <cell r="A113" t="str">
            <v>Georgia</v>
          </cell>
        </row>
        <row r="114">
          <cell r="A114" t="str">
            <v>Mexico</v>
          </cell>
          <cell r="B114">
            <v>0.81</v>
          </cell>
          <cell r="C114">
            <v>0.19</v>
          </cell>
        </row>
        <row r="115">
          <cell r="A115" t="str">
            <v>Uzbekistan</v>
          </cell>
        </row>
        <row r="116">
          <cell r="A116" t="str">
            <v>Thailand</v>
          </cell>
          <cell r="B116">
            <v>0.87</v>
          </cell>
          <cell r="C116">
            <v>0.13</v>
          </cell>
        </row>
        <row r="117">
          <cell r="A117" t="str">
            <v>Bosnia &amp; Herzegovina</v>
          </cell>
        </row>
        <row r="118">
          <cell r="A118" t="str">
            <v>Turkey</v>
          </cell>
          <cell r="B118">
            <v>0.79</v>
          </cell>
          <cell r="C118">
            <v>0.21</v>
          </cell>
        </row>
        <row r="119">
          <cell r="A119" t="str">
            <v>Somalia</v>
          </cell>
        </row>
        <row r="120">
          <cell r="A120" t="str">
            <v>Kyrgyzstan</v>
          </cell>
        </row>
        <row r="121">
          <cell r="A121" t="str">
            <v>Kuwait</v>
          </cell>
        </row>
        <row r="122">
          <cell r="A122" t="str">
            <v>Yemen</v>
          </cell>
        </row>
        <row r="123">
          <cell r="A123" t="str">
            <v>Saudi Arabia</v>
          </cell>
          <cell r="B123">
            <v>0.91</v>
          </cell>
          <cell r="C123">
            <v>0.09</v>
          </cell>
        </row>
        <row r="124">
          <cell r="A124" t="str">
            <v>Palestine</v>
          </cell>
        </row>
        <row r="125">
          <cell r="A125" t="str">
            <v>Honduras</v>
          </cell>
        </row>
        <row r="126">
          <cell r="A126" t="str">
            <v>Vietnam</v>
          </cell>
          <cell r="B126">
            <v>0.84</v>
          </cell>
          <cell r="C126">
            <v>0.16</v>
          </cell>
        </row>
        <row r="127">
          <cell r="A127" t="str">
            <v>Azerbaijan</v>
          </cell>
        </row>
        <row r="128">
          <cell r="A128" t="str">
            <v>Brazil</v>
          </cell>
          <cell r="B128">
            <v>0.87</v>
          </cell>
          <cell r="C128">
            <v>0.13</v>
          </cell>
        </row>
        <row r="129">
          <cell r="A129" t="str">
            <v>El Salvador</v>
          </cell>
        </row>
        <row r="130">
          <cell r="A130" t="str">
            <v>Uruguay</v>
          </cell>
        </row>
        <row r="131">
          <cell r="A131" t="str">
            <v>Panama</v>
          </cell>
        </row>
        <row r="132">
          <cell r="A132" t="str">
            <v>Puerto Rico</v>
          </cell>
        </row>
        <row r="133">
          <cell r="A133" t="str">
            <v>Argentina</v>
          </cell>
          <cell r="B133">
            <v>0.86</v>
          </cell>
          <cell r="C133">
            <v>0.14000000000000001</v>
          </cell>
        </row>
        <row r="134">
          <cell r="A134" t="str">
            <v>Paraguay</v>
          </cell>
        </row>
        <row r="135">
          <cell r="A135" t="str">
            <v>Dominican Republic</v>
          </cell>
        </row>
        <row r="136">
          <cell r="A136" t="str">
            <v>Guatemala</v>
          </cell>
        </row>
        <row r="137">
          <cell r="A137" t="str">
            <v>Venezuela</v>
          </cell>
        </row>
        <row r="138">
          <cell r="A138" t="str">
            <v>North Korea</v>
          </cell>
        </row>
        <row r="139">
          <cell r="A139" t="str">
            <v>Eritrea</v>
          </cell>
        </row>
        <row r="140">
          <cell r="A140" t="str">
            <v>Vanuatu</v>
          </cell>
        </row>
        <row r="141">
          <cell r="A141" t="str">
            <v>U.S. Virgin Islands</v>
          </cell>
        </row>
        <row r="142">
          <cell r="A142" t="str">
            <v>Dominica</v>
          </cell>
        </row>
        <row r="143">
          <cell r="A143" t="str">
            <v>Liberia</v>
          </cell>
        </row>
        <row r="144">
          <cell r="A144" t="str">
            <v>Caribbean Netherlands</v>
          </cell>
        </row>
        <row r="145">
          <cell r="A145" t="str">
            <v>Gambia</v>
          </cell>
        </row>
        <row r="146">
          <cell r="A146" t="str">
            <v>Bermuda</v>
          </cell>
        </row>
        <row r="147">
          <cell r="A147" t="str">
            <v>Sint Maarten</v>
          </cell>
        </row>
        <row r="148">
          <cell r="A148" t="str">
            <v>Gibraltar</v>
          </cell>
        </row>
        <row r="149">
          <cell r="A149" t="str">
            <v>Timor-Leste</v>
          </cell>
        </row>
        <row r="150">
          <cell r="A150" t="str">
            <v>Turks &amp; Caicos Islands</v>
          </cell>
        </row>
        <row r="151">
          <cell r="A151" t="str">
            <v>Guyana</v>
          </cell>
        </row>
        <row r="152">
          <cell r="A152" t="str">
            <v>Belize</v>
          </cell>
        </row>
        <row r="153">
          <cell r="A153" t="str">
            <v>Greenland</v>
          </cell>
        </row>
        <row r="154">
          <cell r="A154" t="str">
            <v>Eswatini</v>
          </cell>
        </row>
        <row r="155">
          <cell r="A155" t="str">
            <v>Aruba</v>
          </cell>
        </row>
        <row r="156">
          <cell r="A156" t="str">
            <v>Antigua &amp; Barbuda</v>
          </cell>
        </row>
        <row r="157">
          <cell r="A157" t="str">
            <v>Papua New Guinea</v>
          </cell>
        </row>
        <row r="158">
          <cell r="A158" t="str">
            <v>Togo</v>
          </cell>
        </row>
        <row r="159">
          <cell r="A159" t="str">
            <v>Djibouti</v>
          </cell>
        </row>
        <row r="160">
          <cell r="A160" t="str">
            <v>Grenada</v>
          </cell>
        </row>
        <row r="161">
          <cell r="A161" t="str">
            <v>Benin</v>
          </cell>
        </row>
        <row r="162">
          <cell r="A162" t="str">
            <v>Seychelles</v>
          </cell>
        </row>
        <row r="163">
          <cell r="A163" t="str">
            <v>Mayotte</v>
          </cell>
        </row>
        <row r="164">
          <cell r="A164" t="str">
            <v>Namibia</v>
          </cell>
        </row>
        <row r="165">
          <cell r="A165" t="str">
            <v>Isle of Man</v>
          </cell>
        </row>
        <row r="166">
          <cell r="A166" t="str">
            <v>Faroe Islands</v>
          </cell>
        </row>
        <row r="167">
          <cell r="A167" t="str">
            <v>Liechtenstein</v>
          </cell>
        </row>
        <row r="168">
          <cell r="A168" t="str">
            <v>St. Vincent &amp; Grenadines</v>
          </cell>
        </row>
        <row r="169">
          <cell r="A169" t="str">
            <v>Jersey</v>
          </cell>
        </row>
        <row r="170">
          <cell r="A170" t="str">
            <v>Bahamas</v>
          </cell>
        </row>
        <row r="171">
          <cell r="A171" t="str">
            <v>Monaco</v>
          </cell>
        </row>
        <row r="172">
          <cell r="A172" t="str">
            <v>Kosovo</v>
          </cell>
        </row>
        <row r="173">
          <cell r="A173" t="str">
            <v>Barbados</v>
          </cell>
        </row>
        <row r="174">
          <cell r="A174" t="str">
            <v>Zambia</v>
          </cell>
        </row>
        <row r="175">
          <cell r="A175" t="str">
            <v>Lesotho</v>
          </cell>
        </row>
        <row r="176">
          <cell r="A176" t="str">
            <v>Cape Verde</v>
          </cell>
        </row>
        <row r="177">
          <cell r="A177" t="str">
            <v>Angola</v>
          </cell>
        </row>
        <row r="178">
          <cell r="A178" t="str">
            <v>South Sudan</v>
          </cell>
        </row>
        <row r="179">
          <cell r="A179" t="str">
            <v>Burundi</v>
          </cell>
        </row>
        <row r="180">
          <cell r="A180" t="str">
            <v>St. Lucia</v>
          </cell>
        </row>
        <row r="181">
          <cell r="A181" t="str">
            <v>Haiti</v>
          </cell>
        </row>
        <row r="182">
          <cell r="A182" t="str">
            <v>CuraÃ§ao</v>
          </cell>
        </row>
        <row r="183">
          <cell r="A183" t="str">
            <v>Guernsey</v>
          </cell>
        </row>
        <row r="184">
          <cell r="A184" t="str">
            <v>Nicaragua</v>
          </cell>
        </row>
        <row r="185">
          <cell r="A185" t="str">
            <v>Mauritania</v>
          </cell>
        </row>
        <row r="186">
          <cell r="A186" t="str">
            <v>Congo - Kinshasa</v>
          </cell>
        </row>
        <row r="187">
          <cell r="A187" t="str">
            <v>Malawi</v>
          </cell>
        </row>
        <row r="188">
          <cell r="A188" t="str">
            <v>Mozambique</v>
          </cell>
        </row>
        <row r="189">
          <cell r="A189" t="str">
            <v>Senegal</v>
          </cell>
        </row>
        <row r="190">
          <cell r="A190" t="str">
            <v>Gabon</v>
          </cell>
        </row>
        <row r="191">
          <cell r="A191" t="str">
            <v>French Guiana</v>
          </cell>
        </row>
        <row r="192">
          <cell r="A192" t="str">
            <v>French Polynesia</v>
          </cell>
        </row>
        <row r="193">
          <cell r="A193" t="str">
            <v>Suriname</v>
          </cell>
        </row>
        <row r="194">
          <cell r="A194" t="str">
            <v>Turkmenistan</v>
          </cell>
        </row>
        <row r="195">
          <cell r="A195" t="str">
            <v>New Caledonia</v>
          </cell>
        </row>
        <row r="196">
          <cell r="A196" t="str">
            <v>Mali</v>
          </cell>
        </row>
        <row r="197">
          <cell r="A197" t="str">
            <v>RÃ©union</v>
          </cell>
        </row>
        <row r="198">
          <cell r="A198" t="str">
            <v>Tajikistan</v>
          </cell>
        </row>
        <row r="199">
          <cell r="A199" t="str">
            <v>Montenegro</v>
          </cell>
        </row>
        <row r="200">
          <cell r="A200" t="str">
            <v>Guinea</v>
          </cell>
        </row>
        <row r="201">
          <cell r="A201" t="str">
            <v>Martinique</v>
          </cell>
        </row>
        <row r="202">
          <cell r="A202" t="str">
            <v>CÃ´te dâ€™Ivoire</v>
          </cell>
        </row>
        <row r="203">
          <cell r="A203" t="str">
            <v>Guadeloupe</v>
          </cell>
        </row>
        <row r="204">
          <cell r="A204" t="str">
            <v>Anguilla</v>
          </cell>
        </row>
        <row r="205">
          <cell r="A205" t="str">
            <v>Ã…land Islands</v>
          </cell>
        </row>
        <row r="206">
          <cell r="A206" t="str">
            <v>Andorra</v>
          </cell>
        </row>
        <row r="207">
          <cell r="A207" t="str">
            <v>American Samoa</v>
          </cell>
        </row>
        <row r="208">
          <cell r="A208" t="str">
            <v>Antarctica</v>
          </cell>
        </row>
        <row r="209">
          <cell r="A209" t="str">
            <v>French Southern Territories</v>
          </cell>
        </row>
        <row r="210">
          <cell r="A210" t="str">
            <v>Burkina Faso</v>
          </cell>
        </row>
        <row r="211">
          <cell r="A211" t="str">
            <v>St. BarthÃ©lemy</v>
          </cell>
        </row>
        <row r="212">
          <cell r="A212" t="str">
            <v>Bouvet Island</v>
          </cell>
        </row>
        <row r="213">
          <cell r="A213" t="str">
            <v>Central African Republic</v>
          </cell>
        </row>
        <row r="214">
          <cell r="A214" t="str">
            <v>Cocos (Keeling) Islands</v>
          </cell>
        </row>
        <row r="215">
          <cell r="A215" t="str">
            <v>Congo - Brazzaville</v>
          </cell>
        </row>
        <row r="216">
          <cell r="A216" t="str">
            <v>Cook Islands</v>
          </cell>
        </row>
        <row r="217">
          <cell r="A217" t="str">
            <v>Comoros</v>
          </cell>
        </row>
        <row r="218">
          <cell r="A218" t="str">
            <v>Christmas Island</v>
          </cell>
        </row>
        <row r="219">
          <cell r="A219" t="str">
            <v>Cayman Islands</v>
          </cell>
        </row>
        <row r="220">
          <cell r="A220" t="str">
            <v>Western Sahara</v>
          </cell>
        </row>
        <row r="221">
          <cell r="A221" t="str">
            <v>Falkland Islands (Islas Malvinas)</v>
          </cell>
        </row>
        <row r="222">
          <cell r="A222" t="str">
            <v>Guinea-Bissau</v>
          </cell>
        </row>
        <row r="223">
          <cell r="A223" t="str">
            <v>Equatorial Guinea</v>
          </cell>
        </row>
        <row r="224">
          <cell r="A224" t="str">
            <v>Heard &amp; McDonald Islands</v>
          </cell>
        </row>
        <row r="225">
          <cell r="A225" t="str">
            <v>British Indian Ocean Territory</v>
          </cell>
        </row>
        <row r="226">
          <cell r="A226" t="str">
            <v>Kiribati</v>
          </cell>
        </row>
        <row r="227">
          <cell r="A227" t="str">
            <v>St. Kitts &amp; Nevis</v>
          </cell>
        </row>
        <row r="228">
          <cell r="A228" t="str">
            <v>St. Martin</v>
          </cell>
        </row>
        <row r="229">
          <cell r="A229" t="str">
            <v>Marshall Islands</v>
          </cell>
        </row>
        <row r="230">
          <cell r="A230" t="str">
            <v>Northern Mariana Islands</v>
          </cell>
        </row>
        <row r="231">
          <cell r="A231" t="str">
            <v>Montserrat</v>
          </cell>
        </row>
        <row r="232">
          <cell r="A232" t="str">
            <v>Niger</v>
          </cell>
        </row>
        <row r="233">
          <cell r="A233" t="str">
            <v>Norfolk Island</v>
          </cell>
        </row>
        <row r="234">
          <cell r="A234" t="str">
            <v>Niue</v>
          </cell>
        </row>
        <row r="235">
          <cell r="A235" t="str">
            <v>Nauru</v>
          </cell>
        </row>
        <row r="236">
          <cell r="A236" t="str">
            <v>Pitcairn Islands</v>
          </cell>
        </row>
        <row r="237">
          <cell r="A237" t="str">
            <v>Palau</v>
          </cell>
        </row>
        <row r="238">
          <cell r="A238" t="str">
            <v>South Georgia &amp; South Sandwich Islands</v>
          </cell>
        </row>
        <row r="239">
          <cell r="A239" t="str">
            <v>Svalbard &amp; Jan Mayen</v>
          </cell>
        </row>
        <row r="240">
          <cell r="A240" t="str">
            <v>Solomon Islands</v>
          </cell>
        </row>
        <row r="241">
          <cell r="A241" t="str">
            <v>Sierra Leone</v>
          </cell>
        </row>
        <row r="242">
          <cell r="A242" t="str">
            <v>San Marino</v>
          </cell>
        </row>
        <row r="243">
          <cell r="A243" t="str">
            <v>St. Pierre &amp; Miquelon</v>
          </cell>
        </row>
        <row r="244">
          <cell r="A244" t="str">
            <v>SÃ£o TomÃ© &amp; PrÃ­ncipe</v>
          </cell>
        </row>
        <row r="245">
          <cell r="A245" t="str">
            <v>Chad</v>
          </cell>
        </row>
        <row r="246">
          <cell r="A246" t="str">
            <v>Tokelau</v>
          </cell>
        </row>
        <row r="247">
          <cell r="A247" t="str">
            <v>Tonga</v>
          </cell>
        </row>
        <row r="248">
          <cell r="A248" t="str">
            <v>Tuvalu</v>
          </cell>
        </row>
        <row r="249">
          <cell r="A249" t="str">
            <v>U.S. Outlying Islands</v>
          </cell>
        </row>
        <row r="250">
          <cell r="A250" t="str">
            <v>Vatican City</v>
          </cell>
        </row>
        <row r="251">
          <cell r="A251" t="str">
            <v>British Virgin Islands</v>
          </cell>
        </row>
        <row r="252">
          <cell r="A252" t="str">
            <v>Wallis &amp; Futuna</v>
          </cell>
        </row>
        <row r="253">
          <cell r="A253" t="str">
            <v>Samoa</v>
          </cell>
        </row>
      </sheetData>
    </sheetDataSet>
  </externalBook>
</externalLink>
</file>

<file path=xl/externalLinks/externalLink1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75)"/>
    </sheetNames>
    <sheetDataSet>
      <sheetData sheetId="0">
        <row r="1">
          <cell r="A1" t="str">
            <v>Category: All categories</v>
          </cell>
        </row>
        <row r="3">
          <cell r="A3" t="str">
            <v>Country</v>
          </cell>
          <cell r="B3" t="str">
            <v>Java: (2018)</v>
          </cell>
          <cell r="C3" t="str">
            <v>For loop: (2018)</v>
          </cell>
        </row>
        <row r="4">
          <cell r="A4" t="str">
            <v>China</v>
          </cell>
          <cell r="B4">
            <v>0.93</v>
          </cell>
          <cell r="C4">
            <v>7.0000000000000007E-2</v>
          </cell>
        </row>
        <row r="5">
          <cell r="A5" t="str">
            <v>Madagascar</v>
          </cell>
        </row>
        <row r="6">
          <cell r="A6" t="str">
            <v>Bangladesh</v>
          </cell>
          <cell r="B6">
            <v>0.98</v>
          </cell>
          <cell r="C6">
            <v>0.02</v>
          </cell>
        </row>
        <row r="7">
          <cell r="A7" t="str">
            <v>St. Helena</v>
          </cell>
          <cell r="B7">
            <v>0.92</v>
          </cell>
          <cell r="C7">
            <v>0.08</v>
          </cell>
        </row>
        <row r="8">
          <cell r="A8" t="str">
            <v>Ethiopia</v>
          </cell>
        </row>
        <row r="9">
          <cell r="A9" t="str">
            <v>Cameroon</v>
          </cell>
        </row>
        <row r="10">
          <cell r="A10" t="str">
            <v>Eritrea</v>
          </cell>
        </row>
        <row r="11">
          <cell r="A11" t="str">
            <v>South Korea</v>
          </cell>
          <cell r="B11">
            <v>0.9</v>
          </cell>
          <cell r="C11">
            <v>0.1</v>
          </cell>
        </row>
        <row r="12">
          <cell r="A12" t="str">
            <v>Burundi</v>
          </cell>
        </row>
        <row r="13">
          <cell r="A13" t="str">
            <v>Togo</v>
          </cell>
        </row>
        <row r="14">
          <cell r="A14" t="str">
            <v>Sierra Leone</v>
          </cell>
        </row>
        <row r="15">
          <cell r="A15" t="str">
            <v>Benin</v>
          </cell>
        </row>
        <row r="16">
          <cell r="A16" t="str">
            <v>Zambia</v>
          </cell>
        </row>
        <row r="17">
          <cell r="A17" t="str">
            <v>India</v>
          </cell>
          <cell r="B17">
            <v>0.95</v>
          </cell>
          <cell r="C17">
            <v>0.05</v>
          </cell>
        </row>
        <row r="18">
          <cell r="A18" t="str">
            <v>Sri Lanka</v>
          </cell>
          <cell r="B18">
            <v>0.94</v>
          </cell>
          <cell r="C18">
            <v>0.06</v>
          </cell>
        </row>
        <row r="19">
          <cell r="A19" t="str">
            <v>Malawi</v>
          </cell>
        </row>
        <row r="20">
          <cell r="A20" t="str">
            <v>Nigeria</v>
          </cell>
          <cell r="B20">
            <v>0.99</v>
          </cell>
          <cell r="C20">
            <v>0.01</v>
          </cell>
        </row>
        <row r="21">
          <cell r="A21" t="str">
            <v>Uganda</v>
          </cell>
        </row>
        <row r="22">
          <cell r="A22" t="str">
            <v>Cuba</v>
          </cell>
        </row>
        <row r="23">
          <cell r="A23" t="str">
            <v>Ã…land Islands</v>
          </cell>
        </row>
        <row r="24">
          <cell r="A24" t="str">
            <v>SÃ£o TomÃ© &amp; PrÃ­ncipe</v>
          </cell>
        </row>
        <row r="25">
          <cell r="A25" t="str">
            <v>Congo - Kinshasa</v>
          </cell>
        </row>
        <row r="26">
          <cell r="A26" t="str">
            <v>Rwanda</v>
          </cell>
        </row>
        <row r="27">
          <cell r="A27" t="str">
            <v>Guinea</v>
          </cell>
        </row>
        <row r="28">
          <cell r="A28" t="str">
            <v>Mozambique</v>
          </cell>
        </row>
        <row r="29">
          <cell r="A29" t="str">
            <v>Burkina Faso</v>
          </cell>
        </row>
        <row r="30">
          <cell r="A30" t="str">
            <v>Myanmar (Burma)</v>
          </cell>
        </row>
        <row r="31">
          <cell r="A31" t="str">
            <v>Congo - Brazzaville</v>
          </cell>
        </row>
        <row r="32">
          <cell r="A32" t="str">
            <v>Singapore</v>
          </cell>
          <cell r="B32">
            <v>0.88</v>
          </cell>
          <cell r="C32">
            <v>0.12</v>
          </cell>
        </row>
        <row r="33">
          <cell r="A33" t="str">
            <v>Uzbekistan</v>
          </cell>
        </row>
        <row r="34">
          <cell r="A34" t="str">
            <v>Botswana</v>
          </cell>
        </row>
        <row r="35">
          <cell r="A35" t="str">
            <v>Tunisia</v>
          </cell>
          <cell r="B35">
            <v>0.95</v>
          </cell>
          <cell r="C35">
            <v>0.05</v>
          </cell>
        </row>
        <row r="36">
          <cell r="A36" t="str">
            <v>Luxembourg</v>
          </cell>
        </row>
        <row r="37">
          <cell r="A37" t="str">
            <v>CÃ´te dâ€™Ivoire</v>
          </cell>
        </row>
        <row r="38">
          <cell r="A38" t="str">
            <v>Nepal</v>
          </cell>
        </row>
        <row r="39">
          <cell r="A39" t="str">
            <v>Estonia</v>
          </cell>
        </row>
        <row r="40">
          <cell r="A40" t="str">
            <v>Israel</v>
          </cell>
          <cell r="B40">
            <v>0.91</v>
          </cell>
          <cell r="C40">
            <v>0.09</v>
          </cell>
        </row>
        <row r="41">
          <cell r="A41" t="str">
            <v>Belarus</v>
          </cell>
          <cell r="B41">
            <v>0.95</v>
          </cell>
          <cell r="C41">
            <v>0.05</v>
          </cell>
        </row>
        <row r="42">
          <cell r="A42" t="str">
            <v>Angola</v>
          </cell>
        </row>
        <row r="43">
          <cell r="A43" t="str">
            <v>Pakistan</v>
          </cell>
          <cell r="B43">
            <v>0.89</v>
          </cell>
          <cell r="C43">
            <v>0.11</v>
          </cell>
        </row>
        <row r="44">
          <cell r="A44" t="str">
            <v>Niger</v>
          </cell>
        </row>
        <row r="45">
          <cell r="A45" t="str">
            <v>Guinea-Bissau</v>
          </cell>
        </row>
        <row r="46">
          <cell r="A46" t="str">
            <v>Central African Republic</v>
          </cell>
        </row>
        <row r="47">
          <cell r="A47" t="str">
            <v>North Macedonia</v>
          </cell>
        </row>
        <row r="48">
          <cell r="A48" t="str">
            <v>Hong Kong</v>
          </cell>
          <cell r="B48">
            <v>0.87</v>
          </cell>
          <cell r="C48">
            <v>0.13</v>
          </cell>
        </row>
        <row r="49">
          <cell r="A49" t="str">
            <v>Chad</v>
          </cell>
        </row>
        <row r="50">
          <cell r="A50" t="str">
            <v>Zimbabwe</v>
          </cell>
        </row>
        <row r="51">
          <cell r="A51" t="str">
            <v>Armenia</v>
          </cell>
        </row>
        <row r="52">
          <cell r="A52" t="str">
            <v>Mali</v>
          </cell>
        </row>
        <row r="53">
          <cell r="A53" t="str">
            <v>Lesotho</v>
          </cell>
        </row>
        <row r="54">
          <cell r="A54" t="str">
            <v>Tanzania</v>
          </cell>
        </row>
        <row r="55">
          <cell r="A55" t="str">
            <v>Switzerland</v>
          </cell>
          <cell r="B55">
            <v>0.9</v>
          </cell>
          <cell r="C55">
            <v>0.1</v>
          </cell>
        </row>
        <row r="56">
          <cell r="A56" t="str">
            <v>Albania</v>
          </cell>
        </row>
        <row r="57">
          <cell r="A57" t="str">
            <v>Ecuador</v>
          </cell>
          <cell r="B57">
            <v>0.95</v>
          </cell>
          <cell r="C57">
            <v>0.05</v>
          </cell>
        </row>
        <row r="58">
          <cell r="A58" t="str">
            <v>Mauritius</v>
          </cell>
        </row>
        <row r="59">
          <cell r="A59" t="str">
            <v>Eswatini</v>
          </cell>
        </row>
        <row r="60">
          <cell r="A60" t="str">
            <v>Germany</v>
          </cell>
          <cell r="B60">
            <v>0.92</v>
          </cell>
          <cell r="C60">
            <v>0.08</v>
          </cell>
        </row>
        <row r="61">
          <cell r="A61" t="str">
            <v>Ghana</v>
          </cell>
        </row>
        <row r="62">
          <cell r="A62" t="str">
            <v>Senegal</v>
          </cell>
        </row>
        <row r="63">
          <cell r="A63" t="str">
            <v>Serbia</v>
          </cell>
          <cell r="B63">
            <v>0.96</v>
          </cell>
          <cell r="C63">
            <v>0.04</v>
          </cell>
        </row>
        <row r="64">
          <cell r="A64" t="str">
            <v>Cape Verde</v>
          </cell>
        </row>
        <row r="65">
          <cell r="A65" t="str">
            <v>Hungary</v>
          </cell>
          <cell r="B65">
            <v>0.96</v>
          </cell>
          <cell r="C65">
            <v>0.04</v>
          </cell>
        </row>
        <row r="66">
          <cell r="A66" t="str">
            <v>Costa Rica</v>
          </cell>
          <cell r="B66">
            <v>0.93</v>
          </cell>
          <cell r="C66">
            <v>7.0000000000000007E-2</v>
          </cell>
        </row>
        <row r="67">
          <cell r="A67" t="str">
            <v>Gabon</v>
          </cell>
        </row>
        <row r="68">
          <cell r="A68" t="str">
            <v>Bulgaria</v>
          </cell>
        </row>
        <row r="69">
          <cell r="A69" t="str">
            <v>Kenya</v>
          </cell>
          <cell r="B69">
            <v>0.95</v>
          </cell>
          <cell r="C69">
            <v>0.05</v>
          </cell>
        </row>
        <row r="70">
          <cell r="A70" t="str">
            <v>Portugal</v>
          </cell>
          <cell r="B70">
            <v>0.92</v>
          </cell>
          <cell r="C70">
            <v>0.08</v>
          </cell>
        </row>
        <row r="71">
          <cell r="A71" t="str">
            <v>Romania</v>
          </cell>
          <cell r="B71">
            <v>0.98</v>
          </cell>
          <cell r="C71">
            <v>0.02</v>
          </cell>
        </row>
        <row r="72">
          <cell r="A72" t="str">
            <v>Czechia</v>
          </cell>
          <cell r="B72">
            <v>0.96</v>
          </cell>
          <cell r="C72">
            <v>0.04</v>
          </cell>
        </row>
        <row r="73">
          <cell r="A73" t="str">
            <v>Ireland</v>
          </cell>
          <cell r="B73">
            <v>0.9</v>
          </cell>
          <cell r="C73">
            <v>0.1</v>
          </cell>
        </row>
        <row r="74">
          <cell r="A74" t="str">
            <v>Austria</v>
          </cell>
          <cell r="B74">
            <v>0.92</v>
          </cell>
          <cell r="C74">
            <v>0.08</v>
          </cell>
        </row>
        <row r="75">
          <cell r="A75" t="str">
            <v>Papua New Guinea</v>
          </cell>
        </row>
        <row r="76">
          <cell r="A76" t="str">
            <v>Mongolia</v>
          </cell>
        </row>
        <row r="77">
          <cell r="A77" t="str">
            <v>Sweden</v>
          </cell>
          <cell r="B77">
            <v>0.92</v>
          </cell>
          <cell r="C77">
            <v>0.08</v>
          </cell>
        </row>
        <row r="78">
          <cell r="A78" t="str">
            <v>Latvia</v>
          </cell>
        </row>
        <row r="79">
          <cell r="A79" t="str">
            <v>El Salvador</v>
          </cell>
        </row>
        <row r="80">
          <cell r="A80" t="str">
            <v>Afghanistan</v>
          </cell>
        </row>
        <row r="81">
          <cell r="A81" t="str">
            <v>Bhutan</v>
          </cell>
        </row>
        <row r="82">
          <cell r="A82" t="str">
            <v>Poland</v>
          </cell>
          <cell r="B82">
            <v>0.96</v>
          </cell>
          <cell r="C82">
            <v>0.04</v>
          </cell>
        </row>
        <row r="83">
          <cell r="A83" t="str">
            <v>Namibia</v>
          </cell>
        </row>
        <row r="84">
          <cell r="A84" t="str">
            <v>Moldova</v>
          </cell>
        </row>
        <row r="85">
          <cell r="A85" t="str">
            <v>Liechtenstein</v>
          </cell>
        </row>
        <row r="86">
          <cell r="A86" t="str">
            <v>Iceland</v>
          </cell>
        </row>
        <row r="87">
          <cell r="A87" t="str">
            <v>Cambodia</v>
          </cell>
        </row>
        <row r="88">
          <cell r="A88" t="str">
            <v>Japan</v>
          </cell>
          <cell r="B88">
            <v>0.87</v>
          </cell>
          <cell r="C88">
            <v>0.13</v>
          </cell>
        </row>
        <row r="89">
          <cell r="A89" t="str">
            <v>Philippines</v>
          </cell>
          <cell r="B89">
            <v>0.88</v>
          </cell>
          <cell r="C89">
            <v>0.12</v>
          </cell>
        </row>
        <row r="90">
          <cell r="A90" t="str">
            <v>Kosovo</v>
          </cell>
        </row>
        <row r="91">
          <cell r="A91" t="str">
            <v>Vietnam</v>
          </cell>
          <cell r="B91">
            <v>0.98</v>
          </cell>
          <cell r="C91">
            <v>0.02</v>
          </cell>
        </row>
        <row r="92">
          <cell r="A92" t="str">
            <v>Ukraine</v>
          </cell>
          <cell r="B92">
            <v>0.94</v>
          </cell>
          <cell r="C92">
            <v>0.06</v>
          </cell>
        </row>
        <row r="93">
          <cell r="A93" t="str">
            <v>Sudan</v>
          </cell>
        </row>
        <row r="94">
          <cell r="A94" t="str">
            <v>Liberia</v>
          </cell>
        </row>
        <row r="95">
          <cell r="A95" t="str">
            <v>United States</v>
          </cell>
          <cell r="B95">
            <v>0.88</v>
          </cell>
          <cell r="C95">
            <v>0.12</v>
          </cell>
        </row>
        <row r="96">
          <cell r="A96" t="str">
            <v>Colombia</v>
          </cell>
          <cell r="B96">
            <v>0.93</v>
          </cell>
          <cell r="C96">
            <v>7.0000000000000007E-2</v>
          </cell>
        </row>
        <row r="97">
          <cell r="A97" t="str">
            <v>Canada</v>
          </cell>
          <cell r="B97">
            <v>0.87</v>
          </cell>
          <cell r="C97">
            <v>0.13</v>
          </cell>
        </row>
        <row r="98">
          <cell r="A98" t="str">
            <v>Lithuania</v>
          </cell>
        </row>
        <row r="99">
          <cell r="A99" t="str">
            <v>Malta</v>
          </cell>
        </row>
        <row r="100">
          <cell r="A100" t="str">
            <v>Palestine</v>
          </cell>
        </row>
        <row r="101">
          <cell r="A101" t="str">
            <v>Lebanon</v>
          </cell>
        </row>
        <row r="102">
          <cell r="A102" t="str">
            <v>Laos</v>
          </cell>
        </row>
        <row r="103">
          <cell r="A103" t="str">
            <v>Guatemala</v>
          </cell>
          <cell r="B103">
            <v>0.91</v>
          </cell>
          <cell r="C103">
            <v>0.09</v>
          </cell>
        </row>
        <row r="104">
          <cell r="A104" t="str">
            <v>Mexico</v>
          </cell>
          <cell r="B104">
            <v>0.93</v>
          </cell>
          <cell r="C104">
            <v>7.0000000000000007E-2</v>
          </cell>
        </row>
        <row r="105">
          <cell r="A105" t="str">
            <v>Equatorial Guinea</v>
          </cell>
        </row>
        <row r="106">
          <cell r="A106" t="str">
            <v>Mauritania</v>
          </cell>
        </row>
        <row r="107">
          <cell r="A107" t="str">
            <v>Bolivia</v>
          </cell>
        </row>
        <row r="108">
          <cell r="A108" t="str">
            <v>Taiwan</v>
          </cell>
          <cell r="B108">
            <v>0.87</v>
          </cell>
          <cell r="C108">
            <v>0.13</v>
          </cell>
        </row>
        <row r="109">
          <cell r="A109" t="str">
            <v>Morocco</v>
          </cell>
          <cell r="B109">
            <v>0.95</v>
          </cell>
          <cell r="C109">
            <v>0.05</v>
          </cell>
        </row>
        <row r="110">
          <cell r="A110" t="str">
            <v>Finland</v>
          </cell>
          <cell r="B110">
            <v>0.89</v>
          </cell>
          <cell r="C110">
            <v>0.11</v>
          </cell>
        </row>
        <row r="111">
          <cell r="A111" t="str">
            <v>Spain</v>
          </cell>
          <cell r="B111">
            <v>0.93</v>
          </cell>
          <cell r="C111">
            <v>7.0000000000000007E-2</v>
          </cell>
        </row>
        <row r="112">
          <cell r="A112" t="str">
            <v>Gambia</v>
          </cell>
        </row>
        <row r="113">
          <cell r="A113" t="str">
            <v>Andorra</v>
          </cell>
        </row>
        <row r="114">
          <cell r="A114" t="str">
            <v>Cyprus</v>
          </cell>
        </row>
        <row r="115">
          <cell r="A115" t="str">
            <v>Peru</v>
          </cell>
          <cell r="B115">
            <v>0.94</v>
          </cell>
          <cell r="C115">
            <v>0.06</v>
          </cell>
        </row>
        <row r="116">
          <cell r="A116" t="str">
            <v>Slovakia</v>
          </cell>
        </row>
        <row r="117">
          <cell r="A117" t="str">
            <v>Norway</v>
          </cell>
          <cell r="B117">
            <v>0.91</v>
          </cell>
          <cell r="C117">
            <v>0.09</v>
          </cell>
        </row>
        <row r="118">
          <cell r="A118" t="str">
            <v>Slovenia</v>
          </cell>
        </row>
        <row r="119">
          <cell r="A119" t="str">
            <v>Croatia</v>
          </cell>
        </row>
        <row r="120">
          <cell r="A120" t="str">
            <v>Belgium</v>
          </cell>
          <cell r="B120">
            <v>0.92</v>
          </cell>
          <cell r="C120">
            <v>0.08</v>
          </cell>
        </row>
        <row r="121">
          <cell r="A121" t="str">
            <v>Uruguay</v>
          </cell>
        </row>
        <row r="122">
          <cell r="A122" t="str">
            <v>Denmark</v>
          </cell>
          <cell r="B122">
            <v>0.91</v>
          </cell>
          <cell r="C122">
            <v>0.09</v>
          </cell>
        </row>
        <row r="123">
          <cell r="A123" t="str">
            <v>Somalia</v>
          </cell>
        </row>
        <row r="124">
          <cell r="A124" t="str">
            <v>South Africa</v>
          </cell>
          <cell r="B124">
            <v>0.9</v>
          </cell>
          <cell r="C124">
            <v>0.1</v>
          </cell>
        </row>
        <row r="125">
          <cell r="A125" t="str">
            <v>Gibraltar</v>
          </cell>
        </row>
        <row r="126">
          <cell r="A126" t="str">
            <v>Netherlands</v>
          </cell>
          <cell r="B126">
            <v>0.9</v>
          </cell>
          <cell r="C126">
            <v>0.1</v>
          </cell>
        </row>
        <row r="127">
          <cell r="A127" t="str">
            <v>Russia</v>
          </cell>
          <cell r="B127">
            <v>0.92</v>
          </cell>
          <cell r="C127">
            <v>0.08</v>
          </cell>
        </row>
        <row r="128">
          <cell r="A128" t="str">
            <v>Kyrgyzstan</v>
          </cell>
        </row>
        <row r="129">
          <cell r="A129" t="str">
            <v>Timor-Leste</v>
          </cell>
        </row>
        <row r="130">
          <cell r="A130" t="str">
            <v>Djibouti</v>
          </cell>
        </row>
        <row r="131">
          <cell r="A131" t="str">
            <v>Kazakhstan</v>
          </cell>
          <cell r="B131">
            <v>0.93</v>
          </cell>
          <cell r="C131">
            <v>7.0000000000000007E-2</v>
          </cell>
        </row>
        <row r="132">
          <cell r="A132" t="str">
            <v>Bosnia &amp; Herzegovina</v>
          </cell>
        </row>
        <row r="133">
          <cell r="A133" t="str">
            <v>Macao</v>
          </cell>
        </row>
        <row r="134">
          <cell r="A134" t="str">
            <v>Dominica</v>
          </cell>
        </row>
        <row r="135">
          <cell r="A135" t="str">
            <v>Algeria</v>
          </cell>
        </row>
        <row r="136">
          <cell r="A136" t="str">
            <v>Comoros</v>
          </cell>
        </row>
        <row r="137">
          <cell r="A137" t="str">
            <v>New Zealand</v>
          </cell>
          <cell r="B137">
            <v>0.85</v>
          </cell>
          <cell r="C137">
            <v>0.15</v>
          </cell>
        </row>
        <row r="138">
          <cell r="A138" t="str">
            <v>Azerbaijan</v>
          </cell>
        </row>
        <row r="139">
          <cell r="A139" t="str">
            <v>France</v>
          </cell>
          <cell r="B139">
            <v>0.91</v>
          </cell>
          <cell r="C139">
            <v>0.09</v>
          </cell>
        </row>
        <row r="140">
          <cell r="A140" t="str">
            <v>Brazil</v>
          </cell>
          <cell r="B140">
            <v>0.95</v>
          </cell>
          <cell r="C140">
            <v>0.05</v>
          </cell>
        </row>
        <row r="141">
          <cell r="A141" t="str">
            <v>Honduras</v>
          </cell>
        </row>
        <row r="142">
          <cell r="A142" t="str">
            <v>Tonga</v>
          </cell>
        </row>
        <row r="143">
          <cell r="A143" t="str">
            <v>Syria</v>
          </cell>
        </row>
        <row r="144">
          <cell r="A144" t="str">
            <v>Australia</v>
          </cell>
          <cell r="B144">
            <v>0.85</v>
          </cell>
          <cell r="C144">
            <v>0.15</v>
          </cell>
        </row>
        <row r="145">
          <cell r="A145" t="str">
            <v>Paraguay</v>
          </cell>
        </row>
        <row r="146">
          <cell r="A146" t="str">
            <v>Jordan</v>
          </cell>
        </row>
        <row r="147">
          <cell r="A147" t="str">
            <v>Indonesia</v>
          </cell>
          <cell r="B147">
            <v>0.99</v>
          </cell>
          <cell r="C147">
            <v>0.01</v>
          </cell>
        </row>
        <row r="148">
          <cell r="A148" t="str">
            <v>Turkmenistan</v>
          </cell>
        </row>
        <row r="149">
          <cell r="A149" t="str">
            <v>Malaysia</v>
          </cell>
          <cell r="B149">
            <v>0.88</v>
          </cell>
          <cell r="C149">
            <v>0.12</v>
          </cell>
        </row>
        <row r="150">
          <cell r="A150" t="str">
            <v>United Arab Emirates</v>
          </cell>
          <cell r="B150">
            <v>0.9</v>
          </cell>
          <cell r="C150">
            <v>0.1</v>
          </cell>
        </row>
        <row r="151">
          <cell r="A151" t="str">
            <v>South Sudan</v>
          </cell>
        </row>
        <row r="152">
          <cell r="A152" t="str">
            <v>San Marino</v>
          </cell>
        </row>
        <row r="153">
          <cell r="A153" t="str">
            <v>Greece</v>
          </cell>
          <cell r="B153">
            <v>0.94</v>
          </cell>
          <cell r="C153">
            <v>0.06</v>
          </cell>
        </row>
        <row r="154">
          <cell r="A154" t="str">
            <v>Iran</v>
          </cell>
          <cell r="B154">
            <v>0.97</v>
          </cell>
          <cell r="C154">
            <v>0.03</v>
          </cell>
        </row>
        <row r="155">
          <cell r="A155" t="str">
            <v>Haiti</v>
          </cell>
        </row>
        <row r="156">
          <cell r="A156" t="str">
            <v>Monaco</v>
          </cell>
        </row>
        <row r="157">
          <cell r="A157" t="str">
            <v>Italy</v>
          </cell>
          <cell r="B157">
            <v>0.93</v>
          </cell>
          <cell r="C157">
            <v>7.0000000000000007E-2</v>
          </cell>
        </row>
        <row r="158">
          <cell r="A158" t="str">
            <v>United Kingdom</v>
          </cell>
          <cell r="B158">
            <v>0.85</v>
          </cell>
          <cell r="C158">
            <v>0.15</v>
          </cell>
        </row>
        <row r="159">
          <cell r="A159" t="str">
            <v>Chile</v>
          </cell>
          <cell r="B159">
            <v>0.91</v>
          </cell>
          <cell r="C159">
            <v>0.09</v>
          </cell>
        </row>
        <row r="160">
          <cell r="A160" t="str">
            <v>Nicaragua</v>
          </cell>
        </row>
        <row r="161">
          <cell r="A161" t="str">
            <v>Yemen</v>
          </cell>
        </row>
        <row r="162">
          <cell r="A162" t="str">
            <v>Bahrain</v>
          </cell>
        </row>
        <row r="163">
          <cell r="A163" t="str">
            <v>Egypt</v>
          </cell>
          <cell r="B163">
            <v>0.94</v>
          </cell>
          <cell r="C163">
            <v>0.06</v>
          </cell>
        </row>
        <row r="164">
          <cell r="A164" t="str">
            <v>Faroe Islands</v>
          </cell>
        </row>
        <row r="165">
          <cell r="A165" t="str">
            <v>Brunei</v>
          </cell>
        </row>
        <row r="166">
          <cell r="A166" t="str">
            <v>Montenegro</v>
          </cell>
        </row>
        <row r="167">
          <cell r="A167" t="str">
            <v>Venezuela</v>
          </cell>
          <cell r="B167">
            <v>0.96</v>
          </cell>
          <cell r="C167">
            <v>0.04</v>
          </cell>
        </row>
        <row r="168">
          <cell r="A168" t="str">
            <v>New Caledonia</v>
          </cell>
        </row>
        <row r="169">
          <cell r="A169" t="str">
            <v>Jamaica</v>
          </cell>
        </row>
        <row r="170">
          <cell r="A170" t="str">
            <v>French Polynesia</v>
          </cell>
        </row>
        <row r="171">
          <cell r="A171" t="str">
            <v>Western Sahara</v>
          </cell>
        </row>
        <row r="172">
          <cell r="A172" t="str">
            <v>Oman</v>
          </cell>
        </row>
        <row r="173">
          <cell r="A173" t="str">
            <v>Fiji</v>
          </cell>
        </row>
        <row r="174">
          <cell r="A174" t="str">
            <v>Maldives</v>
          </cell>
        </row>
        <row r="175">
          <cell r="A175" t="str">
            <v>Panama</v>
          </cell>
        </row>
        <row r="176">
          <cell r="A176" t="str">
            <v>Argentina</v>
          </cell>
          <cell r="B176">
            <v>0.93</v>
          </cell>
          <cell r="C176">
            <v>7.0000000000000007E-2</v>
          </cell>
        </row>
        <row r="177">
          <cell r="A177" t="str">
            <v>Turkey</v>
          </cell>
          <cell r="B177">
            <v>0.94</v>
          </cell>
          <cell r="C177">
            <v>0.06</v>
          </cell>
        </row>
        <row r="178">
          <cell r="A178" t="str">
            <v>Georgia</v>
          </cell>
        </row>
        <row r="179">
          <cell r="A179" t="str">
            <v>Libya</v>
          </cell>
        </row>
        <row r="180">
          <cell r="A180" t="str">
            <v>U.S. Virgin Islands</v>
          </cell>
        </row>
        <row r="181">
          <cell r="A181" t="str">
            <v>Tajikistan</v>
          </cell>
        </row>
        <row r="182">
          <cell r="A182" t="str">
            <v>Suriname</v>
          </cell>
        </row>
        <row r="183">
          <cell r="A183" t="str">
            <v>Saudi Arabia</v>
          </cell>
          <cell r="B183">
            <v>0.95</v>
          </cell>
          <cell r="C183">
            <v>0.05</v>
          </cell>
        </row>
        <row r="184">
          <cell r="A184" t="str">
            <v>Isle of Man</v>
          </cell>
        </row>
        <row r="185">
          <cell r="A185" t="str">
            <v>Vanuatu</v>
          </cell>
        </row>
        <row r="186">
          <cell r="A186" t="str">
            <v>Qatar</v>
          </cell>
        </row>
        <row r="187">
          <cell r="A187" t="str">
            <v>Antigua &amp; Barbuda</v>
          </cell>
        </row>
        <row r="188">
          <cell r="A188" t="str">
            <v>Barbados</v>
          </cell>
        </row>
        <row r="189">
          <cell r="A189" t="str">
            <v>CuraÃ§ao</v>
          </cell>
        </row>
        <row r="190">
          <cell r="A190" t="str">
            <v>Thailand</v>
          </cell>
          <cell r="B190">
            <v>0.92</v>
          </cell>
          <cell r="C190">
            <v>0.08</v>
          </cell>
        </row>
        <row r="191">
          <cell r="A191" t="str">
            <v>Dominican Republic</v>
          </cell>
        </row>
        <row r="192">
          <cell r="A192" t="str">
            <v>Seychelles</v>
          </cell>
        </row>
        <row r="193">
          <cell r="A193" t="str">
            <v>Cayman Islands</v>
          </cell>
        </row>
        <row r="194">
          <cell r="A194" t="str">
            <v>Puerto Rico</v>
          </cell>
        </row>
        <row r="195">
          <cell r="A195" t="str">
            <v>Greenland</v>
          </cell>
        </row>
        <row r="196">
          <cell r="A196" t="str">
            <v>Trinidad &amp; Tobago</v>
          </cell>
        </row>
        <row r="197">
          <cell r="A197" t="str">
            <v>Solomon Islands</v>
          </cell>
        </row>
        <row r="198">
          <cell r="A198" t="str">
            <v>Jersey</v>
          </cell>
        </row>
        <row r="199">
          <cell r="A199" t="str">
            <v>Iraq</v>
          </cell>
        </row>
        <row r="200">
          <cell r="A200" t="str">
            <v>St. Kitts &amp; Nevis</v>
          </cell>
        </row>
        <row r="201">
          <cell r="A201" t="str">
            <v>Kuwait</v>
          </cell>
        </row>
        <row r="202">
          <cell r="A202" t="str">
            <v>RÃ©union</v>
          </cell>
        </row>
        <row r="203">
          <cell r="A203" t="str">
            <v>Northern Mariana Islands</v>
          </cell>
        </row>
        <row r="204">
          <cell r="A204" t="str">
            <v>Guadeloupe</v>
          </cell>
        </row>
        <row r="205">
          <cell r="A205" t="str">
            <v>Guam</v>
          </cell>
        </row>
        <row r="206">
          <cell r="A206" t="str">
            <v>Grenada</v>
          </cell>
        </row>
        <row r="207">
          <cell r="A207" t="str">
            <v>St. Lucia</v>
          </cell>
        </row>
        <row r="208">
          <cell r="A208" t="str">
            <v>St. BarthÃ©lemy</v>
          </cell>
        </row>
        <row r="209">
          <cell r="A209" t="str">
            <v>St. Vincent &amp; Grenadines</v>
          </cell>
        </row>
        <row r="210">
          <cell r="A210" t="str">
            <v>Samoa</v>
          </cell>
        </row>
        <row r="211">
          <cell r="A211" t="str">
            <v>Guyana</v>
          </cell>
        </row>
        <row r="212">
          <cell r="A212" t="str">
            <v>Aruba</v>
          </cell>
        </row>
        <row r="213">
          <cell r="A213" t="str">
            <v>Guernsey</v>
          </cell>
        </row>
        <row r="214">
          <cell r="A214" t="str">
            <v>Bermuda</v>
          </cell>
        </row>
        <row r="215">
          <cell r="A215" t="str">
            <v>Belize</v>
          </cell>
        </row>
        <row r="216">
          <cell r="A216" t="str">
            <v>Martinique</v>
          </cell>
        </row>
        <row r="217">
          <cell r="A217" t="str">
            <v>Caribbean Netherlands</v>
          </cell>
        </row>
        <row r="218">
          <cell r="A218" t="str">
            <v>Bahamas</v>
          </cell>
        </row>
        <row r="219">
          <cell r="A219" t="str">
            <v>French Guiana</v>
          </cell>
        </row>
        <row r="220">
          <cell r="A220" t="str">
            <v>Sint Maarten</v>
          </cell>
        </row>
        <row r="221">
          <cell r="A221" t="str">
            <v>Mayotte</v>
          </cell>
        </row>
        <row r="222">
          <cell r="A222" t="str">
            <v>North Korea</v>
          </cell>
        </row>
        <row r="223">
          <cell r="A223" t="str">
            <v>Falkland Islands (Islas Malvinas)</v>
          </cell>
        </row>
        <row r="224">
          <cell r="A224" t="str">
            <v>Anguilla</v>
          </cell>
        </row>
        <row r="225">
          <cell r="A225" t="str">
            <v>Montserrat</v>
          </cell>
        </row>
        <row r="226">
          <cell r="A226" t="str">
            <v>St. Pierre &amp; Miquelon</v>
          </cell>
        </row>
        <row r="227">
          <cell r="A227" t="str">
            <v>Cook Islands</v>
          </cell>
        </row>
        <row r="228">
          <cell r="A228" t="str">
            <v>Marshall Islands</v>
          </cell>
        </row>
        <row r="229">
          <cell r="A229" t="str">
            <v>British Virgin Islands</v>
          </cell>
        </row>
        <row r="230">
          <cell r="A230" t="str">
            <v>American Samoa</v>
          </cell>
        </row>
        <row r="231">
          <cell r="A231" t="str">
            <v>St. Martin</v>
          </cell>
        </row>
        <row r="232">
          <cell r="A232" t="str">
            <v>Palau</v>
          </cell>
        </row>
        <row r="233">
          <cell r="A233" t="str">
            <v>Turks &amp; Caicos Islands</v>
          </cell>
        </row>
        <row r="234">
          <cell r="A234" t="str">
            <v>Micronesia</v>
          </cell>
        </row>
        <row r="235">
          <cell r="A235" t="str">
            <v>Antarctica</v>
          </cell>
        </row>
        <row r="236">
          <cell r="A236" t="str">
            <v>French Southern Territories</v>
          </cell>
        </row>
        <row r="237">
          <cell r="A237" t="str">
            <v>Bouvet Island</v>
          </cell>
        </row>
        <row r="238">
          <cell r="A238" t="str">
            <v>Cocos (Keeling) Islands</v>
          </cell>
        </row>
        <row r="239">
          <cell r="A239" t="str">
            <v>Christmas Island</v>
          </cell>
        </row>
        <row r="240">
          <cell r="A240" t="str">
            <v>Heard &amp; McDonald Islands</v>
          </cell>
        </row>
        <row r="241">
          <cell r="A241" t="str">
            <v>British Indian Ocean Territory</v>
          </cell>
        </row>
        <row r="242">
          <cell r="A242" t="str">
            <v>Kiribati</v>
          </cell>
        </row>
        <row r="243">
          <cell r="A243" t="str">
            <v>Norfolk Island</v>
          </cell>
        </row>
        <row r="244">
          <cell r="A244" t="str">
            <v>Niue</v>
          </cell>
        </row>
        <row r="245">
          <cell r="A245" t="str">
            <v>Nauru</v>
          </cell>
        </row>
        <row r="246">
          <cell r="A246" t="str">
            <v>Pitcairn Islands</v>
          </cell>
        </row>
        <row r="247">
          <cell r="A247" t="str">
            <v>South Georgia &amp; South Sandwich Islands</v>
          </cell>
        </row>
        <row r="248">
          <cell r="A248" t="str">
            <v>Svalbard &amp; Jan Mayen</v>
          </cell>
        </row>
        <row r="249">
          <cell r="A249" t="str">
            <v>Tokelau</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1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91)"/>
    </sheetNames>
    <sheetDataSet>
      <sheetData sheetId="0">
        <row r="1">
          <cell r="A1" t="str">
            <v>Category: All categories</v>
          </cell>
        </row>
        <row r="3">
          <cell r="A3" t="str">
            <v>Country</v>
          </cell>
          <cell r="B3" t="str">
            <v>Transmission Control Protocol: (2018)</v>
          </cell>
          <cell r="C3" t="str">
            <v>Hash table: (2018)</v>
          </cell>
        </row>
        <row r="4">
          <cell r="A4" t="str">
            <v>China</v>
          </cell>
          <cell r="B4">
            <v>0.7</v>
          </cell>
          <cell r="C4">
            <v>0.3</v>
          </cell>
        </row>
        <row r="5">
          <cell r="A5" t="str">
            <v>Cuba</v>
          </cell>
        </row>
        <row r="6">
          <cell r="A6" t="str">
            <v>St. Helena</v>
          </cell>
          <cell r="B6">
            <v>0.74</v>
          </cell>
          <cell r="C6">
            <v>0.26</v>
          </cell>
        </row>
        <row r="7">
          <cell r="A7" t="str">
            <v>South Korea</v>
          </cell>
          <cell r="B7">
            <v>0.73</v>
          </cell>
          <cell r="C7">
            <v>0.27</v>
          </cell>
        </row>
        <row r="8">
          <cell r="A8" t="str">
            <v>Botswana</v>
          </cell>
        </row>
        <row r="9">
          <cell r="A9" t="str">
            <v>Rwanda</v>
          </cell>
        </row>
        <row r="10">
          <cell r="A10" t="str">
            <v>Angola</v>
          </cell>
        </row>
        <row r="11">
          <cell r="A11" t="str">
            <v>Ethiopia</v>
          </cell>
        </row>
        <row r="12">
          <cell r="A12" t="str">
            <v>Singapore</v>
          </cell>
          <cell r="B12">
            <v>0.74</v>
          </cell>
          <cell r="C12">
            <v>0.26</v>
          </cell>
        </row>
        <row r="13">
          <cell r="A13" t="str">
            <v>Burundi</v>
          </cell>
        </row>
        <row r="14">
          <cell r="A14" t="str">
            <v>Zimbabwe</v>
          </cell>
        </row>
        <row r="15">
          <cell r="A15" t="str">
            <v>Isle of Man</v>
          </cell>
        </row>
        <row r="16">
          <cell r="A16" t="str">
            <v>Myanmar (Burma)</v>
          </cell>
        </row>
        <row r="17">
          <cell r="A17" t="str">
            <v>Nepal</v>
          </cell>
        </row>
        <row r="18">
          <cell r="A18" t="str">
            <v>Eswatini</v>
          </cell>
        </row>
        <row r="19">
          <cell r="A19" t="str">
            <v>Madagascar</v>
          </cell>
        </row>
        <row r="20">
          <cell r="A20" t="str">
            <v>Luxembourg</v>
          </cell>
        </row>
        <row r="21">
          <cell r="A21" t="str">
            <v>Malawi</v>
          </cell>
        </row>
        <row r="22">
          <cell r="A22" t="str">
            <v>Hong Kong</v>
          </cell>
          <cell r="B22">
            <v>0.77</v>
          </cell>
          <cell r="C22">
            <v>0.23</v>
          </cell>
        </row>
        <row r="23">
          <cell r="A23" t="str">
            <v>Bhutan</v>
          </cell>
        </row>
        <row r="24">
          <cell r="A24" t="str">
            <v>Cameroon</v>
          </cell>
        </row>
        <row r="25">
          <cell r="A25" t="str">
            <v>Israel</v>
          </cell>
          <cell r="B25">
            <v>0.71</v>
          </cell>
          <cell r="C25">
            <v>0.28999999999999998</v>
          </cell>
        </row>
        <row r="26">
          <cell r="A26" t="str">
            <v>Lesotho</v>
          </cell>
        </row>
        <row r="27">
          <cell r="A27" t="str">
            <v>Papua New Guinea</v>
          </cell>
        </row>
        <row r="28">
          <cell r="A28" t="str">
            <v>Uruguay</v>
          </cell>
        </row>
        <row r="29">
          <cell r="A29" t="str">
            <v>Macao</v>
          </cell>
        </row>
        <row r="30">
          <cell r="A30" t="str">
            <v>Jersey</v>
          </cell>
        </row>
        <row r="31">
          <cell r="A31" t="str">
            <v>Congo - Kinshasa</v>
          </cell>
        </row>
        <row r="32">
          <cell r="A32" t="str">
            <v>Sri Lanka</v>
          </cell>
          <cell r="B32">
            <v>0.78</v>
          </cell>
          <cell r="C32">
            <v>0.22</v>
          </cell>
        </row>
        <row r="33">
          <cell r="A33" t="str">
            <v>Bolivia</v>
          </cell>
        </row>
        <row r="34">
          <cell r="A34" t="str">
            <v>Brunei</v>
          </cell>
        </row>
        <row r="35">
          <cell r="A35" t="str">
            <v>Sierra Leone</v>
          </cell>
        </row>
        <row r="36">
          <cell r="A36" t="str">
            <v>Taiwan</v>
          </cell>
          <cell r="B36">
            <v>0.83</v>
          </cell>
          <cell r="C36">
            <v>0.17</v>
          </cell>
        </row>
        <row r="37">
          <cell r="A37" t="str">
            <v>Switzerland</v>
          </cell>
          <cell r="B37">
            <v>0.79</v>
          </cell>
          <cell r="C37">
            <v>0.21</v>
          </cell>
        </row>
        <row r="38">
          <cell r="A38" t="str">
            <v>Malta</v>
          </cell>
        </row>
        <row r="39">
          <cell r="A39" t="str">
            <v>Czechia</v>
          </cell>
          <cell r="B39">
            <v>0.83</v>
          </cell>
          <cell r="C39">
            <v>0.17</v>
          </cell>
        </row>
        <row r="40">
          <cell r="A40" t="str">
            <v>Togo</v>
          </cell>
        </row>
        <row r="41">
          <cell r="A41" t="str">
            <v>Ireland</v>
          </cell>
          <cell r="B41">
            <v>0.8</v>
          </cell>
          <cell r="C41">
            <v>0.2</v>
          </cell>
        </row>
        <row r="42">
          <cell r="A42" t="str">
            <v>India</v>
          </cell>
          <cell r="B42">
            <v>0.62</v>
          </cell>
          <cell r="C42">
            <v>0.38</v>
          </cell>
        </row>
        <row r="43">
          <cell r="A43" t="str">
            <v>Pakistan</v>
          </cell>
          <cell r="B43">
            <v>0.82</v>
          </cell>
          <cell r="C43">
            <v>0.18</v>
          </cell>
        </row>
        <row r="44">
          <cell r="A44" t="str">
            <v>Tunisia</v>
          </cell>
        </row>
        <row r="45">
          <cell r="A45" t="str">
            <v>Ghana</v>
          </cell>
        </row>
        <row r="46">
          <cell r="A46" t="str">
            <v>Japan</v>
          </cell>
          <cell r="B46">
            <v>0.84</v>
          </cell>
          <cell r="C46">
            <v>0.16</v>
          </cell>
        </row>
        <row r="47">
          <cell r="A47" t="str">
            <v>Kosovo</v>
          </cell>
        </row>
        <row r="48">
          <cell r="A48" t="str">
            <v>Mauritius</v>
          </cell>
        </row>
        <row r="49">
          <cell r="A49" t="str">
            <v>Somalia</v>
          </cell>
        </row>
        <row r="50">
          <cell r="A50" t="str">
            <v>Australia</v>
          </cell>
          <cell r="B50">
            <v>0.82</v>
          </cell>
          <cell r="C50">
            <v>0.18</v>
          </cell>
        </row>
        <row r="51">
          <cell r="A51" t="str">
            <v>Austria</v>
          </cell>
          <cell r="B51">
            <v>0.82</v>
          </cell>
          <cell r="C51">
            <v>0.18</v>
          </cell>
        </row>
        <row r="52">
          <cell r="A52" t="str">
            <v>Zambia</v>
          </cell>
        </row>
        <row r="53">
          <cell r="A53" t="str">
            <v>Sweden</v>
          </cell>
          <cell r="B53">
            <v>0.74</v>
          </cell>
          <cell r="C53">
            <v>0.26</v>
          </cell>
        </row>
        <row r="54">
          <cell r="A54" t="str">
            <v>Norway</v>
          </cell>
          <cell r="B54">
            <v>0.8</v>
          </cell>
          <cell r="C54">
            <v>0.2</v>
          </cell>
        </row>
        <row r="55">
          <cell r="A55" t="str">
            <v>Liberia</v>
          </cell>
        </row>
        <row r="56">
          <cell r="A56" t="str">
            <v>Senegal</v>
          </cell>
        </row>
        <row r="57">
          <cell r="A57" t="str">
            <v>Cyprus</v>
          </cell>
        </row>
        <row r="58">
          <cell r="A58" t="str">
            <v>Panama</v>
          </cell>
        </row>
        <row r="59">
          <cell r="A59" t="str">
            <v>Iceland</v>
          </cell>
        </row>
        <row r="60">
          <cell r="A60" t="str">
            <v>Germany</v>
          </cell>
          <cell r="B60">
            <v>0.79</v>
          </cell>
          <cell r="C60">
            <v>0.21</v>
          </cell>
        </row>
        <row r="61">
          <cell r="A61" t="str">
            <v>Mongolia</v>
          </cell>
        </row>
        <row r="62">
          <cell r="A62" t="str">
            <v>Canada</v>
          </cell>
          <cell r="B62">
            <v>0.75</v>
          </cell>
          <cell r="C62">
            <v>0.25</v>
          </cell>
        </row>
        <row r="63">
          <cell r="A63" t="str">
            <v>Uganda</v>
          </cell>
        </row>
        <row r="64">
          <cell r="A64" t="str">
            <v>New Zealand</v>
          </cell>
          <cell r="B64">
            <v>0.81</v>
          </cell>
          <cell r="C64">
            <v>0.19</v>
          </cell>
        </row>
        <row r="65">
          <cell r="A65" t="str">
            <v>United States</v>
          </cell>
          <cell r="B65">
            <v>0.7</v>
          </cell>
          <cell r="C65">
            <v>0.3</v>
          </cell>
        </row>
        <row r="66">
          <cell r="A66" t="str">
            <v>Netherlands</v>
          </cell>
          <cell r="B66">
            <v>0.83</v>
          </cell>
          <cell r="C66">
            <v>0.17</v>
          </cell>
        </row>
        <row r="67">
          <cell r="A67" t="str">
            <v>Namibia</v>
          </cell>
        </row>
        <row r="68">
          <cell r="A68" t="str">
            <v>Jamaica</v>
          </cell>
        </row>
        <row r="69">
          <cell r="A69" t="str">
            <v>El Salvador</v>
          </cell>
        </row>
        <row r="70">
          <cell r="A70" t="str">
            <v>Ecuador</v>
          </cell>
        </row>
        <row r="71">
          <cell r="A71" t="str">
            <v>United Arab Emirates</v>
          </cell>
          <cell r="B71">
            <v>0.88</v>
          </cell>
          <cell r="C71">
            <v>0.12</v>
          </cell>
        </row>
        <row r="72">
          <cell r="A72" t="str">
            <v>Philippines</v>
          </cell>
          <cell r="B72">
            <v>0.88</v>
          </cell>
          <cell r="C72">
            <v>0.12</v>
          </cell>
        </row>
        <row r="73">
          <cell r="A73" t="str">
            <v>Costa Rica</v>
          </cell>
        </row>
        <row r="74">
          <cell r="A74" t="str">
            <v>Finland</v>
          </cell>
          <cell r="B74">
            <v>0.76</v>
          </cell>
          <cell r="C74">
            <v>0.24</v>
          </cell>
        </row>
        <row r="75">
          <cell r="A75" t="str">
            <v>Slovenia</v>
          </cell>
        </row>
        <row r="76">
          <cell r="A76" t="str">
            <v>Portugal</v>
          </cell>
          <cell r="B76">
            <v>0.76</v>
          </cell>
          <cell r="C76">
            <v>0.24</v>
          </cell>
        </row>
        <row r="77">
          <cell r="A77" t="str">
            <v>United Kingdom</v>
          </cell>
          <cell r="B77">
            <v>0.83</v>
          </cell>
          <cell r="C77">
            <v>0.17</v>
          </cell>
        </row>
        <row r="78">
          <cell r="A78" t="str">
            <v>Russia</v>
          </cell>
          <cell r="B78">
            <v>0.81</v>
          </cell>
          <cell r="C78">
            <v>0.19</v>
          </cell>
        </row>
        <row r="79">
          <cell r="A79" t="str">
            <v>Afghanistan</v>
          </cell>
        </row>
        <row r="80">
          <cell r="A80" t="str">
            <v>Fiji</v>
          </cell>
        </row>
        <row r="81">
          <cell r="A81" t="str">
            <v>Oman</v>
          </cell>
        </row>
        <row r="82">
          <cell r="A82" t="str">
            <v>Estonia</v>
          </cell>
        </row>
        <row r="83">
          <cell r="A83" t="str">
            <v>Mozambique</v>
          </cell>
        </row>
        <row r="84">
          <cell r="A84" t="str">
            <v>Belgium</v>
          </cell>
          <cell r="B84">
            <v>0.82</v>
          </cell>
          <cell r="C84">
            <v>0.18</v>
          </cell>
        </row>
        <row r="85">
          <cell r="A85" t="str">
            <v>Qatar</v>
          </cell>
        </row>
        <row r="86">
          <cell r="A86" t="str">
            <v>Hungary</v>
          </cell>
          <cell r="B86">
            <v>0.82</v>
          </cell>
          <cell r="C86">
            <v>0.18</v>
          </cell>
        </row>
        <row r="87">
          <cell r="A87" t="str">
            <v>Armenia</v>
          </cell>
        </row>
        <row r="88">
          <cell r="A88" t="str">
            <v>Colombia</v>
          </cell>
          <cell r="B88">
            <v>0.92</v>
          </cell>
          <cell r="C88">
            <v>0.08</v>
          </cell>
        </row>
        <row r="89">
          <cell r="A89" t="str">
            <v>Honduras</v>
          </cell>
        </row>
        <row r="90">
          <cell r="A90" t="str">
            <v>Denmark</v>
          </cell>
          <cell r="B90">
            <v>0.77</v>
          </cell>
          <cell r="C90">
            <v>0.23</v>
          </cell>
        </row>
        <row r="91">
          <cell r="A91" t="str">
            <v>Malaysia</v>
          </cell>
          <cell r="B91">
            <v>0.85</v>
          </cell>
          <cell r="C91">
            <v>0.15</v>
          </cell>
        </row>
        <row r="92">
          <cell r="A92" t="str">
            <v>Albania</v>
          </cell>
        </row>
        <row r="93">
          <cell r="A93" t="str">
            <v>South Africa</v>
          </cell>
          <cell r="B93">
            <v>0.85</v>
          </cell>
          <cell r="C93">
            <v>0.15</v>
          </cell>
        </row>
        <row r="94">
          <cell r="A94" t="str">
            <v>Kenya</v>
          </cell>
        </row>
        <row r="95">
          <cell r="A95" t="str">
            <v>Spain</v>
          </cell>
          <cell r="B95">
            <v>0.84</v>
          </cell>
          <cell r="C95">
            <v>0.16</v>
          </cell>
        </row>
        <row r="96">
          <cell r="A96" t="str">
            <v>Bangladesh</v>
          </cell>
          <cell r="B96">
            <v>0.85</v>
          </cell>
          <cell r="C96">
            <v>0.15</v>
          </cell>
        </row>
        <row r="97">
          <cell r="A97" t="str">
            <v>Latvia</v>
          </cell>
        </row>
        <row r="98">
          <cell r="A98" t="str">
            <v>Slovakia</v>
          </cell>
          <cell r="B98">
            <v>0.8</v>
          </cell>
          <cell r="C98">
            <v>0.2</v>
          </cell>
        </row>
        <row r="99">
          <cell r="A99" t="str">
            <v>Lebanon</v>
          </cell>
        </row>
        <row r="100">
          <cell r="A100" t="str">
            <v>Cape Verde</v>
          </cell>
        </row>
        <row r="101">
          <cell r="A101" t="str">
            <v>Belarus</v>
          </cell>
          <cell r="B101">
            <v>0.67</v>
          </cell>
          <cell r="C101">
            <v>0.33</v>
          </cell>
        </row>
        <row r="102">
          <cell r="A102" t="str">
            <v>Laos</v>
          </cell>
        </row>
        <row r="103">
          <cell r="A103" t="str">
            <v>Romania</v>
          </cell>
          <cell r="B103">
            <v>0.74</v>
          </cell>
          <cell r="C103">
            <v>0.26</v>
          </cell>
        </row>
        <row r="104">
          <cell r="A104" t="str">
            <v>Mexico</v>
          </cell>
          <cell r="B104">
            <v>0.9</v>
          </cell>
          <cell r="C104">
            <v>0.1</v>
          </cell>
        </row>
        <row r="105">
          <cell r="A105" t="str">
            <v>Bulgaria</v>
          </cell>
          <cell r="B105">
            <v>0.75</v>
          </cell>
          <cell r="C105">
            <v>0.25</v>
          </cell>
        </row>
        <row r="106">
          <cell r="A106" t="str">
            <v>Argentina</v>
          </cell>
          <cell r="B106">
            <v>0.91</v>
          </cell>
          <cell r="C106">
            <v>0.09</v>
          </cell>
        </row>
        <row r="107">
          <cell r="A107" t="str">
            <v>Lithuania</v>
          </cell>
        </row>
        <row r="108">
          <cell r="A108" t="str">
            <v>Dominican Republic</v>
          </cell>
        </row>
        <row r="109">
          <cell r="A109" t="str">
            <v>Sudan</v>
          </cell>
        </row>
        <row r="110">
          <cell r="A110" t="str">
            <v>Trinidad &amp; Tobago</v>
          </cell>
        </row>
        <row r="111">
          <cell r="A111" t="str">
            <v>Benin</v>
          </cell>
        </row>
        <row r="112">
          <cell r="A112" t="str">
            <v>Bahrain</v>
          </cell>
        </row>
        <row r="113">
          <cell r="A113" t="str">
            <v>CÃ´te dâ€™Ivoire</v>
          </cell>
        </row>
        <row r="114">
          <cell r="A114" t="str">
            <v>Tanzania</v>
          </cell>
        </row>
        <row r="115">
          <cell r="A115" t="str">
            <v>France</v>
          </cell>
          <cell r="B115">
            <v>0.81</v>
          </cell>
          <cell r="C115">
            <v>0.19</v>
          </cell>
        </row>
        <row r="116">
          <cell r="A116" t="str">
            <v>Poland</v>
          </cell>
          <cell r="B116">
            <v>0.8</v>
          </cell>
          <cell r="C116">
            <v>0.2</v>
          </cell>
        </row>
        <row r="117">
          <cell r="A117" t="str">
            <v>CuraÃ§ao</v>
          </cell>
        </row>
        <row r="118">
          <cell r="A118" t="str">
            <v>Uzbekistan</v>
          </cell>
        </row>
        <row r="119">
          <cell r="A119" t="str">
            <v>Croatia</v>
          </cell>
          <cell r="B119">
            <v>0.78</v>
          </cell>
          <cell r="C119">
            <v>0.22</v>
          </cell>
        </row>
        <row r="120">
          <cell r="A120" t="str">
            <v>Cayman Islands</v>
          </cell>
        </row>
        <row r="121">
          <cell r="A121" t="str">
            <v>Guatemala</v>
          </cell>
        </row>
        <row r="122">
          <cell r="A122" t="str">
            <v>Peru</v>
          </cell>
          <cell r="B122">
            <v>0.91</v>
          </cell>
          <cell r="C122">
            <v>0.09</v>
          </cell>
        </row>
        <row r="123">
          <cell r="A123" t="str">
            <v>Moldova</v>
          </cell>
        </row>
        <row r="124">
          <cell r="A124" t="str">
            <v>Brazil</v>
          </cell>
          <cell r="B124">
            <v>0.91</v>
          </cell>
          <cell r="C124">
            <v>0.09</v>
          </cell>
        </row>
        <row r="125">
          <cell r="A125" t="str">
            <v>Italy</v>
          </cell>
          <cell r="B125">
            <v>0.86</v>
          </cell>
          <cell r="C125">
            <v>0.14000000000000001</v>
          </cell>
        </row>
        <row r="126">
          <cell r="A126" t="str">
            <v>Serbia</v>
          </cell>
          <cell r="B126">
            <v>0.71</v>
          </cell>
          <cell r="C126">
            <v>0.28999999999999998</v>
          </cell>
        </row>
        <row r="127">
          <cell r="A127" t="str">
            <v>Mali</v>
          </cell>
        </row>
        <row r="128">
          <cell r="A128" t="str">
            <v>Morocco</v>
          </cell>
        </row>
        <row r="129">
          <cell r="A129" t="str">
            <v>Paraguay</v>
          </cell>
        </row>
        <row r="130">
          <cell r="A130" t="str">
            <v>Cambodia</v>
          </cell>
        </row>
        <row r="131">
          <cell r="A131" t="str">
            <v>Kazakhstan</v>
          </cell>
          <cell r="B131">
            <v>0.84</v>
          </cell>
          <cell r="C131">
            <v>0.16</v>
          </cell>
        </row>
        <row r="132">
          <cell r="A132" t="str">
            <v>Maldives</v>
          </cell>
        </row>
        <row r="133">
          <cell r="A133" t="str">
            <v>Suriname</v>
          </cell>
        </row>
        <row r="134">
          <cell r="A134" t="str">
            <v>Guam</v>
          </cell>
        </row>
        <row r="135">
          <cell r="A135" t="str">
            <v>Ukraine</v>
          </cell>
          <cell r="B135">
            <v>0.72</v>
          </cell>
          <cell r="C135">
            <v>0.28000000000000003</v>
          </cell>
        </row>
        <row r="136">
          <cell r="A136" t="str">
            <v>Palestine</v>
          </cell>
        </row>
        <row r="137">
          <cell r="A137" t="str">
            <v>Algeria</v>
          </cell>
        </row>
        <row r="138">
          <cell r="A138" t="str">
            <v>Montenegro</v>
          </cell>
        </row>
        <row r="139">
          <cell r="A139" t="str">
            <v>Greece</v>
          </cell>
          <cell r="B139">
            <v>0.77</v>
          </cell>
          <cell r="C139">
            <v>0.23</v>
          </cell>
        </row>
        <row r="140">
          <cell r="A140" t="str">
            <v>Martinique</v>
          </cell>
        </row>
        <row r="141">
          <cell r="A141" t="str">
            <v>Nigeria</v>
          </cell>
        </row>
        <row r="142">
          <cell r="A142" t="str">
            <v>Indonesia</v>
          </cell>
          <cell r="B142">
            <v>0.93</v>
          </cell>
          <cell r="C142">
            <v>7.0000000000000007E-2</v>
          </cell>
        </row>
        <row r="143">
          <cell r="A143" t="str">
            <v>Azerbaijan</v>
          </cell>
        </row>
        <row r="144">
          <cell r="A144" t="str">
            <v>RÃ©union</v>
          </cell>
        </row>
        <row r="145">
          <cell r="A145" t="str">
            <v>North Macedonia</v>
          </cell>
        </row>
        <row r="146">
          <cell r="A146" t="str">
            <v>Thailand</v>
          </cell>
          <cell r="B146">
            <v>0.91</v>
          </cell>
          <cell r="C146">
            <v>0.09</v>
          </cell>
        </row>
        <row r="147">
          <cell r="A147" t="str">
            <v>Bahamas</v>
          </cell>
        </row>
        <row r="148">
          <cell r="A148" t="str">
            <v>Jordan</v>
          </cell>
        </row>
        <row r="149">
          <cell r="A149" t="str">
            <v>Bosnia &amp; Herzegovina</v>
          </cell>
        </row>
        <row r="150">
          <cell r="A150" t="str">
            <v>Guinea</v>
          </cell>
        </row>
        <row r="151">
          <cell r="A151" t="str">
            <v>Barbados</v>
          </cell>
        </row>
        <row r="152">
          <cell r="A152" t="str">
            <v>Chile</v>
          </cell>
          <cell r="B152">
            <v>0.86</v>
          </cell>
          <cell r="C152">
            <v>0.14000000000000001</v>
          </cell>
        </row>
        <row r="153">
          <cell r="A153" t="str">
            <v>Saudi Arabia</v>
          </cell>
        </row>
        <row r="154">
          <cell r="A154" t="str">
            <v>Haiti</v>
          </cell>
        </row>
        <row r="155">
          <cell r="A155" t="str">
            <v>Iran</v>
          </cell>
          <cell r="B155">
            <v>0.87</v>
          </cell>
          <cell r="C155">
            <v>0.13</v>
          </cell>
        </row>
        <row r="156">
          <cell r="A156" t="str">
            <v>Nicaragua</v>
          </cell>
        </row>
        <row r="157">
          <cell r="A157" t="str">
            <v>Puerto Rico</v>
          </cell>
        </row>
        <row r="158">
          <cell r="A158" t="str">
            <v>Guyana</v>
          </cell>
        </row>
        <row r="159">
          <cell r="A159" t="str">
            <v>Burkina Faso</v>
          </cell>
        </row>
        <row r="160">
          <cell r="A160" t="str">
            <v>Vietnam</v>
          </cell>
          <cell r="B160">
            <v>0.74</v>
          </cell>
          <cell r="C160">
            <v>0.26</v>
          </cell>
        </row>
        <row r="161">
          <cell r="A161" t="str">
            <v>Libya</v>
          </cell>
        </row>
        <row r="162">
          <cell r="A162" t="str">
            <v>Yemen</v>
          </cell>
        </row>
        <row r="163">
          <cell r="A163" t="str">
            <v>Kuwait</v>
          </cell>
        </row>
        <row r="164">
          <cell r="A164" t="str">
            <v>Georgia</v>
          </cell>
        </row>
        <row r="165">
          <cell r="A165" t="str">
            <v>Egypt</v>
          </cell>
          <cell r="B165">
            <v>0.78</v>
          </cell>
          <cell r="C165">
            <v>0.22</v>
          </cell>
        </row>
        <row r="166">
          <cell r="A166" t="str">
            <v>Turkmenistan</v>
          </cell>
        </row>
        <row r="167">
          <cell r="A167" t="str">
            <v>Syria</v>
          </cell>
        </row>
        <row r="168">
          <cell r="A168" t="str">
            <v>Kyrgyzstan</v>
          </cell>
        </row>
        <row r="169">
          <cell r="A169" t="str">
            <v>Venezuela</v>
          </cell>
        </row>
        <row r="170">
          <cell r="A170" t="str">
            <v>Iraq</v>
          </cell>
        </row>
        <row r="171">
          <cell r="A171" t="str">
            <v>Turkey</v>
          </cell>
          <cell r="B171">
            <v>0.82</v>
          </cell>
          <cell r="C171">
            <v>0.18</v>
          </cell>
        </row>
        <row r="172">
          <cell r="A172" t="str">
            <v>Tajikistan</v>
          </cell>
        </row>
        <row r="173">
          <cell r="A173" t="str">
            <v>Guadeloupe</v>
          </cell>
        </row>
        <row r="174">
          <cell r="A174" t="str">
            <v>North Korea</v>
          </cell>
        </row>
        <row r="175">
          <cell r="A175" t="str">
            <v>Eritrea</v>
          </cell>
        </row>
        <row r="176">
          <cell r="A176" t="str">
            <v>Cook Islands</v>
          </cell>
        </row>
        <row r="177">
          <cell r="A177" t="str">
            <v>Marshall Islands</v>
          </cell>
        </row>
        <row r="178">
          <cell r="A178" t="str">
            <v>Palau</v>
          </cell>
        </row>
        <row r="179">
          <cell r="A179" t="str">
            <v>SÃ£o TomÃ© &amp; PrÃ­ncipe</v>
          </cell>
        </row>
        <row r="180">
          <cell r="A180" t="str">
            <v>Guinea-Bissau</v>
          </cell>
        </row>
        <row r="181">
          <cell r="A181" t="str">
            <v>Central African Republic</v>
          </cell>
        </row>
        <row r="182">
          <cell r="A182" t="str">
            <v>Tonga</v>
          </cell>
        </row>
        <row r="183">
          <cell r="A183" t="str">
            <v>Anguilla</v>
          </cell>
        </row>
        <row r="184">
          <cell r="A184" t="str">
            <v>Gibraltar</v>
          </cell>
        </row>
        <row r="185">
          <cell r="A185" t="str">
            <v>Comoros</v>
          </cell>
        </row>
        <row r="186">
          <cell r="A186" t="str">
            <v>St. Kitts &amp; Nevis</v>
          </cell>
        </row>
        <row r="187">
          <cell r="A187" t="str">
            <v>Vanuatu</v>
          </cell>
        </row>
        <row r="188">
          <cell r="A188" t="str">
            <v>American Samoa</v>
          </cell>
        </row>
        <row r="189">
          <cell r="A189" t="str">
            <v>St. Martin</v>
          </cell>
        </row>
        <row r="190">
          <cell r="A190" t="str">
            <v>Liechtenstein</v>
          </cell>
        </row>
        <row r="191">
          <cell r="A191" t="str">
            <v>Timor-Leste</v>
          </cell>
        </row>
        <row r="192">
          <cell r="A192" t="str">
            <v>Equatorial Guinea</v>
          </cell>
        </row>
        <row r="193">
          <cell r="A193" t="str">
            <v>Faroe Islands</v>
          </cell>
        </row>
        <row r="194">
          <cell r="A194" t="str">
            <v>Grenada</v>
          </cell>
        </row>
        <row r="195">
          <cell r="A195" t="str">
            <v>Gambia</v>
          </cell>
        </row>
        <row r="196">
          <cell r="A196" t="str">
            <v>Seychelles</v>
          </cell>
        </row>
        <row r="197">
          <cell r="A197" t="str">
            <v>Antigua &amp; Barbuda</v>
          </cell>
        </row>
        <row r="198">
          <cell r="A198" t="str">
            <v>Dominica</v>
          </cell>
        </row>
        <row r="199">
          <cell r="A199" t="str">
            <v>Monaco</v>
          </cell>
        </row>
        <row r="200">
          <cell r="A200" t="str">
            <v>Djibouti</v>
          </cell>
        </row>
        <row r="201">
          <cell r="A201" t="str">
            <v>Caribbean Netherlands</v>
          </cell>
        </row>
        <row r="202">
          <cell r="A202" t="str">
            <v>Solomon Islands</v>
          </cell>
        </row>
        <row r="203">
          <cell r="A203" t="str">
            <v>Congo - Brazzaville</v>
          </cell>
        </row>
        <row r="204">
          <cell r="A204" t="str">
            <v>St. Vincent &amp; Grenadines</v>
          </cell>
        </row>
        <row r="205">
          <cell r="A205" t="str">
            <v>San Marino</v>
          </cell>
        </row>
        <row r="206">
          <cell r="A206" t="str">
            <v>Chad</v>
          </cell>
        </row>
        <row r="207">
          <cell r="A207" t="str">
            <v>New Caledonia</v>
          </cell>
        </row>
        <row r="208">
          <cell r="A208" t="str">
            <v>South Sudan</v>
          </cell>
        </row>
        <row r="209">
          <cell r="A209" t="str">
            <v>Andorra</v>
          </cell>
        </row>
        <row r="210">
          <cell r="A210" t="str">
            <v>Turks &amp; Caicos Islands</v>
          </cell>
        </row>
        <row r="211">
          <cell r="A211" t="str">
            <v>French Polynesia</v>
          </cell>
        </row>
        <row r="212">
          <cell r="A212" t="str">
            <v>Mauritania</v>
          </cell>
        </row>
        <row r="213">
          <cell r="A213" t="str">
            <v>Greenland</v>
          </cell>
        </row>
        <row r="214">
          <cell r="A214" t="str">
            <v>Ã…land Islands</v>
          </cell>
        </row>
        <row r="215">
          <cell r="A215" t="str">
            <v>St. Lucia</v>
          </cell>
        </row>
        <row r="216">
          <cell r="A216" t="str">
            <v>Bermuda</v>
          </cell>
        </row>
        <row r="217">
          <cell r="A217" t="str">
            <v>Niger</v>
          </cell>
        </row>
        <row r="218">
          <cell r="A218" t="str">
            <v>Gabon</v>
          </cell>
        </row>
        <row r="219">
          <cell r="A219" t="str">
            <v>Mayotte</v>
          </cell>
        </row>
        <row r="220">
          <cell r="A220" t="str">
            <v>French Guiana</v>
          </cell>
        </row>
        <row r="221">
          <cell r="A221" t="str">
            <v>Guernsey</v>
          </cell>
        </row>
        <row r="222">
          <cell r="A222" t="str">
            <v>Belize</v>
          </cell>
        </row>
        <row r="223">
          <cell r="A223" t="str">
            <v>Aruba</v>
          </cell>
        </row>
        <row r="224">
          <cell r="A224" t="str">
            <v>Antarctica</v>
          </cell>
        </row>
        <row r="225">
          <cell r="A225" t="str">
            <v>French Southern Territories</v>
          </cell>
        </row>
        <row r="226">
          <cell r="A226" t="str">
            <v>St. BarthÃ©lemy</v>
          </cell>
        </row>
        <row r="227">
          <cell r="A227" t="str">
            <v>Bouvet Island</v>
          </cell>
        </row>
        <row r="228">
          <cell r="A228" t="str">
            <v>Cocos (Keeling) Islands</v>
          </cell>
        </row>
        <row r="229">
          <cell r="A229" t="str">
            <v>Christmas Island</v>
          </cell>
        </row>
        <row r="230">
          <cell r="A230" t="str">
            <v>Western Sahara</v>
          </cell>
        </row>
        <row r="231">
          <cell r="A231" t="str">
            <v>Falkland Islands (Islas Malvinas)</v>
          </cell>
        </row>
        <row r="232">
          <cell r="A232" t="str">
            <v>Micronesia</v>
          </cell>
        </row>
        <row r="233">
          <cell r="A233" t="str">
            <v>Heard &amp; McDonald Islands</v>
          </cell>
        </row>
        <row r="234">
          <cell r="A234" t="str">
            <v>British Indian Ocean Territory</v>
          </cell>
        </row>
        <row r="235">
          <cell r="A235" t="str">
            <v>Kiribati</v>
          </cell>
        </row>
        <row r="236">
          <cell r="A236" t="str">
            <v>Northern Mariana Islands</v>
          </cell>
        </row>
        <row r="237">
          <cell r="A237" t="str">
            <v>Montserrat</v>
          </cell>
        </row>
        <row r="238">
          <cell r="A238" t="str">
            <v>Norfolk Island</v>
          </cell>
        </row>
        <row r="239">
          <cell r="A239" t="str">
            <v>Niue</v>
          </cell>
        </row>
        <row r="240">
          <cell r="A240" t="str">
            <v>Nauru</v>
          </cell>
        </row>
        <row r="241">
          <cell r="A241" t="str">
            <v>Pitcairn Islands</v>
          </cell>
        </row>
        <row r="242">
          <cell r="A242" t="str">
            <v>South Georgia &amp; South Sandwich Islands</v>
          </cell>
        </row>
        <row r="243">
          <cell r="A243" t="str">
            <v>Svalbard &amp; Jan Mayen</v>
          </cell>
        </row>
        <row r="244">
          <cell r="A244" t="str">
            <v>St. Pierre &amp; Miquelon</v>
          </cell>
        </row>
        <row r="245">
          <cell r="A245" t="str">
            <v>Sint Maarten</v>
          </cell>
        </row>
        <row r="246">
          <cell r="A246" t="str">
            <v>Tokelau</v>
          </cell>
        </row>
        <row r="247">
          <cell r="A247" t="str">
            <v>Tuvalu</v>
          </cell>
        </row>
        <row r="248">
          <cell r="A248" t="str">
            <v>U.S. Outlying Islands</v>
          </cell>
        </row>
        <row r="249">
          <cell r="A249" t="str">
            <v>Vatican City</v>
          </cell>
        </row>
        <row r="250">
          <cell r="A250" t="str">
            <v>British Virgin Islands</v>
          </cell>
        </row>
        <row r="251">
          <cell r="A251" t="str">
            <v>U.S. Virgin Islands</v>
          </cell>
        </row>
        <row r="252">
          <cell r="A252" t="str">
            <v>Wallis &amp; Futuna</v>
          </cell>
        </row>
        <row r="253">
          <cell r="A253" t="str">
            <v>Samoa</v>
          </cell>
        </row>
      </sheetData>
    </sheetDataSet>
  </externalBook>
</externalLink>
</file>

<file path=xl/externalLinks/externalLink1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83)"/>
    </sheetNames>
    <sheetDataSet>
      <sheetData sheetId="0">
        <row r="1">
          <cell r="A1" t="str">
            <v>Category: All categories</v>
          </cell>
        </row>
        <row r="3">
          <cell r="A3" t="str">
            <v>Country</v>
          </cell>
          <cell r="B3" t="str">
            <v>Hypertext Transfer Protocol: (2018)</v>
          </cell>
          <cell r="C3" t="str">
            <v>NaN: (2018)</v>
          </cell>
        </row>
        <row r="4">
          <cell r="A4" t="str">
            <v>China</v>
          </cell>
          <cell r="B4">
            <v>0.92</v>
          </cell>
          <cell r="C4">
            <v>0.08</v>
          </cell>
        </row>
        <row r="5">
          <cell r="A5" t="str">
            <v>Haiti</v>
          </cell>
        </row>
        <row r="6">
          <cell r="A6" t="str">
            <v>Cuba</v>
          </cell>
        </row>
        <row r="7">
          <cell r="A7" t="str">
            <v>Ethiopia</v>
          </cell>
        </row>
        <row r="8">
          <cell r="A8" t="str">
            <v>St. Helena</v>
          </cell>
          <cell r="B8">
            <v>0.89</v>
          </cell>
          <cell r="C8">
            <v>0.11</v>
          </cell>
        </row>
        <row r="9">
          <cell r="A9" t="str">
            <v>Myanmar (Burma)</v>
          </cell>
          <cell r="B9">
            <v>0.73</v>
          </cell>
          <cell r="C9">
            <v>0.27</v>
          </cell>
        </row>
        <row r="10">
          <cell r="A10" t="str">
            <v>South Korea</v>
          </cell>
          <cell r="B10">
            <v>0.9</v>
          </cell>
          <cell r="C10">
            <v>0.1</v>
          </cell>
        </row>
        <row r="11">
          <cell r="A11" t="str">
            <v>Papua New Guinea</v>
          </cell>
        </row>
        <row r="12">
          <cell r="A12" t="str">
            <v>Singapore</v>
          </cell>
          <cell r="B12">
            <v>0.78</v>
          </cell>
          <cell r="C12">
            <v>0.22</v>
          </cell>
        </row>
        <row r="13">
          <cell r="A13" t="str">
            <v>Jamaica</v>
          </cell>
        </row>
        <row r="14">
          <cell r="A14" t="str">
            <v>Togo</v>
          </cell>
        </row>
        <row r="15">
          <cell r="A15" t="str">
            <v>Chad</v>
          </cell>
        </row>
        <row r="16">
          <cell r="A16" t="str">
            <v>Liechtenstein</v>
          </cell>
        </row>
        <row r="17">
          <cell r="A17" t="str">
            <v>CuraÃ§ao</v>
          </cell>
        </row>
        <row r="18">
          <cell r="A18" t="str">
            <v>Israel</v>
          </cell>
          <cell r="B18">
            <v>0.91</v>
          </cell>
          <cell r="C18">
            <v>0.09</v>
          </cell>
        </row>
        <row r="19">
          <cell r="A19" t="str">
            <v>North Macedonia</v>
          </cell>
        </row>
        <row r="20">
          <cell r="A20" t="str">
            <v>Luxembourg</v>
          </cell>
        </row>
        <row r="21">
          <cell r="A21" t="str">
            <v>Cook Islands</v>
          </cell>
        </row>
        <row r="22">
          <cell r="A22" t="str">
            <v>Tanzania</v>
          </cell>
        </row>
        <row r="23">
          <cell r="A23" t="str">
            <v>Nigeria</v>
          </cell>
          <cell r="B23">
            <v>0.76</v>
          </cell>
          <cell r="C23">
            <v>0.24</v>
          </cell>
        </row>
        <row r="24">
          <cell r="A24" t="str">
            <v>Madagascar</v>
          </cell>
        </row>
        <row r="25">
          <cell r="A25" t="str">
            <v>Angola</v>
          </cell>
        </row>
        <row r="26">
          <cell r="A26" t="str">
            <v>Cape Verde</v>
          </cell>
        </row>
        <row r="27">
          <cell r="A27" t="str">
            <v>Malawi</v>
          </cell>
        </row>
        <row r="28">
          <cell r="A28" t="str">
            <v>Aruba</v>
          </cell>
        </row>
        <row r="29">
          <cell r="A29" t="str">
            <v>Philippines</v>
          </cell>
          <cell r="B29">
            <v>0.83</v>
          </cell>
          <cell r="C29">
            <v>0.17</v>
          </cell>
        </row>
        <row r="30">
          <cell r="A30" t="str">
            <v>Cameroon</v>
          </cell>
        </row>
        <row r="31">
          <cell r="A31" t="str">
            <v>Hong Kong</v>
          </cell>
          <cell r="B31">
            <v>0.83</v>
          </cell>
          <cell r="C31">
            <v>0.17</v>
          </cell>
        </row>
        <row r="32">
          <cell r="A32" t="str">
            <v>Mexico</v>
          </cell>
          <cell r="B32">
            <v>0.74</v>
          </cell>
          <cell r="C32">
            <v>0.26</v>
          </cell>
        </row>
        <row r="33">
          <cell r="A33" t="str">
            <v>Iceland</v>
          </cell>
        </row>
        <row r="34">
          <cell r="A34" t="str">
            <v>Germany</v>
          </cell>
          <cell r="B34">
            <v>0.85</v>
          </cell>
          <cell r="C34">
            <v>0.15</v>
          </cell>
        </row>
        <row r="35">
          <cell r="A35" t="str">
            <v>Bhutan</v>
          </cell>
        </row>
        <row r="36">
          <cell r="A36" t="str">
            <v>Burundi</v>
          </cell>
        </row>
        <row r="37">
          <cell r="A37" t="str">
            <v>Rwanda</v>
          </cell>
        </row>
        <row r="38">
          <cell r="A38" t="str">
            <v>Greenland</v>
          </cell>
        </row>
        <row r="39">
          <cell r="A39" t="str">
            <v>Kenya</v>
          </cell>
        </row>
        <row r="40">
          <cell r="A40" t="str">
            <v>Botswana</v>
          </cell>
        </row>
        <row r="41">
          <cell r="A41" t="str">
            <v>Ã…land Islands</v>
          </cell>
        </row>
        <row r="42">
          <cell r="A42" t="str">
            <v>Eswatini</v>
          </cell>
        </row>
        <row r="43">
          <cell r="A43" t="str">
            <v>Switzerland</v>
          </cell>
          <cell r="B43">
            <v>0.83</v>
          </cell>
          <cell r="C43">
            <v>0.17</v>
          </cell>
        </row>
        <row r="44">
          <cell r="A44" t="str">
            <v>Benin</v>
          </cell>
        </row>
        <row r="45">
          <cell r="A45" t="str">
            <v>Nepal</v>
          </cell>
        </row>
        <row r="46">
          <cell r="A46" t="str">
            <v>Sri Lanka</v>
          </cell>
          <cell r="B46">
            <v>0.57999999999999996</v>
          </cell>
          <cell r="C46">
            <v>0.42</v>
          </cell>
        </row>
        <row r="47">
          <cell r="A47" t="str">
            <v>Equatorial Guinea</v>
          </cell>
        </row>
        <row r="48">
          <cell r="A48" t="str">
            <v>Belarus</v>
          </cell>
          <cell r="B48">
            <v>0.81</v>
          </cell>
          <cell r="C48">
            <v>0.19</v>
          </cell>
        </row>
        <row r="49">
          <cell r="A49" t="str">
            <v>India</v>
          </cell>
          <cell r="B49">
            <v>0.8</v>
          </cell>
          <cell r="C49">
            <v>0.2</v>
          </cell>
        </row>
        <row r="50">
          <cell r="A50" t="str">
            <v>Austria</v>
          </cell>
          <cell r="B50">
            <v>0.85</v>
          </cell>
          <cell r="C50">
            <v>0.15</v>
          </cell>
        </row>
        <row r="51">
          <cell r="A51" t="str">
            <v>Estonia</v>
          </cell>
        </row>
        <row r="52">
          <cell r="A52" t="str">
            <v>Somalia</v>
          </cell>
        </row>
        <row r="53">
          <cell r="A53" t="str">
            <v>Armenia</v>
          </cell>
        </row>
        <row r="54">
          <cell r="A54" t="str">
            <v>Gibraltar</v>
          </cell>
        </row>
        <row r="55">
          <cell r="A55" t="str">
            <v>Uganda</v>
          </cell>
        </row>
        <row r="56">
          <cell r="A56" t="str">
            <v>Bangladesh</v>
          </cell>
          <cell r="B56">
            <v>0.87</v>
          </cell>
          <cell r="C56">
            <v>0.13</v>
          </cell>
        </row>
        <row r="57">
          <cell r="A57" t="str">
            <v>Zimbabwe</v>
          </cell>
        </row>
        <row r="58">
          <cell r="A58" t="str">
            <v>El Salvador</v>
          </cell>
        </row>
        <row r="59">
          <cell r="A59" t="str">
            <v>Fiji</v>
          </cell>
        </row>
        <row r="60">
          <cell r="A60" t="str">
            <v>Japan</v>
          </cell>
          <cell r="B60">
            <v>0.78</v>
          </cell>
          <cell r="C60">
            <v>0.22</v>
          </cell>
        </row>
        <row r="61">
          <cell r="A61" t="str">
            <v>Finland</v>
          </cell>
          <cell r="B61">
            <v>0.82</v>
          </cell>
          <cell r="C61">
            <v>0.18</v>
          </cell>
        </row>
        <row r="62">
          <cell r="A62" t="str">
            <v>Ecuador</v>
          </cell>
          <cell r="B62">
            <v>0.79</v>
          </cell>
          <cell r="C62">
            <v>0.21</v>
          </cell>
        </row>
        <row r="63">
          <cell r="A63" t="str">
            <v>Ukraine</v>
          </cell>
          <cell r="B63">
            <v>0.87</v>
          </cell>
          <cell r="C63">
            <v>0.13</v>
          </cell>
        </row>
        <row r="64">
          <cell r="A64" t="str">
            <v>Taiwan</v>
          </cell>
          <cell r="B64">
            <v>0.88</v>
          </cell>
          <cell r="C64">
            <v>0.12</v>
          </cell>
        </row>
        <row r="65">
          <cell r="A65" t="str">
            <v>Congo - Brazzaville</v>
          </cell>
        </row>
        <row r="66">
          <cell r="A66" t="str">
            <v>New Zealand</v>
          </cell>
          <cell r="B66">
            <v>0.83</v>
          </cell>
          <cell r="C66">
            <v>0.17</v>
          </cell>
        </row>
        <row r="67">
          <cell r="A67" t="str">
            <v>Mauritius</v>
          </cell>
        </row>
        <row r="68">
          <cell r="A68" t="str">
            <v>Mali</v>
          </cell>
        </row>
        <row r="69">
          <cell r="A69" t="str">
            <v>Czechia</v>
          </cell>
          <cell r="B69">
            <v>0.88</v>
          </cell>
          <cell r="C69">
            <v>0.12</v>
          </cell>
        </row>
        <row r="70">
          <cell r="A70" t="str">
            <v>Namibia</v>
          </cell>
        </row>
        <row r="71">
          <cell r="A71" t="str">
            <v>Macao</v>
          </cell>
        </row>
        <row r="72">
          <cell r="A72" t="str">
            <v>Monaco</v>
          </cell>
        </row>
        <row r="73">
          <cell r="A73" t="str">
            <v>Nicaragua</v>
          </cell>
        </row>
        <row r="74">
          <cell r="A74" t="str">
            <v>Portugal</v>
          </cell>
          <cell r="B74">
            <v>0.7</v>
          </cell>
          <cell r="C74">
            <v>0.3</v>
          </cell>
        </row>
        <row r="75">
          <cell r="A75" t="str">
            <v>Mozambique</v>
          </cell>
        </row>
        <row r="76">
          <cell r="A76" t="str">
            <v>Tunisia</v>
          </cell>
        </row>
        <row r="77">
          <cell r="A77" t="str">
            <v>Costa Rica</v>
          </cell>
          <cell r="B77">
            <v>0.75</v>
          </cell>
          <cell r="C77">
            <v>0.25</v>
          </cell>
        </row>
        <row r="78">
          <cell r="A78" t="str">
            <v>Niger</v>
          </cell>
        </row>
        <row r="79">
          <cell r="A79" t="str">
            <v>Ireland</v>
          </cell>
          <cell r="B79">
            <v>0.81</v>
          </cell>
          <cell r="C79">
            <v>0.19</v>
          </cell>
        </row>
        <row r="80">
          <cell r="A80" t="str">
            <v>Norway</v>
          </cell>
          <cell r="B80">
            <v>0.88</v>
          </cell>
          <cell r="C80">
            <v>0.12</v>
          </cell>
        </row>
        <row r="81">
          <cell r="A81" t="str">
            <v>Russia</v>
          </cell>
          <cell r="B81">
            <v>0.76</v>
          </cell>
          <cell r="C81">
            <v>0.24</v>
          </cell>
        </row>
        <row r="82">
          <cell r="A82" t="str">
            <v>Maldives</v>
          </cell>
        </row>
        <row r="83">
          <cell r="A83" t="str">
            <v>Cyprus</v>
          </cell>
        </row>
        <row r="84">
          <cell r="A84" t="str">
            <v>Guatemala</v>
          </cell>
          <cell r="B84">
            <v>0.7</v>
          </cell>
          <cell r="C84">
            <v>0.3</v>
          </cell>
        </row>
        <row r="85">
          <cell r="A85" t="str">
            <v>Indonesia</v>
          </cell>
          <cell r="B85">
            <v>0.93</v>
          </cell>
          <cell r="C85">
            <v>7.0000000000000007E-2</v>
          </cell>
        </row>
        <row r="86">
          <cell r="A86" t="str">
            <v>Romania</v>
          </cell>
          <cell r="B86">
            <v>0.63</v>
          </cell>
          <cell r="C86">
            <v>0.37</v>
          </cell>
        </row>
        <row r="87">
          <cell r="A87" t="str">
            <v>South Africa</v>
          </cell>
          <cell r="B87">
            <v>0.69</v>
          </cell>
          <cell r="C87">
            <v>0.31</v>
          </cell>
        </row>
        <row r="88">
          <cell r="A88" t="str">
            <v>Uzbekistan</v>
          </cell>
        </row>
        <row r="89">
          <cell r="A89" t="str">
            <v>Sweden</v>
          </cell>
          <cell r="B89">
            <v>0.86</v>
          </cell>
          <cell r="C89">
            <v>0.14000000000000001</v>
          </cell>
        </row>
        <row r="90">
          <cell r="A90" t="str">
            <v>Netherlands</v>
          </cell>
          <cell r="B90">
            <v>0.78</v>
          </cell>
          <cell r="C90">
            <v>0.22</v>
          </cell>
        </row>
        <row r="91">
          <cell r="A91" t="str">
            <v>Paraguay</v>
          </cell>
        </row>
        <row r="92">
          <cell r="A92" t="str">
            <v>Canada</v>
          </cell>
          <cell r="B92">
            <v>0.81</v>
          </cell>
          <cell r="C92">
            <v>0.19</v>
          </cell>
        </row>
        <row r="93">
          <cell r="A93" t="str">
            <v>Hungary</v>
          </cell>
          <cell r="B93">
            <v>0.92</v>
          </cell>
          <cell r="C93">
            <v>0.08</v>
          </cell>
        </row>
        <row r="94">
          <cell r="A94" t="str">
            <v>Turkmenistan</v>
          </cell>
        </row>
        <row r="95">
          <cell r="A95" t="str">
            <v>Moldova</v>
          </cell>
        </row>
        <row r="96">
          <cell r="A96" t="str">
            <v>Denmark</v>
          </cell>
          <cell r="B96">
            <v>0.7</v>
          </cell>
          <cell r="C96">
            <v>0.3</v>
          </cell>
        </row>
        <row r="97">
          <cell r="A97" t="str">
            <v>Albania</v>
          </cell>
        </row>
        <row r="98">
          <cell r="A98" t="str">
            <v>Honduras</v>
          </cell>
        </row>
        <row r="99">
          <cell r="A99" t="str">
            <v>Gambia</v>
          </cell>
        </row>
        <row r="100">
          <cell r="A100" t="str">
            <v>Malta</v>
          </cell>
        </row>
        <row r="101">
          <cell r="A101" t="str">
            <v>Slovakia</v>
          </cell>
        </row>
        <row r="102">
          <cell r="A102" t="str">
            <v>Australia</v>
          </cell>
          <cell r="B102">
            <v>0.66</v>
          </cell>
          <cell r="C102">
            <v>0.34</v>
          </cell>
        </row>
        <row r="103">
          <cell r="A103" t="str">
            <v>Pakistan</v>
          </cell>
          <cell r="B103">
            <v>0.7</v>
          </cell>
          <cell r="C103">
            <v>0.3</v>
          </cell>
        </row>
        <row r="104">
          <cell r="A104" t="str">
            <v>Solomon Islands</v>
          </cell>
        </row>
        <row r="105">
          <cell r="A105" t="str">
            <v>Cambodia</v>
          </cell>
        </row>
        <row r="106">
          <cell r="A106" t="str">
            <v>Ghana</v>
          </cell>
        </row>
        <row r="107">
          <cell r="A107" t="str">
            <v>Bolivia</v>
          </cell>
          <cell r="B107">
            <v>0.75</v>
          </cell>
          <cell r="C107">
            <v>0.25</v>
          </cell>
        </row>
        <row r="108">
          <cell r="A108" t="str">
            <v>United States</v>
          </cell>
          <cell r="B108">
            <v>0.81</v>
          </cell>
          <cell r="C108">
            <v>0.19</v>
          </cell>
        </row>
        <row r="109">
          <cell r="A109" t="str">
            <v>Bosnia &amp; Herzegovina</v>
          </cell>
        </row>
        <row r="110">
          <cell r="A110" t="str">
            <v>Peru</v>
          </cell>
          <cell r="B110">
            <v>0.73</v>
          </cell>
          <cell r="C110">
            <v>0.27</v>
          </cell>
        </row>
        <row r="111">
          <cell r="A111" t="str">
            <v>Laos</v>
          </cell>
        </row>
        <row r="112">
          <cell r="A112" t="str">
            <v>Latvia</v>
          </cell>
        </row>
        <row r="113">
          <cell r="A113" t="str">
            <v>Senegal</v>
          </cell>
        </row>
        <row r="114">
          <cell r="A114" t="str">
            <v>Colombia</v>
          </cell>
          <cell r="B114">
            <v>0.79</v>
          </cell>
          <cell r="C114">
            <v>0.21</v>
          </cell>
        </row>
        <row r="115">
          <cell r="A115" t="str">
            <v>Dominican Republic</v>
          </cell>
          <cell r="B115">
            <v>0.66</v>
          </cell>
          <cell r="C115">
            <v>0.34</v>
          </cell>
        </row>
        <row r="116">
          <cell r="A116" t="str">
            <v>Andorra</v>
          </cell>
        </row>
        <row r="117">
          <cell r="A117" t="str">
            <v>Isle of Man</v>
          </cell>
        </row>
        <row r="118">
          <cell r="A118" t="str">
            <v>Sudan</v>
          </cell>
        </row>
        <row r="119">
          <cell r="A119" t="str">
            <v>Spain</v>
          </cell>
          <cell r="B119">
            <v>0.78</v>
          </cell>
          <cell r="C119">
            <v>0.22</v>
          </cell>
        </row>
        <row r="120">
          <cell r="A120" t="str">
            <v>CÃ´te dâ€™Ivoire</v>
          </cell>
        </row>
        <row r="121">
          <cell r="A121" t="str">
            <v>Malaysia</v>
          </cell>
          <cell r="B121">
            <v>0.72</v>
          </cell>
          <cell r="C121">
            <v>0.28000000000000003</v>
          </cell>
        </row>
        <row r="122">
          <cell r="A122" t="str">
            <v>Belgium</v>
          </cell>
          <cell r="B122">
            <v>0.63</v>
          </cell>
          <cell r="C122">
            <v>0.37</v>
          </cell>
        </row>
        <row r="123">
          <cell r="A123" t="str">
            <v>Sierra Leone</v>
          </cell>
        </row>
        <row r="124">
          <cell r="A124" t="str">
            <v>Brazil</v>
          </cell>
          <cell r="B124">
            <v>0.59</v>
          </cell>
          <cell r="C124">
            <v>0.41</v>
          </cell>
        </row>
        <row r="125">
          <cell r="A125" t="str">
            <v>Panama</v>
          </cell>
        </row>
        <row r="126">
          <cell r="A126" t="str">
            <v>Burkina Faso</v>
          </cell>
        </row>
        <row r="127">
          <cell r="A127" t="str">
            <v>Bulgaria</v>
          </cell>
          <cell r="B127">
            <v>0.72</v>
          </cell>
          <cell r="C127">
            <v>0.28000000000000003</v>
          </cell>
        </row>
        <row r="128">
          <cell r="A128" t="str">
            <v>Uruguay</v>
          </cell>
        </row>
        <row r="129">
          <cell r="A129" t="str">
            <v>Zambia</v>
          </cell>
        </row>
        <row r="130">
          <cell r="A130" t="str">
            <v>New Caledonia</v>
          </cell>
        </row>
        <row r="131">
          <cell r="A131" t="str">
            <v>United Kingdom</v>
          </cell>
          <cell r="B131">
            <v>0.68</v>
          </cell>
          <cell r="C131">
            <v>0.32</v>
          </cell>
        </row>
        <row r="132">
          <cell r="A132" t="str">
            <v>Lesotho</v>
          </cell>
        </row>
        <row r="133">
          <cell r="A133" t="str">
            <v>Lebanon</v>
          </cell>
        </row>
        <row r="134">
          <cell r="A134" t="str">
            <v>Serbia</v>
          </cell>
        </row>
        <row r="135">
          <cell r="A135" t="str">
            <v>Mongolia</v>
          </cell>
        </row>
        <row r="136">
          <cell r="A136" t="str">
            <v>United Arab Emirates</v>
          </cell>
          <cell r="B136">
            <v>0.75</v>
          </cell>
          <cell r="C136">
            <v>0.25</v>
          </cell>
        </row>
        <row r="137">
          <cell r="A137" t="str">
            <v>France</v>
          </cell>
          <cell r="B137">
            <v>0.82</v>
          </cell>
          <cell r="C137">
            <v>0.18</v>
          </cell>
        </row>
        <row r="138">
          <cell r="A138" t="str">
            <v>Jersey</v>
          </cell>
        </row>
        <row r="139">
          <cell r="A139" t="str">
            <v>Lithuania</v>
          </cell>
        </row>
        <row r="140">
          <cell r="A140" t="str">
            <v>Timor-Leste</v>
          </cell>
        </row>
        <row r="141">
          <cell r="A141" t="str">
            <v>Gabon</v>
          </cell>
        </row>
        <row r="142">
          <cell r="A142" t="str">
            <v>French Polynesia</v>
          </cell>
        </row>
        <row r="143">
          <cell r="A143" t="str">
            <v>Poland</v>
          </cell>
          <cell r="B143">
            <v>0.6</v>
          </cell>
          <cell r="C143">
            <v>0.4</v>
          </cell>
        </row>
        <row r="144">
          <cell r="A144" t="str">
            <v>Liberia</v>
          </cell>
        </row>
        <row r="145">
          <cell r="A145" t="str">
            <v>Barbados</v>
          </cell>
        </row>
        <row r="146">
          <cell r="A146" t="str">
            <v>Congo - Kinshasa</v>
          </cell>
        </row>
        <row r="147">
          <cell r="A147" t="str">
            <v>Croatia</v>
          </cell>
          <cell r="B147">
            <v>0.72</v>
          </cell>
          <cell r="C147">
            <v>0.28000000000000003</v>
          </cell>
        </row>
        <row r="148">
          <cell r="A148" t="str">
            <v>Belize</v>
          </cell>
        </row>
        <row r="149">
          <cell r="A149" t="str">
            <v>Chile</v>
          </cell>
          <cell r="B149">
            <v>0.47</v>
          </cell>
          <cell r="C149">
            <v>0.53</v>
          </cell>
        </row>
        <row r="150">
          <cell r="A150" t="str">
            <v>South Sudan</v>
          </cell>
        </row>
        <row r="151">
          <cell r="A151" t="str">
            <v>Kazakhstan</v>
          </cell>
          <cell r="B151">
            <v>0.72</v>
          </cell>
          <cell r="C151">
            <v>0.28000000000000003</v>
          </cell>
        </row>
        <row r="152">
          <cell r="A152" t="str">
            <v>Kosovo</v>
          </cell>
        </row>
        <row r="153">
          <cell r="A153" t="str">
            <v>Guyana</v>
          </cell>
        </row>
        <row r="154">
          <cell r="A154" t="str">
            <v>Guernsey</v>
          </cell>
        </row>
        <row r="155">
          <cell r="A155" t="str">
            <v>Argentina</v>
          </cell>
          <cell r="B155">
            <v>0.84</v>
          </cell>
          <cell r="C155">
            <v>0.16</v>
          </cell>
        </row>
        <row r="156">
          <cell r="A156" t="str">
            <v>Morocco</v>
          </cell>
        </row>
        <row r="157">
          <cell r="A157" t="str">
            <v>Qatar</v>
          </cell>
        </row>
        <row r="158">
          <cell r="A158" t="str">
            <v>Cayman Islands</v>
          </cell>
        </row>
        <row r="159">
          <cell r="A159" t="str">
            <v>Iran</v>
          </cell>
          <cell r="B159">
            <v>0.92</v>
          </cell>
          <cell r="C159">
            <v>0.08</v>
          </cell>
        </row>
        <row r="160">
          <cell r="A160" t="str">
            <v>St. Vincent &amp; Grenadines</v>
          </cell>
        </row>
        <row r="161">
          <cell r="A161" t="str">
            <v>Slovenia</v>
          </cell>
        </row>
        <row r="162">
          <cell r="A162" t="str">
            <v>Tajikistan</v>
          </cell>
        </row>
        <row r="163">
          <cell r="A163" t="str">
            <v>Martinique</v>
          </cell>
        </row>
        <row r="164">
          <cell r="A164" t="str">
            <v>Egypt</v>
          </cell>
          <cell r="B164">
            <v>0.89</v>
          </cell>
          <cell r="C164">
            <v>0.11</v>
          </cell>
        </row>
        <row r="165">
          <cell r="A165" t="str">
            <v>Antigua &amp; Barbuda</v>
          </cell>
        </row>
        <row r="166">
          <cell r="A166" t="str">
            <v>Georgia</v>
          </cell>
        </row>
        <row r="167">
          <cell r="A167" t="str">
            <v>Palestine</v>
          </cell>
        </row>
        <row r="168">
          <cell r="A168" t="str">
            <v>Djibouti</v>
          </cell>
        </row>
        <row r="169">
          <cell r="A169" t="str">
            <v>Jordan</v>
          </cell>
        </row>
        <row r="170">
          <cell r="A170" t="str">
            <v>Mayotte</v>
          </cell>
        </row>
        <row r="171">
          <cell r="A171" t="str">
            <v>Afghanistan</v>
          </cell>
        </row>
        <row r="172">
          <cell r="A172" t="str">
            <v>Oman</v>
          </cell>
        </row>
        <row r="173">
          <cell r="A173" t="str">
            <v>Bermuda</v>
          </cell>
        </row>
        <row r="174">
          <cell r="A174" t="str">
            <v>Algeria</v>
          </cell>
        </row>
        <row r="175">
          <cell r="A175" t="str">
            <v>Kyrgyzstan</v>
          </cell>
        </row>
        <row r="176">
          <cell r="A176" t="str">
            <v>Montenegro</v>
          </cell>
        </row>
        <row r="177">
          <cell r="A177" t="str">
            <v>Italy</v>
          </cell>
          <cell r="B177">
            <v>0.85</v>
          </cell>
          <cell r="C177">
            <v>0.15</v>
          </cell>
        </row>
        <row r="178">
          <cell r="A178" t="str">
            <v>Iraq</v>
          </cell>
        </row>
        <row r="179">
          <cell r="A179" t="str">
            <v>Trinidad &amp; Tobago</v>
          </cell>
        </row>
        <row r="180">
          <cell r="A180" t="str">
            <v>Mauritania</v>
          </cell>
        </row>
        <row r="181">
          <cell r="A181" t="str">
            <v>Puerto Rico</v>
          </cell>
        </row>
        <row r="182">
          <cell r="A182" t="str">
            <v>Grenada</v>
          </cell>
        </row>
        <row r="183">
          <cell r="A183" t="str">
            <v>Vietnam</v>
          </cell>
          <cell r="B183">
            <v>0.62</v>
          </cell>
          <cell r="C183">
            <v>0.38</v>
          </cell>
        </row>
        <row r="184">
          <cell r="A184" t="str">
            <v>Libya</v>
          </cell>
        </row>
        <row r="185">
          <cell r="A185" t="str">
            <v>Syria</v>
          </cell>
        </row>
        <row r="186">
          <cell r="A186" t="str">
            <v>Bahrain</v>
          </cell>
        </row>
        <row r="187">
          <cell r="A187" t="str">
            <v>Azerbaijan</v>
          </cell>
        </row>
        <row r="188">
          <cell r="A188" t="str">
            <v>Seychelles</v>
          </cell>
        </row>
        <row r="189">
          <cell r="A189" t="str">
            <v>Greece</v>
          </cell>
          <cell r="B189">
            <v>0.68</v>
          </cell>
          <cell r="C189">
            <v>0.32</v>
          </cell>
        </row>
        <row r="190">
          <cell r="A190" t="str">
            <v>RÃ©union</v>
          </cell>
        </row>
        <row r="191">
          <cell r="A191" t="str">
            <v>Yemen</v>
          </cell>
        </row>
        <row r="192">
          <cell r="A192" t="str">
            <v>Venezuela</v>
          </cell>
          <cell r="B192">
            <v>0.66</v>
          </cell>
          <cell r="C192">
            <v>0.34</v>
          </cell>
        </row>
        <row r="193">
          <cell r="A193" t="str">
            <v>St. Lucia</v>
          </cell>
        </row>
        <row r="194">
          <cell r="A194" t="str">
            <v>Thailand</v>
          </cell>
          <cell r="B194">
            <v>0.78</v>
          </cell>
          <cell r="C194">
            <v>0.22</v>
          </cell>
        </row>
        <row r="195">
          <cell r="A195" t="str">
            <v>Brunei</v>
          </cell>
        </row>
        <row r="196">
          <cell r="A196" t="str">
            <v>Saudi Arabia</v>
          </cell>
          <cell r="B196">
            <v>0.82</v>
          </cell>
          <cell r="C196">
            <v>0.18</v>
          </cell>
        </row>
        <row r="197">
          <cell r="A197" t="str">
            <v>Guinea</v>
          </cell>
        </row>
        <row r="198">
          <cell r="A198" t="str">
            <v>Guadeloupe</v>
          </cell>
        </row>
        <row r="199">
          <cell r="A199" t="str">
            <v>Kuwait</v>
          </cell>
        </row>
        <row r="200">
          <cell r="A200" t="str">
            <v>Suriname</v>
          </cell>
        </row>
        <row r="201">
          <cell r="A201" t="str">
            <v>Bahamas</v>
          </cell>
        </row>
        <row r="202">
          <cell r="A202" t="str">
            <v>Guam</v>
          </cell>
        </row>
        <row r="203">
          <cell r="A203" t="str">
            <v>Turkey</v>
          </cell>
          <cell r="B203">
            <v>0.78</v>
          </cell>
          <cell r="C203">
            <v>0.22</v>
          </cell>
        </row>
        <row r="204">
          <cell r="A204" t="str">
            <v>Falkland Islands (Islas Malvinas)</v>
          </cell>
        </row>
        <row r="205">
          <cell r="A205" t="str">
            <v>Eritrea</v>
          </cell>
        </row>
        <row r="206">
          <cell r="A206" t="str">
            <v>Svalbard &amp; Jan Mayen</v>
          </cell>
        </row>
        <row r="207">
          <cell r="A207" t="str">
            <v>SÃ£o TomÃ© &amp; PrÃ­ncipe</v>
          </cell>
        </row>
        <row r="208">
          <cell r="A208" t="str">
            <v>Vanuatu</v>
          </cell>
        </row>
        <row r="209">
          <cell r="A209" t="str">
            <v>Marshall Islands</v>
          </cell>
        </row>
        <row r="210">
          <cell r="A210" t="str">
            <v>Tonga</v>
          </cell>
        </row>
        <row r="211">
          <cell r="A211" t="str">
            <v>San Marino</v>
          </cell>
        </row>
        <row r="212">
          <cell r="A212" t="str">
            <v>Palau</v>
          </cell>
        </row>
        <row r="213">
          <cell r="A213" t="str">
            <v>Guinea-Bissau</v>
          </cell>
        </row>
        <row r="214">
          <cell r="A214" t="str">
            <v>Central African Republic</v>
          </cell>
        </row>
        <row r="215">
          <cell r="A215" t="str">
            <v>St. Martin</v>
          </cell>
        </row>
        <row r="216">
          <cell r="A216" t="str">
            <v>Samoa</v>
          </cell>
        </row>
        <row r="217">
          <cell r="A217" t="str">
            <v>Faroe Islands</v>
          </cell>
        </row>
        <row r="218">
          <cell r="A218" t="str">
            <v>Northern Mariana Islands</v>
          </cell>
        </row>
        <row r="219">
          <cell r="A219" t="str">
            <v>St. Kitts &amp; Nevis</v>
          </cell>
        </row>
        <row r="220">
          <cell r="A220" t="str">
            <v>Dominica</v>
          </cell>
        </row>
        <row r="221">
          <cell r="A221" t="str">
            <v>Turks &amp; Caicos Islands</v>
          </cell>
        </row>
        <row r="222">
          <cell r="A222" t="str">
            <v>Caribbean Netherlands</v>
          </cell>
        </row>
        <row r="223">
          <cell r="A223" t="str">
            <v>U.S. Virgin Islands</v>
          </cell>
        </row>
        <row r="224">
          <cell r="A224" t="str">
            <v>St. BarthÃ©lemy</v>
          </cell>
        </row>
        <row r="225">
          <cell r="A225" t="str">
            <v>Western Sahara</v>
          </cell>
        </row>
        <row r="226">
          <cell r="A226" t="str">
            <v>Sint Maarten</v>
          </cell>
        </row>
        <row r="227">
          <cell r="A227" t="str">
            <v>French Guiana</v>
          </cell>
        </row>
        <row r="228">
          <cell r="A228" t="str">
            <v>Anguilla</v>
          </cell>
        </row>
        <row r="229">
          <cell r="A229" t="str">
            <v>American Samoa</v>
          </cell>
        </row>
        <row r="230">
          <cell r="A230" t="str">
            <v>Antarctica</v>
          </cell>
        </row>
        <row r="231">
          <cell r="A231" t="str">
            <v>French Southern Territories</v>
          </cell>
        </row>
        <row r="232">
          <cell r="A232" t="str">
            <v>Bouvet Island</v>
          </cell>
        </row>
        <row r="233">
          <cell r="A233" t="str">
            <v>Cocos (Keeling) Islands</v>
          </cell>
        </row>
        <row r="234">
          <cell r="A234" t="str">
            <v>Comoros</v>
          </cell>
        </row>
        <row r="235">
          <cell r="A235" t="str">
            <v>Christmas Island</v>
          </cell>
        </row>
        <row r="236">
          <cell r="A236" t="str">
            <v>Micronesia</v>
          </cell>
        </row>
        <row r="237">
          <cell r="A237" t="str">
            <v>Heard &amp; McDonald Islands</v>
          </cell>
        </row>
        <row r="238">
          <cell r="A238" t="str">
            <v>British Indian Ocean Territory</v>
          </cell>
        </row>
        <row r="239">
          <cell r="A239" t="str">
            <v>Kiribati</v>
          </cell>
        </row>
        <row r="240">
          <cell r="A240" t="str">
            <v>Montserrat</v>
          </cell>
        </row>
        <row r="241">
          <cell r="A241" t="str">
            <v>Norfolk Island</v>
          </cell>
        </row>
        <row r="242">
          <cell r="A242" t="str">
            <v>Niue</v>
          </cell>
        </row>
        <row r="243">
          <cell r="A243" t="str">
            <v>Nauru</v>
          </cell>
        </row>
        <row r="244">
          <cell r="A244" t="str">
            <v>Pitcairn Islands</v>
          </cell>
        </row>
        <row r="245">
          <cell r="A245" t="str">
            <v>North Korea</v>
          </cell>
        </row>
        <row r="246">
          <cell r="A246" t="str">
            <v>South Georgia &amp; South Sandwich Islands</v>
          </cell>
        </row>
        <row r="247">
          <cell r="A247" t="str">
            <v>St. Pierre &amp; Miquelon</v>
          </cell>
        </row>
        <row r="248">
          <cell r="A248" t="str">
            <v>Tokelau</v>
          </cell>
        </row>
        <row r="249">
          <cell r="A249" t="str">
            <v>Tuvalu</v>
          </cell>
        </row>
        <row r="250">
          <cell r="A250" t="str">
            <v>U.S. Outlying Islands</v>
          </cell>
        </row>
        <row r="251">
          <cell r="A251" t="str">
            <v>Vatican City</v>
          </cell>
        </row>
        <row r="252">
          <cell r="A252" t="str">
            <v>British Virgin Islands</v>
          </cell>
        </row>
        <row r="253">
          <cell r="A253" t="str">
            <v>Wallis &amp; Futuna</v>
          </cell>
        </row>
      </sheetData>
    </sheetDataSet>
  </externalBook>
</externalLink>
</file>

<file path=xl/externalLinks/externalLink1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sheetNames>
    <sheetDataSet>
      <sheetData sheetId="0">
        <row r="1">
          <cell r="A1" t="str">
            <v>Kategori: TÃ¼m kategoriler</v>
          </cell>
        </row>
        <row r="3">
          <cell r="A3" t="str">
            <v>Ãœlke</v>
          </cell>
          <cell r="B3" t="str">
            <v>Java: (2017)</v>
          </cell>
        </row>
        <row r="4">
          <cell r="A4" t="str">
            <v>China</v>
          </cell>
          <cell r="B4">
            <v>100</v>
          </cell>
        </row>
        <row r="5">
          <cell r="A5" t="str">
            <v>Eritrea</v>
          </cell>
        </row>
        <row r="6">
          <cell r="A6" t="str">
            <v>Madagascar</v>
          </cell>
        </row>
        <row r="7">
          <cell r="A7" t="str">
            <v>Bangladesh</v>
          </cell>
          <cell r="B7">
            <v>26</v>
          </cell>
        </row>
        <row r="8">
          <cell r="A8" t="str">
            <v>Cameroon</v>
          </cell>
          <cell r="B8">
            <v>25</v>
          </cell>
        </row>
        <row r="9">
          <cell r="A9" t="str">
            <v>Ethiopia</v>
          </cell>
          <cell r="B9">
            <v>24</v>
          </cell>
        </row>
        <row r="10">
          <cell r="A10" t="str">
            <v>South Korea</v>
          </cell>
          <cell r="B10">
            <v>21</v>
          </cell>
        </row>
        <row r="11">
          <cell r="A11" t="str">
            <v>India</v>
          </cell>
          <cell r="B11">
            <v>19</v>
          </cell>
        </row>
        <row r="12">
          <cell r="A12" t="str">
            <v>Burundi</v>
          </cell>
        </row>
        <row r="13">
          <cell r="A13" t="str">
            <v>Togo</v>
          </cell>
        </row>
        <row r="14">
          <cell r="A14" t="str">
            <v>SÃ£o TomÃ© &amp; PrÃ­ncipe</v>
          </cell>
        </row>
        <row r="15">
          <cell r="A15" t="str">
            <v>Cuba</v>
          </cell>
        </row>
        <row r="16">
          <cell r="A16" t="str">
            <v>Uganda</v>
          </cell>
        </row>
        <row r="17">
          <cell r="A17" t="str">
            <v>Sri Lanka</v>
          </cell>
          <cell r="B17">
            <v>15</v>
          </cell>
        </row>
        <row r="18">
          <cell r="A18" t="str">
            <v>Malawi</v>
          </cell>
        </row>
        <row r="19">
          <cell r="A19" t="str">
            <v>St. Helena</v>
          </cell>
          <cell r="B19">
            <v>14</v>
          </cell>
        </row>
        <row r="20">
          <cell r="A20" t="str">
            <v>Benin</v>
          </cell>
        </row>
        <row r="21">
          <cell r="A21" t="str">
            <v>Uzbekistan</v>
          </cell>
          <cell r="B21">
            <v>13</v>
          </cell>
        </row>
        <row r="22">
          <cell r="A22" t="str">
            <v>Nepal</v>
          </cell>
          <cell r="B22">
            <v>12</v>
          </cell>
        </row>
        <row r="23">
          <cell r="A23" t="str">
            <v>Zambia</v>
          </cell>
        </row>
        <row r="24">
          <cell r="A24" t="str">
            <v>Nigeria</v>
          </cell>
          <cell r="B24">
            <v>12</v>
          </cell>
        </row>
        <row r="25">
          <cell r="A25" t="str">
            <v>Botswana</v>
          </cell>
        </row>
        <row r="26">
          <cell r="A26" t="str">
            <v>Mozambique</v>
          </cell>
        </row>
        <row r="27">
          <cell r="A27" t="str">
            <v>Sierra Leone</v>
          </cell>
        </row>
        <row r="28">
          <cell r="A28" t="str">
            <v>Rwanda</v>
          </cell>
        </row>
        <row r="29">
          <cell r="A29" t="str">
            <v>Ã…land Islands</v>
          </cell>
        </row>
        <row r="30">
          <cell r="A30" t="str">
            <v>Singapore</v>
          </cell>
          <cell r="B30">
            <v>11</v>
          </cell>
        </row>
        <row r="31">
          <cell r="A31" t="str">
            <v>Luxembourg</v>
          </cell>
        </row>
        <row r="32">
          <cell r="A32" t="str">
            <v>Myanmar (Burma)</v>
          </cell>
        </row>
        <row r="33">
          <cell r="A33" t="str">
            <v>CÃ´te dâ€™Ivoire</v>
          </cell>
        </row>
        <row r="34">
          <cell r="A34" t="str">
            <v>Eswatini</v>
          </cell>
        </row>
        <row r="35">
          <cell r="A35" t="str">
            <v>Estonia</v>
          </cell>
        </row>
        <row r="36">
          <cell r="A36" t="str">
            <v>Congo - Kinshasa</v>
          </cell>
        </row>
        <row r="37">
          <cell r="A37" t="str">
            <v>Tunisia</v>
          </cell>
          <cell r="B37">
            <v>10</v>
          </cell>
        </row>
        <row r="38">
          <cell r="A38" t="str">
            <v>Congo - Brazzaville</v>
          </cell>
        </row>
        <row r="39">
          <cell r="A39" t="str">
            <v>Belarus</v>
          </cell>
          <cell r="B39">
            <v>10</v>
          </cell>
        </row>
        <row r="40">
          <cell r="A40" t="str">
            <v>Israel</v>
          </cell>
          <cell r="B40">
            <v>9</v>
          </cell>
        </row>
        <row r="41">
          <cell r="A41" t="str">
            <v>Central African Republic</v>
          </cell>
        </row>
        <row r="42">
          <cell r="A42" t="str">
            <v>Burkina Faso</v>
          </cell>
        </row>
        <row r="43">
          <cell r="A43" t="str">
            <v>Pakistan</v>
          </cell>
          <cell r="B43">
            <v>9</v>
          </cell>
        </row>
        <row r="44">
          <cell r="A44" t="str">
            <v>Comoros</v>
          </cell>
        </row>
        <row r="45">
          <cell r="A45" t="str">
            <v>Liechtenstein</v>
          </cell>
        </row>
        <row r="46">
          <cell r="A46" t="str">
            <v>Niger</v>
          </cell>
        </row>
        <row r="47">
          <cell r="A47" t="str">
            <v>Zimbabwe</v>
          </cell>
        </row>
        <row r="48">
          <cell r="A48" t="str">
            <v>Angola</v>
          </cell>
        </row>
        <row r="49">
          <cell r="A49" t="str">
            <v>Lesotho</v>
          </cell>
        </row>
        <row r="50">
          <cell r="A50" t="str">
            <v>Cape Verde</v>
          </cell>
        </row>
        <row r="51">
          <cell r="A51" t="str">
            <v>Guinea</v>
          </cell>
        </row>
        <row r="52">
          <cell r="A52" t="str">
            <v>Gibraltar</v>
          </cell>
        </row>
        <row r="53">
          <cell r="A53" t="str">
            <v>North Macedonia</v>
          </cell>
        </row>
        <row r="54">
          <cell r="A54" t="str">
            <v>Tanzania</v>
          </cell>
        </row>
        <row r="55">
          <cell r="A55" t="str">
            <v>Portugal</v>
          </cell>
          <cell r="B55">
            <v>7</v>
          </cell>
        </row>
        <row r="56">
          <cell r="A56" t="str">
            <v>Switzerland</v>
          </cell>
          <cell r="B56">
            <v>7</v>
          </cell>
        </row>
        <row r="57">
          <cell r="A57" t="str">
            <v>Germany</v>
          </cell>
          <cell r="B57">
            <v>7</v>
          </cell>
        </row>
        <row r="58">
          <cell r="A58" t="str">
            <v>Mauritius</v>
          </cell>
        </row>
        <row r="59">
          <cell r="A59" t="str">
            <v>Ireland</v>
          </cell>
          <cell r="B59">
            <v>7</v>
          </cell>
        </row>
        <row r="60">
          <cell r="A60" t="str">
            <v>Czechia</v>
          </cell>
          <cell r="B60">
            <v>7</v>
          </cell>
        </row>
        <row r="61">
          <cell r="A61" t="str">
            <v>Iceland</v>
          </cell>
        </row>
        <row r="62">
          <cell r="A62" t="str">
            <v>Hungary</v>
          </cell>
          <cell r="B62">
            <v>7</v>
          </cell>
        </row>
        <row r="63">
          <cell r="A63" t="str">
            <v>Hong Kong</v>
          </cell>
          <cell r="B63">
            <v>7</v>
          </cell>
        </row>
        <row r="64">
          <cell r="A64" t="str">
            <v>Mali</v>
          </cell>
        </row>
        <row r="65">
          <cell r="A65" t="str">
            <v>Philippines</v>
          </cell>
          <cell r="B65">
            <v>7</v>
          </cell>
        </row>
        <row r="66">
          <cell r="A66" t="str">
            <v>Ghana</v>
          </cell>
        </row>
        <row r="67">
          <cell r="A67" t="str">
            <v>Bhutan</v>
          </cell>
        </row>
        <row r="68">
          <cell r="A68" t="str">
            <v>Armenia</v>
          </cell>
        </row>
        <row r="69">
          <cell r="A69" t="str">
            <v>Serbia</v>
          </cell>
          <cell r="B69">
            <v>7</v>
          </cell>
        </row>
        <row r="70">
          <cell r="A70" t="str">
            <v>Laos</v>
          </cell>
        </row>
        <row r="71">
          <cell r="A71" t="str">
            <v>Senegal</v>
          </cell>
        </row>
        <row r="72">
          <cell r="A72" t="str">
            <v>Costa Rica</v>
          </cell>
          <cell r="B72">
            <v>6</v>
          </cell>
        </row>
        <row r="73">
          <cell r="A73" t="str">
            <v>Bulgaria</v>
          </cell>
          <cell r="B73">
            <v>6</v>
          </cell>
        </row>
        <row r="74">
          <cell r="A74" t="str">
            <v>Malta</v>
          </cell>
        </row>
        <row r="75">
          <cell r="A75" t="str">
            <v>Romania</v>
          </cell>
          <cell r="B75">
            <v>6</v>
          </cell>
        </row>
        <row r="76">
          <cell r="A76" t="str">
            <v>Ukraine</v>
          </cell>
          <cell r="B76">
            <v>6</v>
          </cell>
        </row>
        <row r="77">
          <cell r="A77" t="str">
            <v>Austria</v>
          </cell>
          <cell r="B77">
            <v>6</v>
          </cell>
        </row>
        <row r="78">
          <cell r="A78" t="str">
            <v>Afghanistan</v>
          </cell>
        </row>
        <row r="79">
          <cell r="A79" t="str">
            <v>Sweden</v>
          </cell>
          <cell r="B79">
            <v>6</v>
          </cell>
        </row>
        <row r="80">
          <cell r="A80" t="str">
            <v>Poland</v>
          </cell>
          <cell r="B80">
            <v>6</v>
          </cell>
        </row>
        <row r="81">
          <cell r="A81" t="str">
            <v>Ecuador</v>
          </cell>
          <cell r="B81">
            <v>6</v>
          </cell>
        </row>
        <row r="82">
          <cell r="A82" t="str">
            <v>Guinea-Bissau</v>
          </cell>
        </row>
        <row r="83">
          <cell r="A83" t="str">
            <v>Lithuania</v>
          </cell>
          <cell r="B83">
            <v>6</v>
          </cell>
        </row>
        <row r="84">
          <cell r="A84" t="str">
            <v>Latvia</v>
          </cell>
        </row>
        <row r="85">
          <cell r="A85" t="str">
            <v>El Salvador</v>
          </cell>
        </row>
        <row r="86">
          <cell r="A86" t="str">
            <v>Slovenia</v>
          </cell>
        </row>
        <row r="87">
          <cell r="A87" t="str">
            <v>Kenya</v>
          </cell>
          <cell r="B87">
            <v>6</v>
          </cell>
        </row>
        <row r="88">
          <cell r="A88" t="str">
            <v>Mexico</v>
          </cell>
          <cell r="B88">
            <v>6</v>
          </cell>
        </row>
        <row r="89">
          <cell r="A89" t="str">
            <v>Colombia</v>
          </cell>
          <cell r="B89">
            <v>6</v>
          </cell>
        </row>
        <row r="90">
          <cell r="A90" t="str">
            <v>Taiwan</v>
          </cell>
          <cell r="B90">
            <v>6</v>
          </cell>
        </row>
        <row r="91">
          <cell r="A91" t="str">
            <v>Vietnam</v>
          </cell>
          <cell r="B91">
            <v>6</v>
          </cell>
        </row>
        <row r="92">
          <cell r="A92" t="str">
            <v>Finland</v>
          </cell>
          <cell r="B92">
            <v>6</v>
          </cell>
        </row>
        <row r="93">
          <cell r="A93" t="str">
            <v>Canada</v>
          </cell>
          <cell r="B93">
            <v>6</v>
          </cell>
        </row>
        <row r="94">
          <cell r="A94" t="str">
            <v>Japan</v>
          </cell>
          <cell r="B94">
            <v>6</v>
          </cell>
        </row>
        <row r="95">
          <cell r="A95" t="str">
            <v>Bolivia</v>
          </cell>
        </row>
        <row r="96">
          <cell r="A96" t="str">
            <v>Slovakia</v>
          </cell>
          <cell r="B96">
            <v>5</v>
          </cell>
        </row>
        <row r="97">
          <cell r="A97" t="str">
            <v>United States</v>
          </cell>
          <cell r="B97">
            <v>5</v>
          </cell>
        </row>
        <row r="98">
          <cell r="A98" t="str">
            <v>Spain</v>
          </cell>
          <cell r="B98">
            <v>5</v>
          </cell>
        </row>
        <row r="99">
          <cell r="A99" t="str">
            <v>Albania</v>
          </cell>
        </row>
        <row r="100">
          <cell r="A100" t="str">
            <v>Croatia</v>
          </cell>
          <cell r="B100">
            <v>5</v>
          </cell>
        </row>
        <row r="101">
          <cell r="A101" t="str">
            <v>Mongolia</v>
          </cell>
        </row>
        <row r="102">
          <cell r="A102" t="str">
            <v>Belgium</v>
          </cell>
          <cell r="B102">
            <v>5</v>
          </cell>
        </row>
        <row r="103">
          <cell r="A103" t="str">
            <v>Namibia</v>
          </cell>
        </row>
        <row r="104">
          <cell r="A104" t="str">
            <v>Andorra</v>
          </cell>
        </row>
        <row r="105">
          <cell r="A105" t="str">
            <v>Chad</v>
          </cell>
        </row>
        <row r="106">
          <cell r="A106" t="str">
            <v>Moldova</v>
          </cell>
        </row>
        <row r="107">
          <cell r="A107" t="str">
            <v>Sudan</v>
          </cell>
        </row>
        <row r="108">
          <cell r="A108" t="str">
            <v>Gambia</v>
          </cell>
        </row>
        <row r="109">
          <cell r="A109" t="str">
            <v>Guatemala</v>
          </cell>
        </row>
        <row r="110">
          <cell r="A110" t="str">
            <v>Lebanon</v>
          </cell>
        </row>
        <row r="111">
          <cell r="A111" t="str">
            <v>Norway</v>
          </cell>
          <cell r="B111">
            <v>5</v>
          </cell>
        </row>
        <row r="112">
          <cell r="A112" t="str">
            <v>Morocco</v>
          </cell>
          <cell r="B112">
            <v>5</v>
          </cell>
        </row>
        <row r="113">
          <cell r="A113" t="str">
            <v>South Africa</v>
          </cell>
          <cell r="B113">
            <v>5</v>
          </cell>
        </row>
        <row r="114">
          <cell r="A114" t="str">
            <v>Denmark</v>
          </cell>
          <cell r="B114">
            <v>5</v>
          </cell>
        </row>
        <row r="115">
          <cell r="A115" t="str">
            <v>Gabon</v>
          </cell>
        </row>
        <row r="116">
          <cell r="A116" t="str">
            <v>Mauritania</v>
          </cell>
        </row>
        <row r="117">
          <cell r="A117" t="str">
            <v>Peru</v>
          </cell>
          <cell r="B117">
            <v>5</v>
          </cell>
        </row>
        <row r="118">
          <cell r="A118" t="str">
            <v>Uruguay</v>
          </cell>
        </row>
        <row r="119">
          <cell r="A119" t="str">
            <v>Cambodia</v>
          </cell>
        </row>
        <row r="120">
          <cell r="A120" t="str">
            <v>Indonesia</v>
          </cell>
          <cell r="B120">
            <v>5</v>
          </cell>
        </row>
        <row r="121">
          <cell r="A121" t="str">
            <v>Brazil</v>
          </cell>
          <cell r="B121">
            <v>5</v>
          </cell>
        </row>
        <row r="122">
          <cell r="A122" t="str">
            <v>Somalia</v>
          </cell>
        </row>
        <row r="123">
          <cell r="A123" t="str">
            <v>Faroe Islands</v>
          </cell>
        </row>
        <row r="124">
          <cell r="A124" t="str">
            <v>San Marino</v>
          </cell>
        </row>
        <row r="125">
          <cell r="A125" t="str">
            <v>Netherlands</v>
          </cell>
          <cell r="B125">
            <v>5</v>
          </cell>
        </row>
        <row r="126">
          <cell r="A126" t="str">
            <v>Paraguay</v>
          </cell>
        </row>
        <row r="127">
          <cell r="A127" t="str">
            <v>Kosovo</v>
          </cell>
        </row>
        <row r="128">
          <cell r="A128" t="str">
            <v>New Zealand</v>
          </cell>
          <cell r="B128">
            <v>4</v>
          </cell>
        </row>
        <row r="129">
          <cell r="A129" t="str">
            <v>Kazakhstan</v>
          </cell>
          <cell r="B129">
            <v>4</v>
          </cell>
        </row>
        <row r="130">
          <cell r="A130" t="str">
            <v>Cyprus</v>
          </cell>
        </row>
        <row r="131">
          <cell r="A131" t="str">
            <v>Bosnia &amp; Herzegovina</v>
          </cell>
        </row>
        <row r="132">
          <cell r="A132" t="str">
            <v>Macao</v>
          </cell>
        </row>
        <row r="133">
          <cell r="A133" t="str">
            <v>Haiti</v>
          </cell>
        </row>
        <row r="134">
          <cell r="A134" t="str">
            <v>Iran</v>
          </cell>
          <cell r="B134">
            <v>4</v>
          </cell>
        </row>
        <row r="135">
          <cell r="A135" t="str">
            <v>Russia</v>
          </cell>
          <cell r="B135">
            <v>4</v>
          </cell>
        </row>
        <row r="136">
          <cell r="A136" t="str">
            <v>Jordan</v>
          </cell>
        </row>
        <row r="137">
          <cell r="A137" t="str">
            <v>Equatorial Guinea</v>
          </cell>
        </row>
        <row r="138">
          <cell r="A138" t="str">
            <v>French Polynesia</v>
          </cell>
        </row>
        <row r="139">
          <cell r="A139" t="str">
            <v>Nicaragua</v>
          </cell>
        </row>
        <row r="140">
          <cell r="A140" t="str">
            <v>France</v>
          </cell>
          <cell r="B140">
            <v>4</v>
          </cell>
        </row>
        <row r="141">
          <cell r="A141" t="str">
            <v>Djibouti</v>
          </cell>
        </row>
        <row r="142">
          <cell r="A142" t="str">
            <v>Algeria</v>
          </cell>
          <cell r="B142">
            <v>4</v>
          </cell>
        </row>
        <row r="143">
          <cell r="A143" t="str">
            <v>Brunei</v>
          </cell>
        </row>
        <row r="144">
          <cell r="A144" t="str">
            <v>Tajikistan</v>
          </cell>
        </row>
        <row r="145">
          <cell r="A145" t="str">
            <v>Kyrgyzstan</v>
          </cell>
        </row>
        <row r="146">
          <cell r="A146" t="str">
            <v>Papua New Guinea</v>
          </cell>
        </row>
        <row r="147">
          <cell r="A147" t="str">
            <v>Azerbaijan</v>
          </cell>
        </row>
        <row r="148">
          <cell r="A148" t="str">
            <v>South Sudan</v>
          </cell>
        </row>
        <row r="149">
          <cell r="A149" t="str">
            <v>Syria</v>
          </cell>
        </row>
        <row r="150">
          <cell r="A150" t="str">
            <v>Greece</v>
          </cell>
          <cell r="B150">
            <v>4</v>
          </cell>
        </row>
        <row r="151">
          <cell r="A151" t="str">
            <v>Monaco</v>
          </cell>
        </row>
        <row r="152">
          <cell r="A152" t="str">
            <v>Australia</v>
          </cell>
          <cell r="B152">
            <v>4</v>
          </cell>
        </row>
        <row r="153">
          <cell r="A153" t="str">
            <v>Turkmenistan</v>
          </cell>
        </row>
        <row r="154">
          <cell r="A154" t="str">
            <v>Malaysia</v>
          </cell>
          <cell r="B154">
            <v>4</v>
          </cell>
        </row>
        <row r="155">
          <cell r="A155" t="str">
            <v>Chile</v>
          </cell>
          <cell r="B155">
            <v>4</v>
          </cell>
        </row>
        <row r="156">
          <cell r="A156" t="str">
            <v>Tonga</v>
          </cell>
        </row>
        <row r="157">
          <cell r="A157" t="str">
            <v>Liberia</v>
          </cell>
        </row>
        <row r="158">
          <cell r="A158" t="str">
            <v>United Kingdom</v>
          </cell>
          <cell r="B158">
            <v>4</v>
          </cell>
        </row>
        <row r="159">
          <cell r="A159" t="str">
            <v>Honduras</v>
          </cell>
        </row>
        <row r="160">
          <cell r="A160" t="str">
            <v>Italy</v>
          </cell>
          <cell r="B160">
            <v>4</v>
          </cell>
        </row>
        <row r="161">
          <cell r="A161" t="str">
            <v>Maldives</v>
          </cell>
        </row>
        <row r="162">
          <cell r="A162" t="str">
            <v>United Arab Emirates</v>
          </cell>
          <cell r="B162">
            <v>3</v>
          </cell>
        </row>
        <row r="163">
          <cell r="A163" t="str">
            <v>Egypt</v>
          </cell>
          <cell r="B163">
            <v>3</v>
          </cell>
        </row>
        <row r="164">
          <cell r="A164" t="str">
            <v>Venezuela</v>
          </cell>
          <cell r="B164">
            <v>3</v>
          </cell>
        </row>
        <row r="165">
          <cell r="A165" t="str">
            <v>Solomon Islands</v>
          </cell>
        </row>
        <row r="166">
          <cell r="A166" t="str">
            <v>Palestine</v>
          </cell>
        </row>
        <row r="167">
          <cell r="A167" t="str">
            <v>New Caledonia</v>
          </cell>
        </row>
        <row r="168">
          <cell r="A168" t="str">
            <v>Bahrain</v>
          </cell>
        </row>
        <row r="169">
          <cell r="A169" t="str">
            <v>Dominica</v>
          </cell>
        </row>
        <row r="170">
          <cell r="A170" t="str">
            <v>Timor-Leste</v>
          </cell>
        </row>
        <row r="171">
          <cell r="A171" t="str">
            <v>Greenland</v>
          </cell>
        </row>
        <row r="172">
          <cell r="A172" t="str">
            <v>St. Kitts &amp; Nevis</v>
          </cell>
        </row>
        <row r="173">
          <cell r="A173" t="str">
            <v>Panama</v>
          </cell>
        </row>
        <row r="174">
          <cell r="A174" t="str">
            <v>Jamaica</v>
          </cell>
        </row>
        <row r="175">
          <cell r="A175" t="str">
            <v>Argentina</v>
          </cell>
          <cell r="B175">
            <v>3</v>
          </cell>
        </row>
        <row r="176">
          <cell r="A176" t="str">
            <v>Yemen</v>
          </cell>
        </row>
        <row r="177">
          <cell r="A177" t="str">
            <v>Turkey</v>
          </cell>
          <cell r="B177">
            <v>3</v>
          </cell>
        </row>
        <row r="178">
          <cell r="A178" t="str">
            <v>Oman</v>
          </cell>
        </row>
        <row r="179">
          <cell r="A179" t="str">
            <v>Western Sahara</v>
          </cell>
        </row>
        <row r="180">
          <cell r="A180" t="str">
            <v>Libya</v>
          </cell>
        </row>
        <row r="181">
          <cell r="A181" t="str">
            <v>Montenegro</v>
          </cell>
        </row>
        <row r="182">
          <cell r="A182" t="str">
            <v>Georgia</v>
          </cell>
        </row>
        <row r="183">
          <cell r="A183" t="str">
            <v>Seychelles</v>
          </cell>
        </row>
        <row r="184">
          <cell r="A184" t="str">
            <v>Saudi Arabia</v>
          </cell>
          <cell r="B184">
            <v>3</v>
          </cell>
        </row>
        <row r="185">
          <cell r="A185" t="str">
            <v>Fiji</v>
          </cell>
        </row>
        <row r="186">
          <cell r="A186" t="str">
            <v>Trinidad &amp; Tobago</v>
          </cell>
        </row>
        <row r="187">
          <cell r="A187" t="str">
            <v>Suriname</v>
          </cell>
        </row>
        <row r="188">
          <cell r="A188" t="str">
            <v>Northern Mariana Islands</v>
          </cell>
        </row>
        <row r="189">
          <cell r="A189" t="str">
            <v>Dominican Republic</v>
          </cell>
        </row>
        <row r="190">
          <cell r="A190" t="str">
            <v>Guam</v>
          </cell>
        </row>
        <row r="191">
          <cell r="A191" t="str">
            <v>Thailand</v>
          </cell>
          <cell r="B191">
            <v>2</v>
          </cell>
        </row>
        <row r="192">
          <cell r="A192" t="str">
            <v>U.S. Virgin Islands</v>
          </cell>
        </row>
        <row r="193">
          <cell r="A193" t="str">
            <v>Barbados</v>
          </cell>
        </row>
        <row r="194">
          <cell r="A194" t="str">
            <v>Qatar</v>
          </cell>
        </row>
        <row r="195">
          <cell r="A195" t="str">
            <v>Mayotte</v>
          </cell>
        </row>
        <row r="196">
          <cell r="A196" t="str">
            <v>Grenada</v>
          </cell>
        </row>
        <row r="197">
          <cell r="A197" t="str">
            <v>RÃ©union</v>
          </cell>
        </row>
        <row r="198">
          <cell r="A198" t="str">
            <v>Guadeloupe</v>
          </cell>
        </row>
        <row r="199">
          <cell r="A199" t="str">
            <v>Kuwait</v>
          </cell>
        </row>
        <row r="200">
          <cell r="A200" t="str">
            <v>Samoa</v>
          </cell>
        </row>
        <row r="201">
          <cell r="A201" t="str">
            <v>Isle of Man</v>
          </cell>
        </row>
        <row r="202">
          <cell r="A202" t="str">
            <v>Puerto Rico</v>
          </cell>
        </row>
        <row r="203">
          <cell r="A203" t="str">
            <v>St. Vincent &amp; Grenadines</v>
          </cell>
        </row>
        <row r="204">
          <cell r="A204" t="str">
            <v>Belize</v>
          </cell>
        </row>
        <row r="205">
          <cell r="A205" t="str">
            <v>Iraq</v>
          </cell>
        </row>
        <row r="206">
          <cell r="A206" t="str">
            <v>Cayman Islands</v>
          </cell>
        </row>
        <row r="207">
          <cell r="A207" t="str">
            <v>Vanuatu</v>
          </cell>
        </row>
        <row r="208">
          <cell r="A208" t="str">
            <v>Antigua &amp; Barbuda</v>
          </cell>
        </row>
        <row r="209">
          <cell r="A209" t="str">
            <v>CuraÃ§ao</v>
          </cell>
        </row>
        <row r="210">
          <cell r="A210" t="str">
            <v>Guyana</v>
          </cell>
        </row>
        <row r="211">
          <cell r="A211" t="str">
            <v>Jersey</v>
          </cell>
        </row>
        <row r="212">
          <cell r="A212" t="str">
            <v>Martinique</v>
          </cell>
        </row>
        <row r="213">
          <cell r="A213" t="str">
            <v>Bermuda</v>
          </cell>
        </row>
        <row r="214">
          <cell r="A214" t="str">
            <v>Guernsey</v>
          </cell>
        </row>
        <row r="215">
          <cell r="A215" t="str">
            <v>Caribbean Netherlands</v>
          </cell>
        </row>
        <row r="216">
          <cell r="A216" t="str">
            <v>St. Lucia</v>
          </cell>
        </row>
        <row r="217">
          <cell r="A217" t="str">
            <v>Bahamas</v>
          </cell>
        </row>
        <row r="218">
          <cell r="A218" t="str">
            <v>Aruba</v>
          </cell>
        </row>
        <row r="219">
          <cell r="A219" t="str">
            <v>Sint Maarten</v>
          </cell>
        </row>
        <row r="220">
          <cell r="A220" t="str">
            <v>St. BarthÃ©lemy</v>
          </cell>
        </row>
        <row r="221">
          <cell r="A221" t="str">
            <v>French Guiana</v>
          </cell>
        </row>
        <row r="222">
          <cell r="A222" t="str">
            <v>North Korea</v>
          </cell>
        </row>
        <row r="223">
          <cell r="A223" t="str">
            <v>Falkland Islands (Islas Malvinas)</v>
          </cell>
        </row>
        <row r="224">
          <cell r="A224" t="str">
            <v>St. Pierre &amp; Miquelon</v>
          </cell>
        </row>
        <row r="225">
          <cell r="A225" t="str">
            <v>Palau</v>
          </cell>
        </row>
        <row r="226">
          <cell r="A226" t="str">
            <v>Montserrat</v>
          </cell>
        </row>
        <row r="227">
          <cell r="A227" t="str">
            <v>British Virgin Islands</v>
          </cell>
        </row>
        <row r="228">
          <cell r="A228" t="str">
            <v>Micronesia</v>
          </cell>
        </row>
        <row r="229">
          <cell r="A229" t="str">
            <v>Turks &amp; Caicos Islands</v>
          </cell>
        </row>
        <row r="230">
          <cell r="A230" t="str">
            <v>Anguilla</v>
          </cell>
        </row>
        <row r="231">
          <cell r="A231" t="str">
            <v>St. Martin</v>
          </cell>
        </row>
        <row r="232">
          <cell r="A232" t="str">
            <v>American Samoa</v>
          </cell>
        </row>
        <row r="233">
          <cell r="A233" t="str">
            <v>Antarctica</v>
          </cell>
        </row>
        <row r="234">
          <cell r="A234" t="str">
            <v>French Southern Territories</v>
          </cell>
        </row>
        <row r="235">
          <cell r="A235" t="str">
            <v>Bouvet Island</v>
          </cell>
        </row>
        <row r="236">
          <cell r="A236" t="str">
            <v>Cocos (Keeling) Islands</v>
          </cell>
        </row>
        <row r="237">
          <cell r="A237" t="str">
            <v>Cook Islands</v>
          </cell>
        </row>
        <row r="238">
          <cell r="A238" t="str">
            <v>Christmas Island</v>
          </cell>
        </row>
        <row r="239">
          <cell r="A239" t="str">
            <v>Heard &amp; McDonald Islands</v>
          </cell>
        </row>
        <row r="240">
          <cell r="A240" t="str">
            <v>British Indian Ocean Territory</v>
          </cell>
        </row>
        <row r="241">
          <cell r="A241" t="str">
            <v>Kiribati</v>
          </cell>
        </row>
        <row r="242">
          <cell r="A242" t="str">
            <v>Marshall Islands</v>
          </cell>
        </row>
        <row r="243">
          <cell r="A243" t="str">
            <v>Norfolk Island</v>
          </cell>
        </row>
        <row r="244">
          <cell r="A244" t="str">
            <v>Niue</v>
          </cell>
        </row>
        <row r="245">
          <cell r="A245" t="str">
            <v>Nauru</v>
          </cell>
        </row>
        <row r="246">
          <cell r="A246" t="str">
            <v>Pitcairn Islands</v>
          </cell>
        </row>
        <row r="247">
          <cell r="A247" t="str">
            <v>South Georgia &amp; South Sandwich Islands</v>
          </cell>
        </row>
        <row r="248">
          <cell r="A248" t="str">
            <v>Svalbard &amp; Jan Mayen</v>
          </cell>
        </row>
        <row r="249">
          <cell r="A249" t="str">
            <v>Tokelau</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1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
    </sheetNames>
    <sheetDataSet>
      <sheetData sheetId="0">
        <row r="1">
          <cell r="A1" t="str">
            <v>Kategori: TÃ¼m kategoriler</v>
          </cell>
        </row>
        <row r="3">
          <cell r="A3" t="str">
            <v>Ãœlke</v>
          </cell>
          <cell r="B3" t="str">
            <v>Java: (2017)</v>
          </cell>
          <cell r="C3" t="str">
            <v>Python: (2017)</v>
          </cell>
        </row>
        <row r="4">
          <cell r="A4" t="str">
            <v>China</v>
          </cell>
          <cell r="B4">
            <v>0.4</v>
          </cell>
          <cell r="C4">
            <v>0.6</v>
          </cell>
        </row>
        <row r="5">
          <cell r="A5" t="str">
            <v>Eritrea</v>
          </cell>
        </row>
        <row r="6">
          <cell r="A6" t="str">
            <v>Madagascar</v>
          </cell>
        </row>
        <row r="7">
          <cell r="A7" t="str">
            <v>Cameroon</v>
          </cell>
        </row>
        <row r="8">
          <cell r="A8" t="str">
            <v>Bangladesh</v>
          </cell>
          <cell r="B8">
            <v>0.94</v>
          </cell>
          <cell r="C8">
            <v>0.06</v>
          </cell>
        </row>
        <row r="9">
          <cell r="A9" t="str">
            <v>Ethiopia</v>
          </cell>
        </row>
        <row r="10">
          <cell r="A10" t="str">
            <v>SÃ£o TomÃ© &amp; PrÃ­ncipe</v>
          </cell>
        </row>
        <row r="11">
          <cell r="A11" t="str">
            <v>South Korea</v>
          </cell>
          <cell r="B11">
            <v>0.6</v>
          </cell>
          <cell r="C11">
            <v>0.4</v>
          </cell>
        </row>
        <row r="12">
          <cell r="A12" t="str">
            <v>India</v>
          </cell>
          <cell r="B12">
            <v>0.78</v>
          </cell>
          <cell r="C12">
            <v>0.22</v>
          </cell>
        </row>
        <row r="13">
          <cell r="A13" t="str">
            <v>Togo</v>
          </cell>
        </row>
        <row r="14">
          <cell r="A14" t="str">
            <v>Cuba</v>
          </cell>
        </row>
        <row r="15">
          <cell r="A15" t="str">
            <v>Burundi</v>
          </cell>
        </row>
        <row r="16">
          <cell r="A16" t="str">
            <v>Uganda</v>
          </cell>
        </row>
        <row r="17">
          <cell r="A17" t="str">
            <v>Malawi</v>
          </cell>
        </row>
        <row r="18">
          <cell r="A18" t="str">
            <v>Sri Lanka</v>
          </cell>
          <cell r="B18">
            <v>0.82</v>
          </cell>
          <cell r="C18">
            <v>0.18</v>
          </cell>
        </row>
        <row r="19">
          <cell r="A19" t="str">
            <v>Benin</v>
          </cell>
        </row>
        <row r="20">
          <cell r="A20" t="str">
            <v>St. Helena</v>
          </cell>
          <cell r="B20">
            <v>0.63</v>
          </cell>
          <cell r="C20">
            <v>0.37</v>
          </cell>
        </row>
        <row r="21">
          <cell r="A21" t="str">
            <v>Uzbekistan</v>
          </cell>
        </row>
        <row r="22">
          <cell r="A22" t="str">
            <v>Botswana</v>
          </cell>
        </row>
        <row r="23">
          <cell r="A23" t="str">
            <v>Zambia</v>
          </cell>
        </row>
        <row r="24">
          <cell r="A24" t="str">
            <v>Nepal</v>
          </cell>
        </row>
        <row r="25">
          <cell r="A25" t="str">
            <v>Mozambique</v>
          </cell>
        </row>
        <row r="26">
          <cell r="A26" t="str">
            <v>Nigeria</v>
          </cell>
          <cell r="B26">
            <v>0.84</v>
          </cell>
          <cell r="C26">
            <v>0.16</v>
          </cell>
        </row>
        <row r="27">
          <cell r="A27" t="str">
            <v>Ã…land Islands</v>
          </cell>
        </row>
        <row r="28">
          <cell r="A28" t="str">
            <v>Israel</v>
          </cell>
          <cell r="B28">
            <v>0.44</v>
          </cell>
          <cell r="C28">
            <v>0.56000000000000005</v>
          </cell>
        </row>
        <row r="29">
          <cell r="A29" t="str">
            <v>Rwanda</v>
          </cell>
        </row>
        <row r="30">
          <cell r="A30" t="str">
            <v>Luxembourg</v>
          </cell>
        </row>
        <row r="31">
          <cell r="A31" t="str">
            <v>Singapore</v>
          </cell>
          <cell r="B31">
            <v>0.5</v>
          </cell>
          <cell r="C31">
            <v>0.5</v>
          </cell>
        </row>
        <row r="32">
          <cell r="A32" t="str">
            <v>Sierra Leone</v>
          </cell>
        </row>
        <row r="33">
          <cell r="A33" t="str">
            <v>Myanmar (Burma)</v>
          </cell>
        </row>
        <row r="34">
          <cell r="A34" t="str">
            <v>Estonia</v>
          </cell>
        </row>
        <row r="35">
          <cell r="A35" t="str">
            <v>CÃ´te dâ€™Ivoire</v>
          </cell>
        </row>
        <row r="36">
          <cell r="A36" t="str">
            <v>Comoros</v>
          </cell>
        </row>
        <row r="37">
          <cell r="A37" t="str">
            <v>Belarus</v>
          </cell>
          <cell r="B37">
            <v>0.72</v>
          </cell>
          <cell r="C37">
            <v>0.28000000000000003</v>
          </cell>
        </row>
        <row r="38">
          <cell r="A38" t="str">
            <v>Burkina Faso</v>
          </cell>
        </row>
        <row r="39">
          <cell r="A39" t="str">
            <v>Tunisia</v>
          </cell>
          <cell r="B39">
            <v>0.75</v>
          </cell>
          <cell r="C39">
            <v>0.25</v>
          </cell>
        </row>
        <row r="40">
          <cell r="A40" t="str">
            <v>Congo - Kinshasa</v>
          </cell>
        </row>
        <row r="41">
          <cell r="A41" t="str">
            <v>Eswatini</v>
          </cell>
        </row>
        <row r="42">
          <cell r="A42" t="str">
            <v>Central African Republic</v>
          </cell>
        </row>
        <row r="43">
          <cell r="A43" t="str">
            <v>Pakistan</v>
          </cell>
          <cell r="B43">
            <v>0.78</v>
          </cell>
          <cell r="C43">
            <v>0.22</v>
          </cell>
        </row>
        <row r="44">
          <cell r="A44" t="str">
            <v>Congo - Brazzaville</v>
          </cell>
        </row>
        <row r="45">
          <cell r="A45" t="str">
            <v>Niger</v>
          </cell>
        </row>
        <row r="46">
          <cell r="A46" t="str">
            <v>Iceland</v>
          </cell>
        </row>
        <row r="47">
          <cell r="A47" t="str">
            <v>Guinea-Bissau</v>
          </cell>
        </row>
        <row r="48">
          <cell r="A48" t="str">
            <v>Liechtenstein</v>
          </cell>
        </row>
        <row r="49">
          <cell r="A49" t="str">
            <v>Zimbabwe</v>
          </cell>
        </row>
        <row r="50">
          <cell r="A50" t="str">
            <v>Angola</v>
          </cell>
        </row>
        <row r="51">
          <cell r="A51" t="str">
            <v>Cape Verde</v>
          </cell>
        </row>
        <row r="52">
          <cell r="A52" t="str">
            <v>Lesotho</v>
          </cell>
        </row>
        <row r="53">
          <cell r="A53" t="str">
            <v>Tanzania</v>
          </cell>
        </row>
        <row r="54">
          <cell r="A54" t="str">
            <v>North Macedonia</v>
          </cell>
        </row>
        <row r="55">
          <cell r="A55" t="str">
            <v>Gibraltar</v>
          </cell>
        </row>
        <row r="56">
          <cell r="A56" t="str">
            <v>Portugal</v>
          </cell>
          <cell r="B56">
            <v>0.67</v>
          </cell>
          <cell r="C56">
            <v>0.33</v>
          </cell>
        </row>
        <row r="57">
          <cell r="A57" t="str">
            <v>Guinea</v>
          </cell>
        </row>
        <row r="58">
          <cell r="A58" t="str">
            <v>Switzerland</v>
          </cell>
          <cell r="B58">
            <v>0.52</v>
          </cell>
          <cell r="C58">
            <v>0.48</v>
          </cell>
        </row>
        <row r="59">
          <cell r="A59" t="str">
            <v>Germany</v>
          </cell>
          <cell r="B59">
            <v>0.6</v>
          </cell>
          <cell r="C59">
            <v>0.4</v>
          </cell>
        </row>
        <row r="60">
          <cell r="A60" t="str">
            <v>Ireland</v>
          </cell>
          <cell r="B60">
            <v>0.55000000000000004</v>
          </cell>
          <cell r="C60">
            <v>0.45</v>
          </cell>
        </row>
        <row r="61">
          <cell r="A61" t="str">
            <v>Czechia</v>
          </cell>
          <cell r="B61">
            <v>0.59</v>
          </cell>
          <cell r="C61">
            <v>0.41</v>
          </cell>
        </row>
        <row r="62">
          <cell r="A62" t="str">
            <v>Armenia</v>
          </cell>
        </row>
        <row r="63">
          <cell r="A63" t="str">
            <v>Hungary</v>
          </cell>
          <cell r="B63">
            <v>0.7</v>
          </cell>
          <cell r="C63">
            <v>0.3</v>
          </cell>
        </row>
        <row r="64">
          <cell r="A64" t="str">
            <v>Mauritius</v>
          </cell>
        </row>
        <row r="65">
          <cell r="A65" t="str">
            <v>Senegal</v>
          </cell>
        </row>
        <row r="66">
          <cell r="A66" t="str">
            <v>Hong Kong</v>
          </cell>
          <cell r="B66">
            <v>0.51</v>
          </cell>
          <cell r="C66">
            <v>0.49</v>
          </cell>
        </row>
        <row r="67">
          <cell r="A67" t="str">
            <v>Mali</v>
          </cell>
        </row>
        <row r="68">
          <cell r="A68" t="str">
            <v>Serbia</v>
          </cell>
          <cell r="B68">
            <v>0.69</v>
          </cell>
          <cell r="C68">
            <v>0.31</v>
          </cell>
        </row>
        <row r="69">
          <cell r="A69" t="str">
            <v>Ghana</v>
          </cell>
        </row>
        <row r="70">
          <cell r="A70" t="str">
            <v>Costa Rica</v>
          </cell>
        </row>
        <row r="71">
          <cell r="A71" t="str">
            <v>Philippines</v>
          </cell>
          <cell r="B71">
            <v>0.75</v>
          </cell>
          <cell r="C71">
            <v>0.25</v>
          </cell>
        </row>
        <row r="72">
          <cell r="A72" t="str">
            <v>Bulgaria</v>
          </cell>
          <cell r="B72">
            <v>0.75</v>
          </cell>
          <cell r="C72">
            <v>0.25</v>
          </cell>
        </row>
        <row r="73">
          <cell r="A73" t="str">
            <v>Laos</v>
          </cell>
        </row>
        <row r="74">
          <cell r="A74" t="str">
            <v>Romania</v>
          </cell>
          <cell r="B74">
            <v>0.71</v>
          </cell>
          <cell r="C74">
            <v>0.28999999999999998</v>
          </cell>
        </row>
        <row r="75">
          <cell r="A75" t="str">
            <v>Austria</v>
          </cell>
          <cell r="B75">
            <v>0.61</v>
          </cell>
          <cell r="C75">
            <v>0.39</v>
          </cell>
        </row>
        <row r="76">
          <cell r="A76" t="str">
            <v>Malta</v>
          </cell>
        </row>
        <row r="77">
          <cell r="A77" t="str">
            <v>Ukraine</v>
          </cell>
          <cell r="B77">
            <v>0.67</v>
          </cell>
          <cell r="C77">
            <v>0.33</v>
          </cell>
        </row>
        <row r="78">
          <cell r="A78" t="str">
            <v>Taiwan</v>
          </cell>
          <cell r="B78">
            <v>0.48</v>
          </cell>
          <cell r="C78">
            <v>0.52</v>
          </cell>
        </row>
        <row r="79">
          <cell r="A79" t="str">
            <v>Poland</v>
          </cell>
          <cell r="B79">
            <v>0.67</v>
          </cell>
          <cell r="C79">
            <v>0.33</v>
          </cell>
        </row>
        <row r="80">
          <cell r="A80" t="str">
            <v>Latvia</v>
          </cell>
        </row>
        <row r="81">
          <cell r="A81" t="str">
            <v>Sweden</v>
          </cell>
          <cell r="B81">
            <v>0.54</v>
          </cell>
          <cell r="C81">
            <v>0.46</v>
          </cell>
        </row>
        <row r="82">
          <cell r="A82" t="str">
            <v>Lithuania</v>
          </cell>
        </row>
        <row r="83">
          <cell r="A83" t="str">
            <v>Afghanistan</v>
          </cell>
        </row>
        <row r="84">
          <cell r="A84" t="str">
            <v>Bhutan</v>
          </cell>
        </row>
        <row r="85">
          <cell r="A85" t="str">
            <v>Ecuador</v>
          </cell>
          <cell r="B85">
            <v>0.8</v>
          </cell>
          <cell r="C85">
            <v>0.2</v>
          </cell>
        </row>
        <row r="86">
          <cell r="A86" t="str">
            <v>El Salvador</v>
          </cell>
        </row>
        <row r="87">
          <cell r="A87" t="str">
            <v>Kenya</v>
          </cell>
          <cell r="B87">
            <v>0.69</v>
          </cell>
          <cell r="C87">
            <v>0.31</v>
          </cell>
        </row>
        <row r="88">
          <cell r="A88" t="str">
            <v>Finland</v>
          </cell>
          <cell r="B88">
            <v>0.48</v>
          </cell>
          <cell r="C88">
            <v>0.52</v>
          </cell>
        </row>
        <row r="89">
          <cell r="A89" t="str">
            <v>Slovenia</v>
          </cell>
        </row>
        <row r="90">
          <cell r="A90" t="str">
            <v>Colombia</v>
          </cell>
          <cell r="B90">
            <v>0.77</v>
          </cell>
          <cell r="C90">
            <v>0.23</v>
          </cell>
        </row>
        <row r="91">
          <cell r="A91" t="str">
            <v>Mexico</v>
          </cell>
          <cell r="B91">
            <v>0.82</v>
          </cell>
          <cell r="C91">
            <v>0.18</v>
          </cell>
        </row>
        <row r="92">
          <cell r="A92" t="str">
            <v>Norway</v>
          </cell>
          <cell r="B92">
            <v>0.47</v>
          </cell>
          <cell r="C92">
            <v>0.53</v>
          </cell>
        </row>
        <row r="93">
          <cell r="A93" t="str">
            <v>United States</v>
          </cell>
          <cell r="B93">
            <v>0.49</v>
          </cell>
          <cell r="C93">
            <v>0.51</v>
          </cell>
        </row>
        <row r="94">
          <cell r="A94" t="str">
            <v>Japan</v>
          </cell>
          <cell r="B94">
            <v>0.6</v>
          </cell>
          <cell r="C94">
            <v>0.4</v>
          </cell>
        </row>
        <row r="95">
          <cell r="A95" t="str">
            <v>Canada</v>
          </cell>
          <cell r="B95">
            <v>0.51</v>
          </cell>
          <cell r="C95">
            <v>0.49</v>
          </cell>
        </row>
        <row r="96">
          <cell r="A96" t="str">
            <v>Bolivia</v>
          </cell>
        </row>
        <row r="97">
          <cell r="A97" t="str">
            <v>Slovakia</v>
          </cell>
          <cell r="B97">
            <v>0.65</v>
          </cell>
          <cell r="C97">
            <v>0.35</v>
          </cell>
        </row>
        <row r="98">
          <cell r="A98" t="str">
            <v>Vietnam</v>
          </cell>
          <cell r="B98">
            <v>0.82</v>
          </cell>
          <cell r="C98">
            <v>0.18</v>
          </cell>
        </row>
        <row r="99">
          <cell r="A99" t="str">
            <v>Spain</v>
          </cell>
          <cell r="B99">
            <v>0.68</v>
          </cell>
          <cell r="C99">
            <v>0.32</v>
          </cell>
        </row>
        <row r="100">
          <cell r="A100" t="str">
            <v>Mongolia</v>
          </cell>
        </row>
        <row r="101">
          <cell r="A101" t="str">
            <v>Namibia</v>
          </cell>
        </row>
        <row r="102">
          <cell r="A102" t="str">
            <v>Guatemala</v>
          </cell>
        </row>
        <row r="103">
          <cell r="A103" t="str">
            <v>Belgium</v>
          </cell>
          <cell r="B103">
            <v>0.56999999999999995</v>
          </cell>
          <cell r="C103">
            <v>0.43</v>
          </cell>
        </row>
        <row r="104">
          <cell r="A104" t="str">
            <v>Chad</v>
          </cell>
        </row>
        <row r="105">
          <cell r="A105" t="str">
            <v>Lebanon</v>
          </cell>
        </row>
        <row r="106">
          <cell r="A106" t="str">
            <v>Croatia</v>
          </cell>
          <cell r="B106">
            <v>0.61</v>
          </cell>
          <cell r="C106">
            <v>0.39</v>
          </cell>
        </row>
        <row r="107">
          <cell r="A107" t="str">
            <v>Morocco</v>
          </cell>
          <cell r="B107">
            <v>0.75</v>
          </cell>
          <cell r="C107">
            <v>0.25</v>
          </cell>
        </row>
        <row r="108">
          <cell r="A108" t="str">
            <v>Albania</v>
          </cell>
        </row>
        <row r="109">
          <cell r="A109" t="str">
            <v>New Zealand</v>
          </cell>
          <cell r="B109">
            <v>0.47</v>
          </cell>
          <cell r="C109">
            <v>0.53</v>
          </cell>
        </row>
        <row r="110">
          <cell r="A110" t="str">
            <v>Netherlands</v>
          </cell>
          <cell r="B110">
            <v>0.48</v>
          </cell>
          <cell r="C110">
            <v>0.52</v>
          </cell>
        </row>
        <row r="111">
          <cell r="A111" t="str">
            <v>Sudan</v>
          </cell>
        </row>
        <row r="112">
          <cell r="A112" t="str">
            <v>Faroe Islands</v>
          </cell>
        </row>
        <row r="113">
          <cell r="A113" t="str">
            <v>South Africa</v>
          </cell>
          <cell r="B113">
            <v>0.63</v>
          </cell>
          <cell r="C113">
            <v>0.37</v>
          </cell>
        </row>
        <row r="114">
          <cell r="A114" t="str">
            <v>Peru</v>
          </cell>
          <cell r="B114">
            <v>0.8</v>
          </cell>
          <cell r="C114">
            <v>0.2</v>
          </cell>
        </row>
        <row r="115">
          <cell r="A115" t="str">
            <v>Denmark</v>
          </cell>
          <cell r="B115">
            <v>0.53</v>
          </cell>
          <cell r="C115">
            <v>0.47</v>
          </cell>
        </row>
        <row r="116">
          <cell r="A116" t="str">
            <v>Cambodia</v>
          </cell>
        </row>
        <row r="117">
          <cell r="A117" t="str">
            <v>Moldova</v>
          </cell>
        </row>
        <row r="118">
          <cell r="A118" t="str">
            <v>Somalia</v>
          </cell>
        </row>
        <row r="119">
          <cell r="A119" t="str">
            <v>Andorra</v>
          </cell>
        </row>
        <row r="120">
          <cell r="A120" t="str">
            <v>Uruguay</v>
          </cell>
        </row>
        <row r="121">
          <cell r="A121" t="str">
            <v>Indonesia</v>
          </cell>
          <cell r="B121">
            <v>0.85</v>
          </cell>
          <cell r="C121">
            <v>0.15</v>
          </cell>
        </row>
        <row r="122">
          <cell r="A122" t="str">
            <v>Brazil</v>
          </cell>
          <cell r="B122">
            <v>0.76</v>
          </cell>
          <cell r="C122">
            <v>0.24</v>
          </cell>
        </row>
        <row r="123">
          <cell r="A123" t="str">
            <v>Gambia</v>
          </cell>
        </row>
        <row r="124">
          <cell r="A124" t="str">
            <v>Paraguay</v>
          </cell>
        </row>
        <row r="125">
          <cell r="A125" t="str">
            <v>Haiti</v>
          </cell>
        </row>
        <row r="126">
          <cell r="A126" t="str">
            <v>Djibouti</v>
          </cell>
        </row>
        <row r="127">
          <cell r="A127" t="str">
            <v>United Kingdom</v>
          </cell>
          <cell r="B127">
            <v>0.44</v>
          </cell>
          <cell r="C127">
            <v>0.56000000000000005</v>
          </cell>
        </row>
        <row r="128">
          <cell r="A128" t="str">
            <v>Kosovo</v>
          </cell>
        </row>
        <row r="129">
          <cell r="A129" t="str">
            <v>Kazakhstan</v>
          </cell>
          <cell r="B129">
            <v>0.74</v>
          </cell>
          <cell r="C129">
            <v>0.26</v>
          </cell>
        </row>
        <row r="130">
          <cell r="A130" t="str">
            <v>Equatorial Guinea</v>
          </cell>
        </row>
        <row r="131">
          <cell r="A131" t="str">
            <v>Australia</v>
          </cell>
          <cell r="B131">
            <v>0.46</v>
          </cell>
          <cell r="C131">
            <v>0.54</v>
          </cell>
        </row>
        <row r="132">
          <cell r="A132" t="str">
            <v>Cyprus</v>
          </cell>
        </row>
        <row r="133">
          <cell r="A133" t="str">
            <v>Jordan</v>
          </cell>
        </row>
        <row r="134">
          <cell r="A134" t="str">
            <v>Iran</v>
          </cell>
          <cell r="B134">
            <v>0.69</v>
          </cell>
          <cell r="C134">
            <v>0.31</v>
          </cell>
        </row>
        <row r="135">
          <cell r="A135" t="str">
            <v>Macao</v>
          </cell>
        </row>
        <row r="136">
          <cell r="A136" t="str">
            <v>Bosnia &amp; Herzegovina</v>
          </cell>
        </row>
        <row r="137">
          <cell r="A137" t="str">
            <v>Russia</v>
          </cell>
          <cell r="B137">
            <v>0.53</v>
          </cell>
          <cell r="C137">
            <v>0.47</v>
          </cell>
        </row>
        <row r="138">
          <cell r="A138" t="str">
            <v>Turkmenistan</v>
          </cell>
        </row>
        <row r="139">
          <cell r="A139" t="str">
            <v>Nicaragua</v>
          </cell>
        </row>
        <row r="140">
          <cell r="A140" t="str">
            <v>France</v>
          </cell>
          <cell r="B140">
            <v>0.52</v>
          </cell>
          <cell r="C140">
            <v>0.48</v>
          </cell>
        </row>
        <row r="141">
          <cell r="A141" t="str">
            <v>Brunei</v>
          </cell>
        </row>
        <row r="142">
          <cell r="A142" t="str">
            <v>Gabon</v>
          </cell>
        </row>
        <row r="143">
          <cell r="A143" t="str">
            <v>Monaco</v>
          </cell>
        </row>
        <row r="144">
          <cell r="A144" t="str">
            <v>Kyrgyzstan</v>
          </cell>
        </row>
        <row r="145">
          <cell r="A145" t="str">
            <v>Solomon Islands</v>
          </cell>
        </row>
        <row r="146">
          <cell r="A146" t="str">
            <v>Mauritania</v>
          </cell>
        </row>
        <row r="147">
          <cell r="A147" t="str">
            <v>Algeria</v>
          </cell>
        </row>
        <row r="148">
          <cell r="A148" t="str">
            <v>Azerbaijan</v>
          </cell>
        </row>
        <row r="149">
          <cell r="A149" t="str">
            <v>Papua New Guinea</v>
          </cell>
        </row>
        <row r="150">
          <cell r="A150" t="str">
            <v>South Sudan</v>
          </cell>
        </row>
        <row r="151">
          <cell r="A151" t="str">
            <v>San Marino</v>
          </cell>
        </row>
        <row r="152">
          <cell r="A152" t="str">
            <v>Syria</v>
          </cell>
        </row>
        <row r="153">
          <cell r="A153" t="str">
            <v>Malaysia</v>
          </cell>
          <cell r="B153">
            <v>0.69</v>
          </cell>
          <cell r="C153">
            <v>0.31</v>
          </cell>
        </row>
        <row r="154">
          <cell r="A154" t="str">
            <v>Greece</v>
          </cell>
          <cell r="B154">
            <v>0.56999999999999995</v>
          </cell>
          <cell r="C154">
            <v>0.43</v>
          </cell>
        </row>
        <row r="155">
          <cell r="A155" t="str">
            <v>Tajikistan</v>
          </cell>
        </row>
        <row r="156">
          <cell r="A156" t="str">
            <v>Chile</v>
          </cell>
          <cell r="B156">
            <v>0.61</v>
          </cell>
          <cell r="C156">
            <v>0.39</v>
          </cell>
        </row>
        <row r="157">
          <cell r="A157" t="str">
            <v>St. Kitts &amp; Nevis</v>
          </cell>
        </row>
        <row r="158">
          <cell r="A158" t="str">
            <v>Honduras</v>
          </cell>
        </row>
        <row r="159">
          <cell r="A159" t="str">
            <v>Italy</v>
          </cell>
          <cell r="B159">
            <v>0.68</v>
          </cell>
          <cell r="C159">
            <v>0.32</v>
          </cell>
        </row>
        <row r="160">
          <cell r="A160" t="str">
            <v>Liberia</v>
          </cell>
        </row>
        <row r="161">
          <cell r="A161" t="str">
            <v>French Polynesia</v>
          </cell>
        </row>
        <row r="162">
          <cell r="A162" t="str">
            <v>United Arab Emirates</v>
          </cell>
          <cell r="B162">
            <v>0.63</v>
          </cell>
          <cell r="C162">
            <v>0.37</v>
          </cell>
        </row>
        <row r="163">
          <cell r="A163" t="str">
            <v>Bahrain</v>
          </cell>
        </row>
        <row r="164">
          <cell r="A164" t="str">
            <v>Egypt</v>
          </cell>
          <cell r="B164">
            <v>0.68</v>
          </cell>
          <cell r="C164">
            <v>0.32</v>
          </cell>
        </row>
        <row r="165">
          <cell r="A165" t="str">
            <v>Venezuela</v>
          </cell>
          <cell r="B165">
            <v>0.82</v>
          </cell>
          <cell r="C165">
            <v>0.18</v>
          </cell>
        </row>
        <row r="166">
          <cell r="A166" t="str">
            <v>Palestine</v>
          </cell>
        </row>
        <row r="167">
          <cell r="A167" t="str">
            <v>Maldives</v>
          </cell>
        </row>
        <row r="168">
          <cell r="A168" t="str">
            <v>New Caledonia</v>
          </cell>
        </row>
        <row r="169">
          <cell r="A169" t="str">
            <v>Dominica</v>
          </cell>
        </row>
        <row r="170">
          <cell r="A170" t="str">
            <v>Tonga</v>
          </cell>
        </row>
        <row r="171">
          <cell r="A171" t="str">
            <v>Bermuda</v>
          </cell>
        </row>
        <row r="172">
          <cell r="A172" t="str">
            <v>Mayotte</v>
          </cell>
        </row>
        <row r="173">
          <cell r="A173" t="str">
            <v>Panama</v>
          </cell>
        </row>
        <row r="174">
          <cell r="A174" t="str">
            <v>Turkey</v>
          </cell>
          <cell r="B174">
            <v>0.75</v>
          </cell>
          <cell r="C174">
            <v>0.25</v>
          </cell>
        </row>
        <row r="175">
          <cell r="A175" t="str">
            <v>Argentina</v>
          </cell>
          <cell r="B175">
            <v>0.7</v>
          </cell>
          <cell r="C175">
            <v>0.3</v>
          </cell>
        </row>
        <row r="176">
          <cell r="A176" t="str">
            <v>U.S. Virgin Islands</v>
          </cell>
        </row>
        <row r="177">
          <cell r="A177" t="str">
            <v>Libya</v>
          </cell>
        </row>
        <row r="178">
          <cell r="A178" t="str">
            <v>Timor-Leste</v>
          </cell>
        </row>
        <row r="179">
          <cell r="A179" t="str">
            <v>Georgia</v>
          </cell>
        </row>
        <row r="180">
          <cell r="A180" t="str">
            <v>Vanuatu</v>
          </cell>
        </row>
        <row r="181">
          <cell r="A181" t="str">
            <v>Barbados</v>
          </cell>
        </row>
        <row r="182">
          <cell r="A182" t="str">
            <v>Jamaica</v>
          </cell>
        </row>
        <row r="183">
          <cell r="A183" t="str">
            <v>Fiji</v>
          </cell>
        </row>
        <row r="184">
          <cell r="A184" t="str">
            <v>Yemen</v>
          </cell>
        </row>
        <row r="185">
          <cell r="A185" t="str">
            <v>Montenegro</v>
          </cell>
        </row>
        <row r="186">
          <cell r="A186" t="str">
            <v>Oman</v>
          </cell>
        </row>
        <row r="187">
          <cell r="A187" t="str">
            <v>Trinidad &amp; Tobago</v>
          </cell>
        </row>
        <row r="188">
          <cell r="A188" t="str">
            <v>Saudi Arabia</v>
          </cell>
          <cell r="B188">
            <v>0.77</v>
          </cell>
          <cell r="C188">
            <v>0.23</v>
          </cell>
        </row>
        <row r="189">
          <cell r="A189" t="str">
            <v>Western Sahara</v>
          </cell>
        </row>
        <row r="190">
          <cell r="A190" t="str">
            <v>Cayman Islands</v>
          </cell>
        </row>
        <row r="191">
          <cell r="A191" t="str">
            <v>Guam</v>
          </cell>
        </row>
        <row r="192">
          <cell r="A192" t="str">
            <v>Suriname</v>
          </cell>
        </row>
        <row r="193">
          <cell r="A193" t="str">
            <v>Grenada</v>
          </cell>
        </row>
        <row r="194">
          <cell r="A194" t="str">
            <v>Jersey</v>
          </cell>
        </row>
        <row r="195">
          <cell r="A195" t="str">
            <v>Seychelles</v>
          </cell>
        </row>
        <row r="196">
          <cell r="A196" t="str">
            <v>Dominican Republic</v>
          </cell>
        </row>
        <row r="197">
          <cell r="A197" t="str">
            <v>Guernsey</v>
          </cell>
        </row>
        <row r="198">
          <cell r="A198" t="str">
            <v>Greenland</v>
          </cell>
        </row>
        <row r="199">
          <cell r="A199" t="str">
            <v>Thailand</v>
          </cell>
          <cell r="B199">
            <v>0.65</v>
          </cell>
          <cell r="C199">
            <v>0.35</v>
          </cell>
        </row>
        <row r="200">
          <cell r="A200" t="str">
            <v>St. Vincent &amp; Grenadines</v>
          </cell>
        </row>
        <row r="201">
          <cell r="A201" t="str">
            <v>Isle of Man</v>
          </cell>
        </row>
        <row r="202">
          <cell r="A202" t="str">
            <v>Guadeloupe</v>
          </cell>
        </row>
        <row r="203">
          <cell r="A203" t="str">
            <v>Qatar</v>
          </cell>
        </row>
        <row r="204">
          <cell r="A204" t="str">
            <v>RÃ©union</v>
          </cell>
        </row>
        <row r="205">
          <cell r="A205" t="str">
            <v>CuraÃ§ao</v>
          </cell>
        </row>
        <row r="206">
          <cell r="A206" t="str">
            <v>Puerto Rico</v>
          </cell>
        </row>
        <row r="207">
          <cell r="A207" t="str">
            <v>Kuwait</v>
          </cell>
        </row>
        <row r="208">
          <cell r="A208" t="str">
            <v>Caribbean Netherlands</v>
          </cell>
        </row>
        <row r="209">
          <cell r="A209" t="str">
            <v>Iraq</v>
          </cell>
        </row>
        <row r="210">
          <cell r="A210" t="str">
            <v>Belize</v>
          </cell>
        </row>
        <row r="211">
          <cell r="A211" t="str">
            <v>Guyana</v>
          </cell>
        </row>
        <row r="212">
          <cell r="A212" t="str">
            <v>St. Lucia</v>
          </cell>
        </row>
        <row r="213">
          <cell r="A213" t="str">
            <v>French Guiana</v>
          </cell>
        </row>
        <row r="214">
          <cell r="A214" t="str">
            <v>Antigua &amp; Barbuda</v>
          </cell>
        </row>
        <row r="215">
          <cell r="A215" t="str">
            <v>Bahamas</v>
          </cell>
        </row>
        <row r="216">
          <cell r="A216" t="str">
            <v>Martinique</v>
          </cell>
        </row>
        <row r="217">
          <cell r="A217" t="str">
            <v>Aruba</v>
          </cell>
        </row>
        <row r="218">
          <cell r="A218" t="str">
            <v>Sint Maarten</v>
          </cell>
        </row>
        <row r="219">
          <cell r="A219" t="str">
            <v>St. BarthÃ©lemy</v>
          </cell>
        </row>
        <row r="220">
          <cell r="A220" t="str">
            <v>North Korea</v>
          </cell>
        </row>
        <row r="221">
          <cell r="A221" t="str">
            <v>Falkland Islands (Islas Malvinas)</v>
          </cell>
        </row>
        <row r="222">
          <cell r="A222" t="str">
            <v>St. Pierre &amp; Miquelon</v>
          </cell>
        </row>
        <row r="223">
          <cell r="A223" t="str">
            <v>Palau</v>
          </cell>
        </row>
        <row r="224">
          <cell r="A224" t="str">
            <v>Marshall Islands</v>
          </cell>
        </row>
        <row r="225">
          <cell r="A225" t="str">
            <v>British Virgin Islands</v>
          </cell>
        </row>
        <row r="226">
          <cell r="A226" t="str">
            <v>Anguilla</v>
          </cell>
        </row>
        <row r="227">
          <cell r="A227" t="str">
            <v>Northern Mariana Islands</v>
          </cell>
        </row>
        <row r="228">
          <cell r="A228" t="str">
            <v>Micronesia</v>
          </cell>
        </row>
        <row r="229">
          <cell r="A229" t="str">
            <v>Cook Islands</v>
          </cell>
        </row>
        <row r="230">
          <cell r="A230" t="str">
            <v>Turks &amp; Caicos Islands</v>
          </cell>
        </row>
        <row r="231">
          <cell r="A231" t="str">
            <v>St. Martin</v>
          </cell>
        </row>
        <row r="232">
          <cell r="A232" t="str">
            <v>Samoa</v>
          </cell>
        </row>
        <row r="233">
          <cell r="A233" t="str">
            <v>American Samoa</v>
          </cell>
        </row>
        <row r="234">
          <cell r="A234" t="str">
            <v>Antarctica</v>
          </cell>
        </row>
        <row r="235">
          <cell r="A235" t="str">
            <v>French Southern Territories</v>
          </cell>
        </row>
        <row r="236">
          <cell r="A236" t="str">
            <v>Bouvet Island</v>
          </cell>
        </row>
        <row r="237">
          <cell r="A237" t="str">
            <v>Cocos (Keeling) Islands</v>
          </cell>
        </row>
        <row r="238">
          <cell r="A238" t="str">
            <v>Christmas Island</v>
          </cell>
        </row>
        <row r="239">
          <cell r="A239" t="str">
            <v>Heard &amp; McDonald Islands</v>
          </cell>
        </row>
        <row r="240">
          <cell r="A240" t="str">
            <v>British Indian Ocean Territory</v>
          </cell>
        </row>
        <row r="241">
          <cell r="A241" t="str">
            <v>Kiribati</v>
          </cell>
        </row>
        <row r="242">
          <cell r="A242" t="str">
            <v>Montserrat</v>
          </cell>
        </row>
        <row r="243">
          <cell r="A243" t="str">
            <v>Norfolk Island</v>
          </cell>
        </row>
        <row r="244">
          <cell r="A244" t="str">
            <v>Niue</v>
          </cell>
        </row>
        <row r="245">
          <cell r="A245" t="str">
            <v>Nauru</v>
          </cell>
        </row>
        <row r="246">
          <cell r="A246" t="str">
            <v>Pitcairn Islands</v>
          </cell>
        </row>
        <row r="247">
          <cell r="A247" t="str">
            <v>South Georgia &amp; South Sandwich Islands</v>
          </cell>
        </row>
        <row r="248">
          <cell r="A248" t="str">
            <v>Svalbard &amp; Jan Mayen</v>
          </cell>
        </row>
        <row r="249">
          <cell r="A249" t="str">
            <v>Tokelau</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1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2)"/>
    </sheetNames>
    <sheetDataSet>
      <sheetData sheetId="0">
        <row r="1">
          <cell r="A1" t="str">
            <v>Kategori: TÃ¼m kategoriler</v>
          </cell>
        </row>
        <row r="3">
          <cell r="A3" t="str">
            <v>Ãœlke</v>
          </cell>
          <cell r="B3" t="str">
            <v>Python: (2017)</v>
          </cell>
          <cell r="C3" t="str">
            <v>JavaScript: (2017)</v>
          </cell>
        </row>
        <row r="4">
          <cell r="A4" t="str">
            <v>China</v>
          </cell>
          <cell r="B4">
            <v>0.62</v>
          </cell>
          <cell r="C4">
            <v>0.38</v>
          </cell>
        </row>
        <row r="5">
          <cell r="A5" t="str">
            <v>North Korea</v>
          </cell>
        </row>
        <row r="6">
          <cell r="A6" t="str">
            <v>Cuba</v>
          </cell>
        </row>
        <row r="7">
          <cell r="A7" t="str">
            <v>South Korea</v>
          </cell>
          <cell r="B7">
            <v>0.49</v>
          </cell>
          <cell r="C7">
            <v>0.51</v>
          </cell>
        </row>
        <row r="8">
          <cell r="A8" t="str">
            <v>Armenia</v>
          </cell>
        </row>
        <row r="9">
          <cell r="A9" t="str">
            <v>Israel</v>
          </cell>
          <cell r="B9">
            <v>0.54</v>
          </cell>
          <cell r="C9">
            <v>0.46</v>
          </cell>
        </row>
        <row r="10">
          <cell r="A10" t="str">
            <v>Iceland</v>
          </cell>
        </row>
        <row r="11">
          <cell r="A11" t="str">
            <v>Madagascar</v>
          </cell>
        </row>
        <row r="12">
          <cell r="A12" t="str">
            <v>Singapore</v>
          </cell>
          <cell r="B12">
            <v>0.57999999999999996</v>
          </cell>
          <cell r="C12">
            <v>0.42</v>
          </cell>
        </row>
        <row r="13">
          <cell r="A13" t="str">
            <v>Estonia</v>
          </cell>
          <cell r="B13">
            <v>0.46</v>
          </cell>
          <cell r="C13">
            <v>0.54</v>
          </cell>
        </row>
        <row r="14">
          <cell r="A14" t="str">
            <v>Belarus</v>
          </cell>
          <cell r="B14">
            <v>0.28999999999999998</v>
          </cell>
          <cell r="C14">
            <v>0.71</v>
          </cell>
        </row>
        <row r="15">
          <cell r="A15" t="str">
            <v>Gibraltar</v>
          </cell>
        </row>
        <row r="16">
          <cell r="A16" t="str">
            <v>St. Helena</v>
          </cell>
          <cell r="B16">
            <v>0.49</v>
          </cell>
          <cell r="C16">
            <v>0.51</v>
          </cell>
        </row>
        <row r="17">
          <cell r="A17" t="str">
            <v>Nepal</v>
          </cell>
        </row>
        <row r="18">
          <cell r="A18" t="str">
            <v>India</v>
          </cell>
          <cell r="B18">
            <v>0.39</v>
          </cell>
          <cell r="C18">
            <v>0.61</v>
          </cell>
        </row>
        <row r="19">
          <cell r="A19" t="str">
            <v>Ukraine</v>
          </cell>
          <cell r="B19">
            <v>0.28000000000000003</v>
          </cell>
          <cell r="C19">
            <v>0.72</v>
          </cell>
        </row>
        <row r="20">
          <cell r="A20" t="str">
            <v>Luxembourg</v>
          </cell>
        </row>
        <row r="21">
          <cell r="A21" t="str">
            <v>Hong Kong</v>
          </cell>
          <cell r="B21">
            <v>0.46</v>
          </cell>
          <cell r="C21">
            <v>0.54</v>
          </cell>
        </row>
        <row r="22">
          <cell r="A22" t="str">
            <v>Malta</v>
          </cell>
        </row>
        <row r="23">
          <cell r="A23" t="str">
            <v>North Macedonia</v>
          </cell>
        </row>
        <row r="24">
          <cell r="A24" t="str">
            <v>Myanmar (Burma)</v>
          </cell>
        </row>
        <row r="25">
          <cell r="A25" t="str">
            <v>Latvia</v>
          </cell>
        </row>
        <row r="26">
          <cell r="A26" t="str">
            <v>Switzerland</v>
          </cell>
          <cell r="B26">
            <v>0.54</v>
          </cell>
          <cell r="C26">
            <v>0.46</v>
          </cell>
        </row>
        <row r="27">
          <cell r="A27" t="str">
            <v>Sri Lanka</v>
          </cell>
          <cell r="B27">
            <v>0.35</v>
          </cell>
          <cell r="C27">
            <v>0.65</v>
          </cell>
        </row>
        <row r="28">
          <cell r="A28" t="str">
            <v>Czechia</v>
          </cell>
          <cell r="B28">
            <v>0.43</v>
          </cell>
          <cell r="C28">
            <v>0.56999999999999995</v>
          </cell>
        </row>
        <row r="29">
          <cell r="A29" t="str">
            <v>Lithuania</v>
          </cell>
        </row>
        <row r="30">
          <cell r="A30" t="str">
            <v>Bulgaria</v>
          </cell>
          <cell r="B30">
            <v>0.26</v>
          </cell>
          <cell r="C30">
            <v>0.74</v>
          </cell>
        </row>
        <row r="31">
          <cell r="A31" t="str">
            <v>Finland</v>
          </cell>
          <cell r="B31">
            <v>0.47</v>
          </cell>
          <cell r="C31">
            <v>0.53</v>
          </cell>
        </row>
        <row r="32">
          <cell r="A32" t="str">
            <v>Ã…land Islands</v>
          </cell>
        </row>
        <row r="33">
          <cell r="A33" t="str">
            <v>Serbia</v>
          </cell>
          <cell r="B33">
            <v>0.31</v>
          </cell>
          <cell r="C33">
            <v>0.69</v>
          </cell>
        </row>
        <row r="34">
          <cell r="A34" t="str">
            <v>Taiwan</v>
          </cell>
          <cell r="B34">
            <v>0.52</v>
          </cell>
          <cell r="C34">
            <v>0.48</v>
          </cell>
        </row>
        <row r="35">
          <cell r="A35" t="str">
            <v>New Zealand</v>
          </cell>
          <cell r="B35">
            <v>0.45</v>
          </cell>
          <cell r="C35">
            <v>0.55000000000000004</v>
          </cell>
        </row>
        <row r="36">
          <cell r="A36" t="str">
            <v>Sweden</v>
          </cell>
          <cell r="B36">
            <v>0.46</v>
          </cell>
          <cell r="C36">
            <v>0.54</v>
          </cell>
        </row>
        <row r="37">
          <cell r="A37" t="str">
            <v>Tunisia</v>
          </cell>
          <cell r="B37">
            <v>0.36</v>
          </cell>
          <cell r="C37">
            <v>0.64</v>
          </cell>
        </row>
        <row r="38">
          <cell r="A38" t="str">
            <v>Tonga</v>
          </cell>
        </row>
        <row r="39">
          <cell r="A39" t="str">
            <v>Liechtenstein</v>
          </cell>
        </row>
        <row r="40">
          <cell r="A40" t="str">
            <v>Ireland</v>
          </cell>
          <cell r="B40">
            <v>0.54</v>
          </cell>
          <cell r="C40">
            <v>0.46</v>
          </cell>
        </row>
        <row r="41">
          <cell r="A41" t="str">
            <v>Moldova</v>
          </cell>
        </row>
        <row r="42">
          <cell r="A42" t="str">
            <v>United States</v>
          </cell>
          <cell r="B42">
            <v>0.55000000000000004</v>
          </cell>
          <cell r="C42">
            <v>0.45</v>
          </cell>
        </row>
        <row r="43">
          <cell r="A43" t="str">
            <v>Mauritius</v>
          </cell>
        </row>
        <row r="44">
          <cell r="A44" t="str">
            <v>Portugal</v>
          </cell>
          <cell r="B44">
            <v>0.38</v>
          </cell>
          <cell r="C44">
            <v>0.62</v>
          </cell>
        </row>
        <row r="45">
          <cell r="A45" t="str">
            <v>Netherlands</v>
          </cell>
          <cell r="B45">
            <v>0.48</v>
          </cell>
          <cell r="C45">
            <v>0.52</v>
          </cell>
        </row>
        <row r="46">
          <cell r="A46" t="str">
            <v>Slovenia</v>
          </cell>
          <cell r="B46">
            <v>0.47</v>
          </cell>
          <cell r="C46">
            <v>0.53</v>
          </cell>
        </row>
        <row r="47">
          <cell r="A47" t="str">
            <v>Norway</v>
          </cell>
          <cell r="B47">
            <v>0.5</v>
          </cell>
          <cell r="C47">
            <v>0.5</v>
          </cell>
        </row>
        <row r="48">
          <cell r="A48" t="str">
            <v>Philippines</v>
          </cell>
          <cell r="B48">
            <v>0.28000000000000003</v>
          </cell>
          <cell r="C48">
            <v>0.72</v>
          </cell>
        </row>
        <row r="49">
          <cell r="A49" t="str">
            <v>Canada</v>
          </cell>
          <cell r="B49">
            <v>0.5</v>
          </cell>
          <cell r="C49">
            <v>0.5</v>
          </cell>
        </row>
        <row r="50">
          <cell r="A50" t="str">
            <v>Romania</v>
          </cell>
          <cell r="B50">
            <v>0.34</v>
          </cell>
          <cell r="C50">
            <v>0.66</v>
          </cell>
        </row>
        <row r="51">
          <cell r="A51" t="str">
            <v>Pakistan</v>
          </cell>
          <cell r="B51">
            <v>0.33</v>
          </cell>
          <cell r="C51">
            <v>0.67</v>
          </cell>
        </row>
        <row r="52">
          <cell r="A52" t="str">
            <v>Monaco</v>
          </cell>
        </row>
        <row r="53">
          <cell r="A53" t="str">
            <v>Denmark</v>
          </cell>
          <cell r="B53">
            <v>0.47</v>
          </cell>
          <cell r="C53">
            <v>0.53</v>
          </cell>
        </row>
        <row r="54">
          <cell r="A54" t="str">
            <v>San Marino</v>
          </cell>
        </row>
        <row r="55">
          <cell r="A55" t="str">
            <v>Cape Verde</v>
          </cell>
        </row>
        <row r="56">
          <cell r="A56" t="str">
            <v>Togo</v>
          </cell>
        </row>
        <row r="57">
          <cell r="A57" t="str">
            <v>Laos</v>
          </cell>
        </row>
        <row r="58">
          <cell r="A58" t="str">
            <v>Germany</v>
          </cell>
          <cell r="B58">
            <v>0.51</v>
          </cell>
          <cell r="C58">
            <v>0.49</v>
          </cell>
        </row>
        <row r="59">
          <cell r="A59" t="str">
            <v>Russia</v>
          </cell>
          <cell r="B59">
            <v>0.45</v>
          </cell>
          <cell r="C59">
            <v>0.55000000000000004</v>
          </cell>
        </row>
        <row r="60">
          <cell r="A60" t="str">
            <v>Faroe Islands</v>
          </cell>
        </row>
        <row r="61">
          <cell r="A61" t="str">
            <v>Cyprus</v>
          </cell>
        </row>
        <row r="62">
          <cell r="A62" t="str">
            <v>Benin</v>
          </cell>
        </row>
        <row r="63">
          <cell r="A63" t="str">
            <v>Cameroon</v>
          </cell>
        </row>
        <row r="64">
          <cell r="A64" t="str">
            <v>Australia</v>
          </cell>
          <cell r="B64">
            <v>0.49</v>
          </cell>
          <cell r="C64">
            <v>0.51</v>
          </cell>
        </row>
        <row r="65">
          <cell r="A65" t="str">
            <v>United Kingdom</v>
          </cell>
          <cell r="B65">
            <v>0.53</v>
          </cell>
          <cell r="C65">
            <v>0.47</v>
          </cell>
        </row>
        <row r="66">
          <cell r="A66" t="str">
            <v>Costa Rica</v>
          </cell>
        </row>
        <row r="67">
          <cell r="A67" t="str">
            <v>Mongolia</v>
          </cell>
        </row>
        <row r="68">
          <cell r="A68" t="str">
            <v>Austria</v>
          </cell>
          <cell r="B68">
            <v>0.48</v>
          </cell>
          <cell r="C68">
            <v>0.52</v>
          </cell>
        </row>
        <row r="69">
          <cell r="A69" t="str">
            <v>Hungary</v>
          </cell>
          <cell r="B69">
            <v>0.41</v>
          </cell>
          <cell r="C69">
            <v>0.59</v>
          </cell>
        </row>
        <row r="70">
          <cell r="A70" t="str">
            <v>Slovakia</v>
          </cell>
          <cell r="B70">
            <v>0.41</v>
          </cell>
          <cell r="C70">
            <v>0.59</v>
          </cell>
        </row>
        <row r="71">
          <cell r="A71" t="str">
            <v>Cambodia</v>
          </cell>
        </row>
        <row r="72">
          <cell r="A72" t="str">
            <v>Belgium</v>
          </cell>
          <cell r="B72">
            <v>0.47</v>
          </cell>
          <cell r="C72">
            <v>0.53</v>
          </cell>
        </row>
        <row r="73">
          <cell r="A73" t="str">
            <v>Japan</v>
          </cell>
          <cell r="B73">
            <v>0.46</v>
          </cell>
          <cell r="C73">
            <v>0.54</v>
          </cell>
        </row>
        <row r="74">
          <cell r="A74" t="str">
            <v>Poland</v>
          </cell>
          <cell r="B74">
            <v>0.4</v>
          </cell>
          <cell r="C74">
            <v>0.6</v>
          </cell>
        </row>
        <row r="75">
          <cell r="A75" t="str">
            <v>Congo - Brazzaville</v>
          </cell>
        </row>
        <row r="76">
          <cell r="A76" t="str">
            <v>France</v>
          </cell>
          <cell r="B76">
            <v>0.48</v>
          </cell>
          <cell r="C76">
            <v>0.52</v>
          </cell>
        </row>
        <row r="77">
          <cell r="A77" t="str">
            <v>Croatia</v>
          </cell>
          <cell r="B77">
            <v>0.46</v>
          </cell>
          <cell r="C77">
            <v>0.54</v>
          </cell>
        </row>
        <row r="78">
          <cell r="A78" t="str">
            <v>Macao</v>
          </cell>
        </row>
        <row r="79">
          <cell r="A79" t="str">
            <v>Andorra</v>
          </cell>
        </row>
        <row r="80">
          <cell r="A80" t="str">
            <v>Isle of Man</v>
          </cell>
        </row>
        <row r="81">
          <cell r="A81" t="str">
            <v>Maldives</v>
          </cell>
        </row>
        <row r="82">
          <cell r="A82" t="str">
            <v>Bosnia &amp; Herzegovina</v>
          </cell>
        </row>
        <row r="83">
          <cell r="A83" t="str">
            <v>Bhutan</v>
          </cell>
        </row>
        <row r="84">
          <cell r="A84" t="str">
            <v>Lebanon</v>
          </cell>
        </row>
        <row r="85">
          <cell r="A85" t="str">
            <v>Albania</v>
          </cell>
        </row>
        <row r="86">
          <cell r="A86" t="str">
            <v>Uruguay</v>
          </cell>
        </row>
        <row r="87">
          <cell r="A87" t="str">
            <v>Spain</v>
          </cell>
          <cell r="B87">
            <v>0.41</v>
          </cell>
          <cell r="C87">
            <v>0.59</v>
          </cell>
        </row>
        <row r="88">
          <cell r="A88" t="str">
            <v>Bangladesh</v>
          </cell>
          <cell r="B88">
            <v>0.34</v>
          </cell>
          <cell r="C88">
            <v>0.66</v>
          </cell>
        </row>
        <row r="89">
          <cell r="A89" t="str">
            <v>Zimbabwe</v>
          </cell>
        </row>
        <row r="90">
          <cell r="A90" t="str">
            <v>Kosovo</v>
          </cell>
        </row>
        <row r="91">
          <cell r="A91" t="str">
            <v>South Africa</v>
          </cell>
          <cell r="B91">
            <v>0.45</v>
          </cell>
          <cell r="C91">
            <v>0.55000000000000004</v>
          </cell>
        </row>
        <row r="92">
          <cell r="A92" t="str">
            <v>Caribbean Netherlands</v>
          </cell>
        </row>
        <row r="93">
          <cell r="A93" t="str">
            <v>Jersey</v>
          </cell>
        </row>
        <row r="94">
          <cell r="A94" t="str">
            <v>Ethiopia</v>
          </cell>
        </row>
        <row r="95">
          <cell r="A95" t="str">
            <v>Vietnam</v>
          </cell>
          <cell r="B95">
            <v>0.27</v>
          </cell>
          <cell r="C95">
            <v>0.73</v>
          </cell>
        </row>
        <row r="96">
          <cell r="A96" t="str">
            <v>Rwanda</v>
          </cell>
        </row>
        <row r="97">
          <cell r="A97" t="str">
            <v>Botswana</v>
          </cell>
        </row>
        <row r="98">
          <cell r="A98" t="str">
            <v>Vanuatu</v>
          </cell>
        </row>
        <row r="99">
          <cell r="A99" t="str">
            <v>Georgia</v>
          </cell>
        </row>
        <row r="100">
          <cell r="A100" t="str">
            <v>Uzbekistan</v>
          </cell>
        </row>
        <row r="101">
          <cell r="A101" t="str">
            <v>Senegal</v>
          </cell>
        </row>
        <row r="102">
          <cell r="A102" t="str">
            <v>New Caledonia</v>
          </cell>
        </row>
        <row r="103">
          <cell r="A103" t="str">
            <v>Colombia</v>
          </cell>
          <cell r="B103">
            <v>0.36</v>
          </cell>
          <cell r="C103">
            <v>0.64</v>
          </cell>
        </row>
        <row r="104">
          <cell r="A104" t="str">
            <v>Greece</v>
          </cell>
          <cell r="B104">
            <v>0.5</v>
          </cell>
          <cell r="C104">
            <v>0.5</v>
          </cell>
        </row>
        <row r="105">
          <cell r="A105" t="str">
            <v>United Arab Emirates</v>
          </cell>
          <cell r="B105">
            <v>0.41</v>
          </cell>
          <cell r="C105">
            <v>0.59</v>
          </cell>
        </row>
        <row r="106">
          <cell r="A106" t="str">
            <v>Montenegro</v>
          </cell>
        </row>
        <row r="107">
          <cell r="A107" t="str">
            <v>El Salvador</v>
          </cell>
        </row>
        <row r="108">
          <cell r="A108" t="str">
            <v>Ghana</v>
          </cell>
        </row>
        <row r="109">
          <cell r="A109" t="str">
            <v>French Polynesia</v>
          </cell>
        </row>
        <row r="110">
          <cell r="A110" t="str">
            <v>Malaysia</v>
          </cell>
          <cell r="B110">
            <v>0.38</v>
          </cell>
          <cell r="C110">
            <v>0.62</v>
          </cell>
        </row>
        <row r="111">
          <cell r="A111" t="str">
            <v>Nigeria</v>
          </cell>
          <cell r="B111">
            <v>0.46</v>
          </cell>
          <cell r="C111">
            <v>0.54</v>
          </cell>
        </row>
        <row r="112">
          <cell r="A112" t="str">
            <v>U.S. Virgin Islands</v>
          </cell>
        </row>
        <row r="113">
          <cell r="A113" t="str">
            <v>St. Vincent &amp; Grenadines</v>
          </cell>
        </row>
        <row r="114">
          <cell r="A114" t="str">
            <v>Jamaica</v>
          </cell>
        </row>
        <row r="115">
          <cell r="A115" t="str">
            <v>Eswatini</v>
          </cell>
        </row>
        <row r="116">
          <cell r="A116" t="str">
            <v>Chile</v>
          </cell>
          <cell r="B116">
            <v>0.47</v>
          </cell>
          <cell r="C116">
            <v>0.53</v>
          </cell>
        </row>
        <row r="117">
          <cell r="A117" t="str">
            <v>Barbados</v>
          </cell>
        </row>
        <row r="118">
          <cell r="A118" t="str">
            <v>Nicaragua</v>
          </cell>
        </row>
        <row r="119">
          <cell r="A119" t="str">
            <v>Bolivia</v>
          </cell>
        </row>
        <row r="120">
          <cell r="A120" t="str">
            <v>Uganda</v>
          </cell>
        </row>
        <row r="121">
          <cell r="A121" t="str">
            <v>Kenya</v>
          </cell>
        </row>
        <row r="122">
          <cell r="A122" t="str">
            <v>Kazakhstan</v>
          </cell>
          <cell r="B122">
            <v>0.38</v>
          </cell>
          <cell r="C122">
            <v>0.62</v>
          </cell>
        </row>
        <row r="123">
          <cell r="A123" t="str">
            <v>Jordan</v>
          </cell>
        </row>
        <row r="124">
          <cell r="A124" t="str">
            <v>Guatemala</v>
          </cell>
        </row>
        <row r="125">
          <cell r="A125" t="str">
            <v>Guernsey</v>
          </cell>
        </row>
        <row r="126">
          <cell r="A126" t="str">
            <v>Morocco</v>
          </cell>
          <cell r="B126">
            <v>0.4</v>
          </cell>
          <cell r="C126">
            <v>0.6</v>
          </cell>
        </row>
        <row r="127">
          <cell r="A127" t="str">
            <v>Mexico</v>
          </cell>
          <cell r="B127">
            <v>0.34</v>
          </cell>
          <cell r="C127">
            <v>0.66</v>
          </cell>
        </row>
        <row r="128">
          <cell r="A128" t="str">
            <v>Malawi</v>
          </cell>
        </row>
        <row r="129">
          <cell r="A129" t="str">
            <v>Peru</v>
          </cell>
          <cell r="B129">
            <v>0.33</v>
          </cell>
          <cell r="C129">
            <v>0.67</v>
          </cell>
        </row>
        <row r="130">
          <cell r="A130" t="str">
            <v>Lesotho</v>
          </cell>
        </row>
        <row r="131">
          <cell r="A131" t="str">
            <v>Italy</v>
          </cell>
          <cell r="B131">
            <v>0.42</v>
          </cell>
          <cell r="C131">
            <v>0.57999999999999996</v>
          </cell>
        </row>
        <row r="132">
          <cell r="A132" t="str">
            <v>Cayman Islands</v>
          </cell>
        </row>
        <row r="133">
          <cell r="A133" t="str">
            <v>Palestine</v>
          </cell>
        </row>
        <row r="134">
          <cell r="A134" t="str">
            <v>CÃ´te dâ€™Ivoire</v>
          </cell>
        </row>
        <row r="135">
          <cell r="A135" t="str">
            <v>Bermuda</v>
          </cell>
        </row>
        <row r="136">
          <cell r="A136" t="str">
            <v>Kyrgyzstan</v>
          </cell>
        </row>
        <row r="137">
          <cell r="A137" t="str">
            <v>Argentina</v>
          </cell>
          <cell r="B137">
            <v>0.35</v>
          </cell>
          <cell r="C137">
            <v>0.65</v>
          </cell>
        </row>
        <row r="138">
          <cell r="A138" t="str">
            <v>Brazil</v>
          </cell>
          <cell r="B138">
            <v>0.38</v>
          </cell>
          <cell r="C138">
            <v>0.62</v>
          </cell>
        </row>
        <row r="139">
          <cell r="A139" t="str">
            <v>Afghanistan</v>
          </cell>
        </row>
        <row r="140">
          <cell r="A140" t="str">
            <v>Honduras</v>
          </cell>
        </row>
        <row r="141">
          <cell r="A141" t="str">
            <v>Bahrain</v>
          </cell>
        </row>
        <row r="142">
          <cell r="A142" t="str">
            <v>Dominican Republic</v>
          </cell>
        </row>
        <row r="143">
          <cell r="A143" t="str">
            <v>French Guiana</v>
          </cell>
        </row>
        <row r="144">
          <cell r="A144" t="str">
            <v>Belize</v>
          </cell>
        </row>
        <row r="145">
          <cell r="A145" t="str">
            <v>CuraÃ§ao</v>
          </cell>
        </row>
        <row r="146">
          <cell r="A146" t="str">
            <v>RÃ©union</v>
          </cell>
        </row>
        <row r="147">
          <cell r="A147" t="str">
            <v>Iran</v>
          </cell>
          <cell r="B147">
            <v>0.48</v>
          </cell>
          <cell r="C147">
            <v>0.52</v>
          </cell>
        </row>
        <row r="148">
          <cell r="A148" t="str">
            <v>Mayotte</v>
          </cell>
        </row>
        <row r="149">
          <cell r="A149" t="str">
            <v>Guadeloupe</v>
          </cell>
        </row>
        <row r="150">
          <cell r="A150" t="str">
            <v>Egypt</v>
          </cell>
          <cell r="B150">
            <v>0.44</v>
          </cell>
          <cell r="C150">
            <v>0.56000000000000005</v>
          </cell>
        </row>
        <row r="151">
          <cell r="A151" t="str">
            <v>Thailand</v>
          </cell>
          <cell r="B151">
            <v>0.38</v>
          </cell>
          <cell r="C151">
            <v>0.62</v>
          </cell>
        </row>
        <row r="152">
          <cell r="A152" t="str">
            <v>Ecuador</v>
          </cell>
          <cell r="B152">
            <v>0.43</v>
          </cell>
          <cell r="C152">
            <v>0.56999999999999995</v>
          </cell>
        </row>
        <row r="153">
          <cell r="A153" t="str">
            <v>Trinidad &amp; Tobago</v>
          </cell>
        </row>
        <row r="154">
          <cell r="A154" t="str">
            <v>Grenada</v>
          </cell>
        </row>
        <row r="155">
          <cell r="A155" t="str">
            <v>Papua New Guinea</v>
          </cell>
        </row>
        <row r="156">
          <cell r="A156" t="str">
            <v>Djibouti</v>
          </cell>
        </row>
        <row r="157">
          <cell r="A157" t="str">
            <v>Fiji</v>
          </cell>
        </row>
        <row r="158">
          <cell r="A158" t="str">
            <v>Burundi</v>
          </cell>
        </row>
        <row r="159">
          <cell r="A159" t="str">
            <v>Brunei</v>
          </cell>
        </row>
        <row r="160">
          <cell r="A160" t="str">
            <v>Panama</v>
          </cell>
        </row>
        <row r="161">
          <cell r="A161" t="str">
            <v>Haiti</v>
          </cell>
        </row>
        <row r="162">
          <cell r="A162" t="str">
            <v>Angola</v>
          </cell>
        </row>
        <row r="163">
          <cell r="A163" t="str">
            <v>Paraguay</v>
          </cell>
        </row>
        <row r="164">
          <cell r="A164" t="str">
            <v>Qatar</v>
          </cell>
        </row>
        <row r="165">
          <cell r="A165" t="str">
            <v>Guam</v>
          </cell>
        </row>
        <row r="166">
          <cell r="A166" t="str">
            <v>Gabon</v>
          </cell>
        </row>
        <row r="167">
          <cell r="A167" t="str">
            <v>Puerto Rico</v>
          </cell>
        </row>
        <row r="168">
          <cell r="A168" t="str">
            <v>Congo - Kinshasa</v>
          </cell>
        </row>
        <row r="169">
          <cell r="A169" t="str">
            <v>Azerbaijan</v>
          </cell>
        </row>
        <row r="170">
          <cell r="A170" t="str">
            <v>Martinique</v>
          </cell>
        </row>
        <row r="171">
          <cell r="A171" t="str">
            <v>Indonesia</v>
          </cell>
          <cell r="B171">
            <v>0.33</v>
          </cell>
          <cell r="C171">
            <v>0.67</v>
          </cell>
        </row>
        <row r="172">
          <cell r="A172" t="str">
            <v>Suriname</v>
          </cell>
        </row>
        <row r="173">
          <cell r="A173" t="str">
            <v>Venezuela</v>
          </cell>
          <cell r="B173">
            <v>0.31</v>
          </cell>
          <cell r="C173">
            <v>0.69</v>
          </cell>
        </row>
        <row r="174">
          <cell r="A174" t="str">
            <v>Dominica</v>
          </cell>
        </row>
        <row r="175">
          <cell r="A175" t="str">
            <v>Guyana</v>
          </cell>
        </row>
        <row r="176">
          <cell r="A176" t="str">
            <v>Gambia</v>
          </cell>
        </row>
        <row r="177">
          <cell r="A177" t="str">
            <v>Aruba</v>
          </cell>
        </row>
        <row r="178">
          <cell r="A178" t="str">
            <v>Namibia</v>
          </cell>
        </row>
        <row r="179">
          <cell r="A179" t="str">
            <v>Tajikistan</v>
          </cell>
        </row>
        <row r="180">
          <cell r="A180" t="str">
            <v>Zambia</v>
          </cell>
        </row>
        <row r="181">
          <cell r="A181" t="str">
            <v>Antigua &amp; Barbuda</v>
          </cell>
        </row>
        <row r="182">
          <cell r="A182" t="str">
            <v>South Sudan</v>
          </cell>
        </row>
        <row r="183">
          <cell r="A183" t="str">
            <v>Turkey</v>
          </cell>
          <cell r="B183">
            <v>0.42</v>
          </cell>
          <cell r="C183">
            <v>0.57999999999999996</v>
          </cell>
        </row>
        <row r="184">
          <cell r="A184" t="str">
            <v>Sint Maarten</v>
          </cell>
        </row>
        <row r="185">
          <cell r="A185" t="str">
            <v>Burkina Faso</v>
          </cell>
        </row>
        <row r="186">
          <cell r="A186" t="str">
            <v>Liberia</v>
          </cell>
        </row>
        <row r="187">
          <cell r="A187" t="str">
            <v>Tanzania</v>
          </cell>
        </row>
        <row r="188">
          <cell r="A188" t="str">
            <v>Oman</v>
          </cell>
        </row>
        <row r="189">
          <cell r="A189" t="str">
            <v>Turkmenistan</v>
          </cell>
        </row>
        <row r="190">
          <cell r="A190" t="str">
            <v>Mauritania</v>
          </cell>
        </row>
        <row r="191">
          <cell r="A191" t="str">
            <v>Niger</v>
          </cell>
        </row>
        <row r="192">
          <cell r="A192" t="str">
            <v>Mozambique</v>
          </cell>
        </row>
        <row r="193">
          <cell r="A193" t="str">
            <v>Kuwait</v>
          </cell>
        </row>
        <row r="194">
          <cell r="A194" t="str">
            <v>Somalia</v>
          </cell>
        </row>
        <row r="195">
          <cell r="A195" t="str">
            <v>Algeria</v>
          </cell>
        </row>
        <row r="196">
          <cell r="A196" t="str">
            <v>Western Sahara</v>
          </cell>
        </row>
        <row r="197">
          <cell r="A197" t="str">
            <v>Timor-Leste</v>
          </cell>
        </row>
        <row r="198">
          <cell r="A198" t="str">
            <v>St. Lucia</v>
          </cell>
        </row>
        <row r="199">
          <cell r="A199" t="str">
            <v>Bahamas</v>
          </cell>
        </row>
        <row r="200">
          <cell r="A200" t="str">
            <v>Sudan</v>
          </cell>
        </row>
        <row r="201">
          <cell r="A201" t="str">
            <v>Chad</v>
          </cell>
        </row>
        <row r="202">
          <cell r="A202" t="str">
            <v>Guinea</v>
          </cell>
        </row>
        <row r="203">
          <cell r="A203" t="str">
            <v>Sierra Leone</v>
          </cell>
        </row>
        <row r="204">
          <cell r="A204" t="str">
            <v>Syria</v>
          </cell>
        </row>
        <row r="205">
          <cell r="A205" t="str">
            <v>Saudi Arabia</v>
          </cell>
          <cell r="B205">
            <v>0.46</v>
          </cell>
          <cell r="C205">
            <v>0.54</v>
          </cell>
        </row>
        <row r="206">
          <cell r="A206" t="str">
            <v>Libya</v>
          </cell>
        </row>
        <row r="207">
          <cell r="A207" t="str">
            <v>Mali</v>
          </cell>
        </row>
        <row r="208">
          <cell r="A208" t="str">
            <v>British Virgin Islands</v>
          </cell>
        </row>
        <row r="209">
          <cell r="A209" t="str">
            <v>Yemen</v>
          </cell>
        </row>
        <row r="210">
          <cell r="A210" t="str">
            <v>Iraq</v>
          </cell>
        </row>
        <row r="211">
          <cell r="A211" t="str">
            <v>Falkland Islands (Islas Malvinas)</v>
          </cell>
        </row>
        <row r="212">
          <cell r="A212" t="str">
            <v>Eritrea</v>
          </cell>
        </row>
        <row r="213">
          <cell r="A213" t="str">
            <v>Svalbard &amp; Jan Mayen</v>
          </cell>
        </row>
        <row r="214">
          <cell r="A214" t="str">
            <v>Montserrat</v>
          </cell>
        </row>
        <row r="215">
          <cell r="A215" t="str">
            <v>Micronesia</v>
          </cell>
        </row>
        <row r="216">
          <cell r="A216" t="str">
            <v>Cook Islands</v>
          </cell>
        </row>
        <row r="217">
          <cell r="A217" t="str">
            <v>Anguilla</v>
          </cell>
        </row>
        <row r="218">
          <cell r="A218" t="str">
            <v>SÃ£o TomÃ© &amp; PrÃ­ncipe</v>
          </cell>
        </row>
        <row r="219">
          <cell r="A219" t="str">
            <v>Palau</v>
          </cell>
        </row>
        <row r="220">
          <cell r="A220" t="str">
            <v>St. BarthÃ©lemy</v>
          </cell>
        </row>
        <row r="221">
          <cell r="A221" t="str">
            <v>Marshall Islands</v>
          </cell>
        </row>
        <row r="222">
          <cell r="A222" t="str">
            <v>Northern Mariana Islands</v>
          </cell>
        </row>
        <row r="223">
          <cell r="A223" t="str">
            <v>Central African Republic</v>
          </cell>
        </row>
        <row r="224">
          <cell r="A224" t="str">
            <v>Greenland</v>
          </cell>
        </row>
        <row r="225">
          <cell r="A225" t="str">
            <v>Solomon Islands</v>
          </cell>
        </row>
        <row r="226">
          <cell r="A226" t="str">
            <v>Samoa</v>
          </cell>
        </row>
        <row r="227">
          <cell r="A227" t="str">
            <v>St. Kitts &amp; Nevis</v>
          </cell>
        </row>
        <row r="228">
          <cell r="A228" t="str">
            <v>Seychelles</v>
          </cell>
        </row>
        <row r="229">
          <cell r="A229" t="str">
            <v>St. Pierre &amp; Miquelon</v>
          </cell>
        </row>
        <row r="230">
          <cell r="A230" t="str">
            <v>Turks &amp; Caicos Islands</v>
          </cell>
        </row>
        <row r="231">
          <cell r="A231" t="str">
            <v>St. Martin</v>
          </cell>
        </row>
        <row r="232">
          <cell r="A232" t="str">
            <v>American Samoa</v>
          </cell>
        </row>
        <row r="233">
          <cell r="A233" t="str">
            <v>Comoros</v>
          </cell>
        </row>
        <row r="234">
          <cell r="A234" t="str">
            <v>Guinea-Bissau</v>
          </cell>
        </row>
        <row r="235">
          <cell r="A235" t="str">
            <v>Equatorial Guinea</v>
          </cell>
        </row>
        <row r="236">
          <cell r="A236" t="str">
            <v>Antarctica</v>
          </cell>
        </row>
        <row r="237">
          <cell r="A237" t="str">
            <v>French Southern Territories</v>
          </cell>
        </row>
        <row r="238">
          <cell r="A238" t="str">
            <v>Bouvet Island</v>
          </cell>
        </row>
        <row r="239">
          <cell r="A239" t="str">
            <v>Cocos (Keeling) Islands</v>
          </cell>
        </row>
        <row r="240">
          <cell r="A240" t="str">
            <v>Christmas Island</v>
          </cell>
        </row>
        <row r="241">
          <cell r="A241" t="str">
            <v>Heard &amp; McDonald Islands</v>
          </cell>
        </row>
        <row r="242">
          <cell r="A242" t="str">
            <v>British Indian Ocean Territory</v>
          </cell>
        </row>
        <row r="243">
          <cell r="A243" t="str">
            <v>Kiribati</v>
          </cell>
        </row>
        <row r="244">
          <cell r="A244" t="str">
            <v>Norfolk Island</v>
          </cell>
        </row>
        <row r="245">
          <cell r="A245" t="str">
            <v>Niue</v>
          </cell>
        </row>
        <row r="246">
          <cell r="A246" t="str">
            <v>Nauru</v>
          </cell>
        </row>
        <row r="247">
          <cell r="A247" t="str">
            <v>Pitcairn Islands</v>
          </cell>
        </row>
        <row r="248">
          <cell r="A248" t="str">
            <v>South Georgia &amp; South Sandwich Islands</v>
          </cell>
        </row>
        <row r="249">
          <cell r="A249" t="str">
            <v>Tokelau</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1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3)"/>
    </sheetNames>
    <sheetDataSet>
      <sheetData sheetId="0">
        <row r="1">
          <cell r="A1" t="str">
            <v>Kategori: TÃ¼m kategoriler</v>
          </cell>
        </row>
        <row r="3">
          <cell r="A3" t="str">
            <v>Ãœlke</v>
          </cell>
          <cell r="B3" t="str">
            <v>JavaScript: (2017)</v>
          </cell>
          <cell r="C3" t="str">
            <v>SQL: (2017)</v>
          </cell>
        </row>
        <row r="4">
          <cell r="A4" t="str">
            <v>North Korea</v>
          </cell>
        </row>
        <row r="5">
          <cell r="A5" t="str">
            <v>China</v>
          </cell>
          <cell r="B5">
            <v>0.8</v>
          </cell>
          <cell r="C5">
            <v>0.2</v>
          </cell>
        </row>
        <row r="6">
          <cell r="A6" t="str">
            <v>Cuba</v>
          </cell>
        </row>
        <row r="7">
          <cell r="A7" t="str">
            <v>South Korea</v>
          </cell>
          <cell r="B7">
            <v>0.75</v>
          </cell>
          <cell r="C7">
            <v>0.25</v>
          </cell>
        </row>
        <row r="8">
          <cell r="A8" t="str">
            <v>Armenia</v>
          </cell>
        </row>
        <row r="9">
          <cell r="A9" t="str">
            <v>Iceland</v>
          </cell>
        </row>
        <row r="10">
          <cell r="A10" t="str">
            <v>Madagascar</v>
          </cell>
        </row>
        <row r="11">
          <cell r="A11" t="str">
            <v>Gibraltar</v>
          </cell>
        </row>
        <row r="12">
          <cell r="A12" t="str">
            <v>Israel</v>
          </cell>
          <cell r="B12">
            <v>0.65</v>
          </cell>
          <cell r="C12">
            <v>0.35</v>
          </cell>
        </row>
        <row r="13">
          <cell r="A13" t="str">
            <v>Estonia</v>
          </cell>
        </row>
        <row r="14">
          <cell r="A14" t="str">
            <v>Liechtenstein</v>
          </cell>
        </row>
        <row r="15">
          <cell r="A15" t="str">
            <v>Belarus</v>
          </cell>
          <cell r="B15">
            <v>0.7</v>
          </cell>
          <cell r="C15">
            <v>0.3</v>
          </cell>
        </row>
        <row r="16">
          <cell r="A16" t="str">
            <v>Nepal</v>
          </cell>
        </row>
        <row r="17">
          <cell r="A17" t="str">
            <v>St. Helena</v>
          </cell>
          <cell r="B17">
            <v>0.5</v>
          </cell>
          <cell r="C17">
            <v>0.5</v>
          </cell>
        </row>
        <row r="18">
          <cell r="A18" t="str">
            <v>India</v>
          </cell>
          <cell r="B18">
            <v>0.5</v>
          </cell>
          <cell r="C18">
            <v>0.5</v>
          </cell>
        </row>
        <row r="19">
          <cell r="A19" t="str">
            <v>Singapore</v>
          </cell>
          <cell r="B19">
            <v>0.49</v>
          </cell>
          <cell r="C19">
            <v>0.51</v>
          </cell>
        </row>
        <row r="20">
          <cell r="A20" t="str">
            <v>Luxembourg</v>
          </cell>
        </row>
        <row r="21">
          <cell r="A21" t="str">
            <v>Ukraine</v>
          </cell>
          <cell r="B21">
            <v>0.76</v>
          </cell>
          <cell r="C21">
            <v>0.24</v>
          </cell>
        </row>
        <row r="22">
          <cell r="A22" t="str">
            <v>Hong Kong</v>
          </cell>
          <cell r="B22">
            <v>0.63</v>
          </cell>
          <cell r="C22">
            <v>0.37</v>
          </cell>
        </row>
        <row r="23">
          <cell r="A23" t="str">
            <v>Malta</v>
          </cell>
        </row>
        <row r="24">
          <cell r="A24" t="str">
            <v>Ã…land Islands</v>
          </cell>
        </row>
        <row r="25">
          <cell r="A25" t="str">
            <v>North Macedonia</v>
          </cell>
        </row>
        <row r="26">
          <cell r="A26" t="str">
            <v>Sri Lanka</v>
          </cell>
          <cell r="B26">
            <v>0.53</v>
          </cell>
          <cell r="C26">
            <v>0.47</v>
          </cell>
        </row>
        <row r="27">
          <cell r="A27" t="str">
            <v>Myanmar (Burma)</v>
          </cell>
        </row>
        <row r="28">
          <cell r="A28" t="str">
            <v>Latvia</v>
          </cell>
        </row>
        <row r="29">
          <cell r="A29" t="str">
            <v>Mauritius</v>
          </cell>
        </row>
        <row r="30">
          <cell r="A30" t="str">
            <v>Bulgaria</v>
          </cell>
          <cell r="B30">
            <v>0.68</v>
          </cell>
          <cell r="C30">
            <v>0.32</v>
          </cell>
        </row>
        <row r="31">
          <cell r="A31" t="str">
            <v>Lithuania</v>
          </cell>
          <cell r="B31">
            <v>0.65</v>
          </cell>
          <cell r="C31">
            <v>0.35</v>
          </cell>
        </row>
        <row r="32">
          <cell r="A32" t="str">
            <v>Finland</v>
          </cell>
          <cell r="B32">
            <v>0.67</v>
          </cell>
          <cell r="C32">
            <v>0.33</v>
          </cell>
        </row>
        <row r="33">
          <cell r="A33" t="str">
            <v>Czechia</v>
          </cell>
          <cell r="B33">
            <v>0.57999999999999996</v>
          </cell>
          <cell r="C33">
            <v>0.42</v>
          </cell>
        </row>
        <row r="34">
          <cell r="A34" t="str">
            <v>Faroe Islands</v>
          </cell>
        </row>
        <row r="35">
          <cell r="A35" t="str">
            <v>Serbia</v>
          </cell>
          <cell r="B35">
            <v>0.65</v>
          </cell>
          <cell r="C35">
            <v>0.35</v>
          </cell>
        </row>
        <row r="36">
          <cell r="A36" t="str">
            <v>Tunisia</v>
          </cell>
          <cell r="B36">
            <v>0.56000000000000005</v>
          </cell>
          <cell r="C36">
            <v>0.44</v>
          </cell>
        </row>
        <row r="37">
          <cell r="A37" t="str">
            <v>Sweden</v>
          </cell>
          <cell r="B37">
            <v>0.61</v>
          </cell>
          <cell r="C37">
            <v>0.39</v>
          </cell>
        </row>
        <row r="38">
          <cell r="A38" t="str">
            <v>New Zealand</v>
          </cell>
          <cell r="B38">
            <v>0.52</v>
          </cell>
          <cell r="C38">
            <v>0.48</v>
          </cell>
        </row>
        <row r="39">
          <cell r="A39" t="str">
            <v>Isle of Man</v>
          </cell>
        </row>
        <row r="40">
          <cell r="A40" t="str">
            <v>Nicaragua</v>
          </cell>
        </row>
        <row r="41">
          <cell r="A41" t="str">
            <v>Switzerland</v>
          </cell>
          <cell r="B41">
            <v>0.55000000000000004</v>
          </cell>
          <cell r="C41">
            <v>0.45</v>
          </cell>
        </row>
        <row r="42">
          <cell r="A42" t="str">
            <v>Costa Rica</v>
          </cell>
          <cell r="B42">
            <v>0.44</v>
          </cell>
          <cell r="C42">
            <v>0.56000000000000005</v>
          </cell>
        </row>
        <row r="43">
          <cell r="A43" t="str">
            <v>Taiwan</v>
          </cell>
          <cell r="B43">
            <v>0.56000000000000005</v>
          </cell>
          <cell r="C43">
            <v>0.44</v>
          </cell>
        </row>
        <row r="44">
          <cell r="A44" t="str">
            <v>Moldova</v>
          </cell>
        </row>
        <row r="45">
          <cell r="A45" t="str">
            <v>El Salvador</v>
          </cell>
        </row>
        <row r="46">
          <cell r="A46" t="str">
            <v>Slovenia</v>
          </cell>
          <cell r="B46">
            <v>0.57999999999999996</v>
          </cell>
          <cell r="C46">
            <v>0.42</v>
          </cell>
        </row>
        <row r="47">
          <cell r="A47" t="str">
            <v>Portugal</v>
          </cell>
          <cell r="B47">
            <v>0.52</v>
          </cell>
          <cell r="C47">
            <v>0.48</v>
          </cell>
        </row>
        <row r="48">
          <cell r="A48" t="str">
            <v>Netherlands</v>
          </cell>
          <cell r="B48">
            <v>0.57999999999999996</v>
          </cell>
          <cell r="C48">
            <v>0.42</v>
          </cell>
        </row>
        <row r="49">
          <cell r="A49" t="str">
            <v>Philippines</v>
          </cell>
          <cell r="B49">
            <v>0.56000000000000005</v>
          </cell>
          <cell r="C49">
            <v>0.44</v>
          </cell>
        </row>
        <row r="50">
          <cell r="A50" t="str">
            <v>Central African Republic</v>
          </cell>
        </row>
        <row r="51">
          <cell r="A51" t="str">
            <v>San Marino</v>
          </cell>
        </row>
        <row r="52">
          <cell r="A52" t="str">
            <v>Norway</v>
          </cell>
          <cell r="B52">
            <v>0.61</v>
          </cell>
          <cell r="C52">
            <v>0.39</v>
          </cell>
        </row>
        <row r="53">
          <cell r="A53" t="str">
            <v>Canada</v>
          </cell>
          <cell r="B53">
            <v>0.56000000000000005</v>
          </cell>
          <cell r="C53">
            <v>0.44</v>
          </cell>
        </row>
        <row r="54">
          <cell r="A54" t="str">
            <v>Bermuda</v>
          </cell>
        </row>
        <row r="55">
          <cell r="A55" t="str">
            <v>Togo</v>
          </cell>
        </row>
        <row r="56">
          <cell r="A56" t="str">
            <v>Macao</v>
          </cell>
        </row>
        <row r="57">
          <cell r="A57" t="str">
            <v>Botswana</v>
          </cell>
        </row>
        <row r="58">
          <cell r="A58" t="str">
            <v>Pakistan</v>
          </cell>
          <cell r="B58">
            <v>0.53</v>
          </cell>
          <cell r="C58">
            <v>0.47</v>
          </cell>
        </row>
        <row r="59">
          <cell r="A59" t="str">
            <v>Ireland</v>
          </cell>
          <cell r="B59">
            <v>0.52</v>
          </cell>
          <cell r="C59">
            <v>0.48</v>
          </cell>
        </row>
        <row r="60">
          <cell r="A60" t="str">
            <v>Denmark</v>
          </cell>
          <cell r="B60">
            <v>0.52</v>
          </cell>
          <cell r="C60">
            <v>0.48</v>
          </cell>
        </row>
        <row r="61">
          <cell r="A61" t="str">
            <v>Romania</v>
          </cell>
          <cell r="B61">
            <v>0.59</v>
          </cell>
          <cell r="C61">
            <v>0.41</v>
          </cell>
        </row>
        <row r="62">
          <cell r="A62" t="str">
            <v>South Africa</v>
          </cell>
          <cell r="B62">
            <v>0.41</v>
          </cell>
          <cell r="C62">
            <v>0.59</v>
          </cell>
        </row>
        <row r="63">
          <cell r="A63" t="str">
            <v>Monaco</v>
          </cell>
        </row>
        <row r="64">
          <cell r="A64" t="str">
            <v>Russia</v>
          </cell>
          <cell r="B64">
            <v>0.63</v>
          </cell>
          <cell r="C64">
            <v>0.37</v>
          </cell>
        </row>
        <row r="65">
          <cell r="A65" t="str">
            <v>Germany</v>
          </cell>
          <cell r="B65">
            <v>0.6</v>
          </cell>
          <cell r="C65">
            <v>0.4</v>
          </cell>
        </row>
        <row r="66">
          <cell r="A66" t="str">
            <v>Cape Verde</v>
          </cell>
        </row>
        <row r="67">
          <cell r="A67" t="str">
            <v>Peru</v>
          </cell>
          <cell r="B67">
            <v>0.35</v>
          </cell>
          <cell r="C67">
            <v>0.65</v>
          </cell>
        </row>
        <row r="68">
          <cell r="A68" t="str">
            <v>Benin</v>
          </cell>
        </row>
        <row r="69">
          <cell r="A69" t="str">
            <v>Cameroon</v>
          </cell>
        </row>
        <row r="70">
          <cell r="A70" t="str">
            <v>United States</v>
          </cell>
          <cell r="B70">
            <v>0.52</v>
          </cell>
          <cell r="C70">
            <v>0.48</v>
          </cell>
        </row>
        <row r="71">
          <cell r="A71" t="str">
            <v>Australia</v>
          </cell>
          <cell r="B71">
            <v>0.51</v>
          </cell>
          <cell r="C71">
            <v>0.49</v>
          </cell>
        </row>
        <row r="72">
          <cell r="A72" t="str">
            <v>Cyprus</v>
          </cell>
        </row>
        <row r="73">
          <cell r="A73" t="str">
            <v>Honduras</v>
          </cell>
        </row>
        <row r="74">
          <cell r="A74" t="str">
            <v>Austria</v>
          </cell>
          <cell r="B74">
            <v>0.56000000000000005</v>
          </cell>
          <cell r="C74">
            <v>0.44</v>
          </cell>
        </row>
        <row r="75">
          <cell r="A75" t="str">
            <v>Jersey</v>
          </cell>
        </row>
        <row r="76">
          <cell r="A76" t="str">
            <v>Belgium</v>
          </cell>
          <cell r="B76">
            <v>0.56000000000000005</v>
          </cell>
          <cell r="C76">
            <v>0.44</v>
          </cell>
        </row>
        <row r="77">
          <cell r="A77" t="str">
            <v>Ethiopia</v>
          </cell>
        </row>
        <row r="78">
          <cell r="A78" t="str">
            <v>Mongolia</v>
          </cell>
        </row>
        <row r="79">
          <cell r="A79" t="str">
            <v>Cambodia</v>
          </cell>
        </row>
        <row r="80">
          <cell r="A80" t="str">
            <v>Laos</v>
          </cell>
        </row>
        <row r="81">
          <cell r="A81" t="str">
            <v>Hungary</v>
          </cell>
          <cell r="B81">
            <v>0.6</v>
          </cell>
          <cell r="C81">
            <v>0.4</v>
          </cell>
        </row>
        <row r="82">
          <cell r="A82" t="str">
            <v>Congo - Brazzaville</v>
          </cell>
        </row>
        <row r="83">
          <cell r="A83" t="str">
            <v>Slovakia</v>
          </cell>
          <cell r="B83">
            <v>0.61</v>
          </cell>
          <cell r="C83">
            <v>0.39</v>
          </cell>
        </row>
        <row r="84">
          <cell r="A84" t="str">
            <v>Japan</v>
          </cell>
          <cell r="B84">
            <v>0.56000000000000005</v>
          </cell>
          <cell r="C84">
            <v>0.44</v>
          </cell>
        </row>
        <row r="85">
          <cell r="A85" t="str">
            <v>Lebanon</v>
          </cell>
        </row>
        <row r="86">
          <cell r="A86" t="str">
            <v>Poland</v>
          </cell>
          <cell r="B86">
            <v>0.59</v>
          </cell>
          <cell r="C86">
            <v>0.41</v>
          </cell>
        </row>
        <row r="87">
          <cell r="A87" t="str">
            <v>Rwanda</v>
          </cell>
        </row>
        <row r="88">
          <cell r="A88" t="str">
            <v>Maldives</v>
          </cell>
        </row>
        <row r="89">
          <cell r="A89" t="str">
            <v>France</v>
          </cell>
          <cell r="B89">
            <v>0.63</v>
          </cell>
          <cell r="C89">
            <v>0.37</v>
          </cell>
        </row>
        <row r="90">
          <cell r="A90" t="str">
            <v>Caribbean Netherlands</v>
          </cell>
        </row>
        <row r="91">
          <cell r="A91" t="str">
            <v>Andorra</v>
          </cell>
        </row>
        <row r="92">
          <cell r="A92" t="str">
            <v>United Kingdom</v>
          </cell>
          <cell r="B92">
            <v>0.5</v>
          </cell>
          <cell r="C92">
            <v>0.5</v>
          </cell>
        </row>
        <row r="93">
          <cell r="A93" t="str">
            <v>Guatemala</v>
          </cell>
        </row>
        <row r="94">
          <cell r="A94" t="str">
            <v>Lesotho</v>
          </cell>
        </row>
        <row r="95">
          <cell r="A95" t="str">
            <v>Croatia</v>
          </cell>
          <cell r="B95">
            <v>0.55000000000000004</v>
          </cell>
          <cell r="C95">
            <v>0.45</v>
          </cell>
        </row>
        <row r="96">
          <cell r="A96" t="str">
            <v>United Arab Emirates</v>
          </cell>
          <cell r="B96">
            <v>0.43</v>
          </cell>
          <cell r="C96">
            <v>0.56999999999999995</v>
          </cell>
        </row>
        <row r="97">
          <cell r="A97" t="str">
            <v>Angola</v>
          </cell>
        </row>
        <row r="98">
          <cell r="A98" t="str">
            <v>Bahrain</v>
          </cell>
        </row>
        <row r="99">
          <cell r="A99" t="str">
            <v>Bhutan</v>
          </cell>
        </row>
        <row r="100">
          <cell r="A100" t="str">
            <v>Bosnia &amp; Herzegovina</v>
          </cell>
        </row>
        <row r="101">
          <cell r="A101" t="str">
            <v>Albania</v>
          </cell>
        </row>
        <row r="102">
          <cell r="A102" t="str">
            <v>Bangladesh</v>
          </cell>
          <cell r="B102">
            <v>0.6</v>
          </cell>
          <cell r="C102">
            <v>0.4</v>
          </cell>
        </row>
        <row r="103">
          <cell r="A103" t="str">
            <v>Spain</v>
          </cell>
          <cell r="B103">
            <v>0.59</v>
          </cell>
          <cell r="C103">
            <v>0.41</v>
          </cell>
        </row>
        <row r="104">
          <cell r="A104" t="str">
            <v>Burundi</v>
          </cell>
        </row>
        <row r="105">
          <cell r="A105" t="str">
            <v>Uruguay</v>
          </cell>
        </row>
        <row r="106">
          <cell r="A106" t="str">
            <v>Papua New Guinea</v>
          </cell>
        </row>
        <row r="107">
          <cell r="A107" t="str">
            <v>Panama</v>
          </cell>
        </row>
        <row r="108">
          <cell r="A108" t="str">
            <v>Chile</v>
          </cell>
          <cell r="B108">
            <v>0.44</v>
          </cell>
          <cell r="C108">
            <v>0.56000000000000005</v>
          </cell>
        </row>
        <row r="109">
          <cell r="A109" t="str">
            <v>Guernsey</v>
          </cell>
        </row>
        <row r="110">
          <cell r="A110" t="str">
            <v>Kosovo</v>
          </cell>
        </row>
        <row r="111">
          <cell r="A111" t="str">
            <v>Somalia</v>
          </cell>
        </row>
        <row r="112">
          <cell r="A112" t="str">
            <v>Mexico</v>
          </cell>
          <cell r="B112">
            <v>0.42</v>
          </cell>
          <cell r="C112">
            <v>0.57999999999999996</v>
          </cell>
        </row>
        <row r="113">
          <cell r="A113" t="str">
            <v>New Caledonia</v>
          </cell>
        </row>
        <row r="114">
          <cell r="A114" t="str">
            <v>Afghanistan</v>
          </cell>
        </row>
        <row r="115">
          <cell r="A115" t="str">
            <v>Fiji</v>
          </cell>
        </row>
        <row r="116">
          <cell r="A116" t="str">
            <v>Malawi</v>
          </cell>
        </row>
        <row r="117">
          <cell r="A117" t="str">
            <v>Malaysia</v>
          </cell>
          <cell r="B117">
            <v>0.47</v>
          </cell>
          <cell r="C117">
            <v>0.53</v>
          </cell>
        </row>
        <row r="118">
          <cell r="A118" t="str">
            <v>Colombia</v>
          </cell>
          <cell r="B118">
            <v>0.48</v>
          </cell>
          <cell r="C118">
            <v>0.52</v>
          </cell>
        </row>
        <row r="119">
          <cell r="A119" t="str">
            <v>Eswatini</v>
          </cell>
        </row>
        <row r="120">
          <cell r="A120" t="str">
            <v>Ecuador</v>
          </cell>
          <cell r="B120">
            <v>0.39</v>
          </cell>
          <cell r="C120">
            <v>0.61</v>
          </cell>
        </row>
        <row r="121">
          <cell r="A121" t="str">
            <v>Senegal</v>
          </cell>
        </row>
        <row r="122">
          <cell r="A122" t="str">
            <v>Vietnam</v>
          </cell>
          <cell r="B122">
            <v>0.56000000000000005</v>
          </cell>
          <cell r="C122">
            <v>0.44</v>
          </cell>
        </row>
        <row r="123">
          <cell r="A123" t="str">
            <v>Uzbekistan</v>
          </cell>
        </row>
        <row r="124">
          <cell r="A124" t="str">
            <v>CuraÃ§ao</v>
          </cell>
        </row>
        <row r="125">
          <cell r="A125" t="str">
            <v>Zimbabwe</v>
          </cell>
        </row>
        <row r="126">
          <cell r="A126" t="str">
            <v>Greenland</v>
          </cell>
        </row>
        <row r="127">
          <cell r="A127" t="str">
            <v>Vanuatu</v>
          </cell>
        </row>
        <row r="128">
          <cell r="A128" t="str">
            <v>Seychelles</v>
          </cell>
        </row>
        <row r="129">
          <cell r="A129" t="str">
            <v>Bolivia</v>
          </cell>
        </row>
        <row r="130">
          <cell r="A130" t="str">
            <v>Barbados</v>
          </cell>
        </row>
        <row r="131">
          <cell r="A131" t="str">
            <v>Namibia</v>
          </cell>
        </row>
        <row r="132">
          <cell r="A132" t="str">
            <v>Sierra Leone</v>
          </cell>
        </row>
        <row r="133">
          <cell r="A133" t="str">
            <v>Cayman Islands</v>
          </cell>
        </row>
        <row r="134">
          <cell r="A134" t="str">
            <v>Iran</v>
          </cell>
          <cell r="B134">
            <v>0.42</v>
          </cell>
          <cell r="C134">
            <v>0.57999999999999996</v>
          </cell>
        </row>
        <row r="135">
          <cell r="A135" t="str">
            <v>Georgia</v>
          </cell>
        </row>
        <row r="136">
          <cell r="A136" t="str">
            <v>Dominican Republic</v>
          </cell>
        </row>
        <row r="137">
          <cell r="A137" t="str">
            <v>Oman</v>
          </cell>
        </row>
        <row r="138">
          <cell r="A138" t="str">
            <v>Greece</v>
          </cell>
          <cell r="B138">
            <v>0.56999999999999995</v>
          </cell>
          <cell r="C138">
            <v>0.43</v>
          </cell>
        </row>
        <row r="139">
          <cell r="A139" t="str">
            <v>Jamaica</v>
          </cell>
        </row>
        <row r="140">
          <cell r="A140" t="str">
            <v>Dominica</v>
          </cell>
        </row>
        <row r="141">
          <cell r="A141" t="str">
            <v>Nigeria</v>
          </cell>
          <cell r="B141">
            <v>0.63</v>
          </cell>
          <cell r="C141">
            <v>0.37</v>
          </cell>
        </row>
        <row r="142">
          <cell r="A142" t="str">
            <v>Djibouti</v>
          </cell>
        </row>
        <row r="143">
          <cell r="A143" t="str">
            <v>Montenegro</v>
          </cell>
        </row>
        <row r="144">
          <cell r="A144" t="str">
            <v>Ghana</v>
          </cell>
        </row>
        <row r="145">
          <cell r="A145" t="str">
            <v>CÃ´te dâ€™Ivoire</v>
          </cell>
        </row>
        <row r="146">
          <cell r="A146" t="str">
            <v>Congo - Kinshasa</v>
          </cell>
        </row>
        <row r="147">
          <cell r="A147" t="str">
            <v>St. Vincent &amp; Grenadines</v>
          </cell>
        </row>
        <row r="148">
          <cell r="A148" t="str">
            <v>Jordan</v>
          </cell>
        </row>
        <row r="149">
          <cell r="A149" t="str">
            <v>Gambia</v>
          </cell>
        </row>
        <row r="150">
          <cell r="A150" t="str">
            <v>Liberia</v>
          </cell>
        </row>
        <row r="151">
          <cell r="A151" t="str">
            <v>French Polynesia</v>
          </cell>
        </row>
        <row r="152">
          <cell r="A152" t="str">
            <v>Morocco</v>
          </cell>
          <cell r="B152">
            <v>0.51</v>
          </cell>
          <cell r="C152">
            <v>0.49</v>
          </cell>
        </row>
        <row r="153">
          <cell r="A153" t="str">
            <v>Palestine</v>
          </cell>
        </row>
        <row r="154">
          <cell r="A154" t="str">
            <v>Timor-Leste</v>
          </cell>
        </row>
        <row r="155">
          <cell r="A155" t="str">
            <v>Puerto Rico</v>
          </cell>
        </row>
        <row r="156">
          <cell r="A156" t="str">
            <v>Qatar</v>
          </cell>
        </row>
        <row r="157">
          <cell r="A157" t="str">
            <v>Kazakhstan</v>
          </cell>
          <cell r="B157">
            <v>0.57999999999999996</v>
          </cell>
          <cell r="C157">
            <v>0.42</v>
          </cell>
        </row>
        <row r="158">
          <cell r="A158" t="str">
            <v>Kenya</v>
          </cell>
        </row>
        <row r="159">
          <cell r="A159" t="str">
            <v>Trinidad &amp; Tobago</v>
          </cell>
        </row>
        <row r="160">
          <cell r="A160" t="str">
            <v>Kuwait</v>
          </cell>
        </row>
        <row r="161">
          <cell r="A161" t="str">
            <v>Paraguay</v>
          </cell>
        </row>
        <row r="162">
          <cell r="A162" t="str">
            <v>Italy</v>
          </cell>
          <cell r="B162">
            <v>0.56000000000000005</v>
          </cell>
          <cell r="C162">
            <v>0.44</v>
          </cell>
        </row>
        <row r="163">
          <cell r="A163" t="str">
            <v>Zambia</v>
          </cell>
        </row>
        <row r="164">
          <cell r="A164" t="str">
            <v>Kyrgyzstan</v>
          </cell>
        </row>
        <row r="165">
          <cell r="A165" t="str">
            <v>Argentina</v>
          </cell>
          <cell r="B165">
            <v>0.55000000000000004</v>
          </cell>
          <cell r="C165">
            <v>0.45</v>
          </cell>
        </row>
        <row r="166">
          <cell r="A166" t="str">
            <v>Brazil</v>
          </cell>
          <cell r="B166">
            <v>0.54</v>
          </cell>
          <cell r="C166">
            <v>0.46</v>
          </cell>
        </row>
        <row r="167">
          <cell r="A167" t="str">
            <v>Uganda</v>
          </cell>
        </row>
        <row r="168">
          <cell r="A168" t="str">
            <v>Brunei</v>
          </cell>
        </row>
        <row r="169">
          <cell r="A169" t="str">
            <v>Libya</v>
          </cell>
        </row>
        <row r="170">
          <cell r="A170" t="str">
            <v>RÃ©union</v>
          </cell>
        </row>
        <row r="171">
          <cell r="A171" t="str">
            <v>Mauritania</v>
          </cell>
        </row>
        <row r="172">
          <cell r="A172" t="str">
            <v>Niger</v>
          </cell>
        </row>
        <row r="173">
          <cell r="A173" t="str">
            <v>Thailand</v>
          </cell>
          <cell r="B173">
            <v>0.49</v>
          </cell>
          <cell r="C173">
            <v>0.51</v>
          </cell>
        </row>
        <row r="174">
          <cell r="A174" t="str">
            <v>Haiti</v>
          </cell>
        </row>
        <row r="175">
          <cell r="A175" t="str">
            <v>Suriname</v>
          </cell>
        </row>
        <row r="176">
          <cell r="A176" t="str">
            <v>Sudan</v>
          </cell>
        </row>
        <row r="177">
          <cell r="A177" t="str">
            <v>Egypt</v>
          </cell>
          <cell r="B177">
            <v>0.5</v>
          </cell>
          <cell r="C177">
            <v>0.5</v>
          </cell>
        </row>
        <row r="178">
          <cell r="A178" t="str">
            <v>Belize</v>
          </cell>
        </row>
        <row r="179">
          <cell r="A179" t="str">
            <v>Azerbaijan</v>
          </cell>
        </row>
        <row r="180">
          <cell r="A180" t="str">
            <v>Guadeloupe</v>
          </cell>
        </row>
        <row r="181">
          <cell r="A181" t="str">
            <v>Gabon</v>
          </cell>
        </row>
        <row r="182">
          <cell r="A182" t="str">
            <v>Mozambique</v>
          </cell>
        </row>
        <row r="183">
          <cell r="A183" t="str">
            <v>Turkey</v>
          </cell>
          <cell r="B183">
            <v>0.43</v>
          </cell>
          <cell r="C183">
            <v>0.56999999999999995</v>
          </cell>
        </row>
        <row r="184">
          <cell r="A184" t="str">
            <v>Grenada</v>
          </cell>
        </row>
        <row r="185">
          <cell r="A185" t="str">
            <v>Martinique</v>
          </cell>
        </row>
        <row r="186">
          <cell r="A186" t="str">
            <v>Guam</v>
          </cell>
        </row>
        <row r="187">
          <cell r="A187" t="str">
            <v>Saudi Arabia</v>
          </cell>
          <cell r="B187">
            <v>0.35</v>
          </cell>
          <cell r="C187">
            <v>0.65</v>
          </cell>
        </row>
        <row r="188">
          <cell r="A188" t="str">
            <v>Guinea</v>
          </cell>
        </row>
        <row r="189">
          <cell r="A189" t="str">
            <v>Venezuela</v>
          </cell>
          <cell r="B189">
            <v>0.6</v>
          </cell>
          <cell r="C189">
            <v>0.4</v>
          </cell>
        </row>
        <row r="190">
          <cell r="A190" t="str">
            <v>Yemen</v>
          </cell>
        </row>
        <row r="191">
          <cell r="A191" t="str">
            <v>Indonesia</v>
          </cell>
          <cell r="B191">
            <v>0.54</v>
          </cell>
          <cell r="C191">
            <v>0.46</v>
          </cell>
        </row>
        <row r="192">
          <cell r="A192" t="str">
            <v>Antigua &amp; Barbuda</v>
          </cell>
        </row>
        <row r="193">
          <cell r="A193" t="str">
            <v>Algeria</v>
          </cell>
        </row>
        <row r="194">
          <cell r="A194" t="str">
            <v>U.S. Virgin Islands</v>
          </cell>
        </row>
        <row r="195">
          <cell r="A195" t="str">
            <v>Syria</v>
          </cell>
        </row>
        <row r="196">
          <cell r="A196" t="str">
            <v>South Sudan</v>
          </cell>
        </row>
        <row r="197">
          <cell r="A197" t="str">
            <v>Tajikistan</v>
          </cell>
        </row>
        <row r="198">
          <cell r="A198" t="str">
            <v>Burkina Faso</v>
          </cell>
        </row>
        <row r="199">
          <cell r="A199" t="str">
            <v>Guyana</v>
          </cell>
        </row>
        <row r="200">
          <cell r="A200" t="str">
            <v>Tanzania</v>
          </cell>
        </row>
        <row r="201">
          <cell r="A201" t="str">
            <v>Aruba</v>
          </cell>
        </row>
        <row r="202">
          <cell r="A202" t="str">
            <v>Turks &amp; Caicos Islands</v>
          </cell>
        </row>
        <row r="203">
          <cell r="A203" t="str">
            <v>Sint Maarten</v>
          </cell>
        </row>
        <row r="204">
          <cell r="A204" t="str">
            <v>Chad</v>
          </cell>
        </row>
        <row r="205">
          <cell r="A205" t="str">
            <v>Mali</v>
          </cell>
        </row>
        <row r="206">
          <cell r="A206" t="str">
            <v>St. Lucia</v>
          </cell>
        </row>
        <row r="207">
          <cell r="A207" t="str">
            <v>Turkmenistan</v>
          </cell>
        </row>
        <row r="208">
          <cell r="A208" t="str">
            <v>Bahamas</v>
          </cell>
        </row>
        <row r="209">
          <cell r="A209" t="str">
            <v>Iraq</v>
          </cell>
        </row>
        <row r="210">
          <cell r="A210" t="str">
            <v>French Guiana</v>
          </cell>
        </row>
        <row r="211">
          <cell r="A211" t="str">
            <v>Western Sahara</v>
          </cell>
        </row>
        <row r="212">
          <cell r="A212" t="str">
            <v>Eritrea</v>
          </cell>
        </row>
        <row r="213">
          <cell r="A213" t="str">
            <v>Falkland Islands (Islas Malvinas)</v>
          </cell>
        </row>
        <row r="214">
          <cell r="A214" t="str">
            <v>Svalbard &amp; Jan Mayen</v>
          </cell>
        </row>
        <row r="215">
          <cell r="A215" t="str">
            <v>Montserrat</v>
          </cell>
        </row>
        <row r="216">
          <cell r="A216" t="str">
            <v>SÃ£o TomÃ© &amp; PrÃ­ncipe</v>
          </cell>
        </row>
        <row r="217">
          <cell r="A217" t="str">
            <v>Samoa</v>
          </cell>
        </row>
        <row r="218">
          <cell r="A218" t="str">
            <v>Tonga</v>
          </cell>
        </row>
        <row r="219">
          <cell r="A219" t="str">
            <v>Solomon Islands</v>
          </cell>
        </row>
        <row r="220">
          <cell r="A220" t="str">
            <v>American Samoa</v>
          </cell>
        </row>
        <row r="221">
          <cell r="A221" t="str">
            <v>Guinea-Bissau</v>
          </cell>
        </row>
        <row r="222">
          <cell r="A222" t="str">
            <v>Palau</v>
          </cell>
        </row>
        <row r="223">
          <cell r="A223" t="str">
            <v>Micronesia</v>
          </cell>
        </row>
        <row r="224">
          <cell r="A224" t="str">
            <v>Comoros</v>
          </cell>
        </row>
        <row r="225">
          <cell r="A225" t="str">
            <v>Marshall Islands</v>
          </cell>
        </row>
        <row r="226">
          <cell r="A226" t="str">
            <v>Northern Mariana Islands</v>
          </cell>
        </row>
        <row r="227">
          <cell r="A227" t="str">
            <v>St. Kitts &amp; Nevis</v>
          </cell>
        </row>
        <row r="228">
          <cell r="A228" t="str">
            <v>Anguilla</v>
          </cell>
        </row>
        <row r="229">
          <cell r="A229" t="str">
            <v>Equatorial Guinea</v>
          </cell>
        </row>
        <row r="230">
          <cell r="A230" t="str">
            <v>British Virgin Islands</v>
          </cell>
        </row>
        <row r="231">
          <cell r="A231" t="str">
            <v>St. BarthÃ©lemy</v>
          </cell>
        </row>
        <row r="232">
          <cell r="A232" t="str">
            <v>Mayotte</v>
          </cell>
        </row>
        <row r="233">
          <cell r="A233" t="str">
            <v>St. Martin</v>
          </cell>
        </row>
        <row r="234">
          <cell r="A234" t="str">
            <v>Antarctica</v>
          </cell>
        </row>
        <row r="235">
          <cell r="A235" t="str">
            <v>French Southern Territories</v>
          </cell>
        </row>
        <row r="236">
          <cell r="A236" t="str">
            <v>Bouvet Island</v>
          </cell>
        </row>
        <row r="237">
          <cell r="A237" t="str">
            <v>Cocos (Keeling) Islands</v>
          </cell>
        </row>
        <row r="238">
          <cell r="A238" t="str">
            <v>Cook Islands</v>
          </cell>
        </row>
        <row r="239">
          <cell r="A239" t="str">
            <v>Christmas Island</v>
          </cell>
        </row>
        <row r="240">
          <cell r="A240" t="str">
            <v>Heard &amp; McDonald Islands</v>
          </cell>
        </row>
        <row r="241">
          <cell r="A241" t="str">
            <v>British Indian Ocean Territory</v>
          </cell>
        </row>
        <row r="242">
          <cell r="A242" t="str">
            <v>Kiribati</v>
          </cell>
        </row>
        <row r="243">
          <cell r="A243" t="str">
            <v>Norfolk Island</v>
          </cell>
        </row>
        <row r="244">
          <cell r="A244" t="str">
            <v>Niue</v>
          </cell>
        </row>
        <row r="245">
          <cell r="A245" t="str">
            <v>Nauru</v>
          </cell>
        </row>
        <row r="246">
          <cell r="A246" t="str">
            <v>Pitcairn Islands</v>
          </cell>
        </row>
        <row r="247">
          <cell r="A247" t="str">
            <v>South Georgia &amp; South Sandwich Islands</v>
          </cell>
        </row>
        <row r="248">
          <cell r="A248" t="str">
            <v>St. Pierre &amp; Miquelon</v>
          </cell>
        </row>
        <row r="249">
          <cell r="A249" t="str">
            <v>Tokelau</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1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4)"/>
    </sheetNames>
    <sheetDataSet>
      <sheetData sheetId="0">
        <row r="1">
          <cell r="A1" t="str">
            <v>Kategori: TÃ¼m kategoriler</v>
          </cell>
        </row>
        <row r="3">
          <cell r="A3" t="str">
            <v>Ãœlke</v>
          </cell>
          <cell r="B3" t="str">
            <v>SQL: (2017)</v>
          </cell>
          <cell r="C3" t="str">
            <v>VeritabanÄ±: (2017)</v>
          </cell>
        </row>
        <row r="4">
          <cell r="A4" t="str">
            <v>China</v>
          </cell>
          <cell r="B4">
            <v>0.47</v>
          </cell>
          <cell r="C4">
            <v>0.53</v>
          </cell>
        </row>
        <row r="5">
          <cell r="A5" t="str">
            <v>Eritrea</v>
          </cell>
        </row>
        <row r="6">
          <cell r="A6" t="str">
            <v>Cuba</v>
          </cell>
        </row>
        <row r="7">
          <cell r="A7" t="str">
            <v>Ethiopia</v>
          </cell>
        </row>
        <row r="8">
          <cell r="A8" t="str">
            <v>Liechtenstein</v>
          </cell>
        </row>
        <row r="9">
          <cell r="A9" t="str">
            <v>Botswana</v>
          </cell>
        </row>
        <row r="10">
          <cell r="A10" t="str">
            <v>Gibraltar</v>
          </cell>
        </row>
        <row r="11">
          <cell r="A11" t="str">
            <v>St. Helena</v>
          </cell>
          <cell r="B11">
            <v>0.56000000000000005</v>
          </cell>
          <cell r="C11">
            <v>0.44</v>
          </cell>
        </row>
        <row r="12">
          <cell r="A12" t="str">
            <v>Zimbabwe</v>
          </cell>
        </row>
        <row r="13">
          <cell r="A13" t="str">
            <v>Singapore</v>
          </cell>
          <cell r="B13">
            <v>0.59</v>
          </cell>
          <cell r="C13">
            <v>0.41</v>
          </cell>
        </row>
        <row r="14">
          <cell r="A14" t="str">
            <v>India</v>
          </cell>
          <cell r="B14">
            <v>0.61</v>
          </cell>
          <cell r="C14">
            <v>0.39</v>
          </cell>
        </row>
        <row r="15">
          <cell r="A15" t="str">
            <v>Malawi</v>
          </cell>
        </row>
        <row r="16">
          <cell r="A16" t="str">
            <v>Timor-Leste</v>
          </cell>
        </row>
        <row r="17">
          <cell r="A17" t="str">
            <v>Luxembourg</v>
          </cell>
        </row>
        <row r="18">
          <cell r="A18" t="str">
            <v>Tonga</v>
          </cell>
        </row>
        <row r="19">
          <cell r="A19" t="str">
            <v>Rwanda</v>
          </cell>
        </row>
        <row r="20">
          <cell r="A20" t="str">
            <v>Guinea-Bissau</v>
          </cell>
        </row>
        <row r="21">
          <cell r="A21" t="str">
            <v>Madagascar</v>
          </cell>
        </row>
        <row r="22">
          <cell r="A22" t="str">
            <v>Isle of Man</v>
          </cell>
        </row>
        <row r="23">
          <cell r="A23" t="str">
            <v>Papua New Guinea</v>
          </cell>
        </row>
        <row r="24">
          <cell r="A24" t="str">
            <v>Iceland</v>
          </cell>
        </row>
        <row r="25">
          <cell r="A25" t="str">
            <v>Central African Republic</v>
          </cell>
        </row>
        <row r="26">
          <cell r="A26" t="str">
            <v>Myanmar (Burma)</v>
          </cell>
        </row>
        <row r="27">
          <cell r="A27" t="str">
            <v>Afghanistan</v>
          </cell>
        </row>
        <row r="28">
          <cell r="A28" t="str">
            <v>Nepal</v>
          </cell>
        </row>
        <row r="29">
          <cell r="A29" t="str">
            <v>Malta</v>
          </cell>
        </row>
        <row r="30">
          <cell r="A30" t="str">
            <v>Mauritius</v>
          </cell>
        </row>
        <row r="31">
          <cell r="A31" t="str">
            <v>Benin</v>
          </cell>
        </row>
        <row r="32">
          <cell r="A32" t="str">
            <v>Sri Lanka</v>
          </cell>
          <cell r="B32">
            <v>0.52</v>
          </cell>
          <cell r="C32">
            <v>0.48</v>
          </cell>
        </row>
        <row r="33">
          <cell r="A33" t="str">
            <v>Nicaragua</v>
          </cell>
        </row>
        <row r="34">
          <cell r="A34" t="str">
            <v>Lesotho</v>
          </cell>
        </row>
        <row r="35">
          <cell r="A35" t="str">
            <v>Solomon Islands</v>
          </cell>
        </row>
        <row r="36">
          <cell r="A36" t="str">
            <v>Bhutan</v>
          </cell>
        </row>
        <row r="37">
          <cell r="A37" t="str">
            <v>Ã…land Islands</v>
          </cell>
        </row>
        <row r="38">
          <cell r="A38" t="str">
            <v>Costa Rica</v>
          </cell>
          <cell r="B38">
            <v>0.65</v>
          </cell>
          <cell r="C38">
            <v>0.35</v>
          </cell>
        </row>
        <row r="39">
          <cell r="A39" t="str">
            <v>Togo</v>
          </cell>
        </row>
        <row r="40">
          <cell r="A40" t="str">
            <v>SÃ£o TomÃ© &amp; PrÃ­ncipe</v>
          </cell>
        </row>
        <row r="41">
          <cell r="A41" t="str">
            <v>Samoa</v>
          </cell>
        </row>
        <row r="42">
          <cell r="A42" t="str">
            <v>El Salvador</v>
          </cell>
        </row>
        <row r="43">
          <cell r="A43" t="str">
            <v>Eswatini</v>
          </cell>
        </row>
        <row r="44">
          <cell r="A44" t="str">
            <v>Cameroon</v>
          </cell>
        </row>
        <row r="45">
          <cell r="A45" t="str">
            <v>South Korea</v>
          </cell>
          <cell r="B45">
            <v>0.46</v>
          </cell>
          <cell r="C45">
            <v>0.54</v>
          </cell>
        </row>
        <row r="46">
          <cell r="A46" t="str">
            <v>Uganda</v>
          </cell>
        </row>
        <row r="47">
          <cell r="A47" t="str">
            <v>New Zealand</v>
          </cell>
          <cell r="B47">
            <v>0.56000000000000005</v>
          </cell>
          <cell r="C47">
            <v>0.44</v>
          </cell>
        </row>
        <row r="48">
          <cell r="A48" t="str">
            <v>Equatorial Guinea</v>
          </cell>
        </row>
        <row r="49">
          <cell r="A49" t="str">
            <v>Cape Verde</v>
          </cell>
        </row>
        <row r="50">
          <cell r="A50" t="str">
            <v>Ghana</v>
          </cell>
        </row>
        <row r="51">
          <cell r="A51" t="str">
            <v>Israel</v>
          </cell>
          <cell r="B51">
            <v>0.68</v>
          </cell>
          <cell r="C51">
            <v>0.32</v>
          </cell>
        </row>
        <row r="52">
          <cell r="A52" t="str">
            <v>Bermuda</v>
          </cell>
        </row>
        <row r="53">
          <cell r="A53" t="str">
            <v>Faroe Islands</v>
          </cell>
        </row>
        <row r="54">
          <cell r="A54" t="str">
            <v>Angola</v>
          </cell>
        </row>
        <row r="55">
          <cell r="A55" t="str">
            <v>Jersey</v>
          </cell>
        </row>
        <row r="56">
          <cell r="A56" t="str">
            <v>Portugal</v>
          </cell>
          <cell r="B56">
            <v>0.6</v>
          </cell>
          <cell r="C56">
            <v>0.4</v>
          </cell>
        </row>
        <row r="57">
          <cell r="A57" t="str">
            <v>South Africa</v>
          </cell>
          <cell r="B57">
            <v>0.51</v>
          </cell>
          <cell r="C57">
            <v>0.49</v>
          </cell>
        </row>
        <row r="58">
          <cell r="A58" t="str">
            <v>Macao</v>
          </cell>
        </row>
        <row r="59">
          <cell r="A59" t="str">
            <v>Pakistan</v>
          </cell>
          <cell r="B59">
            <v>0.48</v>
          </cell>
          <cell r="C59">
            <v>0.52</v>
          </cell>
        </row>
        <row r="60">
          <cell r="A60" t="str">
            <v>Congo - Brazzaville</v>
          </cell>
        </row>
        <row r="61">
          <cell r="A61" t="str">
            <v>Estonia</v>
          </cell>
        </row>
        <row r="62">
          <cell r="A62" t="str">
            <v>Congo - Kinshasa</v>
          </cell>
        </row>
        <row r="63">
          <cell r="A63" t="str">
            <v>Fiji</v>
          </cell>
        </row>
        <row r="64">
          <cell r="A64" t="str">
            <v>North Macedonia</v>
          </cell>
        </row>
        <row r="65">
          <cell r="A65" t="str">
            <v>Monaco</v>
          </cell>
        </row>
        <row r="66">
          <cell r="A66" t="str">
            <v>Switzerland</v>
          </cell>
          <cell r="B66">
            <v>0.56999999999999995</v>
          </cell>
          <cell r="C66">
            <v>0.43</v>
          </cell>
        </row>
        <row r="67">
          <cell r="A67" t="str">
            <v>Tunisia</v>
          </cell>
          <cell r="B67">
            <v>0.51</v>
          </cell>
          <cell r="C67">
            <v>0.49</v>
          </cell>
        </row>
        <row r="68">
          <cell r="A68" t="str">
            <v>Czechia</v>
          </cell>
          <cell r="B68">
            <v>0.52</v>
          </cell>
          <cell r="C68">
            <v>0.48</v>
          </cell>
        </row>
        <row r="69">
          <cell r="A69" t="str">
            <v>Philippines</v>
          </cell>
          <cell r="B69">
            <v>0.49</v>
          </cell>
          <cell r="C69">
            <v>0.51</v>
          </cell>
        </row>
        <row r="70">
          <cell r="A70" t="str">
            <v>Ireland</v>
          </cell>
          <cell r="B70">
            <v>0.54</v>
          </cell>
          <cell r="C70">
            <v>0.46</v>
          </cell>
        </row>
        <row r="71">
          <cell r="A71" t="str">
            <v>Peru</v>
          </cell>
          <cell r="B71">
            <v>0.59</v>
          </cell>
          <cell r="C71">
            <v>0.41</v>
          </cell>
        </row>
        <row r="72">
          <cell r="A72" t="str">
            <v>Denmark</v>
          </cell>
          <cell r="B72">
            <v>0.59</v>
          </cell>
          <cell r="C72">
            <v>0.41</v>
          </cell>
        </row>
        <row r="73">
          <cell r="A73" t="str">
            <v>Hong Kong</v>
          </cell>
          <cell r="B73">
            <v>0.54</v>
          </cell>
          <cell r="C73">
            <v>0.46</v>
          </cell>
        </row>
        <row r="74">
          <cell r="A74" t="str">
            <v>Taiwan</v>
          </cell>
          <cell r="B74">
            <v>0.55000000000000004</v>
          </cell>
          <cell r="C74">
            <v>0.45</v>
          </cell>
        </row>
        <row r="75">
          <cell r="A75" t="str">
            <v>Honduras</v>
          </cell>
        </row>
        <row r="76">
          <cell r="A76" t="str">
            <v>Latvia</v>
          </cell>
        </row>
        <row r="77">
          <cell r="A77" t="str">
            <v>Colombia</v>
          </cell>
          <cell r="B77">
            <v>0.43</v>
          </cell>
          <cell r="C77">
            <v>0.56999999999999995</v>
          </cell>
        </row>
        <row r="78">
          <cell r="A78" t="str">
            <v>Australia</v>
          </cell>
          <cell r="B78">
            <v>0.55000000000000004</v>
          </cell>
          <cell r="C78">
            <v>0.45</v>
          </cell>
        </row>
        <row r="79">
          <cell r="A79" t="str">
            <v>Namibia</v>
          </cell>
        </row>
        <row r="80">
          <cell r="A80" t="str">
            <v>Jamaica</v>
          </cell>
        </row>
        <row r="81">
          <cell r="A81" t="str">
            <v>Andorra</v>
          </cell>
        </row>
        <row r="82">
          <cell r="A82" t="str">
            <v>Canada</v>
          </cell>
          <cell r="B82">
            <v>0.53</v>
          </cell>
          <cell r="C82">
            <v>0.47</v>
          </cell>
        </row>
        <row r="83">
          <cell r="A83" t="str">
            <v>United States</v>
          </cell>
          <cell r="B83">
            <v>0.55000000000000004</v>
          </cell>
          <cell r="C83">
            <v>0.45</v>
          </cell>
        </row>
        <row r="84">
          <cell r="A84" t="str">
            <v>Zambia</v>
          </cell>
        </row>
        <row r="85">
          <cell r="A85" t="str">
            <v>Somalia</v>
          </cell>
        </row>
        <row r="86">
          <cell r="A86" t="str">
            <v>Liberia</v>
          </cell>
        </row>
        <row r="87">
          <cell r="A87" t="str">
            <v>Belize</v>
          </cell>
        </row>
        <row r="88">
          <cell r="A88" t="str">
            <v>Tanzania</v>
          </cell>
        </row>
        <row r="89">
          <cell r="A89" t="str">
            <v>Dominica</v>
          </cell>
        </row>
        <row r="90">
          <cell r="A90" t="str">
            <v>Burundi</v>
          </cell>
        </row>
        <row r="91">
          <cell r="A91" t="str">
            <v>Slovenia</v>
          </cell>
        </row>
        <row r="92">
          <cell r="A92" t="str">
            <v>Lebanon</v>
          </cell>
        </row>
        <row r="93">
          <cell r="A93" t="str">
            <v>Kenya</v>
          </cell>
        </row>
        <row r="94">
          <cell r="A94" t="str">
            <v>Vanuatu</v>
          </cell>
        </row>
        <row r="95">
          <cell r="A95" t="str">
            <v>Laos</v>
          </cell>
        </row>
        <row r="96">
          <cell r="A96" t="str">
            <v>Guatemala</v>
          </cell>
          <cell r="B96">
            <v>0.54</v>
          </cell>
          <cell r="C96">
            <v>0.46</v>
          </cell>
        </row>
        <row r="97">
          <cell r="A97" t="str">
            <v>United Arab Emirates</v>
          </cell>
          <cell r="B97">
            <v>0.56999999999999995</v>
          </cell>
          <cell r="C97">
            <v>0.43</v>
          </cell>
        </row>
        <row r="98">
          <cell r="A98" t="str">
            <v>Netherlands</v>
          </cell>
          <cell r="B98">
            <v>0.54</v>
          </cell>
          <cell r="C98">
            <v>0.46</v>
          </cell>
        </row>
        <row r="99">
          <cell r="A99" t="str">
            <v>Senegal</v>
          </cell>
        </row>
        <row r="100">
          <cell r="A100" t="str">
            <v>Nigeria</v>
          </cell>
          <cell r="B100">
            <v>0.28999999999999998</v>
          </cell>
          <cell r="C100">
            <v>0.71</v>
          </cell>
        </row>
        <row r="101">
          <cell r="A101" t="str">
            <v>United Kingdom</v>
          </cell>
          <cell r="B101">
            <v>0.56000000000000005</v>
          </cell>
          <cell r="C101">
            <v>0.44</v>
          </cell>
        </row>
        <row r="102">
          <cell r="A102" t="str">
            <v>Sierra Leone</v>
          </cell>
        </row>
        <row r="103">
          <cell r="A103" t="str">
            <v>Maldives</v>
          </cell>
        </row>
        <row r="104">
          <cell r="A104" t="str">
            <v>Djibouti</v>
          </cell>
        </row>
        <row r="105">
          <cell r="A105" t="str">
            <v>Brunei</v>
          </cell>
        </row>
        <row r="106">
          <cell r="A106" t="str">
            <v>Cyprus</v>
          </cell>
        </row>
        <row r="107">
          <cell r="A107" t="str">
            <v>Mozambique</v>
          </cell>
        </row>
        <row r="108">
          <cell r="A108" t="str">
            <v>Bahrain</v>
          </cell>
        </row>
        <row r="109">
          <cell r="A109" t="str">
            <v>Sweden</v>
          </cell>
          <cell r="B109">
            <v>0.56999999999999995</v>
          </cell>
          <cell r="C109">
            <v>0.43</v>
          </cell>
        </row>
        <row r="110">
          <cell r="A110" t="str">
            <v>Belarus</v>
          </cell>
          <cell r="B110">
            <v>0.53</v>
          </cell>
          <cell r="C110">
            <v>0.47</v>
          </cell>
        </row>
        <row r="111">
          <cell r="A111" t="str">
            <v>Niger</v>
          </cell>
        </row>
        <row r="112">
          <cell r="A112" t="str">
            <v>Guernsey</v>
          </cell>
        </row>
        <row r="113">
          <cell r="A113" t="str">
            <v>St. Vincent &amp; Grenadines</v>
          </cell>
        </row>
        <row r="114">
          <cell r="A114" t="str">
            <v>Lithuania</v>
          </cell>
          <cell r="B114">
            <v>0.54</v>
          </cell>
          <cell r="C114">
            <v>0.46</v>
          </cell>
        </row>
        <row r="115">
          <cell r="A115" t="str">
            <v>Belgium</v>
          </cell>
          <cell r="B115">
            <v>0.54</v>
          </cell>
          <cell r="C115">
            <v>0.46</v>
          </cell>
        </row>
        <row r="116">
          <cell r="A116" t="str">
            <v>San Marino</v>
          </cell>
        </row>
        <row r="117">
          <cell r="A117" t="str">
            <v>Trinidad &amp; Tobago</v>
          </cell>
        </row>
        <row r="118">
          <cell r="A118" t="str">
            <v>New Caledonia</v>
          </cell>
        </row>
        <row r="119">
          <cell r="A119" t="str">
            <v>Mongolia</v>
          </cell>
        </row>
        <row r="120">
          <cell r="A120" t="str">
            <v>Austria</v>
          </cell>
          <cell r="B120">
            <v>0.54</v>
          </cell>
          <cell r="C120">
            <v>0.46</v>
          </cell>
        </row>
        <row r="121">
          <cell r="A121" t="str">
            <v>Chile</v>
          </cell>
          <cell r="B121">
            <v>0.61</v>
          </cell>
          <cell r="C121">
            <v>0.39</v>
          </cell>
        </row>
        <row r="122">
          <cell r="A122" t="str">
            <v>Japan</v>
          </cell>
          <cell r="B122">
            <v>0.54</v>
          </cell>
          <cell r="C122">
            <v>0.46</v>
          </cell>
        </row>
        <row r="123">
          <cell r="A123" t="str">
            <v>Romania</v>
          </cell>
          <cell r="B123">
            <v>0.55000000000000004</v>
          </cell>
          <cell r="C123">
            <v>0.45</v>
          </cell>
        </row>
        <row r="124">
          <cell r="A124" t="str">
            <v>Ecuador</v>
          </cell>
          <cell r="B124">
            <v>0.49</v>
          </cell>
          <cell r="C124">
            <v>0.51</v>
          </cell>
        </row>
        <row r="125">
          <cell r="A125" t="str">
            <v>Norway</v>
          </cell>
          <cell r="B125">
            <v>0.56000000000000005</v>
          </cell>
          <cell r="C125">
            <v>0.44</v>
          </cell>
        </row>
        <row r="126">
          <cell r="A126" t="str">
            <v>Serbia</v>
          </cell>
          <cell r="B126">
            <v>0.55000000000000004</v>
          </cell>
          <cell r="C126">
            <v>0.45</v>
          </cell>
        </row>
        <row r="127">
          <cell r="A127" t="str">
            <v>Greenland</v>
          </cell>
        </row>
        <row r="128">
          <cell r="A128" t="str">
            <v>South Sudan</v>
          </cell>
        </row>
        <row r="129">
          <cell r="A129" t="str">
            <v>Malaysia</v>
          </cell>
          <cell r="B129">
            <v>0.49</v>
          </cell>
          <cell r="C129">
            <v>0.51</v>
          </cell>
        </row>
        <row r="130">
          <cell r="A130" t="str">
            <v>Panama</v>
          </cell>
        </row>
        <row r="131">
          <cell r="A131" t="str">
            <v>Gambia</v>
          </cell>
        </row>
        <row r="132">
          <cell r="A132" t="str">
            <v>Sudan</v>
          </cell>
        </row>
        <row r="133">
          <cell r="A133" t="str">
            <v>Barbados</v>
          </cell>
        </row>
        <row r="134">
          <cell r="A134" t="str">
            <v>Mexico</v>
          </cell>
          <cell r="B134">
            <v>0.52</v>
          </cell>
          <cell r="C134">
            <v>0.48</v>
          </cell>
        </row>
        <row r="135">
          <cell r="A135" t="str">
            <v>Albania</v>
          </cell>
        </row>
        <row r="136">
          <cell r="A136" t="str">
            <v>Armenia</v>
          </cell>
        </row>
        <row r="137">
          <cell r="A137" t="str">
            <v>CuraÃ§ao</v>
          </cell>
        </row>
        <row r="138">
          <cell r="A138" t="str">
            <v>Finland</v>
          </cell>
          <cell r="B138">
            <v>0.54</v>
          </cell>
          <cell r="C138">
            <v>0.46</v>
          </cell>
        </row>
        <row r="139">
          <cell r="A139" t="str">
            <v>Germany</v>
          </cell>
          <cell r="B139">
            <v>0.51</v>
          </cell>
          <cell r="C139">
            <v>0.49</v>
          </cell>
        </row>
        <row r="140">
          <cell r="A140" t="str">
            <v>Indonesia</v>
          </cell>
          <cell r="B140">
            <v>0.31</v>
          </cell>
          <cell r="C140">
            <v>0.69</v>
          </cell>
        </row>
        <row r="141">
          <cell r="A141" t="str">
            <v>Haiti</v>
          </cell>
        </row>
        <row r="142">
          <cell r="A142" t="str">
            <v>St. Lucia</v>
          </cell>
        </row>
        <row r="143">
          <cell r="A143" t="str">
            <v>Cambodia</v>
          </cell>
        </row>
        <row r="144">
          <cell r="A144" t="str">
            <v>Bolivia</v>
          </cell>
        </row>
        <row r="145">
          <cell r="A145" t="str">
            <v>Cayman Islands</v>
          </cell>
        </row>
        <row r="146">
          <cell r="A146" t="str">
            <v>Bulgaria</v>
          </cell>
          <cell r="B146">
            <v>0.56999999999999995</v>
          </cell>
          <cell r="C146">
            <v>0.43</v>
          </cell>
        </row>
        <row r="147">
          <cell r="A147" t="str">
            <v>Croatia</v>
          </cell>
          <cell r="B147">
            <v>0.56000000000000005</v>
          </cell>
          <cell r="C147">
            <v>0.44</v>
          </cell>
        </row>
        <row r="148">
          <cell r="A148" t="str">
            <v>Kosovo</v>
          </cell>
        </row>
        <row r="149">
          <cell r="A149" t="str">
            <v>CÃ´te dâ€™Ivoire</v>
          </cell>
        </row>
        <row r="150">
          <cell r="A150" t="str">
            <v>Iran</v>
          </cell>
          <cell r="B150">
            <v>0.6</v>
          </cell>
          <cell r="C150">
            <v>0.4</v>
          </cell>
        </row>
        <row r="151">
          <cell r="A151" t="str">
            <v>Poland</v>
          </cell>
          <cell r="B151">
            <v>0.54</v>
          </cell>
          <cell r="C151">
            <v>0.46</v>
          </cell>
        </row>
        <row r="152">
          <cell r="A152" t="str">
            <v>Antigua &amp; Barbuda</v>
          </cell>
        </row>
        <row r="153">
          <cell r="A153" t="str">
            <v>Bangladesh</v>
          </cell>
          <cell r="B153">
            <v>0.45</v>
          </cell>
          <cell r="C153">
            <v>0.55000000000000004</v>
          </cell>
        </row>
        <row r="154">
          <cell r="A154" t="str">
            <v>Dominican Republic</v>
          </cell>
          <cell r="B154">
            <v>0.53</v>
          </cell>
          <cell r="C154">
            <v>0.47</v>
          </cell>
        </row>
        <row r="155">
          <cell r="A155" t="str">
            <v>Hungary</v>
          </cell>
          <cell r="B155">
            <v>0.5</v>
          </cell>
          <cell r="C155">
            <v>0.5</v>
          </cell>
        </row>
        <row r="156">
          <cell r="A156" t="str">
            <v>Gabon</v>
          </cell>
        </row>
        <row r="157">
          <cell r="A157" t="str">
            <v>Yemen</v>
          </cell>
        </row>
        <row r="158">
          <cell r="A158" t="str">
            <v>St. Kitts &amp; Nevis</v>
          </cell>
        </row>
        <row r="159">
          <cell r="A159" t="str">
            <v>Slovakia</v>
          </cell>
          <cell r="B159">
            <v>0.49</v>
          </cell>
          <cell r="C159">
            <v>0.51</v>
          </cell>
        </row>
        <row r="160">
          <cell r="A160" t="str">
            <v>Sint Maarten</v>
          </cell>
        </row>
        <row r="161">
          <cell r="A161" t="str">
            <v>Oman</v>
          </cell>
        </row>
        <row r="162">
          <cell r="A162" t="str">
            <v>Grenada</v>
          </cell>
        </row>
        <row r="163">
          <cell r="A163" t="str">
            <v>Burkina Faso</v>
          </cell>
        </row>
        <row r="164">
          <cell r="A164" t="str">
            <v>Uruguay</v>
          </cell>
        </row>
        <row r="165">
          <cell r="A165" t="str">
            <v>Russia</v>
          </cell>
          <cell r="B165">
            <v>0.5</v>
          </cell>
          <cell r="C165">
            <v>0.5</v>
          </cell>
        </row>
        <row r="166">
          <cell r="A166" t="str">
            <v>Guyana</v>
          </cell>
        </row>
        <row r="167">
          <cell r="A167" t="str">
            <v>Libya</v>
          </cell>
        </row>
        <row r="168">
          <cell r="A168" t="str">
            <v>Jordan</v>
          </cell>
        </row>
        <row r="169">
          <cell r="A169" t="str">
            <v>Ukraine</v>
          </cell>
          <cell r="B169">
            <v>0.48</v>
          </cell>
          <cell r="C169">
            <v>0.52</v>
          </cell>
        </row>
        <row r="170">
          <cell r="A170" t="str">
            <v>Vietnam</v>
          </cell>
          <cell r="B170">
            <v>0.62</v>
          </cell>
          <cell r="C170">
            <v>0.38</v>
          </cell>
        </row>
        <row r="171">
          <cell r="A171" t="str">
            <v>Bosnia &amp; Herzegovina</v>
          </cell>
        </row>
        <row r="172">
          <cell r="A172" t="str">
            <v>Spain</v>
          </cell>
          <cell r="B172">
            <v>0.52</v>
          </cell>
          <cell r="C172">
            <v>0.48</v>
          </cell>
        </row>
        <row r="173">
          <cell r="A173" t="str">
            <v>France</v>
          </cell>
          <cell r="B173">
            <v>0.56000000000000005</v>
          </cell>
          <cell r="C173">
            <v>0.44</v>
          </cell>
        </row>
        <row r="174">
          <cell r="A174" t="str">
            <v>Uzbekistan</v>
          </cell>
        </row>
        <row r="175">
          <cell r="A175" t="str">
            <v>Moldova</v>
          </cell>
        </row>
        <row r="176">
          <cell r="A176" t="str">
            <v>Qatar</v>
          </cell>
        </row>
        <row r="177">
          <cell r="A177" t="str">
            <v>Italy</v>
          </cell>
          <cell r="B177">
            <v>0.44</v>
          </cell>
          <cell r="C177">
            <v>0.56000000000000005</v>
          </cell>
        </row>
        <row r="178">
          <cell r="A178" t="str">
            <v>Morocco</v>
          </cell>
          <cell r="B178">
            <v>0.55000000000000004</v>
          </cell>
          <cell r="C178">
            <v>0.45</v>
          </cell>
        </row>
        <row r="179">
          <cell r="A179" t="str">
            <v>Puerto Rico</v>
          </cell>
        </row>
        <row r="180">
          <cell r="A180" t="str">
            <v>Suriname</v>
          </cell>
        </row>
        <row r="181">
          <cell r="A181" t="str">
            <v>Paraguay</v>
          </cell>
        </row>
        <row r="182">
          <cell r="A182" t="str">
            <v>Turks &amp; Caicos Islands</v>
          </cell>
        </row>
        <row r="183">
          <cell r="A183" t="str">
            <v>Kazakhstan</v>
          </cell>
          <cell r="B183">
            <v>0.44</v>
          </cell>
          <cell r="C183">
            <v>0.56000000000000005</v>
          </cell>
        </row>
        <row r="184">
          <cell r="A184" t="str">
            <v>U.S. Virgin Islands</v>
          </cell>
        </row>
        <row r="185">
          <cell r="A185" t="str">
            <v>Northern Mariana Islands</v>
          </cell>
        </row>
        <row r="186">
          <cell r="A186" t="str">
            <v>Thailand</v>
          </cell>
          <cell r="B186">
            <v>0.48</v>
          </cell>
          <cell r="C186">
            <v>0.52</v>
          </cell>
        </row>
        <row r="187">
          <cell r="A187" t="str">
            <v>Kyrgyzstan</v>
          </cell>
        </row>
        <row r="188">
          <cell r="A188" t="str">
            <v>Greece</v>
          </cell>
          <cell r="B188">
            <v>0.56000000000000005</v>
          </cell>
          <cell r="C188">
            <v>0.44</v>
          </cell>
        </row>
        <row r="189">
          <cell r="A189" t="str">
            <v>Mali</v>
          </cell>
        </row>
        <row r="190">
          <cell r="A190" t="str">
            <v>Kuwait</v>
          </cell>
        </row>
        <row r="191">
          <cell r="A191" t="str">
            <v>Chad</v>
          </cell>
        </row>
        <row r="192">
          <cell r="A192" t="str">
            <v>French Polynesia</v>
          </cell>
        </row>
        <row r="193">
          <cell r="A193" t="str">
            <v>Caribbean Netherlands</v>
          </cell>
        </row>
        <row r="194">
          <cell r="A194" t="str">
            <v>British Virgin Islands</v>
          </cell>
        </row>
        <row r="195">
          <cell r="A195" t="str">
            <v>Mauritania</v>
          </cell>
        </row>
        <row r="196">
          <cell r="A196" t="str">
            <v>Seychelles</v>
          </cell>
        </row>
        <row r="197">
          <cell r="A197" t="str">
            <v>Egypt</v>
          </cell>
          <cell r="B197">
            <v>0.49</v>
          </cell>
          <cell r="C197">
            <v>0.51</v>
          </cell>
        </row>
        <row r="198">
          <cell r="A198" t="str">
            <v>Brazil</v>
          </cell>
          <cell r="B198">
            <v>0.55000000000000004</v>
          </cell>
          <cell r="C198">
            <v>0.45</v>
          </cell>
        </row>
        <row r="199">
          <cell r="A199" t="str">
            <v>Guinea</v>
          </cell>
        </row>
        <row r="200">
          <cell r="A200" t="str">
            <v>Argentina</v>
          </cell>
          <cell r="B200">
            <v>0.56999999999999995</v>
          </cell>
          <cell r="C200">
            <v>0.43</v>
          </cell>
        </row>
        <row r="201">
          <cell r="A201" t="str">
            <v>Azerbaijan</v>
          </cell>
        </row>
        <row r="202">
          <cell r="A202" t="str">
            <v>Palestine</v>
          </cell>
        </row>
        <row r="203">
          <cell r="A203" t="str">
            <v>Turkey</v>
          </cell>
          <cell r="B203">
            <v>0.63</v>
          </cell>
          <cell r="C203">
            <v>0.37</v>
          </cell>
        </row>
        <row r="204">
          <cell r="A204" t="str">
            <v>Algeria</v>
          </cell>
          <cell r="B204">
            <v>0.46</v>
          </cell>
          <cell r="C204">
            <v>0.54</v>
          </cell>
        </row>
        <row r="205">
          <cell r="A205" t="str">
            <v>Aruba</v>
          </cell>
        </row>
        <row r="206">
          <cell r="A206" t="str">
            <v>Bahamas</v>
          </cell>
        </row>
        <row r="207">
          <cell r="A207" t="str">
            <v>Georgia</v>
          </cell>
        </row>
        <row r="208">
          <cell r="A208" t="str">
            <v>Saudi Arabia</v>
          </cell>
          <cell r="B208">
            <v>0.49</v>
          </cell>
          <cell r="C208">
            <v>0.51</v>
          </cell>
        </row>
        <row r="209">
          <cell r="A209" t="str">
            <v>Montenegro</v>
          </cell>
        </row>
        <row r="210">
          <cell r="A210" t="str">
            <v>Guam</v>
          </cell>
        </row>
        <row r="211">
          <cell r="A211" t="str">
            <v>Venezuela</v>
          </cell>
          <cell r="B211">
            <v>0.41</v>
          </cell>
          <cell r="C211">
            <v>0.59</v>
          </cell>
        </row>
        <row r="212">
          <cell r="A212" t="str">
            <v>Tajikistan</v>
          </cell>
        </row>
        <row r="213">
          <cell r="A213" t="str">
            <v>Syria</v>
          </cell>
        </row>
        <row r="214">
          <cell r="A214" t="str">
            <v>RÃ©union</v>
          </cell>
        </row>
        <row r="215">
          <cell r="A215" t="str">
            <v>Mayotte</v>
          </cell>
        </row>
        <row r="216">
          <cell r="A216" t="str">
            <v>Martinique</v>
          </cell>
        </row>
        <row r="217">
          <cell r="A217" t="str">
            <v>Turkmenistan</v>
          </cell>
        </row>
        <row r="218">
          <cell r="A218" t="str">
            <v>Western Sahara</v>
          </cell>
        </row>
        <row r="219">
          <cell r="A219" t="str">
            <v>French Guiana</v>
          </cell>
        </row>
        <row r="220">
          <cell r="A220" t="str">
            <v>Guadeloupe</v>
          </cell>
        </row>
        <row r="221">
          <cell r="A221" t="str">
            <v>Iraq</v>
          </cell>
        </row>
        <row r="222">
          <cell r="A222" t="str">
            <v>North Korea</v>
          </cell>
        </row>
        <row r="223">
          <cell r="A223" t="str">
            <v>Falkland Islands (Islas Malvinas)</v>
          </cell>
        </row>
        <row r="224">
          <cell r="A224" t="str">
            <v>Palau</v>
          </cell>
        </row>
        <row r="225">
          <cell r="A225" t="str">
            <v>Cook Islands</v>
          </cell>
        </row>
        <row r="226">
          <cell r="A226" t="str">
            <v>Montserrat</v>
          </cell>
        </row>
        <row r="227">
          <cell r="A227" t="str">
            <v>Comoros</v>
          </cell>
        </row>
        <row r="228">
          <cell r="A228" t="str">
            <v>St. Pierre &amp; Miquelon</v>
          </cell>
        </row>
        <row r="229">
          <cell r="A229" t="str">
            <v>Micronesia</v>
          </cell>
        </row>
        <row r="230">
          <cell r="A230" t="str">
            <v>American Samoa</v>
          </cell>
        </row>
        <row r="231">
          <cell r="A231" t="str">
            <v>Anguilla</v>
          </cell>
        </row>
        <row r="232">
          <cell r="A232" t="str">
            <v>Marshall Islands</v>
          </cell>
        </row>
        <row r="233">
          <cell r="A233" t="str">
            <v>St. BarthÃ©lemy</v>
          </cell>
        </row>
        <row r="234">
          <cell r="A234" t="str">
            <v>St. Martin</v>
          </cell>
        </row>
        <row r="235">
          <cell r="A235" t="str">
            <v>Antarctica</v>
          </cell>
        </row>
        <row r="236">
          <cell r="A236" t="str">
            <v>French Southern Territories</v>
          </cell>
        </row>
        <row r="237">
          <cell r="A237" t="str">
            <v>Bouvet Island</v>
          </cell>
        </row>
        <row r="238">
          <cell r="A238" t="str">
            <v>Cocos (Keeling) Islands</v>
          </cell>
        </row>
        <row r="239">
          <cell r="A239" t="str">
            <v>Christmas Island</v>
          </cell>
        </row>
        <row r="240">
          <cell r="A240" t="str">
            <v>Heard &amp; McDonald Islands</v>
          </cell>
        </row>
        <row r="241">
          <cell r="A241" t="str">
            <v>British Indian Ocean Territory</v>
          </cell>
        </row>
        <row r="242">
          <cell r="A242" t="str">
            <v>Kiribati</v>
          </cell>
        </row>
        <row r="243">
          <cell r="A243" t="str">
            <v>Norfolk Island</v>
          </cell>
        </row>
        <row r="244">
          <cell r="A244" t="str">
            <v>Niue</v>
          </cell>
        </row>
        <row r="245">
          <cell r="A245" t="str">
            <v>Nauru</v>
          </cell>
        </row>
        <row r="246">
          <cell r="A246" t="str">
            <v>Pitcairn Islands</v>
          </cell>
        </row>
        <row r="247">
          <cell r="A247" t="str">
            <v>South Georgia &amp; South Sandwich Islands</v>
          </cell>
        </row>
        <row r="248">
          <cell r="A248" t="str">
            <v>Svalbard &amp; Jan Mayen</v>
          </cell>
        </row>
        <row r="249">
          <cell r="A249" t="str">
            <v>Tokelau</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1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5)"/>
    </sheetNames>
    <sheetDataSet>
      <sheetData sheetId="0">
        <row r="1">
          <cell r="A1" t="str">
            <v>Kategori: TÃ¼m kategoriler</v>
          </cell>
        </row>
        <row r="3">
          <cell r="A3" t="str">
            <v>Ãœlke</v>
          </cell>
          <cell r="B3" t="str">
            <v>VeritabanÄ±: (2017)</v>
          </cell>
          <cell r="C3" t="str">
            <v>Dizgi: (2017)</v>
          </cell>
        </row>
        <row r="4">
          <cell r="A4" t="str">
            <v>China</v>
          </cell>
          <cell r="B4">
            <v>0.32</v>
          </cell>
          <cell r="C4">
            <v>0.68</v>
          </cell>
        </row>
        <row r="5">
          <cell r="A5" t="str">
            <v>Eritrea</v>
          </cell>
        </row>
        <row r="6">
          <cell r="A6" t="str">
            <v>Cuba</v>
          </cell>
        </row>
        <row r="7">
          <cell r="A7" t="str">
            <v>Ethiopia</v>
          </cell>
        </row>
        <row r="8">
          <cell r="A8" t="str">
            <v>Botswana</v>
          </cell>
        </row>
        <row r="9">
          <cell r="A9" t="str">
            <v>South Korea</v>
          </cell>
          <cell r="B9">
            <v>0.4</v>
          </cell>
          <cell r="C9">
            <v>0.6</v>
          </cell>
        </row>
        <row r="10">
          <cell r="A10" t="str">
            <v>Tonga</v>
          </cell>
        </row>
        <row r="11">
          <cell r="A11" t="str">
            <v>Zimbabwe</v>
          </cell>
        </row>
        <row r="12">
          <cell r="A12" t="str">
            <v>Timor-Leste</v>
          </cell>
        </row>
        <row r="13">
          <cell r="A13" t="str">
            <v>Rwanda</v>
          </cell>
        </row>
        <row r="14">
          <cell r="A14" t="str">
            <v>Malawi</v>
          </cell>
        </row>
        <row r="15">
          <cell r="A15" t="str">
            <v>Central African Republic</v>
          </cell>
        </row>
        <row r="16">
          <cell r="A16" t="str">
            <v>St. Helena</v>
          </cell>
          <cell r="B16">
            <v>0.59</v>
          </cell>
          <cell r="C16">
            <v>0.41</v>
          </cell>
        </row>
        <row r="17">
          <cell r="A17" t="str">
            <v>SÃ£o TomÃ© &amp; PrÃ­ncipe</v>
          </cell>
        </row>
        <row r="18">
          <cell r="A18" t="str">
            <v>Israel</v>
          </cell>
          <cell r="B18">
            <v>0.26</v>
          </cell>
          <cell r="C18">
            <v>0.74</v>
          </cell>
        </row>
        <row r="19">
          <cell r="A19" t="str">
            <v>Papua New Guinea</v>
          </cell>
        </row>
        <row r="20">
          <cell r="A20" t="str">
            <v>Madagascar</v>
          </cell>
        </row>
        <row r="21">
          <cell r="A21" t="str">
            <v>Myanmar (Burma)</v>
          </cell>
        </row>
        <row r="22">
          <cell r="A22" t="str">
            <v>Nepal</v>
          </cell>
        </row>
        <row r="23">
          <cell r="A23" t="str">
            <v>Singapore</v>
          </cell>
          <cell r="B23">
            <v>0.47</v>
          </cell>
          <cell r="C23">
            <v>0.53</v>
          </cell>
        </row>
        <row r="24">
          <cell r="A24" t="str">
            <v>Benin</v>
          </cell>
        </row>
        <row r="25">
          <cell r="A25" t="str">
            <v>Lesotho</v>
          </cell>
        </row>
        <row r="26">
          <cell r="A26" t="str">
            <v>Guinea-Bissau</v>
          </cell>
        </row>
        <row r="27">
          <cell r="A27" t="str">
            <v>Eswatini</v>
          </cell>
        </row>
        <row r="28">
          <cell r="A28" t="str">
            <v>Afghanistan</v>
          </cell>
        </row>
        <row r="29">
          <cell r="A29" t="str">
            <v>Samoa</v>
          </cell>
        </row>
        <row r="30">
          <cell r="A30" t="str">
            <v>Togo</v>
          </cell>
        </row>
        <row r="31">
          <cell r="A31" t="str">
            <v>Uganda</v>
          </cell>
        </row>
        <row r="32">
          <cell r="A32" t="str">
            <v>Vanuatu</v>
          </cell>
        </row>
        <row r="33">
          <cell r="A33" t="str">
            <v>Liechtenstein</v>
          </cell>
        </row>
        <row r="34">
          <cell r="A34" t="str">
            <v>Cape Verde</v>
          </cell>
        </row>
        <row r="35">
          <cell r="A35" t="str">
            <v>Bhutan</v>
          </cell>
        </row>
        <row r="36">
          <cell r="A36" t="str">
            <v>Cameroon</v>
          </cell>
        </row>
        <row r="37">
          <cell r="A37" t="str">
            <v>Equatorial Guinea</v>
          </cell>
        </row>
        <row r="38">
          <cell r="A38" t="str">
            <v>Sri Lanka</v>
          </cell>
          <cell r="B38">
            <v>0.61</v>
          </cell>
          <cell r="C38">
            <v>0.39</v>
          </cell>
        </row>
        <row r="39">
          <cell r="A39" t="str">
            <v>Angola</v>
          </cell>
        </row>
        <row r="40">
          <cell r="A40" t="str">
            <v>Estonia</v>
          </cell>
        </row>
        <row r="41">
          <cell r="A41" t="str">
            <v>Ghana</v>
          </cell>
        </row>
        <row r="42">
          <cell r="A42" t="str">
            <v>Gibraltar</v>
          </cell>
        </row>
        <row r="43">
          <cell r="A43" t="str">
            <v>India</v>
          </cell>
          <cell r="B43">
            <v>0.51</v>
          </cell>
          <cell r="C43">
            <v>0.49</v>
          </cell>
        </row>
        <row r="44">
          <cell r="A44" t="str">
            <v>Congo - Brazzaville</v>
          </cell>
        </row>
        <row r="45">
          <cell r="A45" t="str">
            <v>Congo - Kinshasa</v>
          </cell>
        </row>
        <row r="46">
          <cell r="A46" t="str">
            <v>Iceland</v>
          </cell>
        </row>
        <row r="47">
          <cell r="A47" t="str">
            <v>Pakistan</v>
          </cell>
          <cell r="B47">
            <v>0.63</v>
          </cell>
          <cell r="C47">
            <v>0.37</v>
          </cell>
        </row>
        <row r="48">
          <cell r="A48" t="str">
            <v>Fiji</v>
          </cell>
        </row>
        <row r="49">
          <cell r="A49" t="str">
            <v>Solomon Islands</v>
          </cell>
        </row>
        <row r="50">
          <cell r="A50" t="str">
            <v>Mauritius</v>
          </cell>
        </row>
        <row r="51">
          <cell r="A51" t="str">
            <v>Luxembourg</v>
          </cell>
        </row>
        <row r="52">
          <cell r="A52" t="str">
            <v>South Africa</v>
          </cell>
          <cell r="B52">
            <v>0.67</v>
          </cell>
          <cell r="C52">
            <v>0.33</v>
          </cell>
        </row>
        <row r="53">
          <cell r="A53" t="str">
            <v>Philippines</v>
          </cell>
          <cell r="B53">
            <v>0.62</v>
          </cell>
          <cell r="C53">
            <v>0.38</v>
          </cell>
        </row>
        <row r="54">
          <cell r="A54" t="str">
            <v>Belarus</v>
          </cell>
          <cell r="B54">
            <v>0.43</v>
          </cell>
          <cell r="C54">
            <v>0.56999999999999995</v>
          </cell>
        </row>
        <row r="55">
          <cell r="A55" t="str">
            <v>Hong Kong</v>
          </cell>
          <cell r="B55">
            <v>0.46</v>
          </cell>
          <cell r="C55">
            <v>0.54</v>
          </cell>
        </row>
        <row r="56">
          <cell r="A56" t="str">
            <v>Sierra Leone</v>
          </cell>
        </row>
        <row r="57">
          <cell r="A57" t="str">
            <v>Burundi</v>
          </cell>
        </row>
        <row r="58">
          <cell r="A58" t="str">
            <v>Colombia</v>
          </cell>
          <cell r="B58">
            <v>0.79</v>
          </cell>
          <cell r="C58">
            <v>0.21</v>
          </cell>
        </row>
        <row r="59">
          <cell r="A59" t="str">
            <v>Malta</v>
          </cell>
        </row>
        <row r="60">
          <cell r="A60" t="str">
            <v>Ã…land Islands</v>
          </cell>
        </row>
        <row r="61">
          <cell r="A61" t="str">
            <v>Namibia</v>
          </cell>
        </row>
        <row r="62">
          <cell r="A62" t="str">
            <v>Latvia</v>
          </cell>
        </row>
        <row r="63">
          <cell r="A63" t="str">
            <v>Czechia</v>
          </cell>
          <cell r="B63">
            <v>0.5</v>
          </cell>
          <cell r="C63">
            <v>0.5</v>
          </cell>
        </row>
        <row r="64">
          <cell r="A64" t="str">
            <v>Tunisia</v>
          </cell>
          <cell r="B64">
            <v>0.64</v>
          </cell>
          <cell r="C64">
            <v>0.36</v>
          </cell>
        </row>
        <row r="65">
          <cell r="A65" t="str">
            <v>New Zealand</v>
          </cell>
          <cell r="B65">
            <v>0.54</v>
          </cell>
          <cell r="C65">
            <v>0.46</v>
          </cell>
        </row>
        <row r="66">
          <cell r="A66" t="str">
            <v>Tanzania</v>
          </cell>
        </row>
        <row r="67">
          <cell r="A67" t="str">
            <v>Switzerland</v>
          </cell>
          <cell r="B67">
            <v>0.46</v>
          </cell>
          <cell r="C67">
            <v>0.54</v>
          </cell>
        </row>
        <row r="68">
          <cell r="A68" t="str">
            <v>Jamaica</v>
          </cell>
        </row>
        <row r="69">
          <cell r="A69" t="str">
            <v>Somalia</v>
          </cell>
        </row>
        <row r="70">
          <cell r="A70" t="str">
            <v>Niger</v>
          </cell>
        </row>
        <row r="71">
          <cell r="A71" t="str">
            <v>Zambia</v>
          </cell>
        </row>
        <row r="72">
          <cell r="A72" t="str">
            <v>El Salvador</v>
          </cell>
        </row>
        <row r="73">
          <cell r="A73" t="str">
            <v>Kenya</v>
          </cell>
        </row>
        <row r="74">
          <cell r="A74" t="str">
            <v>Belize</v>
          </cell>
        </row>
        <row r="75">
          <cell r="A75" t="str">
            <v>Dominica</v>
          </cell>
        </row>
        <row r="76">
          <cell r="A76" t="str">
            <v>Liberia</v>
          </cell>
        </row>
        <row r="77">
          <cell r="A77" t="str">
            <v>Senegal</v>
          </cell>
        </row>
        <row r="78">
          <cell r="A78" t="str">
            <v>Nigeria</v>
          </cell>
          <cell r="B78">
            <v>0.82</v>
          </cell>
          <cell r="C78">
            <v>0.18</v>
          </cell>
        </row>
        <row r="79">
          <cell r="A79" t="str">
            <v>Brunei</v>
          </cell>
        </row>
        <row r="80">
          <cell r="A80" t="str">
            <v>Mozambique</v>
          </cell>
        </row>
        <row r="81">
          <cell r="A81" t="str">
            <v>Macao</v>
          </cell>
        </row>
        <row r="82">
          <cell r="A82" t="str">
            <v>Canada</v>
          </cell>
          <cell r="B82">
            <v>0.52</v>
          </cell>
          <cell r="C82">
            <v>0.48</v>
          </cell>
        </row>
        <row r="83">
          <cell r="A83" t="str">
            <v>Maldives</v>
          </cell>
        </row>
        <row r="84">
          <cell r="A84" t="str">
            <v>Ireland</v>
          </cell>
          <cell r="B84">
            <v>0.51</v>
          </cell>
          <cell r="C84">
            <v>0.49</v>
          </cell>
        </row>
        <row r="85">
          <cell r="A85" t="str">
            <v>Taiwan</v>
          </cell>
          <cell r="B85">
            <v>0.5</v>
          </cell>
          <cell r="C85">
            <v>0.5</v>
          </cell>
        </row>
        <row r="86">
          <cell r="A86" t="str">
            <v>Slovenia</v>
          </cell>
        </row>
        <row r="87">
          <cell r="A87" t="str">
            <v>Monaco</v>
          </cell>
        </row>
        <row r="88">
          <cell r="A88" t="str">
            <v>Nicaragua</v>
          </cell>
        </row>
        <row r="89">
          <cell r="A89" t="str">
            <v>Finland</v>
          </cell>
          <cell r="B89">
            <v>0.43</v>
          </cell>
          <cell r="C89">
            <v>0.56999999999999995</v>
          </cell>
        </row>
        <row r="90">
          <cell r="A90" t="str">
            <v>North Macedonia</v>
          </cell>
        </row>
        <row r="91">
          <cell r="A91" t="str">
            <v>Australia</v>
          </cell>
          <cell r="B91">
            <v>0.54</v>
          </cell>
          <cell r="C91">
            <v>0.46</v>
          </cell>
        </row>
        <row r="92">
          <cell r="A92" t="str">
            <v>Denmark</v>
          </cell>
          <cell r="B92">
            <v>0.46</v>
          </cell>
          <cell r="C92">
            <v>0.54</v>
          </cell>
        </row>
        <row r="93">
          <cell r="A93" t="str">
            <v>Armenia</v>
          </cell>
        </row>
        <row r="94">
          <cell r="A94" t="str">
            <v>Isle of Man</v>
          </cell>
        </row>
        <row r="95">
          <cell r="A95" t="str">
            <v>Gambia</v>
          </cell>
        </row>
        <row r="96">
          <cell r="A96" t="str">
            <v>Ecuador</v>
          </cell>
          <cell r="B96">
            <v>0.77</v>
          </cell>
          <cell r="C96">
            <v>0.23</v>
          </cell>
        </row>
        <row r="97">
          <cell r="A97" t="str">
            <v>Honduras</v>
          </cell>
        </row>
        <row r="98">
          <cell r="A98" t="str">
            <v>Lebanon</v>
          </cell>
        </row>
        <row r="99">
          <cell r="A99" t="str">
            <v>St. Vincent &amp; Grenadines</v>
          </cell>
        </row>
        <row r="100">
          <cell r="A100" t="str">
            <v>Netherlands</v>
          </cell>
          <cell r="B100">
            <v>0.49</v>
          </cell>
          <cell r="C100">
            <v>0.51</v>
          </cell>
        </row>
        <row r="101">
          <cell r="A101" t="str">
            <v>Germany</v>
          </cell>
          <cell r="B101">
            <v>0.47</v>
          </cell>
          <cell r="C101">
            <v>0.53</v>
          </cell>
        </row>
        <row r="102">
          <cell r="A102" t="str">
            <v>United States</v>
          </cell>
          <cell r="B102">
            <v>0.51</v>
          </cell>
          <cell r="C102">
            <v>0.49</v>
          </cell>
        </row>
        <row r="103">
          <cell r="A103" t="str">
            <v>Guatemala</v>
          </cell>
        </row>
        <row r="104">
          <cell r="A104" t="str">
            <v>Trinidad &amp; Tobago</v>
          </cell>
        </row>
        <row r="105">
          <cell r="A105" t="str">
            <v>Portugal</v>
          </cell>
          <cell r="B105">
            <v>0.5</v>
          </cell>
          <cell r="C105">
            <v>0.5</v>
          </cell>
        </row>
        <row r="106">
          <cell r="A106" t="str">
            <v>Bulgaria</v>
          </cell>
          <cell r="B106">
            <v>0.41</v>
          </cell>
          <cell r="C106">
            <v>0.59</v>
          </cell>
        </row>
        <row r="107">
          <cell r="A107" t="str">
            <v>Norway</v>
          </cell>
          <cell r="B107">
            <v>0.43</v>
          </cell>
          <cell r="C107">
            <v>0.56999999999999995</v>
          </cell>
        </row>
        <row r="108">
          <cell r="A108" t="str">
            <v>Djibouti</v>
          </cell>
        </row>
        <row r="109">
          <cell r="A109" t="str">
            <v>Austria</v>
          </cell>
          <cell r="B109">
            <v>0.47</v>
          </cell>
          <cell r="C109">
            <v>0.53</v>
          </cell>
        </row>
        <row r="110">
          <cell r="A110" t="str">
            <v>Japan</v>
          </cell>
          <cell r="B110">
            <v>0.46</v>
          </cell>
          <cell r="C110">
            <v>0.54</v>
          </cell>
        </row>
        <row r="111">
          <cell r="A111" t="str">
            <v>Sudan</v>
          </cell>
        </row>
        <row r="112">
          <cell r="A112" t="str">
            <v>Haiti</v>
          </cell>
        </row>
        <row r="113">
          <cell r="A113" t="str">
            <v>Malaysia</v>
          </cell>
          <cell r="B113">
            <v>0.65</v>
          </cell>
          <cell r="C113">
            <v>0.35</v>
          </cell>
        </row>
        <row r="114">
          <cell r="A114" t="str">
            <v>Lithuania</v>
          </cell>
          <cell r="B114">
            <v>0.47</v>
          </cell>
          <cell r="C114">
            <v>0.53</v>
          </cell>
        </row>
        <row r="115">
          <cell r="A115" t="str">
            <v>Sweden</v>
          </cell>
          <cell r="B115">
            <v>0.46</v>
          </cell>
          <cell r="C115">
            <v>0.54</v>
          </cell>
        </row>
        <row r="116">
          <cell r="A116" t="str">
            <v>CuraÃ§ao</v>
          </cell>
        </row>
        <row r="117">
          <cell r="A117" t="str">
            <v>Russia</v>
          </cell>
          <cell r="B117">
            <v>0.45</v>
          </cell>
          <cell r="C117">
            <v>0.55000000000000004</v>
          </cell>
        </row>
        <row r="118">
          <cell r="A118" t="str">
            <v>Faroe Islands</v>
          </cell>
        </row>
        <row r="119">
          <cell r="A119" t="str">
            <v>Panama</v>
          </cell>
        </row>
        <row r="120">
          <cell r="A120" t="str">
            <v>Cyprus</v>
          </cell>
        </row>
        <row r="121">
          <cell r="A121" t="str">
            <v>Laos</v>
          </cell>
        </row>
        <row r="122">
          <cell r="A122" t="str">
            <v>South Sudan</v>
          </cell>
        </row>
        <row r="123">
          <cell r="A123" t="str">
            <v>Costa Rica</v>
          </cell>
        </row>
        <row r="124">
          <cell r="A124" t="str">
            <v>Indonesia</v>
          </cell>
          <cell r="B124">
            <v>0.8</v>
          </cell>
          <cell r="C124">
            <v>0.2</v>
          </cell>
        </row>
        <row r="125">
          <cell r="A125" t="str">
            <v>Bermuda</v>
          </cell>
        </row>
        <row r="126">
          <cell r="A126" t="str">
            <v>CÃ´te dâ€™Ivoire</v>
          </cell>
        </row>
        <row r="127">
          <cell r="A127" t="str">
            <v>Grenada</v>
          </cell>
        </row>
        <row r="128">
          <cell r="A128" t="str">
            <v>San Marino</v>
          </cell>
        </row>
        <row r="129">
          <cell r="A129" t="str">
            <v>Bolivia</v>
          </cell>
        </row>
        <row r="130">
          <cell r="A130" t="str">
            <v>Peru</v>
          </cell>
          <cell r="B130">
            <v>0.76</v>
          </cell>
          <cell r="C130">
            <v>0.24</v>
          </cell>
        </row>
        <row r="131">
          <cell r="A131" t="str">
            <v>Mexico</v>
          </cell>
          <cell r="B131">
            <v>0.71</v>
          </cell>
          <cell r="C131">
            <v>0.28999999999999998</v>
          </cell>
        </row>
        <row r="132">
          <cell r="A132" t="str">
            <v>Mongolia</v>
          </cell>
        </row>
        <row r="133">
          <cell r="A133" t="str">
            <v>Antigua &amp; Barbuda</v>
          </cell>
        </row>
        <row r="134">
          <cell r="A134" t="str">
            <v>United Kingdom</v>
          </cell>
          <cell r="B134">
            <v>0.53</v>
          </cell>
          <cell r="C134">
            <v>0.47</v>
          </cell>
        </row>
        <row r="135">
          <cell r="A135" t="str">
            <v>Ukraine</v>
          </cell>
          <cell r="B135">
            <v>0.46</v>
          </cell>
          <cell r="C135">
            <v>0.54</v>
          </cell>
        </row>
        <row r="136">
          <cell r="A136" t="str">
            <v>Cambodia</v>
          </cell>
        </row>
        <row r="137">
          <cell r="A137" t="str">
            <v>Belgium</v>
          </cell>
          <cell r="B137">
            <v>0.52</v>
          </cell>
          <cell r="C137">
            <v>0.48</v>
          </cell>
        </row>
        <row r="138">
          <cell r="A138" t="str">
            <v>Burkina Faso</v>
          </cell>
        </row>
        <row r="139">
          <cell r="A139" t="str">
            <v>Barbados</v>
          </cell>
        </row>
        <row r="140">
          <cell r="A140" t="str">
            <v>Guernsey</v>
          </cell>
        </row>
        <row r="141">
          <cell r="A141" t="str">
            <v>Yemen</v>
          </cell>
        </row>
        <row r="142">
          <cell r="A142" t="str">
            <v>Gabon</v>
          </cell>
        </row>
        <row r="143">
          <cell r="A143" t="str">
            <v>Bangladesh</v>
          </cell>
          <cell r="B143">
            <v>0.62</v>
          </cell>
          <cell r="C143">
            <v>0.38</v>
          </cell>
        </row>
        <row r="144">
          <cell r="A144" t="str">
            <v>United Arab Emirates</v>
          </cell>
          <cell r="B144">
            <v>0.63</v>
          </cell>
          <cell r="C144">
            <v>0.37</v>
          </cell>
        </row>
        <row r="145">
          <cell r="A145" t="str">
            <v>Caribbean Netherlands</v>
          </cell>
        </row>
        <row r="146">
          <cell r="A146" t="str">
            <v>Hungary</v>
          </cell>
          <cell r="B146">
            <v>0.52</v>
          </cell>
          <cell r="C146">
            <v>0.48</v>
          </cell>
        </row>
        <row r="147">
          <cell r="A147" t="str">
            <v>Bahrain</v>
          </cell>
        </row>
        <row r="148">
          <cell r="A148" t="str">
            <v>Jersey</v>
          </cell>
        </row>
        <row r="149">
          <cell r="A149" t="str">
            <v>Romania</v>
          </cell>
          <cell r="B149">
            <v>0.49</v>
          </cell>
          <cell r="C149">
            <v>0.51</v>
          </cell>
        </row>
        <row r="150">
          <cell r="A150" t="str">
            <v>Albania</v>
          </cell>
        </row>
        <row r="151">
          <cell r="A151" t="str">
            <v>Libya</v>
          </cell>
        </row>
        <row r="152">
          <cell r="A152" t="str">
            <v>Slovakia</v>
          </cell>
          <cell r="B152">
            <v>0.51</v>
          </cell>
          <cell r="C152">
            <v>0.49</v>
          </cell>
        </row>
        <row r="153">
          <cell r="A153" t="str">
            <v>Oman</v>
          </cell>
        </row>
        <row r="154">
          <cell r="A154" t="str">
            <v>Serbia</v>
          </cell>
          <cell r="B154">
            <v>0.5</v>
          </cell>
          <cell r="C154">
            <v>0.5</v>
          </cell>
        </row>
        <row r="155">
          <cell r="A155" t="str">
            <v>St. Lucia</v>
          </cell>
        </row>
        <row r="156">
          <cell r="A156" t="str">
            <v>Guyana</v>
          </cell>
        </row>
        <row r="157">
          <cell r="A157" t="str">
            <v>Andorra</v>
          </cell>
        </row>
        <row r="158">
          <cell r="A158" t="str">
            <v>Chad</v>
          </cell>
        </row>
        <row r="159">
          <cell r="A159" t="str">
            <v>Dominican Republic</v>
          </cell>
        </row>
        <row r="160">
          <cell r="A160" t="str">
            <v>Poland</v>
          </cell>
          <cell r="B160">
            <v>0.55000000000000004</v>
          </cell>
          <cell r="C160">
            <v>0.45</v>
          </cell>
        </row>
        <row r="161">
          <cell r="A161" t="str">
            <v>Kosovo</v>
          </cell>
        </row>
        <row r="162">
          <cell r="A162" t="str">
            <v>Moldova</v>
          </cell>
        </row>
        <row r="163">
          <cell r="A163" t="str">
            <v>Uzbekistan</v>
          </cell>
        </row>
        <row r="164">
          <cell r="A164" t="str">
            <v>U.S. Virgin Islands</v>
          </cell>
        </row>
        <row r="165">
          <cell r="A165" t="str">
            <v>Croatia</v>
          </cell>
          <cell r="B165">
            <v>0.5</v>
          </cell>
          <cell r="C165">
            <v>0.5</v>
          </cell>
        </row>
        <row r="166">
          <cell r="A166" t="str">
            <v>Italy</v>
          </cell>
          <cell r="B166">
            <v>0.6</v>
          </cell>
          <cell r="C166">
            <v>0.4</v>
          </cell>
        </row>
        <row r="167">
          <cell r="A167" t="str">
            <v>Seychelles</v>
          </cell>
        </row>
        <row r="168">
          <cell r="A168" t="str">
            <v>Suriname</v>
          </cell>
        </row>
        <row r="169">
          <cell r="A169" t="str">
            <v>Jordan</v>
          </cell>
        </row>
        <row r="170">
          <cell r="A170" t="str">
            <v>Cayman Islands</v>
          </cell>
        </row>
        <row r="171">
          <cell r="A171" t="str">
            <v>Spain</v>
          </cell>
          <cell r="B171">
            <v>0.55000000000000004</v>
          </cell>
          <cell r="C171">
            <v>0.45</v>
          </cell>
        </row>
        <row r="172">
          <cell r="A172" t="str">
            <v>Qatar</v>
          </cell>
        </row>
        <row r="173">
          <cell r="A173" t="str">
            <v>Sint Maarten</v>
          </cell>
        </row>
        <row r="174">
          <cell r="A174" t="str">
            <v>Kyrgyzstan</v>
          </cell>
        </row>
        <row r="175">
          <cell r="A175" t="str">
            <v>Kazakhstan</v>
          </cell>
          <cell r="B175">
            <v>0.56000000000000005</v>
          </cell>
          <cell r="C175">
            <v>0.44</v>
          </cell>
        </row>
        <row r="176">
          <cell r="A176" t="str">
            <v>St. Kitts &amp; Nevis</v>
          </cell>
        </row>
        <row r="177">
          <cell r="A177" t="str">
            <v>Chile</v>
          </cell>
          <cell r="B177">
            <v>0.63</v>
          </cell>
          <cell r="C177">
            <v>0.37</v>
          </cell>
        </row>
        <row r="178">
          <cell r="A178" t="str">
            <v>Mali</v>
          </cell>
        </row>
        <row r="179">
          <cell r="A179" t="str">
            <v>Thailand</v>
          </cell>
          <cell r="B179">
            <v>0.69</v>
          </cell>
          <cell r="C179">
            <v>0.31</v>
          </cell>
        </row>
        <row r="180">
          <cell r="A180" t="str">
            <v>Bosnia &amp; Herzegovina</v>
          </cell>
        </row>
        <row r="181">
          <cell r="A181" t="str">
            <v>Paraguay</v>
          </cell>
        </row>
        <row r="182">
          <cell r="A182" t="str">
            <v>Morocco</v>
          </cell>
        </row>
        <row r="183">
          <cell r="A183" t="str">
            <v>Puerto Rico</v>
          </cell>
        </row>
        <row r="184">
          <cell r="A184" t="str">
            <v>New Caledonia</v>
          </cell>
        </row>
        <row r="185">
          <cell r="A185" t="str">
            <v>Egypt</v>
          </cell>
          <cell r="B185">
            <v>0.64</v>
          </cell>
          <cell r="C185">
            <v>0.36</v>
          </cell>
        </row>
        <row r="186">
          <cell r="A186" t="str">
            <v>France</v>
          </cell>
          <cell r="B186">
            <v>0.53</v>
          </cell>
          <cell r="C186">
            <v>0.47</v>
          </cell>
        </row>
        <row r="187">
          <cell r="A187" t="str">
            <v>Iran</v>
          </cell>
          <cell r="B187">
            <v>0.56999999999999995</v>
          </cell>
          <cell r="C187">
            <v>0.43</v>
          </cell>
        </row>
        <row r="188">
          <cell r="A188" t="str">
            <v>French Polynesia</v>
          </cell>
        </row>
        <row r="189">
          <cell r="A189" t="str">
            <v>Mauritania</v>
          </cell>
        </row>
        <row r="190">
          <cell r="A190" t="str">
            <v>Uruguay</v>
          </cell>
        </row>
        <row r="191">
          <cell r="A191" t="str">
            <v>Northern Mariana Islands</v>
          </cell>
        </row>
        <row r="192">
          <cell r="A192" t="str">
            <v>Guinea</v>
          </cell>
        </row>
        <row r="193">
          <cell r="A193" t="str">
            <v>Algeria</v>
          </cell>
        </row>
        <row r="194">
          <cell r="A194" t="str">
            <v>Palestine</v>
          </cell>
        </row>
        <row r="195">
          <cell r="A195" t="str">
            <v>Greece</v>
          </cell>
          <cell r="B195">
            <v>0.54</v>
          </cell>
          <cell r="C195">
            <v>0.46</v>
          </cell>
        </row>
        <row r="196">
          <cell r="A196" t="str">
            <v>Saudi Arabia</v>
          </cell>
          <cell r="B196">
            <v>0.75</v>
          </cell>
          <cell r="C196">
            <v>0.25</v>
          </cell>
        </row>
        <row r="197">
          <cell r="A197" t="str">
            <v>Guam</v>
          </cell>
        </row>
        <row r="198">
          <cell r="A198" t="str">
            <v>Kuwait</v>
          </cell>
        </row>
        <row r="199">
          <cell r="A199" t="str">
            <v>Tajikistan</v>
          </cell>
        </row>
        <row r="200">
          <cell r="A200" t="str">
            <v>Venezuela</v>
          </cell>
        </row>
        <row r="201">
          <cell r="A201" t="str">
            <v>Brazil</v>
          </cell>
          <cell r="B201">
            <v>0.6</v>
          </cell>
          <cell r="C201">
            <v>0.4</v>
          </cell>
        </row>
        <row r="202">
          <cell r="A202" t="str">
            <v>Vietnam</v>
          </cell>
          <cell r="B202">
            <v>0.49</v>
          </cell>
          <cell r="C202">
            <v>0.51</v>
          </cell>
        </row>
        <row r="203">
          <cell r="A203" t="str">
            <v>British Virgin Islands</v>
          </cell>
        </row>
        <row r="204">
          <cell r="A204" t="str">
            <v>Bahamas</v>
          </cell>
        </row>
        <row r="205">
          <cell r="A205" t="str">
            <v>Aruba</v>
          </cell>
        </row>
        <row r="206">
          <cell r="A206" t="str">
            <v>Montenegro</v>
          </cell>
        </row>
        <row r="207">
          <cell r="A207" t="str">
            <v>Azerbaijan</v>
          </cell>
        </row>
        <row r="208">
          <cell r="A208" t="str">
            <v>Syria</v>
          </cell>
        </row>
        <row r="209">
          <cell r="A209" t="str">
            <v>Argentina</v>
          </cell>
          <cell r="B209">
            <v>0.56999999999999995</v>
          </cell>
          <cell r="C209">
            <v>0.43</v>
          </cell>
        </row>
        <row r="210">
          <cell r="A210" t="str">
            <v>RÃ©union</v>
          </cell>
        </row>
        <row r="211">
          <cell r="A211" t="str">
            <v>Martinique</v>
          </cell>
        </row>
        <row r="212">
          <cell r="A212" t="str">
            <v>Georgia</v>
          </cell>
        </row>
        <row r="213">
          <cell r="A213" t="str">
            <v>Guadeloupe</v>
          </cell>
        </row>
        <row r="214">
          <cell r="A214" t="str">
            <v>Mayotte</v>
          </cell>
        </row>
        <row r="215">
          <cell r="A215" t="str">
            <v>Turkey</v>
          </cell>
          <cell r="B215">
            <v>0.6</v>
          </cell>
          <cell r="C215">
            <v>0.4</v>
          </cell>
        </row>
        <row r="216">
          <cell r="A216" t="str">
            <v>French Guiana</v>
          </cell>
        </row>
        <row r="217">
          <cell r="A217" t="str">
            <v>Western Sahara</v>
          </cell>
        </row>
        <row r="218">
          <cell r="A218" t="str">
            <v>Iraq</v>
          </cell>
        </row>
        <row r="219">
          <cell r="A219" t="str">
            <v>Turkmenistan</v>
          </cell>
        </row>
        <row r="220">
          <cell r="A220" t="str">
            <v>Turks &amp; Caicos Islands</v>
          </cell>
        </row>
        <row r="221">
          <cell r="A221" t="str">
            <v>North Korea</v>
          </cell>
        </row>
        <row r="222">
          <cell r="A222" t="str">
            <v>Falkland Islands (Islas Malvinas)</v>
          </cell>
        </row>
        <row r="223">
          <cell r="A223" t="str">
            <v>Cook Islands</v>
          </cell>
        </row>
        <row r="224">
          <cell r="A224" t="str">
            <v>Marshall Islands</v>
          </cell>
        </row>
        <row r="225">
          <cell r="A225" t="str">
            <v>Comoros</v>
          </cell>
        </row>
        <row r="226">
          <cell r="A226" t="str">
            <v>Montserrat</v>
          </cell>
        </row>
        <row r="227">
          <cell r="A227" t="str">
            <v>Svalbard &amp; Jan Mayen</v>
          </cell>
        </row>
        <row r="228">
          <cell r="A228" t="str">
            <v>Anguilla</v>
          </cell>
        </row>
        <row r="229">
          <cell r="A229" t="str">
            <v>Micronesia</v>
          </cell>
        </row>
        <row r="230">
          <cell r="A230" t="str">
            <v>Palau</v>
          </cell>
        </row>
        <row r="231">
          <cell r="A231" t="str">
            <v>St. Pierre &amp; Miquelon</v>
          </cell>
        </row>
        <row r="232">
          <cell r="A232" t="str">
            <v>Greenland</v>
          </cell>
        </row>
        <row r="233">
          <cell r="A233" t="str">
            <v>American Samoa</v>
          </cell>
        </row>
        <row r="234">
          <cell r="A234" t="str">
            <v>St. Martin</v>
          </cell>
        </row>
        <row r="235">
          <cell r="A235" t="str">
            <v>St. BarthÃ©lemy</v>
          </cell>
        </row>
        <row r="236">
          <cell r="A236" t="str">
            <v>Antarctica</v>
          </cell>
        </row>
        <row r="237">
          <cell r="A237" t="str">
            <v>French Southern Territories</v>
          </cell>
        </row>
        <row r="238">
          <cell r="A238" t="str">
            <v>Bouvet Island</v>
          </cell>
        </row>
        <row r="239">
          <cell r="A239" t="str">
            <v>Cocos (Keeling) Islands</v>
          </cell>
        </row>
        <row r="240">
          <cell r="A240" t="str">
            <v>Christmas Island</v>
          </cell>
        </row>
        <row r="241">
          <cell r="A241" t="str">
            <v>Heard &amp; McDonald Islands</v>
          </cell>
        </row>
        <row r="242">
          <cell r="A242" t="str">
            <v>British Indian Ocean Territory</v>
          </cell>
        </row>
        <row r="243">
          <cell r="A243" t="str">
            <v>Kiribati</v>
          </cell>
        </row>
        <row r="244">
          <cell r="A244" t="str">
            <v>Norfolk Island</v>
          </cell>
        </row>
        <row r="245">
          <cell r="A245" t="str">
            <v>Niue</v>
          </cell>
        </row>
        <row r="246">
          <cell r="A246" t="str">
            <v>Nauru</v>
          </cell>
        </row>
        <row r="247">
          <cell r="A247" t="str">
            <v>Pitcairn Islands</v>
          </cell>
        </row>
        <row r="248">
          <cell r="A248" t="str">
            <v>South Georgia &amp; South Sandwich Islands</v>
          </cell>
        </row>
        <row r="249">
          <cell r="A249" t="str">
            <v>Tokelau</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1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6)"/>
    </sheetNames>
    <sheetDataSet>
      <sheetData sheetId="0">
        <row r="1">
          <cell r="A1" t="str">
            <v>Kategori: TÃ¼m kategoriler</v>
          </cell>
        </row>
        <row r="3">
          <cell r="A3" t="str">
            <v>Ãœlke</v>
          </cell>
          <cell r="B3" t="str">
            <v>Dizgi: (2017)</v>
          </cell>
          <cell r="C3" t="str">
            <v>C++: (2017)</v>
          </cell>
        </row>
        <row r="4">
          <cell r="A4" t="str">
            <v>North Korea</v>
          </cell>
        </row>
        <row r="5">
          <cell r="A5" t="str">
            <v>China</v>
          </cell>
          <cell r="B5">
            <v>0.56000000000000005</v>
          </cell>
          <cell r="C5">
            <v>0.44</v>
          </cell>
        </row>
        <row r="6">
          <cell r="A6" t="str">
            <v>Ethiopia</v>
          </cell>
        </row>
        <row r="7">
          <cell r="A7" t="str">
            <v>South Korea</v>
          </cell>
          <cell r="B7">
            <v>0.56000000000000005</v>
          </cell>
          <cell r="C7">
            <v>0.44</v>
          </cell>
        </row>
        <row r="8">
          <cell r="A8" t="str">
            <v>Israel</v>
          </cell>
          <cell r="B8">
            <v>0.67</v>
          </cell>
          <cell r="C8">
            <v>0.33</v>
          </cell>
        </row>
        <row r="9">
          <cell r="A9" t="str">
            <v>Cuba</v>
          </cell>
        </row>
        <row r="10">
          <cell r="A10" t="str">
            <v>Singapore</v>
          </cell>
          <cell r="B10">
            <v>0.67</v>
          </cell>
          <cell r="C10">
            <v>0.33</v>
          </cell>
        </row>
        <row r="11">
          <cell r="A11" t="str">
            <v>Pakistan</v>
          </cell>
          <cell r="B11">
            <v>0.31</v>
          </cell>
          <cell r="C11">
            <v>0.69</v>
          </cell>
        </row>
        <row r="12">
          <cell r="A12" t="str">
            <v>Estonia</v>
          </cell>
        </row>
        <row r="13">
          <cell r="A13" t="str">
            <v>Liechtenstein</v>
          </cell>
        </row>
        <row r="14">
          <cell r="A14" t="str">
            <v>Iceland</v>
          </cell>
        </row>
        <row r="15">
          <cell r="A15" t="str">
            <v>Luxembourg</v>
          </cell>
        </row>
        <row r="16">
          <cell r="A16" t="str">
            <v>India</v>
          </cell>
          <cell r="B16">
            <v>0.56999999999999995</v>
          </cell>
          <cell r="C16">
            <v>0.43</v>
          </cell>
        </row>
        <row r="17">
          <cell r="A17" t="str">
            <v>St. Helena</v>
          </cell>
          <cell r="B17">
            <v>0.6</v>
          </cell>
          <cell r="C17">
            <v>0.4</v>
          </cell>
        </row>
        <row r="18">
          <cell r="A18" t="str">
            <v>Lesotho</v>
          </cell>
        </row>
        <row r="19">
          <cell r="A19" t="str">
            <v>Hong Kong</v>
          </cell>
          <cell r="B19">
            <v>0.66</v>
          </cell>
          <cell r="C19">
            <v>0.34</v>
          </cell>
        </row>
        <row r="20">
          <cell r="A20" t="str">
            <v>Armenia</v>
          </cell>
        </row>
        <row r="21">
          <cell r="A21" t="str">
            <v>Gibraltar</v>
          </cell>
        </row>
        <row r="22">
          <cell r="A22" t="str">
            <v>Belarus</v>
          </cell>
          <cell r="B22">
            <v>0.56999999999999995</v>
          </cell>
          <cell r="C22">
            <v>0.43</v>
          </cell>
        </row>
        <row r="23">
          <cell r="A23" t="str">
            <v>Malta</v>
          </cell>
        </row>
        <row r="24">
          <cell r="A24" t="str">
            <v>Czechia</v>
          </cell>
          <cell r="B24">
            <v>0.62</v>
          </cell>
          <cell r="C24">
            <v>0.38</v>
          </cell>
        </row>
        <row r="25">
          <cell r="A25" t="str">
            <v>Tonga</v>
          </cell>
        </row>
        <row r="26">
          <cell r="A26" t="str">
            <v>Switzerland</v>
          </cell>
          <cell r="B26">
            <v>0.67</v>
          </cell>
          <cell r="C26">
            <v>0.33</v>
          </cell>
        </row>
        <row r="27">
          <cell r="A27" t="str">
            <v>Taiwan</v>
          </cell>
          <cell r="B27">
            <v>0.55000000000000004</v>
          </cell>
          <cell r="C27">
            <v>0.45</v>
          </cell>
        </row>
        <row r="28">
          <cell r="A28" t="str">
            <v>Romania</v>
          </cell>
          <cell r="B28">
            <v>0.43</v>
          </cell>
          <cell r="C28">
            <v>0.56999999999999995</v>
          </cell>
        </row>
        <row r="29">
          <cell r="A29" t="str">
            <v>Rwanda</v>
          </cell>
        </row>
        <row r="30">
          <cell r="A30" t="str">
            <v>Finland</v>
          </cell>
          <cell r="B30">
            <v>0.66</v>
          </cell>
          <cell r="C30">
            <v>0.34</v>
          </cell>
        </row>
        <row r="31">
          <cell r="A31" t="str">
            <v>Ã…land Islands</v>
          </cell>
        </row>
        <row r="32">
          <cell r="A32" t="str">
            <v>Slovenia</v>
          </cell>
          <cell r="B32">
            <v>0.63</v>
          </cell>
          <cell r="C32">
            <v>0.37</v>
          </cell>
        </row>
        <row r="33">
          <cell r="A33" t="str">
            <v>North Macedonia</v>
          </cell>
        </row>
        <row r="34">
          <cell r="A34" t="str">
            <v>Fiji</v>
          </cell>
        </row>
        <row r="35">
          <cell r="A35" t="str">
            <v>New Zealand</v>
          </cell>
          <cell r="B35">
            <v>0.76</v>
          </cell>
          <cell r="C35">
            <v>0.24</v>
          </cell>
        </row>
        <row r="36">
          <cell r="A36" t="str">
            <v>Canada</v>
          </cell>
          <cell r="B36">
            <v>0.65</v>
          </cell>
          <cell r="C36">
            <v>0.35</v>
          </cell>
        </row>
        <row r="37">
          <cell r="A37" t="str">
            <v>Ireland</v>
          </cell>
          <cell r="B37">
            <v>0.76</v>
          </cell>
          <cell r="C37">
            <v>0.24</v>
          </cell>
        </row>
        <row r="38">
          <cell r="A38" t="str">
            <v>Latvia</v>
          </cell>
        </row>
        <row r="39">
          <cell r="A39" t="str">
            <v>Bulgaria</v>
          </cell>
          <cell r="B39">
            <v>0.57999999999999996</v>
          </cell>
          <cell r="C39">
            <v>0.42</v>
          </cell>
        </row>
        <row r="40">
          <cell r="A40" t="str">
            <v>Netherlands</v>
          </cell>
          <cell r="B40">
            <v>0.73</v>
          </cell>
          <cell r="C40">
            <v>0.27</v>
          </cell>
        </row>
        <row r="41">
          <cell r="A41" t="str">
            <v>Madagascar</v>
          </cell>
        </row>
        <row r="42">
          <cell r="A42" t="str">
            <v>Denmark</v>
          </cell>
          <cell r="B42">
            <v>0.74</v>
          </cell>
          <cell r="C42">
            <v>0.26</v>
          </cell>
        </row>
        <row r="43">
          <cell r="A43" t="str">
            <v>San Marino</v>
          </cell>
        </row>
        <row r="44">
          <cell r="A44" t="str">
            <v>Portugal</v>
          </cell>
          <cell r="B44">
            <v>0.72</v>
          </cell>
          <cell r="C44">
            <v>0.28000000000000003</v>
          </cell>
        </row>
        <row r="45">
          <cell r="A45" t="str">
            <v>Norway</v>
          </cell>
          <cell r="B45">
            <v>0.67</v>
          </cell>
          <cell r="C45">
            <v>0.33</v>
          </cell>
        </row>
        <row r="46">
          <cell r="A46" t="str">
            <v>Germany</v>
          </cell>
          <cell r="B46">
            <v>0.6</v>
          </cell>
          <cell r="C46">
            <v>0.4</v>
          </cell>
        </row>
        <row r="47">
          <cell r="A47" t="str">
            <v>Sweden</v>
          </cell>
          <cell r="B47">
            <v>0.63</v>
          </cell>
          <cell r="C47">
            <v>0.37</v>
          </cell>
        </row>
        <row r="48">
          <cell r="A48" t="str">
            <v>Sri Lanka</v>
          </cell>
          <cell r="B48">
            <v>0.65</v>
          </cell>
          <cell r="C48">
            <v>0.35</v>
          </cell>
        </row>
        <row r="49">
          <cell r="A49" t="str">
            <v>United States</v>
          </cell>
          <cell r="B49">
            <v>0.67</v>
          </cell>
          <cell r="C49">
            <v>0.33</v>
          </cell>
        </row>
        <row r="50">
          <cell r="A50" t="str">
            <v>Faroe Islands</v>
          </cell>
        </row>
        <row r="51">
          <cell r="A51" t="str">
            <v>Austria</v>
          </cell>
          <cell r="B51">
            <v>0.63</v>
          </cell>
          <cell r="C51">
            <v>0.37</v>
          </cell>
        </row>
        <row r="52">
          <cell r="A52" t="str">
            <v>Japan</v>
          </cell>
          <cell r="B52">
            <v>0.68</v>
          </cell>
          <cell r="C52">
            <v>0.32</v>
          </cell>
        </row>
        <row r="53">
          <cell r="A53" t="str">
            <v>Russia</v>
          </cell>
          <cell r="B53">
            <v>0.55000000000000004</v>
          </cell>
          <cell r="C53">
            <v>0.45</v>
          </cell>
        </row>
        <row r="54">
          <cell r="A54" t="str">
            <v>Myanmar (Burma)</v>
          </cell>
        </row>
        <row r="55">
          <cell r="A55" t="str">
            <v>Lithuania</v>
          </cell>
          <cell r="B55">
            <v>0.53</v>
          </cell>
          <cell r="C55">
            <v>0.47</v>
          </cell>
        </row>
        <row r="56">
          <cell r="A56" t="str">
            <v>Nepal</v>
          </cell>
        </row>
        <row r="57">
          <cell r="A57" t="str">
            <v>Australia</v>
          </cell>
          <cell r="B57">
            <v>0.75</v>
          </cell>
          <cell r="C57">
            <v>0.25</v>
          </cell>
        </row>
        <row r="58">
          <cell r="A58" t="str">
            <v>Poland</v>
          </cell>
          <cell r="B58">
            <v>0.41</v>
          </cell>
          <cell r="C58">
            <v>0.59</v>
          </cell>
        </row>
        <row r="59">
          <cell r="A59" t="str">
            <v>Ukraine</v>
          </cell>
          <cell r="B59">
            <v>0.56000000000000005</v>
          </cell>
          <cell r="C59">
            <v>0.44</v>
          </cell>
        </row>
        <row r="60">
          <cell r="A60" t="str">
            <v>Malawi</v>
          </cell>
        </row>
        <row r="61">
          <cell r="A61" t="str">
            <v>Mauritius</v>
          </cell>
        </row>
        <row r="62">
          <cell r="A62" t="str">
            <v>Uzbekistan</v>
          </cell>
        </row>
        <row r="63">
          <cell r="A63" t="str">
            <v>Belize</v>
          </cell>
        </row>
        <row r="64">
          <cell r="A64" t="str">
            <v>Guatemala</v>
          </cell>
        </row>
        <row r="65">
          <cell r="A65" t="str">
            <v>Macao</v>
          </cell>
        </row>
        <row r="66">
          <cell r="A66" t="str">
            <v>Serbia</v>
          </cell>
          <cell r="B66">
            <v>0.6</v>
          </cell>
          <cell r="C66">
            <v>0.4</v>
          </cell>
        </row>
        <row r="67">
          <cell r="A67" t="str">
            <v>Cyprus</v>
          </cell>
        </row>
        <row r="68">
          <cell r="A68" t="str">
            <v>United Kingdom</v>
          </cell>
          <cell r="B68">
            <v>0.73</v>
          </cell>
          <cell r="C68">
            <v>0.27</v>
          </cell>
        </row>
        <row r="69">
          <cell r="A69" t="str">
            <v>Belgium</v>
          </cell>
          <cell r="B69">
            <v>0.72</v>
          </cell>
          <cell r="C69">
            <v>0.28000000000000003</v>
          </cell>
        </row>
        <row r="70">
          <cell r="A70" t="str">
            <v>Philippines</v>
          </cell>
          <cell r="B70">
            <v>0.59</v>
          </cell>
          <cell r="C70">
            <v>0.41</v>
          </cell>
        </row>
        <row r="71">
          <cell r="A71" t="str">
            <v>Lebanon</v>
          </cell>
        </row>
        <row r="72">
          <cell r="A72" t="str">
            <v>Monaco</v>
          </cell>
        </row>
        <row r="73">
          <cell r="A73" t="str">
            <v>Hungary</v>
          </cell>
          <cell r="B73">
            <v>0.59</v>
          </cell>
          <cell r="C73">
            <v>0.41</v>
          </cell>
        </row>
        <row r="74">
          <cell r="A74" t="str">
            <v>Slovakia</v>
          </cell>
          <cell r="B74">
            <v>0.61</v>
          </cell>
          <cell r="C74">
            <v>0.39</v>
          </cell>
        </row>
        <row r="75">
          <cell r="A75" t="str">
            <v>Honduras</v>
          </cell>
        </row>
        <row r="76">
          <cell r="A76" t="str">
            <v>Isle of Man</v>
          </cell>
        </row>
        <row r="77">
          <cell r="A77" t="str">
            <v>Zimbabwe</v>
          </cell>
        </row>
        <row r="78">
          <cell r="A78" t="str">
            <v>Bosnia &amp; Herzegovina</v>
          </cell>
        </row>
        <row r="79">
          <cell r="A79" t="str">
            <v>Eswatini</v>
          </cell>
        </row>
        <row r="80">
          <cell r="A80" t="str">
            <v>Tunisia</v>
          </cell>
          <cell r="B80">
            <v>0.56999999999999995</v>
          </cell>
          <cell r="C80">
            <v>0.43</v>
          </cell>
        </row>
        <row r="81">
          <cell r="A81" t="str">
            <v>Mongolia</v>
          </cell>
        </row>
        <row r="82">
          <cell r="A82" t="str">
            <v>Croatia</v>
          </cell>
          <cell r="B82">
            <v>0.57999999999999996</v>
          </cell>
          <cell r="C82">
            <v>0.42</v>
          </cell>
        </row>
        <row r="83">
          <cell r="A83" t="str">
            <v>Bangladesh</v>
          </cell>
          <cell r="B83">
            <v>0.43</v>
          </cell>
          <cell r="C83">
            <v>0.56999999999999995</v>
          </cell>
        </row>
        <row r="84">
          <cell r="A84" t="str">
            <v>Moldova</v>
          </cell>
        </row>
        <row r="85">
          <cell r="A85" t="str">
            <v>South Africa</v>
          </cell>
          <cell r="B85">
            <v>0.69</v>
          </cell>
          <cell r="C85">
            <v>0.31</v>
          </cell>
        </row>
        <row r="86">
          <cell r="A86" t="str">
            <v>Iran</v>
          </cell>
          <cell r="B86">
            <v>0.4</v>
          </cell>
          <cell r="C86">
            <v>0.6</v>
          </cell>
        </row>
        <row r="87">
          <cell r="A87" t="str">
            <v>Afghanistan</v>
          </cell>
        </row>
        <row r="88">
          <cell r="A88" t="str">
            <v>Laos</v>
          </cell>
        </row>
        <row r="89">
          <cell r="A89" t="str">
            <v>Costa Rica</v>
          </cell>
        </row>
        <row r="90">
          <cell r="A90" t="str">
            <v>Somalia</v>
          </cell>
        </row>
        <row r="91">
          <cell r="A91" t="str">
            <v>Cape Verde</v>
          </cell>
        </row>
        <row r="92">
          <cell r="A92" t="str">
            <v>Vanuatu</v>
          </cell>
        </row>
        <row r="93">
          <cell r="A93" t="str">
            <v>Benin</v>
          </cell>
        </row>
        <row r="94">
          <cell r="A94" t="str">
            <v>Albania</v>
          </cell>
        </row>
        <row r="95">
          <cell r="A95" t="str">
            <v>Guernsey</v>
          </cell>
        </row>
        <row r="96">
          <cell r="A96" t="str">
            <v>Jersey</v>
          </cell>
        </row>
        <row r="97">
          <cell r="A97" t="str">
            <v>Sudan</v>
          </cell>
        </row>
        <row r="98">
          <cell r="A98" t="str">
            <v>Ecuador</v>
          </cell>
          <cell r="B98">
            <v>0.35</v>
          </cell>
          <cell r="C98">
            <v>0.65</v>
          </cell>
        </row>
        <row r="99">
          <cell r="A99" t="str">
            <v>Botswana</v>
          </cell>
        </row>
        <row r="100">
          <cell r="A100" t="str">
            <v>Jordan</v>
          </cell>
        </row>
        <row r="101">
          <cell r="A101" t="str">
            <v>Cambodia</v>
          </cell>
        </row>
        <row r="102">
          <cell r="A102" t="str">
            <v>Spain</v>
          </cell>
          <cell r="B102">
            <v>0.67</v>
          </cell>
          <cell r="C102">
            <v>0.33</v>
          </cell>
        </row>
        <row r="103">
          <cell r="A103" t="str">
            <v>Maldives</v>
          </cell>
        </row>
        <row r="104">
          <cell r="A104" t="str">
            <v>St. Vincent &amp; Grenadines</v>
          </cell>
        </row>
        <row r="105">
          <cell r="A105" t="str">
            <v>Kazakhstan</v>
          </cell>
          <cell r="B105">
            <v>0.5</v>
          </cell>
          <cell r="C105">
            <v>0.5</v>
          </cell>
        </row>
        <row r="106">
          <cell r="A106" t="str">
            <v>Ghana</v>
          </cell>
        </row>
        <row r="107">
          <cell r="A107" t="str">
            <v>Malaysia</v>
          </cell>
          <cell r="B107">
            <v>0.54</v>
          </cell>
          <cell r="C107">
            <v>0.46</v>
          </cell>
        </row>
        <row r="108">
          <cell r="A108" t="str">
            <v>United Arab Emirates</v>
          </cell>
          <cell r="B108">
            <v>0.67</v>
          </cell>
          <cell r="C108">
            <v>0.33</v>
          </cell>
        </row>
        <row r="109">
          <cell r="A109" t="str">
            <v>Andorra</v>
          </cell>
        </row>
        <row r="110">
          <cell r="A110" t="str">
            <v>France</v>
          </cell>
          <cell r="B110">
            <v>0.6</v>
          </cell>
          <cell r="C110">
            <v>0.4</v>
          </cell>
        </row>
        <row r="111">
          <cell r="A111" t="str">
            <v>Palestine</v>
          </cell>
        </row>
        <row r="112">
          <cell r="A112" t="str">
            <v>Uruguay</v>
          </cell>
        </row>
        <row r="113">
          <cell r="A113" t="str">
            <v>Egypt</v>
          </cell>
          <cell r="B113">
            <v>0.4</v>
          </cell>
          <cell r="C113">
            <v>0.6</v>
          </cell>
        </row>
        <row r="114">
          <cell r="A114" t="str">
            <v>Bolivia</v>
          </cell>
        </row>
        <row r="115">
          <cell r="A115" t="str">
            <v>Italy</v>
          </cell>
          <cell r="B115">
            <v>0.63</v>
          </cell>
          <cell r="C115">
            <v>0.37</v>
          </cell>
        </row>
        <row r="116">
          <cell r="A116" t="str">
            <v>Vietnam</v>
          </cell>
          <cell r="B116">
            <v>0.49</v>
          </cell>
          <cell r="C116">
            <v>0.51</v>
          </cell>
        </row>
        <row r="117">
          <cell r="A117" t="str">
            <v>Mexico</v>
          </cell>
          <cell r="B117">
            <v>0.44</v>
          </cell>
          <cell r="C117">
            <v>0.56000000000000005</v>
          </cell>
        </row>
        <row r="118">
          <cell r="A118" t="str">
            <v>Bhutan</v>
          </cell>
        </row>
        <row r="119">
          <cell r="A119" t="str">
            <v>U.S. Virgin Islands</v>
          </cell>
        </row>
        <row r="120">
          <cell r="A120" t="str">
            <v>Jamaica</v>
          </cell>
        </row>
        <row r="121">
          <cell r="A121" t="str">
            <v>Georgia</v>
          </cell>
        </row>
        <row r="122">
          <cell r="A122" t="str">
            <v>Brunei</v>
          </cell>
        </row>
        <row r="123">
          <cell r="A123" t="str">
            <v>Papua New Guinea</v>
          </cell>
        </row>
        <row r="124">
          <cell r="A124" t="str">
            <v>Cameroon</v>
          </cell>
        </row>
        <row r="125">
          <cell r="A125" t="str">
            <v>Seychelles</v>
          </cell>
        </row>
        <row r="126">
          <cell r="A126" t="str">
            <v>Greece</v>
          </cell>
          <cell r="B126">
            <v>0.55000000000000004</v>
          </cell>
          <cell r="C126">
            <v>0.45</v>
          </cell>
        </row>
        <row r="127">
          <cell r="A127" t="str">
            <v>Barbados</v>
          </cell>
        </row>
        <row r="128">
          <cell r="A128" t="str">
            <v>Libya</v>
          </cell>
        </row>
        <row r="129">
          <cell r="A129" t="str">
            <v>Syria</v>
          </cell>
        </row>
        <row r="130">
          <cell r="A130" t="str">
            <v>Togo</v>
          </cell>
        </row>
        <row r="131">
          <cell r="A131" t="str">
            <v>Chile</v>
          </cell>
          <cell r="B131">
            <v>0.67</v>
          </cell>
          <cell r="C131">
            <v>0.33</v>
          </cell>
        </row>
        <row r="132">
          <cell r="A132" t="str">
            <v>El Salvador</v>
          </cell>
        </row>
        <row r="133">
          <cell r="A133" t="str">
            <v>Trinidad &amp; Tobago</v>
          </cell>
        </row>
        <row r="134">
          <cell r="A134" t="str">
            <v>Turkmenistan</v>
          </cell>
        </row>
        <row r="135">
          <cell r="A135" t="str">
            <v>Peru</v>
          </cell>
          <cell r="B135">
            <v>0.43</v>
          </cell>
          <cell r="C135">
            <v>0.56999999999999995</v>
          </cell>
        </row>
        <row r="136">
          <cell r="A136" t="str">
            <v>Yemen</v>
          </cell>
        </row>
        <row r="137">
          <cell r="A137" t="str">
            <v>Kenya</v>
          </cell>
        </row>
        <row r="138">
          <cell r="A138" t="str">
            <v>Bahrain</v>
          </cell>
        </row>
        <row r="139">
          <cell r="A139" t="str">
            <v>Angola</v>
          </cell>
        </row>
        <row r="140">
          <cell r="A140" t="str">
            <v>Montenegro</v>
          </cell>
        </row>
        <row r="141">
          <cell r="A141" t="str">
            <v>Nicaragua</v>
          </cell>
        </row>
        <row r="142">
          <cell r="A142" t="str">
            <v>Colombia</v>
          </cell>
          <cell r="B142">
            <v>0.48</v>
          </cell>
          <cell r="C142">
            <v>0.52</v>
          </cell>
        </row>
        <row r="143">
          <cell r="A143" t="str">
            <v>Kosovo</v>
          </cell>
        </row>
        <row r="144">
          <cell r="A144" t="str">
            <v>Burundi</v>
          </cell>
        </row>
        <row r="145">
          <cell r="A145" t="str">
            <v>Grenada</v>
          </cell>
        </row>
        <row r="146">
          <cell r="A146" t="str">
            <v>Azerbaijan</v>
          </cell>
        </row>
        <row r="147">
          <cell r="A147" t="str">
            <v>Bermuda</v>
          </cell>
        </row>
        <row r="148">
          <cell r="A148" t="str">
            <v>Gambia</v>
          </cell>
        </row>
        <row r="149">
          <cell r="A149" t="str">
            <v>Kyrgyzstan</v>
          </cell>
        </row>
        <row r="150">
          <cell r="A150" t="str">
            <v>CuraÃ§ao</v>
          </cell>
        </row>
        <row r="151">
          <cell r="A151" t="str">
            <v>Oman</v>
          </cell>
        </row>
        <row r="152">
          <cell r="A152" t="str">
            <v>Uganda</v>
          </cell>
        </row>
        <row r="153">
          <cell r="A153" t="str">
            <v>Cayman Islands</v>
          </cell>
        </row>
        <row r="154">
          <cell r="A154" t="str">
            <v>Panama</v>
          </cell>
        </row>
        <row r="155">
          <cell r="A155" t="str">
            <v>Puerto Rico</v>
          </cell>
        </row>
        <row r="156">
          <cell r="A156" t="str">
            <v>Qatar</v>
          </cell>
        </row>
        <row r="157">
          <cell r="A157" t="str">
            <v>Guam</v>
          </cell>
        </row>
        <row r="158">
          <cell r="A158" t="str">
            <v>St. Kitts &amp; Nevis</v>
          </cell>
        </row>
        <row r="159">
          <cell r="A159" t="str">
            <v>Brazil</v>
          </cell>
          <cell r="B159">
            <v>0.62</v>
          </cell>
          <cell r="C159">
            <v>0.38</v>
          </cell>
        </row>
        <row r="160">
          <cell r="A160" t="str">
            <v>Tanzania</v>
          </cell>
        </row>
        <row r="161">
          <cell r="A161" t="str">
            <v>Zambia</v>
          </cell>
        </row>
        <row r="162">
          <cell r="A162" t="str">
            <v>Senegal</v>
          </cell>
        </row>
        <row r="163">
          <cell r="A163" t="str">
            <v>Indonesia</v>
          </cell>
          <cell r="B163">
            <v>0.44</v>
          </cell>
          <cell r="C163">
            <v>0.56000000000000005</v>
          </cell>
        </row>
        <row r="164">
          <cell r="A164" t="str">
            <v>Argentina</v>
          </cell>
          <cell r="B164">
            <v>0.62</v>
          </cell>
          <cell r="C164">
            <v>0.38</v>
          </cell>
        </row>
        <row r="165">
          <cell r="A165" t="str">
            <v>New Caledonia</v>
          </cell>
        </row>
        <row r="166">
          <cell r="A166" t="str">
            <v>Morocco</v>
          </cell>
        </row>
        <row r="167">
          <cell r="A167" t="str">
            <v>Thailand</v>
          </cell>
          <cell r="B167">
            <v>0.56999999999999995</v>
          </cell>
          <cell r="C167">
            <v>0.43</v>
          </cell>
        </row>
        <row r="168">
          <cell r="A168" t="str">
            <v>Tajikistan</v>
          </cell>
        </row>
        <row r="169">
          <cell r="A169" t="str">
            <v>Algeria</v>
          </cell>
        </row>
        <row r="170">
          <cell r="A170" t="str">
            <v>Congo - Brazzaville</v>
          </cell>
        </row>
        <row r="171">
          <cell r="A171" t="str">
            <v>Namibia</v>
          </cell>
        </row>
        <row r="172">
          <cell r="A172" t="str">
            <v>Nigeria</v>
          </cell>
          <cell r="B172">
            <v>0.5</v>
          </cell>
          <cell r="C172">
            <v>0.5</v>
          </cell>
        </row>
        <row r="173">
          <cell r="A173" t="str">
            <v>Antigua &amp; Barbuda</v>
          </cell>
        </row>
        <row r="174">
          <cell r="A174" t="str">
            <v>Paraguay</v>
          </cell>
        </row>
        <row r="175">
          <cell r="A175" t="str">
            <v>Mozambique</v>
          </cell>
        </row>
        <row r="176">
          <cell r="A176" t="str">
            <v>Guyana</v>
          </cell>
        </row>
        <row r="177">
          <cell r="A177" t="str">
            <v>Congo - Kinshasa</v>
          </cell>
        </row>
        <row r="178">
          <cell r="A178" t="str">
            <v>Venezuela</v>
          </cell>
        </row>
        <row r="179">
          <cell r="A179" t="str">
            <v>Iraq</v>
          </cell>
        </row>
        <row r="180">
          <cell r="A180" t="str">
            <v>Sierra Leone</v>
          </cell>
        </row>
        <row r="181">
          <cell r="A181" t="str">
            <v>Bahamas</v>
          </cell>
        </row>
        <row r="182">
          <cell r="A182" t="str">
            <v>French Polynesia</v>
          </cell>
        </row>
        <row r="183">
          <cell r="A183" t="str">
            <v>French Guiana</v>
          </cell>
        </row>
        <row r="184">
          <cell r="A184" t="str">
            <v>Dominican Republic</v>
          </cell>
        </row>
        <row r="185">
          <cell r="A185" t="str">
            <v>Haiti</v>
          </cell>
        </row>
        <row r="186">
          <cell r="A186" t="str">
            <v>Suriname</v>
          </cell>
        </row>
        <row r="187">
          <cell r="A187" t="str">
            <v>Kuwait</v>
          </cell>
        </row>
        <row r="188">
          <cell r="A188" t="str">
            <v>Turkey</v>
          </cell>
          <cell r="B188">
            <v>0.5</v>
          </cell>
          <cell r="C188">
            <v>0.5</v>
          </cell>
        </row>
        <row r="189">
          <cell r="A189" t="str">
            <v>St. Lucia</v>
          </cell>
        </row>
        <row r="190">
          <cell r="A190" t="str">
            <v>South Sudan</v>
          </cell>
        </row>
        <row r="191">
          <cell r="A191" t="str">
            <v>Aruba</v>
          </cell>
        </row>
        <row r="192">
          <cell r="A192" t="str">
            <v>CÃ´te dâ€™Ivoire</v>
          </cell>
        </row>
        <row r="193">
          <cell r="A193" t="str">
            <v>Niger</v>
          </cell>
        </row>
        <row r="194">
          <cell r="A194" t="str">
            <v>RÃ©union</v>
          </cell>
        </row>
        <row r="195">
          <cell r="A195" t="str">
            <v>Gabon</v>
          </cell>
        </row>
        <row r="196">
          <cell r="A196" t="str">
            <v>Sint Maarten</v>
          </cell>
        </row>
        <row r="197">
          <cell r="A197" t="str">
            <v>Djibouti</v>
          </cell>
        </row>
        <row r="198">
          <cell r="A198" t="str">
            <v>Mauritania</v>
          </cell>
        </row>
        <row r="199">
          <cell r="A199" t="str">
            <v>Saudi Arabia</v>
          </cell>
          <cell r="B199">
            <v>0.49</v>
          </cell>
          <cell r="C199">
            <v>0.51</v>
          </cell>
        </row>
        <row r="200">
          <cell r="A200" t="str">
            <v>Guinea</v>
          </cell>
        </row>
        <row r="201">
          <cell r="A201" t="str">
            <v>Mali</v>
          </cell>
        </row>
        <row r="202">
          <cell r="A202" t="str">
            <v>Guadeloupe</v>
          </cell>
        </row>
        <row r="203">
          <cell r="A203" t="str">
            <v>Liberia</v>
          </cell>
        </row>
        <row r="204">
          <cell r="A204" t="str">
            <v>Burkina Faso</v>
          </cell>
        </row>
        <row r="205">
          <cell r="A205" t="str">
            <v>Martinique</v>
          </cell>
        </row>
        <row r="206">
          <cell r="A206" t="str">
            <v>Svalbard &amp; Jan Mayen</v>
          </cell>
        </row>
        <row r="207">
          <cell r="A207" t="str">
            <v>Cook Islands</v>
          </cell>
        </row>
        <row r="208">
          <cell r="A208" t="str">
            <v>Eritrea</v>
          </cell>
        </row>
        <row r="209">
          <cell r="A209" t="str">
            <v>Micronesia</v>
          </cell>
        </row>
        <row r="210">
          <cell r="A210" t="str">
            <v>Greenland</v>
          </cell>
        </row>
        <row r="211">
          <cell r="A211" t="str">
            <v>Palau</v>
          </cell>
        </row>
        <row r="212">
          <cell r="A212" t="str">
            <v>Marshall Islands</v>
          </cell>
        </row>
        <row r="213">
          <cell r="A213" t="str">
            <v>Solomon Islands</v>
          </cell>
        </row>
        <row r="214">
          <cell r="A214" t="str">
            <v>Caribbean Netherlands</v>
          </cell>
        </row>
        <row r="215">
          <cell r="A215" t="str">
            <v>British Virgin Islands</v>
          </cell>
        </row>
        <row r="216">
          <cell r="A216" t="str">
            <v>Dominica</v>
          </cell>
        </row>
        <row r="217">
          <cell r="A217" t="str">
            <v>Northern Mariana Islands</v>
          </cell>
        </row>
        <row r="218">
          <cell r="A218" t="str">
            <v>SÃ£o TomÃ© &amp; PrÃ­ncipe</v>
          </cell>
        </row>
        <row r="219">
          <cell r="A219" t="str">
            <v>Equatorial Guinea</v>
          </cell>
        </row>
        <row r="220">
          <cell r="A220" t="str">
            <v>St. BarthÃ©lemy</v>
          </cell>
        </row>
        <row r="221">
          <cell r="A221" t="str">
            <v>Mayotte</v>
          </cell>
        </row>
        <row r="222">
          <cell r="A222" t="str">
            <v>American Samoa</v>
          </cell>
        </row>
        <row r="223">
          <cell r="A223" t="str">
            <v>Turks &amp; Caicos Islands</v>
          </cell>
        </row>
        <row r="224">
          <cell r="A224" t="str">
            <v>Samoa</v>
          </cell>
        </row>
        <row r="225">
          <cell r="A225" t="str">
            <v>St. Martin</v>
          </cell>
        </row>
        <row r="226">
          <cell r="A226" t="str">
            <v>Timor-Leste</v>
          </cell>
        </row>
        <row r="227">
          <cell r="A227" t="str">
            <v>Chad</v>
          </cell>
        </row>
        <row r="228">
          <cell r="A228" t="str">
            <v>Western Sahara</v>
          </cell>
        </row>
        <row r="229">
          <cell r="A229" t="str">
            <v>Anguilla</v>
          </cell>
        </row>
        <row r="230">
          <cell r="A230" t="str">
            <v>Antarctica</v>
          </cell>
        </row>
        <row r="231">
          <cell r="A231" t="str">
            <v>French Southern Territories</v>
          </cell>
        </row>
        <row r="232">
          <cell r="A232" t="str">
            <v>Bouvet Island</v>
          </cell>
        </row>
        <row r="233">
          <cell r="A233" t="str">
            <v>Central African Republic</v>
          </cell>
        </row>
        <row r="234">
          <cell r="A234" t="str">
            <v>Cocos (Keeling) Islands</v>
          </cell>
        </row>
        <row r="235">
          <cell r="A235" t="str">
            <v>Comoros</v>
          </cell>
        </row>
        <row r="236">
          <cell r="A236" t="str">
            <v>Christmas Island</v>
          </cell>
        </row>
        <row r="237">
          <cell r="A237" t="str">
            <v>Falkland Islands (Islas Malvinas)</v>
          </cell>
        </row>
        <row r="238">
          <cell r="A238" t="str">
            <v>Guinea-Bissau</v>
          </cell>
        </row>
        <row r="239">
          <cell r="A239" t="str">
            <v>Heard &amp; McDonald Islands</v>
          </cell>
        </row>
        <row r="240">
          <cell r="A240" t="str">
            <v>British Indian Ocean Territory</v>
          </cell>
        </row>
        <row r="241">
          <cell r="A241" t="str">
            <v>Kiribati</v>
          </cell>
        </row>
        <row r="242">
          <cell r="A242" t="str">
            <v>Montserrat</v>
          </cell>
        </row>
        <row r="243">
          <cell r="A243" t="str">
            <v>Norfolk Island</v>
          </cell>
        </row>
        <row r="244">
          <cell r="A244" t="str">
            <v>Niue</v>
          </cell>
        </row>
        <row r="245">
          <cell r="A245" t="str">
            <v>Nauru</v>
          </cell>
        </row>
        <row r="246">
          <cell r="A246" t="str">
            <v>Pitcairn Islands</v>
          </cell>
        </row>
        <row r="247">
          <cell r="A247" t="str">
            <v>South Georgia &amp; South Sandwich Islands</v>
          </cell>
        </row>
        <row r="248">
          <cell r="A248" t="str">
            <v>St. Pierre &amp; Miquelon</v>
          </cell>
        </row>
        <row r="249">
          <cell r="A249" t="str">
            <v>Tokelau</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1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7)"/>
    </sheetNames>
    <sheetDataSet>
      <sheetData sheetId="0">
        <row r="1">
          <cell r="A1" t="str">
            <v>Kategori: TÃ¼m kategoriler</v>
          </cell>
        </row>
        <row r="3">
          <cell r="A3" t="str">
            <v>Ãœlke</v>
          </cell>
          <cell r="B3" t="str">
            <v>C++: (2017)</v>
          </cell>
          <cell r="C3" t="str">
            <v>ReactJS: (2017)</v>
          </cell>
        </row>
        <row r="4">
          <cell r="A4" t="str">
            <v>North Korea</v>
          </cell>
        </row>
        <row r="5">
          <cell r="A5" t="str">
            <v>China</v>
          </cell>
          <cell r="B5">
            <v>0.53</v>
          </cell>
          <cell r="C5">
            <v>0.47</v>
          </cell>
        </row>
        <row r="6">
          <cell r="A6" t="str">
            <v>Ethiopia</v>
          </cell>
        </row>
        <row r="7">
          <cell r="A7" t="str">
            <v>Cuba</v>
          </cell>
        </row>
        <row r="8">
          <cell r="A8" t="str">
            <v>South Korea</v>
          </cell>
          <cell r="B8">
            <v>0.77</v>
          </cell>
          <cell r="C8">
            <v>0.23</v>
          </cell>
        </row>
        <row r="9">
          <cell r="A9" t="str">
            <v>Pakistan</v>
          </cell>
          <cell r="B9">
            <v>0.89</v>
          </cell>
          <cell r="C9">
            <v>0.11</v>
          </cell>
        </row>
        <row r="10">
          <cell r="A10" t="str">
            <v>Tonga</v>
          </cell>
        </row>
        <row r="11">
          <cell r="A11" t="str">
            <v>Lesotho</v>
          </cell>
        </row>
        <row r="12">
          <cell r="A12" t="str">
            <v>Iceland</v>
          </cell>
        </row>
        <row r="13">
          <cell r="A13" t="str">
            <v>Armenia</v>
          </cell>
          <cell r="B13">
            <v>0.64</v>
          </cell>
          <cell r="C13">
            <v>0.36</v>
          </cell>
        </row>
        <row r="14">
          <cell r="A14" t="str">
            <v>Rwanda</v>
          </cell>
        </row>
        <row r="15">
          <cell r="A15" t="str">
            <v>Romania</v>
          </cell>
          <cell r="B15">
            <v>0.79</v>
          </cell>
          <cell r="C15">
            <v>0.21</v>
          </cell>
        </row>
        <row r="16">
          <cell r="A16" t="str">
            <v>Fiji</v>
          </cell>
        </row>
        <row r="17">
          <cell r="A17" t="str">
            <v>India</v>
          </cell>
          <cell r="B17">
            <v>0.77</v>
          </cell>
          <cell r="C17">
            <v>0.23</v>
          </cell>
        </row>
        <row r="18">
          <cell r="A18" t="str">
            <v>Israel</v>
          </cell>
          <cell r="B18">
            <v>0.59</v>
          </cell>
          <cell r="C18">
            <v>0.41</v>
          </cell>
        </row>
        <row r="19">
          <cell r="A19" t="str">
            <v>Gibraltar</v>
          </cell>
        </row>
        <row r="20">
          <cell r="A20" t="str">
            <v>Belarus</v>
          </cell>
          <cell r="B20">
            <v>0.64</v>
          </cell>
          <cell r="C20">
            <v>0.36</v>
          </cell>
        </row>
        <row r="21">
          <cell r="A21" t="str">
            <v>St. Helena</v>
          </cell>
          <cell r="B21">
            <v>0.66</v>
          </cell>
          <cell r="C21">
            <v>0.34</v>
          </cell>
        </row>
        <row r="22">
          <cell r="A22" t="str">
            <v>Taiwan</v>
          </cell>
          <cell r="B22">
            <v>0.76</v>
          </cell>
          <cell r="C22">
            <v>0.24</v>
          </cell>
        </row>
        <row r="23">
          <cell r="A23" t="str">
            <v>Poland</v>
          </cell>
          <cell r="B23">
            <v>0.79</v>
          </cell>
          <cell r="C23">
            <v>0.21</v>
          </cell>
        </row>
        <row r="24">
          <cell r="A24" t="str">
            <v>Singapore</v>
          </cell>
          <cell r="B24">
            <v>0.59</v>
          </cell>
          <cell r="C24">
            <v>0.41</v>
          </cell>
        </row>
        <row r="25">
          <cell r="A25" t="str">
            <v>Nepal</v>
          </cell>
          <cell r="B25">
            <v>0.56000000000000005</v>
          </cell>
          <cell r="C25">
            <v>0.44</v>
          </cell>
        </row>
        <row r="26">
          <cell r="A26" t="str">
            <v>Lithuania</v>
          </cell>
          <cell r="B26">
            <v>0.66</v>
          </cell>
          <cell r="C26">
            <v>0.34</v>
          </cell>
        </row>
        <row r="27">
          <cell r="A27" t="str">
            <v>Faroe Islands</v>
          </cell>
        </row>
        <row r="28">
          <cell r="A28" t="str">
            <v>Belize</v>
          </cell>
        </row>
        <row r="29">
          <cell r="A29" t="str">
            <v>Guatemala</v>
          </cell>
        </row>
        <row r="30">
          <cell r="A30" t="str">
            <v>Uzbekistan</v>
          </cell>
        </row>
        <row r="31">
          <cell r="A31" t="str">
            <v>North Macedonia</v>
          </cell>
        </row>
        <row r="32">
          <cell r="A32" t="str">
            <v>Malawi</v>
          </cell>
        </row>
        <row r="33">
          <cell r="A33" t="str">
            <v>Russia</v>
          </cell>
          <cell r="B33">
            <v>0.75</v>
          </cell>
          <cell r="C33">
            <v>0.25</v>
          </cell>
        </row>
        <row r="34">
          <cell r="A34" t="str">
            <v>Honduras</v>
          </cell>
        </row>
        <row r="35">
          <cell r="A35" t="str">
            <v>Zimbabwe</v>
          </cell>
        </row>
        <row r="36">
          <cell r="A36" t="str">
            <v>Czechia</v>
          </cell>
          <cell r="B36">
            <v>0.63</v>
          </cell>
          <cell r="C36">
            <v>0.37</v>
          </cell>
        </row>
        <row r="37">
          <cell r="A37" t="str">
            <v>Bulgaria</v>
          </cell>
          <cell r="B37">
            <v>0.68</v>
          </cell>
          <cell r="C37">
            <v>0.32</v>
          </cell>
        </row>
        <row r="38">
          <cell r="A38" t="str">
            <v>Bosnia &amp; Herzegovina</v>
          </cell>
          <cell r="B38">
            <v>0.72</v>
          </cell>
          <cell r="C38">
            <v>0.28000000000000003</v>
          </cell>
        </row>
        <row r="39">
          <cell r="A39" t="str">
            <v>Hong Kong</v>
          </cell>
          <cell r="B39">
            <v>0.49</v>
          </cell>
          <cell r="C39">
            <v>0.51</v>
          </cell>
        </row>
        <row r="40">
          <cell r="A40" t="str">
            <v>Ukraine</v>
          </cell>
          <cell r="B40">
            <v>0.62</v>
          </cell>
          <cell r="C40">
            <v>0.38</v>
          </cell>
        </row>
        <row r="41">
          <cell r="A41" t="str">
            <v>Bangladesh</v>
          </cell>
          <cell r="B41">
            <v>0.82</v>
          </cell>
          <cell r="C41">
            <v>0.18</v>
          </cell>
        </row>
        <row r="42">
          <cell r="A42" t="str">
            <v>Latvia</v>
          </cell>
          <cell r="B42">
            <v>0.64</v>
          </cell>
          <cell r="C42">
            <v>0.36</v>
          </cell>
        </row>
        <row r="43">
          <cell r="A43" t="str">
            <v>Eswatini</v>
          </cell>
        </row>
        <row r="44">
          <cell r="A44" t="str">
            <v>Cyprus</v>
          </cell>
        </row>
        <row r="45">
          <cell r="A45" t="str">
            <v>Iran</v>
          </cell>
          <cell r="B45">
            <v>0.87</v>
          </cell>
          <cell r="C45">
            <v>0.13</v>
          </cell>
        </row>
        <row r="46">
          <cell r="A46" t="str">
            <v>Mongolia</v>
          </cell>
        </row>
        <row r="47">
          <cell r="A47" t="str">
            <v>Germany</v>
          </cell>
          <cell r="B47">
            <v>0.76</v>
          </cell>
          <cell r="C47">
            <v>0.24</v>
          </cell>
        </row>
        <row r="48">
          <cell r="A48" t="str">
            <v>Finland</v>
          </cell>
          <cell r="B48">
            <v>0.46</v>
          </cell>
          <cell r="C48">
            <v>0.54</v>
          </cell>
        </row>
        <row r="49">
          <cell r="A49" t="str">
            <v>Afghanistan</v>
          </cell>
        </row>
        <row r="50">
          <cell r="A50" t="str">
            <v>Madagascar</v>
          </cell>
        </row>
        <row r="51">
          <cell r="A51" t="str">
            <v>Slovenia</v>
          </cell>
        </row>
        <row r="52">
          <cell r="A52" t="str">
            <v>Switzerland</v>
          </cell>
          <cell r="B52">
            <v>0.71</v>
          </cell>
          <cell r="C52">
            <v>0.28999999999999998</v>
          </cell>
        </row>
        <row r="53">
          <cell r="A53" t="str">
            <v>Benin</v>
          </cell>
        </row>
        <row r="54">
          <cell r="A54" t="str">
            <v>Albania</v>
          </cell>
        </row>
        <row r="55">
          <cell r="A55" t="str">
            <v>Somalia</v>
          </cell>
        </row>
        <row r="56">
          <cell r="A56" t="str">
            <v>Estonia</v>
          </cell>
        </row>
        <row r="57">
          <cell r="A57" t="str">
            <v>Sweden</v>
          </cell>
          <cell r="B57">
            <v>0.52</v>
          </cell>
          <cell r="C57">
            <v>0.48</v>
          </cell>
        </row>
        <row r="58">
          <cell r="A58" t="str">
            <v>Moldova</v>
          </cell>
        </row>
        <row r="59">
          <cell r="A59" t="str">
            <v>Austria</v>
          </cell>
          <cell r="B59">
            <v>0.75</v>
          </cell>
          <cell r="C59">
            <v>0.25</v>
          </cell>
        </row>
        <row r="60">
          <cell r="A60" t="str">
            <v>Jordan</v>
          </cell>
        </row>
        <row r="61">
          <cell r="A61" t="str">
            <v>Philippines</v>
          </cell>
          <cell r="B61">
            <v>0.67</v>
          </cell>
          <cell r="C61">
            <v>0.33</v>
          </cell>
        </row>
        <row r="62">
          <cell r="A62" t="str">
            <v>Botswana</v>
          </cell>
        </row>
        <row r="63">
          <cell r="A63" t="str">
            <v>Hungary</v>
          </cell>
          <cell r="B63">
            <v>0.77</v>
          </cell>
          <cell r="C63">
            <v>0.23</v>
          </cell>
        </row>
        <row r="64">
          <cell r="A64" t="str">
            <v>Ecuador</v>
          </cell>
        </row>
        <row r="65">
          <cell r="A65" t="str">
            <v>Serbia</v>
          </cell>
          <cell r="B65">
            <v>0.63</v>
          </cell>
          <cell r="C65">
            <v>0.37</v>
          </cell>
        </row>
        <row r="66">
          <cell r="A66" t="str">
            <v>Sri Lanka</v>
          </cell>
          <cell r="B66">
            <v>0.61</v>
          </cell>
          <cell r="C66">
            <v>0.39</v>
          </cell>
        </row>
        <row r="67">
          <cell r="A67" t="str">
            <v>Norway</v>
          </cell>
          <cell r="B67">
            <v>0.46</v>
          </cell>
          <cell r="C67">
            <v>0.54</v>
          </cell>
        </row>
        <row r="68">
          <cell r="A68" t="str">
            <v>Canada</v>
          </cell>
          <cell r="B68">
            <v>0.6</v>
          </cell>
          <cell r="C68">
            <v>0.4</v>
          </cell>
        </row>
        <row r="69">
          <cell r="A69" t="str">
            <v>Sudan</v>
          </cell>
        </row>
        <row r="70">
          <cell r="A70" t="str">
            <v>Slovakia</v>
          </cell>
          <cell r="B70">
            <v>0.66</v>
          </cell>
          <cell r="C70">
            <v>0.34</v>
          </cell>
        </row>
        <row r="71">
          <cell r="A71" t="str">
            <v>Tunisia</v>
          </cell>
          <cell r="B71">
            <v>0.7</v>
          </cell>
          <cell r="C71">
            <v>0.3</v>
          </cell>
        </row>
        <row r="72">
          <cell r="A72" t="str">
            <v>Croatia</v>
          </cell>
          <cell r="B72">
            <v>0.63</v>
          </cell>
          <cell r="C72">
            <v>0.37</v>
          </cell>
        </row>
        <row r="73">
          <cell r="A73" t="str">
            <v>Kazakhstan</v>
          </cell>
          <cell r="B73">
            <v>0.81</v>
          </cell>
          <cell r="C73">
            <v>0.19</v>
          </cell>
        </row>
        <row r="74">
          <cell r="A74" t="str">
            <v>Malta</v>
          </cell>
        </row>
        <row r="75">
          <cell r="A75" t="str">
            <v>New Zealand</v>
          </cell>
          <cell r="B75">
            <v>0.4</v>
          </cell>
          <cell r="C75">
            <v>0.6</v>
          </cell>
        </row>
        <row r="76">
          <cell r="A76" t="str">
            <v>United States</v>
          </cell>
          <cell r="B76">
            <v>0.61</v>
          </cell>
          <cell r="C76">
            <v>0.39</v>
          </cell>
        </row>
        <row r="77">
          <cell r="A77" t="str">
            <v>Ghana</v>
          </cell>
        </row>
        <row r="78">
          <cell r="A78" t="str">
            <v>Egypt</v>
          </cell>
          <cell r="B78">
            <v>0.85</v>
          </cell>
          <cell r="C78">
            <v>0.15</v>
          </cell>
        </row>
        <row r="79">
          <cell r="A79" t="str">
            <v>Laos</v>
          </cell>
        </row>
        <row r="80">
          <cell r="A80" t="str">
            <v>Mexico</v>
          </cell>
          <cell r="B80">
            <v>0.85</v>
          </cell>
          <cell r="C80">
            <v>0.15</v>
          </cell>
        </row>
        <row r="81">
          <cell r="A81" t="str">
            <v>Bolivia</v>
          </cell>
        </row>
        <row r="82">
          <cell r="A82" t="str">
            <v>Vietnam</v>
          </cell>
          <cell r="B82">
            <v>0.6</v>
          </cell>
          <cell r="C82">
            <v>0.4</v>
          </cell>
        </row>
        <row r="83">
          <cell r="A83" t="str">
            <v>Cameroon</v>
          </cell>
        </row>
        <row r="84">
          <cell r="A84" t="str">
            <v>Myanmar (Burma)</v>
          </cell>
        </row>
        <row r="85">
          <cell r="A85" t="str">
            <v>Georgia</v>
          </cell>
        </row>
        <row r="86">
          <cell r="A86" t="str">
            <v>Togo</v>
          </cell>
        </row>
        <row r="87">
          <cell r="A87" t="str">
            <v>Japan</v>
          </cell>
          <cell r="B87">
            <v>0.8</v>
          </cell>
          <cell r="C87">
            <v>0.2</v>
          </cell>
        </row>
        <row r="88">
          <cell r="A88" t="str">
            <v>Malaysia</v>
          </cell>
          <cell r="B88">
            <v>0.71</v>
          </cell>
          <cell r="C88">
            <v>0.28999999999999998</v>
          </cell>
        </row>
        <row r="89">
          <cell r="A89" t="str">
            <v>Maldives</v>
          </cell>
        </row>
        <row r="90">
          <cell r="A90" t="str">
            <v>Costa Rica</v>
          </cell>
        </row>
        <row r="91">
          <cell r="A91" t="str">
            <v>Papua New Guinea</v>
          </cell>
        </row>
        <row r="92">
          <cell r="A92" t="str">
            <v>Syria</v>
          </cell>
        </row>
        <row r="93">
          <cell r="A93" t="str">
            <v>Lebanon</v>
          </cell>
        </row>
        <row r="94">
          <cell r="A94" t="str">
            <v>Libya</v>
          </cell>
        </row>
        <row r="95">
          <cell r="A95" t="str">
            <v>Angola</v>
          </cell>
        </row>
        <row r="96">
          <cell r="A96" t="str">
            <v>Luxembourg</v>
          </cell>
        </row>
        <row r="97">
          <cell r="A97" t="str">
            <v>Portugal</v>
          </cell>
          <cell r="B97">
            <v>0.56000000000000005</v>
          </cell>
          <cell r="C97">
            <v>0.44</v>
          </cell>
        </row>
        <row r="98">
          <cell r="A98" t="str">
            <v>Peru</v>
          </cell>
          <cell r="B98">
            <v>0.85</v>
          </cell>
          <cell r="C98">
            <v>0.15</v>
          </cell>
        </row>
        <row r="99">
          <cell r="A99" t="str">
            <v>Bhutan</v>
          </cell>
        </row>
        <row r="100">
          <cell r="A100" t="str">
            <v>Cape Verde</v>
          </cell>
        </row>
        <row r="101">
          <cell r="A101" t="str">
            <v>Cambodia</v>
          </cell>
        </row>
        <row r="102">
          <cell r="A102" t="str">
            <v>Australia</v>
          </cell>
          <cell r="B102">
            <v>0.44</v>
          </cell>
          <cell r="C102">
            <v>0.56000000000000005</v>
          </cell>
        </row>
        <row r="103">
          <cell r="A103" t="str">
            <v>Yemen</v>
          </cell>
        </row>
        <row r="104">
          <cell r="A104" t="str">
            <v>Kenya</v>
          </cell>
          <cell r="B104">
            <v>0.68</v>
          </cell>
          <cell r="C104">
            <v>0.32</v>
          </cell>
        </row>
        <row r="105">
          <cell r="A105" t="str">
            <v>Azerbaijan</v>
          </cell>
        </row>
        <row r="106">
          <cell r="A106" t="str">
            <v>Burundi</v>
          </cell>
        </row>
        <row r="107">
          <cell r="A107" t="str">
            <v>Netherlands</v>
          </cell>
          <cell r="B107">
            <v>0.56000000000000005</v>
          </cell>
          <cell r="C107">
            <v>0.44</v>
          </cell>
        </row>
        <row r="108">
          <cell r="A108" t="str">
            <v>Kyrgyzstan</v>
          </cell>
        </row>
        <row r="109">
          <cell r="A109" t="str">
            <v>Colombia</v>
          </cell>
          <cell r="B109">
            <v>0.78</v>
          </cell>
          <cell r="C109">
            <v>0.22</v>
          </cell>
        </row>
        <row r="110">
          <cell r="A110" t="str">
            <v>Denmark</v>
          </cell>
          <cell r="B110">
            <v>0.49</v>
          </cell>
          <cell r="C110">
            <v>0.51</v>
          </cell>
        </row>
        <row r="111">
          <cell r="A111" t="str">
            <v>Nicaragua</v>
          </cell>
        </row>
        <row r="112">
          <cell r="A112" t="str">
            <v>Palestine</v>
          </cell>
        </row>
        <row r="113">
          <cell r="A113" t="str">
            <v>El Salvador</v>
          </cell>
        </row>
        <row r="114">
          <cell r="A114" t="str">
            <v>Mauritius</v>
          </cell>
        </row>
        <row r="115">
          <cell r="A115" t="str">
            <v>Trinidad &amp; Tobago</v>
          </cell>
        </row>
        <row r="116">
          <cell r="A116" t="str">
            <v>Oman</v>
          </cell>
        </row>
        <row r="117">
          <cell r="A117" t="str">
            <v>Panama</v>
          </cell>
        </row>
        <row r="118">
          <cell r="A118" t="str">
            <v>Greece</v>
          </cell>
          <cell r="B118">
            <v>0.68</v>
          </cell>
          <cell r="C118">
            <v>0.32</v>
          </cell>
        </row>
        <row r="119">
          <cell r="A119" t="str">
            <v>France</v>
          </cell>
          <cell r="B119">
            <v>0.63</v>
          </cell>
          <cell r="C119">
            <v>0.37</v>
          </cell>
        </row>
        <row r="120">
          <cell r="A120" t="str">
            <v>Jamaica</v>
          </cell>
        </row>
        <row r="121">
          <cell r="A121" t="str">
            <v>Uganda</v>
          </cell>
        </row>
        <row r="122">
          <cell r="A122" t="str">
            <v>Ireland</v>
          </cell>
          <cell r="B122">
            <v>0.55000000000000004</v>
          </cell>
          <cell r="C122">
            <v>0.45</v>
          </cell>
        </row>
        <row r="123">
          <cell r="A123" t="str">
            <v>Barbados</v>
          </cell>
        </row>
        <row r="124">
          <cell r="A124" t="str">
            <v>Belgium</v>
          </cell>
          <cell r="B124">
            <v>0.59</v>
          </cell>
          <cell r="C124">
            <v>0.41</v>
          </cell>
        </row>
        <row r="125">
          <cell r="A125" t="str">
            <v>French Guiana</v>
          </cell>
        </row>
        <row r="126">
          <cell r="A126" t="str">
            <v>Uruguay</v>
          </cell>
        </row>
        <row r="127">
          <cell r="A127" t="str">
            <v>Zambia</v>
          </cell>
        </row>
        <row r="128">
          <cell r="A128" t="str">
            <v>Tanzania</v>
          </cell>
        </row>
        <row r="129">
          <cell r="A129" t="str">
            <v>Puerto Rico</v>
          </cell>
        </row>
        <row r="130">
          <cell r="A130" t="str">
            <v>South Africa</v>
          </cell>
          <cell r="B130">
            <v>0.62</v>
          </cell>
          <cell r="C130">
            <v>0.38</v>
          </cell>
        </row>
        <row r="131">
          <cell r="A131" t="str">
            <v>Indonesia</v>
          </cell>
          <cell r="B131">
            <v>0.74</v>
          </cell>
          <cell r="C131">
            <v>0.26</v>
          </cell>
        </row>
        <row r="132">
          <cell r="A132" t="str">
            <v>United Kingdom</v>
          </cell>
          <cell r="B132">
            <v>0.54</v>
          </cell>
          <cell r="C132">
            <v>0.46</v>
          </cell>
        </row>
        <row r="133">
          <cell r="A133" t="str">
            <v>Turkmenistan</v>
          </cell>
        </row>
        <row r="134">
          <cell r="A134" t="str">
            <v>Morocco</v>
          </cell>
          <cell r="B134">
            <v>0.74</v>
          </cell>
          <cell r="C134">
            <v>0.26</v>
          </cell>
        </row>
        <row r="135">
          <cell r="A135" t="str">
            <v>Macao</v>
          </cell>
        </row>
        <row r="136">
          <cell r="A136" t="str">
            <v>Italy</v>
          </cell>
          <cell r="B136">
            <v>0.78</v>
          </cell>
          <cell r="C136">
            <v>0.22</v>
          </cell>
        </row>
        <row r="137">
          <cell r="A137" t="str">
            <v>St. Kitts &amp; Nevis</v>
          </cell>
        </row>
        <row r="138">
          <cell r="A138" t="str">
            <v>Tajikistan</v>
          </cell>
        </row>
        <row r="139">
          <cell r="A139" t="str">
            <v>Algeria</v>
          </cell>
        </row>
        <row r="140">
          <cell r="A140" t="str">
            <v>Spain</v>
          </cell>
          <cell r="B140">
            <v>0.68</v>
          </cell>
          <cell r="C140">
            <v>0.32</v>
          </cell>
        </row>
        <row r="141">
          <cell r="A141" t="str">
            <v>Brunei</v>
          </cell>
        </row>
        <row r="142">
          <cell r="A142" t="str">
            <v>Nigeria</v>
          </cell>
          <cell r="B142">
            <v>0.6</v>
          </cell>
          <cell r="C142">
            <v>0.4</v>
          </cell>
        </row>
        <row r="143">
          <cell r="A143" t="str">
            <v>Congo - Kinshasa</v>
          </cell>
        </row>
        <row r="144">
          <cell r="A144" t="str">
            <v>Sierra Leone</v>
          </cell>
        </row>
        <row r="145">
          <cell r="A145" t="str">
            <v>Bahrain</v>
          </cell>
        </row>
        <row r="146">
          <cell r="A146" t="str">
            <v>United Arab Emirates</v>
          </cell>
          <cell r="B146">
            <v>0.63</v>
          </cell>
          <cell r="C146">
            <v>0.37</v>
          </cell>
        </row>
        <row r="147">
          <cell r="A147" t="str">
            <v>Andorra</v>
          </cell>
        </row>
        <row r="148">
          <cell r="A148" t="str">
            <v>Congo - Brazzaville</v>
          </cell>
        </row>
        <row r="149">
          <cell r="A149" t="str">
            <v>Kosovo</v>
          </cell>
        </row>
        <row r="150">
          <cell r="A150" t="str">
            <v>Namibia</v>
          </cell>
        </row>
        <row r="151">
          <cell r="A151" t="str">
            <v>Djibouti</v>
          </cell>
        </row>
        <row r="152">
          <cell r="A152" t="str">
            <v>Paraguay</v>
          </cell>
        </row>
        <row r="153">
          <cell r="A153" t="str">
            <v>Gabon</v>
          </cell>
        </row>
        <row r="154">
          <cell r="A154" t="str">
            <v>Senegal</v>
          </cell>
        </row>
        <row r="155">
          <cell r="A155" t="str">
            <v>Mozambique</v>
          </cell>
        </row>
        <row r="156">
          <cell r="A156" t="str">
            <v>Venezuela</v>
          </cell>
          <cell r="B156">
            <v>0.78</v>
          </cell>
          <cell r="C156">
            <v>0.22</v>
          </cell>
        </row>
        <row r="157">
          <cell r="A157" t="str">
            <v>Haiti</v>
          </cell>
        </row>
        <row r="158">
          <cell r="A158" t="str">
            <v>Iraq</v>
          </cell>
        </row>
        <row r="159">
          <cell r="A159" t="str">
            <v>Dominican Republic</v>
          </cell>
        </row>
        <row r="160">
          <cell r="A160" t="str">
            <v>Niger</v>
          </cell>
        </row>
        <row r="161">
          <cell r="A161" t="str">
            <v>Thailand</v>
          </cell>
          <cell r="B161">
            <v>0.56000000000000005</v>
          </cell>
          <cell r="C161">
            <v>0.44</v>
          </cell>
        </row>
        <row r="162">
          <cell r="A162" t="str">
            <v>Turkey</v>
          </cell>
          <cell r="B162">
            <v>0.74</v>
          </cell>
          <cell r="C162">
            <v>0.26</v>
          </cell>
        </row>
        <row r="163">
          <cell r="A163" t="str">
            <v>Isle of Man</v>
          </cell>
        </row>
        <row r="164">
          <cell r="A164" t="str">
            <v>Montenegro</v>
          </cell>
        </row>
        <row r="165">
          <cell r="A165" t="str">
            <v>Guinea</v>
          </cell>
        </row>
        <row r="166">
          <cell r="A166" t="str">
            <v>Suriname</v>
          </cell>
        </row>
        <row r="167">
          <cell r="A167" t="str">
            <v>CuraÃ§ao</v>
          </cell>
        </row>
        <row r="168">
          <cell r="A168" t="str">
            <v>St. BarthÃ©lemy</v>
          </cell>
        </row>
        <row r="169">
          <cell r="A169" t="str">
            <v>Chile</v>
          </cell>
          <cell r="B169">
            <v>0.6</v>
          </cell>
          <cell r="C169">
            <v>0.4</v>
          </cell>
        </row>
        <row r="170">
          <cell r="A170" t="str">
            <v>Brazil</v>
          </cell>
          <cell r="B170">
            <v>0.6</v>
          </cell>
          <cell r="C170">
            <v>0.4</v>
          </cell>
        </row>
        <row r="171">
          <cell r="A171" t="str">
            <v>Mali</v>
          </cell>
        </row>
        <row r="172">
          <cell r="A172" t="str">
            <v>Guam</v>
          </cell>
        </row>
        <row r="173">
          <cell r="A173" t="str">
            <v>CÃ´te dâ€™Ivoire</v>
          </cell>
        </row>
        <row r="174">
          <cell r="A174" t="str">
            <v>Mauritania</v>
          </cell>
        </row>
        <row r="175">
          <cell r="A175" t="str">
            <v>French Polynesia</v>
          </cell>
        </row>
        <row r="176">
          <cell r="A176" t="str">
            <v>Grenada</v>
          </cell>
        </row>
        <row r="177">
          <cell r="A177" t="str">
            <v>Argentina</v>
          </cell>
          <cell r="B177">
            <v>0.55000000000000004</v>
          </cell>
          <cell r="C177">
            <v>0.45</v>
          </cell>
        </row>
        <row r="178">
          <cell r="A178" t="str">
            <v>South Sudan</v>
          </cell>
        </row>
        <row r="179">
          <cell r="A179" t="str">
            <v>Saudi Arabia</v>
          </cell>
          <cell r="B179">
            <v>0.8</v>
          </cell>
          <cell r="C179">
            <v>0.2</v>
          </cell>
        </row>
        <row r="180">
          <cell r="A180" t="str">
            <v>Qatar</v>
          </cell>
        </row>
        <row r="181">
          <cell r="A181" t="str">
            <v>Antigua &amp; Barbuda</v>
          </cell>
        </row>
        <row r="182">
          <cell r="A182" t="str">
            <v>Guyana</v>
          </cell>
        </row>
        <row r="183">
          <cell r="A183" t="str">
            <v>Liberia</v>
          </cell>
        </row>
        <row r="184">
          <cell r="A184" t="str">
            <v>Kuwait</v>
          </cell>
        </row>
        <row r="185">
          <cell r="A185" t="str">
            <v>Burkina Faso</v>
          </cell>
        </row>
        <row r="186">
          <cell r="A186" t="str">
            <v>Cayman Islands</v>
          </cell>
        </row>
        <row r="187">
          <cell r="A187" t="str">
            <v>Guadeloupe</v>
          </cell>
        </row>
        <row r="188">
          <cell r="A188" t="str">
            <v>Bahamas</v>
          </cell>
        </row>
        <row r="189">
          <cell r="A189" t="str">
            <v>RÃ©union</v>
          </cell>
        </row>
        <row r="190">
          <cell r="A190" t="str">
            <v>Martinique</v>
          </cell>
        </row>
        <row r="191">
          <cell r="A191" t="str">
            <v>Jersey</v>
          </cell>
        </row>
        <row r="192">
          <cell r="A192" t="str">
            <v>Aruba</v>
          </cell>
        </row>
        <row r="193">
          <cell r="A193" t="str">
            <v>Eritrea</v>
          </cell>
        </row>
        <row r="194">
          <cell r="A194" t="str">
            <v>Montserrat</v>
          </cell>
        </row>
        <row r="195">
          <cell r="A195" t="str">
            <v>Micronesia</v>
          </cell>
        </row>
        <row r="196">
          <cell r="A196" t="str">
            <v>Vanuatu</v>
          </cell>
        </row>
        <row r="197">
          <cell r="A197" t="str">
            <v>Ã…land Islands</v>
          </cell>
        </row>
        <row r="198">
          <cell r="A198" t="str">
            <v>Marshall Islands</v>
          </cell>
        </row>
        <row r="199">
          <cell r="A199" t="str">
            <v>Solomon Islands</v>
          </cell>
        </row>
        <row r="200">
          <cell r="A200" t="str">
            <v>SÃ£o TomÃ© &amp; PrÃ­ncipe</v>
          </cell>
        </row>
        <row r="201">
          <cell r="A201" t="str">
            <v>Caribbean Netherlands</v>
          </cell>
        </row>
        <row r="202">
          <cell r="A202" t="str">
            <v>Comoros</v>
          </cell>
        </row>
        <row r="203">
          <cell r="A203" t="str">
            <v>Guinea-Bissau</v>
          </cell>
        </row>
        <row r="204">
          <cell r="A204" t="str">
            <v>St. Pierre &amp; Miquelon</v>
          </cell>
        </row>
        <row r="205">
          <cell r="A205" t="str">
            <v>Central African Republic</v>
          </cell>
        </row>
        <row r="206">
          <cell r="A206" t="str">
            <v>Dominica</v>
          </cell>
        </row>
        <row r="207">
          <cell r="A207" t="str">
            <v>Liechtenstein</v>
          </cell>
        </row>
        <row r="208">
          <cell r="A208" t="str">
            <v>St. Vincent &amp; Grenadines</v>
          </cell>
        </row>
        <row r="209">
          <cell r="A209" t="str">
            <v>Seychelles</v>
          </cell>
        </row>
        <row r="210">
          <cell r="A210" t="str">
            <v>Timor-Leste</v>
          </cell>
        </row>
        <row r="211">
          <cell r="A211" t="str">
            <v>Equatorial Guinea</v>
          </cell>
        </row>
        <row r="212">
          <cell r="A212" t="str">
            <v>Guernsey</v>
          </cell>
        </row>
        <row r="213">
          <cell r="A213" t="str">
            <v>Samoa</v>
          </cell>
        </row>
        <row r="214">
          <cell r="A214" t="str">
            <v>Monaco</v>
          </cell>
        </row>
        <row r="215">
          <cell r="A215" t="str">
            <v>Mayotte</v>
          </cell>
        </row>
        <row r="216">
          <cell r="A216" t="str">
            <v>American Samoa</v>
          </cell>
        </row>
        <row r="217">
          <cell r="A217" t="str">
            <v>Turks &amp; Caicos Islands</v>
          </cell>
        </row>
        <row r="218">
          <cell r="A218" t="str">
            <v>Northern Mariana Islands</v>
          </cell>
        </row>
        <row r="219">
          <cell r="A219" t="str">
            <v>Bermuda</v>
          </cell>
        </row>
        <row r="220">
          <cell r="A220" t="str">
            <v>Gambia</v>
          </cell>
        </row>
        <row r="221">
          <cell r="A221" t="str">
            <v>St. Martin</v>
          </cell>
        </row>
        <row r="222">
          <cell r="A222" t="str">
            <v>British Virgin Islands</v>
          </cell>
        </row>
        <row r="223">
          <cell r="A223" t="str">
            <v>Western Sahara</v>
          </cell>
        </row>
        <row r="224">
          <cell r="A224" t="str">
            <v>Greenland</v>
          </cell>
        </row>
        <row r="225">
          <cell r="A225" t="str">
            <v>St. Lucia</v>
          </cell>
        </row>
        <row r="226">
          <cell r="A226" t="str">
            <v>Chad</v>
          </cell>
        </row>
        <row r="227">
          <cell r="A227" t="str">
            <v>Sint Maarten</v>
          </cell>
        </row>
        <row r="228">
          <cell r="A228" t="str">
            <v>U.S. Virgin Islands</v>
          </cell>
        </row>
        <row r="229">
          <cell r="A229" t="str">
            <v>San Marino</v>
          </cell>
        </row>
        <row r="230">
          <cell r="A230" t="str">
            <v>New Caledonia</v>
          </cell>
        </row>
        <row r="231">
          <cell r="A231" t="str">
            <v>Anguilla</v>
          </cell>
        </row>
        <row r="232">
          <cell r="A232" t="str">
            <v>Antarctica</v>
          </cell>
        </row>
        <row r="233">
          <cell r="A233" t="str">
            <v>French Southern Territories</v>
          </cell>
        </row>
        <row r="234">
          <cell r="A234" t="str">
            <v>Bouvet Island</v>
          </cell>
        </row>
        <row r="235">
          <cell r="A235" t="str">
            <v>Cocos (Keeling) Islands</v>
          </cell>
        </row>
        <row r="236">
          <cell r="A236" t="str">
            <v>Cook Islands</v>
          </cell>
        </row>
        <row r="237">
          <cell r="A237" t="str">
            <v>Christmas Island</v>
          </cell>
        </row>
        <row r="238">
          <cell r="A238" t="str">
            <v>Falkland Islands (Islas Malvinas)</v>
          </cell>
        </row>
        <row r="239">
          <cell r="A239" t="str">
            <v>Heard &amp; McDonald Islands</v>
          </cell>
        </row>
        <row r="240">
          <cell r="A240" t="str">
            <v>British Indian Ocean Territory</v>
          </cell>
        </row>
        <row r="241">
          <cell r="A241" t="str">
            <v>Kiribati</v>
          </cell>
        </row>
        <row r="242">
          <cell r="A242" t="str">
            <v>Norfolk Island</v>
          </cell>
        </row>
        <row r="243">
          <cell r="A243" t="str">
            <v>Niue</v>
          </cell>
        </row>
        <row r="244">
          <cell r="A244" t="str">
            <v>Nauru</v>
          </cell>
        </row>
        <row r="245">
          <cell r="A245" t="str">
            <v>Pitcairn Islands</v>
          </cell>
        </row>
        <row r="246">
          <cell r="A246" t="str">
            <v>Palau</v>
          </cell>
        </row>
        <row r="247">
          <cell r="A247" t="str">
            <v>South Georgia &amp; South Sandwich Islands</v>
          </cell>
        </row>
        <row r="248">
          <cell r="A248" t="str">
            <v>Svalbard &amp; Jan Mayen</v>
          </cell>
        </row>
        <row r="249">
          <cell r="A249" t="str">
            <v>Tokelau</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1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8)"/>
    </sheetNames>
    <sheetDataSet>
      <sheetData sheetId="0">
        <row r="1">
          <cell r="A1" t="str">
            <v>Kategori: TÃ¼m kategoriler</v>
          </cell>
        </row>
        <row r="3">
          <cell r="A3" t="str">
            <v>Ãœlke</v>
          </cell>
          <cell r="B3" t="str">
            <v>ReactJS: (2017)</v>
          </cell>
          <cell r="C3" t="str">
            <v>Ä°ÅŸlemci Ã¶nbelleÄŸi: (2017)</v>
          </cell>
        </row>
        <row r="4">
          <cell r="A4" t="str">
            <v>China</v>
          </cell>
          <cell r="B4">
            <v>0.72</v>
          </cell>
          <cell r="C4">
            <v>0.28000000000000003</v>
          </cell>
        </row>
        <row r="5">
          <cell r="A5" t="str">
            <v>Iceland</v>
          </cell>
        </row>
        <row r="6">
          <cell r="A6" t="str">
            <v>Gibraltar</v>
          </cell>
        </row>
        <row r="7">
          <cell r="A7" t="str">
            <v>Cuba</v>
          </cell>
        </row>
        <row r="8">
          <cell r="A8" t="str">
            <v>Belarus</v>
          </cell>
          <cell r="B8">
            <v>0.44</v>
          </cell>
          <cell r="C8">
            <v>0.56000000000000005</v>
          </cell>
        </row>
        <row r="9">
          <cell r="A9" t="str">
            <v>Hong Kong</v>
          </cell>
          <cell r="B9">
            <v>0.62</v>
          </cell>
          <cell r="C9">
            <v>0.38</v>
          </cell>
        </row>
        <row r="10">
          <cell r="A10" t="str">
            <v>Israel</v>
          </cell>
          <cell r="B10">
            <v>0.66</v>
          </cell>
          <cell r="C10">
            <v>0.34</v>
          </cell>
        </row>
        <row r="11">
          <cell r="A11" t="str">
            <v>Nepal</v>
          </cell>
        </row>
        <row r="12">
          <cell r="A12" t="str">
            <v>Guernsey</v>
          </cell>
        </row>
        <row r="13">
          <cell r="A13" t="str">
            <v>Finland</v>
          </cell>
          <cell r="B13">
            <v>0.63</v>
          </cell>
          <cell r="C13">
            <v>0.37</v>
          </cell>
        </row>
        <row r="14">
          <cell r="A14" t="str">
            <v>Russia</v>
          </cell>
          <cell r="B14">
            <v>0.28999999999999998</v>
          </cell>
          <cell r="C14">
            <v>0.71</v>
          </cell>
        </row>
        <row r="15">
          <cell r="A15" t="str">
            <v>Ukraine</v>
          </cell>
          <cell r="B15">
            <v>0.41</v>
          </cell>
          <cell r="C15">
            <v>0.59</v>
          </cell>
        </row>
        <row r="16">
          <cell r="A16" t="str">
            <v>Malta</v>
          </cell>
        </row>
        <row r="17">
          <cell r="A17" t="str">
            <v>Caribbean Netherlands</v>
          </cell>
        </row>
        <row r="18">
          <cell r="A18" t="str">
            <v>Armenia</v>
          </cell>
        </row>
        <row r="19">
          <cell r="A19" t="str">
            <v>Singapore</v>
          </cell>
          <cell r="B19">
            <v>0.49</v>
          </cell>
          <cell r="C19">
            <v>0.51</v>
          </cell>
        </row>
        <row r="20">
          <cell r="A20" t="str">
            <v>Estonia</v>
          </cell>
        </row>
        <row r="21">
          <cell r="A21" t="str">
            <v>Kazakhstan</v>
          </cell>
          <cell r="B21">
            <v>0.17</v>
          </cell>
          <cell r="C21">
            <v>0.83</v>
          </cell>
        </row>
        <row r="22">
          <cell r="A22" t="str">
            <v>Madagascar</v>
          </cell>
        </row>
        <row r="23">
          <cell r="A23" t="str">
            <v>Ã…land Islands</v>
          </cell>
        </row>
        <row r="24">
          <cell r="A24" t="str">
            <v>Sweden</v>
          </cell>
          <cell r="B24">
            <v>0.59</v>
          </cell>
          <cell r="C24">
            <v>0.41</v>
          </cell>
        </row>
        <row r="25">
          <cell r="A25" t="str">
            <v>South Korea</v>
          </cell>
          <cell r="B25">
            <v>0.53</v>
          </cell>
          <cell r="C25">
            <v>0.47</v>
          </cell>
        </row>
        <row r="26">
          <cell r="A26" t="str">
            <v>Norway</v>
          </cell>
          <cell r="B26">
            <v>0.63</v>
          </cell>
          <cell r="C26">
            <v>0.37</v>
          </cell>
        </row>
        <row r="27">
          <cell r="A27" t="str">
            <v>Japan</v>
          </cell>
          <cell r="B27">
            <v>0.17</v>
          </cell>
          <cell r="C27">
            <v>0.83</v>
          </cell>
        </row>
        <row r="28">
          <cell r="A28" t="str">
            <v>Turkmenistan</v>
          </cell>
        </row>
        <row r="29">
          <cell r="A29" t="str">
            <v>St. Helena</v>
          </cell>
          <cell r="B29">
            <v>0.47</v>
          </cell>
          <cell r="C29">
            <v>0.53</v>
          </cell>
        </row>
        <row r="30">
          <cell r="A30" t="str">
            <v>Bermuda</v>
          </cell>
        </row>
        <row r="31">
          <cell r="A31" t="str">
            <v>New Zealand</v>
          </cell>
          <cell r="B31">
            <v>0.51</v>
          </cell>
          <cell r="C31">
            <v>0.49</v>
          </cell>
        </row>
        <row r="32">
          <cell r="A32" t="str">
            <v>Uzbekistan</v>
          </cell>
        </row>
        <row r="33">
          <cell r="A33" t="str">
            <v>Ireland</v>
          </cell>
          <cell r="B33">
            <v>0.36</v>
          </cell>
          <cell r="C33">
            <v>0.64</v>
          </cell>
        </row>
        <row r="34">
          <cell r="A34" t="str">
            <v>Canada</v>
          </cell>
          <cell r="B34">
            <v>0.45</v>
          </cell>
          <cell r="C34">
            <v>0.55000000000000004</v>
          </cell>
        </row>
        <row r="35">
          <cell r="A35" t="str">
            <v>Lithuania</v>
          </cell>
          <cell r="B35">
            <v>0.59</v>
          </cell>
          <cell r="C35">
            <v>0.41</v>
          </cell>
        </row>
        <row r="36">
          <cell r="A36" t="str">
            <v>Czechia</v>
          </cell>
          <cell r="B36">
            <v>0.56999999999999995</v>
          </cell>
          <cell r="C36">
            <v>0.43</v>
          </cell>
        </row>
        <row r="37">
          <cell r="A37" t="str">
            <v>Jersey</v>
          </cell>
        </row>
        <row r="38">
          <cell r="A38" t="str">
            <v>Grenada</v>
          </cell>
        </row>
        <row r="39">
          <cell r="A39" t="str">
            <v>Isle of Man</v>
          </cell>
        </row>
        <row r="40">
          <cell r="A40" t="str">
            <v>Trinidad &amp; Tobago</v>
          </cell>
        </row>
        <row r="41">
          <cell r="A41" t="str">
            <v>Mongolia</v>
          </cell>
        </row>
        <row r="42">
          <cell r="A42" t="str">
            <v>Latvia</v>
          </cell>
          <cell r="B42">
            <v>0.45</v>
          </cell>
          <cell r="C42">
            <v>0.55000000000000004</v>
          </cell>
        </row>
        <row r="43">
          <cell r="A43" t="str">
            <v>Luxembourg</v>
          </cell>
        </row>
        <row r="44">
          <cell r="A44" t="str">
            <v>Philippines</v>
          </cell>
          <cell r="B44">
            <v>0.4</v>
          </cell>
          <cell r="C44">
            <v>0.6</v>
          </cell>
        </row>
        <row r="45">
          <cell r="A45" t="str">
            <v>Moldova</v>
          </cell>
        </row>
        <row r="46">
          <cell r="A46" t="str">
            <v>Australia</v>
          </cell>
          <cell r="B46">
            <v>0.47</v>
          </cell>
          <cell r="C46">
            <v>0.53</v>
          </cell>
        </row>
        <row r="47">
          <cell r="A47" t="str">
            <v>Netherlands</v>
          </cell>
          <cell r="B47">
            <v>0.42</v>
          </cell>
          <cell r="C47">
            <v>0.57999999999999996</v>
          </cell>
        </row>
        <row r="48">
          <cell r="A48" t="str">
            <v>Switzerland</v>
          </cell>
          <cell r="B48">
            <v>0.38</v>
          </cell>
          <cell r="C48">
            <v>0.62</v>
          </cell>
        </row>
        <row r="49">
          <cell r="A49" t="str">
            <v>North Macedonia</v>
          </cell>
        </row>
        <row r="50">
          <cell r="A50" t="str">
            <v>United Kingdom</v>
          </cell>
          <cell r="B50">
            <v>0.38</v>
          </cell>
          <cell r="C50">
            <v>0.62</v>
          </cell>
        </row>
        <row r="51">
          <cell r="A51" t="str">
            <v>Myanmar (Burma)</v>
          </cell>
        </row>
        <row r="52">
          <cell r="A52" t="str">
            <v>Germany</v>
          </cell>
          <cell r="B52">
            <v>0.34</v>
          </cell>
          <cell r="C52">
            <v>0.66</v>
          </cell>
        </row>
        <row r="53">
          <cell r="A53" t="str">
            <v>United States</v>
          </cell>
          <cell r="B53">
            <v>0.44</v>
          </cell>
          <cell r="C53">
            <v>0.56000000000000005</v>
          </cell>
        </row>
        <row r="54">
          <cell r="A54" t="str">
            <v>Laos</v>
          </cell>
        </row>
        <row r="55">
          <cell r="A55" t="str">
            <v>Barbados</v>
          </cell>
        </row>
        <row r="56">
          <cell r="A56" t="str">
            <v>Belize</v>
          </cell>
        </row>
        <row r="57">
          <cell r="A57" t="str">
            <v>Cambodia</v>
          </cell>
        </row>
        <row r="58">
          <cell r="A58" t="str">
            <v>Mauritius</v>
          </cell>
        </row>
        <row r="59">
          <cell r="A59" t="str">
            <v>Guam</v>
          </cell>
        </row>
        <row r="60">
          <cell r="A60" t="str">
            <v>Andorra</v>
          </cell>
        </row>
        <row r="61">
          <cell r="A61" t="str">
            <v>Denmark</v>
          </cell>
          <cell r="B61">
            <v>0.52</v>
          </cell>
          <cell r="C61">
            <v>0.48</v>
          </cell>
        </row>
        <row r="62">
          <cell r="A62" t="str">
            <v>Jamaica</v>
          </cell>
        </row>
        <row r="63">
          <cell r="A63" t="str">
            <v>Maldives</v>
          </cell>
        </row>
        <row r="64">
          <cell r="A64" t="str">
            <v>Bulgaria</v>
          </cell>
          <cell r="B64">
            <v>0.48</v>
          </cell>
          <cell r="C64">
            <v>0.52</v>
          </cell>
        </row>
        <row r="65">
          <cell r="A65" t="str">
            <v>U.S. Virgin Islands</v>
          </cell>
        </row>
        <row r="66">
          <cell r="A66" t="str">
            <v>Sri Lanka</v>
          </cell>
          <cell r="B66">
            <v>0.56000000000000005</v>
          </cell>
          <cell r="C66">
            <v>0.44</v>
          </cell>
        </row>
        <row r="67">
          <cell r="A67" t="str">
            <v>Austria</v>
          </cell>
          <cell r="B67">
            <v>0.35</v>
          </cell>
          <cell r="C67">
            <v>0.65</v>
          </cell>
        </row>
        <row r="68">
          <cell r="A68" t="str">
            <v>Portugal</v>
          </cell>
          <cell r="B68">
            <v>0.46</v>
          </cell>
          <cell r="C68">
            <v>0.54</v>
          </cell>
        </row>
        <row r="69">
          <cell r="A69" t="str">
            <v>Solomon Islands</v>
          </cell>
        </row>
        <row r="70">
          <cell r="A70" t="str">
            <v>Liechtenstein</v>
          </cell>
        </row>
        <row r="71">
          <cell r="A71" t="str">
            <v>Guyana</v>
          </cell>
        </row>
        <row r="72">
          <cell r="A72" t="str">
            <v>Bhutan</v>
          </cell>
        </row>
        <row r="73">
          <cell r="A73" t="str">
            <v>Belgium</v>
          </cell>
          <cell r="B73">
            <v>0.41</v>
          </cell>
          <cell r="C73">
            <v>0.59</v>
          </cell>
        </row>
        <row r="74">
          <cell r="A74" t="str">
            <v>Taiwan</v>
          </cell>
          <cell r="B74">
            <v>0.46</v>
          </cell>
          <cell r="C74">
            <v>0.54</v>
          </cell>
        </row>
        <row r="75">
          <cell r="A75" t="str">
            <v>Serbia</v>
          </cell>
          <cell r="B75">
            <v>0.57999999999999996</v>
          </cell>
          <cell r="C75">
            <v>0.42</v>
          </cell>
        </row>
        <row r="76">
          <cell r="A76" t="str">
            <v>Kyrgyzstan</v>
          </cell>
        </row>
        <row r="77">
          <cell r="A77" t="str">
            <v>Cyprus</v>
          </cell>
        </row>
        <row r="78">
          <cell r="A78" t="str">
            <v>India</v>
          </cell>
          <cell r="B78">
            <v>0.52</v>
          </cell>
          <cell r="C78">
            <v>0.48</v>
          </cell>
        </row>
        <row r="79">
          <cell r="A79" t="str">
            <v>Fiji</v>
          </cell>
        </row>
        <row r="80">
          <cell r="A80" t="str">
            <v>Spain</v>
          </cell>
          <cell r="B80">
            <v>0.3</v>
          </cell>
          <cell r="C80">
            <v>0.7</v>
          </cell>
        </row>
        <row r="81">
          <cell r="A81" t="str">
            <v>Tunisia</v>
          </cell>
          <cell r="B81">
            <v>0.41</v>
          </cell>
          <cell r="C81">
            <v>0.59</v>
          </cell>
        </row>
        <row r="82">
          <cell r="A82" t="str">
            <v>Monaco</v>
          </cell>
        </row>
        <row r="83">
          <cell r="A83" t="str">
            <v>Uruguay</v>
          </cell>
        </row>
        <row r="84">
          <cell r="A84" t="str">
            <v>St. Lucia</v>
          </cell>
        </row>
        <row r="85">
          <cell r="A85" t="str">
            <v>Vanuatu</v>
          </cell>
        </row>
        <row r="86">
          <cell r="A86" t="str">
            <v>Vietnam</v>
          </cell>
          <cell r="B86">
            <v>0.67</v>
          </cell>
          <cell r="C86">
            <v>0.33</v>
          </cell>
        </row>
        <row r="87">
          <cell r="A87" t="str">
            <v>Botswana</v>
          </cell>
        </row>
        <row r="88">
          <cell r="A88" t="str">
            <v>Tajikistan</v>
          </cell>
        </row>
        <row r="89">
          <cell r="A89" t="str">
            <v>CuraÃ§ao</v>
          </cell>
        </row>
        <row r="90">
          <cell r="A90" t="str">
            <v>French Polynesia</v>
          </cell>
        </row>
        <row r="91">
          <cell r="A91" t="str">
            <v>Romania</v>
          </cell>
          <cell r="B91">
            <v>0.49</v>
          </cell>
          <cell r="C91">
            <v>0.51</v>
          </cell>
        </row>
        <row r="92">
          <cell r="A92" t="str">
            <v>Faroe Islands</v>
          </cell>
        </row>
        <row r="93">
          <cell r="A93" t="str">
            <v>Dominica</v>
          </cell>
        </row>
        <row r="94">
          <cell r="A94" t="str">
            <v>Slovenia</v>
          </cell>
        </row>
        <row r="95">
          <cell r="A95" t="str">
            <v>Brunei</v>
          </cell>
        </row>
        <row r="96">
          <cell r="A96" t="str">
            <v>Macao</v>
          </cell>
        </row>
        <row r="97">
          <cell r="A97" t="str">
            <v>Croatia</v>
          </cell>
          <cell r="B97">
            <v>0.52</v>
          </cell>
          <cell r="C97">
            <v>0.48</v>
          </cell>
        </row>
        <row r="98">
          <cell r="A98" t="str">
            <v>Cayman Islands</v>
          </cell>
        </row>
        <row r="99">
          <cell r="A99" t="str">
            <v>South Africa</v>
          </cell>
          <cell r="B99">
            <v>0.41</v>
          </cell>
          <cell r="C99">
            <v>0.59</v>
          </cell>
        </row>
        <row r="100">
          <cell r="A100" t="str">
            <v>Bosnia &amp; Herzegovina</v>
          </cell>
        </row>
        <row r="101">
          <cell r="A101" t="str">
            <v>Lebanon</v>
          </cell>
        </row>
        <row r="102">
          <cell r="A102" t="str">
            <v>Antigua &amp; Barbuda</v>
          </cell>
        </row>
        <row r="103">
          <cell r="A103" t="str">
            <v>Namibia</v>
          </cell>
        </row>
        <row r="104">
          <cell r="A104" t="str">
            <v>United Arab Emirates</v>
          </cell>
          <cell r="B104">
            <v>0.34</v>
          </cell>
          <cell r="C104">
            <v>0.66</v>
          </cell>
        </row>
        <row r="105">
          <cell r="A105" t="str">
            <v>Malawi</v>
          </cell>
        </row>
        <row r="106">
          <cell r="A106" t="str">
            <v>Pakistan</v>
          </cell>
          <cell r="B106">
            <v>0.45</v>
          </cell>
          <cell r="C106">
            <v>0.55000000000000004</v>
          </cell>
        </row>
        <row r="107">
          <cell r="A107" t="str">
            <v>Eswatini</v>
          </cell>
        </row>
        <row r="108">
          <cell r="A108" t="str">
            <v>Thailand</v>
          </cell>
          <cell r="B108">
            <v>0.39</v>
          </cell>
          <cell r="C108">
            <v>0.61</v>
          </cell>
        </row>
        <row r="109">
          <cell r="A109" t="str">
            <v>New Caledonia</v>
          </cell>
        </row>
        <row r="110">
          <cell r="A110" t="str">
            <v>Slovakia</v>
          </cell>
          <cell r="B110">
            <v>0.54</v>
          </cell>
          <cell r="C110">
            <v>0.46</v>
          </cell>
        </row>
        <row r="111">
          <cell r="A111" t="str">
            <v>France</v>
          </cell>
          <cell r="B111">
            <v>0.42</v>
          </cell>
          <cell r="C111">
            <v>0.57999999999999996</v>
          </cell>
        </row>
        <row r="112">
          <cell r="A112" t="str">
            <v>Aruba</v>
          </cell>
        </row>
        <row r="113">
          <cell r="A113" t="str">
            <v>Costa Rica</v>
          </cell>
        </row>
        <row r="114">
          <cell r="A114" t="str">
            <v>Malaysia</v>
          </cell>
          <cell r="B114">
            <v>0.41</v>
          </cell>
          <cell r="C114">
            <v>0.59</v>
          </cell>
        </row>
        <row r="115">
          <cell r="A115" t="str">
            <v>Brazil</v>
          </cell>
          <cell r="B115">
            <v>0.32</v>
          </cell>
          <cell r="C115">
            <v>0.68</v>
          </cell>
        </row>
        <row r="116">
          <cell r="A116" t="str">
            <v>Hungary</v>
          </cell>
          <cell r="B116">
            <v>0.4</v>
          </cell>
          <cell r="C116">
            <v>0.6</v>
          </cell>
        </row>
        <row r="117">
          <cell r="A117" t="str">
            <v>Zimbabwe</v>
          </cell>
        </row>
        <row r="118">
          <cell r="A118" t="str">
            <v>Poland</v>
          </cell>
          <cell r="B118">
            <v>0.53</v>
          </cell>
          <cell r="C118">
            <v>0.47</v>
          </cell>
        </row>
        <row r="119">
          <cell r="A119" t="str">
            <v>Italy</v>
          </cell>
          <cell r="B119">
            <v>0.24</v>
          </cell>
          <cell r="C119">
            <v>0.76</v>
          </cell>
        </row>
        <row r="120">
          <cell r="A120" t="str">
            <v>Peru</v>
          </cell>
          <cell r="B120">
            <v>0.22</v>
          </cell>
          <cell r="C120">
            <v>0.78</v>
          </cell>
        </row>
        <row r="121">
          <cell r="A121" t="str">
            <v>Palestine</v>
          </cell>
        </row>
        <row r="122">
          <cell r="A122" t="str">
            <v>Benin</v>
          </cell>
        </row>
        <row r="123">
          <cell r="A123" t="str">
            <v>Togo</v>
          </cell>
        </row>
        <row r="124">
          <cell r="A124" t="str">
            <v>French Guiana</v>
          </cell>
        </row>
        <row r="125">
          <cell r="A125" t="str">
            <v>Bahamas</v>
          </cell>
        </row>
        <row r="126">
          <cell r="A126" t="str">
            <v>El Salvador</v>
          </cell>
        </row>
        <row r="127">
          <cell r="A127" t="str">
            <v>Rwanda</v>
          </cell>
        </row>
        <row r="128">
          <cell r="A128" t="str">
            <v>Nicaragua</v>
          </cell>
        </row>
        <row r="129">
          <cell r="A129" t="str">
            <v>Greece</v>
          </cell>
          <cell r="B129">
            <v>0.42</v>
          </cell>
          <cell r="C129">
            <v>0.57999999999999996</v>
          </cell>
        </row>
        <row r="130">
          <cell r="A130" t="str">
            <v>Ghana</v>
          </cell>
        </row>
        <row r="131">
          <cell r="A131" t="str">
            <v>Djibouti</v>
          </cell>
        </row>
        <row r="132">
          <cell r="A132" t="str">
            <v>Kosovo</v>
          </cell>
        </row>
        <row r="133">
          <cell r="A133" t="str">
            <v>Suriname</v>
          </cell>
        </row>
        <row r="134">
          <cell r="A134" t="str">
            <v>Haiti</v>
          </cell>
        </row>
        <row r="135">
          <cell r="A135" t="str">
            <v>Cameroon</v>
          </cell>
        </row>
        <row r="136">
          <cell r="A136" t="str">
            <v>Mexico</v>
          </cell>
          <cell r="B136">
            <v>0.31</v>
          </cell>
          <cell r="C136">
            <v>0.69</v>
          </cell>
        </row>
        <row r="137">
          <cell r="A137" t="str">
            <v>Panama</v>
          </cell>
        </row>
        <row r="138">
          <cell r="A138" t="str">
            <v>Honduras</v>
          </cell>
        </row>
        <row r="139">
          <cell r="A139" t="str">
            <v>Puerto Rico</v>
          </cell>
        </row>
        <row r="140">
          <cell r="A140" t="str">
            <v>Albania</v>
          </cell>
        </row>
        <row r="141">
          <cell r="A141" t="str">
            <v>CÃ´te dâ€™Ivoire</v>
          </cell>
        </row>
        <row r="142">
          <cell r="A142" t="str">
            <v>Chile</v>
          </cell>
          <cell r="B142">
            <v>0.38</v>
          </cell>
          <cell r="C142">
            <v>0.62</v>
          </cell>
        </row>
        <row r="143">
          <cell r="A143" t="str">
            <v>Congo - Brazzaville</v>
          </cell>
        </row>
        <row r="144">
          <cell r="A144" t="str">
            <v>Montenegro</v>
          </cell>
        </row>
        <row r="145">
          <cell r="A145" t="str">
            <v>Senegal</v>
          </cell>
        </row>
        <row r="146">
          <cell r="A146" t="str">
            <v>Argentina</v>
          </cell>
          <cell r="B146">
            <v>0.43</v>
          </cell>
          <cell r="C146">
            <v>0.56999999999999995</v>
          </cell>
        </row>
        <row r="147">
          <cell r="A147" t="str">
            <v>Colombia</v>
          </cell>
          <cell r="B147">
            <v>0.35</v>
          </cell>
          <cell r="C147">
            <v>0.65</v>
          </cell>
        </row>
        <row r="148">
          <cell r="A148" t="str">
            <v>Guadeloupe</v>
          </cell>
        </row>
        <row r="149">
          <cell r="A149" t="str">
            <v>Uganda</v>
          </cell>
        </row>
        <row r="150">
          <cell r="A150" t="str">
            <v>Cape Verde</v>
          </cell>
        </row>
        <row r="151">
          <cell r="A151" t="str">
            <v>Mayotte</v>
          </cell>
        </row>
        <row r="152">
          <cell r="A152" t="str">
            <v>Angola</v>
          </cell>
        </row>
        <row r="153">
          <cell r="A153" t="str">
            <v>Bolivia</v>
          </cell>
        </row>
        <row r="154">
          <cell r="A154" t="str">
            <v>Bahrain</v>
          </cell>
        </row>
        <row r="155">
          <cell r="A155" t="str">
            <v>Guatemala</v>
          </cell>
        </row>
        <row r="156">
          <cell r="A156" t="str">
            <v>Kenya</v>
          </cell>
        </row>
        <row r="157">
          <cell r="A157" t="str">
            <v>RÃ©union</v>
          </cell>
        </row>
        <row r="158">
          <cell r="A158" t="str">
            <v>Ethiopia</v>
          </cell>
        </row>
        <row r="159">
          <cell r="A159" t="str">
            <v>Zambia</v>
          </cell>
        </row>
        <row r="160">
          <cell r="A160" t="str">
            <v>Indonesia</v>
          </cell>
          <cell r="B160">
            <v>0.38</v>
          </cell>
          <cell r="C160">
            <v>0.62</v>
          </cell>
        </row>
        <row r="161">
          <cell r="A161" t="str">
            <v>Qatar</v>
          </cell>
        </row>
        <row r="162">
          <cell r="A162" t="str">
            <v>Dominican Republic</v>
          </cell>
        </row>
        <row r="163">
          <cell r="A163" t="str">
            <v>Afghanistan</v>
          </cell>
        </row>
        <row r="164">
          <cell r="A164" t="str">
            <v>Bangladesh</v>
          </cell>
          <cell r="B164">
            <v>0.48</v>
          </cell>
          <cell r="C164">
            <v>0.52</v>
          </cell>
        </row>
        <row r="165">
          <cell r="A165" t="str">
            <v>Nigeria</v>
          </cell>
          <cell r="B165">
            <v>0.5</v>
          </cell>
          <cell r="C165">
            <v>0.5</v>
          </cell>
        </row>
        <row r="166">
          <cell r="A166" t="str">
            <v>Ecuador</v>
          </cell>
        </row>
        <row r="167">
          <cell r="A167" t="str">
            <v>Georgia</v>
          </cell>
        </row>
        <row r="168">
          <cell r="A168" t="str">
            <v>Paraguay</v>
          </cell>
        </row>
        <row r="169">
          <cell r="A169" t="str">
            <v>Iran</v>
          </cell>
          <cell r="B169">
            <v>0.38</v>
          </cell>
          <cell r="C169">
            <v>0.62</v>
          </cell>
        </row>
        <row r="170">
          <cell r="A170" t="str">
            <v>Martinique</v>
          </cell>
        </row>
        <row r="171">
          <cell r="A171" t="str">
            <v>Morocco</v>
          </cell>
          <cell r="B171">
            <v>0.4</v>
          </cell>
          <cell r="C171">
            <v>0.6</v>
          </cell>
        </row>
        <row r="172">
          <cell r="A172" t="str">
            <v>Gabon</v>
          </cell>
        </row>
        <row r="173">
          <cell r="A173" t="str">
            <v>Venezuela</v>
          </cell>
          <cell r="B173">
            <v>0.32</v>
          </cell>
          <cell r="C173">
            <v>0.68</v>
          </cell>
        </row>
        <row r="174">
          <cell r="A174" t="str">
            <v>Lesotho</v>
          </cell>
        </row>
        <row r="175">
          <cell r="A175" t="str">
            <v>Azerbaijan</v>
          </cell>
        </row>
        <row r="176">
          <cell r="A176" t="str">
            <v>Mozambique</v>
          </cell>
        </row>
        <row r="177">
          <cell r="A177" t="str">
            <v>Mauritania</v>
          </cell>
        </row>
        <row r="178">
          <cell r="A178" t="str">
            <v>Jordan</v>
          </cell>
        </row>
        <row r="179">
          <cell r="A179" t="str">
            <v>Algeria</v>
          </cell>
        </row>
        <row r="180">
          <cell r="A180" t="str">
            <v>Papua New Guinea</v>
          </cell>
        </row>
        <row r="181">
          <cell r="A181" t="str">
            <v>Niger</v>
          </cell>
        </row>
        <row r="182">
          <cell r="A182" t="str">
            <v>Kuwait</v>
          </cell>
        </row>
        <row r="183">
          <cell r="A183" t="str">
            <v>Congo - Kinshasa</v>
          </cell>
        </row>
        <row r="184">
          <cell r="A184" t="str">
            <v>Mali</v>
          </cell>
        </row>
        <row r="185">
          <cell r="A185" t="str">
            <v>Tanzania</v>
          </cell>
        </row>
        <row r="186">
          <cell r="A186" t="str">
            <v>Somalia</v>
          </cell>
        </row>
        <row r="187">
          <cell r="A187" t="str">
            <v>Egypt</v>
          </cell>
          <cell r="B187">
            <v>0.48</v>
          </cell>
          <cell r="C187">
            <v>0.52</v>
          </cell>
        </row>
        <row r="188">
          <cell r="A188" t="str">
            <v>Oman</v>
          </cell>
        </row>
        <row r="189">
          <cell r="A189" t="str">
            <v>St. BarthÃ©lemy</v>
          </cell>
        </row>
        <row r="190">
          <cell r="A190" t="str">
            <v>Libya</v>
          </cell>
        </row>
        <row r="191">
          <cell r="A191" t="str">
            <v>Turkey</v>
          </cell>
          <cell r="B191">
            <v>0.49</v>
          </cell>
          <cell r="C191">
            <v>0.51</v>
          </cell>
        </row>
        <row r="192">
          <cell r="A192" t="str">
            <v>Saudi Arabia</v>
          </cell>
          <cell r="B192">
            <v>0.34</v>
          </cell>
          <cell r="C192">
            <v>0.66</v>
          </cell>
        </row>
        <row r="193">
          <cell r="A193" t="str">
            <v>Syria</v>
          </cell>
        </row>
        <row r="194">
          <cell r="A194" t="str">
            <v>Burkina Faso</v>
          </cell>
        </row>
        <row r="195">
          <cell r="A195" t="str">
            <v>Yemen</v>
          </cell>
        </row>
        <row r="196">
          <cell r="A196" t="str">
            <v>Guinea</v>
          </cell>
        </row>
        <row r="197">
          <cell r="A197" t="str">
            <v>Sudan</v>
          </cell>
        </row>
        <row r="198">
          <cell r="A198" t="str">
            <v>Iraq</v>
          </cell>
        </row>
        <row r="199">
          <cell r="A199" t="str">
            <v>North Korea</v>
          </cell>
        </row>
        <row r="200">
          <cell r="A200" t="str">
            <v>Comoros</v>
          </cell>
        </row>
        <row r="201">
          <cell r="A201" t="str">
            <v>St. Vincent &amp; Grenadines</v>
          </cell>
        </row>
        <row r="202">
          <cell r="A202" t="str">
            <v>Cook Islands</v>
          </cell>
        </row>
        <row r="203">
          <cell r="A203" t="str">
            <v>Samoa</v>
          </cell>
        </row>
        <row r="204">
          <cell r="A204" t="str">
            <v>Turks &amp; Caicos Islands</v>
          </cell>
        </row>
        <row r="205">
          <cell r="A205" t="str">
            <v>Northern Mariana Islands</v>
          </cell>
        </row>
        <row r="206">
          <cell r="A206" t="str">
            <v>Sint Maarten</v>
          </cell>
        </row>
        <row r="207">
          <cell r="A207" t="str">
            <v>Gambia</v>
          </cell>
        </row>
        <row r="208">
          <cell r="A208" t="str">
            <v>British Virgin Islands</v>
          </cell>
        </row>
        <row r="209">
          <cell r="A209" t="str">
            <v>Liberia</v>
          </cell>
        </row>
        <row r="210">
          <cell r="A210" t="str">
            <v>St. Kitts &amp; Nevis</v>
          </cell>
        </row>
        <row r="211">
          <cell r="A211" t="str">
            <v>Greenland</v>
          </cell>
        </row>
        <row r="212">
          <cell r="A212" t="str">
            <v>South Sudan</v>
          </cell>
        </row>
        <row r="213">
          <cell r="A213" t="str">
            <v>Seychelles</v>
          </cell>
        </row>
        <row r="214">
          <cell r="A214" t="str">
            <v>Sierra Leone</v>
          </cell>
        </row>
        <row r="215">
          <cell r="A215" t="str">
            <v>Timor-Leste</v>
          </cell>
        </row>
        <row r="216">
          <cell r="A216" t="str">
            <v>Burundi</v>
          </cell>
        </row>
        <row r="217">
          <cell r="A217" t="str">
            <v>Anguilla</v>
          </cell>
        </row>
        <row r="218">
          <cell r="A218" t="str">
            <v>American Samoa</v>
          </cell>
        </row>
        <row r="219">
          <cell r="A219" t="str">
            <v>Antarctica</v>
          </cell>
        </row>
        <row r="220">
          <cell r="A220" t="str">
            <v>French Southern Territories</v>
          </cell>
        </row>
        <row r="221">
          <cell r="A221" t="str">
            <v>Bouvet Island</v>
          </cell>
        </row>
        <row r="222">
          <cell r="A222" t="str">
            <v>Central African Republic</v>
          </cell>
        </row>
        <row r="223">
          <cell r="A223" t="str">
            <v>Cocos (Keeling) Islands</v>
          </cell>
        </row>
        <row r="224">
          <cell r="A224" t="str">
            <v>Christmas Island</v>
          </cell>
        </row>
        <row r="225">
          <cell r="A225" t="str">
            <v>Eritrea</v>
          </cell>
        </row>
        <row r="226">
          <cell r="A226" t="str">
            <v>Western Sahara</v>
          </cell>
        </row>
        <row r="227">
          <cell r="A227" t="str">
            <v>Falkland Islands (Islas Malvinas)</v>
          </cell>
        </row>
        <row r="228">
          <cell r="A228" t="str">
            <v>Micronesia</v>
          </cell>
        </row>
        <row r="229">
          <cell r="A229" t="str">
            <v>Guinea-Bissau</v>
          </cell>
        </row>
        <row r="230">
          <cell r="A230" t="str">
            <v>Equatorial Guinea</v>
          </cell>
        </row>
        <row r="231">
          <cell r="A231" t="str">
            <v>Heard &amp; McDonald Islands</v>
          </cell>
        </row>
        <row r="232">
          <cell r="A232" t="str">
            <v>British Indian Ocean Territory</v>
          </cell>
        </row>
        <row r="233">
          <cell r="A233" t="str">
            <v>Kiribati</v>
          </cell>
        </row>
        <row r="234">
          <cell r="A234" t="str">
            <v>St. Martin</v>
          </cell>
        </row>
        <row r="235">
          <cell r="A235" t="str">
            <v>Marshall Islands</v>
          </cell>
        </row>
        <row r="236">
          <cell r="A236" t="str">
            <v>Montserrat</v>
          </cell>
        </row>
        <row r="237">
          <cell r="A237" t="str">
            <v>Norfolk Island</v>
          </cell>
        </row>
        <row r="238">
          <cell r="A238" t="str">
            <v>Niue</v>
          </cell>
        </row>
        <row r="239">
          <cell r="A239" t="str">
            <v>Nauru</v>
          </cell>
        </row>
        <row r="240">
          <cell r="A240" t="str">
            <v>Pitcairn Islands</v>
          </cell>
        </row>
        <row r="241">
          <cell r="A241" t="str">
            <v>Palau</v>
          </cell>
        </row>
        <row r="242">
          <cell r="A242" t="str">
            <v>South Georgia &amp; South Sandwich Islands</v>
          </cell>
        </row>
        <row r="243">
          <cell r="A243" t="str">
            <v>Svalbard &amp; Jan Mayen</v>
          </cell>
        </row>
        <row r="244">
          <cell r="A244" t="str">
            <v>San Marino</v>
          </cell>
        </row>
        <row r="245">
          <cell r="A245" t="str">
            <v>St. Pierre &amp; Miquelon</v>
          </cell>
        </row>
        <row r="246">
          <cell r="A246" t="str">
            <v>SÃ£o TomÃ© &amp; PrÃ­ncipe</v>
          </cell>
        </row>
        <row r="247">
          <cell r="A247" t="str">
            <v>Chad</v>
          </cell>
        </row>
        <row r="248">
          <cell r="A248" t="str">
            <v>Tokelau</v>
          </cell>
        </row>
        <row r="249">
          <cell r="A249" t="str">
            <v>Tonga</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1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9)"/>
    </sheetNames>
    <sheetDataSet>
      <sheetData sheetId="0">
        <row r="1">
          <cell r="A1" t="str">
            <v>Kategori: TÃ¼m kategoriler</v>
          </cell>
        </row>
        <row r="3">
          <cell r="A3" t="str">
            <v>Ãœlke</v>
          </cell>
          <cell r="B3" t="str">
            <v>Ä°ÅŸlemci Ã¶nbelleÄŸi: (2017)</v>
          </cell>
          <cell r="C3" t="str">
            <v>HTTP: (2017)</v>
          </cell>
        </row>
        <row r="4">
          <cell r="A4" t="str">
            <v>China</v>
          </cell>
          <cell r="B4">
            <v>0.42</v>
          </cell>
          <cell r="C4">
            <v>0.57999999999999996</v>
          </cell>
        </row>
        <row r="5">
          <cell r="A5" t="str">
            <v>Cuba</v>
          </cell>
        </row>
        <row r="6">
          <cell r="A6" t="str">
            <v>Singapore</v>
          </cell>
          <cell r="B6">
            <v>0.33</v>
          </cell>
          <cell r="C6">
            <v>0.67</v>
          </cell>
        </row>
        <row r="7">
          <cell r="A7" t="str">
            <v>Papua New Guinea</v>
          </cell>
        </row>
        <row r="8">
          <cell r="A8" t="str">
            <v>Ã…land Islands</v>
          </cell>
        </row>
        <row r="9">
          <cell r="A9" t="str">
            <v>South Korea</v>
          </cell>
          <cell r="B9">
            <v>0.38</v>
          </cell>
          <cell r="C9">
            <v>0.62</v>
          </cell>
        </row>
        <row r="10">
          <cell r="A10" t="str">
            <v>Gibraltar</v>
          </cell>
        </row>
        <row r="11">
          <cell r="A11" t="str">
            <v>Belarus</v>
          </cell>
          <cell r="B11">
            <v>0.67</v>
          </cell>
          <cell r="C11">
            <v>0.33</v>
          </cell>
        </row>
        <row r="12">
          <cell r="A12" t="str">
            <v>Indonesia</v>
          </cell>
          <cell r="B12">
            <v>0.2</v>
          </cell>
          <cell r="C12">
            <v>0.8</v>
          </cell>
        </row>
        <row r="13">
          <cell r="A13" t="str">
            <v>Vanuatu</v>
          </cell>
        </row>
        <row r="14">
          <cell r="A14" t="str">
            <v>Ethiopia</v>
          </cell>
        </row>
        <row r="15">
          <cell r="A15" t="str">
            <v>Myanmar (Burma)</v>
          </cell>
        </row>
        <row r="16">
          <cell r="A16" t="str">
            <v>Russia</v>
          </cell>
          <cell r="B16">
            <v>0.68</v>
          </cell>
          <cell r="C16">
            <v>0.32</v>
          </cell>
        </row>
        <row r="17">
          <cell r="A17" t="str">
            <v>Malta</v>
          </cell>
        </row>
        <row r="18">
          <cell r="A18" t="str">
            <v>Angola</v>
          </cell>
        </row>
        <row r="19">
          <cell r="A19" t="str">
            <v>Ukraine</v>
          </cell>
          <cell r="B19">
            <v>0.64</v>
          </cell>
          <cell r="C19">
            <v>0.36</v>
          </cell>
        </row>
        <row r="20">
          <cell r="A20" t="str">
            <v>Guernsey</v>
          </cell>
        </row>
        <row r="21">
          <cell r="A21" t="str">
            <v>Botswana</v>
          </cell>
        </row>
        <row r="22">
          <cell r="A22" t="str">
            <v>Kazakhstan</v>
          </cell>
          <cell r="B22">
            <v>0.76</v>
          </cell>
          <cell r="C22">
            <v>0.24</v>
          </cell>
        </row>
        <row r="23">
          <cell r="A23" t="str">
            <v>Liechtenstein</v>
          </cell>
        </row>
        <row r="24">
          <cell r="A24" t="str">
            <v>St. Helena</v>
          </cell>
          <cell r="B24">
            <v>0.46</v>
          </cell>
          <cell r="C24">
            <v>0.54</v>
          </cell>
        </row>
        <row r="25">
          <cell r="A25" t="str">
            <v>Estonia</v>
          </cell>
        </row>
        <row r="26">
          <cell r="A26" t="str">
            <v>Philippines</v>
          </cell>
          <cell r="B26">
            <v>0.43</v>
          </cell>
          <cell r="C26">
            <v>0.56999999999999995</v>
          </cell>
        </row>
        <row r="27">
          <cell r="A27" t="str">
            <v>Israel</v>
          </cell>
          <cell r="B27">
            <v>0.41</v>
          </cell>
          <cell r="C27">
            <v>0.59</v>
          </cell>
        </row>
        <row r="28">
          <cell r="A28" t="str">
            <v>Madagascar</v>
          </cell>
        </row>
        <row r="29">
          <cell r="A29" t="str">
            <v>Japan</v>
          </cell>
          <cell r="B29">
            <v>0.62</v>
          </cell>
          <cell r="C29">
            <v>0.38</v>
          </cell>
        </row>
        <row r="30">
          <cell r="A30" t="str">
            <v>Isle of Man</v>
          </cell>
        </row>
        <row r="31">
          <cell r="A31" t="str">
            <v>Luxembourg</v>
          </cell>
        </row>
        <row r="32">
          <cell r="A32" t="str">
            <v>Togo</v>
          </cell>
        </row>
        <row r="33">
          <cell r="A33" t="str">
            <v>New Zealand</v>
          </cell>
          <cell r="B33">
            <v>0.6</v>
          </cell>
          <cell r="C33">
            <v>0.4</v>
          </cell>
        </row>
        <row r="34">
          <cell r="A34" t="str">
            <v>Ireland</v>
          </cell>
          <cell r="B34">
            <v>0.6</v>
          </cell>
          <cell r="C34">
            <v>0.4</v>
          </cell>
        </row>
        <row r="35">
          <cell r="A35" t="str">
            <v>Iceland</v>
          </cell>
        </row>
        <row r="36">
          <cell r="A36" t="str">
            <v>Canada</v>
          </cell>
          <cell r="B36">
            <v>0.61</v>
          </cell>
          <cell r="C36">
            <v>0.39</v>
          </cell>
        </row>
        <row r="37">
          <cell r="A37" t="str">
            <v>North Macedonia</v>
          </cell>
        </row>
        <row r="38">
          <cell r="A38" t="str">
            <v>Cape Verde</v>
          </cell>
        </row>
        <row r="39">
          <cell r="A39" t="str">
            <v>Moldova</v>
          </cell>
        </row>
        <row r="40">
          <cell r="A40" t="str">
            <v>Latvia</v>
          </cell>
        </row>
        <row r="41">
          <cell r="A41" t="str">
            <v>Uzbekistan</v>
          </cell>
        </row>
        <row r="42">
          <cell r="A42" t="str">
            <v>Mauritius</v>
          </cell>
        </row>
        <row r="43">
          <cell r="A43" t="str">
            <v>Netherlands</v>
          </cell>
          <cell r="B43">
            <v>0.6</v>
          </cell>
          <cell r="C43">
            <v>0.4</v>
          </cell>
        </row>
        <row r="44">
          <cell r="A44" t="str">
            <v>Belize</v>
          </cell>
        </row>
        <row r="45">
          <cell r="A45" t="str">
            <v>Turkmenistan</v>
          </cell>
        </row>
        <row r="46">
          <cell r="A46" t="str">
            <v>Hong Kong</v>
          </cell>
          <cell r="B46">
            <v>0.51</v>
          </cell>
          <cell r="C46">
            <v>0.49</v>
          </cell>
        </row>
        <row r="47">
          <cell r="A47" t="str">
            <v>Caribbean Netherlands</v>
          </cell>
        </row>
        <row r="48">
          <cell r="A48" t="str">
            <v>Australia</v>
          </cell>
          <cell r="B48">
            <v>0.61</v>
          </cell>
          <cell r="C48">
            <v>0.39</v>
          </cell>
        </row>
        <row r="49">
          <cell r="A49" t="str">
            <v>Germany</v>
          </cell>
          <cell r="B49">
            <v>0.49</v>
          </cell>
          <cell r="C49">
            <v>0.51</v>
          </cell>
        </row>
        <row r="50">
          <cell r="A50" t="str">
            <v>United Kingdom</v>
          </cell>
          <cell r="B50">
            <v>0.65</v>
          </cell>
          <cell r="C50">
            <v>0.35</v>
          </cell>
        </row>
        <row r="51">
          <cell r="A51" t="str">
            <v>Switzerland</v>
          </cell>
          <cell r="B51">
            <v>0.51</v>
          </cell>
          <cell r="C51">
            <v>0.49</v>
          </cell>
        </row>
        <row r="52">
          <cell r="A52" t="str">
            <v>India</v>
          </cell>
          <cell r="B52">
            <v>0.41</v>
          </cell>
          <cell r="C52">
            <v>0.59</v>
          </cell>
        </row>
        <row r="53">
          <cell r="A53" t="str">
            <v>Andorra</v>
          </cell>
        </row>
        <row r="54">
          <cell r="A54" t="str">
            <v>Trinidad &amp; Tobago</v>
          </cell>
        </row>
        <row r="55">
          <cell r="A55" t="str">
            <v>Mexico</v>
          </cell>
          <cell r="B55">
            <v>0.34</v>
          </cell>
          <cell r="C55">
            <v>0.66</v>
          </cell>
        </row>
        <row r="56">
          <cell r="A56" t="str">
            <v>Timor-Leste</v>
          </cell>
        </row>
        <row r="57">
          <cell r="A57" t="str">
            <v>Nepal</v>
          </cell>
        </row>
        <row r="58">
          <cell r="A58" t="str">
            <v>Finland</v>
          </cell>
          <cell r="B58">
            <v>0.55000000000000004</v>
          </cell>
          <cell r="C58">
            <v>0.45</v>
          </cell>
        </row>
        <row r="59">
          <cell r="A59" t="str">
            <v>United States</v>
          </cell>
          <cell r="B59">
            <v>0.63</v>
          </cell>
          <cell r="C59">
            <v>0.37</v>
          </cell>
        </row>
        <row r="60">
          <cell r="A60" t="str">
            <v>Solomon Islands</v>
          </cell>
        </row>
        <row r="61">
          <cell r="A61" t="str">
            <v>Cayman Islands</v>
          </cell>
        </row>
        <row r="62">
          <cell r="A62" t="str">
            <v>Barbados</v>
          </cell>
        </row>
        <row r="63">
          <cell r="A63" t="str">
            <v>Sweden</v>
          </cell>
          <cell r="B63">
            <v>0.6</v>
          </cell>
          <cell r="C63">
            <v>0.4</v>
          </cell>
        </row>
        <row r="64">
          <cell r="A64" t="str">
            <v>Lesotho</v>
          </cell>
        </row>
        <row r="65">
          <cell r="A65" t="str">
            <v>CuraÃ§ao</v>
          </cell>
        </row>
        <row r="66">
          <cell r="A66" t="str">
            <v>Dominica</v>
          </cell>
        </row>
        <row r="67">
          <cell r="A67" t="str">
            <v>Macao</v>
          </cell>
        </row>
        <row r="68">
          <cell r="A68" t="str">
            <v>Faroe Islands</v>
          </cell>
        </row>
        <row r="69">
          <cell r="A69" t="str">
            <v>Antigua &amp; Barbuda</v>
          </cell>
        </row>
        <row r="70">
          <cell r="A70" t="str">
            <v>Austria</v>
          </cell>
          <cell r="B70">
            <v>0.49</v>
          </cell>
          <cell r="C70">
            <v>0.51</v>
          </cell>
        </row>
        <row r="71">
          <cell r="A71" t="str">
            <v>Maldives</v>
          </cell>
        </row>
        <row r="72">
          <cell r="A72" t="str">
            <v>Bulgaria</v>
          </cell>
          <cell r="B72">
            <v>0.61</v>
          </cell>
          <cell r="C72">
            <v>0.39</v>
          </cell>
        </row>
        <row r="73">
          <cell r="A73" t="str">
            <v>El Salvador</v>
          </cell>
        </row>
        <row r="74">
          <cell r="A74" t="str">
            <v>Benin</v>
          </cell>
        </row>
        <row r="75">
          <cell r="A75" t="str">
            <v>Cyprus</v>
          </cell>
        </row>
        <row r="76">
          <cell r="A76" t="str">
            <v>Czechia</v>
          </cell>
          <cell r="B76">
            <v>0.51</v>
          </cell>
          <cell r="C76">
            <v>0.49</v>
          </cell>
        </row>
        <row r="77">
          <cell r="A77" t="str">
            <v>Guyana</v>
          </cell>
        </row>
        <row r="78">
          <cell r="A78" t="str">
            <v>Jamaica</v>
          </cell>
        </row>
        <row r="79">
          <cell r="A79" t="str">
            <v>Bermuda</v>
          </cell>
        </row>
        <row r="80">
          <cell r="A80" t="str">
            <v>Jersey</v>
          </cell>
        </row>
        <row r="81">
          <cell r="A81" t="str">
            <v>Portugal</v>
          </cell>
          <cell r="B81">
            <v>0.53</v>
          </cell>
          <cell r="C81">
            <v>0.47</v>
          </cell>
        </row>
        <row r="82">
          <cell r="A82" t="str">
            <v>Burundi</v>
          </cell>
        </row>
        <row r="83">
          <cell r="A83" t="str">
            <v>Rwanda</v>
          </cell>
        </row>
        <row r="84">
          <cell r="A84" t="str">
            <v>Aruba</v>
          </cell>
        </row>
        <row r="85">
          <cell r="A85" t="str">
            <v>Taiwan</v>
          </cell>
          <cell r="B85">
            <v>0.5</v>
          </cell>
          <cell r="C85">
            <v>0.5</v>
          </cell>
        </row>
        <row r="86">
          <cell r="A86" t="str">
            <v>Kyrgyzstan</v>
          </cell>
        </row>
        <row r="87">
          <cell r="A87" t="str">
            <v>Armenia</v>
          </cell>
        </row>
        <row r="88">
          <cell r="A88" t="str">
            <v>St. Vincent &amp; Grenadines</v>
          </cell>
        </row>
        <row r="89">
          <cell r="A89" t="str">
            <v>Denmark</v>
          </cell>
          <cell r="B89">
            <v>0.56000000000000005</v>
          </cell>
          <cell r="C89">
            <v>0.44</v>
          </cell>
        </row>
        <row r="90">
          <cell r="A90" t="str">
            <v>Norway</v>
          </cell>
          <cell r="B90">
            <v>0.54</v>
          </cell>
          <cell r="C90">
            <v>0.46</v>
          </cell>
        </row>
        <row r="91">
          <cell r="A91" t="str">
            <v>Belgium</v>
          </cell>
          <cell r="B91">
            <v>0.6</v>
          </cell>
          <cell r="C91">
            <v>0.4</v>
          </cell>
        </row>
        <row r="92">
          <cell r="A92" t="str">
            <v>Lithuania</v>
          </cell>
        </row>
        <row r="93">
          <cell r="A93" t="str">
            <v>Bangladesh</v>
          </cell>
          <cell r="B93">
            <v>0.35</v>
          </cell>
          <cell r="C93">
            <v>0.65</v>
          </cell>
        </row>
        <row r="94">
          <cell r="A94" t="str">
            <v>Sri Lanka</v>
          </cell>
          <cell r="B94">
            <v>0.46</v>
          </cell>
          <cell r="C94">
            <v>0.54</v>
          </cell>
        </row>
        <row r="95">
          <cell r="A95" t="str">
            <v>Laos</v>
          </cell>
        </row>
        <row r="96">
          <cell r="A96" t="str">
            <v>Eswatini</v>
          </cell>
        </row>
        <row r="97">
          <cell r="A97" t="str">
            <v>Tunisia</v>
          </cell>
          <cell r="B97">
            <v>0.54</v>
          </cell>
          <cell r="C97">
            <v>0.46</v>
          </cell>
        </row>
        <row r="98">
          <cell r="A98" t="str">
            <v>Spain</v>
          </cell>
          <cell r="B98">
            <v>0.57999999999999996</v>
          </cell>
          <cell r="C98">
            <v>0.42</v>
          </cell>
        </row>
        <row r="99">
          <cell r="A99" t="str">
            <v>Nicaragua</v>
          </cell>
        </row>
        <row r="100">
          <cell r="A100" t="str">
            <v>Cameroon</v>
          </cell>
        </row>
        <row r="101">
          <cell r="A101" t="str">
            <v>Brunei</v>
          </cell>
        </row>
        <row r="102">
          <cell r="A102" t="str">
            <v>Tajikistan</v>
          </cell>
        </row>
        <row r="103">
          <cell r="A103" t="str">
            <v>Zimbabwe</v>
          </cell>
        </row>
        <row r="104">
          <cell r="A104" t="str">
            <v>Grenada</v>
          </cell>
        </row>
        <row r="105">
          <cell r="A105" t="str">
            <v>Romania</v>
          </cell>
          <cell r="B105">
            <v>0.53</v>
          </cell>
          <cell r="C105">
            <v>0.47</v>
          </cell>
        </row>
        <row r="106">
          <cell r="A106" t="str">
            <v>U.S. Virgin Islands</v>
          </cell>
        </row>
        <row r="107">
          <cell r="A107" t="str">
            <v>Guam</v>
          </cell>
        </row>
        <row r="108">
          <cell r="A108" t="str">
            <v>French Polynesia</v>
          </cell>
        </row>
        <row r="109">
          <cell r="A109" t="str">
            <v>Lebanon</v>
          </cell>
        </row>
        <row r="110">
          <cell r="A110" t="str">
            <v>Malawi</v>
          </cell>
        </row>
        <row r="111">
          <cell r="A111" t="str">
            <v>Fiji</v>
          </cell>
        </row>
        <row r="112">
          <cell r="A112" t="str">
            <v>Costa Rica</v>
          </cell>
        </row>
        <row r="113">
          <cell r="A113" t="str">
            <v>Ecuador</v>
          </cell>
          <cell r="B113">
            <v>0.36</v>
          </cell>
          <cell r="C113">
            <v>0.64</v>
          </cell>
        </row>
        <row r="114">
          <cell r="A114" t="str">
            <v>Greenland</v>
          </cell>
        </row>
        <row r="115">
          <cell r="A115" t="str">
            <v>Bahamas</v>
          </cell>
        </row>
        <row r="116">
          <cell r="A116" t="str">
            <v>Guatemala</v>
          </cell>
        </row>
        <row r="117">
          <cell r="A117" t="str">
            <v>South Africa</v>
          </cell>
          <cell r="B117">
            <v>0.53</v>
          </cell>
          <cell r="C117">
            <v>0.47</v>
          </cell>
        </row>
        <row r="118">
          <cell r="A118" t="str">
            <v>Slovenia</v>
          </cell>
        </row>
        <row r="119">
          <cell r="A119" t="str">
            <v>Namibia</v>
          </cell>
        </row>
        <row r="120">
          <cell r="A120" t="str">
            <v>Malaysia</v>
          </cell>
          <cell r="B120">
            <v>0.5</v>
          </cell>
          <cell r="C120">
            <v>0.5</v>
          </cell>
        </row>
        <row r="121">
          <cell r="A121" t="str">
            <v>Haiti</v>
          </cell>
        </row>
        <row r="122">
          <cell r="A122" t="str">
            <v>Thailand</v>
          </cell>
          <cell r="B122">
            <v>0.67</v>
          </cell>
          <cell r="C122">
            <v>0.33</v>
          </cell>
        </row>
        <row r="123">
          <cell r="A123" t="str">
            <v>Ghana</v>
          </cell>
        </row>
        <row r="124">
          <cell r="A124" t="str">
            <v>Pakistan</v>
          </cell>
          <cell r="B124">
            <v>0.54</v>
          </cell>
          <cell r="C124">
            <v>0.46</v>
          </cell>
        </row>
        <row r="125">
          <cell r="A125" t="str">
            <v>Djibouti</v>
          </cell>
        </row>
        <row r="126">
          <cell r="A126" t="str">
            <v>United Arab Emirates</v>
          </cell>
          <cell r="B126">
            <v>0.55000000000000004</v>
          </cell>
          <cell r="C126">
            <v>0.45</v>
          </cell>
        </row>
        <row r="127">
          <cell r="A127" t="str">
            <v>Uganda</v>
          </cell>
        </row>
        <row r="128">
          <cell r="A128" t="str">
            <v>Kenya</v>
          </cell>
        </row>
        <row r="129">
          <cell r="A129" t="str">
            <v>Brazil</v>
          </cell>
          <cell r="B129">
            <v>0.49</v>
          </cell>
          <cell r="C129">
            <v>0.51</v>
          </cell>
        </row>
        <row r="130">
          <cell r="A130" t="str">
            <v>CÃ´te dâ€™Ivoire</v>
          </cell>
        </row>
        <row r="131">
          <cell r="A131" t="str">
            <v>Congo - Brazzaville</v>
          </cell>
        </row>
        <row r="132">
          <cell r="A132" t="str">
            <v>Bolivia</v>
          </cell>
        </row>
        <row r="133">
          <cell r="A133" t="str">
            <v>France</v>
          </cell>
          <cell r="B133">
            <v>0.55000000000000004</v>
          </cell>
          <cell r="C133">
            <v>0.45</v>
          </cell>
        </row>
        <row r="134">
          <cell r="A134" t="str">
            <v>Monaco</v>
          </cell>
        </row>
        <row r="135">
          <cell r="A135" t="str">
            <v>Liberia</v>
          </cell>
        </row>
        <row r="136">
          <cell r="A136" t="str">
            <v>Peru</v>
          </cell>
          <cell r="B136">
            <v>0.48</v>
          </cell>
          <cell r="C136">
            <v>0.52</v>
          </cell>
        </row>
        <row r="137">
          <cell r="A137" t="str">
            <v>Honduras</v>
          </cell>
        </row>
        <row r="138">
          <cell r="A138" t="str">
            <v>Egypt</v>
          </cell>
          <cell r="B138">
            <v>0.28000000000000003</v>
          </cell>
          <cell r="C138">
            <v>0.72</v>
          </cell>
        </row>
        <row r="139">
          <cell r="A139" t="str">
            <v>Bosnia &amp; Herzegovina</v>
          </cell>
        </row>
        <row r="140">
          <cell r="A140" t="str">
            <v>Tanzania</v>
          </cell>
        </row>
        <row r="141">
          <cell r="A141" t="str">
            <v>Bhutan</v>
          </cell>
        </row>
        <row r="142">
          <cell r="A142" t="str">
            <v>Italy</v>
          </cell>
          <cell r="B142">
            <v>0.63</v>
          </cell>
          <cell r="C142">
            <v>0.37</v>
          </cell>
        </row>
        <row r="143">
          <cell r="A143" t="str">
            <v>Hungary</v>
          </cell>
          <cell r="B143">
            <v>0.5</v>
          </cell>
          <cell r="C143">
            <v>0.5</v>
          </cell>
        </row>
        <row r="144">
          <cell r="A144" t="str">
            <v>Somalia</v>
          </cell>
        </row>
        <row r="145">
          <cell r="A145" t="str">
            <v>Sudan</v>
          </cell>
        </row>
        <row r="146">
          <cell r="A146" t="str">
            <v>Croatia</v>
          </cell>
          <cell r="B146">
            <v>0.55000000000000004</v>
          </cell>
          <cell r="C146">
            <v>0.45</v>
          </cell>
        </row>
        <row r="147">
          <cell r="A147" t="str">
            <v>Slovakia</v>
          </cell>
          <cell r="B147">
            <v>0.49</v>
          </cell>
          <cell r="C147">
            <v>0.51</v>
          </cell>
        </row>
        <row r="148">
          <cell r="A148" t="str">
            <v>Chad</v>
          </cell>
        </row>
        <row r="149">
          <cell r="A149" t="str">
            <v>Uruguay</v>
          </cell>
        </row>
        <row r="150">
          <cell r="A150" t="str">
            <v>Mozambique</v>
          </cell>
        </row>
        <row r="151">
          <cell r="A151" t="str">
            <v>Dominican Republic</v>
          </cell>
        </row>
        <row r="152">
          <cell r="A152" t="str">
            <v>Serbia</v>
          </cell>
          <cell r="B152">
            <v>0.49</v>
          </cell>
          <cell r="C152">
            <v>0.51</v>
          </cell>
        </row>
        <row r="153">
          <cell r="A153" t="str">
            <v>Gambia</v>
          </cell>
        </row>
        <row r="154">
          <cell r="A154" t="str">
            <v>Colombia</v>
          </cell>
          <cell r="B154">
            <v>0.46</v>
          </cell>
          <cell r="C154">
            <v>0.54</v>
          </cell>
        </row>
        <row r="155">
          <cell r="A155" t="str">
            <v>Panama</v>
          </cell>
        </row>
        <row r="156">
          <cell r="A156" t="str">
            <v>Zambia</v>
          </cell>
        </row>
        <row r="157">
          <cell r="A157" t="str">
            <v>Senegal</v>
          </cell>
        </row>
        <row r="158">
          <cell r="A158" t="str">
            <v>Mongolia</v>
          </cell>
        </row>
        <row r="159">
          <cell r="A159" t="str">
            <v>Mali</v>
          </cell>
        </row>
        <row r="160">
          <cell r="A160" t="str">
            <v>Poland</v>
          </cell>
          <cell r="B160">
            <v>0.52</v>
          </cell>
          <cell r="C160">
            <v>0.48</v>
          </cell>
        </row>
        <row r="161">
          <cell r="A161" t="str">
            <v>Niger</v>
          </cell>
        </row>
        <row r="162">
          <cell r="A162" t="str">
            <v>Nigeria</v>
          </cell>
          <cell r="B162">
            <v>0.42</v>
          </cell>
          <cell r="C162">
            <v>0.57999999999999996</v>
          </cell>
        </row>
        <row r="163">
          <cell r="A163" t="str">
            <v>Greece</v>
          </cell>
          <cell r="B163">
            <v>0.65</v>
          </cell>
          <cell r="C163">
            <v>0.35</v>
          </cell>
        </row>
        <row r="164">
          <cell r="A164" t="str">
            <v>Albania</v>
          </cell>
        </row>
        <row r="165">
          <cell r="A165" t="str">
            <v>Montenegro</v>
          </cell>
        </row>
        <row r="166">
          <cell r="A166" t="str">
            <v>New Caledonia</v>
          </cell>
        </row>
        <row r="167">
          <cell r="A167" t="str">
            <v>Burkina Faso</v>
          </cell>
        </row>
        <row r="168">
          <cell r="A168" t="str">
            <v>Guadeloupe</v>
          </cell>
        </row>
        <row r="169">
          <cell r="A169" t="str">
            <v>Paraguay</v>
          </cell>
        </row>
        <row r="170">
          <cell r="A170" t="str">
            <v>RÃ©union</v>
          </cell>
        </row>
        <row r="171">
          <cell r="A171" t="str">
            <v>Argentina</v>
          </cell>
          <cell r="B171">
            <v>0.55000000000000004</v>
          </cell>
          <cell r="C171">
            <v>0.45</v>
          </cell>
        </row>
        <row r="172">
          <cell r="A172" t="str">
            <v>Puerto Rico</v>
          </cell>
        </row>
        <row r="173">
          <cell r="A173" t="str">
            <v>Kosovo</v>
          </cell>
        </row>
        <row r="174">
          <cell r="A174" t="str">
            <v>Cambodia</v>
          </cell>
        </row>
        <row r="175">
          <cell r="A175" t="str">
            <v>Chile</v>
          </cell>
          <cell r="B175">
            <v>0.54</v>
          </cell>
          <cell r="C175">
            <v>0.46</v>
          </cell>
        </row>
        <row r="176">
          <cell r="A176" t="str">
            <v>Bahrain</v>
          </cell>
        </row>
        <row r="177">
          <cell r="A177" t="str">
            <v>St. Lucia</v>
          </cell>
        </row>
        <row r="178">
          <cell r="A178" t="str">
            <v>Suriname</v>
          </cell>
        </row>
        <row r="179">
          <cell r="A179" t="str">
            <v>Sierra Leone</v>
          </cell>
        </row>
        <row r="180">
          <cell r="A180" t="str">
            <v>Morocco</v>
          </cell>
          <cell r="B180">
            <v>0.46</v>
          </cell>
          <cell r="C180">
            <v>0.54</v>
          </cell>
        </row>
        <row r="181">
          <cell r="A181" t="str">
            <v>Qatar</v>
          </cell>
        </row>
        <row r="182">
          <cell r="A182" t="str">
            <v>Afghanistan</v>
          </cell>
        </row>
        <row r="183">
          <cell r="A183" t="str">
            <v>Georgia</v>
          </cell>
        </row>
        <row r="184">
          <cell r="A184" t="str">
            <v>French Guiana</v>
          </cell>
        </row>
        <row r="185">
          <cell r="A185" t="str">
            <v>Gabon</v>
          </cell>
        </row>
        <row r="186">
          <cell r="A186" t="str">
            <v>Martinique</v>
          </cell>
        </row>
        <row r="187">
          <cell r="A187" t="str">
            <v>Congo - Kinshasa</v>
          </cell>
        </row>
        <row r="188">
          <cell r="A188" t="str">
            <v>Oman</v>
          </cell>
        </row>
        <row r="189">
          <cell r="A189" t="str">
            <v>Palestine</v>
          </cell>
        </row>
        <row r="190">
          <cell r="A190" t="str">
            <v>Vietnam</v>
          </cell>
          <cell r="B190">
            <v>0.54</v>
          </cell>
          <cell r="C190">
            <v>0.46</v>
          </cell>
        </row>
        <row r="191">
          <cell r="A191" t="str">
            <v>Iran</v>
          </cell>
          <cell r="B191">
            <v>0.5</v>
          </cell>
          <cell r="C191">
            <v>0.5</v>
          </cell>
        </row>
        <row r="192">
          <cell r="A192" t="str">
            <v>Jordan</v>
          </cell>
        </row>
        <row r="193">
          <cell r="A193" t="str">
            <v>Iraq</v>
          </cell>
        </row>
        <row r="194">
          <cell r="A194" t="str">
            <v>Venezuela</v>
          </cell>
          <cell r="B194">
            <v>0.53</v>
          </cell>
          <cell r="C194">
            <v>0.47</v>
          </cell>
        </row>
        <row r="195">
          <cell r="A195" t="str">
            <v>Azerbaijan</v>
          </cell>
        </row>
        <row r="196">
          <cell r="A196" t="str">
            <v>Guinea</v>
          </cell>
        </row>
        <row r="197">
          <cell r="A197" t="str">
            <v>Mauritania</v>
          </cell>
        </row>
        <row r="198">
          <cell r="A198" t="str">
            <v>Algeria</v>
          </cell>
          <cell r="B198">
            <v>0.48</v>
          </cell>
          <cell r="C198">
            <v>0.52</v>
          </cell>
        </row>
        <row r="199">
          <cell r="A199" t="str">
            <v>Kuwait</v>
          </cell>
        </row>
        <row r="200">
          <cell r="A200" t="str">
            <v>Libya</v>
          </cell>
        </row>
        <row r="201">
          <cell r="A201" t="str">
            <v>Mayotte</v>
          </cell>
        </row>
        <row r="202">
          <cell r="A202" t="str">
            <v>Saudi Arabia</v>
          </cell>
          <cell r="B202">
            <v>0.41</v>
          </cell>
          <cell r="C202">
            <v>0.59</v>
          </cell>
        </row>
        <row r="203">
          <cell r="A203" t="str">
            <v>Syria</v>
          </cell>
        </row>
        <row r="204">
          <cell r="A204" t="str">
            <v>Yemen</v>
          </cell>
        </row>
        <row r="205">
          <cell r="A205" t="str">
            <v>Turkey</v>
          </cell>
          <cell r="B205">
            <v>0.54</v>
          </cell>
          <cell r="C205">
            <v>0.46</v>
          </cell>
        </row>
        <row r="206">
          <cell r="A206" t="str">
            <v>North Korea</v>
          </cell>
        </row>
        <row r="207">
          <cell r="A207" t="str">
            <v>Falkland Islands (Islas Malvinas)</v>
          </cell>
        </row>
        <row r="208">
          <cell r="A208" t="str">
            <v>Montserrat</v>
          </cell>
        </row>
        <row r="209">
          <cell r="A209" t="str">
            <v>Cook Islands</v>
          </cell>
        </row>
        <row r="210">
          <cell r="A210" t="str">
            <v>Eritrea</v>
          </cell>
        </row>
        <row r="211">
          <cell r="A211" t="str">
            <v>Svalbard &amp; Jan Mayen</v>
          </cell>
        </row>
        <row r="212">
          <cell r="A212" t="str">
            <v>Anguilla</v>
          </cell>
        </row>
        <row r="213">
          <cell r="A213" t="str">
            <v>Equatorial Guinea</v>
          </cell>
        </row>
        <row r="214">
          <cell r="A214" t="str">
            <v>Marshall Islands</v>
          </cell>
        </row>
        <row r="215">
          <cell r="A215" t="str">
            <v>SÃ£o TomÃ© &amp; PrÃ­ncipe</v>
          </cell>
        </row>
        <row r="216">
          <cell r="A216" t="str">
            <v>St. Kitts &amp; Nevis</v>
          </cell>
        </row>
        <row r="217">
          <cell r="A217" t="str">
            <v>American Samoa</v>
          </cell>
        </row>
        <row r="218">
          <cell r="A218" t="str">
            <v>Tonga</v>
          </cell>
        </row>
        <row r="219">
          <cell r="A219" t="str">
            <v>San Marino</v>
          </cell>
        </row>
        <row r="220">
          <cell r="A220" t="str">
            <v>St. Martin</v>
          </cell>
        </row>
        <row r="221">
          <cell r="A221" t="str">
            <v>Turks &amp; Caicos Islands</v>
          </cell>
        </row>
        <row r="222">
          <cell r="A222" t="str">
            <v>Seychelles</v>
          </cell>
        </row>
        <row r="223">
          <cell r="A223" t="str">
            <v>Samoa</v>
          </cell>
        </row>
        <row r="224">
          <cell r="A224" t="str">
            <v>Northern Mariana Islands</v>
          </cell>
        </row>
        <row r="225">
          <cell r="A225" t="str">
            <v>Micronesia</v>
          </cell>
        </row>
        <row r="226">
          <cell r="A226" t="str">
            <v>Guinea-Bissau</v>
          </cell>
        </row>
        <row r="227">
          <cell r="A227" t="str">
            <v>Sint Maarten</v>
          </cell>
        </row>
        <row r="228">
          <cell r="A228" t="str">
            <v>Comoros</v>
          </cell>
        </row>
        <row r="229">
          <cell r="A229" t="str">
            <v>British Virgin Islands</v>
          </cell>
        </row>
        <row r="230">
          <cell r="A230" t="str">
            <v>Central African Republic</v>
          </cell>
        </row>
        <row r="231">
          <cell r="A231" t="str">
            <v>South Sudan</v>
          </cell>
        </row>
        <row r="232">
          <cell r="A232" t="str">
            <v>Western Sahara</v>
          </cell>
        </row>
        <row r="233">
          <cell r="A233" t="str">
            <v>St. BarthÃ©lemy</v>
          </cell>
        </row>
        <row r="234">
          <cell r="A234" t="str">
            <v>Antarctica</v>
          </cell>
        </row>
        <row r="235">
          <cell r="A235" t="str">
            <v>French Southern Territories</v>
          </cell>
        </row>
        <row r="236">
          <cell r="A236" t="str">
            <v>Bouvet Island</v>
          </cell>
        </row>
        <row r="237">
          <cell r="A237" t="str">
            <v>Cocos (Keeling) Islands</v>
          </cell>
        </row>
        <row r="238">
          <cell r="A238" t="str">
            <v>Christmas Island</v>
          </cell>
        </row>
        <row r="239">
          <cell r="A239" t="str">
            <v>Heard &amp; McDonald Islands</v>
          </cell>
        </row>
        <row r="240">
          <cell r="A240" t="str">
            <v>British Indian Ocean Territory</v>
          </cell>
        </row>
        <row r="241">
          <cell r="A241" t="str">
            <v>Kiribati</v>
          </cell>
        </row>
        <row r="242">
          <cell r="A242" t="str">
            <v>Norfolk Island</v>
          </cell>
        </row>
        <row r="243">
          <cell r="A243" t="str">
            <v>Niue</v>
          </cell>
        </row>
        <row r="244">
          <cell r="A244" t="str">
            <v>Nauru</v>
          </cell>
        </row>
        <row r="245">
          <cell r="A245" t="str">
            <v>Pitcairn Islands</v>
          </cell>
        </row>
        <row r="246">
          <cell r="A246" t="str">
            <v>Palau</v>
          </cell>
        </row>
        <row r="247">
          <cell r="A247" t="str">
            <v>South Georgia &amp; South Sandwich Islands</v>
          </cell>
        </row>
        <row r="248">
          <cell r="A248" t="str">
            <v>St. Pierre &amp; Miquelon</v>
          </cell>
        </row>
        <row r="249">
          <cell r="A249" t="str">
            <v>Tokelau</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1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0)"/>
    </sheetNames>
    <sheetDataSet>
      <sheetData sheetId="0">
        <row r="1">
          <cell r="A1" t="str">
            <v>Kategori: TÃ¼m kategoriler</v>
          </cell>
        </row>
        <row r="3">
          <cell r="A3" t="str">
            <v>Ãœlke</v>
          </cell>
          <cell r="B3" t="str">
            <v>HTTP: (2017)</v>
          </cell>
          <cell r="C3" t="str">
            <v>For dÃ¶ngÃ¼sÃ¼: (2017)</v>
          </cell>
        </row>
        <row r="4">
          <cell r="A4" t="str">
            <v>China</v>
          </cell>
          <cell r="B4">
            <v>0.74</v>
          </cell>
          <cell r="C4">
            <v>0.26</v>
          </cell>
        </row>
        <row r="5">
          <cell r="A5" t="str">
            <v>Cuba</v>
          </cell>
        </row>
        <row r="6">
          <cell r="A6" t="str">
            <v>Singapore</v>
          </cell>
          <cell r="B6">
            <v>0.76</v>
          </cell>
          <cell r="C6">
            <v>0.24</v>
          </cell>
        </row>
        <row r="7">
          <cell r="A7" t="str">
            <v>Papua New Guinea</v>
          </cell>
        </row>
        <row r="8">
          <cell r="A8" t="str">
            <v>South Korea</v>
          </cell>
          <cell r="B8">
            <v>0.56000000000000005</v>
          </cell>
          <cell r="C8">
            <v>0.44</v>
          </cell>
        </row>
        <row r="9">
          <cell r="A9" t="str">
            <v>Indonesia</v>
          </cell>
          <cell r="B9">
            <v>0.98</v>
          </cell>
          <cell r="C9">
            <v>0.02</v>
          </cell>
        </row>
        <row r="10">
          <cell r="A10" t="str">
            <v>Liechtenstein</v>
          </cell>
        </row>
        <row r="11">
          <cell r="A11" t="str">
            <v>Ã…land Islands</v>
          </cell>
        </row>
        <row r="12">
          <cell r="A12" t="str">
            <v>Myanmar (Burma)</v>
          </cell>
        </row>
        <row r="13">
          <cell r="A13" t="str">
            <v>Ethiopia</v>
          </cell>
        </row>
        <row r="14">
          <cell r="A14" t="str">
            <v>Angola</v>
          </cell>
        </row>
        <row r="15">
          <cell r="A15" t="str">
            <v>Botswana</v>
          </cell>
        </row>
        <row r="16">
          <cell r="A16" t="str">
            <v>Philippines</v>
          </cell>
          <cell r="B16">
            <v>0.72</v>
          </cell>
          <cell r="C16">
            <v>0.28000000000000003</v>
          </cell>
        </row>
        <row r="17">
          <cell r="A17" t="str">
            <v>St. Helena</v>
          </cell>
          <cell r="B17">
            <v>0.7</v>
          </cell>
          <cell r="C17">
            <v>0.3</v>
          </cell>
        </row>
        <row r="18">
          <cell r="A18" t="str">
            <v>Israel</v>
          </cell>
          <cell r="B18">
            <v>0.68</v>
          </cell>
          <cell r="C18">
            <v>0.32</v>
          </cell>
        </row>
        <row r="19">
          <cell r="A19" t="str">
            <v>Luxembourg</v>
          </cell>
        </row>
        <row r="20">
          <cell r="A20" t="str">
            <v>North Macedonia</v>
          </cell>
        </row>
        <row r="21">
          <cell r="A21" t="str">
            <v>Cook Islands</v>
          </cell>
        </row>
        <row r="22">
          <cell r="A22" t="str">
            <v>Iceland</v>
          </cell>
        </row>
        <row r="23">
          <cell r="A23" t="str">
            <v>Cape Verde</v>
          </cell>
        </row>
        <row r="24">
          <cell r="A24" t="str">
            <v>Madagascar</v>
          </cell>
        </row>
        <row r="25">
          <cell r="A25" t="str">
            <v>Germany</v>
          </cell>
          <cell r="B25">
            <v>0.71</v>
          </cell>
          <cell r="C25">
            <v>0.28999999999999998</v>
          </cell>
        </row>
        <row r="26">
          <cell r="A26" t="str">
            <v>India</v>
          </cell>
          <cell r="B26">
            <v>0.59</v>
          </cell>
          <cell r="C26">
            <v>0.41</v>
          </cell>
        </row>
        <row r="27">
          <cell r="A27" t="str">
            <v>Switzerland</v>
          </cell>
          <cell r="B27">
            <v>0.64</v>
          </cell>
          <cell r="C27">
            <v>0.36</v>
          </cell>
        </row>
        <row r="28">
          <cell r="A28" t="str">
            <v>Gibraltar</v>
          </cell>
        </row>
        <row r="29">
          <cell r="A29" t="str">
            <v>Hong Kong</v>
          </cell>
          <cell r="B29">
            <v>0.56000000000000005</v>
          </cell>
          <cell r="C29">
            <v>0.44</v>
          </cell>
        </row>
        <row r="30">
          <cell r="A30" t="str">
            <v>Mexico</v>
          </cell>
          <cell r="B30">
            <v>0.78</v>
          </cell>
          <cell r="C30">
            <v>0.22</v>
          </cell>
        </row>
        <row r="31">
          <cell r="A31" t="str">
            <v>Togo</v>
          </cell>
        </row>
        <row r="32">
          <cell r="A32" t="str">
            <v>Nepal</v>
          </cell>
        </row>
        <row r="33">
          <cell r="A33" t="str">
            <v>Lesotho</v>
          </cell>
        </row>
        <row r="34">
          <cell r="A34" t="str">
            <v>Estonia</v>
          </cell>
        </row>
        <row r="35">
          <cell r="A35" t="str">
            <v>Belarus</v>
          </cell>
          <cell r="B35">
            <v>0.75</v>
          </cell>
          <cell r="C35">
            <v>0.25</v>
          </cell>
        </row>
        <row r="36">
          <cell r="A36" t="str">
            <v>Ukraine</v>
          </cell>
          <cell r="B36">
            <v>0.78</v>
          </cell>
          <cell r="C36">
            <v>0.22</v>
          </cell>
        </row>
        <row r="37">
          <cell r="A37" t="str">
            <v>El Salvador</v>
          </cell>
        </row>
        <row r="38">
          <cell r="A38" t="str">
            <v>Rwanda</v>
          </cell>
        </row>
        <row r="39">
          <cell r="A39" t="str">
            <v>Austria</v>
          </cell>
          <cell r="B39">
            <v>0.7</v>
          </cell>
          <cell r="C39">
            <v>0.3</v>
          </cell>
        </row>
        <row r="40">
          <cell r="A40" t="str">
            <v>Armenia</v>
          </cell>
        </row>
        <row r="41">
          <cell r="A41" t="str">
            <v>Chad</v>
          </cell>
        </row>
        <row r="42">
          <cell r="A42" t="str">
            <v>Finland</v>
          </cell>
          <cell r="B42">
            <v>0.68</v>
          </cell>
          <cell r="C42">
            <v>0.32</v>
          </cell>
        </row>
        <row r="43">
          <cell r="A43" t="str">
            <v>Laos</v>
          </cell>
        </row>
        <row r="44">
          <cell r="A44" t="str">
            <v>Taiwan</v>
          </cell>
          <cell r="B44">
            <v>0.62</v>
          </cell>
          <cell r="C44">
            <v>0.38</v>
          </cell>
        </row>
        <row r="45">
          <cell r="A45" t="str">
            <v>Czechia</v>
          </cell>
          <cell r="B45">
            <v>0.79</v>
          </cell>
          <cell r="C45">
            <v>0.21</v>
          </cell>
        </row>
        <row r="46">
          <cell r="A46" t="str">
            <v>Sri Lanka</v>
          </cell>
          <cell r="B46">
            <v>0.56999999999999995</v>
          </cell>
          <cell r="C46">
            <v>0.43</v>
          </cell>
        </row>
        <row r="47">
          <cell r="A47" t="str">
            <v>Bhutan</v>
          </cell>
        </row>
        <row r="48">
          <cell r="A48" t="str">
            <v>Macao</v>
          </cell>
        </row>
        <row r="49">
          <cell r="A49" t="str">
            <v>Faroe Islands</v>
          </cell>
        </row>
        <row r="50">
          <cell r="A50" t="str">
            <v>Benin</v>
          </cell>
        </row>
        <row r="51">
          <cell r="A51" t="str">
            <v>Isle of Man</v>
          </cell>
        </row>
        <row r="52">
          <cell r="A52" t="str">
            <v>Bangladesh</v>
          </cell>
          <cell r="B52">
            <v>0.67</v>
          </cell>
          <cell r="C52">
            <v>0.33</v>
          </cell>
        </row>
        <row r="53">
          <cell r="A53" t="str">
            <v>Japan</v>
          </cell>
          <cell r="B53">
            <v>0.6</v>
          </cell>
          <cell r="C53">
            <v>0.4</v>
          </cell>
        </row>
        <row r="54">
          <cell r="A54" t="str">
            <v>Nicaragua</v>
          </cell>
        </row>
        <row r="55">
          <cell r="A55" t="str">
            <v>Somalia</v>
          </cell>
        </row>
        <row r="56">
          <cell r="A56" t="str">
            <v>Russia</v>
          </cell>
          <cell r="B56">
            <v>0.75</v>
          </cell>
          <cell r="C56">
            <v>0.25</v>
          </cell>
        </row>
        <row r="57">
          <cell r="A57" t="str">
            <v>Ireland</v>
          </cell>
          <cell r="B57">
            <v>0.61</v>
          </cell>
          <cell r="C57">
            <v>0.39</v>
          </cell>
        </row>
        <row r="58">
          <cell r="A58" t="str">
            <v>Mauritius</v>
          </cell>
        </row>
        <row r="59">
          <cell r="A59" t="str">
            <v>New Zealand</v>
          </cell>
          <cell r="B59">
            <v>0.61</v>
          </cell>
          <cell r="C59">
            <v>0.39</v>
          </cell>
        </row>
        <row r="60">
          <cell r="A60" t="str">
            <v>Costa Rica</v>
          </cell>
        </row>
        <row r="61">
          <cell r="A61" t="str">
            <v>Portugal</v>
          </cell>
          <cell r="B61">
            <v>0.65</v>
          </cell>
          <cell r="C61">
            <v>0.35</v>
          </cell>
        </row>
        <row r="62">
          <cell r="A62" t="str">
            <v>Zimbabwe</v>
          </cell>
        </row>
        <row r="63">
          <cell r="A63" t="str">
            <v>Timor-Leste</v>
          </cell>
        </row>
        <row r="64">
          <cell r="A64" t="str">
            <v>Eswatini</v>
          </cell>
        </row>
        <row r="65">
          <cell r="A65" t="str">
            <v>Cameroon</v>
          </cell>
        </row>
        <row r="66">
          <cell r="A66" t="str">
            <v>Congo - Brazzaville</v>
          </cell>
        </row>
        <row r="67">
          <cell r="A67" t="str">
            <v>Canada</v>
          </cell>
          <cell r="B67">
            <v>0.56999999999999995</v>
          </cell>
          <cell r="C67">
            <v>0.43</v>
          </cell>
        </row>
        <row r="68">
          <cell r="A68" t="str">
            <v>Guatemala</v>
          </cell>
          <cell r="B68">
            <v>0.68</v>
          </cell>
          <cell r="C68">
            <v>0.32</v>
          </cell>
        </row>
        <row r="69">
          <cell r="A69" t="str">
            <v>Ecuador</v>
          </cell>
          <cell r="B69">
            <v>0.71</v>
          </cell>
          <cell r="C69">
            <v>0.28999999999999998</v>
          </cell>
        </row>
        <row r="70">
          <cell r="A70" t="str">
            <v>Norway</v>
          </cell>
          <cell r="B70">
            <v>0.69</v>
          </cell>
          <cell r="C70">
            <v>0.31</v>
          </cell>
        </row>
        <row r="71">
          <cell r="A71" t="str">
            <v>Kenya</v>
          </cell>
        </row>
        <row r="72">
          <cell r="A72" t="str">
            <v>Andorra</v>
          </cell>
        </row>
        <row r="73">
          <cell r="A73" t="str">
            <v>Mozambique</v>
          </cell>
        </row>
        <row r="74">
          <cell r="A74" t="str">
            <v>Netherlands</v>
          </cell>
          <cell r="B74">
            <v>0.67</v>
          </cell>
          <cell r="C74">
            <v>0.33</v>
          </cell>
        </row>
        <row r="75">
          <cell r="A75" t="str">
            <v>Malaysia</v>
          </cell>
          <cell r="B75">
            <v>0.67</v>
          </cell>
          <cell r="C75">
            <v>0.33</v>
          </cell>
        </row>
        <row r="76">
          <cell r="A76" t="str">
            <v>Uganda</v>
          </cell>
        </row>
        <row r="77">
          <cell r="A77" t="str">
            <v>Solomon Islands</v>
          </cell>
        </row>
        <row r="78">
          <cell r="A78" t="str">
            <v>Malta</v>
          </cell>
        </row>
        <row r="79">
          <cell r="A79" t="str">
            <v>Burundi</v>
          </cell>
        </row>
        <row r="80">
          <cell r="A80" t="str">
            <v>Equatorial Guinea</v>
          </cell>
        </row>
        <row r="81">
          <cell r="A81" t="str">
            <v>Pakistan</v>
          </cell>
          <cell r="B81">
            <v>0.46</v>
          </cell>
          <cell r="C81">
            <v>0.54</v>
          </cell>
        </row>
        <row r="82">
          <cell r="A82" t="str">
            <v>Denmark</v>
          </cell>
          <cell r="B82">
            <v>0.69</v>
          </cell>
          <cell r="C82">
            <v>0.31</v>
          </cell>
        </row>
        <row r="83">
          <cell r="A83" t="str">
            <v>Brazil</v>
          </cell>
          <cell r="B83">
            <v>0.83</v>
          </cell>
          <cell r="C83">
            <v>0.17</v>
          </cell>
        </row>
        <row r="84">
          <cell r="A84" t="str">
            <v>Romania</v>
          </cell>
          <cell r="B84">
            <v>0.84</v>
          </cell>
          <cell r="C84">
            <v>0.16</v>
          </cell>
        </row>
        <row r="85">
          <cell r="A85" t="str">
            <v>Sudan</v>
          </cell>
        </row>
        <row r="86">
          <cell r="A86" t="str">
            <v>Sweden</v>
          </cell>
          <cell r="B86">
            <v>0.66</v>
          </cell>
          <cell r="C86">
            <v>0.34</v>
          </cell>
        </row>
        <row r="87">
          <cell r="A87" t="str">
            <v>Haiti</v>
          </cell>
        </row>
        <row r="88">
          <cell r="A88" t="str">
            <v>Tunisia</v>
          </cell>
          <cell r="B88">
            <v>0.65</v>
          </cell>
          <cell r="C88">
            <v>0.35</v>
          </cell>
        </row>
        <row r="89">
          <cell r="A89" t="str">
            <v>Uzbekistan</v>
          </cell>
        </row>
        <row r="90">
          <cell r="A90" t="str">
            <v>Ghana</v>
          </cell>
        </row>
        <row r="91">
          <cell r="A91" t="str">
            <v>Australia</v>
          </cell>
          <cell r="B91">
            <v>0.6</v>
          </cell>
          <cell r="C91">
            <v>0.4</v>
          </cell>
        </row>
        <row r="92">
          <cell r="A92" t="str">
            <v>French Polynesia</v>
          </cell>
        </row>
        <row r="93">
          <cell r="A93" t="str">
            <v>Fiji</v>
          </cell>
        </row>
        <row r="94">
          <cell r="A94" t="str">
            <v>CÃ´te dâ€™Ivoire</v>
          </cell>
        </row>
        <row r="95">
          <cell r="A95" t="str">
            <v>Bolivia</v>
          </cell>
        </row>
        <row r="96">
          <cell r="A96" t="str">
            <v>Egypt</v>
          </cell>
          <cell r="B96">
            <v>0.81</v>
          </cell>
          <cell r="C96">
            <v>0.19</v>
          </cell>
        </row>
        <row r="97">
          <cell r="A97" t="str">
            <v>Moldova</v>
          </cell>
        </row>
        <row r="98">
          <cell r="A98" t="str">
            <v>Turkmenistan</v>
          </cell>
        </row>
        <row r="99">
          <cell r="A99" t="str">
            <v>Liberia</v>
          </cell>
        </row>
        <row r="100">
          <cell r="A100" t="str">
            <v>Latvia</v>
          </cell>
        </row>
        <row r="101">
          <cell r="A101" t="str">
            <v>Peru</v>
          </cell>
          <cell r="B101">
            <v>0.75</v>
          </cell>
          <cell r="C101">
            <v>0.25</v>
          </cell>
        </row>
        <row r="102">
          <cell r="A102" t="str">
            <v>Tanzania</v>
          </cell>
        </row>
        <row r="103">
          <cell r="A103" t="str">
            <v>Serbia</v>
          </cell>
          <cell r="B103">
            <v>0.75</v>
          </cell>
          <cell r="C103">
            <v>0.25</v>
          </cell>
        </row>
        <row r="104">
          <cell r="A104" t="str">
            <v>Bosnia &amp; Herzegovina</v>
          </cell>
        </row>
        <row r="105">
          <cell r="A105" t="str">
            <v>Hungary</v>
          </cell>
          <cell r="B105">
            <v>0.77</v>
          </cell>
          <cell r="C105">
            <v>0.23</v>
          </cell>
        </row>
        <row r="106">
          <cell r="A106" t="str">
            <v>Honduras</v>
          </cell>
        </row>
        <row r="107">
          <cell r="A107" t="str">
            <v>Jamaica</v>
          </cell>
        </row>
        <row r="108">
          <cell r="A108" t="str">
            <v>Namibia</v>
          </cell>
        </row>
        <row r="109">
          <cell r="A109" t="str">
            <v>Dominican Republic</v>
          </cell>
        </row>
        <row r="110">
          <cell r="A110" t="str">
            <v>Slovakia</v>
          </cell>
        </row>
        <row r="111">
          <cell r="A111" t="str">
            <v>South Africa</v>
          </cell>
          <cell r="B111">
            <v>0.64</v>
          </cell>
          <cell r="C111">
            <v>0.36</v>
          </cell>
        </row>
        <row r="112">
          <cell r="A112" t="str">
            <v>Zambia</v>
          </cell>
        </row>
        <row r="113">
          <cell r="A113" t="str">
            <v>Maldives</v>
          </cell>
        </row>
        <row r="114">
          <cell r="A114" t="str">
            <v>Colombia</v>
          </cell>
          <cell r="B114">
            <v>0.69</v>
          </cell>
          <cell r="C114">
            <v>0.31</v>
          </cell>
        </row>
        <row r="115">
          <cell r="A115" t="str">
            <v>United States</v>
          </cell>
          <cell r="B115">
            <v>0.54</v>
          </cell>
          <cell r="C115">
            <v>0.46</v>
          </cell>
        </row>
        <row r="116">
          <cell r="A116" t="str">
            <v>Malawi</v>
          </cell>
        </row>
        <row r="117">
          <cell r="A117" t="str">
            <v>Panama</v>
          </cell>
        </row>
        <row r="118">
          <cell r="A118" t="str">
            <v>Nigeria</v>
          </cell>
          <cell r="B118">
            <v>0.79</v>
          </cell>
          <cell r="C118">
            <v>0.21</v>
          </cell>
        </row>
        <row r="119">
          <cell r="A119" t="str">
            <v>Kosovo</v>
          </cell>
        </row>
        <row r="120">
          <cell r="A120" t="str">
            <v>United Arab Emirates</v>
          </cell>
          <cell r="B120">
            <v>0.69</v>
          </cell>
          <cell r="C120">
            <v>0.31</v>
          </cell>
        </row>
        <row r="121">
          <cell r="A121" t="str">
            <v>Belgium</v>
          </cell>
          <cell r="B121">
            <v>0.66</v>
          </cell>
          <cell r="C121">
            <v>0.34</v>
          </cell>
        </row>
        <row r="122">
          <cell r="A122" t="str">
            <v>Bulgaria</v>
          </cell>
          <cell r="B122">
            <v>0.76</v>
          </cell>
          <cell r="C122">
            <v>0.24</v>
          </cell>
        </row>
        <row r="123">
          <cell r="A123" t="str">
            <v>Spain</v>
          </cell>
          <cell r="B123">
            <v>0.68</v>
          </cell>
          <cell r="C123">
            <v>0.32</v>
          </cell>
        </row>
        <row r="124">
          <cell r="A124" t="str">
            <v>United Kingdom</v>
          </cell>
          <cell r="B124">
            <v>0.59</v>
          </cell>
          <cell r="C124">
            <v>0.41</v>
          </cell>
        </row>
        <row r="125">
          <cell r="A125" t="str">
            <v>Cyprus</v>
          </cell>
        </row>
        <row r="126">
          <cell r="A126" t="str">
            <v>France</v>
          </cell>
          <cell r="B126">
            <v>0.65</v>
          </cell>
          <cell r="C126">
            <v>0.35</v>
          </cell>
        </row>
        <row r="127">
          <cell r="A127" t="str">
            <v>Lithuania</v>
          </cell>
        </row>
        <row r="128">
          <cell r="A128" t="str">
            <v>Uruguay</v>
          </cell>
        </row>
        <row r="129">
          <cell r="A129" t="str">
            <v>Gambia</v>
          </cell>
        </row>
        <row r="130">
          <cell r="A130" t="str">
            <v>Mali</v>
          </cell>
        </row>
        <row r="131">
          <cell r="A131" t="str">
            <v>Paraguay</v>
          </cell>
        </row>
        <row r="132">
          <cell r="A132" t="str">
            <v>Senegal</v>
          </cell>
        </row>
        <row r="133">
          <cell r="A133" t="str">
            <v>Jersey</v>
          </cell>
        </row>
        <row r="134">
          <cell r="A134" t="str">
            <v>Poland</v>
          </cell>
          <cell r="B134">
            <v>0.71</v>
          </cell>
          <cell r="C134">
            <v>0.28999999999999998</v>
          </cell>
        </row>
        <row r="135">
          <cell r="A135" t="str">
            <v>Albania</v>
          </cell>
        </row>
        <row r="136">
          <cell r="A136" t="str">
            <v>Antigua &amp; Barbuda</v>
          </cell>
        </row>
        <row r="137">
          <cell r="A137" t="str">
            <v>Cambodia</v>
          </cell>
        </row>
        <row r="138">
          <cell r="A138" t="str">
            <v>Croatia</v>
          </cell>
        </row>
        <row r="139">
          <cell r="A139" t="str">
            <v>Mongolia</v>
          </cell>
        </row>
        <row r="140">
          <cell r="A140" t="str">
            <v>Tajikistan</v>
          </cell>
        </row>
        <row r="141">
          <cell r="A141" t="str">
            <v>St. Vincent &amp; Grenadines</v>
          </cell>
        </row>
        <row r="142">
          <cell r="A142" t="str">
            <v>CuraÃ§ao</v>
          </cell>
        </row>
        <row r="143">
          <cell r="A143" t="str">
            <v>Lebanon</v>
          </cell>
        </row>
        <row r="144">
          <cell r="A144" t="str">
            <v>South Sudan</v>
          </cell>
        </row>
        <row r="145">
          <cell r="A145" t="str">
            <v>Kazakhstan</v>
          </cell>
          <cell r="B145">
            <v>0.71</v>
          </cell>
          <cell r="C145">
            <v>0.28999999999999998</v>
          </cell>
        </row>
        <row r="146">
          <cell r="A146" t="str">
            <v>New Caledonia</v>
          </cell>
        </row>
        <row r="147">
          <cell r="A147" t="str">
            <v>Morocco</v>
          </cell>
          <cell r="B147">
            <v>0.75</v>
          </cell>
          <cell r="C147">
            <v>0.25</v>
          </cell>
        </row>
        <row r="148">
          <cell r="A148" t="str">
            <v>Afghanistan</v>
          </cell>
        </row>
        <row r="149">
          <cell r="A149" t="str">
            <v>Burkina Faso</v>
          </cell>
        </row>
        <row r="150">
          <cell r="A150" t="str">
            <v>Sierra Leone</v>
          </cell>
        </row>
        <row r="151">
          <cell r="A151" t="str">
            <v>Barbados</v>
          </cell>
        </row>
        <row r="152">
          <cell r="A152" t="str">
            <v>Niger</v>
          </cell>
        </row>
        <row r="153">
          <cell r="A153" t="str">
            <v>Congo - Kinshasa</v>
          </cell>
        </row>
        <row r="154">
          <cell r="A154" t="str">
            <v>Grenada</v>
          </cell>
        </row>
        <row r="155">
          <cell r="A155" t="str">
            <v>Gabon</v>
          </cell>
        </row>
        <row r="156">
          <cell r="A156" t="str">
            <v>Chile</v>
          </cell>
          <cell r="B156">
            <v>0.64</v>
          </cell>
          <cell r="C156">
            <v>0.36</v>
          </cell>
        </row>
        <row r="157">
          <cell r="A157" t="str">
            <v>Djibouti</v>
          </cell>
        </row>
        <row r="158">
          <cell r="A158" t="str">
            <v>Belize</v>
          </cell>
        </row>
        <row r="159">
          <cell r="A159" t="str">
            <v>Mayotte</v>
          </cell>
        </row>
        <row r="160">
          <cell r="A160" t="str">
            <v>Montenegro</v>
          </cell>
        </row>
        <row r="161">
          <cell r="A161" t="str">
            <v>Guinea</v>
          </cell>
        </row>
        <row r="162">
          <cell r="A162" t="str">
            <v>Slovenia</v>
          </cell>
        </row>
        <row r="163">
          <cell r="A163" t="str">
            <v>Qatar</v>
          </cell>
        </row>
        <row r="164">
          <cell r="A164" t="str">
            <v>Bahrain</v>
          </cell>
        </row>
        <row r="165">
          <cell r="A165" t="str">
            <v>Argentina</v>
          </cell>
          <cell r="B165">
            <v>0.73</v>
          </cell>
          <cell r="C165">
            <v>0.27</v>
          </cell>
        </row>
        <row r="166">
          <cell r="A166" t="str">
            <v>Oman</v>
          </cell>
        </row>
        <row r="167">
          <cell r="A167" t="str">
            <v>Jordan</v>
          </cell>
        </row>
        <row r="168">
          <cell r="A168" t="str">
            <v>Kyrgyzstan</v>
          </cell>
        </row>
        <row r="169">
          <cell r="A169" t="str">
            <v>Palestine</v>
          </cell>
        </row>
        <row r="170">
          <cell r="A170" t="str">
            <v>Iran</v>
          </cell>
          <cell r="B170">
            <v>0.79</v>
          </cell>
          <cell r="C170">
            <v>0.21</v>
          </cell>
        </row>
        <row r="171">
          <cell r="A171" t="str">
            <v>Italy</v>
          </cell>
          <cell r="B171">
            <v>0.68</v>
          </cell>
          <cell r="C171">
            <v>0.32</v>
          </cell>
        </row>
        <row r="172">
          <cell r="A172" t="str">
            <v>Puerto Rico</v>
          </cell>
        </row>
        <row r="173">
          <cell r="A173" t="str">
            <v>Mauritania</v>
          </cell>
        </row>
        <row r="174">
          <cell r="A174" t="str">
            <v>Brunei</v>
          </cell>
        </row>
        <row r="175">
          <cell r="A175" t="str">
            <v>Iraq</v>
          </cell>
        </row>
        <row r="176">
          <cell r="A176" t="str">
            <v>Bermuda</v>
          </cell>
        </row>
        <row r="177">
          <cell r="A177" t="str">
            <v>Trinidad &amp; Tobago</v>
          </cell>
        </row>
        <row r="178">
          <cell r="A178" t="str">
            <v>Georgia</v>
          </cell>
        </row>
        <row r="179">
          <cell r="A179" t="str">
            <v>RÃ©union</v>
          </cell>
        </row>
        <row r="180">
          <cell r="A180" t="str">
            <v>Martinique</v>
          </cell>
        </row>
        <row r="181">
          <cell r="A181" t="str">
            <v>Thailand</v>
          </cell>
          <cell r="B181">
            <v>0.72</v>
          </cell>
          <cell r="C181">
            <v>0.28000000000000003</v>
          </cell>
        </row>
        <row r="182">
          <cell r="A182" t="str">
            <v>Guyana</v>
          </cell>
        </row>
        <row r="183">
          <cell r="A183" t="str">
            <v>Algeria</v>
          </cell>
        </row>
        <row r="184">
          <cell r="A184" t="str">
            <v>Vietnam</v>
          </cell>
          <cell r="B184">
            <v>0.83</v>
          </cell>
          <cell r="C184">
            <v>0.17</v>
          </cell>
        </row>
        <row r="185">
          <cell r="A185" t="str">
            <v>Azerbaijan</v>
          </cell>
        </row>
        <row r="186">
          <cell r="A186" t="str">
            <v>Guadeloupe</v>
          </cell>
        </row>
        <row r="187">
          <cell r="A187" t="str">
            <v>Greenland</v>
          </cell>
        </row>
        <row r="188">
          <cell r="A188" t="str">
            <v>Venezuela</v>
          </cell>
          <cell r="B188">
            <v>0.76</v>
          </cell>
          <cell r="C188">
            <v>0.24</v>
          </cell>
        </row>
        <row r="189">
          <cell r="A189" t="str">
            <v>Guam</v>
          </cell>
        </row>
        <row r="190">
          <cell r="A190" t="str">
            <v>Bahamas</v>
          </cell>
        </row>
        <row r="191">
          <cell r="A191" t="str">
            <v>Greece</v>
          </cell>
          <cell r="B191">
            <v>0.66</v>
          </cell>
          <cell r="C191">
            <v>0.34</v>
          </cell>
        </row>
        <row r="192">
          <cell r="A192" t="str">
            <v>Libya</v>
          </cell>
        </row>
        <row r="193">
          <cell r="A193" t="str">
            <v>Cayman Islands</v>
          </cell>
        </row>
        <row r="194">
          <cell r="A194" t="str">
            <v>St. Lucia</v>
          </cell>
        </row>
        <row r="195">
          <cell r="A195" t="str">
            <v>Suriname</v>
          </cell>
        </row>
        <row r="196">
          <cell r="A196" t="str">
            <v>U.S. Virgin Islands</v>
          </cell>
        </row>
        <row r="197">
          <cell r="A197" t="str">
            <v>Saudi Arabia</v>
          </cell>
          <cell r="B197">
            <v>0.76</v>
          </cell>
          <cell r="C197">
            <v>0.24</v>
          </cell>
        </row>
        <row r="198">
          <cell r="A198" t="str">
            <v>Kuwait</v>
          </cell>
        </row>
        <row r="199">
          <cell r="A199" t="str">
            <v>Guernsey</v>
          </cell>
        </row>
        <row r="200">
          <cell r="A200" t="str">
            <v>Syria</v>
          </cell>
        </row>
        <row r="201">
          <cell r="A201" t="str">
            <v>Yemen</v>
          </cell>
        </row>
        <row r="202">
          <cell r="A202" t="str">
            <v>Aruba</v>
          </cell>
        </row>
        <row r="203">
          <cell r="A203" t="str">
            <v>French Guiana</v>
          </cell>
        </row>
        <row r="204">
          <cell r="A204" t="str">
            <v>Turkey</v>
          </cell>
          <cell r="B204">
            <v>0.55000000000000004</v>
          </cell>
          <cell r="C204">
            <v>0.45</v>
          </cell>
        </row>
        <row r="205">
          <cell r="A205" t="str">
            <v>North Korea</v>
          </cell>
        </row>
        <row r="206">
          <cell r="A206" t="str">
            <v>Falkland Islands (Islas Malvinas)</v>
          </cell>
        </row>
        <row r="207">
          <cell r="A207" t="str">
            <v>Eritrea</v>
          </cell>
        </row>
        <row r="208">
          <cell r="A208" t="str">
            <v>Svalbard &amp; Jan Mayen</v>
          </cell>
        </row>
        <row r="209">
          <cell r="A209" t="str">
            <v>Tonga</v>
          </cell>
        </row>
        <row r="210">
          <cell r="A210" t="str">
            <v>Anguilla</v>
          </cell>
        </row>
        <row r="211">
          <cell r="A211" t="str">
            <v>Palau</v>
          </cell>
        </row>
        <row r="212">
          <cell r="A212" t="str">
            <v>Comoros</v>
          </cell>
        </row>
        <row r="213">
          <cell r="A213" t="str">
            <v>Guinea-Bissau</v>
          </cell>
        </row>
        <row r="214">
          <cell r="A214" t="str">
            <v>Marshall Islands</v>
          </cell>
        </row>
        <row r="215">
          <cell r="A215" t="str">
            <v>Caribbean Netherlands</v>
          </cell>
        </row>
        <row r="216">
          <cell r="A216" t="str">
            <v>Central African Republic</v>
          </cell>
        </row>
        <row r="217">
          <cell r="A217" t="str">
            <v>SÃ£o TomÃ© &amp; PrÃ­ncipe</v>
          </cell>
        </row>
        <row r="218">
          <cell r="A218" t="str">
            <v>St. Pierre &amp; Miquelon</v>
          </cell>
        </row>
        <row r="219">
          <cell r="A219" t="str">
            <v>Samoa</v>
          </cell>
        </row>
        <row r="220">
          <cell r="A220" t="str">
            <v>Micronesia</v>
          </cell>
        </row>
        <row r="221">
          <cell r="A221" t="str">
            <v>Dominica</v>
          </cell>
        </row>
        <row r="222">
          <cell r="A222" t="str">
            <v>Northern Mariana Islands</v>
          </cell>
        </row>
        <row r="223">
          <cell r="A223" t="str">
            <v>Vanuatu</v>
          </cell>
        </row>
        <row r="224">
          <cell r="A224" t="str">
            <v>St. Kitts &amp; Nevis</v>
          </cell>
        </row>
        <row r="225">
          <cell r="A225" t="str">
            <v>American Samoa</v>
          </cell>
        </row>
        <row r="226">
          <cell r="A226" t="str">
            <v>Monaco</v>
          </cell>
        </row>
        <row r="227">
          <cell r="A227" t="str">
            <v>Western Sahara</v>
          </cell>
        </row>
        <row r="228">
          <cell r="A228" t="str">
            <v>Turks &amp; Caicos Islands</v>
          </cell>
        </row>
        <row r="229">
          <cell r="A229" t="str">
            <v>San Marino</v>
          </cell>
        </row>
        <row r="230">
          <cell r="A230" t="str">
            <v>St. BarthÃ©lemy</v>
          </cell>
        </row>
        <row r="231">
          <cell r="A231" t="str">
            <v>Seychelles</v>
          </cell>
        </row>
        <row r="232">
          <cell r="A232" t="str">
            <v>Sint Maarten</v>
          </cell>
        </row>
        <row r="233">
          <cell r="A233" t="str">
            <v>British Virgin Islands</v>
          </cell>
        </row>
        <row r="234">
          <cell r="A234" t="str">
            <v>St. Martin</v>
          </cell>
        </row>
        <row r="235">
          <cell r="A235" t="str">
            <v>Antarctica</v>
          </cell>
        </row>
        <row r="236">
          <cell r="A236" t="str">
            <v>French Southern Territories</v>
          </cell>
        </row>
        <row r="237">
          <cell r="A237" t="str">
            <v>Bouvet Island</v>
          </cell>
        </row>
        <row r="238">
          <cell r="A238" t="str">
            <v>Cocos (Keeling) Islands</v>
          </cell>
        </row>
        <row r="239">
          <cell r="A239" t="str">
            <v>Christmas Island</v>
          </cell>
        </row>
        <row r="240">
          <cell r="A240" t="str">
            <v>Heard &amp; McDonald Islands</v>
          </cell>
        </row>
        <row r="241">
          <cell r="A241" t="str">
            <v>British Indian Ocean Territory</v>
          </cell>
        </row>
        <row r="242">
          <cell r="A242" t="str">
            <v>Kiribati</v>
          </cell>
        </row>
        <row r="243">
          <cell r="A243" t="str">
            <v>Montserrat</v>
          </cell>
        </row>
        <row r="244">
          <cell r="A244" t="str">
            <v>Norfolk Island</v>
          </cell>
        </row>
        <row r="245">
          <cell r="A245" t="str">
            <v>Niue</v>
          </cell>
        </row>
        <row r="246">
          <cell r="A246" t="str">
            <v>Nauru</v>
          </cell>
        </row>
        <row r="247">
          <cell r="A247" t="str">
            <v>Pitcairn Islands</v>
          </cell>
        </row>
        <row r="248">
          <cell r="A248" t="str">
            <v>South Georgia &amp; South Sandwich Islands</v>
          </cell>
        </row>
        <row r="249">
          <cell r="A249" t="str">
            <v>Tokelau</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1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1)"/>
    </sheetNames>
    <sheetDataSet>
      <sheetData sheetId="0">
        <row r="1">
          <cell r="A1" t="str">
            <v>Kategori: TÃ¼m kategoriler</v>
          </cell>
        </row>
        <row r="3">
          <cell r="A3" t="str">
            <v>Ãœlke</v>
          </cell>
          <cell r="B3" t="str">
            <v>For dÃ¶ngÃ¼sÃ¼: (2017)</v>
          </cell>
          <cell r="C3" t="str">
            <v>YÄ±ÄŸÄ±n: (2017)</v>
          </cell>
        </row>
        <row r="4">
          <cell r="A4" t="str">
            <v>China</v>
          </cell>
          <cell r="B4">
            <v>0.52</v>
          </cell>
          <cell r="C4">
            <v>0.48</v>
          </cell>
        </row>
        <row r="5">
          <cell r="A5" t="str">
            <v>South Korea</v>
          </cell>
          <cell r="B5">
            <v>0.6</v>
          </cell>
          <cell r="C5">
            <v>0.4</v>
          </cell>
        </row>
        <row r="6">
          <cell r="A6" t="str">
            <v>Taiwan</v>
          </cell>
          <cell r="B6">
            <v>0.28999999999999998</v>
          </cell>
          <cell r="C6">
            <v>0.71</v>
          </cell>
        </row>
        <row r="7">
          <cell r="A7" t="str">
            <v>Singapore</v>
          </cell>
          <cell r="B7">
            <v>0.53</v>
          </cell>
          <cell r="C7">
            <v>0.47</v>
          </cell>
        </row>
        <row r="8">
          <cell r="A8" t="str">
            <v>Hong Kong</v>
          </cell>
          <cell r="B8">
            <v>0.44</v>
          </cell>
          <cell r="C8">
            <v>0.56000000000000005</v>
          </cell>
        </row>
        <row r="9">
          <cell r="A9" t="str">
            <v>Cuba</v>
          </cell>
        </row>
        <row r="10">
          <cell r="A10" t="str">
            <v>Czechia</v>
          </cell>
          <cell r="B10">
            <v>0.19</v>
          </cell>
          <cell r="C10">
            <v>0.81</v>
          </cell>
        </row>
        <row r="11">
          <cell r="A11" t="str">
            <v>Slovenia</v>
          </cell>
        </row>
        <row r="12">
          <cell r="A12" t="str">
            <v>India</v>
          </cell>
          <cell r="B12">
            <v>0.56999999999999995</v>
          </cell>
          <cell r="C12">
            <v>0.43</v>
          </cell>
        </row>
        <row r="13">
          <cell r="A13" t="str">
            <v>Macao</v>
          </cell>
        </row>
        <row r="14">
          <cell r="A14" t="str">
            <v>Pakistan</v>
          </cell>
          <cell r="B14">
            <v>0.6</v>
          </cell>
          <cell r="C14">
            <v>0.4</v>
          </cell>
        </row>
        <row r="15">
          <cell r="A15" t="str">
            <v>Slovakia</v>
          </cell>
        </row>
        <row r="16">
          <cell r="A16" t="str">
            <v>Iceland</v>
          </cell>
        </row>
        <row r="17">
          <cell r="A17" t="str">
            <v>Nepal</v>
          </cell>
        </row>
        <row r="18">
          <cell r="A18" t="str">
            <v>Sri Lanka</v>
          </cell>
          <cell r="B18">
            <v>0.63</v>
          </cell>
          <cell r="C18">
            <v>0.37</v>
          </cell>
        </row>
        <row r="19">
          <cell r="A19" t="str">
            <v>St. Helena</v>
          </cell>
          <cell r="B19">
            <v>0.56000000000000005</v>
          </cell>
          <cell r="C19">
            <v>0.44</v>
          </cell>
        </row>
        <row r="20">
          <cell r="A20" t="str">
            <v>Israel</v>
          </cell>
          <cell r="B20">
            <v>0.54</v>
          </cell>
          <cell r="C20">
            <v>0.46</v>
          </cell>
        </row>
        <row r="21">
          <cell r="A21" t="str">
            <v>Mauritius</v>
          </cell>
        </row>
        <row r="22">
          <cell r="A22" t="str">
            <v>Luxembourg</v>
          </cell>
        </row>
        <row r="23">
          <cell r="A23" t="str">
            <v>Philippines</v>
          </cell>
          <cell r="B23">
            <v>0.54</v>
          </cell>
          <cell r="C23">
            <v>0.46</v>
          </cell>
        </row>
        <row r="24">
          <cell r="A24" t="str">
            <v>Canada</v>
          </cell>
          <cell r="B24">
            <v>0.52</v>
          </cell>
          <cell r="C24">
            <v>0.48</v>
          </cell>
        </row>
        <row r="25">
          <cell r="A25" t="str">
            <v>Switzerland</v>
          </cell>
          <cell r="B25">
            <v>0.62</v>
          </cell>
          <cell r="C25">
            <v>0.38</v>
          </cell>
        </row>
        <row r="26">
          <cell r="A26" t="str">
            <v>Ethiopia</v>
          </cell>
        </row>
        <row r="27">
          <cell r="A27" t="str">
            <v>Guam</v>
          </cell>
        </row>
        <row r="28">
          <cell r="A28" t="str">
            <v>Japan</v>
          </cell>
          <cell r="B28">
            <v>0.57999999999999996</v>
          </cell>
          <cell r="C28">
            <v>0.42</v>
          </cell>
        </row>
        <row r="29">
          <cell r="A29" t="str">
            <v>Ireland</v>
          </cell>
          <cell r="B29">
            <v>0.48</v>
          </cell>
          <cell r="C29">
            <v>0.52</v>
          </cell>
        </row>
        <row r="30">
          <cell r="A30" t="str">
            <v>United States</v>
          </cell>
          <cell r="B30">
            <v>0.48</v>
          </cell>
          <cell r="C30">
            <v>0.52</v>
          </cell>
        </row>
        <row r="31">
          <cell r="A31" t="str">
            <v>Madagascar</v>
          </cell>
        </row>
        <row r="32">
          <cell r="A32" t="str">
            <v>Australia</v>
          </cell>
          <cell r="B32">
            <v>0.44</v>
          </cell>
          <cell r="C32">
            <v>0.56000000000000005</v>
          </cell>
        </row>
        <row r="33">
          <cell r="A33" t="str">
            <v>New Zealand</v>
          </cell>
          <cell r="B33">
            <v>0.48</v>
          </cell>
          <cell r="C33">
            <v>0.52</v>
          </cell>
        </row>
        <row r="34">
          <cell r="A34" t="str">
            <v>Malta</v>
          </cell>
        </row>
        <row r="35">
          <cell r="A35" t="str">
            <v>Sweden</v>
          </cell>
          <cell r="B35">
            <v>0.41</v>
          </cell>
          <cell r="C35">
            <v>0.59</v>
          </cell>
        </row>
        <row r="36">
          <cell r="A36" t="str">
            <v>Estonia</v>
          </cell>
        </row>
        <row r="37">
          <cell r="A37" t="str">
            <v>Bhutan</v>
          </cell>
        </row>
        <row r="38">
          <cell r="A38" t="str">
            <v>Afghanistan</v>
          </cell>
        </row>
        <row r="39">
          <cell r="A39" t="str">
            <v>Angola</v>
          </cell>
        </row>
        <row r="40">
          <cell r="A40" t="str">
            <v>Netherlands</v>
          </cell>
          <cell r="B40">
            <v>0.43</v>
          </cell>
          <cell r="C40">
            <v>0.56999999999999995</v>
          </cell>
        </row>
        <row r="41">
          <cell r="A41" t="str">
            <v>North Macedonia</v>
          </cell>
        </row>
        <row r="42">
          <cell r="A42" t="str">
            <v>Portugal</v>
          </cell>
          <cell r="B42">
            <v>0.64</v>
          </cell>
          <cell r="C42">
            <v>0.36</v>
          </cell>
        </row>
        <row r="43">
          <cell r="A43" t="str">
            <v>Rwanda</v>
          </cell>
        </row>
        <row r="44">
          <cell r="A44" t="str">
            <v>Maldives</v>
          </cell>
        </row>
        <row r="45">
          <cell r="A45" t="str">
            <v>Cameroon</v>
          </cell>
        </row>
        <row r="46">
          <cell r="A46" t="str">
            <v>Armenia</v>
          </cell>
        </row>
        <row r="47">
          <cell r="A47" t="str">
            <v>Myanmar (Burma)</v>
          </cell>
        </row>
        <row r="48">
          <cell r="A48" t="str">
            <v>Finland</v>
          </cell>
          <cell r="B48">
            <v>0.48</v>
          </cell>
          <cell r="C48">
            <v>0.52</v>
          </cell>
        </row>
        <row r="49">
          <cell r="A49" t="str">
            <v>United Kingdom</v>
          </cell>
          <cell r="B49">
            <v>0.48</v>
          </cell>
          <cell r="C49">
            <v>0.52</v>
          </cell>
        </row>
        <row r="50">
          <cell r="A50" t="str">
            <v>Germany</v>
          </cell>
          <cell r="B50">
            <v>0.59</v>
          </cell>
          <cell r="C50">
            <v>0.41</v>
          </cell>
        </row>
        <row r="51">
          <cell r="A51" t="str">
            <v>Cyprus</v>
          </cell>
        </row>
        <row r="52">
          <cell r="A52" t="str">
            <v>Norway</v>
          </cell>
          <cell r="B52">
            <v>0.44</v>
          </cell>
          <cell r="C52">
            <v>0.56000000000000005</v>
          </cell>
        </row>
        <row r="53">
          <cell r="A53" t="str">
            <v>Bangladesh</v>
          </cell>
          <cell r="B53">
            <v>0.63</v>
          </cell>
          <cell r="C53">
            <v>0.37</v>
          </cell>
        </row>
        <row r="54">
          <cell r="A54" t="str">
            <v>Jersey</v>
          </cell>
        </row>
        <row r="55">
          <cell r="A55" t="str">
            <v>Jamaica</v>
          </cell>
        </row>
        <row r="56">
          <cell r="A56" t="str">
            <v>Lesotho</v>
          </cell>
        </row>
        <row r="57">
          <cell r="A57" t="str">
            <v>Bulgaria</v>
          </cell>
          <cell r="B57">
            <v>0.31</v>
          </cell>
          <cell r="C57">
            <v>0.69</v>
          </cell>
        </row>
        <row r="58">
          <cell r="A58" t="str">
            <v>Isle of Man</v>
          </cell>
        </row>
        <row r="59">
          <cell r="A59" t="str">
            <v>Austria</v>
          </cell>
          <cell r="B59">
            <v>0.56000000000000005</v>
          </cell>
          <cell r="C59">
            <v>0.44</v>
          </cell>
        </row>
        <row r="60">
          <cell r="A60" t="str">
            <v>Brunei</v>
          </cell>
        </row>
        <row r="61">
          <cell r="A61" t="str">
            <v>Belarus</v>
          </cell>
          <cell r="B61">
            <v>0.47</v>
          </cell>
          <cell r="C61">
            <v>0.53</v>
          </cell>
        </row>
        <row r="62">
          <cell r="A62" t="str">
            <v>Fiji</v>
          </cell>
        </row>
        <row r="63">
          <cell r="A63" t="str">
            <v>Lithuania</v>
          </cell>
        </row>
        <row r="64">
          <cell r="A64" t="str">
            <v>Tunisia</v>
          </cell>
        </row>
        <row r="65">
          <cell r="A65" t="str">
            <v>Botswana</v>
          </cell>
        </row>
        <row r="66">
          <cell r="A66" t="str">
            <v>Serbia</v>
          </cell>
          <cell r="B66">
            <v>0.39</v>
          </cell>
          <cell r="C66">
            <v>0.61</v>
          </cell>
        </row>
        <row r="67">
          <cell r="A67" t="str">
            <v>Lebanon</v>
          </cell>
        </row>
        <row r="68">
          <cell r="A68" t="str">
            <v>Iran</v>
          </cell>
          <cell r="B68">
            <v>0.22</v>
          </cell>
          <cell r="C68">
            <v>0.78</v>
          </cell>
        </row>
        <row r="69">
          <cell r="A69" t="str">
            <v>South Africa</v>
          </cell>
          <cell r="B69">
            <v>0.52</v>
          </cell>
          <cell r="C69">
            <v>0.48</v>
          </cell>
        </row>
        <row r="70">
          <cell r="A70" t="str">
            <v>Guatemala</v>
          </cell>
        </row>
        <row r="71">
          <cell r="A71" t="str">
            <v>Denmark</v>
          </cell>
          <cell r="B71">
            <v>0.46</v>
          </cell>
          <cell r="C71">
            <v>0.54</v>
          </cell>
        </row>
        <row r="72">
          <cell r="A72" t="str">
            <v>Honduras</v>
          </cell>
        </row>
        <row r="73">
          <cell r="A73" t="str">
            <v>Montenegro</v>
          </cell>
        </row>
        <row r="74">
          <cell r="A74" t="str">
            <v>Malaysia</v>
          </cell>
          <cell r="B74">
            <v>0.52</v>
          </cell>
          <cell r="C74">
            <v>0.48</v>
          </cell>
        </row>
        <row r="75">
          <cell r="A75" t="str">
            <v>Latvia</v>
          </cell>
        </row>
        <row r="76">
          <cell r="A76" t="str">
            <v>Malawi</v>
          </cell>
        </row>
        <row r="77">
          <cell r="A77" t="str">
            <v>El Salvador</v>
          </cell>
        </row>
        <row r="78">
          <cell r="A78" t="str">
            <v>Benin</v>
          </cell>
        </row>
        <row r="79">
          <cell r="A79" t="str">
            <v>Cambodia</v>
          </cell>
        </row>
        <row r="80">
          <cell r="A80" t="str">
            <v>Romania</v>
          </cell>
          <cell r="B80">
            <v>0.28000000000000003</v>
          </cell>
          <cell r="C80">
            <v>0.72</v>
          </cell>
        </row>
        <row r="81">
          <cell r="A81" t="str">
            <v>United Arab Emirates</v>
          </cell>
          <cell r="B81">
            <v>0.45</v>
          </cell>
          <cell r="C81">
            <v>0.55000000000000004</v>
          </cell>
        </row>
        <row r="82">
          <cell r="A82" t="str">
            <v>Bosnia &amp; Herzegovina</v>
          </cell>
        </row>
        <row r="83">
          <cell r="A83" t="str">
            <v>Mongolia</v>
          </cell>
        </row>
        <row r="84">
          <cell r="A84" t="str">
            <v>Costa Rica</v>
          </cell>
        </row>
        <row r="85">
          <cell r="A85" t="str">
            <v>Croatia</v>
          </cell>
          <cell r="B85">
            <v>0.4</v>
          </cell>
          <cell r="C85">
            <v>0.6</v>
          </cell>
        </row>
        <row r="86">
          <cell r="A86" t="str">
            <v>Belgium</v>
          </cell>
          <cell r="B86">
            <v>0.52</v>
          </cell>
          <cell r="C86">
            <v>0.48</v>
          </cell>
        </row>
        <row r="87">
          <cell r="A87" t="str">
            <v>Poland</v>
          </cell>
          <cell r="B87">
            <v>0.41</v>
          </cell>
          <cell r="C87">
            <v>0.59</v>
          </cell>
        </row>
        <row r="88">
          <cell r="A88" t="str">
            <v>Ecuador</v>
          </cell>
        </row>
        <row r="89">
          <cell r="A89" t="str">
            <v>France</v>
          </cell>
          <cell r="B89">
            <v>0.75</v>
          </cell>
          <cell r="C89">
            <v>0.25</v>
          </cell>
        </row>
        <row r="90">
          <cell r="A90" t="str">
            <v>Zimbabwe</v>
          </cell>
        </row>
        <row r="91">
          <cell r="A91" t="str">
            <v>Papua New Guinea</v>
          </cell>
        </row>
        <row r="92">
          <cell r="A92" t="str">
            <v>Mexico</v>
          </cell>
          <cell r="B92">
            <v>0.73</v>
          </cell>
          <cell r="C92">
            <v>0.27</v>
          </cell>
        </row>
        <row r="93">
          <cell r="A93" t="str">
            <v>Greece</v>
          </cell>
          <cell r="B93">
            <v>0.35</v>
          </cell>
          <cell r="C93">
            <v>0.65</v>
          </cell>
        </row>
        <row r="94">
          <cell r="A94" t="str">
            <v>Namibia</v>
          </cell>
        </row>
        <row r="95">
          <cell r="A95" t="str">
            <v>Laos</v>
          </cell>
        </row>
        <row r="96">
          <cell r="A96" t="str">
            <v>Russia</v>
          </cell>
          <cell r="B96">
            <v>0.49</v>
          </cell>
          <cell r="C96">
            <v>0.51</v>
          </cell>
        </row>
        <row r="97">
          <cell r="A97" t="str">
            <v>Bahrain</v>
          </cell>
        </row>
        <row r="98">
          <cell r="A98" t="str">
            <v>Spain</v>
          </cell>
          <cell r="B98">
            <v>0.68</v>
          </cell>
          <cell r="C98">
            <v>0.32</v>
          </cell>
        </row>
        <row r="99">
          <cell r="A99" t="str">
            <v>Trinidad &amp; Tobago</v>
          </cell>
        </row>
        <row r="100">
          <cell r="A100" t="str">
            <v>Colombia</v>
          </cell>
          <cell r="B100">
            <v>0.76</v>
          </cell>
          <cell r="C100">
            <v>0.24</v>
          </cell>
        </row>
        <row r="101">
          <cell r="A101" t="str">
            <v>Mozambique</v>
          </cell>
        </row>
        <row r="102">
          <cell r="A102" t="str">
            <v>Ukraine</v>
          </cell>
          <cell r="B102">
            <v>0.51</v>
          </cell>
          <cell r="C102">
            <v>0.49</v>
          </cell>
        </row>
        <row r="103">
          <cell r="A103" t="str">
            <v>Somalia</v>
          </cell>
        </row>
        <row r="104">
          <cell r="A104" t="str">
            <v>Zambia</v>
          </cell>
        </row>
        <row r="105">
          <cell r="A105" t="str">
            <v>Qatar</v>
          </cell>
        </row>
        <row r="106">
          <cell r="A106" t="str">
            <v>Bolivia</v>
          </cell>
        </row>
        <row r="107">
          <cell r="A107" t="str">
            <v>Ghana</v>
          </cell>
        </row>
        <row r="108">
          <cell r="A108" t="str">
            <v>Uganda</v>
          </cell>
        </row>
        <row r="109">
          <cell r="A109" t="str">
            <v>Nicaragua</v>
          </cell>
        </row>
        <row r="110">
          <cell r="A110" t="str">
            <v>Chile</v>
          </cell>
          <cell r="B110">
            <v>0.68</v>
          </cell>
          <cell r="C110">
            <v>0.32</v>
          </cell>
        </row>
        <row r="111">
          <cell r="A111" t="str">
            <v>Puerto Rico</v>
          </cell>
        </row>
        <row r="112">
          <cell r="A112" t="str">
            <v>Peru</v>
          </cell>
          <cell r="B112">
            <v>0.74</v>
          </cell>
          <cell r="C112">
            <v>0.26</v>
          </cell>
        </row>
        <row r="113">
          <cell r="A113" t="str">
            <v>Hungary</v>
          </cell>
          <cell r="B113">
            <v>0.46</v>
          </cell>
          <cell r="C113">
            <v>0.54</v>
          </cell>
        </row>
        <row r="114">
          <cell r="A114" t="str">
            <v>Tanzania</v>
          </cell>
        </row>
        <row r="115">
          <cell r="A115" t="str">
            <v>Palestine</v>
          </cell>
        </row>
        <row r="116">
          <cell r="A116" t="str">
            <v>Uruguay</v>
          </cell>
        </row>
        <row r="117">
          <cell r="A117" t="str">
            <v>Panama</v>
          </cell>
        </row>
        <row r="118">
          <cell r="A118" t="str">
            <v>Belize</v>
          </cell>
        </row>
        <row r="119">
          <cell r="A119" t="str">
            <v>Barbados</v>
          </cell>
        </row>
        <row r="120">
          <cell r="A120" t="str">
            <v>Uzbekistan</v>
          </cell>
        </row>
        <row r="121">
          <cell r="A121" t="str">
            <v>Moldova</v>
          </cell>
        </row>
        <row r="122">
          <cell r="A122" t="str">
            <v>Kenya</v>
          </cell>
        </row>
        <row r="123">
          <cell r="A123" t="str">
            <v>Oman</v>
          </cell>
        </row>
        <row r="124">
          <cell r="A124" t="str">
            <v>Bahamas</v>
          </cell>
        </row>
        <row r="125">
          <cell r="A125" t="str">
            <v>Albania</v>
          </cell>
        </row>
        <row r="126">
          <cell r="A126" t="str">
            <v>Kazakhstan</v>
          </cell>
          <cell r="B126">
            <v>0.55000000000000004</v>
          </cell>
          <cell r="C126">
            <v>0.45</v>
          </cell>
        </row>
        <row r="127">
          <cell r="A127" t="str">
            <v>Senegal</v>
          </cell>
        </row>
        <row r="128">
          <cell r="A128" t="str">
            <v>Jordan</v>
          </cell>
        </row>
        <row r="129">
          <cell r="A129" t="str">
            <v>Nigeria</v>
          </cell>
          <cell r="B129">
            <v>0.46</v>
          </cell>
          <cell r="C129">
            <v>0.54</v>
          </cell>
        </row>
        <row r="130">
          <cell r="A130" t="str">
            <v>Kosovo</v>
          </cell>
        </row>
        <row r="131">
          <cell r="A131" t="str">
            <v>Tajikistan</v>
          </cell>
        </row>
        <row r="132">
          <cell r="A132" t="str">
            <v>Thailand</v>
          </cell>
          <cell r="B132">
            <v>0.43</v>
          </cell>
          <cell r="C132">
            <v>0.56999999999999995</v>
          </cell>
        </row>
        <row r="133">
          <cell r="A133" t="str">
            <v>Italy</v>
          </cell>
          <cell r="B133">
            <v>0.51</v>
          </cell>
          <cell r="C133">
            <v>0.49</v>
          </cell>
        </row>
        <row r="134">
          <cell r="A134" t="str">
            <v>Morocco</v>
          </cell>
        </row>
        <row r="135">
          <cell r="A135" t="str">
            <v>Paraguay</v>
          </cell>
        </row>
        <row r="136">
          <cell r="A136" t="str">
            <v>Libya</v>
          </cell>
        </row>
        <row r="137">
          <cell r="A137" t="str">
            <v>Kuwait</v>
          </cell>
        </row>
        <row r="138">
          <cell r="A138" t="str">
            <v>Argentina</v>
          </cell>
          <cell r="B138">
            <v>0.64</v>
          </cell>
          <cell r="C138">
            <v>0.36</v>
          </cell>
        </row>
        <row r="139">
          <cell r="A139" t="str">
            <v>Georgia</v>
          </cell>
        </row>
        <row r="140">
          <cell r="A140" t="str">
            <v>Guyana</v>
          </cell>
        </row>
        <row r="141">
          <cell r="A141" t="str">
            <v>Vietnam</v>
          </cell>
          <cell r="B141">
            <v>0.33</v>
          </cell>
          <cell r="C141">
            <v>0.67</v>
          </cell>
        </row>
        <row r="142">
          <cell r="A142" t="str">
            <v>Egypt</v>
          </cell>
          <cell r="B142">
            <v>0.52</v>
          </cell>
          <cell r="C142">
            <v>0.48</v>
          </cell>
        </row>
        <row r="143">
          <cell r="A143" t="str">
            <v>Azerbaijan</v>
          </cell>
        </row>
        <row r="144">
          <cell r="A144" t="str">
            <v>Brazil</v>
          </cell>
          <cell r="B144">
            <v>0.61</v>
          </cell>
          <cell r="C144">
            <v>0.39</v>
          </cell>
        </row>
        <row r="145">
          <cell r="A145" t="str">
            <v>Dominican Republic</v>
          </cell>
        </row>
        <row r="146">
          <cell r="A146" t="str">
            <v>Turkey</v>
          </cell>
          <cell r="B146">
            <v>0.59</v>
          </cell>
          <cell r="C146">
            <v>0.41</v>
          </cell>
        </row>
        <row r="147">
          <cell r="A147" t="str">
            <v>Congo - Kinshasa</v>
          </cell>
        </row>
        <row r="148">
          <cell r="A148" t="str">
            <v>Indonesia</v>
          </cell>
          <cell r="B148">
            <v>0.25</v>
          </cell>
          <cell r="C148">
            <v>0.75</v>
          </cell>
        </row>
        <row r="149">
          <cell r="A149" t="str">
            <v>Kyrgyzstan</v>
          </cell>
        </row>
        <row r="150">
          <cell r="A150" t="str">
            <v>CÃ´te dâ€™Ivoire</v>
          </cell>
        </row>
        <row r="151">
          <cell r="A151" t="str">
            <v>Saudi Arabia</v>
          </cell>
          <cell r="B151">
            <v>0.43</v>
          </cell>
          <cell r="C151">
            <v>0.56999999999999995</v>
          </cell>
        </row>
        <row r="152">
          <cell r="A152" t="str">
            <v>Sudan</v>
          </cell>
        </row>
        <row r="153">
          <cell r="A153" t="str">
            <v>Algeria</v>
          </cell>
        </row>
        <row r="154">
          <cell r="A154" t="str">
            <v>Venezuela</v>
          </cell>
        </row>
        <row r="155">
          <cell r="A155" t="str">
            <v>Syria</v>
          </cell>
        </row>
        <row r="156">
          <cell r="A156" t="str">
            <v>Yemen</v>
          </cell>
        </row>
        <row r="157">
          <cell r="A157" t="str">
            <v>RÃ©union</v>
          </cell>
        </row>
        <row r="158">
          <cell r="A158" t="str">
            <v>Iraq</v>
          </cell>
        </row>
        <row r="159">
          <cell r="A159" t="str">
            <v>Montserrat</v>
          </cell>
        </row>
        <row r="160">
          <cell r="A160" t="str">
            <v>Eritrea</v>
          </cell>
        </row>
        <row r="161">
          <cell r="A161" t="str">
            <v>Anguilla</v>
          </cell>
        </row>
        <row r="162">
          <cell r="A162" t="str">
            <v>SÃ£o TomÃ© &amp; PrÃ­ncipe</v>
          </cell>
        </row>
        <row r="163">
          <cell r="A163" t="str">
            <v>St. Martin</v>
          </cell>
        </row>
        <row r="164">
          <cell r="A164" t="str">
            <v>St. Pierre &amp; Miquelon</v>
          </cell>
        </row>
        <row r="165">
          <cell r="A165" t="str">
            <v>Micronesia</v>
          </cell>
        </row>
        <row r="166">
          <cell r="A166" t="str">
            <v>Gibraltar</v>
          </cell>
        </row>
        <row r="167">
          <cell r="A167" t="str">
            <v>Ã…land Islands</v>
          </cell>
        </row>
        <row r="168">
          <cell r="A168" t="str">
            <v>Tonga</v>
          </cell>
        </row>
        <row r="169">
          <cell r="A169" t="str">
            <v>Equatorial Guinea</v>
          </cell>
        </row>
        <row r="170">
          <cell r="A170" t="str">
            <v>Guinea-Bissau</v>
          </cell>
        </row>
        <row r="171">
          <cell r="A171" t="str">
            <v>Burundi</v>
          </cell>
        </row>
        <row r="172">
          <cell r="A172" t="str">
            <v>Dominica</v>
          </cell>
        </row>
        <row r="173">
          <cell r="A173" t="str">
            <v>Central African Republic</v>
          </cell>
        </row>
        <row r="174">
          <cell r="A174" t="str">
            <v>St. Lucia</v>
          </cell>
        </row>
        <row r="175">
          <cell r="A175" t="str">
            <v>Monaco</v>
          </cell>
        </row>
        <row r="176">
          <cell r="A176" t="str">
            <v>Cape Verde</v>
          </cell>
        </row>
        <row r="177">
          <cell r="A177" t="str">
            <v>St. Kitts &amp; Nevis</v>
          </cell>
        </row>
        <row r="178">
          <cell r="A178" t="str">
            <v>Sint Maarten</v>
          </cell>
        </row>
        <row r="179">
          <cell r="A179" t="str">
            <v>Samoa</v>
          </cell>
        </row>
        <row r="180">
          <cell r="A180" t="str">
            <v>Greenland</v>
          </cell>
        </row>
        <row r="181">
          <cell r="A181" t="str">
            <v>Vanuatu</v>
          </cell>
        </row>
        <row r="182">
          <cell r="A182" t="str">
            <v>St. Vincent &amp; Grenadines</v>
          </cell>
        </row>
        <row r="183">
          <cell r="A183" t="str">
            <v>Solomon Islands</v>
          </cell>
        </row>
        <row r="184">
          <cell r="A184" t="str">
            <v>Guernsey</v>
          </cell>
        </row>
        <row r="185">
          <cell r="A185" t="str">
            <v>Eswatini</v>
          </cell>
        </row>
        <row r="186">
          <cell r="A186" t="str">
            <v>Western Sahara</v>
          </cell>
        </row>
        <row r="187">
          <cell r="A187" t="str">
            <v>Grenada</v>
          </cell>
        </row>
        <row r="188">
          <cell r="A188" t="str">
            <v>Faroe Islands</v>
          </cell>
        </row>
        <row r="189">
          <cell r="A189" t="str">
            <v>Liechtenstein</v>
          </cell>
        </row>
        <row r="190">
          <cell r="A190" t="str">
            <v>Djibouti</v>
          </cell>
        </row>
        <row r="191">
          <cell r="A191" t="str">
            <v>Gambia</v>
          </cell>
        </row>
        <row r="192">
          <cell r="A192" t="str">
            <v>Congo - Brazzaville</v>
          </cell>
        </row>
        <row r="193">
          <cell r="A193" t="str">
            <v>St. BarthÃ©lemy</v>
          </cell>
        </row>
        <row r="194">
          <cell r="A194" t="str">
            <v>Turks &amp; Caicos Islands</v>
          </cell>
        </row>
        <row r="195">
          <cell r="A195" t="str">
            <v>New Caledonia</v>
          </cell>
        </row>
        <row r="196">
          <cell r="A196" t="str">
            <v>Northern Mariana Islands</v>
          </cell>
        </row>
        <row r="197">
          <cell r="A197" t="str">
            <v>Seychelles</v>
          </cell>
        </row>
        <row r="198">
          <cell r="A198" t="str">
            <v>Antigua &amp; Barbuda</v>
          </cell>
        </row>
        <row r="199">
          <cell r="A199" t="str">
            <v>San Marino</v>
          </cell>
        </row>
        <row r="200">
          <cell r="A200" t="str">
            <v>French Polynesia</v>
          </cell>
        </row>
        <row r="201">
          <cell r="A201" t="str">
            <v>Andorra</v>
          </cell>
        </row>
        <row r="202">
          <cell r="A202" t="str">
            <v>Turkmenistan</v>
          </cell>
        </row>
        <row r="203">
          <cell r="A203" t="str">
            <v>U.S. Virgin Islands</v>
          </cell>
        </row>
        <row r="204">
          <cell r="A204" t="str">
            <v>Haiti</v>
          </cell>
        </row>
        <row r="205">
          <cell r="A205" t="str">
            <v>Mauritania</v>
          </cell>
        </row>
        <row r="206">
          <cell r="A206" t="str">
            <v>Togo</v>
          </cell>
        </row>
        <row r="207">
          <cell r="A207" t="str">
            <v>Cayman Islands</v>
          </cell>
        </row>
        <row r="208">
          <cell r="A208" t="str">
            <v>Gabon</v>
          </cell>
        </row>
        <row r="209">
          <cell r="A209" t="str">
            <v>French Guiana</v>
          </cell>
        </row>
        <row r="210">
          <cell r="A210" t="str">
            <v>Chad</v>
          </cell>
        </row>
        <row r="211">
          <cell r="A211" t="str">
            <v>Sierra Leone</v>
          </cell>
        </row>
        <row r="212">
          <cell r="A212" t="str">
            <v>Burkina Faso</v>
          </cell>
        </row>
        <row r="213">
          <cell r="A213" t="str">
            <v>Aruba</v>
          </cell>
        </row>
        <row r="214">
          <cell r="A214" t="str">
            <v>Liberia</v>
          </cell>
        </row>
        <row r="215">
          <cell r="A215" t="str">
            <v>Martinique</v>
          </cell>
        </row>
        <row r="216">
          <cell r="A216" t="str">
            <v>Guadeloupe</v>
          </cell>
        </row>
        <row r="217">
          <cell r="A217" t="str">
            <v>South Sudan</v>
          </cell>
        </row>
        <row r="218">
          <cell r="A218" t="str">
            <v>Bermuda</v>
          </cell>
        </row>
        <row r="219">
          <cell r="A219" t="str">
            <v>Niger</v>
          </cell>
        </row>
        <row r="220">
          <cell r="A220" t="str">
            <v>Suriname</v>
          </cell>
        </row>
        <row r="221">
          <cell r="A221" t="str">
            <v>Mali</v>
          </cell>
        </row>
        <row r="222">
          <cell r="A222" t="str">
            <v>CuraÃ§ao</v>
          </cell>
        </row>
        <row r="223">
          <cell r="A223" t="str">
            <v>Guinea</v>
          </cell>
        </row>
        <row r="224">
          <cell r="A224" t="str">
            <v>American Samoa</v>
          </cell>
        </row>
        <row r="225">
          <cell r="A225" t="str">
            <v>Antarctica</v>
          </cell>
        </row>
        <row r="226">
          <cell r="A226" t="str">
            <v>French Southern Territories</v>
          </cell>
        </row>
        <row r="227">
          <cell r="A227" t="str">
            <v>Caribbean Netherlands</v>
          </cell>
        </row>
        <row r="228">
          <cell r="A228" t="str">
            <v>Bouvet Island</v>
          </cell>
        </row>
        <row r="229">
          <cell r="A229" t="str">
            <v>Cocos (Keeling) Islands</v>
          </cell>
        </row>
        <row r="230">
          <cell r="A230" t="str">
            <v>Cook Islands</v>
          </cell>
        </row>
        <row r="231">
          <cell r="A231" t="str">
            <v>Comoros</v>
          </cell>
        </row>
        <row r="232">
          <cell r="A232" t="str">
            <v>Christmas Island</v>
          </cell>
        </row>
        <row r="233">
          <cell r="A233" t="str">
            <v>Falkland Islands (Islas Malvinas)</v>
          </cell>
        </row>
        <row r="234">
          <cell r="A234" t="str">
            <v>Heard &amp; McDonald Islands</v>
          </cell>
        </row>
        <row r="235">
          <cell r="A235" t="str">
            <v>British Indian Ocean Territory</v>
          </cell>
        </row>
        <row r="236">
          <cell r="A236" t="str">
            <v>Kiribati</v>
          </cell>
        </row>
        <row r="237">
          <cell r="A237" t="str">
            <v>Marshall Islands</v>
          </cell>
        </row>
        <row r="238">
          <cell r="A238" t="str">
            <v>Mayotte</v>
          </cell>
        </row>
        <row r="239">
          <cell r="A239" t="str">
            <v>Norfolk Island</v>
          </cell>
        </row>
        <row r="240">
          <cell r="A240" t="str">
            <v>Niue</v>
          </cell>
        </row>
        <row r="241">
          <cell r="A241" t="str">
            <v>Nauru</v>
          </cell>
        </row>
        <row r="242">
          <cell r="A242" t="str">
            <v>Pitcairn Islands</v>
          </cell>
        </row>
        <row r="243">
          <cell r="A243" t="str">
            <v>Palau</v>
          </cell>
        </row>
        <row r="244">
          <cell r="A244" t="str">
            <v>North Korea</v>
          </cell>
        </row>
        <row r="245">
          <cell r="A245" t="str">
            <v>South Georgia &amp; South Sandwich Islands</v>
          </cell>
        </row>
        <row r="246">
          <cell r="A246" t="str">
            <v>Svalbard &amp; Jan Mayen</v>
          </cell>
        </row>
        <row r="247">
          <cell r="A247" t="str">
            <v>Tokelau</v>
          </cell>
        </row>
        <row r="248">
          <cell r="A248" t="str">
            <v>Timor-Leste</v>
          </cell>
        </row>
        <row r="249">
          <cell r="A249" t="str">
            <v>Tuvalu</v>
          </cell>
        </row>
        <row r="250">
          <cell r="A250" t="str">
            <v>U.S. Outlying Islands</v>
          </cell>
        </row>
        <row r="251">
          <cell r="A251" t="str">
            <v>Vatican City</v>
          </cell>
        </row>
        <row r="252">
          <cell r="A252" t="str">
            <v>British Virgin Islands</v>
          </cell>
        </row>
        <row r="253">
          <cell r="A253" t="str">
            <v>Wallis &amp; Futuna</v>
          </cell>
        </row>
      </sheetData>
    </sheetDataSet>
  </externalBook>
</externalLink>
</file>

<file path=xl/externalLinks/externalLink1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2)"/>
    </sheetNames>
    <sheetDataSet>
      <sheetData sheetId="0">
        <row r="1">
          <cell r="A1" t="str">
            <v>Kategori: TÃ¼m kategoriler</v>
          </cell>
        </row>
        <row r="3">
          <cell r="A3" t="str">
            <v>Ãœlke</v>
          </cell>
          <cell r="B3" t="str">
            <v>YÄ±ÄŸÄ±n: (2017)</v>
          </cell>
          <cell r="C3" t="str">
            <v>DÃ¼zenli ifade: (2017)</v>
          </cell>
        </row>
        <row r="4">
          <cell r="A4" t="str">
            <v>China</v>
          </cell>
          <cell r="B4">
            <v>0.31</v>
          </cell>
          <cell r="C4">
            <v>0.69</v>
          </cell>
        </row>
        <row r="5">
          <cell r="A5" t="str">
            <v>Taiwan</v>
          </cell>
          <cell r="B5">
            <v>0.77</v>
          </cell>
          <cell r="C5">
            <v>0.23</v>
          </cell>
        </row>
        <row r="6">
          <cell r="A6" t="str">
            <v>Cuba</v>
          </cell>
        </row>
        <row r="7">
          <cell r="A7" t="str">
            <v>South Korea</v>
          </cell>
          <cell r="B7">
            <v>0.49</v>
          </cell>
          <cell r="C7">
            <v>0.51</v>
          </cell>
        </row>
        <row r="8">
          <cell r="A8" t="str">
            <v>Czechia</v>
          </cell>
          <cell r="B8">
            <v>0.59</v>
          </cell>
          <cell r="C8">
            <v>0.41</v>
          </cell>
        </row>
        <row r="9">
          <cell r="A9" t="str">
            <v>Hong Kong</v>
          </cell>
          <cell r="B9">
            <v>0.65</v>
          </cell>
          <cell r="C9">
            <v>0.35</v>
          </cell>
        </row>
        <row r="10">
          <cell r="A10" t="str">
            <v>Israel</v>
          </cell>
          <cell r="B10">
            <v>0.38</v>
          </cell>
          <cell r="C10">
            <v>0.62</v>
          </cell>
        </row>
        <row r="11">
          <cell r="A11" t="str">
            <v>St. Helena</v>
          </cell>
          <cell r="B11">
            <v>0.34</v>
          </cell>
          <cell r="C11">
            <v>0.66</v>
          </cell>
        </row>
        <row r="12">
          <cell r="A12" t="str">
            <v>Singapore</v>
          </cell>
          <cell r="B12">
            <v>0.55000000000000004</v>
          </cell>
          <cell r="C12">
            <v>0.45</v>
          </cell>
        </row>
        <row r="13">
          <cell r="A13" t="str">
            <v>Luxembourg</v>
          </cell>
        </row>
        <row r="14">
          <cell r="A14" t="str">
            <v>Slovenia</v>
          </cell>
          <cell r="B14">
            <v>0.68</v>
          </cell>
          <cell r="C14">
            <v>0.32</v>
          </cell>
        </row>
        <row r="15">
          <cell r="A15" t="str">
            <v>Estonia</v>
          </cell>
        </row>
        <row r="16">
          <cell r="A16" t="str">
            <v>Slovakia</v>
          </cell>
          <cell r="B16">
            <v>0.66</v>
          </cell>
          <cell r="C16">
            <v>0.34</v>
          </cell>
        </row>
        <row r="17">
          <cell r="A17" t="str">
            <v>Belarus</v>
          </cell>
          <cell r="B17">
            <v>0.34</v>
          </cell>
          <cell r="C17">
            <v>0.66</v>
          </cell>
        </row>
        <row r="18">
          <cell r="A18" t="str">
            <v>Iceland</v>
          </cell>
        </row>
        <row r="19">
          <cell r="A19" t="str">
            <v>Japan</v>
          </cell>
          <cell r="B19">
            <v>0.37</v>
          </cell>
          <cell r="C19">
            <v>0.63</v>
          </cell>
        </row>
        <row r="20">
          <cell r="A20" t="str">
            <v>Macao</v>
          </cell>
        </row>
        <row r="21">
          <cell r="A21" t="str">
            <v>Switzerland</v>
          </cell>
          <cell r="B21">
            <v>0.35</v>
          </cell>
          <cell r="C21">
            <v>0.65</v>
          </cell>
        </row>
        <row r="22">
          <cell r="A22" t="str">
            <v>Malta</v>
          </cell>
        </row>
        <row r="23">
          <cell r="A23" t="str">
            <v>New Zealand</v>
          </cell>
          <cell r="B23">
            <v>0.54</v>
          </cell>
          <cell r="C23">
            <v>0.46</v>
          </cell>
        </row>
        <row r="24">
          <cell r="A24" t="str">
            <v>Armenia</v>
          </cell>
        </row>
        <row r="25">
          <cell r="A25" t="str">
            <v>United States</v>
          </cell>
          <cell r="B25">
            <v>0.56999999999999995</v>
          </cell>
          <cell r="C25">
            <v>0.43</v>
          </cell>
        </row>
        <row r="26">
          <cell r="A26" t="str">
            <v>India</v>
          </cell>
          <cell r="B26">
            <v>0.53</v>
          </cell>
          <cell r="C26">
            <v>0.47</v>
          </cell>
        </row>
        <row r="27">
          <cell r="A27" t="str">
            <v>Ireland</v>
          </cell>
          <cell r="B27">
            <v>0.51</v>
          </cell>
          <cell r="C27">
            <v>0.49</v>
          </cell>
        </row>
        <row r="28">
          <cell r="A28" t="str">
            <v>Sweden</v>
          </cell>
          <cell r="B28">
            <v>0.47</v>
          </cell>
          <cell r="C28">
            <v>0.53</v>
          </cell>
        </row>
        <row r="29">
          <cell r="A29" t="str">
            <v>Australia</v>
          </cell>
          <cell r="B29">
            <v>0.56999999999999995</v>
          </cell>
          <cell r="C29">
            <v>0.43</v>
          </cell>
        </row>
        <row r="30">
          <cell r="A30" t="str">
            <v>Ethiopia</v>
          </cell>
        </row>
        <row r="31">
          <cell r="A31" t="str">
            <v>Latvia</v>
          </cell>
        </row>
        <row r="32">
          <cell r="A32" t="str">
            <v>Guam</v>
          </cell>
        </row>
        <row r="33">
          <cell r="A33" t="str">
            <v>Canada</v>
          </cell>
          <cell r="B33">
            <v>0.54</v>
          </cell>
          <cell r="C33">
            <v>0.46</v>
          </cell>
        </row>
        <row r="34">
          <cell r="A34" t="str">
            <v>Bulgaria</v>
          </cell>
          <cell r="B34">
            <v>0.42</v>
          </cell>
          <cell r="C34">
            <v>0.57999999999999996</v>
          </cell>
        </row>
        <row r="35">
          <cell r="A35" t="str">
            <v>Philippines</v>
          </cell>
          <cell r="B35">
            <v>0.68</v>
          </cell>
          <cell r="C35">
            <v>0.32</v>
          </cell>
        </row>
        <row r="36">
          <cell r="A36" t="str">
            <v>Madagascar</v>
          </cell>
        </row>
        <row r="37">
          <cell r="A37" t="str">
            <v>Germany</v>
          </cell>
          <cell r="B37">
            <v>0.38</v>
          </cell>
          <cell r="C37">
            <v>0.62</v>
          </cell>
        </row>
        <row r="38">
          <cell r="A38" t="str">
            <v>Angola</v>
          </cell>
        </row>
        <row r="39">
          <cell r="A39" t="str">
            <v>Netherlands</v>
          </cell>
          <cell r="B39">
            <v>0.51</v>
          </cell>
          <cell r="C39">
            <v>0.49</v>
          </cell>
        </row>
        <row r="40">
          <cell r="A40" t="str">
            <v>Ukraine</v>
          </cell>
          <cell r="B40">
            <v>0.35</v>
          </cell>
          <cell r="C40">
            <v>0.65</v>
          </cell>
        </row>
        <row r="41">
          <cell r="A41" t="str">
            <v>Finland</v>
          </cell>
          <cell r="B41">
            <v>0.48</v>
          </cell>
          <cell r="C41">
            <v>0.52</v>
          </cell>
        </row>
        <row r="42">
          <cell r="A42" t="str">
            <v>Afghanistan</v>
          </cell>
        </row>
        <row r="43">
          <cell r="A43" t="str">
            <v>Austria</v>
          </cell>
          <cell r="B43">
            <v>0.39</v>
          </cell>
          <cell r="C43">
            <v>0.61</v>
          </cell>
        </row>
        <row r="44">
          <cell r="A44" t="str">
            <v>Nepal</v>
          </cell>
        </row>
        <row r="45">
          <cell r="A45" t="str">
            <v>Pakistan</v>
          </cell>
          <cell r="B45">
            <v>0.6</v>
          </cell>
          <cell r="C45">
            <v>0.4</v>
          </cell>
        </row>
        <row r="46">
          <cell r="A46" t="str">
            <v>North Macedonia</v>
          </cell>
        </row>
        <row r="47">
          <cell r="A47" t="str">
            <v>Rwanda</v>
          </cell>
        </row>
        <row r="48">
          <cell r="A48" t="str">
            <v>Norway</v>
          </cell>
          <cell r="B48">
            <v>0.51</v>
          </cell>
          <cell r="C48">
            <v>0.49</v>
          </cell>
        </row>
        <row r="49">
          <cell r="A49" t="str">
            <v>United Kingdom</v>
          </cell>
          <cell r="B49">
            <v>0.54</v>
          </cell>
          <cell r="C49">
            <v>0.46</v>
          </cell>
        </row>
        <row r="50">
          <cell r="A50" t="str">
            <v>Russia</v>
          </cell>
          <cell r="B50">
            <v>0.4</v>
          </cell>
          <cell r="C50">
            <v>0.6</v>
          </cell>
        </row>
        <row r="51">
          <cell r="A51" t="str">
            <v>Denmark</v>
          </cell>
          <cell r="B51">
            <v>0.47</v>
          </cell>
          <cell r="C51">
            <v>0.53</v>
          </cell>
        </row>
        <row r="52">
          <cell r="A52" t="str">
            <v>Hungary</v>
          </cell>
          <cell r="B52">
            <v>0.34</v>
          </cell>
          <cell r="C52">
            <v>0.66</v>
          </cell>
        </row>
        <row r="53">
          <cell r="A53" t="str">
            <v>Maldives</v>
          </cell>
        </row>
        <row r="54">
          <cell r="A54" t="str">
            <v>Lithuania</v>
          </cell>
          <cell r="B54">
            <v>0.49</v>
          </cell>
          <cell r="C54">
            <v>0.51</v>
          </cell>
        </row>
        <row r="55">
          <cell r="A55" t="str">
            <v>Botswana</v>
          </cell>
        </row>
        <row r="56">
          <cell r="A56" t="str">
            <v>Brunei</v>
          </cell>
        </row>
        <row r="57">
          <cell r="A57" t="str">
            <v>Sri Lanka</v>
          </cell>
          <cell r="B57">
            <v>0.53</v>
          </cell>
          <cell r="C57">
            <v>0.47</v>
          </cell>
        </row>
        <row r="58">
          <cell r="A58" t="str">
            <v>Isle of Man</v>
          </cell>
        </row>
        <row r="59">
          <cell r="A59" t="str">
            <v>Mauritius</v>
          </cell>
        </row>
        <row r="60">
          <cell r="A60" t="str">
            <v>Jersey</v>
          </cell>
        </row>
        <row r="61">
          <cell r="A61" t="str">
            <v>Laos</v>
          </cell>
        </row>
        <row r="62">
          <cell r="A62" t="str">
            <v>Serbia</v>
          </cell>
          <cell r="B62">
            <v>0.56000000000000005</v>
          </cell>
          <cell r="C62">
            <v>0.44</v>
          </cell>
        </row>
        <row r="63">
          <cell r="A63" t="str">
            <v>Cyprus</v>
          </cell>
        </row>
        <row r="64">
          <cell r="A64" t="str">
            <v>Barbados</v>
          </cell>
        </row>
        <row r="65">
          <cell r="A65" t="str">
            <v>Belgium</v>
          </cell>
          <cell r="B65">
            <v>0.44</v>
          </cell>
          <cell r="C65">
            <v>0.56000000000000005</v>
          </cell>
        </row>
        <row r="66">
          <cell r="A66" t="str">
            <v>Myanmar (Burma)</v>
          </cell>
        </row>
        <row r="67">
          <cell r="A67" t="str">
            <v>Montenegro</v>
          </cell>
        </row>
        <row r="68">
          <cell r="A68" t="str">
            <v>Portugal</v>
          </cell>
          <cell r="B68">
            <v>0.4</v>
          </cell>
          <cell r="C68">
            <v>0.6</v>
          </cell>
        </row>
        <row r="69">
          <cell r="A69" t="str">
            <v>Poland</v>
          </cell>
          <cell r="B69">
            <v>0.46</v>
          </cell>
          <cell r="C69">
            <v>0.54</v>
          </cell>
        </row>
        <row r="70">
          <cell r="A70" t="str">
            <v>Iran</v>
          </cell>
          <cell r="B70">
            <v>0.74</v>
          </cell>
          <cell r="C70">
            <v>0.26</v>
          </cell>
        </row>
        <row r="71">
          <cell r="A71" t="str">
            <v>France</v>
          </cell>
          <cell r="B71">
            <v>0.22</v>
          </cell>
          <cell r="C71">
            <v>0.78</v>
          </cell>
        </row>
        <row r="72">
          <cell r="A72" t="str">
            <v>Romania</v>
          </cell>
          <cell r="B72">
            <v>0.48</v>
          </cell>
          <cell r="C72">
            <v>0.52</v>
          </cell>
        </row>
        <row r="73">
          <cell r="A73" t="str">
            <v>South Africa</v>
          </cell>
          <cell r="B73">
            <v>0.6</v>
          </cell>
          <cell r="C73">
            <v>0.4</v>
          </cell>
        </row>
        <row r="74">
          <cell r="A74" t="str">
            <v>Namibia</v>
          </cell>
        </row>
        <row r="75">
          <cell r="A75" t="str">
            <v>Malaysia</v>
          </cell>
          <cell r="B75">
            <v>0.68</v>
          </cell>
          <cell r="C75">
            <v>0.32</v>
          </cell>
        </row>
        <row r="76">
          <cell r="A76" t="str">
            <v>Malawi</v>
          </cell>
        </row>
        <row r="77">
          <cell r="A77" t="str">
            <v>Croatia</v>
          </cell>
          <cell r="B77">
            <v>0.51</v>
          </cell>
          <cell r="C77">
            <v>0.49</v>
          </cell>
        </row>
        <row r="78">
          <cell r="A78" t="str">
            <v>Mongolia</v>
          </cell>
        </row>
        <row r="79">
          <cell r="A79" t="str">
            <v>Bosnia &amp; Herzegovina</v>
          </cell>
        </row>
        <row r="80">
          <cell r="A80" t="str">
            <v>United Arab Emirates</v>
          </cell>
          <cell r="B80">
            <v>0.67</v>
          </cell>
          <cell r="C80">
            <v>0.33</v>
          </cell>
        </row>
        <row r="81">
          <cell r="A81" t="str">
            <v>Costa Rica</v>
          </cell>
        </row>
        <row r="82">
          <cell r="A82" t="str">
            <v>Trinidad &amp; Tobago</v>
          </cell>
        </row>
        <row r="83">
          <cell r="A83" t="str">
            <v>Bahrain</v>
          </cell>
        </row>
        <row r="84">
          <cell r="A84" t="str">
            <v>Fiji</v>
          </cell>
        </row>
        <row r="85">
          <cell r="A85" t="str">
            <v>Lesotho</v>
          </cell>
        </row>
        <row r="86">
          <cell r="A86" t="str">
            <v>Greece</v>
          </cell>
          <cell r="B86">
            <v>0.62</v>
          </cell>
          <cell r="C86">
            <v>0.38</v>
          </cell>
        </row>
        <row r="87">
          <cell r="A87" t="str">
            <v>Ghana</v>
          </cell>
        </row>
        <row r="88">
          <cell r="A88" t="str">
            <v>Jamaica</v>
          </cell>
        </row>
        <row r="89">
          <cell r="A89" t="str">
            <v>Moldova</v>
          </cell>
        </row>
        <row r="90">
          <cell r="A90" t="str">
            <v>Qatar</v>
          </cell>
        </row>
        <row r="91">
          <cell r="A91" t="str">
            <v>Spain</v>
          </cell>
          <cell r="B91">
            <v>0.34</v>
          </cell>
          <cell r="C91">
            <v>0.66</v>
          </cell>
        </row>
        <row r="92">
          <cell r="A92" t="str">
            <v>Zambia</v>
          </cell>
        </row>
        <row r="93">
          <cell r="A93" t="str">
            <v>Bangladesh</v>
          </cell>
          <cell r="B93">
            <v>0.62</v>
          </cell>
          <cell r="C93">
            <v>0.38</v>
          </cell>
        </row>
        <row r="94">
          <cell r="A94" t="str">
            <v>Zimbabwe</v>
          </cell>
        </row>
        <row r="95">
          <cell r="A95" t="str">
            <v>Uganda</v>
          </cell>
        </row>
        <row r="96">
          <cell r="A96" t="str">
            <v>Lebanon</v>
          </cell>
        </row>
        <row r="97">
          <cell r="A97" t="str">
            <v>Tanzania</v>
          </cell>
        </row>
        <row r="98">
          <cell r="A98" t="str">
            <v>Puerto Rico</v>
          </cell>
        </row>
        <row r="99">
          <cell r="A99" t="str">
            <v>Uruguay</v>
          </cell>
        </row>
        <row r="100">
          <cell r="A100" t="str">
            <v>Palestine</v>
          </cell>
        </row>
        <row r="101">
          <cell r="A101" t="str">
            <v>Oman</v>
          </cell>
        </row>
        <row r="102">
          <cell r="A102" t="str">
            <v>Uzbekistan</v>
          </cell>
        </row>
        <row r="103">
          <cell r="A103" t="str">
            <v>Kenya</v>
          </cell>
        </row>
        <row r="104">
          <cell r="A104" t="str">
            <v>Papua New Guinea</v>
          </cell>
        </row>
        <row r="105">
          <cell r="A105" t="str">
            <v>Tunisia</v>
          </cell>
        </row>
        <row r="106">
          <cell r="A106" t="str">
            <v>Somalia</v>
          </cell>
        </row>
        <row r="107">
          <cell r="A107" t="str">
            <v>Albania</v>
          </cell>
        </row>
        <row r="108">
          <cell r="A108" t="str">
            <v>Cambodia</v>
          </cell>
        </row>
        <row r="109">
          <cell r="A109" t="str">
            <v>Guyana</v>
          </cell>
        </row>
        <row r="110">
          <cell r="A110" t="str">
            <v>Thailand</v>
          </cell>
          <cell r="B110">
            <v>0.66</v>
          </cell>
          <cell r="C110">
            <v>0.34</v>
          </cell>
        </row>
        <row r="111">
          <cell r="A111" t="str">
            <v>Jordan</v>
          </cell>
        </row>
        <row r="112">
          <cell r="A112" t="str">
            <v>Nigeria</v>
          </cell>
        </row>
        <row r="113">
          <cell r="A113" t="str">
            <v>Kosovo</v>
          </cell>
        </row>
        <row r="114">
          <cell r="A114" t="str">
            <v>El Salvador</v>
          </cell>
        </row>
        <row r="115">
          <cell r="A115" t="str">
            <v>Italy</v>
          </cell>
          <cell r="B115">
            <v>0.49</v>
          </cell>
          <cell r="C115">
            <v>0.51</v>
          </cell>
        </row>
        <row r="116">
          <cell r="A116" t="str">
            <v>Vietnam</v>
          </cell>
          <cell r="B116">
            <v>0.48</v>
          </cell>
          <cell r="C116">
            <v>0.52</v>
          </cell>
        </row>
        <row r="117">
          <cell r="A117" t="str">
            <v>Bahamas</v>
          </cell>
        </row>
        <row r="118">
          <cell r="A118" t="str">
            <v>Kuwait</v>
          </cell>
        </row>
        <row r="119">
          <cell r="A119" t="str">
            <v>Georgia</v>
          </cell>
        </row>
        <row r="120">
          <cell r="A120" t="str">
            <v>Cameroon</v>
          </cell>
        </row>
        <row r="121">
          <cell r="A121" t="str">
            <v>Egypt</v>
          </cell>
          <cell r="B121">
            <v>0.56999999999999995</v>
          </cell>
          <cell r="C121">
            <v>0.43</v>
          </cell>
        </row>
        <row r="122">
          <cell r="A122" t="str">
            <v>Kazakhstan</v>
          </cell>
          <cell r="B122">
            <v>0.54</v>
          </cell>
          <cell r="C122">
            <v>0.46</v>
          </cell>
        </row>
        <row r="123">
          <cell r="A123" t="str">
            <v>Nicaragua</v>
          </cell>
        </row>
        <row r="124">
          <cell r="A124" t="str">
            <v>Libya</v>
          </cell>
        </row>
        <row r="125">
          <cell r="A125" t="str">
            <v>Guatemala</v>
          </cell>
        </row>
        <row r="126">
          <cell r="A126" t="str">
            <v>Chile</v>
          </cell>
          <cell r="B126">
            <v>0.44</v>
          </cell>
          <cell r="C126">
            <v>0.56000000000000005</v>
          </cell>
        </row>
        <row r="127">
          <cell r="A127" t="str">
            <v>Mexico</v>
          </cell>
          <cell r="B127">
            <v>0.44</v>
          </cell>
          <cell r="C127">
            <v>0.56000000000000005</v>
          </cell>
        </row>
        <row r="128">
          <cell r="A128" t="str">
            <v>Azerbaijan</v>
          </cell>
        </row>
        <row r="129">
          <cell r="A129" t="str">
            <v>Turkmenistan</v>
          </cell>
        </row>
        <row r="130">
          <cell r="A130" t="str">
            <v>Colombia</v>
          </cell>
          <cell r="B130">
            <v>0.38</v>
          </cell>
          <cell r="C130">
            <v>0.62</v>
          </cell>
        </row>
        <row r="131">
          <cell r="A131" t="str">
            <v>Sudan</v>
          </cell>
        </row>
        <row r="132">
          <cell r="A132" t="str">
            <v>Brazil</v>
          </cell>
          <cell r="B132">
            <v>0.4</v>
          </cell>
          <cell r="C132">
            <v>0.6</v>
          </cell>
        </row>
        <row r="133">
          <cell r="A133" t="str">
            <v>Indonesia</v>
          </cell>
          <cell r="B133">
            <v>0.68</v>
          </cell>
          <cell r="C133">
            <v>0.32</v>
          </cell>
        </row>
        <row r="134">
          <cell r="A134" t="str">
            <v>Morocco</v>
          </cell>
        </row>
        <row r="135">
          <cell r="A135" t="str">
            <v>Saudi Arabia</v>
          </cell>
        </row>
        <row r="136">
          <cell r="A136" t="str">
            <v>Argentina</v>
          </cell>
          <cell r="B136">
            <v>0.39</v>
          </cell>
          <cell r="C136">
            <v>0.61</v>
          </cell>
        </row>
        <row r="137">
          <cell r="A137" t="str">
            <v>Panama</v>
          </cell>
        </row>
        <row r="138">
          <cell r="A138" t="str">
            <v>Bolivia</v>
          </cell>
        </row>
        <row r="139">
          <cell r="A139" t="str">
            <v>Honduras</v>
          </cell>
        </row>
        <row r="140">
          <cell r="A140" t="str">
            <v>Senegal</v>
          </cell>
        </row>
        <row r="141">
          <cell r="A141" t="str">
            <v>Kyrgyzstan</v>
          </cell>
        </row>
        <row r="142">
          <cell r="A142" t="str">
            <v>Mozambique</v>
          </cell>
        </row>
        <row r="143">
          <cell r="A143" t="str">
            <v>Yemen</v>
          </cell>
        </row>
        <row r="144">
          <cell r="A144" t="str">
            <v>Syria</v>
          </cell>
        </row>
        <row r="145">
          <cell r="A145" t="str">
            <v>Turkey</v>
          </cell>
          <cell r="B145">
            <v>0.56000000000000005</v>
          </cell>
          <cell r="C145">
            <v>0.44</v>
          </cell>
        </row>
        <row r="146">
          <cell r="A146" t="str">
            <v>Ecuador</v>
          </cell>
        </row>
        <row r="147">
          <cell r="A147" t="str">
            <v>Iraq</v>
          </cell>
        </row>
        <row r="148">
          <cell r="A148" t="str">
            <v>Peru</v>
          </cell>
          <cell r="B148">
            <v>0.5</v>
          </cell>
          <cell r="C148">
            <v>0.5</v>
          </cell>
        </row>
        <row r="149">
          <cell r="A149" t="str">
            <v>Paraguay</v>
          </cell>
        </row>
        <row r="150">
          <cell r="A150" t="str">
            <v>RÃ©union</v>
          </cell>
        </row>
        <row r="151">
          <cell r="A151" t="str">
            <v>Dominican Republic</v>
          </cell>
        </row>
        <row r="152">
          <cell r="A152" t="str">
            <v>CÃ´te dâ€™Ivoire</v>
          </cell>
        </row>
        <row r="153">
          <cell r="A153" t="str">
            <v>Venezuela</v>
          </cell>
        </row>
        <row r="154">
          <cell r="A154" t="str">
            <v>Algeria</v>
          </cell>
        </row>
        <row r="155">
          <cell r="A155" t="str">
            <v>North Korea</v>
          </cell>
        </row>
        <row r="156">
          <cell r="A156" t="str">
            <v>Montserrat</v>
          </cell>
        </row>
        <row r="157">
          <cell r="A157" t="str">
            <v>Svalbard &amp; Jan Mayen</v>
          </cell>
        </row>
        <row r="158">
          <cell r="A158" t="str">
            <v>Palau</v>
          </cell>
        </row>
        <row r="159">
          <cell r="A159" t="str">
            <v>Cook Islands</v>
          </cell>
        </row>
        <row r="160">
          <cell r="A160" t="str">
            <v>Anguilla</v>
          </cell>
        </row>
        <row r="161">
          <cell r="A161" t="str">
            <v>Tonga</v>
          </cell>
        </row>
        <row r="162">
          <cell r="A162" t="str">
            <v>Gibraltar</v>
          </cell>
        </row>
        <row r="163">
          <cell r="A163" t="str">
            <v>Micronesia</v>
          </cell>
        </row>
        <row r="164">
          <cell r="A164" t="str">
            <v>British Virgin Islands</v>
          </cell>
        </row>
        <row r="165">
          <cell r="A165" t="str">
            <v>Vanuatu</v>
          </cell>
        </row>
        <row r="166">
          <cell r="A166" t="str">
            <v>Grenada</v>
          </cell>
        </row>
        <row r="167">
          <cell r="A167" t="str">
            <v>Caribbean Netherlands</v>
          </cell>
        </row>
        <row r="168">
          <cell r="A168" t="str">
            <v>Liechtenstein</v>
          </cell>
        </row>
        <row r="169">
          <cell r="A169" t="str">
            <v>Turks &amp; Caicos Islands</v>
          </cell>
        </row>
        <row r="170">
          <cell r="A170" t="str">
            <v>St. Vincent &amp; Grenadines</v>
          </cell>
        </row>
        <row r="171">
          <cell r="A171" t="str">
            <v>Ã…land Islands</v>
          </cell>
        </row>
        <row r="172">
          <cell r="A172" t="str">
            <v>Greenland</v>
          </cell>
        </row>
        <row r="173">
          <cell r="A173" t="str">
            <v>Bhutan</v>
          </cell>
        </row>
        <row r="174">
          <cell r="A174" t="str">
            <v>Central African Republic</v>
          </cell>
        </row>
        <row r="175">
          <cell r="A175" t="str">
            <v>Bermuda</v>
          </cell>
        </row>
        <row r="176">
          <cell r="A176" t="str">
            <v>Eswatini</v>
          </cell>
        </row>
        <row r="177">
          <cell r="A177" t="str">
            <v>Dominica</v>
          </cell>
        </row>
        <row r="178">
          <cell r="A178" t="str">
            <v>U.S. Virgin Islands</v>
          </cell>
        </row>
        <row r="179">
          <cell r="A179" t="str">
            <v>Seychelles</v>
          </cell>
        </row>
        <row r="180">
          <cell r="A180" t="str">
            <v>Cayman Islands</v>
          </cell>
        </row>
        <row r="181">
          <cell r="A181" t="str">
            <v>Gambia</v>
          </cell>
        </row>
        <row r="182">
          <cell r="A182" t="str">
            <v>Faroe Islands</v>
          </cell>
        </row>
        <row r="183">
          <cell r="A183" t="str">
            <v>Solomon Islands</v>
          </cell>
        </row>
        <row r="184">
          <cell r="A184" t="str">
            <v>St. Kitts &amp; Nevis</v>
          </cell>
        </row>
        <row r="185">
          <cell r="A185" t="str">
            <v>St. Lucia</v>
          </cell>
        </row>
        <row r="186">
          <cell r="A186" t="str">
            <v>Antigua &amp; Barbuda</v>
          </cell>
        </row>
        <row r="187">
          <cell r="A187" t="str">
            <v>San Marino</v>
          </cell>
        </row>
        <row r="188">
          <cell r="A188" t="str">
            <v>Djibouti</v>
          </cell>
        </row>
        <row r="189">
          <cell r="A189" t="str">
            <v>Sint Maarten</v>
          </cell>
        </row>
        <row r="190">
          <cell r="A190" t="str">
            <v>Guernsey</v>
          </cell>
        </row>
        <row r="191">
          <cell r="A191" t="str">
            <v>Northern Mariana Islands</v>
          </cell>
        </row>
        <row r="192">
          <cell r="A192" t="str">
            <v>Belize</v>
          </cell>
        </row>
        <row r="193">
          <cell r="A193" t="str">
            <v>Timor-Leste</v>
          </cell>
        </row>
        <row r="194">
          <cell r="A194" t="str">
            <v>Togo</v>
          </cell>
        </row>
        <row r="195">
          <cell r="A195" t="str">
            <v>CuraÃ§ao</v>
          </cell>
        </row>
        <row r="196">
          <cell r="A196" t="str">
            <v>Monaco</v>
          </cell>
        </row>
        <row r="197">
          <cell r="A197" t="str">
            <v>Western Sahara</v>
          </cell>
        </row>
        <row r="198">
          <cell r="A198" t="str">
            <v>South Sudan</v>
          </cell>
        </row>
        <row r="199">
          <cell r="A199" t="str">
            <v>Aruba</v>
          </cell>
        </row>
        <row r="200">
          <cell r="A200" t="str">
            <v>Suriname</v>
          </cell>
        </row>
        <row r="201">
          <cell r="A201" t="str">
            <v>Andorra</v>
          </cell>
        </row>
        <row r="202">
          <cell r="A202" t="str">
            <v>Sierra Leone</v>
          </cell>
        </row>
        <row r="203">
          <cell r="A203" t="str">
            <v>New Caledonia</v>
          </cell>
        </row>
        <row r="204">
          <cell r="A204" t="str">
            <v>Cape Verde</v>
          </cell>
        </row>
        <row r="205">
          <cell r="A205" t="str">
            <v>Mauritania</v>
          </cell>
        </row>
        <row r="206">
          <cell r="A206" t="str">
            <v>Benin</v>
          </cell>
        </row>
        <row r="207">
          <cell r="A207" t="str">
            <v>Burkina Faso</v>
          </cell>
        </row>
        <row r="208">
          <cell r="A208" t="str">
            <v>Tajikistan</v>
          </cell>
        </row>
        <row r="209">
          <cell r="A209" t="str">
            <v>Burundi</v>
          </cell>
        </row>
        <row r="210">
          <cell r="A210" t="str">
            <v>Haiti</v>
          </cell>
        </row>
        <row r="211">
          <cell r="A211" t="str">
            <v>French Polynesia</v>
          </cell>
        </row>
        <row r="212">
          <cell r="A212" t="str">
            <v>Congo - Brazzaville</v>
          </cell>
        </row>
        <row r="213">
          <cell r="A213" t="str">
            <v>Niger</v>
          </cell>
        </row>
        <row r="214">
          <cell r="A214" t="str">
            <v>Liberia</v>
          </cell>
        </row>
        <row r="215">
          <cell r="A215" t="str">
            <v>French Guiana</v>
          </cell>
        </row>
        <row r="216">
          <cell r="A216" t="str">
            <v>Gabon</v>
          </cell>
        </row>
        <row r="217">
          <cell r="A217" t="str">
            <v>Guinea</v>
          </cell>
        </row>
        <row r="218">
          <cell r="A218" t="str">
            <v>Mali</v>
          </cell>
        </row>
        <row r="219">
          <cell r="A219" t="str">
            <v>Congo - Kinshasa</v>
          </cell>
        </row>
        <row r="220">
          <cell r="A220" t="str">
            <v>Martinique</v>
          </cell>
        </row>
        <row r="221">
          <cell r="A221" t="str">
            <v>Guadeloupe</v>
          </cell>
        </row>
        <row r="222">
          <cell r="A222" t="str">
            <v>American Samoa</v>
          </cell>
        </row>
        <row r="223">
          <cell r="A223" t="str">
            <v>Antarctica</v>
          </cell>
        </row>
        <row r="224">
          <cell r="A224" t="str">
            <v>French Southern Territories</v>
          </cell>
        </row>
        <row r="225">
          <cell r="A225" t="str">
            <v>St. BarthÃ©lemy</v>
          </cell>
        </row>
        <row r="226">
          <cell r="A226" t="str">
            <v>Bouvet Island</v>
          </cell>
        </row>
        <row r="227">
          <cell r="A227" t="str">
            <v>Cocos (Keeling) Islands</v>
          </cell>
        </row>
        <row r="228">
          <cell r="A228" t="str">
            <v>Comoros</v>
          </cell>
        </row>
        <row r="229">
          <cell r="A229" t="str">
            <v>Christmas Island</v>
          </cell>
        </row>
        <row r="230">
          <cell r="A230" t="str">
            <v>Eritrea</v>
          </cell>
        </row>
        <row r="231">
          <cell r="A231" t="str">
            <v>Falkland Islands (Islas Malvinas)</v>
          </cell>
        </row>
        <row r="232">
          <cell r="A232" t="str">
            <v>Guinea-Bissau</v>
          </cell>
        </row>
        <row r="233">
          <cell r="A233" t="str">
            <v>Equatorial Guinea</v>
          </cell>
        </row>
        <row r="234">
          <cell r="A234" t="str">
            <v>Heard &amp; McDonald Islands</v>
          </cell>
        </row>
        <row r="235">
          <cell r="A235" t="str">
            <v>British Indian Ocean Territory</v>
          </cell>
        </row>
        <row r="236">
          <cell r="A236" t="str">
            <v>Kiribati</v>
          </cell>
        </row>
        <row r="237">
          <cell r="A237" t="str">
            <v>St. Martin</v>
          </cell>
        </row>
        <row r="238">
          <cell r="A238" t="str">
            <v>Marshall Islands</v>
          </cell>
        </row>
        <row r="239">
          <cell r="A239" t="str">
            <v>Mayotte</v>
          </cell>
        </row>
        <row r="240">
          <cell r="A240" t="str">
            <v>Norfolk Island</v>
          </cell>
        </row>
        <row r="241">
          <cell r="A241" t="str">
            <v>Niue</v>
          </cell>
        </row>
        <row r="242">
          <cell r="A242" t="str">
            <v>Nauru</v>
          </cell>
        </row>
        <row r="243">
          <cell r="A243" t="str">
            <v>Pitcairn Islands</v>
          </cell>
        </row>
        <row r="244">
          <cell r="A244" t="str">
            <v>South Georgia &amp; South Sandwich Islands</v>
          </cell>
        </row>
        <row r="245">
          <cell r="A245" t="str">
            <v>St. Pierre &amp; Miquelon</v>
          </cell>
        </row>
        <row r="246">
          <cell r="A246" t="str">
            <v>SÃ£o TomÃ© &amp; PrÃ­ncipe</v>
          </cell>
        </row>
        <row r="247">
          <cell r="A247" t="str">
            <v>Chad</v>
          </cell>
        </row>
        <row r="248">
          <cell r="A248" t="str">
            <v>Tokelau</v>
          </cell>
        </row>
        <row r="249">
          <cell r="A249" t="str">
            <v>Tuvalu</v>
          </cell>
        </row>
        <row r="250">
          <cell r="A250" t="str">
            <v>U.S. Outlying Islands</v>
          </cell>
        </row>
        <row r="251">
          <cell r="A251" t="str">
            <v>Vatican City</v>
          </cell>
        </row>
        <row r="252">
          <cell r="A252" t="str">
            <v>Wallis &amp; Futuna</v>
          </cell>
        </row>
        <row r="253">
          <cell r="A253" t="str">
            <v>Samoa</v>
          </cell>
        </row>
      </sheetData>
    </sheetDataSet>
  </externalBook>
</externalLink>
</file>

<file path=xl/externalLinks/externalLink1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3)"/>
    </sheetNames>
    <sheetDataSet>
      <sheetData sheetId="0">
        <row r="1">
          <cell r="A1" t="str">
            <v>Kategori: TÃ¼m kategoriler</v>
          </cell>
        </row>
        <row r="3">
          <cell r="A3" t="str">
            <v>Ãœlke</v>
          </cell>
          <cell r="B3" t="str">
            <v>DÃ¼zenli ifade: (2017)</v>
          </cell>
          <cell r="C3" t="str">
            <v>TCP: (2017)</v>
          </cell>
        </row>
        <row r="4">
          <cell r="A4" t="str">
            <v>China</v>
          </cell>
          <cell r="B4">
            <v>0.68</v>
          </cell>
          <cell r="C4">
            <v>0.32</v>
          </cell>
        </row>
        <row r="5">
          <cell r="A5" t="str">
            <v>Cuba</v>
          </cell>
        </row>
        <row r="6">
          <cell r="A6" t="str">
            <v>South Korea</v>
          </cell>
          <cell r="B6">
            <v>0.56000000000000005</v>
          </cell>
          <cell r="C6">
            <v>0.44</v>
          </cell>
        </row>
        <row r="7">
          <cell r="A7" t="str">
            <v>St. Helena</v>
          </cell>
          <cell r="B7">
            <v>0.63</v>
          </cell>
          <cell r="C7">
            <v>0.37</v>
          </cell>
        </row>
        <row r="8">
          <cell r="A8" t="str">
            <v>Israel</v>
          </cell>
          <cell r="B8">
            <v>0.67</v>
          </cell>
          <cell r="C8">
            <v>0.33</v>
          </cell>
        </row>
        <row r="9">
          <cell r="A9" t="str">
            <v>Burundi</v>
          </cell>
        </row>
        <row r="10">
          <cell r="A10" t="str">
            <v>Luxembourg</v>
          </cell>
        </row>
        <row r="11">
          <cell r="A11" t="str">
            <v>Botswana</v>
          </cell>
        </row>
        <row r="12">
          <cell r="A12" t="str">
            <v>Singapore</v>
          </cell>
          <cell r="B12">
            <v>0.52</v>
          </cell>
          <cell r="C12">
            <v>0.48</v>
          </cell>
        </row>
        <row r="13">
          <cell r="A13" t="str">
            <v>Estonia</v>
          </cell>
        </row>
        <row r="14">
          <cell r="A14" t="str">
            <v>Iceland</v>
          </cell>
        </row>
        <row r="15">
          <cell r="A15" t="str">
            <v>Belarus</v>
          </cell>
          <cell r="B15">
            <v>0.77</v>
          </cell>
          <cell r="C15">
            <v>0.23</v>
          </cell>
        </row>
        <row r="16">
          <cell r="A16" t="str">
            <v>Czechia</v>
          </cell>
          <cell r="B16">
            <v>0.66</v>
          </cell>
          <cell r="C16">
            <v>0.34</v>
          </cell>
        </row>
        <row r="17">
          <cell r="A17" t="str">
            <v>Japan</v>
          </cell>
          <cell r="B17">
            <v>0.68</v>
          </cell>
          <cell r="C17">
            <v>0.32</v>
          </cell>
        </row>
        <row r="18">
          <cell r="A18" t="str">
            <v>Switzerland</v>
          </cell>
          <cell r="B18">
            <v>0.64</v>
          </cell>
          <cell r="C18">
            <v>0.36</v>
          </cell>
        </row>
        <row r="19">
          <cell r="A19" t="str">
            <v>Malta</v>
          </cell>
        </row>
        <row r="20">
          <cell r="A20" t="str">
            <v>Armenia</v>
          </cell>
        </row>
        <row r="21">
          <cell r="A21" t="str">
            <v>Gibraltar</v>
          </cell>
        </row>
        <row r="22">
          <cell r="A22" t="str">
            <v>Zimbabwe</v>
          </cell>
        </row>
        <row r="23">
          <cell r="A23" t="str">
            <v>Sweden</v>
          </cell>
          <cell r="B23">
            <v>0.66</v>
          </cell>
          <cell r="C23">
            <v>0.34</v>
          </cell>
        </row>
        <row r="24">
          <cell r="A24" t="str">
            <v>Ireland</v>
          </cell>
          <cell r="B24">
            <v>0.62</v>
          </cell>
          <cell r="C24">
            <v>0.38</v>
          </cell>
        </row>
        <row r="25">
          <cell r="A25" t="str">
            <v>Rwanda</v>
          </cell>
        </row>
        <row r="26">
          <cell r="A26" t="str">
            <v>Bulgaria</v>
          </cell>
          <cell r="B26">
            <v>0.73</v>
          </cell>
          <cell r="C26">
            <v>0.27</v>
          </cell>
        </row>
        <row r="27">
          <cell r="A27" t="str">
            <v>Ethiopia</v>
          </cell>
        </row>
        <row r="28">
          <cell r="A28" t="str">
            <v>Madagascar</v>
          </cell>
        </row>
        <row r="29">
          <cell r="A29" t="str">
            <v>Germany</v>
          </cell>
          <cell r="B29">
            <v>0.63</v>
          </cell>
          <cell r="C29">
            <v>0.37</v>
          </cell>
        </row>
        <row r="30">
          <cell r="A30" t="str">
            <v>Eswatini</v>
          </cell>
        </row>
        <row r="31">
          <cell r="A31" t="str">
            <v>Hong Kong</v>
          </cell>
          <cell r="B31">
            <v>0.56999999999999995</v>
          </cell>
          <cell r="C31">
            <v>0.43</v>
          </cell>
        </row>
        <row r="32">
          <cell r="A32" t="str">
            <v>New Zealand</v>
          </cell>
          <cell r="B32">
            <v>0.62</v>
          </cell>
          <cell r="C32">
            <v>0.38</v>
          </cell>
        </row>
        <row r="33">
          <cell r="A33" t="str">
            <v>Ukraine</v>
          </cell>
          <cell r="B33">
            <v>0.75</v>
          </cell>
          <cell r="C33">
            <v>0.25</v>
          </cell>
        </row>
        <row r="34">
          <cell r="A34" t="str">
            <v>Latvia</v>
          </cell>
        </row>
        <row r="35">
          <cell r="A35" t="str">
            <v>Cameroon</v>
          </cell>
        </row>
        <row r="36">
          <cell r="A36" t="str">
            <v>India</v>
          </cell>
          <cell r="B36">
            <v>0.55000000000000004</v>
          </cell>
          <cell r="C36">
            <v>0.45</v>
          </cell>
        </row>
        <row r="37">
          <cell r="A37" t="str">
            <v>Finland</v>
          </cell>
          <cell r="B37">
            <v>0.63</v>
          </cell>
          <cell r="C37">
            <v>0.37</v>
          </cell>
        </row>
        <row r="38">
          <cell r="A38" t="str">
            <v>Netherlands</v>
          </cell>
          <cell r="B38">
            <v>0.63</v>
          </cell>
          <cell r="C38">
            <v>0.37</v>
          </cell>
        </row>
        <row r="39">
          <cell r="A39" t="str">
            <v>Laos</v>
          </cell>
        </row>
        <row r="40">
          <cell r="A40" t="str">
            <v>Nepal</v>
          </cell>
        </row>
        <row r="41">
          <cell r="A41" t="str">
            <v>Austria</v>
          </cell>
          <cell r="B41">
            <v>0.63</v>
          </cell>
          <cell r="C41">
            <v>0.37</v>
          </cell>
        </row>
        <row r="42">
          <cell r="A42" t="str">
            <v>Canada</v>
          </cell>
          <cell r="B42">
            <v>0.63</v>
          </cell>
          <cell r="C42">
            <v>0.37</v>
          </cell>
        </row>
        <row r="43">
          <cell r="A43" t="str">
            <v>Denmark</v>
          </cell>
          <cell r="B43">
            <v>0.67</v>
          </cell>
          <cell r="C43">
            <v>0.33</v>
          </cell>
        </row>
        <row r="44">
          <cell r="A44" t="str">
            <v>Lesotho</v>
          </cell>
        </row>
        <row r="45">
          <cell r="A45" t="str">
            <v>Russia</v>
          </cell>
          <cell r="B45">
            <v>0.65</v>
          </cell>
          <cell r="C45">
            <v>0.35</v>
          </cell>
        </row>
        <row r="46">
          <cell r="A46" t="str">
            <v>Hungary</v>
          </cell>
          <cell r="B46">
            <v>0.63</v>
          </cell>
          <cell r="C46">
            <v>0.37</v>
          </cell>
        </row>
        <row r="47">
          <cell r="A47" t="str">
            <v>United States</v>
          </cell>
          <cell r="B47">
            <v>0.62</v>
          </cell>
          <cell r="C47">
            <v>0.38</v>
          </cell>
        </row>
        <row r="48">
          <cell r="A48" t="str">
            <v>Uruguay</v>
          </cell>
        </row>
        <row r="49">
          <cell r="A49" t="str">
            <v>Australia</v>
          </cell>
          <cell r="B49">
            <v>0.6</v>
          </cell>
          <cell r="C49">
            <v>0.4</v>
          </cell>
        </row>
        <row r="50">
          <cell r="A50" t="str">
            <v>Angola</v>
          </cell>
        </row>
        <row r="51">
          <cell r="A51" t="str">
            <v>Lithuania</v>
          </cell>
          <cell r="B51">
            <v>0.68</v>
          </cell>
          <cell r="C51">
            <v>0.32</v>
          </cell>
        </row>
        <row r="52">
          <cell r="A52" t="str">
            <v>Myanmar (Burma)</v>
          </cell>
        </row>
        <row r="53">
          <cell r="A53" t="str">
            <v>Norway</v>
          </cell>
          <cell r="B53">
            <v>0.6</v>
          </cell>
          <cell r="C53">
            <v>0.4</v>
          </cell>
        </row>
        <row r="54">
          <cell r="A54" t="str">
            <v>Bolivia</v>
          </cell>
        </row>
        <row r="55">
          <cell r="A55" t="str">
            <v>Slovenia</v>
          </cell>
          <cell r="B55">
            <v>0.6</v>
          </cell>
          <cell r="C55">
            <v>0.4</v>
          </cell>
        </row>
        <row r="56">
          <cell r="A56" t="str">
            <v>Taiwan</v>
          </cell>
          <cell r="B56">
            <v>0.52</v>
          </cell>
          <cell r="C56">
            <v>0.48</v>
          </cell>
        </row>
        <row r="57">
          <cell r="A57" t="str">
            <v>Macao</v>
          </cell>
        </row>
        <row r="58">
          <cell r="A58" t="str">
            <v>Ghana</v>
          </cell>
        </row>
        <row r="59">
          <cell r="A59" t="str">
            <v>Portugal</v>
          </cell>
          <cell r="B59">
            <v>0.56999999999999995</v>
          </cell>
          <cell r="C59">
            <v>0.43</v>
          </cell>
        </row>
        <row r="60">
          <cell r="A60" t="str">
            <v>Malawi</v>
          </cell>
        </row>
        <row r="61">
          <cell r="A61" t="str">
            <v>Congo - Kinshasa</v>
          </cell>
        </row>
        <row r="62">
          <cell r="A62" t="str">
            <v>United Kingdom</v>
          </cell>
          <cell r="B62">
            <v>0.59</v>
          </cell>
          <cell r="C62">
            <v>0.41</v>
          </cell>
        </row>
        <row r="63">
          <cell r="A63" t="str">
            <v>Belgium</v>
          </cell>
          <cell r="B63">
            <v>0.6</v>
          </cell>
          <cell r="C63">
            <v>0.4</v>
          </cell>
        </row>
        <row r="64">
          <cell r="A64" t="str">
            <v>Slovakia</v>
          </cell>
          <cell r="B64">
            <v>0.62</v>
          </cell>
          <cell r="C64">
            <v>0.38</v>
          </cell>
        </row>
        <row r="65">
          <cell r="A65" t="str">
            <v>Mauritius</v>
          </cell>
        </row>
        <row r="66">
          <cell r="A66" t="str">
            <v>Togo</v>
          </cell>
        </row>
        <row r="67">
          <cell r="A67" t="str">
            <v>Poland</v>
          </cell>
          <cell r="B67">
            <v>0.64</v>
          </cell>
          <cell r="C67">
            <v>0.36</v>
          </cell>
        </row>
        <row r="68">
          <cell r="A68" t="str">
            <v>Sri Lanka</v>
          </cell>
          <cell r="B68">
            <v>0.52</v>
          </cell>
          <cell r="C68">
            <v>0.48</v>
          </cell>
        </row>
        <row r="69">
          <cell r="A69" t="str">
            <v>Romania</v>
          </cell>
          <cell r="B69">
            <v>0.63</v>
          </cell>
          <cell r="C69">
            <v>0.37</v>
          </cell>
        </row>
        <row r="70">
          <cell r="A70" t="str">
            <v>France</v>
          </cell>
          <cell r="B70">
            <v>0.64</v>
          </cell>
          <cell r="C70">
            <v>0.36</v>
          </cell>
        </row>
        <row r="71">
          <cell r="A71" t="str">
            <v>North Macedonia</v>
          </cell>
        </row>
        <row r="72">
          <cell r="A72" t="str">
            <v>Bhutan</v>
          </cell>
        </row>
        <row r="73">
          <cell r="A73" t="str">
            <v>Fiji</v>
          </cell>
        </row>
        <row r="74">
          <cell r="A74" t="str">
            <v>Senegal</v>
          </cell>
        </row>
        <row r="75">
          <cell r="A75" t="str">
            <v>Cyprus</v>
          </cell>
        </row>
        <row r="76">
          <cell r="A76" t="str">
            <v>Somalia</v>
          </cell>
        </row>
        <row r="77">
          <cell r="A77" t="str">
            <v>Croatia</v>
          </cell>
          <cell r="B77">
            <v>0.62</v>
          </cell>
          <cell r="C77">
            <v>0.38</v>
          </cell>
        </row>
        <row r="78">
          <cell r="A78" t="str">
            <v>Papua New Guinea</v>
          </cell>
        </row>
        <row r="79">
          <cell r="A79" t="str">
            <v>Moldova</v>
          </cell>
        </row>
        <row r="80">
          <cell r="A80" t="str">
            <v>Isle of Man</v>
          </cell>
        </row>
        <row r="81">
          <cell r="A81" t="str">
            <v>Pakistan</v>
          </cell>
          <cell r="B81">
            <v>0.54</v>
          </cell>
          <cell r="C81">
            <v>0.46</v>
          </cell>
        </row>
        <row r="82">
          <cell r="A82" t="str">
            <v>Brunei</v>
          </cell>
        </row>
        <row r="83">
          <cell r="A83" t="str">
            <v>Serbia</v>
          </cell>
          <cell r="B83">
            <v>0.63</v>
          </cell>
          <cell r="C83">
            <v>0.37</v>
          </cell>
        </row>
        <row r="84">
          <cell r="A84" t="str">
            <v>Afghanistan</v>
          </cell>
        </row>
        <row r="85">
          <cell r="A85" t="str">
            <v>Zambia</v>
          </cell>
        </row>
        <row r="86">
          <cell r="A86" t="str">
            <v>Namibia</v>
          </cell>
        </row>
        <row r="87">
          <cell r="A87" t="str">
            <v>Liberia</v>
          </cell>
        </row>
        <row r="88">
          <cell r="A88" t="str">
            <v>Philippines</v>
          </cell>
          <cell r="B88">
            <v>0.46</v>
          </cell>
          <cell r="C88">
            <v>0.54</v>
          </cell>
        </row>
        <row r="89">
          <cell r="A89" t="str">
            <v>Turkmenistan</v>
          </cell>
        </row>
        <row r="90">
          <cell r="A90" t="str">
            <v>Uganda</v>
          </cell>
        </row>
        <row r="91">
          <cell r="A91" t="str">
            <v>Maldives</v>
          </cell>
        </row>
        <row r="92">
          <cell r="A92" t="str">
            <v>Tunisia</v>
          </cell>
        </row>
        <row r="93">
          <cell r="A93" t="str">
            <v>Honduras</v>
          </cell>
        </row>
        <row r="94">
          <cell r="A94" t="str">
            <v>Cayman Islands</v>
          </cell>
        </row>
        <row r="95">
          <cell r="A95" t="str">
            <v>Trinidad &amp; Tobago</v>
          </cell>
        </row>
        <row r="96">
          <cell r="A96" t="str">
            <v>Panama</v>
          </cell>
        </row>
        <row r="97">
          <cell r="A97" t="str">
            <v>Jamaica</v>
          </cell>
        </row>
        <row r="98">
          <cell r="A98" t="str">
            <v>Spain</v>
          </cell>
          <cell r="B98">
            <v>0.52</v>
          </cell>
          <cell r="C98">
            <v>0.48</v>
          </cell>
        </row>
        <row r="99">
          <cell r="A99" t="str">
            <v>Costa Rica</v>
          </cell>
        </row>
        <row r="100">
          <cell r="A100" t="str">
            <v>Guyana</v>
          </cell>
        </row>
        <row r="101">
          <cell r="A101" t="str">
            <v>Jersey</v>
          </cell>
        </row>
        <row r="102">
          <cell r="A102" t="str">
            <v>El Salvador</v>
          </cell>
        </row>
        <row r="103">
          <cell r="A103" t="str">
            <v>Mongolia</v>
          </cell>
        </row>
        <row r="104">
          <cell r="A104" t="str">
            <v>CÃ´te dâ€™Ivoire</v>
          </cell>
        </row>
        <row r="105">
          <cell r="A105" t="str">
            <v>United Arab Emirates</v>
          </cell>
          <cell r="B105">
            <v>0.41</v>
          </cell>
          <cell r="C105">
            <v>0.59</v>
          </cell>
        </row>
        <row r="106">
          <cell r="A106" t="str">
            <v>Benin</v>
          </cell>
        </row>
        <row r="107">
          <cell r="A107" t="str">
            <v>Mozambique</v>
          </cell>
        </row>
        <row r="108">
          <cell r="A108" t="str">
            <v>South Africa</v>
          </cell>
          <cell r="B108">
            <v>0.5</v>
          </cell>
          <cell r="C108">
            <v>0.5</v>
          </cell>
        </row>
        <row r="109">
          <cell r="A109" t="str">
            <v>Uzbekistan</v>
          </cell>
        </row>
        <row r="110">
          <cell r="A110" t="str">
            <v>Haiti</v>
          </cell>
        </row>
        <row r="111">
          <cell r="A111" t="str">
            <v>Tanzania</v>
          </cell>
        </row>
        <row r="112">
          <cell r="A112" t="str">
            <v>Ecuador</v>
          </cell>
        </row>
        <row r="113">
          <cell r="A113" t="str">
            <v>Malaysia</v>
          </cell>
          <cell r="B113">
            <v>0.41</v>
          </cell>
          <cell r="C113">
            <v>0.59</v>
          </cell>
        </row>
        <row r="114">
          <cell r="A114" t="str">
            <v>Lebanon</v>
          </cell>
        </row>
        <row r="115">
          <cell r="A115" t="str">
            <v>Cape Verde</v>
          </cell>
        </row>
        <row r="116">
          <cell r="A116" t="str">
            <v>Albania</v>
          </cell>
        </row>
        <row r="117">
          <cell r="A117" t="str">
            <v>Suriname</v>
          </cell>
        </row>
        <row r="118">
          <cell r="A118" t="str">
            <v>Kenya</v>
          </cell>
        </row>
        <row r="119">
          <cell r="A119" t="str">
            <v>Kosovo</v>
          </cell>
        </row>
        <row r="120">
          <cell r="A120" t="str">
            <v>Qatar</v>
          </cell>
        </row>
        <row r="121">
          <cell r="A121" t="str">
            <v>Colombia</v>
          </cell>
          <cell r="B121">
            <v>0.39</v>
          </cell>
          <cell r="C121">
            <v>0.61</v>
          </cell>
        </row>
        <row r="122">
          <cell r="A122" t="str">
            <v>Bosnia &amp; Herzegovina</v>
          </cell>
        </row>
        <row r="123">
          <cell r="A123" t="str">
            <v>Argentina</v>
          </cell>
          <cell r="B123">
            <v>0.38</v>
          </cell>
          <cell r="C123">
            <v>0.62</v>
          </cell>
        </row>
        <row r="124">
          <cell r="A124" t="str">
            <v>Sudan</v>
          </cell>
        </row>
        <row r="125">
          <cell r="A125" t="str">
            <v>Mexico</v>
          </cell>
          <cell r="B125">
            <v>0.41</v>
          </cell>
          <cell r="C125">
            <v>0.59</v>
          </cell>
        </row>
        <row r="126">
          <cell r="A126" t="str">
            <v>Oman</v>
          </cell>
        </row>
        <row r="127">
          <cell r="A127" t="str">
            <v>Greece</v>
          </cell>
          <cell r="B127">
            <v>0.54</v>
          </cell>
          <cell r="C127">
            <v>0.46</v>
          </cell>
        </row>
        <row r="128">
          <cell r="A128" t="str">
            <v>Guatemala</v>
          </cell>
        </row>
        <row r="129">
          <cell r="A129" t="str">
            <v>Nigeria</v>
          </cell>
        </row>
        <row r="130">
          <cell r="A130" t="str">
            <v>Bangladesh</v>
          </cell>
          <cell r="B130">
            <v>0.47</v>
          </cell>
          <cell r="C130">
            <v>0.53</v>
          </cell>
        </row>
        <row r="131">
          <cell r="A131" t="str">
            <v>Dominican Republic</v>
          </cell>
        </row>
        <row r="132">
          <cell r="A132" t="str">
            <v>Brazil</v>
          </cell>
          <cell r="B132">
            <v>0.41</v>
          </cell>
          <cell r="C132">
            <v>0.59</v>
          </cell>
        </row>
        <row r="133">
          <cell r="A133" t="str">
            <v>Barbados</v>
          </cell>
        </row>
        <row r="134">
          <cell r="A134" t="str">
            <v>Sierra Leone</v>
          </cell>
        </row>
        <row r="135">
          <cell r="A135" t="str">
            <v>RÃ©union</v>
          </cell>
        </row>
        <row r="136">
          <cell r="A136" t="str">
            <v>Peru</v>
          </cell>
          <cell r="B136">
            <v>0.32</v>
          </cell>
          <cell r="C136">
            <v>0.68</v>
          </cell>
        </row>
        <row r="137">
          <cell r="A137" t="str">
            <v>Italy</v>
          </cell>
          <cell r="B137">
            <v>0.49</v>
          </cell>
          <cell r="C137">
            <v>0.51</v>
          </cell>
        </row>
        <row r="138">
          <cell r="A138" t="str">
            <v>Bahrain</v>
          </cell>
        </row>
        <row r="139">
          <cell r="A139" t="str">
            <v>Morocco</v>
          </cell>
        </row>
        <row r="140">
          <cell r="A140" t="str">
            <v>Nicaragua</v>
          </cell>
        </row>
        <row r="141">
          <cell r="A141" t="str">
            <v>Thailand</v>
          </cell>
          <cell r="B141">
            <v>0.37</v>
          </cell>
          <cell r="C141">
            <v>0.63</v>
          </cell>
        </row>
        <row r="142">
          <cell r="A142" t="str">
            <v>Vietnam</v>
          </cell>
          <cell r="B142">
            <v>0.56000000000000005</v>
          </cell>
          <cell r="C142">
            <v>0.44</v>
          </cell>
        </row>
        <row r="143">
          <cell r="A143" t="str">
            <v>Indonesia</v>
          </cell>
          <cell r="B143">
            <v>0.28000000000000003</v>
          </cell>
          <cell r="C143">
            <v>0.72</v>
          </cell>
        </row>
        <row r="144">
          <cell r="A144" t="str">
            <v>Bahamas</v>
          </cell>
        </row>
        <row r="145">
          <cell r="A145" t="str">
            <v>Jordan</v>
          </cell>
        </row>
        <row r="146">
          <cell r="A146" t="str">
            <v>Guam</v>
          </cell>
        </row>
        <row r="147">
          <cell r="A147" t="str">
            <v>Mali</v>
          </cell>
        </row>
        <row r="148">
          <cell r="A148" t="str">
            <v>Libya</v>
          </cell>
        </row>
        <row r="149">
          <cell r="A149" t="str">
            <v>Iran</v>
          </cell>
          <cell r="B149">
            <v>0.45</v>
          </cell>
          <cell r="C149">
            <v>0.55000000000000004</v>
          </cell>
        </row>
        <row r="150">
          <cell r="A150" t="str">
            <v>Guadeloupe</v>
          </cell>
        </row>
        <row r="151">
          <cell r="A151" t="str">
            <v>Kazakhstan</v>
          </cell>
          <cell r="B151">
            <v>0.48</v>
          </cell>
          <cell r="C151">
            <v>0.52</v>
          </cell>
        </row>
        <row r="152">
          <cell r="A152" t="str">
            <v>Cambodia</v>
          </cell>
        </row>
        <row r="153">
          <cell r="A153" t="str">
            <v>Chile</v>
          </cell>
          <cell r="B153">
            <v>0.49</v>
          </cell>
          <cell r="C153">
            <v>0.51</v>
          </cell>
        </row>
        <row r="154">
          <cell r="A154" t="str">
            <v>Burkina Faso</v>
          </cell>
        </row>
        <row r="155">
          <cell r="A155" t="str">
            <v>Guinea</v>
          </cell>
        </row>
        <row r="156">
          <cell r="A156" t="str">
            <v>Algeria</v>
          </cell>
        </row>
        <row r="157">
          <cell r="A157" t="str">
            <v>Kuwait</v>
          </cell>
        </row>
        <row r="158">
          <cell r="A158" t="str">
            <v>Montenegro</v>
          </cell>
        </row>
        <row r="159">
          <cell r="A159" t="str">
            <v>Azerbaijan</v>
          </cell>
        </row>
        <row r="160">
          <cell r="A160" t="str">
            <v>Georgia</v>
          </cell>
        </row>
        <row r="161">
          <cell r="A161" t="str">
            <v>Kyrgyzstan</v>
          </cell>
        </row>
        <row r="162">
          <cell r="A162" t="str">
            <v>Puerto Rico</v>
          </cell>
        </row>
        <row r="163">
          <cell r="A163" t="str">
            <v>Paraguay</v>
          </cell>
        </row>
        <row r="164">
          <cell r="A164" t="str">
            <v>Martinique</v>
          </cell>
        </row>
        <row r="165">
          <cell r="A165" t="str">
            <v>Saudi Arabia</v>
          </cell>
        </row>
        <row r="166">
          <cell r="A166" t="str">
            <v>Tajikistan</v>
          </cell>
        </row>
        <row r="167">
          <cell r="A167" t="str">
            <v>Egypt</v>
          </cell>
          <cell r="B167">
            <v>0.53</v>
          </cell>
          <cell r="C167">
            <v>0.47</v>
          </cell>
        </row>
        <row r="168">
          <cell r="A168" t="str">
            <v>Palestine</v>
          </cell>
        </row>
        <row r="169">
          <cell r="A169" t="str">
            <v>Yemen</v>
          </cell>
        </row>
        <row r="170">
          <cell r="A170" t="str">
            <v>Venezuela</v>
          </cell>
        </row>
        <row r="171">
          <cell r="A171" t="str">
            <v>Syria</v>
          </cell>
        </row>
        <row r="172">
          <cell r="A172" t="str">
            <v>Turkey</v>
          </cell>
          <cell r="B172">
            <v>0.48</v>
          </cell>
          <cell r="C172">
            <v>0.52</v>
          </cell>
        </row>
        <row r="173">
          <cell r="A173" t="str">
            <v>Iraq</v>
          </cell>
        </row>
        <row r="174">
          <cell r="A174" t="str">
            <v>Ã…land Islands</v>
          </cell>
        </row>
        <row r="175">
          <cell r="A175" t="str">
            <v>Micronesia</v>
          </cell>
        </row>
        <row r="176">
          <cell r="A176" t="str">
            <v>Liechtenstein</v>
          </cell>
        </row>
        <row r="177">
          <cell r="A177" t="str">
            <v>Tonga</v>
          </cell>
        </row>
        <row r="178">
          <cell r="A178" t="str">
            <v>Comoros</v>
          </cell>
        </row>
        <row r="179">
          <cell r="A179" t="str">
            <v>San Marino</v>
          </cell>
        </row>
        <row r="180">
          <cell r="A180" t="str">
            <v>Monaco</v>
          </cell>
        </row>
        <row r="181">
          <cell r="A181" t="str">
            <v>Faroe Islands</v>
          </cell>
        </row>
        <row r="182">
          <cell r="A182" t="str">
            <v>Andorra</v>
          </cell>
        </row>
        <row r="183">
          <cell r="A183" t="str">
            <v>Caribbean Netherlands</v>
          </cell>
        </row>
        <row r="184">
          <cell r="A184" t="str">
            <v>Seychelles</v>
          </cell>
        </row>
        <row r="185">
          <cell r="A185" t="str">
            <v>Vanuatu</v>
          </cell>
        </row>
        <row r="186">
          <cell r="A186" t="str">
            <v>St. Martin</v>
          </cell>
        </row>
        <row r="187">
          <cell r="A187" t="str">
            <v>Equatorial Guinea</v>
          </cell>
        </row>
        <row r="188">
          <cell r="A188" t="str">
            <v>Turks &amp; Caicos Islands</v>
          </cell>
        </row>
        <row r="189">
          <cell r="A189" t="str">
            <v>Northern Mariana Islands</v>
          </cell>
        </row>
        <row r="190">
          <cell r="A190" t="str">
            <v>New Caledonia</v>
          </cell>
        </row>
        <row r="191">
          <cell r="A191" t="str">
            <v>Dominica</v>
          </cell>
        </row>
        <row r="192">
          <cell r="A192" t="str">
            <v>French Polynesia</v>
          </cell>
        </row>
        <row r="193">
          <cell r="A193" t="str">
            <v>St. Kitts &amp; Nevis</v>
          </cell>
        </row>
        <row r="194">
          <cell r="A194" t="str">
            <v>CuraÃ§ao</v>
          </cell>
        </row>
        <row r="195">
          <cell r="A195" t="str">
            <v>St. Lucia</v>
          </cell>
        </row>
        <row r="196">
          <cell r="A196" t="str">
            <v>South Sudan</v>
          </cell>
        </row>
        <row r="197">
          <cell r="A197" t="str">
            <v>Grenada</v>
          </cell>
        </row>
        <row r="198">
          <cell r="A198" t="str">
            <v>Sint Maarten</v>
          </cell>
        </row>
        <row r="199">
          <cell r="A199" t="str">
            <v>Djibouti</v>
          </cell>
        </row>
        <row r="200">
          <cell r="A200" t="str">
            <v>Guernsey</v>
          </cell>
        </row>
        <row r="201">
          <cell r="A201" t="str">
            <v>U.S. Virgin Islands</v>
          </cell>
        </row>
        <row r="202">
          <cell r="A202" t="str">
            <v>Belize</v>
          </cell>
        </row>
        <row r="203">
          <cell r="A203" t="str">
            <v>French Guiana</v>
          </cell>
        </row>
        <row r="204">
          <cell r="A204" t="str">
            <v>Antigua &amp; Barbuda</v>
          </cell>
        </row>
        <row r="205">
          <cell r="A205" t="str">
            <v>Gambia</v>
          </cell>
        </row>
        <row r="206">
          <cell r="A206" t="str">
            <v>Chad</v>
          </cell>
        </row>
        <row r="207">
          <cell r="A207" t="str">
            <v>Gabon</v>
          </cell>
        </row>
        <row r="208">
          <cell r="A208" t="str">
            <v>Mauritania</v>
          </cell>
        </row>
        <row r="209">
          <cell r="A209" t="str">
            <v>Aruba</v>
          </cell>
        </row>
        <row r="210">
          <cell r="A210" t="str">
            <v>Congo - Brazzaville</v>
          </cell>
        </row>
        <row r="211">
          <cell r="A211" t="str">
            <v>Niger</v>
          </cell>
        </row>
        <row r="212">
          <cell r="A212" t="str">
            <v>Anguilla</v>
          </cell>
        </row>
        <row r="213">
          <cell r="A213" t="str">
            <v>American Samoa</v>
          </cell>
        </row>
        <row r="214">
          <cell r="A214" t="str">
            <v>Antarctica</v>
          </cell>
        </row>
        <row r="215">
          <cell r="A215" t="str">
            <v>French Southern Territories</v>
          </cell>
        </row>
        <row r="216">
          <cell r="A216" t="str">
            <v>St. BarthÃ©lemy</v>
          </cell>
        </row>
        <row r="217">
          <cell r="A217" t="str">
            <v>Bermuda</v>
          </cell>
        </row>
        <row r="218">
          <cell r="A218" t="str">
            <v>Bouvet Island</v>
          </cell>
        </row>
        <row r="219">
          <cell r="A219" t="str">
            <v>Central African Republic</v>
          </cell>
        </row>
        <row r="220">
          <cell r="A220" t="str">
            <v>Cocos (Keeling) Islands</v>
          </cell>
        </row>
        <row r="221">
          <cell r="A221" t="str">
            <v>Cook Islands</v>
          </cell>
        </row>
        <row r="222">
          <cell r="A222" t="str">
            <v>Christmas Island</v>
          </cell>
        </row>
        <row r="223">
          <cell r="A223" t="str">
            <v>Eritrea</v>
          </cell>
        </row>
        <row r="224">
          <cell r="A224" t="str">
            <v>Western Sahara</v>
          </cell>
        </row>
        <row r="225">
          <cell r="A225" t="str">
            <v>Falkland Islands (Islas Malvinas)</v>
          </cell>
        </row>
        <row r="226">
          <cell r="A226" t="str">
            <v>Guinea-Bissau</v>
          </cell>
        </row>
        <row r="227">
          <cell r="A227" t="str">
            <v>Greenland</v>
          </cell>
        </row>
        <row r="228">
          <cell r="A228" t="str">
            <v>Heard &amp; McDonald Islands</v>
          </cell>
        </row>
        <row r="229">
          <cell r="A229" t="str">
            <v>British Indian Ocean Territory</v>
          </cell>
        </row>
        <row r="230">
          <cell r="A230" t="str">
            <v>Kiribati</v>
          </cell>
        </row>
        <row r="231">
          <cell r="A231" t="str">
            <v>Marshall Islands</v>
          </cell>
        </row>
        <row r="232">
          <cell r="A232" t="str">
            <v>Montserrat</v>
          </cell>
        </row>
        <row r="233">
          <cell r="A233" t="str">
            <v>Mayotte</v>
          </cell>
        </row>
        <row r="234">
          <cell r="A234" t="str">
            <v>Norfolk Island</v>
          </cell>
        </row>
        <row r="235">
          <cell r="A235" t="str">
            <v>Niue</v>
          </cell>
        </row>
        <row r="236">
          <cell r="A236" t="str">
            <v>Nauru</v>
          </cell>
        </row>
        <row r="237">
          <cell r="A237" t="str">
            <v>Pitcairn Islands</v>
          </cell>
        </row>
        <row r="238">
          <cell r="A238" t="str">
            <v>Palau</v>
          </cell>
        </row>
        <row r="239">
          <cell r="A239" t="str">
            <v>North Korea</v>
          </cell>
        </row>
        <row r="240">
          <cell r="A240" t="str">
            <v>South Georgia &amp; South Sandwich Islands</v>
          </cell>
        </row>
        <row r="241">
          <cell r="A241" t="str">
            <v>Svalbard &amp; Jan Mayen</v>
          </cell>
        </row>
        <row r="242">
          <cell r="A242" t="str">
            <v>Solomon Islands</v>
          </cell>
        </row>
        <row r="243">
          <cell r="A243" t="str">
            <v>St. Pierre &amp; Miquelon</v>
          </cell>
        </row>
        <row r="244">
          <cell r="A244" t="str">
            <v>SÃ£o TomÃ© &amp; PrÃ­ncipe</v>
          </cell>
        </row>
        <row r="245">
          <cell r="A245" t="str">
            <v>Tokelau</v>
          </cell>
        </row>
        <row r="246">
          <cell r="A246" t="str">
            <v>Timor-Leste</v>
          </cell>
        </row>
        <row r="247">
          <cell r="A247" t="str">
            <v>Tuvalu</v>
          </cell>
        </row>
        <row r="248">
          <cell r="A248" t="str">
            <v>U.S. Outlying Islands</v>
          </cell>
        </row>
        <row r="249">
          <cell r="A249" t="str">
            <v>Vatican City</v>
          </cell>
        </row>
        <row r="250">
          <cell r="A250" t="str">
            <v>St. Vincent &amp; Grenadines</v>
          </cell>
        </row>
        <row r="251">
          <cell r="A251" t="str">
            <v>British Virgin Islands</v>
          </cell>
        </row>
        <row r="252">
          <cell r="A252" t="str">
            <v>Wallis &amp; Futuna</v>
          </cell>
        </row>
        <row r="253">
          <cell r="A253" t="str">
            <v>Samoa</v>
          </cell>
        </row>
      </sheetData>
    </sheetDataSet>
  </externalBook>
</externalLink>
</file>

<file path=xl/externalLinks/externalLink1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4)"/>
    </sheetNames>
    <sheetDataSet>
      <sheetData sheetId="0">
        <row r="1">
          <cell r="A1" t="str">
            <v>Kategori: TÃ¼m kategoriler</v>
          </cell>
        </row>
        <row r="3">
          <cell r="A3" t="str">
            <v>Ãœlke</v>
          </cell>
          <cell r="B3" t="str">
            <v>TCP: (2017)</v>
          </cell>
          <cell r="C3" t="str">
            <v>SayÄ± deÄŸil: (2017)</v>
          </cell>
        </row>
        <row r="4">
          <cell r="A4" t="str">
            <v>Haiti</v>
          </cell>
        </row>
        <row r="5">
          <cell r="A5" t="str">
            <v>China</v>
          </cell>
          <cell r="B5">
            <v>0.86</v>
          </cell>
          <cell r="C5">
            <v>0.14000000000000001</v>
          </cell>
        </row>
        <row r="6">
          <cell r="A6" t="str">
            <v>CuraÃ§ao</v>
          </cell>
        </row>
        <row r="7">
          <cell r="A7" t="str">
            <v>Cuba</v>
          </cell>
        </row>
        <row r="8">
          <cell r="A8" t="str">
            <v>Aruba</v>
          </cell>
        </row>
        <row r="9">
          <cell r="A9" t="str">
            <v>Tanzania</v>
          </cell>
        </row>
        <row r="10">
          <cell r="A10" t="str">
            <v>Myanmar (Burma)</v>
          </cell>
        </row>
        <row r="11">
          <cell r="A11" t="str">
            <v>South Korea</v>
          </cell>
          <cell r="B11">
            <v>0.84</v>
          </cell>
          <cell r="C11">
            <v>0.16</v>
          </cell>
        </row>
        <row r="12">
          <cell r="A12" t="str">
            <v>Fiji</v>
          </cell>
        </row>
        <row r="13">
          <cell r="A13" t="str">
            <v>Sri Lanka</v>
          </cell>
          <cell r="B13">
            <v>0.28999999999999998</v>
          </cell>
          <cell r="C13">
            <v>0.71</v>
          </cell>
        </row>
        <row r="14">
          <cell r="A14" t="str">
            <v>Botswana</v>
          </cell>
        </row>
        <row r="15">
          <cell r="A15" t="str">
            <v>Burundi</v>
          </cell>
        </row>
        <row r="16">
          <cell r="A16" t="str">
            <v>Singapore</v>
          </cell>
          <cell r="B16">
            <v>0.6</v>
          </cell>
          <cell r="C16">
            <v>0.4</v>
          </cell>
        </row>
        <row r="17">
          <cell r="A17" t="str">
            <v>Eswatini</v>
          </cell>
        </row>
        <row r="18">
          <cell r="A18" t="str">
            <v>St. Helena</v>
          </cell>
        </row>
        <row r="19">
          <cell r="A19" t="str">
            <v>Ethiopia</v>
          </cell>
        </row>
        <row r="20">
          <cell r="A20" t="str">
            <v>Zimbabwe</v>
          </cell>
        </row>
        <row r="21">
          <cell r="A21" t="str">
            <v>Nepal</v>
          </cell>
        </row>
        <row r="22">
          <cell r="A22" t="str">
            <v>Congo - Kinshasa</v>
          </cell>
        </row>
        <row r="23">
          <cell r="A23" t="str">
            <v>Papua New Guinea</v>
          </cell>
        </row>
        <row r="24">
          <cell r="A24" t="str">
            <v>Cameroon</v>
          </cell>
        </row>
        <row r="25">
          <cell r="A25" t="str">
            <v>Israel</v>
          </cell>
          <cell r="B25">
            <v>0.78</v>
          </cell>
          <cell r="C25">
            <v>0.22</v>
          </cell>
        </row>
        <row r="26">
          <cell r="A26" t="str">
            <v>Lesotho</v>
          </cell>
        </row>
        <row r="27">
          <cell r="A27" t="str">
            <v>Madagascar</v>
          </cell>
        </row>
        <row r="28">
          <cell r="A28" t="str">
            <v>Angola</v>
          </cell>
        </row>
        <row r="29">
          <cell r="A29" t="str">
            <v>Luxembourg</v>
          </cell>
        </row>
        <row r="30">
          <cell r="A30" t="str">
            <v>Rwanda</v>
          </cell>
        </row>
        <row r="31">
          <cell r="A31" t="str">
            <v>Uruguay</v>
          </cell>
        </row>
        <row r="32">
          <cell r="A32" t="str">
            <v>Mauritius</v>
          </cell>
        </row>
        <row r="33">
          <cell r="A33" t="str">
            <v>Hong Kong</v>
          </cell>
          <cell r="B33">
            <v>0.64</v>
          </cell>
          <cell r="C33">
            <v>0.36</v>
          </cell>
        </row>
        <row r="34">
          <cell r="A34" t="str">
            <v>Namibia</v>
          </cell>
        </row>
        <row r="35">
          <cell r="A35" t="str">
            <v>Taiwan</v>
          </cell>
          <cell r="B35">
            <v>0.79</v>
          </cell>
          <cell r="C35">
            <v>0.21</v>
          </cell>
        </row>
        <row r="36">
          <cell r="A36" t="str">
            <v>India</v>
          </cell>
          <cell r="B36">
            <v>0.54</v>
          </cell>
          <cell r="C36">
            <v>0.46</v>
          </cell>
        </row>
        <row r="37">
          <cell r="A37" t="str">
            <v>Turkmenistan</v>
          </cell>
        </row>
        <row r="38">
          <cell r="A38" t="str">
            <v>Laos</v>
          </cell>
        </row>
        <row r="39">
          <cell r="A39" t="str">
            <v>Ghana</v>
          </cell>
        </row>
        <row r="40">
          <cell r="A40" t="str">
            <v>Iceland</v>
          </cell>
        </row>
        <row r="41">
          <cell r="A41" t="str">
            <v>Bolivia</v>
          </cell>
          <cell r="B41">
            <v>0.71</v>
          </cell>
          <cell r="C41">
            <v>0.28999999999999998</v>
          </cell>
        </row>
        <row r="42">
          <cell r="A42" t="str">
            <v>Czechia</v>
          </cell>
          <cell r="B42">
            <v>0.76</v>
          </cell>
          <cell r="C42">
            <v>0.24</v>
          </cell>
        </row>
        <row r="43">
          <cell r="A43" t="str">
            <v>Maldives</v>
          </cell>
        </row>
        <row r="44">
          <cell r="A44" t="str">
            <v>Switzerland</v>
          </cell>
          <cell r="B44">
            <v>0.67</v>
          </cell>
          <cell r="C44">
            <v>0.33</v>
          </cell>
        </row>
        <row r="45">
          <cell r="A45" t="str">
            <v>Nigeria</v>
          </cell>
          <cell r="B45">
            <v>0.35</v>
          </cell>
          <cell r="C45">
            <v>0.65</v>
          </cell>
        </row>
        <row r="46">
          <cell r="A46" t="str">
            <v>Benin</v>
          </cell>
        </row>
        <row r="47">
          <cell r="A47" t="str">
            <v>Estonia</v>
          </cell>
        </row>
        <row r="48">
          <cell r="A48" t="str">
            <v>Pakistan</v>
          </cell>
          <cell r="B48">
            <v>0.45</v>
          </cell>
          <cell r="C48">
            <v>0.55000000000000004</v>
          </cell>
        </row>
        <row r="49">
          <cell r="A49" t="str">
            <v>Romania</v>
          </cell>
          <cell r="B49">
            <v>0.38</v>
          </cell>
          <cell r="C49">
            <v>0.62</v>
          </cell>
        </row>
        <row r="50">
          <cell r="A50" t="str">
            <v>Chile</v>
          </cell>
          <cell r="B50">
            <v>0.3</v>
          </cell>
          <cell r="C50">
            <v>0.7</v>
          </cell>
        </row>
        <row r="51">
          <cell r="A51" t="str">
            <v>Brazil</v>
          </cell>
          <cell r="B51">
            <v>0.35</v>
          </cell>
          <cell r="C51">
            <v>0.65</v>
          </cell>
        </row>
        <row r="52">
          <cell r="A52" t="str">
            <v>Macao</v>
          </cell>
        </row>
        <row r="53">
          <cell r="A53" t="str">
            <v>Nicaragua</v>
          </cell>
        </row>
        <row r="54">
          <cell r="A54" t="str">
            <v>Poland</v>
          </cell>
          <cell r="B54">
            <v>0.37</v>
          </cell>
          <cell r="C54">
            <v>0.63</v>
          </cell>
        </row>
        <row r="55">
          <cell r="A55" t="str">
            <v>Jersey</v>
          </cell>
        </row>
        <row r="56">
          <cell r="A56" t="str">
            <v>Ireland</v>
          </cell>
          <cell r="B56">
            <v>0.67</v>
          </cell>
          <cell r="C56">
            <v>0.33</v>
          </cell>
        </row>
        <row r="57">
          <cell r="A57" t="str">
            <v>Isle of Man</v>
          </cell>
        </row>
        <row r="58">
          <cell r="A58" t="str">
            <v>Malta</v>
          </cell>
        </row>
        <row r="59">
          <cell r="A59" t="str">
            <v>Japan</v>
          </cell>
          <cell r="B59">
            <v>0.56000000000000005</v>
          </cell>
          <cell r="C59">
            <v>0.44</v>
          </cell>
        </row>
        <row r="60">
          <cell r="A60" t="str">
            <v>Togo</v>
          </cell>
        </row>
        <row r="61">
          <cell r="A61" t="str">
            <v>Brunei</v>
          </cell>
        </row>
        <row r="62">
          <cell r="A62" t="str">
            <v>Cayman Islands</v>
          </cell>
        </row>
        <row r="63">
          <cell r="A63" t="str">
            <v>Kosovo</v>
          </cell>
        </row>
        <row r="64">
          <cell r="A64" t="str">
            <v>Afghanistan</v>
          </cell>
        </row>
        <row r="65">
          <cell r="A65" t="str">
            <v>Uganda</v>
          </cell>
        </row>
        <row r="66">
          <cell r="A66" t="str">
            <v>Germany</v>
          </cell>
          <cell r="B66">
            <v>0.63</v>
          </cell>
          <cell r="C66">
            <v>0.37</v>
          </cell>
        </row>
        <row r="67">
          <cell r="A67" t="str">
            <v>Tunisia</v>
          </cell>
        </row>
        <row r="68">
          <cell r="A68" t="str">
            <v>Belgium</v>
          </cell>
          <cell r="B68">
            <v>0.45</v>
          </cell>
          <cell r="C68">
            <v>0.55000000000000004</v>
          </cell>
        </row>
        <row r="69">
          <cell r="A69" t="str">
            <v>Philippines</v>
          </cell>
          <cell r="B69">
            <v>0.61</v>
          </cell>
          <cell r="C69">
            <v>0.39</v>
          </cell>
        </row>
        <row r="70">
          <cell r="A70" t="str">
            <v>Australia</v>
          </cell>
          <cell r="B70">
            <v>0.52</v>
          </cell>
          <cell r="C70">
            <v>0.48</v>
          </cell>
        </row>
        <row r="71">
          <cell r="A71" t="str">
            <v>Malawi</v>
          </cell>
        </row>
        <row r="72">
          <cell r="A72" t="str">
            <v>New Zealand</v>
          </cell>
          <cell r="B72">
            <v>0.65</v>
          </cell>
          <cell r="C72">
            <v>0.35</v>
          </cell>
        </row>
        <row r="73">
          <cell r="A73" t="str">
            <v>Finland</v>
          </cell>
          <cell r="B73">
            <v>0.63</v>
          </cell>
          <cell r="C73">
            <v>0.37</v>
          </cell>
        </row>
        <row r="74">
          <cell r="A74" t="str">
            <v>Venezuela</v>
          </cell>
          <cell r="B74">
            <v>0.28999999999999998</v>
          </cell>
          <cell r="C74">
            <v>0.71</v>
          </cell>
        </row>
        <row r="75">
          <cell r="A75" t="str">
            <v>Mozambique</v>
          </cell>
        </row>
        <row r="76">
          <cell r="A76" t="str">
            <v>Honduras</v>
          </cell>
        </row>
        <row r="77">
          <cell r="A77" t="str">
            <v>Norway</v>
          </cell>
          <cell r="B77">
            <v>0.77</v>
          </cell>
          <cell r="C77">
            <v>0.23</v>
          </cell>
        </row>
        <row r="78">
          <cell r="A78" t="str">
            <v>Cyprus</v>
          </cell>
        </row>
        <row r="79">
          <cell r="A79" t="str">
            <v>Sweden</v>
          </cell>
          <cell r="B79">
            <v>0.73</v>
          </cell>
          <cell r="C79">
            <v>0.27</v>
          </cell>
        </row>
        <row r="80">
          <cell r="A80" t="str">
            <v>Netherlands</v>
          </cell>
          <cell r="B80">
            <v>0.61</v>
          </cell>
          <cell r="C80">
            <v>0.39</v>
          </cell>
        </row>
        <row r="81">
          <cell r="A81" t="str">
            <v>Somalia</v>
          </cell>
        </row>
        <row r="82">
          <cell r="A82" t="str">
            <v>Slovenia</v>
          </cell>
        </row>
        <row r="83">
          <cell r="A83" t="str">
            <v>Senegal</v>
          </cell>
        </row>
        <row r="84">
          <cell r="A84" t="str">
            <v>Austria</v>
          </cell>
          <cell r="B84">
            <v>0.66</v>
          </cell>
          <cell r="C84">
            <v>0.34</v>
          </cell>
        </row>
        <row r="85">
          <cell r="A85" t="str">
            <v>Portugal</v>
          </cell>
          <cell r="B85">
            <v>0.53</v>
          </cell>
          <cell r="C85">
            <v>0.47</v>
          </cell>
        </row>
        <row r="86">
          <cell r="A86" t="str">
            <v>United States</v>
          </cell>
          <cell r="B86">
            <v>0.68</v>
          </cell>
          <cell r="C86">
            <v>0.32</v>
          </cell>
        </row>
        <row r="87">
          <cell r="A87" t="str">
            <v>Canada</v>
          </cell>
          <cell r="B87">
            <v>0.66</v>
          </cell>
          <cell r="C87">
            <v>0.34</v>
          </cell>
        </row>
        <row r="88">
          <cell r="A88" t="str">
            <v>Mexico</v>
          </cell>
          <cell r="B88">
            <v>0.43</v>
          </cell>
          <cell r="C88">
            <v>0.56999999999999995</v>
          </cell>
        </row>
        <row r="89">
          <cell r="A89" t="str">
            <v>Zambia</v>
          </cell>
        </row>
        <row r="90">
          <cell r="A90" t="str">
            <v>Guyana</v>
          </cell>
        </row>
        <row r="91">
          <cell r="A91" t="str">
            <v>Barbados</v>
          </cell>
        </row>
        <row r="92">
          <cell r="A92" t="str">
            <v>Panama</v>
          </cell>
        </row>
        <row r="93">
          <cell r="A93" t="str">
            <v>Cambodia</v>
          </cell>
        </row>
        <row r="94">
          <cell r="A94" t="str">
            <v>Guatemala</v>
          </cell>
        </row>
        <row r="95">
          <cell r="A95" t="str">
            <v>Bhutan</v>
          </cell>
        </row>
        <row r="96">
          <cell r="A96" t="str">
            <v>South Africa</v>
          </cell>
          <cell r="B96">
            <v>0.47</v>
          </cell>
          <cell r="C96">
            <v>0.53</v>
          </cell>
        </row>
        <row r="97">
          <cell r="A97" t="str">
            <v>Trinidad &amp; Tobago</v>
          </cell>
        </row>
        <row r="98">
          <cell r="A98" t="str">
            <v>Costa Rica</v>
          </cell>
        </row>
        <row r="99">
          <cell r="A99" t="str">
            <v>United Kingdom</v>
          </cell>
          <cell r="B99">
            <v>0.51</v>
          </cell>
          <cell r="C99">
            <v>0.49</v>
          </cell>
        </row>
        <row r="100">
          <cell r="A100" t="str">
            <v>Hungary</v>
          </cell>
          <cell r="B100">
            <v>0.81</v>
          </cell>
          <cell r="C100">
            <v>0.19</v>
          </cell>
        </row>
        <row r="101">
          <cell r="A101" t="str">
            <v>Russia</v>
          </cell>
          <cell r="B101">
            <v>0.54</v>
          </cell>
          <cell r="C101">
            <v>0.46</v>
          </cell>
        </row>
        <row r="102">
          <cell r="A102" t="str">
            <v>United Arab Emirates</v>
          </cell>
          <cell r="B102">
            <v>0.57999999999999996</v>
          </cell>
          <cell r="C102">
            <v>0.42</v>
          </cell>
        </row>
        <row r="103">
          <cell r="A103" t="str">
            <v>Denmark</v>
          </cell>
          <cell r="B103">
            <v>0.48</v>
          </cell>
          <cell r="C103">
            <v>0.52</v>
          </cell>
        </row>
        <row r="104">
          <cell r="A104" t="str">
            <v>CÃ´te dâ€™Ivoire</v>
          </cell>
        </row>
        <row r="105">
          <cell r="A105" t="str">
            <v>Slovakia</v>
          </cell>
        </row>
        <row r="106">
          <cell r="A106" t="str">
            <v>Malaysia</v>
          </cell>
          <cell r="B106">
            <v>0.51</v>
          </cell>
          <cell r="C106">
            <v>0.49</v>
          </cell>
        </row>
        <row r="107">
          <cell r="A107" t="str">
            <v>Ecuador</v>
          </cell>
          <cell r="B107">
            <v>0.59</v>
          </cell>
          <cell r="C107">
            <v>0.41</v>
          </cell>
        </row>
        <row r="108">
          <cell r="A108" t="str">
            <v>Lebanon</v>
          </cell>
        </row>
        <row r="109">
          <cell r="A109" t="str">
            <v>Spain</v>
          </cell>
          <cell r="B109">
            <v>0.6</v>
          </cell>
          <cell r="C109">
            <v>0.4</v>
          </cell>
        </row>
        <row r="110">
          <cell r="A110" t="str">
            <v>Belarus</v>
          </cell>
          <cell r="B110">
            <v>0.5</v>
          </cell>
          <cell r="C110">
            <v>0.5</v>
          </cell>
        </row>
        <row r="111">
          <cell r="A111" t="str">
            <v>Vietnam</v>
          </cell>
          <cell r="B111">
            <v>0.36</v>
          </cell>
          <cell r="C111">
            <v>0.64</v>
          </cell>
        </row>
        <row r="112">
          <cell r="A112" t="str">
            <v>Dominican Republic</v>
          </cell>
          <cell r="B112">
            <v>0.46</v>
          </cell>
          <cell r="C112">
            <v>0.54</v>
          </cell>
        </row>
        <row r="113">
          <cell r="A113" t="str">
            <v>El Salvador</v>
          </cell>
        </row>
        <row r="114">
          <cell r="A114" t="str">
            <v>Jamaica</v>
          </cell>
        </row>
        <row r="115">
          <cell r="A115" t="str">
            <v>Sudan</v>
          </cell>
        </row>
        <row r="116">
          <cell r="A116" t="str">
            <v>Uzbekistan</v>
          </cell>
        </row>
        <row r="117">
          <cell r="A117" t="str">
            <v>Lithuania</v>
          </cell>
        </row>
        <row r="118">
          <cell r="A118" t="str">
            <v>Tajikistan</v>
          </cell>
        </row>
        <row r="119">
          <cell r="A119" t="str">
            <v>Qatar</v>
          </cell>
        </row>
        <row r="120">
          <cell r="A120" t="str">
            <v>Oman</v>
          </cell>
        </row>
        <row r="121">
          <cell r="A121" t="str">
            <v>Colombia</v>
          </cell>
          <cell r="B121">
            <v>0.6</v>
          </cell>
          <cell r="C121">
            <v>0.4</v>
          </cell>
        </row>
        <row r="122">
          <cell r="A122" t="str">
            <v>Argentina</v>
          </cell>
          <cell r="B122">
            <v>0.74</v>
          </cell>
          <cell r="C122">
            <v>0.26</v>
          </cell>
        </row>
        <row r="123">
          <cell r="A123" t="str">
            <v>Latvia</v>
          </cell>
        </row>
        <row r="124">
          <cell r="A124" t="str">
            <v>Croatia</v>
          </cell>
          <cell r="B124">
            <v>0.53</v>
          </cell>
          <cell r="C124">
            <v>0.47</v>
          </cell>
        </row>
        <row r="125">
          <cell r="A125" t="str">
            <v>Mongolia</v>
          </cell>
        </row>
        <row r="126">
          <cell r="A126" t="str">
            <v>Moldova</v>
          </cell>
        </row>
        <row r="127">
          <cell r="A127" t="str">
            <v>France</v>
          </cell>
          <cell r="B127">
            <v>0.64</v>
          </cell>
          <cell r="C127">
            <v>0.36</v>
          </cell>
        </row>
        <row r="128">
          <cell r="A128" t="str">
            <v>Albania</v>
          </cell>
        </row>
        <row r="129">
          <cell r="A129" t="str">
            <v>Bulgaria</v>
          </cell>
          <cell r="B129">
            <v>0.55000000000000004</v>
          </cell>
          <cell r="C129">
            <v>0.45</v>
          </cell>
        </row>
        <row r="130">
          <cell r="A130" t="str">
            <v>Kenya</v>
          </cell>
        </row>
        <row r="131">
          <cell r="A131" t="str">
            <v>Bangladesh</v>
          </cell>
          <cell r="B131">
            <v>0.6</v>
          </cell>
          <cell r="C131">
            <v>0.4</v>
          </cell>
        </row>
        <row r="132">
          <cell r="A132" t="str">
            <v>Kyrgyzstan</v>
          </cell>
        </row>
        <row r="133">
          <cell r="A133" t="str">
            <v>North Macedonia</v>
          </cell>
        </row>
        <row r="134">
          <cell r="A134" t="str">
            <v>Armenia</v>
          </cell>
        </row>
        <row r="135">
          <cell r="A135" t="str">
            <v>Peru</v>
          </cell>
          <cell r="B135">
            <v>0.48</v>
          </cell>
          <cell r="C135">
            <v>0.52</v>
          </cell>
        </row>
        <row r="136">
          <cell r="A136" t="str">
            <v>Suriname</v>
          </cell>
        </row>
        <row r="137">
          <cell r="A137" t="str">
            <v>Italy</v>
          </cell>
          <cell r="B137">
            <v>0.75</v>
          </cell>
          <cell r="C137">
            <v>0.25</v>
          </cell>
        </row>
        <row r="138">
          <cell r="A138" t="str">
            <v>Serbia</v>
          </cell>
        </row>
        <row r="139">
          <cell r="A139" t="str">
            <v>Sierra Leone</v>
          </cell>
        </row>
        <row r="140">
          <cell r="A140" t="str">
            <v>Greece</v>
          </cell>
          <cell r="B140">
            <v>0.57999999999999996</v>
          </cell>
          <cell r="C140">
            <v>0.42</v>
          </cell>
        </row>
        <row r="141">
          <cell r="A141" t="str">
            <v>Morocco</v>
          </cell>
          <cell r="B141">
            <v>0.73</v>
          </cell>
          <cell r="C141">
            <v>0.27</v>
          </cell>
        </row>
        <row r="142">
          <cell r="A142" t="str">
            <v>Kazakhstan</v>
          </cell>
          <cell r="B142">
            <v>0.47</v>
          </cell>
          <cell r="C142">
            <v>0.53</v>
          </cell>
        </row>
        <row r="143">
          <cell r="A143" t="str">
            <v>Indonesia</v>
          </cell>
          <cell r="B143">
            <v>0.73</v>
          </cell>
          <cell r="C143">
            <v>0.27</v>
          </cell>
        </row>
        <row r="144">
          <cell r="A144" t="str">
            <v>Jordan</v>
          </cell>
        </row>
        <row r="145">
          <cell r="A145" t="str">
            <v>Bahrain</v>
          </cell>
        </row>
        <row r="146">
          <cell r="A146" t="str">
            <v>Ukraine</v>
          </cell>
          <cell r="B146">
            <v>0.59</v>
          </cell>
          <cell r="C146">
            <v>0.41</v>
          </cell>
        </row>
        <row r="147">
          <cell r="A147" t="str">
            <v>Thailand</v>
          </cell>
          <cell r="B147">
            <v>0.7</v>
          </cell>
          <cell r="C147">
            <v>0.3</v>
          </cell>
        </row>
        <row r="148">
          <cell r="A148" t="str">
            <v>RÃ©union</v>
          </cell>
        </row>
        <row r="149">
          <cell r="A149" t="str">
            <v>Montenegro</v>
          </cell>
        </row>
        <row r="150">
          <cell r="A150" t="str">
            <v>Azerbaijan</v>
          </cell>
        </row>
        <row r="151">
          <cell r="A151" t="str">
            <v>Guam</v>
          </cell>
        </row>
        <row r="152">
          <cell r="A152" t="str">
            <v>Iran</v>
          </cell>
          <cell r="B152">
            <v>0.78</v>
          </cell>
          <cell r="C152">
            <v>0.22</v>
          </cell>
        </row>
        <row r="153">
          <cell r="A153" t="str">
            <v>Libya</v>
          </cell>
        </row>
        <row r="154">
          <cell r="A154" t="str">
            <v>Guadeloupe</v>
          </cell>
        </row>
        <row r="155">
          <cell r="A155" t="str">
            <v>Puerto Rico</v>
          </cell>
        </row>
        <row r="156">
          <cell r="A156" t="str">
            <v>Bosnia &amp; Herzegovina</v>
          </cell>
        </row>
        <row r="157">
          <cell r="A157" t="str">
            <v>Algeria</v>
          </cell>
        </row>
        <row r="158">
          <cell r="A158" t="str">
            <v>Paraguay</v>
          </cell>
        </row>
        <row r="159">
          <cell r="A159" t="str">
            <v>Burkina Faso</v>
          </cell>
        </row>
        <row r="160">
          <cell r="A160" t="str">
            <v>Liberia</v>
          </cell>
        </row>
        <row r="161">
          <cell r="A161" t="str">
            <v>Yemen</v>
          </cell>
        </row>
        <row r="162">
          <cell r="A162" t="str">
            <v>Kuwait</v>
          </cell>
        </row>
        <row r="163">
          <cell r="A163" t="str">
            <v>Palestine</v>
          </cell>
        </row>
        <row r="164">
          <cell r="A164" t="str">
            <v>Saudi Arabia</v>
          </cell>
          <cell r="B164">
            <v>0.66</v>
          </cell>
          <cell r="C164">
            <v>0.34</v>
          </cell>
        </row>
        <row r="165">
          <cell r="A165" t="str">
            <v>Mali</v>
          </cell>
        </row>
        <row r="166">
          <cell r="A166" t="str">
            <v>Egypt</v>
          </cell>
          <cell r="B166">
            <v>0.76</v>
          </cell>
          <cell r="C166">
            <v>0.24</v>
          </cell>
        </row>
        <row r="167">
          <cell r="A167" t="str">
            <v>Georgia</v>
          </cell>
        </row>
        <row r="168">
          <cell r="A168" t="str">
            <v>Syria</v>
          </cell>
        </row>
        <row r="169">
          <cell r="A169" t="str">
            <v>Turkey</v>
          </cell>
          <cell r="B169">
            <v>0.67</v>
          </cell>
          <cell r="C169">
            <v>0.33</v>
          </cell>
        </row>
        <row r="170">
          <cell r="A170" t="str">
            <v>Iraq</v>
          </cell>
        </row>
        <row r="171">
          <cell r="A171" t="str">
            <v>North Korea</v>
          </cell>
        </row>
        <row r="172">
          <cell r="A172" t="str">
            <v>Cook Islands</v>
          </cell>
        </row>
        <row r="173">
          <cell r="A173" t="str">
            <v>Eritrea</v>
          </cell>
        </row>
        <row r="174">
          <cell r="A174" t="str">
            <v>Central African Republic</v>
          </cell>
        </row>
        <row r="175">
          <cell r="A175" t="str">
            <v>SÃ£o TomÃ© &amp; PrÃ­ncipe</v>
          </cell>
        </row>
        <row r="176">
          <cell r="A176" t="str">
            <v>Solomon Islands</v>
          </cell>
        </row>
        <row r="177">
          <cell r="A177" t="str">
            <v>Guinea-Bissau</v>
          </cell>
        </row>
        <row r="178">
          <cell r="A178" t="str">
            <v>Samoa</v>
          </cell>
        </row>
        <row r="179">
          <cell r="A179" t="str">
            <v>Ã…land Islands</v>
          </cell>
        </row>
        <row r="180">
          <cell r="A180" t="str">
            <v>Turks &amp; Caicos Islands</v>
          </cell>
        </row>
        <row r="181">
          <cell r="A181" t="str">
            <v>Vanuatu</v>
          </cell>
        </row>
        <row r="182">
          <cell r="A182" t="str">
            <v>Liechtenstein</v>
          </cell>
        </row>
        <row r="183">
          <cell r="A183" t="str">
            <v>St. Vincent &amp; Grenadines</v>
          </cell>
        </row>
        <row r="184">
          <cell r="A184" t="str">
            <v>St. Kitts &amp; Nevis</v>
          </cell>
        </row>
        <row r="185">
          <cell r="A185" t="str">
            <v>Gibraltar</v>
          </cell>
        </row>
        <row r="186">
          <cell r="A186" t="str">
            <v>Monaco</v>
          </cell>
        </row>
        <row r="187">
          <cell r="A187" t="str">
            <v>Dominica</v>
          </cell>
        </row>
        <row r="188">
          <cell r="A188" t="str">
            <v>Equatorial Guinea</v>
          </cell>
        </row>
        <row r="189">
          <cell r="A189" t="str">
            <v>Timor-Leste</v>
          </cell>
        </row>
        <row r="190">
          <cell r="A190" t="str">
            <v>Andorra</v>
          </cell>
        </row>
        <row r="191">
          <cell r="A191" t="str">
            <v>San Marino</v>
          </cell>
        </row>
        <row r="192">
          <cell r="A192" t="str">
            <v>Caribbean Netherlands</v>
          </cell>
        </row>
        <row r="193">
          <cell r="A193" t="str">
            <v>Seychelles</v>
          </cell>
        </row>
        <row r="194">
          <cell r="A194" t="str">
            <v>Niger</v>
          </cell>
        </row>
        <row r="195">
          <cell r="A195" t="str">
            <v>South Sudan</v>
          </cell>
        </row>
        <row r="196">
          <cell r="A196" t="str">
            <v>Cape Verde</v>
          </cell>
        </row>
        <row r="197">
          <cell r="A197" t="str">
            <v>St. Martin</v>
          </cell>
        </row>
        <row r="198">
          <cell r="A198" t="str">
            <v>Greenland</v>
          </cell>
        </row>
        <row r="199">
          <cell r="A199" t="str">
            <v>Djibouti</v>
          </cell>
        </row>
        <row r="200">
          <cell r="A200" t="str">
            <v>Antigua &amp; Barbuda</v>
          </cell>
        </row>
        <row r="201">
          <cell r="A201" t="str">
            <v>Mayotte</v>
          </cell>
        </row>
        <row r="202">
          <cell r="A202" t="str">
            <v>Guernsey</v>
          </cell>
        </row>
        <row r="203">
          <cell r="A203" t="str">
            <v>Grenada</v>
          </cell>
        </row>
        <row r="204">
          <cell r="A204" t="str">
            <v>Northern Mariana Islands</v>
          </cell>
        </row>
        <row r="205">
          <cell r="A205" t="str">
            <v>Congo - Brazzaville</v>
          </cell>
        </row>
        <row r="206">
          <cell r="A206" t="str">
            <v>Belize</v>
          </cell>
        </row>
        <row r="207">
          <cell r="A207" t="str">
            <v>Gambia</v>
          </cell>
        </row>
        <row r="208">
          <cell r="A208" t="str">
            <v>New Caledonia</v>
          </cell>
        </row>
        <row r="209">
          <cell r="A209" t="str">
            <v>Bahamas</v>
          </cell>
        </row>
        <row r="210">
          <cell r="A210" t="str">
            <v>U.S. Virgin Islands</v>
          </cell>
        </row>
        <row r="211">
          <cell r="A211" t="str">
            <v>Gabon</v>
          </cell>
        </row>
        <row r="212">
          <cell r="A212" t="str">
            <v>Western Sahara</v>
          </cell>
        </row>
        <row r="213">
          <cell r="A213" t="str">
            <v>Mauritania</v>
          </cell>
        </row>
        <row r="214">
          <cell r="A214" t="str">
            <v>Sint Maarten</v>
          </cell>
        </row>
        <row r="215">
          <cell r="A215" t="str">
            <v>Chad</v>
          </cell>
        </row>
        <row r="216">
          <cell r="A216" t="str">
            <v>Faroe Islands</v>
          </cell>
        </row>
        <row r="217">
          <cell r="A217" t="str">
            <v>French Guiana</v>
          </cell>
        </row>
        <row r="218">
          <cell r="A218" t="str">
            <v>Guinea</v>
          </cell>
        </row>
        <row r="219">
          <cell r="A219" t="str">
            <v>St. Lucia</v>
          </cell>
        </row>
        <row r="220">
          <cell r="A220" t="str">
            <v>French Polynesia</v>
          </cell>
        </row>
        <row r="221">
          <cell r="A221" t="str">
            <v>Martinique</v>
          </cell>
        </row>
        <row r="222">
          <cell r="A222" t="str">
            <v>Bermuda</v>
          </cell>
        </row>
        <row r="223">
          <cell r="A223" t="str">
            <v>Anguilla</v>
          </cell>
        </row>
        <row r="224">
          <cell r="A224" t="str">
            <v>American Samoa</v>
          </cell>
        </row>
        <row r="225">
          <cell r="A225" t="str">
            <v>Antarctica</v>
          </cell>
        </row>
        <row r="226">
          <cell r="A226" t="str">
            <v>French Southern Territories</v>
          </cell>
        </row>
        <row r="227">
          <cell r="A227" t="str">
            <v>St. BarthÃ©lemy</v>
          </cell>
        </row>
        <row r="228">
          <cell r="A228" t="str">
            <v>Bouvet Island</v>
          </cell>
        </row>
        <row r="229">
          <cell r="A229" t="str">
            <v>Cocos (Keeling) Islands</v>
          </cell>
        </row>
        <row r="230">
          <cell r="A230" t="str">
            <v>Comoros</v>
          </cell>
        </row>
        <row r="231">
          <cell r="A231" t="str">
            <v>Christmas Island</v>
          </cell>
        </row>
        <row r="232">
          <cell r="A232" t="str">
            <v>Falkland Islands (Islas Malvinas)</v>
          </cell>
        </row>
        <row r="233">
          <cell r="A233" t="str">
            <v>Micronesia</v>
          </cell>
        </row>
        <row r="234">
          <cell r="A234" t="str">
            <v>Heard &amp; McDonald Islands</v>
          </cell>
        </row>
        <row r="235">
          <cell r="A235" t="str">
            <v>British Indian Ocean Territory</v>
          </cell>
        </row>
        <row r="236">
          <cell r="A236" t="str">
            <v>Kiribati</v>
          </cell>
        </row>
        <row r="237">
          <cell r="A237" t="str">
            <v>Marshall Islands</v>
          </cell>
        </row>
        <row r="238">
          <cell r="A238" t="str">
            <v>Montserrat</v>
          </cell>
        </row>
        <row r="239">
          <cell r="A239" t="str">
            <v>Norfolk Island</v>
          </cell>
        </row>
        <row r="240">
          <cell r="A240" t="str">
            <v>Niue</v>
          </cell>
        </row>
        <row r="241">
          <cell r="A241" t="str">
            <v>Nauru</v>
          </cell>
        </row>
        <row r="242">
          <cell r="A242" t="str">
            <v>Pitcairn Islands</v>
          </cell>
        </row>
        <row r="243">
          <cell r="A243" t="str">
            <v>Palau</v>
          </cell>
        </row>
        <row r="244">
          <cell r="A244" t="str">
            <v>South Georgia &amp; South Sandwich Islands</v>
          </cell>
        </row>
        <row r="245">
          <cell r="A245" t="str">
            <v>Svalbard &amp; Jan Mayen</v>
          </cell>
        </row>
        <row r="246">
          <cell r="A246" t="str">
            <v>St. Pierre &amp; Miquelon</v>
          </cell>
        </row>
        <row r="247">
          <cell r="A247" t="str">
            <v>Tokelau</v>
          </cell>
        </row>
        <row r="248">
          <cell r="A248" t="str">
            <v>Tonga</v>
          </cell>
        </row>
        <row r="249">
          <cell r="A249" t="str">
            <v>Tuvalu</v>
          </cell>
        </row>
        <row r="250">
          <cell r="A250" t="str">
            <v>U.S. Outlying Islands</v>
          </cell>
        </row>
        <row r="251">
          <cell r="A251" t="str">
            <v>Vatican City</v>
          </cell>
        </row>
        <row r="252">
          <cell r="A252" t="str">
            <v>British Virgin Islands</v>
          </cell>
        </row>
        <row r="253">
          <cell r="A253" t="str">
            <v>Wallis &amp; Futuna</v>
          </cell>
        </row>
      </sheetData>
    </sheetDataSet>
  </externalBook>
</externalLink>
</file>

<file path=xl/externalLinks/externalLink1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5)"/>
    </sheetNames>
    <sheetDataSet>
      <sheetData sheetId="0">
        <row r="1">
          <cell r="A1" t="str">
            <v>Kategori: TÃ¼m kategoriler</v>
          </cell>
        </row>
        <row r="3">
          <cell r="A3" t="str">
            <v>Ãœlke</v>
          </cell>
          <cell r="B3" t="str">
            <v>SayÄ± deÄŸil: (2017)</v>
          </cell>
          <cell r="C3" t="str">
            <v>Yapay Sinir AÄŸlarÄ±: (2017)</v>
          </cell>
        </row>
        <row r="4">
          <cell r="A4" t="str">
            <v>Haiti</v>
          </cell>
          <cell r="B4">
            <v>1</v>
          </cell>
        </row>
        <row r="5">
          <cell r="A5" t="str">
            <v>China</v>
          </cell>
          <cell r="B5">
            <v>0.11</v>
          </cell>
          <cell r="C5">
            <v>0.89</v>
          </cell>
        </row>
        <row r="6">
          <cell r="A6" t="str">
            <v>CuraÃ§ao</v>
          </cell>
        </row>
        <row r="7">
          <cell r="A7" t="str">
            <v>Tanzania</v>
          </cell>
        </row>
        <row r="8">
          <cell r="A8" t="str">
            <v>Aruba</v>
          </cell>
        </row>
        <row r="9">
          <cell r="A9" t="str">
            <v>Myanmar (Burma)</v>
          </cell>
        </row>
        <row r="10">
          <cell r="A10" t="str">
            <v>South Korea</v>
          </cell>
          <cell r="B10">
            <v>0.16</v>
          </cell>
          <cell r="C10">
            <v>0.84</v>
          </cell>
        </row>
        <row r="11">
          <cell r="A11" t="str">
            <v>Fiji</v>
          </cell>
        </row>
        <row r="12">
          <cell r="A12" t="str">
            <v>Sri Lanka</v>
          </cell>
          <cell r="B12">
            <v>0.75</v>
          </cell>
          <cell r="C12">
            <v>0.25</v>
          </cell>
        </row>
        <row r="13">
          <cell r="A13" t="str">
            <v>Cuba</v>
          </cell>
        </row>
        <row r="14">
          <cell r="A14" t="str">
            <v>Singapore</v>
          </cell>
          <cell r="B14">
            <v>0.51</v>
          </cell>
          <cell r="C14">
            <v>0.49</v>
          </cell>
        </row>
        <row r="15">
          <cell r="A15" t="str">
            <v>Ethiopia</v>
          </cell>
        </row>
        <row r="16">
          <cell r="A16" t="str">
            <v>Turkmenistan</v>
          </cell>
        </row>
        <row r="17">
          <cell r="A17" t="str">
            <v>Hong Kong</v>
          </cell>
          <cell r="B17">
            <v>0.34</v>
          </cell>
          <cell r="C17">
            <v>0.66</v>
          </cell>
        </row>
        <row r="18">
          <cell r="A18" t="str">
            <v>Benin</v>
          </cell>
        </row>
        <row r="19">
          <cell r="A19" t="str">
            <v>Zimbabwe</v>
          </cell>
        </row>
        <row r="20">
          <cell r="A20" t="str">
            <v>Pakistan</v>
          </cell>
          <cell r="B20">
            <v>0.57999999999999996</v>
          </cell>
          <cell r="C20">
            <v>0.42</v>
          </cell>
        </row>
        <row r="21">
          <cell r="A21" t="str">
            <v>St. Helena</v>
          </cell>
        </row>
        <row r="22">
          <cell r="A22" t="str">
            <v>Nigeria</v>
          </cell>
          <cell r="B22">
            <v>0.65</v>
          </cell>
          <cell r="C22">
            <v>0.35</v>
          </cell>
        </row>
        <row r="23">
          <cell r="A23" t="str">
            <v>Taiwan</v>
          </cell>
          <cell r="B23">
            <v>0.21</v>
          </cell>
          <cell r="C23">
            <v>0.79</v>
          </cell>
        </row>
        <row r="24">
          <cell r="A24" t="str">
            <v>Romania</v>
          </cell>
          <cell r="B24">
            <v>0.78</v>
          </cell>
          <cell r="C24">
            <v>0.22</v>
          </cell>
        </row>
        <row r="25">
          <cell r="A25" t="str">
            <v>Brazil</v>
          </cell>
          <cell r="B25">
            <v>0.86</v>
          </cell>
          <cell r="C25">
            <v>0.14000000000000001</v>
          </cell>
        </row>
        <row r="26">
          <cell r="A26" t="str">
            <v>Chile</v>
          </cell>
          <cell r="B26">
            <v>0.81</v>
          </cell>
          <cell r="C26">
            <v>0.19</v>
          </cell>
        </row>
        <row r="27">
          <cell r="A27" t="str">
            <v>India</v>
          </cell>
          <cell r="B27">
            <v>0.55000000000000004</v>
          </cell>
          <cell r="C27">
            <v>0.45</v>
          </cell>
        </row>
        <row r="28">
          <cell r="A28" t="str">
            <v>Maldives</v>
          </cell>
        </row>
        <row r="29">
          <cell r="A29" t="str">
            <v>Nicaragua</v>
          </cell>
        </row>
        <row r="30">
          <cell r="A30" t="str">
            <v>Poland</v>
          </cell>
          <cell r="B30">
            <v>0.74</v>
          </cell>
          <cell r="C30">
            <v>0.26</v>
          </cell>
        </row>
        <row r="31">
          <cell r="A31" t="str">
            <v>Isle of Man</v>
          </cell>
        </row>
        <row r="32">
          <cell r="A32" t="str">
            <v>Croatia</v>
          </cell>
          <cell r="B32">
            <v>0.4</v>
          </cell>
          <cell r="C32">
            <v>0.6</v>
          </cell>
        </row>
        <row r="33">
          <cell r="A33" t="str">
            <v>Belgium</v>
          </cell>
          <cell r="B33">
            <v>0.73</v>
          </cell>
          <cell r="C33">
            <v>0.27</v>
          </cell>
        </row>
        <row r="34">
          <cell r="A34" t="str">
            <v>Israel</v>
          </cell>
          <cell r="B34">
            <v>0.28999999999999998</v>
          </cell>
          <cell r="C34">
            <v>0.71</v>
          </cell>
        </row>
        <row r="35">
          <cell r="A35" t="str">
            <v>Belarus</v>
          </cell>
          <cell r="B35">
            <v>0.43</v>
          </cell>
          <cell r="C35">
            <v>0.56999999999999995</v>
          </cell>
        </row>
        <row r="36">
          <cell r="A36" t="str">
            <v>Russia</v>
          </cell>
          <cell r="B36">
            <v>0.43</v>
          </cell>
          <cell r="C36">
            <v>0.56999999999999995</v>
          </cell>
        </row>
        <row r="37">
          <cell r="A37" t="str">
            <v>Venezuela</v>
          </cell>
          <cell r="B37">
            <v>0.89</v>
          </cell>
          <cell r="C37">
            <v>0.11</v>
          </cell>
        </row>
        <row r="38">
          <cell r="A38" t="str">
            <v>Australia</v>
          </cell>
          <cell r="B38">
            <v>0.62</v>
          </cell>
          <cell r="C38">
            <v>0.38</v>
          </cell>
        </row>
        <row r="39">
          <cell r="A39" t="str">
            <v>Malta</v>
          </cell>
        </row>
        <row r="40">
          <cell r="A40" t="str">
            <v>Iceland</v>
          </cell>
        </row>
        <row r="41">
          <cell r="A41" t="str">
            <v>Mexico</v>
          </cell>
          <cell r="B41">
            <v>0.8</v>
          </cell>
          <cell r="C41">
            <v>0.2</v>
          </cell>
        </row>
        <row r="42">
          <cell r="A42" t="str">
            <v>Nepal</v>
          </cell>
        </row>
        <row r="43">
          <cell r="A43" t="str">
            <v>Kosovo</v>
          </cell>
        </row>
        <row r="44">
          <cell r="A44" t="str">
            <v>Honduras</v>
          </cell>
        </row>
        <row r="45">
          <cell r="A45" t="str">
            <v>South Africa</v>
          </cell>
          <cell r="B45">
            <v>0.64</v>
          </cell>
          <cell r="C45">
            <v>0.36</v>
          </cell>
        </row>
        <row r="46">
          <cell r="A46" t="str">
            <v>Luxembourg</v>
          </cell>
        </row>
        <row r="47">
          <cell r="A47" t="str">
            <v>Japan</v>
          </cell>
          <cell r="B47">
            <v>0.61</v>
          </cell>
          <cell r="C47">
            <v>0.39</v>
          </cell>
        </row>
        <row r="48">
          <cell r="A48" t="str">
            <v>Namibia</v>
          </cell>
        </row>
        <row r="49">
          <cell r="A49" t="str">
            <v>Denmark</v>
          </cell>
          <cell r="B49">
            <v>0.63</v>
          </cell>
          <cell r="C49">
            <v>0.37</v>
          </cell>
        </row>
        <row r="50">
          <cell r="A50" t="str">
            <v>United Kingdom</v>
          </cell>
          <cell r="B50">
            <v>0.61</v>
          </cell>
          <cell r="C50">
            <v>0.39</v>
          </cell>
        </row>
        <row r="51">
          <cell r="A51" t="str">
            <v>Botswana</v>
          </cell>
        </row>
        <row r="52">
          <cell r="A52" t="str">
            <v>Portugal</v>
          </cell>
          <cell r="B52">
            <v>0.65</v>
          </cell>
          <cell r="C52">
            <v>0.35</v>
          </cell>
        </row>
        <row r="53">
          <cell r="A53" t="str">
            <v>Czechia</v>
          </cell>
          <cell r="B53">
            <v>0.34</v>
          </cell>
          <cell r="C53">
            <v>0.66</v>
          </cell>
        </row>
        <row r="54">
          <cell r="A54" t="str">
            <v>Laos</v>
          </cell>
        </row>
        <row r="55">
          <cell r="A55" t="str">
            <v>Estonia</v>
          </cell>
        </row>
        <row r="56">
          <cell r="A56" t="str">
            <v>Tunisia</v>
          </cell>
        </row>
        <row r="57">
          <cell r="A57" t="str">
            <v>Iran</v>
          </cell>
          <cell r="B57">
            <v>0.14000000000000001</v>
          </cell>
          <cell r="C57">
            <v>0.86</v>
          </cell>
        </row>
        <row r="58">
          <cell r="A58" t="str">
            <v>Dominican Republic</v>
          </cell>
        </row>
        <row r="59">
          <cell r="A59" t="str">
            <v>Malaysia</v>
          </cell>
          <cell r="B59">
            <v>0.57999999999999996</v>
          </cell>
          <cell r="C59">
            <v>0.42</v>
          </cell>
        </row>
        <row r="60">
          <cell r="A60" t="str">
            <v>Vietnam</v>
          </cell>
          <cell r="B60">
            <v>0.83</v>
          </cell>
          <cell r="C60">
            <v>0.17</v>
          </cell>
        </row>
        <row r="61">
          <cell r="A61" t="str">
            <v>Guatemala</v>
          </cell>
        </row>
        <row r="62">
          <cell r="A62" t="str">
            <v>Canada</v>
          </cell>
          <cell r="B62">
            <v>0.39</v>
          </cell>
          <cell r="C62">
            <v>0.61</v>
          </cell>
        </row>
        <row r="63">
          <cell r="A63" t="str">
            <v>Afghanistan</v>
          </cell>
        </row>
        <row r="64">
          <cell r="A64" t="str">
            <v>Switzerland</v>
          </cell>
          <cell r="B64">
            <v>0.43</v>
          </cell>
          <cell r="C64">
            <v>0.56999999999999995</v>
          </cell>
        </row>
        <row r="65">
          <cell r="A65" t="str">
            <v>Qatar</v>
          </cell>
        </row>
        <row r="66">
          <cell r="A66" t="str">
            <v>Moldova</v>
          </cell>
        </row>
        <row r="67">
          <cell r="A67" t="str">
            <v>Mozambique</v>
          </cell>
        </row>
        <row r="68">
          <cell r="A68" t="str">
            <v>Cambodia</v>
          </cell>
        </row>
        <row r="69">
          <cell r="A69" t="str">
            <v>United States</v>
          </cell>
          <cell r="B69">
            <v>0.37</v>
          </cell>
          <cell r="C69">
            <v>0.63</v>
          </cell>
        </row>
        <row r="70">
          <cell r="A70" t="str">
            <v>Bangladesh</v>
          </cell>
          <cell r="B70">
            <v>0.38</v>
          </cell>
          <cell r="C70">
            <v>0.62</v>
          </cell>
        </row>
        <row r="71">
          <cell r="A71" t="str">
            <v>Cyprus</v>
          </cell>
        </row>
        <row r="72">
          <cell r="A72" t="str">
            <v>Madagascar</v>
          </cell>
        </row>
        <row r="73">
          <cell r="A73" t="str">
            <v>Bhutan</v>
          </cell>
        </row>
        <row r="74">
          <cell r="A74" t="str">
            <v>Uzbekistan</v>
          </cell>
        </row>
        <row r="75">
          <cell r="A75" t="str">
            <v>Macao</v>
          </cell>
        </row>
        <row r="76">
          <cell r="A76" t="str">
            <v>Kyrgyzstan</v>
          </cell>
        </row>
        <row r="77">
          <cell r="A77" t="str">
            <v>Peru</v>
          </cell>
          <cell r="B77">
            <v>0.67</v>
          </cell>
          <cell r="C77">
            <v>0.33</v>
          </cell>
        </row>
        <row r="78">
          <cell r="A78" t="str">
            <v>Netherlands</v>
          </cell>
          <cell r="B78">
            <v>0.54</v>
          </cell>
          <cell r="C78">
            <v>0.46</v>
          </cell>
        </row>
        <row r="79">
          <cell r="A79" t="str">
            <v>Rwanda</v>
          </cell>
        </row>
        <row r="80">
          <cell r="A80" t="str">
            <v>Tajikistan</v>
          </cell>
        </row>
        <row r="81">
          <cell r="A81" t="str">
            <v>Costa Rica</v>
          </cell>
        </row>
        <row r="82">
          <cell r="A82" t="str">
            <v>United Arab Emirates</v>
          </cell>
          <cell r="B82">
            <v>0.66</v>
          </cell>
          <cell r="C82">
            <v>0.34</v>
          </cell>
        </row>
        <row r="83">
          <cell r="A83" t="str">
            <v>Mauritius</v>
          </cell>
        </row>
        <row r="84">
          <cell r="A84" t="str">
            <v>Kazakhstan</v>
          </cell>
          <cell r="B84">
            <v>0.63</v>
          </cell>
          <cell r="C84">
            <v>0.37</v>
          </cell>
        </row>
        <row r="85">
          <cell r="A85" t="str">
            <v>Bolivia</v>
          </cell>
        </row>
        <row r="86">
          <cell r="A86" t="str">
            <v>Philippines</v>
          </cell>
          <cell r="B86">
            <v>0.56999999999999995</v>
          </cell>
          <cell r="C86">
            <v>0.43</v>
          </cell>
        </row>
        <row r="87">
          <cell r="A87" t="str">
            <v>Ireland</v>
          </cell>
          <cell r="B87">
            <v>0.46</v>
          </cell>
          <cell r="C87">
            <v>0.54</v>
          </cell>
        </row>
        <row r="88">
          <cell r="A88" t="str">
            <v>Brunei</v>
          </cell>
        </row>
        <row r="89">
          <cell r="A89" t="str">
            <v>Bulgaria</v>
          </cell>
          <cell r="B89">
            <v>0.64</v>
          </cell>
          <cell r="C89">
            <v>0.36</v>
          </cell>
        </row>
        <row r="90">
          <cell r="A90" t="str">
            <v>Ukraine</v>
          </cell>
          <cell r="B90">
            <v>0.39</v>
          </cell>
          <cell r="C90">
            <v>0.61</v>
          </cell>
        </row>
        <row r="91">
          <cell r="A91" t="str">
            <v>Finland</v>
          </cell>
          <cell r="B91">
            <v>0.5</v>
          </cell>
          <cell r="C91">
            <v>0.5</v>
          </cell>
        </row>
        <row r="92">
          <cell r="A92" t="str">
            <v>Germany</v>
          </cell>
          <cell r="B92">
            <v>0.52</v>
          </cell>
          <cell r="C92">
            <v>0.48</v>
          </cell>
        </row>
        <row r="93">
          <cell r="A93" t="str">
            <v>Ecuador</v>
          </cell>
          <cell r="B93">
            <v>0.67</v>
          </cell>
          <cell r="C93">
            <v>0.33</v>
          </cell>
        </row>
        <row r="94">
          <cell r="A94" t="str">
            <v>Ghana</v>
          </cell>
        </row>
        <row r="95">
          <cell r="A95" t="str">
            <v>Panama</v>
          </cell>
        </row>
        <row r="96">
          <cell r="A96" t="str">
            <v>Sweden</v>
          </cell>
          <cell r="B96">
            <v>0.4</v>
          </cell>
          <cell r="C96">
            <v>0.6</v>
          </cell>
        </row>
        <row r="97">
          <cell r="A97" t="str">
            <v>Lebanon</v>
          </cell>
        </row>
        <row r="98">
          <cell r="A98" t="str">
            <v>New Zealand</v>
          </cell>
          <cell r="B98">
            <v>0.47</v>
          </cell>
          <cell r="C98">
            <v>0.53</v>
          </cell>
        </row>
        <row r="99">
          <cell r="A99" t="str">
            <v>Somalia</v>
          </cell>
        </row>
        <row r="100">
          <cell r="A100" t="str">
            <v>Latvia</v>
          </cell>
        </row>
        <row r="101">
          <cell r="A101" t="str">
            <v>Zambia</v>
          </cell>
        </row>
        <row r="102">
          <cell r="A102" t="str">
            <v>Norway</v>
          </cell>
          <cell r="B102">
            <v>0.33</v>
          </cell>
          <cell r="C102">
            <v>0.67</v>
          </cell>
        </row>
        <row r="103">
          <cell r="A103" t="str">
            <v>Lithuania</v>
          </cell>
        </row>
        <row r="104">
          <cell r="A104" t="str">
            <v>Sudan</v>
          </cell>
        </row>
        <row r="105">
          <cell r="A105" t="str">
            <v>Bahrain</v>
          </cell>
        </row>
        <row r="106">
          <cell r="A106" t="str">
            <v>Azerbaijan</v>
          </cell>
        </row>
        <row r="107">
          <cell r="A107" t="str">
            <v>Spain</v>
          </cell>
          <cell r="B107">
            <v>0.64</v>
          </cell>
          <cell r="C107">
            <v>0.36</v>
          </cell>
        </row>
        <row r="108">
          <cell r="A108" t="str">
            <v>Guadeloupe</v>
          </cell>
        </row>
        <row r="109">
          <cell r="A109" t="str">
            <v>Armenia</v>
          </cell>
        </row>
        <row r="110">
          <cell r="A110" t="str">
            <v>Kenya</v>
          </cell>
        </row>
        <row r="111">
          <cell r="A111" t="str">
            <v>El Salvador</v>
          </cell>
        </row>
        <row r="112">
          <cell r="A112" t="str">
            <v>Austria</v>
          </cell>
          <cell r="B112">
            <v>0.53</v>
          </cell>
          <cell r="C112">
            <v>0.47</v>
          </cell>
        </row>
        <row r="113">
          <cell r="A113" t="str">
            <v>Colombia</v>
          </cell>
          <cell r="B113">
            <v>0.65</v>
          </cell>
          <cell r="C113">
            <v>0.35</v>
          </cell>
        </row>
        <row r="114">
          <cell r="A114" t="str">
            <v>Greece</v>
          </cell>
          <cell r="B114">
            <v>0.49</v>
          </cell>
          <cell r="C114">
            <v>0.51</v>
          </cell>
        </row>
        <row r="115">
          <cell r="A115" t="str">
            <v>Angola</v>
          </cell>
        </row>
        <row r="116">
          <cell r="A116" t="str">
            <v>Mongolia</v>
          </cell>
        </row>
        <row r="117">
          <cell r="A117" t="str">
            <v>Albania</v>
          </cell>
        </row>
        <row r="118">
          <cell r="A118" t="str">
            <v>Indonesia</v>
          </cell>
          <cell r="B118">
            <v>0.33</v>
          </cell>
          <cell r="C118">
            <v>0.67</v>
          </cell>
        </row>
        <row r="119">
          <cell r="A119" t="str">
            <v>North Macedonia</v>
          </cell>
        </row>
        <row r="120">
          <cell r="A120" t="str">
            <v>Jamaica</v>
          </cell>
        </row>
        <row r="121">
          <cell r="A121" t="str">
            <v>Paraguay</v>
          </cell>
        </row>
        <row r="122">
          <cell r="A122" t="str">
            <v>Uruguay</v>
          </cell>
        </row>
        <row r="123">
          <cell r="A123" t="str">
            <v>Algeria</v>
          </cell>
        </row>
        <row r="124">
          <cell r="A124" t="str">
            <v>Cameroon</v>
          </cell>
        </row>
        <row r="125">
          <cell r="A125" t="str">
            <v>Syria</v>
          </cell>
        </row>
        <row r="126">
          <cell r="A126" t="str">
            <v>Oman</v>
          </cell>
        </row>
        <row r="127">
          <cell r="A127" t="str">
            <v>CÃ´te dâ€™Ivoire</v>
          </cell>
        </row>
        <row r="128">
          <cell r="A128" t="str">
            <v>Slovenia</v>
          </cell>
        </row>
        <row r="129">
          <cell r="A129" t="str">
            <v>France</v>
          </cell>
          <cell r="B129">
            <v>0.56999999999999995</v>
          </cell>
          <cell r="C129">
            <v>0.43</v>
          </cell>
        </row>
        <row r="130">
          <cell r="A130" t="str">
            <v>Egypt</v>
          </cell>
          <cell r="B130">
            <v>0.24</v>
          </cell>
          <cell r="C130">
            <v>0.76</v>
          </cell>
        </row>
        <row r="131">
          <cell r="A131" t="str">
            <v>Palestine</v>
          </cell>
        </row>
        <row r="132">
          <cell r="A132" t="str">
            <v>Serbia</v>
          </cell>
        </row>
        <row r="133">
          <cell r="A133" t="str">
            <v>Iraq</v>
          </cell>
        </row>
        <row r="134">
          <cell r="A134" t="str">
            <v>Trinidad &amp; Tobago</v>
          </cell>
        </row>
        <row r="135">
          <cell r="A135" t="str">
            <v>Slovakia</v>
          </cell>
        </row>
        <row r="136">
          <cell r="A136" t="str">
            <v>Senegal</v>
          </cell>
        </row>
        <row r="137">
          <cell r="A137" t="str">
            <v>Uganda</v>
          </cell>
        </row>
        <row r="138">
          <cell r="A138" t="str">
            <v>Bosnia &amp; Herzegovina</v>
          </cell>
        </row>
        <row r="139">
          <cell r="A139" t="str">
            <v>Jordan</v>
          </cell>
        </row>
        <row r="140">
          <cell r="A140" t="str">
            <v>Georgia</v>
          </cell>
        </row>
        <row r="141">
          <cell r="A141" t="str">
            <v>Hungary</v>
          </cell>
          <cell r="B141">
            <v>0.38</v>
          </cell>
          <cell r="C141">
            <v>0.62</v>
          </cell>
        </row>
        <row r="142">
          <cell r="A142" t="str">
            <v>Kuwait</v>
          </cell>
        </row>
        <row r="143">
          <cell r="A143" t="str">
            <v>Argentina</v>
          </cell>
          <cell r="B143">
            <v>0.65</v>
          </cell>
          <cell r="C143">
            <v>0.35</v>
          </cell>
        </row>
        <row r="144">
          <cell r="A144" t="str">
            <v>Italy</v>
          </cell>
          <cell r="B144">
            <v>0.43</v>
          </cell>
          <cell r="C144">
            <v>0.56999999999999995</v>
          </cell>
        </row>
        <row r="145">
          <cell r="A145" t="str">
            <v>Libya</v>
          </cell>
        </row>
        <row r="146">
          <cell r="A146" t="str">
            <v>Thailand</v>
          </cell>
          <cell r="B146">
            <v>0.48</v>
          </cell>
          <cell r="C146">
            <v>0.52</v>
          </cell>
        </row>
        <row r="147">
          <cell r="A147" t="str">
            <v>Morocco</v>
          </cell>
        </row>
        <row r="148">
          <cell r="A148" t="str">
            <v>Turkey</v>
          </cell>
          <cell r="B148">
            <v>0.38</v>
          </cell>
          <cell r="C148">
            <v>0.62</v>
          </cell>
        </row>
        <row r="149">
          <cell r="A149" t="str">
            <v>Yemen</v>
          </cell>
        </row>
        <row r="150">
          <cell r="A150" t="str">
            <v>Saudi Arabia</v>
          </cell>
          <cell r="B150">
            <v>0.5</v>
          </cell>
          <cell r="C150">
            <v>0.5</v>
          </cell>
        </row>
        <row r="151">
          <cell r="A151" t="str">
            <v>RÃ©union</v>
          </cell>
        </row>
        <row r="152">
          <cell r="A152" t="str">
            <v>Puerto Rico</v>
          </cell>
        </row>
        <row r="153">
          <cell r="A153" t="str">
            <v>Vanuatu</v>
          </cell>
        </row>
        <row r="154">
          <cell r="A154" t="str">
            <v>Guinea-Bissau</v>
          </cell>
        </row>
        <row r="155">
          <cell r="A155" t="str">
            <v>Micronesia</v>
          </cell>
        </row>
        <row r="156">
          <cell r="A156" t="str">
            <v>Turks &amp; Caicos Islands</v>
          </cell>
        </row>
        <row r="157">
          <cell r="A157" t="str">
            <v>Faroe Islands</v>
          </cell>
        </row>
        <row r="158">
          <cell r="A158" t="str">
            <v>Tonga</v>
          </cell>
        </row>
        <row r="159">
          <cell r="A159" t="str">
            <v>SÃ£o TomÃ© &amp; PrÃ­ncipe</v>
          </cell>
        </row>
        <row r="160">
          <cell r="A160" t="str">
            <v>Caribbean Netherlands</v>
          </cell>
        </row>
        <row r="161">
          <cell r="A161" t="str">
            <v>French Guiana</v>
          </cell>
        </row>
        <row r="162">
          <cell r="A162" t="str">
            <v>American Samoa</v>
          </cell>
        </row>
        <row r="163">
          <cell r="A163" t="str">
            <v>Dominica</v>
          </cell>
        </row>
        <row r="164">
          <cell r="A164" t="str">
            <v>Central African Republic</v>
          </cell>
        </row>
        <row r="165">
          <cell r="A165" t="str">
            <v>Grenada</v>
          </cell>
        </row>
        <row r="166">
          <cell r="A166" t="str">
            <v>Northern Mariana Islands</v>
          </cell>
        </row>
        <row r="167">
          <cell r="A167" t="str">
            <v>Samoa</v>
          </cell>
        </row>
        <row r="168">
          <cell r="A168" t="str">
            <v>Lesotho</v>
          </cell>
        </row>
        <row r="169">
          <cell r="A169" t="str">
            <v>Solomon Islands</v>
          </cell>
        </row>
        <row r="170">
          <cell r="A170" t="str">
            <v>Monaco</v>
          </cell>
        </row>
        <row r="171">
          <cell r="A171" t="str">
            <v>Equatorial Guinea</v>
          </cell>
        </row>
        <row r="172">
          <cell r="A172" t="str">
            <v>Bahamas</v>
          </cell>
        </row>
        <row r="173">
          <cell r="A173" t="str">
            <v>Cape Verde</v>
          </cell>
        </row>
        <row r="174">
          <cell r="A174" t="str">
            <v>Sint Maarten</v>
          </cell>
        </row>
        <row r="175">
          <cell r="A175" t="str">
            <v>Ã…land Islands</v>
          </cell>
        </row>
        <row r="176">
          <cell r="A176" t="str">
            <v>Burundi</v>
          </cell>
        </row>
        <row r="177">
          <cell r="A177" t="str">
            <v>Niger</v>
          </cell>
        </row>
        <row r="178">
          <cell r="A178" t="str">
            <v>Eswatini</v>
          </cell>
        </row>
        <row r="179">
          <cell r="A179" t="str">
            <v>San Marino</v>
          </cell>
        </row>
        <row r="180">
          <cell r="A180" t="str">
            <v>St. Vincent &amp; Grenadines</v>
          </cell>
        </row>
        <row r="181">
          <cell r="A181" t="str">
            <v>St. Kitts &amp; Nevis</v>
          </cell>
        </row>
        <row r="182">
          <cell r="A182" t="str">
            <v>Greenland</v>
          </cell>
        </row>
        <row r="183">
          <cell r="A183" t="str">
            <v>Gambia</v>
          </cell>
        </row>
        <row r="184">
          <cell r="A184" t="str">
            <v>Congo - Brazzaville</v>
          </cell>
        </row>
        <row r="185">
          <cell r="A185" t="str">
            <v>Cayman Islands</v>
          </cell>
        </row>
        <row r="186">
          <cell r="A186" t="str">
            <v>Papua New Guinea</v>
          </cell>
        </row>
        <row r="187">
          <cell r="A187" t="str">
            <v>Jersey</v>
          </cell>
        </row>
        <row r="188">
          <cell r="A188" t="str">
            <v>Western Sahara</v>
          </cell>
        </row>
        <row r="189">
          <cell r="A189" t="str">
            <v>South Sudan</v>
          </cell>
        </row>
        <row r="190">
          <cell r="A190" t="str">
            <v>Seychelles</v>
          </cell>
        </row>
        <row r="191">
          <cell r="A191" t="str">
            <v>Mayotte</v>
          </cell>
        </row>
        <row r="192">
          <cell r="A192" t="str">
            <v>Timor-Leste</v>
          </cell>
        </row>
        <row r="193">
          <cell r="A193" t="str">
            <v>Togo</v>
          </cell>
        </row>
        <row r="194">
          <cell r="A194" t="str">
            <v>Guyana</v>
          </cell>
        </row>
        <row r="195">
          <cell r="A195" t="str">
            <v>U.S. Virgin Islands</v>
          </cell>
        </row>
        <row r="196">
          <cell r="A196" t="str">
            <v>Guam</v>
          </cell>
        </row>
        <row r="197">
          <cell r="A197" t="str">
            <v>Liechtenstein</v>
          </cell>
        </row>
        <row r="198">
          <cell r="A198" t="str">
            <v>Liberia</v>
          </cell>
        </row>
        <row r="199">
          <cell r="A199" t="str">
            <v>Gibraltar</v>
          </cell>
        </row>
        <row r="200">
          <cell r="A200" t="str">
            <v>Djibouti</v>
          </cell>
        </row>
        <row r="201">
          <cell r="A201" t="str">
            <v>Andorra</v>
          </cell>
        </row>
        <row r="202">
          <cell r="A202" t="str">
            <v>Gabon</v>
          </cell>
        </row>
        <row r="203">
          <cell r="A203" t="str">
            <v>Martinique</v>
          </cell>
        </row>
        <row r="204">
          <cell r="A204" t="str">
            <v>Antigua &amp; Barbuda</v>
          </cell>
        </row>
        <row r="205">
          <cell r="A205" t="str">
            <v>French Polynesia</v>
          </cell>
        </row>
        <row r="206">
          <cell r="A206" t="str">
            <v>Belize</v>
          </cell>
        </row>
        <row r="207">
          <cell r="A207" t="str">
            <v>Chad</v>
          </cell>
        </row>
        <row r="208">
          <cell r="A208" t="str">
            <v>St. Lucia</v>
          </cell>
        </row>
        <row r="209">
          <cell r="A209" t="str">
            <v>Sierra Leone</v>
          </cell>
        </row>
        <row r="210">
          <cell r="A210" t="str">
            <v>Bermuda</v>
          </cell>
        </row>
        <row r="211">
          <cell r="A211" t="str">
            <v>Guernsey</v>
          </cell>
        </row>
        <row r="212">
          <cell r="A212" t="str">
            <v>New Caledonia</v>
          </cell>
        </row>
        <row r="213">
          <cell r="A213" t="str">
            <v>Suriname</v>
          </cell>
        </row>
        <row r="214">
          <cell r="A214" t="str">
            <v>Mali</v>
          </cell>
        </row>
        <row r="215">
          <cell r="A215" t="str">
            <v>Barbados</v>
          </cell>
        </row>
        <row r="216">
          <cell r="A216" t="str">
            <v>Guinea</v>
          </cell>
        </row>
        <row r="217">
          <cell r="A217" t="str">
            <v>Burkina Faso</v>
          </cell>
        </row>
        <row r="218">
          <cell r="A218" t="str">
            <v>Mauritania</v>
          </cell>
        </row>
        <row r="219">
          <cell r="A219" t="str">
            <v>Malawi</v>
          </cell>
        </row>
        <row r="220">
          <cell r="A220" t="str">
            <v>Congo - Kinshasa</v>
          </cell>
        </row>
        <row r="221">
          <cell r="A221" t="str">
            <v>Montenegro</v>
          </cell>
        </row>
        <row r="222">
          <cell r="A222" t="str">
            <v>Anguilla</v>
          </cell>
        </row>
        <row r="223">
          <cell r="A223" t="str">
            <v>Antarctica</v>
          </cell>
        </row>
        <row r="224">
          <cell r="A224" t="str">
            <v>French Southern Territories</v>
          </cell>
        </row>
        <row r="225">
          <cell r="A225" t="str">
            <v>St. BarthÃ©lemy</v>
          </cell>
        </row>
        <row r="226">
          <cell r="A226" t="str">
            <v>Bouvet Island</v>
          </cell>
        </row>
        <row r="227">
          <cell r="A227" t="str">
            <v>Cocos (Keeling) Islands</v>
          </cell>
        </row>
        <row r="228">
          <cell r="A228" t="str">
            <v>Cook Islands</v>
          </cell>
        </row>
        <row r="229">
          <cell r="A229" t="str">
            <v>Comoros</v>
          </cell>
        </row>
        <row r="230">
          <cell r="A230" t="str">
            <v>Christmas Island</v>
          </cell>
        </row>
        <row r="231">
          <cell r="A231" t="str">
            <v>Eritrea</v>
          </cell>
        </row>
        <row r="232">
          <cell r="A232" t="str">
            <v>Falkland Islands (Islas Malvinas)</v>
          </cell>
        </row>
        <row r="233">
          <cell r="A233" t="str">
            <v>Heard &amp; McDonald Islands</v>
          </cell>
        </row>
        <row r="234">
          <cell r="A234" t="str">
            <v>British Indian Ocean Territory</v>
          </cell>
        </row>
        <row r="235">
          <cell r="A235" t="str">
            <v>Kiribati</v>
          </cell>
        </row>
        <row r="236">
          <cell r="A236" t="str">
            <v>St. Martin</v>
          </cell>
        </row>
        <row r="237">
          <cell r="A237" t="str">
            <v>Marshall Islands</v>
          </cell>
        </row>
        <row r="238">
          <cell r="A238" t="str">
            <v>Montserrat</v>
          </cell>
        </row>
        <row r="239">
          <cell r="A239" t="str">
            <v>Norfolk Island</v>
          </cell>
        </row>
        <row r="240">
          <cell r="A240" t="str">
            <v>Niue</v>
          </cell>
        </row>
        <row r="241">
          <cell r="A241" t="str">
            <v>Nauru</v>
          </cell>
        </row>
        <row r="242">
          <cell r="A242" t="str">
            <v>Pitcairn Islands</v>
          </cell>
        </row>
        <row r="243">
          <cell r="A243" t="str">
            <v>Palau</v>
          </cell>
        </row>
        <row r="244">
          <cell r="A244" t="str">
            <v>North Korea</v>
          </cell>
        </row>
        <row r="245">
          <cell r="A245" t="str">
            <v>South Georgia &amp; South Sandwich Islands</v>
          </cell>
        </row>
        <row r="246">
          <cell r="A246" t="str">
            <v>Svalbard &amp; Jan Mayen</v>
          </cell>
        </row>
        <row r="247">
          <cell r="A247" t="str">
            <v>St. Pierre &amp; Miquelon</v>
          </cell>
        </row>
        <row r="248">
          <cell r="A248" t="str">
            <v>Tokelau</v>
          </cell>
        </row>
        <row r="249">
          <cell r="A249" t="str">
            <v>Tuvalu</v>
          </cell>
        </row>
        <row r="250">
          <cell r="A250" t="str">
            <v>U.S. Outlying Islands</v>
          </cell>
        </row>
        <row r="251">
          <cell r="A251" t="str">
            <v>Vatican City</v>
          </cell>
        </row>
        <row r="252">
          <cell r="A252" t="str">
            <v>British Virgin Islands</v>
          </cell>
        </row>
        <row r="253">
          <cell r="A253" t="str">
            <v>Wallis &amp; Futuna</v>
          </cell>
        </row>
      </sheetData>
    </sheetDataSet>
  </externalBook>
</externalLink>
</file>

<file path=xl/externalLinks/externalLink1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6)"/>
    </sheetNames>
    <sheetDataSet>
      <sheetData sheetId="0">
        <row r="1">
          <cell r="A1" t="str">
            <v>Kategori: TÃ¼m kategoriler</v>
          </cell>
        </row>
        <row r="3">
          <cell r="A3" t="str">
            <v>Ãœlke</v>
          </cell>
          <cell r="B3" t="str">
            <v>Yapay Sinir AÄŸlarÄ±: (2017)</v>
          </cell>
          <cell r="C3" t="str">
            <v>Derin Ã¶ÄŸrenme: (2017)</v>
          </cell>
        </row>
        <row r="4">
          <cell r="A4" t="str">
            <v>China</v>
          </cell>
          <cell r="B4">
            <v>0.52</v>
          </cell>
          <cell r="C4">
            <v>0.48</v>
          </cell>
        </row>
        <row r="5">
          <cell r="A5" t="str">
            <v>South Korea</v>
          </cell>
          <cell r="B5">
            <v>0.46</v>
          </cell>
          <cell r="C5">
            <v>0.54</v>
          </cell>
        </row>
        <row r="6">
          <cell r="A6" t="str">
            <v>Cuba</v>
          </cell>
        </row>
        <row r="7">
          <cell r="A7" t="str">
            <v>Singapore</v>
          </cell>
          <cell r="B7">
            <v>0.51</v>
          </cell>
          <cell r="C7">
            <v>0.49</v>
          </cell>
        </row>
        <row r="8">
          <cell r="A8" t="str">
            <v>Zimbabwe</v>
          </cell>
        </row>
        <row r="9">
          <cell r="A9" t="str">
            <v>Hong Kong</v>
          </cell>
          <cell r="B9">
            <v>0.54</v>
          </cell>
          <cell r="C9">
            <v>0.46</v>
          </cell>
        </row>
        <row r="10">
          <cell r="A10" t="str">
            <v>Ethiopia</v>
          </cell>
        </row>
        <row r="11">
          <cell r="A11" t="str">
            <v>Taiwan</v>
          </cell>
          <cell r="B11">
            <v>0.5</v>
          </cell>
          <cell r="C11">
            <v>0.5</v>
          </cell>
        </row>
        <row r="12">
          <cell r="A12" t="str">
            <v>Japan</v>
          </cell>
          <cell r="B12">
            <v>0.33</v>
          </cell>
          <cell r="C12">
            <v>0.67</v>
          </cell>
        </row>
        <row r="13">
          <cell r="A13" t="str">
            <v>Nepal</v>
          </cell>
        </row>
        <row r="14">
          <cell r="A14" t="str">
            <v>Iceland</v>
          </cell>
        </row>
        <row r="15">
          <cell r="A15" t="str">
            <v>St. Helena</v>
          </cell>
          <cell r="B15">
            <v>0.57999999999999996</v>
          </cell>
          <cell r="C15">
            <v>0.42</v>
          </cell>
        </row>
        <row r="16">
          <cell r="A16" t="str">
            <v>Croatia</v>
          </cell>
        </row>
        <row r="17">
          <cell r="A17" t="str">
            <v>Russia</v>
          </cell>
          <cell r="B17">
            <v>0.9</v>
          </cell>
          <cell r="C17">
            <v>0.1</v>
          </cell>
        </row>
        <row r="18">
          <cell r="A18" t="str">
            <v>Israel</v>
          </cell>
          <cell r="B18">
            <v>0.49</v>
          </cell>
          <cell r="C18">
            <v>0.51</v>
          </cell>
        </row>
        <row r="19">
          <cell r="A19" t="str">
            <v>Belarus</v>
          </cell>
        </row>
        <row r="20">
          <cell r="A20" t="str">
            <v>India</v>
          </cell>
          <cell r="B20">
            <v>0.68</v>
          </cell>
          <cell r="C20">
            <v>0.32</v>
          </cell>
        </row>
        <row r="21">
          <cell r="A21" t="str">
            <v>Pakistan</v>
          </cell>
          <cell r="B21">
            <v>0.75</v>
          </cell>
          <cell r="C21">
            <v>0.25</v>
          </cell>
        </row>
        <row r="22">
          <cell r="A22" t="str">
            <v>Sri Lanka</v>
          </cell>
        </row>
        <row r="23">
          <cell r="A23" t="str">
            <v>Myanmar (Burma)</v>
          </cell>
        </row>
        <row r="24">
          <cell r="A24" t="str">
            <v>Czechia</v>
          </cell>
          <cell r="B24">
            <v>0.82</v>
          </cell>
          <cell r="C24">
            <v>0.18</v>
          </cell>
        </row>
        <row r="25">
          <cell r="A25" t="str">
            <v>Macao</v>
          </cell>
        </row>
        <row r="26">
          <cell r="A26" t="str">
            <v>Iran</v>
          </cell>
          <cell r="B26">
            <v>0.69</v>
          </cell>
          <cell r="C26">
            <v>0.31</v>
          </cell>
        </row>
        <row r="27">
          <cell r="A27" t="str">
            <v>Laos</v>
          </cell>
        </row>
        <row r="28">
          <cell r="A28" t="str">
            <v>Canada</v>
          </cell>
          <cell r="B28">
            <v>0.63</v>
          </cell>
          <cell r="C28">
            <v>0.37</v>
          </cell>
        </row>
        <row r="29">
          <cell r="A29" t="str">
            <v>Estonia</v>
          </cell>
        </row>
        <row r="30">
          <cell r="A30" t="str">
            <v>Switzerland</v>
          </cell>
          <cell r="B30">
            <v>0.57999999999999996</v>
          </cell>
          <cell r="C30">
            <v>0.42</v>
          </cell>
        </row>
        <row r="31">
          <cell r="A31" t="str">
            <v>Botswana</v>
          </cell>
        </row>
        <row r="32">
          <cell r="A32" t="str">
            <v>Malta</v>
          </cell>
        </row>
        <row r="33">
          <cell r="A33" t="str">
            <v>United States</v>
          </cell>
          <cell r="B33">
            <v>0.63</v>
          </cell>
          <cell r="C33">
            <v>0.37</v>
          </cell>
        </row>
        <row r="34">
          <cell r="A34" t="str">
            <v>Tunisia</v>
          </cell>
          <cell r="B34">
            <v>0.65</v>
          </cell>
          <cell r="C34">
            <v>0.35</v>
          </cell>
        </row>
        <row r="35">
          <cell r="A35" t="str">
            <v>Cyprus</v>
          </cell>
        </row>
        <row r="36">
          <cell r="A36" t="str">
            <v>Cambodia</v>
          </cell>
        </row>
        <row r="37">
          <cell r="A37" t="str">
            <v>Nigeria</v>
          </cell>
        </row>
        <row r="38">
          <cell r="A38" t="str">
            <v>Bangladesh</v>
          </cell>
          <cell r="B38">
            <v>0.75</v>
          </cell>
          <cell r="C38">
            <v>0.25</v>
          </cell>
        </row>
        <row r="39">
          <cell r="A39" t="str">
            <v>Madagascar</v>
          </cell>
        </row>
        <row r="40">
          <cell r="A40" t="str">
            <v>Ireland</v>
          </cell>
          <cell r="B40">
            <v>0.64</v>
          </cell>
          <cell r="C40">
            <v>0.36</v>
          </cell>
        </row>
        <row r="41">
          <cell r="A41" t="str">
            <v>Luxembourg</v>
          </cell>
        </row>
        <row r="42">
          <cell r="A42" t="str">
            <v>Ukraine</v>
          </cell>
          <cell r="B42">
            <v>0.88</v>
          </cell>
          <cell r="C42">
            <v>0.12</v>
          </cell>
        </row>
        <row r="43">
          <cell r="A43" t="str">
            <v>New Zealand</v>
          </cell>
          <cell r="B43">
            <v>0.69</v>
          </cell>
          <cell r="C43">
            <v>0.31</v>
          </cell>
        </row>
        <row r="44">
          <cell r="A44" t="str">
            <v>Malaysia</v>
          </cell>
          <cell r="B44">
            <v>0.7</v>
          </cell>
          <cell r="C44">
            <v>0.3</v>
          </cell>
        </row>
        <row r="45">
          <cell r="A45" t="str">
            <v>Fiji</v>
          </cell>
        </row>
        <row r="46">
          <cell r="A46" t="str">
            <v>Finland</v>
          </cell>
          <cell r="B46">
            <v>0.61</v>
          </cell>
          <cell r="C46">
            <v>0.39</v>
          </cell>
        </row>
        <row r="47">
          <cell r="A47" t="str">
            <v>Australia</v>
          </cell>
          <cell r="B47">
            <v>0.62</v>
          </cell>
          <cell r="C47">
            <v>0.38</v>
          </cell>
        </row>
        <row r="48">
          <cell r="A48" t="str">
            <v>Rwanda</v>
          </cell>
        </row>
        <row r="49">
          <cell r="A49" t="str">
            <v>Norway</v>
          </cell>
          <cell r="B49">
            <v>0.62</v>
          </cell>
          <cell r="C49">
            <v>0.38</v>
          </cell>
        </row>
        <row r="50">
          <cell r="A50" t="str">
            <v>Bhutan</v>
          </cell>
        </row>
        <row r="51">
          <cell r="A51" t="str">
            <v>Lebanon</v>
          </cell>
        </row>
        <row r="52">
          <cell r="A52" t="str">
            <v>Sudan</v>
          </cell>
        </row>
        <row r="53">
          <cell r="A53" t="str">
            <v>Latvia</v>
          </cell>
        </row>
        <row r="54">
          <cell r="A54" t="str">
            <v>United Kingdom</v>
          </cell>
          <cell r="B54">
            <v>0.64</v>
          </cell>
          <cell r="C54">
            <v>0.36</v>
          </cell>
        </row>
        <row r="55">
          <cell r="A55" t="str">
            <v>Netherlands</v>
          </cell>
          <cell r="B55">
            <v>0.61</v>
          </cell>
          <cell r="C55">
            <v>0.39</v>
          </cell>
        </row>
        <row r="56">
          <cell r="A56" t="str">
            <v>Germany</v>
          </cell>
          <cell r="B56">
            <v>0.59</v>
          </cell>
          <cell r="C56">
            <v>0.41</v>
          </cell>
        </row>
        <row r="57">
          <cell r="A57" t="str">
            <v>Sweden</v>
          </cell>
          <cell r="B57">
            <v>0.62</v>
          </cell>
          <cell r="C57">
            <v>0.38</v>
          </cell>
        </row>
        <row r="58">
          <cell r="A58" t="str">
            <v>Lithuania</v>
          </cell>
        </row>
        <row r="59">
          <cell r="A59" t="str">
            <v>South Africa</v>
          </cell>
          <cell r="B59">
            <v>0.74</v>
          </cell>
          <cell r="C59">
            <v>0.26</v>
          </cell>
        </row>
        <row r="60">
          <cell r="A60" t="str">
            <v>Denmark</v>
          </cell>
          <cell r="B60">
            <v>0.6</v>
          </cell>
          <cell r="C60">
            <v>0.4</v>
          </cell>
        </row>
        <row r="61">
          <cell r="A61" t="str">
            <v>Mongolia</v>
          </cell>
        </row>
        <row r="62">
          <cell r="A62" t="str">
            <v>Philippines</v>
          </cell>
          <cell r="B62">
            <v>0.82</v>
          </cell>
          <cell r="C62">
            <v>0.18</v>
          </cell>
        </row>
        <row r="63">
          <cell r="A63" t="str">
            <v>Ghana</v>
          </cell>
        </row>
        <row r="64">
          <cell r="A64" t="str">
            <v>Kenya</v>
          </cell>
        </row>
        <row r="65">
          <cell r="A65" t="str">
            <v>Mauritius</v>
          </cell>
        </row>
        <row r="66">
          <cell r="A66" t="str">
            <v>Tanzania</v>
          </cell>
        </row>
        <row r="67">
          <cell r="A67" t="str">
            <v>North Macedonia</v>
          </cell>
        </row>
        <row r="68">
          <cell r="A68" t="str">
            <v>Armenia</v>
          </cell>
        </row>
        <row r="69">
          <cell r="A69" t="str">
            <v>Syria</v>
          </cell>
        </row>
        <row r="70">
          <cell r="A70" t="str">
            <v>Portugal</v>
          </cell>
          <cell r="B70">
            <v>0.66</v>
          </cell>
          <cell r="C70">
            <v>0.34</v>
          </cell>
        </row>
        <row r="71">
          <cell r="A71" t="str">
            <v>Greece</v>
          </cell>
          <cell r="B71">
            <v>0.7</v>
          </cell>
          <cell r="C71">
            <v>0.3</v>
          </cell>
        </row>
        <row r="72">
          <cell r="A72" t="str">
            <v>Algeria</v>
          </cell>
          <cell r="B72">
            <v>0.75</v>
          </cell>
          <cell r="C72">
            <v>0.25</v>
          </cell>
        </row>
        <row r="73">
          <cell r="A73" t="str">
            <v>Indonesia</v>
          </cell>
          <cell r="B73">
            <v>0.89</v>
          </cell>
          <cell r="C73">
            <v>0.11</v>
          </cell>
        </row>
        <row r="74">
          <cell r="A74" t="str">
            <v>Slovenia</v>
          </cell>
        </row>
        <row r="75">
          <cell r="A75" t="str">
            <v>Austria</v>
          </cell>
          <cell r="B75">
            <v>0.62</v>
          </cell>
          <cell r="C75">
            <v>0.38</v>
          </cell>
        </row>
        <row r="76">
          <cell r="A76" t="str">
            <v>Trinidad &amp; Tobago</v>
          </cell>
        </row>
        <row r="77">
          <cell r="A77" t="str">
            <v>Belgium</v>
          </cell>
          <cell r="B77">
            <v>0.57999999999999996</v>
          </cell>
          <cell r="C77">
            <v>0.42</v>
          </cell>
        </row>
        <row r="78">
          <cell r="A78" t="str">
            <v>Poland</v>
          </cell>
          <cell r="B78">
            <v>0.76</v>
          </cell>
          <cell r="C78">
            <v>0.24</v>
          </cell>
        </row>
        <row r="79">
          <cell r="A79" t="str">
            <v>Iraq</v>
          </cell>
        </row>
        <row r="80">
          <cell r="A80" t="str">
            <v>Uganda</v>
          </cell>
        </row>
        <row r="81">
          <cell r="A81" t="str">
            <v>Romania</v>
          </cell>
          <cell r="B81">
            <v>0.69</v>
          </cell>
          <cell r="C81">
            <v>0.31</v>
          </cell>
        </row>
        <row r="82">
          <cell r="A82" t="str">
            <v>Kazakhstan</v>
          </cell>
        </row>
        <row r="83">
          <cell r="A83" t="str">
            <v>United Arab Emirates</v>
          </cell>
          <cell r="B83">
            <v>0.65</v>
          </cell>
          <cell r="C83">
            <v>0.35</v>
          </cell>
        </row>
        <row r="84">
          <cell r="A84" t="str">
            <v>Jordan</v>
          </cell>
        </row>
        <row r="85">
          <cell r="A85" t="str">
            <v>Bulgaria</v>
          </cell>
        </row>
        <row r="86">
          <cell r="A86" t="str">
            <v>Egypt</v>
          </cell>
          <cell r="B86">
            <v>0.63</v>
          </cell>
          <cell r="C86">
            <v>0.37</v>
          </cell>
        </row>
        <row r="87">
          <cell r="A87" t="str">
            <v>Qatar</v>
          </cell>
        </row>
        <row r="88">
          <cell r="A88" t="str">
            <v>Jamaica</v>
          </cell>
        </row>
        <row r="89">
          <cell r="A89" t="str">
            <v>Afghanistan</v>
          </cell>
        </row>
        <row r="90">
          <cell r="A90" t="str">
            <v>Peru</v>
          </cell>
          <cell r="B90">
            <v>0.84</v>
          </cell>
          <cell r="C90">
            <v>0.16</v>
          </cell>
        </row>
        <row r="91">
          <cell r="A91" t="str">
            <v>Brunei</v>
          </cell>
        </row>
        <row r="92">
          <cell r="A92" t="str">
            <v>Serbia</v>
          </cell>
        </row>
        <row r="93">
          <cell r="A93" t="str">
            <v>Slovakia</v>
          </cell>
        </row>
        <row r="94">
          <cell r="A94" t="str">
            <v>France</v>
          </cell>
          <cell r="B94">
            <v>0.52</v>
          </cell>
          <cell r="C94">
            <v>0.48</v>
          </cell>
        </row>
        <row r="95">
          <cell r="A95" t="str">
            <v>Bolivia</v>
          </cell>
        </row>
        <row r="96">
          <cell r="A96" t="str">
            <v>Bosnia &amp; Herzegovina</v>
          </cell>
        </row>
        <row r="97">
          <cell r="A97" t="str">
            <v>Hungary</v>
          </cell>
          <cell r="B97">
            <v>0.62</v>
          </cell>
          <cell r="C97">
            <v>0.38</v>
          </cell>
        </row>
        <row r="98">
          <cell r="A98" t="str">
            <v>Oman</v>
          </cell>
        </row>
        <row r="99">
          <cell r="A99" t="str">
            <v>Kyrgyzstan</v>
          </cell>
        </row>
        <row r="100">
          <cell r="A100" t="str">
            <v>Spain</v>
          </cell>
          <cell r="B100">
            <v>0.6</v>
          </cell>
          <cell r="C100">
            <v>0.4</v>
          </cell>
        </row>
        <row r="101">
          <cell r="A101" t="str">
            <v>Colombia</v>
          </cell>
          <cell r="B101">
            <v>0.81</v>
          </cell>
          <cell r="C101">
            <v>0.19</v>
          </cell>
        </row>
        <row r="102">
          <cell r="A102" t="str">
            <v>Italy</v>
          </cell>
          <cell r="B102">
            <v>0.68</v>
          </cell>
          <cell r="C102">
            <v>0.32</v>
          </cell>
        </row>
        <row r="103">
          <cell r="A103" t="str">
            <v>Libya</v>
          </cell>
        </row>
        <row r="104">
          <cell r="A104" t="str">
            <v>Moldova</v>
          </cell>
        </row>
        <row r="105">
          <cell r="A105" t="str">
            <v>Georgia</v>
          </cell>
        </row>
        <row r="106">
          <cell r="A106" t="str">
            <v>Albania</v>
          </cell>
        </row>
        <row r="107">
          <cell r="A107" t="str">
            <v>Ecuador</v>
          </cell>
        </row>
        <row r="108">
          <cell r="A108" t="str">
            <v>Morocco</v>
          </cell>
          <cell r="B108">
            <v>0.64</v>
          </cell>
          <cell r="C108">
            <v>0.36</v>
          </cell>
        </row>
        <row r="109">
          <cell r="A109" t="str">
            <v>Yemen</v>
          </cell>
        </row>
        <row r="110">
          <cell r="A110" t="str">
            <v>Chile</v>
          </cell>
          <cell r="B110">
            <v>0.7</v>
          </cell>
          <cell r="C110">
            <v>0.3</v>
          </cell>
        </row>
        <row r="111">
          <cell r="A111" t="str">
            <v>Palestine</v>
          </cell>
        </row>
        <row r="112">
          <cell r="A112" t="str">
            <v>Cameroon</v>
          </cell>
        </row>
        <row r="113">
          <cell r="A113" t="str">
            <v>Uzbekistan</v>
          </cell>
        </row>
        <row r="114">
          <cell r="A114" t="str">
            <v>Thailand</v>
          </cell>
          <cell r="B114">
            <v>0.67</v>
          </cell>
          <cell r="C114">
            <v>0.33</v>
          </cell>
        </row>
        <row r="115">
          <cell r="A115" t="str">
            <v>Costa Rica</v>
          </cell>
        </row>
        <row r="116">
          <cell r="A116" t="str">
            <v>Mexico</v>
          </cell>
          <cell r="B116">
            <v>0.81</v>
          </cell>
          <cell r="C116">
            <v>0.19</v>
          </cell>
        </row>
        <row r="117">
          <cell r="A117" t="str">
            <v>Somalia</v>
          </cell>
        </row>
        <row r="118">
          <cell r="A118" t="str">
            <v>Turkey</v>
          </cell>
          <cell r="B118">
            <v>0.67</v>
          </cell>
          <cell r="C118">
            <v>0.33</v>
          </cell>
        </row>
        <row r="119">
          <cell r="A119" t="str">
            <v>Uruguay</v>
          </cell>
        </row>
        <row r="120">
          <cell r="A120" t="str">
            <v>Brazil</v>
          </cell>
          <cell r="B120">
            <v>0.71</v>
          </cell>
          <cell r="C120">
            <v>0.28999999999999998</v>
          </cell>
        </row>
        <row r="121">
          <cell r="A121" t="str">
            <v>Azerbaijan</v>
          </cell>
        </row>
        <row r="122">
          <cell r="A122" t="str">
            <v>Vietnam</v>
          </cell>
          <cell r="B122">
            <v>0.47</v>
          </cell>
          <cell r="C122">
            <v>0.53</v>
          </cell>
        </row>
        <row r="123">
          <cell r="A123" t="str">
            <v>Saudi Arabia</v>
          </cell>
          <cell r="B123">
            <v>0.66</v>
          </cell>
          <cell r="C123">
            <v>0.34</v>
          </cell>
        </row>
        <row r="124">
          <cell r="A124" t="str">
            <v>Bahrain</v>
          </cell>
        </row>
        <row r="125">
          <cell r="A125" t="str">
            <v>Panama</v>
          </cell>
        </row>
        <row r="126">
          <cell r="A126" t="str">
            <v>Puerto Rico</v>
          </cell>
        </row>
        <row r="127">
          <cell r="A127" t="str">
            <v>Argentina</v>
          </cell>
          <cell r="B127">
            <v>0.76</v>
          </cell>
          <cell r="C127">
            <v>0.24</v>
          </cell>
        </row>
        <row r="128">
          <cell r="A128" t="str">
            <v>El Salvador</v>
          </cell>
        </row>
        <row r="129">
          <cell r="A129" t="str">
            <v>Honduras</v>
          </cell>
        </row>
        <row r="130">
          <cell r="A130" t="str">
            <v>Kuwait</v>
          </cell>
        </row>
        <row r="131">
          <cell r="A131" t="str">
            <v>Guatemala</v>
          </cell>
        </row>
        <row r="132">
          <cell r="A132" t="str">
            <v>Dominican Republic</v>
          </cell>
        </row>
        <row r="133">
          <cell r="A133" t="str">
            <v>Paraguay</v>
          </cell>
        </row>
        <row r="134">
          <cell r="A134" t="str">
            <v>Venezuela</v>
          </cell>
        </row>
        <row r="135">
          <cell r="A135" t="str">
            <v>North Korea</v>
          </cell>
        </row>
        <row r="136">
          <cell r="A136" t="str">
            <v>Eritrea</v>
          </cell>
        </row>
        <row r="137">
          <cell r="A137" t="str">
            <v>Marshall Islands</v>
          </cell>
        </row>
        <row r="138">
          <cell r="A138" t="str">
            <v>Micronesia</v>
          </cell>
        </row>
        <row r="139">
          <cell r="A139" t="str">
            <v>Tonga</v>
          </cell>
        </row>
        <row r="140">
          <cell r="A140" t="str">
            <v>Ã…land Islands</v>
          </cell>
        </row>
        <row r="141">
          <cell r="A141" t="str">
            <v>Northern Mariana Islands</v>
          </cell>
        </row>
        <row r="142">
          <cell r="A142" t="str">
            <v>Caribbean Netherlands</v>
          </cell>
        </row>
        <row r="143">
          <cell r="A143" t="str">
            <v>South Sudan</v>
          </cell>
        </row>
        <row r="144">
          <cell r="A144" t="str">
            <v>British Virgin Islands</v>
          </cell>
        </row>
        <row r="145">
          <cell r="A145" t="str">
            <v>Solomon Islands</v>
          </cell>
        </row>
        <row r="146">
          <cell r="A146" t="str">
            <v>U.S. Virgin Islands</v>
          </cell>
        </row>
        <row r="147">
          <cell r="A147" t="str">
            <v>Eswatini</v>
          </cell>
        </row>
        <row r="148">
          <cell r="A148" t="str">
            <v>Equatorial Guinea</v>
          </cell>
        </row>
        <row r="149">
          <cell r="A149" t="str">
            <v>Antigua &amp; Barbuda</v>
          </cell>
        </row>
        <row r="150">
          <cell r="A150" t="str">
            <v>Turks &amp; Caicos Islands</v>
          </cell>
        </row>
        <row r="151">
          <cell r="A151" t="str">
            <v>Djibouti</v>
          </cell>
        </row>
        <row r="152">
          <cell r="A152" t="str">
            <v>Dominica</v>
          </cell>
        </row>
        <row r="153">
          <cell r="A153" t="str">
            <v>Faroe Islands</v>
          </cell>
        </row>
        <row r="154">
          <cell r="A154" t="str">
            <v>Monaco</v>
          </cell>
        </row>
        <row r="155">
          <cell r="A155" t="str">
            <v>St. Kitts &amp; Nevis</v>
          </cell>
        </row>
        <row r="156">
          <cell r="A156" t="str">
            <v>Greenland</v>
          </cell>
        </row>
        <row r="157">
          <cell r="A157" t="str">
            <v>Timor-Leste</v>
          </cell>
        </row>
        <row r="158">
          <cell r="A158" t="str">
            <v>Isle of Man</v>
          </cell>
        </row>
        <row r="159">
          <cell r="A159" t="str">
            <v>Lesotho</v>
          </cell>
        </row>
        <row r="160">
          <cell r="A160" t="str">
            <v>Grenada</v>
          </cell>
        </row>
        <row r="161">
          <cell r="A161" t="str">
            <v>Seychelles</v>
          </cell>
        </row>
        <row r="162">
          <cell r="A162" t="str">
            <v>Guernsey</v>
          </cell>
        </row>
        <row r="163">
          <cell r="A163" t="str">
            <v>Namibia</v>
          </cell>
        </row>
        <row r="164">
          <cell r="A164" t="str">
            <v>Guyana</v>
          </cell>
        </row>
        <row r="165">
          <cell r="A165" t="str">
            <v>Bermuda</v>
          </cell>
        </row>
        <row r="166">
          <cell r="A166" t="str">
            <v>Aruba</v>
          </cell>
        </row>
        <row r="167">
          <cell r="A167" t="str">
            <v>Liechtenstein</v>
          </cell>
        </row>
        <row r="168">
          <cell r="A168" t="str">
            <v>Gibraltar</v>
          </cell>
        </row>
        <row r="169">
          <cell r="A169" t="str">
            <v>Gambia</v>
          </cell>
        </row>
        <row r="170">
          <cell r="A170" t="str">
            <v>Malawi</v>
          </cell>
        </row>
        <row r="171">
          <cell r="A171" t="str">
            <v>Jersey</v>
          </cell>
        </row>
        <row r="172">
          <cell r="A172" t="str">
            <v>Bahamas</v>
          </cell>
        </row>
        <row r="173">
          <cell r="A173" t="str">
            <v>Burundi</v>
          </cell>
        </row>
        <row r="174">
          <cell r="A174" t="str">
            <v>Maldives</v>
          </cell>
        </row>
        <row r="175">
          <cell r="A175" t="str">
            <v>CuraÃ§ao</v>
          </cell>
        </row>
        <row r="176">
          <cell r="A176" t="str">
            <v>Haiti</v>
          </cell>
        </row>
        <row r="177">
          <cell r="A177" t="str">
            <v>Chad</v>
          </cell>
        </row>
        <row r="178">
          <cell r="A178" t="str">
            <v>Belize</v>
          </cell>
        </row>
        <row r="179">
          <cell r="A179" t="str">
            <v>Suriname</v>
          </cell>
        </row>
        <row r="180">
          <cell r="A180" t="str">
            <v>Barbados</v>
          </cell>
        </row>
        <row r="181">
          <cell r="A181" t="str">
            <v>St. Lucia</v>
          </cell>
        </row>
        <row r="182">
          <cell r="A182" t="str">
            <v>Papua New Guinea</v>
          </cell>
        </row>
        <row r="183">
          <cell r="A183" t="str">
            <v>Kosovo</v>
          </cell>
        </row>
        <row r="184">
          <cell r="A184" t="str">
            <v>Liberia</v>
          </cell>
        </row>
        <row r="185">
          <cell r="A185" t="str">
            <v>Montenegro</v>
          </cell>
        </row>
        <row r="186">
          <cell r="A186" t="str">
            <v>Guam</v>
          </cell>
        </row>
        <row r="187">
          <cell r="A187" t="str">
            <v>Andorra</v>
          </cell>
        </row>
        <row r="188">
          <cell r="A188" t="str">
            <v>Gabon</v>
          </cell>
        </row>
        <row r="189">
          <cell r="A189" t="str">
            <v>Congo - Brazzaville</v>
          </cell>
        </row>
        <row r="190">
          <cell r="A190" t="str">
            <v>Senegal</v>
          </cell>
        </row>
        <row r="191">
          <cell r="A191" t="str">
            <v>Cape Verde</v>
          </cell>
        </row>
        <row r="192">
          <cell r="A192" t="str">
            <v>Zambia</v>
          </cell>
        </row>
        <row r="193">
          <cell r="A193" t="str">
            <v>Sierra Leone</v>
          </cell>
        </row>
        <row r="194">
          <cell r="A194" t="str">
            <v>Mauritania</v>
          </cell>
        </row>
        <row r="195">
          <cell r="A195" t="str">
            <v>Benin</v>
          </cell>
        </row>
        <row r="196">
          <cell r="A196" t="str">
            <v>Turkmenistan</v>
          </cell>
        </row>
        <row r="197">
          <cell r="A197" t="str">
            <v>Congo - Kinshasa</v>
          </cell>
        </row>
        <row r="198">
          <cell r="A198" t="str">
            <v>Angola</v>
          </cell>
        </row>
        <row r="199">
          <cell r="A199" t="str">
            <v>New Caledonia</v>
          </cell>
        </row>
        <row r="200">
          <cell r="A200" t="str">
            <v>Mozambique</v>
          </cell>
        </row>
        <row r="201">
          <cell r="A201" t="str">
            <v>Nicaragua</v>
          </cell>
        </row>
        <row r="202">
          <cell r="A202" t="str">
            <v>Burkina Faso</v>
          </cell>
        </row>
        <row r="203">
          <cell r="A203" t="str">
            <v>Guinea</v>
          </cell>
        </row>
        <row r="204">
          <cell r="A204" t="str">
            <v>CÃ´te dâ€™Ivoire</v>
          </cell>
        </row>
        <row r="205">
          <cell r="A205" t="str">
            <v>Tajikistan</v>
          </cell>
        </row>
        <row r="206">
          <cell r="A206" t="str">
            <v>Mali</v>
          </cell>
        </row>
        <row r="207">
          <cell r="A207" t="str">
            <v>Martinique</v>
          </cell>
        </row>
        <row r="208">
          <cell r="A208" t="str">
            <v>Guadeloupe</v>
          </cell>
        </row>
        <row r="209">
          <cell r="A209" t="str">
            <v>RÃ©union</v>
          </cell>
        </row>
        <row r="210">
          <cell r="A210" t="str">
            <v>Anguilla</v>
          </cell>
        </row>
        <row r="211">
          <cell r="A211" t="str">
            <v>American Samoa</v>
          </cell>
        </row>
        <row r="212">
          <cell r="A212" t="str">
            <v>Antarctica</v>
          </cell>
        </row>
        <row r="213">
          <cell r="A213" t="str">
            <v>French Southern Territories</v>
          </cell>
        </row>
        <row r="214">
          <cell r="A214" t="str">
            <v>St. BarthÃ©lemy</v>
          </cell>
        </row>
        <row r="215">
          <cell r="A215" t="str">
            <v>Bouvet Island</v>
          </cell>
        </row>
        <row r="216">
          <cell r="A216" t="str">
            <v>Central African Republic</v>
          </cell>
        </row>
        <row r="217">
          <cell r="A217" t="str">
            <v>Cocos (Keeling) Islands</v>
          </cell>
        </row>
        <row r="218">
          <cell r="A218" t="str">
            <v>Cook Islands</v>
          </cell>
        </row>
        <row r="219">
          <cell r="A219" t="str">
            <v>Comoros</v>
          </cell>
        </row>
        <row r="220">
          <cell r="A220" t="str">
            <v>Christmas Island</v>
          </cell>
        </row>
        <row r="221">
          <cell r="A221" t="str">
            <v>Cayman Islands</v>
          </cell>
        </row>
        <row r="222">
          <cell r="A222" t="str">
            <v>Western Sahara</v>
          </cell>
        </row>
        <row r="223">
          <cell r="A223" t="str">
            <v>Falkland Islands (Islas Malvinas)</v>
          </cell>
        </row>
        <row r="224">
          <cell r="A224" t="str">
            <v>Guinea-Bissau</v>
          </cell>
        </row>
        <row r="225">
          <cell r="A225" t="str">
            <v>French Guiana</v>
          </cell>
        </row>
        <row r="226">
          <cell r="A226" t="str">
            <v>Heard &amp; McDonald Islands</v>
          </cell>
        </row>
        <row r="227">
          <cell r="A227" t="str">
            <v>British Indian Ocean Territory</v>
          </cell>
        </row>
        <row r="228">
          <cell r="A228" t="str">
            <v>Kiribati</v>
          </cell>
        </row>
        <row r="229">
          <cell r="A229" t="str">
            <v>St. Martin</v>
          </cell>
        </row>
        <row r="230">
          <cell r="A230" t="str">
            <v>Montserrat</v>
          </cell>
        </row>
        <row r="231">
          <cell r="A231" t="str">
            <v>Mayotte</v>
          </cell>
        </row>
        <row r="232">
          <cell r="A232" t="str">
            <v>Niger</v>
          </cell>
        </row>
        <row r="233">
          <cell r="A233" t="str">
            <v>Norfolk Island</v>
          </cell>
        </row>
        <row r="234">
          <cell r="A234" t="str">
            <v>Niue</v>
          </cell>
        </row>
        <row r="235">
          <cell r="A235" t="str">
            <v>Nauru</v>
          </cell>
        </row>
        <row r="236">
          <cell r="A236" t="str">
            <v>Pitcairn Islands</v>
          </cell>
        </row>
        <row r="237">
          <cell r="A237" t="str">
            <v>Palau</v>
          </cell>
        </row>
        <row r="238">
          <cell r="A238" t="str">
            <v>French Polynesia</v>
          </cell>
        </row>
        <row r="239">
          <cell r="A239" t="str">
            <v>South Georgia &amp; South Sandwich Islands</v>
          </cell>
        </row>
        <row r="240">
          <cell r="A240" t="str">
            <v>Svalbard &amp; Jan Mayen</v>
          </cell>
        </row>
        <row r="241">
          <cell r="A241" t="str">
            <v>San Marino</v>
          </cell>
        </row>
        <row r="242">
          <cell r="A242" t="str">
            <v>St. Pierre &amp; Miquelon</v>
          </cell>
        </row>
        <row r="243">
          <cell r="A243" t="str">
            <v>SÃ£o TomÃ© &amp; PrÃ­ncipe</v>
          </cell>
        </row>
        <row r="244">
          <cell r="A244" t="str">
            <v>Sint Maarten</v>
          </cell>
        </row>
        <row r="245">
          <cell r="A245" t="str">
            <v>Togo</v>
          </cell>
        </row>
        <row r="246">
          <cell r="A246" t="str">
            <v>Tokelau</v>
          </cell>
        </row>
        <row r="247">
          <cell r="A247" t="str">
            <v>Tuvalu</v>
          </cell>
        </row>
        <row r="248">
          <cell r="A248" t="str">
            <v>U.S. Outlying Islands</v>
          </cell>
        </row>
        <row r="249">
          <cell r="A249" t="str">
            <v>Vatican City</v>
          </cell>
        </row>
        <row r="250">
          <cell r="A250" t="str">
            <v>St. Vincent &amp; Grenadines</v>
          </cell>
        </row>
        <row r="251">
          <cell r="A251" t="str">
            <v>Vanuatu</v>
          </cell>
        </row>
        <row r="252">
          <cell r="A252" t="str">
            <v>Wallis &amp; Futuna</v>
          </cell>
        </row>
        <row r="253">
          <cell r="A253" t="str">
            <v>Samoa</v>
          </cell>
        </row>
      </sheetData>
    </sheetDataSet>
  </externalBook>
</externalLink>
</file>

<file path=xl/externalLinks/externalLink1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7)"/>
    </sheetNames>
    <sheetDataSet>
      <sheetData sheetId="0">
        <row r="1">
          <cell r="A1" t="str">
            <v>Kategori: TÃ¼m kategoriler</v>
          </cell>
        </row>
        <row r="3">
          <cell r="A3" t="str">
            <v>Ãœlke</v>
          </cell>
          <cell r="B3" t="str">
            <v>Derin Ã¶ÄŸrenme: (2017)</v>
          </cell>
          <cell r="C3" t="str">
            <v>Ã–bek: (2017)</v>
          </cell>
        </row>
        <row r="4">
          <cell r="A4" t="str">
            <v>China</v>
          </cell>
          <cell r="B4">
            <v>0.77</v>
          </cell>
          <cell r="C4">
            <v>0.23</v>
          </cell>
        </row>
        <row r="5">
          <cell r="A5" t="str">
            <v>South Korea</v>
          </cell>
          <cell r="B5">
            <v>0.66</v>
          </cell>
          <cell r="C5">
            <v>0.34</v>
          </cell>
        </row>
        <row r="6">
          <cell r="A6" t="str">
            <v>Singapore</v>
          </cell>
          <cell r="B6">
            <v>0.65</v>
          </cell>
          <cell r="C6">
            <v>0.35</v>
          </cell>
        </row>
        <row r="7">
          <cell r="A7" t="str">
            <v>Taiwan</v>
          </cell>
          <cell r="B7">
            <v>0.48</v>
          </cell>
          <cell r="C7">
            <v>0.52</v>
          </cell>
        </row>
        <row r="8">
          <cell r="A8" t="str">
            <v>Hong Kong</v>
          </cell>
          <cell r="B8">
            <v>0.53</v>
          </cell>
          <cell r="C8">
            <v>0.47</v>
          </cell>
        </row>
        <row r="9">
          <cell r="A9" t="str">
            <v>Japan</v>
          </cell>
          <cell r="B9">
            <v>0.82</v>
          </cell>
          <cell r="C9">
            <v>0.18</v>
          </cell>
        </row>
        <row r="10">
          <cell r="A10" t="str">
            <v>Macao</v>
          </cell>
        </row>
        <row r="11">
          <cell r="A11" t="str">
            <v>Lesotho</v>
          </cell>
        </row>
        <row r="12">
          <cell r="A12" t="str">
            <v>New Zealand</v>
          </cell>
          <cell r="B12">
            <v>0.2</v>
          </cell>
          <cell r="C12">
            <v>0.8</v>
          </cell>
        </row>
        <row r="13">
          <cell r="A13" t="str">
            <v>Israel</v>
          </cell>
          <cell r="B13">
            <v>0.52</v>
          </cell>
          <cell r="C13">
            <v>0.48</v>
          </cell>
        </row>
        <row r="14">
          <cell r="A14" t="str">
            <v>Botswana</v>
          </cell>
        </row>
        <row r="15">
          <cell r="A15" t="str">
            <v>St. Helena</v>
          </cell>
          <cell r="B15">
            <v>0.6</v>
          </cell>
          <cell r="C15">
            <v>0.4</v>
          </cell>
        </row>
        <row r="16">
          <cell r="A16" t="str">
            <v>Tajikistan</v>
          </cell>
        </row>
        <row r="17">
          <cell r="A17" t="str">
            <v>Australia</v>
          </cell>
          <cell r="B17">
            <v>0.31</v>
          </cell>
          <cell r="C17">
            <v>0.69</v>
          </cell>
        </row>
        <row r="18">
          <cell r="A18" t="str">
            <v>India</v>
          </cell>
          <cell r="B18">
            <v>0.37</v>
          </cell>
          <cell r="C18">
            <v>0.63</v>
          </cell>
        </row>
        <row r="19">
          <cell r="A19" t="str">
            <v>Uzbekistan</v>
          </cell>
          <cell r="C19">
            <v>1</v>
          </cell>
        </row>
        <row r="20">
          <cell r="A20" t="str">
            <v>Pakistan</v>
          </cell>
          <cell r="B20">
            <v>0.28000000000000003</v>
          </cell>
          <cell r="C20">
            <v>0.72</v>
          </cell>
        </row>
        <row r="21">
          <cell r="A21" t="str">
            <v>Iran</v>
          </cell>
          <cell r="B21">
            <v>0.36</v>
          </cell>
          <cell r="C21">
            <v>0.64</v>
          </cell>
        </row>
        <row r="22">
          <cell r="A22" t="str">
            <v>Estonia</v>
          </cell>
        </row>
        <row r="23">
          <cell r="A23" t="str">
            <v>Zimbabwe</v>
          </cell>
        </row>
        <row r="24">
          <cell r="A24" t="str">
            <v>Nepal</v>
          </cell>
        </row>
        <row r="25">
          <cell r="A25" t="str">
            <v>United States</v>
          </cell>
          <cell r="B25">
            <v>0.42</v>
          </cell>
          <cell r="C25">
            <v>0.57999999999999996</v>
          </cell>
        </row>
        <row r="26">
          <cell r="A26" t="str">
            <v>Belarus</v>
          </cell>
        </row>
        <row r="27">
          <cell r="A27" t="str">
            <v>Russia</v>
          </cell>
          <cell r="B27">
            <v>0.16</v>
          </cell>
          <cell r="C27">
            <v>0.84</v>
          </cell>
        </row>
        <row r="28">
          <cell r="A28" t="str">
            <v>Switzerland</v>
          </cell>
          <cell r="B28">
            <v>0.63</v>
          </cell>
          <cell r="C28">
            <v>0.37</v>
          </cell>
        </row>
        <row r="29">
          <cell r="A29" t="str">
            <v>Iceland</v>
          </cell>
        </row>
        <row r="30">
          <cell r="A30" t="str">
            <v>Czechia</v>
          </cell>
          <cell r="B30">
            <v>0.27</v>
          </cell>
          <cell r="C30">
            <v>0.73</v>
          </cell>
        </row>
        <row r="31">
          <cell r="A31" t="str">
            <v>Denmark</v>
          </cell>
          <cell r="B31">
            <v>0.4</v>
          </cell>
          <cell r="C31">
            <v>0.6</v>
          </cell>
        </row>
        <row r="32">
          <cell r="A32" t="str">
            <v>Laos</v>
          </cell>
        </row>
        <row r="33">
          <cell r="A33" t="str">
            <v>United Kingdom</v>
          </cell>
          <cell r="B33">
            <v>0.39</v>
          </cell>
          <cell r="C33">
            <v>0.61</v>
          </cell>
        </row>
        <row r="34">
          <cell r="A34" t="str">
            <v>Ireland</v>
          </cell>
          <cell r="B34">
            <v>0.44</v>
          </cell>
          <cell r="C34">
            <v>0.56000000000000005</v>
          </cell>
        </row>
        <row r="35">
          <cell r="A35" t="str">
            <v>Kyrgyzstan</v>
          </cell>
        </row>
        <row r="36">
          <cell r="A36" t="str">
            <v>Canada</v>
          </cell>
          <cell r="B36">
            <v>0.5</v>
          </cell>
          <cell r="C36">
            <v>0.5</v>
          </cell>
        </row>
        <row r="37">
          <cell r="A37" t="str">
            <v>Maldives</v>
          </cell>
        </row>
        <row r="38">
          <cell r="A38" t="str">
            <v>Sri Lanka</v>
          </cell>
          <cell r="B38">
            <v>0.38</v>
          </cell>
          <cell r="C38">
            <v>0.62</v>
          </cell>
        </row>
        <row r="39">
          <cell r="A39" t="str">
            <v>Jamaica</v>
          </cell>
        </row>
        <row r="40">
          <cell r="A40" t="str">
            <v>Ukraine</v>
          </cell>
          <cell r="B40">
            <v>0.14000000000000001</v>
          </cell>
          <cell r="C40">
            <v>0.86</v>
          </cell>
        </row>
        <row r="41">
          <cell r="A41" t="str">
            <v>Armenia</v>
          </cell>
        </row>
        <row r="42">
          <cell r="A42" t="str">
            <v>Lithuania</v>
          </cell>
        </row>
        <row r="43">
          <cell r="A43" t="str">
            <v>Myanmar (Burma)</v>
          </cell>
        </row>
        <row r="44">
          <cell r="A44" t="str">
            <v>Philippines</v>
          </cell>
          <cell r="B44">
            <v>0.24</v>
          </cell>
          <cell r="C44">
            <v>0.76</v>
          </cell>
        </row>
        <row r="45">
          <cell r="A45" t="str">
            <v>Ethiopia</v>
          </cell>
        </row>
        <row r="46">
          <cell r="A46" t="str">
            <v>North Macedonia</v>
          </cell>
        </row>
        <row r="47">
          <cell r="A47" t="str">
            <v>Luxembourg</v>
          </cell>
        </row>
        <row r="48">
          <cell r="A48" t="str">
            <v>Madagascar</v>
          </cell>
        </row>
        <row r="49">
          <cell r="A49" t="str">
            <v>Cyprus</v>
          </cell>
        </row>
        <row r="50">
          <cell r="A50" t="str">
            <v>Finland</v>
          </cell>
          <cell r="B50">
            <v>0.5</v>
          </cell>
          <cell r="C50">
            <v>0.5</v>
          </cell>
        </row>
        <row r="51">
          <cell r="A51" t="str">
            <v>Zambia</v>
          </cell>
        </row>
        <row r="52">
          <cell r="A52" t="str">
            <v>Germany</v>
          </cell>
          <cell r="B52">
            <v>0.57999999999999996</v>
          </cell>
          <cell r="C52">
            <v>0.42</v>
          </cell>
        </row>
        <row r="53">
          <cell r="A53" t="str">
            <v>Kazakhstan</v>
          </cell>
        </row>
        <row r="54">
          <cell r="A54" t="str">
            <v>Slovenia</v>
          </cell>
        </row>
        <row r="55">
          <cell r="A55" t="str">
            <v>Norway</v>
          </cell>
          <cell r="B55">
            <v>0.54</v>
          </cell>
          <cell r="C55">
            <v>0.46</v>
          </cell>
        </row>
        <row r="56">
          <cell r="A56" t="str">
            <v>Serbia</v>
          </cell>
        </row>
        <row r="57">
          <cell r="A57" t="str">
            <v>Malaysia</v>
          </cell>
          <cell r="B57">
            <v>0.42</v>
          </cell>
          <cell r="C57">
            <v>0.57999999999999996</v>
          </cell>
        </row>
        <row r="58">
          <cell r="A58" t="str">
            <v>Tunisia</v>
          </cell>
        </row>
        <row r="59">
          <cell r="A59" t="str">
            <v>Rwanda</v>
          </cell>
        </row>
        <row r="60">
          <cell r="A60" t="str">
            <v>Nigeria</v>
          </cell>
        </row>
        <row r="61">
          <cell r="A61" t="str">
            <v>Uganda</v>
          </cell>
        </row>
        <row r="62">
          <cell r="A62" t="str">
            <v>Sweden</v>
          </cell>
          <cell r="B62">
            <v>0.5</v>
          </cell>
          <cell r="C62">
            <v>0.5</v>
          </cell>
        </row>
        <row r="63">
          <cell r="A63" t="str">
            <v>Netherlands</v>
          </cell>
          <cell r="B63">
            <v>0.56999999999999995</v>
          </cell>
          <cell r="C63">
            <v>0.43</v>
          </cell>
        </row>
        <row r="64">
          <cell r="A64" t="str">
            <v>Romania</v>
          </cell>
          <cell r="B64">
            <v>0.33</v>
          </cell>
          <cell r="C64">
            <v>0.67</v>
          </cell>
        </row>
        <row r="65">
          <cell r="A65" t="str">
            <v>Qatar</v>
          </cell>
        </row>
        <row r="66">
          <cell r="A66" t="str">
            <v>Moldova</v>
          </cell>
        </row>
        <row r="67">
          <cell r="A67" t="str">
            <v>Bangladesh</v>
          </cell>
          <cell r="B67">
            <v>0.42</v>
          </cell>
          <cell r="C67">
            <v>0.57999999999999996</v>
          </cell>
        </row>
        <row r="68">
          <cell r="A68" t="str">
            <v>South Africa</v>
          </cell>
          <cell r="B68">
            <v>0.39</v>
          </cell>
          <cell r="C68">
            <v>0.61</v>
          </cell>
        </row>
        <row r="69">
          <cell r="A69" t="str">
            <v>Latvia</v>
          </cell>
        </row>
        <row r="70">
          <cell r="A70" t="str">
            <v>United Arab Emirates</v>
          </cell>
          <cell r="B70">
            <v>0.4</v>
          </cell>
          <cell r="C70">
            <v>0.6</v>
          </cell>
        </row>
        <row r="71">
          <cell r="A71" t="str">
            <v>Trinidad &amp; Tobago</v>
          </cell>
        </row>
        <row r="72">
          <cell r="A72" t="str">
            <v>Malta</v>
          </cell>
        </row>
        <row r="73">
          <cell r="A73" t="str">
            <v>Belgium</v>
          </cell>
          <cell r="B73">
            <v>0.56000000000000005</v>
          </cell>
          <cell r="C73">
            <v>0.44</v>
          </cell>
        </row>
        <row r="74">
          <cell r="A74" t="str">
            <v>Palestine</v>
          </cell>
        </row>
        <row r="75">
          <cell r="A75" t="str">
            <v>Greece</v>
          </cell>
          <cell r="B75">
            <v>0.41</v>
          </cell>
          <cell r="C75">
            <v>0.59</v>
          </cell>
        </row>
        <row r="76">
          <cell r="A76" t="str">
            <v>Ghana</v>
          </cell>
        </row>
        <row r="77">
          <cell r="A77" t="str">
            <v>Austria</v>
          </cell>
          <cell r="B77">
            <v>0.53</v>
          </cell>
          <cell r="C77">
            <v>0.47</v>
          </cell>
        </row>
        <row r="78">
          <cell r="A78" t="str">
            <v>Hungary</v>
          </cell>
          <cell r="B78">
            <v>0.4</v>
          </cell>
          <cell r="C78">
            <v>0.6</v>
          </cell>
        </row>
        <row r="79">
          <cell r="A79" t="str">
            <v>France</v>
          </cell>
          <cell r="B79">
            <v>0.61</v>
          </cell>
          <cell r="C79">
            <v>0.39</v>
          </cell>
        </row>
        <row r="80">
          <cell r="A80" t="str">
            <v>Bulgaria</v>
          </cell>
        </row>
        <row r="81">
          <cell r="A81" t="str">
            <v>Mauritius</v>
          </cell>
        </row>
        <row r="82">
          <cell r="A82" t="str">
            <v>Slovakia</v>
          </cell>
        </row>
        <row r="83">
          <cell r="A83" t="str">
            <v>Portugal</v>
          </cell>
          <cell r="B83">
            <v>0.49</v>
          </cell>
          <cell r="C83">
            <v>0.51</v>
          </cell>
        </row>
        <row r="84">
          <cell r="A84" t="str">
            <v>Cameroon</v>
          </cell>
        </row>
        <row r="85">
          <cell r="A85" t="str">
            <v>Kenya</v>
          </cell>
        </row>
        <row r="86">
          <cell r="A86" t="str">
            <v>Croatia</v>
          </cell>
          <cell r="B86">
            <v>0.44</v>
          </cell>
          <cell r="C86">
            <v>0.56000000000000005</v>
          </cell>
        </row>
        <row r="87">
          <cell r="A87" t="str">
            <v>Cambodia</v>
          </cell>
        </row>
        <row r="88">
          <cell r="A88" t="str">
            <v>Bahrain</v>
          </cell>
        </row>
        <row r="89">
          <cell r="A89" t="str">
            <v>Montenegro</v>
          </cell>
        </row>
        <row r="90">
          <cell r="A90" t="str">
            <v>Lebanon</v>
          </cell>
        </row>
        <row r="91">
          <cell r="A91" t="str">
            <v>Egypt</v>
          </cell>
          <cell r="B91">
            <v>0.54</v>
          </cell>
          <cell r="C91">
            <v>0.46</v>
          </cell>
        </row>
        <row r="92">
          <cell r="A92" t="str">
            <v>Oman</v>
          </cell>
        </row>
        <row r="93">
          <cell r="A93" t="str">
            <v>Thailand</v>
          </cell>
          <cell r="B93">
            <v>0.38</v>
          </cell>
          <cell r="C93">
            <v>0.62</v>
          </cell>
        </row>
        <row r="94">
          <cell r="A94" t="str">
            <v>Poland</v>
          </cell>
          <cell r="B94">
            <v>0.36</v>
          </cell>
          <cell r="C94">
            <v>0.64</v>
          </cell>
        </row>
        <row r="95">
          <cell r="A95" t="str">
            <v>Georgia</v>
          </cell>
        </row>
        <row r="96">
          <cell r="A96" t="str">
            <v>Jordan</v>
          </cell>
        </row>
        <row r="97">
          <cell r="A97" t="str">
            <v>Sudan</v>
          </cell>
        </row>
        <row r="98">
          <cell r="A98" t="str">
            <v>Bosnia &amp; Herzegovina</v>
          </cell>
        </row>
        <row r="99">
          <cell r="A99" t="str">
            <v>Vietnam</v>
          </cell>
          <cell r="B99">
            <v>0.55000000000000004</v>
          </cell>
          <cell r="C99">
            <v>0.45</v>
          </cell>
        </row>
        <row r="100">
          <cell r="A100" t="str">
            <v>Spain</v>
          </cell>
          <cell r="B100">
            <v>0.6</v>
          </cell>
          <cell r="C100">
            <v>0.4</v>
          </cell>
        </row>
        <row r="101">
          <cell r="A101" t="str">
            <v>Senegal</v>
          </cell>
        </row>
        <row r="102">
          <cell r="A102" t="str">
            <v>Morocco</v>
          </cell>
          <cell r="B102">
            <v>0.49</v>
          </cell>
          <cell r="C102">
            <v>0.51</v>
          </cell>
        </row>
        <row r="103">
          <cell r="A103" t="str">
            <v>Azerbaijan</v>
          </cell>
        </row>
        <row r="104">
          <cell r="A104" t="str">
            <v>Algeria</v>
          </cell>
        </row>
        <row r="105">
          <cell r="A105" t="str">
            <v>Mali</v>
          </cell>
        </row>
        <row r="106">
          <cell r="A106" t="str">
            <v>Burkina Faso</v>
          </cell>
        </row>
        <row r="107">
          <cell r="A107" t="str">
            <v>El Salvador</v>
          </cell>
        </row>
        <row r="108">
          <cell r="A108" t="str">
            <v>Kuwait</v>
          </cell>
        </row>
        <row r="109">
          <cell r="A109" t="str">
            <v>Saudi Arabia</v>
          </cell>
          <cell r="B109">
            <v>0.41</v>
          </cell>
          <cell r="C109">
            <v>0.59</v>
          </cell>
        </row>
        <row r="110">
          <cell r="A110" t="str">
            <v>Uruguay</v>
          </cell>
        </row>
        <row r="111">
          <cell r="A111" t="str">
            <v>Italy</v>
          </cell>
          <cell r="B111">
            <v>0.51</v>
          </cell>
          <cell r="C111">
            <v>0.49</v>
          </cell>
        </row>
        <row r="112">
          <cell r="A112" t="str">
            <v>Tanzania</v>
          </cell>
        </row>
        <row r="113">
          <cell r="A113" t="str">
            <v>Syria</v>
          </cell>
        </row>
        <row r="114">
          <cell r="A114" t="str">
            <v>Congo - Kinshasa</v>
          </cell>
        </row>
        <row r="115">
          <cell r="A115" t="str">
            <v>Turkey</v>
          </cell>
          <cell r="B115">
            <v>0.49</v>
          </cell>
          <cell r="C115">
            <v>0.51</v>
          </cell>
        </row>
        <row r="116">
          <cell r="A116" t="str">
            <v>Albania</v>
          </cell>
        </row>
        <row r="117">
          <cell r="A117" t="str">
            <v>Chile</v>
          </cell>
          <cell r="B117">
            <v>0.51</v>
          </cell>
          <cell r="C117">
            <v>0.49</v>
          </cell>
        </row>
        <row r="118">
          <cell r="A118" t="str">
            <v>Iraq</v>
          </cell>
        </row>
        <row r="119">
          <cell r="A119" t="str">
            <v>Bolivia</v>
          </cell>
        </row>
        <row r="120">
          <cell r="A120" t="str">
            <v>Brazil</v>
          </cell>
          <cell r="B120">
            <v>0.42</v>
          </cell>
          <cell r="C120">
            <v>0.57999999999999996</v>
          </cell>
        </row>
        <row r="121">
          <cell r="A121" t="str">
            <v>Peru</v>
          </cell>
          <cell r="B121">
            <v>0.4</v>
          </cell>
          <cell r="C121">
            <v>0.6</v>
          </cell>
        </row>
        <row r="122">
          <cell r="A122" t="str">
            <v>Indonesia</v>
          </cell>
          <cell r="B122">
            <v>0.37</v>
          </cell>
          <cell r="C122">
            <v>0.63</v>
          </cell>
        </row>
        <row r="123">
          <cell r="A123" t="str">
            <v>Puerto Rico</v>
          </cell>
        </row>
        <row r="124">
          <cell r="A124" t="str">
            <v>Argentina</v>
          </cell>
          <cell r="B124">
            <v>0.4</v>
          </cell>
          <cell r="C124">
            <v>0.6</v>
          </cell>
        </row>
        <row r="125">
          <cell r="A125" t="str">
            <v>Panama</v>
          </cell>
        </row>
        <row r="126">
          <cell r="A126" t="str">
            <v>Costa Rica</v>
          </cell>
        </row>
        <row r="127">
          <cell r="A127" t="str">
            <v>Ecuador</v>
          </cell>
        </row>
        <row r="128">
          <cell r="A128" t="str">
            <v>Guatemala</v>
          </cell>
        </row>
        <row r="129">
          <cell r="A129" t="str">
            <v>Colombia</v>
          </cell>
          <cell r="B129">
            <v>0.48</v>
          </cell>
          <cell r="C129">
            <v>0.52</v>
          </cell>
        </row>
        <row r="130">
          <cell r="A130" t="str">
            <v>Mexico</v>
          </cell>
          <cell r="B130">
            <v>0.43</v>
          </cell>
          <cell r="C130">
            <v>0.56999999999999995</v>
          </cell>
        </row>
        <row r="131">
          <cell r="A131" t="str">
            <v>Honduras</v>
          </cell>
        </row>
        <row r="132">
          <cell r="A132" t="str">
            <v>Paraguay</v>
          </cell>
        </row>
        <row r="133">
          <cell r="A133" t="str">
            <v>Dominican Republic</v>
          </cell>
        </row>
        <row r="134">
          <cell r="A134" t="str">
            <v>CÃ´te dâ€™Ivoire</v>
          </cell>
        </row>
        <row r="135">
          <cell r="A135" t="str">
            <v>Venezuela</v>
          </cell>
        </row>
        <row r="136">
          <cell r="A136" t="str">
            <v>North Korea</v>
          </cell>
        </row>
        <row r="137">
          <cell r="A137" t="str">
            <v>Solomon Islands</v>
          </cell>
        </row>
        <row r="138">
          <cell r="A138" t="str">
            <v>Micronesia</v>
          </cell>
        </row>
        <row r="139">
          <cell r="A139" t="str">
            <v>Caribbean Netherlands</v>
          </cell>
        </row>
        <row r="140">
          <cell r="A140" t="str">
            <v>St. BarthÃ©lemy</v>
          </cell>
        </row>
        <row r="141">
          <cell r="A141" t="str">
            <v>Dominica</v>
          </cell>
        </row>
        <row r="142">
          <cell r="A142" t="str">
            <v>Cuba</v>
          </cell>
        </row>
        <row r="143">
          <cell r="A143" t="str">
            <v>Eswatini</v>
          </cell>
        </row>
        <row r="144">
          <cell r="A144" t="str">
            <v>U.S. Virgin Islands</v>
          </cell>
        </row>
        <row r="145">
          <cell r="A145" t="str">
            <v>Liechtenstein</v>
          </cell>
        </row>
        <row r="146">
          <cell r="A146" t="str">
            <v>Gibraltar</v>
          </cell>
        </row>
        <row r="147">
          <cell r="A147" t="str">
            <v>Grenada</v>
          </cell>
        </row>
        <row r="148">
          <cell r="A148" t="str">
            <v>Djibouti</v>
          </cell>
        </row>
        <row r="149">
          <cell r="A149" t="str">
            <v>Isle of Man</v>
          </cell>
        </row>
        <row r="150">
          <cell r="A150" t="str">
            <v>Chad</v>
          </cell>
        </row>
        <row r="151">
          <cell r="A151" t="str">
            <v>South Sudan</v>
          </cell>
        </row>
        <row r="152">
          <cell r="A152" t="str">
            <v>Guadeloupe</v>
          </cell>
        </row>
        <row r="153">
          <cell r="A153" t="str">
            <v>Jersey</v>
          </cell>
        </row>
        <row r="154">
          <cell r="A154" t="str">
            <v>Barbados</v>
          </cell>
        </row>
        <row r="155">
          <cell r="A155" t="str">
            <v>Andorra</v>
          </cell>
        </row>
        <row r="156">
          <cell r="A156" t="str">
            <v>Fiji</v>
          </cell>
        </row>
        <row r="157">
          <cell r="A157" t="str">
            <v>Guyana</v>
          </cell>
        </row>
        <row r="158">
          <cell r="A158" t="str">
            <v>Aruba</v>
          </cell>
        </row>
        <row r="159">
          <cell r="A159" t="str">
            <v>Congo - Brazzaville</v>
          </cell>
        </row>
        <row r="160">
          <cell r="A160" t="str">
            <v>Malawi</v>
          </cell>
        </row>
        <row r="161">
          <cell r="A161" t="str">
            <v>Togo</v>
          </cell>
        </row>
        <row r="162">
          <cell r="A162" t="str">
            <v>CuraÃ§ao</v>
          </cell>
        </row>
        <row r="163">
          <cell r="A163" t="str">
            <v>Mongolia</v>
          </cell>
        </row>
        <row r="164">
          <cell r="A164" t="str">
            <v>French Polynesia</v>
          </cell>
        </row>
        <row r="165">
          <cell r="A165" t="str">
            <v>Namibia</v>
          </cell>
        </row>
        <row r="166">
          <cell r="A166" t="str">
            <v>Belize</v>
          </cell>
        </row>
        <row r="167">
          <cell r="A167" t="str">
            <v>Martinique</v>
          </cell>
        </row>
        <row r="168">
          <cell r="A168" t="str">
            <v>Guam</v>
          </cell>
        </row>
        <row r="169">
          <cell r="A169" t="str">
            <v>Papua New Guinea</v>
          </cell>
        </row>
        <row r="170">
          <cell r="A170" t="str">
            <v>RÃ©union</v>
          </cell>
        </row>
        <row r="171">
          <cell r="A171" t="str">
            <v>Benin</v>
          </cell>
        </row>
        <row r="172">
          <cell r="A172" t="str">
            <v>Brunei</v>
          </cell>
        </row>
        <row r="173">
          <cell r="A173" t="str">
            <v>Yemen</v>
          </cell>
        </row>
        <row r="174">
          <cell r="A174" t="str">
            <v>Libya</v>
          </cell>
        </row>
        <row r="175">
          <cell r="A175" t="str">
            <v>Bahamas</v>
          </cell>
        </row>
        <row r="176">
          <cell r="A176" t="str">
            <v>Haiti</v>
          </cell>
        </row>
        <row r="177">
          <cell r="A177" t="str">
            <v>Afghanistan</v>
          </cell>
        </row>
        <row r="178">
          <cell r="A178" t="str">
            <v>Mozambique</v>
          </cell>
        </row>
        <row r="179">
          <cell r="A179" t="str">
            <v>Angola</v>
          </cell>
        </row>
        <row r="180">
          <cell r="A180" t="str">
            <v>Kosovo</v>
          </cell>
        </row>
        <row r="181">
          <cell r="A181" t="str">
            <v>Nicaragua</v>
          </cell>
        </row>
        <row r="182">
          <cell r="A182" t="str">
            <v>Anguilla</v>
          </cell>
        </row>
        <row r="183">
          <cell r="A183" t="str">
            <v>Ã…land Islands</v>
          </cell>
        </row>
        <row r="184">
          <cell r="A184" t="str">
            <v>American Samoa</v>
          </cell>
        </row>
        <row r="185">
          <cell r="A185" t="str">
            <v>Antarctica</v>
          </cell>
        </row>
        <row r="186">
          <cell r="A186" t="str">
            <v>French Southern Territories</v>
          </cell>
        </row>
        <row r="187">
          <cell r="A187" t="str">
            <v>Antigua &amp; Barbuda</v>
          </cell>
        </row>
        <row r="188">
          <cell r="A188" t="str">
            <v>Burundi</v>
          </cell>
        </row>
        <row r="189">
          <cell r="A189" t="str">
            <v>Bermuda</v>
          </cell>
        </row>
        <row r="190">
          <cell r="A190" t="str">
            <v>Bhutan</v>
          </cell>
        </row>
        <row r="191">
          <cell r="A191" t="str">
            <v>Bouvet Island</v>
          </cell>
        </row>
        <row r="192">
          <cell r="A192" t="str">
            <v>Central African Republic</v>
          </cell>
        </row>
        <row r="193">
          <cell r="A193" t="str">
            <v>Cocos (Keeling) Islands</v>
          </cell>
        </row>
        <row r="194">
          <cell r="A194" t="str">
            <v>Cook Islands</v>
          </cell>
        </row>
        <row r="195">
          <cell r="A195" t="str">
            <v>Comoros</v>
          </cell>
        </row>
        <row r="196">
          <cell r="A196" t="str">
            <v>Cape Verde</v>
          </cell>
        </row>
        <row r="197">
          <cell r="A197" t="str">
            <v>Christmas Island</v>
          </cell>
        </row>
        <row r="198">
          <cell r="A198" t="str">
            <v>Cayman Islands</v>
          </cell>
        </row>
        <row r="199">
          <cell r="A199" t="str">
            <v>Eritrea</v>
          </cell>
        </row>
        <row r="200">
          <cell r="A200" t="str">
            <v>Western Sahara</v>
          </cell>
        </row>
        <row r="201">
          <cell r="A201" t="str">
            <v>Falkland Islands (Islas Malvinas)</v>
          </cell>
        </row>
        <row r="202">
          <cell r="A202" t="str">
            <v>Faroe Islands</v>
          </cell>
        </row>
        <row r="203">
          <cell r="A203" t="str">
            <v>Gabon</v>
          </cell>
        </row>
        <row r="204">
          <cell r="A204" t="str">
            <v>Guernsey</v>
          </cell>
        </row>
        <row r="205">
          <cell r="A205" t="str">
            <v>Guinea</v>
          </cell>
        </row>
        <row r="206">
          <cell r="A206" t="str">
            <v>Gambia</v>
          </cell>
        </row>
        <row r="207">
          <cell r="A207" t="str">
            <v>Guinea-Bissau</v>
          </cell>
        </row>
        <row r="208">
          <cell r="A208" t="str">
            <v>Equatorial Guinea</v>
          </cell>
        </row>
        <row r="209">
          <cell r="A209" t="str">
            <v>Greenland</v>
          </cell>
        </row>
        <row r="210">
          <cell r="A210" t="str">
            <v>French Guiana</v>
          </cell>
        </row>
        <row r="211">
          <cell r="A211" t="str">
            <v>Heard &amp; McDonald Islands</v>
          </cell>
        </row>
        <row r="212">
          <cell r="A212" t="str">
            <v>British Indian Ocean Territory</v>
          </cell>
        </row>
        <row r="213">
          <cell r="A213" t="str">
            <v>Kiribati</v>
          </cell>
        </row>
        <row r="214">
          <cell r="A214" t="str">
            <v>St. Kitts &amp; Nevis</v>
          </cell>
        </row>
        <row r="215">
          <cell r="A215" t="str">
            <v>Liberia</v>
          </cell>
        </row>
        <row r="216">
          <cell r="A216" t="str">
            <v>St. Lucia</v>
          </cell>
        </row>
        <row r="217">
          <cell r="A217" t="str">
            <v>St. Martin</v>
          </cell>
        </row>
        <row r="218">
          <cell r="A218" t="str">
            <v>Monaco</v>
          </cell>
        </row>
        <row r="219">
          <cell r="A219" t="str">
            <v>Marshall Islands</v>
          </cell>
        </row>
        <row r="220">
          <cell r="A220" t="str">
            <v>Northern Mariana Islands</v>
          </cell>
        </row>
        <row r="221">
          <cell r="A221" t="str">
            <v>Mauritania</v>
          </cell>
        </row>
        <row r="222">
          <cell r="A222" t="str">
            <v>Montserrat</v>
          </cell>
        </row>
        <row r="223">
          <cell r="A223" t="str">
            <v>Mayotte</v>
          </cell>
        </row>
        <row r="224">
          <cell r="A224" t="str">
            <v>New Caledonia</v>
          </cell>
        </row>
        <row r="225">
          <cell r="A225" t="str">
            <v>Niger</v>
          </cell>
        </row>
        <row r="226">
          <cell r="A226" t="str">
            <v>Norfolk Island</v>
          </cell>
        </row>
        <row r="227">
          <cell r="A227" t="str">
            <v>Niue</v>
          </cell>
        </row>
        <row r="228">
          <cell r="A228" t="str">
            <v>Nauru</v>
          </cell>
        </row>
        <row r="229">
          <cell r="A229" t="str">
            <v>Pitcairn Islands</v>
          </cell>
        </row>
        <row r="230">
          <cell r="A230" t="str">
            <v>Palau</v>
          </cell>
        </row>
        <row r="231">
          <cell r="A231" t="str">
            <v>South Georgia &amp; South Sandwich Islands</v>
          </cell>
        </row>
        <row r="232">
          <cell r="A232" t="str">
            <v>Svalbard &amp; Jan Mayen</v>
          </cell>
        </row>
        <row r="233">
          <cell r="A233" t="str">
            <v>Sierra Leone</v>
          </cell>
        </row>
        <row r="234">
          <cell r="A234" t="str">
            <v>San Marino</v>
          </cell>
        </row>
        <row r="235">
          <cell r="A235" t="str">
            <v>Somalia</v>
          </cell>
        </row>
        <row r="236">
          <cell r="A236" t="str">
            <v>St. Pierre &amp; Miquelon</v>
          </cell>
        </row>
        <row r="237">
          <cell r="A237" t="str">
            <v>SÃ£o TomÃ© &amp; PrÃ­ncipe</v>
          </cell>
        </row>
        <row r="238">
          <cell r="A238" t="str">
            <v>Suriname</v>
          </cell>
        </row>
        <row r="239">
          <cell r="A239" t="str">
            <v>Sint Maarten</v>
          </cell>
        </row>
        <row r="240">
          <cell r="A240" t="str">
            <v>Seychelles</v>
          </cell>
        </row>
        <row r="241">
          <cell r="A241" t="str">
            <v>Turks &amp; Caicos Islands</v>
          </cell>
        </row>
        <row r="242">
          <cell r="A242" t="str">
            <v>Tokelau</v>
          </cell>
        </row>
        <row r="243">
          <cell r="A243" t="str">
            <v>Turkmenistan</v>
          </cell>
        </row>
        <row r="244">
          <cell r="A244" t="str">
            <v>Timor-Leste</v>
          </cell>
        </row>
        <row r="245">
          <cell r="A245" t="str">
            <v>Tonga</v>
          </cell>
        </row>
        <row r="246">
          <cell r="A246" t="str">
            <v>Tuvalu</v>
          </cell>
        </row>
        <row r="247">
          <cell r="A247" t="str">
            <v>U.S. Outlying Islands</v>
          </cell>
        </row>
        <row r="248">
          <cell r="A248" t="str">
            <v>Vatican City</v>
          </cell>
        </row>
        <row r="249">
          <cell r="A249" t="str">
            <v>St. Vincent &amp; Grenadines</v>
          </cell>
        </row>
        <row r="250">
          <cell r="A250" t="str">
            <v>British Virgin Islands</v>
          </cell>
        </row>
        <row r="251">
          <cell r="A251" t="str">
            <v>Vanuatu</v>
          </cell>
        </row>
        <row r="252">
          <cell r="A252" t="str">
            <v>Wallis &amp; Futuna</v>
          </cell>
        </row>
        <row r="253">
          <cell r="A253" t="str">
            <v>Samoa</v>
          </cell>
        </row>
      </sheetData>
    </sheetDataSet>
  </externalBook>
</externalLink>
</file>

<file path=xl/externalLinks/externalLink1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8)"/>
    </sheetNames>
    <sheetDataSet>
      <sheetData sheetId="0">
        <row r="1">
          <cell r="A1" t="str">
            <v>Kategori: TÃ¼m kategoriler</v>
          </cell>
        </row>
        <row r="3">
          <cell r="A3" t="str">
            <v>Ãœlke</v>
          </cell>
          <cell r="B3" t="str">
            <v>Ã–bek: (2017)</v>
          </cell>
          <cell r="C3" t="str">
            <v>Komut Ã§izelgesi: (2017)</v>
          </cell>
        </row>
        <row r="4">
          <cell r="A4" t="str">
            <v>China</v>
          </cell>
          <cell r="B4">
            <v>0.49</v>
          </cell>
          <cell r="C4">
            <v>0.51</v>
          </cell>
        </row>
        <row r="5">
          <cell r="A5" t="str">
            <v>South Korea</v>
          </cell>
          <cell r="B5">
            <v>0.63</v>
          </cell>
          <cell r="C5">
            <v>0.37</v>
          </cell>
        </row>
        <row r="6">
          <cell r="A6" t="str">
            <v>Taiwan</v>
          </cell>
          <cell r="B6">
            <v>0.83</v>
          </cell>
          <cell r="C6">
            <v>0.17</v>
          </cell>
        </row>
        <row r="7">
          <cell r="A7" t="str">
            <v>Hong Kong</v>
          </cell>
          <cell r="B7">
            <v>0.74</v>
          </cell>
          <cell r="C7">
            <v>0.26</v>
          </cell>
        </row>
        <row r="8">
          <cell r="A8" t="str">
            <v>Tajikistan</v>
          </cell>
        </row>
        <row r="9">
          <cell r="A9" t="str">
            <v>New Zealand</v>
          </cell>
          <cell r="B9">
            <v>0.8</v>
          </cell>
          <cell r="C9">
            <v>0.2</v>
          </cell>
        </row>
        <row r="10">
          <cell r="A10" t="str">
            <v>Macao</v>
          </cell>
        </row>
        <row r="11">
          <cell r="A11" t="str">
            <v>India</v>
          </cell>
          <cell r="B11">
            <v>0.47</v>
          </cell>
          <cell r="C11">
            <v>0.53</v>
          </cell>
        </row>
        <row r="12">
          <cell r="A12" t="str">
            <v>Israel</v>
          </cell>
          <cell r="B12">
            <v>0.57999999999999996</v>
          </cell>
          <cell r="C12">
            <v>0.42</v>
          </cell>
        </row>
        <row r="13">
          <cell r="A13" t="str">
            <v>Iceland</v>
          </cell>
        </row>
        <row r="14">
          <cell r="A14" t="str">
            <v>Uzbekistan</v>
          </cell>
        </row>
        <row r="15">
          <cell r="A15" t="str">
            <v>Lesotho</v>
          </cell>
        </row>
        <row r="16">
          <cell r="A16" t="str">
            <v>Singapore</v>
          </cell>
          <cell r="B16">
            <v>0.51</v>
          </cell>
          <cell r="C16">
            <v>0.49</v>
          </cell>
        </row>
        <row r="17">
          <cell r="A17" t="str">
            <v>Australia</v>
          </cell>
          <cell r="B17">
            <v>0.78</v>
          </cell>
          <cell r="C17">
            <v>0.22</v>
          </cell>
        </row>
        <row r="18">
          <cell r="A18" t="str">
            <v>Estonia</v>
          </cell>
          <cell r="B18">
            <v>0.6</v>
          </cell>
          <cell r="C18">
            <v>0.4</v>
          </cell>
        </row>
        <row r="19">
          <cell r="A19" t="str">
            <v>Pakistan</v>
          </cell>
          <cell r="B19">
            <v>0.77</v>
          </cell>
          <cell r="C19">
            <v>0.23</v>
          </cell>
        </row>
        <row r="20">
          <cell r="A20" t="str">
            <v>Iran</v>
          </cell>
          <cell r="B20">
            <v>0.9</v>
          </cell>
          <cell r="C20">
            <v>0.1</v>
          </cell>
        </row>
        <row r="21">
          <cell r="A21" t="str">
            <v>United States</v>
          </cell>
          <cell r="B21">
            <v>0.61</v>
          </cell>
          <cell r="C21">
            <v>0.39</v>
          </cell>
        </row>
        <row r="22">
          <cell r="A22" t="str">
            <v>Nepal</v>
          </cell>
        </row>
        <row r="23">
          <cell r="A23" t="str">
            <v>Russia</v>
          </cell>
          <cell r="B23">
            <v>0.73</v>
          </cell>
          <cell r="C23">
            <v>0.27</v>
          </cell>
        </row>
        <row r="24">
          <cell r="A24" t="str">
            <v>Belarus</v>
          </cell>
          <cell r="B24">
            <v>0.6</v>
          </cell>
          <cell r="C24">
            <v>0.4</v>
          </cell>
        </row>
        <row r="25">
          <cell r="A25" t="str">
            <v>St. Helena</v>
          </cell>
          <cell r="B25">
            <v>0.49</v>
          </cell>
          <cell r="C25">
            <v>0.51</v>
          </cell>
        </row>
        <row r="26">
          <cell r="A26" t="str">
            <v>Denmark</v>
          </cell>
          <cell r="B26">
            <v>0.66</v>
          </cell>
          <cell r="C26">
            <v>0.34</v>
          </cell>
        </row>
        <row r="27">
          <cell r="A27" t="str">
            <v>United Kingdom</v>
          </cell>
          <cell r="B27">
            <v>0.72</v>
          </cell>
          <cell r="C27">
            <v>0.28000000000000003</v>
          </cell>
        </row>
        <row r="28">
          <cell r="A28" t="str">
            <v>Zimbabwe</v>
          </cell>
        </row>
        <row r="29">
          <cell r="A29" t="str">
            <v>Czechia</v>
          </cell>
          <cell r="B29">
            <v>0.64</v>
          </cell>
          <cell r="C29">
            <v>0.36</v>
          </cell>
        </row>
        <row r="30">
          <cell r="A30" t="str">
            <v>Botswana</v>
          </cell>
        </row>
        <row r="31">
          <cell r="A31" t="str">
            <v>Canada</v>
          </cell>
          <cell r="B31">
            <v>0.59</v>
          </cell>
          <cell r="C31">
            <v>0.41</v>
          </cell>
        </row>
        <row r="32">
          <cell r="A32" t="str">
            <v>Ireland</v>
          </cell>
          <cell r="B32">
            <v>0.56000000000000005</v>
          </cell>
          <cell r="C32">
            <v>0.44</v>
          </cell>
        </row>
        <row r="33">
          <cell r="A33" t="str">
            <v>Kyrgyzstan</v>
          </cell>
        </row>
        <row r="34">
          <cell r="A34" t="str">
            <v>Ukraine</v>
          </cell>
          <cell r="B34">
            <v>0.65</v>
          </cell>
          <cell r="C34">
            <v>0.35</v>
          </cell>
        </row>
        <row r="35">
          <cell r="A35" t="str">
            <v>Philippines</v>
          </cell>
          <cell r="B35">
            <v>0.73</v>
          </cell>
          <cell r="C35">
            <v>0.27</v>
          </cell>
        </row>
        <row r="36">
          <cell r="A36" t="str">
            <v>Sri Lanka</v>
          </cell>
          <cell r="B36">
            <v>0.5</v>
          </cell>
          <cell r="C36">
            <v>0.5</v>
          </cell>
        </row>
        <row r="37">
          <cell r="A37" t="str">
            <v>Luxembourg</v>
          </cell>
        </row>
        <row r="38">
          <cell r="A38" t="str">
            <v>Laos</v>
          </cell>
        </row>
        <row r="39">
          <cell r="A39" t="str">
            <v>Finland</v>
          </cell>
          <cell r="B39">
            <v>0.61</v>
          </cell>
          <cell r="C39">
            <v>0.39</v>
          </cell>
        </row>
        <row r="40">
          <cell r="A40" t="str">
            <v>Lithuania</v>
          </cell>
        </row>
        <row r="41">
          <cell r="A41" t="str">
            <v>Armenia</v>
          </cell>
        </row>
        <row r="42">
          <cell r="A42" t="str">
            <v>Slovenia</v>
          </cell>
        </row>
        <row r="43">
          <cell r="A43" t="str">
            <v>Kazakhstan</v>
          </cell>
          <cell r="B43">
            <v>0.74</v>
          </cell>
          <cell r="C43">
            <v>0.26</v>
          </cell>
        </row>
        <row r="44">
          <cell r="A44" t="str">
            <v>Maldives</v>
          </cell>
        </row>
        <row r="45">
          <cell r="A45" t="str">
            <v>Ethiopia</v>
          </cell>
        </row>
        <row r="46">
          <cell r="A46" t="str">
            <v>Cyprus</v>
          </cell>
        </row>
        <row r="47">
          <cell r="A47" t="str">
            <v>Myanmar (Burma)</v>
          </cell>
        </row>
        <row r="48">
          <cell r="A48" t="str">
            <v>Serbia</v>
          </cell>
          <cell r="B48">
            <v>0.59</v>
          </cell>
          <cell r="C48">
            <v>0.41</v>
          </cell>
        </row>
        <row r="49">
          <cell r="A49" t="str">
            <v>Mauritius</v>
          </cell>
        </row>
        <row r="50">
          <cell r="A50" t="str">
            <v>Madagascar</v>
          </cell>
        </row>
        <row r="51">
          <cell r="A51" t="str">
            <v>Moldova</v>
          </cell>
        </row>
        <row r="52">
          <cell r="A52" t="str">
            <v>Malaysia</v>
          </cell>
          <cell r="B52">
            <v>0.76</v>
          </cell>
          <cell r="C52">
            <v>0.24</v>
          </cell>
        </row>
        <row r="53">
          <cell r="A53" t="str">
            <v>Latvia</v>
          </cell>
        </row>
        <row r="54">
          <cell r="A54" t="str">
            <v>Zambia</v>
          </cell>
        </row>
        <row r="55">
          <cell r="A55" t="str">
            <v>United Arab Emirates</v>
          </cell>
          <cell r="B55">
            <v>0.74</v>
          </cell>
          <cell r="C55">
            <v>0.26</v>
          </cell>
        </row>
        <row r="56">
          <cell r="A56" t="str">
            <v>North Macedonia</v>
          </cell>
        </row>
        <row r="57">
          <cell r="A57" t="str">
            <v>Uganda</v>
          </cell>
        </row>
        <row r="58">
          <cell r="A58" t="str">
            <v>Bangladesh</v>
          </cell>
          <cell r="B58">
            <v>0.71</v>
          </cell>
          <cell r="C58">
            <v>0.28999999999999998</v>
          </cell>
        </row>
        <row r="59">
          <cell r="A59" t="str">
            <v>Portugal</v>
          </cell>
          <cell r="B59">
            <v>0.43</v>
          </cell>
          <cell r="C59">
            <v>0.56999999999999995</v>
          </cell>
        </row>
        <row r="60">
          <cell r="A60" t="str">
            <v>Malta</v>
          </cell>
        </row>
        <row r="61">
          <cell r="A61" t="str">
            <v>Switzerland</v>
          </cell>
          <cell r="B61">
            <v>0.51</v>
          </cell>
          <cell r="C61">
            <v>0.49</v>
          </cell>
        </row>
        <row r="62">
          <cell r="A62" t="str">
            <v>Sweden</v>
          </cell>
          <cell r="B62">
            <v>0.5</v>
          </cell>
          <cell r="C62">
            <v>0.5</v>
          </cell>
        </row>
        <row r="63">
          <cell r="A63" t="str">
            <v>Lebanon</v>
          </cell>
        </row>
        <row r="64">
          <cell r="A64" t="str">
            <v>Norway</v>
          </cell>
          <cell r="B64">
            <v>0.54</v>
          </cell>
          <cell r="C64">
            <v>0.46</v>
          </cell>
        </row>
        <row r="65">
          <cell r="A65" t="str">
            <v>Trinidad &amp; Tobago</v>
          </cell>
        </row>
        <row r="66">
          <cell r="A66" t="str">
            <v>Romania</v>
          </cell>
          <cell r="B66">
            <v>0.54</v>
          </cell>
          <cell r="C66">
            <v>0.46</v>
          </cell>
        </row>
        <row r="67">
          <cell r="A67" t="str">
            <v>Ghana</v>
          </cell>
        </row>
        <row r="68">
          <cell r="A68" t="str">
            <v>South Africa</v>
          </cell>
          <cell r="B68">
            <v>0.7</v>
          </cell>
          <cell r="C68">
            <v>0.3</v>
          </cell>
        </row>
        <row r="69">
          <cell r="A69" t="str">
            <v>Nigeria</v>
          </cell>
        </row>
        <row r="70">
          <cell r="A70" t="str">
            <v>Palestine</v>
          </cell>
        </row>
        <row r="71">
          <cell r="A71" t="str">
            <v>Bahrain</v>
          </cell>
        </row>
        <row r="72">
          <cell r="A72" t="str">
            <v>Jamaica</v>
          </cell>
        </row>
        <row r="73">
          <cell r="A73" t="str">
            <v>Bulgaria</v>
          </cell>
          <cell r="B73">
            <v>0.52</v>
          </cell>
          <cell r="C73">
            <v>0.48</v>
          </cell>
        </row>
        <row r="74">
          <cell r="A74" t="str">
            <v>Kenya</v>
          </cell>
        </row>
        <row r="75">
          <cell r="A75" t="str">
            <v>Germany</v>
          </cell>
          <cell r="B75">
            <v>0.5</v>
          </cell>
          <cell r="C75">
            <v>0.5</v>
          </cell>
        </row>
        <row r="76">
          <cell r="A76" t="str">
            <v>Qatar</v>
          </cell>
        </row>
        <row r="77">
          <cell r="A77" t="str">
            <v>Greece</v>
          </cell>
          <cell r="B77">
            <v>0.6</v>
          </cell>
          <cell r="C77">
            <v>0.4</v>
          </cell>
        </row>
        <row r="78">
          <cell r="A78" t="str">
            <v>Hungary</v>
          </cell>
          <cell r="B78">
            <v>0.56000000000000005</v>
          </cell>
          <cell r="C78">
            <v>0.44</v>
          </cell>
        </row>
        <row r="79">
          <cell r="A79" t="str">
            <v>Tunisia</v>
          </cell>
        </row>
        <row r="80">
          <cell r="A80" t="str">
            <v>Austria</v>
          </cell>
          <cell r="B80">
            <v>0.51</v>
          </cell>
          <cell r="C80">
            <v>0.49</v>
          </cell>
        </row>
        <row r="81">
          <cell r="A81" t="str">
            <v>Netherlands</v>
          </cell>
          <cell r="B81">
            <v>0.55000000000000004</v>
          </cell>
          <cell r="C81">
            <v>0.45</v>
          </cell>
        </row>
        <row r="82">
          <cell r="A82" t="str">
            <v>Slovakia</v>
          </cell>
          <cell r="B82">
            <v>0.53</v>
          </cell>
          <cell r="C82">
            <v>0.47</v>
          </cell>
        </row>
        <row r="83">
          <cell r="A83" t="str">
            <v>Japan</v>
          </cell>
          <cell r="B83">
            <v>0.54</v>
          </cell>
          <cell r="C83">
            <v>0.46</v>
          </cell>
        </row>
        <row r="84">
          <cell r="A84" t="str">
            <v>Cambodia</v>
          </cell>
        </row>
        <row r="85">
          <cell r="A85" t="str">
            <v>Georgia</v>
          </cell>
        </row>
        <row r="86">
          <cell r="A86" t="str">
            <v>Cameroon</v>
          </cell>
        </row>
        <row r="87">
          <cell r="A87" t="str">
            <v>Croatia</v>
          </cell>
          <cell r="B87">
            <v>0.6</v>
          </cell>
          <cell r="C87">
            <v>0.4</v>
          </cell>
        </row>
        <row r="88">
          <cell r="A88" t="str">
            <v>Belgium</v>
          </cell>
          <cell r="B88">
            <v>0.49</v>
          </cell>
          <cell r="C88">
            <v>0.51</v>
          </cell>
        </row>
        <row r="89">
          <cell r="A89" t="str">
            <v>Azerbaijan</v>
          </cell>
        </row>
        <row r="90">
          <cell r="A90" t="str">
            <v>Poland</v>
          </cell>
          <cell r="B90">
            <v>0.54</v>
          </cell>
          <cell r="C90">
            <v>0.46</v>
          </cell>
        </row>
        <row r="91">
          <cell r="A91" t="str">
            <v>Thailand</v>
          </cell>
          <cell r="B91">
            <v>0.78</v>
          </cell>
          <cell r="C91">
            <v>0.22</v>
          </cell>
        </row>
        <row r="92">
          <cell r="A92" t="str">
            <v>Sudan</v>
          </cell>
        </row>
        <row r="93">
          <cell r="A93" t="str">
            <v>Jordan</v>
          </cell>
        </row>
        <row r="94">
          <cell r="A94" t="str">
            <v>Egypt</v>
          </cell>
          <cell r="B94">
            <v>0.61</v>
          </cell>
          <cell r="C94">
            <v>0.39</v>
          </cell>
        </row>
        <row r="95">
          <cell r="A95" t="str">
            <v>France</v>
          </cell>
          <cell r="B95">
            <v>0.49</v>
          </cell>
          <cell r="C95">
            <v>0.51</v>
          </cell>
        </row>
        <row r="96">
          <cell r="A96" t="str">
            <v>Montenegro</v>
          </cell>
        </row>
        <row r="97">
          <cell r="A97" t="str">
            <v>Guatemala</v>
          </cell>
        </row>
        <row r="98">
          <cell r="A98" t="str">
            <v>Bosnia &amp; Herzegovina</v>
          </cell>
        </row>
        <row r="99">
          <cell r="A99" t="str">
            <v>Vietnam</v>
          </cell>
          <cell r="B99">
            <v>0.56000000000000005</v>
          </cell>
          <cell r="C99">
            <v>0.44</v>
          </cell>
        </row>
        <row r="100">
          <cell r="A100" t="str">
            <v>Senegal</v>
          </cell>
        </row>
        <row r="101">
          <cell r="A101" t="str">
            <v>Mali</v>
          </cell>
        </row>
        <row r="102">
          <cell r="A102" t="str">
            <v>Morocco</v>
          </cell>
          <cell r="B102">
            <v>0.6</v>
          </cell>
          <cell r="C102">
            <v>0.4</v>
          </cell>
        </row>
        <row r="103">
          <cell r="A103" t="str">
            <v>Oman</v>
          </cell>
        </row>
        <row r="104">
          <cell r="A104" t="str">
            <v>Spain</v>
          </cell>
          <cell r="B104">
            <v>0.44</v>
          </cell>
          <cell r="C104">
            <v>0.56000000000000005</v>
          </cell>
        </row>
        <row r="105">
          <cell r="A105" t="str">
            <v>Costa Rica</v>
          </cell>
        </row>
        <row r="106">
          <cell r="A106" t="str">
            <v>Congo - Kinshasa</v>
          </cell>
        </row>
        <row r="107">
          <cell r="A107" t="str">
            <v>Kuwait</v>
          </cell>
        </row>
        <row r="108">
          <cell r="A108" t="str">
            <v>Albania</v>
          </cell>
        </row>
        <row r="109">
          <cell r="A109" t="str">
            <v>Tanzania</v>
          </cell>
        </row>
        <row r="110">
          <cell r="A110" t="str">
            <v>Uruguay</v>
          </cell>
        </row>
        <row r="111">
          <cell r="A111" t="str">
            <v>Saudi Arabia</v>
          </cell>
        </row>
        <row r="112">
          <cell r="A112" t="str">
            <v>Italy</v>
          </cell>
          <cell r="B112">
            <v>0.5</v>
          </cell>
          <cell r="C112">
            <v>0.5</v>
          </cell>
        </row>
        <row r="113">
          <cell r="A113" t="str">
            <v>Turkey</v>
          </cell>
          <cell r="B113">
            <v>0.64</v>
          </cell>
          <cell r="C113">
            <v>0.36</v>
          </cell>
        </row>
        <row r="114">
          <cell r="A114" t="str">
            <v>Chile</v>
          </cell>
          <cell r="B114">
            <v>0.56000000000000005</v>
          </cell>
          <cell r="C114">
            <v>0.44</v>
          </cell>
        </row>
        <row r="115">
          <cell r="A115" t="str">
            <v>Brazil</v>
          </cell>
          <cell r="B115">
            <v>0.62</v>
          </cell>
          <cell r="C115">
            <v>0.38</v>
          </cell>
        </row>
        <row r="116">
          <cell r="A116" t="str">
            <v>Peru</v>
          </cell>
          <cell r="B116">
            <v>0.64</v>
          </cell>
          <cell r="C116">
            <v>0.36</v>
          </cell>
        </row>
        <row r="117">
          <cell r="A117" t="str">
            <v>Iraq</v>
          </cell>
        </row>
        <row r="118">
          <cell r="A118" t="str">
            <v>El Salvador</v>
          </cell>
        </row>
        <row r="119">
          <cell r="A119" t="str">
            <v>Syria</v>
          </cell>
        </row>
        <row r="120">
          <cell r="A120" t="str">
            <v>Puerto Rico</v>
          </cell>
        </row>
        <row r="121">
          <cell r="A121" t="str">
            <v>Burkina Faso</v>
          </cell>
        </row>
        <row r="122">
          <cell r="A122" t="str">
            <v>Panama</v>
          </cell>
        </row>
        <row r="123">
          <cell r="A123" t="str">
            <v>Algeria</v>
          </cell>
        </row>
        <row r="124">
          <cell r="A124" t="str">
            <v>Colombia</v>
          </cell>
          <cell r="B124">
            <v>0.44</v>
          </cell>
          <cell r="C124">
            <v>0.56000000000000005</v>
          </cell>
        </row>
        <row r="125">
          <cell r="A125" t="str">
            <v>RÃ©union</v>
          </cell>
        </row>
        <row r="126">
          <cell r="A126" t="str">
            <v>Indonesia</v>
          </cell>
          <cell r="B126">
            <v>0.71</v>
          </cell>
          <cell r="C126">
            <v>0.28999999999999998</v>
          </cell>
        </row>
        <row r="127">
          <cell r="A127" t="str">
            <v>Ecuador</v>
          </cell>
        </row>
        <row r="128">
          <cell r="A128" t="str">
            <v>Argentina</v>
          </cell>
          <cell r="B128">
            <v>0.55000000000000004</v>
          </cell>
          <cell r="C128">
            <v>0.45</v>
          </cell>
        </row>
        <row r="129">
          <cell r="A129" t="str">
            <v>Mexico</v>
          </cell>
          <cell r="B129">
            <v>0.5</v>
          </cell>
          <cell r="C129">
            <v>0.5</v>
          </cell>
        </row>
        <row r="130">
          <cell r="A130" t="str">
            <v>Paraguay</v>
          </cell>
        </row>
        <row r="131">
          <cell r="A131" t="str">
            <v>Dominican Republic</v>
          </cell>
        </row>
        <row r="132">
          <cell r="A132" t="str">
            <v>CÃ´te dâ€™Ivoire</v>
          </cell>
        </row>
        <row r="133">
          <cell r="A133" t="str">
            <v>Bolivia</v>
          </cell>
        </row>
        <row r="134">
          <cell r="A134" t="str">
            <v>Honduras</v>
          </cell>
        </row>
        <row r="135">
          <cell r="A135" t="str">
            <v>Venezuela</v>
          </cell>
        </row>
        <row r="136">
          <cell r="A136" t="str">
            <v>North Korea</v>
          </cell>
        </row>
        <row r="137">
          <cell r="A137" t="str">
            <v>Cook Islands</v>
          </cell>
        </row>
        <row r="138">
          <cell r="A138" t="str">
            <v>Marshall Islands</v>
          </cell>
        </row>
        <row r="139">
          <cell r="A139" t="str">
            <v>Tonga</v>
          </cell>
        </row>
        <row r="140">
          <cell r="A140" t="str">
            <v>American Samoa</v>
          </cell>
        </row>
        <row r="141">
          <cell r="A141" t="str">
            <v>Faroe Islands</v>
          </cell>
        </row>
        <row r="142">
          <cell r="A142" t="str">
            <v>Caribbean Netherlands</v>
          </cell>
        </row>
        <row r="143">
          <cell r="A143" t="str">
            <v>Northern Mariana Islands</v>
          </cell>
        </row>
        <row r="144">
          <cell r="A144" t="str">
            <v>Samoa</v>
          </cell>
        </row>
        <row r="145">
          <cell r="A145" t="str">
            <v>Vanuatu</v>
          </cell>
        </row>
        <row r="146">
          <cell r="A146" t="str">
            <v>British Virgin Islands</v>
          </cell>
        </row>
        <row r="147">
          <cell r="A147" t="str">
            <v>Solomon Islands</v>
          </cell>
        </row>
        <row r="148">
          <cell r="A148" t="str">
            <v>Isle of Man</v>
          </cell>
        </row>
        <row r="149">
          <cell r="A149" t="str">
            <v>Turks &amp; Caicos Islands</v>
          </cell>
        </row>
        <row r="150">
          <cell r="A150" t="str">
            <v>Dominica</v>
          </cell>
        </row>
        <row r="151">
          <cell r="A151" t="str">
            <v>Eswatini</v>
          </cell>
        </row>
        <row r="152">
          <cell r="A152" t="str">
            <v>St. Vincent &amp; Grenadines</v>
          </cell>
        </row>
        <row r="153">
          <cell r="A153" t="str">
            <v>Greenland</v>
          </cell>
        </row>
        <row r="154">
          <cell r="A154" t="str">
            <v>Gibraltar</v>
          </cell>
        </row>
        <row r="155">
          <cell r="A155" t="str">
            <v>Western Sahara</v>
          </cell>
        </row>
        <row r="156">
          <cell r="A156" t="str">
            <v>Seychelles</v>
          </cell>
        </row>
        <row r="157">
          <cell r="A157" t="str">
            <v>Sint Maarten</v>
          </cell>
        </row>
        <row r="158">
          <cell r="A158" t="str">
            <v>Mayotte</v>
          </cell>
        </row>
        <row r="159">
          <cell r="A159" t="str">
            <v>Guernsey</v>
          </cell>
        </row>
        <row r="160">
          <cell r="A160" t="str">
            <v>Cuba</v>
          </cell>
        </row>
        <row r="161">
          <cell r="A161" t="str">
            <v>Bhutan</v>
          </cell>
        </row>
        <row r="162">
          <cell r="A162" t="str">
            <v>Fiji</v>
          </cell>
        </row>
        <row r="163">
          <cell r="A163" t="str">
            <v>Malawi</v>
          </cell>
        </row>
        <row r="164">
          <cell r="A164" t="str">
            <v>U.S. Virgin Islands</v>
          </cell>
        </row>
        <row r="165">
          <cell r="A165" t="str">
            <v>Monaco</v>
          </cell>
        </row>
        <row r="166">
          <cell r="A166" t="str">
            <v>St. Lucia</v>
          </cell>
        </row>
        <row r="167">
          <cell r="A167" t="str">
            <v>Liechtenstein</v>
          </cell>
        </row>
        <row r="168">
          <cell r="A168" t="str">
            <v>Afghanistan</v>
          </cell>
        </row>
        <row r="169">
          <cell r="A169" t="str">
            <v>Bermuda</v>
          </cell>
        </row>
        <row r="170">
          <cell r="A170" t="str">
            <v>Guam</v>
          </cell>
        </row>
        <row r="171">
          <cell r="A171" t="str">
            <v>Grenada</v>
          </cell>
        </row>
        <row r="172">
          <cell r="A172" t="str">
            <v>Papua New Guinea</v>
          </cell>
        </row>
        <row r="173">
          <cell r="A173" t="str">
            <v>New Caledonia</v>
          </cell>
        </row>
        <row r="174">
          <cell r="A174" t="str">
            <v>Barbados</v>
          </cell>
        </row>
        <row r="175">
          <cell r="A175" t="str">
            <v>Turkmenistan</v>
          </cell>
        </row>
        <row r="176">
          <cell r="A176" t="str">
            <v>Gambia</v>
          </cell>
        </row>
        <row r="177">
          <cell r="A177" t="str">
            <v>Chad</v>
          </cell>
        </row>
        <row r="178">
          <cell r="A178" t="str">
            <v>French Polynesia</v>
          </cell>
        </row>
        <row r="179">
          <cell r="A179" t="str">
            <v>Belize</v>
          </cell>
        </row>
        <row r="180">
          <cell r="A180" t="str">
            <v>South Sudan</v>
          </cell>
        </row>
        <row r="181">
          <cell r="A181" t="str">
            <v>Jersey</v>
          </cell>
        </row>
        <row r="182">
          <cell r="A182" t="str">
            <v>Namibia</v>
          </cell>
        </row>
        <row r="183">
          <cell r="A183" t="str">
            <v>Liberia</v>
          </cell>
        </row>
        <row r="184">
          <cell r="A184" t="str">
            <v>Bahamas</v>
          </cell>
        </row>
        <row r="185">
          <cell r="A185" t="str">
            <v>Cayman Islands</v>
          </cell>
        </row>
        <row r="186">
          <cell r="A186" t="str">
            <v>Benin</v>
          </cell>
        </row>
        <row r="187">
          <cell r="A187" t="str">
            <v>Burundi</v>
          </cell>
        </row>
        <row r="188">
          <cell r="A188" t="str">
            <v>Andorra</v>
          </cell>
        </row>
        <row r="189">
          <cell r="A189" t="str">
            <v>Brunei</v>
          </cell>
        </row>
        <row r="190">
          <cell r="A190" t="str">
            <v>Guyana</v>
          </cell>
        </row>
        <row r="191">
          <cell r="A191" t="str">
            <v>Aruba</v>
          </cell>
        </row>
        <row r="192">
          <cell r="A192" t="str">
            <v>Congo - Brazzaville</v>
          </cell>
        </row>
        <row r="193">
          <cell r="A193" t="str">
            <v>Niger</v>
          </cell>
        </row>
        <row r="194">
          <cell r="A194" t="str">
            <v>Cape Verde</v>
          </cell>
        </row>
        <row r="195">
          <cell r="A195" t="str">
            <v>Suriname</v>
          </cell>
        </row>
        <row r="196">
          <cell r="A196" t="str">
            <v>Sierra Leone</v>
          </cell>
        </row>
        <row r="197">
          <cell r="A197" t="str">
            <v>Haiti</v>
          </cell>
        </row>
        <row r="198">
          <cell r="A198" t="str">
            <v>Kosovo</v>
          </cell>
        </row>
        <row r="199">
          <cell r="A199" t="str">
            <v>Rwanda</v>
          </cell>
        </row>
        <row r="200">
          <cell r="A200" t="str">
            <v>French Guiana</v>
          </cell>
        </row>
        <row r="201">
          <cell r="A201" t="str">
            <v>Somalia</v>
          </cell>
        </row>
        <row r="202">
          <cell r="A202" t="str">
            <v>CuraÃ§ao</v>
          </cell>
        </row>
        <row r="203">
          <cell r="A203" t="str">
            <v>Togo</v>
          </cell>
        </row>
        <row r="204">
          <cell r="A204" t="str">
            <v>Mozambique</v>
          </cell>
        </row>
        <row r="205">
          <cell r="A205" t="str">
            <v>Guinea</v>
          </cell>
        </row>
        <row r="206">
          <cell r="A206" t="str">
            <v>Mauritania</v>
          </cell>
        </row>
        <row r="207">
          <cell r="A207" t="str">
            <v>Mongolia</v>
          </cell>
        </row>
        <row r="208">
          <cell r="A208" t="str">
            <v>Gabon</v>
          </cell>
        </row>
        <row r="209">
          <cell r="A209" t="str">
            <v>Libya</v>
          </cell>
        </row>
        <row r="210">
          <cell r="A210" t="str">
            <v>Guadeloupe</v>
          </cell>
        </row>
        <row r="211">
          <cell r="A211" t="str">
            <v>Yemen</v>
          </cell>
        </row>
        <row r="212">
          <cell r="A212" t="str">
            <v>Martinique</v>
          </cell>
        </row>
        <row r="213">
          <cell r="A213" t="str">
            <v>Nicaragua</v>
          </cell>
        </row>
        <row r="214">
          <cell r="A214" t="str">
            <v>Angola</v>
          </cell>
        </row>
        <row r="215">
          <cell r="A215" t="str">
            <v>Anguilla</v>
          </cell>
        </row>
        <row r="216">
          <cell r="A216" t="str">
            <v>Ã…land Islands</v>
          </cell>
        </row>
        <row r="217">
          <cell r="A217" t="str">
            <v>Antarctica</v>
          </cell>
        </row>
        <row r="218">
          <cell r="A218" t="str">
            <v>French Southern Territories</v>
          </cell>
        </row>
        <row r="219">
          <cell r="A219" t="str">
            <v>Antigua &amp; Barbuda</v>
          </cell>
        </row>
        <row r="220">
          <cell r="A220" t="str">
            <v>St. BarthÃ©lemy</v>
          </cell>
        </row>
        <row r="221">
          <cell r="A221" t="str">
            <v>Bouvet Island</v>
          </cell>
        </row>
        <row r="222">
          <cell r="A222" t="str">
            <v>Central African Republic</v>
          </cell>
        </row>
        <row r="223">
          <cell r="A223" t="str">
            <v>Cocos (Keeling) Islands</v>
          </cell>
        </row>
        <row r="224">
          <cell r="A224" t="str">
            <v>Comoros</v>
          </cell>
        </row>
        <row r="225">
          <cell r="A225" t="str">
            <v>Christmas Island</v>
          </cell>
        </row>
        <row r="226">
          <cell r="A226" t="str">
            <v>Djibouti</v>
          </cell>
        </row>
        <row r="227">
          <cell r="A227" t="str">
            <v>Eritrea</v>
          </cell>
        </row>
        <row r="228">
          <cell r="A228" t="str">
            <v>Falkland Islands (Islas Malvinas)</v>
          </cell>
        </row>
        <row r="229">
          <cell r="A229" t="str">
            <v>Micronesia</v>
          </cell>
        </row>
        <row r="230">
          <cell r="A230" t="str">
            <v>Guinea-Bissau</v>
          </cell>
        </row>
        <row r="231">
          <cell r="A231" t="str">
            <v>Equatorial Guinea</v>
          </cell>
        </row>
        <row r="232">
          <cell r="A232" t="str">
            <v>Heard &amp; McDonald Islands</v>
          </cell>
        </row>
        <row r="233">
          <cell r="A233" t="str">
            <v>British Indian Ocean Territory</v>
          </cell>
        </row>
        <row r="234">
          <cell r="A234" t="str">
            <v>Kiribati</v>
          </cell>
        </row>
        <row r="235">
          <cell r="A235" t="str">
            <v>St. Kitts &amp; Nevis</v>
          </cell>
        </row>
        <row r="236">
          <cell r="A236" t="str">
            <v>St. Martin</v>
          </cell>
        </row>
        <row r="237">
          <cell r="A237" t="str">
            <v>Montserrat</v>
          </cell>
        </row>
        <row r="238">
          <cell r="A238" t="str">
            <v>Norfolk Island</v>
          </cell>
        </row>
        <row r="239">
          <cell r="A239" t="str">
            <v>Niue</v>
          </cell>
        </row>
        <row r="240">
          <cell r="A240" t="str">
            <v>Nauru</v>
          </cell>
        </row>
        <row r="241">
          <cell r="A241" t="str">
            <v>Pitcairn Islands</v>
          </cell>
        </row>
        <row r="242">
          <cell r="A242" t="str">
            <v>Palau</v>
          </cell>
        </row>
        <row r="243">
          <cell r="A243" t="str">
            <v>South Georgia &amp; South Sandwich Islands</v>
          </cell>
        </row>
        <row r="244">
          <cell r="A244" t="str">
            <v>Svalbard &amp; Jan Mayen</v>
          </cell>
        </row>
        <row r="245">
          <cell r="A245" t="str">
            <v>San Marino</v>
          </cell>
        </row>
        <row r="246">
          <cell r="A246" t="str">
            <v>St. Pierre &amp; Miquelon</v>
          </cell>
        </row>
        <row r="247">
          <cell r="A247" t="str">
            <v>SÃ£o TomÃ© &amp; PrÃ­ncipe</v>
          </cell>
        </row>
        <row r="248">
          <cell r="A248" t="str">
            <v>Tokelau</v>
          </cell>
        </row>
        <row r="249">
          <cell r="A249" t="str">
            <v>Timor-Leste</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1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9)"/>
    </sheetNames>
    <sheetDataSet>
      <sheetData sheetId="0">
        <row r="1">
          <cell r="A1" t="str">
            <v>Kategori: TÃ¼m kategoriler</v>
          </cell>
        </row>
        <row r="3">
          <cell r="A3" t="str">
            <v>Ãœlke</v>
          </cell>
          <cell r="B3" t="str">
            <v>Komut Ã§izelgesi: (2017)</v>
          </cell>
          <cell r="C3" t="str">
            <v>Lojistik Regresyon: (2017)</v>
          </cell>
        </row>
        <row r="4">
          <cell r="A4" t="str">
            <v>China</v>
          </cell>
          <cell r="B4">
            <v>0.62</v>
          </cell>
          <cell r="C4">
            <v>0.38</v>
          </cell>
        </row>
        <row r="5">
          <cell r="A5" t="str">
            <v>Ethiopia</v>
          </cell>
        </row>
        <row r="6">
          <cell r="A6" t="str">
            <v>South Korea</v>
          </cell>
          <cell r="B6">
            <v>0.6</v>
          </cell>
          <cell r="C6">
            <v>0.4</v>
          </cell>
        </row>
        <row r="7">
          <cell r="A7" t="str">
            <v>Malawi</v>
          </cell>
        </row>
        <row r="8">
          <cell r="A8" t="str">
            <v>India</v>
          </cell>
          <cell r="B8">
            <v>0.79</v>
          </cell>
          <cell r="C8">
            <v>0.21</v>
          </cell>
        </row>
        <row r="9">
          <cell r="A9" t="str">
            <v>Singapore</v>
          </cell>
          <cell r="B9">
            <v>0.59</v>
          </cell>
          <cell r="C9">
            <v>0.41</v>
          </cell>
        </row>
        <row r="10">
          <cell r="A10" t="str">
            <v>Israel</v>
          </cell>
          <cell r="B10">
            <v>0.75</v>
          </cell>
          <cell r="C10">
            <v>0.25</v>
          </cell>
        </row>
        <row r="11">
          <cell r="A11" t="str">
            <v>Ghana</v>
          </cell>
        </row>
        <row r="12">
          <cell r="A12" t="str">
            <v>St. Helena</v>
          </cell>
          <cell r="B12">
            <v>0.64</v>
          </cell>
          <cell r="C12">
            <v>0.36</v>
          </cell>
        </row>
        <row r="13">
          <cell r="A13" t="str">
            <v>Iceland</v>
          </cell>
        </row>
        <row r="14">
          <cell r="A14" t="str">
            <v>Estonia</v>
          </cell>
        </row>
        <row r="15">
          <cell r="A15" t="str">
            <v>Sri Lanka</v>
          </cell>
          <cell r="B15">
            <v>0.68</v>
          </cell>
          <cell r="C15">
            <v>0.32</v>
          </cell>
        </row>
        <row r="16">
          <cell r="A16" t="str">
            <v>Hong Kong</v>
          </cell>
          <cell r="B16">
            <v>0.48</v>
          </cell>
          <cell r="C16">
            <v>0.52</v>
          </cell>
        </row>
        <row r="17">
          <cell r="A17" t="str">
            <v>Zimbabwe</v>
          </cell>
        </row>
        <row r="18">
          <cell r="A18" t="str">
            <v>Uganda</v>
          </cell>
        </row>
        <row r="19">
          <cell r="A19" t="str">
            <v>United States</v>
          </cell>
          <cell r="B19">
            <v>0.56000000000000005</v>
          </cell>
          <cell r="C19">
            <v>0.44</v>
          </cell>
        </row>
        <row r="20">
          <cell r="A20" t="str">
            <v>Cameroon</v>
          </cell>
        </row>
        <row r="21">
          <cell r="A21" t="str">
            <v>Belarus</v>
          </cell>
        </row>
        <row r="22">
          <cell r="A22" t="str">
            <v>Luxembourg</v>
          </cell>
        </row>
        <row r="23">
          <cell r="A23" t="str">
            <v>Armenia</v>
          </cell>
        </row>
        <row r="24">
          <cell r="A24" t="str">
            <v>Ireland</v>
          </cell>
          <cell r="B24">
            <v>0.52</v>
          </cell>
          <cell r="C24">
            <v>0.48</v>
          </cell>
        </row>
        <row r="25">
          <cell r="A25" t="str">
            <v>Myanmar (Burma)</v>
          </cell>
        </row>
        <row r="26">
          <cell r="A26" t="str">
            <v>Denmark</v>
          </cell>
          <cell r="B26">
            <v>0.43</v>
          </cell>
          <cell r="C26">
            <v>0.56999999999999995</v>
          </cell>
        </row>
        <row r="27">
          <cell r="A27" t="str">
            <v>Netherlands</v>
          </cell>
          <cell r="B27">
            <v>0.36</v>
          </cell>
          <cell r="C27">
            <v>0.64</v>
          </cell>
        </row>
        <row r="28">
          <cell r="A28" t="str">
            <v>Tanzania</v>
          </cell>
          <cell r="C28">
            <v>1</v>
          </cell>
        </row>
        <row r="29">
          <cell r="A29" t="str">
            <v>Canada</v>
          </cell>
          <cell r="B29">
            <v>0.55000000000000004</v>
          </cell>
          <cell r="C29">
            <v>0.45</v>
          </cell>
        </row>
        <row r="30">
          <cell r="A30" t="str">
            <v>Sweden</v>
          </cell>
          <cell r="B30">
            <v>0.59</v>
          </cell>
          <cell r="C30">
            <v>0.41</v>
          </cell>
        </row>
        <row r="31">
          <cell r="A31" t="str">
            <v>Switzerland</v>
          </cell>
          <cell r="B31">
            <v>0.52</v>
          </cell>
          <cell r="C31">
            <v>0.48</v>
          </cell>
        </row>
        <row r="32">
          <cell r="A32" t="str">
            <v>Portugal</v>
          </cell>
          <cell r="B32">
            <v>0.66</v>
          </cell>
          <cell r="C32">
            <v>0.34</v>
          </cell>
        </row>
        <row r="33">
          <cell r="A33" t="str">
            <v>Malta</v>
          </cell>
        </row>
        <row r="34">
          <cell r="A34" t="str">
            <v>Zambia</v>
          </cell>
        </row>
        <row r="35">
          <cell r="A35" t="str">
            <v>Mauritius</v>
          </cell>
        </row>
        <row r="36">
          <cell r="A36" t="str">
            <v>Bulgaria</v>
          </cell>
        </row>
        <row r="37">
          <cell r="A37" t="str">
            <v>Nepal</v>
          </cell>
        </row>
        <row r="38">
          <cell r="A38" t="str">
            <v>North Macedonia</v>
          </cell>
        </row>
        <row r="39">
          <cell r="A39" t="str">
            <v>Czechia</v>
          </cell>
          <cell r="B39">
            <v>0.74</v>
          </cell>
          <cell r="C39">
            <v>0.26</v>
          </cell>
        </row>
        <row r="40">
          <cell r="A40" t="str">
            <v>Australia</v>
          </cell>
          <cell r="B40">
            <v>0.45</v>
          </cell>
          <cell r="C40">
            <v>0.55000000000000004</v>
          </cell>
        </row>
        <row r="41">
          <cell r="A41" t="str">
            <v>Taiwan</v>
          </cell>
          <cell r="B41">
            <v>0.5</v>
          </cell>
          <cell r="C41">
            <v>0.5</v>
          </cell>
        </row>
        <row r="42">
          <cell r="A42" t="str">
            <v>Norway</v>
          </cell>
          <cell r="B42">
            <v>0.55000000000000004</v>
          </cell>
          <cell r="C42">
            <v>0.45</v>
          </cell>
        </row>
        <row r="43">
          <cell r="A43" t="str">
            <v>Kenya</v>
          </cell>
        </row>
        <row r="44">
          <cell r="A44" t="str">
            <v>Germany</v>
          </cell>
          <cell r="B44">
            <v>0.59</v>
          </cell>
          <cell r="C44">
            <v>0.41</v>
          </cell>
        </row>
        <row r="45">
          <cell r="A45" t="str">
            <v>Finland</v>
          </cell>
          <cell r="B45">
            <v>0.52</v>
          </cell>
          <cell r="C45">
            <v>0.48</v>
          </cell>
        </row>
        <row r="46">
          <cell r="A46" t="str">
            <v>Slovenia</v>
          </cell>
        </row>
        <row r="47">
          <cell r="A47" t="str">
            <v>New Zealand</v>
          </cell>
          <cell r="B47">
            <v>0.53</v>
          </cell>
          <cell r="C47">
            <v>0.47</v>
          </cell>
        </row>
        <row r="48">
          <cell r="A48" t="str">
            <v>Romania</v>
          </cell>
          <cell r="B48">
            <v>0.86</v>
          </cell>
          <cell r="C48">
            <v>0.14000000000000001</v>
          </cell>
        </row>
        <row r="49">
          <cell r="A49" t="str">
            <v>Tunisia</v>
          </cell>
        </row>
        <row r="50">
          <cell r="A50" t="str">
            <v>Austria</v>
          </cell>
          <cell r="B50">
            <v>0.6</v>
          </cell>
          <cell r="C50">
            <v>0.4</v>
          </cell>
        </row>
        <row r="51">
          <cell r="A51" t="str">
            <v>Ukraine</v>
          </cell>
          <cell r="B51">
            <v>0.89</v>
          </cell>
          <cell r="C51">
            <v>0.11</v>
          </cell>
        </row>
        <row r="52">
          <cell r="A52" t="str">
            <v>Nigeria</v>
          </cell>
        </row>
        <row r="53">
          <cell r="A53" t="str">
            <v>Rwanda</v>
          </cell>
        </row>
        <row r="54">
          <cell r="A54" t="str">
            <v>Palestine</v>
          </cell>
        </row>
        <row r="55">
          <cell r="A55" t="str">
            <v>Serbia</v>
          </cell>
        </row>
        <row r="56">
          <cell r="A56" t="str">
            <v>Pakistan</v>
          </cell>
          <cell r="B56">
            <v>0.56999999999999995</v>
          </cell>
          <cell r="C56">
            <v>0.43</v>
          </cell>
        </row>
        <row r="57">
          <cell r="A57" t="str">
            <v>United Kingdom</v>
          </cell>
          <cell r="B57">
            <v>0.47</v>
          </cell>
          <cell r="C57">
            <v>0.53</v>
          </cell>
        </row>
        <row r="58">
          <cell r="A58" t="str">
            <v>Belgium</v>
          </cell>
          <cell r="B58">
            <v>0.47</v>
          </cell>
          <cell r="C58">
            <v>0.53</v>
          </cell>
        </row>
        <row r="59">
          <cell r="A59" t="str">
            <v>Lebanon</v>
          </cell>
        </row>
        <row r="60">
          <cell r="A60" t="str">
            <v>Russia</v>
          </cell>
          <cell r="B60">
            <v>0.75</v>
          </cell>
          <cell r="C60">
            <v>0.25</v>
          </cell>
        </row>
        <row r="61">
          <cell r="A61" t="str">
            <v>Japan</v>
          </cell>
          <cell r="B61">
            <v>0.55000000000000004</v>
          </cell>
          <cell r="C61">
            <v>0.45</v>
          </cell>
        </row>
        <row r="62">
          <cell r="A62" t="str">
            <v>Lithuania</v>
          </cell>
        </row>
        <row r="63">
          <cell r="A63" t="str">
            <v>Slovakia</v>
          </cell>
        </row>
        <row r="64">
          <cell r="A64" t="str">
            <v>Greece</v>
          </cell>
          <cell r="B64">
            <v>0.64</v>
          </cell>
          <cell r="C64">
            <v>0.36</v>
          </cell>
        </row>
        <row r="65">
          <cell r="A65" t="str">
            <v>Hungary</v>
          </cell>
          <cell r="B65">
            <v>0.76</v>
          </cell>
          <cell r="C65">
            <v>0.24</v>
          </cell>
        </row>
        <row r="66">
          <cell r="A66" t="str">
            <v>Poland</v>
          </cell>
          <cell r="B66">
            <v>0.73</v>
          </cell>
          <cell r="C66">
            <v>0.27</v>
          </cell>
        </row>
        <row r="67">
          <cell r="A67" t="str">
            <v>Laos</v>
          </cell>
        </row>
        <row r="68">
          <cell r="A68" t="str">
            <v>Cyprus</v>
          </cell>
        </row>
        <row r="69">
          <cell r="A69" t="str">
            <v>France</v>
          </cell>
          <cell r="B69">
            <v>0.63</v>
          </cell>
          <cell r="C69">
            <v>0.37</v>
          </cell>
        </row>
        <row r="70">
          <cell r="A70" t="str">
            <v>South Africa</v>
          </cell>
          <cell r="B70">
            <v>0.46</v>
          </cell>
          <cell r="C70">
            <v>0.54</v>
          </cell>
        </row>
        <row r="71">
          <cell r="A71" t="str">
            <v>Philippines</v>
          </cell>
          <cell r="B71">
            <v>0.53</v>
          </cell>
          <cell r="C71">
            <v>0.47</v>
          </cell>
        </row>
        <row r="72">
          <cell r="A72" t="str">
            <v>Malaysia</v>
          </cell>
          <cell r="B72">
            <v>0.42</v>
          </cell>
          <cell r="C72">
            <v>0.57999999999999996</v>
          </cell>
        </row>
        <row r="73">
          <cell r="A73" t="str">
            <v>Jordan</v>
          </cell>
        </row>
        <row r="74">
          <cell r="A74" t="str">
            <v>Latvia</v>
          </cell>
        </row>
        <row r="75">
          <cell r="A75" t="str">
            <v>Spain</v>
          </cell>
          <cell r="B75">
            <v>0.62</v>
          </cell>
          <cell r="C75">
            <v>0.38</v>
          </cell>
        </row>
        <row r="76">
          <cell r="A76" t="str">
            <v>Guatemala</v>
          </cell>
        </row>
        <row r="77">
          <cell r="A77" t="str">
            <v>Croatia</v>
          </cell>
        </row>
        <row r="78">
          <cell r="A78" t="str">
            <v>Albania</v>
          </cell>
        </row>
        <row r="79">
          <cell r="A79" t="str">
            <v>Costa Rica</v>
          </cell>
        </row>
        <row r="80">
          <cell r="A80" t="str">
            <v>Sudan</v>
          </cell>
        </row>
        <row r="81">
          <cell r="A81" t="str">
            <v>Indonesia</v>
          </cell>
          <cell r="B81">
            <v>0.21</v>
          </cell>
          <cell r="C81">
            <v>0.79</v>
          </cell>
        </row>
        <row r="82">
          <cell r="A82" t="str">
            <v>Bosnia &amp; Herzegovina</v>
          </cell>
        </row>
        <row r="83">
          <cell r="A83" t="str">
            <v>Kazakhstan</v>
          </cell>
        </row>
        <row r="84">
          <cell r="A84" t="str">
            <v>Chile</v>
          </cell>
          <cell r="B84">
            <v>0.41</v>
          </cell>
          <cell r="C84">
            <v>0.59</v>
          </cell>
        </row>
        <row r="85">
          <cell r="A85" t="str">
            <v>Vietnam</v>
          </cell>
          <cell r="B85">
            <v>0.79</v>
          </cell>
          <cell r="C85">
            <v>0.21</v>
          </cell>
        </row>
        <row r="86">
          <cell r="A86" t="str">
            <v>Bangladesh</v>
          </cell>
          <cell r="B86">
            <v>0.54</v>
          </cell>
          <cell r="C86">
            <v>0.46</v>
          </cell>
        </row>
        <row r="87">
          <cell r="A87" t="str">
            <v>Egypt</v>
          </cell>
          <cell r="B87">
            <v>0.72</v>
          </cell>
          <cell r="C87">
            <v>0.28000000000000003</v>
          </cell>
        </row>
        <row r="88">
          <cell r="A88" t="str">
            <v>Peru</v>
          </cell>
          <cell r="B88">
            <v>0.31</v>
          </cell>
          <cell r="C88">
            <v>0.69</v>
          </cell>
        </row>
        <row r="89">
          <cell r="A89" t="str">
            <v>Moldova</v>
          </cell>
        </row>
        <row r="90">
          <cell r="A90" t="str">
            <v>United Arab Emirates</v>
          </cell>
          <cell r="B90">
            <v>0.62</v>
          </cell>
          <cell r="C90">
            <v>0.38</v>
          </cell>
        </row>
        <row r="91">
          <cell r="A91" t="str">
            <v>Italy</v>
          </cell>
          <cell r="B91">
            <v>0.61</v>
          </cell>
          <cell r="C91">
            <v>0.39</v>
          </cell>
        </row>
        <row r="92">
          <cell r="A92" t="str">
            <v>Iran</v>
          </cell>
          <cell r="B92">
            <v>0.42</v>
          </cell>
          <cell r="C92">
            <v>0.57999999999999996</v>
          </cell>
        </row>
        <row r="93">
          <cell r="A93" t="str">
            <v>Jamaica</v>
          </cell>
        </row>
        <row r="94">
          <cell r="A94" t="str">
            <v>Thailand</v>
          </cell>
          <cell r="B94">
            <v>0.32</v>
          </cell>
          <cell r="C94">
            <v>0.68</v>
          </cell>
        </row>
        <row r="95">
          <cell r="A95" t="str">
            <v>Uruguay</v>
          </cell>
        </row>
        <row r="96">
          <cell r="A96" t="str">
            <v>Cambodia</v>
          </cell>
        </row>
        <row r="97">
          <cell r="A97" t="str">
            <v>Morocco</v>
          </cell>
          <cell r="B97">
            <v>0.62</v>
          </cell>
          <cell r="C97">
            <v>0.38</v>
          </cell>
        </row>
        <row r="98">
          <cell r="A98" t="str">
            <v>Colombia</v>
          </cell>
          <cell r="B98">
            <v>0.51</v>
          </cell>
          <cell r="C98">
            <v>0.49</v>
          </cell>
        </row>
        <row r="99">
          <cell r="A99" t="str">
            <v>Puerto Rico</v>
          </cell>
        </row>
        <row r="100">
          <cell r="A100" t="str">
            <v>Kosovo</v>
          </cell>
        </row>
        <row r="101">
          <cell r="A101" t="str">
            <v>Georgia</v>
          </cell>
        </row>
        <row r="102">
          <cell r="A102" t="str">
            <v>Qatar</v>
          </cell>
        </row>
        <row r="103">
          <cell r="A103" t="str">
            <v>Mexico</v>
          </cell>
          <cell r="B103">
            <v>0.6</v>
          </cell>
          <cell r="C103">
            <v>0.4</v>
          </cell>
        </row>
        <row r="104">
          <cell r="A104" t="str">
            <v>Ecuador</v>
          </cell>
        </row>
        <row r="105">
          <cell r="A105" t="str">
            <v>Argentina</v>
          </cell>
          <cell r="B105">
            <v>0.75</v>
          </cell>
          <cell r="C105">
            <v>0.25</v>
          </cell>
        </row>
        <row r="106">
          <cell r="A106" t="str">
            <v>Paraguay</v>
          </cell>
        </row>
        <row r="107">
          <cell r="A107" t="str">
            <v>Brazil</v>
          </cell>
          <cell r="B107">
            <v>0.62</v>
          </cell>
          <cell r="C107">
            <v>0.38</v>
          </cell>
        </row>
        <row r="108">
          <cell r="A108" t="str">
            <v>Uzbekistan</v>
          </cell>
        </row>
        <row r="109">
          <cell r="A109" t="str">
            <v>Syria</v>
          </cell>
        </row>
        <row r="110">
          <cell r="A110" t="str">
            <v>Turkey</v>
          </cell>
          <cell r="B110">
            <v>0.56999999999999995</v>
          </cell>
          <cell r="C110">
            <v>0.43</v>
          </cell>
        </row>
        <row r="111">
          <cell r="A111" t="str">
            <v>Azerbaijan</v>
          </cell>
        </row>
        <row r="112">
          <cell r="A112" t="str">
            <v>Bolivia</v>
          </cell>
        </row>
        <row r="113">
          <cell r="A113" t="str">
            <v>El Salvador</v>
          </cell>
        </row>
        <row r="114">
          <cell r="A114" t="str">
            <v>Saudi Arabia</v>
          </cell>
        </row>
        <row r="115">
          <cell r="A115" t="str">
            <v>Algeria</v>
          </cell>
        </row>
        <row r="116">
          <cell r="A116" t="str">
            <v>Iraq</v>
          </cell>
        </row>
        <row r="117">
          <cell r="A117" t="str">
            <v>Dominican Republic</v>
          </cell>
        </row>
        <row r="118">
          <cell r="A118" t="str">
            <v>Venezuela</v>
          </cell>
        </row>
        <row r="119">
          <cell r="A119" t="str">
            <v>Yemen</v>
          </cell>
        </row>
        <row r="120">
          <cell r="A120" t="str">
            <v>Caribbean Netherlands</v>
          </cell>
        </row>
        <row r="121">
          <cell r="A121" t="str">
            <v>San Marino</v>
          </cell>
        </row>
        <row r="122">
          <cell r="A122" t="str">
            <v>Monaco</v>
          </cell>
        </row>
        <row r="123">
          <cell r="A123" t="str">
            <v>Gibraltar</v>
          </cell>
        </row>
        <row r="124">
          <cell r="A124" t="str">
            <v>Liechtenstein</v>
          </cell>
        </row>
        <row r="125">
          <cell r="A125" t="str">
            <v>Grenada</v>
          </cell>
        </row>
        <row r="126">
          <cell r="A126" t="str">
            <v>Gambia</v>
          </cell>
        </row>
        <row r="127">
          <cell r="A127" t="str">
            <v>Cuba</v>
          </cell>
        </row>
        <row r="128">
          <cell r="A128" t="str">
            <v>Togo</v>
          </cell>
        </row>
        <row r="129">
          <cell r="A129" t="str">
            <v>Burundi</v>
          </cell>
        </row>
        <row r="130">
          <cell r="A130" t="str">
            <v>Jersey</v>
          </cell>
        </row>
        <row r="131">
          <cell r="A131" t="str">
            <v>Andorra</v>
          </cell>
        </row>
        <row r="132">
          <cell r="A132" t="str">
            <v>Bhutan</v>
          </cell>
        </row>
        <row r="133">
          <cell r="A133" t="str">
            <v>Maldives</v>
          </cell>
        </row>
        <row r="134">
          <cell r="A134" t="str">
            <v>Niger</v>
          </cell>
        </row>
        <row r="135">
          <cell r="A135" t="str">
            <v>Congo - Brazzaville</v>
          </cell>
        </row>
        <row r="136">
          <cell r="A136" t="str">
            <v>Liberia</v>
          </cell>
        </row>
        <row r="137">
          <cell r="A137" t="str">
            <v>Cape Verde</v>
          </cell>
        </row>
        <row r="138">
          <cell r="A138" t="str">
            <v>Botswana</v>
          </cell>
        </row>
        <row r="139">
          <cell r="A139" t="str">
            <v>New Caledonia</v>
          </cell>
        </row>
        <row r="140">
          <cell r="A140" t="str">
            <v>Guam</v>
          </cell>
        </row>
        <row r="141">
          <cell r="A141" t="str">
            <v>Madagascar</v>
          </cell>
        </row>
        <row r="142">
          <cell r="A142" t="str">
            <v>Isle of Man</v>
          </cell>
        </row>
        <row r="143">
          <cell r="A143" t="str">
            <v>Angola</v>
          </cell>
        </row>
        <row r="144">
          <cell r="A144" t="str">
            <v>Somalia</v>
          </cell>
        </row>
        <row r="145">
          <cell r="A145" t="str">
            <v>CuraÃ§ao</v>
          </cell>
        </row>
        <row r="146">
          <cell r="A146" t="str">
            <v>Mongolia</v>
          </cell>
        </row>
        <row r="147">
          <cell r="A147" t="str">
            <v>French Polynesia</v>
          </cell>
        </row>
        <row r="148">
          <cell r="A148" t="str">
            <v>Namibia</v>
          </cell>
        </row>
        <row r="149">
          <cell r="A149" t="str">
            <v>Belize</v>
          </cell>
        </row>
        <row r="150">
          <cell r="A150" t="str">
            <v>Brunei</v>
          </cell>
        </row>
        <row r="151">
          <cell r="A151" t="str">
            <v>Macao</v>
          </cell>
        </row>
        <row r="152">
          <cell r="A152" t="str">
            <v>Haiti</v>
          </cell>
        </row>
        <row r="153">
          <cell r="A153" t="str">
            <v>Turkmenistan</v>
          </cell>
        </row>
        <row r="154">
          <cell r="A154" t="str">
            <v>Papua New Guinea</v>
          </cell>
        </row>
        <row r="155">
          <cell r="A155" t="str">
            <v>Trinidad &amp; Tobago</v>
          </cell>
        </row>
        <row r="156">
          <cell r="A156" t="str">
            <v>Barbados</v>
          </cell>
        </row>
        <row r="157">
          <cell r="A157" t="str">
            <v>Fiji</v>
          </cell>
        </row>
        <row r="158">
          <cell r="A158" t="str">
            <v>Guyana</v>
          </cell>
        </row>
        <row r="159">
          <cell r="A159" t="str">
            <v>Kyrgyzstan</v>
          </cell>
        </row>
        <row r="160">
          <cell r="A160" t="str">
            <v>Benin</v>
          </cell>
        </row>
        <row r="161">
          <cell r="A161" t="str">
            <v>Suriname</v>
          </cell>
        </row>
        <row r="162">
          <cell r="A162" t="str">
            <v>Senegal</v>
          </cell>
        </row>
        <row r="163">
          <cell r="A163" t="str">
            <v>Oman</v>
          </cell>
        </row>
        <row r="164">
          <cell r="A164" t="str">
            <v>Bahamas</v>
          </cell>
        </row>
        <row r="165">
          <cell r="A165" t="str">
            <v>Burkina Faso</v>
          </cell>
        </row>
        <row r="166">
          <cell r="A166" t="str">
            <v>Congo - Kinshasa</v>
          </cell>
        </row>
        <row r="167">
          <cell r="A167" t="str">
            <v>Mozambique</v>
          </cell>
        </row>
        <row r="168">
          <cell r="A168" t="str">
            <v>Guadeloupe</v>
          </cell>
        </row>
        <row r="169">
          <cell r="A169" t="str">
            <v>Kuwait</v>
          </cell>
        </row>
        <row r="170">
          <cell r="A170" t="str">
            <v>Afghanistan</v>
          </cell>
        </row>
        <row r="171">
          <cell r="A171" t="str">
            <v>Bahrain</v>
          </cell>
        </row>
        <row r="172">
          <cell r="A172" t="str">
            <v>RÃ©union</v>
          </cell>
        </row>
        <row r="173">
          <cell r="A173" t="str">
            <v>Nicaragua</v>
          </cell>
        </row>
        <row r="174">
          <cell r="A174" t="str">
            <v>Montenegro</v>
          </cell>
        </row>
        <row r="175">
          <cell r="A175" t="str">
            <v>CÃ´te dâ€™Ivoire</v>
          </cell>
        </row>
        <row r="176">
          <cell r="A176" t="str">
            <v>Panama</v>
          </cell>
        </row>
        <row r="177">
          <cell r="A177" t="str">
            <v>Libya</v>
          </cell>
        </row>
        <row r="178">
          <cell r="A178" t="str">
            <v>Honduras</v>
          </cell>
        </row>
        <row r="179">
          <cell r="A179" t="str">
            <v>Aruba</v>
          </cell>
        </row>
        <row r="180">
          <cell r="A180" t="str">
            <v>Anguilla</v>
          </cell>
        </row>
        <row r="181">
          <cell r="A181" t="str">
            <v>Ã…land Islands</v>
          </cell>
        </row>
        <row r="182">
          <cell r="A182" t="str">
            <v>American Samoa</v>
          </cell>
        </row>
        <row r="183">
          <cell r="A183" t="str">
            <v>Antarctica</v>
          </cell>
        </row>
        <row r="184">
          <cell r="A184" t="str">
            <v>French Southern Territories</v>
          </cell>
        </row>
        <row r="185">
          <cell r="A185" t="str">
            <v>Antigua &amp; Barbuda</v>
          </cell>
        </row>
        <row r="186">
          <cell r="A186" t="str">
            <v>St. BarthÃ©lemy</v>
          </cell>
        </row>
        <row r="187">
          <cell r="A187" t="str">
            <v>Bermuda</v>
          </cell>
        </row>
        <row r="188">
          <cell r="A188" t="str">
            <v>Bouvet Island</v>
          </cell>
        </row>
        <row r="189">
          <cell r="A189" t="str">
            <v>Central African Republic</v>
          </cell>
        </row>
        <row r="190">
          <cell r="A190" t="str">
            <v>Cocos (Keeling) Islands</v>
          </cell>
        </row>
        <row r="191">
          <cell r="A191" t="str">
            <v>Cook Islands</v>
          </cell>
        </row>
        <row r="192">
          <cell r="A192" t="str">
            <v>Comoros</v>
          </cell>
        </row>
        <row r="193">
          <cell r="A193" t="str">
            <v>Christmas Island</v>
          </cell>
        </row>
        <row r="194">
          <cell r="A194" t="str">
            <v>Cayman Islands</v>
          </cell>
        </row>
        <row r="195">
          <cell r="A195" t="str">
            <v>Djibouti</v>
          </cell>
        </row>
        <row r="196">
          <cell r="A196" t="str">
            <v>Dominica</v>
          </cell>
        </row>
        <row r="197">
          <cell r="A197" t="str">
            <v>Eritrea</v>
          </cell>
        </row>
        <row r="198">
          <cell r="A198" t="str">
            <v>Western Sahara</v>
          </cell>
        </row>
        <row r="199">
          <cell r="A199" t="str">
            <v>Falkland Islands (Islas Malvinas)</v>
          </cell>
        </row>
        <row r="200">
          <cell r="A200" t="str">
            <v>Faroe Islands</v>
          </cell>
        </row>
        <row r="201">
          <cell r="A201" t="str">
            <v>Micronesia</v>
          </cell>
        </row>
        <row r="202">
          <cell r="A202" t="str">
            <v>Gabon</v>
          </cell>
        </row>
        <row r="203">
          <cell r="A203" t="str">
            <v>Guernsey</v>
          </cell>
        </row>
        <row r="204">
          <cell r="A204" t="str">
            <v>Guinea</v>
          </cell>
        </row>
        <row r="205">
          <cell r="A205" t="str">
            <v>Guinea-Bissau</v>
          </cell>
        </row>
        <row r="206">
          <cell r="A206" t="str">
            <v>Equatorial Guinea</v>
          </cell>
        </row>
        <row r="207">
          <cell r="A207" t="str">
            <v>Greenland</v>
          </cell>
        </row>
        <row r="208">
          <cell r="A208" t="str">
            <v>French Guiana</v>
          </cell>
        </row>
        <row r="209">
          <cell r="A209" t="str">
            <v>Heard &amp; McDonald Islands</v>
          </cell>
        </row>
        <row r="210">
          <cell r="A210" t="str">
            <v>British Indian Ocean Territory</v>
          </cell>
        </row>
        <row r="211">
          <cell r="A211" t="str">
            <v>Kiribati</v>
          </cell>
        </row>
        <row r="212">
          <cell r="A212" t="str">
            <v>St. Kitts &amp; Nevis</v>
          </cell>
        </row>
        <row r="213">
          <cell r="A213" t="str">
            <v>St. Lucia</v>
          </cell>
        </row>
        <row r="214">
          <cell r="A214" t="str">
            <v>Lesotho</v>
          </cell>
        </row>
        <row r="215">
          <cell r="A215" t="str">
            <v>St. Martin</v>
          </cell>
        </row>
        <row r="216">
          <cell r="A216" t="str">
            <v>Marshall Islands</v>
          </cell>
        </row>
        <row r="217">
          <cell r="A217" t="str">
            <v>Mali</v>
          </cell>
        </row>
        <row r="218">
          <cell r="A218" t="str">
            <v>Northern Mariana Islands</v>
          </cell>
        </row>
        <row r="219">
          <cell r="A219" t="str">
            <v>Mauritania</v>
          </cell>
        </row>
        <row r="220">
          <cell r="A220" t="str">
            <v>Montserrat</v>
          </cell>
        </row>
        <row r="221">
          <cell r="A221" t="str">
            <v>Martinique</v>
          </cell>
        </row>
        <row r="222">
          <cell r="A222" t="str">
            <v>Mayotte</v>
          </cell>
        </row>
        <row r="223">
          <cell r="A223" t="str">
            <v>Norfolk Island</v>
          </cell>
        </row>
        <row r="224">
          <cell r="A224" t="str">
            <v>Niue</v>
          </cell>
        </row>
        <row r="225">
          <cell r="A225" t="str">
            <v>Nauru</v>
          </cell>
        </row>
        <row r="226">
          <cell r="A226" t="str">
            <v>Pitcairn Islands</v>
          </cell>
        </row>
        <row r="227">
          <cell r="A227" t="str">
            <v>Palau</v>
          </cell>
        </row>
        <row r="228">
          <cell r="A228" t="str">
            <v>North Korea</v>
          </cell>
        </row>
        <row r="229">
          <cell r="A229" t="str">
            <v>South Georgia &amp; South Sandwich Islands</v>
          </cell>
        </row>
        <row r="230">
          <cell r="A230" t="str">
            <v>Svalbard &amp; Jan Mayen</v>
          </cell>
        </row>
        <row r="231">
          <cell r="A231" t="str">
            <v>Solomon Islands</v>
          </cell>
        </row>
        <row r="232">
          <cell r="A232" t="str">
            <v>Sierra Leone</v>
          </cell>
        </row>
        <row r="233">
          <cell r="A233" t="str">
            <v>St. Pierre &amp; Miquelon</v>
          </cell>
        </row>
        <row r="234">
          <cell r="A234" t="str">
            <v>South Sudan</v>
          </cell>
        </row>
        <row r="235">
          <cell r="A235" t="str">
            <v>SÃ£o TomÃ© &amp; PrÃ­ncipe</v>
          </cell>
        </row>
        <row r="236">
          <cell r="A236" t="str">
            <v>Eswatini</v>
          </cell>
        </row>
        <row r="237">
          <cell r="A237" t="str">
            <v>Sint Maarten</v>
          </cell>
        </row>
        <row r="238">
          <cell r="A238" t="str">
            <v>Seychelles</v>
          </cell>
        </row>
        <row r="239">
          <cell r="A239" t="str">
            <v>Turks &amp; Caicos Islands</v>
          </cell>
        </row>
        <row r="240">
          <cell r="A240" t="str">
            <v>Chad</v>
          </cell>
        </row>
        <row r="241">
          <cell r="A241" t="str">
            <v>Tajikistan</v>
          </cell>
        </row>
        <row r="242">
          <cell r="A242" t="str">
            <v>Tokelau</v>
          </cell>
        </row>
        <row r="243">
          <cell r="A243" t="str">
            <v>Timor-Leste</v>
          </cell>
        </row>
        <row r="244">
          <cell r="A244" t="str">
            <v>Tonga</v>
          </cell>
        </row>
        <row r="245">
          <cell r="A245" t="str">
            <v>Tuvalu</v>
          </cell>
        </row>
        <row r="246">
          <cell r="A246" t="str">
            <v>U.S. Outlying Islands</v>
          </cell>
        </row>
        <row r="247">
          <cell r="A247" t="str">
            <v>Vatican City</v>
          </cell>
        </row>
        <row r="248">
          <cell r="A248" t="str">
            <v>St. Vincent &amp; Grenadines</v>
          </cell>
        </row>
        <row r="249">
          <cell r="A249" t="str">
            <v>British Virgin Islands</v>
          </cell>
        </row>
        <row r="250">
          <cell r="A250" t="str">
            <v>U.S. Virgin Islands</v>
          </cell>
        </row>
        <row r="251">
          <cell r="A251" t="str">
            <v>Vanuatu</v>
          </cell>
        </row>
        <row r="252">
          <cell r="A252" t="str">
            <v>Wallis &amp; Futuna</v>
          </cell>
        </row>
        <row r="253">
          <cell r="A253" t="str">
            <v>Samoa</v>
          </cell>
        </row>
      </sheetData>
    </sheetDataSet>
  </externalBook>
</externalLink>
</file>

<file path=xl/externalLinks/externalLink1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20)"/>
    </sheetNames>
    <sheetDataSet>
      <sheetData sheetId="0">
        <row r="1">
          <cell r="A1" t="str">
            <v>Kategori: TÃ¼m kategoriler</v>
          </cell>
        </row>
        <row r="3">
          <cell r="A3" t="str">
            <v>Ãœlke</v>
          </cell>
          <cell r="B3" t="str">
            <v>Lojistik Regresyon: (2017)</v>
          </cell>
          <cell r="C3" t="str">
            <v>Design thinking: (2017)</v>
          </cell>
        </row>
        <row r="4">
          <cell r="A4" t="str">
            <v>China</v>
          </cell>
          <cell r="B4">
            <v>0.89</v>
          </cell>
          <cell r="C4">
            <v>0.11</v>
          </cell>
        </row>
        <row r="5">
          <cell r="A5" t="str">
            <v>Ethiopia</v>
          </cell>
          <cell r="B5">
            <v>1</v>
          </cell>
        </row>
        <row r="6">
          <cell r="A6" t="str">
            <v>Malawi</v>
          </cell>
        </row>
        <row r="7">
          <cell r="A7" t="str">
            <v>Singapore</v>
          </cell>
          <cell r="B7">
            <v>0.4</v>
          </cell>
          <cell r="C7">
            <v>0.6</v>
          </cell>
        </row>
        <row r="8">
          <cell r="A8" t="str">
            <v>South Korea</v>
          </cell>
          <cell r="B8">
            <v>0.78</v>
          </cell>
          <cell r="C8">
            <v>0.22</v>
          </cell>
        </row>
        <row r="9">
          <cell r="A9" t="str">
            <v>Rwanda</v>
          </cell>
        </row>
        <row r="10">
          <cell r="A10" t="str">
            <v>Ghana</v>
          </cell>
        </row>
        <row r="11">
          <cell r="A11" t="str">
            <v>Zimbabwe</v>
          </cell>
        </row>
        <row r="12">
          <cell r="A12" t="str">
            <v>Peru</v>
          </cell>
          <cell r="B12">
            <v>0.19</v>
          </cell>
          <cell r="C12">
            <v>0.81</v>
          </cell>
        </row>
        <row r="13">
          <cell r="A13" t="str">
            <v>Hong Kong</v>
          </cell>
          <cell r="B13">
            <v>0.65</v>
          </cell>
          <cell r="C13">
            <v>0.35</v>
          </cell>
        </row>
        <row r="14">
          <cell r="A14" t="str">
            <v>Uganda</v>
          </cell>
        </row>
        <row r="15">
          <cell r="A15" t="str">
            <v>Zambia</v>
          </cell>
        </row>
        <row r="16">
          <cell r="A16" t="str">
            <v>St. Helena</v>
          </cell>
          <cell r="B16">
            <v>0.4</v>
          </cell>
          <cell r="C16">
            <v>0.6</v>
          </cell>
        </row>
        <row r="17">
          <cell r="A17" t="str">
            <v>Switzerland</v>
          </cell>
          <cell r="B17">
            <v>0.46</v>
          </cell>
          <cell r="C17">
            <v>0.54</v>
          </cell>
        </row>
        <row r="18">
          <cell r="A18" t="str">
            <v>Ireland</v>
          </cell>
          <cell r="B18">
            <v>0.63</v>
          </cell>
          <cell r="C18">
            <v>0.37</v>
          </cell>
        </row>
        <row r="19">
          <cell r="A19" t="str">
            <v>Denmark</v>
          </cell>
          <cell r="B19">
            <v>0.54</v>
          </cell>
          <cell r="C19">
            <v>0.46</v>
          </cell>
        </row>
        <row r="20">
          <cell r="A20" t="str">
            <v>Netherlands</v>
          </cell>
          <cell r="B20">
            <v>0.56999999999999995</v>
          </cell>
          <cell r="C20">
            <v>0.43</v>
          </cell>
        </row>
        <row r="21">
          <cell r="A21" t="str">
            <v>Tanzania</v>
          </cell>
          <cell r="B21">
            <v>1</v>
          </cell>
        </row>
        <row r="22">
          <cell r="A22" t="str">
            <v>Germany</v>
          </cell>
          <cell r="B22">
            <v>0.35</v>
          </cell>
          <cell r="C22">
            <v>0.65</v>
          </cell>
        </row>
        <row r="23">
          <cell r="A23" t="str">
            <v>United States</v>
          </cell>
          <cell r="B23">
            <v>0.72</v>
          </cell>
          <cell r="C23">
            <v>0.28000000000000003</v>
          </cell>
        </row>
        <row r="24">
          <cell r="A24" t="str">
            <v>New Zealand</v>
          </cell>
          <cell r="B24">
            <v>0.4</v>
          </cell>
          <cell r="C24">
            <v>0.6</v>
          </cell>
        </row>
        <row r="25">
          <cell r="A25" t="str">
            <v>Mauritius</v>
          </cell>
        </row>
        <row r="26">
          <cell r="A26" t="str">
            <v>Nepal</v>
          </cell>
        </row>
        <row r="27">
          <cell r="A27" t="str">
            <v>Australia</v>
          </cell>
          <cell r="B27">
            <v>0.47</v>
          </cell>
          <cell r="C27">
            <v>0.53</v>
          </cell>
        </row>
        <row r="28">
          <cell r="A28" t="str">
            <v>Iceland</v>
          </cell>
        </row>
        <row r="29">
          <cell r="A29" t="str">
            <v>Brazil</v>
          </cell>
          <cell r="B29">
            <v>0.13</v>
          </cell>
          <cell r="C29">
            <v>0.87</v>
          </cell>
        </row>
        <row r="30">
          <cell r="A30" t="str">
            <v>Kenya</v>
          </cell>
          <cell r="B30">
            <v>0.71</v>
          </cell>
          <cell r="C30">
            <v>0.28999999999999998</v>
          </cell>
        </row>
        <row r="31">
          <cell r="A31" t="str">
            <v>Canada</v>
          </cell>
          <cell r="B31">
            <v>0.59</v>
          </cell>
          <cell r="C31">
            <v>0.41</v>
          </cell>
        </row>
        <row r="32">
          <cell r="A32" t="str">
            <v>Taiwan</v>
          </cell>
          <cell r="B32">
            <v>0.56000000000000005</v>
          </cell>
          <cell r="C32">
            <v>0.44</v>
          </cell>
        </row>
        <row r="33">
          <cell r="A33" t="str">
            <v>Colombia</v>
          </cell>
          <cell r="B33">
            <v>0.28000000000000003</v>
          </cell>
          <cell r="C33">
            <v>0.72</v>
          </cell>
        </row>
        <row r="34">
          <cell r="A34" t="str">
            <v>Finland</v>
          </cell>
          <cell r="B34">
            <v>0.59</v>
          </cell>
          <cell r="C34">
            <v>0.41</v>
          </cell>
        </row>
        <row r="35">
          <cell r="A35" t="str">
            <v>Sri Lanka</v>
          </cell>
        </row>
        <row r="36">
          <cell r="A36" t="str">
            <v>Estonia</v>
          </cell>
        </row>
        <row r="37">
          <cell r="A37" t="str">
            <v>Nigeria</v>
          </cell>
          <cell r="B37">
            <v>0.82</v>
          </cell>
          <cell r="C37">
            <v>0.18</v>
          </cell>
        </row>
        <row r="38">
          <cell r="A38" t="str">
            <v>India</v>
          </cell>
          <cell r="B38">
            <v>0.64</v>
          </cell>
          <cell r="C38">
            <v>0.36</v>
          </cell>
        </row>
        <row r="39">
          <cell r="A39" t="str">
            <v>Sweden</v>
          </cell>
          <cell r="B39">
            <v>0.69</v>
          </cell>
          <cell r="C39">
            <v>0.31</v>
          </cell>
        </row>
        <row r="40">
          <cell r="A40" t="str">
            <v>United Arab Emirates</v>
          </cell>
          <cell r="B40">
            <v>0.26</v>
          </cell>
          <cell r="C40">
            <v>0.74</v>
          </cell>
        </row>
        <row r="41">
          <cell r="A41" t="str">
            <v>Chile</v>
          </cell>
          <cell r="B41">
            <v>0.38</v>
          </cell>
          <cell r="C41">
            <v>0.62</v>
          </cell>
        </row>
        <row r="42">
          <cell r="A42" t="str">
            <v>United Kingdom</v>
          </cell>
          <cell r="B42">
            <v>0.72</v>
          </cell>
          <cell r="C42">
            <v>0.28000000000000003</v>
          </cell>
        </row>
        <row r="43">
          <cell r="A43" t="str">
            <v>Sudan</v>
          </cell>
        </row>
        <row r="44">
          <cell r="A44" t="str">
            <v>Austria</v>
          </cell>
          <cell r="B44">
            <v>0.4</v>
          </cell>
          <cell r="C44">
            <v>0.6</v>
          </cell>
        </row>
        <row r="45">
          <cell r="A45" t="str">
            <v>Belgium</v>
          </cell>
          <cell r="B45">
            <v>0.67</v>
          </cell>
          <cell r="C45">
            <v>0.33</v>
          </cell>
        </row>
        <row r="46">
          <cell r="A46" t="str">
            <v>Norway</v>
          </cell>
          <cell r="B46">
            <v>0.48</v>
          </cell>
          <cell r="C46">
            <v>0.52</v>
          </cell>
        </row>
        <row r="47">
          <cell r="A47" t="str">
            <v>Cameroon</v>
          </cell>
        </row>
        <row r="48">
          <cell r="A48" t="str">
            <v>Israel</v>
          </cell>
          <cell r="B48">
            <v>0.8</v>
          </cell>
          <cell r="C48">
            <v>0.2</v>
          </cell>
        </row>
        <row r="49">
          <cell r="A49" t="str">
            <v>Portugal</v>
          </cell>
          <cell r="B49">
            <v>0.43</v>
          </cell>
          <cell r="C49">
            <v>0.56999999999999995</v>
          </cell>
        </row>
        <row r="50">
          <cell r="A50" t="str">
            <v>Lebanon</v>
          </cell>
        </row>
        <row r="51">
          <cell r="A51" t="str">
            <v>Ecuador</v>
          </cell>
        </row>
        <row r="52">
          <cell r="A52" t="str">
            <v>Pakistan</v>
          </cell>
          <cell r="B52">
            <v>0.8</v>
          </cell>
          <cell r="C52">
            <v>0.2</v>
          </cell>
        </row>
        <row r="53">
          <cell r="A53" t="str">
            <v>Laos</v>
          </cell>
        </row>
        <row r="54">
          <cell r="A54" t="str">
            <v>South Africa</v>
          </cell>
          <cell r="B54">
            <v>0.52</v>
          </cell>
          <cell r="C54">
            <v>0.48</v>
          </cell>
        </row>
        <row r="55">
          <cell r="A55" t="str">
            <v>Malaysia</v>
          </cell>
          <cell r="B55">
            <v>0.5</v>
          </cell>
          <cell r="C55">
            <v>0.5</v>
          </cell>
        </row>
        <row r="56">
          <cell r="A56" t="str">
            <v>Guatemala</v>
          </cell>
          <cell r="C56">
            <v>1</v>
          </cell>
        </row>
        <row r="57">
          <cell r="A57" t="str">
            <v>Nicaragua</v>
          </cell>
        </row>
        <row r="58">
          <cell r="A58" t="str">
            <v>Japan</v>
          </cell>
          <cell r="B58">
            <v>0.57999999999999996</v>
          </cell>
          <cell r="C58">
            <v>0.42</v>
          </cell>
        </row>
        <row r="59">
          <cell r="A59" t="str">
            <v>Honduras</v>
          </cell>
        </row>
        <row r="60">
          <cell r="A60" t="str">
            <v>Spain</v>
          </cell>
          <cell r="B60">
            <v>0.38</v>
          </cell>
          <cell r="C60">
            <v>0.62</v>
          </cell>
        </row>
        <row r="61">
          <cell r="A61" t="str">
            <v>Armenia</v>
          </cell>
        </row>
        <row r="62">
          <cell r="A62" t="str">
            <v>Mexico</v>
          </cell>
          <cell r="B62">
            <v>0.25</v>
          </cell>
          <cell r="C62">
            <v>0.75</v>
          </cell>
        </row>
        <row r="63">
          <cell r="A63" t="str">
            <v>France</v>
          </cell>
          <cell r="B63">
            <v>0.4</v>
          </cell>
          <cell r="C63">
            <v>0.6</v>
          </cell>
        </row>
        <row r="64">
          <cell r="A64" t="str">
            <v>Slovenia</v>
          </cell>
        </row>
        <row r="65">
          <cell r="A65" t="str">
            <v>Uruguay</v>
          </cell>
        </row>
        <row r="66">
          <cell r="A66" t="str">
            <v>Costa Rica</v>
          </cell>
        </row>
        <row r="67">
          <cell r="A67" t="str">
            <v>El Salvador</v>
          </cell>
        </row>
        <row r="68">
          <cell r="A68" t="str">
            <v>Indonesia</v>
          </cell>
          <cell r="B68">
            <v>0.81</v>
          </cell>
          <cell r="C68">
            <v>0.19</v>
          </cell>
        </row>
        <row r="69">
          <cell r="A69" t="str">
            <v>Philippines</v>
          </cell>
          <cell r="B69">
            <v>0.55000000000000004</v>
          </cell>
          <cell r="C69">
            <v>0.45</v>
          </cell>
        </row>
        <row r="70">
          <cell r="A70" t="str">
            <v>Jamaica</v>
          </cell>
        </row>
        <row r="71">
          <cell r="A71" t="str">
            <v>Bangladesh</v>
          </cell>
        </row>
        <row r="72">
          <cell r="A72" t="str">
            <v>Cyprus</v>
          </cell>
        </row>
        <row r="73">
          <cell r="A73" t="str">
            <v>Iran</v>
          </cell>
          <cell r="B73">
            <v>0.82</v>
          </cell>
          <cell r="C73">
            <v>0.18</v>
          </cell>
        </row>
        <row r="74">
          <cell r="A74" t="str">
            <v>Tunisia</v>
          </cell>
        </row>
        <row r="75">
          <cell r="A75" t="str">
            <v>Thailand</v>
          </cell>
          <cell r="B75">
            <v>0.57999999999999996</v>
          </cell>
          <cell r="C75">
            <v>0.42</v>
          </cell>
        </row>
        <row r="76">
          <cell r="A76" t="str">
            <v>Qatar</v>
          </cell>
        </row>
        <row r="77">
          <cell r="A77" t="str">
            <v>Czechia</v>
          </cell>
          <cell r="B77">
            <v>0.62</v>
          </cell>
          <cell r="C77">
            <v>0.38</v>
          </cell>
        </row>
        <row r="78">
          <cell r="A78" t="str">
            <v>Puerto Rico</v>
          </cell>
        </row>
        <row r="79">
          <cell r="A79" t="str">
            <v>Paraguay</v>
          </cell>
        </row>
        <row r="80">
          <cell r="A80" t="str">
            <v>Lithuania</v>
          </cell>
        </row>
        <row r="81">
          <cell r="A81" t="str">
            <v>Greece</v>
          </cell>
        </row>
        <row r="82">
          <cell r="A82" t="str">
            <v>Poland</v>
          </cell>
          <cell r="B82">
            <v>0.39</v>
          </cell>
          <cell r="C82">
            <v>0.61</v>
          </cell>
        </row>
        <row r="83">
          <cell r="A83" t="str">
            <v>Panama</v>
          </cell>
        </row>
        <row r="84">
          <cell r="A84" t="str">
            <v>Jordan</v>
          </cell>
        </row>
        <row r="85">
          <cell r="A85" t="str">
            <v>Argentina</v>
          </cell>
          <cell r="B85">
            <v>0.27</v>
          </cell>
          <cell r="C85">
            <v>0.73</v>
          </cell>
        </row>
        <row r="86">
          <cell r="A86" t="str">
            <v>Croatia</v>
          </cell>
        </row>
        <row r="87">
          <cell r="A87" t="str">
            <v>Dominican Republic</v>
          </cell>
        </row>
        <row r="88">
          <cell r="A88" t="str">
            <v>Russia</v>
          </cell>
          <cell r="B88">
            <v>0.65</v>
          </cell>
          <cell r="C88">
            <v>0.35</v>
          </cell>
        </row>
        <row r="89">
          <cell r="A89" t="str">
            <v>Italy</v>
          </cell>
          <cell r="B89">
            <v>0.55000000000000004</v>
          </cell>
          <cell r="C89">
            <v>0.45</v>
          </cell>
        </row>
        <row r="90">
          <cell r="A90" t="str">
            <v>Morocco</v>
          </cell>
          <cell r="B90">
            <v>0.53</v>
          </cell>
          <cell r="C90">
            <v>0.47</v>
          </cell>
        </row>
        <row r="91">
          <cell r="A91" t="str">
            <v>Hungary</v>
          </cell>
          <cell r="B91">
            <v>0.54</v>
          </cell>
          <cell r="C91">
            <v>0.46</v>
          </cell>
        </row>
        <row r="92">
          <cell r="A92" t="str">
            <v>Serbia</v>
          </cell>
        </row>
        <row r="93">
          <cell r="A93" t="str">
            <v>Slovakia</v>
          </cell>
        </row>
        <row r="94">
          <cell r="A94" t="str">
            <v>Kuwait</v>
          </cell>
        </row>
        <row r="95">
          <cell r="A95" t="str">
            <v>Bolivia</v>
          </cell>
        </row>
        <row r="96">
          <cell r="A96" t="str">
            <v>Bulgaria</v>
          </cell>
        </row>
        <row r="97">
          <cell r="A97" t="str">
            <v>Romania</v>
          </cell>
          <cell r="B97">
            <v>0.45</v>
          </cell>
          <cell r="C97">
            <v>0.55000000000000004</v>
          </cell>
        </row>
        <row r="98">
          <cell r="A98" t="str">
            <v>Turkey</v>
          </cell>
          <cell r="B98">
            <v>0.71</v>
          </cell>
          <cell r="C98">
            <v>0.28999999999999998</v>
          </cell>
        </row>
        <row r="99">
          <cell r="A99" t="str">
            <v>Egypt</v>
          </cell>
          <cell r="B99">
            <v>0.56999999999999995</v>
          </cell>
          <cell r="C99">
            <v>0.43</v>
          </cell>
        </row>
        <row r="100">
          <cell r="A100" t="str">
            <v>Ukraine</v>
          </cell>
          <cell r="B100">
            <v>0.41</v>
          </cell>
          <cell r="C100">
            <v>0.59</v>
          </cell>
        </row>
        <row r="101">
          <cell r="A101" t="str">
            <v>Saudi Arabia</v>
          </cell>
          <cell r="B101">
            <v>0.59</v>
          </cell>
          <cell r="C101">
            <v>0.41</v>
          </cell>
        </row>
        <row r="102">
          <cell r="A102" t="str">
            <v>Iraq</v>
          </cell>
        </row>
        <row r="103">
          <cell r="A103" t="str">
            <v>Algeria</v>
          </cell>
        </row>
        <row r="104">
          <cell r="A104" t="str">
            <v>Kazakhstan</v>
          </cell>
        </row>
        <row r="105">
          <cell r="A105" t="str">
            <v>Belarus</v>
          </cell>
        </row>
        <row r="106">
          <cell r="A106" t="str">
            <v>Vietnam</v>
          </cell>
          <cell r="B106">
            <v>0.72</v>
          </cell>
          <cell r="C106">
            <v>0.28000000000000003</v>
          </cell>
        </row>
        <row r="107">
          <cell r="A107" t="str">
            <v>Venezuela</v>
          </cell>
        </row>
        <row r="108">
          <cell r="A108" t="str">
            <v>Marshall Islands</v>
          </cell>
        </row>
        <row r="109">
          <cell r="A109" t="str">
            <v>Central African Republic</v>
          </cell>
        </row>
        <row r="110">
          <cell r="A110" t="str">
            <v>St. Kitts &amp; Nevis</v>
          </cell>
        </row>
        <row r="111">
          <cell r="A111" t="str">
            <v>St. Vincent &amp; Grenadines</v>
          </cell>
        </row>
        <row r="112">
          <cell r="A112" t="str">
            <v>Eswatini</v>
          </cell>
        </row>
        <row r="113">
          <cell r="A113" t="str">
            <v>Gambia</v>
          </cell>
        </row>
        <row r="114">
          <cell r="A114" t="str">
            <v>Benin</v>
          </cell>
        </row>
        <row r="115">
          <cell r="A115" t="str">
            <v>Botswana</v>
          </cell>
        </row>
        <row r="116">
          <cell r="A116" t="str">
            <v>U.S. Virgin Islands</v>
          </cell>
        </row>
        <row r="117">
          <cell r="A117" t="str">
            <v>Liechtenstein</v>
          </cell>
        </row>
        <row r="118">
          <cell r="A118" t="str">
            <v>Cuba</v>
          </cell>
        </row>
        <row r="119">
          <cell r="A119" t="str">
            <v>Mauritania</v>
          </cell>
        </row>
        <row r="120">
          <cell r="A120" t="str">
            <v>Papua New Guinea</v>
          </cell>
        </row>
        <row r="121">
          <cell r="A121" t="str">
            <v>Lesotho</v>
          </cell>
        </row>
        <row r="122">
          <cell r="A122" t="str">
            <v>Sierra Leone</v>
          </cell>
        </row>
        <row r="123">
          <cell r="A123" t="str">
            <v>Chad</v>
          </cell>
        </row>
        <row r="124">
          <cell r="A124" t="str">
            <v>Madagascar</v>
          </cell>
        </row>
        <row r="125">
          <cell r="A125" t="str">
            <v>St. Lucia</v>
          </cell>
        </row>
        <row r="126">
          <cell r="A126" t="str">
            <v>Senegal</v>
          </cell>
        </row>
        <row r="127">
          <cell r="A127" t="str">
            <v>Fiji</v>
          </cell>
        </row>
        <row r="128">
          <cell r="A128" t="str">
            <v>Togo</v>
          </cell>
        </row>
        <row r="129">
          <cell r="A129" t="str">
            <v>Guyana</v>
          </cell>
        </row>
        <row r="130">
          <cell r="A130" t="str">
            <v>Luxembourg</v>
          </cell>
        </row>
        <row r="131">
          <cell r="A131" t="str">
            <v>Burundi</v>
          </cell>
        </row>
        <row r="132">
          <cell r="A132" t="str">
            <v>Namibia</v>
          </cell>
        </row>
        <row r="133">
          <cell r="A133" t="str">
            <v>Malta</v>
          </cell>
        </row>
        <row r="134">
          <cell r="A134" t="str">
            <v>Aruba</v>
          </cell>
        </row>
        <row r="135">
          <cell r="A135" t="str">
            <v>Niger</v>
          </cell>
        </row>
        <row r="136">
          <cell r="A136" t="str">
            <v>Liberia</v>
          </cell>
        </row>
        <row r="137">
          <cell r="A137" t="str">
            <v>Congo - Brazzaville</v>
          </cell>
        </row>
        <row r="138">
          <cell r="A138" t="str">
            <v>Macao</v>
          </cell>
        </row>
        <row r="139">
          <cell r="A139" t="str">
            <v>Burkina Faso</v>
          </cell>
        </row>
        <row r="140">
          <cell r="A140" t="str">
            <v>Mozambique</v>
          </cell>
        </row>
        <row r="141">
          <cell r="A141" t="str">
            <v>Isle of Man</v>
          </cell>
        </row>
        <row r="142">
          <cell r="A142" t="str">
            <v>CuraÃ§ao</v>
          </cell>
        </row>
        <row r="143">
          <cell r="A143" t="str">
            <v>CÃ´te dâ€™Ivoire</v>
          </cell>
        </row>
        <row r="144">
          <cell r="A144" t="str">
            <v>Myanmar (Burma)</v>
          </cell>
        </row>
        <row r="145">
          <cell r="A145" t="str">
            <v>Somalia</v>
          </cell>
        </row>
        <row r="146">
          <cell r="A146" t="str">
            <v>Guam</v>
          </cell>
        </row>
        <row r="147">
          <cell r="A147" t="str">
            <v>Albania</v>
          </cell>
        </row>
        <row r="148">
          <cell r="A148" t="str">
            <v>Jersey</v>
          </cell>
        </row>
        <row r="149">
          <cell r="A149" t="str">
            <v>Brunei</v>
          </cell>
        </row>
        <row r="150">
          <cell r="A150" t="str">
            <v>Barbados</v>
          </cell>
        </row>
        <row r="151">
          <cell r="A151" t="str">
            <v>Haiti</v>
          </cell>
        </row>
        <row r="152">
          <cell r="A152" t="str">
            <v>Gabon</v>
          </cell>
        </row>
        <row r="153">
          <cell r="A153" t="str">
            <v>Congo - Kinshasa</v>
          </cell>
        </row>
        <row r="154">
          <cell r="A154" t="str">
            <v>Afghanistan</v>
          </cell>
        </row>
        <row r="155">
          <cell r="A155" t="str">
            <v>Trinidad &amp; Tobago</v>
          </cell>
        </row>
        <row r="156">
          <cell r="A156" t="str">
            <v>Mongolia</v>
          </cell>
        </row>
        <row r="157">
          <cell r="A157" t="str">
            <v>Suriname</v>
          </cell>
        </row>
        <row r="158">
          <cell r="A158" t="str">
            <v>Palestine</v>
          </cell>
        </row>
        <row r="159">
          <cell r="A159" t="str">
            <v>Mali</v>
          </cell>
        </row>
        <row r="160">
          <cell r="A160" t="str">
            <v>Latvia</v>
          </cell>
        </row>
        <row r="161">
          <cell r="A161" t="str">
            <v>Guinea</v>
          </cell>
        </row>
        <row r="162">
          <cell r="A162" t="str">
            <v>Libya</v>
          </cell>
        </row>
        <row r="163">
          <cell r="A163" t="str">
            <v>Bahamas</v>
          </cell>
        </row>
        <row r="164">
          <cell r="A164" t="str">
            <v>Martinique</v>
          </cell>
        </row>
        <row r="165">
          <cell r="A165" t="str">
            <v>Guadeloupe</v>
          </cell>
        </row>
        <row r="166">
          <cell r="A166" t="str">
            <v>North Macedonia</v>
          </cell>
        </row>
        <row r="167">
          <cell r="A167" t="str">
            <v>Cambodia</v>
          </cell>
        </row>
        <row r="168">
          <cell r="A168" t="str">
            <v>Angola</v>
          </cell>
        </row>
        <row r="169">
          <cell r="A169" t="str">
            <v>Oman</v>
          </cell>
        </row>
        <row r="170">
          <cell r="A170" t="str">
            <v>Montenegro</v>
          </cell>
        </row>
        <row r="171">
          <cell r="A171" t="str">
            <v>Georgia</v>
          </cell>
        </row>
        <row r="172">
          <cell r="A172" t="str">
            <v>Kosovo</v>
          </cell>
        </row>
        <row r="173">
          <cell r="A173" t="str">
            <v>Bahrain</v>
          </cell>
        </row>
        <row r="174">
          <cell r="A174" t="str">
            <v>Uzbekistan</v>
          </cell>
        </row>
        <row r="175">
          <cell r="A175" t="str">
            <v>Bosnia &amp; Herzegovina</v>
          </cell>
        </row>
        <row r="176">
          <cell r="A176" t="str">
            <v>Azerbaijan</v>
          </cell>
        </row>
        <row r="177">
          <cell r="A177" t="str">
            <v>Syria</v>
          </cell>
        </row>
        <row r="178">
          <cell r="A178" t="str">
            <v>Moldova</v>
          </cell>
        </row>
        <row r="179">
          <cell r="A179" t="str">
            <v>Kyrgyzstan</v>
          </cell>
        </row>
        <row r="180">
          <cell r="A180" t="str">
            <v>Anguilla</v>
          </cell>
        </row>
        <row r="181">
          <cell r="A181" t="str">
            <v>Ã…land Islands</v>
          </cell>
        </row>
        <row r="182">
          <cell r="A182" t="str">
            <v>Andorra</v>
          </cell>
        </row>
        <row r="183">
          <cell r="A183" t="str">
            <v>American Samoa</v>
          </cell>
        </row>
        <row r="184">
          <cell r="A184" t="str">
            <v>Antarctica</v>
          </cell>
        </row>
        <row r="185">
          <cell r="A185" t="str">
            <v>French Southern Territories</v>
          </cell>
        </row>
        <row r="186">
          <cell r="A186" t="str">
            <v>Antigua &amp; Barbuda</v>
          </cell>
        </row>
        <row r="187">
          <cell r="A187" t="str">
            <v>Caribbean Netherlands</v>
          </cell>
        </row>
        <row r="188">
          <cell r="A188" t="str">
            <v>St. BarthÃ©lemy</v>
          </cell>
        </row>
        <row r="189">
          <cell r="A189" t="str">
            <v>Belize</v>
          </cell>
        </row>
        <row r="190">
          <cell r="A190" t="str">
            <v>Bermuda</v>
          </cell>
        </row>
        <row r="191">
          <cell r="A191" t="str">
            <v>Bhutan</v>
          </cell>
        </row>
        <row r="192">
          <cell r="A192" t="str">
            <v>Bouvet Island</v>
          </cell>
        </row>
        <row r="193">
          <cell r="A193" t="str">
            <v>Cocos (Keeling) Islands</v>
          </cell>
        </row>
        <row r="194">
          <cell r="A194" t="str">
            <v>Cook Islands</v>
          </cell>
        </row>
        <row r="195">
          <cell r="A195" t="str">
            <v>Comoros</v>
          </cell>
        </row>
        <row r="196">
          <cell r="A196" t="str">
            <v>Cape Verde</v>
          </cell>
        </row>
        <row r="197">
          <cell r="A197" t="str">
            <v>Christmas Island</v>
          </cell>
        </row>
        <row r="198">
          <cell r="A198" t="str">
            <v>Cayman Islands</v>
          </cell>
        </row>
        <row r="199">
          <cell r="A199" t="str">
            <v>Djibouti</v>
          </cell>
        </row>
        <row r="200">
          <cell r="A200" t="str">
            <v>Dominica</v>
          </cell>
        </row>
        <row r="201">
          <cell r="A201" t="str">
            <v>Eritrea</v>
          </cell>
        </row>
        <row r="202">
          <cell r="A202" t="str">
            <v>Western Sahara</v>
          </cell>
        </row>
        <row r="203">
          <cell r="A203" t="str">
            <v>Falkland Islands (Islas Malvinas)</v>
          </cell>
        </row>
        <row r="204">
          <cell r="A204" t="str">
            <v>Faroe Islands</v>
          </cell>
        </row>
        <row r="205">
          <cell r="A205" t="str">
            <v>Micronesia</v>
          </cell>
        </row>
        <row r="206">
          <cell r="A206" t="str">
            <v>Guernsey</v>
          </cell>
        </row>
        <row r="207">
          <cell r="A207" t="str">
            <v>Gibraltar</v>
          </cell>
        </row>
        <row r="208">
          <cell r="A208" t="str">
            <v>Guinea-Bissau</v>
          </cell>
        </row>
        <row r="209">
          <cell r="A209" t="str">
            <v>Equatorial Guinea</v>
          </cell>
        </row>
        <row r="210">
          <cell r="A210" t="str">
            <v>Grenada</v>
          </cell>
        </row>
        <row r="211">
          <cell r="A211" t="str">
            <v>Greenland</v>
          </cell>
        </row>
        <row r="212">
          <cell r="A212" t="str">
            <v>French Guiana</v>
          </cell>
        </row>
        <row r="213">
          <cell r="A213" t="str">
            <v>Heard &amp; McDonald Islands</v>
          </cell>
        </row>
        <row r="214">
          <cell r="A214" t="str">
            <v>British Indian Ocean Territory</v>
          </cell>
        </row>
        <row r="215">
          <cell r="A215" t="str">
            <v>Kiribati</v>
          </cell>
        </row>
        <row r="216">
          <cell r="A216" t="str">
            <v>St. Martin</v>
          </cell>
        </row>
        <row r="217">
          <cell r="A217" t="str">
            <v>Monaco</v>
          </cell>
        </row>
        <row r="218">
          <cell r="A218" t="str">
            <v>Maldives</v>
          </cell>
        </row>
        <row r="219">
          <cell r="A219" t="str">
            <v>Northern Mariana Islands</v>
          </cell>
        </row>
        <row r="220">
          <cell r="A220" t="str">
            <v>Montserrat</v>
          </cell>
        </row>
        <row r="221">
          <cell r="A221" t="str">
            <v>Mayotte</v>
          </cell>
        </row>
        <row r="222">
          <cell r="A222" t="str">
            <v>New Caledonia</v>
          </cell>
        </row>
        <row r="223">
          <cell r="A223" t="str">
            <v>Norfolk Island</v>
          </cell>
        </row>
        <row r="224">
          <cell r="A224" t="str">
            <v>Niue</v>
          </cell>
        </row>
        <row r="225">
          <cell r="A225" t="str">
            <v>Nauru</v>
          </cell>
        </row>
        <row r="226">
          <cell r="A226" t="str">
            <v>Pitcairn Islands</v>
          </cell>
        </row>
        <row r="227">
          <cell r="A227" t="str">
            <v>Palau</v>
          </cell>
        </row>
        <row r="228">
          <cell r="A228" t="str">
            <v>North Korea</v>
          </cell>
        </row>
        <row r="229">
          <cell r="A229" t="str">
            <v>French Polynesia</v>
          </cell>
        </row>
        <row r="230">
          <cell r="A230" t="str">
            <v>RÃ©union</v>
          </cell>
        </row>
        <row r="231">
          <cell r="A231" t="str">
            <v>South Georgia &amp; South Sandwich Islands</v>
          </cell>
        </row>
        <row r="232">
          <cell r="A232" t="str">
            <v>Svalbard &amp; Jan Mayen</v>
          </cell>
        </row>
        <row r="233">
          <cell r="A233" t="str">
            <v>Solomon Islands</v>
          </cell>
        </row>
        <row r="234">
          <cell r="A234" t="str">
            <v>San Marino</v>
          </cell>
        </row>
        <row r="235">
          <cell r="A235" t="str">
            <v>St. Pierre &amp; Miquelon</v>
          </cell>
        </row>
        <row r="236">
          <cell r="A236" t="str">
            <v>South Sudan</v>
          </cell>
        </row>
        <row r="237">
          <cell r="A237" t="str">
            <v>SÃ£o TomÃ© &amp; PrÃ­ncipe</v>
          </cell>
        </row>
        <row r="238">
          <cell r="A238" t="str">
            <v>Sint Maarten</v>
          </cell>
        </row>
        <row r="239">
          <cell r="A239" t="str">
            <v>Seychelles</v>
          </cell>
        </row>
        <row r="240">
          <cell r="A240" t="str">
            <v>Turks &amp; Caicos Islands</v>
          </cell>
        </row>
        <row r="241">
          <cell r="A241" t="str">
            <v>Tajikistan</v>
          </cell>
        </row>
        <row r="242">
          <cell r="A242" t="str">
            <v>Tokelau</v>
          </cell>
        </row>
        <row r="243">
          <cell r="A243" t="str">
            <v>Turkmenistan</v>
          </cell>
        </row>
        <row r="244">
          <cell r="A244" t="str">
            <v>Timor-Leste</v>
          </cell>
        </row>
        <row r="245">
          <cell r="A245" t="str">
            <v>Tonga</v>
          </cell>
        </row>
        <row r="246">
          <cell r="A246" t="str">
            <v>Tuvalu</v>
          </cell>
        </row>
        <row r="247">
          <cell r="A247" t="str">
            <v>U.S. Outlying Islands</v>
          </cell>
        </row>
        <row r="248">
          <cell r="A248" t="str">
            <v>Vatican City</v>
          </cell>
        </row>
        <row r="249">
          <cell r="A249" t="str">
            <v>British Virgin Islands</v>
          </cell>
        </row>
        <row r="250">
          <cell r="A250" t="str">
            <v>Vanuatu</v>
          </cell>
        </row>
        <row r="251">
          <cell r="A251" t="str">
            <v>Wallis &amp; Futuna</v>
          </cell>
        </row>
        <row r="252">
          <cell r="A252" t="str">
            <v>Samoa</v>
          </cell>
        </row>
        <row r="253">
          <cell r="A253" t="str">
            <v>Yemen</v>
          </cell>
        </row>
      </sheetData>
    </sheetDataSet>
  </externalBook>
</externalLink>
</file>

<file path=xl/externalLinks/externalLink1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21)"/>
    </sheetNames>
    <sheetDataSet>
      <sheetData sheetId="0">
        <row r="1">
          <cell r="A1" t="str">
            <v>Kategori: TÃ¼m kategoriler</v>
          </cell>
        </row>
        <row r="3">
          <cell r="A3" t="str">
            <v>Ãœlke</v>
          </cell>
          <cell r="B3" t="str">
            <v>Design thinking: (2017)</v>
          </cell>
          <cell r="C3" t="str">
            <v>Ã‡Ã¶p toplama: (2017)</v>
          </cell>
        </row>
        <row r="4">
          <cell r="A4" t="str">
            <v>China</v>
          </cell>
          <cell r="B4">
            <v>0.1</v>
          </cell>
          <cell r="C4">
            <v>0.9</v>
          </cell>
        </row>
        <row r="5">
          <cell r="A5" t="str">
            <v>Singapore</v>
          </cell>
          <cell r="B5">
            <v>0.78</v>
          </cell>
          <cell r="C5">
            <v>0.22</v>
          </cell>
        </row>
        <row r="6">
          <cell r="A6" t="str">
            <v>Rwanda</v>
          </cell>
        </row>
        <row r="7">
          <cell r="A7" t="str">
            <v>Peru</v>
          </cell>
          <cell r="B7">
            <v>0.87</v>
          </cell>
          <cell r="C7">
            <v>0.13</v>
          </cell>
        </row>
        <row r="8">
          <cell r="A8" t="str">
            <v>South Korea</v>
          </cell>
          <cell r="B8">
            <v>0.28999999999999998</v>
          </cell>
          <cell r="C8">
            <v>0.71</v>
          </cell>
        </row>
        <row r="9">
          <cell r="A9" t="str">
            <v>Malta</v>
          </cell>
        </row>
        <row r="10">
          <cell r="A10" t="str">
            <v>Canada</v>
          </cell>
          <cell r="B10">
            <v>0.28000000000000003</v>
          </cell>
          <cell r="C10">
            <v>0.72</v>
          </cell>
        </row>
        <row r="11">
          <cell r="A11" t="str">
            <v>Bermuda</v>
          </cell>
        </row>
        <row r="12">
          <cell r="A12" t="str">
            <v>Guyana</v>
          </cell>
        </row>
        <row r="13">
          <cell r="A13" t="str">
            <v>Switzerland</v>
          </cell>
          <cell r="B13">
            <v>0.74</v>
          </cell>
          <cell r="C13">
            <v>0.26</v>
          </cell>
        </row>
        <row r="14">
          <cell r="A14" t="str">
            <v>St. Helena</v>
          </cell>
          <cell r="B14">
            <v>0.6</v>
          </cell>
          <cell r="C14">
            <v>0.4</v>
          </cell>
        </row>
        <row r="15">
          <cell r="A15" t="str">
            <v>Jamaica</v>
          </cell>
        </row>
        <row r="16">
          <cell r="A16" t="str">
            <v>Germany</v>
          </cell>
          <cell r="B16">
            <v>0.78</v>
          </cell>
          <cell r="C16">
            <v>0.22</v>
          </cell>
        </row>
        <row r="17">
          <cell r="A17" t="str">
            <v>Denmark</v>
          </cell>
          <cell r="B17">
            <v>0.82</v>
          </cell>
          <cell r="C17">
            <v>0.18</v>
          </cell>
        </row>
        <row r="18">
          <cell r="A18" t="str">
            <v>New Zealand</v>
          </cell>
          <cell r="B18">
            <v>0.7</v>
          </cell>
          <cell r="C18">
            <v>0.3</v>
          </cell>
        </row>
        <row r="19">
          <cell r="A19" t="str">
            <v>Australia</v>
          </cell>
          <cell r="B19">
            <v>0.55000000000000004</v>
          </cell>
          <cell r="C19">
            <v>0.45</v>
          </cell>
        </row>
        <row r="20">
          <cell r="A20" t="str">
            <v>Hong Kong</v>
          </cell>
          <cell r="B20">
            <v>0.64</v>
          </cell>
          <cell r="C20">
            <v>0.36</v>
          </cell>
        </row>
        <row r="21">
          <cell r="A21" t="str">
            <v>Brazil</v>
          </cell>
          <cell r="B21">
            <v>0.91</v>
          </cell>
          <cell r="C21">
            <v>0.09</v>
          </cell>
        </row>
        <row r="22">
          <cell r="A22" t="str">
            <v>Mexico</v>
          </cell>
          <cell r="B22">
            <v>0.36</v>
          </cell>
          <cell r="C22">
            <v>0.64</v>
          </cell>
        </row>
        <row r="23">
          <cell r="A23" t="str">
            <v>Netherlands</v>
          </cell>
          <cell r="B23">
            <v>0.74</v>
          </cell>
          <cell r="C23">
            <v>0.26</v>
          </cell>
        </row>
        <row r="24">
          <cell r="A24" t="str">
            <v>Colombia</v>
          </cell>
          <cell r="B24">
            <v>0.69</v>
          </cell>
          <cell r="C24">
            <v>0.31</v>
          </cell>
        </row>
        <row r="25">
          <cell r="A25" t="str">
            <v>Ecuador</v>
          </cell>
          <cell r="B25">
            <v>0.44</v>
          </cell>
          <cell r="C25">
            <v>0.56000000000000005</v>
          </cell>
        </row>
        <row r="26">
          <cell r="A26" t="str">
            <v>Costa Rica</v>
          </cell>
          <cell r="B26">
            <v>0.43</v>
          </cell>
          <cell r="C26">
            <v>0.56999999999999995</v>
          </cell>
        </row>
        <row r="27">
          <cell r="A27" t="str">
            <v>India</v>
          </cell>
          <cell r="B27">
            <v>0.35</v>
          </cell>
          <cell r="C27">
            <v>0.65</v>
          </cell>
        </row>
        <row r="28">
          <cell r="A28" t="str">
            <v>Norway</v>
          </cell>
          <cell r="B28">
            <v>0.67</v>
          </cell>
          <cell r="C28">
            <v>0.33</v>
          </cell>
        </row>
        <row r="29">
          <cell r="A29" t="str">
            <v>Sri Lanka</v>
          </cell>
        </row>
        <row r="30">
          <cell r="A30" t="str">
            <v>Taiwan</v>
          </cell>
          <cell r="B30">
            <v>0.55000000000000004</v>
          </cell>
          <cell r="C30">
            <v>0.45</v>
          </cell>
        </row>
        <row r="31">
          <cell r="A31" t="str">
            <v>United Arab Emirates</v>
          </cell>
          <cell r="B31">
            <v>0.77</v>
          </cell>
          <cell r="C31">
            <v>0.23</v>
          </cell>
        </row>
        <row r="32">
          <cell r="A32" t="str">
            <v>Panama</v>
          </cell>
        </row>
        <row r="33">
          <cell r="A33" t="str">
            <v>Chile</v>
          </cell>
          <cell r="B33">
            <v>0.56999999999999995</v>
          </cell>
          <cell r="C33">
            <v>0.43</v>
          </cell>
        </row>
        <row r="34">
          <cell r="A34" t="str">
            <v>Japan</v>
          </cell>
          <cell r="B34">
            <v>0.37</v>
          </cell>
          <cell r="C34">
            <v>0.63</v>
          </cell>
        </row>
        <row r="35">
          <cell r="A35" t="str">
            <v>Ireland</v>
          </cell>
          <cell r="B35">
            <v>0.6</v>
          </cell>
          <cell r="C35">
            <v>0.4</v>
          </cell>
        </row>
        <row r="36">
          <cell r="A36" t="str">
            <v>Myanmar (Burma)</v>
          </cell>
        </row>
        <row r="37">
          <cell r="A37" t="str">
            <v>Israel</v>
          </cell>
          <cell r="B37">
            <v>0.24</v>
          </cell>
          <cell r="C37">
            <v>0.76</v>
          </cell>
        </row>
        <row r="38">
          <cell r="A38" t="str">
            <v>Austria</v>
          </cell>
          <cell r="B38">
            <v>0.7</v>
          </cell>
          <cell r="C38">
            <v>0.3</v>
          </cell>
        </row>
        <row r="39">
          <cell r="A39" t="str">
            <v>United States</v>
          </cell>
          <cell r="B39">
            <v>0.4</v>
          </cell>
          <cell r="C39">
            <v>0.6</v>
          </cell>
        </row>
        <row r="40">
          <cell r="A40" t="str">
            <v>Portugal</v>
          </cell>
          <cell r="B40">
            <v>0.73</v>
          </cell>
          <cell r="C40">
            <v>0.27</v>
          </cell>
        </row>
        <row r="41">
          <cell r="A41" t="str">
            <v>El Salvador</v>
          </cell>
        </row>
        <row r="42">
          <cell r="A42" t="str">
            <v>Armenia</v>
          </cell>
        </row>
        <row r="43">
          <cell r="A43" t="str">
            <v>Guatemala</v>
          </cell>
          <cell r="B43">
            <v>0.51</v>
          </cell>
          <cell r="C43">
            <v>0.49</v>
          </cell>
        </row>
        <row r="44">
          <cell r="A44" t="str">
            <v>Laos</v>
          </cell>
        </row>
        <row r="45">
          <cell r="A45" t="str">
            <v>South Africa</v>
          </cell>
          <cell r="B45">
            <v>0.73</v>
          </cell>
          <cell r="C45">
            <v>0.27</v>
          </cell>
        </row>
        <row r="46">
          <cell r="A46" t="str">
            <v>Spain</v>
          </cell>
          <cell r="B46">
            <v>0.8</v>
          </cell>
          <cell r="C46">
            <v>0.2</v>
          </cell>
        </row>
        <row r="47">
          <cell r="A47" t="str">
            <v>Malaysia</v>
          </cell>
          <cell r="B47">
            <v>0.68</v>
          </cell>
          <cell r="C47">
            <v>0.32</v>
          </cell>
        </row>
        <row r="48">
          <cell r="A48" t="str">
            <v>Ghana</v>
          </cell>
        </row>
        <row r="49">
          <cell r="A49" t="str">
            <v>France</v>
          </cell>
          <cell r="B49">
            <v>0.71</v>
          </cell>
          <cell r="C49">
            <v>0.28999999999999998</v>
          </cell>
        </row>
        <row r="50">
          <cell r="A50" t="str">
            <v>Uganda</v>
          </cell>
        </row>
        <row r="51">
          <cell r="A51" t="str">
            <v>Belarus</v>
          </cell>
        </row>
        <row r="52">
          <cell r="A52" t="str">
            <v>Argentina</v>
          </cell>
          <cell r="B52">
            <v>0.36</v>
          </cell>
          <cell r="C52">
            <v>0.64</v>
          </cell>
        </row>
        <row r="53">
          <cell r="A53" t="str">
            <v>Philippines</v>
          </cell>
          <cell r="B53">
            <v>0.41</v>
          </cell>
          <cell r="C53">
            <v>0.59</v>
          </cell>
        </row>
        <row r="54">
          <cell r="A54" t="str">
            <v>Zimbabwe</v>
          </cell>
        </row>
        <row r="55">
          <cell r="A55" t="str">
            <v>Finland</v>
          </cell>
          <cell r="B55">
            <v>0.6</v>
          </cell>
          <cell r="C55">
            <v>0.4</v>
          </cell>
        </row>
        <row r="56">
          <cell r="A56" t="str">
            <v>Luxembourg</v>
          </cell>
        </row>
        <row r="57">
          <cell r="A57" t="str">
            <v>Nicaragua</v>
          </cell>
        </row>
        <row r="58">
          <cell r="A58" t="str">
            <v>Namibia</v>
          </cell>
        </row>
        <row r="59">
          <cell r="A59" t="str">
            <v>Honduras</v>
          </cell>
        </row>
        <row r="60">
          <cell r="A60" t="str">
            <v>Estonia</v>
          </cell>
        </row>
        <row r="61">
          <cell r="A61" t="str">
            <v>Paraguay</v>
          </cell>
        </row>
        <row r="62">
          <cell r="A62" t="str">
            <v>Kenya</v>
          </cell>
          <cell r="B62">
            <v>0.49</v>
          </cell>
          <cell r="C62">
            <v>0.51</v>
          </cell>
        </row>
        <row r="63">
          <cell r="A63" t="str">
            <v>Uruguay</v>
          </cell>
        </row>
        <row r="64">
          <cell r="A64" t="str">
            <v>Lithuania</v>
          </cell>
        </row>
        <row r="65">
          <cell r="A65" t="str">
            <v>Tunisia</v>
          </cell>
        </row>
        <row r="66">
          <cell r="A66" t="str">
            <v>Lebanon</v>
          </cell>
        </row>
        <row r="67">
          <cell r="A67" t="str">
            <v>Czechia</v>
          </cell>
          <cell r="B67">
            <v>0.42</v>
          </cell>
          <cell r="C67">
            <v>0.57999999999999996</v>
          </cell>
        </row>
        <row r="68">
          <cell r="A68" t="str">
            <v>United Kingdom</v>
          </cell>
          <cell r="B68">
            <v>0.44</v>
          </cell>
          <cell r="C68">
            <v>0.56000000000000005</v>
          </cell>
        </row>
        <row r="69">
          <cell r="A69" t="str">
            <v>Slovenia</v>
          </cell>
        </row>
        <row r="70">
          <cell r="A70" t="str">
            <v>Hungary</v>
          </cell>
          <cell r="B70">
            <v>0.33</v>
          </cell>
          <cell r="C70">
            <v>0.67</v>
          </cell>
        </row>
        <row r="71">
          <cell r="A71" t="str">
            <v>Cyprus</v>
          </cell>
        </row>
        <row r="72">
          <cell r="A72" t="str">
            <v>Belgium</v>
          </cell>
          <cell r="B72">
            <v>0.56999999999999995</v>
          </cell>
          <cell r="C72">
            <v>0.43</v>
          </cell>
        </row>
        <row r="73">
          <cell r="A73" t="str">
            <v>Ethiopia</v>
          </cell>
        </row>
        <row r="74">
          <cell r="A74" t="str">
            <v>Poland</v>
          </cell>
          <cell r="B74">
            <v>0.6</v>
          </cell>
          <cell r="C74">
            <v>0.4</v>
          </cell>
        </row>
        <row r="75">
          <cell r="A75" t="str">
            <v>Sweden</v>
          </cell>
          <cell r="B75">
            <v>0.49</v>
          </cell>
          <cell r="C75">
            <v>0.51</v>
          </cell>
        </row>
        <row r="76">
          <cell r="A76" t="str">
            <v>Nepal</v>
          </cell>
        </row>
        <row r="77">
          <cell r="A77" t="str">
            <v>Thailand</v>
          </cell>
          <cell r="B77">
            <v>0.82</v>
          </cell>
          <cell r="C77">
            <v>0.18</v>
          </cell>
        </row>
        <row r="78">
          <cell r="A78" t="str">
            <v>Ukraine</v>
          </cell>
          <cell r="B78">
            <v>0.35</v>
          </cell>
          <cell r="C78">
            <v>0.65</v>
          </cell>
        </row>
        <row r="79">
          <cell r="A79" t="str">
            <v>Russia</v>
          </cell>
          <cell r="B79">
            <v>0.3</v>
          </cell>
          <cell r="C79">
            <v>0.7</v>
          </cell>
        </row>
        <row r="80">
          <cell r="A80" t="str">
            <v>Vietnam</v>
          </cell>
          <cell r="B80">
            <v>0.16</v>
          </cell>
          <cell r="C80">
            <v>0.84</v>
          </cell>
        </row>
        <row r="81">
          <cell r="A81" t="str">
            <v>Mauritius</v>
          </cell>
        </row>
        <row r="82">
          <cell r="A82" t="str">
            <v>Croatia</v>
          </cell>
        </row>
        <row r="83">
          <cell r="A83" t="str">
            <v>Romania</v>
          </cell>
          <cell r="B83">
            <v>0.38</v>
          </cell>
          <cell r="C83">
            <v>0.62</v>
          </cell>
        </row>
        <row r="84">
          <cell r="A84" t="str">
            <v>Turkey</v>
          </cell>
          <cell r="B84">
            <v>0.23</v>
          </cell>
          <cell r="C84">
            <v>0.77</v>
          </cell>
        </row>
        <row r="85">
          <cell r="A85" t="str">
            <v>Latvia</v>
          </cell>
        </row>
        <row r="86">
          <cell r="A86" t="str">
            <v>Greece</v>
          </cell>
          <cell r="B86">
            <v>0.33</v>
          </cell>
          <cell r="C86">
            <v>0.67</v>
          </cell>
        </row>
        <row r="87">
          <cell r="A87" t="str">
            <v>Puerto Rico</v>
          </cell>
        </row>
        <row r="88">
          <cell r="A88" t="str">
            <v>Pakistan</v>
          </cell>
          <cell r="B88">
            <v>0.39</v>
          </cell>
          <cell r="C88">
            <v>0.61</v>
          </cell>
        </row>
        <row r="89">
          <cell r="A89" t="str">
            <v>Morocco</v>
          </cell>
        </row>
        <row r="90">
          <cell r="A90" t="str">
            <v>Italy</v>
          </cell>
          <cell r="B90">
            <v>0.64</v>
          </cell>
          <cell r="C90">
            <v>0.36</v>
          </cell>
        </row>
        <row r="91">
          <cell r="A91" t="str">
            <v>Bulgaria</v>
          </cell>
        </row>
        <row r="92">
          <cell r="A92" t="str">
            <v>Serbia</v>
          </cell>
        </row>
        <row r="93">
          <cell r="A93" t="str">
            <v>Dominican Republic</v>
          </cell>
        </row>
        <row r="94">
          <cell r="A94" t="str">
            <v>Bolivia</v>
          </cell>
        </row>
        <row r="95">
          <cell r="A95" t="str">
            <v>Egypt</v>
          </cell>
          <cell r="B95">
            <v>0.37</v>
          </cell>
          <cell r="C95">
            <v>0.63</v>
          </cell>
        </row>
        <row r="96">
          <cell r="A96" t="str">
            <v>Nigeria</v>
          </cell>
        </row>
        <row r="97">
          <cell r="A97" t="str">
            <v>Jordan</v>
          </cell>
        </row>
        <row r="98">
          <cell r="A98" t="str">
            <v>Saudi Arabia</v>
          </cell>
        </row>
        <row r="99">
          <cell r="A99" t="str">
            <v>Slovakia</v>
          </cell>
        </row>
        <row r="100">
          <cell r="A100" t="str">
            <v>Bangladesh</v>
          </cell>
        </row>
        <row r="101">
          <cell r="A101" t="str">
            <v>Indonesia</v>
          </cell>
          <cell r="B101">
            <v>0.66</v>
          </cell>
          <cell r="C101">
            <v>0.34</v>
          </cell>
        </row>
        <row r="102">
          <cell r="A102" t="str">
            <v>Kazakhstan</v>
          </cell>
        </row>
        <row r="103">
          <cell r="A103" t="str">
            <v>Iran</v>
          </cell>
          <cell r="B103">
            <v>0.54</v>
          </cell>
          <cell r="C103">
            <v>0.46</v>
          </cell>
        </row>
        <row r="104">
          <cell r="A104" t="str">
            <v>Kuwait</v>
          </cell>
        </row>
        <row r="105">
          <cell r="A105" t="str">
            <v>Venezuela</v>
          </cell>
        </row>
        <row r="106">
          <cell r="A106" t="str">
            <v>Cook Islands</v>
          </cell>
        </row>
        <row r="107">
          <cell r="A107" t="str">
            <v>Anguilla</v>
          </cell>
        </row>
        <row r="108">
          <cell r="A108" t="str">
            <v>San Marino</v>
          </cell>
        </row>
        <row r="109">
          <cell r="A109" t="str">
            <v>St. Kitts &amp; Nevis</v>
          </cell>
        </row>
        <row r="110">
          <cell r="A110" t="str">
            <v>Gambia</v>
          </cell>
        </row>
        <row r="111">
          <cell r="A111" t="str">
            <v>U.S. Virgin Islands</v>
          </cell>
        </row>
        <row r="112">
          <cell r="A112" t="str">
            <v>Bhutan</v>
          </cell>
        </row>
        <row r="113">
          <cell r="A113" t="str">
            <v>St. Vincent &amp; Grenadines</v>
          </cell>
        </row>
        <row r="114">
          <cell r="A114" t="str">
            <v>Malawi</v>
          </cell>
        </row>
        <row r="115">
          <cell r="A115" t="str">
            <v>Djibouti</v>
          </cell>
        </row>
        <row r="116">
          <cell r="A116" t="str">
            <v>Timor-Leste</v>
          </cell>
        </row>
        <row r="117">
          <cell r="A117" t="str">
            <v>Antigua &amp; Barbuda</v>
          </cell>
        </row>
        <row r="118">
          <cell r="A118" t="str">
            <v>Eswatini</v>
          </cell>
        </row>
        <row r="119">
          <cell r="A119" t="str">
            <v>Guernsey</v>
          </cell>
        </row>
        <row r="120">
          <cell r="A120" t="str">
            <v>Botswana</v>
          </cell>
        </row>
        <row r="121">
          <cell r="A121" t="str">
            <v>Andorra</v>
          </cell>
        </row>
        <row r="122">
          <cell r="A122" t="str">
            <v>Aruba</v>
          </cell>
        </row>
        <row r="123">
          <cell r="A123" t="str">
            <v>Isle of Man</v>
          </cell>
        </row>
        <row r="124">
          <cell r="A124" t="str">
            <v>Angola</v>
          </cell>
        </row>
        <row r="125">
          <cell r="A125" t="str">
            <v>Iceland</v>
          </cell>
        </row>
        <row r="126">
          <cell r="A126" t="str">
            <v>Mozambique</v>
          </cell>
        </row>
        <row r="127">
          <cell r="A127" t="str">
            <v>Cuba</v>
          </cell>
        </row>
        <row r="128">
          <cell r="A128" t="str">
            <v>Guam</v>
          </cell>
        </row>
        <row r="129">
          <cell r="A129" t="str">
            <v>Papua New Guinea</v>
          </cell>
        </row>
        <row r="130">
          <cell r="A130" t="str">
            <v>Jersey</v>
          </cell>
        </row>
        <row r="131">
          <cell r="A131" t="str">
            <v>Mongolia</v>
          </cell>
        </row>
        <row r="132">
          <cell r="A132" t="str">
            <v>Burkina Faso</v>
          </cell>
        </row>
        <row r="133">
          <cell r="A133" t="str">
            <v>Maldives</v>
          </cell>
        </row>
        <row r="134">
          <cell r="A134" t="str">
            <v>Suriname</v>
          </cell>
        </row>
        <row r="135">
          <cell r="A135" t="str">
            <v>Cameroon</v>
          </cell>
        </row>
        <row r="136">
          <cell r="A136" t="str">
            <v>Cambodia</v>
          </cell>
        </row>
        <row r="137">
          <cell r="A137" t="str">
            <v>Guinea</v>
          </cell>
        </row>
        <row r="138">
          <cell r="A138" t="str">
            <v>Zambia</v>
          </cell>
        </row>
        <row r="139">
          <cell r="A139" t="str">
            <v>RÃ©union</v>
          </cell>
        </row>
        <row r="140">
          <cell r="A140" t="str">
            <v>Bahamas</v>
          </cell>
        </row>
        <row r="141">
          <cell r="A141" t="str">
            <v>Haiti</v>
          </cell>
        </row>
        <row r="142">
          <cell r="A142" t="str">
            <v>Trinidad &amp; Tobago</v>
          </cell>
        </row>
        <row r="143">
          <cell r="A143" t="str">
            <v>Senegal</v>
          </cell>
        </row>
        <row r="144">
          <cell r="A144" t="str">
            <v>Guadeloupe</v>
          </cell>
        </row>
        <row r="145">
          <cell r="A145" t="str">
            <v>Macao</v>
          </cell>
        </row>
        <row r="146">
          <cell r="A146" t="str">
            <v>Qatar</v>
          </cell>
        </row>
        <row r="147">
          <cell r="A147" t="str">
            <v>Madagascar</v>
          </cell>
        </row>
        <row r="148">
          <cell r="A148" t="str">
            <v>Brunei</v>
          </cell>
        </row>
        <row r="149">
          <cell r="A149" t="str">
            <v>CÃ´te dâ€™Ivoire</v>
          </cell>
        </row>
        <row r="150">
          <cell r="A150" t="str">
            <v>Albania</v>
          </cell>
        </row>
        <row r="151">
          <cell r="A151" t="str">
            <v>North Macedonia</v>
          </cell>
        </row>
        <row r="152">
          <cell r="A152" t="str">
            <v>Bahrain</v>
          </cell>
        </row>
        <row r="153">
          <cell r="A153" t="str">
            <v>Montenegro</v>
          </cell>
        </row>
        <row r="154">
          <cell r="A154" t="str">
            <v>Kyrgyzstan</v>
          </cell>
        </row>
        <row r="155">
          <cell r="A155" t="str">
            <v>Bosnia &amp; Herzegovina</v>
          </cell>
        </row>
        <row r="156">
          <cell r="A156" t="str">
            <v>Congo - Kinshasa</v>
          </cell>
        </row>
        <row r="157">
          <cell r="A157" t="str">
            <v>Tanzania</v>
          </cell>
        </row>
        <row r="158">
          <cell r="A158" t="str">
            <v>Georgia</v>
          </cell>
        </row>
        <row r="159">
          <cell r="A159" t="str">
            <v>Sudan</v>
          </cell>
        </row>
        <row r="160">
          <cell r="A160" t="str">
            <v>Libya</v>
          </cell>
        </row>
        <row r="161">
          <cell r="A161" t="str">
            <v>Moldova</v>
          </cell>
        </row>
        <row r="162">
          <cell r="A162" t="str">
            <v>Oman</v>
          </cell>
        </row>
        <row r="163">
          <cell r="A163" t="str">
            <v>Yemen</v>
          </cell>
        </row>
        <row r="164">
          <cell r="A164" t="str">
            <v>Syria</v>
          </cell>
        </row>
        <row r="165">
          <cell r="A165" t="str">
            <v>Uzbekistan</v>
          </cell>
        </row>
        <row r="166">
          <cell r="A166" t="str">
            <v>Azerbaijan</v>
          </cell>
        </row>
        <row r="167">
          <cell r="A167" t="str">
            <v>Iraq</v>
          </cell>
        </row>
        <row r="168">
          <cell r="A168" t="str">
            <v>Algeria</v>
          </cell>
        </row>
        <row r="169">
          <cell r="A169" t="str">
            <v>Afghanistan</v>
          </cell>
        </row>
        <row r="170">
          <cell r="A170" t="str">
            <v>Ã…land Islands</v>
          </cell>
        </row>
        <row r="171">
          <cell r="A171" t="str">
            <v>American Samoa</v>
          </cell>
        </row>
        <row r="172">
          <cell r="A172" t="str">
            <v>Antarctica</v>
          </cell>
        </row>
        <row r="173">
          <cell r="A173" t="str">
            <v>French Southern Territories</v>
          </cell>
        </row>
        <row r="174">
          <cell r="A174" t="str">
            <v>Burundi</v>
          </cell>
        </row>
        <row r="175">
          <cell r="A175" t="str">
            <v>Benin</v>
          </cell>
        </row>
        <row r="176">
          <cell r="A176" t="str">
            <v>Caribbean Netherlands</v>
          </cell>
        </row>
        <row r="177">
          <cell r="A177" t="str">
            <v>St. BarthÃ©lemy</v>
          </cell>
        </row>
        <row r="178">
          <cell r="A178" t="str">
            <v>Belize</v>
          </cell>
        </row>
        <row r="179">
          <cell r="A179" t="str">
            <v>Barbados</v>
          </cell>
        </row>
        <row r="180">
          <cell r="A180" t="str">
            <v>Bouvet Island</v>
          </cell>
        </row>
        <row r="181">
          <cell r="A181" t="str">
            <v>Central African Republic</v>
          </cell>
        </row>
        <row r="182">
          <cell r="A182" t="str">
            <v>Cocos (Keeling) Islands</v>
          </cell>
        </row>
        <row r="183">
          <cell r="A183" t="str">
            <v>Congo - Brazzaville</v>
          </cell>
        </row>
        <row r="184">
          <cell r="A184" t="str">
            <v>Comoros</v>
          </cell>
        </row>
        <row r="185">
          <cell r="A185" t="str">
            <v>Cape Verde</v>
          </cell>
        </row>
        <row r="186">
          <cell r="A186" t="str">
            <v>CuraÃ§ao</v>
          </cell>
        </row>
        <row r="187">
          <cell r="A187" t="str">
            <v>Christmas Island</v>
          </cell>
        </row>
        <row r="188">
          <cell r="A188" t="str">
            <v>Cayman Islands</v>
          </cell>
        </row>
        <row r="189">
          <cell r="A189" t="str">
            <v>Dominica</v>
          </cell>
        </row>
        <row r="190">
          <cell r="A190" t="str">
            <v>Eritrea</v>
          </cell>
        </row>
        <row r="191">
          <cell r="A191" t="str">
            <v>Western Sahara</v>
          </cell>
        </row>
        <row r="192">
          <cell r="A192" t="str">
            <v>Fiji</v>
          </cell>
        </row>
        <row r="193">
          <cell r="A193" t="str">
            <v>Falkland Islands (Islas Malvinas)</v>
          </cell>
        </row>
        <row r="194">
          <cell r="A194" t="str">
            <v>Faroe Islands</v>
          </cell>
        </row>
        <row r="195">
          <cell r="A195" t="str">
            <v>Micronesia</v>
          </cell>
        </row>
        <row r="196">
          <cell r="A196" t="str">
            <v>Gabon</v>
          </cell>
        </row>
        <row r="197">
          <cell r="A197" t="str">
            <v>Gibraltar</v>
          </cell>
        </row>
        <row r="198">
          <cell r="A198" t="str">
            <v>Guinea-Bissau</v>
          </cell>
        </row>
        <row r="199">
          <cell r="A199" t="str">
            <v>Equatorial Guinea</v>
          </cell>
        </row>
        <row r="200">
          <cell r="A200" t="str">
            <v>Grenada</v>
          </cell>
        </row>
        <row r="201">
          <cell r="A201" t="str">
            <v>Greenland</v>
          </cell>
        </row>
        <row r="202">
          <cell r="A202" t="str">
            <v>French Guiana</v>
          </cell>
        </row>
        <row r="203">
          <cell r="A203" t="str">
            <v>Heard &amp; McDonald Islands</v>
          </cell>
        </row>
        <row r="204">
          <cell r="A204" t="str">
            <v>British Indian Ocean Territory</v>
          </cell>
        </row>
        <row r="205">
          <cell r="A205" t="str">
            <v>Kiribati</v>
          </cell>
        </row>
        <row r="206">
          <cell r="A206" t="str">
            <v>Liberia</v>
          </cell>
        </row>
        <row r="207">
          <cell r="A207" t="str">
            <v>St. Lucia</v>
          </cell>
        </row>
        <row r="208">
          <cell r="A208" t="str">
            <v>Liechtenstein</v>
          </cell>
        </row>
        <row r="209">
          <cell r="A209" t="str">
            <v>Lesotho</v>
          </cell>
        </row>
        <row r="210">
          <cell r="A210" t="str">
            <v>St. Martin</v>
          </cell>
        </row>
        <row r="211">
          <cell r="A211" t="str">
            <v>Monaco</v>
          </cell>
        </row>
        <row r="212">
          <cell r="A212" t="str">
            <v>Marshall Islands</v>
          </cell>
        </row>
        <row r="213">
          <cell r="A213" t="str">
            <v>Mali</v>
          </cell>
        </row>
        <row r="214">
          <cell r="A214" t="str">
            <v>Northern Mariana Islands</v>
          </cell>
        </row>
        <row r="215">
          <cell r="A215" t="str">
            <v>Mauritania</v>
          </cell>
        </row>
        <row r="216">
          <cell r="A216" t="str">
            <v>Montserrat</v>
          </cell>
        </row>
        <row r="217">
          <cell r="A217" t="str">
            <v>Martinique</v>
          </cell>
        </row>
        <row r="218">
          <cell r="A218" t="str">
            <v>Mayotte</v>
          </cell>
        </row>
        <row r="219">
          <cell r="A219" t="str">
            <v>New Caledonia</v>
          </cell>
        </row>
        <row r="220">
          <cell r="A220" t="str">
            <v>Niger</v>
          </cell>
        </row>
        <row r="221">
          <cell r="A221" t="str">
            <v>Norfolk Island</v>
          </cell>
        </row>
        <row r="222">
          <cell r="A222" t="str">
            <v>Niue</v>
          </cell>
        </row>
        <row r="223">
          <cell r="A223" t="str">
            <v>Nauru</v>
          </cell>
        </row>
        <row r="224">
          <cell r="A224" t="str">
            <v>Pitcairn Islands</v>
          </cell>
        </row>
        <row r="225">
          <cell r="A225" t="str">
            <v>Palau</v>
          </cell>
        </row>
        <row r="226">
          <cell r="A226" t="str">
            <v>North Korea</v>
          </cell>
        </row>
        <row r="227">
          <cell r="A227" t="str">
            <v>Palestine</v>
          </cell>
        </row>
        <row r="228">
          <cell r="A228" t="str">
            <v>French Polynesia</v>
          </cell>
        </row>
        <row r="229">
          <cell r="A229" t="str">
            <v>South Georgia &amp; South Sandwich Islands</v>
          </cell>
        </row>
        <row r="230">
          <cell r="A230" t="str">
            <v>Svalbard &amp; Jan Mayen</v>
          </cell>
        </row>
        <row r="231">
          <cell r="A231" t="str">
            <v>Solomon Islands</v>
          </cell>
        </row>
        <row r="232">
          <cell r="A232" t="str">
            <v>Sierra Leone</v>
          </cell>
        </row>
        <row r="233">
          <cell r="A233" t="str">
            <v>Somalia</v>
          </cell>
        </row>
        <row r="234">
          <cell r="A234" t="str">
            <v>St. Pierre &amp; Miquelon</v>
          </cell>
        </row>
        <row r="235">
          <cell r="A235" t="str">
            <v>South Sudan</v>
          </cell>
        </row>
        <row r="236">
          <cell r="A236" t="str">
            <v>SÃ£o TomÃ© &amp; PrÃ­ncipe</v>
          </cell>
        </row>
        <row r="237">
          <cell r="A237" t="str">
            <v>Sint Maarten</v>
          </cell>
        </row>
        <row r="238">
          <cell r="A238" t="str">
            <v>Seychelles</v>
          </cell>
        </row>
        <row r="239">
          <cell r="A239" t="str">
            <v>Turks &amp; Caicos Islands</v>
          </cell>
        </row>
        <row r="240">
          <cell r="A240" t="str">
            <v>Chad</v>
          </cell>
        </row>
        <row r="241">
          <cell r="A241" t="str">
            <v>Togo</v>
          </cell>
        </row>
        <row r="242">
          <cell r="A242" t="str">
            <v>Tajikistan</v>
          </cell>
        </row>
        <row r="243">
          <cell r="A243" t="str">
            <v>Tokelau</v>
          </cell>
        </row>
        <row r="244">
          <cell r="A244" t="str">
            <v>Turkmenistan</v>
          </cell>
        </row>
        <row r="245">
          <cell r="A245" t="str">
            <v>Tonga</v>
          </cell>
        </row>
        <row r="246">
          <cell r="A246" t="str">
            <v>Tuvalu</v>
          </cell>
        </row>
        <row r="247">
          <cell r="A247" t="str">
            <v>U.S. Outlying Islands</v>
          </cell>
        </row>
        <row r="248">
          <cell r="A248" t="str">
            <v>Vatican City</v>
          </cell>
        </row>
        <row r="249">
          <cell r="A249" t="str">
            <v>British Virgin Islands</v>
          </cell>
        </row>
        <row r="250">
          <cell r="A250" t="str">
            <v>Vanuatu</v>
          </cell>
        </row>
        <row r="251">
          <cell r="A251" t="str">
            <v>Wallis &amp; Futuna</v>
          </cell>
        </row>
        <row r="252">
          <cell r="A252" t="str">
            <v>Samoa</v>
          </cell>
        </row>
        <row r="253">
          <cell r="A253" t="str">
            <v>Kosovo</v>
          </cell>
        </row>
      </sheetData>
    </sheetDataSet>
  </externalBook>
</externalLink>
</file>

<file path=xl/externalLinks/externalLink1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22)"/>
    </sheetNames>
    <sheetDataSet>
      <sheetData sheetId="0">
        <row r="1">
          <cell r="A1" t="str">
            <v>Kategori: TÃ¼m kategoriler</v>
          </cell>
        </row>
        <row r="3">
          <cell r="A3" t="str">
            <v>Ãœlke</v>
          </cell>
          <cell r="B3" t="str">
            <v>Ã‡Ã¶p toplama: (2017)</v>
          </cell>
          <cell r="C3" t="str">
            <v>Null pointer: (2017)</v>
          </cell>
        </row>
        <row r="4">
          <cell r="A4" t="str">
            <v>China</v>
          </cell>
          <cell r="B4">
            <v>0.77</v>
          </cell>
          <cell r="C4">
            <v>0.23</v>
          </cell>
        </row>
        <row r="5">
          <cell r="A5" t="str">
            <v>Guyana</v>
          </cell>
        </row>
        <row r="6">
          <cell r="A6" t="str">
            <v>South Korea</v>
          </cell>
          <cell r="B6">
            <v>0.69</v>
          </cell>
          <cell r="C6">
            <v>0.31</v>
          </cell>
        </row>
        <row r="7">
          <cell r="A7" t="str">
            <v>Canada</v>
          </cell>
          <cell r="B7">
            <v>0.65</v>
          </cell>
          <cell r="C7">
            <v>0.35</v>
          </cell>
        </row>
        <row r="8">
          <cell r="A8" t="str">
            <v>Singapore</v>
          </cell>
          <cell r="B8">
            <v>0.34</v>
          </cell>
          <cell r="C8">
            <v>0.66</v>
          </cell>
        </row>
        <row r="9">
          <cell r="A9" t="str">
            <v>Malta</v>
          </cell>
        </row>
        <row r="10">
          <cell r="A10" t="str">
            <v>India</v>
          </cell>
          <cell r="B10">
            <v>0.39</v>
          </cell>
          <cell r="C10">
            <v>0.61</v>
          </cell>
        </row>
        <row r="11">
          <cell r="A11" t="str">
            <v>Jamaica</v>
          </cell>
        </row>
        <row r="12">
          <cell r="A12" t="str">
            <v>Bermuda</v>
          </cell>
        </row>
        <row r="13">
          <cell r="A13" t="str">
            <v>St. Helena</v>
          </cell>
          <cell r="B13">
            <v>0.44</v>
          </cell>
          <cell r="C13">
            <v>0.56000000000000005</v>
          </cell>
        </row>
        <row r="14">
          <cell r="A14" t="str">
            <v>Israel</v>
          </cell>
          <cell r="B14">
            <v>0.4</v>
          </cell>
          <cell r="C14">
            <v>0.6</v>
          </cell>
        </row>
        <row r="15">
          <cell r="A15" t="str">
            <v>Sri Lanka</v>
          </cell>
          <cell r="B15">
            <v>0.44</v>
          </cell>
          <cell r="C15">
            <v>0.56000000000000005</v>
          </cell>
        </row>
        <row r="16">
          <cell r="A16" t="str">
            <v>Ireland</v>
          </cell>
          <cell r="B16">
            <v>0.31</v>
          </cell>
          <cell r="C16">
            <v>0.69</v>
          </cell>
        </row>
        <row r="17">
          <cell r="A17" t="str">
            <v>Estonia</v>
          </cell>
        </row>
        <row r="18">
          <cell r="A18" t="str">
            <v>Mexico</v>
          </cell>
          <cell r="B18">
            <v>0.92</v>
          </cell>
          <cell r="C18">
            <v>0.08</v>
          </cell>
        </row>
        <row r="19">
          <cell r="A19" t="str">
            <v>Ecuador</v>
          </cell>
          <cell r="B19">
            <v>1</v>
          </cell>
        </row>
        <row r="20">
          <cell r="A20" t="str">
            <v>North Macedonia</v>
          </cell>
        </row>
        <row r="21">
          <cell r="A21" t="str">
            <v>Luxembourg</v>
          </cell>
        </row>
        <row r="22">
          <cell r="A22" t="str">
            <v>Nepal</v>
          </cell>
        </row>
        <row r="23">
          <cell r="A23" t="str">
            <v>New Zealand</v>
          </cell>
          <cell r="B23">
            <v>0.33</v>
          </cell>
          <cell r="C23">
            <v>0.67</v>
          </cell>
        </row>
        <row r="24">
          <cell r="A24" t="str">
            <v>United States</v>
          </cell>
          <cell r="B24">
            <v>0.43</v>
          </cell>
          <cell r="C24">
            <v>0.56999999999999995</v>
          </cell>
        </row>
        <row r="25">
          <cell r="A25" t="str">
            <v>Panama</v>
          </cell>
          <cell r="B25">
            <v>1</v>
          </cell>
        </row>
        <row r="26">
          <cell r="A26" t="str">
            <v>Australia</v>
          </cell>
          <cell r="B26">
            <v>0.55000000000000004</v>
          </cell>
          <cell r="C26">
            <v>0.45</v>
          </cell>
        </row>
        <row r="27">
          <cell r="A27" t="str">
            <v>Costa Rica</v>
          </cell>
        </row>
        <row r="28">
          <cell r="A28" t="str">
            <v>Japan</v>
          </cell>
          <cell r="B28">
            <v>0.83</v>
          </cell>
          <cell r="C28">
            <v>0.17</v>
          </cell>
        </row>
        <row r="29">
          <cell r="A29" t="str">
            <v>Laos</v>
          </cell>
        </row>
        <row r="30">
          <cell r="A30" t="str">
            <v>Armenia</v>
          </cell>
        </row>
        <row r="31">
          <cell r="A31" t="str">
            <v>Philippines</v>
          </cell>
          <cell r="B31">
            <v>0.44</v>
          </cell>
          <cell r="C31">
            <v>0.56000000000000005</v>
          </cell>
        </row>
        <row r="32">
          <cell r="A32" t="str">
            <v>United Kingdom</v>
          </cell>
          <cell r="B32">
            <v>0.37</v>
          </cell>
          <cell r="C32">
            <v>0.63</v>
          </cell>
        </row>
        <row r="33">
          <cell r="A33" t="str">
            <v>Myanmar (Burma)</v>
          </cell>
        </row>
        <row r="34">
          <cell r="A34" t="str">
            <v>Paraguay</v>
          </cell>
        </row>
        <row r="35">
          <cell r="A35" t="str">
            <v>Pakistan</v>
          </cell>
          <cell r="B35">
            <v>0.28000000000000003</v>
          </cell>
          <cell r="C35">
            <v>0.72</v>
          </cell>
        </row>
        <row r="36">
          <cell r="A36" t="str">
            <v>Sweden</v>
          </cell>
          <cell r="B36">
            <v>0.34</v>
          </cell>
          <cell r="C36">
            <v>0.66</v>
          </cell>
        </row>
        <row r="37">
          <cell r="A37" t="str">
            <v>Chile</v>
          </cell>
          <cell r="B37">
            <v>0.89</v>
          </cell>
          <cell r="C37">
            <v>0.11</v>
          </cell>
        </row>
        <row r="38">
          <cell r="A38" t="str">
            <v>Hong Kong</v>
          </cell>
          <cell r="B38">
            <v>0.52</v>
          </cell>
          <cell r="C38">
            <v>0.48</v>
          </cell>
        </row>
        <row r="39">
          <cell r="A39" t="str">
            <v>Taiwan</v>
          </cell>
          <cell r="B39">
            <v>0.75</v>
          </cell>
          <cell r="C39">
            <v>0.25</v>
          </cell>
        </row>
        <row r="40">
          <cell r="A40" t="str">
            <v>Lebanon</v>
          </cell>
        </row>
        <row r="41">
          <cell r="A41" t="str">
            <v>Guatemala</v>
          </cell>
          <cell r="B41">
            <v>1</v>
          </cell>
        </row>
        <row r="42">
          <cell r="A42" t="str">
            <v>Finland</v>
          </cell>
          <cell r="B42">
            <v>0.37</v>
          </cell>
          <cell r="C42">
            <v>0.63</v>
          </cell>
        </row>
        <row r="43">
          <cell r="A43" t="str">
            <v>Switzerland</v>
          </cell>
          <cell r="B43">
            <v>0.44</v>
          </cell>
          <cell r="C43">
            <v>0.56000000000000005</v>
          </cell>
        </row>
        <row r="44">
          <cell r="A44" t="str">
            <v>Argentina</v>
          </cell>
          <cell r="B44">
            <v>0.82</v>
          </cell>
          <cell r="C44">
            <v>0.18</v>
          </cell>
        </row>
        <row r="45">
          <cell r="A45" t="str">
            <v>Bulgaria</v>
          </cell>
          <cell r="B45">
            <v>0.38</v>
          </cell>
          <cell r="C45">
            <v>0.62</v>
          </cell>
        </row>
        <row r="46">
          <cell r="A46" t="str">
            <v>Lithuania</v>
          </cell>
        </row>
        <row r="47">
          <cell r="A47" t="str">
            <v>Czechia</v>
          </cell>
          <cell r="B47">
            <v>0.43</v>
          </cell>
          <cell r="C47">
            <v>0.56999999999999995</v>
          </cell>
        </row>
        <row r="48">
          <cell r="A48" t="str">
            <v>El Salvador</v>
          </cell>
        </row>
        <row r="49">
          <cell r="A49" t="str">
            <v>Kenya</v>
          </cell>
        </row>
        <row r="50">
          <cell r="A50" t="str">
            <v>Belarus</v>
          </cell>
          <cell r="B50">
            <v>0.63</v>
          </cell>
          <cell r="C50">
            <v>0.37</v>
          </cell>
        </row>
        <row r="51">
          <cell r="A51" t="str">
            <v>Serbia</v>
          </cell>
        </row>
        <row r="52">
          <cell r="A52" t="str">
            <v>Slovenia</v>
          </cell>
        </row>
        <row r="53">
          <cell r="A53" t="str">
            <v>Malaysia</v>
          </cell>
          <cell r="B53">
            <v>0.38</v>
          </cell>
          <cell r="C53">
            <v>0.62</v>
          </cell>
        </row>
        <row r="54">
          <cell r="A54" t="str">
            <v>South Africa</v>
          </cell>
          <cell r="B54">
            <v>0.32</v>
          </cell>
          <cell r="C54">
            <v>0.68</v>
          </cell>
        </row>
        <row r="55">
          <cell r="A55" t="str">
            <v>Romania</v>
          </cell>
          <cell r="B55">
            <v>0.4</v>
          </cell>
          <cell r="C55">
            <v>0.6</v>
          </cell>
        </row>
        <row r="56">
          <cell r="A56" t="str">
            <v>Norway</v>
          </cell>
          <cell r="B56">
            <v>0.54</v>
          </cell>
          <cell r="C56">
            <v>0.46</v>
          </cell>
        </row>
        <row r="57">
          <cell r="A57" t="str">
            <v>Bangladesh</v>
          </cell>
        </row>
        <row r="58">
          <cell r="A58" t="str">
            <v>Uruguay</v>
          </cell>
        </row>
        <row r="59">
          <cell r="A59" t="str">
            <v>Tunisia</v>
          </cell>
        </row>
        <row r="60">
          <cell r="A60" t="str">
            <v>Croatia</v>
          </cell>
        </row>
        <row r="61">
          <cell r="A61" t="str">
            <v>Austria</v>
          </cell>
          <cell r="B61">
            <v>0.41</v>
          </cell>
          <cell r="C61">
            <v>0.59</v>
          </cell>
        </row>
        <row r="62">
          <cell r="A62" t="str">
            <v>Latvia</v>
          </cell>
        </row>
        <row r="63">
          <cell r="A63" t="str">
            <v>Portugal</v>
          </cell>
          <cell r="B63">
            <v>0.4</v>
          </cell>
          <cell r="C63">
            <v>0.6</v>
          </cell>
        </row>
        <row r="64">
          <cell r="A64" t="str">
            <v>Colombia</v>
          </cell>
          <cell r="B64">
            <v>0.82</v>
          </cell>
          <cell r="C64">
            <v>0.18</v>
          </cell>
        </row>
        <row r="65">
          <cell r="A65" t="str">
            <v>Germany</v>
          </cell>
          <cell r="B65">
            <v>0.45</v>
          </cell>
          <cell r="C65">
            <v>0.55000000000000004</v>
          </cell>
        </row>
        <row r="66">
          <cell r="A66" t="str">
            <v>Denmark</v>
          </cell>
          <cell r="B66">
            <v>0.45</v>
          </cell>
          <cell r="C66">
            <v>0.55000000000000004</v>
          </cell>
        </row>
        <row r="67">
          <cell r="A67" t="str">
            <v>United Arab Emirates</v>
          </cell>
          <cell r="B67">
            <v>0.33</v>
          </cell>
          <cell r="C67">
            <v>0.67</v>
          </cell>
        </row>
        <row r="68">
          <cell r="A68" t="str">
            <v>Bosnia &amp; Herzegovina</v>
          </cell>
        </row>
        <row r="69">
          <cell r="A69" t="str">
            <v>Uganda</v>
          </cell>
        </row>
        <row r="70">
          <cell r="A70" t="str">
            <v>Vietnam</v>
          </cell>
          <cell r="B70">
            <v>0.45</v>
          </cell>
          <cell r="C70">
            <v>0.55000000000000004</v>
          </cell>
        </row>
        <row r="71">
          <cell r="A71" t="str">
            <v>Hungary</v>
          </cell>
          <cell r="B71">
            <v>0.6</v>
          </cell>
          <cell r="C71">
            <v>0.4</v>
          </cell>
        </row>
        <row r="72">
          <cell r="A72" t="str">
            <v>Netherlands</v>
          </cell>
          <cell r="B72">
            <v>0.48</v>
          </cell>
          <cell r="C72">
            <v>0.52</v>
          </cell>
        </row>
        <row r="73">
          <cell r="A73" t="str">
            <v>Bolivia</v>
          </cell>
        </row>
        <row r="74">
          <cell r="A74" t="str">
            <v>Belgium</v>
          </cell>
          <cell r="B74">
            <v>0.45</v>
          </cell>
          <cell r="C74">
            <v>0.55000000000000004</v>
          </cell>
        </row>
        <row r="75">
          <cell r="A75" t="str">
            <v>Ukraine</v>
          </cell>
          <cell r="B75">
            <v>0.57999999999999996</v>
          </cell>
          <cell r="C75">
            <v>0.42</v>
          </cell>
        </row>
        <row r="76">
          <cell r="A76" t="str">
            <v>Russia</v>
          </cell>
          <cell r="B76">
            <v>0.69</v>
          </cell>
          <cell r="C76">
            <v>0.31</v>
          </cell>
        </row>
        <row r="77">
          <cell r="A77" t="str">
            <v>Peru</v>
          </cell>
        </row>
        <row r="78">
          <cell r="A78" t="str">
            <v>Slovakia</v>
          </cell>
        </row>
        <row r="79">
          <cell r="A79" t="str">
            <v>Greece</v>
          </cell>
          <cell r="B79">
            <v>0.52</v>
          </cell>
          <cell r="C79">
            <v>0.48</v>
          </cell>
        </row>
        <row r="80">
          <cell r="A80" t="str">
            <v>Turkey</v>
          </cell>
          <cell r="B80">
            <v>0.75</v>
          </cell>
          <cell r="C80">
            <v>0.25</v>
          </cell>
        </row>
        <row r="81">
          <cell r="A81" t="str">
            <v>Poland</v>
          </cell>
          <cell r="B81">
            <v>0.49</v>
          </cell>
          <cell r="C81">
            <v>0.51</v>
          </cell>
        </row>
        <row r="82">
          <cell r="A82" t="str">
            <v>Honduras</v>
          </cell>
        </row>
        <row r="83">
          <cell r="A83" t="str">
            <v>France</v>
          </cell>
          <cell r="B83">
            <v>0.55000000000000004</v>
          </cell>
          <cell r="C83">
            <v>0.45</v>
          </cell>
        </row>
        <row r="84">
          <cell r="A84" t="str">
            <v>Iran</v>
          </cell>
          <cell r="B84">
            <v>0.31</v>
          </cell>
          <cell r="C84">
            <v>0.69</v>
          </cell>
        </row>
        <row r="85">
          <cell r="A85" t="str">
            <v>Egypt</v>
          </cell>
          <cell r="B85">
            <v>0.52</v>
          </cell>
          <cell r="C85">
            <v>0.48</v>
          </cell>
        </row>
        <row r="86">
          <cell r="A86" t="str">
            <v>Spain</v>
          </cell>
          <cell r="B86">
            <v>0.46</v>
          </cell>
          <cell r="C86">
            <v>0.54</v>
          </cell>
        </row>
        <row r="87">
          <cell r="A87" t="str">
            <v>Nigeria</v>
          </cell>
        </row>
        <row r="88">
          <cell r="A88" t="str">
            <v>Thailand</v>
          </cell>
          <cell r="B88">
            <v>0.31</v>
          </cell>
          <cell r="C88">
            <v>0.69</v>
          </cell>
        </row>
        <row r="89">
          <cell r="A89" t="str">
            <v>Italy</v>
          </cell>
          <cell r="B89">
            <v>0.53</v>
          </cell>
          <cell r="C89">
            <v>0.47</v>
          </cell>
        </row>
        <row r="90">
          <cell r="A90" t="str">
            <v>Indonesia</v>
          </cell>
          <cell r="B90">
            <v>0.34</v>
          </cell>
          <cell r="C90">
            <v>0.66</v>
          </cell>
        </row>
        <row r="91">
          <cell r="A91" t="str">
            <v>Morocco</v>
          </cell>
        </row>
        <row r="92">
          <cell r="A92" t="str">
            <v>Saudi Arabia</v>
          </cell>
        </row>
        <row r="93">
          <cell r="A93" t="str">
            <v>Kazakhstan</v>
          </cell>
        </row>
        <row r="94">
          <cell r="A94" t="str">
            <v>Brazil</v>
          </cell>
          <cell r="B94">
            <v>0.56999999999999995</v>
          </cell>
          <cell r="C94">
            <v>0.43</v>
          </cell>
        </row>
        <row r="95">
          <cell r="A95" t="str">
            <v>Venezuela</v>
          </cell>
        </row>
        <row r="96">
          <cell r="A96" t="str">
            <v>North Korea</v>
          </cell>
        </row>
        <row r="97">
          <cell r="A97" t="str">
            <v>Northern Mariana Islands</v>
          </cell>
        </row>
        <row r="98">
          <cell r="A98" t="str">
            <v>Dominica</v>
          </cell>
        </row>
        <row r="99">
          <cell r="A99" t="str">
            <v>Greenland</v>
          </cell>
        </row>
        <row r="100">
          <cell r="A100" t="str">
            <v>Western Sahara</v>
          </cell>
        </row>
        <row r="101">
          <cell r="A101" t="str">
            <v>U.S. Virgin Islands</v>
          </cell>
        </row>
        <row r="102">
          <cell r="A102" t="str">
            <v>Gibraltar</v>
          </cell>
        </row>
        <row r="103">
          <cell r="A103" t="str">
            <v>Antigua &amp; Barbuda</v>
          </cell>
        </row>
        <row r="104">
          <cell r="A104" t="str">
            <v>St. Lucia</v>
          </cell>
        </row>
        <row r="105">
          <cell r="A105" t="str">
            <v>Cuba</v>
          </cell>
        </row>
        <row r="106">
          <cell r="A106" t="str">
            <v>Cayman Islands</v>
          </cell>
        </row>
        <row r="107">
          <cell r="A107" t="str">
            <v>Burundi</v>
          </cell>
        </row>
        <row r="108">
          <cell r="A108" t="str">
            <v>Andorra</v>
          </cell>
        </row>
        <row r="109">
          <cell r="A109" t="str">
            <v>Lesotho</v>
          </cell>
        </row>
        <row r="110">
          <cell r="A110" t="str">
            <v>Aruba</v>
          </cell>
        </row>
        <row r="111">
          <cell r="A111" t="str">
            <v>Liberia</v>
          </cell>
        </row>
        <row r="112">
          <cell r="A112" t="str">
            <v>Congo - Brazzaville</v>
          </cell>
        </row>
        <row r="113">
          <cell r="A113" t="str">
            <v>Botswana</v>
          </cell>
        </row>
        <row r="114">
          <cell r="A114" t="str">
            <v>Isle of Man</v>
          </cell>
        </row>
        <row r="115">
          <cell r="A115" t="str">
            <v>CuraÃ§ao</v>
          </cell>
        </row>
        <row r="116">
          <cell r="A116" t="str">
            <v>Maldives</v>
          </cell>
        </row>
        <row r="117">
          <cell r="A117" t="str">
            <v>Rwanda</v>
          </cell>
        </row>
        <row r="118">
          <cell r="A118" t="str">
            <v>Belize</v>
          </cell>
        </row>
        <row r="119">
          <cell r="A119" t="str">
            <v>Zimbabwe</v>
          </cell>
        </row>
        <row r="120">
          <cell r="A120" t="str">
            <v>Guam</v>
          </cell>
        </row>
        <row r="121">
          <cell r="A121" t="str">
            <v>Papua New Guinea</v>
          </cell>
        </row>
        <row r="122">
          <cell r="A122" t="str">
            <v>Malawi</v>
          </cell>
        </row>
        <row r="123">
          <cell r="A123" t="str">
            <v>Ethiopia</v>
          </cell>
        </row>
        <row r="124">
          <cell r="A124" t="str">
            <v>Barbados</v>
          </cell>
        </row>
        <row r="125">
          <cell r="A125" t="str">
            <v>Bahamas</v>
          </cell>
        </row>
        <row r="126">
          <cell r="A126" t="str">
            <v>Zambia</v>
          </cell>
        </row>
        <row r="127">
          <cell r="A127" t="str">
            <v>Suriname</v>
          </cell>
        </row>
        <row r="128">
          <cell r="A128" t="str">
            <v>Iceland</v>
          </cell>
        </row>
        <row r="129">
          <cell r="A129" t="str">
            <v>Cyprus</v>
          </cell>
        </row>
        <row r="130">
          <cell r="A130" t="str">
            <v>Trinidad &amp; Tobago</v>
          </cell>
        </row>
        <row r="131">
          <cell r="A131" t="str">
            <v>Brunei</v>
          </cell>
        </row>
        <row r="132">
          <cell r="A132" t="str">
            <v>Palestine</v>
          </cell>
        </row>
        <row r="133">
          <cell r="A133" t="str">
            <v>Macao</v>
          </cell>
        </row>
        <row r="134">
          <cell r="A134" t="str">
            <v>Namibia</v>
          </cell>
        </row>
        <row r="135">
          <cell r="A135" t="str">
            <v>Nicaragua</v>
          </cell>
        </row>
        <row r="136">
          <cell r="A136" t="str">
            <v>Burkina Faso</v>
          </cell>
        </row>
        <row r="137">
          <cell r="A137" t="str">
            <v>Mozambique</v>
          </cell>
        </row>
        <row r="138">
          <cell r="A138" t="str">
            <v>Angola</v>
          </cell>
        </row>
        <row r="139">
          <cell r="A139" t="str">
            <v>Mongolia</v>
          </cell>
        </row>
        <row r="140">
          <cell r="A140" t="str">
            <v>Libya</v>
          </cell>
        </row>
        <row r="141">
          <cell r="A141" t="str">
            <v>Afghanistan</v>
          </cell>
        </row>
        <row r="142">
          <cell r="A142" t="str">
            <v>Yemen</v>
          </cell>
        </row>
        <row r="143">
          <cell r="A143" t="str">
            <v>Qatar</v>
          </cell>
        </row>
        <row r="144">
          <cell r="A144" t="str">
            <v>Mauritius</v>
          </cell>
        </row>
        <row r="145">
          <cell r="A145" t="str">
            <v>Jordan</v>
          </cell>
        </row>
        <row r="146">
          <cell r="A146" t="str">
            <v>Puerto Rico</v>
          </cell>
        </row>
        <row r="147">
          <cell r="A147" t="str">
            <v>Kosovo</v>
          </cell>
        </row>
        <row r="148">
          <cell r="A148" t="str">
            <v>Oman</v>
          </cell>
        </row>
        <row r="149">
          <cell r="A149" t="str">
            <v>Kyrgyzstan</v>
          </cell>
        </row>
        <row r="150">
          <cell r="A150" t="str">
            <v>Moldova</v>
          </cell>
        </row>
        <row r="151">
          <cell r="A151" t="str">
            <v>Congo - Kinshasa</v>
          </cell>
        </row>
        <row r="152">
          <cell r="A152" t="str">
            <v>Azerbaijan</v>
          </cell>
        </row>
        <row r="153">
          <cell r="A153" t="str">
            <v>RÃ©union</v>
          </cell>
        </row>
        <row r="154">
          <cell r="A154" t="str">
            <v>Tanzania</v>
          </cell>
        </row>
        <row r="155">
          <cell r="A155" t="str">
            <v>Bahrain</v>
          </cell>
        </row>
        <row r="156">
          <cell r="A156" t="str">
            <v>Sudan</v>
          </cell>
        </row>
        <row r="157">
          <cell r="A157" t="str">
            <v>Ghana</v>
          </cell>
        </row>
        <row r="158">
          <cell r="A158" t="str">
            <v>Uzbekistan</v>
          </cell>
        </row>
        <row r="159">
          <cell r="A159" t="str">
            <v>Dominican Republic</v>
          </cell>
        </row>
        <row r="160">
          <cell r="A160" t="str">
            <v>CÃ´te dâ€™Ivoire</v>
          </cell>
        </row>
        <row r="161">
          <cell r="A161" t="str">
            <v>Kuwait</v>
          </cell>
        </row>
        <row r="162">
          <cell r="A162" t="str">
            <v>Cambodia</v>
          </cell>
        </row>
        <row r="163">
          <cell r="A163" t="str">
            <v>Syria</v>
          </cell>
        </row>
        <row r="164">
          <cell r="A164" t="str">
            <v>Georgia</v>
          </cell>
        </row>
        <row r="165">
          <cell r="A165" t="str">
            <v>Iraq</v>
          </cell>
        </row>
        <row r="166">
          <cell r="A166" t="str">
            <v>Algeria</v>
          </cell>
        </row>
        <row r="167">
          <cell r="A167" t="str">
            <v>Anguilla</v>
          </cell>
        </row>
        <row r="168">
          <cell r="A168" t="str">
            <v>Ã…land Islands</v>
          </cell>
        </row>
        <row r="169">
          <cell r="A169" t="str">
            <v>Albania</v>
          </cell>
        </row>
        <row r="170">
          <cell r="A170" t="str">
            <v>American Samoa</v>
          </cell>
        </row>
        <row r="171">
          <cell r="A171" t="str">
            <v>Antarctica</v>
          </cell>
        </row>
        <row r="172">
          <cell r="A172" t="str">
            <v>French Southern Territories</v>
          </cell>
        </row>
        <row r="173">
          <cell r="A173" t="str">
            <v>Benin</v>
          </cell>
        </row>
        <row r="174">
          <cell r="A174" t="str">
            <v>Caribbean Netherlands</v>
          </cell>
        </row>
        <row r="175">
          <cell r="A175" t="str">
            <v>St. BarthÃ©lemy</v>
          </cell>
        </row>
        <row r="176">
          <cell r="A176" t="str">
            <v>Bhutan</v>
          </cell>
        </row>
        <row r="177">
          <cell r="A177" t="str">
            <v>Bouvet Island</v>
          </cell>
        </row>
        <row r="178">
          <cell r="A178" t="str">
            <v>Central African Republic</v>
          </cell>
        </row>
        <row r="179">
          <cell r="A179" t="str">
            <v>Cocos (Keeling) Islands</v>
          </cell>
        </row>
        <row r="180">
          <cell r="A180" t="str">
            <v>Cameroon</v>
          </cell>
        </row>
        <row r="181">
          <cell r="A181" t="str">
            <v>Cook Islands</v>
          </cell>
        </row>
        <row r="182">
          <cell r="A182" t="str">
            <v>Comoros</v>
          </cell>
        </row>
        <row r="183">
          <cell r="A183" t="str">
            <v>Cape Verde</v>
          </cell>
        </row>
        <row r="184">
          <cell r="A184" t="str">
            <v>Christmas Island</v>
          </cell>
        </row>
        <row r="185">
          <cell r="A185" t="str">
            <v>Djibouti</v>
          </cell>
        </row>
        <row r="186">
          <cell r="A186" t="str">
            <v>Eritrea</v>
          </cell>
        </row>
        <row r="187">
          <cell r="A187" t="str">
            <v>Fiji</v>
          </cell>
        </row>
        <row r="188">
          <cell r="A188" t="str">
            <v>Falkland Islands (Islas Malvinas)</v>
          </cell>
        </row>
        <row r="189">
          <cell r="A189" t="str">
            <v>Faroe Islands</v>
          </cell>
        </row>
        <row r="190">
          <cell r="A190" t="str">
            <v>Micronesia</v>
          </cell>
        </row>
        <row r="191">
          <cell r="A191" t="str">
            <v>Gabon</v>
          </cell>
        </row>
        <row r="192">
          <cell r="A192" t="str">
            <v>Guernsey</v>
          </cell>
        </row>
        <row r="193">
          <cell r="A193" t="str">
            <v>Guinea</v>
          </cell>
        </row>
        <row r="194">
          <cell r="A194" t="str">
            <v>Guadeloupe</v>
          </cell>
        </row>
        <row r="195">
          <cell r="A195" t="str">
            <v>Gambia</v>
          </cell>
        </row>
        <row r="196">
          <cell r="A196" t="str">
            <v>Guinea-Bissau</v>
          </cell>
        </row>
        <row r="197">
          <cell r="A197" t="str">
            <v>Equatorial Guinea</v>
          </cell>
        </row>
        <row r="198">
          <cell r="A198" t="str">
            <v>Grenada</v>
          </cell>
        </row>
        <row r="199">
          <cell r="A199" t="str">
            <v>French Guiana</v>
          </cell>
        </row>
        <row r="200">
          <cell r="A200" t="str">
            <v>Heard &amp; McDonald Islands</v>
          </cell>
        </row>
        <row r="201">
          <cell r="A201" t="str">
            <v>Haiti</v>
          </cell>
        </row>
        <row r="202">
          <cell r="A202" t="str">
            <v>British Indian Ocean Territory</v>
          </cell>
        </row>
        <row r="203">
          <cell r="A203" t="str">
            <v>Jersey</v>
          </cell>
        </row>
        <row r="204">
          <cell r="A204" t="str">
            <v>Kiribati</v>
          </cell>
        </row>
        <row r="205">
          <cell r="A205" t="str">
            <v>St. Kitts &amp; Nevis</v>
          </cell>
        </row>
        <row r="206">
          <cell r="A206" t="str">
            <v>Liechtenstein</v>
          </cell>
        </row>
        <row r="207">
          <cell r="A207" t="str">
            <v>St. Martin</v>
          </cell>
        </row>
        <row r="208">
          <cell r="A208" t="str">
            <v>Monaco</v>
          </cell>
        </row>
        <row r="209">
          <cell r="A209" t="str">
            <v>Madagascar</v>
          </cell>
        </row>
        <row r="210">
          <cell r="A210" t="str">
            <v>Marshall Islands</v>
          </cell>
        </row>
        <row r="211">
          <cell r="A211" t="str">
            <v>Mali</v>
          </cell>
        </row>
        <row r="212">
          <cell r="A212" t="str">
            <v>Montenegro</v>
          </cell>
        </row>
        <row r="213">
          <cell r="A213" t="str">
            <v>Mauritania</v>
          </cell>
        </row>
        <row r="214">
          <cell r="A214" t="str">
            <v>Montserrat</v>
          </cell>
        </row>
        <row r="215">
          <cell r="A215" t="str">
            <v>Martinique</v>
          </cell>
        </row>
        <row r="216">
          <cell r="A216" t="str">
            <v>Mayotte</v>
          </cell>
        </row>
        <row r="217">
          <cell r="A217" t="str">
            <v>New Caledonia</v>
          </cell>
        </row>
        <row r="218">
          <cell r="A218" t="str">
            <v>Niger</v>
          </cell>
        </row>
        <row r="219">
          <cell r="A219" t="str">
            <v>Norfolk Island</v>
          </cell>
        </row>
        <row r="220">
          <cell r="A220" t="str">
            <v>Niue</v>
          </cell>
        </row>
        <row r="221">
          <cell r="A221" t="str">
            <v>Nauru</v>
          </cell>
        </row>
        <row r="222">
          <cell r="A222" t="str">
            <v>Pitcairn Islands</v>
          </cell>
        </row>
        <row r="223">
          <cell r="A223" t="str">
            <v>Palau</v>
          </cell>
        </row>
        <row r="224">
          <cell r="A224" t="str">
            <v>French Polynesia</v>
          </cell>
        </row>
        <row r="225">
          <cell r="A225" t="str">
            <v>Senegal</v>
          </cell>
        </row>
        <row r="226">
          <cell r="A226" t="str">
            <v>South Georgia &amp; South Sandwich Islands</v>
          </cell>
        </row>
        <row r="227">
          <cell r="A227" t="str">
            <v>Svalbard &amp; Jan Mayen</v>
          </cell>
        </row>
        <row r="228">
          <cell r="A228" t="str">
            <v>Solomon Islands</v>
          </cell>
        </row>
        <row r="229">
          <cell r="A229" t="str">
            <v>Sierra Leone</v>
          </cell>
        </row>
        <row r="230">
          <cell r="A230" t="str">
            <v>San Marino</v>
          </cell>
        </row>
        <row r="231">
          <cell r="A231" t="str">
            <v>Somalia</v>
          </cell>
        </row>
        <row r="232">
          <cell r="A232" t="str">
            <v>St. Pierre &amp; Miquelon</v>
          </cell>
        </row>
        <row r="233">
          <cell r="A233" t="str">
            <v>South Sudan</v>
          </cell>
        </row>
        <row r="234">
          <cell r="A234" t="str">
            <v>SÃ£o TomÃ© &amp; PrÃ­ncipe</v>
          </cell>
        </row>
        <row r="235">
          <cell r="A235" t="str">
            <v>Eswatini</v>
          </cell>
        </row>
        <row r="236">
          <cell r="A236" t="str">
            <v>Sint Maarten</v>
          </cell>
        </row>
        <row r="237">
          <cell r="A237" t="str">
            <v>Seychelles</v>
          </cell>
        </row>
        <row r="238">
          <cell r="A238" t="str">
            <v>Turks &amp; Caicos Islands</v>
          </cell>
        </row>
        <row r="239">
          <cell r="A239" t="str">
            <v>Chad</v>
          </cell>
        </row>
        <row r="240">
          <cell r="A240" t="str">
            <v>Togo</v>
          </cell>
        </row>
        <row r="241">
          <cell r="A241" t="str">
            <v>Tajikistan</v>
          </cell>
        </row>
        <row r="242">
          <cell r="A242" t="str">
            <v>Tokelau</v>
          </cell>
        </row>
        <row r="243">
          <cell r="A243" t="str">
            <v>Turkmenistan</v>
          </cell>
        </row>
        <row r="244">
          <cell r="A244" t="str">
            <v>Timor-Leste</v>
          </cell>
        </row>
        <row r="245">
          <cell r="A245" t="str">
            <v>Tonga</v>
          </cell>
        </row>
        <row r="246">
          <cell r="A246" t="str">
            <v>Tuvalu</v>
          </cell>
        </row>
        <row r="247">
          <cell r="A247" t="str">
            <v>U.S. Outlying Islands</v>
          </cell>
        </row>
        <row r="248">
          <cell r="A248" t="str">
            <v>Vatican City</v>
          </cell>
        </row>
        <row r="249">
          <cell r="A249" t="str">
            <v>St. Vincent &amp; Grenadines</v>
          </cell>
        </row>
        <row r="250">
          <cell r="A250" t="str">
            <v>British Virgin Islands</v>
          </cell>
        </row>
        <row r="251">
          <cell r="A251" t="str">
            <v>Vanuatu</v>
          </cell>
        </row>
        <row r="252">
          <cell r="A252" t="str">
            <v>Wallis &amp; Futuna</v>
          </cell>
        </row>
        <row r="253">
          <cell r="A253" t="str">
            <v>Samoa</v>
          </cell>
        </row>
      </sheetData>
    </sheetDataSet>
  </externalBook>
</externalLink>
</file>

<file path=xl/externalLinks/externalLink1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23)"/>
    </sheetNames>
    <sheetDataSet>
      <sheetData sheetId="0">
        <row r="1">
          <cell r="A1" t="str">
            <v>Kategori: TÃ¼m kategoriler</v>
          </cell>
        </row>
        <row r="3">
          <cell r="A3" t="str">
            <v>Ãœlke</v>
          </cell>
          <cell r="B3" t="str">
            <v>Null pointer: (2017)</v>
          </cell>
          <cell r="C3" t="str">
            <v>Sonlu durum makinesi: (2017)</v>
          </cell>
        </row>
        <row r="4">
          <cell r="A4" t="str">
            <v>Micronesia</v>
          </cell>
          <cell r="C4">
            <v>1</v>
          </cell>
        </row>
        <row r="5">
          <cell r="A5" t="str">
            <v>China</v>
          </cell>
          <cell r="B5">
            <v>0.4</v>
          </cell>
          <cell r="C5">
            <v>0.6</v>
          </cell>
        </row>
        <row r="6">
          <cell r="A6" t="str">
            <v>Guam</v>
          </cell>
          <cell r="C6">
            <v>1</v>
          </cell>
        </row>
        <row r="7">
          <cell r="A7" t="str">
            <v>Fiji</v>
          </cell>
          <cell r="C7">
            <v>1</v>
          </cell>
        </row>
        <row r="8">
          <cell r="A8" t="str">
            <v>Maldives</v>
          </cell>
        </row>
        <row r="9">
          <cell r="A9" t="str">
            <v>Singapore</v>
          </cell>
          <cell r="B9">
            <v>0.37</v>
          </cell>
          <cell r="C9">
            <v>0.63</v>
          </cell>
        </row>
        <row r="10">
          <cell r="A10" t="str">
            <v>Macao</v>
          </cell>
        </row>
        <row r="11">
          <cell r="A11" t="str">
            <v>Israel</v>
          </cell>
          <cell r="B11">
            <v>0.4</v>
          </cell>
          <cell r="C11">
            <v>0.6</v>
          </cell>
        </row>
        <row r="12">
          <cell r="A12" t="str">
            <v>Iceland</v>
          </cell>
        </row>
        <row r="13">
          <cell r="A13" t="str">
            <v>India</v>
          </cell>
          <cell r="B13">
            <v>0.68</v>
          </cell>
          <cell r="C13">
            <v>0.32</v>
          </cell>
        </row>
        <row r="14">
          <cell r="A14" t="str">
            <v>South Korea</v>
          </cell>
          <cell r="B14">
            <v>0.39</v>
          </cell>
          <cell r="C14">
            <v>0.61</v>
          </cell>
        </row>
        <row r="15">
          <cell r="A15" t="str">
            <v>St. Helena</v>
          </cell>
          <cell r="B15">
            <v>0.65</v>
          </cell>
          <cell r="C15">
            <v>0.35</v>
          </cell>
        </row>
        <row r="16">
          <cell r="A16" t="str">
            <v>Ireland</v>
          </cell>
          <cell r="B16">
            <v>0.67</v>
          </cell>
          <cell r="C16">
            <v>0.33</v>
          </cell>
        </row>
        <row r="17">
          <cell r="A17" t="str">
            <v>Luxembourg</v>
          </cell>
        </row>
        <row r="18">
          <cell r="A18" t="str">
            <v>Hong Kong</v>
          </cell>
          <cell r="B18">
            <v>0.31</v>
          </cell>
          <cell r="C18">
            <v>0.69</v>
          </cell>
        </row>
        <row r="19">
          <cell r="A19" t="str">
            <v>Estonia</v>
          </cell>
        </row>
        <row r="20">
          <cell r="A20" t="str">
            <v>Sri Lanka</v>
          </cell>
          <cell r="B20">
            <v>0.67</v>
          </cell>
          <cell r="C20">
            <v>0.33</v>
          </cell>
        </row>
        <row r="21">
          <cell r="A21" t="str">
            <v>New Zealand</v>
          </cell>
          <cell r="B21">
            <v>0.62</v>
          </cell>
          <cell r="C21">
            <v>0.38</v>
          </cell>
        </row>
        <row r="22">
          <cell r="A22" t="str">
            <v>North Macedonia</v>
          </cell>
        </row>
        <row r="23">
          <cell r="A23" t="str">
            <v>Canada</v>
          </cell>
          <cell r="B23">
            <v>0.6</v>
          </cell>
          <cell r="C23">
            <v>0.4</v>
          </cell>
        </row>
        <row r="24">
          <cell r="A24" t="str">
            <v>United States</v>
          </cell>
          <cell r="B24">
            <v>0.6</v>
          </cell>
          <cell r="C24">
            <v>0.4</v>
          </cell>
        </row>
        <row r="25">
          <cell r="A25" t="str">
            <v>Nepal</v>
          </cell>
        </row>
        <row r="26">
          <cell r="A26" t="str">
            <v>Pakistan</v>
          </cell>
          <cell r="B26">
            <v>0.47</v>
          </cell>
          <cell r="C26">
            <v>0.53</v>
          </cell>
        </row>
        <row r="27">
          <cell r="A27" t="str">
            <v>Australia</v>
          </cell>
          <cell r="B27">
            <v>0.56999999999999995</v>
          </cell>
          <cell r="C27">
            <v>0.43</v>
          </cell>
        </row>
        <row r="28">
          <cell r="A28" t="str">
            <v>Ethiopia</v>
          </cell>
        </row>
        <row r="29">
          <cell r="A29" t="str">
            <v>Philippines</v>
          </cell>
          <cell r="B29">
            <v>0.67</v>
          </cell>
          <cell r="C29">
            <v>0.33</v>
          </cell>
        </row>
        <row r="30">
          <cell r="A30" t="str">
            <v>Tunisia</v>
          </cell>
        </row>
        <row r="31">
          <cell r="A31" t="str">
            <v>Taiwan</v>
          </cell>
          <cell r="B31">
            <v>0.24</v>
          </cell>
          <cell r="C31">
            <v>0.76</v>
          </cell>
        </row>
        <row r="32">
          <cell r="A32" t="str">
            <v>United Kingdom</v>
          </cell>
          <cell r="B32">
            <v>0.54</v>
          </cell>
          <cell r="C32">
            <v>0.46</v>
          </cell>
        </row>
        <row r="33">
          <cell r="A33" t="str">
            <v>Sweden</v>
          </cell>
          <cell r="B33">
            <v>0.61</v>
          </cell>
          <cell r="C33">
            <v>0.39</v>
          </cell>
        </row>
        <row r="34">
          <cell r="A34" t="str">
            <v>Finland</v>
          </cell>
          <cell r="B34">
            <v>0.6</v>
          </cell>
          <cell r="C34">
            <v>0.4</v>
          </cell>
        </row>
        <row r="35">
          <cell r="A35" t="str">
            <v>Switzerland</v>
          </cell>
          <cell r="B35">
            <v>0.51</v>
          </cell>
          <cell r="C35">
            <v>0.49</v>
          </cell>
        </row>
        <row r="36">
          <cell r="A36" t="str">
            <v>Czechia</v>
          </cell>
          <cell r="B36">
            <v>0.43</v>
          </cell>
          <cell r="C36">
            <v>0.56999999999999995</v>
          </cell>
        </row>
        <row r="37">
          <cell r="A37" t="str">
            <v>Malaysia</v>
          </cell>
          <cell r="B37">
            <v>0.42</v>
          </cell>
          <cell r="C37">
            <v>0.57999999999999996</v>
          </cell>
        </row>
        <row r="38">
          <cell r="A38" t="str">
            <v>Bulgaria</v>
          </cell>
          <cell r="B38">
            <v>0.59</v>
          </cell>
          <cell r="C38">
            <v>0.41</v>
          </cell>
        </row>
        <row r="39">
          <cell r="A39" t="str">
            <v>Norway</v>
          </cell>
          <cell r="B39">
            <v>0.42</v>
          </cell>
          <cell r="C39">
            <v>0.57999999999999996</v>
          </cell>
        </row>
        <row r="40">
          <cell r="A40" t="str">
            <v>Slovenia</v>
          </cell>
        </row>
        <row r="41">
          <cell r="A41" t="str">
            <v>Latvia</v>
          </cell>
        </row>
        <row r="42">
          <cell r="A42" t="str">
            <v>Germany</v>
          </cell>
          <cell r="B42">
            <v>0.45</v>
          </cell>
          <cell r="C42">
            <v>0.55000000000000004</v>
          </cell>
        </row>
        <row r="43">
          <cell r="A43" t="str">
            <v>Guatemala</v>
          </cell>
        </row>
        <row r="44">
          <cell r="A44" t="str">
            <v>Belarus</v>
          </cell>
          <cell r="B44">
            <v>0.41</v>
          </cell>
          <cell r="C44">
            <v>0.59</v>
          </cell>
        </row>
        <row r="45">
          <cell r="A45" t="str">
            <v>Russia</v>
          </cell>
          <cell r="B45">
            <v>0.2</v>
          </cell>
          <cell r="C45">
            <v>0.8</v>
          </cell>
        </row>
        <row r="46">
          <cell r="A46" t="str">
            <v>Lithuania</v>
          </cell>
        </row>
        <row r="47">
          <cell r="A47" t="str">
            <v>Romania</v>
          </cell>
          <cell r="B47">
            <v>0.56999999999999995</v>
          </cell>
          <cell r="C47">
            <v>0.43</v>
          </cell>
        </row>
        <row r="48">
          <cell r="A48" t="str">
            <v>South Africa</v>
          </cell>
          <cell r="B48">
            <v>0.56000000000000005</v>
          </cell>
          <cell r="C48">
            <v>0.44</v>
          </cell>
        </row>
        <row r="49">
          <cell r="A49" t="str">
            <v>Myanmar (Burma)</v>
          </cell>
        </row>
        <row r="50">
          <cell r="A50" t="str">
            <v>Lebanon</v>
          </cell>
        </row>
        <row r="51">
          <cell r="A51" t="str">
            <v>United Arab Emirates</v>
          </cell>
          <cell r="B51">
            <v>0.57999999999999996</v>
          </cell>
          <cell r="C51">
            <v>0.42</v>
          </cell>
        </row>
        <row r="52">
          <cell r="A52" t="str">
            <v>Croatia</v>
          </cell>
          <cell r="B52">
            <v>0.5</v>
          </cell>
          <cell r="C52">
            <v>0.5</v>
          </cell>
        </row>
        <row r="53">
          <cell r="A53" t="str">
            <v>Austria</v>
          </cell>
          <cell r="B53">
            <v>0.5</v>
          </cell>
          <cell r="C53">
            <v>0.5</v>
          </cell>
        </row>
        <row r="54">
          <cell r="A54" t="str">
            <v>Serbia</v>
          </cell>
          <cell r="B54">
            <v>0.57999999999999996</v>
          </cell>
          <cell r="C54">
            <v>0.42</v>
          </cell>
        </row>
        <row r="55">
          <cell r="A55" t="str">
            <v>Bangladesh</v>
          </cell>
          <cell r="B55">
            <v>0.7</v>
          </cell>
          <cell r="C55">
            <v>0.3</v>
          </cell>
        </row>
        <row r="56">
          <cell r="A56" t="str">
            <v>Ghana</v>
          </cell>
        </row>
        <row r="57">
          <cell r="A57" t="str">
            <v>Vietnam</v>
          </cell>
          <cell r="B57">
            <v>0.69</v>
          </cell>
          <cell r="C57">
            <v>0.31</v>
          </cell>
        </row>
        <row r="58">
          <cell r="A58" t="str">
            <v>Portugal</v>
          </cell>
          <cell r="B58">
            <v>0.54</v>
          </cell>
          <cell r="C58">
            <v>0.46</v>
          </cell>
        </row>
        <row r="59">
          <cell r="A59" t="str">
            <v>Tanzania</v>
          </cell>
        </row>
        <row r="60">
          <cell r="A60" t="str">
            <v>Denmark</v>
          </cell>
          <cell r="B60">
            <v>0.51</v>
          </cell>
          <cell r="C60">
            <v>0.49</v>
          </cell>
        </row>
        <row r="61">
          <cell r="A61" t="str">
            <v>Bosnia &amp; Herzegovina</v>
          </cell>
        </row>
        <row r="62">
          <cell r="A62" t="str">
            <v>Slovakia</v>
          </cell>
          <cell r="B62">
            <v>0.42</v>
          </cell>
          <cell r="C62">
            <v>0.57999999999999996</v>
          </cell>
        </row>
        <row r="63">
          <cell r="A63" t="str">
            <v>Netherlands</v>
          </cell>
          <cell r="B63">
            <v>0.5</v>
          </cell>
          <cell r="C63">
            <v>0.5</v>
          </cell>
        </row>
        <row r="64">
          <cell r="A64" t="str">
            <v>Ukraine</v>
          </cell>
          <cell r="B64">
            <v>0.38</v>
          </cell>
          <cell r="C64">
            <v>0.62</v>
          </cell>
        </row>
        <row r="65">
          <cell r="A65" t="str">
            <v>Kenya</v>
          </cell>
        </row>
        <row r="66">
          <cell r="A66" t="str">
            <v>Belgium</v>
          </cell>
          <cell r="B66">
            <v>0.52</v>
          </cell>
          <cell r="C66">
            <v>0.48</v>
          </cell>
        </row>
        <row r="67">
          <cell r="A67" t="str">
            <v>Greece</v>
          </cell>
          <cell r="B67">
            <v>0.43</v>
          </cell>
          <cell r="C67">
            <v>0.56999999999999995</v>
          </cell>
        </row>
        <row r="68">
          <cell r="A68" t="str">
            <v>Iran</v>
          </cell>
          <cell r="B68">
            <v>0.43</v>
          </cell>
          <cell r="C68">
            <v>0.56999999999999995</v>
          </cell>
        </row>
        <row r="69">
          <cell r="A69" t="str">
            <v>Hungary</v>
          </cell>
          <cell r="B69">
            <v>0.45</v>
          </cell>
          <cell r="C69">
            <v>0.55000000000000004</v>
          </cell>
        </row>
        <row r="70">
          <cell r="A70" t="str">
            <v>Costa Rica</v>
          </cell>
        </row>
        <row r="71">
          <cell r="A71" t="str">
            <v>Jordan</v>
          </cell>
        </row>
        <row r="72">
          <cell r="A72" t="str">
            <v>Uzbekistan</v>
          </cell>
        </row>
        <row r="73">
          <cell r="A73" t="str">
            <v>Nigeria</v>
          </cell>
        </row>
        <row r="74">
          <cell r="A74" t="str">
            <v>Poland</v>
          </cell>
          <cell r="B74">
            <v>0.5</v>
          </cell>
          <cell r="C74">
            <v>0.5</v>
          </cell>
        </row>
        <row r="75">
          <cell r="A75" t="str">
            <v>Turkey</v>
          </cell>
          <cell r="B75">
            <v>0.25</v>
          </cell>
          <cell r="C75">
            <v>0.75</v>
          </cell>
        </row>
        <row r="76">
          <cell r="A76" t="str">
            <v>Japan</v>
          </cell>
          <cell r="B76">
            <v>0.42</v>
          </cell>
          <cell r="C76">
            <v>0.57999999999999996</v>
          </cell>
        </row>
        <row r="77">
          <cell r="A77" t="str">
            <v>Italy</v>
          </cell>
          <cell r="B77">
            <v>0.33</v>
          </cell>
          <cell r="C77">
            <v>0.67</v>
          </cell>
        </row>
        <row r="78">
          <cell r="A78" t="str">
            <v>Kazakhstan</v>
          </cell>
          <cell r="C78">
            <v>1</v>
          </cell>
        </row>
        <row r="79">
          <cell r="A79" t="str">
            <v>Uruguay</v>
          </cell>
        </row>
        <row r="80">
          <cell r="A80" t="str">
            <v>Mexico</v>
          </cell>
          <cell r="B80">
            <v>0.28999999999999998</v>
          </cell>
          <cell r="C80">
            <v>0.71</v>
          </cell>
        </row>
        <row r="81">
          <cell r="A81" t="str">
            <v>Colombia</v>
          </cell>
          <cell r="B81">
            <v>0.31</v>
          </cell>
          <cell r="C81">
            <v>0.69</v>
          </cell>
        </row>
        <row r="82">
          <cell r="A82" t="str">
            <v>France</v>
          </cell>
          <cell r="B82">
            <v>0.56999999999999995</v>
          </cell>
          <cell r="C82">
            <v>0.43</v>
          </cell>
        </row>
        <row r="83">
          <cell r="A83" t="str">
            <v>Spain</v>
          </cell>
          <cell r="B83">
            <v>0.56000000000000005</v>
          </cell>
          <cell r="C83">
            <v>0.44</v>
          </cell>
        </row>
        <row r="84">
          <cell r="A84" t="str">
            <v>Egypt</v>
          </cell>
          <cell r="B84">
            <v>0.51</v>
          </cell>
          <cell r="C84">
            <v>0.49</v>
          </cell>
        </row>
        <row r="85">
          <cell r="A85" t="str">
            <v>Indonesia</v>
          </cell>
          <cell r="B85">
            <v>0.37</v>
          </cell>
          <cell r="C85">
            <v>0.63</v>
          </cell>
        </row>
        <row r="86">
          <cell r="A86" t="str">
            <v>Morocco</v>
          </cell>
        </row>
        <row r="87">
          <cell r="A87" t="str">
            <v>Georgia</v>
          </cell>
        </row>
        <row r="88">
          <cell r="A88" t="str">
            <v>Ecuador</v>
          </cell>
          <cell r="C88">
            <v>1</v>
          </cell>
        </row>
        <row r="89">
          <cell r="A89" t="str">
            <v>El Salvador</v>
          </cell>
        </row>
        <row r="90">
          <cell r="A90" t="str">
            <v>Thailand</v>
          </cell>
          <cell r="B90">
            <v>0.47</v>
          </cell>
          <cell r="C90">
            <v>0.53</v>
          </cell>
        </row>
        <row r="91">
          <cell r="A91" t="str">
            <v>Peru</v>
          </cell>
        </row>
        <row r="92">
          <cell r="A92" t="str">
            <v>Kuwait</v>
          </cell>
        </row>
        <row r="93">
          <cell r="A93" t="str">
            <v>Brazil</v>
          </cell>
          <cell r="B93">
            <v>0.38</v>
          </cell>
          <cell r="C93">
            <v>0.62</v>
          </cell>
        </row>
        <row r="94">
          <cell r="A94" t="str">
            <v>Bolivia</v>
          </cell>
        </row>
        <row r="95">
          <cell r="A95" t="str">
            <v>Iraq</v>
          </cell>
        </row>
        <row r="96">
          <cell r="A96" t="str">
            <v>Saudi Arabia</v>
          </cell>
          <cell r="B96">
            <v>0.48</v>
          </cell>
          <cell r="C96">
            <v>0.52</v>
          </cell>
        </row>
        <row r="97">
          <cell r="A97" t="str">
            <v>Argentina</v>
          </cell>
          <cell r="B97">
            <v>0.51</v>
          </cell>
          <cell r="C97">
            <v>0.49</v>
          </cell>
        </row>
        <row r="98">
          <cell r="A98" t="str">
            <v>Algeria</v>
          </cell>
          <cell r="C98">
            <v>1</v>
          </cell>
        </row>
        <row r="99">
          <cell r="A99" t="str">
            <v>Chile</v>
          </cell>
          <cell r="B99">
            <v>0.51</v>
          </cell>
          <cell r="C99">
            <v>0.49</v>
          </cell>
        </row>
        <row r="100">
          <cell r="A100" t="str">
            <v>Ã…land Islands</v>
          </cell>
        </row>
        <row r="101">
          <cell r="A101" t="str">
            <v>Gibraltar</v>
          </cell>
        </row>
        <row r="102">
          <cell r="A102" t="str">
            <v>Faroe Islands</v>
          </cell>
        </row>
        <row r="103">
          <cell r="A103" t="str">
            <v>Monaco</v>
          </cell>
        </row>
        <row r="104">
          <cell r="A104" t="str">
            <v>Liechtenstein</v>
          </cell>
        </row>
        <row r="105">
          <cell r="A105" t="str">
            <v>Grenada</v>
          </cell>
        </row>
        <row r="106">
          <cell r="A106" t="str">
            <v>Isle of Man</v>
          </cell>
        </row>
        <row r="107">
          <cell r="A107" t="str">
            <v>South Sudan</v>
          </cell>
        </row>
        <row r="108">
          <cell r="A108" t="str">
            <v>Bermuda</v>
          </cell>
        </row>
        <row r="109">
          <cell r="A109" t="str">
            <v>Eswatini</v>
          </cell>
        </row>
        <row r="110">
          <cell r="A110" t="str">
            <v>Cayman Islands</v>
          </cell>
        </row>
        <row r="111">
          <cell r="A111" t="str">
            <v>Burundi</v>
          </cell>
        </row>
        <row r="112">
          <cell r="A112" t="str">
            <v>Botswana</v>
          </cell>
        </row>
        <row r="113">
          <cell r="A113" t="str">
            <v>Malta</v>
          </cell>
        </row>
        <row r="114">
          <cell r="A114" t="str">
            <v>Afghanistan</v>
          </cell>
        </row>
        <row r="115">
          <cell r="A115" t="str">
            <v>Lesotho</v>
          </cell>
        </row>
        <row r="116">
          <cell r="A116" t="str">
            <v>Niger</v>
          </cell>
        </row>
        <row r="117">
          <cell r="A117" t="str">
            <v>Jersey</v>
          </cell>
        </row>
        <row r="118">
          <cell r="A118" t="str">
            <v>Mauritius</v>
          </cell>
        </row>
        <row r="119">
          <cell r="A119" t="str">
            <v>French Guiana</v>
          </cell>
        </row>
        <row r="120">
          <cell r="A120" t="str">
            <v>Togo</v>
          </cell>
        </row>
        <row r="121">
          <cell r="A121" t="str">
            <v>Somalia</v>
          </cell>
        </row>
        <row r="122">
          <cell r="A122" t="str">
            <v>Belize</v>
          </cell>
        </row>
        <row r="123">
          <cell r="A123" t="str">
            <v>French Polynesia</v>
          </cell>
        </row>
        <row r="124">
          <cell r="A124" t="str">
            <v>Mali</v>
          </cell>
        </row>
        <row r="125">
          <cell r="A125" t="str">
            <v>Cyprus</v>
          </cell>
        </row>
        <row r="126">
          <cell r="A126" t="str">
            <v>New Caledonia</v>
          </cell>
        </row>
        <row r="127">
          <cell r="A127" t="str">
            <v>Mongolia</v>
          </cell>
        </row>
        <row r="128">
          <cell r="A128" t="str">
            <v>Cuba</v>
          </cell>
        </row>
        <row r="129">
          <cell r="A129" t="str">
            <v>Papua New Guinea</v>
          </cell>
        </row>
        <row r="130">
          <cell r="A130" t="str">
            <v>Malawi</v>
          </cell>
        </row>
        <row r="131">
          <cell r="A131" t="str">
            <v>Rwanda</v>
          </cell>
        </row>
        <row r="132">
          <cell r="A132" t="str">
            <v>Gabon</v>
          </cell>
        </row>
        <row r="133">
          <cell r="A133" t="str">
            <v>Barbados</v>
          </cell>
        </row>
        <row r="134">
          <cell r="A134" t="str">
            <v>Kosovo</v>
          </cell>
        </row>
        <row r="135">
          <cell r="A135" t="str">
            <v>Guyana</v>
          </cell>
        </row>
        <row r="136">
          <cell r="A136" t="str">
            <v>Benin</v>
          </cell>
        </row>
        <row r="137">
          <cell r="A137" t="str">
            <v>Armenia</v>
          </cell>
        </row>
        <row r="138">
          <cell r="A138" t="str">
            <v>Zimbabwe</v>
          </cell>
        </row>
        <row r="139">
          <cell r="A139" t="str">
            <v>Cambodia</v>
          </cell>
        </row>
        <row r="140">
          <cell r="A140" t="str">
            <v>Laos</v>
          </cell>
        </row>
        <row r="141">
          <cell r="A141" t="str">
            <v>Madagascar</v>
          </cell>
        </row>
        <row r="142">
          <cell r="A142" t="str">
            <v>Trinidad &amp; Tobago</v>
          </cell>
        </row>
        <row r="143">
          <cell r="A143" t="str">
            <v>Namibia</v>
          </cell>
        </row>
        <row r="144">
          <cell r="A144" t="str">
            <v>Bahamas</v>
          </cell>
        </row>
        <row r="145">
          <cell r="A145" t="str">
            <v>Uganda</v>
          </cell>
        </row>
        <row r="146">
          <cell r="A146" t="str">
            <v>Albania</v>
          </cell>
        </row>
        <row r="147">
          <cell r="A147" t="str">
            <v>Jamaica</v>
          </cell>
        </row>
        <row r="148">
          <cell r="A148" t="str">
            <v>Zambia</v>
          </cell>
        </row>
        <row r="149">
          <cell r="A149" t="str">
            <v>Brunei</v>
          </cell>
        </row>
        <row r="150">
          <cell r="A150" t="str">
            <v>Syria</v>
          </cell>
        </row>
        <row r="151">
          <cell r="A151" t="str">
            <v>Palestine</v>
          </cell>
        </row>
        <row r="152">
          <cell r="A152" t="str">
            <v>Moldova</v>
          </cell>
        </row>
        <row r="153">
          <cell r="A153" t="str">
            <v>Nicaragua</v>
          </cell>
        </row>
        <row r="154">
          <cell r="A154" t="str">
            <v>Puerto Rico</v>
          </cell>
        </row>
        <row r="155">
          <cell r="A155" t="str">
            <v>Mozambique</v>
          </cell>
        </row>
        <row r="156">
          <cell r="A156" t="str">
            <v>Qatar</v>
          </cell>
        </row>
        <row r="157">
          <cell r="A157" t="str">
            <v>Angola</v>
          </cell>
        </row>
        <row r="158">
          <cell r="A158" t="str">
            <v>Montenegro</v>
          </cell>
        </row>
        <row r="159">
          <cell r="A159" t="str">
            <v>Bahrain</v>
          </cell>
        </row>
        <row r="160">
          <cell r="A160" t="str">
            <v>Sudan</v>
          </cell>
        </row>
        <row r="161">
          <cell r="A161" t="str">
            <v>Honduras</v>
          </cell>
        </row>
        <row r="162">
          <cell r="A162" t="str">
            <v>Panama</v>
          </cell>
        </row>
        <row r="163">
          <cell r="A163" t="str">
            <v>Congo - Kinshasa</v>
          </cell>
        </row>
        <row r="164">
          <cell r="A164" t="str">
            <v>Paraguay</v>
          </cell>
        </row>
        <row r="165">
          <cell r="A165" t="str">
            <v>Senegal</v>
          </cell>
        </row>
        <row r="166">
          <cell r="A166" t="str">
            <v>Cameroon</v>
          </cell>
        </row>
        <row r="167">
          <cell r="A167" t="str">
            <v>Libya</v>
          </cell>
        </row>
        <row r="168">
          <cell r="A168" t="str">
            <v>Dominican Republic</v>
          </cell>
        </row>
        <row r="169">
          <cell r="A169" t="str">
            <v>CÃ´te dâ€™Ivoire</v>
          </cell>
        </row>
        <row r="170">
          <cell r="A170" t="str">
            <v>Oman</v>
          </cell>
        </row>
        <row r="171">
          <cell r="A171" t="str">
            <v>Yemen</v>
          </cell>
        </row>
        <row r="172">
          <cell r="A172" t="str">
            <v>Venezuela</v>
          </cell>
        </row>
        <row r="173">
          <cell r="A173" t="str">
            <v>Azerbaijan</v>
          </cell>
        </row>
        <row r="174">
          <cell r="A174" t="str">
            <v>Aruba</v>
          </cell>
        </row>
        <row r="175">
          <cell r="A175" t="str">
            <v>Anguilla</v>
          </cell>
        </row>
        <row r="176">
          <cell r="A176" t="str">
            <v>Andorra</v>
          </cell>
        </row>
        <row r="177">
          <cell r="A177" t="str">
            <v>American Samoa</v>
          </cell>
        </row>
        <row r="178">
          <cell r="A178" t="str">
            <v>Antarctica</v>
          </cell>
        </row>
        <row r="179">
          <cell r="A179" t="str">
            <v>French Southern Territories</v>
          </cell>
        </row>
        <row r="180">
          <cell r="A180" t="str">
            <v>Antigua &amp; Barbuda</v>
          </cell>
        </row>
        <row r="181">
          <cell r="A181" t="str">
            <v>Caribbean Netherlands</v>
          </cell>
        </row>
        <row r="182">
          <cell r="A182" t="str">
            <v>Burkina Faso</v>
          </cell>
        </row>
        <row r="183">
          <cell r="A183" t="str">
            <v>St. BarthÃ©lemy</v>
          </cell>
        </row>
        <row r="184">
          <cell r="A184" t="str">
            <v>Bhutan</v>
          </cell>
        </row>
        <row r="185">
          <cell r="A185" t="str">
            <v>Bouvet Island</v>
          </cell>
        </row>
        <row r="186">
          <cell r="A186" t="str">
            <v>Central African Republic</v>
          </cell>
        </row>
        <row r="187">
          <cell r="A187" t="str">
            <v>Cocos (Keeling) Islands</v>
          </cell>
        </row>
        <row r="188">
          <cell r="A188" t="str">
            <v>Congo - Brazzaville</v>
          </cell>
        </row>
        <row r="189">
          <cell r="A189" t="str">
            <v>Cook Islands</v>
          </cell>
        </row>
        <row r="190">
          <cell r="A190" t="str">
            <v>Comoros</v>
          </cell>
        </row>
        <row r="191">
          <cell r="A191" t="str">
            <v>Cape Verde</v>
          </cell>
        </row>
        <row r="192">
          <cell r="A192" t="str">
            <v>CuraÃ§ao</v>
          </cell>
        </row>
        <row r="193">
          <cell r="A193" t="str">
            <v>Christmas Island</v>
          </cell>
        </row>
        <row r="194">
          <cell r="A194" t="str">
            <v>Djibouti</v>
          </cell>
        </row>
        <row r="195">
          <cell r="A195" t="str">
            <v>Dominica</v>
          </cell>
        </row>
        <row r="196">
          <cell r="A196" t="str">
            <v>Eritrea</v>
          </cell>
        </row>
        <row r="197">
          <cell r="A197" t="str">
            <v>Western Sahara</v>
          </cell>
        </row>
        <row r="198">
          <cell r="A198" t="str">
            <v>Falkland Islands (Islas Malvinas)</v>
          </cell>
        </row>
        <row r="199">
          <cell r="A199" t="str">
            <v>Guernsey</v>
          </cell>
        </row>
        <row r="200">
          <cell r="A200" t="str">
            <v>Guinea</v>
          </cell>
        </row>
        <row r="201">
          <cell r="A201" t="str">
            <v>Guadeloupe</v>
          </cell>
        </row>
        <row r="202">
          <cell r="A202" t="str">
            <v>Gambia</v>
          </cell>
        </row>
        <row r="203">
          <cell r="A203" t="str">
            <v>Guinea-Bissau</v>
          </cell>
        </row>
        <row r="204">
          <cell r="A204" t="str">
            <v>Equatorial Guinea</v>
          </cell>
        </row>
        <row r="205">
          <cell r="A205" t="str">
            <v>Greenland</v>
          </cell>
        </row>
        <row r="206">
          <cell r="A206" t="str">
            <v>Heard &amp; McDonald Islands</v>
          </cell>
        </row>
        <row r="207">
          <cell r="A207" t="str">
            <v>Haiti</v>
          </cell>
        </row>
        <row r="208">
          <cell r="A208" t="str">
            <v>British Indian Ocean Territory</v>
          </cell>
        </row>
        <row r="209">
          <cell r="A209" t="str">
            <v>Kyrgyzstan</v>
          </cell>
        </row>
        <row r="210">
          <cell r="A210" t="str">
            <v>Kiribati</v>
          </cell>
        </row>
        <row r="211">
          <cell r="A211" t="str">
            <v>St. Kitts &amp; Nevis</v>
          </cell>
        </row>
        <row r="212">
          <cell r="A212" t="str">
            <v>Liberia</v>
          </cell>
        </row>
        <row r="213">
          <cell r="A213" t="str">
            <v>St. Lucia</v>
          </cell>
        </row>
        <row r="214">
          <cell r="A214" t="str">
            <v>St. Martin</v>
          </cell>
        </row>
        <row r="215">
          <cell r="A215" t="str">
            <v>Marshall Islands</v>
          </cell>
        </row>
        <row r="216">
          <cell r="A216" t="str">
            <v>Northern Mariana Islands</v>
          </cell>
        </row>
        <row r="217">
          <cell r="A217" t="str">
            <v>Mauritania</v>
          </cell>
        </row>
        <row r="218">
          <cell r="A218" t="str">
            <v>Montserrat</v>
          </cell>
        </row>
        <row r="219">
          <cell r="A219" t="str">
            <v>Martinique</v>
          </cell>
        </row>
        <row r="220">
          <cell r="A220" t="str">
            <v>Mayotte</v>
          </cell>
        </row>
        <row r="221">
          <cell r="A221" t="str">
            <v>Norfolk Island</v>
          </cell>
        </row>
        <row r="222">
          <cell r="A222" t="str">
            <v>Niue</v>
          </cell>
        </row>
        <row r="223">
          <cell r="A223" t="str">
            <v>Nauru</v>
          </cell>
        </row>
        <row r="224">
          <cell r="A224" t="str">
            <v>Pitcairn Islands</v>
          </cell>
        </row>
        <row r="225">
          <cell r="A225" t="str">
            <v>Palau</v>
          </cell>
        </row>
        <row r="226">
          <cell r="A226" t="str">
            <v>North Korea</v>
          </cell>
        </row>
        <row r="227">
          <cell r="A227" t="str">
            <v>RÃ©union</v>
          </cell>
        </row>
        <row r="228">
          <cell r="A228" t="str">
            <v>South Georgia &amp; South Sandwich Islands</v>
          </cell>
        </row>
        <row r="229">
          <cell r="A229" t="str">
            <v>Svalbard &amp; Jan Mayen</v>
          </cell>
        </row>
        <row r="230">
          <cell r="A230" t="str">
            <v>Solomon Islands</v>
          </cell>
        </row>
        <row r="231">
          <cell r="A231" t="str">
            <v>Sierra Leone</v>
          </cell>
        </row>
        <row r="232">
          <cell r="A232" t="str">
            <v>San Marino</v>
          </cell>
        </row>
        <row r="233">
          <cell r="A233" t="str">
            <v>St. Pierre &amp; Miquelon</v>
          </cell>
        </row>
        <row r="234">
          <cell r="A234" t="str">
            <v>SÃ£o TomÃ© &amp; PrÃ­ncipe</v>
          </cell>
        </row>
        <row r="235">
          <cell r="A235" t="str">
            <v>Suriname</v>
          </cell>
        </row>
        <row r="236">
          <cell r="A236" t="str">
            <v>Sint Maarten</v>
          </cell>
        </row>
        <row r="237">
          <cell r="A237" t="str">
            <v>Seychelles</v>
          </cell>
        </row>
        <row r="238">
          <cell r="A238" t="str">
            <v>Turks &amp; Caicos Islands</v>
          </cell>
        </row>
        <row r="239">
          <cell r="A239" t="str">
            <v>Chad</v>
          </cell>
        </row>
        <row r="240">
          <cell r="A240" t="str">
            <v>Tajikistan</v>
          </cell>
        </row>
        <row r="241">
          <cell r="A241" t="str">
            <v>Tokelau</v>
          </cell>
        </row>
        <row r="242">
          <cell r="A242" t="str">
            <v>Turkmenistan</v>
          </cell>
        </row>
        <row r="243">
          <cell r="A243" t="str">
            <v>Timor-Leste</v>
          </cell>
        </row>
        <row r="244">
          <cell r="A244" t="str">
            <v>Tonga</v>
          </cell>
        </row>
        <row r="245">
          <cell r="A245" t="str">
            <v>Tuvalu</v>
          </cell>
        </row>
        <row r="246">
          <cell r="A246" t="str">
            <v>U.S. Outlying Islands</v>
          </cell>
        </row>
        <row r="247">
          <cell r="A247" t="str">
            <v>Vatican City</v>
          </cell>
        </row>
        <row r="248">
          <cell r="A248" t="str">
            <v>St. Vincent &amp; Grenadines</v>
          </cell>
        </row>
        <row r="249">
          <cell r="A249" t="str">
            <v>British Virgin Islands</v>
          </cell>
        </row>
        <row r="250">
          <cell r="A250" t="str">
            <v>U.S. Virgin Islands</v>
          </cell>
        </row>
        <row r="251">
          <cell r="A251" t="str">
            <v>Vanuatu</v>
          </cell>
        </row>
        <row r="252">
          <cell r="A252" t="str">
            <v>Wallis &amp; Futuna</v>
          </cell>
        </row>
        <row r="253">
          <cell r="A253" t="str">
            <v>Samoa</v>
          </cell>
        </row>
      </sheetData>
    </sheetDataSet>
  </externalBook>
</externalLink>
</file>

<file path=xl/externalLinks/externalLink1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24)"/>
    </sheetNames>
    <sheetDataSet>
      <sheetData sheetId="0">
        <row r="1">
          <cell r="A1" t="str">
            <v>Kategori: TÃ¼m kategoriler</v>
          </cell>
        </row>
        <row r="3">
          <cell r="A3" t="str">
            <v>Ãœlke</v>
          </cell>
          <cell r="B3" t="str">
            <v>Sonlu durum makinesi: (2017)</v>
          </cell>
          <cell r="C3" t="str">
            <v>K-means KÃ¼meleme YÃ¶ntemi: (2017)</v>
          </cell>
        </row>
        <row r="4">
          <cell r="A4" t="str">
            <v>Micronesia</v>
          </cell>
          <cell r="B4">
            <v>1</v>
          </cell>
        </row>
        <row r="5">
          <cell r="A5" t="str">
            <v>China</v>
          </cell>
          <cell r="B5">
            <v>0.44</v>
          </cell>
          <cell r="C5">
            <v>0.56000000000000005</v>
          </cell>
        </row>
        <row r="6">
          <cell r="A6" t="str">
            <v>Guam</v>
          </cell>
          <cell r="B6">
            <v>1</v>
          </cell>
        </row>
        <row r="7">
          <cell r="A7" t="str">
            <v>Fiji</v>
          </cell>
        </row>
        <row r="8">
          <cell r="A8" t="str">
            <v>Cambodia</v>
          </cell>
          <cell r="C8">
            <v>1</v>
          </cell>
        </row>
        <row r="9">
          <cell r="A9" t="str">
            <v>Maldives</v>
          </cell>
        </row>
        <row r="10">
          <cell r="A10" t="str">
            <v>Singapore</v>
          </cell>
          <cell r="B10">
            <v>0.71</v>
          </cell>
          <cell r="C10">
            <v>0.28999999999999998</v>
          </cell>
        </row>
        <row r="11">
          <cell r="A11" t="str">
            <v>Israel</v>
          </cell>
          <cell r="B11">
            <v>0.76</v>
          </cell>
          <cell r="C11">
            <v>0.24</v>
          </cell>
        </row>
        <row r="12">
          <cell r="A12" t="str">
            <v>Macao</v>
          </cell>
        </row>
        <row r="13">
          <cell r="A13" t="str">
            <v>Myanmar (Burma)</v>
          </cell>
        </row>
        <row r="14">
          <cell r="A14" t="str">
            <v>Iceland</v>
          </cell>
        </row>
        <row r="15">
          <cell r="A15" t="str">
            <v>South Korea</v>
          </cell>
          <cell r="B15">
            <v>0.5</v>
          </cell>
          <cell r="C15">
            <v>0.5</v>
          </cell>
        </row>
        <row r="16">
          <cell r="A16" t="str">
            <v>Hong Kong</v>
          </cell>
          <cell r="B16">
            <v>0.63</v>
          </cell>
          <cell r="C16">
            <v>0.37</v>
          </cell>
        </row>
        <row r="17">
          <cell r="A17" t="str">
            <v>India</v>
          </cell>
          <cell r="B17">
            <v>0.39</v>
          </cell>
          <cell r="C17">
            <v>0.61</v>
          </cell>
        </row>
        <row r="18">
          <cell r="A18" t="str">
            <v>Pakistan</v>
          </cell>
          <cell r="B18">
            <v>0.45</v>
          </cell>
          <cell r="C18">
            <v>0.55000000000000004</v>
          </cell>
        </row>
        <row r="19">
          <cell r="A19" t="str">
            <v>Tunisia</v>
          </cell>
          <cell r="B19">
            <v>0.45</v>
          </cell>
          <cell r="C19">
            <v>0.55000000000000004</v>
          </cell>
        </row>
        <row r="20">
          <cell r="A20" t="str">
            <v>St. Helena</v>
          </cell>
          <cell r="B20">
            <v>0.5</v>
          </cell>
          <cell r="C20">
            <v>0.5</v>
          </cell>
        </row>
        <row r="21">
          <cell r="A21" t="str">
            <v>Ethiopia</v>
          </cell>
        </row>
        <row r="22">
          <cell r="A22" t="str">
            <v>New Zealand</v>
          </cell>
          <cell r="B22">
            <v>0.6</v>
          </cell>
          <cell r="C22">
            <v>0.4</v>
          </cell>
        </row>
        <row r="23">
          <cell r="A23" t="str">
            <v>Laos</v>
          </cell>
        </row>
        <row r="24">
          <cell r="A24" t="str">
            <v>Taiwan</v>
          </cell>
          <cell r="B24">
            <v>0.49</v>
          </cell>
          <cell r="C24">
            <v>0.51</v>
          </cell>
        </row>
        <row r="25">
          <cell r="A25" t="str">
            <v>Slovenia</v>
          </cell>
        </row>
        <row r="26">
          <cell r="A26" t="str">
            <v>United States</v>
          </cell>
          <cell r="B26">
            <v>0.55000000000000004</v>
          </cell>
          <cell r="C26">
            <v>0.45</v>
          </cell>
        </row>
        <row r="27">
          <cell r="A27" t="str">
            <v>Nepal</v>
          </cell>
        </row>
        <row r="28">
          <cell r="A28" t="str">
            <v>Canada</v>
          </cell>
          <cell r="B28">
            <v>0.61</v>
          </cell>
          <cell r="C28">
            <v>0.39</v>
          </cell>
        </row>
        <row r="29">
          <cell r="A29" t="str">
            <v>Malaysia</v>
          </cell>
          <cell r="B29">
            <v>0.69</v>
          </cell>
          <cell r="C29">
            <v>0.31</v>
          </cell>
        </row>
        <row r="30">
          <cell r="A30" t="str">
            <v>Ireland</v>
          </cell>
          <cell r="B30">
            <v>0.51</v>
          </cell>
          <cell r="C30">
            <v>0.49</v>
          </cell>
        </row>
        <row r="31">
          <cell r="A31" t="str">
            <v>United Kingdom</v>
          </cell>
          <cell r="B31">
            <v>0.63</v>
          </cell>
          <cell r="C31">
            <v>0.37</v>
          </cell>
        </row>
        <row r="32">
          <cell r="A32" t="str">
            <v>Ghana</v>
          </cell>
        </row>
        <row r="33">
          <cell r="A33" t="str">
            <v>Czechia</v>
          </cell>
          <cell r="B33">
            <v>0.71</v>
          </cell>
          <cell r="C33">
            <v>0.28999999999999998</v>
          </cell>
        </row>
        <row r="34">
          <cell r="A34" t="str">
            <v>Australia</v>
          </cell>
          <cell r="B34">
            <v>0.56999999999999995</v>
          </cell>
          <cell r="C34">
            <v>0.43</v>
          </cell>
        </row>
        <row r="35">
          <cell r="A35" t="str">
            <v>Sri Lanka</v>
          </cell>
          <cell r="B35">
            <v>0.5</v>
          </cell>
          <cell r="C35">
            <v>0.5</v>
          </cell>
        </row>
        <row r="36">
          <cell r="A36" t="str">
            <v>Switzerland</v>
          </cell>
          <cell r="B36">
            <v>0.55000000000000004</v>
          </cell>
          <cell r="C36">
            <v>0.45</v>
          </cell>
        </row>
        <row r="37">
          <cell r="A37" t="str">
            <v>Iran</v>
          </cell>
          <cell r="B37">
            <v>0.39</v>
          </cell>
          <cell r="C37">
            <v>0.61</v>
          </cell>
        </row>
        <row r="38">
          <cell r="A38" t="str">
            <v>Germany</v>
          </cell>
          <cell r="B38">
            <v>0.64</v>
          </cell>
          <cell r="C38">
            <v>0.36</v>
          </cell>
        </row>
        <row r="39">
          <cell r="A39" t="str">
            <v>Norway</v>
          </cell>
          <cell r="B39">
            <v>0.69</v>
          </cell>
          <cell r="C39">
            <v>0.31</v>
          </cell>
        </row>
        <row r="40">
          <cell r="A40" t="str">
            <v>Bangladesh</v>
          </cell>
          <cell r="B40">
            <v>0.34</v>
          </cell>
          <cell r="C40">
            <v>0.66</v>
          </cell>
        </row>
        <row r="41">
          <cell r="A41" t="str">
            <v>Russia</v>
          </cell>
          <cell r="B41">
            <v>0.75</v>
          </cell>
          <cell r="C41">
            <v>0.25</v>
          </cell>
        </row>
        <row r="42">
          <cell r="A42" t="str">
            <v>Estonia</v>
          </cell>
        </row>
        <row r="43">
          <cell r="A43" t="str">
            <v>Latvia</v>
          </cell>
        </row>
        <row r="44">
          <cell r="A44" t="str">
            <v>Austria</v>
          </cell>
          <cell r="B44">
            <v>0.67</v>
          </cell>
          <cell r="C44">
            <v>0.33</v>
          </cell>
        </row>
        <row r="45">
          <cell r="A45" t="str">
            <v>Algeria</v>
          </cell>
        </row>
        <row r="46">
          <cell r="A46" t="str">
            <v>Belarus</v>
          </cell>
          <cell r="B46">
            <v>0.69</v>
          </cell>
          <cell r="C46">
            <v>0.31</v>
          </cell>
        </row>
        <row r="47">
          <cell r="A47" t="str">
            <v>Greece</v>
          </cell>
          <cell r="B47">
            <v>0.43</v>
          </cell>
          <cell r="C47">
            <v>0.56999999999999995</v>
          </cell>
        </row>
        <row r="48">
          <cell r="A48" t="str">
            <v>Portugal</v>
          </cell>
          <cell r="B48">
            <v>0.55000000000000004</v>
          </cell>
          <cell r="C48">
            <v>0.45</v>
          </cell>
        </row>
        <row r="49">
          <cell r="A49" t="str">
            <v>Denmark</v>
          </cell>
          <cell r="B49">
            <v>0.55000000000000004</v>
          </cell>
          <cell r="C49">
            <v>0.45</v>
          </cell>
        </row>
        <row r="50">
          <cell r="A50" t="str">
            <v>Philippines</v>
          </cell>
          <cell r="B50">
            <v>0.61</v>
          </cell>
          <cell r="C50">
            <v>0.39</v>
          </cell>
        </row>
        <row r="51">
          <cell r="A51" t="str">
            <v>Qatar</v>
          </cell>
        </row>
        <row r="52">
          <cell r="A52" t="str">
            <v>Ukraine</v>
          </cell>
          <cell r="B52">
            <v>0.75</v>
          </cell>
          <cell r="C52">
            <v>0.25</v>
          </cell>
        </row>
        <row r="53">
          <cell r="A53" t="str">
            <v>South Africa</v>
          </cell>
          <cell r="B53">
            <v>0.6</v>
          </cell>
          <cell r="C53">
            <v>0.4</v>
          </cell>
        </row>
        <row r="54">
          <cell r="A54" t="str">
            <v>Finland</v>
          </cell>
          <cell r="B54">
            <v>0.51</v>
          </cell>
          <cell r="C54">
            <v>0.49</v>
          </cell>
        </row>
        <row r="55">
          <cell r="A55" t="str">
            <v>Slovakia</v>
          </cell>
        </row>
        <row r="56">
          <cell r="A56" t="str">
            <v>Sweden</v>
          </cell>
          <cell r="B56">
            <v>0.56999999999999995</v>
          </cell>
          <cell r="C56">
            <v>0.43</v>
          </cell>
        </row>
        <row r="57">
          <cell r="A57" t="str">
            <v>Romania</v>
          </cell>
          <cell r="B57">
            <v>0.65</v>
          </cell>
          <cell r="C57">
            <v>0.35</v>
          </cell>
        </row>
        <row r="58">
          <cell r="A58" t="str">
            <v>Bulgaria</v>
          </cell>
        </row>
        <row r="59">
          <cell r="A59" t="str">
            <v>Lithuania</v>
          </cell>
        </row>
        <row r="60">
          <cell r="A60" t="str">
            <v>Jordan</v>
          </cell>
        </row>
        <row r="61">
          <cell r="A61" t="str">
            <v>Guatemala</v>
          </cell>
        </row>
        <row r="62">
          <cell r="A62" t="str">
            <v>United Arab Emirates</v>
          </cell>
          <cell r="B62">
            <v>0.46</v>
          </cell>
          <cell r="C62">
            <v>0.54</v>
          </cell>
        </row>
        <row r="63">
          <cell r="A63" t="str">
            <v>Netherlands</v>
          </cell>
          <cell r="B63">
            <v>0.55000000000000004</v>
          </cell>
          <cell r="C63">
            <v>0.45</v>
          </cell>
        </row>
        <row r="64">
          <cell r="A64" t="str">
            <v>Uzbekistan</v>
          </cell>
        </row>
        <row r="65">
          <cell r="A65" t="str">
            <v>Hungary</v>
          </cell>
          <cell r="B65">
            <v>0.69</v>
          </cell>
          <cell r="C65">
            <v>0.31</v>
          </cell>
        </row>
        <row r="66">
          <cell r="A66" t="str">
            <v>Iraq</v>
          </cell>
        </row>
        <row r="67">
          <cell r="A67" t="str">
            <v>Croatia</v>
          </cell>
        </row>
        <row r="68">
          <cell r="A68" t="str">
            <v>Mauritius</v>
          </cell>
        </row>
        <row r="69">
          <cell r="A69" t="str">
            <v>Indonesia</v>
          </cell>
          <cell r="B69">
            <v>0.38</v>
          </cell>
          <cell r="C69">
            <v>0.62</v>
          </cell>
        </row>
        <row r="70">
          <cell r="A70" t="str">
            <v>Serbia</v>
          </cell>
          <cell r="B70">
            <v>0.69</v>
          </cell>
          <cell r="C70">
            <v>0.31</v>
          </cell>
        </row>
        <row r="71">
          <cell r="A71" t="str">
            <v>Belgium</v>
          </cell>
          <cell r="B71">
            <v>0.56999999999999995</v>
          </cell>
          <cell r="C71">
            <v>0.43</v>
          </cell>
        </row>
        <row r="72">
          <cell r="A72" t="str">
            <v>Lebanon</v>
          </cell>
        </row>
        <row r="73">
          <cell r="A73" t="str">
            <v>Kenya</v>
          </cell>
        </row>
        <row r="74">
          <cell r="A74" t="str">
            <v>Bosnia &amp; Herzegovina</v>
          </cell>
        </row>
        <row r="75">
          <cell r="A75" t="str">
            <v>France</v>
          </cell>
          <cell r="B75">
            <v>0.38</v>
          </cell>
          <cell r="C75">
            <v>0.62</v>
          </cell>
        </row>
        <row r="76">
          <cell r="A76" t="str">
            <v>Poland</v>
          </cell>
          <cell r="B76">
            <v>0.68</v>
          </cell>
          <cell r="C76">
            <v>0.32</v>
          </cell>
        </row>
        <row r="77">
          <cell r="A77" t="str">
            <v>Tanzania</v>
          </cell>
        </row>
        <row r="78">
          <cell r="A78" t="str">
            <v>Japan</v>
          </cell>
          <cell r="B78">
            <v>0.49</v>
          </cell>
          <cell r="C78">
            <v>0.51</v>
          </cell>
        </row>
        <row r="79">
          <cell r="A79" t="str">
            <v>Mexico</v>
          </cell>
          <cell r="B79">
            <v>0.68</v>
          </cell>
          <cell r="C79">
            <v>0.32</v>
          </cell>
        </row>
        <row r="80">
          <cell r="A80" t="str">
            <v>Nigeria</v>
          </cell>
          <cell r="B80">
            <v>0.57999999999999996</v>
          </cell>
          <cell r="C80">
            <v>0.42</v>
          </cell>
        </row>
        <row r="81">
          <cell r="A81" t="str">
            <v>Costa Rica</v>
          </cell>
        </row>
        <row r="82">
          <cell r="A82" t="str">
            <v>Italy</v>
          </cell>
          <cell r="B82">
            <v>0.62</v>
          </cell>
          <cell r="C82">
            <v>0.38</v>
          </cell>
        </row>
        <row r="83">
          <cell r="A83" t="str">
            <v>Turkey</v>
          </cell>
          <cell r="B83">
            <v>0.62</v>
          </cell>
          <cell r="C83">
            <v>0.38</v>
          </cell>
        </row>
        <row r="84">
          <cell r="A84" t="str">
            <v>Colombia</v>
          </cell>
          <cell r="B84">
            <v>0.56999999999999995</v>
          </cell>
          <cell r="C84">
            <v>0.43</v>
          </cell>
        </row>
        <row r="85">
          <cell r="A85" t="str">
            <v>Egypt</v>
          </cell>
          <cell r="B85">
            <v>0.45</v>
          </cell>
          <cell r="C85">
            <v>0.55000000000000004</v>
          </cell>
        </row>
        <row r="86">
          <cell r="A86" t="str">
            <v>Chile</v>
          </cell>
          <cell r="B86">
            <v>0.3</v>
          </cell>
          <cell r="C86">
            <v>0.7</v>
          </cell>
        </row>
        <row r="87">
          <cell r="A87" t="str">
            <v>Kazakhstan</v>
          </cell>
        </row>
        <row r="88">
          <cell r="A88" t="str">
            <v>Spain</v>
          </cell>
          <cell r="B88">
            <v>0.42</v>
          </cell>
          <cell r="C88">
            <v>0.57999999999999996</v>
          </cell>
        </row>
        <row r="89">
          <cell r="A89" t="str">
            <v>Thailand</v>
          </cell>
          <cell r="B89">
            <v>0.41</v>
          </cell>
          <cell r="C89">
            <v>0.59</v>
          </cell>
        </row>
        <row r="90">
          <cell r="A90" t="str">
            <v>Morocco</v>
          </cell>
          <cell r="B90">
            <v>0.45</v>
          </cell>
          <cell r="C90">
            <v>0.55000000000000004</v>
          </cell>
        </row>
        <row r="91">
          <cell r="A91" t="str">
            <v>Georgia</v>
          </cell>
        </row>
        <row r="92">
          <cell r="A92" t="str">
            <v>El Salvador</v>
          </cell>
        </row>
        <row r="93">
          <cell r="A93" t="str">
            <v>Bolivia</v>
          </cell>
        </row>
        <row r="94">
          <cell r="A94" t="str">
            <v>Vietnam</v>
          </cell>
          <cell r="B94">
            <v>0.5</v>
          </cell>
          <cell r="C94">
            <v>0.5</v>
          </cell>
        </row>
        <row r="95">
          <cell r="A95" t="str">
            <v>Peru</v>
          </cell>
          <cell r="B95">
            <v>0.6</v>
          </cell>
          <cell r="C95">
            <v>0.4</v>
          </cell>
        </row>
        <row r="96">
          <cell r="A96" t="str">
            <v>Ecuador</v>
          </cell>
        </row>
        <row r="97">
          <cell r="A97" t="str">
            <v>Brazil</v>
          </cell>
          <cell r="B97">
            <v>0.59</v>
          </cell>
          <cell r="C97">
            <v>0.41</v>
          </cell>
        </row>
        <row r="98">
          <cell r="A98" t="str">
            <v>Saudi Arabia</v>
          </cell>
          <cell r="B98">
            <v>0.52</v>
          </cell>
          <cell r="C98">
            <v>0.48</v>
          </cell>
        </row>
        <row r="99">
          <cell r="A99" t="str">
            <v>Argentina</v>
          </cell>
          <cell r="B99">
            <v>0.67</v>
          </cell>
          <cell r="C99">
            <v>0.33</v>
          </cell>
        </row>
        <row r="100">
          <cell r="A100" t="str">
            <v>Venezuela</v>
          </cell>
        </row>
        <row r="101">
          <cell r="A101" t="str">
            <v>Marshall Islands</v>
          </cell>
        </row>
        <row r="102">
          <cell r="A102" t="str">
            <v>Palau</v>
          </cell>
        </row>
        <row r="103">
          <cell r="A103" t="str">
            <v>Northern Mariana Islands</v>
          </cell>
        </row>
        <row r="104">
          <cell r="A104" t="str">
            <v>Solomon Islands</v>
          </cell>
        </row>
        <row r="105">
          <cell r="A105" t="str">
            <v>Caribbean Netherlands</v>
          </cell>
        </row>
        <row r="106">
          <cell r="A106" t="str">
            <v>Samoa</v>
          </cell>
        </row>
        <row r="107">
          <cell r="A107" t="str">
            <v>Vanuatu</v>
          </cell>
        </row>
        <row r="108">
          <cell r="A108" t="str">
            <v>Dominica</v>
          </cell>
        </row>
        <row r="109">
          <cell r="A109" t="str">
            <v>St. Kitts &amp; Nevis</v>
          </cell>
        </row>
        <row r="110">
          <cell r="A110" t="str">
            <v>Greenland</v>
          </cell>
        </row>
        <row r="111">
          <cell r="A111" t="str">
            <v>Seychelles</v>
          </cell>
        </row>
        <row r="112">
          <cell r="A112" t="str">
            <v>Antigua &amp; Barbuda</v>
          </cell>
        </row>
        <row r="113">
          <cell r="A113" t="str">
            <v>St. Vincent &amp; Grenadines</v>
          </cell>
        </row>
        <row r="114">
          <cell r="A114" t="str">
            <v>Monaco</v>
          </cell>
        </row>
        <row r="115">
          <cell r="A115" t="str">
            <v>Liechtenstein</v>
          </cell>
        </row>
        <row r="116">
          <cell r="A116" t="str">
            <v>Gibraltar</v>
          </cell>
        </row>
        <row r="117">
          <cell r="A117" t="str">
            <v>Grenada</v>
          </cell>
        </row>
        <row r="118">
          <cell r="A118" t="str">
            <v>Papua New Guinea</v>
          </cell>
        </row>
        <row r="119">
          <cell r="A119" t="str">
            <v>Malta</v>
          </cell>
        </row>
        <row r="120">
          <cell r="A120" t="str">
            <v>Bermuda</v>
          </cell>
        </row>
        <row r="121">
          <cell r="A121" t="str">
            <v>Isle of Man</v>
          </cell>
        </row>
        <row r="122">
          <cell r="A122" t="str">
            <v>Turkmenistan</v>
          </cell>
        </row>
        <row r="123">
          <cell r="A123" t="str">
            <v>Cayman Islands</v>
          </cell>
        </row>
        <row r="124">
          <cell r="A124" t="str">
            <v>Mauritania</v>
          </cell>
        </row>
        <row r="125">
          <cell r="A125" t="str">
            <v>Malawi</v>
          </cell>
        </row>
        <row r="126">
          <cell r="A126" t="str">
            <v>Barbados</v>
          </cell>
        </row>
        <row r="127">
          <cell r="A127" t="str">
            <v>Lesotho</v>
          </cell>
        </row>
        <row r="128">
          <cell r="A128" t="str">
            <v>Guyana</v>
          </cell>
        </row>
        <row r="129">
          <cell r="A129" t="str">
            <v>Cape Verde</v>
          </cell>
        </row>
        <row r="130">
          <cell r="A130" t="str">
            <v>Brunei</v>
          </cell>
        </row>
        <row r="131">
          <cell r="A131" t="str">
            <v>Cuba</v>
          </cell>
        </row>
        <row r="132">
          <cell r="A132" t="str">
            <v>Togo</v>
          </cell>
        </row>
        <row r="133">
          <cell r="A133" t="str">
            <v>Cyprus</v>
          </cell>
        </row>
        <row r="134">
          <cell r="A134" t="str">
            <v>Burkina Faso</v>
          </cell>
        </row>
        <row r="135">
          <cell r="A135" t="str">
            <v>North Macedonia</v>
          </cell>
        </row>
        <row r="136">
          <cell r="A136" t="str">
            <v>Jamaica</v>
          </cell>
        </row>
        <row r="137">
          <cell r="A137" t="str">
            <v>Jersey</v>
          </cell>
        </row>
        <row r="138">
          <cell r="A138" t="str">
            <v>Botswana</v>
          </cell>
        </row>
        <row r="139">
          <cell r="A139" t="str">
            <v>Gabon</v>
          </cell>
        </row>
        <row r="140">
          <cell r="A140" t="str">
            <v>Luxembourg</v>
          </cell>
        </row>
        <row r="141">
          <cell r="A141" t="str">
            <v>Palestine</v>
          </cell>
        </row>
        <row r="142">
          <cell r="A142" t="str">
            <v>Tajikistan</v>
          </cell>
        </row>
        <row r="143">
          <cell r="A143" t="str">
            <v>Rwanda</v>
          </cell>
        </row>
        <row r="144">
          <cell r="A144" t="str">
            <v>Mongolia</v>
          </cell>
        </row>
        <row r="145">
          <cell r="A145" t="str">
            <v>Zambia</v>
          </cell>
        </row>
        <row r="146">
          <cell r="A146" t="str">
            <v>Cameroon</v>
          </cell>
        </row>
        <row r="147">
          <cell r="A147" t="str">
            <v>Armenia</v>
          </cell>
        </row>
        <row r="148">
          <cell r="A148" t="str">
            <v>Uganda</v>
          </cell>
        </row>
        <row r="149">
          <cell r="A149" t="str">
            <v>Guinea</v>
          </cell>
        </row>
        <row r="150">
          <cell r="A150" t="str">
            <v>Montenegro</v>
          </cell>
        </row>
        <row r="151">
          <cell r="A151" t="str">
            <v>Sudan</v>
          </cell>
        </row>
        <row r="152">
          <cell r="A152" t="str">
            <v>Namibia</v>
          </cell>
        </row>
        <row r="153">
          <cell r="A153" t="str">
            <v>Kosovo</v>
          </cell>
        </row>
        <row r="154">
          <cell r="A154" t="str">
            <v>Bahamas</v>
          </cell>
        </row>
        <row r="155">
          <cell r="A155" t="str">
            <v>Haiti</v>
          </cell>
        </row>
        <row r="156">
          <cell r="A156" t="str">
            <v>Mali</v>
          </cell>
        </row>
        <row r="157">
          <cell r="A157" t="str">
            <v>Martinique</v>
          </cell>
        </row>
        <row r="158">
          <cell r="A158" t="str">
            <v>Bahrain</v>
          </cell>
        </row>
        <row r="159">
          <cell r="A159" t="str">
            <v>Zimbabwe</v>
          </cell>
        </row>
        <row r="160">
          <cell r="A160" t="str">
            <v>Moldova</v>
          </cell>
        </row>
        <row r="161">
          <cell r="A161" t="str">
            <v>Madagascar</v>
          </cell>
        </row>
        <row r="162">
          <cell r="A162" t="str">
            <v>Trinidad &amp; Tobago</v>
          </cell>
        </row>
        <row r="163">
          <cell r="A163" t="str">
            <v>Oman</v>
          </cell>
        </row>
        <row r="164">
          <cell r="A164" t="str">
            <v>Afghanistan</v>
          </cell>
        </row>
        <row r="165">
          <cell r="A165" t="str">
            <v>Albania</v>
          </cell>
        </row>
        <row r="166">
          <cell r="A166" t="str">
            <v>Puerto Rico</v>
          </cell>
        </row>
        <row r="167">
          <cell r="A167" t="str">
            <v>Mozambique</v>
          </cell>
        </row>
        <row r="168">
          <cell r="A168" t="str">
            <v>Angola</v>
          </cell>
        </row>
        <row r="169">
          <cell r="A169" t="str">
            <v>Syria</v>
          </cell>
        </row>
        <row r="170">
          <cell r="A170" t="str">
            <v>Libya</v>
          </cell>
        </row>
        <row r="171">
          <cell r="A171" t="str">
            <v>Panama</v>
          </cell>
        </row>
        <row r="172">
          <cell r="A172" t="str">
            <v>Kuwait</v>
          </cell>
        </row>
        <row r="173">
          <cell r="A173" t="str">
            <v>Kyrgyzstan</v>
          </cell>
        </row>
        <row r="174">
          <cell r="A174" t="str">
            <v>Azerbaijan</v>
          </cell>
        </row>
        <row r="175">
          <cell r="A175" t="str">
            <v>Honduras</v>
          </cell>
        </row>
        <row r="176">
          <cell r="A176" t="str">
            <v>Congo - Kinshasa</v>
          </cell>
        </row>
        <row r="177">
          <cell r="A177" t="str">
            <v>Nicaragua</v>
          </cell>
        </row>
        <row r="178">
          <cell r="A178" t="str">
            <v>Senegal</v>
          </cell>
        </row>
        <row r="179">
          <cell r="A179" t="str">
            <v>RÃ©union</v>
          </cell>
        </row>
        <row r="180">
          <cell r="A180" t="str">
            <v>Paraguay</v>
          </cell>
        </row>
        <row r="181">
          <cell r="A181" t="str">
            <v>Dominican Republic</v>
          </cell>
        </row>
        <row r="182">
          <cell r="A182" t="str">
            <v>CÃ´te dâ€™Ivoire</v>
          </cell>
        </row>
        <row r="183">
          <cell r="A183" t="str">
            <v>Uruguay</v>
          </cell>
        </row>
        <row r="184">
          <cell r="A184" t="str">
            <v>Aruba</v>
          </cell>
        </row>
        <row r="185">
          <cell r="A185" t="str">
            <v>Anguilla</v>
          </cell>
        </row>
        <row r="186">
          <cell r="A186" t="str">
            <v>Ã…land Islands</v>
          </cell>
        </row>
        <row r="187">
          <cell r="A187" t="str">
            <v>Andorra</v>
          </cell>
        </row>
        <row r="188">
          <cell r="A188" t="str">
            <v>American Samoa</v>
          </cell>
        </row>
        <row r="189">
          <cell r="A189" t="str">
            <v>Antarctica</v>
          </cell>
        </row>
        <row r="190">
          <cell r="A190" t="str">
            <v>French Southern Territories</v>
          </cell>
        </row>
        <row r="191">
          <cell r="A191" t="str">
            <v>Burundi</v>
          </cell>
        </row>
        <row r="192">
          <cell r="A192" t="str">
            <v>Benin</v>
          </cell>
        </row>
        <row r="193">
          <cell r="A193" t="str">
            <v>St. BarthÃ©lemy</v>
          </cell>
        </row>
        <row r="194">
          <cell r="A194" t="str">
            <v>Belize</v>
          </cell>
        </row>
        <row r="195">
          <cell r="A195" t="str">
            <v>Bhutan</v>
          </cell>
        </row>
        <row r="196">
          <cell r="A196" t="str">
            <v>Bouvet Island</v>
          </cell>
        </row>
        <row r="197">
          <cell r="A197" t="str">
            <v>Central African Republic</v>
          </cell>
        </row>
        <row r="198">
          <cell r="A198" t="str">
            <v>Cocos (Keeling) Islands</v>
          </cell>
        </row>
        <row r="199">
          <cell r="A199" t="str">
            <v>Congo - Brazzaville</v>
          </cell>
        </row>
        <row r="200">
          <cell r="A200" t="str">
            <v>Cook Islands</v>
          </cell>
        </row>
        <row r="201">
          <cell r="A201" t="str">
            <v>Comoros</v>
          </cell>
        </row>
        <row r="202">
          <cell r="A202" t="str">
            <v>CuraÃ§ao</v>
          </cell>
        </row>
        <row r="203">
          <cell r="A203" t="str">
            <v>Christmas Island</v>
          </cell>
        </row>
        <row r="204">
          <cell r="A204" t="str">
            <v>Djibouti</v>
          </cell>
        </row>
        <row r="205">
          <cell r="A205" t="str">
            <v>Eritrea</v>
          </cell>
        </row>
        <row r="206">
          <cell r="A206" t="str">
            <v>Western Sahara</v>
          </cell>
        </row>
        <row r="207">
          <cell r="A207" t="str">
            <v>Falkland Islands (Islas Malvinas)</v>
          </cell>
        </row>
        <row r="208">
          <cell r="A208" t="str">
            <v>Faroe Islands</v>
          </cell>
        </row>
        <row r="209">
          <cell r="A209" t="str">
            <v>Guernsey</v>
          </cell>
        </row>
        <row r="210">
          <cell r="A210" t="str">
            <v>Guadeloupe</v>
          </cell>
        </row>
        <row r="211">
          <cell r="A211" t="str">
            <v>Gambia</v>
          </cell>
        </row>
        <row r="212">
          <cell r="A212" t="str">
            <v>Guinea-Bissau</v>
          </cell>
        </row>
        <row r="213">
          <cell r="A213" t="str">
            <v>Equatorial Guinea</v>
          </cell>
        </row>
        <row r="214">
          <cell r="A214" t="str">
            <v>French Guiana</v>
          </cell>
        </row>
        <row r="215">
          <cell r="A215" t="str">
            <v>Heard &amp; McDonald Islands</v>
          </cell>
        </row>
        <row r="216">
          <cell r="A216" t="str">
            <v>British Indian Ocean Territory</v>
          </cell>
        </row>
        <row r="217">
          <cell r="A217" t="str">
            <v>Kiribati</v>
          </cell>
        </row>
        <row r="218">
          <cell r="A218" t="str">
            <v>Liberia</v>
          </cell>
        </row>
        <row r="219">
          <cell r="A219" t="str">
            <v>St. Lucia</v>
          </cell>
        </row>
        <row r="220">
          <cell r="A220" t="str">
            <v>St. Martin</v>
          </cell>
        </row>
        <row r="221">
          <cell r="A221" t="str">
            <v>Montserrat</v>
          </cell>
        </row>
        <row r="222">
          <cell r="A222" t="str">
            <v>Mayotte</v>
          </cell>
        </row>
        <row r="223">
          <cell r="A223" t="str">
            <v>New Caledonia</v>
          </cell>
        </row>
        <row r="224">
          <cell r="A224" t="str">
            <v>Niger</v>
          </cell>
        </row>
        <row r="225">
          <cell r="A225" t="str">
            <v>Norfolk Island</v>
          </cell>
        </row>
        <row r="226">
          <cell r="A226" t="str">
            <v>Niue</v>
          </cell>
        </row>
        <row r="227">
          <cell r="A227" t="str">
            <v>Nauru</v>
          </cell>
        </row>
        <row r="228">
          <cell r="A228" t="str">
            <v>Pitcairn Islands</v>
          </cell>
        </row>
        <row r="229">
          <cell r="A229" t="str">
            <v>North Korea</v>
          </cell>
        </row>
        <row r="230">
          <cell r="A230" t="str">
            <v>French Polynesia</v>
          </cell>
        </row>
        <row r="231">
          <cell r="A231" t="str">
            <v>South Georgia &amp; South Sandwich Islands</v>
          </cell>
        </row>
        <row r="232">
          <cell r="A232" t="str">
            <v>Svalbard &amp; Jan Mayen</v>
          </cell>
        </row>
        <row r="233">
          <cell r="A233" t="str">
            <v>Sierra Leone</v>
          </cell>
        </row>
        <row r="234">
          <cell r="A234" t="str">
            <v>San Marino</v>
          </cell>
        </row>
        <row r="235">
          <cell r="A235" t="str">
            <v>Somalia</v>
          </cell>
        </row>
        <row r="236">
          <cell r="A236" t="str">
            <v>St. Pierre &amp; Miquelon</v>
          </cell>
        </row>
        <row r="237">
          <cell r="A237" t="str">
            <v>South Sudan</v>
          </cell>
        </row>
        <row r="238">
          <cell r="A238" t="str">
            <v>SÃ£o TomÃ© &amp; PrÃ­ncipe</v>
          </cell>
        </row>
        <row r="239">
          <cell r="A239" t="str">
            <v>Suriname</v>
          </cell>
        </row>
        <row r="240">
          <cell r="A240" t="str">
            <v>Eswatini</v>
          </cell>
        </row>
        <row r="241">
          <cell r="A241" t="str">
            <v>Sint Maarten</v>
          </cell>
        </row>
        <row r="242">
          <cell r="A242" t="str">
            <v>Turks &amp; Caicos Islands</v>
          </cell>
        </row>
        <row r="243">
          <cell r="A243" t="str">
            <v>Chad</v>
          </cell>
        </row>
        <row r="244">
          <cell r="A244" t="str">
            <v>Tokelau</v>
          </cell>
        </row>
        <row r="245">
          <cell r="A245" t="str">
            <v>Timor-Leste</v>
          </cell>
        </row>
        <row r="246">
          <cell r="A246" t="str">
            <v>Tonga</v>
          </cell>
        </row>
        <row r="247">
          <cell r="A247" t="str">
            <v>Tuvalu</v>
          </cell>
        </row>
        <row r="248">
          <cell r="A248" t="str">
            <v>U.S. Outlying Islands</v>
          </cell>
        </row>
        <row r="249">
          <cell r="A249" t="str">
            <v>Vatican City</v>
          </cell>
        </row>
        <row r="250">
          <cell r="A250" t="str">
            <v>British Virgin Islands</v>
          </cell>
        </row>
        <row r="251">
          <cell r="A251" t="str">
            <v>U.S. Virgin Islands</v>
          </cell>
        </row>
        <row r="252">
          <cell r="A252" t="str">
            <v>Wallis &amp; Futuna</v>
          </cell>
        </row>
        <row r="253">
          <cell r="A253" t="str">
            <v>Yemen</v>
          </cell>
        </row>
      </sheetData>
    </sheetDataSet>
  </externalBook>
</externalLink>
</file>

<file path=xl/externalLinks/externalLink1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25)"/>
    </sheetNames>
    <sheetDataSet>
      <sheetData sheetId="0">
        <row r="1">
          <cell r="A1" t="str">
            <v>Kategori: TÃ¼m kategoriler</v>
          </cell>
        </row>
        <row r="3">
          <cell r="A3" t="str">
            <v>Ãœlke</v>
          </cell>
          <cell r="B3" t="str">
            <v>K-means KÃ¼meleme YÃ¶ntemi: (2017)</v>
          </cell>
          <cell r="C3" t="str">
            <v>Semafor: (2017)</v>
          </cell>
        </row>
        <row r="4">
          <cell r="A4" t="str">
            <v>China</v>
          </cell>
          <cell r="B4">
            <v>0.68</v>
          </cell>
          <cell r="C4">
            <v>0.32</v>
          </cell>
        </row>
        <row r="5">
          <cell r="A5" t="str">
            <v>Cambodia</v>
          </cell>
          <cell r="B5">
            <v>1</v>
          </cell>
        </row>
        <row r="6">
          <cell r="A6" t="str">
            <v>Australia</v>
          </cell>
          <cell r="B6">
            <v>0.13</v>
          </cell>
          <cell r="C6">
            <v>0.87</v>
          </cell>
        </row>
        <row r="7">
          <cell r="A7" t="str">
            <v>Myanmar (Burma)</v>
          </cell>
        </row>
        <row r="8">
          <cell r="A8" t="str">
            <v>South Korea</v>
          </cell>
          <cell r="B8">
            <v>0.56999999999999995</v>
          </cell>
          <cell r="C8">
            <v>0.43</v>
          </cell>
        </row>
        <row r="9">
          <cell r="A9" t="str">
            <v>Singapore</v>
          </cell>
          <cell r="B9">
            <v>0.65</v>
          </cell>
          <cell r="C9">
            <v>0.35</v>
          </cell>
        </row>
        <row r="10">
          <cell r="A10" t="str">
            <v>India</v>
          </cell>
          <cell r="B10">
            <v>0.56000000000000005</v>
          </cell>
          <cell r="C10">
            <v>0.44</v>
          </cell>
        </row>
        <row r="11">
          <cell r="A11" t="str">
            <v>Fiji</v>
          </cell>
        </row>
        <row r="12">
          <cell r="A12" t="str">
            <v>France</v>
          </cell>
          <cell r="B12">
            <v>0.22</v>
          </cell>
          <cell r="C12">
            <v>0.78</v>
          </cell>
        </row>
        <row r="13">
          <cell r="A13" t="str">
            <v>Pakistan</v>
          </cell>
          <cell r="B13">
            <v>0.65</v>
          </cell>
          <cell r="C13">
            <v>0.35</v>
          </cell>
        </row>
        <row r="14">
          <cell r="A14" t="str">
            <v>Slovakia</v>
          </cell>
        </row>
        <row r="15">
          <cell r="A15" t="str">
            <v>Hong Kong</v>
          </cell>
          <cell r="B15">
            <v>0.66</v>
          </cell>
          <cell r="C15">
            <v>0.34</v>
          </cell>
        </row>
        <row r="16">
          <cell r="A16" t="str">
            <v>Israel</v>
          </cell>
          <cell r="B16">
            <v>0.42</v>
          </cell>
          <cell r="C16">
            <v>0.57999999999999996</v>
          </cell>
        </row>
        <row r="17">
          <cell r="A17" t="str">
            <v>Tunisia</v>
          </cell>
          <cell r="B17">
            <v>0.55000000000000004</v>
          </cell>
          <cell r="C17">
            <v>0.45</v>
          </cell>
        </row>
        <row r="18">
          <cell r="A18" t="str">
            <v>Iceland</v>
          </cell>
        </row>
        <row r="19">
          <cell r="A19" t="str">
            <v>St. Helena</v>
          </cell>
          <cell r="B19">
            <v>0.52</v>
          </cell>
          <cell r="C19">
            <v>0.48</v>
          </cell>
        </row>
        <row r="20">
          <cell r="A20" t="str">
            <v>Hungary</v>
          </cell>
          <cell r="B20">
            <v>0.17</v>
          </cell>
          <cell r="C20">
            <v>0.83</v>
          </cell>
        </row>
        <row r="21">
          <cell r="A21" t="str">
            <v>Zimbabwe</v>
          </cell>
        </row>
        <row r="22">
          <cell r="A22" t="str">
            <v>Nepal</v>
          </cell>
        </row>
        <row r="23">
          <cell r="A23" t="str">
            <v>Taiwan</v>
          </cell>
          <cell r="B23">
            <v>0.52</v>
          </cell>
          <cell r="C23">
            <v>0.48</v>
          </cell>
        </row>
        <row r="24">
          <cell r="A24" t="str">
            <v>Ireland</v>
          </cell>
          <cell r="B24">
            <v>0.57999999999999996</v>
          </cell>
          <cell r="C24">
            <v>0.42</v>
          </cell>
        </row>
        <row r="25">
          <cell r="A25" t="str">
            <v>Lebanon</v>
          </cell>
        </row>
        <row r="26">
          <cell r="A26" t="str">
            <v>Ethiopia</v>
          </cell>
        </row>
        <row r="27">
          <cell r="A27" t="str">
            <v>Iran</v>
          </cell>
          <cell r="B27">
            <v>0.81</v>
          </cell>
          <cell r="C27">
            <v>0.19</v>
          </cell>
        </row>
        <row r="28">
          <cell r="A28" t="str">
            <v>Belgium</v>
          </cell>
          <cell r="B28">
            <v>0.28000000000000003</v>
          </cell>
          <cell r="C28">
            <v>0.72</v>
          </cell>
        </row>
        <row r="29">
          <cell r="A29" t="str">
            <v>Cameroon</v>
          </cell>
        </row>
        <row r="30">
          <cell r="A30" t="str">
            <v>United States</v>
          </cell>
          <cell r="B30">
            <v>0.56000000000000005</v>
          </cell>
          <cell r="C30">
            <v>0.44</v>
          </cell>
        </row>
        <row r="31">
          <cell r="A31" t="str">
            <v>Slovenia</v>
          </cell>
        </row>
        <row r="32">
          <cell r="A32" t="str">
            <v>Switzerland</v>
          </cell>
          <cell r="B32">
            <v>0.49</v>
          </cell>
          <cell r="C32">
            <v>0.51</v>
          </cell>
        </row>
        <row r="33">
          <cell r="A33" t="str">
            <v>Senegal</v>
          </cell>
        </row>
        <row r="34">
          <cell r="A34" t="str">
            <v>New Zealand</v>
          </cell>
          <cell r="B34">
            <v>0.52</v>
          </cell>
          <cell r="C34">
            <v>0.48</v>
          </cell>
        </row>
        <row r="35">
          <cell r="A35" t="str">
            <v>Sri Lanka</v>
          </cell>
        </row>
        <row r="36">
          <cell r="A36" t="str">
            <v>Bangladesh</v>
          </cell>
          <cell r="B36">
            <v>0.72</v>
          </cell>
          <cell r="C36">
            <v>0.28000000000000003</v>
          </cell>
        </row>
        <row r="37">
          <cell r="A37" t="str">
            <v>Canada</v>
          </cell>
          <cell r="B37">
            <v>0.48</v>
          </cell>
          <cell r="C37">
            <v>0.52</v>
          </cell>
        </row>
        <row r="38">
          <cell r="A38" t="str">
            <v>Estonia</v>
          </cell>
        </row>
        <row r="39">
          <cell r="A39" t="str">
            <v>Algeria</v>
          </cell>
          <cell r="B39">
            <v>0.54</v>
          </cell>
          <cell r="C39">
            <v>0.46</v>
          </cell>
        </row>
        <row r="40">
          <cell r="A40" t="str">
            <v>Portugal</v>
          </cell>
          <cell r="B40">
            <v>0.56000000000000005</v>
          </cell>
          <cell r="C40">
            <v>0.44</v>
          </cell>
        </row>
        <row r="41">
          <cell r="A41" t="str">
            <v>Serbia</v>
          </cell>
        </row>
        <row r="42">
          <cell r="A42" t="str">
            <v>Greece</v>
          </cell>
          <cell r="B42">
            <v>0.63</v>
          </cell>
          <cell r="C42">
            <v>0.37</v>
          </cell>
        </row>
        <row r="43">
          <cell r="A43" t="str">
            <v>United Arab Emirates</v>
          </cell>
          <cell r="B43">
            <v>0.78</v>
          </cell>
          <cell r="C43">
            <v>0.22</v>
          </cell>
        </row>
        <row r="44">
          <cell r="A44" t="str">
            <v>Qatar</v>
          </cell>
        </row>
        <row r="45">
          <cell r="A45" t="str">
            <v>Belarus</v>
          </cell>
          <cell r="B45">
            <v>0.37</v>
          </cell>
          <cell r="C45">
            <v>0.63</v>
          </cell>
        </row>
        <row r="46">
          <cell r="A46" t="str">
            <v>United Kingdom</v>
          </cell>
          <cell r="B46">
            <v>0.46</v>
          </cell>
          <cell r="C46">
            <v>0.54</v>
          </cell>
        </row>
        <row r="47">
          <cell r="A47" t="str">
            <v>Austria</v>
          </cell>
          <cell r="B47">
            <v>0.41</v>
          </cell>
          <cell r="C47">
            <v>0.59</v>
          </cell>
        </row>
        <row r="48">
          <cell r="A48" t="str">
            <v>Japan</v>
          </cell>
          <cell r="B48">
            <v>0.41</v>
          </cell>
          <cell r="C48">
            <v>0.59</v>
          </cell>
        </row>
        <row r="49">
          <cell r="A49" t="str">
            <v>Finland</v>
          </cell>
          <cell r="B49">
            <v>0.55000000000000004</v>
          </cell>
          <cell r="C49">
            <v>0.45</v>
          </cell>
        </row>
        <row r="50">
          <cell r="A50" t="str">
            <v>Germany</v>
          </cell>
          <cell r="B50">
            <v>0.46</v>
          </cell>
          <cell r="C50">
            <v>0.54</v>
          </cell>
        </row>
        <row r="51">
          <cell r="A51" t="str">
            <v>Indonesia</v>
          </cell>
          <cell r="B51">
            <v>0.68</v>
          </cell>
          <cell r="C51">
            <v>0.32</v>
          </cell>
        </row>
        <row r="52">
          <cell r="A52" t="str">
            <v>Jordan</v>
          </cell>
        </row>
        <row r="53">
          <cell r="A53" t="str">
            <v>Netherlands</v>
          </cell>
          <cell r="B53">
            <v>0.56999999999999995</v>
          </cell>
          <cell r="C53">
            <v>0.43</v>
          </cell>
        </row>
        <row r="54">
          <cell r="A54" t="str">
            <v>Denmark</v>
          </cell>
          <cell r="B54">
            <v>0.52</v>
          </cell>
          <cell r="C54">
            <v>0.48</v>
          </cell>
        </row>
        <row r="55">
          <cell r="A55" t="str">
            <v>Sweden</v>
          </cell>
          <cell r="B55">
            <v>0.46</v>
          </cell>
          <cell r="C55">
            <v>0.54</v>
          </cell>
        </row>
        <row r="56">
          <cell r="A56" t="str">
            <v>Philippines</v>
          </cell>
          <cell r="B56">
            <v>0.43</v>
          </cell>
          <cell r="C56">
            <v>0.56999999999999995</v>
          </cell>
        </row>
        <row r="57">
          <cell r="A57" t="str">
            <v>Czechia</v>
          </cell>
          <cell r="B57">
            <v>0.48</v>
          </cell>
          <cell r="C57">
            <v>0.52</v>
          </cell>
        </row>
        <row r="58">
          <cell r="A58" t="str">
            <v>Malaysia</v>
          </cell>
          <cell r="B58">
            <v>0.57999999999999996</v>
          </cell>
          <cell r="C58">
            <v>0.42</v>
          </cell>
        </row>
        <row r="59">
          <cell r="A59" t="str">
            <v>Romania</v>
          </cell>
          <cell r="B59">
            <v>0.42</v>
          </cell>
          <cell r="C59">
            <v>0.57999999999999996</v>
          </cell>
        </row>
        <row r="60">
          <cell r="A60" t="str">
            <v>Moldova</v>
          </cell>
        </row>
        <row r="61">
          <cell r="A61" t="str">
            <v>South Africa</v>
          </cell>
          <cell r="B61">
            <v>0.55000000000000004</v>
          </cell>
          <cell r="C61">
            <v>0.45</v>
          </cell>
        </row>
        <row r="62">
          <cell r="A62" t="str">
            <v>Norway</v>
          </cell>
          <cell r="B62">
            <v>0.49</v>
          </cell>
          <cell r="C62">
            <v>0.51</v>
          </cell>
        </row>
        <row r="63">
          <cell r="A63" t="str">
            <v>Iraq</v>
          </cell>
          <cell r="B63">
            <v>1</v>
          </cell>
        </row>
        <row r="64">
          <cell r="A64" t="str">
            <v>Kenya</v>
          </cell>
        </row>
        <row r="65">
          <cell r="A65" t="str">
            <v>Morocco</v>
          </cell>
          <cell r="B65">
            <v>0.56999999999999995</v>
          </cell>
          <cell r="C65">
            <v>0.43</v>
          </cell>
        </row>
        <row r="66">
          <cell r="A66" t="str">
            <v>Russia</v>
          </cell>
          <cell r="B66">
            <v>0.46</v>
          </cell>
          <cell r="C66">
            <v>0.54</v>
          </cell>
        </row>
        <row r="67">
          <cell r="A67" t="str">
            <v>Poland</v>
          </cell>
          <cell r="B67">
            <v>0.37</v>
          </cell>
          <cell r="C67">
            <v>0.63</v>
          </cell>
        </row>
        <row r="68">
          <cell r="A68" t="str">
            <v>Bulgaria</v>
          </cell>
        </row>
        <row r="69">
          <cell r="A69" t="str">
            <v>Spain</v>
          </cell>
          <cell r="B69">
            <v>0.62</v>
          </cell>
          <cell r="C69">
            <v>0.38</v>
          </cell>
        </row>
        <row r="70">
          <cell r="A70" t="str">
            <v>Egypt</v>
          </cell>
          <cell r="B70">
            <v>0.56999999999999995</v>
          </cell>
          <cell r="C70">
            <v>0.43</v>
          </cell>
        </row>
        <row r="71">
          <cell r="A71" t="str">
            <v>Ukraine</v>
          </cell>
          <cell r="B71">
            <v>0.37</v>
          </cell>
          <cell r="C71">
            <v>0.63</v>
          </cell>
        </row>
        <row r="72">
          <cell r="A72" t="str">
            <v>Lithuania</v>
          </cell>
        </row>
        <row r="73">
          <cell r="A73" t="str">
            <v>Thailand</v>
          </cell>
          <cell r="B73">
            <v>0.78</v>
          </cell>
          <cell r="C73">
            <v>0.22</v>
          </cell>
        </row>
        <row r="74">
          <cell r="A74" t="str">
            <v>Croatia</v>
          </cell>
        </row>
        <row r="75">
          <cell r="A75" t="str">
            <v>Colombia</v>
          </cell>
          <cell r="B75">
            <v>0.76</v>
          </cell>
          <cell r="C75">
            <v>0.24</v>
          </cell>
        </row>
        <row r="76">
          <cell r="A76" t="str">
            <v>Vietnam</v>
          </cell>
          <cell r="B76">
            <v>0.46</v>
          </cell>
          <cell r="C76">
            <v>0.54</v>
          </cell>
        </row>
        <row r="77">
          <cell r="A77" t="str">
            <v>Chile</v>
          </cell>
          <cell r="B77">
            <v>0.67</v>
          </cell>
          <cell r="C77">
            <v>0.33</v>
          </cell>
        </row>
        <row r="78">
          <cell r="A78" t="str">
            <v>Kazakhstan</v>
          </cell>
        </row>
        <row r="79">
          <cell r="A79" t="str">
            <v>Uruguay</v>
          </cell>
        </row>
        <row r="80">
          <cell r="A80" t="str">
            <v>Nigeria</v>
          </cell>
          <cell r="B80">
            <v>0.51</v>
          </cell>
          <cell r="C80">
            <v>0.49</v>
          </cell>
        </row>
        <row r="81">
          <cell r="A81" t="str">
            <v>Italy</v>
          </cell>
          <cell r="B81">
            <v>0.46</v>
          </cell>
          <cell r="C81">
            <v>0.54</v>
          </cell>
        </row>
        <row r="82">
          <cell r="A82" t="str">
            <v>Bosnia &amp; Herzegovina</v>
          </cell>
        </row>
        <row r="83">
          <cell r="A83" t="str">
            <v>Turkey</v>
          </cell>
          <cell r="B83">
            <v>0.63</v>
          </cell>
          <cell r="C83">
            <v>0.37</v>
          </cell>
        </row>
        <row r="84">
          <cell r="A84" t="str">
            <v>Saudi Arabia</v>
          </cell>
          <cell r="B84">
            <v>0.5</v>
          </cell>
          <cell r="C84">
            <v>0.5</v>
          </cell>
        </row>
        <row r="85">
          <cell r="A85" t="str">
            <v>Mexico</v>
          </cell>
          <cell r="B85">
            <v>0.63</v>
          </cell>
          <cell r="C85">
            <v>0.37</v>
          </cell>
        </row>
        <row r="86">
          <cell r="A86" t="str">
            <v>Latvia</v>
          </cell>
        </row>
        <row r="87">
          <cell r="A87" t="str">
            <v>Ecuador</v>
          </cell>
        </row>
        <row r="88">
          <cell r="A88" t="str">
            <v>Peru</v>
          </cell>
        </row>
        <row r="89">
          <cell r="A89" t="str">
            <v>Guatemala</v>
          </cell>
        </row>
        <row r="90">
          <cell r="A90" t="str">
            <v>Brazil</v>
          </cell>
          <cell r="B90">
            <v>0.67</v>
          </cell>
          <cell r="C90">
            <v>0.33</v>
          </cell>
        </row>
        <row r="91">
          <cell r="A91" t="str">
            <v>Argentina</v>
          </cell>
          <cell r="B91">
            <v>0.47</v>
          </cell>
          <cell r="C91">
            <v>0.53</v>
          </cell>
        </row>
        <row r="92">
          <cell r="A92" t="str">
            <v>Bolivia</v>
          </cell>
        </row>
        <row r="93">
          <cell r="A93" t="str">
            <v>Venezuela</v>
          </cell>
        </row>
        <row r="94">
          <cell r="A94" t="str">
            <v>North Korea</v>
          </cell>
        </row>
        <row r="95">
          <cell r="A95" t="str">
            <v>SÃ£o TomÃ© &amp; PrÃ­ncipe</v>
          </cell>
        </row>
        <row r="96">
          <cell r="A96" t="str">
            <v>St. Kitts &amp; Nevis</v>
          </cell>
        </row>
        <row r="97">
          <cell r="A97" t="str">
            <v>Sint Maarten</v>
          </cell>
        </row>
        <row r="98">
          <cell r="A98" t="str">
            <v>U.S. Virgin Islands</v>
          </cell>
        </row>
        <row r="99">
          <cell r="A99" t="str">
            <v>Gibraltar</v>
          </cell>
        </row>
        <row r="100">
          <cell r="A100" t="str">
            <v>Grenada</v>
          </cell>
        </row>
        <row r="101">
          <cell r="A101" t="str">
            <v>Timor-Leste</v>
          </cell>
        </row>
        <row r="102">
          <cell r="A102" t="str">
            <v>Gambia</v>
          </cell>
        </row>
        <row r="103">
          <cell r="A103" t="str">
            <v>Bermuda</v>
          </cell>
        </row>
        <row r="104">
          <cell r="A104" t="str">
            <v>Cayman Islands</v>
          </cell>
        </row>
        <row r="105">
          <cell r="A105" t="str">
            <v>Papua New Guinea</v>
          </cell>
        </row>
        <row r="106">
          <cell r="A106" t="str">
            <v>Madagascar</v>
          </cell>
        </row>
        <row r="107">
          <cell r="A107" t="str">
            <v>Cuba</v>
          </cell>
        </row>
        <row r="108">
          <cell r="A108" t="str">
            <v>Lesotho</v>
          </cell>
        </row>
        <row r="109">
          <cell r="A109" t="str">
            <v>Benin</v>
          </cell>
        </row>
        <row r="110">
          <cell r="A110" t="str">
            <v>Cape Verde</v>
          </cell>
        </row>
        <row r="111">
          <cell r="A111" t="str">
            <v>Sierra Leone</v>
          </cell>
        </row>
        <row r="112">
          <cell r="A112" t="str">
            <v>Kosovo</v>
          </cell>
        </row>
        <row r="113">
          <cell r="A113" t="str">
            <v>French Guiana</v>
          </cell>
        </row>
        <row r="114">
          <cell r="A114" t="str">
            <v>Botswana</v>
          </cell>
        </row>
        <row r="115">
          <cell r="A115" t="str">
            <v>French Polynesia</v>
          </cell>
        </row>
        <row r="116">
          <cell r="A116" t="str">
            <v>Belize</v>
          </cell>
        </row>
        <row r="117">
          <cell r="A117" t="str">
            <v>Bahamas</v>
          </cell>
        </row>
        <row r="118">
          <cell r="A118" t="str">
            <v>Jamaica</v>
          </cell>
        </row>
        <row r="119">
          <cell r="A119" t="str">
            <v>Burkina Faso</v>
          </cell>
        </row>
        <row r="120">
          <cell r="A120" t="str">
            <v>Maldives</v>
          </cell>
        </row>
        <row r="121">
          <cell r="A121" t="str">
            <v>New Caledonia</v>
          </cell>
        </row>
        <row r="122">
          <cell r="A122" t="str">
            <v>Guam</v>
          </cell>
        </row>
        <row r="123">
          <cell r="A123" t="str">
            <v>Guadeloupe</v>
          </cell>
        </row>
        <row r="124">
          <cell r="A124" t="str">
            <v>Macao</v>
          </cell>
        </row>
        <row r="125">
          <cell r="A125" t="str">
            <v>RÃ©union</v>
          </cell>
        </row>
        <row r="126">
          <cell r="A126" t="str">
            <v>Jersey</v>
          </cell>
        </row>
        <row r="127">
          <cell r="A127" t="str">
            <v>Palestine</v>
          </cell>
        </row>
        <row r="128">
          <cell r="A128" t="str">
            <v>Guyana</v>
          </cell>
        </row>
        <row r="129">
          <cell r="A129" t="str">
            <v>Suriname</v>
          </cell>
        </row>
        <row r="130">
          <cell r="A130" t="str">
            <v>Cyprus</v>
          </cell>
        </row>
        <row r="131">
          <cell r="A131" t="str">
            <v>North Macedonia</v>
          </cell>
        </row>
        <row r="132">
          <cell r="A132" t="str">
            <v>Bahrain</v>
          </cell>
        </row>
        <row r="133">
          <cell r="A133" t="str">
            <v>Mauritius</v>
          </cell>
        </row>
        <row r="134">
          <cell r="A134" t="str">
            <v>Somalia</v>
          </cell>
        </row>
        <row r="135">
          <cell r="A135" t="str">
            <v>Malta</v>
          </cell>
        </row>
        <row r="136">
          <cell r="A136" t="str">
            <v>Trinidad &amp; Tobago</v>
          </cell>
        </row>
        <row r="137">
          <cell r="A137" t="str">
            <v>Luxembourg</v>
          </cell>
        </row>
        <row r="138">
          <cell r="A138" t="str">
            <v>Mongolia</v>
          </cell>
        </row>
        <row r="139">
          <cell r="A139" t="str">
            <v>Rwanda</v>
          </cell>
        </row>
        <row r="140">
          <cell r="A140" t="str">
            <v>Namibia</v>
          </cell>
        </row>
        <row r="141">
          <cell r="A141" t="str">
            <v>Afghanistan</v>
          </cell>
        </row>
        <row r="142">
          <cell r="A142" t="str">
            <v>Sudan</v>
          </cell>
        </row>
        <row r="143">
          <cell r="A143" t="str">
            <v>Haiti</v>
          </cell>
        </row>
        <row r="144">
          <cell r="A144" t="str">
            <v>Oman</v>
          </cell>
        </row>
        <row r="145">
          <cell r="A145" t="str">
            <v>Ghana</v>
          </cell>
        </row>
        <row r="146">
          <cell r="A146" t="str">
            <v>Laos</v>
          </cell>
        </row>
        <row r="147">
          <cell r="A147" t="str">
            <v>Armenia</v>
          </cell>
        </row>
        <row r="148">
          <cell r="A148" t="str">
            <v>Brunei</v>
          </cell>
        </row>
        <row r="149">
          <cell r="A149" t="str">
            <v>Nicaragua</v>
          </cell>
        </row>
        <row r="150">
          <cell r="A150" t="str">
            <v>Congo - Kinshasa</v>
          </cell>
        </row>
        <row r="151">
          <cell r="A151" t="str">
            <v>Tanzania</v>
          </cell>
        </row>
        <row r="152">
          <cell r="A152" t="str">
            <v>CÃ´te dâ€™Ivoire</v>
          </cell>
        </row>
        <row r="153">
          <cell r="A153" t="str">
            <v>Montenegro</v>
          </cell>
        </row>
        <row r="154">
          <cell r="A154" t="str">
            <v>Zambia</v>
          </cell>
        </row>
        <row r="155">
          <cell r="A155" t="str">
            <v>Syria</v>
          </cell>
        </row>
        <row r="156">
          <cell r="A156" t="str">
            <v>Libya</v>
          </cell>
        </row>
        <row r="157">
          <cell r="A157" t="str">
            <v>El Salvador</v>
          </cell>
        </row>
        <row r="158">
          <cell r="A158" t="str">
            <v>Uganda</v>
          </cell>
        </row>
        <row r="159">
          <cell r="A159" t="str">
            <v>Yemen</v>
          </cell>
        </row>
        <row r="160">
          <cell r="A160" t="str">
            <v>Uzbekistan</v>
          </cell>
        </row>
        <row r="161">
          <cell r="A161" t="str">
            <v>Puerto Rico</v>
          </cell>
        </row>
        <row r="162">
          <cell r="A162" t="str">
            <v>Mozambique</v>
          </cell>
        </row>
        <row r="163">
          <cell r="A163" t="str">
            <v>Kuwait</v>
          </cell>
        </row>
        <row r="164">
          <cell r="A164" t="str">
            <v>Albania</v>
          </cell>
        </row>
        <row r="165">
          <cell r="A165" t="str">
            <v>Azerbaijan</v>
          </cell>
        </row>
        <row r="166">
          <cell r="A166" t="str">
            <v>Georgia</v>
          </cell>
        </row>
        <row r="167">
          <cell r="A167" t="str">
            <v>Paraguay</v>
          </cell>
        </row>
        <row r="168">
          <cell r="A168" t="str">
            <v>Costa Rica</v>
          </cell>
        </row>
        <row r="169">
          <cell r="A169" t="str">
            <v>Panama</v>
          </cell>
        </row>
        <row r="170">
          <cell r="A170" t="str">
            <v>Dominican Republic</v>
          </cell>
        </row>
        <row r="171">
          <cell r="A171" t="str">
            <v>Kyrgyzstan</v>
          </cell>
        </row>
        <row r="172">
          <cell r="A172" t="str">
            <v>Honduras</v>
          </cell>
        </row>
        <row r="173">
          <cell r="A173" t="str">
            <v>Aruba</v>
          </cell>
        </row>
        <row r="174">
          <cell r="A174" t="str">
            <v>Angola</v>
          </cell>
        </row>
        <row r="175">
          <cell r="A175" t="str">
            <v>Anguilla</v>
          </cell>
        </row>
        <row r="176">
          <cell r="A176" t="str">
            <v>Ã…land Islands</v>
          </cell>
        </row>
        <row r="177">
          <cell r="A177" t="str">
            <v>Andorra</v>
          </cell>
        </row>
        <row r="178">
          <cell r="A178" t="str">
            <v>American Samoa</v>
          </cell>
        </row>
        <row r="179">
          <cell r="A179" t="str">
            <v>Antarctica</v>
          </cell>
        </row>
        <row r="180">
          <cell r="A180" t="str">
            <v>French Southern Territories</v>
          </cell>
        </row>
        <row r="181">
          <cell r="A181" t="str">
            <v>Antigua &amp; Barbuda</v>
          </cell>
        </row>
        <row r="182">
          <cell r="A182" t="str">
            <v>Burundi</v>
          </cell>
        </row>
        <row r="183">
          <cell r="A183" t="str">
            <v>Caribbean Netherlands</v>
          </cell>
        </row>
        <row r="184">
          <cell r="A184" t="str">
            <v>St. BarthÃ©lemy</v>
          </cell>
        </row>
        <row r="185">
          <cell r="A185" t="str">
            <v>Barbados</v>
          </cell>
        </row>
        <row r="186">
          <cell r="A186" t="str">
            <v>Bhutan</v>
          </cell>
        </row>
        <row r="187">
          <cell r="A187" t="str">
            <v>Bouvet Island</v>
          </cell>
        </row>
        <row r="188">
          <cell r="A188" t="str">
            <v>Central African Republic</v>
          </cell>
        </row>
        <row r="189">
          <cell r="A189" t="str">
            <v>Cocos (Keeling) Islands</v>
          </cell>
        </row>
        <row r="190">
          <cell r="A190" t="str">
            <v>Congo - Brazzaville</v>
          </cell>
        </row>
        <row r="191">
          <cell r="A191" t="str">
            <v>Cook Islands</v>
          </cell>
        </row>
        <row r="192">
          <cell r="A192" t="str">
            <v>Comoros</v>
          </cell>
        </row>
        <row r="193">
          <cell r="A193" t="str">
            <v>CuraÃ§ao</v>
          </cell>
        </row>
        <row r="194">
          <cell r="A194" t="str">
            <v>Christmas Island</v>
          </cell>
        </row>
        <row r="195">
          <cell r="A195" t="str">
            <v>Djibouti</v>
          </cell>
        </row>
        <row r="196">
          <cell r="A196" t="str">
            <v>Dominica</v>
          </cell>
        </row>
        <row r="197">
          <cell r="A197" t="str">
            <v>Eritrea</v>
          </cell>
        </row>
        <row r="198">
          <cell r="A198" t="str">
            <v>Western Sahara</v>
          </cell>
        </row>
        <row r="199">
          <cell r="A199" t="str">
            <v>Falkland Islands (Islas Malvinas)</v>
          </cell>
        </row>
        <row r="200">
          <cell r="A200" t="str">
            <v>Faroe Islands</v>
          </cell>
        </row>
        <row r="201">
          <cell r="A201" t="str">
            <v>Micronesia</v>
          </cell>
        </row>
        <row r="202">
          <cell r="A202" t="str">
            <v>Gabon</v>
          </cell>
        </row>
        <row r="203">
          <cell r="A203" t="str">
            <v>Guernsey</v>
          </cell>
        </row>
        <row r="204">
          <cell r="A204" t="str">
            <v>Guinea</v>
          </cell>
        </row>
        <row r="205">
          <cell r="A205" t="str">
            <v>Guinea-Bissau</v>
          </cell>
        </row>
        <row r="206">
          <cell r="A206" t="str">
            <v>Equatorial Guinea</v>
          </cell>
        </row>
        <row r="207">
          <cell r="A207" t="str">
            <v>Greenland</v>
          </cell>
        </row>
        <row r="208">
          <cell r="A208" t="str">
            <v>Heard &amp; McDonald Islands</v>
          </cell>
        </row>
        <row r="209">
          <cell r="A209" t="str">
            <v>Isle of Man</v>
          </cell>
        </row>
        <row r="210">
          <cell r="A210" t="str">
            <v>British Indian Ocean Territory</v>
          </cell>
        </row>
        <row r="211">
          <cell r="A211" t="str">
            <v>Kiribati</v>
          </cell>
        </row>
        <row r="212">
          <cell r="A212" t="str">
            <v>Liberia</v>
          </cell>
        </row>
        <row r="213">
          <cell r="A213" t="str">
            <v>St. Lucia</v>
          </cell>
        </row>
        <row r="214">
          <cell r="A214" t="str">
            <v>Liechtenstein</v>
          </cell>
        </row>
        <row r="215">
          <cell r="A215" t="str">
            <v>St. Martin</v>
          </cell>
        </row>
        <row r="216">
          <cell r="A216" t="str">
            <v>Monaco</v>
          </cell>
        </row>
        <row r="217">
          <cell r="A217" t="str">
            <v>Marshall Islands</v>
          </cell>
        </row>
        <row r="218">
          <cell r="A218" t="str">
            <v>Mali</v>
          </cell>
        </row>
        <row r="219">
          <cell r="A219" t="str">
            <v>Northern Mariana Islands</v>
          </cell>
        </row>
        <row r="220">
          <cell r="A220" t="str">
            <v>Mauritania</v>
          </cell>
        </row>
        <row r="221">
          <cell r="A221" t="str">
            <v>Montserrat</v>
          </cell>
        </row>
        <row r="222">
          <cell r="A222" t="str">
            <v>Martinique</v>
          </cell>
        </row>
        <row r="223">
          <cell r="A223" t="str">
            <v>Malawi</v>
          </cell>
        </row>
        <row r="224">
          <cell r="A224" t="str">
            <v>Mayotte</v>
          </cell>
        </row>
        <row r="225">
          <cell r="A225" t="str">
            <v>Niger</v>
          </cell>
        </row>
        <row r="226">
          <cell r="A226" t="str">
            <v>Norfolk Island</v>
          </cell>
        </row>
        <row r="227">
          <cell r="A227" t="str">
            <v>Niue</v>
          </cell>
        </row>
        <row r="228">
          <cell r="A228" t="str">
            <v>Nauru</v>
          </cell>
        </row>
        <row r="229">
          <cell r="A229" t="str">
            <v>Pitcairn Islands</v>
          </cell>
        </row>
        <row r="230">
          <cell r="A230" t="str">
            <v>Palau</v>
          </cell>
        </row>
        <row r="231">
          <cell r="A231" t="str">
            <v>South Georgia &amp; South Sandwich Islands</v>
          </cell>
        </row>
        <row r="232">
          <cell r="A232" t="str">
            <v>Svalbard &amp; Jan Mayen</v>
          </cell>
        </row>
        <row r="233">
          <cell r="A233" t="str">
            <v>Solomon Islands</v>
          </cell>
        </row>
        <row r="234">
          <cell r="A234" t="str">
            <v>San Marino</v>
          </cell>
        </row>
        <row r="235">
          <cell r="A235" t="str">
            <v>St. Pierre &amp; Miquelon</v>
          </cell>
        </row>
        <row r="236">
          <cell r="A236" t="str">
            <v>South Sudan</v>
          </cell>
        </row>
        <row r="237">
          <cell r="A237" t="str">
            <v>Eswatini</v>
          </cell>
        </row>
        <row r="238">
          <cell r="A238" t="str">
            <v>Seychelles</v>
          </cell>
        </row>
        <row r="239">
          <cell r="A239" t="str">
            <v>Turks &amp; Caicos Islands</v>
          </cell>
        </row>
        <row r="240">
          <cell r="A240" t="str">
            <v>Chad</v>
          </cell>
        </row>
        <row r="241">
          <cell r="A241" t="str">
            <v>Togo</v>
          </cell>
        </row>
        <row r="242">
          <cell r="A242" t="str">
            <v>Tajikistan</v>
          </cell>
        </row>
        <row r="243">
          <cell r="A243" t="str">
            <v>Tokelau</v>
          </cell>
        </row>
        <row r="244">
          <cell r="A244" t="str">
            <v>Turkmenistan</v>
          </cell>
        </row>
        <row r="245">
          <cell r="A245" t="str">
            <v>Tonga</v>
          </cell>
        </row>
        <row r="246">
          <cell r="A246" t="str">
            <v>Tuvalu</v>
          </cell>
        </row>
        <row r="247">
          <cell r="A247" t="str">
            <v>U.S. Outlying Islands</v>
          </cell>
        </row>
        <row r="248">
          <cell r="A248" t="str">
            <v>Vatican City</v>
          </cell>
        </row>
        <row r="249">
          <cell r="A249" t="str">
            <v>St. Vincent &amp; Grenadines</v>
          </cell>
        </row>
        <row r="250">
          <cell r="A250" t="str">
            <v>British Virgin Islands</v>
          </cell>
        </row>
        <row r="251">
          <cell r="A251" t="str">
            <v>Vanuatu</v>
          </cell>
        </row>
        <row r="252">
          <cell r="A252" t="str">
            <v>Wallis &amp; Futuna</v>
          </cell>
        </row>
        <row r="253">
          <cell r="A253" t="str">
            <v>Samoa</v>
          </cell>
        </row>
      </sheetData>
    </sheetDataSet>
  </externalBook>
</externalLink>
</file>

<file path=xl/externalLinks/externalLink1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30)"/>
    </sheetNames>
    <sheetDataSet>
      <sheetData sheetId="0">
        <row r="1">
          <cell r="A1" t="str">
            <v>Category: All categories</v>
          </cell>
        </row>
        <row r="3">
          <cell r="A3" t="str">
            <v>Country</v>
          </cell>
          <cell r="B3" t="str">
            <v>Transmission Control Protocol: (2017)</v>
          </cell>
          <cell r="C3" t="str">
            <v>Artificial neural network: (2017)</v>
          </cell>
        </row>
        <row r="4">
          <cell r="A4" t="str">
            <v>China</v>
          </cell>
          <cell r="B4">
            <v>0.44</v>
          </cell>
          <cell r="C4">
            <v>0.56000000000000005</v>
          </cell>
        </row>
        <row r="5">
          <cell r="A5" t="str">
            <v>Cuba</v>
          </cell>
        </row>
        <row r="6">
          <cell r="A6" t="str">
            <v>South Korea</v>
          </cell>
          <cell r="B6">
            <v>0.49</v>
          </cell>
          <cell r="C6">
            <v>0.51</v>
          </cell>
        </row>
        <row r="7">
          <cell r="A7" t="str">
            <v>Botswana</v>
          </cell>
        </row>
        <row r="8">
          <cell r="A8" t="str">
            <v>Burundi</v>
          </cell>
        </row>
        <row r="9">
          <cell r="A9" t="str">
            <v>Singapore</v>
          </cell>
          <cell r="B9">
            <v>0.61</v>
          </cell>
          <cell r="C9">
            <v>0.39</v>
          </cell>
        </row>
        <row r="10">
          <cell r="A10" t="str">
            <v>Eswatini</v>
          </cell>
        </row>
        <row r="11">
          <cell r="A11" t="str">
            <v>St. Helena</v>
          </cell>
          <cell r="B11">
            <v>0.64</v>
          </cell>
          <cell r="C11">
            <v>0.36</v>
          </cell>
        </row>
        <row r="12">
          <cell r="A12" t="str">
            <v>Ethiopia</v>
          </cell>
        </row>
        <row r="13">
          <cell r="A13" t="str">
            <v>Zimbabwe</v>
          </cell>
        </row>
        <row r="14">
          <cell r="A14" t="str">
            <v>Nepal</v>
          </cell>
          <cell r="B14">
            <v>0.6</v>
          </cell>
          <cell r="C14">
            <v>0.4</v>
          </cell>
        </row>
        <row r="15">
          <cell r="A15" t="str">
            <v>Congo - Kinshasa</v>
          </cell>
        </row>
        <row r="16">
          <cell r="A16" t="str">
            <v>Myanmar (Burma)</v>
          </cell>
        </row>
        <row r="17">
          <cell r="A17" t="str">
            <v>Papua New Guinea</v>
          </cell>
        </row>
        <row r="18">
          <cell r="A18" t="str">
            <v>Cameroon</v>
          </cell>
        </row>
        <row r="19">
          <cell r="A19" t="str">
            <v>Israel</v>
          </cell>
          <cell r="B19">
            <v>0.62</v>
          </cell>
          <cell r="C19">
            <v>0.38</v>
          </cell>
        </row>
        <row r="20">
          <cell r="A20" t="str">
            <v>Lesotho</v>
          </cell>
        </row>
        <row r="21">
          <cell r="A21" t="str">
            <v>Madagascar</v>
          </cell>
        </row>
        <row r="22">
          <cell r="A22" t="str">
            <v>Angola</v>
          </cell>
        </row>
        <row r="23">
          <cell r="A23" t="str">
            <v>Luxembourg</v>
          </cell>
        </row>
        <row r="24">
          <cell r="A24" t="str">
            <v>Rwanda</v>
          </cell>
        </row>
        <row r="25">
          <cell r="A25" t="str">
            <v>Uruguay</v>
          </cell>
        </row>
        <row r="26">
          <cell r="A26" t="str">
            <v>Hong Kong</v>
          </cell>
          <cell r="B26">
            <v>0.5</v>
          </cell>
          <cell r="C26">
            <v>0.5</v>
          </cell>
        </row>
        <row r="27">
          <cell r="A27" t="str">
            <v>Mauritius</v>
          </cell>
        </row>
        <row r="28">
          <cell r="A28" t="str">
            <v>Namibia</v>
          </cell>
        </row>
        <row r="29">
          <cell r="A29" t="str">
            <v>Taiwan</v>
          </cell>
          <cell r="B29">
            <v>0.53</v>
          </cell>
          <cell r="C29">
            <v>0.47</v>
          </cell>
        </row>
        <row r="30">
          <cell r="A30" t="str">
            <v>India</v>
          </cell>
          <cell r="B30">
            <v>0.6</v>
          </cell>
          <cell r="C30">
            <v>0.4</v>
          </cell>
        </row>
        <row r="31">
          <cell r="A31" t="str">
            <v>Laos</v>
          </cell>
        </row>
        <row r="32">
          <cell r="A32" t="str">
            <v>Ghana</v>
          </cell>
        </row>
        <row r="33">
          <cell r="A33" t="str">
            <v>Fiji</v>
          </cell>
        </row>
        <row r="34">
          <cell r="A34" t="str">
            <v>Iceland</v>
          </cell>
        </row>
        <row r="35">
          <cell r="A35" t="str">
            <v>Bolivia</v>
          </cell>
        </row>
        <row r="36">
          <cell r="A36" t="str">
            <v>Czechia</v>
          </cell>
          <cell r="B36">
            <v>0.62</v>
          </cell>
          <cell r="C36">
            <v>0.38</v>
          </cell>
        </row>
        <row r="37">
          <cell r="A37" t="str">
            <v>Switzerland</v>
          </cell>
          <cell r="B37">
            <v>0.62</v>
          </cell>
          <cell r="C37">
            <v>0.38</v>
          </cell>
        </row>
        <row r="38">
          <cell r="A38" t="str">
            <v>Benin</v>
          </cell>
        </row>
        <row r="39">
          <cell r="A39" t="str">
            <v>Estonia</v>
          </cell>
        </row>
        <row r="40">
          <cell r="A40" t="str">
            <v>Macao</v>
          </cell>
        </row>
        <row r="41">
          <cell r="A41" t="str">
            <v>Jersey</v>
          </cell>
        </row>
        <row r="42">
          <cell r="A42" t="str">
            <v>Ireland</v>
          </cell>
          <cell r="B42">
            <v>0.65</v>
          </cell>
          <cell r="C42">
            <v>0.35</v>
          </cell>
        </row>
        <row r="43">
          <cell r="A43" t="str">
            <v>Malta</v>
          </cell>
        </row>
        <row r="44">
          <cell r="A44" t="str">
            <v>Cape Verde</v>
          </cell>
        </row>
        <row r="45">
          <cell r="A45" t="str">
            <v>Japan</v>
          </cell>
          <cell r="B45">
            <v>0.66</v>
          </cell>
          <cell r="C45">
            <v>0.34</v>
          </cell>
        </row>
        <row r="46">
          <cell r="A46" t="str">
            <v>Togo</v>
          </cell>
        </row>
        <row r="47">
          <cell r="A47" t="str">
            <v>Brunei</v>
          </cell>
        </row>
        <row r="48">
          <cell r="A48" t="str">
            <v>Cayman Islands</v>
          </cell>
        </row>
        <row r="49">
          <cell r="A49" t="str">
            <v>Isle of Man</v>
          </cell>
        </row>
        <row r="50">
          <cell r="A50" t="str">
            <v>Sri Lanka</v>
          </cell>
          <cell r="B50">
            <v>0.54</v>
          </cell>
          <cell r="C50">
            <v>0.46</v>
          </cell>
        </row>
        <row r="51">
          <cell r="A51" t="str">
            <v>Croatia</v>
          </cell>
          <cell r="B51">
            <v>0.41</v>
          </cell>
          <cell r="C51">
            <v>0.59</v>
          </cell>
        </row>
        <row r="52">
          <cell r="A52" t="str">
            <v>Uganda</v>
          </cell>
        </row>
        <row r="53">
          <cell r="A53" t="str">
            <v>Germany</v>
          </cell>
          <cell r="B53">
            <v>0.66</v>
          </cell>
          <cell r="C53">
            <v>0.34</v>
          </cell>
        </row>
        <row r="54">
          <cell r="A54" t="str">
            <v>Tunisia</v>
          </cell>
          <cell r="B54">
            <v>0.59</v>
          </cell>
          <cell r="C54">
            <v>0.41</v>
          </cell>
        </row>
        <row r="55">
          <cell r="A55" t="str">
            <v>Philippines</v>
          </cell>
          <cell r="B55">
            <v>0.67</v>
          </cell>
          <cell r="C55">
            <v>0.33</v>
          </cell>
        </row>
        <row r="56">
          <cell r="A56" t="str">
            <v>Australia</v>
          </cell>
          <cell r="B56">
            <v>0.64</v>
          </cell>
          <cell r="C56">
            <v>0.36</v>
          </cell>
        </row>
        <row r="57">
          <cell r="A57" t="str">
            <v>Malawi</v>
          </cell>
        </row>
        <row r="58">
          <cell r="A58" t="str">
            <v>New Zealand</v>
          </cell>
          <cell r="B58">
            <v>0.63</v>
          </cell>
          <cell r="C58">
            <v>0.37</v>
          </cell>
        </row>
        <row r="59">
          <cell r="A59" t="str">
            <v>Finland</v>
          </cell>
          <cell r="B59">
            <v>0.63</v>
          </cell>
          <cell r="C59">
            <v>0.37</v>
          </cell>
        </row>
        <row r="60">
          <cell r="A60" t="str">
            <v>Mozambique</v>
          </cell>
        </row>
        <row r="61">
          <cell r="A61" t="str">
            <v>Norway</v>
          </cell>
          <cell r="B61">
            <v>0.63</v>
          </cell>
          <cell r="C61">
            <v>0.37</v>
          </cell>
        </row>
        <row r="62">
          <cell r="A62" t="str">
            <v>Russia</v>
          </cell>
          <cell r="B62">
            <v>0.47</v>
          </cell>
          <cell r="C62">
            <v>0.53</v>
          </cell>
        </row>
        <row r="63">
          <cell r="A63" t="str">
            <v>Cyprus</v>
          </cell>
        </row>
        <row r="64">
          <cell r="A64" t="str">
            <v>Sweden</v>
          </cell>
          <cell r="B64">
            <v>0.65</v>
          </cell>
          <cell r="C64">
            <v>0.35</v>
          </cell>
        </row>
        <row r="65">
          <cell r="A65" t="str">
            <v>Netherlands</v>
          </cell>
          <cell r="B65">
            <v>0.64</v>
          </cell>
          <cell r="C65">
            <v>0.36</v>
          </cell>
        </row>
        <row r="66">
          <cell r="A66" t="str">
            <v>Pakistan</v>
          </cell>
          <cell r="B66">
            <v>0.52</v>
          </cell>
          <cell r="C66">
            <v>0.48</v>
          </cell>
        </row>
        <row r="67">
          <cell r="A67" t="str">
            <v>Somalia</v>
          </cell>
        </row>
        <row r="68">
          <cell r="A68" t="str">
            <v>Slovenia</v>
          </cell>
        </row>
        <row r="69">
          <cell r="A69" t="str">
            <v>Senegal</v>
          </cell>
        </row>
        <row r="70">
          <cell r="A70" t="str">
            <v>Austria</v>
          </cell>
          <cell r="B70">
            <v>0.69</v>
          </cell>
          <cell r="C70">
            <v>0.31</v>
          </cell>
        </row>
        <row r="71">
          <cell r="A71" t="str">
            <v>Belarus</v>
          </cell>
          <cell r="B71">
            <v>0.45</v>
          </cell>
          <cell r="C71">
            <v>0.55000000000000004</v>
          </cell>
        </row>
        <row r="72">
          <cell r="A72" t="str">
            <v>Portugal</v>
          </cell>
          <cell r="B72">
            <v>0.67</v>
          </cell>
          <cell r="C72">
            <v>0.33</v>
          </cell>
        </row>
        <row r="73">
          <cell r="A73" t="str">
            <v>United States</v>
          </cell>
          <cell r="B73">
            <v>0.56000000000000005</v>
          </cell>
          <cell r="C73">
            <v>0.44</v>
          </cell>
        </row>
        <row r="74">
          <cell r="A74" t="str">
            <v>Canada</v>
          </cell>
          <cell r="B74">
            <v>0.55000000000000004</v>
          </cell>
          <cell r="C74">
            <v>0.45</v>
          </cell>
        </row>
        <row r="75">
          <cell r="A75" t="str">
            <v>Zambia</v>
          </cell>
        </row>
        <row r="76">
          <cell r="A76" t="str">
            <v>Afghanistan</v>
          </cell>
        </row>
        <row r="77">
          <cell r="A77" t="str">
            <v>Guyana</v>
          </cell>
        </row>
        <row r="78">
          <cell r="A78" t="str">
            <v>Barbados</v>
          </cell>
        </row>
        <row r="79">
          <cell r="A79" t="str">
            <v>Panama</v>
          </cell>
        </row>
        <row r="80">
          <cell r="A80" t="str">
            <v>Bhutan</v>
          </cell>
        </row>
        <row r="81">
          <cell r="A81" t="str">
            <v>Trinidad &amp; Tobago</v>
          </cell>
        </row>
        <row r="82">
          <cell r="A82" t="str">
            <v>Costa Rica</v>
          </cell>
        </row>
        <row r="83">
          <cell r="A83" t="str">
            <v>United Kingdom</v>
          </cell>
          <cell r="B83">
            <v>0.62</v>
          </cell>
          <cell r="C83">
            <v>0.38</v>
          </cell>
        </row>
        <row r="84">
          <cell r="A84" t="str">
            <v>Hungary</v>
          </cell>
          <cell r="B84">
            <v>0.75</v>
          </cell>
          <cell r="C84">
            <v>0.25</v>
          </cell>
        </row>
        <row r="85">
          <cell r="A85" t="str">
            <v>Honduras</v>
          </cell>
        </row>
        <row r="86">
          <cell r="A86" t="str">
            <v>United Arab Emirates</v>
          </cell>
          <cell r="B86">
            <v>0.7</v>
          </cell>
          <cell r="C86">
            <v>0.3</v>
          </cell>
        </row>
        <row r="87">
          <cell r="A87" t="str">
            <v>CÃ´te dâ€™Ivoire</v>
          </cell>
        </row>
        <row r="88">
          <cell r="A88" t="str">
            <v>Belgium</v>
          </cell>
          <cell r="B88">
            <v>0.69</v>
          </cell>
          <cell r="C88">
            <v>0.31</v>
          </cell>
        </row>
        <row r="89">
          <cell r="A89" t="str">
            <v>Tanzania</v>
          </cell>
        </row>
        <row r="90">
          <cell r="A90" t="str">
            <v>Slovakia</v>
          </cell>
          <cell r="B90">
            <v>0.73</v>
          </cell>
          <cell r="C90">
            <v>0.27</v>
          </cell>
        </row>
        <row r="91">
          <cell r="A91" t="str">
            <v>Malaysia</v>
          </cell>
          <cell r="B91">
            <v>0.57999999999999996</v>
          </cell>
          <cell r="C91">
            <v>0.42</v>
          </cell>
        </row>
        <row r="92">
          <cell r="A92" t="str">
            <v>Ecuador</v>
          </cell>
          <cell r="B92">
            <v>0.75</v>
          </cell>
          <cell r="C92">
            <v>0.25</v>
          </cell>
        </row>
        <row r="93">
          <cell r="A93" t="str">
            <v>Iran</v>
          </cell>
          <cell r="B93">
            <v>0.39</v>
          </cell>
          <cell r="C93">
            <v>0.61</v>
          </cell>
        </row>
        <row r="94">
          <cell r="A94" t="str">
            <v>Lebanon</v>
          </cell>
        </row>
        <row r="95">
          <cell r="A95" t="str">
            <v>Spain</v>
          </cell>
          <cell r="B95">
            <v>0.74</v>
          </cell>
          <cell r="C95">
            <v>0.26</v>
          </cell>
        </row>
        <row r="96">
          <cell r="A96" t="str">
            <v>South Africa</v>
          </cell>
          <cell r="B96">
            <v>0.6</v>
          </cell>
          <cell r="C96">
            <v>0.4</v>
          </cell>
        </row>
        <row r="97">
          <cell r="A97" t="str">
            <v>El Salvador</v>
          </cell>
        </row>
        <row r="98">
          <cell r="A98" t="str">
            <v>Jamaica</v>
          </cell>
        </row>
        <row r="99">
          <cell r="A99" t="str">
            <v>Sudan</v>
          </cell>
        </row>
        <row r="100">
          <cell r="A100" t="str">
            <v>Denmark</v>
          </cell>
          <cell r="B100">
            <v>0.6</v>
          </cell>
          <cell r="C100">
            <v>0.4</v>
          </cell>
        </row>
        <row r="101">
          <cell r="A101" t="str">
            <v>Lithuania</v>
          </cell>
          <cell r="B101">
            <v>0.59</v>
          </cell>
          <cell r="C101">
            <v>0.41</v>
          </cell>
        </row>
        <row r="102">
          <cell r="A102" t="str">
            <v>Haiti</v>
          </cell>
        </row>
        <row r="103">
          <cell r="A103" t="str">
            <v>Qatar</v>
          </cell>
        </row>
        <row r="104">
          <cell r="A104" t="str">
            <v>Oman</v>
          </cell>
        </row>
        <row r="105">
          <cell r="A105" t="str">
            <v>Colombia</v>
          </cell>
          <cell r="B105">
            <v>0.73</v>
          </cell>
          <cell r="C105">
            <v>0.27</v>
          </cell>
        </row>
        <row r="106">
          <cell r="A106" t="str">
            <v>Argentina</v>
          </cell>
          <cell r="B106">
            <v>0.82</v>
          </cell>
          <cell r="C106">
            <v>0.18</v>
          </cell>
        </row>
        <row r="107">
          <cell r="A107" t="str">
            <v>Latvia</v>
          </cell>
        </row>
        <row r="108">
          <cell r="A108" t="str">
            <v>CuraÃ§ao</v>
          </cell>
        </row>
        <row r="109">
          <cell r="A109" t="str">
            <v>Romania</v>
          </cell>
          <cell r="B109">
            <v>0.66</v>
          </cell>
          <cell r="C109">
            <v>0.34</v>
          </cell>
        </row>
        <row r="110">
          <cell r="A110" t="str">
            <v>Uzbekistan</v>
          </cell>
        </row>
        <row r="111">
          <cell r="A111" t="str">
            <v>Cambodia</v>
          </cell>
        </row>
        <row r="112">
          <cell r="A112" t="str">
            <v>Mongolia</v>
          </cell>
        </row>
        <row r="113">
          <cell r="A113" t="str">
            <v>France</v>
          </cell>
          <cell r="B113">
            <v>0.71</v>
          </cell>
          <cell r="C113">
            <v>0.28999999999999998</v>
          </cell>
        </row>
        <row r="114">
          <cell r="A114" t="str">
            <v>Albania</v>
          </cell>
        </row>
        <row r="115">
          <cell r="A115" t="str">
            <v>Bulgaria</v>
          </cell>
          <cell r="B115">
            <v>0.67</v>
          </cell>
          <cell r="C115">
            <v>0.33</v>
          </cell>
        </row>
        <row r="116">
          <cell r="A116" t="str">
            <v>Mexico</v>
          </cell>
          <cell r="B116">
            <v>0.74</v>
          </cell>
          <cell r="C116">
            <v>0.26</v>
          </cell>
        </row>
        <row r="117">
          <cell r="A117" t="str">
            <v>Guatemala</v>
          </cell>
        </row>
        <row r="118">
          <cell r="A118" t="str">
            <v>Kenya</v>
          </cell>
          <cell r="B118">
            <v>0.57999999999999996</v>
          </cell>
          <cell r="C118">
            <v>0.42</v>
          </cell>
        </row>
        <row r="119">
          <cell r="A119" t="str">
            <v>Nicaragua</v>
          </cell>
        </row>
        <row r="120">
          <cell r="A120" t="str">
            <v>Poland</v>
          </cell>
          <cell r="B120">
            <v>0.65</v>
          </cell>
          <cell r="C120">
            <v>0.35</v>
          </cell>
        </row>
        <row r="121">
          <cell r="A121" t="str">
            <v>Bangladesh</v>
          </cell>
          <cell r="B121">
            <v>0.51</v>
          </cell>
          <cell r="C121">
            <v>0.49</v>
          </cell>
        </row>
        <row r="122">
          <cell r="A122" t="str">
            <v>North Macedonia</v>
          </cell>
        </row>
        <row r="123">
          <cell r="A123" t="str">
            <v>Bahamas</v>
          </cell>
        </row>
        <row r="124">
          <cell r="A124" t="str">
            <v>Dominican Republic</v>
          </cell>
        </row>
        <row r="125">
          <cell r="A125" t="str">
            <v>Armenia</v>
          </cell>
        </row>
        <row r="126">
          <cell r="A126" t="str">
            <v>Nigeria</v>
          </cell>
          <cell r="B126">
            <v>0.5</v>
          </cell>
          <cell r="C126">
            <v>0.5</v>
          </cell>
        </row>
        <row r="127">
          <cell r="A127" t="str">
            <v>Suriname</v>
          </cell>
        </row>
        <row r="128">
          <cell r="A128" t="str">
            <v>Maldives</v>
          </cell>
        </row>
        <row r="129">
          <cell r="A129" t="str">
            <v>Italy</v>
          </cell>
          <cell r="B129">
            <v>0.69</v>
          </cell>
          <cell r="C129">
            <v>0.31</v>
          </cell>
        </row>
        <row r="130">
          <cell r="A130" t="str">
            <v>Serbia</v>
          </cell>
          <cell r="B130">
            <v>0.67</v>
          </cell>
          <cell r="C130">
            <v>0.33</v>
          </cell>
        </row>
        <row r="131">
          <cell r="A131" t="str">
            <v>Brazil</v>
          </cell>
          <cell r="B131">
            <v>0.76</v>
          </cell>
          <cell r="C131">
            <v>0.24</v>
          </cell>
        </row>
        <row r="132">
          <cell r="A132" t="str">
            <v>Sierra Leone</v>
          </cell>
        </row>
        <row r="133">
          <cell r="A133" t="str">
            <v>Greece</v>
          </cell>
          <cell r="B133">
            <v>0.57999999999999996</v>
          </cell>
          <cell r="C133">
            <v>0.42</v>
          </cell>
        </row>
        <row r="134">
          <cell r="A134" t="str">
            <v>Peru</v>
          </cell>
          <cell r="B134">
            <v>0.65</v>
          </cell>
          <cell r="C134">
            <v>0.35</v>
          </cell>
        </row>
        <row r="135">
          <cell r="A135" t="str">
            <v>Morocco</v>
          </cell>
          <cell r="B135">
            <v>0.69</v>
          </cell>
          <cell r="C135">
            <v>0.31</v>
          </cell>
        </row>
        <row r="136">
          <cell r="A136" t="str">
            <v>Ukraine</v>
          </cell>
          <cell r="B136">
            <v>0.49</v>
          </cell>
          <cell r="C136">
            <v>0.51</v>
          </cell>
        </row>
        <row r="137">
          <cell r="A137" t="str">
            <v>Indonesia</v>
          </cell>
          <cell r="B137">
            <v>0.56999999999999995</v>
          </cell>
          <cell r="C137">
            <v>0.43</v>
          </cell>
        </row>
        <row r="138">
          <cell r="A138" t="str">
            <v>Jordan</v>
          </cell>
        </row>
        <row r="139">
          <cell r="A139" t="str">
            <v>Bahrain</v>
          </cell>
        </row>
        <row r="140">
          <cell r="A140" t="str">
            <v>Thailand</v>
          </cell>
          <cell r="B140">
            <v>0.69</v>
          </cell>
          <cell r="C140">
            <v>0.31</v>
          </cell>
        </row>
        <row r="141">
          <cell r="A141" t="str">
            <v>RÃ©union</v>
          </cell>
        </row>
        <row r="142">
          <cell r="A142" t="str">
            <v>Montenegro</v>
          </cell>
        </row>
        <row r="143">
          <cell r="A143" t="str">
            <v>Guam</v>
          </cell>
        </row>
        <row r="144">
          <cell r="A144" t="str">
            <v>Kazakhstan</v>
          </cell>
          <cell r="B144">
            <v>0.59</v>
          </cell>
          <cell r="C144">
            <v>0.41</v>
          </cell>
        </row>
        <row r="145">
          <cell r="A145" t="str">
            <v>Libya</v>
          </cell>
        </row>
        <row r="146">
          <cell r="A146" t="str">
            <v>Guadeloupe</v>
          </cell>
        </row>
        <row r="147">
          <cell r="A147" t="str">
            <v>Puerto Rico</v>
          </cell>
        </row>
        <row r="148">
          <cell r="A148" t="str">
            <v>Chile</v>
          </cell>
          <cell r="B148">
            <v>0.65</v>
          </cell>
          <cell r="C148">
            <v>0.35</v>
          </cell>
        </row>
        <row r="149">
          <cell r="A149" t="str">
            <v>Moldova</v>
          </cell>
        </row>
        <row r="150">
          <cell r="A150" t="str">
            <v>Bosnia &amp; Herzegovina</v>
          </cell>
        </row>
        <row r="151">
          <cell r="A151" t="str">
            <v>Algeria</v>
          </cell>
          <cell r="B151">
            <v>0.52</v>
          </cell>
          <cell r="C151">
            <v>0.48</v>
          </cell>
        </row>
        <row r="152">
          <cell r="A152" t="str">
            <v>Paraguay</v>
          </cell>
        </row>
        <row r="153">
          <cell r="A153" t="str">
            <v>Guinea</v>
          </cell>
        </row>
        <row r="154">
          <cell r="A154" t="str">
            <v>Syria</v>
          </cell>
        </row>
        <row r="155">
          <cell r="A155" t="str">
            <v>Kosovo</v>
          </cell>
        </row>
        <row r="156">
          <cell r="A156" t="str">
            <v>Burkina Faso</v>
          </cell>
        </row>
        <row r="157">
          <cell r="A157" t="str">
            <v>Liberia</v>
          </cell>
        </row>
        <row r="158">
          <cell r="A158" t="str">
            <v>Vietnam</v>
          </cell>
          <cell r="B158">
            <v>0.72</v>
          </cell>
          <cell r="C158">
            <v>0.28000000000000003</v>
          </cell>
        </row>
        <row r="159">
          <cell r="A159" t="str">
            <v>Azerbaijan</v>
          </cell>
        </row>
        <row r="160">
          <cell r="A160" t="str">
            <v>Yemen</v>
          </cell>
        </row>
        <row r="161">
          <cell r="A161" t="str">
            <v>Turkmenistan</v>
          </cell>
        </row>
        <row r="162">
          <cell r="A162" t="str">
            <v>Kuwait</v>
          </cell>
        </row>
        <row r="163">
          <cell r="A163" t="str">
            <v>Palestine</v>
          </cell>
        </row>
        <row r="164">
          <cell r="A164" t="str">
            <v>Venezuela</v>
          </cell>
        </row>
        <row r="165">
          <cell r="A165" t="str">
            <v>Martinique</v>
          </cell>
        </row>
        <row r="166">
          <cell r="A166" t="str">
            <v>Saudi Arabia</v>
          </cell>
          <cell r="B166">
            <v>0.68</v>
          </cell>
          <cell r="C166">
            <v>0.32</v>
          </cell>
        </row>
        <row r="167">
          <cell r="A167" t="str">
            <v>Mali</v>
          </cell>
        </row>
        <row r="168">
          <cell r="A168" t="str">
            <v>Iraq</v>
          </cell>
        </row>
        <row r="169">
          <cell r="A169" t="str">
            <v>Egypt</v>
          </cell>
          <cell r="B169">
            <v>0.51</v>
          </cell>
          <cell r="C169">
            <v>0.49</v>
          </cell>
        </row>
        <row r="170">
          <cell r="A170" t="str">
            <v>Georgia</v>
          </cell>
        </row>
        <row r="171">
          <cell r="A171" t="str">
            <v>Tajikistan</v>
          </cell>
        </row>
        <row r="172">
          <cell r="A172" t="str">
            <v>Kyrgyzstan</v>
          </cell>
        </row>
        <row r="173">
          <cell r="A173" t="str">
            <v>Turkey</v>
          </cell>
          <cell r="B173">
            <v>0.55000000000000004</v>
          </cell>
          <cell r="C173">
            <v>0.45</v>
          </cell>
        </row>
        <row r="174">
          <cell r="A174" t="str">
            <v>North Korea</v>
          </cell>
        </row>
        <row r="175">
          <cell r="A175" t="str">
            <v>Cook Islands</v>
          </cell>
        </row>
        <row r="176">
          <cell r="A176" t="str">
            <v>Eritrea</v>
          </cell>
        </row>
        <row r="177">
          <cell r="A177" t="str">
            <v>Central African Republic</v>
          </cell>
        </row>
        <row r="178">
          <cell r="A178" t="str">
            <v>SÃ£o TomÃ© &amp; PrÃ­ncipe</v>
          </cell>
        </row>
        <row r="179">
          <cell r="A179" t="str">
            <v>Solomon Islands</v>
          </cell>
        </row>
        <row r="180">
          <cell r="A180" t="str">
            <v>Guinea-Bissau</v>
          </cell>
        </row>
        <row r="181">
          <cell r="A181" t="str">
            <v>Samoa</v>
          </cell>
        </row>
        <row r="182">
          <cell r="A182" t="str">
            <v>Ã…land Islands</v>
          </cell>
        </row>
        <row r="183">
          <cell r="A183" t="str">
            <v>Turks &amp; Caicos Islands</v>
          </cell>
        </row>
        <row r="184">
          <cell r="A184" t="str">
            <v>Vanuatu</v>
          </cell>
        </row>
        <row r="185">
          <cell r="A185" t="str">
            <v>Liechtenstein</v>
          </cell>
        </row>
        <row r="186">
          <cell r="A186" t="str">
            <v>St. Vincent &amp; Grenadines</v>
          </cell>
        </row>
        <row r="187">
          <cell r="A187" t="str">
            <v>St. Kitts &amp; Nevis</v>
          </cell>
        </row>
        <row r="188">
          <cell r="A188" t="str">
            <v>Gibraltar</v>
          </cell>
        </row>
        <row r="189">
          <cell r="A189" t="str">
            <v>Monaco</v>
          </cell>
        </row>
        <row r="190">
          <cell r="A190" t="str">
            <v>Dominica</v>
          </cell>
        </row>
        <row r="191">
          <cell r="A191" t="str">
            <v>Equatorial Guinea</v>
          </cell>
        </row>
        <row r="192">
          <cell r="A192" t="str">
            <v>Timor-Leste</v>
          </cell>
        </row>
        <row r="193">
          <cell r="A193" t="str">
            <v>Andorra</v>
          </cell>
        </row>
        <row r="194">
          <cell r="A194" t="str">
            <v>San Marino</v>
          </cell>
        </row>
        <row r="195">
          <cell r="A195" t="str">
            <v>Caribbean Netherlands</v>
          </cell>
        </row>
        <row r="196">
          <cell r="A196" t="str">
            <v>Seychelles</v>
          </cell>
        </row>
        <row r="197">
          <cell r="A197" t="str">
            <v>Niger</v>
          </cell>
        </row>
        <row r="198">
          <cell r="A198" t="str">
            <v>South Sudan</v>
          </cell>
        </row>
        <row r="199">
          <cell r="A199" t="str">
            <v>St. Martin</v>
          </cell>
        </row>
        <row r="200">
          <cell r="A200" t="str">
            <v>Greenland</v>
          </cell>
        </row>
        <row r="201">
          <cell r="A201" t="str">
            <v>Djibouti</v>
          </cell>
        </row>
        <row r="202">
          <cell r="A202" t="str">
            <v>Antigua &amp; Barbuda</v>
          </cell>
        </row>
        <row r="203">
          <cell r="A203" t="str">
            <v>Mayotte</v>
          </cell>
        </row>
        <row r="204">
          <cell r="A204" t="str">
            <v>Guernsey</v>
          </cell>
        </row>
        <row r="205">
          <cell r="A205" t="str">
            <v>Grenada</v>
          </cell>
        </row>
        <row r="206">
          <cell r="A206" t="str">
            <v>Northern Mariana Islands</v>
          </cell>
        </row>
        <row r="207">
          <cell r="A207" t="str">
            <v>Congo - Brazzaville</v>
          </cell>
        </row>
        <row r="208">
          <cell r="A208" t="str">
            <v>Belize</v>
          </cell>
        </row>
        <row r="209">
          <cell r="A209" t="str">
            <v>Gambia</v>
          </cell>
        </row>
        <row r="210">
          <cell r="A210" t="str">
            <v>New Caledonia</v>
          </cell>
        </row>
        <row r="211">
          <cell r="A211" t="str">
            <v>U.S. Virgin Islands</v>
          </cell>
        </row>
        <row r="212">
          <cell r="A212" t="str">
            <v>Gabon</v>
          </cell>
        </row>
        <row r="213">
          <cell r="A213" t="str">
            <v>Western Sahara</v>
          </cell>
        </row>
        <row r="214">
          <cell r="A214" t="str">
            <v>Mauritania</v>
          </cell>
        </row>
        <row r="215">
          <cell r="A215" t="str">
            <v>Sint Maarten</v>
          </cell>
        </row>
        <row r="216">
          <cell r="A216" t="str">
            <v>Chad</v>
          </cell>
        </row>
        <row r="217">
          <cell r="A217" t="str">
            <v>Faroe Islands</v>
          </cell>
        </row>
        <row r="218">
          <cell r="A218" t="str">
            <v>French Guiana</v>
          </cell>
        </row>
        <row r="219">
          <cell r="A219" t="str">
            <v>St. Lucia</v>
          </cell>
        </row>
        <row r="220">
          <cell r="A220" t="str">
            <v>Aruba</v>
          </cell>
        </row>
        <row r="221">
          <cell r="A221" t="str">
            <v>French Polynesia</v>
          </cell>
        </row>
        <row r="222">
          <cell r="A222" t="str">
            <v>Bermuda</v>
          </cell>
        </row>
        <row r="223">
          <cell r="A223" t="str">
            <v>Anguilla</v>
          </cell>
        </row>
        <row r="224">
          <cell r="A224" t="str">
            <v>American Samoa</v>
          </cell>
        </row>
        <row r="225">
          <cell r="A225" t="str">
            <v>Antarctica</v>
          </cell>
        </row>
        <row r="226">
          <cell r="A226" t="str">
            <v>French Southern Territories</v>
          </cell>
        </row>
        <row r="227">
          <cell r="A227" t="str">
            <v>St. BarthÃ©lemy</v>
          </cell>
        </row>
        <row r="228">
          <cell r="A228" t="str">
            <v>Bouvet Island</v>
          </cell>
        </row>
        <row r="229">
          <cell r="A229" t="str">
            <v>Cocos (Keeling) Islands</v>
          </cell>
        </row>
        <row r="230">
          <cell r="A230" t="str">
            <v>Comoros</v>
          </cell>
        </row>
        <row r="231">
          <cell r="A231" t="str">
            <v>Christmas Island</v>
          </cell>
        </row>
        <row r="232">
          <cell r="A232" t="str">
            <v>Falkland Islands (Islas Malvinas)</v>
          </cell>
        </row>
        <row r="233">
          <cell r="A233" t="str">
            <v>Micronesia</v>
          </cell>
        </row>
        <row r="234">
          <cell r="A234" t="str">
            <v>Heard &amp; McDonald Islands</v>
          </cell>
        </row>
        <row r="235">
          <cell r="A235" t="str">
            <v>British Indian Ocean Territory</v>
          </cell>
        </row>
        <row r="236">
          <cell r="A236" t="str">
            <v>Kiribati</v>
          </cell>
        </row>
        <row r="237">
          <cell r="A237" t="str">
            <v>Marshall Islands</v>
          </cell>
        </row>
        <row r="238">
          <cell r="A238" t="str">
            <v>Montserrat</v>
          </cell>
        </row>
        <row r="239">
          <cell r="A239" t="str">
            <v>Norfolk Island</v>
          </cell>
        </row>
        <row r="240">
          <cell r="A240" t="str">
            <v>Niue</v>
          </cell>
        </row>
        <row r="241">
          <cell r="A241" t="str">
            <v>Nauru</v>
          </cell>
        </row>
        <row r="242">
          <cell r="A242" t="str">
            <v>Pitcairn Islands</v>
          </cell>
        </row>
        <row r="243">
          <cell r="A243" t="str">
            <v>Palau</v>
          </cell>
        </row>
        <row r="244">
          <cell r="A244" t="str">
            <v>South Georgia &amp; South Sandwich Islands</v>
          </cell>
        </row>
        <row r="245">
          <cell r="A245" t="str">
            <v>Svalbard &amp; Jan Mayen</v>
          </cell>
        </row>
        <row r="246">
          <cell r="A246" t="str">
            <v>St. Pierre &amp; Miquelon</v>
          </cell>
        </row>
        <row r="247">
          <cell r="A247" t="str">
            <v>Tokelau</v>
          </cell>
        </row>
        <row r="248">
          <cell r="A248" t="str">
            <v>Tonga</v>
          </cell>
        </row>
        <row r="249">
          <cell r="A249" t="str">
            <v>Tuvalu</v>
          </cell>
        </row>
        <row r="250">
          <cell r="A250" t="str">
            <v>U.S. Outlying Islands</v>
          </cell>
        </row>
        <row r="251">
          <cell r="A251" t="str">
            <v>Vatican City</v>
          </cell>
        </row>
        <row r="252">
          <cell r="A252" t="str">
            <v>British Virgin Islands</v>
          </cell>
        </row>
        <row r="253">
          <cell r="A253" t="str">
            <v>Wallis &amp; Futuna</v>
          </cell>
        </row>
      </sheetData>
    </sheetDataSet>
  </externalBook>
</externalLink>
</file>

<file path=xl/externalLinks/externalLink1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31)"/>
    </sheetNames>
    <sheetDataSet>
      <sheetData sheetId="0">
        <row r="1">
          <cell r="A1" t="str">
            <v>Category: All categories</v>
          </cell>
        </row>
        <row r="3">
          <cell r="A3" t="str">
            <v>Country</v>
          </cell>
          <cell r="B3" t="str">
            <v>Transmission Control Protocol: (2017)</v>
          </cell>
          <cell r="C3" t="str">
            <v>Deep learning: (2017)</v>
          </cell>
        </row>
        <row r="4">
          <cell r="A4" t="str">
            <v>China</v>
          </cell>
          <cell r="B4">
            <v>0.46</v>
          </cell>
          <cell r="C4">
            <v>0.54</v>
          </cell>
        </row>
        <row r="5">
          <cell r="A5" t="str">
            <v>Cuba</v>
          </cell>
        </row>
        <row r="6">
          <cell r="A6" t="str">
            <v>South Korea</v>
          </cell>
          <cell r="B6">
            <v>0.45</v>
          </cell>
          <cell r="C6">
            <v>0.55000000000000004</v>
          </cell>
        </row>
        <row r="7">
          <cell r="A7" t="str">
            <v>Botswana</v>
          </cell>
        </row>
        <row r="8">
          <cell r="A8" t="str">
            <v>Burundi</v>
          </cell>
        </row>
        <row r="9">
          <cell r="A9" t="str">
            <v>Singapore</v>
          </cell>
          <cell r="B9">
            <v>0.61</v>
          </cell>
          <cell r="C9">
            <v>0.39</v>
          </cell>
        </row>
        <row r="10">
          <cell r="A10" t="str">
            <v>Eswatini</v>
          </cell>
        </row>
        <row r="11">
          <cell r="A11" t="str">
            <v>St. Helena</v>
          </cell>
          <cell r="B11">
            <v>0.69</v>
          </cell>
          <cell r="C11">
            <v>0.31</v>
          </cell>
        </row>
        <row r="12">
          <cell r="A12" t="str">
            <v>Ethiopia</v>
          </cell>
        </row>
        <row r="13">
          <cell r="A13" t="str">
            <v>Zimbabwe</v>
          </cell>
        </row>
        <row r="14">
          <cell r="A14" t="str">
            <v>Nepal</v>
          </cell>
        </row>
        <row r="15">
          <cell r="A15" t="str">
            <v>Congo - Kinshasa</v>
          </cell>
        </row>
        <row r="16">
          <cell r="A16" t="str">
            <v>Myanmar (Burma)</v>
          </cell>
        </row>
        <row r="17">
          <cell r="A17" t="str">
            <v>Papua New Guinea</v>
          </cell>
        </row>
        <row r="18">
          <cell r="A18" t="str">
            <v>Cameroon</v>
          </cell>
        </row>
        <row r="19">
          <cell r="A19" t="str">
            <v>Israel</v>
          </cell>
          <cell r="B19">
            <v>0.61</v>
          </cell>
          <cell r="C19">
            <v>0.39</v>
          </cell>
        </row>
        <row r="20">
          <cell r="A20" t="str">
            <v>Lesotho</v>
          </cell>
        </row>
        <row r="21">
          <cell r="A21" t="str">
            <v>Madagascar</v>
          </cell>
        </row>
        <row r="22">
          <cell r="A22" t="str">
            <v>Angola</v>
          </cell>
        </row>
        <row r="23">
          <cell r="A23" t="str">
            <v>Luxembourg</v>
          </cell>
        </row>
        <row r="24">
          <cell r="A24" t="str">
            <v>Rwanda</v>
          </cell>
        </row>
        <row r="25">
          <cell r="A25" t="str">
            <v>Uruguay</v>
          </cell>
        </row>
        <row r="26">
          <cell r="A26" t="str">
            <v>Mauritius</v>
          </cell>
        </row>
        <row r="27">
          <cell r="A27" t="str">
            <v>Hong Kong</v>
          </cell>
          <cell r="B27">
            <v>0.55000000000000004</v>
          </cell>
          <cell r="C27">
            <v>0.45</v>
          </cell>
        </row>
        <row r="28">
          <cell r="A28" t="str">
            <v>Namibia</v>
          </cell>
        </row>
        <row r="29">
          <cell r="A29" t="str">
            <v>Taiwan</v>
          </cell>
          <cell r="B29">
            <v>0.53</v>
          </cell>
          <cell r="C29">
            <v>0.47</v>
          </cell>
        </row>
        <row r="30">
          <cell r="A30" t="str">
            <v>India</v>
          </cell>
          <cell r="B30">
            <v>0.76</v>
          </cell>
          <cell r="C30">
            <v>0.24</v>
          </cell>
        </row>
        <row r="31">
          <cell r="A31" t="str">
            <v>Laos</v>
          </cell>
        </row>
        <row r="32">
          <cell r="A32" t="str">
            <v>Ghana</v>
          </cell>
        </row>
        <row r="33">
          <cell r="A33" t="str">
            <v>Fiji</v>
          </cell>
        </row>
        <row r="34">
          <cell r="A34" t="str">
            <v>Iceland</v>
          </cell>
        </row>
        <row r="35">
          <cell r="A35" t="str">
            <v>Bolivia</v>
          </cell>
        </row>
        <row r="36">
          <cell r="A36" t="str">
            <v>Czechia</v>
          </cell>
          <cell r="B36">
            <v>0.88</v>
          </cell>
          <cell r="C36">
            <v>0.12</v>
          </cell>
        </row>
        <row r="37">
          <cell r="A37" t="str">
            <v>Switzerland</v>
          </cell>
          <cell r="B37">
            <v>0.69</v>
          </cell>
          <cell r="C37">
            <v>0.31</v>
          </cell>
        </row>
        <row r="38">
          <cell r="A38" t="str">
            <v>Benin</v>
          </cell>
        </row>
        <row r="39">
          <cell r="A39" t="str">
            <v>Estonia</v>
          </cell>
        </row>
        <row r="40">
          <cell r="A40" t="str">
            <v>Macao</v>
          </cell>
        </row>
        <row r="41">
          <cell r="A41" t="str">
            <v>Japan</v>
          </cell>
          <cell r="B41">
            <v>0.49</v>
          </cell>
          <cell r="C41">
            <v>0.51</v>
          </cell>
        </row>
        <row r="42">
          <cell r="A42" t="str">
            <v>Jersey</v>
          </cell>
        </row>
        <row r="43">
          <cell r="A43" t="str">
            <v>Ireland</v>
          </cell>
          <cell r="B43">
            <v>0.75</v>
          </cell>
          <cell r="C43">
            <v>0.25</v>
          </cell>
        </row>
        <row r="44">
          <cell r="A44" t="str">
            <v>Malta</v>
          </cell>
        </row>
        <row r="45">
          <cell r="A45" t="str">
            <v>Cape Verde</v>
          </cell>
        </row>
        <row r="46">
          <cell r="A46" t="str">
            <v>Togo</v>
          </cell>
        </row>
        <row r="47">
          <cell r="A47" t="str">
            <v>Brunei</v>
          </cell>
        </row>
        <row r="48">
          <cell r="A48" t="str">
            <v>Cayman Islands</v>
          </cell>
        </row>
        <row r="49">
          <cell r="A49" t="str">
            <v>Isle of Man</v>
          </cell>
        </row>
        <row r="50">
          <cell r="A50" t="str">
            <v>Sri Lanka</v>
          </cell>
          <cell r="B50">
            <v>0.79</v>
          </cell>
          <cell r="C50">
            <v>0.21</v>
          </cell>
        </row>
        <row r="51">
          <cell r="A51" t="str">
            <v>Uganda</v>
          </cell>
        </row>
        <row r="52">
          <cell r="A52" t="str">
            <v>Germany</v>
          </cell>
          <cell r="B52">
            <v>0.74</v>
          </cell>
          <cell r="C52">
            <v>0.26</v>
          </cell>
        </row>
        <row r="53">
          <cell r="A53" t="str">
            <v>Tunisia</v>
          </cell>
          <cell r="B53">
            <v>0.74</v>
          </cell>
          <cell r="C53">
            <v>0.26</v>
          </cell>
        </row>
        <row r="54">
          <cell r="A54" t="str">
            <v>Philippines</v>
          </cell>
          <cell r="B54">
            <v>0.89</v>
          </cell>
          <cell r="C54">
            <v>0.11</v>
          </cell>
        </row>
        <row r="55">
          <cell r="A55" t="str">
            <v>Australia</v>
          </cell>
          <cell r="B55">
            <v>0.75</v>
          </cell>
          <cell r="C55">
            <v>0.25</v>
          </cell>
        </row>
        <row r="56">
          <cell r="A56" t="str">
            <v>Malawi</v>
          </cell>
        </row>
        <row r="57">
          <cell r="A57" t="str">
            <v>New Zealand</v>
          </cell>
          <cell r="B57">
            <v>0.79</v>
          </cell>
          <cell r="C57">
            <v>0.21</v>
          </cell>
        </row>
        <row r="58">
          <cell r="A58" t="str">
            <v>Finland</v>
          </cell>
          <cell r="B58">
            <v>0.74</v>
          </cell>
          <cell r="C58">
            <v>0.26</v>
          </cell>
        </row>
        <row r="59">
          <cell r="A59" t="str">
            <v>Mozambique</v>
          </cell>
        </row>
        <row r="60">
          <cell r="A60" t="str">
            <v>Norway</v>
          </cell>
          <cell r="B60">
            <v>0.74</v>
          </cell>
          <cell r="C60">
            <v>0.26</v>
          </cell>
        </row>
        <row r="61">
          <cell r="A61" t="str">
            <v>Cyprus</v>
          </cell>
        </row>
        <row r="62">
          <cell r="A62" t="str">
            <v>Sweden</v>
          </cell>
          <cell r="B62">
            <v>0.75</v>
          </cell>
          <cell r="C62">
            <v>0.25</v>
          </cell>
        </row>
        <row r="63">
          <cell r="A63" t="str">
            <v>Netherlands</v>
          </cell>
          <cell r="B63">
            <v>0.75</v>
          </cell>
          <cell r="C63">
            <v>0.25</v>
          </cell>
        </row>
        <row r="64">
          <cell r="A64" t="str">
            <v>Pakistan</v>
          </cell>
          <cell r="B64">
            <v>0.77</v>
          </cell>
          <cell r="C64">
            <v>0.23</v>
          </cell>
        </row>
        <row r="65">
          <cell r="A65" t="str">
            <v>Somalia</v>
          </cell>
        </row>
        <row r="66">
          <cell r="A66" t="str">
            <v>Slovenia</v>
          </cell>
        </row>
        <row r="67">
          <cell r="A67" t="str">
            <v>Senegal</v>
          </cell>
        </row>
        <row r="68">
          <cell r="A68" t="str">
            <v>Austria</v>
          </cell>
          <cell r="B68">
            <v>0.78</v>
          </cell>
          <cell r="C68">
            <v>0.22</v>
          </cell>
        </row>
        <row r="69">
          <cell r="A69" t="str">
            <v>Portugal</v>
          </cell>
          <cell r="B69">
            <v>0.8</v>
          </cell>
          <cell r="C69">
            <v>0.2</v>
          </cell>
        </row>
        <row r="70">
          <cell r="A70" t="str">
            <v>United States</v>
          </cell>
          <cell r="B70">
            <v>0.68</v>
          </cell>
          <cell r="C70">
            <v>0.32</v>
          </cell>
        </row>
        <row r="71">
          <cell r="A71" t="str">
            <v>Canada</v>
          </cell>
          <cell r="B71">
            <v>0.67</v>
          </cell>
          <cell r="C71">
            <v>0.33</v>
          </cell>
        </row>
        <row r="72">
          <cell r="A72" t="str">
            <v>Zambia</v>
          </cell>
        </row>
        <row r="73">
          <cell r="A73" t="str">
            <v>Afghanistan</v>
          </cell>
        </row>
        <row r="74">
          <cell r="A74" t="str">
            <v>Guyana</v>
          </cell>
        </row>
        <row r="75">
          <cell r="A75" t="str">
            <v>Barbados</v>
          </cell>
        </row>
        <row r="76">
          <cell r="A76" t="str">
            <v>Panama</v>
          </cell>
        </row>
        <row r="77">
          <cell r="A77" t="str">
            <v>Bhutan</v>
          </cell>
        </row>
        <row r="78">
          <cell r="A78" t="str">
            <v>Trinidad &amp; Tobago</v>
          </cell>
        </row>
        <row r="79">
          <cell r="A79" t="str">
            <v>Costa Rica</v>
          </cell>
        </row>
        <row r="80">
          <cell r="A80" t="str">
            <v>United Kingdom</v>
          </cell>
          <cell r="B80">
            <v>0.74</v>
          </cell>
          <cell r="C80">
            <v>0.26</v>
          </cell>
        </row>
        <row r="81">
          <cell r="A81" t="str">
            <v>Hungary</v>
          </cell>
          <cell r="B81">
            <v>0.83</v>
          </cell>
          <cell r="C81">
            <v>0.17</v>
          </cell>
        </row>
        <row r="82">
          <cell r="A82" t="str">
            <v>Honduras</v>
          </cell>
        </row>
        <row r="83">
          <cell r="A83" t="str">
            <v>Russia</v>
          </cell>
          <cell r="B83">
            <v>0.89</v>
          </cell>
          <cell r="C83">
            <v>0.11</v>
          </cell>
        </row>
        <row r="84">
          <cell r="A84" t="str">
            <v>United Arab Emirates</v>
          </cell>
          <cell r="B84">
            <v>0.82</v>
          </cell>
          <cell r="C84">
            <v>0.18</v>
          </cell>
        </row>
        <row r="85">
          <cell r="A85" t="str">
            <v>CÃ´te dâ€™Ivoire</v>
          </cell>
        </row>
        <row r="86">
          <cell r="A86" t="str">
            <v>Belgium</v>
          </cell>
          <cell r="B86">
            <v>0.74</v>
          </cell>
          <cell r="C86">
            <v>0.26</v>
          </cell>
        </row>
        <row r="87">
          <cell r="A87" t="str">
            <v>Tanzania</v>
          </cell>
        </row>
        <row r="88">
          <cell r="A88" t="str">
            <v>Slovakia</v>
          </cell>
        </row>
        <row r="89">
          <cell r="A89" t="str">
            <v>Malaysia</v>
          </cell>
          <cell r="B89">
            <v>0.76</v>
          </cell>
          <cell r="C89">
            <v>0.24</v>
          </cell>
        </row>
        <row r="90">
          <cell r="A90" t="str">
            <v>Ecuador</v>
          </cell>
        </row>
        <row r="91">
          <cell r="A91" t="str">
            <v>Lebanon</v>
          </cell>
        </row>
        <row r="92">
          <cell r="A92" t="str">
            <v>Spain</v>
          </cell>
          <cell r="B92">
            <v>0.81</v>
          </cell>
          <cell r="C92">
            <v>0.19</v>
          </cell>
        </row>
        <row r="93">
          <cell r="A93" t="str">
            <v>South Africa</v>
          </cell>
          <cell r="B93">
            <v>0.8</v>
          </cell>
          <cell r="C93">
            <v>0.2</v>
          </cell>
        </row>
        <row r="94">
          <cell r="A94" t="str">
            <v>El Salvador</v>
          </cell>
        </row>
        <row r="95">
          <cell r="A95" t="str">
            <v>Jamaica</v>
          </cell>
        </row>
        <row r="96">
          <cell r="A96" t="str">
            <v>Belarus</v>
          </cell>
        </row>
        <row r="97">
          <cell r="A97" t="str">
            <v>Sudan</v>
          </cell>
        </row>
        <row r="98">
          <cell r="A98" t="str">
            <v>Denmark</v>
          </cell>
          <cell r="B98">
            <v>0.71</v>
          </cell>
          <cell r="C98">
            <v>0.28999999999999998</v>
          </cell>
        </row>
        <row r="99">
          <cell r="A99" t="str">
            <v>Lithuania</v>
          </cell>
        </row>
        <row r="100">
          <cell r="A100" t="str">
            <v>Haiti</v>
          </cell>
        </row>
        <row r="101">
          <cell r="A101" t="str">
            <v>Qatar</v>
          </cell>
        </row>
        <row r="102">
          <cell r="A102" t="str">
            <v>Oman</v>
          </cell>
        </row>
        <row r="103">
          <cell r="A103" t="str">
            <v>Colombia</v>
          </cell>
          <cell r="B103">
            <v>0.92</v>
          </cell>
          <cell r="C103">
            <v>0.08</v>
          </cell>
        </row>
        <row r="104">
          <cell r="A104" t="str">
            <v>Argentina</v>
          </cell>
          <cell r="B104">
            <v>0.93</v>
          </cell>
          <cell r="C104">
            <v>7.0000000000000007E-2</v>
          </cell>
        </row>
        <row r="105">
          <cell r="A105" t="str">
            <v>Latvia</v>
          </cell>
        </row>
        <row r="106">
          <cell r="A106" t="str">
            <v>CuraÃ§ao</v>
          </cell>
        </row>
        <row r="107">
          <cell r="A107" t="str">
            <v>Croatia</v>
          </cell>
          <cell r="B107">
            <v>0.8</v>
          </cell>
          <cell r="C107">
            <v>0.2</v>
          </cell>
        </row>
        <row r="108">
          <cell r="A108" t="str">
            <v>Romania</v>
          </cell>
          <cell r="B108">
            <v>0.82</v>
          </cell>
          <cell r="C108">
            <v>0.18</v>
          </cell>
        </row>
        <row r="109">
          <cell r="A109" t="str">
            <v>Uzbekistan</v>
          </cell>
        </row>
        <row r="110">
          <cell r="A110" t="str">
            <v>Mongolia</v>
          </cell>
        </row>
        <row r="111">
          <cell r="A111" t="str">
            <v>France</v>
          </cell>
          <cell r="B111">
            <v>0.73</v>
          </cell>
          <cell r="C111">
            <v>0.27</v>
          </cell>
        </row>
        <row r="112">
          <cell r="A112" t="str">
            <v>Albania</v>
          </cell>
        </row>
        <row r="113">
          <cell r="A113" t="str">
            <v>Bulgaria</v>
          </cell>
        </row>
        <row r="114">
          <cell r="A114" t="str">
            <v>Mexico</v>
          </cell>
          <cell r="B114">
            <v>0.92</v>
          </cell>
          <cell r="C114">
            <v>0.08</v>
          </cell>
        </row>
        <row r="115">
          <cell r="A115" t="str">
            <v>Guatemala</v>
          </cell>
        </row>
        <row r="116">
          <cell r="A116" t="str">
            <v>Kenya</v>
          </cell>
        </row>
        <row r="117">
          <cell r="A117" t="str">
            <v>Nicaragua</v>
          </cell>
        </row>
        <row r="118">
          <cell r="A118" t="str">
            <v>Poland</v>
          </cell>
          <cell r="B118">
            <v>0.86</v>
          </cell>
          <cell r="C118">
            <v>0.14000000000000001</v>
          </cell>
        </row>
        <row r="119">
          <cell r="A119" t="str">
            <v>Bangladesh</v>
          </cell>
          <cell r="B119">
            <v>0.76</v>
          </cell>
          <cell r="C119">
            <v>0.24</v>
          </cell>
        </row>
        <row r="120">
          <cell r="A120" t="str">
            <v>North Macedonia</v>
          </cell>
        </row>
        <row r="121">
          <cell r="A121" t="str">
            <v>Bahamas</v>
          </cell>
        </row>
        <row r="122">
          <cell r="A122" t="str">
            <v>Dominican Republic</v>
          </cell>
        </row>
        <row r="123">
          <cell r="A123" t="str">
            <v>Armenia</v>
          </cell>
        </row>
        <row r="124">
          <cell r="A124" t="str">
            <v>Nigeria</v>
          </cell>
        </row>
        <row r="125">
          <cell r="A125" t="str">
            <v>Suriname</v>
          </cell>
        </row>
        <row r="126">
          <cell r="A126" t="str">
            <v>Maldives</v>
          </cell>
        </row>
        <row r="127">
          <cell r="A127" t="str">
            <v>Italy</v>
          </cell>
          <cell r="B127">
            <v>0.83</v>
          </cell>
          <cell r="C127">
            <v>0.17</v>
          </cell>
        </row>
        <row r="128">
          <cell r="A128" t="str">
            <v>Serbia</v>
          </cell>
        </row>
        <row r="129">
          <cell r="A129" t="str">
            <v>Brazil</v>
          </cell>
          <cell r="B129">
            <v>0.89</v>
          </cell>
          <cell r="C129">
            <v>0.11</v>
          </cell>
        </row>
        <row r="130">
          <cell r="A130" t="str">
            <v>Sierra Leone</v>
          </cell>
        </row>
        <row r="131">
          <cell r="A131" t="str">
            <v>Greece</v>
          </cell>
          <cell r="B131">
            <v>0.76</v>
          </cell>
          <cell r="C131">
            <v>0.24</v>
          </cell>
        </row>
        <row r="132">
          <cell r="A132" t="str">
            <v>Peru</v>
          </cell>
          <cell r="B132">
            <v>0.91</v>
          </cell>
          <cell r="C132">
            <v>0.09</v>
          </cell>
        </row>
        <row r="133">
          <cell r="A133" t="str">
            <v>Morocco</v>
          </cell>
          <cell r="B133">
            <v>0.79</v>
          </cell>
          <cell r="C133">
            <v>0.21</v>
          </cell>
        </row>
        <row r="134">
          <cell r="A134" t="str">
            <v>Indonesia</v>
          </cell>
          <cell r="B134">
            <v>0.92</v>
          </cell>
          <cell r="C134">
            <v>0.08</v>
          </cell>
        </row>
        <row r="135">
          <cell r="A135" t="str">
            <v>Jordan</v>
          </cell>
        </row>
        <row r="136">
          <cell r="A136" t="str">
            <v>Bahrain</v>
          </cell>
        </row>
        <row r="137">
          <cell r="A137" t="str">
            <v>Ukraine</v>
          </cell>
          <cell r="B137">
            <v>0.89</v>
          </cell>
          <cell r="C137">
            <v>0.11</v>
          </cell>
        </row>
        <row r="138">
          <cell r="A138" t="str">
            <v>Thailand</v>
          </cell>
          <cell r="B138">
            <v>0.82</v>
          </cell>
          <cell r="C138">
            <v>0.18</v>
          </cell>
        </row>
        <row r="139">
          <cell r="A139" t="str">
            <v>RÃ©union</v>
          </cell>
        </row>
        <row r="140">
          <cell r="A140" t="str">
            <v>Montenegro</v>
          </cell>
        </row>
        <row r="141">
          <cell r="A141" t="str">
            <v>Cambodia</v>
          </cell>
        </row>
        <row r="142">
          <cell r="A142" t="str">
            <v>Guam</v>
          </cell>
        </row>
        <row r="143">
          <cell r="A143" t="str">
            <v>Iran</v>
          </cell>
          <cell r="B143">
            <v>0.57999999999999996</v>
          </cell>
          <cell r="C143">
            <v>0.42</v>
          </cell>
        </row>
        <row r="144">
          <cell r="A144" t="str">
            <v>Kazakhstan</v>
          </cell>
        </row>
        <row r="145">
          <cell r="A145" t="str">
            <v>Libya</v>
          </cell>
        </row>
        <row r="146">
          <cell r="A146" t="str">
            <v>Guadeloupe</v>
          </cell>
        </row>
        <row r="147">
          <cell r="A147" t="str">
            <v>Puerto Rico</v>
          </cell>
        </row>
        <row r="148">
          <cell r="A148" t="str">
            <v>Chile</v>
          </cell>
          <cell r="B148">
            <v>0.82</v>
          </cell>
          <cell r="C148">
            <v>0.18</v>
          </cell>
        </row>
        <row r="149">
          <cell r="A149" t="str">
            <v>Moldova</v>
          </cell>
        </row>
        <row r="150">
          <cell r="A150" t="str">
            <v>Bosnia &amp; Herzegovina</v>
          </cell>
        </row>
        <row r="151">
          <cell r="A151" t="str">
            <v>Algeria</v>
          </cell>
          <cell r="B151">
            <v>0.75</v>
          </cell>
          <cell r="C151">
            <v>0.25</v>
          </cell>
        </row>
        <row r="152">
          <cell r="A152" t="str">
            <v>Paraguay</v>
          </cell>
        </row>
        <row r="153">
          <cell r="A153" t="str">
            <v>Guinea</v>
          </cell>
        </row>
        <row r="154">
          <cell r="A154" t="str">
            <v>Kosovo</v>
          </cell>
        </row>
        <row r="155">
          <cell r="A155" t="str">
            <v>Burkina Faso</v>
          </cell>
        </row>
        <row r="156">
          <cell r="A156" t="str">
            <v>Liberia</v>
          </cell>
        </row>
        <row r="157">
          <cell r="A157" t="str">
            <v>Vietnam</v>
          </cell>
          <cell r="B157">
            <v>0.71</v>
          </cell>
          <cell r="C157">
            <v>0.28999999999999998</v>
          </cell>
        </row>
        <row r="158">
          <cell r="A158" t="str">
            <v>Azerbaijan</v>
          </cell>
        </row>
        <row r="159">
          <cell r="A159" t="str">
            <v>Yemen</v>
          </cell>
        </row>
        <row r="160">
          <cell r="A160" t="str">
            <v>Turkmenistan</v>
          </cell>
        </row>
        <row r="161">
          <cell r="A161" t="str">
            <v>Kuwait</v>
          </cell>
        </row>
        <row r="162">
          <cell r="A162" t="str">
            <v>Palestine</v>
          </cell>
        </row>
        <row r="163">
          <cell r="A163" t="str">
            <v>Venezuela</v>
          </cell>
        </row>
        <row r="164">
          <cell r="A164" t="str">
            <v>Martinique</v>
          </cell>
        </row>
        <row r="165">
          <cell r="A165" t="str">
            <v>Saudi Arabia</v>
          </cell>
          <cell r="B165">
            <v>0.8</v>
          </cell>
          <cell r="C165">
            <v>0.2</v>
          </cell>
        </row>
        <row r="166">
          <cell r="A166" t="str">
            <v>Mali</v>
          </cell>
        </row>
        <row r="167">
          <cell r="A167" t="str">
            <v>Egypt</v>
          </cell>
          <cell r="B167">
            <v>0.64</v>
          </cell>
          <cell r="C167">
            <v>0.36</v>
          </cell>
        </row>
        <row r="168">
          <cell r="A168" t="str">
            <v>Georgia</v>
          </cell>
        </row>
        <row r="169">
          <cell r="A169" t="str">
            <v>Syria</v>
          </cell>
        </row>
        <row r="170">
          <cell r="A170" t="str">
            <v>Tajikistan</v>
          </cell>
        </row>
        <row r="171">
          <cell r="A171" t="str">
            <v>Kyrgyzstan</v>
          </cell>
        </row>
        <row r="172">
          <cell r="A172" t="str">
            <v>Turkey</v>
          </cell>
          <cell r="B172">
            <v>0.71</v>
          </cell>
          <cell r="C172">
            <v>0.28999999999999998</v>
          </cell>
        </row>
        <row r="173">
          <cell r="A173" t="str">
            <v>Iraq</v>
          </cell>
        </row>
        <row r="174">
          <cell r="A174" t="str">
            <v>North Korea</v>
          </cell>
        </row>
        <row r="175">
          <cell r="A175" t="str">
            <v>Cook Islands</v>
          </cell>
        </row>
        <row r="176">
          <cell r="A176" t="str">
            <v>Eritrea</v>
          </cell>
        </row>
        <row r="177">
          <cell r="A177" t="str">
            <v>Central African Republic</v>
          </cell>
        </row>
        <row r="178">
          <cell r="A178" t="str">
            <v>SÃ£o TomÃ© &amp; PrÃ­ncipe</v>
          </cell>
        </row>
        <row r="179">
          <cell r="A179" t="str">
            <v>Solomon Islands</v>
          </cell>
        </row>
        <row r="180">
          <cell r="A180" t="str">
            <v>Guinea-Bissau</v>
          </cell>
        </row>
        <row r="181">
          <cell r="A181" t="str">
            <v>Samoa</v>
          </cell>
        </row>
        <row r="182">
          <cell r="A182" t="str">
            <v>Ã…land Islands</v>
          </cell>
        </row>
        <row r="183">
          <cell r="A183" t="str">
            <v>Turks &amp; Caicos Islands</v>
          </cell>
        </row>
        <row r="184">
          <cell r="A184" t="str">
            <v>Vanuatu</v>
          </cell>
        </row>
        <row r="185">
          <cell r="A185" t="str">
            <v>Liechtenstein</v>
          </cell>
        </row>
        <row r="186">
          <cell r="A186" t="str">
            <v>St. Vincent &amp; Grenadines</v>
          </cell>
        </row>
        <row r="187">
          <cell r="A187" t="str">
            <v>St. Kitts &amp; Nevis</v>
          </cell>
        </row>
        <row r="188">
          <cell r="A188" t="str">
            <v>Gibraltar</v>
          </cell>
        </row>
        <row r="189">
          <cell r="A189" t="str">
            <v>Monaco</v>
          </cell>
        </row>
        <row r="190">
          <cell r="A190" t="str">
            <v>Dominica</v>
          </cell>
        </row>
        <row r="191">
          <cell r="A191" t="str">
            <v>Equatorial Guinea</v>
          </cell>
        </row>
        <row r="192">
          <cell r="A192" t="str">
            <v>Timor-Leste</v>
          </cell>
        </row>
        <row r="193">
          <cell r="A193" t="str">
            <v>Andorra</v>
          </cell>
        </row>
        <row r="194">
          <cell r="A194" t="str">
            <v>San Marino</v>
          </cell>
        </row>
        <row r="195">
          <cell r="A195" t="str">
            <v>Caribbean Netherlands</v>
          </cell>
        </row>
        <row r="196">
          <cell r="A196" t="str">
            <v>Seychelles</v>
          </cell>
        </row>
        <row r="197">
          <cell r="A197" t="str">
            <v>Niger</v>
          </cell>
        </row>
        <row r="198">
          <cell r="A198" t="str">
            <v>South Sudan</v>
          </cell>
        </row>
        <row r="199">
          <cell r="A199" t="str">
            <v>St. Martin</v>
          </cell>
        </row>
        <row r="200">
          <cell r="A200" t="str">
            <v>Greenland</v>
          </cell>
        </row>
        <row r="201">
          <cell r="A201" t="str">
            <v>Djibouti</v>
          </cell>
        </row>
        <row r="202">
          <cell r="A202" t="str">
            <v>Antigua &amp; Barbuda</v>
          </cell>
        </row>
        <row r="203">
          <cell r="A203" t="str">
            <v>Mayotte</v>
          </cell>
        </row>
        <row r="204">
          <cell r="A204" t="str">
            <v>Guernsey</v>
          </cell>
        </row>
        <row r="205">
          <cell r="A205" t="str">
            <v>Grenada</v>
          </cell>
        </row>
        <row r="206">
          <cell r="A206" t="str">
            <v>Northern Mariana Islands</v>
          </cell>
        </row>
        <row r="207">
          <cell r="A207" t="str">
            <v>Congo - Brazzaville</v>
          </cell>
        </row>
        <row r="208">
          <cell r="A208" t="str">
            <v>Belize</v>
          </cell>
        </row>
        <row r="209">
          <cell r="A209" t="str">
            <v>Gambia</v>
          </cell>
        </row>
        <row r="210">
          <cell r="A210" t="str">
            <v>New Caledonia</v>
          </cell>
        </row>
        <row r="211">
          <cell r="A211" t="str">
            <v>U.S. Virgin Islands</v>
          </cell>
        </row>
        <row r="212">
          <cell r="A212" t="str">
            <v>Gabon</v>
          </cell>
        </row>
        <row r="213">
          <cell r="A213" t="str">
            <v>Western Sahara</v>
          </cell>
        </row>
        <row r="214">
          <cell r="A214" t="str">
            <v>Mauritania</v>
          </cell>
        </row>
        <row r="215">
          <cell r="A215" t="str">
            <v>Sint Maarten</v>
          </cell>
        </row>
        <row r="216">
          <cell r="A216" t="str">
            <v>Chad</v>
          </cell>
        </row>
        <row r="217">
          <cell r="A217" t="str">
            <v>Faroe Islands</v>
          </cell>
        </row>
        <row r="218">
          <cell r="A218" t="str">
            <v>French Guiana</v>
          </cell>
        </row>
        <row r="219">
          <cell r="A219" t="str">
            <v>St. Lucia</v>
          </cell>
        </row>
        <row r="220">
          <cell r="A220" t="str">
            <v>Aruba</v>
          </cell>
        </row>
        <row r="221">
          <cell r="A221" t="str">
            <v>French Polynesia</v>
          </cell>
        </row>
        <row r="222">
          <cell r="A222" t="str">
            <v>Bermuda</v>
          </cell>
        </row>
        <row r="223">
          <cell r="A223" t="str">
            <v>Anguilla</v>
          </cell>
        </row>
        <row r="224">
          <cell r="A224" t="str">
            <v>American Samoa</v>
          </cell>
        </row>
        <row r="225">
          <cell r="A225" t="str">
            <v>Antarctica</v>
          </cell>
        </row>
        <row r="226">
          <cell r="A226" t="str">
            <v>French Southern Territories</v>
          </cell>
        </row>
        <row r="227">
          <cell r="A227" t="str">
            <v>St. BarthÃ©lemy</v>
          </cell>
        </row>
        <row r="228">
          <cell r="A228" t="str">
            <v>Bouvet Island</v>
          </cell>
        </row>
        <row r="229">
          <cell r="A229" t="str">
            <v>Cocos (Keeling) Islands</v>
          </cell>
        </row>
        <row r="230">
          <cell r="A230" t="str">
            <v>Comoros</v>
          </cell>
        </row>
        <row r="231">
          <cell r="A231" t="str">
            <v>Christmas Island</v>
          </cell>
        </row>
        <row r="232">
          <cell r="A232" t="str">
            <v>Falkland Islands (Islas Malvinas)</v>
          </cell>
        </row>
        <row r="233">
          <cell r="A233" t="str">
            <v>Micronesia</v>
          </cell>
        </row>
        <row r="234">
          <cell r="A234" t="str">
            <v>Heard &amp; McDonald Islands</v>
          </cell>
        </row>
        <row r="235">
          <cell r="A235" t="str">
            <v>British Indian Ocean Territory</v>
          </cell>
        </row>
        <row r="236">
          <cell r="A236" t="str">
            <v>Kiribati</v>
          </cell>
        </row>
        <row r="237">
          <cell r="A237" t="str">
            <v>Marshall Islands</v>
          </cell>
        </row>
        <row r="238">
          <cell r="A238" t="str">
            <v>Montserrat</v>
          </cell>
        </row>
        <row r="239">
          <cell r="A239" t="str">
            <v>Norfolk Island</v>
          </cell>
        </row>
        <row r="240">
          <cell r="A240" t="str">
            <v>Niue</v>
          </cell>
        </row>
        <row r="241">
          <cell r="A241" t="str">
            <v>Nauru</v>
          </cell>
        </row>
        <row r="242">
          <cell r="A242" t="str">
            <v>Pitcairn Islands</v>
          </cell>
        </row>
        <row r="243">
          <cell r="A243" t="str">
            <v>Palau</v>
          </cell>
        </row>
        <row r="244">
          <cell r="A244" t="str">
            <v>South Georgia &amp; South Sandwich Islands</v>
          </cell>
        </row>
        <row r="245">
          <cell r="A245" t="str">
            <v>Svalbard &amp; Jan Mayen</v>
          </cell>
        </row>
        <row r="246">
          <cell r="A246" t="str">
            <v>St. Pierre &amp; Miquelon</v>
          </cell>
        </row>
        <row r="247">
          <cell r="A247" t="str">
            <v>Tokelau</v>
          </cell>
        </row>
        <row r="248">
          <cell r="A248" t="str">
            <v>Tonga</v>
          </cell>
        </row>
        <row r="249">
          <cell r="A249" t="str">
            <v>Tuvalu</v>
          </cell>
        </row>
        <row r="250">
          <cell r="A250" t="str">
            <v>U.S. Outlying Islands</v>
          </cell>
        </row>
        <row r="251">
          <cell r="A251" t="str">
            <v>Vatican City</v>
          </cell>
        </row>
        <row r="252">
          <cell r="A252" t="str">
            <v>British Virgin Islands</v>
          </cell>
        </row>
        <row r="253">
          <cell r="A253" t="str">
            <v>Wallis &amp; Futuna</v>
          </cell>
        </row>
      </sheetData>
    </sheetDataSet>
  </externalBook>
</externalLink>
</file>

<file path=xl/externalLinks/externalLink2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34)"/>
    </sheetNames>
    <sheetDataSet>
      <sheetData sheetId="0">
        <row r="1">
          <cell r="A1" t="str">
            <v>Category: All categories</v>
          </cell>
        </row>
        <row r="3">
          <cell r="A3" t="str">
            <v>Country</v>
          </cell>
          <cell r="B3" t="str">
            <v>Artificial neural network: (2017)</v>
          </cell>
          <cell r="C3" t="str">
            <v>Garbage collection: (2017)</v>
          </cell>
        </row>
        <row r="4">
          <cell r="A4" t="str">
            <v>China</v>
          </cell>
          <cell r="B4">
            <v>0.84</v>
          </cell>
          <cell r="C4">
            <v>0.16</v>
          </cell>
        </row>
        <row r="5">
          <cell r="A5" t="str">
            <v>South Korea</v>
          </cell>
          <cell r="B5">
            <v>0.87</v>
          </cell>
          <cell r="C5">
            <v>0.13</v>
          </cell>
        </row>
        <row r="6">
          <cell r="A6" t="str">
            <v>Cuba</v>
          </cell>
        </row>
        <row r="7">
          <cell r="A7" t="str">
            <v>Singapore</v>
          </cell>
          <cell r="B7">
            <v>0.87</v>
          </cell>
          <cell r="C7">
            <v>0.13</v>
          </cell>
        </row>
        <row r="8">
          <cell r="A8" t="str">
            <v>Zimbabwe</v>
          </cell>
        </row>
        <row r="9">
          <cell r="A9" t="str">
            <v>Hong Kong</v>
          </cell>
          <cell r="B9">
            <v>0.9</v>
          </cell>
          <cell r="C9">
            <v>0.1</v>
          </cell>
        </row>
        <row r="10">
          <cell r="A10" t="str">
            <v>Taiwan</v>
          </cell>
          <cell r="B10">
            <v>0.89</v>
          </cell>
          <cell r="C10">
            <v>0.11</v>
          </cell>
        </row>
        <row r="11">
          <cell r="A11" t="str">
            <v>Ethiopia</v>
          </cell>
        </row>
        <row r="12">
          <cell r="A12" t="str">
            <v>Nepal</v>
          </cell>
        </row>
        <row r="13">
          <cell r="A13" t="str">
            <v>Iceland</v>
          </cell>
        </row>
        <row r="14">
          <cell r="A14" t="str">
            <v>St. Helena</v>
          </cell>
          <cell r="B14">
            <v>0.82</v>
          </cell>
          <cell r="C14">
            <v>0.18</v>
          </cell>
        </row>
        <row r="15">
          <cell r="A15" t="str">
            <v>Croatia</v>
          </cell>
        </row>
        <row r="16">
          <cell r="A16" t="str">
            <v>Russia</v>
          </cell>
          <cell r="B16">
            <v>0.93</v>
          </cell>
          <cell r="C16">
            <v>7.0000000000000007E-2</v>
          </cell>
        </row>
        <row r="17">
          <cell r="A17" t="str">
            <v>Belarus</v>
          </cell>
          <cell r="B17">
            <v>0.89</v>
          </cell>
          <cell r="C17">
            <v>0.11</v>
          </cell>
        </row>
        <row r="18">
          <cell r="A18" t="str">
            <v>Israel</v>
          </cell>
          <cell r="B18">
            <v>0.84</v>
          </cell>
          <cell r="C18">
            <v>0.16</v>
          </cell>
        </row>
        <row r="19">
          <cell r="A19" t="str">
            <v>Pakistan</v>
          </cell>
          <cell r="B19">
            <v>0.94</v>
          </cell>
          <cell r="C19">
            <v>0.06</v>
          </cell>
        </row>
        <row r="20">
          <cell r="A20" t="str">
            <v>India</v>
          </cell>
          <cell r="B20">
            <v>0.8</v>
          </cell>
          <cell r="C20">
            <v>0.2</v>
          </cell>
        </row>
        <row r="21">
          <cell r="A21" t="str">
            <v>Sri Lanka</v>
          </cell>
          <cell r="B21">
            <v>0.8</v>
          </cell>
          <cell r="C21">
            <v>0.2</v>
          </cell>
        </row>
        <row r="22">
          <cell r="A22" t="str">
            <v>Czechia</v>
          </cell>
          <cell r="B22">
            <v>0.88</v>
          </cell>
          <cell r="C22">
            <v>0.12</v>
          </cell>
        </row>
        <row r="23">
          <cell r="A23" t="str">
            <v>Malta</v>
          </cell>
        </row>
        <row r="24">
          <cell r="A24" t="str">
            <v>Estonia</v>
          </cell>
        </row>
        <row r="25">
          <cell r="A25" t="str">
            <v>Myanmar (Burma)</v>
          </cell>
        </row>
        <row r="26">
          <cell r="A26" t="str">
            <v>Iran</v>
          </cell>
          <cell r="B26">
            <v>0.97</v>
          </cell>
          <cell r="C26">
            <v>0.03</v>
          </cell>
        </row>
        <row r="27">
          <cell r="A27" t="str">
            <v>Canada</v>
          </cell>
          <cell r="B27">
            <v>0.63</v>
          </cell>
          <cell r="C27">
            <v>0.37</v>
          </cell>
        </row>
        <row r="28">
          <cell r="A28" t="str">
            <v>Laos</v>
          </cell>
        </row>
        <row r="29">
          <cell r="A29" t="str">
            <v>Tunisia</v>
          </cell>
        </row>
        <row r="30">
          <cell r="A30" t="str">
            <v>Guyana</v>
          </cell>
        </row>
        <row r="31">
          <cell r="A31" t="str">
            <v>Switzerland</v>
          </cell>
          <cell r="B31">
            <v>0.87</v>
          </cell>
          <cell r="C31">
            <v>0.13</v>
          </cell>
        </row>
        <row r="32">
          <cell r="A32" t="str">
            <v>United States</v>
          </cell>
          <cell r="B32">
            <v>0.8</v>
          </cell>
          <cell r="C32">
            <v>0.2</v>
          </cell>
        </row>
        <row r="33">
          <cell r="A33" t="str">
            <v>Cyprus</v>
          </cell>
        </row>
        <row r="34">
          <cell r="A34" t="str">
            <v>Bhutan</v>
          </cell>
        </row>
        <row r="35">
          <cell r="A35" t="str">
            <v>Madagascar</v>
          </cell>
        </row>
        <row r="36">
          <cell r="A36" t="str">
            <v>Botswana</v>
          </cell>
        </row>
        <row r="37">
          <cell r="A37" t="str">
            <v>Rwanda</v>
          </cell>
        </row>
        <row r="38">
          <cell r="A38" t="str">
            <v>Macao</v>
          </cell>
        </row>
        <row r="39">
          <cell r="A39" t="str">
            <v>Bangladesh</v>
          </cell>
        </row>
        <row r="40">
          <cell r="A40" t="str">
            <v>Cambodia</v>
          </cell>
        </row>
        <row r="41">
          <cell r="A41" t="str">
            <v>Ireland</v>
          </cell>
          <cell r="B41">
            <v>0.83</v>
          </cell>
          <cell r="C41">
            <v>0.17</v>
          </cell>
        </row>
        <row r="42">
          <cell r="A42" t="str">
            <v>Nigeria</v>
          </cell>
        </row>
        <row r="43">
          <cell r="A43" t="str">
            <v>Mauritius</v>
          </cell>
        </row>
        <row r="44">
          <cell r="A44" t="str">
            <v>Finland</v>
          </cell>
          <cell r="B44">
            <v>0.86</v>
          </cell>
          <cell r="C44">
            <v>0.14000000000000001</v>
          </cell>
        </row>
        <row r="45">
          <cell r="A45" t="str">
            <v>Ukraine</v>
          </cell>
          <cell r="B45">
            <v>0.88</v>
          </cell>
          <cell r="C45">
            <v>0.12</v>
          </cell>
        </row>
        <row r="46">
          <cell r="A46" t="str">
            <v>Malaysia</v>
          </cell>
          <cell r="B46">
            <v>0.9</v>
          </cell>
          <cell r="C46">
            <v>0.1</v>
          </cell>
        </row>
        <row r="47">
          <cell r="A47" t="str">
            <v>Fiji</v>
          </cell>
        </row>
        <row r="48">
          <cell r="A48" t="str">
            <v>New Zealand</v>
          </cell>
          <cell r="B48">
            <v>0.82</v>
          </cell>
          <cell r="C48">
            <v>0.18</v>
          </cell>
        </row>
        <row r="49">
          <cell r="A49" t="str">
            <v>Australia</v>
          </cell>
          <cell r="B49">
            <v>0.69</v>
          </cell>
          <cell r="C49">
            <v>0.31</v>
          </cell>
        </row>
        <row r="50">
          <cell r="A50" t="str">
            <v>Norway</v>
          </cell>
          <cell r="B50">
            <v>0.83</v>
          </cell>
          <cell r="C50">
            <v>0.17</v>
          </cell>
        </row>
        <row r="51">
          <cell r="A51" t="str">
            <v>Luxembourg</v>
          </cell>
        </row>
        <row r="52">
          <cell r="A52" t="str">
            <v>Japan</v>
          </cell>
          <cell r="B52">
            <v>0.73</v>
          </cell>
          <cell r="C52">
            <v>0.27</v>
          </cell>
        </row>
        <row r="53">
          <cell r="A53" t="str">
            <v>Latvia</v>
          </cell>
        </row>
        <row r="54">
          <cell r="A54" t="str">
            <v>Lithuania</v>
          </cell>
          <cell r="B54">
            <v>0.83</v>
          </cell>
          <cell r="C54">
            <v>0.17</v>
          </cell>
        </row>
        <row r="55">
          <cell r="A55" t="str">
            <v>Lebanon</v>
          </cell>
        </row>
        <row r="56">
          <cell r="A56" t="str">
            <v>United Kingdom</v>
          </cell>
          <cell r="B56">
            <v>0.84</v>
          </cell>
          <cell r="C56">
            <v>0.16</v>
          </cell>
        </row>
        <row r="57">
          <cell r="A57" t="str">
            <v>Sweden</v>
          </cell>
          <cell r="B57">
            <v>0.88</v>
          </cell>
          <cell r="C57">
            <v>0.12</v>
          </cell>
        </row>
        <row r="58">
          <cell r="A58" t="str">
            <v>Ghana</v>
          </cell>
        </row>
        <row r="59">
          <cell r="A59" t="str">
            <v>Germany</v>
          </cell>
          <cell r="B59">
            <v>0.86</v>
          </cell>
          <cell r="C59">
            <v>0.14000000000000001</v>
          </cell>
        </row>
        <row r="60">
          <cell r="A60" t="str">
            <v>Netherlands</v>
          </cell>
          <cell r="B60">
            <v>0.86</v>
          </cell>
          <cell r="C60">
            <v>0.14000000000000001</v>
          </cell>
        </row>
        <row r="61">
          <cell r="A61" t="str">
            <v>Mongolia</v>
          </cell>
        </row>
        <row r="62">
          <cell r="A62" t="str">
            <v>Denmark</v>
          </cell>
          <cell r="B62">
            <v>0.87</v>
          </cell>
          <cell r="C62">
            <v>0.13</v>
          </cell>
        </row>
        <row r="63">
          <cell r="A63" t="str">
            <v>South Africa</v>
          </cell>
          <cell r="B63">
            <v>0.9</v>
          </cell>
          <cell r="C63">
            <v>0.1</v>
          </cell>
        </row>
        <row r="64">
          <cell r="A64" t="str">
            <v>Philippines</v>
          </cell>
          <cell r="B64">
            <v>0.76</v>
          </cell>
          <cell r="C64">
            <v>0.24</v>
          </cell>
        </row>
        <row r="65">
          <cell r="A65" t="str">
            <v>Armenia</v>
          </cell>
        </row>
        <row r="66">
          <cell r="A66" t="str">
            <v>Kenya</v>
          </cell>
          <cell r="B66">
            <v>0.78</v>
          </cell>
          <cell r="C66">
            <v>0.22</v>
          </cell>
        </row>
        <row r="67">
          <cell r="A67" t="str">
            <v>Portugal</v>
          </cell>
          <cell r="B67">
            <v>0.87</v>
          </cell>
          <cell r="C67">
            <v>0.13</v>
          </cell>
        </row>
        <row r="68">
          <cell r="A68" t="str">
            <v>Tanzania</v>
          </cell>
        </row>
        <row r="69">
          <cell r="A69" t="str">
            <v>Greece</v>
          </cell>
          <cell r="B69">
            <v>0.87</v>
          </cell>
          <cell r="C69">
            <v>0.13</v>
          </cell>
        </row>
        <row r="70">
          <cell r="A70" t="str">
            <v>Syria</v>
          </cell>
        </row>
        <row r="71">
          <cell r="A71" t="str">
            <v>Sudan</v>
          </cell>
        </row>
        <row r="72">
          <cell r="A72" t="str">
            <v>Trinidad &amp; Tobago</v>
          </cell>
        </row>
        <row r="73">
          <cell r="A73" t="str">
            <v>Austria</v>
          </cell>
          <cell r="B73">
            <v>0.84</v>
          </cell>
          <cell r="C73">
            <v>0.16</v>
          </cell>
        </row>
        <row r="74">
          <cell r="A74" t="str">
            <v>Algeria</v>
          </cell>
          <cell r="B74">
            <v>1</v>
          </cell>
        </row>
        <row r="75">
          <cell r="A75" t="str">
            <v>Indonesia</v>
          </cell>
          <cell r="B75">
            <v>0.97</v>
          </cell>
          <cell r="C75">
            <v>0.03</v>
          </cell>
        </row>
        <row r="76">
          <cell r="A76" t="str">
            <v>North Macedonia</v>
          </cell>
        </row>
        <row r="77">
          <cell r="A77" t="str">
            <v>Slovenia</v>
          </cell>
        </row>
        <row r="78">
          <cell r="A78" t="str">
            <v>Iraq</v>
          </cell>
          <cell r="B78">
            <v>1</v>
          </cell>
        </row>
        <row r="79">
          <cell r="A79" t="str">
            <v>United Arab Emirates</v>
          </cell>
          <cell r="B79">
            <v>0.87</v>
          </cell>
          <cell r="C79">
            <v>0.13</v>
          </cell>
        </row>
        <row r="80">
          <cell r="A80" t="str">
            <v>Uganda</v>
          </cell>
        </row>
        <row r="81">
          <cell r="A81" t="str">
            <v>Afghanistan</v>
          </cell>
        </row>
        <row r="82">
          <cell r="A82" t="str">
            <v>Kazakhstan</v>
          </cell>
        </row>
        <row r="83">
          <cell r="A83" t="str">
            <v>Poland</v>
          </cell>
          <cell r="B83">
            <v>0.84</v>
          </cell>
          <cell r="C83">
            <v>0.16</v>
          </cell>
        </row>
        <row r="84">
          <cell r="A84" t="str">
            <v>Belgium</v>
          </cell>
          <cell r="B84">
            <v>0.84</v>
          </cell>
          <cell r="C84">
            <v>0.16</v>
          </cell>
        </row>
        <row r="85">
          <cell r="A85" t="str">
            <v>Romania</v>
          </cell>
          <cell r="B85">
            <v>0.83</v>
          </cell>
          <cell r="C85">
            <v>0.17</v>
          </cell>
        </row>
        <row r="86">
          <cell r="A86" t="str">
            <v>Bulgaria</v>
          </cell>
          <cell r="B86">
            <v>0.85</v>
          </cell>
          <cell r="C86">
            <v>0.15</v>
          </cell>
        </row>
        <row r="87">
          <cell r="A87" t="str">
            <v>Brunei</v>
          </cell>
        </row>
        <row r="88">
          <cell r="A88" t="str">
            <v>Egypt</v>
          </cell>
          <cell r="B88">
            <v>0.89</v>
          </cell>
          <cell r="C88">
            <v>0.11</v>
          </cell>
        </row>
        <row r="89">
          <cell r="A89" t="str">
            <v>Qatar</v>
          </cell>
        </row>
        <row r="90">
          <cell r="A90" t="str">
            <v>Jamaica</v>
          </cell>
        </row>
        <row r="91">
          <cell r="A91" t="str">
            <v>Palestine</v>
          </cell>
        </row>
        <row r="92">
          <cell r="A92" t="str">
            <v>Jordan</v>
          </cell>
        </row>
        <row r="93">
          <cell r="A93" t="str">
            <v>Libya</v>
          </cell>
        </row>
        <row r="94">
          <cell r="A94" t="str">
            <v>Cameroon</v>
          </cell>
        </row>
        <row r="95">
          <cell r="A95" t="str">
            <v>Bolivia</v>
          </cell>
        </row>
        <row r="96">
          <cell r="A96" t="str">
            <v>Peru</v>
          </cell>
          <cell r="B96">
            <v>0.8</v>
          </cell>
          <cell r="C96">
            <v>0.2</v>
          </cell>
        </row>
        <row r="97">
          <cell r="A97" t="str">
            <v>Moldova</v>
          </cell>
        </row>
        <row r="98">
          <cell r="A98" t="str">
            <v>Slovakia</v>
          </cell>
        </row>
        <row r="99">
          <cell r="A99" t="str">
            <v>Somalia</v>
          </cell>
        </row>
        <row r="100">
          <cell r="A100" t="str">
            <v>Serbia</v>
          </cell>
        </row>
        <row r="101">
          <cell r="A101" t="str">
            <v>Yemen</v>
          </cell>
        </row>
        <row r="102">
          <cell r="A102" t="str">
            <v>France</v>
          </cell>
          <cell r="B102">
            <v>0.83</v>
          </cell>
          <cell r="C102">
            <v>0.17</v>
          </cell>
        </row>
        <row r="103">
          <cell r="A103" t="str">
            <v>Georgia</v>
          </cell>
        </row>
        <row r="104">
          <cell r="A104" t="str">
            <v>Albania</v>
          </cell>
        </row>
        <row r="105">
          <cell r="A105" t="str">
            <v>Colombia</v>
          </cell>
          <cell r="B105">
            <v>0.73</v>
          </cell>
          <cell r="C105">
            <v>0.27</v>
          </cell>
        </row>
        <row r="106">
          <cell r="A106" t="str">
            <v>Morocco</v>
          </cell>
        </row>
        <row r="107">
          <cell r="A107" t="str">
            <v>Italy</v>
          </cell>
          <cell r="B107">
            <v>0.89</v>
          </cell>
          <cell r="C107">
            <v>0.11</v>
          </cell>
        </row>
        <row r="108">
          <cell r="A108" t="str">
            <v>Spain</v>
          </cell>
          <cell r="B108">
            <v>0.87</v>
          </cell>
          <cell r="C108">
            <v>0.13</v>
          </cell>
        </row>
        <row r="109">
          <cell r="A109" t="str">
            <v>Hungary</v>
          </cell>
          <cell r="B109">
            <v>0.73</v>
          </cell>
          <cell r="C109">
            <v>0.27</v>
          </cell>
        </row>
        <row r="110">
          <cell r="A110" t="str">
            <v>Ecuador</v>
          </cell>
          <cell r="B110">
            <v>0.51</v>
          </cell>
          <cell r="C110">
            <v>0.49</v>
          </cell>
        </row>
        <row r="111">
          <cell r="A111" t="str">
            <v>Chile</v>
          </cell>
          <cell r="B111">
            <v>0.63</v>
          </cell>
          <cell r="C111">
            <v>0.37</v>
          </cell>
        </row>
        <row r="112">
          <cell r="A112" t="str">
            <v>Oman</v>
          </cell>
        </row>
        <row r="113">
          <cell r="A113" t="str">
            <v>Kyrgyzstan</v>
          </cell>
        </row>
        <row r="114">
          <cell r="A114" t="str">
            <v>Bosnia &amp; Herzegovina</v>
          </cell>
        </row>
        <row r="115">
          <cell r="A115" t="str">
            <v>Thailand</v>
          </cell>
          <cell r="B115">
            <v>0.93</v>
          </cell>
          <cell r="C115">
            <v>7.0000000000000007E-2</v>
          </cell>
        </row>
        <row r="116">
          <cell r="A116" t="str">
            <v>Mexico</v>
          </cell>
          <cell r="B116">
            <v>0.49</v>
          </cell>
          <cell r="C116">
            <v>0.51</v>
          </cell>
        </row>
        <row r="117">
          <cell r="A117" t="str">
            <v>Costa Rica</v>
          </cell>
        </row>
        <row r="118">
          <cell r="A118" t="str">
            <v>Uzbekistan</v>
          </cell>
        </row>
        <row r="119">
          <cell r="A119" t="str">
            <v>Turkey</v>
          </cell>
          <cell r="B119">
            <v>0.77</v>
          </cell>
          <cell r="C119">
            <v>0.23</v>
          </cell>
        </row>
        <row r="120">
          <cell r="A120" t="str">
            <v>Uruguay</v>
          </cell>
        </row>
        <row r="121">
          <cell r="A121" t="str">
            <v>Panama</v>
          </cell>
        </row>
        <row r="122">
          <cell r="A122" t="str">
            <v>Azerbaijan</v>
          </cell>
        </row>
        <row r="123">
          <cell r="A123" t="str">
            <v>Brazil</v>
          </cell>
          <cell r="B123">
            <v>0.87</v>
          </cell>
          <cell r="C123">
            <v>0.13</v>
          </cell>
        </row>
        <row r="124">
          <cell r="A124" t="str">
            <v>Saudi Arabia</v>
          </cell>
        </row>
        <row r="125">
          <cell r="A125" t="str">
            <v>Bahrain</v>
          </cell>
        </row>
        <row r="126">
          <cell r="A126" t="str">
            <v>Puerto Rico</v>
          </cell>
        </row>
        <row r="127">
          <cell r="A127" t="str">
            <v>Paraguay</v>
          </cell>
        </row>
        <row r="128">
          <cell r="A128" t="str">
            <v>Vietnam</v>
          </cell>
          <cell r="B128">
            <v>0.69</v>
          </cell>
          <cell r="C128">
            <v>0.31</v>
          </cell>
        </row>
        <row r="129">
          <cell r="A129" t="str">
            <v>El Salvador</v>
          </cell>
        </row>
        <row r="130">
          <cell r="A130" t="str">
            <v>Argentina</v>
          </cell>
          <cell r="B130">
            <v>0.53</v>
          </cell>
          <cell r="C130">
            <v>0.47</v>
          </cell>
        </row>
        <row r="131">
          <cell r="A131" t="str">
            <v>Guatemala</v>
          </cell>
        </row>
        <row r="132">
          <cell r="A132" t="str">
            <v>Kuwait</v>
          </cell>
        </row>
        <row r="133">
          <cell r="A133" t="str">
            <v>Honduras</v>
          </cell>
        </row>
        <row r="134">
          <cell r="A134" t="str">
            <v>Dominican Republic</v>
          </cell>
        </row>
        <row r="135">
          <cell r="A135" t="str">
            <v>Venezuela</v>
          </cell>
        </row>
        <row r="136">
          <cell r="A136" t="str">
            <v>North Korea</v>
          </cell>
        </row>
        <row r="137">
          <cell r="A137" t="str">
            <v>Eritrea</v>
          </cell>
        </row>
        <row r="138">
          <cell r="A138" t="str">
            <v>Marshall Islands</v>
          </cell>
        </row>
        <row r="139">
          <cell r="A139" t="str">
            <v>Micronesia</v>
          </cell>
        </row>
        <row r="140">
          <cell r="A140" t="str">
            <v>Ã…land Islands</v>
          </cell>
        </row>
        <row r="141">
          <cell r="A141" t="str">
            <v>Caribbean Netherlands</v>
          </cell>
        </row>
        <row r="142">
          <cell r="A142" t="str">
            <v>Seychelles</v>
          </cell>
        </row>
        <row r="143">
          <cell r="A143" t="str">
            <v>South Sudan</v>
          </cell>
        </row>
        <row r="144">
          <cell r="A144" t="str">
            <v>British Virgin Islands</v>
          </cell>
        </row>
        <row r="145">
          <cell r="A145" t="str">
            <v>Solomon Islands</v>
          </cell>
        </row>
        <row r="146">
          <cell r="A146" t="str">
            <v>Eswatini</v>
          </cell>
        </row>
        <row r="147">
          <cell r="A147" t="str">
            <v>U.S. Virgin Islands</v>
          </cell>
        </row>
        <row r="148">
          <cell r="A148" t="str">
            <v>St. Vincent &amp; Grenadines</v>
          </cell>
        </row>
        <row r="149">
          <cell r="A149" t="str">
            <v>Equatorial Guinea</v>
          </cell>
        </row>
        <row r="150">
          <cell r="A150" t="str">
            <v>Liechtenstein</v>
          </cell>
        </row>
        <row r="151">
          <cell r="A151" t="str">
            <v>Turks &amp; Caicos Islands</v>
          </cell>
        </row>
        <row r="152">
          <cell r="A152" t="str">
            <v>Faroe Islands</v>
          </cell>
        </row>
        <row r="153">
          <cell r="A153" t="str">
            <v>Dominica</v>
          </cell>
        </row>
        <row r="154">
          <cell r="A154" t="str">
            <v>Djibouti</v>
          </cell>
        </row>
        <row r="155">
          <cell r="A155" t="str">
            <v>Timor-Leste</v>
          </cell>
        </row>
        <row r="156">
          <cell r="A156" t="str">
            <v>Antigua &amp; Barbuda</v>
          </cell>
        </row>
        <row r="157">
          <cell r="A157" t="str">
            <v>Monaco</v>
          </cell>
        </row>
        <row r="158">
          <cell r="A158" t="str">
            <v>St. Kitts &amp; Nevis</v>
          </cell>
        </row>
        <row r="159">
          <cell r="A159" t="str">
            <v>Lesotho</v>
          </cell>
        </row>
        <row r="160">
          <cell r="A160" t="str">
            <v>Isle of Man</v>
          </cell>
        </row>
        <row r="161">
          <cell r="A161" t="str">
            <v>Grenada</v>
          </cell>
        </row>
        <row r="162">
          <cell r="A162" t="str">
            <v>Malawi</v>
          </cell>
        </row>
        <row r="163">
          <cell r="A163" t="str">
            <v>Guernsey</v>
          </cell>
        </row>
        <row r="164">
          <cell r="A164" t="str">
            <v>Bahamas</v>
          </cell>
        </row>
        <row r="165">
          <cell r="A165" t="str">
            <v>Namibia</v>
          </cell>
        </row>
        <row r="166">
          <cell r="A166" t="str">
            <v>Bermuda</v>
          </cell>
        </row>
        <row r="167">
          <cell r="A167" t="str">
            <v>Maldives</v>
          </cell>
        </row>
        <row r="168">
          <cell r="A168" t="str">
            <v>Gibraltar</v>
          </cell>
        </row>
        <row r="169">
          <cell r="A169" t="str">
            <v>Gambia</v>
          </cell>
        </row>
        <row r="170">
          <cell r="A170" t="str">
            <v>Burundi</v>
          </cell>
        </row>
        <row r="171">
          <cell r="A171" t="str">
            <v>CuraÃ§ao</v>
          </cell>
        </row>
        <row r="172">
          <cell r="A172" t="str">
            <v>Suriname</v>
          </cell>
        </row>
        <row r="173">
          <cell r="A173" t="str">
            <v>Haiti</v>
          </cell>
        </row>
        <row r="174">
          <cell r="A174" t="str">
            <v>Jersey</v>
          </cell>
        </row>
        <row r="175">
          <cell r="A175" t="str">
            <v>Aruba</v>
          </cell>
        </row>
        <row r="176">
          <cell r="A176" t="str">
            <v>Liberia</v>
          </cell>
        </row>
        <row r="177">
          <cell r="A177" t="str">
            <v>Chad</v>
          </cell>
        </row>
        <row r="178">
          <cell r="A178" t="str">
            <v>Belize</v>
          </cell>
        </row>
        <row r="179">
          <cell r="A179" t="str">
            <v>St. Lucia</v>
          </cell>
        </row>
        <row r="180">
          <cell r="A180" t="str">
            <v>Papua New Guinea</v>
          </cell>
        </row>
        <row r="181">
          <cell r="A181" t="str">
            <v>Barbados</v>
          </cell>
        </row>
        <row r="182">
          <cell r="A182" t="str">
            <v>Montenegro</v>
          </cell>
        </row>
        <row r="183">
          <cell r="A183" t="str">
            <v>Guam</v>
          </cell>
        </row>
        <row r="184">
          <cell r="A184" t="str">
            <v>Kosovo</v>
          </cell>
        </row>
        <row r="185">
          <cell r="A185" t="str">
            <v>Zambia</v>
          </cell>
        </row>
        <row r="186">
          <cell r="A186" t="str">
            <v>Andorra</v>
          </cell>
        </row>
        <row r="187">
          <cell r="A187" t="str">
            <v>Turkmenistan</v>
          </cell>
        </row>
        <row r="188">
          <cell r="A188" t="str">
            <v>Congo - Brazzaville</v>
          </cell>
        </row>
        <row r="189">
          <cell r="A189" t="str">
            <v>Congo - Kinshasa</v>
          </cell>
        </row>
        <row r="190">
          <cell r="A190" t="str">
            <v>Cape Verde</v>
          </cell>
        </row>
        <row r="191">
          <cell r="A191" t="str">
            <v>Sierra Leone</v>
          </cell>
        </row>
        <row r="192">
          <cell r="A192" t="str">
            <v>Senegal</v>
          </cell>
        </row>
        <row r="193">
          <cell r="A193" t="str">
            <v>Benin</v>
          </cell>
        </row>
        <row r="194">
          <cell r="A194" t="str">
            <v>Angola</v>
          </cell>
        </row>
        <row r="195">
          <cell r="A195" t="str">
            <v>Mozambique</v>
          </cell>
        </row>
        <row r="196">
          <cell r="A196" t="str">
            <v>Nicaragua</v>
          </cell>
        </row>
        <row r="197">
          <cell r="A197" t="str">
            <v>New Caledonia</v>
          </cell>
        </row>
        <row r="198">
          <cell r="A198" t="str">
            <v>Mauritania</v>
          </cell>
        </row>
        <row r="199">
          <cell r="A199" t="str">
            <v>Gabon</v>
          </cell>
        </row>
        <row r="200">
          <cell r="A200" t="str">
            <v>Burkina Faso</v>
          </cell>
        </row>
        <row r="201">
          <cell r="A201" t="str">
            <v>Mali</v>
          </cell>
        </row>
        <row r="202">
          <cell r="A202" t="str">
            <v>Tajikistan</v>
          </cell>
        </row>
        <row r="203">
          <cell r="A203" t="str">
            <v>Martinique</v>
          </cell>
        </row>
        <row r="204">
          <cell r="A204" t="str">
            <v>CÃ´te dâ€™Ivoire</v>
          </cell>
        </row>
        <row r="205">
          <cell r="A205" t="str">
            <v>Guadeloupe</v>
          </cell>
        </row>
        <row r="206">
          <cell r="A206" t="str">
            <v>RÃ©union</v>
          </cell>
        </row>
        <row r="207">
          <cell r="A207" t="str">
            <v>Anguilla</v>
          </cell>
        </row>
        <row r="208">
          <cell r="A208" t="str">
            <v>American Samoa</v>
          </cell>
        </row>
        <row r="209">
          <cell r="A209" t="str">
            <v>Antarctica</v>
          </cell>
        </row>
        <row r="210">
          <cell r="A210" t="str">
            <v>French Southern Territories</v>
          </cell>
        </row>
        <row r="211">
          <cell r="A211" t="str">
            <v>St. BarthÃ©lemy</v>
          </cell>
        </row>
        <row r="212">
          <cell r="A212" t="str">
            <v>Bouvet Island</v>
          </cell>
        </row>
        <row r="213">
          <cell r="A213" t="str">
            <v>Central African Republic</v>
          </cell>
        </row>
        <row r="214">
          <cell r="A214" t="str">
            <v>Cocos (Keeling) Islands</v>
          </cell>
        </row>
        <row r="215">
          <cell r="A215" t="str">
            <v>Cook Islands</v>
          </cell>
        </row>
        <row r="216">
          <cell r="A216" t="str">
            <v>Comoros</v>
          </cell>
        </row>
        <row r="217">
          <cell r="A217" t="str">
            <v>Christmas Island</v>
          </cell>
        </row>
        <row r="218">
          <cell r="A218" t="str">
            <v>Cayman Islands</v>
          </cell>
        </row>
        <row r="219">
          <cell r="A219" t="str">
            <v>Western Sahara</v>
          </cell>
        </row>
        <row r="220">
          <cell r="A220" t="str">
            <v>Falkland Islands (Islas Malvinas)</v>
          </cell>
        </row>
        <row r="221">
          <cell r="A221" t="str">
            <v>Guinea</v>
          </cell>
        </row>
        <row r="222">
          <cell r="A222" t="str">
            <v>Guinea-Bissau</v>
          </cell>
        </row>
        <row r="223">
          <cell r="A223" t="str">
            <v>Greenland</v>
          </cell>
        </row>
        <row r="224">
          <cell r="A224" t="str">
            <v>French Guiana</v>
          </cell>
        </row>
        <row r="225">
          <cell r="A225" t="str">
            <v>Heard &amp; McDonald Islands</v>
          </cell>
        </row>
        <row r="226">
          <cell r="A226" t="str">
            <v>British Indian Ocean Territory</v>
          </cell>
        </row>
        <row r="227">
          <cell r="A227" t="str">
            <v>Kiribati</v>
          </cell>
        </row>
        <row r="228">
          <cell r="A228" t="str">
            <v>St. Martin</v>
          </cell>
        </row>
        <row r="229">
          <cell r="A229" t="str">
            <v>Northern Mariana Islands</v>
          </cell>
        </row>
        <row r="230">
          <cell r="A230" t="str">
            <v>Montserrat</v>
          </cell>
        </row>
        <row r="231">
          <cell r="A231" t="str">
            <v>Mayotte</v>
          </cell>
        </row>
        <row r="232">
          <cell r="A232" t="str">
            <v>Niger</v>
          </cell>
        </row>
        <row r="233">
          <cell r="A233" t="str">
            <v>Norfolk Island</v>
          </cell>
        </row>
        <row r="234">
          <cell r="A234" t="str">
            <v>Niue</v>
          </cell>
        </row>
        <row r="235">
          <cell r="A235" t="str">
            <v>Nauru</v>
          </cell>
        </row>
        <row r="236">
          <cell r="A236" t="str">
            <v>Pitcairn Islands</v>
          </cell>
        </row>
        <row r="237">
          <cell r="A237" t="str">
            <v>Palau</v>
          </cell>
        </row>
        <row r="238">
          <cell r="A238" t="str">
            <v>French Polynesia</v>
          </cell>
        </row>
        <row r="239">
          <cell r="A239" t="str">
            <v>South Georgia &amp; South Sandwich Islands</v>
          </cell>
        </row>
        <row r="240">
          <cell r="A240" t="str">
            <v>Svalbard &amp; Jan Mayen</v>
          </cell>
        </row>
        <row r="241">
          <cell r="A241" t="str">
            <v>San Marino</v>
          </cell>
        </row>
        <row r="242">
          <cell r="A242" t="str">
            <v>St. Pierre &amp; Miquelon</v>
          </cell>
        </row>
        <row r="243">
          <cell r="A243" t="str">
            <v>SÃ£o TomÃ© &amp; PrÃ­ncipe</v>
          </cell>
        </row>
        <row r="244">
          <cell r="A244" t="str">
            <v>Sint Maarten</v>
          </cell>
        </row>
        <row r="245">
          <cell r="A245" t="str">
            <v>Togo</v>
          </cell>
        </row>
        <row r="246">
          <cell r="A246" t="str">
            <v>Tokelau</v>
          </cell>
        </row>
        <row r="247">
          <cell r="A247" t="str">
            <v>Tonga</v>
          </cell>
        </row>
        <row r="248">
          <cell r="A248" t="str">
            <v>Tuvalu</v>
          </cell>
        </row>
        <row r="249">
          <cell r="A249" t="str">
            <v>U.S. Outlying Islands</v>
          </cell>
        </row>
        <row r="250">
          <cell r="A250" t="str">
            <v>Vatican City</v>
          </cell>
        </row>
        <row r="251">
          <cell r="A251" t="str">
            <v>Vanuatu</v>
          </cell>
        </row>
        <row r="252">
          <cell r="A252" t="str">
            <v>Wallis &amp; Futuna</v>
          </cell>
        </row>
        <row r="253">
          <cell r="A253" t="str">
            <v>Samoa</v>
          </cell>
        </row>
      </sheetData>
    </sheetDataSet>
  </externalBook>
</externalLink>
</file>

<file path=xl/externalLinks/externalLink2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28)"/>
    </sheetNames>
    <sheetDataSet>
      <sheetData sheetId="0">
        <row r="1">
          <cell r="A1" t="str">
            <v>Category: All categories</v>
          </cell>
        </row>
        <row r="3">
          <cell r="A3" t="str">
            <v>Country</v>
          </cell>
          <cell r="B3" t="str">
            <v>C++: (2017)</v>
          </cell>
          <cell r="C3" t="str">
            <v>Transmission Control Protocol: (2017)</v>
          </cell>
        </row>
        <row r="4">
          <cell r="A4" t="str">
            <v>North Korea</v>
          </cell>
        </row>
        <row r="5">
          <cell r="A5" t="str">
            <v>China</v>
          </cell>
          <cell r="B5">
            <v>0.84</v>
          </cell>
          <cell r="C5">
            <v>0.16</v>
          </cell>
        </row>
        <row r="6">
          <cell r="A6" t="str">
            <v>Ethiopia</v>
          </cell>
        </row>
        <row r="7">
          <cell r="A7" t="str">
            <v>Cuba</v>
          </cell>
        </row>
        <row r="8">
          <cell r="A8" t="str">
            <v>South Korea</v>
          </cell>
          <cell r="B8">
            <v>0.85</v>
          </cell>
          <cell r="C8">
            <v>0.15</v>
          </cell>
        </row>
        <row r="9">
          <cell r="A9" t="str">
            <v>Pakistan</v>
          </cell>
          <cell r="B9">
            <v>0.95</v>
          </cell>
          <cell r="C9">
            <v>0.05</v>
          </cell>
        </row>
        <row r="10">
          <cell r="A10" t="str">
            <v>Tonga</v>
          </cell>
        </row>
        <row r="11">
          <cell r="A11" t="str">
            <v>Lesotho</v>
          </cell>
        </row>
        <row r="12">
          <cell r="A12" t="str">
            <v>Armenia</v>
          </cell>
        </row>
        <row r="13">
          <cell r="A13" t="str">
            <v>Iceland</v>
          </cell>
        </row>
        <row r="14">
          <cell r="A14" t="str">
            <v>Romania</v>
          </cell>
          <cell r="B14">
            <v>0.93</v>
          </cell>
          <cell r="C14">
            <v>7.0000000000000007E-2</v>
          </cell>
        </row>
        <row r="15">
          <cell r="A15" t="str">
            <v>Rwanda</v>
          </cell>
        </row>
        <row r="16">
          <cell r="A16" t="str">
            <v>Fiji</v>
          </cell>
        </row>
        <row r="17">
          <cell r="A17" t="str">
            <v>India</v>
          </cell>
          <cell r="B17">
            <v>0.88</v>
          </cell>
          <cell r="C17">
            <v>0.12</v>
          </cell>
        </row>
        <row r="18">
          <cell r="A18" t="str">
            <v>Belarus</v>
          </cell>
          <cell r="B18">
            <v>0.92</v>
          </cell>
          <cell r="C18">
            <v>0.08</v>
          </cell>
        </row>
        <row r="19">
          <cell r="A19" t="str">
            <v>Israel</v>
          </cell>
          <cell r="B19">
            <v>0.86</v>
          </cell>
          <cell r="C19">
            <v>0.14000000000000001</v>
          </cell>
        </row>
        <row r="20">
          <cell r="A20" t="str">
            <v>St. Helena</v>
          </cell>
          <cell r="B20">
            <v>0.82</v>
          </cell>
          <cell r="C20">
            <v>0.18</v>
          </cell>
        </row>
        <row r="21">
          <cell r="A21" t="str">
            <v>Taiwan</v>
          </cell>
          <cell r="B21">
            <v>0.86</v>
          </cell>
          <cell r="C21">
            <v>0.14000000000000001</v>
          </cell>
        </row>
        <row r="22">
          <cell r="A22" t="str">
            <v>Singapore</v>
          </cell>
          <cell r="B22">
            <v>0.78</v>
          </cell>
          <cell r="C22">
            <v>0.22</v>
          </cell>
        </row>
        <row r="23">
          <cell r="A23" t="str">
            <v>Poland</v>
          </cell>
          <cell r="B23">
            <v>0.93</v>
          </cell>
          <cell r="C23">
            <v>7.0000000000000007E-2</v>
          </cell>
        </row>
        <row r="24">
          <cell r="A24" t="str">
            <v>Belize</v>
          </cell>
        </row>
        <row r="25">
          <cell r="A25" t="str">
            <v>Lithuania</v>
          </cell>
        </row>
        <row r="26">
          <cell r="A26" t="str">
            <v>Uzbekistan</v>
          </cell>
        </row>
        <row r="27">
          <cell r="A27" t="str">
            <v>Guatemala</v>
          </cell>
        </row>
        <row r="28">
          <cell r="A28" t="str">
            <v>Nepal</v>
          </cell>
        </row>
        <row r="29">
          <cell r="A29" t="str">
            <v>Faroe Islands</v>
          </cell>
        </row>
        <row r="30">
          <cell r="A30" t="str">
            <v>Honduras</v>
          </cell>
        </row>
        <row r="31">
          <cell r="A31" t="str">
            <v>Malawi</v>
          </cell>
        </row>
        <row r="32">
          <cell r="A32" t="str">
            <v>Russia</v>
          </cell>
          <cell r="B32">
            <v>0.9</v>
          </cell>
          <cell r="C32">
            <v>0.1</v>
          </cell>
        </row>
        <row r="33">
          <cell r="A33" t="str">
            <v>North Macedonia</v>
          </cell>
        </row>
        <row r="34">
          <cell r="A34" t="str">
            <v>Zimbabwe</v>
          </cell>
        </row>
        <row r="35">
          <cell r="A35" t="str">
            <v>Czechia</v>
          </cell>
          <cell r="B35">
            <v>0.85</v>
          </cell>
          <cell r="C35">
            <v>0.15</v>
          </cell>
        </row>
        <row r="36">
          <cell r="A36" t="str">
            <v>Bosnia &amp; Herzegovina</v>
          </cell>
        </row>
        <row r="37">
          <cell r="A37" t="str">
            <v>Eswatini</v>
          </cell>
        </row>
        <row r="38">
          <cell r="A38" t="str">
            <v>Bulgaria</v>
          </cell>
          <cell r="B38">
            <v>0.91</v>
          </cell>
          <cell r="C38">
            <v>0.09</v>
          </cell>
        </row>
        <row r="39">
          <cell r="A39" t="str">
            <v>Bangladesh</v>
          </cell>
          <cell r="B39">
            <v>0.9</v>
          </cell>
          <cell r="C39">
            <v>0.1</v>
          </cell>
        </row>
        <row r="40">
          <cell r="A40" t="str">
            <v>Ukraine</v>
          </cell>
          <cell r="B40">
            <v>0.92</v>
          </cell>
          <cell r="C40">
            <v>0.08</v>
          </cell>
        </row>
        <row r="41">
          <cell r="A41" t="str">
            <v>Latvia</v>
          </cell>
        </row>
        <row r="42">
          <cell r="A42" t="str">
            <v>Hong Kong</v>
          </cell>
          <cell r="B42">
            <v>0.82</v>
          </cell>
          <cell r="C42">
            <v>0.18</v>
          </cell>
        </row>
        <row r="43">
          <cell r="A43" t="str">
            <v>Cyprus</v>
          </cell>
        </row>
        <row r="44">
          <cell r="A44" t="str">
            <v>Mongolia</v>
          </cell>
        </row>
        <row r="45">
          <cell r="A45" t="str">
            <v>Iran</v>
          </cell>
          <cell r="B45">
            <v>0.92</v>
          </cell>
          <cell r="C45">
            <v>0.08</v>
          </cell>
        </row>
        <row r="46">
          <cell r="A46" t="str">
            <v>Germany</v>
          </cell>
          <cell r="B46">
            <v>0.85</v>
          </cell>
          <cell r="C46">
            <v>0.15</v>
          </cell>
        </row>
        <row r="47">
          <cell r="A47" t="str">
            <v>Madagascar</v>
          </cell>
        </row>
        <row r="48">
          <cell r="A48" t="str">
            <v>Benin</v>
          </cell>
        </row>
        <row r="49">
          <cell r="A49" t="str">
            <v>Slovenia</v>
          </cell>
        </row>
        <row r="50">
          <cell r="A50" t="str">
            <v>Switzerland</v>
          </cell>
          <cell r="B50">
            <v>0.82</v>
          </cell>
          <cell r="C50">
            <v>0.18</v>
          </cell>
        </row>
        <row r="51">
          <cell r="A51" t="str">
            <v>Afghanistan</v>
          </cell>
        </row>
        <row r="52">
          <cell r="A52" t="str">
            <v>Albania</v>
          </cell>
        </row>
        <row r="53">
          <cell r="A53" t="str">
            <v>Sweden</v>
          </cell>
          <cell r="B53">
            <v>0.85</v>
          </cell>
          <cell r="C53">
            <v>0.15</v>
          </cell>
        </row>
        <row r="54">
          <cell r="A54" t="str">
            <v>Austria</v>
          </cell>
          <cell r="B54">
            <v>0.85</v>
          </cell>
          <cell r="C54">
            <v>0.15</v>
          </cell>
        </row>
        <row r="55">
          <cell r="A55" t="str">
            <v>Hungary</v>
          </cell>
          <cell r="B55">
            <v>0.86</v>
          </cell>
          <cell r="C55">
            <v>0.14000000000000001</v>
          </cell>
        </row>
        <row r="56">
          <cell r="A56" t="str">
            <v>Jordan</v>
          </cell>
        </row>
        <row r="57">
          <cell r="A57" t="str">
            <v>Moldova</v>
          </cell>
        </row>
        <row r="58">
          <cell r="A58" t="str">
            <v>Somalia</v>
          </cell>
        </row>
        <row r="59">
          <cell r="A59" t="str">
            <v>Serbia</v>
          </cell>
          <cell r="B59">
            <v>0.89</v>
          </cell>
          <cell r="C59">
            <v>0.11</v>
          </cell>
        </row>
        <row r="60">
          <cell r="A60" t="str">
            <v>Philippines</v>
          </cell>
          <cell r="B60">
            <v>0.84</v>
          </cell>
          <cell r="C60">
            <v>0.16</v>
          </cell>
        </row>
        <row r="61">
          <cell r="A61" t="str">
            <v>Finland</v>
          </cell>
          <cell r="B61">
            <v>0.84</v>
          </cell>
          <cell r="C61">
            <v>0.16</v>
          </cell>
        </row>
        <row r="62">
          <cell r="A62" t="str">
            <v>Ecuador</v>
          </cell>
          <cell r="B62">
            <v>0.86</v>
          </cell>
          <cell r="C62">
            <v>0.14000000000000001</v>
          </cell>
        </row>
        <row r="63">
          <cell r="A63" t="str">
            <v>Sri Lanka</v>
          </cell>
          <cell r="B63">
            <v>0.82</v>
          </cell>
          <cell r="C63">
            <v>0.18</v>
          </cell>
        </row>
        <row r="64">
          <cell r="A64" t="str">
            <v>Canada</v>
          </cell>
          <cell r="B64">
            <v>0.85</v>
          </cell>
          <cell r="C64">
            <v>0.15</v>
          </cell>
        </row>
        <row r="65">
          <cell r="A65" t="str">
            <v>Botswana</v>
          </cell>
        </row>
        <row r="66">
          <cell r="A66" t="str">
            <v>Sudan</v>
          </cell>
        </row>
        <row r="67">
          <cell r="A67" t="str">
            <v>Tunisia</v>
          </cell>
          <cell r="B67">
            <v>0.82</v>
          </cell>
          <cell r="C67">
            <v>0.18</v>
          </cell>
        </row>
        <row r="68">
          <cell r="A68" t="str">
            <v>Slovakia</v>
          </cell>
          <cell r="B68">
            <v>0.86</v>
          </cell>
          <cell r="C68">
            <v>0.14000000000000001</v>
          </cell>
        </row>
        <row r="69">
          <cell r="A69" t="str">
            <v>Kazakhstan</v>
          </cell>
          <cell r="B69">
            <v>0.9</v>
          </cell>
          <cell r="C69">
            <v>0.1</v>
          </cell>
        </row>
        <row r="70">
          <cell r="A70" t="str">
            <v>Croatia</v>
          </cell>
          <cell r="B70">
            <v>0.87</v>
          </cell>
          <cell r="C70">
            <v>0.13</v>
          </cell>
        </row>
        <row r="71">
          <cell r="A71" t="str">
            <v>Estonia</v>
          </cell>
        </row>
        <row r="72">
          <cell r="A72" t="str">
            <v>United States</v>
          </cell>
          <cell r="B72">
            <v>0.83</v>
          </cell>
          <cell r="C72">
            <v>0.17</v>
          </cell>
        </row>
        <row r="73">
          <cell r="A73" t="str">
            <v>Egypt</v>
          </cell>
          <cell r="B73">
            <v>0.93</v>
          </cell>
          <cell r="C73">
            <v>7.0000000000000007E-2</v>
          </cell>
        </row>
        <row r="74">
          <cell r="A74" t="str">
            <v>Ghana</v>
          </cell>
        </row>
        <row r="75">
          <cell r="A75" t="str">
            <v>Norway</v>
          </cell>
          <cell r="B75">
            <v>0.82</v>
          </cell>
          <cell r="C75">
            <v>0.18</v>
          </cell>
        </row>
        <row r="76">
          <cell r="A76" t="str">
            <v>Bolivia</v>
          </cell>
          <cell r="B76">
            <v>0.77</v>
          </cell>
          <cell r="C76">
            <v>0.23</v>
          </cell>
        </row>
        <row r="77">
          <cell r="A77" t="str">
            <v>Vietnam</v>
          </cell>
          <cell r="B77">
            <v>0.91</v>
          </cell>
          <cell r="C77">
            <v>0.09</v>
          </cell>
        </row>
        <row r="78">
          <cell r="A78" t="str">
            <v>Mexico</v>
          </cell>
          <cell r="B78">
            <v>0.86</v>
          </cell>
          <cell r="C78">
            <v>0.14000000000000001</v>
          </cell>
        </row>
        <row r="79">
          <cell r="A79" t="str">
            <v>Laos</v>
          </cell>
        </row>
        <row r="80">
          <cell r="A80" t="str">
            <v>Cameroon</v>
          </cell>
        </row>
        <row r="81">
          <cell r="A81" t="str">
            <v>Japan</v>
          </cell>
          <cell r="B81">
            <v>0.79</v>
          </cell>
          <cell r="C81">
            <v>0.21</v>
          </cell>
        </row>
        <row r="82">
          <cell r="A82" t="str">
            <v>Myanmar (Burma)</v>
          </cell>
        </row>
        <row r="83">
          <cell r="A83" t="str">
            <v>Georgia</v>
          </cell>
        </row>
        <row r="84">
          <cell r="A84" t="str">
            <v>Malaysia</v>
          </cell>
          <cell r="B84">
            <v>0.83</v>
          </cell>
          <cell r="C84">
            <v>0.17</v>
          </cell>
        </row>
        <row r="85">
          <cell r="A85" t="str">
            <v>Togo</v>
          </cell>
        </row>
        <row r="86">
          <cell r="A86" t="str">
            <v>Costa Rica</v>
          </cell>
        </row>
        <row r="87">
          <cell r="A87" t="str">
            <v>Lebanon</v>
          </cell>
        </row>
        <row r="88">
          <cell r="A88" t="str">
            <v>Syria</v>
          </cell>
        </row>
        <row r="89">
          <cell r="A89" t="str">
            <v>Libya</v>
          </cell>
        </row>
        <row r="90">
          <cell r="A90" t="str">
            <v>Angola</v>
          </cell>
        </row>
        <row r="91">
          <cell r="A91" t="str">
            <v>Portugal</v>
          </cell>
          <cell r="B91">
            <v>0.8</v>
          </cell>
          <cell r="C91">
            <v>0.2</v>
          </cell>
        </row>
        <row r="92">
          <cell r="A92" t="str">
            <v>Cape Verde</v>
          </cell>
        </row>
        <row r="93">
          <cell r="A93" t="str">
            <v>Peru</v>
          </cell>
          <cell r="B93">
            <v>0.85</v>
          </cell>
          <cell r="C93">
            <v>0.15</v>
          </cell>
        </row>
        <row r="94">
          <cell r="A94" t="str">
            <v>Bhutan</v>
          </cell>
        </row>
        <row r="95">
          <cell r="A95" t="str">
            <v>Papua New Guinea</v>
          </cell>
        </row>
        <row r="96">
          <cell r="A96" t="str">
            <v>Cambodia</v>
          </cell>
        </row>
        <row r="97">
          <cell r="A97" t="str">
            <v>Nicaragua</v>
          </cell>
        </row>
        <row r="98">
          <cell r="A98" t="str">
            <v>Azerbaijan</v>
          </cell>
        </row>
        <row r="99">
          <cell r="A99" t="str">
            <v>Yemen</v>
          </cell>
        </row>
        <row r="100">
          <cell r="A100" t="str">
            <v>Malta</v>
          </cell>
        </row>
        <row r="101">
          <cell r="A101" t="str">
            <v>Kyrgyzstan</v>
          </cell>
        </row>
        <row r="102">
          <cell r="A102" t="str">
            <v>Kenya</v>
          </cell>
          <cell r="B102">
            <v>0.83</v>
          </cell>
          <cell r="C102">
            <v>0.17</v>
          </cell>
        </row>
        <row r="103">
          <cell r="A103" t="str">
            <v>Netherlands</v>
          </cell>
          <cell r="B103">
            <v>0.78</v>
          </cell>
          <cell r="C103">
            <v>0.22</v>
          </cell>
        </row>
        <row r="104">
          <cell r="A104" t="str">
            <v>Colombia</v>
          </cell>
          <cell r="B104">
            <v>0.82</v>
          </cell>
          <cell r="C104">
            <v>0.18</v>
          </cell>
        </row>
        <row r="105">
          <cell r="A105" t="str">
            <v>Burundi</v>
          </cell>
        </row>
        <row r="106">
          <cell r="A106" t="str">
            <v>Oman</v>
          </cell>
        </row>
        <row r="107">
          <cell r="A107" t="str">
            <v>Palestine</v>
          </cell>
        </row>
        <row r="108">
          <cell r="A108" t="str">
            <v>El Salvador</v>
          </cell>
        </row>
        <row r="109">
          <cell r="A109" t="str">
            <v>Mauritius</v>
          </cell>
        </row>
        <row r="110">
          <cell r="A110" t="str">
            <v>Denmark</v>
          </cell>
          <cell r="B110">
            <v>0.81</v>
          </cell>
          <cell r="C110">
            <v>0.19</v>
          </cell>
        </row>
        <row r="111">
          <cell r="A111" t="str">
            <v>Trinidad &amp; Tobago</v>
          </cell>
        </row>
        <row r="112">
          <cell r="A112" t="str">
            <v>Greece</v>
          </cell>
          <cell r="B112">
            <v>0.84</v>
          </cell>
          <cell r="C112">
            <v>0.16</v>
          </cell>
        </row>
        <row r="113">
          <cell r="A113" t="str">
            <v>Barbados</v>
          </cell>
        </row>
        <row r="114">
          <cell r="A114" t="str">
            <v>France</v>
          </cell>
          <cell r="B114">
            <v>0.82</v>
          </cell>
          <cell r="C114">
            <v>0.18</v>
          </cell>
        </row>
        <row r="115">
          <cell r="A115" t="str">
            <v>Panama</v>
          </cell>
        </row>
        <row r="116">
          <cell r="A116" t="str">
            <v>Zambia</v>
          </cell>
        </row>
        <row r="117">
          <cell r="A117" t="str">
            <v>New Zealand</v>
          </cell>
          <cell r="B117">
            <v>0.75</v>
          </cell>
          <cell r="C117">
            <v>0.25</v>
          </cell>
        </row>
        <row r="118">
          <cell r="A118" t="str">
            <v>Luxembourg</v>
          </cell>
        </row>
        <row r="119">
          <cell r="A119" t="str">
            <v>Ireland</v>
          </cell>
          <cell r="B119">
            <v>0.73</v>
          </cell>
          <cell r="C119">
            <v>0.27</v>
          </cell>
        </row>
        <row r="120">
          <cell r="A120" t="str">
            <v>Uganda</v>
          </cell>
        </row>
        <row r="121">
          <cell r="A121" t="str">
            <v>Jamaica</v>
          </cell>
        </row>
        <row r="122">
          <cell r="A122" t="str">
            <v>Belgium</v>
          </cell>
          <cell r="B122">
            <v>0.78</v>
          </cell>
          <cell r="C122">
            <v>0.22</v>
          </cell>
        </row>
        <row r="123">
          <cell r="A123" t="str">
            <v>Puerto Rico</v>
          </cell>
        </row>
        <row r="124">
          <cell r="A124" t="str">
            <v>Tanzania</v>
          </cell>
        </row>
        <row r="125">
          <cell r="A125" t="str">
            <v>Maldives</v>
          </cell>
        </row>
        <row r="126">
          <cell r="A126" t="str">
            <v>South Africa</v>
          </cell>
          <cell r="B126">
            <v>0.78</v>
          </cell>
          <cell r="C126">
            <v>0.22</v>
          </cell>
        </row>
        <row r="127">
          <cell r="A127" t="str">
            <v>Indonesia</v>
          </cell>
          <cell r="B127">
            <v>0.83</v>
          </cell>
          <cell r="C127">
            <v>0.17</v>
          </cell>
        </row>
        <row r="128">
          <cell r="A128" t="str">
            <v>United Kingdom</v>
          </cell>
          <cell r="B128">
            <v>0.76</v>
          </cell>
          <cell r="C128">
            <v>0.24</v>
          </cell>
        </row>
        <row r="129">
          <cell r="A129" t="str">
            <v>Sierra Leone</v>
          </cell>
        </row>
        <row r="130">
          <cell r="A130" t="str">
            <v>Australia</v>
          </cell>
          <cell r="B130">
            <v>0.73</v>
          </cell>
          <cell r="C130">
            <v>0.27</v>
          </cell>
        </row>
        <row r="131">
          <cell r="A131" t="str">
            <v>Macao</v>
          </cell>
        </row>
        <row r="132">
          <cell r="A132" t="str">
            <v>French Guiana</v>
          </cell>
        </row>
        <row r="133">
          <cell r="A133" t="str">
            <v>Morocco</v>
          </cell>
          <cell r="B133">
            <v>0.83</v>
          </cell>
          <cell r="C133">
            <v>0.17</v>
          </cell>
        </row>
        <row r="134">
          <cell r="A134" t="str">
            <v>Italy</v>
          </cell>
          <cell r="B134">
            <v>0.81</v>
          </cell>
          <cell r="C134">
            <v>0.19</v>
          </cell>
        </row>
        <row r="135">
          <cell r="A135" t="str">
            <v>Tajikistan</v>
          </cell>
        </row>
        <row r="136">
          <cell r="A136" t="str">
            <v>St. Kitts &amp; Nevis</v>
          </cell>
        </row>
        <row r="137">
          <cell r="A137" t="str">
            <v>Brunei</v>
          </cell>
        </row>
        <row r="138">
          <cell r="A138" t="str">
            <v>Turkmenistan</v>
          </cell>
        </row>
        <row r="139">
          <cell r="A139" t="str">
            <v>Algeria</v>
          </cell>
          <cell r="B139">
            <v>0.84</v>
          </cell>
          <cell r="C139">
            <v>0.16</v>
          </cell>
        </row>
        <row r="140">
          <cell r="A140" t="str">
            <v>Congo - Kinshasa</v>
          </cell>
        </row>
        <row r="141">
          <cell r="A141" t="str">
            <v>Spain</v>
          </cell>
          <cell r="B141">
            <v>0.76</v>
          </cell>
          <cell r="C141">
            <v>0.24</v>
          </cell>
        </row>
        <row r="142">
          <cell r="A142" t="str">
            <v>United Arab Emirates</v>
          </cell>
          <cell r="B142">
            <v>0.74</v>
          </cell>
          <cell r="C142">
            <v>0.26</v>
          </cell>
        </row>
        <row r="143">
          <cell r="A143" t="str">
            <v>Nigeria</v>
          </cell>
          <cell r="B143">
            <v>0.78</v>
          </cell>
          <cell r="C143">
            <v>0.22</v>
          </cell>
        </row>
        <row r="144">
          <cell r="A144" t="str">
            <v>Djibouti</v>
          </cell>
        </row>
        <row r="145">
          <cell r="A145" t="str">
            <v>Congo - Brazzaville</v>
          </cell>
        </row>
        <row r="146">
          <cell r="A146" t="str">
            <v>Namibia</v>
          </cell>
        </row>
        <row r="147">
          <cell r="A147" t="str">
            <v>Senegal</v>
          </cell>
        </row>
        <row r="148">
          <cell r="A148" t="str">
            <v>Gabon</v>
          </cell>
        </row>
        <row r="149">
          <cell r="A149" t="str">
            <v>Bahrain</v>
          </cell>
        </row>
        <row r="150">
          <cell r="A150" t="str">
            <v>Mozambique</v>
          </cell>
        </row>
        <row r="151">
          <cell r="A151" t="str">
            <v>Kosovo</v>
          </cell>
        </row>
        <row r="152">
          <cell r="A152" t="str">
            <v>Paraguay</v>
          </cell>
        </row>
        <row r="153">
          <cell r="A153" t="str">
            <v>Iraq</v>
          </cell>
        </row>
        <row r="154">
          <cell r="A154" t="str">
            <v>Venezuela</v>
          </cell>
          <cell r="B154">
            <v>0.85</v>
          </cell>
          <cell r="C154">
            <v>0.15</v>
          </cell>
        </row>
        <row r="155">
          <cell r="A155" t="str">
            <v>Uruguay</v>
          </cell>
        </row>
        <row r="156">
          <cell r="A156" t="str">
            <v>Andorra</v>
          </cell>
        </row>
        <row r="157">
          <cell r="A157" t="str">
            <v>Haiti</v>
          </cell>
        </row>
        <row r="158">
          <cell r="A158" t="str">
            <v>Dominican Republic</v>
          </cell>
        </row>
        <row r="159">
          <cell r="A159" t="str">
            <v>Montenegro</v>
          </cell>
        </row>
        <row r="160">
          <cell r="A160" t="str">
            <v>Thailand</v>
          </cell>
          <cell r="B160">
            <v>0.78</v>
          </cell>
          <cell r="C160">
            <v>0.22</v>
          </cell>
        </row>
        <row r="161">
          <cell r="A161" t="str">
            <v>Turkey</v>
          </cell>
          <cell r="B161">
            <v>0.87</v>
          </cell>
          <cell r="C161">
            <v>0.13</v>
          </cell>
        </row>
        <row r="162">
          <cell r="A162" t="str">
            <v>Isle of Man</v>
          </cell>
        </row>
        <row r="163">
          <cell r="A163" t="str">
            <v>St. Vincent &amp; Grenadines</v>
          </cell>
        </row>
        <row r="164">
          <cell r="A164" t="str">
            <v>Suriname</v>
          </cell>
        </row>
        <row r="165">
          <cell r="A165" t="str">
            <v>CÃ´te dâ€™Ivoire</v>
          </cell>
        </row>
        <row r="166">
          <cell r="A166" t="str">
            <v>Niger</v>
          </cell>
        </row>
        <row r="167">
          <cell r="A167" t="str">
            <v>Guinea</v>
          </cell>
        </row>
        <row r="168">
          <cell r="A168" t="str">
            <v>Brazil</v>
          </cell>
          <cell r="B168">
            <v>0.74</v>
          </cell>
          <cell r="C168">
            <v>0.26</v>
          </cell>
        </row>
        <row r="169">
          <cell r="A169" t="str">
            <v>Mali</v>
          </cell>
        </row>
        <row r="170">
          <cell r="A170" t="str">
            <v>Chile</v>
          </cell>
          <cell r="B170">
            <v>0.78</v>
          </cell>
          <cell r="C170">
            <v>0.22</v>
          </cell>
        </row>
        <row r="171">
          <cell r="A171" t="str">
            <v>French Polynesia</v>
          </cell>
        </row>
        <row r="172">
          <cell r="A172" t="str">
            <v>Guyana</v>
          </cell>
        </row>
        <row r="173">
          <cell r="A173" t="str">
            <v>Guam</v>
          </cell>
        </row>
        <row r="174">
          <cell r="A174" t="str">
            <v>Grenada</v>
          </cell>
        </row>
        <row r="175">
          <cell r="A175" t="str">
            <v>Argentina</v>
          </cell>
          <cell r="B175">
            <v>0.68</v>
          </cell>
          <cell r="C175">
            <v>0.32</v>
          </cell>
        </row>
        <row r="176">
          <cell r="A176" t="str">
            <v>Antigua &amp; Barbuda</v>
          </cell>
        </row>
        <row r="177">
          <cell r="A177" t="str">
            <v>Qatar</v>
          </cell>
        </row>
        <row r="178">
          <cell r="A178" t="str">
            <v>Saudi Arabia</v>
          </cell>
          <cell r="B178">
            <v>0.79</v>
          </cell>
          <cell r="C178">
            <v>0.21</v>
          </cell>
        </row>
        <row r="179">
          <cell r="A179" t="str">
            <v>South Sudan</v>
          </cell>
        </row>
        <row r="180">
          <cell r="A180" t="str">
            <v>Kuwait</v>
          </cell>
        </row>
        <row r="181">
          <cell r="A181" t="str">
            <v>Liberia</v>
          </cell>
        </row>
        <row r="182">
          <cell r="A182" t="str">
            <v>Mauritania</v>
          </cell>
        </row>
        <row r="183">
          <cell r="A183" t="str">
            <v>Cayman Islands</v>
          </cell>
        </row>
        <row r="184">
          <cell r="A184" t="str">
            <v>RÃ©union</v>
          </cell>
        </row>
        <row r="185">
          <cell r="A185" t="str">
            <v>Jersey</v>
          </cell>
        </row>
        <row r="186">
          <cell r="A186" t="str">
            <v>Bahamas</v>
          </cell>
        </row>
        <row r="187">
          <cell r="A187" t="str">
            <v>Burkina Faso</v>
          </cell>
        </row>
        <row r="188">
          <cell r="A188" t="str">
            <v>Guadeloupe</v>
          </cell>
        </row>
        <row r="189">
          <cell r="A189" t="str">
            <v>CuraÃ§ao</v>
          </cell>
        </row>
        <row r="190">
          <cell r="A190" t="str">
            <v>Martinique</v>
          </cell>
        </row>
        <row r="191">
          <cell r="A191" t="str">
            <v>Aruba</v>
          </cell>
        </row>
        <row r="192">
          <cell r="A192" t="str">
            <v>Eritrea</v>
          </cell>
        </row>
        <row r="193">
          <cell r="A193" t="str">
            <v>Montserrat</v>
          </cell>
        </row>
        <row r="194">
          <cell r="A194" t="str">
            <v>Vanuatu</v>
          </cell>
        </row>
        <row r="195">
          <cell r="A195" t="str">
            <v>Ã…land Islands</v>
          </cell>
        </row>
        <row r="196">
          <cell r="A196" t="str">
            <v>Micronesia</v>
          </cell>
        </row>
        <row r="197">
          <cell r="A197" t="str">
            <v>Solomon Islands</v>
          </cell>
        </row>
        <row r="198">
          <cell r="A198" t="str">
            <v>SÃ£o TomÃ© &amp; PrÃ­ncipe</v>
          </cell>
        </row>
        <row r="199">
          <cell r="A199" t="str">
            <v>Equatorial Guinea</v>
          </cell>
        </row>
        <row r="200">
          <cell r="A200" t="str">
            <v>Caribbean Netherlands</v>
          </cell>
        </row>
        <row r="201">
          <cell r="A201" t="str">
            <v>St. Pierre &amp; Miquelon</v>
          </cell>
        </row>
        <row r="202">
          <cell r="A202" t="str">
            <v>Dominica</v>
          </cell>
        </row>
        <row r="203">
          <cell r="A203" t="str">
            <v>Liechtenstein</v>
          </cell>
        </row>
        <row r="204">
          <cell r="A204" t="str">
            <v>Guinea-Bissau</v>
          </cell>
        </row>
        <row r="205">
          <cell r="A205" t="str">
            <v>Seychelles</v>
          </cell>
        </row>
        <row r="206">
          <cell r="A206" t="str">
            <v>Monaco</v>
          </cell>
        </row>
        <row r="207">
          <cell r="A207" t="str">
            <v>Timor-Leste</v>
          </cell>
        </row>
        <row r="208">
          <cell r="A208" t="str">
            <v>Turks &amp; Caicos Islands</v>
          </cell>
        </row>
        <row r="209">
          <cell r="A209" t="str">
            <v>Central African Republic</v>
          </cell>
        </row>
        <row r="210">
          <cell r="A210" t="str">
            <v>Guernsey</v>
          </cell>
        </row>
        <row r="211">
          <cell r="A211" t="str">
            <v>Comoros</v>
          </cell>
        </row>
        <row r="212">
          <cell r="A212" t="str">
            <v>Northern Mariana Islands</v>
          </cell>
        </row>
        <row r="213">
          <cell r="A213" t="str">
            <v>San Marino</v>
          </cell>
        </row>
        <row r="214">
          <cell r="A214" t="str">
            <v>Gibraltar</v>
          </cell>
        </row>
        <row r="215">
          <cell r="A215" t="str">
            <v>St. Lucia</v>
          </cell>
        </row>
        <row r="216">
          <cell r="A216" t="str">
            <v>Samoa</v>
          </cell>
        </row>
        <row r="217">
          <cell r="A217" t="str">
            <v>Mayotte</v>
          </cell>
        </row>
        <row r="218">
          <cell r="A218" t="str">
            <v>Gambia</v>
          </cell>
        </row>
        <row r="219">
          <cell r="A219" t="str">
            <v>St. Martin</v>
          </cell>
        </row>
        <row r="220">
          <cell r="A220" t="str">
            <v>British Virgin Islands</v>
          </cell>
        </row>
        <row r="221">
          <cell r="A221" t="str">
            <v>St. BarthÃ©lemy</v>
          </cell>
        </row>
        <row r="222">
          <cell r="A222" t="str">
            <v>Sint Maarten</v>
          </cell>
        </row>
        <row r="223">
          <cell r="A223" t="str">
            <v>Western Sahara</v>
          </cell>
        </row>
        <row r="224">
          <cell r="A224" t="str">
            <v>Chad</v>
          </cell>
        </row>
        <row r="225">
          <cell r="A225" t="str">
            <v>Bermuda</v>
          </cell>
        </row>
        <row r="226">
          <cell r="A226" t="str">
            <v>Greenland</v>
          </cell>
        </row>
        <row r="227">
          <cell r="A227" t="str">
            <v>U.S. Virgin Islands</v>
          </cell>
        </row>
        <row r="228">
          <cell r="A228" t="str">
            <v>New Caledonia</v>
          </cell>
        </row>
        <row r="229">
          <cell r="A229" t="str">
            <v>Anguilla</v>
          </cell>
        </row>
        <row r="230">
          <cell r="A230" t="str">
            <v>American Samoa</v>
          </cell>
        </row>
        <row r="231">
          <cell r="A231" t="str">
            <v>Antarctica</v>
          </cell>
        </row>
        <row r="232">
          <cell r="A232" t="str">
            <v>French Southern Territories</v>
          </cell>
        </row>
        <row r="233">
          <cell r="A233" t="str">
            <v>Bouvet Island</v>
          </cell>
        </row>
        <row r="234">
          <cell r="A234" t="str">
            <v>Cocos (Keeling) Islands</v>
          </cell>
        </row>
        <row r="235">
          <cell r="A235" t="str">
            <v>Cook Islands</v>
          </cell>
        </row>
        <row r="236">
          <cell r="A236" t="str">
            <v>Christmas Island</v>
          </cell>
        </row>
        <row r="237">
          <cell r="A237" t="str">
            <v>Falkland Islands (Islas Malvinas)</v>
          </cell>
        </row>
        <row r="238">
          <cell r="A238" t="str">
            <v>Heard &amp; McDonald Islands</v>
          </cell>
        </row>
        <row r="239">
          <cell r="A239" t="str">
            <v>British Indian Ocean Territory</v>
          </cell>
        </row>
        <row r="240">
          <cell r="A240" t="str">
            <v>Kiribati</v>
          </cell>
        </row>
        <row r="241">
          <cell r="A241" t="str">
            <v>Marshall Islands</v>
          </cell>
        </row>
        <row r="242">
          <cell r="A242" t="str">
            <v>Norfolk Island</v>
          </cell>
        </row>
        <row r="243">
          <cell r="A243" t="str">
            <v>Niue</v>
          </cell>
        </row>
        <row r="244">
          <cell r="A244" t="str">
            <v>Nauru</v>
          </cell>
        </row>
        <row r="245">
          <cell r="A245" t="str">
            <v>Pitcairn Islands</v>
          </cell>
        </row>
        <row r="246">
          <cell r="A246" t="str">
            <v>Palau</v>
          </cell>
        </row>
        <row r="247">
          <cell r="A247" t="str">
            <v>South Georgia &amp; South Sandwich Islands</v>
          </cell>
        </row>
        <row r="248">
          <cell r="A248" t="str">
            <v>Svalbard &amp; Jan Mayen</v>
          </cell>
        </row>
        <row r="249">
          <cell r="A249" t="str">
            <v>Tokelau</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2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32)"/>
    </sheetNames>
    <sheetDataSet>
      <sheetData sheetId="0">
        <row r="1">
          <cell r="A1" t="str">
            <v>Category: All categories</v>
          </cell>
        </row>
        <row r="3">
          <cell r="A3" t="str">
            <v>Country</v>
          </cell>
          <cell r="B3" t="str">
            <v>Artificial neural network: (2017)</v>
          </cell>
          <cell r="C3" t="str">
            <v>Heap: (2017)</v>
          </cell>
        </row>
        <row r="4">
          <cell r="A4" t="str">
            <v>China</v>
          </cell>
          <cell r="B4">
            <v>0.79</v>
          </cell>
          <cell r="C4">
            <v>0.21</v>
          </cell>
        </row>
        <row r="5">
          <cell r="A5" t="str">
            <v>South Korea</v>
          </cell>
          <cell r="B5">
            <v>0.63</v>
          </cell>
          <cell r="C5">
            <v>0.37</v>
          </cell>
        </row>
        <row r="6">
          <cell r="A6" t="str">
            <v>Cuba</v>
          </cell>
        </row>
        <row r="7">
          <cell r="A7" t="str">
            <v>Singapore</v>
          </cell>
          <cell r="B7">
            <v>0.65</v>
          </cell>
          <cell r="C7">
            <v>0.35</v>
          </cell>
        </row>
        <row r="8">
          <cell r="A8" t="str">
            <v>Zimbabwe</v>
          </cell>
        </row>
        <row r="9">
          <cell r="A9" t="str">
            <v>Hong Kong</v>
          </cell>
          <cell r="B9">
            <v>0.56000000000000005</v>
          </cell>
          <cell r="C9">
            <v>0.44</v>
          </cell>
        </row>
        <row r="10">
          <cell r="A10" t="str">
            <v>Taiwan</v>
          </cell>
          <cell r="B10">
            <v>0.48</v>
          </cell>
          <cell r="C10">
            <v>0.52</v>
          </cell>
        </row>
        <row r="11">
          <cell r="A11" t="str">
            <v>Tajikistan</v>
          </cell>
        </row>
        <row r="12">
          <cell r="A12" t="str">
            <v>Ethiopia</v>
          </cell>
        </row>
        <row r="13">
          <cell r="A13" t="str">
            <v>Nepal</v>
          </cell>
        </row>
        <row r="14">
          <cell r="A14" t="str">
            <v>Iceland</v>
          </cell>
        </row>
        <row r="15">
          <cell r="A15" t="str">
            <v>St. Helena</v>
          </cell>
          <cell r="B15">
            <v>0.68</v>
          </cell>
          <cell r="C15">
            <v>0.32</v>
          </cell>
        </row>
        <row r="16">
          <cell r="A16" t="str">
            <v>New Zealand</v>
          </cell>
          <cell r="B16">
            <v>0.36</v>
          </cell>
          <cell r="C16">
            <v>0.64</v>
          </cell>
        </row>
        <row r="17">
          <cell r="A17" t="str">
            <v>Croatia</v>
          </cell>
          <cell r="B17">
            <v>0.82</v>
          </cell>
          <cell r="C17">
            <v>0.18</v>
          </cell>
        </row>
        <row r="18">
          <cell r="A18" t="str">
            <v>Russia</v>
          </cell>
          <cell r="B18">
            <v>0.63</v>
          </cell>
          <cell r="C18">
            <v>0.37</v>
          </cell>
        </row>
        <row r="19">
          <cell r="A19" t="str">
            <v>Belarus</v>
          </cell>
          <cell r="B19">
            <v>0.63</v>
          </cell>
          <cell r="C19">
            <v>0.37</v>
          </cell>
        </row>
        <row r="20">
          <cell r="A20" t="str">
            <v>Israel</v>
          </cell>
          <cell r="B20">
            <v>0.53</v>
          </cell>
          <cell r="C20">
            <v>0.47</v>
          </cell>
        </row>
        <row r="21">
          <cell r="A21" t="str">
            <v>Pakistan</v>
          </cell>
          <cell r="B21">
            <v>0.57999999999999996</v>
          </cell>
          <cell r="C21">
            <v>0.42</v>
          </cell>
        </row>
        <row r="22">
          <cell r="A22" t="str">
            <v>India</v>
          </cell>
          <cell r="B22">
            <v>0.55000000000000004</v>
          </cell>
          <cell r="C22">
            <v>0.45</v>
          </cell>
        </row>
        <row r="23">
          <cell r="A23" t="str">
            <v>Sri Lanka</v>
          </cell>
          <cell r="B23">
            <v>0.69</v>
          </cell>
          <cell r="C23">
            <v>0.31</v>
          </cell>
        </row>
        <row r="24">
          <cell r="A24" t="str">
            <v>Uzbekistan</v>
          </cell>
        </row>
        <row r="25">
          <cell r="A25" t="str">
            <v>Czechia</v>
          </cell>
          <cell r="B25">
            <v>0.63</v>
          </cell>
          <cell r="C25">
            <v>0.37</v>
          </cell>
        </row>
        <row r="26">
          <cell r="A26" t="str">
            <v>Malta</v>
          </cell>
        </row>
        <row r="27">
          <cell r="A27" t="str">
            <v>Estonia</v>
          </cell>
        </row>
        <row r="28">
          <cell r="A28" t="str">
            <v>Myanmar (Burma)</v>
          </cell>
        </row>
        <row r="29">
          <cell r="A29" t="str">
            <v>Iran</v>
          </cell>
          <cell r="B29">
            <v>0.55000000000000004</v>
          </cell>
          <cell r="C29">
            <v>0.45</v>
          </cell>
        </row>
        <row r="30">
          <cell r="A30" t="str">
            <v>Canada</v>
          </cell>
          <cell r="B30">
            <v>0.64</v>
          </cell>
          <cell r="C30">
            <v>0.36</v>
          </cell>
        </row>
        <row r="31">
          <cell r="A31" t="str">
            <v>Laos</v>
          </cell>
        </row>
        <row r="32">
          <cell r="A32" t="str">
            <v>Macao</v>
          </cell>
        </row>
        <row r="33">
          <cell r="A33" t="str">
            <v>Australia</v>
          </cell>
          <cell r="B33">
            <v>0.42</v>
          </cell>
          <cell r="C33">
            <v>0.57999999999999996</v>
          </cell>
        </row>
        <row r="34">
          <cell r="A34" t="str">
            <v>Tunisia</v>
          </cell>
        </row>
        <row r="35">
          <cell r="A35" t="str">
            <v>Switzerland</v>
          </cell>
          <cell r="B35">
            <v>0.7</v>
          </cell>
          <cell r="C35">
            <v>0.3</v>
          </cell>
        </row>
        <row r="36">
          <cell r="A36" t="str">
            <v>United States</v>
          </cell>
          <cell r="B36">
            <v>0.54</v>
          </cell>
          <cell r="C36">
            <v>0.46</v>
          </cell>
        </row>
        <row r="37">
          <cell r="A37" t="str">
            <v>Cyprus</v>
          </cell>
        </row>
        <row r="38">
          <cell r="A38" t="str">
            <v>Bhutan</v>
          </cell>
        </row>
        <row r="39">
          <cell r="A39" t="str">
            <v>Madagascar</v>
          </cell>
        </row>
        <row r="40">
          <cell r="A40" t="str">
            <v>Botswana</v>
          </cell>
        </row>
        <row r="41">
          <cell r="A41" t="str">
            <v>Rwanda</v>
          </cell>
        </row>
        <row r="42">
          <cell r="A42" t="str">
            <v>Bangladesh</v>
          </cell>
          <cell r="B42">
            <v>0.68</v>
          </cell>
          <cell r="C42">
            <v>0.32</v>
          </cell>
        </row>
        <row r="43">
          <cell r="A43" t="str">
            <v>Cambodia</v>
          </cell>
        </row>
        <row r="44">
          <cell r="A44" t="str">
            <v>Ireland</v>
          </cell>
          <cell r="B44">
            <v>0.57999999999999996</v>
          </cell>
          <cell r="C44">
            <v>0.42</v>
          </cell>
        </row>
        <row r="45">
          <cell r="A45" t="str">
            <v>Nigeria</v>
          </cell>
          <cell r="B45">
            <v>0.7</v>
          </cell>
          <cell r="C45">
            <v>0.3</v>
          </cell>
        </row>
        <row r="46">
          <cell r="A46" t="str">
            <v>Mauritius</v>
          </cell>
        </row>
        <row r="47">
          <cell r="A47" t="str">
            <v>Finland</v>
          </cell>
          <cell r="B47">
            <v>0.6</v>
          </cell>
          <cell r="C47">
            <v>0.4</v>
          </cell>
        </row>
        <row r="48">
          <cell r="A48" t="str">
            <v>Ukraine</v>
          </cell>
          <cell r="B48">
            <v>0.56999999999999995</v>
          </cell>
          <cell r="C48">
            <v>0.43</v>
          </cell>
        </row>
        <row r="49">
          <cell r="A49" t="str">
            <v>Malaysia</v>
          </cell>
          <cell r="B49">
            <v>0.63</v>
          </cell>
          <cell r="C49">
            <v>0.37</v>
          </cell>
        </row>
        <row r="50">
          <cell r="A50" t="str">
            <v>Norway</v>
          </cell>
          <cell r="B50">
            <v>0.65</v>
          </cell>
          <cell r="C50">
            <v>0.35</v>
          </cell>
        </row>
        <row r="51">
          <cell r="A51" t="str">
            <v>Luxembourg</v>
          </cell>
        </row>
        <row r="52">
          <cell r="A52" t="str">
            <v>Japan</v>
          </cell>
          <cell r="B52">
            <v>0.7</v>
          </cell>
          <cell r="C52">
            <v>0.3</v>
          </cell>
        </row>
        <row r="53">
          <cell r="A53" t="str">
            <v>Latvia</v>
          </cell>
        </row>
        <row r="54">
          <cell r="A54" t="str">
            <v>Lithuania</v>
          </cell>
          <cell r="B54">
            <v>0.57999999999999996</v>
          </cell>
          <cell r="C54">
            <v>0.42</v>
          </cell>
        </row>
        <row r="55">
          <cell r="A55" t="str">
            <v>Lebanon</v>
          </cell>
        </row>
        <row r="56">
          <cell r="A56" t="str">
            <v>United Kingdom</v>
          </cell>
          <cell r="B56">
            <v>0.53</v>
          </cell>
          <cell r="C56">
            <v>0.47</v>
          </cell>
        </row>
        <row r="57">
          <cell r="A57" t="str">
            <v>Sweden</v>
          </cell>
          <cell r="B57">
            <v>0.63</v>
          </cell>
          <cell r="C57">
            <v>0.37</v>
          </cell>
        </row>
        <row r="58">
          <cell r="A58" t="str">
            <v>Ghana</v>
          </cell>
        </row>
        <row r="59">
          <cell r="A59" t="str">
            <v>Denmark</v>
          </cell>
          <cell r="B59">
            <v>0.49</v>
          </cell>
          <cell r="C59">
            <v>0.51</v>
          </cell>
        </row>
        <row r="60">
          <cell r="A60" t="str">
            <v>Germany</v>
          </cell>
          <cell r="B60">
            <v>0.67</v>
          </cell>
          <cell r="C60">
            <v>0.33</v>
          </cell>
        </row>
        <row r="61">
          <cell r="A61" t="str">
            <v>Netherlands</v>
          </cell>
          <cell r="B61">
            <v>0.69</v>
          </cell>
          <cell r="C61">
            <v>0.31</v>
          </cell>
        </row>
        <row r="62">
          <cell r="A62" t="str">
            <v>Mongolia</v>
          </cell>
        </row>
        <row r="63">
          <cell r="A63" t="str">
            <v>South Africa</v>
          </cell>
          <cell r="B63">
            <v>0.62</v>
          </cell>
          <cell r="C63">
            <v>0.38</v>
          </cell>
        </row>
        <row r="64">
          <cell r="A64" t="str">
            <v>Philippines</v>
          </cell>
          <cell r="B64">
            <v>0.54</v>
          </cell>
          <cell r="C64">
            <v>0.46</v>
          </cell>
        </row>
        <row r="65">
          <cell r="A65" t="str">
            <v>Armenia</v>
          </cell>
        </row>
        <row r="66">
          <cell r="A66" t="str">
            <v>Kenya</v>
          </cell>
          <cell r="B66">
            <v>0.66</v>
          </cell>
          <cell r="C66">
            <v>0.34</v>
          </cell>
        </row>
        <row r="67">
          <cell r="A67" t="str">
            <v>Portugal</v>
          </cell>
          <cell r="B67">
            <v>0.68</v>
          </cell>
          <cell r="C67">
            <v>0.32</v>
          </cell>
        </row>
        <row r="68">
          <cell r="A68" t="str">
            <v>Tanzania</v>
          </cell>
        </row>
        <row r="69">
          <cell r="A69" t="str">
            <v>Greece</v>
          </cell>
          <cell r="B69">
            <v>0.64</v>
          </cell>
          <cell r="C69">
            <v>0.36</v>
          </cell>
        </row>
        <row r="70">
          <cell r="A70" t="str">
            <v>Syria</v>
          </cell>
        </row>
        <row r="71">
          <cell r="A71" t="str">
            <v>Sudan</v>
          </cell>
        </row>
        <row r="72">
          <cell r="A72" t="str">
            <v>Trinidad &amp; Tobago</v>
          </cell>
        </row>
        <row r="73">
          <cell r="A73" t="str">
            <v>Austria</v>
          </cell>
          <cell r="B73">
            <v>0.64</v>
          </cell>
          <cell r="C73">
            <v>0.36</v>
          </cell>
        </row>
        <row r="74">
          <cell r="A74" t="str">
            <v>Algeria</v>
          </cell>
        </row>
        <row r="75">
          <cell r="A75" t="str">
            <v>Indonesia</v>
          </cell>
          <cell r="B75">
            <v>0.83</v>
          </cell>
          <cell r="C75">
            <v>0.17</v>
          </cell>
        </row>
        <row r="76">
          <cell r="A76" t="str">
            <v>North Macedonia</v>
          </cell>
        </row>
        <row r="77">
          <cell r="A77" t="str">
            <v>Slovenia</v>
          </cell>
        </row>
        <row r="78">
          <cell r="A78" t="str">
            <v>Kyrgyzstan</v>
          </cell>
        </row>
        <row r="79">
          <cell r="A79" t="str">
            <v>Iraq</v>
          </cell>
        </row>
        <row r="80">
          <cell r="A80" t="str">
            <v>United Arab Emirates</v>
          </cell>
          <cell r="B80">
            <v>0.55000000000000004</v>
          </cell>
          <cell r="C80">
            <v>0.45</v>
          </cell>
        </row>
        <row r="81">
          <cell r="A81" t="str">
            <v>Uganda</v>
          </cell>
        </row>
        <row r="82">
          <cell r="A82" t="str">
            <v>Kazakhstan</v>
          </cell>
          <cell r="B82">
            <v>0.5</v>
          </cell>
          <cell r="C82">
            <v>0.5</v>
          </cell>
        </row>
        <row r="83">
          <cell r="A83" t="str">
            <v>Poland</v>
          </cell>
          <cell r="B83">
            <v>0.64</v>
          </cell>
          <cell r="C83">
            <v>0.36</v>
          </cell>
        </row>
        <row r="84">
          <cell r="A84" t="str">
            <v>Jamaica</v>
          </cell>
        </row>
        <row r="85">
          <cell r="A85" t="str">
            <v>Belgium</v>
          </cell>
          <cell r="B85">
            <v>0.65</v>
          </cell>
          <cell r="C85">
            <v>0.35</v>
          </cell>
        </row>
        <row r="86">
          <cell r="A86" t="str">
            <v>Romania</v>
          </cell>
          <cell r="B86">
            <v>0.55000000000000004</v>
          </cell>
          <cell r="C86">
            <v>0.45</v>
          </cell>
        </row>
        <row r="87">
          <cell r="A87" t="str">
            <v>Bulgaria</v>
          </cell>
          <cell r="B87">
            <v>0.57999999999999996</v>
          </cell>
          <cell r="C87">
            <v>0.42</v>
          </cell>
        </row>
        <row r="88">
          <cell r="A88" t="str">
            <v>Brunei</v>
          </cell>
        </row>
        <row r="89">
          <cell r="A89" t="str">
            <v>Egypt</v>
          </cell>
          <cell r="B89">
            <v>0.67</v>
          </cell>
          <cell r="C89">
            <v>0.33</v>
          </cell>
        </row>
        <row r="90">
          <cell r="A90" t="str">
            <v>Qatar</v>
          </cell>
        </row>
        <row r="91">
          <cell r="A91" t="str">
            <v>Palestine</v>
          </cell>
        </row>
        <row r="92">
          <cell r="A92" t="str">
            <v>Moldova</v>
          </cell>
        </row>
        <row r="93">
          <cell r="A93" t="str">
            <v>Serbia</v>
          </cell>
          <cell r="B93">
            <v>0.47</v>
          </cell>
          <cell r="C93">
            <v>0.53</v>
          </cell>
        </row>
        <row r="94">
          <cell r="A94" t="str">
            <v>Zambia</v>
          </cell>
        </row>
        <row r="95">
          <cell r="A95" t="str">
            <v>Jordan</v>
          </cell>
        </row>
        <row r="96">
          <cell r="A96" t="str">
            <v>Libya</v>
          </cell>
        </row>
        <row r="97">
          <cell r="A97" t="str">
            <v>Cameroon</v>
          </cell>
        </row>
        <row r="98">
          <cell r="A98" t="str">
            <v>Bolivia</v>
          </cell>
        </row>
        <row r="99">
          <cell r="A99" t="str">
            <v>Peru</v>
          </cell>
          <cell r="B99">
            <v>0.76</v>
          </cell>
          <cell r="C99">
            <v>0.24</v>
          </cell>
        </row>
        <row r="100">
          <cell r="A100" t="str">
            <v>Slovakia</v>
          </cell>
          <cell r="B100">
            <v>0.55000000000000004</v>
          </cell>
          <cell r="C100">
            <v>0.45</v>
          </cell>
        </row>
        <row r="101">
          <cell r="A101" t="str">
            <v>Somalia</v>
          </cell>
        </row>
        <row r="102">
          <cell r="A102" t="str">
            <v>Yemen</v>
          </cell>
        </row>
        <row r="103">
          <cell r="A103" t="str">
            <v>France</v>
          </cell>
          <cell r="B103">
            <v>0.62</v>
          </cell>
          <cell r="C103">
            <v>0.38</v>
          </cell>
        </row>
        <row r="104">
          <cell r="A104" t="str">
            <v>Georgia</v>
          </cell>
        </row>
        <row r="105">
          <cell r="A105" t="str">
            <v>Albania</v>
          </cell>
        </row>
        <row r="106">
          <cell r="A106" t="str">
            <v>Colombia</v>
          </cell>
          <cell r="B106">
            <v>0.8</v>
          </cell>
          <cell r="C106">
            <v>0.2</v>
          </cell>
        </row>
        <row r="107">
          <cell r="A107" t="str">
            <v>Morocco</v>
          </cell>
          <cell r="B107">
            <v>0.65</v>
          </cell>
          <cell r="C107">
            <v>0.35</v>
          </cell>
        </row>
        <row r="108">
          <cell r="A108" t="str">
            <v>Italy</v>
          </cell>
          <cell r="B108">
            <v>0.7</v>
          </cell>
          <cell r="C108">
            <v>0.3</v>
          </cell>
        </row>
        <row r="109">
          <cell r="A109" t="str">
            <v>Spain</v>
          </cell>
          <cell r="B109">
            <v>0.7</v>
          </cell>
          <cell r="C109">
            <v>0.3</v>
          </cell>
        </row>
        <row r="110">
          <cell r="A110" t="str">
            <v>Hungary</v>
          </cell>
          <cell r="B110">
            <v>0.51</v>
          </cell>
          <cell r="C110">
            <v>0.49</v>
          </cell>
        </row>
        <row r="111">
          <cell r="A111" t="str">
            <v>Ecuador</v>
          </cell>
        </row>
        <row r="112">
          <cell r="A112" t="str">
            <v>Chile</v>
          </cell>
          <cell r="B112">
            <v>0.7</v>
          </cell>
          <cell r="C112">
            <v>0.3</v>
          </cell>
        </row>
        <row r="113">
          <cell r="A113" t="str">
            <v>Oman</v>
          </cell>
        </row>
        <row r="114">
          <cell r="A114" t="str">
            <v>Bahrain</v>
          </cell>
        </row>
        <row r="115">
          <cell r="A115" t="str">
            <v>Bosnia &amp; Herzegovina</v>
          </cell>
        </row>
        <row r="116">
          <cell r="A116" t="str">
            <v>Thailand</v>
          </cell>
          <cell r="B116">
            <v>0.55000000000000004</v>
          </cell>
          <cell r="C116">
            <v>0.45</v>
          </cell>
        </row>
        <row r="117">
          <cell r="A117" t="str">
            <v>Costa Rica</v>
          </cell>
        </row>
        <row r="118">
          <cell r="A118" t="str">
            <v>Mexico</v>
          </cell>
          <cell r="B118">
            <v>0.75</v>
          </cell>
          <cell r="C118">
            <v>0.25</v>
          </cell>
        </row>
        <row r="119">
          <cell r="A119" t="str">
            <v>Turkey</v>
          </cell>
          <cell r="B119">
            <v>0.66</v>
          </cell>
          <cell r="C119">
            <v>0.34</v>
          </cell>
        </row>
        <row r="120">
          <cell r="A120" t="str">
            <v>Uruguay</v>
          </cell>
        </row>
        <row r="121">
          <cell r="A121" t="str">
            <v>Azerbaijan</v>
          </cell>
        </row>
        <row r="122">
          <cell r="A122" t="str">
            <v>Brazil</v>
          </cell>
          <cell r="B122">
            <v>0.65</v>
          </cell>
          <cell r="C122">
            <v>0.35</v>
          </cell>
        </row>
        <row r="123">
          <cell r="A123" t="str">
            <v>Saudi Arabia</v>
          </cell>
          <cell r="B123">
            <v>0.6</v>
          </cell>
          <cell r="C123">
            <v>0.4</v>
          </cell>
        </row>
        <row r="124">
          <cell r="A124" t="str">
            <v>Panama</v>
          </cell>
        </row>
        <row r="125">
          <cell r="A125" t="str">
            <v>Puerto Rico</v>
          </cell>
        </row>
        <row r="126">
          <cell r="A126" t="str">
            <v>Vietnam</v>
          </cell>
          <cell r="B126">
            <v>0.51</v>
          </cell>
          <cell r="C126">
            <v>0.49</v>
          </cell>
        </row>
        <row r="127">
          <cell r="A127" t="str">
            <v>El Salvador</v>
          </cell>
        </row>
        <row r="128">
          <cell r="A128" t="str">
            <v>Argentina</v>
          </cell>
          <cell r="B128">
            <v>0.66</v>
          </cell>
          <cell r="C128">
            <v>0.34</v>
          </cell>
        </row>
        <row r="129">
          <cell r="A129" t="str">
            <v>Mali</v>
          </cell>
        </row>
        <row r="130">
          <cell r="A130" t="str">
            <v>Kuwait</v>
          </cell>
        </row>
        <row r="131">
          <cell r="A131" t="str">
            <v>Honduras</v>
          </cell>
        </row>
        <row r="132">
          <cell r="A132" t="str">
            <v>Dominican Republic</v>
          </cell>
        </row>
        <row r="133">
          <cell r="A133" t="str">
            <v>Paraguay</v>
          </cell>
        </row>
        <row r="134">
          <cell r="A134" t="str">
            <v>Guatemala</v>
          </cell>
        </row>
        <row r="135">
          <cell r="A135" t="str">
            <v>Burkina Faso</v>
          </cell>
        </row>
        <row r="136">
          <cell r="A136" t="str">
            <v>Venezuela</v>
          </cell>
        </row>
        <row r="137">
          <cell r="A137" t="str">
            <v>CÃ´te dâ€™Ivoire</v>
          </cell>
        </row>
        <row r="138">
          <cell r="A138" t="str">
            <v>RÃ©union</v>
          </cell>
        </row>
        <row r="139">
          <cell r="A139" t="str">
            <v>North Korea</v>
          </cell>
        </row>
        <row r="140">
          <cell r="A140" t="str">
            <v>Eritrea</v>
          </cell>
        </row>
        <row r="141">
          <cell r="A141" t="str">
            <v>Marshall Islands</v>
          </cell>
        </row>
        <row r="142">
          <cell r="A142" t="str">
            <v>Micronesia</v>
          </cell>
        </row>
        <row r="143">
          <cell r="A143" t="str">
            <v>Ã…land Islands</v>
          </cell>
        </row>
        <row r="144">
          <cell r="A144" t="str">
            <v>Caribbean Netherlands</v>
          </cell>
        </row>
        <row r="145">
          <cell r="A145" t="str">
            <v>Seychelles</v>
          </cell>
        </row>
        <row r="146">
          <cell r="A146" t="str">
            <v>South Sudan</v>
          </cell>
        </row>
        <row r="147">
          <cell r="A147" t="str">
            <v>British Virgin Islands</v>
          </cell>
        </row>
        <row r="148">
          <cell r="A148" t="str">
            <v>Solomon Islands</v>
          </cell>
        </row>
        <row r="149">
          <cell r="A149" t="str">
            <v>Eswatini</v>
          </cell>
        </row>
        <row r="150">
          <cell r="A150" t="str">
            <v>U.S. Virgin Islands</v>
          </cell>
        </row>
        <row r="151">
          <cell r="A151" t="str">
            <v>St. Vincent &amp; Grenadines</v>
          </cell>
        </row>
        <row r="152">
          <cell r="A152" t="str">
            <v>Equatorial Guinea</v>
          </cell>
        </row>
        <row r="153">
          <cell r="A153" t="str">
            <v>Liechtenstein</v>
          </cell>
        </row>
        <row r="154">
          <cell r="A154" t="str">
            <v>Turks &amp; Caicos Islands</v>
          </cell>
        </row>
        <row r="155">
          <cell r="A155" t="str">
            <v>Faroe Islands</v>
          </cell>
        </row>
        <row r="156">
          <cell r="A156" t="str">
            <v>Dominica</v>
          </cell>
        </row>
        <row r="157">
          <cell r="A157" t="str">
            <v>Djibouti</v>
          </cell>
        </row>
        <row r="158">
          <cell r="A158" t="str">
            <v>Timor-Leste</v>
          </cell>
        </row>
        <row r="159">
          <cell r="A159" t="str">
            <v>Antigua &amp; Barbuda</v>
          </cell>
        </row>
        <row r="160">
          <cell r="A160" t="str">
            <v>Monaco</v>
          </cell>
        </row>
        <row r="161">
          <cell r="A161" t="str">
            <v>St. Kitts &amp; Nevis</v>
          </cell>
        </row>
        <row r="162">
          <cell r="A162" t="str">
            <v>Lesotho</v>
          </cell>
        </row>
        <row r="163">
          <cell r="A163" t="str">
            <v>Isle of Man</v>
          </cell>
        </row>
        <row r="164">
          <cell r="A164" t="str">
            <v>Grenada</v>
          </cell>
        </row>
        <row r="165">
          <cell r="A165" t="str">
            <v>Fiji</v>
          </cell>
        </row>
        <row r="166">
          <cell r="A166" t="str">
            <v>Malawi</v>
          </cell>
        </row>
        <row r="167">
          <cell r="A167" t="str">
            <v>Guernsey</v>
          </cell>
        </row>
        <row r="168">
          <cell r="A168" t="str">
            <v>Bahamas</v>
          </cell>
        </row>
        <row r="169">
          <cell r="A169" t="str">
            <v>Namibia</v>
          </cell>
        </row>
        <row r="170">
          <cell r="A170" t="str">
            <v>Guyana</v>
          </cell>
        </row>
        <row r="171">
          <cell r="A171" t="str">
            <v>Bermuda</v>
          </cell>
        </row>
        <row r="172">
          <cell r="A172" t="str">
            <v>Maldives</v>
          </cell>
        </row>
        <row r="173">
          <cell r="A173" t="str">
            <v>Gibraltar</v>
          </cell>
        </row>
        <row r="174">
          <cell r="A174" t="str">
            <v>Gambia</v>
          </cell>
        </row>
        <row r="175">
          <cell r="A175" t="str">
            <v>Burundi</v>
          </cell>
        </row>
        <row r="176">
          <cell r="A176" t="str">
            <v>Afghanistan</v>
          </cell>
        </row>
        <row r="177">
          <cell r="A177" t="str">
            <v>CuraÃ§ao</v>
          </cell>
        </row>
        <row r="178">
          <cell r="A178" t="str">
            <v>Suriname</v>
          </cell>
        </row>
        <row r="179">
          <cell r="A179" t="str">
            <v>Haiti</v>
          </cell>
        </row>
        <row r="180">
          <cell r="A180" t="str">
            <v>Jersey</v>
          </cell>
        </row>
        <row r="181">
          <cell r="A181" t="str">
            <v>Aruba</v>
          </cell>
        </row>
        <row r="182">
          <cell r="A182" t="str">
            <v>Liberia</v>
          </cell>
        </row>
        <row r="183">
          <cell r="A183" t="str">
            <v>Chad</v>
          </cell>
        </row>
        <row r="184">
          <cell r="A184" t="str">
            <v>Belize</v>
          </cell>
        </row>
        <row r="185">
          <cell r="A185" t="str">
            <v>St. Lucia</v>
          </cell>
        </row>
        <row r="186">
          <cell r="A186" t="str">
            <v>Papua New Guinea</v>
          </cell>
        </row>
        <row r="187">
          <cell r="A187" t="str">
            <v>Barbados</v>
          </cell>
        </row>
        <row r="188">
          <cell r="A188" t="str">
            <v>Montenegro</v>
          </cell>
        </row>
        <row r="189">
          <cell r="A189" t="str">
            <v>Guam</v>
          </cell>
        </row>
        <row r="190">
          <cell r="A190" t="str">
            <v>Kosovo</v>
          </cell>
        </row>
        <row r="191">
          <cell r="A191" t="str">
            <v>Andorra</v>
          </cell>
        </row>
        <row r="192">
          <cell r="A192" t="str">
            <v>Turkmenistan</v>
          </cell>
        </row>
        <row r="193">
          <cell r="A193" t="str">
            <v>Congo - Brazzaville</v>
          </cell>
        </row>
        <row r="194">
          <cell r="A194" t="str">
            <v>Congo - Kinshasa</v>
          </cell>
        </row>
        <row r="195">
          <cell r="A195" t="str">
            <v>Cape Verde</v>
          </cell>
        </row>
        <row r="196">
          <cell r="A196" t="str">
            <v>Sierra Leone</v>
          </cell>
        </row>
        <row r="197">
          <cell r="A197" t="str">
            <v>Senegal</v>
          </cell>
        </row>
        <row r="198">
          <cell r="A198" t="str">
            <v>Benin</v>
          </cell>
        </row>
        <row r="199">
          <cell r="A199" t="str">
            <v>Angola</v>
          </cell>
        </row>
        <row r="200">
          <cell r="A200" t="str">
            <v>Mozambique</v>
          </cell>
        </row>
        <row r="201">
          <cell r="A201" t="str">
            <v>Nicaragua</v>
          </cell>
        </row>
        <row r="202">
          <cell r="A202" t="str">
            <v>New Caledonia</v>
          </cell>
        </row>
        <row r="203">
          <cell r="A203" t="str">
            <v>Mauritania</v>
          </cell>
        </row>
        <row r="204">
          <cell r="A204" t="str">
            <v>Gabon</v>
          </cell>
        </row>
        <row r="205">
          <cell r="A205" t="str">
            <v>Martinique</v>
          </cell>
        </row>
        <row r="206">
          <cell r="A206" t="str">
            <v>Guadeloupe</v>
          </cell>
        </row>
        <row r="207">
          <cell r="A207" t="str">
            <v>Anguilla</v>
          </cell>
        </row>
        <row r="208">
          <cell r="A208" t="str">
            <v>American Samoa</v>
          </cell>
        </row>
        <row r="209">
          <cell r="A209" t="str">
            <v>Antarctica</v>
          </cell>
        </row>
        <row r="210">
          <cell r="A210" t="str">
            <v>French Southern Territories</v>
          </cell>
        </row>
        <row r="211">
          <cell r="A211" t="str">
            <v>St. BarthÃ©lemy</v>
          </cell>
        </row>
        <row r="212">
          <cell r="A212" t="str">
            <v>Bouvet Island</v>
          </cell>
        </row>
        <row r="213">
          <cell r="A213" t="str">
            <v>Central African Republic</v>
          </cell>
        </row>
        <row r="214">
          <cell r="A214" t="str">
            <v>Cocos (Keeling) Islands</v>
          </cell>
        </row>
        <row r="215">
          <cell r="A215" t="str">
            <v>Cook Islands</v>
          </cell>
        </row>
        <row r="216">
          <cell r="A216" t="str">
            <v>Comoros</v>
          </cell>
        </row>
        <row r="217">
          <cell r="A217" t="str">
            <v>Christmas Island</v>
          </cell>
        </row>
        <row r="218">
          <cell r="A218" t="str">
            <v>Cayman Islands</v>
          </cell>
        </row>
        <row r="219">
          <cell r="A219" t="str">
            <v>Western Sahara</v>
          </cell>
        </row>
        <row r="220">
          <cell r="A220" t="str">
            <v>Falkland Islands (Islas Malvinas)</v>
          </cell>
        </row>
        <row r="221">
          <cell r="A221" t="str">
            <v>Guinea</v>
          </cell>
        </row>
        <row r="222">
          <cell r="A222" t="str">
            <v>Guinea-Bissau</v>
          </cell>
        </row>
        <row r="223">
          <cell r="A223" t="str">
            <v>Greenland</v>
          </cell>
        </row>
        <row r="224">
          <cell r="A224" t="str">
            <v>French Guiana</v>
          </cell>
        </row>
        <row r="225">
          <cell r="A225" t="str">
            <v>Heard &amp; McDonald Islands</v>
          </cell>
        </row>
        <row r="226">
          <cell r="A226" t="str">
            <v>British Indian Ocean Territory</v>
          </cell>
        </row>
        <row r="227">
          <cell r="A227" t="str">
            <v>Kiribati</v>
          </cell>
        </row>
        <row r="228">
          <cell r="A228" t="str">
            <v>St. Martin</v>
          </cell>
        </row>
        <row r="229">
          <cell r="A229" t="str">
            <v>Northern Mariana Islands</v>
          </cell>
        </row>
        <row r="230">
          <cell r="A230" t="str">
            <v>Montserrat</v>
          </cell>
        </row>
        <row r="231">
          <cell r="A231" t="str">
            <v>Mayotte</v>
          </cell>
        </row>
        <row r="232">
          <cell r="A232" t="str">
            <v>Niger</v>
          </cell>
        </row>
        <row r="233">
          <cell r="A233" t="str">
            <v>Norfolk Island</v>
          </cell>
        </row>
        <row r="234">
          <cell r="A234" t="str">
            <v>Niue</v>
          </cell>
        </row>
        <row r="235">
          <cell r="A235" t="str">
            <v>Nauru</v>
          </cell>
        </row>
        <row r="236">
          <cell r="A236" t="str">
            <v>Pitcairn Islands</v>
          </cell>
        </row>
        <row r="237">
          <cell r="A237" t="str">
            <v>Palau</v>
          </cell>
        </row>
        <row r="238">
          <cell r="A238" t="str">
            <v>French Polynesia</v>
          </cell>
        </row>
        <row r="239">
          <cell r="A239" t="str">
            <v>South Georgia &amp; South Sandwich Islands</v>
          </cell>
        </row>
        <row r="240">
          <cell r="A240" t="str">
            <v>Svalbard &amp; Jan Mayen</v>
          </cell>
        </row>
        <row r="241">
          <cell r="A241" t="str">
            <v>San Marino</v>
          </cell>
        </row>
        <row r="242">
          <cell r="A242" t="str">
            <v>St. Pierre &amp; Miquelon</v>
          </cell>
        </row>
        <row r="243">
          <cell r="A243" t="str">
            <v>SÃ£o TomÃ© &amp; PrÃ­ncipe</v>
          </cell>
        </row>
        <row r="244">
          <cell r="A244" t="str">
            <v>Sint Maarten</v>
          </cell>
        </row>
        <row r="245">
          <cell r="A245" t="str">
            <v>Togo</v>
          </cell>
        </row>
        <row r="246">
          <cell r="A246" t="str">
            <v>Tokelau</v>
          </cell>
        </row>
        <row r="247">
          <cell r="A247" t="str">
            <v>Tonga</v>
          </cell>
        </row>
        <row r="248">
          <cell r="A248" t="str">
            <v>Tuvalu</v>
          </cell>
        </row>
        <row r="249">
          <cell r="A249" t="str">
            <v>U.S. Outlying Islands</v>
          </cell>
        </row>
        <row r="250">
          <cell r="A250" t="str">
            <v>Vatican City</v>
          </cell>
        </row>
        <row r="251">
          <cell r="A251" t="str">
            <v>Vanuatu</v>
          </cell>
        </row>
        <row r="252">
          <cell r="A252" t="str">
            <v>Wallis &amp; Futuna</v>
          </cell>
        </row>
        <row r="253">
          <cell r="A253" t="str">
            <v>Samoa</v>
          </cell>
        </row>
      </sheetData>
    </sheetDataSet>
  </externalBook>
</externalLink>
</file>

<file path=xl/externalLinks/externalLink2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33)"/>
    </sheetNames>
    <sheetDataSet>
      <sheetData sheetId="0">
        <row r="1">
          <cell r="A1" t="str">
            <v>Category: All categories</v>
          </cell>
        </row>
        <row r="3">
          <cell r="A3" t="str">
            <v>Country</v>
          </cell>
          <cell r="B3" t="str">
            <v>C++: (2017)</v>
          </cell>
          <cell r="C3" t="str">
            <v>Logistic regression: (2017)</v>
          </cell>
        </row>
        <row r="4">
          <cell r="A4" t="str">
            <v>North Korea</v>
          </cell>
        </row>
        <row r="5">
          <cell r="A5" t="str">
            <v>China</v>
          </cell>
          <cell r="B5">
            <v>0.96</v>
          </cell>
          <cell r="C5">
            <v>0.04</v>
          </cell>
        </row>
        <row r="6">
          <cell r="A6" t="str">
            <v>Ethiopia</v>
          </cell>
          <cell r="B6">
            <v>0.92</v>
          </cell>
          <cell r="C6">
            <v>0.08</v>
          </cell>
        </row>
        <row r="7">
          <cell r="A7" t="str">
            <v>Cuba</v>
          </cell>
        </row>
        <row r="8">
          <cell r="A8" t="str">
            <v>South Korea</v>
          </cell>
          <cell r="B8">
            <v>0.96</v>
          </cell>
          <cell r="C8">
            <v>0.04</v>
          </cell>
        </row>
        <row r="9">
          <cell r="A9" t="str">
            <v>Pakistan</v>
          </cell>
          <cell r="B9">
            <v>0.99</v>
          </cell>
          <cell r="C9">
            <v>0.01</v>
          </cell>
        </row>
        <row r="10">
          <cell r="A10" t="str">
            <v>Lesotho</v>
          </cell>
        </row>
        <row r="11">
          <cell r="A11" t="str">
            <v>Tonga</v>
          </cell>
        </row>
        <row r="12">
          <cell r="A12" t="str">
            <v>Armenia</v>
          </cell>
        </row>
        <row r="13">
          <cell r="A13" t="str">
            <v>Iceland</v>
          </cell>
        </row>
        <row r="14">
          <cell r="A14" t="str">
            <v>Romania</v>
          </cell>
          <cell r="B14">
            <v>1</v>
          </cell>
          <cell r="C14" t="str">
            <v>&lt;1%</v>
          </cell>
        </row>
        <row r="15">
          <cell r="A15" t="str">
            <v>Fiji</v>
          </cell>
        </row>
        <row r="16">
          <cell r="A16" t="str">
            <v>Rwanda</v>
          </cell>
        </row>
        <row r="17">
          <cell r="A17" t="str">
            <v>India</v>
          </cell>
          <cell r="B17">
            <v>0.98</v>
          </cell>
          <cell r="C17">
            <v>0.02</v>
          </cell>
        </row>
        <row r="18">
          <cell r="A18" t="str">
            <v>Belarus</v>
          </cell>
        </row>
        <row r="19">
          <cell r="A19" t="str">
            <v>Israel</v>
          </cell>
          <cell r="B19">
            <v>0.98</v>
          </cell>
          <cell r="C19">
            <v>0.02</v>
          </cell>
        </row>
        <row r="20">
          <cell r="A20" t="str">
            <v>St. Helena</v>
          </cell>
          <cell r="B20">
            <v>0.97</v>
          </cell>
          <cell r="C20">
            <v>0.03</v>
          </cell>
        </row>
        <row r="21">
          <cell r="A21" t="str">
            <v>Faroe Islands</v>
          </cell>
        </row>
        <row r="22">
          <cell r="A22" t="str">
            <v>Malawi</v>
          </cell>
        </row>
        <row r="23">
          <cell r="A23" t="str">
            <v>Taiwan</v>
          </cell>
          <cell r="B23">
            <v>0.98</v>
          </cell>
          <cell r="C23">
            <v>0.02</v>
          </cell>
        </row>
        <row r="24">
          <cell r="A24" t="str">
            <v>Singapore</v>
          </cell>
          <cell r="B24">
            <v>0.93</v>
          </cell>
          <cell r="C24">
            <v>7.0000000000000007E-2</v>
          </cell>
        </row>
        <row r="25">
          <cell r="A25" t="str">
            <v>Poland</v>
          </cell>
          <cell r="B25">
            <v>1</v>
          </cell>
          <cell r="C25" t="str">
            <v>&lt;1%</v>
          </cell>
        </row>
        <row r="26">
          <cell r="A26" t="str">
            <v>Belize</v>
          </cell>
        </row>
        <row r="27">
          <cell r="A27" t="str">
            <v>Lithuania</v>
          </cell>
        </row>
        <row r="28">
          <cell r="A28" t="str">
            <v>Uzbekistan</v>
          </cell>
        </row>
        <row r="29">
          <cell r="A29" t="str">
            <v>Guatemala</v>
          </cell>
          <cell r="B29">
            <v>1</v>
          </cell>
        </row>
        <row r="30">
          <cell r="A30" t="str">
            <v>Nepal</v>
          </cell>
        </row>
        <row r="31">
          <cell r="A31" t="str">
            <v>Honduras</v>
          </cell>
        </row>
        <row r="32">
          <cell r="A32" t="str">
            <v>Russia</v>
          </cell>
          <cell r="B32">
            <v>0.99</v>
          </cell>
          <cell r="C32">
            <v>0.01</v>
          </cell>
        </row>
        <row r="33">
          <cell r="A33" t="str">
            <v>Zimbabwe</v>
          </cell>
        </row>
        <row r="34">
          <cell r="A34" t="str">
            <v>Bosnia &amp; Herzegovina</v>
          </cell>
          <cell r="B34">
            <v>1</v>
          </cell>
        </row>
        <row r="35">
          <cell r="A35" t="str">
            <v>North Macedonia</v>
          </cell>
        </row>
        <row r="36">
          <cell r="A36" t="str">
            <v>Bulgaria</v>
          </cell>
        </row>
        <row r="37">
          <cell r="A37" t="str">
            <v>Czechia</v>
          </cell>
          <cell r="B37">
            <v>0.99</v>
          </cell>
          <cell r="C37">
            <v>0.01</v>
          </cell>
        </row>
        <row r="38">
          <cell r="A38" t="str">
            <v>Eswatini</v>
          </cell>
        </row>
        <row r="39">
          <cell r="A39" t="str">
            <v>Bangladesh</v>
          </cell>
          <cell r="B39">
            <v>0.98</v>
          </cell>
          <cell r="C39">
            <v>0.02</v>
          </cell>
        </row>
        <row r="40">
          <cell r="A40" t="str">
            <v>Ukraine</v>
          </cell>
          <cell r="B40">
            <v>1</v>
          </cell>
          <cell r="C40" t="str">
            <v>&lt;1%</v>
          </cell>
        </row>
        <row r="41">
          <cell r="A41" t="str">
            <v>Hong Kong</v>
          </cell>
          <cell r="B41">
            <v>0.93</v>
          </cell>
          <cell r="C41">
            <v>7.0000000000000007E-2</v>
          </cell>
        </row>
        <row r="42">
          <cell r="A42" t="str">
            <v>Benin</v>
          </cell>
        </row>
        <row r="43">
          <cell r="A43" t="str">
            <v>Latvia</v>
          </cell>
        </row>
        <row r="44">
          <cell r="A44" t="str">
            <v>Cyprus</v>
          </cell>
        </row>
        <row r="45">
          <cell r="A45" t="str">
            <v>Iran</v>
          </cell>
          <cell r="B45">
            <v>0.98</v>
          </cell>
          <cell r="C45">
            <v>0.02</v>
          </cell>
        </row>
        <row r="46">
          <cell r="A46" t="str">
            <v>Germany</v>
          </cell>
          <cell r="B46">
            <v>0.98</v>
          </cell>
          <cell r="C46">
            <v>0.02</v>
          </cell>
        </row>
        <row r="47">
          <cell r="A47" t="str">
            <v>Madagascar</v>
          </cell>
        </row>
        <row r="48">
          <cell r="A48" t="str">
            <v>Afghanistan</v>
          </cell>
        </row>
        <row r="49">
          <cell r="A49" t="str">
            <v>Slovenia</v>
          </cell>
        </row>
        <row r="50">
          <cell r="A50" t="str">
            <v>Mongolia</v>
          </cell>
        </row>
        <row r="51">
          <cell r="A51" t="str">
            <v>Switzerland</v>
          </cell>
          <cell r="B51">
            <v>0.95</v>
          </cell>
          <cell r="C51">
            <v>0.05</v>
          </cell>
        </row>
        <row r="52">
          <cell r="A52" t="str">
            <v>Albania</v>
          </cell>
        </row>
        <row r="53">
          <cell r="A53" t="str">
            <v>Sweden</v>
          </cell>
          <cell r="B53">
            <v>0.96</v>
          </cell>
          <cell r="C53">
            <v>0.04</v>
          </cell>
        </row>
        <row r="54">
          <cell r="A54" t="str">
            <v>Moldova</v>
          </cell>
        </row>
        <row r="55">
          <cell r="A55" t="str">
            <v>Jordan</v>
          </cell>
        </row>
        <row r="56">
          <cell r="A56" t="str">
            <v>Austria</v>
          </cell>
          <cell r="B56">
            <v>0.98</v>
          </cell>
          <cell r="C56">
            <v>0.02</v>
          </cell>
        </row>
        <row r="57">
          <cell r="A57" t="str">
            <v>Hungary</v>
          </cell>
          <cell r="B57">
            <v>0.99</v>
          </cell>
          <cell r="C57">
            <v>0.01</v>
          </cell>
        </row>
        <row r="58">
          <cell r="A58" t="str">
            <v>Finland</v>
          </cell>
          <cell r="B58">
            <v>0.96</v>
          </cell>
          <cell r="C58">
            <v>0.04</v>
          </cell>
        </row>
        <row r="59">
          <cell r="A59" t="str">
            <v>Philippines</v>
          </cell>
          <cell r="B59">
            <v>0.97</v>
          </cell>
          <cell r="C59">
            <v>0.03</v>
          </cell>
        </row>
        <row r="60">
          <cell r="A60" t="str">
            <v>Serbia</v>
          </cell>
        </row>
        <row r="61">
          <cell r="A61" t="str">
            <v>Ecuador</v>
          </cell>
          <cell r="B61">
            <v>0.99</v>
          </cell>
          <cell r="C61">
            <v>0.01</v>
          </cell>
        </row>
        <row r="62">
          <cell r="A62" t="str">
            <v>Sri Lanka</v>
          </cell>
          <cell r="B62">
            <v>0.96</v>
          </cell>
          <cell r="C62">
            <v>0.04</v>
          </cell>
        </row>
        <row r="63">
          <cell r="A63" t="str">
            <v>Sudan</v>
          </cell>
        </row>
        <row r="64">
          <cell r="A64" t="str">
            <v>Canada</v>
          </cell>
          <cell r="B64">
            <v>0.95</v>
          </cell>
          <cell r="C64">
            <v>0.05</v>
          </cell>
        </row>
        <row r="65">
          <cell r="A65" t="str">
            <v>Somalia</v>
          </cell>
        </row>
        <row r="66">
          <cell r="A66" t="str">
            <v>Tunisia</v>
          </cell>
        </row>
        <row r="67">
          <cell r="A67" t="str">
            <v>Slovakia</v>
          </cell>
        </row>
        <row r="68">
          <cell r="A68" t="str">
            <v>Kazakhstan</v>
          </cell>
        </row>
        <row r="69">
          <cell r="A69" t="str">
            <v>Croatia</v>
          </cell>
        </row>
        <row r="70">
          <cell r="A70" t="str">
            <v>Estonia</v>
          </cell>
        </row>
        <row r="71">
          <cell r="A71" t="str">
            <v>Botswana</v>
          </cell>
        </row>
        <row r="72">
          <cell r="A72" t="str">
            <v>Ghana</v>
          </cell>
        </row>
        <row r="73">
          <cell r="A73" t="str">
            <v>United States</v>
          </cell>
          <cell r="B73">
            <v>0.94</v>
          </cell>
          <cell r="C73">
            <v>0.06</v>
          </cell>
        </row>
        <row r="74">
          <cell r="A74" t="str">
            <v>Egypt</v>
          </cell>
          <cell r="B74">
            <v>0.99</v>
          </cell>
          <cell r="C74">
            <v>0.01</v>
          </cell>
        </row>
        <row r="75">
          <cell r="A75" t="str">
            <v>Laos</v>
          </cell>
        </row>
        <row r="76">
          <cell r="A76" t="str">
            <v>Norway</v>
          </cell>
          <cell r="B76">
            <v>0.96</v>
          </cell>
          <cell r="C76">
            <v>0.04</v>
          </cell>
        </row>
        <row r="77">
          <cell r="A77" t="str">
            <v>Bolivia</v>
          </cell>
        </row>
        <row r="78">
          <cell r="A78" t="str">
            <v>Vietnam</v>
          </cell>
          <cell r="B78">
            <v>0.99</v>
          </cell>
          <cell r="C78">
            <v>0.01</v>
          </cell>
        </row>
        <row r="79">
          <cell r="A79" t="str">
            <v>Mexico</v>
          </cell>
          <cell r="B79">
            <v>0.99</v>
          </cell>
          <cell r="C79">
            <v>0.01</v>
          </cell>
        </row>
        <row r="80">
          <cell r="A80" t="str">
            <v>Cameroon</v>
          </cell>
        </row>
        <row r="81">
          <cell r="A81" t="str">
            <v>Georgia</v>
          </cell>
        </row>
        <row r="82">
          <cell r="A82" t="str">
            <v>Japan</v>
          </cell>
          <cell r="B82">
            <v>0.97</v>
          </cell>
          <cell r="C82">
            <v>0.03</v>
          </cell>
        </row>
        <row r="83">
          <cell r="A83" t="str">
            <v>Togo</v>
          </cell>
        </row>
        <row r="84">
          <cell r="A84" t="str">
            <v>Myanmar (Burma)</v>
          </cell>
        </row>
        <row r="85">
          <cell r="A85" t="str">
            <v>Malaysia</v>
          </cell>
          <cell r="B85">
            <v>0.96</v>
          </cell>
          <cell r="C85">
            <v>0.04</v>
          </cell>
        </row>
        <row r="86">
          <cell r="A86" t="str">
            <v>Angola</v>
          </cell>
        </row>
        <row r="87">
          <cell r="A87" t="str">
            <v>Syria</v>
          </cell>
        </row>
        <row r="88">
          <cell r="A88" t="str">
            <v>Cape Verde</v>
          </cell>
        </row>
        <row r="89">
          <cell r="A89" t="str">
            <v>Costa Rica</v>
          </cell>
        </row>
        <row r="90">
          <cell r="A90" t="str">
            <v>Portugal</v>
          </cell>
          <cell r="B90">
            <v>0.96</v>
          </cell>
          <cell r="C90">
            <v>0.04</v>
          </cell>
        </row>
        <row r="91">
          <cell r="A91" t="str">
            <v>Lebanon</v>
          </cell>
        </row>
        <row r="92">
          <cell r="A92" t="str">
            <v>Libya</v>
          </cell>
        </row>
        <row r="93">
          <cell r="A93" t="str">
            <v>Nicaragua</v>
          </cell>
        </row>
        <row r="94">
          <cell r="A94" t="str">
            <v>Papua New Guinea</v>
          </cell>
        </row>
        <row r="95">
          <cell r="A95" t="str">
            <v>Bhutan</v>
          </cell>
        </row>
        <row r="96">
          <cell r="A96" t="str">
            <v>Cambodia</v>
          </cell>
        </row>
        <row r="97">
          <cell r="A97" t="str">
            <v>Peru</v>
          </cell>
          <cell r="B97">
            <v>0.97</v>
          </cell>
          <cell r="C97">
            <v>0.03</v>
          </cell>
        </row>
        <row r="98">
          <cell r="A98" t="str">
            <v>Azerbaijan</v>
          </cell>
        </row>
        <row r="99">
          <cell r="A99" t="str">
            <v>Yemen</v>
          </cell>
        </row>
        <row r="100">
          <cell r="A100" t="str">
            <v>Oman</v>
          </cell>
        </row>
        <row r="101">
          <cell r="A101" t="str">
            <v>Kyrgyzstan</v>
          </cell>
        </row>
        <row r="102">
          <cell r="A102" t="str">
            <v>Netherlands</v>
          </cell>
          <cell r="B102">
            <v>0.91</v>
          </cell>
          <cell r="C102">
            <v>0.09</v>
          </cell>
        </row>
        <row r="103">
          <cell r="A103" t="str">
            <v>Barbados</v>
          </cell>
        </row>
        <row r="104">
          <cell r="A104" t="str">
            <v>Malta</v>
          </cell>
        </row>
        <row r="105">
          <cell r="A105" t="str">
            <v>Colombia</v>
          </cell>
          <cell r="B105">
            <v>0.98</v>
          </cell>
          <cell r="C105">
            <v>0.02</v>
          </cell>
        </row>
        <row r="106">
          <cell r="A106" t="str">
            <v>Kenya</v>
          </cell>
          <cell r="B106">
            <v>0.93</v>
          </cell>
          <cell r="C106">
            <v>7.0000000000000007E-2</v>
          </cell>
        </row>
        <row r="107">
          <cell r="A107" t="str">
            <v>El Salvador</v>
          </cell>
        </row>
        <row r="108">
          <cell r="A108" t="str">
            <v>Denmark</v>
          </cell>
          <cell r="B108">
            <v>0.91</v>
          </cell>
          <cell r="C108">
            <v>0.09</v>
          </cell>
        </row>
        <row r="109">
          <cell r="A109" t="str">
            <v>Greece</v>
          </cell>
          <cell r="B109">
            <v>0.97</v>
          </cell>
          <cell r="C109">
            <v>0.03</v>
          </cell>
        </row>
        <row r="110">
          <cell r="A110" t="str">
            <v>Uganda</v>
          </cell>
        </row>
        <row r="111">
          <cell r="A111" t="str">
            <v>France</v>
          </cell>
          <cell r="B111">
            <v>0.97</v>
          </cell>
          <cell r="C111">
            <v>0.03</v>
          </cell>
        </row>
        <row r="112">
          <cell r="A112" t="str">
            <v>Burundi</v>
          </cell>
        </row>
        <row r="113">
          <cell r="A113" t="str">
            <v>Mauritius</v>
          </cell>
        </row>
        <row r="114">
          <cell r="A114" t="str">
            <v>Trinidad &amp; Tobago</v>
          </cell>
        </row>
        <row r="115">
          <cell r="A115" t="str">
            <v>Panama</v>
          </cell>
        </row>
        <row r="116">
          <cell r="A116" t="str">
            <v>Zambia</v>
          </cell>
        </row>
        <row r="117">
          <cell r="A117" t="str">
            <v>New Zealand</v>
          </cell>
          <cell r="B117">
            <v>0.94</v>
          </cell>
          <cell r="C117">
            <v>0.06</v>
          </cell>
        </row>
        <row r="118">
          <cell r="A118" t="str">
            <v>Puerto Rico</v>
          </cell>
        </row>
        <row r="119">
          <cell r="A119" t="str">
            <v>Ireland</v>
          </cell>
          <cell r="B119">
            <v>0.9</v>
          </cell>
          <cell r="C119">
            <v>0.1</v>
          </cell>
        </row>
        <row r="120">
          <cell r="A120" t="str">
            <v>Brunei</v>
          </cell>
        </row>
        <row r="121">
          <cell r="A121" t="str">
            <v>Belgium</v>
          </cell>
          <cell r="B121">
            <v>0.93</v>
          </cell>
          <cell r="C121">
            <v>7.0000000000000007E-2</v>
          </cell>
        </row>
        <row r="122">
          <cell r="A122" t="str">
            <v>Tanzania</v>
          </cell>
        </row>
        <row r="123">
          <cell r="A123" t="str">
            <v>Palestine</v>
          </cell>
        </row>
        <row r="124">
          <cell r="A124" t="str">
            <v>South Africa</v>
          </cell>
          <cell r="B124">
            <v>0.95</v>
          </cell>
          <cell r="C124">
            <v>0.05</v>
          </cell>
        </row>
        <row r="125">
          <cell r="A125" t="str">
            <v>Jamaica</v>
          </cell>
        </row>
        <row r="126">
          <cell r="A126" t="str">
            <v>Indonesia</v>
          </cell>
          <cell r="B126">
            <v>0.96</v>
          </cell>
          <cell r="C126">
            <v>0.04</v>
          </cell>
        </row>
        <row r="127">
          <cell r="A127" t="str">
            <v>Sierra Leone</v>
          </cell>
        </row>
        <row r="128">
          <cell r="A128" t="str">
            <v>United Kingdom</v>
          </cell>
          <cell r="B128">
            <v>0.93</v>
          </cell>
          <cell r="C128">
            <v>7.0000000000000007E-2</v>
          </cell>
        </row>
        <row r="129">
          <cell r="A129" t="str">
            <v>Luxembourg</v>
          </cell>
        </row>
        <row r="130">
          <cell r="A130" t="str">
            <v>Australia</v>
          </cell>
          <cell r="B130">
            <v>0.92</v>
          </cell>
          <cell r="C130">
            <v>0.08</v>
          </cell>
        </row>
        <row r="131">
          <cell r="A131" t="str">
            <v>Italy</v>
          </cell>
          <cell r="B131">
            <v>0.98</v>
          </cell>
          <cell r="C131">
            <v>0.02</v>
          </cell>
        </row>
        <row r="132">
          <cell r="A132" t="str">
            <v>Morocco</v>
          </cell>
        </row>
        <row r="133">
          <cell r="A133" t="str">
            <v>Tajikistan</v>
          </cell>
        </row>
        <row r="134">
          <cell r="A134" t="str">
            <v>Algeria</v>
          </cell>
        </row>
        <row r="135">
          <cell r="A135" t="str">
            <v>Congo - Kinshasa</v>
          </cell>
        </row>
        <row r="136">
          <cell r="A136" t="str">
            <v>Spain</v>
          </cell>
          <cell r="B136">
            <v>0.97</v>
          </cell>
          <cell r="C136">
            <v>0.03</v>
          </cell>
        </row>
        <row r="137">
          <cell r="A137" t="str">
            <v>French Guiana</v>
          </cell>
        </row>
        <row r="138">
          <cell r="A138" t="str">
            <v>Bahrain</v>
          </cell>
        </row>
        <row r="139">
          <cell r="A139" t="str">
            <v>Macao</v>
          </cell>
        </row>
        <row r="140">
          <cell r="A140" t="str">
            <v>Maldives</v>
          </cell>
        </row>
        <row r="141">
          <cell r="A141" t="str">
            <v>Mozambique</v>
          </cell>
        </row>
        <row r="142">
          <cell r="A142" t="str">
            <v>St. Vincent &amp; Grenadines</v>
          </cell>
        </row>
        <row r="143">
          <cell r="A143" t="str">
            <v>Senegal</v>
          </cell>
        </row>
        <row r="144">
          <cell r="A144" t="str">
            <v>United Arab Emirates</v>
          </cell>
          <cell r="B144">
            <v>0.97</v>
          </cell>
          <cell r="C144">
            <v>0.03</v>
          </cell>
        </row>
        <row r="145">
          <cell r="A145" t="str">
            <v>Nigeria</v>
          </cell>
          <cell r="B145">
            <v>0.92</v>
          </cell>
          <cell r="C145">
            <v>0.08</v>
          </cell>
        </row>
        <row r="146">
          <cell r="A146" t="str">
            <v>Isle of Man</v>
          </cell>
        </row>
        <row r="147">
          <cell r="A147" t="str">
            <v>Namibia</v>
          </cell>
        </row>
        <row r="148">
          <cell r="A148" t="str">
            <v>Congo - Brazzaville</v>
          </cell>
        </row>
        <row r="149">
          <cell r="A149" t="str">
            <v>Paraguay</v>
          </cell>
        </row>
        <row r="150">
          <cell r="A150" t="str">
            <v>Gabon</v>
          </cell>
        </row>
        <row r="151">
          <cell r="A151" t="str">
            <v>Iraq</v>
          </cell>
        </row>
        <row r="152">
          <cell r="A152" t="str">
            <v>Turkmenistan</v>
          </cell>
        </row>
        <row r="153">
          <cell r="A153" t="str">
            <v>St. Kitts &amp; Nevis</v>
          </cell>
        </row>
        <row r="154">
          <cell r="A154" t="str">
            <v>Andorra</v>
          </cell>
        </row>
        <row r="155">
          <cell r="A155" t="str">
            <v>Venezuela</v>
          </cell>
        </row>
        <row r="156">
          <cell r="A156" t="str">
            <v>Kosovo</v>
          </cell>
        </row>
        <row r="157">
          <cell r="A157" t="str">
            <v>Dominican Republic</v>
          </cell>
        </row>
        <row r="158">
          <cell r="A158" t="str">
            <v>Niger</v>
          </cell>
        </row>
        <row r="159">
          <cell r="A159" t="str">
            <v>Turkey</v>
          </cell>
          <cell r="B159">
            <v>0.98</v>
          </cell>
          <cell r="C159">
            <v>0.02</v>
          </cell>
        </row>
        <row r="160">
          <cell r="A160" t="str">
            <v>Uruguay</v>
          </cell>
        </row>
        <row r="161">
          <cell r="A161" t="str">
            <v>Haiti</v>
          </cell>
        </row>
        <row r="162">
          <cell r="A162" t="str">
            <v>Thailand</v>
          </cell>
          <cell r="B162">
            <v>0.95</v>
          </cell>
          <cell r="C162">
            <v>0.05</v>
          </cell>
        </row>
        <row r="163">
          <cell r="A163" t="str">
            <v>Montenegro</v>
          </cell>
        </row>
        <row r="164">
          <cell r="A164" t="str">
            <v>CÃ´te dâ€™Ivoire</v>
          </cell>
        </row>
        <row r="165">
          <cell r="A165" t="str">
            <v>Grenada</v>
          </cell>
        </row>
        <row r="166">
          <cell r="A166" t="str">
            <v>Suriname</v>
          </cell>
        </row>
        <row r="167">
          <cell r="A167" t="str">
            <v>Brazil</v>
          </cell>
          <cell r="B167">
            <v>0.98</v>
          </cell>
          <cell r="C167">
            <v>0.02</v>
          </cell>
        </row>
        <row r="168">
          <cell r="A168" t="str">
            <v>Chile</v>
          </cell>
          <cell r="B168">
            <v>0.93</v>
          </cell>
          <cell r="C168">
            <v>7.0000000000000007E-2</v>
          </cell>
        </row>
        <row r="169">
          <cell r="A169" t="str">
            <v>Guinea</v>
          </cell>
        </row>
        <row r="170">
          <cell r="A170" t="str">
            <v>Mali</v>
          </cell>
        </row>
        <row r="171">
          <cell r="A171" t="str">
            <v>Guyana</v>
          </cell>
        </row>
        <row r="172">
          <cell r="A172" t="str">
            <v>Argentina</v>
          </cell>
          <cell r="B172">
            <v>0.99</v>
          </cell>
          <cell r="C172">
            <v>0.01</v>
          </cell>
        </row>
        <row r="173">
          <cell r="A173" t="str">
            <v>Qatar</v>
          </cell>
        </row>
        <row r="174">
          <cell r="A174" t="str">
            <v>French Polynesia</v>
          </cell>
        </row>
        <row r="175">
          <cell r="A175" t="str">
            <v>Liberia</v>
          </cell>
        </row>
        <row r="176">
          <cell r="A176" t="str">
            <v>Jersey</v>
          </cell>
        </row>
        <row r="177">
          <cell r="A177" t="str">
            <v>Saudi Arabia</v>
          </cell>
          <cell r="B177">
            <v>0.97</v>
          </cell>
          <cell r="C177">
            <v>0.03</v>
          </cell>
        </row>
        <row r="178">
          <cell r="A178" t="str">
            <v>Bahamas</v>
          </cell>
        </row>
        <row r="179">
          <cell r="A179" t="str">
            <v>Guam</v>
          </cell>
        </row>
        <row r="180">
          <cell r="A180" t="str">
            <v>Djibouti</v>
          </cell>
        </row>
        <row r="181">
          <cell r="A181" t="str">
            <v>Kuwait</v>
          </cell>
        </row>
        <row r="182">
          <cell r="A182" t="str">
            <v>Antigua &amp; Barbuda</v>
          </cell>
        </row>
        <row r="183">
          <cell r="A183" t="str">
            <v>South Sudan</v>
          </cell>
        </row>
        <row r="184">
          <cell r="A184" t="str">
            <v>RÃ©union</v>
          </cell>
        </row>
        <row r="185">
          <cell r="A185" t="str">
            <v>Guadeloupe</v>
          </cell>
        </row>
        <row r="186">
          <cell r="A186" t="str">
            <v>Mauritania</v>
          </cell>
        </row>
        <row r="187">
          <cell r="A187" t="str">
            <v>Martinique</v>
          </cell>
        </row>
        <row r="188">
          <cell r="A188" t="str">
            <v>Cayman Islands</v>
          </cell>
        </row>
        <row r="189">
          <cell r="A189" t="str">
            <v>CuraÃ§ao</v>
          </cell>
        </row>
        <row r="190">
          <cell r="A190" t="str">
            <v>Burkina Faso</v>
          </cell>
        </row>
        <row r="191">
          <cell r="A191" t="str">
            <v>Aruba</v>
          </cell>
        </row>
        <row r="192">
          <cell r="A192" t="str">
            <v>Eritrea</v>
          </cell>
        </row>
        <row r="193">
          <cell r="A193" t="str">
            <v>Ã…land Islands</v>
          </cell>
        </row>
        <row r="194">
          <cell r="A194" t="str">
            <v>Vanuatu</v>
          </cell>
        </row>
        <row r="195">
          <cell r="A195" t="str">
            <v>Micronesia</v>
          </cell>
        </row>
        <row r="196">
          <cell r="A196" t="str">
            <v>Solomon Islands</v>
          </cell>
        </row>
        <row r="197">
          <cell r="A197" t="str">
            <v>Turks &amp; Caicos Islands</v>
          </cell>
        </row>
        <row r="198">
          <cell r="A198" t="str">
            <v>Caribbean Netherlands</v>
          </cell>
        </row>
        <row r="199">
          <cell r="A199" t="str">
            <v>SÃ£o TomÃ© &amp; PrÃ­ncipe</v>
          </cell>
        </row>
        <row r="200">
          <cell r="A200" t="str">
            <v>St. Pierre &amp; Miquelon</v>
          </cell>
        </row>
        <row r="201">
          <cell r="A201" t="str">
            <v>Dominica</v>
          </cell>
        </row>
        <row r="202">
          <cell r="A202" t="str">
            <v>Guinea-Bissau</v>
          </cell>
        </row>
        <row r="203">
          <cell r="A203" t="str">
            <v>Monaco</v>
          </cell>
        </row>
        <row r="204">
          <cell r="A204" t="str">
            <v>Seychelles</v>
          </cell>
        </row>
        <row r="205">
          <cell r="A205" t="str">
            <v>Timor-Leste</v>
          </cell>
        </row>
        <row r="206">
          <cell r="A206" t="str">
            <v>Liechtenstein</v>
          </cell>
        </row>
        <row r="207">
          <cell r="A207" t="str">
            <v>San Marino</v>
          </cell>
        </row>
        <row r="208">
          <cell r="A208" t="str">
            <v>Central African Republic</v>
          </cell>
        </row>
        <row r="209">
          <cell r="A209" t="str">
            <v>Guernsey</v>
          </cell>
        </row>
        <row r="210">
          <cell r="A210" t="str">
            <v>Comoros</v>
          </cell>
        </row>
        <row r="211">
          <cell r="A211" t="str">
            <v>St. Lucia</v>
          </cell>
        </row>
        <row r="212">
          <cell r="A212" t="str">
            <v>Northern Mariana Islands</v>
          </cell>
        </row>
        <row r="213">
          <cell r="A213" t="str">
            <v>Gibraltar</v>
          </cell>
        </row>
        <row r="214">
          <cell r="A214" t="str">
            <v>Sint Maarten</v>
          </cell>
        </row>
        <row r="215">
          <cell r="A215" t="str">
            <v>Mayotte</v>
          </cell>
        </row>
        <row r="216">
          <cell r="A216" t="str">
            <v>St. Martin</v>
          </cell>
        </row>
        <row r="217">
          <cell r="A217" t="str">
            <v>British Virgin Islands</v>
          </cell>
        </row>
        <row r="218">
          <cell r="A218" t="str">
            <v>Gambia</v>
          </cell>
        </row>
        <row r="219">
          <cell r="A219" t="str">
            <v>Western Sahara</v>
          </cell>
        </row>
        <row r="220">
          <cell r="A220" t="str">
            <v>Bermuda</v>
          </cell>
        </row>
        <row r="221">
          <cell r="A221" t="str">
            <v>St. BarthÃ©lemy</v>
          </cell>
        </row>
        <row r="222">
          <cell r="A222" t="str">
            <v>Greenland</v>
          </cell>
        </row>
        <row r="223">
          <cell r="A223" t="str">
            <v>Chad</v>
          </cell>
        </row>
        <row r="224">
          <cell r="A224" t="str">
            <v>U.S. Virgin Islands</v>
          </cell>
        </row>
        <row r="225">
          <cell r="A225" t="str">
            <v>New Caledonia</v>
          </cell>
        </row>
        <row r="226">
          <cell r="A226" t="str">
            <v>Anguilla</v>
          </cell>
        </row>
        <row r="227">
          <cell r="A227" t="str">
            <v>American Samoa</v>
          </cell>
        </row>
        <row r="228">
          <cell r="A228" t="str">
            <v>Antarctica</v>
          </cell>
        </row>
        <row r="229">
          <cell r="A229" t="str">
            <v>French Southern Territories</v>
          </cell>
        </row>
        <row r="230">
          <cell r="A230" t="str">
            <v>Bouvet Island</v>
          </cell>
        </row>
        <row r="231">
          <cell r="A231" t="str">
            <v>Cocos (Keeling) Islands</v>
          </cell>
        </row>
        <row r="232">
          <cell r="A232" t="str">
            <v>Cook Islands</v>
          </cell>
        </row>
        <row r="233">
          <cell r="A233" t="str">
            <v>Christmas Island</v>
          </cell>
        </row>
        <row r="234">
          <cell r="A234" t="str">
            <v>Falkland Islands (Islas Malvinas)</v>
          </cell>
        </row>
        <row r="235">
          <cell r="A235" t="str">
            <v>Equatorial Guinea</v>
          </cell>
        </row>
        <row r="236">
          <cell r="A236" t="str">
            <v>Heard &amp; McDonald Islands</v>
          </cell>
        </row>
        <row r="237">
          <cell r="A237" t="str">
            <v>British Indian Ocean Territory</v>
          </cell>
        </row>
        <row r="238">
          <cell r="A238" t="str">
            <v>Kiribati</v>
          </cell>
        </row>
        <row r="239">
          <cell r="A239" t="str">
            <v>Marshall Islands</v>
          </cell>
        </row>
        <row r="240">
          <cell r="A240" t="str">
            <v>Montserrat</v>
          </cell>
        </row>
        <row r="241">
          <cell r="A241" t="str">
            <v>Norfolk Island</v>
          </cell>
        </row>
        <row r="242">
          <cell r="A242" t="str">
            <v>Niue</v>
          </cell>
        </row>
        <row r="243">
          <cell r="A243" t="str">
            <v>Nauru</v>
          </cell>
        </row>
        <row r="244">
          <cell r="A244" t="str">
            <v>Pitcairn Islands</v>
          </cell>
        </row>
        <row r="245">
          <cell r="A245" t="str">
            <v>Palau</v>
          </cell>
        </row>
        <row r="246">
          <cell r="A246" t="str">
            <v>South Georgia &amp; South Sandwich Islands</v>
          </cell>
        </row>
        <row r="247">
          <cell r="A247" t="str">
            <v>Svalbard &amp; Jan Mayen</v>
          </cell>
        </row>
        <row r="248">
          <cell r="A248" t="str">
            <v>Tokelau</v>
          </cell>
        </row>
        <row r="249">
          <cell r="A249" t="str">
            <v>Tuvalu</v>
          </cell>
        </row>
        <row r="250">
          <cell r="A250" t="str">
            <v>U.S. Outlying Islands</v>
          </cell>
        </row>
        <row r="251">
          <cell r="A251" t="str">
            <v>Vatican City</v>
          </cell>
        </row>
        <row r="252">
          <cell r="A252" t="str">
            <v>Wallis &amp; Futuna</v>
          </cell>
        </row>
        <row r="253">
          <cell r="A253" t="str">
            <v>Samoa</v>
          </cell>
        </row>
      </sheetData>
    </sheetDataSet>
  </externalBook>
</externalLink>
</file>

<file path=xl/externalLinks/externalLink2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35)"/>
    </sheetNames>
    <sheetDataSet>
      <sheetData sheetId="0">
        <row r="1">
          <cell r="A1" t="str">
            <v>Category: All categories</v>
          </cell>
        </row>
        <row r="3">
          <cell r="A3" t="str">
            <v>Country</v>
          </cell>
          <cell r="B3" t="str">
            <v>Design thinking: (2017)</v>
          </cell>
          <cell r="C3" t="str">
            <v>Finite-state machine: (2017)</v>
          </cell>
        </row>
        <row r="4">
          <cell r="A4" t="str">
            <v>Micronesia</v>
          </cell>
          <cell r="C4">
            <v>1</v>
          </cell>
        </row>
        <row r="5">
          <cell r="A5" t="str">
            <v>Guam</v>
          </cell>
          <cell r="C5">
            <v>1</v>
          </cell>
        </row>
        <row r="6">
          <cell r="A6" t="str">
            <v>China</v>
          </cell>
          <cell r="B6">
            <v>0.19</v>
          </cell>
          <cell r="C6">
            <v>0.81</v>
          </cell>
        </row>
        <row r="7">
          <cell r="A7" t="str">
            <v>Fiji</v>
          </cell>
          <cell r="C7">
            <v>1</v>
          </cell>
        </row>
        <row r="8">
          <cell r="A8" t="str">
            <v>Maldives</v>
          </cell>
        </row>
        <row r="9">
          <cell r="A9" t="str">
            <v>Singapore</v>
          </cell>
          <cell r="B9">
            <v>0.54</v>
          </cell>
          <cell r="C9">
            <v>0.46</v>
          </cell>
        </row>
        <row r="10">
          <cell r="A10" t="str">
            <v>Macao</v>
          </cell>
        </row>
        <row r="11">
          <cell r="A11" t="str">
            <v>Rwanda</v>
          </cell>
        </row>
        <row r="12">
          <cell r="A12" t="str">
            <v>Peru</v>
          </cell>
          <cell r="B12">
            <v>0.94</v>
          </cell>
          <cell r="C12">
            <v>0.06</v>
          </cell>
        </row>
        <row r="13">
          <cell r="A13" t="str">
            <v>Israel</v>
          </cell>
          <cell r="B13">
            <v>0.11</v>
          </cell>
          <cell r="C13">
            <v>0.89</v>
          </cell>
        </row>
        <row r="14">
          <cell r="A14" t="str">
            <v>Iceland</v>
          </cell>
        </row>
        <row r="15">
          <cell r="A15" t="str">
            <v>Switzerland</v>
          </cell>
          <cell r="B15">
            <v>0.71</v>
          </cell>
          <cell r="C15">
            <v>0.28999999999999998</v>
          </cell>
        </row>
        <row r="16">
          <cell r="A16" t="str">
            <v>South Korea</v>
          </cell>
          <cell r="B16">
            <v>0.39</v>
          </cell>
          <cell r="C16">
            <v>0.61</v>
          </cell>
        </row>
        <row r="17">
          <cell r="A17" t="str">
            <v>Germany</v>
          </cell>
          <cell r="B17">
            <v>0.71</v>
          </cell>
          <cell r="C17">
            <v>0.28999999999999998</v>
          </cell>
        </row>
        <row r="18">
          <cell r="A18" t="str">
            <v>St. Helena</v>
          </cell>
          <cell r="B18">
            <v>0.61</v>
          </cell>
          <cell r="C18">
            <v>0.39</v>
          </cell>
        </row>
        <row r="19">
          <cell r="A19" t="str">
            <v>Hong Kong</v>
          </cell>
          <cell r="B19">
            <v>0.46</v>
          </cell>
          <cell r="C19">
            <v>0.54</v>
          </cell>
        </row>
        <row r="20">
          <cell r="A20" t="str">
            <v>Denmark</v>
          </cell>
          <cell r="B20">
            <v>0.76</v>
          </cell>
          <cell r="C20">
            <v>0.24</v>
          </cell>
        </row>
        <row r="21">
          <cell r="A21" t="str">
            <v>New Zealand</v>
          </cell>
          <cell r="B21">
            <v>0.65</v>
          </cell>
          <cell r="C21">
            <v>0.35</v>
          </cell>
        </row>
        <row r="22">
          <cell r="A22" t="str">
            <v>Australia</v>
          </cell>
          <cell r="B22">
            <v>0.67</v>
          </cell>
          <cell r="C22">
            <v>0.33</v>
          </cell>
        </row>
        <row r="23">
          <cell r="A23" t="str">
            <v>Brazil</v>
          </cell>
          <cell r="B23">
            <v>0.88</v>
          </cell>
          <cell r="C23">
            <v>0.12</v>
          </cell>
        </row>
        <row r="24">
          <cell r="A24" t="str">
            <v>Netherlands</v>
          </cell>
          <cell r="B24">
            <v>0.72</v>
          </cell>
          <cell r="C24">
            <v>0.28000000000000003</v>
          </cell>
        </row>
        <row r="25">
          <cell r="A25" t="str">
            <v>Colombia</v>
          </cell>
          <cell r="B25">
            <v>0.81</v>
          </cell>
          <cell r="C25">
            <v>0.19</v>
          </cell>
        </row>
        <row r="26">
          <cell r="A26" t="str">
            <v>Norway</v>
          </cell>
          <cell r="B26">
            <v>0.66</v>
          </cell>
          <cell r="C26">
            <v>0.34</v>
          </cell>
        </row>
        <row r="27">
          <cell r="A27" t="str">
            <v>United Arab Emirates</v>
          </cell>
          <cell r="B27">
            <v>0.71</v>
          </cell>
          <cell r="C27">
            <v>0.28999999999999998</v>
          </cell>
        </row>
        <row r="28">
          <cell r="A28" t="str">
            <v>Taiwan</v>
          </cell>
          <cell r="B28">
            <v>0.56999999999999995</v>
          </cell>
          <cell r="C28">
            <v>0.43</v>
          </cell>
        </row>
        <row r="29">
          <cell r="A29" t="str">
            <v>Chile</v>
          </cell>
          <cell r="B29">
            <v>0.9</v>
          </cell>
          <cell r="C29">
            <v>0.1</v>
          </cell>
        </row>
        <row r="30">
          <cell r="A30" t="str">
            <v>Ireland</v>
          </cell>
          <cell r="B30">
            <v>0.59</v>
          </cell>
          <cell r="C30">
            <v>0.41</v>
          </cell>
        </row>
        <row r="31">
          <cell r="A31" t="str">
            <v>Nepal</v>
          </cell>
        </row>
        <row r="32">
          <cell r="A32" t="str">
            <v>Portugal</v>
          </cell>
          <cell r="B32">
            <v>0.65</v>
          </cell>
          <cell r="C32">
            <v>0.35</v>
          </cell>
        </row>
        <row r="33">
          <cell r="A33" t="str">
            <v>Pakistan</v>
          </cell>
          <cell r="B33">
            <v>0.17</v>
          </cell>
          <cell r="C33">
            <v>0.83</v>
          </cell>
        </row>
        <row r="34">
          <cell r="A34" t="str">
            <v>Austria</v>
          </cell>
          <cell r="B34">
            <v>0.61</v>
          </cell>
          <cell r="C34">
            <v>0.39</v>
          </cell>
        </row>
        <row r="35">
          <cell r="A35" t="str">
            <v>Costa Rica</v>
          </cell>
        </row>
        <row r="36">
          <cell r="A36" t="str">
            <v>El Salvador</v>
          </cell>
        </row>
        <row r="37">
          <cell r="A37" t="str">
            <v>Canada</v>
          </cell>
          <cell r="B37">
            <v>0.53</v>
          </cell>
          <cell r="C37">
            <v>0.47</v>
          </cell>
        </row>
        <row r="38">
          <cell r="A38" t="str">
            <v>Laos</v>
          </cell>
        </row>
        <row r="39">
          <cell r="A39" t="str">
            <v>Nicaragua</v>
          </cell>
        </row>
        <row r="40">
          <cell r="A40" t="str">
            <v>Tunisia</v>
          </cell>
          <cell r="B40">
            <v>0.4</v>
          </cell>
          <cell r="C40">
            <v>0.6</v>
          </cell>
        </row>
        <row r="41">
          <cell r="A41" t="str">
            <v>Ecuador</v>
          </cell>
        </row>
        <row r="42">
          <cell r="A42" t="str">
            <v>India</v>
          </cell>
          <cell r="B42">
            <v>0.43</v>
          </cell>
          <cell r="C42">
            <v>0.56999999999999995</v>
          </cell>
        </row>
        <row r="43">
          <cell r="A43" t="str">
            <v>Ethiopia</v>
          </cell>
        </row>
        <row r="44">
          <cell r="A44" t="str">
            <v>Guatemala</v>
          </cell>
          <cell r="B44">
            <v>0.65</v>
          </cell>
          <cell r="C44">
            <v>0.35</v>
          </cell>
        </row>
        <row r="45">
          <cell r="A45" t="str">
            <v>Ghana</v>
          </cell>
        </row>
        <row r="46">
          <cell r="A46" t="str">
            <v>United States</v>
          </cell>
          <cell r="B46">
            <v>0.43</v>
          </cell>
          <cell r="C46">
            <v>0.56999999999999995</v>
          </cell>
        </row>
        <row r="47">
          <cell r="A47" t="str">
            <v>Honduras</v>
          </cell>
        </row>
        <row r="48">
          <cell r="A48" t="str">
            <v>Malaysia</v>
          </cell>
          <cell r="B48">
            <v>0.53</v>
          </cell>
          <cell r="C48">
            <v>0.47</v>
          </cell>
        </row>
        <row r="49">
          <cell r="A49" t="str">
            <v>South Africa</v>
          </cell>
          <cell r="B49">
            <v>0.61</v>
          </cell>
          <cell r="C49">
            <v>0.39</v>
          </cell>
        </row>
        <row r="50">
          <cell r="A50" t="str">
            <v>Spain</v>
          </cell>
          <cell r="B50">
            <v>0.81</v>
          </cell>
          <cell r="C50">
            <v>0.19</v>
          </cell>
        </row>
        <row r="51">
          <cell r="A51" t="str">
            <v>France</v>
          </cell>
          <cell r="B51">
            <v>0.79</v>
          </cell>
          <cell r="C51">
            <v>0.21</v>
          </cell>
        </row>
        <row r="52">
          <cell r="A52" t="str">
            <v>Slovenia</v>
          </cell>
        </row>
        <row r="53">
          <cell r="A53" t="str">
            <v>United Kingdom</v>
          </cell>
          <cell r="B53">
            <v>0.35</v>
          </cell>
          <cell r="C53">
            <v>0.65</v>
          </cell>
        </row>
        <row r="54">
          <cell r="A54" t="str">
            <v>Czechia</v>
          </cell>
          <cell r="B54">
            <v>0.34</v>
          </cell>
          <cell r="C54">
            <v>0.66</v>
          </cell>
        </row>
        <row r="55">
          <cell r="A55" t="str">
            <v>Myanmar (Burma)</v>
          </cell>
        </row>
        <row r="56">
          <cell r="A56" t="str">
            <v>Finland</v>
          </cell>
          <cell r="B56">
            <v>0.6</v>
          </cell>
          <cell r="C56">
            <v>0.4</v>
          </cell>
        </row>
        <row r="57">
          <cell r="A57" t="str">
            <v>Mexico</v>
          </cell>
          <cell r="B57">
            <v>0.7</v>
          </cell>
          <cell r="C57">
            <v>0.3</v>
          </cell>
        </row>
        <row r="58">
          <cell r="A58" t="str">
            <v>Zimbabwe</v>
          </cell>
        </row>
        <row r="59">
          <cell r="A59" t="str">
            <v>Sri Lanka</v>
          </cell>
        </row>
        <row r="60">
          <cell r="A60" t="str">
            <v>Luxembourg</v>
          </cell>
        </row>
        <row r="61">
          <cell r="A61" t="str">
            <v>Kenya</v>
          </cell>
          <cell r="B61">
            <v>0.65</v>
          </cell>
          <cell r="C61">
            <v>0.35</v>
          </cell>
        </row>
        <row r="62">
          <cell r="A62" t="str">
            <v>Russia</v>
          </cell>
          <cell r="B62">
            <v>0.23</v>
          </cell>
          <cell r="C62">
            <v>0.77</v>
          </cell>
        </row>
        <row r="63">
          <cell r="A63" t="str">
            <v>Estonia</v>
          </cell>
        </row>
        <row r="64">
          <cell r="A64" t="str">
            <v>Belarus</v>
          </cell>
        </row>
        <row r="65">
          <cell r="A65" t="str">
            <v>Japan</v>
          </cell>
          <cell r="B65">
            <v>0.67</v>
          </cell>
          <cell r="C65">
            <v>0.33</v>
          </cell>
        </row>
        <row r="66">
          <cell r="A66" t="str">
            <v>Namibia</v>
          </cell>
        </row>
        <row r="67">
          <cell r="A67" t="str">
            <v>Latvia</v>
          </cell>
        </row>
        <row r="68">
          <cell r="A68" t="str">
            <v>Mauritius</v>
          </cell>
        </row>
        <row r="69">
          <cell r="A69" t="str">
            <v>Sweden</v>
          </cell>
          <cell r="B69">
            <v>0.47</v>
          </cell>
          <cell r="C69">
            <v>0.53</v>
          </cell>
        </row>
        <row r="70">
          <cell r="A70" t="str">
            <v>Uruguay</v>
          </cell>
        </row>
        <row r="71">
          <cell r="A71" t="str">
            <v>Romania</v>
          </cell>
          <cell r="B71">
            <v>0.31</v>
          </cell>
          <cell r="C71">
            <v>0.69</v>
          </cell>
        </row>
        <row r="72">
          <cell r="A72" t="str">
            <v>Philippines</v>
          </cell>
          <cell r="B72">
            <v>0.51</v>
          </cell>
          <cell r="C72">
            <v>0.49</v>
          </cell>
        </row>
        <row r="73">
          <cell r="A73" t="str">
            <v>Bulgaria</v>
          </cell>
        </row>
        <row r="74">
          <cell r="A74" t="str">
            <v>Belgium</v>
          </cell>
          <cell r="B74">
            <v>0.56999999999999995</v>
          </cell>
          <cell r="C74">
            <v>0.43</v>
          </cell>
        </row>
        <row r="75">
          <cell r="A75" t="str">
            <v>Lebanon</v>
          </cell>
        </row>
        <row r="76">
          <cell r="A76" t="str">
            <v>Ukraine</v>
          </cell>
          <cell r="B76">
            <v>0.32</v>
          </cell>
          <cell r="C76">
            <v>0.68</v>
          </cell>
        </row>
        <row r="77">
          <cell r="A77" t="str">
            <v>Croatia</v>
          </cell>
          <cell r="B77">
            <v>0.46</v>
          </cell>
          <cell r="C77">
            <v>0.54</v>
          </cell>
        </row>
        <row r="78">
          <cell r="A78" t="str">
            <v>Lithuania</v>
          </cell>
        </row>
        <row r="79">
          <cell r="A79" t="str">
            <v>Slovakia</v>
          </cell>
        </row>
        <row r="80">
          <cell r="A80" t="str">
            <v>Uzbekistan</v>
          </cell>
        </row>
        <row r="81">
          <cell r="A81" t="str">
            <v>Poland</v>
          </cell>
          <cell r="B81">
            <v>0.56999999999999995</v>
          </cell>
          <cell r="C81">
            <v>0.43</v>
          </cell>
        </row>
        <row r="82">
          <cell r="A82" t="str">
            <v>Greece</v>
          </cell>
          <cell r="B82">
            <v>0.27</v>
          </cell>
          <cell r="C82">
            <v>0.73</v>
          </cell>
        </row>
        <row r="83">
          <cell r="A83" t="str">
            <v>Hungary</v>
          </cell>
          <cell r="B83">
            <v>0.39</v>
          </cell>
          <cell r="C83">
            <v>0.61</v>
          </cell>
        </row>
        <row r="84">
          <cell r="A84" t="str">
            <v>Paraguay</v>
          </cell>
        </row>
        <row r="85">
          <cell r="A85" t="str">
            <v>Thailand</v>
          </cell>
          <cell r="B85">
            <v>0.69</v>
          </cell>
          <cell r="C85">
            <v>0.31</v>
          </cell>
        </row>
        <row r="86">
          <cell r="A86" t="str">
            <v>Argentina</v>
          </cell>
          <cell r="B86">
            <v>0.72</v>
          </cell>
          <cell r="C86">
            <v>0.28000000000000003</v>
          </cell>
        </row>
        <row r="87">
          <cell r="A87" t="str">
            <v>Iran</v>
          </cell>
          <cell r="B87">
            <v>0.26</v>
          </cell>
          <cell r="C87">
            <v>0.74</v>
          </cell>
        </row>
        <row r="88">
          <cell r="A88" t="str">
            <v>Serbia</v>
          </cell>
        </row>
        <row r="89">
          <cell r="A89" t="str">
            <v>Panama</v>
          </cell>
        </row>
        <row r="90">
          <cell r="A90" t="str">
            <v>Bosnia &amp; Herzegovina</v>
          </cell>
        </row>
        <row r="91">
          <cell r="A91" t="str">
            <v>Dominican Republic</v>
          </cell>
        </row>
        <row r="92">
          <cell r="A92" t="str">
            <v>Nigeria</v>
          </cell>
          <cell r="B92">
            <v>0.42</v>
          </cell>
          <cell r="C92">
            <v>0.57999999999999996</v>
          </cell>
        </row>
        <row r="93">
          <cell r="A93" t="str">
            <v>Bangladesh</v>
          </cell>
        </row>
        <row r="94">
          <cell r="A94" t="str">
            <v>Italy</v>
          </cell>
          <cell r="B94">
            <v>0.49</v>
          </cell>
          <cell r="C94">
            <v>0.51</v>
          </cell>
        </row>
        <row r="95">
          <cell r="A95" t="str">
            <v>Morocco</v>
          </cell>
        </row>
        <row r="96">
          <cell r="A96" t="str">
            <v>Turkey</v>
          </cell>
          <cell r="B96">
            <v>0.27</v>
          </cell>
          <cell r="C96">
            <v>0.73</v>
          </cell>
        </row>
        <row r="97">
          <cell r="A97" t="str">
            <v>Tanzania</v>
          </cell>
        </row>
        <row r="98">
          <cell r="A98" t="str">
            <v>Jordan</v>
          </cell>
        </row>
        <row r="99">
          <cell r="A99" t="str">
            <v>Puerto Rico</v>
          </cell>
        </row>
        <row r="100">
          <cell r="A100" t="str">
            <v>Kazakhstan</v>
          </cell>
        </row>
        <row r="101">
          <cell r="A101" t="str">
            <v>Georgia</v>
          </cell>
        </row>
        <row r="102">
          <cell r="A102" t="str">
            <v>Egypt</v>
          </cell>
          <cell r="B102">
            <v>0.36</v>
          </cell>
          <cell r="C102">
            <v>0.64</v>
          </cell>
        </row>
        <row r="103">
          <cell r="A103" t="str">
            <v>Indonesia</v>
          </cell>
          <cell r="B103">
            <v>0.4</v>
          </cell>
          <cell r="C103">
            <v>0.6</v>
          </cell>
        </row>
        <row r="104">
          <cell r="A104" t="str">
            <v>Kuwait</v>
          </cell>
        </row>
        <row r="105">
          <cell r="A105" t="str">
            <v>Bolivia</v>
          </cell>
        </row>
        <row r="106">
          <cell r="A106" t="str">
            <v>Saudi Arabia</v>
          </cell>
          <cell r="B106">
            <v>0.54</v>
          </cell>
          <cell r="C106">
            <v>0.46</v>
          </cell>
        </row>
        <row r="107">
          <cell r="A107" t="str">
            <v>Vietnam</v>
          </cell>
          <cell r="B107">
            <v>0.28000000000000003</v>
          </cell>
          <cell r="C107">
            <v>0.72</v>
          </cell>
        </row>
        <row r="108">
          <cell r="A108" t="str">
            <v>Iraq</v>
          </cell>
        </row>
        <row r="109">
          <cell r="A109" t="str">
            <v>Algeria</v>
          </cell>
        </row>
        <row r="110">
          <cell r="A110" t="str">
            <v>Venezuela</v>
          </cell>
        </row>
        <row r="111">
          <cell r="A111" t="str">
            <v>Cook Islands</v>
          </cell>
        </row>
        <row r="112">
          <cell r="A112" t="str">
            <v>Anguilla</v>
          </cell>
        </row>
        <row r="113">
          <cell r="A113" t="str">
            <v>Liechtenstein</v>
          </cell>
        </row>
        <row r="114">
          <cell r="A114" t="str">
            <v>Timor-Leste</v>
          </cell>
        </row>
        <row r="115">
          <cell r="A115" t="str">
            <v>U.S. Virgin Islands</v>
          </cell>
        </row>
        <row r="116">
          <cell r="A116" t="str">
            <v>San Marino</v>
          </cell>
        </row>
        <row r="117">
          <cell r="A117" t="str">
            <v>St. Kitts &amp; Nevis</v>
          </cell>
        </row>
        <row r="118">
          <cell r="A118" t="str">
            <v>Gambia</v>
          </cell>
        </row>
        <row r="119">
          <cell r="A119" t="str">
            <v>Bhutan</v>
          </cell>
        </row>
        <row r="120">
          <cell r="A120" t="str">
            <v>St. Vincent &amp; Grenadines</v>
          </cell>
        </row>
        <row r="121">
          <cell r="A121" t="str">
            <v>Malawi</v>
          </cell>
        </row>
        <row r="122">
          <cell r="A122" t="str">
            <v>Djibouti</v>
          </cell>
        </row>
        <row r="123">
          <cell r="A123" t="str">
            <v>Antigua &amp; Barbuda</v>
          </cell>
        </row>
        <row r="124">
          <cell r="A124" t="str">
            <v>St. Lucia</v>
          </cell>
        </row>
        <row r="125">
          <cell r="A125" t="str">
            <v>Bermuda</v>
          </cell>
        </row>
        <row r="126">
          <cell r="A126" t="str">
            <v>Botswana</v>
          </cell>
        </row>
        <row r="127">
          <cell r="A127" t="str">
            <v>Eswatini</v>
          </cell>
        </row>
        <row r="128">
          <cell r="A128" t="str">
            <v>Andorra</v>
          </cell>
        </row>
        <row r="129">
          <cell r="A129" t="str">
            <v>Aruba</v>
          </cell>
        </row>
        <row r="130">
          <cell r="A130" t="str">
            <v>Isle of Man</v>
          </cell>
        </row>
        <row r="131">
          <cell r="A131" t="str">
            <v>Belize</v>
          </cell>
        </row>
        <row r="132">
          <cell r="A132" t="str">
            <v>Mozambique</v>
          </cell>
        </row>
        <row r="133">
          <cell r="A133" t="str">
            <v>New Caledonia</v>
          </cell>
        </row>
        <row r="134">
          <cell r="A134" t="str">
            <v>Cuba</v>
          </cell>
        </row>
        <row r="135">
          <cell r="A135" t="str">
            <v>Angola</v>
          </cell>
        </row>
        <row r="136">
          <cell r="A136" t="str">
            <v>Papua New Guinea</v>
          </cell>
        </row>
        <row r="137">
          <cell r="A137" t="str">
            <v>Jersey</v>
          </cell>
        </row>
        <row r="138">
          <cell r="A138" t="str">
            <v>Gabon</v>
          </cell>
        </row>
        <row r="139">
          <cell r="A139" t="str">
            <v>Uganda</v>
          </cell>
        </row>
        <row r="140">
          <cell r="A140" t="str">
            <v>Burkina Faso</v>
          </cell>
        </row>
        <row r="141">
          <cell r="A141" t="str">
            <v>Suriname</v>
          </cell>
        </row>
        <row r="142">
          <cell r="A142" t="str">
            <v>Mongolia</v>
          </cell>
        </row>
        <row r="143">
          <cell r="A143" t="str">
            <v>Guinea</v>
          </cell>
        </row>
        <row r="144">
          <cell r="A144" t="str">
            <v>Cambodia</v>
          </cell>
        </row>
        <row r="145">
          <cell r="A145" t="str">
            <v>Zambia</v>
          </cell>
        </row>
        <row r="146">
          <cell r="A146" t="str">
            <v>Trinidad &amp; Tobago</v>
          </cell>
        </row>
        <row r="147">
          <cell r="A147" t="str">
            <v>RÃ©union</v>
          </cell>
        </row>
        <row r="148">
          <cell r="A148" t="str">
            <v>Cameroon</v>
          </cell>
        </row>
        <row r="149">
          <cell r="A149" t="str">
            <v>Bahamas</v>
          </cell>
        </row>
        <row r="150">
          <cell r="A150" t="str">
            <v>Malta</v>
          </cell>
        </row>
        <row r="151">
          <cell r="A151" t="str">
            <v>Senegal</v>
          </cell>
        </row>
        <row r="152">
          <cell r="A152" t="str">
            <v>Guadeloupe</v>
          </cell>
        </row>
        <row r="153">
          <cell r="A153" t="str">
            <v>Madagascar</v>
          </cell>
        </row>
        <row r="154">
          <cell r="A154" t="str">
            <v>Brunei</v>
          </cell>
        </row>
        <row r="155">
          <cell r="A155" t="str">
            <v>CÃ´te dâ€™Ivoire</v>
          </cell>
        </row>
        <row r="156">
          <cell r="A156" t="str">
            <v>Albania</v>
          </cell>
        </row>
        <row r="157">
          <cell r="A157" t="str">
            <v>Bahrain</v>
          </cell>
        </row>
        <row r="158">
          <cell r="A158" t="str">
            <v>Jamaica</v>
          </cell>
        </row>
        <row r="159">
          <cell r="A159" t="str">
            <v>Armenia</v>
          </cell>
        </row>
        <row r="160">
          <cell r="A160" t="str">
            <v>Kyrgyzstan</v>
          </cell>
        </row>
        <row r="161">
          <cell r="A161" t="str">
            <v>North Macedonia</v>
          </cell>
        </row>
        <row r="162">
          <cell r="A162" t="str">
            <v>Qatar</v>
          </cell>
        </row>
        <row r="163">
          <cell r="A163" t="str">
            <v>Montenegro</v>
          </cell>
        </row>
        <row r="164">
          <cell r="A164" t="str">
            <v>Sudan</v>
          </cell>
        </row>
        <row r="165">
          <cell r="A165" t="str">
            <v>Oman</v>
          </cell>
        </row>
        <row r="166">
          <cell r="A166" t="str">
            <v>Libya</v>
          </cell>
        </row>
        <row r="167">
          <cell r="A167" t="str">
            <v>Cyprus</v>
          </cell>
        </row>
        <row r="168">
          <cell r="A168" t="str">
            <v>Yemen</v>
          </cell>
        </row>
        <row r="169">
          <cell r="A169" t="str">
            <v>Moldova</v>
          </cell>
        </row>
        <row r="170">
          <cell r="A170" t="str">
            <v>Azerbaijan</v>
          </cell>
        </row>
        <row r="171">
          <cell r="A171" t="str">
            <v>Syria</v>
          </cell>
        </row>
        <row r="172">
          <cell r="A172" t="str">
            <v>Afghanistan</v>
          </cell>
        </row>
        <row r="173">
          <cell r="A173" t="str">
            <v>Ã…land Islands</v>
          </cell>
        </row>
        <row r="174">
          <cell r="A174" t="str">
            <v>American Samoa</v>
          </cell>
        </row>
        <row r="175">
          <cell r="A175" t="str">
            <v>Antarctica</v>
          </cell>
        </row>
        <row r="176">
          <cell r="A176" t="str">
            <v>French Southern Territories</v>
          </cell>
        </row>
        <row r="177">
          <cell r="A177" t="str">
            <v>Burundi</v>
          </cell>
        </row>
        <row r="178">
          <cell r="A178" t="str">
            <v>Benin</v>
          </cell>
        </row>
        <row r="179">
          <cell r="A179" t="str">
            <v>Caribbean Netherlands</v>
          </cell>
        </row>
        <row r="180">
          <cell r="A180" t="str">
            <v>St. BarthÃ©lemy</v>
          </cell>
        </row>
        <row r="181">
          <cell r="A181" t="str">
            <v>Barbados</v>
          </cell>
        </row>
        <row r="182">
          <cell r="A182" t="str">
            <v>Bouvet Island</v>
          </cell>
        </row>
        <row r="183">
          <cell r="A183" t="str">
            <v>Central African Republic</v>
          </cell>
        </row>
        <row r="184">
          <cell r="A184" t="str">
            <v>Cocos (Keeling) Islands</v>
          </cell>
        </row>
        <row r="185">
          <cell r="A185" t="str">
            <v>Congo - Kinshasa</v>
          </cell>
        </row>
        <row r="186">
          <cell r="A186" t="str">
            <v>Congo - Brazzaville</v>
          </cell>
        </row>
        <row r="187">
          <cell r="A187" t="str">
            <v>Comoros</v>
          </cell>
        </row>
        <row r="188">
          <cell r="A188" t="str">
            <v>Cape Verde</v>
          </cell>
        </row>
        <row r="189">
          <cell r="A189" t="str">
            <v>CuraÃ§ao</v>
          </cell>
        </row>
        <row r="190">
          <cell r="A190" t="str">
            <v>Christmas Island</v>
          </cell>
        </row>
        <row r="191">
          <cell r="A191" t="str">
            <v>Cayman Islands</v>
          </cell>
        </row>
        <row r="192">
          <cell r="A192" t="str">
            <v>Dominica</v>
          </cell>
        </row>
        <row r="193">
          <cell r="A193" t="str">
            <v>Eritrea</v>
          </cell>
        </row>
        <row r="194">
          <cell r="A194" t="str">
            <v>Western Sahara</v>
          </cell>
        </row>
        <row r="195">
          <cell r="A195" t="str">
            <v>Falkland Islands (Islas Malvinas)</v>
          </cell>
        </row>
        <row r="196">
          <cell r="A196" t="str">
            <v>Faroe Islands</v>
          </cell>
        </row>
        <row r="197">
          <cell r="A197" t="str">
            <v>Guernsey</v>
          </cell>
        </row>
        <row r="198">
          <cell r="A198" t="str">
            <v>Gibraltar</v>
          </cell>
        </row>
        <row r="199">
          <cell r="A199" t="str">
            <v>Guinea-Bissau</v>
          </cell>
        </row>
        <row r="200">
          <cell r="A200" t="str">
            <v>Equatorial Guinea</v>
          </cell>
        </row>
        <row r="201">
          <cell r="A201" t="str">
            <v>Grenada</v>
          </cell>
        </row>
        <row r="202">
          <cell r="A202" t="str">
            <v>Greenland</v>
          </cell>
        </row>
        <row r="203">
          <cell r="A203" t="str">
            <v>French Guiana</v>
          </cell>
        </row>
        <row r="204">
          <cell r="A204" t="str">
            <v>Guyana</v>
          </cell>
        </row>
        <row r="205">
          <cell r="A205" t="str">
            <v>Heard &amp; McDonald Islands</v>
          </cell>
        </row>
        <row r="206">
          <cell r="A206" t="str">
            <v>Haiti</v>
          </cell>
        </row>
        <row r="207">
          <cell r="A207" t="str">
            <v>British Indian Ocean Territory</v>
          </cell>
        </row>
        <row r="208">
          <cell r="A208" t="str">
            <v>Kiribati</v>
          </cell>
        </row>
        <row r="209">
          <cell r="A209" t="str">
            <v>Liberia</v>
          </cell>
        </row>
        <row r="210">
          <cell r="A210" t="str">
            <v>Lesotho</v>
          </cell>
        </row>
        <row r="211">
          <cell r="A211" t="str">
            <v>St. Martin</v>
          </cell>
        </row>
        <row r="212">
          <cell r="A212" t="str">
            <v>Monaco</v>
          </cell>
        </row>
        <row r="213">
          <cell r="A213" t="str">
            <v>Marshall Islands</v>
          </cell>
        </row>
        <row r="214">
          <cell r="A214" t="str">
            <v>Mali</v>
          </cell>
        </row>
        <row r="215">
          <cell r="A215" t="str">
            <v>Northern Mariana Islands</v>
          </cell>
        </row>
        <row r="216">
          <cell r="A216" t="str">
            <v>Mauritania</v>
          </cell>
        </row>
        <row r="217">
          <cell r="A217" t="str">
            <v>Montserrat</v>
          </cell>
        </row>
        <row r="218">
          <cell r="A218" t="str">
            <v>Martinique</v>
          </cell>
        </row>
        <row r="219">
          <cell r="A219" t="str">
            <v>Mayotte</v>
          </cell>
        </row>
        <row r="220">
          <cell r="A220" t="str">
            <v>Niger</v>
          </cell>
        </row>
        <row r="221">
          <cell r="A221" t="str">
            <v>Norfolk Island</v>
          </cell>
        </row>
        <row r="222">
          <cell r="A222" t="str">
            <v>Niue</v>
          </cell>
        </row>
        <row r="223">
          <cell r="A223" t="str">
            <v>Nauru</v>
          </cell>
        </row>
        <row r="224">
          <cell r="A224" t="str">
            <v>Pitcairn Islands</v>
          </cell>
        </row>
        <row r="225">
          <cell r="A225" t="str">
            <v>Palau</v>
          </cell>
        </row>
        <row r="226">
          <cell r="A226" t="str">
            <v>North Korea</v>
          </cell>
        </row>
        <row r="227">
          <cell r="A227" t="str">
            <v>Palestine</v>
          </cell>
        </row>
        <row r="228">
          <cell r="A228" t="str">
            <v>French Polynesia</v>
          </cell>
        </row>
        <row r="229">
          <cell r="A229" t="str">
            <v>South Georgia &amp; South Sandwich Islands</v>
          </cell>
        </row>
        <row r="230">
          <cell r="A230" t="str">
            <v>Svalbard &amp; Jan Mayen</v>
          </cell>
        </row>
        <row r="231">
          <cell r="A231" t="str">
            <v>Solomon Islands</v>
          </cell>
        </row>
        <row r="232">
          <cell r="A232" t="str">
            <v>Sierra Leone</v>
          </cell>
        </row>
        <row r="233">
          <cell r="A233" t="str">
            <v>Somalia</v>
          </cell>
        </row>
        <row r="234">
          <cell r="A234" t="str">
            <v>St. Pierre &amp; Miquelon</v>
          </cell>
        </row>
        <row r="235">
          <cell r="A235" t="str">
            <v>South Sudan</v>
          </cell>
        </row>
        <row r="236">
          <cell r="A236" t="str">
            <v>SÃ£o TomÃ© &amp; PrÃ­ncipe</v>
          </cell>
        </row>
        <row r="237">
          <cell r="A237" t="str">
            <v>Sint Maarten</v>
          </cell>
        </row>
        <row r="238">
          <cell r="A238" t="str">
            <v>Seychelles</v>
          </cell>
        </row>
        <row r="239">
          <cell r="A239" t="str">
            <v>Turks &amp; Caicos Islands</v>
          </cell>
        </row>
        <row r="240">
          <cell r="A240" t="str">
            <v>Chad</v>
          </cell>
        </row>
        <row r="241">
          <cell r="A241" t="str">
            <v>Togo</v>
          </cell>
        </row>
        <row r="242">
          <cell r="A242" t="str">
            <v>Tajikistan</v>
          </cell>
        </row>
        <row r="243">
          <cell r="A243" t="str">
            <v>Tokelau</v>
          </cell>
        </row>
        <row r="244">
          <cell r="A244" t="str">
            <v>Turkmenistan</v>
          </cell>
        </row>
        <row r="245">
          <cell r="A245" t="str">
            <v>Tonga</v>
          </cell>
        </row>
        <row r="246">
          <cell r="A246" t="str">
            <v>Tuvalu</v>
          </cell>
        </row>
        <row r="247">
          <cell r="A247" t="str">
            <v>U.S. Outlying Islands</v>
          </cell>
        </row>
        <row r="248">
          <cell r="A248" t="str">
            <v>Vatican City</v>
          </cell>
        </row>
        <row r="249">
          <cell r="A249" t="str">
            <v>British Virgin Islands</v>
          </cell>
        </row>
        <row r="250">
          <cell r="A250" t="str">
            <v>Vanuatu</v>
          </cell>
        </row>
        <row r="251">
          <cell r="A251" t="str">
            <v>Wallis &amp; Futuna</v>
          </cell>
        </row>
        <row r="252">
          <cell r="A252" t="str">
            <v>Samoa</v>
          </cell>
        </row>
        <row r="253">
          <cell r="A253" t="str">
            <v>Kosovo</v>
          </cell>
        </row>
      </sheetData>
    </sheetDataSet>
  </externalBook>
</externalLink>
</file>

<file path=xl/externalLinks/externalLink2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27)"/>
    </sheetNames>
    <sheetDataSet>
      <sheetData sheetId="0">
        <row r="1">
          <cell r="A1" t="str">
            <v>Category: All categories</v>
          </cell>
        </row>
        <row r="3">
          <cell r="A3" t="str">
            <v>Country</v>
          </cell>
          <cell r="B3" t="str">
            <v>C++: (2017)</v>
          </cell>
          <cell r="C3" t="str">
            <v>Cache: (2017)</v>
          </cell>
        </row>
        <row r="4">
          <cell r="A4" t="str">
            <v>North Korea</v>
          </cell>
        </row>
        <row r="5">
          <cell r="A5" t="str">
            <v>China</v>
          </cell>
          <cell r="B5">
            <v>0.74</v>
          </cell>
          <cell r="C5">
            <v>0.26</v>
          </cell>
        </row>
        <row r="6">
          <cell r="A6" t="str">
            <v>Ethiopia</v>
          </cell>
        </row>
        <row r="7">
          <cell r="A7" t="str">
            <v>Cuba</v>
          </cell>
        </row>
        <row r="8">
          <cell r="A8" t="str">
            <v>South Korea</v>
          </cell>
          <cell r="B8">
            <v>0.8</v>
          </cell>
          <cell r="C8">
            <v>0.2</v>
          </cell>
        </row>
        <row r="9">
          <cell r="A9" t="str">
            <v>Pakistan</v>
          </cell>
          <cell r="B9">
            <v>0.87</v>
          </cell>
          <cell r="C9">
            <v>0.13</v>
          </cell>
        </row>
        <row r="10">
          <cell r="A10" t="str">
            <v>Tonga</v>
          </cell>
        </row>
        <row r="11">
          <cell r="A11" t="str">
            <v>Lesotho</v>
          </cell>
        </row>
        <row r="12">
          <cell r="A12" t="str">
            <v>Armenia</v>
          </cell>
        </row>
        <row r="13">
          <cell r="A13" t="str">
            <v>Iceland</v>
          </cell>
        </row>
        <row r="14">
          <cell r="A14" t="str">
            <v>Romania</v>
          </cell>
          <cell r="B14">
            <v>0.79</v>
          </cell>
          <cell r="C14">
            <v>0.21</v>
          </cell>
        </row>
        <row r="15">
          <cell r="A15" t="str">
            <v>Rwanda</v>
          </cell>
        </row>
        <row r="16">
          <cell r="A16" t="str">
            <v>Fiji</v>
          </cell>
        </row>
        <row r="17">
          <cell r="A17" t="str">
            <v>India</v>
          </cell>
          <cell r="B17">
            <v>0.78</v>
          </cell>
          <cell r="C17">
            <v>0.22</v>
          </cell>
        </row>
        <row r="18">
          <cell r="A18" t="str">
            <v>Belarus</v>
          </cell>
          <cell r="B18">
            <v>0.56999999999999995</v>
          </cell>
          <cell r="C18">
            <v>0.43</v>
          </cell>
        </row>
        <row r="19">
          <cell r="A19" t="str">
            <v>Israel</v>
          </cell>
          <cell r="B19">
            <v>0.73</v>
          </cell>
          <cell r="C19">
            <v>0.27</v>
          </cell>
        </row>
        <row r="20">
          <cell r="A20" t="str">
            <v>St. Helena</v>
          </cell>
          <cell r="B20">
            <v>0.65</v>
          </cell>
          <cell r="C20">
            <v>0.35</v>
          </cell>
        </row>
        <row r="21">
          <cell r="A21" t="str">
            <v>Taiwan</v>
          </cell>
          <cell r="B21">
            <v>0.73</v>
          </cell>
          <cell r="C21">
            <v>0.27</v>
          </cell>
        </row>
        <row r="22">
          <cell r="A22" t="str">
            <v>Singapore</v>
          </cell>
          <cell r="B22">
            <v>0.59</v>
          </cell>
          <cell r="C22">
            <v>0.41</v>
          </cell>
        </row>
        <row r="23">
          <cell r="A23" t="str">
            <v>Poland</v>
          </cell>
          <cell r="B23">
            <v>0.8</v>
          </cell>
          <cell r="C23">
            <v>0.2</v>
          </cell>
        </row>
        <row r="24">
          <cell r="A24" t="str">
            <v>Belize</v>
          </cell>
        </row>
        <row r="25">
          <cell r="A25" t="str">
            <v>Lithuania</v>
          </cell>
          <cell r="B25">
            <v>0.73</v>
          </cell>
          <cell r="C25">
            <v>0.27</v>
          </cell>
        </row>
        <row r="26">
          <cell r="A26" t="str">
            <v>Uzbekistan</v>
          </cell>
        </row>
        <row r="27">
          <cell r="A27" t="str">
            <v>Guatemala</v>
          </cell>
        </row>
        <row r="28">
          <cell r="A28" t="str">
            <v>Nepal</v>
          </cell>
        </row>
        <row r="29">
          <cell r="A29" t="str">
            <v>Faroe Islands</v>
          </cell>
        </row>
        <row r="30">
          <cell r="A30" t="str">
            <v>Ã…land Islands</v>
          </cell>
        </row>
        <row r="31">
          <cell r="A31" t="str">
            <v>Honduras</v>
          </cell>
        </row>
        <row r="32">
          <cell r="A32" t="str">
            <v>Malawi</v>
          </cell>
        </row>
        <row r="33">
          <cell r="A33" t="str">
            <v>Russia</v>
          </cell>
          <cell r="B33">
            <v>0.54</v>
          </cell>
          <cell r="C33">
            <v>0.46</v>
          </cell>
        </row>
        <row r="34">
          <cell r="A34" t="str">
            <v>North Macedonia</v>
          </cell>
        </row>
        <row r="35">
          <cell r="A35" t="str">
            <v>Zimbabwe</v>
          </cell>
        </row>
        <row r="36">
          <cell r="A36" t="str">
            <v>Czechia</v>
          </cell>
          <cell r="B36">
            <v>0.69</v>
          </cell>
          <cell r="C36">
            <v>0.31</v>
          </cell>
        </row>
        <row r="37">
          <cell r="A37" t="str">
            <v>Bosnia &amp; Herzegovina</v>
          </cell>
        </row>
        <row r="38">
          <cell r="A38" t="str">
            <v>Eswatini</v>
          </cell>
        </row>
        <row r="39">
          <cell r="A39" t="str">
            <v>Bulgaria</v>
          </cell>
          <cell r="B39">
            <v>0.68</v>
          </cell>
          <cell r="C39">
            <v>0.32</v>
          </cell>
        </row>
        <row r="40">
          <cell r="A40" t="str">
            <v>Gibraltar</v>
          </cell>
        </row>
        <row r="41">
          <cell r="A41" t="str">
            <v>Bangladesh</v>
          </cell>
          <cell r="B41">
            <v>0.81</v>
          </cell>
          <cell r="C41">
            <v>0.19</v>
          </cell>
        </row>
        <row r="42">
          <cell r="A42" t="str">
            <v>Ukraine</v>
          </cell>
          <cell r="B42">
            <v>0.53</v>
          </cell>
          <cell r="C42">
            <v>0.47</v>
          </cell>
        </row>
        <row r="43">
          <cell r="A43" t="str">
            <v>Latvia</v>
          </cell>
          <cell r="B43">
            <v>0.61</v>
          </cell>
          <cell r="C43">
            <v>0.39</v>
          </cell>
        </row>
        <row r="44">
          <cell r="A44" t="str">
            <v>Hong Kong</v>
          </cell>
          <cell r="B44">
            <v>0.61</v>
          </cell>
          <cell r="C44">
            <v>0.39</v>
          </cell>
        </row>
        <row r="45">
          <cell r="A45" t="str">
            <v>Cyprus</v>
          </cell>
        </row>
        <row r="46">
          <cell r="A46" t="str">
            <v>Mongolia</v>
          </cell>
        </row>
        <row r="47">
          <cell r="A47" t="str">
            <v>Iran</v>
          </cell>
          <cell r="B47">
            <v>0.82</v>
          </cell>
          <cell r="C47">
            <v>0.18</v>
          </cell>
        </row>
        <row r="48">
          <cell r="A48" t="str">
            <v>Germany</v>
          </cell>
          <cell r="B48">
            <v>0.62</v>
          </cell>
          <cell r="C48">
            <v>0.38</v>
          </cell>
        </row>
        <row r="49">
          <cell r="A49" t="str">
            <v>Madagascar</v>
          </cell>
        </row>
        <row r="50">
          <cell r="A50" t="str">
            <v>Malta</v>
          </cell>
        </row>
        <row r="51">
          <cell r="A51" t="str">
            <v>Benin</v>
          </cell>
        </row>
        <row r="52">
          <cell r="A52" t="str">
            <v>Slovenia</v>
          </cell>
        </row>
        <row r="53">
          <cell r="A53" t="str">
            <v>Switzerland</v>
          </cell>
          <cell r="B53">
            <v>0.6</v>
          </cell>
          <cell r="C53">
            <v>0.4</v>
          </cell>
        </row>
        <row r="54">
          <cell r="A54" t="str">
            <v>Afghanistan</v>
          </cell>
        </row>
        <row r="55">
          <cell r="A55" t="str">
            <v>Kazakhstan</v>
          </cell>
          <cell r="B55">
            <v>0.46</v>
          </cell>
          <cell r="C55">
            <v>0.54</v>
          </cell>
        </row>
        <row r="56">
          <cell r="A56" t="str">
            <v>Albania</v>
          </cell>
        </row>
        <row r="57">
          <cell r="A57" t="str">
            <v>Guernsey</v>
          </cell>
        </row>
        <row r="58">
          <cell r="A58" t="str">
            <v>Sweden</v>
          </cell>
          <cell r="B58">
            <v>0.6</v>
          </cell>
          <cell r="C58">
            <v>0.4</v>
          </cell>
        </row>
        <row r="59">
          <cell r="A59" t="str">
            <v>Austria</v>
          </cell>
          <cell r="B59">
            <v>0.62</v>
          </cell>
          <cell r="C59">
            <v>0.38</v>
          </cell>
        </row>
        <row r="60">
          <cell r="A60" t="str">
            <v>Hungary</v>
          </cell>
          <cell r="B60">
            <v>0.7</v>
          </cell>
          <cell r="C60">
            <v>0.3</v>
          </cell>
        </row>
        <row r="61">
          <cell r="A61" t="str">
            <v>Jordan</v>
          </cell>
        </row>
        <row r="62">
          <cell r="A62" t="str">
            <v>Moldova</v>
          </cell>
        </row>
        <row r="63">
          <cell r="A63" t="str">
            <v>Somalia</v>
          </cell>
        </row>
        <row r="64">
          <cell r="A64" t="str">
            <v>Estonia</v>
          </cell>
        </row>
        <row r="65">
          <cell r="A65" t="str">
            <v>Serbia</v>
          </cell>
          <cell r="B65">
            <v>0.72</v>
          </cell>
          <cell r="C65">
            <v>0.28000000000000003</v>
          </cell>
        </row>
        <row r="66">
          <cell r="A66" t="str">
            <v>Philippines</v>
          </cell>
          <cell r="B66">
            <v>0.56999999999999995</v>
          </cell>
          <cell r="C66">
            <v>0.43</v>
          </cell>
        </row>
        <row r="67">
          <cell r="A67" t="str">
            <v>Finland</v>
          </cell>
          <cell r="B67">
            <v>0.59</v>
          </cell>
          <cell r="C67">
            <v>0.41</v>
          </cell>
        </row>
        <row r="68">
          <cell r="A68" t="str">
            <v>Ecuador</v>
          </cell>
          <cell r="B68">
            <v>0.77</v>
          </cell>
          <cell r="C68">
            <v>0.23</v>
          </cell>
        </row>
        <row r="69">
          <cell r="A69" t="str">
            <v>Sri Lanka</v>
          </cell>
          <cell r="B69">
            <v>0.67</v>
          </cell>
          <cell r="C69">
            <v>0.33</v>
          </cell>
        </row>
        <row r="70">
          <cell r="A70" t="str">
            <v>Canada</v>
          </cell>
          <cell r="B70">
            <v>0.54</v>
          </cell>
          <cell r="C70">
            <v>0.46</v>
          </cell>
        </row>
        <row r="71">
          <cell r="A71" t="str">
            <v>Botswana</v>
          </cell>
        </row>
        <row r="72">
          <cell r="A72" t="str">
            <v>Sudan</v>
          </cell>
        </row>
        <row r="73">
          <cell r="A73" t="str">
            <v>Tunisia</v>
          </cell>
          <cell r="B73">
            <v>0.63</v>
          </cell>
          <cell r="C73">
            <v>0.37</v>
          </cell>
        </row>
        <row r="74">
          <cell r="A74" t="str">
            <v>Isle of Man</v>
          </cell>
        </row>
        <row r="75">
          <cell r="A75" t="str">
            <v>Slovakia</v>
          </cell>
          <cell r="B75">
            <v>0.69</v>
          </cell>
          <cell r="C75">
            <v>0.31</v>
          </cell>
        </row>
        <row r="76">
          <cell r="A76" t="str">
            <v>Japan</v>
          </cell>
          <cell r="B76">
            <v>0.47</v>
          </cell>
          <cell r="C76">
            <v>0.53</v>
          </cell>
        </row>
        <row r="77">
          <cell r="A77" t="str">
            <v>Croatia</v>
          </cell>
          <cell r="B77">
            <v>0.67</v>
          </cell>
          <cell r="C77">
            <v>0.33</v>
          </cell>
        </row>
        <row r="78">
          <cell r="A78" t="str">
            <v>Liechtenstein</v>
          </cell>
        </row>
        <row r="79">
          <cell r="A79" t="str">
            <v>United States</v>
          </cell>
          <cell r="B79">
            <v>0.56000000000000005</v>
          </cell>
          <cell r="C79">
            <v>0.44</v>
          </cell>
        </row>
        <row r="80">
          <cell r="A80" t="str">
            <v>Egypt</v>
          </cell>
          <cell r="B80">
            <v>0.83</v>
          </cell>
          <cell r="C80">
            <v>0.17</v>
          </cell>
        </row>
        <row r="81">
          <cell r="A81" t="str">
            <v>Ghana</v>
          </cell>
        </row>
        <row r="82">
          <cell r="A82" t="str">
            <v>Luxembourg</v>
          </cell>
        </row>
        <row r="83">
          <cell r="A83" t="str">
            <v>New Zealand</v>
          </cell>
          <cell r="B83">
            <v>0.4</v>
          </cell>
          <cell r="C83">
            <v>0.6</v>
          </cell>
        </row>
        <row r="84">
          <cell r="A84" t="str">
            <v>Norway</v>
          </cell>
          <cell r="B84">
            <v>0.59</v>
          </cell>
          <cell r="C84">
            <v>0.41</v>
          </cell>
        </row>
        <row r="85">
          <cell r="A85" t="str">
            <v>Bolivia</v>
          </cell>
        </row>
        <row r="86">
          <cell r="A86" t="str">
            <v>Ireland</v>
          </cell>
          <cell r="B86">
            <v>0.41</v>
          </cell>
          <cell r="C86">
            <v>0.59</v>
          </cell>
        </row>
        <row r="87">
          <cell r="A87" t="str">
            <v>Vietnam</v>
          </cell>
          <cell r="B87">
            <v>0.75</v>
          </cell>
          <cell r="C87">
            <v>0.25</v>
          </cell>
        </row>
        <row r="88">
          <cell r="A88" t="str">
            <v>Mexico</v>
          </cell>
          <cell r="B88">
            <v>0.7</v>
          </cell>
          <cell r="C88">
            <v>0.3</v>
          </cell>
        </row>
        <row r="89">
          <cell r="A89" t="str">
            <v>Laos</v>
          </cell>
        </row>
        <row r="90">
          <cell r="A90" t="str">
            <v>Cameroon</v>
          </cell>
        </row>
        <row r="91">
          <cell r="A91" t="str">
            <v>Turkmenistan</v>
          </cell>
        </row>
        <row r="92">
          <cell r="A92" t="str">
            <v>Myanmar (Burma)</v>
          </cell>
        </row>
        <row r="93">
          <cell r="A93" t="str">
            <v>Georgia</v>
          </cell>
        </row>
        <row r="94">
          <cell r="A94" t="str">
            <v>Malaysia</v>
          </cell>
          <cell r="B94">
            <v>0.62</v>
          </cell>
          <cell r="C94">
            <v>0.38</v>
          </cell>
        </row>
        <row r="95">
          <cell r="A95" t="str">
            <v>Togo</v>
          </cell>
        </row>
        <row r="96">
          <cell r="A96" t="str">
            <v>Mauritius</v>
          </cell>
        </row>
        <row r="97">
          <cell r="A97" t="str">
            <v>Caribbean Netherlands</v>
          </cell>
        </row>
        <row r="98">
          <cell r="A98" t="str">
            <v>Costa Rica</v>
          </cell>
        </row>
        <row r="99">
          <cell r="A99" t="str">
            <v>Netherlands</v>
          </cell>
          <cell r="B99">
            <v>0.47</v>
          </cell>
          <cell r="C99">
            <v>0.53</v>
          </cell>
        </row>
        <row r="100">
          <cell r="A100" t="str">
            <v>Australia</v>
          </cell>
          <cell r="B100">
            <v>0.42</v>
          </cell>
          <cell r="C100">
            <v>0.57999999999999996</v>
          </cell>
        </row>
        <row r="101">
          <cell r="A101" t="str">
            <v>Lebanon</v>
          </cell>
        </row>
        <row r="102">
          <cell r="A102" t="str">
            <v>United Kingdom</v>
          </cell>
          <cell r="B102">
            <v>0.42</v>
          </cell>
          <cell r="C102">
            <v>0.57999999999999996</v>
          </cell>
        </row>
        <row r="103">
          <cell r="A103" t="str">
            <v>CuraÃ§ao</v>
          </cell>
        </row>
        <row r="104">
          <cell r="A104" t="str">
            <v>Syria</v>
          </cell>
        </row>
        <row r="105">
          <cell r="A105" t="str">
            <v>Libya</v>
          </cell>
        </row>
        <row r="106">
          <cell r="A106" t="str">
            <v>Angola</v>
          </cell>
        </row>
        <row r="107">
          <cell r="A107" t="str">
            <v>Portugal</v>
          </cell>
          <cell r="B107">
            <v>0.54</v>
          </cell>
          <cell r="C107">
            <v>0.46</v>
          </cell>
        </row>
        <row r="108">
          <cell r="A108" t="str">
            <v>Trinidad &amp; Tobago</v>
          </cell>
        </row>
        <row r="109">
          <cell r="A109" t="str">
            <v>Cape Verde</v>
          </cell>
        </row>
        <row r="110">
          <cell r="A110" t="str">
            <v>Barbados</v>
          </cell>
        </row>
        <row r="111">
          <cell r="A111" t="str">
            <v>Maldives</v>
          </cell>
        </row>
        <row r="112">
          <cell r="A112" t="str">
            <v>Peru</v>
          </cell>
          <cell r="B112">
            <v>0.62</v>
          </cell>
          <cell r="C112">
            <v>0.38</v>
          </cell>
        </row>
        <row r="113">
          <cell r="A113" t="str">
            <v>Bhutan</v>
          </cell>
        </row>
        <row r="114">
          <cell r="A114" t="str">
            <v>Papua New Guinea</v>
          </cell>
        </row>
        <row r="115">
          <cell r="A115" t="str">
            <v>Cambodia</v>
          </cell>
        </row>
        <row r="116">
          <cell r="A116" t="str">
            <v>Grenada</v>
          </cell>
        </row>
        <row r="117">
          <cell r="A117" t="str">
            <v>Nicaragua</v>
          </cell>
        </row>
        <row r="118">
          <cell r="A118" t="str">
            <v>Azerbaijan</v>
          </cell>
        </row>
        <row r="119">
          <cell r="A119" t="str">
            <v>Yemen</v>
          </cell>
        </row>
        <row r="120">
          <cell r="A120" t="str">
            <v>Jersey</v>
          </cell>
        </row>
        <row r="121">
          <cell r="A121" t="str">
            <v>Kyrgyzstan</v>
          </cell>
        </row>
        <row r="122">
          <cell r="A122" t="str">
            <v>Kenya</v>
          </cell>
        </row>
        <row r="123">
          <cell r="A123" t="str">
            <v>St. Vincent &amp; Grenadines</v>
          </cell>
        </row>
        <row r="124">
          <cell r="A124" t="str">
            <v>Monaco</v>
          </cell>
        </row>
        <row r="125">
          <cell r="A125" t="str">
            <v>Bermuda</v>
          </cell>
        </row>
        <row r="126">
          <cell r="A126" t="str">
            <v>Aruba</v>
          </cell>
        </row>
        <row r="127">
          <cell r="A127" t="str">
            <v>Colombia</v>
          </cell>
          <cell r="B127">
            <v>0.65</v>
          </cell>
          <cell r="C127">
            <v>0.35</v>
          </cell>
        </row>
        <row r="128">
          <cell r="A128" t="str">
            <v>Antigua &amp; Barbuda</v>
          </cell>
        </row>
        <row r="129">
          <cell r="A129" t="str">
            <v>Jamaica</v>
          </cell>
        </row>
        <row r="130">
          <cell r="A130" t="str">
            <v>Burundi</v>
          </cell>
        </row>
        <row r="131">
          <cell r="A131" t="str">
            <v>Cayman Islands</v>
          </cell>
        </row>
        <row r="132">
          <cell r="A132" t="str">
            <v>Oman</v>
          </cell>
        </row>
        <row r="133">
          <cell r="A133" t="str">
            <v>Palestine</v>
          </cell>
        </row>
        <row r="134">
          <cell r="A134" t="str">
            <v>El Salvador</v>
          </cell>
        </row>
        <row r="135">
          <cell r="A135" t="str">
            <v>Andorra</v>
          </cell>
        </row>
        <row r="136">
          <cell r="A136" t="str">
            <v>Denmark</v>
          </cell>
          <cell r="B136">
            <v>0.51</v>
          </cell>
          <cell r="C136">
            <v>0.49</v>
          </cell>
        </row>
        <row r="137">
          <cell r="A137" t="str">
            <v>Greece</v>
          </cell>
          <cell r="B137">
            <v>0.62</v>
          </cell>
          <cell r="C137">
            <v>0.38</v>
          </cell>
        </row>
        <row r="138">
          <cell r="A138" t="str">
            <v>France</v>
          </cell>
          <cell r="B138">
            <v>0.56999999999999995</v>
          </cell>
          <cell r="C138">
            <v>0.43</v>
          </cell>
        </row>
        <row r="139">
          <cell r="A139" t="str">
            <v>Panama</v>
          </cell>
        </row>
        <row r="140">
          <cell r="A140" t="str">
            <v>Zambia</v>
          </cell>
        </row>
        <row r="141">
          <cell r="A141" t="str">
            <v>Belgium</v>
          </cell>
          <cell r="B141">
            <v>0.49</v>
          </cell>
          <cell r="C141">
            <v>0.51</v>
          </cell>
        </row>
        <row r="142">
          <cell r="A142" t="str">
            <v>Uganda</v>
          </cell>
        </row>
        <row r="143">
          <cell r="A143" t="str">
            <v>Guyana</v>
          </cell>
        </row>
        <row r="144">
          <cell r="A144" t="str">
            <v>Puerto Rico</v>
          </cell>
        </row>
        <row r="145">
          <cell r="A145" t="str">
            <v>Tanzania</v>
          </cell>
        </row>
        <row r="146">
          <cell r="A146" t="str">
            <v>Dominica</v>
          </cell>
        </row>
        <row r="147">
          <cell r="A147" t="str">
            <v>U.S. Virgin Islands</v>
          </cell>
        </row>
        <row r="148">
          <cell r="A148" t="str">
            <v>Spain</v>
          </cell>
          <cell r="B148">
            <v>0.47</v>
          </cell>
          <cell r="C148">
            <v>0.53</v>
          </cell>
        </row>
        <row r="149">
          <cell r="A149" t="str">
            <v>South Africa</v>
          </cell>
          <cell r="B149">
            <v>0.53</v>
          </cell>
          <cell r="C149">
            <v>0.47</v>
          </cell>
        </row>
        <row r="150">
          <cell r="A150" t="str">
            <v>Congo - Brazzaville</v>
          </cell>
        </row>
        <row r="151">
          <cell r="A151" t="str">
            <v>Macao</v>
          </cell>
        </row>
        <row r="152">
          <cell r="A152" t="str">
            <v>Brunei</v>
          </cell>
        </row>
        <row r="153">
          <cell r="A153" t="str">
            <v>Indonesia</v>
          </cell>
          <cell r="B153">
            <v>0.63</v>
          </cell>
          <cell r="C153">
            <v>0.37</v>
          </cell>
        </row>
        <row r="154">
          <cell r="A154" t="str">
            <v>Sierra Leone</v>
          </cell>
        </row>
        <row r="155">
          <cell r="A155" t="str">
            <v>French Guiana</v>
          </cell>
        </row>
        <row r="156">
          <cell r="A156" t="str">
            <v>Morocco</v>
          </cell>
          <cell r="B156">
            <v>0.66</v>
          </cell>
          <cell r="C156">
            <v>0.34</v>
          </cell>
        </row>
        <row r="157">
          <cell r="A157" t="str">
            <v>Italy</v>
          </cell>
          <cell r="B157">
            <v>0.54</v>
          </cell>
          <cell r="C157">
            <v>0.46</v>
          </cell>
        </row>
        <row r="158">
          <cell r="A158" t="str">
            <v>Tajikistan</v>
          </cell>
        </row>
        <row r="159">
          <cell r="A159" t="str">
            <v>French Polynesia</v>
          </cell>
        </row>
        <row r="160">
          <cell r="A160" t="str">
            <v>Algeria</v>
          </cell>
          <cell r="B160">
            <v>0.68</v>
          </cell>
          <cell r="C160">
            <v>0.32</v>
          </cell>
        </row>
        <row r="161">
          <cell r="A161" t="str">
            <v>Bahamas</v>
          </cell>
        </row>
        <row r="162">
          <cell r="A162" t="str">
            <v>Congo - Kinshasa</v>
          </cell>
        </row>
        <row r="163">
          <cell r="A163" t="str">
            <v>Thailand</v>
          </cell>
          <cell r="B163">
            <v>0.44</v>
          </cell>
          <cell r="C163">
            <v>0.56000000000000005</v>
          </cell>
        </row>
        <row r="164">
          <cell r="A164" t="str">
            <v>United Arab Emirates</v>
          </cell>
          <cell r="B164">
            <v>0.49</v>
          </cell>
          <cell r="C164">
            <v>0.51</v>
          </cell>
        </row>
        <row r="165">
          <cell r="A165" t="str">
            <v>Nigeria</v>
          </cell>
          <cell r="B165">
            <v>0.62</v>
          </cell>
          <cell r="C165">
            <v>0.38</v>
          </cell>
        </row>
        <row r="166">
          <cell r="A166" t="str">
            <v>Brazil</v>
          </cell>
          <cell r="B166">
            <v>0.43</v>
          </cell>
          <cell r="C166">
            <v>0.56999999999999995</v>
          </cell>
        </row>
        <row r="167">
          <cell r="A167" t="str">
            <v>Djibouti</v>
          </cell>
        </row>
        <row r="168">
          <cell r="A168" t="str">
            <v>Mayotte</v>
          </cell>
        </row>
        <row r="169">
          <cell r="A169" t="str">
            <v>Namibia</v>
          </cell>
        </row>
        <row r="170">
          <cell r="A170" t="str">
            <v>Senegal</v>
          </cell>
        </row>
        <row r="171">
          <cell r="A171" t="str">
            <v>Gabon</v>
          </cell>
        </row>
        <row r="172">
          <cell r="A172" t="str">
            <v>Bahrain</v>
          </cell>
        </row>
        <row r="173">
          <cell r="A173" t="str">
            <v>Mozambique</v>
          </cell>
        </row>
        <row r="174">
          <cell r="A174" t="str">
            <v>Uruguay</v>
          </cell>
        </row>
        <row r="175">
          <cell r="A175" t="str">
            <v>Guam</v>
          </cell>
        </row>
        <row r="176">
          <cell r="A176" t="str">
            <v>Kosovo</v>
          </cell>
        </row>
        <row r="177">
          <cell r="A177" t="str">
            <v>Paraguay</v>
          </cell>
        </row>
        <row r="178">
          <cell r="A178" t="str">
            <v>Iraq</v>
          </cell>
        </row>
        <row r="179">
          <cell r="A179" t="str">
            <v>Venezuela</v>
          </cell>
          <cell r="B179">
            <v>0.62</v>
          </cell>
          <cell r="C179">
            <v>0.38</v>
          </cell>
        </row>
        <row r="180">
          <cell r="A180" t="str">
            <v>Haiti</v>
          </cell>
        </row>
        <row r="181">
          <cell r="A181" t="str">
            <v>Dominican Republic</v>
          </cell>
        </row>
        <row r="182">
          <cell r="A182" t="str">
            <v>Montenegro</v>
          </cell>
        </row>
        <row r="183">
          <cell r="A183" t="str">
            <v>St. Lucia</v>
          </cell>
        </row>
        <row r="184">
          <cell r="A184" t="str">
            <v>New Caledonia</v>
          </cell>
        </row>
        <row r="185">
          <cell r="A185" t="str">
            <v>Turkey</v>
          </cell>
          <cell r="B185">
            <v>0.73</v>
          </cell>
          <cell r="C185">
            <v>0.27</v>
          </cell>
        </row>
        <row r="186">
          <cell r="A186" t="str">
            <v>Guadeloupe</v>
          </cell>
        </row>
        <row r="187">
          <cell r="A187" t="str">
            <v>Suriname</v>
          </cell>
        </row>
        <row r="188">
          <cell r="A188" t="str">
            <v>RÃ©union</v>
          </cell>
        </row>
        <row r="189">
          <cell r="A189" t="str">
            <v>CÃ´te dâ€™Ivoire</v>
          </cell>
        </row>
        <row r="190">
          <cell r="A190" t="str">
            <v>Niger</v>
          </cell>
        </row>
        <row r="191">
          <cell r="A191" t="str">
            <v>Argentina</v>
          </cell>
          <cell r="B191">
            <v>0.47</v>
          </cell>
          <cell r="C191">
            <v>0.53</v>
          </cell>
        </row>
        <row r="192">
          <cell r="A192" t="str">
            <v>Guinea</v>
          </cell>
        </row>
        <row r="193">
          <cell r="A193" t="str">
            <v>Mali</v>
          </cell>
        </row>
        <row r="194">
          <cell r="A194" t="str">
            <v>Chile</v>
          </cell>
          <cell r="B194">
            <v>0.5</v>
          </cell>
          <cell r="C194">
            <v>0.5</v>
          </cell>
        </row>
        <row r="195">
          <cell r="A195" t="str">
            <v>Qatar</v>
          </cell>
        </row>
        <row r="196">
          <cell r="A196" t="str">
            <v>Saudi Arabia</v>
          </cell>
          <cell r="B196">
            <v>0.69</v>
          </cell>
          <cell r="C196">
            <v>0.31</v>
          </cell>
        </row>
        <row r="197">
          <cell r="A197" t="str">
            <v>South Sudan</v>
          </cell>
        </row>
        <row r="198">
          <cell r="A198" t="str">
            <v>Kuwait</v>
          </cell>
        </row>
        <row r="199">
          <cell r="A199" t="str">
            <v>Liberia</v>
          </cell>
        </row>
        <row r="200">
          <cell r="A200" t="str">
            <v>Mauritania</v>
          </cell>
        </row>
        <row r="201">
          <cell r="A201" t="str">
            <v>Martinique</v>
          </cell>
        </row>
        <row r="202">
          <cell r="A202" t="str">
            <v>Burkina Faso</v>
          </cell>
        </row>
        <row r="203">
          <cell r="A203" t="str">
            <v>Eritrea</v>
          </cell>
        </row>
        <row r="204">
          <cell r="A204" t="str">
            <v>Montserrat</v>
          </cell>
        </row>
        <row r="205">
          <cell r="A205" t="str">
            <v>Vanuatu</v>
          </cell>
        </row>
        <row r="206">
          <cell r="A206" t="str">
            <v>Micronesia</v>
          </cell>
        </row>
        <row r="207">
          <cell r="A207" t="str">
            <v>Solomon Islands</v>
          </cell>
        </row>
        <row r="208">
          <cell r="A208" t="str">
            <v>SÃ£o TomÃ© &amp; PrÃ­ncipe</v>
          </cell>
        </row>
        <row r="209">
          <cell r="A209" t="str">
            <v>Equatorial Guinea</v>
          </cell>
        </row>
        <row r="210">
          <cell r="A210" t="str">
            <v>St. Pierre &amp; Miquelon</v>
          </cell>
        </row>
        <row r="211">
          <cell r="A211" t="str">
            <v>St. Kitts &amp; Nevis</v>
          </cell>
        </row>
        <row r="212">
          <cell r="A212" t="str">
            <v>Guinea-Bissau</v>
          </cell>
        </row>
        <row r="213">
          <cell r="A213" t="str">
            <v>Seychelles</v>
          </cell>
        </row>
        <row r="214">
          <cell r="A214" t="str">
            <v>Timor-Leste</v>
          </cell>
        </row>
        <row r="215">
          <cell r="A215" t="str">
            <v>Turks &amp; Caicos Islands</v>
          </cell>
        </row>
        <row r="216">
          <cell r="A216" t="str">
            <v>Central African Republic</v>
          </cell>
        </row>
        <row r="217">
          <cell r="A217" t="str">
            <v>Comoros</v>
          </cell>
        </row>
        <row r="218">
          <cell r="A218" t="str">
            <v>Northern Mariana Islands</v>
          </cell>
        </row>
        <row r="219">
          <cell r="A219" t="str">
            <v>San Marino</v>
          </cell>
        </row>
        <row r="220">
          <cell r="A220" t="str">
            <v>Samoa</v>
          </cell>
        </row>
        <row r="221">
          <cell r="A221" t="str">
            <v>Gambia</v>
          </cell>
        </row>
        <row r="222">
          <cell r="A222" t="str">
            <v>St. Martin</v>
          </cell>
        </row>
        <row r="223">
          <cell r="A223" t="str">
            <v>British Virgin Islands</v>
          </cell>
        </row>
        <row r="224">
          <cell r="A224" t="str">
            <v>St. BarthÃ©lemy</v>
          </cell>
        </row>
        <row r="225">
          <cell r="A225" t="str">
            <v>Sint Maarten</v>
          </cell>
        </row>
        <row r="226">
          <cell r="A226" t="str">
            <v>Western Sahara</v>
          </cell>
        </row>
        <row r="227">
          <cell r="A227" t="str">
            <v>Chad</v>
          </cell>
        </row>
        <row r="228">
          <cell r="A228" t="str">
            <v>Greenland</v>
          </cell>
        </row>
        <row r="229">
          <cell r="A229" t="str">
            <v>Anguilla</v>
          </cell>
        </row>
        <row r="230">
          <cell r="A230" t="str">
            <v>American Samoa</v>
          </cell>
        </row>
        <row r="231">
          <cell r="A231" t="str">
            <v>Antarctica</v>
          </cell>
        </row>
        <row r="232">
          <cell r="A232" t="str">
            <v>French Southern Territories</v>
          </cell>
        </row>
        <row r="233">
          <cell r="A233" t="str">
            <v>Bouvet Island</v>
          </cell>
        </row>
        <row r="234">
          <cell r="A234" t="str">
            <v>Cocos (Keeling) Islands</v>
          </cell>
        </row>
        <row r="235">
          <cell r="A235" t="str">
            <v>Cook Islands</v>
          </cell>
        </row>
        <row r="236">
          <cell r="A236" t="str">
            <v>Christmas Island</v>
          </cell>
        </row>
        <row r="237">
          <cell r="A237" t="str">
            <v>Falkland Islands (Islas Malvinas)</v>
          </cell>
        </row>
        <row r="238">
          <cell r="A238" t="str">
            <v>Heard &amp; McDonald Islands</v>
          </cell>
        </row>
        <row r="239">
          <cell r="A239" t="str">
            <v>British Indian Ocean Territory</v>
          </cell>
        </row>
        <row r="240">
          <cell r="A240" t="str">
            <v>Kiribati</v>
          </cell>
        </row>
        <row r="241">
          <cell r="A241" t="str">
            <v>Marshall Islands</v>
          </cell>
        </row>
        <row r="242">
          <cell r="A242" t="str">
            <v>Norfolk Island</v>
          </cell>
        </row>
        <row r="243">
          <cell r="A243" t="str">
            <v>Niue</v>
          </cell>
        </row>
        <row r="244">
          <cell r="A244" t="str">
            <v>Nauru</v>
          </cell>
        </row>
        <row r="245">
          <cell r="A245" t="str">
            <v>Pitcairn Islands</v>
          </cell>
        </row>
        <row r="246">
          <cell r="A246" t="str">
            <v>Palau</v>
          </cell>
        </row>
        <row r="247">
          <cell r="A247" t="str">
            <v>South Georgia &amp; South Sandwich Islands</v>
          </cell>
        </row>
        <row r="248">
          <cell r="A248" t="str">
            <v>Svalbard &amp; Jan Mayen</v>
          </cell>
        </row>
        <row r="249">
          <cell r="A249" t="str">
            <v>Tokelau</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2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26)"/>
    </sheetNames>
    <sheetDataSet>
      <sheetData sheetId="0">
        <row r="1">
          <cell r="A1" t="str">
            <v>Category: All categories</v>
          </cell>
        </row>
        <row r="3">
          <cell r="A3" t="str">
            <v>Country</v>
          </cell>
          <cell r="B3" t="str">
            <v>Database: (2017)</v>
          </cell>
          <cell r="C3" t="str">
            <v>C++: (2017)</v>
          </cell>
        </row>
        <row r="4">
          <cell r="A4" t="str">
            <v>North Korea</v>
          </cell>
        </row>
        <row r="5">
          <cell r="A5" t="str">
            <v>China</v>
          </cell>
          <cell r="B5">
            <v>0.39</v>
          </cell>
          <cell r="C5">
            <v>0.61</v>
          </cell>
        </row>
        <row r="6">
          <cell r="A6" t="str">
            <v>Eritrea</v>
          </cell>
        </row>
        <row r="7">
          <cell r="A7" t="str">
            <v>Cuba</v>
          </cell>
        </row>
        <row r="8">
          <cell r="A8" t="str">
            <v>Ethiopia</v>
          </cell>
          <cell r="B8">
            <v>0.54</v>
          </cell>
          <cell r="C8">
            <v>0.46</v>
          </cell>
        </row>
        <row r="9">
          <cell r="A9" t="str">
            <v>Botswana</v>
          </cell>
        </row>
        <row r="10">
          <cell r="A10" t="str">
            <v>Zimbabwe</v>
          </cell>
        </row>
        <row r="11">
          <cell r="A11" t="str">
            <v>Timor-Leste</v>
          </cell>
        </row>
        <row r="12">
          <cell r="A12" t="str">
            <v>Rwanda</v>
          </cell>
        </row>
        <row r="13">
          <cell r="A13" t="str">
            <v>Tonga</v>
          </cell>
        </row>
        <row r="14">
          <cell r="A14" t="str">
            <v>Central African Republic</v>
          </cell>
        </row>
        <row r="15">
          <cell r="A15" t="str">
            <v>Malawi</v>
          </cell>
        </row>
        <row r="16">
          <cell r="A16" t="str">
            <v>St. Helena</v>
          </cell>
          <cell r="B16">
            <v>0.68</v>
          </cell>
          <cell r="C16">
            <v>0.32</v>
          </cell>
        </row>
        <row r="17">
          <cell r="A17" t="str">
            <v>Papua New Guinea</v>
          </cell>
        </row>
        <row r="18">
          <cell r="A18" t="str">
            <v>Madagascar</v>
          </cell>
        </row>
        <row r="19">
          <cell r="A19" t="str">
            <v>South Korea</v>
          </cell>
          <cell r="B19">
            <v>0.46</v>
          </cell>
          <cell r="C19">
            <v>0.54</v>
          </cell>
        </row>
        <row r="20">
          <cell r="A20" t="str">
            <v>Nepal</v>
          </cell>
        </row>
        <row r="21">
          <cell r="A21" t="str">
            <v>Myanmar (Burma)</v>
          </cell>
        </row>
        <row r="22">
          <cell r="A22" t="str">
            <v>Benin</v>
          </cell>
        </row>
        <row r="23">
          <cell r="A23" t="str">
            <v>SÃ£o TomÃ© &amp; PrÃ­ncipe</v>
          </cell>
        </row>
        <row r="24">
          <cell r="A24" t="str">
            <v>Eswatini</v>
          </cell>
        </row>
        <row r="25">
          <cell r="A25" t="str">
            <v>Samoa</v>
          </cell>
        </row>
        <row r="26">
          <cell r="A26" t="str">
            <v>Afghanistan</v>
          </cell>
        </row>
        <row r="27">
          <cell r="A27" t="str">
            <v>Pakistan</v>
          </cell>
          <cell r="B27">
            <v>0.45</v>
          </cell>
          <cell r="C27">
            <v>0.55000000000000004</v>
          </cell>
        </row>
        <row r="28">
          <cell r="A28" t="str">
            <v>Guinea-Bissau</v>
          </cell>
        </row>
        <row r="29">
          <cell r="A29" t="str">
            <v>Lesotho</v>
          </cell>
        </row>
        <row r="30">
          <cell r="A30" t="str">
            <v>Uganda</v>
          </cell>
        </row>
        <row r="31">
          <cell r="A31" t="str">
            <v>Singapore</v>
          </cell>
          <cell r="B31">
            <v>0.65</v>
          </cell>
          <cell r="C31">
            <v>0.35</v>
          </cell>
        </row>
        <row r="32">
          <cell r="A32" t="str">
            <v>Cape Verde</v>
          </cell>
        </row>
        <row r="33">
          <cell r="A33" t="str">
            <v>Togo</v>
          </cell>
        </row>
        <row r="34">
          <cell r="A34" t="str">
            <v>Cameroon</v>
          </cell>
        </row>
        <row r="35">
          <cell r="A35" t="str">
            <v>Sri Lanka</v>
          </cell>
          <cell r="B35">
            <v>0.74</v>
          </cell>
          <cell r="C35">
            <v>0.26</v>
          </cell>
        </row>
        <row r="36">
          <cell r="A36" t="str">
            <v>Vanuatu</v>
          </cell>
        </row>
        <row r="37">
          <cell r="A37" t="str">
            <v>Angola</v>
          </cell>
        </row>
        <row r="38">
          <cell r="A38" t="str">
            <v>Equatorial Guinea</v>
          </cell>
        </row>
        <row r="39">
          <cell r="A39" t="str">
            <v>Ghana</v>
          </cell>
        </row>
        <row r="40">
          <cell r="A40" t="str">
            <v>Solomon Islands</v>
          </cell>
        </row>
        <row r="41">
          <cell r="A41" t="str">
            <v>Bhutan</v>
          </cell>
        </row>
        <row r="42">
          <cell r="A42" t="str">
            <v>Liechtenstein</v>
          </cell>
        </row>
        <row r="43">
          <cell r="A43" t="str">
            <v>India</v>
          </cell>
          <cell r="B43">
            <v>0.59</v>
          </cell>
          <cell r="C43">
            <v>0.41</v>
          </cell>
        </row>
        <row r="44">
          <cell r="A44" t="str">
            <v>Gibraltar</v>
          </cell>
        </row>
        <row r="45">
          <cell r="A45" t="str">
            <v>Congo - Brazzaville</v>
          </cell>
        </row>
        <row r="46">
          <cell r="A46" t="str">
            <v>Mauritius</v>
          </cell>
        </row>
        <row r="47">
          <cell r="A47" t="str">
            <v>Estonia</v>
          </cell>
        </row>
        <row r="48">
          <cell r="A48" t="str">
            <v>Congo - Kinshasa</v>
          </cell>
        </row>
        <row r="49">
          <cell r="A49" t="str">
            <v>Fiji</v>
          </cell>
        </row>
        <row r="50">
          <cell r="A50" t="str">
            <v>South Africa</v>
          </cell>
          <cell r="B50">
            <v>0.82</v>
          </cell>
          <cell r="C50">
            <v>0.18</v>
          </cell>
        </row>
        <row r="51">
          <cell r="A51" t="str">
            <v>Burundi</v>
          </cell>
        </row>
        <row r="52">
          <cell r="A52" t="str">
            <v>Philippines</v>
          </cell>
          <cell r="B52">
            <v>0.7</v>
          </cell>
          <cell r="C52">
            <v>0.3</v>
          </cell>
        </row>
        <row r="53">
          <cell r="A53" t="str">
            <v>Armenia</v>
          </cell>
        </row>
        <row r="54">
          <cell r="A54" t="str">
            <v>Luxembourg</v>
          </cell>
        </row>
        <row r="55">
          <cell r="A55" t="str">
            <v>Malta</v>
          </cell>
        </row>
        <row r="56">
          <cell r="A56" t="str">
            <v>Colombia</v>
          </cell>
          <cell r="B56">
            <v>0.78</v>
          </cell>
          <cell r="C56">
            <v>0.22</v>
          </cell>
        </row>
        <row r="57">
          <cell r="A57" t="str">
            <v>Sierra Leone</v>
          </cell>
        </row>
        <row r="58">
          <cell r="A58" t="str">
            <v>Ã…land Islands</v>
          </cell>
        </row>
        <row r="59">
          <cell r="A59" t="str">
            <v>Namibia</v>
          </cell>
        </row>
        <row r="60">
          <cell r="A60" t="str">
            <v>Latvia</v>
          </cell>
          <cell r="B60">
            <v>0.64</v>
          </cell>
          <cell r="C60">
            <v>0.36</v>
          </cell>
        </row>
        <row r="61">
          <cell r="A61" t="str">
            <v>Czechia</v>
          </cell>
          <cell r="B61">
            <v>0.62</v>
          </cell>
          <cell r="C61">
            <v>0.38</v>
          </cell>
        </row>
        <row r="62">
          <cell r="A62" t="str">
            <v>Tanzania</v>
          </cell>
        </row>
        <row r="63">
          <cell r="A63" t="str">
            <v>Somalia</v>
          </cell>
        </row>
        <row r="64">
          <cell r="A64" t="str">
            <v>Iceland</v>
          </cell>
        </row>
        <row r="65">
          <cell r="A65" t="str">
            <v>Tunisia</v>
          </cell>
          <cell r="B65">
            <v>0.7</v>
          </cell>
          <cell r="C65">
            <v>0.3</v>
          </cell>
        </row>
        <row r="66">
          <cell r="A66" t="str">
            <v>New Zealand</v>
          </cell>
          <cell r="B66">
            <v>0.79</v>
          </cell>
          <cell r="C66">
            <v>0.21</v>
          </cell>
        </row>
        <row r="67">
          <cell r="A67" t="str">
            <v>Zambia</v>
          </cell>
        </row>
        <row r="68">
          <cell r="A68" t="str">
            <v>El Salvador</v>
          </cell>
        </row>
        <row r="69">
          <cell r="A69" t="str">
            <v>Kenya</v>
          </cell>
          <cell r="B69">
            <v>0.76</v>
          </cell>
          <cell r="C69">
            <v>0.24</v>
          </cell>
        </row>
        <row r="70">
          <cell r="A70" t="str">
            <v>Senegal</v>
          </cell>
        </row>
        <row r="71">
          <cell r="A71" t="str">
            <v>Jamaica</v>
          </cell>
        </row>
        <row r="72">
          <cell r="A72" t="str">
            <v>Belize</v>
          </cell>
        </row>
        <row r="73">
          <cell r="A73" t="str">
            <v>Brunei</v>
          </cell>
        </row>
        <row r="74">
          <cell r="A74" t="str">
            <v>Liberia</v>
          </cell>
        </row>
        <row r="75">
          <cell r="A75" t="str">
            <v>Macao</v>
          </cell>
        </row>
        <row r="76">
          <cell r="A76" t="str">
            <v>Nigeria</v>
          </cell>
          <cell r="B76">
            <v>0.81</v>
          </cell>
          <cell r="C76">
            <v>0.19</v>
          </cell>
        </row>
        <row r="77">
          <cell r="A77" t="str">
            <v>Niger</v>
          </cell>
        </row>
        <row r="78">
          <cell r="A78" t="str">
            <v>Mozambique</v>
          </cell>
        </row>
        <row r="79">
          <cell r="A79" t="str">
            <v>Romania</v>
          </cell>
          <cell r="B79">
            <v>0.41</v>
          </cell>
          <cell r="C79">
            <v>0.59</v>
          </cell>
        </row>
        <row r="80">
          <cell r="A80" t="str">
            <v>Hong Kong</v>
          </cell>
          <cell r="B80">
            <v>0.62</v>
          </cell>
          <cell r="C80">
            <v>0.38</v>
          </cell>
        </row>
        <row r="81">
          <cell r="A81" t="str">
            <v>Canada</v>
          </cell>
          <cell r="B81">
            <v>0.67</v>
          </cell>
          <cell r="C81">
            <v>0.33</v>
          </cell>
        </row>
        <row r="82">
          <cell r="A82" t="str">
            <v>Ireland</v>
          </cell>
          <cell r="B82">
            <v>0.78</v>
          </cell>
          <cell r="C82">
            <v>0.22</v>
          </cell>
        </row>
        <row r="83">
          <cell r="A83" t="str">
            <v>Monaco</v>
          </cell>
        </row>
        <row r="84">
          <cell r="A84" t="str">
            <v>Nicaragua</v>
          </cell>
        </row>
        <row r="85">
          <cell r="A85" t="str">
            <v>Taiwan</v>
          </cell>
          <cell r="B85">
            <v>0.54</v>
          </cell>
          <cell r="C85">
            <v>0.46</v>
          </cell>
        </row>
        <row r="86">
          <cell r="A86" t="str">
            <v>Maldives</v>
          </cell>
        </row>
        <row r="87">
          <cell r="A87" t="str">
            <v>Gambia</v>
          </cell>
        </row>
        <row r="88">
          <cell r="A88" t="str">
            <v>Australia</v>
          </cell>
          <cell r="B88">
            <v>0.78</v>
          </cell>
          <cell r="C88">
            <v>0.22</v>
          </cell>
        </row>
        <row r="89">
          <cell r="A89" t="str">
            <v>Switzerland</v>
          </cell>
          <cell r="B89">
            <v>0.63</v>
          </cell>
          <cell r="C89">
            <v>0.37</v>
          </cell>
        </row>
        <row r="90">
          <cell r="A90" t="str">
            <v>Guatemala</v>
          </cell>
          <cell r="B90">
            <v>0.55000000000000004</v>
          </cell>
          <cell r="C90">
            <v>0.45</v>
          </cell>
        </row>
        <row r="91">
          <cell r="A91" t="str">
            <v>Ecuador</v>
          </cell>
          <cell r="B91">
            <v>0.65</v>
          </cell>
          <cell r="C91">
            <v>0.35</v>
          </cell>
        </row>
        <row r="92">
          <cell r="A92" t="str">
            <v>United States</v>
          </cell>
          <cell r="B92">
            <v>0.67</v>
          </cell>
          <cell r="C92">
            <v>0.33</v>
          </cell>
        </row>
        <row r="93">
          <cell r="A93" t="str">
            <v>Belarus</v>
          </cell>
          <cell r="B93">
            <v>0.49</v>
          </cell>
          <cell r="C93">
            <v>0.51</v>
          </cell>
        </row>
        <row r="94">
          <cell r="A94" t="str">
            <v>Israel</v>
          </cell>
          <cell r="B94">
            <v>0.41</v>
          </cell>
          <cell r="C94">
            <v>0.59</v>
          </cell>
        </row>
        <row r="95">
          <cell r="A95" t="str">
            <v>Honduras</v>
          </cell>
        </row>
        <row r="96">
          <cell r="A96" t="str">
            <v>Lebanon</v>
          </cell>
        </row>
        <row r="97">
          <cell r="A97" t="str">
            <v>Portugal</v>
          </cell>
          <cell r="B97">
            <v>0.71</v>
          </cell>
          <cell r="C97">
            <v>0.28999999999999998</v>
          </cell>
        </row>
        <row r="98">
          <cell r="A98" t="str">
            <v>Isle of Man</v>
          </cell>
        </row>
        <row r="99">
          <cell r="A99" t="str">
            <v>Djibouti</v>
          </cell>
        </row>
        <row r="100">
          <cell r="A100" t="str">
            <v>Malaysia</v>
          </cell>
          <cell r="B100">
            <v>0.69</v>
          </cell>
          <cell r="C100">
            <v>0.31</v>
          </cell>
        </row>
        <row r="101">
          <cell r="A101" t="str">
            <v>Faroe Islands</v>
          </cell>
        </row>
        <row r="102">
          <cell r="A102" t="str">
            <v>Bermuda</v>
          </cell>
        </row>
        <row r="103">
          <cell r="A103" t="str">
            <v>Trinidad &amp; Tobago</v>
          </cell>
        </row>
        <row r="104">
          <cell r="A104" t="str">
            <v>Grenada</v>
          </cell>
        </row>
        <row r="105">
          <cell r="A105" t="str">
            <v>Sudan</v>
          </cell>
        </row>
        <row r="106">
          <cell r="A106" t="str">
            <v>Netherlands</v>
          </cell>
          <cell r="B106">
            <v>0.72</v>
          </cell>
          <cell r="C106">
            <v>0.28000000000000003</v>
          </cell>
        </row>
        <row r="107">
          <cell r="A107" t="str">
            <v>Panama</v>
          </cell>
        </row>
        <row r="108">
          <cell r="A108" t="str">
            <v>North Macedonia</v>
          </cell>
        </row>
        <row r="109">
          <cell r="A109" t="str">
            <v>Laos</v>
          </cell>
        </row>
        <row r="110">
          <cell r="A110" t="str">
            <v>Cyprus</v>
          </cell>
        </row>
        <row r="111">
          <cell r="A111" t="str">
            <v>Haiti</v>
          </cell>
        </row>
        <row r="112">
          <cell r="A112" t="str">
            <v>Indonesia</v>
          </cell>
          <cell r="B112">
            <v>0.76</v>
          </cell>
          <cell r="C112">
            <v>0.24</v>
          </cell>
        </row>
        <row r="113">
          <cell r="A113" t="str">
            <v>Costa Rica</v>
          </cell>
        </row>
        <row r="114">
          <cell r="A114" t="str">
            <v>St. Vincent &amp; Grenadines</v>
          </cell>
        </row>
        <row r="115">
          <cell r="A115" t="str">
            <v>Jersey</v>
          </cell>
        </row>
        <row r="116">
          <cell r="A116" t="str">
            <v>Denmark</v>
          </cell>
          <cell r="B116">
            <v>0.72</v>
          </cell>
          <cell r="C116">
            <v>0.28000000000000003</v>
          </cell>
        </row>
        <row r="117">
          <cell r="A117" t="str">
            <v>Bolivia</v>
          </cell>
          <cell r="B117">
            <v>0.65</v>
          </cell>
          <cell r="C117">
            <v>0.35</v>
          </cell>
        </row>
        <row r="118">
          <cell r="A118" t="str">
            <v>CÃ´te dâ€™Ivoire</v>
          </cell>
        </row>
        <row r="119">
          <cell r="A119" t="str">
            <v>Peru</v>
          </cell>
          <cell r="B119">
            <v>0.7</v>
          </cell>
          <cell r="C119">
            <v>0.3</v>
          </cell>
        </row>
        <row r="120">
          <cell r="A120" t="str">
            <v>Mexico</v>
          </cell>
          <cell r="B120">
            <v>0.65</v>
          </cell>
          <cell r="C120">
            <v>0.35</v>
          </cell>
        </row>
        <row r="121">
          <cell r="A121" t="str">
            <v>Poland</v>
          </cell>
          <cell r="B121">
            <v>0.46</v>
          </cell>
          <cell r="C121">
            <v>0.54</v>
          </cell>
        </row>
        <row r="122">
          <cell r="A122" t="str">
            <v>South Sudan</v>
          </cell>
        </row>
        <row r="123">
          <cell r="A123" t="str">
            <v>Germany</v>
          </cell>
          <cell r="B123">
            <v>0.56999999999999995</v>
          </cell>
          <cell r="C123">
            <v>0.43</v>
          </cell>
        </row>
        <row r="124">
          <cell r="A124" t="str">
            <v>United Kingdom</v>
          </cell>
          <cell r="B124">
            <v>0.75</v>
          </cell>
          <cell r="C124">
            <v>0.25</v>
          </cell>
        </row>
        <row r="125">
          <cell r="A125" t="str">
            <v>Cambodia</v>
          </cell>
        </row>
        <row r="126">
          <cell r="A126" t="str">
            <v>Belgium</v>
          </cell>
          <cell r="B126">
            <v>0.73</v>
          </cell>
          <cell r="C126">
            <v>0.27</v>
          </cell>
        </row>
        <row r="127">
          <cell r="A127" t="str">
            <v>Gabon</v>
          </cell>
        </row>
        <row r="128">
          <cell r="A128" t="str">
            <v>Mongolia</v>
          </cell>
        </row>
        <row r="129">
          <cell r="A129" t="str">
            <v>Bangladesh</v>
          </cell>
          <cell r="B129">
            <v>0.55000000000000004</v>
          </cell>
          <cell r="C129">
            <v>0.45</v>
          </cell>
        </row>
        <row r="130">
          <cell r="A130" t="str">
            <v>Lithuania</v>
          </cell>
          <cell r="B130">
            <v>0.5</v>
          </cell>
          <cell r="C130">
            <v>0.5</v>
          </cell>
        </row>
        <row r="131">
          <cell r="A131" t="str">
            <v>CuraÃ§ao</v>
          </cell>
        </row>
        <row r="132">
          <cell r="A132" t="str">
            <v>Dominica</v>
          </cell>
        </row>
        <row r="133">
          <cell r="A133" t="str">
            <v>Yemen</v>
          </cell>
        </row>
        <row r="134">
          <cell r="A134" t="str">
            <v>Japan</v>
          </cell>
          <cell r="B134">
            <v>0.65</v>
          </cell>
          <cell r="C134">
            <v>0.35</v>
          </cell>
        </row>
        <row r="135">
          <cell r="A135" t="str">
            <v>Hungary</v>
          </cell>
          <cell r="B135">
            <v>0.6</v>
          </cell>
          <cell r="C135">
            <v>0.4</v>
          </cell>
        </row>
        <row r="136">
          <cell r="A136" t="str">
            <v>Sint Maarten</v>
          </cell>
        </row>
        <row r="137">
          <cell r="A137" t="str">
            <v>United Arab Emirates</v>
          </cell>
          <cell r="B137">
            <v>0.77</v>
          </cell>
          <cell r="C137">
            <v>0.23</v>
          </cell>
        </row>
        <row r="138">
          <cell r="A138" t="str">
            <v>Austria</v>
          </cell>
          <cell r="B138">
            <v>0.59</v>
          </cell>
          <cell r="C138">
            <v>0.41</v>
          </cell>
        </row>
        <row r="139">
          <cell r="A139" t="str">
            <v>Uzbekistan</v>
          </cell>
        </row>
        <row r="140">
          <cell r="A140" t="str">
            <v>Andorra</v>
          </cell>
        </row>
        <row r="141">
          <cell r="A141" t="str">
            <v>Bahrain</v>
          </cell>
        </row>
        <row r="142">
          <cell r="A142" t="str">
            <v>Sweden</v>
          </cell>
          <cell r="B142">
            <v>0.57999999999999996</v>
          </cell>
          <cell r="C142">
            <v>0.42</v>
          </cell>
        </row>
        <row r="143">
          <cell r="A143" t="str">
            <v>Antigua &amp; Barbuda</v>
          </cell>
        </row>
        <row r="144">
          <cell r="A144" t="str">
            <v>Albania</v>
          </cell>
        </row>
        <row r="145">
          <cell r="A145" t="str">
            <v>Slovakia</v>
          </cell>
          <cell r="B145">
            <v>0.61</v>
          </cell>
          <cell r="C145">
            <v>0.39</v>
          </cell>
        </row>
        <row r="146">
          <cell r="A146" t="str">
            <v>Guernsey</v>
          </cell>
        </row>
        <row r="147">
          <cell r="A147" t="str">
            <v>Finland</v>
          </cell>
          <cell r="B147">
            <v>0.59</v>
          </cell>
          <cell r="C147">
            <v>0.41</v>
          </cell>
        </row>
        <row r="148">
          <cell r="A148" t="str">
            <v>Barbados</v>
          </cell>
        </row>
        <row r="149">
          <cell r="A149" t="str">
            <v>Burkina Faso</v>
          </cell>
        </row>
        <row r="150">
          <cell r="A150" t="str">
            <v>Caribbean Netherlands</v>
          </cell>
        </row>
        <row r="151">
          <cell r="A151" t="str">
            <v>Seychelles</v>
          </cell>
        </row>
        <row r="152">
          <cell r="A152" t="str">
            <v>Libya</v>
          </cell>
        </row>
        <row r="153">
          <cell r="A153" t="str">
            <v>Serbia</v>
          </cell>
          <cell r="B153">
            <v>0.59</v>
          </cell>
          <cell r="C153">
            <v>0.41</v>
          </cell>
        </row>
        <row r="154">
          <cell r="A154" t="str">
            <v>Russia</v>
          </cell>
          <cell r="B154">
            <v>0.5</v>
          </cell>
          <cell r="C154">
            <v>0.5</v>
          </cell>
        </row>
        <row r="155">
          <cell r="A155" t="str">
            <v>Oman</v>
          </cell>
        </row>
        <row r="156">
          <cell r="A156" t="str">
            <v>Dominican Republic</v>
          </cell>
        </row>
        <row r="157">
          <cell r="A157" t="str">
            <v>Norway</v>
          </cell>
          <cell r="B157">
            <v>0.61</v>
          </cell>
          <cell r="C157">
            <v>0.39</v>
          </cell>
        </row>
        <row r="158">
          <cell r="A158" t="str">
            <v>Ukraine</v>
          </cell>
          <cell r="B158">
            <v>0.52</v>
          </cell>
          <cell r="C158">
            <v>0.48</v>
          </cell>
        </row>
        <row r="159">
          <cell r="A159" t="str">
            <v>San Marino</v>
          </cell>
        </row>
        <row r="160">
          <cell r="A160" t="str">
            <v>Bulgaria</v>
          </cell>
          <cell r="B160">
            <v>0.48</v>
          </cell>
          <cell r="C160">
            <v>0.52</v>
          </cell>
        </row>
        <row r="161">
          <cell r="A161" t="str">
            <v>Bosnia &amp; Herzegovina</v>
          </cell>
        </row>
        <row r="162">
          <cell r="A162" t="str">
            <v>Slovenia</v>
          </cell>
        </row>
        <row r="163">
          <cell r="A163" t="str">
            <v>St. Lucia</v>
          </cell>
        </row>
        <row r="164">
          <cell r="A164" t="str">
            <v>Kosovo</v>
          </cell>
        </row>
        <row r="165">
          <cell r="A165" t="str">
            <v>Guyana</v>
          </cell>
        </row>
        <row r="166">
          <cell r="A166" t="str">
            <v>Croatia</v>
          </cell>
          <cell r="B166">
            <v>0.57999999999999996</v>
          </cell>
          <cell r="C166">
            <v>0.42</v>
          </cell>
        </row>
        <row r="167">
          <cell r="A167" t="str">
            <v>Moldova</v>
          </cell>
        </row>
        <row r="168">
          <cell r="A168" t="str">
            <v>Italy</v>
          </cell>
          <cell r="B168">
            <v>0.71</v>
          </cell>
          <cell r="C168">
            <v>0.28999999999999998</v>
          </cell>
        </row>
        <row r="169">
          <cell r="A169" t="str">
            <v>Cayman Islands</v>
          </cell>
        </row>
        <row r="170">
          <cell r="A170" t="str">
            <v>Jordan</v>
          </cell>
          <cell r="B170">
            <v>0.54</v>
          </cell>
          <cell r="C170">
            <v>0.46</v>
          </cell>
        </row>
        <row r="171">
          <cell r="A171" t="str">
            <v>Chad</v>
          </cell>
        </row>
        <row r="172">
          <cell r="A172" t="str">
            <v>Suriname</v>
          </cell>
        </row>
        <row r="173">
          <cell r="A173" t="str">
            <v>Mali</v>
          </cell>
        </row>
        <row r="174">
          <cell r="A174" t="str">
            <v>Iran</v>
          </cell>
          <cell r="B174">
            <v>0.46</v>
          </cell>
          <cell r="C174">
            <v>0.54</v>
          </cell>
        </row>
        <row r="175">
          <cell r="A175" t="str">
            <v>Spain</v>
          </cell>
          <cell r="B175">
            <v>0.71</v>
          </cell>
          <cell r="C175">
            <v>0.28999999999999998</v>
          </cell>
        </row>
        <row r="176">
          <cell r="A176" t="str">
            <v>Kazakhstan</v>
          </cell>
          <cell r="B176">
            <v>0.56000000000000005</v>
          </cell>
          <cell r="C176">
            <v>0.44</v>
          </cell>
        </row>
        <row r="177">
          <cell r="A177" t="str">
            <v>Qatar</v>
          </cell>
        </row>
        <row r="178">
          <cell r="A178" t="str">
            <v>Thailand</v>
          </cell>
          <cell r="B178">
            <v>0.75</v>
          </cell>
          <cell r="C178">
            <v>0.25</v>
          </cell>
        </row>
        <row r="179">
          <cell r="A179" t="str">
            <v>Chile</v>
          </cell>
          <cell r="B179">
            <v>0.78</v>
          </cell>
          <cell r="C179">
            <v>0.22</v>
          </cell>
        </row>
        <row r="180">
          <cell r="A180" t="str">
            <v>Kyrgyzstan</v>
          </cell>
        </row>
        <row r="181">
          <cell r="A181" t="str">
            <v>Paraguay</v>
          </cell>
        </row>
        <row r="182">
          <cell r="A182" t="str">
            <v>U.S. Virgin Islands</v>
          </cell>
        </row>
        <row r="183">
          <cell r="A183" t="str">
            <v>Puerto Rico</v>
          </cell>
        </row>
        <row r="184">
          <cell r="A184" t="str">
            <v>Morocco</v>
          </cell>
          <cell r="B184">
            <v>0.67</v>
          </cell>
          <cell r="C184">
            <v>0.33</v>
          </cell>
        </row>
        <row r="185">
          <cell r="A185" t="str">
            <v>France</v>
          </cell>
          <cell r="B185">
            <v>0.63</v>
          </cell>
          <cell r="C185">
            <v>0.37</v>
          </cell>
        </row>
        <row r="186">
          <cell r="A186" t="str">
            <v>New Caledonia</v>
          </cell>
        </row>
        <row r="187">
          <cell r="A187" t="str">
            <v>Egypt</v>
          </cell>
          <cell r="B187">
            <v>0.54</v>
          </cell>
          <cell r="C187">
            <v>0.46</v>
          </cell>
        </row>
        <row r="188">
          <cell r="A188" t="str">
            <v>Greenland</v>
          </cell>
        </row>
        <row r="189">
          <cell r="A189" t="str">
            <v>Mauritania</v>
          </cell>
        </row>
        <row r="190">
          <cell r="A190" t="str">
            <v>Northern Mariana Islands</v>
          </cell>
        </row>
        <row r="191">
          <cell r="A191" t="str">
            <v>Palestine</v>
          </cell>
        </row>
        <row r="192">
          <cell r="A192" t="str">
            <v>Uruguay</v>
          </cell>
        </row>
        <row r="193">
          <cell r="A193" t="str">
            <v>Algeria</v>
          </cell>
          <cell r="B193">
            <v>0.66</v>
          </cell>
          <cell r="C193">
            <v>0.34</v>
          </cell>
        </row>
        <row r="194">
          <cell r="A194" t="str">
            <v>St. Kitts &amp; Nevis</v>
          </cell>
        </row>
        <row r="195">
          <cell r="A195" t="str">
            <v>French Polynesia</v>
          </cell>
        </row>
        <row r="196">
          <cell r="A196" t="str">
            <v>Guinea</v>
          </cell>
        </row>
        <row r="197">
          <cell r="A197" t="str">
            <v>Greece</v>
          </cell>
          <cell r="B197">
            <v>0.6</v>
          </cell>
          <cell r="C197">
            <v>0.4</v>
          </cell>
        </row>
        <row r="198">
          <cell r="A198" t="str">
            <v>Saudi Arabia</v>
          </cell>
          <cell r="B198">
            <v>0.75</v>
          </cell>
          <cell r="C198">
            <v>0.25</v>
          </cell>
        </row>
        <row r="199">
          <cell r="A199" t="str">
            <v>Kuwait</v>
          </cell>
        </row>
        <row r="200">
          <cell r="A200" t="str">
            <v>British Virgin Islands</v>
          </cell>
        </row>
        <row r="201">
          <cell r="A201" t="str">
            <v>Vietnam</v>
          </cell>
          <cell r="B201">
            <v>0.48</v>
          </cell>
          <cell r="C201">
            <v>0.52</v>
          </cell>
        </row>
        <row r="202">
          <cell r="A202" t="str">
            <v>Montenegro</v>
          </cell>
        </row>
        <row r="203">
          <cell r="A203" t="str">
            <v>Venezuela</v>
          </cell>
          <cell r="B203">
            <v>0.66</v>
          </cell>
          <cell r="C203">
            <v>0.34</v>
          </cell>
        </row>
        <row r="204">
          <cell r="A204" t="str">
            <v>Brazil</v>
          </cell>
          <cell r="B204">
            <v>0.71</v>
          </cell>
          <cell r="C204">
            <v>0.28999999999999998</v>
          </cell>
        </row>
        <row r="205">
          <cell r="A205" t="str">
            <v>Guam</v>
          </cell>
        </row>
        <row r="206">
          <cell r="A206" t="str">
            <v>Georgia</v>
          </cell>
        </row>
        <row r="207">
          <cell r="A207" t="str">
            <v>Tajikistan</v>
          </cell>
        </row>
        <row r="208">
          <cell r="A208" t="str">
            <v>Mayotte</v>
          </cell>
        </row>
        <row r="209">
          <cell r="A209" t="str">
            <v>Bahamas</v>
          </cell>
        </row>
        <row r="210">
          <cell r="A210" t="str">
            <v>Syria</v>
          </cell>
        </row>
        <row r="211">
          <cell r="A211" t="str">
            <v>RÃ©union</v>
          </cell>
        </row>
        <row r="212">
          <cell r="A212" t="str">
            <v>Aruba</v>
          </cell>
        </row>
        <row r="213">
          <cell r="A213" t="str">
            <v>Azerbaijan</v>
          </cell>
        </row>
        <row r="214">
          <cell r="A214" t="str">
            <v>Argentina</v>
          </cell>
          <cell r="B214">
            <v>0.7</v>
          </cell>
          <cell r="C214">
            <v>0.3</v>
          </cell>
        </row>
        <row r="215">
          <cell r="A215" t="str">
            <v>French Guiana</v>
          </cell>
        </row>
        <row r="216">
          <cell r="A216" t="str">
            <v>Guadeloupe</v>
          </cell>
        </row>
        <row r="217">
          <cell r="A217" t="str">
            <v>Martinique</v>
          </cell>
        </row>
        <row r="218">
          <cell r="A218" t="str">
            <v>Turkey</v>
          </cell>
          <cell r="B218">
            <v>0.6</v>
          </cell>
          <cell r="C218">
            <v>0.4</v>
          </cell>
        </row>
        <row r="219">
          <cell r="A219" t="str">
            <v>Turks &amp; Caicos Islands</v>
          </cell>
        </row>
        <row r="220">
          <cell r="A220" t="str">
            <v>Turkmenistan</v>
          </cell>
        </row>
        <row r="221">
          <cell r="A221" t="str">
            <v>Iraq</v>
          </cell>
        </row>
        <row r="222">
          <cell r="A222" t="str">
            <v>Western Sahara</v>
          </cell>
        </row>
        <row r="223">
          <cell r="A223" t="str">
            <v>Cook Islands</v>
          </cell>
        </row>
        <row r="224">
          <cell r="A224" t="str">
            <v>Marshall Islands</v>
          </cell>
        </row>
        <row r="225">
          <cell r="A225" t="str">
            <v>Montserrat</v>
          </cell>
        </row>
        <row r="226">
          <cell r="A226" t="str">
            <v>Falkland Islands (Islas Malvinas)</v>
          </cell>
        </row>
        <row r="227">
          <cell r="A227" t="str">
            <v>Anguilla</v>
          </cell>
        </row>
        <row r="228">
          <cell r="A228" t="str">
            <v>Comoros</v>
          </cell>
        </row>
        <row r="229">
          <cell r="A229" t="str">
            <v>Micronesia</v>
          </cell>
        </row>
        <row r="230">
          <cell r="A230" t="str">
            <v>Palau</v>
          </cell>
        </row>
        <row r="231">
          <cell r="A231" t="str">
            <v>Svalbard &amp; Jan Mayen</v>
          </cell>
        </row>
        <row r="232">
          <cell r="A232" t="str">
            <v>American Samoa</v>
          </cell>
        </row>
        <row r="233">
          <cell r="A233" t="str">
            <v>St. Pierre &amp; Miquelon</v>
          </cell>
        </row>
        <row r="234">
          <cell r="A234" t="str">
            <v>St. Martin</v>
          </cell>
        </row>
        <row r="235">
          <cell r="A235" t="str">
            <v>St. BarthÃ©lemy</v>
          </cell>
        </row>
        <row r="236">
          <cell r="A236" t="str">
            <v>Antarctica</v>
          </cell>
        </row>
        <row r="237">
          <cell r="A237" t="str">
            <v>French Southern Territories</v>
          </cell>
        </row>
        <row r="238">
          <cell r="A238" t="str">
            <v>Bouvet Island</v>
          </cell>
        </row>
        <row r="239">
          <cell r="A239" t="str">
            <v>Cocos (Keeling) Islands</v>
          </cell>
        </row>
        <row r="240">
          <cell r="A240" t="str">
            <v>Christmas Island</v>
          </cell>
        </row>
        <row r="241">
          <cell r="A241" t="str">
            <v>Heard &amp; McDonald Islands</v>
          </cell>
        </row>
        <row r="242">
          <cell r="A242" t="str">
            <v>British Indian Ocean Territory</v>
          </cell>
        </row>
        <row r="243">
          <cell r="A243" t="str">
            <v>Kiribati</v>
          </cell>
        </row>
        <row r="244">
          <cell r="A244" t="str">
            <v>Norfolk Island</v>
          </cell>
        </row>
        <row r="245">
          <cell r="A245" t="str">
            <v>Niue</v>
          </cell>
        </row>
        <row r="246">
          <cell r="A246" t="str">
            <v>Nauru</v>
          </cell>
        </row>
        <row r="247">
          <cell r="A247" t="str">
            <v>Pitcairn Islands</v>
          </cell>
        </row>
        <row r="248">
          <cell r="A248" t="str">
            <v>South Georgia &amp; South Sandwich Islands</v>
          </cell>
        </row>
        <row r="249">
          <cell r="A249" t="str">
            <v>Tokelau</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2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29)"/>
    </sheetNames>
    <sheetDataSet>
      <sheetData sheetId="0">
        <row r="1">
          <cell r="A1" t="str">
            <v>Category: All categories</v>
          </cell>
        </row>
        <row r="3">
          <cell r="A3" t="str">
            <v>Country</v>
          </cell>
          <cell r="B3" t="str">
            <v>Hypertext Transfer Protocol: (2017)</v>
          </cell>
          <cell r="C3" t="str">
            <v>NaN: (2017)</v>
          </cell>
        </row>
        <row r="4">
          <cell r="A4" t="str">
            <v>China</v>
          </cell>
          <cell r="B4">
            <v>0.94</v>
          </cell>
          <cell r="C4">
            <v>0.06</v>
          </cell>
        </row>
        <row r="5">
          <cell r="A5" t="str">
            <v>Haiti</v>
          </cell>
        </row>
        <row r="6">
          <cell r="A6" t="str">
            <v>Cuba</v>
          </cell>
        </row>
        <row r="7">
          <cell r="A7" t="str">
            <v>Singapore</v>
          </cell>
          <cell r="B7">
            <v>0.88</v>
          </cell>
          <cell r="C7">
            <v>0.12</v>
          </cell>
        </row>
        <row r="8">
          <cell r="A8" t="str">
            <v>Papua New Guinea</v>
          </cell>
        </row>
        <row r="9">
          <cell r="A9" t="str">
            <v>Liechtenstein</v>
          </cell>
        </row>
        <row r="10">
          <cell r="A10" t="str">
            <v>South Korea</v>
          </cell>
          <cell r="B10">
            <v>0.93</v>
          </cell>
          <cell r="C10">
            <v>7.0000000000000007E-2</v>
          </cell>
        </row>
        <row r="11">
          <cell r="A11" t="str">
            <v>CuraÃ§ao</v>
          </cell>
        </row>
        <row r="12">
          <cell r="A12" t="str">
            <v>Indonesia</v>
          </cell>
          <cell r="B12">
            <v>0.97</v>
          </cell>
          <cell r="C12">
            <v>0.03</v>
          </cell>
        </row>
        <row r="13">
          <cell r="A13" t="str">
            <v>Ã…land Islands</v>
          </cell>
        </row>
        <row r="14">
          <cell r="A14" t="str">
            <v>Myanmar (Burma)</v>
          </cell>
        </row>
        <row r="15">
          <cell r="A15" t="str">
            <v>Angola</v>
          </cell>
        </row>
        <row r="16">
          <cell r="A16" t="str">
            <v>Ethiopia</v>
          </cell>
        </row>
        <row r="17">
          <cell r="A17" t="str">
            <v>Botswana</v>
          </cell>
        </row>
        <row r="18">
          <cell r="A18" t="str">
            <v>Philippines</v>
          </cell>
          <cell r="B18">
            <v>0.9</v>
          </cell>
          <cell r="C18">
            <v>0.1</v>
          </cell>
        </row>
        <row r="19">
          <cell r="A19" t="str">
            <v>St. Helena</v>
          </cell>
        </row>
        <row r="20">
          <cell r="A20" t="str">
            <v>Israel</v>
          </cell>
          <cell r="B20">
            <v>0.92</v>
          </cell>
          <cell r="C20">
            <v>0.08</v>
          </cell>
        </row>
        <row r="21">
          <cell r="A21" t="str">
            <v>Cape Verde</v>
          </cell>
        </row>
        <row r="22">
          <cell r="A22" t="str">
            <v>Luxembourg</v>
          </cell>
        </row>
        <row r="23">
          <cell r="A23" t="str">
            <v>North Macedonia</v>
          </cell>
        </row>
        <row r="24">
          <cell r="A24" t="str">
            <v>Cook Islands</v>
          </cell>
        </row>
        <row r="25">
          <cell r="A25" t="str">
            <v>Gibraltar</v>
          </cell>
        </row>
        <row r="26">
          <cell r="A26" t="str">
            <v>Madagascar</v>
          </cell>
        </row>
        <row r="27">
          <cell r="A27" t="str">
            <v>Tanzania</v>
          </cell>
        </row>
        <row r="28">
          <cell r="A28" t="str">
            <v>Iceland</v>
          </cell>
        </row>
        <row r="29">
          <cell r="A29" t="str">
            <v>Faroe Islands</v>
          </cell>
        </row>
        <row r="30">
          <cell r="A30" t="str">
            <v>Germany</v>
          </cell>
          <cell r="B30">
            <v>0.87</v>
          </cell>
          <cell r="C30">
            <v>0.13</v>
          </cell>
        </row>
        <row r="31">
          <cell r="A31" t="str">
            <v>Lesotho</v>
          </cell>
        </row>
        <row r="32">
          <cell r="A32" t="str">
            <v>India</v>
          </cell>
          <cell r="B32">
            <v>0.77</v>
          </cell>
          <cell r="C32">
            <v>0.23</v>
          </cell>
        </row>
        <row r="33">
          <cell r="A33" t="str">
            <v>Switzerland</v>
          </cell>
          <cell r="B33">
            <v>0.87</v>
          </cell>
          <cell r="C33">
            <v>0.13</v>
          </cell>
        </row>
        <row r="34">
          <cell r="A34" t="str">
            <v>Mexico</v>
          </cell>
          <cell r="B34">
            <v>0.8</v>
          </cell>
          <cell r="C34">
            <v>0.2</v>
          </cell>
        </row>
        <row r="35">
          <cell r="A35" t="str">
            <v>Togo</v>
          </cell>
        </row>
        <row r="36">
          <cell r="A36" t="str">
            <v>Hong Kong</v>
          </cell>
          <cell r="B36">
            <v>0.83</v>
          </cell>
          <cell r="C36">
            <v>0.17</v>
          </cell>
        </row>
        <row r="37">
          <cell r="A37" t="str">
            <v>Rwanda</v>
          </cell>
        </row>
        <row r="38">
          <cell r="A38" t="str">
            <v>Nepal</v>
          </cell>
        </row>
        <row r="39">
          <cell r="A39" t="str">
            <v>Belarus</v>
          </cell>
          <cell r="B39">
            <v>0.82</v>
          </cell>
          <cell r="C39">
            <v>0.18</v>
          </cell>
        </row>
        <row r="40">
          <cell r="A40" t="str">
            <v>Eswatini</v>
          </cell>
        </row>
        <row r="41">
          <cell r="A41" t="str">
            <v>Ukraine</v>
          </cell>
          <cell r="B41">
            <v>0.9</v>
          </cell>
          <cell r="C41">
            <v>0.1</v>
          </cell>
        </row>
        <row r="42">
          <cell r="A42" t="str">
            <v>Estonia</v>
          </cell>
        </row>
        <row r="43">
          <cell r="A43" t="str">
            <v>Equatorial Guinea</v>
          </cell>
        </row>
        <row r="44">
          <cell r="A44" t="str">
            <v>El Salvador</v>
          </cell>
        </row>
        <row r="45">
          <cell r="A45" t="str">
            <v>Austria</v>
          </cell>
          <cell r="B45">
            <v>0.87</v>
          </cell>
          <cell r="C45">
            <v>0.13</v>
          </cell>
        </row>
        <row r="46">
          <cell r="A46" t="str">
            <v>Timor-Leste</v>
          </cell>
        </row>
        <row r="47">
          <cell r="A47" t="str">
            <v>Sri Lanka</v>
          </cell>
          <cell r="B47">
            <v>0.56000000000000005</v>
          </cell>
          <cell r="C47">
            <v>0.44</v>
          </cell>
        </row>
        <row r="48">
          <cell r="A48" t="str">
            <v>Chad</v>
          </cell>
        </row>
        <row r="49">
          <cell r="A49" t="str">
            <v>Finland</v>
          </cell>
          <cell r="B49">
            <v>0.84</v>
          </cell>
          <cell r="C49">
            <v>0.16</v>
          </cell>
        </row>
        <row r="50">
          <cell r="A50" t="str">
            <v>Czechia</v>
          </cell>
          <cell r="B50">
            <v>0.88</v>
          </cell>
          <cell r="C50">
            <v>0.12</v>
          </cell>
        </row>
        <row r="51">
          <cell r="A51" t="str">
            <v>Taiwan</v>
          </cell>
          <cell r="B51">
            <v>0.9</v>
          </cell>
          <cell r="C51">
            <v>0.1</v>
          </cell>
        </row>
        <row r="52">
          <cell r="A52" t="str">
            <v>Somalia</v>
          </cell>
        </row>
        <row r="53">
          <cell r="A53" t="str">
            <v>Bhutan</v>
          </cell>
        </row>
        <row r="54">
          <cell r="A54" t="str">
            <v>Japan</v>
          </cell>
          <cell r="B54">
            <v>0.77</v>
          </cell>
          <cell r="C54">
            <v>0.23</v>
          </cell>
        </row>
        <row r="55">
          <cell r="A55" t="str">
            <v>Bangladesh</v>
          </cell>
          <cell r="B55">
            <v>0.87</v>
          </cell>
          <cell r="C55">
            <v>0.13</v>
          </cell>
        </row>
        <row r="56">
          <cell r="A56" t="str">
            <v>Costa Rica</v>
          </cell>
        </row>
        <row r="57">
          <cell r="A57" t="str">
            <v>Armenia</v>
          </cell>
        </row>
        <row r="58">
          <cell r="A58" t="str">
            <v>Russia</v>
          </cell>
          <cell r="B58">
            <v>0.8</v>
          </cell>
          <cell r="C58">
            <v>0.2</v>
          </cell>
        </row>
        <row r="59">
          <cell r="A59" t="str">
            <v>Macao</v>
          </cell>
        </row>
        <row r="60">
          <cell r="A60" t="str">
            <v>Benin</v>
          </cell>
        </row>
        <row r="61">
          <cell r="A61" t="str">
            <v>Isle of Man</v>
          </cell>
        </row>
        <row r="62">
          <cell r="A62" t="str">
            <v>Nicaragua</v>
          </cell>
        </row>
        <row r="63">
          <cell r="A63" t="str">
            <v>Ireland</v>
          </cell>
          <cell r="B63">
            <v>0.84</v>
          </cell>
          <cell r="C63">
            <v>0.16</v>
          </cell>
        </row>
        <row r="64">
          <cell r="A64" t="str">
            <v>Mauritius</v>
          </cell>
        </row>
        <row r="65">
          <cell r="A65" t="str">
            <v>New Zealand</v>
          </cell>
          <cell r="B65">
            <v>0.84</v>
          </cell>
          <cell r="C65">
            <v>0.16</v>
          </cell>
        </row>
        <row r="66">
          <cell r="A66" t="str">
            <v>Laos</v>
          </cell>
        </row>
        <row r="67">
          <cell r="A67" t="str">
            <v>Fiji</v>
          </cell>
        </row>
        <row r="68">
          <cell r="A68" t="str">
            <v>Zimbabwe</v>
          </cell>
        </row>
        <row r="69">
          <cell r="A69" t="str">
            <v>Liberia</v>
          </cell>
        </row>
        <row r="70">
          <cell r="A70" t="str">
            <v>Portugal</v>
          </cell>
          <cell r="B70">
            <v>0.76</v>
          </cell>
          <cell r="C70">
            <v>0.24</v>
          </cell>
        </row>
        <row r="71">
          <cell r="A71" t="str">
            <v>Kenya</v>
          </cell>
          <cell r="B71">
            <v>0.88</v>
          </cell>
          <cell r="C71">
            <v>0.12</v>
          </cell>
        </row>
        <row r="72">
          <cell r="A72" t="str">
            <v>Canada</v>
          </cell>
          <cell r="B72">
            <v>0.84</v>
          </cell>
          <cell r="C72">
            <v>0.16</v>
          </cell>
        </row>
        <row r="73">
          <cell r="A73" t="str">
            <v>Congo - Brazzaville</v>
          </cell>
        </row>
        <row r="74">
          <cell r="A74" t="str">
            <v>Norway</v>
          </cell>
          <cell r="B74">
            <v>0.9</v>
          </cell>
          <cell r="C74">
            <v>0.1</v>
          </cell>
        </row>
        <row r="75">
          <cell r="A75" t="str">
            <v>Ecuador</v>
          </cell>
          <cell r="B75">
            <v>0.84</v>
          </cell>
          <cell r="C75">
            <v>0.16</v>
          </cell>
        </row>
        <row r="76">
          <cell r="A76" t="str">
            <v>Guatemala</v>
          </cell>
          <cell r="B76">
            <v>0.76</v>
          </cell>
          <cell r="C76">
            <v>0.24</v>
          </cell>
        </row>
        <row r="77">
          <cell r="A77" t="str">
            <v>Uganda</v>
          </cell>
        </row>
        <row r="78">
          <cell r="A78" t="str">
            <v>Burundi</v>
          </cell>
        </row>
        <row r="79">
          <cell r="A79" t="str">
            <v>Netherlands</v>
          </cell>
          <cell r="B79">
            <v>0.8</v>
          </cell>
          <cell r="C79">
            <v>0.2</v>
          </cell>
        </row>
        <row r="80">
          <cell r="A80" t="str">
            <v>Mozambique</v>
          </cell>
        </row>
        <row r="81">
          <cell r="A81" t="str">
            <v>Cameroon</v>
          </cell>
        </row>
        <row r="82">
          <cell r="A82" t="str">
            <v>French Polynesia</v>
          </cell>
        </row>
        <row r="83">
          <cell r="A83" t="str">
            <v>Malaysia</v>
          </cell>
          <cell r="B83">
            <v>0.77</v>
          </cell>
          <cell r="C83">
            <v>0.23</v>
          </cell>
        </row>
        <row r="84">
          <cell r="A84" t="str">
            <v>Malawi</v>
          </cell>
        </row>
        <row r="85">
          <cell r="A85" t="str">
            <v>Brazil</v>
          </cell>
          <cell r="B85">
            <v>0.68</v>
          </cell>
          <cell r="C85">
            <v>0.32</v>
          </cell>
        </row>
        <row r="86">
          <cell r="A86" t="str">
            <v>Honduras</v>
          </cell>
        </row>
        <row r="87">
          <cell r="A87" t="str">
            <v>Tunisia</v>
          </cell>
        </row>
        <row r="88">
          <cell r="A88" t="str">
            <v>Sweden</v>
          </cell>
          <cell r="B88">
            <v>0.87</v>
          </cell>
          <cell r="C88">
            <v>0.13</v>
          </cell>
        </row>
        <row r="89">
          <cell r="A89" t="str">
            <v>Romania</v>
          </cell>
          <cell r="B89">
            <v>0.68</v>
          </cell>
          <cell r="C89">
            <v>0.32</v>
          </cell>
        </row>
        <row r="90">
          <cell r="A90" t="str">
            <v>Uzbekistan</v>
          </cell>
        </row>
        <row r="91">
          <cell r="A91" t="str">
            <v>Malta</v>
          </cell>
        </row>
        <row r="92">
          <cell r="A92" t="str">
            <v>Australia</v>
          </cell>
          <cell r="B92">
            <v>0.71</v>
          </cell>
          <cell r="C92">
            <v>0.28999999999999998</v>
          </cell>
        </row>
        <row r="93">
          <cell r="A93" t="str">
            <v>Denmark</v>
          </cell>
          <cell r="B93">
            <v>0.73</v>
          </cell>
          <cell r="C93">
            <v>0.27</v>
          </cell>
        </row>
        <row r="94">
          <cell r="A94" t="str">
            <v>Bolivia</v>
          </cell>
          <cell r="B94">
            <v>0.79</v>
          </cell>
          <cell r="C94">
            <v>0.21</v>
          </cell>
        </row>
        <row r="95">
          <cell r="A95" t="str">
            <v>Ghana</v>
          </cell>
        </row>
        <row r="96">
          <cell r="A96" t="str">
            <v>CÃ´te dâ€™Ivoire</v>
          </cell>
        </row>
        <row r="97">
          <cell r="A97" t="str">
            <v>Hungary</v>
          </cell>
          <cell r="B97">
            <v>0.92</v>
          </cell>
          <cell r="C97">
            <v>0.08</v>
          </cell>
        </row>
        <row r="98">
          <cell r="A98" t="str">
            <v>Peru</v>
          </cell>
          <cell r="B98">
            <v>0.79</v>
          </cell>
          <cell r="C98">
            <v>0.21</v>
          </cell>
        </row>
        <row r="99">
          <cell r="A99" t="str">
            <v>Egypt</v>
          </cell>
          <cell r="B99">
            <v>0.95</v>
          </cell>
          <cell r="C99">
            <v>0.05</v>
          </cell>
        </row>
        <row r="100">
          <cell r="A100" t="str">
            <v>Serbia</v>
          </cell>
        </row>
        <row r="101">
          <cell r="A101" t="str">
            <v>Sudan</v>
          </cell>
        </row>
        <row r="102">
          <cell r="A102" t="str">
            <v>Jersey</v>
          </cell>
        </row>
        <row r="103">
          <cell r="A103" t="str">
            <v>Turkmenistan</v>
          </cell>
        </row>
        <row r="104">
          <cell r="A104" t="str">
            <v>Moldova</v>
          </cell>
        </row>
        <row r="105">
          <cell r="A105" t="str">
            <v>Latvia</v>
          </cell>
        </row>
        <row r="106">
          <cell r="A106" t="str">
            <v>Bosnia &amp; Herzegovina</v>
          </cell>
        </row>
        <row r="107">
          <cell r="A107" t="str">
            <v>South Africa</v>
          </cell>
          <cell r="B107">
            <v>0.72</v>
          </cell>
          <cell r="C107">
            <v>0.28000000000000003</v>
          </cell>
        </row>
        <row r="108">
          <cell r="A108" t="str">
            <v>Jamaica</v>
          </cell>
        </row>
        <row r="109">
          <cell r="A109" t="str">
            <v>Aruba</v>
          </cell>
        </row>
        <row r="110">
          <cell r="A110" t="str">
            <v>Colombia</v>
          </cell>
          <cell r="B110">
            <v>0.81</v>
          </cell>
          <cell r="C110">
            <v>0.19</v>
          </cell>
        </row>
        <row r="111">
          <cell r="A111" t="str">
            <v>Slovakia</v>
          </cell>
        </row>
        <row r="112">
          <cell r="A112" t="str">
            <v>United States</v>
          </cell>
          <cell r="B112">
            <v>0.83</v>
          </cell>
          <cell r="C112">
            <v>0.17</v>
          </cell>
        </row>
        <row r="113">
          <cell r="A113" t="str">
            <v>Dominican Republic</v>
          </cell>
          <cell r="B113">
            <v>0.74</v>
          </cell>
          <cell r="C113">
            <v>0.26</v>
          </cell>
        </row>
        <row r="114">
          <cell r="A114" t="str">
            <v>Nigeria</v>
          </cell>
          <cell r="B114">
            <v>0.64</v>
          </cell>
          <cell r="C114">
            <v>0.36</v>
          </cell>
        </row>
        <row r="115">
          <cell r="A115" t="str">
            <v>Pakistan</v>
          </cell>
          <cell r="B115">
            <v>0.64</v>
          </cell>
          <cell r="C115">
            <v>0.36</v>
          </cell>
        </row>
        <row r="116">
          <cell r="A116" t="str">
            <v>Namibia</v>
          </cell>
        </row>
        <row r="117">
          <cell r="A117" t="str">
            <v>South Sudan</v>
          </cell>
        </row>
        <row r="118">
          <cell r="A118" t="str">
            <v>Belgium</v>
          </cell>
          <cell r="B118">
            <v>0.67</v>
          </cell>
          <cell r="C118">
            <v>0.33</v>
          </cell>
        </row>
        <row r="119">
          <cell r="A119" t="str">
            <v>United Arab Emirates</v>
          </cell>
          <cell r="B119">
            <v>0.76</v>
          </cell>
          <cell r="C119">
            <v>0.24</v>
          </cell>
        </row>
        <row r="120">
          <cell r="A120" t="str">
            <v>Maldives</v>
          </cell>
        </row>
        <row r="121">
          <cell r="A121" t="str">
            <v>Spain</v>
          </cell>
          <cell r="B121">
            <v>0.8</v>
          </cell>
          <cell r="C121">
            <v>0.2</v>
          </cell>
        </row>
        <row r="122">
          <cell r="A122" t="str">
            <v>Panama</v>
          </cell>
        </row>
        <row r="123">
          <cell r="A123" t="str">
            <v>United Kingdom</v>
          </cell>
          <cell r="B123">
            <v>0.71</v>
          </cell>
          <cell r="C123">
            <v>0.28999999999999998</v>
          </cell>
        </row>
        <row r="124">
          <cell r="A124" t="str">
            <v>Zambia</v>
          </cell>
        </row>
        <row r="125">
          <cell r="A125" t="str">
            <v>France</v>
          </cell>
          <cell r="B125">
            <v>0.84</v>
          </cell>
          <cell r="C125">
            <v>0.16</v>
          </cell>
        </row>
        <row r="126">
          <cell r="A126" t="str">
            <v>Paraguay</v>
          </cell>
        </row>
        <row r="127">
          <cell r="A127" t="str">
            <v>Bulgaria</v>
          </cell>
          <cell r="B127">
            <v>0.78</v>
          </cell>
          <cell r="C127">
            <v>0.22</v>
          </cell>
        </row>
        <row r="128">
          <cell r="A128" t="str">
            <v>Lithuania</v>
          </cell>
        </row>
        <row r="129">
          <cell r="A129" t="str">
            <v>Uruguay</v>
          </cell>
        </row>
        <row r="130">
          <cell r="A130" t="str">
            <v>Cyprus</v>
          </cell>
        </row>
        <row r="131">
          <cell r="A131" t="str">
            <v>Monaco</v>
          </cell>
        </row>
        <row r="132">
          <cell r="A132" t="str">
            <v>St. Vincent &amp; Grenadines</v>
          </cell>
        </row>
        <row r="133">
          <cell r="A133" t="str">
            <v>Burkina Faso</v>
          </cell>
        </row>
        <row r="134">
          <cell r="A134" t="str">
            <v>Sierra Leone</v>
          </cell>
        </row>
        <row r="135">
          <cell r="A135" t="str">
            <v>Kosovo</v>
          </cell>
        </row>
        <row r="136">
          <cell r="A136" t="str">
            <v>Gambia</v>
          </cell>
        </row>
        <row r="137">
          <cell r="A137" t="str">
            <v>Senegal</v>
          </cell>
        </row>
        <row r="138">
          <cell r="A138" t="str">
            <v>Poland</v>
          </cell>
          <cell r="B138">
            <v>0.62</v>
          </cell>
          <cell r="C138">
            <v>0.38</v>
          </cell>
        </row>
        <row r="139">
          <cell r="A139" t="str">
            <v>Mali</v>
          </cell>
        </row>
        <row r="140">
          <cell r="A140" t="str">
            <v>Antigua &amp; Barbuda</v>
          </cell>
        </row>
        <row r="141">
          <cell r="A141" t="str">
            <v>Cambodia</v>
          </cell>
        </row>
        <row r="142">
          <cell r="A142" t="str">
            <v>Mongolia</v>
          </cell>
        </row>
        <row r="143">
          <cell r="A143" t="str">
            <v>Croatia</v>
          </cell>
          <cell r="B143">
            <v>0.75</v>
          </cell>
          <cell r="C143">
            <v>0.25</v>
          </cell>
        </row>
        <row r="144">
          <cell r="A144" t="str">
            <v>Albania</v>
          </cell>
        </row>
        <row r="145">
          <cell r="A145" t="str">
            <v>Tajikistan</v>
          </cell>
        </row>
        <row r="146">
          <cell r="A146" t="str">
            <v>Andorra</v>
          </cell>
        </row>
        <row r="147">
          <cell r="A147" t="str">
            <v>Kazakhstan</v>
          </cell>
          <cell r="B147">
            <v>0.73</v>
          </cell>
          <cell r="C147">
            <v>0.27</v>
          </cell>
        </row>
        <row r="148">
          <cell r="A148" t="str">
            <v>New Caledonia</v>
          </cell>
        </row>
        <row r="149">
          <cell r="A149" t="str">
            <v>Barbados</v>
          </cell>
        </row>
        <row r="150">
          <cell r="A150" t="str">
            <v>Gabon</v>
          </cell>
        </row>
        <row r="151">
          <cell r="A151" t="str">
            <v>Guinea</v>
          </cell>
        </row>
        <row r="152">
          <cell r="A152" t="str">
            <v>Lebanon</v>
          </cell>
        </row>
        <row r="153">
          <cell r="A153" t="str">
            <v>Morocco</v>
          </cell>
        </row>
        <row r="154">
          <cell r="A154" t="str">
            <v>Congo - Kinshasa</v>
          </cell>
        </row>
        <row r="155">
          <cell r="A155" t="str">
            <v>Niger</v>
          </cell>
        </row>
        <row r="156">
          <cell r="A156" t="str">
            <v>Qatar</v>
          </cell>
        </row>
        <row r="157">
          <cell r="A157" t="str">
            <v>Slovenia</v>
          </cell>
        </row>
        <row r="158">
          <cell r="A158" t="str">
            <v>Montenegro</v>
          </cell>
        </row>
        <row r="159">
          <cell r="A159" t="str">
            <v>Afghanistan</v>
          </cell>
        </row>
        <row r="160">
          <cell r="A160" t="str">
            <v>Chile</v>
          </cell>
          <cell r="B160">
            <v>0.56000000000000005</v>
          </cell>
          <cell r="C160">
            <v>0.44</v>
          </cell>
        </row>
        <row r="161">
          <cell r="A161" t="str">
            <v>Oman</v>
          </cell>
        </row>
        <row r="162">
          <cell r="A162" t="str">
            <v>Bahrain</v>
          </cell>
        </row>
        <row r="163">
          <cell r="A163" t="str">
            <v>Belize</v>
          </cell>
        </row>
        <row r="164">
          <cell r="A164" t="str">
            <v>Argentina</v>
          </cell>
          <cell r="B164">
            <v>0.85</v>
          </cell>
          <cell r="C164">
            <v>0.15</v>
          </cell>
        </row>
        <row r="165">
          <cell r="A165" t="str">
            <v>Seychelles</v>
          </cell>
        </row>
        <row r="166">
          <cell r="A166" t="str">
            <v>Palestine</v>
          </cell>
        </row>
        <row r="167">
          <cell r="A167" t="str">
            <v>Jordan</v>
          </cell>
        </row>
        <row r="168">
          <cell r="A168" t="str">
            <v>Mayotte</v>
          </cell>
        </row>
        <row r="169">
          <cell r="A169" t="str">
            <v>Guyana</v>
          </cell>
        </row>
        <row r="170">
          <cell r="A170" t="str">
            <v>Bahamas</v>
          </cell>
        </row>
        <row r="171">
          <cell r="A171" t="str">
            <v>Iran</v>
          </cell>
          <cell r="B171">
            <v>0.92</v>
          </cell>
          <cell r="C171">
            <v>0.08</v>
          </cell>
        </row>
        <row r="172">
          <cell r="A172" t="str">
            <v>Italy</v>
          </cell>
          <cell r="B172">
            <v>0.86</v>
          </cell>
          <cell r="C172">
            <v>0.14000000000000001</v>
          </cell>
        </row>
        <row r="173">
          <cell r="A173" t="str">
            <v>Kyrgyzstan</v>
          </cell>
        </row>
        <row r="174">
          <cell r="A174" t="str">
            <v>Azerbaijan</v>
          </cell>
        </row>
        <row r="175">
          <cell r="A175" t="str">
            <v>Brunei</v>
          </cell>
        </row>
        <row r="176">
          <cell r="A176" t="str">
            <v>Puerto Rico</v>
          </cell>
        </row>
        <row r="177">
          <cell r="A177" t="str">
            <v>Bermuda</v>
          </cell>
        </row>
        <row r="178">
          <cell r="A178" t="str">
            <v>Iraq</v>
          </cell>
        </row>
        <row r="179">
          <cell r="A179" t="str">
            <v>Martinique</v>
          </cell>
        </row>
        <row r="180">
          <cell r="A180" t="str">
            <v>Thailand</v>
          </cell>
          <cell r="B180">
            <v>0.84</v>
          </cell>
          <cell r="C180">
            <v>0.16</v>
          </cell>
        </row>
        <row r="181">
          <cell r="A181" t="str">
            <v>Georgia</v>
          </cell>
        </row>
        <row r="182">
          <cell r="A182" t="str">
            <v>Algeria</v>
          </cell>
        </row>
        <row r="183">
          <cell r="A183" t="str">
            <v>Djibouti</v>
          </cell>
        </row>
        <row r="184">
          <cell r="A184" t="str">
            <v>Vietnam</v>
          </cell>
          <cell r="B184">
            <v>0.6</v>
          </cell>
          <cell r="C184">
            <v>0.4</v>
          </cell>
        </row>
        <row r="185">
          <cell r="A185" t="str">
            <v>Venezuela</v>
          </cell>
          <cell r="B185">
            <v>0.54</v>
          </cell>
          <cell r="C185">
            <v>0.46</v>
          </cell>
        </row>
        <row r="186">
          <cell r="A186" t="str">
            <v>RÃ©union</v>
          </cell>
        </row>
        <row r="187">
          <cell r="A187" t="str">
            <v>Mauritania</v>
          </cell>
        </row>
        <row r="188">
          <cell r="A188" t="str">
            <v>Suriname</v>
          </cell>
        </row>
        <row r="189">
          <cell r="A189" t="str">
            <v>Guadeloupe</v>
          </cell>
        </row>
        <row r="190">
          <cell r="A190" t="str">
            <v>Guam</v>
          </cell>
        </row>
        <row r="191">
          <cell r="A191" t="str">
            <v>Libya</v>
          </cell>
        </row>
        <row r="192">
          <cell r="A192" t="str">
            <v>Trinidad &amp; Tobago</v>
          </cell>
        </row>
        <row r="193">
          <cell r="A193" t="str">
            <v>Greenland</v>
          </cell>
        </row>
        <row r="194">
          <cell r="A194" t="str">
            <v>Greece</v>
          </cell>
          <cell r="B194">
            <v>0.7</v>
          </cell>
          <cell r="C194">
            <v>0.3</v>
          </cell>
        </row>
        <row r="195">
          <cell r="A195" t="str">
            <v>Grenada</v>
          </cell>
        </row>
        <row r="196">
          <cell r="A196" t="str">
            <v>U.S. Virgin Islands</v>
          </cell>
        </row>
        <row r="197">
          <cell r="A197" t="str">
            <v>Yemen</v>
          </cell>
        </row>
        <row r="198">
          <cell r="A198" t="str">
            <v>Saudi Arabia</v>
          </cell>
          <cell r="B198">
            <v>0.82</v>
          </cell>
          <cell r="C198">
            <v>0.18</v>
          </cell>
        </row>
        <row r="199">
          <cell r="A199" t="str">
            <v>Kuwait</v>
          </cell>
        </row>
        <row r="200">
          <cell r="A200" t="str">
            <v>Guernsey</v>
          </cell>
        </row>
        <row r="201">
          <cell r="A201" t="str">
            <v>Syria</v>
          </cell>
        </row>
        <row r="202">
          <cell r="A202" t="str">
            <v>St. Lucia</v>
          </cell>
        </row>
        <row r="203">
          <cell r="A203" t="str">
            <v>Turkey</v>
          </cell>
          <cell r="B203">
            <v>0.8</v>
          </cell>
          <cell r="C203">
            <v>0.2</v>
          </cell>
        </row>
        <row r="204">
          <cell r="A204" t="str">
            <v>North Korea</v>
          </cell>
        </row>
        <row r="205">
          <cell r="A205" t="str">
            <v>Eritrea</v>
          </cell>
        </row>
        <row r="206">
          <cell r="A206" t="str">
            <v>Svalbard &amp; Jan Mayen</v>
          </cell>
        </row>
        <row r="207">
          <cell r="A207" t="str">
            <v>Tonga</v>
          </cell>
        </row>
        <row r="208">
          <cell r="A208" t="str">
            <v>Comoros</v>
          </cell>
        </row>
        <row r="209">
          <cell r="A209" t="str">
            <v>Palau</v>
          </cell>
        </row>
        <row r="210">
          <cell r="A210" t="str">
            <v>Central African Republic</v>
          </cell>
        </row>
        <row r="211">
          <cell r="A211" t="str">
            <v>SÃ£o TomÃ© &amp; PrÃ­ncipe</v>
          </cell>
        </row>
        <row r="212">
          <cell r="A212" t="str">
            <v>St. Pierre &amp; Miquelon</v>
          </cell>
        </row>
        <row r="213">
          <cell r="A213" t="str">
            <v>Vanuatu</v>
          </cell>
        </row>
        <row r="214">
          <cell r="A214" t="str">
            <v>Dominica</v>
          </cell>
        </row>
        <row r="215">
          <cell r="A215" t="str">
            <v>Caribbean Netherlands</v>
          </cell>
        </row>
        <row r="216">
          <cell r="A216" t="str">
            <v>Guinea-Bissau</v>
          </cell>
        </row>
        <row r="217">
          <cell r="A217" t="str">
            <v>Samoa</v>
          </cell>
        </row>
        <row r="218">
          <cell r="A218" t="str">
            <v>Solomon Islands</v>
          </cell>
        </row>
        <row r="219">
          <cell r="A219" t="str">
            <v>American Samoa</v>
          </cell>
        </row>
        <row r="220">
          <cell r="A220" t="str">
            <v>Northern Mariana Islands</v>
          </cell>
        </row>
        <row r="221">
          <cell r="A221" t="str">
            <v>St. Kitts &amp; Nevis</v>
          </cell>
        </row>
        <row r="222">
          <cell r="A222" t="str">
            <v>Western Sahara</v>
          </cell>
        </row>
        <row r="223">
          <cell r="A223" t="str">
            <v>Sint Maarten</v>
          </cell>
        </row>
        <row r="224">
          <cell r="A224" t="str">
            <v>San Marino</v>
          </cell>
        </row>
        <row r="225">
          <cell r="A225" t="str">
            <v>British Virgin Islands</v>
          </cell>
        </row>
        <row r="226">
          <cell r="A226" t="str">
            <v>St. BarthÃ©lemy</v>
          </cell>
        </row>
        <row r="227">
          <cell r="A227" t="str">
            <v>Turks &amp; Caicos Islands</v>
          </cell>
        </row>
        <row r="228">
          <cell r="A228" t="str">
            <v>French Guiana</v>
          </cell>
        </row>
        <row r="229">
          <cell r="A229" t="str">
            <v>Cayman Islands</v>
          </cell>
        </row>
        <row r="230">
          <cell r="A230" t="str">
            <v>Anguilla</v>
          </cell>
        </row>
        <row r="231">
          <cell r="A231" t="str">
            <v>Antarctica</v>
          </cell>
        </row>
        <row r="232">
          <cell r="A232" t="str">
            <v>French Southern Territories</v>
          </cell>
        </row>
        <row r="233">
          <cell r="A233" t="str">
            <v>Bouvet Island</v>
          </cell>
        </row>
        <row r="234">
          <cell r="A234" t="str">
            <v>Cocos (Keeling) Islands</v>
          </cell>
        </row>
        <row r="235">
          <cell r="A235" t="str">
            <v>Christmas Island</v>
          </cell>
        </row>
        <row r="236">
          <cell r="A236" t="str">
            <v>Falkland Islands (Islas Malvinas)</v>
          </cell>
        </row>
        <row r="237">
          <cell r="A237" t="str">
            <v>Micronesia</v>
          </cell>
        </row>
        <row r="238">
          <cell r="A238" t="str">
            <v>Heard &amp; McDonald Islands</v>
          </cell>
        </row>
        <row r="239">
          <cell r="A239" t="str">
            <v>British Indian Ocean Territory</v>
          </cell>
        </row>
        <row r="240">
          <cell r="A240" t="str">
            <v>Kiribati</v>
          </cell>
        </row>
        <row r="241">
          <cell r="A241" t="str">
            <v>St. Martin</v>
          </cell>
        </row>
        <row r="242">
          <cell r="A242" t="str">
            <v>Marshall Islands</v>
          </cell>
        </row>
        <row r="243">
          <cell r="A243" t="str">
            <v>Montserrat</v>
          </cell>
        </row>
        <row r="244">
          <cell r="A244" t="str">
            <v>Norfolk Island</v>
          </cell>
        </row>
        <row r="245">
          <cell r="A245" t="str">
            <v>Niue</v>
          </cell>
        </row>
        <row r="246">
          <cell r="A246" t="str">
            <v>Nauru</v>
          </cell>
        </row>
        <row r="247">
          <cell r="A247" t="str">
            <v>Pitcairn Islands</v>
          </cell>
        </row>
        <row r="248">
          <cell r="A248" t="str">
            <v>South Georgia &amp; South Sandwich Islands</v>
          </cell>
        </row>
        <row r="249">
          <cell r="A249" t="str">
            <v>Tokelau</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2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sheetNames>
    <sheetDataSet>
      <sheetData sheetId="0">
        <row r="1">
          <cell r="A1" t="str">
            <v>Kategori: TÃ¼m kategoriler</v>
          </cell>
        </row>
        <row r="3">
          <cell r="A3" t="str">
            <v>Ãœlke</v>
          </cell>
          <cell r="B3" t="str">
            <v>Java: (2016)</v>
          </cell>
        </row>
        <row r="4">
          <cell r="A4" t="str">
            <v>China</v>
          </cell>
          <cell r="B4">
            <v>100</v>
          </cell>
        </row>
        <row r="5">
          <cell r="A5" t="str">
            <v>Madagascar</v>
          </cell>
        </row>
        <row r="6">
          <cell r="A6" t="str">
            <v>Bangladesh</v>
          </cell>
          <cell r="B6">
            <v>31</v>
          </cell>
        </row>
        <row r="7">
          <cell r="A7" t="str">
            <v>SÃ£o TomÃ© &amp; PrÃ­ncipe</v>
          </cell>
        </row>
        <row r="8">
          <cell r="A8" t="str">
            <v>Cameroon</v>
          </cell>
          <cell r="B8">
            <v>29</v>
          </cell>
        </row>
        <row r="9">
          <cell r="A9" t="str">
            <v>Togo</v>
          </cell>
        </row>
        <row r="10">
          <cell r="A10" t="str">
            <v>Cuba</v>
          </cell>
        </row>
        <row r="11">
          <cell r="A11" t="str">
            <v>India</v>
          </cell>
          <cell r="B11">
            <v>22</v>
          </cell>
        </row>
        <row r="12">
          <cell r="A12" t="str">
            <v>Eritrea</v>
          </cell>
        </row>
        <row r="13">
          <cell r="A13" t="str">
            <v>Ethiopia</v>
          </cell>
          <cell r="B13">
            <v>19</v>
          </cell>
        </row>
        <row r="14">
          <cell r="A14" t="str">
            <v>South Korea</v>
          </cell>
          <cell r="B14">
            <v>19</v>
          </cell>
        </row>
        <row r="15">
          <cell r="A15" t="str">
            <v>Uganda</v>
          </cell>
          <cell r="B15">
            <v>18</v>
          </cell>
        </row>
        <row r="16">
          <cell r="A16" t="str">
            <v>St. Helena</v>
          </cell>
        </row>
        <row r="17">
          <cell r="A17" t="str">
            <v>Burundi</v>
          </cell>
        </row>
        <row r="18">
          <cell r="A18" t="str">
            <v>Sri Lanka</v>
          </cell>
          <cell r="B18">
            <v>16</v>
          </cell>
        </row>
        <row r="19">
          <cell r="A19" t="str">
            <v>Uzbekistan</v>
          </cell>
          <cell r="B19">
            <v>16</v>
          </cell>
        </row>
        <row r="20">
          <cell r="A20" t="str">
            <v>Nepal</v>
          </cell>
          <cell r="B20">
            <v>14</v>
          </cell>
        </row>
        <row r="21">
          <cell r="A21" t="str">
            <v>Benin</v>
          </cell>
        </row>
        <row r="22">
          <cell r="A22" t="str">
            <v>Mozambique</v>
          </cell>
        </row>
        <row r="23">
          <cell r="A23" t="str">
            <v>Ã…land Islands</v>
          </cell>
        </row>
        <row r="24">
          <cell r="A24" t="str">
            <v>Comoros</v>
          </cell>
        </row>
        <row r="25">
          <cell r="A25" t="str">
            <v>Zambia</v>
          </cell>
        </row>
        <row r="26">
          <cell r="A26" t="str">
            <v>Nigeria</v>
          </cell>
          <cell r="B26">
            <v>12</v>
          </cell>
        </row>
        <row r="27">
          <cell r="A27" t="str">
            <v>Malawi</v>
          </cell>
        </row>
        <row r="28">
          <cell r="A28" t="str">
            <v>Rwanda</v>
          </cell>
        </row>
        <row r="29">
          <cell r="A29" t="str">
            <v>Botswana</v>
          </cell>
        </row>
        <row r="30">
          <cell r="A30" t="str">
            <v>Singapore</v>
          </cell>
          <cell r="B30">
            <v>11</v>
          </cell>
        </row>
        <row r="31">
          <cell r="A31" t="str">
            <v>Luxembourg</v>
          </cell>
        </row>
        <row r="32">
          <cell r="A32" t="str">
            <v>Congo - Kinshasa</v>
          </cell>
        </row>
        <row r="33">
          <cell r="A33" t="str">
            <v>Eswatini</v>
          </cell>
        </row>
        <row r="34">
          <cell r="A34" t="str">
            <v>Hong Kong</v>
          </cell>
          <cell r="B34">
            <v>10</v>
          </cell>
        </row>
        <row r="35">
          <cell r="A35" t="str">
            <v>Pakistan</v>
          </cell>
          <cell r="B35">
            <v>10</v>
          </cell>
        </row>
        <row r="36">
          <cell r="A36" t="str">
            <v>Central African Republic</v>
          </cell>
        </row>
        <row r="37">
          <cell r="A37" t="str">
            <v>Tunisia</v>
          </cell>
          <cell r="B37">
            <v>10</v>
          </cell>
        </row>
        <row r="38">
          <cell r="A38" t="str">
            <v>Burkina Faso</v>
          </cell>
        </row>
        <row r="39">
          <cell r="A39" t="str">
            <v>Estonia</v>
          </cell>
        </row>
        <row r="40">
          <cell r="A40" t="str">
            <v>Belarus</v>
          </cell>
          <cell r="B40">
            <v>9</v>
          </cell>
        </row>
        <row r="41">
          <cell r="A41" t="str">
            <v>CÃ´te dâ€™Ivoire</v>
          </cell>
        </row>
        <row r="42">
          <cell r="A42" t="str">
            <v>Congo - Brazzaville</v>
          </cell>
        </row>
        <row r="43">
          <cell r="A43" t="str">
            <v>Cape Verde</v>
          </cell>
        </row>
        <row r="44">
          <cell r="A44" t="str">
            <v>Bhutan</v>
          </cell>
        </row>
        <row r="45">
          <cell r="A45" t="str">
            <v>Sierra Leone</v>
          </cell>
        </row>
        <row r="46">
          <cell r="A46" t="str">
            <v>Israel</v>
          </cell>
          <cell r="B46">
            <v>8</v>
          </cell>
        </row>
        <row r="47">
          <cell r="A47" t="str">
            <v>Philippines</v>
          </cell>
          <cell r="B47">
            <v>8</v>
          </cell>
        </row>
        <row r="48">
          <cell r="A48" t="str">
            <v>Zimbabwe</v>
          </cell>
        </row>
        <row r="49">
          <cell r="A49" t="str">
            <v>Ireland</v>
          </cell>
          <cell r="B49">
            <v>8</v>
          </cell>
        </row>
        <row r="50">
          <cell r="A50" t="str">
            <v>Myanmar (Burma)</v>
          </cell>
        </row>
        <row r="51">
          <cell r="A51" t="str">
            <v>Tanzania</v>
          </cell>
        </row>
        <row r="52">
          <cell r="A52" t="str">
            <v>Lesotho</v>
          </cell>
        </row>
        <row r="53">
          <cell r="A53" t="str">
            <v>Angola</v>
          </cell>
        </row>
        <row r="54">
          <cell r="A54" t="str">
            <v>Ghana</v>
          </cell>
        </row>
        <row r="55">
          <cell r="A55" t="str">
            <v>Mauritius</v>
          </cell>
        </row>
        <row r="56">
          <cell r="A56" t="str">
            <v>Germany</v>
          </cell>
          <cell r="B56">
            <v>7</v>
          </cell>
        </row>
        <row r="57">
          <cell r="A57" t="str">
            <v>Niger</v>
          </cell>
        </row>
        <row r="58">
          <cell r="A58" t="str">
            <v>Iceland</v>
          </cell>
        </row>
        <row r="59">
          <cell r="A59" t="str">
            <v>Senegal</v>
          </cell>
        </row>
        <row r="60">
          <cell r="A60" t="str">
            <v>Switzerland</v>
          </cell>
          <cell r="B60">
            <v>7</v>
          </cell>
        </row>
        <row r="61">
          <cell r="A61" t="str">
            <v>Portugal</v>
          </cell>
          <cell r="B61">
            <v>7</v>
          </cell>
        </row>
        <row r="62">
          <cell r="A62" t="str">
            <v>Czechia</v>
          </cell>
          <cell r="B62">
            <v>7</v>
          </cell>
        </row>
        <row r="63">
          <cell r="A63" t="str">
            <v>Hungary</v>
          </cell>
          <cell r="B63">
            <v>7</v>
          </cell>
        </row>
        <row r="64">
          <cell r="A64" t="str">
            <v>Guinea</v>
          </cell>
        </row>
        <row r="65">
          <cell r="A65" t="str">
            <v>Ukraine</v>
          </cell>
          <cell r="B65">
            <v>7</v>
          </cell>
        </row>
        <row r="66">
          <cell r="A66" t="str">
            <v>Indonesia</v>
          </cell>
          <cell r="B66">
            <v>7</v>
          </cell>
        </row>
        <row r="67">
          <cell r="A67" t="str">
            <v>Mali</v>
          </cell>
        </row>
        <row r="68">
          <cell r="A68" t="str">
            <v>Guinea-Bissau</v>
          </cell>
        </row>
        <row r="69">
          <cell r="A69" t="str">
            <v>Gibraltar</v>
          </cell>
        </row>
        <row r="70">
          <cell r="A70" t="str">
            <v>Gambia</v>
          </cell>
        </row>
        <row r="71">
          <cell r="A71" t="str">
            <v>Austria</v>
          </cell>
          <cell r="B71">
            <v>7</v>
          </cell>
        </row>
        <row r="72">
          <cell r="A72" t="str">
            <v>Armenia</v>
          </cell>
        </row>
        <row r="73">
          <cell r="A73" t="str">
            <v>Serbia</v>
          </cell>
          <cell r="B73">
            <v>6</v>
          </cell>
        </row>
        <row r="74">
          <cell r="A74" t="str">
            <v>Kenya</v>
          </cell>
          <cell r="B74">
            <v>6</v>
          </cell>
        </row>
        <row r="75">
          <cell r="A75" t="str">
            <v>Bolivia</v>
          </cell>
          <cell r="B75">
            <v>6</v>
          </cell>
        </row>
        <row r="76">
          <cell r="A76" t="str">
            <v>Bulgaria</v>
          </cell>
          <cell r="B76">
            <v>6</v>
          </cell>
        </row>
        <row r="77">
          <cell r="A77" t="str">
            <v>Malta</v>
          </cell>
        </row>
        <row r="78">
          <cell r="A78" t="str">
            <v>Costa Rica</v>
          </cell>
          <cell r="B78">
            <v>6</v>
          </cell>
        </row>
        <row r="79">
          <cell r="A79" t="str">
            <v>Nicaragua</v>
          </cell>
        </row>
        <row r="80">
          <cell r="A80" t="str">
            <v>Romania</v>
          </cell>
          <cell r="B80">
            <v>6</v>
          </cell>
        </row>
        <row r="81">
          <cell r="A81" t="str">
            <v>Ecuador</v>
          </cell>
          <cell r="B81">
            <v>6</v>
          </cell>
        </row>
        <row r="82">
          <cell r="A82" t="str">
            <v>Sweden</v>
          </cell>
          <cell r="B82">
            <v>6</v>
          </cell>
        </row>
        <row r="83">
          <cell r="A83" t="str">
            <v>Poland</v>
          </cell>
          <cell r="B83">
            <v>6</v>
          </cell>
        </row>
        <row r="84">
          <cell r="A84" t="str">
            <v>Afghanistan</v>
          </cell>
        </row>
        <row r="85">
          <cell r="A85" t="str">
            <v>North Macedonia</v>
          </cell>
        </row>
        <row r="86">
          <cell r="A86" t="str">
            <v>Faroe Islands</v>
          </cell>
        </row>
        <row r="87">
          <cell r="A87" t="str">
            <v>Taiwan</v>
          </cell>
          <cell r="B87">
            <v>6</v>
          </cell>
        </row>
        <row r="88">
          <cell r="A88" t="str">
            <v>Tajikistan</v>
          </cell>
        </row>
        <row r="89">
          <cell r="A89" t="str">
            <v>Iran</v>
          </cell>
          <cell r="B89">
            <v>6</v>
          </cell>
        </row>
        <row r="90">
          <cell r="A90" t="str">
            <v>Latvia</v>
          </cell>
        </row>
        <row r="91">
          <cell r="A91" t="str">
            <v>Liechtenstein</v>
          </cell>
        </row>
        <row r="92">
          <cell r="A92" t="str">
            <v>Turkmenistan</v>
          </cell>
        </row>
        <row r="93">
          <cell r="A93" t="str">
            <v>Lithuania</v>
          </cell>
          <cell r="B93">
            <v>6</v>
          </cell>
        </row>
        <row r="94">
          <cell r="A94" t="str">
            <v>Mexico</v>
          </cell>
          <cell r="B94">
            <v>6</v>
          </cell>
        </row>
        <row r="95">
          <cell r="A95" t="str">
            <v>Slovenia</v>
          </cell>
        </row>
        <row r="96">
          <cell r="A96" t="str">
            <v>Slovakia</v>
          </cell>
          <cell r="B96">
            <v>6</v>
          </cell>
        </row>
        <row r="97">
          <cell r="A97" t="str">
            <v>Equatorial Guinea</v>
          </cell>
        </row>
        <row r="98">
          <cell r="A98" t="str">
            <v>Gabon</v>
          </cell>
        </row>
        <row r="99">
          <cell r="A99" t="str">
            <v>El Salvador</v>
          </cell>
        </row>
        <row r="100">
          <cell r="A100" t="str">
            <v>Japan</v>
          </cell>
          <cell r="B100">
            <v>5</v>
          </cell>
        </row>
        <row r="101">
          <cell r="A101" t="str">
            <v>Croatia</v>
          </cell>
          <cell r="B101">
            <v>5</v>
          </cell>
        </row>
        <row r="102">
          <cell r="A102" t="str">
            <v>Finland</v>
          </cell>
          <cell r="B102">
            <v>5</v>
          </cell>
        </row>
        <row r="103">
          <cell r="A103" t="str">
            <v>Syria</v>
          </cell>
        </row>
        <row r="104">
          <cell r="A104" t="str">
            <v>Brazil</v>
          </cell>
          <cell r="B104">
            <v>5</v>
          </cell>
        </row>
        <row r="105">
          <cell r="A105" t="str">
            <v>Colombia</v>
          </cell>
          <cell r="B105">
            <v>5</v>
          </cell>
        </row>
        <row r="106">
          <cell r="A106" t="str">
            <v>Spain</v>
          </cell>
          <cell r="B106">
            <v>5</v>
          </cell>
        </row>
        <row r="107">
          <cell r="A107" t="str">
            <v>Morocco</v>
          </cell>
          <cell r="B107">
            <v>5</v>
          </cell>
        </row>
        <row r="108">
          <cell r="A108" t="str">
            <v>Moldova</v>
          </cell>
        </row>
        <row r="109">
          <cell r="A109" t="str">
            <v>Guatemala</v>
          </cell>
          <cell r="B109">
            <v>5</v>
          </cell>
        </row>
        <row r="110">
          <cell r="A110" t="str">
            <v>Belgium</v>
          </cell>
          <cell r="B110">
            <v>5</v>
          </cell>
        </row>
        <row r="111">
          <cell r="A111" t="str">
            <v>Haiti</v>
          </cell>
        </row>
        <row r="112">
          <cell r="A112" t="str">
            <v>Uruguay</v>
          </cell>
        </row>
        <row r="113">
          <cell r="A113" t="str">
            <v>Denmark</v>
          </cell>
          <cell r="B113">
            <v>5</v>
          </cell>
        </row>
        <row r="114">
          <cell r="A114" t="str">
            <v>Canada</v>
          </cell>
          <cell r="B114">
            <v>5</v>
          </cell>
        </row>
        <row r="115">
          <cell r="A115" t="str">
            <v>United States</v>
          </cell>
          <cell r="B115">
            <v>5</v>
          </cell>
        </row>
        <row r="116">
          <cell r="A116" t="str">
            <v>Peru</v>
          </cell>
          <cell r="B116">
            <v>5</v>
          </cell>
        </row>
        <row r="117">
          <cell r="A117" t="str">
            <v>Sudan</v>
          </cell>
        </row>
        <row r="118">
          <cell r="A118" t="str">
            <v>Namibia</v>
          </cell>
        </row>
        <row r="119">
          <cell r="A119" t="str">
            <v>Cambodia</v>
          </cell>
        </row>
        <row r="120">
          <cell r="A120" t="str">
            <v>Norway</v>
          </cell>
          <cell r="B120">
            <v>5</v>
          </cell>
        </row>
        <row r="121">
          <cell r="A121" t="str">
            <v>Monaco</v>
          </cell>
        </row>
        <row r="122">
          <cell r="A122" t="str">
            <v>South Africa</v>
          </cell>
          <cell r="B122">
            <v>5</v>
          </cell>
        </row>
        <row r="123">
          <cell r="A123" t="str">
            <v>Vietnam</v>
          </cell>
          <cell r="B123">
            <v>5</v>
          </cell>
        </row>
        <row r="124">
          <cell r="A124" t="str">
            <v>Mauritania</v>
          </cell>
        </row>
        <row r="125">
          <cell r="A125" t="str">
            <v>Mongolia</v>
          </cell>
        </row>
        <row r="126">
          <cell r="A126" t="str">
            <v>Paraguay</v>
          </cell>
        </row>
        <row r="127">
          <cell r="A127" t="str">
            <v>Macao</v>
          </cell>
        </row>
        <row r="128">
          <cell r="A128" t="str">
            <v>Lebanon</v>
          </cell>
        </row>
        <row r="129">
          <cell r="A129" t="str">
            <v>Netherlands</v>
          </cell>
          <cell r="B129">
            <v>5</v>
          </cell>
        </row>
        <row r="130">
          <cell r="A130" t="str">
            <v>Laos</v>
          </cell>
        </row>
        <row r="131">
          <cell r="A131" t="str">
            <v>Albania</v>
          </cell>
        </row>
        <row r="132">
          <cell r="A132" t="str">
            <v>Andorra</v>
          </cell>
        </row>
        <row r="133">
          <cell r="A133" t="str">
            <v>Somalia</v>
          </cell>
        </row>
        <row r="134">
          <cell r="A134" t="str">
            <v>Timor-Leste</v>
          </cell>
        </row>
        <row r="135">
          <cell r="A135" t="str">
            <v>San Marino</v>
          </cell>
        </row>
        <row r="136">
          <cell r="A136" t="str">
            <v>Djibouti</v>
          </cell>
        </row>
        <row r="137">
          <cell r="A137" t="str">
            <v>Chad</v>
          </cell>
        </row>
        <row r="138">
          <cell r="A138" t="str">
            <v>Algeria</v>
          </cell>
          <cell r="B138">
            <v>4</v>
          </cell>
        </row>
        <row r="139">
          <cell r="A139" t="str">
            <v>Bosnia &amp; Herzegovina</v>
          </cell>
        </row>
        <row r="140">
          <cell r="A140" t="str">
            <v>France</v>
          </cell>
          <cell r="B140">
            <v>4</v>
          </cell>
        </row>
        <row r="141">
          <cell r="A141" t="str">
            <v>New Zealand</v>
          </cell>
          <cell r="B141">
            <v>4</v>
          </cell>
        </row>
        <row r="142">
          <cell r="A142" t="str">
            <v>Kazakhstan</v>
          </cell>
          <cell r="B142">
            <v>4</v>
          </cell>
        </row>
        <row r="143">
          <cell r="A143" t="str">
            <v>Brunei</v>
          </cell>
        </row>
        <row r="144">
          <cell r="A144" t="str">
            <v>Russia</v>
          </cell>
          <cell r="B144">
            <v>4</v>
          </cell>
        </row>
        <row r="145">
          <cell r="A145" t="str">
            <v>Caribbean Netherlands</v>
          </cell>
        </row>
        <row r="146">
          <cell r="A146" t="str">
            <v>Cyprus</v>
          </cell>
        </row>
        <row r="147">
          <cell r="A147" t="str">
            <v>Jordan</v>
          </cell>
        </row>
        <row r="148">
          <cell r="A148" t="str">
            <v>Honduras</v>
          </cell>
        </row>
        <row r="149">
          <cell r="A149" t="str">
            <v>Greece</v>
          </cell>
          <cell r="B149">
            <v>4</v>
          </cell>
        </row>
        <row r="150">
          <cell r="A150" t="str">
            <v>Kosovo</v>
          </cell>
        </row>
        <row r="151">
          <cell r="A151" t="str">
            <v>Venezuela</v>
          </cell>
          <cell r="B151">
            <v>4</v>
          </cell>
        </row>
        <row r="152">
          <cell r="A152" t="str">
            <v>Seychelles</v>
          </cell>
        </row>
        <row r="153">
          <cell r="A153" t="str">
            <v>Kyrgyzstan</v>
          </cell>
        </row>
        <row r="154">
          <cell r="A154" t="str">
            <v>Tonga</v>
          </cell>
        </row>
        <row r="155">
          <cell r="A155" t="str">
            <v>Chile</v>
          </cell>
          <cell r="B155">
            <v>4</v>
          </cell>
        </row>
        <row r="156">
          <cell r="A156" t="str">
            <v>Solomon Islands</v>
          </cell>
        </row>
        <row r="157">
          <cell r="A157" t="str">
            <v>Italy</v>
          </cell>
          <cell r="B157">
            <v>4</v>
          </cell>
        </row>
        <row r="158">
          <cell r="A158" t="str">
            <v>Greenland</v>
          </cell>
        </row>
        <row r="159">
          <cell r="A159" t="str">
            <v>Azerbaijan</v>
          </cell>
        </row>
        <row r="160">
          <cell r="A160" t="str">
            <v>Australia</v>
          </cell>
          <cell r="B160">
            <v>4</v>
          </cell>
        </row>
        <row r="161">
          <cell r="A161" t="str">
            <v>Malaysia</v>
          </cell>
          <cell r="B161">
            <v>3</v>
          </cell>
        </row>
        <row r="162">
          <cell r="A162" t="str">
            <v>Papua New Guinea</v>
          </cell>
        </row>
        <row r="163">
          <cell r="A163" t="str">
            <v>United Arab Emirates</v>
          </cell>
          <cell r="B163">
            <v>3</v>
          </cell>
        </row>
        <row r="164">
          <cell r="A164" t="str">
            <v>United Kingdom</v>
          </cell>
          <cell r="B164">
            <v>3</v>
          </cell>
        </row>
        <row r="165">
          <cell r="A165" t="str">
            <v>Maldives</v>
          </cell>
        </row>
        <row r="166">
          <cell r="A166" t="str">
            <v>Trinidad &amp; Tobago</v>
          </cell>
        </row>
        <row r="167">
          <cell r="A167" t="str">
            <v>French Polynesia</v>
          </cell>
        </row>
        <row r="168">
          <cell r="A168" t="str">
            <v>Jamaica</v>
          </cell>
        </row>
        <row r="169">
          <cell r="A169" t="str">
            <v>Egypt</v>
          </cell>
          <cell r="B169">
            <v>3</v>
          </cell>
        </row>
        <row r="170">
          <cell r="A170" t="str">
            <v>St. Vincent &amp; Grenadines</v>
          </cell>
        </row>
        <row r="171">
          <cell r="A171" t="str">
            <v>Yemen</v>
          </cell>
        </row>
        <row r="172">
          <cell r="A172" t="str">
            <v>Montenegro</v>
          </cell>
        </row>
        <row r="173">
          <cell r="A173" t="str">
            <v>Cayman Islands</v>
          </cell>
        </row>
        <row r="174">
          <cell r="A174" t="str">
            <v>Panama</v>
          </cell>
        </row>
        <row r="175">
          <cell r="A175" t="str">
            <v>Argentina</v>
          </cell>
          <cell r="B175">
            <v>3</v>
          </cell>
        </row>
        <row r="176">
          <cell r="A176" t="str">
            <v>South Sudan</v>
          </cell>
        </row>
        <row r="177">
          <cell r="A177" t="str">
            <v>St. Kitts &amp; Nevis</v>
          </cell>
        </row>
        <row r="178">
          <cell r="A178" t="str">
            <v>New Caledonia</v>
          </cell>
        </row>
        <row r="179">
          <cell r="A179" t="str">
            <v>Georgia</v>
          </cell>
        </row>
        <row r="180">
          <cell r="A180" t="str">
            <v>Turkey</v>
          </cell>
          <cell r="B180">
            <v>3</v>
          </cell>
        </row>
        <row r="181">
          <cell r="A181" t="str">
            <v>Liberia</v>
          </cell>
        </row>
        <row r="182">
          <cell r="A182" t="str">
            <v>Bahrain</v>
          </cell>
        </row>
        <row r="183">
          <cell r="A183" t="str">
            <v>Qatar</v>
          </cell>
        </row>
        <row r="184">
          <cell r="A184" t="str">
            <v>RÃ©union</v>
          </cell>
        </row>
        <row r="185">
          <cell r="A185" t="str">
            <v>U.S. Virgin Islands</v>
          </cell>
        </row>
        <row r="186">
          <cell r="A186" t="str">
            <v>Dominican Republic</v>
          </cell>
        </row>
        <row r="187">
          <cell r="A187" t="str">
            <v>Oman</v>
          </cell>
        </row>
        <row r="188">
          <cell r="A188" t="str">
            <v>Dominica</v>
          </cell>
        </row>
        <row r="189">
          <cell r="A189" t="str">
            <v>Saudi Arabia</v>
          </cell>
          <cell r="B189">
            <v>3</v>
          </cell>
        </row>
        <row r="190">
          <cell r="A190" t="str">
            <v>Thailand</v>
          </cell>
          <cell r="B190">
            <v>3</v>
          </cell>
        </row>
        <row r="191">
          <cell r="A191" t="str">
            <v>Isle of Man</v>
          </cell>
        </row>
        <row r="192">
          <cell r="A192" t="str">
            <v>Jersey</v>
          </cell>
        </row>
        <row r="193">
          <cell r="A193" t="str">
            <v>Libya</v>
          </cell>
        </row>
        <row r="194">
          <cell r="A194" t="str">
            <v>Barbados</v>
          </cell>
        </row>
        <row r="195">
          <cell r="A195" t="str">
            <v>St. Lucia</v>
          </cell>
        </row>
        <row r="196">
          <cell r="A196" t="str">
            <v>Fiji</v>
          </cell>
        </row>
        <row r="197">
          <cell r="A197" t="str">
            <v>Suriname</v>
          </cell>
        </row>
        <row r="198">
          <cell r="A198" t="str">
            <v>Grenada</v>
          </cell>
        </row>
        <row r="199">
          <cell r="A199" t="str">
            <v>Mayotte</v>
          </cell>
        </row>
        <row r="200">
          <cell r="A200" t="str">
            <v>Samoa</v>
          </cell>
        </row>
        <row r="201">
          <cell r="A201" t="str">
            <v>Guadeloupe</v>
          </cell>
        </row>
        <row r="202">
          <cell r="A202" t="str">
            <v>CuraÃ§ao</v>
          </cell>
        </row>
        <row r="203">
          <cell r="A203" t="str">
            <v>Puerto Rico</v>
          </cell>
        </row>
        <row r="204">
          <cell r="A204" t="str">
            <v>Northern Mariana Islands</v>
          </cell>
        </row>
        <row r="205">
          <cell r="A205" t="str">
            <v>Kuwait</v>
          </cell>
        </row>
        <row r="206">
          <cell r="A206" t="str">
            <v>Martinique</v>
          </cell>
        </row>
        <row r="207">
          <cell r="A207" t="str">
            <v>Guam</v>
          </cell>
        </row>
        <row r="208">
          <cell r="A208" t="str">
            <v>French Guiana</v>
          </cell>
        </row>
        <row r="209">
          <cell r="A209" t="str">
            <v>Aruba</v>
          </cell>
        </row>
        <row r="210">
          <cell r="A210" t="str">
            <v>Sint Maarten</v>
          </cell>
        </row>
        <row r="211">
          <cell r="A211" t="str">
            <v>Belize</v>
          </cell>
        </row>
        <row r="212">
          <cell r="A212" t="str">
            <v>Guyana</v>
          </cell>
        </row>
        <row r="213">
          <cell r="A213" t="str">
            <v>Bermuda</v>
          </cell>
        </row>
        <row r="214">
          <cell r="A214" t="str">
            <v>Iraq</v>
          </cell>
        </row>
        <row r="215">
          <cell r="A215" t="str">
            <v>Antigua &amp; Barbuda</v>
          </cell>
        </row>
        <row r="216">
          <cell r="A216" t="str">
            <v>Western Sahara</v>
          </cell>
        </row>
        <row r="217">
          <cell r="A217" t="str">
            <v>St. BarthÃ©lemy</v>
          </cell>
        </row>
        <row r="218">
          <cell r="A218" t="str">
            <v>Palestine</v>
          </cell>
        </row>
        <row r="219">
          <cell r="A219" t="str">
            <v>Bahamas</v>
          </cell>
        </row>
        <row r="220">
          <cell r="A220" t="str">
            <v>Guernsey</v>
          </cell>
        </row>
        <row r="221">
          <cell r="A221" t="str">
            <v>Vanuatu</v>
          </cell>
        </row>
        <row r="222">
          <cell r="A222" t="str">
            <v>North Korea</v>
          </cell>
        </row>
        <row r="223">
          <cell r="A223" t="str">
            <v>Tuvalu</v>
          </cell>
        </row>
        <row r="224">
          <cell r="A224" t="str">
            <v>Montserrat</v>
          </cell>
        </row>
        <row r="225">
          <cell r="A225" t="str">
            <v>Kiribati</v>
          </cell>
        </row>
        <row r="226">
          <cell r="A226" t="str">
            <v>Falkland Islands (Islas Malvinas)</v>
          </cell>
        </row>
        <row r="227">
          <cell r="A227" t="str">
            <v>Cook Islands</v>
          </cell>
        </row>
        <row r="228">
          <cell r="A228" t="str">
            <v>St. Pierre &amp; Miquelon</v>
          </cell>
        </row>
        <row r="229">
          <cell r="A229" t="str">
            <v>Svalbard &amp; Jan Mayen</v>
          </cell>
        </row>
        <row r="230">
          <cell r="A230" t="str">
            <v>Anguilla</v>
          </cell>
        </row>
        <row r="231">
          <cell r="A231" t="str">
            <v>Micronesia</v>
          </cell>
        </row>
        <row r="232">
          <cell r="A232" t="str">
            <v>Marshall Islands</v>
          </cell>
        </row>
        <row r="233">
          <cell r="A233" t="str">
            <v>St. Martin</v>
          </cell>
        </row>
        <row r="234">
          <cell r="A234" t="str">
            <v>British Virgin Islands</v>
          </cell>
        </row>
        <row r="235">
          <cell r="A235" t="str">
            <v>American Samoa</v>
          </cell>
        </row>
        <row r="236">
          <cell r="A236" t="str">
            <v>Turks &amp; Caicos Islands</v>
          </cell>
        </row>
        <row r="237">
          <cell r="A237" t="str">
            <v>Antarctica</v>
          </cell>
        </row>
        <row r="238">
          <cell r="A238" t="str">
            <v>French Southern Territories</v>
          </cell>
        </row>
        <row r="239">
          <cell r="A239" t="str">
            <v>Bouvet Island</v>
          </cell>
        </row>
        <row r="240">
          <cell r="A240" t="str">
            <v>Cocos (Keeling) Islands</v>
          </cell>
        </row>
        <row r="241">
          <cell r="A241" t="str">
            <v>Christmas Island</v>
          </cell>
        </row>
        <row r="242">
          <cell r="A242" t="str">
            <v>Heard &amp; McDonald Islands</v>
          </cell>
        </row>
        <row r="243">
          <cell r="A243" t="str">
            <v>British Indian Ocean Territory</v>
          </cell>
        </row>
        <row r="244">
          <cell r="A244" t="str">
            <v>Norfolk Island</v>
          </cell>
        </row>
        <row r="245">
          <cell r="A245" t="str">
            <v>Niue</v>
          </cell>
        </row>
        <row r="246">
          <cell r="A246" t="str">
            <v>Nauru</v>
          </cell>
        </row>
        <row r="247">
          <cell r="A247" t="str">
            <v>Pitcairn Islands</v>
          </cell>
        </row>
        <row r="248">
          <cell r="A248" t="str">
            <v>Palau</v>
          </cell>
        </row>
        <row r="249">
          <cell r="A249" t="str">
            <v>South Georgia &amp; South Sandwich Islands</v>
          </cell>
        </row>
        <row r="250">
          <cell r="A250" t="str">
            <v>Tokelau</v>
          </cell>
        </row>
        <row r="251">
          <cell r="A251" t="str">
            <v>U.S. Outlying Islands</v>
          </cell>
        </row>
        <row r="252">
          <cell r="A252" t="str">
            <v>Vatican City</v>
          </cell>
        </row>
        <row r="253">
          <cell r="A253" t="str">
            <v>Wallis &amp; Futuna</v>
          </cell>
        </row>
      </sheetData>
    </sheetDataSet>
  </externalBook>
</externalLink>
</file>

<file path=xl/externalLinks/externalLink2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
    </sheetNames>
    <sheetDataSet>
      <sheetData sheetId="0">
        <row r="1">
          <cell r="A1" t="str">
            <v>Kategori: TÃ¼m kategoriler</v>
          </cell>
        </row>
        <row r="3">
          <cell r="A3" t="str">
            <v>Ãœlke</v>
          </cell>
          <cell r="B3" t="str">
            <v>Java: (2016)</v>
          </cell>
          <cell r="C3" t="str">
            <v>Python: (2016)</v>
          </cell>
        </row>
        <row r="4">
          <cell r="A4" t="str">
            <v>China</v>
          </cell>
          <cell r="B4">
            <v>0.48</v>
          </cell>
          <cell r="C4">
            <v>0.52</v>
          </cell>
        </row>
        <row r="5">
          <cell r="A5" t="str">
            <v>Madagascar</v>
          </cell>
        </row>
        <row r="6">
          <cell r="A6" t="str">
            <v>SÃ£o TomÃ© &amp; PrÃ­ncipe</v>
          </cell>
        </row>
        <row r="7">
          <cell r="A7" t="str">
            <v>Bangladesh</v>
          </cell>
          <cell r="B7">
            <v>0.96</v>
          </cell>
          <cell r="C7">
            <v>0.04</v>
          </cell>
        </row>
        <row r="8">
          <cell r="A8" t="str">
            <v>Cameroon</v>
          </cell>
        </row>
        <row r="9">
          <cell r="A9" t="str">
            <v>India</v>
          </cell>
          <cell r="B9">
            <v>0.86</v>
          </cell>
          <cell r="C9">
            <v>0.14000000000000001</v>
          </cell>
        </row>
        <row r="10">
          <cell r="A10" t="str">
            <v>Cuba</v>
          </cell>
        </row>
        <row r="11">
          <cell r="A11" t="str">
            <v>Togo</v>
          </cell>
        </row>
        <row r="12">
          <cell r="A12" t="str">
            <v>Eritrea</v>
          </cell>
        </row>
        <row r="13">
          <cell r="A13" t="str">
            <v>Ethiopia</v>
          </cell>
        </row>
        <row r="14">
          <cell r="A14" t="str">
            <v>South Korea</v>
          </cell>
          <cell r="B14">
            <v>0.69</v>
          </cell>
          <cell r="C14">
            <v>0.31</v>
          </cell>
        </row>
        <row r="15">
          <cell r="A15" t="str">
            <v>Uganda</v>
          </cell>
        </row>
        <row r="16">
          <cell r="A16" t="str">
            <v>St. Helena</v>
          </cell>
        </row>
        <row r="17">
          <cell r="A17" t="str">
            <v>Burundi</v>
          </cell>
        </row>
        <row r="18">
          <cell r="A18" t="str">
            <v>Sri Lanka</v>
          </cell>
          <cell r="B18">
            <v>0.87</v>
          </cell>
          <cell r="C18">
            <v>0.13</v>
          </cell>
        </row>
        <row r="19">
          <cell r="A19" t="str">
            <v>Uzbekistan</v>
          </cell>
        </row>
        <row r="20">
          <cell r="A20" t="str">
            <v>Benin</v>
          </cell>
        </row>
        <row r="21">
          <cell r="A21" t="str">
            <v>Nepal</v>
          </cell>
        </row>
        <row r="22">
          <cell r="A22" t="str">
            <v>Mozambique</v>
          </cell>
        </row>
        <row r="23">
          <cell r="A23" t="str">
            <v>Ã…land Islands</v>
          </cell>
        </row>
        <row r="24">
          <cell r="A24" t="str">
            <v>Zambia</v>
          </cell>
        </row>
        <row r="25">
          <cell r="A25" t="str">
            <v>Nigeria</v>
          </cell>
          <cell r="B25">
            <v>0.88</v>
          </cell>
          <cell r="C25">
            <v>0.12</v>
          </cell>
        </row>
        <row r="26">
          <cell r="A26" t="str">
            <v>Malawi</v>
          </cell>
        </row>
        <row r="27">
          <cell r="A27" t="str">
            <v>Rwanda</v>
          </cell>
        </row>
        <row r="28">
          <cell r="A28" t="str">
            <v>Botswana</v>
          </cell>
        </row>
        <row r="29">
          <cell r="A29" t="str">
            <v>Comoros</v>
          </cell>
        </row>
        <row r="30">
          <cell r="A30" t="str">
            <v>Luxembourg</v>
          </cell>
        </row>
        <row r="31">
          <cell r="A31" t="str">
            <v>Singapore</v>
          </cell>
          <cell r="B31">
            <v>0.59</v>
          </cell>
          <cell r="C31">
            <v>0.41</v>
          </cell>
        </row>
        <row r="32">
          <cell r="A32" t="str">
            <v>Congo - Kinshasa</v>
          </cell>
        </row>
        <row r="33">
          <cell r="A33" t="str">
            <v>Hong Kong</v>
          </cell>
          <cell r="B33">
            <v>0.63</v>
          </cell>
          <cell r="C33">
            <v>0.37</v>
          </cell>
        </row>
        <row r="34">
          <cell r="A34" t="str">
            <v>Pakistan</v>
          </cell>
          <cell r="B34">
            <v>0.89</v>
          </cell>
          <cell r="C34">
            <v>0.11</v>
          </cell>
        </row>
        <row r="35">
          <cell r="A35" t="str">
            <v>Eswatini</v>
          </cell>
        </row>
        <row r="36">
          <cell r="A36" t="str">
            <v>Tunisia</v>
          </cell>
          <cell r="B36">
            <v>0.82</v>
          </cell>
          <cell r="C36">
            <v>0.18</v>
          </cell>
        </row>
        <row r="37">
          <cell r="A37" t="str">
            <v>Burkina Faso</v>
          </cell>
        </row>
        <row r="38">
          <cell r="A38" t="str">
            <v>Estonia</v>
          </cell>
        </row>
        <row r="39">
          <cell r="A39" t="str">
            <v>Belarus</v>
          </cell>
          <cell r="B39">
            <v>0.78</v>
          </cell>
          <cell r="C39">
            <v>0.22</v>
          </cell>
        </row>
        <row r="40">
          <cell r="A40" t="str">
            <v>CÃ´te dâ€™Ivoire</v>
          </cell>
        </row>
        <row r="41">
          <cell r="A41" t="str">
            <v>Central African Republic</v>
          </cell>
        </row>
        <row r="42">
          <cell r="A42" t="str">
            <v>Sierra Leone</v>
          </cell>
        </row>
        <row r="43">
          <cell r="A43" t="str">
            <v>Congo - Brazzaville</v>
          </cell>
        </row>
        <row r="44">
          <cell r="A44" t="str">
            <v>Iceland</v>
          </cell>
        </row>
        <row r="45">
          <cell r="A45" t="str">
            <v>Cape Verde</v>
          </cell>
        </row>
        <row r="46">
          <cell r="A46" t="str">
            <v>Israel</v>
          </cell>
          <cell r="B46">
            <v>0.51</v>
          </cell>
          <cell r="C46">
            <v>0.49</v>
          </cell>
        </row>
        <row r="47">
          <cell r="A47" t="str">
            <v>Bhutan</v>
          </cell>
        </row>
        <row r="48">
          <cell r="A48" t="str">
            <v>Philippines</v>
          </cell>
          <cell r="B48">
            <v>0.84</v>
          </cell>
          <cell r="C48">
            <v>0.16</v>
          </cell>
        </row>
        <row r="49">
          <cell r="A49" t="str">
            <v>Zimbabwe</v>
          </cell>
        </row>
        <row r="50">
          <cell r="A50" t="str">
            <v>Tanzania</v>
          </cell>
        </row>
        <row r="51">
          <cell r="A51" t="str">
            <v>Niger</v>
          </cell>
        </row>
        <row r="52">
          <cell r="A52" t="str">
            <v>Ireland</v>
          </cell>
          <cell r="B52">
            <v>0.63</v>
          </cell>
          <cell r="C52">
            <v>0.37</v>
          </cell>
        </row>
        <row r="53">
          <cell r="A53" t="str">
            <v>Myanmar (Burma)</v>
          </cell>
        </row>
        <row r="54">
          <cell r="A54" t="str">
            <v>Guinea-Bissau</v>
          </cell>
        </row>
        <row r="55">
          <cell r="A55" t="str">
            <v>Germany</v>
          </cell>
          <cell r="B55">
            <v>0.68</v>
          </cell>
          <cell r="C55">
            <v>0.32</v>
          </cell>
        </row>
        <row r="56">
          <cell r="A56" t="str">
            <v>Ghana</v>
          </cell>
        </row>
        <row r="57">
          <cell r="A57" t="str">
            <v>Angola</v>
          </cell>
        </row>
        <row r="58">
          <cell r="A58" t="str">
            <v>Portugal</v>
          </cell>
          <cell r="B58">
            <v>0.74</v>
          </cell>
          <cell r="C58">
            <v>0.26</v>
          </cell>
        </row>
        <row r="59">
          <cell r="A59" t="str">
            <v>Switzerland</v>
          </cell>
          <cell r="B59">
            <v>0.59</v>
          </cell>
          <cell r="C59">
            <v>0.41</v>
          </cell>
        </row>
        <row r="60">
          <cell r="A60" t="str">
            <v>Mauritius</v>
          </cell>
        </row>
        <row r="61">
          <cell r="A61" t="str">
            <v>Senegal</v>
          </cell>
        </row>
        <row r="62">
          <cell r="A62" t="str">
            <v>Hungary</v>
          </cell>
          <cell r="B62">
            <v>0.76</v>
          </cell>
          <cell r="C62">
            <v>0.24</v>
          </cell>
        </row>
        <row r="63">
          <cell r="A63" t="str">
            <v>Gibraltar</v>
          </cell>
        </row>
        <row r="64">
          <cell r="A64" t="str">
            <v>Indonesia</v>
          </cell>
          <cell r="B64">
            <v>0.92</v>
          </cell>
          <cell r="C64">
            <v>0.08</v>
          </cell>
        </row>
        <row r="65">
          <cell r="A65" t="str">
            <v>Czechia</v>
          </cell>
          <cell r="B65">
            <v>0.65</v>
          </cell>
          <cell r="C65">
            <v>0.35</v>
          </cell>
        </row>
        <row r="66">
          <cell r="A66" t="str">
            <v>Guinea</v>
          </cell>
        </row>
        <row r="67">
          <cell r="A67" t="str">
            <v>Mali</v>
          </cell>
        </row>
        <row r="68">
          <cell r="A68" t="str">
            <v>Ukraine</v>
          </cell>
          <cell r="B68">
            <v>0.73</v>
          </cell>
          <cell r="C68">
            <v>0.27</v>
          </cell>
        </row>
        <row r="69">
          <cell r="A69" t="str">
            <v>Austria</v>
          </cell>
          <cell r="B69">
            <v>0.68</v>
          </cell>
          <cell r="C69">
            <v>0.32</v>
          </cell>
        </row>
        <row r="70">
          <cell r="A70" t="str">
            <v>Liechtenstein</v>
          </cell>
        </row>
        <row r="71">
          <cell r="A71" t="str">
            <v>Serbia</v>
          </cell>
          <cell r="B71">
            <v>0.77</v>
          </cell>
          <cell r="C71">
            <v>0.23</v>
          </cell>
        </row>
        <row r="72">
          <cell r="A72" t="str">
            <v>Lesotho</v>
          </cell>
        </row>
        <row r="73">
          <cell r="A73" t="str">
            <v>Armenia</v>
          </cell>
        </row>
        <row r="74">
          <cell r="A74" t="str">
            <v>Kenya</v>
          </cell>
          <cell r="B74">
            <v>0.76</v>
          </cell>
          <cell r="C74">
            <v>0.24</v>
          </cell>
        </row>
        <row r="75">
          <cell r="A75" t="str">
            <v>Bolivia</v>
          </cell>
        </row>
        <row r="76">
          <cell r="A76" t="str">
            <v>Malta</v>
          </cell>
        </row>
        <row r="77">
          <cell r="A77" t="str">
            <v>North Macedonia</v>
          </cell>
        </row>
        <row r="78">
          <cell r="A78" t="str">
            <v>Afghanistan</v>
          </cell>
        </row>
        <row r="79">
          <cell r="A79" t="str">
            <v>Romania</v>
          </cell>
          <cell r="B79">
            <v>0.77</v>
          </cell>
          <cell r="C79">
            <v>0.23</v>
          </cell>
        </row>
        <row r="80">
          <cell r="A80" t="str">
            <v>Nicaragua</v>
          </cell>
        </row>
        <row r="81">
          <cell r="A81" t="str">
            <v>Costa Rica</v>
          </cell>
        </row>
        <row r="82">
          <cell r="A82" t="str">
            <v>Bulgaria</v>
          </cell>
          <cell r="B82">
            <v>0.79</v>
          </cell>
          <cell r="C82">
            <v>0.21</v>
          </cell>
        </row>
        <row r="83">
          <cell r="A83" t="str">
            <v>Poland</v>
          </cell>
          <cell r="B83">
            <v>0.74</v>
          </cell>
          <cell r="C83">
            <v>0.26</v>
          </cell>
        </row>
        <row r="84">
          <cell r="A84" t="str">
            <v>Sweden</v>
          </cell>
          <cell r="B84">
            <v>0.61</v>
          </cell>
          <cell r="C84">
            <v>0.39</v>
          </cell>
        </row>
        <row r="85">
          <cell r="A85" t="str">
            <v>Faroe Islands</v>
          </cell>
        </row>
        <row r="86">
          <cell r="A86" t="str">
            <v>Ecuador</v>
          </cell>
          <cell r="B86">
            <v>0.86</v>
          </cell>
          <cell r="C86">
            <v>0.14000000000000001</v>
          </cell>
        </row>
        <row r="87">
          <cell r="A87" t="str">
            <v>Iran</v>
          </cell>
          <cell r="B87">
            <v>0.84</v>
          </cell>
          <cell r="C87">
            <v>0.16</v>
          </cell>
        </row>
        <row r="88">
          <cell r="A88" t="str">
            <v>Taiwan</v>
          </cell>
          <cell r="B88">
            <v>0.61</v>
          </cell>
          <cell r="C88">
            <v>0.39</v>
          </cell>
        </row>
        <row r="89">
          <cell r="A89" t="str">
            <v>Gambia</v>
          </cell>
        </row>
        <row r="90">
          <cell r="A90" t="str">
            <v>Slovakia</v>
          </cell>
          <cell r="B90">
            <v>0.73</v>
          </cell>
          <cell r="C90">
            <v>0.27</v>
          </cell>
        </row>
        <row r="91">
          <cell r="A91" t="str">
            <v>Latvia</v>
          </cell>
        </row>
        <row r="92">
          <cell r="A92" t="str">
            <v>Mexico</v>
          </cell>
          <cell r="B92">
            <v>0.87</v>
          </cell>
          <cell r="C92">
            <v>0.13</v>
          </cell>
        </row>
        <row r="93">
          <cell r="A93" t="str">
            <v>Lithuania</v>
          </cell>
        </row>
        <row r="94">
          <cell r="A94" t="str">
            <v>Turkmenistan</v>
          </cell>
        </row>
        <row r="95">
          <cell r="A95" t="str">
            <v>Slovenia</v>
          </cell>
        </row>
        <row r="96">
          <cell r="A96" t="str">
            <v>El Salvador</v>
          </cell>
        </row>
        <row r="97">
          <cell r="A97" t="str">
            <v>Tajikistan</v>
          </cell>
        </row>
        <row r="98">
          <cell r="A98" t="str">
            <v>Japan</v>
          </cell>
          <cell r="B98">
            <v>0.7</v>
          </cell>
          <cell r="C98">
            <v>0.3</v>
          </cell>
        </row>
        <row r="99">
          <cell r="A99" t="str">
            <v>San Marino</v>
          </cell>
        </row>
        <row r="100">
          <cell r="A100" t="str">
            <v>Gabon</v>
          </cell>
        </row>
        <row r="101">
          <cell r="A101" t="str">
            <v>Colombia</v>
          </cell>
          <cell r="B101">
            <v>0.83</v>
          </cell>
          <cell r="C101">
            <v>0.17</v>
          </cell>
        </row>
        <row r="102">
          <cell r="A102" t="str">
            <v>Croatia</v>
          </cell>
          <cell r="B102">
            <v>0.67</v>
          </cell>
          <cell r="C102">
            <v>0.33</v>
          </cell>
        </row>
        <row r="103">
          <cell r="A103" t="str">
            <v>Finland</v>
          </cell>
          <cell r="B103">
            <v>0.55000000000000004</v>
          </cell>
          <cell r="C103">
            <v>0.45</v>
          </cell>
        </row>
        <row r="104">
          <cell r="A104" t="str">
            <v>Spain</v>
          </cell>
          <cell r="B104">
            <v>0.74</v>
          </cell>
          <cell r="C104">
            <v>0.26</v>
          </cell>
        </row>
        <row r="105">
          <cell r="A105" t="str">
            <v>Brazil</v>
          </cell>
          <cell r="B105">
            <v>0.85</v>
          </cell>
          <cell r="C105">
            <v>0.15</v>
          </cell>
        </row>
        <row r="106">
          <cell r="A106" t="str">
            <v>Morocco</v>
          </cell>
          <cell r="B106">
            <v>0.83</v>
          </cell>
          <cell r="C106">
            <v>0.17</v>
          </cell>
        </row>
        <row r="107">
          <cell r="A107" t="str">
            <v>Syria</v>
          </cell>
        </row>
        <row r="108">
          <cell r="A108" t="str">
            <v>Moldova</v>
          </cell>
        </row>
        <row r="109">
          <cell r="A109" t="str">
            <v>Guatemala</v>
          </cell>
        </row>
        <row r="110">
          <cell r="A110" t="str">
            <v>Denmark</v>
          </cell>
          <cell r="B110">
            <v>0.64</v>
          </cell>
          <cell r="C110">
            <v>0.36</v>
          </cell>
        </row>
        <row r="111">
          <cell r="A111" t="str">
            <v>Uruguay</v>
          </cell>
        </row>
        <row r="112">
          <cell r="A112" t="str">
            <v>Belgium</v>
          </cell>
          <cell r="B112">
            <v>0.64</v>
          </cell>
          <cell r="C112">
            <v>0.36</v>
          </cell>
        </row>
        <row r="113">
          <cell r="A113" t="str">
            <v>Haiti</v>
          </cell>
        </row>
        <row r="114">
          <cell r="A114" t="str">
            <v>Caribbean Netherlands</v>
          </cell>
        </row>
        <row r="115">
          <cell r="A115" t="str">
            <v>Andorra</v>
          </cell>
        </row>
        <row r="116">
          <cell r="A116" t="str">
            <v>United States</v>
          </cell>
          <cell r="B116">
            <v>0.56000000000000005</v>
          </cell>
          <cell r="C116">
            <v>0.44</v>
          </cell>
        </row>
        <row r="117">
          <cell r="A117" t="str">
            <v>Tonga</v>
          </cell>
        </row>
        <row r="118">
          <cell r="A118" t="str">
            <v>Monaco</v>
          </cell>
        </row>
        <row r="119">
          <cell r="A119" t="str">
            <v>Peru</v>
          </cell>
          <cell r="B119">
            <v>0.86</v>
          </cell>
          <cell r="C119">
            <v>0.14000000000000001</v>
          </cell>
        </row>
        <row r="120">
          <cell r="A120" t="str">
            <v>Canada</v>
          </cell>
          <cell r="B120">
            <v>0.56999999999999995</v>
          </cell>
          <cell r="C120">
            <v>0.43</v>
          </cell>
        </row>
        <row r="121">
          <cell r="A121" t="str">
            <v>Namibia</v>
          </cell>
        </row>
        <row r="122">
          <cell r="A122" t="str">
            <v>Chad</v>
          </cell>
        </row>
        <row r="123">
          <cell r="A123" t="str">
            <v>Mongolia</v>
          </cell>
        </row>
        <row r="124">
          <cell r="A124" t="str">
            <v>Norway</v>
          </cell>
          <cell r="B124">
            <v>0.56999999999999995</v>
          </cell>
          <cell r="C124">
            <v>0.43</v>
          </cell>
        </row>
        <row r="125">
          <cell r="A125" t="str">
            <v>Macao</v>
          </cell>
        </row>
        <row r="126">
          <cell r="A126" t="str">
            <v>Cambodia</v>
          </cell>
        </row>
        <row r="127">
          <cell r="A127" t="str">
            <v>Mauritania</v>
          </cell>
        </row>
        <row r="128">
          <cell r="A128" t="str">
            <v>Sudan</v>
          </cell>
        </row>
        <row r="129">
          <cell r="A129" t="str">
            <v>South Africa</v>
          </cell>
          <cell r="B129">
            <v>0.71</v>
          </cell>
          <cell r="C129">
            <v>0.28999999999999998</v>
          </cell>
        </row>
        <row r="130">
          <cell r="A130" t="str">
            <v>Seychelles</v>
          </cell>
        </row>
        <row r="131">
          <cell r="A131" t="str">
            <v>Vietnam</v>
          </cell>
          <cell r="B131">
            <v>0.88</v>
          </cell>
          <cell r="C131">
            <v>0.12</v>
          </cell>
        </row>
        <row r="132">
          <cell r="A132" t="str">
            <v>Lebanon</v>
          </cell>
        </row>
        <row r="133">
          <cell r="A133" t="str">
            <v>Timor-Leste</v>
          </cell>
        </row>
        <row r="134">
          <cell r="A134" t="str">
            <v>Paraguay</v>
          </cell>
        </row>
        <row r="135">
          <cell r="A135" t="str">
            <v>Netherlands</v>
          </cell>
          <cell r="B135">
            <v>0.56999999999999995</v>
          </cell>
          <cell r="C135">
            <v>0.43</v>
          </cell>
        </row>
        <row r="136">
          <cell r="A136" t="str">
            <v>Laos</v>
          </cell>
        </row>
        <row r="137">
          <cell r="A137" t="str">
            <v>Somalia</v>
          </cell>
        </row>
        <row r="138">
          <cell r="A138" t="str">
            <v>Albania</v>
          </cell>
        </row>
        <row r="139">
          <cell r="A139" t="str">
            <v>Bosnia &amp; Herzegovina</v>
          </cell>
        </row>
        <row r="140">
          <cell r="A140" t="str">
            <v>New Zealand</v>
          </cell>
          <cell r="B140">
            <v>0.53</v>
          </cell>
          <cell r="C140">
            <v>0.47</v>
          </cell>
        </row>
        <row r="141">
          <cell r="A141" t="str">
            <v>France</v>
          </cell>
          <cell r="B141">
            <v>0.59</v>
          </cell>
          <cell r="C141">
            <v>0.41</v>
          </cell>
        </row>
        <row r="142">
          <cell r="A142" t="str">
            <v>Equatorial Guinea</v>
          </cell>
        </row>
        <row r="143">
          <cell r="A143" t="str">
            <v>Algeria</v>
          </cell>
          <cell r="B143">
            <v>0.86</v>
          </cell>
          <cell r="C143">
            <v>0.14000000000000001</v>
          </cell>
        </row>
        <row r="144">
          <cell r="A144" t="str">
            <v>Kazakhstan</v>
          </cell>
          <cell r="B144">
            <v>0.81</v>
          </cell>
          <cell r="C144">
            <v>0.19</v>
          </cell>
        </row>
        <row r="145">
          <cell r="A145" t="str">
            <v>Russia</v>
          </cell>
          <cell r="B145">
            <v>0.6</v>
          </cell>
          <cell r="C145">
            <v>0.4</v>
          </cell>
        </row>
        <row r="146">
          <cell r="A146" t="str">
            <v>Brunei</v>
          </cell>
        </row>
        <row r="147">
          <cell r="A147" t="str">
            <v>Cyprus</v>
          </cell>
        </row>
        <row r="148">
          <cell r="A148" t="str">
            <v>Djibouti</v>
          </cell>
        </row>
        <row r="149">
          <cell r="A149" t="str">
            <v>Jordan</v>
          </cell>
        </row>
        <row r="150">
          <cell r="A150" t="str">
            <v>Kosovo</v>
          </cell>
        </row>
        <row r="151">
          <cell r="A151" t="str">
            <v>Kyrgyzstan</v>
          </cell>
        </row>
        <row r="152">
          <cell r="A152" t="str">
            <v>Greece</v>
          </cell>
          <cell r="B152">
            <v>0.65</v>
          </cell>
          <cell r="C152">
            <v>0.35</v>
          </cell>
        </row>
        <row r="153">
          <cell r="A153" t="str">
            <v>Honduras</v>
          </cell>
        </row>
        <row r="154">
          <cell r="A154" t="str">
            <v>Venezuela</v>
          </cell>
          <cell r="B154">
            <v>0.85</v>
          </cell>
          <cell r="C154">
            <v>0.15</v>
          </cell>
        </row>
        <row r="155">
          <cell r="A155" t="str">
            <v>Chile</v>
          </cell>
          <cell r="B155">
            <v>0.66</v>
          </cell>
          <cell r="C155">
            <v>0.34</v>
          </cell>
        </row>
        <row r="156">
          <cell r="A156" t="str">
            <v>Azerbaijan</v>
          </cell>
        </row>
        <row r="157">
          <cell r="A157" t="str">
            <v>Italy</v>
          </cell>
          <cell r="B157">
            <v>0.74</v>
          </cell>
          <cell r="C157">
            <v>0.26</v>
          </cell>
        </row>
        <row r="158">
          <cell r="A158" t="str">
            <v>Australia</v>
          </cell>
          <cell r="B158">
            <v>0.54</v>
          </cell>
          <cell r="C158">
            <v>0.46</v>
          </cell>
        </row>
        <row r="159">
          <cell r="A159" t="str">
            <v>Malaysia</v>
          </cell>
          <cell r="B159">
            <v>0.78</v>
          </cell>
          <cell r="C159">
            <v>0.22</v>
          </cell>
        </row>
        <row r="160">
          <cell r="A160" t="str">
            <v>Cayman Islands</v>
          </cell>
        </row>
        <row r="161">
          <cell r="A161" t="str">
            <v>United Arab Emirates</v>
          </cell>
          <cell r="B161">
            <v>0.72</v>
          </cell>
          <cell r="C161">
            <v>0.28000000000000003</v>
          </cell>
        </row>
        <row r="162">
          <cell r="A162" t="str">
            <v>United Kingdom</v>
          </cell>
          <cell r="B162">
            <v>0.52</v>
          </cell>
          <cell r="C162">
            <v>0.48</v>
          </cell>
        </row>
        <row r="163">
          <cell r="A163" t="str">
            <v>St. Kitts &amp; Nevis</v>
          </cell>
        </row>
        <row r="164">
          <cell r="A164" t="str">
            <v>Maldives</v>
          </cell>
        </row>
        <row r="165">
          <cell r="A165" t="str">
            <v>Papua New Guinea</v>
          </cell>
        </row>
        <row r="166">
          <cell r="A166" t="str">
            <v>Greenland</v>
          </cell>
        </row>
        <row r="167">
          <cell r="A167" t="str">
            <v>Solomon Islands</v>
          </cell>
        </row>
        <row r="168">
          <cell r="A168" t="str">
            <v>French Polynesia</v>
          </cell>
        </row>
        <row r="169">
          <cell r="A169" t="str">
            <v>Jamaica</v>
          </cell>
        </row>
        <row r="170">
          <cell r="A170" t="str">
            <v>Yemen</v>
          </cell>
        </row>
        <row r="171">
          <cell r="A171" t="str">
            <v>Panama</v>
          </cell>
        </row>
        <row r="172">
          <cell r="A172" t="str">
            <v>New Caledonia</v>
          </cell>
        </row>
        <row r="173">
          <cell r="A173" t="str">
            <v>Egypt</v>
          </cell>
          <cell r="B173">
            <v>0.77</v>
          </cell>
          <cell r="C173">
            <v>0.23</v>
          </cell>
        </row>
        <row r="174">
          <cell r="A174" t="str">
            <v>Trinidad &amp; Tobago</v>
          </cell>
        </row>
        <row r="175">
          <cell r="A175" t="str">
            <v>Argentina</v>
          </cell>
          <cell r="B175">
            <v>0.77</v>
          </cell>
          <cell r="C175">
            <v>0.23</v>
          </cell>
        </row>
        <row r="176">
          <cell r="A176" t="str">
            <v>Montenegro</v>
          </cell>
        </row>
        <row r="177">
          <cell r="A177" t="str">
            <v>RÃ©union</v>
          </cell>
        </row>
        <row r="178">
          <cell r="A178" t="str">
            <v>Turkey</v>
          </cell>
          <cell r="B178">
            <v>0.82</v>
          </cell>
          <cell r="C178">
            <v>0.18</v>
          </cell>
        </row>
        <row r="179">
          <cell r="A179" t="str">
            <v>South Sudan</v>
          </cell>
        </row>
        <row r="180">
          <cell r="A180" t="str">
            <v>Georgia</v>
          </cell>
        </row>
        <row r="181">
          <cell r="A181" t="str">
            <v>U.S. Virgin Islands</v>
          </cell>
        </row>
        <row r="182">
          <cell r="A182" t="str">
            <v>Bahrain</v>
          </cell>
        </row>
        <row r="183">
          <cell r="A183" t="str">
            <v>Qatar</v>
          </cell>
        </row>
        <row r="184">
          <cell r="A184" t="str">
            <v>Dominican Republic</v>
          </cell>
        </row>
        <row r="185">
          <cell r="A185" t="str">
            <v>St. Vincent &amp; Grenadines</v>
          </cell>
        </row>
        <row r="186">
          <cell r="A186" t="str">
            <v>Oman</v>
          </cell>
        </row>
        <row r="187">
          <cell r="A187" t="str">
            <v>Thailand</v>
          </cell>
          <cell r="B187">
            <v>0.77</v>
          </cell>
          <cell r="C187">
            <v>0.23</v>
          </cell>
        </row>
        <row r="188">
          <cell r="A188" t="str">
            <v>Saudi Arabia</v>
          </cell>
          <cell r="B188">
            <v>0.84</v>
          </cell>
          <cell r="C188">
            <v>0.16</v>
          </cell>
        </row>
        <row r="189">
          <cell r="A189" t="str">
            <v>Vanuatu</v>
          </cell>
        </row>
        <row r="190">
          <cell r="A190" t="str">
            <v>Liberia</v>
          </cell>
        </row>
        <row r="191">
          <cell r="A191" t="str">
            <v>Guadeloupe</v>
          </cell>
        </row>
        <row r="192">
          <cell r="A192" t="str">
            <v>Grenada</v>
          </cell>
        </row>
        <row r="193">
          <cell r="A193" t="str">
            <v>Barbados</v>
          </cell>
        </row>
        <row r="194">
          <cell r="A194" t="str">
            <v>Libya</v>
          </cell>
        </row>
        <row r="195">
          <cell r="A195" t="str">
            <v>Fiji</v>
          </cell>
        </row>
        <row r="196">
          <cell r="A196" t="str">
            <v>Bermuda</v>
          </cell>
        </row>
        <row r="197">
          <cell r="A197" t="str">
            <v>Samoa</v>
          </cell>
        </row>
        <row r="198">
          <cell r="A198" t="str">
            <v>Isle of Man</v>
          </cell>
        </row>
        <row r="199">
          <cell r="A199" t="str">
            <v>CuraÃ§ao</v>
          </cell>
        </row>
        <row r="200">
          <cell r="A200" t="str">
            <v>Jersey</v>
          </cell>
        </row>
        <row r="201">
          <cell r="A201" t="str">
            <v>Dominica</v>
          </cell>
        </row>
        <row r="202">
          <cell r="A202" t="str">
            <v>Suriname</v>
          </cell>
        </row>
        <row r="203">
          <cell r="A203" t="str">
            <v>Guam</v>
          </cell>
        </row>
        <row r="204">
          <cell r="A204" t="str">
            <v>Puerto Rico</v>
          </cell>
        </row>
        <row r="205">
          <cell r="A205" t="str">
            <v>French Guiana</v>
          </cell>
        </row>
        <row r="206">
          <cell r="A206" t="str">
            <v>Mayotte</v>
          </cell>
        </row>
        <row r="207">
          <cell r="A207" t="str">
            <v>Sint Maarten</v>
          </cell>
        </row>
        <row r="208">
          <cell r="A208" t="str">
            <v>Aruba</v>
          </cell>
        </row>
        <row r="209">
          <cell r="A209" t="str">
            <v>Martinique</v>
          </cell>
        </row>
        <row r="210">
          <cell r="A210" t="str">
            <v>Kuwait</v>
          </cell>
        </row>
        <row r="211">
          <cell r="A211" t="str">
            <v>Guyana</v>
          </cell>
        </row>
        <row r="212">
          <cell r="A212" t="str">
            <v>Belize</v>
          </cell>
        </row>
        <row r="213">
          <cell r="A213" t="str">
            <v>Guernsey</v>
          </cell>
        </row>
        <row r="214">
          <cell r="A214" t="str">
            <v>Western Sahara</v>
          </cell>
        </row>
        <row r="215">
          <cell r="A215" t="str">
            <v>St. Lucia</v>
          </cell>
        </row>
        <row r="216">
          <cell r="A216" t="str">
            <v>St. BarthÃ©lemy</v>
          </cell>
        </row>
        <row r="217">
          <cell r="A217" t="str">
            <v>Bahamas</v>
          </cell>
        </row>
        <row r="218">
          <cell r="A218" t="str">
            <v>Iraq</v>
          </cell>
        </row>
        <row r="219">
          <cell r="A219" t="str">
            <v>Antigua &amp; Barbuda</v>
          </cell>
        </row>
        <row r="220">
          <cell r="A220" t="str">
            <v>Palestine</v>
          </cell>
        </row>
        <row r="221">
          <cell r="A221" t="str">
            <v>Northern Mariana Islands</v>
          </cell>
        </row>
        <row r="222">
          <cell r="A222" t="str">
            <v>North Korea</v>
          </cell>
        </row>
        <row r="223">
          <cell r="A223" t="str">
            <v>Montserrat</v>
          </cell>
        </row>
        <row r="224">
          <cell r="A224" t="str">
            <v>Kiribati</v>
          </cell>
        </row>
        <row r="225">
          <cell r="A225" t="str">
            <v>Svalbard &amp; Jan Mayen</v>
          </cell>
        </row>
        <row r="226">
          <cell r="A226" t="str">
            <v>Marshall Islands</v>
          </cell>
        </row>
        <row r="227">
          <cell r="A227" t="str">
            <v>Falkland Islands (Islas Malvinas)</v>
          </cell>
        </row>
        <row r="228">
          <cell r="A228" t="str">
            <v>St. Martin</v>
          </cell>
        </row>
        <row r="229">
          <cell r="A229" t="str">
            <v>Cook Islands</v>
          </cell>
        </row>
        <row r="230">
          <cell r="A230" t="str">
            <v>Anguilla</v>
          </cell>
        </row>
        <row r="231">
          <cell r="A231" t="str">
            <v>St. Pierre &amp; Miquelon</v>
          </cell>
        </row>
        <row r="232">
          <cell r="A232" t="str">
            <v>Micronesia</v>
          </cell>
        </row>
        <row r="233">
          <cell r="A233" t="str">
            <v>British Virgin Islands</v>
          </cell>
        </row>
        <row r="234">
          <cell r="A234" t="str">
            <v>American Samoa</v>
          </cell>
        </row>
        <row r="235">
          <cell r="A235" t="str">
            <v>Turks &amp; Caicos Islands</v>
          </cell>
        </row>
        <row r="236">
          <cell r="A236" t="str">
            <v>Antarctica</v>
          </cell>
        </row>
        <row r="237">
          <cell r="A237" t="str">
            <v>French Southern Territories</v>
          </cell>
        </row>
        <row r="238">
          <cell r="A238" t="str">
            <v>Bouvet Island</v>
          </cell>
        </row>
        <row r="239">
          <cell r="A239" t="str">
            <v>Cocos (Keeling) Islands</v>
          </cell>
        </row>
        <row r="240">
          <cell r="A240" t="str">
            <v>Christmas Island</v>
          </cell>
        </row>
        <row r="241">
          <cell r="A241" t="str">
            <v>Heard &amp; McDonald Islands</v>
          </cell>
        </row>
        <row r="242">
          <cell r="A242" t="str">
            <v>British Indian Ocean Territory</v>
          </cell>
        </row>
        <row r="243">
          <cell r="A243" t="str">
            <v>Norfolk Island</v>
          </cell>
        </row>
        <row r="244">
          <cell r="A244" t="str">
            <v>Niue</v>
          </cell>
        </row>
        <row r="245">
          <cell r="A245" t="str">
            <v>Nauru</v>
          </cell>
        </row>
        <row r="246">
          <cell r="A246" t="str">
            <v>Pitcairn Islands</v>
          </cell>
        </row>
        <row r="247">
          <cell r="A247" t="str">
            <v>Palau</v>
          </cell>
        </row>
        <row r="248">
          <cell r="A248" t="str">
            <v>South Georgia &amp; South Sandwich Islands</v>
          </cell>
        </row>
        <row r="249">
          <cell r="A249" t="str">
            <v>Tokelau</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2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2)"/>
    </sheetNames>
    <sheetDataSet>
      <sheetData sheetId="0">
        <row r="1">
          <cell r="A1" t="str">
            <v>Kategori: TÃ¼m kategoriler</v>
          </cell>
        </row>
        <row r="3">
          <cell r="A3" t="str">
            <v>Ãœlke</v>
          </cell>
          <cell r="B3" t="str">
            <v>Python: (2016)</v>
          </cell>
          <cell r="C3" t="str">
            <v>JavaScript: (2016)</v>
          </cell>
        </row>
        <row r="4">
          <cell r="A4" t="str">
            <v>China</v>
          </cell>
          <cell r="B4">
            <v>0.57999999999999996</v>
          </cell>
          <cell r="C4">
            <v>0.42</v>
          </cell>
        </row>
        <row r="5">
          <cell r="A5" t="str">
            <v>North Korea</v>
          </cell>
        </row>
        <row r="6">
          <cell r="A6" t="str">
            <v>Cuba</v>
          </cell>
        </row>
        <row r="7">
          <cell r="A7" t="str">
            <v>South Korea</v>
          </cell>
          <cell r="B7">
            <v>0.41</v>
          </cell>
          <cell r="C7">
            <v>0.59</v>
          </cell>
        </row>
        <row r="8">
          <cell r="A8" t="str">
            <v>Gibraltar</v>
          </cell>
        </row>
        <row r="9">
          <cell r="A9" t="str">
            <v>St. Helena</v>
          </cell>
        </row>
        <row r="10">
          <cell r="A10" t="str">
            <v>Armenia</v>
          </cell>
        </row>
        <row r="11">
          <cell r="A11" t="str">
            <v>Madagascar</v>
          </cell>
        </row>
        <row r="12">
          <cell r="A12" t="str">
            <v>Iceland</v>
          </cell>
        </row>
        <row r="13">
          <cell r="A13" t="str">
            <v>Hong Kong</v>
          </cell>
          <cell r="B13">
            <v>0.43</v>
          </cell>
          <cell r="C13">
            <v>0.56999999999999995</v>
          </cell>
        </row>
        <row r="14">
          <cell r="A14" t="str">
            <v>India</v>
          </cell>
          <cell r="B14">
            <v>0.3</v>
          </cell>
          <cell r="C14">
            <v>0.7</v>
          </cell>
        </row>
        <row r="15">
          <cell r="A15" t="str">
            <v>Estonia</v>
          </cell>
          <cell r="B15">
            <v>0.43</v>
          </cell>
          <cell r="C15">
            <v>0.56999999999999995</v>
          </cell>
        </row>
        <row r="16">
          <cell r="A16" t="str">
            <v>Israel</v>
          </cell>
          <cell r="B16">
            <v>0.51</v>
          </cell>
          <cell r="C16">
            <v>0.49</v>
          </cell>
        </row>
        <row r="17">
          <cell r="A17" t="str">
            <v>Belarus</v>
          </cell>
          <cell r="B17">
            <v>0.26</v>
          </cell>
          <cell r="C17">
            <v>0.74</v>
          </cell>
        </row>
        <row r="18">
          <cell r="A18" t="str">
            <v>Singapore</v>
          </cell>
          <cell r="B18">
            <v>0.5</v>
          </cell>
          <cell r="C18">
            <v>0.5</v>
          </cell>
        </row>
        <row r="19">
          <cell r="A19" t="str">
            <v>Nepal</v>
          </cell>
        </row>
        <row r="20">
          <cell r="A20" t="str">
            <v>Ã…land Islands</v>
          </cell>
        </row>
        <row r="21">
          <cell r="A21" t="str">
            <v>Ukraine</v>
          </cell>
          <cell r="B21">
            <v>0.27</v>
          </cell>
          <cell r="C21">
            <v>0.73</v>
          </cell>
        </row>
        <row r="22">
          <cell r="A22" t="str">
            <v>Luxembourg</v>
          </cell>
        </row>
        <row r="23">
          <cell r="A23" t="str">
            <v>Sri Lanka</v>
          </cell>
          <cell r="B23">
            <v>0.3</v>
          </cell>
          <cell r="C23">
            <v>0.7</v>
          </cell>
        </row>
        <row r="24">
          <cell r="A24" t="str">
            <v>Malta</v>
          </cell>
        </row>
        <row r="25">
          <cell r="A25" t="str">
            <v>Bulgaria</v>
          </cell>
          <cell r="B25">
            <v>0.22</v>
          </cell>
          <cell r="C25">
            <v>0.78</v>
          </cell>
        </row>
        <row r="26">
          <cell r="A26" t="str">
            <v>Latvia</v>
          </cell>
        </row>
        <row r="27">
          <cell r="A27" t="str">
            <v>Czechia</v>
          </cell>
          <cell r="B27">
            <v>0.4</v>
          </cell>
          <cell r="C27">
            <v>0.6</v>
          </cell>
        </row>
        <row r="28">
          <cell r="A28" t="str">
            <v>Finland</v>
          </cell>
          <cell r="B28">
            <v>0.45</v>
          </cell>
          <cell r="C28">
            <v>0.55000000000000004</v>
          </cell>
        </row>
        <row r="29">
          <cell r="A29" t="str">
            <v>Slovenia</v>
          </cell>
          <cell r="B29">
            <v>0.45</v>
          </cell>
          <cell r="C29">
            <v>0.55000000000000004</v>
          </cell>
        </row>
        <row r="30">
          <cell r="A30" t="str">
            <v>North Macedonia</v>
          </cell>
        </row>
        <row r="31">
          <cell r="A31" t="str">
            <v>Sweden</v>
          </cell>
          <cell r="B31">
            <v>0.43</v>
          </cell>
          <cell r="C31">
            <v>0.56999999999999995</v>
          </cell>
        </row>
        <row r="32">
          <cell r="A32" t="str">
            <v>Switzerland</v>
          </cell>
          <cell r="B32">
            <v>0.49</v>
          </cell>
          <cell r="C32">
            <v>0.51</v>
          </cell>
        </row>
        <row r="33">
          <cell r="A33" t="str">
            <v>Tunisia</v>
          </cell>
          <cell r="B33">
            <v>0.3</v>
          </cell>
          <cell r="C33">
            <v>0.7</v>
          </cell>
        </row>
        <row r="34">
          <cell r="A34" t="str">
            <v>Mauritius</v>
          </cell>
        </row>
        <row r="35">
          <cell r="A35" t="str">
            <v>New Zealand</v>
          </cell>
          <cell r="B35">
            <v>0.43</v>
          </cell>
          <cell r="C35">
            <v>0.56999999999999995</v>
          </cell>
        </row>
        <row r="36">
          <cell r="A36" t="str">
            <v>Taiwan</v>
          </cell>
          <cell r="B36">
            <v>0.43</v>
          </cell>
          <cell r="C36">
            <v>0.56999999999999995</v>
          </cell>
        </row>
        <row r="37">
          <cell r="A37" t="str">
            <v>Lithuania</v>
          </cell>
        </row>
        <row r="38">
          <cell r="A38" t="str">
            <v>Faroe Islands</v>
          </cell>
        </row>
        <row r="39">
          <cell r="A39" t="str">
            <v>San Marino</v>
          </cell>
        </row>
        <row r="40">
          <cell r="A40" t="str">
            <v>Monaco</v>
          </cell>
        </row>
        <row r="41">
          <cell r="A41" t="str">
            <v>Serbia</v>
          </cell>
          <cell r="B41">
            <v>0.28999999999999998</v>
          </cell>
          <cell r="C41">
            <v>0.71</v>
          </cell>
        </row>
        <row r="42">
          <cell r="A42" t="str">
            <v>Netherlands</v>
          </cell>
          <cell r="B42">
            <v>0.43</v>
          </cell>
          <cell r="C42">
            <v>0.56999999999999995</v>
          </cell>
        </row>
        <row r="43">
          <cell r="A43" t="str">
            <v>Moldova</v>
          </cell>
        </row>
        <row r="44">
          <cell r="A44" t="str">
            <v>Ireland</v>
          </cell>
          <cell r="B44">
            <v>0.51</v>
          </cell>
          <cell r="C44">
            <v>0.49</v>
          </cell>
        </row>
        <row r="45">
          <cell r="A45" t="str">
            <v>Philippines</v>
          </cell>
          <cell r="B45">
            <v>0.25</v>
          </cell>
          <cell r="C45">
            <v>0.75</v>
          </cell>
        </row>
        <row r="46">
          <cell r="A46" t="str">
            <v>Cameroon</v>
          </cell>
        </row>
        <row r="47">
          <cell r="A47" t="str">
            <v>Portugal</v>
          </cell>
          <cell r="B47">
            <v>0.36</v>
          </cell>
          <cell r="C47">
            <v>0.64</v>
          </cell>
        </row>
        <row r="48">
          <cell r="A48" t="str">
            <v>Myanmar (Burma)</v>
          </cell>
        </row>
        <row r="49">
          <cell r="A49" t="str">
            <v>Liechtenstein</v>
          </cell>
        </row>
        <row r="50">
          <cell r="A50" t="str">
            <v>Canada</v>
          </cell>
          <cell r="B50">
            <v>0.47</v>
          </cell>
          <cell r="C50">
            <v>0.53</v>
          </cell>
        </row>
        <row r="51">
          <cell r="A51" t="str">
            <v>Norway</v>
          </cell>
          <cell r="B51">
            <v>0.47</v>
          </cell>
          <cell r="C51">
            <v>0.53</v>
          </cell>
        </row>
        <row r="52">
          <cell r="A52" t="str">
            <v>Romania</v>
          </cell>
          <cell r="B52">
            <v>0.31</v>
          </cell>
          <cell r="C52">
            <v>0.69</v>
          </cell>
        </row>
        <row r="53">
          <cell r="A53" t="str">
            <v>Denmark</v>
          </cell>
          <cell r="B53">
            <v>0.41</v>
          </cell>
          <cell r="C53">
            <v>0.59</v>
          </cell>
        </row>
        <row r="54">
          <cell r="A54" t="str">
            <v>Germany</v>
          </cell>
          <cell r="B54">
            <v>0.46</v>
          </cell>
          <cell r="C54">
            <v>0.54</v>
          </cell>
        </row>
        <row r="55">
          <cell r="A55" t="str">
            <v>Tonga</v>
          </cell>
        </row>
        <row r="56">
          <cell r="A56" t="str">
            <v>Austria</v>
          </cell>
          <cell r="B56">
            <v>0.43</v>
          </cell>
          <cell r="C56">
            <v>0.56999999999999995</v>
          </cell>
        </row>
        <row r="57">
          <cell r="A57" t="str">
            <v>Russia</v>
          </cell>
          <cell r="B57">
            <v>0.41</v>
          </cell>
          <cell r="C57">
            <v>0.59</v>
          </cell>
        </row>
        <row r="58">
          <cell r="A58" t="str">
            <v>United States</v>
          </cell>
          <cell r="B58">
            <v>0.52</v>
          </cell>
          <cell r="C58">
            <v>0.48</v>
          </cell>
        </row>
        <row r="59">
          <cell r="A59" t="str">
            <v>Japan</v>
          </cell>
          <cell r="B59">
            <v>0.37</v>
          </cell>
          <cell r="C59">
            <v>0.63</v>
          </cell>
        </row>
        <row r="60">
          <cell r="A60" t="str">
            <v>Mongolia</v>
          </cell>
        </row>
        <row r="61">
          <cell r="A61" t="str">
            <v>Slovakia</v>
          </cell>
          <cell r="B61">
            <v>0.35</v>
          </cell>
          <cell r="C61">
            <v>0.65</v>
          </cell>
        </row>
        <row r="62">
          <cell r="A62" t="str">
            <v>Bhutan</v>
          </cell>
        </row>
        <row r="63">
          <cell r="A63" t="str">
            <v>Pakistan</v>
          </cell>
          <cell r="B63">
            <v>0.25</v>
          </cell>
          <cell r="C63">
            <v>0.75</v>
          </cell>
        </row>
        <row r="64">
          <cell r="A64" t="str">
            <v>Poland</v>
          </cell>
          <cell r="B64">
            <v>0.36</v>
          </cell>
          <cell r="C64">
            <v>0.64</v>
          </cell>
        </row>
        <row r="65">
          <cell r="A65" t="str">
            <v>Cambodia</v>
          </cell>
        </row>
        <row r="66">
          <cell r="A66" t="str">
            <v>Cyprus</v>
          </cell>
        </row>
        <row r="67">
          <cell r="A67" t="str">
            <v>Hungary</v>
          </cell>
          <cell r="B67">
            <v>0.37</v>
          </cell>
          <cell r="C67">
            <v>0.63</v>
          </cell>
        </row>
        <row r="68">
          <cell r="A68" t="str">
            <v>Australia</v>
          </cell>
          <cell r="B68">
            <v>0.45</v>
          </cell>
          <cell r="C68">
            <v>0.55000000000000004</v>
          </cell>
        </row>
        <row r="69">
          <cell r="A69" t="str">
            <v>Belgium</v>
          </cell>
          <cell r="B69">
            <v>0.44</v>
          </cell>
          <cell r="C69">
            <v>0.56000000000000005</v>
          </cell>
        </row>
        <row r="70">
          <cell r="A70" t="str">
            <v>France</v>
          </cell>
          <cell r="B70">
            <v>0.45</v>
          </cell>
          <cell r="C70">
            <v>0.55000000000000004</v>
          </cell>
        </row>
        <row r="71">
          <cell r="A71" t="str">
            <v>Bangladesh</v>
          </cell>
          <cell r="B71">
            <v>0.28000000000000003</v>
          </cell>
          <cell r="C71">
            <v>0.72</v>
          </cell>
        </row>
        <row r="72">
          <cell r="A72" t="str">
            <v>Costa Rica</v>
          </cell>
        </row>
        <row r="73">
          <cell r="A73" t="str">
            <v>Croatia</v>
          </cell>
          <cell r="B73">
            <v>0.43</v>
          </cell>
          <cell r="C73">
            <v>0.56999999999999995</v>
          </cell>
        </row>
        <row r="74">
          <cell r="A74" t="str">
            <v>Macao</v>
          </cell>
        </row>
        <row r="75">
          <cell r="A75" t="str">
            <v>United Kingdom</v>
          </cell>
          <cell r="B75">
            <v>0.48</v>
          </cell>
          <cell r="C75">
            <v>0.52</v>
          </cell>
        </row>
        <row r="76">
          <cell r="A76" t="str">
            <v>Togo</v>
          </cell>
        </row>
        <row r="77">
          <cell r="A77" t="str">
            <v>Jersey</v>
          </cell>
        </row>
        <row r="78">
          <cell r="A78" t="str">
            <v>Spain</v>
          </cell>
          <cell r="B78">
            <v>0.37</v>
          </cell>
          <cell r="C78">
            <v>0.63</v>
          </cell>
        </row>
        <row r="79">
          <cell r="A79" t="str">
            <v>Benin</v>
          </cell>
        </row>
        <row r="80">
          <cell r="A80" t="str">
            <v>Lebanon</v>
          </cell>
        </row>
        <row r="81">
          <cell r="A81" t="str">
            <v>Uruguay</v>
          </cell>
        </row>
        <row r="82">
          <cell r="A82" t="str">
            <v>Cayman Islands</v>
          </cell>
        </row>
        <row r="83">
          <cell r="A83" t="str">
            <v>South Africa</v>
          </cell>
          <cell r="B83">
            <v>0.42</v>
          </cell>
          <cell r="C83">
            <v>0.57999999999999996</v>
          </cell>
        </row>
        <row r="84">
          <cell r="A84" t="str">
            <v>Gambia</v>
          </cell>
        </row>
        <row r="85">
          <cell r="A85" t="str">
            <v>Bosnia &amp; Herzegovina</v>
          </cell>
        </row>
        <row r="86">
          <cell r="A86" t="str">
            <v>Isle of Man</v>
          </cell>
        </row>
        <row r="87">
          <cell r="A87" t="str">
            <v>Maldives</v>
          </cell>
        </row>
        <row r="88">
          <cell r="A88" t="str">
            <v>Rwanda</v>
          </cell>
        </row>
        <row r="89">
          <cell r="A89" t="str">
            <v>Cape Verde</v>
          </cell>
        </row>
        <row r="90">
          <cell r="A90" t="str">
            <v>Eswatini</v>
          </cell>
        </row>
        <row r="91">
          <cell r="A91" t="str">
            <v>Senegal</v>
          </cell>
        </row>
        <row r="92">
          <cell r="A92" t="str">
            <v>Andorra</v>
          </cell>
        </row>
        <row r="93">
          <cell r="A93" t="str">
            <v>Albania</v>
          </cell>
        </row>
        <row r="94">
          <cell r="A94" t="str">
            <v>Uzbekistan</v>
          </cell>
        </row>
        <row r="95">
          <cell r="A95" t="str">
            <v>Ghana</v>
          </cell>
        </row>
        <row r="96">
          <cell r="A96" t="str">
            <v>Bolivia</v>
          </cell>
        </row>
        <row r="97">
          <cell r="A97" t="str">
            <v>Botswana</v>
          </cell>
        </row>
        <row r="98">
          <cell r="A98" t="str">
            <v>Greece</v>
          </cell>
          <cell r="B98">
            <v>0.45</v>
          </cell>
          <cell r="C98">
            <v>0.55000000000000004</v>
          </cell>
        </row>
        <row r="99">
          <cell r="A99" t="str">
            <v>Montenegro</v>
          </cell>
        </row>
        <row r="100">
          <cell r="A100" t="str">
            <v>Kosovo</v>
          </cell>
        </row>
        <row r="101">
          <cell r="A101" t="str">
            <v>Sint Maarten</v>
          </cell>
        </row>
        <row r="102">
          <cell r="A102" t="str">
            <v>Bermuda</v>
          </cell>
        </row>
        <row r="103">
          <cell r="A103" t="str">
            <v>Laos</v>
          </cell>
        </row>
        <row r="104">
          <cell r="A104" t="str">
            <v>Guernsey</v>
          </cell>
        </row>
        <row r="105">
          <cell r="A105" t="str">
            <v>U.S. Virgin Islands</v>
          </cell>
        </row>
        <row r="106">
          <cell r="A106" t="str">
            <v>Barbados</v>
          </cell>
        </row>
        <row r="107">
          <cell r="A107" t="str">
            <v>Kenya</v>
          </cell>
          <cell r="B107">
            <v>0.48</v>
          </cell>
          <cell r="C107">
            <v>0.52</v>
          </cell>
        </row>
        <row r="108">
          <cell r="A108" t="str">
            <v>Ethiopia</v>
          </cell>
        </row>
        <row r="109">
          <cell r="A109" t="str">
            <v>New Caledonia</v>
          </cell>
        </row>
        <row r="110">
          <cell r="A110" t="str">
            <v>Georgia</v>
          </cell>
        </row>
        <row r="111">
          <cell r="A111" t="str">
            <v>Nigeria</v>
          </cell>
          <cell r="B111">
            <v>0.43</v>
          </cell>
          <cell r="C111">
            <v>0.56999999999999995</v>
          </cell>
        </row>
        <row r="112">
          <cell r="A112" t="str">
            <v>Zimbabwe</v>
          </cell>
        </row>
        <row r="113">
          <cell r="A113" t="str">
            <v>CÃ´te dâ€™Ivoire</v>
          </cell>
        </row>
        <row r="114">
          <cell r="A114" t="str">
            <v>United Arab Emirates</v>
          </cell>
          <cell r="B114">
            <v>0.37</v>
          </cell>
          <cell r="C114">
            <v>0.63</v>
          </cell>
        </row>
        <row r="115">
          <cell r="A115" t="str">
            <v>Jamaica</v>
          </cell>
        </row>
        <row r="116">
          <cell r="A116" t="str">
            <v>Chile</v>
          </cell>
          <cell r="B116">
            <v>0.46</v>
          </cell>
          <cell r="C116">
            <v>0.54</v>
          </cell>
        </row>
        <row r="117">
          <cell r="A117" t="str">
            <v>Italy</v>
          </cell>
          <cell r="B117">
            <v>0.37</v>
          </cell>
          <cell r="C117">
            <v>0.63</v>
          </cell>
        </row>
        <row r="118">
          <cell r="A118" t="str">
            <v>Colombia</v>
          </cell>
          <cell r="B118">
            <v>0.34</v>
          </cell>
          <cell r="C118">
            <v>0.66</v>
          </cell>
        </row>
        <row r="119">
          <cell r="A119" t="str">
            <v>Vietnam</v>
          </cell>
          <cell r="B119">
            <v>0.23</v>
          </cell>
          <cell r="C119">
            <v>0.77</v>
          </cell>
        </row>
        <row r="120">
          <cell r="A120" t="str">
            <v>El Salvador</v>
          </cell>
        </row>
        <row r="121">
          <cell r="A121" t="str">
            <v>RÃ©union</v>
          </cell>
        </row>
        <row r="122">
          <cell r="A122" t="str">
            <v>Malaysia</v>
          </cell>
          <cell r="B122">
            <v>0.32</v>
          </cell>
          <cell r="C122">
            <v>0.68</v>
          </cell>
        </row>
        <row r="123">
          <cell r="A123" t="str">
            <v>Nicaragua</v>
          </cell>
        </row>
        <row r="124">
          <cell r="A124" t="str">
            <v>British Virgin Islands</v>
          </cell>
        </row>
        <row r="125">
          <cell r="A125" t="str">
            <v>Guatemala</v>
          </cell>
        </row>
        <row r="126">
          <cell r="A126" t="str">
            <v>Morocco</v>
          </cell>
          <cell r="B126">
            <v>0.36</v>
          </cell>
          <cell r="C126">
            <v>0.64</v>
          </cell>
        </row>
        <row r="127">
          <cell r="A127" t="str">
            <v>St. Vincent &amp; Grenadines</v>
          </cell>
        </row>
        <row r="128">
          <cell r="A128" t="str">
            <v>Uganda</v>
          </cell>
        </row>
        <row r="129">
          <cell r="A129" t="str">
            <v>Mexico</v>
          </cell>
          <cell r="B129">
            <v>0.31</v>
          </cell>
          <cell r="C129">
            <v>0.69</v>
          </cell>
        </row>
        <row r="130">
          <cell r="A130" t="str">
            <v>Belize</v>
          </cell>
        </row>
        <row r="131">
          <cell r="A131" t="str">
            <v>Argentina</v>
          </cell>
          <cell r="B131">
            <v>0.32</v>
          </cell>
          <cell r="C131">
            <v>0.68</v>
          </cell>
        </row>
        <row r="132">
          <cell r="A132" t="str">
            <v>Jordan</v>
          </cell>
        </row>
        <row r="133">
          <cell r="A133" t="str">
            <v>Malawi</v>
          </cell>
        </row>
        <row r="134">
          <cell r="A134" t="str">
            <v>Peru</v>
          </cell>
          <cell r="B134">
            <v>0.3</v>
          </cell>
          <cell r="C134">
            <v>0.7</v>
          </cell>
        </row>
        <row r="135">
          <cell r="A135" t="str">
            <v>Kazakhstan</v>
          </cell>
          <cell r="B135">
            <v>0.34</v>
          </cell>
          <cell r="C135">
            <v>0.66</v>
          </cell>
        </row>
        <row r="136">
          <cell r="A136" t="str">
            <v>Brazil</v>
          </cell>
          <cell r="B136">
            <v>0.34</v>
          </cell>
          <cell r="C136">
            <v>0.66</v>
          </cell>
        </row>
        <row r="137">
          <cell r="A137" t="str">
            <v>Afghanistan</v>
          </cell>
        </row>
        <row r="138">
          <cell r="A138" t="str">
            <v>Papua New Guinea</v>
          </cell>
        </row>
        <row r="139">
          <cell r="A139" t="str">
            <v>Trinidad &amp; Tobago</v>
          </cell>
        </row>
        <row r="140">
          <cell r="A140" t="str">
            <v>Iran</v>
          </cell>
          <cell r="B140">
            <v>0.4</v>
          </cell>
          <cell r="C140">
            <v>0.6</v>
          </cell>
        </row>
        <row r="141">
          <cell r="A141" t="str">
            <v>Congo - Brazzaville</v>
          </cell>
        </row>
        <row r="142">
          <cell r="A142" t="str">
            <v>Brunei</v>
          </cell>
        </row>
        <row r="143">
          <cell r="A143" t="str">
            <v>French Polynesia</v>
          </cell>
        </row>
        <row r="144">
          <cell r="A144" t="str">
            <v>French Guiana</v>
          </cell>
        </row>
        <row r="145">
          <cell r="A145" t="str">
            <v>Haiti</v>
          </cell>
        </row>
        <row r="146">
          <cell r="A146" t="str">
            <v>Caribbean Netherlands</v>
          </cell>
        </row>
        <row r="147">
          <cell r="A147" t="str">
            <v>Bahrain</v>
          </cell>
        </row>
        <row r="148">
          <cell r="A148" t="str">
            <v>Angola</v>
          </cell>
        </row>
        <row r="149">
          <cell r="A149" t="str">
            <v>CuraÃ§ao</v>
          </cell>
        </row>
        <row r="150">
          <cell r="A150" t="str">
            <v>Dominican Republic</v>
          </cell>
        </row>
        <row r="151">
          <cell r="A151" t="str">
            <v>Honduras</v>
          </cell>
        </row>
        <row r="152">
          <cell r="A152" t="str">
            <v>Lesotho</v>
          </cell>
        </row>
        <row r="153">
          <cell r="A153" t="str">
            <v>Gabon</v>
          </cell>
        </row>
        <row r="154">
          <cell r="A154" t="str">
            <v>Grenada</v>
          </cell>
        </row>
        <row r="155">
          <cell r="A155" t="str">
            <v>Congo - Kinshasa</v>
          </cell>
        </row>
        <row r="156">
          <cell r="A156" t="str">
            <v>Kyrgyzstan</v>
          </cell>
        </row>
        <row r="157">
          <cell r="A157" t="str">
            <v>Suriname</v>
          </cell>
        </row>
        <row r="158">
          <cell r="A158" t="str">
            <v>Guadeloupe</v>
          </cell>
        </row>
        <row r="159">
          <cell r="A159" t="str">
            <v>Martinique</v>
          </cell>
        </row>
        <row r="160">
          <cell r="A160" t="str">
            <v>Mayotte</v>
          </cell>
        </row>
        <row r="161">
          <cell r="A161" t="str">
            <v>Egypt</v>
          </cell>
          <cell r="B161">
            <v>0.39</v>
          </cell>
          <cell r="C161">
            <v>0.61</v>
          </cell>
        </row>
        <row r="162">
          <cell r="A162" t="str">
            <v>Venezuela</v>
          </cell>
          <cell r="B162">
            <v>0.31</v>
          </cell>
          <cell r="C162">
            <v>0.69</v>
          </cell>
        </row>
        <row r="163">
          <cell r="A163" t="str">
            <v>Ecuador</v>
          </cell>
          <cell r="B163">
            <v>0.41</v>
          </cell>
          <cell r="C163">
            <v>0.59</v>
          </cell>
        </row>
        <row r="164">
          <cell r="A164" t="str">
            <v>Panama</v>
          </cell>
        </row>
        <row r="165">
          <cell r="A165" t="str">
            <v>Paraguay</v>
          </cell>
        </row>
        <row r="166">
          <cell r="A166" t="str">
            <v>Thailand</v>
          </cell>
          <cell r="B166">
            <v>0.35</v>
          </cell>
          <cell r="C166">
            <v>0.65</v>
          </cell>
        </row>
        <row r="167">
          <cell r="A167" t="str">
            <v>Indonesia</v>
          </cell>
          <cell r="B167">
            <v>0.31</v>
          </cell>
          <cell r="C167">
            <v>0.69</v>
          </cell>
        </row>
        <row r="168">
          <cell r="A168" t="str">
            <v>Qatar</v>
          </cell>
        </row>
        <row r="169">
          <cell r="A169" t="str">
            <v>Namibia</v>
          </cell>
        </row>
        <row r="170">
          <cell r="A170" t="str">
            <v>Zambia</v>
          </cell>
        </row>
        <row r="171">
          <cell r="A171" t="str">
            <v>Guam</v>
          </cell>
        </row>
        <row r="172">
          <cell r="A172" t="str">
            <v>Puerto Rico</v>
          </cell>
        </row>
        <row r="173">
          <cell r="A173" t="str">
            <v>Tajikistan</v>
          </cell>
        </row>
        <row r="174">
          <cell r="A174" t="str">
            <v>Fiji</v>
          </cell>
        </row>
        <row r="175">
          <cell r="A175" t="str">
            <v>Timor-Leste</v>
          </cell>
        </row>
        <row r="176">
          <cell r="A176" t="str">
            <v>Azerbaijan</v>
          </cell>
        </row>
        <row r="177">
          <cell r="A177" t="str">
            <v>Western Sahara</v>
          </cell>
        </row>
        <row r="178">
          <cell r="A178" t="str">
            <v>Burundi</v>
          </cell>
        </row>
        <row r="179">
          <cell r="A179" t="str">
            <v>Sierra Leone</v>
          </cell>
        </row>
        <row r="180">
          <cell r="A180" t="str">
            <v>Turkey</v>
          </cell>
          <cell r="B180">
            <v>0.37</v>
          </cell>
          <cell r="C180">
            <v>0.63</v>
          </cell>
        </row>
        <row r="181">
          <cell r="A181" t="str">
            <v>Oman</v>
          </cell>
        </row>
        <row r="182">
          <cell r="A182" t="str">
            <v>Dominica</v>
          </cell>
        </row>
        <row r="183">
          <cell r="A183" t="str">
            <v>Mauritania</v>
          </cell>
        </row>
        <row r="184">
          <cell r="A184" t="str">
            <v>Tanzania</v>
          </cell>
        </row>
        <row r="185">
          <cell r="A185" t="str">
            <v>Aruba</v>
          </cell>
        </row>
        <row r="186">
          <cell r="A186" t="str">
            <v>Guyana</v>
          </cell>
        </row>
        <row r="187">
          <cell r="A187" t="str">
            <v>Mozambique</v>
          </cell>
        </row>
        <row r="188">
          <cell r="A188" t="str">
            <v>Burkina Faso</v>
          </cell>
        </row>
        <row r="189">
          <cell r="A189" t="str">
            <v>Somalia</v>
          </cell>
        </row>
        <row r="190">
          <cell r="A190" t="str">
            <v>Antigua &amp; Barbuda</v>
          </cell>
        </row>
        <row r="191">
          <cell r="A191" t="str">
            <v>Bahamas</v>
          </cell>
        </row>
        <row r="192">
          <cell r="A192" t="str">
            <v>Kuwait</v>
          </cell>
        </row>
        <row r="193">
          <cell r="A193" t="str">
            <v>Turkmenistan</v>
          </cell>
        </row>
        <row r="194">
          <cell r="A194" t="str">
            <v>Algeria</v>
          </cell>
        </row>
        <row r="195">
          <cell r="A195" t="str">
            <v>Djibouti</v>
          </cell>
        </row>
        <row r="196">
          <cell r="A196" t="str">
            <v>Syria</v>
          </cell>
        </row>
        <row r="197">
          <cell r="A197" t="str">
            <v>St. Lucia</v>
          </cell>
        </row>
        <row r="198">
          <cell r="A198" t="str">
            <v>Liberia</v>
          </cell>
        </row>
        <row r="199">
          <cell r="A199" t="str">
            <v>Mali</v>
          </cell>
        </row>
        <row r="200">
          <cell r="A200" t="str">
            <v>Niger</v>
          </cell>
        </row>
        <row r="201">
          <cell r="A201" t="str">
            <v>Guinea</v>
          </cell>
        </row>
        <row r="202">
          <cell r="A202" t="str">
            <v>Saudi Arabia</v>
          </cell>
          <cell r="B202">
            <v>0.41</v>
          </cell>
          <cell r="C202">
            <v>0.59</v>
          </cell>
        </row>
        <row r="203">
          <cell r="A203" t="str">
            <v>Libya</v>
          </cell>
        </row>
        <row r="204">
          <cell r="A204" t="str">
            <v>Sudan</v>
          </cell>
        </row>
        <row r="205">
          <cell r="A205" t="str">
            <v>Chad</v>
          </cell>
        </row>
        <row r="206">
          <cell r="A206" t="str">
            <v>Palestine</v>
          </cell>
        </row>
        <row r="207">
          <cell r="A207" t="str">
            <v>Yemen</v>
          </cell>
        </row>
        <row r="208">
          <cell r="A208" t="str">
            <v>Iraq</v>
          </cell>
        </row>
        <row r="209">
          <cell r="A209" t="str">
            <v>Svalbard &amp; Jan Mayen</v>
          </cell>
        </row>
        <row r="210">
          <cell r="A210" t="str">
            <v>Christmas Island</v>
          </cell>
        </row>
        <row r="211">
          <cell r="A211" t="str">
            <v>Eritrea</v>
          </cell>
        </row>
        <row r="212">
          <cell r="A212" t="str">
            <v>Kiribati</v>
          </cell>
        </row>
        <row r="213">
          <cell r="A213" t="str">
            <v>Montserrat</v>
          </cell>
        </row>
        <row r="214">
          <cell r="A214" t="str">
            <v>Palau</v>
          </cell>
        </row>
        <row r="215">
          <cell r="A215" t="str">
            <v>Cook Islands</v>
          </cell>
        </row>
        <row r="216">
          <cell r="A216" t="str">
            <v>Vanuatu</v>
          </cell>
        </row>
        <row r="217">
          <cell r="A217" t="str">
            <v>Falkland Islands (Islas Malvinas)</v>
          </cell>
        </row>
        <row r="218">
          <cell r="A218" t="str">
            <v>SÃ£o TomÃ© &amp; PrÃ­ncipe</v>
          </cell>
        </row>
        <row r="219">
          <cell r="A219" t="str">
            <v>Micronesia</v>
          </cell>
        </row>
        <row r="220">
          <cell r="A220" t="str">
            <v>Greenland</v>
          </cell>
        </row>
        <row r="221">
          <cell r="A221" t="str">
            <v>St. BarthÃ©lemy</v>
          </cell>
        </row>
        <row r="222">
          <cell r="A222" t="str">
            <v>Marshall Islands</v>
          </cell>
        </row>
        <row r="223">
          <cell r="A223" t="str">
            <v>Central African Republic</v>
          </cell>
        </row>
        <row r="224">
          <cell r="A224" t="str">
            <v>Seychelles</v>
          </cell>
        </row>
        <row r="225">
          <cell r="A225" t="str">
            <v>Northern Mariana Islands</v>
          </cell>
        </row>
        <row r="226">
          <cell r="A226" t="str">
            <v>Equatorial Guinea</v>
          </cell>
        </row>
        <row r="227">
          <cell r="A227" t="str">
            <v>Anguilla</v>
          </cell>
        </row>
        <row r="228">
          <cell r="A228" t="str">
            <v>St. Pierre &amp; Miquelon</v>
          </cell>
        </row>
        <row r="229">
          <cell r="A229" t="str">
            <v>St. Martin</v>
          </cell>
        </row>
        <row r="230">
          <cell r="A230" t="str">
            <v>Solomon Islands</v>
          </cell>
        </row>
        <row r="231">
          <cell r="A231" t="str">
            <v>Turks &amp; Caicos Islands</v>
          </cell>
        </row>
        <row r="232">
          <cell r="A232" t="str">
            <v>Comoros</v>
          </cell>
        </row>
        <row r="233">
          <cell r="A233" t="str">
            <v>Guinea-Bissau</v>
          </cell>
        </row>
        <row r="234">
          <cell r="A234" t="str">
            <v>American Samoa</v>
          </cell>
        </row>
        <row r="235">
          <cell r="A235" t="str">
            <v>St. Kitts &amp; Nevis</v>
          </cell>
        </row>
        <row r="236">
          <cell r="A236" t="str">
            <v>South Sudan</v>
          </cell>
        </row>
        <row r="237">
          <cell r="A237" t="str">
            <v>Samoa</v>
          </cell>
        </row>
        <row r="238">
          <cell r="A238" t="str">
            <v>Antarctica</v>
          </cell>
        </row>
        <row r="239">
          <cell r="A239" t="str">
            <v>French Southern Territories</v>
          </cell>
        </row>
        <row r="240">
          <cell r="A240" t="str">
            <v>Bouvet Island</v>
          </cell>
        </row>
        <row r="241">
          <cell r="A241" t="str">
            <v>Cocos (Keeling) Islands</v>
          </cell>
        </row>
        <row r="242">
          <cell r="A242" t="str">
            <v>Heard &amp; McDonald Islands</v>
          </cell>
        </row>
        <row r="243">
          <cell r="A243" t="str">
            <v>British Indian Ocean Territory</v>
          </cell>
        </row>
        <row r="244">
          <cell r="A244" t="str">
            <v>Norfolk Island</v>
          </cell>
        </row>
        <row r="245">
          <cell r="A245" t="str">
            <v>Niue</v>
          </cell>
        </row>
        <row r="246">
          <cell r="A246" t="str">
            <v>Nauru</v>
          </cell>
        </row>
        <row r="247">
          <cell r="A247" t="str">
            <v>Pitcairn Islands</v>
          </cell>
        </row>
        <row r="248">
          <cell r="A248" t="str">
            <v>South Georgia &amp; South Sandwich Islands</v>
          </cell>
        </row>
        <row r="249">
          <cell r="A249" t="str">
            <v>Tokelau</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2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3)"/>
    </sheetNames>
    <sheetDataSet>
      <sheetData sheetId="0">
        <row r="1">
          <cell r="A1" t="str">
            <v>Kategori: TÃ¼m kategoriler</v>
          </cell>
        </row>
        <row r="3">
          <cell r="A3" t="str">
            <v>Ãœlke</v>
          </cell>
          <cell r="B3" t="str">
            <v>JavaScript: (2016)</v>
          </cell>
          <cell r="C3" t="str">
            <v>SQL: (2016)</v>
          </cell>
        </row>
        <row r="4">
          <cell r="A4" t="str">
            <v>North Korea</v>
          </cell>
        </row>
        <row r="5">
          <cell r="A5" t="str">
            <v>China</v>
          </cell>
          <cell r="B5">
            <v>0.79</v>
          </cell>
          <cell r="C5">
            <v>0.21</v>
          </cell>
        </row>
        <row r="6">
          <cell r="A6" t="str">
            <v>Cuba</v>
          </cell>
        </row>
        <row r="7">
          <cell r="A7" t="str">
            <v>British Indian Ocean Territory</v>
          </cell>
        </row>
        <row r="8">
          <cell r="A8" t="str">
            <v>South Korea</v>
          </cell>
          <cell r="B8">
            <v>0.75</v>
          </cell>
          <cell r="C8">
            <v>0.25</v>
          </cell>
        </row>
        <row r="9">
          <cell r="A9" t="str">
            <v>St. Helena</v>
          </cell>
        </row>
        <row r="10">
          <cell r="A10" t="str">
            <v>Gibraltar</v>
          </cell>
        </row>
        <row r="11">
          <cell r="A11" t="str">
            <v>Liechtenstein</v>
          </cell>
        </row>
        <row r="12">
          <cell r="A12" t="str">
            <v>Madagascar</v>
          </cell>
        </row>
        <row r="13">
          <cell r="A13" t="str">
            <v>Ã…land Islands</v>
          </cell>
        </row>
        <row r="14">
          <cell r="A14" t="str">
            <v>Armenia</v>
          </cell>
        </row>
        <row r="15">
          <cell r="A15" t="str">
            <v>India</v>
          </cell>
          <cell r="B15">
            <v>0.49</v>
          </cell>
          <cell r="C15">
            <v>0.51</v>
          </cell>
        </row>
        <row r="16">
          <cell r="A16" t="str">
            <v>Iceland</v>
          </cell>
        </row>
        <row r="17">
          <cell r="A17" t="str">
            <v>Hong Kong</v>
          </cell>
          <cell r="B17">
            <v>0.56999999999999995</v>
          </cell>
          <cell r="C17">
            <v>0.43</v>
          </cell>
        </row>
        <row r="18">
          <cell r="A18" t="str">
            <v>Estonia</v>
          </cell>
        </row>
        <row r="19">
          <cell r="A19" t="str">
            <v>Singapore</v>
          </cell>
          <cell r="B19">
            <v>0.48</v>
          </cell>
          <cell r="C19">
            <v>0.52</v>
          </cell>
        </row>
        <row r="20">
          <cell r="A20" t="str">
            <v>Belarus</v>
          </cell>
          <cell r="B20">
            <v>0.67</v>
          </cell>
          <cell r="C20">
            <v>0.33</v>
          </cell>
        </row>
        <row r="21">
          <cell r="A21" t="str">
            <v>Israel</v>
          </cell>
          <cell r="B21">
            <v>0.62</v>
          </cell>
          <cell r="C21">
            <v>0.38</v>
          </cell>
        </row>
        <row r="22">
          <cell r="A22" t="str">
            <v>Nepal</v>
          </cell>
        </row>
        <row r="23">
          <cell r="A23" t="str">
            <v>Luxembourg</v>
          </cell>
        </row>
        <row r="24">
          <cell r="A24" t="str">
            <v>Ukraine</v>
          </cell>
          <cell r="B24">
            <v>0.74</v>
          </cell>
          <cell r="C24">
            <v>0.26</v>
          </cell>
        </row>
        <row r="25">
          <cell r="A25" t="str">
            <v>Isle of Man</v>
          </cell>
        </row>
        <row r="26">
          <cell r="A26" t="str">
            <v>Sri Lanka</v>
          </cell>
          <cell r="B26">
            <v>0.51</v>
          </cell>
          <cell r="C26">
            <v>0.49</v>
          </cell>
        </row>
        <row r="27">
          <cell r="A27" t="str">
            <v>Togo</v>
          </cell>
        </row>
        <row r="28">
          <cell r="A28" t="str">
            <v>Malta</v>
          </cell>
        </row>
        <row r="29">
          <cell r="A29" t="str">
            <v>Latvia</v>
          </cell>
        </row>
        <row r="30">
          <cell r="A30" t="str">
            <v>Bulgaria</v>
          </cell>
          <cell r="B30">
            <v>0.68</v>
          </cell>
          <cell r="C30">
            <v>0.32</v>
          </cell>
        </row>
        <row r="31">
          <cell r="A31" t="str">
            <v>Finland</v>
          </cell>
          <cell r="B31">
            <v>0.65</v>
          </cell>
          <cell r="C31">
            <v>0.35</v>
          </cell>
        </row>
        <row r="32">
          <cell r="A32" t="str">
            <v>Nicaragua</v>
          </cell>
        </row>
        <row r="33">
          <cell r="A33" t="str">
            <v>Czechia</v>
          </cell>
          <cell r="B33">
            <v>0.56000000000000005</v>
          </cell>
          <cell r="C33">
            <v>0.44</v>
          </cell>
        </row>
        <row r="34">
          <cell r="A34" t="str">
            <v>Mauritius</v>
          </cell>
        </row>
        <row r="35">
          <cell r="A35" t="str">
            <v>Slovenia</v>
          </cell>
          <cell r="B35">
            <v>0.59</v>
          </cell>
          <cell r="C35">
            <v>0.41</v>
          </cell>
        </row>
        <row r="36">
          <cell r="A36" t="str">
            <v>Monaco</v>
          </cell>
        </row>
        <row r="37">
          <cell r="A37" t="str">
            <v>Tunisia</v>
          </cell>
          <cell r="B37">
            <v>0.55000000000000004</v>
          </cell>
          <cell r="C37">
            <v>0.45</v>
          </cell>
        </row>
        <row r="38">
          <cell r="A38" t="str">
            <v>Sweden</v>
          </cell>
          <cell r="B38">
            <v>0.6</v>
          </cell>
          <cell r="C38">
            <v>0.4</v>
          </cell>
        </row>
        <row r="39">
          <cell r="A39" t="str">
            <v>Switzerland</v>
          </cell>
          <cell r="B39">
            <v>0.54</v>
          </cell>
          <cell r="C39">
            <v>0.46</v>
          </cell>
        </row>
        <row r="40">
          <cell r="A40" t="str">
            <v>New Zealand</v>
          </cell>
          <cell r="B40">
            <v>0.51</v>
          </cell>
          <cell r="C40">
            <v>0.49</v>
          </cell>
        </row>
        <row r="41">
          <cell r="A41" t="str">
            <v>North Macedonia</v>
          </cell>
        </row>
        <row r="42">
          <cell r="A42" t="str">
            <v>Taiwan</v>
          </cell>
          <cell r="B42">
            <v>0.56000000000000005</v>
          </cell>
          <cell r="C42">
            <v>0.44</v>
          </cell>
        </row>
        <row r="43">
          <cell r="A43" t="str">
            <v>Botswana</v>
          </cell>
        </row>
        <row r="44">
          <cell r="A44" t="str">
            <v>Lithuania</v>
          </cell>
          <cell r="B44">
            <v>0.63</v>
          </cell>
          <cell r="C44">
            <v>0.37</v>
          </cell>
        </row>
        <row r="45">
          <cell r="A45" t="str">
            <v>Central African Republic</v>
          </cell>
        </row>
        <row r="46">
          <cell r="A46" t="str">
            <v>Faroe Islands</v>
          </cell>
        </row>
        <row r="47">
          <cell r="A47" t="str">
            <v>Costa Rica</v>
          </cell>
          <cell r="B47">
            <v>0.42</v>
          </cell>
          <cell r="C47">
            <v>0.57999999999999996</v>
          </cell>
        </row>
        <row r="48">
          <cell r="A48" t="str">
            <v>Serbia</v>
          </cell>
          <cell r="B48">
            <v>0.62</v>
          </cell>
          <cell r="C48">
            <v>0.38</v>
          </cell>
        </row>
        <row r="49">
          <cell r="A49" t="str">
            <v>Moldova</v>
          </cell>
        </row>
        <row r="50">
          <cell r="A50" t="str">
            <v>Netherlands</v>
          </cell>
          <cell r="B50">
            <v>0.56999999999999995</v>
          </cell>
          <cell r="C50">
            <v>0.43</v>
          </cell>
        </row>
        <row r="51">
          <cell r="A51" t="str">
            <v>Macao</v>
          </cell>
        </row>
        <row r="52">
          <cell r="A52" t="str">
            <v>Philippines</v>
          </cell>
          <cell r="B52">
            <v>0.53</v>
          </cell>
          <cell r="C52">
            <v>0.47</v>
          </cell>
        </row>
        <row r="53">
          <cell r="A53" t="str">
            <v>Myanmar (Burma)</v>
          </cell>
        </row>
        <row r="54">
          <cell r="A54" t="str">
            <v>Ireland</v>
          </cell>
          <cell r="B54">
            <v>0.5</v>
          </cell>
          <cell r="C54">
            <v>0.5</v>
          </cell>
        </row>
        <row r="55">
          <cell r="A55" t="str">
            <v>Portugal</v>
          </cell>
          <cell r="B55">
            <v>0.5</v>
          </cell>
          <cell r="C55">
            <v>0.5</v>
          </cell>
        </row>
        <row r="56">
          <cell r="A56" t="str">
            <v>El Salvador</v>
          </cell>
        </row>
        <row r="57">
          <cell r="A57" t="str">
            <v>Cameroon</v>
          </cell>
        </row>
        <row r="58">
          <cell r="A58" t="str">
            <v>Canada</v>
          </cell>
          <cell r="B58">
            <v>0.54</v>
          </cell>
          <cell r="C58">
            <v>0.46</v>
          </cell>
        </row>
        <row r="59">
          <cell r="A59" t="str">
            <v>Ethiopia</v>
          </cell>
        </row>
        <row r="60">
          <cell r="A60" t="str">
            <v>South Africa</v>
          </cell>
          <cell r="B60">
            <v>0.39</v>
          </cell>
          <cell r="C60">
            <v>0.61</v>
          </cell>
        </row>
        <row r="61">
          <cell r="A61" t="str">
            <v>Austria</v>
          </cell>
          <cell r="B61">
            <v>0.56999999999999995</v>
          </cell>
          <cell r="C61">
            <v>0.43</v>
          </cell>
        </row>
        <row r="62">
          <cell r="A62" t="str">
            <v>San Marino</v>
          </cell>
        </row>
        <row r="63">
          <cell r="A63" t="str">
            <v>Bhutan</v>
          </cell>
        </row>
        <row r="64">
          <cell r="A64" t="str">
            <v>Norway</v>
          </cell>
          <cell r="B64">
            <v>0.57999999999999996</v>
          </cell>
          <cell r="C64">
            <v>0.42</v>
          </cell>
        </row>
        <row r="65">
          <cell r="A65" t="str">
            <v>Denmark</v>
          </cell>
          <cell r="B65">
            <v>0.52</v>
          </cell>
          <cell r="C65">
            <v>0.48</v>
          </cell>
        </row>
        <row r="66">
          <cell r="A66" t="str">
            <v>Romania</v>
          </cell>
          <cell r="B66">
            <v>0.57999999999999996</v>
          </cell>
          <cell r="C66">
            <v>0.42</v>
          </cell>
        </row>
        <row r="67">
          <cell r="A67" t="str">
            <v>Jersey</v>
          </cell>
        </row>
        <row r="68">
          <cell r="A68" t="str">
            <v>Germany</v>
          </cell>
          <cell r="B68">
            <v>0.56999999999999995</v>
          </cell>
          <cell r="C68">
            <v>0.43</v>
          </cell>
        </row>
        <row r="69">
          <cell r="A69" t="str">
            <v>Bermuda</v>
          </cell>
        </row>
        <row r="70">
          <cell r="A70" t="str">
            <v>Russia</v>
          </cell>
          <cell r="B70">
            <v>0.62</v>
          </cell>
          <cell r="C70">
            <v>0.38</v>
          </cell>
        </row>
        <row r="71">
          <cell r="A71" t="str">
            <v>Japan</v>
          </cell>
          <cell r="B71">
            <v>0.56000000000000005</v>
          </cell>
          <cell r="C71">
            <v>0.44</v>
          </cell>
        </row>
        <row r="72">
          <cell r="A72" t="str">
            <v>Eswatini</v>
          </cell>
        </row>
        <row r="73">
          <cell r="A73" t="str">
            <v>Slovakia</v>
          </cell>
          <cell r="B73">
            <v>0.59</v>
          </cell>
          <cell r="C73">
            <v>0.41</v>
          </cell>
        </row>
        <row r="74">
          <cell r="A74" t="str">
            <v>Peru</v>
          </cell>
          <cell r="B74">
            <v>0.32</v>
          </cell>
          <cell r="C74">
            <v>0.68</v>
          </cell>
        </row>
        <row r="75">
          <cell r="A75" t="str">
            <v>Pakistan</v>
          </cell>
          <cell r="B75">
            <v>0.51</v>
          </cell>
          <cell r="C75">
            <v>0.49</v>
          </cell>
        </row>
        <row r="76">
          <cell r="A76" t="str">
            <v>Andorra</v>
          </cell>
        </row>
        <row r="77">
          <cell r="A77" t="str">
            <v>Honduras</v>
          </cell>
        </row>
        <row r="78">
          <cell r="A78" t="str">
            <v>Somalia</v>
          </cell>
        </row>
        <row r="79">
          <cell r="A79" t="str">
            <v>Rwanda</v>
          </cell>
        </row>
        <row r="80">
          <cell r="A80" t="str">
            <v>Cambodia</v>
          </cell>
        </row>
        <row r="81">
          <cell r="A81" t="str">
            <v>Poland</v>
          </cell>
          <cell r="B81">
            <v>0.56999999999999995</v>
          </cell>
          <cell r="C81">
            <v>0.43</v>
          </cell>
        </row>
        <row r="82">
          <cell r="A82" t="str">
            <v>Benin</v>
          </cell>
        </row>
        <row r="83">
          <cell r="A83" t="str">
            <v>Australia</v>
          </cell>
          <cell r="B83">
            <v>0.5</v>
          </cell>
          <cell r="C83">
            <v>0.5</v>
          </cell>
        </row>
        <row r="84">
          <cell r="A84" t="str">
            <v>United States</v>
          </cell>
          <cell r="B84">
            <v>0.51</v>
          </cell>
          <cell r="C84">
            <v>0.49</v>
          </cell>
        </row>
        <row r="85">
          <cell r="A85" t="str">
            <v>Belgium</v>
          </cell>
          <cell r="B85">
            <v>0.55000000000000004</v>
          </cell>
          <cell r="C85">
            <v>0.45</v>
          </cell>
        </row>
        <row r="86">
          <cell r="A86" t="str">
            <v>Hungary</v>
          </cell>
          <cell r="B86">
            <v>0.59</v>
          </cell>
          <cell r="C86">
            <v>0.41</v>
          </cell>
        </row>
        <row r="87">
          <cell r="A87" t="str">
            <v>Mongolia</v>
          </cell>
        </row>
        <row r="88">
          <cell r="A88" t="str">
            <v>Cyprus</v>
          </cell>
        </row>
        <row r="89">
          <cell r="A89" t="str">
            <v>Lebanon</v>
          </cell>
        </row>
        <row r="90">
          <cell r="A90" t="str">
            <v>France</v>
          </cell>
          <cell r="B90">
            <v>0.6</v>
          </cell>
          <cell r="C90">
            <v>0.4</v>
          </cell>
        </row>
        <row r="91">
          <cell r="A91" t="str">
            <v>Afghanistan</v>
          </cell>
        </row>
        <row r="92">
          <cell r="A92" t="str">
            <v>Cape Verde</v>
          </cell>
        </row>
        <row r="93">
          <cell r="A93" t="str">
            <v>Croatia</v>
          </cell>
          <cell r="B93">
            <v>0.54</v>
          </cell>
          <cell r="C93">
            <v>0.46</v>
          </cell>
        </row>
        <row r="94">
          <cell r="A94" t="str">
            <v>Angola</v>
          </cell>
        </row>
        <row r="95">
          <cell r="A95" t="str">
            <v>United Kingdom</v>
          </cell>
          <cell r="B95">
            <v>0.5</v>
          </cell>
          <cell r="C95">
            <v>0.5</v>
          </cell>
        </row>
        <row r="96">
          <cell r="A96" t="str">
            <v>Guatemala</v>
          </cell>
        </row>
        <row r="97">
          <cell r="A97" t="str">
            <v>Bangladesh</v>
          </cell>
          <cell r="B97">
            <v>0.6</v>
          </cell>
          <cell r="C97">
            <v>0.4</v>
          </cell>
        </row>
        <row r="98">
          <cell r="A98" t="str">
            <v>United Arab Emirates</v>
          </cell>
          <cell r="B98">
            <v>0.4</v>
          </cell>
          <cell r="C98">
            <v>0.6</v>
          </cell>
        </row>
        <row r="99">
          <cell r="A99" t="str">
            <v>Guernsey</v>
          </cell>
        </row>
        <row r="100">
          <cell r="A100" t="str">
            <v>Maldives</v>
          </cell>
        </row>
        <row r="101">
          <cell r="A101" t="str">
            <v>Cayman Islands</v>
          </cell>
        </row>
        <row r="102">
          <cell r="A102" t="str">
            <v>Spain</v>
          </cell>
          <cell r="B102">
            <v>0.57999999999999996</v>
          </cell>
          <cell r="C102">
            <v>0.42</v>
          </cell>
        </row>
        <row r="103">
          <cell r="A103" t="str">
            <v>Bahrain</v>
          </cell>
        </row>
        <row r="104">
          <cell r="A104" t="str">
            <v>Bolivia</v>
          </cell>
        </row>
        <row r="105">
          <cell r="A105" t="str">
            <v>Burundi</v>
          </cell>
        </row>
        <row r="106">
          <cell r="A106" t="str">
            <v>Congo - Kinshasa</v>
          </cell>
        </row>
        <row r="107">
          <cell r="A107" t="str">
            <v>CuraÃ§ao</v>
          </cell>
        </row>
        <row r="108">
          <cell r="A108" t="str">
            <v>Papua New Guinea</v>
          </cell>
        </row>
        <row r="109">
          <cell r="A109" t="str">
            <v>Chile</v>
          </cell>
          <cell r="B109">
            <v>0.43</v>
          </cell>
          <cell r="C109">
            <v>0.56999999999999995</v>
          </cell>
        </row>
        <row r="110">
          <cell r="A110" t="str">
            <v>CÃ´te dâ€™Ivoire</v>
          </cell>
        </row>
        <row r="111">
          <cell r="A111" t="str">
            <v>Malawi</v>
          </cell>
        </row>
        <row r="112">
          <cell r="A112" t="str">
            <v>Laos</v>
          </cell>
        </row>
        <row r="113">
          <cell r="A113" t="str">
            <v>Senegal</v>
          </cell>
        </row>
        <row r="114">
          <cell r="A114" t="str">
            <v>Uruguay</v>
          </cell>
        </row>
        <row r="115">
          <cell r="A115" t="str">
            <v>Ecuador</v>
          </cell>
          <cell r="B115">
            <v>0.35</v>
          </cell>
          <cell r="C115">
            <v>0.65</v>
          </cell>
        </row>
        <row r="116">
          <cell r="A116" t="str">
            <v>Seychelles</v>
          </cell>
        </row>
        <row r="117">
          <cell r="A117" t="str">
            <v>Zimbabwe</v>
          </cell>
        </row>
        <row r="118">
          <cell r="A118" t="str">
            <v>Panama</v>
          </cell>
        </row>
        <row r="119">
          <cell r="A119" t="str">
            <v>Iran</v>
          </cell>
          <cell r="B119">
            <v>0.39</v>
          </cell>
          <cell r="C119">
            <v>0.61</v>
          </cell>
        </row>
        <row r="120">
          <cell r="A120" t="str">
            <v>Malaysia</v>
          </cell>
          <cell r="B120">
            <v>0.43</v>
          </cell>
          <cell r="C120">
            <v>0.56999999999999995</v>
          </cell>
        </row>
        <row r="121">
          <cell r="A121" t="str">
            <v>Congo - Brazzaville</v>
          </cell>
        </row>
        <row r="122">
          <cell r="A122" t="str">
            <v>Djibouti</v>
          </cell>
        </row>
        <row r="123">
          <cell r="A123" t="str">
            <v>Gambia</v>
          </cell>
        </row>
        <row r="124">
          <cell r="A124" t="str">
            <v>Fiji</v>
          </cell>
        </row>
        <row r="125">
          <cell r="A125" t="str">
            <v>Bosnia &amp; Herzegovina</v>
          </cell>
        </row>
        <row r="126">
          <cell r="A126" t="str">
            <v>Colombia</v>
          </cell>
          <cell r="B126">
            <v>0.45</v>
          </cell>
          <cell r="C126">
            <v>0.55000000000000004</v>
          </cell>
        </row>
        <row r="127">
          <cell r="A127" t="str">
            <v>Mexico</v>
          </cell>
          <cell r="B127">
            <v>0.41</v>
          </cell>
          <cell r="C127">
            <v>0.59</v>
          </cell>
        </row>
        <row r="128">
          <cell r="A128" t="str">
            <v>Albania</v>
          </cell>
        </row>
        <row r="129">
          <cell r="A129" t="str">
            <v>Lesotho</v>
          </cell>
        </row>
        <row r="130">
          <cell r="A130" t="str">
            <v>New Caledonia</v>
          </cell>
        </row>
        <row r="131">
          <cell r="A131" t="str">
            <v>Dominican Republic</v>
          </cell>
        </row>
        <row r="132">
          <cell r="A132" t="str">
            <v>Ghana</v>
          </cell>
        </row>
        <row r="133">
          <cell r="A133" t="str">
            <v>Barbados</v>
          </cell>
        </row>
        <row r="134">
          <cell r="A134" t="str">
            <v>Gabon</v>
          </cell>
        </row>
        <row r="135">
          <cell r="A135" t="str">
            <v>Kosovo</v>
          </cell>
        </row>
        <row r="136">
          <cell r="A136" t="str">
            <v>Greece</v>
          </cell>
          <cell r="B136">
            <v>0.56000000000000005</v>
          </cell>
          <cell r="C136">
            <v>0.44</v>
          </cell>
        </row>
        <row r="137">
          <cell r="A137" t="str">
            <v>Namibia</v>
          </cell>
        </row>
        <row r="138">
          <cell r="A138" t="str">
            <v>Jordan</v>
          </cell>
        </row>
        <row r="139">
          <cell r="A139" t="str">
            <v>Uzbekistan</v>
          </cell>
        </row>
        <row r="140">
          <cell r="A140" t="str">
            <v>Jamaica</v>
          </cell>
        </row>
        <row r="141">
          <cell r="A141" t="str">
            <v>Georgia</v>
          </cell>
        </row>
        <row r="142">
          <cell r="A142" t="str">
            <v>Oman</v>
          </cell>
        </row>
        <row r="143">
          <cell r="A143" t="str">
            <v>Kenya</v>
          </cell>
          <cell r="B143">
            <v>0.53</v>
          </cell>
          <cell r="C143">
            <v>0.47</v>
          </cell>
        </row>
        <row r="144">
          <cell r="A144" t="str">
            <v>Western Sahara</v>
          </cell>
        </row>
        <row r="145">
          <cell r="A145" t="str">
            <v>Nigeria</v>
          </cell>
          <cell r="B145">
            <v>0.61</v>
          </cell>
          <cell r="C145">
            <v>0.39</v>
          </cell>
        </row>
        <row r="146">
          <cell r="A146" t="str">
            <v>St. Vincent &amp; Grenadines</v>
          </cell>
        </row>
        <row r="147">
          <cell r="A147" t="str">
            <v>Morocco</v>
          </cell>
          <cell r="B147">
            <v>0.47</v>
          </cell>
          <cell r="C147">
            <v>0.53</v>
          </cell>
        </row>
        <row r="148">
          <cell r="A148" t="str">
            <v>RÃ©union</v>
          </cell>
        </row>
        <row r="149">
          <cell r="A149" t="str">
            <v>Montenegro</v>
          </cell>
        </row>
        <row r="150">
          <cell r="A150" t="str">
            <v>Qatar</v>
          </cell>
        </row>
        <row r="151">
          <cell r="A151" t="str">
            <v>Italy</v>
          </cell>
          <cell r="B151">
            <v>0.55000000000000004</v>
          </cell>
          <cell r="C151">
            <v>0.45</v>
          </cell>
        </row>
        <row r="152">
          <cell r="A152" t="str">
            <v>Vietnam</v>
          </cell>
          <cell r="B152">
            <v>0.51</v>
          </cell>
          <cell r="C152">
            <v>0.49</v>
          </cell>
        </row>
        <row r="153">
          <cell r="A153" t="str">
            <v>Libya</v>
          </cell>
        </row>
        <row r="154">
          <cell r="A154" t="str">
            <v>Uganda</v>
          </cell>
        </row>
        <row r="155">
          <cell r="A155" t="str">
            <v>Kuwait</v>
          </cell>
        </row>
        <row r="156">
          <cell r="A156" t="str">
            <v>Liberia</v>
          </cell>
        </row>
        <row r="157">
          <cell r="A157" t="str">
            <v>Paraguay</v>
          </cell>
        </row>
        <row r="158">
          <cell r="A158" t="str">
            <v>Zambia</v>
          </cell>
        </row>
        <row r="159">
          <cell r="A159" t="str">
            <v>French Polynesia</v>
          </cell>
        </row>
        <row r="160">
          <cell r="A160" t="str">
            <v>Puerto Rico</v>
          </cell>
        </row>
        <row r="161">
          <cell r="A161" t="str">
            <v>Trinidad &amp; Tobago</v>
          </cell>
        </row>
        <row r="162">
          <cell r="A162" t="str">
            <v>Belize</v>
          </cell>
        </row>
        <row r="163">
          <cell r="A163" t="str">
            <v>Brunei</v>
          </cell>
        </row>
        <row r="164">
          <cell r="A164" t="str">
            <v>Grenada</v>
          </cell>
        </row>
        <row r="165">
          <cell r="A165" t="str">
            <v>Argentina</v>
          </cell>
          <cell r="B165">
            <v>0.54</v>
          </cell>
          <cell r="C165">
            <v>0.46</v>
          </cell>
        </row>
        <row r="166">
          <cell r="A166" t="str">
            <v>Mozambique</v>
          </cell>
        </row>
        <row r="167">
          <cell r="A167" t="str">
            <v>Mauritania</v>
          </cell>
        </row>
        <row r="168">
          <cell r="A168" t="str">
            <v>Kazakhstan</v>
          </cell>
          <cell r="B168">
            <v>0.56999999999999995</v>
          </cell>
          <cell r="C168">
            <v>0.43</v>
          </cell>
        </row>
        <row r="169">
          <cell r="A169" t="str">
            <v>Sierra Leone</v>
          </cell>
        </row>
        <row r="170">
          <cell r="A170" t="str">
            <v>Burkina Faso</v>
          </cell>
        </row>
        <row r="171">
          <cell r="A171" t="str">
            <v>U.S. Virgin Islands</v>
          </cell>
        </row>
        <row r="172">
          <cell r="A172" t="str">
            <v>Brazil</v>
          </cell>
          <cell r="B172">
            <v>0.51</v>
          </cell>
          <cell r="C172">
            <v>0.49</v>
          </cell>
        </row>
        <row r="173">
          <cell r="A173" t="str">
            <v>Suriname</v>
          </cell>
        </row>
        <row r="174">
          <cell r="A174" t="str">
            <v>Greenland</v>
          </cell>
        </row>
        <row r="175">
          <cell r="A175" t="str">
            <v>Haiti</v>
          </cell>
        </row>
        <row r="176">
          <cell r="A176" t="str">
            <v>Sint Maarten</v>
          </cell>
        </row>
        <row r="177">
          <cell r="A177" t="str">
            <v>Thailand</v>
          </cell>
          <cell r="B177">
            <v>0.46</v>
          </cell>
          <cell r="C177">
            <v>0.54</v>
          </cell>
        </row>
        <row r="178">
          <cell r="A178" t="str">
            <v>Egypt</v>
          </cell>
          <cell r="B178">
            <v>0.47</v>
          </cell>
          <cell r="C178">
            <v>0.53</v>
          </cell>
        </row>
        <row r="179">
          <cell r="A179" t="str">
            <v>Caribbean Netherlands</v>
          </cell>
        </row>
        <row r="180">
          <cell r="A180" t="str">
            <v>Sudan</v>
          </cell>
        </row>
        <row r="181">
          <cell r="A181" t="str">
            <v>Guadeloupe</v>
          </cell>
        </row>
        <row r="182">
          <cell r="A182" t="str">
            <v>Kyrgyzstan</v>
          </cell>
        </row>
        <row r="183">
          <cell r="A183" t="str">
            <v>Turkey</v>
          </cell>
          <cell r="B183">
            <v>0.41</v>
          </cell>
          <cell r="C183">
            <v>0.59</v>
          </cell>
        </row>
        <row r="184">
          <cell r="A184" t="str">
            <v>Niger</v>
          </cell>
        </row>
        <row r="185">
          <cell r="A185" t="str">
            <v>Azerbaijan</v>
          </cell>
        </row>
        <row r="186">
          <cell r="A186" t="str">
            <v>Venezuela</v>
          </cell>
          <cell r="B186">
            <v>0.55000000000000004</v>
          </cell>
          <cell r="C186">
            <v>0.45</v>
          </cell>
        </row>
        <row r="187">
          <cell r="A187" t="str">
            <v>St. Lucia</v>
          </cell>
        </row>
        <row r="188">
          <cell r="A188" t="str">
            <v>Tajikistan</v>
          </cell>
        </row>
        <row r="189">
          <cell r="A189" t="str">
            <v>Indonesia</v>
          </cell>
          <cell r="B189">
            <v>0.51</v>
          </cell>
          <cell r="C189">
            <v>0.49</v>
          </cell>
        </row>
        <row r="190">
          <cell r="A190" t="str">
            <v>Saudi Arabia</v>
          </cell>
          <cell r="B190">
            <v>0.33</v>
          </cell>
          <cell r="C190">
            <v>0.67</v>
          </cell>
        </row>
        <row r="191">
          <cell r="A191" t="str">
            <v>Syria</v>
          </cell>
        </row>
        <row r="192">
          <cell r="A192" t="str">
            <v>Dominica</v>
          </cell>
        </row>
        <row r="193">
          <cell r="A193" t="str">
            <v>Chad</v>
          </cell>
        </row>
        <row r="194">
          <cell r="A194" t="str">
            <v>Timor-Leste</v>
          </cell>
        </row>
        <row r="195">
          <cell r="A195" t="str">
            <v>Tanzania</v>
          </cell>
        </row>
        <row r="196">
          <cell r="A196" t="str">
            <v>Martinique</v>
          </cell>
        </row>
        <row r="197">
          <cell r="A197" t="str">
            <v>Yemen</v>
          </cell>
        </row>
        <row r="198">
          <cell r="A198" t="str">
            <v>Algeria</v>
          </cell>
        </row>
        <row r="199">
          <cell r="A199" t="str">
            <v>Guam</v>
          </cell>
        </row>
        <row r="200">
          <cell r="A200" t="str">
            <v>Aruba</v>
          </cell>
        </row>
        <row r="201">
          <cell r="A201" t="str">
            <v>Guinea</v>
          </cell>
        </row>
        <row r="202">
          <cell r="A202" t="str">
            <v>Guyana</v>
          </cell>
        </row>
        <row r="203">
          <cell r="A203" t="str">
            <v>Mali</v>
          </cell>
        </row>
        <row r="204">
          <cell r="A204" t="str">
            <v>Bahamas</v>
          </cell>
        </row>
        <row r="205">
          <cell r="A205" t="str">
            <v>South Sudan</v>
          </cell>
        </row>
        <row r="206">
          <cell r="A206" t="str">
            <v>Antigua &amp; Barbuda</v>
          </cell>
        </row>
        <row r="207">
          <cell r="A207" t="str">
            <v>Palestine</v>
          </cell>
        </row>
        <row r="208">
          <cell r="A208" t="str">
            <v>French Guiana</v>
          </cell>
        </row>
        <row r="209">
          <cell r="A209" t="str">
            <v>Turkmenistan</v>
          </cell>
        </row>
        <row r="210">
          <cell r="A210" t="str">
            <v>Iraq</v>
          </cell>
        </row>
        <row r="211">
          <cell r="A211" t="str">
            <v>Christmas Island</v>
          </cell>
        </row>
        <row r="212">
          <cell r="A212" t="str">
            <v>SÃ£o TomÃ© &amp; PrÃ­ncipe</v>
          </cell>
        </row>
        <row r="213">
          <cell r="A213" t="str">
            <v>Montserrat</v>
          </cell>
        </row>
        <row r="214">
          <cell r="A214" t="str">
            <v>Svalbard &amp; Jan Mayen</v>
          </cell>
        </row>
        <row r="215">
          <cell r="A215" t="str">
            <v>Vanuatu</v>
          </cell>
        </row>
        <row r="216">
          <cell r="A216" t="str">
            <v>Guinea-Bissau</v>
          </cell>
        </row>
        <row r="217">
          <cell r="A217" t="str">
            <v>Anguilla</v>
          </cell>
        </row>
        <row r="218">
          <cell r="A218" t="str">
            <v>Eritrea</v>
          </cell>
        </row>
        <row r="219">
          <cell r="A219" t="str">
            <v>Cook Islands</v>
          </cell>
        </row>
        <row r="220">
          <cell r="A220" t="str">
            <v>Palau</v>
          </cell>
        </row>
        <row r="221">
          <cell r="A221" t="str">
            <v>Tonga</v>
          </cell>
        </row>
        <row r="222">
          <cell r="A222" t="str">
            <v>Samoa</v>
          </cell>
        </row>
        <row r="223">
          <cell r="A223" t="str">
            <v>St. Pierre &amp; Miquelon</v>
          </cell>
        </row>
        <row r="224">
          <cell r="A224" t="str">
            <v>Micronesia</v>
          </cell>
        </row>
        <row r="225">
          <cell r="A225" t="str">
            <v>St. BarthÃ©lemy</v>
          </cell>
        </row>
        <row r="226">
          <cell r="A226" t="str">
            <v>St. Martin</v>
          </cell>
        </row>
        <row r="227">
          <cell r="A227" t="str">
            <v>Mayotte</v>
          </cell>
        </row>
        <row r="228">
          <cell r="A228" t="str">
            <v>Comoros</v>
          </cell>
        </row>
        <row r="229">
          <cell r="A229" t="str">
            <v>Turks &amp; Caicos Islands</v>
          </cell>
        </row>
        <row r="230">
          <cell r="A230" t="str">
            <v>British Virgin Islands</v>
          </cell>
        </row>
        <row r="231">
          <cell r="A231" t="str">
            <v>Northern Mariana Islands</v>
          </cell>
        </row>
        <row r="232">
          <cell r="A232" t="str">
            <v>Equatorial Guinea</v>
          </cell>
        </row>
        <row r="233">
          <cell r="A233" t="str">
            <v>St. Kitts &amp; Nevis</v>
          </cell>
        </row>
        <row r="234">
          <cell r="A234" t="str">
            <v>American Samoa</v>
          </cell>
        </row>
        <row r="235">
          <cell r="A235" t="str">
            <v>Solomon Islands</v>
          </cell>
        </row>
        <row r="236">
          <cell r="A236" t="str">
            <v>Antarctica</v>
          </cell>
        </row>
        <row r="237">
          <cell r="A237" t="str">
            <v>French Southern Territories</v>
          </cell>
        </row>
        <row r="238">
          <cell r="A238" t="str">
            <v>Bouvet Island</v>
          </cell>
        </row>
        <row r="239">
          <cell r="A239" t="str">
            <v>Cocos (Keeling) Islands</v>
          </cell>
        </row>
        <row r="240">
          <cell r="A240" t="str">
            <v>Falkland Islands (Islas Malvinas)</v>
          </cell>
        </row>
        <row r="241">
          <cell r="A241" t="str">
            <v>Heard &amp; McDonald Islands</v>
          </cell>
        </row>
        <row r="242">
          <cell r="A242" t="str">
            <v>Kiribati</v>
          </cell>
        </row>
        <row r="243">
          <cell r="A243" t="str">
            <v>Marshall Islands</v>
          </cell>
        </row>
        <row r="244">
          <cell r="A244" t="str">
            <v>Norfolk Island</v>
          </cell>
        </row>
        <row r="245">
          <cell r="A245" t="str">
            <v>Niue</v>
          </cell>
        </row>
        <row r="246">
          <cell r="A246" t="str">
            <v>Nauru</v>
          </cell>
        </row>
        <row r="247">
          <cell r="A247" t="str">
            <v>Pitcairn Islands</v>
          </cell>
        </row>
        <row r="248">
          <cell r="A248" t="str">
            <v>South Georgia &amp; South Sandwich Islands</v>
          </cell>
        </row>
        <row r="249">
          <cell r="A249" t="str">
            <v>Tokelau</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2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4)"/>
    </sheetNames>
    <sheetDataSet>
      <sheetData sheetId="0">
        <row r="1">
          <cell r="A1" t="str">
            <v>Kategori: TÃ¼m kategoriler</v>
          </cell>
        </row>
        <row r="3">
          <cell r="A3" t="str">
            <v>Ãœlke</v>
          </cell>
          <cell r="B3" t="str">
            <v>SQL: (2016)</v>
          </cell>
          <cell r="C3" t="str">
            <v>VeritabanÄ±: (2016)</v>
          </cell>
        </row>
        <row r="4">
          <cell r="A4" t="str">
            <v>Eritrea</v>
          </cell>
        </row>
        <row r="5">
          <cell r="A5" t="str">
            <v>China</v>
          </cell>
          <cell r="B5">
            <v>0.46</v>
          </cell>
          <cell r="C5">
            <v>0.54</v>
          </cell>
        </row>
        <row r="6">
          <cell r="A6" t="str">
            <v>Cuba</v>
          </cell>
        </row>
        <row r="7">
          <cell r="A7" t="str">
            <v>British Indian Ocean Territory</v>
          </cell>
        </row>
        <row r="8">
          <cell r="A8" t="str">
            <v>St. Helena</v>
          </cell>
        </row>
        <row r="9">
          <cell r="A9" t="str">
            <v>India</v>
          </cell>
          <cell r="B9">
            <v>0.61</v>
          </cell>
          <cell r="C9">
            <v>0.39</v>
          </cell>
        </row>
        <row r="10">
          <cell r="A10" t="str">
            <v>Ethiopia</v>
          </cell>
        </row>
        <row r="11">
          <cell r="A11" t="str">
            <v>Zimbabwe</v>
          </cell>
        </row>
        <row r="12">
          <cell r="A12" t="str">
            <v>Botswana</v>
          </cell>
        </row>
        <row r="13">
          <cell r="A13" t="str">
            <v>Guinea-Bissau</v>
          </cell>
        </row>
        <row r="14">
          <cell r="A14" t="str">
            <v>Tonga</v>
          </cell>
        </row>
        <row r="15">
          <cell r="A15" t="str">
            <v>Rwanda</v>
          </cell>
        </row>
        <row r="16">
          <cell r="A16" t="str">
            <v>Ã…land Islands</v>
          </cell>
        </row>
        <row r="17">
          <cell r="A17" t="str">
            <v>Central African Republic</v>
          </cell>
        </row>
        <row r="18">
          <cell r="A18" t="str">
            <v>Singapore</v>
          </cell>
          <cell r="B18">
            <v>0.59</v>
          </cell>
          <cell r="C18">
            <v>0.41</v>
          </cell>
        </row>
        <row r="19">
          <cell r="A19" t="str">
            <v>Liechtenstein</v>
          </cell>
        </row>
        <row r="20">
          <cell r="A20" t="str">
            <v>Togo</v>
          </cell>
        </row>
        <row r="21">
          <cell r="A21" t="str">
            <v>Luxembourg</v>
          </cell>
        </row>
        <row r="22">
          <cell r="A22" t="str">
            <v>Malawi</v>
          </cell>
        </row>
        <row r="23">
          <cell r="A23" t="str">
            <v>Iceland</v>
          </cell>
        </row>
        <row r="24">
          <cell r="A24" t="str">
            <v>Gibraltar</v>
          </cell>
        </row>
        <row r="25">
          <cell r="A25" t="str">
            <v>Papua New Guinea</v>
          </cell>
        </row>
        <row r="26">
          <cell r="A26" t="str">
            <v>Hong Kong</v>
          </cell>
          <cell r="B26">
            <v>0.59</v>
          </cell>
          <cell r="C26">
            <v>0.41</v>
          </cell>
        </row>
        <row r="27">
          <cell r="A27" t="str">
            <v>Samoa</v>
          </cell>
        </row>
        <row r="28">
          <cell r="A28" t="str">
            <v>Uganda</v>
          </cell>
        </row>
        <row r="29">
          <cell r="A29" t="str">
            <v>Bhutan</v>
          </cell>
        </row>
        <row r="30">
          <cell r="A30" t="str">
            <v>Madagascar</v>
          </cell>
        </row>
        <row r="31">
          <cell r="A31" t="str">
            <v>Nepal</v>
          </cell>
        </row>
        <row r="32">
          <cell r="A32" t="str">
            <v>Malta</v>
          </cell>
        </row>
        <row r="33">
          <cell r="A33" t="str">
            <v>Afghanistan</v>
          </cell>
        </row>
        <row r="34">
          <cell r="A34" t="str">
            <v>Eswatini</v>
          </cell>
        </row>
        <row r="35">
          <cell r="A35" t="str">
            <v>Monaco</v>
          </cell>
        </row>
        <row r="36">
          <cell r="A36" t="str">
            <v>Sri Lanka</v>
          </cell>
          <cell r="B36">
            <v>0.52</v>
          </cell>
          <cell r="C36">
            <v>0.48</v>
          </cell>
        </row>
        <row r="37">
          <cell r="A37" t="str">
            <v>Lesotho</v>
          </cell>
        </row>
        <row r="38">
          <cell r="A38" t="str">
            <v>Cameroon</v>
          </cell>
        </row>
        <row r="39">
          <cell r="A39" t="str">
            <v>Benin</v>
          </cell>
        </row>
        <row r="40">
          <cell r="A40" t="str">
            <v>Nicaragua</v>
          </cell>
        </row>
        <row r="41">
          <cell r="A41" t="str">
            <v>Isle of Man</v>
          </cell>
        </row>
        <row r="42">
          <cell r="A42" t="str">
            <v>Congo - Kinshasa</v>
          </cell>
        </row>
        <row r="43">
          <cell r="A43" t="str">
            <v>Mauritius</v>
          </cell>
        </row>
        <row r="44">
          <cell r="A44" t="str">
            <v>Solomon Islands</v>
          </cell>
        </row>
        <row r="45">
          <cell r="A45" t="str">
            <v>Angola</v>
          </cell>
        </row>
        <row r="46">
          <cell r="A46" t="str">
            <v>Ghana</v>
          </cell>
        </row>
        <row r="47">
          <cell r="A47" t="str">
            <v>Macao</v>
          </cell>
        </row>
        <row r="48">
          <cell r="A48" t="str">
            <v>Timor-Leste</v>
          </cell>
        </row>
        <row r="49">
          <cell r="A49" t="str">
            <v>Myanmar (Burma)</v>
          </cell>
        </row>
        <row r="50">
          <cell r="A50" t="str">
            <v>South Korea</v>
          </cell>
          <cell r="B50">
            <v>0.46</v>
          </cell>
          <cell r="C50">
            <v>0.54</v>
          </cell>
        </row>
        <row r="51">
          <cell r="A51" t="str">
            <v>New Zealand</v>
          </cell>
          <cell r="B51">
            <v>0.54</v>
          </cell>
          <cell r="C51">
            <v>0.46</v>
          </cell>
        </row>
        <row r="52">
          <cell r="A52" t="str">
            <v>Costa Rica</v>
          </cell>
          <cell r="B52">
            <v>0.64</v>
          </cell>
          <cell r="C52">
            <v>0.36</v>
          </cell>
        </row>
        <row r="53">
          <cell r="A53" t="str">
            <v>Fiji</v>
          </cell>
        </row>
        <row r="54">
          <cell r="A54" t="str">
            <v>Somalia</v>
          </cell>
        </row>
        <row r="55">
          <cell r="A55" t="str">
            <v>South Africa</v>
          </cell>
          <cell r="B55">
            <v>0.48</v>
          </cell>
          <cell r="C55">
            <v>0.52</v>
          </cell>
        </row>
        <row r="56">
          <cell r="A56" t="str">
            <v>Estonia</v>
          </cell>
        </row>
        <row r="57">
          <cell r="A57" t="str">
            <v>Burundi</v>
          </cell>
        </row>
        <row r="58">
          <cell r="A58" t="str">
            <v>Vanuatu</v>
          </cell>
        </row>
        <row r="59">
          <cell r="A59" t="str">
            <v>Philippines</v>
          </cell>
          <cell r="B59">
            <v>0.47</v>
          </cell>
          <cell r="C59">
            <v>0.53</v>
          </cell>
        </row>
        <row r="60">
          <cell r="A60" t="str">
            <v>Kenya</v>
          </cell>
        </row>
        <row r="61">
          <cell r="A61" t="str">
            <v>Israel</v>
          </cell>
          <cell r="B61">
            <v>0.68</v>
          </cell>
          <cell r="C61">
            <v>0.32</v>
          </cell>
        </row>
        <row r="62">
          <cell r="A62" t="str">
            <v>El Salvador</v>
          </cell>
        </row>
        <row r="63">
          <cell r="A63" t="str">
            <v>Maldives</v>
          </cell>
        </row>
        <row r="64">
          <cell r="A64" t="str">
            <v>Namibia</v>
          </cell>
        </row>
        <row r="65">
          <cell r="A65" t="str">
            <v>Switzerland</v>
          </cell>
          <cell r="B65">
            <v>0.56000000000000005</v>
          </cell>
          <cell r="C65">
            <v>0.44</v>
          </cell>
        </row>
        <row r="66">
          <cell r="A66" t="str">
            <v>Ireland</v>
          </cell>
          <cell r="B66">
            <v>0.55000000000000004</v>
          </cell>
          <cell r="C66">
            <v>0.45</v>
          </cell>
        </row>
        <row r="67">
          <cell r="A67" t="str">
            <v>Czechia</v>
          </cell>
          <cell r="B67">
            <v>0.5</v>
          </cell>
          <cell r="C67">
            <v>0.5</v>
          </cell>
        </row>
        <row r="68">
          <cell r="A68" t="str">
            <v>Portugal</v>
          </cell>
          <cell r="B68">
            <v>0.57999999999999996</v>
          </cell>
          <cell r="C68">
            <v>0.42</v>
          </cell>
        </row>
        <row r="69">
          <cell r="A69" t="str">
            <v>Congo - Brazzaville</v>
          </cell>
        </row>
        <row r="70">
          <cell r="A70" t="str">
            <v>Pakistan</v>
          </cell>
          <cell r="B70">
            <v>0.48</v>
          </cell>
          <cell r="C70">
            <v>0.52</v>
          </cell>
        </row>
        <row r="71">
          <cell r="A71" t="str">
            <v>Tunisia</v>
          </cell>
          <cell r="B71">
            <v>0.5</v>
          </cell>
          <cell r="C71">
            <v>0.5</v>
          </cell>
        </row>
        <row r="72">
          <cell r="A72" t="str">
            <v>Tanzania</v>
          </cell>
        </row>
        <row r="73">
          <cell r="A73" t="str">
            <v>SÃ£o TomÃ© &amp; PrÃ­ncipe</v>
          </cell>
        </row>
        <row r="74">
          <cell r="A74" t="str">
            <v>Nigeria</v>
          </cell>
          <cell r="B74">
            <v>0.26</v>
          </cell>
          <cell r="C74">
            <v>0.74</v>
          </cell>
        </row>
        <row r="75">
          <cell r="A75" t="str">
            <v>Jersey</v>
          </cell>
        </row>
        <row r="76">
          <cell r="A76" t="str">
            <v>Peru</v>
          </cell>
          <cell r="B76">
            <v>0.59</v>
          </cell>
          <cell r="C76">
            <v>0.41</v>
          </cell>
        </row>
        <row r="77">
          <cell r="A77" t="str">
            <v>Honduras</v>
          </cell>
        </row>
        <row r="78">
          <cell r="A78" t="str">
            <v>Taiwan</v>
          </cell>
          <cell r="B78">
            <v>0.53</v>
          </cell>
          <cell r="C78">
            <v>0.47</v>
          </cell>
        </row>
        <row r="79">
          <cell r="A79" t="str">
            <v>Sierra Leone</v>
          </cell>
        </row>
        <row r="80">
          <cell r="A80" t="str">
            <v>Colombia</v>
          </cell>
          <cell r="B80">
            <v>0.41</v>
          </cell>
          <cell r="C80">
            <v>0.59</v>
          </cell>
        </row>
        <row r="81">
          <cell r="A81" t="str">
            <v>Latvia</v>
          </cell>
        </row>
        <row r="82">
          <cell r="A82" t="str">
            <v>Zambia</v>
          </cell>
        </row>
        <row r="83">
          <cell r="A83" t="str">
            <v>Belize</v>
          </cell>
        </row>
        <row r="84">
          <cell r="A84" t="str">
            <v>Denmark</v>
          </cell>
          <cell r="B84">
            <v>0.57999999999999996</v>
          </cell>
          <cell r="C84">
            <v>0.42</v>
          </cell>
        </row>
        <row r="85">
          <cell r="A85" t="str">
            <v>Faroe Islands</v>
          </cell>
        </row>
        <row r="86">
          <cell r="A86" t="str">
            <v>Brunei</v>
          </cell>
        </row>
        <row r="87">
          <cell r="A87" t="str">
            <v>Jamaica</v>
          </cell>
        </row>
        <row r="88">
          <cell r="A88" t="str">
            <v>Senegal</v>
          </cell>
        </row>
        <row r="89">
          <cell r="A89" t="str">
            <v>Mozambique</v>
          </cell>
        </row>
        <row r="90">
          <cell r="A90" t="str">
            <v>Slovenia</v>
          </cell>
        </row>
        <row r="91">
          <cell r="A91" t="str">
            <v>Belarus</v>
          </cell>
          <cell r="B91">
            <v>0.54</v>
          </cell>
          <cell r="C91">
            <v>0.46</v>
          </cell>
        </row>
        <row r="92">
          <cell r="A92" t="str">
            <v>CÃ´te dâ€™Ivoire</v>
          </cell>
        </row>
        <row r="93">
          <cell r="A93" t="str">
            <v>Cape Verde</v>
          </cell>
        </row>
        <row r="94">
          <cell r="A94" t="str">
            <v>Australia</v>
          </cell>
          <cell r="B94">
            <v>0.54</v>
          </cell>
          <cell r="C94">
            <v>0.46</v>
          </cell>
        </row>
        <row r="95">
          <cell r="A95" t="str">
            <v>Liberia</v>
          </cell>
        </row>
        <row r="96">
          <cell r="A96" t="str">
            <v>Grenada</v>
          </cell>
        </row>
        <row r="97">
          <cell r="A97" t="str">
            <v>St. Lucia</v>
          </cell>
        </row>
        <row r="98">
          <cell r="A98" t="str">
            <v>United States</v>
          </cell>
          <cell r="B98">
            <v>0.54</v>
          </cell>
          <cell r="C98">
            <v>0.46</v>
          </cell>
        </row>
        <row r="99">
          <cell r="A99" t="str">
            <v>Lebanon</v>
          </cell>
        </row>
        <row r="100">
          <cell r="A100" t="str">
            <v>Cayman Islands</v>
          </cell>
        </row>
        <row r="101">
          <cell r="A101" t="str">
            <v>Canada</v>
          </cell>
          <cell r="B101">
            <v>0.51</v>
          </cell>
          <cell r="C101">
            <v>0.49</v>
          </cell>
        </row>
        <row r="102">
          <cell r="A102" t="str">
            <v>North Macedonia</v>
          </cell>
        </row>
        <row r="103">
          <cell r="A103" t="str">
            <v>United Arab Emirates</v>
          </cell>
          <cell r="B103">
            <v>0.56999999999999995</v>
          </cell>
          <cell r="C103">
            <v>0.43</v>
          </cell>
        </row>
        <row r="104">
          <cell r="A104" t="str">
            <v>Netherlands</v>
          </cell>
          <cell r="B104">
            <v>0.54</v>
          </cell>
          <cell r="C104">
            <v>0.46</v>
          </cell>
        </row>
        <row r="105">
          <cell r="A105" t="str">
            <v>United Kingdom</v>
          </cell>
          <cell r="B105">
            <v>0.55000000000000004</v>
          </cell>
          <cell r="C105">
            <v>0.45</v>
          </cell>
        </row>
        <row r="106">
          <cell r="A106" t="str">
            <v>Guernsey</v>
          </cell>
        </row>
        <row r="107">
          <cell r="A107" t="str">
            <v>Equatorial Guinea</v>
          </cell>
        </row>
        <row r="108">
          <cell r="A108" t="str">
            <v>Gambia</v>
          </cell>
        </row>
        <row r="109">
          <cell r="A109" t="str">
            <v>Sweden</v>
          </cell>
          <cell r="B109">
            <v>0.56000000000000005</v>
          </cell>
          <cell r="C109">
            <v>0.44</v>
          </cell>
        </row>
        <row r="110">
          <cell r="A110" t="str">
            <v>Trinidad &amp; Tobago</v>
          </cell>
        </row>
        <row r="111">
          <cell r="A111" t="str">
            <v>Guatemala</v>
          </cell>
          <cell r="B111">
            <v>0.52</v>
          </cell>
          <cell r="C111">
            <v>0.48</v>
          </cell>
        </row>
        <row r="112">
          <cell r="A112" t="str">
            <v>Bermuda</v>
          </cell>
        </row>
        <row r="113">
          <cell r="A113" t="str">
            <v>Andorra</v>
          </cell>
        </row>
        <row r="114">
          <cell r="A114" t="str">
            <v>Cambodia</v>
          </cell>
        </row>
        <row r="115">
          <cell r="A115" t="str">
            <v>Austria</v>
          </cell>
          <cell r="B115">
            <v>0.53</v>
          </cell>
          <cell r="C115">
            <v>0.47</v>
          </cell>
        </row>
        <row r="116">
          <cell r="A116" t="str">
            <v>Japan</v>
          </cell>
          <cell r="B116">
            <v>0.55000000000000004</v>
          </cell>
          <cell r="C116">
            <v>0.45</v>
          </cell>
        </row>
        <row r="117">
          <cell r="A117" t="str">
            <v>Cyprus</v>
          </cell>
        </row>
        <row r="118">
          <cell r="A118" t="str">
            <v>Seychelles</v>
          </cell>
        </row>
        <row r="119">
          <cell r="A119" t="str">
            <v>Ecuador</v>
          </cell>
          <cell r="B119">
            <v>0.47</v>
          </cell>
          <cell r="C119">
            <v>0.53</v>
          </cell>
        </row>
        <row r="120">
          <cell r="A120" t="str">
            <v>Bahrain</v>
          </cell>
        </row>
        <row r="121">
          <cell r="A121" t="str">
            <v>St. Vincent &amp; Grenadines</v>
          </cell>
        </row>
        <row r="122">
          <cell r="A122" t="str">
            <v>Indonesia</v>
          </cell>
          <cell r="B122">
            <v>0.3</v>
          </cell>
          <cell r="C122">
            <v>0.7</v>
          </cell>
        </row>
        <row r="123">
          <cell r="A123" t="str">
            <v>Laos</v>
          </cell>
        </row>
        <row r="124">
          <cell r="A124" t="str">
            <v>Belgium</v>
          </cell>
          <cell r="B124">
            <v>0.52</v>
          </cell>
          <cell r="C124">
            <v>0.48</v>
          </cell>
        </row>
        <row r="125">
          <cell r="A125" t="str">
            <v>Bolivia</v>
          </cell>
          <cell r="B125">
            <v>0.51</v>
          </cell>
          <cell r="C125">
            <v>0.49</v>
          </cell>
        </row>
        <row r="126">
          <cell r="A126" t="str">
            <v>St. Kitts &amp; Nevis</v>
          </cell>
        </row>
        <row r="127">
          <cell r="A127" t="str">
            <v>Mongolia</v>
          </cell>
        </row>
        <row r="128">
          <cell r="A128" t="str">
            <v>Germany</v>
          </cell>
          <cell r="B128">
            <v>0.51</v>
          </cell>
          <cell r="C128">
            <v>0.49</v>
          </cell>
        </row>
        <row r="129">
          <cell r="A129" t="str">
            <v>Malaysia</v>
          </cell>
          <cell r="B129">
            <v>0.48</v>
          </cell>
          <cell r="C129">
            <v>0.52</v>
          </cell>
        </row>
        <row r="130">
          <cell r="A130" t="str">
            <v>Chile</v>
          </cell>
          <cell r="B130">
            <v>0.6</v>
          </cell>
          <cell r="C130">
            <v>0.4</v>
          </cell>
        </row>
        <row r="131">
          <cell r="A131" t="str">
            <v>Norway</v>
          </cell>
          <cell r="B131">
            <v>0.56999999999999995</v>
          </cell>
          <cell r="C131">
            <v>0.43</v>
          </cell>
        </row>
        <row r="132">
          <cell r="A132" t="str">
            <v>San Marino</v>
          </cell>
        </row>
        <row r="133">
          <cell r="A133" t="str">
            <v>Lithuania</v>
          </cell>
          <cell r="B133">
            <v>0.52</v>
          </cell>
          <cell r="C133">
            <v>0.48</v>
          </cell>
        </row>
        <row r="134">
          <cell r="A134" t="str">
            <v>Romania</v>
          </cell>
          <cell r="B134">
            <v>0.54</v>
          </cell>
          <cell r="C134">
            <v>0.46</v>
          </cell>
        </row>
        <row r="135">
          <cell r="A135" t="str">
            <v>Yemen</v>
          </cell>
        </row>
        <row r="136">
          <cell r="A136" t="str">
            <v>Haiti</v>
          </cell>
        </row>
        <row r="137">
          <cell r="A137" t="str">
            <v>Finland</v>
          </cell>
          <cell r="B137">
            <v>0.52</v>
          </cell>
          <cell r="C137">
            <v>0.48</v>
          </cell>
        </row>
        <row r="138">
          <cell r="A138" t="str">
            <v>Panama</v>
          </cell>
        </row>
        <row r="139">
          <cell r="A139" t="str">
            <v>CuraÃ§ao</v>
          </cell>
        </row>
        <row r="140">
          <cell r="A140" t="str">
            <v>Bangladesh</v>
          </cell>
          <cell r="B140">
            <v>0.44</v>
          </cell>
          <cell r="C140">
            <v>0.56000000000000005</v>
          </cell>
        </row>
        <row r="141">
          <cell r="A141" t="str">
            <v>Dominica</v>
          </cell>
        </row>
        <row r="142">
          <cell r="A142" t="str">
            <v>Croatia</v>
          </cell>
          <cell r="B142">
            <v>0.55000000000000004</v>
          </cell>
          <cell r="C142">
            <v>0.45</v>
          </cell>
        </row>
        <row r="143">
          <cell r="A143" t="str">
            <v>Poland</v>
          </cell>
          <cell r="B143">
            <v>0.54</v>
          </cell>
          <cell r="C143">
            <v>0.46</v>
          </cell>
        </row>
        <row r="144">
          <cell r="A144" t="str">
            <v>New Caledonia</v>
          </cell>
        </row>
        <row r="145">
          <cell r="A145" t="str">
            <v>Gabon</v>
          </cell>
        </row>
        <row r="146">
          <cell r="A146" t="str">
            <v>Serbia</v>
          </cell>
          <cell r="B146">
            <v>0.55000000000000004</v>
          </cell>
          <cell r="C146">
            <v>0.45</v>
          </cell>
        </row>
        <row r="147">
          <cell r="A147" t="str">
            <v>Burkina Faso</v>
          </cell>
        </row>
        <row r="148">
          <cell r="A148" t="str">
            <v>Sudan</v>
          </cell>
        </row>
        <row r="149">
          <cell r="A149" t="str">
            <v>Slovakia</v>
          </cell>
          <cell r="B149">
            <v>0.49</v>
          </cell>
          <cell r="C149">
            <v>0.51</v>
          </cell>
        </row>
        <row r="150">
          <cell r="A150" t="str">
            <v>Albania</v>
          </cell>
        </row>
        <row r="151">
          <cell r="A151" t="str">
            <v>Iran</v>
          </cell>
          <cell r="B151">
            <v>0.57999999999999996</v>
          </cell>
          <cell r="C151">
            <v>0.42</v>
          </cell>
        </row>
        <row r="152">
          <cell r="A152" t="str">
            <v>Barbados</v>
          </cell>
        </row>
        <row r="153">
          <cell r="A153" t="str">
            <v>Armenia</v>
          </cell>
        </row>
        <row r="154">
          <cell r="A154" t="str">
            <v>Mexico</v>
          </cell>
          <cell r="B154">
            <v>0.5</v>
          </cell>
          <cell r="C154">
            <v>0.5</v>
          </cell>
        </row>
        <row r="155">
          <cell r="A155" t="str">
            <v>Northern Mariana Islands</v>
          </cell>
        </row>
        <row r="156">
          <cell r="A156" t="str">
            <v>Niger</v>
          </cell>
        </row>
        <row r="157">
          <cell r="A157" t="str">
            <v>Hungary</v>
          </cell>
          <cell r="B157">
            <v>0.49</v>
          </cell>
          <cell r="C157">
            <v>0.51</v>
          </cell>
        </row>
        <row r="158">
          <cell r="A158" t="str">
            <v>Bulgaria</v>
          </cell>
          <cell r="B158">
            <v>0.55000000000000004</v>
          </cell>
          <cell r="C158">
            <v>0.45</v>
          </cell>
        </row>
        <row r="159">
          <cell r="A159" t="str">
            <v>Russia</v>
          </cell>
          <cell r="B159">
            <v>0.49</v>
          </cell>
          <cell r="C159">
            <v>0.51</v>
          </cell>
        </row>
        <row r="160">
          <cell r="A160" t="str">
            <v>Dominican Republic</v>
          </cell>
          <cell r="B160">
            <v>0.54</v>
          </cell>
          <cell r="C160">
            <v>0.46</v>
          </cell>
        </row>
        <row r="161">
          <cell r="A161" t="str">
            <v>British Virgin Islands</v>
          </cell>
        </row>
        <row r="162">
          <cell r="A162" t="str">
            <v>Ukraine</v>
          </cell>
          <cell r="B162">
            <v>0.49</v>
          </cell>
          <cell r="C162">
            <v>0.51</v>
          </cell>
        </row>
        <row r="163">
          <cell r="A163" t="str">
            <v>Moldova</v>
          </cell>
        </row>
        <row r="164">
          <cell r="A164" t="str">
            <v>Antigua &amp; Barbuda</v>
          </cell>
        </row>
        <row r="165">
          <cell r="A165" t="str">
            <v>Oman</v>
          </cell>
        </row>
        <row r="166">
          <cell r="A166" t="str">
            <v>France</v>
          </cell>
          <cell r="B166">
            <v>0.56000000000000005</v>
          </cell>
          <cell r="C166">
            <v>0.44</v>
          </cell>
        </row>
        <row r="167">
          <cell r="A167" t="str">
            <v>South Sudan</v>
          </cell>
        </row>
        <row r="168">
          <cell r="A168" t="str">
            <v>Djibouti</v>
          </cell>
        </row>
        <row r="169">
          <cell r="A169" t="str">
            <v>Libya</v>
          </cell>
        </row>
        <row r="170">
          <cell r="A170" t="str">
            <v>Jordan</v>
          </cell>
          <cell r="B170">
            <v>0.55000000000000004</v>
          </cell>
          <cell r="C170">
            <v>0.45</v>
          </cell>
        </row>
        <row r="171">
          <cell r="A171" t="str">
            <v>Suriname</v>
          </cell>
        </row>
        <row r="172">
          <cell r="A172" t="str">
            <v>Uruguay</v>
          </cell>
        </row>
        <row r="173">
          <cell r="A173" t="str">
            <v>Uzbekistan</v>
          </cell>
        </row>
        <row r="174">
          <cell r="A174" t="str">
            <v>Guyana</v>
          </cell>
        </row>
        <row r="175">
          <cell r="A175" t="str">
            <v>Sint Maarten</v>
          </cell>
        </row>
        <row r="176">
          <cell r="A176" t="str">
            <v>Spain</v>
          </cell>
          <cell r="B176">
            <v>0.5</v>
          </cell>
          <cell r="C176">
            <v>0.5</v>
          </cell>
        </row>
        <row r="177">
          <cell r="A177" t="str">
            <v>Qatar</v>
          </cell>
        </row>
        <row r="178">
          <cell r="A178" t="str">
            <v>Morocco</v>
          </cell>
          <cell r="B178">
            <v>0.54</v>
          </cell>
          <cell r="C178">
            <v>0.46</v>
          </cell>
        </row>
        <row r="179">
          <cell r="A179" t="str">
            <v>Italy</v>
          </cell>
          <cell r="B179">
            <v>0.46</v>
          </cell>
          <cell r="C179">
            <v>0.54</v>
          </cell>
        </row>
        <row r="180">
          <cell r="A180" t="str">
            <v>Paraguay</v>
          </cell>
        </row>
        <row r="181">
          <cell r="A181" t="str">
            <v>Aruba</v>
          </cell>
        </row>
        <row r="182">
          <cell r="A182" t="str">
            <v>Thailand</v>
          </cell>
          <cell r="B182">
            <v>0.45</v>
          </cell>
          <cell r="C182">
            <v>0.55000000000000004</v>
          </cell>
        </row>
        <row r="183">
          <cell r="A183" t="str">
            <v>Guinea</v>
          </cell>
        </row>
        <row r="184">
          <cell r="A184" t="str">
            <v>Kyrgyzstan</v>
          </cell>
        </row>
        <row r="185">
          <cell r="A185" t="str">
            <v>Mauritania</v>
          </cell>
        </row>
        <row r="186">
          <cell r="A186" t="str">
            <v>Mali</v>
          </cell>
        </row>
        <row r="187">
          <cell r="A187" t="str">
            <v>French Polynesia</v>
          </cell>
        </row>
        <row r="188">
          <cell r="A188" t="str">
            <v>Puerto Rico</v>
          </cell>
        </row>
        <row r="189">
          <cell r="A189" t="str">
            <v>Vietnam</v>
          </cell>
          <cell r="B189">
            <v>0.62</v>
          </cell>
          <cell r="C189">
            <v>0.38</v>
          </cell>
        </row>
        <row r="190">
          <cell r="A190" t="str">
            <v>Greece</v>
          </cell>
          <cell r="B190">
            <v>0.53</v>
          </cell>
          <cell r="C190">
            <v>0.47</v>
          </cell>
        </row>
        <row r="191">
          <cell r="A191" t="str">
            <v>Bosnia &amp; Herzegovina</v>
          </cell>
        </row>
        <row r="192">
          <cell r="A192" t="str">
            <v>Kuwait</v>
          </cell>
        </row>
        <row r="193">
          <cell r="A193" t="str">
            <v>Kazakhstan</v>
          </cell>
          <cell r="B193">
            <v>0.42</v>
          </cell>
          <cell r="C193">
            <v>0.57999999999999996</v>
          </cell>
        </row>
        <row r="194">
          <cell r="A194" t="str">
            <v>Venezuela</v>
          </cell>
          <cell r="B194">
            <v>0.39</v>
          </cell>
          <cell r="C194">
            <v>0.61</v>
          </cell>
        </row>
        <row r="195">
          <cell r="A195" t="str">
            <v>Chad</v>
          </cell>
        </row>
        <row r="196">
          <cell r="A196" t="str">
            <v>U.S. Virgin Islands</v>
          </cell>
        </row>
        <row r="197">
          <cell r="A197" t="str">
            <v>Guam</v>
          </cell>
        </row>
        <row r="198">
          <cell r="A198" t="str">
            <v>Kosovo</v>
          </cell>
        </row>
        <row r="199">
          <cell r="A199" t="str">
            <v>Brazil</v>
          </cell>
          <cell r="B199">
            <v>0.53</v>
          </cell>
          <cell r="C199">
            <v>0.47</v>
          </cell>
        </row>
        <row r="200">
          <cell r="A200" t="str">
            <v>Greenland</v>
          </cell>
        </row>
        <row r="201">
          <cell r="A201" t="str">
            <v>Montenegro</v>
          </cell>
        </row>
        <row r="202">
          <cell r="A202" t="str">
            <v>Egypt</v>
          </cell>
          <cell r="B202">
            <v>0.5</v>
          </cell>
          <cell r="C202">
            <v>0.5</v>
          </cell>
        </row>
        <row r="203">
          <cell r="A203" t="str">
            <v>Tajikistan</v>
          </cell>
        </row>
        <row r="204">
          <cell r="A204" t="str">
            <v>Georgia</v>
          </cell>
        </row>
        <row r="205">
          <cell r="A205" t="str">
            <v>Caribbean Netherlands</v>
          </cell>
        </row>
        <row r="206">
          <cell r="A206" t="str">
            <v>Argentina</v>
          </cell>
          <cell r="B206">
            <v>0.55000000000000004</v>
          </cell>
          <cell r="C206">
            <v>0.45</v>
          </cell>
        </row>
        <row r="207">
          <cell r="A207" t="str">
            <v>Turkey</v>
          </cell>
          <cell r="B207">
            <v>0.61</v>
          </cell>
          <cell r="C207">
            <v>0.39</v>
          </cell>
        </row>
        <row r="208">
          <cell r="A208" t="str">
            <v>RÃ©union</v>
          </cell>
        </row>
        <row r="209">
          <cell r="A209" t="str">
            <v>Algeria</v>
          </cell>
          <cell r="B209">
            <v>0.46</v>
          </cell>
          <cell r="C209">
            <v>0.54</v>
          </cell>
        </row>
        <row r="210">
          <cell r="A210" t="str">
            <v>Azerbaijan</v>
          </cell>
        </row>
        <row r="211">
          <cell r="A211" t="str">
            <v>Saudi Arabia</v>
          </cell>
          <cell r="B211">
            <v>0.49</v>
          </cell>
          <cell r="C211">
            <v>0.51</v>
          </cell>
        </row>
        <row r="212">
          <cell r="A212" t="str">
            <v>Bahamas</v>
          </cell>
        </row>
        <row r="213">
          <cell r="A213" t="str">
            <v>Syria</v>
          </cell>
        </row>
        <row r="214">
          <cell r="A214" t="str">
            <v>Guadeloupe</v>
          </cell>
        </row>
        <row r="215">
          <cell r="A215" t="str">
            <v>Martinique</v>
          </cell>
        </row>
        <row r="216">
          <cell r="A216" t="str">
            <v>Western Sahara</v>
          </cell>
        </row>
        <row r="217">
          <cell r="A217" t="str">
            <v>French Guiana</v>
          </cell>
        </row>
        <row r="218">
          <cell r="A218" t="str">
            <v>Mayotte</v>
          </cell>
        </row>
        <row r="219">
          <cell r="A219" t="str">
            <v>Turks &amp; Caicos Islands</v>
          </cell>
        </row>
        <row r="220">
          <cell r="A220" t="str">
            <v>Turkmenistan</v>
          </cell>
        </row>
        <row r="221">
          <cell r="A221" t="str">
            <v>Iraq</v>
          </cell>
        </row>
        <row r="222">
          <cell r="A222" t="str">
            <v>Palestine</v>
          </cell>
        </row>
        <row r="223">
          <cell r="A223" t="str">
            <v>North Korea</v>
          </cell>
        </row>
        <row r="224">
          <cell r="A224" t="str">
            <v>Nauru</v>
          </cell>
        </row>
        <row r="225">
          <cell r="A225" t="str">
            <v>Kiribati</v>
          </cell>
        </row>
        <row r="226">
          <cell r="A226" t="str">
            <v>Cook Islands</v>
          </cell>
        </row>
        <row r="227">
          <cell r="A227" t="str">
            <v>Falkland Islands (Islas Malvinas)</v>
          </cell>
        </row>
        <row r="228">
          <cell r="A228" t="str">
            <v>Micronesia</v>
          </cell>
        </row>
        <row r="229">
          <cell r="A229" t="str">
            <v>Marshall Islands</v>
          </cell>
        </row>
        <row r="230">
          <cell r="A230" t="str">
            <v>Palau</v>
          </cell>
        </row>
        <row r="231">
          <cell r="A231" t="str">
            <v>Comoros</v>
          </cell>
        </row>
        <row r="232">
          <cell r="A232" t="str">
            <v>Anguilla</v>
          </cell>
        </row>
        <row r="233">
          <cell r="A233" t="str">
            <v>St. Martin</v>
          </cell>
        </row>
        <row r="234">
          <cell r="A234" t="str">
            <v>American Samoa</v>
          </cell>
        </row>
        <row r="235">
          <cell r="A235" t="str">
            <v>St. BarthÃ©lemy</v>
          </cell>
        </row>
        <row r="236">
          <cell r="A236" t="str">
            <v>Antarctica</v>
          </cell>
        </row>
        <row r="237">
          <cell r="A237" t="str">
            <v>French Southern Territories</v>
          </cell>
        </row>
        <row r="238">
          <cell r="A238" t="str">
            <v>Bouvet Island</v>
          </cell>
        </row>
        <row r="239">
          <cell r="A239" t="str">
            <v>Cocos (Keeling) Islands</v>
          </cell>
        </row>
        <row r="240">
          <cell r="A240" t="str">
            <v>Christmas Island</v>
          </cell>
        </row>
        <row r="241">
          <cell r="A241" t="str">
            <v>Heard &amp; McDonald Islands</v>
          </cell>
        </row>
        <row r="242">
          <cell r="A242" t="str">
            <v>Montserrat</v>
          </cell>
        </row>
        <row r="243">
          <cell r="A243" t="str">
            <v>Norfolk Island</v>
          </cell>
        </row>
        <row r="244">
          <cell r="A244" t="str">
            <v>Niue</v>
          </cell>
        </row>
        <row r="245">
          <cell r="A245" t="str">
            <v>Pitcairn Islands</v>
          </cell>
        </row>
        <row r="246">
          <cell r="A246" t="str">
            <v>South Georgia &amp; South Sandwich Islands</v>
          </cell>
        </row>
        <row r="247">
          <cell r="A247" t="str">
            <v>Svalbard &amp; Jan Mayen</v>
          </cell>
        </row>
        <row r="248">
          <cell r="A248" t="str">
            <v>St. Pierre &amp; Miquelon</v>
          </cell>
        </row>
        <row r="249">
          <cell r="A249" t="str">
            <v>Tokelau</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2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5)"/>
    </sheetNames>
    <sheetDataSet>
      <sheetData sheetId="0">
        <row r="1">
          <cell r="A1" t="str">
            <v>Kategori: TÃ¼m kategoriler</v>
          </cell>
        </row>
        <row r="3">
          <cell r="A3" t="str">
            <v>Ãœlke</v>
          </cell>
          <cell r="B3" t="str">
            <v>VeritabanÄ±: (2016)</v>
          </cell>
          <cell r="C3" t="str">
            <v>Dizgi: (2016)</v>
          </cell>
        </row>
        <row r="4">
          <cell r="A4" t="str">
            <v>China</v>
          </cell>
          <cell r="B4">
            <v>0.36</v>
          </cell>
          <cell r="C4">
            <v>0.64</v>
          </cell>
        </row>
        <row r="5">
          <cell r="A5" t="str">
            <v>Eritrea</v>
          </cell>
        </row>
        <row r="6">
          <cell r="A6" t="str">
            <v>Cuba</v>
          </cell>
        </row>
        <row r="7">
          <cell r="A7" t="str">
            <v>St. Helena</v>
          </cell>
        </row>
        <row r="8">
          <cell r="A8" t="str">
            <v>Ethiopia</v>
          </cell>
        </row>
        <row r="9">
          <cell r="A9" t="str">
            <v>Botswana</v>
          </cell>
        </row>
        <row r="10">
          <cell r="A10" t="str">
            <v>Zimbabwe</v>
          </cell>
        </row>
        <row r="11">
          <cell r="A11" t="str">
            <v>Central African Republic</v>
          </cell>
        </row>
        <row r="12">
          <cell r="A12" t="str">
            <v>Rwanda</v>
          </cell>
        </row>
        <row r="13">
          <cell r="A13" t="str">
            <v>Guinea-Bissau</v>
          </cell>
        </row>
        <row r="14">
          <cell r="A14" t="str">
            <v>South Korea</v>
          </cell>
          <cell r="B14">
            <v>0.4</v>
          </cell>
          <cell r="C14">
            <v>0.6</v>
          </cell>
        </row>
        <row r="15">
          <cell r="A15" t="str">
            <v>Eswatini</v>
          </cell>
        </row>
        <row r="16">
          <cell r="A16" t="str">
            <v>SÃ£o TomÃ© &amp; PrÃ­ncipe</v>
          </cell>
        </row>
        <row r="17">
          <cell r="A17" t="str">
            <v>Papua New Guinea</v>
          </cell>
        </row>
        <row r="18">
          <cell r="A18" t="str">
            <v>Malawi</v>
          </cell>
        </row>
        <row r="19">
          <cell r="A19" t="str">
            <v>Togo</v>
          </cell>
        </row>
        <row r="20">
          <cell r="A20" t="str">
            <v>Bhutan</v>
          </cell>
        </row>
        <row r="21">
          <cell r="A21" t="str">
            <v>Nepal</v>
          </cell>
        </row>
        <row r="22">
          <cell r="A22" t="str">
            <v>Uganda</v>
          </cell>
        </row>
        <row r="23">
          <cell r="A23" t="str">
            <v>Madagascar</v>
          </cell>
        </row>
        <row r="24">
          <cell r="A24" t="str">
            <v>Tonga</v>
          </cell>
        </row>
        <row r="25">
          <cell r="A25" t="str">
            <v>Afghanistan</v>
          </cell>
        </row>
        <row r="26">
          <cell r="A26" t="str">
            <v>Benin</v>
          </cell>
        </row>
        <row r="27">
          <cell r="A27" t="str">
            <v>Israel</v>
          </cell>
          <cell r="B27">
            <v>0.28000000000000003</v>
          </cell>
          <cell r="C27">
            <v>0.72</v>
          </cell>
        </row>
        <row r="28">
          <cell r="A28" t="str">
            <v>Timor-Leste</v>
          </cell>
        </row>
        <row r="29">
          <cell r="A29" t="str">
            <v>Singapore</v>
          </cell>
          <cell r="B29">
            <v>0.49</v>
          </cell>
          <cell r="C29">
            <v>0.51</v>
          </cell>
        </row>
        <row r="30">
          <cell r="A30" t="str">
            <v>Samoa</v>
          </cell>
        </row>
        <row r="31">
          <cell r="A31" t="str">
            <v>India</v>
          </cell>
          <cell r="B31">
            <v>0.54</v>
          </cell>
          <cell r="C31">
            <v>0.46</v>
          </cell>
        </row>
        <row r="32">
          <cell r="A32" t="str">
            <v>Hong Kong</v>
          </cell>
          <cell r="B32">
            <v>0.45</v>
          </cell>
          <cell r="C32">
            <v>0.55000000000000004</v>
          </cell>
        </row>
        <row r="33">
          <cell r="A33" t="str">
            <v>Angola</v>
          </cell>
        </row>
        <row r="34">
          <cell r="A34" t="str">
            <v>Cameroon</v>
          </cell>
        </row>
        <row r="35">
          <cell r="A35" t="str">
            <v>Congo - Kinshasa</v>
          </cell>
        </row>
        <row r="36">
          <cell r="A36" t="str">
            <v>Ghana</v>
          </cell>
        </row>
        <row r="37">
          <cell r="A37" t="str">
            <v>Sri Lanka</v>
          </cell>
          <cell r="B37">
            <v>0.63</v>
          </cell>
          <cell r="C37">
            <v>0.37</v>
          </cell>
        </row>
        <row r="38">
          <cell r="A38" t="str">
            <v>Liechtenstein</v>
          </cell>
        </row>
        <row r="39">
          <cell r="A39" t="str">
            <v>Myanmar (Burma)</v>
          </cell>
        </row>
        <row r="40">
          <cell r="A40" t="str">
            <v>Solomon Islands</v>
          </cell>
        </row>
        <row r="41">
          <cell r="A41" t="str">
            <v>Lesotho</v>
          </cell>
        </row>
        <row r="42">
          <cell r="A42" t="str">
            <v>Fiji</v>
          </cell>
        </row>
        <row r="43">
          <cell r="A43" t="str">
            <v>South Africa</v>
          </cell>
          <cell r="B43">
            <v>0.73</v>
          </cell>
          <cell r="C43">
            <v>0.27</v>
          </cell>
        </row>
        <row r="44">
          <cell r="A44" t="str">
            <v>Gibraltar</v>
          </cell>
        </row>
        <row r="45">
          <cell r="A45" t="str">
            <v>Iceland</v>
          </cell>
        </row>
        <row r="46">
          <cell r="A46" t="str">
            <v>Mauritius</v>
          </cell>
        </row>
        <row r="47">
          <cell r="A47" t="str">
            <v>Vanuatu</v>
          </cell>
        </row>
        <row r="48">
          <cell r="A48" t="str">
            <v>Philippines</v>
          </cell>
          <cell r="B48">
            <v>0.64</v>
          </cell>
          <cell r="C48">
            <v>0.36</v>
          </cell>
        </row>
        <row r="49">
          <cell r="A49" t="str">
            <v>Kenya</v>
          </cell>
        </row>
        <row r="50">
          <cell r="A50" t="str">
            <v>Sierra Leone</v>
          </cell>
        </row>
        <row r="51">
          <cell r="A51" t="str">
            <v>Estonia</v>
          </cell>
        </row>
        <row r="52">
          <cell r="A52" t="str">
            <v>Maldives</v>
          </cell>
        </row>
        <row r="53">
          <cell r="A53" t="str">
            <v>Ã…land Islands</v>
          </cell>
        </row>
        <row r="54">
          <cell r="A54" t="str">
            <v>Cape Verde</v>
          </cell>
        </row>
        <row r="55">
          <cell r="A55" t="str">
            <v>Malta</v>
          </cell>
        </row>
        <row r="56">
          <cell r="A56" t="str">
            <v>Congo - Brazzaville</v>
          </cell>
        </row>
        <row r="57">
          <cell r="A57" t="str">
            <v>Pakistan</v>
          </cell>
          <cell r="B57">
            <v>0.65</v>
          </cell>
          <cell r="C57">
            <v>0.35</v>
          </cell>
        </row>
        <row r="58">
          <cell r="A58" t="str">
            <v>Luxembourg</v>
          </cell>
        </row>
        <row r="59">
          <cell r="A59" t="str">
            <v>Somalia</v>
          </cell>
        </row>
        <row r="60">
          <cell r="A60" t="str">
            <v>Czechia</v>
          </cell>
          <cell r="B60">
            <v>0.52</v>
          </cell>
          <cell r="C60">
            <v>0.48</v>
          </cell>
        </row>
        <row r="61">
          <cell r="A61" t="str">
            <v>Belarus</v>
          </cell>
          <cell r="B61">
            <v>0.44</v>
          </cell>
          <cell r="C61">
            <v>0.56000000000000005</v>
          </cell>
        </row>
        <row r="62">
          <cell r="A62" t="str">
            <v>Tanzania</v>
          </cell>
        </row>
        <row r="63">
          <cell r="A63" t="str">
            <v>Burundi</v>
          </cell>
        </row>
        <row r="64">
          <cell r="A64" t="str">
            <v>New Zealand</v>
          </cell>
          <cell r="B64">
            <v>0.56000000000000005</v>
          </cell>
          <cell r="C64">
            <v>0.44</v>
          </cell>
        </row>
        <row r="65">
          <cell r="A65" t="str">
            <v>Latvia</v>
          </cell>
        </row>
        <row r="66">
          <cell r="A66" t="str">
            <v>Jamaica</v>
          </cell>
        </row>
        <row r="67">
          <cell r="A67" t="str">
            <v>Tunisia</v>
          </cell>
          <cell r="B67">
            <v>0.67</v>
          </cell>
          <cell r="C67">
            <v>0.33</v>
          </cell>
        </row>
        <row r="68">
          <cell r="A68" t="str">
            <v>Namibia</v>
          </cell>
        </row>
        <row r="69">
          <cell r="A69" t="str">
            <v>Nigeria</v>
          </cell>
          <cell r="B69">
            <v>0.84</v>
          </cell>
          <cell r="C69">
            <v>0.16</v>
          </cell>
        </row>
        <row r="70">
          <cell r="A70" t="str">
            <v>Zambia</v>
          </cell>
        </row>
        <row r="71">
          <cell r="A71" t="str">
            <v>Colombia</v>
          </cell>
          <cell r="B71">
            <v>0.82</v>
          </cell>
          <cell r="C71">
            <v>0.18</v>
          </cell>
        </row>
        <row r="72">
          <cell r="A72" t="str">
            <v>Mozambique</v>
          </cell>
        </row>
        <row r="73">
          <cell r="A73" t="str">
            <v>Seychelles</v>
          </cell>
        </row>
        <row r="74">
          <cell r="A74" t="str">
            <v>Senegal</v>
          </cell>
        </row>
        <row r="75">
          <cell r="A75" t="str">
            <v>Brunei</v>
          </cell>
        </row>
        <row r="76">
          <cell r="A76" t="str">
            <v>Slovenia</v>
          </cell>
        </row>
        <row r="77">
          <cell r="A77" t="str">
            <v>Dominica</v>
          </cell>
        </row>
        <row r="78">
          <cell r="A78" t="str">
            <v>Belize</v>
          </cell>
        </row>
        <row r="79">
          <cell r="A79" t="str">
            <v>Liberia</v>
          </cell>
        </row>
        <row r="80">
          <cell r="A80" t="str">
            <v>CÃ´te dâ€™Ivoire</v>
          </cell>
        </row>
        <row r="81">
          <cell r="A81" t="str">
            <v>Ireland</v>
          </cell>
          <cell r="B81">
            <v>0.53</v>
          </cell>
          <cell r="C81">
            <v>0.47</v>
          </cell>
        </row>
        <row r="82">
          <cell r="A82" t="str">
            <v>St. Lucia</v>
          </cell>
        </row>
        <row r="83">
          <cell r="A83" t="str">
            <v>El Salvador</v>
          </cell>
        </row>
        <row r="84">
          <cell r="A84" t="str">
            <v>Switzerland</v>
          </cell>
          <cell r="B84">
            <v>0.48</v>
          </cell>
          <cell r="C84">
            <v>0.52</v>
          </cell>
        </row>
        <row r="85">
          <cell r="A85" t="str">
            <v>Taiwan</v>
          </cell>
          <cell r="B85">
            <v>0.52</v>
          </cell>
          <cell r="C85">
            <v>0.48</v>
          </cell>
        </row>
        <row r="86">
          <cell r="A86" t="str">
            <v>Grenada</v>
          </cell>
        </row>
        <row r="87">
          <cell r="A87" t="str">
            <v>Gambia</v>
          </cell>
        </row>
        <row r="88">
          <cell r="A88" t="str">
            <v>Isle of Man</v>
          </cell>
        </row>
        <row r="89">
          <cell r="A89" t="str">
            <v>Cayman Islands</v>
          </cell>
        </row>
        <row r="90">
          <cell r="A90" t="str">
            <v>Bermuda</v>
          </cell>
        </row>
        <row r="91">
          <cell r="A91" t="str">
            <v>Canada</v>
          </cell>
          <cell r="B91">
            <v>0.54</v>
          </cell>
          <cell r="C91">
            <v>0.46</v>
          </cell>
        </row>
        <row r="92">
          <cell r="A92" t="str">
            <v>Trinidad &amp; Tobago</v>
          </cell>
        </row>
        <row r="93">
          <cell r="A93" t="str">
            <v>British Virgin Islands</v>
          </cell>
        </row>
        <row r="94">
          <cell r="A94" t="str">
            <v>Equatorial Guinea</v>
          </cell>
        </row>
        <row r="95">
          <cell r="A95" t="str">
            <v>Finland</v>
          </cell>
          <cell r="B95">
            <v>0.45</v>
          </cell>
          <cell r="C95">
            <v>0.55000000000000004</v>
          </cell>
        </row>
        <row r="96">
          <cell r="A96" t="str">
            <v>Australia</v>
          </cell>
          <cell r="B96">
            <v>0.56000000000000005</v>
          </cell>
          <cell r="C96">
            <v>0.44</v>
          </cell>
        </row>
        <row r="97">
          <cell r="A97" t="str">
            <v>Honduras</v>
          </cell>
        </row>
        <row r="98">
          <cell r="A98" t="str">
            <v>Monaco</v>
          </cell>
        </row>
        <row r="99">
          <cell r="A99" t="str">
            <v>Macao</v>
          </cell>
        </row>
        <row r="100">
          <cell r="A100" t="str">
            <v>Portugal</v>
          </cell>
          <cell r="B100">
            <v>0.52</v>
          </cell>
          <cell r="C100">
            <v>0.48</v>
          </cell>
        </row>
        <row r="101">
          <cell r="A101" t="str">
            <v>Ecuador</v>
          </cell>
          <cell r="B101">
            <v>0.8</v>
          </cell>
          <cell r="C101">
            <v>0.2</v>
          </cell>
        </row>
        <row r="102">
          <cell r="A102" t="str">
            <v>Indonesia</v>
          </cell>
          <cell r="B102">
            <v>0.82</v>
          </cell>
          <cell r="C102">
            <v>0.18</v>
          </cell>
        </row>
        <row r="103">
          <cell r="A103" t="str">
            <v>Niger</v>
          </cell>
        </row>
        <row r="104">
          <cell r="A104" t="str">
            <v>Burkina Faso</v>
          </cell>
        </row>
        <row r="105">
          <cell r="A105" t="str">
            <v>Haiti</v>
          </cell>
        </row>
        <row r="106">
          <cell r="A106" t="str">
            <v>Japan</v>
          </cell>
          <cell r="B106">
            <v>0.47</v>
          </cell>
          <cell r="C106">
            <v>0.53</v>
          </cell>
        </row>
        <row r="107">
          <cell r="A107" t="str">
            <v>Guatemala</v>
          </cell>
        </row>
        <row r="108">
          <cell r="A108" t="str">
            <v>United States</v>
          </cell>
          <cell r="B108">
            <v>0.52</v>
          </cell>
          <cell r="C108">
            <v>0.48</v>
          </cell>
        </row>
        <row r="109">
          <cell r="A109" t="str">
            <v>Malaysia</v>
          </cell>
          <cell r="B109">
            <v>0.69</v>
          </cell>
          <cell r="C109">
            <v>0.31</v>
          </cell>
        </row>
        <row r="110">
          <cell r="A110" t="str">
            <v>Netherlands</v>
          </cell>
          <cell r="B110">
            <v>0.5</v>
          </cell>
          <cell r="C110">
            <v>0.5</v>
          </cell>
        </row>
        <row r="111">
          <cell r="A111" t="str">
            <v>Nicaragua</v>
          </cell>
        </row>
        <row r="112">
          <cell r="A112" t="str">
            <v>Germany</v>
          </cell>
          <cell r="B112">
            <v>0.49</v>
          </cell>
          <cell r="C112">
            <v>0.51</v>
          </cell>
        </row>
        <row r="113">
          <cell r="A113" t="str">
            <v>Lebanon</v>
          </cell>
        </row>
        <row r="114">
          <cell r="A114" t="str">
            <v>Austria</v>
          </cell>
          <cell r="B114">
            <v>0.48</v>
          </cell>
          <cell r="C114">
            <v>0.52</v>
          </cell>
        </row>
        <row r="115">
          <cell r="A115" t="str">
            <v>Cambodia</v>
          </cell>
        </row>
        <row r="116">
          <cell r="A116" t="str">
            <v>Mongolia</v>
          </cell>
        </row>
        <row r="117">
          <cell r="A117" t="str">
            <v>Guyana</v>
          </cell>
        </row>
        <row r="118">
          <cell r="A118" t="str">
            <v>Bulgaria</v>
          </cell>
          <cell r="B118">
            <v>0.42</v>
          </cell>
          <cell r="C118">
            <v>0.57999999999999996</v>
          </cell>
        </row>
        <row r="119">
          <cell r="A119" t="str">
            <v>Bolivia</v>
          </cell>
        </row>
        <row r="120">
          <cell r="A120" t="str">
            <v>Yemen</v>
          </cell>
        </row>
        <row r="121">
          <cell r="A121" t="str">
            <v>Bangladesh</v>
          </cell>
          <cell r="B121">
            <v>0.64</v>
          </cell>
          <cell r="C121">
            <v>0.36</v>
          </cell>
        </row>
        <row r="122">
          <cell r="A122" t="str">
            <v>Denmark</v>
          </cell>
          <cell r="B122">
            <v>0.5</v>
          </cell>
          <cell r="C122">
            <v>0.5</v>
          </cell>
        </row>
        <row r="123">
          <cell r="A123" t="str">
            <v>Sweden</v>
          </cell>
          <cell r="B123">
            <v>0.47</v>
          </cell>
          <cell r="C123">
            <v>0.53</v>
          </cell>
        </row>
        <row r="124">
          <cell r="A124" t="str">
            <v>United Kingdom</v>
          </cell>
          <cell r="B124">
            <v>0.56000000000000005</v>
          </cell>
          <cell r="C124">
            <v>0.44</v>
          </cell>
        </row>
        <row r="125">
          <cell r="A125" t="str">
            <v>Russia</v>
          </cell>
          <cell r="B125">
            <v>0.48</v>
          </cell>
          <cell r="C125">
            <v>0.52</v>
          </cell>
        </row>
        <row r="126">
          <cell r="A126" t="str">
            <v>St. Vincent &amp; Grenadines</v>
          </cell>
        </row>
        <row r="127">
          <cell r="A127" t="str">
            <v>Sudan</v>
          </cell>
        </row>
        <row r="128">
          <cell r="A128" t="str">
            <v>South Sudan</v>
          </cell>
        </row>
        <row r="129">
          <cell r="A129" t="str">
            <v>Djibouti</v>
          </cell>
        </row>
        <row r="130">
          <cell r="A130" t="str">
            <v>Guernsey</v>
          </cell>
        </row>
        <row r="131">
          <cell r="A131" t="str">
            <v>Armenia</v>
          </cell>
        </row>
        <row r="132">
          <cell r="A132" t="str">
            <v>Faroe Islands</v>
          </cell>
        </row>
        <row r="133">
          <cell r="A133" t="str">
            <v>Ukraine</v>
          </cell>
          <cell r="B133">
            <v>0.48</v>
          </cell>
          <cell r="C133">
            <v>0.52</v>
          </cell>
        </row>
        <row r="134">
          <cell r="A134" t="str">
            <v>San Marino</v>
          </cell>
        </row>
        <row r="135">
          <cell r="A135" t="str">
            <v>Panama</v>
          </cell>
        </row>
        <row r="136">
          <cell r="A136" t="str">
            <v>Gabon</v>
          </cell>
        </row>
        <row r="137">
          <cell r="A137" t="str">
            <v>Cyprus</v>
          </cell>
        </row>
        <row r="138">
          <cell r="A138" t="str">
            <v>Slovakia</v>
          </cell>
          <cell r="B138">
            <v>0.52</v>
          </cell>
          <cell r="C138">
            <v>0.48</v>
          </cell>
        </row>
        <row r="139">
          <cell r="A139" t="str">
            <v>Barbados</v>
          </cell>
        </row>
        <row r="140">
          <cell r="A140" t="str">
            <v>Laos</v>
          </cell>
        </row>
        <row r="141">
          <cell r="A141" t="str">
            <v>Norway</v>
          </cell>
          <cell r="B141">
            <v>0.44</v>
          </cell>
          <cell r="C141">
            <v>0.56000000000000005</v>
          </cell>
        </row>
        <row r="142">
          <cell r="A142" t="str">
            <v>St. Kitts &amp; Nevis</v>
          </cell>
        </row>
        <row r="143">
          <cell r="A143" t="str">
            <v>Peru</v>
          </cell>
          <cell r="B143">
            <v>0.79</v>
          </cell>
          <cell r="C143">
            <v>0.21</v>
          </cell>
        </row>
        <row r="144">
          <cell r="A144" t="str">
            <v>Costa Rica</v>
          </cell>
        </row>
        <row r="145">
          <cell r="A145" t="str">
            <v>Belgium</v>
          </cell>
          <cell r="B145">
            <v>0.54</v>
          </cell>
          <cell r="C145">
            <v>0.46</v>
          </cell>
        </row>
        <row r="146">
          <cell r="A146" t="str">
            <v>Mexico</v>
          </cell>
          <cell r="B146">
            <v>0.76</v>
          </cell>
          <cell r="C146">
            <v>0.24</v>
          </cell>
        </row>
        <row r="147">
          <cell r="A147" t="str">
            <v>United Arab Emirates</v>
          </cell>
          <cell r="B147">
            <v>0.65</v>
          </cell>
          <cell r="C147">
            <v>0.35</v>
          </cell>
        </row>
        <row r="148">
          <cell r="A148" t="str">
            <v>North Macedonia</v>
          </cell>
        </row>
        <row r="149">
          <cell r="A149" t="str">
            <v>Hungary</v>
          </cell>
          <cell r="B149">
            <v>0.52</v>
          </cell>
          <cell r="C149">
            <v>0.48</v>
          </cell>
        </row>
        <row r="150">
          <cell r="A150" t="str">
            <v>Lithuania</v>
          </cell>
          <cell r="B150">
            <v>0.51</v>
          </cell>
          <cell r="C150">
            <v>0.49</v>
          </cell>
        </row>
        <row r="151">
          <cell r="A151" t="str">
            <v>CuraÃ§ao</v>
          </cell>
        </row>
        <row r="152">
          <cell r="A152" t="str">
            <v>Jersey</v>
          </cell>
        </row>
        <row r="153">
          <cell r="A153" t="str">
            <v>Sint Maarten</v>
          </cell>
        </row>
        <row r="154">
          <cell r="A154" t="str">
            <v>Bahrain</v>
          </cell>
        </row>
        <row r="155">
          <cell r="A155" t="str">
            <v>Moldova</v>
          </cell>
        </row>
        <row r="156">
          <cell r="A156" t="str">
            <v>Romania</v>
          </cell>
          <cell r="B156">
            <v>0.51</v>
          </cell>
          <cell r="C156">
            <v>0.49</v>
          </cell>
        </row>
        <row r="157">
          <cell r="A157" t="str">
            <v>Suriname</v>
          </cell>
        </row>
        <row r="158">
          <cell r="A158" t="str">
            <v>Albania</v>
          </cell>
        </row>
        <row r="159">
          <cell r="A159" t="str">
            <v>Libya</v>
          </cell>
        </row>
        <row r="160">
          <cell r="A160" t="str">
            <v>Oman</v>
          </cell>
        </row>
        <row r="161">
          <cell r="A161" t="str">
            <v>Poland</v>
          </cell>
          <cell r="B161">
            <v>0.56000000000000005</v>
          </cell>
          <cell r="C161">
            <v>0.44</v>
          </cell>
        </row>
        <row r="162">
          <cell r="A162" t="str">
            <v>Croatia</v>
          </cell>
          <cell r="B162">
            <v>0.51</v>
          </cell>
          <cell r="C162">
            <v>0.49</v>
          </cell>
        </row>
        <row r="163">
          <cell r="A163" t="str">
            <v>Uzbekistan</v>
          </cell>
        </row>
        <row r="164">
          <cell r="A164" t="str">
            <v>Spain</v>
          </cell>
          <cell r="B164">
            <v>0.57999999999999996</v>
          </cell>
          <cell r="C164">
            <v>0.42</v>
          </cell>
        </row>
        <row r="165">
          <cell r="A165" t="str">
            <v>Serbia</v>
          </cell>
          <cell r="B165">
            <v>0.52</v>
          </cell>
          <cell r="C165">
            <v>0.48</v>
          </cell>
        </row>
        <row r="166">
          <cell r="A166" t="str">
            <v>Dominican Republic</v>
          </cell>
        </row>
        <row r="167">
          <cell r="A167" t="str">
            <v>Mauritania</v>
          </cell>
        </row>
        <row r="168">
          <cell r="A168" t="str">
            <v>Italy</v>
          </cell>
          <cell r="B168">
            <v>0.6</v>
          </cell>
          <cell r="C168">
            <v>0.4</v>
          </cell>
        </row>
        <row r="169">
          <cell r="A169" t="str">
            <v>Qatar</v>
          </cell>
        </row>
        <row r="170">
          <cell r="A170" t="str">
            <v>Antigua &amp; Barbuda</v>
          </cell>
        </row>
        <row r="171">
          <cell r="A171" t="str">
            <v>Thailand</v>
          </cell>
          <cell r="B171">
            <v>0.72</v>
          </cell>
          <cell r="C171">
            <v>0.28000000000000003</v>
          </cell>
        </row>
        <row r="172">
          <cell r="A172" t="str">
            <v>Puerto Rico</v>
          </cell>
        </row>
        <row r="173">
          <cell r="A173" t="str">
            <v>Chile</v>
          </cell>
          <cell r="B173">
            <v>0.65</v>
          </cell>
          <cell r="C173">
            <v>0.35</v>
          </cell>
        </row>
        <row r="174">
          <cell r="A174" t="str">
            <v>Mali</v>
          </cell>
        </row>
        <row r="175">
          <cell r="A175" t="str">
            <v>Northern Mariana Islands</v>
          </cell>
        </row>
        <row r="176">
          <cell r="A176" t="str">
            <v>Kyrgyzstan</v>
          </cell>
        </row>
        <row r="177">
          <cell r="A177" t="str">
            <v>Paraguay</v>
          </cell>
        </row>
        <row r="178">
          <cell r="A178" t="str">
            <v>Jordan</v>
          </cell>
        </row>
        <row r="179">
          <cell r="A179" t="str">
            <v>Greenland</v>
          </cell>
        </row>
        <row r="180">
          <cell r="A180" t="str">
            <v>Andorra</v>
          </cell>
        </row>
        <row r="181">
          <cell r="A181" t="str">
            <v>Iran</v>
          </cell>
          <cell r="B181">
            <v>0.61</v>
          </cell>
          <cell r="C181">
            <v>0.39</v>
          </cell>
        </row>
        <row r="182">
          <cell r="A182" t="str">
            <v>Kazakhstan</v>
          </cell>
          <cell r="B182">
            <v>0.57999999999999996</v>
          </cell>
          <cell r="C182">
            <v>0.42</v>
          </cell>
        </row>
        <row r="183">
          <cell r="A183" t="str">
            <v>France</v>
          </cell>
          <cell r="B183">
            <v>0.55000000000000004</v>
          </cell>
          <cell r="C183">
            <v>0.45</v>
          </cell>
        </row>
        <row r="184">
          <cell r="A184" t="str">
            <v>Caribbean Netherlands</v>
          </cell>
        </row>
        <row r="185">
          <cell r="A185" t="str">
            <v>Guinea</v>
          </cell>
        </row>
        <row r="186">
          <cell r="A186" t="str">
            <v>Morocco</v>
          </cell>
          <cell r="B186">
            <v>0.72</v>
          </cell>
          <cell r="C186">
            <v>0.28000000000000003</v>
          </cell>
        </row>
        <row r="187">
          <cell r="A187" t="str">
            <v>French Polynesia</v>
          </cell>
        </row>
        <row r="188">
          <cell r="A188" t="str">
            <v>Guam</v>
          </cell>
        </row>
        <row r="189">
          <cell r="A189" t="str">
            <v>Aruba</v>
          </cell>
        </row>
        <row r="190">
          <cell r="A190" t="str">
            <v>U.S. Virgin Islands</v>
          </cell>
        </row>
        <row r="191">
          <cell r="A191" t="str">
            <v>Bosnia &amp; Herzegovina</v>
          </cell>
        </row>
        <row r="192">
          <cell r="A192" t="str">
            <v>Venezuela</v>
          </cell>
          <cell r="B192">
            <v>0.8</v>
          </cell>
          <cell r="C192">
            <v>0.2</v>
          </cell>
        </row>
        <row r="193">
          <cell r="A193" t="str">
            <v>New Caledonia</v>
          </cell>
        </row>
        <row r="194">
          <cell r="A194" t="str">
            <v>Chad</v>
          </cell>
        </row>
        <row r="195">
          <cell r="A195" t="str">
            <v>Greece</v>
          </cell>
          <cell r="B195">
            <v>0.57999999999999996</v>
          </cell>
          <cell r="C195">
            <v>0.42</v>
          </cell>
        </row>
        <row r="196">
          <cell r="A196" t="str">
            <v>Tajikistan</v>
          </cell>
        </row>
        <row r="197">
          <cell r="A197" t="str">
            <v>Kosovo</v>
          </cell>
        </row>
        <row r="198">
          <cell r="A198" t="str">
            <v>Egypt</v>
          </cell>
          <cell r="B198">
            <v>0.66</v>
          </cell>
          <cell r="C198">
            <v>0.34</v>
          </cell>
        </row>
        <row r="199">
          <cell r="A199" t="str">
            <v>Kuwait</v>
          </cell>
        </row>
        <row r="200">
          <cell r="A200" t="str">
            <v>Montenegro</v>
          </cell>
        </row>
        <row r="201">
          <cell r="A201" t="str">
            <v>Uruguay</v>
          </cell>
        </row>
        <row r="202">
          <cell r="A202" t="str">
            <v>Algeria</v>
          </cell>
        </row>
        <row r="203">
          <cell r="A203" t="str">
            <v>Brazil</v>
          </cell>
          <cell r="B203">
            <v>0.64</v>
          </cell>
          <cell r="C203">
            <v>0.36</v>
          </cell>
        </row>
        <row r="204">
          <cell r="A204" t="str">
            <v>Bahamas</v>
          </cell>
        </row>
        <row r="205">
          <cell r="A205" t="str">
            <v>Saudi Arabia</v>
          </cell>
          <cell r="B205">
            <v>0.76</v>
          </cell>
          <cell r="C205">
            <v>0.24</v>
          </cell>
        </row>
        <row r="206">
          <cell r="A206" t="str">
            <v>RÃ©union</v>
          </cell>
        </row>
        <row r="207">
          <cell r="A207" t="str">
            <v>Argentina</v>
          </cell>
          <cell r="B207">
            <v>0.61</v>
          </cell>
          <cell r="C207">
            <v>0.39</v>
          </cell>
        </row>
        <row r="208">
          <cell r="A208" t="str">
            <v>Syria</v>
          </cell>
        </row>
        <row r="209">
          <cell r="A209" t="str">
            <v>Vietnam</v>
          </cell>
          <cell r="B209">
            <v>0.53</v>
          </cell>
          <cell r="C209">
            <v>0.47</v>
          </cell>
        </row>
        <row r="210">
          <cell r="A210" t="str">
            <v>Guadeloupe</v>
          </cell>
        </row>
        <row r="211">
          <cell r="A211" t="str">
            <v>Turks &amp; Caicos Islands</v>
          </cell>
        </row>
        <row r="212">
          <cell r="A212" t="str">
            <v>Azerbaijan</v>
          </cell>
        </row>
        <row r="213">
          <cell r="A213" t="str">
            <v>Georgia</v>
          </cell>
        </row>
        <row r="214">
          <cell r="A214" t="str">
            <v>Turkmenistan</v>
          </cell>
        </row>
        <row r="215">
          <cell r="A215" t="str">
            <v>Martinique</v>
          </cell>
        </row>
        <row r="216">
          <cell r="A216" t="str">
            <v>French Guiana</v>
          </cell>
        </row>
        <row r="217">
          <cell r="A217" t="str">
            <v>Turkey</v>
          </cell>
          <cell r="B217">
            <v>0.62</v>
          </cell>
          <cell r="C217">
            <v>0.38</v>
          </cell>
        </row>
        <row r="218">
          <cell r="A218" t="str">
            <v>Mayotte</v>
          </cell>
        </row>
        <row r="219">
          <cell r="A219" t="str">
            <v>Iraq</v>
          </cell>
        </row>
        <row r="220">
          <cell r="A220" t="str">
            <v>Palestine</v>
          </cell>
        </row>
        <row r="221">
          <cell r="A221" t="str">
            <v>Western Sahara</v>
          </cell>
        </row>
        <row r="222">
          <cell r="A222" t="str">
            <v>North Korea</v>
          </cell>
        </row>
        <row r="223">
          <cell r="A223" t="str">
            <v>Tuvalu</v>
          </cell>
        </row>
        <row r="224">
          <cell r="A224" t="str">
            <v>Antarctica</v>
          </cell>
        </row>
        <row r="225">
          <cell r="A225" t="str">
            <v>Kiribati</v>
          </cell>
        </row>
        <row r="226">
          <cell r="A226" t="str">
            <v>Christmas Island</v>
          </cell>
        </row>
        <row r="227">
          <cell r="A227" t="str">
            <v>Svalbard &amp; Jan Mayen</v>
          </cell>
        </row>
        <row r="228">
          <cell r="A228" t="str">
            <v>Palau</v>
          </cell>
        </row>
        <row r="229">
          <cell r="A229" t="str">
            <v>Cook Islands</v>
          </cell>
        </row>
        <row r="230">
          <cell r="A230" t="str">
            <v>Micronesia</v>
          </cell>
        </row>
        <row r="231">
          <cell r="A231" t="str">
            <v>Comoros</v>
          </cell>
        </row>
        <row r="232">
          <cell r="A232" t="str">
            <v>Falkland Islands (Islas Malvinas)</v>
          </cell>
        </row>
        <row r="233">
          <cell r="A233" t="str">
            <v>Montserrat</v>
          </cell>
        </row>
        <row r="234">
          <cell r="A234" t="str">
            <v>Marshall Islands</v>
          </cell>
        </row>
        <row r="235">
          <cell r="A235" t="str">
            <v>Anguilla</v>
          </cell>
        </row>
        <row r="236">
          <cell r="A236" t="str">
            <v>St. Pierre &amp; Miquelon</v>
          </cell>
        </row>
        <row r="237">
          <cell r="A237" t="str">
            <v>St. Martin</v>
          </cell>
        </row>
        <row r="238">
          <cell r="A238" t="str">
            <v>American Samoa</v>
          </cell>
        </row>
        <row r="239">
          <cell r="A239" t="str">
            <v>St. BarthÃ©lemy</v>
          </cell>
        </row>
        <row r="240">
          <cell r="A240" t="str">
            <v>French Southern Territories</v>
          </cell>
        </row>
        <row r="241">
          <cell r="A241" t="str">
            <v>Bouvet Island</v>
          </cell>
        </row>
        <row r="242">
          <cell r="A242" t="str">
            <v>Cocos (Keeling) Islands</v>
          </cell>
        </row>
        <row r="243">
          <cell r="A243" t="str">
            <v>Heard &amp; McDonald Islands</v>
          </cell>
        </row>
        <row r="244">
          <cell r="A244" t="str">
            <v>British Indian Ocean Territory</v>
          </cell>
        </row>
        <row r="245">
          <cell r="A245" t="str">
            <v>Norfolk Island</v>
          </cell>
        </row>
        <row r="246">
          <cell r="A246" t="str">
            <v>Niue</v>
          </cell>
        </row>
        <row r="247">
          <cell r="A247" t="str">
            <v>Nauru</v>
          </cell>
        </row>
        <row r="248">
          <cell r="A248" t="str">
            <v>Pitcairn Islands</v>
          </cell>
        </row>
        <row r="249">
          <cell r="A249" t="str">
            <v>South Georgia &amp; South Sandwich Islands</v>
          </cell>
        </row>
        <row r="250">
          <cell r="A250" t="str">
            <v>Tokelau</v>
          </cell>
        </row>
        <row r="251">
          <cell r="A251" t="str">
            <v>U.S. Outlying Islands</v>
          </cell>
        </row>
        <row r="252">
          <cell r="A252" t="str">
            <v>Vatican City</v>
          </cell>
        </row>
        <row r="253">
          <cell r="A253" t="str">
            <v>Wallis &amp; Futuna</v>
          </cell>
        </row>
      </sheetData>
    </sheetDataSet>
  </externalBook>
</externalLink>
</file>

<file path=xl/externalLinks/externalLink2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6)"/>
    </sheetNames>
    <sheetDataSet>
      <sheetData sheetId="0">
        <row r="1">
          <cell r="A1" t="str">
            <v>Kategori: TÃ¼m kategoriler</v>
          </cell>
        </row>
        <row r="3">
          <cell r="A3" t="str">
            <v>Ãœlke</v>
          </cell>
          <cell r="B3" t="str">
            <v>Dizgi: (2016)</v>
          </cell>
          <cell r="C3" t="str">
            <v>C++: (2016)</v>
          </cell>
        </row>
        <row r="4">
          <cell r="A4" t="str">
            <v>North Korea</v>
          </cell>
        </row>
        <row r="5">
          <cell r="A5" t="str">
            <v>China</v>
          </cell>
          <cell r="B5">
            <v>0.59</v>
          </cell>
          <cell r="C5">
            <v>0.41</v>
          </cell>
        </row>
        <row r="6">
          <cell r="A6" t="str">
            <v>Ethiopia</v>
          </cell>
        </row>
        <row r="7">
          <cell r="A7" t="str">
            <v>South Korea</v>
          </cell>
          <cell r="B7">
            <v>0.55000000000000004</v>
          </cell>
          <cell r="C7">
            <v>0.45</v>
          </cell>
        </row>
        <row r="8">
          <cell r="A8" t="str">
            <v>St. Helena</v>
          </cell>
        </row>
        <row r="9">
          <cell r="A9" t="str">
            <v>Cuba</v>
          </cell>
        </row>
        <row r="10">
          <cell r="A10" t="str">
            <v>Israel</v>
          </cell>
          <cell r="B10">
            <v>0.65</v>
          </cell>
          <cell r="C10">
            <v>0.35</v>
          </cell>
        </row>
        <row r="11">
          <cell r="A11" t="str">
            <v>Singapore</v>
          </cell>
          <cell r="B11">
            <v>0.65</v>
          </cell>
          <cell r="C11">
            <v>0.35</v>
          </cell>
        </row>
        <row r="12">
          <cell r="A12" t="str">
            <v>Hong Kong</v>
          </cell>
          <cell r="B12">
            <v>0.67</v>
          </cell>
          <cell r="C12">
            <v>0.33</v>
          </cell>
        </row>
        <row r="13">
          <cell r="A13" t="str">
            <v>Pakistan</v>
          </cell>
          <cell r="B13">
            <v>0.3</v>
          </cell>
          <cell r="C13">
            <v>0.7</v>
          </cell>
        </row>
        <row r="14">
          <cell r="A14" t="str">
            <v>Iceland</v>
          </cell>
        </row>
        <row r="15">
          <cell r="A15" t="str">
            <v>India</v>
          </cell>
          <cell r="B15">
            <v>0.56999999999999995</v>
          </cell>
          <cell r="C15">
            <v>0.43</v>
          </cell>
        </row>
        <row r="16">
          <cell r="A16" t="str">
            <v>Liechtenstein</v>
          </cell>
        </row>
        <row r="17">
          <cell r="A17" t="str">
            <v>Ã…land Islands</v>
          </cell>
        </row>
        <row r="18">
          <cell r="A18" t="str">
            <v>Estonia</v>
          </cell>
        </row>
        <row r="19">
          <cell r="A19" t="str">
            <v>Gibraltar</v>
          </cell>
        </row>
        <row r="20">
          <cell r="A20" t="str">
            <v>Belarus</v>
          </cell>
          <cell r="B20">
            <v>0.54</v>
          </cell>
          <cell r="C20">
            <v>0.46</v>
          </cell>
        </row>
        <row r="21">
          <cell r="A21" t="str">
            <v>Luxembourg</v>
          </cell>
        </row>
        <row r="22">
          <cell r="A22" t="str">
            <v>Rwanda</v>
          </cell>
        </row>
        <row r="23">
          <cell r="A23" t="str">
            <v>Armenia</v>
          </cell>
        </row>
        <row r="24">
          <cell r="A24" t="str">
            <v>Czechia</v>
          </cell>
          <cell r="B24">
            <v>0.6</v>
          </cell>
          <cell r="C24">
            <v>0.4</v>
          </cell>
        </row>
        <row r="25">
          <cell r="A25" t="str">
            <v>Switzerland</v>
          </cell>
          <cell r="B25">
            <v>0.64</v>
          </cell>
          <cell r="C25">
            <v>0.36</v>
          </cell>
        </row>
        <row r="26">
          <cell r="A26" t="str">
            <v>Slovenia</v>
          </cell>
          <cell r="B26">
            <v>0.63</v>
          </cell>
          <cell r="C26">
            <v>0.37</v>
          </cell>
        </row>
        <row r="27">
          <cell r="A27" t="str">
            <v>Malta</v>
          </cell>
        </row>
        <row r="28">
          <cell r="A28" t="str">
            <v>Romania</v>
          </cell>
          <cell r="B28">
            <v>0.4</v>
          </cell>
          <cell r="C28">
            <v>0.6</v>
          </cell>
        </row>
        <row r="29">
          <cell r="A29" t="str">
            <v>Lesotho</v>
          </cell>
        </row>
        <row r="30">
          <cell r="A30" t="str">
            <v>Ireland</v>
          </cell>
          <cell r="B30">
            <v>0.74</v>
          </cell>
          <cell r="C30">
            <v>0.26</v>
          </cell>
        </row>
        <row r="31">
          <cell r="A31" t="str">
            <v>Taiwan</v>
          </cell>
          <cell r="B31">
            <v>0.55000000000000004</v>
          </cell>
          <cell r="C31">
            <v>0.45</v>
          </cell>
        </row>
        <row r="32">
          <cell r="A32" t="str">
            <v>Finland</v>
          </cell>
          <cell r="B32">
            <v>0.64</v>
          </cell>
          <cell r="C32">
            <v>0.36</v>
          </cell>
        </row>
        <row r="33">
          <cell r="A33" t="str">
            <v>Monaco</v>
          </cell>
        </row>
        <row r="34">
          <cell r="A34" t="str">
            <v>Nepal</v>
          </cell>
        </row>
        <row r="35">
          <cell r="A35" t="str">
            <v>Madagascar</v>
          </cell>
        </row>
        <row r="36">
          <cell r="A36" t="str">
            <v>Poland</v>
          </cell>
          <cell r="B36">
            <v>0.38</v>
          </cell>
          <cell r="C36">
            <v>0.62</v>
          </cell>
        </row>
        <row r="37">
          <cell r="A37" t="str">
            <v>New Zealand</v>
          </cell>
          <cell r="B37">
            <v>0.73</v>
          </cell>
          <cell r="C37">
            <v>0.27</v>
          </cell>
        </row>
        <row r="38">
          <cell r="A38" t="str">
            <v>Japan</v>
          </cell>
          <cell r="B38">
            <v>0.67</v>
          </cell>
          <cell r="C38">
            <v>0.33</v>
          </cell>
        </row>
        <row r="39">
          <cell r="A39" t="str">
            <v>Austria</v>
          </cell>
          <cell r="B39">
            <v>0.61</v>
          </cell>
          <cell r="C39">
            <v>0.39</v>
          </cell>
        </row>
        <row r="40">
          <cell r="A40" t="str">
            <v>Germany</v>
          </cell>
          <cell r="B40">
            <v>0.57999999999999996</v>
          </cell>
          <cell r="C40">
            <v>0.42</v>
          </cell>
        </row>
        <row r="41">
          <cell r="A41" t="str">
            <v>Sri Lanka</v>
          </cell>
          <cell r="B41">
            <v>0.61</v>
          </cell>
          <cell r="C41">
            <v>0.39</v>
          </cell>
        </row>
        <row r="42">
          <cell r="A42" t="str">
            <v>Netherlands</v>
          </cell>
          <cell r="B42">
            <v>0.72</v>
          </cell>
          <cell r="C42">
            <v>0.28000000000000003</v>
          </cell>
        </row>
        <row r="43">
          <cell r="A43" t="str">
            <v>Fiji</v>
          </cell>
        </row>
        <row r="44">
          <cell r="A44" t="str">
            <v>Latvia</v>
          </cell>
        </row>
        <row r="45">
          <cell r="A45" t="str">
            <v>Denmark</v>
          </cell>
          <cell r="B45">
            <v>0.73</v>
          </cell>
          <cell r="C45">
            <v>0.27</v>
          </cell>
        </row>
        <row r="46">
          <cell r="A46" t="str">
            <v>Bulgaria</v>
          </cell>
          <cell r="B46">
            <v>0.54</v>
          </cell>
          <cell r="C46">
            <v>0.46</v>
          </cell>
        </row>
        <row r="47">
          <cell r="A47" t="str">
            <v>Sweden</v>
          </cell>
          <cell r="B47">
            <v>0.6</v>
          </cell>
          <cell r="C47">
            <v>0.4</v>
          </cell>
        </row>
        <row r="48">
          <cell r="A48" t="str">
            <v>Canada</v>
          </cell>
          <cell r="B48">
            <v>0.63</v>
          </cell>
          <cell r="C48">
            <v>0.37</v>
          </cell>
        </row>
        <row r="49">
          <cell r="A49" t="str">
            <v>Russia</v>
          </cell>
          <cell r="B49">
            <v>0.52</v>
          </cell>
          <cell r="C49">
            <v>0.48</v>
          </cell>
        </row>
        <row r="50">
          <cell r="A50" t="str">
            <v>Norway</v>
          </cell>
          <cell r="B50">
            <v>0.66</v>
          </cell>
          <cell r="C50">
            <v>0.34</v>
          </cell>
        </row>
        <row r="51">
          <cell r="A51" t="str">
            <v>Lithuania</v>
          </cell>
          <cell r="B51">
            <v>0.48</v>
          </cell>
          <cell r="C51">
            <v>0.52</v>
          </cell>
        </row>
        <row r="52">
          <cell r="A52" t="str">
            <v>Ukraine</v>
          </cell>
          <cell r="B52">
            <v>0.54</v>
          </cell>
          <cell r="C52">
            <v>0.46</v>
          </cell>
        </row>
        <row r="53">
          <cell r="A53" t="str">
            <v>Portugal</v>
          </cell>
          <cell r="B53">
            <v>0.69</v>
          </cell>
          <cell r="C53">
            <v>0.31</v>
          </cell>
        </row>
        <row r="54">
          <cell r="A54" t="str">
            <v>United States</v>
          </cell>
          <cell r="B54">
            <v>0.65</v>
          </cell>
          <cell r="C54">
            <v>0.35</v>
          </cell>
        </row>
        <row r="55">
          <cell r="A55" t="str">
            <v>Uzbekistan</v>
          </cell>
        </row>
        <row r="56">
          <cell r="A56" t="str">
            <v>Mauritius</v>
          </cell>
        </row>
        <row r="57">
          <cell r="A57" t="str">
            <v>North Macedonia</v>
          </cell>
        </row>
        <row r="58">
          <cell r="A58" t="str">
            <v>Belize</v>
          </cell>
        </row>
        <row r="59">
          <cell r="A59" t="str">
            <v>Zimbabwe</v>
          </cell>
        </row>
        <row r="60">
          <cell r="A60" t="str">
            <v>Australia</v>
          </cell>
          <cell r="B60">
            <v>0.73</v>
          </cell>
          <cell r="C60">
            <v>0.27</v>
          </cell>
        </row>
        <row r="61">
          <cell r="A61" t="str">
            <v>Philippines</v>
          </cell>
          <cell r="B61">
            <v>0.51</v>
          </cell>
          <cell r="C61">
            <v>0.49</v>
          </cell>
        </row>
        <row r="62">
          <cell r="A62" t="str">
            <v>Slovakia</v>
          </cell>
          <cell r="B62">
            <v>0.6</v>
          </cell>
          <cell r="C62">
            <v>0.4</v>
          </cell>
        </row>
        <row r="63">
          <cell r="A63" t="str">
            <v>Mongolia</v>
          </cell>
        </row>
        <row r="64">
          <cell r="A64" t="str">
            <v>Eswatini</v>
          </cell>
        </row>
        <row r="65">
          <cell r="A65" t="str">
            <v>Guatemala</v>
          </cell>
        </row>
        <row r="66">
          <cell r="A66" t="str">
            <v>Tonga</v>
          </cell>
        </row>
        <row r="67">
          <cell r="A67" t="str">
            <v>Bangladesh</v>
          </cell>
          <cell r="B67">
            <v>0.41</v>
          </cell>
          <cell r="C67">
            <v>0.59</v>
          </cell>
        </row>
        <row r="68">
          <cell r="A68" t="str">
            <v>Hungary</v>
          </cell>
          <cell r="B68">
            <v>0.56000000000000005</v>
          </cell>
          <cell r="C68">
            <v>0.44</v>
          </cell>
        </row>
        <row r="69">
          <cell r="A69" t="str">
            <v>Honduras</v>
          </cell>
        </row>
        <row r="70">
          <cell r="A70" t="str">
            <v>Belgium</v>
          </cell>
          <cell r="B70">
            <v>0.7</v>
          </cell>
          <cell r="C70">
            <v>0.3</v>
          </cell>
        </row>
        <row r="71">
          <cell r="A71" t="str">
            <v>Lebanon</v>
          </cell>
        </row>
        <row r="72">
          <cell r="A72" t="str">
            <v>Somalia</v>
          </cell>
        </row>
        <row r="73">
          <cell r="A73" t="str">
            <v>Myanmar (Burma)</v>
          </cell>
        </row>
        <row r="74">
          <cell r="A74" t="str">
            <v>Iran</v>
          </cell>
          <cell r="B74">
            <v>0.35</v>
          </cell>
          <cell r="C74">
            <v>0.65</v>
          </cell>
        </row>
        <row r="75">
          <cell r="A75" t="str">
            <v>Macao</v>
          </cell>
        </row>
        <row r="76">
          <cell r="A76" t="str">
            <v>United Kingdom</v>
          </cell>
          <cell r="B76">
            <v>0.71</v>
          </cell>
          <cell r="C76">
            <v>0.28999999999999998</v>
          </cell>
        </row>
        <row r="77">
          <cell r="A77" t="str">
            <v>Botswana</v>
          </cell>
        </row>
        <row r="78">
          <cell r="A78" t="str">
            <v>Cyprus</v>
          </cell>
        </row>
        <row r="79">
          <cell r="A79" t="str">
            <v>Croatia</v>
          </cell>
          <cell r="B79">
            <v>0.56000000000000005</v>
          </cell>
          <cell r="C79">
            <v>0.44</v>
          </cell>
        </row>
        <row r="80">
          <cell r="A80" t="str">
            <v>Faroe Islands</v>
          </cell>
        </row>
        <row r="81">
          <cell r="A81" t="str">
            <v>San Marino</v>
          </cell>
        </row>
        <row r="82">
          <cell r="A82" t="str">
            <v>Bosnia &amp; Herzegovina</v>
          </cell>
        </row>
        <row r="83">
          <cell r="A83" t="str">
            <v>Afghanistan</v>
          </cell>
        </row>
        <row r="84">
          <cell r="A84" t="str">
            <v>Serbia</v>
          </cell>
          <cell r="B84">
            <v>0.55000000000000004</v>
          </cell>
          <cell r="C84">
            <v>0.45</v>
          </cell>
        </row>
        <row r="85">
          <cell r="A85" t="str">
            <v>Benin</v>
          </cell>
        </row>
        <row r="86">
          <cell r="A86" t="str">
            <v>Moldova</v>
          </cell>
        </row>
        <row r="87">
          <cell r="A87" t="str">
            <v>Tunisia</v>
          </cell>
          <cell r="B87">
            <v>0.52</v>
          </cell>
          <cell r="C87">
            <v>0.48</v>
          </cell>
        </row>
        <row r="88">
          <cell r="A88" t="str">
            <v>Isle of Man</v>
          </cell>
        </row>
        <row r="89">
          <cell r="A89" t="str">
            <v>Bhutan</v>
          </cell>
        </row>
        <row r="90">
          <cell r="A90" t="str">
            <v>Togo</v>
          </cell>
        </row>
        <row r="91">
          <cell r="A91" t="str">
            <v>South Africa</v>
          </cell>
          <cell r="B91">
            <v>0.66</v>
          </cell>
          <cell r="C91">
            <v>0.34</v>
          </cell>
        </row>
        <row r="92">
          <cell r="A92" t="str">
            <v>Malawi</v>
          </cell>
        </row>
        <row r="93">
          <cell r="A93" t="str">
            <v>Jersey</v>
          </cell>
        </row>
        <row r="94">
          <cell r="A94" t="str">
            <v>Bermuda</v>
          </cell>
        </row>
        <row r="95">
          <cell r="A95" t="str">
            <v>Jordan</v>
          </cell>
        </row>
        <row r="96">
          <cell r="A96" t="str">
            <v>Seychelles</v>
          </cell>
        </row>
        <row r="97">
          <cell r="A97" t="str">
            <v>U.S. Virgin Islands</v>
          </cell>
        </row>
        <row r="98">
          <cell r="A98" t="str">
            <v>Ghana</v>
          </cell>
        </row>
        <row r="99">
          <cell r="A99" t="str">
            <v>Ecuador</v>
          </cell>
          <cell r="B99">
            <v>0.32</v>
          </cell>
          <cell r="C99">
            <v>0.68</v>
          </cell>
        </row>
        <row r="100">
          <cell r="A100" t="str">
            <v>Cambodia</v>
          </cell>
        </row>
        <row r="101">
          <cell r="A101" t="str">
            <v>Barbados</v>
          </cell>
        </row>
        <row r="102">
          <cell r="A102" t="str">
            <v>St. Kitts &amp; Nevis</v>
          </cell>
        </row>
        <row r="103">
          <cell r="A103" t="str">
            <v>Sudan</v>
          </cell>
        </row>
        <row r="104">
          <cell r="A104" t="str">
            <v>Costa Rica</v>
          </cell>
        </row>
        <row r="105">
          <cell r="A105" t="str">
            <v>Spain</v>
          </cell>
          <cell r="B105">
            <v>0.65</v>
          </cell>
          <cell r="C105">
            <v>0.35</v>
          </cell>
        </row>
        <row r="106">
          <cell r="A106" t="str">
            <v>Cayman Islands</v>
          </cell>
        </row>
        <row r="107">
          <cell r="A107" t="str">
            <v>Albania</v>
          </cell>
        </row>
        <row r="108">
          <cell r="A108" t="str">
            <v>Maldives</v>
          </cell>
        </row>
        <row r="109">
          <cell r="A109" t="str">
            <v>Egypt</v>
          </cell>
          <cell r="B109">
            <v>0.36</v>
          </cell>
          <cell r="C109">
            <v>0.64</v>
          </cell>
        </row>
        <row r="110">
          <cell r="A110" t="str">
            <v>Kenya</v>
          </cell>
        </row>
        <row r="111">
          <cell r="A111" t="str">
            <v>Syria</v>
          </cell>
        </row>
        <row r="112">
          <cell r="A112" t="str">
            <v>France</v>
          </cell>
          <cell r="B112">
            <v>0.56999999999999995</v>
          </cell>
          <cell r="C112">
            <v>0.43</v>
          </cell>
        </row>
        <row r="113">
          <cell r="A113" t="str">
            <v>Guernsey</v>
          </cell>
        </row>
        <row r="114">
          <cell r="A114" t="str">
            <v>Cameroon</v>
          </cell>
        </row>
        <row r="115">
          <cell r="A115" t="str">
            <v>Bolivia</v>
          </cell>
        </row>
        <row r="116">
          <cell r="A116" t="str">
            <v>United Arab Emirates</v>
          </cell>
          <cell r="B116">
            <v>0.64</v>
          </cell>
          <cell r="C116">
            <v>0.36</v>
          </cell>
        </row>
        <row r="117">
          <cell r="A117" t="str">
            <v>Italy</v>
          </cell>
          <cell r="B117">
            <v>0.6</v>
          </cell>
          <cell r="C117">
            <v>0.4</v>
          </cell>
        </row>
        <row r="118">
          <cell r="A118" t="str">
            <v>Andorra</v>
          </cell>
        </row>
        <row r="119">
          <cell r="A119" t="str">
            <v>Mexico</v>
          </cell>
          <cell r="B119">
            <v>0.38</v>
          </cell>
          <cell r="C119">
            <v>0.62</v>
          </cell>
        </row>
        <row r="120">
          <cell r="A120" t="str">
            <v>Kazakhstan</v>
          </cell>
          <cell r="B120">
            <v>0.52</v>
          </cell>
          <cell r="C120">
            <v>0.48</v>
          </cell>
        </row>
        <row r="121">
          <cell r="A121" t="str">
            <v>Malaysia</v>
          </cell>
          <cell r="B121">
            <v>0.5</v>
          </cell>
          <cell r="C121">
            <v>0.5</v>
          </cell>
        </row>
        <row r="122">
          <cell r="A122" t="str">
            <v>Laos</v>
          </cell>
        </row>
        <row r="123">
          <cell r="A123" t="str">
            <v>Uruguay</v>
          </cell>
        </row>
        <row r="124">
          <cell r="A124" t="str">
            <v>Cape Verde</v>
          </cell>
        </row>
        <row r="125">
          <cell r="A125" t="str">
            <v>Jamaica</v>
          </cell>
        </row>
        <row r="126">
          <cell r="A126" t="str">
            <v>Libya</v>
          </cell>
        </row>
        <row r="127">
          <cell r="A127" t="str">
            <v>Vietnam</v>
          </cell>
          <cell r="B127">
            <v>0.47</v>
          </cell>
          <cell r="C127">
            <v>0.53</v>
          </cell>
        </row>
        <row r="128">
          <cell r="A128" t="str">
            <v>Georgia</v>
          </cell>
        </row>
        <row r="129">
          <cell r="A129" t="str">
            <v>Panama</v>
          </cell>
        </row>
        <row r="130">
          <cell r="A130" t="str">
            <v>Greece</v>
          </cell>
          <cell r="B130">
            <v>0.52</v>
          </cell>
          <cell r="C130">
            <v>0.48</v>
          </cell>
        </row>
        <row r="131">
          <cell r="A131" t="str">
            <v>Vanuatu</v>
          </cell>
        </row>
        <row r="132">
          <cell r="A132" t="str">
            <v>St. Vincent &amp; Grenadines</v>
          </cell>
        </row>
        <row r="133">
          <cell r="A133" t="str">
            <v>Papua New Guinea</v>
          </cell>
        </row>
        <row r="134">
          <cell r="A134" t="str">
            <v>Colombia</v>
          </cell>
          <cell r="B134">
            <v>0.42</v>
          </cell>
          <cell r="C134">
            <v>0.57999999999999996</v>
          </cell>
        </row>
        <row r="135">
          <cell r="A135" t="str">
            <v>Yemen</v>
          </cell>
        </row>
        <row r="136">
          <cell r="A136" t="str">
            <v>Uganda</v>
          </cell>
        </row>
        <row r="137">
          <cell r="A137" t="str">
            <v>Angola</v>
          </cell>
        </row>
        <row r="138">
          <cell r="A138" t="str">
            <v>Trinidad &amp; Tobago</v>
          </cell>
        </row>
        <row r="139">
          <cell r="A139" t="str">
            <v>Oman</v>
          </cell>
        </row>
        <row r="140">
          <cell r="A140" t="str">
            <v>Bahrain</v>
          </cell>
        </row>
        <row r="141">
          <cell r="A141" t="str">
            <v>Burundi</v>
          </cell>
        </row>
        <row r="142">
          <cell r="A142" t="str">
            <v>Tanzania</v>
          </cell>
        </row>
        <row r="143">
          <cell r="A143" t="str">
            <v>Brunei</v>
          </cell>
        </row>
        <row r="144">
          <cell r="A144" t="str">
            <v>Peru</v>
          </cell>
          <cell r="B144">
            <v>0.39</v>
          </cell>
          <cell r="C144">
            <v>0.61</v>
          </cell>
        </row>
        <row r="145">
          <cell r="A145" t="str">
            <v>Kyrgyzstan</v>
          </cell>
        </row>
        <row r="146">
          <cell r="A146" t="str">
            <v>Montenegro</v>
          </cell>
        </row>
        <row r="147">
          <cell r="A147" t="str">
            <v>Chile</v>
          </cell>
          <cell r="B147">
            <v>0.64</v>
          </cell>
          <cell r="C147">
            <v>0.36</v>
          </cell>
        </row>
        <row r="148">
          <cell r="A148" t="str">
            <v>El Salvador</v>
          </cell>
        </row>
        <row r="149">
          <cell r="A149" t="str">
            <v>Nicaragua</v>
          </cell>
        </row>
        <row r="150">
          <cell r="A150" t="str">
            <v>Indonesia</v>
          </cell>
          <cell r="B150">
            <v>0.41</v>
          </cell>
          <cell r="C150">
            <v>0.59</v>
          </cell>
        </row>
        <row r="151">
          <cell r="A151" t="str">
            <v>Puerto Rico</v>
          </cell>
        </row>
        <row r="152">
          <cell r="A152" t="str">
            <v>Morocco</v>
          </cell>
          <cell r="B152">
            <v>0.43</v>
          </cell>
          <cell r="C152">
            <v>0.56999999999999995</v>
          </cell>
        </row>
        <row r="153">
          <cell r="A153" t="str">
            <v>Azerbaijan</v>
          </cell>
        </row>
        <row r="154">
          <cell r="A154" t="str">
            <v>Turkmenistan</v>
          </cell>
        </row>
        <row r="155">
          <cell r="A155" t="str">
            <v>Namibia</v>
          </cell>
        </row>
        <row r="156">
          <cell r="A156" t="str">
            <v>Antigua &amp; Barbuda</v>
          </cell>
        </row>
        <row r="157">
          <cell r="A157" t="str">
            <v>Tajikistan</v>
          </cell>
        </row>
        <row r="158">
          <cell r="A158" t="str">
            <v>Zambia</v>
          </cell>
        </row>
        <row r="159">
          <cell r="A159" t="str">
            <v>Qatar</v>
          </cell>
        </row>
        <row r="160">
          <cell r="A160" t="str">
            <v>Nigeria</v>
          </cell>
          <cell r="B160">
            <v>0.45</v>
          </cell>
          <cell r="C160">
            <v>0.55000000000000004</v>
          </cell>
        </row>
        <row r="161">
          <cell r="A161" t="str">
            <v>Kosovo</v>
          </cell>
        </row>
        <row r="162">
          <cell r="A162" t="str">
            <v>Venezuela</v>
          </cell>
          <cell r="B162">
            <v>0.33</v>
          </cell>
          <cell r="C162">
            <v>0.67</v>
          </cell>
        </row>
        <row r="163">
          <cell r="A163" t="str">
            <v>South Sudan</v>
          </cell>
        </row>
        <row r="164">
          <cell r="A164" t="str">
            <v>Brazil</v>
          </cell>
          <cell r="B164">
            <v>0.56999999999999995</v>
          </cell>
          <cell r="C164">
            <v>0.43</v>
          </cell>
        </row>
        <row r="165">
          <cell r="A165" t="str">
            <v>Guinea</v>
          </cell>
        </row>
        <row r="166">
          <cell r="A166" t="str">
            <v>Grenada</v>
          </cell>
        </row>
        <row r="167">
          <cell r="A167" t="str">
            <v>Guyana</v>
          </cell>
        </row>
        <row r="168">
          <cell r="A168" t="str">
            <v>Congo - Kinshasa</v>
          </cell>
        </row>
        <row r="169">
          <cell r="A169" t="str">
            <v>Senegal</v>
          </cell>
        </row>
        <row r="170">
          <cell r="A170" t="str">
            <v>Algeria</v>
          </cell>
        </row>
        <row r="171">
          <cell r="A171" t="str">
            <v>Paraguay</v>
          </cell>
        </row>
        <row r="172">
          <cell r="A172" t="str">
            <v>New Caledonia</v>
          </cell>
        </row>
        <row r="173">
          <cell r="A173" t="str">
            <v>Argentina</v>
          </cell>
          <cell r="B173">
            <v>0.59</v>
          </cell>
          <cell r="C173">
            <v>0.41</v>
          </cell>
        </row>
        <row r="174">
          <cell r="A174" t="str">
            <v>Thailand</v>
          </cell>
          <cell r="B174">
            <v>0.55000000000000004</v>
          </cell>
          <cell r="C174">
            <v>0.45</v>
          </cell>
        </row>
        <row r="175">
          <cell r="A175" t="str">
            <v>CuraÃ§ao</v>
          </cell>
        </row>
        <row r="176">
          <cell r="A176" t="str">
            <v>Sint Maarten</v>
          </cell>
        </row>
        <row r="177">
          <cell r="A177" t="str">
            <v>French Polynesia</v>
          </cell>
        </row>
        <row r="178">
          <cell r="A178" t="str">
            <v>Dominican Republic</v>
          </cell>
        </row>
        <row r="179">
          <cell r="A179" t="str">
            <v>Mozambique</v>
          </cell>
        </row>
        <row r="180">
          <cell r="A180" t="str">
            <v>Niger</v>
          </cell>
        </row>
        <row r="181">
          <cell r="A181" t="str">
            <v>CÃ´te dâ€™Ivoire</v>
          </cell>
        </row>
        <row r="182">
          <cell r="A182" t="str">
            <v>Aruba</v>
          </cell>
        </row>
        <row r="183">
          <cell r="A183" t="str">
            <v>Guam</v>
          </cell>
        </row>
        <row r="184">
          <cell r="A184" t="str">
            <v>Congo - Brazzaville</v>
          </cell>
        </row>
        <row r="185">
          <cell r="A185" t="str">
            <v>Djibouti</v>
          </cell>
        </row>
        <row r="186">
          <cell r="A186" t="str">
            <v>Turkey</v>
          </cell>
          <cell r="B186">
            <v>0.47</v>
          </cell>
          <cell r="C186">
            <v>0.53</v>
          </cell>
        </row>
        <row r="187">
          <cell r="A187" t="str">
            <v>Iraq</v>
          </cell>
        </row>
        <row r="188">
          <cell r="A188" t="str">
            <v>RÃ©union</v>
          </cell>
        </row>
        <row r="189">
          <cell r="A189" t="str">
            <v>French Guiana</v>
          </cell>
        </row>
        <row r="190">
          <cell r="A190" t="str">
            <v>Kuwait</v>
          </cell>
        </row>
        <row r="191">
          <cell r="A191" t="str">
            <v>Gambia</v>
          </cell>
        </row>
        <row r="192">
          <cell r="A192" t="str">
            <v>Gabon</v>
          </cell>
        </row>
        <row r="193">
          <cell r="A193" t="str">
            <v>Burkina Faso</v>
          </cell>
        </row>
        <row r="194">
          <cell r="A194" t="str">
            <v>Suriname</v>
          </cell>
        </row>
        <row r="195">
          <cell r="A195" t="str">
            <v>Palestine</v>
          </cell>
        </row>
        <row r="196">
          <cell r="A196" t="str">
            <v>Mauritania</v>
          </cell>
        </row>
        <row r="197">
          <cell r="A197" t="str">
            <v>Haiti</v>
          </cell>
        </row>
        <row r="198">
          <cell r="A198" t="str">
            <v>Timor-Leste</v>
          </cell>
        </row>
        <row r="199">
          <cell r="A199" t="str">
            <v>Liberia</v>
          </cell>
        </row>
        <row r="200">
          <cell r="A200" t="str">
            <v>Bahamas</v>
          </cell>
        </row>
        <row r="201">
          <cell r="A201" t="str">
            <v>Mali</v>
          </cell>
        </row>
        <row r="202">
          <cell r="A202" t="str">
            <v>Saudi Arabia</v>
          </cell>
          <cell r="B202">
            <v>0.48</v>
          </cell>
          <cell r="C202">
            <v>0.52</v>
          </cell>
        </row>
        <row r="203">
          <cell r="A203" t="str">
            <v>Guadeloupe</v>
          </cell>
        </row>
        <row r="204">
          <cell r="A204" t="str">
            <v>Sierra Leone</v>
          </cell>
        </row>
        <row r="205">
          <cell r="A205" t="str">
            <v>Martinique</v>
          </cell>
        </row>
        <row r="206">
          <cell r="A206" t="str">
            <v>Chad</v>
          </cell>
        </row>
        <row r="207">
          <cell r="A207" t="str">
            <v>Christmas Island</v>
          </cell>
        </row>
        <row r="208">
          <cell r="A208" t="str">
            <v>Svalbard &amp; Jan Mayen</v>
          </cell>
        </row>
        <row r="209">
          <cell r="A209" t="str">
            <v>Kiribati</v>
          </cell>
        </row>
        <row r="210">
          <cell r="A210" t="str">
            <v>Eritrea</v>
          </cell>
        </row>
        <row r="211">
          <cell r="A211" t="str">
            <v>Palau</v>
          </cell>
        </row>
        <row r="212">
          <cell r="A212" t="str">
            <v>Falkland Islands (Islas Malvinas)</v>
          </cell>
        </row>
        <row r="213">
          <cell r="A213" t="str">
            <v>Cook Islands</v>
          </cell>
        </row>
        <row r="214">
          <cell r="A214" t="str">
            <v>SÃ£o TomÃ© &amp; PrÃ­ncipe</v>
          </cell>
        </row>
        <row r="215">
          <cell r="A215" t="str">
            <v>Greenland</v>
          </cell>
        </row>
        <row r="216">
          <cell r="A216" t="str">
            <v>Caribbean Netherlands</v>
          </cell>
        </row>
        <row r="217">
          <cell r="A217" t="str">
            <v>Marshall Islands</v>
          </cell>
        </row>
        <row r="218">
          <cell r="A218" t="str">
            <v>Equatorial Guinea</v>
          </cell>
        </row>
        <row r="219">
          <cell r="A219" t="str">
            <v>Comoros</v>
          </cell>
        </row>
        <row r="220">
          <cell r="A220" t="str">
            <v>St. Pierre &amp; Miquelon</v>
          </cell>
        </row>
        <row r="221">
          <cell r="A221" t="str">
            <v>Micronesia</v>
          </cell>
        </row>
        <row r="222">
          <cell r="A222" t="str">
            <v>Samoa</v>
          </cell>
        </row>
        <row r="223">
          <cell r="A223" t="str">
            <v>Anguilla</v>
          </cell>
        </row>
        <row r="224">
          <cell r="A224" t="str">
            <v>Solomon Islands</v>
          </cell>
        </row>
        <row r="225">
          <cell r="A225" t="str">
            <v>Dominica</v>
          </cell>
        </row>
        <row r="226">
          <cell r="A226" t="str">
            <v>St. Lucia</v>
          </cell>
        </row>
        <row r="227">
          <cell r="A227" t="str">
            <v>Central African Republic</v>
          </cell>
        </row>
        <row r="228">
          <cell r="A228" t="str">
            <v>British Virgin Islands</v>
          </cell>
        </row>
        <row r="229">
          <cell r="A229" t="str">
            <v>Northern Mariana Islands</v>
          </cell>
        </row>
        <row r="230">
          <cell r="A230" t="str">
            <v>American Samoa</v>
          </cell>
        </row>
        <row r="231">
          <cell r="A231" t="str">
            <v>St. Martin</v>
          </cell>
        </row>
        <row r="232">
          <cell r="A232" t="str">
            <v>St. BarthÃ©lemy</v>
          </cell>
        </row>
        <row r="233">
          <cell r="A233" t="str">
            <v>Western Sahara</v>
          </cell>
        </row>
        <row r="234">
          <cell r="A234" t="str">
            <v>Mayotte</v>
          </cell>
        </row>
        <row r="235">
          <cell r="A235" t="str">
            <v>Turks &amp; Caicos Islands</v>
          </cell>
        </row>
        <row r="236">
          <cell r="A236" t="str">
            <v>Antarctica</v>
          </cell>
        </row>
        <row r="237">
          <cell r="A237" t="str">
            <v>French Southern Territories</v>
          </cell>
        </row>
        <row r="238">
          <cell r="A238" t="str">
            <v>Bouvet Island</v>
          </cell>
        </row>
        <row r="239">
          <cell r="A239" t="str">
            <v>Cocos (Keeling) Islands</v>
          </cell>
        </row>
        <row r="240">
          <cell r="A240" t="str">
            <v>Guinea-Bissau</v>
          </cell>
        </row>
        <row r="241">
          <cell r="A241" t="str">
            <v>Heard &amp; McDonald Islands</v>
          </cell>
        </row>
        <row r="242">
          <cell r="A242" t="str">
            <v>British Indian Ocean Territory</v>
          </cell>
        </row>
        <row r="243">
          <cell r="A243" t="str">
            <v>Montserrat</v>
          </cell>
        </row>
        <row r="244">
          <cell r="A244" t="str">
            <v>Norfolk Island</v>
          </cell>
        </row>
        <row r="245">
          <cell r="A245" t="str">
            <v>Niue</v>
          </cell>
        </row>
        <row r="246">
          <cell r="A246" t="str">
            <v>Nauru</v>
          </cell>
        </row>
        <row r="247">
          <cell r="A247" t="str">
            <v>Pitcairn Islands</v>
          </cell>
        </row>
        <row r="248">
          <cell r="A248" t="str">
            <v>South Georgia &amp; South Sandwich Islands</v>
          </cell>
        </row>
        <row r="249">
          <cell r="A249" t="str">
            <v>Tokelau</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2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7)"/>
    </sheetNames>
    <sheetDataSet>
      <sheetData sheetId="0">
        <row r="1">
          <cell r="A1" t="str">
            <v>Kategori: TÃ¼m kategoriler</v>
          </cell>
        </row>
        <row r="3">
          <cell r="A3" t="str">
            <v>Ãœlke</v>
          </cell>
          <cell r="B3" t="str">
            <v>C++: (2016)</v>
          </cell>
          <cell r="C3" t="str">
            <v>ReactJS: (2016)</v>
          </cell>
        </row>
        <row r="4">
          <cell r="A4" t="str">
            <v>North Korea</v>
          </cell>
        </row>
        <row r="5">
          <cell r="A5" t="str">
            <v>China</v>
          </cell>
          <cell r="B5">
            <v>0.57999999999999996</v>
          </cell>
          <cell r="C5">
            <v>0.42</v>
          </cell>
        </row>
        <row r="6">
          <cell r="A6" t="str">
            <v>Ethiopia</v>
          </cell>
        </row>
        <row r="7">
          <cell r="A7" t="str">
            <v>Cuba</v>
          </cell>
        </row>
        <row r="8">
          <cell r="A8" t="str">
            <v>South Korea</v>
          </cell>
          <cell r="B8">
            <v>0.85</v>
          </cell>
          <cell r="C8">
            <v>0.15</v>
          </cell>
        </row>
        <row r="9">
          <cell r="A9" t="str">
            <v>Pakistan</v>
          </cell>
          <cell r="B9">
            <v>0.97</v>
          </cell>
          <cell r="C9">
            <v>0.03</v>
          </cell>
        </row>
        <row r="10">
          <cell r="A10" t="str">
            <v>St. Helena</v>
          </cell>
        </row>
        <row r="11">
          <cell r="A11" t="str">
            <v>Armenia</v>
          </cell>
        </row>
        <row r="12">
          <cell r="A12" t="str">
            <v>Iceland</v>
          </cell>
        </row>
        <row r="13">
          <cell r="A13" t="str">
            <v>Rwanda</v>
          </cell>
        </row>
        <row r="14">
          <cell r="A14" t="str">
            <v>Romania</v>
          </cell>
          <cell r="B14">
            <v>0.89</v>
          </cell>
          <cell r="C14">
            <v>0.11</v>
          </cell>
        </row>
        <row r="15">
          <cell r="A15" t="str">
            <v>Lesotho</v>
          </cell>
        </row>
        <row r="16">
          <cell r="A16" t="str">
            <v>Belarus</v>
          </cell>
          <cell r="B16">
            <v>0.8</v>
          </cell>
          <cell r="C16">
            <v>0.2</v>
          </cell>
        </row>
        <row r="17">
          <cell r="A17" t="str">
            <v>India</v>
          </cell>
          <cell r="B17">
            <v>0.89</v>
          </cell>
          <cell r="C17">
            <v>0.11</v>
          </cell>
        </row>
        <row r="18">
          <cell r="A18" t="str">
            <v>Poland</v>
          </cell>
          <cell r="B18">
            <v>0.89</v>
          </cell>
          <cell r="C18">
            <v>0.11</v>
          </cell>
        </row>
        <row r="19">
          <cell r="A19" t="str">
            <v>Fiji</v>
          </cell>
        </row>
        <row r="20">
          <cell r="A20" t="str">
            <v>Singapore</v>
          </cell>
          <cell r="B20">
            <v>0.72</v>
          </cell>
          <cell r="C20">
            <v>0.28000000000000003</v>
          </cell>
        </row>
        <row r="21">
          <cell r="A21" t="str">
            <v>Israel</v>
          </cell>
          <cell r="B21">
            <v>0.75</v>
          </cell>
          <cell r="C21">
            <v>0.25</v>
          </cell>
        </row>
        <row r="22">
          <cell r="A22" t="str">
            <v>Tonga</v>
          </cell>
        </row>
        <row r="23">
          <cell r="A23" t="str">
            <v>Lithuania</v>
          </cell>
          <cell r="B23">
            <v>0.83</v>
          </cell>
          <cell r="C23">
            <v>0.17</v>
          </cell>
        </row>
        <row r="24">
          <cell r="A24" t="str">
            <v>Eswatini</v>
          </cell>
        </row>
        <row r="25">
          <cell r="A25" t="str">
            <v>Nepal</v>
          </cell>
        </row>
        <row r="26">
          <cell r="A26" t="str">
            <v>Zimbabwe</v>
          </cell>
        </row>
        <row r="27">
          <cell r="A27" t="str">
            <v>Russia</v>
          </cell>
          <cell r="B27">
            <v>0.85</v>
          </cell>
          <cell r="C27">
            <v>0.15</v>
          </cell>
        </row>
        <row r="28">
          <cell r="A28" t="str">
            <v>Hong Kong</v>
          </cell>
          <cell r="B28">
            <v>0.64</v>
          </cell>
          <cell r="C28">
            <v>0.36</v>
          </cell>
        </row>
        <row r="29">
          <cell r="A29" t="str">
            <v>Taiwan</v>
          </cell>
          <cell r="B29">
            <v>0.81</v>
          </cell>
          <cell r="C29">
            <v>0.19</v>
          </cell>
        </row>
        <row r="30">
          <cell r="A30" t="str">
            <v>Czechia</v>
          </cell>
          <cell r="B30">
            <v>0.75</v>
          </cell>
          <cell r="C30">
            <v>0.25</v>
          </cell>
        </row>
        <row r="31">
          <cell r="A31" t="str">
            <v>Belize</v>
          </cell>
        </row>
        <row r="32">
          <cell r="A32" t="str">
            <v>Uzbekistan</v>
          </cell>
        </row>
        <row r="33">
          <cell r="A33" t="str">
            <v>Honduras</v>
          </cell>
        </row>
        <row r="34">
          <cell r="A34" t="str">
            <v>Bulgaria</v>
          </cell>
          <cell r="B34">
            <v>0.83</v>
          </cell>
          <cell r="C34">
            <v>0.17</v>
          </cell>
        </row>
        <row r="35">
          <cell r="A35" t="str">
            <v>Philippines</v>
          </cell>
          <cell r="B35">
            <v>0.85</v>
          </cell>
          <cell r="C35">
            <v>0.15</v>
          </cell>
        </row>
        <row r="36">
          <cell r="A36" t="str">
            <v>Guatemala</v>
          </cell>
        </row>
        <row r="37">
          <cell r="A37" t="str">
            <v>Bangladesh</v>
          </cell>
          <cell r="B37">
            <v>0.91</v>
          </cell>
          <cell r="C37">
            <v>0.09</v>
          </cell>
        </row>
        <row r="38">
          <cell r="A38" t="str">
            <v>North Macedonia</v>
          </cell>
        </row>
        <row r="39">
          <cell r="A39" t="str">
            <v>Botswana</v>
          </cell>
        </row>
        <row r="40">
          <cell r="A40" t="str">
            <v>Ukraine</v>
          </cell>
          <cell r="B40">
            <v>0.78</v>
          </cell>
          <cell r="C40">
            <v>0.22</v>
          </cell>
        </row>
        <row r="41">
          <cell r="A41" t="str">
            <v>Mongolia</v>
          </cell>
        </row>
        <row r="42">
          <cell r="A42" t="str">
            <v>Iran</v>
          </cell>
          <cell r="B42">
            <v>0.97</v>
          </cell>
          <cell r="C42">
            <v>0.03</v>
          </cell>
        </row>
        <row r="43">
          <cell r="A43" t="str">
            <v>Afghanistan</v>
          </cell>
        </row>
        <row r="44">
          <cell r="A44" t="str">
            <v>Gibraltar</v>
          </cell>
        </row>
        <row r="45">
          <cell r="A45" t="str">
            <v>Latvia</v>
          </cell>
          <cell r="B45">
            <v>0.76</v>
          </cell>
          <cell r="C45">
            <v>0.24</v>
          </cell>
        </row>
        <row r="46">
          <cell r="A46" t="str">
            <v>Germany</v>
          </cell>
          <cell r="B46">
            <v>0.87</v>
          </cell>
          <cell r="C46">
            <v>0.13</v>
          </cell>
        </row>
        <row r="47">
          <cell r="A47" t="str">
            <v>Somalia</v>
          </cell>
        </row>
        <row r="48">
          <cell r="A48" t="str">
            <v>Slovenia</v>
          </cell>
          <cell r="B48">
            <v>0.79</v>
          </cell>
          <cell r="C48">
            <v>0.21</v>
          </cell>
        </row>
        <row r="49">
          <cell r="A49" t="str">
            <v>Bosnia &amp; Herzegovina</v>
          </cell>
        </row>
        <row r="50">
          <cell r="A50" t="str">
            <v>Madagascar</v>
          </cell>
        </row>
        <row r="51">
          <cell r="A51" t="str">
            <v>Faroe Islands</v>
          </cell>
        </row>
        <row r="52">
          <cell r="A52" t="str">
            <v>Switzerland</v>
          </cell>
          <cell r="B52">
            <v>0.82</v>
          </cell>
          <cell r="C52">
            <v>0.18</v>
          </cell>
        </row>
        <row r="53">
          <cell r="A53" t="str">
            <v>Moldova</v>
          </cell>
        </row>
        <row r="54">
          <cell r="A54" t="str">
            <v>Sweden</v>
          </cell>
          <cell r="B54">
            <v>0.67</v>
          </cell>
          <cell r="C54">
            <v>0.33</v>
          </cell>
        </row>
        <row r="55">
          <cell r="A55" t="str">
            <v>Austria</v>
          </cell>
          <cell r="B55">
            <v>0.83</v>
          </cell>
          <cell r="C55">
            <v>0.17</v>
          </cell>
        </row>
        <row r="56">
          <cell r="A56" t="str">
            <v>Sri Lanka</v>
          </cell>
          <cell r="B56">
            <v>0.8</v>
          </cell>
          <cell r="C56">
            <v>0.2</v>
          </cell>
        </row>
        <row r="57">
          <cell r="A57" t="str">
            <v>Benin</v>
          </cell>
        </row>
        <row r="58">
          <cell r="A58" t="str">
            <v>Hungary</v>
          </cell>
          <cell r="B58">
            <v>0.87</v>
          </cell>
          <cell r="C58">
            <v>0.13</v>
          </cell>
        </row>
        <row r="59">
          <cell r="A59" t="str">
            <v>Finland</v>
          </cell>
          <cell r="B59">
            <v>0.62</v>
          </cell>
          <cell r="C59">
            <v>0.38</v>
          </cell>
        </row>
        <row r="60">
          <cell r="A60" t="str">
            <v>Jordan</v>
          </cell>
        </row>
        <row r="61">
          <cell r="A61" t="str">
            <v>Cyprus</v>
          </cell>
        </row>
        <row r="62">
          <cell r="A62" t="str">
            <v>Tunisia</v>
          </cell>
        </row>
        <row r="63">
          <cell r="A63" t="str">
            <v>Croatia</v>
          </cell>
          <cell r="B63">
            <v>0.75</v>
          </cell>
          <cell r="C63">
            <v>0.25</v>
          </cell>
        </row>
        <row r="64">
          <cell r="A64" t="str">
            <v>Malawi</v>
          </cell>
        </row>
        <row r="65">
          <cell r="A65" t="str">
            <v>Togo</v>
          </cell>
        </row>
        <row r="66">
          <cell r="A66" t="str">
            <v>Ghana</v>
          </cell>
        </row>
        <row r="67">
          <cell r="A67" t="str">
            <v>Estonia</v>
          </cell>
        </row>
        <row r="68">
          <cell r="A68" t="str">
            <v>Slovakia</v>
          </cell>
          <cell r="B68">
            <v>0.78</v>
          </cell>
          <cell r="C68">
            <v>0.22</v>
          </cell>
        </row>
        <row r="69">
          <cell r="A69" t="str">
            <v>Ecuador</v>
          </cell>
        </row>
        <row r="70">
          <cell r="A70" t="str">
            <v>Serbia</v>
          </cell>
          <cell r="B70">
            <v>0.8</v>
          </cell>
          <cell r="C70">
            <v>0.2</v>
          </cell>
        </row>
        <row r="71">
          <cell r="A71" t="str">
            <v>St. Kitts &amp; Nevis</v>
          </cell>
        </row>
        <row r="72">
          <cell r="A72" t="str">
            <v>Sudan</v>
          </cell>
        </row>
        <row r="73">
          <cell r="A73" t="str">
            <v>Albania</v>
          </cell>
        </row>
        <row r="74">
          <cell r="A74" t="str">
            <v>Canada</v>
          </cell>
          <cell r="B74">
            <v>0.73</v>
          </cell>
          <cell r="C74">
            <v>0.27</v>
          </cell>
        </row>
        <row r="75">
          <cell r="A75" t="str">
            <v>Egypt</v>
          </cell>
          <cell r="B75">
            <v>0.95</v>
          </cell>
          <cell r="C75">
            <v>0.05</v>
          </cell>
        </row>
        <row r="76">
          <cell r="A76" t="str">
            <v>Kenya</v>
          </cell>
        </row>
        <row r="77">
          <cell r="A77" t="str">
            <v>Bolivia</v>
          </cell>
        </row>
        <row r="78">
          <cell r="A78" t="str">
            <v>Cameroon</v>
          </cell>
        </row>
        <row r="79">
          <cell r="A79" t="str">
            <v>Syria</v>
          </cell>
        </row>
        <row r="80">
          <cell r="A80" t="str">
            <v>United States</v>
          </cell>
          <cell r="B80">
            <v>0.73</v>
          </cell>
          <cell r="C80">
            <v>0.27</v>
          </cell>
        </row>
        <row r="81">
          <cell r="A81" t="str">
            <v>Japan</v>
          </cell>
          <cell r="B81">
            <v>0.85</v>
          </cell>
          <cell r="C81">
            <v>0.15</v>
          </cell>
        </row>
        <row r="82">
          <cell r="A82" t="str">
            <v>Norway</v>
          </cell>
          <cell r="B82">
            <v>0.59</v>
          </cell>
          <cell r="C82">
            <v>0.41</v>
          </cell>
        </row>
        <row r="83">
          <cell r="A83" t="str">
            <v>Mexico</v>
          </cell>
          <cell r="B83">
            <v>0.94</v>
          </cell>
          <cell r="C83">
            <v>0.06</v>
          </cell>
        </row>
        <row r="84">
          <cell r="A84" t="str">
            <v>Malta</v>
          </cell>
        </row>
        <row r="85">
          <cell r="A85" t="str">
            <v>Lebanon</v>
          </cell>
        </row>
        <row r="86">
          <cell r="A86" t="str">
            <v>Malaysia</v>
          </cell>
          <cell r="B86">
            <v>0.86</v>
          </cell>
          <cell r="C86">
            <v>0.14000000000000001</v>
          </cell>
        </row>
        <row r="87">
          <cell r="A87" t="str">
            <v>Costa Rica</v>
          </cell>
        </row>
        <row r="88">
          <cell r="A88" t="str">
            <v>Kazakhstan</v>
          </cell>
          <cell r="B88">
            <v>0.88</v>
          </cell>
          <cell r="C88">
            <v>0.12</v>
          </cell>
        </row>
        <row r="89">
          <cell r="A89" t="str">
            <v>Myanmar (Burma)</v>
          </cell>
        </row>
        <row r="90">
          <cell r="A90" t="str">
            <v>Libya</v>
          </cell>
        </row>
        <row r="91">
          <cell r="A91" t="str">
            <v>Georgia</v>
          </cell>
        </row>
        <row r="92">
          <cell r="A92" t="str">
            <v>Vietnam</v>
          </cell>
          <cell r="B92">
            <v>0.81</v>
          </cell>
          <cell r="C92">
            <v>0.19</v>
          </cell>
        </row>
        <row r="93">
          <cell r="A93" t="str">
            <v>Portugal</v>
          </cell>
          <cell r="B93">
            <v>0.75</v>
          </cell>
          <cell r="C93">
            <v>0.25</v>
          </cell>
        </row>
        <row r="94">
          <cell r="A94" t="str">
            <v>Panama</v>
          </cell>
        </row>
        <row r="95">
          <cell r="A95" t="str">
            <v>Yemen</v>
          </cell>
        </row>
        <row r="96">
          <cell r="A96" t="str">
            <v>Angola</v>
          </cell>
        </row>
        <row r="97">
          <cell r="A97" t="str">
            <v>Burundi</v>
          </cell>
        </row>
        <row r="98">
          <cell r="A98" t="str">
            <v>Colombia</v>
          </cell>
          <cell r="B98">
            <v>0.92</v>
          </cell>
          <cell r="C98">
            <v>0.08</v>
          </cell>
        </row>
        <row r="99">
          <cell r="A99" t="str">
            <v>Papua New Guinea</v>
          </cell>
        </row>
        <row r="100">
          <cell r="A100" t="str">
            <v>Barbados</v>
          </cell>
        </row>
        <row r="101">
          <cell r="A101" t="str">
            <v>St. Vincent &amp; Grenadines</v>
          </cell>
        </row>
        <row r="102">
          <cell r="A102" t="str">
            <v>Uganda</v>
          </cell>
        </row>
        <row r="103">
          <cell r="A103" t="str">
            <v>Jamaica</v>
          </cell>
        </row>
        <row r="104">
          <cell r="A104" t="str">
            <v>Oman</v>
          </cell>
        </row>
        <row r="105">
          <cell r="A105" t="str">
            <v>Netherlands</v>
          </cell>
          <cell r="B105">
            <v>0.69</v>
          </cell>
          <cell r="C105">
            <v>0.31</v>
          </cell>
        </row>
        <row r="106">
          <cell r="A106" t="str">
            <v>France</v>
          </cell>
          <cell r="B106">
            <v>0.8</v>
          </cell>
          <cell r="C106">
            <v>0.2</v>
          </cell>
        </row>
        <row r="107">
          <cell r="A107" t="str">
            <v>Greece</v>
          </cell>
          <cell r="B107">
            <v>0.82</v>
          </cell>
          <cell r="C107">
            <v>0.18</v>
          </cell>
        </row>
        <row r="108">
          <cell r="A108" t="str">
            <v>Cape Verde</v>
          </cell>
        </row>
        <row r="109">
          <cell r="A109" t="str">
            <v>Cambodia</v>
          </cell>
        </row>
        <row r="110">
          <cell r="A110" t="str">
            <v>Tanzania</v>
          </cell>
        </row>
        <row r="111">
          <cell r="A111" t="str">
            <v>Macao</v>
          </cell>
        </row>
        <row r="112">
          <cell r="A112" t="str">
            <v>Luxembourg</v>
          </cell>
        </row>
        <row r="113">
          <cell r="A113" t="str">
            <v>Ireland</v>
          </cell>
          <cell r="B113">
            <v>0.69</v>
          </cell>
          <cell r="C113">
            <v>0.31</v>
          </cell>
        </row>
        <row r="114">
          <cell r="A114" t="str">
            <v>Peru</v>
          </cell>
          <cell r="B114">
            <v>0.93</v>
          </cell>
          <cell r="C114">
            <v>7.0000000000000007E-2</v>
          </cell>
        </row>
        <row r="115">
          <cell r="A115" t="str">
            <v>New Zealand</v>
          </cell>
          <cell r="B115">
            <v>0.57999999999999996</v>
          </cell>
          <cell r="C115">
            <v>0.42</v>
          </cell>
        </row>
        <row r="116">
          <cell r="A116" t="str">
            <v>Mauritius</v>
          </cell>
        </row>
        <row r="117">
          <cell r="A117" t="str">
            <v>Denmark</v>
          </cell>
          <cell r="B117">
            <v>0.64</v>
          </cell>
          <cell r="C117">
            <v>0.36</v>
          </cell>
        </row>
        <row r="118">
          <cell r="A118" t="str">
            <v>Nicaragua</v>
          </cell>
        </row>
        <row r="119">
          <cell r="A119" t="str">
            <v>Kyrgyzstan</v>
          </cell>
        </row>
        <row r="120">
          <cell r="A120" t="str">
            <v>Bhutan</v>
          </cell>
        </row>
        <row r="121">
          <cell r="A121" t="str">
            <v>El Salvador</v>
          </cell>
        </row>
        <row r="122">
          <cell r="A122" t="str">
            <v>Indonesia</v>
          </cell>
          <cell r="B122">
            <v>0.88</v>
          </cell>
          <cell r="C122">
            <v>0.12</v>
          </cell>
        </row>
        <row r="123">
          <cell r="A123" t="str">
            <v>Trinidad &amp; Tobago</v>
          </cell>
        </row>
        <row r="124">
          <cell r="A124" t="str">
            <v>Belgium</v>
          </cell>
          <cell r="B124">
            <v>0.74</v>
          </cell>
          <cell r="C124">
            <v>0.26</v>
          </cell>
        </row>
        <row r="125">
          <cell r="A125" t="str">
            <v>Morocco</v>
          </cell>
        </row>
        <row r="126">
          <cell r="A126" t="str">
            <v>Puerto Rico</v>
          </cell>
        </row>
        <row r="127">
          <cell r="A127" t="str">
            <v>Andorra</v>
          </cell>
        </row>
        <row r="128">
          <cell r="A128" t="str">
            <v>Azerbaijan</v>
          </cell>
        </row>
        <row r="129">
          <cell r="A129" t="str">
            <v>Italy</v>
          </cell>
          <cell r="B129">
            <v>0.89</v>
          </cell>
          <cell r="C129">
            <v>0.11</v>
          </cell>
        </row>
        <row r="130">
          <cell r="A130" t="str">
            <v>Bahrain</v>
          </cell>
        </row>
        <row r="131">
          <cell r="A131" t="str">
            <v>Guinea</v>
          </cell>
        </row>
        <row r="132">
          <cell r="A132" t="str">
            <v>Tajikistan</v>
          </cell>
        </row>
        <row r="133">
          <cell r="A133" t="str">
            <v>Maldives</v>
          </cell>
        </row>
        <row r="134">
          <cell r="A134" t="str">
            <v>Nigeria</v>
          </cell>
          <cell r="B134">
            <v>0.82</v>
          </cell>
          <cell r="C134">
            <v>0.18</v>
          </cell>
        </row>
        <row r="135">
          <cell r="A135" t="str">
            <v>United Kingdom</v>
          </cell>
          <cell r="B135">
            <v>0.67</v>
          </cell>
          <cell r="C135">
            <v>0.33</v>
          </cell>
        </row>
        <row r="136">
          <cell r="A136" t="str">
            <v>Venezuela</v>
          </cell>
          <cell r="B136">
            <v>0.92</v>
          </cell>
          <cell r="C136">
            <v>0.08</v>
          </cell>
        </row>
        <row r="137">
          <cell r="A137" t="str">
            <v>Laos</v>
          </cell>
        </row>
        <row r="138">
          <cell r="A138" t="str">
            <v>Zambia</v>
          </cell>
        </row>
        <row r="139">
          <cell r="A139" t="str">
            <v>South Africa</v>
          </cell>
          <cell r="B139">
            <v>0.75</v>
          </cell>
          <cell r="C139">
            <v>0.25</v>
          </cell>
        </row>
        <row r="140">
          <cell r="A140" t="str">
            <v>Australia</v>
          </cell>
          <cell r="B140">
            <v>0.6</v>
          </cell>
          <cell r="C140">
            <v>0.4</v>
          </cell>
        </row>
        <row r="141">
          <cell r="A141" t="str">
            <v>Spain</v>
          </cell>
          <cell r="B141">
            <v>0.81</v>
          </cell>
          <cell r="C141">
            <v>0.19</v>
          </cell>
        </row>
        <row r="142">
          <cell r="A142" t="str">
            <v>Congo - Kinshasa</v>
          </cell>
        </row>
        <row r="143">
          <cell r="A143" t="str">
            <v>Turkmenistan</v>
          </cell>
        </row>
        <row r="144">
          <cell r="A144" t="str">
            <v>Namibia</v>
          </cell>
        </row>
        <row r="145">
          <cell r="A145" t="str">
            <v>Algeria</v>
          </cell>
        </row>
        <row r="146">
          <cell r="A146" t="str">
            <v>United Arab Emirates</v>
          </cell>
          <cell r="B146">
            <v>0.79</v>
          </cell>
          <cell r="C146">
            <v>0.21</v>
          </cell>
        </row>
        <row r="147">
          <cell r="A147" t="str">
            <v>Kosovo</v>
          </cell>
        </row>
        <row r="148">
          <cell r="A148" t="str">
            <v>Paraguay</v>
          </cell>
        </row>
        <row r="149">
          <cell r="A149" t="str">
            <v>South Sudan</v>
          </cell>
        </row>
        <row r="150">
          <cell r="A150" t="str">
            <v>Niger</v>
          </cell>
        </row>
        <row r="151">
          <cell r="A151" t="str">
            <v>Brunei</v>
          </cell>
        </row>
        <row r="152">
          <cell r="A152" t="str">
            <v>Dominican Republic</v>
          </cell>
        </row>
        <row r="153">
          <cell r="A153" t="str">
            <v>Djibouti</v>
          </cell>
        </row>
        <row r="154">
          <cell r="A154" t="str">
            <v>Liberia</v>
          </cell>
        </row>
        <row r="155">
          <cell r="A155" t="str">
            <v>Gabon</v>
          </cell>
        </row>
        <row r="156">
          <cell r="A156" t="str">
            <v>Grenada</v>
          </cell>
        </row>
        <row r="157">
          <cell r="A157" t="str">
            <v>Uruguay</v>
          </cell>
        </row>
        <row r="158">
          <cell r="A158" t="str">
            <v>Montenegro</v>
          </cell>
        </row>
        <row r="159">
          <cell r="A159" t="str">
            <v>Turkey</v>
          </cell>
          <cell r="B159">
            <v>0.89</v>
          </cell>
          <cell r="C159">
            <v>0.11</v>
          </cell>
        </row>
        <row r="160">
          <cell r="A160" t="str">
            <v>Iraq</v>
          </cell>
        </row>
        <row r="161">
          <cell r="A161" t="str">
            <v>Thailand</v>
          </cell>
          <cell r="B161">
            <v>0.77</v>
          </cell>
          <cell r="C161">
            <v>0.23</v>
          </cell>
        </row>
        <row r="162">
          <cell r="A162" t="str">
            <v>Brazil</v>
          </cell>
          <cell r="B162">
            <v>0.78</v>
          </cell>
          <cell r="C162">
            <v>0.22</v>
          </cell>
        </row>
        <row r="163">
          <cell r="A163" t="str">
            <v>Haiti</v>
          </cell>
        </row>
        <row r="164">
          <cell r="A164" t="str">
            <v>Mozambique</v>
          </cell>
        </row>
        <row r="165">
          <cell r="A165" t="str">
            <v>RÃ©union</v>
          </cell>
        </row>
        <row r="166">
          <cell r="A166" t="str">
            <v>CÃ´te dâ€™Ivoire</v>
          </cell>
        </row>
        <row r="167">
          <cell r="A167" t="str">
            <v>Senegal</v>
          </cell>
        </row>
        <row r="168">
          <cell r="A168" t="str">
            <v>Chile</v>
          </cell>
          <cell r="B168">
            <v>0.79</v>
          </cell>
          <cell r="C168">
            <v>0.21</v>
          </cell>
        </row>
        <row r="169">
          <cell r="A169" t="str">
            <v>French Guiana</v>
          </cell>
        </row>
        <row r="170">
          <cell r="A170" t="str">
            <v>Argentina</v>
          </cell>
          <cell r="B170">
            <v>0.77</v>
          </cell>
          <cell r="C170">
            <v>0.23</v>
          </cell>
        </row>
        <row r="171">
          <cell r="A171" t="str">
            <v>Antigua &amp; Barbuda</v>
          </cell>
        </row>
        <row r="172">
          <cell r="A172" t="str">
            <v>Palestine</v>
          </cell>
        </row>
        <row r="173">
          <cell r="A173" t="str">
            <v>Congo - Brazzaville</v>
          </cell>
        </row>
        <row r="174">
          <cell r="A174" t="str">
            <v>Mauritania</v>
          </cell>
        </row>
        <row r="175">
          <cell r="A175" t="str">
            <v>Sierra Leone</v>
          </cell>
        </row>
        <row r="176">
          <cell r="A176" t="str">
            <v>Qatar</v>
          </cell>
        </row>
        <row r="177">
          <cell r="A177" t="str">
            <v>French Polynesia</v>
          </cell>
        </row>
        <row r="178">
          <cell r="A178" t="str">
            <v>Burkina Faso</v>
          </cell>
        </row>
        <row r="179">
          <cell r="A179" t="str">
            <v>Kuwait</v>
          </cell>
        </row>
        <row r="180">
          <cell r="A180" t="str">
            <v>Isle of Man</v>
          </cell>
        </row>
        <row r="181">
          <cell r="A181" t="str">
            <v>Saudi Arabia</v>
          </cell>
          <cell r="B181">
            <v>0.89</v>
          </cell>
          <cell r="C181">
            <v>0.11</v>
          </cell>
        </row>
        <row r="182">
          <cell r="A182" t="str">
            <v>Guyana</v>
          </cell>
        </row>
        <row r="183">
          <cell r="A183" t="str">
            <v>Mali</v>
          </cell>
        </row>
        <row r="184">
          <cell r="A184" t="str">
            <v>Suriname</v>
          </cell>
        </row>
        <row r="185">
          <cell r="A185" t="str">
            <v>Guam</v>
          </cell>
        </row>
        <row r="186">
          <cell r="A186" t="str">
            <v>Martinique</v>
          </cell>
        </row>
        <row r="187">
          <cell r="A187" t="str">
            <v>Cayman Islands</v>
          </cell>
        </row>
        <row r="188">
          <cell r="A188" t="str">
            <v>Bahamas</v>
          </cell>
        </row>
        <row r="189">
          <cell r="A189" t="str">
            <v>Guadeloupe</v>
          </cell>
        </row>
        <row r="190">
          <cell r="A190" t="str">
            <v>Aruba</v>
          </cell>
        </row>
        <row r="191">
          <cell r="A191" t="str">
            <v>Jersey</v>
          </cell>
        </row>
        <row r="192">
          <cell r="A192" t="str">
            <v>CuraÃ§ao</v>
          </cell>
        </row>
        <row r="193">
          <cell r="A193" t="str">
            <v>Ã…land Islands</v>
          </cell>
        </row>
        <row r="194">
          <cell r="A194" t="str">
            <v>Falkland Islands (Islas Malvinas)</v>
          </cell>
        </row>
        <row r="195">
          <cell r="A195" t="str">
            <v>Eritrea</v>
          </cell>
        </row>
        <row r="196">
          <cell r="A196" t="str">
            <v>Cook Islands</v>
          </cell>
        </row>
        <row r="197">
          <cell r="A197" t="str">
            <v>SÃ£o TomÃ© &amp; PrÃ­ncipe</v>
          </cell>
        </row>
        <row r="198">
          <cell r="A198" t="str">
            <v>Solomon Islands</v>
          </cell>
        </row>
        <row r="199">
          <cell r="A199" t="str">
            <v>Liechtenstein</v>
          </cell>
        </row>
        <row r="200">
          <cell r="A200" t="str">
            <v>Micronesia</v>
          </cell>
        </row>
        <row r="201">
          <cell r="A201" t="str">
            <v>Guinea-Bissau</v>
          </cell>
        </row>
        <row r="202">
          <cell r="A202" t="str">
            <v>St. Lucia</v>
          </cell>
        </row>
        <row r="203">
          <cell r="A203" t="str">
            <v>Central African Republic</v>
          </cell>
        </row>
        <row r="204">
          <cell r="A204" t="str">
            <v>Monaco</v>
          </cell>
        </row>
        <row r="205">
          <cell r="A205" t="str">
            <v>Equatorial Guinea</v>
          </cell>
        </row>
        <row r="206">
          <cell r="A206" t="str">
            <v>St. Pierre &amp; Miquelon</v>
          </cell>
        </row>
        <row r="207">
          <cell r="A207" t="str">
            <v>Comoros</v>
          </cell>
        </row>
        <row r="208">
          <cell r="A208" t="str">
            <v>San Marino</v>
          </cell>
        </row>
        <row r="209">
          <cell r="A209" t="str">
            <v>Vanuatu</v>
          </cell>
        </row>
        <row r="210">
          <cell r="A210" t="str">
            <v>Sint Maarten</v>
          </cell>
        </row>
        <row r="211">
          <cell r="A211" t="str">
            <v>Samoa</v>
          </cell>
        </row>
        <row r="212">
          <cell r="A212" t="str">
            <v>Caribbean Netherlands</v>
          </cell>
        </row>
        <row r="213">
          <cell r="A213" t="str">
            <v>American Samoa</v>
          </cell>
        </row>
        <row r="214">
          <cell r="A214" t="str">
            <v>Anguilla</v>
          </cell>
        </row>
        <row r="215">
          <cell r="A215" t="str">
            <v>Turks &amp; Caicos Islands</v>
          </cell>
        </row>
        <row r="216">
          <cell r="A216" t="str">
            <v>Guernsey</v>
          </cell>
        </row>
        <row r="217">
          <cell r="A217" t="str">
            <v>Mayotte</v>
          </cell>
        </row>
        <row r="218">
          <cell r="A218" t="str">
            <v>Bermuda</v>
          </cell>
        </row>
        <row r="219">
          <cell r="A219" t="str">
            <v>St. Martin</v>
          </cell>
        </row>
        <row r="220">
          <cell r="A220" t="str">
            <v>St. BarthÃ©lemy</v>
          </cell>
        </row>
        <row r="221">
          <cell r="A221" t="str">
            <v>Dominica</v>
          </cell>
        </row>
        <row r="222">
          <cell r="A222" t="str">
            <v>Northern Mariana Islands</v>
          </cell>
        </row>
        <row r="223">
          <cell r="A223" t="str">
            <v>Seychelles</v>
          </cell>
        </row>
        <row r="224">
          <cell r="A224" t="str">
            <v>Timor-Leste</v>
          </cell>
        </row>
        <row r="225">
          <cell r="A225" t="str">
            <v>Gambia</v>
          </cell>
        </row>
        <row r="226">
          <cell r="A226" t="str">
            <v>U.S. Virgin Islands</v>
          </cell>
        </row>
        <row r="227">
          <cell r="A227" t="str">
            <v>British Virgin Islands</v>
          </cell>
        </row>
        <row r="228">
          <cell r="A228" t="str">
            <v>New Caledonia</v>
          </cell>
        </row>
        <row r="229">
          <cell r="A229" t="str">
            <v>Western Sahara</v>
          </cell>
        </row>
        <row r="230">
          <cell r="A230" t="str">
            <v>Chad</v>
          </cell>
        </row>
        <row r="231">
          <cell r="A231" t="str">
            <v>Antarctica</v>
          </cell>
        </row>
        <row r="232">
          <cell r="A232" t="str">
            <v>French Southern Territories</v>
          </cell>
        </row>
        <row r="233">
          <cell r="A233" t="str">
            <v>Bouvet Island</v>
          </cell>
        </row>
        <row r="234">
          <cell r="A234" t="str">
            <v>Cocos (Keeling) Islands</v>
          </cell>
        </row>
        <row r="235">
          <cell r="A235" t="str">
            <v>Christmas Island</v>
          </cell>
        </row>
        <row r="236">
          <cell r="A236" t="str">
            <v>Greenland</v>
          </cell>
        </row>
        <row r="237">
          <cell r="A237" t="str">
            <v>Heard &amp; McDonald Islands</v>
          </cell>
        </row>
        <row r="238">
          <cell r="A238" t="str">
            <v>British Indian Ocean Territory</v>
          </cell>
        </row>
        <row r="239">
          <cell r="A239" t="str">
            <v>Kiribati</v>
          </cell>
        </row>
        <row r="240">
          <cell r="A240" t="str">
            <v>Marshall Islands</v>
          </cell>
        </row>
        <row r="241">
          <cell r="A241" t="str">
            <v>Montserrat</v>
          </cell>
        </row>
        <row r="242">
          <cell r="A242" t="str">
            <v>Norfolk Island</v>
          </cell>
        </row>
        <row r="243">
          <cell r="A243" t="str">
            <v>Niue</v>
          </cell>
        </row>
        <row r="244">
          <cell r="A244" t="str">
            <v>Nauru</v>
          </cell>
        </row>
        <row r="245">
          <cell r="A245" t="str">
            <v>Pitcairn Islands</v>
          </cell>
        </row>
        <row r="246">
          <cell r="A246" t="str">
            <v>Palau</v>
          </cell>
        </row>
        <row r="247">
          <cell r="A247" t="str">
            <v>South Georgia &amp; South Sandwich Islands</v>
          </cell>
        </row>
        <row r="248">
          <cell r="A248" t="str">
            <v>Svalbard &amp; Jan Mayen</v>
          </cell>
        </row>
        <row r="249">
          <cell r="A249" t="str">
            <v>Tokelau</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2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8)"/>
    </sheetNames>
    <sheetDataSet>
      <sheetData sheetId="0">
        <row r="1">
          <cell r="A1" t="str">
            <v>Kategori: TÃ¼m kategoriler</v>
          </cell>
        </row>
        <row r="3">
          <cell r="A3" t="str">
            <v>Ãœlke</v>
          </cell>
          <cell r="B3" t="str">
            <v>ReactJS: (2016)</v>
          </cell>
          <cell r="C3" t="str">
            <v>Ä°ÅŸlemci Ã¶nbelleÄŸi: (2016)</v>
          </cell>
        </row>
        <row r="4">
          <cell r="A4" t="str">
            <v>China</v>
          </cell>
          <cell r="B4">
            <v>0.64</v>
          </cell>
          <cell r="C4">
            <v>0.36</v>
          </cell>
        </row>
        <row r="5">
          <cell r="A5" t="str">
            <v>Gibraltar</v>
          </cell>
        </row>
        <row r="6">
          <cell r="A6" t="str">
            <v>Cuba</v>
          </cell>
        </row>
        <row r="7">
          <cell r="A7" t="str">
            <v>Iceland</v>
          </cell>
        </row>
        <row r="8">
          <cell r="A8" t="str">
            <v>Belarus</v>
          </cell>
          <cell r="B8">
            <v>0.28000000000000003</v>
          </cell>
          <cell r="C8">
            <v>0.72</v>
          </cell>
        </row>
        <row r="9">
          <cell r="A9" t="str">
            <v>Ã…land Islands</v>
          </cell>
        </row>
        <row r="10">
          <cell r="A10" t="str">
            <v>St. Helena</v>
          </cell>
        </row>
        <row r="11">
          <cell r="A11" t="str">
            <v>Russia</v>
          </cell>
          <cell r="B11">
            <v>0.18</v>
          </cell>
          <cell r="C11">
            <v>0.82</v>
          </cell>
        </row>
        <row r="12">
          <cell r="A12" t="str">
            <v>Malta</v>
          </cell>
        </row>
        <row r="13">
          <cell r="A13" t="str">
            <v>Singapore</v>
          </cell>
          <cell r="B13">
            <v>0.37</v>
          </cell>
          <cell r="C13">
            <v>0.63</v>
          </cell>
        </row>
        <row r="14">
          <cell r="A14" t="str">
            <v>Ukraine</v>
          </cell>
          <cell r="B14">
            <v>0.26</v>
          </cell>
          <cell r="C14">
            <v>0.74</v>
          </cell>
        </row>
        <row r="15">
          <cell r="A15" t="str">
            <v>Turkmenistan</v>
          </cell>
        </row>
        <row r="16">
          <cell r="A16" t="str">
            <v>Kazakhstan</v>
          </cell>
          <cell r="B16">
            <v>0.09</v>
          </cell>
          <cell r="C16">
            <v>0.91</v>
          </cell>
        </row>
        <row r="17">
          <cell r="A17" t="str">
            <v>Madagascar</v>
          </cell>
        </row>
        <row r="18">
          <cell r="A18" t="str">
            <v>Hong Kong</v>
          </cell>
          <cell r="B18">
            <v>0.46</v>
          </cell>
          <cell r="C18">
            <v>0.54</v>
          </cell>
        </row>
        <row r="19">
          <cell r="A19" t="str">
            <v>Estonia</v>
          </cell>
        </row>
        <row r="20">
          <cell r="A20" t="str">
            <v>Japan</v>
          </cell>
          <cell r="B20">
            <v>0.14000000000000001</v>
          </cell>
          <cell r="C20">
            <v>0.86</v>
          </cell>
        </row>
        <row r="21">
          <cell r="A21" t="str">
            <v>Uzbekistan</v>
          </cell>
        </row>
        <row r="22">
          <cell r="A22" t="str">
            <v>South Korea</v>
          </cell>
          <cell r="B22">
            <v>0.4</v>
          </cell>
          <cell r="C22">
            <v>0.6</v>
          </cell>
        </row>
        <row r="23">
          <cell r="A23" t="str">
            <v>Ireland</v>
          </cell>
          <cell r="B23">
            <v>0.25</v>
          </cell>
          <cell r="C23">
            <v>0.75</v>
          </cell>
        </row>
        <row r="24">
          <cell r="A24" t="str">
            <v>Liechtenstein</v>
          </cell>
        </row>
        <row r="25">
          <cell r="A25" t="str">
            <v>Cayman Islands</v>
          </cell>
        </row>
        <row r="26">
          <cell r="A26" t="str">
            <v>Luxembourg</v>
          </cell>
        </row>
        <row r="27">
          <cell r="A27" t="str">
            <v>New Zealand</v>
          </cell>
          <cell r="B27">
            <v>0.36</v>
          </cell>
          <cell r="C27">
            <v>0.64</v>
          </cell>
        </row>
        <row r="28">
          <cell r="A28" t="str">
            <v>Monaco</v>
          </cell>
        </row>
        <row r="29">
          <cell r="A29" t="str">
            <v>CuraÃ§ao</v>
          </cell>
        </row>
        <row r="30">
          <cell r="A30" t="str">
            <v>Guernsey</v>
          </cell>
        </row>
        <row r="31">
          <cell r="A31" t="str">
            <v>Canada</v>
          </cell>
          <cell r="B31">
            <v>0.31</v>
          </cell>
          <cell r="C31">
            <v>0.69</v>
          </cell>
        </row>
        <row r="32">
          <cell r="A32" t="str">
            <v>Isle of Man</v>
          </cell>
        </row>
        <row r="33">
          <cell r="A33" t="str">
            <v>Latvia</v>
          </cell>
          <cell r="B33">
            <v>0.34</v>
          </cell>
          <cell r="C33">
            <v>0.66</v>
          </cell>
        </row>
        <row r="34">
          <cell r="A34" t="str">
            <v>Jersey</v>
          </cell>
        </row>
        <row r="35">
          <cell r="A35" t="str">
            <v>Barbados</v>
          </cell>
        </row>
        <row r="36">
          <cell r="A36" t="str">
            <v>Philippines</v>
          </cell>
          <cell r="B36">
            <v>0.26</v>
          </cell>
          <cell r="C36">
            <v>0.74</v>
          </cell>
        </row>
        <row r="37">
          <cell r="A37" t="str">
            <v>Netherlands</v>
          </cell>
          <cell r="B37">
            <v>0.28999999999999998</v>
          </cell>
          <cell r="C37">
            <v>0.71</v>
          </cell>
        </row>
        <row r="38">
          <cell r="A38" t="str">
            <v>United Kingdom</v>
          </cell>
          <cell r="B38">
            <v>0.26</v>
          </cell>
          <cell r="C38">
            <v>0.74</v>
          </cell>
        </row>
        <row r="39">
          <cell r="A39" t="str">
            <v>Australia</v>
          </cell>
          <cell r="B39">
            <v>0.32</v>
          </cell>
          <cell r="C39">
            <v>0.68</v>
          </cell>
        </row>
        <row r="40">
          <cell r="A40" t="str">
            <v>Moldova</v>
          </cell>
        </row>
        <row r="41">
          <cell r="A41" t="str">
            <v>Finland</v>
          </cell>
          <cell r="B41">
            <v>0.47</v>
          </cell>
          <cell r="C41">
            <v>0.53</v>
          </cell>
        </row>
        <row r="42">
          <cell r="A42" t="str">
            <v>Belize</v>
          </cell>
        </row>
        <row r="43">
          <cell r="A43" t="str">
            <v>Germany</v>
          </cell>
          <cell r="B43">
            <v>0.22</v>
          </cell>
          <cell r="C43">
            <v>0.78</v>
          </cell>
        </row>
        <row r="44">
          <cell r="A44" t="str">
            <v>Antigua &amp; Barbuda</v>
          </cell>
        </row>
        <row r="45">
          <cell r="A45" t="str">
            <v>Switzerland</v>
          </cell>
          <cell r="B45">
            <v>0.27</v>
          </cell>
          <cell r="C45">
            <v>0.73</v>
          </cell>
        </row>
        <row r="46">
          <cell r="A46" t="str">
            <v>Maldives</v>
          </cell>
        </row>
        <row r="47">
          <cell r="A47" t="str">
            <v>Dominica</v>
          </cell>
        </row>
        <row r="48">
          <cell r="A48" t="str">
            <v>Sweden</v>
          </cell>
          <cell r="B48">
            <v>0.45</v>
          </cell>
          <cell r="C48">
            <v>0.55000000000000004</v>
          </cell>
        </row>
        <row r="49">
          <cell r="A49" t="str">
            <v>United States</v>
          </cell>
          <cell r="B49">
            <v>0.33</v>
          </cell>
          <cell r="C49">
            <v>0.67</v>
          </cell>
        </row>
        <row r="50">
          <cell r="A50" t="str">
            <v>Mauritius</v>
          </cell>
        </row>
        <row r="51">
          <cell r="A51" t="str">
            <v>Austria</v>
          </cell>
          <cell r="B51">
            <v>0.25</v>
          </cell>
          <cell r="C51">
            <v>0.75</v>
          </cell>
        </row>
        <row r="52">
          <cell r="A52" t="str">
            <v>Jamaica</v>
          </cell>
        </row>
        <row r="53">
          <cell r="A53" t="str">
            <v>Trinidad &amp; Tobago</v>
          </cell>
        </row>
        <row r="54">
          <cell r="A54" t="str">
            <v>Tajikistan</v>
          </cell>
        </row>
        <row r="55">
          <cell r="A55" t="str">
            <v>Macao</v>
          </cell>
        </row>
        <row r="56">
          <cell r="A56" t="str">
            <v>Nepal</v>
          </cell>
        </row>
        <row r="57">
          <cell r="A57" t="str">
            <v>Guam</v>
          </cell>
        </row>
        <row r="58">
          <cell r="A58" t="str">
            <v>Czechia</v>
          </cell>
          <cell r="B58">
            <v>0.44</v>
          </cell>
          <cell r="C58">
            <v>0.56000000000000005</v>
          </cell>
        </row>
        <row r="59">
          <cell r="A59" t="str">
            <v>Bulgaria</v>
          </cell>
          <cell r="B59">
            <v>0.32</v>
          </cell>
          <cell r="C59">
            <v>0.68</v>
          </cell>
        </row>
        <row r="60">
          <cell r="A60" t="str">
            <v>Bermuda</v>
          </cell>
        </row>
        <row r="61">
          <cell r="A61" t="str">
            <v>Andorra</v>
          </cell>
        </row>
        <row r="62">
          <cell r="A62" t="str">
            <v>Bhutan</v>
          </cell>
        </row>
        <row r="63">
          <cell r="A63" t="str">
            <v>Belgium</v>
          </cell>
          <cell r="B63">
            <v>0.25</v>
          </cell>
          <cell r="C63">
            <v>0.75</v>
          </cell>
        </row>
        <row r="64">
          <cell r="A64" t="str">
            <v>Botswana</v>
          </cell>
        </row>
        <row r="65">
          <cell r="A65" t="str">
            <v>Kyrgyzstan</v>
          </cell>
        </row>
        <row r="66">
          <cell r="A66" t="str">
            <v>Cyprus</v>
          </cell>
        </row>
        <row r="67">
          <cell r="A67" t="str">
            <v>Portugal</v>
          </cell>
          <cell r="B67">
            <v>0.28999999999999998</v>
          </cell>
          <cell r="C67">
            <v>0.71</v>
          </cell>
        </row>
        <row r="68">
          <cell r="A68" t="str">
            <v>North Macedonia</v>
          </cell>
        </row>
        <row r="69">
          <cell r="A69" t="str">
            <v>Israel</v>
          </cell>
          <cell r="B69">
            <v>0.49</v>
          </cell>
          <cell r="C69">
            <v>0.51</v>
          </cell>
        </row>
        <row r="70">
          <cell r="A70" t="str">
            <v>Norway</v>
          </cell>
          <cell r="B70">
            <v>0.51</v>
          </cell>
          <cell r="C70">
            <v>0.49</v>
          </cell>
        </row>
        <row r="71">
          <cell r="A71" t="str">
            <v>Faroe Islands</v>
          </cell>
        </row>
        <row r="72">
          <cell r="A72" t="str">
            <v>New Caledonia</v>
          </cell>
        </row>
        <row r="73">
          <cell r="A73" t="str">
            <v>India</v>
          </cell>
          <cell r="B73">
            <v>0.3</v>
          </cell>
          <cell r="C73">
            <v>0.7</v>
          </cell>
        </row>
        <row r="74">
          <cell r="A74" t="str">
            <v>Taiwan</v>
          </cell>
          <cell r="B74">
            <v>0.38</v>
          </cell>
          <cell r="C74">
            <v>0.62</v>
          </cell>
        </row>
        <row r="75">
          <cell r="A75" t="str">
            <v>Vanuatu</v>
          </cell>
        </row>
        <row r="76">
          <cell r="A76" t="str">
            <v>Denmark</v>
          </cell>
          <cell r="B76">
            <v>0.39</v>
          </cell>
          <cell r="C76">
            <v>0.61</v>
          </cell>
        </row>
        <row r="77">
          <cell r="A77" t="str">
            <v>Slovenia</v>
          </cell>
        </row>
        <row r="78">
          <cell r="A78" t="str">
            <v>Spain</v>
          </cell>
          <cell r="B78">
            <v>0.18</v>
          </cell>
          <cell r="C78">
            <v>0.82</v>
          </cell>
        </row>
        <row r="79">
          <cell r="A79" t="str">
            <v>Tunisia</v>
          </cell>
        </row>
        <row r="80">
          <cell r="A80" t="str">
            <v>Guyana</v>
          </cell>
        </row>
        <row r="81">
          <cell r="A81" t="str">
            <v>Armenia</v>
          </cell>
        </row>
        <row r="82">
          <cell r="A82" t="str">
            <v>St. Vincent &amp; Grenadines</v>
          </cell>
        </row>
        <row r="83">
          <cell r="A83" t="str">
            <v>Romania</v>
          </cell>
          <cell r="B83">
            <v>0.33</v>
          </cell>
          <cell r="C83">
            <v>0.67</v>
          </cell>
        </row>
        <row r="84">
          <cell r="A84" t="str">
            <v>Grenada</v>
          </cell>
        </row>
        <row r="85">
          <cell r="A85" t="str">
            <v>Aruba</v>
          </cell>
        </row>
        <row r="86">
          <cell r="A86" t="str">
            <v>Lithuania</v>
          </cell>
          <cell r="B86">
            <v>0.41</v>
          </cell>
          <cell r="C86">
            <v>0.59</v>
          </cell>
        </row>
        <row r="87">
          <cell r="A87" t="str">
            <v>Brunei</v>
          </cell>
        </row>
        <row r="88">
          <cell r="A88" t="str">
            <v>French Polynesia</v>
          </cell>
        </row>
        <row r="89">
          <cell r="A89" t="str">
            <v>Lebanon</v>
          </cell>
        </row>
        <row r="90">
          <cell r="A90" t="str">
            <v>Zimbabwe</v>
          </cell>
        </row>
        <row r="91">
          <cell r="A91" t="str">
            <v>Fiji</v>
          </cell>
        </row>
        <row r="92">
          <cell r="A92" t="str">
            <v>Sri Lanka</v>
          </cell>
          <cell r="B92">
            <v>0.37</v>
          </cell>
          <cell r="C92">
            <v>0.63</v>
          </cell>
        </row>
        <row r="93">
          <cell r="A93" t="str">
            <v>France</v>
          </cell>
          <cell r="B93">
            <v>0.27</v>
          </cell>
          <cell r="C93">
            <v>0.73</v>
          </cell>
        </row>
        <row r="94">
          <cell r="A94" t="str">
            <v>Hungary</v>
          </cell>
          <cell r="B94">
            <v>0.27</v>
          </cell>
          <cell r="C94">
            <v>0.73</v>
          </cell>
        </row>
        <row r="95">
          <cell r="A95" t="str">
            <v>Thailand</v>
          </cell>
          <cell r="B95">
            <v>0.2</v>
          </cell>
          <cell r="C95">
            <v>0.8</v>
          </cell>
        </row>
        <row r="96">
          <cell r="A96" t="str">
            <v>Eswatini</v>
          </cell>
        </row>
        <row r="97">
          <cell r="A97" t="str">
            <v>Namibia</v>
          </cell>
        </row>
        <row r="98">
          <cell r="A98" t="str">
            <v>Brazil</v>
          </cell>
          <cell r="B98">
            <v>0.19</v>
          </cell>
          <cell r="C98">
            <v>0.81</v>
          </cell>
        </row>
        <row r="99">
          <cell r="A99" t="str">
            <v>Togo</v>
          </cell>
        </row>
        <row r="100">
          <cell r="A100" t="str">
            <v>South Africa</v>
          </cell>
          <cell r="B100">
            <v>0.28000000000000003</v>
          </cell>
          <cell r="C100">
            <v>0.72</v>
          </cell>
        </row>
        <row r="101">
          <cell r="A101" t="str">
            <v>Italy</v>
          </cell>
          <cell r="B101">
            <v>0.14000000000000001</v>
          </cell>
          <cell r="C101">
            <v>0.86</v>
          </cell>
        </row>
        <row r="102">
          <cell r="A102" t="str">
            <v>Slovakia</v>
          </cell>
          <cell r="B102">
            <v>0.4</v>
          </cell>
          <cell r="C102">
            <v>0.6</v>
          </cell>
        </row>
        <row r="103">
          <cell r="A103" t="str">
            <v>United Arab Emirates</v>
          </cell>
          <cell r="B103">
            <v>0.22</v>
          </cell>
          <cell r="C103">
            <v>0.78</v>
          </cell>
        </row>
        <row r="104">
          <cell r="A104" t="str">
            <v>Cameroon</v>
          </cell>
        </row>
        <row r="105">
          <cell r="A105" t="str">
            <v>Pakistan</v>
          </cell>
          <cell r="B105">
            <v>0.21</v>
          </cell>
          <cell r="C105">
            <v>0.79</v>
          </cell>
        </row>
        <row r="106">
          <cell r="A106" t="str">
            <v>U.S. Virgin Islands</v>
          </cell>
        </row>
        <row r="107">
          <cell r="A107" t="str">
            <v>Croatia</v>
          </cell>
          <cell r="B107">
            <v>0.44</v>
          </cell>
          <cell r="C107">
            <v>0.56000000000000005</v>
          </cell>
        </row>
        <row r="108">
          <cell r="A108" t="str">
            <v>RÃ©union</v>
          </cell>
        </row>
        <row r="109">
          <cell r="A109" t="str">
            <v>Peru</v>
          </cell>
          <cell r="B109">
            <v>0.1</v>
          </cell>
          <cell r="C109">
            <v>0.9</v>
          </cell>
        </row>
        <row r="110">
          <cell r="A110" t="str">
            <v>Malaysia</v>
          </cell>
          <cell r="B110">
            <v>0.24</v>
          </cell>
          <cell r="C110">
            <v>0.76</v>
          </cell>
        </row>
        <row r="111">
          <cell r="A111" t="str">
            <v>Papua New Guinea</v>
          </cell>
        </row>
        <row r="112">
          <cell r="A112" t="str">
            <v>Costa Rica</v>
          </cell>
        </row>
        <row r="113">
          <cell r="A113" t="str">
            <v>Poland</v>
          </cell>
          <cell r="B113">
            <v>0.35</v>
          </cell>
          <cell r="C113">
            <v>0.65</v>
          </cell>
        </row>
        <row r="114">
          <cell r="A114" t="str">
            <v>Benin</v>
          </cell>
        </row>
        <row r="115">
          <cell r="A115" t="str">
            <v>Uruguay</v>
          </cell>
        </row>
        <row r="116">
          <cell r="A116" t="str">
            <v>Ghana</v>
          </cell>
        </row>
        <row r="117">
          <cell r="A117" t="str">
            <v>Caribbean Netherlands</v>
          </cell>
        </row>
        <row r="118">
          <cell r="A118" t="str">
            <v>Myanmar (Burma)</v>
          </cell>
        </row>
        <row r="119">
          <cell r="A119" t="str">
            <v>Bahamas</v>
          </cell>
        </row>
        <row r="120">
          <cell r="A120" t="str">
            <v>Laos</v>
          </cell>
        </row>
        <row r="121">
          <cell r="A121" t="str">
            <v>Greece</v>
          </cell>
          <cell r="B121">
            <v>0.28000000000000003</v>
          </cell>
          <cell r="C121">
            <v>0.72</v>
          </cell>
        </row>
        <row r="122">
          <cell r="A122" t="str">
            <v>Rwanda</v>
          </cell>
        </row>
        <row r="123">
          <cell r="A123" t="str">
            <v>Solomon Islands</v>
          </cell>
        </row>
        <row r="124">
          <cell r="A124" t="str">
            <v>Kenya</v>
          </cell>
        </row>
        <row r="125">
          <cell r="A125" t="str">
            <v>El Salvador</v>
          </cell>
        </row>
        <row r="126">
          <cell r="A126" t="str">
            <v>Serbia</v>
          </cell>
          <cell r="B126">
            <v>0.4</v>
          </cell>
          <cell r="C126">
            <v>0.6</v>
          </cell>
        </row>
        <row r="127">
          <cell r="A127" t="str">
            <v>Nicaragua</v>
          </cell>
        </row>
        <row r="128">
          <cell r="A128" t="str">
            <v>Afghanistan</v>
          </cell>
        </row>
        <row r="129">
          <cell r="A129" t="str">
            <v>Uganda</v>
          </cell>
        </row>
        <row r="130">
          <cell r="A130" t="str">
            <v>Qatar</v>
          </cell>
        </row>
        <row r="131">
          <cell r="A131" t="str">
            <v>Argentina</v>
          </cell>
          <cell r="B131">
            <v>0.22</v>
          </cell>
          <cell r="C131">
            <v>0.78</v>
          </cell>
        </row>
        <row r="132">
          <cell r="A132" t="str">
            <v>Bolivia</v>
          </cell>
        </row>
        <row r="133">
          <cell r="A133" t="str">
            <v>Puerto Rico</v>
          </cell>
        </row>
        <row r="134">
          <cell r="A134" t="str">
            <v>Mexico</v>
          </cell>
          <cell r="B134">
            <v>0.14000000000000001</v>
          </cell>
          <cell r="C134">
            <v>0.86</v>
          </cell>
        </row>
        <row r="135">
          <cell r="A135" t="str">
            <v>Mongolia</v>
          </cell>
        </row>
        <row r="136">
          <cell r="A136" t="str">
            <v>Guatemala</v>
          </cell>
        </row>
        <row r="137">
          <cell r="A137" t="str">
            <v>Albania</v>
          </cell>
        </row>
        <row r="138">
          <cell r="A138" t="str">
            <v>Cape Verde</v>
          </cell>
        </row>
        <row r="139">
          <cell r="A139" t="str">
            <v>Lesotho</v>
          </cell>
        </row>
        <row r="140">
          <cell r="A140" t="str">
            <v>Bangladesh</v>
          </cell>
          <cell r="B140">
            <v>0.3</v>
          </cell>
          <cell r="C140">
            <v>0.7</v>
          </cell>
        </row>
        <row r="141">
          <cell r="A141" t="str">
            <v>Georgia</v>
          </cell>
        </row>
        <row r="142">
          <cell r="A142" t="str">
            <v>Colombia</v>
          </cell>
          <cell r="B142">
            <v>0.16</v>
          </cell>
          <cell r="C142">
            <v>0.84</v>
          </cell>
        </row>
        <row r="143">
          <cell r="A143" t="str">
            <v>Malawi</v>
          </cell>
        </row>
        <row r="144">
          <cell r="A144" t="str">
            <v>Cambodia</v>
          </cell>
        </row>
        <row r="145">
          <cell r="A145" t="str">
            <v>Panama</v>
          </cell>
        </row>
        <row r="146">
          <cell r="A146" t="str">
            <v>Chile</v>
          </cell>
          <cell r="B146">
            <v>0.23</v>
          </cell>
          <cell r="C146">
            <v>0.77</v>
          </cell>
        </row>
        <row r="147">
          <cell r="A147" t="str">
            <v>Dominican Republic</v>
          </cell>
        </row>
        <row r="148">
          <cell r="A148" t="str">
            <v>Martinique</v>
          </cell>
        </row>
        <row r="149">
          <cell r="A149" t="str">
            <v>Honduras</v>
          </cell>
        </row>
        <row r="150">
          <cell r="A150" t="str">
            <v>St. Lucia</v>
          </cell>
        </row>
        <row r="151">
          <cell r="A151" t="str">
            <v>CÃ´te dâ€™Ivoire</v>
          </cell>
        </row>
        <row r="152">
          <cell r="A152" t="str">
            <v>Indonesia</v>
          </cell>
          <cell r="B152">
            <v>0.2</v>
          </cell>
          <cell r="C152">
            <v>0.8</v>
          </cell>
        </row>
        <row r="153">
          <cell r="A153" t="str">
            <v>Bosnia &amp; Herzegovina</v>
          </cell>
        </row>
        <row r="154">
          <cell r="A154" t="str">
            <v>Suriname</v>
          </cell>
        </row>
        <row r="155">
          <cell r="A155" t="str">
            <v>Mozambique</v>
          </cell>
        </row>
        <row r="156">
          <cell r="A156" t="str">
            <v>Haiti</v>
          </cell>
        </row>
        <row r="157">
          <cell r="A157" t="str">
            <v>Bahrain</v>
          </cell>
        </row>
        <row r="158">
          <cell r="A158" t="str">
            <v>Senegal</v>
          </cell>
        </row>
        <row r="159">
          <cell r="A159" t="str">
            <v>Nigeria</v>
          </cell>
          <cell r="B159">
            <v>0.28999999999999998</v>
          </cell>
          <cell r="C159">
            <v>0.71</v>
          </cell>
        </row>
        <row r="160">
          <cell r="A160" t="str">
            <v>Gabon</v>
          </cell>
        </row>
        <row r="161">
          <cell r="A161" t="str">
            <v>Zambia</v>
          </cell>
        </row>
        <row r="162">
          <cell r="A162" t="str">
            <v>Venezuela</v>
          </cell>
          <cell r="B162">
            <v>0.15</v>
          </cell>
          <cell r="C162">
            <v>0.85</v>
          </cell>
        </row>
        <row r="163">
          <cell r="A163" t="str">
            <v>Paraguay</v>
          </cell>
        </row>
        <row r="164">
          <cell r="A164" t="str">
            <v>Ecuador</v>
          </cell>
        </row>
        <row r="165">
          <cell r="A165" t="str">
            <v>Guadeloupe</v>
          </cell>
        </row>
        <row r="166">
          <cell r="A166" t="str">
            <v>Kosovo</v>
          </cell>
        </row>
        <row r="167">
          <cell r="A167" t="str">
            <v>Montenegro</v>
          </cell>
        </row>
        <row r="168">
          <cell r="A168" t="str">
            <v>French Guiana</v>
          </cell>
        </row>
        <row r="169">
          <cell r="A169" t="str">
            <v>Niger</v>
          </cell>
        </row>
        <row r="170">
          <cell r="A170" t="str">
            <v>Congo - Kinshasa</v>
          </cell>
        </row>
        <row r="171">
          <cell r="A171" t="str">
            <v>Angola</v>
          </cell>
        </row>
        <row r="172">
          <cell r="A172" t="str">
            <v>Ethiopia</v>
          </cell>
        </row>
        <row r="173">
          <cell r="A173" t="str">
            <v>Azerbaijan</v>
          </cell>
        </row>
        <row r="174">
          <cell r="A174" t="str">
            <v>Morocco</v>
          </cell>
        </row>
        <row r="175">
          <cell r="A175" t="str">
            <v>Vietnam</v>
          </cell>
          <cell r="B175">
            <v>0.41</v>
          </cell>
          <cell r="C175">
            <v>0.59</v>
          </cell>
        </row>
        <row r="176">
          <cell r="A176" t="str">
            <v>Mayotte</v>
          </cell>
        </row>
        <row r="177">
          <cell r="A177" t="str">
            <v>Iran</v>
          </cell>
          <cell r="B177">
            <v>0.18</v>
          </cell>
          <cell r="C177">
            <v>0.82</v>
          </cell>
        </row>
        <row r="178">
          <cell r="A178" t="str">
            <v>Congo - Brazzaville</v>
          </cell>
        </row>
        <row r="179">
          <cell r="A179" t="str">
            <v>Djibouti</v>
          </cell>
        </row>
        <row r="180">
          <cell r="A180" t="str">
            <v>Jordan</v>
          </cell>
        </row>
        <row r="181">
          <cell r="A181" t="str">
            <v>Tanzania</v>
          </cell>
        </row>
        <row r="182">
          <cell r="A182" t="str">
            <v>Algeria</v>
          </cell>
        </row>
        <row r="183">
          <cell r="A183" t="str">
            <v>Oman</v>
          </cell>
        </row>
        <row r="184">
          <cell r="A184" t="str">
            <v>Mali</v>
          </cell>
        </row>
        <row r="185">
          <cell r="A185" t="str">
            <v>Burkina Faso</v>
          </cell>
        </row>
        <row r="186">
          <cell r="A186" t="str">
            <v>Kuwait</v>
          </cell>
        </row>
        <row r="187">
          <cell r="A187" t="str">
            <v>Mauritania</v>
          </cell>
        </row>
        <row r="188">
          <cell r="A188" t="str">
            <v>Palestine</v>
          </cell>
        </row>
        <row r="189">
          <cell r="A189" t="str">
            <v>Egypt</v>
          </cell>
          <cell r="B189">
            <v>0.24</v>
          </cell>
          <cell r="C189">
            <v>0.76</v>
          </cell>
        </row>
        <row r="190">
          <cell r="A190" t="str">
            <v>Turkey</v>
          </cell>
          <cell r="B190">
            <v>0.28000000000000003</v>
          </cell>
          <cell r="C190">
            <v>0.72</v>
          </cell>
        </row>
        <row r="191">
          <cell r="A191" t="str">
            <v>Saudi Arabia</v>
          </cell>
          <cell r="B191">
            <v>0.22</v>
          </cell>
          <cell r="C191">
            <v>0.78</v>
          </cell>
        </row>
        <row r="192">
          <cell r="A192" t="str">
            <v>Libya</v>
          </cell>
        </row>
        <row r="193">
          <cell r="A193" t="str">
            <v>Somalia</v>
          </cell>
        </row>
        <row r="194">
          <cell r="A194" t="str">
            <v>Syria</v>
          </cell>
        </row>
        <row r="195">
          <cell r="A195" t="str">
            <v>Guinea</v>
          </cell>
        </row>
        <row r="196">
          <cell r="A196" t="str">
            <v>Yemen</v>
          </cell>
        </row>
        <row r="197">
          <cell r="A197" t="str">
            <v>Sudan</v>
          </cell>
        </row>
        <row r="198">
          <cell r="A198" t="str">
            <v>Iraq</v>
          </cell>
        </row>
        <row r="199">
          <cell r="A199" t="str">
            <v>North Korea</v>
          </cell>
        </row>
        <row r="200">
          <cell r="A200" t="str">
            <v>Nauru</v>
          </cell>
        </row>
        <row r="201">
          <cell r="A201" t="str">
            <v>Kiribati</v>
          </cell>
        </row>
        <row r="202">
          <cell r="A202" t="str">
            <v>Montserrat</v>
          </cell>
        </row>
        <row r="203">
          <cell r="A203" t="str">
            <v>Marshall Islands</v>
          </cell>
        </row>
        <row r="204">
          <cell r="A204" t="str">
            <v>American Samoa</v>
          </cell>
        </row>
        <row r="205">
          <cell r="A205" t="str">
            <v>Gambia</v>
          </cell>
        </row>
        <row r="206">
          <cell r="A206" t="str">
            <v>Samoa</v>
          </cell>
        </row>
        <row r="207">
          <cell r="A207" t="str">
            <v>Northern Mariana Islands</v>
          </cell>
        </row>
        <row r="208">
          <cell r="A208" t="str">
            <v>San Marino</v>
          </cell>
        </row>
        <row r="209">
          <cell r="A209" t="str">
            <v>Turks &amp; Caicos Islands</v>
          </cell>
        </row>
        <row r="210">
          <cell r="A210" t="str">
            <v>St. Kitts &amp; Nevis</v>
          </cell>
        </row>
        <row r="211">
          <cell r="A211" t="str">
            <v>Sierra Leone</v>
          </cell>
        </row>
        <row r="212">
          <cell r="A212" t="str">
            <v>Sint Maarten</v>
          </cell>
        </row>
        <row r="213">
          <cell r="A213" t="str">
            <v>South Sudan</v>
          </cell>
        </row>
        <row r="214">
          <cell r="A214" t="str">
            <v>Liberia</v>
          </cell>
        </row>
        <row r="215">
          <cell r="A215" t="str">
            <v>Burundi</v>
          </cell>
        </row>
        <row r="216">
          <cell r="A216" t="str">
            <v>Anguilla</v>
          </cell>
        </row>
        <row r="217">
          <cell r="A217" t="str">
            <v>Antarctica</v>
          </cell>
        </row>
        <row r="218">
          <cell r="A218" t="str">
            <v>French Southern Territories</v>
          </cell>
        </row>
        <row r="219">
          <cell r="A219" t="str">
            <v>St. BarthÃ©lemy</v>
          </cell>
        </row>
        <row r="220">
          <cell r="A220" t="str">
            <v>Bouvet Island</v>
          </cell>
        </row>
        <row r="221">
          <cell r="A221" t="str">
            <v>Central African Republic</v>
          </cell>
        </row>
        <row r="222">
          <cell r="A222" t="str">
            <v>Cocos (Keeling) Islands</v>
          </cell>
        </row>
        <row r="223">
          <cell r="A223" t="str">
            <v>Cook Islands</v>
          </cell>
        </row>
        <row r="224">
          <cell r="A224" t="str">
            <v>Comoros</v>
          </cell>
        </row>
        <row r="225">
          <cell r="A225" t="str">
            <v>Christmas Island</v>
          </cell>
        </row>
        <row r="226">
          <cell r="A226" t="str">
            <v>Eritrea</v>
          </cell>
        </row>
        <row r="227">
          <cell r="A227" t="str">
            <v>Western Sahara</v>
          </cell>
        </row>
        <row r="228">
          <cell r="A228" t="str">
            <v>Falkland Islands (Islas Malvinas)</v>
          </cell>
        </row>
        <row r="229">
          <cell r="A229" t="str">
            <v>Micronesia</v>
          </cell>
        </row>
        <row r="230">
          <cell r="A230" t="str">
            <v>Guinea-Bissau</v>
          </cell>
        </row>
        <row r="231">
          <cell r="A231" t="str">
            <v>Equatorial Guinea</v>
          </cell>
        </row>
        <row r="232">
          <cell r="A232" t="str">
            <v>Greenland</v>
          </cell>
        </row>
        <row r="233">
          <cell r="A233" t="str">
            <v>Heard &amp; McDonald Islands</v>
          </cell>
        </row>
        <row r="234">
          <cell r="A234" t="str">
            <v>British Indian Ocean Territory</v>
          </cell>
        </row>
        <row r="235">
          <cell r="A235" t="str">
            <v>St. Martin</v>
          </cell>
        </row>
        <row r="236">
          <cell r="A236" t="str">
            <v>Norfolk Island</v>
          </cell>
        </row>
        <row r="237">
          <cell r="A237" t="str">
            <v>Niue</v>
          </cell>
        </row>
        <row r="238">
          <cell r="A238" t="str">
            <v>Pitcairn Islands</v>
          </cell>
        </row>
        <row r="239">
          <cell r="A239" t="str">
            <v>Palau</v>
          </cell>
        </row>
        <row r="240">
          <cell r="A240" t="str">
            <v>South Georgia &amp; South Sandwich Islands</v>
          </cell>
        </row>
        <row r="241">
          <cell r="A241" t="str">
            <v>Svalbard &amp; Jan Mayen</v>
          </cell>
        </row>
        <row r="242">
          <cell r="A242" t="str">
            <v>St. Pierre &amp; Miquelon</v>
          </cell>
        </row>
        <row r="243">
          <cell r="A243" t="str">
            <v>SÃ£o TomÃ© &amp; PrÃ­ncipe</v>
          </cell>
        </row>
        <row r="244">
          <cell r="A244" t="str">
            <v>Seychelles</v>
          </cell>
        </row>
        <row r="245">
          <cell r="A245" t="str">
            <v>Chad</v>
          </cell>
        </row>
        <row r="246">
          <cell r="A246" t="str">
            <v>Tokelau</v>
          </cell>
        </row>
        <row r="247">
          <cell r="A247" t="str">
            <v>Timor-Leste</v>
          </cell>
        </row>
        <row r="248">
          <cell r="A248" t="str">
            <v>Tonga</v>
          </cell>
        </row>
        <row r="249">
          <cell r="A249" t="str">
            <v>Tuvalu</v>
          </cell>
        </row>
        <row r="250">
          <cell r="A250" t="str">
            <v>U.S. Outlying Islands</v>
          </cell>
        </row>
        <row r="251">
          <cell r="A251" t="str">
            <v>Vatican City</v>
          </cell>
        </row>
        <row r="252">
          <cell r="A252" t="str">
            <v>British Virgin Islands</v>
          </cell>
        </row>
        <row r="253">
          <cell r="A253" t="str">
            <v>Wallis &amp; Futuna</v>
          </cell>
        </row>
      </sheetData>
    </sheetDataSet>
  </externalBook>
</externalLink>
</file>

<file path=xl/externalLinks/externalLink2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9)"/>
    </sheetNames>
    <sheetDataSet>
      <sheetData sheetId="0">
        <row r="1">
          <cell r="A1" t="str">
            <v>Kategori: TÃ¼m kategoriler</v>
          </cell>
        </row>
        <row r="3">
          <cell r="A3" t="str">
            <v>Ãœlke</v>
          </cell>
          <cell r="B3" t="str">
            <v>Ä°ÅŸlemci Ã¶nbelleÄŸi: (2016)</v>
          </cell>
          <cell r="C3" t="str">
            <v>HTTP: (2016)</v>
          </cell>
        </row>
        <row r="4">
          <cell r="A4" t="str">
            <v>China</v>
          </cell>
          <cell r="B4">
            <v>0.44</v>
          </cell>
          <cell r="C4">
            <v>0.56000000000000005</v>
          </cell>
        </row>
        <row r="5">
          <cell r="A5" t="str">
            <v>British Indian Ocean Territory</v>
          </cell>
        </row>
        <row r="6">
          <cell r="A6" t="str">
            <v>Cuba</v>
          </cell>
        </row>
        <row r="7">
          <cell r="A7" t="str">
            <v>Gibraltar</v>
          </cell>
        </row>
        <row r="8">
          <cell r="A8" t="str">
            <v>Cook Islands</v>
          </cell>
        </row>
        <row r="9">
          <cell r="A9" t="str">
            <v>Singapore</v>
          </cell>
          <cell r="B9">
            <v>0.39</v>
          </cell>
          <cell r="C9">
            <v>0.61</v>
          </cell>
        </row>
        <row r="10">
          <cell r="A10" t="str">
            <v>Ethiopia</v>
          </cell>
        </row>
        <row r="11">
          <cell r="A11" t="str">
            <v>South Korea</v>
          </cell>
          <cell r="B11">
            <v>0.36</v>
          </cell>
          <cell r="C11">
            <v>0.64</v>
          </cell>
        </row>
        <row r="12">
          <cell r="A12" t="str">
            <v>St. Helena</v>
          </cell>
        </row>
        <row r="13">
          <cell r="A13" t="str">
            <v>Belarus</v>
          </cell>
          <cell r="B13">
            <v>0.67</v>
          </cell>
          <cell r="C13">
            <v>0.33</v>
          </cell>
        </row>
        <row r="14">
          <cell r="A14" t="str">
            <v>Papua New Guinea</v>
          </cell>
        </row>
        <row r="15">
          <cell r="A15" t="str">
            <v>Russia</v>
          </cell>
          <cell r="B15">
            <v>0.7</v>
          </cell>
          <cell r="C15">
            <v>0.3</v>
          </cell>
        </row>
        <row r="16">
          <cell r="A16" t="str">
            <v>Angola</v>
          </cell>
        </row>
        <row r="17">
          <cell r="A17" t="str">
            <v>Ukraine</v>
          </cell>
          <cell r="B17">
            <v>0.64</v>
          </cell>
          <cell r="C17">
            <v>0.36</v>
          </cell>
        </row>
        <row r="18">
          <cell r="A18" t="str">
            <v>Ã…land Islands</v>
          </cell>
        </row>
        <row r="19">
          <cell r="A19" t="str">
            <v>Myanmar (Burma)</v>
          </cell>
        </row>
        <row r="20">
          <cell r="A20" t="str">
            <v>Malta</v>
          </cell>
        </row>
        <row r="21">
          <cell r="A21" t="str">
            <v>Turkmenistan</v>
          </cell>
        </row>
        <row r="22">
          <cell r="A22" t="str">
            <v>Botswana</v>
          </cell>
        </row>
        <row r="23">
          <cell r="A23" t="str">
            <v>Isle of Man</v>
          </cell>
        </row>
        <row r="24">
          <cell r="A24" t="str">
            <v>Kazakhstan</v>
          </cell>
          <cell r="B24">
            <v>0.77</v>
          </cell>
          <cell r="C24">
            <v>0.23</v>
          </cell>
        </row>
        <row r="25">
          <cell r="A25" t="str">
            <v>Seychelles</v>
          </cell>
        </row>
        <row r="26">
          <cell r="A26" t="str">
            <v>Madagascar</v>
          </cell>
        </row>
        <row r="27">
          <cell r="A27" t="str">
            <v>Iceland</v>
          </cell>
        </row>
        <row r="28">
          <cell r="A28" t="str">
            <v>Lesotho</v>
          </cell>
        </row>
        <row r="29">
          <cell r="A29" t="str">
            <v>Hong Kong</v>
          </cell>
          <cell r="B29">
            <v>0.5</v>
          </cell>
          <cell r="C29">
            <v>0.5</v>
          </cell>
        </row>
        <row r="30">
          <cell r="A30" t="str">
            <v>Estonia</v>
          </cell>
        </row>
        <row r="31">
          <cell r="A31" t="str">
            <v>Guernsey</v>
          </cell>
        </row>
        <row r="32">
          <cell r="A32" t="str">
            <v>Nepal</v>
          </cell>
        </row>
        <row r="33">
          <cell r="A33" t="str">
            <v>Chad</v>
          </cell>
        </row>
        <row r="34">
          <cell r="A34" t="str">
            <v>Japan</v>
          </cell>
          <cell r="B34">
            <v>0.59</v>
          </cell>
          <cell r="C34">
            <v>0.41</v>
          </cell>
        </row>
        <row r="35">
          <cell r="A35" t="str">
            <v>Monaco</v>
          </cell>
        </row>
        <row r="36">
          <cell r="A36" t="str">
            <v>Israel</v>
          </cell>
          <cell r="B36">
            <v>0.41</v>
          </cell>
          <cell r="C36">
            <v>0.59</v>
          </cell>
        </row>
        <row r="37">
          <cell r="A37" t="str">
            <v>Ireland</v>
          </cell>
          <cell r="B37">
            <v>0.62</v>
          </cell>
          <cell r="C37">
            <v>0.38</v>
          </cell>
        </row>
        <row r="38">
          <cell r="A38" t="str">
            <v>Luxembourg</v>
          </cell>
        </row>
        <row r="39">
          <cell r="A39" t="str">
            <v>Uzbekistan</v>
          </cell>
        </row>
        <row r="40">
          <cell r="A40" t="str">
            <v>New Zealand</v>
          </cell>
          <cell r="B40">
            <v>0.62</v>
          </cell>
          <cell r="C40">
            <v>0.38</v>
          </cell>
        </row>
        <row r="41">
          <cell r="A41" t="str">
            <v>Mozambique</v>
          </cell>
        </row>
        <row r="42">
          <cell r="A42" t="str">
            <v>Latvia</v>
          </cell>
        </row>
        <row r="43">
          <cell r="A43" t="str">
            <v>Canada</v>
          </cell>
          <cell r="B43">
            <v>0.63</v>
          </cell>
          <cell r="C43">
            <v>0.37</v>
          </cell>
        </row>
        <row r="44">
          <cell r="A44" t="str">
            <v>Moldova</v>
          </cell>
        </row>
        <row r="45">
          <cell r="A45" t="str">
            <v>India</v>
          </cell>
          <cell r="B45">
            <v>0.43</v>
          </cell>
          <cell r="C45">
            <v>0.56999999999999995</v>
          </cell>
        </row>
        <row r="46">
          <cell r="A46" t="str">
            <v>Indonesia</v>
          </cell>
          <cell r="B46">
            <v>0.28000000000000003</v>
          </cell>
          <cell r="C46">
            <v>0.72</v>
          </cell>
        </row>
        <row r="47">
          <cell r="A47" t="str">
            <v>Solomon Islands</v>
          </cell>
        </row>
        <row r="48">
          <cell r="A48" t="str">
            <v>Philippines</v>
          </cell>
          <cell r="B48">
            <v>0.49</v>
          </cell>
          <cell r="C48">
            <v>0.51</v>
          </cell>
        </row>
        <row r="49">
          <cell r="A49" t="str">
            <v>Barbados</v>
          </cell>
        </row>
        <row r="50">
          <cell r="A50" t="str">
            <v>Jersey</v>
          </cell>
        </row>
        <row r="51">
          <cell r="A51" t="str">
            <v>Finland</v>
          </cell>
          <cell r="B51">
            <v>0.56999999999999995</v>
          </cell>
          <cell r="C51">
            <v>0.43</v>
          </cell>
        </row>
        <row r="52">
          <cell r="A52" t="str">
            <v>Germany</v>
          </cell>
          <cell r="B52">
            <v>0.5</v>
          </cell>
          <cell r="C52">
            <v>0.5</v>
          </cell>
        </row>
        <row r="53">
          <cell r="A53" t="str">
            <v>CuraÃ§ao</v>
          </cell>
        </row>
        <row r="54">
          <cell r="A54" t="str">
            <v>Netherlands</v>
          </cell>
          <cell r="B54">
            <v>0.6</v>
          </cell>
          <cell r="C54">
            <v>0.4</v>
          </cell>
        </row>
        <row r="55">
          <cell r="A55" t="str">
            <v>Australia</v>
          </cell>
          <cell r="B55">
            <v>0.64</v>
          </cell>
          <cell r="C55">
            <v>0.36</v>
          </cell>
        </row>
        <row r="56">
          <cell r="A56" t="str">
            <v>Andorra</v>
          </cell>
        </row>
        <row r="57">
          <cell r="A57" t="str">
            <v>Jamaica</v>
          </cell>
        </row>
        <row r="58">
          <cell r="A58" t="str">
            <v>Liechtenstein</v>
          </cell>
        </row>
        <row r="59">
          <cell r="A59" t="str">
            <v>United Kingdom</v>
          </cell>
          <cell r="B59">
            <v>0.66</v>
          </cell>
          <cell r="C59">
            <v>0.34</v>
          </cell>
        </row>
        <row r="60">
          <cell r="A60" t="str">
            <v>Kyrgyzstan</v>
          </cell>
        </row>
        <row r="61">
          <cell r="A61" t="str">
            <v>Switzerland</v>
          </cell>
          <cell r="B61">
            <v>0.5</v>
          </cell>
          <cell r="C61">
            <v>0.5</v>
          </cell>
        </row>
        <row r="62">
          <cell r="A62" t="str">
            <v>Timor-Leste</v>
          </cell>
        </row>
        <row r="63">
          <cell r="A63" t="str">
            <v>Bermuda</v>
          </cell>
        </row>
        <row r="64">
          <cell r="A64" t="str">
            <v>United States</v>
          </cell>
          <cell r="B64">
            <v>0.63</v>
          </cell>
          <cell r="C64">
            <v>0.37</v>
          </cell>
        </row>
        <row r="65">
          <cell r="A65" t="str">
            <v>Sweden</v>
          </cell>
          <cell r="B65">
            <v>0.6</v>
          </cell>
          <cell r="C65">
            <v>0.4</v>
          </cell>
        </row>
        <row r="66">
          <cell r="A66" t="str">
            <v>Burundi</v>
          </cell>
        </row>
        <row r="67">
          <cell r="A67" t="str">
            <v>Cape Verde</v>
          </cell>
        </row>
        <row r="68">
          <cell r="A68" t="str">
            <v>Nicaragua</v>
          </cell>
        </row>
        <row r="69">
          <cell r="A69" t="str">
            <v>Mauritius</v>
          </cell>
        </row>
        <row r="70">
          <cell r="A70" t="str">
            <v>Trinidad &amp; Tobago</v>
          </cell>
        </row>
        <row r="71">
          <cell r="A71" t="str">
            <v>Macao</v>
          </cell>
        </row>
        <row r="72">
          <cell r="A72" t="str">
            <v>Austria</v>
          </cell>
          <cell r="B72">
            <v>0.5</v>
          </cell>
          <cell r="C72">
            <v>0.5</v>
          </cell>
        </row>
        <row r="73">
          <cell r="A73" t="str">
            <v>Tajikistan</v>
          </cell>
        </row>
        <row r="74">
          <cell r="A74" t="str">
            <v>Dominica</v>
          </cell>
        </row>
        <row r="75">
          <cell r="A75" t="str">
            <v>Czechia</v>
          </cell>
          <cell r="B75">
            <v>0.53</v>
          </cell>
          <cell r="C75">
            <v>0.47</v>
          </cell>
        </row>
        <row r="76">
          <cell r="A76" t="str">
            <v>Cayman Islands</v>
          </cell>
        </row>
        <row r="77">
          <cell r="A77" t="str">
            <v>Belize</v>
          </cell>
        </row>
        <row r="78">
          <cell r="A78" t="str">
            <v>Maldives</v>
          </cell>
        </row>
        <row r="79">
          <cell r="A79" t="str">
            <v>Antigua &amp; Barbuda</v>
          </cell>
        </row>
        <row r="80">
          <cell r="A80" t="str">
            <v>El Salvador</v>
          </cell>
        </row>
        <row r="81">
          <cell r="A81" t="str">
            <v>Portugal</v>
          </cell>
          <cell r="B81">
            <v>0.56000000000000005</v>
          </cell>
          <cell r="C81">
            <v>0.44</v>
          </cell>
        </row>
        <row r="82">
          <cell r="A82" t="str">
            <v>Sri Lanka</v>
          </cell>
          <cell r="B82">
            <v>0.42</v>
          </cell>
          <cell r="C82">
            <v>0.57999999999999996</v>
          </cell>
        </row>
        <row r="83">
          <cell r="A83" t="str">
            <v>Togo</v>
          </cell>
        </row>
        <row r="84">
          <cell r="A84" t="str">
            <v>Taiwan</v>
          </cell>
          <cell r="B84">
            <v>0.48</v>
          </cell>
          <cell r="C84">
            <v>0.52</v>
          </cell>
        </row>
        <row r="85">
          <cell r="A85" t="str">
            <v>Belgium</v>
          </cell>
          <cell r="B85">
            <v>0.61</v>
          </cell>
          <cell r="C85">
            <v>0.39</v>
          </cell>
        </row>
        <row r="86">
          <cell r="A86" t="str">
            <v>St. Vincent &amp; Grenadines</v>
          </cell>
        </row>
        <row r="87">
          <cell r="A87" t="str">
            <v>Bulgaria</v>
          </cell>
          <cell r="B87">
            <v>0.59</v>
          </cell>
          <cell r="C87">
            <v>0.41</v>
          </cell>
        </row>
        <row r="88">
          <cell r="A88" t="str">
            <v>Zimbabwe</v>
          </cell>
        </row>
        <row r="89">
          <cell r="A89" t="str">
            <v>Cyprus</v>
          </cell>
        </row>
        <row r="90">
          <cell r="A90" t="str">
            <v>Malaysia</v>
          </cell>
          <cell r="B90">
            <v>0.42</v>
          </cell>
          <cell r="C90">
            <v>0.57999999999999996</v>
          </cell>
        </row>
        <row r="91">
          <cell r="A91" t="str">
            <v>North Macedonia</v>
          </cell>
        </row>
        <row r="92">
          <cell r="A92" t="str">
            <v>Vanuatu</v>
          </cell>
        </row>
        <row r="93">
          <cell r="A93" t="str">
            <v>Norway</v>
          </cell>
          <cell r="B93">
            <v>0.56000000000000005</v>
          </cell>
          <cell r="C93">
            <v>0.44</v>
          </cell>
        </row>
        <row r="94">
          <cell r="A94" t="str">
            <v>Slovenia</v>
          </cell>
        </row>
        <row r="95">
          <cell r="A95" t="str">
            <v>Liberia</v>
          </cell>
        </row>
        <row r="96">
          <cell r="A96" t="str">
            <v>Bhutan</v>
          </cell>
        </row>
        <row r="97">
          <cell r="A97" t="str">
            <v>Denmark</v>
          </cell>
          <cell r="B97">
            <v>0.54</v>
          </cell>
          <cell r="C97">
            <v>0.46</v>
          </cell>
        </row>
        <row r="98">
          <cell r="A98" t="str">
            <v>Cameroon</v>
          </cell>
        </row>
        <row r="99">
          <cell r="A99" t="str">
            <v>Tunisia</v>
          </cell>
          <cell r="B99">
            <v>0.54</v>
          </cell>
          <cell r="C99">
            <v>0.46</v>
          </cell>
        </row>
        <row r="100">
          <cell r="A100" t="str">
            <v>Armenia</v>
          </cell>
        </row>
        <row r="101">
          <cell r="A101" t="str">
            <v>Somalia</v>
          </cell>
        </row>
        <row r="102">
          <cell r="A102" t="str">
            <v>Spain</v>
          </cell>
          <cell r="B102">
            <v>0.59</v>
          </cell>
          <cell r="C102">
            <v>0.41</v>
          </cell>
        </row>
        <row r="103">
          <cell r="A103" t="str">
            <v>Guyana</v>
          </cell>
        </row>
        <row r="104">
          <cell r="A104" t="str">
            <v>French Polynesia</v>
          </cell>
        </row>
        <row r="105">
          <cell r="A105" t="str">
            <v>Lithuania</v>
          </cell>
        </row>
        <row r="106">
          <cell r="A106" t="str">
            <v>Namibia</v>
          </cell>
        </row>
        <row r="107">
          <cell r="A107" t="str">
            <v>Haiti</v>
          </cell>
        </row>
        <row r="108">
          <cell r="A108" t="str">
            <v>Brunei</v>
          </cell>
        </row>
        <row r="109">
          <cell r="A109" t="str">
            <v>Romania</v>
          </cell>
          <cell r="B109">
            <v>0.52</v>
          </cell>
          <cell r="C109">
            <v>0.48</v>
          </cell>
        </row>
        <row r="110">
          <cell r="A110" t="str">
            <v>Faroe Islands</v>
          </cell>
        </row>
        <row r="111">
          <cell r="A111" t="str">
            <v>Benin</v>
          </cell>
        </row>
        <row r="112">
          <cell r="A112" t="str">
            <v>Senegal</v>
          </cell>
        </row>
        <row r="113">
          <cell r="A113" t="str">
            <v>Guam</v>
          </cell>
        </row>
        <row r="114">
          <cell r="A114" t="str">
            <v>Bangladesh</v>
          </cell>
          <cell r="B114">
            <v>0.39</v>
          </cell>
          <cell r="C114">
            <v>0.61</v>
          </cell>
        </row>
        <row r="115">
          <cell r="A115" t="str">
            <v>Mali</v>
          </cell>
        </row>
        <row r="116">
          <cell r="A116" t="str">
            <v>Rwanda</v>
          </cell>
        </row>
        <row r="117">
          <cell r="A117" t="str">
            <v>New Caledonia</v>
          </cell>
        </row>
        <row r="118">
          <cell r="A118" t="str">
            <v>Burkina Faso</v>
          </cell>
        </row>
        <row r="119">
          <cell r="A119" t="str">
            <v>CÃ´te dâ€™Ivoire</v>
          </cell>
        </row>
        <row r="120">
          <cell r="A120" t="str">
            <v>Eswatini</v>
          </cell>
        </row>
        <row r="121">
          <cell r="A121" t="str">
            <v>Bahamas</v>
          </cell>
        </row>
        <row r="122">
          <cell r="A122" t="str">
            <v>U.S. Virgin Islands</v>
          </cell>
        </row>
        <row r="123">
          <cell r="A123" t="str">
            <v>Tanzania</v>
          </cell>
        </row>
        <row r="124">
          <cell r="A124" t="str">
            <v>Sierra Leone</v>
          </cell>
        </row>
        <row r="125">
          <cell r="A125" t="str">
            <v>Laos</v>
          </cell>
        </row>
        <row r="126">
          <cell r="A126" t="str">
            <v>Ghana</v>
          </cell>
        </row>
        <row r="127">
          <cell r="A127" t="str">
            <v>France</v>
          </cell>
          <cell r="B127">
            <v>0.56000000000000005</v>
          </cell>
          <cell r="C127">
            <v>0.44</v>
          </cell>
        </row>
        <row r="128">
          <cell r="A128" t="str">
            <v>Lebanon</v>
          </cell>
        </row>
        <row r="129">
          <cell r="A129" t="str">
            <v>South Africa</v>
          </cell>
          <cell r="B129">
            <v>0.52</v>
          </cell>
          <cell r="C129">
            <v>0.48</v>
          </cell>
        </row>
        <row r="130">
          <cell r="A130" t="str">
            <v>Grenada</v>
          </cell>
        </row>
        <row r="131">
          <cell r="A131" t="str">
            <v>Croatia</v>
          </cell>
          <cell r="B131">
            <v>0.56999999999999995</v>
          </cell>
          <cell r="C131">
            <v>0.43</v>
          </cell>
        </row>
        <row r="132">
          <cell r="A132" t="str">
            <v>United Arab Emirates</v>
          </cell>
          <cell r="B132">
            <v>0.55000000000000004</v>
          </cell>
          <cell r="C132">
            <v>0.45</v>
          </cell>
        </row>
        <row r="133">
          <cell r="A133" t="str">
            <v>Thailand</v>
          </cell>
          <cell r="B133">
            <v>0.73</v>
          </cell>
          <cell r="C133">
            <v>0.27</v>
          </cell>
        </row>
        <row r="134">
          <cell r="A134" t="str">
            <v>Brazil</v>
          </cell>
          <cell r="B134">
            <v>0.51</v>
          </cell>
          <cell r="C134">
            <v>0.49</v>
          </cell>
        </row>
        <row r="135">
          <cell r="A135" t="str">
            <v>Slovakia</v>
          </cell>
          <cell r="B135">
            <v>0.49</v>
          </cell>
          <cell r="C135">
            <v>0.51</v>
          </cell>
        </row>
        <row r="136">
          <cell r="A136" t="str">
            <v>Italy</v>
          </cell>
          <cell r="B136">
            <v>0.63</v>
          </cell>
          <cell r="C136">
            <v>0.37</v>
          </cell>
        </row>
        <row r="137">
          <cell r="A137" t="str">
            <v>St. Lucia</v>
          </cell>
        </row>
        <row r="138">
          <cell r="A138" t="str">
            <v>Peru</v>
          </cell>
          <cell r="B138">
            <v>0.59</v>
          </cell>
          <cell r="C138">
            <v>0.41</v>
          </cell>
        </row>
        <row r="139">
          <cell r="A139" t="str">
            <v>Caribbean Netherlands</v>
          </cell>
        </row>
        <row r="140">
          <cell r="A140" t="str">
            <v>Hungary</v>
          </cell>
          <cell r="B140">
            <v>0.5</v>
          </cell>
          <cell r="C140">
            <v>0.5</v>
          </cell>
        </row>
        <row r="141">
          <cell r="A141" t="str">
            <v>Pakistan</v>
          </cell>
          <cell r="B141">
            <v>0.52</v>
          </cell>
          <cell r="C141">
            <v>0.48</v>
          </cell>
        </row>
        <row r="142">
          <cell r="A142" t="str">
            <v>Nigeria</v>
          </cell>
          <cell r="B142">
            <v>0.4</v>
          </cell>
          <cell r="C142">
            <v>0.6</v>
          </cell>
        </row>
        <row r="143">
          <cell r="A143" t="str">
            <v>Fiji</v>
          </cell>
        </row>
        <row r="144">
          <cell r="A144" t="str">
            <v>Costa Rica</v>
          </cell>
        </row>
        <row r="145">
          <cell r="A145" t="str">
            <v>RÃ©union</v>
          </cell>
        </row>
        <row r="146">
          <cell r="A146" t="str">
            <v>Uganda</v>
          </cell>
        </row>
        <row r="147">
          <cell r="A147" t="str">
            <v>Poland</v>
          </cell>
          <cell r="B147">
            <v>0.52</v>
          </cell>
          <cell r="C147">
            <v>0.48</v>
          </cell>
        </row>
        <row r="148">
          <cell r="A148" t="str">
            <v>Guatemala</v>
          </cell>
        </row>
        <row r="149">
          <cell r="A149" t="str">
            <v>Bosnia &amp; Herzegovina</v>
          </cell>
        </row>
        <row r="150">
          <cell r="A150" t="str">
            <v>Ecuador</v>
          </cell>
          <cell r="B150">
            <v>0.42</v>
          </cell>
          <cell r="C150">
            <v>0.57999999999999996</v>
          </cell>
        </row>
        <row r="151">
          <cell r="A151" t="str">
            <v>Colombia</v>
          </cell>
          <cell r="B151">
            <v>0.46</v>
          </cell>
          <cell r="C151">
            <v>0.54</v>
          </cell>
        </row>
        <row r="152">
          <cell r="A152" t="str">
            <v>Kenya</v>
          </cell>
          <cell r="B152">
            <v>0.49</v>
          </cell>
          <cell r="C152">
            <v>0.51</v>
          </cell>
        </row>
        <row r="153">
          <cell r="A153" t="str">
            <v>Mongolia</v>
          </cell>
        </row>
        <row r="154">
          <cell r="A154" t="str">
            <v>Serbia</v>
          </cell>
          <cell r="B154">
            <v>0.51</v>
          </cell>
          <cell r="C154">
            <v>0.49</v>
          </cell>
        </row>
        <row r="155">
          <cell r="A155" t="str">
            <v>Zambia</v>
          </cell>
        </row>
        <row r="156">
          <cell r="A156" t="str">
            <v>Uruguay</v>
          </cell>
        </row>
        <row r="157">
          <cell r="A157" t="str">
            <v>Mexico</v>
          </cell>
          <cell r="B157">
            <v>0.47</v>
          </cell>
          <cell r="C157">
            <v>0.53</v>
          </cell>
        </row>
        <row r="158">
          <cell r="A158" t="str">
            <v>Greece</v>
          </cell>
          <cell r="B158">
            <v>0.67</v>
          </cell>
          <cell r="C158">
            <v>0.33</v>
          </cell>
        </row>
        <row r="159">
          <cell r="A159" t="str">
            <v>Honduras</v>
          </cell>
        </row>
        <row r="160">
          <cell r="A160" t="str">
            <v>Afghanistan</v>
          </cell>
        </row>
        <row r="161">
          <cell r="A161" t="str">
            <v>Aruba</v>
          </cell>
        </row>
        <row r="162">
          <cell r="A162" t="str">
            <v>Cambodia</v>
          </cell>
        </row>
        <row r="163">
          <cell r="A163" t="str">
            <v>Malawi</v>
          </cell>
        </row>
        <row r="164">
          <cell r="A164" t="str">
            <v>Panama</v>
          </cell>
        </row>
        <row r="165">
          <cell r="A165" t="str">
            <v>Argentina</v>
          </cell>
          <cell r="B165">
            <v>0.6</v>
          </cell>
          <cell r="C165">
            <v>0.4</v>
          </cell>
        </row>
        <row r="166">
          <cell r="A166" t="str">
            <v>Niger</v>
          </cell>
        </row>
        <row r="167">
          <cell r="A167" t="str">
            <v>Congo - Kinshasa</v>
          </cell>
        </row>
        <row r="168">
          <cell r="A168" t="str">
            <v>Puerto Rico</v>
          </cell>
        </row>
        <row r="169">
          <cell r="A169" t="str">
            <v>Bolivia</v>
          </cell>
        </row>
        <row r="170">
          <cell r="A170" t="str">
            <v>Gabon</v>
          </cell>
        </row>
        <row r="171">
          <cell r="A171" t="str">
            <v>Congo - Brazzaville</v>
          </cell>
        </row>
        <row r="172">
          <cell r="A172" t="str">
            <v>Dominican Republic</v>
          </cell>
        </row>
        <row r="173">
          <cell r="A173" t="str">
            <v>Qatar</v>
          </cell>
        </row>
        <row r="174">
          <cell r="A174" t="str">
            <v>Martinique</v>
          </cell>
        </row>
        <row r="175">
          <cell r="A175" t="str">
            <v>Guinea</v>
          </cell>
        </row>
        <row r="176">
          <cell r="A176" t="str">
            <v>Georgia</v>
          </cell>
        </row>
        <row r="177">
          <cell r="A177" t="str">
            <v>Guadeloupe</v>
          </cell>
        </row>
        <row r="178">
          <cell r="A178" t="str">
            <v>Albania</v>
          </cell>
        </row>
        <row r="179">
          <cell r="A179" t="str">
            <v>Iran</v>
          </cell>
          <cell r="B179">
            <v>0.44</v>
          </cell>
          <cell r="C179">
            <v>0.56000000000000005</v>
          </cell>
        </row>
        <row r="180">
          <cell r="A180" t="str">
            <v>Chile</v>
          </cell>
          <cell r="B180">
            <v>0.56999999999999995</v>
          </cell>
          <cell r="C180">
            <v>0.43</v>
          </cell>
        </row>
        <row r="181">
          <cell r="A181" t="str">
            <v>Gambia</v>
          </cell>
        </row>
        <row r="182">
          <cell r="A182" t="str">
            <v>Oman</v>
          </cell>
        </row>
        <row r="183">
          <cell r="A183" t="str">
            <v>Bahrain</v>
          </cell>
        </row>
        <row r="184">
          <cell r="A184" t="str">
            <v>Djibouti</v>
          </cell>
        </row>
        <row r="185">
          <cell r="A185" t="str">
            <v>Suriname</v>
          </cell>
        </row>
        <row r="186">
          <cell r="A186" t="str">
            <v>Venezuela</v>
          </cell>
          <cell r="B186">
            <v>0.56000000000000005</v>
          </cell>
          <cell r="C186">
            <v>0.44</v>
          </cell>
        </row>
        <row r="187">
          <cell r="A187" t="str">
            <v>French Guiana</v>
          </cell>
        </row>
        <row r="188">
          <cell r="A188" t="str">
            <v>Paraguay</v>
          </cell>
        </row>
        <row r="189">
          <cell r="A189" t="str">
            <v>Morocco</v>
          </cell>
          <cell r="B189">
            <v>0.5</v>
          </cell>
          <cell r="C189">
            <v>0.5</v>
          </cell>
        </row>
        <row r="190">
          <cell r="A190" t="str">
            <v>Montenegro</v>
          </cell>
        </row>
        <row r="191">
          <cell r="A191" t="str">
            <v>Kosovo</v>
          </cell>
        </row>
        <row r="192">
          <cell r="A192" t="str">
            <v>Mayotte</v>
          </cell>
        </row>
        <row r="193">
          <cell r="A193" t="str">
            <v>Vietnam</v>
          </cell>
          <cell r="B193">
            <v>0.56000000000000005</v>
          </cell>
          <cell r="C193">
            <v>0.44</v>
          </cell>
        </row>
        <row r="194">
          <cell r="A194" t="str">
            <v>Mauritania</v>
          </cell>
        </row>
        <row r="195">
          <cell r="A195" t="str">
            <v>Algeria</v>
          </cell>
          <cell r="B195">
            <v>0.48</v>
          </cell>
          <cell r="C195">
            <v>0.52</v>
          </cell>
        </row>
        <row r="196">
          <cell r="A196" t="str">
            <v>Kuwait</v>
          </cell>
        </row>
        <row r="197">
          <cell r="A197" t="str">
            <v>Jordan</v>
          </cell>
        </row>
        <row r="198">
          <cell r="A198" t="str">
            <v>Sudan</v>
          </cell>
        </row>
        <row r="199">
          <cell r="A199" t="str">
            <v>Azerbaijan</v>
          </cell>
        </row>
        <row r="200">
          <cell r="A200" t="str">
            <v>Saudi Arabia</v>
          </cell>
          <cell r="B200">
            <v>0.36</v>
          </cell>
          <cell r="C200">
            <v>0.64</v>
          </cell>
        </row>
        <row r="201">
          <cell r="A201" t="str">
            <v>Yemen</v>
          </cell>
        </row>
        <row r="202">
          <cell r="A202" t="str">
            <v>Egypt</v>
          </cell>
          <cell r="B202">
            <v>0.45</v>
          </cell>
          <cell r="C202">
            <v>0.55000000000000004</v>
          </cell>
        </row>
        <row r="203">
          <cell r="A203" t="str">
            <v>Iraq</v>
          </cell>
        </row>
        <row r="204">
          <cell r="A204" t="str">
            <v>South Sudan</v>
          </cell>
        </row>
        <row r="205">
          <cell r="A205" t="str">
            <v>Libya</v>
          </cell>
        </row>
        <row r="206">
          <cell r="A206" t="str">
            <v>Syria</v>
          </cell>
        </row>
        <row r="207">
          <cell r="A207" t="str">
            <v>Palestine</v>
          </cell>
        </row>
        <row r="208">
          <cell r="A208" t="str">
            <v>Turkey</v>
          </cell>
          <cell r="B208">
            <v>0.49</v>
          </cell>
          <cell r="C208">
            <v>0.51</v>
          </cell>
        </row>
        <row r="209">
          <cell r="A209" t="str">
            <v>North Korea</v>
          </cell>
        </row>
        <row r="210">
          <cell r="A210" t="str">
            <v>Christmas Island</v>
          </cell>
        </row>
        <row r="211">
          <cell r="A211" t="str">
            <v>Falkland Islands (Islas Malvinas)</v>
          </cell>
        </row>
        <row r="212">
          <cell r="A212" t="str">
            <v>Palau</v>
          </cell>
        </row>
        <row r="213">
          <cell r="A213" t="str">
            <v>Eritrea</v>
          </cell>
        </row>
        <row r="214">
          <cell r="A214" t="str">
            <v>St. Pierre &amp; Miquelon</v>
          </cell>
        </row>
        <row r="215">
          <cell r="A215" t="str">
            <v>Samoa</v>
          </cell>
        </row>
        <row r="216">
          <cell r="A216" t="str">
            <v>San Marino</v>
          </cell>
        </row>
        <row r="217">
          <cell r="A217" t="str">
            <v>SÃ£o TomÃ© &amp; PrÃ­ncipe</v>
          </cell>
        </row>
        <row r="218">
          <cell r="A218" t="str">
            <v>St. Kitts &amp; Nevis</v>
          </cell>
        </row>
        <row r="219">
          <cell r="A219" t="str">
            <v>Anguilla</v>
          </cell>
        </row>
        <row r="220">
          <cell r="A220" t="str">
            <v>Central African Republic</v>
          </cell>
        </row>
        <row r="221">
          <cell r="A221" t="str">
            <v>Equatorial Guinea</v>
          </cell>
        </row>
        <row r="222">
          <cell r="A222" t="str">
            <v>Comoros</v>
          </cell>
        </row>
        <row r="223">
          <cell r="A223" t="str">
            <v>Micronesia</v>
          </cell>
        </row>
        <row r="224">
          <cell r="A224" t="str">
            <v>Turks &amp; Caicos Islands</v>
          </cell>
        </row>
        <row r="225">
          <cell r="A225" t="str">
            <v>Greenland</v>
          </cell>
        </row>
        <row r="226">
          <cell r="A226" t="str">
            <v>Northern Mariana Islands</v>
          </cell>
        </row>
        <row r="227">
          <cell r="A227" t="str">
            <v>British Virgin Islands</v>
          </cell>
        </row>
        <row r="228">
          <cell r="A228" t="str">
            <v>St. Martin</v>
          </cell>
        </row>
        <row r="229">
          <cell r="A229" t="str">
            <v>Tonga</v>
          </cell>
        </row>
        <row r="230">
          <cell r="A230" t="str">
            <v>Sint Maarten</v>
          </cell>
        </row>
        <row r="231">
          <cell r="A231" t="str">
            <v>Guinea-Bissau</v>
          </cell>
        </row>
        <row r="232">
          <cell r="A232" t="str">
            <v>St. BarthÃ©lemy</v>
          </cell>
        </row>
        <row r="233">
          <cell r="A233" t="str">
            <v>American Samoa</v>
          </cell>
        </row>
        <row r="234">
          <cell r="A234" t="str">
            <v>Western Sahara</v>
          </cell>
        </row>
        <row r="235">
          <cell r="A235" t="str">
            <v>Antarctica</v>
          </cell>
        </row>
        <row r="236">
          <cell r="A236" t="str">
            <v>French Southern Territories</v>
          </cell>
        </row>
        <row r="237">
          <cell r="A237" t="str">
            <v>Bouvet Island</v>
          </cell>
        </row>
        <row r="238">
          <cell r="A238" t="str">
            <v>Cocos (Keeling) Islands</v>
          </cell>
        </row>
        <row r="239">
          <cell r="A239" t="str">
            <v>Heard &amp; McDonald Islands</v>
          </cell>
        </row>
        <row r="240">
          <cell r="A240" t="str">
            <v>Kiribati</v>
          </cell>
        </row>
        <row r="241">
          <cell r="A241" t="str">
            <v>Marshall Islands</v>
          </cell>
        </row>
        <row r="242">
          <cell r="A242" t="str">
            <v>Montserrat</v>
          </cell>
        </row>
        <row r="243">
          <cell r="A243" t="str">
            <v>Norfolk Island</v>
          </cell>
        </row>
        <row r="244">
          <cell r="A244" t="str">
            <v>Niue</v>
          </cell>
        </row>
        <row r="245">
          <cell r="A245" t="str">
            <v>Nauru</v>
          </cell>
        </row>
        <row r="246">
          <cell r="A246" t="str">
            <v>Pitcairn Islands</v>
          </cell>
        </row>
        <row r="247">
          <cell r="A247" t="str">
            <v>South Georgia &amp; South Sandwich Islands</v>
          </cell>
        </row>
        <row r="248">
          <cell r="A248" t="str">
            <v>Svalbard &amp; Jan Mayen</v>
          </cell>
        </row>
        <row r="249">
          <cell r="A249" t="str">
            <v>Tokelau</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2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0)"/>
    </sheetNames>
    <sheetDataSet>
      <sheetData sheetId="0">
        <row r="1">
          <cell r="A1" t="str">
            <v>Kategori: TÃ¼m kategoriler</v>
          </cell>
        </row>
        <row r="3">
          <cell r="A3" t="str">
            <v>Ãœlke</v>
          </cell>
          <cell r="B3" t="str">
            <v>HTTP: (2016)</v>
          </cell>
          <cell r="C3" t="str">
            <v>For dÃ¶ngÃ¼sÃ¼: (2016)</v>
          </cell>
        </row>
        <row r="4">
          <cell r="A4" t="str">
            <v>China</v>
          </cell>
          <cell r="B4">
            <v>0.85</v>
          </cell>
          <cell r="C4">
            <v>0.15</v>
          </cell>
        </row>
        <row r="5">
          <cell r="A5" t="str">
            <v>British Indian Ocean Territory</v>
          </cell>
        </row>
        <row r="6">
          <cell r="A6" t="str">
            <v>Cuba</v>
          </cell>
        </row>
        <row r="7">
          <cell r="A7" t="str">
            <v>Singapore</v>
          </cell>
          <cell r="B7">
            <v>0.74</v>
          </cell>
          <cell r="C7">
            <v>0.26</v>
          </cell>
        </row>
        <row r="8">
          <cell r="A8" t="str">
            <v>Ethiopia</v>
          </cell>
        </row>
        <row r="9">
          <cell r="A9" t="str">
            <v>South Korea</v>
          </cell>
          <cell r="B9">
            <v>0.61</v>
          </cell>
          <cell r="C9">
            <v>0.39</v>
          </cell>
        </row>
        <row r="10">
          <cell r="A10" t="str">
            <v>St. Helena</v>
          </cell>
        </row>
        <row r="11">
          <cell r="A11" t="str">
            <v>Papua New Guinea</v>
          </cell>
        </row>
        <row r="12">
          <cell r="A12" t="str">
            <v>Myanmar (Burma)</v>
          </cell>
        </row>
        <row r="13">
          <cell r="A13" t="str">
            <v>Botswana</v>
          </cell>
        </row>
        <row r="14">
          <cell r="A14" t="str">
            <v>Angola</v>
          </cell>
        </row>
        <row r="15">
          <cell r="A15" t="str">
            <v>Iceland</v>
          </cell>
        </row>
        <row r="16">
          <cell r="A16" t="str">
            <v>Hong Kong</v>
          </cell>
          <cell r="B16">
            <v>0.62</v>
          </cell>
          <cell r="C16">
            <v>0.38</v>
          </cell>
        </row>
        <row r="17">
          <cell r="A17" t="str">
            <v>Seychelles</v>
          </cell>
        </row>
        <row r="18">
          <cell r="A18" t="str">
            <v>Nepal</v>
          </cell>
          <cell r="B18">
            <v>0.67</v>
          </cell>
          <cell r="C18">
            <v>0.33</v>
          </cell>
        </row>
        <row r="19">
          <cell r="A19" t="str">
            <v>Chad</v>
          </cell>
        </row>
        <row r="20">
          <cell r="A20" t="str">
            <v>Ã…land Islands</v>
          </cell>
        </row>
        <row r="21">
          <cell r="A21" t="str">
            <v>Luxembourg</v>
          </cell>
        </row>
        <row r="22">
          <cell r="A22" t="str">
            <v>Israel</v>
          </cell>
          <cell r="B22">
            <v>0.69</v>
          </cell>
          <cell r="C22">
            <v>0.31</v>
          </cell>
        </row>
        <row r="23">
          <cell r="A23" t="str">
            <v>Mozambique</v>
          </cell>
        </row>
        <row r="24">
          <cell r="A24" t="str">
            <v>Solomon Islands</v>
          </cell>
        </row>
        <row r="25">
          <cell r="A25" t="str">
            <v>Cape Verde</v>
          </cell>
        </row>
        <row r="26">
          <cell r="A26" t="str">
            <v>Cook Islands</v>
          </cell>
        </row>
        <row r="27">
          <cell r="A27" t="str">
            <v>India</v>
          </cell>
          <cell r="B27">
            <v>0.59</v>
          </cell>
          <cell r="C27">
            <v>0.41</v>
          </cell>
        </row>
        <row r="28">
          <cell r="A28" t="str">
            <v>Timor-Leste</v>
          </cell>
        </row>
        <row r="29">
          <cell r="A29" t="str">
            <v>Indonesia</v>
          </cell>
          <cell r="B29">
            <v>0.97</v>
          </cell>
          <cell r="C29">
            <v>0.03</v>
          </cell>
        </row>
        <row r="30">
          <cell r="A30" t="str">
            <v>Germany</v>
          </cell>
          <cell r="B30">
            <v>0.73</v>
          </cell>
          <cell r="C30">
            <v>0.27</v>
          </cell>
        </row>
        <row r="31">
          <cell r="A31" t="str">
            <v>Philippines</v>
          </cell>
          <cell r="B31">
            <v>0.63</v>
          </cell>
          <cell r="C31">
            <v>0.37</v>
          </cell>
        </row>
        <row r="32">
          <cell r="A32" t="str">
            <v>Liechtenstein</v>
          </cell>
        </row>
        <row r="33">
          <cell r="A33" t="str">
            <v>Andorra</v>
          </cell>
        </row>
        <row r="34">
          <cell r="A34" t="str">
            <v>Togo</v>
          </cell>
        </row>
        <row r="35">
          <cell r="A35" t="str">
            <v>Madagascar</v>
          </cell>
        </row>
        <row r="36">
          <cell r="A36" t="str">
            <v>Belarus</v>
          </cell>
          <cell r="B36">
            <v>0.77</v>
          </cell>
          <cell r="C36">
            <v>0.23</v>
          </cell>
        </row>
        <row r="37">
          <cell r="A37" t="str">
            <v>Burundi</v>
          </cell>
        </row>
        <row r="38">
          <cell r="A38" t="str">
            <v>Switzerland</v>
          </cell>
          <cell r="B38">
            <v>0.64</v>
          </cell>
          <cell r="C38">
            <v>0.36</v>
          </cell>
        </row>
        <row r="39">
          <cell r="A39" t="str">
            <v>Nicaragua</v>
          </cell>
        </row>
        <row r="40">
          <cell r="A40" t="str">
            <v>El Salvador</v>
          </cell>
        </row>
        <row r="41">
          <cell r="A41" t="str">
            <v>Lesotho</v>
          </cell>
        </row>
        <row r="42">
          <cell r="A42" t="str">
            <v>Austria</v>
          </cell>
          <cell r="B42">
            <v>0.7</v>
          </cell>
          <cell r="C42">
            <v>0.3</v>
          </cell>
        </row>
        <row r="43">
          <cell r="A43" t="str">
            <v>Sri Lanka</v>
          </cell>
          <cell r="B43">
            <v>0.56000000000000005</v>
          </cell>
          <cell r="C43">
            <v>0.44</v>
          </cell>
        </row>
        <row r="44">
          <cell r="A44" t="str">
            <v>Taiwan</v>
          </cell>
          <cell r="B44">
            <v>0.66</v>
          </cell>
          <cell r="C44">
            <v>0.34</v>
          </cell>
        </row>
        <row r="45">
          <cell r="A45" t="str">
            <v>Ukraine</v>
          </cell>
          <cell r="B45">
            <v>0.78</v>
          </cell>
          <cell r="C45">
            <v>0.22</v>
          </cell>
        </row>
        <row r="46">
          <cell r="A46" t="str">
            <v>Japan</v>
          </cell>
          <cell r="B46">
            <v>0.62</v>
          </cell>
          <cell r="C46">
            <v>0.38</v>
          </cell>
        </row>
        <row r="47">
          <cell r="A47" t="str">
            <v>Zimbabwe</v>
          </cell>
        </row>
        <row r="48">
          <cell r="A48" t="str">
            <v>Estonia</v>
          </cell>
        </row>
        <row r="49">
          <cell r="A49" t="str">
            <v>Benin</v>
          </cell>
        </row>
        <row r="50">
          <cell r="A50" t="str">
            <v>Malaysia</v>
          </cell>
          <cell r="B50">
            <v>0.74</v>
          </cell>
          <cell r="C50">
            <v>0.26</v>
          </cell>
        </row>
        <row r="51">
          <cell r="A51" t="str">
            <v>Macao</v>
          </cell>
        </row>
        <row r="52">
          <cell r="A52" t="str">
            <v>Czechia</v>
          </cell>
          <cell r="B52">
            <v>0.8</v>
          </cell>
          <cell r="C52">
            <v>0.2</v>
          </cell>
        </row>
        <row r="53">
          <cell r="A53" t="str">
            <v>North Macedonia</v>
          </cell>
        </row>
        <row r="54">
          <cell r="A54" t="str">
            <v>Rwanda</v>
          </cell>
        </row>
        <row r="55">
          <cell r="A55" t="str">
            <v>Armenia</v>
          </cell>
        </row>
        <row r="56">
          <cell r="A56" t="str">
            <v>Finland</v>
          </cell>
          <cell r="B56">
            <v>0.66</v>
          </cell>
          <cell r="C56">
            <v>0.34</v>
          </cell>
        </row>
        <row r="57">
          <cell r="A57" t="str">
            <v>Sierra Leone</v>
          </cell>
        </row>
        <row r="58">
          <cell r="A58" t="str">
            <v>Malta</v>
          </cell>
        </row>
        <row r="59">
          <cell r="A59" t="str">
            <v>Monaco</v>
          </cell>
        </row>
        <row r="60">
          <cell r="A60" t="str">
            <v>Namibia</v>
          </cell>
        </row>
        <row r="61">
          <cell r="A61" t="str">
            <v>Eswatini</v>
          </cell>
        </row>
        <row r="62">
          <cell r="A62" t="str">
            <v>Haiti</v>
          </cell>
        </row>
        <row r="63">
          <cell r="A63" t="str">
            <v>Cameroon</v>
          </cell>
        </row>
        <row r="64">
          <cell r="A64" t="str">
            <v>Somalia</v>
          </cell>
        </row>
        <row r="65">
          <cell r="A65" t="str">
            <v>Ireland</v>
          </cell>
          <cell r="B65">
            <v>0.59</v>
          </cell>
          <cell r="C65">
            <v>0.41</v>
          </cell>
        </row>
        <row r="66">
          <cell r="A66" t="str">
            <v>Russia</v>
          </cell>
          <cell r="B66">
            <v>0.74</v>
          </cell>
          <cell r="C66">
            <v>0.26</v>
          </cell>
        </row>
        <row r="67">
          <cell r="A67" t="str">
            <v>New Zealand</v>
          </cell>
          <cell r="B67">
            <v>0.62</v>
          </cell>
          <cell r="C67">
            <v>0.38</v>
          </cell>
        </row>
        <row r="68">
          <cell r="A68" t="str">
            <v>Grenada</v>
          </cell>
        </row>
        <row r="69">
          <cell r="A69" t="str">
            <v>Bangladesh</v>
          </cell>
          <cell r="B69">
            <v>0.66</v>
          </cell>
          <cell r="C69">
            <v>0.34</v>
          </cell>
        </row>
        <row r="70">
          <cell r="A70" t="str">
            <v>Mauritius</v>
          </cell>
        </row>
        <row r="71">
          <cell r="A71" t="str">
            <v>Uganda</v>
          </cell>
        </row>
        <row r="72">
          <cell r="A72" t="str">
            <v>Fiji</v>
          </cell>
        </row>
        <row r="73">
          <cell r="A73" t="str">
            <v>Norway</v>
          </cell>
          <cell r="B73">
            <v>0.7</v>
          </cell>
          <cell r="C73">
            <v>0.3</v>
          </cell>
        </row>
        <row r="74">
          <cell r="A74" t="str">
            <v>Netherlands</v>
          </cell>
          <cell r="B74">
            <v>0.69</v>
          </cell>
          <cell r="C74">
            <v>0.31</v>
          </cell>
        </row>
        <row r="75">
          <cell r="A75" t="str">
            <v>Senegal</v>
          </cell>
        </row>
        <row r="76">
          <cell r="A76" t="str">
            <v>Portugal</v>
          </cell>
          <cell r="B76">
            <v>0.64</v>
          </cell>
          <cell r="C76">
            <v>0.36</v>
          </cell>
        </row>
        <row r="77">
          <cell r="A77" t="str">
            <v>Isle of Man</v>
          </cell>
        </row>
        <row r="78">
          <cell r="A78" t="str">
            <v>Uzbekistan</v>
          </cell>
        </row>
        <row r="79">
          <cell r="A79" t="str">
            <v>Liberia</v>
          </cell>
        </row>
        <row r="80">
          <cell r="A80" t="str">
            <v>CÃ´te dâ€™Ivoire</v>
          </cell>
        </row>
        <row r="81">
          <cell r="A81" t="str">
            <v>Romania</v>
          </cell>
          <cell r="B81">
            <v>0.84</v>
          </cell>
          <cell r="C81">
            <v>0.16</v>
          </cell>
        </row>
        <row r="82">
          <cell r="A82" t="str">
            <v>Ghana</v>
          </cell>
        </row>
        <row r="83">
          <cell r="A83" t="str">
            <v>Canada</v>
          </cell>
          <cell r="B83">
            <v>0.57999999999999996</v>
          </cell>
          <cell r="C83">
            <v>0.42</v>
          </cell>
        </row>
        <row r="84">
          <cell r="A84" t="str">
            <v>Denmark</v>
          </cell>
          <cell r="B84">
            <v>0.7</v>
          </cell>
          <cell r="C84">
            <v>0.3</v>
          </cell>
        </row>
        <row r="85">
          <cell r="A85" t="str">
            <v>Tunisia</v>
          </cell>
          <cell r="B85">
            <v>0.64</v>
          </cell>
          <cell r="C85">
            <v>0.36</v>
          </cell>
        </row>
        <row r="86">
          <cell r="A86" t="str">
            <v>Sweden</v>
          </cell>
          <cell r="B86">
            <v>0.67</v>
          </cell>
          <cell r="C86">
            <v>0.33</v>
          </cell>
        </row>
        <row r="87">
          <cell r="A87" t="str">
            <v>Maldives</v>
          </cell>
        </row>
        <row r="88">
          <cell r="A88" t="str">
            <v>Tanzania</v>
          </cell>
        </row>
        <row r="89">
          <cell r="A89" t="str">
            <v>Slovakia</v>
          </cell>
        </row>
        <row r="90">
          <cell r="A90" t="str">
            <v>Mali</v>
          </cell>
        </row>
        <row r="91">
          <cell r="A91" t="str">
            <v>Nigeria</v>
          </cell>
          <cell r="B91">
            <v>0.81</v>
          </cell>
          <cell r="C91">
            <v>0.19</v>
          </cell>
        </row>
        <row r="92">
          <cell r="A92" t="str">
            <v>Hungary</v>
          </cell>
          <cell r="B92">
            <v>0.78</v>
          </cell>
          <cell r="C92">
            <v>0.22</v>
          </cell>
        </row>
        <row r="93">
          <cell r="A93" t="str">
            <v>South Africa</v>
          </cell>
          <cell r="B93">
            <v>0.66</v>
          </cell>
          <cell r="C93">
            <v>0.34</v>
          </cell>
        </row>
        <row r="94">
          <cell r="A94" t="str">
            <v>Laos</v>
          </cell>
        </row>
        <row r="95">
          <cell r="A95" t="str">
            <v>Bermuda</v>
          </cell>
        </row>
        <row r="96">
          <cell r="A96" t="str">
            <v>Brazil</v>
          </cell>
          <cell r="B96">
            <v>0.82</v>
          </cell>
          <cell r="C96">
            <v>0.18</v>
          </cell>
        </row>
        <row r="97">
          <cell r="A97" t="str">
            <v>Latvia</v>
          </cell>
        </row>
        <row r="98">
          <cell r="A98" t="str">
            <v>Jamaica</v>
          </cell>
        </row>
        <row r="99">
          <cell r="A99" t="str">
            <v>Turkmenistan</v>
          </cell>
        </row>
        <row r="100">
          <cell r="A100" t="str">
            <v>Australia</v>
          </cell>
          <cell r="B100">
            <v>0.6</v>
          </cell>
          <cell r="C100">
            <v>0.4</v>
          </cell>
        </row>
        <row r="101">
          <cell r="A101" t="str">
            <v>Pakistan</v>
          </cell>
          <cell r="B101">
            <v>0.49</v>
          </cell>
          <cell r="C101">
            <v>0.51</v>
          </cell>
        </row>
        <row r="102">
          <cell r="A102" t="str">
            <v>Moldova</v>
          </cell>
        </row>
        <row r="103">
          <cell r="A103" t="str">
            <v>Bulgaria</v>
          </cell>
          <cell r="B103">
            <v>0.78</v>
          </cell>
          <cell r="C103">
            <v>0.22</v>
          </cell>
        </row>
        <row r="104">
          <cell r="A104" t="str">
            <v>Burkina Faso</v>
          </cell>
        </row>
        <row r="105">
          <cell r="A105" t="str">
            <v>Kenya</v>
          </cell>
          <cell r="B105">
            <v>0.72</v>
          </cell>
          <cell r="C105">
            <v>0.28000000000000003</v>
          </cell>
        </row>
        <row r="106">
          <cell r="A106" t="str">
            <v>United States</v>
          </cell>
          <cell r="B106">
            <v>0.55000000000000004</v>
          </cell>
          <cell r="C106">
            <v>0.45</v>
          </cell>
        </row>
        <row r="107">
          <cell r="A107" t="str">
            <v>Mexico</v>
          </cell>
          <cell r="B107">
            <v>0.77</v>
          </cell>
          <cell r="C107">
            <v>0.23</v>
          </cell>
        </row>
        <row r="108">
          <cell r="A108" t="str">
            <v>Bosnia &amp; Herzegovina</v>
          </cell>
        </row>
        <row r="109">
          <cell r="A109" t="str">
            <v>Colombia</v>
          </cell>
          <cell r="B109">
            <v>0.76</v>
          </cell>
          <cell r="C109">
            <v>0.24</v>
          </cell>
        </row>
        <row r="110">
          <cell r="A110" t="str">
            <v>St. Vincent &amp; Grenadines</v>
          </cell>
        </row>
        <row r="111">
          <cell r="A111" t="str">
            <v>Honduras</v>
          </cell>
        </row>
        <row r="112">
          <cell r="A112" t="str">
            <v>Spain</v>
          </cell>
          <cell r="B112">
            <v>0.68</v>
          </cell>
          <cell r="C112">
            <v>0.32</v>
          </cell>
        </row>
        <row r="113">
          <cell r="A113" t="str">
            <v>Guatemala</v>
          </cell>
        </row>
        <row r="114">
          <cell r="A114" t="str">
            <v>United Arab Emirates</v>
          </cell>
          <cell r="B114">
            <v>0.71</v>
          </cell>
          <cell r="C114">
            <v>0.28999999999999998</v>
          </cell>
        </row>
        <row r="115">
          <cell r="A115" t="str">
            <v>Belgium</v>
          </cell>
          <cell r="B115">
            <v>0.65</v>
          </cell>
          <cell r="C115">
            <v>0.35</v>
          </cell>
        </row>
        <row r="116">
          <cell r="A116" t="str">
            <v>Barbados</v>
          </cell>
        </row>
        <row r="117">
          <cell r="A117" t="str">
            <v>United Kingdom</v>
          </cell>
          <cell r="B117">
            <v>0.6</v>
          </cell>
          <cell r="C117">
            <v>0.4</v>
          </cell>
        </row>
        <row r="118">
          <cell r="A118" t="str">
            <v>Zambia</v>
          </cell>
        </row>
        <row r="119">
          <cell r="A119" t="str">
            <v>Poland</v>
          </cell>
          <cell r="B119">
            <v>0.73</v>
          </cell>
          <cell r="C119">
            <v>0.27</v>
          </cell>
        </row>
        <row r="120">
          <cell r="A120" t="str">
            <v>Ecuador</v>
          </cell>
          <cell r="B120">
            <v>0.73</v>
          </cell>
          <cell r="C120">
            <v>0.27</v>
          </cell>
        </row>
        <row r="121">
          <cell r="A121" t="str">
            <v>France</v>
          </cell>
          <cell r="B121">
            <v>0.65</v>
          </cell>
          <cell r="C121">
            <v>0.35</v>
          </cell>
        </row>
        <row r="122">
          <cell r="A122" t="str">
            <v>Congo - Kinshasa</v>
          </cell>
        </row>
        <row r="123">
          <cell r="A123" t="str">
            <v>Greenland</v>
          </cell>
        </row>
        <row r="124">
          <cell r="A124" t="str">
            <v>Gabon</v>
          </cell>
        </row>
        <row r="125">
          <cell r="A125" t="str">
            <v>Serbia</v>
          </cell>
          <cell r="B125">
            <v>0.73</v>
          </cell>
          <cell r="C125">
            <v>0.27</v>
          </cell>
        </row>
        <row r="126">
          <cell r="A126" t="str">
            <v>Mongolia</v>
          </cell>
        </row>
        <row r="127">
          <cell r="A127" t="str">
            <v>CuraÃ§ao</v>
          </cell>
        </row>
        <row r="128">
          <cell r="A128" t="str">
            <v>Croatia</v>
          </cell>
          <cell r="B128">
            <v>0.72</v>
          </cell>
          <cell r="C128">
            <v>0.28000000000000003</v>
          </cell>
        </row>
        <row r="129">
          <cell r="A129" t="str">
            <v>Equatorial Guinea</v>
          </cell>
        </row>
        <row r="130">
          <cell r="A130" t="str">
            <v>Cambodia</v>
          </cell>
        </row>
        <row r="131">
          <cell r="A131" t="str">
            <v>Jersey</v>
          </cell>
        </row>
        <row r="132">
          <cell r="A132" t="str">
            <v>Guyana</v>
          </cell>
        </row>
        <row r="133">
          <cell r="A133" t="str">
            <v>Panama</v>
          </cell>
        </row>
        <row r="134">
          <cell r="A134" t="str">
            <v>Guinea</v>
          </cell>
        </row>
        <row r="135">
          <cell r="A135" t="str">
            <v>Congo - Brazzaville</v>
          </cell>
        </row>
        <row r="136">
          <cell r="A136" t="str">
            <v>Cyprus</v>
          </cell>
        </row>
        <row r="137">
          <cell r="A137" t="str">
            <v>South Sudan</v>
          </cell>
        </row>
        <row r="138">
          <cell r="A138" t="str">
            <v>Costa Rica</v>
          </cell>
        </row>
        <row r="139">
          <cell r="A139" t="str">
            <v>Uruguay</v>
          </cell>
        </row>
        <row r="140">
          <cell r="A140" t="str">
            <v>Slovenia</v>
          </cell>
        </row>
        <row r="141">
          <cell r="A141" t="str">
            <v>Niger</v>
          </cell>
        </row>
        <row r="142">
          <cell r="A142" t="str">
            <v>Kyrgyzstan</v>
          </cell>
        </row>
        <row r="143">
          <cell r="A143" t="str">
            <v>French Polynesia</v>
          </cell>
        </row>
        <row r="144">
          <cell r="A144" t="str">
            <v>Peru</v>
          </cell>
          <cell r="B144">
            <v>0.76</v>
          </cell>
          <cell r="C144">
            <v>0.24</v>
          </cell>
        </row>
        <row r="145">
          <cell r="A145" t="str">
            <v>Bolivia</v>
          </cell>
        </row>
        <row r="146">
          <cell r="A146" t="str">
            <v>Bhutan</v>
          </cell>
        </row>
        <row r="147">
          <cell r="A147" t="str">
            <v>Montenegro</v>
          </cell>
        </row>
        <row r="148">
          <cell r="A148" t="str">
            <v>Kazakhstan</v>
          </cell>
          <cell r="B148">
            <v>0.71</v>
          </cell>
          <cell r="C148">
            <v>0.28999999999999998</v>
          </cell>
        </row>
        <row r="149">
          <cell r="A149" t="str">
            <v>U.S. Virgin Islands</v>
          </cell>
        </row>
        <row r="150">
          <cell r="A150" t="str">
            <v>Iran</v>
          </cell>
          <cell r="B150">
            <v>0.83</v>
          </cell>
          <cell r="C150">
            <v>0.17</v>
          </cell>
        </row>
        <row r="151">
          <cell r="A151" t="str">
            <v>Martinique</v>
          </cell>
        </row>
        <row r="152">
          <cell r="A152" t="str">
            <v>Malawi</v>
          </cell>
        </row>
        <row r="153">
          <cell r="A153" t="str">
            <v>Lithuania</v>
          </cell>
        </row>
        <row r="154">
          <cell r="A154" t="str">
            <v>Lebanon</v>
          </cell>
        </row>
        <row r="155">
          <cell r="A155" t="str">
            <v>Dominican Republic</v>
          </cell>
        </row>
        <row r="156">
          <cell r="A156" t="str">
            <v>Oman</v>
          </cell>
        </row>
        <row r="157">
          <cell r="A157" t="str">
            <v>Guadeloupe</v>
          </cell>
        </row>
        <row r="158">
          <cell r="A158" t="str">
            <v>New Caledonia</v>
          </cell>
        </row>
        <row r="159">
          <cell r="A159" t="str">
            <v>Qatar</v>
          </cell>
        </row>
        <row r="160">
          <cell r="A160" t="str">
            <v>Belize</v>
          </cell>
        </row>
        <row r="161">
          <cell r="A161" t="str">
            <v>Morocco</v>
          </cell>
          <cell r="B161">
            <v>0.73</v>
          </cell>
          <cell r="C161">
            <v>0.27</v>
          </cell>
        </row>
        <row r="162">
          <cell r="A162" t="str">
            <v>Afghanistan</v>
          </cell>
        </row>
        <row r="163">
          <cell r="A163" t="str">
            <v>Albania</v>
          </cell>
        </row>
        <row r="164">
          <cell r="A164" t="str">
            <v>Bahrain</v>
          </cell>
        </row>
        <row r="165">
          <cell r="A165" t="str">
            <v>Italy</v>
          </cell>
          <cell r="B165">
            <v>0.68</v>
          </cell>
          <cell r="C165">
            <v>0.32</v>
          </cell>
        </row>
        <row r="166">
          <cell r="A166" t="str">
            <v>Djibouti</v>
          </cell>
        </row>
        <row r="167">
          <cell r="A167" t="str">
            <v>Algeria</v>
          </cell>
          <cell r="B167">
            <v>0.79</v>
          </cell>
          <cell r="C167">
            <v>0.21</v>
          </cell>
        </row>
        <row r="168">
          <cell r="A168" t="str">
            <v>Tajikistan</v>
          </cell>
        </row>
        <row r="169">
          <cell r="A169" t="str">
            <v>Brunei</v>
          </cell>
        </row>
        <row r="170">
          <cell r="A170" t="str">
            <v>Georgia</v>
          </cell>
        </row>
        <row r="171">
          <cell r="A171" t="str">
            <v>Yemen</v>
          </cell>
        </row>
        <row r="172">
          <cell r="A172" t="str">
            <v>Kosovo</v>
          </cell>
        </row>
        <row r="173">
          <cell r="A173" t="str">
            <v>Chile</v>
          </cell>
          <cell r="B173">
            <v>0.67</v>
          </cell>
          <cell r="C173">
            <v>0.33</v>
          </cell>
        </row>
        <row r="174">
          <cell r="A174" t="str">
            <v>Sudan</v>
          </cell>
        </row>
        <row r="175">
          <cell r="A175" t="str">
            <v>Argentina</v>
          </cell>
          <cell r="B175">
            <v>0.77</v>
          </cell>
          <cell r="C175">
            <v>0.23</v>
          </cell>
        </row>
        <row r="176">
          <cell r="A176" t="str">
            <v>Mayotte</v>
          </cell>
        </row>
        <row r="177">
          <cell r="A177" t="str">
            <v>Paraguay</v>
          </cell>
        </row>
        <row r="178">
          <cell r="A178" t="str">
            <v>Azerbaijan</v>
          </cell>
        </row>
        <row r="179">
          <cell r="A179" t="str">
            <v>Venezuela</v>
          </cell>
          <cell r="B179">
            <v>0.78</v>
          </cell>
          <cell r="C179">
            <v>0.22</v>
          </cell>
        </row>
        <row r="180">
          <cell r="A180" t="str">
            <v>Saudi Arabia</v>
          </cell>
          <cell r="B180">
            <v>0.78</v>
          </cell>
          <cell r="C180">
            <v>0.22</v>
          </cell>
        </row>
        <row r="181">
          <cell r="A181" t="str">
            <v>Trinidad &amp; Tobago</v>
          </cell>
        </row>
        <row r="182">
          <cell r="A182" t="str">
            <v>Egypt</v>
          </cell>
          <cell r="B182">
            <v>0.72</v>
          </cell>
          <cell r="C182">
            <v>0.28000000000000003</v>
          </cell>
        </row>
        <row r="183">
          <cell r="A183" t="str">
            <v>Greece</v>
          </cell>
          <cell r="B183">
            <v>0.67</v>
          </cell>
          <cell r="C183">
            <v>0.33</v>
          </cell>
        </row>
        <row r="184">
          <cell r="A184" t="str">
            <v>RÃ©union</v>
          </cell>
        </row>
        <row r="185">
          <cell r="A185" t="str">
            <v>Vietnam</v>
          </cell>
          <cell r="B185">
            <v>0.85</v>
          </cell>
          <cell r="C185">
            <v>0.15</v>
          </cell>
        </row>
        <row r="186">
          <cell r="A186" t="str">
            <v>Kuwait</v>
          </cell>
        </row>
        <row r="187">
          <cell r="A187" t="str">
            <v>Antigua &amp; Barbuda</v>
          </cell>
        </row>
        <row r="188">
          <cell r="A188" t="str">
            <v>Puerto Rico</v>
          </cell>
        </row>
        <row r="189">
          <cell r="A189" t="str">
            <v>Iraq</v>
          </cell>
        </row>
        <row r="190">
          <cell r="A190" t="str">
            <v>Guernsey</v>
          </cell>
        </row>
        <row r="191">
          <cell r="A191" t="str">
            <v>Libya</v>
          </cell>
        </row>
        <row r="192">
          <cell r="A192" t="str">
            <v>Mauritania</v>
          </cell>
        </row>
        <row r="193">
          <cell r="A193" t="str">
            <v>Jordan</v>
          </cell>
        </row>
        <row r="194">
          <cell r="A194" t="str">
            <v>Syria</v>
          </cell>
        </row>
        <row r="195">
          <cell r="A195" t="str">
            <v>French Guiana</v>
          </cell>
        </row>
        <row r="196">
          <cell r="A196" t="str">
            <v>Thailand</v>
          </cell>
          <cell r="B196">
            <v>0.68</v>
          </cell>
          <cell r="C196">
            <v>0.32</v>
          </cell>
        </row>
        <row r="197">
          <cell r="A197" t="str">
            <v>Palestine</v>
          </cell>
        </row>
        <row r="198">
          <cell r="A198" t="str">
            <v>Bahamas</v>
          </cell>
        </row>
        <row r="199">
          <cell r="A199" t="str">
            <v>Turkey</v>
          </cell>
          <cell r="B199">
            <v>0.61</v>
          </cell>
          <cell r="C199">
            <v>0.39</v>
          </cell>
        </row>
        <row r="200">
          <cell r="A200" t="str">
            <v>Suriname</v>
          </cell>
        </row>
        <row r="201">
          <cell r="A201" t="str">
            <v>St. Lucia</v>
          </cell>
        </row>
        <row r="202">
          <cell r="A202" t="str">
            <v>Tuvalu</v>
          </cell>
        </row>
        <row r="203">
          <cell r="A203" t="str">
            <v>North Korea</v>
          </cell>
        </row>
        <row r="204">
          <cell r="A204" t="str">
            <v>Kiribati</v>
          </cell>
        </row>
        <row r="205">
          <cell r="A205" t="str">
            <v>Eritrea</v>
          </cell>
        </row>
        <row r="206">
          <cell r="A206" t="str">
            <v>Central African Republic</v>
          </cell>
        </row>
        <row r="207">
          <cell r="A207" t="str">
            <v>SÃ£o TomÃ© &amp; PrÃ­ncipe</v>
          </cell>
        </row>
        <row r="208">
          <cell r="A208" t="str">
            <v>American Samoa</v>
          </cell>
        </row>
        <row r="209">
          <cell r="A209" t="str">
            <v>Marshall Islands</v>
          </cell>
        </row>
        <row r="210">
          <cell r="A210" t="str">
            <v>Anguilla</v>
          </cell>
        </row>
        <row r="211">
          <cell r="A211" t="str">
            <v>Gibraltar</v>
          </cell>
        </row>
        <row r="212">
          <cell r="A212" t="str">
            <v>Vanuatu</v>
          </cell>
        </row>
        <row r="213">
          <cell r="A213" t="str">
            <v>Tonga</v>
          </cell>
        </row>
        <row r="214">
          <cell r="A214" t="str">
            <v>Western Sahara</v>
          </cell>
        </row>
        <row r="215">
          <cell r="A215" t="str">
            <v>Faroe Islands</v>
          </cell>
        </row>
        <row r="216">
          <cell r="A216" t="str">
            <v>Caribbean Netherlands</v>
          </cell>
        </row>
        <row r="217">
          <cell r="A217" t="str">
            <v>Sint Maarten</v>
          </cell>
        </row>
        <row r="218">
          <cell r="A218" t="str">
            <v>Samoa</v>
          </cell>
        </row>
        <row r="219">
          <cell r="A219" t="str">
            <v>Cayman Islands</v>
          </cell>
        </row>
        <row r="220">
          <cell r="A220" t="str">
            <v>St. Kitts &amp; Nevis</v>
          </cell>
        </row>
        <row r="221">
          <cell r="A221" t="str">
            <v>Northern Mariana Islands</v>
          </cell>
        </row>
        <row r="222">
          <cell r="A222" t="str">
            <v>San Marino</v>
          </cell>
        </row>
        <row r="223">
          <cell r="A223" t="str">
            <v>Turks &amp; Caicos Islands</v>
          </cell>
        </row>
        <row r="224">
          <cell r="A224" t="str">
            <v>Aruba</v>
          </cell>
        </row>
        <row r="225">
          <cell r="A225" t="str">
            <v>Gambia</v>
          </cell>
        </row>
        <row r="226">
          <cell r="A226" t="str">
            <v>St. BarthÃ©lemy</v>
          </cell>
        </row>
        <row r="227">
          <cell r="A227" t="str">
            <v>Dominica</v>
          </cell>
        </row>
        <row r="228">
          <cell r="A228" t="str">
            <v>Guam</v>
          </cell>
        </row>
        <row r="229">
          <cell r="A229" t="str">
            <v>Antarctica</v>
          </cell>
        </row>
        <row r="230">
          <cell r="A230" t="str">
            <v>French Southern Territories</v>
          </cell>
        </row>
        <row r="231">
          <cell r="A231" t="str">
            <v>Bouvet Island</v>
          </cell>
        </row>
        <row r="232">
          <cell r="A232" t="str">
            <v>Cocos (Keeling) Islands</v>
          </cell>
        </row>
        <row r="233">
          <cell r="A233" t="str">
            <v>Comoros</v>
          </cell>
        </row>
        <row r="234">
          <cell r="A234" t="str">
            <v>Christmas Island</v>
          </cell>
        </row>
        <row r="235">
          <cell r="A235" t="str">
            <v>Falkland Islands (Islas Malvinas)</v>
          </cell>
        </row>
        <row r="236">
          <cell r="A236" t="str">
            <v>Micronesia</v>
          </cell>
        </row>
        <row r="237">
          <cell r="A237" t="str">
            <v>Guinea-Bissau</v>
          </cell>
        </row>
        <row r="238">
          <cell r="A238" t="str">
            <v>Heard &amp; McDonald Islands</v>
          </cell>
        </row>
        <row r="239">
          <cell r="A239" t="str">
            <v>St. Martin</v>
          </cell>
        </row>
        <row r="240">
          <cell r="A240" t="str">
            <v>Montserrat</v>
          </cell>
        </row>
        <row r="241">
          <cell r="A241" t="str">
            <v>Norfolk Island</v>
          </cell>
        </row>
        <row r="242">
          <cell r="A242" t="str">
            <v>Niue</v>
          </cell>
        </row>
        <row r="243">
          <cell r="A243" t="str">
            <v>Nauru</v>
          </cell>
        </row>
        <row r="244">
          <cell r="A244" t="str">
            <v>Pitcairn Islands</v>
          </cell>
        </row>
        <row r="245">
          <cell r="A245" t="str">
            <v>Palau</v>
          </cell>
        </row>
        <row r="246">
          <cell r="A246" t="str">
            <v>South Georgia &amp; South Sandwich Islands</v>
          </cell>
        </row>
        <row r="247">
          <cell r="A247" t="str">
            <v>Svalbard &amp; Jan Mayen</v>
          </cell>
        </row>
        <row r="248">
          <cell r="A248" t="str">
            <v>St. Pierre &amp; Miquelon</v>
          </cell>
        </row>
        <row r="249">
          <cell r="A249" t="str">
            <v>Tokelau</v>
          </cell>
        </row>
        <row r="250">
          <cell r="A250" t="str">
            <v>U.S. Outlying Islands</v>
          </cell>
        </row>
        <row r="251">
          <cell r="A251" t="str">
            <v>Vatican City</v>
          </cell>
        </row>
        <row r="252">
          <cell r="A252" t="str">
            <v>British Virgin Islands</v>
          </cell>
        </row>
        <row r="253">
          <cell r="A253" t="str">
            <v>Wallis &amp; Futuna</v>
          </cell>
        </row>
      </sheetData>
    </sheetDataSet>
  </externalBook>
</externalLink>
</file>

<file path=xl/externalLinks/externalLink2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1)"/>
    </sheetNames>
    <sheetDataSet>
      <sheetData sheetId="0">
        <row r="1">
          <cell r="A1" t="str">
            <v>Kategori: TÃ¼m kategoriler</v>
          </cell>
        </row>
        <row r="3">
          <cell r="A3" t="str">
            <v>Ãœlke</v>
          </cell>
          <cell r="B3" t="str">
            <v>For dÃ¶ngÃ¼sÃ¼: (2016)</v>
          </cell>
          <cell r="C3" t="str">
            <v>YÄ±ÄŸÄ±n: (2016)</v>
          </cell>
        </row>
        <row r="4">
          <cell r="A4" t="str">
            <v>China</v>
          </cell>
          <cell r="B4">
            <v>0.37</v>
          </cell>
          <cell r="C4">
            <v>0.63</v>
          </cell>
        </row>
        <row r="5">
          <cell r="A5" t="str">
            <v>South Korea</v>
          </cell>
          <cell r="B5">
            <v>0.6</v>
          </cell>
          <cell r="C5">
            <v>0.4</v>
          </cell>
        </row>
        <row r="6">
          <cell r="A6" t="str">
            <v>Taiwan</v>
          </cell>
          <cell r="B6">
            <v>0.25</v>
          </cell>
          <cell r="C6">
            <v>0.75</v>
          </cell>
        </row>
        <row r="7">
          <cell r="A7" t="str">
            <v>Hong Kong</v>
          </cell>
          <cell r="B7">
            <v>0.44</v>
          </cell>
          <cell r="C7">
            <v>0.56000000000000005</v>
          </cell>
        </row>
        <row r="8">
          <cell r="A8" t="str">
            <v>Singapore</v>
          </cell>
          <cell r="B8">
            <v>0.52</v>
          </cell>
          <cell r="C8">
            <v>0.48</v>
          </cell>
        </row>
        <row r="9">
          <cell r="A9" t="str">
            <v>Czechia</v>
          </cell>
          <cell r="B9">
            <v>0.18</v>
          </cell>
          <cell r="C9">
            <v>0.82</v>
          </cell>
        </row>
        <row r="10">
          <cell r="A10" t="str">
            <v>Iceland</v>
          </cell>
        </row>
        <row r="11">
          <cell r="A11" t="str">
            <v>St. Helena</v>
          </cell>
        </row>
        <row r="12">
          <cell r="A12" t="str">
            <v>Cuba</v>
          </cell>
        </row>
        <row r="13">
          <cell r="A13" t="str">
            <v>India</v>
          </cell>
          <cell r="B13">
            <v>0.56999999999999995</v>
          </cell>
          <cell r="C13">
            <v>0.43</v>
          </cell>
        </row>
        <row r="14">
          <cell r="A14" t="str">
            <v>Slovakia</v>
          </cell>
        </row>
        <row r="15">
          <cell r="A15" t="str">
            <v>Slovenia</v>
          </cell>
        </row>
        <row r="16">
          <cell r="A16" t="str">
            <v>Nepal</v>
          </cell>
        </row>
        <row r="17">
          <cell r="A17" t="str">
            <v>Macao</v>
          </cell>
        </row>
        <row r="18">
          <cell r="A18" t="str">
            <v>Madagascar</v>
          </cell>
        </row>
        <row r="19">
          <cell r="A19" t="str">
            <v>Philippines</v>
          </cell>
          <cell r="B19">
            <v>0.55000000000000004</v>
          </cell>
          <cell r="C19">
            <v>0.45</v>
          </cell>
        </row>
        <row r="20">
          <cell r="A20" t="str">
            <v>Sri Lanka</v>
          </cell>
          <cell r="B20">
            <v>0.63</v>
          </cell>
          <cell r="C20">
            <v>0.37</v>
          </cell>
        </row>
        <row r="21">
          <cell r="A21" t="str">
            <v>Rwanda</v>
          </cell>
        </row>
        <row r="22">
          <cell r="A22" t="str">
            <v>Pakistan</v>
          </cell>
          <cell r="B22">
            <v>0.6</v>
          </cell>
          <cell r="C22">
            <v>0.4</v>
          </cell>
        </row>
        <row r="23">
          <cell r="A23" t="str">
            <v>Ethiopia</v>
          </cell>
        </row>
        <row r="24">
          <cell r="A24" t="str">
            <v>Malta</v>
          </cell>
        </row>
        <row r="25">
          <cell r="A25" t="str">
            <v>Luxembourg</v>
          </cell>
        </row>
        <row r="26">
          <cell r="A26" t="str">
            <v>Switzerland</v>
          </cell>
          <cell r="B26">
            <v>0.63</v>
          </cell>
          <cell r="C26">
            <v>0.37</v>
          </cell>
        </row>
        <row r="27">
          <cell r="A27" t="str">
            <v>New Zealand</v>
          </cell>
          <cell r="B27">
            <v>0.46</v>
          </cell>
          <cell r="C27">
            <v>0.54</v>
          </cell>
        </row>
        <row r="28">
          <cell r="A28" t="str">
            <v>Ireland</v>
          </cell>
          <cell r="B28">
            <v>0.49</v>
          </cell>
          <cell r="C28">
            <v>0.51</v>
          </cell>
        </row>
        <row r="29">
          <cell r="A29" t="str">
            <v>Israel</v>
          </cell>
          <cell r="B29">
            <v>0.51</v>
          </cell>
          <cell r="C29">
            <v>0.49</v>
          </cell>
        </row>
        <row r="30">
          <cell r="A30" t="str">
            <v>Japan</v>
          </cell>
          <cell r="B30">
            <v>0.59</v>
          </cell>
          <cell r="C30">
            <v>0.41</v>
          </cell>
        </row>
        <row r="31">
          <cell r="A31" t="str">
            <v>United States</v>
          </cell>
          <cell r="B31">
            <v>0.47</v>
          </cell>
          <cell r="C31">
            <v>0.53</v>
          </cell>
        </row>
        <row r="32">
          <cell r="A32" t="str">
            <v>Australia</v>
          </cell>
          <cell r="B32">
            <v>0.44</v>
          </cell>
          <cell r="C32">
            <v>0.56000000000000005</v>
          </cell>
        </row>
        <row r="33">
          <cell r="A33" t="str">
            <v>Mauritius</v>
          </cell>
        </row>
        <row r="34">
          <cell r="A34" t="str">
            <v>Guam</v>
          </cell>
        </row>
        <row r="35">
          <cell r="A35" t="str">
            <v>Canada</v>
          </cell>
          <cell r="B35">
            <v>0.5</v>
          </cell>
          <cell r="C35">
            <v>0.5</v>
          </cell>
        </row>
        <row r="36">
          <cell r="A36" t="str">
            <v>Estonia</v>
          </cell>
        </row>
        <row r="37">
          <cell r="A37" t="str">
            <v>Cameroon</v>
          </cell>
        </row>
        <row r="38">
          <cell r="A38" t="str">
            <v>Sweden</v>
          </cell>
          <cell r="B38">
            <v>0.41</v>
          </cell>
          <cell r="C38">
            <v>0.59</v>
          </cell>
        </row>
        <row r="39">
          <cell r="A39" t="str">
            <v>Netherlands</v>
          </cell>
          <cell r="B39">
            <v>0.4</v>
          </cell>
          <cell r="C39">
            <v>0.6</v>
          </cell>
        </row>
        <row r="40">
          <cell r="A40" t="str">
            <v>Maldives</v>
          </cell>
        </row>
        <row r="41">
          <cell r="A41" t="str">
            <v>Botswana</v>
          </cell>
        </row>
        <row r="42">
          <cell r="A42" t="str">
            <v>Brunei</v>
          </cell>
        </row>
        <row r="43">
          <cell r="A43" t="str">
            <v>Fiji</v>
          </cell>
        </row>
        <row r="44">
          <cell r="A44" t="str">
            <v>Finland</v>
          </cell>
          <cell r="B44">
            <v>0.47</v>
          </cell>
          <cell r="C44">
            <v>0.53</v>
          </cell>
        </row>
        <row r="45">
          <cell r="A45" t="str">
            <v>North Macedonia</v>
          </cell>
        </row>
        <row r="46">
          <cell r="A46" t="str">
            <v>Isle of Man</v>
          </cell>
        </row>
        <row r="47">
          <cell r="A47" t="str">
            <v>Norway</v>
          </cell>
          <cell r="B47">
            <v>0.41</v>
          </cell>
          <cell r="C47">
            <v>0.59</v>
          </cell>
        </row>
        <row r="48">
          <cell r="A48" t="str">
            <v>Belize</v>
          </cell>
        </row>
        <row r="49">
          <cell r="A49" t="str">
            <v>United Kingdom</v>
          </cell>
          <cell r="B49">
            <v>0.47</v>
          </cell>
          <cell r="C49">
            <v>0.53</v>
          </cell>
        </row>
        <row r="50">
          <cell r="A50" t="str">
            <v>Germany</v>
          </cell>
          <cell r="B50">
            <v>0.56999999999999995</v>
          </cell>
          <cell r="C50">
            <v>0.43</v>
          </cell>
        </row>
        <row r="51">
          <cell r="A51" t="str">
            <v>Latvia</v>
          </cell>
        </row>
        <row r="52">
          <cell r="A52" t="str">
            <v>Bangladesh</v>
          </cell>
          <cell r="B52">
            <v>0.61</v>
          </cell>
          <cell r="C52">
            <v>0.39</v>
          </cell>
        </row>
        <row r="53">
          <cell r="A53" t="str">
            <v>Iran</v>
          </cell>
          <cell r="B53">
            <v>0.19</v>
          </cell>
          <cell r="C53">
            <v>0.81</v>
          </cell>
        </row>
        <row r="54">
          <cell r="A54" t="str">
            <v>Austria</v>
          </cell>
          <cell r="B54">
            <v>0.56000000000000005</v>
          </cell>
          <cell r="C54">
            <v>0.44</v>
          </cell>
        </row>
        <row r="55">
          <cell r="A55" t="str">
            <v>Bulgaria</v>
          </cell>
          <cell r="B55">
            <v>0.31</v>
          </cell>
          <cell r="C55">
            <v>0.69</v>
          </cell>
        </row>
        <row r="56">
          <cell r="A56" t="str">
            <v>Afghanistan</v>
          </cell>
        </row>
        <row r="57">
          <cell r="A57" t="str">
            <v>Denmark</v>
          </cell>
          <cell r="B57">
            <v>0.42</v>
          </cell>
          <cell r="C57">
            <v>0.57999999999999996</v>
          </cell>
        </row>
        <row r="58">
          <cell r="A58" t="str">
            <v>Lesotho</v>
          </cell>
        </row>
        <row r="59">
          <cell r="A59" t="str">
            <v>Portugal</v>
          </cell>
          <cell r="B59">
            <v>0.62</v>
          </cell>
          <cell r="C59">
            <v>0.38</v>
          </cell>
        </row>
        <row r="60">
          <cell r="A60" t="str">
            <v>Cyprus</v>
          </cell>
        </row>
        <row r="61">
          <cell r="A61" t="str">
            <v>Montenegro</v>
          </cell>
        </row>
        <row r="62">
          <cell r="A62" t="str">
            <v>Belarus</v>
          </cell>
          <cell r="B62">
            <v>0.47</v>
          </cell>
          <cell r="C62">
            <v>0.53</v>
          </cell>
        </row>
        <row r="63">
          <cell r="A63" t="str">
            <v>Armenia</v>
          </cell>
        </row>
        <row r="64">
          <cell r="A64" t="str">
            <v>Tunisia</v>
          </cell>
        </row>
        <row r="65">
          <cell r="A65" t="str">
            <v>Cambodia</v>
          </cell>
        </row>
        <row r="66">
          <cell r="A66" t="str">
            <v>Greece</v>
          </cell>
          <cell r="B66">
            <v>0.3</v>
          </cell>
          <cell r="C66">
            <v>0.7</v>
          </cell>
        </row>
        <row r="67">
          <cell r="A67" t="str">
            <v>Papua New Guinea</v>
          </cell>
        </row>
        <row r="68">
          <cell r="A68" t="str">
            <v>Croatia</v>
          </cell>
          <cell r="B68">
            <v>0.39</v>
          </cell>
          <cell r="C68">
            <v>0.61</v>
          </cell>
        </row>
        <row r="69">
          <cell r="A69" t="str">
            <v>Serbia</v>
          </cell>
          <cell r="B69">
            <v>0.38</v>
          </cell>
          <cell r="C69">
            <v>0.62</v>
          </cell>
        </row>
        <row r="70">
          <cell r="A70" t="str">
            <v>Jamaica</v>
          </cell>
        </row>
        <row r="71">
          <cell r="A71" t="str">
            <v>Zimbabwe</v>
          </cell>
        </row>
        <row r="72">
          <cell r="A72" t="str">
            <v>United Arab Emirates</v>
          </cell>
          <cell r="B72">
            <v>0.44</v>
          </cell>
          <cell r="C72">
            <v>0.56000000000000005</v>
          </cell>
        </row>
        <row r="73">
          <cell r="A73" t="str">
            <v>Lebanon</v>
          </cell>
        </row>
        <row r="74">
          <cell r="A74" t="str">
            <v>Lithuania</v>
          </cell>
        </row>
        <row r="75">
          <cell r="A75" t="str">
            <v>Myanmar (Burma)</v>
          </cell>
        </row>
        <row r="76">
          <cell r="A76" t="str">
            <v>South Africa</v>
          </cell>
          <cell r="B76">
            <v>0.51</v>
          </cell>
          <cell r="C76">
            <v>0.49</v>
          </cell>
        </row>
        <row r="77">
          <cell r="A77" t="str">
            <v>Malaysia</v>
          </cell>
          <cell r="B77">
            <v>0.49</v>
          </cell>
          <cell r="C77">
            <v>0.51</v>
          </cell>
        </row>
        <row r="78">
          <cell r="A78" t="str">
            <v>Poland</v>
          </cell>
          <cell r="B78">
            <v>0.41</v>
          </cell>
          <cell r="C78">
            <v>0.59</v>
          </cell>
        </row>
        <row r="79">
          <cell r="A79" t="str">
            <v>Mozambique</v>
          </cell>
        </row>
        <row r="80">
          <cell r="A80" t="str">
            <v>Trinidad &amp; Tobago</v>
          </cell>
        </row>
        <row r="81">
          <cell r="A81" t="str">
            <v>Romania</v>
          </cell>
          <cell r="B81">
            <v>0.3</v>
          </cell>
          <cell r="C81">
            <v>0.7</v>
          </cell>
        </row>
        <row r="82">
          <cell r="A82" t="str">
            <v>Angola</v>
          </cell>
        </row>
        <row r="83">
          <cell r="A83" t="str">
            <v>Namibia</v>
          </cell>
        </row>
        <row r="84">
          <cell r="A84" t="str">
            <v>Mongolia</v>
          </cell>
        </row>
        <row r="85">
          <cell r="A85" t="str">
            <v>France</v>
          </cell>
          <cell r="B85">
            <v>0.75</v>
          </cell>
          <cell r="C85">
            <v>0.25</v>
          </cell>
        </row>
        <row r="86">
          <cell r="A86" t="str">
            <v>Ghana</v>
          </cell>
        </row>
        <row r="87">
          <cell r="A87" t="str">
            <v>Bhutan</v>
          </cell>
        </row>
        <row r="88">
          <cell r="A88" t="str">
            <v>Belgium</v>
          </cell>
          <cell r="B88">
            <v>0.54</v>
          </cell>
          <cell r="C88">
            <v>0.46</v>
          </cell>
        </row>
        <row r="89">
          <cell r="A89" t="str">
            <v>Jersey</v>
          </cell>
        </row>
        <row r="90">
          <cell r="A90" t="str">
            <v>Russia</v>
          </cell>
          <cell r="B90">
            <v>0.47</v>
          </cell>
          <cell r="C90">
            <v>0.53</v>
          </cell>
        </row>
        <row r="91">
          <cell r="A91" t="str">
            <v>Barbados</v>
          </cell>
        </row>
        <row r="92">
          <cell r="A92" t="str">
            <v>Guatemala</v>
          </cell>
        </row>
        <row r="93">
          <cell r="A93" t="str">
            <v>Ukraine</v>
          </cell>
          <cell r="B93">
            <v>0.49</v>
          </cell>
          <cell r="C93">
            <v>0.51</v>
          </cell>
        </row>
        <row r="94">
          <cell r="A94" t="str">
            <v>Guyana</v>
          </cell>
        </row>
        <row r="95">
          <cell r="A95" t="str">
            <v>Spain</v>
          </cell>
          <cell r="B95">
            <v>0.68</v>
          </cell>
          <cell r="C95">
            <v>0.32</v>
          </cell>
        </row>
        <row r="96">
          <cell r="A96" t="str">
            <v>Bosnia &amp; Herzegovina</v>
          </cell>
        </row>
        <row r="97">
          <cell r="A97" t="str">
            <v>Zambia</v>
          </cell>
        </row>
        <row r="98">
          <cell r="A98" t="str">
            <v>Uzbekistan</v>
          </cell>
        </row>
        <row r="99">
          <cell r="A99" t="str">
            <v>Kenya</v>
          </cell>
          <cell r="B99">
            <v>0.53</v>
          </cell>
          <cell r="C99">
            <v>0.47</v>
          </cell>
        </row>
        <row r="100">
          <cell r="A100" t="str">
            <v>Bahamas</v>
          </cell>
        </row>
        <row r="101">
          <cell r="A101" t="str">
            <v>Costa Rica</v>
          </cell>
        </row>
        <row r="102">
          <cell r="A102" t="str">
            <v>Qatar</v>
          </cell>
        </row>
        <row r="103">
          <cell r="A103" t="str">
            <v>Laos</v>
          </cell>
        </row>
        <row r="104">
          <cell r="A104" t="str">
            <v>Somalia</v>
          </cell>
        </row>
        <row r="105">
          <cell r="A105" t="str">
            <v>Malawi</v>
          </cell>
        </row>
        <row r="106">
          <cell r="A106" t="str">
            <v>Oman</v>
          </cell>
        </row>
        <row r="107">
          <cell r="A107" t="str">
            <v>Honduras</v>
          </cell>
        </row>
        <row r="108">
          <cell r="A108" t="str">
            <v>Tanzania</v>
          </cell>
        </row>
        <row r="109">
          <cell r="A109" t="str">
            <v>Benin</v>
          </cell>
        </row>
        <row r="110">
          <cell r="A110" t="str">
            <v>Ecuador</v>
          </cell>
        </row>
        <row r="111">
          <cell r="A111" t="str">
            <v>Nicaragua</v>
          </cell>
        </row>
        <row r="112">
          <cell r="A112" t="str">
            <v>El Salvador</v>
          </cell>
        </row>
        <row r="113">
          <cell r="A113" t="str">
            <v>Moldova</v>
          </cell>
        </row>
        <row r="114">
          <cell r="A114" t="str">
            <v>Hungary</v>
          </cell>
          <cell r="B114">
            <v>0.46</v>
          </cell>
          <cell r="C114">
            <v>0.54</v>
          </cell>
        </row>
        <row r="115">
          <cell r="A115" t="str">
            <v>Bahrain</v>
          </cell>
        </row>
        <row r="116">
          <cell r="A116" t="str">
            <v>Uganda</v>
          </cell>
        </row>
        <row r="117">
          <cell r="A117" t="str">
            <v>Tajikistan</v>
          </cell>
        </row>
        <row r="118">
          <cell r="A118" t="str">
            <v>Albania</v>
          </cell>
        </row>
        <row r="119">
          <cell r="A119" t="str">
            <v>Nigeria</v>
          </cell>
          <cell r="B119">
            <v>0.46</v>
          </cell>
          <cell r="C119">
            <v>0.54</v>
          </cell>
        </row>
        <row r="120">
          <cell r="A120" t="str">
            <v>Kazakhstan</v>
          </cell>
          <cell r="B120">
            <v>0.55000000000000004</v>
          </cell>
          <cell r="C120">
            <v>0.45</v>
          </cell>
        </row>
        <row r="121">
          <cell r="A121" t="str">
            <v>Kuwait</v>
          </cell>
        </row>
        <row r="122">
          <cell r="A122" t="str">
            <v>Colombia</v>
          </cell>
          <cell r="B122">
            <v>0.71</v>
          </cell>
          <cell r="C122">
            <v>0.28999999999999998</v>
          </cell>
        </row>
        <row r="123">
          <cell r="A123" t="str">
            <v>Jordan</v>
          </cell>
        </row>
        <row r="124">
          <cell r="A124" t="str">
            <v>Italy</v>
          </cell>
          <cell r="B124">
            <v>0.5</v>
          </cell>
          <cell r="C124">
            <v>0.5</v>
          </cell>
        </row>
        <row r="125">
          <cell r="A125" t="str">
            <v>Chile</v>
          </cell>
          <cell r="B125">
            <v>0.63</v>
          </cell>
          <cell r="C125">
            <v>0.37</v>
          </cell>
        </row>
        <row r="126">
          <cell r="A126" t="str">
            <v>Mexico</v>
          </cell>
          <cell r="B126">
            <v>0.66</v>
          </cell>
          <cell r="C126">
            <v>0.34</v>
          </cell>
        </row>
        <row r="127">
          <cell r="A127" t="str">
            <v>Thailand</v>
          </cell>
          <cell r="B127">
            <v>0.42</v>
          </cell>
          <cell r="C127">
            <v>0.57999999999999996</v>
          </cell>
        </row>
        <row r="128">
          <cell r="A128" t="str">
            <v>Bolivia</v>
          </cell>
        </row>
        <row r="129">
          <cell r="A129" t="str">
            <v>Puerto Rico</v>
          </cell>
        </row>
        <row r="130">
          <cell r="A130" t="str">
            <v>Senegal</v>
          </cell>
        </row>
        <row r="131">
          <cell r="A131" t="str">
            <v>Panama</v>
          </cell>
        </row>
        <row r="132">
          <cell r="A132" t="str">
            <v>Morocco</v>
          </cell>
        </row>
        <row r="133">
          <cell r="A133" t="str">
            <v>Congo - Kinshasa</v>
          </cell>
        </row>
        <row r="134">
          <cell r="A134" t="str">
            <v>RÃ©union</v>
          </cell>
        </row>
        <row r="135">
          <cell r="A135" t="str">
            <v>Uruguay</v>
          </cell>
        </row>
        <row r="136">
          <cell r="A136" t="str">
            <v>Peru</v>
          </cell>
          <cell r="B136">
            <v>0.66</v>
          </cell>
          <cell r="C136">
            <v>0.34</v>
          </cell>
        </row>
        <row r="137">
          <cell r="A137" t="str">
            <v>Kyrgyzstan</v>
          </cell>
        </row>
        <row r="138">
          <cell r="A138" t="str">
            <v>Georgia</v>
          </cell>
        </row>
        <row r="139">
          <cell r="A139" t="str">
            <v>Turkey</v>
          </cell>
          <cell r="B139">
            <v>0.59</v>
          </cell>
          <cell r="C139">
            <v>0.41</v>
          </cell>
        </row>
        <row r="140">
          <cell r="A140" t="str">
            <v>Azerbaijan</v>
          </cell>
        </row>
        <row r="141">
          <cell r="A141" t="str">
            <v>Brazil</v>
          </cell>
          <cell r="B141">
            <v>0.6</v>
          </cell>
          <cell r="C141">
            <v>0.4</v>
          </cell>
        </row>
        <row r="142">
          <cell r="A142" t="str">
            <v>Indonesia</v>
          </cell>
          <cell r="B142">
            <v>0.24</v>
          </cell>
          <cell r="C142">
            <v>0.76</v>
          </cell>
        </row>
        <row r="143">
          <cell r="A143" t="str">
            <v>Egypt</v>
          </cell>
          <cell r="B143">
            <v>0.48</v>
          </cell>
          <cell r="C143">
            <v>0.52</v>
          </cell>
        </row>
        <row r="144">
          <cell r="A144" t="str">
            <v>CÃ´te dâ€™Ivoire</v>
          </cell>
        </row>
        <row r="145">
          <cell r="A145" t="str">
            <v>Sudan</v>
          </cell>
        </row>
        <row r="146">
          <cell r="A146" t="str">
            <v>Vietnam</v>
          </cell>
          <cell r="B146">
            <v>0.3</v>
          </cell>
          <cell r="C146">
            <v>0.7</v>
          </cell>
        </row>
        <row r="147">
          <cell r="A147" t="str">
            <v>Kosovo</v>
          </cell>
        </row>
        <row r="148">
          <cell r="A148" t="str">
            <v>Paraguay</v>
          </cell>
        </row>
        <row r="149">
          <cell r="A149" t="str">
            <v>Syria</v>
          </cell>
        </row>
        <row r="150">
          <cell r="A150" t="str">
            <v>Dominican Republic</v>
          </cell>
        </row>
        <row r="151">
          <cell r="A151" t="str">
            <v>Saudi Arabia</v>
          </cell>
          <cell r="B151">
            <v>0.45</v>
          </cell>
          <cell r="C151">
            <v>0.55000000000000004</v>
          </cell>
        </row>
        <row r="152">
          <cell r="A152" t="str">
            <v>Argentina</v>
          </cell>
          <cell r="B152">
            <v>0.56000000000000005</v>
          </cell>
          <cell r="C152">
            <v>0.44</v>
          </cell>
        </row>
        <row r="153">
          <cell r="A153" t="str">
            <v>Algeria</v>
          </cell>
        </row>
        <row r="154">
          <cell r="A154" t="str">
            <v>Libya</v>
          </cell>
        </row>
        <row r="155">
          <cell r="A155" t="str">
            <v>Iraq</v>
          </cell>
        </row>
        <row r="156">
          <cell r="A156" t="str">
            <v>Venezuela</v>
          </cell>
        </row>
        <row r="157">
          <cell r="A157" t="str">
            <v>Yemen</v>
          </cell>
        </row>
        <row r="158">
          <cell r="A158" t="str">
            <v>Palestine</v>
          </cell>
        </row>
        <row r="159">
          <cell r="A159" t="str">
            <v>Cook Islands</v>
          </cell>
        </row>
        <row r="160">
          <cell r="A160" t="str">
            <v>St. Pierre &amp; Miquelon</v>
          </cell>
        </row>
        <row r="161">
          <cell r="A161" t="str">
            <v>SÃ£o TomÃ© &amp; PrÃ­ncipe</v>
          </cell>
        </row>
        <row r="162">
          <cell r="A162" t="str">
            <v>Micronesia</v>
          </cell>
        </row>
        <row r="163">
          <cell r="A163" t="str">
            <v>Liechtenstein</v>
          </cell>
        </row>
        <row r="164">
          <cell r="A164" t="str">
            <v>Central African Republic</v>
          </cell>
        </row>
        <row r="165">
          <cell r="A165" t="str">
            <v>Monaco</v>
          </cell>
        </row>
        <row r="166">
          <cell r="A166" t="str">
            <v>Tonga</v>
          </cell>
        </row>
        <row r="167">
          <cell r="A167" t="str">
            <v>British Virgin Islands</v>
          </cell>
        </row>
        <row r="168">
          <cell r="A168" t="str">
            <v>Gibraltar</v>
          </cell>
        </row>
        <row r="169">
          <cell r="A169" t="str">
            <v>Northern Mariana Islands</v>
          </cell>
        </row>
        <row r="170">
          <cell r="A170" t="str">
            <v>Sint Maarten</v>
          </cell>
        </row>
        <row r="171">
          <cell r="A171" t="str">
            <v>Anguilla</v>
          </cell>
        </row>
        <row r="172">
          <cell r="A172" t="str">
            <v>St. Martin</v>
          </cell>
        </row>
        <row r="173">
          <cell r="A173" t="str">
            <v>Faroe Islands</v>
          </cell>
        </row>
        <row r="174">
          <cell r="A174" t="str">
            <v>Caribbean Netherlands</v>
          </cell>
        </row>
        <row r="175">
          <cell r="A175" t="str">
            <v>Samoa</v>
          </cell>
        </row>
        <row r="176">
          <cell r="A176" t="str">
            <v>St. Vincent &amp; Grenadines</v>
          </cell>
        </row>
        <row r="177">
          <cell r="A177" t="str">
            <v>Ã…land Islands</v>
          </cell>
        </row>
        <row r="178">
          <cell r="A178" t="str">
            <v>U.S. Virgin Islands</v>
          </cell>
        </row>
        <row r="179">
          <cell r="A179" t="str">
            <v>San Marino</v>
          </cell>
        </row>
        <row r="180">
          <cell r="A180" t="str">
            <v>Solomon Islands</v>
          </cell>
        </row>
        <row r="181">
          <cell r="A181" t="str">
            <v>Burundi</v>
          </cell>
        </row>
        <row r="182">
          <cell r="A182" t="str">
            <v>Eswatini</v>
          </cell>
        </row>
        <row r="183">
          <cell r="A183" t="str">
            <v>Cayman Islands</v>
          </cell>
        </row>
        <row r="184">
          <cell r="A184" t="str">
            <v>Grenada</v>
          </cell>
        </row>
        <row r="185">
          <cell r="A185" t="str">
            <v>Togo</v>
          </cell>
        </row>
        <row r="186">
          <cell r="A186" t="str">
            <v>Bermuda</v>
          </cell>
        </row>
        <row r="187">
          <cell r="A187" t="str">
            <v>Equatorial Guinea</v>
          </cell>
        </row>
        <row r="188">
          <cell r="A188" t="str">
            <v>South Sudan</v>
          </cell>
        </row>
        <row r="189">
          <cell r="A189" t="str">
            <v>Guernsey</v>
          </cell>
        </row>
        <row r="190">
          <cell r="A190" t="str">
            <v>St. BarthÃ©lemy</v>
          </cell>
        </row>
        <row r="191">
          <cell r="A191" t="str">
            <v>Gambia</v>
          </cell>
        </row>
        <row r="192">
          <cell r="A192" t="str">
            <v>Turks &amp; Caicos Islands</v>
          </cell>
        </row>
        <row r="193">
          <cell r="A193" t="str">
            <v>Greenland</v>
          </cell>
        </row>
        <row r="194">
          <cell r="A194" t="str">
            <v>Dominica</v>
          </cell>
        </row>
        <row r="195">
          <cell r="A195" t="str">
            <v>Cape Verde</v>
          </cell>
        </row>
        <row r="196">
          <cell r="A196" t="str">
            <v>Andorra</v>
          </cell>
        </row>
        <row r="197">
          <cell r="A197" t="str">
            <v>St. Kitts &amp; Nevis</v>
          </cell>
        </row>
        <row r="198">
          <cell r="A198" t="str">
            <v>French Polynesia</v>
          </cell>
        </row>
        <row r="199">
          <cell r="A199" t="str">
            <v>Seychelles</v>
          </cell>
        </row>
        <row r="200">
          <cell r="A200" t="str">
            <v>Turkmenistan</v>
          </cell>
        </row>
        <row r="201">
          <cell r="A201" t="str">
            <v>Djibouti</v>
          </cell>
        </row>
        <row r="202">
          <cell r="A202" t="str">
            <v>Haiti</v>
          </cell>
        </row>
        <row r="203">
          <cell r="A203" t="str">
            <v>Gabon</v>
          </cell>
        </row>
        <row r="204">
          <cell r="A204" t="str">
            <v>Mayotte</v>
          </cell>
        </row>
        <row r="205">
          <cell r="A205" t="str">
            <v>New Caledonia</v>
          </cell>
        </row>
        <row r="206">
          <cell r="A206" t="str">
            <v>Congo - Brazzaville</v>
          </cell>
        </row>
        <row r="207">
          <cell r="A207" t="str">
            <v>CuraÃ§ao</v>
          </cell>
        </row>
        <row r="208">
          <cell r="A208" t="str">
            <v>Aruba</v>
          </cell>
        </row>
        <row r="209">
          <cell r="A209" t="str">
            <v>Guadeloupe</v>
          </cell>
        </row>
        <row r="210">
          <cell r="A210" t="str">
            <v>St. Lucia</v>
          </cell>
        </row>
        <row r="211">
          <cell r="A211" t="str">
            <v>Chad</v>
          </cell>
        </row>
        <row r="212">
          <cell r="A212" t="str">
            <v>Mauritania</v>
          </cell>
        </row>
        <row r="213">
          <cell r="A213" t="str">
            <v>Timor-Leste</v>
          </cell>
        </row>
        <row r="214">
          <cell r="A214" t="str">
            <v>Mali</v>
          </cell>
        </row>
        <row r="215">
          <cell r="A215" t="str">
            <v>Burkina Faso</v>
          </cell>
        </row>
        <row r="216">
          <cell r="A216" t="str">
            <v>Antigua &amp; Barbuda</v>
          </cell>
        </row>
        <row r="217">
          <cell r="A217" t="str">
            <v>Niger</v>
          </cell>
        </row>
        <row r="218">
          <cell r="A218" t="str">
            <v>Suriname</v>
          </cell>
        </row>
        <row r="219">
          <cell r="A219" t="str">
            <v>French Guiana</v>
          </cell>
        </row>
        <row r="220">
          <cell r="A220" t="str">
            <v>Guinea</v>
          </cell>
        </row>
        <row r="221">
          <cell r="A221" t="str">
            <v>Sierra Leone</v>
          </cell>
        </row>
        <row r="222">
          <cell r="A222" t="str">
            <v>Martinique</v>
          </cell>
        </row>
        <row r="223">
          <cell r="A223" t="str">
            <v>Liberia</v>
          </cell>
        </row>
        <row r="224">
          <cell r="A224" t="str">
            <v>American Samoa</v>
          </cell>
        </row>
        <row r="225">
          <cell r="A225" t="str">
            <v>Antarctica</v>
          </cell>
        </row>
        <row r="226">
          <cell r="A226" t="str">
            <v>French Southern Territories</v>
          </cell>
        </row>
        <row r="227">
          <cell r="A227" t="str">
            <v>Bouvet Island</v>
          </cell>
        </row>
        <row r="228">
          <cell r="A228" t="str">
            <v>Cocos (Keeling) Islands</v>
          </cell>
        </row>
        <row r="229">
          <cell r="A229" t="str">
            <v>Comoros</v>
          </cell>
        </row>
        <row r="230">
          <cell r="A230" t="str">
            <v>Christmas Island</v>
          </cell>
        </row>
        <row r="231">
          <cell r="A231" t="str">
            <v>Eritrea</v>
          </cell>
        </row>
        <row r="232">
          <cell r="A232" t="str">
            <v>Western Sahara</v>
          </cell>
        </row>
        <row r="233">
          <cell r="A233" t="str">
            <v>Falkland Islands (Islas Malvinas)</v>
          </cell>
        </row>
        <row r="234">
          <cell r="A234" t="str">
            <v>Guinea-Bissau</v>
          </cell>
        </row>
        <row r="235">
          <cell r="A235" t="str">
            <v>Heard &amp; McDonald Islands</v>
          </cell>
        </row>
        <row r="236">
          <cell r="A236" t="str">
            <v>British Indian Ocean Territory</v>
          </cell>
        </row>
        <row r="237">
          <cell r="A237" t="str">
            <v>Kiribati</v>
          </cell>
        </row>
        <row r="238">
          <cell r="A238" t="str">
            <v>Marshall Islands</v>
          </cell>
        </row>
        <row r="239">
          <cell r="A239" t="str">
            <v>Montserrat</v>
          </cell>
        </row>
        <row r="240">
          <cell r="A240" t="str">
            <v>Norfolk Island</v>
          </cell>
        </row>
        <row r="241">
          <cell r="A241" t="str">
            <v>Niue</v>
          </cell>
        </row>
        <row r="242">
          <cell r="A242" t="str">
            <v>Nauru</v>
          </cell>
        </row>
        <row r="243">
          <cell r="A243" t="str">
            <v>Pitcairn Islands</v>
          </cell>
        </row>
        <row r="244">
          <cell r="A244" t="str">
            <v>Palau</v>
          </cell>
        </row>
        <row r="245">
          <cell r="A245" t="str">
            <v>North Korea</v>
          </cell>
        </row>
        <row r="246">
          <cell r="A246" t="str">
            <v>South Georgia &amp; South Sandwich Islands</v>
          </cell>
        </row>
        <row r="247">
          <cell r="A247" t="str">
            <v>Svalbard &amp; Jan Mayen</v>
          </cell>
        </row>
        <row r="248">
          <cell r="A248" t="str">
            <v>Tokelau</v>
          </cell>
        </row>
        <row r="249">
          <cell r="A249" t="str">
            <v>Tuvalu</v>
          </cell>
        </row>
        <row r="250">
          <cell r="A250" t="str">
            <v>U.S. Outlying Islands</v>
          </cell>
        </row>
        <row r="251">
          <cell r="A251" t="str">
            <v>Vatican City</v>
          </cell>
        </row>
        <row r="252">
          <cell r="A252" t="str">
            <v>Vanuatu</v>
          </cell>
        </row>
        <row r="253">
          <cell r="A253" t="str">
            <v>Wallis &amp; Futuna</v>
          </cell>
        </row>
      </sheetData>
    </sheetDataSet>
  </externalBook>
</externalLink>
</file>

<file path=xl/externalLinks/externalLink2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2)"/>
    </sheetNames>
    <sheetDataSet>
      <sheetData sheetId="0">
        <row r="1">
          <cell r="A1" t="str">
            <v>Kategori: TÃ¼m kategoriler</v>
          </cell>
        </row>
        <row r="3">
          <cell r="A3" t="str">
            <v>Ãœlke</v>
          </cell>
          <cell r="B3" t="str">
            <v>YÄ±ÄŸÄ±n: (2016)</v>
          </cell>
          <cell r="C3" t="str">
            <v>DÃ¼zenli ifade: (2016)</v>
          </cell>
        </row>
        <row r="4">
          <cell r="A4" t="str">
            <v>China</v>
          </cell>
          <cell r="B4">
            <v>0.34</v>
          </cell>
          <cell r="C4">
            <v>0.66</v>
          </cell>
        </row>
        <row r="5">
          <cell r="A5" t="str">
            <v>Taiwan</v>
          </cell>
          <cell r="B5">
            <v>0.79</v>
          </cell>
          <cell r="C5">
            <v>0.21</v>
          </cell>
        </row>
        <row r="6">
          <cell r="A6" t="str">
            <v>Cuba</v>
          </cell>
        </row>
        <row r="7">
          <cell r="A7" t="str">
            <v>St. Helena</v>
          </cell>
        </row>
        <row r="8">
          <cell r="A8" t="str">
            <v>South Korea</v>
          </cell>
          <cell r="B8">
            <v>0.49</v>
          </cell>
          <cell r="C8">
            <v>0.51</v>
          </cell>
        </row>
        <row r="9">
          <cell r="A9" t="str">
            <v>Hong Kong</v>
          </cell>
          <cell r="B9">
            <v>0.59</v>
          </cell>
          <cell r="C9">
            <v>0.41</v>
          </cell>
        </row>
        <row r="10">
          <cell r="A10" t="str">
            <v>Luxembourg</v>
          </cell>
        </row>
        <row r="11">
          <cell r="A11" t="str">
            <v>Czechia</v>
          </cell>
          <cell r="B11">
            <v>0.59</v>
          </cell>
          <cell r="C11">
            <v>0.41</v>
          </cell>
        </row>
        <row r="12">
          <cell r="A12" t="str">
            <v>Singapore</v>
          </cell>
          <cell r="B12">
            <v>0.56000000000000005</v>
          </cell>
          <cell r="C12">
            <v>0.44</v>
          </cell>
        </row>
        <row r="13">
          <cell r="A13" t="str">
            <v>Gibraltar</v>
          </cell>
        </row>
        <row r="14">
          <cell r="A14" t="str">
            <v>Iceland</v>
          </cell>
        </row>
        <row r="15">
          <cell r="A15" t="str">
            <v>Israel</v>
          </cell>
          <cell r="B15">
            <v>0.4</v>
          </cell>
          <cell r="C15">
            <v>0.6</v>
          </cell>
        </row>
        <row r="16">
          <cell r="A16" t="str">
            <v>Slovakia</v>
          </cell>
          <cell r="B16">
            <v>0.65</v>
          </cell>
          <cell r="C16">
            <v>0.35</v>
          </cell>
        </row>
        <row r="17">
          <cell r="A17" t="str">
            <v>Slovenia</v>
          </cell>
          <cell r="B17">
            <v>0.63</v>
          </cell>
          <cell r="C17">
            <v>0.37</v>
          </cell>
        </row>
        <row r="18">
          <cell r="A18" t="str">
            <v>Belarus</v>
          </cell>
          <cell r="B18">
            <v>0.34</v>
          </cell>
          <cell r="C18">
            <v>0.66</v>
          </cell>
        </row>
        <row r="19">
          <cell r="A19" t="str">
            <v>Estonia</v>
          </cell>
        </row>
        <row r="20">
          <cell r="A20" t="str">
            <v>Japan</v>
          </cell>
          <cell r="B20">
            <v>0.37</v>
          </cell>
          <cell r="C20">
            <v>0.63</v>
          </cell>
        </row>
        <row r="21">
          <cell r="A21" t="str">
            <v>Macao</v>
          </cell>
        </row>
        <row r="22">
          <cell r="A22" t="str">
            <v>Switzerland</v>
          </cell>
          <cell r="B22">
            <v>0.34</v>
          </cell>
          <cell r="C22">
            <v>0.66</v>
          </cell>
        </row>
        <row r="23">
          <cell r="A23" t="str">
            <v>Guam</v>
          </cell>
        </row>
        <row r="24">
          <cell r="A24" t="str">
            <v>India</v>
          </cell>
          <cell r="B24">
            <v>0.53</v>
          </cell>
          <cell r="C24">
            <v>0.47</v>
          </cell>
        </row>
        <row r="25">
          <cell r="A25" t="str">
            <v>Ethiopia</v>
          </cell>
        </row>
        <row r="26">
          <cell r="A26" t="str">
            <v>New Zealand</v>
          </cell>
          <cell r="B26">
            <v>0.55000000000000004</v>
          </cell>
          <cell r="C26">
            <v>0.45</v>
          </cell>
        </row>
        <row r="27">
          <cell r="A27" t="str">
            <v>Philippines</v>
          </cell>
          <cell r="B27">
            <v>0.71</v>
          </cell>
          <cell r="C27">
            <v>0.28999999999999998</v>
          </cell>
        </row>
        <row r="28">
          <cell r="A28" t="str">
            <v>Sweden</v>
          </cell>
          <cell r="B28">
            <v>0.46</v>
          </cell>
          <cell r="C28">
            <v>0.54</v>
          </cell>
        </row>
        <row r="29">
          <cell r="A29" t="str">
            <v>Malta</v>
          </cell>
        </row>
        <row r="30">
          <cell r="A30" t="str">
            <v>Ireland</v>
          </cell>
          <cell r="B30">
            <v>0.5</v>
          </cell>
          <cell r="C30">
            <v>0.5</v>
          </cell>
        </row>
        <row r="31">
          <cell r="A31" t="str">
            <v>United States</v>
          </cell>
          <cell r="B31">
            <v>0.56999999999999995</v>
          </cell>
          <cell r="C31">
            <v>0.43</v>
          </cell>
        </row>
        <row r="32">
          <cell r="A32" t="str">
            <v>Australia</v>
          </cell>
          <cell r="B32">
            <v>0.59</v>
          </cell>
          <cell r="C32">
            <v>0.41</v>
          </cell>
        </row>
        <row r="33">
          <cell r="A33" t="str">
            <v>Ukraine</v>
          </cell>
          <cell r="B33">
            <v>0.35</v>
          </cell>
          <cell r="C33">
            <v>0.65</v>
          </cell>
        </row>
        <row r="34">
          <cell r="A34" t="str">
            <v>Germany</v>
          </cell>
          <cell r="B34">
            <v>0.38</v>
          </cell>
          <cell r="C34">
            <v>0.62</v>
          </cell>
        </row>
        <row r="35">
          <cell r="A35" t="str">
            <v>Latvia</v>
          </cell>
        </row>
        <row r="36">
          <cell r="A36" t="str">
            <v>Canada</v>
          </cell>
          <cell r="B36">
            <v>0.55000000000000004</v>
          </cell>
          <cell r="C36">
            <v>0.45</v>
          </cell>
        </row>
        <row r="37">
          <cell r="A37" t="str">
            <v>Isle of Man</v>
          </cell>
        </row>
        <row r="38">
          <cell r="A38" t="str">
            <v>Madagascar</v>
          </cell>
        </row>
        <row r="39">
          <cell r="A39" t="str">
            <v>Bulgaria</v>
          </cell>
          <cell r="B39">
            <v>0.44</v>
          </cell>
          <cell r="C39">
            <v>0.56000000000000005</v>
          </cell>
        </row>
        <row r="40">
          <cell r="A40" t="str">
            <v>Finland</v>
          </cell>
          <cell r="B40">
            <v>0.48</v>
          </cell>
          <cell r="C40">
            <v>0.52</v>
          </cell>
        </row>
        <row r="41">
          <cell r="A41" t="str">
            <v>Armenia</v>
          </cell>
        </row>
        <row r="42">
          <cell r="A42" t="str">
            <v>Austria</v>
          </cell>
          <cell r="B42">
            <v>0.4</v>
          </cell>
          <cell r="C42">
            <v>0.6</v>
          </cell>
        </row>
        <row r="43">
          <cell r="A43" t="str">
            <v>Afghanistan</v>
          </cell>
        </row>
        <row r="44">
          <cell r="A44" t="str">
            <v>Netherlands</v>
          </cell>
          <cell r="B44">
            <v>0.51</v>
          </cell>
          <cell r="C44">
            <v>0.49</v>
          </cell>
        </row>
        <row r="45">
          <cell r="A45" t="str">
            <v>Botswana</v>
          </cell>
        </row>
        <row r="46">
          <cell r="A46" t="str">
            <v>Norway</v>
          </cell>
          <cell r="B46">
            <v>0.53</v>
          </cell>
          <cell r="C46">
            <v>0.47</v>
          </cell>
        </row>
        <row r="47">
          <cell r="A47" t="str">
            <v>Russia</v>
          </cell>
          <cell r="B47">
            <v>0.39</v>
          </cell>
          <cell r="C47">
            <v>0.61</v>
          </cell>
        </row>
        <row r="48">
          <cell r="A48" t="str">
            <v>Nepal</v>
          </cell>
        </row>
        <row r="49">
          <cell r="A49" t="str">
            <v>United Kingdom</v>
          </cell>
          <cell r="B49">
            <v>0.54</v>
          </cell>
          <cell r="C49">
            <v>0.46</v>
          </cell>
        </row>
        <row r="50">
          <cell r="A50" t="str">
            <v>Pakistan</v>
          </cell>
          <cell r="B50">
            <v>0.61</v>
          </cell>
          <cell r="C50">
            <v>0.39</v>
          </cell>
        </row>
        <row r="51">
          <cell r="A51" t="str">
            <v>Hungary</v>
          </cell>
          <cell r="B51">
            <v>0.35</v>
          </cell>
          <cell r="C51">
            <v>0.65</v>
          </cell>
        </row>
        <row r="52">
          <cell r="A52" t="str">
            <v>North Macedonia</v>
          </cell>
        </row>
        <row r="53">
          <cell r="A53" t="str">
            <v>Papua New Guinea</v>
          </cell>
        </row>
        <row r="54">
          <cell r="A54" t="str">
            <v>Iran</v>
          </cell>
          <cell r="B54">
            <v>0.79</v>
          </cell>
          <cell r="C54">
            <v>0.21</v>
          </cell>
        </row>
        <row r="55">
          <cell r="A55" t="str">
            <v>Rwanda</v>
          </cell>
        </row>
        <row r="56">
          <cell r="A56" t="str">
            <v>Denmark</v>
          </cell>
          <cell r="B56">
            <v>0.48</v>
          </cell>
          <cell r="C56">
            <v>0.52</v>
          </cell>
        </row>
        <row r="57">
          <cell r="A57" t="str">
            <v>Belgium</v>
          </cell>
          <cell r="B57">
            <v>0.38</v>
          </cell>
          <cell r="C57">
            <v>0.62</v>
          </cell>
        </row>
        <row r="58">
          <cell r="A58" t="str">
            <v>Sri Lanka</v>
          </cell>
          <cell r="B58">
            <v>0.55000000000000004</v>
          </cell>
          <cell r="C58">
            <v>0.45</v>
          </cell>
        </row>
        <row r="59">
          <cell r="A59" t="str">
            <v>Brunei</v>
          </cell>
        </row>
        <row r="60">
          <cell r="A60" t="str">
            <v>Lithuania</v>
          </cell>
          <cell r="B60">
            <v>0.48</v>
          </cell>
          <cell r="C60">
            <v>0.52</v>
          </cell>
        </row>
        <row r="61">
          <cell r="A61" t="str">
            <v>Poland</v>
          </cell>
          <cell r="B61">
            <v>0.47</v>
          </cell>
          <cell r="C61">
            <v>0.53</v>
          </cell>
        </row>
        <row r="62">
          <cell r="A62" t="str">
            <v>France</v>
          </cell>
          <cell r="B62">
            <v>0.22</v>
          </cell>
          <cell r="C62">
            <v>0.78</v>
          </cell>
        </row>
        <row r="63">
          <cell r="A63" t="str">
            <v>Mauritius</v>
          </cell>
        </row>
        <row r="64">
          <cell r="A64" t="str">
            <v>Jersey</v>
          </cell>
        </row>
        <row r="65">
          <cell r="A65" t="str">
            <v>Cyprus</v>
          </cell>
        </row>
        <row r="66">
          <cell r="A66" t="str">
            <v>Romania</v>
          </cell>
          <cell r="B66">
            <v>0.48</v>
          </cell>
          <cell r="C66">
            <v>0.52</v>
          </cell>
        </row>
        <row r="67">
          <cell r="A67" t="str">
            <v>Serbia</v>
          </cell>
          <cell r="B67">
            <v>0.52</v>
          </cell>
          <cell r="C67">
            <v>0.48</v>
          </cell>
        </row>
        <row r="68">
          <cell r="A68" t="str">
            <v>Greece</v>
          </cell>
          <cell r="B68">
            <v>0.66</v>
          </cell>
          <cell r="C68">
            <v>0.34</v>
          </cell>
        </row>
        <row r="69">
          <cell r="A69" t="str">
            <v>Jamaica</v>
          </cell>
        </row>
        <row r="70">
          <cell r="A70" t="str">
            <v>Croatia</v>
          </cell>
          <cell r="B70">
            <v>0.51</v>
          </cell>
          <cell r="C70">
            <v>0.49</v>
          </cell>
        </row>
        <row r="71">
          <cell r="A71" t="str">
            <v>Montenegro</v>
          </cell>
        </row>
        <row r="72">
          <cell r="A72" t="str">
            <v>Angola</v>
          </cell>
        </row>
        <row r="73">
          <cell r="A73" t="str">
            <v>Portugal</v>
          </cell>
          <cell r="B73">
            <v>0.43</v>
          </cell>
          <cell r="C73">
            <v>0.56999999999999995</v>
          </cell>
        </row>
        <row r="74">
          <cell r="A74" t="str">
            <v>Malaysia</v>
          </cell>
          <cell r="B74">
            <v>0.73</v>
          </cell>
          <cell r="C74">
            <v>0.27</v>
          </cell>
        </row>
        <row r="75">
          <cell r="A75" t="str">
            <v>United Arab Emirates</v>
          </cell>
          <cell r="B75">
            <v>0.68</v>
          </cell>
          <cell r="C75">
            <v>0.32</v>
          </cell>
        </row>
        <row r="76">
          <cell r="A76" t="str">
            <v>Mongolia</v>
          </cell>
        </row>
        <row r="77">
          <cell r="A77" t="str">
            <v>Moldova</v>
          </cell>
        </row>
        <row r="78">
          <cell r="A78" t="str">
            <v>South Africa</v>
          </cell>
          <cell r="B78">
            <v>0.62</v>
          </cell>
          <cell r="C78">
            <v>0.38</v>
          </cell>
        </row>
        <row r="79">
          <cell r="A79" t="str">
            <v>Namibia</v>
          </cell>
        </row>
        <row r="80">
          <cell r="A80" t="str">
            <v>Trinidad &amp; Tobago</v>
          </cell>
        </row>
        <row r="81">
          <cell r="A81" t="str">
            <v>Zimbabwe</v>
          </cell>
        </row>
        <row r="82">
          <cell r="A82" t="str">
            <v>Lesotho</v>
          </cell>
        </row>
        <row r="83">
          <cell r="A83" t="str">
            <v>Maldives</v>
          </cell>
        </row>
        <row r="84">
          <cell r="A84" t="str">
            <v>Myanmar (Burma)</v>
          </cell>
        </row>
        <row r="85">
          <cell r="A85" t="str">
            <v>Bosnia &amp; Herzegovina</v>
          </cell>
        </row>
        <row r="86">
          <cell r="A86" t="str">
            <v>Bangladesh</v>
          </cell>
          <cell r="B86">
            <v>0.63</v>
          </cell>
          <cell r="C86">
            <v>0.37</v>
          </cell>
        </row>
        <row r="87">
          <cell r="A87" t="str">
            <v>Fiji</v>
          </cell>
        </row>
        <row r="88">
          <cell r="A88" t="str">
            <v>Qatar</v>
          </cell>
        </row>
        <row r="89">
          <cell r="A89" t="str">
            <v>Lebanon</v>
          </cell>
        </row>
        <row r="90">
          <cell r="A90" t="str">
            <v>Ghana</v>
          </cell>
        </row>
        <row r="91">
          <cell r="A91" t="str">
            <v>Zambia</v>
          </cell>
        </row>
        <row r="92">
          <cell r="A92" t="str">
            <v>Spain</v>
          </cell>
          <cell r="B92">
            <v>0.34</v>
          </cell>
          <cell r="C92">
            <v>0.66</v>
          </cell>
        </row>
        <row r="93">
          <cell r="A93" t="str">
            <v>Guyana</v>
          </cell>
        </row>
        <row r="94">
          <cell r="A94" t="str">
            <v>Tunisia</v>
          </cell>
        </row>
        <row r="95">
          <cell r="A95" t="str">
            <v>Somalia</v>
          </cell>
        </row>
        <row r="96">
          <cell r="A96" t="str">
            <v>Bahrain</v>
          </cell>
        </row>
        <row r="97">
          <cell r="A97" t="str">
            <v>Uruguay</v>
          </cell>
        </row>
        <row r="98">
          <cell r="A98" t="str">
            <v>Laos</v>
          </cell>
        </row>
        <row r="99">
          <cell r="A99" t="str">
            <v>Uganda</v>
          </cell>
        </row>
        <row r="100">
          <cell r="A100" t="str">
            <v>Tanzania</v>
          </cell>
        </row>
        <row r="101">
          <cell r="A101" t="str">
            <v>Malawi</v>
          </cell>
        </row>
        <row r="102">
          <cell r="A102" t="str">
            <v>Barbados</v>
          </cell>
        </row>
        <row r="103">
          <cell r="A103" t="str">
            <v>Costa Rica</v>
          </cell>
        </row>
        <row r="104">
          <cell r="A104" t="str">
            <v>Bahamas</v>
          </cell>
        </row>
        <row r="105">
          <cell r="A105" t="str">
            <v>Kenya</v>
          </cell>
        </row>
        <row r="106">
          <cell r="A106" t="str">
            <v>Nigeria</v>
          </cell>
        </row>
        <row r="107">
          <cell r="A107" t="str">
            <v>Oman</v>
          </cell>
        </row>
        <row r="108">
          <cell r="A108" t="str">
            <v>Albania</v>
          </cell>
        </row>
        <row r="109">
          <cell r="A109" t="str">
            <v>Italy</v>
          </cell>
          <cell r="B109">
            <v>0.52</v>
          </cell>
          <cell r="C109">
            <v>0.48</v>
          </cell>
        </row>
        <row r="110">
          <cell r="A110" t="str">
            <v>Thailand</v>
          </cell>
          <cell r="B110">
            <v>0.7</v>
          </cell>
          <cell r="C110">
            <v>0.3</v>
          </cell>
        </row>
        <row r="111">
          <cell r="A111" t="str">
            <v>Kuwait</v>
          </cell>
        </row>
        <row r="112">
          <cell r="A112" t="str">
            <v>Uzbekistan</v>
          </cell>
        </row>
        <row r="113">
          <cell r="A113" t="str">
            <v>Puerto Rico</v>
          </cell>
        </row>
        <row r="114">
          <cell r="A114" t="str">
            <v>Cambodia</v>
          </cell>
        </row>
        <row r="115">
          <cell r="A115" t="str">
            <v>Jordan</v>
          </cell>
        </row>
        <row r="116">
          <cell r="A116" t="str">
            <v>Kazakhstan</v>
          </cell>
        </row>
        <row r="117">
          <cell r="A117" t="str">
            <v>Nicaragua</v>
          </cell>
        </row>
        <row r="118">
          <cell r="A118" t="str">
            <v>Cameroon</v>
          </cell>
        </row>
        <row r="119">
          <cell r="A119" t="str">
            <v>Georgia</v>
          </cell>
        </row>
        <row r="120">
          <cell r="A120" t="str">
            <v>Azerbaijan</v>
          </cell>
        </row>
        <row r="121">
          <cell r="A121" t="str">
            <v>Kosovo</v>
          </cell>
        </row>
        <row r="122">
          <cell r="A122" t="str">
            <v>RÃ©union</v>
          </cell>
        </row>
        <row r="123">
          <cell r="A123" t="str">
            <v>Vietnam</v>
          </cell>
          <cell r="B123">
            <v>0.52</v>
          </cell>
          <cell r="C123">
            <v>0.48</v>
          </cell>
        </row>
        <row r="124">
          <cell r="A124" t="str">
            <v>Indonesia</v>
          </cell>
          <cell r="B124">
            <v>0.69</v>
          </cell>
          <cell r="C124">
            <v>0.31</v>
          </cell>
        </row>
        <row r="125">
          <cell r="A125" t="str">
            <v>Sudan</v>
          </cell>
        </row>
        <row r="126">
          <cell r="A126" t="str">
            <v>Guatemala</v>
          </cell>
        </row>
        <row r="127">
          <cell r="A127" t="str">
            <v>Chile</v>
          </cell>
          <cell r="B127">
            <v>0.45</v>
          </cell>
          <cell r="C127">
            <v>0.55000000000000004</v>
          </cell>
        </row>
        <row r="128">
          <cell r="A128" t="str">
            <v>Turkmenistan</v>
          </cell>
        </row>
        <row r="129">
          <cell r="A129" t="str">
            <v>El Salvador</v>
          </cell>
        </row>
        <row r="130">
          <cell r="A130" t="str">
            <v>Egypt</v>
          </cell>
          <cell r="B130">
            <v>0.54</v>
          </cell>
          <cell r="C130">
            <v>0.46</v>
          </cell>
        </row>
        <row r="131">
          <cell r="A131" t="str">
            <v>Brazil</v>
          </cell>
          <cell r="B131">
            <v>0.42</v>
          </cell>
          <cell r="C131">
            <v>0.57999999999999996</v>
          </cell>
        </row>
        <row r="132">
          <cell r="A132" t="str">
            <v>Argentina</v>
          </cell>
          <cell r="B132">
            <v>0.4</v>
          </cell>
          <cell r="C132">
            <v>0.6</v>
          </cell>
        </row>
        <row r="133">
          <cell r="A133" t="str">
            <v>Syria</v>
          </cell>
        </row>
        <row r="134">
          <cell r="A134" t="str">
            <v>Panama</v>
          </cell>
        </row>
        <row r="135">
          <cell r="A135" t="str">
            <v>Bolivia</v>
          </cell>
        </row>
        <row r="136">
          <cell r="A136" t="str">
            <v>Mexico</v>
          </cell>
          <cell r="B136">
            <v>0.44</v>
          </cell>
          <cell r="C136">
            <v>0.56000000000000005</v>
          </cell>
        </row>
        <row r="137">
          <cell r="A137" t="str">
            <v>Morocco</v>
          </cell>
        </row>
        <row r="138">
          <cell r="A138" t="str">
            <v>Senegal</v>
          </cell>
        </row>
        <row r="139">
          <cell r="A139" t="str">
            <v>Palestine</v>
          </cell>
        </row>
        <row r="140">
          <cell r="A140" t="str">
            <v>Colombia</v>
          </cell>
          <cell r="B140">
            <v>0.39</v>
          </cell>
          <cell r="C140">
            <v>0.61</v>
          </cell>
        </row>
        <row r="141">
          <cell r="A141" t="str">
            <v>Libya</v>
          </cell>
        </row>
        <row r="142">
          <cell r="A142" t="str">
            <v>Kyrgyzstan</v>
          </cell>
        </row>
        <row r="143">
          <cell r="A143" t="str">
            <v>Mozambique</v>
          </cell>
        </row>
        <row r="144">
          <cell r="A144" t="str">
            <v>Saudi Arabia</v>
          </cell>
          <cell r="B144">
            <v>0.69</v>
          </cell>
          <cell r="C144">
            <v>0.31</v>
          </cell>
        </row>
        <row r="145">
          <cell r="A145" t="str">
            <v>Turkey</v>
          </cell>
          <cell r="B145">
            <v>0.59</v>
          </cell>
          <cell r="C145">
            <v>0.41</v>
          </cell>
        </row>
        <row r="146">
          <cell r="A146" t="str">
            <v>Honduras</v>
          </cell>
        </row>
        <row r="147">
          <cell r="A147" t="str">
            <v>Iraq</v>
          </cell>
        </row>
        <row r="148">
          <cell r="A148" t="str">
            <v>Ecuador</v>
          </cell>
        </row>
        <row r="149">
          <cell r="A149" t="str">
            <v>Dominican Republic</v>
          </cell>
        </row>
        <row r="150">
          <cell r="A150" t="str">
            <v>Peru</v>
          </cell>
          <cell r="B150">
            <v>0.5</v>
          </cell>
          <cell r="C150">
            <v>0.5</v>
          </cell>
        </row>
        <row r="151">
          <cell r="A151" t="str">
            <v>CÃ´te dâ€™Ivoire</v>
          </cell>
        </row>
        <row r="152">
          <cell r="A152" t="str">
            <v>Yemen</v>
          </cell>
        </row>
        <row r="153">
          <cell r="A153" t="str">
            <v>Paraguay</v>
          </cell>
        </row>
        <row r="154">
          <cell r="A154" t="str">
            <v>Venezuela</v>
          </cell>
        </row>
        <row r="155">
          <cell r="A155" t="str">
            <v>Algeria</v>
          </cell>
        </row>
        <row r="156">
          <cell r="A156" t="str">
            <v>Kiribati</v>
          </cell>
        </row>
        <row r="157">
          <cell r="A157" t="str">
            <v>Eritrea</v>
          </cell>
        </row>
        <row r="158">
          <cell r="A158" t="str">
            <v>Cook Islands</v>
          </cell>
        </row>
        <row r="159">
          <cell r="A159" t="str">
            <v>Solomon Islands</v>
          </cell>
        </row>
        <row r="160">
          <cell r="A160" t="str">
            <v>Turks &amp; Caicos Islands</v>
          </cell>
        </row>
        <row r="161">
          <cell r="A161" t="str">
            <v>St. Pierre &amp; Miquelon</v>
          </cell>
        </row>
        <row r="162">
          <cell r="A162" t="str">
            <v>Micronesia</v>
          </cell>
        </row>
        <row r="163">
          <cell r="A163" t="str">
            <v>Seychelles</v>
          </cell>
        </row>
        <row r="164">
          <cell r="A164" t="str">
            <v>Ã…land Islands</v>
          </cell>
        </row>
        <row r="165">
          <cell r="A165" t="str">
            <v>Caribbean Netherlands</v>
          </cell>
        </row>
        <row r="166">
          <cell r="A166" t="str">
            <v>Guernsey</v>
          </cell>
        </row>
        <row r="167">
          <cell r="A167" t="str">
            <v>Central African Republic</v>
          </cell>
        </row>
        <row r="168">
          <cell r="A168" t="str">
            <v>Equatorial Guinea</v>
          </cell>
        </row>
        <row r="169">
          <cell r="A169" t="str">
            <v>Tonga</v>
          </cell>
        </row>
        <row r="170">
          <cell r="A170" t="str">
            <v>American Samoa</v>
          </cell>
        </row>
        <row r="171">
          <cell r="A171" t="str">
            <v>Anguilla</v>
          </cell>
        </row>
        <row r="172">
          <cell r="A172" t="str">
            <v>San Marino</v>
          </cell>
        </row>
        <row r="173">
          <cell r="A173" t="str">
            <v>Faroe Islands</v>
          </cell>
        </row>
        <row r="174">
          <cell r="A174" t="str">
            <v>U.S. Virgin Islands</v>
          </cell>
        </row>
        <row r="175">
          <cell r="A175" t="str">
            <v>Bermuda</v>
          </cell>
        </row>
        <row r="176">
          <cell r="A176" t="str">
            <v>Monaco</v>
          </cell>
        </row>
        <row r="177">
          <cell r="A177" t="str">
            <v>St. Kitts &amp; Nevis</v>
          </cell>
        </row>
        <row r="178">
          <cell r="A178" t="str">
            <v>Samoa</v>
          </cell>
        </row>
        <row r="179">
          <cell r="A179" t="str">
            <v>St. Vincent &amp; Grenadines</v>
          </cell>
        </row>
        <row r="180">
          <cell r="A180" t="str">
            <v>Cayman Islands</v>
          </cell>
        </row>
        <row r="181">
          <cell r="A181" t="str">
            <v>Bhutan</v>
          </cell>
        </row>
        <row r="182">
          <cell r="A182" t="str">
            <v>Vanuatu</v>
          </cell>
        </row>
        <row r="183">
          <cell r="A183" t="str">
            <v>Dominica</v>
          </cell>
        </row>
        <row r="184">
          <cell r="A184" t="str">
            <v>Grenada</v>
          </cell>
        </row>
        <row r="185">
          <cell r="A185" t="str">
            <v>British Virgin Islands</v>
          </cell>
        </row>
        <row r="186">
          <cell r="A186" t="str">
            <v>Northern Mariana Islands</v>
          </cell>
        </row>
        <row r="187">
          <cell r="A187" t="str">
            <v>Eswatini</v>
          </cell>
        </row>
        <row r="188">
          <cell r="A188" t="str">
            <v>Belize</v>
          </cell>
        </row>
        <row r="189">
          <cell r="A189" t="str">
            <v>Timor-Leste</v>
          </cell>
        </row>
        <row r="190">
          <cell r="A190" t="str">
            <v>Andorra</v>
          </cell>
        </row>
        <row r="191">
          <cell r="A191" t="str">
            <v>Mayotte</v>
          </cell>
        </row>
        <row r="192">
          <cell r="A192" t="str">
            <v>Greenland</v>
          </cell>
        </row>
        <row r="193">
          <cell r="A193" t="str">
            <v>CuraÃ§ao</v>
          </cell>
        </row>
        <row r="194">
          <cell r="A194" t="str">
            <v>St. Martin</v>
          </cell>
        </row>
        <row r="195">
          <cell r="A195" t="str">
            <v>Aruba</v>
          </cell>
        </row>
        <row r="196">
          <cell r="A196" t="str">
            <v>Burundi</v>
          </cell>
        </row>
        <row r="197">
          <cell r="A197" t="str">
            <v>St. BarthÃ©lemy</v>
          </cell>
        </row>
        <row r="198">
          <cell r="A198" t="str">
            <v>Sierra Leone</v>
          </cell>
        </row>
        <row r="199">
          <cell r="A199" t="str">
            <v>Sint Maarten</v>
          </cell>
        </row>
        <row r="200">
          <cell r="A200" t="str">
            <v>Antigua &amp; Barbuda</v>
          </cell>
        </row>
        <row r="201">
          <cell r="A201" t="str">
            <v>Liberia</v>
          </cell>
        </row>
        <row r="202">
          <cell r="A202" t="str">
            <v>Cape Verde</v>
          </cell>
        </row>
        <row r="203">
          <cell r="A203" t="str">
            <v>Liechtenstein</v>
          </cell>
        </row>
        <row r="204">
          <cell r="A204" t="str">
            <v>Gambia</v>
          </cell>
        </row>
        <row r="205">
          <cell r="A205" t="str">
            <v>St. Lucia</v>
          </cell>
        </row>
        <row r="206">
          <cell r="A206" t="str">
            <v>South Sudan</v>
          </cell>
        </row>
        <row r="207">
          <cell r="A207" t="str">
            <v>Djibouti</v>
          </cell>
        </row>
        <row r="208">
          <cell r="A208" t="str">
            <v>Chad</v>
          </cell>
        </row>
        <row r="209">
          <cell r="A209" t="str">
            <v>Suriname</v>
          </cell>
        </row>
        <row r="210">
          <cell r="A210" t="str">
            <v>New Caledonia</v>
          </cell>
        </row>
        <row r="211">
          <cell r="A211" t="str">
            <v>Haiti</v>
          </cell>
        </row>
        <row r="212">
          <cell r="A212" t="str">
            <v>Benin</v>
          </cell>
        </row>
        <row r="213">
          <cell r="A213" t="str">
            <v>Tajikistan</v>
          </cell>
        </row>
        <row r="214">
          <cell r="A214" t="str">
            <v>French Polynesia</v>
          </cell>
        </row>
        <row r="215">
          <cell r="A215" t="str">
            <v>Togo</v>
          </cell>
        </row>
        <row r="216">
          <cell r="A216" t="str">
            <v>Congo - Brazzaville</v>
          </cell>
        </row>
        <row r="217">
          <cell r="A217" t="str">
            <v>Burkina Faso</v>
          </cell>
        </row>
        <row r="218">
          <cell r="A218" t="str">
            <v>French Guiana</v>
          </cell>
        </row>
        <row r="219">
          <cell r="A219" t="str">
            <v>Congo - Kinshasa</v>
          </cell>
        </row>
        <row r="220">
          <cell r="A220" t="str">
            <v>Mauritania</v>
          </cell>
        </row>
        <row r="221">
          <cell r="A221" t="str">
            <v>Gabon</v>
          </cell>
        </row>
        <row r="222">
          <cell r="A222" t="str">
            <v>Mali</v>
          </cell>
        </row>
        <row r="223">
          <cell r="A223" t="str">
            <v>Guinea</v>
          </cell>
        </row>
        <row r="224">
          <cell r="A224" t="str">
            <v>Martinique</v>
          </cell>
        </row>
        <row r="225">
          <cell r="A225" t="str">
            <v>Guadeloupe</v>
          </cell>
        </row>
        <row r="226">
          <cell r="A226" t="str">
            <v>Antarctica</v>
          </cell>
        </row>
        <row r="227">
          <cell r="A227" t="str">
            <v>French Southern Territories</v>
          </cell>
        </row>
        <row r="228">
          <cell r="A228" t="str">
            <v>Bouvet Island</v>
          </cell>
        </row>
        <row r="229">
          <cell r="A229" t="str">
            <v>Cocos (Keeling) Islands</v>
          </cell>
        </row>
        <row r="230">
          <cell r="A230" t="str">
            <v>Comoros</v>
          </cell>
        </row>
        <row r="231">
          <cell r="A231" t="str">
            <v>Christmas Island</v>
          </cell>
        </row>
        <row r="232">
          <cell r="A232" t="str">
            <v>Western Sahara</v>
          </cell>
        </row>
        <row r="233">
          <cell r="A233" t="str">
            <v>Falkland Islands (Islas Malvinas)</v>
          </cell>
        </row>
        <row r="234">
          <cell r="A234" t="str">
            <v>Guinea-Bissau</v>
          </cell>
        </row>
        <row r="235">
          <cell r="A235" t="str">
            <v>Heard &amp; McDonald Islands</v>
          </cell>
        </row>
        <row r="236">
          <cell r="A236" t="str">
            <v>British Indian Ocean Territory</v>
          </cell>
        </row>
        <row r="237">
          <cell r="A237" t="str">
            <v>Marshall Islands</v>
          </cell>
        </row>
        <row r="238">
          <cell r="A238" t="str">
            <v>Montserrat</v>
          </cell>
        </row>
        <row r="239">
          <cell r="A239" t="str">
            <v>Niger</v>
          </cell>
        </row>
        <row r="240">
          <cell r="A240" t="str">
            <v>Norfolk Island</v>
          </cell>
        </row>
        <row r="241">
          <cell r="A241" t="str">
            <v>Niue</v>
          </cell>
        </row>
        <row r="242">
          <cell r="A242" t="str">
            <v>Nauru</v>
          </cell>
        </row>
        <row r="243">
          <cell r="A243" t="str">
            <v>Pitcairn Islands</v>
          </cell>
        </row>
        <row r="244">
          <cell r="A244" t="str">
            <v>Palau</v>
          </cell>
        </row>
        <row r="245">
          <cell r="A245" t="str">
            <v>North Korea</v>
          </cell>
        </row>
        <row r="246">
          <cell r="A246" t="str">
            <v>South Georgia &amp; South Sandwich Islands</v>
          </cell>
        </row>
        <row r="247">
          <cell r="A247" t="str">
            <v>Svalbard &amp; Jan Mayen</v>
          </cell>
        </row>
        <row r="248">
          <cell r="A248" t="str">
            <v>SÃ£o TomÃ© &amp; PrÃ­ncipe</v>
          </cell>
        </row>
        <row r="249">
          <cell r="A249" t="str">
            <v>Tokelau</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2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3)"/>
    </sheetNames>
    <sheetDataSet>
      <sheetData sheetId="0">
        <row r="1">
          <cell r="A1" t="str">
            <v>Kategori: TÃ¼m kategoriler</v>
          </cell>
        </row>
        <row r="3">
          <cell r="A3" t="str">
            <v>Ãœlke</v>
          </cell>
          <cell r="B3" t="str">
            <v>DÃ¼zenli ifade: (2016)</v>
          </cell>
          <cell r="C3" t="str">
            <v>TCP: (2016)</v>
          </cell>
        </row>
        <row r="4">
          <cell r="A4" t="str">
            <v>China</v>
          </cell>
          <cell r="B4">
            <v>0.61</v>
          </cell>
          <cell r="C4">
            <v>0.39</v>
          </cell>
        </row>
        <row r="5">
          <cell r="A5" t="str">
            <v>Cuba</v>
          </cell>
        </row>
        <row r="6">
          <cell r="A6" t="str">
            <v>St. Helena</v>
          </cell>
        </row>
        <row r="7">
          <cell r="A7" t="str">
            <v>South Korea</v>
          </cell>
          <cell r="B7">
            <v>0.54</v>
          </cell>
          <cell r="C7">
            <v>0.46</v>
          </cell>
        </row>
        <row r="8">
          <cell r="A8" t="str">
            <v>Luxembourg</v>
          </cell>
        </row>
        <row r="9">
          <cell r="A9" t="str">
            <v>Iceland</v>
          </cell>
        </row>
        <row r="10">
          <cell r="A10" t="str">
            <v>Israel</v>
          </cell>
          <cell r="B10">
            <v>0.65</v>
          </cell>
          <cell r="C10">
            <v>0.35</v>
          </cell>
        </row>
        <row r="11">
          <cell r="A11" t="str">
            <v>Hong Kong</v>
          </cell>
          <cell r="B11">
            <v>0.59</v>
          </cell>
          <cell r="C11">
            <v>0.41</v>
          </cell>
        </row>
        <row r="12">
          <cell r="A12" t="str">
            <v>Rwanda</v>
          </cell>
        </row>
        <row r="13">
          <cell r="A13" t="str">
            <v>Singapore</v>
          </cell>
          <cell r="B13">
            <v>0.52</v>
          </cell>
          <cell r="C13">
            <v>0.48</v>
          </cell>
        </row>
        <row r="14">
          <cell r="A14" t="str">
            <v>Belarus</v>
          </cell>
          <cell r="B14">
            <v>0.76</v>
          </cell>
          <cell r="C14">
            <v>0.24</v>
          </cell>
        </row>
        <row r="15">
          <cell r="A15" t="str">
            <v>Estonia</v>
          </cell>
        </row>
        <row r="16">
          <cell r="A16" t="str">
            <v>Botswana</v>
          </cell>
        </row>
        <row r="17">
          <cell r="A17" t="str">
            <v>Gibraltar</v>
          </cell>
        </row>
        <row r="18">
          <cell r="A18" t="str">
            <v>Japan</v>
          </cell>
          <cell r="B18">
            <v>0.66</v>
          </cell>
          <cell r="C18">
            <v>0.34</v>
          </cell>
        </row>
        <row r="19">
          <cell r="A19" t="str">
            <v>Czechia</v>
          </cell>
          <cell r="B19">
            <v>0.62</v>
          </cell>
          <cell r="C19">
            <v>0.38</v>
          </cell>
        </row>
        <row r="20">
          <cell r="A20" t="str">
            <v>Switzerland</v>
          </cell>
          <cell r="B20">
            <v>0.64</v>
          </cell>
          <cell r="C20">
            <v>0.36</v>
          </cell>
        </row>
        <row r="21">
          <cell r="A21" t="str">
            <v>Malta</v>
          </cell>
        </row>
        <row r="22">
          <cell r="A22" t="str">
            <v>Sweden</v>
          </cell>
          <cell r="B22">
            <v>0.64</v>
          </cell>
          <cell r="C22">
            <v>0.36</v>
          </cell>
        </row>
        <row r="23">
          <cell r="A23" t="str">
            <v>Ireland</v>
          </cell>
          <cell r="B23">
            <v>0.6</v>
          </cell>
          <cell r="C23">
            <v>0.4</v>
          </cell>
        </row>
        <row r="24">
          <cell r="A24" t="str">
            <v>India</v>
          </cell>
          <cell r="B24">
            <v>0.54</v>
          </cell>
          <cell r="C24">
            <v>0.46</v>
          </cell>
        </row>
        <row r="25">
          <cell r="A25" t="str">
            <v>Madagascar</v>
          </cell>
        </row>
        <row r="26">
          <cell r="A26" t="str">
            <v>Ukraine</v>
          </cell>
          <cell r="B26">
            <v>0.74</v>
          </cell>
          <cell r="C26">
            <v>0.26</v>
          </cell>
        </row>
        <row r="27">
          <cell r="A27" t="str">
            <v>Germany</v>
          </cell>
          <cell r="B27">
            <v>0.61</v>
          </cell>
          <cell r="C27">
            <v>0.39</v>
          </cell>
        </row>
        <row r="28">
          <cell r="A28" t="str">
            <v>Latvia</v>
          </cell>
        </row>
        <row r="29">
          <cell r="A29" t="str">
            <v>Angola</v>
          </cell>
        </row>
        <row r="30">
          <cell r="A30" t="str">
            <v>Bulgaria</v>
          </cell>
          <cell r="B30">
            <v>0.68</v>
          </cell>
          <cell r="C30">
            <v>0.32</v>
          </cell>
        </row>
        <row r="31">
          <cell r="A31" t="str">
            <v>Zimbabwe</v>
          </cell>
        </row>
        <row r="32">
          <cell r="A32" t="str">
            <v>Austria</v>
          </cell>
          <cell r="B32">
            <v>0.61</v>
          </cell>
          <cell r="C32">
            <v>0.39</v>
          </cell>
        </row>
        <row r="33">
          <cell r="A33" t="str">
            <v>Finland</v>
          </cell>
          <cell r="B33">
            <v>0.57999999999999996</v>
          </cell>
          <cell r="C33">
            <v>0.42</v>
          </cell>
        </row>
        <row r="34">
          <cell r="A34" t="str">
            <v>Armenia</v>
          </cell>
        </row>
        <row r="35">
          <cell r="A35" t="str">
            <v>Ethiopia</v>
          </cell>
        </row>
        <row r="36">
          <cell r="A36" t="str">
            <v>Netherlands</v>
          </cell>
          <cell r="B36">
            <v>0.61</v>
          </cell>
          <cell r="C36">
            <v>0.39</v>
          </cell>
        </row>
        <row r="37">
          <cell r="A37" t="str">
            <v>Nepal</v>
          </cell>
        </row>
        <row r="38">
          <cell r="A38" t="str">
            <v>New Zealand</v>
          </cell>
          <cell r="B38">
            <v>0.59</v>
          </cell>
          <cell r="C38">
            <v>0.41</v>
          </cell>
        </row>
        <row r="39">
          <cell r="A39" t="str">
            <v>Slovenia</v>
          </cell>
          <cell r="B39">
            <v>0.6</v>
          </cell>
          <cell r="C39">
            <v>0.4</v>
          </cell>
        </row>
        <row r="40">
          <cell r="A40" t="str">
            <v>Cameroon</v>
          </cell>
        </row>
        <row r="41">
          <cell r="A41" t="str">
            <v>Russia</v>
          </cell>
          <cell r="B41">
            <v>0.63</v>
          </cell>
          <cell r="C41">
            <v>0.37</v>
          </cell>
        </row>
        <row r="42">
          <cell r="A42" t="str">
            <v>Congo - Kinshasa</v>
          </cell>
        </row>
        <row r="43">
          <cell r="A43" t="str">
            <v>Canada</v>
          </cell>
          <cell r="B43">
            <v>0.61</v>
          </cell>
          <cell r="C43">
            <v>0.39</v>
          </cell>
        </row>
        <row r="44">
          <cell r="A44" t="str">
            <v>Macao</v>
          </cell>
        </row>
        <row r="45">
          <cell r="A45" t="str">
            <v>Hungary</v>
          </cell>
          <cell r="B45">
            <v>0.62</v>
          </cell>
          <cell r="C45">
            <v>0.38</v>
          </cell>
        </row>
        <row r="46">
          <cell r="A46" t="str">
            <v>United States</v>
          </cell>
          <cell r="B46">
            <v>0.59</v>
          </cell>
          <cell r="C46">
            <v>0.41</v>
          </cell>
        </row>
        <row r="47">
          <cell r="A47" t="str">
            <v>Slovakia</v>
          </cell>
          <cell r="B47">
            <v>0.59</v>
          </cell>
          <cell r="C47">
            <v>0.41</v>
          </cell>
        </row>
        <row r="48">
          <cell r="A48" t="str">
            <v>Malawi</v>
          </cell>
        </row>
        <row r="49">
          <cell r="A49" t="str">
            <v>Denmark</v>
          </cell>
          <cell r="B49">
            <v>0.62</v>
          </cell>
          <cell r="C49">
            <v>0.38</v>
          </cell>
        </row>
        <row r="50">
          <cell r="A50" t="str">
            <v>Norway</v>
          </cell>
          <cell r="B50">
            <v>0.55000000000000004</v>
          </cell>
          <cell r="C50">
            <v>0.45</v>
          </cell>
        </row>
        <row r="51">
          <cell r="A51" t="str">
            <v>Belgium</v>
          </cell>
          <cell r="B51">
            <v>0.6</v>
          </cell>
          <cell r="C51">
            <v>0.4</v>
          </cell>
        </row>
        <row r="52">
          <cell r="A52" t="str">
            <v>Australia</v>
          </cell>
          <cell r="B52">
            <v>0.56999999999999995</v>
          </cell>
          <cell r="C52">
            <v>0.43</v>
          </cell>
        </row>
        <row r="53">
          <cell r="A53" t="str">
            <v>Taiwan</v>
          </cell>
          <cell r="B53">
            <v>0.5</v>
          </cell>
          <cell r="C53">
            <v>0.5</v>
          </cell>
        </row>
        <row r="54">
          <cell r="A54" t="str">
            <v>Lithuania</v>
          </cell>
        </row>
        <row r="55">
          <cell r="A55" t="str">
            <v>Namibia</v>
          </cell>
        </row>
        <row r="56">
          <cell r="A56" t="str">
            <v>Papua New Guinea</v>
          </cell>
        </row>
        <row r="57">
          <cell r="A57" t="str">
            <v>Ghana</v>
          </cell>
        </row>
        <row r="58">
          <cell r="A58" t="str">
            <v>Poland</v>
          </cell>
          <cell r="B58">
            <v>0.61</v>
          </cell>
          <cell r="C58">
            <v>0.39</v>
          </cell>
        </row>
        <row r="59">
          <cell r="A59" t="str">
            <v>Bolivia</v>
          </cell>
        </row>
        <row r="60">
          <cell r="A60" t="str">
            <v>Uruguay</v>
          </cell>
        </row>
        <row r="61">
          <cell r="A61" t="str">
            <v>United Kingdom</v>
          </cell>
          <cell r="B61">
            <v>0.57999999999999996</v>
          </cell>
          <cell r="C61">
            <v>0.42</v>
          </cell>
        </row>
        <row r="62">
          <cell r="A62" t="str">
            <v>Myanmar (Burma)</v>
          </cell>
        </row>
        <row r="63">
          <cell r="A63" t="str">
            <v>Tunisia</v>
          </cell>
        </row>
        <row r="64">
          <cell r="A64" t="str">
            <v>France</v>
          </cell>
          <cell r="B64">
            <v>0.61</v>
          </cell>
          <cell r="C64">
            <v>0.39</v>
          </cell>
        </row>
        <row r="65">
          <cell r="A65" t="str">
            <v>Isle of Man</v>
          </cell>
        </row>
        <row r="66">
          <cell r="A66" t="str">
            <v>Romania</v>
          </cell>
          <cell r="B66">
            <v>0.61</v>
          </cell>
          <cell r="C66">
            <v>0.39</v>
          </cell>
        </row>
        <row r="67">
          <cell r="A67" t="str">
            <v>Somalia</v>
          </cell>
        </row>
        <row r="68">
          <cell r="A68" t="str">
            <v>Mauritius</v>
          </cell>
        </row>
        <row r="69">
          <cell r="A69" t="str">
            <v>North Macedonia</v>
          </cell>
        </row>
        <row r="70">
          <cell r="A70" t="str">
            <v>Portugal</v>
          </cell>
          <cell r="B70">
            <v>0.54</v>
          </cell>
          <cell r="C70">
            <v>0.46</v>
          </cell>
        </row>
        <row r="71">
          <cell r="A71" t="str">
            <v>Sri Lanka</v>
          </cell>
          <cell r="B71">
            <v>0.48</v>
          </cell>
          <cell r="C71">
            <v>0.52</v>
          </cell>
        </row>
        <row r="72">
          <cell r="A72" t="str">
            <v>Moldova</v>
          </cell>
        </row>
        <row r="73">
          <cell r="A73" t="str">
            <v>Brunei</v>
          </cell>
        </row>
        <row r="74">
          <cell r="A74" t="str">
            <v>Cayman Islands</v>
          </cell>
        </row>
        <row r="75">
          <cell r="A75" t="str">
            <v>Uganda</v>
          </cell>
        </row>
        <row r="76">
          <cell r="A76" t="str">
            <v>Afghanistan</v>
          </cell>
        </row>
        <row r="77">
          <cell r="A77" t="str">
            <v>Togo</v>
          </cell>
        </row>
        <row r="78">
          <cell r="A78" t="str">
            <v>Croatia</v>
          </cell>
          <cell r="B78">
            <v>0.59</v>
          </cell>
          <cell r="C78">
            <v>0.41</v>
          </cell>
        </row>
        <row r="79">
          <cell r="A79" t="str">
            <v>Serbia</v>
          </cell>
          <cell r="B79">
            <v>0.63</v>
          </cell>
          <cell r="C79">
            <v>0.37</v>
          </cell>
        </row>
        <row r="80">
          <cell r="A80" t="str">
            <v>Honduras</v>
          </cell>
        </row>
        <row r="81">
          <cell r="A81" t="str">
            <v>Cape Verde</v>
          </cell>
        </row>
        <row r="82">
          <cell r="A82" t="str">
            <v>Eswatini</v>
          </cell>
        </row>
        <row r="83">
          <cell r="A83" t="str">
            <v>Senegal</v>
          </cell>
        </row>
        <row r="84">
          <cell r="A84" t="str">
            <v>Philippines</v>
          </cell>
          <cell r="B84">
            <v>0.46</v>
          </cell>
          <cell r="C84">
            <v>0.54</v>
          </cell>
        </row>
        <row r="85">
          <cell r="A85" t="str">
            <v>Laos</v>
          </cell>
        </row>
        <row r="86">
          <cell r="A86" t="str">
            <v>Trinidad &amp; Tobago</v>
          </cell>
        </row>
        <row r="87">
          <cell r="A87" t="str">
            <v>Kenya</v>
          </cell>
        </row>
        <row r="88">
          <cell r="A88" t="str">
            <v>Pakistan</v>
          </cell>
          <cell r="B88">
            <v>0.51</v>
          </cell>
          <cell r="C88">
            <v>0.49</v>
          </cell>
        </row>
        <row r="89">
          <cell r="A89" t="str">
            <v>Mozambique</v>
          </cell>
        </row>
        <row r="90">
          <cell r="A90" t="str">
            <v>Panama</v>
          </cell>
        </row>
        <row r="91">
          <cell r="A91" t="str">
            <v>Bhutan</v>
          </cell>
        </row>
        <row r="92">
          <cell r="A92" t="str">
            <v>Ecuador</v>
          </cell>
        </row>
        <row r="93">
          <cell r="A93" t="str">
            <v>Cyprus</v>
          </cell>
        </row>
        <row r="94">
          <cell r="A94" t="str">
            <v>Costa Rica</v>
          </cell>
        </row>
        <row r="95">
          <cell r="A95" t="str">
            <v>Fiji</v>
          </cell>
        </row>
        <row r="96">
          <cell r="A96" t="str">
            <v>Barbados</v>
          </cell>
        </row>
        <row r="97">
          <cell r="A97" t="str">
            <v>Mongolia</v>
          </cell>
        </row>
        <row r="98">
          <cell r="A98" t="str">
            <v>Tanzania</v>
          </cell>
        </row>
        <row r="99">
          <cell r="A99" t="str">
            <v>Spain</v>
          </cell>
          <cell r="B99">
            <v>0.5</v>
          </cell>
          <cell r="C99">
            <v>0.5</v>
          </cell>
        </row>
        <row r="100">
          <cell r="A100" t="str">
            <v>El Salvador</v>
          </cell>
        </row>
        <row r="101">
          <cell r="A101" t="str">
            <v>United Arab Emirates</v>
          </cell>
          <cell r="B101">
            <v>0.39</v>
          </cell>
          <cell r="C101">
            <v>0.61</v>
          </cell>
        </row>
        <row r="102">
          <cell r="A102" t="str">
            <v>Lebanon</v>
          </cell>
        </row>
        <row r="103">
          <cell r="A103" t="str">
            <v>Lesotho</v>
          </cell>
        </row>
        <row r="104">
          <cell r="A104" t="str">
            <v>CÃ´te dâ€™Ivoire</v>
          </cell>
        </row>
        <row r="105">
          <cell r="A105" t="str">
            <v>Malaysia</v>
          </cell>
          <cell r="B105">
            <v>0.35</v>
          </cell>
          <cell r="C105">
            <v>0.65</v>
          </cell>
        </row>
        <row r="106">
          <cell r="A106" t="str">
            <v>Jersey</v>
          </cell>
        </row>
        <row r="107">
          <cell r="A107" t="str">
            <v>Maldives</v>
          </cell>
        </row>
        <row r="108">
          <cell r="A108" t="str">
            <v>Jamaica</v>
          </cell>
        </row>
        <row r="109">
          <cell r="A109" t="str">
            <v>Zambia</v>
          </cell>
        </row>
        <row r="110">
          <cell r="A110" t="str">
            <v>Nicaragua</v>
          </cell>
        </row>
        <row r="111">
          <cell r="A111" t="str">
            <v>Argentina</v>
          </cell>
          <cell r="B111">
            <v>0.36</v>
          </cell>
          <cell r="C111">
            <v>0.64</v>
          </cell>
        </row>
        <row r="112">
          <cell r="A112" t="str">
            <v>Colombia</v>
          </cell>
          <cell r="B112">
            <v>0.35</v>
          </cell>
          <cell r="C112">
            <v>0.65</v>
          </cell>
        </row>
        <row r="113">
          <cell r="A113" t="str">
            <v>Burundi</v>
          </cell>
        </row>
        <row r="114">
          <cell r="A114" t="str">
            <v>Albania</v>
          </cell>
        </row>
        <row r="115">
          <cell r="A115" t="str">
            <v>Bosnia &amp; Herzegovina</v>
          </cell>
        </row>
        <row r="116">
          <cell r="A116" t="str">
            <v>Bangladesh</v>
          </cell>
          <cell r="B116">
            <v>0.44</v>
          </cell>
          <cell r="C116">
            <v>0.56000000000000005</v>
          </cell>
        </row>
        <row r="117">
          <cell r="A117" t="str">
            <v>South Africa</v>
          </cell>
          <cell r="B117">
            <v>0.49</v>
          </cell>
          <cell r="C117">
            <v>0.51</v>
          </cell>
        </row>
        <row r="118">
          <cell r="A118" t="str">
            <v>Guyana</v>
          </cell>
        </row>
        <row r="119">
          <cell r="A119" t="str">
            <v>Nigeria</v>
          </cell>
        </row>
        <row r="120">
          <cell r="A120" t="str">
            <v>Dominican Republic</v>
          </cell>
        </row>
        <row r="121">
          <cell r="A121" t="str">
            <v>Guam</v>
          </cell>
        </row>
        <row r="122">
          <cell r="A122" t="str">
            <v>Brazil</v>
          </cell>
          <cell r="B122">
            <v>0.38</v>
          </cell>
          <cell r="C122">
            <v>0.62</v>
          </cell>
        </row>
        <row r="123">
          <cell r="A123" t="str">
            <v>Uzbekistan</v>
          </cell>
        </row>
        <row r="124">
          <cell r="A124" t="str">
            <v>Italy</v>
          </cell>
          <cell r="B124">
            <v>0.45</v>
          </cell>
          <cell r="C124">
            <v>0.55000000000000004</v>
          </cell>
        </row>
        <row r="125">
          <cell r="A125" t="str">
            <v>Mexico</v>
          </cell>
          <cell r="B125">
            <v>0.37</v>
          </cell>
          <cell r="C125">
            <v>0.63</v>
          </cell>
        </row>
        <row r="126">
          <cell r="A126" t="str">
            <v>Sudan</v>
          </cell>
        </row>
        <row r="127">
          <cell r="A127" t="str">
            <v>Haiti</v>
          </cell>
        </row>
        <row r="128">
          <cell r="A128" t="str">
            <v>Oman</v>
          </cell>
        </row>
        <row r="129">
          <cell r="A129" t="str">
            <v>Qatar</v>
          </cell>
        </row>
        <row r="130">
          <cell r="A130" t="str">
            <v>Paraguay</v>
          </cell>
        </row>
        <row r="131">
          <cell r="A131" t="str">
            <v>Guinea</v>
          </cell>
        </row>
        <row r="132">
          <cell r="A132" t="str">
            <v>Indonesia</v>
          </cell>
          <cell r="B132">
            <v>0.24</v>
          </cell>
          <cell r="C132">
            <v>0.76</v>
          </cell>
        </row>
        <row r="133">
          <cell r="A133" t="str">
            <v>Guatemala</v>
          </cell>
        </row>
        <row r="134">
          <cell r="A134" t="str">
            <v>Peru</v>
          </cell>
          <cell r="B134">
            <v>0.28999999999999998</v>
          </cell>
          <cell r="C134">
            <v>0.71</v>
          </cell>
        </row>
        <row r="135">
          <cell r="A135" t="str">
            <v>Morocco</v>
          </cell>
          <cell r="B135">
            <v>0.39</v>
          </cell>
          <cell r="C135">
            <v>0.61</v>
          </cell>
        </row>
        <row r="136">
          <cell r="A136" t="str">
            <v>Montenegro</v>
          </cell>
        </row>
        <row r="137">
          <cell r="A137" t="str">
            <v>RÃ©union</v>
          </cell>
        </row>
        <row r="138">
          <cell r="A138" t="str">
            <v>CuraÃ§ao</v>
          </cell>
        </row>
        <row r="139">
          <cell r="A139" t="str">
            <v>Greece</v>
          </cell>
          <cell r="B139">
            <v>0.5</v>
          </cell>
          <cell r="C139">
            <v>0.5</v>
          </cell>
        </row>
        <row r="140">
          <cell r="A140" t="str">
            <v>Martinique</v>
          </cell>
        </row>
        <row r="141">
          <cell r="A141" t="str">
            <v>Jordan</v>
          </cell>
        </row>
        <row r="142">
          <cell r="A142" t="str">
            <v>Suriname</v>
          </cell>
        </row>
        <row r="143">
          <cell r="A143" t="str">
            <v>Kosovo</v>
          </cell>
        </row>
        <row r="144">
          <cell r="A144" t="str">
            <v>Iran</v>
          </cell>
          <cell r="B144">
            <v>0.4</v>
          </cell>
          <cell r="C144">
            <v>0.6</v>
          </cell>
        </row>
        <row r="145">
          <cell r="A145" t="str">
            <v>Bahrain</v>
          </cell>
        </row>
        <row r="146">
          <cell r="A146" t="str">
            <v>Kazakhstan</v>
          </cell>
          <cell r="B146">
            <v>0.42</v>
          </cell>
          <cell r="C146">
            <v>0.57999999999999996</v>
          </cell>
        </row>
        <row r="147">
          <cell r="A147" t="str">
            <v>Chile</v>
          </cell>
          <cell r="B147">
            <v>0.46</v>
          </cell>
          <cell r="C147">
            <v>0.54</v>
          </cell>
        </row>
        <row r="148">
          <cell r="A148" t="str">
            <v>Liberia</v>
          </cell>
        </row>
        <row r="149">
          <cell r="A149" t="str">
            <v>Turkmenistan</v>
          </cell>
        </row>
        <row r="150">
          <cell r="A150" t="str">
            <v>Cambodia</v>
          </cell>
        </row>
        <row r="151">
          <cell r="A151" t="str">
            <v>Venezuela</v>
          </cell>
          <cell r="B151">
            <v>0.31</v>
          </cell>
          <cell r="C151">
            <v>0.69</v>
          </cell>
        </row>
        <row r="152">
          <cell r="A152" t="str">
            <v>Libya</v>
          </cell>
        </row>
        <row r="153">
          <cell r="A153" t="str">
            <v>Thailand</v>
          </cell>
          <cell r="B153">
            <v>0.36</v>
          </cell>
          <cell r="C153">
            <v>0.64</v>
          </cell>
        </row>
        <row r="154">
          <cell r="A154" t="str">
            <v>Burkina Faso</v>
          </cell>
        </row>
        <row r="155">
          <cell r="A155" t="str">
            <v>Puerto Rico</v>
          </cell>
        </row>
        <row r="156">
          <cell r="A156" t="str">
            <v>Yemen</v>
          </cell>
        </row>
        <row r="157">
          <cell r="A157" t="str">
            <v>Vietnam</v>
          </cell>
          <cell r="B157">
            <v>0.54</v>
          </cell>
          <cell r="C157">
            <v>0.46</v>
          </cell>
        </row>
        <row r="158">
          <cell r="A158" t="str">
            <v>Kuwait</v>
          </cell>
        </row>
        <row r="159">
          <cell r="A159" t="str">
            <v>Bahamas</v>
          </cell>
        </row>
        <row r="160">
          <cell r="A160" t="str">
            <v>Algeria</v>
          </cell>
        </row>
        <row r="161">
          <cell r="A161" t="str">
            <v>Tajikistan</v>
          </cell>
        </row>
        <row r="162">
          <cell r="A162" t="str">
            <v>Palestine</v>
          </cell>
        </row>
        <row r="163">
          <cell r="A163" t="str">
            <v>Mali</v>
          </cell>
        </row>
        <row r="164">
          <cell r="A164" t="str">
            <v>Sierra Leone</v>
          </cell>
        </row>
        <row r="165">
          <cell r="A165" t="str">
            <v>Azerbaijan</v>
          </cell>
        </row>
        <row r="166">
          <cell r="A166" t="str">
            <v>Egypt</v>
          </cell>
          <cell r="B166">
            <v>0.49</v>
          </cell>
          <cell r="C166">
            <v>0.51</v>
          </cell>
        </row>
        <row r="167">
          <cell r="A167" t="str">
            <v>Saudi Arabia</v>
          </cell>
          <cell r="B167">
            <v>0.33</v>
          </cell>
          <cell r="C167">
            <v>0.67</v>
          </cell>
        </row>
        <row r="168">
          <cell r="A168" t="str">
            <v>Georgia</v>
          </cell>
        </row>
        <row r="169">
          <cell r="A169" t="str">
            <v>Kyrgyzstan</v>
          </cell>
        </row>
        <row r="170">
          <cell r="A170" t="str">
            <v>Syria</v>
          </cell>
        </row>
        <row r="171">
          <cell r="A171" t="str">
            <v>Turkey</v>
          </cell>
          <cell r="B171">
            <v>0.44</v>
          </cell>
          <cell r="C171">
            <v>0.56000000000000005</v>
          </cell>
        </row>
        <row r="172">
          <cell r="A172" t="str">
            <v>Iraq</v>
          </cell>
        </row>
        <row r="173">
          <cell r="A173" t="str">
            <v>North Korea</v>
          </cell>
        </row>
        <row r="174">
          <cell r="A174" t="str">
            <v>SÃ£o TomÃ© &amp; PrÃ­ncipe</v>
          </cell>
        </row>
        <row r="175">
          <cell r="A175" t="str">
            <v>Liechtenstein</v>
          </cell>
        </row>
        <row r="176">
          <cell r="A176" t="str">
            <v>Ã…land Islands</v>
          </cell>
        </row>
        <row r="177">
          <cell r="A177" t="str">
            <v>Anguilla</v>
          </cell>
        </row>
        <row r="178">
          <cell r="A178" t="str">
            <v>Faroe Islands</v>
          </cell>
        </row>
        <row r="179">
          <cell r="A179" t="str">
            <v>Caribbean Netherlands</v>
          </cell>
        </row>
        <row r="180">
          <cell r="A180" t="str">
            <v>U.S. Virgin Islands</v>
          </cell>
        </row>
        <row r="181">
          <cell r="A181" t="str">
            <v>Samoa</v>
          </cell>
        </row>
        <row r="182">
          <cell r="A182" t="str">
            <v>San Marino</v>
          </cell>
        </row>
        <row r="183">
          <cell r="A183" t="str">
            <v>Solomon Islands</v>
          </cell>
        </row>
        <row r="184">
          <cell r="A184" t="str">
            <v>Guernsey</v>
          </cell>
        </row>
        <row r="185">
          <cell r="A185" t="str">
            <v>Greenland</v>
          </cell>
        </row>
        <row r="186">
          <cell r="A186" t="str">
            <v>Vanuatu</v>
          </cell>
        </row>
        <row r="187">
          <cell r="A187" t="str">
            <v>Monaco</v>
          </cell>
        </row>
        <row r="188">
          <cell r="A188" t="str">
            <v>Andorra</v>
          </cell>
        </row>
        <row r="189">
          <cell r="A189" t="str">
            <v>British Virgin Islands</v>
          </cell>
        </row>
        <row r="190">
          <cell r="A190" t="str">
            <v>Benin</v>
          </cell>
        </row>
        <row r="191">
          <cell r="A191" t="str">
            <v>Bermuda</v>
          </cell>
        </row>
        <row r="192">
          <cell r="A192" t="str">
            <v>Grenada</v>
          </cell>
        </row>
        <row r="193">
          <cell r="A193" t="str">
            <v>St. Vincent &amp; Grenadines</v>
          </cell>
        </row>
        <row r="194">
          <cell r="A194" t="str">
            <v>St. Martin</v>
          </cell>
        </row>
        <row r="195">
          <cell r="A195" t="str">
            <v>New Caledonia</v>
          </cell>
        </row>
        <row r="196">
          <cell r="A196" t="str">
            <v>Seychelles</v>
          </cell>
        </row>
        <row r="197">
          <cell r="A197" t="str">
            <v>St. BarthÃ©lemy</v>
          </cell>
        </row>
        <row r="198">
          <cell r="A198" t="str">
            <v>Dominica</v>
          </cell>
        </row>
        <row r="199">
          <cell r="A199" t="str">
            <v>Sint Maarten</v>
          </cell>
        </row>
        <row r="200">
          <cell r="A200" t="str">
            <v>Aruba</v>
          </cell>
        </row>
        <row r="201">
          <cell r="A201" t="str">
            <v>Belize</v>
          </cell>
        </row>
        <row r="202">
          <cell r="A202" t="str">
            <v>Niger</v>
          </cell>
        </row>
        <row r="203">
          <cell r="A203" t="str">
            <v>French Polynesia</v>
          </cell>
        </row>
        <row r="204">
          <cell r="A204" t="str">
            <v>Djibouti</v>
          </cell>
        </row>
        <row r="205">
          <cell r="A205" t="str">
            <v>Guadeloupe</v>
          </cell>
        </row>
        <row r="206">
          <cell r="A206" t="str">
            <v>Gambia</v>
          </cell>
        </row>
        <row r="207">
          <cell r="A207" t="str">
            <v>Congo - Brazzaville</v>
          </cell>
        </row>
        <row r="208">
          <cell r="A208" t="str">
            <v>St. Lucia</v>
          </cell>
        </row>
        <row r="209">
          <cell r="A209" t="str">
            <v>French Guiana</v>
          </cell>
        </row>
        <row r="210">
          <cell r="A210" t="str">
            <v>Mauritania</v>
          </cell>
        </row>
        <row r="211">
          <cell r="A211" t="str">
            <v>American Samoa</v>
          </cell>
        </row>
        <row r="212">
          <cell r="A212" t="str">
            <v>Antarctica</v>
          </cell>
        </row>
        <row r="213">
          <cell r="A213" t="str">
            <v>French Southern Territories</v>
          </cell>
        </row>
        <row r="214">
          <cell r="A214" t="str">
            <v>Antigua &amp; Barbuda</v>
          </cell>
        </row>
        <row r="215">
          <cell r="A215" t="str">
            <v>Bouvet Island</v>
          </cell>
        </row>
        <row r="216">
          <cell r="A216" t="str">
            <v>Central African Republic</v>
          </cell>
        </row>
        <row r="217">
          <cell r="A217" t="str">
            <v>Cocos (Keeling) Islands</v>
          </cell>
        </row>
        <row r="218">
          <cell r="A218" t="str">
            <v>Cook Islands</v>
          </cell>
        </row>
        <row r="219">
          <cell r="A219" t="str">
            <v>Comoros</v>
          </cell>
        </row>
        <row r="220">
          <cell r="A220" t="str">
            <v>Christmas Island</v>
          </cell>
        </row>
        <row r="221">
          <cell r="A221" t="str">
            <v>Eritrea</v>
          </cell>
        </row>
        <row r="222">
          <cell r="A222" t="str">
            <v>Western Sahara</v>
          </cell>
        </row>
        <row r="223">
          <cell r="A223" t="str">
            <v>Falkland Islands (Islas Malvinas)</v>
          </cell>
        </row>
        <row r="224">
          <cell r="A224" t="str">
            <v>Micronesia</v>
          </cell>
        </row>
        <row r="225">
          <cell r="A225" t="str">
            <v>Gabon</v>
          </cell>
        </row>
        <row r="226">
          <cell r="A226" t="str">
            <v>Guinea-Bissau</v>
          </cell>
        </row>
        <row r="227">
          <cell r="A227" t="str">
            <v>Equatorial Guinea</v>
          </cell>
        </row>
        <row r="228">
          <cell r="A228" t="str">
            <v>Heard &amp; McDonald Islands</v>
          </cell>
        </row>
        <row r="229">
          <cell r="A229" t="str">
            <v>British Indian Ocean Territory</v>
          </cell>
        </row>
        <row r="230">
          <cell r="A230" t="str">
            <v>Kiribati</v>
          </cell>
        </row>
        <row r="231">
          <cell r="A231" t="str">
            <v>St. Kitts &amp; Nevis</v>
          </cell>
        </row>
        <row r="232">
          <cell r="A232" t="str">
            <v>Marshall Islands</v>
          </cell>
        </row>
        <row r="233">
          <cell r="A233" t="str">
            <v>Northern Mariana Islands</v>
          </cell>
        </row>
        <row r="234">
          <cell r="A234" t="str">
            <v>Montserrat</v>
          </cell>
        </row>
        <row r="235">
          <cell r="A235" t="str">
            <v>Mayotte</v>
          </cell>
        </row>
        <row r="236">
          <cell r="A236" t="str">
            <v>Norfolk Island</v>
          </cell>
        </row>
        <row r="237">
          <cell r="A237" t="str">
            <v>Niue</v>
          </cell>
        </row>
        <row r="238">
          <cell r="A238" t="str">
            <v>Nauru</v>
          </cell>
        </row>
        <row r="239">
          <cell r="A239" t="str">
            <v>Pitcairn Islands</v>
          </cell>
        </row>
        <row r="240">
          <cell r="A240" t="str">
            <v>Palau</v>
          </cell>
        </row>
        <row r="241">
          <cell r="A241" t="str">
            <v>South Georgia &amp; South Sandwich Islands</v>
          </cell>
        </row>
        <row r="242">
          <cell r="A242" t="str">
            <v>Svalbard &amp; Jan Mayen</v>
          </cell>
        </row>
        <row r="243">
          <cell r="A243" t="str">
            <v>St. Pierre &amp; Miquelon</v>
          </cell>
        </row>
        <row r="244">
          <cell r="A244" t="str">
            <v>South Sudan</v>
          </cell>
        </row>
        <row r="245">
          <cell r="A245" t="str">
            <v>Turks &amp; Caicos Islands</v>
          </cell>
        </row>
        <row r="246">
          <cell r="A246" t="str">
            <v>Chad</v>
          </cell>
        </row>
        <row r="247">
          <cell r="A247" t="str">
            <v>Tokelau</v>
          </cell>
        </row>
        <row r="248">
          <cell r="A248" t="str">
            <v>Timor-Leste</v>
          </cell>
        </row>
        <row r="249">
          <cell r="A249" t="str">
            <v>Tonga</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2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4)"/>
    </sheetNames>
    <sheetDataSet>
      <sheetData sheetId="0">
        <row r="1">
          <cell r="A1" t="str">
            <v>Kategori: TÃ¼m kategoriler</v>
          </cell>
        </row>
        <row r="3">
          <cell r="A3" t="str">
            <v>Ãœlke</v>
          </cell>
          <cell r="B3" t="str">
            <v>TCP: (2016)</v>
          </cell>
          <cell r="C3" t="str">
            <v>SayÄ± deÄŸil: (2016)</v>
          </cell>
        </row>
        <row r="4">
          <cell r="A4" t="str">
            <v>Haiti</v>
          </cell>
        </row>
        <row r="5">
          <cell r="A5" t="str">
            <v>China</v>
          </cell>
          <cell r="B5">
            <v>0.88</v>
          </cell>
          <cell r="C5">
            <v>0.12</v>
          </cell>
        </row>
        <row r="6">
          <cell r="A6" t="str">
            <v>CuraÃ§ao</v>
          </cell>
        </row>
        <row r="7">
          <cell r="A7" t="str">
            <v>Cuba</v>
          </cell>
        </row>
        <row r="8">
          <cell r="A8" t="str">
            <v>Tanzania</v>
          </cell>
        </row>
        <row r="9">
          <cell r="A9" t="str">
            <v>Myanmar (Burma)</v>
          </cell>
        </row>
        <row r="10">
          <cell r="A10" t="str">
            <v>Aruba</v>
          </cell>
        </row>
        <row r="11">
          <cell r="A11" t="str">
            <v>South Korea</v>
          </cell>
          <cell r="B11">
            <v>0.85</v>
          </cell>
          <cell r="C11">
            <v>0.15</v>
          </cell>
        </row>
        <row r="12">
          <cell r="A12" t="str">
            <v>St. Helena</v>
          </cell>
        </row>
        <row r="13">
          <cell r="A13" t="str">
            <v>Sri Lanka</v>
          </cell>
          <cell r="B13">
            <v>0.3</v>
          </cell>
          <cell r="C13">
            <v>0.7</v>
          </cell>
        </row>
        <row r="14">
          <cell r="A14" t="str">
            <v>Botswana</v>
          </cell>
        </row>
        <row r="15">
          <cell r="A15" t="str">
            <v>Rwanda</v>
          </cell>
        </row>
        <row r="16">
          <cell r="A16" t="str">
            <v>Singapore</v>
          </cell>
          <cell r="B16">
            <v>0.61</v>
          </cell>
          <cell r="C16">
            <v>0.39</v>
          </cell>
        </row>
        <row r="17">
          <cell r="A17" t="str">
            <v>Hong Kong</v>
          </cell>
          <cell r="B17">
            <v>0.7</v>
          </cell>
          <cell r="C17">
            <v>0.3</v>
          </cell>
        </row>
        <row r="18">
          <cell r="A18" t="str">
            <v>Kosovo</v>
          </cell>
        </row>
        <row r="19">
          <cell r="A19" t="str">
            <v>Angola</v>
          </cell>
        </row>
        <row r="20">
          <cell r="A20" t="str">
            <v>Zimbabwe</v>
          </cell>
        </row>
        <row r="21">
          <cell r="A21" t="str">
            <v>India</v>
          </cell>
          <cell r="B21">
            <v>0.55000000000000004</v>
          </cell>
          <cell r="C21">
            <v>0.45</v>
          </cell>
        </row>
        <row r="22">
          <cell r="A22" t="str">
            <v>Ethiopia</v>
          </cell>
        </row>
        <row r="23">
          <cell r="A23" t="str">
            <v>Venezuela</v>
          </cell>
          <cell r="B23">
            <v>0.22</v>
          </cell>
          <cell r="C23">
            <v>0.78</v>
          </cell>
        </row>
        <row r="24">
          <cell r="A24" t="str">
            <v>Cameroon</v>
          </cell>
        </row>
        <row r="25">
          <cell r="A25" t="str">
            <v>Luxembourg</v>
          </cell>
        </row>
        <row r="26">
          <cell r="A26" t="str">
            <v>Papua New Guinea</v>
          </cell>
        </row>
        <row r="27">
          <cell r="A27" t="str">
            <v>Israel</v>
          </cell>
          <cell r="B27">
            <v>0.8</v>
          </cell>
          <cell r="C27">
            <v>0.2</v>
          </cell>
        </row>
        <row r="28">
          <cell r="A28" t="str">
            <v>Fiji</v>
          </cell>
        </row>
        <row r="29">
          <cell r="A29" t="str">
            <v>Nepal</v>
          </cell>
        </row>
        <row r="30">
          <cell r="A30" t="str">
            <v>Taiwan</v>
          </cell>
          <cell r="B30">
            <v>0.8</v>
          </cell>
          <cell r="C30">
            <v>0.2</v>
          </cell>
        </row>
        <row r="31">
          <cell r="A31" t="str">
            <v>Iceland</v>
          </cell>
        </row>
        <row r="32">
          <cell r="A32" t="str">
            <v>Isle of Man</v>
          </cell>
        </row>
        <row r="33">
          <cell r="A33" t="str">
            <v>Namibia</v>
          </cell>
        </row>
        <row r="34">
          <cell r="A34" t="str">
            <v>Czechia</v>
          </cell>
          <cell r="B34">
            <v>0.77</v>
          </cell>
          <cell r="C34">
            <v>0.23</v>
          </cell>
        </row>
        <row r="35">
          <cell r="A35" t="str">
            <v>Uruguay</v>
          </cell>
        </row>
        <row r="36">
          <cell r="A36" t="str">
            <v>Mauritius</v>
          </cell>
        </row>
        <row r="37">
          <cell r="A37" t="str">
            <v>Pakistan</v>
          </cell>
          <cell r="B37">
            <v>0.41</v>
          </cell>
          <cell r="C37">
            <v>0.59</v>
          </cell>
        </row>
        <row r="38">
          <cell r="A38" t="str">
            <v>Switzerland</v>
          </cell>
          <cell r="B38">
            <v>0.68</v>
          </cell>
          <cell r="C38">
            <v>0.32</v>
          </cell>
        </row>
        <row r="39">
          <cell r="A39" t="str">
            <v>Bolivia</v>
          </cell>
        </row>
        <row r="40">
          <cell r="A40" t="str">
            <v>Estonia</v>
          </cell>
        </row>
        <row r="41">
          <cell r="A41" t="str">
            <v>Ghana</v>
          </cell>
        </row>
        <row r="42">
          <cell r="A42" t="str">
            <v>Brunei</v>
          </cell>
        </row>
        <row r="43">
          <cell r="A43" t="str">
            <v>Ireland</v>
          </cell>
          <cell r="B43">
            <v>0.69</v>
          </cell>
          <cell r="C43">
            <v>0.31</v>
          </cell>
        </row>
        <row r="44">
          <cell r="A44" t="str">
            <v>Eswatini</v>
          </cell>
        </row>
        <row r="45">
          <cell r="A45" t="str">
            <v>Tunisia</v>
          </cell>
        </row>
        <row r="46">
          <cell r="A46" t="str">
            <v>Mozambique</v>
          </cell>
        </row>
        <row r="47">
          <cell r="A47" t="str">
            <v>Malta</v>
          </cell>
        </row>
        <row r="48">
          <cell r="A48" t="str">
            <v>Afghanistan</v>
          </cell>
        </row>
        <row r="49">
          <cell r="A49" t="str">
            <v>Uganda</v>
          </cell>
        </row>
        <row r="50">
          <cell r="A50" t="str">
            <v>Cape Verde</v>
          </cell>
        </row>
        <row r="51">
          <cell r="A51" t="str">
            <v>Japan</v>
          </cell>
          <cell r="B51">
            <v>0.54</v>
          </cell>
          <cell r="C51">
            <v>0.46</v>
          </cell>
        </row>
        <row r="52">
          <cell r="A52" t="str">
            <v>Maldives</v>
          </cell>
        </row>
        <row r="53">
          <cell r="A53" t="str">
            <v>Madagascar</v>
          </cell>
        </row>
        <row r="54">
          <cell r="A54" t="str">
            <v>Nigeria</v>
          </cell>
          <cell r="B54">
            <v>0.38</v>
          </cell>
          <cell r="C54">
            <v>0.62</v>
          </cell>
        </row>
        <row r="55">
          <cell r="A55" t="str">
            <v>Turkmenistan</v>
          </cell>
        </row>
        <row r="56">
          <cell r="A56" t="str">
            <v>Austria</v>
          </cell>
          <cell r="B56">
            <v>0.71</v>
          </cell>
          <cell r="C56">
            <v>0.28999999999999998</v>
          </cell>
        </row>
        <row r="57">
          <cell r="A57" t="str">
            <v>Germany</v>
          </cell>
          <cell r="B57">
            <v>0.66</v>
          </cell>
          <cell r="C57">
            <v>0.34</v>
          </cell>
        </row>
        <row r="58">
          <cell r="A58" t="str">
            <v>Norway</v>
          </cell>
          <cell r="B58">
            <v>0.83</v>
          </cell>
          <cell r="C58">
            <v>0.17</v>
          </cell>
        </row>
        <row r="59">
          <cell r="A59" t="str">
            <v>Somalia</v>
          </cell>
        </row>
        <row r="60">
          <cell r="A60" t="str">
            <v>Macao</v>
          </cell>
        </row>
        <row r="61">
          <cell r="A61" t="str">
            <v>Finland</v>
          </cell>
          <cell r="B61">
            <v>0.64</v>
          </cell>
          <cell r="C61">
            <v>0.36</v>
          </cell>
        </row>
        <row r="62">
          <cell r="A62" t="str">
            <v>Sweden</v>
          </cell>
          <cell r="B62">
            <v>0.76</v>
          </cell>
          <cell r="C62">
            <v>0.24</v>
          </cell>
        </row>
        <row r="63">
          <cell r="A63" t="str">
            <v>Brazil</v>
          </cell>
          <cell r="B63">
            <v>0.39</v>
          </cell>
          <cell r="C63">
            <v>0.61</v>
          </cell>
        </row>
        <row r="64">
          <cell r="A64" t="str">
            <v>New Zealand</v>
          </cell>
          <cell r="B64">
            <v>0.68</v>
          </cell>
          <cell r="C64">
            <v>0.32</v>
          </cell>
        </row>
        <row r="65">
          <cell r="A65" t="str">
            <v>Malawi</v>
          </cell>
        </row>
        <row r="66">
          <cell r="A66" t="str">
            <v>Congo - Kinshasa</v>
          </cell>
        </row>
        <row r="67">
          <cell r="A67" t="str">
            <v>Senegal</v>
          </cell>
        </row>
        <row r="68">
          <cell r="A68" t="str">
            <v>Bhutan</v>
          </cell>
        </row>
        <row r="69">
          <cell r="A69" t="str">
            <v>Romania</v>
          </cell>
          <cell r="B69">
            <v>0.41</v>
          </cell>
          <cell r="C69">
            <v>0.59</v>
          </cell>
        </row>
        <row r="70">
          <cell r="A70" t="str">
            <v>Mongolia</v>
          </cell>
        </row>
        <row r="71">
          <cell r="A71" t="str">
            <v>Slovenia</v>
          </cell>
        </row>
        <row r="72">
          <cell r="A72" t="str">
            <v>Philippines</v>
          </cell>
          <cell r="B72">
            <v>0.6</v>
          </cell>
          <cell r="C72">
            <v>0.4</v>
          </cell>
        </row>
        <row r="73">
          <cell r="A73" t="str">
            <v>Poland</v>
          </cell>
          <cell r="B73">
            <v>0.45</v>
          </cell>
          <cell r="C73">
            <v>0.55000000000000004</v>
          </cell>
        </row>
        <row r="74">
          <cell r="A74" t="str">
            <v>Australia</v>
          </cell>
          <cell r="B74">
            <v>0.53</v>
          </cell>
          <cell r="C74">
            <v>0.47</v>
          </cell>
        </row>
        <row r="75">
          <cell r="A75" t="str">
            <v>Slovakia</v>
          </cell>
        </row>
        <row r="76">
          <cell r="A76" t="str">
            <v>Netherlands</v>
          </cell>
          <cell r="B76">
            <v>0.61</v>
          </cell>
          <cell r="C76">
            <v>0.39</v>
          </cell>
        </row>
        <row r="77">
          <cell r="A77" t="str">
            <v>Panama</v>
          </cell>
        </row>
        <row r="78">
          <cell r="A78" t="str">
            <v>United States</v>
          </cell>
          <cell r="B78">
            <v>0.7</v>
          </cell>
          <cell r="C78">
            <v>0.3</v>
          </cell>
        </row>
        <row r="79">
          <cell r="A79" t="str">
            <v>Belgium</v>
          </cell>
          <cell r="B79">
            <v>0.47</v>
          </cell>
          <cell r="C79">
            <v>0.53</v>
          </cell>
        </row>
        <row r="80">
          <cell r="A80" t="str">
            <v>Portugal</v>
          </cell>
          <cell r="B80">
            <v>0.59</v>
          </cell>
          <cell r="C80">
            <v>0.41</v>
          </cell>
        </row>
        <row r="81">
          <cell r="A81" t="str">
            <v>Sierra Leone</v>
          </cell>
        </row>
        <row r="82">
          <cell r="A82" t="str">
            <v>Canada</v>
          </cell>
          <cell r="B82">
            <v>0.68</v>
          </cell>
          <cell r="C82">
            <v>0.32</v>
          </cell>
        </row>
        <row r="83">
          <cell r="A83" t="str">
            <v>Laos</v>
          </cell>
        </row>
        <row r="84">
          <cell r="A84" t="str">
            <v>Chile</v>
          </cell>
          <cell r="B84">
            <v>0.37</v>
          </cell>
          <cell r="C84">
            <v>0.63</v>
          </cell>
        </row>
        <row r="85">
          <cell r="A85" t="str">
            <v>Barbados</v>
          </cell>
        </row>
        <row r="86">
          <cell r="A86" t="str">
            <v>Kenya</v>
          </cell>
          <cell r="B86">
            <v>0.67</v>
          </cell>
          <cell r="C86">
            <v>0.33</v>
          </cell>
        </row>
        <row r="87">
          <cell r="A87" t="str">
            <v>Costa Rica</v>
          </cell>
        </row>
        <row r="88">
          <cell r="A88" t="str">
            <v>Vietnam</v>
          </cell>
          <cell r="B88">
            <v>0.3</v>
          </cell>
          <cell r="C88">
            <v>0.7</v>
          </cell>
        </row>
        <row r="89">
          <cell r="A89" t="str">
            <v>Ecuador</v>
          </cell>
          <cell r="B89">
            <v>0.64</v>
          </cell>
          <cell r="C89">
            <v>0.36</v>
          </cell>
        </row>
        <row r="90">
          <cell r="A90" t="str">
            <v>Burundi</v>
          </cell>
        </row>
        <row r="91">
          <cell r="A91" t="str">
            <v>Hungary</v>
          </cell>
          <cell r="B91">
            <v>0.8</v>
          </cell>
          <cell r="C91">
            <v>0.2</v>
          </cell>
        </row>
        <row r="92">
          <cell r="A92" t="str">
            <v>Cambodia</v>
          </cell>
        </row>
        <row r="93">
          <cell r="A93" t="str">
            <v>Lebanon</v>
          </cell>
        </row>
        <row r="94">
          <cell r="A94" t="str">
            <v>United Kingdom</v>
          </cell>
          <cell r="B94">
            <v>0.51</v>
          </cell>
          <cell r="C94">
            <v>0.49</v>
          </cell>
        </row>
        <row r="95">
          <cell r="A95" t="str">
            <v>Honduras</v>
          </cell>
        </row>
        <row r="96">
          <cell r="A96" t="str">
            <v>Denmark</v>
          </cell>
          <cell r="B96">
            <v>0.52</v>
          </cell>
          <cell r="C96">
            <v>0.48</v>
          </cell>
        </row>
        <row r="97">
          <cell r="A97" t="str">
            <v>El Salvador</v>
          </cell>
        </row>
        <row r="98">
          <cell r="A98" t="str">
            <v>Trinidad &amp; Tobago</v>
          </cell>
        </row>
        <row r="99">
          <cell r="A99" t="str">
            <v>CÃ´te dâ€™Ivoire</v>
          </cell>
        </row>
        <row r="100">
          <cell r="A100" t="str">
            <v>Russia</v>
          </cell>
          <cell r="B100">
            <v>0.56000000000000005</v>
          </cell>
          <cell r="C100">
            <v>0.44</v>
          </cell>
        </row>
        <row r="101">
          <cell r="A101" t="str">
            <v>Liberia</v>
          </cell>
        </row>
        <row r="102">
          <cell r="A102" t="str">
            <v>Belarus</v>
          </cell>
          <cell r="B102">
            <v>0.51</v>
          </cell>
          <cell r="C102">
            <v>0.49</v>
          </cell>
        </row>
        <row r="103">
          <cell r="A103" t="str">
            <v>Spain</v>
          </cell>
          <cell r="B103">
            <v>0.63</v>
          </cell>
          <cell r="C103">
            <v>0.37</v>
          </cell>
        </row>
        <row r="104">
          <cell r="A104" t="str">
            <v>Togo</v>
          </cell>
        </row>
        <row r="105">
          <cell r="A105" t="str">
            <v>United Arab Emirates</v>
          </cell>
          <cell r="B105">
            <v>0.57999999999999996</v>
          </cell>
          <cell r="C105">
            <v>0.42</v>
          </cell>
        </row>
        <row r="106">
          <cell r="A106" t="str">
            <v>Jersey</v>
          </cell>
        </row>
        <row r="107">
          <cell r="A107" t="str">
            <v>Bulgaria</v>
          </cell>
          <cell r="B107">
            <v>0.56999999999999995</v>
          </cell>
          <cell r="C107">
            <v>0.43</v>
          </cell>
        </row>
        <row r="108">
          <cell r="A108" t="str">
            <v>Latvia</v>
          </cell>
        </row>
        <row r="109">
          <cell r="A109" t="str">
            <v>Moldova</v>
          </cell>
        </row>
        <row r="110">
          <cell r="A110" t="str">
            <v>Uzbekistan</v>
          </cell>
        </row>
        <row r="111">
          <cell r="A111" t="str">
            <v>South Africa</v>
          </cell>
          <cell r="B111">
            <v>0.48</v>
          </cell>
          <cell r="C111">
            <v>0.52</v>
          </cell>
        </row>
        <row r="112">
          <cell r="A112" t="str">
            <v>France</v>
          </cell>
          <cell r="B112">
            <v>0.69</v>
          </cell>
          <cell r="C112">
            <v>0.31</v>
          </cell>
        </row>
        <row r="113">
          <cell r="A113" t="str">
            <v>Benin</v>
          </cell>
        </row>
        <row r="114">
          <cell r="A114" t="str">
            <v>Cyprus</v>
          </cell>
        </row>
        <row r="115">
          <cell r="A115" t="str">
            <v>Malaysia</v>
          </cell>
          <cell r="B115">
            <v>0.5</v>
          </cell>
          <cell r="C115">
            <v>0.5</v>
          </cell>
        </row>
        <row r="116">
          <cell r="A116" t="str">
            <v>Colombia</v>
          </cell>
          <cell r="B116">
            <v>0.64</v>
          </cell>
          <cell r="C116">
            <v>0.36</v>
          </cell>
        </row>
        <row r="117">
          <cell r="A117" t="str">
            <v>Dominican Republic</v>
          </cell>
          <cell r="B117">
            <v>0.48</v>
          </cell>
          <cell r="C117">
            <v>0.52</v>
          </cell>
        </row>
        <row r="118">
          <cell r="A118" t="str">
            <v>Guyana</v>
          </cell>
        </row>
        <row r="119">
          <cell r="A119" t="str">
            <v>Guam</v>
          </cell>
        </row>
        <row r="120">
          <cell r="A120" t="str">
            <v>Croatia</v>
          </cell>
          <cell r="B120">
            <v>0.53</v>
          </cell>
          <cell r="C120">
            <v>0.47</v>
          </cell>
        </row>
        <row r="121">
          <cell r="A121" t="str">
            <v>Bangladesh</v>
          </cell>
          <cell r="B121">
            <v>0.63</v>
          </cell>
          <cell r="C121">
            <v>0.37</v>
          </cell>
        </row>
        <row r="122">
          <cell r="A122" t="str">
            <v>Nicaragua</v>
          </cell>
        </row>
        <row r="123">
          <cell r="A123" t="str">
            <v>Jamaica</v>
          </cell>
        </row>
        <row r="124">
          <cell r="A124" t="str">
            <v>Argentina</v>
          </cell>
          <cell r="B124">
            <v>0.73</v>
          </cell>
          <cell r="C124">
            <v>0.27</v>
          </cell>
        </row>
        <row r="125">
          <cell r="A125" t="str">
            <v>North Macedonia</v>
          </cell>
        </row>
        <row r="126">
          <cell r="A126" t="str">
            <v>Mexico</v>
          </cell>
          <cell r="B126">
            <v>0.49</v>
          </cell>
          <cell r="C126">
            <v>0.51</v>
          </cell>
        </row>
        <row r="127">
          <cell r="A127" t="str">
            <v>Qatar</v>
          </cell>
        </row>
        <row r="128">
          <cell r="A128" t="str">
            <v>Lithuania</v>
          </cell>
        </row>
        <row r="129">
          <cell r="A129" t="str">
            <v>Italy</v>
          </cell>
          <cell r="B129">
            <v>0.77</v>
          </cell>
          <cell r="C129">
            <v>0.23</v>
          </cell>
        </row>
        <row r="130">
          <cell r="A130" t="str">
            <v>Guatemala</v>
          </cell>
        </row>
        <row r="131">
          <cell r="A131" t="str">
            <v>Albania</v>
          </cell>
        </row>
        <row r="132">
          <cell r="A132" t="str">
            <v>Serbia</v>
          </cell>
        </row>
        <row r="133">
          <cell r="A133" t="str">
            <v>Zambia</v>
          </cell>
        </row>
        <row r="134">
          <cell r="A134" t="str">
            <v>Indonesia</v>
          </cell>
          <cell r="B134">
            <v>0.73</v>
          </cell>
          <cell r="C134">
            <v>0.27</v>
          </cell>
        </row>
        <row r="135">
          <cell r="A135" t="str">
            <v>Ukraine</v>
          </cell>
          <cell r="B135">
            <v>0.63</v>
          </cell>
          <cell r="C135">
            <v>0.37</v>
          </cell>
        </row>
        <row r="136">
          <cell r="A136" t="str">
            <v>Greece</v>
          </cell>
          <cell r="B136">
            <v>0.66</v>
          </cell>
          <cell r="C136">
            <v>0.34</v>
          </cell>
        </row>
        <row r="137">
          <cell r="A137" t="str">
            <v>Paraguay</v>
          </cell>
        </row>
        <row r="138">
          <cell r="A138" t="str">
            <v>Peru</v>
          </cell>
          <cell r="B138">
            <v>0.54</v>
          </cell>
          <cell r="C138">
            <v>0.46</v>
          </cell>
        </row>
        <row r="139">
          <cell r="A139" t="str">
            <v>Morocco</v>
          </cell>
          <cell r="B139">
            <v>0.75</v>
          </cell>
          <cell r="C139">
            <v>0.25</v>
          </cell>
        </row>
        <row r="140">
          <cell r="A140" t="str">
            <v>Bahamas</v>
          </cell>
        </row>
        <row r="141">
          <cell r="A141" t="str">
            <v>Armenia</v>
          </cell>
        </row>
        <row r="142">
          <cell r="A142" t="str">
            <v>Kyrgyzstan</v>
          </cell>
        </row>
        <row r="143">
          <cell r="A143" t="str">
            <v>Kazakhstan</v>
          </cell>
          <cell r="B143">
            <v>0.46</v>
          </cell>
          <cell r="C143">
            <v>0.54</v>
          </cell>
        </row>
        <row r="144">
          <cell r="A144" t="str">
            <v>Sudan</v>
          </cell>
        </row>
        <row r="145">
          <cell r="A145" t="str">
            <v>Bahrain</v>
          </cell>
        </row>
        <row r="146">
          <cell r="A146" t="str">
            <v>RÃ©union</v>
          </cell>
        </row>
        <row r="147">
          <cell r="A147" t="str">
            <v>Oman</v>
          </cell>
        </row>
        <row r="148">
          <cell r="A148" t="str">
            <v>Tajikistan</v>
          </cell>
        </row>
        <row r="149">
          <cell r="A149" t="str">
            <v>Iran</v>
          </cell>
          <cell r="B149">
            <v>0.81</v>
          </cell>
          <cell r="C149">
            <v>0.19</v>
          </cell>
        </row>
        <row r="150">
          <cell r="A150" t="str">
            <v>Mali</v>
          </cell>
        </row>
        <row r="151">
          <cell r="A151" t="str">
            <v>Suriname</v>
          </cell>
        </row>
        <row r="152">
          <cell r="A152" t="str">
            <v>Jordan</v>
          </cell>
        </row>
        <row r="153">
          <cell r="A153" t="str">
            <v>Azerbaijan</v>
          </cell>
        </row>
        <row r="154">
          <cell r="A154" t="str">
            <v>Bosnia &amp; Herzegovina</v>
          </cell>
        </row>
        <row r="155">
          <cell r="A155" t="str">
            <v>Kuwait</v>
          </cell>
        </row>
        <row r="156">
          <cell r="A156" t="str">
            <v>Yemen</v>
          </cell>
        </row>
        <row r="157">
          <cell r="A157" t="str">
            <v>Puerto Rico</v>
          </cell>
        </row>
        <row r="158">
          <cell r="A158" t="str">
            <v>Guinea</v>
          </cell>
        </row>
        <row r="159">
          <cell r="A159" t="str">
            <v>Thailand</v>
          </cell>
          <cell r="B159">
            <v>0.67</v>
          </cell>
          <cell r="C159">
            <v>0.33</v>
          </cell>
        </row>
        <row r="160">
          <cell r="A160" t="str">
            <v>Burkina Faso</v>
          </cell>
        </row>
        <row r="161">
          <cell r="A161" t="str">
            <v>Algeria</v>
          </cell>
          <cell r="B161">
            <v>0.7</v>
          </cell>
          <cell r="C161">
            <v>0.3</v>
          </cell>
        </row>
        <row r="162">
          <cell r="A162" t="str">
            <v>Libya</v>
          </cell>
        </row>
        <row r="163">
          <cell r="A163" t="str">
            <v>Egypt</v>
          </cell>
          <cell r="B163">
            <v>0.77</v>
          </cell>
          <cell r="C163">
            <v>0.23</v>
          </cell>
        </row>
        <row r="164">
          <cell r="A164" t="str">
            <v>Saudi Arabia</v>
          </cell>
          <cell r="B164">
            <v>0.62</v>
          </cell>
          <cell r="C164">
            <v>0.38</v>
          </cell>
        </row>
        <row r="165">
          <cell r="A165" t="str">
            <v>Guadeloupe</v>
          </cell>
        </row>
        <row r="166">
          <cell r="A166" t="str">
            <v>Montenegro</v>
          </cell>
        </row>
        <row r="167">
          <cell r="A167" t="str">
            <v>Syria</v>
          </cell>
        </row>
        <row r="168">
          <cell r="A168" t="str">
            <v>Georgia</v>
          </cell>
        </row>
        <row r="169">
          <cell r="A169" t="str">
            <v>Turkey</v>
          </cell>
          <cell r="B169">
            <v>0.67</v>
          </cell>
          <cell r="C169">
            <v>0.33</v>
          </cell>
        </row>
        <row r="170">
          <cell r="A170" t="str">
            <v>Palestine</v>
          </cell>
        </row>
        <row r="171">
          <cell r="A171" t="str">
            <v>Iraq</v>
          </cell>
        </row>
        <row r="172">
          <cell r="A172" t="str">
            <v>Nauru</v>
          </cell>
        </row>
        <row r="173">
          <cell r="A173" t="str">
            <v>Palau</v>
          </cell>
        </row>
        <row r="174">
          <cell r="A174" t="str">
            <v>Cook Islands</v>
          </cell>
        </row>
        <row r="175">
          <cell r="A175" t="str">
            <v>Vanuatu</v>
          </cell>
        </row>
        <row r="176">
          <cell r="A176" t="str">
            <v>SÃ£o TomÃ© &amp; PrÃ­ncipe</v>
          </cell>
        </row>
        <row r="177">
          <cell r="A177" t="str">
            <v>Tonga</v>
          </cell>
        </row>
        <row r="178">
          <cell r="A178" t="str">
            <v>Guinea-Bissau</v>
          </cell>
        </row>
        <row r="179">
          <cell r="A179" t="str">
            <v>St. Pierre &amp; Miquelon</v>
          </cell>
        </row>
        <row r="180">
          <cell r="A180" t="str">
            <v>San Marino</v>
          </cell>
        </row>
        <row r="181">
          <cell r="A181" t="str">
            <v>Ã…land Islands</v>
          </cell>
        </row>
        <row r="182">
          <cell r="A182" t="str">
            <v>Gibraltar</v>
          </cell>
        </row>
        <row r="183">
          <cell r="A183" t="str">
            <v>Central African Republic</v>
          </cell>
        </row>
        <row r="184">
          <cell r="A184" t="str">
            <v>Comoros</v>
          </cell>
        </row>
        <row r="185">
          <cell r="A185" t="str">
            <v>St. Vincent &amp; Grenadines</v>
          </cell>
        </row>
        <row r="186">
          <cell r="A186" t="str">
            <v>Liechtenstein</v>
          </cell>
        </row>
        <row r="187">
          <cell r="A187" t="str">
            <v>Sint Maarten</v>
          </cell>
        </row>
        <row r="188">
          <cell r="A188" t="str">
            <v>Equatorial Guinea</v>
          </cell>
        </row>
        <row r="189">
          <cell r="A189" t="str">
            <v>Greenland</v>
          </cell>
        </row>
        <row r="190">
          <cell r="A190" t="str">
            <v>Djibouti</v>
          </cell>
        </row>
        <row r="191">
          <cell r="A191" t="str">
            <v>Congo - Brazzaville</v>
          </cell>
        </row>
        <row r="192">
          <cell r="A192" t="str">
            <v>Faroe Islands</v>
          </cell>
        </row>
        <row r="193">
          <cell r="A193" t="str">
            <v>British Virgin Islands</v>
          </cell>
        </row>
        <row r="194">
          <cell r="A194" t="str">
            <v>Andorra</v>
          </cell>
        </row>
        <row r="195">
          <cell r="A195" t="str">
            <v>Samoa</v>
          </cell>
        </row>
        <row r="196">
          <cell r="A196" t="str">
            <v>Timor-Leste</v>
          </cell>
        </row>
        <row r="197">
          <cell r="A197" t="str">
            <v>Solomon Islands</v>
          </cell>
        </row>
        <row r="198">
          <cell r="A198" t="str">
            <v>Gambia</v>
          </cell>
        </row>
        <row r="199">
          <cell r="A199" t="str">
            <v>Antigua &amp; Barbuda</v>
          </cell>
        </row>
        <row r="200">
          <cell r="A200" t="str">
            <v>Belize</v>
          </cell>
        </row>
        <row r="201">
          <cell r="A201" t="str">
            <v>St. Kitts &amp; Nevis</v>
          </cell>
        </row>
        <row r="202">
          <cell r="A202" t="str">
            <v>Monaco</v>
          </cell>
        </row>
        <row r="203">
          <cell r="A203" t="str">
            <v>Grenada</v>
          </cell>
        </row>
        <row r="204">
          <cell r="A204" t="str">
            <v>Chad</v>
          </cell>
        </row>
        <row r="205">
          <cell r="A205" t="str">
            <v>Guernsey</v>
          </cell>
        </row>
        <row r="206">
          <cell r="A206" t="str">
            <v>U.S. Virgin Islands</v>
          </cell>
        </row>
        <row r="207">
          <cell r="A207" t="str">
            <v>French Guiana</v>
          </cell>
        </row>
        <row r="208">
          <cell r="A208" t="str">
            <v>Seychelles</v>
          </cell>
        </row>
        <row r="209">
          <cell r="A209" t="str">
            <v>Bermuda</v>
          </cell>
        </row>
        <row r="210">
          <cell r="A210" t="str">
            <v>Turks &amp; Caicos Islands</v>
          </cell>
        </row>
        <row r="211">
          <cell r="A211" t="str">
            <v>French Polynesia</v>
          </cell>
        </row>
        <row r="212">
          <cell r="A212" t="str">
            <v>Cayman Islands</v>
          </cell>
        </row>
        <row r="213">
          <cell r="A213" t="str">
            <v>Niger</v>
          </cell>
        </row>
        <row r="214">
          <cell r="A214" t="str">
            <v>New Caledonia</v>
          </cell>
        </row>
        <row r="215">
          <cell r="A215" t="str">
            <v>Dominica</v>
          </cell>
        </row>
        <row r="216">
          <cell r="A216" t="str">
            <v>St. Lucia</v>
          </cell>
        </row>
        <row r="217">
          <cell r="A217" t="str">
            <v>South Sudan</v>
          </cell>
        </row>
        <row r="218">
          <cell r="A218" t="str">
            <v>Lesotho</v>
          </cell>
        </row>
        <row r="219">
          <cell r="A219" t="str">
            <v>Martinique</v>
          </cell>
        </row>
        <row r="220">
          <cell r="A220" t="str">
            <v>Mayotte</v>
          </cell>
        </row>
        <row r="221">
          <cell r="A221" t="str">
            <v>Gabon</v>
          </cell>
        </row>
        <row r="222">
          <cell r="A222" t="str">
            <v>Mauritania</v>
          </cell>
        </row>
        <row r="223">
          <cell r="A223" t="str">
            <v>Anguilla</v>
          </cell>
        </row>
        <row r="224">
          <cell r="A224" t="str">
            <v>American Samoa</v>
          </cell>
        </row>
        <row r="225">
          <cell r="A225" t="str">
            <v>Antarctica</v>
          </cell>
        </row>
        <row r="226">
          <cell r="A226" t="str">
            <v>French Southern Territories</v>
          </cell>
        </row>
        <row r="227">
          <cell r="A227" t="str">
            <v>Caribbean Netherlands</v>
          </cell>
        </row>
        <row r="228">
          <cell r="A228" t="str">
            <v>St. BarthÃ©lemy</v>
          </cell>
        </row>
        <row r="229">
          <cell r="A229" t="str">
            <v>Bouvet Island</v>
          </cell>
        </row>
        <row r="230">
          <cell r="A230" t="str">
            <v>Cocos (Keeling) Islands</v>
          </cell>
        </row>
        <row r="231">
          <cell r="A231" t="str">
            <v>Christmas Island</v>
          </cell>
        </row>
        <row r="232">
          <cell r="A232" t="str">
            <v>Eritrea</v>
          </cell>
        </row>
        <row r="233">
          <cell r="A233" t="str">
            <v>Western Sahara</v>
          </cell>
        </row>
        <row r="234">
          <cell r="A234" t="str">
            <v>Falkland Islands (Islas Malvinas)</v>
          </cell>
        </row>
        <row r="235">
          <cell r="A235" t="str">
            <v>Micronesia</v>
          </cell>
        </row>
        <row r="236">
          <cell r="A236" t="str">
            <v>Heard &amp; McDonald Islands</v>
          </cell>
        </row>
        <row r="237">
          <cell r="A237" t="str">
            <v>British Indian Ocean Territory</v>
          </cell>
        </row>
        <row r="238">
          <cell r="A238" t="str">
            <v>Kiribati</v>
          </cell>
        </row>
        <row r="239">
          <cell r="A239" t="str">
            <v>St. Martin</v>
          </cell>
        </row>
        <row r="240">
          <cell r="A240" t="str">
            <v>Marshall Islands</v>
          </cell>
        </row>
        <row r="241">
          <cell r="A241" t="str">
            <v>Northern Mariana Islands</v>
          </cell>
        </row>
        <row r="242">
          <cell r="A242" t="str">
            <v>Montserrat</v>
          </cell>
        </row>
        <row r="243">
          <cell r="A243" t="str">
            <v>Norfolk Island</v>
          </cell>
        </row>
        <row r="244">
          <cell r="A244" t="str">
            <v>Niue</v>
          </cell>
        </row>
        <row r="245">
          <cell r="A245" t="str">
            <v>Pitcairn Islands</v>
          </cell>
        </row>
        <row r="246">
          <cell r="A246" t="str">
            <v>North Korea</v>
          </cell>
        </row>
        <row r="247">
          <cell r="A247" t="str">
            <v>South Georgia &amp; South Sandwich Islands</v>
          </cell>
        </row>
        <row r="248">
          <cell r="A248" t="str">
            <v>Svalbard &amp; Jan Mayen</v>
          </cell>
        </row>
        <row r="249">
          <cell r="A249" t="str">
            <v>Tokelau</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2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5)"/>
    </sheetNames>
    <sheetDataSet>
      <sheetData sheetId="0">
        <row r="1">
          <cell r="A1" t="str">
            <v>Kategori: TÃ¼m kategoriler</v>
          </cell>
        </row>
        <row r="3">
          <cell r="A3" t="str">
            <v>Ãœlke</v>
          </cell>
          <cell r="B3" t="str">
            <v>SayÄ± deÄŸil: (2016)</v>
          </cell>
          <cell r="C3" t="str">
            <v>Yapay Sinir AÄŸlarÄ±: (2016)</v>
          </cell>
        </row>
        <row r="4">
          <cell r="A4" t="str">
            <v>Haiti</v>
          </cell>
          <cell r="B4">
            <v>1</v>
          </cell>
        </row>
        <row r="5">
          <cell r="A5" t="str">
            <v>China</v>
          </cell>
          <cell r="B5">
            <v>0.13</v>
          </cell>
          <cell r="C5">
            <v>0.87</v>
          </cell>
        </row>
        <row r="6">
          <cell r="A6" t="str">
            <v>CuraÃ§ao</v>
          </cell>
        </row>
        <row r="7">
          <cell r="A7" t="str">
            <v>Tanzania</v>
          </cell>
        </row>
        <row r="8">
          <cell r="A8" t="str">
            <v>Myanmar (Burma)</v>
          </cell>
        </row>
        <row r="9">
          <cell r="A9" t="str">
            <v>Aruba</v>
          </cell>
        </row>
        <row r="10">
          <cell r="A10" t="str">
            <v>South Korea</v>
          </cell>
          <cell r="B10">
            <v>0.17</v>
          </cell>
          <cell r="C10">
            <v>0.83</v>
          </cell>
        </row>
        <row r="11">
          <cell r="A11" t="str">
            <v>Sri Lanka</v>
          </cell>
          <cell r="B11">
            <v>0.76</v>
          </cell>
          <cell r="C11">
            <v>0.24</v>
          </cell>
        </row>
        <row r="12">
          <cell r="A12" t="str">
            <v>Cuba</v>
          </cell>
        </row>
        <row r="13">
          <cell r="A13" t="str">
            <v>Kosovo</v>
          </cell>
        </row>
        <row r="14">
          <cell r="A14" t="str">
            <v>Venezuela</v>
          </cell>
          <cell r="B14">
            <v>0.86</v>
          </cell>
          <cell r="C14">
            <v>0.14000000000000001</v>
          </cell>
        </row>
        <row r="15">
          <cell r="A15" t="str">
            <v>Singapore</v>
          </cell>
          <cell r="B15">
            <v>0.56000000000000005</v>
          </cell>
          <cell r="C15">
            <v>0.44</v>
          </cell>
        </row>
        <row r="16">
          <cell r="A16" t="str">
            <v>Fiji</v>
          </cell>
        </row>
        <row r="17">
          <cell r="A17" t="str">
            <v>Afghanistan</v>
          </cell>
        </row>
        <row r="18">
          <cell r="A18" t="str">
            <v>Croatia</v>
          </cell>
          <cell r="B18">
            <v>0.33</v>
          </cell>
          <cell r="C18">
            <v>0.67</v>
          </cell>
        </row>
        <row r="19">
          <cell r="A19" t="str">
            <v>India</v>
          </cell>
          <cell r="B19">
            <v>0.61</v>
          </cell>
          <cell r="C19">
            <v>0.39</v>
          </cell>
        </row>
        <row r="20">
          <cell r="A20" t="str">
            <v>Pakistan</v>
          </cell>
          <cell r="B20">
            <v>0.62</v>
          </cell>
          <cell r="C20">
            <v>0.38</v>
          </cell>
        </row>
        <row r="21">
          <cell r="A21" t="str">
            <v>Maldives</v>
          </cell>
        </row>
        <row r="22">
          <cell r="A22" t="str">
            <v>Hong Kong</v>
          </cell>
          <cell r="B22">
            <v>0.41</v>
          </cell>
          <cell r="C22">
            <v>0.59</v>
          </cell>
        </row>
        <row r="23">
          <cell r="A23" t="str">
            <v>Nepal</v>
          </cell>
        </row>
        <row r="24">
          <cell r="A24" t="str">
            <v>Nigeria</v>
          </cell>
          <cell r="B24">
            <v>0.6</v>
          </cell>
          <cell r="C24">
            <v>0.4</v>
          </cell>
        </row>
        <row r="25">
          <cell r="A25" t="str">
            <v>Brazil</v>
          </cell>
          <cell r="B25">
            <v>0.87</v>
          </cell>
          <cell r="C25">
            <v>0.13</v>
          </cell>
        </row>
        <row r="26">
          <cell r="A26" t="str">
            <v>Romania</v>
          </cell>
          <cell r="B26">
            <v>0.8</v>
          </cell>
          <cell r="C26">
            <v>0.2</v>
          </cell>
        </row>
        <row r="27">
          <cell r="A27" t="str">
            <v>Ethiopia</v>
          </cell>
        </row>
        <row r="28">
          <cell r="A28" t="str">
            <v>Namibia</v>
          </cell>
        </row>
        <row r="29">
          <cell r="A29" t="str">
            <v>Poland</v>
          </cell>
          <cell r="B29">
            <v>0.75</v>
          </cell>
          <cell r="C29">
            <v>0.25</v>
          </cell>
        </row>
        <row r="30">
          <cell r="A30" t="str">
            <v>Turkmenistan</v>
          </cell>
        </row>
        <row r="31">
          <cell r="A31" t="str">
            <v>Japan</v>
          </cell>
          <cell r="B31">
            <v>0.7</v>
          </cell>
          <cell r="C31">
            <v>0.3</v>
          </cell>
        </row>
        <row r="32">
          <cell r="A32" t="str">
            <v>Belgium</v>
          </cell>
          <cell r="B32">
            <v>0.79</v>
          </cell>
          <cell r="C32">
            <v>0.21</v>
          </cell>
        </row>
        <row r="33">
          <cell r="A33" t="str">
            <v>Iran</v>
          </cell>
          <cell r="B33">
            <v>0.13</v>
          </cell>
          <cell r="C33">
            <v>0.87</v>
          </cell>
        </row>
        <row r="34">
          <cell r="A34" t="str">
            <v>Zimbabwe</v>
          </cell>
        </row>
        <row r="35">
          <cell r="A35" t="str">
            <v>Botswana</v>
          </cell>
        </row>
        <row r="36">
          <cell r="A36" t="str">
            <v>Chile</v>
          </cell>
          <cell r="B36">
            <v>0.69</v>
          </cell>
          <cell r="C36">
            <v>0.31</v>
          </cell>
        </row>
        <row r="37">
          <cell r="A37" t="str">
            <v>Australia</v>
          </cell>
          <cell r="B37">
            <v>0.66</v>
          </cell>
          <cell r="C37">
            <v>0.34</v>
          </cell>
        </row>
        <row r="38">
          <cell r="A38" t="str">
            <v>Vietnam</v>
          </cell>
          <cell r="B38">
            <v>0.88</v>
          </cell>
          <cell r="C38">
            <v>0.12</v>
          </cell>
        </row>
        <row r="39">
          <cell r="A39" t="str">
            <v>Taiwan</v>
          </cell>
          <cell r="B39">
            <v>0.28000000000000003</v>
          </cell>
          <cell r="C39">
            <v>0.72</v>
          </cell>
        </row>
        <row r="40">
          <cell r="A40" t="str">
            <v>United Kingdom</v>
          </cell>
          <cell r="B40">
            <v>0.66</v>
          </cell>
          <cell r="C40">
            <v>0.34</v>
          </cell>
        </row>
        <row r="41">
          <cell r="A41" t="str">
            <v>Cambodia</v>
          </cell>
        </row>
        <row r="42">
          <cell r="A42" t="str">
            <v>St. Helena</v>
          </cell>
        </row>
        <row r="43">
          <cell r="A43" t="str">
            <v>Bhutan</v>
          </cell>
        </row>
        <row r="44">
          <cell r="A44" t="str">
            <v>Belarus</v>
          </cell>
          <cell r="B44">
            <v>0.55000000000000004</v>
          </cell>
          <cell r="C44">
            <v>0.45</v>
          </cell>
        </row>
        <row r="45">
          <cell r="A45" t="str">
            <v>Isle of Man</v>
          </cell>
        </row>
        <row r="46">
          <cell r="A46" t="str">
            <v>Benin</v>
          </cell>
        </row>
        <row r="47">
          <cell r="A47" t="str">
            <v>Moldova</v>
          </cell>
        </row>
        <row r="48">
          <cell r="A48" t="str">
            <v>Denmark</v>
          </cell>
          <cell r="B48">
            <v>0.7</v>
          </cell>
          <cell r="C48">
            <v>0.3</v>
          </cell>
        </row>
        <row r="49">
          <cell r="A49" t="str">
            <v>Madagascar</v>
          </cell>
        </row>
        <row r="50">
          <cell r="A50" t="str">
            <v>Nicaragua</v>
          </cell>
        </row>
        <row r="51">
          <cell r="A51" t="str">
            <v>South Africa</v>
          </cell>
          <cell r="B51">
            <v>0.62</v>
          </cell>
          <cell r="C51">
            <v>0.38</v>
          </cell>
        </row>
        <row r="52">
          <cell r="A52" t="str">
            <v>Iceland</v>
          </cell>
        </row>
        <row r="53">
          <cell r="A53" t="str">
            <v>Malaysia</v>
          </cell>
          <cell r="B53">
            <v>0.6</v>
          </cell>
          <cell r="C53">
            <v>0.4</v>
          </cell>
        </row>
        <row r="54">
          <cell r="A54" t="str">
            <v>Luxembourg</v>
          </cell>
        </row>
        <row r="55">
          <cell r="A55" t="str">
            <v>Cyprus</v>
          </cell>
        </row>
        <row r="56">
          <cell r="A56" t="str">
            <v>Dominican Republic</v>
          </cell>
          <cell r="B56">
            <v>0.6</v>
          </cell>
          <cell r="C56">
            <v>0.4</v>
          </cell>
        </row>
        <row r="57">
          <cell r="A57" t="str">
            <v>Honduras</v>
          </cell>
        </row>
        <row r="58">
          <cell r="A58" t="str">
            <v>Tunisia</v>
          </cell>
        </row>
        <row r="59">
          <cell r="A59" t="str">
            <v>Qatar</v>
          </cell>
        </row>
        <row r="60">
          <cell r="A60" t="str">
            <v>Czechia</v>
          </cell>
          <cell r="B60">
            <v>0.33</v>
          </cell>
          <cell r="C60">
            <v>0.67</v>
          </cell>
        </row>
        <row r="61">
          <cell r="A61" t="str">
            <v>Russia</v>
          </cell>
          <cell r="B61">
            <v>0.48</v>
          </cell>
          <cell r="C61">
            <v>0.52</v>
          </cell>
        </row>
        <row r="62">
          <cell r="A62" t="str">
            <v>Mexico</v>
          </cell>
          <cell r="B62">
            <v>0.6</v>
          </cell>
          <cell r="C62">
            <v>0.4</v>
          </cell>
        </row>
        <row r="63">
          <cell r="A63" t="str">
            <v>Macao</v>
          </cell>
        </row>
        <row r="64">
          <cell r="A64" t="str">
            <v>Uzbekistan</v>
          </cell>
        </row>
        <row r="65">
          <cell r="A65" t="str">
            <v>Israel</v>
          </cell>
          <cell r="B65">
            <v>0.33</v>
          </cell>
          <cell r="C65">
            <v>0.67</v>
          </cell>
        </row>
        <row r="66">
          <cell r="A66" t="str">
            <v>Guatemala</v>
          </cell>
        </row>
        <row r="67">
          <cell r="A67" t="str">
            <v>Portugal</v>
          </cell>
          <cell r="B67">
            <v>0.66</v>
          </cell>
          <cell r="C67">
            <v>0.34</v>
          </cell>
        </row>
        <row r="68">
          <cell r="A68" t="str">
            <v>Malta</v>
          </cell>
        </row>
        <row r="69">
          <cell r="A69" t="str">
            <v>Armenia</v>
          </cell>
        </row>
        <row r="70">
          <cell r="A70" t="str">
            <v>Angola</v>
          </cell>
        </row>
        <row r="71">
          <cell r="A71" t="str">
            <v>Mozambique</v>
          </cell>
        </row>
        <row r="72">
          <cell r="A72" t="str">
            <v>Brunei</v>
          </cell>
        </row>
        <row r="73">
          <cell r="A73" t="str">
            <v>Philippines</v>
          </cell>
          <cell r="B73">
            <v>0.61</v>
          </cell>
          <cell r="C73">
            <v>0.39</v>
          </cell>
        </row>
        <row r="74">
          <cell r="A74" t="str">
            <v>Netherlands</v>
          </cell>
          <cell r="B74">
            <v>0.64</v>
          </cell>
          <cell r="C74">
            <v>0.36</v>
          </cell>
        </row>
        <row r="75">
          <cell r="A75" t="str">
            <v>Switzerland</v>
          </cell>
          <cell r="B75">
            <v>0.54</v>
          </cell>
          <cell r="C75">
            <v>0.46</v>
          </cell>
        </row>
        <row r="76">
          <cell r="A76" t="str">
            <v>United Arab Emirates</v>
          </cell>
          <cell r="B76">
            <v>0.64</v>
          </cell>
          <cell r="C76">
            <v>0.36</v>
          </cell>
        </row>
        <row r="77">
          <cell r="A77" t="str">
            <v>Finland</v>
          </cell>
          <cell r="B77">
            <v>0.59</v>
          </cell>
          <cell r="C77">
            <v>0.41</v>
          </cell>
        </row>
        <row r="78">
          <cell r="A78" t="str">
            <v>Ghana</v>
          </cell>
        </row>
        <row r="79">
          <cell r="A79" t="str">
            <v>Kazakhstan</v>
          </cell>
          <cell r="B79">
            <v>0.7</v>
          </cell>
          <cell r="C79">
            <v>0.3</v>
          </cell>
        </row>
        <row r="80">
          <cell r="A80" t="str">
            <v>Tajikistan</v>
          </cell>
        </row>
        <row r="81">
          <cell r="A81" t="str">
            <v>Bulgaria</v>
          </cell>
          <cell r="B81">
            <v>0.72</v>
          </cell>
          <cell r="C81">
            <v>0.28000000000000003</v>
          </cell>
        </row>
        <row r="82">
          <cell r="A82" t="str">
            <v>Mauritius</v>
          </cell>
        </row>
        <row r="83">
          <cell r="A83" t="str">
            <v>Kenya</v>
          </cell>
          <cell r="B83">
            <v>0.42</v>
          </cell>
          <cell r="C83">
            <v>0.57999999999999996</v>
          </cell>
        </row>
        <row r="84">
          <cell r="A84" t="str">
            <v>Germany</v>
          </cell>
          <cell r="B84">
            <v>0.6</v>
          </cell>
          <cell r="C84">
            <v>0.4</v>
          </cell>
        </row>
        <row r="85">
          <cell r="A85" t="str">
            <v>Bangladesh</v>
          </cell>
          <cell r="B85">
            <v>0.43</v>
          </cell>
          <cell r="C85">
            <v>0.56999999999999995</v>
          </cell>
        </row>
        <row r="86">
          <cell r="A86" t="str">
            <v>Laos</v>
          </cell>
        </row>
        <row r="87">
          <cell r="A87" t="str">
            <v>Kyrgyzstan</v>
          </cell>
        </row>
        <row r="88">
          <cell r="A88" t="str">
            <v>United States</v>
          </cell>
          <cell r="B88">
            <v>0.42</v>
          </cell>
          <cell r="C88">
            <v>0.57999999999999996</v>
          </cell>
        </row>
        <row r="89">
          <cell r="A89" t="str">
            <v>North Macedonia</v>
          </cell>
        </row>
        <row r="90">
          <cell r="A90" t="str">
            <v>Lithuania</v>
          </cell>
          <cell r="B90">
            <v>0.56000000000000005</v>
          </cell>
          <cell r="C90">
            <v>0.44</v>
          </cell>
        </row>
        <row r="91">
          <cell r="A91" t="str">
            <v>Ireland</v>
          </cell>
          <cell r="B91">
            <v>0.54</v>
          </cell>
          <cell r="C91">
            <v>0.46</v>
          </cell>
        </row>
        <row r="92">
          <cell r="A92" t="str">
            <v>Somalia</v>
          </cell>
        </row>
        <row r="93">
          <cell r="A93" t="str">
            <v>CÃ´te dâ€™Ivoire</v>
          </cell>
        </row>
        <row r="94">
          <cell r="A94" t="str">
            <v>Peru</v>
          </cell>
          <cell r="B94">
            <v>0.5</v>
          </cell>
          <cell r="C94">
            <v>0.5</v>
          </cell>
        </row>
        <row r="95">
          <cell r="A95" t="str">
            <v>Sudan</v>
          </cell>
        </row>
        <row r="96">
          <cell r="A96" t="str">
            <v>Canada</v>
          </cell>
          <cell r="B96">
            <v>0.46</v>
          </cell>
          <cell r="C96">
            <v>0.54</v>
          </cell>
        </row>
        <row r="97">
          <cell r="A97" t="str">
            <v>Azerbaijan</v>
          </cell>
        </row>
        <row r="98">
          <cell r="A98" t="str">
            <v>Mongolia</v>
          </cell>
        </row>
        <row r="99">
          <cell r="A99" t="str">
            <v>New Zealand</v>
          </cell>
          <cell r="B99">
            <v>0.52</v>
          </cell>
          <cell r="C99">
            <v>0.48</v>
          </cell>
        </row>
        <row r="100">
          <cell r="A100" t="str">
            <v>Bahrain</v>
          </cell>
        </row>
        <row r="101">
          <cell r="A101" t="str">
            <v>Guadeloupe</v>
          </cell>
        </row>
        <row r="102">
          <cell r="A102" t="str">
            <v>Colombia</v>
          </cell>
          <cell r="B102">
            <v>0.44</v>
          </cell>
          <cell r="C102">
            <v>0.56000000000000005</v>
          </cell>
        </row>
        <row r="103">
          <cell r="A103" t="str">
            <v>Cameroon</v>
          </cell>
        </row>
        <row r="104">
          <cell r="A104" t="str">
            <v>Spain</v>
          </cell>
          <cell r="B104">
            <v>0.71</v>
          </cell>
          <cell r="C104">
            <v>0.28999999999999998</v>
          </cell>
        </row>
        <row r="105">
          <cell r="A105" t="str">
            <v>Ecuador</v>
          </cell>
          <cell r="B105">
            <v>0.56000000000000005</v>
          </cell>
          <cell r="C105">
            <v>0.44</v>
          </cell>
        </row>
        <row r="106">
          <cell r="A106" t="str">
            <v>Bolivia</v>
          </cell>
        </row>
        <row r="107">
          <cell r="A107" t="str">
            <v>Ukraine</v>
          </cell>
          <cell r="B107">
            <v>0.43</v>
          </cell>
          <cell r="C107">
            <v>0.56999999999999995</v>
          </cell>
        </row>
        <row r="108">
          <cell r="A108" t="str">
            <v>Panama</v>
          </cell>
        </row>
        <row r="109">
          <cell r="A109" t="str">
            <v>Costa Rica</v>
          </cell>
        </row>
        <row r="110">
          <cell r="A110" t="str">
            <v>Austria</v>
          </cell>
          <cell r="B110">
            <v>0.61</v>
          </cell>
          <cell r="C110">
            <v>0.39</v>
          </cell>
        </row>
        <row r="111">
          <cell r="A111" t="str">
            <v>Latvia</v>
          </cell>
        </row>
        <row r="112">
          <cell r="A112" t="str">
            <v>Estonia</v>
          </cell>
        </row>
        <row r="113">
          <cell r="A113" t="str">
            <v>Puerto Rico</v>
          </cell>
        </row>
        <row r="114">
          <cell r="A114" t="str">
            <v>Albania</v>
          </cell>
        </row>
        <row r="115">
          <cell r="A115" t="str">
            <v>Lebanon</v>
          </cell>
        </row>
        <row r="116">
          <cell r="A116" t="str">
            <v>Jamaica</v>
          </cell>
        </row>
        <row r="117">
          <cell r="A117" t="str">
            <v>Libya</v>
          </cell>
        </row>
        <row r="118">
          <cell r="A118" t="str">
            <v>Syria</v>
          </cell>
        </row>
        <row r="119">
          <cell r="A119" t="str">
            <v>Indonesia</v>
          </cell>
          <cell r="B119">
            <v>0.36</v>
          </cell>
          <cell r="C119">
            <v>0.64</v>
          </cell>
        </row>
        <row r="120">
          <cell r="A120" t="str">
            <v>Norway</v>
          </cell>
          <cell r="B120">
            <v>0.35</v>
          </cell>
          <cell r="C120">
            <v>0.65</v>
          </cell>
        </row>
        <row r="121">
          <cell r="A121" t="str">
            <v>Oman</v>
          </cell>
        </row>
        <row r="122">
          <cell r="A122" t="str">
            <v>Kuwait</v>
          </cell>
        </row>
        <row r="123">
          <cell r="A123" t="str">
            <v>Trinidad &amp; Tobago</v>
          </cell>
        </row>
        <row r="124">
          <cell r="A124" t="str">
            <v>Paraguay</v>
          </cell>
        </row>
        <row r="125">
          <cell r="A125" t="str">
            <v>Sweden</v>
          </cell>
          <cell r="B125">
            <v>0.47</v>
          </cell>
          <cell r="C125">
            <v>0.53</v>
          </cell>
        </row>
        <row r="126">
          <cell r="A126" t="str">
            <v>Greece</v>
          </cell>
          <cell r="B126">
            <v>0.46</v>
          </cell>
          <cell r="C126">
            <v>0.54</v>
          </cell>
        </row>
        <row r="127">
          <cell r="A127" t="str">
            <v>El Salvador</v>
          </cell>
        </row>
        <row r="128">
          <cell r="A128" t="str">
            <v>Rwanda</v>
          </cell>
        </row>
        <row r="129">
          <cell r="A129" t="str">
            <v>Uruguay</v>
          </cell>
        </row>
        <row r="130">
          <cell r="A130" t="str">
            <v>France</v>
          </cell>
          <cell r="B130">
            <v>0.61</v>
          </cell>
          <cell r="C130">
            <v>0.39</v>
          </cell>
        </row>
        <row r="131">
          <cell r="A131" t="str">
            <v>Uganda</v>
          </cell>
        </row>
        <row r="132">
          <cell r="A132" t="str">
            <v>Slovenia</v>
          </cell>
        </row>
        <row r="133">
          <cell r="A133" t="str">
            <v>Algeria</v>
          </cell>
          <cell r="B133">
            <v>0.36</v>
          </cell>
          <cell r="C133">
            <v>0.64</v>
          </cell>
        </row>
        <row r="134">
          <cell r="A134" t="str">
            <v>Iraq</v>
          </cell>
        </row>
        <row r="135">
          <cell r="A135" t="str">
            <v>Zambia</v>
          </cell>
        </row>
        <row r="136">
          <cell r="A136" t="str">
            <v>Egypt</v>
          </cell>
          <cell r="B136">
            <v>0.27</v>
          </cell>
          <cell r="C136">
            <v>0.73</v>
          </cell>
        </row>
        <row r="137">
          <cell r="A137" t="str">
            <v>Jordan</v>
          </cell>
        </row>
        <row r="138">
          <cell r="A138" t="str">
            <v>Bosnia &amp; Herzegovina</v>
          </cell>
        </row>
        <row r="139">
          <cell r="A139" t="str">
            <v>Argentina</v>
          </cell>
          <cell r="B139">
            <v>0.54</v>
          </cell>
          <cell r="C139">
            <v>0.46</v>
          </cell>
        </row>
        <row r="140">
          <cell r="A140" t="str">
            <v>Slovakia</v>
          </cell>
        </row>
        <row r="141">
          <cell r="A141" t="str">
            <v>Senegal</v>
          </cell>
        </row>
        <row r="142">
          <cell r="A142" t="str">
            <v>RÃ©union</v>
          </cell>
        </row>
        <row r="143">
          <cell r="A143" t="str">
            <v>Georgia</v>
          </cell>
        </row>
        <row r="144">
          <cell r="A144" t="str">
            <v>Serbia</v>
          </cell>
        </row>
        <row r="145">
          <cell r="A145" t="str">
            <v>Hungary</v>
          </cell>
          <cell r="B145">
            <v>0.5</v>
          </cell>
          <cell r="C145">
            <v>0.5</v>
          </cell>
        </row>
        <row r="146">
          <cell r="A146" t="str">
            <v>Saudi Arabia</v>
          </cell>
          <cell r="B146">
            <v>0.6</v>
          </cell>
          <cell r="C146">
            <v>0.4</v>
          </cell>
        </row>
        <row r="147">
          <cell r="A147" t="str">
            <v>Thailand</v>
          </cell>
          <cell r="B147">
            <v>0.5</v>
          </cell>
          <cell r="C147">
            <v>0.5</v>
          </cell>
        </row>
        <row r="148">
          <cell r="A148" t="str">
            <v>Italy</v>
          </cell>
          <cell r="B148">
            <v>0.49</v>
          </cell>
          <cell r="C148">
            <v>0.51</v>
          </cell>
        </row>
        <row r="149">
          <cell r="A149" t="str">
            <v>Morocco</v>
          </cell>
          <cell r="B149">
            <v>0.51</v>
          </cell>
          <cell r="C149">
            <v>0.49</v>
          </cell>
        </row>
        <row r="150">
          <cell r="A150" t="str">
            <v>Turkey</v>
          </cell>
          <cell r="B150">
            <v>0.42</v>
          </cell>
          <cell r="C150">
            <v>0.57999999999999996</v>
          </cell>
        </row>
        <row r="151">
          <cell r="A151" t="str">
            <v>Palestine</v>
          </cell>
        </row>
        <row r="152">
          <cell r="A152" t="str">
            <v>Yemen</v>
          </cell>
        </row>
        <row r="153">
          <cell r="A153" t="str">
            <v>Montserrat</v>
          </cell>
        </row>
        <row r="154">
          <cell r="A154" t="str">
            <v>Cook Islands</v>
          </cell>
        </row>
        <row r="155">
          <cell r="A155" t="str">
            <v>Caribbean Netherlands</v>
          </cell>
        </row>
        <row r="156">
          <cell r="A156" t="str">
            <v>Tonga</v>
          </cell>
        </row>
        <row r="157">
          <cell r="A157" t="str">
            <v>Marshall Islands</v>
          </cell>
        </row>
        <row r="158">
          <cell r="A158" t="str">
            <v>St. Pierre &amp; Miquelon</v>
          </cell>
        </row>
        <row r="159">
          <cell r="A159" t="str">
            <v>Micronesia</v>
          </cell>
        </row>
        <row r="160">
          <cell r="A160" t="str">
            <v>Guinea-Bissau</v>
          </cell>
        </row>
        <row r="161">
          <cell r="A161" t="str">
            <v>Turks &amp; Caicos Islands</v>
          </cell>
        </row>
        <row r="162">
          <cell r="A162" t="str">
            <v>French Guiana</v>
          </cell>
        </row>
        <row r="163">
          <cell r="A163" t="str">
            <v>Solomon Islands</v>
          </cell>
        </row>
        <row r="164">
          <cell r="A164" t="str">
            <v>Northern Mariana Islands</v>
          </cell>
        </row>
        <row r="165">
          <cell r="A165" t="str">
            <v>Vanuatu</v>
          </cell>
        </row>
        <row r="166">
          <cell r="A166" t="str">
            <v>Faroe Islands</v>
          </cell>
        </row>
        <row r="167">
          <cell r="A167" t="str">
            <v>Samoa</v>
          </cell>
        </row>
        <row r="168">
          <cell r="A168" t="str">
            <v>Greenland</v>
          </cell>
        </row>
        <row r="169">
          <cell r="A169" t="str">
            <v>Eswatini</v>
          </cell>
        </row>
        <row r="170">
          <cell r="A170" t="str">
            <v>Seychelles</v>
          </cell>
        </row>
        <row r="171">
          <cell r="A171" t="str">
            <v>Gibraltar</v>
          </cell>
        </row>
        <row r="172">
          <cell r="A172" t="str">
            <v>Ã…land Islands</v>
          </cell>
        </row>
        <row r="173">
          <cell r="A173" t="str">
            <v>Equatorial Guinea</v>
          </cell>
        </row>
        <row r="174">
          <cell r="A174" t="str">
            <v>Cayman Islands</v>
          </cell>
        </row>
        <row r="175">
          <cell r="A175" t="str">
            <v>Sint Maarten</v>
          </cell>
        </row>
        <row r="176">
          <cell r="A176" t="str">
            <v>Bermuda</v>
          </cell>
        </row>
        <row r="177">
          <cell r="A177" t="str">
            <v>Western Sahara</v>
          </cell>
        </row>
        <row r="178">
          <cell r="A178" t="str">
            <v>Antigua &amp; Barbuda</v>
          </cell>
        </row>
        <row r="179">
          <cell r="A179" t="str">
            <v>Lesotho</v>
          </cell>
        </row>
        <row r="180">
          <cell r="A180" t="str">
            <v>Grenada</v>
          </cell>
        </row>
        <row r="181">
          <cell r="A181" t="str">
            <v>Jersey</v>
          </cell>
        </row>
        <row r="182">
          <cell r="A182" t="str">
            <v>Niger</v>
          </cell>
        </row>
        <row r="183">
          <cell r="A183" t="str">
            <v>Gambia</v>
          </cell>
        </row>
        <row r="184">
          <cell r="A184" t="str">
            <v>St. Kitts &amp; Nevis</v>
          </cell>
        </row>
        <row r="185">
          <cell r="A185" t="str">
            <v>St. Martin</v>
          </cell>
        </row>
        <row r="186">
          <cell r="A186" t="str">
            <v>South Sudan</v>
          </cell>
        </row>
        <row r="187">
          <cell r="A187" t="str">
            <v>St. BarthÃ©lemy</v>
          </cell>
        </row>
        <row r="188">
          <cell r="A188" t="str">
            <v>Dominica</v>
          </cell>
        </row>
        <row r="189">
          <cell r="A189" t="str">
            <v>Monaco</v>
          </cell>
        </row>
        <row r="190">
          <cell r="A190" t="str">
            <v>Timor-Leste</v>
          </cell>
        </row>
        <row r="191">
          <cell r="A191" t="str">
            <v>Belize</v>
          </cell>
        </row>
        <row r="192">
          <cell r="A192" t="str">
            <v>Burundi</v>
          </cell>
        </row>
        <row r="193">
          <cell r="A193" t="str">
            <v>Guernsey</v>
          </cell>
        </row>
        <row r="194">
          <cell r="A194" t="str">
            <v>Cape Verde</v>
          </cell>
        </row>
        <row r="195">
          <cell r="A195" t="str">
            <v>Liechtenstein</v>
          </cell>
        </row>
        <row r="196">
          <cell r="A196" t="str">
            <v>Chad</v>
          </cell>
        </row>
        <row r="197">
          <cell r="A197" t="str">
            <v>U.S. Virgin Islands</v>
          </cell>
        </row>
        <row r="198">
          <cell r="A198" t="str">
            <v>Malawi</v>
          </cell>
        </row>
        <row r="199">
          <cell r="A199" t="str">
            <v>Liberia</v>
          </cell>
        </row>
        <row r="200">
          <cell r="A200" t="str">
            <v>Guam</v>
          </cell>
        </row>
        <row r="201">
          <cell r="A201" t="str">
            <v>Barbados</v>
          </cell>
        </row>
        <row r="202">
          <cell r="A202" t="str">
            <v>Andorra</v>
          </cell>
        </row>
        <row r="203">
          <cell r="A203" t="str">
            <v>Mali</v>
          </cell>
        </row>
        <row r="204">
          <cell r="A204" t="str">
            <v>Guyana</v>
          </cell>
        </row>
        <row r="205">
          <cell r="A205" t="str">
            <v>Mayotte</v>
          </cell>
        </row>
        <row r="206">
          <cell r="A206" t="str">
            <v>Bahamas</v>
          </cell>
        </row>
        <row r="207">
          <cell r="A207" t="str">
            <v>Papua New Guinea</v>
          </cell>
        </row>
        <row r="208">
          <cell r="A208" t="str">
            <v>St. Vincent &amp; Grenadines</v>
          </cell>
        </row>
        <row r="209">
          <cell r="A209" t="str">
            <v>Djibouti</v>
          </cell>
        </row>
        <row r="210">
          <cell r="A210" t="str">
            <v>French Polynesia</v>
          </cell>
        </row>
        <row r="211">
          <cell r="A211" t="str">
            <v>Congo - Brazzaville</v>
          </cell>
        </row>
        <row r="212">
          <cell r="A212" t="str">
            <v>Guinea</v>
          </cell>
        </row>
        <row r="213">
          <cell r="A213" t="str">
            <v>Mauritania</v>
          </cell>
        </row>
        <row r="214">
          <cell r="A214" t="str">
            <v>St. Lucia</v>
          </cell>
        </row>
        <row r="215">
          <cell r="A215" t="str">
            <v>Martinique</v>
          </cell>
        </row>
        <row r="216">
          <cell r="A216" t="str">
            <v>Gabon</v>
          </cell>
        </row>
        <row r="217">
          <cell r="A217" t="str">
            <v>Suriname</v>
          </cell>
        </row>
        <row r="218">
          <cell r="A218" t="str">
            <v>Burkina Faso</v>
          </cell>
        </row>
        <row r="219">
          <cell r="A219" t="str">
            <v>Togo</v>
          </cell>
        </row>
        <row r="220">
          <cell r="A220" t="str">
            <v>Sierra Leone</v>
          </cell>
        </row>
        <row r="221">
          <cell r="A221" t="str">
            <v>Congo - Kinshasa</v>
          </cell>
        </row>
        <row r="222">
          <cell r="A222" t="str">
            <v>Montenegro</v>
          </cell>
        </row>
        <row r="223">
          <cell r="A223" t="str">
            <v>New Caledonia</v>
          </cell>
        </row>
        <row r="224">
          <cell r="A224" t="str">
            <v>Anguilla</v>
          </cell>
        </row>
        <row r="225">
          <cell r="A225" t="str">
            <v>American Samoa</v>
          </cell>
        </row>
        <row r="226">
          <cell r="A226" t="str">
            <v>Antarctica</v>
          </cell>
        </row>
        <row r="227">
          <cell r="A227" t="str">
            <v>French Southern Territories</v>
          </cell>
        </row>
        <row r="228">
          <cell r="A228" t="str">
            <v>Bouvet Island</v>
          </cell>
        </row>
        <row r="229">
          <cell r="A229" t="str">
            <v>Central African Republic</v>
          </cell>
        </row>
        <row r="230">
          <cell r="A230" t="str">
            <v>Cocos (Keeling) Islands</v>
          </cell>
        </row>
        <row r="231">
          <cell r="A231" t="str">
            <v>Comoros</v>
          </cell>
        </row>
        <row r="232">
          <cell r="A232" t="str">
            <v>Christmas Island</v>
          </cell>
        </row>
        <row r="233">
          <cell r="A233" t="str">
            <v>Eritrea</v>
          </cell>
        </row>
        <row r="234">
          <cell r="A234" t="str">
            <v>Falkland Islands (Islas Malvinas)</v>
          </cell>
        </row>
        <row r="235">
          <cell r="A235" t="str">
            <v>Heard &amp; McDonald Islands</v>
          </cell>
        </row>
        <row r="236">
          <cell r="A236" t="str">
            <v>British Indian Ocean Territory</v>
          </cell>
        </row>
        <row r="237">
          <cell r="A237" t="str">
            <v>Kiribati</v>
          </cell>
        </row>
        <row r="238">
          <cell r="A238" t="str">
            <v>Norfolk Island</v>
          </cell>
        </row>
        <row r="239">
          <cell r="A239" t="str">
            <v>Niue</v>
          </cell>
        </row>
        <row r="240">
          <cell r="A240" t="str">
            <v>Nauru</v>
          </cell>
        </row>
        <row r="241">
          <cell r="A241" t="str">
            <v>Pitcairn Islands</v>
          </cell>
        </row>
        <row r="242">
          <cell r="A242" t="str">
            <v>Palau</v>
          </cell>
        </row>
        <row r="243">
          <cell r="A243" t="str">
            <v>North Korea</v>
          </cell>
        </row>
        <row r="244">
          <cell r="A244" t="str">
            <v>South Georgia &amp; South Sandwich Islands</v>
          </cell>
        </row>
        <row r="245">
          <cell r="A245" t="str">
            <v>Svalbard &amp; Jan Mayen</v>
          </cell>
        </row>
        <row r="246">
          <cell r="A246" t="str">
            <v>San Marino</v>
          </cell>
        </row>
        <row r="247">
          <cell r="A247" t="str">
            <v>SÃ£o TomÃ© &amp; PrÃ­ncipe</v>
          </cell>
        </row>
        <row r="248">
          <cell r="A248" t="str">
            <v>Tokelau</v>
          </cell>
        </row>
        <row r="249">
          <cell r="A249" t="str">
            <v>Tuvalu</v>
          </cell>
        </row>
        <row r="250">
          <cell r="A250" t="str">
            <v>U.S. Outlying Islands</v>
          </cell>
        </row>
        <row r="251">
          <cell r="A251" t="str">
            <v>Vatican City</v>
          </cell>
        </row>
        <row r="252">
          <cell r="A252" t="str">
            <v>British Virgin Islands</v>
          </cell>
        </row>
        <row r="253">
          <cell r="A253" t="str">
            <v>Wallis &amp; Futuna</v>
          </cell>
        </row>
      </sheetData>
    </sheetDataSet>
  </externalBook>
</externalLink>
</file>

<file path=xl/externalLinks/externalLink2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6)"/>
    </sheetNames>
    <sheetDataSet>
      <sheetData sheetId="0">
        <row r="1">
          <cell r="A1" t="str">
            <v>Kategori: TÃ¼m kategoriler</v>
          </cell>
        </row>
        <row r="3">
          <cell r="A3" t="str">
            <v>Ãœlke</v>
          </cell>
          <cell r="B3" t="str">
            <v>Yapay Sinir AÄŸlarÄ±: (2016)</v>
          </cell>
          <cell r="C3" t="str">
            <v>Derin Ã¶ÄŸrenme: (2016)</v>
          </cell>
        </row>
        <row r="4">
          <cell r="A4" t="str">
            <v>China</v>
          </cell>
          <cell r="B4">
            <v>0.51</v>
          </cell>
          <cell r="C4">
            <v>0.49</v>
          </cell>
        </row>
        <row r="5">
          <cell r="A5" t="str">
            <v>South Korea</v>
          </cell>
          <cell r="B5">
            <v>0.54</v>
          </cell>
          <cell r="C5">
            <v>0.46</v>
          </cell>
        </row>
        <row r="6">
          <cell r="A6" t="str">
            <v>Cuba</v>
          </cell>
        </row>
        <row r="7">
          <cell r="A7" t="str">
            <v>Croatia</v>
          </cell>
        </row>
        <row r="8">
          <cell r="A8" t="str">
            <v>Hong Kong</v>
          </cell>
          <cell r="B8">
            <v>0.59</v>
          </cell>
          <cell r="C8">
            <v>0.41</v>
          </cell>
        </row>
        <row r="9">
          <cell r="A9" t="str">
            <v>Ethiopia</v>
          </cell>
        </row>
        <row r="10">
          <cell r="A10" t="str">
            <v>Singapore</v>
          </cell>
          <cell r="B10">
            <v>0.55000000000000004</v>
          </cell>
          <cell r="C10">
            <v>0.45</v>
          </cell>
        </row>
        <row r="11">
          <cell r="A11" t="str">
            <v>Zimbabwe</v>
          </cell>
        </row>
        <row r="12">
          <cell r="A12" t="str">
            <v>Nepal</v>
          </cell>
        </row>
        <row r="13">
          <cell r="A13" t="str">
            <v>St. Helena</v>
          </cell>
        </row>
        <row r="14">
          <cell r="A14" t="str">
            <v>Fiji</v>
          </cell>
        </row>
        <row r="15">
          <cell r="A15" t="str">
            <v>Iran</v>
          </cell>
          <cell r="B15">
            <v>0.84</v>
          </cell>
          <cell r="C15">
            <v>0.16</v>
          </cell>
        </row>
        <row r="16">
          <cell r="A16" t="str">
            <v>Botswana</v>
          </cell>
        </row>
        <row r="17">
          <cell r="A17" t="str">
            <v>India</v>
          </cell>
          <cell r="B17">
            <v>0.8</v>
          </cell>
          <cell r="C17">
            <v>0.2</v>
          </cell>
        </row>
        <row r="18">
          <cell r="A18" t="str">
            <v>Japan</v>
          </cell>
          <cell r="B18">
            <v>0.34</v>
          </cell>
          <cell r="C18">
            <v>0.66</v>
          </cell>
        </row>
        <row r="19">
          <cell r="A19" t="str">
            <v>Taiwan</v>
          </cell>
          <cell r="B19">
            <v>0.61</v>
          </cell>
          <cell r="C19">
            <v>0.39</v>
          </cell>
        </row>
        <row r="20">
          <cell r="A20" t="str">
            <v>Madagascar</v>
          </cell>
        </row>
        <row r="21">
          <cell r="A21" t="str">
            <v>Sri Lanka</v>
          </cell>
        </row>
        <row r="22">
          <cell r="A22" t="str">
            <v>Pakistan</v>
          </cell>
          <cell r="B22">
            <v>0.87</v>
          </cell>
          <cell r="C22">
            <v>0.13</v>
          </cell>
        </row>
        <row r="23">
          <cell r="A23" t="str">
            <v>Bhutan</v>
          </cell>
        </row>
        <row r="24">
          <cell r="A24" t="str">
            <v>Czechia</v>
          </cell>
          <cell r="B24">
            <v>0.88</v>
          </cell>
          <cell r="C24">
            <v>0.12</v>
          </cell>
        </row>
        <row r="25">
          <cell r="A25" t="str">
            <v>Nigeria</v>
          </cell>
        </row>
        <row r="26">
          <cell r="A26" t="str">
            <v>Russia</v>
          </cell>
          <cell r="B26">
            <v>0.9</v>
          </cell>
          <cell r="C26">
            <v>0.1</v>
          </cell>
        </row>
        <row r="27">
          <cell r="A27" t="str">
            <v>Israel</v>
          </cell>
          <cell r="B27">
            <v>0.53</v>
          </cell>
          <cell r="C27">
            <v>0.47</v>
          </cell>
        </row>
        <row r="28">
          <cell r="A28" t="str">
            <v>Tunisia</v>
          </cell>
          <cell r="B28">
            <v>0.82</v>
          </cell>
          <cell r="C28">
            <v>0.18</v>
          </cell>
        </row>
        <row r="29">
          <cell r="A29" t="str">
            <v>Belarus</v>
          </cell>
        </row>
        <row r="30">
          <cell r="A30" t="str">
            <v>Malta</v>
          </cell>
        </row>
        <row r="31">
          <cell r="A31" t="str">
            <v>Somalia</v>
          </cell>
        </row>
        <row r="32">
          <cell r="A32" t="str">
            <v>Macao</v>
          </cell>
        </row>
        <row r="33">
          <cell r="A33" t="str">
            <v>Iceland</v>
          </cell>
        </row>
        <row r="34">
          <cell r="A34" t="str">
            <v>Ghana</v>
          </cell>
        </row>
        <row r="35">
          <cell r="A35" t="str">
            <v>Bangladesh</v>
          </cell>
          <cell r="B35">
            <v>0.9</v>
          </cell>
          <cell r="C35">
            <v>0.1</v>
          </cell>
        </row>
        <row r="36">
          <cell r="A36" t="str">
            <v>Cyprus</v>
          </cell>
        </row>
        <row r="37">
          <cell r="A37" t="str">
            <v>Rwanda</v>
          </cell>
        </row>
        <row r="38">
          <cell r="A38" t="str">
            <v>Cambodia</v>
          </cell>
        </row>
        <row r="39">
          <cell r="A39" t="str">
            <v>Myanmar (Burma)</v>
          </cell>
        </row>
        <row r="40">
          <cell r="A40" t="str">
            <v>Sudan</v>
          </cell>
        </row>
        <row r="41">
          <cell r="A41" t="str">
            <v>Honduras</v>
          </cell>
        </row>
        <row r="42">
          <cell r="A42" t="str">
            <v>Kenya</v>
          </cell>
        </row>
        <row r="43">
          <cell r="A43" t="str">
            <v>Mongolia</v>
          </cell>
        </row>
        <row r="44">
          <cell r="A44" t="str">
            <v>United States</v>
          </cell>
          <cell r="B44">
            <v>0.68</v>
          </cell>
          <cell r="C44">
            <v>0.32</v>
          </cell>
        </row>
        <row r="45">
          <cell r="A45" t="str">
            <v>Bolivia</v>
          </cell>
        </row>
        <row r="46">
          <cell r="A46" t="str">
            <v>Canada</v>
          </cell>
          <cell r="B46">
            <v>0.7</v>
          </cell>
          <cell r="C46">
            <v>0.3</v>
          </cell>
        </row>
        <row r="47">
          <cell r="A47" t="str">
            <v>Switzerland</v>
          </cell>
          <cell r="B47">
            <v>0.62</v>
          </cell>
          <cell r="C47">
            <v>0.38</v>
          </cell>
        </row>
        <row r="48">
          <cell r="A48" t="str">
            <v>Peru</v>
          </cell>
          <cell r="B48">
            <v>0.94</v>
          </cell>
          <cell r="C48">
            <v>0.06</v>
          </cell>
        </row>
        <row r="49">
          <cell r="A49" t="str">
            <v>Malaysia</v>
          </cell>
          <cell r="B49">
            <v>0.82</v>
          </cell>
          <cell r="C49">
            <v>0.18</v>
          </cell>
        </row>
        <row r="50">
          <cell r="A50" t="str">
            <v>Dominican Republic</v>
          </cell>
        </row>
        <row r="51">
          <cell r="A51" t="str">
            <v>Laos</v>
          </cell>
        </row>
        <row r="52">
          <cell r="A52" t="str">
            <v>Mauritius</v>
          </cell>
        </row>
        <row r="53">
          <cell r="A53" t="str">
            <v>New Zealand</v>
          </cell>
          <cell r="B53">
            <v>0.76</v>
          </cell>
          <cell r="C53">
            <v>0.24</v>
          </cell>
        </row>
        <row r="54">
          <cell r="A54" t="str">
            <v>Mexico</v>
          </cell>
          <cell r="B54">
            <v>0.94</v>
          </cell>
          <cell r="C54">
            <v>0.06</v>
          </cell>
        </row>
        <row r="55">
          <cell r="A55" t="str">
            <v>Ukraine</v>
          </cell>
          <cell r="B55">
            <v>0.93</v>
          </cell>
          <cell r="C55">
            <v>7.0000000000000007E-2</v>
          </cell>
        </row>
        <row r="56">
          <cell r="A56" t="str">
            <v>Colombia</v>
          </cell>
          <cell r="B56">
            <v>0.93</v>
          </cell>
          <cell r="C56">
            <v>7.0000000000000007E-2</v>
          </cell>
        </row>
        <row r="57">
          <cell r="A57" t="str">
            <v>North Macedonia</v>
          </cell>
        </row>
        <row r="58">
          <cell r="A58" t="str">
            <v>Ireland</v>
          </cell>
          <cell r="B58">
            <v>0.7</v>
          </cell>
          <cell r="C58">
            <v>0.3</v>
          </cell>
        </row>
        <row r="59">
          <cell r="A59" t="str">
            <v>Australia</v>
          </cell>
          <cell r="B59">
            <v>0.71</v>
          </cell>
          <cell r="C59">
            <v>0.28999999999999998</v>
          </cell>
        </row>
        <row r="60">
          <cell r="A60" t="str">
            <v>Lithuania</v>
          </cell>
        </row>
        <row r="61">
          <cell r="A61" t="str">
            <v>Luxembourg</v>
          </cell>
        </row>
        <row r="62">
          <cell r="A62" t="str">
            <v>South Africa</v>
          </cell>
          <cell r="B62">
            <v>0.85</v>
          </cell>
          <cell r="C62">
            <v>0.15</v>
          </cell>
        </row>
        <row r="63">
          <cell r="A63" t="str">
            <v>Latvia</v>
          </cell>
        </row>
        <row r="64">
          <cell r="A64" t="str">
            <v>Lebanon</v>
          </cell>
        </row>
        <row r="65">
          <cell r="A65" t="str">
            <v>United Kingdom</v>
          </cell>
          <cell r="B65">
            <v>0.69</v>
          </cell>
          <cell r="C65">
            <v>0.31</v>
          </cell>
        </row>
        <row r="66">
          <cell r="A66" t="str">
            <v>Finland</v>
          </cell>
          <cell r="B66">
            <v>0.66</v>
          </cell>
          <cell r="C66">
            <v>0.34</v>
          </cell>
        </row>
        <row r="67">
          <cell r="A67" t="str">
            <v>Norway</v>
          </cell>
          <cell r="B67">
            <v>0.7</v>
          </cell>
          <cell r="C67">
            <v>0.3</v>
          </cell>
        </row>
        <row r="68">
          <cell r="A68" t="str">
            <v>Armenia</v>
          </cell>
        </row>
        <row r="69">
          <cell r="A69" t="str">
            <v>Puerto Rico</v>
          </cell>
        </row>
        <row r="70">
          <cell r="A70" t="str">
            <v>Philippines</v>
          </cell>
          <cell r="B70">
            <v>0.88</v>
          </cell>
          <cell r="C70">
            <v>0.12</v>
          </cell>
        </row>
        <row r="71">
          <cell r="A71" t="str">
            <v>Estonia</v>
          </cell>
        </row>
        <row r="72">
          <cell r="A72" t="str">
            <v>Tanzania</v>
          </cell>
        </row>
        <row r="73">
          <cell r="A73" t="str">
            <v>Syria</v>
          </cell>
        </row>
        <row r="74">
          <cell r="A74" t="str">
            <v>Cameroon</v>
          </cell>
        </row>
        <row r="75">
          <cell r="A75" t="str">
            <v>Brunei</v>
          </cell>
        </row>
        <row r="76">
          <cell r="A76" t="str">
            <v>Jamaica</v>
          </cell>
        </row>
        <row r="77">
          <cell r="A77" t="str">
            <v>Indonesia</v>
          </cell>
          <cell r="B77">
            <v>0.93</v>
          </cell>
          <cell r="C77">
            <v>7.0000000000000007E-2</v>
          </cell>
        </row>
        <row r="78">
          <cell r="A78" t="str">
            <v>Chile</v>
          </cell>
          <cell r="B78">
            <v>0.89</v>
          </cell>
          <cell r="C78">
            <v>0.11</v>
          </cell>
        </row>
        <row r="79">
          <cell r="A79" t="str">
            <v>Greece</v>
          </cell>
          <cell r="B79">
            <v>0.77</v>
          </cell>
          <cell r="C79">
            <v>0.23</v>
          </cell>
        </row>
        <row r="80">
          <cell r="A80" t="str">
            <v>Sweden</v>
          </cell>
          <cell r="B80">
            <v>0.66</v>
          </cell>
          <cell r="C80">
            <v>0.34</v>
          </cell>
        </row>
        <row r="81">
          <cell r="A81" t="str">
            <v>Ecuador</v>
          </cell>
        </row>
        <row r="82">
          <cell r="A82" t="str">
            <v>Libya</v>
          </cell>
        </row>
        <row r="83">
          <cell r="A83" t="str">
            <v>Costa Rica</v>
          </cell>
        </row>
        <row r="84">
          <cell r="A84" t="str">
            <v>Trinidad &amp; Tobago</v>
          </cell>
        </row>
        <row r="85">
          <cell r="A85" t="str">
            <v>Paraguay</v>
          </cell>
        </row>
        <row r="86">
          <cell r="A86" t="str">
            <v>Germany</v>
          </cell>
          <cell r="B86">
            <v>0.64</v>
          </cell>
          <cell r="C86">
            <v>0.36</v>
          </cell>
        </row>
        <row r="87">
          <cell r="A87" t="str">
            <v>Uganda</v>
          </cell>
        </row>
        <row r="88">
          <cell r="A88" t="str">
            <v>Portugal</v>
          </cell>
          <cell r="B88">
            <v>0.77</v>
          </cell>
          <cell r="C88">
            <v>0.23</v>
          </cell>
        </row>
        <row r="89">
          <cell r="A89" t="str">
            <v>Denmark</v>
          </cell>
          <cell r="B89">
            <v>0.66</v>
          </cell>
          <cell r="C89">
            <v>0.34</v>
          </cell>
        </row>
        <row r="90">
          <cell r="A90" t="str">
            <v>Panama</v>
          </cell>
        </row>
        <row r="91">
          <cell r="A91" t="str">
            <v>Iraq</v>
          </cell>
        </row>
        <row r="92">
          <cell r="A92" t="str">
            <v>Algeria</v>
          </cell>
        </row>
        <row r="93">
          <cell r="A93" t="str">
            <v>Guatemala</v>
          </cell>
        </row>
        <row r="94">
          <cell r="A94" t="str">
            <v>Netherlands</v>
          </cell>
          <cell r="B94">
            <v>0.64</v>
          </cell>
          <cell r="C94">
            <v>0.36</v>
          </cell>
        </row>
        <row r="95">
          <cell r="A95" t="str">
            <v>Slovenia</v>
          </cell>
        </row>
        <row r="96">
          <cell r="A96" t="str">
            <v>United Arab Emirates</v>
          </cell>
          <cell r="B96">
            <v>0.79</v>
          </cell>
          <cell r="C96">
            <v>0.21</v>
          </cell>
        </row>
        <row r="97">
          <cell r="A97" t="str">
            <v>Oman</v>
          </cell>
        </row>
        <row r="98">
          <cell r="A98" t="str">
            <v>El Salvador</v>
          </cell>
        </row>
        <row r="99">
          <cell r="A99" t="str">
            <v>Poland</v>
          </cell>
          <cell r="B99">
            <v>0.83</v>
          </cell>
          <cell r="C99">
            <v>0.17</v>
          </cell>
        </row>
        <row r="100">
          <cell r="A100" t="str">
            <v>Egypt</v>
          </cell>
          <cell r="B100">
            <v>0.75</v>
          </cell>
          <cell r="C100">
            <v>0.25</v>
          </cell>
        </row>
        <row r="101">
          <cell r="A101" t="str">
            <v>Jordan</v>
          </cell>
        </row>
        <row r="102">
          <cell r="A102" t="str">
            <v>Kazakhstan</v>
          </cell>
        </row>
        <row r="103">
          <cell r="A103" t="str">
            <v>Venezuela</v>
          </cell>
        </row>
        <row r="104">
          <cell r="A104" t="str">
            <v>Serbia</v>
          </cell>
        </row>
        <row r="105">
          <cell r="A105" t="str">
            <v>Romania</v>
          </cell>
          <cell r="B105">
            <v>0.77</v>
          </cell>
          <cell r="C105">
            <v>0.23</v>
          </cell>
        </row>
        <row r="106">
          <cell r="A106" t="str">
            <v>Austria</v>
          </cell>
          <cell r="B106">
            <v>0.65</v>
          </cell>
          <cell r="C106">
            <v>0.35</v>
          </cell>
        </row>
        <row r="107">
          <cell r="A107" t="str">
            <v>Uruguay</v>
          </cell>
        </row>
        <row r="108">
          <cell r="A108" t="str">
            <v>Slovakia</v>
          </cell>
        </row>
        <row r="109">
          <cell r="A109" t="str">
            <v>Moldova</v>
          </cell>
        </row>
        <row r="110">
          <cell r="A110" t="str">
            <v>Belgium</v>
          </cell>
          <cell r="B110">
            <v>0.65</v>
          </cell>
          <cell r="C110">
            <v>0.35</v>
          </cell>
        </row>
        <row r="111">
          <cell r="A111" t="str">
            <v>Albania</v>
          </cell>
        </row>
        <row r="112">
          <cell r="A112" t="str">
            <v>Qatar</v>
          </cell>
        </row>
        <row r="113">
          <cell r="A113" t="str">
            <v>Uzbekistan</v>
          </cell>
        </row>
        <row r="114">
          <cell r="A114" t="str">
            <v>Argentina</v>
          </cell>
          <cell r="B114">
            <v>0.89</v>
          </cell>
          <cell r="C114">
            <v>0.11</v>
          </cell>
        </row>
        <row r="115">
          <cell r="A115" t="str">
            <v>Bahrain</v>
          </cell>
        </row>
        <row r="116">
          <cell r="A116" t="str">
            <v>Bulgaria</v>
          </cell>
        </row>
        <row r="117">
          <cell r="A117" t="str">
            <v>Kyrgyzstan</v>
          </cell>
        </row>
        <row r="118">
          <cell r="A118" t="str">
            <v>Kuwait</v>
          </cell>
        </row>
        <row r="119">
          <cell r="A119" t="str">
            <v>Afghanistan</v>
          </cell>
        </row>
        <row r="120">
          <cell r="A120" t="str">
            <v>Hungary</v>
          </cell>
          <cell r="B120">
            <v>0.65</v>
          </cell>
          <cell r="C120">
            <v>0.35</v>
          </cell>
        </row>
        <row r="121">
          <cell r="A121" t="str">
            <v>Georgia</v>
          </cell>
        </row>
        <row r="122">
          <cell r="A122" t="str">
            <v>France</v>
          </cell>
          <cell r="B122">
            <v>0.56999999999999995</v>
          </cell>
          <cell r="C122">
            <v>0.43</v>
          </cell>
        </row>
        <row r="123">
          <cell r="A123" t="str">
            <v>Spain</v>
          </cell>
          <cell r="B123">
            <v>0.68</v>
          </cell>
          <cell r="C123">
            <v>0.32</v>
          </cell>
        </row>
        <row r="124">
          <cell r="A124" t="str">
            <v>Thailand</v>
          </cell>
          <cell r="B124">
            <v>0.77</v>
          </cell>
          <cell r="C124">
            <v>0.23</v>
          </cell>
        </row>
        <row r="125">
          <cell r="A125" t="str">
            <v>Italy</v>
          </cell>
          <cell r="B125">
            <v>0.74</v>
          </cell>
          <cell r="C125">
            <v>0.26</v>
          </cell>
        </row>
        <row r="126">
          <cell r="A126" t="str">
            <v>Morocco</v>
          </cell>
          <cell r="B126">
            <v>0.76</v>
          </cell>
          <cell r="C126">
            <v>0.24</v>
          </cell>
        </row>
        <row r="127">
          <cell r="A127" t="str">
            <v>Turkey</v>
          </cell>
          <cell r="B127">
            <v>0.8</v>
          </cell>
          <cell r="C127">
            <v>0.2</v>
          </cell>
        </row>
        <row r="128">
          <cell r="A128" t="str">
            <v>Palestine</v>
          </cell>
        </row>
        <row r="129">
          <cell r="A129" t="str">
            <v>Brazil</v>
          </cell>
          <cell r="B129">
            <v>0.82</v>
          </cell>
          <cell r="C129">
            <v>0.18</v>
          </cell>
        </row>
        <row r="130">
          <cell r="A130" t="str">
            <v>Bosnia &amp; Herzegovina</v>
          </cell>
        </row>
        <row r="131">
          <cell r="A131" t="str">
            <v>Saudi Arabia</v>
          </cell>
          <cell r="B131">
            <v>0.77</v>
          </cell>
          <cell r="C131">
            <v>0.23</v>
          </cell>
        </row>
        <row r="132">
          <cell r="A132" t="str">
            <v>Yemen</v>
          </cell>
        </row>
        <row r="133">
          <cell r="A133" t="str">
            <v>Vietnam</v>
          </cell>
          <cell r="B133">
            <v>0.53</v>
          </cell>
          <cell r="C133">
            <v>0.47</v>
          </cell>
        </row>
        <row r="134">
          <cell r="A134" t="str">
            <v>Azerbaijan</v>
          </cell>
        </row>
        <row r="135">
          <cell r="A135" t="str">
            <v>Eritrea</v>
          </cell>
        </row>
        <row r="136">
          <cell r="A136" t="str">
            <v>Svalbard &amp; Jan Mayen</v>
          </cell>
        </row>
        <row r="137">
          <cell r="A137" t="str">
            <v>Marshall Islands</v>
          </cell>
        </row>
        <row r="138">
          <cell r="A138" t="str">
            <v>SÃ£o TomÃ© &amp; PrÃ­ncipe</v>
          </cell>
        </row>
        <row r="139">
          <cell r="A139" t="str">
            <v>St. Pierre &amp; Miquelon</v>
          </cell>
        </row>
        <row r="140">
          <cell r="A140" t="str">
            <v>British Virgin Islands</v>
          </cell>
        </row>
        <row r="141">
          <cell r="A141" t="str">
            <v>American Samoa</v>
          </cell>
        </row>
        <row r="142">
          <cell r="A142" t="str">
            <v>Anguilla</v>
          </cell>
        </row>
        <row r="143">
          <cell r="A143" t="str">
            <v>Caribbean Netherlands</v>
          </cell>
        </row>
        <row r="144">
          <cell r="A144" t="str">
            <v>Solomon Islands</v>
          </cell>
        </row>
        <row r="145">
          <cell r="A145" t="str">
            <v>Faroe Islands</v>
          </cell>
        </row>
        <row r="146">
          <cell r="A146" t="str">
            <v>CuraÃ§ao</v>
          </cell>
        </row>
        <row r="147">
          <cell r="A147" t="str">
            <v>Ã…land Islands</v>
          </cell>
        </row>
        <row r="148">
          <cell r="A148" t="str">
            <v>Equatorial Guinea</v>
          </cell>
        </row>
        <row r="149">
          <cell r="A149" t="str">
            <v>Antigua &amp; Barbuda</v>
          </cell>
        </row>
        <row r="150">
          <cell r="A150" t="str">
            <v>Northern Mariana Islands</v>
          </cell>
        </row>
        <row r="151">
          <cell r="A151" t="str">
            <v>Eswatini</v>
          </cell>
        </row>
        <row r="152">
          <cell r="A152" t="str">
            <v>Sint Maarten</v>
          </cell>
        </row>
        <row r="153">
          <cell r="A153" t="str">
            <v>Turks &amp; Caicos Islands</v>
          </cell>
        </row>
        <row r="154">
          <cell r="A154" t="str">
            <v>St. Vincent &amp; Grenadines</v>
          </cell>
        </row>
        <row r="155">
          <cell r="A155" t="str">
            <v>Barbados</v>
          </cell>
        </row>
        <row r="156">
          <cell r="A156" t="str">
            <v>Cayman Islands</v>
          </cell>
        </row>
        <row r="157">
          <cell r="A157" t="str">
            <v>St. Martin</v>
          </cell>
        </row>
        <row r="158">
          <cell r="A158" t="str">
            <v>St. Kitts &amp; Nevis</v>
          </cell>
        </row>
        <row r="159">
          <cell r="A159" t="str">
            <v>Seychelles</v>
          </cell>
        </row>
        <row r="160">
          <cell r="A160" t="str">
            <v>Grenada</v>
          </cell>
        </row>
        <row r="161">
          <cell r="A161" t="str">
            <v>Guyana</v>
          </cell>
        </row>
        <row r="162">
          <cell r="A162" t="str">
            <v>St. BarthÃ©lemy</v>
          </cell>
        </row>
        <row r="163">
          <cell r="A163" t="str">
            <v>Aruba</v>
          </cell>
        </row>
        <row r="164">
          <cell r="A164" t="str">
            <v>French Guiana</v>
          </cell>
        </row>
        <row r="165">
          <cell r="A165" t="str">
            <v>Monaco</v>
          </cell>
        </row>
        <row r="166">
          <cell r="A166" t="str">
            <v>Belize</v>
          </cell>
        </row>
        <row r="167">
          <cell r="A167" t="str">
            <v>Haiti</v>
          </cell>
        </row>
        <row r="168">
          <cell r="A168" t="str">
            <v>Kosovo</v>
          </cell>
        </row>
        <row r="169">
          <cell r="A169" t="str">
            <v>Burundi</v>
          </cell>
        </row>
        <row r="170">
          <cell r="A170" t="str">
            <v>South Sudan</v>
          </cell>
        </row>
        <row r="171">
          <cell r="A171" t="str">
            <v>Maldives</v>
          </cell>
        </row>
        <row r="172">
          <cell r="A172" t="str">
            <v>Gibraltar</v>
          </cell>
        </row>
        <row r="173">
          <cell r="A173" t="str">
            <v>U.S. Virgin Islands</v>
          </cell>
        </row>
        <row r="174">
          <cell r="A174" t="str">
            <v>Benin</v>
          </cell>
        </row>
        <row r="175">
          <cell r="A175" t="str">
            <v>Liberia</v>
          </cell>
        </row>
        <row r="176">
          <cell r="A176" t="str">
            <v>Togo</v>
          </cell>
        </row>
        <row r="177">
          <cell r="A177" t="str">
            <v>Malawi</v>
          </cell>
        </row>
        <row r="178">
          <cell r="A178" t="str">
            <v>Sierra Leone</v>
          </cell>
        </row>
        <row r="179">
          <cell r="A179" t="str">
            <v>Cape Verde</v>
          </cell>
        </row>
        <row r="180">
          <cell r="A180" t="str">
            <v>St. Lucia</v>
          </cell>
        </row>
        <row r="181">
          <cell r="A181" t="str">
            <v>Mayotte</v>
          </cell>
        </row>
        <row r="182">
          <cell r="A182" t="str">
            <v>Nicaragua</v>
          </cell>
        </row>
        <row r="183">
          <cell r="A183" t="str">
            <v>Lesotho</v>
          </cell>
        </row>
        <row r="184">
          <cell r="A184" t="str">
            <v>Gambia</v>
          </cell>
        </row>
        <row r="185">
          <cell r="A185" t="str">
            <v>Bermuda</v>
          </cell>
        </row>
        <row r="186">
          <cell r="A186" t="str">
            <v>Niger</v>
          </cell>
        </row>
        <row r="187">
          <cell r="A187" t="str">
            <v>Congo - Kinshasa</v>
          </cell>
        </row>
        <row r="188">
          <cell r="A188" t="str">
            <v>Guam</v>
          </cell>
        </row>
        <row r="189">
          <cell r="A189" t="str">
            <v>Timor-Leste</v>
          </cell>
        </row>
        <row r="190">
          <cell r="A190" t="str">
            <v>Guernsey</v>
          </cell>
        </row>
        <row r="191">
          <cell r="A191" t="str">
            <v>Andorra</v>
          </cell>
        </row>
        <row r="192">
          <cell r="A192" t="str">
            <v>Bahamas</v>
          </cell>
        </row>
        <row r="193">
          <cell r="A193" t="str">
            <v>Zambia</v>
          </cell>
        </row>
        <row r="194">
          <cell r="A194" t="str">
            <v>Angola</v>
          </cell>
        </row>
        <row r="195">
          <cell r="A195" t="str">
            <v>Papua New Guinea</v>
          </cell>
        </row>
        <row r="196">
          <cell r="A196" t="str">
            <v>Suriname</v>
          </cell>
        </row>
        <row r="197">
          <cell r="A197" t="str">
            <v>Guinea</v>
          </cell>
        </row>
        <row r="198">
          <cell r="A198" t="str">
            <v>Turkmenistan</v>
          </cell>
        </row>
        <row r="199">
          <cell r="A199" t="str">
            <v>Senegal</v>
          </cell>
        </row>
        <row r="200">
          <cell r="A200" t="str">
            <v>New Caledonia</v>
          </cell>
        </row>
        <row r="201">
          <cell r="A201" t="str">
            <v>Namibia</v>
          </cell>
        </row>
        <row r="202">
          <cell r="A202" t="str">
            <v>Isle of Man</v>
          </cell>
        </row>
        <row r="203">
          <cell r="A203" t="str">
            <v>Congo - Brazzaville</v>
          </cell>
        </row>
        <row r="204">
          <cell r="A204" t="str">
            <v>French Polynesia</v>
          </cell>
        </row>
        <row r="205">
          <cell r="A205" t="str">
            <v>Montenegro</v>
          </cell>
        </row>
        <row r="206">
          <cell r="A206" t="str">
            <v>Jersey</v>
          </cell>
        </row>
        <row r="207">
          <cell r="A207" t="str">
            <v>Mauritania</v>
          </cell>
        </row>
        <row r="208">
          <cell r="A208" t="str">
            <v>Mozambique</v>
          </cell>
        </row>
        <row r="209">
          <cell r="A209" t="str">
            <v>CÃ´te dâ€™Ivoire</v>
          </cell>
        </row>
        <row r="210">
          <cell r="A210" t="str">
            <v>Mali</v>
          </cell>
        </row>
        <row r="211">
          <cell r="A211" t="str">
            <v>Martinique</v>
          </cell>
        </row>
        <row r="212">
          <cell r="A212" t="str">
            <v>Guadeloupe</v>
          </cell>
        </row>
        <row r="213">
          <cell r="A213" t="str">
            <v>Tajikistan</v>
          </cell>
        </row>
        <row r="214">
          <cell r="A214" t="str">
            <v>RÃ©union</v>
          </cell>
        </row>
        <row r="215">
          <cell r="A215" t="str">
            <v>Antarctica</v>
          </cell>
        </row>
        <row r="216">
          <cell r="A216" t="str">
            <v>French Southern Territories</v>
          </cell>
        </row>
        <row r="217">
          <cell r="A217" t="str">
            <v>Burkina Faso</v>
          </cell>
        </row>
        <row r="218">
          <cell r="A218" t="str">
            <v>Bouvet Island</v>
          </cell>
        </row>
        <row r="219">
          <cell r="A219" t="str">
            <v>Central African Republic</v>
          </cell>
        </row>
        <row r="220">
          <cell r="A220" t="str">
            <v>Cocos (Keeling) Islands</v>
          </cell>
        </row>
        <row r="221">
          <cell r="A221" t="str">
            <v>Cook Islands</v>
          </cell>
        </row>
        <row r="222">
          <cell r="A222" t="str">
            <v>Comoros</v>
          </cell>
        </row>
        <row r="223">
          <cell r="A223" t="str">
            <v>Christmas Island</v>
          </cell>
        </row>
        <row r="224">
          <cell r="A224" t="str">
            <v>Djibouti</v>
          </cell>
        </row>
        <row r="225">
          <cell r="A225" t="str">
            <v>Dominica</v>
          </cell>
        </row>
        <row r="226">
          <cell r="A226" t="str">
            <v>Western Sahara</v>
          </cell>
        </row>
        <row r="227">
          <cell r="A227" t="str">
            <v>Falkland Islands (Islas Malvinas)</v>
          </cell>
        </row>
        <row r="228">
          <cell r="A228" t="str">
            <v>Micronesia</v>
          </cell>
        </row>
        <row r="229">
          <cell r="A229" t="str">
            <v>Gabon</v>
          </cell>
        </row>
        <row r="230">
          <cell r="A230" t="str">
            <v>Guinea-Bissau</v>
          </cell>
        </row>
        <row r="231">
          <cell r="A231" t="str">
            <v>Greenland</v>
          </cell>
        </row>
        <row r="232">
          <cell r="A232" t="str">
            <v>Heard &amp; McDonald Islands</v>
          </cell>
        </row>
        <row r="233">
          <cell r="A233" t="str">
            <v>British Indian Ocean Territory</v>
          </cell>
        </row>
        <row r="234">
          <cell r="A234" t="str">
            <v>Kiribati</v>
          </cell>
        </row>
        <row r="235">
          <cell r="A235" t="str">
            <v>Liechtenstein</v>
          </cell>
        </row>
        <row r="236">
          <cell r="A236" t="str">
            <v>Montserrat</v>
          </cell>
        </row>
        <row r="237">
          <cell r="A237" t="str">
            <v>Norfolk Island</v>
          </cell>
        </row>
        <row r="238">
          <cell r="A238" t="str">
            <v>Niue</v>
          </cell>
        </row>
        <row r="239">
          <cell r="A239" t="str">
            <v>Nauru</v>
          </cell>
        </row>
        <row r="240">
          <cell r="A240" t="str">
            <v>Pitcairn Islands</v>
          </cell>
        </row>
        <row r="241">
          <cell r="A241" t="str">
            <v>Palau</v>
          </cell>
        </row>
        <row r="242">
          <cell r="A242" t="str">
            <v>North Korea</v>
          </cell>
        </row>
        <row r="243">
          <cell r="A243" t="str">
            <v>South Georgia &amp; South Sandwich Islands</v>
          </cell>
        </row>
        <row r="244">
          <cell r="A244" t="str">
            <v>San Marino</v>
          </cell>
        </row>
        <row r="245">
          <cell r="A245" t="str">
            <v>Chad</v>
          </cell>
        </row>
        <row r="246">
          <cell r="A246" t="str">
            <v>Tokelau</v>
          </cell>
        </row>
        <row r="247">
          <cell r="A247" t="str">
            <v>Tonga</v>
          </cell>
        </row>
        <row r="248">
          <cell r="A248" t="str">
            <v>Tuvalu</v>
          </cell>
        </row>
        <row r="249">
          <cell r="A249" t="str">
            <v>U.S. Outlying Islands</v>
          </cell>
        </row>
        <row r="250">
          <cell r="A250" t="str">
            <v>Vatican City</v>
          </cell>
        </row>
        <row r="251">
          <cell r="A251" t="str">
            <v>Vanuatu</v>
          </cell>
        </row>
        <row r="252">
          <cell r="A252" t="str">
            <v>Wallis &amp; Futuna</v>
          </cell>
        </row>
        <row r="253">
          <cell r="A253" t="str">
            <v>Samoa</v>
          </cell>
        </row>
      </sheetData>
    </sheetDataSet>
  </externalBook>
</externalLink>
</file>

<file path=xl/externalLinks/externalLink2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7)"/>
    </sheetNames>
    <sheetDataSet>
      <sheetData sheetId="0">
        <row r="1">
          <cell r="A1" t="str">
            <v>Kategori: TÃ¼m kategoriler</v>
          </cell>
        </row>
        <row r="3">
          <cell r="A3" t="str">
            <v>Ãœlke</v>
          </cell>
          <cell r="B3" t="str">
            <v>Derin Ã¶ÄŸrenme: (2016)</v>
          </cell>
          <cell r="C3" t="str">
            <v>Ã–bek: (2016)</v>
          </cell>
        </row>
        <row r="4">
          <cell r="A4" t="str">
            <v>China</v>
          </cell>
          <cell r="B4">
            <v>0.76</v>
          </cell>
          <cell r="C4">
            <v>0.24</v>
          </cell>
        </row>
        <row r="5">
          <cell r="A5" t="str">
            <v>South Korea</v>
          </cell>
          <cell r="B5">
            <v>0.55000000000000004</v>
          </cell>
          <cell r="C5">
            <v>0.45</v>
          </cell>
        </row>
        <row r="6">
          <cell r="A6" t="str">
            <v>Taiwan</v>
          </cell>
          <cell r="B6">
            <v>0.31</v>
          </cell>
          <cell r="C6">
            <v>0.69</v>
          </cell>
        </row>
        <row r="7">
          <cell r="A7" t="str">
            <v>Hong Kong</v>
          </cell>
          <cell r="B7">
            <v>0.43</v>
          </cell>
          <cell r="C7">
            <v>0.56999999999999995</v>
          </cell>
        </row>
        <row r="8">
          <cell r="A8" t="str">
            <v>Lesotho</v>
          </cell>
        </row>
        <row r="9">
          <cell r="A9" t="str">
            <v>St. Helena</v>
          </cell>
        </row>
        <row r="10">
          <cell r="A10" t="str">
            <v>New Zealand</v>
          </cell>
          <cell r="B10">
            <v>0.15</v>
          </cell>
          <cell r="C10">
            <v>0.85</v>
          </cell>
        </row>
        <row r="11">
          <cell r="A11" t="str">
            <v>Singapore</v>
          </cell>
          <cell r="B11">
            <v>0.53</v>
          </cell>
          <cell r="C11">
            <v>0.47</v>
          </cell>
        </row>
        <row r="12">
          <cell r="A12" t="str">
            <v>Israel</v>
          </cell>
          <cell r="B12">
            <v>0.41</v>
          </cell>
          <cell r="C12">
            <v>0.59</v>
          </cell>
        </row>
        <row r="13">
          <cell r="A13" t="str">
            <v>Japan</v>
          </cell>
          <cell r="B13">
            <v>0.77</v>
          </cell>
          <cell r="C13">
            <v>0.23</v>
          </cell>
        </row>
        <row r="14">
          <cell r="A14" t="str">
            <v>Macao</v>
          </cell>
        </row>
        <row r="15">
          <cell r="A15" t="str">
            <v>India</v>
          </cell>
          <cell r="B15">
            <v>0.22</v>
          </cell>
          <cell r="C15">
            <v>0.78</v>
          </cell>
        </row>
        <row r="16">
          <cell r="A16" t="str">
            <v>Uzbekistan</v>
          </cell>
        </row>
        <row r="17">
          <cell r="A17" t="str">
            <v>Estonia</v>
          </cell>
        </row>
        <row r="18">
          <cell r="A18" t="str">
            <v>Australia</v>
          </cell>
          <cell r="B18">
            <v>0.21</v>
          </cell>
          <cell r="C18">
            <v>0.79</v>
          </cell>
        </row>
        <row r="19">
          <cell r="A19" t="str">
            <v>Belarus</v>
          </cell>
        </row>
        <row r="20">
          <cell r="A20" t="str">
            <v>Czechia</v>
          </cell>
          <cell r="B20">
            <v>0.14000000000000001</v>
          </cell>
          <cell r="C20">
            <v>0.86</v>
          </cell>
        </row>
        <row r="21">
          <cell r="A21" t="str">
            <v>Zimbabwe</v>
          </cell>
        </row>
        <row r="22">
          <cell r="A22" t="str">
            <v>Pakistan</v>
          </cell>
          <cell r="B22">
            <v>0.18</v>
          </cell>
          <cell r="C22">
            <v>0.82</v>
          </cell>
        </row>
        <row r="23">
          <cell r="A23" t="str">
            <v>Tajikistan</v>
          </cell>
        </row>
        <row r="24">
          <cell r="A24" t="str">
            <v>Russia</v>
          </cell>
          <cell r="B24">
            <v>0.12</v>
          </cell>
          <cell r="C24">
            <v>0.88</v>
          </cell>
        </row>
        <row r="25">
          <cell r="A25" t="str">
            <v>United States</v>
          </cell>
          <cell r="B25">
            <v>0.32</v>
          </cell>
          <cell r="C25">
            <v>0.68</v>
          </cell>
        </row>
        <row r="26">
          <cell r="A26" t="str">
            <v>Denmark</v>
          </cell>
          <cell r="B26">
            <v>0.24</v>
          </cell>
          <cell r="C26">
            <v>0.76</v>
          </cell>
        </row>
        <row r="27">
          <cell r="A27" t="str">
            <v>Nepal</v>
          </cell>
        </row>
        <row r="28">
          <cell r="A28" t="str">
            <v>Malta</v>
          </cell>
        </row>
        <row r="29">
          <cell r="A29" t="str">
            <v>Kyrgyzstan</v>
          </cell>
        </row>
        <row r="30">
          <cell r="A30" t="str">
            <v>Iran</v>
          </cell>
          <cell r="B30">
            <v>0.25</v>
          </cell>
          <cell r="C30">
            <v>0.75</v>
          </cell>
        </row>
        <row r="31">
          <cell r="A31" t="str">
            <v>Ukraine</v>
          </cell>
          <cell r="B31">
            <v>7.0000000000000007E-2</v>
          </cell>
          <cell r="C31">
            <v>0.93</v>
          </cell>
        </row>
        <row r="32">
          <cell r="A32" t="str">
            <v>Iceland</v>
          </cell>
        </row>
        <row r="33">
          <cell r="A33" t="str">
            <v>Botswana</v>
          </cell>
        </row>
        <row r="34">
          <cell r="A34" t="str">
            <v>Sri Lanka</v>
          </cell>
        </row>
        <row r="35">
          <cell r="A35" t="str">
            <v>Ireland</v>
          </cell>
          <cell r="B35">
            <v>0.32</v>
          </cell>
          <cell r="C35">
            <v>0.68</v>
          </cell>
        </row>
        <row r="36">
          <cell r="A36" t="str">
            <v>United Kingdom</v>
          </cell>
          <cell r="B36">
            <v>0.31</v>
          </cell>
          <cell r="C36">
            <v>0.69</v>
          </cell>
        </row>
        <row r="37">
          <cell r="A37" t="str">
            <v>Philippines</v>
          </cell>
          <cell r="B37">
            <v>0.11</v>
          </cell>
          <cell r="C37">
            <v>0.89</v>
          </cell>
        </row>
        <row r="38">
          <cell r="A38" t="str">
            <v>Canada</v>
          </cell>
          <cell r="B38">
            <v>0.36</v>
          </cell>
          <cell r="C38">
            <v>0.64</v>
          </cell>
        </row>
        <row r="39">
          <cell r="A39" t="str">
            <v>Zambia</v>
          </cell>
        </row>
        <row r="40">
          <cell r="A40" t="str">
            <v>Burkina Faso</v>
          </cell>
        </row>
        <row r="41">
          <cell r="A41" t="str">
            <v>Jamaica</v>
          </cell>
        </row>
        <row r="42">
          <cell r="A42" t="str">
            <v>Finland</v>
          </cell>
          <cell r="B42">
            <v>0.36</v>
          </cell>
          <cell r="C42">
            <v>0.64</v>
          </cell>
        </row>
        <row r="43">
          <cell r="A43" t="str">
            <v>Latvia</v>
          </cell>
        </row>
        <row r="44">
          <cell r="A44" t="str">
            <v>Mauritius</v>
          </cell>
        </row>
        <row r="45">
          <cell r="A45" t="str">
            <v>Norway</v>
          </cell>
          <cell r="B45">
            <v>0.31</v>
          </cell>
          <cell r="C45">
            <v>0.69</v>
          </cell>
        </row>
        <row r="46">
          <cell r="A46" t="str">
            <v>Lithuania</v>
          </cell>
        </row>
        <row r="47">
          <cell r="A47" t="str">
            <v>Kazakhstan</v>
          </cell>
        </row>
        <row r="48">
          <cell r="A48" t="str">
            <v>Rwanda</v>
          </cell>
        </row>
        <row r="49">
          <cell r="A49" t="str">
            <v>Moldova</v>
          </cell>
        </row>
        <row r="50">
          <cell r="A50" t="str">
            <v>Luxembourg</v>
          </cell>
        </row>
        <row r="51">
          <cell r="A51" t="str">
            <v>Laos</v>
          </cell>
        </row>
        <row r="52">
          <cell r="A52" t="str">
            <v>Bangladesh</v>
          </cell>
          <cell r="B52">
            <v>0.19</v>
          </cell>
          <cell r="C52">
            <v>0.81</v>
          </cell>
        </row>
        <row r="53">
          <cell r="A53" t="str">
            <v>Sweden</v>
          </cell>
          <cell r="B53">
            <v>0.4</v>
          </cell>
          <cell r="C53">
            <v>0.6</v>
          </cell>
        </row>
        <row r="54">
          <cell r="A54" t="str">
            <v>Ethiopia</v>
          </cell>
        </row>
        <row r="55">
          <cell r="A55" t="str">
            <v>Switzerland</v>
          </cell>
          <cell r="B55">
            <v>0.51</v>
          </cell>
          <cell r="C55">
            <v>0.49</v>
          </cell>
        </row>
        <row r="56">
          <cell r="A56" t="str">
            <v>Kenya</v>
          </cell>
        </row>
        <row r="57">
          <cell r="A57" t="str">
            <v>Slovenia</v>
          </cell>
        </row>
        <row r="58">
          <cell r="A58" t="str">
            <v>Slovakia</v>
          </cell>
          <cell r="B58">
            <v>0.25</v>
          </cell>
          <cell r="C58">
            <v>0.75</v>
          </cell>
        </row>
        <row r="59">
          <cell r="A59" t="str">
            <v>Armenia</v>
          </cell>
        </row>
        <row r="60">
          <cell r="A60" t="str">
            <v>Maldives</v>
          </cell>
        </row>
        <row r="61">
          <cell r="A61" t="str">
            <v>Greece</v>
          </cell>
          <cell r="B61">
            <v>0.31</v>
          </cell>
          <cell r="C61">
            <v>0.69</v>
          </cell>
        </row>
        <row r="62">
          <cell r="A62" t="str">
            <v>Cyprus</v>
          </cell>
        </row>
        <row r="63">
          <cell r="A63" t="str">
            <v>Ghana</v>
          </cell>
        </row>
        <row r="64">
          <cell r="A64" t="str">
            <v>South Africa</v>
          </cell>
          <cell r="B64">
            <v>0.24</v>
          </cell>
          <cell r="C64">
            <v>0.76</v>
          </cell>
        </row>
        <row r="65">
          <cell r="A65" t="str">
            <v>Romania</v>
          </cell>
          <cell r="B65">
            <v>0.23</v>
          </cell>
          <cell r="C65">
            <v>0.77</v>
          </cell>
        </row>
        <row r="66">
          <cell r="A66" t="str">
            <v>Malaysia</v>
          </cell>
          <cell r="B66">
            <v>0.3</v>
          </cell>
          <cell r="C66">
            <v>0.7</v>
          </cell>
        </row>
        <row r="67">
          <cell r="A67" t="str">
            <v>Nigeria</v>
          </cell>
        </row>
        <row r="68">
          <cell r="A68" t="str">
            <v>Uganda</v>
          </cell>
        </row>
        <row r="69">
          <cell r="A69" t="str">
            <v>Serbia</v>
          </cell>
          <cell r="B69">
            <v>0.26</v>
          </cell>
          <cell r="C69">
            <v>0.74</v>
          </cell>
        </row>
        <row r="70">
          <cell r="A70" t="str">
            <v>Cameroon</v>
          </cell>
        </row>
        <row r="71">
          <cell r="A71" t="str">
            <v>Germany</v>
          </cell>
          <cell r="B71">
            <v>0.43</v>
          </cell>
          <cell r="C71">
            <v>0.56999999999999995</v>
          </cell>
        </row>
        <row r="72">
          <cell r="A72" t="str">
            <v>Hungary</v>
          </cell>
          <cell r="B72">
            <v>0.32</v>
          </cell>
          <cell r="C72">
            <v>0.68</v>
          </cell>
        </row>
        <row r="73">
          <cell r="A73" t="str">
            <v>Austria</v>
          </cell>
          <cell r="B73">
            <v>0.39</v>
          </cell>
          <cell r="C73">
            <v>0.61</v>
          </cell>
        </row>
        <row r="74">
          <cell r="A74" t="str">
            <v>Bulgaria</v>
          </cell>
        </row>
        <row r="75">
          <cell r="A75" t="str">
            <v>Croatia</v>
          </cell>
        </row>
        <row r="76">
          <cell r="A76" t="str">
            <v>Myanmar (Burma)</v>
          </cell>
        </row>
        <row r="77">
          <cell r="A77" t="str">
            <v>Lebanon</v>
          </cell>
        </row>
        <row r="78">
          <cell r="A78" t="str">
            <v>United Arab Emirates</v>
          </cell>
          <cell r="B78">
            <v>0.26</v>
          </cell>
          <cell r="C78">
            <v>0.74</v>
          </cell>
        </row>
        <row r="79">
          <cell r="A79" t="str">
            <v>Madagascar</v>
          </cell>
        </row>
        <row r="80">
          <cell r="A80" t="str">
            <v>Netherlands</v>
          </cell>
          <cell r="B80">
            <v>0.44</v>
          </cell>
          <cell r="C80">
            <v>0.56000000000000005</v>
          </cell>
        </row>
        <row r="81">
          <cell r="A81" t="str">
            <v>Bahrain</v>
          </cell>
        </row>
        <row r="82">
          <cell r="A82" t="str">
            <v>Montenegro</v>
          </cell>
        </row>
        <row r="83">
          <cell r="A83" t="str">
            <v>Trinidad &amp; Tobago</v>
          </cell>
        </row>
        <row r="84">
          <cell r="A84" t="str">
            <v>Tunisia</v>
          </cell>
        </row>
        <row r="85">
          <cell r="A85" t="str">
            <v>Poland</v>
          </cell>
          <cell r="B85">
            <v>0.24</v>
          </cell>
          <cell r="C85">
            <v>0.76</v>
          </cell>
        </row>
        <row r="86">
          <cell r="A86" t="str">
            <v>Portugal</v>
          </cell>
          <cell r="B86">
            <v>0.33</v>
          </cell>
          <cell r="C86">
            <v>0.67</v>
          </cell>
        </row>
        <row r="87">
          <cell r="A87" t="str">
            <v>Bosnia &amp; Herzegovina</v>
          </cell>
        </row>
        <row r="88">
          <cell r="A88" t="str">
            <v>Cambodia</v>
          </cell>
        </row>
        <row r="89">
          <cell r="A89" t="str">
            <v>Belgium</v>
          </cell>
          <cell r="B89">
            <v>0.41</v>
          </cell>
          <cell r="C89">
            <v>0.59</v>
          </cell>
        </row>
        <row r="90">
          <cell r="A90" t="str">
            <v>North Macedonia</v>
          </cell>
        </row>
        <row r="91">
          <cell r="A91" t="str">
            <v>Jordan</v>
          </cell>
        </row>
        <row r="92">
          <cell r="A92" t="str">
            <v>Qatar</v>
          </cell>
        </row>
        <row r="93">
          <cell r="A93" t="str">
            <v>Georgia</v>
          </cell>
        </row>
        <row r="94">
          <cell r="A94" t="str">
            <v>France</v>
          </cell>
          <cell r="B94">
            <v>0.48</v>
          </cell>
          <cell r="C94">
            <v>0.52</v>
          </cell>
        </row>
        <row r="95">
          <cell r="A95" t="str">
            <v>Thailand</v>
          </cell>
          <cell r="B95">
            <v>0.27</v>
          </cell>
          <cell r="C95">
            <v>0.73</v>
          </cell>
        </row>
        <row r="96">
          <cell r="A96" t="str">
            <v>Sudan</v>
          </cell>
        </row>
        <row r="97">
          <cell r="A97" t="str">
            <v>Oman</v>
          </cell>
        </row>
        <row r="98">
          <cell r="A98" t="str">
            <v>Palestine</v>
          </cell>
        </row>
        <row r="99">
          <cell r="A99" t="str">
            <v>Mali</v>
          </cell>
        </row>
        <row r="100">
          <cell r="A100" t="str">
            <v>Albania</v>
          </cell>
        </row>
        <row r="101">
          <cell r="A101" t="str">
            <v>Tanzania</v>
          </cell>
        </row>
        <row r="102">
          <cell r="A102" t="str">
            <v>Uruguay</v>
          </cell>
        </row>
        <row r="103">
          <cell r="A103" t="str">
            <v>Italy</v>
          </cell>
          <cell r="B103">
            <v>0.37</v>
          </cell>
          <cell r="C103">
            <v>0.63</v>
          </cell>
        </row>
        <row r="104">
          <cell r="A104" t="str">
            <v>Vietnam</v>
          </cell>
          <cell r="B104">
            <v>0.48</v>
          </cell>
          <cell r="C104">
            <v>0.52</v>
          </cell>
        </row>
        <row r="105">
          <cell r="A105" t="str">
            <v>Egypt</v>
          </cell>
          <cell r="B105">
            <v>0.41</v>
          </cell>
          <cell r="C105">
            <v>0.59</v>
          </cell>
        </row>
        <row r="106">
          <cell r="A106" t="str">
            <v>Morocco</v>
          </cell>
        </row>
        <row r="107">
          <cell r="A107" t="str">
            <v>RÃ©union</v>
          </cell>
        </row>
        <row r="108">
          <cell r="A108" t="str">
            <v>Puerto Rico</v>
          </cell>
        </row>
        <row r="109">
          <cell r="A109" t="str">
            <v>Kuwait</v>
          </cell>
        </row>
        <row r="110">
          <cell r="A110" t="str">
            <v>Iraq</v>
          </cell>
        </row>
        <row r="111">
          <cell r="A111" t="str">
            <v>Costa Rica</v>
          </cell>
        </row>
        <row r="112">
          <cell r="A112" t="str">
            <v>Saudi Arabia</v>
          </cell>
          <cell r="B112">
            <v>0.3</v>
          </cell>
          <cell r="C112">
            <v>0.7</v>
          </cell>
        </row>
        <row r="113">
          <cell r="A113" t="str">
            <v>Spain</v>
          </cell>
          <cell r="B113">
            <v>0.49</v>
          </cell>
          <cell r="C113">
            <v>0.51</v>
          </cell>
        </row>
        <row r="114">
          <cell r="A114" t="str">
            <v>Brazil</v>
          </cell>
          <cell r="B114">
            <v>0.26</v>
          </cell>
          <cell r="C114">
            <v>0.74</v>
          </cell>
        </row>
        <row r="115">
          <cell r="A115" t="str">
            <v>Syria</v>
          </cell>
        </row>
        <row r="116">
          <cell r="A116" t="str">
            <v>Turkey</v>
          </cell>
          <cell r="B116">
            <v>0.33</v>
          </cell>
          <cell r="C116">
            <v>0.67</v>
          </cell>
        </row>
        <row r="117">
          <cell r="A117" t="str">
            <v>Azerbaijan</v>
          </cell>
        </row>
        <row r="118">
          <cell r="A118" t="str">
            <v>CÃ´te dâ€™Ivoire</v>
          </cell>
        </row>
        <row r="119">
          <cell r="A119" t="str">
            <v>Chile</v>
          </cell>
          <cell r="B119">
            <v>0.34</v>
          </cell>
          <cell r="C119">
            <v>0.66</v>
          </cell>
        </row>
        <row r="120">
          <cell r="A120" t="str">
            <v>Paraguay</v>
          </cell>
        </row>
        <row r="121">
          <cell r="A121" t="str">
            <v>Algeria</v>
          </cell>
        </row>
        <row r="122">
          <cell r="A122" t="str">
            <v>Indonesia</v>
          </cell>
          <cell r="B122">
            <v>0.28999999999999998</v>
          </cell>
          <cell r="C122">
            <v>0.71</v>
          </cell>
        </row>
        <row r="123">
          <cell r="A123" t="str">
            <v>Honduras</v>
          </cell>
        </row>
        <row r="124">
          <cell r="A124" t="str">
            <v>Panama</v>
          </cell>
        </row>
        <row r="125">
          <cell r="A125" t="str">
            <v>Senegal</v>
          </cell>
        </row>
        <row r="126">
          <cell r="A126" t="str">
            <v>Guatemala</v>
          </cell>
        </row>
        <row r="127">
          <cell r="A127" t="str">
            <v>Colombia</v>
          </cell>
          <cell r="B127">
            <v>0.35</v>
          </cell>
          <cell r="C127">
            <v>0.65</v>
          </cell>
        </row>
        <row r="128">
          <cell r="A128" t="str">
            <v>Argentina</v>
          </cell>
          <cell r="B128">
            <v>0.31</v>
          </cell>
          <cell r="C128">
            <v>0.69</v>
          </cell>
        </row>
        <row r="129">
          <cell r="A129" t="str">
            <v>Peru</v>
          </cell>
          <cell r="B129">
            <v>0.35</v>
          </cell>
          <cell r="C129">
            <v>0.65</v>
          </cell>
        </row>
        <row r="130">
          <cell r="A130" t="str">
            <v>Mexico</v>
          </cell>
          <cell r="B130">
            <v>0.32</v>
          </cell>
          <cell r="C130">
            <v>0.68</v>
          </cell>
        </row>
        <row r="131">
          <cell r="A131" t="str">
            <v>El Salvador</v>
          </cell>
        </row>
        <row r="132">
          <cell r="A132" t="str">
            <v>Dominican Republic</v>
          </cell>
        </row>
        <row r="133">
          <cell r="A133" t="str">
            <v>Ecuador</v>
          </cell>
        </row>
        <row r="134">
          <cell r="A134" t="str">
            <v>Bolivia</v>
          </cell>
        </row>
        <row r="135">
          <cell r="A135" t="str">
            <v>Venezuela</v>
          </cell>
        </row>
        <row r="136">
          <cell r="A136" t="str">
            <v>Samoa</v>
          </cell>
        </row>
        <row r="137">
          <cell r="A137" t="str">
            <v>San Marino</v>
          </cell>
        </row>
        <row r="138">
          <cell r="A138" t="str">
            <v>Turks &amp; Caicos Islands</v>
          </cell>
        </row>
        <row r="139">
          <cell r="A139" t="str">
            <v>Monaco</v>
          </cell>
        </row>
        <row r="140">
          <cell r="A140" t="str">
            <v>U.S. Virgin Islands</v>
          </cell>
        </row>
        <row r="141">
          <cell r="A141" t="str">
            <v>Bermuda</v>
          </cell>
        </row>
        <row r="142">
          <cell r="A142" t="str">
            <v>Eswatini</v>
          </cell>
        </row>
        <row r="143">
          <cell r="A143" t="str">
            <v>Cuba</v>
          </cell>
        </row>
        <row r="144">
          <cell r="A144" t="str">
            <v>Jersey</v>
          </cell>
        </row>
        <row r="145">
          <cell r="A145" t="str">
            <v>Cayman Islands</v>
          </cell>
        </row>
        <row r="146">
          <cell r="A146" t="str">
            <v>New Caledonia</v>
          </cell>
        </row>
        <row r="147">
          <cell r="A147" t="str">
            <v>Bhutan</v>
          </cell>
        </row>
        <row r="148">
          <cell r="A148" t="str">
            <v>Liberia</v>
          </cell>
        </row>
        <row r="149">
          <cell r="A149" t="str">
            <v>Sierra Leone</v>
          </cell>
        </row>
        <row r="150">
          <cell r="A150" t="str">
            <v>Isle of Man</v>
          </cell>
        </row>
        <row r="151">
          <cell r="A151" t="str">
            <v>French Guiana</v>
          </cell>
        </row>
        <row r="152">
          <cell r="A152" t="str">
            <v>Malawi</v>
          </cell>
        </row>
        <row r="153">
          <cell r="A153" t="str">
            <v>Papua New Guinea</v>
          </cell>
        </row>
        <row r="154">
          <cell r="A154" t="str">
            <v>Afghanistan</v>
          </cell>
        </row>
        <row r="155">
          <cell r="A155" t="str">
            <v>Brunei</v>
          </cell>
        </row>
        <row r="156">
          <cell r="A156" t="str">
            <v>Congo - Brazzaville</v>
          </cell>
        </row>
        <row r="157">
          <cell r="A157" t="str">
            <v>Barbados</v>
          </cell>
        </row>
        <row r="158">
          <cell r="A158" t="str">
            <v>Benin</v>
          </cell>
        </row>
        <row r="159">
          <cell r="A159" t="str">
            <v>Fiji</v>
          </cell>
        </row>
        <row r="160">
          <cell r="A160" t="str">
            <v>Guyana</v>
          </cell>
        </row>
        <row r="161">
          <cell r="A161" t="str">
            <v>Guadeloupe</v>
          </cell>
        </row>
        <row r="162">
          <cell r="A162" t="str">
            <v>Turkmenistan</v>
          </cell>
        </row>
        <row r="163">
          <cell r="A163" t="str">
            <v>Bahamas</v>
          </cell>
        </row>
        <row r="164">
          <cell r="A164" t="str">
            <v>Namibia</v>
          </cell>
        </row>
        <row r="165">
          <cell r="A165" t="str">
            <v>Mongolia</v>
          </cell>
        </row>
        <row r="166">
          <cell r="A166" t="str">
            <v>Martinique</v>
          </cell>
        </row>
        <row r="167">
          <cell r="A167" t="str">
            <v>Haiti</v>
          </cell>
        </row>
        <row r="168">
          <cell r="A168" t="str">
            <v>Kosovo</v>
          </cell>
        </row>
        <row r="169">
          <cell r="A169" t="str">
            <v>Libya</v>
          </cell>
        </row>
        <row r="170">
          <cell r="A170" t="str">
            <v>Congo - Kinshasa</v>
          </cell>
        </row>
        <row r="171">
          <cell r="A171" t="str">
            <v>Mozambique</v>
          </cell>
        </row>
        <row r="172">
          <cell r="A172" t="str">
            <v>Nicaragua</v>
          </cell>
        </row>
        <row r="173">
          <cell r="A173" t="str">
            <v>Yemen</v>
          </cell>
        </row>
        <row r="174">
          <cell r="A174" t="str">
            <v>Aruba</v>
          </cell>
        </row>
        <row r="175">
          <cell r="A175" t="str">
            <v>Angola</v>
          </cell>
        </row>
        <row r="176">
          <cell r="A176" t="str">
            <v>Anguilla</v>
          </cell>
        </row>
        <row r="177">
          <cell r="A177" t="str">
            <v>Ã…land Islands</v>
          </cell>
        </row>
        <row r="178">
          <cell r="A178" t="str">
            <v>Andorra</v>
          </cell>
        </row>
        <row r="179">
          <cell r="A179" t="str">
            <v>American Samoa</v>
          </cell>
        </row>
        <row r="180">
          <cell r="A180" t="str">
            <v>Antarctica</v>
          </cell>
        </row>
        <row r="181">
          <cell r="A181" t="str">
            <v>French Southern Territories</v>
          </cell>
        </row>
        <row r="182">
          <cell r="A182" t="str">
            <v>Antigua &amp; Barbuda</v>
          </cell>
        </row>
        <row r="183">
          <cell r="A183" t="str">
            <v>Burundi</v>
          </cell>
        </row>
        <row r="184">
          <cell r="A184" t="str">
            <v>Caribbean Netherlands</v>
          </cell>
        </row>
        <row r="185">
          <cell r="A185" t="str">
            <v>St. BarthÃ©lemy</v>
          </cell>
        </row>
        <row r="186">
          <cell r="A186" t="str">
            <v>Belize</v>
          </cell>
        </row>
        <row r="187">
          <cell r="A187" t="str">
            <v>Bouvet Island</v>
          </cell>
        </row>
        <row r="188">
          <cell r="A188" t="str">
            <v>Central African Republic</v>
          </cell>
        </row>
        <row r="189">
          <cell r="A189" t="str">
            <v>Cocos (Keeling) Islands</v>
          </cell>
        </row>
        <row r="190">
          <cell r="A190" t="str">
            <v>Cook Islands</v>
          </cell>
        </row>
        <row r="191">
          <cell r="A191" t="str">
            <v>Comoros</v>
          </cell>
        </row>
        <row r="192">
          <cell r="A192" t="str">
            <v>Cape Verde</v>
          </cell>
        </row>
        <row r="193">
          <cell r="A193" t="str">
            <v>CuraÃ§ao</v>
          </cell>
        </row>
        <row r="194">
          <cell r="A194" t="str">
            <v>Christmas Island</v>
          </cell>
        </row>
        <row r="195">
          <cell r="A195" t="str">
            <v>Djibouti</v>
          </cell>
        </row>
        <row r="196">
          <cell r="A196" t="str">
            <v>Dominica</v>
          </cell>
        </row>
        <row r="197">
          <cell r="A197" t="str">
            <v>Eritrea</v>
          </cell>
        </row>
        <row r="198">
          <cell r="A198" t="str">
            <v>Western Sahara</v>
          </cell>
        </row>
        <row r="199">
          <cell r="A199" t="str">
            <v>Falkland Islands (Islas Malvinas)</v>
          </cell>
        </row>
        <row r="200">
          <cell r="A200" t="str">
            <v>Faroe Islands</v>
          </cell>
        </row>
        <row r="201">
          <cell r="A201" t="str">
            <v>Micronesia</v>
          </cell>
        </row>
        <row r="202">
          <cell r="A202" t="str">
            <v>Gabon</v>
          </cell>
        </row>
        <row r="203">
          <cell r="A203" t="str">
            <v>Guernsey</v>
          </cell>
        </row>
        <row r="204">
          <cell r="A204" t="str">
            <v>Gibraltar</v>
          </cell>
        </row>
        <row r="205">
          <cell r="A205" t="str">
            <v>Guinea</v>
          </cell>
        </row>
        <row r="206">
          <cell r="A206" t="str">
            <v>Gambia</v>
          </cell>
        </row>
        <row r="207">
          <cell r="A207" t="str">
            <v>Guinea-Bissau</v>
          </cell>
        </row>
        <row r="208">
          <cell r="A208" t="str">
            <v>Equatorial Guinea</v>
          </cell>
        </row>
        <row r="209">
          <cell r="A209" t="str">
            <v>Grenada</v>
          </cell>
        </row>
        <row r="210">
          <cell r="A210" t="str">
            <v>Greenland</v>
          </cell>
        </row>
        <row r="211">
          <cell r="A211" t="str">
            <v>Guam</v>
          </cell>
        </row>
        <row r="212">
          <cell r="A212" t="str">
            <v>Heard &amp; McDonald Islands</v>
          </cell>
        </row>
        <row r="213">
          <cell r="A213" t="str">
            <v>British Indian Ocean Territory</v>
          </cell>
        </row>
        <row r="214">
          <cell r="A214" t="str">
            <v>Kiribati</v>
          </cell>
        </row>
        <row r="215">
          <cell r="A215" t="str">
            <v>St. Kitts &amp; Nevis</v>
          </cell>
        </row>
        <row r="216">
          <cell r="A216" t="str">
            <v>St. Lucia</v>
          </cell>
        </row>
        <row r="217">
          <cell r="A217" t="str">
            <v>Liechtenstein</v>
          </cell>
        </row>
        <row r="218">
          <cell r="A218" t="str">
            <v>St. Martin</v>
          </cell>
        </row>
        <row r="219">
          <cell r="A219" t="str">
            <v>Marshall Islands</v>
          </cell>
        </row>
        <row r="220">
          <cell r="A220" t="str">
            <v>Northern Mariana Islands</v>
          </cell>
        </row>
        <row r="221">
          <cell r="A221" t="str">
            <v>Mauritania</v>
          </cell>
        </row>
        <row r="222">
          <cell r="A222" t="str">
            <v>Montserrat</v>
          </cell>
        </row>
        <row r="223">
          <cell r="A223" t="str">
            <v>Mayotte</v>
          </cell>
        </row>
        <row r="224">
          <cell r="A224" t="str">
            <v>Niger</v>
          </cell>
        </row>
        <row r="225">
          <cell r="A225" t="str">
            <v>Norfolk Island</v>
          </cell>
        </row>
        <row r="226">
          <cell r="A226" t="str">
            <v>Niue</v>
          </cell>
        </row>
        <row r="227">
          <cell r="A227" t="str">
            <v>Nauru</v>
          </cell>
        </row>
        <row r="228">
          <cell r="A228" t="str">
            <v>Pitcairn Islands</v>
          </cell>
        </row>
        <row r="229">
          <cell r="A229" t="str">
            <v>Palau</v>
          </cell>
        </row>
        <row r="230">
          <cell r="A230" t="str">
            <v>North Korea</v>
          </cell>
        </row>
        <row r="231">
          <cell r="A231" t="str">
            <v>French Polynesia</v>
          </cell>
        </row>
        <row r="232">
          <cell r="A232" t="str">
            <v>South Georgia &amp; South Sandwich Islands</v>
          </cell>
        </row>
        <row r="233">
          <cell r="A233" t="str">
            <v>Svalbard &amp; Jan Mayen</v>
          </cell>
        </row>
        <row r="234">
          <cell r="A234" t="str">
            <v>Solomon Islands</v>
          </cell>
        </row>
        <row r="235">
          <cell r="A235" t="str">
            <v>Somalia</v>
          </cell>
        </row>
        <row r="236">
          <cell r="A236" t="str">
            <v>St. Pierre &amp; Miquelon</v>
          </cell>
        </row>
        <row r="237">
          <cell r="A237" t="str">
            <v>South Sudan</v>
          </cell>
        </row>
        <row r="238">
          <cell r="A238" t="str">
            <v>SÃ£o TomÃ© &amp; PrÃ­ncipe</v>
          </cell>
        </row>
        <row r="239">
          <cell r="A239" t="str">
            <v>Suriname</v>
          </cell>
        </row>
        <row r="240">
          <cell r="A240" t="str">
            <v>Sint Maarten</v>
          </cell>
        </row>
        <row r="241">
          <cell r="A241" t="str">
            <v>Seychelles</v>
          </cell>
        </row>
        <row r="242">
          <cell r="A242" t="str">
            <v>Chad</v>
          </cell>
        </row>
        <row r="243">
          <cell r="A243" t="str">
            <v>Togo</v>
          </cell>
        </row>
        <row r="244">
          <cell r="A244" t="str">
            <v>Tokelau</v>
          </cell>
        </row>
        <row r="245">
          <cell r="A245" t="str">
            <v>Timor-Leste</v>
          </cell>
        </row>
        <row r="246">
          <cell r="A246" t="str">
            <v>Tonga</v>
          </cell>
        </row>
        <row r="247">
          <cell r="A247" t="str">
            <v>Tuvalu</v>
          </cell>
        </row>
        <row r="248">
          <cell r="A248" t="str">
            <v>U.S. Outlying Islands</v>
          </cell>
        </row>
        <row r="249">
          <cell r="A249" t="str">
            <v>Vatican City</v>
          </cell>
        </row>
        <row r="250">
          <cell r="A250" t="str">
            <v>St. Vincent &amp; Grenadines</v>
          </cell>
        </row>
        <row r="251">
          <cell r="A251" t="str">
            <v>British Virgin Islands</v>
          </cell>
        </row>
        <row r="252">
          <cell r="A252" t="str">
            <v>Vanuatu</v>
          </cell>
        </row>
        <row r="253">
          <cell r="A253" t="str">
            <v>Wallis &amp; Futuna</v>
          </cell>
        </row>
      </sheetData>
    </sheetDataSet>
  </externalBook>
</externalLink>
</file>

<file path=xl/externalLinks/externalLink2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8)"/>
    </sheetNames>
    <sheetDataSet>
      <sheetData sheetId="0">
        <row r="1">
          <cell r="A1" t="str">
            <v>Kategori: TÃ¼m kategoriler</v>
          </cell>
        </row>
        <row r="3">
          <cell r="A3" t="str">
            <v>Ãœlke</v>
          </cell>
          <cell r="B3" t="str">
            <v>Ã–bek: (2016)</v>
          </cell>
          <cell r="C3" t="str">
            <v>Komut Ã§izelgesi: (2016)</v>
          </cell>
        </row>
        <row r="4">
          <cell r="A4" t="str">
            <v>China</v>
          </cell>
          <cell r="B4">
            <v>0.45</v>
          </cell>
          <cell r="C4">
            <v>0.55000000000000004</v>
          </cell>
        </row>
        <row r="5">
          <cell r="A5" t="str">
            <v>South Korea</v>
          </cell>
          <cell r="B5">
            <v>0.62</v>
          </cell>
          <cell r="C5">
            <v>0.38</v>
          </cell>
        </row>
        <row r="6">
          <cell r="A6" t="str">
            <v>Taiwan</v>
          </cell>
          <cell r="B6">
            <v>0.81</v>
          </cell>
          <cell r="C6">
            <v>0.19</v>
          </cell>
        </row>
        <row r="7">
          <cell r="A7" t="str">
            <v>Hong Kong</v>
          </cell>
          <cell r="B7">
            <v>0.67</v>
          </cell>
          <cell r="C7">
            <v>0.33</v>
          </cell>
        </row>
        <row r="8">
          <cell r="A8" t="str">
            <v>St. Helena</v>
          </cell>
        </row>
        <row r="9">
          <cell r="A9" t="str">
            <v>India</v>
          </cell>
          <cell r="B9">
            <v>0.46</v>
          </cell>
          <cell r="C9">
            <v>0.54</v>
          </cell>
        </row>
        <row r="10">
          <cell r="A10" t="str">
            <v>Macao</v>
          </cell>
        </row>
        <row r="11">
          <cell r="A11" t="str">
            <v>New Zealand</v>
          </cell>
          <cell r="B11">
            <v>0.77</v>
          </cell>
          <cell r="C11">
            <v>0.23</v>
          </cell>
        </row>
        <row r="12">
          <cell r="A12" t="str">
            <v>Israel</v>
          </cell>
          <cell r="B12">
            <v>0.6</v>
          </cell>
          <cell r="C12">
            <v>0.4</v>
          </cell>
        </row>
        <row r="13">
          <cell r="A13" t="str">
            <v>Singapore</v>
          </cell>
          <cell r="B13">
            <v>0.52</v>
          </cell>
          <cell r="C13">
            <v>0.48</v>
          </cell>
        </row>
        <row r="14">
          <cell r="A14" t="str">
            <v>Estonia</v>
          </cell>
          <cell r="B14">
            <v>0.59</v>
          </cell>
          <cell r="C14">
            <v>0.41</v>
          </cell>
        </row>
        <row r="15">
          <cell r="A15" t="str">
            <v>Australia</v>
          </cell>
          <cell r="B15">
            <v>0.8</v>
          </cell>
          <cell r="C15">
            <v>0.2</v>
          </cell>
        </row>
        <row r="16">
          <cell r="A16" t="str">
            <v>Belarus</v>
          </cell>
          <cell r="B16">
            <v>0.61</v>
          </cell>
          <cell r="C16">
            <v>0.39</v>
          </cell>
        </row>
        <row r="17">
          <cell r="A17" t="str">
            <v>Uzbekistan</v>
          </cell>
        </row>
        <row r="18">
          <cell r="A18" t="str">
            <v>Czechia</v>
          </cell>
          <cell r="B18">
            <v>0.66</v>
          </cell>
          <cell r="C18">
            <v>0.34</v>
          </cell>
        </row>
        <row r="19">
          <cell r="A19" t="str">
            <v>Russia</v>
          </cell>
          <cell r="B19">
            <v>0.75</v>
          </cell>
          <cell r="C19">
            <v>0.25</v>
          </cell>
        </row>
        <row r="20">
          <cell r="A20" t="str">
            <v>Denmark</v>
          </cell>
          <cell r="B20">
            <v>0.73</v>
          </cell>
          <cell r="C20">
            <v>0.27</v>
          </cell>
        </row>
        <row r="21">
          <cell r="A21" t="str">
            <v>Pakistan</v>
          </cell>
          <cell r="B21">
            <v>0.71</v>
          </cell>
          <cell r="C21">
            <v>0.28999999999999998</v>
          </cell>
        </row>
        <row r="22">
          <cell r="A22" t="str">
            <v>United States</v>
          </cell>
          <cell r="B22">
            <v>0.61</v>
          </cell>
          <cell r="C22">
            <v>0.39</v>
          </cell>
        </row>
        <row r="23">
          <cell r="A23" t="str">
            <v>Lesotho</v>
          </cell>
        </row>
        <row r="24">
          <cell r="A24" t="str">
            <v>Cuba</v>
          </cell>
        </row>
        <row r="25">
          <cell r="A25" t="str">
            <v>Iceland</v>
          </cell>
        </row>
        <row r="26">
          <cell r="A26" t="str">
            <v>Botswana</v>
          </cell>
        </row>
        <row r="27">
          <cell r="A27" t="str">
            <v>Nepal</v>
          </cell>
        </row>
        <row r="28">
          <cell r="A28" t="str">
            <v>Zimbabwe</v>
          </cell>
        </row>
        <row r="29">
          <cell r="A29" t="str">
            <v>Tajikistan</v>
          </cell>
        </row>
        <row r="30">
          <cell r="A30" t="str">
            <v>Iran</v>
          </cell>
          <cell r="B30">
            <v>0.87</v>
          </cell>
          <cell r="C30">
            <v>0.13</v>
          </cell>
        </row>
        <row r="31">
          <cell r="A31" t="str">
            <v>Ukraine</v>
          </cell>
          <cell r="B31">
            <v>0.64</v>
          </cell>
          <cell r="C31">
            <v>0.36</v>
          </cell>
        </row>
        <row r="32">
          <cell r="A32" t="str">
            <v>Malta</v>
          </cell>
        </row>
        <row r="33">
          <cell r="A33" t="str">
            <v>Ireland</v>
          </cell>
          <cell r="B33">
            <v>0.51</v>
          </cell>
          <cell r="C33">
            <v>0.49</v>
          </cell>
        </row>
        <row r="34">
          <cell r="A34" t="str">
            <v>Luxembourg</v>
          </cell>
        </row>
        <row r="35">
          <cell r="A35" t="str">
            <v>Kyrgyzstan</v>
          </cell>
        </row>
        <row r="36">
          <cell r="A36" t="str">
            <v>United Kingdom</v>
          </cell>
          <cell r="B36">
            <v>0.71</v>
          </cell>
          <cell r="C36">
            <v>0.28999999999999998</v>
          </cell>
        </row>
        <row r="37">
          <cell r="A37" t="str">
            <v>Philippines</v>
          </cell>
          <cell r="B37">
            <v>0.71</v>
          </cell>
          <cell r="C37">
            <v>0.28999999999999998</v>
          </cell>
        </row>
        <row r="38">
          <cell r="A38" t="str">
            <v>Lithuania</v>
          </cell>
        </row>
        <row r="39">
          <cell r="A39" t="str">
            <v>Mauritius</v>
          </cell>
        </row>
        <row r="40">
          <cell r="A40" t="str">
            <v>Canada</v>
          </cell>
          <cell r="B40">
            <v>0.57999999999999996</v>
          </cell>
          <cell r="C40">
            <v>0.42</v>
          </cell>
        </row>
        <row r="41">
          <cell r="A41" t="str">
            <v>Sri Lanka</v>
          </cell>
          <cell r="B41">
            <v>0.49</v>
          </cell>
          <cell r="C41">
            <v>0.51</v>
          </cell>
        </row>
        <row r="42">
          <cell r="A42" t="str">
            <v>Zambia</v>
          </cell>
        </row>
        <row r="43">
          <cell r="A43" t="str">
            <v>Finland</v>
          </cell>
          <cell r="B43">
            <v>0.54</v>
          </cell>
          <cell r="C43">
            <v>0.46</v>
          </cell>
        </row>
        <row r="44">
          <cell r="A44" t="str">
            <v>Slovenia</v>
          </cell>
        </row>
        <row r="45">
          <cell r="A45" t="str">
            <v>Ghana</v>
          </cell>
        </row>
        <row r="46">
          <cell r="A46" t="str">
            <v>Moldova</v>
          </cell>
        </row>
        <row r="47">
          <cell r="A47" t="str">
            <v>Norway</v>
          </cell>
          <cell r="B47">
            <v>0.59</v>
          </cell>
          <cell r="C47">
            <v>0.41</v>
          </cell>
        </row>
        <row r="48">
          <cell r="A48" t="str">
            <v>Jamaica</v>
          </cell>
        </row>
        <row r="49">
          <cell r="A49" t="str">
            <v>Kazakhstan</v>
          </cell>
          <cell r="B49">
            <v>0.78</v>
          </cell>
          <cell r="C49">
            <v>0.22</v>
          </cell>
        </row>
        <row r="50">
          <cell r="A50" t="str">
            <v>Switzerland</v>
          </cell>
          <cell r="B50">
            <v>0.46</v>
          </cell>
          <cell r="C50">
            <v>0.54</v>
          </cell>
        </row>
        <row r="51">
          <cell r="A51" t="str">
            <v>Bangladesh</v>
          </cell>
          <cell r="B51">
            <v>0.71</v>
          </cell>
          <cell r="C51">
            <v>0.28999999999999998</v>
          </cell>
        </row>
        <row r="52">
          <cell r="A52" t="str">
            <v>Sweden</v>
          </cell>
          <cell r="B52">
            <v>0.5</v>
          </cell>
          <cell r="C52">
            <v>0.5</v>
          </cell>
        </row>
        <row r="53">
          <cell r="A53" t="str">
            <v>Maldives</v>
          </cell>
        </row>
        <row r="54">
          <cell r="A54" t="str">
            <v>Portugal</v>
          </cell>
          <cell r="B54">
            <v>0.39</v>
          </cell>
          <cell r="C54">
            <v>0.61</v>
          </cell>
        </row>
        <row r="55">
          <cell r="A55" t="str">
            <v>Palestine</v>
          </cell>
        </row>
        <row r="56">
          <cell r="A56" t="str">
            <v>Uganda</v>
          </cell>
        </row>
        <row r="57">
          <cell r="A57" t="str">
            <v>Burkina Faso</v>
          </cell>
        </row>
        <row r="58">
          <cell r="A58" t="str">
            <v>Latvia</v>
          </cell>
        </row>
        <row r="59">
          <cell r="A59" t="str">
            <v>Armenia</v>
          </cell>
        </row>
        <row r="60">
          <cell r="A60" t="str">
            <v>Ethiopia</v>
          </cell>
        </row>
        <row r="61">
          <cell r="A61" t="str">
            <v>Cameroon</v>
          </cell>
        </row>
        <row r="62">
          <cell r="A62" t="str">
            <v>Kenya</v>
          </cell>
        </row>
        <row r="63">
          <cell r="A63" t="str">
            <v>Slovakia</v>
          </cell>
          <cell r="B63">
            <v>0.6</v>
          </cell>
          <cell r="C63">
            <v>0.4</v>
          </cell>
        </row>
        <row r="64">
          <cell r="A64" t="str">
            <v>Nigeria</v>
          </cell>
        </row>
        <row r="65">
          <cell r="A65" t="str">
            <v>Myanmar (Burma)</v>
          </cell>
        </row>
        <row r="66">
          <cell r="A66" t="str">
            <v>South Africa</v>
          </cell>
          <cell r="B66">
            <v>0.71</v>
          </cell>
          <cell r="C66">
            <v>0.28999999999999998</v>
          </cell>
        </row>
        <row r="67">
          <cell r="A67" t="str">
            <v>Germany</v>
          </cell>
          <cell r="B67">
            <v>0.5</v>
          </cell>
          <cell r="C67">
            <v>0.5</v>
          </cell>
        </row>
        <row r="68">
          <cell r="A68" t="str">
            <v>Malaysia</v>
          </cell>
          <cell r="B68">
            <v>0.74</v>
          </cell>
          <cell r="C68">
            <v>0.26</v>
          </cell>
        </row>
        <row r="69">
          <cell r="A69" t="str">
            <v>Romania</v>
          </cell>
          <cell r="B69">
            <v>0.5</v>
          </cell>
          <cell r="C69">
            <v>0.5</v>
          </cell>
        </row>
        <row r="70">
          <cell r="A70" t="str">
            <v>Japan</v>
          </cell>
          <cell r="B70">
            <v>0.54</v>
          </cell>
          <cell r="C70">
            <v>0.46</v>
          </cell>
        </row>
        <row r="71">
          <cell r="A71" t="str">
            <v>Bulgaria</v>
          </cell>
          <cell r="B71">
            <v>0.52</v>
          </cell>
          <cell r="C71">
            <v>0.48</v>
          </cell>
        </row>
        <row r="72">
          <cell r="A72" t="str">
            <v>Serbia</v>
          </cell>
          <cell r="B72">
            <v>0.53</v>
          </cell>
          <cell r="C72">
            <v>0.47</v>
          </cell>
        </row>
        <row r="73">
          <cell r="A73" t="str">
            <v>United Arab Emirates</v>
          </cell>
          <cell r="B73">
            <v>0.76</v>
          </cell>
          <cell r="C73">
            <v>0.24</v>
          </cell>
        </row>
        <row r="74">
          <cell r="A74" t="str">
            <v>Greece</v>
          </cell>
          <cell r="B74">
            <v>0.6</v>
          </cell>
          <cell r="C74">
            <v>0.4</v>
          </cell>
        </row>
        <row r="75">
          <cell r="A75" t="str">
            <v>Hungary</v>
          </cell>
          <cell r="B75">
            <v>0.61</v>
          </cell>
          <cell r="C75">
            <v>0.39</v>
          </cell>
        </row>
        <row r="76">
          <cell r="A76" t="str">
            <v>Qatar</v>
          </cell>
        </row>
        <row r="77">
          <cell r="A77" t="str">
            <v>Tunisia</v>
          </cell>
        </row>
        <row r="78">
          <cell r="A78" t="str">
            <v>Austria</v>
          </cell>
          <cell r="B78">
            <v>0.5</v>
          </cell>
          <cell r="C78">
            <v>0.5</v>
          </cell>
        </row>
        <row r="79">
          <cell r="A79" t="str">
            <v>Trinidad &amp; Tobago</v>
          </cell>
        </row>
        <row r="80">
          <cell r="A80" t="str">
            <v>Netherlands</v>
          </cell>
          <cell r="B80">
            <v>0.56000000000000005</v>
          </cell>
          <cell r="C80">
            <v>0.44</v>
          </cell>
        </row>
        <row r="81">
          <cell r="A81" t="str">
            <v>Cyprus</v>
          </cell>
        </row>
        <row r="82">
          <cell r="A82" t="str">
            <v>Mali</v>
          </cell>
        </row>
        <row r="83">
          <cell r="A83" t="str">
            <v>Lebanon</v>
          </cell>
        </row>
        <row r="84">
          <cell r="A84" t="str">
            <v>Croatia</v>
          </cell>
          <cell r="B84">
            <v>0.56000000000000005</v>
          </cell>
          <cell r="C84">
            <v>0.44</v>
          </cell>
        </row>
        <row r="85">
          <cell r="A85" t="str">
            <v>Madagascar</v>
          </cell>
        </row>
        <row r="86">
          <cell r="A86" t="str">
            <v>Bosnia &amp; Herzegovina</v>
          </cell>
        </row>
        <row r="87">
          <cell r="A87" t="str">
            <v>Poland</v>
          </cell>
          <cell r="B87">
            <v>0.56999999999999995</v>
          </cell>
          <cell r="C87">
            <v>0.43</v>
          </cell>
        </row>
        <row r="88">
          <cell r="A88" t="str">
            <v>Belgium</v>
          </cell>
          <cell r="B88">
            <v>0.49</v>
          </cell>
          <cell r="C88">
            <v>0.51</v>
          </cell>
        </row>
        <row r="89">
          <cell r="A89" t="str">
            <v>Georgia</v>
          </cell>
        </row>
        <row r="90">
          <cell r="A90" t="str">
            <v>France</v>
          </cell>
          <cell r="B90">
            <v>0.48</v>
          </cell>
          <cell r="C90">
            <v>0.52</v>
          </cell>
        </row>
        <row r="91">
          <cell r="A91" t="str">
            <v>Oman</v>
          </cell>
        </row>
        <row r="92">
          <cell r="A92" t="str">
            <v>Cambodia</v>
          </cell>
        </row>
        <row r="93">
          <cell r="A93" t="str">
            <v>Guatemala</v>
          </cell>
        </row>
        <row r="94">
          <cell r="A94" t="str">
            <v>North Macedonia</v>
          </cell>
        </row>
        <row r="95">
          <cell r="A95" t="str">
            <v>Montenegro</v>
          </cell>
        </row>
        <row r="96">
          <cell r="A96" t="str">
            <v>Spain</v>
          </cell>
          <cell r="B96">
            <v>0.4</v>
          </cell>
          <cell r="C96">
            <v>0.6</v>
          </cell>
        </row>
        <row r="97">
          <cell r="A97" t="str">
            <v>Thailand</v>
          </cell>
          <cell r="B97">
            <v>0.76</v>
          </cell>
          <cell r="C97">
            <v>0.24</v>
          </cell>
        </row>
        <row r="98">
          <cell r="A98" t="str">
            <v>Jordan</v>
          </cell>
        </row>
        <row r="99">
          <cell r="A99" t="str">
            <v>Laos</v>
          </cell>
        </row>
        <row r="100">
          <cell r="A100" t="str">
            <v>Sudan</v>
          </cell>
        </row>
        <row r="101">
          <cell r="A101" t="str">
            <v>Azerbaijan</v>
          </cell>
        </row>
        <row r="102">
          <cell r="A102" t="str">
            <v>Tanzania</v>
          </cell>
        </row>
        <row r="103">
          <cell r="A103" t="str">
            <v>Albania</v>
          </cell>
        </row>
        <row r="104">
          <cell r="A104" t="str">
            <v>Senegal</v>
          </cell>
        </row>
        <row r="105">
          <cell r="A105" t="str">
            <v>Costa Rica</v>
          </cell>
        </row>
        <row r="106">
          <cell r="A106" t="str">
            <v>Egypt</v>
          </cell>
          <cell r="B106">
            <v>0.62</v>
          </cell>
          <cell r="C106">
            <v>0.38</v>
          </cell>
        </row>
        <row r="107">
          <cell r="A107" t="str">
            <v>Bahrain</v>
          </cell>
        </row>
        <row r="108">
          <cell r="A108" t="str">
            <v>Vietnam</v>
          </cell>
          <cell r="B108">
            <v>0.54</v>
          </cell>
          <cell r="C108">
            <v>0.46</v>
          </cell>
        </row>
        <row r="109">
          <cell r="A109" t="str">
            <v>Puerto Rico</v>
          </cell>
        </row>
        <row r="110">
          <cell r="A110" t="str">
            <v>Iraq</v>
          </cell>
        </row>
        <row r="111">
          <cell r="A111" t="str">
            <v>Uruguay</v>
          </cell>
        </row>
        <row r="112">
          <cell r="A112" t="str">
            <v>Italy</v>
          </cell>
          <cell r="B112">
            <v>0.52</v>
          </cell>
          <cell r="C112">
            <v>0.48</v>
          </cell>
        </row>
        <row r="113">
          <cell r="A113" t="str">
            <v>Morocco</v>
          </cell>
          <cell r="B113">
            <v>0.55000000000000004</v>
          </cell>
          <cell r="C113">
            <v>0.45</v>
          </cell>
        </row>
        <row r="114">
          <cell r="A114" t="str">
            <v>Turkey</v>
          </cell>
          <cell r="B114">
            <v>0.67</v>
          </cell>
          <cell r="C114">
            <v>0.33</v>
          </cell>
        </row>
        <row r="115">
          <cell r="A115" t="str">
            <v>Congo - Kinshasa</v>
          </cell>
        </row>
        <row r="116">
          <cell r="A116" t="str">
            <v>Brazil</v>
          </cell>
          <cell r="B116">
            <v>0.61</v>
          </cell>
          <cell r="C116">
            <v>0.39</v>
          </cell>
        </row>
        <row r="117">
          <cell r="A117" t="str">
            <v>RÃ©union</v>
          </cell>
        </row>
        <row r="118">
          <cell r="A118" t="str">
            <v>Saudi Arabia</v>
          </cell>
        </row>
        <row r="119">
          <cell r="A119" t="str">
            <v>Bolivia</v>
          </cell>
        </row>
        <row r="120">
          <cell r="A120" t="str">
            <v>Kuwait</v>
          </cell>
        </row>
        <row r="121">
          <cell r="A121" t="str">
            <v>Indonesia</v>
          </cell>
          <cell r="B121">
            <v>0.69</v>
          </cell>
          <cell r="C121">
            <v>0.31</v>
          </cell>
        </row>
        <row r="122">
          <cell r="A122" t="str">
            <v>El Salvador</v>
          </cell>
        </row>
        <row r="123">
          <cell r="A123" t="str">
            <v>Panama</v>
          </cell>
        </row>
        <row r="124">
          <cell r="A124" t="str">
            <v>Chile</v>
          </cell>
          <cell r="B124">
            <v>0.54</v>
          </cell>
          <cell r="C124">
            <v>0.46</v>
          </cell>
        </row>
        <row r="125">
          <cell r="A125" t="str">
            <v>Peru</v>
          </cell>
          <cell r="B125">
            <v>0.62</v>
          </cell>
          <cell r="C125">
            <v>0.38</v>
          </cell>
        </row>
        <row r="126">
          <cell r="A126" t="str">
            <v>Syria</v>
          </cell>
        </row>
        <row r="127">
          <cell r="A127" t="str">
            <v>Colombia</v>
          </cell>
          <cell r="B127">
            <v>0.46</v>
          </cell>
          <cell r="C127">
            <v>0.54</v>
          </cell>
        </row>
        <row r="128">
          <cell r="A128" t="str">
            <v>Ecuador</v>
          </cell>
        </row>
        <row r="129">
          <cell r="A129" t="str">
            <v>Paraguay</v>
          </cell>
        </row>
        <row r="130">
          <cell r="A130" t="str">
            <v>Argentina</v>
          </cell>
          <cell r="B130">
            <v>0.54</v>
          </cell>
          <cell r="C130">
            <v>0.46</v>
          </cell>
        </row>
        <row r="131">
          <cell r="A131" t="str">
            <v>Algeria</v>
          </cell>
        </row>
        <row r="132">
          <cell r="A132" t="str">
            <v>Mexico</v>
          </cell>
          <cell r="B132">
            <v>0.48</v>
          </cell>
          <cell r="C132">
            <v>0.52</v>
          </cell>
        </row>
        <row r="133">
          <cell r="A133" t="str">
            <v>Honduras</v>
          </cell>
        </row>
        <row r="134">
          <cell r="A134" t="str">
            <v>CÃ´te dâ€™Ivoire</v>
          </cell>
        </row>
        <row r="135">
          <cell r="A135" t="str">
            <v>Venezuela</v>
          </cell>
        </row>
        <row r="136">
          <cell r="A136" t="str">
            <v>Dominican Republic</v>
          </cell>
        </row>
        <row r="137">
          <cell r="A137" t="str">
            <v>Cook Islands</v>
          </cell>
        </row>
        <row r="138">
          <cell r="A138" t="str">
            <v>St. Pierre &amp; Miquelon</v>
          </cell>
        </row>
        <row r="139">
          <cell r="A139" t="str">
            <v>Tonga</v>
          </cell>
        </row>
        <row r="140">
          <cell r="A140" t="str">
            <v>British Virgin Islands</v>
          </cell>
        </row>
        <row r="141">
          <cell r="A141" t="str">
            <v>American Samoa</v>
          </cell>
        </row>
        <row r="142">
          <cell r="A142" t="str">
            <v>Anguilla</v>
          </cell>
        </row>
        <row r="143">
          <cell r="A143" t="str">
            <v>Samoa</v>
          </cell>
        </row>
        <row r="144">
          <cell r="A144" t="str">
            <v>Solomon Islands</v>
          </cell>
        </row>
        <row r="145">
          <cell r="A145" t="str">
            <v>Vanuatu</v>
          </cell>
        </row>
        <row r="146">
          <cell r="A146" t="str">
            <v>Eswatini</v>
          </cell>
        </row>
        <row r="147">
          <cell r="A147" t="str">
            <v>Ã…land Islands</v>
          </cell>
        </row>
        <row r="148">
          <cell r="A148" t="str">
            <v>Western Sahara</v>
          </cell>
        </row>
        <row r="149">
          <cell r="A149" t="str">
            <v>Gibraltar</v>
          </cell>
        </row>
        <row r="150">
          <cell r="A150" t="str">
            <v>St. Martin</v>
          </cell>
        </row>
        <row r="151">
          <cell r="A151" t="str">
            <v>Seychelles</v>
          </cell>
        </row>
        <row r="152">
          <cell r="A152" t="str">
            <v>Bhutan</v>
          </cell>
        </row>
        <row r="153">
          <cell r="A153" t="str">
            <v>Fiji</v>
          </cell>
        </row>
        <row r="154">
          <cell r="A154" t="str">
            <v>Dominica</v>
          </cell>
        </row>
        <row r="155">
          <cell r="A155" t="str">
            <v>Sint Maarten</v>
          </cell>
        </row>
        <row r="156">
          <cell r="A156" t="str">
            <v>Faroe Islands</v>
          </cell>
        </row>
        <row r="157">
          <cell r="A157" t="str">
            <v>Belize</v>
          </cell>
        </row>
        <row r="158">
          <cell r="A158" t="str">
            <v>Namibia</v>
          </cell>
        </row>
        <row r="159">
          <cell r="A159" t="str">
            <v>U.S. Virgin Islands</v>
          </cell>
        </row>
        <row r="160">
          <cell r="A160" t="str">
            <v>French Polynesia</v>
          </cell>
        </row>
        <row r="161">
          <cell r="A161" t="str">
            <v>Malawi</v>
          </cell>
        </row>
        <row r="162">
          <cell r="A162" t="str">
            <v>Grenada</v>
          </cell>
        </row>
        <row r="163">
          <cell r="A163" t="str">
            <v>South Sudan</v>
          </cell>
        </row>
        <row r="164">
          <cell r="A164" t="str">
            <v>Barbados</v>
          </cell>
        </row>
        <row r="165">
          <cell r="A165" t="str">
            <v>French Guiana</v>
          </cell>
        </row>
        <row r="166">
          <cell r="A166" t="str">
            <v>St. Vincent &amp; Grenadines</v>
          </cell>
        </row>
        <row r="167">
          <cell r="A167" t="str">
            <v>Cayman Islands</v>
          </cell>
        </row>
        <row r="168">
          <cell r="A168" t="str">
            <v>Brunei</v>
          </cell>
        </row>
        <row r="169">
          <cell r="A169" t="str">
            <v>Gambia</v>
          </cell>
        </row>
        <row r="170">
          <cell r="A170" t="str">
            <v>Bermuda</v>
          </cell>
        </row>
        <row r="171">
          <cell r="A171" t="str">
            <v>Antigua &amp; Barbuda</v>
          </cell>
        </row>
        <row r="172">
          <cell r="A172" t="str">
            <v>Chad</v>
          </cell>
        </row>
        <row r="173">
          <cell r="A173" t="str">
            <v>New Caledonia</v>
          </cell>
        </row>
        <row r="174">
          <cell r="A174" t="str">
            <v>Guam</v>
          </cell>
        </row>
        <row r="175">
          <cell r="A175" t="str">
            <v>Papua New Guinea</v>
          </cell>
        </row>
        <row r="176">
          <cell r="A176" t="str">
            <v>Isle of Man</v>
          </cell>
        </row>
        <row r="177">
          <cell r="A177" t="str">
            <v>Guyana</v>
          </cell>
        </row>
        <row r="178">
          <cell r="A178" t="str">
            <v>Jersey</v>
          </cell>
        </row>
        <row r="179">
          <cell r="A179" t="str">
            <v>Turkmenistan</v>
          </cell>
        </row>
        <row r="180">
          <cell r="A180" t="str">
            <v>St. Lucia</v>
          </cell>
        </row>
        <row r="181">
          <cell r="A181" t="str">
            <v>Guernsey</v>
          </cell>
        </row>
        <row r="182">
          <cell r="A182" t="str">
            <v>Togo</v>
          </cell>
        </row>
        <row r="183">
          <cell r="A183" t="str">
            <v>Mongolia</v>
          </cell>
        </row>
        <row r="184">
          <cell r="A184" t="str">
            <v>Andorra</v>
          </cell>
        </row>
        <row r="185">
          <cell r="A185" t="str">
            <v>Aruba</v>
          </cell>
        </row>
        <row r="186">
          <cell r="A186" t="str">
            <v>Burundi</v>
          </cell>
        </row>
        <row r="187">
          <cell r="A187" t="str">
            <v>Liberia</v>
          </cell>
        </row>
        <row r="188">
          <cell r="A188" t="str">
            <v>Sierra Leone</v>
          </cell>
        </row>
        <row r="189">
          <cell r="A189" t="str">
            <v>Cape Verde</v>
          </cell>
        </row>
        <row r="190">
          <cell r="A190" t="str">
            <v>Afghanistan</v>
          </cell>
        </row>
        <row r="191">
          <cell r="A191" t="str">
            <v>CuraÃ§ao</v>
          </cell>
        </row>
        <row r="192">
          <cell r="A192" t="str">
            <v>Bahamas</v>
          </cell>
        </row>
        <row r="193">
          <cell r="A193" t="str">
            <v>Rwanda</v>
          </cell>
        </row>
        <row r="194">
          <cell r="A194" t="str">
            <v>Guadeloupe</v>
          </cell>
        </row>
        <row r="195">
          <cell r="A195" t="str">
            <v>Somalia</v>
          </cell>
        </row>
        <row r="196">
          <cell r="A196" t="str">
            <v>Mauritania</v>
          </cell>
        </row>
        <row r="197">
          <cell r="A197" t="str">
            <v>Congo - Brazzaville</v>
          </cell>
        </row>
        <row r="198">
          <cell r="A198" t="str">
            <v>Libya</v>
          </cell>
        </row>
        <row r="199">
          <cell r="A199" t="str">
            <v>Gabon</v>
          </cell>
        </row>
        <row r="200">
          <cell r="A200" t="str">
            <v>Benin</v>
          </cell>
        </row>
        <row r="201">
          <cell r="A201" t="str">
            <v>Haiti</v>
          </cell>
        </row>
        <row r="202">
          <cell r="A202" t="str">
            <v>Mozambique</v>
          </cell>
        </row>
        <row r="203">
          <cell r="A203" t="str">
            <v>Suriname</v>
          </cell>
        </row>
        <row r="204">
          <cell r="A204" t="str">
            <v>Guinea</v>
          </cell>
        </row>
        <row r="205">
          <cell r="A205" t="str">
            <v>Yemen</v>
          </cell>
        </row>
        <row r="206">
          <cell r="A206" t="str">
            <v>Nicaragua</v>
          </cell>
        </row>
        <row r="207">
          <cell r="A207" t="str">
            <v>Martinique</v>
          </cell>
        </row>
        <row r="208">
          <cell r="A208" t="str">
            <v>Angola</v>
          </cell>
        </row>
        <row r="209">
          <cell r="A209" t="str">
            <v>Kosovo</v>
          </cell>
        </row>
        <row r="210">
          <cell r="A210" t="str">
            <v>Antarctica</v>
          </cell>
        </row>
        <row r="211">
          <cell r="A211" t="str">
            <v>French Southern Territories</v>
          </cell>
        </row>
        <row r="212">
          <cell r="A212" t="str">
            <v>Caribbean Netherlands</v>
          </cell>
        </row>
        <row r="213">
          <cell r="A213" t="str">
            <v>St. BarthÃ©lemy</v>
          </cell>
        </row>
        <row r="214">
          <cell r="A214" t="str">
            <v>Bouvet Island</v>
          </cell>
        </row>
        <row r="215">
          <cell r="A215" t="str">
            <v>Central African Republic</v>
          </cell>
        </row>
        <row r="216">
          <cell r="A216" t="str">
            <v>Cocos (Keeling) Islands</v>
          </cell>
        </row>
        <row r="217">
          <cell r="A217" t="str">
            <v>Comoros</v>
          </cell>
        </row>
        <row r="218">
          <cell r="A218" t="str">
            <v>Christmas Island</v>
          </cell>
        </row>
        <row r="219">
          <cell r="A219" t="str">
            <v>Djibouti</v>
          </cell>
        </row>
        <row r="220">
          <cell r="A220" t="str">
            <v>Eritrea</v>
          </cell>
        </row>
        <row r="221">
          <cell r="A221" t="str">
            <v>Falkland Islands (Islas Malvinas)</v>
          </cell>
        </row>
        <row r="222">
          <cell r="A222" t="str">
            <v>Micronesia</v>
          </cell>
        </row>
        <row r="223">
          <cell r="A223" t="str">
            <v>Guinea-Bissau</v>
          </cell>
        </row>
        <row r="224">
          <cell r="A224" t="str">
            <v>Equatorial Guinea</v>
          </cell>
        </row>
        <row r="225">
          <cell r="A225" t="str">
            <v>Greenland</v>
          </cell>
        </row>
        <row r="226">
          <cell r="A226" t="str">
            <v>Heard &amp; McDonald Islands</v>
          </cell>
        </row>
        <row r="227">
          <cell r="A227" t="str">
            <v>British Indian Ocean Territory</v>
          </cell>
        </row>
        <row r="228">
          <cell r="A228" t="str">
            <v>Kiribati</v>
          </cell>
        </row>
        <row r="229">
          <cell r="A229" t="str">
            <v>St. Kitts &amp; Nevis</v>
          </cell>
        </row>
        <row r="230">
          <cell r="A230" t="str">
            <v>Liechtenstein</v>
          </cell>
        </row>
        <row r="231">
          <cell r="A231" t="str">
            <v>Monaco</v>
          </cell>
        </row>
        <row r="232">
          <cell r="A232" t="str">
            <v>Marshall Islands</v>
          </cell>
        </row>
        <row r="233">
          <cell r="A233" t="str">
            <v>Northern Mariana Islands</v>
          </cell>
        </row>
        <row r="234">
          <cell r="A234" t="str">
            <v>Montserrat</v>
          </cell>
        </row>
        <row r="235">
          <cell r="A235" t="str">
            <v>Mayotte</v>
          </cell>
        </row>
        <row r="236">
          <cell r="A236" t="str">
            <v>Niger</v>
          </cell>
        </row>
        <row r="237">
          <cell r="A237" t="str">
            <v>Norfolk Island</v>
          </cell>
        </row>
        <row r="238">
          <cell r="A238" t="str">
            <v>Niue</v>
          </cell>
        </row>
        <row r="239">
          <cell r="A239" t="str">
            <v>Nauru</v>
          </cell>
        </row>
        <row r="240">
          <cell r="A240" t="str">
            <v>Pitcairn Islands</v>
          </cell>
        </row>
        <row r="241">
          <cell r="A241" t="str">
            <v>Palau</v>
          </cell>
        </row>
        <row r="242">
          <cell r="A242" t="str">
            <v>North Korea</v>
          </cell>
        </row>
        <row r="243">
          <cell r="A243" t="str">
            <v>South Georgia &amp; South Sandwich Islands</v>
          </cell>
        </row>
        <row r="244">
          <cell r="A244" t="str">
            <v>Svalbard &amp; Jan Mayen</v>
          </cell>
        </row>
        <row r="245">
          <cell r="A245" t="str">
            <v>San Marino</v>
          </cell>
        </row>
        <row r="246">
          <cell r="A246" t="str">
            <v>SÃ£o TomÃ© &amp; PrÃ­ncipe</v>
          </cell>
        </row>
        <row r="247">
          <cell r="A247" t="str">
            <v>Turks &amp; Caicos Islands</v>
          </cell>
        </row>
        <row r="248">
          <cell r="A248" t="str">
            <v>Tokelau</v>
          </cell>
        </row>
        <row r="249">
          <cell r="A249" t="str">
            <v>Timor-Leste</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2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9)"/>
    </sheetNames>
    <sheetDataSet>
      <sheetData sheetId="0">
        <row r="1">
          <cell r="A1" t="str">
            <v>Kategori: TÃ¼m kategoriler</v>
          </cell>
        </row>
        <row r="3">
          <cell r="A3" t="str">
            <v>Ãœlke</v>
          </cell>
          <cell r="B3" t="str">
            <v>Komut Ã§izelgesi: (2016)</v>
          </cell>
          <cell r="C3" t="str">
            <v>Lojistik Regresyon: (2016)</v>
          </cell>
        </row>
        <row r="4">
          <cell r="A4" t="str">
            <v>China</v>
          </cell>
          <cell r="B4">
            <v>0.6</v>
          </cell>
          <cell r="C4">
            <v>0.4</v>
          </cell>
        </row>
        <row r="5">
          <cell r="A5" t="str">
            <v>Ethiopia</v>
          </cell>
        </row>
        <row r="6">
          <cell r="A6" t="str">
            <v>South Korea</v>
          </cell>
          <cell r="B6">
            <v>0.62</v>
          </cell>
          <cell r="C6">
            <v>0.38</v>
          </cell>
        </row>
        <row r="7">
          <cell r="A7" t="str">
            <v>India</v>
          </cell>
          <cell r="B7">
            <v>0.82</v>
          </cell>
          <cell r="C7">
            <v>0.18</v>
          </cell>
        </row>
        <row r="8">
          <cell r="A8" t="str">
            <v>Malawi</v>
          </cell>
        </row>
        <row r="9">
          <cell r="A9" t="str">
            <v>St. Helena</v>
          </cell>
        </row>
        <row r="10">
          <cell r="A10" t="str">
            <v>Singapore</v>
          </cell>
          <cell r="B10">
            <v>0.59</v>
          </cell>
          <cell r="C10">
            <v>0.41</v>
          </cell>
        </row>
        <row r="11">
          <cell r="A11" t="str">
            <v>Zimbabwe</v>
          </cell>
        </row>
        <row r="12">
          <cell r="A12" t="str">
            <v>Hong Kong</v>
          </cell>
          <cell r="B12">
            <v>0.55000000000000004</v>
          </cell>
          <cell r="C12">
            <v>0.45</v>
          </cell>
        </row>
        <row r="13">
          <cell r="A13" t="str">
            <v>Israel</v>
          </cell>
          <cell r="B13">
            <v>0.74</v>
          </cell>
          <cell r="C13">
            <v>0.26</v>
          </cell>
        </row>
        <row r="14">
          <cell r="A14" t="str">
            <v>Ghana</v>
          </cell>
        </row>
        <row r="15">
          <cell r="A15" t="str">
            <v>Iceland</v>
          </cell>
        </row>
        <row r="16">
          <cell r="A16" t="str">
            <v>Ireland</v>
          </cell>
          <cell r="B16">
            <v>0.64</v>
          </cell>
          <cell r="C16">
            <v>0.36</v>
          </cell>
        </row>
        <row r="17">
          <cell r="A17" t="str">
            <v>Cameroon</v>
          </cell>
        </row>
        <row r="18">
          <cell r="A18" t="str">
            <v>Belarus</v>
          </cell>
        </row>
        <row r="19">
          <cell r="A19" t="str">
            <v>Estonia</v>
          </cell>
        </row>
        <row r="20">
          <cell r="A20" t="str">
            <v>Rwanda</v>
          </cell>
        </row>
        <row r="21">
          <cell r="A21" t="str">
            <v>Tanzania</v>
          </cell>
          <cell r="C21">
            <v>1</v>
          </cell>
        </row>
        <row r="22">
          <cell r="A22" t="str">
            <v>Uganda</v>
          </cell>
        </row>
        <row r="23">
          <cell r="A23" t="str">
            <v>Sri Lanka</v>
          </cell>
          <cell r="B23">
            <v>0.66</v>
          </cell>
          <cell r="C23">
            <v>0.34</v>
          </cell>
        </row>
        <row r="24">
          <cell r="A24" t="str">
            <v>United States</v>
          </cell>
          <cell r="B24">
            <v>0.56000000000000005</v>
          </cell>
          <cell r="C24">
            <v>0.44</v>
          </cell>
        </row>
        <row r="25">
          <cell r="A25" t="str">
            <v>Kenya</v>
          </cell>
        </row>
        <row r="26">
          <cell r="A26" t="str">
            <v>Switzerland</v>
          </cell>
          <cell r="B26">
            <v>0.55000000000000004</v>
          </cell>
          <cell r="C26">
            <v>0.45</v>
          </cell>
        </row>
        <row r="27">
          <cell r="A27" t="str">
            <v>Armenia</v>
          </cell>
        </row>
        <row r="28">
          <cell r="A28" t="str">
            <v>Luxembourg</v>
          </cell>
        </row>
        <row r="29">
          <cell r="A29" t="str">
            <v>Portugal</v>
          </cell>
          <cell r="B29">
            <v>0.68</v>
          </cell>
          <cell r="C29">
            <v>0.32</v>
          </cell>
        </row>
        <row r="30">
          <cell r="A30" t="str">
            <v>Netherlands</v>
          </cell>
          <cell r="B30">
            <v>0.38</v>
          </cell>
          <cell r="C30">
            <v>0.62</v>
          </cell>
        </row>
        <row r="31">
          <cell r="A31" t="str">
            <v>Sweden</v>
          </cell>
          <cell r="B31">
            <v>0.61</v>
          </cell>
          <cell r="C31">
            <v>0.39</v>
          </cell>
        </row>
        <row r="32">
          <cell r="A32" t="str">
            <v>Taiwan</v>
          </cell>
          <cell r="B32">
            <v>0.54</v>
          </cell>
          <cell r="C32">
            <v>0.46</v>
          </cell>
        </row>
        <row r="33">
          <cell r="A33" t="str">
            <v>Denmark</v>
          </cell>
          <cell r="B33">
            <v>0.42</v>
          </cell>
          <cell r="C33">
            <v>0.57999999999999996</v>
          </cell>
        </row>
        <row r="34">
          <cell r="A34" t="str">
            <v>Slovenia</v>
          </cell>
          <cell r="B34">
            <v>0.67</v>
          </cell>
          <cell r="C34">
            <v>0.33</v>
          </cell>
        </row>
        <row r="35">
          <cell r="A35" t="str">
            <v>Finland</v>
          </cell>
          <cell r="B35">
            <v>0.57999999999999996</v>
          </cell>
          <cell r="C35">
            <v>0.42</v>
          </cell>
        </row>
        <row r="36">
          <cell r="A36" t="str">
            <v>Canada</v>
          </cell>
          <cell r="B36">
            <v>0.55000000000000004</v>
          </cell>
          <cell r="C36">
            <v>0.45</v>
          </cell>
        </row>
        <row r="37">
          <cell r="A37" t="str">
            <v>Nepal</v>
          </cell>
        </row>
        <row r="38">
          <cell r="A38" t="str">
            <v>Malta</v>
          </cell>
        </row>
        <row r="39">
          <cell r="A39" t="str">
            <v>Zambia</v>
          </cell>
        </row>
        <row r="40">
          <cell r="A40" t="str">
            <v>North Macedonia</v>
          </cell>
        </row>
        <row r="41">
          <cell r="A41" t="str">
            <v>Czechia</v>
          </cell>
          <cell r="B41">
            <v>0.76</v>
          </cell>
          <cell r="C41">
            <v>0.24</v>
          </cell>
        </row>
        <row r="42">
          <cell r="A42" t="str">
            <v>Germany</v>
          </cell>
          <cell r="B42">
            <v>0.62</v>
          </cell>
          <cell r="C42">
            <v>0.38</v>
          </cell>
        </row>
        <row r="43">
          <cell r="A43" t="str">
            <v>Myanmar (Burma)</v>
          </cell>
        </row>
        <row r="44">
          <cell r="A44" t="str">
            <v>Norway</v>
          </cell>
          <cell r="B44">
            <v>0.55000000000000004</v>
          </cell>
          <cell r="C44">
            <v>0.45</v>
          </cell>
        </row>
        <row r="45">
          <cell r="A45" t="str">
            <v>New Zealand</v>
          </cell>
          <cell r="B45">
            <v>0.59</v>
          </cell>
          <cell r="C45">
            <v>0.41</v>
          </cell>
        </row>
        <row r="46">
          <cell r="A46" t="str">
            <v>Ukraine</v>
          </cell>
          <cell r="B46">
            <v>0.89</v>
          </cell>
          <cell r="C46">
            <v>0.11</v>
          </cell>
        </row>
        <row r="47">
          <cell r="A47" t="str">
            <v>Romania</v>
          </cell>
          <cell r="B47">
            <v>0.86</v>
          </cell>
          <cell r="C47">
            <v>0.14000000000000001</v>
          </cell>
        </row>
        <row r="48">
          <cell r="A48" t="str">
            <v>Serbia</v>
          </cell>
          <cell r="B48">
            <v>0.76</v>
          </cell>
          <cell r="C48">
            <v>0.24</v>
          </cell>
        </row>
        <row r="49">
          <cell r="A49" t="str">
            <v>Laos</v>
          </cell>
        </row>
        <row r="50">
          <cell r="A50" t="str">
            <v>Bulgaria</v>
          </cell>
        </row>
        <row r="51">
          <cell r="A51" t="str">
            <v>Nigeria</v>
          </cell>
        </row>
        <row r="52">
          <cell r="A52" t="str">
            <v>Austria</v>
          </cell>
          <cell r="B52">
            <v>0.6</v>
          </cell>
          <cell r="C52">
            <v>0.4</v>
          </cell>
        </row>
        <row r="53">
          <cell r="A53" t="str">
            <v>Tunisia</v>
          </cell>
          <cell r="B53">
            <v>0.63</v>
          </cell>
          <cell r="C53">
            <v>0.37</v>
          </cell>
        </row>
        <row r="54">
          <cell r="A54" t="str">
            <v>Japan</v>
          </cell>
          <cell r="B54">
            <v>0.61</v>
          </cell>
          <cell r="C54">
            <v>0.39</v>
          </cell>
        </row>
        <row r="55">
          <cell r="A55" t="str">
            <v>Australia</v>
          </cell>
          <cell r="B55">
            <v>0.44</v>
          </cell>
          <cell r="C55">
            <v>0.56000000000000005</v>
          </cell>
        </row>
        <row r="56">
          <cell r="A56" t="str">
            <v>Pakistan</v>
          </cell>
          <cell r="B56">
            <v>0.59</v>
          </cell>
          <cell r="C56">
            <v>0.41</v>
          </cell>
        </row>
        <row r="57">
          <cell r="A57" t="str">
            <v>Belgium</v>
          </cell>
          <cell r="B57">
            <v>0.48</v>
          </cell>
          <cell r="C57">
            <v>0.52</v>
          </cell>
        </row>
        <row r="58">
          <cell r="A58" t="str">
            <v>Mauritius</v>
          </cell>
        </row>
        <row r="59">
          <cell r="A59" t="str">
            <v>Slovakia</v>
          </cell>
        </row>
        <row r="60">
          <cell r="A60" t="str">
            <v>Latvia</v>
          </cell>
        </row>
        <row r="61">
          <cell r="A61" t="str">
            <v>Cyprus</v>
          </cell>
        </row>
        <row r="62">
          <cell r="A62" t="str">
            <v>France</v>
          </cell>
          <cell r="B62">
            <v>0.67</v>
          </cell>
          <cell r="C62">
            <v>0.33</v>
          </cell>
        </row>
        <row r="63">
          <cell r="A63" t="str">
            <v>Russia</v>
          </cell>
          <cell r="B63">
            <v>0.78</v>
          </cell>
          <cell r="C63">
            <v>0.22</v>
          </cell>
        </row>
        <row r="64">
          <cell r="A64" t="str">
            <v>United Kingdom</v>
          </cell>
          <cell r="B64">
            <v>0.48</v>
          </cell>
          <cell r="C64">
            <v>0.52</v>
          </cell>
        </row>
        <row r="65">
          <cell r="A65" t="str">
            <v>Greece</v>
          </cell>
          <cell r="B65">
            <v>0.67</v>
          </cell>
          <cell r="C65">
            <v>0.33</v>
          </cell>
        </row>
        <row r="66">
          <cell r="A66" t="str">
            <v>Jamaica</v>
          </cell>
        </row>
        <row r="67">
          <cell r="A67" t="str">
            <v>Lithuania</v>
          </cell>
        </row>
        <row r="68">
          <cell r="A68" t="str">
            <v>Philippines</v>
          </cell>
          <cell r="B68">
            <v>0.55000000000000004</v>
          </cell>
          <cell r="C68">
            <v>0.45</v>
          </cell>
        </row>
        <row r="69">
          <cell r="A69" t="str">
            <v>Poland</v>
          </cell>
          <cell r="B69">
            <v>0.76</v>
          </cell>
          <cell r="C69">
            <v>0.24</v>
          </cell>
        </row>
        <row r="70">
          <cell r="A70" t="str">
            <v>Spain</v>
          </cell>
          <cell r="B70">
            <v>0.66</v>
          </cell>
          <cell r="C70">
            <v>0.34</v>
          </cell>
        </row>
        <row r="71">
          <cell r="A71" t="str">
            <v>Lebanon</v>
          </cell>
        </row>
        <row r="72">
          <cell r="A72" t="str">
            <v>Sudan</v>
          </cell>
        </row>
        <row r="73">
          <cell r="A73" t="str">
            <v>Croatia</v>
          </cell>
        </row>
        <row r="74">
          <cell r="A74" t="str">
            <v>Hungary</v>
          </cell>
          <cell r="B74">
            <v>0.74</v>
          </cell>
          <cell r="C74">
            <v>0.26</v>
          </cell>
        </row>
        <row r="75">
          <cell r="A75" t="str">
            <v>South Africa</v>
          </cell>
          <cell r="B75">
            <v>0.41</v>
          </cell>
          <cell r="C75">
            <v>0.59</v>
          </cell>
        </row>
        <row r="76">
          <cell r="A76" t="str">
            <v>Guatemala</v>
          </cell>
        </row>
        <row r="77">
          <cell r="A77" t="str">
            <v>Malaysia</v>
          </cell>
          <cell r="B77">
            <v>0.4</v>
          </cell>
          <cell r="C77">
            <v>0.6</v>
          </cell>
        </row>
        <row r="78">
          <cell r="A78" t="str">
            <v>Bangladesh</v>
          </cell>
          <cell r="B78">
            <v>0.52</v>
          </cell>
          <cell r="C78">
            <v>0.48</v>
          </cell>
        </row>
        <row r="79">
          <cell r="A79" t="str">
            <v>Indonesia</v>
          </cell>
          <cell r="B79">
            <v>0.2</v>
          </cell>
          <cell r="C79">
            <v>0.8</v>
          </cell>
        </row>
        <row r="80">
          <cell r="A80" t="str">
            <v>Iran</v>
          </cell>
          <cell r="B80">
            <v>0.37</v>
          </cell>
          <cell r="C80">
            <v>0.63</v>
          </cell>
        </row>
        <row r="81">
          <cell r="A81" t="str">
            <v>Moldova</v>
          </cell>
        </row>
        <row r="82">
          <cell r="A82" t="str">
            <v>Jordan</v>
          </cell>
        </row>
        <row r="83">
          <cell r="A83" t="str">
            <v>Costa Rica</v>
          </cell>
        </row>
        <row r="84">
          <cell r="A84" t="str">
            <v>Georgia</v>
          </cell>
        </row>
        <row r="85">
          <cell r="A85" t="str">
            <v>Uruguay</v>
          </cell>
        </row>
        <row r="86">
          <cell r="A86" t="str">
            <v>Italy</v>
          </cell>
          <cell r="B86">
            <v>0.6</v>
          </cell>
          <cell r="C86">
            <v>0.4</v>
          </cell>
        </row>
        <row r="87">
          <cell r="A87" t="str">
            <v>Vietnam</v>
          </cell>
          <cell r="B87">
            <v>0.82</v>
          </cell>
          <cell r="C87">
            <v>0.18</v>
          </cell>
        </row>
        <row r="88">
          <cell r="A88" t="str">
            <v>Kazakhstan</v>
          </cell>
        </row>
        <row r="89">
          <cell r="A89" t="str">
            <v>Qatar</v>
          </cell>
        </row>
        <row r="90">
          <cell r="A90" t="str">
            <v>Puerto Rico</v>
          </cell>
        </row>
        <row r="91">
          <cell r="A91" t="str">
            <v>Albania</v>
          </cell>
        </row>
        <row r="92">
          <cell r="A92" t="str">
            <v>Chile</v>
          </cell>
          <cell r="B92">
            <v>0.41</v>
          </cell>
          <cell r="C92">
            <v>0.59</v>
          </cell>
        </row>
        <row r="93">
          <cell r="A93" t="str">
            <v>Cambodia</v>
          </cell>
        </row>
        <row r="94">
          <cell r="A94" t="str">
            <v>Thailand</v>
          </cell>
          <cell r="B94">
            <v>0.34</v>
          </cell>
          <cell r="C94">
            <v>0.66</v>
          </cell>
        </row>
        <row r="95">
          <cell r="A95" t="str">
            <v>Peru</v>
          </cell>
          <cell r="B95">
            <v>0.34</v>
          </cell>
          <cell r="C95">
            <v>0.66</v>
          </cell>
        </row>
        <row r="96">
          <cell r="A96" t="str">
            <v>Palestine</v>
          </cell>
        </row>
        <row r="97">
          <cell r="A97" t="str">
            <v>Egypt</v>
          </cell>
          <cell r="B97">
            <v>0.69</v>
          </cell>
          <cell r="C97">
            <v>0.31</v>
          </cell>
        </row>
        <row r="98">
          <cell r="A98" t="str">
            <v>Bosnia &amp; Herzegovina</v>
          </cell>
        </row>
        <row r="99">
          <cell r="A99" t="str">
            <v>Uzbekistan</v>
          </cell>
        </row>
        <row r="100">
          <cell r="A100" t="str">
            <v>Bolivia</v>
          </cell>
        </row>
        <row r="101">
          <cell r="A101" t="str">
            <v>Colombia</v>
          </cell>
          <cell r="B101">
            <v>0.46</v>
          </cell>
          <cell r="C101">
            <v>0.54</v>
          </cell>
        </row>
        <row r="102">
          <cell r="A102" t="str">
            <v>Morocco</v>
          </cell>
          <cell r="B102">
            <v>0.56000000000000005</v>
          </cell>
          <cell r="C102">
            <v>0.44</v>
          </cell>
        </row>
        <row r="103">
          <cell r="A103" t="str">
            <v>Paraguay</v>
          </cell>
        </row>
        <row r="104">
          <cell r="A104" t="str">
            <v>United Arab Emirates</v>
          </cell>
          <cell r="B104">
            <v>0.57999999999999996</v>
          </cell>
          <cell r="C104">
            <v>0.42</v>
          </cell>
        </row>
        <row r="105">
          <cell r="A105" t="str">
            <v>Ecuador</v>
          </cell>
        </row>
        <row r="106">
          <cell r="A106" t="str">
            <v>Mexico</v>
          </cell>
          <cell r="B106">
            <v>0.65</v>
          </cell>
          <cell r="C106">
            <v>0.35</v>
          </cell>
        </row>
        <row r="107">
          <cell r="A107" t="str">
            <v>Brazil</v>
          </cell>
          <cell r="B107">
            <v>0.65</v>
          </cell>
          <cell r="C107">
            <v>0.35</v>
          </cell>
        </row>
        <row r="108">
          <cell r="A108" t="str">
            <v>Argentina</v>
          </cell>
          <cell r="B108">
            <v>0.75</v>
          </cell>
          <cell r="C108">
            <v>0.25</v>
          </cell>
        </row>
        <row r="109">
          <cell r="A109" t="str">
            <v>El Salvador</v>
          </cell>
        </row>
        <row r="110">
          <cell r="A110" t="str">
            <v>Syria</v>
          </cell>
        </row>
        <row r="111">
          <cell r="A111" t="str">
            <v>Yemen</v>
          </cell>
        </row>
        <row r="112">
          <cell r="A112" t="str">
            <v>Kosovo</v>
          </cell>
        </row>
        <row r="113">
          <cell r="A113" t="str">
            <v>Turkey</v>
          </cell>
          <cell r="B113">
            <v>0.57999999999999996</v>
          </cell>
          <cell r="C113">
            <v>0.42</v>
          </cell>
        </row>
        <row r="114">
          <cell r="A114" t="str">
            <v>Algeria</v>
          </cell>
        </row>
        <row r="115">
          <cell r="A115" t="str">
            <v>Azerbaijan</v>
          </cell>
        </row>
        <row r="116">
          <cell r="A116" t="str">
            <v>Saudi Arabia</v>
          </cell>
        </row>
        <row r="117">
          <cell r="A117" t="str">
            <v>Iraq</v>
          </cell>
        </row>
        <row r="118">
          <cell r="A118" t="str">
            <v>Venezuela</v>
          </cell>
        </row>
        <row r="119">
          <cell r="A119" t="str">
            <v>Eritrea</v>
          </cell>
        </row>
        <row r="120">
          <cell r="A120" t="str">
            <v>Tonga</v>
          </cell>
        </row>
        <row r="121">
          <cell r="A121" t="str">
            <v>Ã…land Islands</v>
          </cell>
        </row>
        <row r="122">
          <cell r="A122" t="str">
            <v>Greenland</v>
          </cell>
        </row>
        <row r="123">
          <cell r="A123" t="str">
            <v>Seychelles</v>
          </cell>
        </row>
        <row r="124">
          <cell r="A124" t="str">
            <v>Liechtenstein</v>
          </cell>
        </row>
        <row r="125">
          <cell r="A125" t="str">
            <v>Togo</v>
          </cell>
        </row>
        <row r="126">
          <cell r="A126" t="str">
            <v>Mayotte</v>
          </cell>
        </row>
        <row r="127">
          <cell r="A127" t="str">
            <v>Botswana</v>
          </cell>
        </row>
        <row r="128">
          <cell r="A128" t="str">
            <v>Antigua &amp; Barbuda</v>
          </cell>
        </row>
        <row r="129">
          <cell r="A129" t="str">
            <v>Eswatini</v>
          </cell>
        </row>
        <row r="130">
          <cell r="A130" t="str">
            <v>Jersey</v>
          </cell>
        </row>
        <row r="131">
          <cell r="A131" t="str">
            <v>Isle of Man</v>
          </cell>
        </row>
        <row r="132">
          <cell r="A132" t="str">
            <v>Cape Verde</v>
          </cell>
        </row>
        <row r="133">
          <cell r="A133" t="str">
            <v>Cayman Islands</v>
          </cell>
        </row>
        <row r="134">
          <cell r="A134" t="str">
            <v>Lesotho</v>
          </cell>
        </row>
        <row r="135">
          <cell r="A135" t="str">
            <v>Andorra</v>
          </cell>
        </row>
        <row r="136">
          <cell r="A136" t="str">
            <v>New Caledonia</v>
          </cell>
        </row>
        <row r="137">
          <cell r="A137" t="str">
            <v>Bhutan</v>
          </cell>
        </row>
        <row r="138">
          <cell r="A138" t="str">
            <v>Guyana</v>
          </cell>
        </row>
        <row r="139">
          <cell r="A139" t="str">
            <v>Niger</v>
          </cell>
        </row>
        <row r="140">
          <cell r="A140" t="str">
            <v>Cuba</v>
          </cell>
        </row>
        <row r="141">
          <cell r="A141" t="str">
            <v>Maldives</v>
          </cell>
        </row>
        <row r="142">
          <cell r="A142" t="str">
            <v>Sierra Leone</v>
          </cell>
        </row>
        <row r="143">
          <cell r="A143" t="str">
            <v>Bahamas</v>
          </cell>
        </row>
        <row r="144">
          <cell r="A144" t="str">
            <v>Tajikistan</v>
          </cell>
        </row>
        <row r="145">
          <cell r="A145" t="str">
            <v>French Polynesia</v>
          </cell>
        </row>
        <row r="146">
          <cell r="A146" t="str">
            <v>Mongolia</v>
          </cell>
        </row>
        <row r="147">
          <cell r="A147" t="str">
            <v>Madagascar</v>
          </cell>
        </row>
        <row r="148">
          <cell r="A148" t="str">
            <v>Guadeloupe</v>
          </cell>
        </row>
        <row r="149">
          <cell r="A149" t="str">
            <v>Guam</v>
          </cell>
        </row>
        <row r="150">
          <cell r="A150" t="str">
            <v>Mauritania</v>
          </cell>
        </row>
        <row r="151">
          <cell r="A151" t="str">
            <v>Afghanistan</v>
          </cell>
        </row>
        <row r="152">
          <cell r="A152" t="str">
            <v>Benin</v>
          </cell>
        </row>
        <row r="153">
          <cell r="A153" t="str">
            <v>Bahrain</v>
          </cell>
        </row>
        <row r="154">
          <cell r="A154" t="str">
            <v>Macao</v>
          </cell>
        </row>
        <row r="155">
          <cell r="A155" t="str">
            <v>Senegal</v>
          </cell>
        </row>
        <row r="156">
          <cell r="A156" t="str">
            <v>Trinidad &amp; Tobago</v>
          </cell>
        </row>
        <row r="157">
          <cell r="A157" t="str">
            <v>Guinea</v>
          </cell>
        </row>
        <row r="158">
          <cell r="A158" t="str">
            <v>RÃ©union</v>
          </cell>
        </row>
        <row r="159">
          <cell r="A159" t="str">
            <v>Angola</v>
          </cell>
        </row>
        <row r="160">
          <cell r="A160" t="str">
            <v>Mozambique</v>
          </cell>
        </row>
        <row r="161">
          <cell r="A161" t="str">
            <v>Martinique</v>
          </cell>
        </row>
        <row r="162">
          <cell r="A162" t="str">
            <v>Haiti</v>
          </cell>
        </row>
        <row r="163">
          <cell r="A163" t="str">
            <v>Brunei</v>
          </cell>
        </row>
        <row r="164">
          <cell r="A164" t="str">
            <v>Kyrgyzstan</v>
          </cell>
        </row>
        <row r="165">
          <cell r="A165" t="str">
            <v>Kuwait</v>
          </cell>
        </row>
        <row r="166">
          <cell r="A166" t="str">
            <v>Nicaragua</v>
          </cell>
        </row>
        <row r="167">
          <cell r="A167" t="str">
            <v>Panama</v>
          </cell>
        </row>
        <row r="168">
          <cell r="A168" t="str">
            <v>Montenegro</v>
          </cell>
        </row>
        <row r="169">
          <cell r="A169" t="str">
            <v>Libya</v>
          </cell>
        </row>
        <row r="170">
          <cell r="A170" t="str">
            <v>Honduras</v>
          </cell>
        </row>
        <row r="171">
          <cell r="A171" t="str">
            <v>CÃ´te dâ€™Ivoire</v>
          </cell>
        </row>
        <row r="172">
          <cell r="A172" t="str">
            <v>Dominican Republic</v>
          </cell>
        </row>
        <row r="173">
          <cell r="A173" t="str">
            <v>Oman</v>
          </cell>
        </row>
        <row r="174">
          <cell r="A174" t="str">
            <v>Aruba</v>
          </cell>
        </row>
        <row r="175">
          <cell r="A175" t="str">
            <v>Anguilla</v>
          </cell>
        </row>
        <row r="176">
          <cell r="A176" t="str">
            <v>American Samoa</v>
          </cell>
        </row>
        <row r="177">
          <cell r="A177" t="str">
            <v>Antarctica</v>
          </cell>
        </row>
        <row r="178">
          <cell r="A178" t="str">
            <v>French Southern Territories</v>
          </cell>
        </row>
        <row r="179">
          <cell r="A179" t="str">
            <v>Burundi</v>
          </cell>
        </row>
        <row r="180">
          <cell r="A180" t="str">
            <v>Caribbean Netherlands</v>
          </cell>
        </row>
        <row r="181">
          <cell r="A181" t="str">
            <v>Burkina Faso</v>
          </cell>
        </row>
        <row r="182">
          <cell r="A182" t="str">
            <v>St. BarthÃ©lemy</v>
          </cell>
        </row>
        <row r="183">
          <cell r="A183" t="str">
            <v>Belize</v>
          </cell>
        </row>
        <row r="184">
          <cell r="A184" t="str">
            <v>Bermuda</v>
          </cell>
        </row>
        <row r="185">
          <cell r="A185" t="str">
            <v>Barbados</v>
          </cell>
        </row>
        <row r="186">
          <cell r="A186" t="str">
            <v>Bouvet Island</v>
          </cell>
        </row>
        <row r="187">
          <cell r="A187" t="str">
            <v>Central African Republic</v>
          </cell>
        </row>
        <row r="188">
          <cell r="A188" t="str">
            <v>Cocos (Keeling) Islands</v>
          </cell>
        </row>
        <row r="189">
          <cell r="A189" t="str">
            <v>Congo - Kinshasa</v>
          </cell>
        </row>
        <row r="190">
          <cell r="A190" t="str">
            <v>Congo - Brazzaville</v>
          </cell>
        </row>
        <row r="191">
          <cell r="A191" t="str">
            <v>Cook Islands</v>
          </cell>
        </row>
        <row r="192">
          <cell r="A192" t="str">
            <v>Comoros</v>
          </cell>
        </row>
        <row r="193">
          <cell r="A193" t="str">
            <v>CuraÃ§ao</v>
          </cell>
        </row>
        <row r="194">
          <cell r="A194" t="str">
            <v>Christmas Island</v>
          </cell>
        </row>
        <row r="195">
          <cell r="A195" t="str">
            <v>Djibouti</v>
          </cell>
        </row>
        <row r="196">
          <cell r="A196" t="str">
            <v>Dominica</v>
          </cell>
        </row>
        <row r="197">
          <cell r="A197" t="str">
            <v>Western Sahara</v>
          </cell>
        </row>
        <row r="198">
          <cell r="A198" t="str">
            <v>Fiji</v>
          </cell>
        </row>
        <row r="199">
          <cell r="A199" t="str">
            <v>Falkland Islands (Islas Malvinas)</v>
          </cell>
        </row>
        <row r="200">
          <cell r="A200" t="str">
            <v>Faroe Islands</v>
          </cell>
        </row>
        <row r="201">
          <cell r="A201" t="str">
            <v>Micronesia</v>
          </cell>
        </row>
        <row r="202">
          <cell r="A202" t="str">
            <v>Gabon</v>
          </cell>
        </row>
        <row r="203">
          <cell r="A203" t="str">
            <v>Guernsey</v>
          </cell>
        </row>
        <row r="204">
          <cell r="A204" t="str">
            <v>Gibraltar</v>
          </cell>
        </row>
        <row r="205">
          <cell r="A205" t="str">
            <v>Gambia</v>
          </cell>
        </row>
        <row r="206">
          <cell r="A206" t="str">
            <v>Guinea-Bissau</v>
          </cell>
        </row>
        <row r="207">
          <cell r="A207" t="str">
            <v>Equatorial Guinea</v>
          </cell>
        </row>
        <row r="208">
          <cell r="A208" t="str">
            <v>Grenada</v>
          </cell>
        </row>
        <row r="209">
          <cell r="A209" t="str">
            <v>French Guiana</v>
          </cell>
        </row>
        <row r="210">
          <cell r="A210" t="str">
            <v>Heard &amp; McDonald Islands</v>
          </cell>
        </row>
        <row r="211">
          <cell r="A211" t="str">
            <v>British Indian Ocean Territory</v>
          </cell>
        </row>
        <row r="212">
          <cell r="A212" t="str">
            <v>Kiribati</v>
          </cell>
        </row>
        <row r="213">
          <cell r="A213" t="str">
            <v>St. Kitts &amp; Nevis</v>
          </cell>
        </row>
        <row r="214">
          <cell r="A214" t="str">
            <v>Liberia</v>
          </cell>
        </row>
        <row r="215">
          <cell r="A215" t="str">
            <v>St. Lucia</v>
          </cell>
        </row>
        <row r="216">
          <cell r="A216" t="str">
            <v>St. Martin</v>
          </cell>
        </row>
        <row r="217">
          <cell r="A217" t="str">
            <v>Monaco</v>
          </cell>
        </row>
        <row r="218">
          <cell r="A218" t="str">
            <v>Marshall Islands</v>
          </cell>
        </row>
        <row r="219">
          <cell r="A219" t="str">
            <v>Mali</v>
          </cell>
        </row>
        <row r="220">
          <cell r="A220" t="str">
            <v>Northern Mariana Islands</v>
          </cell>
        </row>
        <row r="221">
          <cell r="A221" t="str">
            <v>Montserrat</v>
          </cell>
        </row>
        <row r="222">
          <cell r="A222" t="str">
            <v>Namibia</v>
          </cell>
        </row>
        <row r="223">
          <cell r="A223" t="str">
            <v>Norfolk Island</v>
          </cell>
        </row>
        <row r="224">
          <cell r="A224" t="str">
            <v>Niue</v>
          </cell>
        </row>
        <row r="225">
          <cell r="A225" t="str">
            <v>Nauru</v>
          </cell>
        </row>
        <row r="226">
          <cell r="A226" t="str">
            <v>Pitcairn Islands</v>
          </cell>
        </row>
        <row r="227">
          <cell r="A227" t="str">
            <v>Palau</v>
          </cell>
        </row>
        <row r="228">
          <cell r="A228" t="str">
            <v>Papua New Guinea</v>
          </cell>
        </row>
        <row r="229">
          <cell r="A229" t="str">
            <v>North Korea</v>
          </cell>
        </row>
        <row r="230">
          <cell r="A230" t="str">
            <v>South Georgia &amp; South Sandwich Islands</v>
          </cell>
        </row>
        <row r="231">
          <cell r="A231" t="str">
            <v>Svalbard &amp; Jan Mayen</v>
          </cell>
        </row>
        <row r="232">
          <cell r="A232" t="str">
            <v>Solomon Islands</v>
          </cell>
        </row>
        <row r="233">
          <cell r="A233" t="str">
            <v>San Marino</v>
          </cell>
        </row>
        <row r="234">
          <cell r="A234" t="str">
            <v>Somalia</v>
          </cell>
        </row>
        <row r="235">
          <cell r="A235" t="str">
            <v>St. Pierre &amp; Miquelon</v>
          </cell>
        </row>
        <row r="236">
          <cell r="A236" t="str">
            <v>South Sudan</v>
          </cell>
        </row>
        <row r="237">
          <cell r="A237" t="str">
            <v>SÃ£o TomÃ© &amp; PrÃ­ncipe</v>
          </cell>
        </row>
        <row r="238">
          <cell r="A238" t="str">
            <v>Suriname</v>
          </cell>
        </row>
        <row r="239">
          <cell r="A239" t="str">
            <v>Sint Maarten</v>
          </cell>
        </row>
        <row r="240">
          <cell r="A240" t="str">
            <v>Turks &amp; Caicos Islands</v>
          </cell>
        </row>
        <row r="241">
          <cell r="A241" t="str">
            <v>Chad</v>
          </cell>
        </row>
        <row r="242">
          <cell r="A242" t="str">
            <v>Tokelau</v>
          </cell>
        </row>
        <row r="243">
          <cell r="A243" t="str">
            <v>Turkmenistan</v>
          </cell>
        </row>
        <row r="244">
          <cell r="A244" t="str">
            <v>Timor-Leste</v>
          </cell>
        </row>
        <row r="245">
          <cell r="A245" t="str">
            <v>Tuvalu</v>
          </cell>
        </row>
        <row r="246">
          <cell r="A246" t="str">
            <v>U.S. Outlying Islands</v>
          </cell>
        </row>
        <row r="247">
          <cell r="A247" t="str">
            <v>Vatican City</v>
          </cell>
        </row>
        <row r="248">
          <cell r="A248" t="str">
            <v>St. Vincent &amp; Grenadines</v>
          </cell>
        </row>
        <row r="249">
          <cell r="A249" t="str">
            <v>British Virgin Islands</v>
          </cell>
        </row>
        <row r="250">
          <cell r="A250" t="str">
            <v>U.S. Virgin Islands</v>
          </cell>
        </row>
        <row r="251">
          <cell r="A251" t="str">
            <v>Vanuatu</v>
          </cell>
        </row>
        <row r="252">
          <cell r="A252" t="str">
            <v>Wallis &amp; Futuna</v>
          </cell>
        </row>
        <row r="253">
          <cell r="A253" t="str">
            <v>Samoa</v>
          </cell>
        </row>
      </sheetData>
    </sheetDataSet>
  </externalBook>
</externalLink>
</file>

<file path=xl/externalLinks/externalLink2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20)"/>
    </sheetNames>
    <sheetDataSet>
      <sheetData sheetId="0">
        <row r="1">
          <cell r="A1" t="str">
            <v>Kategori: TÃ¼m kategoriler</v>
          </cell>
        </row>
        <row r="3">
          <cell r="A3" t="str">
            <v>Ãœlke</v>
          </cell>
          <cell r="B3" t="str">
            <v>Lojistik Regresyon: (2016)</v>
          </cell>
          <cell r="C3" t="str">
            <v>Design thinking: (2016)</v>
          </cell>
        </row>
        <row r="4">
          <cell r="A4" t="str">
            <v>China</v>
          </cell>
          <cell r="B4">
            <v>0.92</v>
          </cell>
          <cell r="C4">
            <v>0.08</v>
          </cell>
        </row>
        <row r="5">
          <cell r="A5" t="str">
            <v>Ethiopia</v>
          </cell>
          <cell r="B5">
            <v>1</v>
          </cell>
        </row>
        <row r="6">
          <cell r="A6" t="str">
            <v>Malawi</v>
          </cell>
        </row>
        <row r="7">
          <cell r="A7" t="str">
            <v>South Korea</v>
          </cell>
          <cell r="B7">
            <v>0.79</v>
          </cell>
          <cell r="C7">
            <v>0.21</v>
          </cell>
        </row>
        <row r="8">
          <cell r="A8" t="str">
            <v>Singapore</v>
          </cell>
          <cell r="B8">
            <v>0.45</v>
          </cell>
          <cell r="C8">
            <v>0.55000000000000004</v>
          </cell>
        </row>
        <row r="9">
          <cell r="A9" t="str">
            <v>Ghana</v>
          </cell>
        </row>
        <row r="10">
          <cell r="A10" t="str">
            <v>St. Helena</v>
          </cell>
        </row>
        <row r="11">
          <cell r="A11" t="str">
            <v>Hong Kong</v>
          </cell>
          <cell r="B11">
            <v>0.72</v>
          </cell>
          <cell r="C11">
            <v>0.28000000000000003</v>
          </cell>
        </row>
        <row r="12">
          <cell r="A12" t="str">
            <v>Zimbabwe</v>
          </cell>
        </row>
        <row r="13">
          <cell r="A13" t="str">
            <v>Rwanda</v>
          </cell>
        </row>
        <row r="14">
          <cell r="A14" t="str">
            <v>Iceland</v>
          </cell>
        </row>
        <row r="15">
          <cell r="A15" t="str">
            <v>Uganda</v>
          </cell>
        </row>
        <row r="16">
          <cell r="A16" t="str">
            <v>Tanzania</v>
          </cell>
          <cell r="B16">
            <v>1</v>
          </cell>
        </row>
        <row r="17">
          <cell r="A17" t="str">
            <v>Cameroon</v>
          </cell>
        </row>
        <row r="18">
          <cell r="A18" t="str">
            <v>Netherlands</v>
          </cell>
          <cell r="B18">
            <v>0.67</v>
          </cell>
          <cell r="C18">
            <v>0.33</v>
          </cell>
        </row>
        <row r="19">
          <cell r="A19" t="str">
            <v>Kenya</v>
          </cell>
          <cell r="B19">
            <v>0.75</v>
          </cell>
          <cell r="C19">
            <v>0.25</v>
          </cell>
        </row>
        <row r="20">
          <cell r="A20" t="str">
            <v>Denmark</v>
          </cell>
          <cell r="B20">
            <v>0.56000000000000005</v>
          </cell>
          <cell r="C20">
            <v>0.44</v>
          </cell>
        </row>
        <row r="21">
          <cell r="A21" t="str">
            <v>Peru</v>
          </cell>
          <cell r="B21">
            <v>0.24</v>
          </cell>
          <cell r="C21">
            <v>0.76</v>
          </cell>
        </row>
        <row r="22">
          <cell r="A22" t="str">
            <v>Switzerland</v>
          </cell>
          <cell r="B22">
            <v>0.53</v>
          </cell>
          <cell r="C22">
            <v>0.47</v>
          </cell>
        </row>
        <row r="23">
          <cell r="A23" t="str">
            <v>United States</v>
          </cell>
          <cell r="B23">
            <v>0.74</v>
          </cell>
          <cell r="C23">
            <v>0.26</v>
          </cell>
        </row>
        <row r="24">
          <cell r="A24" t="str">
            <v>Nigeria</v>
          </cell>
          <cell r="B24">
            <v>0.89</v>
          </cell>
          <cell r="C24">
            <v>0.11</v>
          </cell>
        </row>
        <row r="25">
          <cell r="A25" t="str">
            <v>Ireland</v>
          </cell>
          <cell r="B25">
            <v>0.57999999999999996</v>
          </cell>
          <cell r="C25">
            <v>0.42</v>
          </cell>
        </row>
        <row r="26">
          <cell r="A26" t="str">
            <v>New Zealand</v>
          </cell>
          <cell r="B26">
            <v>0.44</v>
          </cell>
          <cell r="C26">
            <v>0.56000000000000005</v>
          </cell>
        </row>
        <row r="27">
          <cell r="A27" t="str">
            <v>Taiwan</v>
          </cell>
          <cell r="B27">
            <v>0.6</v>
          </cell>
          <cell r="C27">
            <v>0.4</v>
          </cell>
        </row>
        <row r="28">
          <cell r="A28" t="str">
            <v>Germany</v>
          </cell>
          <cell r="B28">
            <v>0.4</v>
          </cell>
          <cell r="C28">
            <v>0.6</v>
          </cell>
        </row>
        <row r="29">
          <cell r="A29" t="str">
            <v>Canada</v>
          </cell>
          <cell r="B29">
            <v>0.68</v>
          </cell>
          <cell r="C29">
            <v>0.32</v>
          </cell>
        </row>
        <row r="30">
          <cell r="A30" t="str">
            <v>Mauritius</v>
          </cell>
        </row>
        <row r="31">
          <cell r="A31" t="str">
            <v>Australia</v>
          </cell>
          <cell r="B31">
            <v>0.51</v>
          </cell>
          <cell r="C31">
            <v>0.49</v>
          </cell>
        </row>
        <row r="32">
          <cell r="A32" t="str">
            <v>Finland</v>
          </cell>
          <cell r="B32">
            <v>0.64</v>
          </cell>
          <cell r="C32">
            <v>0.36</v>
          </cell>
        </row>
        <row r="33">
          <cell r="A33" t="str">
            <v>Sweden</v>
          </cell>
          <cell r="B33">
            <v>0.74</v>
          </cell>
          <cell r="C33">
            <v>0.26</v>
          </cell>
        </row>
        <row r="34">
          <cell r="A34" t="str">
            <v>Estonia</v>
          </cell>
        </row>
        <row r="35">
          <cell r="A35" t="str">
            <v>Belgium</v>
          </cell>
          <cell r="B35">
            <v>0.79</v>
          </cell>
          <cell r="C35">
            <v>0.21</v>
          </cell>
        </row>
        <row r="36">
          <cell r="A36" t="str">
            <v>Zambia</v>
          </cell>
        </row>
        <row r="37">
          <cell r="A37" t="str">
            <v>Norway</v>
          </cell>
          <cell r="B37">
            <v>0.56999999999999995</v>
          </cell>
          <cell r="C37">
            <v>0.43</v>
          </cell>
        </row>
        <row r="38">
          <cell r="A38" t="str">
            <v>India</v>
          </cell>
          <cell r="B38">
            <v>0.68</v>
          </cell>
          <cell r="C38">
            <v>0.32</v>
          </cell>
        </row>
        <row r="39">
          <cell r="A39" t="str">
            <v>Israel</v>
          </cell>
          <cell r="B39">
            <v>0.87</v>
          </cell>
          <cell r="C39">
            <v>0.13</v>
          </cell>
        </row>
        <row r="40">
          <cell r="A40" t="str">
            <v>United Kingdom</v>
          </cell>
          <cell r="B40">
            <v>0.77</v>
          </cell>
          <cell r="C40">
            <v>0.23</v>
          </cell>
        </row>
        <row r="41">
          <cell r="A41" t="str">
            <v>Brazil</v>
          </cell>
          <cell r="B41">
            <v>0.16</v>
          </cell>
          <cell r="C41">
            <v>0.84</v>
          </cell>
        </row>
        <row r="42">
          <cell r="A42" t="str">
            <v>Slovenia</v>
          </cell>
        </row>
        <row r="43">
          <cell r="A43" t="str">
            <v>Sri Lanka</v>
          </cell>
        </row>
        <row r="44">
          <cell r="A44" t="str">
            <v>Nepal</v>
          </cell>
        </row>
        <row r="45">
          <cell r="A45" t="str">
            <v>Sudan</v>
          </cell>
        </row>
        <row r="46">
          <cell r="A46" t="str">
            <v>Tunisia</v>
          </cell>
          <cell r="B46">
            <v>0.67</v>
          </cell>
          <cell r="C46">
            <v>0.33</v>
          </cell>
        </row>
        <row r="47">
          <cell r="A47" t="str">
            <v>Pakistan</v>
          </cell>
          <cell r="B47">
            <v>0.86</v>
          </cell>
          <cell r="C47">
            <v>0.14000000000000001</v>
          </cell>
        </row>
        <row r="48">
          <cell r="A48" t="str">
            <v>Portugal</v>
          </cell>
          <cell r="B48">
            <v>0.49</v>
          </cell>
          <cell r="C48">
            <v>0.51</v>
          </cell>
        </row>
        <row r="49">
          <cell r="A49" t="str">
            <v>Colombia</v>
          </cell>
          <cell r="B49">
            <v>0.35</v>
          </cell>
          <cell r="C49">
            <v>0.65</v>
          </cell>
        </row>
        <row r="50">
          <cell r="A50" t="str">
            <v>South Africa</v>
          </cell>
          <cell r="B50">
            <v>0.56999999999999995</v>
          </cell>
          <cell r="C50">
            <v>0.43</v>
          </cell>
        </row>
        <row r="51">
          <cell r="A51" t="str">
            <v>Chile</v>
          </cell>
          <cell r="B51">
            <v>0.41</v>
          </cell>
          <cell r="C51">
            <v>0.59</v>
          </cell>
        </row>
        <row r="52">
          <cell r="A52" t="str">
            <v>Japan</v>
          </cell>
          <cell r="B52">
            <v>0.62</v>
          </cell>
          <cell r="C52">
            <v>0.38</v>
          </cell>
        </row>
        <row r="53">
          <cell r="A53" t="str">
            <v>Malaysia</v>
          </cell>
          <cell r="B53">
            <v>0.63</v>
          </cell>
          <cell r="C53">
            <v>0.37</v>
          </cell>
        </row>
        <row r="54">
          <cell r="A54" t="str">
            <v>Austria</v>
          </cell>
          <cell r="B54">
            <v>0.49</v>
          </cell>
          <cell r="C54">
            <v>0.51</v>
          </cell>
        </row>
        <row r="55">
          <cell r="A55" t="str">
            <v>Jamaica</v>
          </cell>
        </row>
        <row r="56">
          <cell r="A56" t="str">
            <v>El Salvador</v>
          </cell>
        </row>
        <row r="57">
          <cell r="A57" t="str">
            <v>Iran</v>
          </cell>
          <cell r="B57">
            <v>0.9</v>
          </cell>
          <cell r="C57">
            <v>0.1</v>
          </cell>
        </row>
        <row r="58">
          <cell r="A58" t="str">
            <v>Bangladesh</v>
          </cell>
        </row>
        <row r="59">
          <cell r="A59" t="str">
            <v>Indonesia</v>
          </cell>
          <cell r="B59">
            <v>0.86</v>
          </cell>
          <cell r="C59">
            <v>0.14000000000000001</v>
          </cell>
        </row>
        <row r="60">
          <cell r="A60" t="str">
            <v>Philippines</v>
          </cell>
          <cell r="B60">
            <v>0.7</v>
          </cell>
          <cell r="C60">
            <v>0.3</v>
          </cell>
        </row>
        <row r="61">
          <cell r="A61" t="str">
            <v>Honduras</v>
          </cell>
        </row>
        <row r="62">
          <cell r="A62" t="str">
            <v>Cyprus</v>
          </cell>
        </row>
        <row r="63">
          <cell r="A63" t="str">
            <v>Lebanon</v>
          </cell>
        </row>
        <row r="64">
          <cell r="A64" t="str">
            <v>United Arab Emirates</v>
          </cell>
          <cell r="B64">
            <v>0.3</v>
          </cell>
          <cell r="C64">
            <v>0.7</v>
          </cell>
        </row>
        <row r="65">
          <cell r="A65" t="str">
            <v>Costa Rica</v>
          </cell>
        </row>
        <row r="66">
          <cell r="A66" t="str">
            <v>Myanmar (Burma)</v>
          </cell>
        </row>
        <row r="67">
          <cell r="A67" t="str">
            <v>Spain</v>
          </cell>
          <cell r="B67">
            <v>0.43</v>
          </cell>
          <cell r="C67">
            <v>0.56999999999999995</v>
          </cell>
        </row>
        <row r="68">
          <cell r="A68" t="str">
            <v>Guatemala</v>
          </cell>
          <cell r="C68">
            <v>1</v>
          </cell>
        </row>
        <row r="69">
          <cell r="A69" t="str">
            <v>Czechia</v>
          </cell>
          <cell r="B69">
            <v>0.82</v>
          </cell>
          <cell r="C69">
            <v>0.18</v>
          </cell>
        </row>
        <row r="70">
          <cell r="A70" t="str">
            <v>Puerto Rico</v>
          </cell>
        </row>
        <row r="71">
          <cell r="A71" t="str">
            <v>Thailand</v>
          </cell>
          <cell r="B71">
            <v>0.79</v>
          </cell>
          <cell r="C71">
            <v>0.21</v>
          </cell>
        </row>
        <row r="72">
          <cell r="A72" t="str">
            <v>France</v>
          </cell>
          <cell r="B72">
            <v>0.5</v>
          </cell>
          <cell r="C72">
            <v>0.5</v>
          </cell>
        </row>
        <row r="73">
          <cell r="A73" t="str">
            <v>Greece</v>
          </cell>
        </row>
        <row r="74">
          <cell r="A74" t="str">
            <v>Qatar</v>
          </cell>
        </row>
        <row r="75">
          <cell r="A75" t="str">
            <v>Uruguay</v>
          </cell>
        </row>
        <row r="76">
          <cell r="A76" t="str">
            <v>Mexico</v>
          </cell>
          <cell r="B76">
            <v>0.31</v>
          </cell>
          <cell r="C76">
            <v>0.69</v>
          </cell>
        </row>
        <row r="77">
          <cell r="A77" t="str">
            <v>Paraguay</v>
          </cell>
        </row>
        <row r="78">
          <cell r="A78" t="str">
            <v>Armenia</v>
          </cell>
        </row>
        <row r="79">
          <cell r="A79" t="str">
            <v>Jordan</v>
          </cell>
        </row>
        <row r="80">
          <cell r="A80" t="str">
            <v>Italy</v>
          </cell>
          <cell r="B80">
            <v>0.69</v>
          </cell>
          <cell r="C80">
            <v>0.31</v>
          </cell>
        </row>
        <row r="81">
          <cell r="A81" t="str">
            <v>Poland</v>
          </cell>
          <cell r="B81">
            <v>0.43</v>
          </cell>
          <cell r="C81">
            <v>0.56999999999999995</v>
          </cell>
        </row>
        <row r="82">
          <cell r="A82" t="str">
            <v>Ecuador</v>
          </cell>
          <cell r="B82">
            <v>0.48</v>
          </cell>
          <cell r="C82">
            <v>0.52</v>
          </cell>
        </row>
        <row r="83">
          <cell r="A83" t="str">
            <v>Croatia</v>
          </cell>
        </row>
        <row r="84">
          <cell r="A84" t="str">
            <v>Lithuania</v>
          </cell>
        </row>
        <row r="85">
          <cell r="A85" t="str">
            <v>Morocco</v>
          </cell>
        </row>
        <row r="86">
          <cell r="A86" t="str">
            <v>Serbia</v>
          </cell>
        </row>
        <row r="87">
          <cell r="A87" t="str">
            <v>Hungary</v>
          </cell>
        </row>
        <row r="88">
          <cell r="A88" t="str">
            <v>Bolivia</v>
          </cell>
        </row>
        <row r="89">
          <cell r="A89" t="str">
            <v>Russia</v>
          </cell>
          <cell r="B89">
            <v>0.71</v>
          </cell>
          <cell r="C89">
            <v>0.28999999999999998</v>
          </cell>
        </row>
        <row r="90">
          <cell r="A90" t="str">
            <v>Slovakia</v>
          </cell>
        </row>
        <row r="91">
          <cell r="A91" t="str">
            <v>Argentina</v>
          </cell>
          <cell r="B91">
            <v>0.3</v>
          </cell>
          <cell r="C91">
            <v>0.7</v>
          </cell>
        </row>
        <row r="92">
          <cell r="A92" t="str">
            <v>Turkey</v>
          </cell>
          <cell r="B92">
            <v>0.76</v>
          </cell>
          <cell r="C92">
            <v>0.24</v>
          </cell>
        </row>
        <row r="93">
          <cell r="A93" t="str">
            <v>Panama</v>
          </cell>
        </row>
        <row r="94">
          <cell r="A94" t="str">
            <v>Romania</v>
          </cell>
          <cell r="B94">
            <v>0.71</v>
          </cell>
          <cell r="C94">
            <v>0.28999999999999998</v>
          </cell>
        </row>
        <row r="95">
          <cell r="A95" t="str">
            <v>Egypt</v>
          </cell>
          <cell r="B95">
            <v>0.7</v>
          </cell>
          <cell r="C95">
            <v>0.3</v>
          </cell>
        </row>
        <row r="96">
          <cell r="A96" t="str">
            <v>Saudi Arabia</v>
          </cell>
          <cell r="B96">
            <v>0.62</v>
          </cell>
          <cell r="C96">
            <v>0.38</v>
          </cell>
        </row>
        <row r="97">
          <cell r="A97" t="str">
            <v>Belarus</v>
          </cell>
        </row>
        <row r="98">
          <cell r="A98" t="str">
            <v>Bulgaria</v>
          </cell>
        </row>
        <row r="99">
          <cell r="A99" t="str">
            <v>Algeria</v>
          </cell>
        </row>
        <row r="100">
          <cell r="A100" t="str">
            <v>Dominican Republic</v>
          </cell>
        </row>
        <row r="101">
          <cell r="A101" t="str">
            <v>Ukraine</v>
          </cell>
          <cell r="B101">
            <v>0.63</v>
          </cell>
          <cell r="C101">
            <v>0.37</v>
          </cell>
        </row>
        <row r="102">
          <cell r="A102" t="str">
            <v>Vietnam</v>
          </cell>
          <cell r="B102">
            <v>0.79</v>
          </cell>
          <cell r="C102">
            <v>0.21</v>
          </cell>
        </row>
        <row r="103">
          <cell r="A103" t="str">
            <v>Kazakhstan</v>
          </cell>
        </row>
        <row r="104">
          <cell r="A104" t="str">
            <v>Iraq</v>
          </cell>
        </row>
        <row r="105">
          <cell r="A105" t="str">
            <v>Venezuela</v>
          </cell>
        </row>
        <row r="106">
          <cell r="A106" t="str">
            <v>Micronesia</v>
          </cell>
        </row>
        <row r="107">
          <cell r="A107" t="str">
            <v>Eswatini</v>
          </cell>
        </row>
        <row r="108">
          <cell r="A108" t="str">
            <v>Faroe Islands</v>
          </cell>
        </row>
        <row r="109">
          <cell r="A109" t="str">
            <v>Seychelles</v>
          </cell>
        </row>
        <row r="110">
          <cell r="A110" t="str">
            <v>Lesotho</v>
          </cell>
        </row>
        <row r="111">
          <cell r="A111" t="str">
            <v>St. Lucia</v>
          </cell>
        </row>
        <row r="112">
          <cell r="A112" t="str">
            <v>Benin</v>
          </cell>
        </row>
        <row r="113">
          <cell r="A113" t="str">
            <v>Monaco</v>
          </cell>
        </row>
        <row r="114">
          <cell r="A114" t="str">
            <v>Cuba</v>
          </cell>
        </row>
        <row r="115">
          <cell r="A115" t="str">
            <v>Gibraltar</v>
          </cell>
        </row>
        <row r="116">
          <cell r="A116" t="str">
            <v>Botswana</v>
          </cell>
        </row>
        <row r="117">
          <cell r="A117" t="str">
            <v>U.S. Virgin Islands</v>
          </cell>
        </row>
        <row r="118">
          <cell r="A118" t="str">
            <v>Liberia</v>
          </cell>
        </row>
        <row r="119">
          <cell r="A119" t="str">
            <v>Burkina Faso</v>
          </cell>
        </row>
        <row r="120">
          <cell r="A120" t="str">
            <v>Burundi</v>
          </cell>
        </row>
        <row r="121">
          <cell r="A121" t="str">
            <v>Grenada</v>
          </cell>
        </row>
        <row r="122">
          <cell r="A122" t="str">
            <v>CuraÃ§ao</v>
          </cell>
        </row>
        <row r="123">
          <cell r="A123" t="str">
            <v>St. Vincent &amp; Grenadines</v>
          </cell>
        </row>
        <row r="124">
          <cell r="A124" t="str">
            <v>Djibouti</v>
          </cell>
        </row>
        <row r="125">
          <cell r="A125" t="str">
            <v>Belize</v>
          </cell>
        </row>
        <row r="126">
          <cell r="A126" t="str">
            <v>Togo</v>
          </cell>
        </row>
        <row r="127">
          <cell r="A127" t="str">
            <v>Antigua &amp; Barbuda</v>
          </cell>
        </row>
        <row r="128">
          <cell r="A128" t="str">
            <v>Macao</v>
          </cell>
        </row>
        <row r="129">
          <cell r="A129" t="str">
            <v>Congo - Brazzaville</v>
          </cell>
        </row>
        <row r="130">
          <cell r="A130" t="str">
            <v>Niger</v>
          </cell>
        </row>
        <row r="131">
          <cell r="A131" t="str">
            <v>South Sudan</v>
          </cell>
        </row>
        <row r="132">
          <cell r="A132" t="str">
            <v>Cayman Islands</v>
          </cell>
        </row>
        <row r="133">
          <cell r="A133" t="str">
            <v>Andorra</v>
          </cell>
        </row>
        <row r="134">
          <cell r="A134" t="str">
            <v>Namibia</v>
          </cell>
        </row>
        <row r="135">
          <cell r="A135" t="str">
            <v>Bhutan</v>
          </cell>
        </row>
        <row r="136">
          <cell r="A136" t="str">
            <v>Barbados</v>
          </cell>
        </row>
        <row r="137">
          <cell r="A137" t="str">
            <v>Aruba</v>
          </cell>
        </row>
        <row r="138">
          <cell r="A138" t="str">
            <v>Madagascar</v>
          </cell>
        </row>
        <row r="139">
          <cell r="A139" t="str">
            <v>Sierra Leone</v>
          </cell>
        </row>
        <row r="140">
          <cell r="A140" t="str">
            <v>Cape Verde</v>
          </cell>
        </row>
        <row r="141">
          <cell r="A141" t="str">
            <v>Isle of Man</v>
          </cell>
        </row>
        <row r="142">
          <cell r="A142" t="str">
            <v>Brunei</v>
          </cell>
        </row>
        <row r="143">
          <cell r="A143" t="str">
            <v>French Guiana</v>
          </cell>
        </row>
        <row r="144">
          <cell r="A144" t="str">
            <v>Senegal</v>
          </cell>
        </row>
        <row r="145">
          <cell r="A145" t="str">
            <v>Fiji</v>
          </cell>
        </row>
        <row r="146">
          <cell r="A146" t="str">
            <v>CÃ´te dâ€™Ivoire</v>
          </cell>
        </row>
        <row r="147">
          <cell r="A147" t="str">
            <v>Trinidad &amp; Tobago</v>
          </cell>
        </row>
        <row r="148">
          <cell r="A148" t="str">
            <v>Congo - Kinshasa</v>
          </cell>
        </row>
        <row r="149">
          <cell r="A149" t="str">
            <v>Luxembourg</v>
          </cell>
        </row>
        <row r="150">
          <cell r="A150" t="str">
            <v>Papua New Guinea</v>
          </cell>
        </row>
        <row r="151">
          <cell r="A151" t="str">
            <v>Jersey</v>
          </cell>
        </row>
        <row r="152">
          <cell r="A152" t="str">
            <v>Mozambique</v>
          </cell>
        </row>
        <row r="153">
          <cell r="A153" t="str">
            <v>Somalia</v>
          </cell>
        </row>
        <row r="154">
          <cell r="A154" t="str">
            <v>Guam</v>
          </cell>
        </row>
        <row r="155">
          <cell r="A155" t="str">
            <v>Tajikistan</v>
          </cell>
        </row>
        <row r="156">
          <cell r="A156" t="str">
            <v>New Caledonia</v>
          </cell>
        </row>
        <row r="157">
          <cell r="A157" t="str">
            <v>Gabon</v>
          </cell>
        </row>
        <row r="158">
          <cell r="A158" t="str">
            <v>Albania</v>
          </cell>
        </row>
        <row r="159">
          <cell r="A159" t="str">
            <v>Guyana</v>
          </cell>
        </row>
        <row r="160">
          <cell r="A160" t="str">
            <v>Malta</v>
          </cell>
        </row>
        <row r="161">
          <cell r="A161" t="str">
            <v>Suriname</v>
          </cell>
        </row>
        <row r="162">
          <cell r="A162" t="str">
            <v>Bahamas</v>
          </cell>
        </row>
        <row r="163">
          <cell r="A163" t="str">
            <v>Mali</v>
          </cell>
        </row>
        <row r="164">
          <cell r="A164" t="str">
            <v>Latvia</v>
          </cell>
        </row>
        <row r="165">
          <cell r="A165" t="str">
            <v>Haiti</v>
          </cell>
        </row>
        <row r="166">
          <cell r="A166" t="str">
            <v>Laos</v>
          </cell>
        </row>
        <row r="167">
          <cell r="A167" t="str">
            <v>Guadeloupe</v>
          </cell>
        </row>
        <row r="168">
          <cell r="A168" t="str">
            <v>Mongolia</v>
          </cell>
        </row>
        <row r="169">
          <cell r="A169" t="str">
            <v>Afghanistan</v>
          </cell>
        </row>
        <row r="170">
          <cell r="A170" t="str">
            <v>North Macedonia</v>
          </cell>
        </row>
        <row r="171">
          <cell r="A171" t="str">
            <v>Oman</v>
          </cell>
        </row>
        <row r="172">
          <cell r="A172" t="str">
            <v>Cambodia</v>
          </cell>
        </row>
        <row r="173">
          <cell r="A173" t="str">
            <v>Montenegro</v>
          </cell>
        </row>
        <row r="174">
          <cell r="A174" t="str">
            <v>Angola</v>
          </cell>
        </row>
        <row r="175">
          <cell r="A175" t="str">
            <v>Kuwait</v>
          </cell>
        </row>
        <row r="176">
          <cell r="A176" t="str">
            <v>Yemen</v>
          </cell>
        </row>
        <row r="177">
          <cell r="A177" t="str">
            <v>Nicaragua</v>
          </cell>
        </row>
        <row r="178">
          <cell r="A178" t="str">
            <v>Syria</v>
          </cell>
        </row>
        <row r="179">
          <cell r="A179" t="str">
            <v>RÃ©union</v>
          </cell>
        </row>
        <row r="180">
          <cell r="A180" t="str">
            <v>Uzbekistan</v>
          </cell>
        </row>
        <row r="181">
          <cell r="A181" t="str">
            <v>Georgia</v>
          </cell>
        </row>
        <row r="182">
          <cell r="A182" t="str">
            <v>Bosnia &amp; Herzegovina</v>
          </cell>
        </row>
        <row r="183">
          <cell r="A183" t="str">
            <v>Kosovo</v>
          </cell>
        </row>
        <row r="184">
          <cell r="A184" t="str">
            <v>Bahrain</v>
          </cell>
        </row>
        <row r="185">
          <cell r="A185" t="str">
            <v>Libya</v>
          </cell>
        </row>
        <row r="186">
          <cell r="A186" t="str">
            <v>Kyrgyzstan</v>
          </cell>
        </row>
        <row r="187">
          <cell r="A187" t="str">
            <v>Moldova</v>
          </cell>
        </row>
        <row r="188">
          <cell r="A188" t="str">
            <v>Azerbaijan</v>
          </cell>
        </row>
        <row r="189">
          <cell r="A189" t="str">
            <v>Anguilla</v>
          </cell>
        </row>
        <row r="190">
          <cell r="A190" t="str">
            <v>Ã…land Islands</v>
          </cell>
        </row>
        <row r="191">
          <cell r="A191" t="str">
            <v>American Samoa</v>
          </cell>
        </row>
        <row r="192">
          <cell r="A192" t="str">
            <v>Antarctica</v>
          </cell>
        </row>
        <row r="193">
          <cell r="A193" t="str">
            <v>French Southern Territories</v>
          </cell>
        </row>
        <row r="194">
          <cell r="A194" t="str">
            <v>Caribbean Netherlands</v>
          </cell>
        </row>
        <row r="195">
          <cell r="A195" t="str">
            <v>St. BarthÃ©lemy</v>
          </cell>
        </row>
        <row r="196">
          <cell r="A196" t="str">
            <v>Bermuda</v>
          </cell>
        </row>
        <row r="197">
          <cell r="A197" t="str">
            <v>Bouvet Island</v>
          </cell>
        </row>
        <row r="198">
          <cell r="A198" t="str">
            <v>Central African Republic</v>
          </cell>
        </row>
        <row r="199">
          <cell r="A199" t="str">
            <v>Cocos (Keeling) Islands</v>
          </cell>
        </row>
        <row r="200">
          <cell r="A200" t="str">
            <v>Cook Islands</v>
          </cell>
        </row>
        <row r="201">
          <cell r="A201" t="str">
            <v>Comoros</v>
          </cell>
        </row>
        <row r="202">
          <cell r="A202" t="str">
            <v>Christmas Island</v>
          </cell>
        </row>
        <row r="203">
          <cell r="A203" t="str">
            <v>Dominica</v>
          </cell>
        </row>
        <row r="204">
          <cell r="A204" t="str">
            <v>Eritrea</v>
          </cell>
        </row>
        <row r="205">
          <cell r="A205" t="str">
            <v>Western Sahara</v>
          </cell>
        </row>
        <row r="206">
          <cell r="A206" t="str">
            <v>Falkland Islands (Islas Malvinas)</v>
          </cell>
        </row>
        <row r="207">
          <cell r="A207" t="str">
            <v>Guernsey</v>
          </cell>
        </row>
        <row r="208">
          <cell r="A208" t="str">
            <v>Guinea</v>
          </cell>
        </row>
        <row r="209">
          <cell r="A209" t="str">
            <v>Gambia</v>
          </cell>
        </row>
        <row r="210">
          <cell r="A210" t="str">
            <v>Guinea-Bissau</v>
          </cell>
        </row>
        <row r="211">
          <cell r="A211" t="str">
            <v>Equatorial Guinea</v>
          </cell>
        </row>
        <row r="212">
          <cell r="A212" t="str">
            <v>Greenland</v>
          </cell>
        </row>
        <row r="213">
          <cell r="A213" t="str">
            <v>Heard &amp; McDonald Islands</v>
          </cell>
        </row>
        <row r="214">
          <cell r="A214" t="str">
            <v>British Indian Ocean Territory</v>
          </cell>
        </row>
        <row r="215">
          <cell r="A215" t="str">
            <v>Kiribati</v>
          </cell>
        </row>
        <row r="216">
          <cell r="A216" t="str">
            <v>St. Kitts &amp; Nevis</v>
          </cell>
        </row>
        <row r="217">
          <cell r="A217" t="str">
            <v>Liechtenstein</v>
          </cell>
        </row>
        <row r="218">
          <cell r="A218" t="str">
            <v>St. Martin</v>
          </cell>
        </row>
        <row r="219">
          <cell r="A219" t="str">
            <v>Maldives</v>
          </cell>
        </row>
        <row r="220">
          <cell r="A220" t="str">
            <v>Marshall Islands</v>
          </cell>
        </row>
        <row r="221">
          <cell r="A221" t="str">
            <v>Northern Mariana Islands</v>
          </cell>
        </row>
        <row r="222">
          <cell r="A222" t="str">
            <v>Mauritania</v>
          </cell>
        </row>
        <row r="223">
          <cell r="A223" t="str">
            <v>Montserrat</v>
          </cell>
        </row>
        <row r="224">
          <cell r="A224" t="str">
            <v>Martinique</v>
          </cell>
        </row>
        <row r="225">
          <cell r="A225" t="str">
            <v>Mayotte</v>
          </cell>
        </row>
        <row r="226">
          <cell r="A226" t="str">
            <v>Norfolk Island</v>
          </cell>
        </row>
        <row r="227">
          <cell r="A227" t="str">
            <v>Niue</v>
          </cell>
        </row>
        <row r="228">
          <cell r="A228" t="str">
            <v>Nauru</v>
          </cell>
        </row>
        <row r="229">
          <cell r="A229" t="str">
            <v>Pitcairn Islands</v>
          </cell>
        </row>
        <row r="230">
          <cell r="A230" t="str">
            <v>Palau</v>
          </cell>
        </row>
        <row r="231">
          <cell r="A231" t="str">
            <v>North Korea</v>
          </cell>
        </row>
        <row r="232">
          <cell r="A232" t="str">
            <v>Palestine</v>
          </cell>
        </row>
        <row r="233">
          <cell r="A233" t="str">
            <v>French Polynesia</v>
          </cell>
        </row>
        <row r="234">
          <cell r="A234" t="str">
            <v>South Georgia &amp; South Sandwich Islands</v>
          </cell>
        </row>
        <row r="235">
          <cell r="A235" t="str">
            <v>Svalbard &amp; Jan Mayen</v>
          </cell>
        </row>
        <row r="236">
          <cell r="A236" t="str">
            <v>Solomon Islands</v>
          </cell>
        </row>
        <row r="237">
          <cell r="A237" t="str">
            <v>San Marino</v>
          </cell>
        </row>
        <row r="238">
          <cell r="A238" t="str">
            <v>St. Pierre &amp; Miquelon</v>
          </cell>
        </row>
        <row r="239">
          <cell r="A239" t="str">
            <v>SÃ£o TomÃ© &amp; PrÃ­ncipe</v>
          </cell>
        </row>
        <row r="240">
          <cell r="A240" t="str">
            <v>Sint Maarten</v>
          </cell>
        </row>
        <row r="241">
          <cell r="A241" t="str">
            <v>Turks &amp; Caicos Islands</v>
          </cell>
        </row>
        <row r="242">
          <cell r="A242" t="str">
            <v>Chad</v>
          </cell>
        </row>
        <row r="243">
          <cell r="A243" t="str">
            <v>Tokelau</v>
          </cell>
        </row>
        <row r="244">
          <cell r="A244" t="str">
            <v>Turkmenistan</v>
          </cell>
        </row>
        <row r="245">
          <cell r="A245" t="str">
            <v>Timor-Leste</v>
          </cell>
        </row>
        <row r="246">
          <cell r="A246" t="str">
            <v>Tonga</v>
          </cell>
        </row>
        <row r="247">
          <cell r="A247" t="str">
            <v>Tuvalu</v>
          </cell>
        </row>
        <row r="248">
          <cell r="A248" t="str">
            <v>U.S. Outlying Islands</v>
          </cell>
        </row>
        <row r="249">
          <cell r="A249" t="str">
            <v>Vatican City</v>
          </cell>
        </row>
        <row r="250">
          <cell r="A250" t="str">
            <v>British Virgin Islands</v>
          </cell>
        </row>
        <row r="251">
          <cell r="A251" t="str">
            <v>Vanuatu</v>
          </cell>
        </row>
        <row r="252">
          <cell r="A252" t="str">
            <v>Wallis &amp; Futuna</v>
          </cell>
        </row>
        <row r="253">
          <cell r="A253" t="str">
            <v>Samoa</v>
          </cell>
        </row>
      </sheetData>
    </sheetDataSet>
  </externalBook>
</externalLink>
</file>

<file path=xl/externalLinks/externalLink2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21)"/>
    </sheetNames>
    <sheetDataSet>
      <sheetData sheetId="0">
        <row r="1">
          <cell r="A1" t="str">
            <v>Kategori: TÃ¼m kategoriler</v>
          </cell>
        </row>
        <row r="3">
          <cell r="A3" t="str">
            <v>Ãœlke</v>
          </cell>
          <cell r="B3" t="str">
            <v>Design thinking: (2016)</v>
          </cell>
          <cell r="C3" t="str">
            <v>Ã‡Ã¶p toplama: (2016)</v>
          </cell>
        </row>
        <row r="4">
          <cell r="A4" t="str">
            <v>China</v>
          </cell>
          <cell r="B4">
            <v>7.0000000000000007E-2</v>
          </cell>
          <cell r="C4">
            <v>0.93</v>
          </cell>
        </row>
        <row r="5">
          <cell r="A5" t="str">
            <v>Singapore</v>
          </cell>
          <cell r="B5">
            <v>0.72</v>
          </cell>
          <cell r="C5">
            <v>0.28000000000000003</v>
          </cell>
        </row>
        <row r="6">
          <cell r="A6" t="str">
            <v>Guyana</v>
          </cell>
        </row>
        <row r="7">
          <cell r="A7" t="str">
            <v>St. Helena</v>
          </cell>
        </row>
        <row r="8">
          <cell r="A8" t="str">
            <v>South Korea</v>
          </cell>
          <cell r="B8">
            <v>0.26</v>
          </cell>
          <cell r="C8">
            <v>0.74</v>
          </cell>
        </row>
        <row r="9">
          <cell r="A9" t="str">
            <v>Canada</v>
          </cell>
          <cell r="B9">
            <v>0.23</v>
          </cell>
          <cell r="C9">
            <v>0.77</v>
          </cell>
        </row>
        <row r="10">
          <cell r="A10" t="str">
            <v>Malta</v>
          </cell>
        </row>
        <row r="11">
          <cell r="A11" t="str">
            <v>Hong Kong</v>
          </cell>
          <cell r="B11">
            <v>0.37</v>
          </cell>
          <cell r="C11">
            <v>0.63</v>
          </cell>
        </row>
        <row r="12">
          <cell r="A12" t="str">
            <v>Peru</v>
          </cell>
          <cell r="B12">
            <v>0.79</v>
          </cell>
          <cell r="C12">
            <v>0.21</v>
          </cell>
        </row>
        <row r="13">
          <cell r="A13" t="str">
            <v>India</v>
          </cell>
          <cell r="B13">
            <v>0.27</v>
          </cell>
          <cell r="C13">
            <v>0.73</v>
          </cell>
        </row>
        <row r="14">
          <cell r="A14" t="str">
            <v>Mexico</v>
          </cell>
          <cell r="B14">
            <v>0.27</v>
          </cell>
          <cell r="C14">
            <v>0.73</v>
          </cell>
        </row>
        <row r="15">
          <cell r="A15" t="str">
            <v>Jamaica</v>
          </cell>
        </row>
        <row r="16">
          <cell r="A16" t="str">
            <v>Denmark</v>
          </cell>
          <cell r="B16">
            <v>0.76</v>
          </cell>
          <cell r="C16">
            <v>0.24</v>
          </cell>
        </row>
        <row r="17">
          <cell r="A17" t="str">
            <v>New Zealand</v>
          </cell>
          <cell r="B17">
            <v>0.66</v>
          </cell>
          <cell r="C17">
            <v>0.34</v>
          </cell>
        </row>
        <row r="18">
          <cell r="A18" t="str">
            <v>Panama</v>
          </cell>
        </row>
        <row r="19">
          <cell r="A19" t="str">
            <v>Ecuador</v>
          </cell>
          <cell r="B19">
            <v>0.19</v>
          </cell>
          <cell r="C19">
            <v>0.81</v>
          </cell>
        </row>
        <row r="20">
          <cell r="A20" t="str">
            <v>Germany</v>
          </cell>
          <cell r="B20">
            <v>0.74</v>
          </cell>
          <cell r="C20">
            <v>0.26</v>
          </cell>
        </row>
        <row r="21">
          <cell r="A21" t="str">
            <v>Costa Rica</v>
          </cell>
          <cell r="B21">
            <v>0.37</v>
          </cell>
          <cell r="C21">
            <v>0.63</v>
          </cell>
        </row>
        <row r="22">
          <cell r="A22" t="str">
            <v>Australia</v>
          </cell>
          <cell r="B22">
            <v>0.53</v>
          </cell>
          <cell r="C22">
            <v>0.47</v>
          </cell>
        </row>
        <row r="23">
          <cell r="A23" t="str">
            <v>Switzerland</v>
          </cell>
          <cell r="B23">
            <v>0.63</v>
          </cell>
          <cell r="C23">
            <v>0.37</v>
          </cell>
        </row>
        <row r="24">
          <cell r="A24" t="str">
            <v>Japan</v>
          </cell>
          <cell r="B24">
            <v>0.3</v>
          </cell>
          <cell r="C24">
            <v>0.7</v>
          </cell>
        </row>
        <row r="25">
          <cell r="A25" t="str">
            <v>Brazil</v>
          </cell>
          <cell r="B25">
            <v>0.88</v>
          </cell>
          <cell r="C25">
            <v>0.12</v>
          </cell>
        </row>
        <row r="26">
          <cell r="A26" t="str">
            <v>Taiwan</v>
          </cell>
          <cell r="B26">
            <v>0.52</v>
          </cell>
          <cell r="C26">
            <v>0.48</v>
          </cell>
        </row>
        <row r="27">
          <cell r="A27" t="str">
            <v>Paraguay</v>
          </cell>
        </row>
        <row r="28">
          <cell r="A28" t="str">
            <v>Chile</v>
          </cell>
          <cell r="B28">
            <v>0.48</v>
          </cell>
          <cell r="C28">
            <v>0.52</v>
          </cell>
        </row>
        <row r="29">
          <cell r="A29" t="str">
            <v>Ireland</v>
          </cell>
          <cell r="B29">
            <v>0.51</v>
          </cell>
          <cell r="C29">
            <v>0.49</v>
          </cell>
        </row>
        <row r="30">
          <cell r="A30" t="str">
            <v>United States</v>
          </cell>
          <cell r="B30">
            <v>0.35</v>
          </cell>
          <cell r="C30">
            <v>0.65</v>
          </cell>
        </row>
        <row r="31">
          <cell r="A31" t="str">
            <v>Colombia</v>
          </cell>
          <cell r="B31">
            <v>0.6</v>
          </cell>
          <cell r="C31">
            <v>0.4</v>
          </cell>
        </row>
        <row r="32">
          <cell r="A32" t="str">
            <v>Austria</v>
          </cell>
          <cell r="B32">
            <v>0.67</v>
          </cell>
          <cell r="C32">
            <v>0.33</v>
          </cell>
        </row>
        <row r="33">
          <cell r="A33" t="str">
            <v>Belarus</v>
          </cell>
        </row>
        <row r="34">
          <cell r="A34" t="str">
            <v>Laos</v>
          </cell>
        </row>
        <row r="35">
          <cell r="A35" t="str">
            <v>Uganda</v>
          </cell>
        </row>
        <row r="36">
          <cell r="A36" t="str">
            <v>Norway</v>
          </cell>
          <cell r="B36">
            <v>0.56999999999999995</v>
          </cell>
          <cell r="C36">
            <v>0.43</v>
          </cell>
        </row>
        <row r="37">
          <cell r="A37" t="str">
            <v>Israel</v>
          </cell>
          <cell r="B37">
            <v>0.15</v>
          </cell>
          <cell r="C37">
            <v>0.85</v>
          </cell>
        </row>
        <row r="38">
          <cell r="A38" t="str">
            <v>Netherlands</v>
          </cell>
          <cell r="B38">
            <v>0.68</v>
          </cell>
          <cell r="C38">
            <v>0.32</v>
          </cell>
        </row>
        <row r="39">
          <cell r="A39" t="str">
            <v>Argentina</v>
          </cell>
          <cell r="B39">
            <v>0.27</v>
          </cell>
          <cell r="C39">
            <v>0.73</v>
          </cell>
        </row>
        <row r="40">
          <cell r="A40" t="str">
            <v>El Salvador</v>
          </cell>
        </row>
        <row r="41">
          <cell r="A41" t="str">
            <v>Portugal</v>
          </cell>
          <cell r="B41">
            <v>0.72</v>
          </cell>
          <cell r="C41">
            <v>0.28000000000000003</v>
          </cell>
        </row>
        <row r="42">
          <cell r="A42" t="str">
            <v>Guatemala</v>
          </cell>
          <cell r="B42">
            <v>0.4</v>
          </cell>
          <cell r="C42">
            <v>0.6</v>
          </cell>
        </row>
        <row r="43">
          <cell r="A43" t="str">
            <v>Sri Lanka</v>
          </cell>
        </row>
        <row r="44">
          <cell r="A44" t="str">
            <v>Myanmar (Burma)</v>
          </cell>
        </row>
        <row r="45">
          <cell r="A45" t="str">
            <v>United Arab Emirates</v>
          </cell>
          <cell r="B45">
            <v>0.68</v>
          </cell>
          <cell r="C45">
            <v>0.32</v>
          </cell>
        </row>
        <row r="46">
          <cell r="A46" t="str">
            <v>Philippines</v>
          </cell>
          <cell r="B46">
            <v>0.28000000000000003</v>
          </cell>
          <cell r="C46">
            <v>0.72</v>
          </cell>
        </row>
        <row r="47">
          <cell r="A47" t="str">
            <v>Estonia</v>
          </cell>
        </row>
        <row r="48">
          <cell r="A48" t="str">
            <v>Finland</v>
          </cell>
          <cell r="B48">
            <v>0.59</v>
          </cell>
          <cell r="C48">
            <v>0.41</v>
          </cell>
        </row>
        <row r="49">
          <cell r="A49" t="str">
            <v>Hungary</v>
          </cell>
        </row>
        <row r="50">
          <cell r="A50" t="str">
            <v>Spain</v>
          </cell>
          <cell r="B50">
            <v>0.7</v>
          </cell>
          <cell r="C50">
            <v>0.3</v>
          </cell>
        </row>
        <row r="51">
          <cell r="A51" t="str">
            <v>Uruguay</v>
          </cell>
          <cell r="B51">
            <v>0.39</v>
          </cell>
          <cell r="C51">
            <v>0.61</v>
          </cell>
        </row>
        <row r="52">
          <cell r="A52" t="str">
            <v>Nepal</v>
          </cell>
        </row>
        <row r="53">
          <cell r="A53" t="str">
            <v>Kenya</v>
          </cell>
          <cell r="B53">
            <v>0.52</v>
          </cell>
          <cell r="C53">
            <v>0.48</v>
          </cell>
        </row>
        <row r="54">
          <cell r="A54" t="str">
            <v>South Africa</v>
          </cell>
          <cell r="B54">
            <v>0.7</v>
          </cell>
          <cell r="C54">
            <v>0.3</v>
          </cell>
        </row>
        <row r="55">
          <cell r="A55" t="str">
            <v>Lithuania</v>
          </cell>
        </row>
        <row r="56">
          <cell r="A56" t="str">
            <v>Honduras</v>
          </cell>
        </row>
        <row r="57">
          <cell r="A57" t="str">
            <v>Slovenia</v>
          </cell>
        </row>
        <row r="58">
          <cell r="A58" t="str">
            <v>United Kingdom</v>
          </cell>
          <cell r="B58">
            <v>0.38</v>
          </cell>
          <cell r="C58">
            <v>0.62</v>
          </cell>
        </row>
        <row r="59">
          <cell r="A59" t="str">
            <v>Malaysia</v>
          </cell>
          <cell r="B59">
            <v>0.61</v>
          </cell>
          <cell r="C59">
            <v>0.39</v>
          </cell>
        </row>
        <row r="60">
          <cell r="A60" t="str">
            <v>Czechia</v>
          </cell>
        </row>
        <row r="61">
          <cell r="A61" t="str">
            <v>France</v>
          </cell>
          <cell r="B61">
            <v>0.61</v>
          </cell>
          <cell r="C61">
            <v>0.39</v>
          </cell>
        </row>
        <row r="62">
          <cell r="A62" t="str">
            <v>Tunisia</v>
          </cell>
        </row>
        <row r="63">
          <cell r="A63" t="str">
            <v>Ghana</v>
          </cell>
        </row>
        <row r="64">
          <cell r="A64" t="str">
            <v>Sweden</v>
          </cell>
          <cell r="B64">
            <v>0.49</v>
          </cell>
          <cell r="C64">
            <v>0.51</v>
          </cell>
        </row>
        <row r="65">
          <cell r="A65" t="str">
            <v>Rwanda</v>
          </cell>
        </row>
        <row r="66">
          <cell r="A66" t="str">
            <v>Armenia</v>
          </cell>
        </row>
        <row r="67">
          <cell r="A67" t="str">
            <v>Namibia</v>
          </cell>
        </row>
        <row r="68">
          <cell r="A68" t="str">
            <v>Turkey</v>
          </cell>
          <cell r="B68">
            <v>0.18</v>
          </cell>
          <cell r="C68">
            <v>0.82</v>
          </cell>
        </row>
        <row r="69">
          <cell r="A69" t="str">
            <v>Croatia</v>
          </cell>
        </row>
        <row r="70">
          <cell r="A70" t="str">
            <v>Bulgaria</v>
          </cell>
          <cell r="B70">
            <v>0.33</v>
          </cell>
          <cell r="C70">
            <v>0.67</v>
          </cell>
        </row>
        <row r="71">
          <cell r="A71" t="str">
            <v>Russia</v>
          </cell>
          <cell r="B71">
            <v>0.22</v>
          </cell>
          <cell r="C71">
            <v>0.78</v>
          </cell>
        </row>
        <row r="72">
          <cell r="A72" t="str">
            <v>Cyprus</v>
          </cell>
        </row>
        <row r="73">
          <cell r="A73" t="str">
            <v>Pakistan</v>
          </cell>
          <cell r="B73">
            <v>0.27</v>
          </cell>
          <cell r="C73">
            <v>0.73</v>
          </cell>
        </row>
        <row r="74">
          <cell r="A74" t="str">
            <v>Belgium</v>
          </cell>
          <cell r="B74">
            <v>0.46</v>
          </cell>
          <cell r="C74">
            <v>0.54</v>
          </cell>
        </row>
        <row r="75">
          <cell r="A75" t="str">
            <v>Ukraine</v>
          </cell>
          <cell r="B75">
            <v>0.21</v>
          </cell>
          <cell r="C75">
            <v>0.79</v>
          </cell>
        </row>
        <row r="76">
          <cell r="A76" t="str">
            <v>Poland</v>
          </cell>
          <cell r="B76">
            <v>0.52</v>
          </cell>
          <cell r="C76">
            <v>0.48</v>
          </cell>
        </row>
        <row r="77">
          <cell r="A77" t="str">
            <v>Romania</v>
          </cell>
          <cell r="B77">
            <v>0.28000000000000003</v>
          </cell>
          <cell r="C77">
            <v>0.72</v>
          </cell>
        </row>
        <row r="78">
          <cell r="A78" t="str">
            <v>Vietnam</v>
          </cell>
          <cell r="B78">
            <v>0.11</v>
          </cell>
          <cell r="C78">
            <v>0.89</v>
          </cell>
        </row>
        <row r="79">
          <cell r="A79" t="str">
            <v>Lebanon</v>
          </cell>
        </row>
        <row r="80">
          <cell r="A80" t="str">
            <v>Slovakia</v>
          </cell>
        </row>
        <row r="81">
          <cell r="A81" t="str">
            <v>Venezuela</v>
          </cell>
        </row>
        <row r="82">
          <cell r="A82" t="str">
            <v>Serbia</v>
          </cell>
        </row>
        <row r="83">
          <cell r="A83" t="str">
            <v>Nigeria</v>
          </cell>
        </row>
        <row r="84">
          <cell r="A84" t="str">
            <v>Bolivia</v>
          </cell>
        </row>
        <row r="85">
          <cell r="A85" t="str">
            <v>Greece</v>
          </cell>
        </row>
        <row r="86">
          <cell r="A86" t="str">
            <v>Latvia</v>
          </cell>
        </row>
        <row r="87">
          <cell r="A87" t="str">
            <v>Bangladesh</v>
          </cell>
        </row>
        <row r="88">
          <cell r="A88" t="str">
            <v>Puerto Rico</v>
          </cell>
        </row>
        <row r="89">
          <cell r="A89" t="str">
            <v>Egypt</v>
          </cell>
          <cell r="B89">
            <v>0.36</v>
          </cell>
          <cell r="C89">
            <v>0.64</v>
          </cell>
        </row>
        <row r="90">
          <cell r="A90" t="str">
            <v>Dominican Republic</v>
          </cell>
        </row>
        <row r="91">
          <cell r="A91" t="str">
            <v>Kazakhstan</v>
          </cell>
        </row>
        <row r="92">
          <cell r="A92" t="str">
            <v>Italy</v>
          </cell>
          <cell r="B92">
            <v>0.51</v>
          </cell>
          <cell r="C92">
            <v>0.49</v>
          </cell>
        </row>
        <row r="93">
          <cell r="A93" t="str">
            <v>Iran</v>
          </cell>
          <cell r="B93">
            <v>0.35</v>
          </cell>
          <cell r="C93">
            <v>0.65</v>
          </cell>
        </row>
        <row r="94">
          <cell r="A94" t="str">
            <v>Jordan</v>
          </cell>
        </row>
        <row r="95">
          <cell r="A95" t="str">
            <v>Kuwait</v>
          </cell>
        </row>
        <row r="96">
          <cell r="A96" t="str">
            <v>Thailand</v>
          </cell>
          <cell r="B96">
            <v>0.61</v>
          </cell>
          <cell r="C96">
            <v>0.39</v>
          </cell>
        </row>
        <row r="97">
          <cell r="A97" t="str">
            <v>Morocco</v>
          </cell>
        </row>
        <row r="98">
          <cell r="A98" t="str">
            <v>Indonesia</v>
          </cell>
          <cell r="B98">
            <v>0.57999999999999996</v>
          </cell>
          <cell r="C98">
            <v>0.42</v>
          </cell>
        </row>
        <row r="99">
          <cell r="A99" t="str">
            <v>Saudi Arabia</v>
          </cell>
        </row>
        <row r="100">
          <cell r="A100" t="str">
            <v>Liechtenstein</v>
          </cell>
        </row>
        <row r="101">
          <cell r="A101" t="str">
            <v>St. Kitts &amp; Nevis</v>
          </cell>
        </row>
        <row r="102">
          <cell r="A102" t="str">
            <v>Seychelles</v>
          </cell>
        </row>
        <row r="103">
          <cell r="A103" t="str">
            <v>Faroe Islands</v>
          </cell>
        </row>
        <row r="104">
          <cell r="A104" t="str">
            <v>Gibraltar</v>
          </cell>
        </row>
        <row r="105">
          <cell r="A105" t="str">
            <v>Bhutan</v>
          </cell>
        </row>
        <row r="106">
          <cell r="A106" t="str">
            <v>Botswana</v>
          </cell>
        </row>
        <row r="107">
          <cell r="A107" t="str">
            <v>Gambia</v>
          </cell>
        </row>
        <row r="108">
          <cell r="A108" t="str">
            <v>St. Lucia</v>
          </cell>
        </row>
        <row r="109">
          <cell r="A109" t="str">
            <v>Cayman Islands</v>
          </cell>
        </row>
        <row r="110">
          <cell r="A110" t="str">
            <v>Iceland</v>
          </cell>
        </row>
        <row r="111">
          <cell r="A111" t="str">
            <v>Mongolia</v>
          </cell>
        </row>
        <row r="112">
          <cell r="A112" t="str">
            <v>Malawi</v>
          </cell>
        </row>
        <row r="113">
          <cell r="A113" t="str">
            <v>Cape Verde</v>
          </cell>
        </row>
        <row r="114">
          <cell r="A114" t="str">
            <v>French Guiana</v>
          </cell>
        </row>
        <row r="115">
          <cell r="A115" t="str">
            <v>Cuba</v>
          </cell>
        </row>
        <row r="116">
          <cell r="A116" t="str">
            <v>Papua New Guinea</v>
          </cell>
        </row>
        <row r="117">
          <cell r="A117" t="str">
            <v>Guam</v>
          </cell>
        </row>
        <row r="118">
          <cell r="A118" t="str">
            <v>Gabon</v>
          </cell>
        </row>
        <row r="119">
          <cell r="A119" t="str">
            <v>Congo - Brazzaville</v>
          </cell>
        </row>
        <row r="120">
          <cell r="A120" t="str">
            <v>Luxembourg</v>
          </cell>
        </row>
        <row r="121">
          <cell r="A121" t="str">
            <v>Suriname</v>
          </cell>
        </row>
        <row r="122">
          <cell r="A122" t="str">
            <v>Macao</v>
          </cell>
        </row>
        <row r="123">
          <cell r="A123" t="str">
            <v>Senegal</v>
          </cell>
        </row>
        <row r="124">
          <cell r="A124" t="str">
            <v>Trinidad &amp; Tobago</v>
          </cell>
        </row>
        <row r="125">
          <cell r="A125" t="str">
            <v>Angola</v>
          </cell>
        </row>
        <row r="126">
          <cell r="A126" t="str">
            <v>Afghanistan</v>
          </cell>
        </row>
        <row r="127">
          <cell r="A127" t="str">
            <v>Qatar</v>
          </cell>
        </row>
        <row r="128">
          <cell r="A128" t="str">
            <v>North Macedonia</v>
          </cell>
        </row>
        <row r="129">
          <cell r="A129" t="str">
            <v>Ethiopia</v>
          </cell>
        </row>
        <row r="130">
          <cell r="A130" t="str">
            <v>Cambodia</v>
          </cell>
        </row>
        <row r="131">
          <cell r="A131" t="str">
            <v>Nicaragua</v>
          </cell>
        </row>
        <row r="132">
          <cell r="A132" t="str">
            <v>Zambia</v>
          </cell>
        </row>
        <row r="133">
          <cell r="A133" t="str">
            <v>CÃ´te dâ€™Ivoire</v>
          </cell>
        </row>
        <row r="134">
          <cell r="A134" t="str">
            <v>Zimbabwe</v>
          </cell>
        </row>
        <row r="135">
          <cell r="A135" t="str">
            <v>Cameroon</v>
          </cell>
        </row>
        <row r="136">
          <cell r="A136" t="str">
            <v>Mauritius</v>
          </cell>
        </row>
        <row r="137">
          <cell r="A137" t="str">
            <v>RÃ©union</v>
          </cell>
        </row>
        <row r="138">
          <cell r="A138" t="str">
            <v>Bahrain</v>
          </cell>
        </row>
        <row r="139">
          <cell r="A139" t="str">
            <v>Kyrgyzstan</v>
          </cell>
        </row>
        <row r="140">
          <cell r="A140" t="str">
            <v>Tanzania</v>
          </cell>
        </row>
        <row r="141">
          <cell r="A141" t="str">
            <v>Uzbekistan</v>
          </cell>
        </row>
        <row r="142">
          <cell r="A142" t="str">
            <v>Oman</v>
          </cell>
        </row>
        <row r="143">
          <cell r="A143" t="str">
            <v>Sudan</v>
          </cell>
        </row>
        <row r="144">
          <cell r="A144" t="str">
            <v>Syria</v>
          </cell>
        </row>
        <row r="145">
          <cell r="A145" t="str">
            <v>Georgia</v>
          </cell>
        </row>
        <row r="146">
          <cell r="A146" t="str">
            <v>Azerbaijan</v>
          </cell>
        </row>
        <row r="147">
          <cell r="A147" t="str">
            <v>Algeria</v>
          </cell>
        </row>
        <row r="148">
          <cell r="A148" t="str">
            <v>Iraq</v>
          </cell>
        </row>
        <row r="149">
          <cell r="A149" t="str">
            <v>Aruba</v>
          </cell>
        </row>
        <row r="150">
          <cell r="A150" t="str">
            <v>Anguilla</v>
          </cell>
        </row>
        <row r="151">
          <cell r="A151" t="str">
            <v>Ã…land Islands</v>
          </cell>
        </row>
        <row r="152">
          <cell r="A152" t="str">
            <v>Albania</v>
          </cell>
        </row>
        <row r="153">
          <cell r="A153" t="str">
            <v>Andorra</v>
          </cell>
        </row>
        <row r="154">
          <cell r="A154" t="str">
            <v>American Samoa</v>
          </cell>
        </row>
        <row r="155">
          <cell r="A155" t="str">
            <v>Antarctica</v>
          </cell>
        </row>
        <row r="156">
          <cell r="A156" t="str">
            <v>French Southern Territories</v>
          </cell>
        </row>
        <row r="157">
          <cell r="A157" t="str">
            <v>Antigua &amp; Barbuda</v>
          </cell>
        </row>
        <row r="158">
          <cell r="A158" t="str">
            <v>Burundi</v>
          </cell>
        </row>
        <row r="159">
          <cell r="A159" t="str">
            <v>Benin</v>
          </cell>
        </row>
        <row r="160">
          <cell r="A160" t="str">
            <v>Caribbean Netherlands</v>
          </cell>
        </row>
        <row r="161">
          <cell r="A161" t="str">
            <v>Burkina Faso</v>
          </cell>
        </row>
        <row r="162">
          <cell r="A162" t="str">
            <v>Bahamas</v>
          </cell>
        </row>
        <row r="163">
          <cell r="A163" t="str">
            <v>Bosnia &amp; Herzegovina</v>
          </cell>
        </row>
        <row r="164">
          <cell r="A164" t="str">
            <v>St. BarthÃ©lemy</v>
          </cell>
        </row>
        <row r="165">
          <cell r="A165" t="str">
            <v>Belize</v>
          </cell>
        </row>
        <row r="166">
          <cell r="A166" t="str">
            <v>Bermuda</v>
          </cell>
        </row>
        <row r="167">
          <cell r="A167" t="str">
            <v>Barbados</v>
          </cell>
        </row>
        <row r="168">
          <cell r="A168" t="str">
            <v>Brunei</v>
          </cell>
        </row>
        <row r="169">
          <cell r="A169" t="str">
            <v>Bouvet Island</v>
          </cell>
        </row>
        <row r="170">
          <cell r="A170" t="str">
            <v>Central African Republic</v>
          </cell>
        </row>
        <row r="171">
          <cell r="A171" t="str">
            <v>Cocos (Keeling) Islands</v>
          </cell>
        </row>
        <row r="172">
          <cell r="A172" t="str">
            <v>Congo - Kinshasa</v>
          </cell>
        </row>
        <row r="173">
          <cell r="A173" t="str">
            <v>Cook Islands</v>
          </cell>
        </row>
        <row r="174">
          <cell r="A174" t="str">
            <v>Comoros</v>
          </cell>
        </row>
        <row r="175">
          <cell r="A175" t="str">
            <v>CuraÃ§ao</v>
          </cell>
        </row>
        <row r="176">
          <cell r="A176" t="str">
            <v>Christmas Island</v>
          </cell>
        </row>
        <row r="177">
          <cell r="A177" t="str">
            <v>Djibouti</v>
          </cell>
        </row>
        <row r="178">
          <cell r="A178" t="str">
            <v>Dominica</v>
          </cell>
        </row>
        <row r="179">
          <cell r="A179" t="str">
            <v>Eritrea</v>
          </cell>
        </row>
        <row r="180">
          <cell r="A180" t="str">
            <v>Western Sahara</v>
          </cell>
        </row>
        <row r="181">
          <cell r="A181" t="str">
            <v>Fiji</v>
          </cell>
        </row>
        <row r="182">
          <cell r="A182" t="str">
            <v>Falkland Islands (Islas Malvinas)</v>
          </cell>
        </row>
        <row r="183">
          <cell r="A183" t="str">
            <v>Micronesia</v>
          </cell>
        </row>
        <row r="184">
          <cell r="A184" t="str">
            <v>Guernsey</v>
          </cell>
        </row>
        <row r="185">
          <cell r="A185" t="str">
            <v>Guinea</v>
          </cell>
        </row>
        <row r="186">
          <cell r="A186" t="str">
            <v>Guadeloupe</v>
          </cell>
        </row>
        <row r="187">
          <cell r="A187" t="str">
            <v>Guinea-Bissau</v>
          </cell>
        </row>
        <row r="188">
          <cell r="A188" t="str">
            <v>Equatorial Guinea</v>
          </cell>
        </row>
        <row r="189">
          <cell r="A189" t="str">
            <v>Grenada</v>
          </cell>
        </row>
        <row r="190">
          <cell r="A190" t="str">
            <v>Greenland</v>
          </cell>
        </row>
        <row r="191">
          <cell r="A191" t="str">
            <v>Heard &amp; McDonald Islands</v>
          </cell>
        </row>
        <row r="192">
          <cell r="A192" t="str">
            <v>Haiti</v>
          </cell>
        </row>
        <row r="193">
          <cell r="A193" t="str">
            <v>Isle of Man</v>
          </cell>
        </row>
        <row r="194">
          <cell r="A194" t="str">
            <v>British Indian Ocean Territory</v>
          </cell>
        </row>
        <row r="195">
          <cell r="A195" t="str">
            <v>Jersey</v>
          </cell>
        </row>
        <row r="196">
          <cell r="A196" t="str">
            <v>Kiribati</v>
          </cell>
        </row>
        <row r="197">
          <cell r="A197" t="str">
            <v>Liberia</v>
          </cell>
        </row>
        <row r="198">
          <cell r="A198" t="str">
            <v>Libya</v>
          </cell>
        </row>
        <row r="199">
          <cell r="A199" t="str">
            <v>Lesotho</v>
          </cell>
        </row>
        <row r="200">
          <cell r="A200" t="str">
            <v>St. Martin</v>
          </cell>
        </row>
        <row r="201">
          <cell r="A201" t="str">
            <v>Monaco</v>
          </cell>
        </row>
        <row r="202">
          <cell r="A202" t="str">
            <v>Moldova</v>
          </cell>
        </row>
        <row r="203">
          <cell r="A203" t="str">
            <v>Madagascar</v>
          </cell>
        </row>
        <row r="204">
          <cell r="A204" t="str">
            <v>Maldives</v>
          </cell>
        </row>
        <row r="205">
          <cell r="A205" t="str">
            <v>Marshall Islands</v>
          </cell>
        </row>
        <row r="206">
          <cell r="A206" t="str">
            <v>Mali</v>
          </cell>
        </row>
        <row r="207">
          <cell r="A207" t="str">
            <v>Montenegro</v>
          </cell>
        </row>
        <row r="208">
          <cell r="A208" t="str">
            <v>Northern Mariana Islands</v>
          </cell>
        </row>
        <row r="209">
          <cell r="A209" t="str">
            <v>Mozambique</v>
          </cell>
        </row>
        <row r="210">
          <cell r="A210" t="str">
            <v>Mauritania</v>
          </cell>
        </row>
        <row r="211">
          <cell r="A211" t="str">
            <v>Montserrat</v>
          </cell>
        </row>
        <row r="212">
          <cell r="A212" t="str">
            <v>Martinique</v>
          </cell>
        </row>
        <row r="213">
          <cell r="A213" t="str">
            <v>Mayotte</v>
          </cell>
        </row>
        <row r="214">
          <cell r="A214" t="str">
            <v>New Caledonia</v>
          </cell>
        </row>
        <row r="215">
          <cell r="A215" t="str">
            <v>Niger</v>
          </cell>
        </row>
        <row r="216">
          <cell r="A216" t="str">
            <v>Norfolk Island</v>
          </cell>
        </row>
        <row r="217">
          <cell r="A217" t="str">
            <v>Niue</v>
          </cell>
        </row>
        <row r="218">
          <cell r="A218" t="str">
            <v>Nauru</v>
          </cell>
        </row>
        <row r="219">
          <cell r="A219" t="str">
            <v>Pitcairn Islands</v>
          </cell>
        </row>
        <row r="220">
          <cell r="A220" t="str">
            <v>Palau</v>
          </cell>
        </row>
        <row r="221">
          <cell r="A221" t="str">
            <v>North Korea</v>
          </cell>
        </row>
        <row r="222">
          <cell r="A222" t="str">
            <v>Palestine</v>
          </cell>
        </row>
        <row r="223">
          <cell r="A223" t="str">
            <v>French Polynesia</v>
          </cell>
        </row>
        <row r="224">
          <cell r="A224" t="str">
            <v>South Georgia &amp; South Sandwich Islands</v>
          </cell>
        </row>
        <row r="225">
          <cell r="A225" t="str">
            <v>Svalbard &amp; Jan Mayen</v>
          </cell>
        </row>
        <row r="226">
          <cell r="A226" t="str">
            <v>Solomon Islands</v>
          </cell>
        </row>
        <row r="227">
          <cell r="A227" t="str">
            <v>Sierra Leone</v>
          </cell>
        </row>
        <row r="228">
          <cell r="A228" t="str">
            <v>San Marino</v>
          </cell>
        </row>
        <row r="229">
          <cell r="A229" t="str">
            <v>Somalia</v>
          </cell>
        </row>
        <row r="230">
          <cell r="A230" t="str">
            <v>St. Pierre &amp; Miquelon</v>
          </cell>
        </row>
        <row r="231">
          <cell r="A231" t="str">
            <v>South Sudan</v>
          </cell>
        </row>
        <row r="232">
          <cell r="A232" t="str">
            <v>SÃ£o TomÃ© &amp; PrÃ­ncipe</v>
          </cell>
        </row>
        <row r="233">
          <cell r="A233" t="str">
            <v>Eswatini</v>
          </cell>
        </row>
        <row r="234">
          <cell r="A234" t="str">
            <v>Sint Maarten</v>
          </cell>
        </row>
        <row r="235">
          <cell r="A235" t="str">
            <v>Turks &amp; Caicos Islands</v>
          </cell>
        </row>
        <row r="236">
          <cell r="A236" t="str">
            <v>Chad</v>
          </cell>
        </row>
        <row r="237">
          <cell r="A237" t="str">
            <v>Togo</v>
          </cell>
        </row>
        <row r="238">
          <cell r="A238" t="str">
            <v>Tajikistan</v>
          </cell>
        </row>
        <row r="239">
          <cell r="A239" t="str">
            <v>Tokelau</v>
          </cell>
        </row>
        <row r="240">
          <cell r="A240" t="str">
            <v>Turkmenistan</v>
          </cell>
        </row>
        <row r="241">
          <cell r="A241" t="str">
            <v>Timor-Leste</v>
          </cell>
        </row>
        <row r="242">
          <cell r="A242" t="str">
            <v>Tonga</v>
          </cell>
        </row>
        <row r="243">
          <cell r="A243" t="str">
            <v>Tuvalu</v>
          </cell>
        </row>
        <row r="244">
          <cell r="A244" t="str">
            <v>U.S. Outlying Islands</v>
          </cell>
        </row>
        <row r="245">
          <cell r="A245" t="str">
            <v>Vatican City</v>
          </cell>
        </row>
        <row r="246">
          <cell r="A246" t="str">
            <v>St. Vincent &amp; Grenadines</v>
          </cell>
        </row>
        <row r="247">
          <cell r="A247" t="str">
            <v>British Virgin Islands</v>
          </cell>
        </row>
        <row r="248">
          <cell r="A248" t="str">
            <v>U.S. Virgin Islands</v>
          </cell>
        </row>
        <row r="249">
          <cell r="A249" t="str">
            <v>Vanuatu</v>
          </cell>
        </row>
        <row r="250">
          <cell r="A250" t="str">
            <v>Wallis &amp; Futuna</v>
          </cell>
        </row>
        <row r="251">
          <cell r="A251" t="str">
            <v>Samoa</v>
          </cell>
        </row>
        <row r="252">
          <cell r="A252" t="str">
            <v>Kosovo</v>
          </cell>
        </row>
        <row r="253">
          <cell r="A253" t="str">
            <v>Yemen</v>
          </cell>
        </row>
      </sheetData>
    </sheetDataSet>
  </externalBook>
</externalLink>
</file>

<file path=xl/externalLinks/externalLink2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22)"/>
    </sheetNames>
    <sheetDataSet>
      <sheetData sheetId="0">
        <row r="1">
          <cell r="A1" t="str">
            <v>Kategori: TÃ¼m kategoriler</v>
          </cell>
        </row>
        <row r="3">
          <cell r="A3" t="str">
            <v>Ãœlke</v>
          </cell>
          <cell r="B3" t="str">
            <v>Ã‡Ã¶p toplama: (2016)</v>
          </cell>
          <cell r="C3" t="str">
            <v>Null pointer: (2016)</v>
          </cell>
        </row>
        <row r="4">
          <cell r="A4" t="str">
            <v>China</v>
          </cell>
          <cell r="B4">
            <v>0.56999999999999995</v>
          </cell>
          <cell r="C4">
            <v>0.43</v>
          </cell>
        </row>
        <row r="5">
          <cell r="A5" t="str">
            <v>Guyana</v>
          </cell>
        </row>
        <row r="6">
          <cell r="A6" t="str">
            <v>Singapore</v>
          </cell>
          <cell r="B6">
            <v>0.34</v>
          </cell>
          <cell r="C6">
            <v>0.66</v>
          </cell>
        </row>
        <row r="7">
          <cell r="A7" t="str">
            <v>South Korea</v>
          </cell>
          <cell r="B7">
            <v>0.67</v>
          </cell>
          <cell r="C7">
            <v>0.33</v>
          </cell>
        </row>
        <row r="8">
          <cell r="A8" t="str">
            <v>St. Helena</v>
          </cell>
        </row>
        <row r="9">
          <cell r="A9" t="str">
            <v>India</v>
          </cell>
          <cell r="B9">
            <v>0.38</v>
          </cell>
          <cell r="C9">
            <v>0.62</v>
          </cell>
        </row>
        <row r="10">
          <cell r="A10" t="str">
            <v>Malta</v>
          </cell>
        </row>
        <row r="11">
          <cell r="A11" t="str">
            <v>Canada</v>
          </cell>
          <cell r="B11">
            <v>0.63</v>
          </cell>
          <cell r="C11">
            <v>0.37</v>
          </cell>
        </row>
        <row r="12">
          <cell r="A12" t="str">
            <v>Ireland</v>
          </cell>
          <cell r="B12">
            <v>0.26</v>
          </cell>
          <cell r="C12">
            <v>0.74</v>
          </cell>
        </row>
        <row r="13">
          <cell r="A13" t="str">
            <v>Nepal</v>
          </cell>
        </row>
        <row r="14">
          <cell r="A14" t="str">
            <v>Sri Lanka</v>
          </cell>
          <cell r="B14">
            <v>0.32</v>
          </cell>
          <cell r="C14">
            <v>0.68</v>
          </cell>
        </row>
        <row r="15">
          <cell r="A15" t="str">
            <v>Hong Kong</v>
          </cell>
          <cell r="B15">
            <v>0.5</v>
          </cell>
          <cell r="C15">
            <v>0.5</v>
          </cell>
        </row>
        <row r="16">
          <cell r="A16" t="str">
            <v>Ecuador</v>
          </cell>
          <cell r="B16">
            <v>1</v>
          </cell>
        </row>
        <row r="17">
          <cell r="A17" t="str">
            <v>Mexico</v>
          </cell>
          <cell r="B17">
            <v>0.86</v>
          </cell>
          <cell r="C17">
            <v>0.14000000000000001</v>
          </cell>
        </row>
        <row r="18">
          <cell r="A18" t="str">
            <v>Israel</v>
          </cell>
          <cell r="B18">
            <v>0.39</v>
          </cell>
          <cell r="C18">
            <v>0.61</v>
          </cell>
        </row>
        <row r="19">
          <cell r="A19" t="str">
            <v>Jamaica</v>
          </cell>
        </row>
        <row r="20">
          <cell r="A20" t="str">
            <v>Philippines</v>
          </cell>
          <cell r="B20">
            <v>0.37</v>
          </cell>
          <cell r="C20">
            <v>0.63</v>
          </cell>
        </row>
        <row r="21">
          <cell r="A21" t="str">
            <v>United States</v>
          </cell>
          <cell r="B21">
            <v>0.44</v>
          </cell>
          <cell r="C21">
            <v>0.56000000000000005</v>
          </cell>
        </row>
        <row r="22">
          <cell r="A22" t="str">
            <v>Estonia</v>
          </cell>
        </row>
        <row r="23">
          <cell r="A23" t="str">
            <v>New Zealand</v>
          </cell>
          <cell r="B23">
            <v>0.32</v>
          </cell>
          <cell r="C23">
            <v>0.68</v>
          </cell>
        </row>
        <row r="24">
          <cell r="A24" t="str">
            <v>Japan</v>
          </cell>
          <cell r="B24">
            <v>0.8</v>
          </cell>
          <cell r="C24">
            <v>0.2</v>
          </cell>
        </row>
        <row r="25">
          <cell r="A25" t="str">
            <v>North Macedonia</v>
          </cell>
        </row>
        <row r="26">
          <cell r="A26" t="str">
            <v>Australia</v>
          </cell>
          <cell r="B26">
            <v>0.54</v>
          </cell>
          <cell r="C26">
            <v>0.46</v>
          </cell>
        </row>
        <row r="27">
          <cell r="A27" t="str">
            <v>Panama</v>
          </cell>
          <cell r="B27">
            <v>1</v>
          </cell>
        </row>
        <row r="28">
          <cell r="A28" t="str">
            <v>Costa Rica</v>
          </cell>
        </row>
        <row r="29">
          <cell r="A29" t="str">
            <v>Chile</v>
          </cell>
          <cell r="B29">
            <v>0.8</v>
          </cell>
          <cell r="C29">
            <v>0.2</v>
          </cell>
        </row>
        <row r="30">
          <cell r="A30" t="str">
            <v>Finland</v>
          </cell>
          <cell r="B30">
            <v>0.34</v>
          </cell>
          <cell r="C30">
            <v>0.66</v>
          </cell>
        </row>
        <row r="31">
          <cell r="A31" t="str">
            <v>Belarus</v>
          </cell>
          <cell r="B31">
            <v>0.65</v>
          </cell>
          <cell r="C31">
            <v>0.35</v>
          </cell>
        </row>
        <row r="32">
          <cell r="A32" t="str">
            <v>United Kingdom</v>
          </cell>
          <cell r="B32">
            <v>0.37</v>
          </cell>
          <cell r="C32">
            <v>0.63</v>
          </cell>
        </row>
        <row r="33">
          <cell r="A33" t="str">
            <v>Taiwan</v>
          </cell>
          <cell r="B33">
            <v>0.72</v>
          </cell>
          <cell r="C33">
            <v>0.28000000000000003</v>
          </cell>
        </row>
        <row r="34">
          <cell r="A34" t="str">
            <v>Pakistan</v>
          </cell>
          <cell r="B34">
            <v>0.27</v>
          </cell>
          <cell r="C34">
            <v>0.73</v>
          </cell>
        </row>
        <row r="35">
          <cell r="A35" t="str">
            <v>Argentina</v>
          </cell>
          <cell r="B35">
            <v>0.75</v>
          </cell>
          <cell r="C35">
            <v>0.25</v>
          </cell>
        </row>
        <row r="36">
          <cell r="A36" t="str">
            <v>Guatemala</v>
          </cell>
          <cell r="B36">
            <v>1</v>
          </cell>
        </row>
        <row r="37">
          <cell r="A37" t="str">
            <v>Lebanon</v>
          </cell>
        </row>
        <row r="38">
          <cell r="A38" t="str">
            <v>Myanmar (Burma)</v>
          </cell>
        </row>
        <row r="39">
          <cell r="A39" t="str">
            <v>Paraguay</v>
          </cell>
        </row>
        <row r="40">
          <cell r="A40" t="str">
            <v>Sweden</v>
          </cell>
          <cell r="B40">
            <v>0.39</v>
          </cell>
          <cell r="C40">
            <v>0.61</v>
          </cell>
        </row>
        <row r="41">
          <cell r="A41" t="str">
            <v>Romania</v>
          </cell>
          <cell r="B41">
            <v>0.32</v>
          </cell>
          <cell r="C41">
            <v>0.68</v>
          </cell>
        </row>
        <row r="42">
          <cell r="A42" t="str">
            <v>Hungary</v>
          </cell>
          <cell r="B42">
            <v>0.62</v>
          </cell>
          <cell r="C42">
            <v>0.38</v>
          </cell>
        </row>
        <row r="43">
          <cell r="A43" t="str">
            <v>Switzerland</v>
          </cell>
          <cell r="B43">
            <v>0.46</v>
          </cell>
          <cell r="C43">
            <v>0.54</v>
          </cell>
        </row>
        <row r="44">
          <cell r="A44" t="str">
            <v>Norway</v>
          </cell>
          <cell r="B44">
            <v>0.57999999999999996</v>
          </cell>
          <cell r="C44">
            <v>0.42</v>
          </cell>
        </row>
        <row r="45">
          <cell r="A45" t="str">
            <v>Lithuania</v>
          </cell>
        </row>
        <row r="46">
          <cell r="A46" t="str">
            <v>Czechia</v>
          </cell>
          <cell r="B46">
            <v>0.47</v>
          </cell>
          <cell r="C46">
            <v>0.53</v>
          </cell>
        </row>
        <row r="47">
          <cell r="A47" t="str">
            <v>Slovenia</v>
          </cell>
        </row>
        <row r="48">
          <cell r="A48" t="str">
            <v>Austria</v>
          </cell>
          <cell r="B48">
            <v>0.42</v>
          </cell>
          <cell r="C48">
            <v>0.57999999999999996</v>
          </cell>
        </row>
        <row r="49">
          <cell r="A49" t="str">
            <v>South Africa</v>
          </cell>
          <cell r="B49">
            <v>0.28999999999999998</v>
          </cell>
          <cell r="C49">
            <v>0.71</v>
          </cell>
        </row>
        <row r="50">
          <cell r="A50" t="str">
            <v>Serbia</v>
          </cell>
          <cell r="B50">
            <v>0.33</v>
          </cell>
          <cell r="C50">
            <v>0.67</v>
          </cell>
        </row>
        <row r="51">
          <cell r="A51" t="str">
            <v>Latvia</v>
          </cell>
        </row>
        <row r="52">
          <cell r="A52" t="str">
            <v>Uganda</v>
          </cell>
        </row>
        <row r="53">
          <cell r="A53" t="str">
            <v>Bangladesh</v>
          </cell>
        </row>
        <row r="54">
          <cell r="A54" t="str">
            <v>Germany</v>
          </cell>
          <cell r="B54">
            <v>0.44</v>
          </cell>
          <cell r="C54">
            <v>0.56000000000000005</v>
          </cell>
        </row>
        <row r="55">
          <cell r="A55" t="str">
            <v>Malaysia</v>
          </cell>
          <cell r="B55">
            <v>0.4</v>
          </cell>
          <cell r="C55">
            <v>0.6</v>
          </cell>
        </row>
        <row r="56">
          <cell r="A56" t="str">
            <v>Colombia</v>
          </cell>
          <cell r="B56">
            <v>0.76</v>
          </cell>
          <cell r="C56">
            <v>0.24</v>
          </cell>
        </row>
        <row r="57">
          <cell r="A57" t="str">
            <v>Netherlands</v>
          </cell>
          <cell r="B57">
            <v>0.44</v>
          </cell>
          <cell r="C57">
            <v>0.56000000000000005</v>
          </cell>
        </row>
        <row r="58">
          <cell r="A58" t="str">
            <v>Kenya</v>
          </cell>
        </row>
        <row r="59">
          <cell r="A59" t="str">
            <v>United Arab Emirates</v>
          </cell>
          <cell r="B59">
            <v>0.37</v>
          </cell>
          <cell r="C59">
            <v>0.63</v>
          </cell>
        </row>
        <row r="60">
          <cell r="A60" t="str">
            <v>Bulgaria</v>
          </cell>
          <cell r="B60">
            <v>0.45</v>
          </cell>
          <cell r="C60">
            <v>0.55000000000000004</v>
          </cell>
        </row>
        <row r="61">
          <cell r="A61" t="str">
            <v>El Salvador</v>
          </cell>
        </row>
        <row r="62">
          <cell r="A62" t="str">
            <v>Croatia</v>
          </cell>
        </row>
        <row r="63">
          <cell r="A63" t="str">
            <v>Uruguay</v>
          </cell>
        </row>
        <row r="64">
          <cell r="A64" t="str">
            <v>Portugal</v>
          </cell>
          <cell r="B64">
            <v>0.41</v>
          </cell>
          <cell r="C64">
            <v>0.59</v>
          </cell>
        </row>
        <row r="65">
          <cell r="A65" t="str">
            <v>Bosnia &amp; Herzegovina</v>
          </cell>
        </row>
        <row r="66">
          <cell r="A66" t="str">
            <v>Tunisia</v>
          </cell>
        </row>
        <row r="67">
          <cell r="A67" t="str">
            <v>Vietnam</v>
          </cell>
          <cell r="B67">
            <v>0.45</v>
          </cell>
          <cell r="C67">
            <v>0.55000000000000004</v>
          </cell>
        </row>
        <row r="68">
          <cell r="A68" t="str">
            <v>Ukraine</v>
          </cell>
          <cell r="B68">
            <v>0.61</v>
          </cell>
          <cell r="C68">
            <v>0.39</v>
          </cell>
        </row>
        <row r="69">
          <cell r="A69" t="str">
            <v>Belgium</v>
          </cell>
          <cell r="B69">
            <v>0.5</v>
          </cell>
          <cell r="C69">
            <v>0.5</v>
          </cell>
        </row>
        <row r="70">
          <cell r="A70" t="str">
            <v>Turkey</v>
          </cell>
          <cell r="B70">
            <v>0.74</v>
          </cell>
          <cell r="C70">
            <v>0.26</v>
          </cell>
        </row>
        <row r="71">
          <cell r="A71" t="str">
            <v>Denmark</v>
          </cell>
          <cell r="B71">
            <v>0.48</v>
          </cell>
          <cell r="C71">
            <v>0.52</v>
          </cell>
        </row>
        <row r="72">
          <cell r="A72" t="str">
            <v>Slovakia</v>
          </cell>
        </row>
        <row r="73">
          <cell r="A73" t="str">
            <v>Honduras</v>
          </cell>
        </row>
        <row r="74">
          <cell r="A74" t="str">
            <v>Peru</v>
          </cell>
          <cell r="B74">
            <v>0.69</v>
          </cell>
          <cell r="C74">
            <v>0.31</v>
          </cell>
        </row>
        <row r="75">
          <cell r="A75" t="str">
            <v>Russia</v>
          </cell>
          <cell r="B75">
            <v>0.7</v>
          </cell>
          <cell r="C75">
            <v>0.3</v>
          </cell>
        </row>
        <row r="76">
          <cell r="A76" t="str">
            <v>Poland</v>
          </cell>
          <cell r="B76">
            <v>0.48</v>
          </cell>
          <cell r="C76">
            <v>0.52</v>
          </cell>
        </row>
        <row r="77">
          <cell r="A77" t="str">
            <v>Greece</v>
          </cell>
          <cell r="B77">
            <v>0.38</v>
          </cell>
          <cell r="C77">
            <v>0.62</v>
          </cell>
        </row>
        <row r="78">
          <cell r="A78" t="str">
            <v>France</v>
          </cell>
          <cell r="B78">
            <v>0.53</v>
          </cell>
          <cell r="C78">
            <v>0.47</v>
          </cell>
        </row>
        <row r="79">
          <cell r="A79" t="str">
            <v>Iran</v>
          </cell>
          <cell r="B79">
            <v>0.38</v>
          </cell>
          <cell r="C79">
            <v>0.62</v>
          </cell>
        </row>
        <row r="80">
          <cell r="A80" t="str">
            <v>Egypt</v>
          </cell>
          <cell r="B80">
            <v>0.45</v>
          </cell>
          <cell r="C80">
            <v>0.55000000000000004</v>
          </cell>
        </row>
        <row r="81">
          <cell r="A81" t="str">
            <v>Venezuela</v>
          </cell>
          <cell r="B81">
            <v>1</v>
          </cell>
        </row>
        <row r="82">
          <cell r="A82" t="str">
            <v>Bolivia</v>
          </cell>
        </row>
        <row r="83">
          <cell r="A83" t="str">
            <v>Spain</v>
          </cell>
          <cell r="B83">
            <v>0.49</v>
          </cell>
          <cell r="C83">
            <v>0.51</v>
          </cell>
        </row>
        <row r="84">
          <cell r="A84" t="str">
            <v>Nigeria</v>
          </cell>
        </row>
        <row r="85">
          <cell r="A85" t="str">
            <v>Morocco</v>
          </cell>
        </row>
        <row r="86">
          <cell r="A86" t="str">
            <v>Italy</v>
          </cell>
          <cell r="B86">
            <v>0.5</v>
          </cell>
          <cell r="C86">
            <v>0.5</v>
          </cell>
        </row>
        <row r="87">
          <cell r="A87" t="str">
            <v>Indonesia</v>
          </cell>
          <cell r="B87">
            <v>0.33</v>
          </cell>
          <cell r="C87">
            <v>0.67</v>
          </cell>
        </row>
        <row r="88">
          <cell r="A88" t="str">
            <v>Thailand</v>
          </cell>
          <cell r="B88">
            <v>0.37</v>
          </cell>
          <cell r="C88">
            <v>0.63</v>
          </cell>
        </row>
        <row r="89">
          <cell r="A89" t="str">
            <v>Brazil</v>
          </cell>
          <cell r="B89">
            <v>0.49</v>
          </cell>
          <cell r="C89">
            <v>0.51</v>
          </cell>
        </row>
        <row r="90">
          <cell r="A90" t="str">
            <v>Saudi Arabia</v>
          </cell>
        </row>
        <row r="91">
          <cell r="A91" t="str">
            <v>Kazakhstan</v>
          </cell>
        </row>
        <row r="92">
          <cell r="A92" t="str">
            <v>Ã…land Islands</v>
          </cell>
        </row>
        <row r="93">
          <cell r="A93" t="str">
            <v>Turks &amp; Caicos Islands</v>
          </cell>
        </row>
        <row r="94">
          <cell r="A94" t="str">
            <v>St. Kitts &amp; Nevis</v>
          </cell>
        </row>
        <row r="95">
          <cell r="A95" t="str">
            <v>Seychelles</v>
          </cell>
        </row>
        <row r="96">
          <cell r="A96" t="str">
            <v>Dominica</v>
          </cell>
        </row>
        <row r="97">
          <cell r="A97" t="str">
            <v>Sint Maarten</v>
          </cell>
        </row>
        <row r="98">
          <cell r="A98" t="str">
            <v>Cuba</v>
          </cell>
        </row>
        <row r="99">
          <cell r="A99" t="str">
            <v>Gibraltar</v>
          </cell>
        </row>
        <row r="100">
          <cell r="A100" t="str">
            <v>Togo</v>
          </cell>
        </row>
        <row r="101">
          <cell r="A101" t="str">
            <v>St. Vincent &amp; Grenadines</v>
          </cell>
        </row>
        <row r="102">
          <cell r="A102" t="str">
            <v>Antigua &amp; Barbuda</v>
          </cell>
        </row>
        <row r="103">
          <cell r="A103" t="str">
            <v>Liberia</v>
          </cell>
        </row>
        <row r="104">
          <cell r="A104" t="str">
            <v>St. Lucia</v>
          </cell>
        </row>
        <row r="105">
          <cell r="A105" t="str">
            <v>Guernsey</v>
          </cell>
        </row>
        <row r="106">
          <cell r="A106" t="str">
            <v>Cayman Islands</v>
          </cell>
        </row>
        <row r="107">
          <cell r="A107" t="str">
            <v>Lesotho</v>
          </cell>
        </row>
        <row r="108">
          <cell r="A108" t="str">
            <v>Bahamas</v>
          </cell>
        </row>
        <row r="109">
          <cell r="A109" t="str">
            <v>Bhutan</v>
          </cell>
        </row>
        <row r="110">
          <cell r="A110" t="str">
            <v>Barbados</v>
          </cell>
        </row>
        <row r="111">
          <cell r="A111" t="str">
            <v>Fiji</v>
          </cell>
        </row>
        <row r="112">
          <cell r="A112" t="str">
            <v>Luxembourg</v>
          </cell>
        </row>
        <row r="113">
          <cell r="A113" t="str">
            <v>Isle of Man</v>
          </cell>
        </row>
        <row r="114">
          <cell r="A114" t="str">
            <v>French Guiana</v>
          </cell>
        </row>
        <row r="115">
          <cell r="A115" t="str">
            <v>CuraÃ§ao</v>
          </cell>
        </row>
        <row r="116">
          <cell r="A116" t="str">
            <v>French Polynesia</v>
          </cell>
        </row>
        <row r="117">
          <cell r="A117" t="str">
            <v>Mongolia</v>
          </cell>
        </row>
        <row r="118">
          <cell r="A118" t="str">
            <v>Haiti</v>
          </cell>
        </row>
        <row r="119">
          <cell r="A119" t="str">
            <v>Somalia</v>
          </cell>
        </row>
        <row r="120">
          <cell r="A120" t="str">
            <v>Guam</v>
          </cell>
        </row>
        <row r="121">
          <cell r="A121" t="str">
            <v>Maldives</v>
          </cell>
        </row>
        <row r="122">
          <cell r="A122" t="str">
            <v>Benin</v>
          </cell>
        </row>
        <row r="123">
          <cell r="A123" t="str">
            <v>Zambia</v>
          </cell>
        </row>
        <row r="124">
          <cell r="A124" t="str">
            <v>Iceland</v>
          </cell>
        </row>
        <row r="125">
          <cell r="A125" t="str">
            <v>Laos</v>
          </cell>
        </row>
        <row r="126">
          <cell r="A126" t="str">
            <v>Zimbabwe</v>
          </cell>
        </row>
        <row r="127">
          <cell r="A127" t="str">
            <v>Cyprus</v>
          </cell>
        </row>
        <row r="128">
          <cell r="A128" t="str">
            <v>Palestine</v>
          </cell>
        </row>
        <row r="129">
          <cell r="A129" t="str">
            <v>Trinidad &amp; Tobago</v>
          </cell>
        </row>
        <row r="130">
          <cell r="A130" t="str">
            <v>Armenia</v>
          </cell>
        </row>
        <row r="131">
          <cell r="A131" t="str">
            <v>Rwanda</v>
          </cell>
        </row>
        <row r="132">
          <cell r="A132" t="str">
            <v>Bahrain</v>
          </cell>
        </row>
        <row r="133">
          <cell r="A133" t="str">
            <v>Namibia</v>
          </cell>
        </row>
        <row r="134">
          <cell r="A134" t="str">
            <v>Brunei</v>
          </cell>
        </row>
        <row r="135">
          <cell r="A135" t="str">
            <v>Mauritius</v>
          </cell>
        </row>
        <row r="136">
          <cell r="A136" t="str">
            <v>Nicaragua</v>
          </cell>
        </row>
        <row r="137">
          <cell r="A137" t="str">
            <v>Cambodia</v>
          </cell>
        </row>
        <row r="138">
          <cell r="A138" t="str">
            <v>Martinique</v>
          </cell>
        </row>
        <row r="139">
          <cell r="A139" t="str">
            <v>Macao</v>
          </cell>
        </row>
        <row r="140">
          <cell r="A140" t="str">
            <v>Ethiopia</v>
          </cell>
        </row>
        <row r="141">
          <cell r="A141" t="str">
            <v>Moldova</v>
          </cell>
        </row>
        <row r="142">
          <cell r="A142" t="str">
            <v>Afghanistan</v>
          </cell>
        </row>
        <row r="143">
          <cell r="A143" t="str">
            <v>Madagascar</v>
          </cell>
        </row>
        <row r="144">
          <cell r="A144" t="str">
            <v>Qatar</v>
          </cell>
        </row>
        <row r="145">
          <cell r="A145" t="str">
            <v>RÃ©union</v>
          </cell>
        </row>
        <row r="146">
          <cell r="A146" t="str">
            <v>Oman</v>
          </cell>
        </row>
        <row r="147">
          <cell r="A147" t="str">
            <v>Dominican Republic</v>
          </cell>
        </row>
        <row r="148">
          <cell r="A148" t="str">
            <v>Montenegro</v>
          </cell>
        </row>
        <row r="149">
          <cell r="A149" t="str">
            <v>Angola</v>
          </cell>
        </row>
        <row r="150">
          <cell r="A150" t="str">
            <v>Yemen</v>
          </cell>
        </row>
        <row r="151">
          <cell r="A151" t="str">
            <v>Sudan</v>
          </cell>
        </row>
        <row r="152">
          <cell r="A152" t="str">
            <v>Mozambique</v>
          </cell>
        </row>
        <row r="153">
          <cell r="A153" t="str">
            <v>Puerto Rico</v>
          </cell>
        </row>
        <row r="154">
          <cell r="A154" t="str">
            <v>Cameroon</v>
          </cell>
        </row>
        <row r="155">
          <cell r="A155" t="str">
            <v>Albania</v>
          </cell>
        </row>
        <row r="156">
          <cell r="A156" t="str">
            <v>Senegal</v>
          </cell>
        </row>
        <row r="157">
          <cell r="A157" t="str">
            <v>Uzbekistan</v>
          </cell>
        </row>
        <row r="158">
          <cell r="A158" t="str">
            <v>Syria</v>
          </cell>
        </row>
        <row r="159">
          <cell r="A159" t="str">
            <v>Azerbaijan</v>
          </cell>
        </row>
        <row r="160">
          <cell r="A160" t="str">
            <v>Jordan</v>
          </cell>
        </row>
        <row r="161">
          <cell r="A161" t="str">
            <v>Libya</v>
          </cell>
        </row>
        <row r="162">
          <cell r="A162" t="str">
            <v>Kuwait</v>
          </cell>
        </row>
        <row r="163">
          <cell r="A163" t="str">
            <v>Kyrgyzstan</v>
          </cell>
        </row>
        <row r="164">
          <cell r="A164" t="str">
            <v>Ghana</v>
          </cell>
        </row>
        <row r="165">
          <cell r="A165" t="str">
            <v>Tanzania</v>
          </cell>
        </row>
        <row r="166">
          <cell r="A166" t="str">
            <v>Georgia</v>
          </cell>
        </row>
        <row r="167">
          <cell r="A167" t="str">
            <v>Algeria</v>
          </cell>
        </row>
        <row r="168">
          <cell r="A168" t="str">
            <v>Iraq</v>
          </cell>
        </row>
        <row r="169">
          <cell r="A169" t="str">
            <v>Aruba</v>
          </cell>
        </row>
        <row r="170">
          <cell r="A170" t="str">
            <v>Anguilla</v>
          </cell>
        </row>
        <row r="171">
          <cell r="A171" t="str">
            <v>Andorra</v>
          </cell>
        </row>
        <row r="172">
          <cell r="A172" t="str">
            <v>American Samoa</v>
          </cell>
        </row>
        <row r="173">
          <cell r="A173" t="str">
            <v>Antarctica</v>
          </cell>
        </row>
        <row r="174">
          <cell r="A174" t="str">
            <v>French Southern Territories</v>
          </cell>
        </row>
        <row r="175">
          <cell r="A175" t="str">
            <v>Burundi</v>
          </cell>
        </row>
        <row r="176">
          <cell r="A176" t="str">
            <v>Caribbean Netherlands</v>
          </cell>
        </row>
        <row r="177">
          <cell r="A177" t="str">
            <v>Burkina Faso</v>
          </cell>
        </row>
        <row r="178">
          <cell r="A178" t="str">
            <v>St. BarthÃ©lemy</v>
          </cell>
        </row>
        <row r="179">
          <cell r="A179" t="str">
            <v>Belize</v>
          </cell>
        </row>
        <row r="180">
          <cell r="A180" t="str">
            <v>Bermuda</v>
          </cell>
        </row>
        <row r="181">
          <cell r="A181" t="str">
            <v>Bouvet Island</v>
          </cell>
        </row>
        <row r="182">
          <cell r="A182" t="str">
            <v>Botswana</v>
          </cell>
        </row>
        <row r="183">
          <cell r="A183" t="str">
            <v>Central African Republic</v>
          </cell>
        </row>
        <row r="184">
          <cell r="A184" t="str">
            <v>Cocos (Keeling) Islands</v>
          </cell>
        </row>
        <row r="185">
          <cell r="A185" t="str">
            <v>CÃ´te dâ€™Ivoire</v>
          </cell>
        </row>
        <row r="186">
          <cell r="A186" t="str">
            <v>Congo - Kinshasa</v>
          </cell>
        </row>
        <row r="187">
          <cell r="A187" t="str">
            <v>Congo - Brazzaville</v>
          </cell>
        </row>
        <row r="188">
          <cell r="A188" t="str">
            <v>Cook Islands</v>
          </cell>
        </row>
        <row r="189">
          <cell r="A189" t="str">
            <v>Comoros</v>
          </cell>
        </row>
        <row r="190">
          <cell r="A190" t="str">
            <v>Cape Verde</v>
          </cell>
        </row>
        <row r="191">
          <cell r="A191" t="str">
            <v>Christmas Island</v>
          </cell>
        </row>
        <row r="192">
          <cell r="A192" t="str">
            <v>Djibouti</v>
          </cell>
        </row>
        <row r="193">
          <cell r="A193" t="str">
            <v>Eritrea</v>
          </cell>
        </row>
        <row r="194">
          <cell r="A194" t="str">
            <v>Western Sahara</v>
          </cell>
        </row>
        <row r="195">
          <cell r="A195" t="str">
            <v>Falkland Islands (Islas Malvinas)</v>
          </cell>
        </row>
        <row r="196">
          <cell r="A196" t="str">
            <v>Faroe Islands</v>
          </cell>
        </row>
        <row r="197">
          <cell r="A197" t="str">
            <v>Micronesia</v>
          </cell>
        </row>
        <row r="198">
          <cell r="A198" t="str">
            <v>Gabon</v>
          </cell>
        </row>
        <row r="199">
          <cell r="A199" t="str">
            <v>Guinea</v>
          </cell>
        </row>
        <row r="200">
          <cell r="A200" t="str">
            <v>Guadeloupe</v>
          </cell>
        </row>
        <row r="201">
          <cell r="A201" t="str">
            <v>Gambia</v>
          </cell>
        </row>
        <row r="202">
          <cell r="A202" t="str">
            <v>Guinea-Bissau</v>
          </cell>
        </row>
        <row r="203">
          <cell r="A203" t="str">
            <v>Equatorial Guinea</v>
          </cell>
        </row>
        <row r="204">
          <cell r="A204" t="str">
            <v>Grenada</v>
          </cell>
        </row>
        <row r="205">
          <cell r="A205" t="str">
            <v>Greenland</v>
          </cell>
        </row>
        <row r="206">
          <cell r="A206" t="str">
            <v>Heard &amp; McDonald Islands</v>
          </cell>
        </row>
        <row r="207">
          <cell r="A207" t="str">
            <v>British Indian Ocean Territory</v>
          </cell>
        </row>
        <row r="208">
          <cell r="A208" t="str">
            <v>Jersey</v>
          </cell>
        </row>
        <row r="209">
          <cell r="A209" t="str">
            <v>Kiribati</v>
          </cell>
        </row>
        <row r="210">
          <cell r="A210" t="str">
            <v>Liechtenstein</v>
          </cell>
        </row>
        <row r="211">
          <cell r="A211" t="str">
            <v>St. Martin</v>
          </cell>
        </row>
        <row r="212">
          <cell r="A212" t="str">
            <v>Monaco</v>
          </cell>
        </row>
        <row r="213">
          <cell r="A213" t="str">
            <v>Marshall Islands</v>
          </cell>
        </row>
        <row r="214">
          <cell r="A214" t="str">
            <v>Mali</v>
          </cell>
        </row>
        <row r="215">
          <cell r="A215" t="str">
            <v>Northern Mariana Islands</v>
          </cell>
        </row>
        <row r="216">
          <cell r="A216" t="str">
            <v>Mauritania</v>
          </cell>
        </row>
        <row r="217">
          <cell r="A217" t="str">
            <v>Montserrat</v>
          </cell>
        </row>
        <row r="218">
          <cell r="A218" t="str">
            <v>Malawi</v>
          </cell>
        </row>
        <row r="219">
          <cell r="A219" t="str">
            <v>Mayotte</v>
          </cell>
        </row>
        <row r="220">
          <cell r="A220" t="str">
            <v>New Caledonia</v>
          </cell>
        </row>
        <row r="221">
          <cell r="A221" t="str">
            <v>Niger</v>
          </cell>
        </row>
        <row r="222">
          <cell r="A222" t="str">
            <v>Norfolk Island</v>
          </cell>
        </row>
        <row r="223">
          <cell r="A223" t="str">
            <v>Niue</v>
          </cell>
        </row>
        <row r="224">
          <cell r="A224" t="str">
            <v>Nauru</v>
          </cell>
        </row>
        <row r="225">
          <cell r="A225" t="str">
            <v>Pitcairn Islands</v>
          </cell>
        </row>
        <row r="226">
          <cell r="A226" t="str">
            <v>Palau</v>
          </cell>
        </row>
        <row r="227">
          <cell r="A227" t="str">
            <v>Papua New Guinea</v>
          </cell>
        </row>
        <row r="228">
          <cell r="A228" t="str">
            <v>North Korea</v>
          </cell>
        </row>
        <row r="229">
          <cell r="A229" t="str">
            <v>South Georgia &amp; South Sandwich Islands</v>
          </cell>
        </row>
        <row r="230">
          <cell r="A230" t="str">
            <v>Svalbard &amp; Jan Mayen</v>
          </cell>
        </row>
        <row r="231">
          <cell r="A231" t="str">
            <v>Solomon Islands</v>
          </cell>
        </row>
        <row r="232">
          <cell r="A232" t="str">
            <v>Sierra Leone</v>
          </cell>
        </row>
        <row r="233">
          <cell r="A233" t="str">
            <v>San Marino</v>
          </cell>
        </row>
        <row r="234">
          <cell r="A234" t="str">
            <v>St. Pierre &amp; Miquelon</v>
          </cell>
        </row>
        <row r="235">
          <cell r="A235" t="str">
            <v>South Sudan</v>
          </cell>
        </row>
        <row r="236">
          <cell r="A236" t="str">
            <v>SÃ£o TomÃ© &amp; PrÃ­ncipe</v>
          </cell>
        </row>
        <row r="237">
          <cell r="A237" t="str">
            <v>Suriname</v>
          </cell>
        </row>
        <row r="238">
          <cell r="A238" t="str">
            <v>Eswatini</v>
          </cell>
        </row>
        <row r="239">
          <cell r="A239" t="str">
            <v>Chad</v>
          </cell>
        </row>
        <row r="240">
          <cell r="A240" t="str">
            <v>Tajikistan</v>
          </cell>
        </row>
        <row r="241">
          <cell r="A241" t="str">
            <v>Tokelau</v>
          </cell>
        </row>
        <row r="242">
          <cell r="A242" t="str">
            <v>Turkmenistan</v>
          </cell>
        </row>
        <row r="243">
          <cell r="A243" t="str">
            <v>Timor-Leste</v>
          </cell>
        </row>
        <row r="244">
          <cell r="A244" t="str">
            <v>Tonga</v>
          </cell>
        </row>
        <row r="245">
          <cell r="A245" t="str">
            <v>Tuvalu</v>
          </cell>
        </row>
        <row r="246">
          <cell r="A246" t="str">
            <v>U.S. Outlying Islands</v>
          </cell>
        </row>
        <row r="247">
          <cell r="A247" t="str">
            <v>Vatican City</v>
          </cell>
        </row>
        <row r="248">
          <cell r="A248" t="str">
            <v>British Virgin Islands</v>
          </cell>
        </row>
        <row r="249">
          <cell r="A249" t="str">
            <v>U.S. Virgin Islands</v>
          </cell>
        </row>
        <row r="250">
          <cell r="A250" t="str">
            <v>Vanuatu</v>
          </cell>
        </row>
        <row r="251">
          <cell r="A251" t="str">
            <v>Wallis &amp; Futuna</v>
          </cell>
        </row>
        <row r="252">
          <cell r="A252" t="str">
            <v>Samoa</v>
          </cell>
        </row>
        <row r="253">
          <cell r="A253" t="str">
            <v>Kosovo</v>
          </cell>
        </row>
      </sheetData>
    </sheetDataSet>
  </externalBook>
</externalLink>
</file>

<file path=xl/externalLinks/externalLink2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23)"/>
    </sheetNames>
    <sheetDataSet>
      <sheetData sheetId="0">
        <row r="1">
          <cell r="A1" t="str">
            <v>Kategori: TÃ¼m kategoriler</v>
          </cell>
        </row>
        <row r="3">
          <cell r="A3" t="str">
            <v>Ãœlke</v>
          </cell>
          <cell r="B3" t="str">
            <v>Null pointer: (2016)</v>
          </cell>
          <cell r="C3" t="str">
            <v>Sonlu durum makinesi: (2016)</v>
          </cell>
        </row>
        <row r="4">
          <cell r="A4" t="str">
            <v>Micronesia</v>
          </cell>
          <cell r="C4">
            <v>1</v>
          </cell>
        </row>
        <row r="5">
          <cell r="A5" t="str">
            <v>Guam</v>
          </cell>
          <cell r="C5">
            <v>1</v>
          </cell>
        </row>
        <row r="6">
          <cell r="A6" t="str">
            <v>China</v>
          </cell>
          <cell r="B6">
            <v>0.6</v>
          </cell>
          <cell r="C6">
            <v>0.4</v>
          </cell>
        </row>
        <row r="7">
          <cell r="A7" t="str">
            <v>Fiji</v>
          </cell>
          <cell r="C7">
            <v>1</v>
          </cell>
        </row>
        <row r="8">
          <cell r="A8" t="str">
            <v>Macao</v>
          </cell>
          <cell r="C8">
            <v>1</v>
          </cell>
        </row>
        <row r="9">
          <cell r="A9" t="str">
            <v>Singapore</v>
          </cell>
          <cell r="B9">
            <v>0.46</v>
          </cell>
          <cell r="C9">
            <v>0.54</v>
          </cell>
        </row>
        <row r="10">
          <cell r="A10" t="str">
            <v>Maldives</v>
          </cell>
        </row>
        <row r="11">
          <cell r="A11" t="str">
            <v>Israel</v>
          </cell>
          <cell r="B11">
            <v>0.35</v>
          </cell>
          <cell r="C11">
            <v>0.65</v>
          </cell>
        </row>
        <row r="12">
          <cell r="A12" t="str">
            <v>St. Helena</v>
          </cell>
        </row>
        <row r="13">
          <cell r="A13" t="str">
            <v>India</v>
          </cell>
          <cell r="B13">
            <v>0.69</v>
          </cell>
          <cell r="C13">
            <v>0.31</v>
          </cell>
        </row>
        <row r="14">
          <cell r="A14" t="str">
            <v>South Korea</v>
          </cell>
          <cell r="B14">
            <v>0.38</v>
          </cell>
          <cell r="C14">
            <v>0.62</v>
          </cell>
        </row>
        <row r="15">
          <cell r="A15" t="str">
            <v>Ireland</v>
          </cell>
          <cell r="B15">
            <v>0.7</v>
          </cell>
          <cell r="C15">
            <v>0.3</v>
          </cell>
        </row>
        <row r="16">
          <cell r="A16" t="str">
            <v>Nepal</v>
          </cell>
        </row>
        <row r="17">
          <cell r="A17" t="str">
            <v>Sri Lanka</v>
          </cell>
          <cell r="B17">
            <v>0.75</v>
          </cell>
          <cell r="C17">
            <v>0.25</v>
          </cell>
        </row>
        <row r="18">
          <cell r="A18" t="str">
            <v>Hong Kong</v>
          </cell>
          <cell r="B18">
            <v>0.48</v>
          </cell>
          <cell r="C18">
            <v>0.52</v>
          </cell>
        </row>
        <row r="19">
          <cell r="A19" t="str">
            <v>Philippines</v>
          </cell>
          <cell r="B19">
            <v>0.68</v>
          </cell>
          <cell r="C19">
            <v>0.32</v>
          </cell>
        </row>
        <row r="20">
          <cell r="A20" t="str">
            <v>Ethiopia</v>
          </cell>
        </row>
        <row r="21">
          <cell r="A21" t="str">
            <v>United States</v>
          </cell>
          <cell r="B21">
            <v>0.56999999999999995</v>
          </cell>
          <cell r="C21">
            <v>0.43</v>
          </cell>
        </row>
        <row r="22">
          <cell r="A22" t="str">
            <v>Canada</v>
          </cell>
          <cell r="B22">
            <v>0.57999999999999996</v>
          </cell>
          <cell r="C22">
            <v>0.42</v>
          </cell>
        </row>
        <row r="23">
          <cell r="A23" t="str">
            <v>Estonia</v>
          </cell>
        </row>
        <row r="24">
          <cell r="A24" t="str">
            <v>New Zealand</v>
          </cell>
          <cell r="B24">
            <v>0.55000000000000004</v>
          </cell>
          <cell r="C24">
            <v>0.45</v>
          </cell>
        </row>
        <row r="25">
          <cell r="A25" t="str">
            <v>North Macedonia</v>
          </cell>
        </row>
        <row r="26">
          <cell r="A26" t="str">
            <v>Pakistan</v>
          </cell>
          <cell r="B26">
            <v>0.44</v>
          </cell>
          <cell r="C26">
            <v>0.56000000000000005</v>
          </cell>
        </row>
        <row r="27">
          <cell r="A27" t="str">
            <v>Australia</v>
          </cell>
          <cell r="B27">
            <v>0.52</v>
          </cell>
          <cell r="C27">
            <v>0.48</v>
          </cell>
        </row>
        <row r="28">
          <cell r="A28" t="str">
            <v>Slovenia</v>
          </cell>
        </row>
        <row r="29">
          <cell r="A29" t="str">
            <v>Finland</v>
          </cell>
          <cell r="B29">
            <v>0.61</v>
          </cell>
          <cell r="C29">
            <v>0.39</v>
          </cell>
        </row>
        <row r="30">
          <cell r="A30" t="str">
            <v>United Kingdom</v>
          </cell>
          <cell r="B30">
            <v>0.52</v>
          </cell>
          <cell r="C30">
            <v>0.48</v>
          </cell>
        </row>
        <row r="31">
          <cell r="A31" t="str">
            <v>Norway</v>
          </cell>
          <cell r="B31">
            <v>0.35</v>
          </cell>
          <cell r="C31">
            <v>0.65</v>
          </cell>
        </row>
        <row r="32">
          <cell r="A32" t="str">
            <v>Tunisia</v>
          </cell>
        </row>
        <row r="33">
          <cell r="A33" t="str">
            <v>Lebanon</v>
          </cell>
        </row>
        <row r="34">
          <cell r="A34" t="str">
            <v>Myanmar (Burma)</v>
          </cell>
        </row>
        <row r="35">
          <cell r="A35" t="str">
            <v>Taiwan</v>
          </cell>
          <cell r="B35">
            <v>0.28999999999999998</v>
          </cell>
          <cell r="C35">
            <v>0.71</v>
          </cell>
        </row>
        <row r="36">
          <cell r="A36" t="str">
            <v>Sweden</v>
          </cell>
          <cell r="B36">
            <v>0.59</v>
          </cell>
          <cell r="C36">
            <v>0.41</v>
          </cell>
        </row>
        <row r="37">
          <cell r="A37" t="str">
            <v>Czechia</v>
          </cell>
          <cell r="B37">
            <v>0.44</v>
          </cell>
          <cell r="C37">
            <v>0.56000000000000005</v>
          </cell>
        </row>
        <row r="38">
          <cell r="A38" t="str">
            <v>Switzerland</v>
          </cell>
          <cell r="B38">
            <v>0.49</v>
          </cell>
          <cell r="C38">
            <v>0.51</v>
          </cell>
        </row>
        <row r="39">
          <cell r="A39" t="str">
            <v>Romania</v>
          </cell>
          <cell r="B39">
            <v>0.53</v>
          </cell>
          <cell r="C39">
            <v>0.47</v>
          </cell>
        </row>
        <row r="40">
          <cell r="A40" t="str">
            <v>South Africa</v>
          </cell>
          <cell r="B40">
            <v>0.45</v>
          </cell>
          <cell r="C40">
            <v>0.55000000000000004</v>
          </cell>
        </row>
        <row r="41">
          <cell r="A41" t="str">
            <v>Germany</v>
          </cell>
          <cell r="B41">
            <v>0.44</v>
          </cell>
          <cell r="C41">
            <v>0.56000000000000005</v>
          </cell>
        </row>
        <row r="42">
          <cell r="A42" t="str">
            <v>Belarus</v>
          </cell>
          <cell r="B42">
            <v>0.42</v>
          </cell>
          <cell r="C42">
            <v>0.57999999999999996</v>
          </cell>
        </row>
        <row r="43">
          <cell r="A43" t="str">
            <v>Slovakia</v>
          </cell>
          <cell r="B43">
            <v>0.39</v>
          </cell>
          <cell r="C43">
            <v>0.61</v>
          </cell>
        </row>
        <row r="44">
          <cell r="A44" t="str">
            <v>Russia</v>
          </cell>
          <cell r="B44">
            <v>0.21</v>
          </cell>
          <cell r="C44">
            <v>0.79</v>
          </cell>
        </row>
        <row r="45">
          <cell r="A45" t="str">
            <v>Malaysia</v>
          </cell>
          <cell r="B45">
            <v>0.47</v>
          </cell>
          <cell r="C45">
            <v>0.53</v>
          </cell>
        </row>
        <row r="46">
          <cell r="A46" t="str">
            <v>Lithuania</v>
          </cell>
        </row>
        <row r="47">
          <cell r="A47" t="str">
            <v>Nigeria</v>
          </cell>
        </row>
        <row r="48">
          <cell r="A48" t="str">
            <v>Austria</v>
          </cell>
          <cell r="B48">
            <v>0.51</v>
          </cell>
          <cell r="C48">
            <v>0.49</v>
          </cell>
        </row>
        <row r="49">
          <cell r="A49" t="str">
            <v>Serbia</v>
          </cell>
          <cell r="B49">
            <v>0.6</v>
          </cell>
          <cell r="C49">
            <v>0.4</v>
          </cell>
        </row>
        <row r="50">
          <cell r="A50" t="str">
            <v>Latvia</v>
          </cell>
        </row>
        <row r="51">
          <cell r="A51" t="str">
            <v>Bangladesh</v>
          </cell>
          <cell r="B51">
            <v>0.63</v>
          </cell>
          <cell r="C51">
            <v>0.37</v>
          </cell>
        </row>
        <row r="52">
          <cell r="A52" t="str">
            <v>Netherlands</v>
          </cell>
          <cell r="B52">
            <v>0.53</v>
          </cell>
          <cell r="C52">
            <v>0.47</v>
          </cell>
        </row>
        <row r="53">
          <cell r="A53" t="str">
            <v>United Arab Emirates</v>
          </cell>
          <cell r="B53">
            <v>0.55000000000000004</v>
          </cell>
          <cell r="C53">
            <v>0.45</v>
          </cell>
        </row>
        <row r="54">
          <cell r="A54" t="str">
            <v>Bulgaria</v>
          </cell>
          <cell r="B54">
            <v>0.54</v>
          </cell>
          <cell r="C54">
            <v>0.46</v>
          </cell>
        </row>
        <row r="55">
          <cell r="A55" t="str">
            <v>Ukraine</v>
          </cell>
          <cell r="B55">
            <v>0.36</v>
          </cell>
          <cell r="C55">
            <v>0.64</v>
          </cell>
        </row>
        <row r="56">
          <cell r="A56" t="str">
            <v>Croatia</v>
          </cell>
          <cell r="B56">
            <v>0.52</v>
          </cell>
          <cell r="C56">
            <v>0.48</v>
          </cell>
        </row>
        <row r="57">
          <cell r="A57" t="str">
            <v>Portugal</v>
          </cell>
          <cell r="B57">
            <v>0.55000000000000004</v>
          </cell>
          <cell r="C57">
            <v>0.45</v>
          </cell>
        </row>
        <row r="58">
          <cell r="A58" t="str">
            <v>Bosnia &amp; Herzegovina</v>
          </cell>
        </row>
        <row r="59">
          <cell r="A59" t="str">
            <v>Ghana</v>
          </cell>
        </row>
        <row r="60">
          <cell r="A60" t="str">
            <v>Denmark</v>
          </cell>
          <cell r="B60">
            <v>0.48</v>
          </cell>
          <cell r="C60">
            <v>0.52</v>
          </cell>
        </row>
        <row r="61">
          <cell r="A61" t="str">
            <v>Kenya</v>
          </cell>
        </row>
        <row r="62">
          <cell r="A62" t="str">
            <v>Costa Rica</v>
          </cell>
        </row>
        <row r="63">
          <cell r="A63" t="str">
            <v>Vietnam</v>
          </cell>
          <cell r="B63">
            <v>0.69</v>
          </cell>
          <cell r="C63">
            <v>0.31</v>
          </cell>
        </row>
        <row r="64">
          <cell r="A64" t="str">
            <v>Greece</v>
          </cell>
          <cell r="B64">
            <v>0.43</v>
          </cell>
          <cell r="C64">
            <v>0.56999999999999995</v>
          </cell>
        </row>
        <row r="65">
          <cell r="A65" t="str">
            <v>Hungary</v>
          </cell>
          <cell r="B65">
            <v>0.48</v>
          </cell>
          <cell r="C65">
            <v>0.52</v>
          </cell>
        </row>
        <row r="66">
          <cell r="A66" t="str">
            <v>Belgium</v>
          </cell>
          <cell r="B66">
            <v>0.49</v>
          </cell>
          <cell r="C66">
            <v>0.51</v>
          </cell>
        </row>
        <row r="67">
          <cell r="A67" t="str">
            <v>Uzbekistan</v>
          </cell>
        </row>
        <row r="68">
          <cell r="A68" t="str">
            <v>Tanzania</v>
          </cell>
        </row>
        <row r="69">
          <cell r="A69" t="str">
            <v>Mexico</v>
          </cell>
          <cell r="B69">
            <v>0.35</v>
          </cell>
          <cell r="C69">
            <v>0.65</v>
          </cell>
        </row>
        <row r="70">
          <cell r="A70" t="str">
            <v>Guatemala</v>
          </cell>
        </row>
        <row r="71">
          <cell r="A71" t="str">
            <v>Iran</v>
          </cell>
          <cell r="B71">
            <v>0.44</v>
          </cell>
          <cell r="C71">
            <v>0.56000000000000005</v>
          </cell>
        </row>
        <row r="72">
          <cell r="A72" t="str">
            <v>Poland</v>
          </cell>
          <cell r="B72">
            <v>0.5</v>
          </cell>
          <cell r="C72">
            <v>0.5</v>
          </cell>
        </row>
        <row r="73">
          <cell r="A73" t="str">
            <v>Kuwait</v>
          </cell>
        </row>
        <row r="74">
          <cell r="A74" t="str">
            <v>Georgia</v>
          </cell>
        </row>
        <row r="75">
          <cell r="A75" t="str">
            <v>Italy</v>
          </cell>
          <cell r="B75">
            <v>0.34</v>
          </cell>
          <cell r="C75">
            <v>0.66</v>
          </cell>
        </row>
        <row r="76">
          <cell r="A76" t="str">
            <v>Japan</v>
          </cell>
          <cell r="B76">
            <v>0.45</v>
          </cell>
          <cell r="C76">
            <v>0.55000000000000004</v>
          </cell>
        </row>
        <row r="77">
          <cell r="A77" t="str">
            <v>Turkey</v>
          </cell>
          <cell r="B77">
            <v>0.31</v>
          </cell>
          <cell r="C77">
            <v>0.69</v>
          </cell>
        </row>
        <row r="78">
          <cell r="A78" t="str">
            <v>Uruguay</v>
          </cell>
        </row>
        <row r="79">
          <cell r="A79" t="str">
            <v>Indonesia</v>
          </cell>
          <cell r="B79">
            <v>0.39</v>
          </cell>
          <cell r="C79">
            <v>0.61</v>
          </cell>
        </row>
        <row r="80">
          <cell r="A80" t="str">
            <v>Argentina</v>
          </cell>
          <cell r="B80">
            <v>0.55000000000000004</v>
          </cell>
          <cell r="C80">
            <v>0.45</v>
          </cell>
        </row>
        <row r="81">
          <cell r="A81" t="str">
            <v>Colombia</v>
          </cell>
          <cell r="B81">
            <v>0.39</v>
          </cell>
          <cell r="C81">
            <v>0.61</v>
          </cell>
        </row>
        <row r="82">
          <cell r="A82" t="str">
            <v>Egypt</v>
          </cell>
          <cell r="B82">
            <v>0.56000000000000005</v>
          </cell>
          <cell r="C82">
            <v>0.44</v>
          </cell>
        </row>
        <row r="83">
          <cell r="A83" t="str">
            <v>France</v>
          </cell>
          <cell r="B83">
            <v>0.56999999999999995</v>
          </cell>
          <cell r="C83">
            <v>0.43</v>
          </cell>
        </row>
        <row r="84">
          <cell r="A84" t="str">
            <v>Chile</v>
          </cell>
          <cell r="B84">
            <v>0.52</v>
          </cell>
          <cell r="C84">
            <v>0.48</v>
          </cell>
        </row>
        <row r="85">
          <cell r="A85" t="str">
            <v>Kazakhstan</v>
          </cell>
        </row>
        <row r="86">
          <cell r="A86" t="str">
            <v>Spain</v>
          </cell>
          <cell r="B86">
            <v>0.56999999999999995</v>
          </cell>
          <cell r="C86">
            <v>0.43</v>
          </cell>
        </row>
        <row r="87">
          <cell r="A87" t="str">
            <v>Morocco</v>
          </cell>
        </row>
        <row r="88">
          <cell r="A88" t="str">
            <v>Thailand</v>
          </cell>
          <cell r="B88">
            <v>0.41</v>
          </cell>
          <cell r="C88">
            <v>0.59</v>
          </cell>
        </row>
        <row r="89">
          <cell r="A89" t="str">
            <v>Ecuador</v>
          </cell>
          <cell r="C89">
            <v>1</v>
          </cell>
        </row>
        <row r="90">
          <cell r="A90" t="str">
            <v>Brazil</v>
          </cell>
          <cell r="B90">
            <v>0.43</v>
          </cell>
          <cell r="C90">
            <v>0.56999999999999995</v>
          </cell>
        </row>
        <row r="91">
          <cell r="A91" t="str">
            <v>Saudi Arabia</v>
          </cell>
          <cell r="B91">
            <v>0.42</v>
          </cell>
          <cell r="C91">
            <v>0.57999999999999996</v>
          </cell>
        </row>
        <row r="92">
          <cell r="A92" t="str">
            <v>Peru</v>
          </cell>
          <cell r="B92">
            <v>0.49</v>
          </cell>
          <cell r="C92">
            <v>0.51</v>
          </cell>
        </row>
        <row r="93">
          <cell r="A93" t="str">
            <v>Algeria</v>
          </cell>
        </row>
        <row r="94">
          <cell r="A94" t="str">
            <v>Venezuela</v>
          </cell>
          <cell r="C94">
            <v>1</v>
          </cell>
        </row>
        <row r="95">
          <cell r="A95" t="str">
            <v>Iraq</v>
          </cell>
        </row>
        <row r="96">
          <cell r="A96" t="str">
            <v>Marshall Islands</v>
          </cell>
        </row>
        <row r="97">
          <cell r="A97" t="str">
            <v>Tonga</v>
          </cell>
        </row>
        <row r="98">
          <cell r="A98" t="str">
            <v>Gibraltar</v>
          </cell>
        </row>
        <row r="99">
          <cell r="A99" t="str">
            <v>Ã…land Islands</v>
          </cell>
        </row>
        <row r="100">
          <cell r="A100" t="str">
            <v>Northern Mariana Islands</v>
          </cell>
        </row>
        <row r="101">
          <cell r="A101" t="str">
            <v>San Marino</v>
          </cell>
        </row>
        <row r="102">
          <cell r="A102" t="str">
            <v>Sint Maarten</v>
          </cell>
        </row>
        <row r="103">
          <cell r="A103" t="str">
            <v>Faroe Islands</v>
          </cell>
        </row>
        <row r="104">
          <cell r="A104" t="str">
            <v>Papua New Guinea</v>
          </cell>
        </row>
        <row r="105">
          <cell r="A105" t="str">
            <v>Antigua &amp; Barbuda</v>
          </cell>
        </row>
        <row r="106">
          <cell r="A106" t="str">
            <v>Bermuda</v>
          </cell>
        </row>
        <row r="107">
          <cell r="A107" t="str">
            <v>Malta</v>
          </cell>
        </row>
        <row r="108">
          <cell r="A108" t="str">
            <v>St. Lucia</v>
          </cell>
        </row>
        <row r="109">
          <cell r="A109" t="str">
            <v>Iceland</v>
          </cell>
        </row>
        <row r="110">
          <cell r="A110" t="str">
            <v>Bhutan</v>
          </cell>
        </row>
        <row r="111">
          <cell r="A111" t="str">
            <v>Burundi</v>
          </cell>
        </row>
        <row r="112">
          <cell r="A112" t="str">
            <v>Jersey</v>
          </cell>
        </row>
        <row r="113">
          <cell r="A113" t="str">
            <v>CuraÃ§ao</v>
          </cell>
        </row>
        <row r="114">
          <cell r="A114" t="str">
            <v>Mauritius</v>
          </cell>
        </row>
        <row r="115">
          <cell r="A115" t="str">
            <v>Belize</v>
          </cell>
        </row>
        <row r="116">
          <cell r="A116" t="str">
            <v>French Polynesia</v>
          </cell>
        </row>
        <row r="117">
          <cell r="A117" t="str">
            <v>Jamaica</v>
          </cell>
        </row>
        <row r="118">
          <cell r="A118" t="str">
            <v>Kosovo</v>
          </cell>
        </row>
        <row r="119">
          <cell r="A119" t="str">
            <v>Rwanda</v>
          </cell>
        </row>
        <row r="120">
          <cell r="A120" t="str">
            <v>Afghanistan</v>
          </cell>
        </row>
        <row r="121">
          <cell r="A121" t="str">
            <v>Armenia</v>
          </cell>
        </row>
        <row r="122">
          <cell r="A122" t="str">
            <v>Botswana</v>
          </cell>
        </row>
        <row r="123">
          <cell r="A123" t="str">
            <v>Luxembourg</v>
          </cell>
        </row>
        <row r="124">
          <cell r="A124" t="str">
            <v>Cyprus</v>
          </cell>
        </row>
        <row r="125">
          <cell r="A125" t="str">
            <v>Guyana</v>
          </cell>
        </row>
        <row r="126">
          <cell r="A126" t="str">
            <v>Laos</v>
          </cell>
        </row>
        <row r="127">
          <cell r="A127" t="str">
            <v>Guinea</v>
          </cell>
        </row>
        <row r="128">
          <cell r="A128" t="str">
            <v>Malawi</v>
          </cell>
        </row>
        <row r="129">
          <cell r="A129" t="str">
            <v>Albania</v>
          </cell>
        </row>
        <row r="130">
          <cell r="A130" t="str">
            <v>Moldova</v>
          </cell>
        </row>
        <row r="131">
          <cell r="A131" t="str">
            <v>Somalia</v>
          </cell>
        </row>
        <row r="132">
          <cell r="A132" t="str">
            <v>Zimbabwe</v>
          </cell>
        </row>
        <row r="133">
          <cell r="A133" t="str">
            <v>Uganda</v>
          </cell>
        </row>
        <row r="134">
          <cell r="A134" t="str">
            <v>Bahamas</v>
          </cell>
        </row>
        <row r="135">
          <cell r="A135" t="str">
            <v>Namibia</v>
          </cell>
        </row>
        <row r="136">
          <cell r="A136" t="str">
            <v>Mongolia</v>
          </cell>
        </row>
        <row r="137">
          <cell r="A137" t="str">
            <v>Zambia</v>
          </cell>
        </row>
        <row r="138">
          <cell r="A138" t="str">
            <v>Haiti</v>
          </cell>
        </row>
        <row r="139">
          <cell r="A139" t="str">
            <v>Jordan</v>
          </cell>
        </row>
        <row r="140">
          <cell r="A140" t="str">
            <v>El Salvador</v>
          </cell>
        </row>
        <row r="141">
          <cell r="A141" t="str">
            <v>Montenegro</v>
          </cell>
        </row>
        <row r="142">
          <cell r="A142" t="str">
            <v>Cambodia</v>
          </cell>
        </row>
        <row r="143">
          <cell r="A143" t="str">
            <v>Puerto Rico</v>
          </cell>
        </row>
        <row r="144">
          <cell r="A144" t="str">
            <v>Angola</v>
          </cell>
        </row>
        <row r="145">
          <cell r="A145" t="str">
            <v>Honduras</v>
          </cell>
        </row>
        <row r="146">
          <cell r="A146" t="str">
            <v>Trinidad &amp; Tobago</v>
          </cell>
        </row>
        <row r="147">
          <cell r="A147" t="str">
            <v>Madagascar</v>
          </cell>
        </row>
        <row r="148">
          <cell r="A148" t="str">
            <v>Nicaragua</v>
          </cell>
        </row>
        <row r="149">
          <cell r="A149" t="str">
            <v>Brunei</v>
          </cell>
        </row>
        <row r="150">
          <cell r="A150" t="str">
            <v>Bahrain</v>
          </cell>
        </row>
        <row r="151">
          <cell r="A151" t="str">
            <v>Qatar</v>
          </cell>
        </row>
        <row r="152">
          <cell r="A152" t="str">
            <v>Congo - Kinshasa</v>
          </cell>
        </row>
        <row r="153">
          <cell r="A153" t="str">
            <v>Mozambique</v>
          </cell>
        </row>
        <row r="154">
          <cell r="A154" t="str">
            <v>Kyrgyzstan</v>
          </cell>
        </row>
        <row r="155">
          <cell r="A155" t="str">
            <v>Dominican Republic</v>
          </cell>
        </row>
        <row r="156">
          <cell r="A156" t="str">
            <v>Paraguay</v>
          </cell>
        </row>
        <row r="157">
          <cell r="A157" t="str">
            <v>Panama</v>
          </cell>
        </row>
        <row r="158">
          <cell r="A158" t="str">
            <v>Syria</v>
          </cell>
        </row>
        <row r="159">
          <cell r="A159" t="str">
            <v>Bolivia</v>
          </cell>
        </row>
        <row r="160">
          <cell r="A160" t="str">
            <v>Oman</v>
          </cell>
        </row>
        <row r="161">
          <cell r="A161" t="str">
            <v>Senegal</v>
          </cell>
        </row>
        <row r="162">
          <cell r="A162" t="str">
            <v>RÃ©union</v>
          </cell>
        </row>
        <row r="163">
          <cell r="A163" t="str">
            <v>Yemen</v>
          </cell>
        </row>
        <row r="164">
          <cell r="A164" t="str">
            <v>Libya</v>
          </cell>
        </row>
        <row r="165">
          <cell r="A165" t="str">
            <v>Sudan</v>
          </cell>
        </row>
        <row r="166">
          <cell r="A166" t="str">
            <v>Azerbaijan</v>
          </cell>
        </row>
        <row r="167">
          <cell r="A167" t="str">
            <v>Aruba</v>
          </cell>
        </row>
        <row r="168">
          <cell r="A168" t="str">
            <v>Anguilla</v>
          </cell>
        </row>
        <row r="169">
          <cell r="A169" t="str">
            <v>Andorra</v>
          </cell>
        </row>
        <row r="170">
          <cell r="A170" t="str">
            <v>American Samoa</v>
          </cell>
        </row>
        <row r="171">
          <cell r="A171" t="str">
            <v>Antarctica</v>
          </cell>
        </row>
        <row r="172">
          <cell r="A172" t="str">
            <v>French Southern Territories</v>
          </cell>
        </row>
        <row r="173">
          <cell r="A173" t="str">
            <v>Benin</v>
          </cell>
        </row>
        <row r="174">
          <cell r="A174" t="str">
            <v>Caribbean Netherlands</v>
          </cell>
        </row>
        <row r="175">
          <cell r="A175" t="str">
            <v>Burkina Faso</v>
          </cell>
        </row>
        <row r="176">
          <cell r="A176" t="str">
            <v>St. BarthÃ©lemy</v>
          </cell>
        </row>
        <row r="177">
          <cell r="A177" t="str">
            <v>Barbados</v>
          </cell>
        </row>
        <row r="178">
          <cell r="A178" t="str">
            <v>Bouvet Island</v>
          </cell>
        </row>
        <row r="179">
          <cell r="A179" t="str">
            <v>Central African Republic</v>
          </cell>
        </row>
        <row r="180">
          <cell r="A180" t="str">
            <v>Cocos (Keeling) Islands</v>
          </cell>
        </row>
        <row r="181">
          <cell r="A181" t="str">
            <v>CÃ´te dâ€™Ivoire</v>
          </cell>
        </row>
        <row r="182">
          <cell r="A182" t="str">
            <v>Cameroon</v>
          </cell>
        </row>
        <row r="183">
          <cell r="A183" t="str">
            <v>Congo - Brazzaville</v>
          </cell>
        </row>
        <row r="184">
          <cell r="A184" t="str">
            <v>Cook Islands</v>
          </cell>
        </row>
        <row r="185">
          <cell r="A185" t="str">
            <v>Comoros</v>
          </cell>
        </row>
        <row r="186">
          <cell r="A186" t="str">
            <v>Cape Verde</v>
          </cell>
        </row>
        <row r="187">
          <cell r="A187" t="str">
            <v>Cuba</v>
          </cell>
        </row>
        <row r="188">
          <cell r="A188" t="str">
            <v>Christmas Island</v>
          </cell>
        </row>
        <row r="189">
          <cell r="A189" t="str">
            <v>Cayman Islands</v>
          </cell>
        </row>
        <row r="190">
          <cell r="A190" t="str">
            <v>Djibouti</v>
          </cell>
        </row>
        <row r="191">
          <cell r="A191" t="str">
            <v>Dominica</v>
          </cell>
        </row>
        <row r="192">
          <cell r="A192" t="str">
            <v>Eritrea</v>
          </cell>
        </row>
        <row r="193">
          <cell r="A193" t="str">
            <v>Western Sahara</v>
          </cell>
        </row>
        <row r="194">
          <cell r="A194" t="str">
            <v>Falkland Islands (Islas Malvinas)</v>
          </cell>
        </row>
        <row r="195">
          <cell r="A195" t="str">
            <v>Gabon</v>
          </cell>
        </row>
        <row r="196">
          <cell r="A196" t="str">
            <v>Guernsey</v>
          </cell>
        </row>
        <row r="197">
          <cell r="A197" t="str">
            <v>Guadeloupe</v>
          </cell>
        </row>
        <row r="198">
          <cell r="A198" t="str">
            <v>Gambia</v>
          </cell>
        </row>
        <row r="199">
          <cell r="A199" t="str">
            <v>Guinea-Bissau</v>
          </cell>
        </row>
        <row r="200">
          <cell r="A200" t="str">
            <v>Equatorial Guinea</v>
          </cell>
        </row>
        <row r="201">
          <cell r="A201" t="str">
            <v>Grenada</v>
          </cell>
        </row>
        <row r="202">
          <cell r="A202" t="str">
            <v>Greenland</v>
          </cell>
        </row>
        <row r="203">
          <cell r="A203" t="str">
            <v>French Guiana</v>
          </cell>
        </row>
        <row r="204">
          <cell r="A204" t="str">
            <v>Heard &amp; McDonald Islands</v>
          </cell>
        </row>
        <row r="205">
          <cell r="A205" t="str">
            <v>Isle of Man</v>
          </cell>
        </row>
        <row r="206">
          <cell r="A206" t="str">
            <v>British Indian Ocean Territory</v>
          </cell>
        </row>
        <row r="207">
          <cell r="A207" t="str">
            <v>Kiribati</v>
          </cell>
        </row>
        <row r="208">
          <cell r="A208" t="str">
            <v>St. Kitts &amp; Nevis</v>
          </cell>
        </row>
        <row r="209">
          <cell r="A209" t="str">
            <v>Liberia</v>
          </cell>
        </row>
        <row r="210">
          <cell r="A210" t="str">
            <v>Liechtenstein</v>
          </cell>
        </row>
        <row r="211">
          <cell r="A211" t="str">
            <v>Lesotho</v>
          </cell>
        </row>
        <row r="212">
          <cell r="A212" t="str">
            <v>St. Martin</v>
          </cell>
        </row>
        <row r="213">
          <cell r="A213" t="str">
            <v>Monaco</v>
          </cell>
        </row>
        <row r="214">
          <cell r="A214" t="str">
            <v>Mali</v>
          </cell>
        </row>
        <row r="215">
          <cell r="A215" t="str">
            <v>Mauritania</v>
          </cell>
        </row>
        <row r="216">
          <cell r="A216" t="str">
            <v>Montserrat</v>
          </cell>
        </row>
        <row r="217">
          <cell r="A217" t="str">
            <v>Martinique</v>
          </cell>
        </row>
        <row r="218">
          <cell r="A218" t="str">
            <v>Mayotte</v>
          </cell>
        </row>
        <row r="219">
          <cell r="A219" t="str">
            <v>New Caledonia</v>
          </cell>
        </row>
        <row r="220">
          <cell r="A220" t="str">
            <v>Niger</v>
          </cell>
        </row>
        <row r="221">
          <cell r="A221" t="str">
            <v>Norfolk Island</v>
          </cell>
        </row>
        <row r="222">
          <cell r="A222" t="str">
            <v>Niue</v>
          </cell>
        </row>
        <row r="223">
          <cell r="A223" t="str">
            <v>Nauru</v>
          </cell>
        </row>
        <row r="224">
          <cell r="A224" t="str">
            <v>Pitcairn Islands</v>
          </cell>
        </row>
        <row r="225">
          <cell r="A225" t="str">
            <v>Palau</v>
          </cell>
        </row>
        <row r="226">
          <cell r="A226" t="str">
            <v>North Korea</v>
          </cell>
        </row>
        <row r="227">
          <cell r="A227" t="str">
            <v>Palestine</v>
          </cell>
        </row>
        <row r="228">
          <cell r="A228" t="str">
            <v>South Georgia &amp; South Sandwich Islands</v>
          </cell>
        </row>
        <row r="229">
          <cell r="A229" t="str">
            <v>Svalbard &amp; Jan Mayen</v>
          </cell>
        </row>
        <row r="230">
          <cell r="A230" t="str">
            <v>Solomon Islands</v>
          </cell>
        </row>
        <row r="231">
          <cell r="A231" t="str">
            <v>Sierra Leone</v>
          </cell>
        </row>
        <row r="232">
          <cell r="A232" t="str">
            <v>St. Pierre &amp; Miquelon</v>
          </cell>
        </row>
        <row r="233">
          <cell r="A233" t="str">
            <v>South Sudan</v>
          </cell>
        </row>
        <row r="234">
          <cell r="A234" t="str">
            <v>SÃ£o TomÃ© &amp; PrÃ­ncipe</v>
          </cell>
        </row>
        <row r="235">
          <cell r="A235" t="str">
            <v>Suriname</v>
          </cell>
        </row>
        <row r="236">
          <cell r="A236" t="str">
            <v>Eswatini</v>
          </cell>
        </row>
        <row r="237">
          <cell r="A237" t="str">
            <v>Seychelles</v>
          </cell>
        </row>
        <row r="238">
          <cell r="A238" t="str">
            <v>Turks &amp; Caicos Islands</v>
          </cell>
        </row>
        <row r="239">
          <cell r="A239" t="str">
            <v>Chad</v>
          </cell>
        </row>
        <row r="240">
          <cell r="A240" t="str">
            <v>Togo</v>
          </cell>
        </row>
        <row r="241">
          <cell r="A241" t="str">
            <v>Tajikistan</v>
          </cell>
        </row>
        <row r="242">
          <cell r="A242" t="str">
            <v>Tokelau</v>
          </cell>
        </row>
        <row r="243">
          <cell r="A243" t="str">
            <v>Turkmenistan</v>
          </cell>
        </row>
        <row r="244">
          <cell r="A244" t="str">
            <v>Timor-Leste</v>
          </cell>
        </row>
        <row r="245">
          <cell r="A245" t="str">
            <v>Tuvalu</v>
          </cell>
        </row>
        <row r="246">
          <cell r="A246" t="str">
            <v>U.S. Outlying Islands</v>
          </cell>
        </row>
        <row r="247">
          <cell r="A247" t="str">
            <v>Vatican City</v>
          </cell>
        </row>
        <row r="248">
          <cell r="A248" t="str">
            <v>St. Vincent &amp; Grenadines</v>
          </cell>
        </row>
        <row r="249">
          <cell r="A249" t="str">
            <v>British Virgin Islands</v>
          </cell>
        </row>
        <row r="250">
          <cell r="A250" t="str">
            <v>U.S. Virgin Islands</v>
          </cell>
        </row>
        <row r="251">
          <cell r="A251" t="str">
            <v>Vanuatu</v>
          </cell>
        </row>
        <row r="252">
          <cell r="A252" t="str">
            <v>Wallis &amp; Futuna</v>
          </cell>
        </row>
        <row r="253">
          <cell r="A253" t="str">
            <v>Samoa</v>
          </cell>
        </row>
      </sheetData>
    </sheetDataSet>
  </externalBook>
</externalLink>
</file>

<file path=xl/externalLinks/externalLink2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24)"/>
    </sheetNames>
    <sheetDataSet>
      <sheetData sheetId="0">
        <row r="1">
          <cell r="A1" t="str">
            <v>Kategori: TÃ¼m kategoriler</v>
          </cell>
        </row>
        <row r="3">
          <cell r="A3" t="str">
            <v>Ãœlke</v>
          </cell>
          <cell r="B3" t="str">
            <v>Sonlu durum makinesi: (2016)</v>
          </cell>
          <cell r="C3" t="str">
            <v>K-means KÃ¼meleme YÃ¶ntemi: (2016)</v>
          </cell>
        </row>
        <row r="4">
          <cell r="A4" t="str">
            <v>Micronesia</v>
          </cell>
          <cell r="B4">
            <v>1</v>
          </cell>
        </row>
        <row r="5">
          <cell r="A5" t="str">
            <v>Guam</v>
          </cell>
          <cell r="B5">
            <v>1</v>
          </cell>
        </row>
        <row r="6">
          <cell r="A6" t="str">
            <v>Cambodia</v>
          </cell>
          <cell r="C6">
            <v>1</v>
          </cell>
        </row>
        <row r="7">
          <cell r="A7" t="str">
            <v>China</v>
          </cell>
          <cell r="B7">
            <v>0.44</v>
          </cell>
          <cell r="C7">
            <v>0.56000000000000005</v>
          </cell>
        </row>
        <row r="8">
          <cell r="A8" t="str">
            <v>Fiji</v>
          </cell>
        </row>
        <row r="9">
          <cell r="A9" t="str">
            <v>Maldives</v>
          </cell>
        </row>
        <row r="10">
          <cell r="A10" t="str">
            <v>Macao</v>
          </cell>
        </row>
        <row r="11">
          <cell r="A11" t="str">
            <v>Singapore</v>
          </cell>
          <cell r="B11">
            <v>0.69</v>
          </cell>
          <cell r="C11">
            <v>0.31</v>
          </cell>
        </row>
        <row r="12">
          <cell r="A12" t="str">
            <v>St. Helena</v>
          </cell>
        </row>
        <row r="13">
          <cell r="A13" t="str">
            <v>Israel</v>
          </cell>
          <cell r="B13">
            <v>0.8</v>
          </cell>
          <cell r="C13">
            <v>0.2</v>
          </cell>
        </row>
        <row r="14">
          <cell r="A14" t="str">
            <v>South Korea</v>
          </cell>
          <cell r="B14">
            <v>0.57999999999999996</v>
          </cell>
          <cell r="C14">
            <v>0.42</v>
          </cell>
        </row>
        <row r="15">
          <cell r="A15" t="str">
            <v>Iceland</v>
          </cell>
        </row>
        <row r="16">
          <cell r="A16" t="str">
            <v>Hong Kong</v>
          </cell>
          <cell r="B16">
            <v>0.59</v>
          </cell>
          <cell r="C16">
            <v>0.41</v>
          </cell>
        </row>
        <row r="17">
          <cell r="A17" t="str">
            <v>Ethiopia</v>
          </cell>
        </row>
        <row r="18">
          <cell r="A18" t="str">
            <v>Nepal</v>
          </cell>
          <cell r="B18">
            <v>0.47</v>
          </cell>
          <cell r="C18">
            <v>0.53</v>
          </cell>
        </row>
        <row r="19">
          <cell r="A19" t="str">
            <v>India</v>
          </cell>
          <cell r="B19">
            <v>0.43</v>
          </cell>
          <cell r="C19">
            <v>0.56999999999999995</v>
          </cell>
        </row>
        <row r="20">
          <cell r="A20" t="str">
            <v>Pakistan</v>
          </cell>
          <cell r="B20">
            <v>0.48</v>
          </cell>
          <cell r="C20">
            <v>0.52</v>
          </cell>
        </row>
        <row r="21">
          <cell r="A21" t="str">
            <v>Tunisia</v>
          </cell>
          <cell r="B21">
            <v>0.46</v>
          </cell>
          <cell r="C21">
            <v>0.54</v>
          </cell>
        </row>
        <row r="22">
          <cell r="A22" t="str">
            <v>Taiwan</v>
          </cell>
          <cell r="B22">
            <v>0.48</v>
          </cell>
          <cell r="C22">
            <v>0.52</v>
          </cell>
        </row>
        <row r="23">
          <cell r="A23" t="str">
            <v>United States</v>
          </cell>
          <cell r="B23">
            <v>0.6</v>
          </cell>
          <cell r="C23">
            <v>0.4</v>
          </cell>
        </row>
        <row r="24">
          <cell r="A24" t="str">
            <v>Australia</v>
          </cell>
          <cell r="B24">
            <v>0.65</v>
          </cell>
          <cell r="C24">
            <v>0.35</v>
          </cell>
        </row>
        <row r="25">
          <cell r="A25" t="str">
            <v>Ireland</v>
          </cell>
          <cell r="B25">
            <v>0.62</v>
          </cell>
          <cell r="C25">
            <v>0.38</v>
          </cell>
        </row>
        <row r="26">
          <cell r="A26" t="str">
            <v>New Zealand</v>
          </cell>
          <cell r="B26">
            <v>0.68</v>
          </cell>
          <cell r="C26">
            <v>0.32</v>
          </cell>
        </row>
        <row r="27">
          <cell r="A27" t="str">
            <v>Mauritius</v>
          </cell>
        </row>
        <row r="28">
          <cell r="A28" t="str">
            <v>Slovenia</v>
          </cell>
        </row>
        <row r="29">
          <cell r="A29" t="str">
            <v>Canada</v>
          </cell>
          <cell r="B29">
            <v>0.62</v>
          </cell>
          <cell r="C29">
            <v>0.38</v>
          </cell>
        </row>
        <row r="30">
          <cell r="A30" t="str">
            <v>Czechia</v>
          </cell>
          <cell r="B30">
            <v>0.7</v>
          </cell>
          <cell r="C30">
            <v>0.3</v>
          </cell>
        </row>
        <row r="31">
          <cell r="A31" t="str">
            <v>United Kingdom</v>
          </cell>
          <cell r="B31">
            <v>0.67</v>
          </cell>
          <cell r="C31">
            <v>0.33</v>
          </cell>
        </row>
        <row r="32">
          <cell r="A32" t="str">
            <v>Iran</v>
          </cell>
          <cell r="B32">
            <v>0.32</v>
          </cell>
          <cell r="C32">
            <v>0.68</v>
          </cell>
        </row>
        <row r="33">
          <cell r="A33" t="str">
            <v>Ghana</v>
          </cell>
        </row>
        <row r="34">
          <cell r="A34" t="str">
            <v>Latvia</v>
          </cell>
        </row>
        <row r="35">
          <cell r="A35" t="str">
            <v>South Africa</v>
          </cell>
          <cell r="B35">
            <v>0.72</v>
          </cell>
          <cell r="C35">
            <v>0.28000000000000003</v>
          </cell>
        </row>
        <row r="36">
          <cell r="A36" t="str">
            <v>Norway</v>
          </cell>
          <cell r="B36">
            <v>0.68</v>
          </cell>
          <cell r="C36">
            <v>0.32</v>
          </cell>
        </row>
        <row r="37">
          <cell r="A37" t="str">
            <v>Switzerland</v>
          </cell>
          <cell r="B37">
            <v>0.55000000000000004</v>
          </cell>
          <cell r="C37">
            <v>0.45</v>
          </cell>
        </row>
        <row r="38">
          <cell r="A38" t="str">
            <v>Belarus</v>
          </cell>
        </row>
        <row r="39">
          <cell r="A39" t="str">
            <v>Germany</v>
          </cell>
          <cell r="B39">
            <v>0.68</v>
          </cell>
          <cell r="C39">
            <v>0.32</v>
          </cell>
        </row>
        <row r="40">
          <cell r="A40" t="str">
            <v>Bangladesh</v>
          </cell>
          <cell r="B40">
            <v>0.28999999999999998</v>
          </cell>
          <cell r="C40">
            <v>0.71</v>
          </cell>
        </row>
        <row r="41">
          <cell r="A41" t="str">
            <v>Estonia</v>
          </cell>
        </row>
        <row r="42">
          <cell r="A42" t="str">
            <v>Slovakia</v>
          </cell>
          <cell r="B42">
            <v>0.72</v>
          </cell>
          <cell r="C42">
            <v>0.28000000000000003</v>
          </cell>
        </row>
        <row r="43">
          <cell r="A43" t="str">
            <v>Russia</v>
          </cell>
          <cell r="B43">
            <v>0.75</v>
          </cell>
          <cell r="C43">
            <v>0.25</v>
          </cell>
        </row>
        <row r="44">
          <cell r="A44" t="str">
            <v>Romania</v>
          </cell>
          <cell r="B44">
            <v>0.76</v>
          </cell>
          <cell r="C44">
            <v>0.24</v>
          </cell>
        </row>
        <row r="45">
          <cell r="A45" t="str">
            <v>Myanmar (Burma)</v>
          </cell>
        </row>
        <row r="46">
          <cell r="A46" t="str">
            <v>Sri Lanka</v>
          </cell>
          <cell r="B46">
            <v>0.55000000000000004</v>
          </cell>
          <cell r="C46">
            <v>0.45</v>
          </cell>
        </row>
        <row r="47">
          <cell r="A47" t="str">
            <v>Croatia</v>
          </cell>
        </row>
        <row r="48">
          <cell r="A48" t="str">
            <v>Malaysia</v>
          </cell>
          <cell r="B48">
            <v>0.68</v>
          </cell>
          <cell r="C48">
            <v>0.32</v>
          </cell>
        </row>
        <row r="49">
          <cell r="A49" t="str">
            <v>Austria</v>
          </cell>
          <cell r="B49">
            <v>0.62</v>
          </cell>
          <cell r="C49">
            <v>0.38</v>
          </cell>
        </row>
        <row r="50">
          <cell r="A50" t="str">
            <v>Sweden</v>
          </cell>
          <cell r="B50">
            <v>0.67</v>
          </cell>
          <cell r="C50">
            <v>0.33</v>
          </cell>
        </row>
        <row r="51">
          <cell r="A51" t="str">
            <v>Finland</v>
          </cell>
          <cell r="B51">
            <v>0.61</v>
          </cell>
          <cell r="C51">
            <v>0.39</v>
          </cell>
        </row>
        <row r="52">
          <cell r="A52" t="str">
            <v>Uzbekistan</v>
          </cell>
        </row>
        <row r="53">
          <cell r="A53" t="str">
            <v>Philippines</v>
          </cell>
          <cell r="B53">
            <v>0.65</v>
          </cell>
          <cell r="C53">
            <v>0.35</v>
          </cell>
        </row>
        <row r="54">
          <cell r="A54" t="str">
            <v>Netherlands</v>
          </cell>
          <cell r="B54">
            <v>0.57999999999999996</v>
          </cell>
          <cell r="C54">
            <v>0.42</v>
          </cell>
        </row>
        <row r="55">
          <cell r="A55" t="str">
            <v>Nigeria</v>
          </cell>
          <cell r="B55">
            <v>0.71</v>
          </cell>
          <cell r="C55">
            <v>0.28999999999999998</v>
          </cell>
        </row>
        <row r="56">
          <cell r="A56" t="str">
            <v>Guatemala</v>
          </cell>
          <cell r="B56">
            <v>1</v>
          </cell>
        </row>
        <row r="57">
          <cell r="A57" t="str">
            <v>Ukraine</v>
          </cell>
          <cell r="B57">
            <v>0.79</v>
          </cell>
          <cell r="C57">
            <v>0.21</v>
          </cell>
        </row>
        <row r="58">
          <cell r="A58" t="str">
            <v>Greece</v>
          </cell>
          <cell r="B58">
            <v>0.48</v>
          </cell>
          <cell r="C58">
            <v>0.52</v>
          </cell>
        </row>
        <row r="59">
          <cell r="A59" t="str">
            <v>Hungary</v>
          </cell>
          <cell r="B59">
            <v>0.75</v>
          </cell>
          <cell r="C59">
            <v>0.25</v>
          </cell>
        </row>
        <row r="60">
          <cell r="A60" t="str">
            <v>United Arab Emirates</v>
          </cell>
          <cell r="B60">
            <v>0.47</v>
          </cell>
          <cell r="C60">
            <v>0.53</v>
          </cell>
        </row>
        <row r="61">
          <cell r="A61" t="str">
            <v>Denmark</v>
          </cell>
          <cell r="B61">
            <v>0.56000000000000005</v>
          </cell>
          <cell r="C61">
            <v>0.44</v>
          </cell>
        </row>
        <row r="62">
          <cell r="A62" t="str">
            <v>Kenya</v>
          </cell>
          <cell r="B62">
            <v>0.73</v>
          </cell>
          <cell r="C62">
            <v>0.27</v>
          </cell>
        </row>
        <row r="63">
          <cell r="A63" t="str">
            <v>Bulgaria</v>
          </cell>
        </row>
        <row r="64">
          <cell r="A64" t="str">
            <v>Portugal</v>
          </cell>
          <cell r="B64">
            <v>0.53</v>
          </cell>
          <cell r="C64">
            <v>0.47</v>
          </cell>
        </row>
        <row r="65">
          <cell r="A65" t="str">
            <v>Serbia</v>
          </cell>
          <cell r="B65">
            <v>0.68</v>
          </cell>
          <cell r="C65">
            <v>0.32</v>
          </cell>
        </row>
        <row r="66">
          <cell r="A66" t="str">
            <v>Indonesia</v>
          </cell>
          <cell r="B66">
            <v>0.41</v>
          </cell>
          <cell r="C66">
            <v>0.59</v>
          </cell>
        </row>
        <row r="67">
          <cell r="A67" t="str">
            <v>Poland</v>
          </cell>
          <cell r="B67">
            <v>0.72</v>
          </cell>
          <cell r="C67">
            <v>0.28000000000000003</v>
          </cell>
        </row>
        <row r="68">
          <cell r="A68" t="str">
            <v>Mexico</v>
          </cell>
          <cell r="B68">
            <v>0.75</v>
          </cell>
          <cell r="C68">
            <v>0.25</v>
          </cell>
        </row>
        <row r="69">
          <cell r="A69" t="str">
            <v>Bosnia &amp; Herzegovina</v>
          </cell>
        </row>
        <row r="70">
          <cell r="A70" t="str">
            <v>Algeria</v>
          </cell>
          <cell r="B70">
            <v>0.28999999999999998</v>
          </cell>
          <cell r="C70">
            <v>0.71</v>
          </cell>
        </row>
        <row r="71">
          <cell r="A71" t="str">
            <v>Lebanon</v>
          </cell>
        </row>
        <row r="72">
          <cell r="A72" t="str">
            <v>Belgium</v>
          </cell>
          <cell r="B72">
            <v>0.56999999999999995</v>
          </cell>
          <cell r="C72">
            <v>0.43</v>
          </cell>
        </row>
        <row r="73">
          <cell r="A73" t="str">
            <v>Japan</v>
          </cell>
          <cell r="B73">
            <v>0.48</v>
          </cell>
          <cell r="C73">
            <v>0.52</v>
          </cell>
        </row>
        <row r="74">
          <cell r="A74" t="str">
            <v>Laos</v>
          </cell>
        </row>
        <row r="75">
          <cell r="A75" t="str">
            <v>France</v>
          </cell>
          <cell r="B75">
            <v>0.38</v>
          </cell>
          <cell r="C75">
            <v>0.62</v>
          </cell>
        </row>
        <row r="76">
          <cell r="A76" t="str">
            <v>Lithuania</v>
          </cell>
        </row>
        <row r="77">
          <cell r="A77" t="str">
            <v>Colombia</v>
          </cell>
          <cell r="B77">
            <v>0.67</v>
          </cell>
          <cell r="C77">
            <v>0.33</v>
          </cell>
        </row>
        <row r="78">
          <cell r="A78" t="str">
            <v>Italy</v>
          </cell>
          <cell r="B78">
            <v>0.67</v>
          </cell>
          <cell r="C78">
            <v>0.33</v>
          </cell>
        </row>
        <row r="79">
          <cell r="A79" t="str">
            <v>Morocco</v>
          </cell>
          <cell r="B79">
            <v>0.4</v>
          </cell>
          <cell r="C79">
            <v>0.6</v>
          </cell>
        </row>
        <row r="80">
          <cell r="A80" t="str">
            <v>Turkey</v>
          </cell>
          <cell r="B80">
            <v>0.67</v>
          </cell>
          <cell r="C80">
            <v>0.33</v>
          </cell>
        </row>
        <row r="81">
          <cell r="A81" t="str">
            <v>Jordan</v>
          </cell>
        </row>
        <row r="82">
          <cell r="A82" t="str">
            <v>Costa Rica</v>
          </cell>
        </row>
        <row r="83">
          <cell r="A83" t="str">
            <v>Georgia</v>
          </cell>
        </row>
        <row r="84">
          <cell r="A84" t="str">
            <v>Bolivia</v>
          </cell>
        </row>
        <row r="85">
          <cell r="A85" t="str">
            <v>Ecuador</v>
          </cell>
          <cell r="B85">
            <v>0.62</v>
          </cell>
          <cell r="C85">
            <v>0.38</v>
          </cell>
        </row>
        <row r="86">
          <cell r="A86" t="str">
            <v>Egypt</v>
          </cell>
          <cell r="B86">
            <v>0.39</v>
          </cell>
          <cell r="C86">
            <v>0.61</v>
          </cell>
        </row>
        <row r="87">
          <cell r="A87" t="str">
            <v>Tanzania</v>
          </cell>
        </row>
        <row r="88">
          <cell r="A88" t="str">
            <v>Spain</v>
          </cell>
          <cell r="B88">
            <v>0.42</v>
          </cell>
          <cell r="C88">
            <v>0.57999999999999996</v>
          </cell>
        </row>
        <row r="89">
          <cell r="A89" t="str">
            <v>Chile</v>
          </cell>
          <cell r="B89">
            <v>0.51</v>
          </cell>
          <cell r="C89">
            <v>0.49</v>
          </cell>
        </row>
        <row r="90">
          <cell r="A90" t="str">
            <v>Iraq</v>
          </cell>
        </row>
        <row r="91">
          <cell r="A91" t="str">
            <v>Kazakhstan</v>
          </cell>
        </row>
        <row r="92">
          <cell r="A92" t="str">
            <v>Peru</v>
          </cell>
          <cell r="B92">
            <v>0.66</v>
          </cell>
          <cell r="C92">
            <v>0.34</v>
          </cell>
        </row>
        <row r="93">
          <cell r="A93" t="str">
            <v>Argentina</v>
          </cell>
          <cell r="B93">
            <v>0.72</v>
          </cell>
          <cell r="C93">
            <v>0.28000000000000003</v>
          </cell>
        </row>
        <row r="94">
          <cell r="A94" t="str">
            <v>Thailand</v>
          </cell>
          <cell r="B94">
            <v>0.5</v>
          </cell>
          <cell r="C94">
            <v>0.5</v>
          </cell>
        </row>
        <row r="95">
          <cell r="A95" t="str">
            <v>Brazil</v>
          </cell>
          <cell r="B95">
            <v>0.64</v>
          </cell>
          <cell r="C95">
            <v>0.36</v>
          </cell>
        </row>
        <row r="96">
          <cell r="A96" t="str">
            <v>Vietnam</v>
          </cell>
          <cell r="B96">
            <v>0.49</v>
          </cell>
          <cell r="C96">
            <v>0.51</v>
          </cell>
        </row>
        <row r="97">
          <cell r="A97" t="str">
            <v>Saudi Arabia</v>
          </cell>
          <cell r="B97">
            <v>0.49</v>
          </cell>
          <cell r="C97">
            <v>0.51</v>
          </cell>
        </row>
        <row r="98">
          <cell r="A98" t="str">
            <v>Venezuela</v>
          </cell>
          <cell r="B98">
            <v>1</v>
          </cell>
        </row>
        <row r="99">
          <cell r="A99" t="str">
            <v>Kiribati</v>
          </cell>
        </row>
        <row r="100">
          <cell r="A100" t="str">
            <v>Palau</v>
          </cell>
        </row>
        <row r="101">
          <cell r="A101" t="str">
            <v>Marshall Islands</v>
          </cell>
        </row>
        <row r="102">
          <cell r="A102" t="str">
            <v>Northern Mariana Islands</v>
          </cell>
        </row>
        <row r="103">
          <cell r="A103" t="str">
            <v>Tonga</v>
          </cell>
        </row>
        <row r="104">
          <cell r="A104" t="str">
            <v>American Samoa</v>
          </cell>
        </row>
        <row r="105">
          <cell r="A105" t="str">
            <v>Vanuatu</v>
          </cell>
        </row>
        <row r="106">
          <cell r="A106" t="str">
            <v>Samoa</v>
          </cell>
        </row>
        <row r="107">
          <cell r="A107" t="str">
            <v>Solomon Islands</v>
          </cell>
        </row>
        <row r="108">
          <cell r="A108" t="str">
            <v>Equatorial Guinea</v>
          </cell>
        </row>
        <row r="109">
          <cell r="A109" t="str">
            <v>British Virgin Islands</v>
          </cell>
        </row>
        <row r="110">
          <cell r="A110" t="str">
            <v>San Marino</v>
          </cell>
        </row>
        <row r="111">
          <cell r="A111" t="str">
            <v>Greenland</v>
          </cell>
        </row>
        <row r="112">
          <cell r="A112" t="str">
            <v>Papua New Guinea</v>
          </cell>
        </row>
        <row r="113">
          <cell r="A113" t="str">
            <v>Seychelles</v>
          </cell>
        </row>
        <row r="114">
          <cell r="A114" t="str">
            <v>Sint Maarten</v>
          </cell>
        </row>
        <row r="115">
          <cell r="A115" t="str">
            <v>Andorra</v>
          </cell>
        </row>
        <row r="116">
          <cell r="A116" t="str">
            <v>Faroe Islands</v>
          </cell>
        </row>
        <row r="117">
          <cell r="A117" t="str">
            <v>Gibraltar</v>
          </cell>
        </row>
        <row r="118">
          <cell r="A118" t="str">
            <v>U.S. Virgin Islands</v>
          </cell>
        </row>
        <row r="119">
          <cell r="A119" t="str">
            <v>Malta</v>
          </cell>
        </row>
        <row r="120">
          <cell r="A120" t="str">
            <v>Mayotte</v>
          </cell>
        </row>
        <row r="121">
          <cell r="A121" t="str">
            <v>CuraÃ§ao</v>
          </cell>
        </row>
        <row r="122">
          <cell r="A122" t="str">
            <v>Antigua &amp; Barbuda</v>
          </cell>
        </row>
        <row r="123">
          <cell r="A123" t="str">
            <v>Eswatini</v>
          </cell>
        </row>
        <row r="124">
          <cell r="A124" t="str">
            <v>Timor-Leste</v>
          </cell>
        </row>
        <row r="125">
          <cell r="A125" t="str">
            <v>St. Lucia</v>
          </cell>
        </row>
        <row r="126">
          <cell r="A126" t="str">
            <v>Guernsey</v>
          </cell>
        </row>
        <row r="127">
          <cell r="A127" t="str">
            <v>South Sudan</v>
          </cell>
        </row>
        <row r="128">
          <cell r="A128" t="str">
            <v>Cuba</v>
          </cell>
        </row>
        <row r="129">
          <cell r="A129" t="str">
            <v>Lesotho</v>
          </cell>
        </row>
        <row r="130">
          <cell r="A130" t="str">
            <v>Bhutan</v>
          </cell>
        </row>
        <row r="131">
          <cell r="A131" t="str">
            <v>Barbados</v>
          </cell>
        </row>
        <row r="132">
          <cell r="A132" t="str">
            <v>Cape Verde</v>
          </cell>
        </row>
        <row r="133">
          <cell r="A133" t="str">
            <v>Palestine</v>
          </cell>
        </row>
        <row r="134">
          <cell r="A134" t="str">
            <v>Botswana</v>
          </cell>
        </row>
        <row r="135">
          <cell r="A135" t="str">
            <v>Belize</v>
          </cell>
        </row>
        <row r="136">
          <cell r="A136" t="str">
            <v>Zimbabwe</v>
          </cell>
        </row>
        <row r="137">
          <cell r="A137" t="str">
            <v>French Polynesia</v>
          </cell>
        </row>
        <row r="138">
          <cell r="A138" t="str">
            <v>Jersey</v>
          </cell>
        </row>
        <row r="139">
          <cell r="A139" t="str">
            <v>Turkmenistan</v>
          </cell>
        </row>
        <row r="140">
          <cell r="A140" t="str">
            <v>Zambia</v>
          </cell>
        </row>
        <row r="141">
          <cell r="A141" t="str">
            <v>Haiti</v>
          </cell>
        </row>
        <row r="142">
          <cell r="A142" t="str">
            <v>Rwanda</v>
          </cell>
        </row>
        <row r="143">
          <cell r="A143" t="str">
            <v>Luxembourg</v>
          </cell>
        </row>
        <row r="144">
          <cell r="A144" t="str">
            <v>Tajikistan</v>
          </cell>
        </row>
        <row r="145">
          <cell r="A145" t="str">
            <v>Burkina Faso</v>
          </cell>
        </row>
        <row r="146">
          <cell r="A146" t="str">
            <v>New Caledonia</v>
          </cell>
        </row>
        <row r="147">
          <cell r="A147" t="str">
            <v>Uganda</v>
          </cell>
        </row>
        <row r="148">
          <cell r="A148" t="str">
            <v>Benin</v>
          </cell>
        </row>
        <row r="149">
          <cell r="A149" t="str">
            <v>Jamaica</v>
          </cell>
        </row>
        <row r="150">
          <cell r="A150" t="str">
            <v>North Macedonia</v>
          </cell>
        </row>
        <row r="151">
          <cell r="A151" t="str">
            <v>Guyana</v>
          </cell>
        </row>
        <row r="152">
          <cell r="A152" t="str">
            <v>Cyprus</v>
          </cell>
        </row>
        <row r="153">
          <cell r="A153" t="str">
            <v>Montenegro</v>
          </cell>
        </row>
        <row r="154">
          <cell r="A154" t="str">
            <v>Afghanistan</v>
          </cell>
        </row>
        <row r="155">
          <cell r="A155" t="str">
            <v>Armenia</v>
          </cell>
        </row>
        <row r="156">
          <cell r="A156" t="str">
            <v>Brunei</v>
          </cell>
        </row>
        <row r="157">
          <cell r="A157" t="str">
            <v>Malawi</v>
          </cell>
        </row>
        <row r="158">
          <cell r="A158" t="str">
            <v>Nicaragua</v>
          </cell>
        </row>
        <row r="159">
          <cell r="A159" t="str">
            <v>Trinidad &amp; Tobago</v>
          </cell>
        </row>
        <row r="160">
          <cell r="A160" t="str">
            <v>Cameroon</v>
          </cell>
        </row>
        <row r="161">
          <cell r="A161" t="str">
            <v>Puerto Rico</v>
          </cell>
        </row>
        <row r="162">
          <cell r="A162" t="str">
            <v>Bahamas</v>
          </cell>
        </row>
        <row r="163">
          <cell r="A163" t="str">
            <v>Angola</v>
          </cell>
        </row>
        <row r="164">
          <cell r="A164" t="str">
            <v>Oman</v>
          </cell>
        </row>
        <row r="165">
          <cell r="A165" t="str">
            <v>Mali</v>
          </cell>
        </row>
        <row r="166">
          <cell r="A166" t="str">
            <v>Martinique</v>
          </cell>
        </row>
        <row r="167">
          <cell r="A167" t="str">
            <v>Honduras</v>
          </cell>
        </row>
        <row r="168">
          <cell r="A168" t="str">
            <v>Kosovo</v>
          </cell>
        </row>
        <row r="169">
          <cell r="A169" t="str">
            <v>Congo - Kinshasa</v>
          </cell>
        </row>
        <row r="170">
          <cell r="A170" t="str">
            <v>Mozambique</v>
          </cell>
        </row>
        <row r="171">
          <cell r="A171" t="str">
            <v>Qatar</v>
          </cell>
        </row>
        <row r="172">
          <cell r="A172" t="str">
            <v>Guadeloupe</v>
          </cell>
        </row>
        <row r="173">
          <cell r="A173" t="str">
            <v>Kuwait</v>
          </cell>
        </row>
        <row r="174">
          <cell r="A174" t="str">
            <v>Moldova</v>
          </cell>
        </row>
        <row r="175">
          <cell r="A175" t="str">
            <v>Madagascar</v>
          </cell>
        </row>
        <row r="176">
          <cell r="A176" t="str">
            <v>Kyrgyzstan</v>
          </cell>
        </row>
        <row r="177">
          <cell r="A177" t="str">
            <v>Bahrain</v>
          </cell>
        </row>
        <row r="178">
          <cell r="A178" t="str">
            <v>Albania</v>
          </cell>
        </row>
        <row r="179">
          <cell r="A179" t="str">
            <v>Sudan</v>
          </cell>
        </row>
        <row r="180">
          <cell r="A180" t="str">
            <v>Syria</v>
          </cell>
        </row>
        <row r="181">
          <cell r="A181" t="str">
            <v>Mongolia</v>
          </cell>
        </row>
        <row r="182">
          <cell r="A182" t="str">
            <v>Uruguay</v>
          </cell>
        </row>
        <row r="183">
          <cell r="A183" t="str">
            <v>Paraguay</v>
          </cell>
        </row>
        <row r="184">
          <cell r="A184" t="str">
            <v>Panama</v>
          </cell>
        </row>
        <row r="185">
          <cell r="A185" t="str">
            <v>Azerbaijan</v>
          </cell>
        </row>
        <row r="186">
          <cell r="A186" t="str">
            <v>CÃ´te dâ€™Ivoire</v>
          </cell>
        </row>
        <row r="187">
          <cell r="A187" t="str">
            <v>Dominican Republic</v>
          </cell>
        </row>
        <row r="188">
          <cell r="A188" t="str">
            <v>Yemen</v>
          </cell>
        </row>
        <row r="189">
          <cell r="A189" t="str">
            <v>El Salvador</v>
          </cell>
        </row>
        <row r="190">
          <cell r="A190" t="str">
            <v>Aruba</v>
          </cell>
        </row>
        <row r="191">
          <cell r="A191" t="str">
            <v>Anguilla</v>
          </cell>
        </row>
        <row r="192">
          <cell r="A192" t="str">
            <v>Ã…land Islands</v>
          </cell>
        </row>
        <row r="193">
          <cell r="A193" t="str">
            <v>Antarctica</v>
          </cell>
        </row>
        <row r="194">
          <cell r="A194" t="str">
            <v>French Southern Territories</v>
          </cell>
        </row>
        <row r="195">
          <cell r="A195" t="str">
            <v>Burundi</v>
          </cell>
        </row>
        <row r="196">
          <cell r="A196" t="str">
            <v>Caribbean Netherlands</v>
          </cell>
        </row>
        <row r="197">
          <cell r="A197" t="str">
            <v>St. BarthÃ©lemy</v>
          </cell>
        </row>
        <row r="198">
          <cell r="A198" t="str">
            <v>Bermuda</v>
          </cell>
        </row>
        <row r="199">
          <cell r="A199" t="str">
            <v>Bouvet Island</v>
          </cell>
        </row>
        <row r="200">
          <cell r="A200" t="str">
            <v>Central African Republic</v>
          </cell>
        </row>
        <row r="201">
          <cell r="A201" t="str">
            <v>Cocos (Keeling) Islands</v>
          </cell>
        </row>
        <row r="202">
          <cell r="A202" t="str">
            <v>Congo - Brazzaville</v>
          </cell>
        </row>
        <row r="203">
          <cell r="A203" t="str">
            <v>Cook Islands</v>
          </cell>
        </row>
        <row r="204">
          <cell r="A204" t="str">
            <v>Comoros</v>
          </cell>
        </row>
        <row r="205">
          <cell r="A205" t="str">
            <v>Christmas Island</v>
          </cell>
        </row>
        <row r="206">
          <cell r="A206" t="str">
            <v>Cayman Islands</v>
          </cell>
        </row>
        <row r="207">
          <cell r="A207" t="str">
            <v>Djibouti</v>
          </cell>
        </row>
        <row r="208">
          <cell r="A208" t="str">
            <v>Dominica</v>
          </cell>
        </row>
        <row r="209">
          <cell r="A209" t="str">
            <v>Eritrea</v>
          </cell>
        </row>
        <row r="210">
          <cell r="A210" t="str">
            <v>Western Sahara</v>
          </cell>
        </row>
        <row r="211">
          <cell r="A211" t="str">
            <v>Falkland Islands (Islas Malvinas)</v>
          </cell>
        </row>
        <row r="212">
          <cell r="A212" t="str">
            <v>Gabon</v>
          </cell>
        </row>
        <row r="213">
          <cell r="A213" t="str">
            <v>Guinea</v>
          </cell>
        </row>
        <row r="214">
          <cell r="A214" t="str">
            <v>Gambia</v>
          </cell>
        </row>
        <row r="215">
          <cell r="A215" t="str">
            <v>Guinea-Bissau</v>
          </cell>
        </row>
        <row r="216">
          <cell r="A216" t="str">
            <v>Grenada</v>
          </cell>
        </row>
        <row r="217">
          <cell r="A217" t="str">
            <v>French Guiana</v>
          </cell>
        </row>
        <row r="218">
          <cell r="A218" t="str">
            <v>Heard &amp; McDonald Islands</v>
          </cell>
        </row>
        <row r="219">
          <cell r="A219" t="str">
            <v>Isle of Man</v>
          </cell>
        </row>
        <row r="220">
          <cell r="A220" t="str">
            <v>British Indian Ocean Territory</v>
          </cell>
        </row>
        <row r="221">
          <cell r="A221" t="str">
            <v>St. Kitts &amp; Nevis</v>
          </cell>
        </row>
        <row r="222">
          <cell r="A222" t="str">
            <v>Liberia</v>
          </cell>
        </row>
        <row r="223">
          <cell r="A223" t="str">
            <v>Libya</v>
          </cell>
        </row>
        <row r="224">
          <cell r="A224" t="str">
            <v>Liechtenstein</v>
          </cell>
        </row>
        <row r="225">
          <cell r="A225" t="str">
            <v>St. Martin</v>
          </cell>
        </row>
        <row r="226">
          <cell r="A226" t="str">
            <v>Monaco</v>
          </cell>
        </row>
        <row r="227">
          <cell r="A227" t="str">
            <v>Mauritania</v>
          </cell>
        </row>
        <row r="228">
          <cell r="A228" t="str">
            <v>Montserrat</v>
          </cell>
        </row>
        <row r="229">
          <cell r="A229" t="str">
            <v>Namibia</v>
          </cell>
        </row>
        <row r="230">
          <cell r="A230" t="str">
            <v>Niger</v>
          </cell>
        </row>
        <row r="231">
          <cell r="A231" t="str">
            <v>Norfolk Island</v>
          </cell>
        </row>
        <row r="232">
          <cell r="A232" t="str">
            <v>Niue</v>
          </cell>
        </row>
        <row r="233">
          <cell r="A233" t="str">
            <v>Nauru</v>
          </cell>
        </row>
        <row r="234">
          <cell r="A234" t="str">
            <v>Pitcairn Islands</v>
          </cell>
        </row>
        <row r="235">
          <cell r="A235" t="str">
            <v>North Korea</v>
          </cell>
        </row>
        <row r="236">
          <cell r="A236" t="str">
            <v>RÃ©union</v>
          </cell>
        </row>
        <row r="237">
          <cell r="A237" t="str">
            <v>Senegal</v>
          </cell>
        </row>
        <row r="238">
          <cell r="A238" t="str">
            <v>South Georgia &amp; South Sandwich Islands</v>
          </cell>
        </row>
        <row r="239">
          <cell r="A239" t="str">
            <v>Svalbard &amp; Jan Mayen</v>
          </cell>
        </row>
        <row r="240">
          <cell r="A240" t="str">
            <v>Sierra Leone</v>
          </cell>
        </row>
        <row r="241">
          <cell r="A241" t="str">
            <v>Somalia</v>
          </cell>
        </row>
        <row r="242">
          <cell r="A242" t="str">
            <v>St. Pierre &amp; Miquelon</v>
          </cell>
        </row>
        <row r="243">
          <cell r="A243" t="str">
            <v>SÃ£o TomÃ© &amp; PrÃ­ncipe</v>
          </cell>
        </row>
        <row r="244">
          <cell r="A244" t="str">
            <v>Suriname</v>
          </cell>
        </row>
        <row r="245">
          <cell r="A245" t="str">
            <v>Turks &amp; Caicos Islands</v>
          </cell>
        </row>
        <row r="246">
          <cell r="A246" t="str">
            <v>Chad</v>
          </cell>
        </row>
        <row r="247">
          <cell r="A247" t="str">
            <v>Togo</v>
          </cell>
        </row>
        <row r="248">
          <cell r="A248" t="str">
            <v>Tokelau</v>
          </cell>
        </row>
        <row r="249">
          <cell r="A249" t="str">
            <v>Tuvalu</v>
          </cell>
        </row>
        <row r="250">
          <cell r="A250" t="str">
            <v>U.S. Outlying Islands</v>
          </cell>
        </row>
        <row r="251">
          <cell r="A251" t="str">
            <v>Vatican City</v>
          </cell>
        </row>
        <row r="252">
          <cell r="A252" t="str">
            <v>St. Vincent &amp; Grenadines</v>
          </cell>
        </row>
        <row r="253">
          <cell r="A253" t="str">
            <v>Wallis &amp; Futuna</v>
          </cell>
        </row>
      </sheetData>
    </sheetDataSet>
  </externalBook>
</externalLink>
</file>

<file path=xl/externalLinks/externalLink2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25)"/>
    </sheetNames>
    <sheetDataSet>
      <sheetData sheetId="0">
        <row r="1">
          <cell r="A1" t="str">
            <v>Kategori: TÃ¼m kategoriler</v>
          </cell>
        </row>
        <row r="3">
          <cell r="A3" t="str">
            <v>Ãœlke</v>
          </cell>
          <cell r="B3" t="str">
            <v>K-means KÃ¼meleme YÃ¶ntemi: (2016)</v>
          </cell>
          <cell r="C3" t="str">
            <v>Semafor: (2016)</v>
          </cell>
        </row>
        <row r="4">
          <cell r="A4" t="str">
            <v>Cambodia</v>
          </cell>
          <cell r="B4">
            <v>1</v>
          </cell>
        </row>
        <row r="5">
          <cell r="A5" t="str">
            <v>China</v>
          </cell>
          <cell r="B5">
            <v>0.57999999999999996</v>
          </cell>
          <cell r="C5">
            <v>0.42</v>
          </cell>
        </row>
        <row r="6">
          <cell r="A6" t="str">
            <v>Australia</v>
          </cell>
          <cell r="B6">
            <v>0.11</v>
          </cell>
          <cell r="C6">
            <v>0.89</v>
          </cell>
        </row>
        <row r="7">
          <cell r="A7" t="str">
            <v>Palestine</v>
          </cell>
        </row>
        <row r="8">
          <cell r="A8" t="str">
            <v>South Korea</v>
          </cell>
          <cell r="B8">
            <v>0.49</v>
          </cell>
          <cell r="C8">
            <v>0.51</v>
          </cell>
        </row>
        <row r="9">
          <cell r="A9" t="str">
            <v>Singapore</v>
          </cell>
          <cell r="B9">
            <v>0.62</v>
          </cell>
          <cell r="C9">
            <v>0.38</v>
          </cell>
        </row>
        <row r="10">
          <cell r="A10" t="str">
            <v>India</v>
          </cell>
          <cell r="B10">
            <v>0.51</v>
          </cell>
          <cell r="C10">
            <v>0.49</v>
          </cell>
        </row>
        <row r="11">
          <cell r="A11" t="str">
            <v>France</v>
          </cell>
          <cell r="B11">
            <v>0.2</v>
          </cell>
          <cell r="C11">
            <v>0.8</v>
          </cell>
        </row>
        <row r="12">
          <cell r="A12" t="str">
            <v>Fiji</v>
          </cell>
        </row>
        <row r="13">
          <cell r="A13" t="str">
            <v>St. Helena</v>
          </cell>
        </row>
        <row r="14">
          <cell r="A14" t="str">
            <v>Nepal</v>
          </cell>
        </row>
        <row r="15">
          <cell r="A15" t="str">
            <v>Israel</v>
          </cell>
          <cell r="B15">
            <v>0.36</v>
          </cell>
          <cell r="C15">
            <v>0.64</v>
          </cell>
        </row>
        <row r="16">
          <cell r="A16" t="str">
            <v>Tunisia</v>
          </cell>
          <cell r="B16">
            <v>0.52</v>
          </cell>
          <cell r="C16">
            <v>0.48</v>
          </cell>
        </row>
        <row r="17">
          <cell r="A17" t="str">
            <v>Pakistan</v>
          </cell>
          <cell r="B17">
            <v>0.64</v>
          </cell>
          <cell r="C17">
            <v>0.36</v>
          </cell>
        </row>
        <row r="18">
          <cell r="A18" t="str">
            <v>Slovakia</v>
          </cell>
          <cell r="B18">
            <v>0.2</v>
          </cell>
          <cell r="C18">
            <v>0.8</v>
          </cell>
        </row>
        <row r="19">
          <cell r="A19" t="str">
            <v>Hong Kong</v>
          </cell>
          <cell r="B19">
            <v>0.62</v>
          </cell>
          <cell r="C19">
            <v>0.38</v>
          </cell>
        </row>
        <row r="20">
          <cell r="A20" t="str">
            <v>Taiwan</v>
          </cell>
          <cell r="B20">
            <v>0.55000000000000004</v>
          </cell>
          <cell r="C20">
            <v>0.45</v>
          </cell>
        </row>
        <row r="21">
          <cell r="A21" t="str">
            <v>Bangladesh</v>
          </cell>
          <cell r="B21">
            <v>0.8</v>
          </cell>
          <cell r="C21">
            <v>0.2</v>
          </cell>
        </row>
        <row r="22">
          <cell r="A22" t="str">
            <v>Iceland</v>
          </cell>
        </row>
        <row r="23">
          <cell r="A23" t="str">
            <v>Iran</v>
          </cell>
          <cell r="B23">
            <v>0.76</v>
          </cell>
          <cell r="C23">
            <v>0.24</v>
          </cell>
        </row>
        <row r="24">
          <cell r="A24" t="str">
            <v>Myanmar (Burma)</v>
          </cell>
        </row>
        <row r="25">
          <cell r="A25" t="str">
            <v>North Macedonia</v>
          </cell>
        </row>
        <row r="26">
          <cell r="A26" t="str">
            <v>Belgium</v>
          </cell>
          <cell r="B26">
            <v>0.25</v>
          </cell>
          <cell r="C26">
            <v>0.75</v>
          </cell>
        </row>
        <row r="27">
          <cell r="A27" t="str">
            <v>Zimbabwe</v>
          </cell>
        </row>
        <row r="28">
          <cell r="A28" t="str">
            <v>Switzerland</v>
          </cell>
          <cell r="B28">
            <v>0.47</v>
          </cell>
          <cell r="C28">
            <v>0.53</v>
          </cell>
        </row>
        <row r="29">
          <cell r="A29" t="str">
            <v>Ethiopia</v>
          </cell>
        </row>
        <row r="30">
          <cell r="A30" t="str">
            <v>United States</v>
          </cell>
          <cell r="B30">
            <v>0.55000000000000004</v>
          </cell>
          <cell r="C30">
            <v>0.45</v>
          </cell>
        </row>
        <row r="31">
          <cell r="A31" t="str">
            <v>Senegal</v>
          </cell>
        </row>
        <row r="32">
          <cell r="A32" t="str">
            <v>Ireland</v>
          </cell>
          <cell r="B32">
            <v>0.55000000000000004</v>
          </cell>
          <cell r="C32">
            <v>0.45</v>
          </cell>
        </row>
        <row r="33">
          <cell r="A33" t="str">
            <v>Canada</v>
          </cell>
          <cell r="B33">
            <v>0.47</v>
          </cell>
          <cell r="C33">
            <v>0.53</v>
          </cell>
        </row>
        <row r="34">
          <cell r="A34" t="str">
            <v>Austria</v>
          </cell>
          <cell r="B34">
            <v>0.37</v>
          </cell>
          <cell r="C34">
            <v>0.63</v>
          </cell>
        </row>
        <row r="35">
          <cell r="A35" t="str">
            <v>Sweden</v>
          </cell>
          <cell r="B35">
            <v>0.38</v>
          </cell>
          <cell r="C35">
            <v>0.62</v>
          </cell>
        </row>
        <row r="36">
          <cell r="A36" t="str">
            <v>New Zealand</v>
          </cell>
          <cell r="B36">
            <v>0.4</v>
          </cell>
          <cell r="C36">
            <v>0.6</v>
          </cell>
        </row>
        <row r="37">
          <cell r="A37" t="str">
            <v>Kenya</v>
          </cell>
        </row>
        <row r="38">
          <cell r="A38" t="str">
            <v>Slovenia</v>
          </cell>
        </row>
        <row r="39">
          <cell r="A39" t="str">
            <v>Germany</v>
          </cell>
          <cell r="B39">
            <v>0.4</v>
          </cell>
          <cell r="C39">
            <v>0.6</v>
          </cell>
        </row>
        <row r="40">
          <cell r="A40" t="str">
            <v>Belarus</v>
          </cell>
        </row>
        <row r="41">
          <cell r="A41" t="str">
            <v>Greece</v>
          </cell>
          <cell r="B41">
            <v>0.56000000000000005</v>
          </cell>
          <cell r="C41">
            <v>0.44</v>
          </cell>
        </row>
        <row r="42">
          <cell r="A42" t="str">
            <v>Sri Lanka</v>
          </cell>
        </row>
        <row r="43">
          <cell r="A43" t="str">
            <v>Japan</v>
          </cell>
          <cell r="B43">
            <v>0.4</v>
          </cell>
          <cell r="C43">
            <v>0.6</v>
          </cell>
        </row>
        <row r="44">
          <cell r="A44" t="str">
            <v>United Kingdom</v>
          </cell>
          <cell r="B44">
            <v>0.45</v>
          </cell>
          <cell r="C44">
            <v>0.55000000000000004</v>
          </cell>
        </row>
        <row r="45">
          <cell r="A45" t="str">
            <v>Hungary</v>
          </cell>
          <cell r="B45">
            <v>0.31</v>
          </cell>
          <cell r="C45">
            <v>0.69</v>
          </cell>
        </row>
        <row r="46">
          <cell r="A46" t="str">
            <v>Czechia</v>
          </cell>
          <cell r="B46">
            <v>0.45</v>
          </cell>
          <cell r="C46">
            <v>0.55000000000000004</v>
          </cell>
        </row>
        <row r="47">
          <cell r="A47" t="str">
            <v>Cameroon</v>
          </cell>
        </row>
        <row r="48">
          <cell r="A48" t="str">
            <v>Estonia</v>
          </cell>
        </row>
        <row r="49">
          <cell r="A49" t="str">
            <v>Lebanon</v>
          </cell>
        </row>
        <row r="50">
          <cell r="A50" t="str">
            <v>Algeria</v>
          </cell>
          <cell r="B50">
            <v>0.42</v>
          </cell>
          <cell r="C50">
            <v>0.57999999999999996</v>
          </cell>
        </row>
        <row r="51">
          <cell r="A51" t="str">
            <v>Denmark</v>
          </cell>
          <cell r="B51">
            <v>0.44</v>
          </cell>
          <cell r="C51">
            <v>0.56000000000000005</v>
          </cell>
        </row>
        <row r="52">
          <cell r="A52" t="str">
            <v>Moldova</v>
          </cell>
        </row>
        <row r="53">
          <cell r="A53" t="str">
            <v>Portugal</v>
          </cell>
          <cell r="B53">
            <v>0.47</v>
          </cell>
          <cell r="C53">
            <v>0.53</v>
          </cell>
        </row>
        <row r="54">
          <cell r="A54" t="str">
            <v>United Arab Emirates</v>
          </cell>
          <cell r="B54">
            <v>0.65</v>
          </cell>
          <cell r="C54">
            <v>0.35</v>
          </cell>
        </row>
        <row r="55">
          <cell r="A55" t="str">
            <v>Indonesia</v>
          </cell>
          <cell r="B55">
            <v>0.63</v>
          </cell>
          <cell r="C55">
            <v>0.37</v>
          </cell>
        </row>
        <row r="56">
          <cell r="A56" t="str">
            <v>Serbia</v>
          </cell>
          <cell r="B56">
            <v>0.34</v>
          </cell>
          <cell r="C56">
            <v>0.66</v>
          </cell>
        </row>
        <row r="57">
          <cell r="A57" t="str">
            <v>Croatia</v>
          </cell>
        </row>
        <row r="58">
          <cell r="A58" t="str">
            <v>Finland</v>
          </cell>
          <cell r="B58">
            <v>0.47</v>
          </cell>
          <cell r="C58">
            <v>0.53</v>
          </cell>
        </row>
        <row r="59">
          <cell r="A59" t="str">
            <v>Netherlands</v>
          </cell>
          <cell r="B59">
            <v>0.53</v>
          </cell>
          <cell r="C59">
            <v>0.47</v>
          </cell>
        </row>
        <row r="60">
          <cell r="A60" t="str">
            <v>Philippines</v>
          </cell>
          <cell r="B60">
            <v>0.47</v>
          </cell>
          <cell r="C60">
            <v>0.53</v>
          </cell>
        </row>
        <row r="61">
          <cell r="A61" t="str">
            <v>Romania</v>
          </cell>
          <cell r="B61">
            <v>0.41</v>
          </cell>
          <cell r="C61">
            <v>0.59</v>
          </cell>
        </row>
        <row r="62">
          <cell r="A62" t="str">
            <v>Norway</v>
          </cell>
          <cell r="B62">
            <v>0.48</v>
          </cell>
          <cell r="C62">
            <v>0.52</v>
          </cell>
        </row>
        <row r="63">
          <cell r="A63" t="str">
            <v>Bulgaria</v>
          </cell>
        </row>
        <row r="64">
          <cell r="A64" t="str">
            <v>Egypt</v>
          </cell>
          <cell r="B64">
            <v>0.61</v>
          </cell>
          <cell r="C64">
            <v>0.39</v>
          </cell>
        </row>
        <row r="65">
          <cell r="A65" t="str">
            <v>Latvia</v>
          </cell>
        </row>
        <row r="66">
          <cell r="A66" t="str">
            <v>Russia</v>
          </cell>
          <cell r="B66">
            <v>0.4</v>
          </cell>
          <cell r="C66">
            <v>0.6</v>
          </cell>
        </row>
        <row r="67">
          <cell r="A67" t="str">
            <v>Poland</v>
          </cell>
          <cell r="B67">
            <v>0.31</v>
          </cell>
          <cell r="C67">
            <v>0.69</v>
          </cell>
        </row>
        <row r="68">
          <cell r="A68" t="str">
            <v>Morocco</v>
          </cell>
          <cell r="B68">
            <v>0.5</v>
          </cell>
          <cell r="C68">
            <v>0.5</v>
          </cell>
        </row>
        <row r="69">
          <cell r="A69" t="str">
            <v>Ukraine</v>
          </cell>
          <cell r="B69">
            <v>0.31</v>
          </cell>
          <cell r="C69">
            <v>0.69</v>
          </cell>
        </row>
        <row r="70">
          <cell r="A70" t="str">
            <v>Tanzania</v>
          </cell>
        </row>
        <row r="71">
          <cell r="A71" t="str">
            <v>South Africa</v>
          </cell>
          <cell r="B71">
            <v>0.54</v>
          </cell>
          <cell r="C71">
            <v>0.46</v>
          </cell>
        </row>
        <row r="72">
          <cell r="A72" t="str">
            <v>Spain</v>
          </cell>
          <cell r="B72">
            <v>0.56000000000000005</v>
          </cell>
          <cell r="C72">
            <v>0.44</v>
          </cell>
        </row>
        <row r="73">
          <cell r="A73" t="str">
            <v>Malaysia</v>
          </cell>
          <cell r="B73">
            <v>0.56000000000000005</v>
          </cell>
          <cell r="C73">
            <v>0.44</v>
          </cell>
        </row>
        <row r="74">
          <cell r="A74" t="str">
            <v>Jordan</v>
          </cell>
        </row>
        <row r="75">
          <cell r="A75" t="str">
            <v>Nigeria</v>
          </cell>
          <cell r="B75">
            <v>0.47</v>
          </cell>
          <cell r="C75">
            <v>0.53</v>
          </cell>
        </row>
        <row r="76">
          <cell r="A76" t="str">
            <v>Oman</v>
          </cell>
        </row>
        <row r="77">
          <cell r="A77" t="str">
            <v>Chile</v>
          </cell>
        </row>
        <row r="78">
          <cell r="A78" t="str">
            <v>Iraq</v>
          </cell>
          <cell r="B78">
            <v>1</v>
          </cell>
        </row>
        <row r="79">
          <cell r="A79" t="str">
            <v>Uruguay</v>
          </cell>
        </row>
        <row r="80">
          <cell r="A80" t="str">
            <v>Lithuania</v>
          </cell>
        </row>
        <row r="81">
          <cell r="A81" t="str">
            <v>Vietnam</v>
          </cell>
          <cell r="B81">
            <v>0.48</v>
          </cell>
          <cell r="C81">
            <v>0.52</v>
          </cell>
        </row>
        <row r="82">
          <cell r="A82" t="str">
            <v>Italy</v>
          </cell>
          <cell r="B82">
            <v>0.44</v>
          </cell>
          <cell r="C82">
            <v>0.56000000000000005</v>
          </cell>
        </row>
        <row r="83">
          <cell r="A83" t="str">
            <v>Thailand</v>
          </cell>
          <cell r="B83">
            <v>0.66</v>
          </cell>
          <cell r="C83">
            <v>0.34</v>
          </cell>
        </row>
        <row r="84">
          <cell r="A84" t="str">
            <v>Colombia</v>
          </cell>
          <cell r="B84">
            <v>0.78</v>
          </cell>
          <cell r="C84">
            <v>0.22</v>
          </cell>
        </row>
        <row r="85">
          <cell r="A85" t="str">
            <v>Ecuador</v>
          </cell>
          <cell r="B85">
            <v>1</v>
          </cell>
        </row>
        <row r="86">
          <cell r="A86" t="str">
            <v>Saudi Arabia</v>
          </cell>
          <cell r="B86">
            <v>0.56999999999999995</v>
          </cell>
          <cell r="C86">
            <v>0.43</v>
          </cell>
        </row>
        <row r="87">
          <cell r="A87" t="str">
            <v>Bolivia</v>
          </cell>
        </row>
        <row r="88">
          <cell r="A88" t="str">
            <v>Turkey</v>
          </cell>
          <cell r="B88">
            <v>0.54</v>
          </cell>
          <cell r="C88">
            <v>0.46</v>
          </cell>
        </row>
        <row r="89">
          <cell r="A89" t="str">
            <v>Kazakhstan</v>
          </cell>
        </row>
        <row r="90">
          <cell r="A90" t="str">
            <v>Mexico</v>
          </cell>
          <cell r="B90">
            <v>0.61</v>
          </cell>
          <cell r="C90">
            <v>0.39</v>
          </cell>
        </row>
        <row r="91">
          <cell r="A91" t="str">
            <v>Guatemala</v>
          </cell>
        </row>
        <row r="92">
          <cell r="A92" t="str">
            <v>Peru</v>
          </cell>
        </row>
        <row r="93">
          <cell r="A93" t="str">
            <v>Bosnia &amp; Herzegovina</v>
          </cell>
        </row>
        <row r="94">
          <cell r="A94" t="str">
            <v>Argentina</v>
          </cell>
          <cell r="B94">
            <v>0.45</v>
          </cell>
          <cell r="C94">
            <v>0.55000000000000004</v>
          </cell>
        </row>
        <row r="95">
          <cell r="A95" t="str">
            <v>Brazil</v>
          </cell>
          <cell r="B95">
            <v>0.59</v>
          </cell>
          <cell r="C95">
            <v>0.41</v>
          </cell>
        </row>
        <row r="96">
          <cell r="A96" t="str">
            <v>Venezuela</v>
          </cell>
        </row>
        <row r="97">
          <cell r="A97" t="str">
            <v>British Virgin Islands</v>
          </cell>
        </row>
        <row r="98">
          <cell r="A98" t="str">
            <v>St. Kitts &amp; Nevis</v>
          </cell>
        </row>
        <row r="99">
          <cell r="A99" t="str">
            <v>Faroe Islands</v>
          </cell>
        </row>
        <row r="100">
          <cell r="A100" t="str">
            <v>Grenada</v>
          </cell>
        </row>
        <row r="101">
          <cell r="A101" t="str">
            <v>Cuba</v>
          </cell>
        </row>
        <row r="102">
          <cell r="A102" t="str">
            <v>Antigua &amp; Barbuda</v>
          </cell>
        </row>
        <row r="103">
          <cell r="A103" t="str">
            <v>Bermuda</v>
          </cell>
        </row>
        <row r="104">
          <cell r="A104" t="str">
            <v>Timor-Leste</v>
          </cell>
        </row>
        <row r="105">
          <cell r="A105" t="str">
            <v>Bhutan</v>
          </cell>
        </row>
        <row r="106">
          <cell r="A106" t="str">
            <v>Maldives</v>
          </cell>
        </row>
        <row r="107">
          <cell r="A107" t="str">
            <v>Barbados</v>
          </cell>
        </row>
        <row r="108">
          <cell r="A108" t="str">
            <v>CuraÃ§ao</v>
          </cell>
        </row>
        <row r="109">
          <cell r="A109" t="str">
            <v>Brunei</v>
          </cell>
        </row>
        <row r="110">
          <cell r="A110" t="str">
            <v>Macao</v>
          </cell>
        </row>
        <row r="111">
          <cell r="A111" t="str">
            <v>Belize</v>
          </cell>
        </row>
        <row r="112">
          <cell r="A112" t="str">
            <v>Rwanda</v>
          </cell>
        </row>
        <row r="113">
          <cell r="A113" t="str">
            <v>Mauritius</v>
          </cell>
        </row>
        <row r="114">
          <cell r="A114" t="str">
            <v>Papua New Guinea</v>
          </cell>
        </row>
        <row r="115">
          <cell r="A115" t="str">
            <v>Jersey</v>
          </cell>
        </row>
        <row r="116">
          <cell r="A116" t="str">
            <v>Congo - Kinshasa</v>
          </cell>
        </row>
        <row r="117">
          <cell r="A117" t="str">
            <v>Guadeloupe</v>
          </cell>
        </row>
        <row r="118">
          <cell r="A118" t="str">
            <v>Guam</v>
          </cell>
        </row>
        <row r="119">
          <cell r="A119" t="str">
            <v>New Caledonia</v>
          </cell>
        </row>
        <row r="120">
          <cell r="A120" t="str">
            <v>Afghanistan</v>
          </cell>
        </row>
        <row r="121">
          <cell r="A121" t="str">
            <v>Botswana</v>
          </cell>
        </row>
        <row r="122">
          <cell r="A122" t="str">
            <v>Congo - Brazzaville</v>
          </cell>
        </row>
        <row r="123">
          <cell r="A123" t="str">
            <v>Madagascar</v>
          </cell>
        </row>
        <row r="124">
          <cell r="A124" t="str">
            <v>Guyana</v>
          </cell>
        </row>
        <row r="125">
          <cell r="A125" t="str">
            <v>Syria</v>
          </cell>
        </row>
        <row r="126">
          <cell r="A126" t="str">
            <v>Suriname</v>
          </cell>
        </row>
        <row r="127">
          <cell r="A127" t="str">
            <v>Malawi</v>
          </cell>
        </row>
        <row r="128">
          <cell r="A128" t="str">
            <v>Kosovo</v>
          </cell>
        </row>
        <row r="129">
          <cell r="A129" t="str">
            <v>Bahamas</v>
          </cell>
        </row>
        <row r="130">
          <cell r="A130" t="str">
            <v>Montenegro</v>
          </cell>
        </row>
        <row r="131">
          <cell r="A131" t="str">
            <v>Uganda</v>
          </cell>
        </row>
        <row r="132">
          <cell r="A132" t="str">
            <v>Cyprus</v>
          </cell>
        </row>
        <row r="133">
          <cell r="A133" t="str">
            <v>Mongolia</v>
          </cell>
        </row>
        <row r="134">
          <cell r="A134" t="str">
            <v>Haiti</v>
          </cell>
        </row>
        <row r="135">
          <cell r="A135" t="str">
            <v>Malta</v>
          </cell>
        </row>
        <row r="136">
          <cell r="A136" t="str">
            <v>Zambia</v>
          </cell>
        </row>
        <row r="137">
          <cell r="A137" t="str">
            <v>Bahrain</v>
          </cell>
        </row>
        <row r="138">
          <cell r="A138" t="str">
            <v>Trinidad &amp; Tobago</v>
          </cell>
        </row>
        <row r="139">
          <cell r="A139" t="str">
            <v>Sudan</v>
          </cell>
        </row>
        <row r="140">
          <cell r="A140" t="str">
            <v>Luxembourg</v>
          </cell>
        </row>
        <row r="141">
          <cell r="A141" t="str">
            <v>Ghana</v>
          </cell>
        </row>
        <row r="142">
          <cell r="A142" t="str">
            <v>Kuwait</v>
          </cell>
        </row>
        <row r="143">
          <cell r="A143" t="str">
            <v>Laos</v>
          </cell>
        </row>
        <row r="144">
          <cell r="A144" t="str">
            <v>Costa Rica</v>
          </cell>
        </row>
        <row r="145">
          <cell r="A145" t="str">
            <v>Angola</v>
          </cell>
        </row>
        <row r="146">
          <cell r="A146" t="str">
            <v>Jamaica</v>
          </cell>
        </row>
        <row r="147">
          <cell r="A147" t="str">
            <v>Libya</v>
          </cell>
        </row>
        <row r="148">
          <cell r="A148" t="str">
            <v>Qatar</v>
          </cell>
        </row>
        <row r="149">
          <cell r="A149" t="str">
            <v>Armenia</v>
          </cell>
        </row>
        <row r="150">
          <cell r="A150" t="str">
            <v>RÃ©union</v>
          </cell>
        </row>
        <row r="151">
          <cell r="A151" t="str">
            <v>El Salvador</v>
          </cell>
        </row>
        <row r="152">
          <cell r="A152" t="str">
            <v>Albania</v>
          </cell>
        </row>
        <row r="153">
          <cell r="A153" t="str">
            <v>Kyrgyzstan</v>
          </cell>
        </row>
        <row r="154">
          <cell r="A154" t="str">
            <v>Azerbaijan</v>
          </cell>
        </row>
        <row r="155">
          <cell r="A155" t="str">
            <v>Paraguay</v>
          </cell>
        </row>
        <row r="156">
          <cell r="A156" t="str">
            <v>Uzbekistan</v>
          </cell>
        </row>
        <row r="157">
          <cell r="A157" t="str">
            <v>Georgia</v>
          </cell>
        </row>
        <row r="158">
          <cell r="A158" t="str">
            <v>Yemen</v>
          </cell>
        </row>
        <row r="159">
          <cell r="A159" t="str">
            <v>Honduras</v>
          </cell>
        </row>
        <row r="160">
          <cell r="A160" t="str">
            <v>Puerto Rico</v>
          </cell>
        </row>
        <row r="161">
          <cell r="A161" t="str">
            <v>Panama</v>
          </cell>
        </row>
        <row r="162">
          <cell r="A162" t="str">
            <v>Dominican Republic</v>
          </cell>
        </row>
        <row r="163">
          <cell r="A163" t="str">
            <v>Aruba</v>
          </cell>
        </row>
        <row r="164">
          <cell r="A164" t="str">
            <v>Anguilla</v>
          </cell>
        </row>
        <row r="165">
          <cell r="A165" t="str">
            <v>Ã…land Islands</v>
          </cell>
        </row>
        <row r="166">
          <cell r="A166" t="str">
            <v>Andorra</v>
          </cell>
        </row>
        <row r="167">
          <cell r="A167" t="str">
            <v>American Samoa</v>
          </cell>
        </row>
        <row r="168">
          <cell r="A168" t="str">
            <v>Antarctica</v>
          </cell>
        </row>
        <row r="169">
          <cell r="A169" t="str">
            <v>French Southern Territories</v>
          </cell>
        </row>
        <row r="170">
          <cell r="A170" t="str">
            <v>Burundi</v>
          </cell>
        </row>
        <row r="171">
          <cell r="A171" t="str">
            <v>Benin</v>
          </cell>
        </row>
        <row r="172">
          <cell r="A172" t="str">
            <v>Caribbean Netherlands</v>
          </cell>
        </row>
        <row r="173">
          <cell r="A173" t="str">
            <v>Burkina Faso</v>
          </cell>
        </row>
        <row r="174">
          <cell r="A174" t="str">
            <v>St. BarthÃ©lemy</v>
          </cell>
        </row>
        <row r="175">
          <cell r="A175" t="str">
            <v>Bouvet Island</v>
          </cell>
        </row>
        <row r="176">
          <cell r="A176" t="str">
            <v>Central African Republic</v>
          </cell>
        </row>
        <row r="177">
          <cell r="A177" t="str">
            <v>Cocos (Keeling) Islands</v>
          </cell>
        </row>
        <row r="178">
          <cell r="A178" t="str">
            <v>CÃ´te dâ€™Ivoire</v>
          </cell>
        </row>
        <row r="179">
          <cell r="A179" t="str">
            <v>Cook Islands</v>
          </cell>
        </row>
        <row r="180">
          <cell r="A180" t="str">
            <v>Comoros</v>
          </cell>
        </row>
        <row r="181">
          <cell r="A181" t="str">
            <v>Cape Verde</v>
          </cell>
        </row>
        <row r="182">
          <cell r="A182" t="str">
            <v>Christmas Island</v>
          </cell>
        </row>
        <row r="183">
          <cell r="A183" t="str">
            <v>Cayman Islands</v>
          </cell>
        </row>
        <row r="184">
          <cell r="A184" t="str">
            <v>Djibouti</v>
          </cell>
        </row>
        <row r="185">
          <cell r="A185" t="str">
            <v>Dominica</v>
          </cell>
        </row>
        <row r="186">
          <cell r="A186" t="str">
            <v>Eritrea</v>
          </cell>
        </row>
        <row r="187">
          <cell r="A187" t="str">
            <v>Western Sahara</v>
          </cell>
        </row>
        <row r="188">
          <cell r="A188" t="str">
            <v>Falkland Islands (Islas Malvinas)</v>
          </cell>
        </row>
        <row r="189">
          <cell r="A189" t="str">
            <v>Micronesia</v>
          </cell>
        </row>
        <row r="190">
          <cell r="A190" t="str">
            <v>Gabon</v>
          </cell>
        </row>
        <row r="191">
          <cell r="A191" t="str">
            <v>Guernsey</v>
          </cell>
        </row>
        <row r="192">
          <cell r="A192" t="str">
            <v>Gibraltar</v>
          </cell>
        </row>
        <row r="193">
          <cell r="A193" t="str">
            <v>Guinea</v>
          </cell>
        </row>
        <row r="194">
          <cell r="A194" t="str">
            <v>Gambia</v>
          </cell>
        </row>
        <row r="195">
          <cell r="A195" t="str">
            <v>Guinea-Bissau</v>
          </cell>
        </row>
        <row r="196">
          <cell r="A196" t="str">
            <v>Equatorial Guinea</v>
          </cell>
        </row>
        <row r="197">
          <cell r="A197" t="str">
            <v>Greenland</v>
          </cell>
        </row>
        <row r="198">
          <cell r="A198" t="str">
            <v>French Guiana</v>
          </cell>
        </row>
        <row r="199">
          <cell r="A199" t="str">
            <v>Heard &amp; McDonald Islands</v>
          </cell>
        </row>
        <row r="200">
          <cell r="A200" t="str">
            <v>Isle of Man</v>
          </cell>
        </row>
        <row r="201">
          <cell r="A201" t="str">
            <v>British Indian Ocean Territory</v>
          </cell>
        </row>
        <row r="202">
          <cell r="A202" t="str">
            <v>Kiribati</v>
          </cell>
        </row>
        <row r="203">
          <cell r="A203" t="str">
            <v>Liberia</v>
          </cell>
        </row>
        <row r="204">
          <cell r="A204" t="str">
            <v>St. Lucia</v>
          </cell>
        </row>
        <row r="205">
          <cell r="A205" t="str">
            <v>Liechtenstein</v>
          </cell>
        </row>
        <row r="206">
          <cell r="A206" t="str">
            <v>Lesotho</v>
          </cell>
        </row>
        <row r="207">
          <cell r="A207" t="str">
            <v>St. Martin</v>
          </cell>
        </row>
        <row r="208">
          <cell r="A208" t="str">
            <v>Monaco</v>
          </cell>
        </row>
        <row r="209">
          <cell r="A209" t="str">
            <v>Marshall Islands</v>
          </cell>
        </row>
        <row r="210">
          <cell r="A210" t="str">
            <v>Mali</v>
          </cell>
        </row>
        <row r="211">
          <cell r="A211" t="str">
            <v>Northern Mariana Islands</v>
          </cell>
        </row>
        <row r="212">
          <cell r="A212" t="str">
            <v>Mozambique</v>
          </cell>
        </row>
        <row r="213">
          <cell r="A213" t="str">
            <v>Mauritania</v>
          </cell>
        </row>
        <row r="214">
          <cell r="A214" t="str">
            <v>Montserrat</v>
          </cell>
        </row>
        <row r="215">
          <cell r="A215" t="str">
            <v>Martinique</v>
          </cell>
        </row>
        <row r="216">
          <cell r="A216" t="str">
            <v>Mayotte</v>
          </cell>
        </row>
        <row r="217">
          <cell r="A217" t="str">
            <v>Namibia</v>
          </cell>
        </row>
        <row r="218">
          <cell r="A218" t="str">
            <v>Niger</v>
          </cell>
        </row>
        <row r="219">
          <cell r="A219" t="str">
            <v>Norfolk Island</v>
          </cell>
        </row>
        <row r="220">
          <cell r="A220" t="str">
            <v>Nicaragua</v>
          </cell>
        </row>
        <row r="221">
          <cell r="A221" t="str">
            <v>Niue</v>
          </cell>
        </row>
        <row r="222">
          <cell r="A222" t="str">
            <v>Nauru</v>
          </cell>
        </row>
        <row r="223">
          <cell r="A223" t="str">
            <v>Pitcairn Islands</v>
          </cell>
        </row>
        <row r="224">
          <cell r="A224" t="str">
            <v>Palau</v>
          </cell>
        </row>
        <row r="225">
          <cell r="A225" t="str">
            <v>North Korea</v>
          </cell>
        </row>
        <row r="226">
          <cell r="A226" t="str">
            <v>French Polynesia</v>
          </cell>
        </row>
        <row r="227">
          <cell r="A227" t="str">
            <v>South Georgia &amp; South Sandwich Islands</v>
          </cell>
        </row>
        <row r="228">
          <cell r="A228" t="str">
            <v>Svalbard &amp; Jan Mayen</v>
          </cell>
        </row>
        <row r="229">
          <cell r="A229" t="str">
            <v>Solomon Islands</v>
          </cell>
        </row>
        <row r="230">
          <cell r="A230" t="str">
            <v>Sierra Leone</v>
          </cell>
        </row>
        <row r="231">
          <cell r="A231" t="str">
            <v>San Marino</v>
          </cell>
        </row>
        <row r="232">
          <cell r="A232" t="str">
            <v>Somalia</v>
          </cell>
        </row>
        <row r="233">
          <cell r="A233" t="str">
            <v>St. Pierre &amp; Miquelon</v>
          </cell>
        </row>
        <row r="234">
          <cell r="A234" t="str">
            <v>South Sudan</v>
          </cell>
        </row>
        <row r="235">
          <cell r="A235" t="str">
            <v>SÃ£o TomÃ© &amp; PrÃ­ncipe</v>
          </cell>
        </row>
        <row r="236">
          <cell r="A236" t="str">
            <v>Eswatini</v>
          </cell>
        </row>
        <row r="237">
          <cell r="A237" t="str">
            <v>Sint Maarten</v>
          </cell>
        </row>
        <row r="238">
          <cell r="A238" t="str">
            <v>Seychelles</v>
          </cell>
        </row>
        <row r="239">
          <cell r="A239" t="str">
            <v>Turks &amp; Caicos Islands</v>
          </cell>
        </row>
        <row r="240">
          <cell r="A240" t="str">
            <v>Chad</v>
          </cell>
        </row>
        <row r="241">
          <cell r="A241" t="str">
            <v>Togo</v>
          </cell>
        </row>
        <row r="242">
          <cell r="A242" t="str">
            <v>Tajikistan</v>
          </cell>
        </row>
        <row r="243">
          <cell r="A243" t="str">
            <v>Tokelau</v>
          </cell>
        </row>
        <row r="244">
          <cell r="A244" t="str">
            <v>Turkmenistan</v>
          </cell>
        </row>
        <row r="245">
          <cell r="A245" t="str">
            <v>Tonga</v>
          </cell>
        </row>
        <row r="246">
          <cell r="A246" t="str">
            <v>Tuvalu</v>
          </cell>
        </row>
        <row r="247">
          <cell r="A247" t="str">
            <v>U.S. Outlying Islands</v>
          </cell>
        </row>
        <row r="248">
          <cell r="A248" t="str">
            <v>Vatican City</v>
          </cell>
        </row>
        <row r="249">
          <cell r="A249" t="str">
            <v>St. Vincent &amp; Grenadines</v>
          </cell>
        </row>
        <row r="250">
          <cell r="A250" t="str">
            <v>U.S. Virgin Islands</v>
          </cell>
        </row>
        <row r="251">
          <cell r="A251" t="str">
            <v>Vanuatu</v>
          </cell>
        </row>
        <row r="252">
          <cell r="A252" t="str">
            <v>Wallis &amp; Futuna</v>
          </cell>
        </row>
        <row r="253">
          <cell r="A253" t="str">
            <v>Samoa</v>
          </cell>
        </row>
      </sheetData>
    </sheetDataSet>
  </externalBook>
</externalLink>
</file>

<file path=xl/externalLinks/externalLink2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30)"/>
    </sheetNames>
    <sheetDataSet>
      <sheetData sheetId="0">
        <row r="1">
          <cell r="A1" t="str">
            <v>Category: All categories</v>
          </cell>
        </row>
        <row r="3">
          <cell r="A3" t="str">
            <v>Country</v>
          </cell>
          <cell r="B3" t="str">
            <v>Artificial neural network: (2016)</v>
          </cell>
          <cell r="C3" t="str">
            <v>Heap: (2016)</v>
          </cell>
        </row>
        <row r="4">
          <cell r="A4" t="str">
            <v>China</v>
          </cell>
          <cell r="B4">
            <v>0.76</v>
          </cell>
          <cell r="C4">
            <v>0.24</v>
          </cell>
        </row>
        <row r="5">
          <cell r="A5" t="str">
            <v>South Korea</v>
          </cell>
          <cell r="B5">
            <v>0.6</v>
          </cell>
          <cell r="C5">
            <v>0.4</v>
          </cell>
        </row>
        <row r="6">
          <cell r="A6" t="str">
            <v>Cuba</v>
          </cell>
        </row>
        <row r="7">
          <cell r="A7" t="str">
            <v>Croatia</v>
          </cell>
          <cell r="B7">
            <v>0.85</v>
          </cell>
          <cell r="C7">
            <v>0.15</v>
          </cell>
        </row>
        <row r="8">
          <cell r="A8" t="str">
            <v>Taiwan</v>
          </cell>
          <cell r="B8">
            <v>0.41</v>
          </cell>
          <cell r="C8">
            <v>0.59</v>
          </cell>
        </row>
        <row r="9">
          <cell r="A9" t="str">
            <v>Hong Kong</v>
          </cell>
          <cell r="B9">
            <v>0.49</v>
          </cell>
          <cell r="C9">
            <v>0.51</v>
          </cell>
        </row>
        <row r="10">
          <cell r="A10" t="str">
            <v>Ethiopia</v>
          </cell>
        </row>
        <row r="11">
          <cell r="A11" t="str">
            <v>Singapore</v>
          </cell>
          <cell r="B11">
            <v>0.59</v>
          </cell>
          <cell r="C11">
            <v>0.41</v>
          </cell>
        </row>
        <row r="12">
          <cell r="A12" t="str">
            <v>Nepal</v>
          </cell>
        </row>
        <row r="13">
          <cell r="A13" t="str">
            <v>Zimbabwe</v>
          </cell>
        </row>
        <row r="14">
          <cell r="A14" t="str">
            <v>St. Helena</v>
          </cell>
        </row>
        <row r="15">
          <cell r="A15" t="str">
            <v>Macao</v>
          </cell>
        </row>
        <row r="16">
          <cell r="A16" t="str">
            <v>New Zealand</v>
          </cell>
          <cell r="B16">
            <v>0.36</v>
          </cell>
          <cell r="C16">
            <v>0.64</v>
          </cell>
        </row>
        <row r="17">
          <cell r="A17" t="str">
            <v>Iran</v>
          </cell>
          <cell r="B17">
            <v>0.65</v>
          </cell>
          <cell r="C17">
            <v>0.35</v>
          </cell>
        </row>
        <row r="18">
          <cell r="A18" t="str">
            <v>Fiji</v>
          </cell>
        </row>
        <row r="19">
          <cell r="A19" t="str">
            <v>Botswana</v>
          </cell>
        </row>
        <row r="20">
          <cell r="A20" t="str">
            <v>India</v>
          </cell>
          <cell r="B20">
            <v>0.52</v>
          </cell>
          <cell r="C20">
            <v>0.48</v>
          </cell>
        </row>
        <row r="21">
          <cell r="A21" t="str">
            <v>Madagascar</v>
          </cell>
        </row>
        <row r="22">
          <cell r="A22" t="str">
            <v>Israel</v>
          </cell>
          <cell r="B22">
            <v>0.47</v>
          </cell>
          <cell r="C22">
            <v>0.53</v>
          </cell>
        </row>
        <row r="23">
          <cell r="A23" t="str">
            <v>Malta</v>
          </cell>
        </row>
        <row r="24">
          <cell r="A24" t="str">
            <v>Estonia</v>
          </cell>
        </row>
        <row r="25">
          <cell r="A25" t="str">
            <v>Pakistan</v>
          </cell>
          <cell r="B25">
            <v>0.57999999999999996</v>
          </cell>
          <cell r="C25">
            <v>0.42</v>
          </cell>
        </row>
        <row r="26">
          <cell r="A26" t="str">
            <v>Sri Lanka</v>
          </cell>
          <cell r="B26">
            <v>0.65</v>
          </cell>
          <cell r="C26">
            <v>0.35</v>
          </cell>
        </row>
        <row r="27">
          <cell r="A27" t="str">
            <v>Australia</v>
          </cell>
          <cell r="B27">
            <v>0.39</v>
          </cell>
          <cell r="C27">
            <v>0.61</v>
          </cell>
        </row>
        <row r="28">
          <cell r="A28" t="str">
            <v>Czechia</v>
          </cell>
          <cell r="B28">
            <v>0.56000000000000005</v>
          </cell>
          <cell r="C28">
            <v>0.44</v>
          </cell>
        </row>
        <row r="29">
          <cell r="A29" t="str">
            <v>Russia</v>
          </cell>
          <cell r="B29">
            <v>0.56000000000000005</v>
          </cell>
          <cell r="C29">
            <v>0.44</v>
          </cell>
        </row>
        <row r="30">
          <cell r="A30" t="str">
            <v>Belarus</v>
          </cell>
          <cell r="B30">
            <v>0.52</v>
          </cell>
          <cell r="C30">
            <v>0.48</v>
          </cell>
        </row>
        <row r="31">
          <cell r="A31" t="str">
            <v>Nigeria</v>
          </cell>
          <cell r="B31">
            <v>0.71</v>
          </cell>
          <cell r="C31">
            <v>0.28999999999999998</v>
          </cell>
        </row>
        <row r="32">
          <cell r="A32" t="str">
            <v>Tunisia</v>
          </cell>
        </row>
        <row r="33">
          <cell r="A33" t="str">
            <v>Iceland</v>
          </cell>
        </row>
        <row r="34">
          <cell r="A34" t="str">
            <v>Lesotho</v>
          </cell>
        </row>
        <row r="35">
          <cell r="A35" t="str">
            <v>Uzbekistan</v>
          </cell>
        </row>
        <row r="36">
          <cell r="A36" t="str">
            <v>Bangladesh</v>
          </cell>
          <cell r="B36">
            <v>0.65</v>
          </cell>
          <cell r="C36">
            <v>0.35</v>
          </cell>
        </row>
        <row r="37">
          <cell r="A37" t="str">
            <v>North Macedonia</v>
          </cell>
        </row>
        <row r="38">
          <cell r="A38" t="str">
            <v>Ghana</v>
          </cell>
        </row>
        <row r="39">
          <cell r="A39" t="str">
            <v>Cyprus</v>
          </cell>
        </row>
        <row r="40">
          <cell r="A40" t="str">
            <v>Somalia</v>
          </cell>
        </row>
        <row r="41">
          <cell r="A41" t="str">
            <v>Sudan</v>
          </cell>
        </row>
        <row r="42">
          <cell r="A42" t="str">
            <v>Cambodia</v>
          </cell>
        </row>
        <row r="43">
          <cell r="A43" t="str">
            <v>United States</v>
          </cell>
          <cell r="B43">
            <v>0.5</v>
          </cell>
          <cell r="C43">
            <v>0.5</v>
          </cell>
        </row>
        <row r="44">
          <cell r="A44" t="str">
            <v>Bolivia</v>
          </cell>
        </row>
        <row r="45">
          <cell r="A45" t="str">
            <v>Canada</v>
          </cell>
          <cell r="B45">
            <v>0.57999999999999996</v>
          </cell>
          <cell r="C45">
            <v>0.42</v>
          </cell>
        </row>
        <row r="46">
          <cell r="A46" t="str">
            <v>Denmark</v>
          </cell>
          <cell r="B46">
            <v>0.41</v>
          </cell>
          <cell r="C46">
            <v>0.59</v>
          </cell>
        </row>
        <row r="47">
          <cell r="A47" t="str">
            <v>Dominican Republic</v>
          </cell>
        </row>
        <row r="48">
          <cell r="A48" t="str">
            <v>Mauritius</v>
          </cell>
        </row>
        <row r="49">
          <cell r="A49" t="str">
            <v>Kenya</v>
          </cell>
          <cell r="B49">
            <v>0.68</v>
          </cell>
          <cell r="C49">
            <v>0.32</v>
          </cell>
        </row>
        <row r="50">
          <cell r="A50" t="str">
            <v>Myanmar (Burma)</v>
          </cell>
        </row>
        <row r="51">
          <cell r="A51" t="str">
            <v>Switzerland</v>
          </cell>
          <cell r="B51">
            <v>0.65</v>
          </cell>
          <cell r="C51">
            <v>0.35</v>
          </cell>
        </row>
        <row r="52">
          <cell r="A52" t="str">
            <v>Tajikistan</v>
          </cell>
        </row>
        <row r="53">
          <cell r="A53" t="str">
            <v>Mongolia</v>
          </cell>
        </row>
        <row r="54">
          <cell r="A54" t="str">
            <v>Peru</v>
          </cell>
          <cell r="B54">
            <v>0.87</v>
          </cell>
          <cell r="C54">
            <v>0.13</v>
          </cell>
        </row>
        <row r="55">
          <cell r="A55" t="str">
            <v>Malaysia</v>
          </cell>
          <cell r="B55">
            <v>0.66</v>
          </cell>
          <cell r="C55">
            <v>0.34</v>
          </cell>
        </row>
        <row r="56">
          <cell r="A56" t="str">
            <v>Honduras</v>
          </cell>
        </row>
        <row r="57">
          <cell r="A57" t="str">
            <v>Mexico</v>
          </cell>
          <cell r="B57">
            <v>0.88</v>
          </cell>
          <cell r="C57">
            <v>0.12</v>
          </cell>
        </row>
        <row r="58">
          <cell r="A58" t="str">
            <v>Laos</v>
          </cell>
        </row>
        <row r="59">
          <cell r="A59" t="str">
            <v>Ukraine</v>
          </cell>
          <cell r="B59">
            <v>0.52</v>
          </cell>
          <cell r="C59">
            <v>0.48</v>
          </cell>
        </row>
        <row r="60">
          <cell r="A60" t="str">
            <v>Cameroon</v>
          </cell>
        </row>
        <row r="61">
          <cell r="A61" t="str">
            <v>Luxembourg</v>
          </cell>
        </row>
        <row r="62">
          <cell r="A62" t="str">
            <v>Colombia</v>
          </cell>
          <cell r="B62">
            <v>0.89</v>
          </cell>
          <cell r="C62">
            <v>0.11</v>
          </cell>
        </row>
        <row r="63">
          <cell r="A63" t="str">
            <v>Rwanda</v>
          </cell>
        </row>
        <row r="64">
          <cell r="A64" t="str">
            <v>Armenia</v>
          </cell>
        </row>
        <row r="65">
          <cell r="A65" t="str">
            <v>Libya</v>
          </cell>
        </row>
        <row r="66">
          <cell r="A66" t="str">
            <v>Ireland</v>
          </cell>
          <cell r="B66">
            <v>0.48</v>
          </cell>
          <cell r="C66">
            <v>0.52</v>
          </cell>
        </row>
        <row r="67">
          <cell r="A67" t="str">
            <v>South Africa</v>
          </cell>
          <cell r="B67">
            <v>0.63</v>
          </cell>
          <cell r="C67">
            <v>0.37</v>
          </cell>
        </row>
        <row r="68">
          <cell r="A68" t="str">
            <v>United Kingdom</v>
          </cell>
          <cell r="B68">
            <v>0.49</v>
          </cell>
          <cell r="C68">
            <v>0.51</v>
          </cell>
        </row>
        <row r="69">
          <cell r="A69" t="str">
            <v>Lithuania</v>
          </cell>
          <cell r="B69">
            <v>0.51</v>
          </cell>
          <cell r="C69">
            <v>0.49</v>
          </cell>
        </row>
        <row r="70">
          <cell r="A70" t="str">
            <v>Burkina Faso</v>
          </cell>
        </row>
        <row r="71">
          <cell r="A71" t="str">
            <v>Japan</v>
          </cell>
          <cell r="B71">
            <v>0.62</v>
          </cell>
          <cell r="C71">
            <v>0.38</v>
          </cell>
        </row>
        <row r="72">
          <cell r="A72" t="str">
            <v>Lebanon</v>
          </cell>
        </row>
        <row r="73">
          <cell r="A73" t="str">
            <v>Latvia</v>
          </cell>
        </row>
        <row r="74">
          <cell r="A74" t="str">
            <v>Finland</v>
          </cell>
          <cell r="B74">
            <v>0.53</v>
          </cell>
          <cell r="C74">
            <v>0.47</v>
          </cell>
        </row>
        <row r="75">
          <cell r="A75" t="str">
            <v>Jamaica</v>
          </cell>
        </row>
        <row r="76">
          <cell r="A76" t="str">
            <v>Philippines</v>
          </cell>
          <cell r="B76">
            <v>0.49</v>
          </cell>
          <cell r="C76">
            <v>0.51</v>
          </cell>
        </row>
        <row r="77">
          <cell r="A77" t="str">
            <v>Syria</v>
          </cell>
        </row>
        <row r="78">
          <cell r="A78" t="str">
            <v>Puerto Rico</v>
          </cell>
        </row>
        <row r="79">
          <cell r="A79" t="str">
            <v>Ecuador</v>
          </cell>
        </row>
        <row r="80">
          <cell r="A80" t="str">
            <v>Norway</v>
          </cell>
          <cell r="B80">
            <v>0.53</v>
          </cell>
          <cell r="C80">
            <v>0.47</v>
          </cell>
        </row>
        <row r="81">
          <cell r="A81" t="str">
            <v>Kyrgyzstan</v>
          </cell>
        </row>
        <row r="82">
          <cell r="A82" t="str">
            <v>Indonesia</v>
          </cell>
          <cell r="B82">
            <v>0.82</v>
          </cell>
          <cell r="C82">
            <v>0.18</v>
          </cell>
        </row>
        <row r="83">
          <cell r="A83" t="str">
            <v>Sweden</v>
          </cell>
          <cell r="B83">
            <v>0.54</v>
          </cell>
          <cell r="C83">
            <v>0.46</v>
          </cell>
        </row>
        <row r="84">
          <cell r="A84" t="str">
            <v>Slovenia</v>
          </cell>
        </row>
        <row r="85">
          <cell r="A85" t="str">
            <v>Paraguay</v>
          </cell>
        </row>
        <row r="86">
          <cell r="A86" t="str">
            <v>Chile</v>
          </cell>
          <cell r="B86">
            <v>0.82</v>
          </cell>
          <cell r="C86">
            <v>0.18</v>
          </cell>
        </row>
        <row r="87">
          <cell r="A87" t="str">
            <v>Palestine</v>
          </cell>
        </row>
        <row r="88">
          <cell r="A88" t="str">
            <v>Costa Rica</v>
          </cell>
        </row>
        <row r="89">
          <cell r="A89" t="str">
            <v>Greece</v>
          </cell>
          <cell r="B89">
            <v>0.59</v>
          </cell>
          <cell r="C89">
            <v>0.41</v>
          </cell>
        </row>
        <row r="90">
          <cell r="A90" t="str">
            <v>Moldova</v>
          </cell>
        </row>
        <row r="91">
          <cell r="A91" t="str">
            <v>Tanzania</v>
          </cell>
        </row>
        <row r="92">
          <cell r="A92" t="str">
            <v>Germany</v>
          </cell>
          <cell r="B92">
            <v>0.57999999999999996</v>
          </cell>
          <cell r="C92">
            <v>0.42</v>
          </cell>
        </row>
        <row r="93">
          <cell r="A93" t="str">
            <v>Brunei</v>
          </cell>
        </row>
        <row r="94">
          <cell r="A94" t="str">
            <v>Zambia</v>
          </cell>
        </row>
        <row r="95">
          <cell r="A95" t="str">
            <v>United Arab Emirates</v>
          </cell>
          <cell r="B95">
            <v>0.56999999999999995</v>
          </cell>
          <cell r="C95">
            <v>0.43</v>
          </cell>
        </row>
        <row r="96">
          <cell r="A96" t="str">
            <v>Netherlands</v>
          </cell>
          <cell r="B96">
            <v>0.6</v>
          </cell>
          <cell r="C96">
            <v>0.4</v>
          </cell>
        </row>
        <row r="97">
          <cell r="A97" t="str">
            <v>Oman</v>
          </cell>
        </row>
        <row r="98">
          <cell r="A98" t="str">
            <v>Portugal</v>
          </cell>
          <cell r="B98">
            <v>0.63</v>
          </cell>
          <cell r="C98">
            <v>0.37</v>
          </cell>
        </row>
        <row r="99">
          <cell r="A99" t="str">
            <v>Guatemala</v>
          </cell>
        </row>
        <row r="100">
          <cell r="A100" t="str">
            <v>Trinidad &amp; Tobago</v>
          </cell>
        </row>
        <row r="101">
          <cell r="A101" t="str">
            <v>Iraq</v>
          </cell>
        </row>
        <row r="102">
          <cell r="A102" t="str">
            <v>Kazakhstan</v>
          </cell>
          <cell r="B102">
            <v>0.46</v>
          </cell>
          <cell r="C102">
            <v>0.54</v>
          </cell>
        </row>
        <row r="103">
          <cell r="A103" t="str">
            <v>Algeria</v>
          </cell>
        </row>
        <row r="104">
          <cell r="A104" t="str">
            <v>Uganda</v>
          </cell>
        </row>
        <row r="105">
          <cell r="A105" t="str">
            <v>El Salvador</v>
          </cell>
        </row>
        <row r="106">
          <cell r="A106" t="str">
            <v>Mali</v>
          </cell>
        </row>
        <row r="107">
          <cell r="A107" t="str">
            <v>Jordan</v>
          </cell>
        </row>
        <row r="108">
          <cell r="A108" t="str">
            <v>Slovakia</v>
          </cell>
          <cell r="B108">
            <v>0.47</v>
          </cell>
          <cell r="C108">
            <v>0.53</v>
          </cell>
        </row>
        <row r="109">
          <cell r="A109" t="str">
            <v>Egypt</v>
          </cell>
          <cell r="B109">
            <v>0.68</v>
          </cell>
          <cell r="C109">
            <v>0.32</v>
          </cell>
        </row>
        <row r="110">
          <cell r="A110" t="str">
            <v>Poland</v>
          </cell>
          <cell r="B110">
            <v>0.56999999999999995</v>
          </cell>
          <cell r="C110">
            <v>0.43</v>
          </cell>
        </row>
        <row r="111">
          <cell r="A111" t="str">
            <v>Panama</v>
          </cell>
        </row>
        <row r="112">
          <cell r="A112" t="str">
            <v>Serbia</v>
          </cell>
          <cell r="B112">
            <v>0.53</v>
          </cell>
          <cell r="C112">
            <v>0.47</v>
          </cell>
        </row>
        <row r="113">
          <cell r="A113" t="str">
            <v>Romania</v>
          </cell>
          <cell r="B113">
            <v>0.53</v>
          </cell>
          <cell r="C113">
            <v>0.47</v>
          </cell>
        </row>
        <row r="114">
          <cell r="A114" t="str">
            <v>Austria</v>
          </cell>
          <cell r="B114">
            <v>0.54</v>
          </cell>
          <cell r="C114">
            <v>0.46</v>
          </cell>
        </row>
        <row r="115">
          <cell r="A115" t="str">
            <v>Belgium</v>
          </cell>
          <cell r="B115">
            <v>0.59</v>
          </cell>
          <cell r="C115">
            <v>0.41</v>
          </cell>
        </row>
        <row r="116">
          <cell r="A116" t="str">
            <v>Venezuela</v>
          </cell>
        </row>
        <row r="117">
          <cell r="A117" t="str">
            <v>Bulgaria</v>
          </cell>
          <cell r="B117">
            <v>0.49</v>
          </cell>
          <cell r="C117">
            <v>0.51</v>
          </cell>
        </row>
        <row r="118">
          <cell r="A118" t="str">
            <v>Uruguay</v>
          </cell>
        </row>
        <row r="119">
          <cell r="A119" t="str">
            <v>Hungary</v>
          </cell>
          <cell r="B119">
            <v>0.46</v>
          </cell>
          <cell r="C119">
            <v>0.54</v>
          </cell>
        </row>
        <row r="120">
          <cell r="A120" t="str">
            <v>Argentina</v>
          </cell>
          <cell r="B120">
            <v>0.78</v>
          </cell>
          <cell r="C120">
            <v>0.22</v>
          </cell>
        </row>
        <row r="121">
          <cell r="A121" t="str">
            <v>Qatar</v>
          </cell>
        </row>
        <row r="122">
          <cell r="A122" t="str">
            <v>Kuwait</v>
          </cell>
        </row>
        <row r="123">
          <cell r="A123" t="str">
            <v>Georgia</v>
          </cell>
        </row>
        <row r="124">
          <cell r="A124" t="str">
            <v>Albania</v>
          </cell>
        </row>
        <row r="125">
          <cell r="A125" t="str">
            <v>France</v>
          </cell>
          <cell r="B125">
            <v>0.56999999999999995</v>
          </cell>
          <cell r="C125">
            <v>0.43</v>
          </cell>
        </row>
        <row r="126">
          <cell r="A126" t="str">
            <v>Bahrain</v>
          </cell>
        </row>
        <row r="127">
          <cell r="A127" t="str">
            <v>Turkey</v>
          </cell>
          <cell r="B127">
            <v>0.65</v>
          </cell>
          <cell r="C127">
            <v>0.35</v>
          </cell>
        </row>
        <row r="128">
          <cell r="A128" t="str">
            <v>Italy</v>
          </cell>
          <cell r="B128">
            <v>0.63</v>
          </cell>
          <cell r="C128">
            <v>0.37</v>
          </cell>
        </row>
        <row r="129">
          <cell r="A129" t="str">
            <v>Thailand</v>
          </cell>
          <cell r="B129">
            <v>0.56999999999999995</v>
          </cell>
          <cell r="C129">
            <v>0.43</v>
          </cell>
        </row>
        <row r="130">
          <cell r="A130" t="str">
            <v>Spain</v>
          </cell>
          <cell r="B130">
            <v>0.64</v>
          </cell>
          <cell r="C130">
            <v>0.36</v>
          </cell>
        </row>
        <row r="131">
          <cell r="A131" t="str">
            <v>Bosnia &amp; Herzegovina</v>
          </cell>
        </row>
        <row r="132">
          <cell r="A132" t="str">
            <v>Morocco</v>
          </cell>
          <cell r="B132">
            <v>0.64</v>
          </cell>
          <cell r="C132">
            <v>0.36</v>
          </cell>
        </row>
        <row r="133">
          <cell r="A133" t="str">
            <v>Senegal</v>
          </cell>
        </row>
        <row r="134">
          <cell r="A134" t="str">
            <v>Brazil</v>
          </cell>
          <cell r="B134">
            <v>0.62</v>
          </cell>
          <cell r="C134">
            <v>0.38</v>
          </cell>
        </row>
        <row r="135">
          <cell r="A135" t="str">
            <v>Azerbaijan</v>
          </cell>
        </row>
        <row r="136">
          <cell r="A136" t="str">
            <v>Saudi Arabia</v>
          </cell>
          <cell r="B136">
            <v>0.6</v>
          </cell>
          <cell r="C136">
            <v>0.4</v>
          </cell>
        </row>
        <row r="137">
          <cell r="A137" t="str">
            <v>Yemen</v>
          </cell>
        </row>
        <row r="138">
          <cell r="A138" t="str">
            <v>RÃ©union</v>
          </cell>
        </row>
        <row r="139">
          <cell r="A139" t="str">
            <v>Vietnam</v>
          </cell>
          <cell r="B139">
            <v>0.49</v>
          </cell>
          <cell r="C139">
            <v>0.51</v>
          </cell>
        </row>
        <row r="140">
          <cell r="A140" t="str">
            <v>Svalbard &amp; Jan Mayen</v>
          </cell>
        </row>
        <row r="141">
          <cell r="A141" t="str">
            <v>Marshall Islands</v>
          </cell>
        </row>
        <row r="142">
          <cell r="A142" t="str">
            <v>Eritrea</v>
          </cell>
        </row>
        <row r="143">
          <cell r="A143" t="str">
            <v>SÃ£o TomÃ© &amp; PrÃ­ncipe</v>
          </cell>
        </row>
        <row r="144">
          <cell r="A144" t="str">
            <v>St. Pierre &amp; Miquelon</v>
          </cell>
        </row>
        <row r="145">
          <cell r="A145" t="str">
            <v>British Virgin Islands</v>
          </cell>
        </row>
        <row r="146">
          <cell r="A146" t="str">
            <v>American Samoa</v>
          </cell>
        </row>
        <row r="147">
          <cell r="A147" t="str">
            <v>Caribbean Netherlands</v>
          </cell>
        </row>
        <row r="148">
          <cell r="A148" t="str">
            <v>Solomon Islands</v>
          </cell>
        </row>
        <row r="149">
          <cell r="A149" t="str">
            <v>Cayman Islands</v>
          </cell>
        </row>
        <row r="150">
          <cell r="A150" t="str">
            <v>CuraÃ§ao</v>
          </cell>
        </row>
        <row r="151">
          <cell r="A151" t="str">
            <v>Ã…land Islands</v>
          </cell>
        </row>
        <row r="152">
          <cell r="A152" t="str">
            <v>Antigua &amp; Barbuda</v>
          </cell>
        </row>
        <row r="153">
          <cell r="A153" t="str">
            <v>Northern Mariana Islands</v>
          </cell>
        </row>
        <row r="154">
          <cell r="A154" t="str">
            <v>Eswatini</v>
          </cell>
        </row>
        <row r="155">
          <cell r="A155" t="str">
            <v>Turks &amp; Caicos Islands</v>
          </cell>
        </row>
        <row r="156">
          <cell r="A156" t="str">
            <v>Guyana</v>
          </cell>
        </row>
        <row r="157">
          <cell r="A157" t="str">
            <v>French Guiana</v>
          </cell>
        </row>
        <row r="158">
          <cell r="A158" t="str">
            <v>St. Vincent &amp; Grenadines</v>
          </cell>
        </row>
        <row r="159">
          <cell r="A159" t="str">
            <v>St. Martin</v>
          </cell>
        </row>
        <row r="160">
          <cell r="A160" t="str">
            <v>St. Kitts &amp; Nevis</v>
          </cell>
        </row>
        <row r="161">
          <cell r="A161" t="str">
            <v>Barbados</v>
          </cell>
        </row>
        <row r="162">
          <cell r="A162" t="str">
            <v>Bhutan</v>
          </cell>
        </row>
        <row r="163">
          <cell r="A163" t="str">
            <v>South Sudan</v>
          </cell>
        </row>
        <row r="164">
          <cell r="A164" t="str">
            <v>St. BarthÃ©lemy</v>
          </cell>
        </row>
        <row r="165">
          <cell r="A165" t="str">
            <v>Monaco</v>
          </cell>
        </row>
        <row r="166">
          <cell r="A166" t="str">
            <v>Belize</v>
          </cell>
        </row>
        <row r="167">
          <cell r="A167" t="str">
            <v>Sint Maarten</v>
          </cell>
        </row>
        <row r="168">
          <cell r="A168" t="str">
            <v>Kosovo</v>
          </cell>
        </row>
        <row r="169">
          <cell r="A169" t="str">
            <v>Maldives</v>
          </cell>
        </row>
        <row r="170">
          <cell r="A170" t="str">
            <v>Aruba</v>
          </cell>
        </row>
        <row r="171">
          <cell r="A171" t="str">
            <v>Burundi</v>
          </cell>
        </row>
        <row r="172">
          <cell r="A172" t="str">
            <v>Malawi</v>
          </cell>
        </row>
        <row r="173">
          <cell r="A173" t="str">
            <v>Gibraltar</v>
          </cell>
        </row>
        <row r="174">
          <cell r="A174" t="str">
            <v>St. Lucia</v>
          </cell>
        </row>
        <row r="175">
          <cell r="A175" t="str">
            <v>Benin</v>
          </cell>
        </row>
        <row r="176">
          <cell r="A176" t="str">
            <v>Liberia</v>
          </cell>
        </row>
        <row r="177">
          <cell r="A177" t="str">
            <v>Haiti</v>
          </cell>
        </row>
        <row r="178">
          <cell r="A178" t="str">
            <v>Sierra Leone</v>
          </cell>
        </row>
        <row r="179">
          <cell r="A179" t="str">
            <v>Mayotte</v>
          </cell>
        </row>
        <row r="180">
          <cell r="A180" t="str">
            <v>Grenada</v>
          </cell>
        </row>
        <row r="181">
          <cell r="A181" t="str">
            <v>Angola</v>
          </cell>
        </row>
        <row r="182">
          <cell r="A182" t="str">
            <v>Nicaragua</v>
          </cell>
        </row>
        <row r="183">
          <cell r="A183" t="str">
            <v>Guam</v>
          </cell>
        </row>
        <row r="184">
          <cell r="A184" t="str">
            <v>Gambia</v>
          </cell>
        </row>
        <row r="185">
          <cell r="A185" t="str">
            <v>Bermuda</v>
          </cell>
        </row>
        <row r="186">
          <cell r="A186" t="str">
            <v>Niger</v>
          </cell>
        </row>
        <row r="187">
          <cell r="A187" t="str">
            <v>Timor-Leste</v>
          </cell>
        </row>
        <row r="188">
          <cell r="A188" t="str">
            <v>Suriname</v>
          </cell>
        </row>
        <row r="189">
          <cell r="A189" t="str">
            <v>Guernsey</v>
          </cell>
        </row>
        <row r="190">
          <cell r="A190" t="str">
            <v>Andorra</v>
          </cell>
        </row>
        <row r="191">
          <cell r="A191" t="str">
            <v>Bahamas</v>
          </cell>
        </row>
        <row r="192">
          <cell r="A192" t="str">
            <v>Congo - Kinshasa</v>
          </cell>
        </row>
        <row r="193">
          <cell r="A193" t="str">
            <v>Papua New Guinea</v>
          </cell>
        </row>
        <row r="194">
          <cell r="A194" t="str">
            <v>Afghanistan</v>
          </cell>
        </row>
        <row r="195">
          <cell r="A195" t="str">
            <v>Togo</v>
          </cell>
        </row>
        <row r="196">
          <cell r="A196" t="str">
            <v>Namibia</v>
          </cell>
        </row>
        <row r="197">
          <cell r="A197" t="str">
            <v>Guinea</v>
          </cell>
        </row>
        <row r="198">
          <cell r="A198" t="str">
            <v>Turkmenistan</v>
          </cell>
        </row>
        <row r="199">
          <cell r="A199" t="str">
            <v>Cape Verde</v>
          </cell>
        </row>
        <row r="200">
          <cell r="A200" t="str">
            <v>New Caledonia</v>
          </cell>
        </row>
        <row r="201">
          <cell r="A201" t="str">
            <v>Isle of Man</v>
          </cell>
        </row>
        <row r="202">
          <cell r="A202" t="str">
            <v>Congo - Brazzaville</v>
          </cell>
        </row>
        <row r="203">
          <cell r="A203" t="str">
            <v>Montenegro</v>
          </cell>
        </row>
        <row r="204">
          <cell r="A204" t="str">
            <v>Jersey</v>
          </cell>
        </row>
        <row r="205">
          <cell r="A205" t="str">
            <v>CÃ´te dâ€™Ivoire</v>
          </cell>
        </row>
        <row r="206">
          <cell r="A206" t="str">
            <v>Mozambique</v>
          </cell>
        </row>
        <row r="207">
          <cell r="A207" t="str">
            <v>Guadeloupe</v>
          </cell>
        </row>
        <row r="208">
          <cell r="A208" t="str">
            <v>Anguilla</v>
          </cell>
        </row>
        <row r="209">
          <cell r="A209" t="str">
            <v>Antarctica</v>
          </cell>
        </row>
        <row r="210">
          <cell r="A210" t="str">
            <v>French Southern Territories</v>
          </cell>
        </row>
        <row r="211">
          <cell r="A211" t="str">
            <v>Bouvet Island</v>
          </cell>
        </row>
        <row r="212">
          <cell r="A212" t="str">
            <v>Central African Republic</v>
          </cell>
        </row>
        <row r="213">
          <cell r="A213" t="str">
            <v>Cocos (Keeling) Islands</v>
          </cell>
        </row>
        <row r="214">
          <cell r="A214" t="str">
            <v>Cook Islands</v>
          </cell>
        </row>
        <row r="215">
          <cell r="A215" t="str">
            <v>Comoros</v>
          </cell>
        </row>
        <row r="216">
          <cell r="A216" t="str">
            <v>Christmas Island</v>
          </cell>
        </row>
        <row r="217">
          <cell r="A217" t="str">
            <v>Djibouti</v>
          </cell>
        </row>
        <row r="218">
          <cell r="A218" t="str">
            <v>Dominica</v>
          </cell>
        </row>
        <row r="219">
          <cell r="A219" t="str">
            <v>Western Sahara</v>
          </cell>
        </row>
        <row r="220">
          <cell r="A220" t="str">
            <v>Falkland Islands (Islas Malvinas)</v>
          </cell>
        </row>
        <row r="221">
          <cell r="A221" t="str">
            <v>Faroe Islands</v>
          </cell>
        </row>
        <row r="222">
          <cell r="A222" t="str">
            <v>Micronesia</v>
          </cell>
        </row>
        <row r="223">
          <cell r="A223" t="str">
            <v>Gabon</v>
          </cell>
        </row>
        <row r="224">
          <cell r="A224" t="str">
            <v>Guinea-Bissau</v>
          </cell>
        </row>
        <row r="225">
          <cell r="A225" t="str">
            <v>Equatorial Guinea</v>
          </cell>
        </row>
        <row r="226">
          <cell r="A226" t="str">
            <v>Greenland</v>
          </cell>
        </row>
        <row r="227">
          <cell r="A227" t="str">
            <v>Heard &amp; McDonald Islands</v>
          </cell>
        </row>
        <row r="228">
          <cell r="A228" t="str">
            <v>British Indian Ocean Territory</v>
          </cell>
        </row>
        <row r="229">
          <cell r="A229" t="str">
            <v>Kiribati</v>
          </cell>
        </row>
        <row r="230">
          <cell r="A230" t="str">
            <v>Liechtenstein</v>
          </cell>
        </row>
        <row r="231">
          <cell r="A231" t="str">
            <v>Mauritania</v>
          </cell>
        </row>
        <row r="232">
          <cell r="A232" t="str">
            <v>Montserrat</v>
          </cell>
        </row>
        <row r="233">
          <cell r="A233" t="str">
            <v>Martinique</v>
          </cell>
        </row>
        <row r="234">
          <cell r="A234" t="str">
            <v>Norfolk Island</v>
          </cell>
        </row>
        <row r="235">
          <cell r="A235" t="str">
            <v>Niue</v>
          </cell>
        </row>
        <row r="236">
          <cell r="A236" t="str">
            <v>Nauru</v>
          </cell>
        </row>
        <row r="237">
          <cell r="A237" t="str">
            <v>Pitcairn Islands</v>
          </cell>
        </row>
        <row r="238">
          <cell r="A238" t="str">
            <v>Palau</v>
          </cell>
        </row>
        <row r="239">
          <cell r="A239" t="str">
            <v>North Korea</v>
          </cell>
        </row>
        <row r="240">
          <cell r="A240" t="str">
            <v>French Polynesia</v>
          </cell>
        </row>
        <row r="241">
          <cell r="A241" t="str">
            <v>South Georgia &amp; South Sandwich Islands</v>
          </cell>
        </row>
        <row r="242">
          <cell r="A242" t="str">
            <v>San Marino</v>
          </cell>
        </row>
        <row r="243">
          <cell r="A243" t="str">
            <v>Seychelles</v>
          </cell>
        </row>
        <row r="244">
          <cell r="A244" t="str">
            <v>Chad</v>
          </cell>
        </row>
        <row r="245">
          <cell r="A245" t="str">
            <v>Tokelau</v>
          </cell>
        </row>
        <row r="246">
          <cell r="A246" t="str">
            <v>Tonga</v>
          </cell>
        </row>
        <row r="247">
          <cell r="A247" t="str">
            <v>Tuvalu</v>
          </cell>
        </row>
        <row r="248">
          <cell r="A248" t="str">
            <v>U.S. Outlying Islands</v>
          </cell>
        </row>
        <row r="249">
          <cell r="A249" t="str">
            <v>Vatican City</v>
          </cell>
        </row>
        <row r="250">
          <cell r="A250" t="str">
            <v>U.S. Virgin Islands</v>
          </cell>
        </row>
        <row r="251">
          <cell r="A251" t="str">
            <v>Vanuatu</v>
          </cell>
        </row>
        <row r="252">
          <cell r="A252" t="str">
            <v>Wallis &amp; Futuna</v>
          </cell>
        </row>
        <row r="253">
          <cell r="A253" t="str">
            <v>Samoa</v>
          </cell>
        </row>
      </sheetData>
    </sheetDataSet>
  </externalBook>
</externalLink>
</file>

<file path=xl/externalLinks/externalLink2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32)"/>
    </sheetNames>
    <sheetDataSet>
      <sheetData sheetId="0">
        <row r="1">
          <cell r="A1" t="str">
            <v>Category: All categories</v>
          </cell>
        </row>
        <row r="3">
          <cell r="A3" t="str">
            <v>Country</v>
          </cell>
          <cell r="B3" t="str">
            <v>Heap: (2016)</v>
          </cell>
          <cell r="C3" t="str">
            <v>Garbage collection: (2016)</v>
          </cell>
        </row>
        <row r="4">
          <cell r="A4" t="str">
            <v>China</v>
          </cell>
          <cell r="B4">
            <v>0.57999999999999996</v>
          </cell>
          <cell r="C4">
            <v>0.42</v>
          </cell>
        </row>
        <row r="5">
          <cell r="A5" t="str">
            <v>South Korea</v>
          </cell>
          <cell r="B5">
            <v>0.81</v>
          </cell>
          <cell r="C5">
            <v>0.19</v>
          </cell>
        </row>
        <row r="6">
          <cell r="A6" t="str">
            <v>Taiwan</v>
          </cell>
          <cell r="B6">
            <v>0.89</v>
          </cell>
          <cell r="C6">
            <v>0.11</v>
          </cell>
        </row>
        <row r="7">
          <cell r="A7" t="str">
            <v>Hong Kong</v>
          </cell>
          <cell r="B7">
            <v>0.81</v>
          </cell>
          <cell r="C7">
            <v>0.19</v>
          </cell>
        </row>
        <row r="8">
          <cell r="A8" t="str">
            <v>St. Helena</v>
          </cell>
        </row>
        <row r="9">
          <cell r="A9" t="str">
            <v>Macao</v>
          </cell>
        </row>
        <row r="10">
          <cell r="A10" t="str">
            <v>New Zealand</v>
          </cell>
          <cell r="B10">
            <v>0.89</v>
          </cell>
          <cell r="C10">
            <v>0.11</v>
          </cell>
        </row>
        <row r="11">
          <cell r="A11" t="str">
            <v>Israel</v>
          </cell>
          <cell r="B11">
            <v>0.84</v>
          </cell>
          <cell r="C11">
            <v>0.16</v>
          </cell>
        </row>
        <row r="12">
          <cell r="A12" t="str">
            <v>Singapore</v>
          </cell>
          <cell r="B12">
            <v>0.78</v>
          </cell>
          <cell r="C12">
            <v>0.22</v>
          </cell>
        </row>
        <row r="13">
          <cell r="A13" t="str">
            <v>Estonia</v>
          </cell>
        </row>
        <row r="14">
          <cell r="A14" t="str">
            <v>Lesotho</v>
          </cell>
        </row>
        <row r="15">
          <cell r="A15" t="str">
            <v>India</v>
          </cell>
          <cell r="B15">
            <v>0.74</v>
          </cell>
          <cell r="C15">
            <v>0.26</v>
          </cell>
        </row>
        <row r="16">
          <cell r="A16" t="str">
            <v>Australia</v>
          </cell>
          <cell r="B16">
            <v>0.76</v>
          </cell>
          <cell r="C16">
            <v>0.24</v>
          </cell>
        </row>
        <row r="17">
          <cell r="A17" t="str">
            <v>Uzbekistan</v>
          </cell>
        </row>
        <row r="18">
          <cell r="A18" t="str">
            <v>Zimbabwe</v>
          </cell>
        </row>
        <row r="19">
          <cell r="A19" t="str">
            <v>Belarus</v>
          </cell>
          <cell r="B19">
            <v>0.79</v>
          </cell>
          <cell r="C19">
            <v>0.21</v>
          </cell>
        </row>
        <row r="20">
          <cell r="A20" t="str">
            <v>Pakistan</v>
          </cell>
          <cell r="B20">
            <v>0.9</v>
          </cell>
          <cell r="C20">
            <v>0.1</v>
          </cell>
        </row>
        <row r="21">
          <cell r="A21" t="str">
            <v>United States</v>
          </cell>
          <cell r="B21">
            <v>0.75</v>
          </cell>
          <cell r="C21">
            <v>0.25</v>
          </cell>
        </row>
        <row r="22">
          <cell r="A22" t="str">
            <v>Denmark</v>
          </cell>
          <cell r="B22">
            <v>0.86</v>
          </cell>
          <cell r="C22">
            <v>0.14000000000000001</v>
          </cell>
        </row>
        <row r="23">
          <cell r="A23" t="str">
            <v>Czechia</v>
          </cell>
          <cell r="B23">
            <v>0.84</v>
          </cell>
          <cell r="C23">
            <v>0.16</v>
          </cell>
        </row>
        <row r="24">
          <cell r="A24" t="str">
            <v>Russia</v>
          </cell>
          <cell r="B24">
            <v>0.88</v>
          </cell>
          <cell r="C24">
            <v>0.12</v>
          </cell>
        </row>
        <row r="25">
          <cell r="A25" t="str">
            <v>Nepal</v>
          </cell>
        </row>
        <row r="26">
          <cell r="A26" t="str">
            <v>Mauritius</v>
          </cell>
        </row>
        <row r="27">
          <cell r="A27" t="str">
            <v>Tajikistan</v>
          </cell>
        </row>
        <row r="28">
          <cell r="A28" t="str">
            <v>Iceland</v>
          </cell>
        </row>
        <row r="29">
          <cell r="A29" t="str">
            <v>Ukraine</v>
          </cell>
          <cell r="B29">
            <v>0.86</v>
          </cell>
          <cell r="C29">
            <v>0.14000000000000001</v>
          </cell>
        </row>
        <row r="30">
          <cell r="A30" t="str">
            <v>Iran</v>
          </cell>
          <cell r="B30">
            <v>0.93</v>
          </cell>
          <cell r="C30">
            <v>7.0000000000000007E-2</v>
          </cell>
        </row>
        <row r="31">
          <cell r="A31" t="str">
            <v>Guyana</v>
          </cell>
        </row>
        <row r="32">
          <cell r="A32" t="str">
            <v>Malta</v>
          </cell>
        </row>
        <row r="33">
          <cell r="A33" t="str">
            <v>Ireland</v>
          </cell>
          <cell r="B33">
            <v>0.77</v>
          </cell>
          <cell r="C33">
            <v>0.23</v>
          </cell>
        </row>
        <row r="34">
          <cell r="A34" t="str">
            <v>United Kingdom</v>
          </cell>
          <cell r="B34">
            <v>0.82</v>
          </cell>
          <cell r="C34">
            <v>0.18</v>
          </cell>
        </row>
        <row r="35">
          <cell r="A35" t="str">
            <v>Botswana</v>
          </cell>
        </row>
        <row r="36">
          <cell r="A36" t="str">
            <v>Lithuania</v>
          </cell>
        </row>
        <row r="37">
          <cell r="A37" t="str">
            <v>Canada</v>
          </cell>
          <cell r="B37">
            <v>0.52</v>
          </cell>
          <cell r="C37">
            <v>0.48</v>
          </cell>
        </row>
        <row r="38">
          <cell r="A38" t="str">
            <v>Jamaica</v>
          </cell>
        </row>
        <row r="39">
          <cell r="A39" t="str">
            <v>Finland</v>
          </cell>
          <cell r="B39">
            <v>0.83</v>
          </cell>
          <cell r="C39">
            <v>0.17</v>
          </cell>
        </row>
        <row r="40">
          <cell r="A40" t="str">
            <v>Sri Lanka</v>
          </cell>
          <cell r="B40">
            <v>0.82</v>
          </cell>
          <cell r="C40">
            <v>0.18</v>
          </cell>
        </row>
        <row r="41">
          <cell r="A41" t="str">
            <v>Kyrgyzstan</v>
          </cell>
        </row>
        <row r="42">
          <cell r="A42" t="str">
            <v>Kazakhstan</v>
          </cell>
        </row>
        <row r="43">
          <cell r="A43" t="str">
            <v>Philippines</v>
          </cell>
          <cell r="B43">
            <v>0.72</v>
          </cell>
          <cell r="C43">
            <v>0.28000000000000003</v>
          </cell>
        </row>
        <row r="44">
          <cell r="A44" t="str">
            <v>Armenia</v>
          </cell>
        </row>
        <row r="45">
          <cell r="A45" t="str">
            <v>Uganda</v>
          </cell>
        </row>
        <row r="46">
          <cell r="A46" t="str">
            <v>Ethiopia</v>
          </cell>
        </row>
        <row r="47">
          <cell r="A47" t="str">
            <v>Montenegro</v>
          </cell>
        </row>
        <row r="48">
          <cell r="A48" t="str">
            <v>Sweden</v>
          </cell>
          <cell r="B48">
            <v>0.79</v>
          </cell>
          <cell r="C48">
            <v>0.21</v>
          </cell>
        </row>
        <row r="49">
          <cell r="A49" t="str">
            <v>Latvia</v>
          </cell>
        </row>
        <row r="50">
          <cell r="A50" t="str">
            <v>Bangladesh</v>
          </cell>
        </row>
        <row r="51">
          <cell r="A51" t="str">
            <v>Myanmar (Burma)</v>
          </cell>
        </row>
        <row r="52">
          <cell r="A52" t="str">
            <v>Cyprus</v>
          </cell>
        </row>
        <row r="53">
          <cell r="A53" t="str">
            <v>Norway</v>
          </cell>
          <cell r="B53">
            <v>0.76</v>
          </cell>
          <cell r="C53">
            <v>0.24</v>
          </cell>
        </row>
        <row r="54">
          <cell r="A54" t="str">
            <v>Moldova</v>
          </cell>
        </row>
        <row r="55">
          <cell r="A55" t="str">
            <v>Slovenia</v>
          </cell>
        </row>
        <row r="56">
          <cell r="A56" t="str">
            <v>Switzerland</v>
          </cell>
          <cell r="B56">
            <v>0.74</v>
          </cell>
          <cell r="C56">
            <v>0.26</v>
          </cell>
        </row>
        <row r="57">
          <cell r="A57" t="str">
            <v>Trinidad &amp; Tobago</v>
          </cell>
        </row>
        <row r="58">
          <cell r="A58" t="str">
            <v>Maldives</v>
          </cell>
        </row>
        <row r="59">
          <cell r="A59" t="str">
            <v>Kenya</v>
          </cell>
          <cell r="B59">
            <v>0.76</v>
          </cell>
          <cell r="C59">
            <v>0.24</v>
          </cell>
        </row>
        <row r="60">
          <cell r="A60" t="str">
            <v>Slovakia</v>
          </cell>
        </row>
        <row r="61">
          <cell r="A61" t="str">
            <v>Rwanda</v>
          </cell>
        </row>
        <row r="62">
          <cell r="A62" t="str">
            <v>Greece</v>
          </cell>
          <cell r="B62">
            <v>0.87</v>
          </cell>
          <cell r="C62">
            <v>0.13</v>
          </cell>
        </row>
        <row r="63">
          <cell r="A63" t="str">
            <v>Serbia</v>
          </cell>
        </row>
        <row r="64">
          <cell r="A64" t="str">
            <v>South Africa</v>
          </cell>
          <cell r="B64">
            <v>0.84</v>
          </cell>
          <cell r="C64">
            <v>0.16</v>
          </cell>
        </row>
        <row r="65">
          <cell r="A65" t="str">
            <v>Luxembourg</v>
          </cell>
        </row>
        <row r="66">
          <cell r="A66" t="str">
            <v>Romania</v>
          </cell>
          <cell r="B66">
            <v>0.79</v>
          </cell>
          <cell r="C66">
            <v>0.21</v>
          </cell>
        </row>
        <row r="67">
          <cell r="A67" t="str">
            <v>Nigeria</v>
          </cell>
        </row>
        <row r="68">
          <cell r="A68" t="str">
            <v>Cameroon</v>
          </cell>
        </row>
        <row r="69">
          <cell r="A69" t="str">
            <v>Ecuador</v>
          </cell>
        </row>
        <row r="70">
          <cell r="A70" t="str">
            <v>Madagascar</v>
          </cell>
        </row>
        <row r="71">
          <cell r="A71" t="str">
            <v>Mexico</v>
          </cell>
          <cell r="B71">
            <v>0.19</v>
          </cell>
          <cell r="C71">
            <v>0.81</v>
          </cell>
        </row>
        <row r="72">
          <cell r="A72" t="str">
            <v>Hungary</v>
          </cell>
          <cell r="B72">
            <v>0.7</v>
          </cell>
          <cell r="C72">
            <v>0.3</v>
          </cell>
        </row>
        <row r="73">
          <cell r="A73" t="str">
            <v>Zambia</v>
          </cell>
        </row>
        <row r="74">
          <cell r="A74" t="str">
            <v>Malaysia</v>
          </cell>
          <cell r="B74">
            <v>0.8</v>
          </cell>
          <cell r="C74">
            <v>0.2</v>
          </cell>
        </row>
        <row r="75">
          <cell r="A75" t="str">
            <v>Germany</v>
          </cell>
          <cell r="B75">
            <v>0.75</v>
          </cell>
          <cell r="C75">
            <v>0.25</v>
          </cell>
        </row>
        <row r="76">
          <cell r="A76" t="str">
            <v>Burkina Faso</v>
          </cell>
        </row>
        <row r="77">
          <cell r="A77" t="str">
            <v>Austria</v>
          </cell>
          <cell r="B77">
            <v>0.78</v>
          </cell>
          <cell r="C77">
            <v>0.22</v>
          </cell>
        </row>
        <row r="78">
          <cell r="A78" t="str">
            <v>Japan</v>
          </cell>
          <cell r="B78">
            <v>0.55000000000000004</v>
          </cell>
          <cell r="C78">
            <v>0.45</v>
          </cell>
        </row>
        <row r="79">
          <cell r="A79" t="str">
            <v>Bahrain</v>
          </cell>
        </row>
        <row r="80">
          <cell r="A80" t="str">
            <v>Bulgaria</v>
          </cell>
          <cell r="B80">
            <v>0.77</v>
          </cell>
          <cell r="C80">
            <v>0.23</v>
          </cell>
        </row>
        <row r="81">
          <cell r="A81" t="str">
            <v>Panama</v>
          </cell>
        </row>
        <row r="82">
          <cell r="A82" t="str">
            <v>Croatia</v>
          </cell>
        </row>
        <row r="83">
          <cell r="A83" t="str">
            <v>Palestine</v>
          </cell>
        </row>
        <row r="84">
          <cell r="A84" t="str">
            <v>Lebanon</v>
          </cell>
        </row>
        <row r="85">
          <cell r="A85" t="str">
            <v>Cambodia</v>
          </cell>
        </row>
        <row r="86">
          <cell r="A86" t="str">
            <v>United Arab Emirates</v>
          </cell>
          <cell r="B86">
            <v>0.78</v>
          </cell>
          <cell r="C86">
            <v>0.22</v>
          </cell>
        </row>
        <row r="87">
          <cell r="A87" t="str">
            <v>Georgia</v>
          </cell>
        </row>
        <row r="88">
          <cell r="A88" t="str">
            <v>Tunisia</v>
          </cell>
        </row>
        <row r="89">
          <cell r="A89" t="str">
            <v>Costa Rica</v>
          </cell>
        </row>
        <row r="90">
          <cell r="A90" t="str">
            <v>Ghana</v>
          </cell>
        </row>
        <row r="91">
          <cell r="A91" t="str">
            <v>Netherlands</v>
          </cell>
          <cell r="B91">
            <v>0.71</v>
          </cell>
          <cell r="C91">
            <v>0.28999999999999998</v>
          </cell>
        </row>
        <row r="92">
          <cell r="A92" t="str">
            <v>Poland</v>
          </cell>
          <cell r="B92">
            <v>0.78</v>
          </cell>
          <cell r="C92">
            <v>0.22</v>
          </cell>
        </row>
        <row r="93">
          <cell r="A93" t="str">
            <v>Jordan</v>
          </cell>
        </row>
        <row r="94">
          <cell r="A94" t="str">
            <v>Qatar</v>
          </cell>
        </row>
        <row r="95">
          <cell r="A95" t="str">
            <v>Portugal</v>
          </cell>
          <cell r="B95">
            <v>0.79</v>
          </cell>
          <cell r="C95">
            <v>0.21</v>
          </cell>
        </row>
        <row r="96">
          <cell r="A96" t="str">
            <v>Belgium</v>
          </cell>
          <cell r="B96">
            <v>0.65</v>
          </cell>
          <cell r="C96">
            <v>0.35</v>
          </cell>
        </row>
        <row r="97">
          <cell r="A97" t="str">
            <v>Laos</v>
          </cell>
        </row>
        <row r="98">
          <cell r="A98" t="str">
            <v>Sudan</v>
          </cell>
        </row>
        <row r="99">
          <cell r="A99" t="str">
            <v>Chile</v>
          </cell>
          <cell r="B99">
            <v>0.3</v>
          </cell>
          <cell r="C99">
            <v>0.7</v>
          </cell>
        </row>
        <row r="100">
          <cell r="A100" t="str">
            <v>Thailand</v>
          </cell>
          <cell r="B100">
            <v>0.92</v>
          </cell>
          <cell r="C100">
            <v>0.08</v>
          </cell>
        </row>
        <row r="101">
          <cell r="A101" t="str">
            <v>France</v>
          </cell>
          <cell r="B101">
            <v>0.76</v>
          </cell>
          <cell r="C101">
            <v>0.24</v>
          </cell>
        </row>
        <row r="102">
          <cell r="A102" t="str">
            <v>Bosnia &amp; Herzegovina</v>
          </cell>
        </row>
        <row r="103">
          <cell r="A103" t="str">
            <v>North Macedonia</v>
          </cell>
        </row>
        <row r="104">
          <cell r="A104" t="str">
            <v>Guatemala</v>
          </cell>
        </row>
        <row r="105">
          <cell r="A105" t="str">
            <v>Argentina</v>
          </cell>
          <cell r="B105">
            <v>0.33</v>
          </cell>
          <cell r="C105">
            <v>0.67</v>
          </cell>
        </row>
        <row r="106">
          <cell r="A106" t="str">
            <v>Paraguay</v>
          </cell>
        </row>
        <row r="107">
          <cell r="A107" t="str">
            <v>Egypt</v>
          </cell>
          <cell r="B107">
            <v>0.79</v>
          </cell>
          <cell r="C107">
            <v>0.21</v>
          </cell>
        </row>
        <row r="108">
          <cell r="A108" t="str">
            <v>Albania</v>
          </cell>
        </row>
        <row r="109">
          <cell r="A109" t="str">
            <v>Kuwait</v>
          </cell>
        </row>
        <row r="110">
          <cell r="A110" t="str">
            <v>Uruguay</v>
          </cell>
        </row>
        <row r="111">
          <cell r="A111" t="str">
            <v>Azerbaijan</v>
          </cell>
        </row>
        <row r="112">
          <cell r="A112" t="str">
            <v>Vietnam</v>
          </cell>
          <cell r="B112">
            <v>0.63</v>
          </cell>
          <cell r="C112">
            <v>0.37</v>
          </cell>
        </row>
        <row r="113">
          <cell r="A113" t="str">
            <v>Puerto Rico</v>
          </cell>
        </row>
        <row r="114">
          <cell r="A114" t="str">
            <v>Italy</v>
          </cell>
          <cell r="B114">
            <v>0.77</v>
          </cell>
          <cell r="C114">
            <v>0.23</v>
          </cell>
        </row>
        <row r="115">
          <cell r="A115" t="str">
            <v>Tanzania</v>
          </cell>
        </row>
        <row r="116">
          <cell r="A116" t="str">
            <v>Iraq</v>
          </cell>
          <cell r="B116">
            <v>1</v>
          </cell>
        </row>
        <row r="117">
          <cell r="A117" t="str">
            <v>El Salvador</v>
          </cell>
        </row>
        <row r="118">
          <cell r="A118" t="str">
            <v>Colombia</v>
          </cell>
          <cell r="B118">
            <v>0.37</v>
          </cell>
          <cell r="C118">
            <v>0.63</v>
          </cell>
        </row>
        <row r="119">
          <cell r="A119" t="str">
            <v>RÃ©union</v>
          </cell>
        </row>
        <row r="120">
          <cell r="A120" t="str">
            <v>Spain</v>
          </cell>
          <cell r="B120">
            <v>0.71</v>
          </cell>
          <cell r="C120">
            <v>0.28999999999999998</v>
          </cell>
        </row>
        <row r="121">
          <cell r="A121" t="str">
            <v>Congo - Kinshasa</v>
          </cell>
        </row>
        <row r="122">
          <cell r="A122" t="str">
            <v>Morocco</v>
          </cell>
        </row>
        <row r="123">
          <cell r="A123" t="str">
            <v>Turkey</v>
          </cell>
          <cell r="B123">
            <v>0.57999999999999996</v>
          </cell>
          <cell r="C123">
            <v>0.42</v>
          </cell>
        </row>
        <row r="124">
          <cell r="A124" t="str">
            <v>Brazil</v>
          </cell>
          <cell r="B124">
            <v>0.81</v>
          </cell>
          <cell r="C124">
            <v>0.19</v>
          </cell>
        </row>
        <row r="125">
          <cell r="A125" t="str">
            <v>Oman</v>
          </cell>
        </row>
        <row r="126">
          <cell r="A126" t="str">
            <v>Saudi Arabia</v>
          </cell>
        </row>
        <row r="127">
          <cell r="A127" t="str">
            <v>Senegal</v>
          </cell>
        </row>
        <row r="128">
          <cell r="A128" t="str">
            <v>CÃ´te dâ€™Ivoire</v>
          </cell>
        </row>
        <row r="129">
          <cell r="A129" t="str">
            <v>Syria</v>
          </cell>
        </row>
        <row r="130">
          <cell r="A130" t="str">
            <v>Peru</v>
          </cell>
          <cell r="B130">
            <v>0.46</v>
          </cell>
          <cell r="C130">
            <v>0.54</v>
          </cell>
        </row>
        <row r="131">
          <cell r="A131" t="str">
            <v>Indonesia</v>
          </cell>
          <cell r="B131">
            <v>0.82</v>
          </cell>
          <cell r="C131">
            <v>0.18</v>
          </cell>
        </row>
        <row r="132">
          <cell r="A132" t="str">
            <v>Honduras</v>
          </cell>
        </row>
        <row r="133">
          <cell r="A133" t="str">
            <v>Mali</v>
          </cell>
        </row>
        <row r="134">
          <cell r="A134" t="str">
            <v>Algeria</v>
          </cell>
        </row>
        <row r="135">
          <cell r="A135" t="str">
            <v>Dominican Republic</v>
          </cell>
        </row>
        <row r="136">
          <cell r="A136" t="str">
            <v>Bolivia</v>
          </cell>
        </row>
        <row r="137">
          <cell r="A137" t="str">
            <v>Venezuela</v>
          </cell>
        </row>
        <row r="138">
          <cell r="A138" t="str">
            <v>Cook Islands</v>
          </cell>
        </row>
        <row r="139">
          <cell r="A139" t="str">
            <v>Ã…land Islands</v>
          </cell>
        </row>
        <row r="140">
          <cell r="A140" t="str">
            <v>Tonga</v>
          </cell>
        </row>
        <row r="141">
          <cell r="A141" t="str">
            <v>Western Sahara</v>
          </cell>
        </row>
        <row r="142">
          <cell r="A142" t="str">
            <v>American Samoa</v>
          </cell>
        </row>
        <row r="143">
          <cell r="A143" t="str">
            <v>Anguilla</v>
          </cell>
        </row>
        <row r="144">
          <cell r="A144" t="str">
            <v>Faroe Islands</v>
          </cell>
        </row>
        <row r="145">
          <cell r="A145" t="str">
            <v>Gibraltar</v>
          </cell>
        </row>
        <row r="146">
          <cell r="A146" t="str">
            <v>Grenada</v>
          </cell>
        </row>
        <row r="147">
          <cell r="A147" t="str">
            <v>Sint Maarten</v>
          </cell>
        </row>
        <row r="148">
          <cell r="A148" t="str">
            <v>Eswatini</v>
          </cell>
        </row>
        <row r="149">
          <cell r="A149" t="str">
            <v>Liechtenstein</v>
          </cell>
        </row>
        <row r="150">
          <cell r="A150" t="str">
            <v>St. Lucia</v>
          </cell>
        </row>
        <row r="151">
          <cell r="A151" t="str">
            <v>U.S. Virgin Islands</v>
          </cell>
        </row>
        <row r="152">
          <cell r="A152" t="str">
            <v>British Virgin Islands</v>
          </cell>
        </row>
        <row r="153">
          <cell r="A153" t="str">
            <v>St. Kitts &amp; Nevis</v>
          </cell>
        </row>
        <row r="154">
          <cell r="A154" t="str">
            <v>St. Martin</v>
          </cell>
        </row>
        <row r="155">
          <cell r="A155" t="str">
            <v>Barbados</v>
          </cell>
        </row>
        <row r="156">
          <cell r="A156" t="str">
            <v>Fiji</v>
          </cell>
        </row>
        <row r="157">
          <cell r="A157" t="str">
            <v>French Guiana</v>
          </cell>
        </row>
        <row r="158">
          <cell r="A158" t="str">
            <v>Monaco</v>
          </cell>
        </row>
        <row r="159">
          <cell r="A159" t="str">
            <v>Belize</v>
          </cell>
        </row>
        <row r="160">
          <cell r="A160" t="str">
            <v>Bahamas</v>
          </cell>
        </row>
        <row r="161">
          <cell r="A161" t="str">
            <v>Bermuda</v>
          </cell>
        </row>
        <row r="162">
          <cell r="A162" t="str">
            <v>Papua New Guinea</v>
          </cell>
        </row>
        <row r="163">
          <cell r="A163" t="str">
            <v>Brunei</v>
          </cell>
        </row>
        <row r="164">
          <cell r="A164" t="str">
            <v>Liberia</v>
          </cell>
        </row>
        <row r="165">
          <cell r="A165" t="str">
            <v>Guam</v>
          </cell>
        </row>
        <row r="166">
          <cell r="A166" t="str">
            <v>Namibia</v>
          </cell>
        </row>
        <row r="167">
          <cell r="A167" t="str">
            <v>Turkmenistan</v>
          </cell>
        </row>
        <row r="168">
          <cell r="A168" t="str">
            <v>Isle of Man</v>
          </cell>
        </row>
        <row r="169">
          <cell r="A169" t="str">
            <v>Bhutan</v>
          </cell>
        </row>
        <row r="170">
          <cell r="A170" t="str">
            <v>St. Vincent &amp; Grenadines</v>
          </cell>
        </row>
        <row r="171">
          <cell r="A171" t="str">
            <v>Antigua &amp; Barbuda</v>
          </cell>
        </row>
        <row r="172">
          <cell r="A172" t="str">
            <v>Gambia</v>
          </cell>
        </row>
        <row r="173">
          <cell r="A173" t="str">
            <v>Chad</v>
          </cell>
        </row>
        <row r="174">
          <cell r="A174" t="str">
            <v>French Polynesia</v>
          </cell>
        </row>
        <row r="175">
          <cell r="A175" t="str">
            <v>Afghanistan</v>
          </cell>
        </row>
        <row r="176">
          <cell r="A176" t="str">
            <v>Malawi</v>
          </cell>
        </row>
        <row r="177">
          <cell r="A177" t="str">
            <v>Guernsey</v>
          </cell>
        </row>
        <row r="178">
          <cell r="A178" t="str">
            <v>Somalia</v>
          </cell>
        </row>
        <row r="179">
          <cell r="A179" t="str">
            <v>Cayman Islands</v>
          </cell>
        </row>
        <row r="180">
          <cell r="A180" t="str">
            <v>Andorra</v>
          </cell>
        </row>
        <row r="181">
          <cell r="A181" t="str">
            <v>Mongolia</v>
          </cell>
        </row>
        <row r="182">
          <cell r="A182" t="str">
            <v>Cuba</v>
          </cell>
        </row>
        <row r="183">
          <cell r="A183" t="str">
            <v>Benin</v>
          </cell>
        </row>
        <row r="184">
          <cell r="A184" t="str">
            <v>Gabon</v>
          </cell>
        </row>
        <row r="185">
          <cell r="A185" t="str">
            <v>Burundi</v>
          </cell>
        </row>
        <row r="186">
          <cell r="A186" t="str">
            <v>Aruba</v>
          </cell>
        </row>
        <row r="187">
          <cell r="A187" t="str">
            <v>Niger</v>
          </cell>
        </row>
        <row r="188">
          <cell r="A188" t="str">
            <v>Togo</v>
          </cell>
        </row>
        <row r="189">
          <cell r="A189" t="str">
            <v>Sierra Leone</v>
          </cell>
        </row>
        <row r="190">
          <cell r="A190" t="str">
            <v>CuraÃ§ao</v>
          </cell>
        </row>
        <row r="191">
          <cell r="A191" t="str">
            <v>Guinea</v>
          </cell>
        </row>
        <row r="192">
          <cell r="A192" t="str">
            <v>Jersey</v>
          </cell>
        </row>
        <row r="193">
          <cell r="A193" t="str">
            <v>Haiti</v>
          </cell>
        </row>
        <row r="194">
          <cell r="A194" t="str">
            <v>Mozambique</v>
          </cell>
        </row>
        <row r="195">
          <cell r="A195" t="str">
            <v>New Caledonia</v>
          </cell>
        </row>
        <row r="196">
          <cell r="A196" t="str">
            <v>Congo - Brazzaville</v>
          </cell>
        </row>
        <row r="197">
          <cell r="A197" t="str">
            <v>Libya</v>
          </cell>
        </row>
        <row r="198">
          <cell r="A198" t="str">
            <v>Nicaragua</v>
          </cell>
        </row>
        <row r="199">
          <cell r="A199" t="str">
            <v>Suriname</v>
          </cell>
        </row>
        <row r="200">
          <cell r="A200" t="str">
            <v>Martinique</v>
          </cell>
        </row>
        <row r="201">
          <cell r="A201" t="str">
            <v>Yemen</v>
          </cell>
        </row>
        <row r="202">
          <cell r="A202" t="str">
            <v>Kosovo</v>
          </cell>
        </row>
        <row r="203">
          <cell r="A203" t="str">
            <v>Angola</v>
          </cell>
        </row>
        <row r="204">
          <cell r="A204" t="str">
            <v>Antarctica</v>
          </cell>
        </row>
        <row r="205">
          <cell r="A205" t="str">
            <v>French Southern Territories</v>
          </cell>
        </row>
        <row r="206">
          <cell r="A206" t="str">
            <v>Caribbean Netherlands</v>
          </cell>
        </row>
        <row r="207">
          <cell r="A207" t="str">
            <v>St. BarthÃ©lemy</v>
          </cell>
        </row>
        <row r="208">
          <cell r="A208" t="str">
            <v>Bouvet Island</v>
          </cell>
        </row>
        <row r="209">
          <cell r="A209" t="str">
            <v>Central African Republic</v>
          </cell>
        </row>
        <row r="210">
          <cell r="A210" t="str">
            <v>Cocos (Keeling) Islands</v>
          </cell>
        </row>
        <row r="211">
          <cell r="A211" t="str">
            <v>Comoros</v>
          </cell>
        </row>
        <row r="212">
          <cell r="A212" t="str">
            <v>Cape Verde</v>
          </cell>
        </row>
        <row r="213">
          <cell r="A213" t="str">
            <v>Christmas Island</v>
          </cell>
        </row>
        <row r="214">
          <cell r="A214" t="str">
            <v>Djibouti</v>
          </cell>
        </row>
        <row r="215">
          <cell r="A215" t="str">
            <v>Dominica</v>
          </cell>
        </row>
        <row r="216">
          <cell r="A216" t="str">
            <v>Eritrea</v>
          </cell>
        </row>
        <row r="217">
          <cell r="A217" t="str">
            <v>Falkland Islands (Islas Malvinas)</v>
          </cell>
        </row>
        <row r="218">
          <cell r="A218" t="str">
            <v>Micronesia</v>
          </cell>
        </row>
        <row r="219">
          <cell r="A219" t="str">
            <v>Guadeloupe</v>
          </cell>
        </row>
        <row r="220">
          <cell r="A220" t="str">
            <v>Guinea-Bissau</v>
          </cell>
        </row>
        <row r="221">
          <cell r="A221" t="str">
            <v>Equatorial Guinea</v>
          </cell>
        </row>
        <row r="222">
          <cell r="A222" t="str">
            <v>Greenland</v>
          </cell>
        </row>
        <row r="223">
          <cell r="A223" t="str">
            <v>Heard &amp; McDonald Islands</v>
          </cell>
        </row>
        <row r="224">
          <cell r="A224" t="str">
            <v>British Indian Ocean Territory</v>
          </cell>
        </row>
        <row r="225">
          <cell r="A225" t="str">
            <v>Kiribati</v>
          </cell>
        </row>
        <row r="226">
          <cell r="A226" t="str">
            <v>Marshall Islands</v>
          </cell>
        </row>
        <row r="227">
          <cell r="A227" t="str">
            <v>Northern Mariana Islands</v>
          </cell>
        </row>
        <row r="228">
          <cell r="A228" t="str">
            <v>Mauritania</v>
          </cell>
        </row>
        <row r="229">
          <cell r="A229" t="str">
            <v>Montserrat</v>
          </cell>
        </row>
        <row r="230">
          <cell r="A230" t="str">
            <v>Mayotte</v>
          </cell>
        </row>
        <row r="231">
          <cell r="A231" t="str">
            <v>Norfolk Island</v>
          </cell>
        </row>
        <row r="232">
          <cell r="A232" t="str">
            <v>Niue</v>
          </cell>
        </row>
        <row r="233">
          <cell r="A233" t="str">
            <v>Nauru</v>
          </cell>
        </row>
        <row r="234">
          <cell r="A234" t="str">
            <v>Pitcairn Islands</v>
          </cell>
        </row>
        <row r="235">
          <cell r="A235" t="str">
            <v>Palau</v>
          </cell>
        </row>
        <row r="236">
          <cell r="A236" t="str">
            <v>North Korea</v>
          </cell>
        </row>
        <row r="237">
          <cell r="A237" t="str">
            <v>South Georgia &amp; South Sandwich Islands</v>
          </cell>
        </row>
        <row r="238">
          <cell r="A238" t="str">
            <v>Svalbard &amp; Jan Mayen</v>
          </cell>
        </row>
        <row r="239">
          <cell r="A239" t="str">
            <v>Solomon Islands</v>
          </cell>
        </row>
        <row r="240">
          <cell r="A240" t="str">
            <v>San Marino</v>
          </cell>
        </row>
        <row r="241">
          <cell r="A241" t="str">
            <v>St. Pierre &amp; Miquelon</v>
          </cell>
        </row>
        <row r="242">
          <cell r="A242" t="str">
            <v>South Sudan</v>
          </cell>
        </row>
        <row r="243">
          <cell r="A243" t="str">
            <v>SÃ£o TomÃ© &amp; PrÃ­ncipe</v>
          </cell>
        </row>
        <row r="244">
          <cell r="A244" t="str">
            <v>Seychelles</v>
          </cell>
        </row>
        <row r="245">
          <cell r="A245" t="str">
            <v>Turks &amp; Caicos Islands</v>
          </cell>
        </row>
        <row r="246">
          <cell r="A246" t="str">
            <v>Tokelau</v>
          </cell>
        </row>
        <row r="247">
          <cell r="A247" t="str">
            <v>Timor-Leste</v>
          </cell>
        </row>
        <row r="248">
          <cell r="A248" t="str">
            <v>Tuvalu</v>
          </cell>
        </row>
        <row r="249">
          <cell r="A249" t="str">
            <v>U.S. Outlying Islands</v>
          </cell>
        </row>
        <row r="250">
          <cell r="A250" t="str">
            <v>Vatican City</v>
          </cell>
        </row>
        <row r="251">
          <cell r="A251" t="str">
            <v>Vanuatu</v>
          </cell>
        </row>
        <row r="252">
          <cell r="A252" t="str">
            <v>Wallis &amp; Futuna</v>
          </cell>
        </row>
        <row r="253">
          <cell r="A253" t="str">
            <v>Samoa</v>
          </cell>
        </row>
      </sheetData>
    </sheetDataSet>
  </externalBook>
</externalLink>
</file>

<file path=xl/externalLinks/externalLink2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34)"/>
    </sheetNames>
    <sheetDataSet>
      <sheetData sheetId="0">
        <row r="1">
          <cell r="A1" t="str">
            <v>Category: All categories</v>
          </cell>
        </row>
        <row r="3">
          <cell r="A3" t="str">
            <v>Country</v>
          </cell>
          <cell r="B3" t="str">
            <v>Finite-state machine: (2016)</v>
          </cell>
          <cell r="C3" t="str">
            <v>Semaphore: (2016)</v>
          </cell>
        </row>
        <row r="4">
          <cell r="A4" t="str">
            <v>Micronesia</v>
          </cell>
          <cell r="B4">
            <v>1</v>
          </cell>
        </row>
        <row r="5">
          <cell r="A5" t="str">
            <v>Guam</v>
          </cell>
          <cell r="B5">
            <v>1</v>
          </cell>
        </row>
        <row r="6">
          <cell r="A6" t="str">
            <v>Fiji</v>
          </cell>
        </row>
        <row r="7">
          <cell r="A7" t="str">
            <v>China</v>
          </cell>
          <cell r="B7">
            <v>0.55000000000000004</v>
          </cell>
          <cell r="C7">
            <v>0.45</v>
          </cell>
        </row>
        <row r="8">
          <cell r="A8" t="str">
            <v>Macao</v>
          </cell>
          <cell r="B8">
            <v>1</v>
          </cell>
        </row>
        <row r="9">
          <cell r="A9" t="str">
            <v>Maldives</v>
          </cell>
        </row>
        <row r="10">
          <cell r="A10" t="str">
            <v>Australia</v>
          </cell>
          <cell r="B10">
            <v>0.19</v>
          </cell>
          <cell r="C10">
            <v>0.81</v>
          </cell>
        </row>
        <row r="11">
          <cell r="A11" t="str">
            <v>Singapore</v>
          </cell>
          <cell r="B11">
            <v>0.78</v>
          </cell>
          <cell r="C11">
            <v>0.22</v>
          </cell>
        </row>
        <row r="12">
          <cell r="A12" t="str">
            <v>Israel</v>
          </cell>
          <cell r="B12">
            <v>0.69</v>
          </cell>
          <cell r="C12">
            <v>0.31</v>
          </cell>
        </row>
        <row r="13">
          <cell r="A13" t="str">
            <v>St. Helena</v>
          </cell>
        </row>
        <row r="14">
          <cell r="A14" t="str">
            <v>South Korea</v>
          </cell>
          <cell r="B14">
            <v>0.54</v>
          </cell>
          <cell r="C14">
            <v>0.46</v>
          </cell>
        </row>
        <row r="15">
          <cell r="A15" t="str">
            <v>Iceland</v>
          </cell>
        </row>
        <row r="16">
          <cell r="A16" t="str">
            <v>Ethiopia</v>
          </cell>
        </row>
        <row r="17">
          <cell r="A17" t="str">
            <v>Hong Kong</v>
          </cell>
          <cell r="B17">
            <v>0.72</v>
          </cell>
          <cell r="C17">
            <v>0.28000000000000003</v>
          </cell>
        </row>
        <row r="18">
          <cell r="A18" t="str">
            <v>France</v>
          </cell>
          <cell r="B18">
            <v>0.14000000000000001</v>
          </cell>
          <cell r="C18">
            <v>0.86</v>
          </cell>
        </row>
        <row r="19">
          <cell r="A19" t="str">
            <v>India</v>
          </cell>
          <cell r="B19">
            <v>0.44</v>
          </cell>
          <cell r="C19">
            <v>0.56000000000000005</v>
          </cell>
        </row>
        <row r="20">
          <cell r="A20" t="str">
            <v>Slovakia</v>
          </cell>
          <cell r="B20">
            <v>0.34</v>
          </cell>
          <cell r="C20">
            <v>0.66</v>
          </cell>
        </row>
        <row r="21">
          <cell r="A21" t="str">
            <v>Zimbabwe</v>
          </cell>
        </row>
        <row r="22">
          <cell r="A22" t="str">
            <v>Nepal</v>
          </cell>
        </row>
        <row r="23">
          <cell r="A23" t="str">
            <v>Tunisia</v>
          </cell>
          <cell r="B23">
            <v>0.47</v>
          </cell>
          <cell r="C23">
            <v>0.53</v>
          </cell>
        </row>
        <row r="24">
          <cell r="A24" t="str">
            <v>Pakistan</v>
          </cell>
          <cell r="B24">
            <v>0.64</v>
          </cell>
          <cell r="C24">
            <v>0.36</v>
          </cell>
        </row>
        <row r="25">
          <cell r="A25" t="str">
            <v>Cameroon</v>
          </cell>
        </row>
        <row r="26">
          <cell r="A26" t="str">
            <v>New Zealand</v>
          </cell>
          <cell r="B26">
            <v>0.64</v>
          </cell>
          <cell r="C26">
            <v>0.36</v>
          </cell>
        </row>
        <row r="27">
          <cell r="A27" t="str">
            <v>Estonia</v>
          </cell>
        </row>
        <row r="28">
          <cell r="A28" t="str">
            <v>United States</v>
          </cell>
          <cell r="B28">
            <v>0.65</v>
          </cell>
          <cell r="C28">
            <v>0.35</v>
          </cell>
        </row>
        <row r="29">
          <cell r="A29" t="str">
            <v>Czechia</v>
          </cell>
          <cell r="B29">
            <v>0.68</v>
          </cell>
          <cell r="C29">
            <v>0.32</v>
          </cell>
        </row>
        <row r="30">
          <cell r="A30" t="str">
            <v>Canada</v>
          </cell>
          <cell r="B30">
            <v>0.57999999999999996</v>
          </cell>
          <cell r="C30">
            <v>0.42</v>
          </cell>
        </row>
        <row r="31">
          <cell r="A31" t="str">
            <v>Taiwan</v>
          </cell>
          <cell r="B31">
            <v>0.52</v>
          </cell>
          <cell r="C31">
            <v>0.48</v>
          </cell>
        </row>
        <row r="32">
          <cell r="A32" t="str">
            <v>United Kingdom</v>
          </cell>
          <cell r="B32">
            <v>0.61</v>
          </cell>
          <cell r="C32">
            <v>0.39</v>
          </cell>
        </row>
        <row r="33">
          <cell r="A33" t="str">
            <v>Ireland</v>
          </cell>
          <cell r="B33">
            <v>0.6</v>
          </cell>
          <cell r="C33">
            <v>0.4</v>
          </cell>
        </row>
        <row r="34">
          <cell r="A34" t="str">
            <v>Switzerland</v>
          </cell>
          <cell r="B34">
            <v>0.56000000000000005</v>
          </cell>
          <cell r="C34">
            <v>0.44</v>
          </cell>
        </row>
        <row r="35">
          <cell r="A35" t="str">
            <v>Slovenia</v>
          </cell>
        </row>
        <row r="36">
          <cell r="A36" t="str">
            <v>Belgium</v>
          </cell>
          <cell r="B36">
            <v>0.32</v>
          </cell>
          <cell r="C36">
            <v>0.68</v>
          </cell>
        </row>
        <row r="37">
          <cell r="A37" t="str">
            <v>Belarus</v>
          </cell>
          <cell r="B37">
            <v>0.62</v>
          </cell>
          <cell r="C37">
            <v>0.38</v>
          </cell>
        </row>
        <row r="38">
          <cell r="A38" t="str">
            <v>Norway</v>
          </cell>
          <cell r="B38">
            <v>0.64</v>
          </cell>
          <cell r="C38">
            <v>0.36</v>
          </cell>
        </row>
        <row r="39">
          <cell r="A39" t="str">
            <v>Germany</v>
          </cell>
          <cell r="B39">
            <v>0.59</v>
          </cell>
          <cell r="C39">
            <v>0.41</v>
          </cell>
        </row>
        <row r="40">
          <cell r="A40" t="str">
            <v>South Africa</v>
          </cell>
          <cell r="B40">
            <v>0.73</v>
          </cell>
          <cell r="C40">
            <v>0.27</v>
          </cell>
        </row>
        <row r="41">
          <cell r="A41" t="str">
            <v>Russia</v>
          </cell>
          <cell r="B41">
            <v>0.69</v>
          </cell>
          <cell r="C41">
            <v>0.31</v>
          </cell>
        </row>
        <row r="42">
          <cell r="A42" t="str">
            <v>Malaysia</v>
          </cell>
          <cell r="B42">
            <v>0.72</v>
          </cell>
          <cell r="C42">
            <v>0.28000000000000003</v>
          </cell>
        </row>
        <row r="43">
          <cell r="A43" t="str">
            <v>Ghana</v>
          </cell>
        </row>
        <row r="44">
          <cell r="A44" t="str">
            <v>Finland</v>
          </cell>
          <cell r="B44">
            <v>0.65</v>
          </cell>
          <cell r="C44">
            <v>0.35</v>
          </cell>
        </row>
        <row r="45">
          <cell r="A45" t="str">
            <v>Senegal</v>
          </cell>
        </row>
        <row r="46">
          <cell r="A46" t="str">
            <v>Mauritius</v>
          </cell>
        </row>
        <row r="47">
          <cell r="A47" t="str">
            <v>Latvia</v>
          </cell>
        </row>
        <row r="48">
          <cell r="A48" t="str">
            <v>Lebanon</v>
          </cell>
        </row>
        <row r="49">
          <cell r="A49" t="str">
            <v>Romania</v>
          </cell>
          <cell r="B49">
            <v>0.66</v>
          </cell>
          <cell r="C49">
            <v>0.34</v>
          </cell>
        </row>
        <row r="50">
          <cell r="A50" t="str">
            <v>Sweden</v>
          </cell>
          <cell r="B50">
            <v>0.54</v>
          </cell>
          <cell r="C50">
            <v>0.46</v>
          </cell>
        </row>
        <row r="51">
          <cell r="A51" t="str">
            <v>Philippines</v>
          </cell>
          <cell r="B51">
            <v>0.59</v>
          </cell>
          <cell r="C51">
            <v>0.41</v>
          </cell>
        </row>
        <row r="52">
          <cell r="A52" t="str">
            <v>Sri Lanka</v>
          </cell>
          <cell r="B52">
            <v>0.61</v>
          </cell>
          <cell r="C52">
            <v>0.39</v>
          </cell>
        </row>
        <row r="53">
          <cell r="A53" t="str">
            <v>Austria</v>
          </cell>
          <cell r="B53">
            <v>0.5</v>
          </cell>
          <cell r="C53">
            <v>0.5</v>
          </cell>
        </row>
        <row r="54">
          <cell r="A54" t="str">
            <v>Myanmar (Burma)</v>
          </cell>
        </row>
        <row r="55">
          <cell r="A55" t="str">
            <v>Bosnia &amp; Herzegovina</v>
          </cell>
        </row>
        <row r="56">
          <cell r="A56" t="str">
            <v>Serbia</v>
          </cell>
          <cell r="B56">
            <v>0.43</v>
          </cell>
          <cell r="C56">
            <v>0.56999999999999995</v>
          </cell>
        </row>
        <row r="57">
          <cell r="A57" t="str">
            <v>Bulgaria</v>
          </cell>
          <cell r="B57">
            <v>0.6</v>
          </cell>
          <cell r="C57">
            <v>0.4</v>
          </cell>
        </row>
        <row r="58">
          <cell r="A58" t="str">
            <v>Nigeria</v>
          </cell>
          <cell r="B58">
            <v>0.72</v>
          </cell>
          <cell r="C58">
            <v>0.28000000000000003</v>
          </cell>
        </row>
        <row r="59">
          <cell r="A59" t="str">
            <v>Croatia</v>
          </cell>
          <cell r="B59">
            <v>0.52</v>
          </cell>
          <cell r="C59">
            <v>0.48</v>
          </cell>
        </row>
        <row r="60">
          <cell r="A60" t="str">
            <v>Netherlands</v>
          </cell>
          <cell r="B60">
            <v>0.64</v>
          </cell>
          <cell r="C60">
            <v>0.36</v>
          </cell>
        </row>
        <row r="61">
          <cell r="A61" t="str">
            <v>Algeria</v>
          </cell>
          <cell r="B61">
            <v>0.25</v>
          </cell>
          <cell r="C61">
            <v>0.75</v>
          </cell>
        </row>
        <row r="62">
          <cell r="A62" t="str">
            <v>Japan</v>
          </cell>
          <cell r="B62">
            <v>0.39</v>
          </cell>
          <cell r="C62">
            <v>0.61</v>
          </cell>
        </row>
        <row r="63">
          <cell r="A63" t="str">
            <v>Ukraine</v>
          </cell>
          <cell r="B63">
            <v>0.59</v>
          </cell>
          <cell r="C63">
            <v>0.41</v>
          </cell>
        </row>
        <row r="64">
          <cell r="A64" t="str">
            <v>Portugal</v>
          </cell>
          <cell r="B64">
            <v>0.48</v>
          </cell>
          <cell r="C64">
            <v>0.52</v>
          </cell>
        </row>
        <row r="65">
          <cell r="A65" t="str">
            <v>Hungary</v>
          </cell>
          <cell r="B65">
            <v>0.47</v>
          </cell>
          <cell r="C65">
            <v>0.53</v>
          </cell>
        </row>
        <row r="66">
          <cell r="A66" t="str">
            <v>Tanzania</v>
          </cell>
        </row>
        <row r="67">
          <cell r="A67" t="str">
            <v>Uzbekistan</v>
          </cell>
        </row>
        <row r="68">
          <cell r="A68" t="str">
            <v>Denmark</v>
          </cell>
          <cell r="B68">
            <v>0.53</v>
          </cell>
          <cell r="C68">
            <v>0.47</v>
          </cell>
        </row>
        <row r="69">
          <cell r="A69" t="str">
            <v>Kenya</v>
          </cell>
          <cell r="B69">
            <v>0.45</v>
          </cell>
          <cell r="C69">
            <v>0.55000000000000004</v>
          </cell>
        </row>
        <row r="70">
          <cell r="A70" t="str">
            <v>Greece</v>
          </cell>
          <cell r="B70">
            <v>0.51</v>
          </cell>
          <cell r="C70">
            <v>0.49</v>
          </cell>
        </row>
        <row r="71">
          <cell r="A71" t="str">
            <v>Laos</v>
          </cell>
        </row>
        <row r="72">
          <cell r="A72" t="str">
            <v>Guatemala</v>
          </cell>
        </row>
        <row r="73">
          <cell r="A73" t="str">
            <v>United Arab Emirates</v>
          </cell>
          <cell r="B73">
            <v>0.65</v>
          </cell>
          <cell r="C73">
            <v>0.35</v>
          </cell>
        </row>
        <row r="74">
          <cell r="A74" t="str">
            <v>Mexico</v>
          </cell>
          <cell r="B74">
            <v>0.83</v>
          </cell>
          <cell r="C74">
            <v>0.17</v>
          </cell>
        </row>
        <row r="75">
          <cell r="A75" t="str">
            <v>Poland</v>
          </cell>
          <cell r="B75">
            <v>0.55000000000000004</v>
          </cell>
          <cell r="C75">
            <v>0.45</v>
          </cell>
        </row>
        <row r="76">
          <cell r="A76" t="str">
            <v>Iran</v>
          </cell>
          <cell r="B76">
            <v>0.62</v>
          </cell>
          <cell r="C76">
            <v>0.38</v>
          </cell>
        </row>
        <row r="77">
          <cell r="A77" t="str">
            <v>Lithuania</v>
          </cell>
        </row>
        <row r="78">
          <cell r="A78" t="str">
            <v>Jordan</v>
          </cell>
        </row>
        <row r="79">
          <cell r="A79" t="str">
            <v>Georgia</v>
          </cell>
        </row>
        <row r="80">
          <cell r="A80" t="str">
            <v>Bangladesh</v>
          </cell>
        </row>
        <row r="81">
          <cell r="A81" t="str">
            <v>Italy</v>
          </cell>
          <cell r="B81">
            <v>0.63</v>
          </cell>
          <cell r="C81">
            <v>0.37</v>
          </cell>
        </row>
        <row r="82">
          <cell r="A82" t="str">
            <v>Turkey</v>
          </cell>
          <cell r="B82">
            <v>0.72</v>
          </cell>
          <cell r="C82">
            <v>0.28000000000000003</v>
          </cell>
        </row>
        <row r="83">
          <cell r="A83" t="str">
            <v>Kuwait</v>
          </cell>
        </row>
        <row r="84">
          <cell r="A84" t="str">
            <v>Costa Rica</v>
          </cell>
        </row>
        <row r="85">
          <cell r="A85" t="str">
            <v>Moldova</v>
          </cell>
        </row>
        <row r="86">
          <cell r="A86" t="str">
            <v>Morocco</v>
          </cell>
          <cell r="B86">
            <v>0.44</v>
          </cell>
          <cell r="C86">
            <v>0.56000000000000005</v>
          </cell>
        </row>
        <row r="87">
          <cell r="A87" t="str">
            <v>Indonesia</v>
          </cell>
          <cell r="B87">
            <v>0.52</v>
          </cell>
          <cell r="C87">
            <v>0.48</v>
          </cell>
        </row>
        <row r="88">
          <cell r="A88" t="str">
            <v>Colombia</v>
          </cell>
          <cell r="B88">
            <v>0.83</v>
          </cell>
          <cell r="C88">
            <v>0.17</v>
          </cell>
        </row>
        <row r="89">
          <cell r="A89" t="str">
            <v>Bolivia</v>
          </cell>
        </row>
        <row r="90">
          <cell r="A90" t="str">
            <v>Kazakhstan</v>
          </cell>
        </row>
        <row r="91">
          <cell r="A91" t="str">
            <v>Sudan</v>
          </cell>
        </row>
        <row r="92">
          <cell r="A92" t="str">
            <v>Ecuador</v>
          </cell>
          <cell r="B92">
            <v>1</v>
          </cell>
        </row>
        <row r="93">
          <cell r="A93" t="str">
            <v>Chile</v>
          </cell>
        </row>
        <row r="94">
          <cell r="A94" t="str">
            <v>Vietnam</v>
          </cell>
          <cell r="B94">
            <v>0.46</v>
          </cell>
          <cell r="C94">
            <v>0.54</v>
          </cell>
        </row>
        <row r="95">
          <cell r="A95" t="str">
            <v>Argentina</v>
          </cell>
          <cell r="B95">
            <v>0.69</v>
          </cell>
          <cell r="C95">
            <v>0.31</v>
          </cell>
        </row>
        <row r="96">
          <cell r="A96" t="str">
            <v>Egypt</v>
          </cell>
          <cell r="B96">
            <v>0.51</v>
          </cell>
          <cell r="C96">
            <v>0.49</v>
          </cell>
        </row>
        <row r="97">
          <cell r="A97" t="str">
            <v>Peru</v>
          </cell>
          <cell r="B97">
            <v>0.73</v>
          </cell>
          <cell r="C97">
            <v>0.27</v>
          </cell>
        </row>
        <row r="98">
          <cell r="A98" t="str">
            <v>Spain</v>
          </cell>
          <cell r="B98">
            <v>0.52</v>
          </cell>
          <cell r="C98">
            <v>0.48</v>
          </cell>
        </row>
        <row r="99">
          <cell r="A99" t="str">
            <v>Thailand</v>
          </cell>
          <cell r="B99">
            <v>0.67</v>
          </cell>
          <cell r="C99">
            <v>0.33</v>
          </cell>
        </row>
        <row r="100">
          <cell r="A100" t="str">
            <v>El Salvador</v>
          </cell>
        </row>
        <row r="101">
          <cell r="A101" t="str">
            <v>Brazil</v>
          </cell>
          <cell r="B101">
            <v>0.73</v>
          </cell>
          <cell r="C101">
            <v>0.27</v>
          </cell>
        </row>
        <row r="102">
          <cell r="A102" t="str">
            <v>Uruguay</v>
          </cell>
        </row>
        <row r="103">
          <cell r="A103" t="str">
            <v>Saudi Arabia</v>
          </cell>
          <cell r="B103">
            <v>0.51</v>
          </cell>
          <cell r="C103">
            <v>0.49</v>
          </cell>
        </row>
        <row r="104">
          <cell r="A104" t="str">
            <v>Iraq</v>
          </cell>
        </row>
        <row r="105">
          <cell r="A105" t="str">
            <v>Venezuela</v>
          </cell>
        </row>
        <row r="106">
          <cell r="A106" t="str">
            <v>Kiribati</v>
          </cell>
        </row>
        <row r="107">
          <cell r="A107" t="str">
            <v>Marshall Islands</v>
          </cell>
        </row>
        <row r="108">
          <cell r="A108" t="str">
            <v>Palau</v>
          </cell>
        </row>
        <row r="109">
          <cell r="A109" t="str">
            <v>Cook Islands</v>
          </cell>
        </row>
        <row r="110">
          <cell r="A110" t="str">
            <v>Northern Mariana Islands</v>
          </cell>
        </row>
        <row r="111">
          <cell r="A111" t="str">
            <v>Tonga</v>
          </cell>
        </row>
        <row r="112">
          <cell r="A112" t="str">
            <v>Solomon Islands</v>
          </cell>
        </row>
        <row r="113">
          <cell r="A113" t="str">
            <v>American Samoa</v>
          </cell>
        </row>
        <row r="114">
          <cell r="A114" t="str">
            <v>San Marino</v>
          </cell>
        </row>
        <row r="115">
          <cell r="A115" t="str">
            <v>Vanuatu</v>
          </cell>
        </row>
        <row r="116">
          <cell r="A116" t="str">
            <v>Samoa</v>
          </cell>
        </row>
        <row r="117">
          <cell r="A117" t="str">
            <v>Equatorial Guinea</v>
          </cell>
        </row>
        <row r="118">
          <cell r="A118" t="str">
            <v>British Virgin Islands</v>
          </cell>
        </row>
        <row r="119">
          <cell r="A119" t="str">
            <v>Eswatini</v>
          </cell>
        </row>
        <row r="120">
          <cell r="A120" t="str">
            <v>Seychelles</v>
          </cell>
        </row>
        <row r="121">
          <cell r="A121" t="str">
            <v>Papua New Guinea</v>
          </cell>
        </row>
        <row r="122">
          <cell r="A122" t="str">
            <v>Liechtenstein</v>
          </cell>
        </row>
        <row r="123">
          <cell r="A123" t="str">
            <v>Liberia</v>
          </cell>
        </row>
        <row r="124">
          <cell r="A124" t="str">
            <v>Grenada</v>
          </cell>
        </row>
        <row r="125">
          <cell r="A125" t="str">
            <v>Djibouti</v>
          </cell>
        </row>
        <row r="126">
          <cell r="A126" t="str">
            <v>Bermuda</v>
          </cell>
        </row>
        <row r="127">
          <cell r="A127" t="str">
            <v>Cape Verde</v>
          </cell>
        </row>
        <row r="128">
          <cell r="A128" t="str">
            <v>Cuba</v>
          </cell>
        </row>
        <row r="129">
          <cell r="A129" t="str">
            <v>Malta</v>
          </cell>
        </row>
        <row r="130">
          <cell r="A130" t="str">
            <v>CuraÃ§ao</v>
          </cell>
        </row>
        <row r="131">
          <cell r="A131" t="str">
            <v>St. Lucia</v>
          </cell>
        </row>
        <row r="132">
          <cell r="A132" t="str">
            <v>Guernsey</v>
          </cell>
        </row>
        <row r="133">
          <cell r="A133" t="str">
            <v>Cayman Islands</v>
          </cell>
        </row>
        <row r="134">
          <cell r="A134" t="str">
            <v>Andorra</v>
          </cell>
        </row>
        <row r="135">
          <cell r="A135" t="str">
            <v>Bhutan</v>
          </cell>
        </row>
        <row r="136">
          <cell r="A136" t="str">
            <v>Burundi</v>
          </cell>
        </row>
        <row r="137">
          <cell r="A137" t="str">
            <v>Aruba</v>
          </cell>
        </row>
        <row r="138">
          <cell r="A138" t="str">
            <v>Niger</v>
          </cell>
        </row>
        <row r="139">
          <cell r="A139" t="str">
            <v>Rwanda</v>
          </cell>
        </row>
        <row r="140">
          <cell r="A140" t="str">
            <v>Palestine</v>
          </cell>
        </row>
        <row r="141">
          <cell r="A141" t="str">
            <v>Isle of Man</v>
          </cell>
        </row>
        <row r="142">
          <cell r="A142" t="str">
            <v>Barbados</v>
          </cell>
        </row>
        <row r="143">
          <cell r="A143" t="str">
            <v>Guyana</v>
          </cell>
        </row>
        <row r="144">
          <cell r="A144" t="str">
            <v>Turkmenistan</v>
          </cell>
        </row>
        <row r="145">
          <cell r="A145" t="str">
            <v>Zambia</v>
          </cell>
        </row>
        <row r="146">
          <cell r="A146" t="str">
            <v>French Polynesia</v>
          </cell>
        </row>
        <row r="147">
          <cell r="A147" t="str">
            <v>Botswana</v>
          </cell>
        </row>
        <row r="148">
          <cell r="A148" t="str">
            <v>Luxembourg</v>
          </cell>
        </row>
        <row r="149">
          <cell r="A149" t="str">
            <v>Tajikistan</v>
          </cell>
        </row>
        <row r="150">
          <cell r="A150" t="str">
            <v>North Macedonia</v>
          </cell>
        </row>
        <row r="151">
          <cell r="A151" t="str">
            <v>Armenia</v>
          </cell>
        </row>
        <row r="152">
          <cell r="A152" t="str">
            <v>Burkina Faso</v>
          </cell>
        </row>
        <row r="153">
          <cell r="A153" t="str">
            <v>Trinidad &amp; Tobago</v>
          </cell>
        </row>
        <row r="154">
          <cell r="A154" t="str">
            <v>Madagascar</v>
          </cell>
        </row>
        <row r="155">
          <cell r="A155" t="str">
            <v>Nicaragua</v>
          </cell>
        </row>
        <row r="156">
          <cell r="A156" t="str">
            <v>Congo - Brazzaville</v>
          </cell>
        </row>
        <row r="157">
          <cell r="A157" t="str">
            <v>Benin</v>
          </cell>
        </row>
        <row r="158">
          <cell r="A158" t="str">
            <v>Afghanistan</v>
          </cell>
        </row>
        <row r="159">
          <cell r="A159" t="str">
            <v>Suriname</v>
          </cell>
        </row>
        <row r="160">
          <cell r="A160" t="str">
            <v>Malawi</v>
          </cell>
        </row>
        <row r="161">
          <cell r="A161" t="str">
            <v>Haiti</v>
          </cell>
        </row>
        <row r="162">
          <cell r="A162" t="str">
            <v>Puerto Rico</v>
          </cell>
        </row>
        <row r="163">
          <cell r="A163" t="str">
            <v>Cyprus</v>
          </cell>
        </row>
        <row r="164">
          <cell r="A164" t="str">
            <v>Uganda</v>
          </cell>
        </row>
        <row r="165">
          <cell r="A165" t="str">
            <v>Oman</v>
          </cell>
        </row>
        <row r="166">
          <cell r="A166" t="str">
            <v>Kosovo</v>
          </cell>
        </row>
        <row r="167">
          <cell r="A167" t="str">
            <v>Mozambique</v>
          </cell>
        </row>
        <row r="168">
          <cell r="A168" t="str">
            <v>Qatar</v>
          </cell>
        </row>
        <row r="169">
          <cell r="A169" t="str">
            <v>Guadeloupe</v>
          </cell>
        </row>
        <row r="170">
          <cell r="A170" t="str">
            <v>Montenegro</v>
          </cell>
        </row>
        <row r="171">
          <cell r="A171" t="str">
            <v>Brunei</v>
          </cell>
        </row>
        <row r="172">
          <cell r="A172" t="str">
            <v>Honduras</v>
          </cell>
        </row>
        <row r="173">
          <cell r="A173" t="str">
            <v>Cambodia</v>
          </cell>
        </row>
        <row r="174">
          <cell r="A174" t="str">
            <v>Congo - Kinshasa</v>
          </cell>
        </row>
        <row r="175">
          <cell r="A175" t="str">
            <v>Azerbaijan</v>
          </cell>
        </row>
        <row r="176">
          <cell r="A176" t="str">
            <v>Jamaica</v>
          </cell>
        </row>
        <row r="177">
          <cell r="A177" t="str">
            <v>Albania</v>
          </cell>
        </row>
        <row r="178">
          <cell r="A178" t="str">
            <v>Bahrain</v>
          </cell>
        </row>
        <row r="179">
          <cell r="A179" t="str">
            <v>Kyrgyzstan</v>
          </cell>
        </row>
        <row r="180">
          <cell r="A180" t="str">
            <v>Angola</v>
          </cell>
        </row>
        <row r="181">
          <cell r="A181" t="str">
            <v>Mongolia</v>
          </cell>
        </row>
        <row r="182">
          <cell r="A182" t="str">
            <v>Panama</v>
          </cell>
        </row>
        <row r="183">
          <cell r="A183" t="str">
            <v>Syria</v>
          </cell>
        </row>
        <row r="184">
          <cell r="A184" t="str">
            <v>Paraguay</v>
          </cell>
        </row>
        <row r="185">
          <cell r="A185" t="str">
            <v>CÃ´te dâ€™Ivoire</v>
          </cell>
        </row>
        <row r="186">
          <cell r="A186" t="str">
            <v>Libya</v>
          </cell>
        </row>
        <row r="187">
          <cell r="A187" t="str">
            <v>Dominican Republic</v>
          </cell>
        </row>
        <row r="188">
          <cell r="A188" t="str">
            <v>Anguilla</v>
          </cell>
        </row>
        <row r="189">
          <cell r="A189" t="str">
            <v>Ã…land Islands</v>
          </cell>
        </row>
        <row r="190">
          <cell r="A190" t="str">
            <v>Antarctica</v>
          </cell>
        </row>
        <row r="191">
          <cell r="A191" t="str">
            <v>French Southern Territories</v>
          </cell>
        </row>
        <row r="192">
          <cell r="A192" t="str">
            <v>Antigua &amp; Barbuda</v>
          </cell>
        </row>
        <row r="193">
          <cell r="A193" t="str">
            <v>Caribbean Netherlands</v>
          </cell>
        </row>
        <row r="194">
          <cell r="A194" t="str">
            <v>Bahamas</v>
          </cell>
        </row>
        <row r="195">
          <cell r="A195" t="str">
            <v>St. BarthÃ©lemy</v>
          </cell>
        </row>
        <row r="196">
          <cell r="A196" t="str">
            <v>Belize</v>
          </cell>
        </row>
        <row r="197">
          <cell r="A197" t="str">
            <v>Bouvet Island</v>
          </cell>
        </row>
        <row r="198">
          <cell r="A198" t="str">
            <v>Central African Republic</v>
          </cell>
        </row>
        <row r="199">
          <cell r="A199" t="str">
            <v>Cocos (Keeling) Islands</v>
          </cell>
        </row>
        <row r="200">
          <cell r="A200" t="str">
            <v>Comoros</v>
          </cell>
        </row>
        <row r="201">
          <cell r="A201" t="str">
            <v>Christmas Island</v>
          </cell>
        </row>
        <row r="202">
          <cell r="A202" t="str">
            <v>Dominica</v>
          </cell>
        </row>
        <row r="203">
          <cell r="A203" t="str">
            <v>Eritrea</v>
          </cell>
        </row>
        <row r="204">
          <cell r="A204" t="str">
            <v>Western Sahara</v>
          </cell>
        </row>
        <row r="205">
          <cell r="A205" t="str">
            <v>Falkland Islands (Islas Malvinas)</v>
          </cell>
        </row>
        <row r="206">
          <cell r="A206" t="str">
            <v>Faroe Islands</v>
          </cell>
        </row>
        <row r="207">
          <cell r="A207" t="str">
            <v>Gabon</v>
          </cell>
        </row>
        <row r="208">
          <cell r="A208" t="str">
            <v>Gibraltar</v>
          </cell>
        </row>
        <row r="209">
          <cell r="A209" t="str">
            <v>Guinea</v>
          </cell>
        </row>
        <row r="210">
          <cell r="A210" t="str">
            <v>Gambia</v>
          </cell>
        </row>
        <row r="211">
          <cell r="A211" t="str">
            <v>Guinea-Bissau</v>
          </cell>
        </row>
        <row r="212">
          <cell r="A212" t="str">
            <v>Greenland</v>
          </cell>
        </row>
        <row r="213">
          <cell r="A213" t="str">
            <v>French Guiana</v>
          </cell>
        </row>
        <row r="214">
          <cell r="A214" t="str">
            <v>Heard &amp; McDonald Islands</v>
          </cell>
        </row>
        <row r="215">
          <cell r="A215" t="str">
            <v>British Indian Ocean Territory</v>
          </cell>
        </row>
        <row r="216">
          <cell r="A216" t="str">
            <v>Jersey</v>
          </cell>
        </row>
        <row r="217">
          <cell r="A217" t="str">
            <v>St. Kitts &amp; Nevis</v>
          </cell>
        </row>
        <row r="218">
          <cell r="A218" t="str">
            <v>Lesotho</v>
          </cell>
        </row>
        <row r="219">
          <cell r="A219" t="str">
            <v>St. Martin</v>
          </cell>
        </row>
        <row r="220">
          <cell r="A220" t="str">
            <v>Monaco</v>
          </cell>
        </row>
        <row r="221">
          <cell r="A221" t="str">
            <v>Mali</v>
          </cell>
        </row>
        <row r="222">
          <cell r="A222" t="str">
            <v>Mauritania</v>
          </cell>
        </row>
        <row r="223">
          <cell r="A223" t="str">
            <v>Montserrat</v>
          </cell>
        </row>
        <row r="224">
          <cell r="A224" t="str">
            <v>Martinique</v>
          </cell>
        </row>
        <row r="225">
          <cell r="A225" t="str">
            <v>Mayotte</v>
          </cell>
        </row>
        <row r="226">
          <cell r="A226" t="str">
            <v>Namibia</v>
          </cell>
        </row>
        <row r="227">
          <cell r="A227" t="str">
            <v>New Caledonia</v>
          </cell>
        </row>
        <row r="228">
          <cell r="A228" t="str">
            <v>Norfolk Island</v>
          </cell>
        </row>
        <row r="229">
          <cell r="A229" t="str">
            <v>Niue</v>
          </cell>
        </row>
        <row r="230">
          <cell r="A230" t="str">
            <v>Nauru</v>
          </cell>
        </row>
        <row r="231">
          <cell r="A231" t="str">
            <v>Pitcairn Islands</v>
          </cell>
        </row>
        <row r="232">
          <cell r="A232" t="str">
            <v>North Korea</v>
          </cell>
        </row>
        <row r="233">
          <cell r="A233" t="str">
            <v>RÃ©union</v>
          </cell>
        </row>
        <row r="234">
          <cell r="A234" t="str">
            <v>South Georgia &amp; South Sandwich Islands</v>
          </cell>
        </row>
        <row r="235">
          <cell r="A235" t="str">
            <v>Svalbard &amp; Jan Mayen</v>
          </cell>
        </row>
        <row r="236">
          <cell r="A236" t="str">
            <v>Sierra Leone</v>
          </cell>
        </row>
        <row r="237">
          <cell r="A237" t="str">
            <v>Somalia</v>
          </cell>
        </row>
        <row r="238">
          <cell r="A238" t="str">
            <v>St. Pierre &amp; Miquelon</v>
          </cell>
        </row>
        <row r="239">
          <cell r="A239" t="str">
            <v>South Sudan</v>
          </cell>
        </row>
        <row r="240">
          <cell r="A240" t="str">
            <v>SÃ£o TomÃ© &amp; PrÃ­ncipe</v>
          </cell>
        </row>
        <row r="241">
          <cell r="A241" t="str">
            <v>Sint Maarten</v>
          </cell>
        </row>
        <row r="242">
          <cell r="A242" t="str">
            <v>Turks &amp; Caicos Islands</v>
          </cell>
        </row>
        <row r="243">
          <cell r="A243" t="str">
            <v>Chad</v>
          </cell>
        </row>
        <row r="244">
          <cell r="A244" t="str">
            <v>Togo</v>
          </cell>
        </row>
        <row r="245">
          <cell r="A245" t="str">
            <v>Tokelau</v>
          </cell>
        </row>
        <row r="246">
          <cell r="A246" t="str">
            <v>Timor-Leste</v>
          </cell>
        </row>
        <row r="247">
          <cell r="A247" t="str">
            <v>Tuvalu</v>
          </cell>
        </row>
        <row r="248">
          <cell r="A248" t="str">
            <v>U.S. Outlying Islands</v>
          </cell>
        </row>
        <row r="249">
          <cell r="A249" t="str">
            <v>Vatican City</v>
          </cell>
        </row>
        <row r="250">
          <cell r="A250" t="str">
            <v>St. Vincent &amp; Grenadines</v>
          </cell>
        </row>
        <row r="251">
          <cell r="A251" t="str">
            <v>U.S. Virgin Islands</v>
          </cell>
        </row>
        <row r="252">
          <cell r="A252" t="str">
            <v>Wallis &amp; Futuna</v>
          </cell>
        </row>
        <row r="253">
          <cell r="A253" t="str">
            <v>Yemen</v>
          </cell>
        </row>
      </sheetData>
    </sheetDataSet>
  </externalBook>
</externalLink>
</file>

<file path=xl/externalLinks/externalLink2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27)"/>
    </sheetNames>
    <sheetDataSet>
      <sheetData sheetId="0">
        <row r="1">
          <cell r="A1" t="str">
            <v>Category: All categories</v>
          </cell>
        </row>
        <row r="3">
          <cell r="A3" t="str">
            <v>Country</v>
          </cell>
          <cell r="B3" t="str">
            <v>C++: (2016)</v>
          </cell>
          <cell r="C3" t="str">
            <v>Transmission Control Protocol: (2016)</v>
          </cell>
        </row>
        <row r="4">
          <cell r="A4" t="str">
            <v>North Korea</v>
          </cell>
        </row>
        <row r="5">
          <cell r="A5" t="str">
            <v>China</v>
          </cell>
          <cell r="B5">
            <v>0.82</v>
          </cell>
          <cell r="C5">
            <v>0.18</v>
          </cell>
        </row>
        <row r="6">
          <cell r="A6" t="str">
            <v>Ethiopia</v>
          </cell>
        </row>
        <row r="7">
          <cell r="A7" t="str">
            <v>Cuba</v>
          </cell>
        </row>
        <row r="8">
          <cell r="A8" t="str">
            <v>South Korea</v>
          </cell>
          <cell r="B8">
            <v>0.84</v>
          </cell>
          <cell r="C8">
            <v>0.16</v>
          </cell>
        </row>
        <row r="9">
          <cell r="A9" t="str">
            <v>Pakistan</v>
          </cell>
          <cell r="B9">
            <v>0.95</v>
          </cell>
          <cell r="C9">
            <v>0.05</v>
          </cell>
        </row>
        <row r="10">
          <cell r="A10" t="str">
            <v>St. Helena</v>
          </cell>
        </row>
        <row r="11">
          <cell r="A11" t="str">
            <v>Armenia</v>
          </cell>
        </row>
        <row r="12">
          <cell r="A12" t="str">
            <v>Iceland</v>
          </cell>
        </row>
        <row r="13">
          <cell r="A13" t="str">
            <v>Rwanda</v>
          </cell>
        </row>
        <row r="14">
          <cell r="A14" t="str">
            <v>Romania</v>
          </cell>
          <cell r="B14">
            <v>0.94</v>
          </cell>
          <cell r="C14">
            <v>0.06</v>
          </cell>
        </row>
        <row r="15">
          <cell r="A15" t="str">
            <v>Lesotho</v>
          </cell>
        </row>
        <row r="16">
          <cell r="A16" t="str">
            <v>Belarus</v>
          </cell>
          <cell r="B16">
            <v>0.93</v>
          </cell>
          <cell r="C16">
            <v>7.0000000000000007E-2</v>
          </cell>
        </row>
        <row r="17">
          <cell r="A17" t="str">
            <v>India</v>
          </cell>
          <cell r="B17">
            <v>0.87</v>
          </cell>
          <cell r="C17">
            <v>0.13</v>
          </cell>
        </row>
        <row r="18">
          <cell r="A18" t="str">
            <v>Fiji</v>
          </cell>
        </row>
        <row r="19">
          <cell r="A19" t="str">
            <v>Poland</v>
          </cell>
          <cell r="B19">
            <v>0.92</v>
          </cell>
          <cell r="C19">
            <v>0.08</v>
          </cell>
        </row>
        <row r="20">
          <cell r="A20" t="str">
            <v>Singapore</v>
          </cell>
          <cell r="B20">
            <v>0.79</v>
          </cell>
          <cell r="C20">
            <v>0.21</v>
          </cell>
        </row>
        <row r="21">
          <cell r="A21" t="str">
            <v>Israel</v>
          </cell>
          <cell r="B21">
            <v>0.86</v>
          </cell>
          <cell r="C21">
            <v>0.14000000000000001</v>
          </cell>
        </row>
        <row r="22">
          <cell r="A22" t="str">
            <v>Tonga</v>
          </cell>
        </row>
        <row r="23">
          <cell r="A23" t="str">
            <v>Lithuania</v>
          </cell>
        </row>
        <row r="24">
          <cell r="A24" t="str">
            <v>Eswatini</v>
          </cell>
        </row>
        <row r="25">
          <cell r="A25" t="str">
            <v>Nepal</v>
          </cell>
        </row>
        <row r="26">
          <cell r="A26" t="str">
            <v>Zimbabwe</v>
          </cell>
        </row>
        <row r="27">
          <cell r="A27" t="str">
            <v>Russia</v>
          </cell>
          <cell r="B27">
            <v>0.9</v>
          </cell>
          <cell r="C27">
            <v>0.1</v>
          </cell>
        </row>
        <row r="28">
          <cell r="A28" t="str">
            <v>Hong Kong</v>
          </cell>
          <cell r="B28">
            <v>0.81</v>
          </cell>
          <cell r="C28">
            <v>0.19</v>
          </cell>
        </row>
        <row r="29">
          <cell r="A29" t="str">
            <v>Taiwan</v>
          </cell>
          <cell r="B29">
            <v>0.86</v>
          </cell>
          <cell r="C29">
            <v>0.14000000000000001</v>
          </cell>
        </row>
        <row r="30">
          <cell r="A30" t="str">
            <v>Czechia</v>
          </cell>
          <cell r="B30">
            <v>0.85</v>
          </cell>
          <cell r="C30">
            <v>0.15</v>
          </cell>
        </row>
        <row r="31">
          <cell r="A31" t="str">
            <v>Belize</v>
          </cell>
        </row>
        <row r="32">
          <cell r="A32" t="str">
            <v>Honduras</v>
          </cell>
        </row>
        <row r="33">
          <cell r="A33" t="str">
            <v>Uzbekistan</v>
          </cell>
        </row>
        <row r="34">
          <cell r="A34" t="str">
            <v>Bulgaria</v>
          </cell>
          <cell r="B34">
            <v>0.9</v>
          </cell>
          <cell r="C34">
            <v>0.1</v>
          </cell>
        </row>
        <row r="35">
          <cell r="A35" t="str">
            <v>Guatemala</v>
          </cell>
        </row>
        <row r="36">
          <cell r="A36" t="str">
            <v>Philippines</v>
          </cell>
          <cell r="B36">
            <v>0.88</v>
          </cell>
          <cell r="C36">
            <v>0.12</v>
          </cell>
        </row>
        <row r="37">
          <cell r="A37" t="str">
            <v>Bangladesh</v>
          </cell>
          <cell r="B37">
            <v>0.91</v>
          </cell>
          <cell r="C37">
            <v>0.09</v>
          </cell>
        </row>
        <row r="38">
          <cell r="A38" t="str">
            <v>North Macedonia</v>
          </cell>
        </row>
        <row r="39">
          <cell r="A39" t="str">
            <v>Botswana</v>
          </cell>
        </row>
        <row r="40">
          <cell r="A40" t="str">
            <v>Ukraine</v>
          </cell>
          <cell r="B40">
            <v>0.92</v>
          </cell>
          <cell r="C40">
            <v>0.08</v>
          </cell>
        </row>
        <row r="41">
          <cell r="A41" t="str">
            <v>Mongolia</v>
          </cell>
        </row>
        <row r="42">
          <cell r="A42" t="str">
            <v>Iran</v>
          </cell>
          <cell r="B42">
            <v>0.92</v>
          </cell>
          <cell r="C42">
            <v>0.08</v>
          </cell>
        </row>
        <row r="43">
          <cell r="A43" t="str">
            <v>Afghanistan</v>
          </cell>
        </row>
        <row r="44">
          <cell r="A44" t="str">
            <v>Latvia</v>
          </cell>
        </row>
        <row r="45">
          <cell r="A45" t="str">
            <v>Somalia</v>
          </cell>
        </row>
        <row r="46">
          <cell r="A46" t="str">
            <v>Germany</v>
          </cell>
          <cell r="B46">
            <v>0.86</v>
          </cell>
          <cell r="C46">
            <v>0.14000000000000001</v>
          </cell>
        </row>
        <row r="47">
          <cell r="A47" t="str">
            <v>Slovenia</v>
          </cell>
          <cell r="B47">
            <v>0.87</v>
          </cell>
          <cell r="C47">
            <v>0.13</v>
          </cell>
        </row>
        <row r="48">
          <cell r="A48" t="str">
            <v>Bosnia &amp; Herzegovina</v>
          </cell>
        </row>
        <row r="49">
          <cell r="A49" t="str">
            <v>Madagascar</v>
          </cell>
        </row>
        <row r="50">
          <cell r="A50" t="str">
            <v>Faroe Islands</v>
          </cell>
        </row>
        <row r="51">
          <cell r="A51" t="str">
            <v>Switzerland</v>
          </cell>
          <cell r="B51">
            <v>0.83</v>
          </cell>
          <cell r="C51">
            <v>0.17</v>
          </cell>
        </row>
        <row r="52">
          <cell r="A52" t="str">
            <v>Moldova</v>
          </cell>
        </row>
        <row r="53">
          <cell r="A53" t="str">
            <v>Sweden</v>
          </cell>
          <cell r="B53">
            <v>0.85</v>
          </cell>
          <cell r="C53">
            <v>0.15</v>
          </cell>
        </row>
        <row r="54">
          <cell r="A54" t="str">
            <v>Austria</v>
          </cell>
          <cell r="B54">
            <v>0.84</v>
          </cell>
          <cell r="C54">
            <v>0.16</v>
          </cell>
        </row>
        <row r="55">
          <cell r="A55" t="str">
            <v>Sri Lanka</v>
          </cell>
          <cell r="B55">
            <v>0.84</v>
          </cell>
          <cell r="C55">
            <v>0.16</v>
          </cell>
        </row>
        <row r="56">
          <cell r="A56" t="str">
            <v>Benin</v>
          </cell>
        </row>
        <row r="57">
          <cell r="A57" t="str">
            <v>Hungary</v>
          </cell>
          <cell r="B57">
            <v>0.86</v>
          </cell>
          <cell r="C57">
            <v>0.14000000000000001</v>
          </cell>
        </row>
        <row r="58">
          <cell r="A58" t="str">
            <v>Finland</v>
          </cell>
          <cell r="B58">
            <v>0.83</v>
          </cell>
          <cell r="C58">
            <v>0.17</v>
          </cell>
        </row>
        <row r="59">
          <cell r="A59" t="str">
            <v>Jordan</v>
          </cell>
        </row>
        <row r="60">
          <cell r="A60" t="str">
            <v>Tunisia</v>
          </cell>
          <cell r="B60">
            <v>0.82</v>
          </cell>
          <cell r="C60">
            <v>0.18</v>
          </cell>
        </row>
        <row r="61">
          <cell r="A61" t="str">
            <v>Cyprus</v>
          </cell>
        </row>
        <row r="62">
          <cell r="A62" t="str">
            <v>Croatia</v>
          </cell>
          <cell r="B62">
            <v>0.88</v>
          </cell>
          <cell r="C62">
            <v>0.12</v>
          </cell>
        </row>
        <row r="63">
          <cell r="A63" t="str">
            <v>Malawi</v>
          </cell>
        </row>
        <row r="64">
          <cell r="A64" t="str">
            <v>Togo</v>
          </cell>
        </row>
        <row r="65">
          <cell r="A65" t="str">
            <v>Ghana</v>
          </cell>
        </row>
        <row r="66">
          <cell r="A66" t="str">
            <v>Estonia</v>
          </cell>
        </row>
        <row r="67">
          <cell r="A67" t="str">
            <v>Slovakia</v>
          </cell>
          <cell r="B67">
            <v>0.84</v>
          </cell>
          <cell r="C67">
            <v>0.16</v>
          </cell>
        </row>
        <row r="68">
          <cell r="A68" t="str">
            <v>Ecuador</v>
          </cell>
          <cell r="B68">
            <v>0.86</v>
          </cell>
          <cell r="C68">
            <v>0.14000000000000001</v>
          </cell>
        </row>
        <row r="69">
          <cell r="A69" t="str">
            <v>Serbia</v>
          </cell>
          <cell r="B69">
            <v>0.89</v>
          </cell>
          <cell r="C69">
            <v>0.11</v>
          </cell>
        </row>
        <row r="70">
          <cell r="A70" t="str">
            <v>Albania</v>
          </cell>
        </row>
        <row r="71">
          <cell r="A71" t="str">
            <v>St. Kitts &amp; Nevis</v>
          </cell>
        </row>
        <row r="72">
          <cell r="A72" t="str">
            <v>Sudan</v>
          </cell>
        </row>
        <row r="73">
          <cell r="A73" t="str">
            <v>Canada</v>
          </cell>
          <cell r="B73">
            <v>0.84</v>
          </cell>
          <cell r="C73">
            <v>0.16</v>
          </cell>
        </row>
        <row r="74">
          <cell r="A74" t="str">
            <v>Egypt</v>
          </cell>
          <cell r="B74">
            <v>0.93</v>
          </cell>
          <cell r="C74">
            <v>7.0000000000000007E-2</v>
          </cell>
        </row>
        <row r="75">
          <cell r="A75" t="str">
            <v>Kenya</v>
          </cell>
          <cell r="B75">
            <v>0.84</v>
          </cell>
          <cell r="C75">
            <v>0.16</v>
          </cell>
        </row>
        <row r="76">
          <cell r="A76" t="str">
            <v>Bolivia</v>
          </cell>
          <cell r="B76">
            <v>0.79</v>
          </cell>
          <cell r="C76">
            <v>0.21</v>
          </cell>
        </row>
        <row r="77">
          <cell r="A77" t="str">
            <v>Cameroon</v>
          </cell>
        </row>
        <row r="78">
          <cell r="A78" t="str">
            <v>Syria</v>
          </cell>
        </row>
        <row r="79">
          <cell r="A79" t="str">
            <v>United States</v>
          </cell>
          <cell r="B79">
            <v>0.82</v>
          </cell>
          <cell r="C79">
            <v>0.18</v>
          </cell>
        </row>
        <row r="80">
          <cell r="A80" t="str">
            <v>Japan</v>
          </cell>
          <cell r="B80">
            <v>0.8</v>
          </cell>
          <cell r="C80">
            <v>0.2</v>
          </cell>
        </row>
        <row r="81">
          <cell r="A81" t="str">
            <v>Norway</v>
          </cell>
          <cell r="B81">
            <v>0.8</v>
          </cell>
          <cell r="C81">
            <v>0.2</v>
          </cell>
        </row>
        <row r="82">
          <cell r="A82" t="str">
            <v>Mexico</v>
          </cell>
          <cell r="B82">
            <v>0.86</v>
          </cell>
          <cell r="C82">
            <v>0.14000000000000001</v>
          </cell>
        </row>
        <row r="83">
          <cell r="A83" t="str">
            <v>Malta</v>
          </cell>
        </row>
        <row r="84">
          <cell r="A84" t="str">
            <v>Lebanon</v>
          </cell>
        </row>
        <row r="85">
          <cell r="A85" t="str">
            <v>Malaysia</v>
          </cell>
          <cell r="B85">
            <v>0.85</v>
          </cell>
          <cell r="C85">
            <v>0.15</v>
          </cell>
        </row>
        <row r="86">
          <cell r="A86" t="str">
            <v>Costa Rica</v>
          </cell>
          <cell r="B86">
            <v>0.83</v>
          </cell>
          <cell r="C86">
            <v>0.17</v>
          </cell>
        </row>
        <row r="87">
          <cell r="A87" t="str">
            <v>Kazakhstan</v>
          </cell>
          <cell r="B87">
            <v>0.89</v>
          </cell>
          <cell r="C87">
            <v>0.11</v>
          </cell>
        </row>
        <row r="88">
          <cell r="A88" t="str">
            <v>Myanmar (Burma)</v>
          </cell>
        </row>
        <row r="89">
          <cell r="A89" t="str">
            <v>Libya</v>
          </cell>
        </row>
        <row r="90">
          <cell r="A90" t="str">
            <v>Georgia</v>
          </cell>
        </row>
        <row r="91">
          <cell r="A91" t="str">
            <v>Vietnam</v>
          </cell>
          <cell r="B91">
            <v>0.91</v>
          </cell>
          <cell r="C91">
            <v>0.09</v>
          </cell>
        </row>
        <row r="92">
          <cell r="A92" t="str">
            <v>Portugal</v>
          </cell>
          <cell r="B92">
            <v>0.81</v>
          </cell>
          <cell r="C92">
            <v>0.19</v>
          </cell>
        </row>
        <row r="93">
          <cell r="A93" t="str">
            <v>Panama</v>
          </cell>
        </row>
        <row r="94">
          <cell r="A94" t="str">
            <v>Yemen</v>
          </cell>
        </row>
        <row r="95">
          <cell r="A95" t="str">
            <v>Angola</v>
          </cell>
        </row>
        <row r="96">
          <cell r="A96" t="str">
            <v>Burundi</v>
          </cell>
        </row>
        <row r="97">
          <cell r="A97" t="str">
            <v>Colombia</v>
          </cell>
          <cell r="B97">
            <v>0.83</v>
          </cell>
          <cell r="C97">
            <v>0.17</v>
          </cell>
        </row>
        <row r="98">
          <cell r="A98" t="str">
            <v>Papua New Guinea</v>
          </cell>
        </row>
        <row r="99">
          <cell r="A99" t="str">
            <v>Barbados</v>
          </cell>
        </row>
        <row r="100">
          <cell r="A100" t="str">
            <v>St. Vincent &amp; Grenadines</v>
          </cell>
        </row>
        <row r="101">
          <cell r="A101" t="str">
            <v>Uganda</v>
          </cell>
        </row>
        <row r="102">
          <cell r="A102" t="str">
            <v>Jamaica</v>
          </cell>
        </row>
        <row r="103">
          <cell r="A103" t="str">
            <v>Oman</v>
          </cell>
        </row>
        <row r="104">
          <cell r="A104" t="str">
            <v>Netherlands</v>
          </cell>
          <cell r="B104">
            <v>0.78</v>
          </cell>
          <cell r="C104">
            <v>0.22</v>
          </cell>
        </row>
        <row r="105">
          <cell r="A105" t="str">
            <v>France</v>
          </cell>
          <cell r="B105">
            <v>0.82</v>
          </cell>
          <cell r="C105">
            <v>0.18</v>
          </cell>
        </row>
        <row r="106">
          <cell r="A106" t="str">
            <v>Greece</v>
          </cell>
          <cell r="B106">
            <v>0.85</v>
          </cell>
          <cell r="C106">
            <v>0.15</v>
          </cell>
        </row>
        <row r="107">
          <cell r="A107" t="str">
            <v>Cape Verde</v>
          </cell>
        </row>
        <row r="108">
          <cell r="A108" t="str">
            <v>Cambodia</v>
          </cell>
        </row>
        <row r="109">
          <cell r="A109" t="str">
            <v>Tanzania</v>
          </cell>
        </row>
        <row r="110">
          <cell r="A110" t="str">
            <v>Macao</v>
          </cell>
        </row>
        <row r="111">
          <cell r="A111" t="str">
            <v>Ireland</v>
          </cell>
          <cell r="B111">
            <v>0.74</v>
          </cell>
          <cell r="C111">
            <v>0.26</v>
          </cell>
        </row>
        <row r="112">
          <cell r="A112" t="str">
            <v>Luxembourg</v>
          </cell>
        </row>
        <row r="113">
          <cell r="A113" t="str">
            <v>Peru</v>
          </cell>
          <cell r="B113">
            <v>0.84</v>
          </cell>
          <cell r="C113">
            <v>0.16</v>
          </cell>
        </row>
        <row r="114">
          <cell r="A114" t="str">
            <v>New Zealand</v>
          </cell>
          <cell r="B114">
            <v>0.76</v>
          </cell>
          <cell r="C114">
            <v>0.24</v>
          </cell>
        </row>
        <row r="115">
          <cell r="A115" t="str">
            <v>Mauritius</v>
          </cell>
        </row>
        <row r="116">
          <cell r="A116" t="str">
            <v>Denmark</v>
          </cell>
          <cell r="B116">
            <v>0.79</v>
          </cell>
          <cell r="C116">
            <v>0.21</v>
          </cell>
        </row>
        <row r="117">
          <cell r="A117" t="str">
            <v>Nicaragua</v>
          </cell>
        </row>
        <row r="118">
          <cell r="A118" t="str">
            <v>Kyrgyzstan</v>
          </cell>
        </row>
        <row r="119">
          <cell r="A119" t="str">
            <v>El Salvador</v>
          </cell>
        </row>
        <row r="120">
          <cell r="A120" t="str">
            <v>Bhutan</v>
          </cell>
        </row>
        <row r="121">
          <cell r="A121" t="str">
            <v>Indonesia</v>
          </cell>
          <cell r="B121">
            <v>0.82</v>
          </cell>
          <cell r="C121">
            <v>0.18</v>
          </cell>
        </row>
        <row r="122">
          <cell r="A122" t="str">
            <v>Belgium</v>
          </cell>
          <cell r="B122">
            <v>0.78</v>
          </cell>
          <cell r="C122">
            <v>0.22</v>
          </cell>
        </row>
        <row r="123">
          <cell r="A123" t="str">
            <v>Trinidad &amp; Tobago</v>
          </cell>
        </row>
        <row r="124">
          <cell r="A124" t="str">
            <v>Morocco</v>
          </cell>
          <cell r="B124">
            <v>0.83</v>
          </cell>
          <cell r="C124">
            <v>0.17</v>
          </cell>
        </row>
        <row r="125">
          <cell r="A125" t="str">
            <v>Puerto Rico</v>
          </cell>
        </row>
        <row r="126">
          <cell r="A126" t="str">
            <v>Azerbaijan</v>
          </cell>
        </row>
        <row r="127">
          <cell r="A127" t="str">
            <v>Andorra</v>
          </cell>
        </row>
        <row r="128">
          <cell r="A128" t="str">
            <v>Italy</v>
          </cell>
          <cell r="B128">
            <v>0.81</v>
          </cell>
          <cell r="C128">
            <v>0.19</v>
          </cell>
        </row>
        <row r="129">
          <cell r="A129" t="str">
            <v>Bahrain</v>
          </cell>
        </row>
        <row r="130">
          <cell r="A130" t="str">
            <v>Guinea</v>
          </cell>
        </row>
        <row r="131">
          <cell r="A131" t="str">
            <v>Tajikistan</v>
          </cell>
        </row>
        <row r="132">
          <cell r="A132" t="str">
            <v>Nigeria</v>
          </cell>
          <cell r="B132">
            <v>0.81</v>
          </cell>
          <cell r="C132">
            <v>0.19</v>
          </cell>
        </row>
        <row r="133">
          <cell r="A133" t="str">
            <v>Maldives</v>
          </cell>
        </row>
        <row r="134">
          <cell r="A134" t="str">
            <v>United Kingdom</v>
          </cell>
          <cell r="B134">
            <v>0.76</v>
          </cell>
          <cell r="C134">
            <v>0.24</v>
          </cell>
        </row>
        <row r="135">
          <cell r="A135" t="str">
            <v>Zambia</v>
          </cell>
        </row>
        <row r="136">
          <cell r="A136" t="str">
            <v>Laos</v>
          </cell>
        </row>
        <row r="137">
          <cell r="A137" t="str">
            <v>Venezuela</v>
          </cell>
          <cell r="B137">
            <v>0.86</v>
          </cell>
          <cell r="C137">
            <v>0.14000000000000001</v>
          </cell>
        </row>
        <row r="138">
          <cell r="A138" t="str">
            <v>South Africa</v>
          </cell>
          <cell r="B138">
            <v>0.79</v>
          </cell>
          <cell r="C138">
            <v>0.21</v>
          </cell>
        </row>
        <row r="139">
          <cell r="A139" t="str">
            <v>Australia</v>
          </cell>
          <cell r="B139">
            <v>0.73</v>
          </cell>
          <cell r="C139">
            <v>0.27</v>
          </cell>
        </row>
        <row r="140">
          <cell r="A140" t="str">
            <v>Spain</v>
          </cell>
          <cell r="B140">
            <v>0.76</v>
          </cell>
          <cell r="C140">
            <v>0.24</v>
          </cell>
        </row>
        <row r="141">
          <cell r="A141" t="str">
            <v>Congo - Kinshasa</v>
          </cell>
        </row>
        <row r="142">
          <cell r="A142" t="str">
            <v>Turkmenistan</v>
          </cell>
        </row>
        <row r="143">
          <cell r="A143" t="str">
            <v>Namibia</v>
          </cell>
        </row>
        <row r="144">
          <cell r="A144" t="str">
            <v>Algeria</v>
          </cell>
          <cell r="B144">
            <v>0.86</v>
          </cell>
          <cell r="C144">
            <v>0.14000000000000001</v>
          </cell>
        </row>
        <row r="145">
          <cell r="A145" t="str">
            <v>United Arab Emirates</v>
          </cell>
          <cell r="B145">
            <v>0.75</v>
          </cell>
          <cell r="C145">
            <v>0.25</v>
          </cell>
        </row>
        <row r="146">
          <cell r="A146" t="str">
            <v>Kosovo</v>
          </cell>
        </row>
        <row r="147">
          <cell r="A147" t="str">
            <v>Paraguay</v>
          </cell>
        </row>
        <row r="148">
          <cell r="A148" t="str">
            <v>South Sudan</v>
          </cell>
        </row>
        <row r="149">
          <cell r="A149" t="str">
            <v>Niger</v>
          </cell>
        </row>
        <row r="150">
          <cell r="A150" t="str">
            <v>Brunei</v>
          </cell>
        </row>
        <row r="151">
          <cell r="A151" t="str">
            <v>Dominican Republic</v>
          </cell>
        </row>
        <row r="152">
          <cell r="A152" t="str">
            <v>Djibouti</v>
          </cell>
        </row>
        <row r="153">
          <cell r="A153" t="str">
            <v>Liberia</v>
          </cell>
        </row>
        <row r="154">
          <cell r="A154" t="str">
            <v>Gabon</v>
          </cell>
        </row>
        <row r="155">
          <cell r="A155" t="str">
            <v>Uruguay</v>
          </cell>
        </row>
        <row r="156">
          <cell r="A156" t="str">
            <v>Grenada</v>
          </cell>
        </row>
        <row r="157">
          <cell r="A157" t="str">
            <v>Montenegro</v>
          </cell>
        </row>
        <row r="158">
          <cell r="A158" t="str">
            <v>Turkey</v>
          </cell>
          <cell r="B158">
            <v>0.88</v>
          </cell>
          <cell r="C158">
            <v>0.12</v>
          </cell>
        </row>
        <row r="159">
          <cell r="A159" t="str">
            <v>Iraq</v>
          </cell>
        </row>
        <row r="160">
          <cell r="A160" t="str">
            <v>Thailand</v>
          </cell>
          <cell r="B160">
            <v>0.82</v>
          </cell>
          <cell r="C160">
            <v>0.18</v>
          </cell>
        </row>
        <row r="161">
          <cell r="A161" t="str">
            <v>Brazil</v>
          </cell>
          <cell r="B161">
            <v>0.74</v>
          </cell>
          <cell r="C161">
            <v>0.26</v>
          </cell>
        </row>
        <row r="162">
          <cell r="A162" t="str">
            <v>Haiti</v>
          </cell>
        </row>
        <row r="163">
          <cell r="A163" t="str">
            <v>Mozambique</v>
          </cell>
        </row>
        <row r="164">
          <cell r="A164" t="str">
            <v>RÃ©union</v>
          </cell>
        </row>
        <row r="165">
          <cell r="A165" t="str">
            <v>CÃ´te dâ€™Ivoire</v>
          </cell>
        </row>
        <row r="166">
          <cell r="A166" t="str">
            <v>Senegal</v>
          </cell>
        </row>
        <row r="167">
          <cell r="A167" t="str">
            <v>Chile</v>
          </cell>
          <cell r="B167">
            <v>0.77</v>
          </cell>
          <cell r="C167">
            <v>0.23</v>
          </cell>
        </row>
        <row r="168">
          <cell r="A168" t="str">
            <v>French Guiana</v>
          </cell>
        </row>
        <row r="169">
          <cell r="A169" t="str">
            <v>Argentina</v>
          </cell>
          <cell r="B169">
            <v>0.71</v>
          </cell>
          <cell r="C169">
            <v>0.28999999999999998</v>
          </cell>
        </row>
        <row r="170">
          <cell r="A170" t="str">
            <v>Antigua &amp; Barbuda</v>
          </cell>
        </row>
        <row r="171">
          <cell r="A171" t="str">
            <v>Palestine</v>
          </cell>
        </row>
        <row r="172">
          <cell r="A172" t="str">
            <v>Congo - Brazzaville</v>
          </cell>
        </row>
        <row r="173">
          <cell r="A173" t="str">
            <v>Mauritania</v>
          </cell>
        </row>
        <row r="174">
          <cell r="A174" t="str">
            <v>Qatar</v>
          </cell>
        </row>
        <row r="175">
          <cell r="A175" t="str">
            <v>Sierra Leone</v>
          </cell>
        </row>
        <row r="176">
          <cell r="A176" t="str">
            <v>French Polynesia</v>
          </cell>
        </row>
        <row r="177">
          <cell r="A177" t="str">
            <v>Burkina Faso</v>
          </cell>
        </row>
        <row r="178">
          <cell r="A178" t="str">
            <v>Kuwait</v>
          </cell>
        </row>
        <row r="179">
          <cell r="A179" t="str">
            <v>Isle of Man</v>
          </cell>
        </row>
        <row r="180">
          <cell r="A180" t="str">
            <v>Saudi Arabia</v>
          </cell>
          <cell r="B180">
            <v>0.8</v>
          </cell>
          <cell r="C180">
            <v>0.2</v>
          </cell>
        </row>
        <row r="181">
          <cell r="A181" t="str">
            <v>Guyana</v>
          </cell>
        </row>
        <row r="182">
          <cell r="A182" t="str">
            <v>Mali</v>
          </cell>
        </row>
        <row r="183">
          <cell r="A183" t="str">
            <v>Suriname</v>
          </cell>
        </row>
        <row r="184">
          <cell r="A184" t="str">
            <v>Martinique</v>
          </cell>
        </row>
        <row r="185">
          <cell r="A185" t="str">
            <v>Guam</v>
          </cell>
        </row>
        <row r="186">
          <cell r="A186" t="str">
            <v>Cayman Islands</v>
          </cell>
        </row>
        <row r="187">
          <cell r="A187" t="str">
            <v>Bahamas</v>
          </cell>
        </row>
        <row r="188">
          <cell r="A188" t="str">
            <v>Guadeloupe</v>
          </cell>
        </row>
        <row r="189">
          <cell r="A189" t="str">
            <v>Aruba</v>
          </cell>
        </row>
        <row r="190">
          <cell r="A190" t="str">
            <v>CuraÃ§ao</v>
          </cell>
        </row>
        <row r="191">
          <cell r="A191" t="str">
            <v>Jersey</v>
          </cell>
        </row>
        <row r="192">
          <cell r="A192" t="str">
            <v>Ã…land Islands</v>
          </cell>
        </row>
        <row r="193">
          <cell r="A193" t="str">
            <v>Falkland Islands (Islas Malvinas)</v>
          </cell>
        </row>
        <row r="194">
          <cell r="A194" t="str">
            <v>Eritrea</v>
          </cell>
        </row>
        <row r="195">
          <cell r="A195" t="str">
            <v>Cook Islands</v>
          </cell>
        </row>
        <row r="196">
          <cell r="A196" t="str">
            <v>SÃ£o TomÃ© &amp; PrÃ­ncipe</v>
          </cell>
        </row>
        <row r="197">
          <cell r="A197" t="str">
            <v>Solomon Islands</v>
          </cell>
        </row>
        <row r="198">
          <cell r="A198" t="str">
            <v>Liechtenstein</v>
          </cell>
        </row>
        <row r="199">
          <cell r="A199" t="str">
            <v>Micronesia</v>
          </cell>
        </row>
        <row r="200">
          <cell r="A200" t="str">
            <v>Guinea-Bissau</v>
          </cell>
        </row>
        <row r="201">
          <cell r="A201" t="str">
            <v>St. Lucia</v>
          </cell>
        </row>
        <row r="202">
          <cell r="A202" t="str">
            <v>Central African Republic</v>
          </cell>
        </row>
        <row r="203">
          <cell r="A203" t="str">
            <v>Monaco</v>
          </cell>
        </row>
        <row r="204">
          <cell r="A204" t="str">
            <v>Equatorial Guinea</v>
          </cell>
        </row>
        <row r="205">
          <cell r="A205" t="str">
            <v>Comoros</v>
          </cell>
        </row>
        <row r="206">
          <cell r="A206" t="str">
            <v>St. Pierre &amp; Miquelon</v>
          </cell>
        </row>
        <row r="207">
          <cell r="A207" t="str">
            <v>San Marino</v>
          </cell>
        </row>
        <row r="208">
          <cell r="A208" t="str">
            <v>Vanuatu</v>
          </cell>
        </row>
        <row r="209">
          <cell r="A209" t="str">
            <v>Sint Maarten</v>
          </cell>
        </row>
        <row r="210">
          <cell r="A210" t="str">
            <v>Samoa</v>
          </cell>
        </row>
        <row r="211">
          <cell r="A211" t="str">
            <v>Caribbean Netherlands</v>
          </cell>
        </row>
        <row r="212">
          <cell r="A212" t="str">
            <v>American Samoa</v>
          </cell>
        </row>
        <row r="213">
          <cell r="A213" t="str">
            <v>Anguilla</v>
          </cell>
        </row>
        <row r="214">
          <cell r="A214" t="str">
            <v>Turks &amp; Caicos Islands</v>
          </cell>
        </row>
        <row r="215">
          <cell r="A215" t="str">
            <v>Guernsey</v>
          </cell>
        </row>
        <row r="216">
          <cell r="A216" t="str">
            <v>Mayotte</v>
          </cell>
        </row>
        <row r="217">
          <cell r="A217" t="str">
            <v>Bermuda</v>
          </cell>
        </row>
        <row r="218">
          <cell r="A218" t="str">
            <v>St. Martin</v>
          </cell>
        </row>
        <row r="219">
          <cell r="A219" t="str">
            <v>St. BarthÃ©lemy</v>
          </cell>
        </row>
        <row r="220">
          <cell r="A220" t="str">
            <v>Dominica</v>
          </cell>
        </row>
        <row r="221">
          <cell r="A221" t="str">
            <v>Northern Mariana Islands</v>
          </cell>
        </row>
        <row r="222">
          <cell r="A222" t="str">
            <v>Seychelles</v>
          </cell>
        </row>
        <row r="223">
          <cell r="A223" t="str">
            <v>Timor-Leste</v>
          </cell>
        </row>
        <row r="224">
          <cell r="A224" t="str">
            <v>Gambia</v>
          </cell>
        </row>
        <row r="225">
          <cell r="A225" t="str">
            <v>Gibraltar</v>
          </cell>
        </row>
        <row r="226">
          <cell r="A226" t="str">
            <v>U.S. Virgin Islands</v>
          </cell>
        </row>
        <row r="227">
          <cell r="A227" t="str">
            <v>British Virgin Islands</v>
          </cell>
        </row>
        <row r="228">
          <cell r="A228" t="str">
            <v>New Caledonia</v>
          </cell>
        </row>
        <row r="229">
          <cell r="A229" t="str">
            <v>Western Sahara</v>
          </cell>
        </row>
        <row r="230">
          <cell r="A230" t="str">
            <v>Chad</v>
          </cell>
        </row>
        <row r="231">
          <cell r="A231" t="str">
            <v>Antarctica</v>
          </cell>
        </row>
        <row r="232">
          <cell r="A232" t="str">
            <v>French Southern Territories</v>
          </cell>
        </row>
        <row r="233">
          <cell r="A233" t="str">
            <v>Bouvet Island</v>
          </cell>
        </row>
        <row r="234">
          <cell r="A234" t="str">
            <v>Cocos (Keeling) Islands</v>
          </cell>
        </row>
        <row r="235">
          <cell r="A235" t="str">
            <v>Christmas Island</v>
          </cell>
        </row>
        <row r="236">
          <cell r="A236" t="str">
            <v>Greenland</v>
          </cell>
        </row>
        <row r="237">
          <cell r="A237" t="str">
            <v>Heard &amp; McDonald Islands</v>
          </cell>
        </row>
        <row r="238">
          <cell r="A238" t="str">
            <v>British Indian Ocean Territory</v>
          </cell>
        </row>
        <row r="239">
          <cell r="A239" t="str">
            <v>Kiribati</v>
          </cell>
        </row>
        <row r="240">
          <cell r="A240" t="str">
            <v>Marshall Islands</v>
          </cell>
        </row>
        <row r="241">
          <cell r="A241" t="str">
            <v>Montserrat</v>
          </cell>
        </row>
        <row r="242">
          <cell r="A242" t="str">
            <v>Norfolk Island</v>
          </cell>
        </row>
        <row r="243">
          <cell r="A243" t="str">
            <v>Niue</v>
          </cell>
        </row>
        <row r="244">
          <cell r="A244" t="str">
            <v>Nauru</v>
          </cell>
        </row>
        <row r="245">
          <cell r="A245" t="str">
            <v>Pitcairn Islands</v>
          </cell>
        </row>
        <row r="246">
          <cell r="A246" t="str">
            <v>Palau</v>
          </cell>
        </row>
        <row r="247">
          <cell r="A247" t="str">
            <v>South Georgia &amp; South Sandwich Islands</v>
          </cell>
        </row>
        <row r="248">
          <cell r="A248" t="str">
            <v>Svalbard &amp; Jan Mayen</v>
          </cell>
        </row>
        <row r="249">
          <cell r="A249" t="str">
            <v>Tokelau</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2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31)"/>
    </sheetNames>
    <sheetDataSet>
      <sheetData sheetId="0">
        <row r="1">
          <cell r="A1" t="str">
            <v>Category: All categories</v>
          </cell>
        </row>
        <row r="3">
          <cell r="A3" t="str">
            <v>Country</v>
          </cell>
          <cell r="B3" t="str">
            <v>Transmission Control Protocol: (2016)</v>
          </cell>
          <cell r="C3" t="str">
            <v>Logistic regression: (2016)</v>
          </cell>
        </row>
        <row r="4">
          <cell r="A4" t="str">
            <v>China</v>
          </cell>
          <cell r="B4">
            <v>0.84</v>
          </cell>
          <cell r="C4">
            <v>0.16</v>
          </cell>
        </row>
        <row r="5">
          <cell r="A5" t="str">
            <v>Cuba</v>
          </cell>
        </row>
        <row r="6">
          <cell r="A6" t="str">
            <v>South Korea</v>
          </cell>
          <cell r="B6">
            <v>0.84</v>
          </cell>
          <cell r="C6">
            <v>0.16</v>
          </cell>
        </row>
        <row r="7">
          <cell r="A7" t="str">
            <v>St. Helena</v>
          </cell>
        </row>
        <row r="8">
          <cell r="A8" t="str">
            <v>Botswana</v>
          </cell>
        </row>
        <row r="9">
          <cell r="A9" t="str">
            <v>Rwanda</v>
          </cell>
        </row>
        <row r="10">
          <cell r="A10" t="str">
            <v>Singapore</v>
          </cell>
          <cell r="B10">
            <v>0.81</v>
          </cell>
          <cell r="C10">
            <v>0.19</v>
          </cell>
        </row>
        <row r="11">
          <cell r="A11" t="str">
            <v>Eswatini</v>
          </cell>
        </row>
        <row r="12">
          <cell r="A12" t="str">
            <v>Ethiopia</v>
          </cell>
        </row>
        <row r="13">
          <cell r="A13" t="str">
            <v>Hong Kong</v>
          </cell>
          <cell r="B13">
            <v>0.78</v>
          </cell>
          <cell r="C13">
            <v>0.22</v>
          </cell>
        </row>
        <row r="14">
          <cell r="A14" t="str">
            <v>Angola</v>
          </cell>
        </row>
        <row r="15">
          <cell r="A15" t="str">
            <v>Zimbabwe</v>
          </cell>
        </row>
        <row r="16">
          <cell r="A16" t="str">
            <v>India</v>
          </cell>
          <cell r="B16">
            <v>0.89</v>
          </cell>
          <cell r="C16">
            <v>0.11</v>
          </cell>
        </row>
        <row r="17">
          <cell r="A17" t="str">
            <v>Papua New Guinea</v>
          </cell>
        </row>
        <row r="18">
          <cell r="A18" t="str">
            <v>Cameroon</v>
          </cell>
        </row>
        <row r="19">
          <cell r="A19" t="str">
            <v>Luxembourg</v>
          </cell>
        </row>
        <row r="20">
          <cell r="A20" t="str">
            <v>Nepal</v>
          </cell>
        </row>
        <row r="21">
          <cell r="A21" t="str">
            <v>Israel</v>
          </cell>
          <cell r="B21">
            <v>0.88</v>
          </cell>
          <cell r="C21">
            <v>0.12</v>
          </cell>
        </row>
        <row r="22">
          <cell r="A22" t="str">
            <v>Namibia</v>
          </cell>
        </row>
        <row r="23">
          <cell r="A23" t="str">
            <v>Malta</v>
          </cell>
        </row>
        <row r="24">
          <cell r="A24" t="str">
            <v>Congo - Kinshasa</v>
          </cell>
        </row>
        <row r="25">
          <cell r="A25" t="str">
            <v>Madagascar</v>
          </cell>
        </row>
        <row r="26">
          <cell r="A26" t="str">
            <v>Isle of Man</v>
          </cell>
        </row>
        <row r="27">
          <cell r="A27" t="str">
            <v>Iceland</v>
          </cell>
        </row>
        <row r="28">
          <cell r="A28" t="str">
            <v>Ghana</v>
          </cell>
        </row>
        <row r="29">
          <cell r="A29" t="str">
            <v>Czechia</v>
          </cell>
          <cell r="B29">
            <v>0.93</v>
          </cell>
          <cell r="C29">
            <v>7.0000000000000007E-2</v>
          </cell>
        </row>
        <row r="30">
          <cell r="A30" t="str">
            <v>Mauritius</v>
          </cell>
        </row>
        <row r="31">
          <cell r="A31" t="str">
            <v>Switzerland</v>
          </cell>
          <cell r="B31">
            <v>0.82</v>
          </cell>
          <cell r="C31">
            <v>0.18</v>
          </cell>
        </row>
        <row r="32">
          <cell r="A32" t="str">
            <v>Taiwan</v>
          </cell>
          <cell r="B32">
            <v>0.84</v>
          </cell>
          <cell r="C32">
            <v>0.16</v>
          </cell>
        </row>
        <row r="33">
          <cell r="A33" t="str">
            <v>Somalia</v>
          </cell>
        </row>
        <row r="34">
          <cell r="A34" t="str">
            <v>Bolivia</v>
          </cell>
        </row>
        <row r="35">
          <cell r="A35" t="str">
            <v>Macao</v>
          </cell>
        </row>
        <row r="36">
          <cell r="A36" t="str">
            <v>Uruguay</v>
          </cell>
        </row>
        <row r="37">
          <cell r="A37" t="str">
            <v>Estonia</v>
          </cell>
        </row>
        <row r="38">
          <cell r="A38" t="str">
            <v>Ireland</v>
          </cell>
          <cell r="B38">
            <v>0.82</v>
          </cell>
          <cell r="C38">
            <v>0.18</v>
          </cell>
        </row>
        <row r="39">
          <cell r="A39" t="str">
            <v>Myanmar (Burma)</v>
          </cell>
        </row>
        <row r="40">
          <cell r="A40" t="str">
            <v>Tunisia</v>
          </cell>
          <cell r="B40">
            <v>0.88</v>
          </cell>
          <cell r="C40">
            <v>0.12</v>
          </cell>
        </row>
        <row r="41">
          <cell r="A41" t="str">
            <v>Guam</v>
          </cell>
        </row>
        <row r="42">
          <cell r="A42" t="str">
            <v>Afghanistan</v>
          </cell>
        </row>
        <row r="43">
          <cell r="A43" t="str">
            <v>Japan</v>
          </cell>
          <cell r="B43">
            <v>0.88</v>
          </cell>
          <cell r="C43">
            <v>0.12</v>
          </cell>
        </row>
        <row r="44">
          <cell r="A44" t="str">
            <v>Finland</v>
          </cell>
          <cell r="B44">
            <v>0.84</v>
          </cell>
          <cell r="C44">
            <v>0.16</v>
          </cell>
        </row>
        <row r="45">
          <cell r="A45" t="str">
            <v>Germany</v>
          </cell>
          <cell r="B45">
            <v>0.88</v>
          </cell>
          <cell r="C45">
            <v>0.12</v>
          </cell>
        </row>
        <row r="46">
          <cell r="A46" t="str">
            <v>Sri Lanka</v>
          </cell>
          <cell r="B46">
            <v>0.87</v>
          </cell>
          <cell r="C46">
            <v>0.13</v>
          </cell>
        </row>
        <row r="47">
          <cell r="A47" t="str">
            <v>New Zealand</v>
          </cell>
          <cell r="B47">
            <v>0.84</v>
          </cell>
          <cell r="C47">
            <v>0.16</v>
          </cell>
        </row>
        <row r="48">
          <cell r="A48" t="str">
            <v>Norway</v>
          </cell>
          <cell r="B48">
            <v>0.84</v>
          </cell>
          <cell r="C48">
            <v>0.16</v>
          </cell>
        </row>
        <row r="49">
          <cell r="A49" t="str">
            <v>Sweden</v>
          </cell>
          <cell r="B49">
            <v>0.83</v>
          </cell>
          <cell r="C49">
            <v>0.17</v>
          </cell>
        </row>
        <row r="50">
          <cell r="A50" t="str">
            <v>Mozambique</v>
          </cell>
        </row>
        <row r="51">
          <cell r="A51" t="str">
            <v>Uganda</v>
          </cell>
        </row>
        <row r="52">
          <cell r="A52" t="str">
            <v>Liberia</v>
          </cell>
        </row>
        <row r="53">
          <cell r="A53" t="str">
            <v>Malawi</v>
          </cell>
        </row>
        <row r="54">
          <cell r="A54" t="str">
            <v>Austria</v>
          </cell>
          <cell r="B54">
            <v>0.88</v>
          </cell>
          <cell r="C54">
            <v>0.12</v>
          </cell>
        </row>
        <row r="55">
          <cell r="A55" t="str">
            <v>Brunei</v>
          </cell>
        </row>
        <row r="56">
          <cell r="A56" t="str">
            <v>Senegal</v>
          </cell>
        </row>
        <row r="57">
          <cell r="A57" t="str">
            <v>Slovenia</v>
          </cell>
          <cell r="B57">
            <v>0.85</v>
          </cell>
          <cell r="C57">
            <v>0.15</v>
          </cell>
        </row>
        <row r="58">
          <cell r="A58" t="str">
            <v>Cape Verde</v>
          </cell>
        </row>
        <row r="59">
          <cell r="A59" t="str">
            <v>Australia</v>
          </cell>
          <cell r="B59">
            <v>0.82</v>
          </cell>
          <cell r="C59">
            <v>0.18</v>
          </cell>
        </row>
        <row r="60">
          <cell r="A60" t="str">
            <v>Bhutan</v>
          </cell>
        </row>
        <row r="61">
          <cell r="A61" t="str">
            <v>Netherlands</v>
          </cell>
          <cell r="B61">
            <v>0.75</v>
          </cell>
          <cell r="C61">
            <v>0.25</v>
          </cell>
        </row>
        <row r="62">
          <cell r="A62" t="str">
            <v>Panama</v>
          </cell>
        </row>
        <row r="63">
          <cell r="A63" t="str">
            <v>Philippines</v>
          </cell>
          <cell r="B63">
            <v>0.88</v>
          </cell>
          <cell r="C63">
            <v>0.12</v>
          </cell>
        </row>
        <row r="64">
          <cell r="A64" t="str">
            <v>Cayman Islands</v>
          </cell>
        </row>
        <row r="65">
          <cell r="A65" t="str">
            <v>Slovakia</v>
          </cell>
        </row>
        <row r="66">
          <cell r="A66" t="str">
            <v>United States</v>
          </cell>
          <cell r="B66">
            <v>0.78</v>
          </cell>
          <cell r="C66">
            <v>0.22</v>
          </cell>
        </row>
        <row r="67">
          <cell r="A67" t="str">
            <v>Burundi</v>
          </cell>
        </row>
        <row r="68">
          <cell r="A68" t="str">
            <v>Barbados</v>
          </cell>
        </row>
        <row r="69">
          <cell r="A69" t="str">
            <v>Canada</v>
          </cell>
          <cell r="B69">
            <v>0.8</v>
          </cell>
          <cell r="C69">
            <v>0.2</v>
          </cell>
        </row>
        <row r="70">
          <cell r="A70" t="str">
            <v>Jamaica</v>
          </cell>
        </row>
        <row r="71">
          <cell r="A71" t="str">
            <v>Costa Rica</v>
          </cell>
        </row>
        <row r="72">
          <cell r="A72" t="str">
            <v>Mongolia</v>
          </cell>
        </row>
        <row r="73">
          <cell r="A73" t="str">
            <v>Portugal</v>
          </cell>
          <cell r="B73">
            <v>0.86</v>
          </cell>
          <cell r="C73">
            <v>0.14000000000000001</v>
          </cell>
        </row>
        <row r="74">
          <cell r="A74" t="str">
            <v>Laos</v>
          </cell>
        </row>
        <row r="75">
          <cell r="A75" t="str">
            <v>Lebanon</v>
          </cell>
        </row>
        <row r="76">
          <cell r="A76" t="str">
            <v>Kenya</v>
          </cell>
          <cell r="B76">
            <v>0.74</v>
          </cell>
          <cell r="C76">
            <v>0.26</v>
          </cell>
        </row>
        <row r="77">
          <cell r="A77" t="str">
            <v>Fiji</v>
          </cell>
        </row>
        <row r="78">
          <cell r="A78" t="str">
            <v>Benin</v>
          </cell>
        </row>
        <row r="79">
          <cell r="A79" t="str">
            <v>Hungary</v>
          </cell>
          <cell r="B79">
            <v>0.93</v>
          </cell>
          <cell r="C79">
            <v>7.0000000000000007E-2</v>
          </cell>
        </row>
        <row r="80">
          <cell r="A80" t="str">
            <v>United Kingdom</v>
          </cell>
          <cell r="B80">
            <v>0.83</v>
          </cell>
          <cell r="C80">
            <v>0.17</v>
          </cell>
        </row>
        <row r="81">
          <cell r="A81" t="str">
            <v>Trinidad &amp; Tobago</v>
          </cell>
        </row>
        <row r="82">
          <cell r="A82" t="str">
            <v>Belgium</v>
          </cell>
          <cell r="B82">
            <v>0.81</v>
          </cell>
          <cell r="C82">
            <v>0.19</v>
          </cell>
        </row>
        <row r="83">
          <cell r="A83" t="str">
            <v>Pakistan</v>
          </cell>
          <cell r="B83">
            <v>0.84</v>
          </cell>
          <cell r="C83">
            <v>0.16</v>
          </cell>
        </row>
        <row r="84">
          <cell r="A84" t="str">
            <v>Russia</v>
          </cell>
          <cell r="B84">
            <v>0.94</v>
          </cell>
          <cell r="C84">
            <v>0.06</v>
          </cell>
        </row>
        <row r="85">
          <cell r="A85" t="str">
            <v>Denmark</v>
          </cell>
          <cell r="B85">
            <v>0.73</v>
          </cell>
          <cell r="C85">
            <v>0.27</v>
          </cell>
        </row>
        <row r="86">
          <cell r="A86" t="str">
            <v>Honduras</v>
          </cell>
        </row>
        <row r="87">
          <cell r="A87" t="str">
            <v>Tanzania</v>
          </cell>
        </row>
        <row r="88">
          <cell r="A88" t="str">
            <v>United Arab Emirates</v>
          </cell>
          <cell r="B88">
            <v>0.94</v>
          </cell>
          <cell r="C88">
            <v>0.06</v>
          </cell>
        </row>
        <row r="89">
          <cell r="A89" t="str">
            <v>El Salvador</v>
          </cell>
        </row>
        <row r="90">
          <cell r="A90" t="str">
            <v>Cyprus</v>
          </cell>
        </row>
        <row r="91">
          <cell r="A91" t="str">
            <v>Ecuador</v>
          </cell>
          <cell r="B91">
            <v>0.93</v>
          </cell>
          <cell r="C91">
            <v>7.0000000000000007E-2</v>
          </cell>
        </row>
        <row r="92">
          <cell r="A92" t="str">
            <v>Spain</v>
          </cell>
          <cell r="B92">
            <v>0.91</v>
          </cell>
          <cell r="C92">
            <v>0.09</v>
          </cell>
        </row>
        <row r="93">
          <cell r="A93" t="str">
            <v>Jersey</v>
          </cell>
        </row>
        <row r="94">
          <cell r="A94" t="str">
            <v>Latvia</v>
          </cell>
        </row>
        <row r="95">
          <cell r="A95" t="str">
            <v>Bulgaria</v>
          </cell>
        </row>
        <row r="96">
          <cell r="A96" t="str">
            <v>Belarus</v>
          </cell>
        </row>
        <row r="97">
          <cell r="A97" t="str">
            <v>Sierra Leone</v>
          </cell>
        </row>
        <row r="98">
          <cell r="A98" t="str">
            <v>CÃ´te dâ€™Ivoire</v>
          </cell>
        </row>
        <row r="99">
          <cell r="A99" t="str">
            <v>Nicaragua</v>
          </cell>
        </row>
        <row r="100">
          <cell r="A100" t="str">
            <v>Poland</v>
          </cell>
          <cell r="B100">
            <v>0.94</v>
          </cell>
          <cell r="C100">
            <v>0.06</v>
          </cell>
        </row>
        <row r="101">
          <cell r="A101" t="str">
            <v>France</v>
          </cell>
          <cell r="B101">
            <v>0.89</v>
          </cell>
          <cell r="C101">
            <v>0.11</v>
          </cell>
        </row>
        <row r="102">
          <cell r="A102" t="str">
            <v>Malaysia</v>
          </cell>
          <cell r="B102">
            <v>0.84</v>
          </cell>
          <cell r="C102">
            <v>0.16</v>
          </cell>
        </row>
        <row r="103">
          <cell r="A103" t="str">
            <v>Croatia</v>
          </cell>
        </row>
        <row r="104">
          <cell r="A104" t="str">
            <v>Uzbekistan</v>
          </cell>
        </row>
        <row r="105">
          <cell r="A105" t="str">
            <v>Togo</v>
          </cell>
        </row>
        <row r="106">
          <cell r="A106" t="str">
            <v>Bangladesh</v>
          </cell>
          <cell r="B106">
            <v>0.84</v>
          </cell>
          <cell r="C106">
            <v>0.16</v>
          </cell>
        </row>
        <row r="107">
          <cell r="A107" t="str">
            <v>Colombia</v>
          </cell>
          <cell r="B107">
            <v>0.9</v>
          </cell>
          <cell r="C107">
            <v>0.1</v>
          </cell>
        </row>
        <row r="108">
          <cell r="A108" t="str">
            <v>Romania</v>
          </cell>
          <cell r="B108">
            <v>0.95</v>
          </cell>
          <cell r="C108">
            <v>0.05</v>
          </cell>
        </row>
        <row r="109">
          <cell r="A109" t="str">
            <v>CuraÃ§ao</v>
          </cell>
        </row>
        <row r="110">
          <cell r="A110" t="str">
            <v>Zambia</v>
          </cell>
        </row>
        <row r="111">
          <cell r="A111" t="str">
            <v>Argentina</v>
          </cell>
          <cell r="B111">
            <v>0.97</v>
          </cell>
          <cell r="C111">
            <v>0.03</v>
          </cell>
        </row>
        <row r="112">
          <cell r="A112" t="str">
            <v>Kosovo</v>
          </cell>
        </row>
        <row r="113">
          <cell r="A113" t="str">
            <v>Lithuania</v>
          </cell>
        </row>
        <row r="114">
          <cell r="A114" t="str">
            <v>Haiti</v>
          </cell>
        </row>
        <row r="115">
          <cell r="A115" t="str">
            <v>South Africa</v>
          </cell>
          <cell r="B115">
            <v>0.82</v>
          </cell>
          <cell r="C115">
            <v>0.18</v>
          </cell>
        </row>
        <row r="116">
          <cell r="A116" t="str">
            <v>Lesotho</v>
          </cell>
        </row>
        <row r="117">
          <cell r="A117" t="str">
            <v>Brazil</v>
          </cell>
          <cell r="B117">
            <v>0.95</v>
          </cell>
          <cell r="C117">
            <v>0.05</v>
          </cell>
        </row>
        <row r="118">
          <cell r="A118" t="str">
            <v>Dominican Republic</v>
          </cell>
          <cell r="B118">
            <v>1</v>
          </cell>
        </row>
        <row r="119">
          <cell r="A119" t="str">
            <v>Italy</v>
          </cell>
          <cell r="B119">
            <v>0.9</v>
          </cell>
          <cell r="C119">
            <v>0.1</v>
          </cell>
        </row>
        <row r="120">
          <cell r="A120" t="str">
            <v>Mexico</v>
          </cell>
          <cell r="B120">
            <v>0.94</v>
          </cell>
          <cell r="C120">
            <v>0.06</v>
          </cell>
        </row>
        <row r="121">
          <cell r="A121" t="str">
            <v>Mali</v>
          </cell>
        </row>
        <row r="122">
          <cell r="A122" t="str">
            <v>Albania</v>
          </cell>
        </row>
        <row r="123">
          <cell r="A123" t="str">
            <v>Guyana</v>
          </cell>
        </row>
        <row r="124">
          <cell r="A124" t="str">
            <v>Nigeria</v>
          </cell>
          <cell r="B124">
            <v>0.71</v>
          </cell>
          <cell r="C124">
            <v>0.28999999999999998</v>
          </cell>
        </row>
        <row r="125">
          <cell r="A125" t="str">
            <v>Qatar</v>
          </cell>
        </row>
        <row r="126">
          <cell r="A126" t="str">
            <v>Morocco</v>
          </cell>
          <cell r="B126">
            <v>0.91</v>
          </cell>
          <cell r="C126">
            <v>0.09</v>
          </cell>
        </row>
        <row r="127">
          <cell r="A127" t="str">
            <v>Indonesia</v>
          </cell>
          <cell r="B127">
            <v>0.82</v>
          </cell>
          <cell r="C127">
            <v>0.18</v>
          </cell>
        </row>
        <row r="128">
          <cell r="A128" t="str">
            <v>North Macedonia</v>
          </cell>
        </row>
        <row r="129">
          <cell r="A129" t="str">
            <v>Sudan</v>
          </cell>
        </row>
        <row r="130">
          <cell r="A130" t="str">
            <v>Ukraine</v>
          </cell>
          <cell r="B130">
            <v>0.95</v>
          </cell>
          <cell r="C130">
            <v>0.05</v>
          </cell>
        </row>
        <row r="131">
          <cell r="A131" t="str">
            <v>Oman</v>
          </cell>
        </row>
        <row r="132">
          <cell r="A132" t="str">
            <v>Serbia</v>
          </cell>
          <cell r="B132">
            <v>0.9</v>
          </cell>
          <cell r="C132">
            <v>0.1</v>
          </cell>
        </row>
        <row r="133">
          <cell r="A133" t="str">
            <v>Peru</v>
          </cell>
          <cell r="B133">
            <v>0.87</v>
          </cell>
          <cell r="C133">
            <v>0.13</v>
          </cell>
        </row>
        <row r="134">
          <cell r="A134" t="str">
            <v>Greece</v>
          </cell>
          <cell r="B134">
            <v>0.86</v>
          </cell>
          <cell r="C134">
            <v>0.14000000000000001</v>
          </cell>
        </row>
        <row r="135">
          <cell r="A135" t="str">
            <v>Turkmenistan</v>
          </cell>
        </row>
        <row r="136">
          <cell r="A136" t="str">
            <v>Guatemala</v>
          </cell>
        </row>
        <row r="137">
          <cell r="A137" t="str">
            <v>Bahrain</v>
          </cell>
        </row>
        <row r="138">
          <cell r="A138" t="str">
            <v>Suriname</v>
          </cell>
        </row>
        <row r="139">
          <cell r="A139" t="str">
            <v>RÃ©union</v>
          </cell>
        </row>
        <row r="140">
          <cell r="A140" t="str">
            <v>Armenia</v>
          </cell>
        </row>
        <row r="141">
          <cell r="A141" t="str">
            <v>Iran</v>
          </cell>
          <cell r="B141">
            <v>0.8</v>
          </cell>
          <cell r="C141">
            <v>0.2</v>
          </cell>
        </row>
        <row r="142">
          <cell r="A142" t="str">
            <v>Paraguay</v>
          </cell>
        </row>
        <row r="143">
          <cell r="A143" t="str">
            <v>Chile</v>
          </cell>
          <cell r="B143">
            <v>0.83</v>
          </cell>
          <cell r="C143">
            <v>0.17</v>
          </cell>
        </row>
        <row r="144">
          <cell r="A144" t="str">
            <v>Guinea</v>
          </cell>
        </row>
        <row r="145">
          <cell r="A145" t="str">
            <v>Jordan</v>
          </cell>
        </row>
        <row r="146">
          <cell r="A146" t="str">
            <v>Moldova</v>
          </cell>
        </row>
        <row r="147">
          <cell r="A147" t="str">
            <v>Kazakhstan</v>
          </cell>
        </row>
        <row r="148">
          <cell r="A148" t="str">
            <v>Maldives</v>
          </cell>
        </row>
        <row r="149">
          <cell r="A149" t="str">
            <v>Martinique</v>
          </cell>
        </row>
        <row r="150">
          <cell r="A150" t="str">
            <v>Bosnia &amp; Herzegovina</v>
          </cell>
        </row>
        <row r="151">
          <cell r="A151" t="str">
            <v>Puerto Rico</v>
          </cell>
        </row>
        <row r="152">
          <cell r="A152" t="str">
            <v>Burkina Faso</v>
          </cell>
        </row>
        <row r="153">
          <cell r="A153" t="str">
            <v>Bahamas</v>
          </cell>
        </row>
        <row r="154">
          <cell r="A154" t="str">
            <v>Tajikistan</v>
          </cell>
        </row>
        <row r="155">
          <cell r="A155" t="str">
            <v>Venezuela</v>
          </cell>
        </row>
        <row r="156">
          <cell r="A156" t="str">
            <v>Libya</v>
          </cell>
        </row>
        <row r="157">
          <cell r="A157" t="str">
            <v>Yemen</v>
          </cell>
        </row>
        <row r="158">
          <cell r="A158" t="str">
            <v>Thailand</v>
          </cell>
          <cell r="B158">
            <v>0.81</v>
          </cell>
          <cell r="C158">
            <v>0.19</v>
          </cell>
        </row>
        <row r="159">
          <cell r="A159" t="str">
            <v>Algeria</v>
          </cell>
        </row>
        <row r="160">
          <cell r="A160" t="str">
            <v>Cambodia</v>
          </cell>
        </row>
        <row r="161">
          <cell r="A161" t="str">
            <v>Guadeloupe</v>
          </cell>
        </row>
        <row r="162">
          <cell r="A162" t="str">
            <v>Kuwait</v>
          </cell>
        </row>
        <row r="163">
          <cell r="A163" t="str">
            <v>Vietnam</v>
          </cell>
          <cell r="B163">
            <v>0.93</v>
          </cell>
          <cell r="C163">
            <v>7.0000000000000007E-2</v>
          </cell>
        </row>
        <row r="164">
          <cell r="A164" t="str">
            <v>Azerbaijan</v>
          </cell>
        </row>
        <row r="165">
          <cell r="A165" t="str">
            <v>Egypt</v>
          </cell>
          <cell r="B165">
            <v>0.9</v>
          </cell>
          <cell r="C165">
            <v>0.1</v>
          </cell>
        </row>
        <row r="166">
          <cell r="A166" t="str">
            <v>Saudi Arabia</v>
          </cell>
          <cell r="B166">
            <v>0.9</v>
          </cell>
          <cell r="C166">
            <v>0.1</v>
          </cell>
        </row>
        <row r="167">
          <cell r="A167" t="str">
            <v>Syria</v>
          </cell>
        </row>
        <row r="168">
          <cell r="A168" t="str">
            <v>Montenegro</v>
          </cell>
        </row>
        <row r="169">
          <cell r="A169" t="str">
            <v>Georgia</v>
          </cell>
        </row>
        <row r="170">
          <cell r="A170" t="str">
            <v>Turkey</v>
          </cell>
          <cell r="B170">
            <v>0.86</v>
          </cell>
          <cell r="C170">
            <v>0.14000000000000001</v>
          </cell>
        </row>
        <row r="171">
          <cell r="A171" t="str">
            <v>Palestine</v>
          </cell>
        </row>
        <row r="172">
          <cell r="A172" t="str">
            <v>Kyrgyzstan</v>
          </cell>
        </row>
        <row r="173">
          <cell r="A173" t="str">
            <v>Iraq</v>
          </cell>
        </row>
        <row r="174">
          <cell r="A174" t="str">
            <v>Nauru</v>
          </cell>
        </row>
        <row r="175">
          <cell r="A175" t="str">
            <v>Palau</v>
          </cell>
        </row>
        <row r="176">
          <cell r="A176" t="str">
            <v>Eritrea</v>
          </cell>
        </row>
        <row r="177">
          <cell r="A177" t="str">
            <v>Cook Islands</v>
          </cell>
        </row>
        <row r="178">
          <cell r="A178" t="str">
            <v>SÃ£o TomÃ© &amp; PrÃ­ncipe</v>
          </cell>
        </row>
        <row r="179">
          <cell r="A179" t="str">
            <v>St. Pierre &amp; Miquelon</v>
          </cell>
        </row>
        <row r="180">
          <cell r="A180" t="str">
            <v>Micronesia</v>
          </cell>
        </row>
        <row r="181">
          <cell r="A181" t="str">
            <v>Guinea-Bissau</v>
          </cell>
        </row>
        <row r="182">
          <cell r="A182" t="str">
            <v>Ã…land Islands</v>
          </cell>
        </row>
        <row r="183">
          <cell r="A183" t="str">
            <v>Vanuatu</v>
          </cell>
        </row>
        <row r="184">
          <cell r="A184" t="str">
            <v>San Marino</v>
          </cell>
        </row>
        <row r="185">
          <cell r="A185" t="str">
            <v>Central African Republic</v>
          </cell>
        </row>
        <row r="186">
          <cell r="A186" t="str">
            <v>Gibraltar</v>
          </cell>
        </row>
        <row r="187">
          <cell r="A187" t="str">
            <v>St. Vincent &amp; Grenadines</v>
          </cell>
        </row>
        <row r="188">
          <cell r="A188" t="str">
            <v>Comoros</v>
          </cell>
        </row>
        <row r="189">
          <cell r="A189" t="str">
            <v>Greenland</v>
          </cell>
        </row>
        <row r="190">
          <cell r="A190" t="str">
            <v>Liechtenstein</v>
          </cell>
        </row>
        <row r="191">
          <cell r="A191" t="str">
            <v>Antigua &amp; Barbuda</v>
          </cell>
        </row>
        <row r="192">
          <cell r="A192" t="str">
            <v>Monaco</v>
          </cell>
        </row>
        <row r="193">
          <cell r="A193" t="str">
            <v>Djibouti</v>
          </cell>
        </row>
        <row r="194">
          <cell r="A194" t="str">
            <v>Faroe Islands</v>
          </cell>
        </row>
        <row r="195">
          <cell r="A195" t="str">
            <v>Caribbean Netherlands</v>
          </cell>
        </row>
        <row r="196">
          <cell r="A196" t="str">
            <v>Congo - Brazzaville</v>
          </cell>
        </row>
        <row r="197">
          <cell r="A197" t="str">
            <v>Grenada</v>
          </cell>
        </row>
        <row r="198">
          <cell r="A198" t="str">
            <v>Samoa</v>
          </cell>
        </row>
        <row r="199">
          <cell r="A199" t="str">
            <v>Equatorial Guinea</v>
          </cell>
        </row>
        <row r="200">
          <cell r="A200" t="str">
            <v>Solomon Islands</v>
          </cell>
        </row>
        <row r="201">
          <cell r="A201" t="str">
            <v>St. Kitts &amp; Nevis</v>
          </cell>
        </row>
        <row r="202">
          <cell r="A202" t="str">
            <v>Sint Maarten</v>
          </cell>
        </row>
        <row r="203">
          <cell r="A203" t="str">
            <v>Belize</v>
          </cell>
        </row>
        <row r="204">
          <cell r="A204" t="str">
            <v>Chad</v>
          </cell>
        </row>
        <row r="205">
          <cell r="A205" t="str">
            <v>U.S. Virgin Islands</v>
          </cell>
        </row>
        <row r="206">
          <cell r="A206" t="str">
            <v>Andorra</v>
          </cell>
        </row>
        <row r="207">
          <cell r="A207" t="str">
            <v>British Virgin Islands</v>
          </cell>
        </row>
        <row r="208">
          <cell r="A208" t="str">
            <v>French Guiana</v>
          </cell>
        </row>
        <row r="209">
          <cell r="A209" t="str">
            <v>Timor-Leste</v>
          </cell>
        </row>
        <row r="210">
          <cell r="A210" t="str">
            <v>Northern Mariana Islands</v>
          </cell>
        </row>
        <row r="211">
          <cell r="A211" t="str">
            <v>Seychelles</v>
          </cell>
        </row>
        <row r="212">
          <cell r="A212" t="str">
            <v>St. Lucia</v>
          </cell>
        </row>
        <row r="213">
          <cell r="A213" t="str">
            <v>Turks &amp; Caicos Islands</v>
          </cell>
        </row>
        <row r="214">
          <cell r="A214" t="str">
            <v>Guernsey</v>
          </cell>
        </row>
        <row r="215">
          <cell r="A215" t="str">
            <v>French Polynesia</v>
          </cell>
        </row>
        <row r="216">
          <cell r="A216" t="str">
            <v>Niger</v>
          </cell>
        </row>
        <row r="217">
          <cell r="A217" t="str">
            <v>Gambia</v>
          </cell>
        </row>
        <row r="218">
          <cell r="A218" t="str">
            <v>St. Martin</v>
          </cell>
        </row>
        <row r="219">
          <cell r="A219" t="str">
            <v>Aruba</v>
          </cell>
        </row>
        <row r="220">
          <cell r="A220" t="str">
            <v>Dominica</v>
          </cell>
        </row>
        <row r="221">
          <cell r="A221" t="str">
            <v>Gabon</v>
          </cell>
        </row>
        <row r="222">
          <cell r="A222" t="str">
            <v>South Sudan</v>
          </cell>
        </row>
        <row r="223">
          <cell r="A223" t="str">
            <v>New Caledonia</v>
          </cell>
        </row>
        <row r="224">
          <cell r="A224" t="str">
            <v>Bermuda</v>
          </cell>
        </row>
        <row r="225">
          <cell r="A225" t="str">
            <v>Mayotte</v>
          </cell>
        </row>
        <row r="226">
          <cell r="A226" t="str">
            <v>Mauritania</v>
          </cell>
        </row>
        <row r="227">
          <cell r="A227" t="str">
            <v>Anguilla</v>
          </cell>
        </row>
        <row r="228">
          <cell r="A228" t="str">
            <v>American Samoa</v>
          </cell>
        </row>
        <row r="229">
          <cell r="A229" t="str">
            <v>Antarctica</v>
          </cell>
        </row>
        <row r="230">
          <cell r="A230" t="str">
            <v>French Southern Territories</v>
          </cell>
        </row>
        <row r="231">
          <cell r="A231" t="str">
            <v>St. BarthÃ©lemy</v>
          </cell>
        </row>
        <row r="232">
          <cell r="A232" t="str">
            <v>Bouvet Island</v>
          </cell>
        </row>
        <row r="233">
          <cell r="A233" t="str">
            <v>Cocos (Keeling) Islands</v>
          </cell>
        </row>
        <row r="234">
          <cell r="A234" t="str">
            <v>Christmas Island</v>
          </cell>
        </row>
        <row r="235">
          <cell r="A235" t="str">
            <v>Western Sahara</v>
          </cell>
        </row>
        <row r="236">
          <cell r="A236" t="str">
            <v>Falkland Islands (Islas Malvinas)</v>
          </cell>
        </row>
        <row r="237">
          <cell r="A237" t="str">
            <v>Heard &amp; McDonald Islands</v>
          </cell>
        </row>
        <row r="238">
          <cell r="A238" t="str">
            <v>British Indian Ocean Territory</v>
          </cell>
        </row>
        <row r="239">
          <cell r="A239" t="str">
            <v>Kiribati</v>
          </cell>
        </row>
        <row r="240">
          <cell r="A240" t="str">
            <v>Marshall Islands</v>
          </cell>
        </row>
        <row r="241">
          <cell r="A241" t="str">
            <v>Montserrat</v>
          </cell>
        </row>
        <row r="242">
          <cell r="A242" t="str">
            <v>Norfolk Island</v>
          </cell>
        </row>
        <row r="243">
          <cell r="A243" t="str">
            <v>Niue</v>
          </cell>
        </row>
        <row r="244">
          <cell r="A244" t="str">
            <v>Pitcairn Islands</v>
          </cell>
        </row>
        <row r="245">
          <cell r="A245" t="str">
            <v>North Korea</v>
          </cell>
        </row>
        <row r="246">
          <cell r="A246" t="str">
            <v>South Georgia &amp; South Sandwich Islands</v>
          </cell>
        </row>
        <row r="247">
          <cell r="A247" t="str">
            <v>Svalbard &amp; Jan Mayen</v>
          </cell>
        </row>
        <row r="248">
          <cell r="A248" t="str">
            <v>Tokelau</v>
          </cell>
        </row>
        <row r="249">
          <cell r="A249" t="str">
            <v>Tonga</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2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26)"/>
    </sheetNames>
    <sheetDataSet>
      <sheetData sheetId="0">
        <row r="1">
          <cell r="A1" t="str">
            <v>Category: All categories</v>
          </cell>
        </row>
        <row r="3">
          <cell r="A3" t="str">
            <v>Country</v>
          </cell>
          <cell r="B3" t="str">
            <v>C++: (2016)</v>
          </cell>
          <cell r="C3" t="str">
            <v>Cache: (2016)</v>
          </cell>
        </row>
        <row r="4">
          <cell r="A4" t="str">
            <v>North Korea</v>
          </cell>
        </row>
        <row r="5">
          <cell r="A5" t="str">
            <v>China</v>
          </cell>
          <cell r="B5">
            <v>0.72</v>
          </cell>
          <cell r="C5">
            <v>0.28000000000000003</v>
          </cell>
        </row>
        <row r="6">
          <cell r="A6" t="str">
            <v>Ethiopia</v>
          </cell>
        </row>
        <row r="7">
          <cell r="A7" t="str">
            <v>Cuba</v>
          </cell>
        </row>
        <row r="8">
          <cell r="A8" t="str">
            <v>South Korea</v>
          </cell>
          <cell r="B8">
            <v>0.79</v>
          </cell>
          <cell r="C8">
            <v>0.21</v>
          </cell>
        </row>
        <row r="9">
          <cell r="A9" t="str">
            <v>Pakistan</v>
          </cell>
          <cell r="B9">
            <v>0.88</v>
          </cell>
          <cell r="C9">
            <v>0.12</v>
          </cell>
        </row>
        <row r="10">
          <cell r="A10" t="str">
            <v>St. Helena</v>
          </cell>
        </row>
        <row r="11">
          <cell r="A11" t="str">
            <v>Armenia</v>
          </cell>
        </row>
        <row r="12">
          <cell r="A12" t="str">
            <v>Iceland</v>
          </cell>
        </row>
        <row r="13">
          <cell r="A13" t="str">
            <v>Rwanda</v>
          </cell>
        </row>
        <row r="14">
          <cell r="A14" t="str">
            <v>Gibraltar</v>
          </cell>
        </row>
        <row r="15">
          <cell r="A15" t="str">
            <v>Romania</v>
          </cell>
          <cell r="B15">
            <v>0.8</v>
          </cell>
          <cell r="C15">
            <v>0.2</v>
          </cell>
        </row>
        <row r="16">
          <cell r="A16" t="str">
            <v>Lesotho</v>
          </cell>
        </row>
        <row r="17">
          <cell r="A17" t="str">
            <v>Belarus</v>
          </cell>
          <cell r="B17">
            <v>0.6</v>
          </cell>
          <cell r="C17">
            <v>0.4</v>
          </cell>
        </row>
        <row r="18">
          <cell r="A18" t="str">
            <v>India</v>
          </cell>
          <cell r="B18">
            <v>0.78</v>
          </cell>
          <cell r="C18">
            <v>0.22</v>
          </cell>
        </row>
        <row r="19">
          <cell r="A19" t="str">
            <v>Fiji</v>
          </cell>
        </row>
        <row r="20">
          <cell r="A20" t="str">
            <v>Poland</v>
          </cell>
          <cell r="B20">
            <v>0.81</v>
          </cell>
          <cell r="C20">
            <v>0.19</v>
          </cell>
        </row>
        <row r="21">
          <cell r="A21" t="str">
            <v>Singapore</v>
          </cell>
          <cell r="B21">
            <v>0.6</v>
          </cell>
          <cell r="C21">
            <v>0.4</v>
          </cell>
        </row>
        <row r="22">
          <cell r="A22" t="str">
            <v>Israel</v>
          </cell>
          <cell r="B22">
            <v>0.74</v>
          </cell>
          <cell r="C22">
            <v>0.26</v>
          </cell>
        </row>
        <row r="23">
          <cell r="A23" t="str">
            <v>Tonga</v>
          </cell>
        </row>
        <row r="24">
          <cell r="A24" t="str">
            <v>Lithuania</v>
          </cell>
          <cell r="B24">
            <v>0.75</v>
          </cell>
          <cell r="C24">
            <v>0.25</v>
          </cell>
        </row>
        <row r="25">
          <cell r="A25" t="str">
            <v>Eswatini</v>
          </cell>
        </row>
        <row r="26">
          <cell r="A26" t="str">
            <v>Nepal</v>
          </cell>
        </row>
        <row r="27">
          <cell r="A27" t="str">
            <v>Zimbabwe</v>
          </cell>
        </row>
        <row r="28">
          <cell r="A28" t="str">
            <v>Russia</v>
          </cell>
          <cell r="B28">
            <v>0.56000000000000005</v>
          </cell>
          <cell r="C28">
            <v>0.44</v>
          </cell>
        </row>
        <row r="29">
          <cell r="A29" t="str">
            <v>Hong Kong</v>
          </cell>
          <cell r="B29">
            <v>0.61</v>
          </cell>
          <cell r="C29">
            <v>0.39</v>
          </cell>
        </row>
        <row r="30">
          <cell r="A30" t="str">
            <v>Taiwan</v>
          </cell>
          <cell r="B30">
            <v>0.72</v>
          </cell>
          <cell r="C30">
            <v>0.28000000000000003</v>
          </cell>
        </row>
        <row r="31">
          <cell r="A31" t="str">
            <v>Czechia</v>
          </cell>
          <cell r="B31">
            <v>0.69</v>
          </cell>
          <cell r="C31">
            <v>0.31</v>
          </cell>
        </row>
        <row r="32">
          <cell r="A32" t="str">
            <v>Belize</v>
          </cell>
        </row>
        <row r="33">
          <cell r="A33" t="str">
            <v>Honduras</v>
          </cell>
        </row>
        <row r="34">
          <cell r="A34" t="str">
            <v>Uzbekistan</v>
          </cell>
        </row>
        <row r="35">
          <cell r="A35" t="str">
            <v>Bulgaria</v>
          </cell>
          <cell r="B35">
            <v>0.71</v>
          </cell>
          <cell r="C35">
            <v>0.28999999999999998</v>
          </cell>
        </row>
        <row r="36">
          <cell r="A36" t="str">
            <v>Guatemala</v>
          </cell>
        </row>
        <row r="37">
          <cell r="A37" t="str">
            <v>Philippines</v>
          </cell>
          <cell r="B37">
            <v>0.65</v>
          </cell>
          <cell r="C37">
            <v>0.35</v>
          </cell>
        </row>
        <row r="38">
          <cell r="A38" t="str">
            <v>Bangladesh</v>
          </cell>
          <cell r="B38">
            <v>0.81</v>
          </cell>
          <cell r="C38">
            <v>0.19</v>
          </cell>
        </row>
        <row r="39">
          <cell r="A39" t="str">
            <v>North Macedonia</v>
          </cell>
        </row>
        <row r="40">
          <cell r="A40" t="str">
            <v>Botswana</v>
          </cell>
        </row>
        <row r="41">
          <cell r="A41" t="str">
            <v>Ukraine</v>
          </cell>
          <cell r="B41">
            <v>0.54</v>
          </cell>
          <cell r="C41">
            <v>0.46</v>
          </cell>
        </row>
        <row r="42">
          <cell r="A42" t="str">
            <v>Mongolia</v>
          </cell>
        </row>
        <row r="43">
          <cell r="A43" t="str">
            <v>Iran</v>
          </cell>
          <cell r="B43">
            <v>0.85</v>
          </cell>
          <cell r="C43">
            <v>0.15</v>
          </cell>
        </row>
        <row r="44">
          <cell r="A44" t="str">
            <v>Afghanistan</v>
          </cell>
        </row>
        <row r="45">
          <cell r="A45" t="str">
            <v>Latvia</v>
          </cell>
          <cell r="B45">
            <v>0.62</v>
          </cell>
          <cell r="C45">
            <v>0.38</v>
          </cell>
        </row>
        <row r="46">
          <cell r="A46" t="str">
            <v>Somalia</v>
          </cell>
        </row>
        <row r="47">
          <cell r="A47" t="str">
            <v>Germany</v>
          </cell>
          <cell r="B47">
            <v>0.63</v>
          </cell>
          <cell r="C47">
            <v>0.37</v>
          </cell>
        </row>
        <row r="48">
          <cell r="A48" t="str">
            <v>Slovenia</v>
          </cell>
        </row>
        <row r="49">
          <cell r="A49" t="str">
            <v>Bosnia &amp; Herzegovina</v>
          </cell>
        </row>
        <row r="50">
          <cell r="A50" t="str">
            <v>Madagascar</v>
          </cell>
        </row>
        <row r="51">
          <cell r="A51" t="str">
            <v>Faroe Islands</v>
          </cell>
        </row>
        <row r="52">
          <cell r="A52" t="str">
            <v>Switzerland</v>
          </cell>
          <cell r="B52">
            <v>0.63</v>
          </cell>
          <cell r="C52">
            <v>0.37</v>
          </cell>
        </row>
        <row r="53">
          <cell r="A53" t="str">
            <v>Moldova</v>
          </cell>
        </row>
        <row r="54">
          <cell r="A54" t="str">
            <v>Sweden</v>
          </cell>
          <cell r="B54">
            <v>0.62</v>
          </cell>
          <cell r="C54">
            <v>0.38</v>
          </cell>
        </row>
        <row r="55">
          <cell r="A55" t="str">
            <v>Austria</v>
          </cell>
          <cell r="B55">
            <v>0.63</v>
          </cell>
          <cell r="C55">
            <v>0.37</v>
          </cell>
        </row>
        <row r="56">
          <cell r="A56" t="str">
            <v>Sri Lanka</v>
          </cell>
          <cell r="B56">
            <v>0.71</v>
          </cell>
          <cell r="C56">
            <v>0.28999999999999998</v>
          </cell>
        </row>
        <row r="57">
          <cell r="A57" t="str">
            <v>Benin</v>
          </cell>
        </row>
        <row r="58">
          <cell r="A58" t="str">
            <v>Hungary</v>
          </cell>
          <cell r="B58">
            <v>0.71</v>
          </cell>
          <cell r="C58">
            <v>0.28999999999999998</v>
          </cell>
        </row>
        <row r="59">
          <cell r="A59" t="str">
            <v>Malta</v>
          </cell>
        </row>
        <row r="60">
          <cell r="A60" t="str">
            <v>Turkmenistan</v>
          </cell>
        </row>
        <row r="61">
          <cell r="A61" t="str">
            <v>Finland</v>
          </cell>
          <cell r="B61">
            <v>0.59</v>
          </cell>
          <cell r="C61">
            <v>0.41</v>
          </cell>
        </row>
        <row r="62">
          <cell r="A62" t="str">
            <v>Jordan</v>
          </cell>
        </row>
        <row r="63">
          <cell r="A63" t="str">
            <v>Tunisia</v>
          </cell>
          <cell r="B63">
            <v>0.65</v>
          </cell>
          <cell r="C63">
            <v>0.35</v>
          </cell>
        </row>
        <row r="64">
          <cell r="A64" t="str">
            <v>Isle of Man</v>
          </cell>
        </row>
        <row r="65">
          <cell r="A65" t="str">
            <v>Cyprus</v>
          </cell>
        </row>
        <row r="66">
          <cell r="A66" t="str">
            <v>Croatia</v>
          </cell>
          <cell r="B66">
            <v>0.69</v>
          </cell>
          <cell r="C66">
            <v>0.31</v>
          </cell>
        </row>
        <row r="67">
          <cell r="A67" t="str">
            <v>Malawi</v>
          </cell>
        </row>
        <row r="68">
          <cell r="A68" t="str">
            <v>Kazakhstan</v>
          </cell>
          <cell r="B68">
            <v>0.43</v>
          </cell>
          <cell r="C68">
            <v>0.56999999999999995</v>
          </cell>
        </row>
        <row r="69">
          <cell r="A69" t="str">
            <v>Togo</v>
          </cell>
        </row>
        <row r="70">
          <cell r="A70" t="str">
            <v>Ghana</v>
          </cell>
        </row>
        <row r="71">
          <cell r="A71" t="str">
            <v>Estonia</v>
          </cell>
        </row>
        <row r="72">
          <cell r="A72" t="str">
            <v>Slovakia</v>
          </cell>
          <cell r="B72">
            <v>0.7</v>
          </cell>
          <cell r="C72">
            <v>0.3</v>
          </cell>
        </row>
        <row r="73">
          <cell r="A73" t="str">
            <v>Ecuador</v>
          </cell>
          <cell r="B73">
            <v>0.78</v>
          </cell>
          <cell r="C73">
            <v>0.22</v>
          </cell>
        </row>
        <row r="74">
          <cell r="A74" t="str">
            <v>Serbia</v>
          </cell>
          <cell r="B74">
            <v>0.72</v>
          </cell>
          <cell r="C74">
            <v>0.28000000000000003</v>
          </cell>
        </row>
        <row r="75">
          <cell r="A75" t="str">
            <v>Albania</v>
          </cell>
        </row>
        <row r="76">
          <cell r="A76" t="str">
            <v>St. Kitts &amp; Nevis</v>
          </cell>
        </row>
        <row r="77">
          <cell r="A77" t="str">
            <v>Sudan</v>
          </cell>
        </row>
        <row r="78">
          <cell r="A78" t="str">
            <v>Canada</v>
          </cell>
          <cell r="B78">
            <v>0.55000000000000004</v>
          </cell>
          <cell r="C78">
            <v>0.45</v>
          </cell>
        </row>
        <row r="79">
          <cell r="A79" t="str">
            <v>Guernsey</v>
          </cell>
        </row>
        <row r="80">
          <cell r="A80" t="str">
            <v>Egypt</v>
          </cell>
          <cell r="B80">
            <v>0.85</v>
          </cell>
          <cell r="C80">
            <v>0.15</v>
          </cell>
        </row>
        <row r="81">
          <cell r="A81" t="str">
            <v>Kenya</v>
          </cell>
          <cell r="B81">
            <v>0.71</v>
          </cell>
          <cell r="C81">
            <v>0.28999999999999998</v>
          </cell>
        </row>
        <row r="82">
          <cell r="A82" t="str">
            <v>Japan</v>
          </cell>
          <cell r="B82">
            <v>0.48</v>
          </cell>
          <cell r="C82">
            <v>0.52</v>
          </cell>
        </row>
        <row r="83">
          <cell r="A83" t="str">
            <v>Bolivia</v>
          </cell>
        </row>
        <row r="84">
          <cell r="A84" t="str">
            <v>Cameroon</v>
          </cell>
        </row>
        <row r="85">
          <cell r="A85" t="str">
            <v>Monaco</v>
          </cell>
        </row>
        <row r="86">
          <cell r="A86" t="str">
            <v>Syria</v>
          </cell>
        </row>
        <row r="87">
          <cell r="A87" t="str">
            <v>United States</v>
          </cell>
          <cell r="B87">
            <v>0.56000000000000005</v>
          </cell>
          <cell r="C87">
            <v>0.44</v>
          </cell>
        </row>
        <row r="88">
          <cell r="A88" t="str">
            <v>Norway</v>
          </cell>
          <cell r="B88">
            <v>0.6</v>
          </cell>
          <cell r="C88">
            <v>0.4</v>
          </cell>
        </row>
        <row r="89">
          <cell r="A89" t="str">
            <v>Ireland</v>
          </cell>
          <cell r="B89">
            <v>0.44</v>
          </cell>
          <cell r="C89">
            <v>0.56000000000000005</v>
          </cell>
        </row>
        <row r="90">
          <cell r="A90" t="str">
            <v>Mexico</v>
          </cell>
          <cell r="B90">
            <v>0.71</v>
          </cell>
          <cell r="C90">
            <v>0.28999999999999998</v>
          </cell>
        </row>
        <row r="91">
          <cell r="A91" t="str">
            <v>Luxembourg</v>
          </cell>
        </row>
        <row r="92">
          <cell r="A92" t="str">
            <v>Lebanon</v>
          </cell>
        </row>
        <row r="93">
          <cell r="A93" t="str">
            <v>New Zealand</v>
          </cell>
          <cell r="B93">
            <v>0.44</v>
          </cell>
          <cell r="C93">
            <v>0.56000000000000005</v>
          </cell>
        </row>
        <row r="94">
          <cell r="A94" t="str">
            <v>Malaysia</v>
          </cell>
          <cell r="B94">
            <v>0.65</v>
          </cell>
          <cell r="C94">
            <v>0.35</v>
          </cell>
        </row>
        <row r="95">
          <cell r="A95" t="str">
            <v>Costa Rica</v>
          </cell>
        </row>
        <row r="96">
          <cell r="A96" t="str">
            <v>Myanmar (Burma)</v>
          </cell>
        </row>
        <row r="97">
          <cell r="A97" t="str">
            <v>Barbados</v>
          </cell>
        </row>
        <row r="98">
          <cell r="A98" t="str">
            <v>Jersey</v>
          </cell>
        </row>
        <row r="99">
          <cell r="A99" t="str">
            <v>Libya</v>
          </cell>
        </row>
        <row r="100">
          <cell r="A100" t="str">
            <v>Georgia</v>
          </cell>
        </row>
        <row r="101">
          <cell r="A101" t="str">
            <v>CuraÃ§ao</v>
          </cell>
        </row>
        <row r="102">
          <cell r="A102" t="str">
            <v>Netherlands</v>
          </cell>
          <cell r="B102">
            <v>0.48</v>
          </cell>
          <cell r="C102">
            <v>0.52</v>
          </cell>
        </row>
        <row r="103">
          <cell r="A103" t="str">
            <v>Vietnam</v>
          </cell>
          <cell r="B103">
            <v>0.75</v>
          </cell>
          <cell r="C103">
            <v>0.25</v>
          </cell>
        </row>
        <row r="104">
          <cell r="A104" t="str">
            <v>Portugal</v>
          </cell>
          <cell r="B104">
            <v>0.54</v>
          </cell>
          <cell r="C104">
            <v>0.46</v>
          </cell>
        </row>
        <row r="105">
          <cell r="A105" t="str">
            <v>Australia</v>
          </cell>
          <cell r="B105">
            <v>0.42</v>
          </cell>
          <cell r="C105">
            <v>0.57999999999999996</v>
          </cell>
        </row>
        <row r="106">
          <cell r="A106" t="str">
            <v>Jamaica</v>
          </cell>
        </row>
        <row r="107">
          <cell r="A107" t="str">
            <v>United Kingdom</v>
          </cell>
          <cell r="B107">
            <v>0.43</v>
          </cell>
          <cell r="C107">
            <v>0.56999999999999995</v>
          </cell>
        </row>
        <row r="108">
          <cell r="A108" t="str">
            <v>Panama</v>
          </cell>
        </row>
        <row r="109">
          <cell r="A109" t="str">
            <v>Yemen</v>
          </cell>
        </row>
        <row r="110">
          <cell r="A110" t="str">
            <v>Angola</v>
          </cell>
        </row>
        <row r="111">
          <cell r="A111" t="str">
            <v>Burundi</v>
          </cell>
        </row>
        <row r="112">
          <cell r="A112" t="str">
            <v>Kyrgyzstan</v>
          </cell>
        </row>
        <row r="113">
          <cell r="A113" t="str">
            <v>Colombia</v>
          </cell>
          <cell r="B113">
            <v>0.68</v>
          </cell>
          <cell r="C113">
            <v>0.32</v>
          </cell>
        </row>
        <row r="114">
          <cell r="A114" t="str">
            <v>Papua New Guinea</v>
          </cell>
        </row>
        <row r="115">
          <cell r="A115" t="str">
            <v>St. Vincent &amp; Grenadines</v>
          </cell>
        </row>
        <row r="116">
          <cell r="A116" t="str">
            <v>Bermuda</v>
          </cell>
        </row>
        <row r="117">
          <cell r="A117" t="str">
            <v>Uganda</v>
          </cell>
        </row>
        <row r="118">
          <cell r="A118" t="str">
            <v>Oman</v>
          </cell>
        </row>
        <row r="119">
          <cell r="A119" t="str">
            <v>France</v>
          </cell>
          <cell r="B119">
            <v>0.59</v>
          </cell>
          <cell r="C119">
            <v>0.41</v>
          </cell>
        </row>
        <row r="120">
          <cell r="A120" t="str">
            <v>Mauritius</v>
          </cell>
        </row>
        <row r="121">
          <cell r="A121" t="str">
            <v>Greece</v>
          </cell>
          <cell r="B121">
            <v>0.64</v>
          </cell>
          <cell r="C121">
            <v>0.36</v>
          </cell>
        </row>
        <row r="122">
          <cell r="A122" t="str">
            <v>Cape Verde</v>
          </cell>
        </row>
        <row r="123">
          <cell r="A123" t="str">
            <v>Trinidad &amp; Tobago</v>
          </cell>
        </row>
        <row r="124">
          <cell r="A124" t="str">
            <v>Cambodia</v>
          </cell>
        </row>
        <row r="125">
          <cell r="A125" t="str">
            <v>Tanzania</v>
          </cell>
        </row>
        <row r="126">
          <cell r="A126" t="str">
            <v>Macao</v>
          </cell>
        </row>
        <row r="127">
          <cell r="A127" t="str">
            <v>Tajikistan</v>
          </cell>
        </row>
        <row r="128">
          <cell r="A128" t="str">
            <v>Cayman Islands</v>
          </cell>
        </row>
        <row r="129">
          <cell r="A129" t="str">
            <v>Peru</v>
          </cell>
          <cell r="B129">
            <v>0.59</v>
          </cell>
          <cell r="C129">
            <v>0.41</v>
          </cell>
        </row>
        <row r="130">
          <cell r="A130" t="str">
            <v>Dominica</v>
          </cell>
        </row>
        <row r="131">
          <cell r="A131" t="str">
            <v>Denmark</v>
          </cell>
          <cell r="B131">
            <v>0.53</v>
          </cell>
          <cell r="C131">
            <v>0.47</v>
          </cell>
        </row>
        <row r="132">
          <cell r="A132" t="str">
            <v>Maldives</v>
          </cell>
        </row>
        <row r="133">
          <cell r="A133" t="str">
            <v>Antigua &amp; Barbuda</v>
          </cell>
        </row>
        <row r="134">
          <cell r="A134" t="str">
            <v>Nicaragua</v>
          </cell>
        </row>
        <row r="135">
          <cell r="A135" t="str">
            <v>El Salvador</v>
          </cell>
        </row>
        <row r="136">
          <cell r="A136" t="str">
            <v>Bhutan</v>
          </cell>
        </row>
        <row r="137">
          <cell r="A137" t="str">
            <v>Andorra</v>
          </cell>
        </row>
        <row r="138">
          <cell r="A138" t="str">
            <v>Belgium</v>
          </cell>
          <cell r="B138">
            <v>0.5</v>
          </cell>
          <cell r="C138">
            <v>0.5</v>
          </cell>
        </row>
        <row r="139">
          <cell r="A139" t="str">
            <v>Indonesia</v>
          </cell>
          <cell r="B139">
            <v>0.66</v>
          </cell>
          <cell r="C139">
            <v>0.34</v>
          </cell>
        </row>
        <row r="140">
          <cell r="A140" t="str">
            <v>Morocco</v>
          </cell>
          <cell r="B140">
            <v>0.69</v>
          </cell>
          <cell r="C140">
            <v>0.31</v>
          </cell>
        </row>
        <row r="141">
          <cell r="A141" t="str">
            <v>Puerto Rico</v>
          </cell>
        </row>
        <row r="142">
          <cell r="A142" t="str">
            <v>Azerbaijan</v>
          </cell>
        </row>
        <row r="143">
          <cell r="A143" t="str">
            <v>Vanuatu</v>
          </cell>
        </row>
        <row r="144">
          <cell r="A144" t="str">
            <v>Italy</v>
          </cell>
          <cell r="B144">
            <v>0.56000000000000005</v>
          </cell>
          <cell r="C144">
            <v>0.44</v>
          </cell>
        </row>
        <row r="145">
          <cell r="A145" t="str">
            <v>Bahrain</v>
          </cell>
        </row>
        <row r="146">
          <cell r="A146" t="str">
            <v>Guinea</v>
          </cell>
        </row>
        <row r="147">
          <cell r="A147" t="str">
            <v>Spain</v>
          </cell>
          <cell r="B147">
            <v>0.49</v>
          </cell>
          <cell r="C147">
            <v>0.51</v>
          </cell>
        </row>
        <row r="148">
          <cell r="A148" t="str">
            <v>Nigeria</v>
          </cell>
          <cell r="B148">
            <v>0.65</v>
          </cell>
          <cell r="C148">
            <v>0.35</v>
          </cell>
        </row>
        <row r="149">
          <cell r="A149" t="str">
            <v>French Polynesia</v>
          </cell>
        </row>
        <row r="150">
          <cell r="A150" t="str">
            <v>Guyana</v>
          </cell>
        </row>
        <row r="151">
          <cell r="A151" t="str">
            <v>Zambia</v>
          </cell>
        </row>
        <row r="152">
          <cell r="A152" t="str">
            <v>Laos</v>
          </cell>
        </row>
        <row r="153">
          <cell r="A153" t="str">
            <v>Venezuela</v>
          </cell>
          <cell r="B153">
            <v>0.66</v>
          </cell>
          <cell r="C153">
            <v>0.34</v>
          </cell>
        </row>
        <row r="154">
          <cell r="A154" t="str">
            <v>South Africa</v>
          </cell>
          <cell r="B154">
            <v>0.53</v>
          </cell>
          <cell r="C154">
            <v>0.47</v>
          </cell>
        </row>
        <row r="155">
          <cell r="A155" t="str">
            <v>Brunei</v>
          </cell>
        </row>
        <row r="156">
          <cell r="A156" t="str">
            <v>Congo - Kinshasa</v>
          </cell>
        </row>
        <row r="157">
          <cell r="A157" t="str">
            <v>Guam</v>
          </cell>
        </row>
        <row r="158">
          <cell r="A158" t="str">
            <v>New Caledonia</v>
          </cell>
        </row>
        <row r="159">
          <cell r="A159" t="str">
            <v>Namibia</v>
          </cell>
        </row>
        <row r="160">
          <cell r="A160" t="str">
            <v>Algeria</v>
          </cell>
          <cell r="B160">
            <v>0.69</v>
          </cell>
          <cell r="C160">
            <v>0.31</v>
          </cell>
        </row>
        <row r="161">
          <cell r="A161" t="str">
            <v>United Arab Emirates</v>
          </cell>
          <cell r="B161">
            <v>0.51</v>
          </cell>
          <cell r="C161">
            <v>0.49</v>
          </cell>
        </row>
        <row r="162">
          <cell r="A162" t="str">
            <v>Kosovo</v>
          </cell>
        </row>
        <row r="163">
          <cell r="A163" t="str">
            <v>Paraguay</v>
          </cell>
        </row>
        <row r="164">
          <cell r="A164" t="str">
            <v>Bahamas</v>
          </cell>
        </row>
        <row r="165">
          <cell r="A165" t="str">
            <v>South Sudan</v>
          </cell>
        </row>
        <row r="166">
          <cell r="A166" t="str">
            <v>Niger</v>
          </cell>
        </row>
        <row r="167">
          <cell r="A167" t="str">
            <v>Grenada</v>
          </cell>
        </row>
        <row r="168">
          <cell r="A168" t="str">
            <v>Thailand</v>
          </cell>
          <cell r="B168">
            <v>0.46</v>
          </cell>
          <cell r="C168">
            <v>0.54</v>
          </cell>
        </row>
        <row r="169">
          <cell r="A169" t="str">
            <v>Brazil</v>
          </cell>
          <cell r="B169">
            <v>0.46</v>
          </cell>
          <cell r="C169">
            <v>0.54</v>
          </cell>
        </row>
        <row r="170">
          <cell r="A170" t="str">
            <v>Dominican Republic</v>
          </cell>
        </row>
        <row r="171">
          <cell r="A171" t="str">
            <v>Caribbean Netherlands</v>
          </cell>
        </row>
        <row r="172">
          <cell r="A172" t="str">
            <v>U.S. Virgin Islands</v>
          </cell>
        </row>
        <row r="173">
          <cell r="A173" t="str">
            <v>Djibouti</v>
          </cell>
        </row>
        <row r="174">
          <cell r="A174" t="str">
            <v>Liberia</v>
          </cell>
        </row>
        <row r="175">
          <cell r="A175" t="str">
            <v>Gabon</v>
          </cell>
        </row>
        <row r="176">
          <cell r="A176" t="str">
            <v>RÃ©union</v>
          </cell>
        </row>
        <row r="177">
          <cell r="A177" t="str">
            <v>Uruguay</v>
          </cell>
        </row>
        <row r="178">
          <cell r="A178" t="str">
            <v>Montenegro</v>
          </cell>
        </row>
        <row r="179">
          <cell r="A179" t="str">
            <v>Turkey</v>
          </cell>
          <cell r="B179">
            <v>0.76</v>
          </cell>
          <cell r="C179">
            <v>0.24</v>
          </cell>
        </row>
        <row r="180">
          <cell r="A180" t="str">
            <v>Iraq</v>
          </cell>
        </row>
        <row r="181">
          <cell r="A181" t="str">
            <v>Haiti</v>
          </cell>
        </row>
        <row r="182">
          <cell r="A182" t="str">
            <v>Mozambique</v>
          </cell>
        </row>
        <row r="183">
          <cell r="A183" t="str">
            <v>CÃ´te dâ€™Ivoire</v>
          </cell>
        </row>
        <row r="184">
          <cell r="A184" t="str">
            <v>Senegal</v>
          </cell>
        </row>
        <row r="185">
          <cell r="A185" t="str">
            <v>Aruba</v>
          </cell>
        </row>
        <row r="186">
          <cell r="A186" t="str">
            <v>Chile</v>
          </cell>
          <cell r="B186">
            <v>0.53</v>
          </cell>
          <cell r="C186">
            <v>0.47</v>
          </cell>
        </row>
        <row r="187">
          <cell r="A187" t="str">
            <v>Argentina</v>
          </cell>
          <cell r="B187">
            <v>0.49</v>
          </cell>
          <cell r="C187">
            <v>0.51</v>
          </cell>
        </row>
        <row r="188">
          <cell r="A188" t="str">
            <v>French Guiana</v>
          </cell>
        </row>
        <row r="189">
          <cell r="A189" t="str">
            <v>Palestine</v>
          </cell>
        </row>
        <row r="190">
          <cell r="A190" t="str">
            <v>Qatar</v>
          </cell>
        </row>
        <row r="191">
          <cell r="A191" t="str">
            <v>Congo - Brazzaville</v>
          </cell>
        </row>
        <row r="192">
          <cell r="A192" t="str">
            <v>Martinique</v>
          </cell>
        </row>
        <row r="193">
          <cell r="A193" t="str">
            <v>Mauritania</v>
          </cell>
        </row>
        <row r="194">
          <cell r="A194" t="str">
            <v>Sierra Leone</v>
          </cell>
        </row>
        <row r="195">
          <cell r="A195" t="str">
            <v>Guadeloupe</v>
          </cell>
        </row>
        <row r="196">
          <cell r="A196" t="str">
            <v>Burkina Faso</v>
          </cell>
        </row>
        <row r="197">
          <cell r="A197" t="str">
            <v>Kuwait</v>
          </cell>
        </row>
        <row r="198">
          <cell r="A198" t="str">
            <v>Saudi Arabia</v>
          </cell>
          <cell r="B198">
            <v>0.7</v>
          </cell>
          <cell r="C198">
            <v>0.3</v>
          </cell>
        </row>
        <row r="199">
          <cell r="A199" t="str">
            <v>Suriname</v>
          </cell>
        </row>
        <row r="200">
          <cell r="A200" t="str">
            <v>Mali</v>
          </cell>
        </row>
        <row r="201">
          <cell r="A201" t="str">
            <v>Ã…land Islands</v>
          </cell>
        </row>
        <row r="202">
          <cell r="A202" t="str">
            <v>Falkland Islands (Islas Malvinas)</v>
          </cell>
        </row>
        <row r="203">
          <cell r="A203" t="str">
            <v>Eritrea</v>
          </cell>
        </row>
        <row r="204">
          <cell r="A204" t="str">
            <v>Cook Islands</v>
          </cell>
        </row>
        <row r="205">
          <cell r="A205" t="str">
            <v>SÃ£o TomÃ© &amp; PrÃ­ncipe</v>
          </cell>
        </row>
        <row r="206">
          <cell r="A206" t="str">
            <v>Solomon Islands</v>
          </cell>
        </row>
        <row r="207">
          <cell r="A207" t="str">
            <v>Liechtenstein</v>
          </cell>
        </row>
        <row r="208">
          <cell r="A208" t="str">
            <v>Micronesia</v>
          </cell>
        </row>
        <row r="209">
          <cell r="A209" t="str">
            <v>Guinea-Bissau</v>
          </cell>
        </row>
        <row r="210">
          <cell r="A210" t="str">
            <v>St. Lucia</v>
          </cell>
        </row>
        <row r="211">
          <cell r="A211" t="str">
            <v>Central African Republic</v>
          </cell>
        </row>
        <row r="212">
          <cell r="A212" t="str">
            <v>Equatorial Guinea</v>
          </cell>
        </row>
        <row r="213">
          <cell r="A213" t="str">
            <v>Comoros</v>
          </cell>
        </row>
        <row r="214">
          <cell r="A214" t="str">
            <v>St. Pierre &amp; Miquelon</v>
          </cell>
        </row>
        <row r="215">
          <cell r="A215" t="str">
            <v>San Marino</v>
          </cell>
        </row>
        <row r="216">
          <cell r="A216" t="str">
            <v>Sint Maarten</v>
          </cell>
        </row>
        <row r="217">
          <cell r="A217" t="str">
            <v>Samoa</v>
          </cell>
        </row>
        <row r="218">
          <cell r="A218" t="str">
            <v>American Samoa</v>
          </cell>
        </row>
        <row r="219">
          <cell r="A219" t="str">
            <v>Anguilla</v>
          </cell>
        </row>
        <row r="220">
          <cell r="A220" t="str">
            <v>Turks &amp; Caicos Islands</v>
          </cell>
        </row>
        <row r="221">
          <cell r="A221" t="str">
            <v>Mayotte</v>
          </cell>
        </row>
        <row r="222">
          <cell r="A222" t="str">
            <v>St. Martin</v>
          </cell>
        </row>
        <row r="223">
          <cell r="A223" t="str">
            <v>St. BarthÃ©lemy</v>
          </cell>
        </row>
        <row r="224">
          <cell r="A224" t="str">
            <v>Northern Mariana Islands</v>
          </cell>
        </row>
        <row r="225">
          <cell r="A225" t="str">
            <v>Seychelles</v>
          </cell>
        </row>
        <row r="226">
          <cell r="A226" t="str">
            <v>Timor-Leste</v>
          </cell>
        </row>
        <row r="227">
          <cell r="A227" t="str">
            <v>Gambia</v>
          </cell>
        </row>
        <row r="228">
          <cell r="A228" t="str">
            <v>British Virgin Islands</v>
          </cell>
        </row>
        <row r="229">
          <cell r="A229" t="str">
            <v>Western Sahara</v>
          </cell>
        </row>
        <row r="230">
          <cell r="A230" t="str">
            <v>Chad</v>
          </cell>
        </row>
        <row r="231">
          <cell r="A231" t="str">
            <v>Antarctica</v>
          </cell>
        </row>
        <row r="232">
          <cell r="A232" t="str">
            <v>French Southern Territories</v>
          </cell>
        </row>
        <row r="233">
          <cell r="A233" t="str">
            <v>Bouvet Island</v>
          </cell>
        </row>
        <row r="234">
          <cell r="A234" t="str">
            <v>Cocos (Keeling) Islands</v>
          </cell>
        </row>
        <row r="235">
          <cell r="A235" t="str">
            <v>Christmas Island</v>
          </cell>
        </row>
        <row r="236">
          <cell r="A236" t="str">
            <v>Greenland</v>
          </cell>
        </row>
        <row r="237">
          <cell r="A237" t="str">
            <v>Heard &amp; McDonald Islands</v>
          </cell>
        </row>
        <row r="238">
          <cell r="A238" t="str">
            <v>British Indian Ocean Territory</v>
          </cell>
        </row>
        <row r="239">
          <cell r="A239" t="str">
            <v>Kiribati</v>
          </cell>
        </row>
        <row r="240">
          <cell r="A240" t="str">
            <v>Marshall Islands</v>
          </cell>
        </row>
        <row r="241">
          <cell r="A241" t="str">
            <v>Montserrat</v>
          </cell>
        </row>
        <row r="242">
          <cell r="A242" t="str">
            <v>Norfolk Island</v>
          </cell>
        </row>
        <row r="243">
          <cell r="A243" t="str">
            <v>Niue</v>
          </cell>
        </row>
        <row r="244">
          <cell r="A244" t="str">
            <v>Nauru</v>
          </cell>
        </row>
        <row r="245">
          <cell r="A245" t="str">
            <v>Pitcairn Islands</v>
          </cell>
        </row>
        <row r="246">
          <cell r="A246" t="str">
            <v>Palau</v>
          </cell>
        </row>
        <row r="247">
          <cell r="A247" t="str">
            <v>South Georgia &amp; South Sandwich Islands</v>
          </cell>
        </row>
        <row r="248">
          <cell r="A248" t="str">
            <v>Svalbard &amp; Jan Mayen</v>
          </cell>
        </row>
        <row r="249">
          <cell r="A249" t="str">
            <v>Tokelau</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2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28)"/>
    </sheetNames>
    <sheetDataSet>
      <sheetData sheetId="0">
        <row r="1">
          <cell r="A1" t="str">
            <v>Category: All categories</v>
          </cell>
        </row>
        <row r="3">
          <cell r="A3" t="str">
            <v>Country</v>
          </cell>
          <cell r="B3" t="str">
            <v>Transmission Control Protocol: (2016)</v>
          </cell>
          <cell r="C3" t="str">
            <v>Artificial neural network: (2016)</v>
          </cell>
        </row>
        <row r="4">
          <cell r="A4" t="str">
            <v>China</v>
          </cell>
          <cell r="B4">
            <v>0.53</v>
          </cell>
          <cell r="C4">
            <v>0.47</v>
          </cell>
        </row>
        <row r="5">
          <cell r="A5" t="str">
            <v>Cuba</v>
          </cell>
        </row>
        <row r="6">
          <cell r="A6" t="str">
            <v>South Korea</v>
          </cell>
          <cell r="B6">
            <v>0.53</v>
          </cell>
          <cell r="C6">
            <v>0.47</v>
          </cell>
        </row>
        <row r="7">
          <cell r="A7" t="str">
            <v>St. Helena</v>
          </cell>
        </row>
        <row r="8">
          <cell r="A8" t="str">
            <v>Botswana</v>
          </cell>
        </row>
        <row r="9">
          <cell r="A9" t="str">
            <v>Rwanda</v>
          </cell>
        </row>
        <row r="10">
          <cell r="A10" t="str">
            <v>Singapore</v>
          </cell>
          <cell r="B10">
            <v>0.67</v>
          </cell>
          <cell r="C10">
            <v>0.33</v>
          </cell>
        </row>
        <row r="11">
          <cell r="A11" t="str">
            <v>Hong Kong</v>
          </cell>
          <cell r="B11">
            <v>0.61</v>
          </cell>
          <cell r="C11">
            <v>0.39</v>
          </cell>
        </row>
        <row r="12">
          <cell r="A12" t="str">
            <v>Zimbabwe</v>
          </cell>
        </row>
        <row r="13">
          <cell r="A13" t="str">
            <v>Angola</v>
          </cell>
        </row>
        <row r="14">
          <cell r="A14" t="str">
            <v>Eswatini</v>
          </cell>
        </row>
        <row r="15">
          <cell r="A15" t="str">
            <v>India</v>
          </cell>
          <cell r="B15">
            <v>0.65</v>
          </cell>
          <cell r="C15">
            <v>0.35</v>
          </cell>
        </row>
        <row r="16">
          <cell r="A16" t="str">
            <v>Papua New Guinea</v>
          </cell>
        </row>
        <row r="17">
          <cell r="A17" t="str">
            <v>Ethiopia</v>
          </cell>
        </row>
        <row r="18">
          <cell r="A18" t="str">
            <v>Cameroon</v>
          </cell>
        </row>
        <row r="19">
          <cell r="A19" t="str">
            <v>Israel</v>
          </cell>
          <cell r="B19">
            <v>0.67</v>
          </cell>
          <cell r="C19">
            <v>0.33</v>
          </cell>
        </row>
        <row r="20">
          <cell r="A20" t="str">
            <v>Luxembourg</v>
          </cell>
        </row>
        <row r="21">
          <cell r="A21" t="str">
            <v>Nepal</v>
          </cell>
        </row>
        <row r="22">
          <cell r="A22" t="str">
            <v>Croatia</v>
          </cell>
          <cell r="B22">
            <v>0.37</v>
          </cell>
          <cell r="C22">
            <v>0.63</v>
          </cell>
        </row>
        <row r="23">
          <cell r="A23" t="str">
            <v>Namibia</v>
          </cell>
        </row>
        <row r="24">
          <cell r="A24" t="str">
            <v>Czechia</v>
          </cell>
          <cell r="B24">
            <v>0.64</v>
          </cell>
          <cell r="C24">
            <v>0.36</v>
          </cell>
        </row>
        <row r="25">
          <cell r="A25" t="str">
            <v>Mauritius</v>
          </cell>
        </row>
        <row r="26">
          <cell r="A26" t="str">
            <v>Iceland</v>
          </cell>
        </row>
        <row r="27">
          <cell r="A27" t="str">
            <v>Taiwan</v>
          </cell>
          <cell r="B27">
            <v>0.6</v>
          </cell>
          <cell r="C27">
            <v>0.4</v>
          </cell>
        </row>
        <row r="28">
          <cell r="A28" t="str">
            <v>Switzerland</v>
          </cell>
          <cell r="B28">
            <v>0.7</v>
          </cell>
          <cell r="C28">
            <v>0.3</v>
          </cell>
        </row>
        <row r="29">
          <cell r="A29" t="str">
            <v>Bolivia</v>
          </cell>
          <cell r="B29">
            <v>0.7</v>
          </cell>
          <cell r="C29">
            <v>0.3</v>
          </cell>
        </row>
        <row r="30">
          <cell r="A30" t="str">
            <v>Uruguay</v>
          </cell>
        </row>
        <row r="31">
          <cell r="A31" t="str">
            <v>Ghana</v>
          </cell>
        </row>
        <row r="32">
          <cell r="A32" t="str">
            <v>Bhutan</v>
          </cell>
        </row>
        <row r="33">
          <cell r="A33" t="str">
            <v>Myanmar (Burma)</v>
          </cell>
        </row>
        <row r="34">
          <cell r="A34" t="str">
            <v>Malta</v>
          </cell>
        </row>
        <row r="35">
          <cell r="A35" t="str">
            <v>Macao</v>
          </cell>
        </row>
        <row r="36">
          <cell r="A36" t="str">
            <v>Estonia</v>
          </cell>
        </row>
        <row r="37">
          <cell r="A37" t="str">
            <v>Afghanistan</v>
          </cell>
        </row>
        <row r="38">
          <cell r="A38" t="str">
            <v>Isle of Man</v>
          </cell>
        </row>
        <row r="39">
          <cell r="A39" t="str">
            <v>Tunisia</v>
          </cell>
          <cell r="B39">
            <v>0.63</v>
          </cell>
          <cell r="C39">
            <v>0.37</v>
          </cell>
        </row>
        <row r="40">
          <cell r="A40" t="str">
            <v>Ireland</v>
          </cell>
          <cell r="B40">
            <v>0.71</v>
          </cell>
          <cell r="C40">
            <v>0.28999999999999998</v>
          </cell>
        </row>
        <row r="41">
          <cell r="A41" t="str">
            <v>Somalia</v>
          </cell>
        </row>
        <row r="42">
          <cell r="A42" t="str">
            <v>Madagascar</v>
          </cell>
        </row>
        <row r="43">
          <cell r="A43" t="str">
            <v>Japan</v>
          </cell>
          <cell r="B43">
            <v>0.72</v>
          </cell>
          <cell r="C43">
            <v>0.28000000000000003</v>
          </cell>
        </row>
        <row r="44">
          <cell r="A44" t="str">
            <v>Finland</v>
          </cell>
          <cell r="B44">
            <v>0.73</v>
          </cell>
          <cell r="C44">
            <v>0.27</v>
          </cell>
        </row>
        <row r="45">
          <cell r="A45" t="str">
            <v>Congo - Kinshasa</v>
          </cell>
        </row>
        <row r="46">
          <cell r="A46" t="str">
            <v>Mozambique</v>
          </cell>
        </row>
        <row r="47">
          <cell r="A47" t="str">
            <v>Uganda</v>
          </cell>
        </row>
        <row r="48">
          <cell r="A48" t="str">
            <v>Norway</v>
          </cell>
          <cell r="B48">
            <v>0.73</v>
          </cell>
          <cell r="C48">
            <v>0.27</v>
          </cell>
        </row>
        <row r="49">
          <cell r="A49" t="str">
            <v>Sri Lanka</v>
          </cell>
          <cell r="B49">
            <v>0.57999999999999996</v>
          </cell>
          <cell r="C49">
            <v>0.42</v>
          </cell>
        </row>
        <row r="50">
          <cell r="A50" t="str">
            <v>Germany</v>
          </cell>
          <cell r="B50">
            <v>0.75</v>
          </cell>
          <cell r="C50">
            <v>0.25</v>
          </cell>
        </row>
        <row r="51">
          <cell r="A51" t="str">
            <v>Austria</v>
          </cell>
          <cell r="B51">
            <v>0.8</v>
          </cell>
          <cell r="C51">
            <v>0.2</v>
          </cell>
        </row>
        <row r="52">
          <cell r="A52" t="str">
            <v>New Zealand</v>
          </cell>
          <cell r="B52">
            <v>0.68</v>
          </cell>
          <cell r="C52">
            <v>0.32</v>
          </cell>
        </row>
        <row r="53">
          <cell r="A53" t="str">
            <v>Brunei</v>
          </cell>
        </row>
        <row r="54">
          <cell r="A54" t="str">
            <v>Sweden</v>
          </cell>
          <cell r="B54">
            <v>0.73</v>
          </cell>
          <cell r="C54">
            <v>0.27</v>
          </cell>
        </row>
        <row r="55">
          <cell r="A55" t="str">
            <v>Liberia</v>
          </cell>
        </row>
        <row r="56">
          <cell r="A56" t="str">
            <v>Senegal</v>
          </cell>
        </row>
        <row r="57">
          <cell r="A57" t="str">
            <v>Australia</v>
          </cell>
          <cell r="B57">
            <v>0.68</v>
          </cell>
          <cell r="C57">
            <v>0.32</v>
          </cell>
        </row>
        <row r="58">
          <cell r="A58" t="str">
            <v>Netherlands</v>
          </cell>
          <cell r="B58">
            <v>0.74</v>
          </cell>
          <cell r="C58">
            <v>0.26</v>
          </cell>
        </row>
        <row r="59">
          <cell r="A59" t="str">
            <v>Philippines</v>
          </cell>
          <cell r="B59">
            <v>0.71</v>
          </cell>
          <cell r="C59">
            <v>0.28999999999999998</v>
          </cell>
        </row>
        <row r="60">
          <cell r="A60" t="str">
            <v>Slovenia</v>
          </cell>
        </row>
        <row r="61">
          <cell r="A61" t="str">
            <v>Slovakia</v>
          </cell>
          <cell r="B61">
            <v>0.78</v>
          </cell>
          <cell r="C61">
            <v>0.22</v>
          </cell>
        </row>
        <row r="62">
          <cell r="A62" t="str">
            <v>Guam</v>
          </cell>
        </row>
        <row r="63">
          <cell r="A63" t="str">
            <v>United States</v>
          </cell>
          <cell r="B63">
            <v>0.64</v>
          </cell>
          <cell r="C63">
            <v>0.36</v>
          </cell>
        </row>
        <row r="64">
          <cell r="A64" t="str">
            <v>Panama</v>
          </cell>
        </row>
        <row r="65">
          <cell r="A65" t="str">
            <v>Canada</v>
          </cell>
          <cell r="B65">
            <v>0.64</v>
          </cell>
          <cell r="C65">
            <v>0.36</v>
          </cell>
        </row>
        <row r="66">
          <cell r="A66" t="str">
            <v>Malawi</v>
          </cell>
        </row>
        <row r="67">
          <cell r="A67" t="str">
            <v>Barbados</v>
          </cell>
        </row>
        <row r="68">
          <cell r="A68" t="str">
            <v>Cape Verde</v>
          </cell>
        </row>
        <row r="69">
          <cell r="A69" t="str">
            <v>Mongolia</v>
          </cell>
        </row>
        <row r="70">
          <cell r="A70" t="str">
            <v>Kenya</v>
          </cell>
          <cell r="B70">
            <v>0.62</v>
          </cell>
          <cell r="C70">
            <v>0.38</v>
          </cell>
        </row>
        <row r="71">
          <cell r="A71" t="str">
            <v>Fiji</v>
          </cell>
        </row>
        <row r="72">
          <cell r="A72" t="str">
            <v>Portugal</v>
          </cell>
          <cell r="B72">
            <v>0.72</v>
          </cell>
          <cell r="C72">
            <v>0.28000000000000003</v>
          </cell>
        </row>
        <row r="73">
          <cell r="A73" t="str">
            <v>Hungary</v>
          </cell>
          <cell r="B73">
            <v>0.8</v>
          </cell>
          <cell r="C73">
            <v>0.2</v>
          </cell>
        </row>
        <row r="74">
          <cell r="A74" t="str">
            <v>Laos</v>
          </cell>
        </row>
        <row r="75">
          <cell r="A75" t="str">
            <v>Honduras</v>
          </cell>
        </row>
        <row r="76">
          <cell r="A76" t="str">
            <v>Iran</v>
          </cell>
          <cell r="B76">
            <v>0.39</v>
          </cell>
          <cell r="C76">
            <v>0.61</v>
          </cell>
        </row>
        <row r="77">
          <cell r="A77" t="str">
            <v>United Kingdom</v>
          </cell>
          <cell r="B77">
            <v>0.68</v>
          </cell>
          <cell r="C77">
            <v>0.32</v>
          </cell>
        </row>
        <row r="78">
          <cell r="A78" t="str">
            <v>Lebanon</v>
          </cell>
        </row>
        <row r="79">
          <cell r="A79" t="str">
            <v>Costa Rica</v>
          </cell>
        </row>
        <row r="80">
          <cell r="A80" t="str">
            <v>Denmark</v>
          </cell>
          <cell r="B80">
            <v>0.71</v>
          </cell>
          <cell r="C80">
            <v>0.28999999999999998</v>
          </cell>
        </row>
        <row r="81">
          <cell r="A81" t="str">
            <v>Trinidad &amp; Tobago</v>
          </cell>
        </row>
        <row r="82">
          <cell r="A82" t="str">
            <v>Sierra Leone</v>
          </cell>
        </row>
        <row r="83">
          <cell r="A83" t="str">
            <v>Belgium</v>
          </cell>
          <cell r="B83">
            <v>0.76</v>
          </cell>
          <cell r="C83">
            <v>0.24</v>
          </cell>
        </row>
        <row r="84">
          <cell r="A84" t="str">
            <v>Pakistan</v>
          </cell>
          <cell r="B84">
            <v>0.53</v>
          </cell>
          <cell r="C84">
            <v>0.47</v>
          </cell>
        </row>
        <row r="85">
          <cell r="A85" t="str">
            <v>Ecuador</v>
          </cell>
          <cell r="B85">
            <v>0.69</v>
          </cell>
          <cell r="C85">
            <v>0.31</v>
          </cell>
        </row>
        <row r="86">
          <cell r="A86" t="str">
            <v>El Salvador</v>
          </cell>
        </row>
        <row r="87">
          <cell r="A87" t="str">
            <v>Russia</v>
          </cell>
          <cell r="B87">
            <v>0.55000000000000004</v>
          </cell>
          <cell r="C87">
            <v>0.45</v>
          </cell>
        </row>
        <row r="88">
          <cell r="A88" t="str">
            <v>Belarus</v>
          </cell>
          <cell r="B88">
            <v>0.55000000000000004</v>
          </cell>
          <cell r="C88">
            <v>0.45</v>
          </cell>
        </row>
        <row r="89">
          <cell r="A89" t="str">
            <v>United Arab Emirates</v>
          </cell>
          <cell r="B89">
            <v>0.71</v>
          </cell>
          <cell r="C89">
            <v>0.28999999999999998</v>
          </cell>
        </row>
        <row r="90">
          <cell r="A90" t="str">
            <v>Spain</v>
          </cell>
          <cell r="B90">
            <v>0.8</v>
          </cell>
          <cell r="C90">
            <v>0.2</v>
          </cell>
        </row>
        <row r="91">
          <cell r="A91" t="str">
            <v>Jamaica</v>
          </cell>
        </row>
        <row r="92">
          <cell r="A92" t="str">
            <v>Bulgaria</v>
          </cell>
          <cell r="B92">
            <v>0.77</v>
          </cell>
          <cell r="C92">
            <v>0.23</v>
          </cell>
        </row>
        <row r="93">
          <cell r="A93" t="str">
            <v>Benin</v>
          </cell>
        </row>
        <row r="94">
          <cell r="A94" t="str">
            <v>Cyprus</v>
          </cell>
        </row>
        <row r="95">
          <cell r="A95" t="str">
            <v>Nicaragua</v>
          </cell>
        </row>
        <row r="96">
          <cell r="A96" t="str">
            <v>CÃ´te dâ€™Ivoire</v>
          </cell>
        </row>
        <row r="97">
          <cell r="A97" t="str">
            <v>Latvia</v>
          </cell>
        </row>
        <row r="98">
          <cell r="A98" t="str">
            <v>Burundi</v>
          </cell>
        </row>
        <row r="99">
          <cell r="A99" t="str">
            <v>Haiti</v>
          </cell>
        </row>
        <row r="100">
          <cell r="A100" t="str">
            <v>Poland</v>
          </cell>
          <cell r="B100">
            <v>0.72</v>
          </cell>
          <cell r="C100">
            <v>0.28000000000000003</v>
          </cell>
        </row>
        <row r="101">
          <cell r="A101" t="str">
            <v>Tanzania</v>
          </cell>
        </row>
        <row r="102">
          <cell r="A102" t="str">
            <v>France</v>
          </cell>
          <cell r="B102">
            <v>0.78</v>
          </cell>
          <cell r="C102">
            <v>0.22</v>
          </cell>
        </row>
        <row r="103">
          <cell r="A103" t="str">
            <v>Zambia</v>
          </cell>
        </row>
        <row r="104">
          <cell r="A104" t="str">
            <v>Uzbekistan</v>
          </cell>
        </row>
        <row r="105">
          <cell r="A105" t="str">
            <v>Malaysia</v>
          </cell>
          <cell r="B105">
            <v>0.59</v>
          </cell>
          <cell r="C105">
            <v>0.41</v>
          </cell>
        </row>
        <row r="106">
          <cell r="A106" t="str">
            <v>Togo</v>
          </cell>
        </row>
        <row r="107">
          <cell r="A107" t="str">
            <v>Colombia</v>
          </cell>
          <cell r="B107">
            <v>0.61</v>
          </cell>
          <cell r="C107">
            <v>0.39</v>
          </cell>
        </row>
        <row r="108">
          <cell r="A108" t="str">
            <v>Bangladesh</v>
          </cell>
          <cell r="B108">
            <v>0.54</v>
          </cell>
          <cell r="C108">
            <v>0.46</v>
          </cell>
        </row>
        <row r="109">
          <cell r="A109" t="str">
            <v>Romania</v>
          </cell>
          <cell r="B109">
            <v>0.73</v>
          </cell>
          <cell r="C109">
            <v>0.27</v>
          </cell>
        </row>
        <row r="110">
          <cell r="A110" t="str">
            <v>Guyana</v>
          </cell>
        </row>
        <row r="111">
          <cell r="A111" t="str">
            <v>Argentina</v>
          </cell>
          <cell r="B111">
            <v>0.74</v>
          </cell>
          <cell r="C111">
            <v>0.26</v>
          </cell>
        </row>
        <row r="112">
          <cell r="A112" t="str">
            <v>Nigeria</v>
          </cell>
          <cell r="B112">
            <v>0.49</v>
          </cell>
          <cell r="C112">
            <v>0.51</v>
          </cell>
        </row>
        <row r="113">
          <cell r="A113" t="str">
            <v>South Africa</v>
          </cell>
          <cell r="B113">
            <v>0.61</v>
          </cell>
          <cell r="C113">
            <v>0.39</v>
          </cell>
        </row>
        <row r="114">
          <cell r="A114" t="str">
            <v>Cayman Islands</v>
          </cell>
        </row>
        <row r="115">
          <cell r="A115" t="str">
            <v>Lithuania</v>
          </cell>
          <cell r="B115">
            <v>0.61</v>
          </cell>
          <cell r="C115">
            <v>0.39</v>
          </cell>
        </row>
        <row r="116">
          <cell r="A116" t="str">
            <v>Brazil</v>
          </cell>
          <cell r="B116">
            <v>0.81</v>
          </cell>
          <cell r="C116">
            <v>0.19</v>
          </cell>
        </row>
        <row r="117">
          <cell r="A117" t="str">
            <v>Mexico</v>
          </cell>
          <cell r="B117">
            <v>0.57999999999999996</v>
          </cell>
          <cell r="C117">
            <v>0.42</v>
          </cell>
        </row>
        <row r="118">
          <cell r="A118" t="str">
            <v>Italy</v>
          </cell>
          <cell r="B118">
            <v>0.77</v>
          </cell>
          <cell r="C118">
            <v>0.23</v>
          </cell>
        </row>
        <row r="119">
          <cell r="A119" t="str">
            <v>Dominican Republic</v>
          </cell>
          <cell r="B119">
            <v>0.56999999999999995</v>
          </cell>
          <cell r="C119">
            <v>0.43</v>
          </cell>
        </row>
        <row r="120">
          <cell r="A120" t="str">
            <v>North Macedonia</v>
          </cell>
        </row>
        <row r="121">
          <cell r="A121" t="str">
            <v>Kosovo</v>
          </cell>
        </row>
        <row r="122">
          <cell r="A122" t="str">
            <v>Albania</v>
          </cell>
        </row>
        <row r="123">
          <cell r="A123" t="str">
            <v>Indonesia</v>
          </cell>
          <cell r="B123">
            <v>0.62</v>
          </cell>
          <cell r="C123">
            <v>0.38</v>
          </cell>
        </row>
        <row r="124">
          <cell r="A124" t="str">
            <v>Guatemala</v>
          </cell>
        </row>
        <row r="125">
          <cell r="A125" t="str">
            <v>Serbia</v>
          </cell>
          <cell r="B125">
            <v>0.7</v>
          </cell>
          <cell r="C125">
            <v>0.3</v>
          </cell>
        </row>
        <row r="126">
          <cell r="A126" t="str">
            <v>Bahamas</v>
          </cell>
        </row>
        <row r="127">
          <cell r="A127" t="str">
            <v>Qatar</v>
          </cell>
        </row>
        <row r="128">
          <cell r="A128" t="str">
            <v>Ukraine</v>
          </cell>
          <cell r="B128">
            <v>0.56000000000000005</v>
          </cell>
          <cell r="C128">
            <v>0.44</v>
          </cell>
        </row>
        <row r="129">
          <cell r="A129" t="str">
            <v>Oman</v>
          </cell>
        </row>
        <row r="130">
          <cell r="A130" t="str">
            <v>Maldives</v>
          </cell>
        </row>
        <row r="131">
          <cell r="A131" t="str">
            <v>Peru</v>
          </cell>
          <cell r="B131">
            <v>0.54</v>
          </cell>
          <cell r="C131">
            <v>0.46</v>
          </cell>
        </row>
        <row r="132">
          <cell r="A132" t="str">
            <v>Sudan</v>
          </cell>
        </row>
        <row r="133">
          <cell r="A133" t="str">
            <v>Morocco</v>
          </cell>
          <cell r="B133">
            <v>0.75</v>
          </cell>
          <cell r="C133">
            <v>0.25</v>
          </cell>
        </row>
        <row r="134">
          <cell r="A134" t="str">
            <v>Lesotho</v>
          </cell>
        </row>
        <row r="135">
          <cell r="A135" t="str">
            <v>Jersey</v>
          </cell>
        </row>
        <row r="136">
          <cell r="A136" t="str">
            <v>Mali</v>
          </cell>
        </row>
        <row r="137">
          <cell r="A137" t="str">
            <v>Greece</v>
          </cell>
          <cell r="B137">
            <v>0.6</v>
          </cell>
          <cell r="C137">
            <v>0.4</v>
          </cell>
        </row>
        <row r="138">
          <cell r="A138" t="str">
            <v>Paraguay</v>
          </cell>
        </row>
        <row r="139">
          <cell r="A139" t="str">
            <v>Cambodia</v>
          </cell>
        </row>
        <row r="140">
          <cell r="A140" t="str">
            <v>Bahrain</v>
          </cell>
        </row>
        <row r="141">
          <cell r="A141" t="str">
            <v>RÃ©union</v>
          </cell>
        </row>
        <row r="142">
          <cell r="A142" t="str">
            <v>Turkmenistan</v>
          </cell>
        </row>
        <row r="143">
          <cell r="A143" t="str">
            <v>Jordan</v>
          </cell>
        </row>
        <row r="144">
          <cell r="A144" t="str">
            <v>Chile</v>
          </cell>
          <cell r="B144">
            <v>0.57999999999999996</v>
          </cell>
          <cell r="C144">
            <v>0.42</v>
          </cell>
        </row>
        <row r="145">
          <cell r="A145" t="str">
            <v>Guinea</v>
          </cell>
        </row>
        <row r="146">
          <cell r="A146" t="str">
            <v>Moldova</v>
          </cell>
        </row>
        <row r="147">
          <cell r="A147" t="str">
            <v>Kazakhstan</v>
          </cell>
          <cell r="B147">
            <v>0.65</v>
          </cell>
          <cell r="C147">
            <v>0.35</v>
          </cell>
        </row>
        <row r="148">
          <cell r="A148" t="str">
            <v>Armenia</v>
          </cell>
        </row>
        <row r="149">
          <cell r="A149" t="str">
            <v>Martinique</v>
          </cell>
        </row>
        <row r="150">
          <cell r="A150" t="str">
            <v>Bosnia &amp; Herzegovina</v>
          </cell>
        </row>
        <row r="151">
          <cell r="A151" t="str">
            <v>Tajikistan</v>
          </cell>
        </row>
        <row r="152">
          <cell r="A152" t="str">
            <v>Suriname</v>
          </cell>
        </row>
        <row r="153">
          <cell r="A153" t="str">
            <v>Burkina Faso</v>
          </cell>
        </row>
        <row r="154">
          <cell r="A154" t="str">
            <v>Venezuela</v>
          </cell>
          <cell r="B154">
            <v>0.61</v>
          </cell>
          <cell r="C154">
            <v>0.39</v>
          </cell>
        </row>
        <row r="155">
          <cell r="A155" t="str">
            <v>Puerto Rico</v>
          </cell>
        </row>
        <row r="156">
          <cell r="A156" t="str">
            <v>Libya</v>
          </cell>
        </row>
        <row r="157">
          <cell r="A157" t="str">
            <v>Thailand</v>
          </cell>
          <cell r="B157">
            <v>0.67</v>
          </cell>
          <cell r="C157">
            <v>0.33</v>
          </cell>
        </row>
        <row r="158">
          <cell r="A158" t="str">
            <v>Yemen</v>
          </cell>
        </row>
        <row r="159">
          <cell r="A159" t="str">
            <v>Algeria</v>
          </cell>
          <cell r="B159">
            <v>0.55000000000000004</v>
          </cell>
          <cell r="C159">
            <v>0.45</v>
          </cell>
        </row>
        <row r="160">
          <cell r="A160" t="str">
            <v>Kuwait</v>
          </cell>
        </row>
        <row r="161">
          <cell r="A161" t="str">
            <v>Syria</v>
          </cell>
        </row>
        <row r="162">
          <cell r="A162" t="str">
            <v>Vietnam</v>
          </cell>
          <cell r="B162">
            <v>0.74</v>
          </cell>
          <cell r="C162">
            <v>0.26</v>
          </cell>
        </row>
        <row r="163">
          <cell r="A163" t="str">
            <v>Egypt</v>
          </cell>
          <cell r="B163">
            <v>0.55000000000000004</v>
          </cell>
          <cell r="C163">
            <v>0.45</v>
          </cell>
        </row>
        <row r="164">
          <cell r="A164" t="str">
            <v>Saudi Arabia</v>
          </cell>
          <cell r="B164">
            <v>0.7</v>
          </cell>
          <cell r="C164">
            <v>0.3</v>
          </cell>
        </row>
        <row r="165">
          <cell r="A165" t="str">
            <v>Azerbaijan</v>
          </cell>
        </row>
        <row r="166">
          <cell r="A166" t="str">
            <v>Iraq</v>
          </cell>
        </row>
        <row r="167">
          <cell r="A167" t="str">
            <v>Guadeloupe</v>
          </cell>
        </row>
        <row r="168">
          <cell r="A168" t="str">
            <v>Georgia</v>
          </cell>
        </row>
        <row r="169">
          <cell r="A169" t="str">
            <v>Turkey</v>
          </cell>
          <cell r="B169">
            <v>0.59</v>
          </cell>
          <cell r="C169">
            <v>0.41</v>
          </cell>
        </row>
        <row r="170">
          <cell r="A170" t="str">
            <v>Palestine</v>
          </cell>
        </row>
        <row r="171">
          <cell r="A171" t="str">
            <v>Montenegro</v>
          </cell>
        </row>
        <row r="172">
          <cell r="A172" t="str">
            <v>Kyrgyzstan</v>
          </cell>
        </row>
        <row r="173">
          <cell r="A173" t="str">
            <v>Nauru</v>
          </cell>
        </row>
        <row r="174">
          <cell r="A174" t="str">
            <v>Palau</v>
          </cell>
        </row>
        <row r="175">
          <cell r="A175" t="str">
            <v>Cook Islands</v>
          </cell>
        </row>
        <row r="176">
          <cell r="A176" t="str">
            <v>Eritrea</v>
          </cell>
        </row>
        <row r="177">
          <cell r="A177" t="str">
            <v>SÃ£o TomÃ© &amp; PrÃ­ncipe</v>
          </cell>
        </row>
        <row r="178">
          <cell r="A178" t="str">
            <v>Guinea-Bissau</v>
          </cell>
        </row>
        <row r="179">
          <cell r="A179" t="str">
            <v>St. Pierre &amp; Miquelon</v>
          </cell>
        </row>
        <row r="180">
          <cell r="A180" t="str">
            <v>Ã…land Islands</v>
          </cell>
        </row>
        <row r="181">
          <cell r="A181" t="str">
            <v>Vanuatu</v>
          </cell>
        </row>
        <row r="182">
          <cell r="A182" t="str">
            <v>Gibraltar</v>
          </cell>
        </row>
        <row r="183">
          <cell r="A183" t="str">
            <v>San Marino</v>
          </cell>
        </row>
        <row r="184">
          <cell r="A184" t="str">
            <v>Djibouti</v>
          </cell>
        </row>
        <row r="185">
          <cell r="A185" t="str">
            <v>Central African Republic</v>
          </cell>
        </row>
        <row r="186">
          <cell r="A186" t="str">
            <v>St. Vincent &amp; Grenadines</v>
          </cell>
        </row>
        <row r="187">
          <cell r="A187" t="str">
            <v>Tonga</v>
          </cell>
        </row>
        <row r="188">
          <cell r="A188" t="str">
            <v>Comoros</v>
          </cell>
        </row>
        <row r="189">
          <cell r="A189" t="str">
            <v>Liechtenstein</v>
          </cell>
        </row>
        <row r="190">
          <cell r="A190" t="str">
            <v>Greenland</v>
          </cell>
        </row>
        <row r="191">
          <cell r="A191" t="str">
            <v>Congo - Brazzaville</v>
          </cell>
        </row>
        <row r="192">
          <cell r="A192" t="str">
            <v>Caribbean Netherlands</v>
          </cell>
        </row>
        <row r="193">
          <cell r="A193" t="str">
            <v>Antigua &amp; Barbuda</v>
          </cell>
        </row>
        <row r="194">
          <cell r="A194" t="str">
            <v>St. Kitts &amp; Nevis</v>
          </cell>
        </row>
        <row r="195">
          <cell r="A195" t="str">
            <v>Monaco</v>
          </cell>
        </row>
        <row r="196">
          <cell r="A196" t="str">
            <v>Faroe Islands</v>
          </cell>
        </row>
        <row r="197">
          <cell r="A197" t="str">
            <v>Samoa</v>
          </cell>
        </row>
        <row r="198">
          <cell r="A198" t="str">
            <v>Equatorial Guinea</v>
          </cell>
        </row>
        <row r="199">
          <cell r="A199" t="str">
            <v>Grenada</v>
          </cell>
        </row>
        <row r="200">
          <cell r="A200" t="str">
            <v>British Virgin Islands</v>
          </cell>
        </row>
        <row r="201">
          <cell r="A201" t="str">
            <v>Solomon Islands</v>
          </cell>
        </row>
        <row r="202">
          <cell r="A202" t="str">
            <v>Timor-Leste</v>
          </cell>
        </row>
        <row r="203">
          <cell r="A203" t="str">
            <v>Sint Maarten</v>
          </cell>
        </row>
        <row r="204">
          <cell r="A204" t="str">
            <v>Belize</v>
          </cell>
        </row>
        <row r="205">
          <cell r="A205" t="str">
            <v>Seychelles</v>
          </cell>
        </row>
        <row r="206">
          <cell r="A206" t="str">
            <v>Chad</v>
          </cell>
        </row>
        <row r="207">
          <cell r="A207" t="str">
            <v>Guernsey</v>
          </cell>
        </row>
        <row r="208">
          <cell r="A208" t="str">
            <v>Andorra</v>
          </cell>
        </row>
        <row r="209">
          <cell r="A209" t="str">
            <v>Gambia</v>
          </cell>
        </row>
        <row r="210">
          <cell r="A210" t="str">
            <v>U.S. Virgin Islands</v>
          </cell>
        </row>
        <row r="211">
          <cell r="A211" t="str">
            <v>French Guiana</v>
          </cell>
        </row>
        <row r="212">
          <cell r="A212" t="str">
            <v>Northern Mariana Islands</v>
          </cell>
        </row>
        <row r="213">
          <cell r="A213" t="str">
            <v>French Polynesia</v>
          </cell>
        </row>
        <row r="214">
          <cell r="A214" t="str">
            <v>Turks &amp; Caicos Islands</v>
          </cell>
        </row>
        <row r="215">
          <cell r="A215" t="str">
            <v>Niger</v>
          </cell>
        </row>
        <row r="216">
          <cell r="A216" t="str">
            <v>CuraÃ§ao</v>
          </cell>
        </row>
        <row r="217">
          <cell r="A217" t="str">
            <v>Aruba</v>
          </cell>
        </row>
        <row r="218">
          <cell r="A218" t="str">
            <v>Bermuda</v>
          </cell>
        </row>
        <row r="219">
          <cell r="A219" t="str">
            <v>New Caledonia</v>
          </cell>
        </row>
        <row r="220">
          <cell r="A220" t="str">
            <v>Dominica</v>
          </cell>
        </row>
        <row r="221">
          <cell r="A221" t="str">
            <v>Gabon</v>
          </cell>
        </row>
        <row r="222">
          <cell r="A222" t="str">
            <v>South Sudan</v>
          </cell>
        </row>
        <row r="223">
          <cell r="A223" t="str">
            <v>St. Lucia</v>
          </cell>
        </row>
        <row r="224">
          <cell r="A224" t="str">
            <v>Mayotte</v>
          </cell>
        </row>
        <row r="225">
          <cell r="A225" t="str">
            <v>Mauritania</v>
          </cell>
        </row>
        <row r="226">
          <cell r="A226" t="str">
            <v>Anguilla</v>
          </cell>
        </row>
        <row r="227">
          <cell r="A227" t="str">
            <v>American Samoa</v>
          </cell>
        </row>
        <row r="228">
          <cell r="A228" t="str">
            <v>Antarctica</v>
          </cell>
        </row>
        <row r="229">
          <cell r="A229" t="str">
            <v>French Southern Territories</v>
          </cell>
        </row>
        <row r="230">
          <cell r="A230" t="str">
            <v>St. BarthÃ©lemy</v>
          </cell>
        </row>
        <row r="231">
          <cell r="A231" t="str">
            <v>Bouvet Island</v>
          </cell>
        </row>
        <row r="232">
          <cell r="A232" t="str">
            <v>Cocos (Keeling) Islands</v>
          </cell>
        </row>
        <row r="233">
          <cell r="A233" t="str">
            <v>Christmas Island</v>
          </cell>
        </row>
        <row r="234">
          <cell r="A234" t="str">
            <v>Western Sahara</v>
          </cell>
        </row>
        <row r="235">
          <cell r="A235" t="str">
            <v>Falkland Islands (Islas Malvinas)</v>
          </cell>
        </row>
        <row r="236">
          <cell r="A236" t="str">
            <v>Micronesia</v>
          </cell>
        </row>
        <row r="237">
          <cell r="A237" t="str">
            <v>Heard &amp; McDonald Islands</v>
          </cell>
        </row>
        <row r="238">
          <cell r="A238" t="str">
            <v>British Indian Ocean Territory</v>
          </cell>
        </row>
        <row r="239">
          <cell r="A239" t="str">
            <v>Kiribati</v>
          </cell>
        </row>
        <row r="240">
          <cell r="A240" t="str">
            <v>St. Martin</v>
          </cell>
        </row>
        <row r="241">
          <cell r="A241" t="str">
            <v>Marshall Islands</v>
          </cell>
        </row>
        <row r="242">
          <cell r="A242" t="str">
            <v>Montserrat</v>
          </cell>
        </row>
        <row r="243">
          <cell r="A243" t="str">
            <v>Norfolk Island</v>
          </cell>
        </row>
        <row r="244">
          <cell r="A244" t="str">
            <v>Niue</v>
          </cell>
        </row>
        <row r="245">
          <cell r="A245" t="str">
            <v>Pitcairn Islands</v>
          </cell>
        </row>
        <row r="246">
          <cell r="A246" t="str">
            <v>North Korea</v>
          </cell>
        </row>
        <row r="247">
          <cell r="A247" t="str">
            <v>South Georgia &amp; South Sandwich Islands</v>
          </cell>
        </row>
        <row r="248">
          <cell r="A248" t="str">
            <v>Svalbard &amp; Jan Mayen</v>
          </cell>
        </row>
        <row r="249">
          <cell r="A249" t="str">
            <v>Tokelau</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2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29)"/>
    </sheetNames>
    <sheetDataSet>
      <sheetData sheetId="0">
        <row r="1">
          <cell r="A1" t="str">
            <v>Category: All categories</v>
          </cell>
        </row>
        <row r="3">
          <cell r="A3" t="str">
            <v>Country</v>
          </cell>
          <cell r="B3" t="str">
            <v>Transmission Control Protocol: (2016)</v>
          </cell>
          <cell r="C3" t="str">
            <v>Deep learning: (2016)</v>
          </cell>
        </row>
        <row r="4">
          <cell r="A4" t="str">
            <v>China</v>
          </cell>
          <cell r="B4">
            <v>0.54</v>
          </cell>
          <cell r="C4">
            <v>0.46</v>
          </cell>
        </row>
        <row r="5">
          <cell r="A5" t="str">
            <v>Cuba</v>
          </cell>
        </row>
        <row r="6">
          <cell r="A6" t="str">
            <v>South Korea</v>
          </cell>
          <cell r="B6">
            <v>0.57999999999999996</v>
          </cell>
          <cell r="C6">
            <v>0.42</v>
          </cell>
        </row>
        <row r="7">
          <cell r="A7" t="str">
            <v>St. Helena</v>
          </cell>
        </row>
        <row r="8">
          <cell r="A8" t="str">
            <v>Botswana</v>
          </cell>
        </row>
        <row r="9">
          <cell r="A9" t="str">
            <v>Rwanda</v>
          </cell>
        </row>
        <row r="10">
          <cell r="A10" t="str">
            <v>Singapore</v>
          </cell>
          <cell r="B10">
            <v>0.71</v>
          </cell>
          <cell r="C10">
            <v>0.28999999999999998</v>
          </cell>
        </row>
        <row r="11">
          <cell r="A11" t="str">
            <v>Eswatini</v>
          </cell>
        </row>
        <row r="12">
          <cell r="A12" t="str">
            <v>Hong Kong</v>
          </cell>
          <cell r="B12">
            <v>0.68</v>
          </cell>
          <cell r="C12">
            <v>0.32</v>
          </cell>
        </row>
        <row r="13">
          <cell r="A13" t="str">
            <v>Angola</v>
          </cell>
        </row>
        <row r="14">
          <cell r="A14" t="str">
            <v>Zimbabwe</v>
          </cell>
        </row>
        <row r="15">
          <cell r="A15" t="str">
            <v>India</v>
          </cell>
          <cell r="B15">
            <v>0.88</v>
          </cell>
          <cell r="C15">
            <v>0.12</v>
          </cell>
        </row>
        <row r="16">
          <cell r="A16" t="str">
            <v>Papua New Guinea</v>
          </cell>
        </row>
        <row r="17">
          <cell r="A17" t="str">
            <v>Ethiopia</v>
          </cell>
        </row>
        <row r="18">
          <cell r="A18" t="str">
            <v>Cameroon</v>
          </cell>
        </row>
        <row r="19">
          <cell r="A19" t="str">
            <v>Luxembourg</v>
          </cell>
        </row>
        <row r="20">
          <cell r="A20" t="str">
            <v>Nepal</v>
          </cell>
        </row>
        <row r="21">
          <cell r="A21" t="str">
            <v>Israel</v>
          </cell>
          <cell r="B21">
            <v>0.71</v>
          </cell>
          <cell r="C21">
            <v>0.28999999999999998</v>
          </cell>
        </row>
        <row r="22">
          <cell r="A22" t="str">
            <v>Namibia</v>
          </cell>
        </row>
        <row r="23">
          <cell r="A23" t="str">
            <v>Malta</v>
          </cell>
        </row>
        <row r="24">
          <cell r="A24" t="str">
            <v>Congo - Kinshasa</v>
          </cell>
        </row>
        <row r="25">
          <cell r="A25" t="str">
            <v>Madagascar</v>
          </cell>
        </row>
        <row r="26">
          <cell r="A26" t="str">
            <v>Isle of Man</v>
          </cell>
        </row>
        <row r="27">
          <cell r="A27" t="str">
            <v>Iceland</v>
          </cell>
        </row>
        <row r="28">
          <cell r="A28" t="str">
            <v>Ghana</v>
          </cell>
        </row>
        <row r="29">
          <cell r="A29" t="str">
            <v>Czechia</v>
          </cell>
          <cell r="B29">
            <v>0.93</v>
          </cell>
          <cell r="C29">
            <v>7.0000000000000007E-2</v>
          </cell>
        </row>
        <row r="30">
          <cell r="A30" t="str">
            <v>Mauritius</v>
          </cell>
        </row>
        <row r="31">
          <cell r="A31" t="str">
            <v>Switzerland</v>
          </cell>
          <cell r="B31">
            <v>0.8</v>
          </cell>
          <cell r="C31">
            <v>0.2</v>
          </cell>
        </row>
        <row r="32">
          <cell r="A32" t="str">
            <v>Taiwan</v>
          </cell>
          <cell r="B32">
            <v>0.71</v>
          </cell>
          <cell r="C32">
            <v>0.28999999999999998</v>
          </cell>
        </row>
        <row r="33">
          <cell r="A33" t="str">
            <v>Somalia</v>
          </cell>
        </row>
        <row r="34">
          <cell r="A34" t="str">
            <v>Bolivia</v>
          </cell>
        </row>
        <row r="35">
          <cell r="A35" t="str">
            <v>Macao</v>
          </cell>
        </row>
        <row r="36">
          <cell r="A36" t="str">
            <v>Uruguay</v>
          </cell>
        </row>
        <row r="37">
          <cell r="A37" t="str">
            <v>Estonia</v>
          </cell>
        </row>
        <row r="38">
          <cell r="A38" t="str">
            <v>Ireland</v>
          </cell>
          <cell r="B38">
            <v>0.86</v>
          </cell>
          <cell r="C38">
            <v>0.14000000000000001</v>
          </cell>
        </row>
        <row r="39">
          <cell r="A39" t="str">
            <v>Myanmar (Burma)</v>
          </cell>
        </row>
        <row r="40">
          <cell r="A40" t="str">
            <v>Tunisia</v>
          </cell>
          <cell r="B40">
            <v>0.89</v>
          </cell>
          <cell r="C40">
            <v>0.11</v>
          </cell>
        </row>
        <row r="41">
          <cell r="A41" t="str">
            <v>Guam</v>
          </cell>
        </row>
        <row r="42">
          <cell r="A42" t="str">
            <v>Afghanistan</v>
          </cell>
        </row>
        <row r="43">
          <cell r="A43" t="str">
            <v>Japan</v>
          </cell>
          <cell r="B43">
            <v>0.56999999999999995</v>
          </cell>
          <cell r="C43">
            <v>0.43</v>
          </cell>
        </row>
        <row r="44">
          <cell r="A44" t="str">
            <v>Finland</v>
          </cell>
          <cell r="B44">
            <v>0.84</v>
          </cell>
          <cell r="C44">
            <v>0.16</v>
          </cell>
        </row>
        <row r="45">
          <cell r="A45" t="str">
            <v>Germany</v>
          </cell>
          <cell r="B45">
            <v>0.85</v>
          </cell>
          <cell r="C45">
            <v>0.15</v>
          </cell>
        </row>
        <row r="46">
          <cell r="A46" t="str">
            <v>Sri Lanka</v>
          </cell>
        </row>
        <row r="47">
          <cell r="A47" t="str">
            <v>New Zealand</v>
          </cell>
          <cell r="B47">
            <v>0.86</v>
          </cell>
          <cell r="C47">
            <v>0.14000000000000001</v>
          </cell>
        </row>
        <row r="48">
          <cell r="A48" t="str">
            <v>Norway</v>
          </cell>
          <cell r="B48">
            <v>0.87</v>
          </cell>
          <cell r="C48">
            <v>0.13</v>
          </cell>
        </row>
        <row r="49">
          <cell r="A49" t="str">
            <v>Sweden</v>
          </cell>
          <cell r="B49">
            <v>0.83</v>
          </cell>
          <cell r="C49">
            <v>0.17</v>
          </cell>
        </row>
        <row r="50">
          <cell r="A50" t="str">
            <v>Mozambique</v>
          </cell>
        </row>
        <row r="51">
          <cell r="A51" t="str">
            <v>Uganda</v>
          </cell>
        </row>
        <row r="52">
          <cell r="A52" t="str">
            <v>Liberia</v>
          </cell>
        </row>
        <row r="53">
          <cell r="A53" t="str">
            <v>Malawi</v>
          </cell>
        </row>
        <row r="54">
          <cell r="A54" t="str">
            <v>Austria</v>
          </cell>
          <cell r="B54">
            <v>0.86</v>
          </cell>
          <cell r="C54">
            <v>0.14000000000000001</v>
          </cell>
        </row>
        <row r="55">
          <cell r="A55" t="str">
            <v>Brunei</v>
          </cell>
        </row>
        <row r="56">
          <cell r="A56" t="str">
            <v>Senegal</v>
          </cell>
        </row>
        <row r="57">
          <cell r="A57" t="str">
            <v>Slovenia</v>
          </cell>
        </row>
        <row r="58">
          <cell r="A58" t="str">
            <v>Cape Verde</v>
          </cell>
        </row>
        <row r="59">
          <cell r="A59" t="str">
            <v>Australia</v>
          </cell>
          <cell r="B59">
            <v>0.85</v>
          </cell>
          <cell r="C59">
            <v>0.15</v>
          </cell>
        </row>
        <row r="60">
          <cell r="A60" t="str">
            <v>Bhutan</v>
          </cell>
        </row>
        <row r="61">
          <cell r="A61" t="str">
            <v>Netherlands</v>
          </cell>
          <cell r="B61">
            <v>0.84</v>
          </cell>
          <cell r="C61">
            <v>0.16</v>
          </cell>
        </row>
        <row r="62">
          <cell r="A62" t="str">
            <v>Panama</v>
          </cell>
        </row>
        <row r="63">
          <cell r="A63" t="str">
            <v>Philippines</v>
          </cell>
          <cell r="B63">
            <v>0.95</v>
          </cell>
          <cell r="C63">
            <v>0.05</v>
          </cell>
        </row>
        <row r="64">
          <cell r="A64" t="str">
            <v>Cayman Islands</v>
          </cell>
        </row>
        <row r="65">
          <cell r="A65" t="str">
            <v>Slovakia</v>
          </cell>
          <cell r="B65">
            <v>0.91</v>
          </cell>
          <cell r="C65">
            <v>0.09</v>
          </cell>
        </row>
        <row r="66">
          <cell r="A66" t="str">
            <v>United States</v>
          </cell>
          <cell r="B66">
            <v>0.79</v>
          </cell>
          <cell r="C66">
            <v>0.21</v>
          </cell>
        </row>
        <row r="67">
          <cell r="A67" t="str">
            <v>Burundi</v>
          </cell>
        </row>
        <row r="68">
          <cell r="A68" t="str">
            <v>Barbados</v>
          </cell>
        </row>
        <row r="69">
          <cell r="A69" t="str">
            <v>Canada</v>
          </cell>
          <cell r="B69">
            <v>0.8</v>
          </cell>
          <cell r="C69">
            <v>0.2</v>
          </cell>
        </row>
        <row r="70">
          <cell r="A70" t="str">
            <v>Jamaica</v>
          </cell>
        </row>
        <row r="71">
          <cell r="A71" t="str">
            <v>Costa Rica</v>
          </cell>
        </row>
        <row r="72">
          <cell r="A72" t="str">
            <v>Mongolia</v>
          </cell>
        </row>
        <row r="73">
          <cell r="A73" t="str">
            <v>Portugal</v>
          </cell>
          <cell r="B73">
            <v>0.9</v>
          </cell>
          <cell r="C73">
            <v>0.1</v>
          </cell>
        </row>
        <row r="74">
          <cell r="A74" t="str">
            <v>Laos</v>
          </cell>
        </row>
        <row r="75">
          <cell r="A75" t="str">
            <v>Lebanon</v>
          </cell>
        </row>
        <row r="76">
          <cell r="A76" t="str">
            <v>Kenya</v>
          </cell>
        </row>
        <row r="77">
          <cell r="A77" t="str">
            <v>Fiji</v>
          </cell>
        </row>
        <row r="78">
          <cell r="A78" t="str">
            <v>Benin</v>
          </cell>
        </row>
        <row r="79">
          <cell r="A79" t="str">
            <v>Hungary</v>
          </cell>
          <cell r="B79">
            <v>0.88</v>
          </cell>
          <cell r="C79">
            <v>0.12</v>
          </cell>
        </row>
        <row r="80">
          <cell r="A80" t="str">
            <v>United Kingdom</v>
          </cell>
          <cell r="B80">
            <v>0.82</v>
          </cell>
          <cell r="C80">
            <v>0.18</v>
          </cell>
        </row>
        <row r="81">
          <cell r="A81" t="str">
            <v>Trinidad &amp; Tobago</v>
          </cell>
        </row>
        <row r="82">
          <cell r="A82" t="str">
            <v>Belgium</v>
          </cell>
          <cell r="B82">
            <v>0.86</v>
          </cell>
          <cell r="C82">
            <v>0.14000000000000001</v>
          </cell>
        </row>
        <row r="83">
          <cell r="A83" t="str">
            <v>Pakistan</v>
          </cell>
          <cell r="B83">
            <v>0.88</v>
          </cell>
          <cell r="C83">
            <v>0.12</v>
          </cell>
        </row>
        <row r="84">
          <cell r="A84" t="str">
            <v>Russia</v>
          </cell>
          <cell r="B84">
            <v>0.92</v>
          </cell>
          <cell r="C84">
            <v>0.08</v>
          </cell>
        </row>
        <row r="85">
          <cell r="A85" t="str">
            <v>Denmark</v>
          </cell>
          <cell r="B85">
            <v>0.83</v>
          </cell>
          <cell r="C85">
            <v>0.17</v>
          </cell>
        </row>
        <row r="86">
          <cell r="A86" t="str">
            <v>Honduras</v>
          </cell>
        </row>
        <row r="87">
          <cell r="A87" t="str">
            <v>Tanzania</v>
          </cell>
        </row>
        <row r="88">
          <cell r="A88" t="str">
            <v>United Arab Emirates</v>
          </cell>
          <cell r="B88">
            <v>0.91</v>
          </cell>
          <cell r="C88">
            <v>0.09</v>
          </cell>
        </row>
        <row r="89">
          <cell r="A89" t="str">
            <v>El Salvador</v>
          </cell>
        </row>
        <row r="90">
          <cell r="A90" t="str">
            <v>Cyprus</v>
          </cell>
        </row>
        <row r="91">
          <cell r="A91" t="str">
            <v>Ecuador</v>
          </cell>
        </row>
        <row r="92">
          <cell r="A92" t="str">
            <v>Spain</v>
          </cell>
          <cell r="B92">
            <v>0.89</v>
          </cell>
          <cell r="C92">
            <v>0.11</v>
          </cell>
        </row>
        <row r="93">
          <cell r="A93" t="str">
            <v>Jersey</v>
          </cell>
        </row>
        <row r="94">
          <cell r="A94" t="str">
            <v>Latvia</v>
          </cell>
        </row>
        <row r="95">
          <cell r="A95" t="str">
            <v>Bulgaria</v>
          </cell>
        </row>
        <row r="96">
          <cell r="A96" t="str">
            <v>Belarus</v>
          </cell>
        </row>
        <row r="97">
          <cell r="A97" t="str">
            <v>Sierra Leone</v>
          </cell>
        </row>
        <row r="98">
          <cell r="A98" t="str">
            <v>CÃ´te dâ€™Ivoire</v>
          </cell>
        </row>
        <row r="99">
          <cell r="A99" t="str">
            <v>Nicaragua</v>
          </cell>
        </row>
        <row r="100">
          <cell r="A100" t="str">
            <v>Poland</v>
          </cell>
          <cell r="B100">
            <v>0.92</v>
          </cell>
          <cell r="C100">
            <v>0.08</v>
          </cell>
        </row>
        <row r="101">
          <cell r="A101" t="str">
            <v>France</v>
          </cell>
          <cell r="B101">
            <v>0.83</v>
          </cell>
          <cell r="C101">
            <v>0.17</v>
          </cell>
        </row>
        <row r="102">
          <cell r="A102" t="str">
            <v>Malaysia</v>
          </cell>
          <cell r="B102">
            <v>0.87</v>
          </cell>
          <cell r="C102">
            <v>0.13</v>
          </cell>
        </row>
        <row r="103">
          <cell r="A103" t="str">
            <v>Croatia</v>
          </cell>
        </row>
        <row r="104">
          <cell r="A104" t="str">
            <v>Uzbekistan</v>
          </cell>
        </row>
        <row r="105">
          <cell r="A105" t="str">
            <v>Togo</v>
          </cell>
        </row>
        <row r="106">
          <cell r="A106" t="str">
            <v>Bangladesh</v>
          </cell>
          <cell r="B106">
            <v>0.9</v>
          </cell>
          <cell r="C106">
            <v>0.1</v>
          </cell>
        </row>
        <row r="107">
          <cell r="A107" t="str">
            <v>Colombia</v>
          </cell>
          <cell r="B107">
            <v>0.95</v>
          </cell>
          <cell r="C107">
            <v>0.05</v>
          </cell>
        </row>
        <row r="108">
          <cell r="A108" t="str">
            <v>Romania</v>
          </cell>
          <cell r="B108">
            <v>0.9</v>
          </cell>
          <cell r="C108">
            <v>0.1</v>
          </cell>
        </row>
        <row r="109">
          <cell r="A109" t="str">
            <v>CuraÃ§ao</v>
          </cell>
        </row>
        <row r="110">
          <cell r="A110" t="str">
            <v>Zambia</v>
          </cell>
        </row>
        <row r="111">
          <cell r="A111" t="str">
            <v>Argentina</v>
          </cell>
          <cell r="B111">
            <v>0.96</v>
          </cell>
          <cell r="C111">
            <v>0.04</v>
          </cell>
        </row>
        <row r="112">
          <cell r="A112" t="str">
            <v>Kosovo</v>
          </cell>
        </row>
        <row r="113">
          <cell r="A113" t="str">
            <v>Lithuania</v>
          </cell>
        </row>
        <row r="114">
          <cell r="A114" t="str">
            <v>Haiti</v>
          </cell>
        </row>
        <row r="115">
          <cell r="A115" t="str">
            <v>South Africa</v>
          </cell>
          <cell r="B115">
            <v>0.89</v>
          </cell>
          <cell r="C115">
            <v>0.11</v>
          </cell>
        </row>
        <row r="116">
          <cell r="A116" t="str">
            <v>Lesotho</v>
          </cell>
        </row>
        <row r="117">
          <cell r="A117" t="str">
            <v>Brazil</v>
          </cell>
          <cell r="B117">
            <v>0.95</v>
          </cell>
          <cell r="C117">
            <v>0.05</v>
          </cell>
        </row>
        <row r="118">
          <cell r="A118" t="str">
            <v>Dominican Republic</v>
          </cell>
        </row>
        <row r="119">
          <cell r="A119" t="str">
            <v>Italy</v>
          </cell>
          <cell r="B119">
            <v>0.9</v>
          </cell>
          <cell r="C119">
            <v>0.1</v>
          </cell>
        </row>
        <row r="120">
          <cell r="A120" t="str">
            <v>Mexico</v>
          </cell>
          <cell r="B120">
            <v>0.96</v>
          </cell>
          <cell r="C120">
            <v>0.04</v>
          </cell>
        </row>
        <row r="121">
          <cell r="A121" t="str">
            <v>Mali</v>
          </cell>
        </row>
        <row r="122">
          <cell r="A122" t="str">
            <v>Albania</v>
          </cell>
        </row>
        <row r="123">
          <cell r="A123" t="str">
            <v>Guyana</v>
          </cell>
        </row>
        <row r="124">
          <cell r="A124" t="str">
            <v>Nigeria</v>
          </cell>
        </row>
        <row r="125">
          <cell r="A125" t="str">
            <v>Qatar</v>
          </cell>
        </row>
        <row r="126">
          <cell r="A126" t="str">
            <v>Morocco</v>
          </cell>
        </row>
        <row r="127">
          <cell r="A127" t="str">
            <v>Indonesia</v>
          </cell>
          <cell r="B127">
            <v>0.95</v>
          </cell>
          <cell r="C127">
            <v>0.05</v>
          </cell>
        </row>
        <row r="128">
          <cell r="A128" t="str">
            <v>North Macedonia</v>
          </cell>
        </row>
        <row r="129">
          <cell r="A129" t="str">
            <v>Sudan</v>
          </cell>
        </row>
        <row r="130">
          <cell r="A130" t="str">
            <v>Ukraine</v>
          </cell>
          <cell r="B130">
            <v>0.95</v>
          </cell>
          <cell r="C130">
            <v>0.05</v>
          </cell>
        </row>
        <row r="131">
          <cell r="A131" t="str">
            <v>Oman</v>
          </cell>
        </row>
        <row r="132">
          <cell r="A132" t="str">
            <v>Serbia</v>
          </cell>
          <cell r="B132">
            <v>0.87</v>
          </cell>
          <cell r="C132">
            <v>0.13</v>
          </cell>
        </row>
        <row r="133">
          <cell r="A133" t="str">
            <v>Peru</v>
          </cell>
          <cell r="B133">
            <v>0.95</v>
          </cell>
          <cell r="C133">
            <v>0.05</v>
          </cell>
        </row>
        <row r="134">
          <cell r="A134" t="str">
            <v>Greece</v>
          </cell>
          <cell r="B134">
            <v>0.83</v>
          </cell>
          <cell r="C134">
            <v>0.17</v>
          </cell>
        </row>
        <row r="135">
          <cell r="A135" t="str">
            <v>Turkmenistan</v>
          </cell>
        </row>
        <row r="136">
          <cell r="A136" t="str">
            <v>Guatemala</v>
          </cell>
        </row>
        <row r="137">
          <cell r="A137" t="str">
            <v>Bahrain</v>
          </cell>
        </row>
        <row r="138">
          <cell r="A138" t="str">
            <v>Suriname</v>
          </cell>
        </row>
        <row r="139">
          <cell r="A139" t="str">
            <v>RÃ©union</v>
          </cell>
        </row>
        <row r="140">
          <cell r="A140" t="str">
            <v>Armenia</v>
          </cell>
        </row>
        <row r="141">
          <cell r="A141" t="str">
            <v>Iran</v>
          </cell>
          <cell r="B141">
            <v>0.78</v>
          </cell>
          <cell r="C141">
            <v>0.22</v>
          </cell>
        </row>
        <row r="142">
          <cell r="A142" t="str">
            <v>Paraguay</v>
          </cell>
        </row>
        <row r="143">
          <cell r="A143" t="str">
            <v>Chile</v>
          </cell>
          <cell r="B143">
            <v>0.92</v>
          </cell>
          <cell r="C143">
            <v>0.08</v>
          </cell>
        </row>
        <row r="144">
          <cell r="A144" t="str">
            <v>Guinea</v>
          </cell>
        </row>
        <row r="145">
          <cell r="A145" t="str">
            <v>Jordan</v>
          </cell>
        </row>
        <row r="146">
          <cell r="A146" t="str">
            <v>Moldova</v>
          </cell>
        </row>
        <row r="147">
          <cell r="A147" t="str">
            <v>Kazakhstan</v>
          </cell>
        </row>
        <row r="148">
          <cell r="A148" t="str">
            <v>Maldives</v>
          </cell>
        </row>
        <row r="149">
          <cell r="A149" t="str">
            <v>Martinique</v>
          </cell>
        </row>
        <row r="150">
          <cell r="A150" t="str">
            <v>Bosnia &amp; Herzegovina</v>
          </cell>
        </row>
        <row r="151">
          <cell r="A151" t="str">
            <v>Puerto Rico</v>
          </cell>
        </row>
        <row r="152">
          <cell r="A152" t="str">
            <v>Burkina Faso</v>
          </cell>
        </row>
        <row r="153">
          <cell r="A153" t="str">
            <v>Bahamas</v>
          </cell>
        </row>
        <row r="154">
          <cell r="A154" t="str">
            <v>Tajikistan</v>
          </cell>
        </row>
        <row r="155">
          <cell r="A155" t="str">
            <v>Venezuela</v>
          </cell>
        </row>
        <row r="156">
          <cell r="A156" t="str">
            <v>Libya</v>
          </cell>
        </row>
        <row r="157">
          <cell r="A157" t="str">
            <v>Yemen</v>
          </cell>
        </row>
        <row r="158">
          <cell r="A158" t="str">
            <v>Thailand</v>
          </cell>
          <cell r="B158">
            <v>0.87</v>
          </cell>
          <cell r="C158">
            <v>0.13</v>
          </cell>
        </row>
        <row r="159">
          <cell r="A159" t="str">
            <v>Algeria</v>
          </cell>
          <cell r="B159">
            <v>0.89</v>
          </cell>
          <cell r="C159">
            <v>0.11</v>
          </cell>
        </row>
        <row r="160">
          <cell r="A160" t="str">
            <v>Cambodia</v>
          </cell>
        </row>
        <row r="161">
          <cell r="A161" t="str">
            <v>Guadeloupe</v>
          </cell>
        </row>
        <row r="162">
          <cell r="A162" t="str">
            <v>Kuwait</v>
          </cell>
        </row>
        <row r="163">
          <cell r="A163" t="str">
            <v>Vietnam</v>
          </cell>
          <cell r="B163">
            <v>0.77</v>
          </cell>
          <cell r="C163">
            <v>0.23</v>
          </cell>
        </row>
        <row r="164">
          <cell r="A164" t="str">
            <v>Azerbaijan</v>
          </cell>
        </row>
        <row r="165">
          <cell r="A165" t="str">
            <v>Egypt</v>
          </cell>
          <cell r="B165">
            <v>0.81</v>
          </cell>
          <cell r="C165">
            <v>0.19</v>
          </cell>
        </row>
        <row r="166">
          <cell r="A166" t="str">
            <v>Saudi Arabia</v>
          </cell>
          <cell r="B166">
            <v>0.89</v>
          </cell>
          <cell r="C166">
            <v>0.11</v>
          </cell>
        </row>
        <row r="167">
          <cell r="A167" t="str">
            <v>Syria</v>
          </cell>
        </row>
        <row r="168">
          <cell r="A168" t="str">
            <v>Montenegro</v>
          </cell>
        </row>
        <row r="169">
          <cell r="A169" t="str">
            <v>Georgia</v>
          </cell>
        </row>
        <row r="170">
          <cell r="A170" t="str">
            <v>Turkey</v>
          </cell>
          <cell r="B170">
            <v>0.85</v>
          </cell>
          <cell r="C170">
            <v>0.15</v>
          </cell>
        </row>
        <row r="171">
          <cell r="A171" t="str">
            <v>Palestine</v>
          </cell>
        </row>
        <row r="172">
          <cell r="A172" t="str">
            <v>Kyrgyzstan</v>
          </cell>
        </row>
        <row r="173">
          <cell r="A173" t="str">
            <v>Iraq</v>
          </cell>
        </row>
        <row r="174">
          <cell r="A174" t="str">
            <v>Nauru</v>
          </cell>
        </row>
        <row r="175">
          <cell r="A175" t="str">
            <v>Palau</v>
          </cell>
        </row>
        <row r="176">
          <cell r="A176" t="str">
            <v>Eritrea</v>
          </cell>
        </row>
        <row r="177">
          <cell r="A177" t="str">
            <v>Cook Islands</v>
          </cell>
        </row>
        <row r="178">
          <cell r="A178" t="str">
            <v>SÃ£o TomÃ© &amp; PrÃ­ncipe</v>
          </cell>
        </row>
        <row r="179">
          <cell r="A179" t="str">
            <v>St. Pierre &amp; Miquelon</v>
          </cell>
        </row>
        <row r="180">
          <cell r="A180" t="str">
            <v>Micronesia</v>
          </cell>
        </row>
        <row r="181">
          <cell r="A181" t="str">
            <v>Guinea-Bissau</v>
          </cell>
        </row>
        <row r="182">
          <cell r="A182" t="str">
            <v>Ã…land Islands</v>
          </cell>
        </row>
        <row r="183">
          <cell r="A183" t="str">
            <v>Vanuatu</v>
          </cell>
        </row>
        <row r="184">
          <cell r="A184" t="str">
            <v>San Marino</v>
          </cell>
        </row>
        <row r="185">
          <cell r="A185" t="str">
            <v>Central African Republic</v>
          </cell>
        </row>
        <row r="186">
          <cell r="A186" t="str">
            <v>Gibraltar</v>
          </cell>
        </row>
        <row r="187">
          <cell r="A187" t="str">
            <v>St. Vincent &amp; Grenadines</v>
          </cell>
        </row>
        <row r="188">
          <cell r="A188" t="str">
            <v>Comoros</v>
          </cell>
        </row>
        <row r="189">
          <cell r="A189" t="str">
            <v>Greenland</v>
          </cell>
        </row>
        <row r="190">
          <cell r="A190" t="str">
            <v>Liechtenstein</v>
          </cell>
        </row>
        <row r="191">
          <cell r="A191" t="str">
            <v>Antigua &amp; Barbuda</v>
          </cell>
        </row>
        <row r="192">
          <cell r="A192" t="str">
            <v>Monaco</v>
          </cell>
        </row>
        <row r="193">
          <cell r="A193" t="str">
            <v>Djibouti</v>
          </cell>
        </row>
        <row r="194">
          <cell r="A194" t="str">
            <v>Faroe Islands</v>
          </cell>
        </row>
        <row r="195">
          <cell r="A195" t="str">
            <v>Caribbean Netherlands</v>
          </cell>
        </row>
        <row r="196">
          <cell r="A196" t="str">
            <v>Congo - Brazzaville</v>
          </cell>
        </row>
        <row r="197">
          <cell r="A197" t="str">
            <v>Grenada</v>
          </cell>
        </row>
        <row r="198">
          <cell r="A198" t="str">
            <v>Samoa</v>
          </cell>
        </row>
        <row r="199">
          <cell r="A199" t="str">
            <v>Equatorial Guinea</v>
          </cell>
        </row>
        <row r="200">
          <cell r="A200" t="str">
            <v>Solomon Islands</v>
          </cell>
        </row>
        <row r="201">
          <cell r="A201" t="str">
            <v>St. Kitts &amp; Nevis</v>
          </cell>
        </row>
        <row r="202">
          <cell r="A202" t="str">
            <v>Sint Maarten</v>
          </cell>
        </row>
        <row r="203">
          <cell r="A203" t="str">
            <v>Belize</v>
          </cell>
        </row>
        <row r="204">
          <cell r="A204" t="str">
            <v>Chad</v>
          </cell>
        </row>
        <row r="205">
          <cell r="A205" t="str">
            <v>U.S. Virgin Islands</v>
          </cell>
        </row>
        <row r="206">
          <cell r="A206" t="str">
            <v>Andorra</v>
          </cell>
        </row>
        <row r="207">
          <cell r="A207" t="str">
            <v>British Virgin Islands</v>
          </cell>
        </row>
        <row r="208">
          <cell r="A208" t="str">
            <v>French Guiana</v>
          </cell>
        </row>
        <row r="209">
          <cell r="A209" t="str">
            <v>Timor-Leste</v>
          </cell>
        </row>
        <row r="210">
          <cell r="A210" t="str">
            <v>Northern Mariana Islands</v>
          </cell>
        </row>
        <row r="211">
          <cell r="A211" t="str">
            <v>Seychelles</v>
          </cell>
        </row>
        <row r="212">
          <cell r="A212" t="str">
            <v>St. Lucia</v>
          </cell>
        </row>
        <row r="213">
          <cell r="A213" t="str">
            <v>Turks &amp; Caicos Islands</v>
          </cell>
        </row>
        <row r="214">
          <cell r="A214" t="str">
            <v>Guernsey</v>
          </cell>
        </row>
        <row r="215">
          <cell r="A215" t="str">
            <v>French Polynesia</v>
          </cell>
        </row>
        <row r="216">
          <cell r="A216" t="str">
            <v>Niger</v>
          </cell>
        </row>
        <row r="217">
          <cell r="A217" t="str">
            <v>Gambia</v>
          </cell>
        </row>
        <row r="218">
          <cell r="A218" t="str">
            <v>St. Martin</v>
          </cell>
        </row>
        <row r="219">
          <cell r="A219" t="str">
            <v>Aruba</v>
          </cell>
        </row>
        <row r="220">
          <cell r="A220" t="str">
            <v>Dominica</v>
          </cell>
        </row>
        <row r="221">
          <cell r="A221" t="str">
            <v>Gabon</v>
          </cell>
        </row>
        <row r="222">
          <cell r="A222" t="str">
            <v>South Sudan</v>
          </cell>
        </row>
        <row r="223">
          <cell r="A223" t="str">
            <v>New Caledonia</v>
          </cell>
        </row>
        <row r="224">
          <cell r="A224" t="str">
            <v>Bermuda</v>
          </cell>
        </row>
        <row r="225">
          <cell r="A225" t="str">
            <v>Mayotte</v>
          </cell>
        </row>
        <row r="226">
          <cell r="A226" t="str">
            <v>Mauritania</v>
          </cell>
        </row>
        <row r="227">
          <cell r="A227" t="str">
            <v>Anguilla</v>
          </cell>
        </row>
        <row r="228">
          <cell r="A228" t="str">
            <v>American Samoa</v>
          </cell>
        </row>
        <row r="229">
          <cell r="A229" t="str">
            <v>Antarctica</v>
          </cell>
        </row>
        <row r="230">
          <cell r="A230" t="str">
            <v>French Southern Territories</v>
          </cell>
        </row>
        <row r="231">
          <cell r="A231" t="str">
            <v>St. BarthÃ©lemy</v>
          </cell>
        </row>
        <row r="232">
          <cell r="A232" t="str">
            <v>Bouvet Island</v>
          </cell>
        </row>
        <row r="233">
          <cell r="A233" t="str">
            <v>Cocos (Keeling) Islands</v>
          </cell>
        </row>
        <row r="234">
          <cell r="A234" t="str">
            <v>Christmas Island</v>
          </cell>
        </row>
        <row r="235">
          <cell r="A235" t="str">
            <v>Western Sahara</v>
          </cell>
        </row>
        <row r="236">
          <cell r="A236" t="str">
            <v>Falkland Islands (Islas Malvinas)</v>
          </cell>
        </row>
        <row r="237">
          <cell r="A237" t="str">
            <v>Heard &amp; McDonald Islands</v>
          </cell>
        </row>
        <row r="238">
          <cell r="A238" t="str">
            <v>British Indian Ocean Territory</v>
          </cell>
        </row>
        <row r="239">
          <cell r="A239" t="str">
            <v>Kiribati</v>
          </cell>
        </row>
        <row r="240">
          <cell r="A240" t="str">
            <v>Marshall Islands</v>
          </cell>
        </row>
        <row r="241">
          <cell r="A241" t="str">
            <v>Montserrat</v>
          </cell>
        </row>
        <row r="242">
          <cell r="A242" t="str">
            <v>Norfolk Island</v>
          </cell>
        </row>
        <row r="243">
          <cell r="A243" t="str">
            <v>Niue</v>
          </cell>
        </row>
        <row r="244">
          <cell r="A244" t="str">
            <v>Pitcairn Islands</v>
          </cell>
        </row>
        <row r="245">
          <cell r="A245" t="str">
            <v>North Korea</v>
          </cell>
        </row>
        <row r="246">
          <cell r="A246" t="str">
            <v>South Georgia &amp; South Sandwich Islands</v>
          </cell>
        </row>
        <row r="247">
          <cell r="A247" t="str">
            <v>Svalbard &amp; Jan Mayen</v>
          </cell>
        </row>
        <row r="248">
          <cell r="A248" t="str">
            <v>Tokelau</v>
          </cell>
        </row>
        <row r="249">
          <cell r="A249" t="str">
            <v>Tonga</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2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33)"/>
    </sheetNames>
    <sheetDataSet>
      <sheetData sheetId="0">
        <row r="1">
          <cell r="A1" t="str">
            <v>Category: All categories</v>
          </cell>
        </row>
        <row r="3">
          <cell r="A3" t="str">
            <v>Country</v>
          </cell>
          <cell r="B3" t="str">
            <v>Design thinking: (2016)</v>
          </cell>
          <cell r="C3" t="str">
            <v>Null pointer: (2016)</v>
          </cell>
        </row>
        <row r="4">
          <cell r="A4" t="str">
            <v>China</v>
          </cell>
          <cell r="B4">
            <v>0.1</v>
          </cell>
          <cell r="C4">
            <v>0.9</v>
          </cell>
        </row>
        <row r="5">
          <cell r="A5" t="str">
            <v>Singapore</v>
          </cell>
          <cell r="B5">
            <v>0.59</v>
          </cell>
          <cell r="C5">
            <v>0.41</v>
          </cell>
        </row>
        <row r="6">
          <cell r="A6" t="str">
            <v>St. Helena</v>
          </cell>
          <cell r="B6">
            <v>0.52</v>
          </cell>
          <cell r="C6">
            <v>0.48</v>
          </cell>
        </row>
        <row r="7">
          <cell r="A7" t="str">
            <v>India</v>
          </cell>
          <cell r="B7">
            <v>0.18</v>
          </cell>
          <cell r="C7">
            <v>0.82</v>
          </cell>
        </row>
        <row r="8">
          <cell r="A8" t="str">
            <v>Ireland</v>
          </cell>
          <cell r="B8">
            <v>0.35</v>
          </cell>
          <cell r="C8">
            <v>0.65</v>
          </cell>
        </row>
        <row r="9">
          <cell r="A9" t="str">
            <v>Sri Lanka</v>
          </cell>
        </row>
        <row r="10">
          <cell r="A10" t="str">
            <v>Peru</v>
          </cell>
          <cell r="B10">
            <v>0.88</v>
          </cell>
          <cell r="C10">
            <v>0.12</v>
          </cell>
        </row>
        <row r="11">
          <cell r="A11" t="str">
            <v>Nepal</v>
          </cell>
        </row>
        <row r="12">
          <cell r="A12" t="str">
            <v>Hong Kong</v>
          </cell>
          <cell r="B12">
            <v>0.41</v>
          </cell>
          <cell r="C12">
            <v>0.59</v>
          </cell>
        </row>
        <row r="13">
          <cell r="A13" t="str">
            <v>Switzerland</v>
          </cell>
          <cell r="B13">
            <v>0.66</v>
          </cell>
          <cell r="C13">
            <v>0.34</v>
          </cell>
        </row>
        <row r="14">
          <cell r="A14" t="str">
            <v>Estonia</v>
          </cell>
        </row>
        <row r="15">
          <cell r="A15" t="str">
            <v>Denmark</v>
          </cell>
          <cell r="B15">
            <v>0.73</v>
          </cell>
          <cell r="C15">
            <v>0.27</v>
          </cell>
        </row>
        <row r="16">
          <cell r="A16" t="str">
            <v>Israel</v>
          </cell>
          <cell r="B16">
            <v>0.12</v>
          </cell>
          <cell r="C16">
            <v>0.88</v>
          </cell>
        </row>
        <row r="17">
          <cell r="A17" t="str">
            <v>Germany</v>
          </cell>
          <cell r="B17">
            <v>0.68</v>
          </cell>
          <cell r="C17">
            <v>0.32</v>
          </cell>
        </row>
        <row r="18">
          <cell r="A18" t="str">
            <v>Philippines</v>
          </cell>
          <cell r="B18">
            <v>0.19</v>
          </cell>
          <cell r="C18">
            <v>0.81</v>
          </cell>
        </row>
        <row r="19">
          <cell r="A19" t="str">
            <v>New Zealand</v>
          </cell>
          <cell r="B19">
            <v>0.5</v>
          </cell>
          <cell r="C19">
            <v>0.5</v>
          </cell>
        </row>
        <row r="20">
          <cell r="A20" t="str">
            <v>Canada</v>
          </cell>
          <cell r="B20">
            <v>0.34</v>
          </cell>
          <cell r="C20">
            <v>0.66</v>
          </cell>
        </row>
        <row r="21">
          <cell r="A21" t="str">
            <v>Australia</v>
          </cell>
          <cell r="B21">
            <v>0.56000000000000005</v>
          </cell>
          <cell r="C21">
            <v>0.44</v>
          </cell>
        </row>
        <row r="22">
          <cell r="A22" t="str">
            <v>United States</v>
          </cell>
          <cell r="B22">
            <v>0.3</v>
          </cell>
          <cell r="C22">
            <v>0.7</v>
          </cell>
        </row>
        <row r="23">
          <cell r="A23" t="str">
            <v>South Korea</v>
          </cell>
          <cell r="B23">
            <v>0.43</v>
          </cell>
          <cell r="C23">
            <v>0.56999999999999995</v>
          </cell>
        </row>
        <row r="24">
          <cell r="A24" t="str">
            <v>Rwanda</v>
          </cell>
        </row>
        <row r="25">
          <cell r="A25" t="str">
            <v>North Macedonia</v>
          </cell>
        </row>
        <row r="26">
          <cell r="A26" t="str">
            <v>Brazil</v>
          </cell>
          <cell r="B26">
            <v>0.87</v>
          </cell>
          <cell r="C26">
            <v>0.13</v>
          </cell>
        </row>
        <row r="27">
          <cell r="A27" t="str">
            <v>Finland</v>
          </cell>
          <cell r="B27">
            <v>0.38</v>
          </cell>
          <cell r="C27">
            <v>0.62</v>
          </cell>
        </row>
        <row r="28">
          <cell r="A28" t="str">
            <v>Taiwan</v>
          </cell>
          <cell r="B28">
            <v>0.76</v>
          </cell>
          <cell r="C28">
            <v>0.24</v>
          </cell>
        </row>
        <row r="29">
          <cell r="A29" t="str">
            <v>Netherlands</v>
          </cell>
          <cell r="B29">
            <v>0.61</v>
          </cell>
          <cell r="C29">
            <v>0.39</v>
          </cell>
        </row>
        <row r="30">
          <cell r="A30" t="str">
            <v>Colombia</v>
          </cell>
          <cell r="B30">
            <v>0.85</v>
          </cell>
          <cell r="C30">
            <v>0.15</v>
          </cell>
        </row>
        <row r="31">
          <cell r="A31" t="str">
            <v>Pakistan</v>
          </cell>
          <cell r="B31">
            <v>0.14000000000000001</v>
          </cell>
          <cell r="C31">
            <v>0.86</v>
          </cell>
        </row>
        <row r="32">
          <cell r="A32" t="str">
            <v>United Kingdom</v>
          </cell>
          <cell r="B32">
            <v>0.26</v>
          </cell>
          <cell r="C32">
            <v>0.74</v>
          </cell>
        </row>
        <row r="33">
          <cell r="A33" t="str">
            <v>Lithuania</v>
          </cell>
        </row>
        <row r="34">
          <cell r="A34" t="str">
            <v>Portugal</v>
          </cell>
          <cell r="B34">
            <v>0.62</v>
          </cell>
          <cell r="C34">
            <v>0.38</v>
          </cell>
        </row>
        <row r="35">
          <cell r="A35" t="str">
            <v>Austria</v>
          </cell>
          <cell r="B35">
            <v>0.56000000000000005</v>
          </cell>
          <cell r="C35">
            <v>0.44</v>
          </cell>
        </row>
        <row r="36">
          <cell r="A36" t="str">
            <v>Chile</v>
          </cell>
          <cell r="B36">
            <v>0.8</v>
          </cell>
          <cell r="C36">
            <v>0.2</v>
          </cell>
        </row>
        <row r="37">
          <cell r="A37" t="str">
            <v>Sweden</v>
          </cell>
          <cell r="B37">
            <v>0.36</v>
          </cell>
          <cell r="C37">
            <v>0.64</v>
          </cell>
        </row>
        <row r="38">
          <cell r="A38" t="str">
            <v>Myanmar (Burma)</v>
          </cell>
        </row>
        <row r="39">
          <cell r="A39" t="str">
            <v>Norway</v>
          </cell>
          <cell r="B39">
            <v>0.57999999999999996</v>
          </cell>
          <cell r="C39">
            <v>0.42</v>
          </cell>
        </row>
        <row r="40">
          <cell r="A40" t="str">
            <v>Guatemala</v>
          </cell>
          <cell r="B40">
            <v>1</v>
          </cell>
        </row>
        <row r="41">
          <cell r="A41" t="str">
            <v>Romania</v>
          </cell>
          <cell r="B41">
            <v>0.14000000000000001</v>
          </cell>
          <cell r="C41">
            <v>0.86</v>
          </cell>
        </row>
        <row r="42">
          <cell r="A42" t="str">
            <v>United Arab Emirates</v>
          </cell>
          <cell r="B42">
            <v>0.57999999999999996</v>
          </cell>
          <cell r="C42">
            <v>0.42</v>
          </cell>
        </row>
        <row r="43">
          <cell r="A43" t="str">
            <v>El Salvador</v>
          </cell>
        </row>
        <row r="44">
          <cell r="A44" t="str">
            <v>Slovenia</v>
          </cell>
        </row>
        <row r="45">
          <cell r="A45" t="str">
            <v>Croatia</v>
          </cell>
          <cell r="B45">
            <v>0.33</v>
          </cell>
          <cell r="C45">
            <v>0.67</v>
          </cell>
        </row>
        <row r="46">
          <cell r="A46" t="str">
            <v>South Africa</v>
          </cell>
          <cell r="B46">
            <v>0.46</v>
          </cell>
          <cell r="C46">
            <v>0.54</v>
          </cell>
        </row>
        <row r="47">
          <cell r="A47" t="str">
            <v>Luxembourg</v>
          </cell>
        </row>
        <row r="48">
          <cell r="A48" t="str">
            <v>Honduras</v>
          </cell>
        </row>
        <row r="49">
          <cell r="A49" t="str">
            <v>Lebanon</v>
          </cell>
        </row>
        <row r="50">
          <cell r="A50" t="str">
            <v>Serbia</v>
          </cell>
        </row>
        <row r="51">
          <cell r="A51" t="str">
            <v>Spain</v>
          </cell>
          <cell r="B51">
            <v>0.73</v>
          </cell>
          <cell r="C51">
            <v>0.27</v>
          </cell>
        </row>
        <row r="52">
          <cell r="A52" t="str">
            <v>Costa Rica</v>
          </cell>
        </row>
        <row r="53">
          <cell r="A53" t="str">
            <v>Tunisia</v>
          </cell>
        </row>
        <row r="54">
          <cell r="A54" t="str">
            <v>Czechia</v>
          </cell>
          <cell r="B54">
            <v>0.22</v>
          </cell>
          <cell r="C54">
            <v>0.78</v>
          </cell>
        </row>
        <row r="55">
          <cell r="A55" t="str">
            <v>Bangladesh</v>
          </cell>
        </row>
        <row r="56">
          <cell r="A56" t="str">
            <v>Malaysia</v>
          </cell>
          <cell r="B56">
            <v>0.46</v>
          </cell>
          <cell r="C56">
            <v>0.54</v>
          </cell>
        </row>
        <row r="57">
          <cell r="A57" t="str">
            <v>Mexico</v>
          </cell>
          <cell r="B57">
            <v>0.69</v>
          </cell>
          <cell r="C57">
            <v>0.31</v>
          </cell>
        </row>
        <row r="58">
          <cell r="A58" t="str">
            <v>Kenya</v>
          </cell>
        </row>
        <row r="59">
          <cell r="A59" t="str">
            <v>Japan</v>
          </cell>
          <cell r="B59">
            <v>0.65</v>
          </cell>
          <cell r="C59">
            <v>0.35</v>
          </cell>
        </row>
        <row r="60">
          <cell r="A60" t="str">
            <v>France</v>
          </cell>
          <cell r="B60">
            <v>0.64</v>
          </cell>
          <cell r="C60">
            <v>0.36</v>
          </cell>
        </row>
        <row r="61">
          <cell r="A61" t="str">
            <v>Belgium</v>
          </cell>
          <cell r="B61">
            <v>0.38</v>
          </cell>
          <cell r="C61">
            <v>0.62</v>
          </cell>
        </row>
        <row r="62">
          <cell r="A62" t="str">
            <v>Vietnam</v>
          </cell>
          <cell r="B62">
            <v>0.09</v>
          </cell>
          <cell r="C62">
            <v>0.91</v>
          </cell>
        </row>
        <row r="63">
          <cell r="A63" t="str">
            <v>Bulgaria</v>
          </cell>
          <cell r="B63">
            <v>0.33</v>
          </cell>
          <cell r="C63">
            <v>0.67</v>
          </cell>
        </row>
        <row r="64">
          <cell r="A64" t="str">
            <v>Slovakia</v>
          </cell>
        </row>
        <row r="65">
          <cell r="A65" t="str">
            <v>Bosnia &amp; Herzegovina</v>
          </cell>
        </row>
        <row r="66">
          <cell r="A66" t="str">
            <v>Ecuador</v>
          </cell>
          <cell r="B66">
            <v>1</v>
          </cell>
        </row>
        <row r="67">
          <cell r="A67" t="str">
            <v>Latvia</v>
          </cell>
        </row>
        <row r="68">
          <cell r="A68" t="str">
            <v>Hungary</v>
          </cell>
        </row>
        <row r="69">
          <cell r="A69" t="str">
            <v>Ghana</v>
          </cell>
        </row>
        <row r="70">
          <cell r="A70" t="str">
            <v>Poland</v>
          </cell>
          <cell r="B70">
            <v>0.5</v>
          </cell>
          <cell r="C70">
            <v>0.5</v>
          </cell>
        </row>
        <row r="71">
          <cell r="A71" t="str">
            <v>Greece</v>
          </cell>
        </row>
        <row r="72">
          <cell r="A72" t="str">
            <v>Belarus</v>
          </cell>
        </row>
        <row r="73">
          <cell r="A73" t="str">
            <v>Uruguay</v>
          </cell>
        </row>
        <row r="74">
          <cell r="A74" t="str">
            <v>Egypt</v>
          </cell>
          <cell r="B74">
            <v>0.23</v>
          </cell>
          <cell r="C74">
            <v>0.77</v>
          </cell>
        </row>
        <row r="75">
          <cell r="A75" t="str">
            <v>Iran</v>
          </cell>
          <cell r="B75">
            <v>0.22</v>
          </cell>
          <cell r="C75">
            <v>0.78</v>
          </cell>
        </row>
        <row r="76">
          <cell r="A76" t="str">
            <v>Bolivia</v>
          </cell>
        </row>
        <row r="77">
          <cell r="A77" t="str">
            <v>Nicaragua</v>
          </cell>
        </row>
        <row r="78">
          <cell r="A78" t="str">
            <v>Argentina</v>
          </cell>
          <cell r="B78">
            <v>0.46</v>
          </cell>
          <cell r="C78">
            <v>0.54</v>
          </cell>
        </row>
        <row r="79">
          <cell r="A79" t="str">
            <v>Nigeria</v>
          </cell>
        </row>
        <row r="80">
          <cell r="A80" t="str">
            <v>Ukraine</v>
          </cell>
          <cell r="B80">
            <v>0.27</v>
          </cell>
          <cell r="C80">
            <v>0.73</v>
          </cell>
        </row>
        <row r="81">
          <cell r="A81" t="str">
            <v>Panama</v>
          </cell>
        </row>
        <row r="82">
          <cell r="A82" t="str">
            <v>Kazakhstan</v>
          </cell>
          <cell r="B82">
            <v>1</v>
          </cell>
        </row>
        <row r="83">
          <cell r="A83" t="str">
            <v>Morocco</v>
          </cell>
        </row>
        <row r="84">
          <cell r="A84" t="str">
            <v>Italy</v>
          </cell>
          <cell r="B84">
            <v>0.51</v>
          </cell>
          <cell r="C84">
            <v>0.49</v>
          </cell>
        </row>
        <row r="85">
          <cell r="A85" t="str">
            <v>Indonesia</v>
          </cell>
          <cell r="B85">
            <v>0.38</v>
          </cell>
          <cell r="C85">
            <v>0.62</v>
          </cell>
        </row>
        <row r="86">
          <cell r="A86" t="str">
            <v>Thailand</v>
          </cell>
          <cell r="B86">
            <v>0.44</v>
          </cell>
          <cell r="C86">
            <v>0.56000000000000005</v>
          </cell>
        </row>
        <row r="87">
          <cell r="A87" t="str">
            <v>Paraguay</v>
          </cell>
        </row>
        <row r="88">
          <cell r="A88" t="str">
            <v>Russia</v>
          </cell>
          <cell r="B88">
            <v>0.4</v>
          </cell>
          <cell r="C88">
            <v>0.6</v>
          </cell>
        </row>
        <row r="89">
          <cell r="A89" t="str">
            <v>Saudi Arabia</v>
          </cell>
          <cell r="B89">
            <v>0.38</v>
          </cell>
          <cell r="C89">
            <v>0.62</v>
          </cell>
        </row>
        <row r="90">
          <cell r="A90" t="str">
            <v>Turkey</v>
          </cell>
          <cell r="B90">
            <v>0.38</v>
          </cell>
          <cell r="C90">
            <v>0.62</v>
          </cell>
        </row>
        <row r="91">
          <cell r="A91" t="str">
            <v>Venezuela</v>
          </cell>
          <cell r="B91">
            <v>1</v>
          </cell>
        </row>
        <row r="92">
          <cell r="A92" t="str">
            <v>Samoa</v>
          </cell>
        </row>
        <row r="93">
          <cell r="A93" t="str">
            <v>Vanuatu</v>
          </cell>
        </row>
        <row r="94">
          <cell r="A94" t="str">
            <v>Gambia</v>
          </cell>
        </row>
        <row r="95">
          <cell r="A95" t="str">
            <v>Seychelles</v>
          </cell>
        </row>
        <row r="96">
          <cell r="A96" t="str">
            <v>Faroe Islands</v>
          </cell>
        </row>
        <row r="97">
          <cell r="A97" t="str">
            <v>Gibraltar</v>
          </cell>
        </row>
        <row r="98">
          <cell r="A98" t="str">
            <v>Togo</v>
          </cell>
        </row>
        <row r="99">
          <cell r="A99" t="str">
            <v>Cape Verde</v>
          </cell>
        </row>
        <row r="100">
          <cell r="A100" t="str">
            <v>Bermuda</v>
          </cell>
        </row>
        <row r="101">
          <cell r="A101" t="str">
            <v>Bhutan</v>
          </cell>
        </row>
        <row r="102">
          <cell r="A102" t="str">
            <v>Timor-Leste</v>
          </cell>
        </row>
        <row r="103">
          <cell r="A103" t="str">
            <v>Botswana</v>
          </cell>
        </row>
        <row r="104">
          <cell r="A104" t="str">
            <v>Malawi</v>
          </cell>
        </row>
        <row r="105">
          <cell r="A105" t="str">
            <v>St. Lucia</v>
          </cell>
        </row>
        <row r="106">
          <cell r="A106" t="str">
            <v>Cayman Islands</v>
          </cell>
        </row>
        <row r="107">
          <cell r="A107" t="str">
            <v>Burundi</v>
          </cell>
        </row>
        <row r="108">
          <cell r="A108" t="str">
            <v>Liberia</v>
          </cell>
        </row>
        <row r="109">
          <cell r="A109" t="str">
            <v>Isle of Man</v>
          </cell>
        </row>
        <row r="110">
          <cell r="A110" t="str">
            <v>Mongolia</v>
          </cell>
        </row>
        <row r="111">
          <cell r="A111" t="str">
            <v>Papua New Guinea</v>
          </cell>
        </row>
        <row r="112">
          <cell r="A112" t="str">
            <v>Jersey</v>
          </cell>
        </row>
        <row r="113">
          <cell r="A113" t="str">
            <v>Iceland</v>
          </cell>
        </row>
        <row r="114">
          <cell r="A114" t="str">
            <v>Macao</v>
          </cell>
        </row>
        <row r="115">
          <cell r="A115" t="str">
            <v>New Caledonia</v>
          </cell>
        </row>
        <row r="116">
          <cell r="A116" t="str">
            <v>Congo - Brazzaville</v>
          </cell>
        </row>
        <row r="117">
          <cell r="A117" t="str">
            <v>Fiji</v>
          </cell>
        </row>
        <row r="118">
          <cell r="A118" t="str">
            <v>Suriname</v>
          </cell>
        </row>
        <row r="119">
          <cell r="A119" t="str">
            <v>Madagascar</v>
          </cell>
        </row>
        <row r="120">
          <cell r="A120" t="str">
            <v>Angola</v>
          </cell>
        </row>
        <row r="121">
          <cell r="A121" t="str">
            <v>Namibia</v>
          </cell>
        </row>
        <row r="122">
          <cell r="A122" t="str">
            <v>Zimbabwe</v>
          </cell>
        </row>
        <row r="123">
          <cell r="A123" t="str">
            <v>Mozambique</v>
          </cell>
        </row>
        <row r="124">
          <cell r="A124" t="str">
            <v>Senegal</v>
          </cell>
        </row>
        <row r="125">
          <cell r="A125" t="str">
            <v>Afghanistan</v>
          </cell>
        </row>
        <row r="126">
          <cell r="A126" t="str">
            <v>Brunei</v>
          </cell>
        </row>
        <row r="127">
          <cell r="A127" t="str">
            <v>Kyrgyzstan</v>
          </cell>
        </row>
        <row r="128">
          <cell r="A128" t="str">
            <v>Congo - Kinshasa</v>
          </cell>
        </row>
        <row r="129">
          <cell r="A129" t="str">
            <v>Uganda</v>
          </cell>
        </row>
        <row r="130">
          <cell r="A130" t="str">
            <v>Cyprus</v>
          </cell>
        </row>
        <row r="131">
          <cell r="A131" t="str">
            <v>Puerto Rico</v>
          </cell>
        </row>
        <row r="132">
          <cell r="A132" t="str">
            <v>Cambodia</v>
          </cell>
        </row>
        <row r="133">
          <cell r="A133" t="str">
            <v>Mauritius</v>
          </cell>
        </row>
        <row r="134">
          <cell r="A134" t="str">
            <v>RÃ©union</v>
          </cell>
        </row>
        <row r="135">
          <cell r="A135" t="str">
            <v>Zambia</v>
          </cell>
        </row>
        <row r="136">
          <cell r="A136" t="str">
            <v>Laos</v>
          </cell>
        </row>
        <row r="137">
          <cell r="A137" t="str">
            <v>Montenegro</v>
          </cell>
        </row>
        <row r="138">
          <cell r="A138" t="str">
            <v>Qatar</v>
          </cell>
        </row>
        <row r="139">
          <cell r="A139" t="str">
            <v>Trinidad &amp; Tobago</v>
          </cell>
        </row>
        <row r="140">
          <cell r="A140" t="str">
            <v>Uzbekistan</v>
          </cell>
        </row>
        <row r="141">
          <cell r="A141" t="str">
            <v>Malta</v>
          </cell>
        </row>
        <row r="142">
          <cell r="A142" t="str">
            <v>CÃ´te dâ€™Ivoire</v>
          </cell>
        </row>
        <row r="143">
          <cell r="A143" t="str">
            <v>Jamaica</v>
          </cell>
        </row>
        <row r="144">
          <cell r="A144" t="str">
            <v>Bahrain</v>
          </cell>
        </row>
        <row r="145">
          <cell r="A145" t="str">
            <v>Cameroon</v>
          </cell>
        </row>
        <row r="146">
          <cell r="A146" t="str">
            <v>Armenia</v>
          </cell>
        </row>
        <row r="147">
          <cell r="A147" t="str">
            <v>Ethiopia</v>
          </cell>
        </row>
        <row r="148">
          <cell r="A148" t="str">
            <v>Albania</v>
          </cell>
        </row>
        <row r="149">
          <cell r="A149" t="str">
            <v>Dominican Republic</v>
          </cell>
        </row>
        <row r="150">
          <cell r="A150" t="str">
            <v>Jordan</v>
          </cell>
        </row>
        <row r="151">
          <cell r="A151" t="str">
            <v>Kosovo</v>
          </cell>
        </row>
        <row r="152">
          <cell r="A152" t="str">
            <v>Kuwait</v>
          </cell>
        </row>
        <row r="153">
          <cell r="A153" t="str">
            <v>Sudan</v>
          </cell>
        </row>
        <row r="154">
          <cell r="A154" t="str">
            <v>Oman</v>
          </cell>
        </row>
        <row r="155">
          <cell r="A155" t="str">
            <v>Tanzania</v>
          </cell>
        </row>
        <row r="156">
          <cell r="A156" t="str">
            <v>Georgia</v>
          </cell>
        </row>
        <row r="157">
          <cell r="A157" t="str">
            <v>Algeria</v>
          </cell>
        </row>
        <row r="158">
          <cell r="A158" t="str">
            <v>Iraq</v>
          </cell>
        </row>
        <row r="159">
          <cell r="A159" t="str">
            <v>Aruba</v>
          </cell>
        </row>
        <row r="160">
          <cell r="A160" t="str">
            <v>Anguilla</v>
          </cell>
        </row>
        <row r="161">
          <cell r="A161" t="str">
            <v>Ã…land Islands</v>
          </cell>
        </row>
        <row r="162">
          <cell r="A162" t="str">
            <v>Andorra</v>
          </cell>
        </row>
        <row r="163">
          <cell r="A163" t="str">
            <v>American Samoa</v>
          </cell>
        </row>
        <row r="164">
          <cell r="A164" t="str">
            <v>Antarctica</v>
          </cell>
        </row>
        <row r="165">
          <cell r="A165" t="str">
            <v>French Southern Territories</v>
          </cell>
        </row>
        <row r="166">
          <cell r="A166" t="str">
            <v>Antigua &amp; Barbuda</v>
          </cell>
        </row>
        <row r="167">
          <cell r="A167" t="str">
            <v>Azerbaijan</v>
          </cell>
        </row>
        <row r="168">
          <cell r="A168" t="str">
            <v>Benin</v>
          </cell>
        </row>
        <row r="169">
          <cell r="A169" t="str">
            <v>Caribbean Netherlands</v>
          </cell>
        </row>
        <row r="170">
          <cell r="A170" t="str">
            <v>Burkina Faso</v>
          </cell>
        </row>
        <row r="171">
          <cell r="A171" t="str">
            <v>Bahamas</v>
          </cell>
        </row>
        <row r="172">
          <cell r="A172" t="str">
            <v>St. BarthÃ©lemy</v>
          </cell>
        </row>
        <row r="173">
          <cell r="A173" t="str">
            <v>Belize</v>
          </cell>
        </row>
        <row r="174">
          <cell r="A174" t="str">
            <v>Barbados</v>
          </cell>
        </row>
        <row r="175">
          <cell r="A175" t="str">
            <v>Bouvet Island</v>
          </cell>
        </row>
        <row r="176">
          <cell r="A176" t="str">
            <v>Central African Republic</v>
          </cell>
        </row>
        <row r="177">
          <cell r="A177" t="str">
            <v>Cocos (Keeling) Islands</v>
          </cell>
        </row>
        <row r="178">
          <cell r="A178" t="str">
            <v>Cook Islands</v>
          </cell>
        </row>
        <row r="179">
          <cell r="A179" t="str">
            <v>Comoros</v>
          </cell>
        </row>
        <row r="180">
          <cell r="A180" t="str">
            <v>Cuba</v>
          </cell>
        </row>
        <row r="181">
          <cell r="A181" t="str">
            <v>CuraÃ§ao</v>
          </cell>
        </row>
        <row r="182">
          <cell r="A182" t="str">
            <v>Christmas Island</v>
          </cell>
        </row>
        <row r="183">
          <cell r="A183" t="str">
            <v>Djibouti</v>
          </cell>
        </row>
        <row r="184">
          <cell r="A184" t="str">
            <v>Dominica</v>
          </cell>
        </row>
        <row r="185">
          <cell r="A185" t="str">
            <v>Eritrea</v>
          </cell>
        </row>
        <row r="186">
          <cell r="A186" t="str">
            <v>Western Sahara</v>
          </cell>
        </row>
        <row r="187">
          <cell r="A187" t="str">
            <v>Falkland Islands (Islas Malvinas)</v>
          </cell>
        </row>
        <row r="188">
          <cell r="A188" t="str">
            <v>Micronesia</v>
          </cell>
        </row>
        <row r="189">
          <cell r="A189" t="str">
            <v>Gabon</v>
          </cell>
        </row>
        <row r="190">
          <cell r="A190" t="str">
            <v>Guernsey</v>
          </cell>
        </row>
        <row r="191">
          <cell r="A191" t="str">
            <v>Guinea</v>
          </cell>
        </row>
        <row r="192">
          <cell r="A192" t="str">
            <v>Guadeloupe</v>
          </cell>
        </row>
        <row r="193">
          <cell r="A193" t="str">
            <v>Guinea-Bissau</v>
          </cell>
        </row>
        <row r="194">
          <cell r="A194" t="str">
            <v>Equatorial Guinea</v>
          </cell>
        </row>
        <row r="195">
          <cell r="A195" t="str">
            <v>Grenada</v>
          </cell>
        </row>
        <row r="196">
          <cell r="A196" t="str">
            <v>Greenland</v>
          </cell>
        </row>
        <row r="197">
          <cell r="A197" t="str">
            <v>French Guiana</v>
          </cell>
        </row>
        <row r="198">
          <cell r="A198" t="str">
            <v>Guam</v>
          </cell>
        </row>
        <row r="199">
          <cell r="A199" t="str">
            <v>Guyana</v>
          </cell>
        </row>
        <row r="200">
          <cell r="A200" t="str">
            <v>Heard &amp; McDonald Islands</v>
          </cell>
        </row>
        <row r="201">
          <cell r="A201" t="str">
            <v>Haiti</v>
          </cell>
        </row>
        <row r="202">
          <cell r="A202" t="str">
            <v>British Indian Ocean Territory</v>
          </cell>
        </row>
        <row r="203">
          <cell r="A203" t="str">
            <v>Kiribati</v>
          </cell>
        </row>
        <row r="204">
          <cell r="A204" t="str">
            <v>St. Kitts &amp; Nevis</v>
          </cell>
        </row>
        <row r="205">
          <cell r="A205" t="str">
            <v>Libya</v>
          </cell>
        </row>
        <row r="206">
          <cell r="A206" t="str">
            <v>Liechtenstein</v>
          </cell>
        </row>
        <row r="207">
          <cell r="A207" t="str">
            <v>Lesotho</v>
          </cell>
        </row>
        <row r="208">
          <cell r="A208" t="str">
            <v>St. Martin</v>
          </cell>
        </row>
        <row r="209">
          <cell r="A209" t="str">
            <v>Monaco</v>
          </cell>
        </row>
        <row r="210">
          <cell r="A210" t="str">
            <v>Moldova</v>
          </cell>
        </row>
        <row r="211">
          <cell r="A211" t="str">
            <v>Maldives</v>
          </cell>
        </row>
        <row r="212">
          <cell r="A212" t="str">
            <v>Marshall Islands</v>
          </cell>
        </row>
        <row r="213">
          <cell r="A213" t="str">
            <v>Mali</v>
          </cell>
        </row>
        <row r="214">
          <cell r="A214" t="str">
            <v>Northern Mariana Islands</v>
          </cell>
        </row>
        <row r="215">
          <cell r="A215" t="str">
            <v>Mauritania</v>
          </cell>
        </row>
        <row r="216">
          <cell r="A216" t="str">
            <v>Montserrat</v>
          </cell>
        </row>
        <row r="217">
          <cell r="A217" t="str">
            <v>Martinique</v>
          </cell>
        </row>
        <row r="218">
          <cell r="A218" t="str">
            <v>Mayotte</v>
          </cell>
        </row>
        <row r="219">
          <cell r="A219" t="str">
            <v>Niger</v>
          </cell>
        </row>
        <row r="220">
          <cell r="A220" t="str">
            <v>Norfolk Island</v>
          </cell>
        </row>
        <row r="221">
          <cell r="A221" t="str">
            <v>Niue</v>
          </cell>
        </row>
        <row r="222">
          <cell r="A222" t="str">
            <v>Nauru</v>
          </cell>
        </row>
        <row r="223">
          <cell r="A223" t="str">
            <v>Pitcairn Islands</v>
          </cell>
        </row>
        <row r="224">
          <cell r="A224" t="str">
            <v>Palau</v>
          </cell>
        </row>
        <row r="225">
          <cell r="A225" t="str">
            <v>North Korea</v>
          </cell>
        </row>
        <row r="226">
          <cell r="A226" t="str">
            <v>Palestine</v>
          </cell>
        </row>
        <row r="227">
          <cell r="A227" t="str">
            <v>French Polynesia</v>
          </cell>
        </row>
        <row r="228">
          <cell r="A228" t="str">
            <v>South Georgia &amp; South Sandwich Islands</v>
          </cell>
        </row>
        <row r="229">
          <cell r="A229" t="str">
            <v>Svalbard &amp; Jan Mayen</v>
          </cell>
        </row>
        <row r="230">
          <cell r="A230" t="str">
            <v>Solomon Islands</v>
          </cell>
        </row>
        <row r="231">
          <cell r="A231" t="str">
            <v>Sierra Leone</v>
          </cell>
        </row>
        <row r="232">
          <cell r="A232" t="str">
            <v>San Marino</v>
          </cell>
        </row>
        <row r="233">
          <cell r="A233" t="str">
            <v>Somalia</v>
          </cell>
        </row>
        <row r="234">
          <cell r="A234" t="str">
            <v>St. Pierre &amp; Miquelon</v>
          </cell>
        </row>
        <row r="235">
          <cell r="A235" t="str">
            <v>South Sudan</v>
          </cell>
        </row>
        <row r="236">
          <cell r="A236" t="str">
            <v>SÃ£o TomÃ© &amp; PrÃ­ncipe</v>
          </cell>
        </row>
        <row r="237">
          <cell r="A237" t="str">
            <v>Eswatini</v>
          </cell>
        </row>
        <row r="238">
          <cell r="A238" t="str">
            <v>Sint Maarten</v>
          </cell>
        </row>
        <row r="239">
          <cell r="A239" t="str">
            <v>Syria</v>
          </cell>
        </row>
        <row r="240">
          <cell r="A240" t="str">
            <v>Turks &amp; Caicos Islands</v>
          </cell>
        </row>
        <row r="241">
          <cell r="A241" t="str">
            <v>Chad</v>
          </cell>
        </row>
        <row r="242">
          <cell r="A242" t="str">
            <v>Tajikistan</v>
          </cell>
        </row>
        <row r="243">
          <cell r="A243" t="str">
            <v>Tokelau</v>
          </cell>
        </row>
        <row r="244">
          <cell r="A244" t="str">
            <v>Turkmenistan</v>
          </cell>
        </row>
        <row r="245">
          <cell r="A245" t="str">
            <v>Tonga</v>
          </cell>
        </row>
        <row r="246">
          <cell r="A246" t="str">
            <v>Tuvalu</v>
          </cell>
        </row>
        <row r="247">
          <cell r="A247" t="str">
            <v>U.S. Outlying Islands</v>
          </cell>
        </row>
        <row r="248">
          <cell r="A248" t="str">
            <v>Vatican City</v>
          </cell>
        </row>
        <row r="249">
          <cell r="A249" t="str">
            <v>St. Vincent &amp; Grenadines</v>
          </cell>
        </row>
        <row r="250">
          <cell r="A250" t="str">
            <v>British Virgin Islands</v>
          </cell>
        </row>
        <row r="251">
          <cell r="A251" t="str">
            <v>U.S. Virgin Islands</v>
          </cell>
        </row>
        <row r="252">
          <cell r="A252" t="str">
            <v>Wallis &amp; Futuna</v>
          </cell>
        </row>
        <row r="253">
          <cell r="A253" t="str">
            <v>Yemen</v>
          </cell>
        </row>
      </sheetData>
    </sheetDataSet>
  </externalBook>
</externalLink>
</file>

<file path=xl/externalLinks/externalLink2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sheetNames>
    <sheetDataSet>
      <sheetData sheetId="0">
        <row r="1">
          <cell r="A1" t="str">
            <v>Kategori: TÃ¼m kategoriler</v>
          </cell>
        </row>
        <row r="3">
          <cell r="A3" t="str">
            <v>Ãœlke</v>
          </cell>
          <cell r="B3" t="str">
            <v>Java: (2015)</v>
          </cell>
        </row>
        <row r="4">
          <cell r="A4" t="str">
            <v>China</v>
          </cell>
          <cell r="B4">
            <v>100</v>
          </cell>
        </row>
        <row r="5">
          <cell r="A5" t="str">
            <v>SÃ£o TomÃ© &amp; PrÃ­ncipe</v>
          </cell>
        </row>
        <row r="6">
          <cell r="A6" t="str">
            <v>Western Sahara</v>
          </cell>
        </row>
        <row r="7">
          <cell r="A7" t="str">
            <v>Madagascar</v>
          </cell>
        </row>
        <row r="8">
          <cell r="A8" t="str">
            <v>Bangladesh</v>
          </cell>
          <cell r="B8">
            <v>41</v>
          </cell>
        </row>
        <row r="9">
          <cell r="A9" t="str">
            <v>Cameroon</v>
          </cell>
        </row>
        <row r="10">
          <cell r="A10" t="str">
            <v>Togo</v>
          </cell>
        </row>
        <row r="11">
          <cell r="A11" t="str">
            <v>British Indian Ocean Territory</v>
          </cell>
        </row>
        <row r="12">
          <cell r="A12" t="str">
            <v>India</v>
          </cell>
          <cell r="B12">
            <v>27</v>
          </cell>
        </row>
        <row r="13">
          <cell r="A13" t="str">
            <v>Bolivia</v>
          </cell>
          <cell r="B13">
            <v>25</v>
          </cell>
        </row>
        <row r="14">
          <cell r="A14" t="str">
            <v>Cuba</v>
          </cell>
        </row>
        <row r="15">
          <cell r="A15" t="str">
            <v>Benin</v>
          </cell>
        </row>
        <row r="16">
          <cell r="A16" t="str">
            <v>Ethiopia</v>
          </cell>
          <cell r="B16">
            <v>23</v>
          </cell>
        </row>
        <row r="17">
          <cell r="A17" t="str">
            <v>Sri Lanka</v>
          </cell>
          <cell r="B17">
            <v>22</v>
          </cell>
        </row>
        <row r="18">
          <cell r="A18" t="str">
            <v>Uganda</v>
          </cell>
          <cell r="B18">
            <v>22</v>
          </cell>
        </row>
        <row r="19">
          <cell r="A19" t="str">
            <v>Nepal</v>
          </cell>
          <cell r="B19">
            <v>17</v>
          </cell>
        </row>
        <row r="20">
          <cell r="A20" t="str">
            <v>St. Helena</v>
          </cell>
        </row>
        <row r="21">
          <cell r="A21" t="str">
            <v>Eritrea</v>
          </cell>
        </row>
        <row r="22">
          <cell r="A22" t="str">
            <v>Zambia</v>
          </cell>
        </row>
        <row r="23">
          <cell r="A23" t="str">
            <v>Uzbekistan</v>
          </cell>
        </row>
        <row r="24">
          <cell r="A24" t="str">
            <v>Comoros</v>
          </cell>
        </row>
        <row r="25">
          <cell r="A25" t="str">
            <v>Nigeria</v>
          </cell>
          <cell r="B25">
            <v>16</v>
          </cell>
        </row>
        <row r="26">
          <cell r="A26" t="str">
            <v>Mozambique</v>
          </cell>
        </row>
        <row r="27">
          <cell r="A27" t="str">
            <v>Botswana</v>
          </cell>
        </row>
        <row r="28">
          <cell r="A28" t="str">
            <v>South Korea</v>
          </cell>
          <cell r="B28">
            <v>15</v>
          </cell>
        </row>
        <row r="29">
          <cell r="A29" t="str">
            <v>Rwanda</v>
          </cell>
        </row>
        <row r="30">
          <cell r="A30" t="str">
            <v>Pakistan</v>
          </cell>
          <cell r="B30">
            <v>14</v>
          </cell>
        </row>
        <row r="31">
          <cell r="A31" t="str">
            <v>Burundi</v>
          </cell>
        </row>
        <row r="32">
          <cell r="A32" t="str">
            <v>Malawi</v>
          </cell>
        </row>
        <row r="33">
          <cell r="A33" t="str">
            <v>Timor-Leste</v>
          </cell>
        </row>
        <row r="34">
          <cell r="A34" t="str">
            <v>Congo - Kinshasa</v>
          </cell>
        </row>
        <row r="35">
          <cell r="A35" t="str">
            <v>Congo - Brazzaville</v>
          </cell>
        </row>
        <row r="36">
          <cell r="A36" t="str">
            <v>Nicaragua</v>
          </cell>
        </row>
        <row r="37">
          <cell r="A37" t="str">
            <v>Eswatini</v>
          </cell>
        </row>
        <row r="38">
          <cell r="A38" t="str">
            <v>Sierra Leone</v>
          </cell>
        </row>
        <row r="39">
          <cell r="A39" t="str">
            <v>Cape Verde</v>
          </cell>
        </row>
        <row r="40">
          <cell r="A40" t="str">
            <v>Burkina Faso</v>
          </cell>
        </row>
        <row r="41">
          <cell r="A41" t="str">
            <v>Kenya</v>
          </cell>
          <cell r="B41">
            <v>11</v>
          </cell>
        </row>
        <row r="42">
          <cell r="A42" t="str">
            <v>Luxembourg</v>
          </cell>
        </row>
        <row r="43">
          <cell r="A43" t="str">
            <v>Hong Kong</v>
          </cell>
          <cell r="B43">
            <v>11</v>
          </cell>
        </row>
        <row r="44">
          <cell r="A44" t="str">
            <v>Tunisia</v>
          </cell>
          <cell r="B44">
            <v>10</v>
          </cell>
        </row>
        <row r="45">
          <cell r="A45" t="str">
            <v>Singapore</v>
          </cell>
          <cell r="B45">
            <v>10</v>
          </cell>
        </row>
        <row r="46">
          <cell r="A46" t="str">
            <v>Niger</v>
          </cell>
        </row>
        <row r="47">
          <cell r="A47" t="str">
            <v>Iran</v>
          </cell>
          <cell r="B47">
            <v>10</v>
          </cell>
        </row>
        <row r="48">
          <cell r="A48" t="str">
            <v>CÃ´te dâ€™Ivoire</v>
          </cell>
        </row>
        <row r="49">
          <cell r="A49" t="str">
            <v>Costa Rica</v>
          </cell>
          <cell r="B49">
            <v>10</v>
          </cell>
        </row>
        <row r="50">
          <cell r="A50" t="str">
            <v>Ã…land Islands</v>
          </cell>
        </row>
        <row r="51">
          <cell r="A51" t="str">
            <v>Indonesia</v>
          </cell>
          <cell r="B51">
            <v>9</v>
          </cell>
        </row>
        <row r="52">
          <cell r="A52" t="str">
            <v>Ghana</v>
          </cell>
        </row>
        <row r="53">
          <cell r="A53" t="str">
            <v>Guinea</v>
          </cell>
        </row>
        <row r="54">
          <cell r="A54" t="str">
            <v>Tanzania</v>
          </cell>
        </row>
        <row r="55">
          <cell r="A55" t="str">
            <v>Estonia</v>
          </cell>
        </row>
        <row r="56">
          <cell r="A56" t="str">
            <v>Faroe Islands</v>
          </cell>
        </row>
        <row r="57">
          <cell r="A57" t="str">
            <v>Portugal</v>
          </cell>
          <cell r="B57">
            <v>9</v>
          </cell>
        </row>
        <row r="58">
          <cell r="A58" t="str">
            <v>Mali</v>
          </cell>
        </row>
        <row r="59">
          <cell r="A59" t="str">
            <v>Philippines</v>
          </cell>
          <cell r="B59">
            <v>9</v>
          </cell>
        </row>
        <row r="60">
          <cell r="A60" t="str">
            <v>Ireland</v>
          </cell>
          <cell r="B60">
            <v>9</v>
          </cell>
        </row>
        <row r="61">
          <cell r="A61" t="str">
            <v>Equatorial Guinea</v>
          </cell>
        </row>
        <row r="62">
          <cell r="A62" t="str">
            <v>Lesotho</v>
          </cell>
        </row>
        <row r="63">
          <cell r="A63" t="str">
            <v>Belarus</v>
          </cell>
          <cell r="B63">
            <v>9</v>
          </cell>
        </row>
        <row r="64">
          <cell r="A64" t="str">
            <v>El Salvador</v>
          </cell>
        </row>
        <row r="65">
          <cell r="A65" t="str">
            <v>Gibraltar</v>
          </cell>
        </row>
        <row r="66">
          <cell r="A66" t="str">
            <v>Guinea-Bissau</v>
          </cell>
        </row>
        <row r="67">
          <cell r="A67" t="str">
            <v>Zimbabwe</v>
          </cell>
        </row>
        <row r="68">
          <cell r="A68" t="str">
            <v>Mexico</v>
          </cell>
          <cell r="B68">
            <v>8</v>
          </cell>
        </row>
        <row r="69">
          <cell r="A69" t="str">
            <v>Serbia</v>
          </cell>
          <cell r="B69">
            <v>8</v>
          </cell>
        </row>
        <row r="70">
          <cell r="A70" t="str">
            <v>Solomon Islands</v>
          </cell>
        </row>
        <row r="71">
          <cell r="A71" t="str">
            <v>North Macedonia</v>
          </cell>
        </row>
        <row r="72">
          <cell r="A72" t="str">
            <v>Israel</v>
          </cell>
          <cell r="B72">
            <v>8</v>
          </cell>
        </row>
        <row r="73">
          <cell r="A73" t="str">
            <v>Mauritania</v>
          </cell>
        </row>
        <row r="74">
          <cell r="A74" t="str">
            <v>Hungary</v>
          </cell>
          <cell r="B74">
            <v>8</v>
          </cell>
        </row>
        <row r="75">
          <cell r="A75" t="str">
            <v>Germany</v>
          </cell>
          <cell r="B75">
            <v>8</v>
          </cell>
        </row>
        <row r="76">
          <cell r="A76" t="str">
            <v>Syria</v>
          </cell>
        </row>
        <row r="77">
          <cell r="A77" t="str">
            <v>Czechia</v>
          </cell>
          <cell r="B77">
            <v>8</v>
          </cell>
        </row>
        <row r="78">
          <cell r="A78" t="str">
            <v>Ukraine</v>
          </cell>
          <cell r="B78">
            <v>8</v>
          </cell>
        </row>
        <row r="79">
          <cell r="A79" t="str">
            <v>Brazil</v>
          </cell>
          <cell r="B79">
            <v>8</v>
          </cell>
        </row>
        <row r="80">
          <cell r="A80" t="str">
            <v>Switzerland</v>
          </cell>
          <cell r="B80">
            <v>8</v>
          </cell>
        </row>
        <row r="81">
          <cell r="A81" t="str">
            <v>Morocco</v>
          </cell>
          <cell r="B81">
            <v>8</v>
          </cell>
        </row>
        <row r="82">
          <cell r="A82" t="str">
            <v>Afghanistan</v>
          </cell>
        </row>
        <row r="83">
          <cell r="A83" t="str">
            <v>Malta</v>
          </cell>
        </row>
        <row r="84">
          <cell r="A84" t="str">
            <v>Central African Republic</v>
          </cell>
        </row>
        <row r="85">
          <cell r="A85" t="str">
            <v>Guatemala</v>
          </cell>
          <cell r="B85">
            <v>7</v>
          </cell>
        </row>
        <row r="86">
          <cell r="A86" t="str">
            <v>Myanmar (Burma)</v>
          </cell>
        </row>
        <row r="87">
          <cell r="A87" t="str">
            <v>Austria</v>
          </cell>
          <cell r="B87">
            <v>7</v>
          </cell>
        </row>
        <row r="88">
          <cell r="A88" t="str">
            <v>Ecuador</v>
          </cell>
          <cell r="B88">
            <v>7</v>
          </cell>
        </row>
        <row r="89">
          <cell r="A89" t="str">
            <v>Haiti</v>
          </cell>
        </row>
        <row r="90">
          <cell r="A90" t="str">
            <v>Senegal</v>
          </cell>
        </row>
        <row r="91">
          <cell r="A91" t="str">
            <v>Liechtenstein</v>
          </cell>
        </row>
        <row r="92">
          <cell r="A92" t="str">
            <v>Poland</v>
          </cell>
          <cell r="B92">
            <v>7</v>
          </cell>
        </row>
        <row r="93">
          <cell r="A93" t="str">
            <v>Romania</v>
          </cell>
          <cell r="B93">
            <v>7</v>
          </cell>
        </row>
        <row r="94">
          <cell r="A94" t="str">
            <v>Angola</v>
          </cell>
        </row>
        <row r="95">
          <cell r="A95" t="str">
            <v>Denmark</v>
          </cell>
          <cell r="B95">
            <v>7</v>
          </cell>
        </row>
        <row r="96">
          <cell r="A96" t="str">
            <v>Spain</v>
          </cell>
          <cell r="B96">
            <v>7</v>
          </cell>
        </row>
        <row r="97">
          <cell r="A97" t="str">
            <v>Mauritius</v>
          </cell>
        </row>
        <row r="98">
          <cell r="A98" t="str">
            <v>Bosnia &amp; Herzegovina</v>
          </cell>
        </row>
        <row r="99">
          <cell r="A99" t="str">
            <v>Chad</v>
          </cell>
        </row>
        <row r="100">
          <cell r="A100" t="str">
            <v>Uruguay</v>
          </cell>
          <cell r="B100">
            <v>7</v>
          </cell>
        </row>
        <row r="101">
          <cell r="A101" t="str">
            <v>Colombia</v>
          </cell>
          <cell r="B101">
            <v>7</v>
          </cell>
        </row>
        <row r="102">
          <cell r="A102" t="str">
            <v>Croatia</v>
          </cell>
          <cell r="B102">
            <v>7</v>
          </cell>
        </row>
        <row r="103">
          <cell r="A103" t="str">
            <v>Peru</v>
          </cell>
          <cell r="B103">
            <v>7</v>
          </cell>
        </row>
        <row r="104">
          <cell r="A104" t="str">
            <v>Gabon</v>
          </cell>
        </row>
        <row r="105">
          <cell r="A105" t="str">
            <v>United States</v>
          </cell>
          <cell r="B105">
            <v>7</v>
          </cell>
        </row>
        <row r="106">
          <cell r="A106" t="str">
            <v>Sweden</v>
          </cell>
          <cell r="B106">
            <v>6</v>
          </cell>
        </row>
        <row r="107">
          <cell r="A107" t="str">
            <v>Latvia</v>
          </cell>
        </row>
        <row r="108">
          <cell r="A108" t="str">
            <v>Belgium</v>
          </cell>
          <cell r="B108">
            <v>6</v>
          </cell>
        </row>
        <row r="109">
          <cell r="A109" t="str">
            <v>Iceland</v>
          </cell>
        </row>
        <row r="110">
          <cell r="A110" t="str">
            <v>Taiwan</v>
          </cell>
          <cell r="B110">
            <v>6</v>
          </cell>
        </row>
        <row r="111">
          <cell r="A111" t="str">
            <v>Bulgaria</v>
          </cell>
          <cell r="B111">
            <v>6</v>
          </cell>
        </row>
        <row r="112">
          <cell r="A112" t="str">
            <v>Norway</v>
          </cell>
          <cell r="B112">
            <v>6</v>
          </cell>
        </row>
        <row r="113">
          <cell r="A113" t="str">
            <v>Somalia</v>
          </cell>
        </row>
        <row r="114">
          <cell r="A114" t="str">
            <v>Tonga</v>
          </cell>
        </row>
        <row r="115">
          <cell r="A115" t="str">
            <v>Lithuania</v>
          </cell>
          <cell r="B115">
            <v>6</v>
          </cell>
        </row>
        <row r="116">
          <cell r="A116" t="str">
            <v>Slovenia</v>
          </cell>
          <cell r="B116">
            <v>6</v>
          </cell>
        </row>
        <row r="117">
          <cell r="A117" t="str">
            <v>South Africa</v>
          </cell>
          <cell r="B117">
            <v>6</v>
          </cell>
        </row>
        <row r="118">
          <cell r="A118" t="str">
            <v>Moldova</v>
          </cell>
        </row>
        <row r="119">
          <cell r="A119" t="str">
            <v>Namibia</v>
          </cell>
        </row>
        <row r="120">
          <cell r="A120" t="str">
            <v>Bhutan</v>
          </cell>
        </row>
        <row r="121">
          <cell r="A121" t="str">
            <v>Tajikistan</v>
          </cell>
        </row>
        <row r="122">
          <cell r="A122" t="str">
            <v>Slovakia</v>
          </cell>
          <cell r="B122">
            <v>6</v>
          </cell>
        </row>
        <row r="123">
          <cell r="A123" t="str">
            <v>Cambodia</v>
          </cell>
        </row>
        <row r="124">
          <cell r="A124" t="str">
            <v>Turkmenistan</v>
          </cell>
        </row>
        <row r="125">
          <cell r="A125" t="str">
            <v>Honduras</v>
          </cell>
        </row>
        <row r="126">
          <cell r="A126" t="str">
            <v>Finland</v>
          </cell>
          <cell r="B126">
            <v>6</v>
          </cell>
        </row>
        <row r="127">
          <cell r="A127" t="str">
            <v>Gambia</v>
          </cell>
        </row>
        <row r="128">
          <cell r="A128" t="str">
            <v>Paraguay</v>
          </cell>
        </row>
        <row r="129">
          <cell r="A129" t="str">
            <v>Canada</v>
          </cell>
          <cell r="B129">
            <v>6</v>
          </cell>
        </row>
        <row r="130">
          <cell r="A130" t="str">
            <v>Mongolia</v>
          </cell>
        </row>
        <row r="131">
          <cell r="A131" t="str">
            <v>Armenia</v>
          </cell>
        </row>
        <row r="132">
          <cell r="A132" t="str">
            <v>Vietnam</v>
          </cell>
          <cell r="B132">
            <v>5</v>
          </cell>
        </row>
        <row r="133">
          <cell r="A133" t="str">
            <v>Kazakhstan</v>
          </cell>
          <cell r="B133">
            <v>5</v>
          </cell>
        </row>
        <row r="134">
          <cell r="A134" t="str">
            <v>Djibouti</v>
          </cell>
        </row>
        <row r="135">
          <cell r="A135" t="str">
            <v>Netherlands</v>
          </cell>
          <cell r="B135">
            <v>5</v>
          </cell>
        </row>
        <row r="136">
          <cell r="A136" t="str">
            <v>Palestine</v>
          </cell>
        </row>
        <row r="137">
          <cell r="A137" t="str">
            <v>Sudan</v>
          </cell>
        </row>
        <row r="138">
          <cell r="A138" t="str">
            <v>Greenland</v>
          </cell>
        </row>
        <row r="139">
          <cell r="A139" t="str">
            <v>Andorra</v>
          </cell>
        </row>
        <row r="140">
          <cell r="A140" t="str">
            <v>Lebanon</v>
          </cell>
        </row>
        <row r="141">
          <cell r="A141" t="str">
            <v>Algeria</v>
          </cell>
          <cell r="B141">
            <v>5</v>
          </cell>
        </row>
        <row r="142">
          <cell r="A142" t="str">
            <v>Japan</v>
          </cell>
          <cell r="B142">
            <v>5</v>
          </cell>
        </row>
        <row r="143">
          <cell r="A143" t="str">
            <v>Yemen</v>
          </cell>
        </row>
        <row r="144">
          <cell r="A144" t="str">
            <v>Greece</v>
          </cell>
          <cell r="B144">
            <v>5</v>
          </cell>
        </row>
        <row r="145">
          <cell r="A145" t="str">
            <v>Kyrgyzstan</v>
          </cell>
        </row>
        <row r="146">
          <cell r="A146" t="str">
            <v>Chile</v>
          </cell>
          <cell r="B146">
            <v>5</v>
          </cell>
        </row>
        <row r="147">
          <cell r="A147" t="str">
            <v>Macao</v>
          </cell>
        </row>
        <row r="148">
          <cell r="A148" t="str">
            <v>Brunei</v>
          </cell>
        </row>
        <row r="149">
          <cell r="A149" t="str">
            <v>Italy</v>
          </cell>
          <cell r="B149">
            <v>5</v>
          </cell>
        </row>
        <row r="150">
          <cell r="A150" t="str">
            <v>New Zealand</v>
          </cell>
          <cell r="B150">
            <v>5</v>
          </cell>
        </row>
        <row r="151">
          <cell r="A151" t="str">
            <v>France</v>
          </cell>
          <cell r="B151">
            <v>5</v>
          </cell>
        </row>
        <row r="152">
          <cell r="A152" t="str">
            <v>Kosovo</v>
          </cell>
        </row>
        <row r="153">
          <cell r="A153" t="str">
            <v>Seychelles</v>
          </cell>
        </row>
        <row r="154">
          <cell r="A154" t="str">
            <v>Jamaica</v>
          </cell>
        </row>
        <row r="155">
          <cell r="A155" t="str">
            <v>Venezuela</v>
          </cell>
          <cell r="B155">
            <v>4</v>
          </cell>
        </row>
        <row r="156">
          <cell r="A156" t="str">
            <v>Albania</v>
          </cell>
        </row>
        <row r="157">
          <cell r="A157" t="str">
            <v>Argentina</v>
          </cell>
          <cell r="B157">
            <v>4</v>
          </cell>
        </row>
        <row r="158">
          <cell r="A158" t="str">
            <v>Turkey</v>
          </cell>
          <cell r="B158">
            <v>4</v>
          </cell>
        </row>
        <row r="159">
          <cell r="A159" t="str">
            <v>Russia</v>
          </cell>
          <cell r="B159">
            <v>4</v>
          </cell>
        </row>
        <row r="160">
          <cell r="A160" t="str">
            <v>Malaysia</v>
          </cell>
          <cell r="B160">
            <v>4</v>
          </cell>
        </row>
        <row r="161">
          <cell r="A161" t="str">
            <v>Dominican Republic</v>
          </cell>
        </row>
        <row r="162">
          <cell r="A162" t="str">
            <v>Montenegro</v>
          </cell>
        </row>
        <row r="163">
          <cell r="A163" t="str">
            <v>Panama</v>
          </cell>
        </row>
        <row r="164">
          <cell r="A164" t="str">
            <v>South Sudan</v>
          </cell>
        </row>
        <row r="165">
          <cell r="A165" t="str">
            <v>Laos</v>
          </cell>
        </row>
        <row r="166">
          <cell r="A166" t="str">
            <v>Papua New Guinea</v>
          </cell>
        </row>
        <row r="167">
          <cell r="A167" t="str">
            <v>San Marino</v>
          </cell>
        </row>
        <row r="168">
          <cell r="A168" t="str">
            <v>Cyprus</v>
          </cell>
        </row>
        <row r="169">
          <cell r="A169" t="str">
            <v>Jordan</v>
          </cell>
        </row>
        <row r="170">
          <cell r="A170" t="str">
            <v>Monaco</v>
          </cell>
        </row>
        <row r="171">
          <cell r="A171" t="str">
            <v>Australia</v>
          </cell>
          <cell r="B171">
            <v>4</v>
          </cell>
        </row>
        <row r="172">
          <cell r="A172" t="str">
            <v>Maldives</v>
          </cell>
        </row>
        <row r="173">
          <cell r="A173" t="str">
            <v>New Caledonia</v>
          </cell>
        </row>
        <row r="174">
          <cell r="A174" t="str">
            <v>Egypt</v>
          </cell>
          <cell r="B174">
            <v>4</v>
          </cell>
        </row>
        <row r="175">
          <cell r="A175" t="str">
            <v>French Polynesia</v>
          </cell>
        </row>
        <row r="176">
          <cell r="A176" t="str">
            <v>Belize</v>
          </cell>
        </row>
        <row r="177">
          <cell r="A177" t="str">
            <v>Northern Mariana Islands</v>
          </cell>
        </row>
        <row r="178">
          <cell r="A178" t="str">
            <v>United Kingdom</v>
          </cell>
          <cell r="B178">
            <v>4</v>
          </cell>
        </row>
        <row r="179">
          <cell r="A179" t="str">
            <v>Qatar</v>
          </cell>
        </row>
        <row r="180">
          <cell r="A180" t="str">
            <v>Trinidad &amp; Tobago</v>
          </cell>
        </row>
        <row r="181">
          <cell r="A181" t="str">
            <v>United Arab Emirates</v>
          </cell>
          <cell r="B181">
            <v>4</v>
          </cell>
        </row>
        <row r="182">
          <cell r="A182" t="str">
            <v>St. Kitts &amp; Nevis</v>
          </cell>
        </row>
        <row r="183">
          <cell r="A183" t="str">
            <v>Azerbaijan</v>
          </cell>
        </row>
        <row r="184">
          <cell r="A184" t="str">
            <v>Georgia</v>
          </cell>
        </row>
        <row r="185">
          <cell r="A185" t="str">
            <v>Oman</v>
          </cell>
        </row>
        <row r="186">
          <cell r="A186" t="str">
            <v>Bahrain</v>
          </cell>
        </row>
        <row r="187">
          <cell r="A187" t="str">
            <v>Saudi Arabia</v>
          </cell>
          <cell r="B187">
            <v>3</v>
          </cell>
        </row>
        <row r="188">
          <cell r="A188" t="str">
            <v>Liberia</v>
          </cell>
        </row>
        <row r="189">
          <cell r="A189" t="str">
            <v>Fiji</v>
          </cell>
        </row>
        <row r="190">
          <cell r="A190" t="str">
            <v>Puerto Rico</v>
          </cell>
        </row>
        <row r="191">
          <cell r="A191" t="str">
            <v>Dominica</v>
          </cell>
        </row>
        <row r="192">
          <cell r="A192" t="str">
            <v>Barbados</v>
          </cell>
        </row>
        <row r="193">
          <cell r="A193" t="str">
            <v>Guadeloupe</v>
          </cell>
        </row>
        <row r="194">
          <cell r="A194" t="str">
            <v>Suriname</v>
          </cell>
        </row>
        <row r="195">
          <cell r="A195" t="str">
            <v>U.S. Virgin Islands</v>
          </cell>
        </row>
        <row r="196">
          <cell r="A196" t="str">
            <v>CuraÃ§ao</v>
          </cell>
        </row>
        <row r="197">
          <cell r="A197" t="str">
            <v>Grenada</v>
          </cell>
        </row>
        <row r="198">
          <cell r="A198" t="str">
            <v>St. Vincent &amp; Grenadines</v>
          </cell>
        </row>
        <row r="199">
          <cell r="A199" t="str">
            <v>Cayman Islands</v>
          </cell>
        </row>
        <row r="200">
          <cell r="A200" t="str">
            <v>Thailand</v>
          </cell>
          <cell r="B200">
            <v>3</v>
          </cell>
        </row>
        <row r="201">
          <cell r="A201" t="str">
            <v>Mayotte</v>
          </cell>
        </row>
        <row r="202">
          <cell r="A202" t="str">
            <v>Isle of Man</v>
          </cell>
        </row>
        <row r="203">
          <cell r="A203" t="str">
            <v>RÃ©union</v>
          </cell>
        </row>
        <row r="204">
          <cell r="A204" t="str">
            <v>Vanuatu</v>
          </cell>
        </row>
        <row r="205">
          <cell r="A205" t="str">
            <v>St. Lucia</v>
          </cell>
        </row>
        <row r="206">
          <cell r="A206" t="str">
            <v>Kuwait</v>
          </cell>
        </row>
        <row r="207">
          <cell r="A207" t="str">
            <v>Guam</v>
          </cell>
        </row>
        <row r="208">
          <cell r="A208" t="str">
            <v>Jersey</v>
          </cell>
        </row>
        <row r="209">
          <cell r="A209" t="str">
            <v>Guernsey</v>
          </cell>
        </row>
        <row r="210">
          <cell r="A210" t="str">
            <v>Martinique</v>
          </cell>
        </row>
        <row r="211">
          <cell r="A211" t="str">
            <v>Guyana</v>
          </cell>
        </row>
        <row r="212">
          <cell r="A212" t="str">
            <v>French Guiana</v>
          </cell>
        </row>
        <row r="213">
          <cell r="A213" t="str">
            <v>Samoa</v>
          </cell>
        </row>
        <row r="214">
          <cell r="A214" t="str">
            <v>Aruba</v>
          </cell>
        </row>
        <row r="215">
          <cell r="A215" t="str">
            <v>Libya</v>
          </cell>
        </row>
        <row r="216">
          <cell r="A216" t="str">
            <v>Bermuda</v>
          </cell>
        </row>
        <row r="217">
          <cell r="A217" t="str">
            <v>Caribbean Netherlands</v>
          </cell>
        </row>
        <row r="218">
          <cell r="A218" t="str">
            <v>Antigua &amp; Barbuda</v>
          </cell>
        </row>
        <row r="219">
          <cell r="A219" t="str">
            <v>Iraq</v>
          </cell>
        </row>
        <row r="220">
          <cell r="A220" t="str">
            <v>Sint Maarten</v>
          </cell>
        </row>
        <row r="221">
          <cell r="A221" t="str">
            <v>St. BarthÃ©lemy</v>
          </cell>
        </row>
        <row r="222">
          <cell r="A222" t="str">
            <v>Bahamas</v>
          </cell>
        </row>
        <row r="223">
          <cell r="A223" t="str">
            <v>North Korea</v>
          </cell>
        </row>
        <row r="224">
          <cell r="A224" t="str">
            <v>Montserrat</v>
          </cell>
        </row>
        <row r="225">
          <cell r="A225" t="str">
            <v>Norfolk Island</v>
          </cell>
        </row>
        <row r="226">
          <cell r="A226" t="str">
            <v>Wallis &amp; Futuna</v>
          </cell>
        </row>
        <row r="227">
          <cell r="A227" t="str">
            <v>Kiribati</v>
          </cell>
        </row>
        <row r="228">
          <cell r="A228" t="str">
            <v>Svalbard &amp; Jan Mayen</v>
          </cell>
        </row>
        <row r="229">
          <cell r="A229" t="str">
            <v>Falkland Islands (Islas Malvinas)</v>
          </cell>
        </row>
        <row r="230">
          <cell r="A230" t="str">
            <v>Palau</v>
          </cell>
        </row>
        <row r="231">
          <cell r="A231" t="str">
            <v>Cook Islands</v>
          </cell>
        </row>
        <row r="232">
          <cell r="A232" t="str">
            <v>St. Pierre &amp; Miquelon</v>
          </cell>
        </row>
        <row r="233">
          <cell r="A233" t="str">
            <v>Anguilla</v>
          </cell>
        </row>
        <row r="234">
          <cell r="A234" t="str">
            <v>British Virgin Islands</v>
          </cell>
        </row>
        <row r="235">
          <cell r="A235" t="str">
            <v>Micronesia</v>
          </cell>
        </row>
        <row r="236">
          <cell r="A236" t="str">
            <v>American Samoa</v>
          </cell>
        </row>
        <row r="237">
          <cell r="A237" t="str">
            <v>Marshall Islands</v>
          </cell>
        </row>
        <row r="238">
          <cell r="A238" t="str">
            <v>Turks &amp; Caicos Islands</v>
          </cell>
        </row>
        <row r="239">
          <cell r="A239" t="str">
            <v>St. Martin</v>
          </cell>
        </row>
        <row r="240">
          <cell r="A240" t="str">
            <v>Antarctica</v>
          </cell>
        </row>
        <row r="241">
          <cell r="A241" t="str">
            <v>French Southern Territories</v>
          </cell>
        </row>
        <row r="242">
          <cell r="A242" t="str">
            <v>Bouvet Island</v>
          </cell>
        </row>
        <row r="243">
          <cell r="A243" t="str">
            <v>Cocos (Keeling) Islands</v>
          </cell>
        </row>
        <row r="244">
          <cell r="A244" t="str">
            <v>Christmas Island</v>
          </cell>
        </row>
        <row r="245">
          <cell r="A245" t="str">
            <v>Heard &amp; McDonald Islands</v>
          </cell>
        </row>
        <row r="246">
          <cell r="A246" t="str">
            <v>Niue</v>
          </cell>
        </row>
        <row r="247">
          <cell r="A247" t="str">
            <v>Nauru</v>
          </cell>
        </row>
        <row r="248">
          <cell r="A248" t="str">
            <v>Pitcairn Islands</v>
          </cell>
        </row>
        <row r="249">
          <cell r="A249" t="str">
            <v>South Georgia &amp; South Sandwich Islands</v>
          </cell>
        </row>
        <row r="250">
          <cell r="A250" t="str">
            <v>Tokelau</v>
          </cell>
        </row>
        <row r="251">
          <cell r="A251" t="str">
            <v>Tuvalu</v>
          </cell>
        </row>
        <row r="252">
          <cell r="A252" t="str">
            <v>U.S. Outlying Islands</v>
          </cell>
        </row>
        <row r="253">
          <cell r="A253" t="str">
            <v>Vatican City</v>
          </cell>
        </row>
      </sheetData>
    </sheetDataSet>
  </externalBook>
</externalLink>
</file>

<file path=xl/externalLinks/externalLink2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
    </sheetNames>
    <sheetDataSet>
      <sheetData sheetId="0">
        <row r="1">
          <cell r="A1" t="str">
            <v>Category: All categories</v>
          </cell>
        </row>
        <row r="3">
          <cell r="A3" t="str">
            <v>Country</v>
          </cell>
          <cell r="B3" t="str">
            <v>Java: (2015)</v>
          </cell>
          <cell r="C3" t="str">
            <v>Python: (2015)</v>
          </cell>
        </row>
        <row r="4">
          <cell r="A4" t="str">
            <v>China</v>
          </cell>
          <cell r="B4">
            <v>0.57999999999999996</v>
          </cell>
          <cell r="C4">
            <v>0.42</v>
          </cell>
        </row>
        <row r="5">
          <cell r="A5" t="str">
            <v>SÃ£o TomÃ© &amp; PrÃ­ncipe</v>
          </cell>
        </row>
        <row r="6">
          <cell r="A6" t="str">
            <v>Madagascar</v>
          </cell>
        </row>
        <row r="7">
          <cell r="A7" t="str">
            <v>Bangladesh</v>
          </cell>
          <cell r="B7">
            <v>0.97</v>
          </cell>
          <cell r="C7">
            <v>0.03</v>
          </cell>
        </row>
        <row r="8">
          <cell r="A8" t="str">
            <v>British Indian Ocean Territory</v>
          </cell>
        </row>
        <row r="9">
          <cell r="A9" t="str">
            <v>Cameroon</v>
          </cell>
        </row>
        <row r="10">
          <cell r="A10" t="str">
            <v>Togo</v>
          </cell>
        </row>
        <row r="11">
          <cell r="A11" t="str">
            <v>India</v>
          </cell>
          <cell r="B11">
            <v>0.91</v>
          </cell>
          <cell r="C11">
            <v>0.09</v>
          </cell>
        </row>
        <row r="12">
          <cell r="A12" t="str">
            <v>Bolivia</v>
          </cell>
        </row>
        <row r="13">
          <cell r="A13" t="str">
            <v>Cuba</v>
          </cell>
        </row>
        <row r="14">
          <cell r="A14" t="str">
            <v>Benin</v>
          </cell>
        </row>
        <row r="15">
          <cell r="A15" t="str">
            <v>Ethiopia</v>
          </cell>
        </row>
        <row r="16">
          <cell r="A16" t="str">
            <v>Uganda</v>
          </cell>
        </row>
        <row r="17">
          <cell r="A17" t="str">
            <v>Sri Lanka</v>
          </cell>
          <cell r="B17">
            <v>0.91</v>
          </cell>
          <cell r="C17">
            <v>0.09</v>
          </cell>
        </row>
        <row r="18">
          <cell r="A18" t="str">
            <v>Eritrea</v>
          </cell>
        </row>
        <row r="19">
          <cell r="A19" t="str">
            <v>Comoros</v>
          </cell>
        </row>
        <row r="20">
          <cell r="A20" t="str">
            <v>Nepal</v>
          </cell>
        </row>
        <row r="21">
          <cell r="A21" t="str">
            <v>Zambia</v>
          </cell>
        </row>
        <row r="22">
          <cell r="A22" t="str">
            <v>Uzbekistan</v>
          </cell>
        </row>
        <row r="23">
          <cell r="A23" t="str">
            <v>St. Helena</v>
          </cell>
        </row>
        <row r="24">
          <cell r="A24" t="str">
            <v>Mozambique</v>
          </cell>
        </row>
        <row r="25">
          <cell r="A25" t="str">
            <v>Nigeria</v>
          </cell>
          <cell r="B25">
            <v>0.93</v>
          </cell>
          <cell r="C25">
            <v>7.0000000000000007E-2</v>
          </cell>
        </row>
        <row r="26">
          <cell r="A26" t="str">
            <v>Botswana</v>
          </cell>
        </row>
        <row r="27">
          <cell r="A27" t="str">
            <v>South Korea</v>
          </cell>
          <cell r="B27">
            <v>0.77</v>
          </cell>
          <cell r="C27">
            <v>0.23</v>
          </cell>
        </row>
        <row r="28">
          <cell r="A28" t="str">
            <v>Rwanda</v>
          </cell>
        </row>
        <row r="29">
          <cell r="A29" t="str">
            <v>Pakistan</v>
          </cell>
          <cell r="B29">
            <v>0.94</v>
          </cell>
          <cell r="C29">
            <v>0.06</v>
          </cell>
        </row>
        <row r="30">
          <cell r="A30" t="str">
            <v>Timor-Leste</v>
          </cell>
        </row>
        <row r="31">
          <cell r="A31" t="str">
            <v>Malawi</v>
          </cell>
        </row>
        <row r="32">
          <cell r="A32" t="str">
            <v>Burundi</v>
          </cell>
        </row>
        <row r="33">
          <cell r="A33" t="str">
            <v>Congo - Kinshasa</v>
          </cell>
        </row>
        <row r="34">
          <cell r="A34" t="str">
            <v>Congo - Brazzaville</v>
          </cell>
        </row>
        <row r="35">
          <cell r="A35" t="str">
            <v>Nicaragua</v>
          </cell>
        </row>
        <row r="36">
          <cell r="A36" t="str">
            <v>Eswatini</v>
          </cell>
        </row>
        <row r="37">
          <cell r="A37" t="str">
            <v>Burkina Faso</v>
          </cell>
        </row>
        <row r="38">
          <cell r="A38" t="str">
            <v>Sierra Leone</v>
          </cell>
        </row>
        <row r="39">
          <cell r="A39" t="str">
            <v>Cape Verde</v>
          </cell>
        </row>
        <row r="40">
          <cell r="A40" t="str">
            <v>Niger</v>
          </cell>
        </row>
        <row r="41">
          <cell r="A41" t="str">
            <v>Kenya</v>
          </cell>
          <cell r="B41">
            <v>0.88</v>
          </cell>
          <cell r="C41">
            <v>0.12</v>
          </cell>
        </row>
        <row r="42">
          <cell r="A42" t="str">
            <v>Hong Kong</v>
          </cell>
          <cell r="B42">
            <v>0.75</v>
          </cell>
          <cell r="C42">
            <v>0.25</v>
          </cell>
        </row>
        <row r="43">
          <cell r="A43" t="str">
            <v>Luxembourg</v>
          </cell>
        </row>
        <row r="44">
          <cell r="A44" t="str">
            <v>Tunisia</v>
          </cell>
          <cell r="B44">
            <v>0.88</v>
          </cell>
          <cell r="C44">
            <v>0.12</v>
          </cell>
        </row>
        <row r="45">
          <cell r="A45" t="str">
            <v>Faroe Islands</v>
          </cell>
        </row>
        <row r="46">
          <cell r="A46" t="str">
            <v>CÃ´te dâ€™Ivoire</v>
          </cell>
        </row>
        <row r="47">
          <cell r="A47" t="str">
            <v>Iran</v>
          </cell>
          <cell r="B47">
            <v>0.92</v>
          </cell>
          <cell r="C47">
            <v>0.08</v>
          </cell>
        </row>
        <row r="48">
          <cell r="A48" t="str">
            <v>Singapore</v>
          </cell>
          <cell r="B48">
            <v>0.7</v>
          </cell>
          <cell r="C48">
            <v>0.3</v>
          </cell>
        </row>
        <row r="49">
          <cell r="A49" t="str">
            <v>Costa Rica</v>
          </cell>
          <cell r="B49">
            <v>0.88</v>
          </cell>
          <cell r="C49">
            <v>0.12</v>
          </cell>
        </row>
        <row r="50">
          <cell r="A50" t="str">
            <v>Indonesia</v>
          </cell>
          <cell r="B50">
            <v>0.95</v>
          </cell>
          <cell r="C50">
            <v>0.05</v>
          </cell>
        </row>
        <row r="51">
          <cell r="A51" t="str">
            <v>Tanzania</v>
          </cell>
        </row>
        <row r="52">
          <cell r="A52" t="str">
            <v>Philippines</v>
          </cell>
          <cell r="B52">
            <v>0.89</v>
          </cell>
          <cell r="C52">
            <v>0.11</v>
          </cell>
        </row>
        <row r="53">
          <cell r="A53" t="str">
            <v>Estonia</v>
          </cell>
        </row>
        <row r="54">
          <cell r="A54" t="str">
            <v>Guinea</v>
          </cell>
        </row>
        <row r="55">
          <cell r="A55" t="str">
            <v>Ghana</v>
          </cell>
        </row>
        <row r="56">
          <cell r="A56" t="str">
            <v>Portugal</v>
          </cell>
          <cell r="B56">
            <v>0.85</v>
          </cell>
          <cell r="C56">
            <v>0.15</v>
          </cell>
        </row>
        <row r="57">
          <cell r="A57" t="str">
            <v>Mali</v>
          </cell>
        </row>
        <row r="58">
          <cell r="A58" t="str">
            <v>Ireland</v>
          </cell>
          <cell r="B58">
            <v>0.76</v>
          </cell>
          <cell r="C58">
            <v>0.24</v>
          </cell>
        </row>
        <row r="59">
          <cell r="A59" t="str">
            <v>Belarus</v>
          </cell>
          <cell r="B59">
            <v>0.81</v>
          </cell>
          <cell r="C59">
            <v>0.19</v>
          </cell>
        </row>
        <row r="60">
          <cell r="A60" t="str">
            <v>El Salvador</v>
          </cell>
        </row>
        <row r="61">
          <cell r="A61" t="str">
            <v>Zimbabwe</v>
          </cell>
        </row>
        <row r="62">
          <cell r="A62" t="str">
            <v>Ã…land Islands</v>
          </cell>
        </row>
        <row r="63">
          <cell r="A63" t="str">
            <v>North Macedonia</v>
          </cell>
        </row>
        <row r="64">
          <cell r="A64" t="str">
            <v>Serbia</v>
          </cell>
          <cell r="B64">
            <v>0.87</v>
          </cell>
          <cell r="C64">
            <v>0.13</v>
          </cell>
        </row>
        <row r="65">
          <cell r="A65" t="str">
            <v>Mexico</v>
          </cell>
          <cell r="B65">
            <v>0.93</v>
          </cell>
          <cell r="C65">
            <v>7.0000000000000007E-2</v>
          </cell>
        </row>
        <row r="66">
          <cell r="A66" t="str">
            <v>Lesotho</v>
          </cell>
        </row>
        <row r="67">
          <cell r="A67" t="str">
            <v>Israel</v>
          </cell>
          <cell r="B67">
            <v>0.61</v>
          </cell>
          <cell r="C67">
            <v>0.39</v>
          </cell>
        </row>
        <row r="68">
          <cell r="A68" t="str">
            <v>Hungary</v>
          </cell>
          <cell r="B68">
            <v>0.85</v>
          </cell>
          <cell r="C68">
            <v>0.15</v>
          </cell>
        </row>
        <row r="69">
          <cell r="A69" t="str">
            <v>Syria</v>
          </cell>
        </row>
        <row r="70">
          <cell r="A70" t="str">
            <v>Ukraine</v>
          </cell>
          <cell r="B70">
            <v>0.8</v>
          </cell>
          <cell r="C70">
            <v>0.2</v>
          </cell>
        </row>
        <row r="71">
          <cell r="A71" t="str">
            <v>Germany</v>
          </cell>
          <cell r="B71">
            <v>0.77</v>
          </cell>
          <cell r="C71">
            <v>0.23</v>
          </cell>
        </row>
        <row r="72">
          <cell r="A72" t="str">
            <v>Malta</v>
          </cell>
        </row>
        <row r="73">
          <cell r="A73" t="str">
            <v>Czechia</v>
          </cell>
          <cell r="B73">
            <v>0.75</v>
          </cell>
          <cell r="C73">
            <v>0.25</v>
          </cell>
        </row>
        <row r="74">
          <cell r="A74" t="str">
            <v>Morocco</v>
          </cell>
          <cell r="B74">
            <v>0.89</v>
          </cell>
          <cell r="C74">
            <v>0.11</v>
          </cell>
        </row>
        <row r="75">
          <cell r="A75" t="str">
            <v>Mauritania</v>
          </cell>
        </row>
        <row r="76">
          <cell r="A76" t="str">
            <v>Switzerland</v>
          </cell>
          <cell r="B76">
            <v>0.71</v>
          </cell>
          <cell r="C76">
            <v>0.28999999999999998</v>
          </cell>
        </row>
        <row r="77">
          <cell r="A77" t="str">
            <v>Brazil</v>
          </cell>
          <cell r="B77">
            <v>0.92</v>
          </cell>
          <cell r="C77">
            <v>0.08</v>
          </cell>
        </row>
        <row r="78">
          <cell r="A78" t="str">
            <v>Afghanistan</v>
          </cell>
        </row>
        <row r="79">
          <cell r="A79" t="str">
            <v>Chad</v>
          </cell>
        </row>
        <row r="80">
          <cell r="A80" t="str">
            <v>Gibraltar</v>
          </cell>
        </row>
        <row r="81">
          <cell r="A81" t="str">
            <v>Guatemala</v>
          </cell>
        </row>
        <row r="82">
          <cell r="A82" t="str">
            <v>Angola</v>
          </cell>
        </row>
        <row r="83">
          <cell r="A83" t="str">
            <v>Myanmar (Burma)</v>
          </cell>
        </row>
        <row r="84">
          <cell r="A84" t="str">
            <v>Ecuador</v>
          </cell>
          <cell r="B84">
            <v>0.92</v>
          </cell>
          <cell r="C84">
            <v>0.08</v>
          </cell>
        </row>
        <row r="85">
          <cell r="A85" t="str">
            <v>Austria</v>
          </cell>
          <cell r="B85">
            <v>0.78</v>
          </cell>
          <cell r="C85">
            <v>0.22</v>
          </cell>
        </row>
        <row r="86">
          <cell r="A86" t="str">
            <v>Solomon Islands</v>
          </cell>
        </row>
        <row r="87">
          <cell r="A87" t="str">
            <v>Mauritius</v>
          </cell>
        </row>
        <row r="88">
          <cell r="A88" t="str">
            <v>Romania</v>
          </cell>
          <cell r="B88">
            <v>0.84</v>
          </cell>
          <cell r="C88">
            <v>0.16</v>
          </cell>
        </row>
        <row r="89">
          <cell r="A89" t="str">
            <v>Tonga</v>
          </cell>
        </row>
        <row r="90">
          <cell r="A90" t="str">
            <v>Poland</v>
          </cell>
          <cell r="B90">
            <v>0.83</v>
          </cell>
          <cell r="C90">
            <v>0.17</v>
          </cell>
        </row>
        <row r="91">
          <cell r="A91" t="str">
            <v>Central African Republic</v>
          </cell>
        </row>
        <row r="92">
          <cell r="A92" t="str">
            <v>Denmark</v>
          </cell>
          <cell r="B92">
            <v>0.78</v>
          </cell>
          <cell r="C92">
            <v>0.22</v>
          </cell>
        </row>
        <row r="93">
          <cell r="A93" t="str">
            <v>Senegal</v>
          </cell>
        </row>
        <row r="94">
          <cell r="A94" t="str">
            <v>Spain</v>
          </cell>
          <cell r="B94">
            <v>0.83</v>
          </cell>
          <cell r="C94">
            <v>0.17</v>
          </cell>
        </row>
        <row r="95">
          <cell r="A95" t="str">
            <v>Bosnia &amp; Herzegovina</v>
          </cell>
        </row>
        <row r="96">
          <cell r="A96" t="str">
            <v>Croatia</v>
          </cell>
          <cell r="B96">
            <v>0.78</v>
          </cell>
          <cell r="C96">
            <v>0.22</v>
          </cell>
        </row>
        <row r="97">
          <cell r="A97" t="str">
            <v>Peru</v>
          </cell>
          <cell r="B97">
            <v>0.92</v>
          </cell>
          <cell r="C97">
            <v>0.08</v>
          </cell>
        </row>
        <row r="98">
          <cell r="A98" t="str">
            <v>Gabon</v>
          </cell>
        </row>
        <row r="99">
          <cell r="A99" t="str">
            <v>Colombia</v>
          </cell>
          <cell r="B99">
            <v>0.89</v>
          </cell>
          <cell r="C99">
            <v>0.11</v>
          </cell>
        </row>
        <row r="100">
          <cell r="A100" t="str">
            <v>Liechtenstein</v>
          </cell>
        </row>
        <row r="101">
          <cell r="A101" t="str">
            <v>Uruguay</v>
          </cell>
        </row>
        <row r="102">
          <cell r="A102" t="str">
            <v>United States</v>
          </cell>
          <cell r="B102">
            <v>0.68</v>
          </cell>
          <cell r="C102">
            <v>0.32</v>
          </cell>
        </row>
        <row r="103">
          <cell r="A103" t="str">
            <v>Iceland</v>
          </cell>
        </row>
        <row r="104">
          <cell r="A104" t="str">
            <v>Equatorial Guinea</v>
          </cell>
        </row>
        <row r="105">
          <cell r="A105" t="str">
            <v>Guinea-Bissau</v>
          </cell>
        </row>
        <row r="106">
          <cell r="A106" t="str">
            <v>Latvia</v>
          </cell>
        </row>
        <row r="107">
          <cell r="A107" t="str">
            <v>Sweden</v>
          </cell>
          <cell r="B107">
            <v>0.69</v>
          </cell>
          <cell r="C107">
            <v>0.31</v>
          </cell>
        </row>
        <row r="108">
          <cell r="A108" t="str">
            <v>Belgium</v>
          </cell>
          <cell r="B108">
            <v>0.73</v>
          </cell>
          <cell r="C108">
            <v>0.27</v>
          </cell>
        </row>
        <row r="109">
          <cell r="A109" t="str">
            <v>Haiti</v>
          </cell>
        </row>
        <row r="110">
          <cell r="A110" t="str">
            <v>Norway</v>
          </cell>
          <cell r="B110">
            <v>0.69</v>
          </cell>
          <cell r="C110">
            <v>0.31</v>
          </cell>
        </row>
        <row r="111">
          <cell r="A111" t="str">
            <v>Bulgaria</v>
          </cell>
          <cell r="B111">
            <v>0.85</v>
          </cell>
          <cell r="C111">
            <v>0.15</v>
          </cell>
        </row>
        <row r="112">
          <cell r="A112" t="str">
            <v>Taiwan</v>
          </cell>
          <cell r="B112">
            <v>0.73</v>
          </cell>
          <cell r="C112">
            <v>0.27</v>
          </cell>
        </row>
        <row r="113">
          <cell r="A113" t="str">
            <v>Somalia</v>
          </cell>
        </row>
        <row r="114">
          <cell r="A114" t="str">
            <v>Lithuania</v>
          </cell>
          <cell r="B114">
            <v>0.83</v>
          </cell>
          <cell r="C114">
            <v>0.17</v>
          </cell>
        </row>
        <row r="115">
          <cell r="A115" t="str">
            <v>Namibia</v>
          </cell>
        </row>
        <row r="116">
          <cell r="A116" t="str">
            <v>South Africa</v>
          </cell>
          <cell r="B116">
            <v>0.78</v>
          </cell>
          <cell r="C116">
            <v>0.22</v>
          </cell>
        </row>
        <row r="117">
          <cell r="A117" t="str">
            <v>Slovenia</v>
          </cell>
          <cell r="B117">
            <v>0.7</v>
          </cell>
          <cell r="C117">
            <v>0.3</v>
          </cell>
        </row>
        <row r="118">
          <cell r="A118" t="str">
            <v>Tajikistan</v>
          </cell>
        </row>
        <row r="119">
          <cell r="A119" t="str">
            <v>Moldova</v>
          </cell>
        </row>
        <row r="120">
          <cell r="A120" t="str">
            <v>Greenland</v>
          </cell>
        </row>
        <row r="121">
          <cell r="A121" t="str">
            <v>Turkmenistan</v>
          </cell>
        </row>
        <row r="122">
          <cell r="A122" t="str">
            <v>Slovakia</v>
          </cell>
          <cell r="B122">
            <v>0.8</v>
          </cell>
          <cell r="C122">
            <v>0.2</v>
          </cell>
        </row>
        <row r="123">
          <cell r="A123" t="str">
            <v>Honduras</v>
          </cell>
        </row>
        <row r="124">
          <cell r="A124" t="str">
            <v>Andorra</v>
          </cell>
        </row>
        <row r="125">
          <cell r="A125" t="str">
            <v>Cambodia</v>
          </cell>
        </row>
        <row r="126">
          <cell r="A126" t="str">
            <v>Finland</v>
          </cell>
          <cell r="B126">
            <v>0.66</v>
          </cell>
          <cell r="C126">
            <v>0.34</v>
          </cell>
        </row>
        <row r="127">
          <cell r="A127" t="str">
            <v>Paraguay</v>
          </cell>
        </row>
        <row r="128">
          <cell r="A128" t="str">
            <v>Canada</v>
          </cell>
          <cell r="B128">
            <v>0.67</v>
          </cell>
          <cell r="C128">
            <v>0.33</v>
          </cell>
        </row>
        <row r="129">
          <cell r="A129" t="str">
            <v>Djibouti</v>
          </cell>
        </row>
        <row r="130">
          <cell r="A130" t="str">
            <v>Kazakhstan</v>
          </cell>
        </row>
        <row r="131">
          <cell r="A131" t="str">
            <v>Armenia</v>
          </cell>
        </row>
        <row r="132">
          <cell r="A132" t="str">
            <v>Vietnam</v>
          </cell>
          <cell r="B132">
            <v>0.92</v>
          </cell>
          <cell r="C132">
            <v>0.08</v>
          </cell>
        </row>
        <row r="133">
          <cell r="A133" t="str">
            <v>Netherlands</v>
          </cell>
          <cell r="B133">
            <v>0.69</v>
          </cell>
          <cell r="C133">
            <v>0.31</v>
          </cell>
        </row>
        <row r="134">
          <cell r="A134" t="str">
            <v>Mongolia</v>
          </cell>
        </row>
        <row r="135">
          <cell r="A135" t="str">
            <v>Gambia</v>
          </cell>
        </row>
        <row r="136">
          <cell r="A136" t="str">
            <v>Lebanon</v>
          </cell>
        </row>
        <row r="137">
          <cell r="A137" t="str">
            <v>Sudan</v>
          </cell>
        </row>
        <row r="138">
          <cell r="A138" t="str">
            <v>Bhutan</v>
          </cell>
        </row>
        <row r="139">
          <cell r="A139" t="str">
            <v>Algeria</v>
          </cell>
          <cell r="B139">
            <v>0.9</v>
          </cell>
          <cell r="C139">
            <v>0.1</v>
          </cell>
        </row>
        <row r="140">
          <cell r="A140" t="str">
            <v>Macao</v>
          </cell>
        </row>
        <row r="141">
          <cell r="A141" t="str">
            <v>Greece</v>
          </cell>
          <cell r="B141">
            <v>0.79</v>
          </cell>
          <cell r="C141">
            <v>0.21</v>
          </cell>
        </row>
        <row r="142">
          <cell r="A142" t="str">
            <v>Japan</v>
          </cell>
          <cell r="B142">
            <v>0.79</v>
          </cell>
          <cell r="C142">
            <v>0.21</v>
          </cell>
        </row>
        <row r="143">
          <cell r="A143" t="str">
            <v>Palestine</v>
          </cell>
        </row>
        <row r="144">
          <cell r="A144" t="str">
            <v>Italy</v>
          </cell>
          <cell r="B144">
            <v>0.83</v>
          </cell>
          <cell r="C144">
            <v>0.17</v>
          </cell>
        </row>
        <row r="145">
          <cell r="A145" t="str">
            <v>South Sudan</v>
          </cell>
        </row>
        <row r="146">
          <cell r="A146" t="str">
            <v>Monaco</v>
          </cell>
        </row>
        <row r="147">
          <cell r="A147" t="str">
            <v>Chile</v>
          </cell>
          <cell r="B147">
            <v>0.79</v>
          </cell>
          <cell r="C147">
            <v>0.21</v>
          </cell>
        </row>
        <row r="148">
          <cell r="A148" t="str">
            <v>Kyrgyzstan</v>
          </cell>
        </row>
        <row r="149">
          <cell r="A149" t="str">
            <v>Yemen</v>
          </cell>
        </row>
        <row r="150">
          <cell r="A150" t="str">
            <v>Kosovo</v>
          </cell>
        </row>
        <row r="151">
          <cell r="A151" t="str">
            <v>Brunei</v>
          </cell>
        </row>
        <row r="152">
          <cell r="A152" t="str">
            <v>Seychelles</v>
          </cell>
        </row>
        <row r="153">
          <cell r="A153" t="str">
            <v>New Zealand</v>
          </cell>
          <cell r="B153">
            <v>0.61</v>
          </cell>
          <cell r="C153">
            <v>0.39</v>
          </cell>
        </row>
        <row r="154">
          <cell r="A154" t="str">
            <v>France</v>
          </cell>
          <cell r="B154">
            <v>0.69</v>
          </cell>
          <cell r="C154">
            <v>0.31</v>
          </cell>
        </row>
        <row r="155">
          <cell r="A155" t="str">
            <v>Argentina</v>
          </cell>
          <cell r="B155">
            <v>0.86</v>
          </cell>
          <cell r="C155">
            <v>0.14000000000000001</v>
          </cell>
        </row>
        <row r="156">
          <cell r="A156" t="str">
            <v>Albania</v>
          </cell>
        </row>
        <row r="157">
          <cell r="A157" t="str">
            <v>Venezuela</v>
          </cell>
          <cell r="B157">
            <v>0.9</v>
          </cell>
          <cell r="C157">
            <v>0.1</v>
          </cell>
        </row>
        <row r="158">
          <cell r="A158" t="str">
            <v>Russia</v>
          </cell>
          <cell r="B158">
            <v>0.69</v>
          </cell>
          <cell r="C158">
            <v>0.31</v>
          </cell>
        </row>
        <row r="159">
          <cell r="A159" t="str">
            <v>Montenegro</v>
          </cell>
        </row>
        <row r="160">
          <cell r="A160" t="str">
            <v>Turkey</v>
          </cell>
          <cell r="B160">
            <v>0.92</v>
          </cell>
          <cell r="C160">
            <v>0.08</v>
          </cell>
        </row>
        <row r="161">
          <cell r="A161" t="str">
            <v>Malaysia</v>
          </cell>
          <cell r="B161">
            <v>0.84</v>
          </cell>
          <cell r="C161">
            <v>0.16</v>
          </cell>
        </row>
        <row r="162">
          <cell r="A162" t="str">
            <v>Jamaica</v>
          </cell>
        </row>
        <row r="163">
          <cell r="A163" t="str">
            <v>Northern Mariana Islands</v>
          </cell>
        </row>
        <row r="164">
          <cell r="A164" t="str">
            <v>Panama</v>
          </cell>
        </row>
        <row r="165">
          <cell r="A165" t="str">
            <v>Laos</v>
          </cell>
        </row>
        <row r="166">
          <cell r="A166" t="str">
            <v>Jordan</v>
          </cell>
        </row>
        <row r="167">
          <cell r="A167" t="str">
            <v>Dominican Republic</v>
          </cell>
        </row>
        <row r="168">
          <cell r="A168" t="str">
            <v>Cyprus</v>
          </cell>
        </row>
        <row r="169">
          <cell r="A169" t="str">
            <v>Maldives</v>
          </cell>
        </row>
        <row r="170">
          <cell r="A170" t="str">
            <v>Papua New Guinea</v>
          </cell>
        </row>
        <row r="171">
          <cell r="A171" t="str">
            <v>Australia</v>
          </cell>
          <cell r="B171">
            <v>0.65</v>
          </cell>
          <cell r="C171">
            <v>0.35</v>
          </cell>
        </row>
        <row r="172">
          <cell r="A172" t="str">
            <v>French Polynesia</v>
          </cell>
        </row>
        <row r="173">
          <cell r="A173" t="str">
            <v>Qatar</v>
          </cell>
        </row>
        <row r="174">
          <cell r="A174" t="str">
            <v>United Kingdom</v>
          </cell>
          <cell r="B174">
            <v>0.61</v>
          </cell>
          <cell r="C174">
            <v>0.39</v>
          </cell>
        </row>
        <row r="175">
          <cell r="A175" t="str">
            <v>Dominica</v>
          </cell>
        </row>
        <row r="176">
          <cell r="A176" t="str">
            <v>Egypt</v>
          </cell>
          <cell r="B176">
            <v>0.87</v>
          </cell>
          <cell r="C176">
            <v>0.13</v>
          </cell>
        </row>
        <row r="177">
          <cell r="A177" t="str">
            <v>Trinidad &amp; Tobago</v>
          </cell>
        </row>
        <row r="178">
          <cell r="A178" t="str">
            <v>San Marino</v>
          </cell>
        </row>
        <row r="179">
          <cell r="A179" t="str">
            <v>Vanuatu</v>
          </cell>
        </row>
        <row r="180">
          <cell r="A180" t="str">
            <v>Azerbaijan</v>
          </cell>
        </row>
        <row r="181">
          <cell r="A181" t="str">
            <v>United Arab Emirates</v>
          </cell>
          <cell r="B181">
            <v>0.8</v>
          </cell>
          <cell r="C181">
            <v>0.2</v>
          </cell>
        </row>
        <row r="182">
          <cell r="A182" t="str">
            <v>U.S. Virgin Islands</v>
          </cell>
        </row>
        <row r="183">
          <cell r="A183" t="str">
            <v>Liberia</v>
          </cell>
        </row>
        <row r="184">
          <cell r="A184" t="str">
            <v>New Caledonia</v>
          </cell>
        </row>
        <row r="185">
          <cell r="A185" t="str">
            <v>Georgia</v>
          </cell>
        </row>
        <row r="186">
          <cell r="A186" t="str">
            <v>Bahrain</v>
          </cell>
        </row>
        <row r="187">
          <cell r="A187" t="str">
            <v>Fiji</v>
          </cell>
        </row>
        <row r="188">
          <cell r="A188" t="str">
            <v>Saudi Arabia</v>
          </cell>
          <cell r="B188">
            <v>0.88</v>
          </cell>
          <cell r="C188">
            <v>0.12</v>
          </cell>
        </row>
        <row r="189">
          <cell r="A189" t="str">
            <v>Oman</v>
          </cell>
        </row>
        <row r="190">
          <cell r="A190" t="str">
            <v>Belize</v>
          </cell>
        </row>
        <row r="191">
          <cell r="A191" t="str">
            <v>Barbados</v>
          </cell>
        </row>
        <row r="192">
          <cell r="A192" t="str">
            <v>Puerto Rico</v>
          </cell>
        </row>
        <row r="193">
          <cell r="A193" t="str">
            <v>CuraÃ§ao</v>
          </cell>
        </row>
        <row r="194">
          <cell r="A194" t="str">
            <v>Guernsey</v>
          </cell>
        </row>
        <row r="195">
          <cell r="A195" t="str">
            <v>Guadeloupe</v>
          </cell>
        </row>
        <row r="196">
          <cell r="A196" t="str">
            <v>Guyana</v>
          </cell>
        </row>
        <row r="197">
          <cell r="A197" t="str">
            <v>Isle of Man</v>
          </cell>
        </row>
        <row r="198">
          <cell r="A198" t="str">
            <v>St. Lucia</v>
          </cell>
        </row>
        <row r="199">
          <cell r="A199" t="str">
            <v>Suriname</v>
          </cell>
        </row>
        <row r="200">
          <cell r="A200" t="str">
            <v>Thailand</v>
          </cell>
          <cell r="B200">
            <v>0.87</v>
          </cell>
          <cell r="C200">
            <v>0.13</v>
          </cell>
        </row>
        <row r="201">
          <cell r="A201" t="str">
            <v>Mayotte</v>
          </cell>
        </row>
        <row r="202">
          <cell r="A202" t="str">
            <v>Grenada</v>
          </cell>
        </row>
        <row r="203">
          <cell r="A203" t="str">
            <v>Cayman Islands</v>
          </cell>
        </row>
        <row r="204">
          <cell r="A204" t="str">
            <v>Guam</v>
          </cell>
        </row>
        <row r="205">
          <cell r="A205" t="str">
            <v>RÃ©union</v>
          </cell>
        </row>
        <row r="206">
          <cell r="A206" t="str">
            <v>St. Kitts &amp; Nevis</v>
          </cell>
        </row>
        <row r="207">
          <cell r="A207" t="str">
            <v>Aruba</v>
          </cell>
        </row>
        <row r="208">
          <cell r="A208" t="str">
            <v>Kuwait</v>
          </cell>
        </row>
        <row r="209">
          <cell r="A209" t="str">
            <v>St. Vincent &amp; Grenadines</v>
          </cell>
        </row>
        <row r="210">
          <cell r="A210" t="str">
            <v>Jersey</v>
          </cell>
        </row>
        <row r="211">
          <cell r="A211" t="str">
            <v>Caribbean Netherlands</v>
          </cell>
        </row>
        <row r="212">
          <cell r="A212" t="str">
            <v>Samoa</v>
          </cell>
        </row>
        <row r="213">
          <cell r="A213" t="str">
            <v>Martinique</v>
          </cell>
        </row>
        <row r="214">
          <cell r="A214" t="str">
            <v>French Guiana</v>
          </cell>
        </row>
        <row r="215">
          <cell r="A215" t="str">
            <v>St. BarthÃ©lemy</v>
          </cell>
        </row>
        <row r="216">
          <cell r="A216" t="str">
            <v>Libya</v>
          </cell>
        </row>
        <row r="217">
          <cell r="A217" t="str">
            <v>Bermuda</v>
          </cell>
        </row>
        <row r="218">
          <cell r="A218" t="str">
            <v>Sint Maarten</v>
          </cell>
        </row>
        <row r="219">
          <cell r="A219" t="str">
            <v>Antigua &amp; Barbuda</v>
          </cell>
        </row>
        <row r="220">
          <cell r="A220" t="str">
            <v>Iraq</v>
          </cell>
        </row>
        <row r="221">
          <cell r="A221" t="str">
            <v>Bahamas</v>
          </cell>
        </row>
        <row r="222">
          <cell r="A222" t="str">
            <v>North Korea</v>
          </cell>
        </row>
        <row r="223">
          <cell r="A223" t="str">
            <v>Montserrat</v>
          </cell>
        </row>
        <row r="224">
          <cell r="A224" t="str">
            <v>Palau</v>
          </cell>
        </row>
        <row r="225">
          <cell r="A225" t="str">
            <v>Svalbard &amp; Jan Mayen</v>
          </cell>
        </row>
        <row r="226">
          <cell r="A226" t="str">
            <v>Kiribati</v>
          </cell>
        </row>
        <row r="227">
          <cell r="A227" t="str">
            <v>St. Pierre &amp; Miquelon</v>
          </cell>
        </row>
        <row r="228">
          <cell r="A228" t="str">
            <v>Anguilla</v>
          </cell>
        </row>
        <row r="229">
          <cell r="A229" t="str">
            <v>Cook Islands</v>
          </cell>
        </row>
        <row r="230">
          <cell r="A230" t="str">
            <v>Micronesia</v>
          </cell>
        </row>
        <row r="231">
          <cell r="A231" t="str">
            <v>British Virgin Islands</v>
          </cell>
        </row>
        <row r="232">
          <cell r="A232" t="str">
            <v>Falkland Islands (Islas Malvinas)</v>
          </cell>
        </row>
        <row r="233">
          <cell r="A233" t="str">
            <v>Turks &amp; Caicos Islands</v>
          </cell>
        </row>
        <row r="234">
          <cell r="A234" t="str">
            <v>Marshall Islands</v>
          </cell>
        </row>
        <row r="235">
          <cell r="A235" t="str">
            <v>American Samoa</v>
          </cell>
        </row>
        <row r="236">
          <cell r="A236" t="str">
            <v>St. Martin</v>
          </cell>
        </row>
        <row r="237">
          <cell r="A237" t="str">
            <v>Antarctica</v>
          </cell>
        </row>
        <row r="238">
          <cell r="A238" t="str">
            <v>French Southern Territories</v>
          </cell>
        </row>
        <row r="239">
          <cell r="A239" t="str">
            <v>Bouvet Island</v>
          </cell>
        </row>
        <row r="240">
          <cell r="A240" t="str">
            <v>Cocos (Keeling) Islands</v>
          </cell>
        </row>
        <row r="241">
          <cell r="A241" t="str">
            <v>Christmas Island</v>
          </cell>
        </row>
        <row r="242">
          <cell r="A242" t="str">
            <v>Western Sahara</v>
          </cell>
        </row>
        <row r="243">
          <cell r="A243" t="str">
            <v>Heard &amp; McDonald Islands</v>
          </cell>
        </row>
        <row r="244">
          <cell r="A244" t="str">
            <v>Norfolk Island</v>
          </cell>
        </row>
        <row r="245">
          <cell r="A245" t="str">
            <v>Niue</v>
          </cell>
        </row>
        <row r="246">
          <cell r="A246" t="str">
            <v>Nauru</v>
          </cell>
        </row>
        <row r="247">
          <cell r="A247" t="str">
            <v>Pitcairn Islands</v>
          </cell>
        </row>
        <row r="248">
          <cell r="A248" t="str">
            <v>South Georgia &amp; South Sandwich Islands</v>
          </cell>
        </row>
        <row r="249">
          <cell r="A249" t="str">
            <v>Tokelau</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2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2)"/>
    </sheetNames>
    <sheetDataSet>
      <sheetData sheetId="0">
        <row r="1">
          <cell r="A1" t="str">
            <v>Kategori: TÃ¼m kategoriler</v>
          </cell>
        </row>
        <row r="3">
          <cell r="A3" t="str">
            <v>Ãœlke</v>
          </cell>
          <cell r="B3" t="str">
            <v>Python: (2015)</v>
          </cell>
          <cell r="C3" t="str">
            <v>JavaScript: (2015)</v>
          </cell>
        </row>
        <row r="4">
          <cell r="A4" t="str">
            <v>China</v>
          </cell>
          <cell r="B4">
            <v>0.52</v>
          </cell>
          <cell r="C4">
            <v>0.48</v>
          </cell>
        </row>
        <row r="5">
          <cell r="A5" t="str">
            <v>North Korea</v>
          </cell>
        </row>
        <row r="6">
          <cell r="A6" t="str">
            <v>British Indian Ocean Territory</v>
          </cell>
        </row>
        <row r="7">
          <cell r="A7" t="str">
            <v>Cuba</v>
          </cell>
        </row>
        <row r="8">
          <cell r="A8" t="str">
            <v>South Korea</v>
          </cell>
          <cell r="B8">
            <v>0.33</v>
          </cell>
          <cell r="C8">
            <v>0.67</v>
          </cell>
        </row>
        <row r="9">
          <cell r="A9" t="str">
            <v>St. Helena</v>
          </cell>
        </row>
        <row r="10">
          <cell r="A10" t="str">
            <v>Gibraltar</v>
          </cell>
        </row>
        <row r="11">
          <cell r="A11" t="str">
            <v>India</v>
          </cell>
          <cell r="B11">
            <v>0.25</v>
          </cell>
          <cell r="C11">
            <v>0.75</v>
          </cell>
        </row>
        <row r="12">
          <cell r="A12" t="str">
            <v>Nepal</v>
          </cell>
        </row>
        <row r="13">
          <cell r="A13" t="str">
            <v>Iceland</v>
          </cell>
        </row>
        <row r="14">
          <cell r="A14" t="str">
            <v>Madagascar</v>
          </cell>
        </row>
        <row r="15">
          <cell r="A15" t="str">
            <v>Belarus</v>
          </cell>
          <cell r="B15">
            <v>0.25</v>
          </cell>
          <cell r="C15">
            <v>0.75</v>
          </cell>
        </row>
        <row r="16">
          <cell r="A16" t="str">
            <v>Armenia</v>
          </cell>
        </row>
        <row r="17">
          <cell r="A17" t="str">
            <v>Israel</v>
          </cell>
          <cell r="B17">
            <v>0.46</v>
          </cell>
          <cell r="C17">
            <v>0.54</v>
          </cell>
        </row>
        <row r="18">
          <cell r="A18" t="str">
            <v>Hong Kong</v>
          </cell>
          <cell r="B18">
            <v>0.37</v>
          </cell>
          <cell r="C18">
            <v>0.63</v>
          </cell>
        </row>
        <row r="19">
          <cell r="A19" t="str">
            <v>Ã…land Islands</v>
          </cell>
        </row>
        <row r="20">
          <cell r="A20" t="str">
            <v>Sri Lanka</v>
          </cell>
          <cell r="B20">
            <v>0.26</v>
          </cell>
          <cell r="C20">
            <v>0.74</v>
          </cell>
        </row>
        <row r="21">
          <cell r="A21" t="str">
            <v>Ukraine</v>
          </cell>
          <cell r="B21">
            <v>0.26</v>
          </cell>
          <cell r="C21">
            <v>0.74</v>
          </cell>
        </row>
        <row r="22">
          <cell r="A22" t="str">
            <v>Singapore</v>
          </cell>
          <cell r="B22">
            <v>0.43</v>
          </cell>
          <cell r="C22">
            <v>0.56999999999999995</v>
          </cell>
        </row>
        <row r="23">
          <cell r="A23" t="str">
            <v>Luxembourg</v>
          </cell>
        </row>
        <row r="24">
          <cell r="A24" t="str">
            <v>Estonia</v>
          </cell>
          <cell r="B24">
            <v>0.39</v>
          </cell>
          <cell r="C24">
            <v>0.61</v>
          </cell>
        </row>
        <row r="25">
          <cell r="A25" t="str">
            <v>Malta</v>
          </cell>
        </row>
        <row r="26">
          <cell r="A26" t="str">
            <v>Bangladesh</v>
          </cell>
          <cell r="B26">
            <v>0.23</v>
          </cell>
          <cell r="C26">
            <v>0.77</v>
          </cell>
        </row>
        <row r="27">
          <cell r="A27" t="str">
            <v>Czechia</v>
          </cell>
          <cell r="B27">
            <v>0.34</v>
          </cell>
          <cell r="C27">
            <v>0.66</v>
          </cell>
        </row>
        <row r="28">
          <cell r="A28" t="str">
            <v>North Macedonia</v>
          </cell>
        </row>
        <row r="29">
          <cell r="A29" t="str">
            <v>Cameroon</v>
          </cell>
        </row>
        <row r="30">
          <cell r="A30" t="str">
            <v>Latvia</v>
          </cell>
        </row>
        <row r="31">
          <cell r="A31" t="str">
            <v>Bulgaria</v>
          </cell>
          <cell r="B31">
            <v>0.21</v>
          </cell>
          <cell r="C31">
            <v>0.79</v>
          </cell>
        </row>
        <row r="32">
          <cell r="A32" t="str">
            <v>Moldova</v>
          </cell>
        </row>
        <row r="33">
          <cell r="A33" t="str">
            <v>Monaco</v>
          </cell>
        </row>
        <row r="34">
          <cell r="A34" t="str">
            <v>Finland</v>
          </cell>
          <cell r="B34">
            <v>0.39</v>
          </cell>
          <cell r="C34">
            <v>0.61</v>
          </cell>
        </row>
        <row r="35">
          <cell r="A35" t="str">
            <v>Switzerland</v>
          </cell>
          <cell r="B35">
            <v>0.42</v>
          </cell>
          <cell r="C35">
            <v>0.57999999999999996</v>
          </cell>
        </row>
        <row r="36">
          <cell r="A36" t="str">
            <v>Tunisia</v>
          </cell>
        </row>
        <row r="37">
          <cell r="A37" t="str">
            <v>Sweden</v>
          </cell>
          <cell r="B37">
            <v>0.39</v>
          </cell>
          <cell r="C37">
            <v>0.61</v>
          </cell>
        </row>
        <row r="38">
          <cell r="A38" t="str">
            <v>New Zealand</v>
          </cell>
          <cell r="B38">
            <v>0.41</v>
          </cell>
          <cell r="C38">
            <v>0.59</v>
          </cell>
        </row>
        <row r="39">
          <cell r="A39" t="str">
            <v>San Marino</v>
          </cell>
        </row>
        <row r="40">
          <cell r="A40" t="str">
            <v>Taiwan</v>
          </cell>
          <cell r="B40">
            <v>0.36</v>
          </cell>
          <cell r="C40">
            <v>0.64</v>
          </cell>
        </row>
        <row r="41">
          <cell r="A41" t="str">
            <v>Slovenia</v>
          </cell>
          <cell r="B41">
            <v>0.4</v>
          </cell>
          <cell r="C41">
            <v>0.6</v>
          </cell>
        </row>
        <row r="42">
          <cell r="A42" t="str">
            <v>Liechtenstein</v>
          </cell>
        </row>
        <row r="43">
          <cell r="A43" t="str">
            <v>Portugal</v>
          </cell>
          <cell r="B43">
            <v>0.28999999999999998</v>
          </cell>
          <cell r="C43">
            <v>0.71</v>
          </cell>
        </row>
        <row r="44">
          <cell r="A44" t="str">
            <v>Belgium</v>
          </cell>
          <cell r="B44">
            <v>0.37</v>
          </cell>
          <cell r="C44">
            <v>0.63</v>
          </cell>
        </row>
        <row r="45">
          <cell r="A45" t="str">
            <v>Costa Rica</v>
          </cell>
          <cell r="B45">
            <v>0.28000000000000003</v>
          </cell>
          <cell r="C45">
            <v>0.72</v>
          </cell>
        </row>
        <row r="46">
          <cell r="A46" t="str">
            <v>Norway</v>
          </cell>
          <cell r="B46">
            <v>0.42</v>
          </cell>
          <cell r="C46">
            <v>0.57999999999999996</v>
          </cell>
        </row>
        <row r="47">
          <cell r="A47" t="str">
            <v>Canada</v>
          </cell>
          <cell r="B47">
            <v>0.41</v>
          </cell>
          <cell r="C47">
            <v>0.59</v>
          </cell>
        </row>
        <row r="48">
          <cell r="A48" t="str">
            <v>Philippines</v>
          </cell>
          <cell r="B48">
            <v>0.22</v>
          </cell>
          <cell r="C48">
            <v>0.78</v>
          </cell>
        </row>
        <row r="49">
          <cell r="A49" t="str">
            <v>Lithuania</v>
          </cell>
          <cell r="B49">
            <v>0.25</v>
          </cell>
          <cell r="C49">
            <v>0.75</v>
          </cell>
        </row>
        <row r="50">
          <cell r="A50" t="str">
            <v>Myanmar (Burma)</v>
          </cell>
        </row>
        <row r="51">
          <cell r="A51" t="str">
            <v>Cambodia</v>
          </cell>
        </row>
        <row r="52">
          <cell r="A52" t="str">
            <v>Faroe Islands</v>
          </cell>
        </row>
        <row r="53">
          <cell r="A53" t="str">
            <v>Netherlands</v>
          </cell>
          <cell r="B53">
            <v>0.38</v>
          </cell>
          <cell r="C53">
            <v>0.62</v>
          </cell>
        </row>
        <row r="54">
          <cell r="A54" t="str">
            <v>Mauritius</v>
          </cell>
        </row>
        <row r="55">
          <cell r="A55" t="str">
            <v>Pakistan</v>
          </cell>
          <cell r="B55">
            <v>0.2</v>
          </cell>
          <cell r="C55">
            <v>0.8</v>
          </cell>
        </row>
        <row r="56">
          <cell r="A56" t="str">
            <v>Denmark</v>
          </cell>
          <cell r="B56">
            <v>0.35</v>
          </cell>
          <cell r="C56">
            <v>0.65</v>
          </cell>
        </row>
        <row r="57">
          <cell r="A57" t="str">
            <v>Togo</v>
          </cell>
        </row>
        <row r="58">
          <cell r="A58" t="str">
            <v>United States</v>
          </cell>
          <cell r="B58">
            <v>0.46</v>
          </cell>
          <cell r="C58">
            <v>0.54</v>
          </cell>
        </row>
        <row r="59">
          <cell r="A59" t="str">
            <v>Ireland</v>
          </cell>
          <cell r="B59">
            <v>0.44</v>
          </cell>
          <cell r="C59">
            <v>0.56000000000000005</v>
          </cell>
        </row>
        <row r="60">
          <cell r="A60" t="str">
            <v>Germany</v>
          </cell>
          <cell r="B60">
            <v>0.4</v>
          </cell>
          <cell r="C60">
            <v>0.6</v>
          </cell>
        </row>
        <row r="61">
          <cell r="A61" t="str">
            <v>Romania</v>
          </cell>
          <cell r="B61">
            <v>0.27</v>
          </cell>
          <cell r="C61">
            <v>0.73</v>
          </cell>
        </row>
        <row r="62">
          <cell r="A62" t="str">
            <v>Russia</v>
          </cell>
          <cell r="B62">
            <v>0.35</v>
          </cell>
          <cell r="C62">
            <v>0.65</v>
          </cell>
        </row>
        <row r="63">
          <cell r="A63" t="str">
            <v>Serbia</v>
          </cell>
          <cell r="B63">
            <v>0.27</v>
          </cell>
          <cell r="C63">
            <v>0.73</v>
          </cell>
        </row>
        <row r="64">
          <cell r="A64" t="str">
            <v>Austria</v>
          </cell>
          <cell r="B64">
            <v>0.38</v>
          </cell>
          <cell r="C64">
            <v>0.62</v>
          </cell>
        </row>
        <row r="65">
          <cell r="A65" t="str">
            <v>Mongolia</v>
          </cell>
        </row>
        <row r="66">
          <cell r="A66" t="str">
            <v>Hungary</v>
          </cell>
          <cell r="B66">
            <v>0.31</v>
          </cell>
          <cell r="C66">
            <v>0.69</v>
          </cell>
        </row>
        <row r="67">
          <cell r="A67" t="str">
            <v>Australia</v>
          </cell>
          <cell r="B67">
            <v>0.4</v>
          </cell>
          <cell r="C67">
            <v>0.6</v>
          </cell>
        </row>
        <row r="68">
          <cell r="A68" t="str">
            <v>Poland</v>
          </cell>
          <cell r="B68">
            <v>0.32</v>
          </cell>
          <cell r="C68">
            <v>0.68</v>
          </cell>
        </row>
        <row r="69">
          <cell r="A69" t="str">
            <v>Uzbekistan</v>
          </cell>
        </row>
        <row r="70">
          <cell r="A70" t="str">
            <v>Slovakia</v>
          </cell>
          <cell r="B70">
            <v>0.32</v>
          </cell>
          <cell r="C70">
            <v>0.68</v>
          </cell>
        </row>
        <row r="71">
          <cell r="A71" t="str">
            <v>Japan</v>
          </cell>
          <cell r="B71">
            <v>0.3</v>
          </cell>
          <cell r="C71">
            <v>0.7</v>
          </cell>
        </row>
        <row r="72">
          <cell r="A72" t="str">
            <v>Lebanon</v>
          </cell>
        </row>
        <row r="73">
          <cell r="A73" t="str">
            <v>United Kingdom</v>
          </cell>
          <cell r="B73">
            <v>0.46</v>
          </cell>
          <cell r="C73">
            <v>0.54</v>
          </cell>
        </row>
        <row r="74">
          <cell r="A74" t="str">
            <v>Cyprus</v>
          </cell>
        </row>
        <row r="75">
          <cell r="A75" t="str">
            <v>Cape Verde</v>
          </cell>
        </row>
        <row r="76">
          <cell r="A76" t="str">
            <v>South Africa</v>
          </cell>
          <cell r="B76">
            <v>0.38</v>
          </cell>
          <cell r="C76">
            <v>0.62</v>
          </cell>
        </row>
        <row r="77">
          <cell r="A77" t="str">
            <v>Spain</v>
          </cell>
          <cell r="B77">
            <v>0.33</v>
          </cell>
          <cell r="C77">
            <v>0.67</v>
          </cell>
        </row>
        <row r="78">
          <cell r="A78" t="str">
            <v>Benin</v>
          </cell>
        </row>
        <row r="79">
          <cell r="A79" t="str">
            <v>France</v>
          </cell>
          <cell r="B79">
            <v>0.42</v>
          </cell>
          <cell r="C79">
            <v>0.57999999999999996</v>
          </cell>
        </row>
        <row r="80">
          <cell r="A80" t="str">
            <v>Maldives</v>
          </cell>
        </row>
        <row r="81">
          <cell r="A81" t="str">
            <v>Ghana</v>
          </cell>
        </row>
        <row r="82">
          <cell r="A82" t="str">
            <v>Uganda</v>
          </cell>
        </row>
        <row r="83">
          <cell r="A83" t="str">
            <v>Uruguay</v>
          </cell>
        </row>
        <row r="84">
          <cell r="A84" t="str">
            <v>Kenya</v>
          </cell>
          <cell r="B84">
            <v>0.35</v>
          </cell>
          <cell r="C84">
            <v>0.65</v>
          </cell>
        </row>
        <row r="85">
          <cell r="A85" t="str">
            <v>Botswana</v>
          </cell>
        </row>
        <row r="86">
          <cell r="A86" t="str">
            <v>CÃ´te dâ€™Ivoire</v>
          </cell>
        </row>
        <row r="87">
          <cell r="A87" t="str">
            <v>Macao</v>
          </cell>
        </row>
        <row r="88">
          <cell r="A88" t="str">
            <v>Bhutan</v>
          </cell>
        </row>
        <row r="89">
          <cell r="A89" t="str">
            <v>Caribbean Netherlands</v>
          </cell>
        </row>
        <row r="90">
          <cell r="A90" t="str">
            <v>French Polynesia</v>
          </cell>
        </row>
        <row r="91">
          <cell r="A91" t="str">
            <v>Nicaragua</v>
          </cell>
        </row>
        <row r="92">
          <cell r="A92" t="str">
            <v>Croatia</v>
          </cell>
          <cell r="B92">
            <v>0.43</v>
          </cell>
          <cell r="C92">
            <v>0.56999999999999995</v>
          </cell>
        </row>
        <row r="93">
          <cell r="A93" t="str">
            <v>Senegal</v>
          </cell>
        </row>
        <row r="94">
          <cell r="A94" t="str">
            <v>Andorra</v>
          </cell>
        </row>
        <row r="95">
          <cell r="A95" t="str">
            <v>Jersey</v>
          </cell>
        </row>
        <row r="96">
          <cell r="A96" t="str">
            <v>El Salvador</v>
          </cell>
        </row>
        <row r="97">
          <cell r="A97" t="str">
            <v>Guernsey</v>
          </cell>
        </row>
        <row r="98">
          <cell r="A98" t="str">
            <v>U.S. Virgin Islands</v>
          </cell>
        </row>
        <row r="99">
          <cell r="A99" t="str">
            <v>Lesotho</v>
          </cell>
        </row>
        <row r="100">
          <cell r="A100" t="str">
            <v>Malawi</v>
          </cell>
        </row>
        <row r="101">
          <cell r="A101" t="str">
            <v>Zambia</v>
          </cell>
        </row>
        <row r="102">
          <cell r="A102" t="str">
            <v>Morocco</v>
          </cell>
          <cell r="B102">
            <v>0.3</v>
          </cell>
          <cell r="C102">
            <v>0.7</v>
          </cell>
        </row>
        <row r="103">
          <cell r="A103" t="str">
            <v>Haiti</v>
          </cell>
        </row>
        <row r="104">
          <cell r="A104" t="str">
            <v>Isle of Man</v>
          </cell>
        </row>
        <row r="105">
          <cell r="A105" t="str">
            <v>Georgia</v>
          </cell>
        </row>
        <row r="106">
          <cell r="A106" t="str">
            <v>Nigeria</v>
          </cell>
          <cell r="B106">
            <v>0.36</v>
          </cell>
          <cell r="C106">
            <v>0.64</v>
          </cell>
        </row>
        <row r="107">
          <cell r="A107" t="str">
            <v>Rwanda</v>
          </cell>
        </row>
        <row r="108">
          <cell r="A108" t="str">
            <v>Jamaica</v>
          </cell>
        </row>
        <row r="109">
          <cell r="A109" t="str">
            <v>Greece</v>
          </cell>
          <cell r="B109">
            <v>0.39</v>
          </cell>
          <cell r="C109">
            <v>0.61</v>
          </cell>
        </row>
        <row r="110">
          <cell r="A110" t="str">
            <v>Montenegro</v>
          </cell>
        </row>
        <row r="111">
          <cell r="A111" t="str">
            <v>New Caledonia</v>
          </cell>
        </row>
        <row r="112">
          <cell r="A112" t="str">
            <v>Kyrgyzstan</v>
          </cell>
        </row>
        <row r="113">
          <cell r="A113" t="str">
            <v>Italy</v>
          </cell>
          <cell r="B113">
            <v>0.32</v>
          </cell>
          <cell r="C113">
            <v>0.68</v>
          </cell>
        </row>
        <row r="114">
          <cell r="A114" t="str">
            <v>Albania</v>
          </cell>
        </row>
        <row r="115">
          <cell r="A115" t="str">
            <v>Ethiopia</v>
          </cell>
        </row>
        <row r="116">
          <cell r="A116" t="str">
            <v>Eswatini</v>
          </cell>
        </row>
        <row r="117">
          <cell r="A117" t="str">
            <v>Colombia</v>
          </cell>
          <cell r="B117">
            <v>0.3</v>
          </cell>
          <cell r="C117">
            <v>0.7</v>
          </cell>
        </row>
        <row r="118">
          <cell r="A118" t="str">
            <v>Cayman Islands</v>
          </cell>
        </row>
        <row r="119">
          <cell r="A119" t="str">
            <v>Iran</v>
          </cell>
          <cell r="B119">
            <v>0.32</v>
          </cell>
          <cell r="C119">
            <v>0.68</v>
          </cell>
        </row>
        <row r="120">
          <cell r="A120" t="str">
            <v>Malaysia</v>
          </cell>
          <cell r="B120">
            <v>0.28999999999999998</v>
          </cell>
          <cell r="C120">
            <v>0.71</v>
          </cell>
        </row>
        <row r="121">
          <cell r="A121" t="str">
            <v>Bosnia &amp; Herzegovina</v>
          </cell>
        </row>
        <row r="122">
          <cell r="A122" t="str">
            <v>Guatemala</v>
          </cell>
        </row>
        <row r="123">
          <cell r="A123" t="str">
            <v>Barbados</v>
          </cell>
        </row>
        <row r="124">
          <cell r="A124" t="str">
            <v>Chile</v>
          </cell>
          <cell r="B124">
            <v>0.39</v>
          </cell>
          <cell r="C124">
            <v>0.61</v>
          </cell>
        </row>
        <row r="125">
          <cell r="A125" t="str">
            <v>Zimbabwe</v>
          </cell>
        </row>
        <row r="126">
          <cell r="A126" t="str">
            <v>Vietnam</v>
          </cell>
          <cell r="B126">
            <v>0.19</v>
          </cell>
          <cell r="C126">
            <v>0.81</v>
          </cell>
        </row>
        <row r="127">
          <cell r="A127" t="str">
            <v>United Arab Emirates</v>
          </cell>
          <cell r="B127">
            <v>0.32</v>
          </cell>
          <cell r="C127">
            <v>0.68</v>
          </cell>
        </row>
        <row r="128">
          <cell r="A128" t="str">
            <v>Belize</v>
          </cell>
        </row>
        <row r="129">
          <cell r="A129" t="str">
            <v>CuraÃ§ao</v>
          </cell>
        </row>
        <row r="130">
          <cell r="A130" t="str">
            <v>Grenada</v>
          </cell>
        </row>
        <row r="131">
          <cell r="A131" t="str">
            <v>Argentina</v>
          </cell>
          <cell r="B131">
            <v>0.28999999999999998</v>
          </cell>
          <cell r="C131">
            <v>0.71</v>
          </cell>
        </row>
        <row r="132">
          <cell r="A132" t="str">
            <v>Congo - Brazzaville</v>
          </cell>
        </row>
        <row r="133">
          <cell r="A133" t="str">
            <v>Kosovo</v>
          </cell>
        </row>
        <row r="134">
          <cell r="A134" t="str">
            <v>Honduras</v>
          </cell>
        </row>
        <row r="135">
          <cell r="A135" t="str">
            <v>Mexico</v>
          </cell>
          <cell r="B135">
            <v>0.27</v>
          </cell>
          <cell r="C135">
            <v>0.73</v>
          </cell>
        </row>
        <row r="136">
          <cell r="A136" t="str">
            <v>Tajikistan</v>
          </cell>
        </row>
        <row r="137">
          <cell r="A137" t="str">
            <v>Burkina Faso</v>
          </cell>
        </row>
        <row r="138">
          <cell r="A138" t="str">
            <v>Brazil</v>
          </cell>
          <cell r="B138">
            <v>0.28000000000000003</v>
          </cell>
          <cell r="C138">
            <v>0.72</v>
          </cell>
        </row>
        <row r="139">
          <cell r="A139" t="str">
            <v>Peru</v>
          </cell>
          <cell r="B139">
            <v>0.26</v>
          </cell>
          <cell r="C139">
            <v>0.74</v>
          </cell>
        </row>
        <row r="140">
          <cell r="A140" t="str">
            <v>Trinidad &amp; Tobago</v>
          </cell>
        </row>
        <row r="141">
          <cell r="A141" t="str">
            <v>RÃ©union</v>
          </cell>
        </row>
        <row r="142">
          <cell r="A142" t="str">
            <v>Dominican Republic</v>
          </cell>
        </row>
        <row r="143">
          <cell r="A143" t="str">
            <v>Somalia</v>
          </cell>
        </row>
        <row r="144">
          <cell r="A144" t="str">
            <v>Jordan</v>
          </cell>
        </row>
        <row r="145">
          <cell r="A145" t="str">
            <v>Afghanistan</v>
          </cell>
        </row>
        <row r="146">
          <cell r="A146" t="str">
            <v>Paraguay</v>
          </cell>
        </row>
        <row r="147">
          <cell r="A147" t="str">
            <v>Namibia</v>
          </cell>
        </row>
        <row r="148">
          <cell r="A148" t="str">
            <v>Laos</v>
          </cell>
        </row>
        <row r="149">
          <cell r="A149" t="str">
            <v>Bahrain</v>
          </cell>
        </row>
        <row r="150">
          <cell r="A150" t="str">
            <v>Panama</v>
          </cell>
        </row>
        <row r="151">
          <cell r="A151" t="str">
            <v>Chad</v>
          </cell>
        </row>
        <row r="152">
          <cell r="A152" t="str">
            <v>Papua New Guinea</v>
          </cell>
        </row>
        <row r="153">
          <cell r="A153" t="str">
            <v>Bermuda</v>
          </cell>
        </row>
        <row r="154">
          <cell r="A154" t="str">
            <v>Kazakhstan</v>
          </cell>
        </row>
        <row r="155">
          <cell r="A155" t="str">
            <v>Gabon</v>
          </cell>
        </row>
        <row r="156">
          <cell r="A156" t="str">
            <v>Gambia</v>
          </cell>
        </row>
        <row r="157">
          <cell r="A157" t="str">
            <v>Congo - Kinshasa</v>
          </cell>
        </row>
        <row r="158">
          <cell r="A158" t="str">
            <v>Indonesia</v>
          </cell>
          <cell r="B158">
            <v>0.26</v>
          </cell>
          <cell r="C158">
            <v>0.74</v>
          </cell>
        </row>
        <row r="159">
          <cell r="A159" t="str">
            <v>British Virgin Islands</v>
          </cell>
        </row>
        <row r="160">
          <cell r="A160" t="str">
            <v>Ecuador</v>
          </cell>
          <cell r="B160">
            <v>0.32</v>
          </cell>
          <cell r="C160">
            <v>0.68</v>
          </cell>
        </row>
        <row r="161">
          <cell r="A161" t="str">
            <v>Qatar</v>
          </cell>
        </row>
        <row r="162">
          <cell r="A162" t="str">
            <v>Guadeloupe</v>
          </cell>
        </row>
        <row r="163">
          <cell r="A163" t="str">
            <v>Dominica</v>
          </cell>
        </row>
        <row r="164">
          <cell r="A164" t="str">
            <v>Aruba</v>
          </cell>
        </row>
        <row r="165">
          <cell r="A165" t="str">
            <v>Puerto Rico</v>
          </cell>
        </row>
        <row r="166">
          <cell r="A166" t="str">
            <v>Brunei</v>
          </cell>
        </row>
        <row r="167">
          <cell r="A167" t="str">
            <v>Antigua &amp; Barbuda</v>
          </cell>
        </row>
        <row r="168">
          <cell r="A168" t="str">
            <v>Egypt</v>
          </cell>
          <cell r="B168">
            <v>0.3</v>
          </cell>
          <cell r="C168">
            <v>0.7</v>
          </cell>
        </row>
        <row r="169">
          <cell r="A169" t="str">
            <v>Suriname</v>
          </cell>
        </row>
        <row r="170">
          <cell r="A170" t="str">
            <v>Venezuela</v>
          </cell>
          <cell r="B170">
            <v>0.28000000000000003</v>
          </cell>
          <cell r="C170">
            <v>0.72</v>
          </cell>
        </row>
        <row r="171">
          <cell r="A171" t="str">
            <v>Palestine</v>
          </cell>
        </row>
        <row r="172">
          <cell r="A172" t="str">
            <v>Martinique</v>
          </cell>
        </row>
        <row r="173">
          <cell r="A173" t="str">
            <v>Tanzania</v>
          </cell>
        </row>
        <row r="174">
          <cell r="A174" t="str">
            <v>Bolivia</v>
          </cell>
        </row>
        <row r="175">
          <cell r="A175" t="str">
            <v>Angola</v>
          </cell>
        </row>
        <row r="176">
          <cell r="A176" t="str">
            <v>Thailand</v>
          </cell>
          <cell r="B176">
            <v>0.28000000000000003</v>
          </cell>
          <cell r="C176">
            <v>0.72</v>
          </cell>
        </row>
        <row r="177">
          <cell r="A177" t="str">
            <v>Burundi</v>
          </cell>
        </row>
        <row r="178">
          <cell r="A178" t="str">
            <v>Fiji</v>
          </cell>
        </row>
        <row r="179">
          <cell r="A179" t="str">
            <v>Djibouti</v>
          </cell>
        </row>
        <row r="180">
          <cell r="A180" t="str">
            <v>Guyana</v>
          </cell>
        </row>
        <row r="181">
          <cell r="A181" t="str">
            <v>Tonga</v>
          </cell>
        </row>
        <row r="182">
          <cell r="A182" t="str">
            <v>Mozambique</v>
          </cell>
        </row>
        <row r="183">
          <cell r="A183" t="str">
            <v>Niger</v>
          </cell>
        </row>
        <row r="184">
          <cell r="A184" t="str">
            <v>Oman</v>
          </cell>
        </row>
        <row r="185">
          <cell r="A185" t="str">
            <v>St. Vincent &amp; Grenadines</v>
          </cell>
        </row>
        <row r="186">
          <cell r="A186" t="str">
            <v>Syria</v>
          </cell>
        </row>
        <row r="187">
          <cell r="A187" t="str">
            <v>Sint Maarten</v>
          </cell>
        </row>
        <row r="188">
          <cell r="A188" t="str">
            <v>Guam</v>
          </cell>
        </row>
        <row r="189">
          <cell r="A189" t="str">
            <v>Kuwait</v>
          </cell>
        </row>
        <row r="190">
          <cell r="A190" t="str">
            <v>Sierra Leone</v>
          </cell>
        </row>
        <row r="191">
          <cell r="A191" t="str">
            <v>Turkey</v>
          </cell>
          <cell r="B191">
            <v>0.3</v>
          </cell>
          <cell r="C191">
            <v>0.7</v>
          </cell>
        </row>
        <row r="192">
          <cell r="A192" t="str">
            <v>Bahamas</v>
          </cell>
        </row>
        <row r="193">
          <cell r="A193" t="str">
            <v>Azerbaijan</v>
          </cell>
        </row>
        <row r="194">
          <cell r="A194" t="str">
            <v>French Guiana</v>
          </cell>
        </row>
        <row r="195">
          <cell r="A195" t="str">
            <v>Mali</v>
          </cell>
        </row>
        <row r="196">
          <cell r="A196" t="str">
            <v>Liberia</v>
          </cell>
        </row>
        <row r="197">
          <cell r="A197" t="str">
            <v>Mauritania</v>
          </cell>
        </row>
        <row r="198">
          <cell r="A198" t="str">
            <v>Algeria</v>
          </cell>
        </row>
        <row r="199">
          <cell r="A199" t="str">
            <v>Timor-Leste</v>
          </cell>
        </row>
        <row r="200">
          <cell r="A200" t="str">
            <v>Guinea</v>
          </cell>
        </row>
        <row r="201">
          <cell r="A201" t="str">
            <v>Turkmenistan</v>
          </cell>
        </row>
        <row r="202">
          <cell r="A202" t="str">
            <v>St. Lucia</v>
          </cell>
        </row>
        <row r="203">
          <cell r="A203" t="str">
            <v>Saudi Arabia</v>
          </cell>
          <cell r="B203">
            <v>0.41</v>
          </cell>
          <cell r="C203">
            <v>0.59</v>
          </cell>
        </row>
        <row r="204">
          <cell r="A204" t="str">
            <v>Sudan</v>
          </cell>
        </row>
        <row r="205">
          <cell r="A205" t="str">
            <v>Libya</v>
          </cell>
        </row>
        <row r="206">
          <cell r="A206" t="str">
            <v>Yemen</v>
          </cell>
        </row>
        <row r="207">
          <cell r="A207" t="str">
            <v>Iraq</v>
          </cell>
        </row>
        <row r="208">
          <cell r="A208" t="str">
            <v>Eritrea</v>
          </cell>
        </row>
        <row r="209">
          <cell r="A209" t="str">
            <v>Wallis &amp; Futuna</v>
          </cell>
        </row>
        <row r="210">
          <cell r="A210" t="str">
            <v>Central African Republic</v>
          </cell>
        </row>
        <row r="211">
          <cell r="A211" t="str">
            <v>Montserrat</v>
          </cell>
        </row>
        <row r="212">
          <cell r="A212" t="str">
            <v>Svalbard &amp; Jan Mayen</v>
          </cell>
        </row>
        <row r="213">
          <cell r="A213" t="str">
            <v>Falkland Islands (Islas Malvinas)</v>
          </cell>
        </row>
        <row r="214">
          <cell r="A214" t="str">
            <v>Palau</v>
          </cell>
        </row>
        <row r="215">
          <cell r="A215" t="str">
            <v>SÃ£o TomÃ© &amp; PrÃ­ncipe</v>
          </cell>
        </row>
        <row r="216">
          <cell r="A216" t="str">
            <v>Anguilla</v>
          </cell>
        </row>
        <row r="217">
          <cell r="A217" t="str">
            <v>Cook Islands</v>
          </cell>
        </row>
        <row r="218">
          <cell r="A218" t="str">
            <v>Comoros</v>
          </cell>
        </row>
        <row r="219">
          <cell r="A219" t="str">
            <v>Turks &amp; Caicos Islands</v>
          </cell>
        </row>
        <row r="220">
          <cell r="A220" t="str">
            <v>Vanuatu</v>
          </cell>
        </row>
        <row r="221">
          <cell r="A221" t="str">
            <v>St. BarthÃ©lemy</v>
          </cell>
        </row>
        <row r="222">
          <cell r="A222" t="str">
            <v>Mayotte</v>
          </cell>
        </row>
        <row r="223">
          <cell r="A223" t="str">
            <v>Greenland</v>
          </cell>
        </row>
        <row r="224">
          <cell r="A224" t="str">
            <v>Seychelles</v>
          </cell>
        </row>
        <row r="225">
          <cell r="A225" t="str">
            <v>St. Kitts &amp; Nevis</v>
          </cell>
        </row>
        <row r="226">
          <cell r="A226" t="str">
            <v>Guinea-Bissau</v>
          </cell>
        </row>
        <row r="227">
          <cell r="A227" t="str">
            <v>St. Martin</v>
          </cell>
        </row>
        <row r="228">
          <cell r="A228" t="str">
            <v>American Samoa</v>
          </cell>
        </row>
        <row r="229">
          <cell r="A229" t="str">
            <v>Northern Mariana Islands</v>
          </cell>
        </row>
        <row r="230">
          <cell r="A230" t="str">
            <v>South Sudan</v>
          </cell>
        </row>
        <row r="231">
          <cell r="A231" t="str">
            <v>Samoa</v>
          </cell>
        </row>
        <row r="232">
          <cell r="A232" t="str">
            <v>Equatorial Guinea</v>
          </cell>
        </row>
        <row r="233">
          <cell r="A233" t="str">
            <v>Antarctica</v>
          </cell>
        </row>
        <row r="234">
          <cell r="A234" t="str">
            <v>French Southern Territories</v>
          </cell>
        </row>
        <row r="235">
          <cell r="A235" t="str">
            <v>Bouvet Island</v>
          </cell>
        </row>
        <row r="236">
          <cell r="A236" t="str">
            <v>Cocos (Keeling) Islands</v>
          </cell>
        </row>
        <row r="237">
          <cell r="A237" t="str">
            <v>Christmas Island</v>
          </cell>
        </row>
        <row r="238">
          <cell r="A238" t="str">
            <v>Western Sahara</v>
          </cell>
        </row>
        <row r="239">
          <cell r="A239" t="str">
            <v>Micronesia</v>
          </cell>
        </row>
        <row r="240">
          <cell r="A240" t="str">
            <v>Heard &amp; McDonald Islands</v>
          </cell>
        </row>
        <row r="241">
          <cell r="A241" t="str">
            <v>Kiribati</v>
          </cell>
        </row>
        <row r="242">
          <cell r="A242" t="str">
            <v>Marshall Islands</v>
          </cell>
        </row>
        <row r="243">
          <cell r="A243" t="str">
            <v>Norfolk Island</v>
          </cell>
        </row>
        <row r="244">
          <cell r="A244" t="str">
            <v>Niue</v>
          </cell>
        </row>
        <row r="245">
          <cell r="A245" t="str">
            <v>Nauru</v>
          </cell>
        </row>
        <row r="246">
          <cell r="A246" t="str">
            <v>Pitcairn Islands</v>
          </cell>
        </row>
        <row r="247">
          <cell r="A247" t="str">
            <v>South Georgia &amp; South Sandwich Islands</v>
          </cell>
        </row>
        <row r="248">
          <cell r="A248" t="str">
            <v>Solomon Islands</v>
          </cell>
        </row>
        <row r="249">
          <cell r="A249" t="str">
            <v>St. Pierre &amp; Miquelon</v>
          </cell>
        </row>
        <row r="250">
          <cell r="A250" t="str">
            <v>Tokelau</v>
          </cell>
        </row>
        <row r="251">
          <cell r="A251" t="str">
            <v>Tuvalu</v>
          </cell>
        </row>
        <row r="252">
          <cell r="A252" t="str">
            <v>U.S. Outlying Islands</v>
          </cell>
        </row>
        <row r="253">
          <cell r="A253" t="str">
            <v>Vatican City</v>
          </cell>
        </row>
      </sheetData>
    </sheetDataSet>
  </externalBook>
</externalLink>
</file>

<file path=xl/externalLinks/externalLink2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3)"/>
    </sheetNames>
    <sheetDataSet>
      <sheetData sheetId="0">
        <row r="1">
          <cell r="A1" t="str">
            <v>Kategori: TÃ¼m kategoriler</v>
          </cell>
        </row>
        <row r="3">
          <cell r="A3" t="str">
            <v>Ãœlke</v>
          </cell>
          <cell r="B3" t="str">
            <v>JavaScript: (2015)</v>
          </cell>
          <cell r="C3" t="str">
            <v>SQL: (2015)</v>
          </cell>
        </row>
        <row r="4">
          <cell r="A4" t="str">
            <v>China</v>
          </cell>
          <cell r="B4">
            <v>0.75</v>
          </cell>
          <cell r="C4">
            <v>0.25</v>
          </cell>
        </row>
        <row r="5">
          <cell r="A5" t="str">
            <v>British Indian Ocean Territory</v>
          </cell>
        </row>
        <row r="6">
          <cell r="A6" t="str">
            <v>Cuba</v>
          </cell>
        </row>
        <row r="7">
          <cell r="A7" t="str">
            <v>St. Helena</v>
          </cell>
        </row>
        <row r="8">
          <cell r="A8" t="str">
            <v>South Korea</v>
          </cell>
          <cell r="B8">
            <v>0.73</v>
          </cell>
          <cell r="C8">
            <v>0.27</v>
          </cell>
        </row>
        <row r="9">
          <cell r="A9" t="str">
            <v>India</v>
          </cell>
          <cell r="B9">
            <v>0.45</v>
          </cell>
          <cell r="C9">
            <v>0.55000000000000004</v>
          </cell>
        </row>
        <row r="10">
          <cell r="A10" t="str">
            <v>Gibraltar</v>
          </cell>
        </row>
        <row r="11">
          <cell r="A11" t="str">
            <v>Nepal</v>
          </cell>
        </row>
        <row r="12">
          <cell r="A12" t="str">
            <v>Iceland</v>
          </cell>
        </row>
        <row r="13">
          <cell r="A13" t="str">
            <v>Madagascar</v>
          </cell>
        </row>
        <row r="14">
          <cell r="A14" t="str">
            <v>Botswana</v>
          </cell>
        </row>
        <row r="15">
          <cell r="A15" t="str">
            <v>Liechtenstein</v>
          </cell>
        </row>
        <row r="16">
          <cell r="A16" t="str">
            <v>Singapore</v>
          </cell>
          <cell r="B16">
            <v>0.46</v>
          </cell>
          <cell r="C16">
            <v>0.54</v>
          </cell>
        </row>
        <row r="17">
          <cell r="A17" t="str">
            <v>Luxembourg</v>
          </cell>
        </row>
        <row r="18">
          <cell r="A18" t="str">
            <v>Belarus</v>
          </cell>
          <cell r="B18">
            <v>0.64</v>
          </cell>
          <cell r="C18">
            <v>0.36</v>
          </cell>
        </row>
        <row r="19">
          <cell r="A19" t="str">
            <v>Sri Lanka</v>
          </cell>
          <cell r="B19">
            <v>0.48</v>
          </cell>
          <cell r="C19">
            <v>0.52</v>
          </cell>
        </row>
        <row r="20">
          <cell r="A20" t="str">
            <v>Armenia</v>
          </cell>
        </row>
        <row r="21">
          <cell r="A21" t="str">
            <v>Ã…land Islands</v>
          </cell>
        </row>
        <row r="22">
          <cell r="A22" t="str">
            <v>Hong Kong</v>
          </cell>
          <cell r="B22">
            <v>0.52</v>
          </cell>
          <cell r="C22">
            <v>0.48</v>
          </cell>
        </row>
        <row r="23">
          <cell r="A23" t="str">
            <v>Israel</v>
          </cell>
          <cell r="B23">
            <v>0.57999999999999996</v>
          </cell>
          <cell r="C23">
            <v>0.42</v>
          </cell>
        </row>
        <row r="24">
          <cell r="A24" t="str">
            <v>Costa Rica</v>
          </cell>
          <cell r="B24">
            <v>0.4</v>
          </cell>
          <cell r="C24">
            <v>0.6</v>
          </cell>
        </row>
        <row r="25">
          <cell r="A25" t="str">
            <v>Nicaragua</v>
          </cell>
        </row>
        <row r="26">
          <cell r="A26" t="str">
            <v>Ukraine</v>
          </cell>
          <cell r="B26">
            <v>0.7</v>
          </cell>
          <cell r="C26">
            <v>0.3</v>
          </cell>
        </row>
        <row r="27">
          <cell r="A27" t="str">
            <v>Malta</v>
          </cell>
        </row>
        <row r="28">
          <cell r="A28" t="str">
            <v>Estonia</v>
          </cell>
        </row>
        <row r="29">
          <cell r="A29" t="str">
            <v>Isle of Man</v>
          </cell>
        </row>
        <row r="30">
          <cell r="A30" t="str">
            <v>Monaco</v>
          </cell>
        </row>
        <row r="31">
          <cell r="A31" t="str">
            <v>Bangladesh</v>
          </cell>
          <cell r="B31">
            <v>0.59</v>
          </cell>
          <cell r="C31">
            <v>0.41</v>
          </cell>
        </row>
        <row r="32">
          <cell r="A32" t="str">
            <v>South Africa</v>
          </cell>
          <cell r="B32">
            <v>0.36</v>
          </cell>
          <cell r="C32">
            <v>0.64</v>
          </cell>
        </row>
        <row r="33">
          <cell r="A33" t="str">
            <v>Togo</v>
          </cell>
        </row>
        <row r="34">
          <cell r="A34" t="str">
            <v>Mauritius</v>
          </cell>
        </row>
        <row r="35">
          <cell r="A35" t="str">
            <v>Czechia</v>
          </cell>
          <cell r="B35">
            <v>0.54</v>
          </cell>
          <cell r="C35">
            <v>0.46</v>
          </cell>
        </row>
        <row r="36">
          <cell r="A36" t="str">
            <v>Somalia</v>
          </cell>
        </row>
        <row r="37">
          <cell r="A37" t="str">
            <v>North Macedonia</v>
          </cell>
        </row>
        <row r="38">
          <cell r="A38" t="str">
            <v>Eswatini</v>
          </cell>
        </row>
        <row r="39">
          <cell r="A39" t="str">
            <v>New Zealand</v>
          </cell>
          <cell r="B39">
            <v>0.47</v>
          </cell>
          <cell r="C39">
            <v>0.53</v>
          </cell>
        </row>
        <row r="40">
          <cell r="A40" t="str">
            <v>Bermuda</v>
          </cell>
        </row>
        <row r="41">
          <cell r="A41" t="str">
            <v>Latvia</v>
          </cell>
        </row>
        <row r="42">
          <cell r="A42" t="str">
            <v>Bulgaria</v>
          </cell>
          <cell r="B42">
            <v>0.65</v>
          </cell>
          <cell r="C42">
            <v>0.35</v>
          </cell>
        </row>
        <row r="43">
          <cell r="A43" t="str">
            <v>Cameroon</v>
          </cell>
        </row>
        <row r="44">
          <cell r="A44" t="str">
            <v>San Marino</v>
          </cell>
        </row>
        <row r="45">
          <cell r="A45" t="str">
            <v>Ethiopia</v>
          </cell>
        </row>
        <row r="46">
          <cell r="A46" t="str">
            <v>El Salvador</v>
          </cell>
        </row>
        <row r="47">
          <cell r="A47" t="str">
            <v>Myanmar (Burma)</v>
          </cell>
        </row>
        <row r="48">
          <cell r="A48" t="str">
            <v>Moldova</v>
          </cell>
        </row>
        <row r="49">
          <cell r="A49" t="str">
            <v>Portugal</v>
          </cell>
          <cell r="B49">
            <v>0.47</v>
          </cell>
          <cell r="C49">
            <v>0.53</v>
          </cell>
        </row>
        <row r="50">
          <cell r="A50" t="str">
            <v>Finland</v>
          </cell>
          <cell r="B50">
            <v>0.63</v>
          </cell>
          <cell r="C50">
            <v>0.37</v>
          </cell>
        </row>
        <row r="51">
          <cell r="A51" t="str">
            <v>Honduras</v>
          </cell>
        </row>
        <row r="52">
          <cell r="A52" t="str">
            <v>Switzerland</v>
          </cell>
          <cell r="B52">
            <v>0.5</v>
          </cell>
          <cell r="C52">
            <v>0.5</v>
          </cell>
        </row>
        <row r="53">
          <cell r="A53" t="str">
            <v>Sweden</v>
          </cell>
          <cell r="B53">
            <v>0.56999999999999995</v>
          </cell>
          <cell r="C53">
            <v>0.43</v>
          </cell>
        </row>
        <row r="54">
          <cell r="A54" t="str">
            <v>Macao</v>
          </cell>
        </row>
        <row r="55">
          <cell r="A55" t="str">
            <v>Tunisia</v>
          </cell>
          <cell r="B55">
            <v>0.5</v>
          </cell>
          <cell r="C55">
            <v>0.5</v>
          </cell>
        </row>
        <row r="56">
          <cell r="A56" t="str">
            <v>Rwanda</v>
          </cell>
        </row>
        <row r="57">
          <cell r="A57" t="str">
            <v>United States</v>
          </cell>
          <cell r="B57">
            <v>0.46</v>
          </cell>
          <cell r="C57">
            <v>0.54</v>
          </cell>
        </row>
        <row r="58">
          <cell r="A58" t="str">
            <v>Jersey</v>
          </cell>
        </row>
        <row r="59">
          <cell r="A59" t="str">
            <v>Taiwan</v>
          </cell>
          <cell r="B59">
            <v>0.52</v>
          </cell>
          <cell r="C59">
            <v>0.48</v>
          </cell>
        </row>
        <row r="60">
          <cell r="A60" t="str">
            <v>Slovenia</v>
          </cell>
          <cell r="B60">
            <v>0.54</v>
          </cell>
          <cell r="C60">
            <v>0.46</v>
          </cell>
        </row>
        <row r="61">
          <cell r="A61" t="str">
            <v>Peru</v>
          </cell>
          <cell r="B61">
            <v>0.31</v>
          </cell>
          <cell r="C61">
            <v>0.69</v>
          </cell>
        </row>
        <row r="62">
          <cell r="A62" t="str">
            <v>Cayman Islands</v>
          </cell>
        </row>
        <row r="63">
          <cell r="A63" t="str">
            <v>Lebanon</v>
          </cell>
        </row>
        <row r="64">
          <cell r="A64" t="str">
            <v>Faroe Islands</v>
          </cell>
        </row>
        <row r="65">
          <cell r="A65" t="str">
            <v>Belgium</v>
          </cell>
          <cell r="B65">
            <v>0.5</v>
          </cell>
          <cell r="C65">
            <v>0.5</v>
          </cell>
        </row>
        <row r="66">
          <cell r="A66" t="str">
            <v>Canada</v>
          </cell>
          <cell r="B66">
            <v>0.52</v>
          </cell>
          <cell r="C66">
            <v>0.48</v>
          </cell>
        </row>
        <row r="67">
          <cell r="A67" t="str">
            <v>Philippines</v>
          </cell>
          <cell r="B67">
            <v>0.51</v>
          </cell>
          <cell r="C67">
            <v>0.49</v>
          </cell>
        </row>
        <row r="68">
          <cell r="A68" t="str">
            <v>Ireland</v>
          </cell>
          <cell r="B68">
            <v>0.49</v>
          </cell>
          <cell r="C68">
            <v>0.51</v>
          </cell>
        </row>
        <row r="69">
          <cell r="A69" t="str">
            <v>Norway</v>
          </cell>
          <cell r="B69">
            <v>0.55000000000000004</v>
          </cell>
          <cell r="C69">
            <v>0.45</v>
          </cell>
        </row>
        <row r="70">
          <cell r="A70" t="str">
            <v>Pakistan</v>
          </cell>
          <cell r="B70">
            <v>0.49</v>
          </cell>
          <cell r="C70">
            <v>0.51</v>
          </cell>
        </row>
        <row r="71">
          <cell r="A71" t="str">
            <v>Cambodia</v>
          </cell>
        </row>
        <row r="72">
          <cell r="A72" t="str">
            <v>Netherlands</v>
          </cell>
          <cell r="B72">
            <v>0.54</v>
          </cell>
          <cell r="C72">
            <v>0.46</v>
          </cell>
        </row>
        <row r="73">
          <cell r="A73" t="str">
            <v>Lithuania</v>
          </cell>
          <cell r="B73">
            <v>0.57999999999999996</v>
          </cell>
          <cell r="C73">
            <v>0.42</v>
          </cell>
        </row>
        <row r="74">
          <cell r="A74" t="str">
            <v>Australia</v>
          </cell>
          <cell r="B74">
            <v>0.46</v>
          </cell>
          <cell r="C74">
            <v>0.54</v>
          </cell>
        </row>
        <row r="75">
          <cell r="A75" t="str">
            <v>Fiji</v>
          </cell>
        </row>
        <row r="76">
          <cell r="A76" t="str">
            <v>Guatemala</v>
          </cell>
        </row>
        <row r="77">
          <cell r="A77" t="str">
            <v>Denmark</v>
          </cell>
          <cell r="B77">
            <v>0.51</v>
          </cell>
          <cell r="C77">
            <v>0.49</v>
          </cell>
        </row>
        <row r="78">
          <cell r="A78" t="str">
            <v>Bhutan</v>
          </cell>
        </row>
        <row r="79">
          <cell r="A79" t="str">
            <v>Romania</v>
          </cell>
          <cell r="B79">
            <v>0.56000000000000005</v>
          </cell>
          <cell r="C79">
            <v>0.44</v>
          </cell>
        </row>
        <row r="80">
          <cell r="A80" t="str">
            <v>United Kingdom</v>
          </cell>
          <cell r="B80">
            <v>0.46</v>
          </cell>
          <cell r="C80">
            <v>0.54</v>
          </cell>
        </row>
        <row r="81">
          <cell r="A81" t="str">
            <v>Germany</v>
          </cell>
          <cell r="B81">
            <v>0.54</v>
          </cell>
          <cell r="C81">
            <v>0.46</v>
          </cell>
        </row>
        <row r="82">
          <cell r="A82" t="str">
            <v>CÃ´te dâ€™Ivoire</v>
          </cell>
        </row>
        <row r="83">
          <cell r="A83" t="str">
            <v>Angola</v>
          </cell>
        </row>
        <row r="84">
          <cell r="A84" t="str">
            <v>Russia</v>
          </cell>
          <cell r="B84">
            <v>0.59</v>
          </cell>
          <cell r="C84">
            <v>0.41</v>
          </cell>
        </row>
        <row r="85">
          <cell r="A85" t="str">
            <v>Serbia</v>
          </cell>
          <cell r="B85">
            <v>0.59</v>
          </cell>
          <cell r="C85">
            <v>0.41</v>
          </cell>
        </row>
        <row r="86">
          <cell r="A86" t="str">
            <v>Guernsey</v>
          </cell>
        </row>
        <row r="87">
          <cell r="A87" t="str">
            <v>Cape Verde</v>
          </cell>
        </row>
        <row r="88">
          <cell r="A88" t="str">
            <v>Austria</v>
          </cell>
          <cell r="B88">
            <v>0.53</v>
          </cell>
          <cell r="C88">
            <v>0.47</v>
          </cell>
        </row>
        <row r="89">
          <cell r="A89" t="str">
            <v>United Arab Emirates</v>
          </cell>
          <cell r="B89">
            <v>0.36</v>
          </cell>
          <cell r="C89">
            <v>0.64</v>
          </cell>
        </row>
        <row r="90">
          <cell r="A90" t="str">
            <v>Central African Republic</v>
          </cell>
        </row>
        <row r="91">
          <cell r="A91" t="str">
            <v>Hungary</v>
          </cell>
          <cell r="B91">
            <v>0.57999999999999996</v>
          </cell>
          <cell r="C91">
            <v>0.42</v>
          </cell>
        </row>
        <row r="92">
          <cell r="A92" t="str">
            <v>Bahrain</v>
          </cell>
        </row>
        <row r="93">
          <cell r="A93" t="str">
            <v>Malaysia</v>
          </cell>
          <cell r="B93">
            <v>0.38</v>
          </cell>
          <cell r="C93">
            <v>0.62</v>
          </cell>
        </row>
        <row r="94">
          <cell r="A94" t="str">
            <v>Mongolia</v>
          </cell>
        </row>
        <row r="95">
          <cell r="A95" t="str">
            <v>Iran</v>
          </cell>
          <cell r="B95">
            <v>0.38</v>
          </cell>
          <cell r="C95">
            <v>0.62</v>
          </cell>
        </row>
        <row r="96">
          <cell r="A96" t="str">
            <v>Zimbabwe</v>
          </cell>
        </row>
        <row r="97">
          <cell r="A97" t="str">
            <v>Congo - Brazzaville</v>
          </cell>
        </row>
        <row r="98">
          <cell r="A98" t="str">
            <v>Dominican Republic</v>
          </cell>
        </row>
        <row r="99">
          <cell r="A99" t="str">
            <v>CuraÃ§ao</v>
          </cell>
        </row>
        <row r="100">
          <cell r="A100" t="str">
            <v>Afghanistan</v>
          </cell>
        </row>
        <row r="101">
          <cell r="A101" t="str">
            <v>Poland</v>
          </cell>
          <cell r="B101">
            <v>0.54</v>
          </cell>
          <cell r="C101">
            <v>0.46</v>
          </cell>
        </row>
        <row r="102">
          <cell r="A102" t="str">
            <v>Ecuador</v>
          </cell>
          <cell r="B102">
            <v>0.33</v>
          </cell>
          <cell r="C102">
            <v>0.67</v>
          </cell>
        </row>
        <row r="103">
          <cell r="A103" t="str">
            <v>Japan</v>
          </cell>
          <cell r="B103">
            <v>0.51</v>
          </cell>
          <cell r="C103">
            <v>0.49</v>
          </cell>
        </row>
        <row r="104">
          <cell r="A104" t="str">
            <v>Chile</v>
          </cell>
          <cell r="B104">
            <v>0.39</v>
          </cell>
          <cell r="C104">
            <v>0.61</v>
          </cell>
        </row>
        <row r="105">
          <cell r="A105" t="str">
            <v>Maldives</v>
          </cell>
        </row>
        <row r="106">
          <cell r="A106" t="str">
            <v>Slovakia</v>
          </cell>
          <cell r="B106">
            <v>0.56000000000000005</v>
          </cell>
          <cell r="C106">
            <v>0.44</v>
          </cell>
        </row>
        <row r="107">
          <cell r="A107" t="str">
            <v>Cyprus</v>
          </cell>
        </row>
        <row r="108">
          <cell r="A108" t="str">
            <v>Benin</v>
          </cell>
        </row>
        <row r="109">
          <cell r="A109" t="str">
            <v>Uzbekistan</v>
          </cell>
        </row>
        <row r="110">
          <cell r="A110" t="str">
            <v>Lesotho</v>
          </cell>
        </row>
        <row r="111">
          <cell r="A111" t="str">
            <v>Ghana</v>
          </cell>
        </row>
        <row r="112">
          <cell r="A112" t="str">
            <v>Panama</v>
          </cell>
        </row>
        <row r="113">
          <cell r="A113" t="str">
            <v>Spain</v>
          </cell>
          <cell r="B113">
            <v>0.56999999999999995</v>
          </cell>
          <cell r="C113">
            <v>0.43</v>
          </cell>
        </row>
        <row r="114">
          <cell r="A114" t="str">
            <v>Mexico</v>
          </cell>
          <cell r="B114">
            <v>0.38</v>
          </cell>
          <cell r="C114">
            <v>0.62</v>
          </cell>
        </row>
        <row r="115">
          <cell r="A115" t="str">
            <v>Congo - Kinshasa</v>
          </cell>
        </row>
        <row r="116">
          <cell r="A116" t="str">
            <v>France</v>
          </cell>
          <cell r="B116">
            <v>0.56000000000000005</v>
          </cell>
          <cell r="C116">
            <v>0.44</v>
          </cell>
        </row>
        <row r="117">
          <cell r="A117" t="str">
            <v>Barbados</v>
          </cell>
        </row>
        <row r="118">
          <cell r="A118" t="str">
            <v>Jamaica</v>
          </cell>
        </row>
        <row r="119">
          <cell r="A119" t="str">
            <v>Uruguay</v>
          </cell>
        </row>
        <row r="120">
          <cell r="A120" t="str">
            <v>Chad</v>
          </cell>
        </row>
        <row r="121">
          <cell r="A121" t="str">
            <v>Namibia</v>
          </cell>
        </row>
        <row r="122">
          <cell r="A122" t="str">
            <v>Uganda</v>
          </cell>
        </row>
        <row r="123">
          <cell r="A123" t="str">
            <v>Laos</v>
          </cell>
        </row>
        <row r="124">
          <cell r="A124" t="str">
            <v>Colombia</v>
          </cell>
          <cell r="B124">
            <v>0.43</v>
          </cell>
          <cell r="C124">
            <v>0.56999999999999995</v>
          </cell>
        </row>
        <row r="125">
          <cell r="A125" t="str">
            <v>Kenya</v>
          </cell>
          <cell r="B125">
            <v>0.54</v>
          </cell>
          <cell r="C125">
            <v>0.46</v>
          </cell>
        </row>
        <row r="126">
          <cell r="A126" t="str">
            <v>Haiti</v>
          </cell>
        </row>
        <row r="127">
          <cell r="A127" t="str">
            <v>Andorra</v>
          </cell>
        </row>
        <row r="128">
          <cell r="A128" t="str">
            <v>Paraguay</v>
          </cell>
        </row>
        <row r="129">
          <cell r="A129" t="str">
            <v>Morocco</v>
          </cell>
          <cell r="B129">
            <v>0.45</v>
          </cell>
          <cell r="C129">
            <v>0.55000000000000004</v>
          </cell>
        </row>
        <row r="130">
          <cell r="A130" t="str">
            <v>Seychelles</v>
          </cell>
        </row>
        <row r="131">
          <cell r="A131" t="str">
            <v>Zambia</v>
          </cell>
        </row>
        <row r="132">
          <cell r="A132" t="str">
            <v>Qatar</v>
          </cell>
        </row>
        <row r="133">
          <cell r="A133" t="str">
            <v>Oman</v>
          </cell>
        </row>
        <row r="134">
          <cell r="A134" t="str">
            <v>Senegal</v>
          </cell>
        </row>
        <row r="135">
          <cell r="A135" t="str">
            <v>Croatia</v>
          </cell>
          <cell r="B135">
            <v>0.51</v>
          </cell>
          <cell r="C135">
            <v>0.49</v>
          </cell>
        </row>
        <row r="136">
          <cell r="A136" t="str">
            <v>Vanuatu</v>
          </cell>
        </row>
        <row r="137">
          <cell r="A137" t="str">
            <v>Greenland</v>
          </cell>
        </row>
        <row r="138">
          <cell r="A138" t="str">
            <v>Albania</v>
          </cell>
        </row>
        <row r="139">
          <cell r="A139" t="str">
            <v>Caribbean Netherlands</v>
          </cell>
        </row>
        <row r="140">
          <cell r="A140" t="str">
            <v>French Polynesia</v>
          </cell>
        </row>
        <row r="141">
          <cell r="A141" t="str">
            <v>Malawi</v>
          </cell>
        </row>
        <row r="142">
          <cell r="A142" t="str">
            <v>Mozambique</v>
          </cell>
        </row>
        <row r="143">
          <cell r="A143" t="str">
            <v>Djibouti</v>
          </cell>
        </row>
        <row r="144">
          <cell r="A144" t="str">
            <v>Vietnam</v>
          </cell>
          <cell r="B144">
            <v>0.46</v>
          </cell>
          <cell r="C144">
            <v>0.54</v>
          </cell>
        </row>
        <row r="145">
          <cell r="A145" t="str">
            <v>Gabon</v>
          </cell>
        </row>
        <row r="146">
          <cell r="A146" t="str">
            <v>Papua New Guinea</v>
          </cell>
        </row>
        <row r="147">
          <cell r="A147" t="str">
            <v>Liberia</v>
          </cell>
        </row>
        <row r="148">
          <cell r="A148" t="str">
            <v>Jordan</v>
          </cell>
        </row>
        <row r="149">
          <cell r="A149" t="str">
            <v>Kuwait</v>
          </cell>
        </row>
        <row r="150">
          <cell r="A150" t="str">
            <v>Georgia</v>
          </cell>
        </row>
        <row r="151">
          <cell r="A151" t="str">
            <v>Nigeria</v>
          </cell>
          <cell r="B151">
            <v>0.56000000000000005</v>
          </cell>
          <cell r="C151">
            <v>0.44</v>
          </cell>
        </row>
        <row r="152">
          <cell r="A152" t="str">
            <v>Greece</v>
          </cell>
          <cell r="B152">
            <v>0.53</v>
          </cell>
          <cell r="C152">
            <v>0.47</v>
          </cell>
        </row>
        <row r="153">
          <cell r="A153" t="str">
            <v>Montenegro</v>
          </cell>
        </row>
        <row r="154">
          <cell r="A154" t="str">
            <v>Burundi</v>
          </cell>
        </row>
        <row r="155">
          <cell r="A155" t="str">
            <v>Trinidad &amp; Tobago</v>
          </cell>
        </row>
        <row r="156">
          <cell r="A156" t="str">
            <v>Italy</v>
          </cell>
          <cell r="B156">
            <v>0.54</v>
          </cell>
          <cell r="C156">
            <v>0.46</v>
          </cell>
        </row>
        <row r="157">
          <cell r="A157" t="str">
            <v>Puerto Rico</v>
          </cell>
        </row>
        <row r="158">
          <cell r="A158" t="str">
            <v>Gambia</v>
          </cell>
        </row>
        <row r="159">
          <cell r="A159" t="str">
            <v>New Caledonia</v>
          </cell>
        </row>
        <row r="160">
          <cell r="A160" t="str">
            <v>Kyrgyzstan</v>
          </cell>
        </row>
        <row r="161">
          <cell r="A161" t="str">
            <v>Bosnia &amp; Herzegovina</v>
          </cell>
        </row>
        <row r="162">
          <cell r="A162" t="str">
            <v>Brazil</v>
          </cell>
          <cell r="B162">
            <v>0.47</v>
          </cell>
          <cell r="C162">
            <v>0.53</v>
          </cell>
        </row>
        <row r="163">
          <cell r="A163" t="str">
            <v>Niger</v>
          </cell>
        </row>
        <row r="164">
          <cell r="A164" t="str">
            <v>Palestine</v>
          </cell>
        </row>
        <row r="165">
          <cell r="A165" t="str">
            <v>Argentina</v>
          </cell>
          <cell r="B165">
            <v>0.51</v>
          </cell>
          <cell r="C165">
            <v>0.49</v>
          </cell>
        </row>
        <row r="166">
          <cell r="A166" t="str">
            <v>Kosovo</v>
          </cell>
        </row>
        <row r="167">
          <cell r="A167" t="str">
            <v>Burkina Faso</v>
          </cell>
        </row>
        <row r="168">
          <cell r="A168" t="str">
            <v>Dominica</v>
          </cell>
        </row>
        <row r="169">
          <cell r="A169" t="str">
            <v>Belize</v>
          </cell>
        </row>
        <row r="170">
          <cell r="A170" t="str">
            <v>Egypt</v>
          </cell>
          <cell r="B170">
            <v>0.43</v>
          </cell>
          <cell r="C170">
            <v>0.56999999999999995</v>
          </cell>
        </row>
        <row r="171">
          <cell r="A171" t="str">
            <v>RÃ©union</v>
          </cell>
        </row>
        <row r="172">
          <cell r="A172" t="str">
            <v>Tajikistan</v>
          </cell>
        </row>
        <row r="173">
          <cell r="A173" t="str">
            <v>Syria</v>
          </cell>
        </row>
        <row r="174">
          <cell r="A174" t="str">
            <v>Grenada</v>
          </cell>
        </row>
        <row r="175">
          <cell r="A175" t="str">
            <v>Sudan</v>
          </cell>
        </row>
        <row r="176">
          <cell r="A176" t="str">
            <v>U.S. Virgin Islands</v>
          </cell>
        </row>
        <row r="177">
          <cell r="A177" t="str">
            <v>Bolivia</v>
          </cell>
          <cell r="B177">
            <v>0.43</v>
          </cell>
          <cell r="C177">
            <v>0.56999999999999995</v>
          </cell>
        </row>
        <row r="178">
          <cell r="A178" t="str">
            <v>Thailand</v>
          </cell>
          <cell r="B178">
            <v>0.42</v>
          </cell>
          <cell r="C178">
            <v>0.57999999999999996</v>
          </cell>
        </row>
        <row r="179">
          <cell r="A179" t="str">
            <v>Libya</v>
          </cell>
        </row>
        <row r="180">
          <cell r="A180" t="str">
            <v>Indonesia</v>
          </cell>
          <cell r="B180">
            <v>0.48</v>
          </cell>
          <cell r="C180">
            <v>0.52</v>
          </cell>
        </row>
        <row r="181">
          <cell r="A181" t="str">
            <v>Suriname</v>
          </cell>
        </row>
        <row r="182">
          <cell r="A182" t="str">
            <v>Aruba</v>
          </cell>
        </row>
        <row r="183">
          <cell r="A183" t="str">
            <v>Kazakhstan</v>
          </cell>
          <cell r="B183">
            <v>0.53</v>
          </cell>
          <cell r="C183">
            <v>0.47</v>
          </cell>
        </row>
        <row r="184">
          <cell r="A184" t="str">
            <v>Brunei</v>
          </cell>
        </row>
        <row r="185">
          <cell r="A185" t="str">
            <v>Guadeloupe</v>
          </cell>
        </row>
        <row r="186">
          <cell r="A186" t="str">
            <v>Antigua &amp; Barbuda</v>
          </cell>
        </row>
        <row r="187">
          <cell r="A187" t="str">
            <v>Tanzania</v>
          </cell>
        </row>
        <row r="188">
          <cell r="A188" t="str">
            <v>Sierra Leone</v>
          </cell>
        </row>
        <row r="189">
          <cell r="A189" t="str">
            <v>Mauritania</v>
          </cell>
        </row>
        <row r="190">
          <cell r="A190" t="str">
            <v>Saudi Arabia</v>
          </cell>
          <cell r="B190">
            <v>0.32</v>
          </cell>
          <cell r="C190">
            <v>0.68</v>
          </cell>
        </row>
        <row r="191">
          <cell r="A191" t="str">
            <v>Guinea</v>
          </cell>
        </row>
        <row r="192">
          <cell r="A192" t="str">
            <v>Turkey</v>
          </cell>
          <cell r="B192">
            <v>0.38</v>
          </cell>
          <cell r="C192">
            <v>0.62</v>
          </cell>
        </row>
        <row r="193">
          <cell r="A193" t="str">
            <v>Guyana</v>
          </cell>
        </row>
        <row r="194">
          <cell r="A194" t="str">
            <v>Mali</v>
          </cell>
        </row>
        <row r="195">
          <cell r="A195" t="str">
            <v>Azerbaijan</v>
          </cell>
        </row>
        <row r="196">
          <cell r="A196" t="str">
            <v>Venezuela</v>
          </cell>
          <cell r="B196">
            <v>0.51</v>
          </cell>
          <cell r="C196">
            <v>0.49</v>
          </cell>
        </row>
        <row r="197">
          <cell r="A197" t="str">
            <v>Martinique</v>
          </cell>
        </row>
        <row r="198">
          <cell r="A198" t="str">
            <v>Timor-Leste</v>
          </cell>
        </row>
        <row r="199">
          <cell r="A199" t="str">
            <v>Algeria</v>
          </cell>
        </row>
        <row r="200">
          <cell r="A200" t="str">
            <v>Bahamas</v>
          </cell>
        </row>
        <row r="201">
          <cell r="A201" t="str">
            <v>St. Lucia</v>
          </cell>
        </row>
        <row r="202">
          <cell r="A202" t="str">
            <v>St. Vincent &amp; Grenadines</v>
          </cell>
        </row>
        <row r="203">
          <cell r="A203" t="str">
            <v>Yemen</v>
          </cell>
        </row>
        <row r="204">
          <cell r="A204" t="str">
            <v>Turkmenistan</v>
          </cell>
        </row>
        <row r="205">
          <cell r="A205" t="str">
            <v>Guam</v>
          </cell>
        </row>
        <row r="206">
          <cell r="A206" t="str">
            <v>French Guiana</v>
          </cell>
        </row>
        <row r="207">
          <cell r="A207" t="str">
            <v>South Sudan</v>
          </cell>
        </row>
        <row r="208">
          <cell r="A208" t="str">
            <v>Iraq</v>
          </cell>
        </row>
        <row r="209">
          <cell r="A209" t="str">
            <v>North Korea</v>
          </cell>
        </row>
        <row r="210">
          <cell r="A210" t="str">
            <v>Tuvalu</v>
          </cell>
        </row>
        <row r="211">
          <cell r="A211" t="str">
            <v>Norfolk Island</v>
          </cell>
        </row>
        <row r="212">
          <cell r="A212" t="str">
            <v>Kiribati</v>
          </cell>
        </row>
        <row r="213">
          <cell r="A213" t="str">
            <v>Montserrat</v>
          </cell>
        </row>
        <row r="214">
          <cell r="A214" t="str">
            <v>Svalbard &amp; Jan Mayen</v>
          </cell>
        </row>
        <row r="215">
          <cell r="A215" t="str">
            <v>Eritrea</v>
          </cell>
        </row>
        <row r="216">
          <cell r="A216" t="str">
            <v>American Samoa</v>
          </cell>
        </row>
        <row r="217">
          <cell r="A217" t="str">
            <v>Palau</v>
          </cell>
        </row>
        <row r="218">
          <cell r="A218" t="str">
            <v>Cook Islands</v>
          </cell>
        </row>
        <row r="219">
          <cell r="A219" t="str">
            <v>Solomon Islands</v>
          </cell>
        </row>
        <row r="220">
          <cell r="A220" t="str">
            <v>SÃ£o TomÃ© &amp; PrÃ­ncipe</v>
          </cell>
        </row>
        <row r="221">
          <cell r="A221" t="str">
            <v>Northern Mariana Islands</v>
          </cell>
        </row>
        <row r="222">
          <cell r="A222" t="str">
            <v>Equatorial Guinea</v>
          </cell>
        </row>
        <row r="223">
          <cell r="A223" t="str">
            <v>British Virgin Islands</v>
          </cell>
        </row>
        <row r="224">
          <cell r="A224" t="str">
            <v>Comoros</v>
          </cell>
        </row>
        <row r="225">
          <cell r="A225" t="str">
            <v>St. Pierre &amp; Miquelon</v>
          </cell>
        </row>
        <row r="226">
          <cell r="A226" t="str">
            <v>St. Kitts &amp; Nevis</v>
          </cell>
        </row>
        <row r="227">
          <cell r="A227" t="str">
            <v>Turks &amp; Caicos Islands</v>
          </cell>
        </row>
        <row r="228">
          <cell r="A228" t="str">
            <v>Sint Maarten</v>
          </cell>
        </row>
        <row r="229">
          <cell r="A229" t="str">
            <v>St. Martin</v>
          </cell>
        </row>
        <row r="230">
          <cell r="A230" t="str">
            <v>Micronesia</v>
          </cell>
        </row>
        <row r="231">
          <cell r="A231" t="str">
            <v>Anguilla</v>
          </cell>
        </row>
        <row r="232">
          <cell r="A232" t="str">
            <v>Marshall Islands</v>
          </cell>
        </row>
        <row r="233">
          <cell r="A233" t="str">
            <v>Samoa</v>
          </cell>
        </row>
        <row r="234">
          <cell r="A234" t="str">
            <v>Mayotte</v>
          </cell>
        </row>
        <row r="235">
          <cell r="A235" t="str">
            <v>Tonga</v>
          </cell>
        </row>
        <row r="236">
          <cell r="A236" t="str">
            <v>Guinea-Bissau</v>
          </cell>
        </row>
        <row r="237">
          <cell r="A237" t="str">
            <v>St. BarthÃ©lemy</v>
          </cell>
        </row>
        <row r="238">
          <cell r="A238" t="str">
            <v>Antarctica</v>
          </cell>
        </row>
        <row r="239">
          <cell r="A239" t="str">
            <v>French Southern Territories</v>
          </cell>
        </row>
        <row r="240">
          <cell r="A240" t="str">
            <v>Bouvet Island</v>
          </cell>
        </row>
        <row r="241">
          <cell r="A241" t="str">
            <v>Cocos (Keeling) Islands</v>
          </cell>
        </row>
        <row r="242">
          <cell r="A242" t="str">
            <v>Christmas Island</v>
          </cell>
        </row>
        <row r="243">
          <cell r="A243" t="str">
            <v>Western Sahara</v>
          </cell>
        </row>
        <row r="244">
          <cell r="A244" t="str">
            <v>Falkland Islands (Islas Malvinas)</v>
          </cell>
        </row>
        <row r="245">
          <cell r="A245" t="str">
            <v>Heard &amp; McDonald Islands</v>
          </cell>
        </row>
        <row r="246">
          <cell r="A246" t="str">
            <v>Niue</v>
          </cell>
        </row>
        <row r="247">
          <cell r="A247" t="str">
            <v>Nauru</v>
          </cell>
        </row>
        <row r="248">
          <cell r="A248" t="str">
            <v>Pitcairn Islands</v>
          </cell>
        </row>
        <row r="249">
          <cell r="A249" t="str">
            <v>South Georgia &amp; South Sandwich Islands</v>
          </cell>
        </row>
        <row r="250">
          <cell r="A250" t="str">
            <v>Tokelau</v>
          </cell>
        </row>
        <row r="251">
          <cell r="A251" t="str">
            <v>U.S. Outlying Islands</v>
          </cell>
        </row>
        <row r="252">
          <cell r="A252" t="str">
            <v>Vatican City</v>
          </cell>
        </row>
        <row r="253">
          <cell r="A253" t="str">
            <v>Wallis &amp; Futuna</v>
          </cell>
        </row>
      </sheetData>
    </sheetDataSet>
  </externalBook>
</externalLink>
</file>

<file path=xl/externalLinks/externalLink2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4)"/>
    </sheetNames>
    <sheetDataSet>
      <sheetData sheetId="0">
        <row r="1">
          <cell r="A1" t="str">
            <v>Kategori: TÃ¼m kategoriler</v>
          </cell>
        </row>
        <row r="3">
          <cell r="A3" t="str">
            <v>Ãœlke</v>
          </cell>
          <cell r="B3" t="str">
            <v>SQL: (2015)</v>
          </cell>
          <cell r="C3" t="str">
            <v>VeritabanÄ±: (2015)</v>
          </cell>
        </row>
        <row r="4">
          <cell r="A4" t="str">
            <v>China</v>
          </cell>
          <cell r="B4">
            <v>0.49</v>
          </cell>
          <cell r="C4">
            <v>0.51</v>
          </cell>
        </row>
        <row r="5">
          <cell r="A5" t="str">
            <v>Cuba</v>
          </cell>
        </row>
        <row r="6">
          <cell r="A6" t="str">
            <v>Eritrea</v>
          </cell>
        </row>
        <row r="7">
          <cell r="A7" t="str">
            <v>Botswana</v>
          </cell>
        </row>
        <row r="8">
          <cell r="A8" t="str">
            <v>British Indian Ocean Territory</v>
          </cell>
        </row>
        <row r="9">
          <cell r="A9" t="str">
            <v>St. Helena</v>
          </cell>
        </row>
        <row r="10">
          <cell r="A10" t="str">
            <v>India</v>
          </cell>
          <cell r="B10">
            <v>0.62</v>
          </cell>
          <cell r="C10">
            <v>0.38</v>
          </cell>
        </row>
        <row r="11">
          <cell r="A11" t="str">
            <v>Ethiopia</v>
          </cell>
        </row>
        <row r="12">
          <cell r="A12" t="str">
            <v>Tonga</v>
          </cell>
        </row>
        <row r="13">
          <cell r="A13" t="str">
            <v>Rwanda</v>
          </cell>
        </row>
        <row r="14">
          <cell r="A14" t="str">
            <v>Zimbabwe</v>
          </cell>
        </row>
        <row r="15">
          <cell r="A15" t="str">
            <v>Eswatini</v>
          </cell>
        </row>
        <row r="16">
          <cell r="A16" t="str">
            <v>Timor-Leste</v>
          </cell>
        </row>
        <row r="17">
          <cell r="A17" t="str">
            <v>Samoa</v>
          </cell>
        </row>
        <row r="18">
          <cell r="A18" t="str">
            <v>Liechtenstein</v>
          </cell>
        </row>
        <row r="19">
          <cell r="A19" t="str">
            <v>Singapore</v>
          </cell>
          <cell r="B19">
            <v>0.57999999999999996</v>
          </cell>
          <cell r="C19">
            <v>0.42</v>
          </cell>
        </row>
        <row r="20">
          <cell r="A20" t="str">
            <v>Guinea-Bissau</v>
          </cell>
        </row>
        <row r="21">
          <cell r="A21" t="str">
            <v>Luxembourg</v>
          </cell>
        </row>
        <row r="22">
          <cell r="A22" t="str">
            <v>Iceland</v>
          </cell>
        </row>
        <row r="23">
          <cell r="A23" t="str">
            <v>Togo</v>
          </cell>
        </row>
        <row r="24">
          <cell r="A24" t="str">
            <v>Nepal</v>
          </cell>
        </row>
        <row r="25">
          <cell r="A25" t="str">
            <v>Sri Lanka</v>
          </cell>
          <cell r="B25">
            <v>0.51</v>
          </cell>
          <cell r="C25">
            <v>0.49</v>
          </cell>
        </row>
        <row r="26">
          <cell r="A26" t="str">
            <v>Papua New Guinea</v>
          </cell>
        </row>
        <row r="27">
          <cell r="A27" t="str">
            <v>Central African Republic</v>
          </cell>
        </row>
        <row r="28">
          <cell r="A28" t="str">
            <v>Ã…land Islands</v>
          </cell>
        </row>
        <row r="29">
          <cell r="A29" t="str">
            <v>Lesotho</v>
          </cell>
        </row>
        <row r="30">
          <cell r="A30" t="str">
            <v>Costa Rica</v>
          </cell>
          <cell r="B30">
            <v>0.64</v>
          </cell>
          <cell r="C30">
            <v>0.36</v>
          </cell>
        </row>
        <row r="31">
          <cell r="A31" t="str">
            <v>Bhutan</v>
          </cell>
        </row>
        <row r="32">
          <cell r="A32" t="str">
            <v>Hong Kong</v>
          </cell>
          <cell r="B32">
            <v>0.57999999999999996</v>
          </cell>
          <cell r="C32">
            <v>0.42</v>
          </cell>
        </row>
        <row r="33">
          <cell r="A33" t="str">
            <v>Ghana</v>
          </cell>
        </row>
        <row r="34">
          <cell r="A34" t="str">
            <v>Nicaragua</v>
          </cell>
        </row>
        <row r="35">
          <cell r="A35" t="str">
            <v>Somalia</v>
          </cell>
        </row>
        <row r="36">
          <cell r="A36" t="str">
            <v>Solomon Islands</v>
          </cell>
        </row>
        <row r="37">
          <cell r="A37" t="str">
            <v>Afghanistan</v>
          </cell>
        </row>
        <row r="38">
          <cell r="A38" t="str">
            <v>Fiji</v>
          </cell>
        </row>
        <row r="39">
          <cell r="A39" t="str">
            <v>Malta</v>
          </cell>
        </row>
        <row r="40">
          <cell r="A40" t="str">
            <v>Uganda</v>
          </cell>
        </row>
        <row r="41">
          <cell r="A41" t="str">
            <v>SÃ£o TomÃ© &amp; PrÃ­ncipe</v>
          </cell>
        </row>
        <row r="42">
          <cell r="A42" t="str">
            <v>Cameroon</v>
          </cell>
        </row>
        <row r="43">
          <cell r="A43" t="str">
            <v>Isle of Man</v>
          </cell>
        </row>
        <row r="44">
          <cell r="A44" t="str">
            <v>Monaco</v>
          </cell>
        </row>
        <row r="45">
          <cell r="A45" t="str">
            <v>Cape Verde</v>
          </cell>
        </row>
        <row r="46">
          <cell r="A46" t="str">
            <v>Madagascar</v>
          </cell>
        </row>
        <row r="47">
          <cell r="A47" t="str">
            <v>South Africa</v>
          </cell>
          <cell r="B47">
            <v>0.51</v>
          </cell>
          <cell r="C47">
            <v>0.49</v>
          </cell>
        </row>
        <row r="48">
          <cell r="A48" t="str">
            <v>Mauritius</v>
          </cell>
        </row>
        <row r="49">
          <cell r="A49" t="str">
            <v>Myanmar (Burma)</v>
          </cell>
        </row>
        <row r="50">
          <cell r="A50" t="str">
            <v>Kenya</v>
          </cell>
          <cell r="B50">
            <v>0.32</v>
          </cell>
          <cell r="C50">
            <v>0.68</v>
          </cell>
        </row>
        <row r="51">
          <cell r="A51" t="str">
            <v>New Zealand</v>
          </cell>
          <cell r="B51">
            <v>0.54</v>
          </cell>
          <cell r="C51">
            <v>0.46</v>
          </cell>
        </row>
        <row r="52">
          <cell r="A52" t="str">
            <v>Malawi</v>
          </cell>
        </row>
        <row r="53">
          <cell r="A53" t="str">
            <v>Bermuda</v>
          </cell>
        </row>
        <row r="54">
          <cell r="A54" t="str">
            <v>Angola</v>
          </cell>
        </row>
        <row r="55">
          <cell r="A55" t="str">
            <v>El Salvador</v>
          </cell>
          <cell r="B55">
            <v>0.55000000000000004</v>
          </cell>
          <cell r="C55">
            <v>0.45</v>
          </cell>
        </row>
        <row r="56">
          <cell r="A56" t="str">
            <v>Jamaica</v>
          </cell>
        </row>
        <row r="57">
          <cell r="A57" t="str">
            <v>Portugal</v>
          </cell>
          <cell r="B57">
            <v>0.6</v>
          </cell>
          <cell r="C57">
            <v>0.4</v>
          </cell>
        </row>
        <row r="58">
          <cell r="A58" t="str">
            <v>Israel</v>
          </cell>
          <cell r="B58">
            <v>0.68</v>
          </cell>
          <cell r="C58">
            <v>0.32</v>
          </cell>
        </row>
        <row r="59">
          <cell r="A59" t="str">
            <v>Honduras</v>
          </cell>
        </row>
        <row r="60">
          <cell r="A60" t="str">
            <v>Vanuatu</v>
          </cell>
        </row>
        <row r="61">
          <cell r="A61" t="str">
            <v>Macao</v>
          </cell>
        </row>
        <row r="62">
          <cell r="A62" t="str">
            <v>Nigeria</v>
          </cell>
          <cell r="B62">
            <v>0.28000000000000003</v>
          </cell>
          <cell r="C62">
            <v>0.72</v>
          </cell>
        </row>
        <row r="63">
          <cell r="A63" t="str">
            <v>Tunisia</v>
          </cell>
          <cell r="B63">
            <v>0.52</v>
          </cell>
          <cell r="C63">
            <v>0.48</v>
          </cell>
        </row>
        <row r="64">
          <cell r="A64" t="str">
            <v>Switzerland</v>
          </cell>
          <cell r="B64">
            <v>0.56999999999999995</v>
          </cell>
          <cell r="C64">
            <v>0.43</v>
          </cell>
        </row>
        <row r="65">
          <cell r="A65" t="str">
            <v>Czechia</v>
          </cell>
          <cell r="B65">
            <v>0.5</v>
          </cell>
          <cell r="C65">
            <v>0.5</v>
          </cell>
        </row>
        <row r="66">
          <cell r="A66" t="str">
            <v>Namibia</v>
          </cell>
        </row>
        <row r="67">
          <cell r="A67" t="str">
            <v>Caribbean Netherlands</v>
          </cell>
        </row>
        <row r="68">
          <cell r="A68" t="str">
            <v>United States</v>
          </cell>
          <cell r="B68">
            <v>0.56000000000000005</v>
          </cell>
          <cell r="C68">
            <v>0.44</v>
          </cell>
        </row>
        <row r="69">
          <cell r="A69" t="str">
            <v>Philippines</v>
          </cell>
          <cell r="B69">
            <v>0.47</v>
          </cell>
          <cell r="C69">
            <v>0.53</v>
          </cell>
        </row>
        <row r="70">
          <cell r="A70" t="str">
            <v>Bangladesh</v>
          </cell>
          <cell r="B70">
            <v>0.46</v>
          </cell>
          <cell r="C70">
            <v>0.54</v>
          </cell>
        </row>
        <row r="71">
          <cell r="A71" t="str">
            <v>Benin</v>
          </cell>
        </row>
        <row r="72">
          <cell r="A72" t="str">
            <v>Pakistan</v>
          </cell>
          <cell r="B72">
            <v>0.48</v>
          </cell>
          <cell r="C72">
            <v>0.52</v>
          </cell>
        </row>
        <row r="73">
          <cell r="A73" t="str">
            <v>Jersey</v>
          </cell>
        </row>
        <row r="74">
          <cell r="A74" t="str">
            <v>South Korea</v>
          </cell>
          <cell r="B74">
            <v>0.47</v>
          </cell>
          <cell r="C74">
            <v>0.53</v>
          </cell>
        </row>
        <row r="75">
          <cell r="A75" t="str">
            <v>Congo - Kinshasa</v>
          </cell>
        </row>
        <row r="76">
          <cell r="A76" t="str">
            <v>Zambia</v>
          </cell>
        </row>
        <row r="77">
          <cell r="A77" t="str">
            <v>Peru</v>
          </cell>
          <cell r="B77">
            <v>0.59</v>
          </cell>
          <cell r="C77">
            <v>0.41</v>
          </cell>
        </row>
        <row r="78">
          <cell r="A78" t="str">
            <v>Cayman Islands</v>
          </cell>
        </row>
        <row r="79">
          <cell r="A79" t="str">
            <v>Belize</v>
          </cell>
        </row>
        <row r="80">
          <cell r="A80" t="str">
            <v>Lebanon</v>
          </cell>
        </row>
        <row r="81">
          <cell r="A81" t="str">
            <v>Gambia</v>
          </cell>
        </row>
        <row r="82">
          <cell r="A82" t="str">
            <v>Maldives</v>
          </cell>
        </row>
        <row r="83">
          <cell r="A83" t="str">
            <v>Belgium</v>
          </cell>
          <cell r="B83">
            <v>0.56000000000000005</v>
          </cell>
          <cell r="C83">
            <v>0.44</v>
          </cell>
        </row>
        <row r="84">
          <cell r="A84" t="str">
            <v>Estonia</v>
          </cell>
        </row>
        <row r="85">
          <cell r="A85" t="str">
            <v>North Macedonia</v>
          </cell>
        </row>
        <row r="86">
          <cell r="A86" t="str">
            <v>Ireland</v>
          </cell>
          <cell r="B86">
            <v>0.54</v>
          </cell>
          <cell r="C86">
            <v>0.46</v>
          </cell>
        </row>
        <row r="87">
          <cell r="A87" t="str">
            <v>CÃ´te dâ€™Ivoire</v>
          </cell>
        </row>
        <row r="88">
          <cell r="A88" t="str">
            <v>Congo - Brazzaville</v>
          </cell>
        </row>
        <row r="89">
          <cell r="A89" t="str">
            <v>Gibraltar</v>
          </cell>
        </row>
        <row r="90">
          <cell r="A90" t="str">
            <v>Mozambique</v>
          </cell>
        </row>
        <row r="91">
          <cell r="A91" t="str">
            <v>Taiwan</v>
          </cell>
          <cell r="B91">
            <v>0.5</v>
          </cell>
          <cell r="C91">
            <v>0.5</v>
          </cell>
        </row>
        <row r="92">
          <cell r="A92" t="str">
            <v>Faroe Islands</v>
          </cell>
        </row>
        <row r="93">
          <cell r="A93" t="str">
            <v>Australia</v>
          </cell>
          <cell r="B93">
            <v>0.53</v>
          </cell>
          <cell r="C93">
            <v>0.47</v>
          </cell>
        </row>
        <row r="94">
          <cell r="A94" t="str">
            <v>Guatemala</v>
          </cell>
          <cell r="B94">
            <v>0.54</v>
          </cell>
          <cell r="C94">
            <v>0.46</v>
          </cell>
        </row>
        <row r="95">
          <cell r="A95" t="str">
            <v>Canada</v>
          </cell>
          <cell r="B95">
            <v>0.51</v>
          </cell>
          <cell r="C95">
            <v>0.49</v>
          </cell>
        </row>
        <row r="96">
          <cell r="A96" t="str">
            <v>Tanzania</v>
          </cell>
        </row>
        <row r="97">
          <cell r="A97" t="str">
            <v>Belarus</v>
          </cell>
          <cell r="B97">
            <v>0.53</v>
          </cell>
          <cell r="C97">
            <v>0.47</v>
          </cell>
        </row>
        <row r="98">
          <cell r="A98" t="str">
            <v>Cambodia</v>
          </cell>
        </row>
        <row r="99">
          <cell r="A99" t="str">
            <v>Latvia</v>
          </cell>
        </row>
        <row r="100">
          <cell r="A100" t="str">
            <v>Equatorial Guinea</v>
          </cell>
        </row>
        <row r="101">
          <cell r="A101" t="str">
            <v>United Kingdom</v>
          </cell>
          <cell r="B101">
            <v>0.54</v>
          </cell>
          <cell r="C101">
            <v>0.46</v>
          </cell>
        </row>
        <row r="102">
          <cell r="A102" t="str">
            <v>Denmark</v>
          </cell>
          <cell r="B102">
            <v>0.56000000000000005</v>
          </cell>
          <cell r="C102">
            <v>0.44</v>
          </cell>
        </row>
        <row r="103">
          <cell r="A103" t="str">
            <v>Seychelles</v>
          </cell>
        </row>
        <row r="104">
          <cell r="A104" t="str">
            <v>Djibouti</v>
          </cell>
        </row>
        <row r="105">
          <cell r="A105" t="str">
            <v>Trinidad &amp; Tobago</v>
          </cell>
        </row>
        <row r="106">
          <cell r="A106" t="str">
            <v>Malaysia</v>
          </cell>
          <cell r="B106">
            <v>0.49</v>
          </cell>
          <cell r="C106">
            <v>0.51</v>
          </cell>
        </row>
        <row r="107">
          <cell r="A107" t="str">
            <v>Guernsey</v>
          </cell>
        </row>
        <row r="108">
          <cell r="A108" t="str">
            <v>Colombia</v>
          </cell>
          <cell r="B108">
            <v>0.44</v>
          </cell>
          <cell r="C108">
            <v>0.56000000000000005</v>
          </cell>
        </row>
        <row r="109">
          <cell r="A109" t="str">
            <v>United Arab Emirates</v>
          </cell>
          <cell r="B109">
            <v>0.56000000000000005</v>
          </cell>
          <cell r="C109">
            <v>0.44</v>
          </cell>
        </row>
        <row r="110">
          <cell r="A110" t="str">
            <v>Liberia</v>
          </cell>
        </row>
        <row r="111">
          <cell r="A111" t="str">
            <v>Chad</v>
          </cell>
        </row>
        <row r="112">
          <cell r="A112" t="str">
            <v>Bahrain</v>
          </cell>
        </row>
        <row r="113">
          <cell r="A113" t="str">
            <v>Slovenia</v>
          </cell>
        </row>
        <row r="114">
          <cell r="A114" t="str">
            <v>Grenada</v>
          </cell>
        </row>
        <row r="115">
          <cell r="A115" t="str">
            <v>Ecuador</v>
          </cell>
          <cell r="B115">
            <v>0.48</v>
          </cell>
          <cell r="C115">
            <v>0.52</v>
          </cell>
        </row>
        <row r="116">
          <cell r="A116" t="str">
            <v>Senegal</v>
          </cell>
        </row>
        <row r="117">
          <cell r="A117" t="str">
            <v>Iran</v>
          </cell>
          <cell r="B117">
            <v>0.57999999999999996</v>
          </cell>
          <cell r="C117">
            <v>0.42</v>
          </cell>
        </row>
        <row r="118">
          <cell r="A118" t="str">
            <v>Indonesia</v>
          </cell>
          <cell r="B118">
            <v>0.33</v>
          </cell>
          <cell r="C118">
            <v>0.67</v>
          </cell>
        </row>
        <row r="119">
          <cell r="A119" t="str">
            <v>Barbados</v>
          </cell>
        </row>
        <row r="120">
          <cell r="A120" t="str">
            <v>Sweden</v>
          </cell>
          <cell r="B120">
            <v>0.56999999999999995</v>
          </cell>
          <cell r="C120">
            <v>0.43</v>
          </cell>
        </row>
        <row r="121">
          <cell r="A121" t="str">
            <v>Netherlands</v>
          </cell>
          <cell r="B121">
            <v>0.52</v>
          </cell>
          <cell r="C121">
            <v>0.48</v>
          </cell>
        </row>
        <row r="122">
          <cell r="A122" t="str">
            <v>Dominican Republic</v>
          </cell>
          <cell r="B122">
            <v>0.56999999999999995</v>
          </cell>
          <cell r="C122">
            <v>0.43</v>
          </cell>
        </row>
        <row r="123">
          <cell r="A123" t="str">
            <v>CuraÃ§ao</v>
          </cell>
        </row>
        <row r="124">
          <cell r="A124" t="str">
            <v>Dominica</v>
          </cell>
        </row>
        <row r="125">
          <cell r="A125" t="str">
            <v>Norway</v>
          </cell>
          <cell r="B125">
            <v>0.56000000000000005</v>
          </cell>
          <cell r="C125">
            <v>0.44</v>
          </cell>
        </row>
        <row r="126">
          <cell r="A126" t="str">
            <v>Mongolia</v>
          </cell>
        </row>
        <row r="127">
          <cell r="A127" t="str">
            <v>St. Kitts &amp; Nevis</v>
          </cell>
        </row>
        <row r="128">
          <cell r="A128" t="str">
            <v>Gabon</v>
          </cell>
        </row>
        <row r="129">
          <cell r="A129" t="str">
            <v>Sierra Leone</v>
          </cell>
        </row>
        <row r="130">
          <cell r="A130" t="str">
            <v>Chile</v>
          </cell>
          <cell r="B130">
            <v>0.6</v>
          </cell>
          <cell r="C130">
            <v>0.4</v>
          </cell>
        </row>
        <row r="131">
          <cell r="A131" t="str">
            <v>Brunei</v>
          </cell>
        </row>
        <row r="132">
          <cell r="A132" t="str">
            <v>Austria</v>
          </cell>
          <cell r="B132">
            <v>0.53</v>
          </cell>
          <cell r="C132">
            <v>0.47</v>
          </cell>
        </row>
        <row r="133">
          <cell r="A133" t="str">
            <v>Haiti</v>
          </cell>
        </row>
        <row r="134">
          <cell r="A134" t="str">
            <v>Niger</v>
          </cell>
        </row>
        <row r="135">
          <cell r="A135" t="str">
            <v>Japan</v>
          </cell>
          <cell r="B135">
            <v>0.53</v>
          </cell>
          <cell r="C135">
            <v>0.47</v>
          </cell>
        </row>
        <row r="136">
          <cell r="A136" t="str">
            <v>Cyprus</v>
          </cell>
        </row>
        <row r="137">
          <cell r="A137" t="str">
            <v>Northern Mariana Islands</v>
          </cell>
        </row>
        <row r="138">
          <cell r="A138" t="str">
            <v>Germany</v>
          </cell>
          <cell r="B138">
            <v>0.5</v>
          </cell>
          <cell r="C138">
            <v>0.5</v>
          </cell>
        </row>
        <row r="139">
          <cell r="A139" t="str">
            <v>Panama</v>
          </cell>
        </row>
        <row r="140">
          <cell r="A140" t="str">
            <v>Burundi</v>
          </cell>
        </row>
        <row r="141">
          <cell r="A141" t="str">
            <v>Hungary</v>
          </cell>
          <cell r="B141">
            <v>0.46</v>
          </cell>
          <cell r="C141">
            <v>0.54</v>
          </cell>
        </row>
        <row r="142">
          <cell r="A142" t="str">
            <v>Mexico</v>
          </cell>
          <cell r="B142">
            <v>0.51</v>
          </cell>
          <cell r="C142">
            <v>0.49</v>
          </cell>
        </row>
        <row r="143">
          <cell r="A143" t="str">
            <v>Oman</v>
          </cell>
        </row>
        <row r="144">
          <cell r="A144" t="str">
            <v>Romania</v>
          </cell>
          <cell r="B144">
            <v>0.53</v>
          </cell>
          <cell r="C144">
            <v>0.47</v>
          </cell>
        </row>
        <row r="145">
          <cell r="A145" t="str">
            <v>Burkina Faso</v>
          </cell>
        </row>
        <row r="146">
          <cell r="A146" t="str">
            <v>Uzbekistan</v>
          </cell>
        </row>
        <row r="147">
          <cell r="A147" t="str">
            <v>Laos</v>
          </cell>
        </row>
        <row r="148">
          <cell r="A148" t="str">
            <v>Sudan</v>
          </cell>
        </row>
        <row r="149">
          <cell r="A149" t="str">
            <v>Slovakia</v>
          </cell>
          <cell r="B149">
            <v>0.47</v>
          </cell>
          <cell r="C149">
            <v>0.53</v>
          </cell>
        </row>
        <row r="150">
          <cell r="A150" t="str">
            <v>Poland</v>
          </cell>
          <cell r="B150">
            <v>0.53</v>
          </cell>
          <cell r="C150">
            <v>0.47</v>
          </cell>
        </row>
        <row r="151">
          <cell r="A151" t="str">
            <v>Lithuania</v>
          </cell>
          <cell r="B151">
            <v>0.51</v>
          </cell>
          <cell r="C151">
            <v>0.49</v>
          </cell>
        </row>
        <row r="152">
          <cell r="A152" t="str">
            <v>Andorra</v>
          </cell>
        </row>
        <row r="153">
          <cell r="A153" t="str">
            <v>Paraguay</v>
          </cell>
        </row>
        <row r="154">
          <cell r="A154" t="str">
            <v>Moldova</v>
          </cell>
        </row>
        <row r="155">
          <cell r="A155" t="str">
            <v>Morocco</v>
          </cell>
          <cell r="B155">
            <v>0.55000000000000004</v>
          </cell>
          <cell r="C155">
            <v>0.45</v>
          </cell>
        </row>
        <row r="156">
          <cell r="A156" t="str">
            <v>Russia</v>
          </cell>
          <cell r="B156">
            <v>0.48</v>
          </cell>
          <cell r="C156">
            <v>0.52</v>
          </cell>
        </row>
        <row r="157">
          <cell r="A157" t="str">
            <v>Yemen</v>
          </cell>
        </row>
        <row r="158">
          <cell r="A158" t="str">
            <v>Ukraine</v>
          </cell>
          <cell r="B158">
            <v>0.48</v>
          </cell>
          <cell r="C158">
            <v>0.52</v>
          </cell>
        </row>
        <row r="159">
          <cell r="A159" t="str">
            <v>Finland</v>
          </cell>
          <cell r="B159">
            <v>0.51</v>
          </cell>
          <cell r="C159">
            <v>0.49</v>
          </cell>
        </row>
        <row r="160">
          <cell r="A160" t="str">
            <v>Qatar</v>
          </cell>
        </row>
        <row r="161">
          <cell r="A161" t="str">
            <v>San Marino</v>
          </cell>
        </row>
        <row r="162">
          <cell r="A162" t="str">
            <v>Uruguay</v>
          </cell>
        </row>
        <row r="163">
          <cell r="A163" t="str">
            <v>Greenland</v>
          </cell>
        </row>
        <row r="164">
          <cell r="A164" t="str">
            <v>Bulgaria</v>
          </cell>
          <cell r="B164">
            <v>0.55000000000000004</v>
          </cell>
          <cell r="C164">
            <v>0.45</v>
          </cell>
        </row>
        <row r="165">
          <cell r="A165" t="str">
            <v>Croatia</v>
          </cell>
          <cell r="B165">
            <v>0.53</v>
          </cell>
          <cell r="C165">
            <v>0.47</v>
          </cell>
        </row>
        <row r="166">
          <cell r="A166" t="str">
            <v>St. Vincent &amp; Grenadines</v>
          </cell>
        </row>
        <row r="167">
          <cell r="A167" t="str">
            <v>Albania</v>
          </cell>
        </row>
        <row r="168">
          <cell r="A168" t="str">
            <v>Kyrgyzstan</v>
          </cell>
        </row>
        <row r="169">
          <cell r="A169" t="str">
            <v>Guyana</v>
          </cell>
        </row>
        <row r="170">
          <cell r="A170" t="str">
            <v>Serbia</v>
          </cell>
          <cell r="B170">
            <v>0.54</v>
          </cell>
          <cell r="C170">
            <v>0.46</v>
          </cell>
        </row>
        <row r="171">
          <cell r="A171" t="str">
            <v>Armenia</v>
          </cell>
        </row>
        <row r="172">
          <cell r="A172" t="str">
            <v>Antigua &amp; Barbuda</v>
          </cell>
        </row>
        <row r="173">
          <cell r="A173" t="str">
            <v>Spain</v>
          </cell>
          <cell r="B173">
            <v>0.49</v>
          </cell>
          <cell r="C173">
            <v>0.51</v>
          </cell>
        </row>
        <row r="174">
          <cell r="A174" t="str">
            <v>Vietnam</v>
          </cell>
          <cell r="B174">
            <v>0.62</v>
          </cell>
          <cell r="C174">
            <v>0.38</v>
          </cell>
        </row>
        <row r="175">
          <cell r="A175" t="str">
            <v>Mali</v>
          </cell>
        </row>
        <row r="176">
          <cell r="A176" t="str">
            <v>Jordan</v>
          </cell>
          <cell r="B176">
            <v>0.51</v>
          </cell>
          <cell r="C176">
            <v>0.49</v>
          </cell>
        </row>
        <row r="177">
          <cell r="A177" t="str">
            <v>France</v>
          </cell>
          <cell r="B177">
            <v>0.56000000000000005</v>
          </cell>
          <cell r="C177">
            <v>0.44</v>
          </cell>
        </row>
        <row r="178">
          <cell r="A178" t="str">
            <v>Kuwait</v>
          </cell>
        </row>
        <row r="179">
          <cell r="A179" t="str">
            <v>South Sudan</v>
          </cell>
        </row>
        <row r="180">
          <cell r="A180" t="str">
            <v>Tajikistan</v>
          </cell>
        </row>
        <row r="181">
          <cell r="A181" t="str">
            <v>Italy</v>
          </cell>
          <cell r="B181">
            <v>0.46</v>
          </cell>
          <cell r="C181">
            <v>0.54</v>
          </cell>
        </row>
        <row r="182">
          <cell r="A182" t="str">
            <v>Bahamas</v>
          </cell>
        </row>
        <row r="183">
          <cell r="A183" t="str">
            <v>Sint Maarten</v>
          </cell>
        </row>
        <row r="184">
          <cell r="A184" t="str">
            <v>Puerto Rico</v>
          </cell>
        </row>
        <row r="185">
          <cell r="A185" t="str">
            <v>New Caledonia</v>
          </cell>
        </row>
        <row r="186">
          <cell r="A186" t="str">
            <v>Guam</v>
          </cell>
        </row>
        <row r="187">
          <cell r="A187" t="str">
            <v>U.S. Virgin Islands</v>
          </cell>
        </row>
        <row r="188">
          <cell r="A188" t="str">
            <v>St. Lucia</v>
          </cell>
        </row>
        <row r="189">
          <cell r="A189" t="str">
            <v>Brazil</v>
          </cell>
          <cell r="B189">
            <v>0.55000000000000004</v>
          </cell>
          <cell r="C189">
            <v>0.45</v>
          </cell>
        </row>
        <row r="190">
          <cell r="A190" t="str">
            <v>Thailand</v>
          </cell>
          <cell r="B190">
            <v>0.45</v>
          </cell>
          <cell r="C190">
            <v>0.55000000000000004</v>
          </cell>
        </row>
        <row r="191">
          <cell r="A191" t="str">
            <v>French Polynesia</v>
          </cell>
        </row>
        <row r="192">
          <cell r="A192" t="str">
            <v>Guinea</v>
          </cell>
        </row>
        <row r="193">
          <cell r="A193" t="str">
            <v>Kazakhstan</v>
          </cell>
          <cell r="B193">
            <v>0.42</v>
          </cell>
          <cell r="C193">
            <v>0.57999999999999996</v>
          </cell>
        </row>
        <row r="194">
          <cell r="A194" t="str">
            <v>Palestine</v>
          </cell>
        </row>
        <row r="195">
          <cell r="A195" t="str">
            <v>Greece</v>
          </cell>
          <cell r="B195">
            <v>0.53</v>
          </cell>
          <cell r="C195">
            <v>0.47</v>
          </cell>
        </row>
        <row r="196">
          <cell r="A196" t="str">
            <v>Suriname</v>
          </cell>
        </row>
        <row r="197">
          <cell r="A197" t="str">
            <v>Libya</v>
          </cell>
        </row>
        <row r="198">
          <cell r="A198" t="str">
            <v>Kosovo</v>
          </cell>
        </row>
        <row r="199">
          <cell r="A199" t="str">
            <v>Bosnia &amp; Herzegovina</v>
          </cell>
        </row>
        <row r="200">
          <cell r="A200" t="str">
            <v>Turks &amp; Caicos Islands</v>
          </cell>
        </row>
        <row r="201">
          <cell r="A201" t="str">
            <v>Egypt</v>
          </cell>
          <cell r="B201">
            <v>0.51</v>
          </cell>
          <cell r="C201">
            <v>0.49</v>
          </cell>
        </row>
        <row r="202">
          <cell r="A202" t="str">
            <v>British Virgin Islands</v>
          </cell>
        </row>
        <row r="203">
          <cell r="A203" t="str">
            <v>Argentina</v>
          </cell>
          <cell r="B203">
            <v>0.56999999999999995</v>
          </cell>
          <cell r="C203">
            <v>0.43</v>
          </cell>
        </row>
        <row r="204">
          <cell r="A204" t="str">
            <v>Georgia</v>
          </cell>
        </row>
        <row r="205">
          <cell r="A205" t="str">
            <v>Venezuela</v>
          </cell>
          <cell r="B205">
            <v>0.41</v>
          </cell>
          <cell r="C205">
            <v>0.59</v>
          </cell>
        </row>
        <row r="206">
          <cell r="A206" t="str">
            <v>Syria</v>
          </cell>
        </row>
        <row r="207">
          <cell r="A207" t="str">
            <v>Mauritania</v>
          </cell>
        </row>
        <row r="208">
          <cell r="A208" t="str">
            <v>Bolivia</v>
          </cell>
          <cell r="B208">
            <v>0.49</v>
          </cell>
          <cell r="C208">
            <v>0.51</v>
          </cell>
        </row>
        <row r="209">
          <cell r="A209" t="str">
            <v>Aruba</v>
          </cell>
        </row>
        <row r="210">
          <cell r="A210" t="str">
            <v>Saudi Arabia</v>
          </cell>
          <cell r="B210">
            <v>0.48</v>
          </cell>
          <cell r="C210">
            <v>0.52</v>
          </cell>
        </row>
        <row r="211">
          <cell r="A211" t="str">
            <v>Algeria</v>
          </cell>
          <cell r="B211">
            <v>0.45</v>
          </cell>
          <cell r="C211">
            <v>0.55000000000000004</v>
          </cell>
        </row>
        <row r="212">
          <cell r="A212" t="str">
            <v>Montenegro</v>
          </cell>
        </row>
        <row r="213">
          <cell r="A213" t="str">
            <v>Turkey</v>
          </cell>
          <cell r="B213">
            <v>0.61</v>
          </cell>
          <cell r="C213">
            <v>0.39</v>
          </cell>
        </row>
        <row r="214">
          <cell r="A214" t="str">
            <v>Azerbaijan</v>
          </cell>
        </row>
        <row r="215">
          <cell r="A215" t="str">
            <v>RÃ©union</v>
          </cell>
        </row>
        <row r="216">
          <cell r="A216" t="str">
            <v>Guadeloupe</v>
          </cell>
        </row>
        <row r="217">
          <cell r="A217" t="str">
            <v>Martinique</v>
          </cell>
        </row>
        <row r="218">
          <cell r="A218" t="str">
            <v>French Guiana</v>
          </cell>
        </row>
        <row r="219">
          <cell r="A219" t="str">
            <v>Turkmenistan</v>
          </cell>
        </row>
        <row r="220">
          <cell r="A220" t="str">
            <v>Mayotte</v>
          </cell>
        </row>
        <row r="221">
          <cell r="A221" t="str">
            <v>Iraq</v>
          </cell>
        </row>
        <row r="222">
          <cell r="A222" t="str">
            <v>North Korea</v>
          </cell>
        </row>
        <row r="223">
          <cell r="A223" t="str">
            <v>Tuvalu</v>
          </cell>
        </row>
        <row r="224">
          <cell r="A224" t="str">
            <v>Wallis &amp; Futuna</v>
          </cell>
        </row>
        <row r="225">
          <cell r="A225" t="str">
            <v>Kiribati</v>
          </cell>
        </row>
        <row r="226">
          <cell r="A226" t="str">
            <v>Cook Islands</v>
          </cell>
        </row>
        <row r="227">
          <cell r="A227" t="str">
            <v>Montserrat</v>
          </cell>
        </row>
        <row r="228">
          <cell r="A228" t="str">
            <v>Falkland Islands (Islas Malvinas)</v>
          </cell>
        </row>
        <row r="229">
          <cell r="A229" t="str">
            <v>Marshall Islands</v>
          </cell>
        </row>
        <row r="230">
          <cell r="A230" t="str">
            <v>American Samoa</v>
          </cell>
        </row>
        <row r="231">
          <cell r="A231" t="str">
            <v>Micronesia</v>
          </cell>
        </row>
        <row r="232">
          <cell r="A232" t="str">
            <v>Palau</v>
          </cell>
        </row>
        <row r="233">
          <cell r="A233" t="str">
            <v>Comoros</v>
          </cell>
        </row>
        <row r="234">
          <cell r="A234" t="str">
            <v>Anguilla</v>
          </cell>
        </row>
        <row r="235">
          <cell r="A235" t="str">
            <v>St. Pierre &amp; Miquelon</v>
          </cell>
        </row>
        <row r="236">
          <cell r="A236" t="str">
            <v>St. Martin</v>
          </cell>
        </row>
        <row r="237">
          <cell r="A237" t="str">
            <v>St. BarthÃ©lemy</v>
          </cell>
        </row>
        <row r="238">
          <cell r="A238" t="str">
            <v>Antarctica</v>
          </cell>
        </row>
        <row r="239">
          <cell r="A239" t="str">
            <v>French Southern Territories</v>
          </cell>
        </row>
        <row r="240">
          <cell r="A240" t="str">
            <v>Bouvet Island</v>
          </cell>
        </row>
        <row r="241">
          <cell r="A241" t="str">
            <v>Cocos (Keeling) Islands</v>
          </cell>
        </row>
        <row r="242">
          <cell r="A242" t="str">
            <v>Christmas Island</v>
          </cell>
        </row>
        <row r="243">
          <cell r="A243" t="str">
            <v>Western Sahara</v>
          </cell>
        </row>
        <row r="244">
          <cell r="A244" t="str">
            <v>Heard &amp; McDonald Islands</v>
          </cell>
        </row>
        <row r="245">
          <cell r="A245" t="str">
            <v>Norfolk Island</v>
          </cell>
        </row>
        <row r="246">
          <cell r="A246" t="str">
            <v>Niue</v>
          </cell>
        </row>
        <row r="247">
          <cell r="A247" t="str">
            <v>Nauru</v>
          </cell>
        </row>
        <row r="248">
          <cell r="A248" t="str">
            <v>Pitcairn Islands</v>
          </cell>
        </row>
        <row r="249">
          <cell r="A249" t="str">
            <v>South Georgia &amp; South Sandwich Islands</v>
          </cell>
        </row>
        <row r="250">
          <cell r="A250" t="str">
            <v>Svalbard &amp; Jan Mayen</v>
          </cell>
        </row>
        <row r="251">
          <cell r="A251" t="str">
            <v>Tokelau</v>
          </cell>
        </row>
        <row r="252">
          <cell r="A252" t="str">
            <v>U.S. Outlying Islands</v>
          </cell>
        </row>
        <row r="253">
          <cell r="A253" t="str">
            <v>Vatican City</v>
          </cell>
        </row>
      </sheetData>
    </sheetDataSet>
  </externalBook>
</externalLink>
</file>

<file path=xl/externalLinks/externalLink2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5)"/>
    </sheetNames>
    <sheetDataSet>
      <sheetData sheetId="0">
        <row r="1">
          <cell r="A1" t="str">
            <v>Kategori: TÃ¼m kategoriler</v>
          </cell>
        </row>
        <row r="3">
          <cell r="A3" t="str">
            <v>Ãœlke</v>
          </cell>
          <cell r="B3" t="str">
            <v>VeritabanÄ±: (2015)</v>
          </cell>
          <cell r="C3" t="str">
            <v>Dizgi: (2015)</v>
          </cell>
        </row>
        <row r="4">
          <cell r="A4" t="str">
            <v>China</v>
          </cell>
          <cell r="B4">
            <v>0.38</v>
          </cell>
          <cell r="C4">
            <v>0.62</v>
          </cell>
        </row>
        <row r="5">
          <cell r="A5" t="str">
            <v>Cuba</v>
          </cell>
        </row>
        <row r="6">
          <cell r="A6" t="str">
            <v>British Indian Ocean Territory</v>
          </cell>
        </row>
        <row r="7">
          <cell r="A7" t="str">
            <v>Eritrea</v>
          </cell>
        </row>
        <row r="8">
          <cell r="A8" t="str">
            <v>Botswana</v>
          </cell>
        </row>
        <row r="9">
          <cell r="A9" t="str">
            <v>Ethiopia</v>
          </cell>
        </row>
        <row r="10">
          <cell r="A10" t="str">
            <v>Tonga</v>
          </cell>
        </row>
        <row r="11">
          <cell r="A11" t="str">
            <v>Rwanda</v>
          </cell>
        </row>
        <row r="12">
          <cell r="A12" t="str">
            <v>Zimbabwe</v>
          </cell>
        </row>
        <row r="13">
          <cell r="A13" t="str">
            <v>Eswatini</v>
          </cell>
        </row>
        <row r="14">
          <cell r="A14" t="str">
            <v>St. Helena</v>
          </cell>
        </row>
        <row r="15">
          <cell r="A15" t="str">
            <v>Timor-Leste</v>
          </cell>
        </row>
        <row r="16">
          <cell r="A16" t="str">
            <v>Samoa</v>
          </cell>
        </row>
        <row r="17">
          <cell r="A17" t="str">
            <v>Guinea-Bissau</v>
          </cell>
        </row>
        <row r="18">
          <cell r="A18" t="str">
            <v>Togo</v>
          </cell>
        </row>
        <row r="19">
          <cell r="A19" t="str">
            <v>Nepal</v>
          </cell>
        </row>
        <row r="20">
          <cell r="A20" t="str">
            <v>Papua New Guinea</v>
          </cell>
        </row>
        <row r="21">
          <cell r="A21" t="str">
            <v>Central African Republic</v>
          </cell>
        </row>
        <row r="22">
          <cell r="A22" t="str">
            <v>Sri Lanka</v>
          </cell>
          <cell r="B22">
            <v>0.66</v>
          </cell>
          <cell r="C22">
            <v>0.34</v>
          </cell>
        </row>
        <row r="23">
          <cell r="A23" t="str">
            <v>Lesotho</v>
          </cell>
        </row>
        <row r="24">
          <cell r="A24" t="str">
            <v>Bhutan</v>
          </cell>
        </row>
        <row r="25">
          <cell r="A25" t="str">
            <v>Ghana</v>
          </cell>
        </row>
        <row r="26">
          <cell r="A26" t="str">
            <v>India</v>
          </cell>
          <cell r="B26">
            <v>0.56999999999999995</v>
          </cell>
          <cell r="C26">
            <v>0.43</v>
          </cell>
        </row>
        <row r="27">
          <cell r="A27" t="str">
            <v>Somalia</v>
          </cell>
        </row>
        <row r="28">
          <cell r="A28" t="str">
            <v>Solomon Islands</v>
          </cell>
        </row>
        <row r="29">
          <cell r="A29" t="str">
            <v>South Korea</v>
          </cell>
          <cell r="B29">
            <v>0.42</v>
          </cell>
          <cell r="C29">
            <v>0.57999999999999996</v>
          </cell>
        </row>
        <row r="30">
          <cell r="A30" t="str">
            <v>Afghanistan</v>
          </cell>
        </row>
        <row r="31">
          <cell r="A31" t="str">
            <v>Fiji</v>
          </cell>
        </row>
        <row r="32">
          <cell r="A32" t="str">
            <v>Uganda</v>
          </cell>
        </row>
        <row r="33">
          <cell r="A33" t="str">
            <v>SÃ£o TomÃ© &amp; PrÃ­ncipe</v>
          </cell>
        </row>
        <row r="34">
          <cell r="A34" t="str">
            <v>Cameroon</v>
          </cell>
        </row>
        <row r="35">
          <cell r="A35" t="str">
            <v>Israel</v>
          </cell>
          <cell r="B35">
            <v>0.28000000000000003</v>
          </cell>
          <cell r="C35">
            <v>0.72</v>
          </cell>
        </row>
        <row r="36">
          <cell r="A36" t="str">
            <v>Cape Verde</v>
          </cell>
        </row>
        <row r="37">
          <cell r="A37" t="str">
            <v>Madagascar</v>
          </cell>
        </row>
        <row r="38">
          <cell r="A38" t="str">
            <v>Myanmar (Burma)</v>
          </cell>
        </row>
        <row r="39">
          <cell r="A39" t="str">
            <v>Kenya</v>
          </cell>
        </row>
        <row r="40">
          <cell r="A40" t="str">
            <v>Singapore</v>
          </cell>
          <cell r="B40">
            <v>0.52</v>
          </cell>
          <cell r="C40">
            <v>0.48</v>
          </cell>
        </row>
        <row r="41">
          <cell r="A41" t="str">
            <v>South Africa</v>
          </cell>
          <cell r="B41">
            <v>0.7</v>
          </cell>
          <cell r="C41">
            <v>0.3</v>
          </cell>
        </row>
        <row r="42">
          <cell r="A42" t="str">
            <v>Malawi</v>
          </cell>
        </row>
        <row r="43">
          <cell r="A43" t="str">
            <v>Angola</v>
          </cell>
        </row>
        <row r="44">
          <cell r="A44" t="str">
            <v>Malta</v>
          </cell>
        </row>
        <row r="45">
          <cell r="A45" t="str">
            <v>Iceland</v>
          </cell>
        </row>
        <row r="46">
          <cell r="A46" t="str">
            <v>Jamaica</v>
          </cell>
        </row>
        <row r="47">
          <cell r="A47" t="str">
            <v>Hong Kong</v>
          </cell>
          <cell r="B47">
            <v>0.49</v>
          </cell>
          <cell r="C47">
            <v>0.51</v>
          </cell>
        </row>
        <row r="48">
          <cell r="A48" t="str">
            <v>Vanuatu</v>
          </cell>
        </row>
        <row r="49">
          <cell r="A49" t="str">
            <v>Mauritius</v>
          </cell>
        </row>
        <row r="50">
          <cell r="A50" t="str">
            <v>Nigeria</v>
          </cell>
        </row>
        <row r="51">
          <cell r="A51" t="str">
            <v>Namibia</v>
          </cell>
        </row>
        <row r="52">
          <cell r="A52" t="str">
            <v>Caribbean Netherlands</v>
          </cell>
        </row>
        <row r="53">
          <cell r="A53" t="str">
            <v>Czechia</v>
          </cell>
          <cell r="B53">
            <v>0.54</v>
          </cell>
          <cell r="C53">
            <v>0.46</v>
          </cell>
        </row>
        <row r="54">
          <cell r="A54" t="str">
            <v>Philippines</v>
          </cell>
          <cell r="B54">
            <v>0.66</v>
          </cell>
          <cell r="C54">
            <v>0.34</v>
          </cell>
        </row>
        <row r="55">
          <cell r="A55" t="str">
            <v>Bangladesh</v>
          </cell>
          <cell r="B55">
            <v>0.65</v>
          </cell>
          <cell r="C55">
            <v>0.35</v>
          </cell>
        </row>
        <row r="56">
          <cell r="A56" t="str">
            <v>Benin</v>
          </cell>
        </row>
        <row r="57">
          <cell r="A57" t="str">
            <v>Pakistan</v>
          </cell>
          <cell r="B57">
            <v>0.67</v>
          </cell>
          <cell r="C57">
            <v>0.33</v>
          </cell>
        </row>
        <row r="58">
          <cell r="A58" t="str">
            <v>New Zealand</v>
          </cell>
          <cell r="B58">
            <v>0.59</v>
          </cell>
          <cell r="C58">
            <v>0.41</v>
          </cell>
        </row>
        <row r="59">
          <cell r="A59" t="str">
            <v>Congo - Kinshasa</v>
          </cell>
        </row>
        <row r="60">
          <cell r="A60" t="str">
            <v>Zambia</v>
          </cell>
        </row>
        <row r="61">
          <cell r="A61" t="str">
            <v>Belize</v>
          </cell>
        </row>
        <row r="62">
          <cell r="A62" t="str">
            <v>Belarus</v>
          </cell>
          <cell r="B62">
            <v>0.45</v>
          </cell>
          <cell r="C62">
            <v>0.55000000000000004</v>
          </cell>
        </row>
        <row r="63">
          <cell r="A63" t="str">
            <v>Tunisia</v>
          </cell>
          <cell r="B63">
            <v>0.68</v>
          </cell>
          <cell r="C63">
            <v>0.32</v>
          </cell>
        </row>
        <row r="64">
          <cell r="A64" t="str">
            <v>Liechtenstein</v>
          </cell>
        </row>
        <row r="65">
          <cell r="A65" t="str">
            <v>Gambia</v>
          </cell>
        </row>
        <row r="66">
          <cell r="A66" t="str">
            <v>Maldives</v>
          </cell>
        </row>
        <row r="67">
          <cell r="A67" t="str">
            <v>Estonia</v>
          </cell>
        </row>
        <row r="68">
          <cell r="A68" t="str">
            <v>Bermuda</v>
          </cell>
        </row>
        <row r="69">
          <cell r="A69" t="str">
            <v>CÃ´te dâ€™Ivoire</v>
          </cell>
        </row>
        <row r="70">
          <cell r="A70" t="str">
            <v>Congo - Brazzaville</v>
          </cell>
        </row>
        <row r="71">
          <cell r="A71" t="str">
            <v>Mozambique</v>
          </cell>
        </row>
        <row r="72">
          <cell r="A72" t="str">
            <v>Luxembourg</v>
          </cell>
        </row>
        <row r="73">
          <cell r="A73" t="str">
            <v>El Salvador</v>
          </cell>
        </row>
        <row r="74">
          <cell r="A74" t="str">
            <v>Taiwan</v>
          </cell>
          <cell r="B74">
            <v>0.56000000000000005</v>
          </cell>
          <cell r="C74">
            <v>0.44</v>
          </cell>
        </row>
        <row r="75">
          <cell r="A75" t="str">
            <v>Ã…land Islands</v>
          </cell>
        </row>
        <row r="76">
          <cell r="A76" t="str">
            <v>Tanzania</v>
          </cell>
        </row>
        <row r="77">
          <cell r="A77" t="str">
            <v>Latvia</v>
          </cell>
          <cell r="B77">
            <v>0.56999999999999995</v>
          </cell>
          <cell r="C77">
            <v>0.43</v>
          </cell>
        </row>
        <row r="78">
          <cell r="A78" t="str">
            <v>Equatorial Guinea</v>
          </cell>
        </row>
        <row r="79">
          <cell r="A79" t="str">
            <v>Seychelles</v>
          </cell>
        </row>
        <row r="80">
          <cell r="A80" t="str">
            <v>Cambodia</v>
          </cell>
        </row>
        <row r="81">
          <cell r="A81" t="str">
            <v>Djibouti</v>
          </cell>
        </row>
        <row r="82">
          <cell r="A82" t="str">
            <v>Trinidad &amp; Tobago</v>
          </cell>
        </row>
        <row r="83">
          <cell r="A83" t="str">
            <v>Malaysia</v>
          </cell>
          <cell r="B83">
            <v>0.71</v>
          </cell>
          <cell r="C83">
            <v>0.28999999999999998</v>
          </cell>
        </row>
        <row r="84">
          <cell r="A84" t="str">
            <v>Colombia</v>
          </cell>
          <cell r="B84">
            <v>0.8</v>
          </cell>
          <cell r="C84">
            <v>0.2</v>
          </cell>
        </row>
        <row r="85">
          <cell r="A85" t="str">
            <v>Canada</v>
          </cell>
          <cell r="B85">
            <v>0.56000000000000005</v>
          </cell>
          <cell r="C85">
            <v>0.44</v>
          </cell>
        </row>
        <row r="86">
          <cell r="A86" t="str">
            <v>Gibraltar</v>
          </cell>
        </row>
        <row r="87">
          <cell r="A87" t="str">
            <v>Liberia</v>
          </cell>
        </row>
        <row r="88">
          <cell r="A88" t="str">
            <v>Chad</v>
          </cell>
        </row>
        <row r="89">
          <cell r="A89" t="str">
            <v>United States</v>
          </cell>
          <cell r="B89">
            <v>0.54</v>
          </cell>
          <cell r="C89">
            <v>0.46</v>
          </cell>
        </row>
        <row r="90">
          <cell r="A90" t="str">
            <v>Nicaragua</v>
          </cell>
        </row>
        <row r="91">
          <cell r="A91" t="str">
            <v>Costa Rica</v>
          </cell>
          <cell r="B91">
            <v>0.61</v>
          </cell>
          <cell r="C91">
            <v>0.39</v>
          </cell>
        </row>
        <row r="92">
          <cell r="A92" t="str">
            <v>Grenada</v>
          </cell>
        </row>
        <row r="93">
          <cell r="A93" t="str">
            <v>Honduras</v>
          </cell>
        </row>
        <row r="94">
          <cell r="A94" t="str">
            <v>Ecuador</v>
          </cell>
          <cell r="B94">
            <v>0.79</v>
          </cell>
          <cell r="C94">
            <v>0.21</v>
          </cell>
        </row>
        <row r="95">
          <cell r="A95" t="str">
            <v>Senegal</v>
          </cell>
        </row>
        <row r="96">
          <cell r="A96" t="str">
            <v>Ireland</v>
          </cell>
          <cell r="B96">
            <v>0.56999999999999995</v>
          </cell>
          <cell r="C96">
            <v>0.43</v>
          </cell>
        </row>
        <row r="97">
          <cell r="A97" t="str">
            <v>Indonesia</v>
          </cell>
          <cell r="B97">
            <v>0.81</v>
          </cell>
          <cell r="C97">
            <v>0.19</v>
          </cell>
        </row>
        <row r="98">
          <cell r="A98" t="str">
            <v>Switzerland</v>
          </cell>
          <cell r="B98">
            <v>0.51</v>
          </cell>
          <cell r="C98">
            <v>0.49</v>
          </cell>
        </row>
        <row r="99">
          <cell r="A99" t="str">
            <v>Barbados</v>
          </cell>
        </row>
        <row r="100">
          <cell r="A100" t="str">
            <v>Cayman Islands</v>
          </cell>
        </row>
        <row r="101">
          <cell r="A101" t="str">
            <v>Australia</v>
          </cell>
          <cell r="B101">
            <v>0.57999999999999996</v>
          </cell>
          <cell r="C101">
            <v>0.42</v>
          </cell>
        </row>
        <row r="102">
          <cell r="A102" t="str">
            <v>Lebanon</v>
          </cell>
        </row>
        <row r="103">
          <cell r="A103" t="str">
            <v>Macao</v>
          </cell>
        </row>
        <row r="104">
          <cell r="A104" t="str">
            <v>Isle of Man</v>
          </cell>
        </row>
        <row r="105">
          <cell r="A105" t="str">
            <v>Guatemala</v>
          </cell>
        </row>
        <row r="106">
          <cell r="A106" t="str">
            <v>Dominica</v>
          </cell>
        </row>
        <row r="107">
          <cell r="A107" t="str">
            <v>St. Kitts &amp; Nevis</v>
          </cell>
        </row>
        <row r="108">
          <cell r="A108" t="str">
            <v>Gabon</v>
          </cell>
        </row>
        <row r="109">
          <cell r="A109" t="str">
            <v>Sierra Leone</v>
          </cell>
        </row>
        <row r="110">
          <cell r="A110" t="str">
            <v>Brunei</v>
          </cell>
        </row>
        <row r="111">
          <cell r="A111" t="str">
            <v>Haiti</v>
          </cell>
        </row>
        <row r="112">
          <cell r="A112" t="str">
            <v>Niger</v>
          </cell>
        </row>
        <row r="113">
          <cell r="A113" t="str">
            <v>Belgium</v>
          </cell>
          <cell r="B113">
            <v>0.54</v>
          </cell>
          <cell r="C113">
            <v>0.46</v>
          </cell>
        </row>
        <row r="114">
          <cell r="A114" t="str">
            <v>Portugal</v>
          </cell>
          <cell r="B114">
            <v>0.53</v>
          </cell>
          <cell r="C114">
            <v>0.47</v>
          </cell>
        </row>
        <row r="115">
          <cell r="A115" t="str">
            <v>Northern Mariana Islands</v>
          </cell>
        </row>
        <row r="116">
          <cell r="A116" t="str">
            <v>CuraÃ§ao</v>
          </cell>
        </row>
        <row r="117">
          <cell r="A117" t="str">
            <v>Netherlands</v>
          </cell>
          <cell r="B117">
            <v>0.55000000000000004</v>
          </cell>
          <cell r="C117">
            <v>0.45</v>
          </cell>
        </row>
        <row r="118">
          <cell r="A118" t="str">
            <v>United Kingdom</v>
          </cell>
          <cell r="B118">
            <v>0.57999999999999996</v>
          </cell>
          <cell r="C118">
            <v>0.42</v>
          </cell>
        </row>
        <row r="119">
          <cell r="A119" t="str">
            <v>Panama</v>
          </cell>
        </row>
        <row r="120">
          <cell r="A120" t="str">
            <v>Burundi</v>
          </cell>
        </row>
        <row r="121">
          <cell r="A121" t="str">
            <v>Germany</v>
          </cell>
          <cell r="B121">
            <v>0.52</v>
          </cell>
          <cell r="C121">
            <v>0.48</v>
          </cell>
        </row>
        <row r="122">
          <cell r="A122" t="str">
            <v>Hungary</v>
          </cell>
          <cell r="B122">
            <v>0.56999999999999995</v>
          </cell>
          <cell r="C122">
            <v>0.43</v>
          </cell>
        </row>
        <row r="123">
          <cell r="A123" t="str">
            <v>Mongolia</v>
          </cell>
        </row>
        <row r="124">
          <cell r="A124" t="str">
            <v>Guernsey</v>
          </cell>
        </row>
        <row r="125">
          <cell r="A125" t="str">
            <v>Oman</v>
          </cell>
        </row>
        <row r="126">
          <cell r="A126" t="str">
            <v>Bahrain</v>
          </cell>
        </row>
        <row r="127">
          <cell r="A127" t="str">
            <v>Monaco</v>
          </cell>
        </row>
        <row r="128">
          <cell r="A128" t="str">
            <v>Peru</v>
          </cell>
          <cell r="B128">
            <v>0.77</v>
          </cell>
          <cell r="C128">
            <v>0.23</v>
          </cell>
        </row>
        <row r="129">
          <cell r="A129" t="str">
            <v>Faroe Islands</v>
          </cell>
        </row>
        <row r="130">
          <cell r="A130" t="str">
            <v>Ukraine</v>
          </cell>
          <cell r="B130">
            <v>0.48</v>
          </cell>
          <cell r="C130">
            <v>0.52</v>
          </cell>
        </row>
        <row r="131">
          <cell r="A131" t="str">
            <v>North Macedonia</v>
          </cell>
        </row>
        <row r="132">
          <cell r="A132" t="str">
            <v>Japan</v>
          </cell>
          <cell r="B132">
            <v>0.49</v>
          </cell>
          <cell r="C132">
            <v>0.51</v>
          </cell>
        </row>
        <row r="133">
          <cell r="A133" t="str">
            <v>Austria</v>
          </cell>
          <cell r="B133">
            <v>0.5</v>
          </cell>
          <cell r="C133">
            <v>0.5</v>
          </cell>
        </row>
        <row r="134">
          <cell r="A134" t="str">
            <v>Mexico</v>
          </cell>
          <cell r="B134">
            <v>0.75</v>
          </cell>
          <cell r="C134">
            <v>0.25</v>
          </cell>
        </row>
        <row r="135">
          <cell r="A135" t="str">
            <v>Russia</v>
          </cell>
          <cell r="B135">
            <v>0.49</v>
          </cell>
          <cell r="C135">
            <v>0.51</v>
          </cell>
        </row>
        <row r="136">
          <cell r="A136" t="str">
            <v>Denmark</v>
          </cell>
          <cell r="B136">
            <v>0.51</v>
          </cell>
          <cell r="C136">
            <v>0.49</v>
          </cell>
        </row>
        <row r="137">
          <cell r="A137" t="str">
            <v>Slovenia</v>
          </cell>
        </row>
        <row r="138">
          <cell r="A138" t="str">
            <v>Burkina Faso</v>
          </cell>
        </row>
        <row r="139">
          <cell r="A139" t="str">
            <v>Norway</v>
          </cell>
          <cell r="B139">
            <v>0.47</v>
          </cell>
          <cell r="C139">
            <v>0.53</v>
          </cell>
        </row>
        <row r="140">
          <cell r="A140" t="str">
            <v>United Arab Emirates</v>
          </cell>
          <cell r="B140">
            <v>0.68</v>
          </cell>
          <cell r="C140">
            <v>0.32</v>
          </cell>
        </row>
        <row r="141">
          <cell r="A141" t="str">
            <v>Uzbekistan</v>
          </cell>
        </row>
        <row r="142">
          <cell r="A142" t="str">
            <v>Sudan</v>
          </cell>
        </row>
        <row r="143">
          <cell r="A143" t="str">
            <v>Slovakia</v>
          </cell>
          <cell r="B143">
            <v>0.55000000000000004</v>
          </cell>
          <cell r="C143">
            <v>0.45</v>
          </cell>
        </row>
        <row r="144">
          <cell r="A144" t="str">
            <v>Moldova</v>
          </cell>
        </row>
        <row r="145">
          <cell r="A145" t="str">
            <v>Bulgaria</v>
          </cell>
          <cell r="B145">
            <v>0.43</v>
          </cell>
          <cell r="C145">
            <v>0.56999999999999995</v>
          </cell>
        </row>
        <row r="146">
          <cell r="A146" t="str">
            <v>Finland</v>
          </cell>
          <cell r="B146">
            <v>0.48</v>
          </cell>
          <cell r="C146">
            <v>0.52</v>
          </cell>
        </row>
        <row r="147">
          <cell r="A147" t="str">
            <v>Yemen</v>
          </cell>
        </row>
        <row r="148">
          <cell r="A148" t="str">
            <v>Sweden</v>
          </cell>
          <cell r="B148">
            <v>0.49</v>
          </cell>
          <cell r="C148">
            <v>0.51</v>
          </cell>
        </row>
        <row r="149">
          <cell r="A149" t="str">
            <v>San Marino</v>
          </cell>
        </row>
        <row r="150">
          <cell r="A150" t="str">
            <v>Lithuania</v>
          </cell>
          <cell r="B150">
            <v>0.54</v>
          </cell>
          <cell r="C150">
            <v>0.46</v>
          </cell>
        </row>
        <row r="151">
          <cell r="A151" t="str">
            <v>Dominican Republic</v>
          </cell>
        </row>
        <row r="152">
          <cell r="A152" t="str">
            <v>Romania</v>
          </cell>
          <cell r="B152">
            <v>0.54</v>
          </cell>
          <cell r="C152">
            <v>0.46</v>
          </cell>
        </row>
        <row r="153">
          <cell r="A153" t="str">
            <v>Paraguay</v>
          </cell>
        </row>
        <row r="154">
          <cell r="A154" t="str">
            <v>St. Vincent &amp; Grenadines</v>
          </cell>
        </row>
        <row r="155">
          <cell r="A155" t="str">
            <v>Kyrgyzstan</v>
          </cell>
        </row>
        <row r="156">
          <cell r="A156" t="str">
            <v>Qatar</v>
          </cell>
        </row>
        <row r="157">
          <cell r="A157" t="str">
            <v>Guyana</v>
          </cell>
        </row>
        <row r="158">
          <cell r="A158" t="str">
            <v>Poland</v>
          </cell>
          <cell r="B158">
            <v>0.6</v>
          </cell>
          <cell r="C158">
            <v>0.4</v>
          </cell>
        </row>
        <row r="159">
          <cell r="A159" t="str">
            <v>Iran</v>
          </cell>
          <cell r="B159">
            <v>0.64</v>
          </cell>
          <cell r="C159">
            <v>0.36</v>
          </cell>
        </row>
        <row r="160">
          <cell r="A160" t="str">
            <v>Cyprus</v>
          </cell>
        </row>
        <row r="161">
          <cell r="A161" t="str">
            <v>Laos</v>
          </cell>
        </row>
        <row r="162">
          <cell r="A162" t="str">
            <v>Albania</v>
          </cell>
        </row>
        <row r="163">
          <cell r="A163" t="str">
            <v>Antigua &amp; Barbuda</v>
          </cell>
        </row>
        <row r="164">
          <cell r="A164" t="str">
            <v>Jersey</v>
          </cell>
        </row>
        <row r="165">
          <cell r="A165" t="str">
            <v>Spain</v>
          </cell>
          <cell r="B165">
            <v>0.61</v>
          </cell>
          <cell r="C165">
            <v>0.39</v>
          </cell>
        </row>
        <row r="166">
          <cell r="A166" t="str">
            <v>Armenia</v>
          </cell>
        </row>
        <row r="167">
          <cell r="A167" t="str">
            <v>Mali</v>
          </cell>
        </row>
        <row r="168">
          <cell r="A168" t="str">
            <v>Morocco</v>
          </cell>
          <cell r="B168">
            <v>0.74</v>
          </cell>
          <cell r="C168">
            <v>0.26</v>
          </cell>
        </row>
        <row r="169">
          <cell r="A169" t="str">
            <v>South Sudan</v>
          </cell>
        </row>
        <row r="170">
          <cell r="A170" t="str">
            <v>Croatia</v>
          </cell>
          <cell r="B170">
            <v>0.54</v>
          </cell>
          <cell r="C170">
            <v>0.46</v>
          </cell>
        </row>
        <row r="171">
          <cell r="A171" t="str">
            <v>Tajikistan</v>
          </cell>
        </row>
        <row r="172">
          <cell r="A172" t="str">
            <v>Italy</v>
          </cell>
          <cell r="B172">
            <v>0.6</v>
          </cell>
          <cell r="C172">
            <v>0.4</v>
          </cell>
        </row>
        <row r="173">
          <cell r="A173" t="str">
            <v>Jordan</v>
          </cell>
        </row>
        <row r="174">
          <cell r="A174" t="str">
            <v>Bahamas</v>
          </cell>
        </row>
        <row r="175">
          <cell r="A175" t="str">
            <v>Sint Maarten</v>
          </cell>
        </row>
        <row r="176">
          <cell r="A176" t="str">
            <v>Chile</v>
          </cell>
          <cell r="B176">
            <v>0.67</v>
          </cell>
          <cell r="C176">
            <v>0.33</v>
          </cell>
        </row>
        <row r="177">
          <cell r="A177" t="str">
            <v>Guam</v>
          </cell>
        </row>
        <row r="178">
          <cell r="A178" t="str">
            <v>Puerto Rico</v>
          </cell>
        </row>
        <row r="179">
          <cell r="A179" t="str">
            <v>U.S. Virgin Islands</v>
          </cell>
        </row>
        <row r="180">
          <cell r="A180" t="str">
            <v>Serbia</v>
          </cell>
          <cell r="B180">
            <v>0.54</v>
          </cell>
          <cell r="C180">
            <v>0.46</v>
          </cell>
        </row>
        <row r="181">
          <cell r="A181" t="str">
            <v>St. Lucia</v>
          </cell>
        </row>
        <row r="182">
          <cell r="A182" t="str">
            <v>Thailand</v>
          </cell>
          <cell r="B182">
            <v>0.73</v>
          </cell>
          <cell r="C182">
            <v>0.27</v>
          </cell>
        </row>
        <row r="183">
          <cell r="A183" t="str">
            <v>Guinea</v>
          </cell>
        </row>
        <row r="184">
          <cell r="A184" t="str">
            <v>Kazakhstan</v>
          </cell>
          <cell r="B184">
            <v>0.6</v>
          </cell>
          <cell r="C184">
            <v>0.4</v>
          </cell>
        </row>
        <row r="185">
          <cell r="A185" t="str">
            <v>Palestine</v>
          </cell>
        </row>
        <row r="186">
          <cell r="A186" t="str">
            <v>Greenland</v>
          </cell>
        </row>
        <row r="187">
          <cell r="A187" t="str">
            <v>Suriname</v>
          </cell>
        </row>
        <row r="188">
          <cell r="A188" t="str">
            <v>Libya</v>
          </cell>
        </row>
        <row r="189">
          <cell r="A189" t="str">
            <v>Kuwait</v>
          </cell>
        </row>
        <row r="190">
          <cell r="A190" t="str">
            <v>Turks &amp; Caicos Islands</v>
          </cell>
        </row>
        <row r="191">
          <cell r="A191" t="str">
            <v>Kosovo</v>
          </cell>
        </row>
        <row r="192">
          <cell r="A192" t="str">
            <v>British Virgin Islands</v>
          </cell>
        </row>
        <row r="193">
          <cell r="A193" t="str">
            <v>Egypt</v>
          </cell>
          <cell r="B193">
            <v>0.68</v>
          </cell>
          <cell r="C193">
            <v>0.32</v>
          </cell>
        </row>
        <row r="194">
          <cell r="A194" t="str">
            <v>Venezuela</v>
          </cell>
          <cell r="B194">
            <v>0.79</v>
          </cell>
          <cell r="C194">
            <v>0.21</v>
          </cell>
        </row>
        <row r="195">
          <cell r="A195" t="str">
            <v>Uruguay</v>
          </cell>
        </row>
        <row r="196">
          <cell r="A196" t="str">
            <v>France</v>
          </cell>
          <cell r="B196">
            <v>0.56999999999999995</v>
          </cell>
          <cell r="C196">
            <v>0.43</v>
          </cell>
        </row>
        <row r="197">
          <cell r="A197" t="str">
            <v>Bosnia &amp; Herzegovina</v>
          </cell>
        </row>
        <row r="198">
          <cell r="A198" t="str">
            <v>Mauritania</v>
          </cell>
        </row>
        <row r="199">
          <cell r="A199" t="str">
            <v>Bolivia</v>
          </cell>
          <cell r="B199">
            <v>0.71</v>
          </cell>
          <cell r="C199">
            <v>0.28999999999999998</v>
          </cell>
        </row>
        <row r="200">
          <cell r="A200" t="str">
            <v>Andorra</v>
          </cell>
        </row>
        <row r="201">
          <cell r="A201" t="str">
            <v>French Polynesia</v>
          </cell>
        </row>
        <row r="202">
          <cell r="A202" t="str">
            <v>Aruba</v>
          </cell>
        </row>
        <row r="203">
          <cell r="A203" t="str">
            <v>New Caledonia</v>
          </cell>
        </row>
        <row r="204">
          <cell r="A204" t="str">
            <v>Greece</v>
          </cell>
          <cell r="B204">
            <v>0.6</v>
          </cell>
          <cell r="C204">
            <v>0.4</v>
          </cell>
        </row>
        <row r="205">
          <cell r="A205" t="str">
            <v>Brazil</v>
          </cell>
          <cell r="B205">
            <v>0.64</v>
          </cell>
          <cell r="C205">
            <v>0.36</v>
          </cell>
        </row>
        <row r="206">
          <cell r="A206" t="str">
            <v>Syria</v>
          </cell>
        </row>
        <row r="207">
          <cell r="A207" t="str">
            <v>Saudi Arabia</v>
          </cell>
          <cell r="B207">
            <v>0.77</v>
          </cell>
          <cell r="C207">
            <v>0.23</v>
          </cell>
        </row>
        <row r="208">
          <cell r="A208" t="str">
            <v>Algeria</v>
          </cell>
        </row>
        <row r="209">
          <cell r="A209" t="str">
            <v>Montenegro</v>
          </cell>
        </row>
        <row r="210">
          <cell r="A210" t="str">
            <v>Vietnam</v>
          </cell>
          <cell r="B210">
            <v>0.55000000000000004</v>
          </cell>
          <cell r="C210">
            <v>0.45</v>
          </cell>
        </row>
        <row r="211">
          <cell r="A211" t="str">
            <v>Argentina</v>
          </cell>
          <cell r="B211">
            <v>0.61</v>
          </cell>
          <cell r="C211">
            <v>0.39</v>
          </cell>
        </row>
        <row r="212">
          <cell r="A212" t="str">
            <v>RÃ©union</v>
          </cell>
        </row>
        <row r="213">
          <cell r="A213" t="str">
            <v>Guadeloupe</v>
          </cell>
        </row>
        <row r="214">
          <cell r="A214" t="str">
            <v>Turkmenistan</v>
          </cell>
        </row>
        <row r="215">
          <cell r="A215" t="str">
            <v>Georgia</v>
          </cell>
        </row>
        <row r="216">
          <cell r="A216" t="str">
            <v>Martinique</v>
          </cell>
        </row>
        <row r="217">
          <cell r="A217" t="str">
            <v>French Guiana</v>
          </cell>
        </row>
        <row r="218">
          <cell r="A218" t="str">
            <v>Azerbaijan</v>
          </cell>
        </row>
        <row r="219">
          <cell r="A219" t="str">
            <v>Turkey</v>
          </cell>
          <cell r="B219">
            <v>0.63</v>
          </cell>
          <cell r="C219">
            <v>0.37</v>
          </cell>
        </row>
        <row r="220">
          <cell r="A220" t="str">
            <v>Mayotte</v>
          </cell>
        </row>
        <row r="221">
          <cell r="A221" t="str">
            <v>Iraq</v>
          </cell>
        </row>
        <row r="222">
          <cell r="A222" t="str">
            <v>Nauru</v>
          </cell>
        </row>
        <row r="223">
          <cell r="A223" t="str">
            <v>North Korea</v>
          </cell>
        </row>
        <row r="224">
          <cell r="A224" t="str">
            <v>Kiribati</v>
          </cell>
        </row>
        <row r="225">
          <cell r="A225" t="str">
            <v>Palau</v>
          </cell>
        </row>
        <row r="226">
          <cell r="A226" t="str">
            <v>Wallis &amp; Futuna</v>
          </cell>
        </row>
        <row r="227">
          <cell r="A227" t="str">
            <v>Svalbard &amp; Jan Mayen</v>
          </cell>
        </row>
        <row r="228">
          <cell r="A228" t="str">
            <v>Cook Islands</v>
          </cell>
        </row>
        <row r="229">
          <cell r="A229" t="str">
            <v>Falkland Islands (Islas Malvinas)</v>
          </cell>
        </row>
        <row r="230">
          <cell r="A230" t="str">
            <v>Montserrat</v>
          </cell>
        </row>
        <row r="231">
          <cell r="A231" t="str">
            <v>Comoros</v>
          </cell>
        </row>
        <row r="232">
          <cell r="A232" t="str">
            <v>American Samoa</v>
          </cell>
        </row>
        <row r="233">
          <cell r="A233" t="str">
            <v>Micronesia</v>
          </cell>
        </row>
        <row r="234">
          <cell r="A234" t="str">
            <v>Anguilla</v>
          </cell>
        </row>
        <row r="235">
          <cell r="A235" t="str">
            <v>Marshall Islands</v>
          </cell>
        </row>
        <row r="236">
          <cell r="A236" t="str">
            <v>St. Pierre &amp; Miquelon</v>
          </cell>
        </row>
        <row r="237">
          <cell r="A237" t="str">
            <v>St. Martin</v>
          </cell>
        </row>
        <row r="238">
          <cell r="A238" t="str">
            <v>St. BarthÃ©lemy</v>
          </cell>
        </row>
        <row r="239">
          <cell r="A239" t="str">
            <v>Antarctica</v>
          </cell>
        </row>
        <row r="240">
          <cell r="A240" t="str">
            <v>French Southern Territories</v>
          </cell>
        </row>
        <row r="241">
          <cell r="A241" t="str">
            <v>Bouvet Island</v>
          </cell>
        </row>
        <row r="242">
          <cell r="A242" t="str">
            <v>Cocos (Keeling) Islands</v>
          </cell>
        </row>
        <row r="243">
          <cell r="A243" t="str">
            <v>Christmas Island</v>
          </cell>
        </row>
        <row r="244">
          <cell r="A244" t="str">
            <v>Western Sahara</v>
          </cell>
        </row>
        <row r="245">
          <cell r="A245" t="str">
            <v>Heard &amp; McDonald Islands</v>
          </cell>
        </row>
        <row r="246">
          <cell r="A246" t="str">
            <v>Norfolk Island</v>
          </cell>
        </row>
        <row r="247">
          <cell r="A247" t="str">
            <v>Niue</v>
          </cell>
        </row>
        <row r="248">
          <cell r="A248" t="str">
            <v>Pitcairn Islands</v>
          </cell>
        </row>
        <row r="249">
          <cell r="A249" t="str">
            <v>South Georgia &amp; South Sandwich Islands</v>
          </cell>
        </row>
        <row r="250">
          <cell r="A250" t="str">
            <v>Tokelau</v>
          </cell>
        </row>
        <row r="251">
          <cell r="A251" t="str">
            <v>Tuvalu</v>
          </cell>
        </row>
        <row r="252">
          <cell r="A252" t="str">
            <v>U.S. Outlying Islands</v>
          </cell>
        </row>
        <row r="253">
          <cell r="A253" t="str">
            <v>Vatican City</v>
          </cell>
        </row>
      </sheetData>
    </sheetDataSet>
  </externalBook>
</externalLink>
</file>

<file path=xl/externalLinks/externalLink2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6)"/>
    </sheetNames>
    <sheetDataSet>
      <sheetData sheetId="0">
        <row r="1">
          <cell r="A1" t="str">
            <v>Kategori: TÃ¼m kategoriler</v>
          </cell>
        </row>
        <row r="3">
          <cell r="A3" t="str">
            <v>Ãœlke</v>
          </cell>
          <cell r="B3" t="str">
            <v>Dizgi: (2015)</v>
          </cell>
          <cell r="C3" t="str">
            <v>C++: (2015)</v>
          </cell>
        </row>
        <row r="4">
          <cell r="A4" t="str">
            <v>North Korea</v>
          </cell>
        </row>
        <row r="5">
          <cell r="A5" t="str">
            <v>China</v>
          </cell>
          <cell r="B5">
            <v>0.53</v>
          </cell>
          <cell r="C5">
            <v>0.47</v>
          </cell>
        </row>
        <row r="6">
          <cell r="A6" t="str">
            <v>British Indian Ocean Territory</v>
          </cell>
        </row>
        <row r="7">
          <cell r="A7" t="str">
            <v>Cuba</v>
          </cell>
        </row>
        <row r="8">
          <cell r="A8" t="str">
            <v>Ethiopia</v>
          </cell>
        </row>
        <row r="9">
          <cell r="A9" t="str">
            <v>St. Helena</v>
          </cell>
        </row>
        <row r="10">
          <cell r="A10" t="str">
            <v>South Korea</v>
          </cell>
          <cell r="B10">
            <v>0.56000000000000005</v>
          </cell>
          <cell r="C10">
            <v>0.44</v>
          </cell>
        </row>
        <row r="11">
          <cell r="A11" t="str">
            <v>Israel</v>
          </cell>
          <cell r="B11">
            <v>0.66</v>
          </cell>
          <cell r="C11">
            <v>0.34</v>
          </cell>
        </row>
        <row r="12">
          <cell r="A12" t="str">
            <v>Pakistan</v>
          </cell>
          <cell r="B12">
            <v>0.28999999999999998</v>
          </cell>
          <cell r="C12">
            <v>0.71</v>
          </cell>
        </row>
        <row r="13">
          <cell r="A13" t="str">
            <v>Iceland</v>
          </cell>
        </row>
        <row r="14">
          <cell r="A14" t="str">
            <v>Hong Kong</v>
          </cell>
          <cell r="B14">
            <v>0.66</v>
          </cell>
          <cell r="C14">
            <v>0.34</v>
          </cell>
        </row>
        <row r="15">
          <cell r="A15" t="str">
            <v>Singapore</v>
          </cell>
          <cell r="B15">
            <v>0.63</v>
          </cell>
          <cell r="C15">
            <v>0.37</v>
          </cell>
        </row>
        <row r="16">
          <cell r="A16" t="str">
            <v>India</v>
          </cell>
          <cell r="B16">
            <v>0.54</v>
          </cell>
          <cell r="C16">
            <v>0.46</v>
          </cell>
        </row>
        <row r="17">
          <cell r="A17" t="str">
            <v>Belarus</v>
          </cell>
          <cell r="B17">
            <v>0.54</v>
          </cell>
          <cell r="C17">
            <v>0.46</v>
          </cell>
        </row>
        <row r="18">
          <cell r="A18" t="str">
            <v>Liechtenstein</v>
          </cell>
        </row>
        <row r="19">
          <cell r="A19" t="str">
            <v>Fiji</v>
          </cell>
        </row>
        <row r="20">
          <cell r="A20" t="str">
            <v>Czechia</v>
          </cell>
          <cell r="B20">
            <v>0.62</v>
          </cell>
          <cell r="C20">
            <v>0.38</v>
          </cell>
        </row>
        <row r="21">
          <cell r="A21" t="str">
            <v>Luxembourg</v>
          </cell>
        </row>
        <row r="22">
          <cell r="A22" t="str">
            <v>Armenia</v>
          </cell>
        </row>
        <row r="23">
          <cell r="A23" t="str">
            <v>Malta</v>
          </cell>
        </row>
        <row r="24">
          <cell r="A24" t="str">
            <v>Gibraltar</v>
          </cell>
        </row>
        <row r="25">
          <cell r="A25" t="str">
            <v>Ã…land Islands</v>
          </cell>
        </row>
        <row r="26">
          <cell r="A26" t="str">
            <v>Estonia</v>
          </cell>
        </row>
        <row r="27">
          <cell r="A27" t="str">
            <v>Lesotho</v>
          </cell>
        </row>
        <row r="28">
          <cell r="A28" t="str">
            <v>Switzerland</v>
          </cell>
          <cell r="B28">
            <v>0.65</v>
          </cell>
          <cell r="C28">
            <v>0.35</v>
          </cell>
        </row>
        <row r="29">
          <cell r="A29" t="str">
            <v>Sri Lanka</v>
          </cell>
          <cell r="B29">
            <v>0.57999999999999996</v>
          </cell>
          <cell r="C29">
            <v>0.42</v>
          </cell>
        </row>
        <row r="30">
          <cell r="A30" t="str">
            <v>Romania</v>
          </cell>
          <cell r="B30">
            <v>0.4</v>
          </cell>
          <cell r="C30">
            <v>0.6</v>
          </cell>
        </row>
        <row r="31">
          <cell r="A31" t="str">
            <v>Bangladesh</v>
          </cell>
          <cell r="B31">
            <v>0.43</v>
          </cell>
          <cell r="C31">
            <v>0.56999999999999995</v>
          </cell>
        </row>
        <row r="32">
          <cell r="A32" t="str">
            <v>Nepal</v>
          </cell>
        </row>
        <row r="33">
          <cell r="A33" t="str">
            <v>Eswatini</v>
          </cell>
        </row>
        <row r="34">
          <cell r="A34" t="str">
            <v>Taiwan</v>
          </cell>
          <cell r="B34">
            <v>0.51</v>
          </cell>
          <cell r="C34">
            <v>0.49</v>
          </cell>
        </row>
        <row r="35">
          <cell r="A35" t="str">
            <v>New Zealand</v>
          </cell>
          <cell r="B35">
            <v>0.73</v>
          </cell>
          <cell r="C35">
            <v>0.27</v>
          </cell>
        </row>
        <row r="36">
          <cell r="A36" t="str">
            <v>United States</v>
          </cell>
          <cell r="B36">
            <v>0.66</v>
          </cell>
          <cell r="C36">
            <v>0.34</v>
          </cell>
        </row>
        <row r="37">
          <cell r="A37" t="str">
            <v>Somalia</v>
          </cell>
        </row>
        <row r="38">
          <cell r="A38" t="str">
            <v>Ukraine</v>
          </cell>
          <cell r="B38">
            <v>0.54</v>
          </cell>
          <cell r="C38">
            <v>0.46</v>
          </cell>
        </row>
        <row r="39">
          <cell r="A39" t="str">
            <v>Japan</v>
          </cell>
          <cell r="B39">
            <v>0.69</v>
          </cell>
          <cell r="C39">
            <v>0.31</v>
          </cell>
        </row>
        <row r="40">
          <cell r="A40" t="str">
            <v>Philippines</v>
          </cell>
          <cell r="B40">
            <v>0.45</v>
          </cell>
          <cell r="C40">
            <v>0.55000000000000004</v>
          </cell>
        </row>
        <row r="41">
          <cell r="A41" t="str">
            <v>Poland</v>
          </cell>
          <cell r="B41">
            <v>0.37</v>
          </cell>
          <cell r="C41">
            <v>0.63</v>
          </cell>
        </row>
        <row r="42">
          <cell r="A42" t="str">
            <v>Rwanda</v>
          </cell>
        </row>
        <row r="43">
          <cell r="A43" t="str">
            <v>Russia</v>
          </cell>
          <cell r="B43">
            <v>0.53</v>
          </cell>
          <cell r="C43">
            <v>0.47</v>
          </cell>
        </row>
        <row r="44">
          <cell r="A44" t="str">
            <v>Slovenia</v>
          </cell>
          <cell r="B44">
            <v>0.61</v>
          </cell>
          <cell r="C44">
            <v>0.39</v>
          </cell>
        </row>
        <row r="45">
          <cell r="A45" t="str">
            <v>Norway</v>
          </cell>
          <cell r="B45">
            <v>0.67</v>
          </cell>
          <cell r="C45">
            <v>0.33</v>
          </cell>
        </row>
        <row r="46">
          <cell r="A46" t="str">
            <v>Austria</v>
          </cell>
          <cell r="B46">
            <v>0.62</v>
          </cell>
          <cell r="C46">
            <v>0.38</v>
          </cell>
        </row>
        <row r="47">
          <cell r="A47" t="str">
            <v>Germany</v>
          </cell>
          <cell r="B47">
            <v>0.59</v>
          </cell>
          <cell r="C47">
            <v>0.41</v>
          </cell>
        </row>
        <row r="48">
          <cell r="A48" t="str">
            <v>Latvia</v>
          </cell>
          <cell r="B48">
            <v>0.57999999999999996</v>
          </cell>
          <cell r="C48">
            <v>0.42</v>
          </cell>
        </row>
        <row r="49">
          <cell r="A49" t="str">
            <v>Honduras</v>
          </cell>
        </row>
        <row r="50">
          <cell r="A50" t="str">
            <v>Canada</v>
          </cell>
          <cell r="B50">
            <v>0.63</v>
          </cell>
          <cell r="C50">
            <v>0.37</v>
          </cell>
        </row>
        <row r="51">
          <cell r="A51" t="str">
            <v>Portugal</v>
          </cell>
          <cell r="B51">
            <v>0.69</v>
          </cell>
          <cell r="C51">
            <v>0.31</v>
          </cell>
        </row>
        <row r="52">
          <cell r="A52" t="str">
            <v>Bulgaria</v>
          </cell>
          <cell r="B52">
            <v>0.55000000000000004</v>
          </cell>
          <cell r="C52">
            <v>0.45</v>
          </cell>
        </row>
        <row r="53">
          <cell r="A53" t="str">
            <v>Denmark</v>
          </cell>
          <cell r="B53">
            <v>0.72</v>
          </cell>
          <cell r="C53">
            <v>0.28000000000000003</v>
          </cell>
        </row>
        <row r="54">
          <cell r="A54" t="str">
            <v>Finland</v>
          </cell>
          <cell r="B54">
            <v>0.63</v>
          </cell>
          <cell r="C54">
            <v>0.37</v>
          </cell>
        </row>
        <row r="55">
          <cell r="A55" t="str">
            <v>Belgium</v>
          </cell>
          <cell r="B55">
            <v>0.7</v>
          </cell>
          <cell r="C55">
            <v>0.3</v>
          </cell>
        </row>
        <row r="56">
          <cell r="A56" t="str">
            <v>Sweden</v>
          </cell>
          <cell r="B56">
            <v>0.6</v>
          </cell>
          <cell r="C56">
            <v>0.4</v>
          </cell>
        </row>
        <row r="57">
          <cell r="A57" t="str">
            <v>Uzbekistan</v>
          </cell>
        </row>
        <row r="58">
          <cell r="A58" t="str">
            <v>Lebanon</v>
          </cell>
        </row>
        <row r="59">
          <cell r="A59" t="str">
            <v>Ireland</v>
          </cell>
          <cell r="B59">
            <v>0.72</v>
          </cell>
          <cell r="C59">
            <v>0.28000000000000003</v>
          </cell>
        </row>
        <row r="60">
          <cell r="A60" t="str">
            <v>North Macedonia</v>
          </cell>
        </row>
        <row r="61">
          <cell r="A61" t="str">
            <v>Netherlands</v>
          </cell>
          <cell r="B61">
            <v>0.71</v>
          </cell>
          <cell r="C61">
            <v>0.28999999999999998</v>
          </cell>
        </row>
        <row r="62">
          <cell r="A62" t="str">
            <v>Iran</v>
          </cell>
          <cell r="B62">
            <v>0.36</v>
          </cell>
          <cell r="C62">
            <v>0.64</v>
          </cell>
        </row>
        <row r="63">
          <cell r="A63" t="str">
            <v>Faroe Islands</v>
          </cell>
        </row>
        <row r="64">
          <cell r="A64" t="str">
            <v>Belize</v>
          </cell>
        </row>
        <row r="65">
          <cell r="A65" t="str">
            <v>Lithuania</v>
          </cell>
          <cell r="B65">
            <v>0.47</v>
          </cell>
          <cell r="C65">
            <v>0.53</v>
          </cell>
        </row>
        <row r="66">
          <cell r="A66" t="str">
            <v>Togo</v>
          </cell>
        </row>
        <row r="67">
          <cell r="A67" t="str">
            <v>Australia</v>
          </cell>
          <cell r="B67">
            <v>0.73</v>
          </cell>
          <cell r="C67">
            <v>0.27</v>
          </cell>
        </row>
        <row r="68">
          <cell r="A68" t="str">
            <v>Guatemala</v>
          </cell>
        </row>
        <row r="69">
          <cell r="A69" t="str">
            <v>Mauritius</v>
          </cell>
        </row>
        <row r="70">
          <cell r="A70" t="str">
            <v>Moldova</v>
          </cell>
        </row>
        <row r="71">
          <cell r="A71" t="str">
            <v>Madagascar</v>
          </cell>
        </row>
        <row r="72">
          <cell r="A72" t="str">
            <v>Slovakia</v>
          </cell>
          <cell r="B72">
            <v>0.6</v>
          </cell>
          <cell r="C72">
            <v>0.4</v>
          </cell>
        </row>
        <row r="73">
          <cell r="A73" t="str">
            <v>Mongolia</v>
          </cell>
        </row>
        <row r="74">
          <cell r="A74" t="str">
            <v>Hungary</v>
          </cell>
          <cell r="B74">
            <v>0.54</v>
          </cell>
          <cell r="C74">
            <v>0.46</v>
          </cell>
        </row>
        <row r="75">
          <cell r="A75" t="str">
            <v>Myanmar (Burma)</v>
          </cell>
        </row>
        <row r="76">
          <cell r="A76" t="str">
            <v>United Kingdom</v>
          </cell>
          <cell r="B76">
            <v>0.7</v>
          </cell>
          <cell r="C76">
            <v>0.3</v>
          </cell>
        </row>
        <row r="77">
          <cell r="A77" t="str">
            <v>Macao</v>
          </cell>
        </row>
        <row r="78">
          <cell r="A78" t="str">
            <v>Costa Rica</v>
          </cell>
          <cell r="B78">
            <v>0.55000000000000004</v>
          </cell>
          <cell r="C78">
            <v>0.45</v>
          </cell>
        </row>
        <row r="79">
          <cell r="A79" t="str">
            <v>Zimbabwe</v>
          </cell>
        </row>
        <row r="80">
          <cell r="A80" t="str">
            <v>Isle of Man</v>
          </cell>
        </row>
        <row r="81">
          <cell r="A81" t="str">
            <v>South Africa</v>
          </cell>
          <cell r="B81">
            <v>0.67</v>
          </cell>
          <cell r="C81">
            <v>0.33</v>
          </cell>
        </row>
        <row r="82">
          <cell r="A82" t="str">
            <v>Afghanistan</v>
          </cell>
        </row>
        <row r="83">
          <cell r="A83" t="str">
            <v>Tunisia</v>
          </cell>
          <cell r="B83">
            <v>0.51</v>
          </cell>
          <cell r="C83">
            <v>0.49</v>
          </cell>
        </row>
        <row r="84">
          <cell r="A84" t="str">
            <v>Cyprus</v>
          </cell>
        </row>
        <row r="85">
          <cell r="A85" t="str">
            <v>Croatia</v>
          </cell>
          <cell r="B85">
            <v>0.54</v>
          </cell>
          <cell r="C85">
            <v>0.46</v>
          </cell>
        </row>
        <row r="86">
          <cell r="A86" t="str">
            <v>Bosnia &amp; Herzegovina</v>
          </cell>
        </row>
        <row r="87">
          <cell r="A87" t="str">
            <v>Serbia</v>
          </cell>
          <cell r="B87">
            <v>0.54</v>
          </cell>
          <cell r="C87">
            <v>0.46</v>
          </cell>
        </row>
        <row r="88">
          <cell r="A88" t="str">
            <v>Cayman Islands</v>
          </cell>
        </row>
        <row r="89">
          <cell r="A89" t="str">
            <v>Cambodia</v>
          </cell>
        </row>
        <row r="90">
          <cell r="A90" t="str">
            <v>Guernsey</v>
          </cell>
        </row>
        <row r="91">
          <cell r="A91" t="str">
            <v>Ecuador</v>
          </cell>
          <cell r="B91">
            <v>0.34</v>
          </cell>
          <cell r="C91">
            <v>0.66</v>
          </cell>
        </row>
        <row r="92">
          <cell r="A92" t="str">
            <v>Ghana</v>
          </cell>
        </row>
        <row r="93">
          <cell r="A93" t="str">
            <v>Cape Verde</v>
          </cell>
        </row>
        <row r="94">
          <cell r="A94" t="str">
            <v>Monaco</v>
          </cell>
        </row>
        <row r="95">
          <cell r="A95" t="str">
            <v>Bermuda</v>
          </cell>
        </row>
        <row r="96">
          <cell r="A96" t="str">
            <v>Jordan</v>
          </cell>
        </row>
        <row r="97">
          <cell r="A97" t="str">
            <v>Mexico</v>
          </cell>
          <cell r="B97">
            <v>0.37</v>
          </cell>
          <cell r="C97">
            <v>0.63</v>
          </cell>
        </row>
        <row r="98">
          <cell r="A98" t="str">
            <v>Jamaica</v>
          </cell>
        </row>
        <row r="99">
          <cell r="A99" t="str">
            <v>Vanuatu</v>
          </cell>
        </row>
        <row r="100">
          <cell r="A100" t="str">
            <v>Egypt</v>
          </cell>
          <cell r="B100">
            <v>0.35</v>
          </cell>
          <cell r="C100">
            <v>0.65</v>
          </cell>
        </row>
        <row r="101">
          <cell r="A101" t="str">
            <v>Cameroon</v>
          </cell>
        </row>
        <row r="102">
          <cell r="A102" t="str">
            <v>Albania</v>
          </cell>
        </row>
        <row r="103">
          <cell r="A103" t="str">
            <v>Benin</v>
          </cell>
        </row>
        <row r="104">
          <cell r="A104" t="str">
            <v>Malawi</v>
          </cell>
        </row>
        <row r="105">
          <cell r="A105" t="str">
            <v>Kenya</v>
          </cell>
        </row>
        <row r="106">
          <cell r="A106" t="str">
            <v>Jersey</v>
          </cell>
        </row>
        <row r="107">
          <cell r="A107" t="str">
            <v>Botswana</v>
          </cell>
        </row>
        <row r="108">
          <cell r="A108" t="str">
            <v>Malaysia</v>
          </cell>
          <cell r="B108">
            <v>0.49</v>
          </cell>
          <cell r="C108">
            <v>0.51</v>
          </cell>
        </row>
        <row r="109">
          <cell r="A109" t="str">
            <v>Kyrgyzstan</v>
          </cell>
        </row>
        <row r="110">
          <cell r="A110" t="str">
            <v>Syria</v>
          </cell>
        </row>
        <row r="111">
          <cell r="A111" t="str">
            <v>Spain</v>
          </cell>
          <cell r="B111">
            <v>0.62</v>
          </cell>
          <cell r="C111">
            <v>0.38</v>
          </cell>
        </row>
        <row r="112">
          <cell r="A112" t="str">
            <v>Andorra</v>
          </cell>
        </row>
        <row r="113">
          <cell r="A113" t="str">
            <v>Maldives</v>
          </cell>
        </row>
        <row r="114">
          <cell r="A114" t="str">
            <v>Italy</v>
          </cell>
          <cell r="B114">
            <v>0.59</v>
          </cell>
          <cell r="C114">
            <v>0.41</v>
          </cell>
        </row>
        <row r="115">
          <cell r="A115" t="str">
            <v>Uruguay</v>
          </cell>
        </row>
        <row r="116">
          <cell r="A116" t="str">
            <v>Barbados</v>
          </cell>
        </row>
        <row r="117">
          <cell r="A117" t="str">
            <v>Vietnam</v>
          </cell>
          <cell r="B117">
            <v>0.45</v>
          </cell>
          <cell r="C117">
            <v>0.55000000000000004</v>
          </cell>
        </row>
        <row r="118">
          <cell r="A118" t="str">
            <v>Sudan</v>
          </cell>
        </row>
        <row r="119">
          <cell r="A119" t="str">
            <v>San Marino</v>
          </cell>
        </row>
        <row r="120">
          <cell r="A120" t="str">
            <v>France</v>
          </cell>
          <cell r="B120">
            <v>0.56000000000000005</v>
          </cell>
          <cell r="C120">
            <v>0.44</v>
          </cell>
        </row>
        <row r="121">
          <cell r="A121" t="str">
            <v>Georgia</v>
          </cell>
        </row>
        <row r="122">
          <cell r="A122" t="str">
            <v>Bhutan</v>
          </cell>
        </row>
        <row r="123">
          <cell r="A123" t="str">
            <v>Oman</v>
          </cell>
        </row>
        <row r="124">
          <cell r="A124" t="str">
            <v>Kazakhstan</v>
          </cell>
          <cell r="B124">
            <v>0.5</v>
          </cell>
          <cell r="C124">
            <v>0.5</v>
          </cell>
        </row>
        <row r="125">
          <cell r="A125" t="str">
            <v>Grenada</v>
          </cell>
        </row>
        <row r="126">
          <cell r="A126" t="str">
            <v>Bahrain</v>
          </cell>
        </row>
        <row r="127">
          <cell r="A127" t="str">
            <v>Panama</v>
          </cell>
        </row>
        <row r="128">
          <cell r="A128" t="str">
            <v>United Arab Emirates</v>
          </cell>
          <cell r="B128">
            <v>0.63</v>
          </cell>
          <cell r="C128">
            <v>0.37</v>
          </cell>
        </row>
        <row r="129">
          <cell r="A129" t="str">
            <v>El Salvador</v>
          </cell>
        </row>
        <row r="130">
          <cell r="A130" t="str">
            <v>Angola</v>
          </cell>
        </row>
        <row r="131">
          <cell r="A131" t="str">
            <v>St. Vincent &amp; Grenadines</v>
          </cell>
        </row>
        <row r="132">
          <cell r="A132" t="str">
            <v>Seychelles</v>
          </cell>
        </row>
        <row r="133">
          <cell r="A133" t="str">
            <v>Nicaragua</v>
          </cell>
        </row>
        <row r="134">
          <cell r="A134" t="str">
            <v>Bolivia</v>
          </cell>
          <cell r="B134">
            <v>0.37</v>
          </cell>
          <cell r="C134">
            <v>0.63</v>
          </cell>
        </row>
        <row r="135">
          <cell r="A135" t="str">
            <v>Tajikistan</v>
          </cell>
        </row>
        <row r="136">
          <cell r="A136" t="str">
            <v>Colombia</v>
          </cell>
          <cell r="B136">
            <v>0.44</v>
          </cell>
          <cell r="C136">
            <v>0.56000000000000005</v>
          </cell>
        </row>
        <row r="137">
          <cell r="A137" t="str">
            <v>Morocco</v>
          </cell>
          <cell r="B137">
            <v>0.41</v>
          </cell>
          <cell r="C137">
            <v>0.59</v>
          </cell>
        </row>
        <row r="138">
          <cell r="A138" t="str">
            <v>Montenegro</v>
          </cell>
        </row>
        <row r="139">
          <cell r="A139" t="str">
            <v>Turkmenistan</v>
          </cell>
        </row>
        <row r="140">
          <cell r="A140" t="str">
            <v>Greece</v>
          </cell>
          <cell r="B140">
            <v>0.51</v>
          </cell>
          <cell r="C140">
            <v>0.49</v>
          </cell>
        </row>
        <row r="141">
          <cell r="A141" t="str">
            <v>Trinidad &amp; Tobago</v>
          </cell>
        </row>
        <row r="142">
          <cell r="A142" t="str">
            <v>Indonesia</v>
          </cell>
          <cell r="B142">
            <v>0.42</v>
          </cell>
          <cell r="C142">
            <v>0.57999999999999996</v>
          </cell>
        </row>
        <row r="143">
          <cell r="A143" t="str">
            <v>Peru</v>
          </cell>
          <cell r="B143">
            <v>0.43</v>
          </cell>
          <cell r="C143">
            <v>0.56999999999999995</v>
          </cell>
        </row>
        <row r="144">
          <cell r="A144" t="str">
            <v>Palestine</v>
          </cell>
        </row>
        <row r="145">
          <cell r="A145" t="str">
            <v>Puerto Rico</v>
          </cell>
        </row>
        <row r="146">
          <cell r="A146" t="str">
            <v>Laos</v>
          </cell>
        </row>
        <row r="147">
          <cell r="A147" t="str">
            <v>CuraÃ§ao</v>
          </cell>
        </row>
        <row r="148">
          <cell r="A148" t="str">
            <v>Djibouti</v>
          </cell>
        </row>
        <row r="149">
          <cell r="A149" t="str">
            <v>Libya</v>
          </cell>
        </row>
        <row r="150">
          <cell r="A150" t="str">
            <v>Papua New Guinea</v>
          </cell>
        </row>
        <row r="151">
          <cell r="A151" t="str">
            <v>Chile</v>
          </cell>
          <cell r="B151">
            <v>0.62</v>
          </cell>
          <cell r="C151">
            <v>0.38</v>
          </cell>
        </row>
        <row r="152">
          <cell r="A152" t="str">
            <v>Dominican Republic</v>
          </cell>
        </row>
        <row r="153">
          <cell r="A153" t="str">
            <v>Qatar</v>
          </cell>
        </row>
        <row r="154">
          <cell r="A154" t="str">
            <v>U.S. Virgin Islands</v>
          </cell>
        </row>
        <row r="155">
          <cell r="A155" t="str">
            <v>Namibia</v>
          </cell>
        </row>
        <row r="156">
          <cell r="A156" t="str">
            <v>Uganda</v>
          </cell>
        </row>
        <row r="157">
          <cell r="A157" t="str">
            <v>French Polynesia</v>
          </cell>
        </row>
        <row r="158">
          <cell r="A158" t="str">
            <v>Paraguay</v>
          </cell>
        </row>
        <row r="159">
          <cell r="A159" t="str">
            <v>Yemen</v>
          </cell>
        </row>
        <row r="160">
          <cell r="A160" t="str">
            <v>Nigeria</v>
          </cell>
        </row>
        <row r="161">
          <cell r="A161" t="str">
            <v>Gabon</v>
          </cell>
        </row>
        <row r="162">
          <cell r="A162" t="str">
            <v>Brunei</v>
          </cell>
        </row>
        <row r="163">
          <cell r="A163" t="str">
            <v>Burundi</v>
          </cell>
        </row>
        <row r="164">
          <cell r="A164" t="str">
            <v>Brazil</v>
          </cell>
          <cell r="B164">
            <v>0.55000000000000004</v>
          </cell>
          <cell r="C164">
            <v>0.45</v>
          </cell>
        </row>
        <row r="165">
          <cell r="A165" t="str">
            <v>Antigua &amp; Barbuda</v>
          </cell>
        </row>
        <row r="166">
          <cell r="A166" t="str">
            <v>Venezuela</v>
          </cell>
          <cell r="B166">
            <v>0.35</v>
          </cell>
          <cell r="C166">
            <v>0.65</v>
          </cell>
        </row>
        <row r="167">
          <cell r="A167" t="str">
            <v>Argentina</v>
          </cell>
          <cell r="B167">
            <v>0.57999999999999996</v>
          </cell>
          <cell r="C167">
            <v>0.42</v>
          </cell>
        </row>
        <row r="168">
          <cell r="A168" t="str">
            <v>Algeria</v>
          </cell>
        </row>
        <row r="169">
          <cell r="A169" t="str">
            <v>New Caledonia</v>
          </cell>
        </row>
        <row r="170">
          <cell r="A170" t="str">
            <v>Kosovo</v>
          </cell>
        </row>
        <row r="171">
          <cell r="A171" t="str">
            <v>Niger</v>
          </cell>
        </row>
        <row r="172">
          <cell r="A172" t="str">
            <v>Guam</v>
          </cell>
        </row>
        <row r="173">
          <cell r="A173" t="str">
            <v>Tanzania</v>
          </cell>
        </row>
        <row r="174">
          <cell r="A174" t="str">
            <v>Azerbaijan</v>
          </cell>
        </row>
        <row r="175">
          <cell r="A175" t="str">
            <v>Chad</v>
          </cell>
        </row>
        <row r="176">
          <cell r="A176" t="str">
            <v>Zambia</v>
          </cell>
        </row>
        <row r="177">
          <cell r="A177" t="str">
            <v>Congo - Kinshasa</v>
          </cell>
        </row>
        <row r="178">
          <cell r="A178" t="str">
            <v>Guyana</v>
          </cell>
        </row>
        <row r="179">
          <cell r="A179" t="str">
            <v>CÃ´te dâ€™Ivoire</v>
          </cell>
        </row>
        <row r="180">
          <cell r="A180" t="str">
            <v>Senegal</v>
          </cell>
        </row>
        <row r="181">
          <cell r="A181" t="str">
            <v>Guinea</v>
          </cell>
        </row>
        <row r="182">
          <cell r="A182" t="str">
            <v>Thailand</v>
          </cell>
          <cell r="B182">
            <v>0.51</v>
          </cell>
          <cell r="C182">
            <v>0.49</v>
          </cell>
        </row>
        <row r="183">
          <cell r="A183" t="str">
            <v>Haiti</v>
          </cell>
        </row>
        <row r="184">
          <cell r="A184" t="str">
            <v>Suriname</v>
          </cell>
        </row>
        <row r="185">
          <cell r="A185" t="str">
            <v>Kuwait</v>
          </cell>
        </row>
        <row r="186">
          <cell r="A186" t="str">
            <v>Burkina Faso</v>
          </cell>
        </row>
        <row r="187">
          <cell r="A187" t="str">
            <v>Bahamas</v>
          </cell>
        </row>
        <row r="188">
          <cell r="A188" t="str">
            <v>Sint Maarten</v>
          </cell>
        </row>
        <row r="189">
          <cell r="A189" t="str">
            <v>Congo - Brazzaville</v>
          </cell>
        </row>
        <row r="190">
          <cell r="A190" t="str">
            <v>Mozambique</v>
          </cell>
        </row>
        <row r="191">
          <cell r="A191" t="str">
            <v>Iraq</v>
          </cell>
        </row>
        <row r="192">
          <cell r="A192" t="str">
            <v>Turkey</v>
          </cell>
          <cell r="B192">
            <v>0.47</v>
          </cell>
          <cell r="C192">
            <v>0.53</v>
          </cell>
        </row>
        <row r="193">
          <cell r="A193" t="str">
            <v>Mali</v>
          </cell>
        </row>
        <row r="194">
          <cell r="A194" t="str">
            <v>Aruba</v>
          </cell>
        </row>
        <row r="195">
          <cell r="A195" t="str">
            <v>Saudi Arabia</v>
          </cell>
          <cell r="B195">
            <v>0.46</v>
          </cell>
          <cell r="C195">
            <v>0.54</v>
          </cell>
        </row>
        <row r="196">
          <cell r="A196" t="str">
            <v>Guadeloupe</v>
          </cell>
        </row>
        <row r="197">
          <cell r="A197" t="str">
            <v>Timor-Leste</v>
          </cell>
        </row>
        <row r="198">
          <cell r="A198" t="str">
            <v>RÃ©union</v>
          </cell>
        </row>
        <row r="199">
          <cell r="A199" t="str">
            <v>Mauritania</v>
          </cell>
        </row>
        <row r="200">
          <cell r="A200" t="str">
            <v>Liberia</v>
          </cell>
        </row>
        <row r="201">
          <cell r="A201" t="str">
            <v>French Guiana</v>
          </cell>
        </row>
        <row r="202">
          <cell r="A202" t="str">
            <v>Martinique</v>
          </cell>
        </row>
        <row r="203">
          <cell r="A203" t="str">
            <v>Sierra Leone</v>
          </cell>
        </row>
        <row r="204">
          <cell r="A204" t="str">
            <v>South Sudan</v>
          </cell>
        </row>
        <row r="205">
          <cell r="A205" t="str">
            <v>Tuvalu</v>
          </cell>
        </row>
        <row r="206">
          <cell r="A206" t="str">
            <v>Montserrat</v>
          </cell>
        </row>
        <row r="207">
          <cell r="A207" t="str">
            <v>Norfolk Island</v>
          </cell>
        </row>
        <row r="208">
          <cell r="A208" t="str">
            <v>Kiribati</v>
          </cell>
        </row>
        <row r="209">
          <cell r="A209" t="str">
            <v>Palau</v>
          </cell>
        </row>
        <row r="210">
          <cell r="A210" t="str">
            <v>Eritrea</v>
          </cell>
        </row>
        <row r="211">
          <cell r="A211" t="str">
            <v>Svalbard &amp; Jan Mayen</v>
          </cell>
        </row>
        <row r="212">
          <cell r="A212" t="str">
            <v>Falkland Islands (Islas Malvinas)</v>
          </cell>
        </row>
        <row r="213">
          <cell r="A213" t="str">
            <v>Cook Islands</v>
          </cell>
        </row>
        <row r="214">
          <cell r="A214" t="str">
            <v>St. Kitts &amp; Nevis</v>
          </cell>
        </row>
        <row r="215">
          <cell r="A215" t="str">
            <v>SÃ£o TomÃ© &amp; PrÃ­ncipe</v>
          </cell>
        </row>
        <row r="216">
          <cell r="A216" t="str">
            <v>Tonga</v>
          </cell>
        </row>
        <row r="217">
          <cell r="A217" t="str">
            <v>Marshall Islands</v>
          </cell>
        </row>
        <row r="218">
          <cell r="A218" t="str">
            <v>Northern Mariana Islands</v>
          </cell>
        </row>
        <row r="219">
          <cell r="A219" t="str">
            <v>Caribbean Netherlands</v>
          </cell>
        </row>
        <row r="220">
          <cell r="A220" t="str">
            <v>Samoa</v>
          </cell>
        </row>
        <row r="221">
          <cell r="A221" t="str">
            <v>Anguilla</v>
          </cell>
        </row>
        <row r="222">
          <cell r="A222" t="str">
            <v>Turks &amp; Caicos Islands</v>
          </cell>
        </row>
        <row r="223">
          <cell r="A223" t="str">
            <v>Micronesia</v>
          </cell>
        </row>
        <row r="224">
          <cell r="A224" t="str">
            <v>Greenland</v>
          </cell>
        </row>
        <row r="225">
          <cell r="A225" t="str">
            <v>American Samoa</v>
          </cell>
        </row>
        <row r="226">
          <cell r="A226" t="str">
            <v>Central African Republic</v>
          </cell>
        </row>
        <row r="227">
          <cell r="A227" t="str">
            <v>Dominica</v>
          </cell>
        </row>
        <row r="228">
          <cell r="A228" t="str">
            <v>Guinea-Bissau</v>
          </cell>
        </row>
        <row r="229">
          <cell r="A229" t="str">
            <v>British Virgin Islands</v>
          </cell>
        </row>
        <row r="230">
          <cell r="A230" t="str">
            <v>Comoros</v>
          </cell>
        </row>
        <row r="231">
          <cell r="A231" t="str">
            <v>Solomon Islands</v>
          </cell>
        </row>
        <row r="232">
          <cell r="A232" t="str">
            <v>St. Lucia</v>
          </cell>
        </row>
        <row r="233">
          <cell r="A233" t="str">
            <v>Equatorial Guinea</v>
          </cell>
        </row>
        <row r="234">
          <cell r="A234" t="str">
            <v>Gambia</v>
          </cell>
        </row>
        <row r="235">
          <cell r="A235" t="str">
            <v>St. Martin</v>
          </cell>
        </row>
        <row r="236">
          <cell r="A236" t="str">
            <v>St. BarthÃ©lemy</v>
          </cell>
        </row>
        <row r="237">
          <cell r="A237" t="str">
            <v>Mayotte</v>
          </cell>
        </row>
        <row r="238">
          <cell r="A238" t="str">
            <v>Antarctica</v>
          </cell>
        </row>
        <row r="239">
          <cell r="A239" t="str">
            <v>French Southern Territories</v>
          </cell>
        </row>
        <row r="240">
          <cell r="A240" t="str">
            <v>Bouvet Island</v>
          </cell>
        </row>
        <row r="241">
          <cell r="A241" t="str">
            <v>Cocos (Keeling) Islands</v>
          </cell>
        </row>
        <row r="242">
          <cell r="A242" t="str">
            <v>Christmas Island</v>
          </cell>
        </row>
        <row r="243">
          <cell r="A243" t="str">
            <v>Western Sahara</v>
          </cell>
        </row>
        <row r="244">
          <cell r="A244" t="str">
            <v>Heard &amp; McDonald Islands</v>
          </cell>
        </row>
        <row r="245">
          <cell r="A245" t="str">
            <v>Niue</v>
          </cell>
        </row>
        <row r="246">
          <cell r="A246" t="str">
            <v>Nauru</v>
          </cell>
        </row>
        <row r="247">
          <cell r="A247" t="str">
            <v>Pitcairn Islands</v>
          </cell>
        </row>
        <row r="248">
          <cell r="A248" t="str">
            <v>South Georgia &amp; South Sandwich Islands</v>
          </cell>
        </row>
        <row r="249">
          <cell r="A249" t="str">
            <v>St. Pierre &amp; Miquelon</v>
          </cell>
        </row>
        <row r="250">
          <cell r="A250" t="str">
            <v>Tokelau</v>
          </cell>
        </row>
        <row r="251">
          <cell r="A251" t="str">
            <v>U.S. Outlying Islands</v>
          </cell>
        </row>
        <row r="252">
          <cell r="A252" t="str">
            <v>Vatican City</v>
          </cell>
        </row>
        <row r="253">
          <cell r="A253" t="str">
            <v>Wallis &amp; Futuna</v>
          </cell>
        </row>
      </sheetData>
    </sheetDataSet>
  </externalBook>
</externalLink>
</file>

<file path=xl/externalLinks/externalLink2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7)"/>
    </sheetNames>
    <sheetDataSet>
      <sheetData sheetId="0">
        <row r="1">
          <cell r="A1" t="str">
            <v>Kategori: TÃ¼m kategoriler</v>
          </cell>
        </row>
        <row r="3">
          <cell r="A3" t="str">
            <v>Ãœlke</v>
          </cell>
          <cell r="B3" t="str">
            <v>C++: (2015)</v>
          </cell>
          <cell r="C3" t="str">
            <v>ReactJS: (2015)</v>
          </cell>
        </row>
        <row r="4">
          <cell r="A4" t="str">
            <v>China</v>
          </cell>
          <cell r="B4">
            <v>0.83</v>
          </cell>
          <cell r="C4">
            <v>0.17</v>
          </cell>
        </row>
        <row r="5">
          <cell r="A5" t="str">
            <v>Cuba</v>
          </cell>
        </row>
        <row r="6">
          <cell r="A6" t="str">
            <v>Ethiopia</v>
          </cell>
        </row>
        <row r="7">
          <cell r="A7" t="str">
            <v>Pakistan</v>
          </cell>
          <cell r="B7">
            <v>0.99</v>
          </cell>
          <cell r="C7">
            <v>0.01</v>
          </cell>
        </row>
        <row r="8">
          <cell r="A8" t="str">
            <v>South Korea</v>
          </cell>
          <cell r="B8">
            <v>0.95</v>
          </cell>
          <cell r="C8">
            <v>0.05</v>
          </cell>
        </row>
        <row r="9">
          <cell r="A9" t="str">
            <v>Fiji</v>
          </cell>
        </row>
        <row r="10">
          <cell r="A10" t="str">
            <v>Iceland</v>
          </cell>
        </row>
        <row r="11">
          <cell r="A11" t="str">
            <v>India</v>
          </cell>
          <cell r="B11">
            <v>0.97</v>
          </cell>
          <cell r="C11">
            <v>0.03</v>
          </cell>
        </row>
        <row r="12">
          <cell r="A12" t="str">
            <v>Armenia</v>
          </cell>
        </row>
        <row r="13">
          <cell r="A13" t="str">
            <v>Belarus</v>
          </cell>
          <cell r="B13">
            <v>0.91</v>
          </cell>
          <cell r="C13">
            <v>0.09</v>
          </cell>
        </row>
        <row r="14">
          <cell r="A14" t="str">
            <v>Lesotho</v>
          </cell>
        </row>
        <row r="15">
          <cell r="A15" t="str">
            <v>Romania</v>
          </cell>
          <cell r="B15">
            <v>0.95</v>
          </cell>
          <cell r="C15">
            <v>0.05</v>
          </cell>
        </row>
        <row r="16">
          <cell r="A16" t="str">
            <v>St. Helena</v>
          </cell>
        </row>
        <row r="17">
          <cell r="A17" t="str">
            <v>Bangladesh</v>
          </cell>
          <cell r="B17">
            <v>0.96</v>
          </cell>
          <cell r="C17">
            <v>0.04</v>
          </cell>
        </row>
        <row r="18">
          <cell r="A18" t="str">
            <v>Eswatini</v>
          </cell>
        </row>
        <row r="19">
          <cell r="A19" t="str">
            <v>Somalia</v>
          </cell>
        </row>
        <row r="20">
          <cell r="A20" t="str">
            <v>Nepal</v>
          </cell>
        </row>
        <row r="21">
          <cell r="A21" t="str">
            <v>Philippines</v>
          </cell>
          <cell r="B21">
            <v>0.93</v>
          </cell>
          <cell r="C21">
            <v>7.0000000000000007E-2</v>
          </cell>
        </row>
        <row r="22">
          <cell r="A22" t="str">
            <v>Poland</v>
          </cell>
          <cell r="B22">
            <v>0.96</v>
          </cell>
          <cell r="C22">
            <v>0.04</v>
          </cell>
        </row>
        <row r="23">
          <cell r="A23" t="str">
            <v>Rwanda</v>
          </cell>
        </row>
        <row r="24">
          <cell r="A24" t="str">
            <v>Taiwan</v>
          </cell>
          <cell r="B24">
            <v>0.92</v>
          </cell>
          <cell r="C24">
            <v>0.08</v>
          </cell>
        </row>
        <row r="25">
          <cell r="A25" t="str">
            <v>Israel</v>
          </cell>
          <cell r="B25">
            <v>0.9</v>
          </cell>
          <cell r="C25">
            <v>0.1</v>
          </cell>
        </row>
        <row r="26">
          <cell r="A26" t="str">
            <v>Honduras</v>
          </cell>
        </row>
        <row r="27">
          <cell r="A27" t="str">
            <v>Singapore</v>
          </cell>
          <cell r="B27">
            <v>0.87</v>
          </cell>
          <cell r="C27">
            <v>0.13</v>
          </cell>
        </row>
        <row r="28">
          <cell r="A28" t="str">
            <v>Uzbekistan</v>
          </cell>
        </row>
        <row r="29">
          <cell r="A29" t="str">
            <v>Iran</v>
          </cell>
          <cell r="B29">
            <v>0.99</v>
          </cell>
          <cell r="C29">
            <v>0.01</v>
          </cell>
        </row>
        <row r="30">
          <cell r="A30" t="str">
            <v>North Macedonia</v>
          </cell>
        </row>
        <row r="31">
          <cell r="A31" t="str">
            <v>Belize</v>
          </cell>
        </row>
        <row r="32">
          <cell r="A32" t="str">
            <v>Lithuania</v>
          </cell>
          <cell r="B32">
            <v>0.92</v>
          </cell>
          <cell r="C32">
            <v>0.08</v>
          </cell>
        </row>
        <row r="33">
          <cell r="A33" t="str">
            <v>Ukraine</v>
          </cell>
          <cell r="B33">
            <v>0.92</v>
          </cell>
          <cell r="C33">
            <v>0.08</v>
          </cell>
        </row>
        <row r="34">
          <cell r="A34" t="str">
            <v>Russia</v>
          </cell>
          <cell r="B34">
            <v>0.94</v>
          </cell>
          <cell r="C34">
            <v>0.06</v>
          </cell>
        </row>
        <row r="35">
          <cell r="A35" t="str">
            <v>Togo</v>
          </cell>
        </row>
        <row r="36">
          <cell r="A36" t="str">
            <v>Sri Lanka</v>
          </cell>
          <cell r="B36">
            <v>0.95</v>
          </cell>
          <cell r="C36">
            <v>0.05</v>
          </cell>
        </row>
        <row r="37">
          <cell r="A37" t="str">
            <v>Guatemala</v>
          </cell>
        </row>
        <row r="38">
          <cell r="A38" t="str">
            <v>Faroe Islands</v>
          </cell>
        </row>
        <row r="39">
          <cell r="A39" t="str">
            <v>Czechia</v>
          </cell>
          <cell r="B39">
            <v>0.85</v>
          </cell>
          <cell r="C39">
            <v>0.15</v>
          </cell>
        </row>
        <row r="40">
          <cell r="A40" t="str">
            <v>Hong Kong</v>
          </cell>
          <cell r="B40">
            <v>0.82</v>
          </cell>
          <cell r="C40">
            <v>0.18</v>
          </cell>
        </row>
        <row r="41">
          <cell r="A41" t="str">
            <v>Mongolia</v>
          </cell>
        </row>
        <row r="42">
          <cell r="A42" t="str">
            <v>Moldova</v>
          </cell>
        </row>
        <row r="43">
          <cell r="A43" t="str">
            <v>Bulgaria</v>
          </cell>
          <cell r="B43">
            <v>0.92</v>
          </cell>
          <cell r="C43">
            <v>0.08</v>
          </cell>
        </row>
        <row r="44">
          <cell r="A44" t="str">
            <v>Zimbabwe</v>
          </cell>
        </row>
        <row r="45">
          <cell r="A45" t="str">
            <v>Afghanistan</v>
          </cell>
        </row>
        <row r="46">
          <cell r="A46" t="str">
            <v>Latvia</v>
          </cell>
          <cell r="B46">
            <v>0.88</v>
          </cell>
          <cell r="C46">
            <v>0.12</v>
          </cell>
        </row>
        <row r="47">
          <cell r="A47" t="str">
            <v>Germany</v>
          </cell>
          <cell r="B47">
            <v>0.94</v>
          </cell>
          <cell r="C47">
            <v>0.06</v>
          </cell>
        </row>
        <row r="48">
          <cell r="A48" t="str">
            <v>Madagascar</v>
          </cell>
        </row>
        <row r="49">
          <cell r="A49" t="str">
            <v>Tunisia</v>
          </cell>
        </row>
        <row r="50">
          <cell r="A50" t="str">
            <v>Hungary</v>
          </cell>
          <cell r="B50">
            <v>0.94</v>
          </cell>
          <cell r="C50">
            <v>0.06</v>
          </cell>
        </row>
        <row r="51">
          <cell r="A51" t="str">
            <v>Bosnia &amp; Herzegovina</v>
          </cell>
        </row>
        <row r="52">
          <cell r="A52" t="str">
            <v>Slovenia</v>
          </cell>
          <cell r="B52">
            <v>0.91</v>
          </cell>
          <cell r="C52">
            <v>0.09</v>
          </cell>
        </row>
        <row r="53">
          <cell r="A53" t="str">
            <v>Switzerland</v>
          </cell>
          <cell r="B53">
            <v>0.9</v>
          </cell>
          <cell r="C53">
            <v>0.1</v>
          </cell>
        </row>
        <row r="54">
          <cell r="A54" t="str">
            <v>Costa Rica</v>
          </cell>
        </row>
        <row r="55">
          <cell r="A55" t="str">
            <v>Sweden</v>
          </cell>
          <cell r="B55">
            <v>0.82</v>
          </cell>
          <cell r="C55">
            <v>0.18</v>
          </cell>
        </row>
        <row r="56">
          <cell r="A56" t="str">
            <v>Ecuador</v>
          </cell>
        </row>
        <row r="57">
          <cell r="A57" t="str">
            <v>Ghana</v>
          </cell>
        </row>
        <row r="58">
          <cell r="A58" t="str">
            <v>Austria</v>
          </cell>
          <cell r="B58">
            <v>0.91</v>
          </cell>
          <cell r="C58">
            <v>0.09</v>
          </cell>
        </row>
        <row r="59">
          <cell r="A59" t="str">
            <v>Jordan</v>
          </cell>
        </row>
        <row r="60">
          <cell r="A60" t="str">
            <v>Mexico</v>
          </cell>
          <cell r="B60">
            <v>0.97</v>
          </cell>
          <cell r="C60">
            <v>0.03</v>
          </cell>
        </row>
        <row r="61">
          <cell r="A61" t="str">
            <v>Canada</v>
          </cell>
          <cell r="B61">
            <v>0.86</v>
          </cell>
          <cell r="C61">
            <v>0.14000000000000001</v>
          </cell>
        </row>
        <row r="62">
          <cell r="A62" t="str">
            <v>Egypt</v>
          </cell>
          <cell r="B62">
            <v>0.98</v>
          </cell>
          <cell r="C62">
            <v>0.02</v>
          </cell>
        </row>
        <row r="63">
          <cell r="A63" t="str">
            <v>Cameroon</v>
          </cell>
        </row>
        <row r="64">
          <cell r="A64" t="str">
            <v>Albania</v>
          </cell>
        </row>
        <row r="65">
          <cell r="A65" t="str">
            <v>Croatia</v>
          </cell>
          <cell r="B65">
            <v>0.89</v>
          </cell>
          <cell r="C65">
            <v>0.11</v>
          </cell>
        </row>
        <row r="66">
          <cell r="A66" t="str">
            <v>Benin</v>
          </cell>
        </row>
        <row r="67">
          <cell r="A67" t="str">
            <v>Jamaica</v>
          </cell>
        </row>
        <row r="68">
          <cell r="A68" t="str">
            <v>Malawi</v>
          </cell>
        </row>
        <row r="69">
          <cell r="A69" t="str">
            <v>Finland</v>
          </cell>
          <cell r="B69">
            <v>0.8</v>
          </cell>
          <cell r="C69">
            <v>0.2</v>
          </cell>
        </row>
        <row r="70">
          <cell r="A70" t="str">
            <v>Kenya</v>
          </cell>
          <cell r="B70">
            <v>0.94</v>
          </cell>
          <cell r="C70">
            <v>0.06</v>
          </cell>
        </row>
        <row r="71">
          <cell r="A71" t="str">
            <v>Lebanon</v>
          </cell>
        </row>
        <row r="72">
          <cell r="A72" t="str">
            <v>Botswana</v>
          </cell>
        </row>
        <row r="73">
          <cell r="A73" t="str">
            <v>Slovakia</v>
          </cell>
          <cell r="B73">
            <v>0.89</v>
          </cell>
          <cell r="C73">
            <v>0.11</v>
          </cell>
        </row>
        <row r="74">
          <cell r="A74" t="str">
            <v>Malaysia</v>
          </cell>
          <cell r="B74">
            <v>0.93</v>
          </cell>
          <cell r="C74">
            <v>7.0000000000000007E-2</v>
          </cell>
        </row>
        <row r="75">
          <cell r="A75" t="str">
            <v>United States</v>
          </cell>
          <cell r="B75">
            <v>0.85</v>
          </cell>
          <cell r="C75">
            <v>0.15</v>
          </cell>
        </row>
        <row r="76">
          <cell r="A76" t="str">
            <v>Cyprus</v>
          </cell>
        </row>
        <row r="77">
          <cell r="A77" t="str">
            <v>Syria</v>
          </cell>
        </row>
        <row r="78">
          <cell r="A78" t="str">
            <v>Serbia</v>
          </cell>
          <cell r="B78">
            <v>0.91</v>
          </cell>
          <cell r="C78">
            <v>0.09</v>
          </cell>
        </row>
        <row r="79">
          <cell r="A79" t="str">
            <v>Vietnam</v>
          </cell>
          <cell r="B79">
            <v>0.94</v>
          </cell>
          <cell r="C79">
            <v>0.06</v>
          </cell>
        </row>
        <row r="80">
          <cell r="A80" t="str">
            <v>Sudan</v>
          </cell>
        </row>
        <row r="81">
          <cell r="A81" t="str">
            <v>Estonia</v>
          </cell>
        </row>
        <row r="82">
          <cell r="A82" t="str">
            <v>Cambodia</v>
          </cell>
        </row>
        <row r="83">
          <cell r="A83" t="str">
            <v>Norway</v>
          </cell>
          <cell r="B83">
            <v>0.75</v>
          </cell>
          <cell r="C83">
            <v>0.25</v>
          </cell>
        </row>
        <row r="84">
          <cell r="A84" t="str">
            <v>Kyrgyzstan</v>
          </cell>
        </row>
        <row r="85">
          <cell r="A85" t="str">
            <v>Georgia</v>
          </cell>
        </row>
        <row r="86">
          <cell r="A86" t="str">
            <v>Bhutan</v>
          </cell>
        </row>
        <row r="87">
          <cell r="A87" t="str">
            <v>Oman</v>
          </cell>
        </row>
        <row r="88">
          <cell r="A88" t="str">
            <v>Grenada</v>
          </cell>
        </row>
        <row r="89">
          <cell r="A89" t="str">
            <v>Bahrain</v>
          </cell>
        </row>
        <row r="90">
          <cell r="A90" t="str">
            <v>Panama</v>
          </cell>
        </row>
        <row r="91">
          <cell r="A91" t="str">
            <v>Kazakhstan</v>
          </cell>
        </row>
        <row r="92">
          <cell r="A92" t="str">
            <v>Japan</v>
          </cell>
          <cell r="B92">
            <v>0.93</v>
          </cell>
          <cell r="C92">
            <v>7.0000000000000007E-2</v>
          </cell>
        </row>
        <row r="93">
          <cell r="A93" t="str">
            <v>El Salvador</v>
          </cell>
        </row>
        <row r="94">
          <cell r="A94" t="str">
            <v>Angola</v>
          </cell>
        </row>
        <row r="95">
          <cell r="A95" t="str">
            <v>St. Vincent &amp; Grenadines</v>
          </cell>
        </row>
        <row r="96">
          <cell r="A96" t="str">
            <v>Barbados</v>
          </cell>
        </row>
        <row r="97">
          <cell r="A97" t="str">
            <v>Nicaragua</v>
          </cell>
        </row>
        <row r="98">
          <cell r="A98" t="str">
            <v>Bolivia</v>
          </cell>
          <cell r="B98">
            <v>0.96</v>
          </cell>
          <cell r="C98">
            <v>0.04</v>
          </cell>
        </row>
        <row r="99">
          <cell r="A99" t="str">
            <v>Macao</v>
          </cell>
        </row>
        <row r="100">
          <cell r="A100" t="str">
            <v>Portugal</v>
          </cell>
          <cell r="B100">
            <v>0.86</v>
          </cell>
          <cell r="C100">
            <v>0.14000000000000001</v>
          </cell>
        </row>
        <row r="101">
          <cell r="A101" t="str">
            <v>Malta</v>
          </cell>
        </row>
        <row r="102">
          <cell r="A102" t="str">
            <v>Tajikistan</v>
          </cell>
        </row>
        <row r="103">
          <cell r="A103" t="str">
            <v>Colombia</v>
          </cell>
          <cell r="B103">
            <v>0.96</v>
          </cell>
          <cell r="C103">
            <v>0.04</v>
          </cell>
        </row>
        <row r="104">
          <cell r="A104" t="str">
            <v>Morocco</v>
          </cell>
        </row>
        <row r="105">
          <cell r="A105" t="str">
            <v>Cape Verde</v>
          </cell>
        </row>
        <row r="106">
          <cell r="A106" t="str">
            <v>Belgium</v>
          </cell>
          <cell r="B106">
            <v>0.87</v>
          </cell>
          <cell r="C106">
            <v>0.13</v>
          </cell>
        </row>
        <row r="107">
          <cell r="A107" t="str">
            <v>Mauritius</v>
          </cell>
        </row>
        <row r="108">
          <cell r="A108" t="str">
            <v>Indonesia</v>
          </cell>
          <cell r="B108">
            <v>0.95</v>
          </cell>
          <cell r="C108">
            <v>0.05</v>
          </cell>
        </row>
        <row r="109">
          <cell r="A109" t="str">
            <v>Peru</v>
          </cell>
          <cell r="B109">
            <v>0.96</v>
          </cell>
          <cell r="C109">
            <v>0.04</v>
          </cell>
        </row>
        <row r="110">
          <cell r="A110" t="str">
            <v>Palestine</v>
          </cell>
        </row>
        <row r="111">
          <cell r="A111" t="str">
            <v>Puerto Rico</v>
          </cell>
        </row>
        <row r="112">
          <cell r="A112" t="str">
            <v>Greece</v>
          </cell>
          <cell r="B112">
            <v>0.9</v>
          </cell>
          <cell r="C112">
            <v>0.1</v>
          </cell>
        </row>
        <row r="113">
          <cell r="A113" t="str">
            <v>Djibouti</v>
          </cell>
        </row>
        <row r="114">
          <cell r="A114" t="str">
            <v>Libya</v>
          </cell>
        </row>
        <row r="115">
          <cell r="A115" t="str">
            <v>New Zealand</v>
          </cell>
          <cell r="B115">
            <v>0.79</v>
          </cell>
          <cell r="C115">
            <v>0.21</v>
          </cell>
        </row>
        <row r="116">
          <cell r="A116" t="str">
            <v>Papua New Guinea</v>
          </cell>
        </row>
        <row r="117">
          <cell r="A117" t="str">
            <v>Denmark</v>
          </cell>
          <cell r="B117">
            <v>0.78</v>
          </cell>
          <cell r="C117">
            <v>0.22</v>
          </cell>
        </row>
        <row r="118">
          <cell r="A118" t="str">
            <v>France</v>
          </cell>
          <cell r="B118">
            <v>0.91</v>
          </cell>
          <cell r="C118">
            <v>0.09</v>
          </cell>
        </row>
        <row r="119">
          <cell r="A119" t="str">
            <v>Dominican Republic</v>
          </cell>
        </row>
        <row r="120">
          <cell r="A120" t="str">
            <v>South Africa</v>
          </cell>
          <cell r="B120">
            <v>0.89</v>
          </cell>
          <cell r="C120">
            <v>0.11</v>
          </cell>
        </row>
        <row r="121">
          <cell r="A121" t="str">
            <v>Netherlands</v>
          </cell>
          <cell r="B121">
            <v>0.84</v>
          </cell>
          <cell r="C121">
            <v>0.16</v>
          </cell>
        </row>
        <row r="122">
          <cell r="A122" t="str">
            <v>Maldives</v>
          </cell>
        </row>
        <row r="123">
          <cell r="A123" t="str">
            <v>Ireland</v>
          </cell>
          <cell r="B123">
            <v>0.85</v>
          </cell>
          <cell r="C123">
            <v>0.15</v>
          </cell>
        </row>
        <row r="124">
          <cell r="A124" t="str">
            <v>Myanmar (Burma)</v>
          </cell>
        </row>
        <row r="125">
          <cell r="A125" t="str">
            <v>Italy</v>
          </cell>
          <cell r="B125">
            <v>0.95</v>
          </cell>
          <cell r="C125">
            <v>0.05</v>
          </cell>
        </row>
        <row r="126">
          <cell r="A126" t="str">
            <v>St. Kitts &amp; Nevis</v>
          </cell>
        </row>
        <row r="127">
          <cell r="A127" t="str">
            <v>Uganda</v>
          </cell>
        </row>
        <row r="128">
          <cell r="A128" t="str">
            <v>Paraguay</v>
          </cell>
        </row>
        <row r="129">
          <cell r="A129" t="str">
            <v>Yemen</v>
          </cell>
        </row>
        <row r="130">
          <cell r="A130" t="str">
            <v>Nigeria</v>
          </cell>
          <cell r="B130">
            <v>0.9</v>
          </cell>
          <cell r="C130">
            <v>0.1</v>
          </cell>
        </row>
        <row r="131">
          <cell r="A131" t="str">
            <v>Gabon</v>
          </cell>
        </row>
        <row r="132">
          <cell r="A132" t="str">
            <v>United Kingdom</v>
          </cell>
          <cell r="B132">
            <v>0.82</v>
          </cell>
          <cell r="C132">
            <v>0.18</v>
          </cell>
        </row>
        <row r="133">
          <cell r="A133" t="str">
            <v>Burundi</v>
          </cell>
        </row>
        <row r="134">
          <cell r="A134" t="str">
            <v>Trinidad &amp; Tobago</v>
          </cell>
        </row>
        <row r="135">
          <cell r="A135" t="str">
            <v>Spain</v>
          </cell>
          <cell r="B135">
            <v>0.92</v>
          </cell>
          <cell r="C135">
            <v>0.08</v>
          </cell>
        </row>
        <row r="136">
          <cell r="A136" t="str">
            <v>Australia</v>
          </cell>
          <cell r="B136">
            <v>0.76</v>
          </cell>
          <cell r="C136">
            <v>0.24</v>
          </cell>
        </row>
        <row r="137">
          <cell r="A137" t="str">
            <v>Venezuela</v>
          </cell>
          <cell r="B137">
            <v>0.97</v>
          </cell>
          <cell r="C137">
            <v>0.03</v>
          </cell>
        </row>
        <row r="138">
          <cell r="A138" t="str">
            <v>Brunei</v>
          </cell>
        </row>
        <row r="139">
          <cell r="A139" t="str">
            <v>Luxembourg</v>
          </cell>
        </row>
        <row r="140">
          <cell r="A140" t="str">
            <v>Laos</v>
          </cell>
        </row>
        <row r="141">
          <cell r="A141" t="str">
            <v>Algeria</v>
          </cell>
        </row>
        <row r="142">
          <cell r="A142" t="str">
            <v>Andorra</v>
          </cell>
        </row>
        <row r="143">
          <cell r="A143" t="str">
            <v>Kosovo</v>
          </cell>
        </row>
        <row r="144">
          <cell r="A144" t="str">
            <v>Niger</v>
          </cell>
        </row>
        <row r="145">
          <cell r="A145" t="str">
            <v>Tanzania</v>
          </cell>
        </row>
        <row r="146">
          <cell r="A146" t="str">
            <v>Azerbaijan</v>
          </cell>
        </row>
        <row r="147">
          <cell r="A147" t="str">
            <v>Zambia</v>
          </cell>
        </row>
        <row r="148">
          <cell r="A148" t="str">
            <v>Congo - Kinshasa</v>
          </cell>
        </row>
        <row r="149">
          <cell r="A149" t="str">
            <v>Uruguay</v>
          </cell>
        </row>
        <row r="150">
          <cell r="A150" t="str">
            <v>Montenegro</v>
          </cell>
        </row>
        <row r="151">
          <cell r="A151" t="str">
            <v>Tonga</v>
          </cell>
        </row>
        <row r="152">
          <cell r="A152" t="str">
            <v>CÃ´te dâ€™Ivoire</v>
          </cell>
        </row>
        <row r="153">
          <cell r="A153" t="str">
            <v>Brazil</v>
          </cell>
          <cell r="B153">
            <v>0.94</v>
          </cell>
          <cell r="C153">
            <v>0.06</v>
          </cell>
        </row>
        <row r="154">
          <cell r="A154" t="str">
            <v>Guinea</v>
          </cell>
        </row>
        <row r="155">
          <cell r="A155" t="str">
            <v>United Arab Emirates</v>
          </cell>
          <cell r="B155">
            <v>0.87</v>
          </cell>
          <cell r="C155">
            <v>0.13</v>
          </cell>
        </row>
        <row r="156">
          <cell r="A156" t="str">
            <v>Turkmenistan</v>
          </cell>
        </row>
        <row r="157">
          <cell r="A157" t="str">
            <v>French Polynesia</v>
          </cell>
        </row>
        <row r="158">
          <cell r="A158" t="str">
            <v>Haiti</v>
          </cell>
        </row>
        <row r="159">
          <cell r="A159" t="str">
            <v>Thailand</v>
          </cell>
          <cell r="B159">
            <v>0.93</v>
          </cell>
          <cell r="C159">
            <v>7.0000000000000007E-2</v>
          </cell>
        </row>
        <row r="160">
          <cell r="A160" t="str">
            <v>Burkina Faso</v>
          </cell>
        </row>
        <row r="161">
          <cell r="A161" t="str">
            <v>Kuwait</v>
          </cell>
        </row>
        <row r="162">
          <cell r="A162" t="str">
            <v>Senegal</v>
          </cell>
        </row>
        <row r="163">
          <cell r="A163" t="str">
            <v>Congo - Brazzaville</v>
          </cell>
        </row>
        <row r="164">
          <cell r="A164" t="str">
            <v>Chile</v>
          </cell>
          <cell r="B164">
            <v>0.92</v>
          </cell>
          <cell r="C164">
            <v>0.08</v>
          </cell>
        </row>
        <row r="165">
          <cell r="A165" t="str">
            <v>Qatar</v>
          </cell>
        </row>
        <row r="166">
          <cell r="A166" t="str">
            <v>Argentina</v>
          </cell>
          <cell r="B166">
            <v>0.9</v>
          </cell>
          <cell r="C166">
            <v>0.1</v>
          </cell>
        </row>
        <row r="167">
          <cell r="A167" t="str">
            <v>Mozambique</v>
          </cell>
        </row>
        <row r="168">
          <cell r="A168" t="str">
            <v>Iraq</v>
          </cell>
        </row>
        <row r="169">
          <cell r="A169" t="str">
            <v>Turkey</v>
          </cell>
          <cell r="B169">
            <v>0.96</v>
          </cell>
          <cell r="C169">
            <v>0.04</v>
          </cell>
        </row>
        <row r="170">
          <cell r="A170" t="str">
            <v>Namibia</v>
          </cell>
        </row>
        <row r="171">
          <cell r="A171" t="str">
            <v>Mali</v>
          </cell>
        </row>
        <row r="172">
          <cell r="A172" t="str">
            <v>Cayman Islands</v>
          </cell>
        </row>
        <row r="173">
          <cell r="A173" t="str">
            <v>Saudi Arabia</v>
          </cell>
          <cell r="B173">
            <v>0.93</v>
          </cell>
          <cell r="C173">
            <v>7.0000000000000007E-2</v>
          </cell>
        </row>
        <row r="174">
          <cell r="A174" t="str">
            <v>Isle of Man</v>
          </cell>
        </row>
        <row r="175">
          <cell r="A175" t="str">
            <v>Suriname</v>
          </cell>
        </row>
        <row r="176">
          <cell r="A176" t="str">
            <v>Liberia</v>
          </cell>
        </row>
        <row r="177">
          <cell r="A177" t="str">
            <v>Gibraltar</v>
          </cell>
        </row>
        <row r="178">
          <cell r="A178" t="str">
            <v>Mauritania</v>
          </cell>
        </row>
        <row r="179">
          <cell r="A179" t="str">
            <v>Bahamas</v>
          </cell>
        </row>
        <row r="180">
          <cell r="A180" t="str">
            <v>RÃ©union</v>
          </cell>
        </row>
        <row r="181">
          <cell r="A181" t="str">
            <v>French Guiana</v>
          </cell>
        </row>
        <row r="182">
          <cell r="A182" t="str">
            <v>Guam</v>
          </cell>
        </row>
        <row r="183">
          <cell r="A183" t="str">
            <v>Guyana</v>
          </cell>
        </row>
        <row r="184">
          <cell r="A184" t="str">
            <v>Martinique</v>
          </cell>
        </row>
        <row r="185">
          <cell r="A185" t="str">
            <v>Guadeloupe</v>
          </cell>
        </row>
        <row r="186">
          <cell r="A186" t="str">
            <v>Antigua &amp; Barbuda</v>
          </cell>
        </row>
        <row r="187">
          <cell r="A187" t="str">
            <v>Sierra Leone</v>
          </cell>
        </row>
        <row r="188">
          <cell r="A188" t="str">
            <v>South Sudan</v>
          </cell>
        </row>
        <row r="189">
          <cell r="A189" t="str">
            <v>Jersey</v>
          </cell>
        </row>
        <row r="190">
          <cell r="A190" t="str">
            <v>CuraÃ§ao</v>
          </cell>
        </row>
        <row r="191">
          <cell r="A191" t="str">
            <v>North Korea</v>
          </cell>
        </row>
        <row r="192">
          <cell r="A192" t="str">
            <v>British Indian Ocean Territory</v>
          </cell>
        </row>
        <row r="193">
          <cell r="A193" t="str">
            <v>Kiribati</v>
          </cell>
        </row>
        <row r="194">
          <cell r="A194" t="str">
            <v>Svalbard &amp; Jan Mayen</v>
          </cell>
        </row>
        <row r="195">
          <cell r="A195" t="str">
            <v>Micronesia</v>
          </cell>
        </row>
        <row r="196">
          <cell r="A196" t="str">
            <v>Eritrea</v>
          </cell>
        </row>
        <row r="197">
          <cell r="A197" t="str">
            <v>Ã…land Islands</v>
          </cell>
        </row>
        <row r="198">
          <cell r="A198" t="str">
            <v>Liechtenstein</v>
          </cell>
        </row>
        <row r="199">
          <cell r="A199" t="str">
            <v>Solomon Islands</v>
          </cell>
        </row>
        <row r="200">
          <cell r="A200" t="str">
            <v>San Marino</v>
          </cell>
        </row>
        <row r="201">
          <cell r="A201" t="str">
            <v>St. Martin</v>
          </cell>
        </row>
        <row r="202">
          <cell r="A202" t="str">
            <v>Vanuatu</v>
          </cell>
        </row>
        <row r="203">
          <cell r="A203" t="str">
            <v>Dominica</v>
          </cell>
        </row>
        <row r="204">
          <cell r="A204" t="str">
            <v>St. Lucia</v>
          </cell>
        </row>
        <row r="205">
          <cell r="A205" t="str">
            <v>St. Pierre &amp; Miquelon</v>
          </cell>
        </row>
        <row r="206">
          <cell r="A206" t="str">
            <v>Central African Republic</v>
          </cell>
        </row>
        <row r="207">
          <cell r="A207" t="str">
            <v>Chad</v>
          </cell>
        </row>
        <row r="208">
          <cell r="A208" t="str">
            <v>SÃ£o TomÃ© &amp; PrÃ­ncipe</v>
          </cell>
        </row>
        <row r="209">
          <cell r="A209" t="str">
            <v>Samoa</v>
          </cell>
        </row>
        <row r="210">
          <cell r="A210" t="str">
            <v>Guinea-Bissau</v>
          </cell>
        </row>
        <row r="211">
          <cell r="A211" t="str">
            <v>Anguilla</v>
          </cell>
        </row>
        <row r="212">
          <cell r="A212" t="str">
            <v>American Samoa</v>
          </cell>
        </row>
        <row r="213">
          <cell r="A213" t="str">
            <v>British Virgin Islands</v>
          </cell>
        </row>
        <row r="214">
          <cell r="A214" t="str">
            <v>Equatorial Guinea</v>
          </cell>
        </row>
        <row r="215">
          <cell r="A215" t="str">
            <v>Turks &amp; Caicos Islands</v>
          </cell>
        </row>
        <row r="216">
          <cell r="A216" t="str">
            <v>Seychelles</v>
          </cell>
        </row>
        <row r="217">
          <cell r="A217" t="str">
            <v>Comoros</v>
          </cell>
        </row>
        <row r="218">
          <cell r="A218" t="str">
            <v>Bermuda</v>
          </cell>
        </row>
        <row r="219">
          <cell r="A219" t="str">
            <v>Northern Mariana Islands</v>
          </cell>
        </row>
        <row r="220">
          <cell r="A220" t="str">
            <v>Greenland</v>
          </cell>
        </row>
        <row r="221">
          <cell r="A221" t="str">
            <v>Monaco</v>
          </cell>
        </row>
        <row r="222">
          <cell r="A222" t="str">
            <v>Gambia</v>
          </cell>
        </row>
        <row r="223">
          <cell r="A223" t="str">
            <v>Caribbean Netherlands</v>
          </cell>
        </row>
        <row r="224">
          <cell r="A224" t="str">
            <v>Guernsey</v>
          </cell>
        </row>
        <row r="225">
          <cell r="A225" t="str">
            <v>St. BarthÃ©lemy</v>
          </cell>
        </row>
        <row r="226">
          <cell r="A226" t="str">
            <v>Timor-Leste</v>
          </cell>
        </row>
        <row r="227">
          <cell r="A227" t="str">
            <v>U.S. Virgin Islands</v>
          </cell>
        </row>
        <row r="228">
          <cell r="A228" t="str">
            <v>Mayotte</v>
          </cell>
        </row>
        <row r="229">
          <cell r="A229" t="str">
            <v>New Caledonia</v>
          </cell>
        </row>
        <row r="230">
          <cell r="A230" t="str">
            <v>Sint Maarten</v>
          </cell>
        </row>
        <row r="231">
          <cell r="A231" t="str">
            <v>Aruba</v>
          </cell>
        </row>
        <row r="232">
          <cell r="A232" t="str">
            <v>Antarctica</v>
          </cell>
        </row>
        <row r="233">
          <cell r="A233" t="str">
            <v>French Southern Territories</v>
          </cell>
        </row>
        <row r="234">
          <cell r="A234" t="str">
            <v>Bouvet Island</v>
          </cell>
        </row>
        <row r="235">
          <cell r="A235" t="str">
            <v>Cocos (Keeling) Islands</v>
          </cell>
        </row>
        <row r="236">
          <cell r="A236" t="str">
            <v>Cook Islands</v>
          </cell>
        </row>
        <row r="237">
          <cell r="A237" t="str">
            <v>Christmas Island</v>
          </cell>
        </row>
        <row r="238">
          <cell r="A238" t="str">
            <v>Western Sahara</v>
          </cell>
        </row>
        <row r="239">
          <cell r="A239" t="str">
            <v>Falkland Islands (Islas Malvinas)</v>
          </cell>
        </row>
        <row r="240">
          <cell r="A240" t="str">
            <v>Heard &amp; McDonald Islands</v>
          </cell>
        </row>
        <row r="241">
          <cell r="A241" t="str">
            <v>Marshall Islands</v>
          </cell>
        </row>
        <row r="242">
          <cell r="A242" t="str">
            <v>Montserrat</v>
          </cell>
        </row>
        <row r="243">
          <cell r="A243" t="str">
            <v>Norfolk Island</v>
          </cell>
        </row>
        <row r="244">
          <cell r="A244" t="str">
            <v>Niue</v>
          </cell>
        </row>
        <row r="245">
          <cell r="A245" t="str">
            <v>Nauru</v>
          </cell>
        </row>
        <row r="246">
          <cell r="A246" t="str">
            <v>Pitcairn Islands</v>
          </cell>
        </row>
        <row r="247">
          <cell r="A247" t="str">
            <v>Palau</v>
          </cell>
        </row>
        <row r="248">
          <cell r="A248" t="str">
            <v>South Georgia &amp; South Sandwich Islands</v>
          </cell>
        </row>
        <row r="249">
          <cell r="A249" t="str">
            <v>Tokelau</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2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8)"/>
    </sheetNames>
    <sheetDataSet>
      <sheetData sheetId="0">
        <row r="1">
          <cell r="A1" t="str">
            <v>Kategori: TÃ¼m kategoriler</v>
          </cell>
        </row>
        <row r="3">
          <cell r="A3" t="str">
            <v>Ãœlke</v>
          </cell>
          <cell r="B3" t="str">
            <v>ReactJS: (2015)</v>
          </cell>
          <cell r="C3" t="str">
            <v>Ä°ÅŸlemci Ã¶nbelleÄŸi: (2015)</v>
          </cell>
        </row>
        <row r="4">
          <cell r="A4" t="str">
            <v>China</v>
          </cell>
          <cell r="B4">
            <v>0.38</v>
          </cell>
          <cell r="C4">
            <v>0.62</v>
          </cell>
        </row>
        <row r="5">
          <cell r="A5" t="str">
            <v>Cuba</v>
          </cell>
        </row>
        <row r="6">
          <cell r="A6" t="str">
            <v>Belarus</v>
          </cell>
          <cell r="B6">
            <v>0.11</v>
          </cell>
          <cell r="C6">
            <v>0.89</v>
          </cell>
        </row>
        <row r="7">
          <cell r="A7" t="str">
            <v>Gibraltar</v>
          </cell>
        </row>
        <row r="8">
          <cell r="A8" t="str">
            <v>St. Helena</v>
          </cell>
        </row>
        <row r="9">
          <cell r="A9" t="str">
            <v>Russia</v>
          </cell>
          <cell r="B9">
            <v>7.0000000000000007E-2</v>
          </cell>
          <cell r="C9">
            <v>0.93</v>
          </cell>
        </row>
        <row r="10">
          <cell r="A10" t="str">
            <v>Ukraine</v>
          </cell>
          <cell r="B10">
            <v>0.1</v>
          </cell>
          <cell r="C10">
            <v>0.9</v>
          </cell>
        </row>
        <row r="11">
          <cell r="A11" t="str">
            <v>Turkmenistan</v>
          </cell>
        </row>
        <row r="12">
          <cell r="A12" t="str">
            <v>Uzbekistan</v>
          </cell>
        </row>
        <row r="13">
          <cell r="A13" t="str">
            <v>Kazakhstan</v>
          </cell>
        </row>
        <row r="14">
          <cell r="A14" t="str">
            <v>Malta</v>
          </cell>
        </row>
        <row r="15">
          <cell r="A15" t="str">
            <v>Singapore</v>
          </cell>
          <cell r="B15">
            <v>0.18</v>
          </cell>
          <cell r="C15">
            <v>0.82</v>
          </cell>
        </row>
        <row r="16">
          <cell r="A16" t="str">
            <v>Iceland</v>
          </cell>
        </row>
        <row r="17">
          <cell r="A17" t="str">
            <v>Estonia</v>
          </cell>
          <cell r="B17">
            <v>0.19</v>
          </cell>
          <cell r="C17">
            <v>0.81</v>
          </cell>
        </row>
        <row r="18">
          <cell r="A18" t="str">
            <v>Hong Kong</v>
          </cell>
          <cell r="B18">
            <v>0.24</v>
          </cell>
          <cell r="C18">
            <v>0.76</v>
          </cell>
        </row>
        <row r="19">
          <cell r="A19" t="str">
            <v>New Zealand</v>
          </cell>
          <cell r="B19">
            <v>0.15</v>
          </cell>
          <cell r="C19">
            <v>0.85</v>
          </cell>
        </row>
        <row r="20">
          <cell r="A20" t="str">
            <v>Japan</v>
          </cell>
          <cell r="B20">
            <v>0.06</v>
          </cell>
          <cell r="C20">
            <v>0.94</v>
          </cell>
        </row>
        <row r="21">
          <cell r="A21" t="str">
            <v>Bermuda</v>
          </cell>
        </row>
        <row r="22">
          <cell r="A22" t="str">
            <v>Dominica</v>
          </cell>
        </row>
        <row r="23">
          <cell r="A23" t="str">
            <v>Barbados</v>
          </cell>
        </row>
        <row r="24">
          <cell r="A24" t="str">
            <v>South Korea</v>
          </cell>
          <cell r="B24">
            <v>0.14000000000000001</v>
          </cell>
          <cell r="C24">
            <v>0.86</v>
          </cell>
        </row>
        <row r="25">
          <cell r="A25" t="str">
            <v>Kyrgyzstan</v>
          </cell>
        </row>
        <row r="26">
          <cell r="A26" t="str">
            <v>Luxembourg</v>
          </cell>
        </row>
        <row r="27">
          <cell r="A27" t="str">
            <v>Guernsey</v>
          </cell>
        </row>
        <row r="28">
          <cell r="A28" t="str">
            <v>Canada</v>
          </cell>
          <cell r="B28">
            <v>0.16</v>
          </cell>
          <cell r="C28">
            <v>0.84</v>
          </cell>
        </row>
        <row r="29">
          <cell r="A29" t="str">
            <v>CuraÃ§ao</v>
          </cell>
        </row>
        <row r="30">
          <cell r="A30" t="str">
            <v>Ireland</v>
          </cell>
          <cell r="B30">
            <v>0.11</v>
          </cell>
          <cell r="C30">
            <v>0.89</v>
          </cell>
        </row>
        <row r="31">
          <cell r="A31" t="str">
            <v>Liechtenstein</v>
          </cell>
        </row>
        <row r="32">
          <cell r="A32" t="str">
            <v>Grenada</v>
          </cell>
        </row>
        <row r="33">
          <cell r="A33" t="str">
            <v>Ã…land Islands</v>
          </cell>
        </row>
        <row r="34">
          <cell r="A34" t="str">
            <v>United States</v>
          </cell>
          <cell r="B34">
            <v>0.17</v>
          </cell>
          <cell r="C34">
            <v>0.83</v>
          </cell>
        </row>
        <row r="35">
          <cell r="A35" t="str">
            <v>Australia</v>
          </cell>
          <cell r="B35">
            <v>0.17</v>
          </cell>
          <cell r="C35">
            <v>0.83</v>
          </cell>
        </row>
        <row r="36">
          <cell r="A36" t="str">
            <v>Philippines</v>
          </cell>
          <cell r="B36">
            <v>0.14000000000000001</v>
          </cell>
          <cell r="C36">
            <v>0.86</v>
          </cell>
        </row>
        <row r="37">
          <cell r="A37" t="str">
            <v>Latvia</v>
          </cell>
          <cell r="B37">
            <v>0.16</v>
          </cell>
          <cell r="C37">
            <v>0.84</v>
          </cell>
        </row>
        <row r="38">
          <cell r="A38" t="str">
            <v>Netherlands</v>
          </cell>
          <cell r="B38">
            <v>0.13</v>
          </cell>
          <cell r="C38">
            <v>0.87</v>
          </cell>
        </row>
        <row r="39">
          <cell r="A39" t="str">
            <v>U.S. Virgin Islands</v>
          </cell>
        </row>
        <row r="40">
          <cell r="A40" t="str">
            <v>Switzerland</v>
          </cell>
          <cell r="B40">
            <v>0.12</v>
          </cell>
          <cell r="C40">
            <v>0.88</v>
          </cell>
        </row>
        <row r="41">
          <cell r="A41" t="str">
            <v>Germany</v>
          </cell>
          <cell r="B41">
            <v>0.09</v>
          </cell>
          <cell r="C41">
            <v>0.91</v>
          </cell>
        </row>
        <row r="42">
          <cell r="A42" t="str">
            <v>Cayman Islands</v>
          </cell>
        </row>
        <row r="43">
          <cell r="A43" t="str">
            <v>Moldova</v>
          </cell>
        </row>
        <row r="44">
          <cell r="A44" t="str">
            <v>Mauritius</v>
          </cell>
        </row>
        <row r="45">
          <cell r="A45" t="str">
            <v>Sweden</v>
          </cell>
          <cell r="B45">
            <v>0.23</v>
          </cell>
          <cell r="C45">
            <v>0.77</v>
          </cell>
        </row>
        <row r="46">
          <cell r="A46" t="str">
            <v>United Kingdom</v>
          </cell>
          <cell r="B46">
            <v>0.13</v>
          </cell>
          <cell r="C46">
            <v>0.87</v>
          </cell>
        </row>
        <row r="47">
          <cell r="A47" t="str">
            <v>Madagascar</v>
          </cell>
        </row>
        <row r="48">
          <cell r="A48" t="str">
            <v>Tajikistan</v>
          </cell>
        </row>
        <row r="49">
          <cell r="A49" t="str">
            <v>Finland</v>
          </cell>
          <cell r="B49">
            <v>0.24</v>
          </cell>
          <cell r="C49">
            <v>0.76</v>
          </cell>
        </row>
        <row r="50">
          <cell r="A50" t="str">
            <v>Nepal</v>
          </cell>
        </row>
        <row r="51">
          <cell r="A51" t="str">
            <v>Guyana</v>
          </cell>
        </row>
        <row r="52">
          <cell r="A52" t="str">
            <v>Isle of Man</v>
          </cell>
        </row>
        <row r="53">
          <cell r="A53" t="str">
            <v>Trinidad &amp; Tobago</v>
          </cell>
        </row>
        <row r="54">
          <cell r="A54" t="str">
            <v>Czechia</v>
          </cell>
          <cell r="B54">
            <v>0.25</v>
          </cell>
          <cell r="C54">
            <v>0.75</v>
          </cell>
        </row>
        <row r="55">
          <cell r="A55" t="str">
            <v>Maldives</v>
          </cell>
        </row>
        <row r="56">
          <cell r="A56" t="str">
            <v>Jamaica</v>
          </cell>
        </row>
        <row r="57">
          <cell r="A57" t="str">
            <v>Jersey</v>
          </cell>
        </row>
        <row r="58">
          <cell r="A58" t="str">
            <v>Austria</v>
          </cell>
          <cell r="B58">
            <v>0.13</v>
          </cell>
          <cell r="C58">
            <v>0.87</v>
          </cell>
        </row>
        <row r="59">
          <cell r="A59" t="str">
            <v>Caribbean Netherlands</v>
          </cell>
        </row>
        <row r="60">
          <cell r="A60" t="str">
            <v>Eswatini</v>
          </cell>
        </row>
        <row r="61">
          <cell r="A61" t="str">
            <v>Belgium</v>
          </cell>
          <cell r="B61">
            <v>0.13</v>
          </cell>
          <cell r="C61">
            <v>0.87</v>
          </cell>
        </row>
        <row r="62">
          <cell r="A62" t="str">
            <v>Aruba</v>
          </cell>
        </row>
        <row r="63">
          <cell r="A63" t="str">
            <v>Denmark</v>
          </cell>
          <cell r="B63">
            <v>0.2</v>
          </cell>
          <cell r="C63">
            <v>0.8</v>
          </cell>
        </row>
        <row r="64">
          <cell r="A64" t="str">
            <v>Norway</v>
          </cell>
          <cell r="B64">
            <v>0.28999999999999998</v>
          </cell>
          <cell r="C64">
            <v>0.71</v>
          </cell>
        </row>
        <row r="65">
          <cell r="A65" t="str">
            <v>India</v>
          </cell>
          <cell r="B65">
            <v>0.1</v>
          </cell>
          <cell r="C65">
            <v>0.9</v>
          </cell>
        </row>
        <row r="66">
          <cell r="A66" t="str">
            <v>Israel</v>
          </cell>
          <cell r="B66">
            <v>0.22</v>
          </cell>
          <cell r="C66">
            <v>0.78</v>
          </cell>
        </row>
        <row r="67">
          <cell r="A67" t="str">
            <v>Portugal</v>
          </cell>
          <cell r="B67">
            <v>0.15</v>
          </cell>
          <cell r="C67">
            <v>0.85</v>
          </cell>
        </row>
        <row r="68">
          <cell r="A68" t="str">
            <v>North Macedonia</v>
          </cell>
        </row>
        <row r="69">
          <cell r="A69" t="str">
            <v>Belize</v>
          </cell>
        </row>
        <row r="70">
          <cell r="A70" t="str">
            <v>Macao</v>
          </cell>
        </row>
        <row r="71">
          <cell r="A71" t="str">
            <v>Cyprus</v>
          </cell>
        </row>
        <row r="72">
          <cell r="A72" t="str">
            <v>Tunisia</v>
          </cell>
        </row>
        <row r="73">
          <cell r="A73" t="str">
            <v>Bulgaria</v>
          </cell>
          <cell r="B73">
            <v>0.15</v>
          </cell>
          <cell r="C73">
            <v>0.85</v>
          </cell>
        </row>
        <row r="74">
          <cell r="A74" t="str">
            <v>Faroe Islands</v>
          </cell>
        </row>
        <row r="75">
          <cell r="A75" t="str">
            <v>Guam</v>
          </cell>
        </row>
        <row r="76">
          <cell r="A76" t="str">
            <v>St. Vincent &amp; Grenadines</v>
          </cell>
        </row>
        <row r="77">
          <cell r="A77" t="str">
            <v>Lebanon</v>
          </cell>
        </row>
        <row r="78">
          <cell r="A78" t="str">
            <v>Fiji</v>
          </cell>
        </row>
        <row r="79">
          <cell r="A79" t="str">
            <v>Antigua &amp; Barbuda</v>
          </cell>
        </row>
        <row r="80">
          <cell r="A80" t="str">
            <v>Bahamas</v>
          </cell>
        </row>
        <row r="81">
          <cell r="A81" t="str">
            <v>Sri Lanka</v>
          </cell>
        </row>
        <row r="82">
          <cell r="A82" t="str">
            <v>French Polynesia</v>
          </cell>
        </row>
        <row r="83">
          <cell r="A83" t="str">
            <v>Spain</v>
          </cell>
          <cell r="B83">
            <v>0.08</v>
          </cell>
          <cell r="C83">
            <v>0.92</v>
          </cell>
        </row>
        <row r="84">
          <cell r="A84" t="str">
            <v>Lithuania</v>
          </cell>
          <cell r="B84">
            <v>0.19</v>
          </cell>
          <cell r="C84">
            <v>0.81</v>
          </cell>
        </row>
        <row r="85">
          <cell r="A85" t="str">
            <v>Romania</v>
          </cell>
          <cell r="B85">
            <v>0.18</v>
          </cell>
          <cell r="C85">
            <v>0.82</v>
          </cell>
        </row>
        <row r="86">
          <cell r="A86" t="str">
            <v>Papua New Guinea</v>
          </cell>
        </row>
        <row r="87">
          <cell r="A87" t="str">
            <v>Monaco</v>
          </cell>
        </row>
        <row r="88">
          <cell r="A88" t="str">
            <v>Costa Rica</v>
          </cell>
        </row>
        <row r="89">
          <cell r="A89" t="str">
            <v>South Africa</v>
          </cell>
          <cell r="B89">
            <v>0.13</v>
          </cell>
          <cell r="C89">
            <v>0.87</v>
          </cell>
        </row>
        <row r="90">
          <cell r="A90" t="str">
            <v>Malaysia</v>
          </cell>
          <cell r="B90">
            <v>0.11</v>
          </cell>
          <cell r="C90">
            <v>0.89</v>
          </cell>
        </row>
        <row r="91">
          <cell r="A91" t="str">
            <v>Zimbabwe</v>
          </cell>
        </row>
        <row r="92">
          <cell r="A92" t="str">
            <v>Hungary</v>
          </cell>
          <cell r="B92">
            <v>0.13</v>
          </cell>
          <cell r="C92">
            <v>0.87</v>
          </cell>
        </row>
        <row r="93">
          <cell r="A93" t="str">
            <v>Botswana</v>
          </cell>
        </row>
        <row r="94">
          <cell r="A94" t="str">
            <v>Ghana</v>
          </cell>
        </row>
        <row r="95">
          <cell r="A95" t="str">
            <v>Taiwan</v>
          </cell>
          <cell r="B95">
            <v>0.22</v>
          </cell>
          <cell r="C95">
            <v>0.78</v>
          </cell>
        </row>
        <row r="96">
          <cell r="A96" t="str">
            <v>Slovenia</v>
          </cell>
        </row>
        <row r="97">
          <cell r="A97" t="str">
            <v>Bangladesh</v>
          </cell>
          <cell r="B97">
            <v>0.15</v>
          </cell>
          <cell r="C97">
            <v>0.85</v>
          </cell>
        </row>
        <row r="98">
          <cell r="A98" t="str">
            <v>Italy</v>
          </cell>
          <cell r="B98">
            <v>0.06</v>
          </cell>
          <cell r="C98">
            <v>0.94</v>
          </cell>
        </row>
        <row r="99">
          <cell r="A99" t="str">
            <v>Armenia</v>
          </cell>
        </row>
        <row r="100">
          <cell r="A100" t="str">
            <v>St. Lucia</v>
          </cell>
        </row>
        <row r="101">
          <cell r="A101" t="str">
            <v>Pakistan</v>
          </cell>
          <cell r="B101">
            <v>0.06</v>
          </cell>
          <cell r="C101">
            <v>0.94</v>
          </cell>
        </row>
        <row r="102">
          <cell r="A102" t="str">
            <v>Brunei</v>
          </cell>
        </row>
        <row r="103">
          <cell r="A103" t="str">
            <v>United Arab Emirates</v>
          </cell>
          <cell r="B103">
            <v>0.13</v>
          </cell>
          <cell r="C103">
            <v>0.87</v>
          </cell>
        </row>
        <row r="104">
          <cell r="A104" t="str">
            <v>Rwanda</v>
          </cell>
        </row>
        <row r="105">
          <cell r="A105" t="str">
            <v>El Salvador</v>
          </cell>
        </row>
        <row r="106">
          <cell r="A106" t="str">
            <v>Thailand</v>
          </cell>
          <cell r="B106">
            <v>0.06</v>
          </cell>
          <cell r="C106">
            <v>0.94</v>
          </cell>
        </row>
        <row r="107">
          <cell r="A107" t="str">
            <v>Kenya</v>
          </cell>
          <cell r="B107">
            <v>0.11</v>
          </cell>
          <cell r="C107">
            <v>0.89</v>
          </cell>
        </row>
        <row r="108">
          <cell r="A108" t="str">
            <v>Bhutan</v>
          </cell>
        </row>
        <row r="109">
          <cell r="A109" t="str">
            <v>Slovakia</v>
          </cell>
          <cell r="B109">
            <v>0.19</v>
          </cell>
          <cell r="C109">
            <v>0.81</v>
          </cell>
        </row>
        <row r="110">
          <cell r="A110" t="str">
            <v>Brazil</v>
          </cell>
          <cell r="B110">
            <v>0.06</v>
          </cell>
          <cell r="C110">
            <v>0.94</v>
          </cell>
        </row>
        <row r="111">
          <cell r="A111" t="str">
            <v>France</v>
          </cell>
          <cell r="B111">
            <v>0.12</v>
          </cell>
          <cell r="C111">
            <v>0.88</v>
          </cell>
        </row>
        <row r="112">
          <cell r="A112" t="str">
            <v>Croatia</v>
          </cell>
          <cell r="B112">
            <v>0.2</v>
          </cell>
          <cell r="C112">
            <v>0.8</v>
          </cell>
        </row>
        <row r="113">
          <cell r="A113" t="str">
            <v>Uruguay</v>
          </cell>
        </row>
        <row r="114">
          <cell r="A114" t="str">
            <v>Cameroon</v>
          </cell>
        </row>
        <row r="115">
          <cell r="A115" t="str">
            <v>Honduras</v>
          </cell>
        </row>
        <row r="116">
          <cell r="A116" t="str">
            <v>Peru</v>
          </cell>
          <cell r="B116">
            <v>0.06</v>
          </cell>
          <cell r="C116">
            <v>0.94</v>
          </cell>
        </row>
        <row r="117">
          <cell r="A117" t="str">
            <v>New Caledonia</v>
          </cell>
        </row>
        <row r="118">
          <cell r="A118" t="str">
            <v>RÃ©union</v>
          </cell>
        </row>
        <row r="119">
          <cell r="A119" t="str">
            <v>Poland</v>
          </cell>
          <cell r="B119">
            <v>0.15</v>
          </cell>
          <cell r="C119">
            <v>0.85</v>
          </cell>
        </row>
        <row r="120">
          <cell r="A120" t="str">
            <v>Andorra</v>
          </cell>
        </row>
        <row r="121">
          <cell r="A121" t="str">
            <v>Solomon Islands</v>
          </cell>
        </row>
        <row r="122">
          <cell r="A122" t="str">
            <v>Panama</v>
          </cell>
        </row>
        <row r="123">
          <cell r="A123" t="str">
            <v>Nicaragua</v>
          </cell>
        </row>
        <row r="124">
          <cell r="A124" t="str">
            <v>Niger</v>
          </cell>
        </row>
        <row r="125">
          <cell r="A125" t="str">
            <v>Haiti</v>
          </cell>
        </row>
        <row r="126">
          <cell r="A126" t="str">
            <v>Georgia</v>
          </cell>
        </row>
        <row r="127">
          <cell r="A127" t="str">
            <v>Cape Verde</v>
          </cell>
        </row>
        <row r="128">
          <cell r="A128" t="str">
            <v>Myanmar (Burma)</v>
          </cell>
        </row>
        <row r="129">
          <cell r="A129" t="str">
            <v>Vanuatu</v>
          </cell>
        </row>
        <row r="130">
          <cell r="A130" t="str">
            <v>Argentina</v>
          </cell>
          <cell r="B130">
            <v>0.09</v>
          </cell>
          <cell r="C130">
            <v>0.91</v>
          </cell>
        </row>
        <row r="131">
          <cell r="A131" t="str">
            <v>Mexico</v>
          </cell>
          <cell r="B131">
            <v>7.0000000000000007E-2</v>
          </cell>
          <cell r="C131">
            <v>0.93</v>
          </cell>
        </row>
        <row r="132">
          <cell r="A132" t="str">
            <v>Qatar</v>
          </cell>
        </row>
        <row r="133">
          <cell r="A133" t="str">
            <v>Dominican Republic</v>
          </cell>
        </row>
        <row r="134">
          <cell r="A134" t="str">
            <v>Guatemala</v>
          </cell>
        </row>
        <row r="135">
          <cell r="A135" t="str">
            <v>Greece</v>
          </cell>
          <cell r="B135">
            <v>0.15</v>
          </cell>
          <cell r="C135">
            <v>0.85</v>
          </cell>
        </row>
        <row r="136">
          <cell r="A136" t="str">
            <v>Cambodia</v>
          </cell>
        </row>
        <row r="137">
          <cell r="A137" t="str">
            <v>Puerto Rico</v>
          </cell>
        </row>
        <row r="138">
          <cell r="A138" t="str">
            <v>Malawi</v>
          </cell>
        </row>
        <row r="139">
          <cell r="A139" t="str">
            <v>Serbia</v>
          </cell>
          <cell r="B139">
            <v>0.19</v>
          </cell>
          <cell r="C139">
            <v>0.81</v>
          </cell>
        </row>
        <row r="140">
          <cell r="A140" t="str">
            <v>Somalia</v>
          </cell>
        </row>
        <row r="141">
          <cell r="A141" t="str">
            <v>Paraguay</v>
          </cell>
        </row>
        <row r="142">
          <cell r="A142" t="str">
            <v>Indonesia</v>
          </cell>
          <cell r="B142">
            <v>0.08</v>
          </cell>
          <cell r="C142">
            <v>0.92</v>
          </cell>
        </row>
        <row r="143">
          <cell r="A143" t="str">
            <v>Bahrain</v>
          </cell>
        </row>
        <row r="144">
          <cell r="A144" t="str">
            <v>Mongolia</v>
          </cell>
        </row>
        <row r="145">
          <cell r="A145" t="str">
            <v>Colombia</v>
          </cell>
          <cell r="B145">
            <v>7.0000000000000007E-2</v>
          </cell>
          <cell r="C145">
            <v>0.93</v>
          </cell>
        </row>
        <row r="146">
          <cell r="A146" t="str">
            <v>Laos</v>
          </cell>
        </row>
        <row r="147">
          <cell r="A147" t="str">
            <v>French Guiana</v>
          </cell>
        </row>
        <row r="148">
          <cell r="A148" t="str">
            <v>Zambia</v>
          </cell>
        </row>
        <row r="149">
          <cell r="A149" t="str">
            <v>Mozambique</v>
          </cell>
        </row>
        <row r="150">
          <cell r="A150" t="str">
            <v>Namibia</v>
          </cell>
        </row>
        <row r="151">
          <cell r="A151" t="str">
            <v>Uganda</v>
          </cell>
        </row>
        <row r="152">
          <cell r="A152" t="str">
            <v>Ecuador</v>
          </cell>
        </row>
        <row r="153">
          <cell r="A153" t="str">
            <v>Chile</v>
          </cell>
          <cell r="B153">
            <v>0.09</v>
          </cell>
          <cell r="C153">
            <v>0.91</v>
          </cell>
        </row>
        <row r="154">
          <cell r="A154" t="str">
            <v>Afghanistan</v>
          </cell>
        </row>
        <row r="155">
          <cell r="A155" t="str">
            <v>Nigeria</v>
          </cell>
          <cell r="B155">
            <v>0.16</v>
          </cell>
          <cell r="C155">
            <v>0.84</v>
          </cell>
        </row>
        <row r="156">
          <cell r="A156" t="str">
            <v>Ethiopia</v>
          </cell>
        </row>
        <row r="157">
          <cell r="A157" t="str">
            <v>Albania</v>
          </cell>
        </row>
        <row r="158">
          <cell r="A158" t="str">
            <v>Venezuela</v>
          </cell>
          <cell r="B158">
            <v>0.05</v>
          </cell>
          <cell r="C158">
            <v>0.95</v>
          </cell>
        </row>
        <row r="159">
          <cell r="A159" t="str">
            <v>Bosnia &amp; Herzegovina</v>
          </cell>
        </row>
        <row r="160">
          <cell r="A160" t="str">
            <v>Togo</v>
          </cell>
        </row>
        <row r="161">
          <cell r="A161" t="str">
            <v>Montenegro</v>
          </cell>
        </row>
        <row r="162">
          <cell r="A162" t="str">
            <v>Gabon</v>
          </cell>
        </row>
        <row r="163">
          <cell r="A163" t="str">
            <v>Suriname</v>
          </cell>
        </row>
        <row r="164">
          <cell r="A164" t="str">
            <v>Guadeloupe</v>
          </cell>
        </row>
        <row r="165">
          <cell r="A165" t="str">
            <v>Senegal</v>
          </cell>
        </row>
        <row r="166">
          <cell r="A166" t="str">
            <v>Martinique</v>
          </cell>
        </row>
        <row r="167">
          <cell r="A167" t="str">
            <v>Morocco</v>
          </cell>
        </row>
        <row r="168">
          <cell r="A168" t="str">
            <v>Vietnam</v>
          </cell>
          <cell r="B168">
            <v>0.15</v>
          </cell>
          <cell r="C168">
            <v>0.85</v>
          </cell>
        </row>
        <row r="169">
          <cell r="A169" t="str">
            <v>Mayotte</v>
          </cell>
        </row>
        <row r="170">
          <cell r="A170" t="str">
            <v>Congo - Brazzaville</v>
          </cell>
        </row>
        <row r="171">
          <cell r="A171" t="str">
            <v>Lesotho</v>
          </cell>
        </row>
        <row r="172">
          <cell r="A172" t="str">
            <v>Kosovo</v>
          </cell>
        </row>
        <row r="173">
          <cell r="A173" t="str">
            <v>Kuwait</v>
          </cell>
        </row>
        <row r="174">
          <cell r="A174" t="str">
            <v>CÃ´te dâ€™Ivoire</v>
          </cell>
        </row>
        <row r="175">
          <cell r="A175" t="str">
            <v>Congo - Kinshasa</v>
          </cell>
        </row>
        <row r="176">
          <cell r="A176" t="str">
            <v>Angola</v>
          </cell>
        </row>
        <row r="177">
          <cell r="A177" t="str">
            <v>Iran</v>
          </cell>
          <cell r="B177">
            <v>0.06</v>
          </cell>
          <cell r="C177">
            <v>0.94</v>
          </cell>
        </row>
        <row r="178">
          <cell r="A178" t="str">
            <v>Bolivia</v>
          </cell>
          <cell r="B178">
            <v>0.11</v>
          </cell>
          <cell r="C178">
            <v>0.89</v>
          </cell>
        </row>
        <row r="179">
          <cell r="A179" t="str">
            <v>Azerbaijan</v>
          </cell>
        </row>
        <row r="180">
          <cell r="A180" t="str">
            <v>Jordan</v>
          </cell>
        </row>
        <row r="181">
          <cell r="A181" t="str">
            <v>Oman</v>
          </cell>
        </row>
        <row r="182">
          <cell r="A182" t="str">
            <v>Benin</v>
          </cell>
        </row>
        <row r="183">
          <cell r="A183" t="str">
            <v>Burkina Faso</v>
          </cell>
        </row>
        <row r="184">
          <cell r="A184" t="str">
            <v>Algeria</v>
          </cell>
        </row>
        <row r="185">
          <cell r="A185" t="str">
            <v>Djibouti</v>
          </cell>
        </row>
        <row r="186">
          <cell r="A186" t="str">
            <v>Tanzania</v>
          </cell>
        </row>
        <row r="187">
          <cell r="A187" t="str">
            <v>Egypt</v>
          </cell>
          <cell r="B187">
            <v>0.12</v>
          </cell>
          <cell r="C187">
            <v>0.88</v>
          </cell>
        </row>
        <row r="188">
          <cell r="A188" t="str">
            <v>Mali</v>
          </cell>
        </row>
        <row r="189">
          <cell r="A189" t="str">
            <v>Syria</v>
          </cell>
        </row>
        <row r="190">
          <cell r="A190" t="str">
            <v>Palestine</v>
          </cell>
        </row>
        <row r="191">
          <cell r="A191" t="str">
            <v>Saudi Arabia</v>
          </cell>
          <cell r="B191">
            <v>0.15</v>
          </cell>
          <cell r="C191">
            <v>0.85</v>
          </cell>
        </row>
        <row r="192">
          <cell r="A192" t="str">
            <v>Turkey</v>
          </cell>
          <cell r="B192">
            <v>0.12</v>
          </cell>
          <cell r="C192">
            <v>0.88</v>
          </cell>
        </row>
        <row r="193">
          <cell r="A193" t="str">
            <v>Yemen</v>
          </cell>
        </row>
        <row r="194">
          <cell r="A194" t="str">
            <v>Sudan</v>
          </cell>
        </row>
        <row r="195">
          <cell r="A195" t="str">
            <v>Mauritania</v>
          </cell>
        </row>
        <row r="196">
          <cell r="A196" t="str">
            <v>Libya</v>
          </cell>
        </row>
        <row r="197">
          <cell r="A197" t="str">
            <v>Guinea</v>
          </cell>
        </row>
        <row r="198">
          <cell r="A198" t="str">
            <v>Iraq</v>
          </cell>
        </row>
        <row r="199">
          <cell r="A199" t="str">
            <v>North Korea</v>
          </cell>
        </row>
        <row r="200">
          <cell r="A200" t="str">
            <v>British Indian Ocean Territory</v>
          </cell>
        </row>
        <row r="201">
          <cell r="A201" t="str">
            <v>Svalbard &amp; Jan Mayen</v>
          </cell>
        </row>
        <row r="202">
          <cell r="A202" t="str">
            <v>Palau</v>
          </cell>
        </row>
        <row r="203">
          <cell r="A203" t="str">
            <v>Cook Islands</v>
          </cell>
        </row>
        <row r="204">
          <cell r="A204" t="str">
            <v>American Samoa</v>
          </cell>
        </row>
        <row r="205">
          <cell r="A205" t="str">
            <v>Seychelles</v>
          </cell>
        </row>
        <row r="206">
          <cell r="A206" t="str">
            <v>St. Martin</v>
          </cell>
        </row>
        <row r="207">
          <cell r="A207" t="str">
            <v>Northern Mariana Islands</v>
          </cell>
        </row>
        <row r="208">
          <cell r="A208" t="str">
            <v>St. BarthÃ©lemy</v>
          </cell>
        </row>
        <row r="209">
          <cell r="A209" t="str">
            <v>Chad</v>
          </cell>
        </row>
        <row r="210">
          <cell r="A210" t="str">
            <v>Greenland</v>
          </cell>
        </row>
        <row r="211">
          <cell r="A211" t="str">
            <v>Sint Maarten</v>
          </cell>
        </row>
        <row r="212">
          <cell r="A212" t="str">
            <v>Gambia</v>
          </cell>
        </row>
        <row r="213">
          <cell r="A213" t="str">
            <v>Burundi</v>
          </cell>
        </row>
        <row r="214">
          <cell r="A214" t="str">
            <v>South Sudan</v>
          </cell>
        </row>
        <row r="215">
          <cell r="A215" t="str">
            <v>Liberia</v>
          </cell>
        </row>
        <row r="216">
          <cell r="A216" t="str">
            <v>Sierra Leone</v>
          </cell>
        </row>
        <row r="217">
          <cell r="A217" t="str">
            <v>Anguilla</v>
          </cell>
        </row>
        <row r="218">
          <cell r="A218" t="str">
            <v>Antarctica</v>
          </cell>
        </row>
        <row r="219">
          <cell r="A219" t="str">
            <v>French Southern Territories</v>
          </cell>
        </row>
        <row r="220">
          <cell r="A220" t="str">
            <v>Bouvet Island</v>
          </cell>
        </row>
        <row r="221">
          <cell r="A221" t="str">
            <v>Central African Republic</v>
          </cell>
        </row>
        <row r="222">
          <cell r="A222" t="str">
            <v>Cocos (Keeling) Islands</v>
          </cell>
        </row>
        <row r="223">
          <cell r="A223" t="str">
            <v>Comoros</v>
          </cell>
        </row>
        <row r="224">
          <cell r="A224" t="str">
            <v>Christmas Island</v>
          </cell>
        </row>
        <row r="225">
          <cell r="A225" t="str">
            <v>Eritrea</v>
          </cell>
        </row>
        <row r="226">
          <cell r="A226" t="str">
            <v>Western Sahara</v>
          </cell>
        </row>
        <row r="227">
          <cell r="A227" t="str">
            <v>Falkland Islands (Islas Malvinas)</v>
          </cell>
        </row>
        <row r="228">
          <cell r="A228" t="str">
            <v>Micronesia</v>
          </cell>
        </row>
        <row r="229">
          <cell r="A229" t="str">
            <v>Guinea-Bissau</v>
          </cell>
        </row>
        <row r="230">
          <cell r="A230" t="str">
            <v>Equatorial Guinea</v>
          </cell>
        </row>
        <row r="231">
          <cell r="A231" t="str">
            <v>Heard &amp; McDonald Islands</v>
          </cell>
        </row>
        <row r="232">
          <cell r="A232" t="str">
            <v>Kiribati</v>
          </cell>
        </row>
        <row r="233">
          <cell r="A233" t="str">
            <v>St. Kitts &amp; Nevis</v>
          </cell>
        </row>
        <row r="234">
          <cell r="A234" t="str">
            <v>Marshall Islands</v>
          </cell>
        </row>
        <row r="235">
          <cell r="A235" t="str">
            <v>Montserrat</v>
          </cell>
        </row>
        <row r="236">
          <cell r="A236" t="str">
            <v>Norfolk Island</v>
          </cell>
        </row>
        <row r="237">
          <cell r="A237" t="str">
            <v>Niue</v>
          </cell>
        </row>
        <row r="238">
          <cell r="A238" t="str">
            <v>Nauru</v>
          </cell>
        </row>
        <row r="239">
          <cell r="A239" t="str">
            <v>Pitcairn Islands</v>
          </cell>
        </row>
        <row r="240">
          <cell r="A240" t="str">
            <v>South Georgia &amp; South Sandwich Islands</v>
          </cell>
        </row>
        <row r="241">
          <cell r="A241" t="str">
            <v>San Marino</v>
          </cell>
        </row>
        <row r="242">
          <cell r="A242" t="str">
            <v>St. Pierre &amp; Miquelon</v>
          </cell>
        </row>
        <row r="243">
          <cell r="A243" t="str">
            <v>SÃ£o TomÃ© &amp; PrÃ­ncipe</v>
          </cell>
        </row>
        <row r="244">
          <cell r="A244" t="str">
            <v>Turks &amp; Caicos Islands</v>
          </cell>
        </row>
        <row r="245">
          <cell r="A245" t="str">
            <v>Tokelau</v>
          </cell>
        </row>
        <row r="246">
          <cell r="A246" t="str">
            <v>Timor-Leste</v>
          </cell>
        </row>
        <row r="247">
          <cell r="A247" t="str">
            <v>Tonga</v>
          </cell>
        </row>
        <row r="248">
          <cell r="A248" t="str">
            <v>Tuvalu</v>
          </cell>
        </row>
        <row r="249">
          <cell r="A249" t="str">
            <v>U.S. Outlying Islands</v>
          </cell>
        </row>
        <row r="250">
          <cell r="A250" t="str">
            <v>Vatican City</v>
          </cell>
        </row>
        <row r="251">
          <cell r="A251" t="str">
            <v>British Virgin Islands</v>
          </cell>
        </row>
        <row r="252">
          <cell r="A252" t="str">
            <v>Wallis &amp; Futuna</v>
          </cell>
        </row>
        <row r="253">
          <cell r="A253" t="str">
            <v>Samoa</v>
          </cell>
        </row>
      </sheetData>
    </sheetDataSet>
  </externalBook>
</externalLink>
</file>

<file path=xl/externalLinks/externalLink2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9)"/>
    </sheetNames>
    <sheetDataSet>
      <sheetData sheetId="0">
        <row r="1">
          <cell r="A1" t="str">
            <v>Kategori: TÃ¼m kategoriler</v>
          </cell>
        </row>
        <row r="3">
          <cell r="A3" t="str">
            <v>Ãœlke</v>
          </cell>
          <cell r="B3" t="str">
            <v>Ä°ÅŸlemci Ã¶nbelleÄŸi: (2015)</v>
          </cell>
          <cell r="C3" t="str">
            <v>HTTP: (2015)</v>
          </cell>
        </row>
        <row r="4">
          <cell r="A4" t="str">
            <v>China</v>
          </cell>
          <cell r="B4">
            <v>0.42</v>
          </cell>
          <cell r="C4">
            <v>0.57999999999999996</v>
          </cell>
        </row>
        <row r="5">
          <cell r="A5" t="str">
            <v>Cuba</v>
          </cell>
        </row>
        <row r="6">
          <cell r="A6" t="str">
            <v>British Indian Ocean Territory</v>
          </cell>
        </row>
        <row r="7">
          <cell r="A7" t="str">
            <v>Cook Islands</v>
          </cell>
        </row>
        <row r="8">
          <cell r="A8" t="str">
            <v>Papua New Guinea</v>
          </cell>
        </row>
        <row r="9">
          <cell r="A9" t="str">
            <v>Ethiopia</v>
          </cell>
        </row>
        <row r="10">
          <cell r="A10" t="str">
            <v>Belarus</v>
          </cell>
          <cell r="B10">
            <v>0.69</v>
          </cell>
          <cell r="C10">
            <v>0.31</v>
          </cell>
        </row>
        <row r="11">
          <cell r="A11" t="str">
            <v>South Korea</v>
          </cell>
          <cell r="B11">
            <v>0.38</v>
          </cell>
          <cell r="C11">
            <v>0.62</v>
          </cell>
        </row>
        <row r="12">
          <cell r="A12" t="str">
            <v>Gibraltar</v>
          </cell>
        </row>
        <row r="13">
          <cell r="A13" t="str">
            <v>Turkmenistan</v>
          </cell>
        </row>
        <row r="14">
          <cell r="A14" t="str">
            <v>St. Helena</v>
          </cell>
        </row>
        <row r="15">
          <cell r="A15" t="str">
            <v>Russia</v>
          </cell>
          <cell r="B15">
            <v>0.71</v>
          </cell>
          <cell r="C15">
            <v>0.28999999999999998</v>
          </cell>
        </row>
        <row r="16">
          <cell r="A16" t="str">
            <v>Ukraine</v>
          </cell>
          <cell r="B16">
            <v>0.68</v>
          </cell>
          <cell r="C16">
            <v>0.32</v>
          </cell>
        </row>
        <row r="17">
          <cell r="A17" t="str">
            <v>Myanmar (Burma)</v>
          </cell>
        </row>
        <row r="18">
          <cell r="A18" t="str">
            <v>Angola</v>
          </cell>
        </row>
        <row r="19">
          <cell r="A19" t="str">
            <v>Uzbekistan</v>
          </cell>
        </row>
        <row r="20">
          <cell r="A20" t="str">
            <v>Kazakhstan</v>
          </cell>
          <cell r="B20">
            <v>0.79</v>
          </cell>
          <cell r="C20">
            <v>0.21</v>
          </cell>
        </row>
        <row r="21">
          <cell r="A21" t="str">
            <v>Malta</v>
          </cell>
        </row>
        <row r="22">
          <cell r="A22" t="str">
            <v>Singapore</v>
          </cell>
          <cell r="B22">
            <v>0.56000000000000005</v>
          </cell>
          <cell r="C22">
            <v>0.44</v>
          </cell>
        </row>
        <row r="23">
          <cell r="A23" t="str">
            <v>Tanzania</v>
          </cell>
        </row>
        <row r="24">
          <cell r="A24" t="str">
            <v>Ã…land Islands</v>
          </cell>
        </row>
        <row r="25">
          <cell r="A25" t="str">
            <v>Equatorial Guinea</v>
          </cell>
        </row>
        <row r="26">
          <cell r="A26" t="str">
            <v>Iceland</v>
          </cell>
        </row>
        <row r="27">
          <cell r="A27" t="str">
            <v>Estonia</v>
          </cell>
        </row>
        <row r="28">
          <cell r="A28" t="str">
            <v>Botswana</v>
          </cell>
        </row>
        <row r="29">
          <cell r="A29" t="str">
            <v>Guernsey</v>
          </cell>
        </row>
        <row r="30">
          <cell r="A30" t="str">
            <v>Solomon Islands</v>
          </cell>
        </row>
        <row r="31">
          <cell r="A31" t="str">
            <v>New Zealand</v>
          </cell>
          <cell r="B31">
            <v>0.66</v>
          </cell>
          <cell r="C31">
            <v>0.34</v>
          </cell>
        </row>
        <row r="32">
          <cell r="A32" t="str">
            <v>Hong Kong</v>
          </cell>
          <cell r="B32">
            <v>0.51</v>
          </cell>
          <cell r="C32">
            <v>0.49</v>
          </cell>
        </row>
        <row r="33">
          <cell r="A33" t="str">
            <v>Japan</v>
          </cell>
          <cell r="B33">
            <v>0.56000000000000005</v>
          </cell>
          <cell r="C33">
            <v>0.44</v>
          </cell>
        </row>
        <row r="34">
          <cell r="A34" t="str">
            <v>Canada</v>
          </cell>
          <cell r="B34">
            <v>0.49</v>
          </cell>
          <cell r="C34">
            <v>0.51</v>
          </cell>
        </row>
        <row r="35">
          <cell r="A35" t="str">
            <v>Kyrgyzstan</v>
          </cell>
        </row>
        <row r="36">
          <cell r="A36" t="str">
            <v>Israel</v>
          </cell>
          <cell r="B36">
            <v>0.44</v>
          </cell>
          <cell r="C36">
            <v>0.56000000000000005</v>
          </cell>
        </row>
        <row r="37">
          <cell r="A37" t="str">
            <v>Ireland</v>
          </cell>
          <cell r="B37">
            <v>0.64</v>
          </cell>
          <cell r="C37">
            <v>0.36</v>
          </cell>
        </row>
        <row r="38">
          <cell r="A38" t="str">
            <v>Luxembourg</v>
          </cell>
        </row>
        <row r="39">
          <cell r="A39" t="str">
            <v>Dominica</v>
          </cell>
        </row>
        <row r="40">
          <cell r="A40" t="str">
            <v>Barbados</v>
          </cell>
        </row>
        <row r="41">
          <cell r="A41" t="str">
            <v>Philippines</v>
          </cell>
          <cell r="B41">
            <v>0.63</v>
          </cell>
          <cell r="C41">
            <v>0.37</v>
          </cell>
        </row>
        <row r="42">
          <cell r="A42" t="str">
            <v>United States</v>
          </cell>
          <cell r="B42">
            <v>0.65</v>
          </cell>
          <cell r="C42">
            <v>0.35</v>
          </cell>
        </row>
        <row r="43">
          <cell r="A43" t="str">
            <v>Latvia</v>
          </cell>
        </row>
        <row r="44">
          <cell r="A44" t="str">
            <v>Australia</v>
          </cell>
          <cell r="B44">
            <v>0.67</v>
          </cell>
          <cell r="C44">
            <v>0.33</v>
          </cell>
        </row>
        <row r="45">
          <cell r="A45" t="str">
            <v>Netherlands</v>
          </cell>
          <cell r="B45">
            <v>0.68</v>
          </cell>
          <cell r="C45">
            <v>0.32</v>
          </cell>
        </row>
        <row r="46">
          <cell r="A46" t="str">
            <v>Aruba</v>
          </cell>
        </row>
        <row r="47">
          <cell r="A47" t="str">
            <v>Lesotho</v>
          </cell>
        </row>
        <row r="48">
          <cell r="A48" t="str">
            <v>Liechtenstein</v>
          </cell>
        </row>
        <row r="49">
          <cell r="A49" t="str">
            <v>Bermuda</v>
          </cell>
        </row>
        <row r="50">
          <cell r="A50" t="str">
            <v>Switzerland</v>
          </cell>
          <cell r="B50">
            <v>0.54</v>
          </cell>
          <cell r="C50">
            <v>0.46</v>
          </cell>
        </row>
        <row r="51">
          <cell r="A51" t="str">
            <v>India</v>
          </cell>
          <cell r="B51">
            <v>0.46</v>
          </cell>
          <cell r="C51">
            <v>0.54</v>
          </cell>
        </row>
        <row r="52">
          <cell r="A52" t="str">
            <v>Germany</v>
          </cell>
          <cell r="B52">
            <v>0.52</v>
          </cell>
          <cell r="C52">
            <v>0.48</v>
          </cell>
        </row>
        <row r="53">
          <cell r="A53" t="str">
            <v>Eswatini</v>
          </cell>
        </row>
        <row r="54">
          <cell r="A54" t="str">
            <v>Mauritius</v>
          </cell>
        </row>
        <row r="55">
          <cell r="A55" t="str">
            <v>Moldova</v>
          </cell>
        </row>
        <row r="56">
          <cell r="A56" t="str">
            <v>CuraÃ§ao</v>
          </cell>
        </row>
        <row r="57">
          <cell r="A57" t="str">
            <v>United Kingdom</v>
          </cell>
          <cell r="B57">
            <v>0.67</v>
          </cell>
          <cell r="C57">
            <v>0.33</v>
          </cell>
        </row>
        <row r="58">
          <cell r="A58" t="str">
            <v>Sweden</v>
          </cell>
          <cell r="B58">
            <v>0.64</v>
          </cell>
          <cell r="C58">
            <v>0.36</v>
          </cell>
        </row>
        <row r="59">
          <cell r="A59" t="str">
            <v>Finland</v>
          </cell>
          <cell r="B59">
            <v>0.6</v>
          </cell>
          <cell r="C59">
            <v>0.4</v>
          </cell>
        </row>
        <row r="60">
          <cell r="A60" t="str">
            <v>Guyana</v>
          </cell>
        </row>
        <row r="61">
          <cell r="A61" t="str">
            <v>Nepal</v>
          </cell>
        </row>
        <row r="62">
          <cell r="A62" t="str">
            <v>Togo</v>
          </cell>
        </row>
        <row r="63">
          <cell r="A63" t="str">
            <v>U.S. Virgin Islands</v>
          </cell>
        </row>
        <row r="64">
          <cell r="A64" t="str">
            <v>Madagascar</v>
          </cell>
        </row>
        <row r="65">
          <cell r="A65" t="str">
            <v>Maldives</v>
          </cell>
        </row>
        <row r="66">
          <cell r="A66" t="str">
            <v>Czechia</v>
          </cell>
          <cell r="B66">
            <v>0.56000000000000005</v>
          </cell>
          <cell r="C66">
            <v>0.44</v>
          </cell>
        </row>
        <row r="67">
          <cell r="A67" t="str">
            <v>Cayman Islands</v>
          </cell>
        </row>
        <row r="68">
          <cell r="A68" t="str">
            <v>Trinidad &amp; Tobago</v>
          </cell>
        </row>
        <row r="69">
          <cell r="A69" t="str">
            <v>Jamaica</v>
          </cell>
        </row>
        <row r="70">
          <cell r="A70" t="str">
            <v>Fiji</v>
          </cell>
        </row>
        <row r="71">
          <cell r="A71" t="str">
            <v>Grenada</v>
          </cell>
        </row>
        <row r="72">
          <cell r="A72" t="str">
            <v>Taiwan</v>
          </cell>
          <cell r="B72">
            <v>0.42</v>
          </cell>
          <cell r="C72">
            <v>0.57999999999999996</v>
          </cell>
        </row>
        <row r="73">
          <cell r="A73" t="str">
            <v>Austria</v>
          </cell>
          <cell r="B73">
            <v>0.54</v>
          </cell>
          <cell r="C73">
            <v>0.46</v>
          </cell>
        </row>
        <row r="74">
          <cell r="A74" t="str">
            <v>Tajikistan</v>
          </cell>
        </row>
        <row r="75">
          <cell r="A75" t="str">
            <v>Belgium</v>
          </cell>
          <cell r="B75">
            <v>0.62</v>
          </cell>
          <cell r="C75">
            <v>0.38</v>
          </cell>
        </row>
        <row r="76">
          <cell r="A76" t="str">
            <v>Norway</v>
          </cell>
          <cell r="B76">
            <v>0.59</v>
          </cell>
          <cell r="C76">
            <v>0.41</v>
          </cell>
        </row>
        <row r="77">
          <cell r="A77" t="str">
            <v>Bangladesh</v>
          </cell>
          <cell r="B77">
            <v>0.42</v>
          </cell>
          <cell r="C77">
            <v>0.57999999999999996</v>
          </cell>
        </row>
        <row r="78">
          <cell r="A78" t="str">
            <v>Denmark</v>
          </cell>
          <cell r="B78">
            <v>0.62</v>
          </cell>
          <cell r="C78">
            <v>0.38</v>
          </cell>
        </row>
        <row r="79">
          <cell r="A79" t="str">
            <v>Cameroon</v>
          </cell>
        </row>
        <row r="80">
          <cell r="A80" t="str">
            <v>Jersey</v>
          </cell>
        </row>
        <row r="81">
          <cell r="A81" t="str">
            <v>Rwanda</v>
          </cell>
        </row>
        <row r="82">
          <cell r="A82" t="str">
            <v>North Macedonia</v>
          </cell>
        </row>
        <row r="83">
          <cell r="A83" t="str">
            <v>Sri Lanka</v>
          </cell>
          <cell r="B83">
            <v>0.45</v>
          </cell>
          <cell r="C83">
            <v>0.55000000000000004</v>
          </cell>
        </row>
        <row r="84">
          <cell r="A84" t="str">
            <v>Isle of Man</v>
          </cell>
        </row>
        <row r="85">
          <cell r="A85" t="str">
            <v>Portugal</v>
          </cell>
          <cell r="B85">
            <v>0.59</v>
          </cell>
          <cell r="C85">
            <v>0.41</v>
          </cell>
        </row>
        <row r="86">
          <cell r="A86" t="str">
            <v>Bhutan</v>
          </cell>
        </row>
        <row r="87">
          <cell r="A87" t="str">
            <v>Haiti</v>
          </cell>
        </row>
        <row r="88">
          <cell r="A88" t="str">
            <v>Andorra</v>
          </cell>
        </row>
        <row r="89">
          <cell r="A89" t="str">
            <v>Guam</v>
          </cell>
        </row>
        <row r="90">
          <cell r="A90" t="str">
            <v>Macao</v>
          </cell>
        </row>
        <row r="91">
          <cell r="A91" t="str">
            <v>St. Vincent &amp; Grenadines</v>
          </cell>
        </row>
        <row r="92">
          <cell r="A92" t="str">
            <v>Tunisia</v>
          </cell>
          <cell r="B92">
            <v>0.59</v>
          </cell>
          <cell r="C92">
            <v>0.41</v>
          </cell>
        </row>
        <row r="93">
          <cell r="A93" t="str">
            <v>Cyprus</v>
          </cell>
        </row>
        <row r="94">
          <cell r="A94" t="str">
            <v>Bulgaria</v>
          </cell>
          <cell r="B94">
            <v>0.63</v>
          </cell>
          <cell r="C94">
            <v>0.37</v>
          </cell>
        </row>
        <row r="95">
          <cell r="A95" t="str">
            <v>Burundi</v>
          </cell>
        </row>
        <row r="96">
          <cell r="A96" t="str">
            <v>Cape Verde</v>
          </cell>
        </row>
        <row r="97">
          <cell r="A97" t="str">
            <v>Belize</v>
          </cell>
        </row>
        <row r="98">
          <cell r="A98" t="str">
            <v>Antigua &amp; Barbuda</v>
          </cell>
        </row>
        <row r="99">
          <cell r="A99" t="str">
            <v>Lebanon</v>
          </cell>
        </row>
        <row r="100">
          <cell r="A100" t="str">
            <v>Spain</v>
          </cell>
          <cell r="B100">
            <v>0.59</v>
          </cell>
          <cell r="C100">
            <v>0.41</v>
          </cell>
        </row>
        <row r="101">
          <cell r="A101" t="str">
            <v>Liberia</v>
          </cell>
        </row>
        <row r="102">
          <cell r="A102" t="str">
            <v>CÃ´te dâ€™Ivoire</v>
          </cell>
        </row>
        <row r="103">
          <cell r="A103" t="str">
            <v>Lithuania</v>
          </cell>
        </row>
        <row r="104">
          <cell r="A104" t="str">
            <v>Monaco</v>
          </cell>
        </row>
        <row r="105">
          <cell r="A105" t="str">
            <v>Mexico</v>
          </cell>
          <cell r="B105">
            <v>0.43</v>
          </cell>
          <cell r="C105">
            <v>0.56999999999999995</v>
          </cell>
        </row>
        <row r="106">
          <cell r="A106" t="str">
            <v>Ghana</v>
          </cell>
        </row>
        <row r="107">
          <cell r="A107" t="str">
            <v>Romania</v>
          </cell>
          <cell r="B107">
            <v>0.54</v>
          </cell>
          <cell r="C107">
            <v>0.46</v>
          </cell>
        </row>
        <row r="108">
          <cell r="A108" t="str">
            <v>Zimbabwe</v>
          </cell>
        </row>
        <row r="109">
          <cell r="A109" t="str">
            <v>South Africa</v>
          </cell>
          <cell r="B109">
            <v>0.52</v>
          </cell>
          <cell r="C109">
            <v>0.48</v>
          </cell>
        </row>
        <row r="110">
          <cell r="A110" t="str">
            <v>Costa Rica</v>
          </cell>
          <cell r="B110">
            <v>0.51</v>
          </cell>
          <cell r="C110">
            <v>0.49</v>
          </cell>
        </row>
        <row r="111">
          <cell r="A111" t="str">
            <v>Malaysia</v>
          </cell>
          <cell r="B111">
            <v>0.53</v>
          </cell>
          <cell r="C111">
            <v>0.47</v>
          </cell>
        </row>
        <row r="112">
          <cell r="A112" t="str">
            <v>French Polynesia</v>
          </cell>
        </row>
        <row r="113">
          <cell r="A113" t="str">
            <v>Bahamas</v>
          </cell>
        </row>
        <row r="114">
          <cell r="A114" t="str">
            <v>Caribbean Netherlands</v>
          </cell>
        </row>
        <row r="115">
          <cell r="A115" t="str">
            <v>Kenya</v>
          </cell>
          <cell r="B115">
            <v>0.48</v>
          </cell>
          <cell r="C115">
            <v>0.52</v>
          </cell>
        </row>
        <row r="116">
          <cell r="A116" t="str">
            <v>Slovenia</v>
          </cell>
        </row>
        <row r="117">
          <cell r="A117" t="str">
            <v>Uganda</v>
          </cell>
        </row>
        <row r="118">
          <cell r="A118" t="str">
            <v>Faroe Islands</v>
          </cell>
        </row>
        <row r="119">
          <cell r="A119" t="str">
            <v>Timor-Leste</v>
          </cell>
        </row>
        <row r="120">
          <cell r="A120" t="str">
            <v>St. Lucia</v>
          </cell>
        </row>
        <row r="121">
          <cell r="A121" t="str">
            <v>Hungary</v>
          </cell>
          <cell r="B121">
            <v>0.54</v>
          </cell>
          <cell r="C121">
            <v>0.46</v>
          </cell>
        </row>
        <row r="122">
          <cell r="A122" t="str">
            <v>El Salvador</v>
          </cell>
        </row>
        <row r="123">
          <cell r="A123" t="str">
            <v>Armenia</v>
          </cell>
        </row>
        <row r="124">
          <cell r="A124" t="str">
            <v>Italy</v>
          </cell>
          <cell r="B124">
            <v>0.65</v>
          </cell>
          <cell r="C124">
            <v>0.35</v>
          </cell>
        </row>
        <row r="125">
          <cell r="A125" t="str">
            <v>Benin</v>
          </cell>
        </row>
        <row r="126">
          <cell r="A126" t="str">
            <v>Nigeria</v>
          </cell>
          <cell r="B126">
            <v>0.41</v>
          </cell>
          <cell r="C126">
            <v>0.59</v>
          </cell>
        </row>
        <row r="127">
          <cell r="A127" t="str">
            <v>Niger</v>
          </cell>
        </row>
        <row r="128">
          <cell r="A128" t="str">
            <v>New Caledonia</v>
          </cell>
        </row>
        <row r="129">
          <cell r="A129" t="str">
            <v>Pakistan</v>
          </cell>
          <cell r="B129">
            <v>0.55000000000000004</v>
          </cell>
          <cell r="C129">
            <v>0.45</v>
          </cell>
        </row>
        <row r="130">
          <cell r="A130" t="str">
            <v>United Arab Emirates</v>
          </cell>
          <cell r="B130">
            <v>0.56999999999999995</v>
          </cell>
          <cell r="C130">
            <v>0.43</v>
          </cell>
        </row>
        <row r="131">
          <cell r="A131" t="str">
            <v>Senegal</v>
          </cell>
        </row>
        <row r="132">
          <cell r="A132" t="str">
            <v>Guatemala</v>
          </cell>
        </row>
        <row r="133">
          <cell r="A133" t="str">
            <v>Honduras</v>
          </cell>
        </row>
        <row r="134">
          <cell r="A134" t="str">
            <v>Thailand</v>
          </cell>
          <cell r="B134">
            <v>0.76</v>
          </cell>
          <cell r="C134">
            <v>0.24</v>
          </cell>
        </row>
        <row r="135">
          <cell r="A135" t="str">
            <v>Zambia</v>
          </cell>
        </row>
        <row r="136">
          <cell r="A136" t="str">
            <v>Seychelles</v>
          </cell>
        </row>
        <row r="137">
          <cell r="A137" t="str">
            <v>Brazil</v>
          </cell>
          <cell r="B137">
            <v>0.57999999999999996</v>
          </cell>
          <cell r="C137">
            <v>0.42</v>
          </cell>
        </row>
        <row r="138">
          <cell r="A138" t="str">
            <v>France</v>
          </cell>
          <cell r="B138">
            <v>0.56999999999999995</v>
          </cell>
          <cell r="C138">
            <v>0.43</v>
          </cell>
        </row>
        <row r="139">
          <cell r="A139" t="str">
            <v>Slovakia</v>
          </cell>
          <cell r="B139">
            <v>0.54</v>
          </cell>
          <cell r="C139">
            <v>0.46</v>
          </cell>
        </row>
        <row r="140">
          <cell r="A140" t="str">
            <v>Croatia</v>
          </cell>
          <cell r="B140">
            <v>0.61</v>
          </cell>
          <cell r="C140">
            <v>0.39</v>
          </cell>
        </row>
        <row r="141">
          <cell r="A141" t="str">
            <v>Congo - Kinshasa</v>
          </cell>
        </row>
        <row r="142">
          <cell r="A142" t="str">
            <v>Peru</v>
          </cell>
          <cell r="B142">
            <v>0.6</v>
          </cell>
          <cell r="C142">
            <v>0.4</v>
          </cell>
        </row>
        <row r="143">
          <cell r="A143" t="str">
            <v>Nicaragua</v>
          </cell>
        </row>
        <row r="144">
          <cell r="A144" t="str">
            <v>Malawi</v>
          </cell>
        </row>
        <row r="145">
          <cell r="A145" t="str">
            <v>Mozambique</v>
          </cell>
        </row>
        <row r="146">
          <cell r="A146" t="str">
            <v>Uruguay</v>
          </cell>
        </row>
        <row r="147">
          <cell r="A147" t="str">
            <v>Poland</v>
          </cell>
          <cell r="B147">
            <v>0.56000000000000005</v>
          </cell>
          <cell r="C147">
            <v>0.44</v>
          </cell>
        </row>
        <row r="148">
          <cell r="A148" t="str">
            <v>Mali</v>
          </cell>
        </row>
        <row r="149">
          <cell r="A149" t="str">
            <v>Mongolia</v>
          </cell>
        </row>
        <row r="150">
          <cell r="A150" t="str">
            <v>Brunei</v>
          </cell>
        </row>
        <row r="151">
          <cell r="A151" t="str">
            <v>RÃ©union</v>
          </cell>
        </row>
        <row r="152">
          <cell r="A152" t="str">
            <v>Guinea</v>
          </cell>
        </row>
        <row r="153">
          <cell r="A153" t="str">
            <v>Georgia</v>
          </cell>
        </row>
        <row r="154">
          <cell r="A154" t="str">
            <v>Afghanistan</v>
          </cell>
        </row>
        <row r="155">
          <cell r="A155" t="str">
            <v>Somalia</v>
          </cell>
        </row>
        <row r="156">
          <cell r="A156" t="str">
            <v>Qatar</v>
          </cell>
        </row>
        <row r="157">
          <cell r="A157" t="str">
            <v>Puerto Rico</v>
          </cell>
        </row>
        <row r="158">
          <cell r="A158" t="str">
            <v>Panama</v>
          </cell>
        </row>
        <row r="159">
          <cell r="A159" t="str">
            <v>Argentina</v>
          </cell>
          <cell r="B159">
            <v>0.59</v>
          </cell>
          <cell r="C159">
            <v>0.41</v>
          </cell>
        </row>
        <row r="160">
          <cell r="A160" t="str">
            <v>Congo - Brazzaville</v>
          </cell>
        </row>
        <row r="161">
          <cell r="A161" t="str">
            <v>Dominican Republic</v>
          </cell>
        </row>
        <row r="162">
          <cell r="A162" t="str">
            <v>Cambodia</v>
          </cell>
        </row>
        <row r="163">
          <cell r="A163" t="str">
            <v>Burkina Faso</v>
          </cell>
        </row>
        <row r="164">
          <cell r="A164" t="str">
            <v>Greece</v>
          </cell>
          <cell r="B164">
            <v>0.69</v>
          </cell>
          <cell r="C164">
            <v>0.31</v>
          </cell>
        </row>
        <row r="165">
          <cell r="A165" t="str">
            <v>Ecuador</v>
          </cell>
          <cell r="B165">
            <v>0.47</v>
          </cell>
          <cell r="C165">
            <v>0.53</v>
          </cell>
        </row>
        <row r="166">
          <cell r="A166" t="str">
            <v>Bahrain</v>
          </cell>
        </row>
        <row r="167">
          <cell r="A167" t="str">
            <v>Indonesia</v>
          </cell>
          <cell r="B167">
            <v>0.49</v>
          </cell>
          <cell r="C167">
            <v>0.51</v>
          </cell>
        </row>
        <row r="168">
          <cell r="A168" t="str">
            <v>Serbia</v>
          </cell>
          <cell r="B168">
            <v>0.53</v>
          </cell>
          <cell r="C168">
            <v>0.47</v>
          </cell>
        </row>
        <row r="169">
          <cell r="A169" t="str">
            <v>Guadeloupe</v>
          </cell>
        </row>
        <row r="170">
          <cell r="A170" t="str">
            <v>Oman</v>
          </cell>
        </row>
        <row r="171">
          <cell r="A171" t="str">
            <v>Colombia</v>
          </cell>
          <cell r="B171">
            <v>0.52</v>
          </cell>
          <cell r="C171">
            <v>0.48</v>
          </cell>
        </row>
        <row r="172">
          <cell r="A172" t="str">
            <v>Iran</v>
          </cell>
          <cell r="B172">
            <v>0.42</v>
          </cell>
          <cell r="C172">
            <v>0.57999999999999996</v>
          </cell>
        </row>
        <row r="173">
          <cell r="A173" t="str">
            <v>Gabon</v>
          </cell>
        </row>
        <row r="174">
          <cell r="A174" t="str">
            <v>Paraguay</v>
          </cell>
        </row>
        <row r="175">
          <cell r="A175" t="str">
            <v>Namibia</v>
          </cell>
        </row>
        <row r="176">
          <cell r="A176" t="str">
            <v>Laos</v>
          </cell>
        </row>
        <row r="177">
          <cell r="A177" t="str">
            <v>Bosnia &amp; Herzegovina</v>
          </cell>
        </row>
        <row r="178">
          <cell r="A178" t="str">
            <v>Suriname</v>
          </cell>
        </row>
        <row r="179">
          <cell r="A179" t="str">
            <v>Chile</v>
          </cell>
          <cell r="B179">
            <v>0.54</v>
          </cell>
          <cell r="C179">
            <v>0.46</v>
          </cell>
        </row>
        <row r="180">
          <cell r="A180" t="str">
            <v>Montenegro</v>
          </cell>
        </row>
        <row r="181">
          <cell r="A181" t="str">
            <v>Venezuela</v>
          </cell>
          <cell r="B181">
            <v>0.52</v>
          </cell>
          <cell r="C181">
            <v>0.48</v>
          </cell>
        </row>
        <row r="182">
          <cell r="A182" t="str">
            <v>French Guiana</v>
          </cell>
        </row>
        <row r="183">
          <cell r="A183" t="str">
            <v>Albania</v>
          </cell>
        </row>
        <row r="184">
          <cell r="A184" t="str">
            <v>Morocco</v>
          </cell>
          <cell r="B184">
            <v>0.51</v>
          </cell>
          <cell r="C184">
            <v>0.49</v>
          </cell>
        </row>
        <row r="185">
          <cell r="A185" t="str">
            <v>Vietnam</v>
          </cell>
          <cell r="B185">
            <v>0.56999999999999995</v>
          </cell>
          <cell r="C185">
            <v>0.43</v>
          </cell>
        </row>
        <row r="186">
          <cell r="A186" t="str">
            <v>Kuwait</v>
          </cell>
        </row>
        <row r="187">
          <cell r="A187" t="str">
            <v>Martinique</v>
          </cell>
        </row>
        <row r="188">
          <cell r="A188" t="str">
            <v>Kosovo</v>
          </cell>
        </row>
        <row r="189">
          <cell r="A189" t="str">
            <v>Bolivia</v>
          </cell>
          <cell r="B189">
            <v>0.5</v>
          </cell>
          <cell r="C189">
            <v>0.5</v>
          </cell>
        </row>
        <row r="190">
          <cell r="A190" t="str">
            <v>Sierra Leone</v>
          </cell>
        </row>
        <row r="191">
          <cell r="A191" t="str">
            <v>Azerbaijan</v>
          </cell>
        </row>
        <row r="192">
          <cell r="A192" t="str">
            <v>Sudan</v>
          </cell>
        </row>
        <row r="193">
          <cell r="A193" t="str">
            <v>Jordan</v>
          </cell>
        </row>
        <row r="194">
          <cell r="A194" t="str">
            <v>Algeria</v>
          </cell>
          <cell r="B194">
            <v>0.47</v>
          </cell>
          <cell r="C194">
            <v>0.53</v>
          </cell>
        </row>
        <row r="195">
          <cell r="A195" t="str">
            <v>Libya</v>
          </cell>
        </row>
        <row r="196">
          <cell r="A196" t="str">
            <v>Djibouti</v>
          </cell>
        </row>
        <row r="197">
          <cell r="A197" t="str">
            <v>Saudi Arabia</v>
          </cell>
          <cell r="B197">
            <v>0.38</v>
          </cell>
          <cell r="C197">
            <v>0.62</v>
          </cell>
        </row>
        <row r="198">
          <cell r="A198" t="str">
            <v>Syria</v>
          </cell>
        </row>
        <row r="199">
          <cell r="A199" t="str">
            <v>Egypt</v>
          </cell>
          <cell r="B199">
            <v>0.49</v>
          </cell>
          <cell r="C199">
            <v>0.51</v>
          </cell>
        </row>
        <row r="200">
          <cell r="A200" t="str">
            <v>Palestine</v>
          </cell>
        </row>
        <row r="201">
          <cell r="A201" t="str">
            <v>Yemen</v>
          </cell>
        </row>
        <row r="202">
          <cell r="A202" t="str">
            <v>Mayotte</v>
          </cell>
        </row>
        <row r="203">
          <cell r="A203" t="str">
            <v>Iraq</v>
          </cell>
        </row>
        <row r="204">
          <cell r="A204" t="str">
            <v>Turkey</v>
          </cell>
          <cell r="B204">
            <v>0.55000000000000004</v>
          </cell>
          <cell r="C204">
            <v>0.45</v>
          </cell>
        </row>
        <row r="205">
          <cell r="A205" t="str">
            <v>Mauritania</v>
          </cell>
        </row>
        <row r="206">
          <cell r="A206" t="str">
            <v>Tuvalu</v>
          </cell>
        </row>
        <row r="207">
          <cell r="A207" t="str">
            <v>Kiribati</v>
          </cell>
        </row>
        <row r="208">
          <cell r="A208" t="str">
            <v>Norfolk Island</v>
          </cell>
        </row>
        <row r="209">
          <cell r="A209" t="str">
            <v>Falkland Islands (Islas Malvinas)</v>
          </cell>
        </row>
        <row r="210">
          <cell r="A210" t="str">
            <v>Northern Mariana Islands</v>
          </cell>
        </row>
        <row r="211">
          <cell r="A211" t="str">
            <v>Eritrea</v>
          </cell>
        </row>
        <row r="212">
          <cell r="A212" t="str">
            <v>Samoa</v>
          </cell>
        </row>
        <row r="213">
          <cell r="A213" t="str">
            <v>San Marino</v>
          </cell>
        </row>
        <row r="214">
          <cell r="A214" t="str">
            <v>Guinea-Bissau</v>
          </cell>
        </row>
        <row r="215">
          <cell r="A215" t="str">
            <v>St. Martin</v>
          </cell>
        </row>
        <row r="216">
          <cell r="A216" t="str">
            <v>Greenland</v>
          </cell>
        </row>
        <row r="217">
          <cell r="A217" t="str">
            <v>Marshall Islands</v>
          </cell>
        </row>
        <row r="218">
          <cell r="A218" t="str">
            <v>British Virgin Islands</v>
          </cell>
        </row>
        <row r="219">
          <cell r="A219" t="str">
            <v>St. Pierre &amp; Miquelon</v>
          </cell>
        </row>
        <row r="220">
          <cell r="A220" t="str">
            <v>Chad</v>
          </cell>
        </row>
        <row r="221">
          <cell r="A221" t="str">
            <v>SÃ£o TomÃ© &amp; PrÃ­ncipe</v>
          </cell>
        </row>
        <row r="222">
          <cell r="A222" t="str">
            <v>Tonga</v>
          </cell>
        </row>
        <row r="223">
          <cell r="A223" t="str">
            <v>Sint Maarten</v>
          </cell>
        </row>
        <row r="224">
          <cell r="A224" t="str">
            <v>American Samoa</v>
          </cell>
        </row>
        <row r="225">
          <cell r="A225" t="str">
            <v>Vanuatu</v>
          </cell>
        </row>
        <row r="226">
          <cell r="A226" t="str">
            <v>Turks &amp; Caicos Islands</v>
          </cell>
        </row>
        <row r="227">
          <cell r="A227" t="str">
            <v>St. Kitts &amp; Nevis</v>
          </cell>
        </row>
        <row r="228">
          <cell r="A228" t="str">
            <v>St. BarthÃ©lemy</v>
          </cell>
        </row>
        <row r="229">
          <cell r="A229" t="str">
            <v>South Sudan</v>
          </cell>
        </row>
        <row r="230">
          <cell r="A230" t="str">
            <v>Anguilla</v>
          </cell>
        </row>
        <row r="231">
          <cell r="A231" t="str">
            <v>Gambia</v>
          </cell>
        </row>
        <row r="232">
          <cell r="A232" t="str">
            <v>Antarctica</v>
          </cell>
        </row>
        <row r="233">
          <cell r="A233" t="str">
            <v>French Southern Territories</v>
          </cell>
        </row>
        <row r="234">
          <cell r="A234" t="str">
            <v>Bouvet Island</v>
          </cell>
        </row>
        <row r="235">
          <cell r="A235" t="str">
            <v>Central African Republic</v>
          </cell>
        </row>
        <row r="236">
          <cell r="A236" t="str">
            <v>Cocos (Keeling) Islands</v>
          </cell>
        </row>
        <row r="237">
          <cell r="A237" t="str">
            <v>Comoros</v>
          </cell>
        </row>
        <row r="238">
          <cell r="A238" t="str">
            <v>Christmas Island</v>
          </cell>
        </row>
        <row r="239">
          <cell r="A239" t="str">
            <v>Western Sahara</v>
          </cell>
        </row>
        <row r="240">
          <cell r="A240" t="str">
            <v>Micronesia</v>
          </cell>
        </row>
        <row r="241">
          <cell r="A241" t="str">
            <v>Heard &amp; McDonald Islands</v>
          </cell>
        </row>
        <row r="242">
          <cell r="A242" t="str">
            <v>Montserrat</v>
          </cell>
        </row>
        <row r="243">
          <cell r="A243" t="str">
            <v>Niue</v>
          </cell>
        </row>
        <row r="244">
          <cell r="A244" t="str">
            <v>Nauru</v>
          </cell>
        </row>
        <row r="245">
          <cell r="A245" t="str">
            <v>Pitcairn Islands</v>
          </cell>
        </row>
        <row r="246">
          <cell r="A246" t="str">
            <v>Palau</v>
          </cell>
        </row>
        <row r="247">
          <cell r="A247" t="str">
            <v>North Korea</v>
          </cell>
        </row>
        <row r="248">
          <cell r="A248" t="str">
            <v>South Georgia &amp; South Sandwich Islands</v>
          </cell>
        </row>
        <row r="249">
          <cell r="A249" t="str">
            <v>Svalbard &amp; Jan Mayen</v>
          </cell>
        </row>
        <row r="250">
          <cell r="A250" t="str">
            <v>Tokelau</v>
          </cell>
        </row>
        <row r="251">
          <cell r="A251" t="str">
            <v>U.S. Outlying Islands</v>
          </cell>
        </row>
        <row r="252">
          <cell r="A252" t="str">
            <v>Vatican City</v>
          </cell>
        </row>
        <row r="253">
          <cell r="A253" t="str">
            <v>Wallis &amp; Futuna</v>
          </cell>
        </row>
      </sheetData>
    </sheetDataSet>
  </externalBook>
</externalLink>
</file>

<file path=xl/externalLinks/externalLink2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0)"/>
    </sheetNames>
    <sheetDataSet>
      <sheetData sheetId="0">
        <row r="1">
          <cell r="A1" t="str">
            <v>Kategori: TÃ¼m kategoriler</v>
          </cell>
        </row>
        <row r="3">
          <cell r="A3" t="str">
            <v>Ãœlke</v>
          </cell>
          <cell r="B3" t="str">
            <v>HTTP: (2015)</v>
          </cell>
          <cell r="C3" t="str">
            <v>For dÃ¶ngÃ¼sÃ¼: (2015)</v>
          </cell>
        </row>
        <row r="4">
          <cell r="A4" t="str">
            <v>China</v>
          </cell>
          <cell r="B4">
            <v>0.78</v>
          </cell>
          <cell r="C4">
            <v>0.22</v>
          </cell>
        </row>
        <row r="5">
          <cell r="A5" t="str">
            <v>Cuba</v>
          </cell>
        </row>
        <row r="6">
          <cell r="A6" t="str">
            <v>British Indian Ocean Territory</v>
          </cell>
        </row>
        <row r="7">
          <cell r="A7" t="str">
            <v>Cook Islands</v>
          </cell>
        </row>
        <row r="8">
          <cell r="A8" t="str">
            <v>Papua New Guinea</v>
          </cell>
        </row>
        <row r="9">
          <cell r="A9" t="str">
            <v>Ethiopia</v>
          </cell>
        </row>
        <row r="10">
          <cell r="A10" t="str">
            <v>South Korea</v>
          </cell>
          <cell r="B10">
            <v>0.63</v>
          </cell>
          <cell r="C10">
            <v>0.37</v>
          </cell>
        </row>
        <row r="11">
          <cell r="A11" t="str">
            <v>St. Helena</v>
          </cell>
        </row>
        <row r="12">
          <cell r="A12" t="str">
            <v>Myanmar (Burma)</v>
          </cell>
        </row>
        <row r="13">
          <cell r="A13" t="str">
            <v>Angola</v>
          </cell>
        </row>
        <row r="14">
          <cell r="A14" t="str">
            <v>Tanzania</v>
          </cell>
        </row>
        <row r="15">
          <cell r="A15" t="str">
            <v>Botswana</v>
          </cell>
        </row>
        <row r="16">
          <cell r="A16" t="str">
            <v>Lesotho</v>
          </cell>
        </row>
        <row r="17">
          <cell r="A17" t="str">
            <v>Iceland</v>
          </cell>
        </row>
        <row r="18">
          <cell r="A18" t="str">
            <v>Equatorial Guinea</v>
          </cell>
        </row>
        <row r="19">
          <cell r="A19" t="str">
            <v>Canada</v>
          </cell>
          <cell r="B19">
            <v>0.74</v>
          </cell>
          <cell r="C19">
            <v>0.26</v>
          </cell>
        </row>
        <row r="20">
          <cell r="A20" t="str">
            <v>Hong Kong</v>
          </cell>
          <cell r="B20">
            <v>0.62</v>
          </cell>
          <cell r="C20">
            <v>0.38</v>
          </cell>
        </row>
        <row r="21">
          <cell r="A21" t="str">
            <v>Singapore</v>
          </cell>
          <cell r="B21">
            <v>0.62</v>
          </cell>
          <cell r="C21">
            <v>0.38</v>
          </cell>
        </row>
        <row r="22">
          <cell r="A22" t="str">
            <v>Gibraltar</v>
          </cell>
        </row>
        <row r="23">
          <cell r="A23" t="str">
            <v>Israel</v>
          </cell>
          <cell r="B23">
            <v>0.7</v>
          </cell>
          <cell r="C23">
            <v>0.3</v>
          </cell>
        </row>
        <row r="24">
          <cell r="A24" t="str">
            <v>India</v>
          </cell>
          <cell r="B24">
            <v>0.6</v>
          </cell>
          <cell r="C24">
            <v>0.4</v>
          </cell>
        </row>
        <row r="25">
          <cell r="A25" t="str">
            <v>Luxembourg</v>
          </cell>
        </row>
        <row r="26">
          <cell r="A26" t="str">
            <v>Solomon Islands</v>
          </cell>
        </row>
        <row r="27">
          <cell r="A27" t="str">
            <v>Japan</v>
          </cell>
          <cell r="B27">
            <v>0.69</v>
          </cell>
          <cell r="C27">
            <v>0.31</v>
          </cell>
        </row>
        <row r="28">
          <cell r="A28" t="str">
            <v>Belarus</v>
          </cell>
          <cell r="B28">
            <v>0.77</v>
          </cell>
          <cell r="C28">
            <v>0.23</v>
          </cell>
        </row>
        <row r="29">
          <cell r="A29" t="str">
            <v>Germany</v>
          </cell>
          <cell r="B29">
            <v>0.73</v>
          </cell>
          <cell r="C29">
            <v>0.27</v>
          </cell>
        </row>
        <row r="30">
          <cell r="A30" t="str">
            <v>Ã…land Islands</v>
          </cell>
        </row>
        <row r="31">
          <cell r="A31" t="str">
            <v>Taiwan</v>
          </cell>
          <cell r="B31">
            <v>0.7</v>
          </cell>
          <cell r="C31">
            <v>0.3</v>
          </cell>
        </row>
        <row r="32">
          <cell r="A32" t="str">
            <v>Madagascar</v>
          </cell>
        </row>
        <row r="33">
          <cell r="A33" t="str">
            <v>Bangladesh</v>
          </cell>
          <cell r="B33">
            <v>0.66</v>
          </cell>
          <cell r="C33">
            <v>0.34</v>
          </cell>
        </row>
        <row r="34">
          <cell r="A34" t="str">
            <v>Bhutan</v>
          </cell>
        </row>
        <row r="35">
          <cell r="A35" t="str">
            <v>Sri Lanka</v>
          </cell>
          <cell r="B35">
            <v>0.57999999999999996</v>
          </cell>
          <cell r="C35">
            <v>0.42</v>
          </cell>
        </row>
        <row r="36">
          <cell r="A36" t="str">
            <v>Switzerland</v>
          </cell>
          <cell r="B36">
            <v>0.66</v>
          </cell>
          <cell r="C36">
            <v>0.34</v>
          </cell>
        </row>
        <row r="37">
          <cell r="A37" t="str">
            <v>Eswatini</v>
          </cell>
        </row>
        <row r="38">
          <cell r="A38" t="str">
            <v>Rwanda</v>
          </cell>
        </row>
        <row r="39">
          <cell r="A39" t="str">
            <v>Cameroon</v>
          </cell>
        </row>
        <row r="40">
          <cell r="A40" t="str">
            <v>Cape Verde</v>
          </cell>
        </row>
        <row r="41">
          <cell r="A41" t="str">
            <v>Andorra</v>
          </cell>
        </row>
        <row r="42">
          <cell r="A42" t="str">
            <v>Timor-Leste</v>
          </cell>
        </row>
        <row r="43">
          <cell r="A43" t="str">
            <v>Burundi</v>
          </cell>
        </row>
        <row r="44">
          <cell r="A44" t="str">
            <v>Togo</v>
          </cell>
        </row>
        <row r="45">
          <cell r="A45" t="str">
            <v>Austria</v>
          </cell>
          <cell r="B45">
            <v>0.71</v>
          </cell>
          <cell r="C45">
            <v>0.28999999999999998</v>
          </cell>
        </row>
        <row r="46">
          <cell r="A46" t="str">
            <v>Ukraine</v>
          </cell>
          <cell r="B46">
            <v>0.77</v>
          </cell>
          <cell r="C46">
            <v>0.23</v>
          </cell>
        </row>
        <row r="47">
          <cell r="A47" t="str">
            <v>Liberia</v>
          </cell>
        </row>
        <row r="48">
          <cell r="A48" t="str">
            <v>CÃ´te dâ€™Ivoire</v>
          </cell>
        </row>
        <row r="49">
          <cell r="A49" t="str">
            <v>Liechtenstein</v>
          </cell>
        </row>
        <row r="50">
          <cell r="A50" t="str">
            <v>North Macedonia</v>
          </cell>
        </row>
        <row r="51">
          <cell r="A51" t="str">
            <v>Czechia</v>
          </cell>
          <cell r="B51">
            <v>0.81</v>
          </cell>
          <cell r="C51">
            <v>0.19</v>
          </cell>
        </row>
        <row r="52">
          <cell r="A52" t="str">
            <v>Macao</v>
          </cell>
        </row>
        <row r="53">
          <cell r="A53" t="str">
            <v>Nepal</v>
          </cell>
        </row>
        <row r="54">
          <cell r="A54" t="str">
            <v>Faroe Islands</v>
          </cell>
        </row>
        <row r="55">
          <cell r="A55" t="str">
            <v>Haiti</v>
          </cell>
        </row>
        <row r="56">
          <cell r="A56" t="str">
            <v>Uzbekistan</v>
          </cell>
        </row>
        <row r="57">
          <cell r="A57" t="str">
            <v>Zimbabwe</v>
          </cell>
        </row>
        <row r="58">
          <cell r="A58" t="str">
            <v>Ghana</v>
          </cell>
        </row>
        <row r="59">
          <cell r="A59" t="str">
            <v>Mexico</v>
          </cell>
          <cell r="B59">
            <v>0.74</v>
          </cell>
          <cell r="C59">
            <v>0.26</v>
          </cell>
        </row>
        <row r="60">
          <cell r="A60" t="str">
            <v>Russia</v>
          </cell>
          <cell r="B60">
            <v>0.77</v>
          </cell>
          <cell r="C60">
            <v>0.23</v>
          </cell>
        </row>
        <row r="61">
          <cell r="A61" t="str">
            <v>Estonia</v>
          </cell>
        </row>
        <row r="62">
          <cell r="A62" t="str">
            <v>Uganda</v>
          </cell>
        </row>
        <row r="63">
          <cell r="A63" t="str">
            <v>Malta</v>
          </cell>
        </row>
        <row r="64">
          <cell r="A64" t="str">
            <v>Costa Rica</v>
          </cell>
          <cell r="B64">
            <v>0.66</v>
          </cell>
          <cell r="C64">
            <v>0.34</v>
          </cell>
        </row>
        <row r="65">
          <cell r="A65" t="str">
            <v>Mauritius</v>
          </cell>
        </row>
        <row r="66">
          <cell r="A66" t="str">
            <v>Fiji</v>
          </cell>
        </row>
        <row r="67">
          <cell r="A67" t="str">
            <v>Maldives</v>
          </cell>
        </row>
        <row r="68">
          <cell r="A68" t="str">
            <v>Kenya</v>
          </cell>
          <cell r="B68">
            <v>0.73</v>
          </cell>
          <cell r="C68">
            <v>0.27</v>
          </cell>
        </row>
        <row r="69">
          <cell r="A69" t="str">
            <v>Armenia</v>
          </cell>
        </row>
        <row r="70">
          <cell r="A70" t="str">
            <v>Moldova</v>
          </cell>
        </row>
        <row r="71">
          <cell r="A71" t="str">
            <v>Finland</v>
          </cell>
          <cell r="B71">
            <v>0.69</v>
          </cell>
          <cell r="C71">
            <v>0.31</v>
          </cell>
        </row>
        <row r="72">
          <cell r="A72" t="str">
            <v>South Africa</v>
          </cell>
          <cell r="B72">
            <v>0.66</v>
          </cell>
          <cell r="C72">
            <v>0.34</v>
          </cell>
        </row>
        <row r="73">
          <cell r="A73" t="str">
            <v>Senegal</v>
          </cell>
        </row>
        <row r="74">
          <cell r="A74" t="str">
            <v>Monaco</v>
          </cell>
        </row>
        <row r="75">
          <cell r="A75" t="str">
            <v>El Salvador</v>
          </cell>
        </row>
        <row r="76">
          <cell r="A76" t="str">
            <v>New Zealand</v>
          </cell>
          <cell r="B76">
            <v>0.59</v>
          </cell>
          <cell r="C76">
            <v>0.41</v>
          </cell>
        </row>
        <row r="77">
          <cell r="A77" t="str">
            <v>Benin</v>
          </cell>
        </row>
        <row r="78">
          <cell r="A78" t="str">
            <v>Chad</v>
          </cell>
        </row>
        <row r="79">
          <cell r="A79" t="str">
            <v>Philippines</v>
          </cell>
          <cell r="B79">
            <v>0.52</v>
          </cell>
          <cell r="C79">
            <v>0.48</v>
          </cell>
        </row>
        <row r="80">
          <cell r="A80" t="str">
            <v>Norway</v>
          </cell>
          <cell r="B80">
            <v>0.71</v>
          </cell>
          <cell r="C80">
            <v>0.28999999999999998</v>
          </cell>
        </row>
        <row r="81">
          <cell r="A81" t="str">
            <v>Guatemala</v>
          </cell>
          <cell r="B81">
            <v>0.66</v>
          </cell>
          <cell r="C81">
            <v>0.34</v>
          </cell>
        </row>
        <row r="82">
          <cell r="A82" t="str">
            <v>Somalia</v>
          </cell>
        </row>
        <row r="83">
          <cell r="A83" t="str">
            <v>Ireland</v>
          </cell>
          <cell r="B83">
            <v>0.59</v>
          </cell>
          <cell r="C83">
            <v>0.41</v>
          </cell>
        </row>
        <row r="84">
          <cell r="A84" t="str">
            <v>Turkmenistan</v>
          </cell>
        </row>
        <row r="85">
          <cell r="A85" t="str">
            <v>Portugal</v>
          </cell>
          <cell r="B85">
            <v>0.65</v>
          </cell>
          <cell r="C85">
            <v>0.35</v>
          </cell>
        </row>
        <row r="86">
          <cell r="A86" t="str">
            <v>Malaysia</v>
          </cell>
          <cell r="B86">
            <v>0.67</v>
          </cell>
          <cell r="C86">
            <v>0.33</v>
          </cell>
        </row>
        <row r="87">
          <cell r="A87" t="str">
            <v>Jamaica</v>
          </cell>
        </row>
        <row r="88">
          <cell r="A88" t="str">
            <v>Honduras</v>
          </cell>
        </row>
        <row r="89">
          <cell r="A89" t="str">
            <v>Nigeria</v>
          </cell>
          <cell r="B89">
            <v>0.8</v>
          </cell>
          <cell r="C89">
            <v>0.2</v>
          </cell>
        </row>
        <row r="90">
          <cell r="A90" t="str">
            <v>Niger</v>
          </cell>
        </row>
        <row r="91">
          <cell r="A91" t="str">
            <v>Romania</v>
          </cell>
          <cell r="B91">
            <v>0.86</v>
          </cell>
          <cell r="C91">
            <v>0.14000000000000001</v>
          </cell>
        </row>
        <row r="92">
          <cell r="A92" t="str">
            <v>Tajikistan</v>
          </cell>
        </row>
        <row r="93">
          <cell r="A93" t="str">
            <v>Seychelles</v>
          </cell>
        </row>
        <row r="94">
          <cell r="A94" t="str">
            <v>Mali</v>
          </cell>
        </row>
        <row r="95">
          <cell r="A95" t="str">
            <v>Zambia</v>
          </cell>
        </row>
        <row r="96">
          <cell r="A96" t="str">
            <v>Belize</v>
          </cell>
        </row>
        <row r="97">
          <cell r="A97" t="str">
            <v>United States</v>
          </cell>
          <cell r="B97">
            <v>0.56000000000000005</v>
          </cell>
          <cell r="C97">
            <v>0.44</v>
          </cell>
        </row>
        <row r="98">
          <cell r="A98" t="str">
            <v>Mozambique</v>
          </cell>
        </row>
        <row r="99">
          <cell r="A99" t="str">
            <v>Pakistan</v>
          </cell>
          <cell r="B99">
            <v>0.47</v>
          </cell>
          <cell r="C99">
            <v>0.53</v>
          </cell>
        </row>
        <row r="100">
          <cell r="A100" t="str">
            <v>Sweden</v>
          </cell>
          <cell r="B100">
            <v>0.68</v>
          </cell>
          <cell r="C100">
            <v>0.32</v>
          </cell>
        </row>
        <row r="101">
          <cell r="A101" t="str">
            <v>Malawi</v>
          </cell>
        </row>
        <row r="102">
          <cell r="A102" t="str">
            <v>Denmark</v>
          </cell>
          <cell r="B102">
            <v>0.71</v>
          </cell>
          <cell r="C102">
            <v>0.28999999999999998</v>
          </cell>
        </row>
        <row r="103">
          <cell r="A103" t="str">
            <v>Nicaragua</v>
          </cell>
        </row>
        <row r="104">
          <cell r="A104" t="str">
            <v>Belgium</v>
          </cell>
          <cell r="B104">
            <v>0.66</v>
          </cell>
          <cell r="C104">
            <v>0.34</v>
          </cell>
        </row>
        <row r="105">
          <cell r="A105" t="str">
            <v>Congo - Brazzaville</v>
          </cell>
        </row>
        <row r="106">
          <cell r="A106" t="str">
            <v>Hungary</v>
          </cell>
          <cell r="B106">
            <v>0.79</v>
          </cell>
          <cell r="C106">
            <v>0.21</v>
          </cell>
        </row>
        <row r="107">
          <cell r="A107" t="str">
            <v>Tunisia</v>
          </cell>
          <cell r="B107">
            <v>0.63</v>
          </cell>
          <cell r="C107">
            <v>0.37</v>
          </cell>
        </row>
        <row r="108">
          <cell r="A108" t="str">
            <v>Burkina Faso</v>
          </cell>
        </row>
        <row r="109">
          <cell r="A109" t="str">
            <v>Greenland</v>
          </cell>
        </row>
        <row r="110">
          <cell r="A110" t="str">
            <v>Isle of Man</v>
          </cell>
        </row>
        <row r="111">
          <cell r="A111" t="str">
            <v>Mongolia</v>
          </cell>
        </row>
        <row r="112">
          <cell r="A112" t="str">
            <v>Australia</v>
          </cell>
          <cell r="B112">
            <v>0.61</v>
          </cell>
          <cell r="C112">
            <v>0.39</v>
          </cell>
        </row>
        <row r="113">
          <cell r="A113" t="str">
            <v>Ecuador</v>
          </cell>
          <cell r="B113">
            <v>0.67</v>
          </cell>
          <cell r="C113">
            <v>0.33</v>
          </cell>
        </row>
        <row r="114">
          <cell r="A114" t="str">
            <v>Latvia</v>
          </cell>
        </row>
        <row r="115">
          <cell r="A115" t="str">
            <v>Gabon</v>
          </cell>
        </row>
        <row r="116">
          <cell r="A116" t="str">
            <v>Dominican Republic</v>
          </cell>
        </row>
        <row r="117">
          <cell r="A117" t="str">
            <v>Cambodia</v>
          </cell>
        </row>
        <row r="118">
          <cell r="A118" t="str">
            <v>Afghanistan</v>
          </cell>
        </row>
        <row r="119">
          <cell r="A119" t="str">
            <v>Congo - Kinshasa</v>
          </cell>
        </row>
        <row r="120">
          <cell r="A120" t="str">
            <v>Netherlands</v>
          </cell>
          <cell r="B120">
            <v>0.67</v>
          </cell>
          <cell r="C120">
            <v>0.33</v>
          </cell>
        </row>
        <row r="121">
          <cell r="A121" t="str">
            <v>Cayman Islands</v>
          </cell>
        </row>
        <row r="122">
          <cell r="A122" t="str">
            <v>Slovakia</v>
          </cell>
          <cell r="B122">
            <v>0.8</v>
          </cell>
          <cell r="C122">
            <v>0.2</v>
          </cell>
        </row>
        <row r="123">
          <cell r="A123" t="str">
            <v>Spain</v>
          </cell>
          <cell r="B123">
            <v>0.69</v>
          </cell>
          <cell r="C123">
            <v>0.31</v>
          </cell>
        </row>
        <row r="124">
          <cell r="A124" t="str">
            <v>Namibia</v>
          </cell>
        </row>
        <row r="125">
          <cell r="A125" t="str">
            <v>United Kingdom</v>
          </cell>
          <cell r="B125">
            <v>0.6</v>
          </cell>
          <cell r="C125">
            <v>0.4</v>
          </cell>
        </row>
        <row r="126">
          <cell r="A126" t="str">
            <v>Indonesia</v>
          </cell>
          <cell r="B126">
            <v>0.91</v>
          </cell>
          <cell r="C126">
            <v>0.09</v>
          </cell>
        </row>
        <row r="127">
          <cell r="A127" t="str">
            <v>French Polynesia</v>
          </cell>
        </row>
        <row r="128">
          <cell r="A128" t="str">
            <v>Panama</v>
          </cell>
        </row>
        <row r="129">
          <cell r="A129" t="str">
            <v>Oman</v>
          </cell>
        </row>
        <row r="130">
          <cell r="A130" t="str">
            <v>Guinea</v>
          </cell>
        </row>
        <row r="131">
          <cell r="A131" t="str">
            <v>Bulgaria</v>
          </cell>
          <cell r="B131">
            <v>0.79</v>
          </cell>
          <cell r="C131">
            <v>0.21</v>
          </cell>
        </row>
        <row r="132">
          <cell r="A132" t="str">
            <v>Kyrgyzstan</v>
          </cell>
        </row>
        <row r="133">
          <cell r="A133" t="str">
            <v>United Arab Emirates</v>
          </cell>
          <cell r="B133">
            <v>0.7</v>
          </cell>
          <cell r="C133">
            <v>0.3</v>
          </cell>
        </row>
        <row r="134">
          <cell r="A134" t="str">
            <v>Uruguay</v>
          </cell>
        </row>
        <row r="135">
          <cell r="A135" t="str">
            <v>Bosnia &amp; Herzegovina</v>
          </cell>
        </row>
        <row r="136">
          <cell r="A136" t="str">
            <v>Iran</v>
          </cell>
          <cell r="B136">
            <v>0.82</v>
          </cell>
          <cell r="C136">
            <v>0.18</v>
          </cell>
        </row>
        <row r="137">
          <cell r="A137" t="str">
            <v>Qatar</v>
          </cell>
        </row>
        <row r="138">
          <cell r="A138" t="str">
            <v>France</v>
          </cell>
          <cell r="B138">
            <v>0.67</v>
          </cell>
          <cell r="C138">
            <v>0.33</v>
          </cell>
        </row>
        <row r="139">
          <cell r="A139" t="str">
            <v>Poland</v>
          </cell>
          <cell r="B139">
            <v>0.73</v>
          </cell>
          <cell r="C139">
            <v>0.27</v>
          </cell>
        </row>
        <row r="140">
          <cell r="A140" t="str">
            <v>Colombia</v>
          </cell>
          <cell r="B140">
            <v>0.67</v>
          </cell>
          <cell r="C140">
            <v>0.33</v>
          </cell>
        </row>
        <row r="141">
          <cell r="A141" t="str">
            <v>Guadeloupe</v>
          </cell>
        </row>
        <row r="142">
          <cell r="A142" t="str">
            <v>Serbia</v>
          </cell>
          <cell r="B142">
            <v>0.74</v>
          </cell>
          <cell r="C142">
            <v>0.26</v>
          </cell>
        </row>
        <row r="143">
          <cell r="A143" t="str">
            <v>Lebanon</v>
          </cell>
        </row>
        <row r="144">
          <cell r="A144" t="str">
            <v>Brazil</v>
          </cell>
          <cell r="B144">
            <v>0.77</v>
          </cell>
          <cell r="C144">
            <v>0.23</v>
          </cell>
        </row>
        <row r="145">
          <cell r="A145" t="str">
            <v>CuraÃ§ao</v>
          </cell>
        </row>
        <row r="146">
          <cell r="A146" t="str">
            <v>Barbados</v>
          </cell>
        </row>
        <row r="147">
          <cell r="A147" t="str">
            <v>Kazakhstan</v>
          </cell>
          <cell r="B147">
            <v>0.74</v>
          </cell>
          <cell r="C147">
            <v>0.26</v>
          </cell>
        </row>
        <row r="148">
          <cell r="A148" t="str">
            <v>Bahrain</v>
          </cell>
        </row>
        <row r="149">
          <cell r="A149" t="str">
            <v>Laos</v>
          </cell>
        </row>
        <row r="150">
          <cell r="A150" t="str">
            <v>Albania</v>
          </cell>
        </row>
        <row r="151">
          <cell r="A151" t="str">
            <v>Cyprus</v>
          </cell>
        </row>
        <row r="152">
          <cell r="A152" t="str">
            <v>Jersey</v>
          </cell>
        </row>
        <row r="153">
          <cell r="A153" t="str">
            <v>Slovenia</v>
          </cell>
        </row>
        <row r="154">
          <cell r="A154" t="str">
            <v>Croatia</v>
          </cell>
          <cell r="B154">
            <v>0.73</v>
          </cell>
          <cell r="C154">
            <v>0.27</v>
          </cell>
        </row>
        <row r="155">
          <cell r="A155" t="str">
            <v>Peru</v>
          </cell>
          <cell r="B155">
            <v>0.66</v>
          </cell>
          <cell r="C155">
            <v>0.34</v>
          </cell>
        </row>
        <row r="156">
          <cell r="A156" t="str">
            <v>Venezuela</v>
          </cell>
          <cell r="B156">
            <v>0.77</v>
          </cell>
          <cell r="C156">
            <v>0.23</v>
          </cell>
        </row>
        <row r="157">
          <cell r="A157" t="str">
            <v>Puerto Rico</v>
          </cell>
        </row>
        <row r="158">
          <cell r="A158" t="str">
            <v>Chile</v>
          </cell>
          <cell r="B158">
            <v>0.64</v>
          </cell>
          <cell r="C158">
            <v>0.36</v>
          </cell>
        </row>
        <row r="159">
          <cell r="A159" t="str">
            <v>Brunei</v>
          </cell>
        </row>
        <row r="160">
          <cell r="A160" t="str">
            <v>Argentina</v>
          </cell>
          <cell r="B160">
            <v>0.73</v>
          </cell>
          <cell r="C160">
            <v>0.27</v>
          </cell>
        </row>
        <row r="161">
          <cell r="A161" t="str">
            <v>Morocco</v>
          </cell>
          <cell r="B161">
            <v>0.72</v>
          </cell>
          <cell r="C161">
            <v>0.28000000000000003</v>
          </cell>
        </row>
        <row r="162">
          <cell r="A162" t="str">
            <v>U.S. Virgin Islands</v>
          </cell>
        </row>
        <row r="163">
          <cell r="A163" t="str">
            <v>Djibouti</v>
          </cell>
        </row>
        <row r="164">
          <cell r="A164" t="str">
            <v>New Caledonia</v>
          </cell>
        </row>
        <row r="165">
          <cell r="A165" t="str">
            <v>Paraguay</v>
          </cell>
        </row>
        <row r="166">
          <cell r="A166" t="str">
            <v>Italy</v>
          </cell>
          <cell r="B166">
            <v>0.68</v>
          </cell>
          <cell r="C166">
            <v>0.32</v>
          </cell>
        </row>
        <row r="167">
          <cell r="A167" t="str">
            <v>Kuwait</v>
          </cell>
        </row>
        <row r="168">
          <cell r="A168" t="str">
            <v>Lithuania</v>
          </cell>
        </row>
        <row r="169">
          <cell r="A169" t="str">
            <v>Montenegro</v>
          </cell>
        </row>
        <row r="170">
          <cell r="A170" t="str">
            <v>Sierra Leone</v>
          </cell>
        </row>
        <row r="171">
          <cell r="A171" t="str">
            <v>Kosovo</v>
          </cell>
        </row>
        <row r="172">
          <cell r="A172" t="str">
            <v>Georgia</v>
          </cell>
        </row>
        <row r="173">
          <cell r="A173" t="str">
            <v>South Sudan</v>
          </cell>
        </row>
        <row r="174">
          <cell r="A174" t="str">
            <v>St. Vincent &amp; Grenadines</v>
          </cell>
        </row>
        <row r="175">
          <cell r="A175" t="str">
            <v>Martinique</v>
          </cell>
        </row>
        <row r="176">
          <cell r="A176" t="str">
            <v>Bolivia</v>
          </cell>
          <cell r="B176">
            <v>0.69</v>
          </cell>
          <cell r="C176">
            <v>0.31</v>
          </cell>
        </row>
        <row r="177">
          <cell r="A177" t="str">
            <v>Guyana</v>
          </cell>
        </row>
        <row r="178">
          <cell r="A178" t="str">
            <v>French Guiana</v>
          </cell>
        </row>
        <row r="179">
          <cell r="A179" t="str">
            <v>Algeria</v>
          </cell>
        </row>
        <row r="180">
          <cell r="A180" t="str">
            <v>Trinidad &amp; Tobago</v>
          </cell>
        </row>
        <row r="181">
          <cell r="A181" t="str">
            <v>Sudan</v>
          </cell>
        </row>
        <row r="182">
          <cell r="A182" t="str">
            <v>Guernsey</v>
          </cell>
        </row>
        <row r="183">
          <cell r="A183" t="str">
            <v>Aruba</v>
          </cell>
        </row>
        <row r="184">
          <cell r="A184" t="str">
            <v>Suriname</v>
          </cell>
        </row>
        <row r="185">
          <cell r="A185" t="str">
            <v>Azerbaijan</v>
          </cell>
        </row>
        <row r="186">
          <cell r="A186" t="str">
            <v>RÃ©union</v>
          </cell>
        </row>
        <row r="187">
          <cell r="A187" t="str">
            <v>Saudi Arabia</v>
          </cell>
          <cell r="B187">
            <v>0.78</v>
          </cell>
          <cell r="C187">
            <v>0.22</v>
          </cell>
        </row>
        <row r="188">
          <cell r="A188" t="str">
            <v>Vietnam</v>
          </cell>
          <cell r="B188">
            <v>0.84</v>
          </cell>
          <cell r="C188">
            <v>0.16</v>
          </cell>
        </row>
        <row r="189">
          <cell r="A189" t="str">
            <v>Libya</v>
          </cell>
        </row>
        <row r="190">
          <cell r="A190" t="str">
            <v>Jordan</v>
          </cell>
        </row>
        <row r="191">
          <cell r="A191" t="str">
            <v>Gambia</v>
          </cell>
        </row>
        <row r="192">
          <cell r="A192" t="str">
            <v>Egypt</v>
          </cell>
          <cell r="B192">
            <v>0.7</v>
          </cell>
          <cell r="C192">
            <v>0.3</v>
          </cell>
        </row>
        <row r="193">
          <cell r="A193" t="str">
            <v>Syria</v>
          </cell>
        </row>
        <row r="194">
          <cell r="A194" t="str">
            <v>St. Lucia</v>
          </cell>
        </row>
        <row r="195">
          <cell r="A195" t="str">
            <v>Greece</v>
          </cell>
          <cell r="B195">
            <v>0.67</v>
          </cell>
          <cell r="C195">
            <v>0.33</v>
          </cell>
        </row>
        <row r="196">
          <cell r="A196" t="str">
            <v>Yemen</v>
          </cell>
        </row>
        <row r="197">
          <cell r="A197" t="str">
            <v>Palestine</v>
          </cell>
        </row>
        <row r="198">
          <cell r="A198" t="str">
            <v>Mayotte</v>
          </cell>
        </row>
        <row r="199">
          <cell r="A199" t="str">
            <v>Bahamas</v>
          </cell>
        </row>
        <row r="200">
          <cell r="A200" t="str">
            <v>Thailand</v>
          </cell>
          <cell r="B200">
            <v>0.65</v>
          </cell>
          <cell r="C200">
            <v>0.35</v>
          </cell>
        </row>
        <row r="201">
          <cell r="A201" t="str">
            <v>Iraq</v>
          </cell>
        </row>
        <row r="202">
          <cell r="A202" t="str">
            <v>Guam</v>
          </cell>
        </row>
        <row r="203">
          <cell r="A203" t="str">
            <v>Mauritania</v>
          </cell>
        </row>
        <row r="204">
          <cell r="A204" t="str">
            <v>Antigua &amp; Barbuda</v>
          </cell>
        </row>
        <row r="205">
          <cell r="A205" t="str">
            <v>Bermuda</v>
          </cell>
        </row>
        <row r="206">
          <cell r="A206" t="str">
            <v>Turkey</v>
          </cell>
          <cell r="B206">
            <v>0.56000000000000005</v>
          </cell>
          <cell r="C206">
            <v>0.44</v>
          </cell>
        </row>
        <row r="207">
          <cell r="A207" t="str">
            <v>Eritrea</v>
          </cell>
        </row>
        <row r="208">
          <cell r="A208" t="str">
            <v>Montserrat</v>
          </cell>
        </row>
        <row r="209">
          <cell r="A209" t="str">
            <v>Svalbard &amp; Jan Mayen</v>
          </cell>
        </row>
        <row r="210">
          <cell r="A210" t="str">
            <v>Central African Republic</v>
          </cell>
        </row>
        <row r="211">
          <cell r="A211" t="str">
            <v>Vanuatu</v>
          </cell>
        </row>
        <row r="212">
          <cell r="A212" t="str">
            <v>St. Pierre &amp; Miquelon</v>
          </cell>
        </row>
        <row r="213">
          <cell r="A213" t="str">
            <v>Tonga</v>
          </cell>
        </row>
        <row r="214">
          <cell r="A214" t="str">
            <v>American Samoa</v>
          </cell>
        </row>
        <row r="215">
          <cell r="A215" t="str">
            <v>Marshall Islands</v>
          </cell>
        </row>
        <row r="216">
          <cell r="A216" t="str">
            <v>SÃ£o TomÃ© &amp; PrÃ­ncipe</v>
          </cell>
        </row>
        <row r="217">
          <cell r="A217" t="str">
            <v>Micronesia</v>
          </cell>
        </row>
        <row r="218">
          <cell r="A218" t="str">
            <v>Anguilla</v>
          </cell>
        </row>
        <row r="219">
          <cell r="A219" t="str">
            <v>St. Martin</v>
          </cell>
        </row>
        <row r="220">
          <cell r="A220" t="str">
            <v>Comoros</v>
          </cell>
        </row>
        <row r="221">
          <cell r="A221" t="str">
            <v>Caribbean Netherlands</v>
          </cell>
        </row>
        <row r="222">
          <cell r="A222" t="str">
            <v>Samoa</v>
          </cell>
        </row>
        <row r="223">
          <cell r="A223" t="str">
            <v>Guinea-Bissau</v>
          </cell>
        </row>
        <row r="224">
          <cell r="A224" t="str">
            <v>San Marino</v>
          </cell>
        </row>
        <row r="225">
          <cell r="A225" t="str">
            <v>Turks &amp; Caicos Islands</v>
          </cell>
        </row>
        <row r="226">
          <cell r="A226" t="str">
            <v>Dominica</v>
          </cell>
        </row>
        <row r="227">
          <cell r="A227" t="str">
            <v>British Virgin Islands</v>
          </cell>
        </row>
        <row r="228">
          <cell r="A228" t="str">
            <v>Northern Mariana Islands</v>
          </cell>
        </row>
        <row r="229">
          <cell r="A229" t="str">
            <v>Sint Maarten</v>
          </cell>
        </row>
        <row r="230">
          <cell r="A230" t="str">
            <v>St. BarthÃ©lemy</v>
          </cell>
        </row>
        <row r="231">
          <cell r="A231" t="str">
            <v>Grenada</v>
          </cell>
        </row>
        <row r="232">
          <cell r="A232" t="str">
            <v>St. Kitts &amp; Nevis</v>
          </cell>
        </row>
        <row r="233">
          <cell r="A233" t="str">
            <v>Antarctica</v>
          </cell>
        </row>
        <row r="234">
          <cell r="A234" t="str">
            <v>French Southern Territories</v>
          </cell>
        </row>
        <row r="235">
          <cell r="A235" t="str">
            <v>Bouvet Island</v>
          </cell>
        </row>
        <row r="236">
          <cell r="A236" t="str">
            <v>Cocos (Keeling) Islands</v>
          </cell>
        </row>
        <row r="237">
          <cell r="A237" t="str">
            <v>Christmas Island</v>
          </cell>
        </row>
        <row r="238">
          <cell r="A238" t="str">
            <v>Western Sahara</v>
          </cell>
        </row>
        <row r="239">
          <cell r="A239" t="str">
            <v>Falkland Islands (Islas Malvinas)</v>
          </cell>
        </row>
        <row r="240">
          <cell r="A240" t="str">
            <v>Heard &amp; McDonald Islands</v>
          </cell>
        </row>
        <row r="241">
          <cell r="A241" t="str">
            <v>Kiribati</v>
          </cell>
        </row>
        <row r="242">
          <cell r="A242" t="str">
            <v>Norfolk Island</v>
          </cell>
        </row>
        <row r="243">
          <cell r="A243" t="str">
            <v>Niue</v>
          </cell>
        </row>
        <row r="244">
          <cell r="A244" t="str">
            <v>Nauru</v>
          </cell>
        </row>
        <row r="245">
          <cell r="A245" t="str">
            <v>Pitcairn Islands</v>
          </cell>
        </row>
        <row r="246">
          <cell r="A246" t="str">
            <v>Palau</v>
          </cell>
        </row>
        <row r="247">
          <cell r="A247" t="str">
            <v>North Korea</v>
          </cell>
        </row>
        <row r="248">
          <cell r="A248" t="str">
            <v>South Georgia &amp; South Sandwich Islands</v>
          </cell>
        </row>
        <row r="249">
          <cell r="A249" t="str">
            <v>Tokelau</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2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1)"/>
    </sheetNames>
    <sheetDataSet>
      <sheetData sheetId="0">
        <row r="1">
          <cell r="A1" t="str">
            <v>Kategori: TÃ¼m kategoriler</v>
          </cell>
        </row>
        <row r="3">
          <cell r="A3" t="str">
            <v>Ãœlke</v>
          </cell>
          <cell r="B3" t="str">
            <v>For dÃ¶ngÃ¼sÃ¼: (2015)</v>
          </cell>
          <cell r="C3" t="str">
            <v>YÄ±ÄŸÄ±n: (2015)</v>
          </cell>
        </row>
        <row r="4">
          <cell r="A4" t="str">
            <v>China</v>
          </cell>
          <cell r="B4">
            <v>0.48</v>
          </cell>
          <cell r="C4">
            <v>0.52</v>
          </cell>
        </row>
        <row r="5">
          <cell r="A5" t="str">
            <v>Cuba</v>
          </cell>
        </row>
        <row r="6">
          <cell r="A6" t="str">
            <v>South Korea</v>
          </cell>
          <cell r="B6">
            <v>0.61</v>
          </cell>
          <cell r="C6">
            <v>0.39</v>
          </cell>
        </row>
        <row r="7">
          <cell r="A7" t="str">
            <v>Taiwan</v>
          </cell>
          <cell r="B7">
            <v>0.26</v>
          </cell>
          <cell r="C7">
            <v>0.74</v>
          </cell>
        </row>
        <row r="8">
          <cell r="A8" t="str">
            <v>St. Helena</v>
          </cell>
        </row>
        <row r="9">
          <cell r="A9" t="str">
            <v>Hong Kong</v>
          </cell>
          <cell r="B9">
            <v>0.47</v>
          </cell>
          <cell r="C9">
            <v>0.53</v>
          </cell>
        </row>
        <row r="10">
          <cell r="A10" t="str">
            <v>Czechia</v>
          </cell>
          <cell r="B10">
            <v>0.18</v>
          </cell>
          <cell r="C10">
            <v>0.82</v>
          </cell>
        </row>
        <row r="11">
          <cell r="A11" t="str">
            <v>Iceland</v>
          </cell>
        </row>
        <row r="12">
          <cell r="A12" t="str">
            <v>Singapore</v>
          </cell>
          <cell r="B12">
            <v>0.51</v>
          </cell>
          <cell r="C12">
            <v>0.49</v>
          </cell>
        </row>
        <row r="13">
          <cell r="A13" t="str">
            <v>India</v>
          </cell>
          <cell r="B13">
            <v>0.56999999999999995</v>
          </cell>
          <cell r="C13">
            <v>0.43</v>
          </cell>
        </row>
        <row r="14">
          <cell r="A14" t="str">
            <v>Macao</v>
          </cell>
        </row>
        <row r="15">
          <cell r="A15" t="str">
            <v>Slovenia</v>
          </cell>
        </row>
        <row r="16">
          <cell r="A16" t="str">
            <v>Sri Lanka</v>
          </cell>
          <cell r="B16">
            <v>0.63</v>
          </cell>
          <cell r="C16">
            <v>0.37</v>
          </cell>
        </row>
        <row r="17">
          <cell r="A17" t="str">
            <v>Nepal</v>
          </cell>
        </row>
        <row r="18">
          <cell r="A18" t="str">
            <v>Bhutan</v>
          </cell>
        </row>
        <row r="19">
          <cell r="A19" t="str">
            <v>Slovakia</v>
          </cell>
          <cell r="B19">
            <v>0.19</v>
          </cell>
          <cell r="C19">
            <v>0.81</v>
          </cell>
        </row>
        <row r="20">
          <cell r="A20" t="str">
            <v>Philippines</v>
          </cell>
          <cell r="B20">
            <v>0.57999999999999996</v>
          </cell>
          <cell r="C20">
            <v>0.42</v>
          </cell>
        </row>
        <row r="21">
          <cell r="A21" t="str">
            <v>Pakistan</v>
          </cell>
          <cell r="B21">
            <v>0.63</v>
          </cell>
          <cell r="C21">
            <v>0.37</v>
          </cell>
        </row>
        <row r="22">
          <cell r="A22" t="str">
            <v>Madagascar</v>
          </cell>
        </row>
        <row r="23">
          <cell r="A23" t="str">
            <v>Botswana</v>
          </cell>
        </row>
        <row r="24">
          <cell r="A24" t="str">
            <v>Mauritius</v>
          </cell>
        </row>
        <row r="25">
          <cell r="A25" t="str">
            <v>New Zealand</v>
          </cell>
          <cell r="B25">
            <v>0.48</v>
          </cell>
          <cell r="C25">
            <v>0.52</v>
          </cell>
        </row>
        <row r="26">
          <cell r="A26" t="str">
            <v>Malta</v>
          </cell>
        </row>
        <row r="27">
          <cell r="A27" t="str">
            <v>Israel</v>
          </cell>
          <cell r="B27">
            <v>0.5</v>
          </cell>
          <cell r="C27">
            <v>0.5</v>
          </cell>
        </row>
        <row r="28">
          <cell r="A28" t="str">
            <v>Ethiopia</v>
          </cell>
        </row>
        <row r="29">
          <cell r="A29" t="str">
            <v>Bangladesh</v>
          </cell>
          <cell r="B29">
            <v>0.62</v>
          </cell>
          <cell r="C29">
            <v>0.38</v>
          </cell>
        </row>
        <row r="30">
          <cell r="A30" t="str">
            <v>United States</v>
          </cell>
          <cell r="B30">
            <v>0.5</v>
          </cell>
          <cell r="C30">
            <v>0.5</v>
          </cell>
        </row>
        <row r="31">
          <cell r="A31" t="str">
            <v>Switzerland</v>
          </cell>
          <cell r="B31">
            <v>0.65</v>
          </cell>
          <cell r="C31">
            <v>0.35</v>
          </cell>
        </row>
        <row r="32">
          <cell r="A32" t="str">
            <v>Luxembourg</v>
          </cell>
        </row>
        <row r="33">
          <cell r="A33" t="str">
            <v>Japan</v>
          </cell>
          <cell r="B33">
            <v>0.6</v>
          </cell>
          <cell r="C33">
            <v>0.4</v>
          </cell>
        </row>
        <row r="34">
          <cell r="A34" t="str">
            <v>Australia</v>
          </cell>
          <cell r="B34">
            <v>0.43</v>
          </cell>
          <cell r="C34">
            <v>0.56999999999999995</v>
          </cell>
        </row>
        <row r="35">
          <cell r="A35" t="str">
            <v>Canada</v>
          </cell>
          <cell r="B35">
            <v>0.5</v>
          </cell>
          <cell r="C35">
            <v>0.5</v>
          </cell>
        </row>
        <row r="36">
          <cell r="A36" t="str">
            <v>Ireland</v>
          </cell>
          <cell r="B36">
            <v>0.53</v>
          </cell>
          <cell r="C36">
            <v>0.47</v>
          </cell>
        </row>
        <row r="37">
          <cell r="A37" t="str">
            <v>Rwanda</v>
          </cell>
        </row>
        <row r="38">
          <cell r="A38" t="str">
            <v>Cameroon</v>
          </cell>
        </row>
        <row r="39">
          <cell r="A39" t="str">
            <v>Jamaica</v>
          </cell>
        </row>
        <row r="40">
          <cell r="A40" t="str">
            <v>Sweden</v>
          </cell>
          <cell r="B40">
            <v>0.41</v>
          </cell>
          <cell r="C40">
            <v>0.59</v>
          </cell>
        </row>
        <row r="41">
          <cell r="A41" t="str">
            <v>Costa Rica</v>
          </cell>
        </row>
        <row r="42">
          <cell r="A42" t="str">
            <v>Germany</v>
          </cell>
          <cell r="B42">
            <v>0.59</v>
          </cell>
          <cell r="C42">
            <v>0.41</v>
          </cell>
        </row>
        <row r="43">
          <cell r="A43" t="str">
            <v>Estonia</v>
          </cell>
        </row>
        <row r="44">
          <cell r="A44" t="str">
            <v>Norway</v>
          </cell>
          <cell r="B44">
            <v>0.42</v>
          </cell>
          <cell r="C44">
            <v>0.57999999999999996</v>
          </cell>
        </row>
        <row r="45">
          <cell r="A45" t="str">
            <v>Finland</v>
          </cell>
          <cell r="B45">
            <v>0.45</v>
          </cell>
          <cell r="C45">
            <v>0.55000000000000004</v>
          </cell>
        </row>
        <row r="46">
          <cell r="A46" t="str">
            <v>Jersey</v>
          </cell>
        </row>
        <row r="47">
          <cell r="A47" t="str">
            <v>United Kingdom</v>
          </cell>
          <cell r="B47">
            <v>0.49</v>
          </cell>
          <cell r="C47">
            <v>0.51</v>
          </cell>
        </row>
        <row r="48">
          <cell r="A48" t="str">
            <v>Portugal</v>
          </cell>
          <cell r="B48">
            <v>0.63</v>
          </cell>
          <cell r="C48">
            <v>0.37</v>
          </cell>
        </row>
        <row r="49">
          <cell r="A49" t="str">
            <v>South Africa</v>
          </cell>
          <cell r="B49">
            <v>0.54</v>
          </cell>
          <cell r="C49">
            <v>0.46</v>
          </cell>
        </row>
        <row r="50">
          <cell r="A50" t="str">
            <v>Afghanistan</v>
          </cell>
        </row>
        <row r="51">
          <cell r="A51" t="str">
            <v>Lithuania</v>
          </cell>
        </row>
        <row r="52">
          <cell r="A52" t="str">
            <v>Honduras</v>
          </cell>
        </row>
        <row r="53">
          <cell r="A53" t="str">
            <v>Bulgaria</v>
          </cell>
          <cell r="B53">
            <v>0.28999999999999998</v>
          </cell>
          <cell r="C53">
            <v>0.71</v>
          </cell>
        </row>
        <row r="54">
          <cell r="A54" t="str">
            <v>Tunisia</v>
          </cell>
        </row>
        <row r="55">
          <cell r="A55" t="str">
            <v>Brunei</v>
          </cell>
        </row>
        <row r="56">
          <cell r="A56" t="str">
            <v>Austria</v>
          </cell>
          <cell r="B56">
            <v>0.56999999999999995</v>
          </cell>
          <cell r="C56">
            <v>0.43</v>
          </cell>
        </row>
        <row r="57">
          <cell r="A57" t="str">
            <v>Maldives</v>
          </cell>
        </row>
        <row r="58">
          <cell r="A58" t="str">
            <v>Guatemala</v>
          </cell>
        </row>
        <row r="59">
          <cell r="A59" t="str">
            <v>Benin</v>
          </cell>
        </row>
        <row r="60">
          <cell r="A60" t="str">
            <v>Belarus</v>
          </cell>
          <cell r="B60">
            <v>0.48</v>
          </cell>
          <cell r="C60">
            <v>0.52</v>
          </cell>
        </row>
        <row r="61">
          <cell r="A61" t="str">
            <v>Lebanon</v>
          </cell>
        </row>
        <row r="62">
          <cell r="A62" t="str">
            <v>Malaysia</v>
          </cell>
          <cell r="B62">
            <v>0.52</v>
          </cell>
          <cell r="C62">
            <v>0.48</v>
          </cell>
        </row>
        <row r="63">
          <cell r="A63" t="str">
            <v>Netherlands</v>
          </cell>
          <cell r="B63">
            <v>0.45</v>
          </cell>
          <cell r="C63">
            <v>0.55000000000000004</v>
          </cell>
        </row>
        <row r="64">
          <cell r="A64" t="str">
            <v>Denmark</v>
          </cell>
          <cell r="B64">
            <v>0.44</v>
          </cell>
          <cell r="C64">
            <v>0.56000000000000005</v>
          </cell>
        </row>
        <row r="65">
          <cell r="A65" t="str">
            <v>Trinidad &amp; Tobago</v>
          </cell>
        </row>
        <row r="66">
          <cell r="A66" t="str">
            <v>Barbados</v>
          </cell>
        </row>
        <row r="67">
          <cell r="A67" t="str">
            <v>Iran</v>
          </cell>
          <cell r="B67">
            <v>0.26</v>
          </cell>
          <cell r="C67">
            <v>0.74</v>
          </cell>
        </row>
        <row r="68">
          <cell r="A68" t="str">
            <v>Greece</v>
          </cell>
          <cell r="B68">
            <v>0.28999999999999998</v>
          </cell>
          <cell r="C68">
            <v>0.71</v>
          </cell>
        </row>
        <row r="69">
          <cell r="A69" t="str">
            <v>Fiji</v>
          </cell>
        </row>
        <row r="70">
          <cell r="A70" t="str">
            <v>Namibia</v>
          </cell>
        </row>
        <row r="71">
          <cell r="A71" t="str">
            <v>Belgium</v>
          </cell>
          <cell r="B71">
            <v>0.56999999999999995</v>
          </cell>
          <cell r="C71">
            <v>0.43</v>
          </cell>
        </row>
        <row r="72">
          <cell r="A72" t="str">
            <v>Lesotho</v>
          </cell>
        </row>
        <row r="73">
          <cell r="A73" t="str">
            <v>Isle of Man</v>
          </cell>
        </row>
        <row r="74">
          <cell r="A74" t="str">
            <v>El Salvador</v>
          </cell>
        </row>
        <row r="75">
          <cell r="A75" t="str">
            <v>Papua New Guinea</v>
          </cell>
        </row>
        <row r="76">
          <cell r="A76" t="str">
            <v>Ghana</v>
          </cell>
        </row>
        <row r="77">
          <cell r="A77" t="str">
            <v>Latvia</v>
          </cell>
        </row>
        <row r="78">
          <cell r="A78" t="str">
            <v>North Macedonia</v>
          </cell>
        </row>
        <row r="79">
          <cell r="A79" t="str">
            <v>Cambodia</v>
          </cell>
        </row>
        <row r="80">
          <cell r="A80" t="str">
            <v>Nicaragua</v>
          </cell>
        </row>
        <row r="81">
          <cell r="A81" t="str">
            <v>Cyprus</v>
          </cell>
        </row>
        <row r="82">
          <cell r="A82" t="str">
            <v>Zimbabwe</v>
          </cell>
        </row>
        <row r="83">
          <cell r="A83" t="str">
            <v>Somalia</v>
          </cell>
        </row>
        <row r="84">
          <cell r="A84" t="str">
            <v>Armenia</v>
          </cell>
        </row>
        <row r="85">
          <cell r="A85" t="str">
            <v>Myanmar (Burma)</v>
          </cell>
        </row>
        <row r="86">
          <cell r="A86" t="str">
            <v>Ecuador</v>
          </cell>
        </row>
        <row r="87">
          <cell r="A87" t="str">
            <v>Guam</v>
          </cell>
        </row>
        <row r="88">
          <cell r="A88" t="str">
            <v>Croatia</v>
          </cell>
          <cell r="B88">
            <v>0.37</v>
          </cell>
          <cell r="C88">
            <v>0.63</v>
          </cell>
        </row>
        <row r="89">
          <cell r="A89" t="str">
            <v>Romania</v>
          </cell>
          <cell r="B89">
            <v>0.28999999999999998</v>
          </cell>
          <cell r="C89">
            <v>0.71</v>
          </cell>
        </row>
        <row r="90">
          <cell r="A90" t="str">
            <v>Mexico</v>
          </cell>
          <cell r="B90">
            <v>0.73</v>
          </cell>
          <cell r="C90">
            <v>0.27</v>
          </cell>
        </row>
        <row r="91">
          <cell r="A91" t="str">
            <v>Kenya</v>
          </cell>
          <cell r="B91">
            <v>0.56000000000000005</v>
          </cell>
          <cell r="C91">
            <v>0.44</v>
          </cell>
        </row>
        <row r="92">
          <cell r="A92" t="str">
            <v>Ukraine</v>
          </cell>
          <cell r="B92">
            <v>0.49</v>
          </cell>
          <cell r="C92">
            <v>0.51</v>
          </cell>
        </row>
        <row r="93">
          <cell r="A93" t="str">
            <v>Poland</v>
          </cell>
          <cell r="B93">
            <v>0.41</v>
          </cell>
          <cell r="C93">
            <v>0.59</v>
          </cell>
        </row>
        <row r="94">
          <cell r="A94" t="str">
            <v>Malawi</v>
          </cell>
        </row>
        <row r="95">
          <cell r="A95" t="str">
            <v>Uruguay</v>
          </cell>
        </row>
        <row r="96">
          <cell r="A96" t="str">
            <v>Mozambique</v>
          </cell>
        </row>
        <row r="97">
          <cell r="A97" t="str">
            <v>Bosnia &amp; Herzegovina</v>
          </cell>
        </row>
        <row r="98">
          <cell r="A98" t="str">
            <v>Russia</v>
          </cell>
          <cell r="B98">
            <v>0.48</v>
          </cell>
          <cell r="C98">
            <v>0.52</v>
          </cell>
        </row>
        <row r="99">
          <cell r="A99" t="str">
            <v>Spain</v>
          </cell>
          <cell r="B99">
            <v>0.68</v>
          </cell>
          <cell r="C99">
            <v>0.32</v>
          </cell>
        </row>
        <row r="100">
          <cell r="A100" t="str">
            <v>United Arab Emirates</v>
          </cell>
          <cell r="B100">
            <v>0.46</v>
          </cell>
          <cell r="C100">
            <v>0.54</v>
          </cell>
        </row>
        <row r="101">
          <cell r="A101" t="str">
            <v>Serbia</v>
          </cell>
          <cell r="B101">
            <v>0.4</v>
          </cell>
          <cell r="C101">
            <v>0.6</v>
          </cell>
        </row>
        <row r="102">
          <cell r="A102" t="str">
            <v>Qatar</v>
          </cell>
        </row>
        <row r="103">
          <cell r="A103" t="str">
            <v>Uzbekistan</v>
          </cell>
        </row>
        <row r="104">
          <cell r="A104" t="str">
            <v>France</v>
          </cell>
          <cell r="B104">
            <v>0.77</v>
          </cell>
          <cell r="C104">
            <v>0.23</v>
          </cell>
        </row>
        <row r="105">
          <cell r="A105" t="str">
            <v>Mongolia</v>
          </cell>
        </row>
        <row r="106">
          <cell r="A106" t="str">
            <v>Panama</v>
          </cell>
        </row>
        <row r="107">
          <cell r="A107" t="str">
            <v>Bahrain</v>
          </cell>
        </row>
        <row r="108">
          <cell r="A108" t="str">
            <v>Colombia</v>
          </cell>
          <cell r="B108">
            <v>0.79</v>
          </cell>
          <cell r="C108">
            <v>0.21</v>
          </cell>
        </row>
        <row r="109">
          <cell r="A109" t="str">
            <v>Tajikistan</v>
          </cell>
        </row>
        <row r="110">
          <cell r="A110" t="str">
            <v>Chile</v>
          </cell>
          <cell r="B110">
            <v>0.71</v>
          </cell>
          <cell r="C110">
            <v>0.28999999999999998</v>
          </cell>
        </row>
        <row r="111">
          <cell r="A111" t="str">
            <v>Bahamas</v>
          </cell>
        </row>
        <row r="112">
          <cell r="A112" t="str">
            <v>Oman</v>
          </cell>
        </row>
        <row r="113">
          <cell r="A113" t="str">
            <v>Puerto Rico</v>
          </cell>
        </row>
        <row r="114">
          <cell r="A114" t="str">
            <v>Moldova</v>
          </cell>
        </row>
        <row r="115">
          <cell r="A115" t="str">
            <v>Paraguay</v>
          </cell>
        </row>
        <row r="116">
          <cell r="A116" t="str">
            <v>Guyana</v>
          </cell>
        </row>
        <row r="117">
          <cell r="A117" t="str">
            <v>Tanzania</v>
          </cell>
        </row>
        <row r="118">
          <cell r="A118" t="str">
            <v>Peru</v>
          </cell>
          <cell r="B118">
            <v>0.72</v>
          </cell>
          <cell r="C118">
            <v>0.28000000000000003</v>
          </cell>
        </row>
        <row r="119">
          <cell r="A119" t="str">
            <v>Zambia</v>
          </cell>
        </row>
        <row r="120">
          <cell r="A120" t="str">
            <v>Congo - Kinshasa</v>
          </cell>
        </row>
        <row r="121">
          <cell r="A121" t="str">
            <v>Senegal</v>
          </cell>
        </row>
        <row r="122">
          <cell r="A122" t="str">
            <v>Kuwait</v>
          </cell>
        </row>
        <row r="123">
          <cell r="A123" t="str">
            <v>Uganda</v>
          </cell>
        </row>
        <row r="124">
          <cell r="A124" t="str">
            <v>Hungary</v>
          </cell>
          <cell r="B124">
            <v>0.46</v>
          </cell>
          <cell r="C124">
            <v>0.54</v>
          </cell>
        </row>
        <row r="125">
          <cell r="A125" t="str">
            <v>CÃ´te dâ€™Ivoire</v>
          </cell>
        </row>
        <row r="126">
          <cell r="A126" t="str">
            <v>Kyrgyzstan</v>
          </cell>
        </row>
        <row r="127">
          <cell r="A127" t="str">
            <v>Nigeria</v>
          </cell>
          <cell r="B127">
            <v>0.49</v>
          </cell>
          <cell r="C127">
            <v>0.51</v>
          </cell>
        </row>
        <row r="128">
          <cell r="A128" t="str">
            <v>Dominican Republic</v>
          </cell>
        </row>
        <row r="129">
          <cell r="A129" t="str">
            <v>Italy</v>
          </cell>
          <cell r="B129">
            <v>0.52</v>
          </cell>
          <cell r="C129">
            <v>0.48</v>
          </cell>
        </row>
        <row r="130">
          <cell r="A130" t="str">
            <v>Montenegro</v>
          </cell>
        </row>
        <row r="131">
          <cell r="A131" t="str">
            <v>Jordan</v>
          </cell>
        </row>
        <row r="132">
          <cell r="A132" t="str">
            <v>Angola</v>
          </cell>
        </row>
        <row r="133">
          <cell r="A133" t="str">
            <v>Kazakhstan</v>
          </cell>
          <cell r="B133">
            <v>0.56000000000000005</v>
          </cell>
          <cell r="C133">
            <v>0.44</v>
          </cell>
        </row>
        <row r="134">
          <cell r="A134" t="str">
            <v>Morocco</v>
          </cell>
        </row>
        <row r="135">
          <cell r="A135" t="str">
            <v>Argentina</v>
          </cell>
          <cell r="B135">
            <v>0.67</v>
          </cell>
          <cell r="C135">
            <v>0.33</v>
          </cell>
        </row>
        <row r="136">
          <cell r="A136" t="str">
            <v>Thailand</v>
          </cell>
          <cell r="B136">
            <v>0.44</v>
          </cell>
          <cell r="C136">
            <v>0.56000000000000005</v>
          </cell>
        </row>
        <row r="137">
          <cell r="A137" t="str">
            <v>Brazil</v>
          </cell>
          <cell r="B137">
            <v>0.62</v>
          </cell>
          <cell r="C137">
            <v>0.38</v>
          </cell>
        </row>
        <row r="138">
          <cell r="A138" t="str">
            <v>Bolivia</v>
          </cell>
          <cell r="B138">
            <v>0.53</v>
          </cell>
          <cell r="C138">
            <v>0.47</v>
          </cell>
        </row>
        <row r="139">
          <cell r="A139" t="str">
            <v>Kosovo</v>
          </cell>
        </row>
        <row r="140">
          <cell r="A140" t="str">
            <v>Vietnam</v>
          </cell>
          <cell r="B140">
            <v>0.28999999999999998</v>
          </cell>
          <cell r="C140">
            <v>0.71</v>
          </cell>
        </row>
        <row r="141">
          <cell r="A141" t="str">
            <v>RÃ©union</v>
          </cell>
        </row>
        <row r="142">
          <cell r="A142" t="str">
            <v>Indonesia</v>
          </cell>
          <cell r="B142">
            <v>0.28000000000000003</v>
          </cell>
          <cell r="C142">
            <v>0.72</v>
          </cell>
        </row>
        <row r="143">
          <cell r="A143" t="str">
            <v>Albania</v>
          </cell>
        </row>
        <row r="144">
          <cell r="A144" t="str">
            <v>Egypt</v>
          </cell>
          <cell r="B144">
            <v>0.49</v>
          </cell>
          <cell r="C144">
            <v>0.51</v>
          </cell>
        </row>
        <row r="145">
          <cell r="A145" t="str">
            <v>Laos</v>
          </cell>
        </row>
        <row r="146">
          <cell r="A146" t="str">
            <v>Sudan</v>
          </cell>
        </row>
        <row r="147">
          <cell r="A147" t="str">
            <v>Venezuela</v>
          </cell>
          <cell r="B147">
            <v>0.64</v>
          </cell>
          <cell r="C147">
            <v>0.36</v>
          </cell>
        </row>
        <row r="148">
          <cell r="A148" t="str">
            <v>Azerbaijan</v>
          </cell>
        </row>
        <row r="149">
          <cell r="A149" t="str">
            <v>Turkey</v>
          </cell>
          <cell r="B149">
            <v>0.61</v>
          </cell>
          <cell r="C149">
            <v>0.39</v>
          </cell>
        </row>
        <row r="150">
          <cell r="A150" t="str">
            <v>Georgia</v>
          </cell>
        </row>
        <row r="151">
          <cell r="A151" t="str">
            <v>Syria</v>
          </cell>
        </row>
        <row r="152">
          <cell r="A152" t="str">
            <v>Saudi Arabia</v>
          </cell>
          <cell r="B152">
            <v>0.45</v>
          </cell>
          <cell r="C152">
            <v>0.55000000000000004</v>
          </cell>
        </row>
        <row r="153">
          <cell r="A153" t="str">
            <v>Palestine</v>
          </cell>
        </row>
        <row r="154">
          <cell r="A154" t="str">
            <v>Algeria</v>
          </cell>
        </row>
        <row r="155">
          <cell r="A155" t="str">
            <v>Libya</v>
          </cell>
        </row>
        <row r="156">
          <cell r="A156" t="str">
            <v>Iraq</v>
          </cell>
        </row>
        <row r="157">
          <cell r="A157" t="str">
            <v>Yemen</v>
          </cell>
        </row>
        <row r="158">
          <cell r="A158" t="str">
            <v>British Indian Ocean Territory</v>
          </cell>
        </row>
        <row r="159">
          <cell r="A159" t="str">
            <v>Micronesia</v>
          </cell>
        </row>
        <row r="160">
          <cell r="A160" t="str">
            <v>St. Pierre &amp; Miquelon</v>
          </cell>
        </row>
        <row r="161">
          <cell r="A161" t="str">
            <v>Central African Republic</v>
          </cell>
        </row>
        <row r="162">
          <cell r="A162" t="str">
            <v>Tonga</v>
          </cell>
        </row>
        <row r="163">
          <cell r="A163" t="str">
            <v>Andorra</v>
          </cell>
        </row>
        <row r="164">
          <cell r="A164" t="str">
            <v>Guinea-Bissau</v>
          </cell>
        </row>
        <row r="165">
          <cell r="A165" t="str">
            <v>Togo</v>
          </cell>
        </row>
        <row r="166">
          <cell r="A166" t="str">
            <v>Eswatini</v>
          </cell>
        </row>
        <row r="167">
          <cell r="A167" t="str">
            <v>Cayman Islands</v>
          </cell>
        </row>
        <row r="168">
          <cell r="A168" t="str">
            <v>Monaco</v>
          </cell>
        </row>
        <row r="169">
          <cell r="A169" t="str">
            <v>Northern Mariana Islands</v>
          </cell>
        </row>
        <row r="170">
          <cell r="A170" t="str">
            <v>Comoros</v>
          </cell>
        </row>
        <row r="171">
          <cell r="A171" t="str">
            <v>Congo - Brazzaville</v>
          </cell>
        </row>
        <row r="172">
          <cell r="A172" t="str">
            <v>Ã…land Islands</v>
          </cell>
        </row>
        <row r="173">
          <cell r="A173" t="str">
            <v>San Marino</v>
          </cell>
        </row>
        <row r="174">
          <cell r="A174" t="str">
            <v>Greenland</v>
          </cell>
        </row>
        <row r="175">
          <cell r="A175" t="str">
            <v>Sint Maarten</v>
          </cell>
        </row>
        <row r="176">
          <cell r="A176" t="str">
            <v>Grenada</v>
          </cell>
        </row>
        <row r="177">
          <cell r="A177" t="str">
            <v>Samoa</v>
          </cell>
        </row>
        <row r="178">
          <cell r="A178" t="str">
            <v>Anguilla</v>
          </cell>
        </row>
        <row r="179">
          <cell r="A179" t="str">
            <v>Gibraltar</v>
          </cell>
        </row>
        <row r="180">
          <cell r="A180" t="str">
            <v>Chad</v>
          </cell>
        </row>
        <row r="181">
          <cell r="A181" t="str">
            <v>Dominica</v>
          </cell>
        </row>
        <row r="182">
          <cell r="A182" t="str">
            <v>Vanuatu</v>
          </cell>
        </row>
        <row r="183">
          <cell r="A183" t="str">
            <v>St. Lucia</v>
          </cell>
        </row>
        <row r="184">
          <cell r="A184" t="str">
            <v>British Virgin Islands</v>
          </cell>
        </row>
        <row r="185">
          <cell r="A185" t="str">
            <v>French Polynesia</v>
          </cell>
        </row>
        <row r="186">
          <cell r="A186" t="str">
            <v>Liechtenstein</v>
          </cell>
        </row>
        <row r="187">
          <cell r="A187" t="str">
            <v>Faroe Islands</v>
          </cell>
        </row>
        <row r="188">
          <cell r="A188" t="str">
            <v>Guernsey</v>
          </cell>
        </row>
        <row r="189">
          <cell r="A189" t="str">
            <v>Haiti</v>
          </cell>
        </row>
        <row r="190">
          <cell r="A190" t="str">
            <v>Belize</v>
          </cell>
        </row>
        <row r="191">
          <cell r="A191" t="str">
            <v>CuraÃ§ao</v>
          </cell>
        </row>
        <row r="192">
          <cell r="A192" t="str">
            <v>Turks &amp; Caicos Islands</v>
          </cell>
        </row>
        <row r="193">
          <cell r="A193" t="str">
            <v>St. Vincent &amp; Grenadines</v>
          </cell>
        </row>
        <row r="194">
          <cell r="A194" t="str">
            <v>Mayotte</v>
          </cell>
        </row>
        <row r="195">
          <cell r="A195" t="str">
            <v>Gambia</v>
          </cell>
        </row>
        <row r="196">
          <cell r="A196" t="str">
            <v>St. Kitts &amp; Nevis</v>
          </cell>
        </row>
        <row r="197">
          <cell r="A197" t="str">
            <v>Seychelles</v>
          </cell>
        </row>
        <row r="198">
          <cell r="A198" t="str">
            <v>Niger</v>
          </cell>
        </row>
        <row r="199">
          <cell r="A199" t="str">
            <v>Turkmenistan</v>
          </cell>
        </row>
        <row r="200">
          <cell r="A200" t="str">
            <v>Gabon</v>
          </cell>
        </row>
        <row r="201">
          <cell r="A201" t="str">
            <v>Burkina Faso</v>
          </cell>
        </row>
        <row r="202">
          <cell r="A202" t="str">
            <v>Timor-Leste</v>
          </cell>
        </row>
        <row r="203">
          <cell r="A203" t="str">
            <v>Burundi</v>
          </cell>
        </row>
        <row r="204">
          <cell r="A204" t="str">
            <v>Bermuda</v>
          </cell>
        </row>
        <row r="205">
          <cell r="A205" t="str">
            <v>New Caledonia</v>
          </cell>
        </row>
        <row r="206">
          <cell r="A206" t="str">
            <v>Guinea</v>
          </cell>
        </row>
        <row r="207">
          <cell r="A207" t="str">
            <v>Liberia</v>
          </cell>
        </row>
        <row r="208">
          <cell r="A208" t="str">
            <v>Mauritania</v>
          </cell>
        </row>
        <row r="209">
          <cell r="A209" t="str">
            <v>Djibouti</v>
          </cell>
        </row>
        <row r="210">
          <cell r="A210" t="str">
            <v>Cape Verde</v>
          </cell>
        </row>
        <row r="211">
          <cell r="A211" t="str">
            <v>Antigua &amp; Barbuda</v>
          </cell>
        </row>
        <row r="212">
          <cell r="A212" t="str">
            <v>Aruba</v>
          </cell>
        </row>
        <row r="213">
          <cell r="A213" t="str">
            <v>Guadeloupe</v>
          </cell>
        </row>
        <row r="214">
          <cell r="A214" t="str">
            <v>French Guiana</v>
          </cell>
        </row>
        <row r="215">
          <cell r="A215" t="str">
            <v>Mali</v>
          </cell>
        </row>
        <row r="216">
          <cell r="A216" t="str">
            <v>Martinique</v>
          </cell>
        </row>
        <row r="217">
          <cell r="A217" t="str">
            <v>Suriname</v>
          </cell>
        </row>
        <row r="218">
          <cell r="A218" t="str">
            <v>American Samoa</v>
          </cell>
        </row>
        <row r="219">
          <cell r="A219" t="str">
            <v>Antarctica</v>
          </cell>
        </row>
        <row r="220">
          <cell r="A220" t="str">
            <v>French Southern Territories</v>
          </cell>
        </row>
        <row r="221">
          <cell r="A221" t="str">
            <v>Caribbean Netherlands</v>
          </cell>
        </row>
        <row r="222">
          <cell r="A222" t="str">
            <v>St. BarthÃ©lemy</v>
          </cell>
        </row>
        <row r="223">
          <cell r="A223" t="str">
            <v>Bouvet Island</v>
          </cell>
        </row>
        <row r="224">
          <cell r="A224" t="str">
            <v>Cocos (Keeling) Islands</v>
          </cell>
        </row>
        <row r="225">
          <cell r="A225" t="str">
            <v>Cook Islands</v>
          </cell>
        </row>
        <row r="226">
          <cell r="A226" t="str">
            <v>Christmas Island</v>
          </cell>
        </row>
        <row r="227">
          <cell r="A227" t="str">
            <v>Eritrea</v>
          </cell>
        </row>
        <row r="228">
          <cell r="A228" t="str">
            <v>Western Sahara</v>
          </cell>
        </row>
        <row r="229">
          <cell r="A229" t="str">
            <v>Falkland Islands (Islas Malvinas)</v>
          </cell>
        </row>
        <row r="230">
          <cell r="A230" t="str">
            <v>Equatorial Guinea</v>
          </cell>
        </row>
        <row r="231">
          <cell r="A231" t="str">
            <v>Heard &amp; McDonald Islands</v>
          </cell>
        </row>
        <row r="232">
          <cell r="A232" t="str">
            <v>Kiribati</v>
          </cell>
        </row>
        <row r="233">
          <cell r="A233" t="str">
            <v>St. Martin</v>
          </cell>
        </row>
        <row r="234">
          <cell r="A234" t="str">
            <v>Marshall Islands</v>
          </cell>
        </row>
        <row r="235">
          <cell r="A235" t="str">
            <v>Montserrat</v>
          </cell>
        </row>
        <row r="236">
          <cell r="A236" t="str">
            <v>Norfolk Island</v>
          </cell>
        </row>
        <row r="237">
          <cell r="A237" t="str">
            <v>Niue</v>
          </cell>
        </row>
        <row r="238">
          <cell r="A238" t="str">
            <v>Nauru</v>
          </cell>
        </row>
        <row r="239">
          <cell r="A239" t="str">
            <v>Pitcairn Islands</v>
          </cell>
        </row>
        <row r="240">
          <cell r="A240" t="str">
            <v>Palau</v>
          </cell>
        </row>
        <row r="241">
          <cell r="A241" t="str">
            <v>North Korea</v>
          </cell>
        </row>
        <row r="242">
          <cell r="A242" t="str">
            <v>South Georgia &amp; South Sandwich Islands</v>
          </cell>
        </row>
        <row r="243">
          <cell r="A243" t="str">
            <v>Svalbard &amp; Jan Mayen</v>
          </cell>
        </row>
        <row r="244">
          <cell r="A244" t="str">
            <v>Solomon Islands</v>
          </cell>
        </row>
        <row r="245">
          <cell r="A245" t="str">
            <v>Sierra Leone</v>
          </cell>
        </row>
        <row r="246">
          <cell r="A246" t="str">
            <v>South Sudan</v>
          </cell>
        </row>
        <row r="247">
          <cell r="A247" t="str">
            <v>SÃ£o TomÃ© &amp; PrÃ­ncipe</v>
          </cell>
        </row>
        <row r="248">
          <cell r="A248" t="str">
            <v>Tokelau</v>
          </cell>
        </row>
        <row r="249">
          <cell r="A249" t="str">
            <v>Tuvalu</v>
          </cell>
        </row>
        <row r="250">
          <cell r="A250" t="str">
            <v>U.S. Outlying Islands</v>
          </cell>
        </row>
        <row r="251">
          <cell r="A251" t="str">
            <v>Vatican City</v>
          </cell>
        </row>
        <row r="252">
          <cell r="A252" t="str">
            <v>U.S. Virgin Islands</v>
          </cell>
        </row>
        <row r="253">
          <cell r="A253" t="str">
            <v>Wallis &amp; Futuna</v>
          </cell>
        </row>
      </sheetData>
    </sheetDataSet>
  </externalBook>
</externalLink>
</file>

<file path=xl/externalLinks/externalLink2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2)"/>
    </sheetNames>
    <sheetDataSet>
      <sheetData sheetId="0">
        <row r="1">
          <cell r="A1" t="str">
            <v>Kategori: TÃ¼m kategoriler</v>
          </cell>
        </row>
        <row r="3">
          <cell r="A3" t="str">
            <v>Ãœlke</v>
          </cell>
          <cell r="B3" t="str">
            <v>YÄ±ÄŸÄ±n: (2015)</v>
          </cell>
          <cell r="C3" t="str">
            <v>DÃ¼zenli ifade: (2015)</v>
          </cell>
        </row>
        <row r="4">
          <cell r="A4" t="str">
            <v>China</v>
          </cell>
          <cell r="B4">
            <v>0.3</v>
          </cell>
          <cell r="C4">
            <v>0.7</v>
          </cell>
        </row>
        <row r="5">
          <cell r="A5" t="str">
            <v>Cuba</v>
          </cell>
        </row>
        <row r="6">
          <cell r="A6" t="str">
            <v>Taiwan</v>
          </cell>
          <cell r="B6">
            <v>0.8</v>
          </cell>
          <cell r="C6">
            <v>0.2</v>
          </cell>
        </row>
        <row r="7">
          <cell r="A7" t="str">
            <v>St. Helena</v>
          </cell>
        </row>
        <row r="8">
          <cell r="A8" t="str">
            <v>Hong Kong</v>
          </cell>
          <cell r="B8">
            <v>0.56999999999999995</v>
          </cell>
          <cell r="C8">
            <v>0.43</v>
          </cell>
        </row>
        <row r="9">
          <cell r="A9" t="str">
            <v>South Korea</v>
          </cell>
          <cell r="B9">
            <v>0.49</v>
          </cell>
          <cell r="C9">
            <v>0.51</v>
          </cell>
        </row>
        <row r="10">
          <cell r="A10" t="str">
            <v>Czechia</v>
          </cell>
          <cell r="B10">
            <v>0.56999999999999995</v>
          </cell>
          <cell r="C10">
            <v>0.43</v>
          </cell>
        </row>
        <row r="11">
          <cell r="A11" t="str">
            <v>Israel</v>
          </cell>
          <cell r="B11">
            <v>0.4</v>
          </cell>
          <cell r="C11">
            <v>0.6</v>
          </cell>
        </row>
        <row r="12">
          <cell r="A12" t="str">
            <v>Singapore</v>
          </cell>
          <cell r="B12">
            <v>0.56999999999999995</v>
          </cell>
          <cell r="C12">
            <v>0.43</v>
          </cell>
        </row>
        <row r="13">
          <cell r="A13" t="str">
            <v>Iceland</v>
          </cell>
        </row>
        <row r="14">
          <cell r="A14" t="str">
            <v>Macao</v>
          </cell>
        </row>
        <row r="15">
          <cell r="A15" t="str">
            <v>Luxembourg</v>
          </cell>
        </row>
        <row r="16">
          <cell r="A16" t="str">
            <v>Slovenia</v>
          </cell>
          <cell r="B16">
            <v>0.69</v>
          </cell>
          <cell r="C16">
            <v>0.31</v>
          </cell>
        </row>
        <row r="17">
          <cell r="A17" t="str">
            <v>Belarus</v>
          </cell>
          <cell r="B17">
            <v>0.34</v>
          </cell>
          <cell r="C17">
            <v>0.66</v>
          </cell>
        </row>
        <row r="18">
          <cell r="A18" t="str">
            <v>Slovakia</v>
          </cell>
          <cell r="B18">
            <v>0.67</v>
          </cell>
          <cell r="C18">
            <v>0.33</v>
          </cell>
        </row>
        <row r="19">
          <cell r="A19" t="str">
            <v>Gibraltar</v>
          </cell>
        </row>
        <row r="20">
          <cell r="A20" t="str">
            <v>Japan</v>
          </cell>
          <cell r="B20">
            <v>0.34</v>
          </cell>
          <cell r="C20">
            <v>0.66</v>
          </cell>
        </row>
        <row r="21">
          <cell r="A21" t="str">
            <v>India</v>
          </cell>
          <cell r="B21">
            <v>0.52</v>
          </cell>
          <cell r="C21">
            <v>0.48</v>
          </cell>
        </row>
        <row r="22">
          <cell r="A22" t="str">
            <v>Switzerland</v>
          </cell>
          <cell r="B22">
            <v>0.33</v>
          </cell>
          <cell r="C22">
            <v>0.67</v>
          </cell>
        </row>
        <row r="23">
          <cell r="A23" t="str">
            <v>New Zealand</v>
          </cell>
          <cell r="B23">
            <v>0.57999999999999996</v>
          </cell>
          <cell r="C23">
            <v>0.42</v>
          </cell>
        </row>
        <row r="24">
          <cell r="A24" t="str">
            <v>Estonia</v>
          </cell>
        </row>
        <row r="25">
          <cell r="A25" t="str">
            <v>Ethiopia</v>
          </cell>
        </row>
        <row r="26">
          <cell r="A26" t="str">
            <v>Botswana</v>
          </cell>
        </row>
        <row r="27">
          <cell r="A27" t="str">
            <v>Malta</v>
          </cell>
        </row>
        <row r="28">
          <cell r="A28" t="str">
            <v>United States</v>
          </cell>
          <cell r="B28">
            <v>0.54</v>
          </cell>
          <cell r="C28">
            <v>0.46</v>
          </cell>
        </row>
        <row r="29">
          <cell r="A29" t="str">
            <v>Sweden</v>
          </cell>
          <cell r="B29">
            <v>0.46</v>
          </cell>
          <cell r="C29">
            <v>0.54</v>
          </cell>
        </row>
        <row r="30">
          <cell r="A30" t="str">
            <v>Australia</v>
          </cell>
          <cell r="B30">
            <v>0.57999999999999996</v>
          </cell>
          <cell r="C30">
            <v>0.42</v>
          </cell>
        </row>
        <row r="31">
          <cell r="A31" t="str">
            <v>Canada</v>
          </cell>
          <cell r="B31">
            <v>0.55000000000000004</v>
          </cell>
          <cell r="C31">
            <v>0.45</v>
          </cell>
        </row>
        <row r="32">
          <cell r="A32" t="str">
            <v>Madagascar</v>
          </cell>
        </row>
        <row r="33">
          <cell r="A33" t="str">
            <v>Germany</v>
          </cell>
          <cell r="B33">
            <v>0.37</v>
          </cell>
          <cell r="C33">
            <v>0.63</v>
          </cell>
        </row>
        <row r="34">
          <cell r="A34" t="str">
            <v>Philippines</v>
          </cell>
          <cell r="B34">
            <v>0.68</v>
          </cell>
          <cell r="C34">
            <v>0.32</v>
          </cell>
        </row>
        <row r="35">
          <cell r="A35" t="str">
            <v>Ukraine</v>
          </cell>
          <cell r="B35">
            <v>0.36</v>
          </cell>
          <cell r="C35">
            <v>0.64</v>
          </cell>
        </row>
        <row r="36">
          <cell r="A36" t="str">
            <v>Bulgaria</v>
          </cell>
          <cell r="B36">
            <v>0.43</v>
          </cell>
          <cell r="C36">
            <v>0.56999999999999995</v>
          </cell>
        </row>
        <row r="37">
          <cell r="A37" t="str">
            <v>Nepal</v>
          </cell>
        </row>
        <row r="38">
          <cell r="A38" t="str">
            <v>Austria</v>
          </cell>
          <cell r="B38">
            <v>0.38</v>
          </cell>
          <cell r="C38">
            <v>0.62</v>
          </cell>
        </row>
        <row r="39">
          <cell r="A39" t="str">
            <v>Latvia</v>
          </cell>
        </row>
        <row r="40">
          <cell r="A40" t="str">
            <v>Ireland</v>
          </cell>
          <cell r="B40">
            <v>0.51</v>
          </cell>
          <cell r="C40">
            <v>0.49</v>
          </cell>
        </row>
        <row r="41">
          <cell r="A41" t="str">
            <v>Sri Lanka</v>
          </cell>
          <cell r="B41">
            <v>0.56000000000000005</v>
          </cell>
          <cell r="C41">
            <v>0.44</v>
          </cell>
        </row>
        <row r="42">
          <cell r="A42" t="str">
            <v>Belgium</v>
          </cell>
          <cell r="B42">
            <v>0.35</v>
          </cell>
          <cell r="C42">
            <v>0.65</v>
          </cell>
        </row>
        <row r="43">
          <cell r="A43" t="str">
            <v>Finland</v>
          </cell>
          <cell r="B43">
            <v>0.48</v>
          </cell>
          <cell r="C43">
            <v>0.52</v>
          </cell>
        </row>
        <row r="44">
          <cell r="A44" t="str">
            <v>Russia</v>
          </cell>
          <cell r="B44">
            <v>0.38</v>
          </cell>
          <cell r="C44">
            <v>0.62</v>
          </cell>
        </row>
        <row r="45">
          <cell r="A45" t="str">
            <v>Pakistan</v>
          </cell>
          <cell r="B45">
            <v>0.6</v>
          </cell>
          <cell r="C45">
            <v>0.4</v>
          </cell>
        </row>
        <row r="46">
          <cell r="A46" t="str">
            <v>Norway</v>
          </cell>
          <cell r="B46">
            <v>0.51</v>
          </cell>
          <cell r="C46">
            <v>0.49</v>
          </cell>
        </row>
        <row r="47">
          <cell r="A47" t="str">
            <v>Brunei</v>
          </cell>
        </row>
        <row r="48">
          <cell r="A48" t="str">
            <v>Armenia</v>
          </cell>
        </row>
        <row r="49">
          <cell r="A49" t="str">
            <v>United Kingdom</v>
          </cell>
          <cell r="B49">
            <v>0.54</v>
          </cell>
          <cell r="C49">
            <v>0.46</v>
          </cell>
        </row>
        <row r="50">
          <cell r="A50" t="str">
            <v>Jersey</v>
          </cell>
        </row>
        <row r="51">
          <cell r="A51" t="str">
            <v>Hungary</v>
          </cell>
          <cell r="B51">
            <v>0.35</v>
          </cell>
          <cell r="C51">
            <v>0.65</v>
          </cell>
        </row>
        <row r="52">
          <cell r="A52" t="str">
            <v>Netherlands</v>
          </cell>
          <cell r="B52">
            <v>0.48</v>
          </cell>
          <cell r="C52">
            <v>0.52</v>
          </cell>
        </row>
        <row r="53">
          <cell r="A53" t="str">
            <v>Afghanistan</v>
          </cell>
        </row>
        <row r="54">
          <cell r="A54" t="str">
            <v>Denmark</v>
          </cell>
          <cell r="B54">
            <v>0.48</v>
          </cell>
          <cell r="C54">
            <v>0.52</v>
          </cell>
        </row>
        <row r="55">
          <cell r="A55" t="str">
            <v>North Macedonia</v>
          </cell>
        </row>
        <row r="56">
          <cell r="A56" t="str">
            <v>Barbados</v>
          </cell>
        </row>
        <row r="57">
          <cell r="A57" t="str">
            <v>Moldova</v>
          </cell>
        </row>
        <row r="58">
          <cell r="A58" t="str">
            <v>Bangladesh</v>
          </cell>
          <cell r="B58">
            <v>0.6</v>
          </cell>
          <cell r="C58">
            <v>0.4</v>
          </cell>
        </row>
        <row r="59">
          <cell r="A59" t="str">
            <v>Papua New Guinea</v>
          </cell>
        </row>
        <row r="60">
          <cell r="A60" t="str">
            <v>Iran</v>
          </cell>
          <cell r="B60">
            <v>0.71</v>
          </cell>
          <cell r="C60">
            <v>0.28999999999999998</v>
          </cell>
        </row>
        <row r="61">
          <cell r="A61" t="str">
            <v>Lithuania</v>
          </cell>
          <cell r="B61">
            <v>0.52</v>
          </cell>
          <cell r="C61">
            <v>0.48</v>
          </cell>
        </row>
        <row r="62">
          <cell r="A62" t="str">
            <v>South Africa</v>
          </cell>
          <cell r="B62">
            <v>0.57999999999999996</v>
          </cell>
          <cell r="C62">
            <v>0.42</v>
          </cell>
        </row>
        <row r="63">
          <cell r="A63" t="str">
            <v>Guam</v>
          </cell>
        </row>
        <row r="64">
          <cell r="A64" t="str">
            <v>Malaysia</v>
          </cell>
          <cell r="B64">
            <v>0.7</v>
          </cell>
          <cell r="C64">
            <v>0.3</v>
          </cell>
        </row>
        <row r="65">
          <cell r="A65" t="str">
            <v>Poland</v>
          </cell>
          <cell r="B65">
            <v>0.46</v>
          </cell>
          <cell r="C65">
            <v>0.54</v>
          </cell>
        </row>
        <row r="66">
          <cell r="A66" t="str">
            <v>Portugal</v>
          </cell>
          <cell r="B66">
            <v>0.42</v>
          </cell>
          <cell r="C66">
            <v>0.57999999999999996</v>
          </cell>
        </row>
        <row r="67">
          <cell r="A67" t="str">
            <v>Trinidad &amp; Tobago</v>
          </cell>
        </row>
        <row r="68">
          <cell r="A68" t="str">
            <v>France</v>
          </cell>
          <cell r="B68">
            <v>0.2</v>
          </cell>
          <cell r="C68">
            <v>0.8</v>
          </cell>
        </row>
        <row r="69">
          <cell r="A69" t="str">
            <v>Greece</v>
          </cell>
          <cell r="B69">
            <v>0.67</v>
          </cell>
          <cell r="C69">
            <v>0.33</v>
          </cell>
        </row>
        <row r="70">
          <cell r="A70" t="str">
            <v>Ghana</v>
          </cell>
        </row>
        <row r="71">
          <cell r="A71" t="str">
            <v>Romania</v>
          </cell>
          <cell r="B71">
            <v>0.47</v>
          </cell>
          <cell r="C71">
            <v>0.53</v>
          </cell>
        </row>
        <row r="72">
          <cell r="A72" t="str">
            <v>Cyprus</v>
          </cell>
        </row>
        <row r="73">
          <cell r="A73" t="str">
            <v>Costa Rica</v>
          </cell>
        </row>
        <row r="74">
          <cell r="A74" t="str">
            <v>Jamaica</v>
          </cell>
        </row>
        <row r="75">
          <cell r="A75" t="str">
            <v>Mongolia</v>
          </cell>
        </row>
        <row r="76">
          <cell r="A76" t="str">
            <v>Fiji</v>
          </cell>
        </row>
        <row r="77">
          <cell r="A77" t="str">
            <v>Bahamas</v>
          </cell>
        </row>
        <row r="78">
          <cell r="A78" t="str">
            <v>Mauritius</v>
          </cell>
        </row>
        <row r="79">
          <cell r="A79" t="str">
            <v>Zimbabwe</v>
          </cell>
        </row>
        <row r="80">
          <cell r="A80" t="str">
            <v>Croatia</v>
          </cell>
          <cell r="B80">
            <v>0.52</v>
          </cell>
          <cell r="C80">
            <v>0.48</v>
          </cell>
        </row>
        <row r="81">
          <cell r="A81" t="str">
            <v>Namibia</v>
          </cell>
        </row>
        <row r="82">
          <cell r="A82" t="str">
            <v>Qatar</v>
          </cell>
        </row>
        <row r="83">
          <cell r="A83" t="str">
            <v>Serbia</v>
          </cell>
          <cell r="B83">
            <v>0.51</v>
          </cell>
          <cell r="C83">
            <v>0.49</v>
          </cell>
        </row>
        <row r="84">
          <cell r="A84" t="str">
            <v>Lebanon</v>
          </cell>
        </row>
        <row r="85">
          <cell r="A85" t="str">
            <v>United Arab Emirates</v>
          </cell>
          <cell r="B85">
            <v>0.68</v>
          </cell>
          <cell r="C85">
            <v>0.32</v>
          </cell>
        </row>
        <row r="86">
          <cell r="A86" t="str">
            <v>Rwanda</v>
          </cell>
        </row>
        <row r="87">
          <cell r="A87" t="str">
            <v>Somalia</v>
          </cell>
        </row>
        <row r="88">
          <cell r="A88" t="str">
            <v>Bosnia &amp; Herzegovina</v>
          </cell>
        </row>
        <row r="89">
          <cell r="A89" t="str">
            <v>Bahrain</v>
          </cell>
        </row>
        <row r="90">
          <cell r="A90" t="str">
            <v>Myanmar (Burma)</v>
          </cell>
        </row>
        <row r="91">
          <cell r="A91" t="str">
            <v>Uruguay</v>
          </cell>
        </row>
        <row r="92">
          <cell r="A92" t="str">
            <v>Malawi</v>
          </cell>
        </row>
        <row r="93">
          <cell r="A93" t="str">
            <v>Zambia</v>
          </cell>
        </row>
        <row r="94">
          <cell r="A94" t="str">
            <v>Uzbekistan</v>
          </cell>
        </row>
        <row r="95">
          <cell r="A95" t="str">
            <v>Guyana</v>
          </cell>
        </row>
        <row r="96">
          <cell r="A96" t="str">
            <v>Uganda</v>
          </cell>
        </row>
        <row r="97">
          <cell r="A97" t="str">
            <v>Kenya</v>
          </cell>
        </row>
        <row r="98">
          <cell r="A98" t="str">
            <v>Spain</v>
          </cell>
          <cell r="B98">
            <v>0.36</v>
          </cell>
          <cell r="C98">
            <v>0.64</v>
          </cell>
        </row>
        <row r="99">
          <cell r="A99" t="str">
            <v>Tanzania</v>
          </cell>
        </row>
        <row r="100">
          <cell r="A100" t="str">
            <v>Kyrgyzstan</v>
          </cell>
        </row>
        <row r="101">
          <cell r="A101" t="str">
            <v>Lesotho</v>
          </cell>
        </row>
        <row r="102">
          <cell r="A102" t="str">
            <v>Montenegro</v>
          </cell>
        </row>
        <row r="103">
          <cell r="A103" t="str">
            <v>Kuwait</v>
          </cell>
        </row>
        <row r="104">
          <cell r="A104" t="str">
            <v>Maldives</v>
          </cell>
        </row>
        <row r="105">
          <cell r="A105" t="str">
            <v>Oman</v>
          </cell>
        </row>
        <row r="106">
          <cell r="A106" t="str">
            <v>Puerto Rico</v>
          </cell>
        </row>
        <row r="107">
          <cell r="A107" t="str">
            <v>Nigeria</v>
          </cell>
        </row>
        <row r="108">
          <cell r="A108" t="str">
            <v>Tunisia</v>
          </cell>
        </row>
        <row r="109">
          <cell r="A109" t="str">
            <v>Cambodia</v>
          </cell>
        </row>
        <row r="110">
          <cell r="A110" t="str">
            <v>Italy</v>
          </cell>
          <cell r="B110">
            <v>0.5</v>
          </cell>
          <cell r="C110">
            <v>0.5</v>
          </cell>
        </row>
        <row r="111">
          <cell r="A111" t="str">
            <v>Albania</v>
          </cell>
        </row>
        <row r="112">
          <cell r="A112" t="str">
            <v>Laos</v>
          </cell>
        </row>
        <row r="113">
          <cell r="A113" t="str">
            <v>Angola</v>
          </cell>
        </row>
        <row r="114">
          <cell r="A114" t="str">
            <v>Thailand</v>
          </cell>
          <cell r="B114">
            <v>0.69</v>
          </cell>
          <cell r="C114">
            <v>0.31</v>
          </cell>
        </row>
        <row r="115">
          <cell r="A115" t="str">
            <v>Cameroon</v>
          </cell>
        </row>
        <row r="116">
          <cell r="A116" t="str">
            <v>Indonesia</v>
          </cell>
          <cell r="B116">
            <v>0.67</v>
          </cell>
          <cell r="C116">
            <v>0.33</v>
          </cell>
        </row>
        <row r="117">
          <cell r="A117" t="str">
            <v>Vietnam</v>
          </cell>
          <cell r="B117">
            <v>0.53</v>
          </cell>
          <cell r="C117">
            <v>0.47</v>
          </cell>
        </row>
        <row r="118">
          <cell r="A118" t="str">
            <v>Jordan</v>
          </cell>
        </row>
        <row r="119">
          <cell r="A119" t="str">
            <v>Guatemala</v>
          </cell>
        </row>
        <row r="120">
          <cell r="A120" t="str">
            <v>Azerbaijan</v>
          </cell>
        </row>
        <row r="121">
          <cell r="A121" t="str">
            <v>Palestine</v>
          </cell>
        </row>
        <row r="122">
          <cell r="A122" t="str">
            <v>Egypt</v>
          </cell>
          <cell r="B122">
            <v>0.56999999999999995</v>
          </cell>
          <cell r="C122">
            <v>0.43</v>
          </cell>
        </row>
        <row r="123">
          <cell r="A123" t="str">
            <v>Kazakhstan</v>
          </cell>
        </row>
        <row r="124">
          <cell r="A124" t="str">
            <v>Bolivia</v>
          </cell>
        </row>
        <row r="125">
          <cell r="A125" t="str">
            <v>Mozambique</v>
          </cell>
        </row>
        <row r="126">
          <cell r="A126" t="str">
            <v>Sudan</v>
          </cell>
        </row>
        <row r="127">
          <cell r="A127" t="str">
            <v>Mexico</v>
          </cell>
          <cell r="B127">
            <v>0.45</v>
          </cell>
          <cell r="C127">
            <v>0.55000000000000004</v>
          </cell>
        </row>
        <row r="128">
          <cell r="A128" t="str">
            <v>Morocco</v>
          </cell>
        </row>
        <row r="129">
          <cell r="A129" t="str">
            <v>Brazil</v>
          </cell>
          <cell r="B129">
            <v>0.42</v>
          </cell>
          <cell r="C129">
            <v>0.57999999999999996</v>
          </cell>
        </row>
        <row r="130">
          <cell r="A130" t="str">
            <v>Argentina</v>
          </cell>
          <cell r="B130">
            <v>0.38</v>
          </cell>
          <cell r="C130">
            <v>0.62</v>
          </cell>
        </row>
        <row r="131">
          <cell r="A131" t="str">
            <v>Chile</v>
          </cell>
          <cell r="B131">
            <v>0.45</v>
          </cell>
          <cell r="C131">
            <v>0.55000000000000004</v>
          </cell>
        </row>
        <row r="132">
          <cell r="A132" t="str">
            <v>Georgia</v>
          </cell>
        </row>
        <row r="133">
          <cell r="A133" t="str">
            <v>Nicaragua</v>
          </cell>
        </row>
        <row r="134">
          <cell r="A134" t="str">
            <v>Syria</v>
          </cell>
        </row>
        <row r="135">
          <cell r="A135" t="str">
            <v>Panama</v>
          </cell>
        </row>
        <row r="136">
          <cell r="A136" t="str">
            <v>Turkmenistan</v>
          </cell>
        </row>
        <row r="137">
          <cell r="A137" t="str">
            <v>Saudi Arabia</v>
          </cell>
        </row>
        <row r="138">
          <cell r="A138" t="str">
            <v>CÃ´te dâ€™Ivoire</v>
          </cell>
        </row>
        <row r="139">
          <cell r="A139" t="str">
            <v>El Salvador</v>
          </cell>
        </row>
        <row r="140">
          <cell r="A140" t="str">
            <v>RÃ©union</v>
          </cell>
        </row>
        <row r="141">
          <cell r="A141" t="str">
            <v>Honduras</v>
          </cell>
        </row>
        <row r="142">
          <cell r="A142" t="str">
            <v>Colombia</v>
          </cell>
          <cell r="B142">
            <v>0.39</v>
          </cell>
          <cell r="C142">
            <v>0.61</v>
          </cell>
        </row>
        <row r="143">
          <cell r="A143" t="str">
            <v>Paraguay</v>
          </cell>
        </row>
        <row r="144">
          <cell r="A144" t="str">
            <v>Ecuador</v>
          </cell>
        </row>
        <row r="145">
          <cell r="A145" t="str">
            <v>Dominican Republic</v>
          </cell>
        </row>
        <row r="146">
          <cell r="A146" t="str">
            <v>Kosovo</v>
          </cell>
        </row>
        <row r="147">
          <cell r="A147" t="str">
            <v>Libya</v>
          </cell>
        </row>
        <row r="148">
          <cell r="A148" t="str">
            <v>Senegal</v>
          </cell>
        </row>
        <row r="149">
          <cell r="A149" t="str">
            <v>Turkey</v>
          </cell>
          <cell r="B149">
            <v>0.59</v>
          </cell>
          <cell r="C149">
            <v>0.41</v>
          </cell>
        </row>
        <row r="150">
          <cell r="A150" t="str">
            <v>Peru</v>
          </cell>
          <cell r="B150">
            <v>0.5</v>
          </cell>
          <cell r="C150">
            <v>0.5</v>
          </cell>
        </row>
        <row r="151">
          <cell r="A151" t="str">
            <v>Yemen</v>
          </cell>
        </row>
        <row r="152">
          <cell r="A152" t="str">
            <v>Venezuela</v>
          </cell>
          <cell r="B152">
            <v>0.5</v>
          </cell>
          <cell r="C152">
            <v>0.5</v>
          </cell>
        </row>
        <row r="153">
          <cell r="A153" t="str">
            <v>Iraq</v>
          </cell>
        </row>
        <row r="154">
          <cell r="A154" t="str">
            <v>Algeria</v>
          </cell>
        </row>
        <row r="155">
          <cell r="A155" t="str">
            <v>British Indian Ocean Territory</v>
          </cell>
        </row>
        <row r="156">
          <cell r="A156" t="str">
            <v>Palau</v>
          </cell>
        </row>
        <row r="157">
          <cell r="A157" t="str">
            <v>Eritrea</v>
          </cell>
        </row>
        <row r="158">
          <cell r="A158" t="str">
            <v>SÃ£o TomÃ© &amp; PrÃ­ncipe</v>
          </cell>
        </row>
        <row r="159">
          <cell r="A159" t="str">
            <v>Cook Islands</v>
          </cell>
        </row>
        <row r="160">
          <cell r="A160" t="str">
            <v>Marshall Islands</v>
          </cell>
        </row>
        <row r="161">
          <cell r="A161" t="str">
            <v>Central African Republic</v>
          </cell>
        </row>
        <row r="162">
          <cell r="A162" t="str">
            <v>Chad</v>
          </cell>
        </row>
        <row r="163">
          <cell r="A163" t="str">
            <v>Solomon Islands</v>
          </cell>
        </row>
        <row r="164">
          <cell r="A164" t="str">
            <v>St. Kitts &amp; Nevis</v>
          </cell>
        </row>
        <row r="165">
          <cell r="A165" t="str">
            <v>Tonga</v>
          </cell>
        </row>
        <row r="166">
          <cell r="A166" t="str">
            <v>Caribbean Netherlands</v>
          </cell>
        </row>
        <row r="167">
          <cell r="A167" t="str">
            <v>Northern Mariana Islands</v>
          </cell>
        </row>
        <row r="168">
          <cell r="A168" t="str">
            <v>Ã…land Islands</v>
          </cell>
        </row>
        <row r="169">
          <cell r="A169" t="str">
            <v>Comoros</v>
          </cell>
        </row>
        <row r="170">
          <cell r="A170" t="str">
            <v>Seychelles</v>
          </cell>
        </row>
        <row r="171">
          <cell r="A171" t="str">
            <v>St. Vincent &amp; Grenadines</v>
          </cell>
        </row>
        <row r="172">
          <cell r="A172" t="str">
            <v>Samoa</v>
          </cell>
        </row>
        <row r="173">
          <cell r="A173" t="str">
            <v>Anguilla</v>
          </cell>
        </row>
        <row r="174">
          <cell r="A174" t="str">
            <v>Turks &amp; Caicos Islands</v>
          </cell>
        </row>
        <row r="175">
          <cell r="A175" t="str">
            <v>Belize</v>
          </cell>
        </row>
        <row r="176">
          <cell r="A176" t="str">
            <v>Cayman Islands</v>
          </cell>
        </row>
        <row r="177">
          <cell r="A177" t="str">
            <v>Sint Maarten</v>
          </cell>
        </row>
        <row r="178">
          <cell r="A178" t="str">
            <v>Vanuatu</v>
          </cell>
        </row>
        <row r="179">
          <cell r="A179" t="str">
            <v>Bermuda</v>
          </cell>
        </row>
        <row r="180">
          <cell r="A180" t="str">
            <v>Greenland</v>
          </cell>
        </row>
        <row r="181">
          <cell r="A181" t="str">
            <v>San Marino</v>
          </cell>
        </row>
        <row r="182">
          <cell r="A182" t="str">
            <v>Liechtenstein</v>
          </cell>
        </row>
        <row r="183">
          <cell r="A183" t="str">
            <v>St. Martin</v>
          </cell>
        </row>
        <row r="184">
          <cell r="A184" t="str">
            <v>Guernsey</v>
          </cell>
        </row>
        <row r="185">
          <cell r="A185" t="str">
            <v>British Virgin Islands</v>
          </cell>
        </row>
        <row r="186">
          <cell r="A186" t="str">
            <v>Dominica</v>
          </cell>
        </row>
        <row r="187">
          <cell r="A187" t="str">
            <v>Isle of Man</v>
          </cell>
        </row>
        <row r="188">
          <cell r="A188" t="str">
            <v>Faroe Islands</v>
          </cell>
        </row>
        <row r="189">
          <cell r="A189" t="str">
            <v>Equatorial Guinea</v>
          </cell>
        </row>
        <row r="190">
          <cell r="A190" t="str">
            <v>Bhutan</v>
          </cell>
        </row>
        <row r="191">
          <cell r="A191" t="str">
            <v>CuraÃ§ao</v>
          </cell>
        </row>
        <row r="192">
          <cell r="A192" t="str">
            <v>Liberia</v>
          </cell>
        </row>
        <row r="193">
          <cell r="A193" t="str">
            <v>St. BarthÃ©lemy</v>
          </cell>
        </row>
        <row r="194">
          <cell r="A194" t="str">
            <v>U.S. Virgin Islands</v>
          </cell>
        </row>
        <row r="195">
          <cell r="A195" t="str">
            <v>Timor-Leste</v>
          </cell>
        </row>
        <row r="196">
          <cell r="A196" t="str">
            <v>Antigua &amp; Barbuda</v>
          </cell>
        </row>
        <row r="197">
          <cell r="A197" t="str">
            <v>Aruba</v>
          </cell>
        </row>
        <row r="198">
          <cell r="A198" t="str">
            <v>Gambia</v>
          </cell>
        </row>
        <row r="199">
          <cell r="A199" t="str">
            <v>Eswatini</v>
          </cell>
        </row>
        <row r="200">
          <cell r="A200" t="str">
            <v>Congo - Brazzaville</v>
          </cell>
        </row>
        <row r="201">
          <cell r="A201" t="str">
            <v>Andorra</v>
          </cell>
        </row>
        <row r="202">
          <cell r="A202" t="str">
            <v>Grenada</v>
          </cell>
        </row>
        <row r="203">
          <cell r="A203" t="str">
            <v>Suriname</v>
          </cell>
        </row>
        <row r="204">
          <cell r="A204" t="str">
            <v>St. Lucia</v>
          </cell>
        </row>
        <row r="205">
          <cell r="A205" t="str">
            <v>Togo</v>
          </cell>
        </row>
        <row r="206">
          <cell r="A206" t="str">
            <v>Monaco</v>
          </cell>
        </row>
        <row r="207">
          <cell r="A207" t="str">
            <v>Tajikistan</v>
          </cell>
        </row>
        <row r="208">
          <cell r="A208" t="str">
            <v>Mayotte</v>
          </cell>
        </row>
        <row r="209">
          <cell r="A209" t="str">
            <v>Cape Verde</v>
          </cell>
        </row>
        <row r="210">
          <cell r="A210" t="str">
            <v>Sierra Leone</v>
          </cell>
        </row>
        <row r="211">
          <cell r="A211" t="str">
            <v>Burundi</v>
          </cell>
        </row>
        <row r="212">
          <cell r="A212" t="str">
            <v>Haiti</v>
          </cell>
        </row>
        <row r="213">
          <cell r="A213" t="str">
            <v>Niger</v>
          </cell>
        </row>
        <row r="214">
          <cell r="A214" t="str">
            <v>South Sudan</v>
          </cell>
        </row>
        <row r="215">
          <cell r="A215" t="str">
            <v>New Caledonia</v>
          </cell>
        </row>
        <row r="216">
          <cell r="A216" t="str">
            <v>Djibouti</v>
          </cell>
        </row>
        <row r="217">
          <cell r="A217" t="str">
            <v>Congo - Kinshasa</v>
          </cell>
        </row>
        <row r="218">
          <cell r="A218" t="str">
            <v>Gabon</v>
          </cell>
        </row>
        <row r="219">
          <cell r="A219" t="str">
            <v>Mauritania</v>
          </cell>
        </row>
        <row r="220">
          <cell r="A220" t="str">
            <v>Benin</v>
          </cell>
        </row>
        <row r="221">
          <cell r="A221" t="str">
            <v>French Guiana</v>
          </cell>
        </row>
        <row r="222">
          <cell r="A222" t="str">
            <v>French Polynesia</v>
          </cell>
        </row>
        <row r="223">
          <cell r="A223" t="str">
            <v>Martinique</v>
          </cell>
        </row>
        <row r="224">
          <cell r="A224" t="str">
            <v>Guinea</v>
          </cell>
        </row>
        <row r="225">
          <cell r="A225" t="str">
            <v>Guadeloupe</v>
          </cell>
        </row>
        <row r="226">
          <cell r="A226" t="str">
            <v>Burkina Faso</v>
          </cell>
        </row>
        <row r="227">
          <cell r="A227" t="str">
            <v>Mali</v>
          </cell>
        </row>
        <row r="228">
          <cell r="A228" t="str">
            <v>American Samoa</v>
          </cell>
        </row>
        <row r="229">
          <cell r="A229" t="str">
            <v>Antarctica</v>
          </cell>
        </row>
        <row r="230">
          <cell r="A230" t="str">
            <v>French Southern Territories</v>
          </cell>
        </row>
        <row r="231">
          <cell r="A231" t="str">
            <v>Bouvet Island</v>
          </cell>
        </row>
        <row r="232">
          <cell r="A232" t="str">
            <v>Cocos (Keeling) Islands</v>
          </cell>
        </row>
        <row r="233">
          <cell r="A233" t="str">
            <v>Christmas Island</v>
          </cell>
        </row>
        <row r="234">
          <cell r="A234" t="str">
            <v>Western Sahara</v>
          </cell>
        </row>
        <row r="235">
          <cell r="A235" t="str">
            <v>Falkland Islands (Islas Malvinas)</v>
          </cell>
        </row>
        <row r="236">
          <cell r="A236" t="str">
            <v>Micronesia</v>
          </cell>
        </row>
        <row r="237">
          <cell r="A237" t="str">
            <v>Guinea-Bissau</v>
          </cell>
        </row>
        <row r="238">
          <cell r="A238" t="str">
            <v>Heard &amp; McDonald Islands</v>
          </cell>
        </row>
        <row r="239">
          <cell r="A239" t="str">
            <v>Kiribati</v>
          </cell>
        </row>
        <row r="240">
          <cell r="A240" t="str">
            <v>Montserrat</v>
          </cell>
        </row>
        <row r="241">
          <cell r="A241" t="str">
            <v>Norfolk Island</v>
          </cell>
        </row>
        <row r="242">
          <cell r="A242" t="str">
            <v>Niue</v>
          </cell>
        </row>
        <row r="243">
          <cell r="A243" t="str">
            <v>Nauru</v>
          </cell>
        </row>
        <row r="244">
          <cell r="A244" t="str">
            <v>Pitcairn Islands</v>
          </cell>
        </row>
        <row r="245">
          <cell r="A245" t="str">
            <v>North Korea</v>
          </cell>
        </row>
        <row r="246">
          <cell r="A246" t="str">
            <v>South Georgia &amp; South Sandwich Islands</v>
          </cell>
        </row>
        <row r="247">
          <cell r="A247" t="str">
            <v>Svalbard &amp; Jan Mayen</v>
          </cell>
        </row>
        <row r="248">
          <cell r="A248" t="str">
            <v>St. Pierre &amp; Miquelon</v>
          </cell>
        </row>
        <row r="249">
          <cell r="A249" t="str">
            <v>Tokelau</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2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3)"/>
    </sheetNames>
    <sheetDataSet>
      <sheetData sheetId="0">
        <row r="1">
          <cell r="A1" t="str">
            <v>Kategori: TÃ¼m kategoriler</v>
          </cell>
        </row>
        <row r="3">
          <cell r="A3" t="str">
            <v>Ãœlke</v>
          </cell>
          <cell r="B3" t="str">
            <v>DÃ¼zenli ifade: (2015)</v>
          </cell>
          <cell r="C3" t="str">
            <v>TCP: (2015)</v>
          </cell>
        </row>
        <row r="4">
          <cell r="A4" t="str">
            <v>China</v>
          </cell>
          <cell r="B4">
            <v>0.63</v>
          </cell>
          <cell r="C4">
            <v>0.37</v>
          </cell>
        </row>
        <row r="5">
          <cell r="A5" t="str">
            <v>Cuba</v>
          </cell>
        </row>
        <row r="6">
          <cell r="A6" t="str">
            <v>St. Helena</v>
          </cell>
        </row>
        <row r="7">
          <cell r="A7" t="str">
            <v>Botswana</v>
          </cell>
        </row>
        <row r="8">
          <cell r="A8" t="str">
            <v>South Korea</v>
          </cell>
          <cell r="B8">
            <v>0.51</v>
          </cell>
          <cell r="C8">
            <v>0.49</v>
          </cell>
        </row>
        <row r="9">
          <cell r="A9" t="str">
            <v>Israel</v>
          </cell>
          <cell r="B9">
            <v>0.65</v>
          </cell>
          <cell r="C9">
            <v>0.35</v>
          </cell>
        </row>
        <row r="10">
          <cell r="A10" t="str">
            <v>Iceland</v>
          </cell>
        </row>
        <row r="11">
          <cell r="A11" t="str">
            <v>Luxembourg</v>
          </cell>
        </row>
        <row r="12">
          <cell r="A12" t="str">
            <v>Hong Kong</v>
          </cell>
          <cell r="B12">
            <v>0.56000000000000005</v>
          </cell>
          <cell r="C12">
            <v>0.44</v>
          </cell>
        </row>
        <row r="13">
          <cell r="A13" t="str">
            <v>Belarus</v>
          </cell>
          <cell r="B13">
            <v>0.73</v>
          </cell>
          <cell r="C13">
            <v>0.27</v>
          </cell>
        </row>
        <row r="14">
          <cell r="A14" t="str">
            <v>Czechia</v>
          </cell>
          <cell r="B14">
            <v>0.61</v>
          </cell>
          <cell r="C14">
            <v>0.39</v>
          </cell>
        </row>
        <row r="15">
          <cell r="A15" t="str">
            <v>Gibraltar</v>
          </cell>
        </row>
        <row r="16">
          <cell r="A16" t="str">
            <v>Japan</v>
          </cell>
          <cell r="B16">
            <v>0.65</v>
          </cell>
          <cell r="C16">
            <v>0.35</v>
          </cell>
        </row>
        <row r="17">
          <cell r="A17" t="str">
            <v>Rwanda</v>
          </cell>
        </row>
        <row r="18">
          <cell r="A18" t="str">
            <v>Eswatini</v>
          </cell>
        </row>
        <row r="19">
          <cell r="A19" t="str">
            <v>Singapore</v>
          </cell>
          <cell r="B19">
            <v>0.49</v>
          </cell>
          <cell r="C19">
            <v>0.51</v>
          </cell>
        </row>
        <row r="20">
          <cell r="A20" t="str">
            <v>Switzerland</v>
          </cell>
          <cell r="B20">
            <v>0.57999999999999996</v>
          </cell>
          <cell r="C20">
            <v>0.42</v>
          </cell>
        </row>
        <row r="21">
          <cell r="A21" t="str">
            <v>Estonia</v>
          </cell>
        </row>
        <row r="22">
          <cell r="A22" t="str">
            <v>Bhutan</v>
          </cell>
        </row>
        <row r="23">
          <cell r="A23" t="str">
            <v>India</v>
          </cell>
          <cell r="B23">
            <v>0.51</v>
          </cell>
          <cell r="C23">
            <v>0.49</v>
          </cell>
        </row>
        <row r="24">
          <cell r="A24" t="str">
            <v>Malta</v>
          </cell>
        </row>
        <row r="25">
          <cell r="A25" t="str">
            <v>Ethiopia</v>
          </cell>
        </row>
        <row r="26">
          <cell r="A26" t="str">
            <v>Sweden</v>
          </cell>
          <cell r="B26">
            <v>0.6</v>
          </cell>
          <cell r="C26">
            <v>0.4</v>
          </cell>
        </row>
        <row r="27">
          <cell r="A27" t="str">
            <v>Zimbabwe</v>
          </cell>
        </row>
        <row r="28">
          <cell r="A28" t="str">
            <v>Cameroon</v>
          </cell>
        </row>
        <row r="29">
          <cell r="A29" t="str">
            <v>Madagascar</v>
          </cell>
        </row>
        <row r="30">
          <cell r="A30" t="str">
            <v>Germany</v>
          </cell>
          <cell r="B30">
            <v>0.57999999999999996</v>
          </cell>
          <cell r="C30">
            <v>0.42</v>
          </cell>
        </row>
        <row r="31">
          <cell r="A31" t="str">
            <v>Ukraine</v>
          </cell>
          <cell r="B31">
            <v>0.71</v>
          </cell>
          <cell r="C31">
            <v>0.28999999999999998</v>
          </cell>
        </row>
        <row r="32">
          <cell r="A32" t="str">
            <v>Papua New Guinea</v>
          </cell>
        </row>
        <row r="33">
          <cell r="A33" t="str">
            <v>Angola</v>
          </cell>
        </row>
        <row r="34">
          <cell r="A34" t="str">
            <v>Bulgaria</v>
          </cell>
          <cell r="B34">
            <v>0.67</v>
          </cell>
          <cell r="C34">
            <v>0.33</v>
          </cell>
        </row>
        <row r="35">
          <cell r="A35" t="str">
            <v>Lesotho</v>
          </cell>
        </row>
        <row r="36">
          <cell r="A36" t="str">
            <v>Benin</v>
          </cell>
        </row>
        <row r="37">
          <cell r="A37" t="str">
            <v>Nepal</v>
          </cell>
        </row>
        <row r="38">
          <cell r="A38" t="str">
            <v>Austria</v>
          </cell>
          <cell r="B38">
            <v>0.57999999999999996</v>
          </cell>
          <cell r="C38">
            <v>0.42</v>
          </cell>
        </row>
        <row r="39">
          <cell r="A39" t="str">
            <v>Brunei</v>
          </cell>
        </row>
        <row r="40">
          <cell r="A40" t="str">
            <v>Latvia</v>
          </cell>
        </row>
        <row r="41">
          <cell r="A41" t="str">
            <v>Myanmar (Burma)</v>
          </cell>
        </row>
        <row r="42">
          <cell r="A42" t="str">
            <v>United States</v>
          </cell>
          <cell r="B42">
            <v>0.56000000000000005</v>
          </cell>
          <cell r="C42">
            <v>0.44</v>
          </cell>
        </row>
        <row r="43">
          <cell r="A43" t="str">
            <v>Malawi</v>
          </cell>
        </row>
        <row r="44">
          <cell r="A44" t="str">
            <v>Belgium</v>
          </cell>
          <cell r="B44">
            <v>0.56000000000000005</v>
          </cell>
          <cell r="C44">
            <v>0.44</v>
          </cell>
        </row>
        <row r="45">
          <cell r="A45" t="str">
            <v>Namibia</v>
          </cell>
        </row>
        <row r="46">
          <cell r="A46" t="str">
            <v>Finland</v>
          </cell>
          <cell r="B46">
            <v>0.56000000000000005</v>
          </cell>
          <cell r="C46">
            <v>0.44</v>
          </cell>
        </row>
        <row r="47">
          <cell r="A47" t="str">
            <v>Russia</v>
          </cell>
          <cell r="B47">
            <v>0.61</v>
          </cell>
          <cell r="C47">
            <v>0.39</v>
          </cell>
        </row>
        <row r="48">
          <cell r="A48" t="str">
            <v>Ireland</v>
          </cell>
          <cell r="B48">
            <v>0.55000000000000004</v>
          </cell>
          <cell r="C48">
            <v>0.45</v>
          </cell>
        </row>
        <row r="49">
          <cell r="A49" t="str">
            <v>New Zealand</v>
          </cell>
          <cell r="B49">
            <v>0.55000000000000004</v>
          </cell>
          <cell r="C49">
            <v>0.45</v>
          </cell>
        </row>
        <row r="50">
          <cell r="A50" t="str">
            <v>Ghana</v>
          </cell>
        </row>
        <row r="51">
          <cell r="A51" t="str">
            <v>Canada</v>
          </cell>
          <cell r="B51">
            <v>0.56999999999999995</v>
          </cell>
          <cell r="C51">
            <v>0.43</v>
          </cell>
        </row>
        <row r="52">
          <cell r="A52" t="str">
            <v>Taiwan</v>
          </cell>
          <cell r="B52">
            <v>0.45</v>
          </cell>
          <cell r="C52">
            <v>0.55000000000000004</v>
          </cell>
        </row>
        <row r="53">
          <cell r="A53" t="str">
            <v>Congo - Kinshasa</v>
          </cell>
        </row>
        <row r="54">
          <cell r="A54" t="str">
            <v>Armenia</v>
          </cell>
        </row>
        <row r="55">
          <cell r="A55" t="str">
            <v>Sri Lanka</v>
          </cell>
          <cell r="B55">
            <v>0.47</v>
          </cell>
          <cell r="C55">
            <v>0.53</v>
          </cell>
        </row>
        <row r="56">
          <cell r="A56" t="str">
            <v>CÃ´te dâ€™Ivoire</v>
          </cell>
        </row>
        <row r="57">
          <cell r="A57" t="str">
            <v>Norway</v>
          </cell>
          <cell r="B57">
            <v>0.52</v>
          </cell>
          <cell r="C57">
            <v>0.48</v>
          </cell>
        </row>
        <row r="58">
          <cell r="A58" t="str">
            <v>Hungary</v>
          </cell>
          <cell r="B58">
            <v>0.59</v>
          </cell>
          <cell r="C58">
            <v>0.41</v>
          </cell>
        </row>
        <row r="59">
          <cell r="A59" t="str">
            <v>Netherlands</v>
          </cell>
          <cell r="B59">
            <v>0.56999999999999995</v>
          </cell>
          <cell r="C59">
            <v>0.43</v>
          </cell>
        </row>
        <row r="60">
          <cell r="A60" t="str">
            <v>Denmark</v>
          </cell>
          <cell r="B60">
            <v>0.59</v>
          </cell>
          <cell r="C60">
            <v>0.41</v>
          </cell>
        </row>
        <row r="61">
          <cell r="A61" t="str">
            <v>Tunisia</v>
          </cell>
        </row>
        <row r="62">
          <cell r="A62" t="str">
            <v>Uruguay</v>
          </cell>
        </row>
        <row r="63">
          <cell r="A63" t="str">
            <v>Mauritius</v>
          </cell>
        </row>
        <row r="64">
          <cell r="A64" t="str">
            <v>Uganda</v>
          </cell>
        </row>
        <row r="65">
          <cell r="A65" t="str">
            <v>Australia</v>
          </cell>
          <cell r="B65">
            <v>0.54</v>
          </cell>
          <cell r="C65">
            <v>0.46</v>
          </cell>
        </row>
        <row r="66">
          <cell r="A66" t="str">
            <v>Moldova</v>
          </cell>
        </row>
        <row r="67">
          <cell r="A67" t="str">
            <v>Jamaica</v>
          </cell>
        </row>
        <row r="68">
          <cell r="A68" t="str">
            <v>Cape Verde</v>
          </cell>
        </row>
        <row r="69">
          <cell r="A69" t="str">
            <v>Slovenia</v>
          </cell>
          <cell r="B69">
            <v>0.56000000000000005</v>
          </cell>
          <cell r="C69">
            <v>0.44</v>
          </cell>
        </row>
        <row r="70">
          <cell r="A70" t="str">
            <v>Fiji</v>
          </cell>
        </row>
        <row r="71">
          <cell r="A71" t="str">
            <v>United Kingdom</v>
          </cell>
          <cell r="B71">
            <v>0.54</v>
          </cell>
          <cell r="C71">
            <v>0.46</v>
          </cell>
        </row>
        <row r="72">
          <cell r="A72" t="str">
            <v>Slovakia</v>
          </cell>
          <cell r="B72">
            <v>0.56000000000000005</v>
          </cell>
          <cell r="C72">
            <v>0.44</v>
          </cell>
        </row>
        <row r="73">
          <cell r="A73" t="str">
            <v>Costa Rica</v>
          </cell>
          <cell r="B73">
            <v>0.48</v>
          </cell>
          <cell r="C73">
            <v>0.52</v>
          </cell>
        </row>
        <row r="74">
          <cell r="A74" t="str">
            <v>Somalia</v>
          </cell>
        </row>
        <row r="75">
          <cell r="A75" t="str">
            <v>Poland</v>
          </cell>
          <cell r="B75">
            <v>0.57999999999999996</v>
          </cell>
          <cell r="C75">
            <v>0.42</v>
          </cell>
        </row>
        <row r="76">
          <cell r="A76" t="str">
            <v>Afghanistan</v>
          </cell>
        </row>
        <row r="77">
          <cell r="A77" t="str">
            <v>Philippines</v>
          </cell>
          <cell r="B77">
            <v>0.42</v>
          </cell>
          <cell r="C77">
            <v>0.57999999999999996</v>
          </cell>
        </row>
        <row r="78">
          <cell r="A78" t="str">
            <v>Portugal</v>
          </cell>
          <cell r="B78">
            <v>0.52</v>
          </cell>
          <cell r="C78">
            <v>0.48</v>
          </cell>
        </row>
        <row r="79">
          <cell r="A79" t="str">
            <v>Mozambique</v>
          </cell>
        </row>
        <row r="80">
          <cell r="A80" t="str">
            <v>Jersey</v>
          </cell>
        </row>
        <row r="81">
          <cell r="A81" t="str">
            <v>France</v>
          </cell>
          <cell r="B81">
            <v>0.57999999999999996</v>
          </cell>
          <cell r="C81">
            <v>0.42</v>
          </cell>
        </row>
        <row r="82">
          <cell r="A82" t="str">
            <v>Zambia</v>
          </cell>
        </row>
        <row r="83">
          <cell r="A83" t="str">
            <v>Kenya</v>
          </cell>
        </row>
        <row r="84">
          <cell r="A84" t="str">
            <v>Togo</v>
          </cell>
        </row>
        <row r="85">
          <cell r="A85" t="str">
            <v>Romania</v>
          </cell>
          <cell r="B85">
            <v>0.56999999999999995</v>
          </cell>
          <cell r="C85">
            <v>0.43</v>
          </cell>
        </row>
        <row r="86">
          <cell r="A86" t="str">
            <v>Panama</v>
          </cell>
        </row>
        <row r="87">
          <cell r="A87" t="str">
            <v>Macao</v>
          </cell>
        </row>
        <row r="88">
          <cell r="A88" t="str">
            <v>Laos</v>
          </cell>
        </row>
        <row r="89">
          <cell r="A89" t="str">
            <v>Senegal</v>
          </cell>
        </row>
        <row r="90">
          <cell r="A90" t="str">
            <v>Lithuania</v>
          </cell>
          <cell r="B90">
            <v>0.6</v>
          </cell>
          <cell r="C90">
            <v>0.4</v>
          </cell>
        </row>
        <row r="91">
          <cell r="A91" t="str">
            <v>Bangladesh</v>
          </cell>
          <cell r="B91">
            <v>0.43</v>
          </cell>
          <cell r="C91">
            <v>0.56999999999999995</v>
          </cell>
        </row>
        <row r="92">
          <cell r="A92" t="str">
            <v>Pakistan</v>
          </cell>
          <cell r="B92">
            <v>0.48</v>
          </cell>
          <cell r="C92">
            <v>0.52</v>
          </cell>
        </row>
        <row r="93">
          <cell r="A93" t="str">
            <v>South Africa</v>
          </cell>
          <cell r="B93">
            <v>0.44</v>
          </cell>
          <cell r="C93">
            <v>0.56000000000000005</v>
          </cell>
        </row>
        <row r="94">
          <cell r="A94" t="str">
            <v>Burundi</v>
          </cell>
        </row>
        <row r="95">
          <cell r="A95" t="str">
            <v>Uzbekistan</v>
          </cell>
        </row>
        <row r="96">
          <cell r="A96" t="str">
            <v>Cayman Islands</v>
          </cell>
        </row>
        <row r="97">
          <cell r="A97" t="str">
            <v>Nicaragua</v>
          </cell>
        </row>
        <row r="98">
          <cell r="A98" t="str">
            <v>Haiti</v>
          </cell>
        </row>
        <row r="99">
          <cell r="A99" t="str">
            <v>Bolivia</v>
          </cell>
        </row>
        <row r="100">
          <cell r="A100" t="str">
            <v>United Arab Emirates</v>
          </cell>
          <cell r="B100">
            <v>0.31</v>
          </cell>
          <cell r="C100">
            <v>0.69</v>
          </cell>
        </row>
        <row r="101">
          <cell r="A101" t="str">
            <v>Spain</v>
          </cell>
          <cell r="B101">
            <v>0.44</v>
          </cell>
          <cell r="C101">
            <v>0.56000000000000005</v>
          </cell>
        </row>
        <row r="102">
          <cell r="A102" t="str">
            <v>Lebanon</v>
          </cell>
        </row>
        <row r="103">
          <cell r="A103" t="str">
            <v>Ecuador</v>
          </cell>
        </row>
        <row r="104">
          <cell r="A104" t="str">
            <v>Dominican Republic</v>
          </cell>
        </row>
        <row r="105">
          <cell r="A105" t="str">
            <v>Trinidad &amp; Tobago</v>
          </cell>
        </row>
        <row r="106">
          <cell r="A106" t="str">
            <v>Malaysia</v>
          </cell>
          <cell r="B106">
            <v>0.34</v>
          </cell>
          <cell r="C106">
            <v>0.66</v>
          </cell>
        </row>
        <row r="107">
          <cell r="A107" t="str">
            <v>Croatia</v>
          </cell>
          <cell r="B107">
            <v>0.56000000000000005</v>
          </cell>
          <cell r="C107">
            <v>0.44</v>
          </cell>
        </row>
        <row r="108">
          <cell r="A108" t="str">
            <v>Honduras</v>
          </cell>
        </row>
        <row r="109">
          <cell r="A109" t="str">
            <v>North Macedonia</v>
          </cell>
        </row>
        <row r="110">
          <cell r="A110" t="str">
            <v>Tanzania</v>
          </cell>
        </row>
        <row r="111">
          <cell r="A111" t="str">
            <v>Serbia</v>
          </cell>
          <cell r="B111">
            <v>0.6</v>
          </cell>
          <cell r="C111">
            <v>0.4</v>
          </cell>
        </row>
        <row r="112">
          <cell r="A112" t="str">
            <v>Mongolia</v>
          </cell>
        </row>
        <row r="113">
          <cell r="A113" t="str">
            <v>Barbados</v>
          </cell>
        </row>
        <row r="114">
          <cell r="A114" t="str">
            <v>Qatar</v>
          </cell>
        </row>
        <row r="115">
          <cell r="A115" t="str">
            <v>Guatemala</v>
          </cell>
        </row>
        <row r="116">
          <cell r="A116" t="str">
            <v>Cyprus</v>
          </cell>
        </row>
        <row r="117">
          <cell r="A117" t="str">
            <v>Sierra Leone</v>
          </cell>
        </row>
        <row r="118">
          <cell r="A118" t="str">
            <v>Oman</v>
          </cell>
        </row>
        <row r="119">
          <cell r="A119" t="str">
            <v>Italy</v>
          </cell>
          <cell r="B119">
            <v>0.42</v>
          </cell>
          <cell r="C119">
            <v>0.57999999999999996</v>
          </cell>
        </row>
        <row r="120">
          <cell r="A120" t="str">
            <v>Morocco</v>
          </cell>
          <cell r="B120">
            <v>0.35</v>
          </cell>
          <cell r="C120">
            <v>0.65</v>
          </cell>
        </row>
        <row r="121">
          <cell r="A121" t="str">
            <v>Burkina Faso</v>
          </cell>
        </row>
        <row r="122">
          <cell r="A122" t="str">
            <v>Albania</v>
          </cell>
        </row>
        <row r="123">
          <cell r="A123" t="str">
            <v>Mexico</v>
          </cell>
          <cell r="B123">
            <v>0.36</v>
          </cell>
          <cell r="C123">
            <v>0.64</v>
          </cell>
        </row>
        <row r="124">
          <cell r="A124" t="str">
            <v>Argentina</v>
          </cell>
          <cell r="B124">
            <v>0.35</v>
          </cell>
          <cell r="C124">
            <v>0.65</v>
          </cell>
        </row>
        <row r="125">
          <cell r="A125" t="str">
            <v>Colombia</v>
          </cell>
          <cell r="B125">
            <v>0.32</v>
          </cell>
          <cell r="C125">
            <v>0.68</v>
          </cell>
        </row>
        <row r="126">
          <cell r="A126" t="str">
            <v>Nigeria</v>
          </cell>
        </row>
        <row r="127">
          <cell r="A127" t="str">
            <v>Guyana</v>
          </cell>
        </row>
        <row r="128">
          <cell r="A128" t="str">
            <v>Indonesia</v>
          </cell>
          <cell r="B128">
            <v>0.24</v>
          </cell>
          <cell r="C128">
            <v>0.76</v>
          </cell>
        </row>
        <row r="129">
          <cell r="A129" t="str">
            <v>El Salvador</v>
          </cell>
        </row>
        <row r="130">
          <cell r="A130" t="str">
            <v>Iran</v>
          </cell>
          <cell r="B130">
            <v>0.37</v>
          </cell>
          <cell r="C130">
            <v>0.63</v>
          </cell>
        </row>
        <row r="131">
          <cell r="A131" t="str">
            <v>Brazil</v>
          </cell>
          <cell r="B131">
            <v>0.36</v>
          </cell>
          <cell r="C131">
            <v>0.64</v>
          </cell>
        </row>
        <row r="132">
          <cell r="A132" t="str">
            <v>Kyrgyzstan</v>
          </cell>
        </row>
        <row r="133">
          <cell r="A133" t="str">
            <v>Bahamas</v>
          </cell>
        </row>
        <row r="134">
          <cell r="A134" t="str">
            <v>Maldives</v>
          </cell>
        </row>
        <row r="135">
          <cell r="A135" t="str">
            <v>Peru</v>
          </cell>
          <cell r="B135">
            <v>0.28000000000000003</v>
          </cell>
          <cell r="C135">
            <v>0.72</v>
          </cell>
        </row>
        <row r="136">
          <cell r="A136" t="str">
            <v>Cambodia</v>
          </cell>
        </row>
        <row r="137">
          <cell r="A137" t="str">
            <v>Bahrain</v>
          </cell>
        </row>
        <row r="138">
          <cell r="A138" t="str">
            <v>Greece</v>
          </cell>
          <cell r="B138">
            <v>0.45</v>
          </cell>
          <cell r="C138">
            <v>0.55000000000000004</v>
          </cell>
        </row>
        <row r="139">
          <cell r="A139" t="str">
            <v>Paraguay</v>
          </cell>
        </row>
        <row r="140">
          <cell r="A140" t="str">
            <v>Kosovo</v>
          </cell>
        </row>
        <row r="141">
          <cell r="A141" t="str">
            <v>Chile</v>
          </cell>
          <cell r="B141">
            <v>0.41</v>
          </cell>
          <cell r="C141">
            <v>0.59</v>
          </cell>
        </row>
        <row r="142">
          <cell r="A142" t="str">
            <v>Kuwait</v>
          </cell>
        </row>
        <row r="143">
          <cell r="A143" t="str">
            <v>Jordan</v>
          </cell>
        </row>
        <row r="144">
          <cell r="A144" t="str">
            <v>Tajikistan</v>
          </cell>
        </row>
        <row r="145">
          <cell r="A145" t="str">
            <v>Venezuela</v>
          </cell>
          <cell r="B145">
            <v>0.28999999999999998</v>
          </cell>
          <cell r="C145">
            <v>0.71</v>
          </cell>
        </row>
        <row r="146">
          <cell r="A146" t="str">
            <v>Sudan</v>
          </cell>
        </row>
        <row r="147">
          <cell r="A147" t="str">
            <v>Guinea</v>
          </cell>
        </row>
        <row r="148">
          <cell r="A148" t="str">
            <v>Kazakhstan</v>
          </cell>
        </row>
        <row r="149">
          <cell r="A149" t="str">
            <v>Puerto Rico</v>
          </cell>
        </row>
        <row r="150">
          <cell r="A150" t="str">
            <v>Guadeloupe</v>
          </cell>
        </row>
        <row r="151">
          <cell r="A151" t="str">
            <v>Turkmenistan</v>
          </cell>
        </row>
        <row r="152">
          <cell r="A152" t="str">
            <v>Algeria</v>
          </cell>
        </row>
        <row r="153">
          <cell r="A153" t="str">
            <v>Bosnia &amp; Herzegovina</v>
          </cell>
        </row>
        <row r="154">
          <cell r="A154" t="str">
            <v>Martinique</v>
          </cell>
        </row>
        <row r="155">
          <cell r="A155" t="str">
            <v>Mali</v>
          </cell>
        </row>
        <row r="156">
          <cell r="A156" t="str">
            <v>Vietnam</v>
          </cell>
          <cell r="B156">
            <v>0.47</v>
          </cell>
          <cell r="C156">
            <v>0.53</v>
          </cell>
        </row>
        <row r="157">
          <cell r="A157" t="str">
            <v>Montenegro</v>
          </cell>
        </row>
        <row r="158">
          <cell r="A158" t="str">
            <v>RÃ©union</v>
          </cell>
        </row>
        <row r="159">
          <cell r="A159" t="str">
            <v>Thailand</v>
          </cell>
          <cell r="B159">
            <v>0.34</v>
          </cell>
          <cell r="C159">
            <v>0.66</v>
          </cell>
        </row>
        <row r="160">
          <cell r="A160" t="str">
            <v>Syria</v>
          </cell>
        </row>
        <row r="161">
          <cell r="A161" t="str">
            <v>Saudi Arabia</v>
          </cell>
        </row>
        <row r="162">
          <cell r="A162" t="str">
            <v>Egypt</v>
          </cell>
          <cell r="B162">
            <v>0.44</v>
          </cell>
          <cell r="C162">
            <v>0.56000000000000005</v>
          </cell>
        </row>
        <row r="163">
          <cell r="A163" t="str">
            <v>Liberia</v>
          </cell>
        </row>
        <row r="164">
          <cell r="A164" t="str">
            <v>Georgia</v>
          </cell>
        </row>
        <row r="165">
          <cell r="A165" t="str">
            <v>Libya</v>
          </cell>
        </row>
        <row r="166">
          <cell r="A166" t="str">
            <v>Guam</v>
          </cell>
        </row>
        <row r="167">
          <cell r="A167" t="str">
            <v>Palestine</v>
          </cell>
        </row>
        <row r="168">
          <cell r="A168" t="str">
            <v>Yemen</v>
          </cell>
        </row>
        <row r="169">
          <cell r="A169" t="str">
            <v>Azerbaijan</v>
          </cell>
        </row>
        <row r="170">
          <cell r="A170" t="str">
            <v>Suriname</v>
          </cell>
        </row>
        <row r="171">
          <cell r="A171" t="str">
            <v>Turkey</v>
          </cell>
          <cell r="B171">
            <v>0.41</v>
          </cell>
          <cell r="C171">
            <v>0.59</v>
          </cell>
        </row>
        <row r="172">
          <cell r="A172" t="str">
            <v>Iraq</v>
          </cell>
        </row>
        <row r="173">
          <cell r="A173" t="str">
            <v>British Indian Ocean Territory</v>
          </cell>
        </row>
        <row r="174">
          <cell r="A174" t="str">
            <v>Palau</v>
          </cell>
        </row>
        <row r="175">
          <cell r="A175" t="str">
            <v>Ã…land Islands</v>
          </cell>
        </row>
        <row r="176">
          <cell r="A176" t="str">
            <v>Monaco</v>
          </cell>
        </row>
        <row r="177">
          <cell r="A177" t="str">
            <v>Liechtenstein</v>
          </cell>
        </row>
        <row r="178">
          <cell r="A178" t="str">
            <v>Isle of Man</v>
          </cell>
        </row>
        <row r="179">
          <cell r="A179" t="str">
            <v>Anguilla</v>
          </cell>
        </row>
        <row r="180">
          <cell r="A180" t="str">
            <v>St. Kitts &amp; Nevis</v>
          </cell>
        </row>
        <row r="181">
          <cell r="A181" t="str">
            <v>Caribbean Netherlands</v>
          </cell>
        </row>
        <row r="182">
          <cell r="A182" t="str">
            <v>San Marino</v>
          </cell>
        </row>
        <row r="183">
          <cell r="A183" t="str">
            <v>Vanuatu</v>
          </cell>
        </row>
        <row r="184">
          <cell r="A184" t="str">
            <v>U.S. Virgin Islands</v>
          </cell>
        </row>
        <row r="185">
          <cell r="A185" t="str">
            <v>Greenland</v>
          </cell>
        </row>
        <row r="186">
          <cell r="A186" t="str">
            <v>Northern Mariana Islands</v>
          </cell>
        </row>
        <row r="187">
          <cell r="A187" t="str">
            <v>Chad</v>
          </cell>
        </row>
        <row r="188">
          <cell r="A188" t="str">
            <v>Guernsey</v>
          </cell>
        </row>
        <row r="189">
          <cell r="A189" t="str">
            <v>Belize</v>
          </cell>
        </row>
        <row r="190">
          <cell r="A190" t="str">
            <v>Grenada</v>
          </cell>
        </row>
        <row r="191">
          <cell r="A191" t="str">
            <v>Faroe Islands</v>
          </cell>
        </row>
        <row r="192">
          <cell r="A192" t="str">
            <v>Seychelles</v>
          </cell>
        </row>
        <row r="193">
          <cell r="A193" t="str">
            <v>Niger</v>
          </cell>
        </row>
        <row r="194">
          <cell r="A194" t="str">
            <v>South Sudan</v>
          </cell>
        </row>
        <row r="195">
          <cell r="A195" t="str">
            <v>Antigua &amp; Barbuda</v>
          </cell>
        </row>
        <row r="196">
          <cell r="A196" t="str">
            <v>CuraÃ§ao</v>
          </cell>
        </row>
        <row r="197">
          <cell r="A197" t="str">
            <v>French Guiana</v>
          </cell>
        </row>
        <row r="198">
          <cell r="A198" t="str">
            <v>Sint Maarten</v>
          </cell>
        </row>
        <row r="199">
          <cell r="A199" t="str">
            <v>New Caledonia</v>
          </cell>
        </row>
        <row r="200">
          <cell r="A200" t="str">
            <v>Andorra</v>
          </cell>
        </row>
        <row r="201">
          <cell r="A201" t="str">
            <v>French Polynesia</v>
          </cell>
        </row>
        <row r="202">
          <cell r="A202" t="str">
            <v>Gabon</v>
          </cell>
        </row>
        <row r="203">
          <cell r="A203" t="str">
            <v>Bermuda</v>
          </cell>
        </row>
        <row r="204">
          <cell r="A204" t="str">
            <v>Gambia</v>
          </cell>
        </row>
        <row r="205">
          <cell r="A205" t="str">
            <v>Timor-Leste</v>
          </cell>
        </row>
        <row r="206">
          <cell r="A206" t="str">
            <v>St. Vincent &amp; Grenadines</v>
          </cell>
        </row>
        <row r="207">
          <cell r="A207" t="str">
            <v>St. Lucia</v>
          </cell>
        </row>
        <row r="208">
          <cell r="A208" t="str">
            <v>Aruba</v>
          </cell>
        </row>
        <row r="209">
          <cell r="A209" t="str">
            <v>Mauritania</v>
          </cell>
        </row>
        <row r="210">
          <cell r="A210" t="str">
            <v>Djibouti</v>
          </cell>
        </row>
        <row r="211">
          <cell r="A211" t="str">
            <v>Congo - Brazzaville</v>
          </cell>
        </row>
        <row r="212">
          <cell r="A212" t="str">
            <v>American Samoa</v>
          </cell>
        </row>
        <row r="213">
          <cell r="A213" t="str">
            <v>Antarctica</v>
          </cell>
        </row>
        <row r="214">
          <cell r="A214" t="str">
            <v>French Southern Territories</v>
          </cell>
        </row>
        <row r="215">
          <cell r="A215" t="str">
            <v>St. BarthÃ©lemy</v>
          </cell>
        </row>
        <row r="216">
          <cell r="A216" t="str">
            <v>Bouvet Island</v>
          </cell>
        </row>
        <row r="217">
          <cell r="A217" t="str">
            <v>Central African Republic</v>
          </cell>
        </row>
        <row r="218">
          <cell r="A218" t="str">
            <v>Cocos (Keeling) Islands</v>
          </cell>
        </row>
        <row r="219">
          <cell r="A219" t="str">
            <v>Cook Islands</v>
          </cell>
        </row>
        <row r="220">
          <cell r="A220" t="str">
            <v>Comoros</v>
          </cell>
        </row>
        <row r="221">
          <cell r="A221" t="str">
            <v>Christmas Island</v>
          </cell>
        </row>
        <row r="222">
          <cell r="A222" t="str">
            <v>Dominica</v>
          </cell>
        </row>
        <row r="223">
          <cell r="A223" t="str">
            <v>Eritrea</v>
          </cell>
        </row>
        <row r="224">
          <cell r="A224" t="str">
            <v>Western Sahara</v>
          </cell>
        </row>
        <row r="225">
          <cell r="A225" t="str">
            <v>Falkland Islands (Islas Malvinas)</v>
          </cell>
        </row>
        <row r="226">
          <cell r="A226" t="str">
            <v>Micronesia</v>
          </cell>
        </row>
        <row r="227">
          <cell r="A227" t="str">
            <v>Guinea-Bissau</v>
          </cell>
        </row>
        <row r="228">
          <cell r="A228" t="str">
            <v>Equatorial Guinea</v>
          </cell>
        </row>
        <row r="229">
          <cell r="A229" t="str">
            <v>Heard &amp; McDonald Islands</v>
          </cell>
        </row>
        <row r="230">
          <cell r="A230" t="str">
            <v>Kiribati</v>
          </cell>
        </row>
        <row r="231">
          <cell r="A231" t="str">
            <v>St. Martin</v>
          </cell>
        </row>
        <row r="232">
          <cell r="A232" t="str">
            <v>Marshall Islands</v>
          </cell>
        </row>
        <row r="233">
          <cell r="A233" t="str">
            <v>Montserrat</v>
          </cell>
        </row>
        <row r="234">
          <cell r="A234" t="str">
            <v>Mayotte</v>
          </cell>
        </row>
        <row r="235">
          <cell r="A235" t="str">
            <v>Norfolk Island</v>
          </cell>
        </row>
        <row r="236">
          <cell r="A236" t="str">
            <v>Niue</v>
          </cell>
        </row>
        <row r="237">
          <cell r="A237" t="str">
            <v>Nauru</v>
          </cell>
        </row>
        <row r="238">
          <cell r="A238" t="str">
            <v>Pitcairn Islands</v>
          </cell>
        </row>
        <row r="239">
          <cell r="A239" t="str">
            <v>North Korea</v>
          </cell>
        </row>
        <row r="240">
          <cell r="A240" t="str">
            <v>South Georgia &amp; South Sandwich Islands</v>
          </cell>
        </row>
        <row r="241">
          <cell r="A241" t="str">
            <v>Svalbard &amp; Jan Mayen</v>
          </cell>
        </row>
        <row r="242">
          <cell r="A242" t="str">
            <v>Solomon Islands</v>
          </cell>
        </row>
        <row r="243">
          <cell r="A243" t="str">
            <v>St. Pierre &amp; Miquelon</v>
          </cell>
        </row>
        <row r="244">
          <cell r="A244" t="str">
            <v>SÃ£o TomÃ© &amp; PrÃ­ncipe</v>
          </cell>
        </row>
        <row r="245">
          <cell r="A245" t="str">
            <v>Turks &amp; Caicos Islands</v>
          </cell>
        </row>
        <row r="246">
          <cell r="A246" t="str">
            <v>Tokelau</v>
          </cell>
        </row>
        <row r="247">
          <cell r="A247" t="str">
            <v>Tonga</v>
          </cell>
        </row>
        <row r="248">
          <cell r="A248" t="str">
            <v>Tuvalu</v>
          </cell>
        </row>
        <row r="249">
          <cell r="A249" t="str">
            <v>U.S. Outlying Islands</v>
          </cell>
        </row>
        <row r="250">
          <cell r="A250" t="str">
            <v>Vatican City</v>
          </cell>
        </row>
        <row r="251">
          <cell r="A251" t="str">
            <v>British Virgin Islands</v>
          </cell>
        </row>
        <row r="252">
          <cell r="A252" t="str">
            <v>Wallis &amp; Futuna</v>
          </cell>
        </row>
        <row r="253">
          <cell r="A253" t="str">
            <v>Samoa</v>
          </cell>
        </row>
      </sheetData>
    </sheetDataSet>
  </externalBook>
</externalLink>
</file>

<file path=xl/externalLinks/externalLink2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30)"/>
    </sheetNames>
    <sheetDataSet>
      <sheetData sheetId="0">
        <row r="1">
          <cell r="A1" t="str">
            <v>Category: All categories</v>
          </cell>
        </row>
        <row r="3">
          <cell r="A3" t="str">
            <v>Country</v>
          </cell>
          <cell r="B3" t="str">
            <v>Transmission Control Protocol: (2015)</v>
          </cell>
          <cell r="C3" t="str">
            <v>Artificial neural network: (2015)</v>
          </cell>
        </row>
        <row r="4">
          <cell r="A4" t="str">
            <v>China</v>
          </cell>
          <cell r="B4">
            <v>0.66</v>
          </cell>
          <cell r="C4">
            <v>0.34</v>
          </cell>
        </row>
        <row r="5">
          <cell r="A5" t="str">
            <v>Cuba</v>
          </cell>
        </row>
        <row r="6">
          <cell r="A6" t="str">
            <v>St. Helena</v>
          </cell>
        </row>
        <row r="7">
          <cell r="A7" t="str">
            <v>Botswana</v>
          </cell>
        </row>
        <row r="8">
          <cell r="A8" t="str">
            <v>South Korea</v>
          </cell>
          <cell r="B8">
            <v>0.61</v>
          </cell>
          <cell r="C8">
            <v>0.39</v>
          </cell>
        </row>
        <row r="9">
          <cell r="A9" t="str">
            <v>Rwanda</v>
          </cell>
        </row>
        <row r="10">
          <cell r="A10" t="str">
            <v>Singapore</v>
          </cell>
          <cell r="B10">
            <v>0.75</v>
          </cell>
          <cell r="C10">
            <v>0.25</v>
          </cell>
        </row>
        <row r="11">
          <cell r="A11" t="str">
            <v>Eswatini</v>
          </cell>
        </row>
        <row r="12">
          <cell r="A12" t="str">
            <v>Papua New Guinea</v>
          </cell>
        </row>
        <row r="13">
          <cell r="A13" t="str">
            <v>Hong Kong</v>
          </cell>
          <cell r="B13">
            <v>0.75</v>
          </cell>
          <cell r="C13">
            <v>0.25</v>
          </cell>
        </row>
        <row r="14">
          <cell r="A14" t="str">
            <v>Cameroon</v>
          </cell>
        </row>
        <row r="15">
          <cell r="A15" t="str">
            <v>India</v>
          </cell>
          <cell r="B15">
            <v>0.68</v>
          </cell>
          <cell r="C15">
            <v>0.32</v>
          </cell>
        </row>
        <row r="16">
          <cell r="A16" t="str">
            <v>Congo - Kinshasa</v>
          </cell>
        </row>
        <row r="17">
          <cell r="A17" t="str">
            <v>Luxembourg</v>
          </cell>
        </row>
        <row r="18">
          <cell r="A18" t="str">
            <v>Benin</v>
          </cell>
        </row>
        <row r="19">
          <cell r="A19" t="str">
            <v>Croatia</v>
          </cell>
          <cell r="B19">
            <v>0.28999999999999998</v>
          </cell>
          <cell r="C19">
            <v>0.71</v>
          </cell>
        </row>
        <row r="20">
          <cell r="A20" t="str">
            <v>Angola</v>
          </cell>
        </row>
        <row r="21">
          <cell r="A21" t="str">
            <v>Ethiopia</v>
          </cell>
        </row>
        <row r="22">
          <cell r="A22" t="str">
            <v>Burundi</v>
          </cell>
        </row>
        <row r="23">
          <cell r="A23" t="str">
            <v>Namibia</v>
          </cell>
        </row>
        <row r="24">
          <cell r="A24" t="str">
            <v>Madagascar</v>
          </cell>
        </row>
        <row r="25">
          <cell r="A25" t="str">
            <v>Zimbabwe</v>
          </cell>
        </row>
        <row r="26">
          <cell r="A26" t="str">
            <v>Myanmar (Burma)</v>
          </cell>
        </row>
        <row r="27">
          <cell r="A27" t="str">
            <v>Malta</v>
          </cell>
        </row>
        <row r="28">
          <cell r="A28" t="str">
            <v>Malawi</v>
          </cell>
        </row>
        <row r="29">
          <cell r="A29" t="str">
            <v>Czechia</v>
          </cell>
          <cell r="B29">
            <v>0.73</v>
          </cell>
          <cell r="C29">
            <v>0.27</v>
          </cell>
        </row>
        <row r="30">
          <cell r="A30" t="str">
            <v>Mauritius</v>
          </cell>
        </row>
        <row r="31">
          <cell r="A31" t="str">
            <v>Somalia</v>
          </cell>
        </row>
        <row r="32">
          <cell r="A32" t="str">
            <v>Israel</v>
          </cell>
          <cell r="B32">
            <v>0.73</v>
          </cell>
          <cell r="C32">
            <v>0.27</v>
          </cell>
        </row>
        <row r="33">
          <cell r="A33" t="str">
            <v>Nepal</v>
          </cell>
        </row>
        <row r="34">
          <cell r="A34" t="str">
            <v>Brunei</v>
          </cell>
        </row>
        <row r="35">
          <cell r="A35" t="str">
            <v>Bhutan</v>
          </cell>
        </row>
        <row r="36">
          <cell r="A36" t="str">
            <v>Ghana</v>
          </cell>
        </row>
        <row r="37">
          <cell r="A37" t="str">
            <v>Togo</v>
          </cell>
        </row>
        <row r="38">
          <cell r="A38" t="str">
            <v>Tunisia</v>
          </cell>
          <cell r="B38">
            <v>0.76</v>
          </cell>
          <cell r="C38">
            <v>0.24</v>
          </cell>
        </row>
        <row r="39">
          <cell r="A39" t="str">
            <v>Switzerland</v>
          </cell>
          <cell r="B39">
            <v>0.84</v>
          </cell>
          <cell r="C39">
            <v>0.16</v>
          </cell>
        </row>
        <row r="40">
          <cell r="A40" t="str">
            <v>CÃ´te dâ€™Ivoire</v>
          </cell>
        </row>
        <row r="41">
          <cell r="A41" t="str">
            <v>Lesotho</v>
          </cell>
        </row>
        <row r="42">
          <cell r="A42" t="str">
            <v>Taiwan</v>
          </cell>
          <cell r="B42">
            <v>0.71</v>
          </cell>
          <cell r="C42">
            <v>0.28999999999999998</v>
          </cell>
        </row>
        <row r="43">
          <cell r="A43" t="str">
            <v>Iceland</v>
          </cell>
        </row>
        <row r="44">
          <cell r="A44" t="str">
            <v>Uruguay</v>
          </cell>
        </row>
        <row r="45">
          <cell r="A45" t="str">
            <v>Sri Lanka</v>
          </cell>
          <cell r="B45">
            <v>0.63</v>
          </cell>
          <cell r="C45">
            <v>0.37</v>
          </cell>
        </row>
        <row r="46">
          <cell r="A46" t="str">
            <v>Uganda</v>
          </cell>
        </row>
        <row r="47">
          <cell r="A47" t="str">
            <v>Norway</v>
          </cell>
          <cell r="B47">
            <v>0.84</v>
          </cell>
          <cell r="C47">
            <v>0.16</v>
          </cell>
        </row>
        <row r="48">
          <cell r="A48" t="str">
            <v>Costa Rica</v>
          </cell>
        </row>
        <row r="49">
          <cell r="A49" t="str">
            <v>Germany</v>
          </cell>
          <cell r="B49">
            <v>0.85</v>
          </cell>
          <cell r="C49">
            <v>0.15</v>
          </cell>
        </row>
        <row r="50">
          <cell r="A50" t="str">
            <v>Mozambique</v>
          </cell>
        </row>
        <row r="51">
          <cell r="A51" t="str">
            <v>Jersey</v>
          </cell>
        </row>
        <row r="52">
          <cell r="A52" t="str">
            <v>Belgium</v>
          </cell>
          <cell r="B52">
            <v>0.85</v>
          </cell>
          <cell r="C52">
            <v>0.15</v>
          </cell>
        </row>
        <row r="53">
          <cell r="A53" t="str">
            <v>New Zealand</v>
          </cell>
          <cell r="B53">
            <v>0.77</v>
          </cell>
          <cell r="C53">
            <v>0.23</v>
          </cell>
        </row>
        <row r="54">
          <cell r="A54" t="str">
            <v>Zambia</v>
          </cell>
        </row>
        <row r="55">
          <cell r="A55" t="str">
            <v>Japan</v>
          </cell>
          <cell r="B55">
            <v>0.82</v>
          </cell>
          <cell r="C55">
            <v>0.18</v>
          </cell>
        </row>
        <row r="56">
          <cell r="A56" t="str">
            <v>Sweden</v>
          </cell>
          <cell r="B56">
            <v>0.81</v>
          </cell>
          <cell r="C56">
            <v>0.19</v>
          </cell>
        </row>
        <row r="57">
          <cell r="A57" t="str">
            <v>United States</v>
          </cell>
          <cell r="B57">
            <v>0.72</v>
          </cell>
          <cell r="C57">
            <v>0.28000000000000003</v>
          </cell>
        </row>
        <row r="58">
          <cell r="A58" t="str">
            <v>Ireland</v>
          </cell>
          <cell r="B58">
            <v>0.76</v>
          </cell>
          <cell r="C58">
            <v>0.24</v>
          </cell>
        </row>
        <row r="59">
          <cell r="A59" t="str">
            <v>Iran</v>
          </cell>
          <cell r="B59">
            <v>0.41</v>
          </cell>
          <cell r="C59">
            <v>0.59</v>
          </cell>
        </row>
        <row r="60">
          <cell r="A60" t="str">
            <v>Austria</v>
          </cell>
          <cell r="B60">
            <v>0.86</v>
          </cell>
          <cell r="C60">
            <v>0.14000000000000001</v>
          </cell>
        </row>
        <row r="61">
          <cell r="A61" t="str">
            <v>Finland</v>
          </cell>
          <cell r="B61">
            <v>0.81</v>
          </cell>
          <cell r="C61">
            <v>0.19</v>
          </cell>
        </row>
        <row r="62">
          <cell r="A62" t="str">
            <v>Philippines</v>
          </cell>
          <cell r="B62">
            <v>0.76</v>
          </cell>
          <cell r="C62">
            <v>0.24</v>
          </cell>
        </row>
        <row r="63">
          <cell r="A63" t="str">
            <v>Fiji</v>
          </cell>
        </row>
        <row r="64">
          <cell r="A64" t="str">
            <v>Jamaica</v>
          </cell>
        </row>
        <row r="65">
          <cell r="A65" t="str">
            <v>Kenya</v>
          </cell>
          <cell r="B65">
            <v>0.66</v>
          </cell>
          <cell r="C65">
            <v>0.34</v>
          </cell>
        </row>
        <row r="66">
          <cell r="A66" t="str">
            <v>Macao</v>
          </cell>
        </row>
        <row r="67">
          <cell r="A67" t="str">
            <v>Estonia</v>
          </cell>
        </row>
        <row r="68">
          <cell r="A68" t="str">
            <v>Australia</v>
          </cell>
          <cell r="B68">
            <v>0.74</v>
          </cell>
          <cell r="C68">
            <v>0.26</v>
          </cell>
        </row>
        <row r="69">
          <cell r="A69" t="str">
            <v>Bangladesh</v>
          </cell>
          <cell r="B69">
            <v>0.61</v>
          </cell>
          <cell r="C69">
            <v>0.39</v>
          </cell>
        </row>
        <row r="70">
          <cell r="A70" t="str">
            <v>Uzbekistan</v>
          </cell>
        </row>
        <row r="71">
          <cell r="A71" t="str">
            <v>Canada</v>
          </cell>
          <cell r="B71">
            <v>0.71</v>
          </cell>
          <cell r="C71">
            <v>0.28999999999999998</v>
          </cell>
        </row>
        <row r="72">
          <cell r="A72" t="str">
            <v>South Africa</v>
          </cell>
          <cell r="B72">
            <v>0.7</v>
          </cell>
          <cell r="C72">
            <v>0.3</v>
          </cell>
        </row>
        <row r="73">
          <cell r="A73" t="str">
            <v>Oman</v>
          </cell>
        </row>
        <row r="74">
          <cell r="A74" t="str">
            <v>Pakistan</v>
          </cell>
          <cell r="B74">
            <v>0.56999999999999995</v>
          </cell>
          <cell r="C74">
            <v>0.43</v>
          </cell>
        </row>
        <row r="75">
          <cell r="A75" t="str">
            <v>Qatar</v>
          </cell>
        </row>
        <row r="76">
          <cell r="A76" t="str">
            <v>Portugal</v>
          </cell>
          <cell r="B76">
            <v>0.79</v>
          </cell>
          <cell r="C76">
            <v>0.21</v>
          </cell>
        </row>
        <row r="77">
          <cell r="A77" t="str">
            <v>Panama</v>
          </cell>
        </row>
        <row r="78">
          <cell r="A78" t="str">
            <v>Nicaragua</v>
          </cell>
        </row>
        <row r="79">
          <cell r="A79" t="str">
            <v>Netherlands</v>
          </cell>
          <cell r="B79">
            <v>0.8</v>
          </cell>
          <cell r="C79">
            <v>0.2</v>
          </cell>
        </row>
        <row r="80">
          <cell r="A80" t="str">
            <v>United Kingdom</v>
          </cell>
          <cell r="B80">
            <v>0.73</v>
          </cell>
          <cell r="C80">
            <v>0.27</v>
          </cell>
        </row>
        <row r="81">
          <cell r="A81" t="str">
            <v>Ecuador</v>
          </cell>
          <cell r="B81">
            <v>0.81</v>
          </cell>
          <cell r="C81">
            <v>0.19</v>
          </cell>
        </row>
        <row r="82">
          <cell r="A82" t="str">
            <v>Belarus</v>
          </cell>
          <cell r="B82">
            <v>0.71</v>
          </cell>
          <cell r="C82">
            <v>0.28999999999999998</v>
          </cell>
        </row>
        <row r="83">
          <cell r="A83" t="str">
            <v>United Arab Emirates</v>
          </cell>
          <cell r="B83">
            <v>0.8</v>
          </cell>
          <cell r="C83">
            <v>0.2</v>
          </cell>
        </row>
        <row r="84">
          <cell r="A84" t="str">
            <v>Lebanon</v>
          </cell>
        </row>
        <row r="85">
          <cell r="A85" t="str">
            <v>Spain</v>
          </cell>
          <cell r="B85">
            <v>0.85</v>
          </cell>
          <cell r="C85">
            <v>0.15</v>
          </cell>
        </row>
        <row r="86">
          <cell r="A86" t="str">
            <v>Senegal</v>
          </cell>
        </row>
        <row r="87">
          <cell r="A87" t="str">
            <v>Russia</v>
          </cell>
          <cell r="B87">
            <v>0.69</v>
          </cell>
          <cell r="C87">
            <v>0.31</v>
          </cell>
        </row>
        <row r="88">
          <cell r="A88" t="str">
            <v>Bolivia</v>
          </cell>
          <cell r="B88">
            <v>0.76</v>
          </cell>
          <cell r="C88">
            <v>0.24</v>
          </cell>
        </row>
        <row r="89">
          <cell r="A89" t="str">
            <v>Laos</v>
          </cell>
        </row>
        <row r="90">
          <cell r="A90" t="str">
            <v>Honduras</v>
          </cell>
        </row>
        <row r="91">
          <cell r="A91" t="str">
            <v>Latvia</v>
          </cell>
        </row>
        <row r="92">
          <cell r="A92" t="str">
            <v>Dominican Republic</v>
          </cell>
        </row>
        <row r="93">
          <cell r="A93" t="str">
            <v>Slovenia</v>
          </cell>
          <cell r="B93">
            <v>0.8</v>
          </cell>
          <cell r="C93">
            <v>0.2</v>
          </cell>
        </row>
        <row r="94">
          <cell r="A94" t="str">
            <v>El Salvador</v>
          </cell>
        </row>
        <row r="95">
          <cell r="A95" t="str">
            <v>Slovakia</v>
          </cell>
          <cell r="B95">
            <v>0.82</v>
          </cell>
          <cell r="C95">
            <v>0.18</v>
          </cell>
        </row>
        <row r="96">
          <cell r="A96" t="str">
            <v>Denmark</v>
          </cell>
          <cell r="B96">
            <v>0.82</v>
          </cell>
          <cell r="C96">
            <v>0.18</v>
          </cell>
        </row>
        <row r="97">
          <cell r="A97" t="str">
            <v>Malaysia</v>
          </cell>
          <cell r="B97">
            <v>0.63</v>
          </cell>
          <cell r="C97">
            <v>0.37</v>
          </cell>
        </row>
        <row r="98">
          <cell r="A98" t="str">
            <v>Guatemala</v>
          </cell>
        </row>
        <row r="99">
          <cell r="A99" t="str">
            <v>Afghanistan</v>
          </cell>
        </row>
        <row r="100">
          <cell r="A100" t="str">
            <v>CuraÃ§ao</v>
          </cell>
        </row>
        <row r="101">
          <cell r="A101" t="str">
            <v>Hungary</v>
          </cell>
          <cell r="B101">
            <v>0.86</v>
          </cell>
          <cell r="C101">
            <v>0.14000000000000001</v>
          </cell>
        </row>
        <row r="102">
          <cell r="A102" t="str">
            <v>Mongolia</v>
          </cell>
        </row>
        <row r="103">
          <cell r="A103" t="str">
            <v>Tanzania</v>
          </cell>
        </row>
        <row r="104">
          <cell r="A104" t="str">
            <v>Trinidad &amp; Tobago</v>
          </cell>
        </row>
        <row r="105">
          <cell r="A105" t="str">
            <v>Bahrain</v>
          </cell>
        </row>
        <row r="106">
          <cell r="A106" t="str">
            <v>Cyprus</v>
          </cell>
        </row>
        <row r="107">
          <cell r="A107" t="str">
            <v>Isle of Man</v>
          </cell>
        </row>
        <row r="108">
          <cell r="A108" t="str">
            <v>Nigeria</v>
          </cell>
          <cell r="B108">
            <v>0.54</v>
          </cell>
          <cell r="C108">
            <v>0.46</v>
          </cell>
        </row>
        <row r="109">
          <cell r="A109" t="str">
            <v>Poland</v>
          </cell>
          <cell r="B109">
            <v>0.75</v>
          </cell>
          <cell r="C109">
            <v>0.25</v>
          </cell>
        </row>
        <row r="110">
          <cell r="A110" t="str">
            <v>Romania</v>
          </cell>
          <cell r="B110">
            <v>0.82</v>
          </cell>
          <cell r="C110">
            <v>0.18</v>
          </cell>
        </row>
        <row r="111">
          <cell r="A111" t="str">
            <v>Albania</v>
          </cell>
        </row>
        <row r="112">
          <cell r="A112" t="str">
            <v>Argentina</v>
          </cell>
          <cell r="B112">
            <v>0.89</v>
          </cell>
          <cell r="C112">
            <v>0.11</v>
          </cell>
        </row>
        <row r="113">
          <cell r="A113" t="str">
            <v>France</v>
          </cell>
          <cell r="B113">
            <v>0.86</v>
          </cell>
          <cell r="C113">
            <v>0.14000000000000001</v>
          </cell>
        </row>
        <row r="114">
          <cell r="A114" t="str">
            <v>Morocco</v>
          </cell>
          <cell r="B114">
            <v>0.8</v>
          </cell>
          <cell r="C114">
            <v>0.2</v>
          </cell>
        </row>
        <row r="115">
          <cell r="A115" t="str">
            <v>Italy</v>
          </cell>
          <cell r="B115">
            <v>0.83</v>
          </cell>
          <cell r="C115">
            <v>0.17</v>
          </cell>
        </row>
        <row r="116">
          <cell r="A116" t="str">
            <v>Colombia</v>
          </cell>
          <cell r="B116">
            <v>0.77</v>
          </cell>
          <cell r="C116">
            <v>0.23</v>
          </cell>
        </row>
        <row r="117">
          <cell r="A117" t="str">
            <v>Mexico</v>
          </cell>
          <cell r="B117">
            <v>0.78</v>
          </cell>
          <cell r="C117">
            <v>0.22</v>
          </cell>
        </row>
        <row r="118">
          <cell r="A118" t="str">
            <v>Bulgaria</v>
          </cell>
          <cell r="B118">
            <v>0.78</v>
          </cell>
          <cell r="C118">
            <v>0.22</v>
          </cell>
        </row>
        <row r="119">
          <cell r="A119" t="str">
            <v>Indonesia</v>
          </cell>
          <cell r="B119">
            <v>0.63</v>
          </cell>
          <cell r="C119">
            <v>0.37</v>
          </cell>
        </row>
        <row r="120">
          <cell r="A120" t="str">
            <v>Brazil</v>
          </cell>
          <cell r="B120">
            <v>0.82</v>
          </cell>
          <cell r="C120">
            <v>0.18</v>
          </cell>
        </row>
        <row r="121">
          <cell r="A121" t="str">
            <v>Barbados</v>
          </cell>
        </row>
        <row r="122">
          <cell r="A122" t="str">
            <v>Sierra Leone</v>
          </cell>
        </row>
        <row r="123">
          <cell r="A123" t="str">
            <v>Maldives</v>
          </cell>
        </row>
        <row r="124">
          <cell r="A124" t="str">
            <v>Peru</v>
          </cell>
          <cell r="B124">
            <v>0.71</v>
          </cell>
          <cell r="C124">
            <v>0.28999999999999998</v>
          </cell>
        </row>
        <row r="125">
          <cell r="A125" t="str">
            <v>Haiti</v>
          </cell>
        </row>
        <row r="126">
          <cell r="A126" t="str">
            <v>Lithuania</v>
          </cell>
          <cell r="B126">
            <v>0.71</v>
          </cell>
          <cell r="C126">
            <v>0.28999999999999998</v>
          </cell>
        </row>
        <row r="127">
          <cell r="A127" t="str">
            <v>Moldova</v>
          </cell>
        </row>
        <row r="128">
          <cell r="A128" t="str">
            <v>Paraguay</v>
          </cell>
        </row>
        <row r="129">
          <cell r="A129" t="str">
            <v>North Macedonia</v>
          </cell>
        </row>
        <row r="130">
          <cell r="A130" t="str">
            <v>Guinea</v>
          </cell>
        </row>
        <row r="131">
          <cell r="A131" t="str">
            <v>Suriname</v>
          </cell>
        </row>
        <row r="132">
          <cell r="A132" t="str">
            <v>Ukraine</v>
          </cell>
          <cell r="B132">
            <v>0.67</v>
          </cell>
          <cell r="C132">
            <v>0.33</v>
          </cell>
        </row>
        <row r="133">
          <cell r="A133" t="str">
            <v>Greece</v>
          </cell>
          <cell r="B133">
            <v>0.67</v>
          </cell>
          <cell r="C133">
            <v>0.33</v>
          </cell>
        </row>
        <row r="134">
          <cell r="A134" t="str">
            <v>Liberia</v>
          </cell>
        </row>
        <row r="135">
          <cell r="A135" t="str">
            <v>Guam</v>
          </cell>
        </row>
        <row r="136">
          <cell r="A136" t="str">
            <v>Serbia</v>
          </cell>
          <cell r="B136">
            <v>0.77</v>
          </cell>
          <cell r="C136">
            <v>0.23</v>
          </cell>
        </row>
        <row r="137">
          <cell r="A137" t="str">
            <v>Chile</v>
          </cell>
          <cell r="B137">
            <v>0.78</v>
          </cell>
          <cell r="C137">
            <v>0.22</v>
          </cell>
        </row>
        <row r="138">
          <cell r="A138" t="str">
            <v>Tajikistan</v>
          </cell>
        </row>
        <row r="139">
          <cell r="A139" t="str">
            <v>Kosovo</v>
          </cell>
        </row>
        <row r="140">
          <cell r="A140" t="str">
            <v>Cambodia</v>
          </cell>
        </row>
        <row r="141">
          <cell r="A141" t="str">
            <v>Bahamas</v>
          </cell>
        </row>
        <row r="142">
          <cell r="A142" t="str">
            <v>Martinique</v>
          </cell>
        </row>
        <row r="143">
          <cell r="A143" t="str">
            <v>Armenia</v>
          </cell>
        </row>
        <row r="144">
          <cell r="A144" t="str">
            <v>Palestine</v>
          </cell>
        </row>
        <row r="145">
          <cell r="A145" t="str">
            <v>Jordan</v>
          </cell>
        </row>
        <row r="146">
          <cell r="A146" t="str">
            <v>Venezuela</v>
          </cell>
          <cell r="B146">
            <v>0.84</v>
          </cell>
          <cell r="C146">
            <v>0.16</v>
          </cell>
        </row>
        <row r="147">
          <cell r="A147" t="str">
            <v>Kuwait</v>
          </cell>
        </row>
        <row r="148">
          <cell r="A148" t="str">
            <v>RÃ©union</v>
          </cell>
        </row>
        <row r="149">
          <cell r="A149" t="str">
            <v>Puerto Rico</v>
          </cell>
        </row>
        <row r="150">
          <cell r="A150" t="str">
            <v>Algeria</v>
          </cell>
          <cell r="B150">
            <v>0.61</v>
          </cell>
          <cell r="C150">
            <v>0.39</v>
          </cell>
        </row>
        <row r="151">
          <cell r="A151" t="str">
            <v>Kazakhstan</v>
          </cell>
          <cell r="B151">
            <v>0.78</v>
          </cell>
          <cell r="C151">
            <v>0.22</v>
          </cell>
        </row>
        <row r="152">
          <cell r="A152" t="str">
            <v>Syria</v>
          </cell>
        </row>
        <row r="153">
          <cell r="A153" t="str">
            <v>Bosnia &amp; Herzegovina</v>
          </cell>
        </row>
        <row r="154">
          <cell r="A154" t="str">
            <v>Sudan</v>
          </cell>
        </row>
        <row r="155">
          <cell r="A155" t="str">
            <v>Cape Verde</v>
          </cell>
        </row>
        <row r="156">
          <cell r="A156" t="str">
            <v>Montenegro</v>
          </cell>
        </row>
        <row r="157">
          <cell r="A157" t="str">
            <v>Georgia</v>
          </cell>
        </row>
        <row r="158">
          <cell r="A158" t="str">
            <v>Burkina Faso</v>
          </cell>
        </row>
        <row r="159">
          <cell r="A159" t="str">
            <v>Vietnam</v>
          </cell>
          <cell r="B159">
            <v>0.82</v>
          </cell>
          <cell r="C159">
            <v>0.18</v>
          </cell>
        </row>
        <row r="160">
          <cell r="A160" t="str">
            <v>Libya</v>
          </cell>
        </row>
        <row r="161">
          <cell r="A161" t="str">
            <v>Thailand</v>
          </cell>
          <cell r="B161">
            <v>0.72</v>
          </cell>
          <cell r="C161">
            <v>0.28000000000000003</v>
          </cell>
        </row>
        <row r="162">
          <cell r="A162" t="str">
            <v>Mali</v>
          </cell>
        </row>
        <row r="163">
          <cell r="A163" t="str">
            <v>Kyrgyzstan</v>
          </cell>
        </row>
        <row r="164">
          <cell r="A164" t="str">
            <v>Egypt</v>
          </cell>
          <cell r="B164">
            <v>0.61</v>
          </cell>
          <cell r="C164">
            <v>0.39</v>
          </cell>
        </row>
        <row r="165">
          <cell r="A165" t="str">
            <v>Saudi Arabia</v>
          </cell>
          <cell r="B165">
            <v>0.75</v>
          </cell>
          <cell r="C165">
            <v>0.25</v>
          </cell>
        </row>
        <row r="166">
          <cell r="A166" t="str">
            <v>Guadeloupe</v>
          </cell>
        </row>
        <row r="167">
          <cell r="A167" t="str">
            <v>Turkmenistan</v>
          </cell>
        </row>
        <row r="168">
          <cell r="A168" t="str">
            <v>Azerbaijan</v>
          </cell>
        </row>
        <row r="169">
          <cell r="A169" t="str">
            <v>Yemen</v>
          </cell>
        </row>
        <row r="170">
          <cell r="A170" t="str">
            <v>Iraq</v>
          </cell>
        </row>
        <row r="171">
          <cell r="A171" t="str">
            <v>Turkey</v>
          </cell>
          <cell r="B171">
            <v>0.65</v>
          </cell>
          <cell r="C171">
            <v>0.35</v>
          </cell>
        </row>
        <row r="172">
          <cell r="A172" t="str">
            <v>Kiribati</v>
          </cell>
        </row>
        <row r="173">
          <cell r="A173" t="str">
            <v>British Indian Ocean Territory</v>
          </cell>
        </row>
        <row r="174">
          <cell r="A174" t="str">
            <v>Eritrea</v>
          </cell>
        </row>
        <row r="175">
          <cell r="A175" t="str">
            <v>SÃ£o TomÃ© &amp; PrÃ­ncipe</v>
          </cell>
        </row>
        <row r="176">
          <cell r="A176" t="str">
            <v>Micronesia</v>
          </cell>
        </row>
        <row r="177">
          <cell r="A177" t="str">
            <v>British Virgin Islands</v>
          </cell>
        </row>
        <row r="178">
          <cell r="A178" t="str">
            <v>Marshall Islands</v>
          </cell>
        </row>
        <row r="179">
          <cell r="A179" t="str">
            <v>Central African Republic</v>
          </cell>
        </row>
        <row r="180">
          <cell r="A180" t="str">
            <v>Solomon Islands</v>
          </cell>
        </row>
        <row r="181">
          <cell r="A181" t="str">
            <v>Guinea-Bissau</v>
          </cell>
        </row>
        <row r="182">
          <cell r="A182" t="str">
            <v>St. Martin</v>
          </cell>
        </row>
        <row r="183">
          <cell r="A183" t="str">
            <v>Equatorial Guinea</v>
          </cell>
        </row>
        <row r="184">
          <cell r="A184" t="str">
            <v>American Samoa</v>
          </cell>
        </row>
        <row r="185">
          <cell r="A185" t="str">
            <v>Northern Mariana Islands</v>
          </cell>
        </row>
        <row r="186">
          <cell r="A186" t="str">
            <v>Comoros</v>
          </cell>
        </row>
        <row r="187">
          <cell r="A187" t="str">
            <v>Seychelles</v>
          </cell>
        </row>
        <row r="188">
          <cell r="A188" t="str">
            <v>Liechtenstein</v>
          </cell>
        </row>
        <row r="189">
          <cell r="A189" t="str">
            <v>Samoa</v>
          </cell>
        </row>
        <row r="190">
          <cell r="A190" t="str">
            <v>Anguilla</v>
          </cell>
        </row>
        <row r="191">
          <cell r="A191" t="str">
            <v>Monaco</v>
          </cell>
        </row>
        <row r="192">
          <cell r="A192" t="str">
            <v>Djibouti</v>
          </cell>
        </row>
        <row r="193">
          <cell r="A193" t="str">
            <v>St. Kitts &amp; Nevis</v>
          </cell>
        </row>
        <row r="194">
          <cell r="A194" t="str">
            <v>Ã…land Islands</v>
          </cell>
        </row>
        <row r="195">
          <cell r="A195" t="str">
            <v>Turks &amp; Caicos Islands</v>
          </cell>
        </row>
        <row r="196">
          <cell r="A196" t="str">
            <v>Andorra</v>
          </cell>
        </row>
        <row r="197">
          <cell r="A197" t="str">
            <v>French Polynesia</v>
          </cell>
        </row>
        <row r="198">
          <cell r="A198" t="str">
            <v>St. Lucia</v>
          </cell>
        </row>
        <row r="199">
          <cell r="A199" t="str">
            <v>Gibraltar</v>
          </cell>
        </row>
        <row r="200">
          <cell r="A200" t="str">
            <v>Sint Maarten</v>
          </cell>
        </row>
        <row r="201">
          <cell r="A201" t="str">
            <v>Dominica</v>
          </cell>
        </row>
        <row r="202">
          <cell r="A202" t="str">
            <v>Congo - Brazzaville</v>
          </cell>
        </row>
        <row r="203">
          <cell r="A203" t="str">
            <v>Timor-Leste</v>
          </cell>
        </row>
        <row r="204">
          <cell r="A204" t="str">
            <v>Belize</v>
          </cell>
        </row>
        <row r="205">
          <cell r="A205" t="str">
            <v>Faroe Islands</v>
          </cell>
        </row>
        <row r="206">
          <cell r="A206" t="str">
            <v>Gabon</v>
          </cell>
        </row>
        <row r="207">
          <cell r="A207" t="str">
            <v>New Caledonia</v>
          </cell>
        </row>
        <row r="208">
          <cell r="A208" t="str">
            <v>Chad</v>
          </cell>
        </row>
        <row r="209">
          <cell r="A209" t="str">
            <v>Niger</v>
          </cell>
        </row>
        <row r="210">
          <cell r="A210" t="str">
            <v>St. Vincent &amp; Grenadines</v>
          </cell>
        </row>
        <row r="211">
          <cell r="A211" t="str">
            <v>Greenland</v>
          </cell>
        </row>
        <row r="212">
          <cell r="A212" t="str">
            <v>French Guiana</v>
          </cell>
        </row>
        <row r="213">
          <cell r="A213" t="str">
            <v>San Marino</v>
          </cell>
        </row>
        <row r="214">
          <cell r="A214" t="str">
            <v>Guernsey</v>
          </cell>
        </row>
        <row r="215">
          <cell r="A215" t="str">
            <v>South Sudan</v>
          </cell>
        </row>
        <row r="216">
          <cell r="A216" t="str">
            <v>Bermuda</v>
          </cell>
        </row>
        <row r="217">
          <cell r="A217" t="str">
            <v>Mauritania</v>
          </cell>
        </row>
        <row r="218">
          <cell r="A218" t="str">
            <v>Grenada</v>
          </cell>
        </row>
        <row r="219">
          <cell r="A219" t="str">
            <v>Gambia</v>
          </cell>
        </row>
        <row r="220">
          <cell r="A220" t="str">
            <v>Mayotte</v>
          </cell>
        </row>
        <row r="221">
          <cell r="A221" t="str">
            <v>Antigua &amp; Barbuda</v>
          </cell>
        </row>
        <row r="222">
          <cell r="A222" t="str">
            <v>Cayman Islands</v>
          </cell>
        </row>
        <row r="223">
          <cell r="A223" t="str">
            <v>Aruba</v>
          </cell>
        </row>
        <row r="224">
          <cell r="A224" t="str">
            <v>Guyana</v>
          </cell>
        </row>
        <row r="225">
          <cell r="A225" t="str">
            <v>Antarctica</v>
          </cell>
        </row>
        <row r="226">
          <cell r="A226" t="str">
            <v>French Southern Territories</v>
          </cell>
        </row>
        <row r="227">
          <cell r="A227" t="str">
            <v>Caribbean Netherlands</v>
          </cell>
        </row>
        <row r="228">
          <cell r="A228" t="str">
            <v>St. BarthÃ©lemy</v>
          </cell>
        </row>
        <row r="229">
          <cell r="A229" t="str">
            <v>Bouvet Island</v>
          </cell>
        </row>
        <row r="230">
          <cell r="A230" t="str">
            <v>Cocos (Keeling) Islands</v>
          </cell>
        </row>
        <row r="231">
          <cell r="A231" t="str">
            <v>Cook Islands</v>
          </cell>
        </row>
        <row r="232">
          <cell r="A232" t="str">
            <v>Christmas Island</v>
          </cell>
        </row>
        <row r="233">
          <cell r="A233" t="str">
            <v>Western Sahara</v>
          </cell>
        </row>
        <row r="234">
          <cell r="A234" t="str">
            <v>Falkland Islands (Islas Malvinas)</v>
          </cell>
        </row>
        <row r="235">
          <cell r="A235" t="str">
            <v>Heard &amp; McDonald Islands</v>
          </cell>
        </row>
        <row r="236">
          <cell r="A236" t="str">
            <v>Montserrat</v>
          </cell>
        </row>
        <row r="237">
          <cell r="A237" t="str">
            <v>Norfolk Island</v>
          </cell>
        </row>
        <row r="238">
          <cell r="A238" t="str">
            <v>Niue</v>
          </cell>
        </row>
        <row r="239">
          <cell r="A239" t="str">
            <v>Nauru</v>
          </cell>
        </row>
        <row r="240">
          <cell r="A240" t="str">
            <v>Pitcairn Islands</v>
          </cell>
        </row>
        <row r="241">
          <cell r="A241" t="str">
            <v>Palau</v>
          </cell>
        </row>
        <row r="242">
          <cell r="A242" t="str">
            <v>North Korea</v>
          </cell>
        </row>
        <row r="243">
          <cell r="A243" t="str">
            <v>South Georgia &amp; South Sandwich Islands</v>
          </cell>
        </row>
        <row r="244">
          <cell r="A244" t="str">
            <v>Svalbard &amp; Jan Mayen</v>
          </cell>
        </row>
        <row r="245">
          <cell r="A245" t="str">
            <v>St. Pierre &amp; Miquelon</v>
          </cell>
        </row>
        <row r="246">
          <cell r="A246" t="str">
            <v>Tokelau</v>
          </cell>
        </row>
        <row r="247">
          <cell r="A247" t="str">
            <v>Tonga</v>
          </cell>
        </row>
        <row r="248">
          <cell r="A248" t="str">
            <v>Tuvalu</v>
          </cell>
        </row>
        <row r="249">
          <cell r="A249" t="str">
            <v>U.S. Outlying Islands</v>
          </cell>
        </row>
        <row r="250">
          <cell r="A250" t="str">
            <v>Vatican City</v>
          </cell>
        </row>
        <row r="251">
          <cell r="A251" t="str">
            <v>U.S. Virgin Islands</v>
          </cell>
        </row>
        <row r="252">
          <cell r="A252" t="str">
            <v>Vanuatu</v>
          </cell>
        </row>
        <row r="253">
          <cell r="A253" t="str">
            <v>Wallis &amp; Futuna</v>
          </cell>
        </row>
      </sheetData>
    </sheetDataSet>
  </externalBook>
</externalLink>
</file>

<file path=xl/externalLinks/externalLink2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6)"/>
    </sheetNames>
    <sheetDataSet>
      <sheetData sheetId="0">
        <row r="1">
          <cell r="A1" t="str">
            <v>Kategori: TÃ¼m kategoriler</v>
          </cell>
        </row>
        <row r="3">
          <cell r="A3" t="str">
            <v>Ãœlke</v>
          </cell>
          <cell r="B3" t="str">
            <v>Yapay Sinir AÄŸlarÄ±: (2015)</v>
          </cell>
          <cell r="C3" t="str">
            <v>Derin Ã¶ÄŸrenme: (2015)</v>
          </cell>
        </row>
        <row r="4">
          <cell r="A4" t="str">
            <v>China</v>
          </cell>
          <cell r="B4">
            <v>0.61</v>
          </cell>
          <cell r="C4">
            <v>0.39</v>
          </cell>
        </row>
        <row r="5">
          <cell r="A5" t="str">
            <v>Cuba</v>
          </cell>
        </row>
        <row r="6">
          <cell r="A6" t="str">
            <v>South Korea</v>
          </cell>
          <cell r="B6">
            <v>0.66</v>
          </cell>
          <cell r="C6">
            <v>0.34</v>
          </cell>
        </row>
        <row r="7">
          <cell r="A7" t="str">
            <v>Croatia</v>
          </cell>
        </row>
        <row r="8">
          <cell r="A8" t="str">
            <v>Botswana</v>
          </cell>
        </row>
        <row r="9">
          <cell r="A9" t="str">
            <v>Zimbabwe</v>
          </cell>
        </row>
        <row r="10">
          <cell r="A10" t="str">
            <v>Nepal</v>
          </cell>
        </row>
        <row r="11">
          <cell r="A11" t="str">
            <v>Iran</v>
          </cell>
          <cell r="B11">
            <v>0.91</v>
          </cell>
          <cell r="C11">
            <v>0.09</v>
          </cell>
        </row>
        <row r="12">
          <cell r="A12" t="str">
            <v>Myanmar (Burma)</v>
          </cell>
        </row>
        <row r="13">
          <cell r="A13" t="str">
            <v>India</v>
          </cell>
          <cell r="B13">
            <v>0.89</v>
          </cell>
          <cell r="C13">
            <v>0.11</v>
          </cell>
        </row>
        <row r="14">
          <cell r="A14" t="str">
            <v>Sri Lanka</v>
          </cell>
        </row>
        <row r="15">
          <cell r="A15" t="str">
            <v>Nigeria</v>
          </cell>
        </row>
        <row r="16">
          <cell r="A16" t="str">
            <v>Pakistan</v>
          </cell>
          <cell r="B16">
            <v>0.9</v>
          </cell>
          <cell r="C16">
            <v>0.1</v>
          </cell>
        </row>
        <row r="17">
          <cell r="A17" t="str">
            <v>Singapore</v>
          </cell>
          <cell r="B17">
            <v>0.65</v>
          </cell>
          <cell r="C17">
            <v>0.35</v>
          </cell>
        </row>
        <row r="18">
          <cell r="A18" t="str">
            <v>Ethiopia</v>
          </cell>
        </row>
        <row r="19">
          <cell r="A19" t="str">
            <v>Cambodia</v>
          </cell>
        </row>
        <row r="20">
          <cell r="A20" t="str">
            <v>St. Helena</v>
          </cell>
        </row>
        <row r="21">
          <cell r="A21" t="str">
            <v>Malta</v>
          </cell>
        </row>
        <row r="22">
          <cell r="A22" t="str">
            <v>Bangladesh</v>
          </cell>
          <cell r="B22">
            <v>0.92</v>
          </cell>
          <cell r="C22">
            <v>0.08</v>
          </cell>
        </row>
        <row r="23">
          <cell r="A23" t="str">
            <v>Hong Kong</v>
          </cell>
          <cell r="B23">
            <v>0.68</v>
          </cell>
          <cell r="C23">
            <v>0.32</v>
          </cell>
        </row>
        <row r="24">
          <cell r="A24" t="str">
            <v>Fiji</v>
          </cell>
        </row>
        <row r="25">
          <cell r="A25" t="str">
            <v>Cyprus</v>
          </cell>
        </row>
        <row r="26">
          <cell r="A26" t="str">
            <v>Taiwan</v>
          </cell>
          <cell r="B26">
            <v>0.75</v>
          </cell>
          <cell r="C26">
            <v>0.25</v>
          </cell>
        </row>
        <row r="27">
          <cell r="A27" t="str">
            <v>Rwanda</v>
          </cell>
        </row>
        <row r="28">
          <cell r="A28" t="str">
            <v>Macao</v>
          </cell>
        </row>
        <row r="29">
          <cell r="A29" t="str">
            <v>Mauritius</v>
          </cell>
        </row>
        <row r="30">
          <cell r="A30" t="str">
            <v>Ghana</v>
          </cell>
        </row>
        <row r="31">
          <cell r="A31" t="str">
            <v>Czechia</v>
          </cell>
          <cell r="B31">
            <v>0.9</v>
          </cell>
          <cell r="C31">
            <v>0.1</v>
          </cell>
        </row>
        <row r="32">
          <cell r="A32" t="str">
            <v>Bhutan</v>
          </cell>
        </row>
        <row r="33">
          <cell r="A33" t="str">
            <v>Israel</v>
          </cell>
          <cell r="B33">
            <v>0.61</v>
          </cell>
          <cell r="C33">
            <v>0.39</v>
          </cell>
        </row>
        <row r="34">
          <cell r="A34" t="str">
            <v>Jamaica</v>
          </cell>
        </row>
        <row r="35">
          <cell r="A35" t="str">
            <v>Malaysia</v>
          </cell>
          <cell r="B35">
            <v>0.91</v>
          </cell>
          <cell r="C35">
            <v>0.09</v>
          </cell>
        </row>
        <row r="36">
          <cell r="A36" t="str">
            <v>Kenya</v>
          </cell>
          <cell r="B36">
            <v>0.89</v>
          </cell>
          <cell r="C36">
            <v>0.11</v>
          </cell>
        </row>
        <row r="37">
          <cell r="A37" t="str">
            <v>Mongolia</v>
          </cell>
        </row>
        <row r="38">
          <cell r="A38" t="str">
            <v>Tunisia</v>
          </cell>
          <cell r="B38">
            <v>0.85</v>
          </cell>
          <cell r="C38">
            <v>0.15</v>
          </cell>
        </row>
        <row r="39">
          <cell r="A39" t="str">
            <v>Syria</v>
          </cell>
        </row>
        <row r="40">
          <cell r="A40" t="str">
            <v>Madagascar</v>
          </cell>
        </row>
        <row r="41">
          <cell r="A41" t="str">
            <v>North Macedonia</v>
          </cell>
        </row>
        <row r="42">
          <cell r="A42" t="str">
            <v>Indonesia</v>
          </cell>
          <cell r="B42">
            <v>0.97</v>
          </cell>
          <cell r="C42">
            <v>0.03</v>
          </cell>
        </row>
        <row r="43">
          <cell r="A43" t="str">
            <v>Lebanon</v>
          </cell>
        </row>
        <row r="44">
          <cell r="A44" t="str">
            <v>Iceland</v>
          </cell>
        </row>
        <row r="45">
          <cell r="A45" t="str">
            <v>United States</v>
          </cell>
          <cell r="B45">
            <v>0.74</v>
          </cell>
          <cell r="C45">
            <v>0.26</v>
          </cell>
        </row>
        <row r="46">
          <cell r="A46" t="str">
            <v>Tanzania</v>
          </cell>
        </row>
        <row r="47">
          <cell r="A47" t="str">
            <v>Belarus</v>
          </cell>
        </row>
        <row r="48">
          <cell r="A48" t="str">
            <v>Brunei</v>
          </cell>
        </row>
        <row r="49">
          <cell r="A49" t="str">
            <v>Somalia</v>
          </cell>
        </row>
        <row r="50">
          <cell r="A50" t="str">
            <v>Russia</v>
          </cell>
          <cell r="B50">
            <v>0.93</v>
          </cell>
          <cell r="C50">
            <v>7.0000000000000007E-2</v>
          </cell>
        </row>
        <row r="51">
          <cell r="A51" t="str">
            <v>Canada</v>
          </cell>
          <cell r="B51">
            <v>0.76</v>
          </cell>
          <cell r="C51">
            <v>0.24</v>
          </cell>
        </row>
        <row r="52">
          <cell r="A52" t="str">
            <v>South Africa</v>
          </cell>
          <cell r="B52">
            <v>0.86</v>
          </cell>
          <cell r="C52">
            <v>0.14000000000000001</v>
          </cell>
        </row>
        <row r="53">
          <cell r="A53" t="str">
            <v>Libya</v>
          </cell>
        </row>
        <row r="54">
          <cell r="A54" t="str">
            <v>Cameroon</v>
          </cell>
        </row>
        <row r="55">
          <cell r="A55" t="str">
            <v>Australia</v>
          </cell>
          <cell r="B55">
            <v>0.75</v>
          </cell>
          <cell r="C55">
            <v>0.25</v>
          </cell>
        </row>
        <row r="56">
          <cell r="A56" t="str">
            <v>Japan</v>
          </cell>
          <cell r="B56">
            <v>0.41</v>
          </cell>
          <cell r="C56">
            <v>0.59</v>
          </cell>
        </row>
        <row r="57">
          <cell r="A57" t="str">
            <v>Sudan</v>
          </cell>
        </row>
        <row r="58">
          <cell r="A58" t="str">
            <v>United Kingdom</v>
          </cell>
          <cell r="B58">
            <v>0.77</v>
          </cell>
          <cell r="C58">
            <v>0.23</v>
          </cell>
        </row>
        <row r="59">
          <cell r="A59" t="str">
            <v>Trinidad &amp; Tobago</v>
          </cell>
        </row>
        <row r="60">
          <cell r="A60" t="str">
            <v>Ireland</v>
          </cell>
          <cell r="B60">
            <v>0.76</v>
          </cell>
          <cell r="C60">
            <v>0.24</v>
          </cell>
        </row>
        <row r="61">
          <cell r="A61" t="str">
            <v>New Zealand</v>
          </cell>
          <cell r="B61">
            <v>0.76</v>
          </cell>
          <cell r="C61">
            <v>0.24</v>
          </cell>
        </row>
        <row r="62">
          <cell r="A62" t="str">
            <v>Philippines</v>
          </cell>
          <cell r="B62">
            <v>0.92</v>
          </cell>
          <cell r="C62">
            <v>0.08</v>
          </cell>
        </row>
        <row r="63">
          <cell r="A63" t="str">
            <v>Qatar</v>
          </cell>
        </row>
        <row r="64">
          <cell r="A64" t="str">
            <v>Algeria</v>
          </cell>
        </row>
        <row r="65">
          <cell r="A65" t="str">
            <v>Lithuania</v>
          </cell>
        </row>
        <row r="66">
          <cell r="A66" t="str">
            <v>Estonia</v>
          </cell>
        </row>
        <row r="67">
          <cell r="A67" t="str">
            <v>Laos</v>
          </cell>
        </row>
        <row r="68">
          <cell r="A68" t="str">
            <v>Iraq</v>
          </cell>
        </row>
        <row r="69">
          <cell r="A69" t="str">
            <v>Peru</v>
          </cell>
        </row>
        <row r="70">
          <cell r="A70" t="str">
            <v>Uganda</v>
          </cell>
        </row>
        <row r="71">
          <cell r="A71" t="str">
            <v>Palestine</v>
          </cell>
        </row>
        <row r="72">
          <cell r="A72" t="str">
            <v>Armenia</v>
          </cell>
        </row>
        <row r="73">
          <cell r="A73" t="str">
            <v>Greece</v>
          </cell>
          <cell r="B73">
            <v>0.82</v>
          </cell>
          <cell r="C73">
            <v>0.18</v>
          </cell>
        </row>
        <row r="74">
          <cell r="A74" t="str">
            <v>Portugal</v>
          </cell>
          <cell r="B74">
            <v>0.86</v>
          </cell>
          <cell r="C74">
            <v>0.14000000000000001</v>
          </cell>
        </row>
        <row r="75">
          <cell r="A75" t="str">
            <v>Switzerland</v>
          </cell>
          <cell r="B75">
            <v>0.64</v>
          </cell>
          <cell r="C75">
            <v>0.36</v>
          </cell>
        </row>
        <row r="76">
          <cell r="A76" t="str">
            <v>Ukraine</v>
          </cell>
          <cell r="B76">
            <v>0.95</v>
          </cell>
          <cell r="C76">
            <v>0.05</v>
          </cell>
        </row>
        <row r="77">
          <cell r="A77" t="str">
            <v>Slovenia</v>
          </cell>
        </row>
        <row r="78">
          <cell r="A78" t="str">
            <v>Latvia</v>
          </cell>
        </row>
        <row r="79">
          <cell r="A79" t="str">
            <v>Poland</v>
          </cell>
          <cell r="B79">
            <v>0.9</v>
          </cell>
          <cell r="C79">
            <v>0.1</v>
          </cell>
        </row>
        <row r="80">
          <cell r="A80" t="str">
            <v>Egypt</v>
          </cell>
          <cell r="B80">
            <v>0.89</v>
          </cell>
          <cell r="C80">
            <v>0.11</v>
          </cell>
        </row>
        <row r="81">
          <cell r="A81" t="str">
            <v>Oman</v>
          </cell>
        </row>
        <row r="82">
          <cell r="A82" t="str">
            <v>Jordan</v>
          </cell>
        </row>
        <row r="83">
          <cell r="A83" t="str">
            <v>Bolivia</v>
          </cell>
        </row>
        <row r="84">
          <cell r="A84" t="str">
            <v>Sweden</v>
          </cell>
          <cell r="B84">
            <v>0.71</v>
          </cell>
          <cell r="C84">
            <v>0.28999999999999998</v>
          </cell>
        </row>
        <row r="85">
          <cell r="A85" t="str">
            <v>United Arab Emirates</v>
          </cell>
          <cell r="B85">
            <v>0.87</v>
          </cell>
          <cell r="C85">
            <v>0.13</v>
          </cell>
        </row>
        <row r="86">
          <cell r="A86" t="str">
            <v>Georgia</v>
          </cell>
        </row>
        <row r="87">
          <cell r="A87" t="str">
            <v>Norway</v>
          </cell>
          <cell r="B87">
            <v>0.73</v>
          </cell>
          <cell r="C87">
            <v>0.27</v>
          </cell>
        </row>
        <row r="88">
          <cell r="A88" t="str">
            <v>Finland</v>
          </cell>
          <cell r="B88">
            <v>0.7</v>
          </cell>
          <cell r="C88">
            <v>0.3</v>
          </cell>
        </row>
        <row r="89">
          <cell r="A89" t="str">
            <v>Bahrain</v>
          </cell>
        </row>
        <row r="90">
          <cell r="A90" t="str">
            <v>Netherlands</v>
          </cell>
          <cell r="B90">
            <v>0.72</v>
          </cell>
          <cell r="C90">
            <v>0.28000000000000003</v>
          </cell>
        </row>
        <row r="91">
          <cell r="A91" t="str">
            <v>Ecuador</v>
          </cell>
        </row>
        <row r="92">
          <cell r="A92" t="str">
            <v>Colombia</v>
          </cell>
          <cell r="B92">
            <v>0.95</v>
          </cell>
          <cell r="C92">
            <v>0.05</v>
          </cell>
        </row>
        <row r="93">
          <cell r="A93" t="str">
            <v>Mexico</v>
          </cell>
          <cell r="B93">
            <v>0.94</v>
          </cell>
          <cell r="C93">
            <v>0.06</v>
          </cell>
        </row>
        <row r="94">
          <cell r="A94" t="str">
            <v>Germany</v>
          </cell>
          <cell r="B94">
            <v>0.72</v>
          </cell>
          <cell r="C94">
            <v>0.28000000000000003</v>
          </cell>
        </row>
        <row r="95">
          <cell r="A95" t="str">
            <v>Luxembourg</v>
          </cell>
        </row>
        <row r="96">
          <cell r="A96" t="str">
            <v>Honduras</v>
          </cell>
        </row>
        <row r="97">
          <cell r="A97" t="str">
            <v>Denmark</v>
          </cell>
          <cell r="B97">
            <v>0.77</v>
          </cell>
          <cell r="C97">
            <v>0.23</v>
          </cell>
        </row>
        <row r="98">
          <cell r="A98" t="str">
            <v>Bulgaria</v>
          </cell>
          <cell r="B98">
            <v>0.85</v>
          </cell>
          <cell r="C98">
            <v>0.15</v>
          </cell>
        </row>
        <row r="99">
          <cell r="A99" t="str">
            <v>Chile</v>
          </cell>
          <cell r="B99">
            <v>0.87</v>
          </cell>
          <cell r="C99">
            <v>0.13</v>
          </cell>
        </row>
        <row r="100">
          <cell r="A100" t="str">
            <v>Costa Rica</v>
          </cell>
        </row>
        <row r="101">
          <cell r="A101" t="str">
            <v>Belgium</v>
          </cell>
          <cell r="B101">
            <v>0.71</v>
          </cell>
          <cell r="C101">
            <v>0.28999999999999998</v>
          </cell>
        </row>
        <row r="102">
          <cell r="A102" t="str">
            <v>Serbia</v>
          </cell>
          <cell r="B102">
            <v>0.83</v>
          </cell>
          <cell r="C102">
            <v>0.17</v>
          </cell>
        </row>
        <row r="103">
          <cell r="A103" t="str">
            <v>Kyrgyzstan</v>
          </cell>
        </row>
        <row r="104">
          <cell r="A104" t="str">
            <v>Slovakia</v>
          </cell>
        </row>
        <row r="105">
          <cell r="A105" t="str">
            <v>Austria</v>
          </cell>
          <cell r="B105">
            <v>0.71</v>
          </cell>
          <cell r="C105">
            <v>0.28999999999999998</v>
          </cell>
        </row>
        <row r="106">
          <cell r="A106" t="str">
            <v>Afghanistan</v>
          </cell>
        </row>
        <row r="107">
          <cell r="A107" t="str">
            <v>Romania</v>
          </cell>
          <cell r="B107">
            <v>0.84</v>
          </cell>
          <cell r="C107">
            <v>0.16</v>
          </cell>
        </row>
        <row r="108">
          <cell r="A108" t="str">
            <v>Morocco</v>
          </cell>
          <cell r="B108">
            <v>0.86</v>
          </cell>
          <cell r="C108">
            <v>0.14000000000000001</v>
          </cell>
        </row>
        <row r="109">
          <cell r="A109" t="str">
            <v>Puerto Rico</v>
          </cell>
        </row>
        <row r="110">
          <cell r="A110" t="str">
            <v>Thailand</v>
          </cell>
          <cell r="B110">
            <v>0.92</v>
          </cell>
          <cell r="C110">
            <v>0.08</v>
          </cell>
        </row>
        <row r="111">
          <cell r="A111" t="str">
            <v>Spain</v>
          </cell>
          <cell r="B111">
            <v>0.81</v>
          </cell>
          <cell r="C111">
            <v>0.19</v>
          </cell>
        </row>
        <row r="112">
          <cell r="A112" t="str">
            <v>Albania</v>
          </cell>
        </row>
        <row r="113">
          <cell r="A113" t="str">
            <v>Uzbekistan</v>
          </cell>
        </row>
        <row r="114">
          <cell r="A114" t="str">
            <v>Brazil</v>
          </cell>
          <cell r="B114">
            <v>0.91</v>
          </cell>
          <cell r="C114">
            <v>0.09</v>
          </cell>
        </row>
        <row r="115">
          <cell r="A115" t="str">
            <v>Panama</v>
          </cell>
        </row>
        <row r="116">
          <cell r="A116" t="str">
            <v>Dominican Republic</v>
          </cell>
        </row>
        <row r="117">
          <cell r="A117" t="str">
            <v>Italy</v>
          </cell>
          <cell r="B117">
            <v>0.83</v>
          </cell>
          <cell r="C117">
            <v>0.17</v>
          </cell>
        </row>
        <row r="118">
          <cell r="A118" t="str">
            <v>Turkey</v>
          </cell>
          <cell r="B118">
            <v>0.87</v>
          </cell>
          <cell r="C118">
            <v>0.13</v>
          </cell>
        </row>
        <row r="119">
          <cell r="A119" t="str">
            <v>Kuwait</v>
          </cell>
        </row>
        <row r="120">
          <cell r="A120" t="str">
            <v>Hungary</v>
          </cell>
          <cell r="B120">
            <v>0.78</v>
          </cell>
          <cell r="C120">
            <v>0.22</v>
          </cell>
        </row>
        <row r="121">
          <cell r="A121" t="str">
            <v>Kazakhstan</v>
          </cell>
        </row>
        <row r="122">
          <cell r="A122" t="str">
            <v>Paraguay</v>
          </cell>
        </row>
        <row r="123">
          <cell r="A123" t="str">
            <v>Bosnia &amp; Herzegovina</v>
          </cell>
        </row>
        <row r="124">
          <cell r="A124" t="str">
            <v>Saudi Arabia</v>
          </cell>
        </row>
        <row r="125">
          <cell r="A125" t="str">
            <v>Uruguay</v>
          </cell>
        </row>
        <row r="126">
          <cell r="A126" t="str">
            <v>Moldova</v>
          </cell>
        </row>
        <row r="127">
          <cell r="A127" t="str">
            <v>France</v>
          </cell>
          <cell r="B127">
            <v>0.65</v>
          </cell>
          <cell r="C127">
            <v>0.35</v>
          </cell>
        </row>
        <row r="128">
          <cell r="A128" t="str">
            <v>Yemen</v>
          </cell>
        </row>
        <row r="129">
          <cell r="A129" t="str">
            <v>Venezuela</v>
          </cell>
        </row>
        <row r="130">
          <cell r="A130" t="str">
            <v>Azerbaijan</v>
          </cell>
        </row>
        <row r="131">
          <cell r="A131" t="str">
            <v>Guatemala</v>
          </cell>
        </row>
        <row r="132">
          <cell r="A132" t="str">
            <v>Vietnam</v>
          </cell>
          <cell r="B132">
            <v>0.56000000000000005</v>
          </cell>
          <cell r="C132">
            <v>0.44</v>
          </cell>
        </row>
        <row r="133">
          <cell r="A133" t="str">
            <v>Argentina</v>
          </cell>
          <cell r="B133">
            <v>0.87</v>
          </cell>
          <cell r="C133">
            <v>0.13</v>
          </cell>
        </row>
        <row r="134">
          <cell r="A134" t="str">
            <v>El Salvador</v>
          </cell>
        </row>
        <row r="135">
          <cell r="A135" t="str">
            <v>Eritrea</v>
          </cell>
        </row>
        <row r="136">
          <cell r="A136" t="str">
            <v>British Indian Ocean Territory</v>
          </cell>
        </row>
        <row r="137">
          <cell r="A137" t="str">
            <v>Micronesia</v>
          </cell>
        </row>
        <row r="138">
          <cell r="A138" t="str">
            <v>American Samoa</v>
          </cell>
        </row>
        <row r="139">
          <cell r="A139" t="str">
            <v>Samoa</v>
          </cell>
        </row>
        <row r="140">
          <cell r="A140" t="str">
            <v>Caribbean Netherlands</v>
          </cell>
        </row>
        <row r="141">
          <cell r="A141" t="str">
            <v>Vanuatu</v>
          </cell>
        </row>
        <row r="142">
          <cell r="A142" t="str">
            <v>Antigua &amp; Barbuda</v>
          </cell>
        </row>
        <row r="143">
          <cell r="A143" t="str">
            <v>British Virgin Islands</v>
          </cell>
        </row>
        <row r="144">
          <cell r="A144" t="str">
            <v>Turks &amp; Caicos Islands</v>
          </cell>
        </row>
        <row r="145">
          <cell r="A145" t="str">
            <v>Bermuda</v>
          </cell>
        </row>
        <row r="146">
          <cell r="A146" t="str">
            <v>St. Vincent &amp; Grenadines</v>
          </cell>
        </row>
        <row r="147">
          <cell r="A147" t="str">
            <v>St. Kitts &amp; Nevis</v>
          </cell>
        </row>
        <row r="148">
          <cell r="A148" t="str">
            <v>Seychelles</v>
          </cell>
        </row>
        <row r="149">
          <cell r="A149" t="str">
            <v>Ã…land Islands</v>
          </cell>
        </row>
        <row r="150">
          <cell r="A150" t="str">
            <v>Eswatini</v>
          </cell>
        </row>
        <row r="151">
          <cell r="A151" t="str">
            <v>Belize</v>
          </cell>
        </row>
        <row r="152">
          <cell r="A152" t="str">
            <v>U.S. Virgin Islands</v>
          </cell>
        </row>
        <row r="153">
          <cell r="A153" t="str">
            <v>Liberia</v>
          </cell>
        </row>
        <row r="154">
          <cell r="A154" t="str">
            <v>Bahamas</v>
          </cell>
        </row>
        <row r="155">
          <cell r="A155" t="str">
            <v>Kosovo</v>
          </cell>
        </row>
        <row r="156">
          <cell r="A156" t="str">
            <v>Faroe Islands</v>
          </cell>
        </row>
        <row r="157">
          <cell r="A157" t="str">
            <v>Gibraltar</v>
          </cell>
        </row>
        <row r="158">
          <cell r="A158" t="str">
            <v>Cayman Islands</v>
          </cell>
        </row>
        <row r="159">
          <cell r="A159" t="str">
            <v>Barbados</v>
          </cell>
        </row>
        <row r="160">
          <cell r="A160" t="str">
            <v>St. Lucia</v>
          </cell>
        </row>
        <row r="161">
          <cell r="A161" t="str">
            <v>Malawi</v>
          </cell>
        </row>
        <row r="162">
          <cell r="A162" t="str">
            <v>Sierra Leone</v>
          </cell>
        </row>
        <row r="163">
          <cell r="A163" t="str">
            <v>Mayotte</v>
          </cell>
        </row>
        <row r="164">
          <cell r="A164" t="str">
            <v>Guyana</v>
          </cell>
        </row>
        <row r="165">
          <cell r="A165" t="str">
            <v>Gambia</v>
          </cell>
        </row>
        <row r="166">
          <cell r="A166" t="str">
            <v>Grenada</v>
          </cell>
        </row>
        <row r="167">
          <cell r="A167" t="str">
            <v>Timor-Leste</v>
          </cell>
        </row>
        <row r="168">
          <cell r="A168" t="str">
            <v>Lesotho</v>
          </cell>
        </row>
        <row r="169">
          <cell r="A169" t="str">
            <v>Guernsey</v>
          </cell>
        </row>
        <row r="170">
          <cell r="A170" t="str">
            <v>Aruba</v>
          </cell>
        </row>
        <row r="171">
          <cell r="A171" t="str">
            <v>Guam</v>
          </cell>
        </row>
        <row r="172">
          <cell r="A172" t="str">
            <v>Jersey</v>
          </cell>
        </row>
        <row r="173">
          <cell r="A173" t="str">
            <v>Monaco</v>
          </cell>
        </row>
        <row r="174">
          <cell r="A174" t="str">
            <v>Togo</v>
          </cell>
        </row>
        <row r="175">
          <cell r="A175" t="str">
            <v>Haiti</v>
          </cell>
        </row>
        <row r="176">
          <cell r="A176" t="str">
            <v>South Sudan</v>
          </cell>
        </row>
        <row r="177">
          <cell r="A177" t="str">
            <v>Namibia</v>
          </cell>
        </row>
        <row r="178">
          <cell r="A178" t="str">
            <v>Benin</v>
          </cell>
        </row>
        <row r="179">
          <cell r="A179" t="str">
            <v>Isle of Man</v>
          </cell>
        </row>
        <row r="180">
          <cell r="A180" t="str">
            <v>Maldives</v>
          </cell>
        </row>
        <row r="181">
          <cell r="A181" t="str">
            <v>Cape Verde</v>
          </cell>
        </row>
        <row r="182">
          <cell r="A182" t="str">
            <v>CuraÃ§ao</v>
          </cell>
        </row>
        <row r="183">
          <cell r="A183" t="str">
            <v>Congo - Kinshasa</v>
          </cell>
        </row>
        <row r="184">
          <cell r="A184" t="str">
            <v>Suriname</v>
          </cell>
        </row>
        <row r="185">
          <cell r="A185" t="str">
            <v>Congo - Brazzaville</v>
          </cell>
        </row>
        <row r="186">
          <cell r="A186" t="str">
            <v>Zambia</v>
          </cell>
        </row>
        <row r="187">
          <cell r="A187" t="str">
            <v>French Guiana</v>
          </cell>
        </row>
        <row r="188">
          <cell r="A188" t="str">
            <v>Papua New Guinea</v>
          </cell>
        </row>
        <row r="189">
          <cell r="A189" t="str">
            <v>Gabon</v>
          </cell>
        </row>
        <row r="190">
          <cell r="A190" t="str">
            <v>Senegal</v>
          </cell>
        </row>
        <row r="191">
          <cell r="A191" t="str">
            <v>Mozambique</v>
          </cell>
        </row>
        <row r="192">
          <cell r="A192" t="str">
            <v>Nicaragua</v>
          </cell>
        </row>
        <row r="193">
          <cell r="A193" t="str">
            <v>Montenegro</v>
          </cell>
        </row>
        <row r="194">
          <cell r="A194" t="str">
            <v>Guinea</v>
          </cell>
        </row>
        <row r="195">
          <cell r="A195" t="str">
            <v>Martinique</v>
          </cell>
        </row>
        <row r="196">
          <cell r="A196" t="str">
            <v>New Caledonia</v>
          </cell>
        </row>
        <row r="197">
          <cell r="A197" t="str">
            <v>Guadeloupe</v>
          </cell>
        </row>
        <row r="198">
          <cell r="A198" t="str">
            <v>Burkina Faso</v>
          </cell>
        </row>
        <row r="199">
          <cell r="A199" t="str">
            <v>Angola</v>
          </cell>
        </row>
        <row r="200">
          <cell r="A200" t="str">
            <v>CÃ´te dâ€™Ivoire</v>
          </cell>
        </row>
        <row r="201">
          <cell r="A201" t="str">
            <v>Mali</v>
          </cell>
        </row>
        <row r="202">
          <cell r="A202" t="str">
            <v>Tajikistan</v>
          </cell>
        </row>
        <row r="203">
          <cell r="A203" t="str">
            <v>RÃ©union</v>
          </cell>
        </row>
        <row r="204">
          <cell r="A204" t="str">
            <v>Anguilla</v>
          </cell>
        </row>
        <row r="205">
          <cell r="A205" t="str">
            <v>Andorra</v>
          </cell>
        </row>
        <row r="206">
          <cell r="A206" t="str">
            <v>Antarctica</v>
          </cell>
        </row>
        <row r="207">
          <cell r="A207" t="str">
            <v>French Southern Territories</v>
          </cell>
        </row>
        <row r="208">
          <cell r="A208" t="str">
            <v>Burundi</v>
          </cell>
        </row>
        <row r="209">
          <cell r="A209" t="str">
            <v>St. BarthÃ©lemy</v>
          </cell>
        </row>
        <row r="210">
          <cell r="A210" t="str">
            <v>Bouvet Island</v>
          </cell>
        </row>
        <row r="211">
          <cell r="A211" t="str">
            <v>Central African Republic</v>
          </cell>
        </row>
        <row r="212">
          <cell r="A212" t="str">
            <v>Cocos (Keeling) Islands</v>
          </cell>
        </row>
        <row r="213">
          <cell r="A213" t="str">
            <v>Cook Islands</v>
          </cell>
        </row>
        <row r="214">
          <cell r="A214" t="str">
            <v>Comoros</v>
          </cell>
        </row>
        <row r="215">
          <cell r="A215" t="str">
            <v>Christmas Island</v>
          </cell>
        </row>
        <row r="216">
          <cell r="A216" t="str">
            <v>Djibouti</v>
          </cell>
        </row>
        <row r="217">
          <cell r="A217" t="str">
            <v>Dominica</v>
          </cell>
        </row>
        <row r="218">
          <cell r="A218" t="str">
            <v>Western Sahara</v>
          </cell>
        </row>
        <row r="219">
          <cell r="A219" t="str">
            <v>Falkland Islands (Islas Malvinas)</v>
          </cell>
        </row>
        <row r="220">
          <cell r="A220" t="str">
            <v>Guinea-Bissau</v>
          </cell>
        </row>
        <row r="221">
          <cell r="A221" t="str">
            <v>Equatorial Guinea</v>
          </cell>
        </row>
        <row r="222">
          <cell r="A222" t="str">
            <v>Greenland</v>
          </cell>
        </row>
        <row r="223">
          <cell r="A223" t="str">
            <v>Heard &amp; McDonald Islands</v>
          </cell>
        </row>
        <row r="224">
          <cell r="A224" t="str">
            <v>Kiribati</v>
          </cell>
        </row>
        <row r="225">
          <cell r="A225" t="str">
            <v>Liechtenstein</v>
          </cell>
        </row>
        <row r="226">
          <cell r="A226" t="str">
            <v>St. Martin</v>
          </cell>
        </row>
        <row r="227">
          <cell r="A227" t="str">
            <v>Marshall Islands</v>
          </cell>
        </row>
        <row r="228">
          <cell r="A228" t="str">
            <v>Northern Mariana Islands</v>
          </cell>
        </row>
        <row r="229">
          <cell r="A229" t="str">
            <v>Mauritania</v>
          </cell>
        </row>
        <row r="230">
          <cell r="A230" t="str">
            <v>Montserrat</v>
          </cell>
        </row>
        <row r="231">
          <cell r="A231" t="str">
            <v>Niger</v>
          </cell>
        </row>
        <row r="232">
          <cell r="A232" t="str">
            <v>Norfolk Island</v>
          </cell>
        </row>
        <row r="233">
          <cell r="A233" t="str">
            <v>Niue</v>
          </cell>
        </row>
        <row r="234">
          <cell r="A234" t="str">
            <v>Nauru</v>
          </cell>
        </row>
        <row r="235">
          <cell r="A235" t="str">
            <v>Pitcairn Islands</v>
          </cell>
        </row>
        <row r="236">
          <cell r="A236" t="str">
            <v>Palau</v>
          </cell>
        </row>
        <row r="237">
          <cell r="A237" t="str">
            <v>North Korea</v>
          </cell>
        </row>
        <row r="238">
          <cell r="A238" t="str">
            <v>French Polynesia</v>
          </cell>
        </row>
        <row r="239">
          <cell r="A239" t="str">
            <v>South Georgia &amp; South Sandwich Islands</v>
          </cell>
        </row>
        <row r="240">
          <cell r="A240" t="str">
            <v>Svalbard &amp; Jan Mayen</v>
          </cell>
        </row>
        <row r="241">
          <cell r="A241" t="str">
            <v>Solomon Islands</v>
          </cell>
        </row>
        <row r="242">
          <cell r="A242" t="str">
            <v>San Marino</v>
          </cell>
        </row>
        <row r="243">
          <cell r="A243" t="str">
            <v>St. Pierre &amp; Miquelon</v>
          </cell>
        </row>
        <row r="244">
          <cell r="A244" t="str">
            <v>SÃ£o TomÃ© &amp; PrÃ­ncipe</v>
          </cell>
        </row>
        <row r="245">
          <cell r="A245" t="str">
            <v>Sint Maarten</v>
          </cell>
        </row>
        <row r="246">
          <cell r="A246" t="str">
            <v>Chad</v>
          </cell>
        </row>
        <row r="247">
          <cell r="A247" t="str">
            <v>Tokelau</v>
          </cell>
        </row>
        <row r="248">
          <cell r="A248" t="str">
            <v>Turkmenistan</v>
          </cell>
        </row>
        <row r="249">
          <cell r="A249" t="str">
            <v>Tonga</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2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7)"/>
    </sheetNames>
    <sheetDataSet>
      <sheetData sheetId="0">
        <row r="1">
          <cell r="A1" t="str">
            <v>Kategori: TÃ¼m kategoriler</v>
          </cell>
        </row>
        <row r="3">
          <cell r="A3" t="str">
            <v>Ãœlke</v>
          </cell>
          <cell r="B3" t="str">
            <v>Derin Ã¶ÄŸrenme: (2015)</v>
          </cell>
          <cell r="C3" t="str">
            <v>Ã–bek: (2015)</v>
          </cell>
        </row>
        <row r="4">
          <cell r="A4" t="str">
            <v>China</v>
          </cell>
          <cell r="B4">
            <v>0.52</v>
          </cell>
          <cell r="C4">
            <v>0.48</v>
          </cell>
        </row>
        <row r="5">
          <cell r="A5" t="str">
            <v>South Korea</v>
          </cell>
          <cell r="B5">
            <v>0.36</v>
          </cell>
          <cell r="C5">
            <v>0.64</v>
          </cell>
        </row>
        <row r="6">
          <cell r="A6" t="str">
            <v>Hong Kong</v>
          </cell>
          <cell r="B6">
            <v>0.18</v>
          </cell>
          <cell r="C6">
            <v>0.82</v>
          </cell>
        </row>
        <row r="7">
          <cell r="A7" t="str">
            <v>Lesotho</v>
          </cell>
        </row>
        <row r="8">
          <cell r="A8" t="str">
            <v>Taiwan</v>
          </cell>
          <cell r="B8">
            <v>0.13</v>
          </cell>
          <cell r="C8">
            <v>0.87</v>
          </cell>
        </row>
        <row r="9">
          <cell r="A9" t="str">
            <v>St. Helena</v>
          </cell>
        </row>
        <row r="10">
          <cell r="A10" t="str">
            <v>New Zealand</v>
          </cell>
          <cell r="B10">
            <v>0.11</v>
          </cell>
          <cell r="C10">
            <v>0.89</v>
          </cell>
        </row>
        <row r="11">
          <cell r="A11" t="str">
            <v>India</v>
          </cell>
          <cell r="B11">
            <v>0.11</v>
          </cell>
          <cell r="C11">
            <v>0.89</v>
          </cell>
        </row>
        <row r="12">
          <cell r="A12" t="str">
            <v>Macao</v>
          </cell>
        </row>
        <row r="13">
          <cell r="A13" t="str">
            <v>Israel</v>
          </cell>
          <cell r="B13">
            <v>0.28000000000000003</v>
          </cell>
          <cell r="C13">
            <v>0.72</v>
          </cell>
        </row>
        <row r="14">
          <cell r="A14" t="str">
            <v>Tajikistan</v>
          </cell>
        </row>
        <row r="15">
          <cell r="A15" t="str">
            <v>Singapore</v>
          </cell>
          <cell r="B15">
            <v>0.35</v>
          </cell>
          <cell r="C15">
            <v>0.65</v>
          </cell>
        </row>
        <row r="16">
          <cell r="A16" t="str">
            <v>Belarus</v>
          </cell>
        </row>
        <row r="17">
          <cell r="A17" t="str">
            <v>Australia</v>
          </cell>
          <cell r="B17">
            <v>0.17</v>
          </cell>
          <cell r="C17">
            <v>0.83</v>
          </cell>
        </row>
        <row r="18">
          <cell r="A18" t="str">
            <v>Estonia</v>
          </cell>
        </row>
        <row r="19">
          <cell r="A19" t="str">
            <v>United States</v>
          </cell>
          <cell r="B19">
            <v>0.2</v>
          </cell>
          <cell r="C19">
            <v>0.8</v>
          </cell>
        </row>
        <row r="20">
          <cell r="A20" t="str">
            <v>Zimbabwe</v>
          </cell>
        </row>
        <row r="21">
          <cell r="A21" t="str">
            <v>Sri Lanka</v>
          </cell>
        </row>
        <row r="22">
          <cell r="A22" t="str">
            <v>Denmark</v>
          </cell>
          <cell r="B22">
            <v>0.1</v>
          </cell>
          <cell r="C22">
            <v>0.9</v>
          </cell>
        </row>
        <row r="23">
          <cell r="A23" t="str">
            <v>Russia</v>
          </cell>
          <cell r="B23">
            <v>0.05</v>
          </cell>
          <cell r="C23">
            <v>0.95</v>
          </cell>
        </row>
        <row r="24">
          <cell r="A24" t="str">
            <v>Iceland</v>
          </cell>
        </row>
        <row r="25">
          <cell r="A25" t="str">
            <v>Pakistan</v>
          </cell>
          <cell r="B25">
            <v>0.13</v>
          </cell>
          <cell r="C25">
            <v>0.87</v>
          </cell>
        </row>
        <row r="26">
          <cell r="A26" t="str">
            <v>Uzbekistan</v>
          </cell>
        </row>
        <row r="27">
          <cell r="A27" t="str">
            <v>Iran</v>
          </cell>
          <cell r="B27">
            <v>0.18</v>
          </cell>
          <cell r="C27">
            <v>0.82</v>
          </cell>
        </row>
        <row r="28">
          <cell r="A28" t="str">
            <v>Czechia</v>
          </cell>
          <cell r="B28">
            <v>0.12</v>
          </cell>
          <cell r="C28">
            <v>0.88</v>
          </cell>
        </row>
        <row r="29">
          <cell r="A29" t="str">
            <v>Malta</v>
          </cell>
        </row>
        <row r="30">
          <cell r="A30" t="str">
            <v>Bangladesh</v>
          </cell>
          <cell r="B30">
            <v>0.11</v>
          </cell>
          <cell r="C30">
            <v>0.89</v>
          </cell>
        </row>
        <row r="31">
          <cell r="A31" t="str">
            <v>Ukraine</v>
          </cell>
          <cell r="B31">
            <v>0.03</v>
          </cell>
          <cell r="C31">
            <v>0.97</v>
          </cell>
        </row>
        <row r="32">
          <cell r="A32" t="str">
            <v>Botswana</v>
          </cell>
        </row>
        <row r="33">
          <cell r="A33" t="str">
            <v>Kyrgyzstan</v>
          </cell>
        </row>
        <row r="34">
          <cell r="A34" t="str">
            <v>United Kingdom</v>
          </cell>
          <cell r="B34">
            <v>0.2</v>
          </cell>
          <cell r="C34">
            <v>0.8</v>
          </cell>
        </row>
        <row r="35">
          <cell r="A35" t="str">
            <v>Zambia</v>
          </cell>
        </row>
        <row r="36">
          <cell r="A36" t="str">
            <v>Philippines</v>
          </cell>
          <cell r="B36">
            <v>7.0000000000000007E-2</v>
          </cell>
          <cell r="C36">
            <v>0.93</v>
          </cell>
        </row>
        <row r="37">
          <cell r="A37" t="str">
            <v>Ireland</v>
          </cell>
          <cell r="B37">
            <v>0.22</v>
          </cell>
          <cell r="C37">
            <v>0.78</v>
          </cell>
        </row>
        <row r="38">
          <cell r="A38" t="str">
            <v>Luxembourg</v>
          </cell>
        </row>
        <row r="39">
          <cell r="A39" t="str">
            <v>Canada</v>
          </cell>
          <cell r="B39">
            <v>0.25</v>
          </cell>
          <cell r="C39">
            <v>0.75</v>
          </cell>
        </row>
        <row r="40">
          <cell r="A40" t="str">
            <v>Nepal</v>
          </cell>
        </row>
        <row r="41">
          <cell r="A41" t="str">
            <v>Lithuania</v>
          </cell>
        </row>
        <row r="42">
          <cell r="A42" t="str">
            <v>Japan</v>
          </cell>
          <cell r="B42">
            <v>0.6</v>
          </cell>
          <cell r="C42">
            <v>0.4</v>
          </cell>
        </row>
        <row r="43">
          <cell r="A43" t="str">
            <v>Latvia</v>
          </cell>
        </row>
        <row r="44">
          <cell r="A44" t="str">
            <v>Ethiopia</v>
          </cell>
        </row>
        <row r="45">
          <cell r="A45" t="str">
            <v>Sweden</v>
          </cell>
          <cell r="B45">
            <v>0.23</v>
          </cell>
          <cell r="C45">
            <v>0.77</v>
          </cell>
        </row>
        <row r="46">
          <cell r="A46" t="str">
            <v>Kazakhstan</v>
          </cell>
        </row>
        <row r="47">
          <cell r="A47" t="str">
            <v>Kenya</v>
          </cell>
          <cell r="B47">
            <v>0.15</v>
          </cell>
          <cell r="C47">
            <v>0.85</v>
          </cell>
        </row>
        <row r="48">
          <cell r="A48" t="str">
            <v>Lebanon</v>
          </cell>
        </row>
        <row r="49">
          <cell r="A49" t="str">
            <v>Rwanda</v>
          </cell>
        </row>
        <row r="50">
          <cell r="A50" t="str">
            <v>Maldives</v>
          </cell>
        </row>
        <row r="51">
          <cell r="A51" t="str">
            <v>Slovenia</v>
          </cell>
        </row>
        <row r="52">
          <cell r="A52" t="str">
            <v>Nigeria</v>
          </cell>
        </row>
        <row r="53">
          <cell r="A53" t="str">
            <v>Cyprus</v>
          </cell>
        </row>
        <row r="54">
          <cell r="A54" t="str">
            <v>Finland</v>
          </cell>
          <cell r="B54">
            <v>0.26</v>
          </cell>
          <cell r="C54">
            <v>0.74</v>
          </cell>
        </row>
        <row r="55">
          <cell r="A55" t="str">
            <v>Jamaica</v>
          </cell>
        </row>
        <row r="56">
          <cell r="A56" t="str">
            <v>Switzerland</v>
          </cell>
          <cell r="B56">
            <v>0.34</v>
          </cell>
          <cell r="C56">
            <v>0.66</v>
          </cell>
        </row>
        <row r="57">
          <cell r="A57" t="str">
            <v>Malaysia</v>
          </cell>
          <cell r="B57">
            <v>0.15</v>
          </cell>
          <cell r="C57">
            <v>0.85</v>
          </cell>
        </row>
        <row r="58">
          <cell r="A58" t="str">
            <v>Armenia</v>
          </cell>
        </row>
        <row r="59">
          <cell r="A59" t="str">
            <v>South Africa</v>
          </cell>
          <cell r="B59">
            <v>0.19</v>
          </cell>
          <cell r="C59">
            <v>0.81</v>
          </cell>
        </row>
        <row r="60">
          <cell r="A60" t="str">
            <v>Moldova</v>
          </cell>
        </row>
        <row r="61">
          <cell r="A61" t="str">
            <v>Norway</v>
          </cell>
          <cell r="B61">
            <v>0.24</v>
          </cell>
          <cell r="C61">
            <v>0.76</v>
          </cell>
        </row>
        <row r="62">
          <cell r="A62" t="str">
            <v>Bulgaria</v>
          </cell>
          <cell r="B62">
            <v>0.12</v>
          </cell>
          <cell r="C62">
            <v>0.88</v>
          </cell>
        </row>
        <row r="63">
          <cell r="A63" t="str">
            <v>Uganda</v>
          </cell>
        </row>
        <row r="64">
          <cell r="A64" t="str">
            <v>Germany</v>
          </cell>
          <cell r="B64">
            <v>0.24</v>
          </cell>
          <cell r="C64">
            <v>0.76</v>
          </cell>
        </row>
        <row r="65">
          <cell r="A65" t="str">
            <v>Romania</v>
          </cell>
          <cell r="B65">
            <v>0.12</v>
          </cell>
          <cell r="C65">
            <v>0.88</v>
          </cell>
        </row>
        <row r="66">
          <cell r="A66" t="str">
            <v>Belgium</v>
          </cell>
          <cell r="B66">
            <v>0.24</v>
          </cell>
          <cell r="C66">
            <v>0.76</v>
          </cell>
        </row>
        <row r="67">
          <cell r="A67" t="str">
            <v>Greece</v>
          </cell>
          <cell r="B67">
            <v>0.2</v>
          </cell>
          <cell r="C67">
            <v>0.8</v>
          </cell>
        </row>
        <row r="68">
          <cell r="A68" t="str">
            <v>Austria</v>
          </cell>
          <cell r="B68">
            <v>0.24</v>
          </cell>
          <cell r="C68">
            <v>0.76</v>
          </cell>
        </row>
        <row r="69">
          <cell r="A69" t="str">
            <v>Slovakia</v>
          </cell>
        </row>
        <row r="70">
          <cell r="A70" t="str">
            <v>Trinidad &amp; Tobago</v>
          </cell>
        </row>
        <row r="71">
          <cell r="A71" t="str">
            <v>Hungary</v>
          </cell>
          <cell r="B71">
            <v>0.14000000000000001</v>
          </cell>
          <cell r="C71">
            <v>0.86</v>
          </cell>
        </row>
        <row r="72">
          <cell r="A72" t="str">
            <v>Serbia</v>
          </cell>
          <cell r="B72">
            <v>0.15</v>
          </cell>
          <cell r="C72">
            <v>0.85</v>
          </cell>
        </row>
        <row r="73">
          <cell r="A73" t="str">
            <v>Ghana</v>
          </cell>
        </row>
        <row r="74">
          <cell r="A74" t="str">
            <v>Iraq</v>
          </cell>
        </row>
        <row r="75">
          <cell r="A75" t="str">
            <v>Netherlands</v>
          </cell>
          <cell r="B75">
            <v>0.28999999999999998</v>
          </cell>
          <cell r="C75">
            <v>0.71</v>
          </cell>
        </row>
        <row r="76">
          <cell r="A76" t="str">
            <v>North Macedonia</v>
          </cell>
        </row>
        <row r="77">
          <cell r="A77" t="str">
            <v>United Arab Emirates</v>
          </cell>
          <cell r="B77">
            <v>0.14000000000000001</v>
          </cell>
          <cell r="C77">
            <v>0.86</v>
          </cell>
        </row>
        <row r="78">
          <cell r="A78" t="str">
            <v>Qatar</v>
          </cell>
        </row>
        <row r="79">
          <cell r="A79" t="str">
            <v>Mauritius</v>
          </cell>
        </row>
        <row r="80">
          <cell r="A80" t="str">
            <v>Cambodia</v>
          </cell>
        </row>
        <row r="81">
          <cell r="A81" t="str">
            <v>Myanmar (Burma)</v>
          </cell>
        </row>
        <row r="82">
          <cell r="A82" t="str">
            <v>Poland</v>
          </cell>
          <cell r="B82">
            <v>0.14000000000000001</v>
          </cell>
          <cell r="C82">
            <v>0.86</v>
          </cell>
        </row>
        <row r="83">
          <cell r="A83" t="str">
            <v>Croatia</v>
          </cell>
        </row>
        <row r="84">
          <cell r="A84" t="str">
            <v>Laos</v>
          </cell>
        </row>
        <row r="85">
          <cell r="A85" t="str">
            <v>Oman</v>
          </cell>
        </row>
        <row r="86">
          <cell r="A86" t="str">
            <v>Madagascar</v>
          </cell>
        </row>
        <row r="87">
          <cell r="A87" t="str">
            <v>Sudan</v>
          </cell>
        </row>
        <row r="88">
          <cell r="A88" t="str">
            <v>Jordan</v>
          </cell>
        </row>
        <row r="89">
          <cell r="A89" t="str">
            <v>Portugal</v>
          </cell>
          <cell r="B89">
            <v>0.21</v>
          </cell>
          <cell r="C89">
            <v>0.79</v>
          </cell>
        </row>
        <row r="90">
          <cell r="A90" t="str">
            <v>France</v>
          </cell>
          <cell r="B90">
            <v>0.28000000000000003</v>
          </cell>
          <cell r="C90">
            <v>0.72</v>
          </cell>
        </row>
        <row r="91">
          <cell r="A91" t="str">
            <v>Bosnia &amp; Herzegovina</v>
          </cell>
        </row>
        <row r="92">
          <cell r="A92" t="str">
            <v>Thailand</v>
          </cell>
          <cell r="B92">
            <v>0.09</v>
          </cell>
          <cell r="C92">
            <v>0.91</v>
          </cell>
        </row>
        <row r="93">
          <cell r="A93" t="str">
            <v>Bahrain</v>
          </cell>
        </row>
        <row r="94">
          <cell r="A94" t="str">
            <v>Bolivia</v>
          </cell>
        </row>
        <row r="95">
          <cell r="A95" t="str">
            <v>Cameroon</v>
          </cell>
        </row>
        <row r="96">
          <cell r="A96" t="str">
            <v>Vietnam</v>
          </cell>
          <cell r="B96">
            <v>0.35</v>
          </cell>
          <cell r="C96">
            <v>0.65</v>
          </cell>
        </row>
        <row r="97">
          <cell r="A97" t="str">
            <v>Albania</v>
          </cell>
        </row>
        <row r="98">
          <cell r="A98" t="str">
            <v>Tunisia</v>
          </cell>
        </row>
        <row r="99">
          <cell r="A99" t="str">
            <v>Georgia</v>
          </cell>
        </row>
        <row r="100">
          <cell r="A100" t="str">
            <v>Mali</v>
          </cell>
        </row>
        <row r="101">
          <cell r="A101" t="str">
            <v>Uruguay</v>
          </cell>
        </row>
        <row r="102">
          <cell r="A102" t="str">
            <v>Egypt</v>
          </cell>
          <cell r="B102">
            <v>0.21</v>
          </cell>
          <cell r="C102">
            <v>0.79</v>
          </cell>
        </row>
        <row r="103">
          <cell r="A103" t="str">
            <v>Costa Rica</v>
          </cell>
        </row>
        <row r="104">
          <cell r="A104" t="str">
            <v>Italy</v>
          </cell>
          <cell r="B104">
            <v>0.2</v>
          </cell>
          <cell r="C104">
            <v>0.8</v>
          </cell>
        </row>
        <row r="105">
          <cell r="A105" t="str">
            <v>Morocco</v>
          </cell>
          <cell r="B105">
            <v>0.18</v>
          </cell>
          <cell r="C105">
            <v>0.82</v>
          </cell>
        </row>
        <row r="106">
          <cell r="A106" t="str">
            <v>Montenegro</v>
          </cell>
        </row>
        <row r="107">
          <cell r="A107" t="str">
            <v>Senegal</v>
          </cell>
        </row>
        <row r="108">
          <cell r="A108" t="str">
            <v>CÃ´te dâ€™Ivoire</v>
          </cell>
        </row>
        <row r="109">
          <cell r="A109" t="str">
            <v>Kuwait</v>
          </cell>
        </row>
        <row r="110">
          <cell r="A110" t="str">
            <v>Tanzania</v>
          </cell>
        </row>
        <row r="111">
          <cell r="A111" t="str">
            <v>Azerbaijan</v>
          </cell>
        </row>
        <row r="112">
          <cell r="A112" t="str">
            <v>Burkina Faso</v>
          </cell>
        </row>
        <row r="113">
          <cell r="A113" t="str">
            <v>Palestine</v>
          </cell>
        </row>
        <row r="114">
          <cell r="A114" t="str">
            <v>Saudi Arabia</v>
          </cell>
        </row>
        <row r="115">
          <cell r="A115" t="str">
            <v>Spain</v>
          </cell>
          <cell r="B115">
            <v>0.27</v>
          </cell>
          <cell r="C115">
            <v>0.73</v>
          </cell>
        </row>
        <row r="116">
          <cell r="A116" t="str">
            <v>Brazil</v>
          </cell>
          <cell r="B116">
            <v>0.15</v>
          </cell>
          <cell r="C116">
            <v>0.85</v>
          </cell>
        </row>
        <row r="117">
          <cell r="A117" t="str">
            <v>Chile</v>
          </cell>
          <cell r="B117">
            <v>0.24</v>
          </cell>
          <cell r="C117">
            <v>0.76</v>
          </cell>
        </row>
        <row r="118">
          <cell r="A118" t="str">
            <v>El Salvador</v>
          </cell>
        </row>
        <row r="119">
          <cell r="A119" t="str">
            <v>Turkey</v>
          </cell>
          <cell r="B119">
            <v>0.2</v>
          </cell>
          <cell r="C119">
            <v>0.8</v>
          </cell>
        </row>
        <row r="120">
          <cell r="A120" t="str">
            <v>Indonesia</v>
          </cell>
          <cell r="B120">
            <v>0.15</v>
          </cell>
          <cell r="C120">
            <v>0.85</v>
          </cell>
        </row>
        <row r="121">
          <cell r="A121" t="str">
            <v>Puerto Rico</v>
          </cell>
        </row>
        <row r="122">
          <cell r="A122" t="str">
            <v>Guatemala</v>
          </cell>
        </row>
        <row r="123">
          <cell r="A123" t="str">
            <v>Argentina</v>
          </cell>
          <cell r="B123">
            <v>0.17</v>
          </cell>
          <cell r="C123">
            <v>0.83</v>
          </cell>
        </row>
        <row r="124">
          <cell r="A124" t="str">
            <v>Ecuador</v>
          </cell>
        </row>
        <row r="125">
          <cell r="A125" t="str">
            <v>Colombia</v>
          </cell>
          <cell r="B125">
            <v>0.16</v>
          </cell>
          <cell r="C125">
            <v>0.84</v>
          </cell>
        </row>
        <row r="126">
          <cell r="A126" t="str">
            <v>Mexico</v>
          </cell>
          <cell r="B126">
            <v>0.17</v>
          </cell>
          <cell r="C126">
            <v>0.83</v>
          </cell>
        </row>
        <row r="127">
          <cell r="A127" t="str">
            <v>Peru</v>
          </cell>
        </row>
        <row r="128">
          <cell r="A128" t="str">
            <v>Syria</v>
          </cell>
        </row>
        <row r="129">
          <cell r="A129" t="str">
            <v>Dominican Republic</v>
          </cell>
        </row>
        <row r="130">
          <cell r="A130" t="str">
            <v>Algeria</v>
          </cell>
        </row>
        <row r="131">
          <cell r="A131" t="str">
            <v>Congo - Kinshasa</v>
          </cell>
        </row>
        <row r="132">
          <cell r="A132" t="str">
            <v>Honduras</v>
          </cell>
        </row>
        <row r="133">
          <cell r="A133" t="str">
            <v>RÃ©union</v>
          </cell>
        </row>
        <row r="134">
          <cell r="A134" t="str">
            <v>Paraguay</v>
          </cell>
        </row>
        <row r="135">
          <cell r="A135" t="str">
            <v>Panama</v>
          </cell>
        </row>
        <row r="136">
          <cell r="A136" t="str">
            <v>Venezuela</v>
          </cell>
        </row>
        <row r="137">
          <cell r="A137" t="str">
            <v>British Indian Ocean Territory</v>
          </cell>
        </row>
        <row r="138">
          <cell r="A138" t="str">
            <v>Samoa</v>
          </cell>
        </row>
        <row r="139">
          <cell r="A139" t="str">
            <v>Northern Mariana Islands</v>
          </cell>
        </row>
        <row r="140">
          <cell r="A140" t="str">
            <v>Sint Maarten</v>
          </cell>
        </row>
        <row r="141">
          <cell r="A141" t="str">
            <v>Cuba</v>
          </cell>
        </row>
        <row r="142">
          <cell r="A142" t="str">
            <v>Mayotte</v>
          </cell>
        </row>
        <row r="143">
          <cell r="A143" t="str">
            <v>Timor-Leste</v>
          </cell>
        </row>
        <row r="144">
          <cell r="A144" t="str">
            <v>Antigua &amp; Barbuda</v>
          </cell>
        </row>
        <row r="145">
          <cell r="A145" t="str">
            <v>Monaco</v>
          </cell>
        </row>
        <row r="146">
          <cell r="A146" t="str">
            <v>Isle of Man</v>
          </cell>
        </row>
        <row r="147">
          <cell r="A147" t="str">
            <v>Cayman Islands</v>
          </cell>
        </row>
        <row r="148">
          <cell r="A148" t="str">
            <v>Andorra</v>
          </cell>
        </row>
        <row r="149">
          <cell r="A149" t="str">
            <v>Cape Verde</v>
          </cell>
        </row>
        <row r="150">
          <cell r="A150" t="str">
            <v>Aruba</v>
          </cell>
        </row>
        <row r="151">
          <cell r="A151" t="str">
            <v>Namibia</v>
          </cell>
        </row>
        <row r="152">
          <cell r="A152" t="str">
            <v>French Polynesia</v>
          </cell>
        </row>
        <row r="153">
          <cell r="A153" t="str">
            <v>CuraÃ§ao</v>
          </cell>
        </row>
        <row r="154">
          <cell r="A154" t="str">
            <v>Fiji</v>
          </cell>
        </row>
        <row r="155">
          <cell r="A155" t="str">
            <v>New Caledonia</v>
          </cell>
        </row>
        <row r="156">
          <cell r="A156" t="str">
            <v>Barbados</v>
          </cell>
        </row>
        <row r="157">
          <cell r="A157" t="str">
            <v>Brunei</v>
          </cell>
        </row>
        <row r="158">
          <cell r="A158" t="str">
            <v>Bahamas</v>
          </cell>
        </row>
        <row r="159">
          <cell r="A159" t="str">
            <v>Martinique</v>
          </cell>
        </row>
        <row r="160">
          <cell r="A160" t="str">
            <v>Mongolia</v>
          </cell>
        </row>
        <row r="161">
          <cell r="A161" t="str">
            <v>Angola</v>
          </cell>
        </row>
        <row r="162">
          <cell r="A162" t="str">
            <v>Nicaragua</v>
          </cell>
        </row>
        <row r="163">
          <cell r="A163" t="str">
            <v>Afghanistan</v>
          </cell>
        </row>
        <row r="164">
          <cell r="A164" t="str">
            <v>Anguilla</v>
          </cell>
        </row>
        <row r="165">
          <cell r="A165" t="str">
            <v>Ã…land Islands</v>
          </cell>
        </row>
        <row r="166">
          <cell r="A166" t="str">
            <v>American Samoa</v>
          </cell>
        </row>
        <row r="167">
          <cell r="A167" t="str">
            <v>Antarctica</v>
          </cell>
        </row>
        <row r="168">
          <cell r="A168" t="str">
            <v>French Southern Territories</v>
          </cell>
        </row>
        <row r="169">
          <cell r="A169" t="str">
            <v>Burundi</v>
          </cell>
        </row>
        <row r="170">
          <cell r="A170" t="str">
            <v>Benin</v>
          </cell>
        </row>
        <row r="171">
          <cell r="A171" t="str">
            <v>Caribbean Netherlands</v>
          </cell>
        </row>
        <row r="172">
          <cell r="A172" t="str">
            <v>St. BarthÃ©lemy</v>
          </cell>
        </row>
        <row r="173">
          <cell r="A173" t="str">
            <v>Belize</v>
          </cell>
        </row>
        <row r="174">
          <cell r="A174" t="str">
            <v>Bermuda</v>
          </cell>
        </row>
        <row r="175">
          <cell r="A175" t="str">
            <v>Bhutan</v>
          </cell>
        </row>
        <row r="176">
          <cell r="A176" t="str">
            <v>Bouvet Island</v>
          </cell>
        </row>
        <row r="177">
          <cell r="A177" t="str">
            <v>Central African Republic</v>
          </cell>
        </row>
        <row r="178">
          <cell r="A178" t="str">
            <v>Cocos (Keeling) Islands</v>
          </cell>
        </row>
        <row r="179">
          <cell r="A179" t="str">
            <v>Congo - Brazzaville</v>
          </cell>
        </row>
        <row r="180">
          <cell r="A180" t="str">
            <v>Cook Islands</v>
          </cell>
        </row>
        <row r="181">
          <cell r="A181" t="str">
            <v>Comoros</v>
          </cell>
        </row>
        <row r="182">
          <cell r="A182" t="str">
            <v>Christmas Island</v>
          </cell>
        </row>
        <row r="183">
          <cell r="A183" t="str">
            <v>Djibouti</v>
          </cell>
        </row>
        <row r="184">
          <cell r="A184" t="str">
            <v>Dominica</v>
          </cell>
        </row>
        <row r="185">
          <cell r="A185" t="str">
            <v>Eritrea</v>
          </cell>
        </row>
        <row r="186">
          <cell r="A186" t="str">
            <v>Western Sahara</v>
          </cell>
        </row>
        <row r="187">
          <cell r="A187" t="str">
            <v>Falkland Islands (Islas Malvinas)</v>
          </cell>
        </row>
        <row r="188">
          <cell r="A188" t="str">
            <v>Faroe Islands</v>
          </cell>
        </row>
        <row r="189">
          <cell r="A189" t="str">
            <v>Micronesia</v>
          </cell>
        </row>
        <row r="190">
          <cell r="A190" t="str">
            <v>Gabon</v>
          </cell>
        </row>
        <row r="191">
          <cell r="A191" t="str">
            <v>Guernsey</v>
          </cell>
        </row>
        <row r="192">
          <cell r="A192" t="str">
            <v>Gibraltar</v>
          </cell>
        </row>
        <row r="193">
          <cell r="A193" t="str">
            <v>Guinea</v>
          </cell>
        </row>
        <row r="194">
          <cell r="A194" t="str">
            <v>Guadeloupe</v>
          </cell>
        </row>
        <row r="195">
          <cell r="A195" t="str">
            <v>Gambia</v>
          </cell>
        </row>
        <row r="196">
          <cell r="A196" t="str">
            <v>Guinea-Bissau</v>
          </cell>
        </row>
        <row r="197">
          <cell r="A197" t="str">
            <v>Equatorial Guinea</v>
          </cell>
        </row>
        <row r="198">
          <cell r="A198" t="str">
            <v>Grenada</v>
          </cell>
        </row>
        <row r="199">
          <cell r="A199" t="str">
            <v>Greenland</v>
          </cell>
        </row>
        <row r="200">
          <cell r="A200" t="str">
            <v>French Guiana</v>
          </cell>
        </row>
        <row r="201">
          <cell r="A201" t="str">
            <v>Guam</v>
          </cell>
        </row>
        <row r="202">
          <cell r="A202" t="str">
            <v>Guyana</v>
          </cell>
        </row>
        <row r="203">
          <cell r="A203" t="str">
            <v>Heard &amp; McDonald Islands</v>
          </cell>
        </row>
        <row r="204">
          <cell r="A204" t="str">
            <v>Haiti</v>
          </cell>
        </row>
        <row r="205">
          <cell r="A205" t="str">
            <v>Jersey</v>
          </cell>
        </row>
        <row r="206">
          <cell r="A206" t="str">
            <v>Kiribati</v>
          </cell>
        </row>
        <row r="207">
          <cell r="A207" t="str">
            <v>St. Kitts &amp; Nevis</v>
          </cell>
        </row>
        <row r="208">
          <cell r="A208" t="str">
            <v>Liberia</v>
          </cell>
        </row>
        <row r="209">
          <cell r="A209" t="str">
            <v>Libya</v>
          </cell>
        </row>
        <row r="210">
          <cell r="A210" t="str">
            <v>St. Lucia</v>
          </cell>
        </row>
        <row r="211">
          <cell r="A211" t="str">
            <v>Liechtenstein</v>
          </cell>
        </row>
        <row r="212">
          <cell r="A212" t="str">
            <v>St. Martin</v>
          </cell>
        </row>
        <row r="213">
          <cell r="A213" t="str">
            <v>Marshall Islands</v>
          </cell>
        </row>
        <row r="214">
          <cell r="A214" t="str">
            <v>Mozambique</v>
          </cell>
        </row>
        <row r="215">
          <cell r="A215" t="str">
            <v>Mauritania</v>
          </cell>
        </row>
        <row r="216">
          <cell r="A216" t="str">
            <v>Montserrat</v>
          </cell>
        </row>
        <row r="217">
          <cell r="A217" t="str">
            <v>Malawi</v>
          </cell>
        </row>
        <row r="218">
          <cell r="A218" t="str">
            <v>Niger</v>
          </cell>
        </row>
        <row r="219">
          <cell r="A219" t="str">
            <v>Norfolk Island</v>
          </cell>
        </row>
        <row r="220">
          <cell r="A220" t="str">
            <v>Niue</v>
          </cell>
        </row>
        <row r="221">
          <cell r="A221" t="str">
            <v>Nauru</v>
          </cell>
        </row>
        <row r="222">
          <cell r="A222" t="str">
            <v>Pitcairn Islands</v>
          </cell>
        </row>
        <row r="223">
          <cell r="A223" t="str">
            <v>Palau</v>
          </cell>
        </row>
        <row r="224">
          <cell r="A224" t="str">
            <v>Papua New Guinea</v>
          </cell>
        </row>
        <row r="225">
          <cell r="A225" t="str">
            <v>North Korea</v>
          </cell>
        </row>
        <row r="226">
          <cell r="A226" t="str">
            <v>South Georgia &amp; South Sandwich Islands</v>
          </cell>
        </row>
        <row r="227">
          <cell r="A227" t="str">
            <v>Svalbard &amp; Jan Mayen</v>
          </cell>
        </row>
        <row r="228">
          <cell r="A228" t="str">
            <v>Solomon Islands</v>
          </cell>
        </row>
        <row r="229">
          <cell r="A229" t="str">
            <v>Sierra Leone</v>
          </cell>
        </row>
        <row r="230">
          <cell r="A230" t="str">
            <v>San Marino</v>
          </cell>
        </row>
        <row r="231">
          <cell r="A231" t="str">
            <v>Somalia</v>
          </cell>
        </row>
        <row r="232">
          <cell r="A232" t="str">
            <v>St. Pierre &amp; Miquelon</v>
          </cell>
        </row>
        <row r="233">
          <cell r="A233" t="str">
            <v>South Sudan</v>
          </cell>
        </row>
        <row r="234">
          <cell r="A234" t="str">
            <v>SÃ£o TomÃ© &amp; PrÃ­ncipe</v>
          </cell>
        </row>
        <row r="235">
          <cell r="A235" t="str">
            <v>Suriname</v>
          </cell>
        </row>
        <row r="236">
          <cell r="A236" t="str">
            <v>Eswatini</v>
          </cell>
        </row>
        <row r="237">
          <cell r="A237" t="str">
            <v>Seychelles</v>
          </cell>
        </row>
        <row r="238">
          <cell r="A238" t="str">
            <v>Turks &amp; Caicos Islands</v>
          </cell>
        </row>
        <row r="239">
          <cell r="A239" t="str">
            <v>Chad</v>
          </cell>
        </row>
        <row r="240">
          <cell r="A240" t="str">
            <v>Togo</v>
          </cell>
        </row>
        <row r="241">
          <cell r="A241" t="str">
            <v>Tokelau</v>
          </cell>
        </row>
        <row r="242">
          <cell r="A242" t="str">
            <v>Turkmenistan</v>
          </cell>
        </row>
        <row r="243">
          <cell r="A243" t="str">
            <v>Tonga</v>
          </cell>
        </row>
        <row r="244">
          <cell r="A244" t="str">
            <v>Tuvalu</v>
          </cell>
        </row>
        <row r="245">
          <cell r="A245" t="str">
            <v>U.S. Outlying Islands</v>
          </cell>
        </row>
        <row r="246">
          <cell r="A246" t="str">
            <v>Vatican City</v>
          </cell>
        </row>
        <row r="247">
          <cell r="A247" t="str">
            <v>St. Vincent &amp; Grenadines</v>
          </cell>
        </row>
        <row r="248">
          <cell r="A248" t="str">
            <v>British Virgin Islands</v>
          </cell>
        </row>
        <row r="249">
          <cell r="A249" t="str">
            <v>U.S. Virgin Islands</v>
          </cell>
        </row>
        <row r="250">
          <cell r="A250" t="str">
            <v>Vanuatu</v>
          </cell>
        </row>
        <row r="251">
          <cell r="A251" t="str">
            <v>Wallis &amp; Futuna</v>
          </cell>
        </row>
        <row r="252">
          <cell r="A252" t="str">
            <v>Kosovo</v>
          </cell>
        </row>
        <row r="253">
          <cell r="A253" t="str">
            <v>Yemen</v>
          </cell>
        </row>
      </sheetData>
    </sheetDataSet>
  </externalBook>
</externalLink>
</file>

<file path=xl/externalLinks/externalLink2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8)"/>
    </sheetNames>
    <sheetDataSet>
      <sheetData sheetId="0">
        <row r="1">
          <cell r="A1" t="str">
            <v>Kategori: TÃ¼m kategoriler</v>
          </cell>
        </row>
        <row r="3">
          <cell r="A3" t="str">
            <v>Ãœlke</v>
          </cell>
          <cell r="B3" t="str">
            <v>Ã–bek: (2015)</v>
          </cell>
          <cell r="C3" t="str">
            <v>Komut Ã§izelgesi: (2015)</v>
          </cell>
        </row>
        <row r="4">
          <cell r="A4" t="str">
            <v>China</v>
          </cell>
          <cell r="B4">
            <v>0.48</v>
          </cell>
          <cell r="C4">
            <v>0.52</v>
          </cell>
        </row>
        <row r="5">
          <cell r="A5" t="str">
            <v>South Korea</v>
          </cell>
          <cell r="B5">
            <v>0.63</v>
          </cell>
          <cell r="C5">
            <v>0.37</v>
          </cell>
        </row>
        <row r="6">
          <cell r="A6" t="str">
            <v>Hong Kong</v>
          </cell>
          <cell r="B6">
            <v>0.67</v>
          </cell>
          <cell r="C6">
            <v>0.33</v>
          </cell>
        </row>
        <row r="7">
          <cell r="A7" t="str">
            <v>Taiwan</v>
          </cell>
          <cell r="B7">
            <v>0.8</v>
          </cell>
          <cell r="C7">
            <v>0.2</v>
          </cell>
        </row>
        <row r="8">
          <cell r="A8" t="str">
            <v>Lesotho</v>
          </cell>
        </row>
        <row r="9">
          <cell r="A9" t="str">
            <v>India</v>
          </cell>
          <cell r="B9">
            <v>0.44</v>
          </cell>
          <cell r="C9">
            <v>0.56000000000000005</v>
          </cell>
        </row>
        <row r="10">
          <cell r="A10" t="str">
            <v>St. Helena</v>
          </cell>
        </row>
        <row r="11">
          <cell r="A11" t="str">
            <v>Tajikistan</v>
          </cell>
        </row>
        <row r="12">
          <cell r="A12" t="str">
            <v>New Zealand</v>
          </cell>
          <cell r="B12">
            <v>0.78</v>
          </cell>
          <cell r="C12">
            <v>0.22</v>
          </cell>
        </row>
        <row r="13">
          <cell r="A13" t="str">
            <v>Cuba</v>
          </cell>
        </row>
        <row r="14">
          <cell r="A14" t="str">
            <v>Israel</v>
          </cell>
          <cell r="B14">
            <v>0.59</v>
          </cell>
          <cell r="C14">
            <v>0.41</v>
          </cell>
        </row>
        <row r="15">
          <cell r="A15" t="str">
            <v>Singapore</v>
          </cell>
          <cell r="B15">
            <v>0.55000000000000004</v>
          </cell>
          <cell r="C15">
            <v>0.45</v>
          </cell>
        </row>
        <row r="16">
          <cell r="A16" t="str">
            <v>Macao</v>
          </cell>
        </row>
        <row r="17">
          <cell r="A17" t="str">
            <v>Belarus</v>
          </cell>
          <cell r="B17">
            <v>0.62</v>
          </cell>
          <cell r="C17">
            <v>0.38</v>
          </cell>
        </row>
        <row r="18">
          <cell r="A18" t="str">
            <v>Australia</v>
          </cell>
          <cell r="B18">
            <v>0.78</v>
          </cell>
          <cell r="C18">
            <v>0.22</v>
          </cell>
        </row>
        <row r="19">
          <cell r="A19" t="str">
            <v>Sri Lanka</v>
          </cell>
          <cell r="B19">
            <v>0.51</v>
          </cell>
          <cell r="C19">
            <v>0.49</v>
          </cell>
        </row>
        <row r="20">
          <cell r="A20" t="str">
            <v>Estonia</v>
          </cell>
          <cell r="B20">
            <v>0.6</v>
          </cell>
          <cell r="C20">
            <v>0.4</v>
          </cell>
        </row>
        <row r="21">
          <cell r="A21" t="str">
            <v>Iceland</v>
          </cell>
        </row>
        <row r="22">
          <cell r="A22" t="str">
            <v>United States</v>
          </cell>
          <cell r="B22">
            <v>0.6</v>
          </cell>
          <cell r="C22">
            <v>0.4</v>
          </cell>
        </row>
        <row r="23">
          <cell r="A23" t="str">
            <v>Denmark</v>
          </cell>
          <cell r="B23">
            <v>0.72</v>
          </cell>
          <cell r="C23">
            <v>0.28000000000000003</v>
          </cell>
        </row>
        <row r="24">
          <cell r="A24" t="str">
            <v>Pakistan</v>
          </cell>
          <cell r="B24">
            <v>0.69</v>
          </cell>
          <cell r="C24">
            <v>0.31</v>
          </cell>
        </row>
        <row r="25">
          <cell r="A25" t="str">
            <v>Uzbekistan</v>
          </cell>
        </row>
        <row r="26">
          <cell r="A26" t="str">
            <v>Russia</v>
          </cell>
          <cell r="B26">
            <v>0.74</v>
          </cell>
          <cell r="C26">
            <v>0.26</v>
          </cell>
        </row>
        <row r="27">
          <cell r="A27" t="str">
            <v>Zimbabwe</v>
          </cell>
        </row>
        <row r="28">
          <cell r="A28" t="str">
            <v>Iran</v>
          </cell>
          <cell r="B28">
            <v>0.85</v>
          </cell>
          <cell r="C28">
            <v>0.15</v>
          </cell>
        </row>
        <row r="29">
          <cell r="A29" t="str">
            <v>Zambia</v>
          </cell>
        </row>
        <row r="30">
          <cell r="A30" t="str">
            <v>Malta</v>
          </cell>
        </row>
        <row r="31">
          <cell r="A31" t="str">
            <v>Botswana</v>
          </cell>
        </row>
        <row r="32">
          <cell r="A32" t="str">
            <v>Czechia</v>
          </cell>
          <cell r="B32">
            <v>0.62</v>
          </cell>
          <cell r="C32">
            <v>0.38</v>
          </cell>
        </row>
        <row r="33">
          <cell r="A33" t="str">
            <v>Ukraine</v>
          </cell>
          <cell r="B33">
            <v>0.63</v>
          </cell>
          <cell r="C33">
            <v>0.37</v>
          </cell>
        </row>
        <row r="34">
          <cell r="A34" t="str">
            <v>Bangladesh</v>
          </cell>
          <cell r="B34">
            <v>0.67</v>
          </cell>
          <cell r="C34">
            <v>0.33</v>
          </cell>
        </row>
        <row r="35">
          <cell r="A35" t="str">
            <v>United Kingdom</v>
          </cell>
          <cell r="B35">
            <v>0.7</v>
          </cell>
          <cell r="C35">
            <v>0.3</v>
          </cell>
        </row>
        <row r="36">
          <cell r="A36" t="str">
            <v>Philippines</v>
          </cell>
          <cell r="B36">
            <v>0.71</v>
          </cell>
          <cell r="C36">
            <v>0.28999999999999998</v>
          </cell>
        </row>
        <row r="37">
          <cell r="A37" t="str">
            <v>Kyrgyzstan</v>
          </cell>
        </row>
        <row r="38">
          <cell r="A38" t="str">
            <v>Canada</v>
          </cell>
          <cell r="B38">
            <v>0.57999999999999996</v>
          </cell>
          <cell r="C38">
            <v>0.42</v>
          </cell>
        </row>
        <row r="39">
          <cell r="A39" t="str">
            <v>Lithuania</v>
          </cell>
          <cell r="B39">
            <v>0.67</v>
          </cell>
          <cell r="C39">
            <v>0.33</v>
          </cell>
        </row>
        <row r="40">
          <cell r="A40" t="str">
            <v>Ireland</v>
          </cell>
          <cell r="B40">
            <v>0.53</v>
          </cell>
          <cell r="C40">
            <v>0.47</v>
          </cell>
        </row>
        <row r="41">
          <cell r="A41" t="str">
            <v>Rwanda</v>
          </cell>
        </row>
        <row r="42">
          <cell r="A42" t="str">
            <v>Palestine</v>
          </cell>
        </row>
        <row r="43">
          <cell r="A43" t="str">
            <v>Latvia</v>
          </cell>
        </row>
        <row r="44">
          <cell r="A44" t="str">
            <v>Ethiopia</v>
          </cell>
        </row>
        <row r="45">
          <cell r="A45" t="str">
            <v>Kazakhstan</v>
          </cell>
        </row>
        <row r="46">
          <cell r="A46" t="str">
            <v>Luxembourg</v>
          </cell>
        </row>
        <row r="47">
          <cell r="A47" t="str">
            <v>Sweden</v>
          </cell>
          <cell r="B47">
            <v>0.51</v>
          </cell>
          <cell r="C47">
            <v>0.49</v>
          </cell>
        </row>
        <row r="48">
          <cell r="A48" t="str">
            <v>Kenya</v>
          </cell>
        </row>
        <row r="49">
          <cell r="A49" t="str">
            <v>Nepal</v>
          </cell>
        </row>
        <row r="50">
          <cell r="A50" t="str">
            <v>Switzerland</v>
          </cell>
          <cell r="B50">
            <v>0.47</v>
          </cell>
          <cell r="C50">
            <v>0.53</v>
          </cell>
        </row>
        <row r="51">
          <cell r="A51" t="str">
            <v>Portugal</v>
          </cell>
          <cell r="B51">
            <v>0.34</v>
          </cell>
          <cell r="C51">
            <v>0.66</v>
          </cell>
        </row>
        <row r="52">
          <cell r="A52" t="str">
            <v>Maldives</v>
          </cell>
        </row>
        <row r="53">
          <cell r="A53" t="str">
            <v>Lebanon</v>
          </cell>
        </row>
        <row r="54">
          <cell r="A54" t="str">
            <v>Armenia</v>
          </cell>
        </row>
        <row r="55">
          <cell r="A55" t="str">
            <v>Slovenia</v>
          </cell>
          <cell r="B55">
            <v>0.56000000000000005</v>
          </cell>
          <cell r="C55">
            <v>0.44</v>
          </cell>
        </row>
        <row r="56">
          <cell r="A56" t="str">
            <v>Norway</v>
          </cell>
          <cell r="B56">
            <v>0.54</v>
          </cell>
          <cell r="C56">
            <v>0.46</v>
          </cell>
        </row>
        <row r="57">
          <cell r="A57" t="str">
            <v>Finland</v>
          </cell>
          <cell r="B57">
            <v>0.52</v>
          </cell>
          <cell r="C57">
            <v>0.48</v>
          </cell>
        </row>
        <row r="58">
          <cell r="A58" t="str">
            <v>Uganda</v>
          </cell>
        </row>
        <row r="59">
          <cell r="A59" t="str">
            <v>Nigeria</v>
          </cell>
        </row>
        <row r="60">
          <cell r="A60" t="str">
            <v>Malaysia</v>
          </cell>
          <cell r="B60">
            <v>0.71</v>
          </cell>
          <cell r="C60">
            <v>0.28999999999999998</v>
          </cell>
        </row>
        <row r="61">
          <cell r="A61" t="str">
            <v>Bulgaria</v>
          </cell>
          <cell r="B61">
            <v>0.53</v>
          </cell>
          <cell r="C61">
            <v>0.47</v>
          </cell>
        </row>
        <row r="62">
          <cell r="A62" t="str">
            <v>South Africa</v>
          </cell>
          <cell r="B62">
            <v>0.66</v>
          </cell>
          <cell r="C62">
            <v>0.34</v>
          </cell>
        </row>
        <row r="63">
          <cell r="A63" t="str">
            <v>Germany</v>
          </cell>
          <cell r="B63">
            <v>0.5</v>
          </cell>
          <cell r="C63">
            <v>0.5</v>
          </cell>
        </row>
        <row r="64">
          <cell r="A64" t="str">
            <v>Moldova</v>
          </cell>
        </row>
        <row r="65">
          <cell r="A65" t="str">
            <v>Trinidad &amp; Tobago</v>
          </cell>
        </row>
        <row r="66">
          <cell r="A66" t="str">
            <v>Myanmar (Burma)</v>
          </cell>
        </row>
        <row r="67">
          <cell r="A67" t="str">
            <v>Belgium</v>
          </cell>
          <cell r="B67">
            <v>0.49</v>
          </cell>
          <cell r="C67">
            <v>0.51</v>
          </cell>
        </row>
        <row r="68">
          <cell r="A68" t="str">
            <v>Romania</v>
          </cell>
          <cell r="B68">
            <v>0.52</v>
          </cell>
          <cell r="C68">
            <v>0.48</v>
          </cell>
        </row>
        <row r="69">
          <cell r="A69" t="str">
            <v>Greece</v>
          </cell>
          <cell r="B69">
            <v>0.64</v>
          </cell>
          <cell r="C69">
            <v>0.36</v>
          </cell>
        </row>
        <row r="70">
          <cell r="A70" t="str">
            <v>Austria</v>
          </cell>
          <cell r="B70">
            <v>0.49</v>
          </cell>
          <cell r="C70">
            <v>0.51</v>
          </cell>
        </row>
        <row r="71">
          <cell r="A71" t="str">
            <v>Jamaica</v>
          </cell>
        </row>
        <row r="72">
          <cell r="A72" t="str">
            <v>Laos</v>
          </cell>
        </row>
        <row r="73">
          <cell r="A73" t="str">
            <v>Slovakia</v>
          </cell>
          <cell r="B73">
            <v>0.57999999999999996</v>
          </cell>
          <cell r="C73">
            <v>0.42</v>
          </cell>
        </row>
        <row r="74">
          <cell r="A74" t="str">
            <v>Hungary</v>
          </cell>
          <cell r="B74">
            <v>0.59</v>
          </cell>
          <cell r="C74">
            <v>0.41</v>
          </cell>
        </row>
        <row r="75">
          <cell r="A75" t="str">
            <v>Japan</v>
          </cell>
          <cell r="B75">
            <v>0.53</v>
          </cell>
          <cell r="C75">
            <v>0.47</v>
          </cell>
        </row>
        <row r="76">
          <cell r="A76" t="str">
            <v>United Arab Emirates</v>
          </cell>
          <cell r="B76">
            <v>0.74</v>
          </cell>
          <cell r="C76">
            <v>0.26</v>
          </cell>
        </row>
        <row r="77">
          <cell r="A77" t="str">
            <v>Cyprus</v>
          </cell>
        </row>
        <row r="78">
          <cell r="A78" t="str">
            <v>Madagascar</v>
          </cell>
        </row>
        <row r="79">
          <cell r="A79" t="str">
            <v>Iraq</v>
          </cell>
          <cell r="B79">
            <v>1</v>
          </cell>
        </row>
        <row r="80">
          <cell r="A80" t="str">
            <v>Serbia</v>
          </cell>
          <cell r="B80">
            <v>0.52</v>
          </cell>
          <cell r="C80">
            <v>0.48</v>
          </cell>
        </row>
        <row r="81">
          <cell r="A81" t="str">
            <v>Netherlands</v>
          </cell>
          <cell r="B81">
            <v>0.56000000000000005</v>
          </cell>
          <cell r="C81">
            <v>0.44</v>
          </cell>
        </row>
        <row r="82">
          <cell r="A82" t="str">
            <v>Ghana</v>
          </cell>
        </row>
        <row r="83">
          <cell r="A83" t="str">
            <v>Cambodia</v>
          </cell>
        </row>
        <row r="84">
          <cell r="A84" t="str">
            <v>Oman</v>
          </cell>
        </row>
        <row r="85">
          <cell r="A85" t="str">
            <v>Tunisia</v>
          </cell>
        </row>
        <row r="86">
          <cell r="A86" t="str">
            <v>Mauritius</v>
          </cell>
        </row>
        <row r="87">
          <cell r="A87" t="str">
            <v>North Macedonia</v>
          </cell>
        </row>
        <row r="88">
          <cell r="A88" t="str">
            <v>France</v>
          </cell>
          <cell r="B88">
            <v>0.46</v>
          </cell>
          <cell r="C88">
            <v>0.54</v>
          </cell>
        </row>
        <row r="89">
          <cell r="A89" t="str">
            <v>Costa Rica</v>
          </cell>
        </row>
        <row r="90">
          <cell r="A90" t="str">
            <v>Croatia</v>
          </cell>
          <cell r="B90">
            <v>0.53</v>
          </cell>
          <cell r="C90">
            <v>0.47</v>
          </cell>
        </row>
        <row r="91">
          <cell r="A91" t="str">
            <v>Qatar</v>
          </cell>
        </row>
        <row r="92">
          <cell r="A92" t="str">
            <v>Sudan</v>
          </cell>
        </row>
        <row r="93">
          <cell r="A93" t="str">
            <v>Poland</v>
          </cell>
          <cell r="B93">
            <v>0.56000000000000005</v>
          </cell>
          <cell r="C93">
            <v>0.44</v>
          </cell>
        </row>
        <row r="94">
          <cell r="A94" t="str">
            <v>Spain</v>
          </cell>
          <cell r="B94">
            <v>0.37</v>
          </cell>
          <cell r="C94">
            <v>0.63</v>
          </cell>
        </row>
        <row r="95">
          <cell r="A95" t="str">
            <v>Albania</v>
          </cell>
        </row>
        <row r="96">
          <cell r="A96" t="str">
            <v>Mali</v>
          </cell>
        </row>
        <row r="97">
          <cell r="A97" t="str">
            <v>Jordan</v>
          </cell>
        </row>
        <row r="98">
          <cell r="A98" t="str">
            <v>Bosnia &amp; Herzegovina</v>
          </cell>
        </row>
        <row r="99">
          <cell r="A99" t="str">
            <v>Thailand</v>
          </cell>
          <cell r="B99">
            <v>0.75</v>
          </cell>
          <cell r="C99">
            <v>0.25</v>
          </cell>
        </row>
        <row r="100">
          <cell r="A100" t="str">
            <v>Vietnam</v>
          </cell>
          <cell r="B100">
            <v>0.54</v>
          </cell>
          <cell r="C100">
            <v>0.46</v>
          </cell>
        </row>
        <row r="101">
          <cell r="A101" t="str">
            <v>Bolivia</v>
          </cell>
        </row>
        <row r="102">
          <cell r="A102" t="str">
            <v>Georgia</v>
          </cell>
        </row>
        <row r="103">
          <cell r="A103" t="str">
            <v>Egypt</v>
          </cell>
          <cell r="B103">
            <v>0.56000000000000005</v>
          </cell>
          <cell r="C103">
            <v>0.44</v>
          </cell>
        </row>
        <row r="104">
          <cell r="A104" t="str">
            <v>Italy</v>
          </cell>
          <cell r="B104">
            <v>0.51</v>
          </cell>
          <cell r="C104">
            <v>0.49</v>
          </cell>
        </row>
        <row r="105">
          <cell r="A105" t="str">
            <v>Morocco</v>
          </cell>
          <cell r="B105">
            <v>0.62</v>
          </cell>
          <cell r="C105">
            <v>0.38</v>
          </cell>
        </row>
        <row r="106">
          <cell r="A106" t="str">
            <v>Senegal</v>
          </cell>
        </row>
        <row r="107">
          <cell r="A107" t="str">
            <v>Kuwait</v>
          </cell>
        </row>
        <row r="108">
          <cell r="A108" t="str">
            <v>El Salvador</v>
          </cell>
        </row>
        <row r="109">
          <cell r="A109" t="str">
            <v>Tanzania</v>
          </cell>
        </row>
        <row r="110">
          <cell r="A110" t="str">
            <v>Bahrain</v>
          </cell>
        </row>
        <row r="111">
          <cell r="A111" t="str">
            <v>Guatemala</v>
          </cell>
        </row>
        <row r="112">
          <cell r="A112" t="str">
            <v>CÃ´te dâ€™Ivoire</v>
          </cell>
        </row>
        <row r="113">
          <cell r="A113" t="str">
            <v>Uruguay</v>
          </cell>
        </row>
        <row r="114">
          <cell r="A114" t="str">
            <v>Burkina Faso</v>
          </cell>
        </row>
        <row r="115">
          <cell r="A115" t="str">
            <v>Montenegro</v>
          </cell>
        </row>
        <row r="116">
          <cell r="A116" t="str">
            <v>Paraguay</v>
          </cell>
        </row>
        <row r="117">
          <cell r="A117" t="str">
            <v>Azerbaijan</v>
          </cell>
        </row>
        <row r="118">
          <cell r="A118" t="str">
            <v>Saudi Arabia</v>
          </cell>
        </row>
        <row r="119">
          <cell r="A119" t="str">
            <v>Brazil</v>
          </cell>
          <cell r="B119">
            <v>0.56000000000000005</v>
          </cell>
          <cell r="C119">
            <v>0.44</v>
          </cell>
        </row>
        <row r="120">
          <cell r="A120" t="str">
            <v>Puerto Rico</v>
          </cell>
        </row>
        <row r="121">
          <cell r="A121" t="str">
            <v>Turkey</v>
          </cell>
          <cell r="B121">
            <v>0.68</v>
          </cell>
          <cell r="C121">
            <v>0.32</v>
          </cell>
        </row>
        <row r="122">
          <cell r="A122" t="str">
            <v>Chile</v>
          </cell>
          <cell r="B122">
            <v>0.53</v>
          </cell>
          <cell r="C122">
            <v>0.47</v>
          </cell>
        </row>
        <row r="123">
          <cell r="A123" t="str">
            <v>Indonesia</v>
          </cell>
          <cell r="B123">
            <v>0.7</v>
          </cell>
          <cell r="C123">
            <v>0.3</v>
          </cell>
        </row>
        <row r="124">
          <cell r="A124" t="str">
            <v>Mexico</v>
          </cell>
          <cell r="B124">
            <v>0.45</v>
          </cell>
          <cell r="C124">
            <v>0.55000000000000004</v>
          </cell>
        </row>
        <row r="125">
          <cell r="A125" t="str">
            <v>Syria</v>
          </cell>
        </row>
        <row r="126">
          <cell r="A126" t="str">
            <v>Colombia</v>
          </cell>
          <cell r="B126">
            <v>0.46</v>
          </cell>
          <cell r="C126">
            <v>0.54</v>
          </cell>
        </row>
        <row r="127">
          <cell r="A127" t="str">
            <v>Argentina</v>
          </cell>
          <cell r="B127">
            <v>0.48</v>
          </cell>
          <cell r="C127">
            <v>0.52</v>
          </cell>
        </row>
        <row r="128">
          <cell r="A128" t="str">
            <v>Ecuador</v>
          </cell>
        </row>
        <row r="129">
          <cell r="A129" t="str">
            <v>RÃ©union</v>
          </cell>
        </row>
        <row r="130">
          <cell r="A130" t="str">
            <v>Peru</v>
          </cell>
          <cell r="B130">
            <v>0.53</v>
          </cell>
          <cell r="C130">
            <v>0.47</v>
          </cell>
        </row>
        <row r="131">
          <cell r="A131" t="str">
            <v>Dominican Republic</v>
          </cell>
        </row>
        <row r="132">
          <cell r="A132" t="str">
            <v>Algeria</v>
          </cell>
        </row>
        <row r="133">
          <cell r="A133" t="str">
            <v>Congo - Kinshasa</v>
          </cell>
        </row>
        <row r="134">
          <cell r="A134" t="str">
            <v>Honduras</v>
          </cell>
        </row>
        <row r="135">
          <cell r="A135" t="str">
            <v>Panama</v>
          </cell>
        </row>
        <row r="136">
          <cell r="A136" t="str">
            <v>Venezuela</v>
          </cell>
        </row>
        <row r="137">
          <cell r="A137" t="str">
            <v>Svalbard &amp; Jan Mayen</v>
          </cell>
        </row>
        <row r="138">
          <cell r="A138" t="str">
            <v>British Indian Ocean Territory</v>
          </cell>
        </row>
        <row r="139">
          <cell r="A139" t="str">
            <v>Samoa</v>
          </cell>
        </row>
        <row r="140">
          <cell r="A140" t="str">
            <v>American Samoa</v>
          </cell>
        </row>
        <row r="141">
          <cell r="A141" t="str">
            <v>Solomon Islands</v>
          </cell>
        </row>
        <row r="142">
          <cell r="A142" t="str">
            <v>Bhutan</v>
          </cell>
        </row>
        <row r="143">
          <cell r="A143" t="str">
            <v>British Virgin Islands</v>
          </cell>
        </row>
        <row r="144">
          <cell r="A144" t="str">
            <v>Eswatini</v>
          </cell>
        </row>
        <row r="145">
          <cell r="A145" t="str">
            <v>Isle of Man</v>
          </cell>
        </row>
        <row r="146">
          <cell r="A146" t="str">
            <v>Chad</v>
          </cell>
        </row>
        <row r="147">
          <cell r="A147" t="str">
            <v>Greenland</v>
          </cell>
        </row>
        <row r="148">
          <cell r="A148" t="str">
            <v>St. Kitts &amp; Nevis</v>
          </cell>
        </row>
        <row r="149">
          <cell r="A149" t="str">
            <v>Gibraltar</v>
          </cell>
        </row>
        <row r="150">
          <cell r="A150" t="str">
            <v>U.S. Virgin Islands</v>
          </cell>
        </row>
        <row r="151">
          <cell r="A151" t="str">
            <v>Guernsey</v>
          </cell>
        </row>
        <row r="152">
          <cell r="A152" t="str">
            <v>Fiji</v>
          </cell>
        </row>
        <row r="153">
          <cell r="A153" t="str">
            <v>Guyana</v>
          </cell>
        </row>
        <row r="154">
          <cell r="A154" t="str">
            <v>Guam</v>
          </cell>
        </row>
        <row r="155">
          <cell r="A155" t="str">
            <v>Faroe Islands</v>
          </cell>
        </row>
        <row r="156">
          <cell r="A156" t="str">
            <v>Aruba</v>
          </cell>
        </row>
        <row r="157">
          <cell r="A157" t="str">
            <v>Mayotte</v>
          </cell>
        </row>
        <row r="158">
          <cell r="A158" t="str">
            <v>Liechtenstein</v>
          </cell>
        </row>
        <row r="159">
          <cell r="A159" t="str">
            <v>Barbados</v>
          </cell>
        </row>
        <row r="160">
          <cell r="A160" t="str">
            <v>Grenada</v>
          </cell>
        </row>
        <row r="161">
          <cell r="A161" t="str">
            <v>Andorra</v>
          </cell>
        </row>
        <row r="162">
          <cell r="A162" t="str">
            <v>Antigua &amp; Barbuda</v>
          </cell>
        </row>
        <row r="163">
          <cell r="A163" t="str">
            <v>St. Vincent &amp; Grenadines</v>
          </cell>
        </row>
        <row r="164">
          <cell r="A164" t="str">
            <v>Burundi</v>
          </cell>
        </row>
        <row r="165">
          <cell r="A165" t="str">
            <v>Turkmenistan</v>
          </cell>
        </row>
        <row r="166">
          <cell r="A166" t="str">
            <v>Monaco</v>
          </cell>
        </row>
        <row r="167">
          <cell r="A167" t="str">
            <v>Bermuda</v>
          </cell>
        </row>
        <row r="168">
          <cell r="A168" t="str">
            <v>Brunei</v>
          </cell>
        </row>
        <row r="169">
          <cell r="A169" t="str">
            <v>Belize</v>
          </cell>
        </row>
        <row r="170">
          <cell r="A170" t="str">
            <v>South Sudan</v>
          </cell>
        </row>
        <row r="171">
          <cell r="A171" t="str">
            <v>Cayman Islands</v>
          </cell>
        </row>
        <row r="172">
          <cell r="A172" t="str">
            <v>New Caledonia</v>
          </cell>
        </row>
        <row r="173">
          <cell r="A173" t="str">
            <v>Papua New Guinea</v>
          </cell>
        </row>
        <row r="174">
          <cell r="A174" t="str">
            <v>French Guiana</v>
          </cell>
        </row>
        <row r="175">
          <cell r="A175" t="str">
            <v>Bahamas</v>
          </cell>
        </row>
        <row r="176">
          <cell r="A176" t="str">
            <v>Mongolia</v>
          </cell>
        </row>
        <row r="177">
          <cell r="A177" t="str">
            <v>Afghanistan</v>
          </cell>
        </row>
        <row r="178">
          <cell r="A178" t="str">
            <v>Benin</v>
          </cell>
        </row>
        <row r="179">
          <cell r="A179" t="str">
            <v>Liberia</v>
          </cell>
        </row>
        <row r="180">
          <cell r="A180" t="str">
            <v>Suriname</v>
          </cell>
        </row>
        <row r="181">
          <cell r="A181" t="str">
            <v>Sierra Leone</v>
          </cell>
        </row>
        <row r="182">
          <cell r="A182" t="str">
            <v>Malawi</v>
          </cell>
        </row>
        <row r="183">
          <cell r="A183" t="str">
            <v>Mozambique</v>
          </cell>
        </row>
        <row r="184">
          <cell r="A184" t="str">
            <v>Haiti</v>
          </cell>
        </row>
        <row r="185">
          <cell r="A185" t="str">
            <v>Namibia</v>
          </cell>
        </row>
        <row r="186">
          <cell r="A186" t="str">
            <v>Somalia</v>
          </cell>
        </row>
        <row r="187">
          <cell r="A187" t="str">
            <v>Gabon</v>
          </cell>
        </row>
        <row r="188">
          <cell r="A188" t="str">
            <v>Cameroon</v>
          </cell>
        </row>
        <row r="189">
          <cell r="A189" t="str">
            <v>Martinique</v>
          </cell>
        </row>
        <row r="190">
          <cell r="A190" t="str">
            <v>Kosovo</v>
          </cell>
        </row>
        <row r="191">
          <cell r="A191" t="str">
            <v>Guadeloupe</v>
          </cell>
        </row>
        <row r="192">
          <cell r="A192" t="str">
            <v>Angola</v>
          </cell>
        </row>
        <row r="193">
          <cell r="A193" t="str">
            <v>Nicaragua</v>
          </cell>
        </row>
        <row r="194">
          <cell r="A194" t="str">
            <v>Yemen</v>
          </cell>
        </row>
        <row r="195">
          <cell r="A195" t="str">
            <v>Libya</v>
          </cell>
        </row>
        <row r="196">
          <cell r="A196" t="str">
            <v>Anguilla</v>
          </cell>
        </row>
        <row r="197">
          <cell r="A197" t="str">
            <v>Ã…land Islands</v>
          </cell>
        </row>
        <row r="198">
          <cell r="A198" t="str">
            <v>Antarctica</v>
          </cell>
        </row>
        <row r="199">
          <cell r="A199" t="str">
            <v>French Southern Territories</v>
          </cell>
        </row>
        <row r="200">
          <cell r="A200" t="str">
            <v>Caribbean Netherlands</v>
          </cell>
        </row>
        <row r="201">
          <cell r="A201" t="str">
            <v>St. BarthÃ©lemy</v>
          </cell>
        </row>
        <row r="202">
          <cell r="A202" t="str">
            <v>Bouvet Island</v>
          </cell>
        </row>
        <row r="203">
          <cell r="A203" t="str">
            <v>Central African Republic</v>
          </cell>
        </row>
        <row r="204">
          <cell r="A204" t="str">
            <v>Cocos (Keeling) Islands</v>
          </cell>
        </row>
        <row r="205">
          <cell r="A205" t="str">
            <v>Congo - Brazzaville</v>
          </cell>
        </row>
        <row r="206">
          <cell r="A206" t="str">
            <v>Cook Islands</v>
          </cell>
        </row>
        <row r="207">
          <cell r="A207" t="str">
            <v>Comoros</v>
          </cell>
        </row>
        <row r="208">
          <cell r="A208" t="str">
            <v>Cape Verde</v>
          </cell>
        </row>
        <row r="209">
          <cell r="A209" t="str">
            <v>CuraÃ§ao</v>
          </cell>
        </row>
        <row r="210">
          <cell r="A210" t="str">
            <v>Christmas Island</v>
          </cell>
        </row>
        <row r="211">
          <cell r="A211" t="str">
            <v>Djibouti</v>
          </cell>
        </row>
        <row r="212">
          <cell r="A212" t="str">
            <v>Dominica</v>
          </cell>
        </row>
        <row r="213">
          <cell r="A213" t="str">
            <v>Eritrea</v>
          </cell>
        </row>
        <row r="214">
          <cell r="A214" t="str">
            <v>Western Sahara</v>
          </cell>
        </row>
        <row r="215">
          <cell r="A215" t="str">
            <v>Falkland Islands (Islas Malvinas)</v>
          </cell>
        </row>
        <row r="216">
          <cell r="A216" t="str">
            <v>Micronesia</v>
          </cell>
        </row>
        <row r="217">
          <cell r="A217" t="str">
            <v>Guinea</v>
          </cell>
        </row>
        <row r="218">
          <cell r="A218" t="str">
            <v>Gambia</v>
          </cell>
        </row>
        <row r="219">
          <cell r="A219" t="str">
            <v>Guinea-Bissau</v>
          </cell>
        </row>
        <row r="220">
          <cell r="A220" t="str">
            <v>Equatorial Guinea</v>
          </cell>
        </row>
        <row r="221">
          <cell r="A221" t="str">
            <v>Heard &amp; McDonald Islands</v>
          </cell>
        </row>
        <row r="222">
          <cell r="A222" t="str">
            <v>Jersey</v>
          </cell>
        </row>
        <row r="223">
          <cell r="A223" t="str">
            <v>Kiribati</v>
          </cell>
        </row>
        <row r="224">
          <cell r="A224" t="str">
            <v>St. Lucia</v>
          </cell>
        </row>
        <row r="225">
          <cell r="A225" t="str">
            <v>St. Martin</v>
          </cell>
        </row>
        <row r="226">
          <cell r="A226" t="str">
            <v>Marshall Islands</v>
          </cell>
        </row>
        <row r="227">
          <cell r="A227" t="str">
            <v>Northern Mariana Islands</v>
          </cell>
        </row>
        <row r="228">
          <cell r="A228" t="str">
            <v>Mauritania</v>
          </cell>
        </row>
        <row r="229">
          <cell r="A229" t="str">
            <v>Montserrat</v>
          </cell>
        </row>
        <row r="230">
          <cell r="A230" t="str">
            <v>Niger</v>
          </cell>
        </row>
        <row r="231">
          <cell r="A231" t="str">
            <v>Norfolk Island</v>
          </cell>
        </row>
        <row r="232">
          <cell r="A232" t="str">
            <v>Niue</v>
          </cell>
        </row>
        <row r="233">
          <cell r="A233" t="str">
            <v>Nauru</v>
          </cell>
        </row>
        <row r="234">
          <cell r="A234" t="str">
            <v>Pitcairn Islands</v>
          </cell>
        </row>
        <row r="235">
          <cell r="A235" t="str">
            <v>Palau</v>
          </cell>
        </row>
        <row r="236">
          <cell r="A236" t="str">
            <v>North Korea</v>
          </cell>
        </row>
        <row r="237">
          <cell r="A237" t="str">
            <v>French Polynesia</v>
          </cell>
        </row>
        <row r="238">
          <cell r="A238" t="str">
            <v>South Georgia &amp; South Sandwich Islands</v>
          </cell>
        </row>
        <row r="239">
          <cell r="A239" t="str">
            <v>San Marino</v>
          </cell>
        </row>
        <row r="240">
          <cell r="A240" t="str">
            <v>St. Pierre &amp; Miquelon</v>
          </cell>
        </row>
        <row r="241">
          <cell r="A241" t="str">
            <v>SÃ£o TomÃ© &amp; PrÃ­ncipe</v>
          </cell>
        </row>
        <row r="242">
          <cell r="A242" t="str">
            <v>Sint Maarten</v>
          </cell>
        </row>
        <row r="243">
          <cell r="A243" t="str">
            <v>Seychelles</v>
          </cell>
        </row>
        <row r="244">
          <cell r="A244" t="str">
            <v>Turks &amp; Caicos Islands</v>
          </cell>
        </row>
        <row r="245">
          <cell r="A245" t="str">
            <v>Togo</v>
          </cell>
        </row>
        <row r="246">
          <cell r="A246" t="str">
            <v>Tokelau</v>
          </cell>
        </row>
        <row r="247">
          <cell r="A247" t="str">
            <v>Timor-Leste</v>
          </cell>
        </row>
        <row r="248">
          <cell r="A248" t="str">
            <v>Tonga</v>
          </cell>
        </row>
        <row r="249">
          <cell r="A249" t="str">
            <v>Tuvalu</v>
          </cell>
        </row>
        <row r="250">
          <cell r="A250" t="str">
            <v>U.S. Outlying Islands</v>
          </cell>
        </row>
        <row r="251">
          <cell r="A251" t="str">
            <v>Vatican City</v>
          </cell>
        </row>
        <row r="252">
          <cell r="A252" t="str">
            <v>Vanuatu</v>
          </cell>
        </row>
        <row r="253">
          <cell r="A253" t="str">
            <v>Wallis &amp; Futuna</v>
          </cell>
        </row>
      </sheetData>
    </sheetDataSet>
  </externalBook>
</externalLink>
</file>

<file path=xl/externalLinks/externalLink2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9)"/>
    </sheetNames>
    <sheetDataSet>
      <sheetData sheetId="0">
        <row r="1">
          <cell r="A1" t="str">
            <v>Kategori: TÃ¼m kategoriler</v>
          </cell>
        </row>
        <row r="3">
          <cell r="A3" t="str">
            <v>Ãœlke</v>
          </cell>
          <cell r="B3" t="str">
            <v>Komut Ã§izelgesi: (2015)</v>
          </cell>
          <cell r="C3" t="str">
            <v>Lojistik Regresyon: (2015)</v>
          </cell>
        </row>
        <row r="4">
          <cell r="A4" t="str">
            <v>China</v>
          </cell>
          <cell r="B4">
            <v>0.69</v>
          </cell>
          <cell r="C4">
            <v>0.31</v>
          </cell>
        </row>
        <row r="5">
          <cell r="A5" t="str">
            <v>Ethiopia</v>
          </cell>
        </row>
        <row r="6">
          <cell r="A6" t="str">
            <v>India</v>
          </cell>
          <cell r="B6">
            <v>0.84</v>
          </cell>
          <cell r="C6">
            <v>0.16</v>
          </cell>
        </row>
        <row r="7">
          <cell r="A7" t="str">
            <v>South Korea</v>
          </cell>
          <cell r="B7">
            <v>0.61</v>
          </cell>
          <cell r="C7">
            <v>0.39</v>
          </cell>
        </row>
        <row r="8">
          <cell r="A8" t="str">
            <v>St. Helena</v>
          </cell>
        </row>
        <row r="9">
          <cell r="A9" t="str">
            <v>Cuba</v>
          </cell>
        </row>
        <row r="10">
          <cell r="A10" t="str">
            <v>Malawi</v>
          </cell>
        </row>
        <row r="11">
          <cell r="A11" t="str">
            <v>Hong Kong</v>
          </cell>
          <cell r="B11">
            <v>0.66</v>
          </cell>
          <cell r="C11">
            <v>0.34</v>
          </cell>
        </row>
        <row r="12">
          <cell r="A12" t="str">
            <v>Singapore</v>
          </cell>
          <cell r="B12">
            <v>0.62</v>
          </cell>
          <cell r="C12">
            <v>0.38</v>
          </cell>
        </row>
        <row r="13">
          <cell r="A13" t="str">
            <v>Rwanda</v>
          </cell>
        </row>
        <row r="14">
          <cell r="A14" t="str">
            <v>Sri Lanka</v>
          </cell>
          <cell r="B14">
            <v>0.74</v>
          </cell>
          <cell r="C14">
            <v>0.26</v>
          </cell>
        </row>
        <row r="15">
          <cell r="A15" t="str">
            <v>Israel</v>
          </cell>
          <cell r="B15">
            <v>0.79</v>
          </cell>
          <cell r="C15">
            <v>0.21</v>
          </cell>
        </row>
        <row r="16">
          <cell r="A16" t="str">
            <v>Uganda</v>
          </cell>
          <cell r="C16">
            <v>1</v>
          </cell>
        </row>
        <row r="17">
          <cell r="A17" t="str">
            <v>Estonia</v>
          </cell>
        </row>
        <row r="18">
          <cell r="A18" t="str">
            <v>Ghana</v>
          </cell>
        </row>
        <row r="19">
          <cell r="A19" t="str">
            <v>Zimbabwe</v>
          </cell>
        </row>
        <row r="20">
          <cell r="A20" t="str">
            <v>Iceland</v>
          </cell>
        </row>
        <row r="21">
          <cell r="A21" t="str">
            <v>United States</v>
          </cell>
          <cell r="B21">
            <v>0.57999999999999996</v>
          </cell>
          <cell r="C21">
            <v>0.42</v>
          </cell>
        </row>
        <row r="22">
          <cell r="A22" t="str">
            <v>Belarus</v>
          </cell>
        </row>
        <row r="23">
          <cell r="A23" t="str">
            <v>Ireland</v>
          </cell>
          <cell r="B23">
            <v>0.64</v>
          </cell>
          <cell r="C23">
            <v>0.36</v>
          </cell>
        </row>
        <row r="24">
          <cell r="A24" t="str">
            <v>Palestine</v>
          </cell>
        </row>
        <row r="25">
          <cell r="A25" t="str">
            <v>Kenya</v>
          </cell>
        </row>
        <row r="26">
          <cell r="A26" t="str">
            <v>Cameroon</v>
          </cell>
        </row>
        <row r="27">
          <cell r="A27" t="str">
            <v>Sweden</v>
          </cell>
          <cell r="B27">
            <v>0.62</v>
          </cell>
          <cell r="C27">
            <v>0.38</v>
          </cell>
        </row>
        <row r="28">
          <cell r="A28" t="str">
            <v>Switzerland</v>
          </cell>
          <cell r="B28">
            <v>0.61</v>
          </cell>
          <cell r="C28">
            <v>0.39</v>
          </cell>
        </row>
        <row r="29">
          <cell r="A29" t="str">
            <v>Nepal</v>
          </cell>
        </row>
        <row r="30">
          <cell r="A30" t="str">
            <v>Luxembourg</v>
          </cell>
        </row>
        <row r="31">
          <cell r="A31" t="str">
            <v>Portugal</v>
          </cell>
          <cell r="B31">
            <v>0.73</v>
          </cell>
          <cell r="C31">
            <v>0.27</v>
          </cell>
        </row>
        <row r="32">
          <cell r="A32" t="str">
            <v>Taiwan</v>
          </cell>
          <cell r="B32">
            <v>0.57999999999999996</v>
          </cell>
          <cell r="C32">
            <v>0.42</v>
          </cell>
        </row>
        <row r="33">
          <cell r="A33" t="str">
            <v>Canada</v>
          </cell>
          <cell r="B33">
            <v>0.57999999999999996</v>
          </cell>
          <cell r="C33">
            <v>0.42</v>
          </cell>
        </row>
        <row r="34">
          <cell r="A34" t="str">
            <v>Netherlands</v>
          </cell>
          <cell r="B34">
            <v>0.39</v>
          </cell>
          <cell r="C34">
            <v>0.61</v>
          </cell>
        </row>
        <row r="35">
          <cell r="A35" t="str">
            <v>Ukraine</v>
          </cell>
          <cell r="B35">
            <v>0.92</v>
          </cell>
          <cell r="C35">
            <v>0.08</v>
          </cell>
        </row>
        <row r="36">
          <cell r="A36" t="str">
            <v>Czechia</v>
          </cell>
          <cell r="B36">
            <v>0.73</v>
          </cell>
          <cell r="C36">
            <v>0.27</v>
          </cell>
        </row>
        <row r="37">
          <cell r="A37" t="str">
            <v>Germany</v>
          </cell>
          <cell r="B37">
            <v>0.66</v>
          </cell>
          <cell r="C37">
            <v>0.34</v>
          </cell>
        </row>
        <row r="38">
          <cell r="A38" t="str">
            <v>Armenia</v>
          </cell>
        </row>
        <row r="39">
          <cell r="A39" t="str">
            <v>Myanmar (Burma)</v>
          </cell>
        </row>
        <row r="40">
          <cell r="A40" t="str">
            <v>Malta</v>
          </cell>
        </row>
        <row r="41">
          <cell r="A41" t="str">
            <v>Finland</v>
          </cell>
          <cell r="B41">
            <v>0.62</v>
          </cell>
          <cell r="C41">
            <v>0.38</v>
          </cell>
        </row>
        <row r="42">
          <cell r="A42" t="str">
            <v>Austria</v>
          </cell>
          <cell r="B42">
            <v>0.66</v>
          </cell>
          <cell r="C42">
            <v>0.34</v>
          </cell>
        </row>
        <row r="43">
          <cell r="A43" t="str">
            <v>Norway</v>
          </cell>
          <cell r="B43">
            <v>0.6</v>
          </cell>
          <cell r="C43">
            <v>0.4</v>
          </cell>
        </row>
        <row r="44">
          <cell r="A44" t="str">
            <v>Denmark</v>
          </cell>
          <cell r="B44">
            <v>0.48</v>
          </cell>
          <cell r="C44">
            <v>0.52</v>
          </cell>
        </row>
        <row r="45">
          <cell r="A45" t="str">
            <v>Belgium</v>
          </cell>
          <cell r="B45">
            <v>0.54</v>
          </cell>
          <cell r="C45">
            <v>0.46</v>
          </cell>
        </row>
        <row r="46">
          <cell r="A46" t="str">
            <v>Tanzania</v>
          </cell>
          <cell r="C46">
            <v>1</v>
          </cell>
        </row>
        <row r="47">
          <cell r="A47" t="str">
            <v>Romania</v>
          </cell>
          <cell r="B47">
            <v>0.87</v>
          </cell>
          <cell r="C47">
            <v>0.13</v>
          </cell>
        </row>
        <row r="48">
          <cell r="A48" t="str">
            <v>Bulgaria</v>
          </cell>
        </row>
        <row r="49">
          <cell r="A49" t="str">
            <v>New Zealand</v>
          </cell>
          <cell r="B49">
            <v>0.55000000000000004</v>
          </cell>
          <cell r="C49">
            <v>0.45</v>
          </cell>
        </row>
        <row r="50">
          <cell r="A50" t="str">
            <v>Tunisia</v>
          </cell>
          <cell r="B50">
            <v>0.62</v>
          </cell>
          <cell r="C50">
            <v>0.38</v>
          </cell>
        </row>
        <row r="51">
          <cell r="A51" t="str">
            <v>Pakistan</v>
          </cell>
          <cell r="B51">
            <v>0.62</v>
          </cell>
          <cell r="C51">
            <v>0.38</v>
          </cell>
        </row>
        <row r="52">
          <cell r="A52" t="str">
            <v>Lebanon</v>
          </cell>
        </row>
        <row r="53">
          <cell r="A53" t="str">
            <v>Japan</v>
          </cell>
          <cell r="B53">
            <v>0.63</v>
          </cell>
          <cell r="C53">
            <v>0.37</v>
          </cell>
        </row>
        <row r="54">
          <cell r="A54" t="str">
            <v>Nigeria</v>
          </cell>
        </row>
        <row r="55">
          <cell r="A55" t="str">
            <v>Slovenia</v>
          </cell>
        </row>
        <row r="56">
          <cell r="A56" t="str">
            <v>Latvia</v>
          </cell>
        </row>
        <row r="57">
          <cell r="A57" t="str">
            <v>Bangladesh</v>
          </cell>
          <cell r="B57">
            <v>0.54</v>
          </cell>
          <cell r="C57">
            <v>0.46</v>
          </cell>
        </row>
        <row r="58">
          <cell r="A58" t="str">
            <v>Australia</v>
          </cell>
          <cell r="B58">
            <v>0.46</v>
          </cell>
          <cell r="C58">
            <v>0.54</v>
          </cell>
        </row>
        <row r="59">
          <cell r="A59" t="str">
            <v>North Macedonia</v>
          </cell>
        </row>
        <row r="60">
          <cell r="A60" t="str">
            <v>Slovakia</v>
          </cell>
        </row>
        <row r="61">
          <cell r="A61" t="str">
            <v>Serbia</v>
          </cell>
          <cell r="B61">
            <v>0.82</v>
          </cell>
          <cell r="C61">
            <v>0.18</v>
          </cell>
        </row>
        <row r="62">
          <cell r="A62" t="str">
            <v>France</v>
          </cell>
          <cell r="B62">
            <v>0.72</v>
          </cell>
          <cell r="C62">
            <v>0.28000000000000003</v>
          </cell>
        </row>
        <row r="63">
          <cell r="A63" t="str">
            <v>Mauritius</v>
          </cell>
        </row>
        <row r="64">
          <cell r="A64" t="str">
            <v>Russia</v>
          </cell>
          <cell r="B64">
            <v>0.84</v>
          </cell>
          <cell r="C64">
            <v>0.16</v>
          </cell>
        </row>
        <row r="65">
          <cell r="A65" t="str">
            <v>South Africa</v>
          </cell>
          <cell r="B65">
            <v>0.46</v>
          </cell>
          <cell r="C65">
            <v>0.54</v>
          </cell>
        </row>
        <row r="66">
          <cell r="A66" t="str">
            <v>Costa Rica</v>
          </cell>
        </row>
        <row r="67">
          <cell r="A67" t="str">
            <v>Spain</v>
          </cell>
          <cell r="B67">
            <v>0.7</v>
          </cell>
          <cell r="C67">
            <v>0.3</v>
          </cell>
        </row>
        <row r="68">
          <cell r="A68" t="str">
            <v>United Kingdom</v>
          </cell>
          <cell r="B68">
            <v>0.51</v>
          </cell>
          <cell r="C68">
            <v>0.49</v>
          </cell>
        </row>
        <row r="69">
          <cell r="A69" t="str">
            <v>Cyprus</v>
          </cell>
        </row>
        <row r="70">
          <cell r="A70" t="str">
            <v>Lithuania</v>
          </cell>
        </row>
        <row r="71">
          <cell r="A71" t="str">
            <v>Hungary</v>
          </cell>
          <cell r="B71">
            <v>0.81</v>
          </cell>
          <cell r="C71">
            <v>0.19</v>
          </cell>
        </row>
        <row r="72">
          <cell r="A72" t="str">
            <v>Philippines</v>
          </cell>
          <cell r="B72">
            <v>0.6</v>
          </cell>
          <cell r="C72">
            <v>0.4</v>
          </cell>
        </row>
        <row r="73">
          <cell r="A73" t="str">
            <v>Croatia</v>
          </cell>
        </row>
        <row r="74">
          <cell r="A74" t="str">
            <v>Iran</v>
          </cell>
          <cell r="B74">
            <v>0.34</v>
          </cell>
          <cell r="C74">
            <v>0.66</v>
          </cell>
        </row>
        <row r="75">
          <cell r="A75" t="str">
            <v>Zambia</v>
          </cell>
        </row>
        <row r="76">
          <cell r="A76" t="str">
            <v>Malaysia</v>
          </cell>
          <cell r="B76">
            <v>0.43</v>
          </cell>
          <cell r="C76">
            <v>0.56999999999999995</v>
          </cell>
        </row>
        <row r="77">
          <cell r="A77" t="str">
            <v>Indonesia</v>
          </cell>
          <cell r="B77">
            <v>0.21</v>
          </cell>
          <cell r="C77">
            <v>0.79</v>
          </cell>
        </row>
        <row r="78">
          <cell r="A78" t="str">
            <v>Poland</v>
          </cell>
          <cell r="B78">
            <v>0.76</v>
          </cell>
          <cell r="C78">
            <v>0.24</v>
          </cell>
        </row>
        <row r="79">
          <cell r="A79" t="str">
            <v>Greece</v>
          </cell>
          <cell r="B79">
            <v>0.64</v>
          </cell>
          <cell r="C79">
            <v>0.36</v>
          </cell>
        </row>
        <row r="80">
          <cell r="A80" t="str">
            <v>Uzbekistan</v>
          </cell>
        </row>
        <row r="81">
          <cell r="A81" t="str">
            <v>Jordan</v>
          </cell>
        </row>
        <row r="82">
          <cell r="A82" t="str">
            <v>El Salvador</v>
          </cell>
        </row>
        <row r="83">
          <cell r="A83" t="str">
            <v>Laos</v>
          </cell>
        </row>
        <row r="84">
          <cell r="A84" t="str">
            <v>Italy</v>
          </cell>
          <cell r="B84">
            <v>0.66</v>
          </cell>
          <cell r="C84">
            <v>0.34</v>
          </cell>
        </row>
        <row r="85">
          <cell r="A85" t="str">
            <v>Vietnam</v>
          </cell>
          <cell r="B85">
            <v>0.85</v>
          </cell>
          <cell r="C85">
            <v>0.15</v>
          </cell>
        </row>
        <row r="86">
          <cell r="A86" t="str">
            <v>Uruguay</v>
          </cell>
        </row>
        <row r="87">
          <cell r="A87" t="str">
            <v>Jamaica</v>
          </cell>
        </row>
        <row r="88">
          <cell r="A88" t="str">
            <v>Guatemala</v>
          </cell>
        </row>
        <row r="89">
          <cell r="A89" t="str">
            <v>Egypt</v>
          </cell>
          <cell r="B89">
            <v>0.74</v>
          </cell>
          <cell r="C89">
            <v>0.26</v>
          </cell>
        </row>
        <row r="90">
          <cell r="A90" t="str">
            <v>Moldova</v>
          </cell>
        </row>
        <row r="91">
          <cell r="A91" t="str">
            <v>Peru</v>
          </cell>
          <cell r="B91">
            <v>0.38</v>
          </cell>
          <cell r="C91">
            <v>0.62</v>
          </cell>
        </row>
        <row r="92">
          <cell r="A92" t="str">
            <v>Chile</v>
          </cell>
          <cell r="B92">
            <v>0.46</v>
          </cell>
          <cell r="C92">
            <v>0.54</v>
          </cell>
        </row>
        <row r="93">
          <cell r="A93" t="str">
            <v>Sudan</v>
          </cell>
        </row>
        <row r="94">
          <cell r="A94" t="str">
            <v>Puerto Rico</v>
          </cell>
        </row>
        <row r="95">
          <cell r="A95" t="str">
            <v>United Arab Emirates</v>
          </cell>
          <cell r="B95">
            <v>0.62</v>
          </cell>
          <cell r="C95">
            <v>0.38</v>
          </cell>
        </row>
        <row r="96">
          <cell r="A96" t="str">
            <v>Georgia</v>
          </cell>
        </row>
        <row r="97">
          <cell r="A97" t="str">
            <v>Paraguay</v>
          </cell>
        </row>
        <row r="98">
          <cell r="A98" t="str">
            <v>Morocco</v>
          </cell>
          <cell r="B98">
            <v>0.53</v>
          </cell>
          <cell r="C98">
            <v>0.47</v>
          </cell>
        </row>
        <row r="99">
          <cell r="A99" t="str">
            <v>Kosovo</v>
          </cell>
        </row>
        <row r="100">
          <cell r="A100" t="str">
            <v>Argentina</v>
          </cell>
          <cell r="B100">
            <v>0.77</v>
          </cell>
          <cell r="C100">
            <v>0.23</v>
          </cell>
        </row>
        <row r="101">
          <cell r="A101" t="str">
            <v>Thailand</v>
          </cell>
          <cell r="B101">
            <v>0.4</v>
          </cell>
          <cell r="C101">
            <v>0.6</v>
          </cell>
        </row>
        <row r="102">
          <cell r="A102" t="str">
            <v>Colombia</v>
          </cell>
          <cell r="B102">
            <v>0.5</v>
          </cell>
          <cell r="C102">
            <v>0.5</v>
          </cell>
        </row>
        <row r="103">
          <cell r="A103" t="str">
            <v>Mexico</v>
          </cell>
          <cell r="B103">
            <v>0.65</v>
          </cell>
          <cell r="C103">
            <v>0.35</v>
          </cell>
        </row>
        <row r="104">
          <cell r="A104" t="str">
            <v>Brazil</v>
          </cell>
          <cell r="B104">
            <v>0.67</v>
          </cell>
          <cell r="C104">
            <v>0.33</v>
          </cell>
        </row>
        <row r="105">
          <cell r="A105" t="str">
            <v>Syria</v>
          </cell>
        </row>
        <row r="106">
          <cell r="A106" t="str">
            <v>Ecuador</v>
          </cell>
        </row>
        <row r="107">
          <cell r="A107" t="str">
            <v>Dominican Republic</v>
          </cell>
        </row>
        <row r="108">
          <cell r="A108" t="str">
            <v>Bolivia</v>
          </cell>
        </row>
        <row r="109">
          <cell r="A109" t="str">
            <v>Bosnia &amp; Herzegovina</v>
          </cell>
        </row>
        <row r="110">
          <cell r="A110" t="str">
            <v>Kazakhstan</v>
          </cell>
        </row>
        <row r="111">
          <cell r="A111" t="str">
            <v>Turkey</v>
          </cell>
          <cell r="B111">
            <v>0.57999999999999996</v>
          </cell>
          <cell r="C111">
            <v>0.42</v>
          </cell>
        </row>
        <row r="112">
          <cell r="A112" t="str">
            <v>Yemen</v>
          </cell>
        </row>
        <row r="113">
          <cell r="A113" t="str">
            <v>Azerbaijan</v>
          </cell>
        </row>
        <row r="114">
          <cell r="A114" t="str">
            <v>Saudi Arabia</v>
          </cell>
        </row>
        <row r="115">
          <cell r="A115" t="str">
            <v>Algeria</v>
          </cell>
        </row>
        <row r="116">
          <cell r="A116" t="str">
            <v>Venezuela</v>
          </cell>
        </row>
        <row r="117">
          <cell r="A117" t="str">
            <v>Iraq</v>
          </cell>
        </row>
        <row r="118">
          <cell r="A118" t="str">
            <v>British Indian Ocean Territory</v>
          </cell>
        </row>
        <row r="119">
          <cell r="A119" t="str">
            <v>Cook Islands</v>
          </cell>
        </row>
        <row r="120">
          <cell r="A120" t="str">
            <v>SÃ£o TomÃ© &amp; PrÃ­ncipe</v>
          </cell>
        </row>
        <row r="121">
          <cell r="A121" t="str">
            <v>Tonga</v>
          </cell>
        </row>
        <row r="122">
          <cell r="A122" t="str">
            <v>Gibraltar</v>
          </cell>
        </row>
        <row r="123">
          <cell r="A123" t="str">
            <v>San Marino</v>
          </cell>
        </row>
        <row r="124">
          <cell r="A124" t="str">
            <v>St. Kitts &amp; Nevis</v>
          </cell>
        </row>
        <row r="125">
          <cell r="A125" t="str">
            <v>Monaco</v>
          </cell>
        </row>
        <row r="126">
          <cell r="A126" t="str">
            <v>U.S. Virgin Islands</v>
          </cell>
        </row>
        <row r="127">
          <cell r="A127" t="str">
            <v>Sint Maarten</v>
          </cell>
        </row>
        <row r="128">
          <cell r="A128" t="str">
            <v>Faroe Islands</v>
          </cell>
        </row>
        <row r="129">
          <cell r="A129" t="str">
            <v>CuraÃ§ao</v>
          </cell>
        </row>
        <row r="130">
          <cell r="A130" t="str">
            <v>Liechtenstein</v>
          </cell>
        </row>
        <row r="131">
          <cell r="A131" t="str">
            <v>St. Vincent &amp; Grenadines</v>
          </cell>
        </row>
        <row r="132">
          <cell r="A132" t="str">
            <v>Bhutan</v>
          </cell>
        </row>
        <row r="133">
          <cell r="A133" t="str">
            <v>Burundi</v>
          </cell>
        </row>
        <row r="134">
          <cell r="A134" t="str">
            <v>Togo</v>
          </cell>
        </row>
        <row r="135">
          <cell r="A135" t="str">
            <v>Mongolia</v>
          </cell>
        </row>
        <row r="136">
          <cell r="A136" t="str">
            <v>Mauritania</v>
          </cell>
        </row>
        <row r="137">
          <cell r="A137" t="str">
            <v>Cape Verde</v>
          </cell>
        </row>
        <row r="138">
          <cell r="A138" t="str">
            <v>Andorra</v>
          </cell>
        </row>
        <row r="139">
          <cell r="A139" t="str">
            <v>Aruba</v>
          </cell>
        </row>
        <row r="140">
          <cell r="A140" t="str">
            <v>French Polynesia</v>
          </cell>
        </row>
        <row r="141">
          <cell r="A141" t="str">
            <v>Sierra Leone</v>
          </cell>
        </row>
        <row r="142">
          <cell r="A142" t="str">
            <v>Fiji</v>
          </cell>
        </row>
        <row r="143">
          <cell r="A143" t="str">
            <v>Madagascar</v>
          </cell>
        </row>
        <row r="144">
          <cell r="A144" t="str">
            <v>Martinique</v>
          </cell>
        </row>
        <row r="145">
          <cell r="A145" t="str">
            <v>Macao</v>
          </cell>
        </row>
        <row r="146">
          <cell r="A146" t="str">
            <v>Guyana</v>
          </cell>
        </row>
        <row r="147">
          <cell r="A147" t="str">
            <v>Gabon</v>
          </cell>
        </row>
        <row r="148">
          <cell r="A148" t="str">
            <v>Afghanistan</v>
          </cell>
        </row>
        <row r="149">
          <cell r="A149" t="str">
            <v>Botswana</v>
          </cell>
        </row>
        <row r="150">
          <cell r="A150" t="str">
            <v>Kyrgyzstan</v>
          </cell>
        </row>
        <row r="151">
          <cell r="A151" t="str">
            <v>Guam</v>
          </cell>
        </row>
        <row r="152">
          <cell r="A152" t="str">
            <v>Qatar</v>
          </cell>
        </row>
        <row r="153">
          <cell r="A153" t="str">
            <v>Guadeloupe</v>
          </cell>
        </row>
        <row r="154">
          <cell r="A154" t="str">
            <v>Burkina Faso</v>
          </cell>
        </row>
        <row r="155">
          <cell r="A155" t="str">
            <v>Bahrain</v>
          </cell>
        </row>
        <row r="156">
          <cell r="A156" t="str">
            <v>Barbados</v>
          </cell>
        </row>
        <row r="157">
          <cell r="A157" t="str">
            <v>Maldives</v>
          </cell>
        </row>
        <row r="158">
          <cell r="A158" t="str">
            <v>Suriname</v>
          </cell>
        </row>
        <row r="159">
          <cell r="A159" t="str">
            <v>Albania</v>
          </cell>
        </row>
        <row r="160">
          <cell r="A160" t="str">
            <v>Haiti</v>
          </cell>
        </row>
        <row r="161">
          <cell r="A161" t="str">
            <v>Trinidad &amp; Tobago</v>
          </cell>
        </row>
        <row r="162">
          <cell r="A162" t="str">
            <v>Namibia</v>
          </cell>
        </row>
        <row r="163">
          <cell r="A163" t="str">
            <v>CÃ´te dâ€™Ivoire</v>
          </cell>
        </row>
        <row r="164">
          <cell r="A164" t="str">
            <v>Angola</v>
          </cell>
        </row>
        <row r="165">
          <cell r="A165" t="str">
            <v>Senegal</v>
          </cell>
        </row>
        <row r="166">
          <cell r="A166" t="str">
            <v>Montenegro</v>
          </cell>
        </row>
        <row r="167">
          <cell r="A167" t="str">
            <v>Mozambique</v>
          </cell>
        </row>
        <row r="168">
          <cell r="A168" t="str">
            <v>Nicaragua</v>
          </cell>
        </row>
        <row r="169">
          <cell r="A169" t="str">
            <v>RÃ©union</v>
          </cell>
        </row>
        <row r="170">
          <cell r="A170" t="str">
            <v>Cambodia</v>
          </cell>
        </row>
        <row r="171">
          <cell r="A171" t="str">
            <v>Brunei</v>
          </cell>
        </row>
        <row r="172">
          <cell r="A172" t="str">
            <v>Congo - Kinshasa</v>
          </cell>
        </row>
        <row r="173">
          <cell r="A173" t="str">
            <v>Kuwait</v>
          </cell>
        </row>
        <row r="174">
          <cell r="A174" t="str">
            <v>Panama</v>
          </cell>
        </row>
        <row r="175">
          <cell r="A175" t="str">
            <v>Honduras</v>
          </cell>
        </row>
        <row r="176">
          <cell r="A176" t="str">
            <v>Libya</v>
          </cell>
        </row>
        <row r="177">
          <cell r="A177" t="str">
            <v>Oman</v>
          </cell>
        </row>
        <row r="178">
          <cell r="A178" t="str">
            <v>Anguilla</v>
          </cell>
        </row>
        <row r="179">
          <cell r="A179" t="str">
            <v>Ã…land Islands</v>
          </cell>
        </row>
        <row r="180">
          <cell r="A180" t="str">
            <v>American Samoa</v>
          </cell>
        </row>
        <row r="181">
          <cell r="A181" t="str">
            <v>Antarctica</v>
          </cell>
        </row>
        <row r="182">
          <cell r="A182" t="str">
            <v>French Southern Territories</v>
          </cell>
        </row>
        <row r="183">
          <cell r="A183" t="str">
            <v>Antigua &amp; Barbuda</v>
          </cell>
        </row>
        <row r="184">
          <cell r="A184" t="str">
            <v>Benin</v>
          </cell>
        </row>
        <row r="185">
          <cell r="A185" t="str">
            <v>Caribbean Netherlands</v>
          </cell>
        </row>
        <row r="186">
          <cell r="A186" t="str">
            <v>Bahamas</v>
          </cell>
        </row>
        <row r="187">
          <cell r="A187" t="str">
            <v>St. BarthÃ©lemy</v>
          </cell>
        </row>
        <row r="188">
          <cell r="A188" t="str">
            <v>Belize</v>
          </cell>
        </row>
        <row r="189">
          <cell r="A189" t="str">
            <v>Bermuda</v>
          </cell>
        </row>
        <row r="190">
          <cell r="A190" t="str">
            <v>Bouvet Island</v>
          </cell>
        </row>
        <row r="191">
          <cell r="A191" t="str">
            <v>Central African Republic</v>
          </cell>
        </row>
        <row r="192">
          <cell r="A192" t="str">
            <v>Cocos (Keeling) Islands</v>
          </cell>
        </row>
        <row r="193">
          <cell r="A193" t="str">
            <v>Congo - Brazzaville</v>
          </cell>
        </row>
        <row r="194">
          <cell r="A194" t="str">
            <v>Comoros</v>
          </cell>
        </row>
        <row r="195">
          <cell r="A195" t="str">
            <v>Christmas Island</v>
          </cell>
        </row>
        <row r="196">
          <cell r="A196" t="str">
            <v>Cayman Islands</v>
          </cell>
        </row>
        <row r="197">
          <cell r="A197" t="str">
            <v>Djibouti</v>
          </cell>
        </row>
        <row r="198">
          <cell r="A198" t="str">
            <v>Dominica</v>
          </cell>
        </row>
        <row r="199">
          <cell r="A199" t="str">
            <v>Eritrea</v>
          </cell>
        </row>
        <row r="200">
          <cell r="A200" t="str">
            <v>Western Sahara</v>
          </cell>
        </row>
        <row r="201">
          <cell r="A201" t="str">
            <v>Falkland Islands (Islas Malvinas)</v>
          </cell>
        </row>
        <row r="202">
          <cell r="A202" t="str">
            <v>Micronesia</v>
          </cell>
        </row>
        <row r="203">
          <cell r="A203" t="str">
            <v>Guernsey</v>
          </cell>
        </row>
        <row r="204">
          <cell r="A204" t="str">
            <v>Guinea</v>
          </cell>
        </row>
        <row r="205">
          <cell r="A205" t="str">
            <v>Gambia</v>
          </cell>
        </row>
        <row r="206">
          <cell r="A206" t="str">
            <v>Guinea-Bissau</v>
          </cell>
        </row>
        <row r="207">
          <cell r="A207" t="str">
            <v>Equatorial Guinea</v>
          </cell>
        </row>
        <row r="208">
          <cell r="A208" t="str">
            <v>Grenada</v>
          </cell>
        </row>
        <row r="209">
          <cell r="A209" t="str">
            <v>Greenland</v>
          </cell>
        </row>
        <row r="210">
          <cell r="A210" t="str">
            <v>French Guiana</v>
          </cell>
        </row>
        <row r="211">
          <cell r="A211" t="str">
            <v>Heard &amp; McDonald Islands</v>
          </cell>
        </row>
        <row r="212">
          <cell r="A212" t="str">
            <v>Isle of Man</v>
          </cell>
        </row>
        <row r="213">
          <cell r="A213" t="str">
            <v>Jersey</v>
          </cell>
        </row>
        <row r="214">
          <cell r="A214" t="str">
            <v>Kiribati</v>
          </cell>
        </row>
        <row r="215">
          <cell r="A215" t="str">
            <v>Liberia</v>
          </cell>
        </row>
        <row r="216">
          <cell r="A216" t="str">
            <v>St. Lucia</v>
          </cell>
        </row>
        <row r="217">
          <cell r="A217" t="str">
            <v>Lesotho</v>
          </cell>
        </row>
        <row r="218">
          <cell r="A218" t="str">
            <v>St. Martin</v>
          </cell>
        </row>
        <row r="219">
          <cell r="A219" t="str">
            <v>Marshall Islands</v>
          </cell>
        </row>
        <row r="220">
          <cell r="A220" t="str">
            <v>Mali</v>
          </cell>
        </row>
        <row r="221">
          <cell r="A221" t="str">
            <v>Northern Mariana Islands</v>
          </cell>
        </row>
        <row r="222">
          <cell r="A222" t="str">
            <v>Montserrat</v>
          </cell>
        </row>
        <row r="223">
          <cell r="A223" t="str">
            <v>Mayotte</v>
          </cell>
        </row>
        <row r="224">
          <cell r="A224" t="str">
            <v>New Caledonia</v>
          </cell>
        </row>
        <row r="225">
          <cell r="A225" t="str">
            <v>Niger</v>
          </cell>
        </row>
        <row r="226">
          <cell r="A226" t="str">
            <v>Norfolk Island</v>
          </cell>
        </row>
        <row r="227">
          <cell r="A227" t="str">
            <v>Niue</v>
          </cell>
        </row>
        <row r="228">
          <cell r="A228" t="str">
            <v>Nauru</v>
          </cell>
        </row>
        <row r="229">
          <cell r="A229" t="str">
            <v>Pitcairn Islands</v>
          </cell>
        </row>
        <row r="230">
          <cell r="A230" t="str">
            <v>Palau</v>
          </cell>
        </row>
        <row r="231">
          <cell r="A231" t="str">
            <v>Papua New Guinea</v>
          </cell>
        </row>
        <row r="232">
          <cell r="A232" t="str">
            <v>North Korea</v>
          </cell>
        </row>
        <row r="233">
          <cell r="A233" t="str">
            <v>South Georgia &amp; South Sandwich Islands</v>
          </cell>
        </row>
        <row r="234">
          <cell r="A234" t="str">
            <v>Svalbard &amp; Jan Mayen</v>
          </cell>
        </row>
        <row r="235">
          <cell r="A235" t="str">
            <v>Solomon Islands</v>
          </cell>
        </row>
        <row r="236">
          <cell r="A236" t="str">
            <v>Somalia</v>
          </cell>
        </row>
        <row r="237">
          <cell r="A237" t="str">
            <v>St. Pierre &amp; Miquelon</v>
          </cell>
        </row>
        <row r="238">
          <cell r="A238" t="str">
            <v>South Sudan</v>
          </cell>
        </row>
        <row r="239">
          <cell r="A239" t="str">
            <v>Eswatini</v>
          </cell>
        </row>
        <row r="240">
          <cell r="A240" t="str">
            <v>Seychelles</v>
          </cell>
        </row>
        <row r="241">
          <cell r="A241" t="str">
            <v>Turks &amp; Caicos Islands</v>
          </cell>
        </row>
        <row r="242">
          <cell r="A242" t="str">
            <v>Chad</v>
          </cell>
        </row>
        <row r="243">
          <cell r="A243" t="str">
            <v>Tajikistan</v>
          </cell>
        </row>
        <row r="244">
          <cell r="A244" t="str">
            <v>Tokelau</v>
          </cell>
        </row>
        <row r="245">
          <cell r="A245" t="str">
            <v>Turkmenistan</v>
          </cell>
        </row>
        <row r="246">
          <cell r="A246" t="str">
            <v>Timor-Leste</v>
          </cell>
        </row>
        <row r="247">
          <cell r="A247" t="str">
            <v>Tuvalu</v>
          </cell>
        </row>
        <row r="248">
          <cell r="A248" t="str">
            <v>U.S. Outlying Islands</v>
          </cell>
        </row>
        <row r="249">
          <cell r="A249" t="str">
            <v>Vatican City</v>
          </cell>
        </row>
        <row r="250">
          <cell r="A250" t="str">
            <v>British Virgin Islands</v>
          </cell>
        </row>
        <row r="251">
          <cell r="A251" t="str">
            <v>Vanuatu</v>
          </cell>
        </row>
        <row r="252">
          <cell r="A252" t="str">
            <v>Wallis &amp; Futuna</v>
          </cell>
        </row>
        <row r="253">
          <cell r="A253" t="str">
            <v>Samoa</v>
          </cell>
        </row>
      </sheetData>
    </sheetDataSet>
  </externalBook>
</externalLink>
</file>

<file path=xl/externalLinks/externalLink2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22)"/>
    </sheetNames>
    <sheetDataSet>
      <sheetData sheetId="0">
        <row r="1">
          <cell r="A1" t="str">
            <v>Kategori: TÃ¼m kategoriler</v>
          </cell>
        </row>
        <row r="3">
          <cell r="A3" t="str">
            <v>Ãœlke</v>
          </cell>
          <cell r="B3" t="str">
            <v>Ã‡Ã¶p toplama: (2015)</v>
          </cell>
          <cell r="C3" t="str">
            <v>Null pointer: (2015)</v>
          </cell>
        </row>
        <row r="4">
          <cell r="A4" t="str">
            <v>China</v>
          </cell>
          <cell r="B4">
            <v>0.76</v>
          </cell>
          <cell r="C4">
            <v>0.24</v>
          </cell>
        </row>
        <row r="5">
          <cell r="A5" t="str">
            <v>South Korea</v>
          </cell>
          <cell r="B5">
            <v>0.7</v>
          </cell>
          <cell r="C5">
            <v>0.3</v>
          </cell>
        </row>
        <row r="6">
          <cell r="A6" t="str">
            <v>India</v>
          </cell>
          <cell r="B6">
            <v>0.42</v>
          </cell>
          <cell r="C6">
            <v>0.57999999999999996</v>
          </cell>
        </row>
        <row r="7">
          <cell r="A7" t="str">
            <v>St. Helena</v>
          </cell>
        </row>
        <row r="8">
          <cell r="A8" t="str">
            <v>Canada</v>
          </cell>
          <cell r="B8">
            <v>0.62</v>
          </cell>
          <cell r="C8">
            <v>0.38</v>
          </cell>
        </row>
        <row r="9">
          <cell r="A9" t="str">
            <v>Singapore</v>
          </cell>
          <cell r="B9">
            <v>0.36</v>
          </cell>
          <cell r="C9">
            <v>0.64</v>
          </cell>
        </row>
        <row r="10">
          <cell r="A10" t="str">
            <v>Jamaica</v>
          </cell>
        </row>
        <row r="11">
          <cell r="A11" t="str">
            <v>Malta</v>
          </cell>
        </row>
        <row r="12">
          <cell r="A12" t="str">
            <v>Hong Kong</v>
          </cell>
          <cell r="B12">
            <v>0.63</v>
          </cell>
          <cell r="C12">
            <v>0.37</v>
          </cell>
        </row>
        <row r="13">
          <cell r="A13" t="str">
            <v>Sri Lanka</v>
          </cell>
          <cell r="B13">
            <v>0.35</v>
          </cell>
          <cell r="C13">
            <v>0.65</v>
          </cell>
        </row>
        <row r="14">
          <cell r="A14" t="str">
            <v>United States</v>
          </cell>
          <cell r="B14">
            <v>0.44</v>
          </cell>
          <cell r="C14">
            <v>0.56000000000000005</v>
          </cell>
        </row>
        <row r="15">
          <cell r="A15" t="str">
            <v>Ecuador</v>
          </cell>
          <cell r="B15">
            <v>1</v>
          </cell>
        </row>
        <row r="16">
          <cell r="A16" t="str">
            <v>New Zealand</v>
          </cell>
          <cell r="B16">
            <v>0.34</v>
          </cell>
          <cell r="C16">
            <v>0.66</v>
          </cell>
        </row>
        <row r="17">
          <cell r="A17" t="str">
            <v>Guyana</v>
          </cell>
        </row>
        <row r="18">
          <cell r="A18" t="str">
            <v>Israel</v>
          </cell>
          <cell r="B18">
            <v>0.45</v>
          </cell>
          <cell r="C18">
            <v>0.55000000000000004</v>
          </cell>
        </row>
        <row r="19">
          <cell r="A19" t="str">
            <v>Ireland</v>
          </cell>
          <cell r="B19">
            <v>0.35</v>
          </cell>
          <cell r="C19">
            <v>0.65</v>
          </cell>
        </row>
        <row r="20">
          <cell r="A20" t="str">
            <v>Japan</v>
          </cell>
          <cell r="B20">
            <v>0.82</v>
          </cell>
          <cell r="C20">
            <v>0.18</v>
          </cell>
        </row>
        <row r="21">
          <cell r="A21" t="str">
            <v>North Macedonia</v>
          </cell>
        </row>
        <row r="22">
          <cell r="A22" t="str">
            <v>Australia</v>
          </cell>
          <cell r="B22">
            <v>0.53</v>
          </cell>
          <cell r="C22">
            <v>0.47</v>
          </cell>
        </row>
        <row r="23">
          <cell r="A23" t="str">
            <v>Estonia</v>
          </cell>
        </row>
        <row r="24">
          <cell r="A24" t="str">
            <v>Philippines</v>
          </cell>
          <cell r="B24">
            <v>0.41</v>
          </cell>
          <cell r="C24">
            <v>0.59</v>
          </cell>
        </row>
        <row r="25">
          <cell r="A25" t="str">
            <v>Costa Rica</v>
          </cell>
          <cell r="B25">
            <v>0.63</v>
          </cell>
          <cell r="C25">
            <v>0.37</v>
          </cell>
        </row>
        <row r="26">
          <cell r="A26" t="str">
            <v>Nepal</v>
          </cell>
        </row>
        <row r="27">
          <cell r="A27" t="str">
            <v>Chile</v>
          </cell>
          <cell r="B27">
            <v>0.87</v>
          </cell>
          <cell r="C27">
            <v>0.13</v>
          </cell>
        </row>
        <row r="28">
          <cell r="A28" t="str">
            <v>Belarus</v>
          </cell>
          <cell r="B28">
            <v>0.67</v>
          </cell>
          <cell r="C28">
            <v>0.33</v>
          </cell>
        </row>
        <row r="29">
          <cell r="A29" t="str">
            <v>United Kingdom</v>
          </cell>
          <cell r="B29">
            <v>0.4</v>
          </cell>
          <cell r="C29">
            <v>0.6</v>
          </cell>
        </row>
        <row r="30">
          <cell r="A30" t="str">
            <v>Bangladesh</v>
          </cell>
        </row>
        <row r="31">
          <cell r="A31" t="str">
            <v>Mexico</v>
          </cell>
          <cell r="B31">
            <v>0.87</v>
          </cell>
          <cell r="C31">
            <v>0.13</v>
          </cell>
        </row>
        <row r="32">
          <cell r="A32" t="str">
            <v>Pakistan</v>
          </cell>
          <cell r="B32">
            <v>0.32</v>
          </cell>
          <cell r="C32">
            <v>0.68</v>
          </cell>
        </row>
        <row r="33">
          <cell r="A33" t="str">
            <v>Sweden</v>
          </cell>
          <cell r="B33">
            <v>0.44</v>
          </cell>
          <cell r="C33">
            <v>0.56000000000000005</v>
          </cell>
        </row>
        <row r="34">
          <cell r="A34" t="str">
            <v>Myanmar (Burma)</v>
          </cell>
        </row>
        <row r="35">
          <cell r="A35" t="str">
            <v>Latvia</v>
          </cell>
        </row>
        <row r="36">
          <cell r="A36" t="str">
            <v>Finland</v>
          </cell>
          <cell r="B36">
            <v>0.38</v>
          </cell>
          <cell r="C36">
            <v>0.62</v>
          </cell>
        </row>
        <row r="37">
          <cell r="A37" t="str">
            <v>South Africa</v>
          </cell>
          <cell r="B37">
            <v>0.32</v>
          </cell>
          <cell r="C37">
            <v>0.68</v>
          </cell>
        </row>
        <row r="38">
          <cell r="A38" t="str">
            <v>Paraguay</v>
          </cell>
        </row>
        <row r="39">
          <cell r="A39" t="str">
            <v>Switzerland</v>
          </cell>
          <cell r="B39">
            <v>0.48</v>
          </cell>
          <cell r="C39">
            <v>0.52</v>
          </cell>
        </row>
        <row r="40">
          <cell r="A40" t="str">
            <v>Panama</v>
          </cell>
          <cell r="B40">
            <v>1</v>
          </cell>
        </row>
        <row r="41">
          <cell r="A41" t="str">
            <v>Kenya</v>
          </cell>
          <cell r="B41">
            <v>0.54</v>
          </cell>
          <cell r="C41">
            <v>0.46</v>
          </cell>
        </row>
        <row r="42">
          <cell r="A42" t="str">
            <v>Taiwan</v>
          </cell>
          <cell r="B42">
            <v>0.71</v>
          </cell>
          <cell r="C42">
            <v>0.28999999999999998</v>
          </cell>
        </row>
        <row r="43">
          <cell r="A43" t="str">
            <v>El Salvador</v>
          </cell>
        </row>
        <row r="44">
          <cell r="A44" t="str">
            <v>Argentina</v>
          </cell>
          <cell r="B44">
            <v>0.8</v>
          </cell>
          <cell r="C44">
            <v>0.2</v>
          </cell>
        </row>
        <row r="45">
          <cell r="A45" t="str">
            <v>Romania</v>
          </cell>
          <cell r="B45">
            <v>0.33</v>
          </cell>
          <cell r="C45">
            <v>0.67</v>
          </cell>
        </row>
        <row r="46">
          <cell r="A46" t="str">
            <v>Norway</v>
          </cell>
          <cell r="B46">
            <v>0.51</v>
          </cell>
          <cell r="C46">
            <v>0.49</v>
          </cell>
        </row>
        <row r="47">
          <cell r="A47" t="str">
            <v>Slovenia</v>
          </cell>
        </row>
        <row r="48">
          <cell r="A48" t="str">
            <v>Lebanon</v>
          </cell>
        </row>
        <row r="49">
          <cell r="A49" t="str">
            <v>Hungary</v>
          </cell>
          <cell r="B49">
            <v>0.59</v>
          </cell>
          <cell r="C49">
            <v>0.41</v>
          </cell>
        </row>
        <row r="50">
          <cell r="A50" t="str">
            <v>Czechia</v>
          </cell>
          <cell r="B50">
            <v>0.49</v>
          </cell>
          <cell r="C50">
            <v>0.51</v>
          </cell>
        </row>
        <row r="51">
          <cell r="A51" t="str">
            <v>Lithuania</v>
          </cell>
        </row>
        <row r="52">
          <cell r="A52" t="str">
            <v>Germany</v>
          </cell>
          <cell r="B52">
            <v>0.47</v>
          </cell>
          <cell r="C52">
            <v>0.53</v>
          </cell>
        </row>
        <row r="53">
          <cell r="A53" t="str">
            <v>Serbia</v>
          </cell>
          <cell r="B53">
            <v>0.36</v>
          </cell>
          <cell r="C53">
            <v>0.64</v>
          </cell>
        </row>
        <row r="54">
          <cell r="A54" t="str">
            <v>Malaysia</v>
          </cell>
          <cell r="B54">
            <v>0.41</v>
          </cell>
          <cell r="C54">
            <v>0.59</v>
          </cell>
        </row>
        <row r="55">
          <cell r="A55" t="str">
            <v>Vietnam</v>
          </cell>
          <cell r="B55">
            <v>0.4</v>
          </cell>
          <cell r="C55">
            <v>0.6</v>
          </cell>
        </row>
        <row r="56">
          <cell r="A56" t="str">
            <v>Belgium</v>
          </cell>
          <cell r="B56">
            <v>0.52</v>
          </cell>
          <cell r="C56">
            <v>0.48</v>
          </cell>
        </row>
        <row r="57">
          <cell r="A57" t="str">
            <v>Guatemala</v>
          </cell>
          <cell r="B57">
            <v>1</v>
          </cell>
        </row>
        <row r="58">
          <cell r="A58" t="str">
            <v>Portugal</v>
          </cell>
          <cell r="B58">
            <v>0.44</v>
          </cell>
          <cell r="C58">
            <v>0.56000000000000005</v>
          </cell>
        </row>
        <row r="59">
          <cell r="A59" t="str">
            <v>Uganda</v>
          </cell>
        </row>
        <row r="60">
          <cell r="A60" t="str">
            <v>Denmark</v>
          </cell>
          <cell r="B60">
            <v>0.46</v>
          </cell>
          <cell r="C60">
            <v>0.54</v>
          </cell>
        </row>
        <row r="61">
          <cell r="A61" t="str">
            <v>Honduras</v>
          </cell>
        </row>
        <row r="62">
          <cell r="A62" t="str">
            <v>Slovakia</v>
          </cell>
        </row>
        <row r="63">
          <cell r="A63" t="str">
            <v>Austria</v>
          </cell>
          <cell r="B63">
            <v>0.5</v>
          </cell>
          <cell r="C63">
            <v>0.5</v>
          </cell>
        </row>
        <row r="64">
          <cell r="A64" t="str">
            <v>Tunisia</v>
          </cell>
        </row>
        <row r="65">
          <cell r="A65" t="str">
            <v>Bulgaria</v>
          </cell>
          <cell r="B65">
            <v>0.49</v>
          </cell>
          <cell r="C65">
            <v>0.51</v>
          </cell>
        </row>
        <row r="66">
          <cell r="A66" t="str">
            <v>Colombia</v>
          </cell>
          <cell r="B66">
            <v>0.75</v>
          </cell>
          <cell r="C66">
            <v>0.25</v>
          </cell>
        </row>
        <row r="67">
          <cell r="A67" t="str">
            <v>Laos</v>
          </cell>
        </row>
        <row r="68">
          <cell r="A68" t="str">
            <v>Ukraine</v>
          </cell>
          <cell r="B68">
            <v>0.6</v>
          </cell>
          <cell r="C68">
            <v>0.4</v>
          </cell>
        </row>
        <row r="69">
          <cell r="A69" t="str">
            <v>Turkey</v>
          </cell>
          <cell r="B69">
            <v>0.8</v>
          </cell>
          <cell r="C69">
            <v>0.2</v>
          </cell>
        </row>
        <row r="70">
          <cell r="A70" t="str">
            <v>Netherlands</v>
          </cell>
          <cell r="B70">
            <v>0.53</v>
          </cell>
          <cell r="C70">
            <v>0.47</v>
          </cell>
        </row>
        <row r="71">
          <cell r="A71" t="str">
            <v>Croatia</v>
          </cell>
        </row>
        <row r="72">
          <cell r="A72" t="str">
            <v>Poland</v>
          </cell>
          <cell r="B72">
            <v>0.56000000000000005</v>
          </cell>
          <cell r="C72">
            <v>0.44</v>
          </cell>
        </row>
        <row r="73">
          <cell r="A73" t="str">
            <v>United Arab Emirates</v>
          </cell>
          <cell r="B73">
            <v>0.48</v>
          </cell>
          <cell r="C73">
            <v>0.52</v>
          </cell>
        </row>
        <row r="74">
          <cell r="A74" t="str">
            <v>Uruguay</v>
          </cell>
        </row>
        <row r="75">
          <cell r="A75" t="str">
            <v>Peru</v>
          </cell>
        </row>
        <row r="76">
          <cell r="A76" t="str">
            <v>Bosnia &amp; Herzegovina</v>
          </cell>
        </row>
        <row r="77">
          <cell r="A77" t="str">
            <v>Russia</v>
          </cell>
          <cell r="B77">
            <v>0.7</v>
          </cell>
          <cell r="C77">
            <v>0.3</v>
          </cell>
        </row>
        <row r="78">
          <cell r="A78" t="str">
            <v>Dominican Republic</v>
          </cell>
        </row>
        <row r="79">
          <cell r="A79" t="str">
            <v>Iran</v>
          </cell>
          <cell r="B79">
            <v>0.37</v>
          </cell>
          <cell r="C79">
            <v>0.63</v>
          </cell>
        </row>
        <row r="80">
          <cell r="A80" t="str">
            <v>France</v>
          </cell>
          <cell r="B80">
            <v>0.56000000000000005</v>
          </cell>
          <cell r="C80">
            <v>0.44</v>
          </cell>
        </row>
        <row r="81">
          <cell r="A81" t="str">
            <v>Greece</v>
          </cell>
          <cell r="B81">
            <v>0.47</v>
          </cell>
          <cell r="C81">
            <v>0.53</v>
          </cell>
        </row>
        <row r="82">
          <cell r="A82" t="str">
            <v>Bolivia</v>
          </cell>
          <cell r="B82">
            <v>1</v>
          </cell>
        </row>
        <row r="83">
          <cell r="A83" t="str">
            <v>Egypt</v>
          </cell>
          <cell r="B83">
            <v>0.56000000000000005</v>
          </cell>
          <cell r="C83">
            <v>0.44</v>
          </cell>
        </row>
        <row r="84">
          <cell r="A84" t="str">
            <v>Nigeria</v>
          </cell>
        </row>
        <row r="85">
          <cell r="A85" t="str">
            <v>Venezuela</v>
          </cell>
          <cell r="B85">
            <v>1</v>
          </cell>
        </row>
        <row r="86">
          <cell r="A86" t="str">
            <v>Spain</v>
          </cell>
          <cell r="B86">
            <v>0.48</v>
          </cell>
          <cell r="C86">
            <v>0.52</v>
          </cell>
        </row>
        <row r="87">
          <cell r="A87" t="str">
            <v>Italy</v>
          </cell>
          <cell r="B87">
            <v>0.57999999999999996</v>
          </cell>
          <cell r="C87">
            <v>0.42</v>
          </cell>
        </row>
        <row r="88">
          <cell r="A88" t="str">
            <v>Brazil</v>
          </cell>
          <cell r="B88">
            <v>0.61</v>
          </cell>
          <cell r="C88">
            <v>0.39</v>
          </cell>
        </row>
        <row r="89">
          <cell r="A89" t="str">
            <v>Indonesia</v>
          </cell>
          <cell r="B89">
            <v>0.33</v>
          </cell>
          <cell r="C89">
            <v>0.67</v>
          </cell>
        </row>
        <row r="90">
          <cell r="A90" t="str">
            <v>Kazakhstan</v>
          </cell>
        </row>
        <row r="91">
          <cell r="A91" t="str">
            <v>Morocco</v>
          </cell>
        </row>
        <row r="92">
          <cell r="A92" t="str">
            <v>Thailand</v>
          </cell>
          <cell r="B92">
            <v>0.46</v>
          </cell>
          <cell r="C92">
            <v>0.54</v>
          </cell>
        </row>
        <row r="93">
          <cell r="A93" t="str">
            <v>Saudi Arabia</v>
          </cell>
        </row>
        <row r="94">
          <cell r="A94" t="str">
            <v>Anguilla</v>
          </cell>
        </row>
        <row r="95">
          <cell r="A95" t="str">
            <v>Dominica</v>
          </cell>
        </row>
        <row r="96">
          <cell r="A96" t="str">
            <v>Faroe Islands</v>
          </cell>
        </row>
        <row r="97">
          <cell r="A97" t="str">
            <v>Mayotte</v>
          </cell>
        </row>
        <row r="98">
          <cell r="A98" t="str">
            <v>Timor-Leste</v>
          </cell>
        </row>
        <row r="99">
          <cell r="A99" t="str">
            <v>Antigua &amp; Barbuda</v>
          </cell>
        </row>
        <row r="100">
          <cell r="A100" t="str">
            <v>Somalia</v>
          </cell>
        </row>
        <row r="101">
          <cell r="A101" t="str">
            <v>Togo</v>
          </cell>
        </row>
        <row r="102">
          <cell r="A102" t="str">
            <v>Cayman Islands</v>
          </cell>
        </row>
        <row r="103">
          <cell r="A103" t="str">
            <v>Jersey</v>
          </cell>
        </row>
        <row r="104">
          <cell r="A104" t="str">
            <v>Djibouti</v>
          </cell>
        </row>
        <row r="105">
          <cell r="A105" t="str">
            <v>Andorra</v>
          </cell>
        </row>
        <row r="106">
          <cell r="A106" t="str">
            <v>Guernsey</v>
          </cell>
        </row>
        <row r="107">
          <cell r="A107" t="str">
            <v>Afghanistan</v>
          </cell>
        </row>
        <row r="108">
          <cell r="A108" t="str">
            <v>Liberia</v>
          </cell>
        </row>
        <row r="109">
          <cell r="A109" t="str">
            <v>Belize</v>
          </cell>
        </row>
        <row r="110">
          <cell r="A110" t="str">
            <v>Zimbabwe</v>
          </cell>
        </row>
        <row r="111">
          <cell r="A111" t="str">
            <v>Rwanda</v>
          </cell>
        </row>
        <row r="112">
          <cell r="A112" t="str">
            <v>Macao</v>
          </cell>
        </row>
        <row r="113">
          <cell r="A113" t="str">
            <v>Haiti</v>
          </cell>
        </row>
        <row r="114">
          <cell r="A114" t="str">
            <v>Isle of Man</v>
          </cell>
        </row>
        <row r="115">
          <cell r="A115" t="str">
            <v>Luxembourg</v>
          </cell>
        </row>
        <row r="116">
          <cell r="A116" t="str">
            <v>Madagascar</v>
          </cell>
        </row>
        <row r="117">
          <cell r="A117" t="str">
            <v>Botswana</v>
          </cell>
        </row>
        <row r="118">
          <cell r="A118" t="str">
            <v>Fiji</v>
          </cell>
        </row>
        <row r="119">
          <cell r="A119" t="str">
            <v>Guam</v>
          </cell>
        </row>
        <row r="120">
          <cell r="A120" t="str">
            <v>Mauritius</v>
          </cell>
        </row>
        <row r="121">
          <cell r="A121" t="str">
            <v>Nicaragua</v>
          </cell>
        </row>
        <row r="122">
          <cell r="A122" t="str">
            <v>Barbados</v>
          </cell>
        </row>
        <row r="123">
          <cell r="A123" t="str">
            <v>Suriname</v>
          </cell>
        </row>
        <row r="124">
          <cell r="A124" t="str">
            <v>Brunei</v>
          </cell>
        </row>
        <row r="125">
          <cell r="A125" t="str">
            <v>Iceland</v>
          </cell>
        </row>
        <row r="126">
          <cell r="A126" t="str">
            <v>Bahamas</v>
          </cell>
        </row>
        <row r="127">
          <cell r="A127" t="str">
            <v>Bahrain</v>
          </cell>
        </row>
        <row r="128">
          <cell r="A128" t="str">
            <v>Qatar</v>
          </cell>
        </row>
        <row r="129">
          <cell r="A129" t="str">
            <v>Trinidad &amp; Tobago</v>
          </cell>
        </row>
        <row r="130">
          <cell r="A130" t="str">
            <v>Armenia</v>
          </cell>
        </row>
        <row r="131">
          <cell r="A131" t="str">
            <v>Moldova</v>
          </cell>
        </row>
        <row r="132">
          <cell r="A132" t="str">
            <v>Zambia</v>
          </cell>
        </row>
        <row r="133">
          <cell r="A133" t="str">
            <v>Tanzania</v>
          </cell>
        </row>
        <row r="134">
          <cell r="A134" t="str">
            <v>Cyprus</v>
          </cell>
        </row>
        <row r="135">
          <cell r="A135" t="str">
            <v>Ghana</v>
          </cell>
        </row>
        <row r="136">
          <cell r="A136" t="str">
            <v>Montenegro</v>
          </cell>
        </row>
        <row r="137">
          <cell r="A137" t="str">
            <v>Mongolia</v>
          </cell>
        </row>
        <row r="138">
          <cell r="A138" t="str">
            <v>Angola</v>
          </cell>
        </row>
        <row r="139">
          <cell r="A139" t="str">
            <v>Mozambique</v>
          </cell>
        </row>
        <row r="140">
          <cell r="A140" t="str">
            <v>Syria</v>
          </cell>
        </row>
        <row r="141">
          <cell r="A141" t="str">
            <v>Jordan</v>
          </cell>
        </row>
        <row r="142">
          <cell r="A142" t="str">
            <v>Albania</v>
          </cell>
        </row>
        <row r="143">
          <cell r="A143" t="str">
            <v>Puerto Rico</v>
          </cell>
        </row>
        <row r="144">
          <cell r="A144" t="str">
            <v>Cambodia</v>
          </cell>
        </row>
        <row r="145">
          <cell r="A145" t="str">
            <v>Kuwait</v>
          </cell>
        </row>
        <row r="146">
          <cell r="A146" t="str">
            <v>Kosovo</v>
          </cell>
        </row>
        <row r="147">
          <cell r="A147" t="str">
            <v>Kyrgyzstan</v>
          </cell>
        </row>
        <row r="148">
          <cell r="A148" t="str">
            <v>Georgia</v>
          </cell>
        </row>
        <row r="149">
          <cell r="A149" t="str">
            <v>Uzbekistan</v>
          </cell>
        </row>
        <row r="150">
          <cell r="A150" t="str">
            <v>RÃ©union</v>
          </cell>
        </row>
        <row r="151">
          <cell r="A151" t="str">
            <v>Yemen</v>
          </cell>
        </row>
        <row r="152">
          <cell r="A152" t="str">
            <v>Azerbaijan</v>
          </cell>
        </row>
        <row r="153">
          <cell r="A153" t="str">
            <v>Algeria</v>
          </cell>
        </row>
        <row r="154">
          <cell r="A154" t="str">
            <v>Iraq</v>
          </cell>
        </row>
        <row r="155">
          <cell r="A155" t="str">
            <v>Aruba</v>
          </cell>
        </row>
        <row r="156">
          <cell r="A156" t="str">
            <v>Ã…land Islands</v>
          </cell>
        </row>
        <row r="157">
          <cell r="A157" t="str">
            <v>American Samoa</v>
          </cell>
        </row>
        <row r="158">
          <cell r="A158" t="str">
            <v>Antarctica</v>
          </cell>
        </row>
        <row r="159">
          <cell r="A159" t="str">
            <v>French Southern Territories</v>
          </cell>
        </row>
        <row r="160">
          <cell r="A160" t="str">
            <v>Burundi</v>
          </cell>
        </row>
        <row r="161">
          <cell r="A161" t="str">
            <v>Benin</v>
          </cell>
        </row>
        <row r="162">
          <cell r="A162" t="str">
            <v>Caribbean Netherlands</v>
          </cell>
        </row>
        <row r="163">
          <cell r="A163" t="str">
            <v>Burkina Faso</v>
          </cell>
        </row>
        <row r="164">
          <cell r="A164" t="str">
            <v>St. BarthÃ©lemy</v>
          </cell>
        </row>
        <row r="165">
          <cell r="A165" t="str">
            <v>Bermuda</v>
          </cell>
        </row>
        <row r="166">
          <cell r="A166" t="str">
            <v>Bhutan</v>
          </cell>
        </row>
        <row r="167">
          <cell r="A167" t="str">
            <v>Bouvet Island</v>
          </cell>
        </row>
        <row r="168">
          <cell r="A168" t="str">
            <v>Central African Republic</v>
          </cell>
        </row>
        <row r="169">
          <cell r="A169" t="str">
            <v>Cocos (Keeling) Islands</v>
          </cell>
        </row>
        <row r="170">
          <cell r="A170" t="str">
            <v>CÃ´te dâ€™Ivoire</v>
          </cell>
        </row>
        <row r="171">
          <cell r="A171" t="str">
            <v>Cameroon</v>
          </cell>
        </row>
        <row r="172">
          <cell r="A172" t="str">
            <v>Congo - Kinshasa</v>
          </cell>
        </row>
        <row r="173">
          <cell r="A173" t="str">
            <v>Congo - Brazzaville</v>
          </cell>
        </row>
        <row r="174">
          <cell r="A174" t="str">
            <v>Cook Islands</v>
          </cell>
        </row>
        <row r="175">
          <cell r="A175" t="str">
            <v>Comoros</v>
          </cell>
        </row>
        <row r="176">
          <cell r="A176" t="str">
            <v>Cape Verde</v>
          </cell>
        </row>
        <row r="177">
          <cell r="A177" t="str">
            <v>Cuba</v>
          </cell>
        </row>
        <row r="178">
          <cell r="A178" t="str">
            <v>CuraÃ§ao</v>
          </cell>
        </row>
        <row r="179">
          <cell r="A179" t="str">
            <v>Christmas Island</v>
          </cell>
        </row>
        <row r="180">
          <cell r="A180" t="str">
            <v>Eritrea</v>
          </cell>
        </row>
        <row r="181">
          <cell r="A181" t="str">
            <v>Western Sahara</v>
          </cell>
        </row>
        <row r="182">
          <cell r="A182" t="str">
            <v>Ethiopia</v>
          </cell>
        </row>
        <row r="183">
          <cell r="A183" t="str">
            <v>Falkland Islands (Islas Malvinas)</v>
          </cell>
        </row>
        <row r="184">
          <cell r="A184" t="str">
            <v>Micronesia</v>
          </cell>
        </row>
        <row r="185">
          <cell r="A185" t="str">
            <v>Gabon</v>
          </cell>
        </row>
        <row r="186">
          <cell r="A186" t="str">
            <v>Gibraltar</v>
          </cell>
        </row>
        <row r="187">
          <cell r="A187" t="str">
            <v>Guinea</v>
          </cell>
        </row>
        <row r="188">
          <cell r="A188" t="str">
            <v>Guadeloupe</v>
          </cell>
        </row>
        <row r="189">
          <cell r="A189" t="str">
            <v>Gambia</v>
          </cell>
        </row>
        <row r="190">
          <cell r="A190" t="str">
            <v>Guinea-Bissau</v>
          </cell>
        </row>
        <row r="191">
          <cell r="A191" t="str">
            <v>Equatorial Guinea</v>
          </cell>
        </row>
        <row r="192">
          <cell r="A192" t="str">
            <v>Grenada</v>
          </cell>
        </row>
        <row r="193">
          <cell r="A193" t="str">
            <v>Greenland</v>
          </cell>
        </row>
        <row r="194">
          <cell r="A194" t="str">
            <v>French Guiana</v>
          </cell>
        </row>
        <row r="195">
          <cell r="A195" t="str">
            <v>Heard &amp; McDonald Islands</v>
          </cell>
        </row>
        <row r="196">
          <cell r="A196" t="str">
            <v>British Indian Ocean Territory</v>
          </cell>
        </row>
        <row r="197">
          <cell r="A197" t="str">
            <v>Kiribati</v>
          </cell>
        </row>
        <row r="198">
          <cell r="A198" t="str">
            <v>St. Kitts &amp; Nevis</v>
          </cell>
        </row>
        <row r="199">
          <cell r="A199" t="str">
            <v>Libya</v>
          </cell>
        </row>
        <row r="200">
          <cell r="A200" t="str">
            <v>St. Lucia</v>
          </cell>
        </row>
        <row r="201">
          <cell r="A201" t="str">
            <v>Liechtenstein</v>
          </cell>
        </row>
        <row r="202">
          <cell r="A202" t="str">
            <v>Lesotho</v>
          </cell>
        </row>
        <row r="203">
          <cell r="A203" t="str">
            <v>St. Martin</v>
          </cell>
        </row>
        <row r="204">
          <cell r="A204" t="str">
            <v>Monaco</v>
          </cell>
        </row>
        <row r="205">
          <cell r="A205" t="str">
            <v>Maldives</v>
          </cell>
        </row>
        <row r="206">
          <cell r="A206" t="str">
            <v>Marshall Islands</v>
          </cell>
        </row>
        <row r="207">
          <cell r="A207" t="str">
            <v>Mali</v>
          </cell>
        </row>
        <row r="208">
          <cell r="A208" t="str">
            <v>Northern Mariana Islands</v>
          </cell>
        </row>
        <row r="209">
          <cell r="A209" t="str">
            <v>Mauritania</v>
          </cell>
        </row>
        <row r="210">
          <cell r="A210" t="str">
            <v>Montserrat</v>
          </cell>
        </row>
        <row r="211">
          <cell r="A211" t="str">
            <v>Martinique</v>
          </cell>
        </row>
        <row r="212">
          <cell r="A212" t="str">
            <v>Malawi</v>
          </cell>
        </row>
        <row r="213">
          <cell r="A213" t="str">
            <v>Namibia</v>
          </cell>
        </row>
        <row r="214">
          <cell r="A214" t="str">
            <v>New Caledonia</v>
          </cell>
        </row>
        <row r="215">
          <cell r="A215" t="str">
            <v>Niger</v>
          </cell>
        </row>
        <row r="216">
          <cell r="A216" t="str">
            <v>Norfolk Island</v>
          </cell>
        </row>
        <row r="217">
          <cell r="A217" t="str">
            <v>Niue</v>
          </cell>
        </row>
        <row r="218">
          <cell r="A218" t="str">
            <v>Nauru</v>
          </cell>
        </row>
        <row r="219">
          <cell r="A219" t="str">
            <v>Oman</v>
          </cell>
        </row>
        <row r="220">
          <cell r="A220" t="str">
            <v>Pitcairn Islands</v>
          </cell>
        </row>
        <row r="221">
          <cell r="A221" t="str">
            <v>Palau</v>
          </cell>
        </row>
        <row r="222">
          <cell r="A222" t="str">
            <v>Papua New Guinea</v>
          </cell>
        </row>
        <row r="223">
          <cell r="A223" t="str">
            <v>North Korea</v>
          </cell>
        </row>
        <row r="224">
          <cell r="A224" t="str">
            <v>Palestine</v>
          </cell>
        </row>
        <row r="225">
          <cell r="A225" t="str">
            <v>French Polynesia</v>
          </cell>
        </row>
        <row r="226">
          <cell r="A226" t="str">
            <v>Sudan</v>
          </cell>
        </row>
        <row r="227">
          <cell r="A227" t="str">
            <v>Senegal</v>
          </cell>
        </row>
        <row r="228">
          <cell r="A228" t="str">
            <v>South Georgia &amp; South Sandwich Islands</v>
          </cell>
        </row>
        <row r="229">
          <cell r="A229" t="str">
            <v>Svalbard &amp; Jan Mayen</v>
          </cell>
        </row>
        <row r="230">
          <cell r="A230" t="str">
            <v>Solomon Islands</v>
          </cell>
        </row>
        <row r="231">
          <cell r="A231" t="str">
            <v>Sierra Leone</v>
          </cell>
        </row>
        <row r="232">
          <cell r="A232" t="str">
            <v>San Marino</v>
          </cell>
        </row>
        <row r="233">
          <cell r="A233" t="str">
            <v>St. Pierre &amp; Miquelon</v>
          </cell>
        </row>
        <row r="234">
          <cell r="A234" t="str">
            <v>South Sudan</v>
          </cell>
        </row>
        <row r="235">
          <cell r="A235" t="str">
            <v>SÃ£o TomÃ© &amp; PrÃ­ncipe</v>
          </cell>
        </row>
        <row r="236">
          <cell r="A236" t="str">
            <v>Eswatini</v>
          </cell>
        </row>
        <row r="237">
          <cell r="A237" t="str">
            <v>Sint Maarten</v>
          </cell>
        </row>
        <row r="238">
          <cell r="A238" t="str">
            <v>Seychelles</v>
          </cell>
        </row>
        <row r="239">
          <cell r="A239" t="str">
            <v>Turks &amp; Caicos Islands</v>
          </cell>
        </row>
        <row r="240">
          <cell r="A240" t="str">
            <v>Chad</v>
          </cell>
        </row>
        <row r="241">
          <cell r="A241" t="str">
            <v>Tajikistan</v>
          </cell>
        </row>
        <row r="242">
          <cell r="A242" t="str">
            <v>Tokelau</v>
          </cell>
        </row>
        <row r="243">
          <cell r="A243" t="str">
            <v>Turkmenistan</v>
          </cell>
        </row>
        <row r="244">
          <cell r="A244" t="str">
            <v>Tonga</v>
          </cell>
        </row>
        <row r="245">
          <cell r="A245" t="str">
            <v>Tuvalu</v>
          </cell>
        </row>
        <row r="246">
          <cell r="A246" t="str">
            <v>U.S. Outlying Islands</v>
          </cell>
        </row>
        <row r="247">
          <cell r="A247" t="str">
            <v>Vatican City</v>
          </cell>
        </row>
        <row r="248">
          <cell r="A248" t="str">
            <v>St. Vincent &amp; Grenadines</v>
          </cell>
        </row>
        <row r="249">
          <cell r="A249" t="str">
            <v>British Virgin Islands</v>
          </cell>
        </row>
        <row r="250">
          <cell r="A250" t="str">
            <v>U.S. Virgin Islands</v>
          </cell>
        </row>
        <row r="251">
          <cell r="A251" t="str">
            <v>Vanuatu</v>
          </cell>
        </row>
        <row r="252">
          <cell r="A252" t="str">
            <v>Wallis &amp; Futuna</v>
          </cell>
        </row>
        <row r="253">
          <cell r="A253" t="str">
            <v>Samoa</v>
          </cell>
        </row>
      </sheetData>
    </sheetDataSet>
  </externalBook>
</externalLink>
</file>

<file path=xl/externalLinks/externalLink2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23)"/>
    </sheetNames>
    <sheetDataSet>
      <sheetData sheetId="0">
        <row r="1">
          <cell r="A1" t="str">
            <v>Kategori: TÃ¼m kategoriler</v>
          </cell>
        </row>
        <row r="3">
          <cell r="A3" t="str">
            <v>Ãœlke</v>
          </cell>
          <cell r="B3" t="str">
            <v>Null pointer: (2015)</v>
          </cell>
          <cell r="C3" t="str">
            <v>Sonlu durum makinesi: (2015)</v>
          </cell>
        </row>
        <row r="4">
          <cell r="A4" t="str">
            <v>Micronesia</v>
          </cell>
          <cell r="C4">
            <v>1</v>
          </cell>
        </row>
        <row r="5">
          <cell r="A5" t="str">
            <v>Guam</v>
          </cell>
          <cell r="C5">
            <v>1</v>
          </cell>
        </row>
        <row r="6">
          <cell r="A6" t="str">
            <v>Fiji</v>
          </cell>
          <cell r="C6">
            <v>1</v>
          </cell>
        </row>
        <row r="7">
          <cell r="A7" t="str">
            <v>China</v>
          </cell>
          <cell r="B7">
            <v>0.32</v>
          </cell>
          <cell r="C7">
            <v>0.68</v>
          </cell>
        </row>
        <row r="8">
          <cell r="A8" t="str">
            <v>Macao</v>
          </cell>
          <cell r="C8">
            <v>1</v>
          </cell>
        </row>
        <row r="9">
          <cell r="A9" t="str">
            <v>Maldives</v>
          </cell>
        </row>
        <row r="10">
          <cell r="A10" t="str">
            <v>Singapore</v>
          </cell>
          <cell r="B10">
            <v>0.4</v>
          </cell>
          <cell r="C10">
            <v>0.6</v>
          </cell>
        </row>
        <row r="11">
          <cell r="A11" t="str">
            <v>Iceland</v>
          </cell>
          <cell r="C11">
            <v>1</v>
          </cell>
        </row>
        <row r="12">
          <cell r="A12" t="str">
            <v>Israel</v>
          </cell>
          <cell r="B12">
            <v>0.36</v>
          </cell>
          <cell r="C12">
            <v>0.64</v>
          </cell>
        </row>
        <row r="13">
          <cell r="A13" t="str">
            <v>India</v>
          </cell>
          <cell r="B13">
            <v>0.67</v>
          </cell>
          <cell r="C13">
            <v>0.33</v>
          </cell>
        </row>
        <row r="14">
          <cell r="A14" t="str">
            <v>St. Helena</v>
          </cell>
        </row>
        <row r="15">
          <cell r="A15" t="str">
            <v>South Korea</v>
          </cell>
          <cell r="B15">
            <v>0.36</v>
          </cell>
          <cell r="C15">
            <v>0.64</v>
          </cell>
        </row>
        <row r="16">
          <cell r="A16" t="str">
            <v>Ethiopia</v>
          </cell>
          <cell r="C16">
            <v>1</v>
          </cell>
        </row>
        <row r="17">
          <cell r="A17" t="str">
            <v>Sri Lanka</v>
          </cell>
          <cell r="B17">
            <v>0.66</v>
          </cell>
          <cell r="C17">
            <v>0.34</v>
          </cell>
        </row>
        <row r="18">
          <cell r="A18" t="str">
            <v>Nepal</v>
          </cell>
        </row>
        <row r="19">
          <cell r="A19" t="str">
            <v>United States</v>
          </cell>
          <cell r="B19">
            <v>0.57999999999999996</v>
          </cell>
          <cell r="C19">
            <v>0.42</v>
          </cell>
        </row>
        <row r="20">
          <cell r="A20" t="str">
            <v>New Zealand</v>
          </cell>
          <cell r="B20">
            <v>0.55000000000000004</v>
          </cell>
          <cell r="C20">
            <v>0.45</v>
          </cell>
        </row>
        <row r="21">
          <cell r="A21" t="str">
            <v>Hong Kong</v>
          </cell>
          <cell r="B21">
            <v>0.41</v>
          </cell>
          <cell r="C21">
            <v>0.59</v>
          </cell>
        </row>
        <row r="22">
          <cell r="A22" t="str">
            <v>Ireland</v>
          </cell>
          <cell r="B22">
            <v>0.6</v>
          </cell>
          <cell r="C22">
            <v>0.4</v>
          </cell>
        </row>
        <row r="23">
          <cell r="A23" t="str">
            <v>Canada</v>
          </cell>
          <cell r="B23">
            <v>0.56999999999999995</v>
          </cell>
          <cell r="C23">
            <v>0.43</v>
          </cell>
        </row>
        <row r="24">
          <cell r="A24" t="str">
            <v>Pakistan</v>
          </cell>
          <cell r="B24">
            <v>0.42</v>
          </cell>
          <cell r="C24">
            <v>0.57999999999999996</v>
          </cell>
        </row>
        <row r="25">
          <cell r="A25" t="str">
            <v>North Macedonia</v>
          </cell>
        </row>
        <row r="26">
          <cell r="A26" t="str">
            <v>Estonia</v>
          </cell>
        </row>
        <row r="27">
          <cell r="A27" t="str">
            <v>Tunisia</v>
          </cell>
        </row>
        <row r="28">
          <cell r="A28" t="str">
            <v>Australia</v>
          </cell>
          <cell r="B28">
            <v>0.53</v>
          </cell>
          <cell r="C28">
            <v>0.47</v>
          </cell>
        </row>
        <row r="29">
          <cell r="A29" t="str">
            <v>Czechia</v>
          </cell>
          <cell r="B29">
            <v>0.36</v>
          </cell>
          <cell r="C29">
            <v>0.64</v>
          </cell>
        </row>
        <row r="30">
          <cell r="A30" t="str">
            <v>Philippines</v>
          </cell>
          <cell r="B30">
            <v>0.64</v>
          </cell>
          <cell r="C30">
            <v>0.36</v>
          </cell>
        </row>
        <row r="31">
          <cell r="A31" t="str">
            <v>Slovenia</v>
          </cell>
          <cell r="B31">
            <v>0.38</v>
          </cell>
          <cell r="C31">
            <v>0.62</v>
          </cell>
        </row>
        <row r="32">
          <cell r="A32" t="str">
            <v>Taiwan</v>
          </cell>
          <cell r="B32">
            <v>0.24</v>
          </cell>
          <cell r="C32">
            <v>0.76</v>
          </cell>
        </row>
        <row r="33">
          <cell r="A33" t="str">
            <v>Bangladesh</v>
          </cell>
          <cell r="B33">
            <v>0.63</v>
          </cell>
          <cell r="C33">
            <v>0.37</v>
          </cell>
        </row>
        <row r="34">
          <cell r="A34" t="str">
            <v>Sweden</v>
          </cell>
          <cell r="B34">
            <v>0.61</v>
          </cell>
          <cell r="C34">
            <v>0.39</v>
          </cell>
        </row>
        <row r="35">
          <cell r="A35" t="str">
            <v>United Kingdom</v>
          </cell>
          <cell r="B35">
            <v>0.51</v>
          </cell>
          <cell r="C35">
            <v>0.49</v>
          </cell>
        </row>
        <row r="36">
          <cell r="A36" t="str">
            <v>Mauritius</v>
          </cell>
        </row>
        <row r="37">
          <cell r="A37" t="str">
            <v>Switzerland</v>
          </cell>
          <cell r="B37">
            <v>0.5</v>
          </cell>
          <cell r="C37">
            <v>0.5</v>
          </cell>
        </row>
        <row r="38">
          <cell r="A38" t="str">
            <v>South Africa</v>
          </cell>
          <cell r="B38">
            <v>0.49</v>
          </cell>
          <cell r="C38">
            <v>0.51</v>
          </cell>
        </row>
        <row r="39">
          <cell r="A39" t="str">
            <v>Finland</v>
          </cell>
          <cell r="B39">
            <v>0.56999999999999995</v>
          </cell>
          <cell r="C39">
            <v>0.43</v>
          </cell>
        </row>
        <row r="40">
          <cell r="A40" t="str">
            <v>Germany</v>
          </cell>
          <cell r="B40">
            <v>0.43</v>
          </cell>
          <cell r="C40">
            <v>0.56999999999999995</v>
          </cell>
        </row>
        <row r="41">
          <cell r="A41" t="str">
            <v>Norway</v>
          </cell>
          <cell r="B41">
            <v>0.46</v>
          </cell>
          <cell r="C41">
            <v>0.54</v>
          </cell>
        </row>
        <row r="42">
          <cell r="A42" t="str">
            <v>Myanmar (Burma)</v>
          </cell>
        </row>
        <row r="43">
          <cell r="A43" t="str">
            <v>Luxembourg</v>
          </cell>
        </row>
        <row r="44">
          <cell r="A44" t="str">
            <v>Malaysia</v>
          </cell>
          <cell r="B44">
            <v>0.45</v>
          </cell>
          <cell r="C44">
            <v>0.55000000000000004</v>
          </cell>
        </row>
        <row r="45">
          <cell r="A45" t="str">
            <v>Slovakia</v>
          </cell>
          <cell r="B45">
            <v>0.4</v>
          </cell>
          <cell r="C45">
            <v>0.6</v>
          </cell>
        </row>
        <row r="46">
          <cell r="A46" t="str">
            <v>Austria</v>
          </cell>
          <cell r="B46">
            <v>0.41</v>
          </cell>
          <cell r="C46">
            <v>0.59</v>
          </cell>
        </row>
        <row r="47">
          <cell r="A47" t="str">
            <v>Lebanon</v>
          </cell>
        </row>
        <row r="48">
          <cell r="A48" t="str">
            <v>Russia</v>
          </cell>
          <cell r="B48">
            <v>0.2</v>
          </cell>
          <cell r="C48">
            <v>0.8</v>
          </cell>
        </row>
        <row r="49">
          <cell r="A49" t="str">
            <v>Romania</v>
          </cell>
          <cell r="B49">
            <v>0.53</v>
          </cell>
          <cell r="C49">
            <v>0.47</v>
          </cell>
        </row>
        <row r="50">
          <cell r="A50" t="str">
            <v>Latvia</v>
          </cell>
        </row>
        <row r="51">
          <cell r="A51" t="str">
            <v>Belarus</v>
          </cell>
          <cell r="B51">
            <v>0.41</v>
          </cell>
          <cell r="C51">
            <v>0.59</v>
          </cell>
        </row>
        <row r="52">
          <cell r="A52" t="str">
            <v>Ghana</v>
          </cell>
        </row>
        <row r="53">
          <cell r="A53" t="str">
            <v>Nigeria</v>
          </cell>
        </row>
        <row r="54">
          <cell r="A54" t="str">
            <v>Serbia</v>
          </cell>
          <cell r="B54">
            <v>0.56000000000000005</v>
          </cell>
          <cell r="C54">
            <v>0.44</v>
          </cell>
        </row>
        <row r="55">
          <cell r="A55" t="str">
            <v>Vietnam</v>
          </cell>
          <cell r="B55">
            <v>0.72</v>
          </cell>
          <cell r="C55">
            <v>0.28000000000000003</v>
          </cell>
        </row>
        <row r="56">
          <cell r="A56" t="str">
            <v>Kenya</v>
          </cell>
          <cell r="B56">
            <v>0.52</v>
          </cell>
          <cell r="C56">
            <v>0.48</v>
          </cell>
        </row>
        <row r="57">
          <cell r="A57" t="str">
            <v>Lithuania</v>
          </cell>
        </row>
        <row r="58">
          <cell r="A58" t="str">
            <v>Bosnia &amp; Herzegovina</v>
          </cell>
        </row>
        <row r="59">
          <cell r="A59" t="str">
            <v>Denmark</v>
          </cell>
          <cell r="B59">
            <v>0.49</v>
          </cell>
          <cell r="C59">
            <v>0.51</v>
          </cell>
        </row>
        <row r="60">
          <cell r="A60" t="str">
            <v>Costa Rica</v>
          </cell>
        </row>
        <row r="61">
          <cell r="A61" t="str">
            <v>Croatia</v>
          </cell>
          <cell r="B61">
            <v>0.46</v>
          </cell>
          <cell r="C61">
            <v>0.54</v>
          </cell>
        </row>
        <row r="62">
          <cell r="A62" t="str">
            <v>Bulgaria</v>
          </cell>
          <cell r="B62">
            <v>0.55000000000000004</v>
          </cell>
          <cell r="C62">
            <v>0.45</v>
          </cell>
        </row>
        <row r="63">
          <cell r="A63" t="str">
            <v>Portugal</v>
          </cell>
          <cell r="B63">
            <v>0.52</v>
          </cell>
          <cell r="C63">
            <v>0.48</v>
          </cell>
        </row>
        <row r="64">
          <cell r="A64" t="str">
            <v>Hungary</v>
          </cell>
          <cell r="B64">
            <v>0.47</v>
          </cell>
          <cell r="C64">
            <v>0.53</v>
          </cell>
        </row>
        <row r="65">
          <cell r="A65" t="str">
            <v>United Arab Emirates</v>
          </cell>
          <cell r="B65">
            <v>0.44</v>
          </cell>
          <cell r="C65">
            <v>0.56000000000000005</v>
          </cell>
        </row>
        <row r="66">
          <cell r="A66" t="str">
            <v>Ukraine</v>
          </cell>
          <cell r="B66">
            <v>0.37</v>
          </cell>
          <cell r="C66">
            <v>0.63</v>
          </cell>
        </row>
        <row r="67">
          <cell r="A67" t="str">
            <v>Belgium</v>
          </cell>
          <cell r="B67">
            <v>0.51</v>
          </cell>
          <cell r="C67">
            <v>0.49</v>
          </cell>
        </row>
        <row r="68">
          <cell r="A68" t="str">
            <v>Netherlands</v>
          </cell>
          <cell r="B68">
            <v>0.48</v>
          </cell>
          <cell r="C68">
            <v>0.52</v>
          </cell>
        </row>
        <row r="69">
          <cell r="A69" t="str">
            <v>Mexico</v>
          </cell>
          <cell r="B69">
            <v>0.23</v>
          </cell>
          <cell r="C69">
            <v>0.77</v>
          </cell>
        </row>
        <row r="70">
          <cell r="A70" t="str">
            <v>Greece</v>
          </cell>
          <cell r="B70">
            <v>0.4</v>
          </cell>
          <cell r="C70">
            <v>0.6</v>
          </cell>
        </row>
        <row r="71">
          <cell r="A71" t="str">
            <v>Kuwait</v>
          </cell>
        </row>
        <row r="72">
          <cell r="A72" t="str">
            <v>Bolivia</v>
          </cell>
          <cell r="C72">
            <v>1</v>
          </cell>
        </row>
        <row r="73">
          <cell r="A73" t="str">
            <v>Italy</v>
          </cell>
          <cell r="B73">
            <v>0.28999999999999998</v>
          </cell>
          <cell r="C73">
            <v>0.71</v>
          </cell>
        </row>
        <row r="74">
          <cell r="A74" t="str">
            <v>Tanzania</v>
          </cell>
        </row>
        <row r="75">
          <cell r="A75" t="str">
            <v>Iran</v>
          </cell>
          <cell r="B75">
            <v>0.5</v>
          </cell>
          <cell r="C75">
            <v>0.5</v>
          </cell>
        </row>
        <row r="76">
          <cell r="A76" t="str">
            <v>Indonesia</v>
          </cell>
          <cell r="B76">
            <v>0.36</v>
          </cell>
          <cell r="C76">
            <v>0.64</v>
          </cell>
        </row>
        <row r="77">
          <cell r="A77" t="str">
            <v>Kazakhstan</v>
          </cell>
          <cell r="C77">
            <v>1</v>
          </cell>
        </row>
        <row r="78">
          <cell r="A78" t="str">
            <v>Japan</v>
          </cell>
          <cell r="B78">
            <v>0.45</v>
          </cell>
          <cell r="C78">
            <v>0.55000000000000004</v>
          </cell>
        </row>
        <row r="79">
          <cell r="A79" t="str">
            <v>Uzbekistan</v>
          </cell>
        </row>
        <row r="80">
          <cell r="A80" t="str">
            <v>Laos</v>
          </cell>
        </row>
        <row r="81">
          <cell r="A81" t="str">
            <v>Poland</v>
          </cell>
          <cell r="B81">
            <v>0.53</v>
          </cell>
          <cell r="C81">
            <v>0.47</v>
          </cell>
        </row>
        <row r="82">
          <cell r="A82" t="str">
            <v>Colombia</v>
          </cell>
          <cell r="B82">
            <v>0.33</v>
          </cell>
          <cell r="C82">
            <v>0.67</v>
          </cell>
        </row>
        <row r="83">
          <cell r="A83" t="str">
            <v>Turkey</v>
          </cell>
          <cell r="B83">
            <v>0.25</v>
          </cell>
          <cell r="C83">
            <v>0.75</v>
          </cell>
        </row>
        <row r="84">
          <cell r="A84" t="str">
            <v>Guatemala</v>
          </cell>
        </row>
        <row r="85">
          <cell r="A85" t="str">
            <v>Uruguay</v>
          </cell>
        </row>
        <row r="86">
          <cell r="A86" t="str">
            <v>Egypt</v>
          </cell>
          <cell r="B86">
            <v>0.48</v>
          </cell>
          <cell r="C86">
            <v>0.52</v>
          </cell>
        </row>
        <row r="87">
          <cell r="A87" t="str">
            <v>Peru</v>
          </cell>
        </row>
        <row r="88">
          <cell r="A88" t="str">
            <v>Ecuador</v>
          </cell>
          <cell r="C88">
            <v>1</v>
          </cell>
        </row>
        <row r="89">
          <cell r="A89" t="str">
            <v>Brazil</v>
          </cell>
          <cell r="B89">
            <v>0.34</v>
          </cell>
          <cell r="C89">
            <v>0.66</v>
          </cell>
        </row>
        <row r="90">
          <cell r="A90" t="str">
            <v>Spain</v>
          </cell>
          <cell r="B90">
            <v>0.54</v>
          </cell>
          <cell r="C90">
            <v>0.46</v>
          </cell>
        </row>
        <row r="91">
          <cell r="A91" t="str">
            <v>Morocco</v>
          </cell>
        </row>
        <row r="92">
          <cell r="A92" t="str">
            <v>Georgia</v>
          </cell>
        </row>
        <row r="93">
          <cell r="A93" t="str">
            <v>France</v>
          </cell>
          <cell r="B93">
            <v>0.54</v>
          </cell>
          <cell r="C93">
            <v>0.46</v>
          </cell>
        </row>
        <row r="94">
          <cell r="A94" t="str">
            <v>Thailand</v>
          </cell>
          <cell r="B94">
            <v>0.4</v>
          </cell>
          <cell r="C94">
            <v>0.6</v>
          </cell>
        </row>
        <row r="95">
          <cell r="A95" t="str">
            <v>Argentina</v>
          </cell>
          <cell r="B95">
            <v>0.46</v>
          </cell>
          <cell r="C95">
            <v>0.54</v>
          </cell>
        </row>
        <row r="96">
          <cell r="A96" t="str">
            <v>El Salvador</v>
          </cell>
        </row>
        <row r="97">
          <cell r="A97" t="str">
            <v>Iraq</v>
          </cell>
        </row>
        <row r="98">
          <cell r="A98" t="str">
            <v>Saudi Arabia</v>
          </cell>
          <cell r="B98">
            <v>0.44</v>
          </cell>
          <cell r="C98">
            <v>0.56000000000000005</v>
          </cell>
        </row>
        <row r="99">
          <cell r="A99" t="str">
            <v>Chile</v>
          </cell>
          <cell r="B99">
            <v>0.54</v>
          </cell>
          <cell r="C99">
            <v>0.46</v>
          </cell>
        </row>
        <row r="100">
          <cell r="A100" t="str">
            <v>Algeria</v>
          </cell>
        </row>
        <row r="101">
          <cell r="A101" t="str">
            <v>Venezuela</v>
          </cell>
          <cell r="C101">
            <v>1</v>
          </cell>
        </row>
        <row r="102">
          <cell r="A102" t="str">
            <v>Ã…land Islands</v>
          </cell>
        </row>
        <row r="103">
          <cell r="A103" t="str">
            <v>Eswatini</v>
          </cell>
        </row>
        <row r="104">
          <cell r="A104" t="str">
            <v>Greenland</v>
          </cell>
        </row>
        <row r="105">
          <cell r="A105" t="str">
            <v>Dominica</v>
          </cell>
        </row>
        <row r="106">
          <cell r="A106" t="str">
            <v>Faroe Islands</v>
          </cell>
        </row>
        <row r="107">
          <cell r="A107" t="str">
            <v>Gibraltar</v>
          </cell>
        </row>
        <row r="108">
          <cell r="A108" t="str">
            <v>Liechtenstein</v>
          </cell>
        </row>
        <row r="109">
          <cell r="A109" t="str">
            <v>Bhutan</v>
          </cell>
        </row>
        <row r="110">
          <cell r="A110" t="str">
            <v>St. Vincent &amp; Grenadines</v>
          </cell>
        </row>
        <row r="111">
          <cell r="A111" t="str">
            <v>Botswana</v>
          </cell>
        </row>
        <row r="112">
          <cell r="A112" t="str">
            <v>CuraÃ§ao</v>
          </cell>
        </row>
        <row r="113">
          <cell r="A113" t="str">
            <v>Cayman Islands</v>
          </cell>
        </row>
        <row r="114">
          <cell r="A114" t="str">
            <v>Guernsey</v>
          </cell>
        </row>
        <row r="115">
          <cell r="A115" t="str">
            <v>Cuba</v>
          </cell>
        </row>
        <row r="116">
          <cell r="A116" t="str">
            <v>Isle of Man</v>
          </cell>
        </row>
        <row r="117">
          <cell r="A117" t="str">
            <v>Malta</v>
          </cell>
        </row>
        <row r="118">
          <cell r="A118" t="str">
            <v>Malawi</v>
          </cell>
        </row>
        <row r="119">
          <cell r="A119" t="str">
            <v>Belize</v>
          </cell>
        </row>
        <row r="120">
          <cell r="A120" t="str">
            <v>Congo - Brazzaville</v>
          </cell>
        </row>
        <row r="121">
          <cell r="A121" t="str">
            <v>Jersey</v>
          </cell>
        </row>
        <row r="122">
          <cell r="A122" t="str">
            <v>New Caledonia</v>
          </cell>
        </row>
        <row r="123">
          <cell r="A123" t="str">
            <v>Bahamas</v>
          </cell>
        </row>
        <row r="124">
          <cell r="A124" t="str">
            <v>Guyana</v>
          </cell>
        </row>
        <row r="125">
          <cell r="A125" t="str">
            <v>Cyprus</v>
          </cell>
        </row>
        <row r="126">
          <cell r="A126" t="str">
            <v>Zimbabwe</v>
          </cell>
        </row>
        <row r="127">
          <cell r="A127" t="str">
            <v>Namibia</v>
          </cell>
        </row>
        <row r="128">
          <cell r="A128" t="str">
            <v>Benin</v>
          </cell>
        </row>
        <row r="129">
          <cell r="A129" t="str">
            <v>Armenia</v>
          </cell>
        </row>
        <row r="130">
          <cell r="A130" t="str">
            <v>Barbados</v>
          </cell>
        </row>
        <row r="131">
          <cell r="A131" t="str">
            <v>Rwanda</v>
          </cell>
        </row>
        <row r="132">
          <cell r="A132" t="str">
            <v>Zambia</v>
          </cell>
        </row>
        <row r="133">
          <cell r="A133" t="str">
            <v>Qatar</v>
          </cell>
        </row>
        <row r="134">
          <cell r="A134" t="str">
            <v>Cambodia</v>
          </cell>
        </row>
        <row r="135">
          <cell r="A135" t="str">
            <v>Mongolia</v>
          </cell>
        </row>
        <row r="136">
          <cell r="A136" t="str">
            <v>Mozambique</v>
          </cell>
        </row>
        <row r="137">
          <cell r="A137" t="str">
            <v>Moldova</v>
          </cell>
        </row>
        <row r="138">
          <cell r="A138" t="str">
            <v>Albania</v>
          </cell>
        </row>
        <row r="139">
          <cell r="A139" t="str">
            <v>Senegal</v>
          </cell>
        </row>
        <row r="140">
          <cell r="A140" t="str">
            <v>Afghanistan</v>
          </cell>
        </row>
        <row r="141">
          <cell r="A141" t="str">
            <v>Madagascar</v>
          </cell>
        </row>
        <row r="142">
          <cell r="A142" t="str">
            <v>Trinidad &amp; Tobago</v>
          </cell>
        </row>
        <row r="143">
          <cell r="A143" t="str">
            <v>Puerto Rico</v>
          </cell>
        </row>
        <row r="144">
          <cell r="A144" t="str">
            <v>Bahrain</v>
          </cell>
        </row>
        <row r="145">
          <cell r="A145" t="str">
            <v>Jamaica</v>
          </cell>
        </row>
        <row r="146">
          <cell r="A146" t="str">
            <v>Brunei</v>
          </cell>
        </row>
        <row r="147">
          <cell r="A147" t="str">
            <v>Nicaragua</v>
          </cell>
        </row>
        <row r="148">
          <cell r="A148" t="str">
            <v>Syria</v>
          </cell>
        </row>
        <row r="149">
          <cell r="A149" t="str">
            <v>Jordan</v>
          </cell>
        </row>
        <row r="150">
          <cell r="A150" t="str">
            <v>Uganda</v>
          </cell>
        </row>
        <row r="151">
          <cell r="A151" t="str">
            <v>Guadeloupe</v>
          </cell>
        </row>
        <row r="152">
          <cell r="A152" t="str">
            <v>Cameroon</v>
          </cell>
        </row>
        <row r="153">
          <cell r="A153" t="str">
            <v>Paraguay</v>
          </cell>
        </row>
        <row r="154">
          <cell r="A154" t="str">
            <v>Montenegro</v>
          </cell>
        </row>
        <row r="155">
          <cell r="A155" t="str">
            <v>Panama</v>
          </cell>
        </row>
        <row r="156">
          <cell r="A156" t="str">
            <v>Angola</v>
          </cell>
        </row>
        <row r="157">
          <cell r="A157" t="str">
            <v>Sudan</v>
          </cell>
        </row>
        <row r="158">
          <cell r="A158" t="str">
            <v>RÃ©union</v>
          </cell>
        </row>
        <row r="159">
          <cell r="A159" t="str">
            <v>Kosovo</v>
          </cell>
        </row>
        <row r="160">
          <cell r="A160" t="str">
            <v>Oman</v>
          </cell>
        </row>
        <row r="161">
          <cell r="A161" t="str">
            <v>Dominican Republic</v>
          </cell>
        </row>
        <row r="162">
          <cell r="A162" t="str">
            <v>Libya</v>
          </cell>
        </row>
        <row r="163">
          <cell r="A163" t="str">
            <v>Honduras</v>
          </cell>
        </row>
        <row r="164">
          <cell r="A164" t="str">
            <v>Yemen</v>
          </cell>
        </row>
        <row r="165">
          <cell r="A165" t="str">
            <v>Azerbaijan</v>
          </cell>
        </row>
        <row r="166">
          <cell r="A166" t="str">
            <v>Aruba</v>
          </cell>
        </row>
        <row r="167">
          <cell r="A167" t="str">
            <v>Anguilla</v>
          </cell>
        </row>
        <row r="168">
          <cell r="A168" t="str">
            <v>Andorra</v>
          </cell>
        </row>
        <row r="169">
          <cell r="A169" t="str">
            <v>American Samoa</v>
          </cell>
        </row>
        <row r="170">
          <cell r="A170" t="str">
            <v>Antarctica</v>
          </cell>
        </row>
        <row r="171">
          <cell r="A171" t="str">
            <v>French Southern Territories</v>
          </cell>
        </row>
        <row r="172">
          <cell r="A172" t="str">
            <v>Antigua &amp; Barbuda</v>
          </cell>
        </row>
        <row r="173">
          <cell r="A173" t="str">
            <v>Burundi</v>
          </cell>
        </row>
        <row r="174">
          <cell r="A174" t="str">
            <v>Caribbean Netherlands</v>
          </cell>
        </row>
        <row r="175">
          <cell r="A175" t="str">
            <v>Burkina Faso</v>
          </cell>
        </row>
        <row r="176">
          <cell r="A176" t="str">
            <v>St. BarthÃ©lemy</v>
          </cell>
        </row>
        <row r="177">
          <cell r="A177" t="str">
            <v>Bermuda</v>
          </cell>
        </row>
        <row r="178">
          <cell r="A178" t="str">
            <v>Bouvet Island</v>
          </cell>
        </row>
        <row r="179">
          <cell r="A179" t="str">
            <v>Central African Republic</v>
          </cell>
        </row>
        <row r="180">
          <cell r="A180" t="str">
            <v>Cocos (Keeling) Islands</v>
          </cell>
        </row>
        <row r="181">
          <cell r="A181" t="str">
            <v>CÃ´te dâ€™Ivoire</v>
          </cell>
        </row>
        <row r="182">
          <cell r="A182" t="str">
            <v>Congo - Kinshasa</v>
          </cell>
        </row>
        <row r="183">
          <cell r="A183" t="str">
            <v>Cook Islands</v>
          </cell>
        </row>
        <row r="184">
          <cell r="A184" t="str">
            <v>Comoros</v>
          </cell>
        </row>
        <row r="185">
          <cell r="A185" t="str">
            <v>Cape Verde</v>
          </cell>
        </row>
        <row r="186">
          <cell r="A186" t="str">
            <v>Christmas Island</v>
          </cell>
        </row>
        <row r="187">
          <cell r="A187" t="str">
            <v>Djibouti</v>
          </cell>
        </row>
        <row r="188">
          <cell r="A188" t="str">
            <v>Eritrea</v>
          </cell>
        </row>
        <row r="189">
          <cell r="A189" t="str">
            <v>Western Sahara</v>
          </cell>
        </row>
        <row r="190">
          <cell r="A190" t="str">
            <v>Falkland Islands (Islas Malvinas)</v>
          </cell>
        </row>
        <row r="191">
          <cell r="A191" t="str">
            <v>Gabon</v>
          </cell>
        </row>
        <row r="192">
          <cell r="A192" t="str">
            <v>Guinea</v>
          </cell>
        </row>
        <row r="193">
          <cell r="A193" t="str">
            <v>Gambia</v>
          </cell>
        </row>
        <row r="194">
          <cell r="A194" t="str">
            <v>Guinea-Bissau</v>
          </cell>
        </row>
        <row r="195">
          <cell r="A195" t="str">
            <v>Equatorial Guinea</v>
          </cell>
        </row>
        <row r="196">
          <cell r="A196" t="str">
            <v>Grenada</v>
          </cell>
        </row>
        <row r="197">
          <cell r="A197" t="str">
            <v>French Guiana</v>
          </cell>
        </row>
        <row r="198">
          <cell r="A198" t="str">
            <v>Heard &amp; McDonald Islands</v>
          </cell>
        </row>
        <row r="199">
          <cell r="A199" t="str">
            <v>Haiti</v>
          </cell>
        </row>
        <row r="200">
          <cell r="A200" t="str">
            <v>British Indian Ocean Territory</v>
          </cell>
        </row>
        <row r="201">
          <cell r="A201" t="str">
            <v>Kyrgyzstan</v>
          </cell>
        </row>
        <row r="202">
          <cell r="A202" t="str">
            <v>Kiribati</v>
          </cell>
        </row>
        <row r="203">
          <cell r="A203" t="str">
            <v>St. Kitts &amp; Nevis</v>
          </cell>
        </row>
        <row r="204">
          <cell r="A204" t="str">
            <v>Liberia</v>
          </cell>
        </row>
        <row r="205">
          <cell r="A205" t="str">
            <v>St. Lucia</v>
          </cell>
        </row>
        <row r="206">
          <cell r="A206" t="str">
            <v>Lesotho</v>
          </cell>
        </row>
        <row r="207">
          <cell r="A207" t="str">
            <v>St. Martin</v>
          </cell>
        </row>
        <row r="208">
          <cell r="A208" t="str">
            <v>Monaco</v>
          </cell>
        </row>
        <row r="209">
          <cell r="A209" t="str">
            <v>Marshall Islands</v>
          </cell>
        </row>
        <row r="210">
          <cell r="A210" t="str">
            <v>Mali</v>
          </cell>
        </row>
        <row r="211">
          <cell r="A211" t="str">
            <v>Northern Mariana Islands</v>
          </cell>
        </row>
        <row r="212">
          <cell r="A212" t="str">
            <v>Mauritania</v>
          </cell>
        </row>
        <row r="213">
          <cell r="A213" t="str">
            <v>Montserrat</v>
          </cell>
        </row>
        <row r="214">
          <cell r="A214" t="str">
            <v>Martinique</v>
          </cell>
        </row>
        <row r="215">
          <cell r="A215" t="str">
            <v>Mayotte</v>
          </cell>
        </row>
        <row r="216">
          <cell r="A216" t="str">
            <v>Niger</v>
          </cell>
        </row>
        <row r="217">
          <cell r="A217" t="str">
            <v>Norfolk Island</v>
          </cell>
        </row>
        <row r="218">
          <cell r="A218" t="str">
            <v>Niue</v>
          </cell>
        </row>
        <row r="219">
          <cell r="A219" t="str">
            <v>Nauru</v>
          </cell>
        </row>
        <row r="220">
          <cell r="A220" t="str">
            <v>Pitcairn Islands</v>
          </cell>
        </row>
        <row r="221">
          <cell r="A221" t="str">
            <v>Palau</v>
          </cell>
        </row>
        <row r="222">
          <cell r="A222" t="str">
            <v>Papua New Guinea</v>
          </cell>
        </row>
        <row r="223">
          <cell r="A223" t="str">
            <v>North Korea</v>
          </cell>
        </row>
        <row r="224">
          <cell r="A224" t="str">
            <v>Palestine</v>
          </cell>
        </row>
        <row r="225">
          <cell r="A225" t="str">
            <v>French Polynesia</v>
          </cell>
        </row>
        <row r="226">
          <cell r="A226" t="str">
            <v>South Georgia &amp; South Sandwich Islands</v>
          </cell>
        </row>
        <row r="227">
          <cell r="A227" t="str">
            <v>Svalbard &amp; Jan Mayen</v>
          </cell>
        </row>
        <row r="228">
          <cell r="A228" t="str">
            <v>Solomon Islands</v>
          </cell>
        </row>
        <row r="229">
          <cell r="A229" t="str">
            <v>Sierra Leone</v>
          </cell>
        </row>
        <row r="230">
          <cell r="A230" t="str">
            <v>San Marino</v>
          </cell>
        </row>
        <row r="231">
          <cell r="A231" t="str">
            <v>Somalia</v>
          </cell>
        </row>
        <row r="232">
          <cell r="A232" t="str">
            <v>St. Pierre &amp; Miquelon</v>
          </cell>
        </row>
        <row r="233">
          <cell r="A233" t="str">
            <v>South Sudan</v>
          </cell>
        </row>
        <row r="234">
          <cell r="A234" t="str">
            <v>SÃ£o TomÃ© &amp; PrÃ­ncipe</v>
          </cell>
        </row>
        <row r="235">
          <cell r="A235" t="str">
            <v>Suriname</v>
          </cell>
        </row>
        <row r="236">
          <cell r="A236" t="str">
            <v>Sint Maarten</v>
          </cell>
        </row>
        <row r="237">
          <cell r="A237" t="str">
            <v>Seychelles</v>
          </cell>
        </row>
        <row r="238">
          <cell r="A238" t="str">
            <v>Turks &amp; Caicos Islands</v>
          </cell>
        </row>
        <row r="239">
          <cell r="A239" t="str">
            <v>Chad</v>
          </cell>
        </row>
        <row r="240">
          <cell r="A240" t="str">
            <v>Togo</v>
          </cell>
        </row>
        <row r="241">
          <cell r="A241" t="str">
            <v>Tajikistan</v>
          </cell>
        </row>
        <row r="242">
          <cell r="A242" t="str">
            <v>Tokelau</v>
          </cell>
        </row>
        <row r="243">
          <cell r="A243" t="str">
            <v>Turkmenistan</v>
          </cell>
        </row>
        <row r="244">
          <cell r="A244" t="str">
            <v>Timor-Leste</v>
          </cell>
        </row>
        <row r="245">
          <cell r="A245" t="str">
            <v>Tonga</v>
          </cell>
        </row>
        <row r="246">
          <cell r="A246" t="str">
            <v>Tuvalu</v>
          </cell>
        </row>
        <row r="247">
          <cell r="A247" t="str">
            <v>U.S. Outlying Islands</v>
          </cell>
        </row>
        <row r="248">
          <cell r="A248" t="str">
            <v>Vatican City</v>
          </cell>
        </row>
        <row r="249">
          <cell r="A249" t="str">
            <v>British Virgin Islands</v>
          </cell>
        </row>
        <row r="250">
          <cell r="A250" t="str">
            <v>U.S. Virgin Islands</v>
          </cell>
        </row>
        <row r="251">
          <cell r="A251" t="str">
            <v>Vanuatu</v>
          </cell>
        </row>
        <row r="252">
          <cell r="A252" t="str">
            <v>Wallis &amp; Futuna</v>
          </cell>
        </row>
        <row r="253">
          <cell r="A253" t="str">
            <v>Samoa</v>
          </cell>
        </row>
      </sheetData>
    </sheetDataSet>
  </externalBook>
</externalLink>
</file>

<file path=xl/externalLinks/externalLink2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24)"/>
    </sheetNames>
    <sheetDataSet>
      <sheetData sheetId="0">
        <row r="1">
          <cell r="A1" t="str">
            <v>Kategori: TÃ¼m kategoriler</v>
          </cell>
        </row>
        <row r="3">
          <cell r="A3" t="str">
            <v>Ãœlke</v>
          </cell>
          <cell r="B3" t="str">
            <v>Sonlu durum makinesi: (2015)</v>
          </cell>
          <cell r="C3" t="str">
            <v>K-means KÃ¼meleme YÃ¶ntemi: (2015)</v>
          </cell>
        </row>
        <row r="4">
          <cell r="A4" t="str">
            <v>Micronesia</v>
          </cell>
          <cell r="B4">
            <v>1</v>
          </cell>
        </row>
        <row r="5">
          <cell r="A5" t="str">
            <v>Cambodia</v>
          </cell>
          <cell r="C5">
            <v>1</v>
          </cell>
        </row>
        <row r="6">
          <cell r="A6" t="str">
            <v>Guam</v>
          </cell>
          <cell r="B6">
            <v>1</v>
          </cell>
        </row>
        <row r="7">
          <cell r="A7" t="str">
            <v>Fiji</v>
          </cell>
        </row>
        <row r="8">
          <cell r="A8" t="str">
            <v>China</v>
          </cell>
          <cell r="B8">
            <v>0.51</v>
          </cell>
          <cell r="C8">
            <v>0.49</v>
          </cell>
        </row>
        <row r="9">
          <cell r="A9" t="str">
            <v>Macao</v>
          </cell>
          <cell r="B9">
            <v>1</v>
          </cell>
        </row>
        <row r="10">
          <cell r="A10" t="str">
            <v>Maldives</v>
          </cell>
        </row>
        <row r="11">
          <cell r="A11" t="str">
            <v>Singapore</v>
          </cell>
          <cell r="B11">
            <v>0.75</v>
          </cell>
          <cell r="C11">
            <v>0.25</v>
          </cell>
        </row>
        <row r="12">
          <cell r="A12" t="str">
            <v>Iceland</v>
          </cell>
        </row>
        <row r="13">
          <cell r="A13" t="str">
            <v>Israel</v>
          </cell>
          <cell r="B13">
            <v>0.78</v>
          </cell>
          <cell r="C13">
            <v>0.22</v>
          </cell>
        </row>
        <row r="14">
          <cell r="A14" t="str">
            <v>St. Helena</v>
          </cell>
        </row>
        <row r="15">
          <cell r="A15" t="str">
            <v>South Korea</v>
          </cell>
          <cell r="B15">
            <v>0.57999999999999996</v>
          </cell>
          <cell r="C15">
            <v>0.42</v>
          </cell>
        </row>
        <row r="16">
          <cell r="A16" t="str">
            <v>Ethiopia</v>
          </cell>
        </row>
        <row r="17">
          <cell r="A17" t="str">
            <v>Nepal</v>
          </cell>
          <cell r="B17">
            <v>0.63</v>
          </cell>
          <cell r="C17">
            <v>0.37</v>
          </cell>
        </row>
        <row r="18">
          <cell r="A18" t="str">
            <v>India</v>
          </cell>
          <cell r="B18">
            <v>0.46</v>
          </cell>
          <cell r="C18">
            <v>0.54</v>
          </cell>
        </row>
        <row r="19">
          <cell r="A19" t="str">
            <v>Hong Kong</v>
          </cell>
          <cell r="B19">
            <v>0.65</v>
          </cell>
          <cell r="C19">
            <v>0.35</v>
          </cell>
        </row>
        <row r="20">
          <cell r="A20" t="str">
            <v>Pakistan</v>
          </cell>
          <cell r="B20">
            <v>0.56999999999999995</v>
          </cell>
          <cell r="C20">
            <v>0.43</v>
          </cell>
        </row>
        <row r="21">
          <cell r="A21" t="str">
            <v>New Zealand</v>
          </cell>
          <cell r="B21">
            <v>0.75</v>
          </cell>
          <cell r="C21">
            <v>0.25</v>
          </cell>
        </row>
        <row r="22">
          <cell r="A22" t="str">
            <v>Tunisia</v>
          </cell>
          <cell r="B22">
            <v>0.49</v>
          </cell>
          <cell r="C22">
            <v>0.51</v>
          </cell>
        </row>
        <row r="23">
          <cell r="A23" t="str">
            <v>United States</v>
          </cell>
          <cell r="B23">
            <v>0.64</v>
          </cell>
          <cell r="C23">
            <v>0.36</v>
          </cell>
        </row>
        <row r="24">
          <cell r="A24" t="str">
            <v>Czechia</v>
          </cell>
          <cell r="B24">
            <v>0.74</v>
          </cell>
          <cell r="C24">
            <v>0.26</v>
          </cell>
        </row>
        <row r="25">
          <cell r="A25" t="str">
            <v>Slovenia</v>
          </cell>
        </row>
        <row r="26">
          <cell r="A26" t="str">
            <v>Taiwan</v>
          </cell>
          <cell r="B26">
            <v>0.56000000000000005</v>
          </cell>
          <cell r="C26">
            <v>0.44</v>
          </cell>
        </row>
        <row r="27">
          <cell r="A27" t="str">
            <v>Australia</v>
          </cell>
          <cell r="B27">
            <v>0.68</v>
          </cell>
          <cell r="C27">
            <v>0.32</v>
          </cell>
        </row>
        <row r="28">
          <cell r="A28" t="str">
            <v>Canada</v>
          </cell>
          <cell r="B28">
            <v>0.68</v>
          </cell>
          <cell r="C28">
            <v>0.32</v>
          </cell>
        </row>
        <row r="29">
          <cell r="A29" t="str">
            <v>Iran</v>
          </cell>
          <cell r="B29">
            <v>0.28999999999999998</v>
          </cell>
          <cell r="C29">
            <v>0.71</v>
          </cell>
        </row>
        <row r="30">
          <cell r="A30" t="str">
            <v>United Kingdom</v>
          </cell>
          <cell r="B30">
            <v>0.72</v>
          </cell>
          <cell r="C30">
            <v>0.28000000000000003</v>
          </cell>
        </row>
        <row r="31">
          <cell r="A31" t="str">
            <v>Sri Lanka</v>
          </cell>
          <cell r="B31">
            <v>0.52</v>
          </cell>
          <cell r="C31">
            <v>0.48</v>
          </cell>
        </row>
        <row r="32">
          <cell r="A32" t="str">
            <v>Mauritius</v>
          </cell>
        </row>
        <row r="33">
          <cell r="A33" t="str">
            <v>Ireland</v>
          </cell>
          <cell r="B33">
            <v>0.61</v>
          </cell>
          <cell r="C33">
            <v>0.39</v>
          </cell>
        </row>
        <row r="34">
          <cell r="A34" t="str">
            <v>Switzerland</v>
          </cell>
          <cell r="B34">
            <v>0.62</v>
          </cell>
          <cell r="C34">
            <v>0.38</v>
          </cell>
        </row>
        <row r="35">
          <cell r="A35" t="str">
            <v>South Africa</v>
          </cell>
          <cell r="B35">
            <v>0.79</v>
          </cell>
          <cell r="C35">
            <v>0.21</v>
          </cell>
        </row>
        <row r="36">
          <cell r="A36" t="str">
            <v>Germany</v>
          </cell>
          <cell r="B36">
            <v>0.73</v>
          </cell>
          <cell r="C36">
            <v>0.27</v>
          </cell>
        </row>
        <row r="37">
          <cell r="A37" t="str">
            <v>Norway</v>
          </cell>
          <cell r="B37">
            <v>0.78</v>
          </cell>
          <cell r="C37">
            <v>0.22</v>
          </cell>
        </row>
        <row r="38">
          <cell r="A38" t="str">
            <v>Estonia</v>
          </cell>
        </row>
        <row r="39">
          <cell r="A39" t="str">
            <v>Malaysia</v>
          </cell>
          <cell r="B39">
            <v>0.69</v>
          </cell>
          <cell r="C39">
            <v>0.31</v>
          </cell>
        </row>
        <row r="40">
          <cell r="A40" t="str">
            <v>Slovakia</v>
          </cell>
        </row>
        <row r="41">
          <cell r="A41" t="str">
            <v>Bangladesh</v>
          </cell>
          <cell r="B41">
            <v>0.42</v>
          </cell>
          <cell r="C41">
            <v>0.57999999999999996</v>
          </cell>
        </row>
        <row r="42">
          <cell r="A42" t="str">
            <v>Austria</v>
          </cell>
          <cell r="B42">
            <v>0.75</v>
          </cell>
          <cell r="C42">
            <v>0.25</v>
          </cell>
        </row>
        <row r="43">
          <cell r="A43" t="str">
            <v>Russia</v>
          </cell>
          <cell r="B43">
            <v>0.8</v>
          </cell>
          <cell r="C43">
            <v>0.2</v>
          </cell>
        </row>
        <row r="44">
          <cell r="A44" t="str">
            <v>Latvia</v>
          </cell>
        </row>
        <row r="45">
          <cell r="A45" t="str">
            <v>Belarus</v>
          </cell>
          <cell r="B45">
            <v>0.76</v>
          </cell>
          <cell r="C45">
            <v>0.24</v>
          </cell>
        </row>
        <row r="46">
          <cell r="A46" t="str">
            <v>Ghana</v>
          </cell>
        </row>
        <row r="47">
          <cell r="A47" t="str">
            <v>Romania</v>
          </cell>
          <cell r="B47">
            <v>0.77</v>
          </cell>
          <cell r="C47">
            <v>0.23</v>
          </cell>
        </row>
        <row r="48">
          <cell r="A48" t="str">
            <v>Myanmar (Burma)</v>
          </cell>
        </row>
        <row r="49">
          <cell r="A49" t="str">
            <v>Nigeria</v>
          </cell>
          <cell r="B49">
            <v>0.77</v>
          </cell>
          <cell r="C49">
            <v>0.23</v>
          </cell>
        </row>
        <row r="50">
          <cell r="A50" t="str">
            <v>Finland</v>
          </cell>
          <cell r="B50">
            <v>0.66</v>
          </cell>
          <cell r="C50">
            <v>0.34</v>
          </cell>
        </row>
        <row r="51">
          <cell r="A51" t="str">
            <v>Sweden</v>
          </cell>
          <cell r="B51">
            <v>0.7</v>
          </cell>
          <cell r="C51">
            <v>0.3</v>
          </cell>
        </row>
        <row r="52">
          <cell r="A52" t="str">
            <v>Philippines</v>
          </cell>
          <cell r="B52">
            <v>0.74</v>
          </cell>
          <cell r="C52">
            <v>0.26</v>
          </cell>
        </row>
        <row r="53">
          <cell r="A53" t="str">
            <v>Bosnia &amp; Herzegovina</v>
          </cell>
        </row>
        <row r="54">
          <cell r="A54" t="str">
            <v>Denmark</v>
          </cell>
          <cell r="B54">
            <v>0.62</v>
          </cell>
          <cell r="C54">
            <v>0.38</v>
          </cell>
        </row>
        <row r="55">
          <cell r="A55" t="str">
            <v>Croatia</v>
          </cell>
          <cell r="B55">
            <v>0.74</v>
          </cell>
          <cell r="C55">
            <v>0.26</v>
          </cell>
        </row>
        <row r="56">
          <cell r="A56" t="str">
            <v>Indonesia</v>
          </cell>
          <cell r="B56">
            <v>0.4</v>
          </cell>
          <cell r="C56">
            <v>0.6</v>
          </cell>
        </row>
        <row r="57">
          <cell r="A57" t="str">
            <v>Kenya</v>
          </cell>
          <cell r="B57">
            <v>0.59</v>
          </cell>
          <cell r="C57">
            <v>0.41</v>
          </cell>
        </row>
        <row r="58">
          <cell r="A58" t="str">
            <v>Portugal</v>
          </cell>
          <cell r="B58">
            <v>0.62</v>
          </cell>
          <cell r="C58">
            <v>0.38</v>
          </cell>
        </row>
        <row r="59">
          <cell r="A59" t="str">
            <v>Hungary</v>
          </cell>
          <cell r="B59">
            <v>0.78</v>
          </cell>
          <cell r="C59">
            <v>0.22</v>
          </cell>
        </row>
        <row r="60">
          <cell r="A60" t="str">
            <v>United Arab Emirates</v>
          </cell>
          <cell r="B60">
            <v>0.55000000000000004</v>
          </cell>
          <cell r="C60">
            <v>0.45</v>
          </cell>
        </row>
        <row r="61">
          <cell r="A61" t="str">
            <v>Ukraine</v>
          </cell>
          <cell r="B61">
            <v>0.77</v>
          </cell>
          <cell r="C61">
            <v>0.23</v>
          </cell>
        </row>
        <row r="62">
          <cell r="A62" t="str">
            <v>Belgium</v>
          </cell>
          <cell r="B62">
            <v>0.66</v>
          </cell>
          <cell r="C62">
            <v>0.34</v>
          </cell>
        </row>
        <row r="63">
          <cell r="A63" t="str">
            <v>Serbia</v>
          </cell>
        </row>
        <row r="64">
          <cell r="A64" t="str">
            <v>Netherlands</v>
          </cell>
          <cell r="B64">
            <v>0.63</v>
          </cell>
          <cell r="C64">
            <v>0.37</v>
          </cell>
        </row>
        <row r="65">
          <cell r="A65" t="str">
            <v>Greece</v>
          </cell>
          <cell r="B65">
            <v>0.49</v>
          </cell>
          <cell r="C65">
            <v>0.51</v>
          </cell>
        </row>
        <row r="66">
          <cell r="A66" t="str">
            <v>Mexico</v>
          </cell>
          <cell r="B66">
            <v>0.77</v>
          </cell>
          <cell r="C66">
            <v>0.23</v>
          </cell>
        </row>
        <row r="67">
          <cell r="A67" t="str">
            <v>Bulgaria</v>
          </cell>
        </row>
        <row r="68">
          <cell r="A68" t="str">
            <v>Jordan</v>
          </cell>
        </row>
        <row r="69">
          <cell r="A69" t="str">
            <v>Algeria</v>
          </cell>
        </row>
        <row r="70">
          <cell r="A70" t="str">
            <v>Lithuania</v>
          </cell>
        </row>
        <row r="71">
          <cell r="A71" t="str">
            <v>Kuwait</v>
          </cell>
        </row>
        <row r="72">
          <cell r="A72" t="str">
            <v>Bolivia</v>
          </cell>
          <cell r="B72">
            <v>0.63</v>
          </cell>
          <cell r="C72">
            <v>0.37</v>
          </cell>
        </row>
        <row r="73">
          <cell r="A73" t="str">
            <v>Italy</v>
          </cell>
          <cell r="B73">
            <v>0.73</v>
          </cell>
          <cell r="C73">
            <v>0.27</v>
          </cell>
        </row>
        <row r="74">
          <cell r="A74" t="str">
            <v>Tanzania</v>
          </cell>
        </row>
        <row r="75">
          <cell r="A75" t="str">
            <v>Lebanon</v>
          </cell>
        </row>
        <row r="76">
          <cell r="A76" t="str">
            <v>Kazakhstan</v>
          </cell>
        </row>
        <row r="77">
          <cell r="A77" t="str">
            <v>Japan</v>
          </cell>
          <cell r="B77">
            <v>0.55000000000000004</v>
          </cell>
          <cell r="C77">
            <v>0.45</v>
          </cell>
        </row>
        <row r="78">
          <cell r="A78" t="str">
            <v>Uzbekistan</v>
          </cell>
        </row>
        <row r="79">
          <cell r="A79" t="str">
            <v>Costa Rica</v>
          </cell>
        </row>
        <row r="80">
          <cell r="A80" t="str">
            <v>Egypt</v>
          </cell>
          <cell r="B80">
            <v>0.47</v>
          </cell>
          <cell r="C80">
            <v>0.53</v>
          </cell>
        </row>
        <row r="81">
          <cell r="A81" t="str">
            <v>Colombia</v>
          </cell>
          <cell r="B81">
            <v>0.7</v>
          </cell>
          <cell r="C81">
            <v>0.3</v>
          </cell>
        </row>
        <row r="82">
          <cell r="A82" t="str">
            <v>Turkey</v>
          </cell>
          <cell r="B82">
            <v>0.67</v>
          </cell>
          <cell r="C82">
            <v>0.33</v>
          </cell>
        </row>
        <row r="83">
          <cell r="A83" t="str">
            <v>Guatemala</v>
          </cell>
        </row>
        <row r="84">
          <cell r="A84" t="str">
            <v>Morocco</v>
          </cell>
          <cell r="B84">
            <v>0.47</v>
          </cell>
          <cell r="C84">
            <v>0.53</v>
          </cell>
        </row>
        <row r="85">
          <cell r="A85" t="str">
            <v>Poland</v>
          </cell>
          <cell r="B85">
            <v>0.68</v>
          </cell>
          <cell r="C85">
            <v>0.32</v>
          </cell>
        </row>
        <row r="86">
          <cell r="A86" t="str">
            <v>France</v>
          </cell>
          <cell r="B86">
            <v>0.43</v>
          </cell>
          <cell r="C86">
            <v>0.56999999999999995</v>
          </cell>
        </row>
        <row r="87">
          <cell r="A87" t="str">
            <v>Peru</v>
          </cell>
          <cell r="B87">
            <v>0.66</v>
          </cell>
          <cell r="C87">
            <v>0.34</v>
          </cell>
        </row>
        <row r="88">
          <cell r="A88" t="str">
            <v>Ecuador</v>
          </cell>
          <cell r="B88">
            <v>0.62</v>
          </cell>
          <cell r="C88">
            <v>0.38</v>
          </cell>
        </row>
        <row r="89">
          <cell r="A89" t="str">
            <v>Brazil</v>
          </cell>
          <cell r="B89">
            <v>0.68</v>
          </cell>
          <cell r="C89">
            <v>0.32</v>
          </cell>
        </row>
        <row r="90">
          <cell r="A90" t="str">
            <v>Vietnam</v>
          </cell>
          <cell r="B90">
            <v>0.47</v>
          </cell>
          <cell r="C90">
            <v>0.53</v>
          </cell>
        </row>
        <row r="91">
          <cell r="A91" t="str">
            <v>Georgia</v>
          </cell>
        </row>
        <row r="92">
          <cell r="A92" t="str">
            <v>Thailand</v>
          </cell>
          <cell r="B92">
            <v>0.61</v>
          </cell>
          <cell r="C92">
            <v>0.39</v>
          </cell>
        </row>
        <row r="93">
          <cell r="A93" t="str">
            <v>Chile</v>
          </cell>
          <cell r="B93">
            <v>0.35</v>
          </cell>
          <cell r="C93">
            <v>0.65</v>
          </cell>
        </row>
        <row r="94">
          <cell r="A94" t="str">
            <v>Spain</v>
          </cell>
          <cell r="B94">
            <v>0.49</v>
          </cell>
          <cell r="C94">
            <v>0.51</v>
          </cell>
        </row>
        <row r="95">
          <cell r="A95" t="str">
            <v>Saudi Arabia</v>
          </cell>
          <cell r="B95">
            <v>0.45</v>
          </cell>
          <cell r="C95">
            <v>0.55000000000000004</v>
          </cell>
        </row>
        <row r="96">
          <cell r="A96" t="str">
            <v>Argentina</v>
          </cell>
          <cell r="B96">
            <v>0.76</v>
          </cell>
          <cell r="C96">
            <v>0.24</v>
          </cell>
        </row>
        <row r="97">
          <cell r="A97" t="str">
            <v>El Salvador</v>
          </cell>
        </row>
        <row r="98">
          <cell r="A98" t="str">
            <v>Iraq</v>
          </cell>
        </row>
        <row r="99">
          <cell r="A99" t="str">
            <v>Venezuela</v>
          </cell>
          <cell r="B99">
            <v>1</v>
          </cell>
        </row>
        <row r="100">
          <cell r="A100" t="str">
            <v>Kiribati</v>
          </cell>
        </row>
        <row r="101">
          <cell r="A101" t="str">
            <v>Palau</v>
          </cell>
        </row>
        <row r="102">
          <cell r="A102" t="str">
            <v>Marshall Islands</v>
          </cell>
        </row>
        <row r="103">
          <cell r="A103" t="str">
            <v>Cook Islands</v>
          </cell>
        </row>
        <row r="104">
          <cell r="A104" t="str">
            <v>Samoa</v>
          </cell>
        </row>
        <row r="105">
          <cell r="A105" t="str">
            <v>Solomon Islands</v>
          </cell>
        </row>
        <row r="106">
          <cell r="A106" t="str">
            <v>Vanuatu</v>
          </cell>
        </row>
        <row r="107">
          <cell r="A107" t="str">
            <v>Tonga</v>
          </cell>
        </row>
        <row r="108">
          <cell r="A108" t="str">
            <v>Northern Mariana Islands</v>
          </cell>
        </row>
        <row r="109">
          <cell r="A109" t="str">
            <v>American Samoa</v>
          </cell>
        </row>
        <row r="110">
          <cell r="A110" t="str">
            <v>Caribbean Netherlands</v>
          </cell>
        </row>
        <row r="111">
          <cell r="A111" t="str">
            <v>Faroe Islands</v>
          </cell>
        </row>
        <row r="112">
          <cell r="A112" t="str">
            <v>Equatorial Guinea</v>
          </cell>
        </row>
        <row r="113">
          <cell r="A113" t="str">
            <v>Seychelles</v>
          </cell>
        </row>
        <row r="114">
          <cell r="A114" t="str">
            <v>Liechtenstein</v>
          </cell>
        </row>
        <row r="115">
          <cell r="A115" t="str">
            <v>Malta</v>
          </cell>
        </row>
        <row r="116">
          <cell r="A116" t="str">
            <v>Gambia</v>
          </cell>
        </row>
        <row r="117">
          <cell r="A117" t="str">
            <v>Bhutan</v>
          </cell>
        </row>
        <row r="118">
          <cell r="A118" t="str">
            <v>Turkmenistan</v>
          </cell>
        </row>
        <row r="119">
          <cell r="A119" t="str">
            <v>Isle of Man</v>
          </cell>
        </row>
        <row r="120">
          <cell r="A120" t="str">
            <v>Bermuda</v>
          </cell>
        </row>
        <row r="121">
          <cell r="A121" t="str">
            <v>Monaco</v>
          </cell>
        </row>
        <row r="122">
          <cell r="A122" t="str">
            <v>CuraÃ§ao</v>
          </cell>
        </row>
        <row r="123">
          <cell r="A123" t="str">
            <v>Liberia</v>
          </cell>
        </row>
        <row r="124">
          <cell r="A124" t="str">
            <v>Togo</v>
          </cell>
        </row>
        <row r="125">
          <cell r="A125" t="str">
            <v>Cayman Islands</v>
          </cell>
        </row>
        <row r="126">
          <cell r="A126" t="str">
            <v>South Sudan</v>
          </cell>
        </row>
        <row r="127">
          <cell r="A127" t="str">
            <v>Jersey</v>
          </cell>
        </row>
        <row r="128">
          <cell r="A128" t="str">
            <v>Brunei</v>
          </cell>
        </row>
        <row r="129">
          <cell r="A129" t="str">
            <v>Andorra</v>
          </cell>
        </row>
        <row r="130">
          <cell r="A130" t="str">
            <v>Belize</v>
          </cell>
        </row>
        <row r="131">
          <cell r="A131" t="str">
            <v>Rwanda</v>
          </cell>
        </row>
        <row r="132">
          <cell r="A132" t="str">
            <v>Congo - Brazzaville</v>
          </cell>
        </row>
        <row r="133">
          <cell r="A133" t="str">
            <v>Zimbabwe</v>
          </cell>
        </row>
        <row r="134">
          <cell r="A134" t="str">
            <v>Namibia</v>
          </cell>
        </row>
        <row r="135">
          <cell r="A135" t="str">
            <v>Papua New Guinea</v>
          </cell>
        </row>
        <row r="136">
          <cell r="A136" t="str">
            <v>French Guiana</v>
          </cell>
        </row>
        <row r="137">
          <cell r="A137" t="str">
            <v>Afghanistan</v>
          </cell>
        </row>
        <row r="138">
          <cell r="A138" t="str">
            <v>Somalia</v>
          </cell>
        </row>
        <row r="139">
          <cell r="A139" t="str">
            <v>French Polynesia</v>
          </cell>
        </row>
        <row r="140">
          <cell r="A140" t="str">
            <v>Angola</v>
          </cell>
        </row>
        <row r="141">
          <cell r="A141" t="str">
            <v>Trinidad &amp; Tobago</v>
          </cell>
        </row>
        <row r="142">
          <cell r="A142" t="str">
            <v>Barbados</v>
          </cell>
        </row>
        <row r="143">
          <cell r="A143" t="str">
            <v>Botswana</v>
          </cell>
        </row>
        <row r="144">
          <cell r="A144" t="str">
            <v>Bahrain</v>
          </cell>
        </row>
        <row r="145">
          <cell r="A145" t="str">
            <v>Tajikistan</v>
          </cell>
        </row>
        <row r="146">
          <cell r="A146" t="str">
            <v>Madagascar</v>
          </cell>
        </row>
        <row r="147">
          <cell r="A147" t="str">
            <v>Luxembourg</v>
          </cell>
        </row>
        <row r="148">
          <cell r="A148" t="str">
            <v>Oman</v>
          </cell>
        </row>
        <row r="149">
          <cell r="A149" t="str">
            <v>Malawi</v>
          </cell>
        </row>
        <row r="150">
          <cell r="A150" t="str">
            <v>Suriname</v>
          </cell>
        </row>
        <row r="151">
          <cell r="A151" t="str">
            <v>Albania</v>
          </cell>
        </row>
        <row r="152">
          <cell r="A152" t="str">
            <v>Nicaragua</v>
          </cell>
        </row>
        <row r="153">
          <cell r="A153" t="str">
            <v>Mongolia</v>
          </cell>
        </row>
        <row r="154">
          <cell r="A154" t="str">
            <v>Jamaica</v>
          </cell>
        </row>
        <row r="155">
          <cell r="A155" t="str">
            <v>North Macedonia</v>
          </cell>
        </row>
        <row r="156">
          <cell r="A156" t="str">
            <v>Kosovo</v>
          </cell>
        </row>
        <row r="157">
          <cell r="A157" t="str">
            <v>Moldova</v>
          </cell>
        </row>
        <row r="158">
          <cell r="A158" t="str">
            <v>Armenia</v>
          </cell>
        </row>
        <row r="159">
          <cell r="A159" t="str">
            <v>Montenegro</v>
          </cell>
        </row>
        <row r="160">
          <cell r="A160" t="str">
            <v>Kyrgyzstan</v>
          </cell>
        </row>
        <row r="161">
          <cell r="A161" t="str">
            <v>Mozambique</v>
          </cell>
        </row>
        <row r="162">
          <cell r="A162" t="str">
            <v>Uganda</v>
          </cell>
        </row>
        <row r="163">
          <cell r="A163" t="str">
            <v>Senegal</v>
          </cell>
        </row>
        <row r="164">
          <cell r="A164" t="str">
            <v>Palestine</v>
          </cell>
        </row>
        <row r="165">
          <cell r="A165" t="str">
            <v>Syria</v>
          </cell>
        </row>
        <row r="166">
          <cell r="A166" t="str">
            <v>Qatar</v>
          </cell>
        </row>
        <row r="167">
          <cell r="A167" t="str">
            <v>Cyprus</v>
          </cell>
        </row>
        <row r="168">
          <cell r="A168" t="str">
            <v>Sudan</v>
          </cell>
        </row>
        <row r="169">
          <cell r="A169" t="str">
            <v>Zambia</v>
          </cell>
        </row>
        <row r="170">
          <cell r="A170" t="str">
            <v>Honduras</v>
          </cell>
        </row>
        <row r="171">
          <cell r="A171" t="str">
            <v>Laos</v>
          </cell>
        </row>
        <row r="172">
          <cell r="A172" t="str">
            <v>Azerbaijan</v>
          </cell>
        </row>
        <row r="173">
          <cell r="A173" t="str">
            <v>Cameroon</v>
          </cell>
        </row>
        <row r="174">
          <cell r="A174" t="str">
            <v>Puerto Rico</v>
          </cell>
        </row>
        <row r="175">
          <cell r="A175" t="str">
            <v>Paraguay</v>
          </cell>
        </row>
        <row r="176">
          <cell r="A176" t="str">
            <v>Panama</v>
          </cell>
        </row>
        <row r="177">
          <cell r="A177" t="str">
            <v>Libya</v>
          </cell>
        </row>
        <row r="178">
          <cell r="A178" t="str">
            <v>Dominican Republic</v>
          </cell>
        </row>
        <row r="179">
          <cell r="A179" t="str">
            <v>Uruguay</v>
          </cell>
        </row>
        <row r="180">
          <cell r="A180" t="str">
            <v>RÃ©union</v>
          </cell>
        </row>
        <row r="181">
          <cell r="A181" t="str">
            <v>Yemen</v>
          </cell>
        </row>
        <row r="182">
          <cell r="A182" t="str">
            <v>Aruba</v>
          </cell>
        </row>
        <row r="183">
          <cell r="A183" t="str">
            <v>Anguilla</v>
          </cell>
        </row>
        <row r="184">
          <cell r="A184" t="str">
            <v>Ã…land Islands</v>
          </cell>
        </row>
        <row r="185">
          <cell r="A185" t="str">
            <v>Antarctica</v>
          </cell>
        </row>
        <row r="186">
          <cell r="A186" t="str">
            <v>French Southern Territories</v>
          </cell>
        </row>
        <row r="187">
          <cell r="A187" t="str">
            <v>Antigua &amp; Barbuda</v>
          </cell>
        </row>
        <row r="188">
          <cell r="A188" t="str">
            <v>Burundi</v>
          </cell>
        </row>
        <row r="189">
          <cell r="A189" t="str">
            <v>Benin</v>
          </cell>
        </row>
        <row r="190">
          <cell r="A190" t="str">
            <v>Burkina Faso</v>
          </cell>
        </row>
        <row r="191">
          <cell r="A191" t="str">
            <v>Bahamas</v>
          </cell>
        </row>
        <row r="192">
          <cell r="A192" t="str">
            <v>St. BarthÃ©lemy</v>
          </cell>
        </row>
        <row r="193">
          <cell r="A193" t="str">
            <v>Bouvet Island</v>
          </cell>
        </row>
        <row r="194">
          <cell r="A194" t="str">
            <v>Central African Republic</v>
          </cell>
        </row>
        <row r="195">
          <cell r="A195" t="str">
            <v>Cocos (Keeling) Islands</v>
          </cell>
        </row>
        <row r="196">
          <cell r="A196" t="str">
            <v>CÃ´te dâ€™Ivoire</v>
          </cell>
        </row>
        <row r="197">
          <cell r="A197" t="str">
            <v>Congo - Kinshasa</v>
          </cell>
        </row>
        <row r="198">
          <cell r="A198" t="str">
            <v>Comoros</v>
          </cell>
        </row>
        <row r="199">
          <cell r="A199" t="str">
            <v>Cape Verde</v>
          </cell>
        </row>
        <row r="200">
          <cell r="A200" t="str">
            <v>Cuba</v>
          </cell>
        </row>
        <row r="201">
          <cell r="A201" t="str">
            <v>Christmas Island</v>
          </cell>
        </row>
        <row r="202">
          <cell r="A202" t="str">
            <v>Djibouti</v>
          </cell>
        </row>
        <row r="203">
          <cell r="A203" t="str">
            <v>Dominica</v>
          </cell>
        </row>
        <row r="204">
          <cell r="A204" t="str">
            <v>Eritrea</v>
          </cell>
        </row>
        <row r="205">
          <cell r="A205" t="str">
            <v>Western Sahara</v>
          </cell>
        </row>
        <row r="206">
          <cell r="A206" t="str">
            <v>Falkland Islands (Islas Malvinas)</v>
          </cell>
        </row>
        <row r="207">
          <cell r="A207" t="str">
            <v>Gabon</v>
          </cell>
        </row>
        <row r="208">
          <cell r="A208" t="str">
            <v>Guernsey</v>
          </cell>
        </row>
        <row r="209">
          <cell r="A209" t="str">
            <v>Gibraltar</v>
          </cell>
        </row>
        <row r="210">
          <cell r="A210" t="str">
            <v>Guinea</v>
          </cell>
        </row>
        <row r="211">
          <cell r="A211" t="str">
            <v>Guadeloupe</v>
          </cell>
        </row>
        <row r="212">
          <cell r="A212" t="str">
            <v>Guinea-Bissau</v>
          </cell>
        </row>
        <row r="213">
          <cell r="A213" t="str">
            <v>Grenada</v>
          </cell>
        </row>
        <row r="214">
          <cell r="A214" t="str">
            <v>Greenland</v>
          </cell>
        </row>
        <row r="215">
          <cell r="A215" t="str">
            <v>Guyana</v>
          </cell>
        </row>
        <row r="216">
          <cell r="A216" t="str">
            <v>Heard &amp; McDonald Islands</v>
          </cell>
        </row>
        <row r="217">
          <cell r="A217" t="str">
            <v>Haiti</v>
          </cell>
        </row>
        <row r="218">
          <cell r="A218" t="str">
            <v>British Indian Ocean Territory</v>
          </cell>
        </row>
        <row r="219">
          <cell r="A219" t="str">
            <v>St. Kitts &amp; Nevis</v>
          </cell>
        </row>
        <row r="220">
          <cell r="A220" t="str">
            <v>St. Lucia</v>
          </cell>
        </row>
        <row r="221">
          <cell r="A221" t="str">
            <v>Lesotho</v>
          </cell>
        </row>
        <row r="222">
          <cell r="A222" t="str">
            <v>St. Martin</v>
          </cell>
        </row>
        <row r="223">
          <cell r="A223" t="str">
            <v>Mali</v>
          </cell>
        </row>
        <row r="224">
          <cell r="A224" t="str">
            <v>Mauritania</v>
          </cell>
        </row>
        <row r="225">
          <cell r="A225" t="str">
            <v>Montserrat</v>
          </cell>
        </row>
        <row r="226">
          <cell r="A226" t="str">
            <v>Martinique</v>
          </cell>
        </row>
        <row r="227">
          <cell r="A227" t="str">
            <v>Mayotte</v>
          </cell>
        </row>
        <row r="228">
          <cell r="A228" t="str">
            <v>New Caledonia</v>
          </cell>
        </row>
        <row r="229">
          <cell r="A229" t="str">
            <v>Niger</v>
          </cell>
        </row>
        <row r="230">
          <cell r="A230" t="str">
            <v>Norfolk Island</v>
          </cell>
        </row>
        <row r="231">
          <cell r="A231" t="str">
            <v>Niue</v>
          </cell>
        </row>
        <row r="232">
          <cell r="A232" t="str">
            <v>Nauru</v>
          </cell>
        </row>
        <row r="233">
          <cell r="A233" t="str">
            <v>Pitcairn Islands</v>
          </cell>
        </row>
        <row r="234">
          <cell r="A234" t="str">
            <v>North Korea</v>
          </cell>
        </row>
        <row r="235">
          <cell r="A235" t="str">
            <v>South Georgia &amp; South Sandwich Islands</v>
          </cell>
        </row>
        <row r="236">
          <cell r="A236" t="str">
            <v>Svalbard &amp; Jan Mayen</v>
          </cell>
        </row>
        <row r="237">
          <cell r="A237" t="str">
            <v>Sierra Leone</v>
          </cell>
        </row>
        <row r="238">
          <cell r="A238" t="str">
            <v>San Marino</v>
          </cell>
        </row>
        <row r="239">
          <cell r="A239" t="str">
            <v>St. Pierre &amp; Miquelon</v>
          </cell>
        </row>
        <row r="240">
          <cell r="A240" t="str">
            <v>SÃ£o TomÃ© &amp; PrÃ­ncipe</v>
          </cell>
        </row>
        <row r="241">
          <cell r="A241" t="str">
            <v>Eswatini</v>
          </cell>
        </row>
        <row r="242">
          <cell r="A242" t="str">
            <v>Sint Maarten</v>
          </cell>
        </row>
        <row r="243">
          <cell r="A243" t="str">
            <v>Turks &amp; Caicos Islands</v>
          </cell>
        </row>
        <row r="244">
          <cell r="A244" t="str">
            <v>Chad</v>
          </cell>
        </row>
        <row r="245">
          <cell r="A245" t="str">
            <v>Tokelau</v>
          </cell>
        </row>
        <row r="246">
          <cell r="A246" t="str">
            <v>Timor-Leste</v>
          </cell>
        </row>
        <row r="247">
          <cell r="A247" t="str">
            <v>Tuvalu</v>
          </cell>
        </row>
        <row r="248">
          <cell r="A248" t="str">
            <v>U.S. Outlying Islands</v>
          </cell>
        </row>
        <row r="249">
          <cell r="A249" t="str">
            <v>Vatican City</v>
          </cell>
        </row>
        <row r="250">
          <cell r="A250" t="str">
            <v>St. Vincent &amp; Grenadines</v>
          </cell>
        </row>
        <row r="251">
          <cell r="A251" t="str">
            <v>British Virgin Islands</v>
          </cell>
        </row>
        <row r="252">
          <cell r="A252" t="str">
            <v>U.S. Virgin Islands</v>
          </cell>
        </row>
        <row r="253">
          <cell r="A253" t="str">
            <v>Wallis &amp; Futuna</v>
          </cell>
        </row>
      </sheetData>
    </sheetDataSet>
  </externalBook>
</externalLink>
</file>

<file path=xl/externalLinks/externalLink2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25)"/>
    </sheetNames>
    <sheetDataSet>
      <sheetData sheetId="0">
        <row r="1">
          <cell r="A1" t="str">
            <v>Kategori: TÃ¼m kategoriler</v>
          </cell>
        </row>
        <row r="3">
          <cell r="A3" t="str">
            <v>Ãœlke</v>
          </cell>
          <cell r="B3" t="str">
            <v>K-means KÃ¼meleme YÃ¶ntemi: (2015)</v>
          </cell>
          <cell r="C3" t="str">
            <v>Semafor: (2015)</v>
          </cell>
        </row>
        <row r="4">
          <cell r="A4" t="str">
            <v>Cambodia</v>
          </cell>
          <cell r="B4">
            <v>1</v>
          </cell>
        </row>
        <row r="5">
          <cell r="A5" t="str">
            <v>China</v>
          </cell>
          <cell r="B5">
            <v>0.61</v>
          </cell>
          <cell r="C5">
            <v>0.39</v>
          </cell>
        </row>
        <row r="6">
          <cell r="A6" t="str">
            <v>Australia</v>
          </cell>
          <cell r="B6">
            <v>0.1</v>
          </cell>
          <cell r="C6">
            <v>0.9</v>
          </cell>
        </row>
        <row r="7">
          <cell r="A7" t="str">
            <v>South Korea</v>
          </cell>
          <cell r="B7">
            <v>0.45</v>
          </cell>
          <cell r="C7">
            <v>0.55000000000000004</v>
          </cell>
        </row>
        <row r="8">
          <cell r="A8" t="str">
            <v>India</v>
          </cell>
          <cell r="B8">
            <v>0.47</v>
          </cell>
          <cell r="C8">
            <v>0.53</v>
          </cell>
        </row>
        <row r="9">
          <cell r="A9" t="str">
            <v>France</v>
          </cell>
          <cell r="B9">
            <v>0.14000000000000001</v>
          </cell>
          <cell r="C9">
            <v>0.86</v>
          </cell>
        </row>
        <row r="10">
          <cell r="A10" t="str">
            <v>Botswana</v>
          </cell>
        </row>
        <row r="11">
          <cell r="A11" t="str">
            <v>St. Helena</v>
          </cell>
        </row>
        <row r="12">
          <cell r="A12" t="str">
            <v>Fiji</v>
          </cell>
        </row>
        <row r="13">
          <cell r="A13" t="str">
            <v>Israel</v>
          </cell>
          <cell r="B13">
            <v>0.35</v>
          </cell>
          <cell r="C13">
            <v>0.65</v>
          </cell>
        </row>
        <row r="14">
          <cell r="A14" t="str">
            <v>Slovakia</v>
          </cell>
        </row>
        <row r="15">
          <cell r="A15" t="str">
            <v>Tunisia</v>
          </cell>
          <cell r="B15">
            <v>0.46</v>
          </cell>
          <cell r="C15">
            <v>0.54</v>
          </cell>
        </row>
        <row r="16">
          <cell r="A16" t="str">
            <v>Ethiopia</v>
          </cell>
        </row>
        <row r="17">
          <cell r="A17" t="str">
            <v>Zimbabwe</v>
          </cell>
        </row>
        <row r="18">
          <cell r="A18" t="str">
            <v>Singapore</v>
          </cell>
          <cell r="B18">
            <v>0.56000000000000005</v>
          </cell>
          <cell r="C18">
            <v>0.44</v>
          </cell>
        </row>
        <row r="19">
          <cell r="A19" t="str">
            <v>Pakistan</v>
          </cell>
          <cell r="B19">
            <v>0.56999999999999995</v>
          </cell>
          <cell r="C19">
            <v>0.43</v>
          </cell>
        </row>
        <row r="20">
          <cell r="A20" t="str">
            <v>Belgium</v>
          </cell>
          <cell r="B20">
            <v>0.21</v>
          </cell>
          <cell r="C20">
            <v>0.79</v>
          </cell>
        </row>
        <row r="21">
          <cell r="A21" t="str">
            <v>Iran</v>
          </cell>
          <cell r="B21">
            <v>0.78</v>
          </cell>
          <cell r="C21">
            <v>0.22</v>
          </cell>
        </row>
        <row r="22">
          <cell r="A22" t="str">
            <v>Nepal</v>
          </cell>
        </row>
        <row r="23">
          <cell r="A23" t="str">
            <v>North Macedonia</v>
          </cell>
        </row>
        <row r="24">
          <cell r="A24" t="str">
            <v>Sri Lanka</v>
          </cell>
          <cell r="B24">
            <v>0.6</v>
          </cell>
          <cell r="C24">
            <v>0.4</v>
          </cell>
        </row>
        <row r="25">
          <cell r="A25" t="str">
            <v>Hong Kong</v>
          </cell>
          <cell r="B25">
            <v>0.53</v>
          </cell>
          <cell r="C25">
            <v>0.47</v>
          </cell>
        </row>
        <row r="26">
          <cell r="A26" t="str">
            <v>Taiwan</v>
          </cell>
          <cell r="B26">
            <v>0.5</v>
          </cell>
          <cell r="C26">
            <v>0.5</v>
          </cell>
        </row>
        <row r="27">
          <cell r="A27" t="str">
            <v>Bangladesh</v>
          </cell>
          <cell r="B27">
            <v>0.66</v>
          </cell>
          <cell r="C27">
            <v>0.34</v>
          </cell>
        </row>
        <row r="28">
          <cell r="A28" t="str">
            <v>Switzerland</v>
          </cell>
          <cell r="B28">
            <v>0.41</v>
          </cell>
          <cell r="C28">
            <v>0.59</v>
          </cell>
        </row>
        <row r="29">
          <cell r="A29" t="str">
            <v>New Zealand</v>
          </cell>
          <cell r="B29">
            <v>0.35</v>
          </cell>
          <cell r="C29">
            <v>0.65</v>
          </cell>
        </row>
        <row r="30">
          <cell r="A30" t="str">
            <v>Iceland</v>
          </cell>
        </row>
        <row r="31">
          <cell r="A31" t="str">
            <v>Senegal</v>
          </cell>
        </row>
        <row r="32">
          <cell r="A32" t="str">
            <v>Ireland</v>
          </cell>
          <cell r="B32">
            <v>0.45</v>
          </cell>
          <cell r="C32">
            <v>0.55000000000000004</v>
          </cell>
        </row>
        <row r="33">
          <cell r="A33" t="str">
            <v>United States</v>
          </cell>
          <cell r="B33">
            <v>0.47</v>
          </cell>
          <cell r="C33">
            <v>0.53</v>
          </cell>
        </row>
        <row r="34">
          <cell r="A34" t="str">
            <v>Canada</v>
          </cell>
          <cell r="B34">
            <v>0.4</v>
          </cell>
          <cell r="C34">
            <v>0.6</v>
          </cell>
        </row>
        <row r="35">
          <cell r="A35" t="str">
            <v>Lebanon</v>
          </cell>
        </row>
        <row r="36">
          <cell r="A36" t="str">
            <v>United Kingdom</v>
          </cell>
          <cell r="B36">
            <v>0.35</v>
          </cell>
          <cell r="C36">
            <v>0.65</v>
          </cell>
        </row>
        <row r="37">
          <cell r="A37" t="str">
            <v>Myanmar (Burma)</v>
          </cell>
        </row>
        <row r="38">
          <cell r="A38" t="str">
            <v>Austria</v>
          </cell>
          <cell r="B38">
            <v>0.28999999999999998</v>
          </cell>
          <cell r="C38">
            <v>0.71</v>
          </cell>
        </row>
        <row r="39">
          <cell r="A39" t="str">
            <v>Japan</v>
          </cell>
          <cell r="B39">
            <v>0.33</v>
          </cell>
          <cell r="C39">
            <v>0.67</v>
          </cell>
        </row>
        <row r="40">
          <cell r="A40" t="str">
            <v>Hungary</v>
          </cell>
          <cell r="B40">
            <v>0.2</v>
          </cell>
          <cell r="C40">
            <v>0.8</v>
          </cell>
        </row>
        <row r="41">
          <cell r="A41" t="str">
            <v>Estonia</v>
          </cell>
        </row>
        <row r="42">
          <cell r="A42" t="str">
            <v>Germany</v>
          </cell>
          <cell r="B42">
            <v>0.34</v>
          </cell>
          <cell r="C42">
            <v>0.66</v>
          </cell>
        </row>
        <row r="43">
          <cell r="A43" t="str">
            <v>Indonesia</v>
          </cell>
          <cell r="B43">
            <v>0.62</v>
          </cell>
          <cell r="C43">
            <v>0.38</v>
          </cell>
        </row>
        <row r="44">
          <cell r="A44" t="str">
            <v>Serbia</v>
          </cell>
        </row>
        <row r="45">
          <cell r="A45" t="str">
            <v>Kenya</v>
          </cell>
          <cell r="B45">
            <v>0.41</v>
          </cell>
          <cell r="C45">
            <v>0.59</v>
          </cell>
        </row>
        <row r="46">
          <cell r="A46" t="str">
            <v>Sweden</v>
          </cell>
          <cell r="B46">
            <v>0.33</v>
          </cell>
          <cell r="C46">
            <v>0.67</v>
          </cell>
        </row>
        <row r="47">
          <cell r="A47" t="str">
            <v>Belarus</v>
          </cell>
          <cell r="B47">
            <v>0.28999999999999998</v>
          </cell>
          <cell r="C47">
            <v>0.71</v>
          </cell>
        </row>
        <row r="48">
          <cell r="A48" t="str">
            <v>Philippines</v>
          </cell>
          <cell r="B48">
            <v>0.28000000000000003</v>
          </cell>
          <cell r="C48">
            <v>0.72</v>
          </cell>
        </row>
        <row r="49">
          <cell r="A49" t="str">
            <v>Czechia</v>
          </cell>
          <cell r="B49">
            <v>0.42</v>
          </cell>
          <cell r="C49">
            <v>0.57999999999999996</v>
          </cell>
        </row>
        <row r="50">
          <cell r="A50" t="str">
            <v>Denmark</v>
          </cell>
          <cell r="B50">
            <v>0.41</v>
          </cell>
          <cell r="C50">
            <v>0.59</v>
          </cell>
        </row>
        <row r="51">
          <cell r="A51" t="str">
            <v>Cameroon</v>
          </cell>
        </row>
        <row r="52">
          <cell r="A52" t="str">
            <v>Portugal</v>
          </cell>
          <cell r="B52">
            <v>0.4</v>
          </cell>
          <cell r="C52">
            <v>0.6</v>
          </cell>
        </row>
        <row r="53">
          <cell r="A53" t="str">
            <v>Algeria</v>
          </cell>
          <cell r="B53">
            <v>0.47</v>
          </cell>
          <cell r="C53">
            <v>0.53</v>
          </cell>
        </row>
        <row r="54">
          <cell r="A54" t="str">
            <v>Greece</v>
          </cell>
          <cell r="B54">
            <v>0.57999999999999996</v>
          </cell>
          <cell r="C54">
            <v>0.42</v>
          </cell>
        </row>
        <row r="55">
          <cell r="A55" t="str">
            <v>Cyprus</v>
          </cell>
        </row>
        <row r="56">
          <cell r="A56" t="str">
            <v>Moldova</v>
          </cell>
        </row>
        <row r="57">
          <cell r="A57" t="str">
            <v>United Arab Emirates</v>
          </cell>
          <cell r="B57">
            <v>0.56999999999999995</v>
          </cell>
          <cell r="C57">
            <v>0.43</v>
          </cell>
        </row>
        <row r="58">
          <cell r="A58" t="str">
            <v>Jordan</v>
          </cell>
        </row>
        <row r="59">
          <cell r="A59" t="str">
            <v>Romania</v>
          </cell>
          <cell r="B59">
            <v>0.32</v>
          </cell>
          <cell r="C59">
            <v>0.68</v>
          </cell>
        </row>
        <row r="60">
          <cell r="A60" t="str">
            <v>Tanzania</v>
          </cell>
        </row>
        <row r="61">
          <cell r="A61" t="str">
            <v>Norway</v>
          </cell>
          <cell r="B61">
            <v>0.36</v>
          </cell>
          <cell r="C61">
            <v>0.64</v>
          </cell>
        </row>
        <row r="62">
          <cell r="A62" t="str">
            <v>Ukraine</v>
          </cell>
          <cell r="B62">
            <v>0.28000000000000003</v>
          </cell>
          <cell r="C62">
            <v>0.72</v>
          </cell>
        </row>
        <row r="63">
          <cell r="A63" t="str">
            <v>Finland</v>
          </cell>
          <cell r="B63">
            <v>0.44</v>
          </cell>
          <cell r="C63">
            <v>0.56000000000000005</v>
          </cell>
        </row>
        <row r="64">
          <cell r="A64" t="str">
            <v>Sudan</v>
          </cell>
        </row>
        <row r="65">
          <cell r="A65" t="str">
            <v>Qatar</v>
          </cell>
        </row>
        <row r="66">
          <cell r="A66" t="str">
            <v>Russia</v>
          </cell>
          <cell r="B66">
            <v>0.33</v>
          </cell>
          <cell r="C66">
            <v>0.67</v>
          </cell>
        </row>
        <row r="67">
          <cell r="A67" t="str">
            <v>Costa Rica</v>
          </cell>
        </row>
        <row r="68">
          <cell r="A68" t="str">
            <v>Morocco</v>
          </cell>
          <cell r="B68">
            <v>0.45</v>
          </cell>
          <cell r="C68">
            <v>0.55000000000000004</v>
          </cell>
        </row>
        <row r="69">
          <cell r="A69" t="str">
            <v>South Africa</v>
          </cell>
          <cell r="B69">
            <v>0.38</v>
          </cell>
          <cell r="C69">
            <v>0.62</v>
          </cell>
        </row>
        <row r="70">
          <cell r="A70" t="str">
            <v>Malaysia</v>
          </cell>
          <cell r="B70">
            <v>0.56999999999999995</v>
          </cell>
          <cell r="C70">
            <v>0.43</v>
          </cell>
        </row>
        <row r="71">
          <cell r="A71" t="str">
            <v>Poland</v>
          </cell>
          <cell r="B71">
            <v>0.28000000000000003</v>
          </cell>
          <cell r="C71">
            <v>0.72</v>
          </cell>
        </row>
        <row r="72">
          <cell r="A72" t="str">
            <v>Oman</v>
          </cell>
        </row>
        <row r="73">
          <cell r="A73" t="str">
            <v>Egypt</v>
          </cell>
          <cell r="B73">
            <v>0.55000000000000004</v>
          </cell>
          <cell r="C73">
            <v>0.45</v>
          </cell>
        </row>
        <row r="74">
          <cell r="A74" t="str">
            <v>Netherlands</v>
          </cell>
          <cell r="B74">
            <v>0.47</v>
          </cell>
          <cell r="C74">
            <v>0.53</v>
          </cell>
        </row>
        <row r="75">
          <cell r="A75" t="str">
            <v>Bolivia</v>
          </cell>
          <cell r="B75">
            <v>0.45</v>
          </cell>
          <cell r="C75">
            <v>0.55000000000000004</v>
          </cell>
        </row>
        <row r="76">
          <cell r="A76" t="str">
            <v>Slovenia</v>
          </cell>
        </row>
        <row r="77">
          <cell r="A77" t="str">
            <v>Lithuania</v>
          </cell>
        </row>
        <row r="78">
          <cell r="A78" t="str">
            <v>Italy</v>
          </cell>
          <cell r="B78">
            <v>0.36</v>
          </cell>
          <cell r="C78">
            <v>0.64</v>
          </cell>
        </row>
        <row r="79">
          <cell r="A79" t="str">
            <v>Nigeria</v>
          </cell>
        </row>
        <row r="80">
          <cell r="A80" t="str">
            <v>Vietnam</v>
          </cell>
          <cell r="B80">
            <v>0.61</v>
          </cell>
          <cell r="C80">
            <v>0.39</v>
          </cell>
        </row>
        <row r="81">
          <cell r="A81" t="str">
            <v>Bosnia &amp; Herzegovina</v>
          </cell>
        </row>
        <row r="82">
          <cell r="A82" t="str">
            <v>Uruguay</v>
          </cell>
        </row>
        <row r="83">
          <cell r="A83" t="str">
            <v>Bulgaria</v>
          </cell>
        </row>
        <row r="84">
          <cell r="A84" t="str">
            <v>Spain</v>
          </cell>
          <cell r="B84">
            <v>0.49</v>
          </cell>
          <cell r="C84">
            <v>0.51</v>
          </cell>
        </row>
        <row r="85">
          <cell r="A85" t="str">
            <v>Chile</v>
          </cell>
          <cell r="B85">
            <v>0.71</v>
          </cell>
          <cell r="C85">
            <v>0.28999999999999998</v>
          </cell>
        </row>
        <row r="86">
          <cell r="A86" t="str">
            <v>Saudi Arabia</v>
          </cell>
          <cell r="B86">
            <v>0.62</v>
          </cell>
          <cell r="C86">
            <v>0.38</v>
          </cell>
        </row>
        <row r="87">
          <cell r="A87" t="str">
            <v>Croatia</v>
          </cell>
        </row>
        <row r="88">
          <cell r="A88" t="str">
            <v>Kazakhstan</v>
          </cell>
        </row>
        <row r="89">
          <cell r="A89" t="str">
            <v>Guatemala</v>
          </cell>
        </row>
        <row r="90">
          <cell r="A90" t="str">
            <v>Ecuador</v>
          </cell>
          <cell r="B90">
            <v>1</v>
          </cell>
        </row>
        <row r="91">
          <cell r="A91" t="str">
            <v>Iraq</v>
          </cell>
        </row>
        <row r="92">
          <cell r="A92" t="str">
            <v>Argentina</v>
          </cell>
          <cell r="B92">
            <v>0.28999999999999998</v>
          </cell>
          <cell r="C92">
            <v>0.71</v>
          </cell>
        </row>
        <row r="93">
          <cell r="A93" t="str">
            <v>Turkey</v>
          </cell>
          <cell r="B93">
            <v>0.56000000000000005</v>
          </cell>
          <cell r="C93">
            <v>0.44</v>
          </cell>
        </row>
        <row r="94">
          <cell r="A94" t="str">
            <v>Thailand</v>
          </cell>
          <cell r="B94">
            <v>0.68</v>
          </cell>
          <cell r="C94">
            <v>0.32</v>
          </cell>
        </row>
        <row r="95">
          <cell r="A95" t="str">
            <v>Mexico</v>
          </cell>
          <cell r="B95">
            <v>0.49</v>
          </cell>
          <cell r="C95">
            <v>0.51</v>
          </cell>
        </row>
        <row r="96">
          <cell r="A96" t="str">
            <v>Peru</v>
          </cell>
        </row>
        <row r="97">
          <cell r="A97" t="str">
            <v>Colombia</v>
          </cell>
          <cell r="B97">
            <v>0.54</v>
          </cell>
          <cell r="C97">
            <v>0.46</v>
          </cell>
        </row>
        <row r="98">
          <cell r="A98" t="str">
            <v>Brazil</v>
          </cell>
          <cell r="B98">
            <v>0.57999999999999996</v>
          </cell>
          <cell r="C98">
            <v>0.42</v>
          </cell>
        </row>
        <row r="99">
          <cell r="A99" t="str">
            <v>Venezuela</v>
          </cell>
        </row>
        <row r="100">
          <cell r="A100" t="str">
            <v>Samoa</v>
          </cell>
        </row>
        <row r="101">
          <cell r="A101" t="str">
            <v>Greenland</v>
          </cell>
        </row>
        <row r="102">
          <cell r="A102" t="str">
            <v>Cuba</v>
          </cell>
        </row>
        <row r="103">
          <cell r="A103" t="str">
            <v>Faroe Islands</v>
          </cell>
        </row>
        <row r="104">
          <cell r="A104" t="str">
            <v>Liechtenstein</v>
          </cell>
        </row>
        <row r="105">
          <cell r="A105" t="str">
            <v>St. Lucia</v>
          </cell>
        </row>
        <row r="106">
          <cell r="A106" t="str">
            <v>Belize</v>
          </cell>
        </row>
        <row r="107">
          <cell r="A107" t="str">
            <v>Djibouti</v>
          </cell>
        </row>
        <row r="108">
          <cell r="A108" t="str">
            <v>Malawi</v>
          </cell>
        </row>
        <row r="109">
          <cell r="A109" t="str">
            <v>Papua New Guinea</v>
          </cell>
        </row>
        <row r="110">
          <cell r="A110" t="str">
            <v>Bahamas</v>
          </cell>
        </row>
        <row r="111">
          <cell r="A111" t="str">
            <v>Guyana</v>
          </cell>
        </row>
        <row r="112">
          <cell r="A112" t="str">
            <v>Laos</v>
          </cell>
        </row>
        <row r="113">
          <cell r="A113" t="str">
            <v>Jersey</v>
          </cell>
        </row>
        <row r="114">
          <cell r="A114" t="str">
            <v>Guam</v>
          </cell>
        </row>
        <row r="115">
          <cell r="A115" t="str">
            <v>New Caledonia</v>
          </cell>
        </row>
        <row r="116">
          <cell r="A116" t="str">
            <v>Afghanistan</v>
          </cell>
        </row>
        <row r="117">
          <cell r="A117" t="str">
            <v>Barbados</v>
          </cell>
        </row>
        <row r="118">
          <cell r="A118" t="str">
            <v>Maldives</v>
          </cell>
        </row>
        <row r="119">
          <cell r="A119" t="str">
            <v>Suriname</v>
          </cell>
        </row>
        <row r="120">
          <cell r="A120" t="str">
            <v>Rwanda</v>
          </cell>
        </row>
        <row r="121">
          <cell r="A121" t="str">
            <v>Syria</v>
          </cell>
        </row>
        <row r="122">
          <cell r="A122" t="str">
            <v>Macao</v>
          </cell>
        </row>
        <row r="123">
          <cell r="A123" t="str">
            <v>Trinidad &amp; Tobago</v>
          </cell>
        </row>
        <row r="124">
          <cell r="A124" t="str">
            <v>Ghana</v>
          </cell>
        </row>
        <row r="125">
          <cell r="A125" t="str">
            <v>Uganda</v>
          </cell>
        </row>
        <row r="126">
          <cell r="A126" t="str">
            <v>Guadeloupe</v>
          </cell>
        </row>
        <row r="127">
          <cell r="A127" t="str">
            <v>Malta</v>
          </cell>
        </row>
        <row r="128">
          <cell r="A128" t="str">
            <v>Palestine</v>
          </cell>
        </row>
        <row r="129">
          <cell r="A129" t="str">
            <v>Madagascar</v>
          </cell>
        </row>
        <row r="130">
          <cell r="A130" t="str">
            <v>Brunei</v>
          </cell>
        </row>
        <row r="131">
          <cell r="A131" t="str">
            <v>Martinique</v>
          </cell>
        </row>
        <row r="132">
          <cell r="A132" t="str">
            <v>Zambia</v>
          </cell>
        </row>
        <row r="133">
          <cell r="A133" t="str">
            <v>Congo - Kinshasa</v>
          </cell>
        </row>
        <row r="134">
          <cell r="A134" t="str">
            <v>Mauritius</v>
          </cell>
        </row>
        <row r="135">
          <cell r="A135" t="str">
            <v>Jamaica</v>
          </cell>
        </row>
        <row r="136">
          <cell r="A136" t="str">
            <v>Armenia</v>
          </cell>
        </row>
        <row r="137">
          <cell r="A137" t="str">
            <v>Uzbekistan</v>
          </cell>
        </row>
        <row r="138">
          <cell r="A138" t="str">
            <v>RÃ©union</v>
          </cell>
        </row>
        <row r="139">
          <cell r="A139" t="str">
            <v>Latvia</v>
          </cell>
        </row>
        <row r="140">
          <cell r="A140" t="str">
            <v>Albania</v>
          </cell>
        </row>
        <row r="141">
          <cell r="A141" t="str">
            <v>Kuwait</v>
          </cell>
        </row>
        <row r="142">
          <cell r="A142" t="str">
            <v>Mongolia</v>
          </cell>
        </row>
        <row r="143">
          <cell r="A143" t="str">
            <v>Luxembourg</v>
          </cell>
        </row>
        <row r="144">
          <cell r="A144" t="str">
            <v>Mozambique</v>
          </cell>
        </row>
        <row r="145">
          <cell r="A145" t="str">
            <v>Puerto Rico</v>
          </cell>
        </row>
        <row r="146">
          <cell r="A146" t="str">
            <v>Bahrain</v>
          </cell>
        </row>
        <row r="147">
          <cell r="A147" t="str">
            <v>El Salvador</v>
          </cell>
        </row>
        <row r="148">
          <cell r="A148" t="str">
            <v>Libya</v>
          </cell>
        </row>
        <row r="149">
          <cell r="A149" t="str">
            <v>Kosovo</v>
          </cell>
        </row>
        <row r="150">
          <cell r="A150" t="str">
            <v>Kyrgyzstan</v>
          </cell>
        </row>
        <row r="151">
          <cell r="A151" t="str">
            <v>Azerbaijan</v>
          </cell>
        </row>
        <row r="152">
          <cell r="A152" t="str">
            <v>Honduras</v>
          </cell>
        </row>
        <row r="153">
          <cell r="A153" t="str">
            <v>Nicaragua</v>
          </cell>
        </row>
        <row r="154">
          <cell r="A154" t="str">
            <v>Yemen</v>
          </cell>
        </row>
        <row r="155">
          <cell r="A155" t="str">
            <v>Georgia</v>
          </cell>
        </row>
        <row r="156">
          <cell r="A156" t="str">
            <v>Paraguay</v>
          </cell>
        </row>
        <row r="157">
          <cell r="A157" t="str">
            <v>Dominican Republic</v>
          </cell>
        </row>
        <row r="158">
          <cell r="A158" t="str">
            <v>Panama</v>
          </cell>
        </row>
        <row r="159">
          <cell r="A159" t="str">
            <v>Aruba</v>
          </cell>
        </row>
        <row r="160">
          <cell r="A160" t="str">
            <v>Angola</v>
          </cell>
        </row>
        <row r="161">
          <cell r="A161" t="str">
            <v>Anguilla</v>
          </cell>
        </row>
        <row r="162">
          <cell r="A162" t="str">
            <v>Ã…land Islands</v>
          </cell>
        </row>
        <row r="163">
          <cell r="A163" t="str">
            <v>Andorra</v>
          </cell>
        </row>
        <row r="164">
          <cell r="A164" t="str">
            <v>American Samoa</v>
          </cell>
        </row>
        <row r="165">
          <cell r="A165" t="str">
            <v>Antarctica</v>
          </cell>
        </row>
        <row r="166">
          <cell r="A166" t="str">
            <v>French Southern Territories</v>
          </cell>
        </row>
        <row r="167">
          <cell r="A167" t="str">
            <v>Antigua &amp; Barbuda</v>
          </cell>
        </row>
        <row r="168">
          <cell r="A168" t="str">
            <v>Burundi</v>
          </cell>
        </row>
        <row r="169">
          <cell r="A169" t="str">
            <v>Benin</v>
          </cell>
        </row>
        <row r="170">
          <cell r="A170" t="str">
            <v>Caribbean Netherlands</v>
          </cell>
        </row>
        <row r="171">
          <cell r="A171" t="str">
            <v>Burkina Faso</v>
          </cell>
        </row>
        <row r="172">
          <cell r="A172" t="str">
            <v>St. BarthÃ©lemy</v>
          </cell>
        </row>
        <row r="173">
          <cell r="A173" t="str">
            <v>Bermuda</v>
          </cell>
        </row>
        <row r="174">
          <cell r="A174" t="str">
            <v>Bhutan</v>
          </cell>
        </row>
        <row r="175">
          <cell r="A175" t="str">
            <v>Bouvet Island</v>
          </cell>
        </row>
        <row r="176">
          <cell r="A176" t="str">
            <v>Central African Republic</v>
          </cell>
        </row>
        <row r="177">
          <cell r="A177" t="str">
            <v>Cocos (Keeling) Islands</v>
          </cell>
        </row>
        <row r="178">
          <cell r="A178" t="str">
            <v>CÃ´te dâ€™Ivoire</v>
          </cell>
        </row>
        <row r="179">
          <cell r="A179" t="str">
            <v>Congo - Brazzaville</v>
          </cell>
        </row>
        <row r="180">
          <cell r="A180" t="str">
            <v>Cook Islands</v>
          </cell>
        </row>
        <row r="181">
          <cell r="A181" t="str">
            <v>Comoros</v>
          </cell>
        </row>
        <row r="182">
          <cell r="A182" t="str">
            <v>Cape Verde</v>
          </cell>
        </row>
        <row r="183">
          <cell r="A183" t="str">
            <v>CuraÃ§ao</v>
          </cell>
        </row>
        <row r="184">
          <cell r="A184" t="str">
            <v>Christmas Island</v>
          </cell>
        </row>
        <row r="185">
          <cell r="A185" t="str">
            <v>Cayman Islands</v>
          </cell>
        </row>
        <row r="186">
          <cell r="A186" t="str">
            <v>Dominica</v>
          </cell>
        </row>
        <row r="187">
          <cell r="A187" t="str">
            <v>Eritrea</v>
          </cell>
        </row>
        <row r="188">
          <cell r="A188" t="str">
            <v>Western Sahara</v>
          </cell>
        </row>
        <row r="189">
          <cell r="A189" t="str">
            <v>Falkland Islands (Islas Malvinas)</v>
          </cell>
        </row>
        <row r="190">
          <cell r="A190" t="str">
            <v>Micronesia</v>
          </cell>
        </row>
        <row r="191">
          <cell r="A191" t="str">
            <v>Gabon</v>
          </cell>
        </row>
        <row r="192">
          <cell r="A192" t="str">
            <v>Guernsey</v>
          </cell>
        </row>
        <row r="193">
          <cell r="A193" t="str">
            <v>Gibraltar</v>
          </cell>
        </row>
        <row r="194">
          <cell r="A194" t="str">
            <v>Guinea</v>
          </cell>
        </row>
        <row r="195">
          <cell r="A195" t="str">
            <v>Gambia</v>
          </cell>
        </row>
        <row r="196">
          <cell r="A196" t="str">
            <v>Guinea-Bissau</v>
          </cell>
        </row>
        <row r="197">
          <cell r="A197" t="str">
            <v>Equatorial Guinea</v>
          </cell>
        </row>
        <row r="198">
          <cell r="A198" t="str">
            <v>Grenada</v>
          </cell>
        </row>
        <row r="199">
          <cell r="A199" t="str">
            <v>French Guiana</v>
          </cell>
        </row>
        <row r="200">
          <cell r="A200" t="str">
            <v>Heard &amp; McDonald Islands</v>
          </cell>
        </row>
        <row r="201">
          <cell r="A201" t="str">
            <v>Haiti</v>
          </cell>
        </row>
        <row r="202">
          <cell r="A202" t="str">
            <v>Isle of Man</v>
          </cell>
        </row>
        <row r="203">
          <cell r="A203" t="str">
            <v>British Indian Ocean Territory</v>
          </cell>
        </row>
        <row r="204">
          <cell r="A204" t="str">
            <v>Kiribati</v>
          </cell>
        </row>
        <row r="205">
          <cell r="A205" t="str">
            <v>St. Kitts &amp; Nevis</v>
          </cell>
        </row>
        <row r="206">
          <cell r="A206" t="str">
            <v>Liberia</v>
          </cell>
        </row>
        <row r="207">
          <cell r="A207" t="str">
            <v>Lesotho</v>
          </cell>
        </row>
        <row r="208">
          <cell r="A208" t="str">
            <v>St. Martin</v>
          </cell>
        </row>
        <row r="209">
          <cell r="A209" t="str">
            <v>Monaco</v>
          </cell>
        </row>
        <row r="210">
          <cell r="A210" t="str">
            <v>Marshall Islands</v>
          </cell>
        </row>
        <row r="211">
          <cell r="A211" t="str">
            <v>Mali</v>
          </cell>
        </row>
        <row r="212">
          <cell r="A212" t="str">
            <v>Montenegro</v>
          </cell>
        </row>
        <row r="213">
          <cell r="A213" t="str">
            <v>Northern Mariana Islands</v>
          </cell>
        </row>
        <row r="214">
          <cell r="A214" t="str">
            <v>Mauritania</v>
          </cell>
        </row>
        <row r="215">
          <cell r="A215" t="str">
            <v>Montserrat</v>
          </cell>
        </row>
        <row r="216">
          <cell r="A216" t="str">
            <v>Mayotte</v>
          </cell>
        </row>
        <row r="217">
          <cell r="A217" t="str">
            <v>Namibia</v>
          </cell>
        </row>
        <row r="218">
          <cell r="A218" t="str">
            <v>Niger</v>
          </cell>
        </row>
        <row r="219">
          <cell r="A219" t="str">
            <v>Norfolk Island</v>
          </cell>
        </row>
        <row r="220">
          <cell r="A220" t="str">
            <v>Niue</v>
          </cell>
        </row>
        <row r="221">
          <cell r="A221" t="str">
            <v>Nauru</v>
          </cell>
        </row>
        <row r="222">
          <cell r="A222" t="str">
            <v>Pitcairn Islands</v>
          </cell>
        </row>
        <row r="223">
          <cell r="A223" t="str">
            <v>Palau</v>
          </cell>
        </row>
        <row r="224">
          <cell r="A224" t="str">
            <v>North Korea</v>
          </cell>
        </row>
        <row r="225">
          <cell r="A225" t="str">
            <v>French Polynesia</v>
          </cell>
        </row>
        <row r="226">
          <cell r="A226" t="str">
            <v>South Georgia &amp; South Sandwich Islands</v>
          </cell>
        </row>
        <row r="227">
          <cell r="A227" t="str">
            <v>Svalbard &amp; Jan Mayen</v>
          </cell>
        </row>
        <row r="228">
          <cell r="A228" t="str">
            <v>Solomon Islands</v>
          </cell>
        </row>
        <row r="229">
          <cell r="A229" t="str">
            <v>Sierra Leone</v>
          </cell>
        </row>
        <row r="230">
          <cell r="A230" t="str">
            <v>San Marino</v>
          </cell>
        </row>
        <row r="231">
          <cell r="A231" t="str">
            <v>Somalia</v>
          </cell>
        </row>
        <row r="232">
          <cell r="A232" t="str">
            <v>St. Pierre &amp; Miquelon</v>
          </cell>
        </row>
        <row r="233">
          <cell r="A233" t="str">
            <v>South Sudan</v>
          </cell>
        </row>
        <row r="234">
          <cell r="A234" t="str">
            <v>SÃ£o TomÃ© &amp; PrÃ­ncipe</v>
          </cell>
        </row>
        <row r="235">
          <cell r="A235" t="str">
            <v>Eswatini</v>
          </cell>
        </row>
        <row r="236">
          <cell r="A236" t="str">
            <v>Sint Maarten</v>
          </cell>
        </row>
        <row r="237">
          <cell r="A237" t="str">
            <v>Seychelles</v>
          </cell>
        </row>
        <row r="238">
          <cell r="A238" t="str">
            <v>Turks &amp; Caicos Islands</v>
          </cell>
        </row>
        <row r="239">
          <cell r="A239" t="str">
            <v>Chad</v>
          </cell>
        </row>
        <row r="240">
          <cell r="A240" t="str">
            <v>Togo</v>
          </cell>
        </row>
        <row r="241">
          <cell r="A241" t="str">
            <v>Tajikistan</v>
          </cell>
        </row>
        <row r="242">
          <cell r="A242" t="str">
            <v>Tokelau</v>
          </cell>
        </row>
        <row r="243">
          <cell r="A243" t="str">
            <v>Turkmenistan</v>
          </cell>
        </row>
        <row r="244">
          <cell r="A244" t="str">
            <v>Timor-Leste</v>
          </cell>
        </row>
        <row r="245">
          <cell r="A245" t="str">
            <v>Tonga</v>
          </cell>
        </row>
        <row r="246">
          <cell r="A246" t="str">
            <v>Tuvalu</v>
          </cell>
        </row>
        <row r="247">
          <cell r="A247" t="str">
            <v>U.S. Outlying Islands</v>
          </cell>
        </row>
        <row r="248">
          <cell r="A248" t="str">
            <v>Vatican City</v>
          </cell>
        </row>
        <row r="249">
          <cell r="A249" t="str">
            <v>St. Vincent &amp; Grenadines</v>
          </cell>
        </row>
        <row r="250">
          <cell r="A250" t="str">
            <v>British Virgin Islands</v>
          </cell>
        </row>
        <row r="251">
          <cell r="A251" t="str">
            <v>U.S. Virgin Islands</v>
          </cell>
        </row>
        <row r="252">
          <cell r="A252" t="str">
            <v>Vanuatu</v>
          </cell>
        </row>
        <row r="253">
          <cell r="A253" t="str">
            <v>Wallis &amp; Futuna</v>
          </cell>
        </row>
      </sheetData>
    </sheetDataSet>
  </externalBook>
</externalLink>
</file>

<file path=xl/externalLinks/externalLink2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4)"/>
    </sheetNames>
    <sheetDataSet>
      <sheetData sheetId="0">
        <row r="1">
          <cell r="A1" t="str">
            <v>Kategori: TÃ¼m kategoriler</v>
          </cell>
        </row>
        <row r="3">
          <cell r="A3" t="str">
            <v>Ãœlke</v>
          </cell>
          <cell r="B3" t="str">
            <v>TCP: (2015)</v>
          </cell>
          <cell r="C3" t="str">
            <v>SayÄ± deÄŸil: (2015)</v>
          </cell>
        </row>
        <row r="4">
          <cell r="A4" t="str">
            <v>Haiti</v>
          </cell>
        </row>
        <row r="5">
          <cell r="A5" t="str">
            <v>China</v>
          </cell>
        </row>
        <row r="6">
          <cell r="A6" t="str">
            <v>CuraÃ§ao</v>
          </cell>
        </row>
        <row r="7">
          <cell r="A7" t="str">
            <v>Cuba</v>
          </cell>
        </row>
        <row r="8">
          <cell r="A8" t="str">
            <v>Aruba</v>
          </cell>
        </row>
        <row r="9">
          <cell r="A9" t="str">
            <v>Botswana</v>
          </cell>
        </row>
        <row r="10">
          <cell r="A10" t="str">
            <v>Myanmar (Burma)</v>
          </cell>
        </row>
        <row r="11">
          <cell r="A11" t="str">
            <v>St. Helena</v>
          </cell>
        </row>
        <row r="12">
          <cell r="A12" t="str">
            <v>South Korea</v>
          </cell>
          <cell r="B12">
            <v>0.86</v>
          </cell>
          <cell r="C12">
            <v>0.14000000000000001</v>
          </cell>
        </row>
        <row r="13">
          <cell r="A13" t="str">
            <v>Kosovo</v>
          </cell>
        </row>
        <row r="14">
          <cell r="A14" t="str">
            <v>Tanzania</v>
          </cell>
        </row>
        <row r="15">
          <cell r="A15" t="str">
            <v>Eswatini</v>
          </cell>
        </row>
        <row r="16">
          <cell r="A16" t="str">
            <v>Singapore</v>
          </cell>
          <cell r="B16">
            <v>0.63</v>
          </cell>
          <cell r="C16">
            <v>0.37</v>
          </cell>
        </row>
        <row r="17">
          <cell r="A17" t="str">
            <v>Sri Lanka</v>
          </cell>
          <cell r="B17">
            <v>0.38</v>
          </cell>
          <cell r="C17">
            <v>0.62</v>
          </cell>
        </row>
        <row r="18">
          <cell r="A18" t="str">
            <v>Lesotho</v>
          </cell>
        </row>
        <row r="19">
          <cell r="A19" t="str">
            <v>Rwanda</v>
          </cell>
        </row>
        <row r="20">
          <cell r="A20" t="str">
            <v>Hong Kong</v>
          </cell>
          <cell r="B20">
            <v>0.72</v>
          </cell>
          <cell r="C20">
            <v>0.28000000000000003</v>
          </cell>
        </row>
        <row r="21">
          <cell r="A21" t="str">
            <v>Zimbabwe</v>
          </cell>
        </row>
        <row r="22">
          <cell r="A22" t="str">
            <v>Cameroon</v>
          </cell>
        </row>
        <row r="23">
          <cell r="A23" t="str">
            <v>India</v>
          </cell>
          <cell r="B23">
            <v>0.65</v>
          </cell>
          <cell r="C23">
            <v>0.35</v>
          </cell>
        </row>
        <row r="24">
          <cell r="A24" t="str">
            <v>Ethiopia</v>
          </cell>
        </row>
        <row r="25">
          <cell r="A25" t="str">
            <v>Luxembourg</v>
          </cell>
        </row>
        <row r="26">
          <cell r="A26" t="str">
            <v>Malawi</v>
          </cell>
        </row>
        <row r="27">
          <cell r="A27" t="str">
            <v>Madagascar</v>
          </cell>
        </row>
        <row r="28">
          <cell r="A28" t="str">
            <v>Brunei</v>
          </cell>
        </row>
        <row r="29">
          <cell r="A29" t="str">
            <v>Turkmenistan</v>
          </cell>
        </row>
        <row r="30">
          <cell r="A30" t="str">
            <v>Bhutan</v>
          </cell>
        </row>
        <row r="31">
          <cell r="A31" t="str">
            <v>Namibia</v>
          </cell>
        </row>
        <row r="32">
          <cell r="A32" t="str">
            <v>Papua New Guinea</v>
          </cell>
        </row>
        <row r="33">
          <cell r="A33" t="str">
            <v>Czechia</v>
          </cell>
          <cell r="B33">
            <v>0.8</v>
          </cell>
          <cell r="C33">
            <v>0.2</v>
          </cell>
        </row>
        <row r="34">
          <cell r="A34" t="str">
            <v>Angola</v>
          </cell>
        </row>
        <row r="35">
          <cell r="A35" t="str">
            <v>Nepal</v>
          </cell>
        </row>
        <row r="36">
          <cell r="A36" t="str">
            <v>Israel</v>
          </cell>
          <cell r="B36">
            <v>0.81</v>
          </cell>
          <cell r="C36">
            <v>0.19</v>
          </cell>
        </row>
        <row r="37">
          <cell r="A37" t="str">
            <v>Nigeria</v>
          </cell>
          <cell r="B37">
            <v>0.35</v>
          </cell>
          <cell r="C37">
            <v>0.65</v>
          </cell>
        </row>
        <row r="38">
          <cell r="A38" t="str">
            <v>Congo - Kinshasa</v>
          </cell>
        </row>
        <row r="39">
          <cell r="A39" t="str">
            <v>Malta</v>
          </cell>
        </row>
        <row r="40">
          <cell r="A40" t="str">
            <v>Benin</v>
          </cell>
        </row>
        <row r="41">
          <cell r="A41" t="str">
            <v>CÃ´te dâ€™Ivoire</v>
          </cell>
        </row>
        <row r="42">
          <cell r="A42" t="str">
            <v>Switzerland</v>
          </cell>
          <cell r="B42">
            <v>0.76</v>
          </cell>
          <cell r="C42">
            <v>0.24</v>
          </cell>
        </row>
        <row r="43">
          <cell r="A43" t="str">
            <v>Taiwan</v>
          </cell>
          <cell r="B43">
            <v>0.82</v>
          </cell>
          <cell r="C43">
            <v>0.18</v>
          </cell>
        </row>
        <row r="44">
          <cell r="A44" t="str">
            <v>Cape Verde</v>
          </cell>
        </row>
        <row r="45">
          <cell r="A45" t="str">
            <v>Tunisia</v>
          </cell>
        </row>
        <row r="46">
          <cell r="A46" t="str">
            <v>Mauritius</v>
          </cell>
        </row>
        <row r="47">
          <cell r="A47" t="str">
            <v>Uganda</v>
          </cell>
        </row>
        <row r="48">
          <cell r="A48" t="str">
            <v>Isle of Man</v>
          </cell>
        </row>
        <row r="49">
          <cell r="A49" t="str">
            <v>Venezuela</v>
          </cell>
          <cell r="B49">
            <v>0.3</v>
          </cell>
          <cell r="C49">
            <v>0.7</v>
          </cell>
        </row>
        <row r="50">
          <cell r="A50" t="str">
            <v>Uruguay</v>
          </cell>
        </row>
        <row r="51">
          <cell r="A51" t="str">
            <v>Ghana</v>
          </cell>
        </row>
        <row r="52">
          <cell r="A52" t="str">
            <v>Afghanistan</v>
          </cell>
        </row>
        <row r="53">
          <cell r="A53" t="str">
            <v>Fiji</v>
          </cell>
        </row>
        <row r="54">
          <cell r="A54" t="str">
            <v>Iceland</v>
          </cell>
        </row>
        <row r="55">
          <cell r="A55" t="str">
            <v>Germany</v>
          </cell>
          <cell r="B55">
            <v>0.71</v>
          </cell>
          <cell r="C55">
            <v>0.28999999999999998</v>
          </cell>
        </row>
        <row r="56">
          <cell r="A56" t="str">
            <v>Norway</v>
          </cell>
          <cell r="B56">
            <v>0.82</v>
          </cell>
          <cell r="C56">
            <v>0.18</v>
          </cell>
        </row>
        <row r="57">
          <cell r="A57" t="str">
            <v>Japan</v>
          </cell>
          <cell r="B57">
            <v>0.57999999999999996</v>
          </cell>
          <cell r="C57">
            <v>0.42</v>
          </cell>
        </row>
        <row r="58">
          <cell r="A58" t="str">
            <v>Maldives</v>
          </cell>
        </row>
        <row r="59">
          <cell r="A59" t="str">
            <v>Sweden</v>
          </cell>
          <cell r="B59">
            <v>0.79</v>
          </cell>
          <cell r="C59">
            <v>0.21</v>
          </cell>
        </row>
        <row r="60">
          <cell r="A60" t="str">
            <v>Jamaica</v>
          </cell>
        </row>
        <row r="61">
          <cell r="A61" t="str">
            <v>Somalia</v>
          </cell>
        </row>
        <row r="62">
          <cell r="A62" t="str">
            <v>Costa Rica</v>
          </cell>
          <cell r="B62">
            <v>0.69</v>
          </cell>
          <cell r="C62">
            <v>0.31</v>
          </cell>
        </row>
        <row r="63">
          <cell r="A63" t="str">
            <v>United States</v>
          </cell>
          <cell r="B63">
            <v>0.73</v>
          </cell>
          <cell r="C63">
            <v>0.27</v>
          </cell>
        </row>
        <row r="64">
          <cell r="A64" t="str">
            <v>Belgium</v>
          </cell>
          <cell r="B64">
            <v>0.63</v>
          </cell>
          <cell r="C64">
            <v>0.37</v>
          </cell>
        </row>
        <row r="65">
          <cell r="A65" t="str">
            <v>Ireland</v>
          </cell>
          <cell r="B65">
            <v>0.65</v>
          </cell>
          <cell r="C65">
            <v>0.35</v>
          </cell>
        </row>
        <row r="66">
          <cell r="A66" t="str">
            <v>Vietnam</v>
          </cell>
          <cell r="B66">
            <v>0.3</v>
          </cell>
          <cell r="C66">
            <v>0.7</v>
          </cell>
        </row>
        <row r="67">
          <cell r="A67" t="str">
            <v>Finland</v>
          </cell>
          <cell r="B67">
            <v>0.69</v>
          </cell>
          <cell r="C67">
            <v>0.31</v>
          </cell>
        </row>
        <row r="68">
          <cell r="A68" t="str">
            <v>Jersey</v>
          </cell>
        </row>
        <row r="69">
          <cell r="A69" t="str">
            <v>New Zealand</v>
          </cell>
          <cell r="B69">
            <v>0.72</v>
          </cell>
          <cell r="C69">
            <v>0.28000000000000003</v>
          </cell>
        </row>
        <row r="70">
          <cell r="A70" t="str">
            <v>Laos</v>
          </cell>
        </row>
        <row r="71">
          <cell r="A71" t="str">
            <v>Austria</v>
          </cell>
          <cell r="B71">
            <v>0.74</v>
          </cell>
          <cell r="C71">
            <v>0.26</v>
          </cell>
        </row>
        <row r="72">
          <cell r="A72" t="str">
            <v>Togo</v>
          </cell>
        </row>
        <row r="73">
          <cell r="A73" t="str">
            <v>Macao</v>
          </cell>
        </row>
        <row r="74">
          <cell r="A74" t="str">
            <v>Philippines</v>
          </cell>
          <cell r="B74">
            <v>0.7</v>
          </cell>
          <cell r="C74">
            <v>0.3</v>
          </cell>
        </row>
        <row r="75">
          <cell r="A75" t="str">
            <v>Guyana</v>
          </cell>
        </row>
        <row r="76">
          <cell r="A76" t="str">
            <v>Uzbekistan</v>
          </cell>
        </row>
        <row r="77">
          <cell r="A77" t="str">
            <v>Estonia</v>
          </cell>
        </row>
        <row r="78">
          <cell r="A78" t="str">
            <v>Australia</v>
          </cell>
          <cell r="B78">
            <v>0.59</v>
          </cell>
          <cell r="C78">
            <v>0.41</v>
          </cell>
        </row>
        <row r="79">
          <cell r="A79" t="str">
            <v>Canada</v>
          </cell>
          <cell r="B79">
            <v>0.71</v>
          </cell>
          <cell r="C79">
            <v>0.28999999999999998</v>
          </cell>
        </row>
        <row r="80">
          <cell r="A80" t="str">
            <v>South Africa</v>
          </cell>
          <cell r="B80">
            <v>0.56999999999999995</v>
          </cell>
          <cell r="C80">
            <v>0.43</v>
          </cell>
        </row>
        <row r="81">
          <cell r="A81" t="str">
            <v>Panama</v>
          </cell>
        </row>
        <row r="82">
          <cell r="A82" t="str">
            <v>Bangladesh</v>
          </cell>
          <cell r="B82">
            <v>0.73</v>
          </cell>
          <cell r="C82">
            <v>0.27</v>
          </cell>
        </row>
        <row r="83">
          <cell r="A83" t="str">
            <v>Pakistan</v>
          </cell>
          <cell r="B83">
            <v>0.5</v>
          </cell>
          <cell r="C83">
            <v>0.5</v>
          </cell>
        </row>
        <row r="84">
          <cell r="A84" t="str">
            <v>Portugal</v>
          </cell>
          <cell r="B84">
            <v>0.64</v>
          </cell>
          <cell r="C84">
            <v>0.36</v>
          </cell>
        </row>
        <row r="85">
          <cell r="A85" t="str">
            <v>Zambia</v>
          </cell>
        </row>
        <row r="86">
          <cell r="A86" t="str">
            <v>Tajikistan</v>
          </cell>
        </row>
        <row r="87">
          <cell r="A87" t="str">
            <v>Chile</v>
          </cell>
          <cell r="B87">
            <v>0.38</v>
          </cell>
          <cell r="C87">
            <v>0.62</v>
          </cell>
        </row>
        <row r="88">
          <cell r="A88" t="str">
            <v>Senegal</v>
          </cell>
        </row>
        <row r="89">
          <cell r="A89" t="str">
            <v>Mozambique</v>
          </cell>
        </row>
        <row r="90">
          <cell r="A90" t="str">
            <v>Bolivia</v>
          </cell>
          <cell r="B90">
            <v>0.49</v>
          </cell>
          <cell r="C90">
            <v>0.51</v>
          </cell>
        </row>
        <row r="91">
          <cell r="A91" t="str">
            <v>Lebanon</v>
          </cell>
        </row>
        <row r="92">
          <cell r="A92" t="str">
            <v>Kenya</v>
          </cell>
          <cell r="B92">
            <v>0.6</v>
          </cell>
          <cell r="C92">
            <v>0.4</v>
          </cell>
        </row>
        <row r="93">
          <cell r="A93" t="str">
            <v>Netherlands</v>
          </cell>
          <cell r="B93">
            <v>0.63</v>
          </cell>
          <cell r="C93">
            <v>0.37</v>
          </cell>
        </row>
        <row r="94">
          <cell r="A94" t="str">
            <v>United Kingdom</v>
          </cell>
          <cell r="B94">
            <v>0.57999999999999996</v>
          </cell>
          <cell r="C94">
            <v>0.42</v>
          </cell>
        </row>
        <row r="95">
          <cell r="A95" t="str">
            <v>Nicaragua</v>
          </cell>
        </row>
        <row r="96">
          <cell r="A96" t="str">
            <v>Ecuador</v>
          </cell>
          <cell r="B96">
            <v>0.64</v>
          </cell>
          <cell r="C96">
            <v>0.36</v>
          </cell>
        </row>
        <row r="97">
          <cell r="A97" t="str">
            <v>Spain</v>
          </cell>
          <cell r="B97">
            <v>0.69</v>
          </cell>
          <cell r="C97">
            <v>0.31</v>
          </cell>
        </row>
        <row r="98">
          <cell r="A98" t="str">
            <v>Dominican Republic</v>
          </cell>
          <cell r="B98">
            <v>0.6</v>
          </cell>
          <cell r="C98">
            <v>0.4</v>
          </cell>
        </row>
        <row r="99">
          <cell r="A99" t="str">
            <v>Romania</v>
          </cell>
          <cell r="B99">
            <v>0.46</v>
          </cell>
          <cell r="C99">
            <v>0.54</v>
          </cell>
        </row>
        <row r="100">
          <cell r="A100" t="str">
            <v>Russia</v>
          </cell>
          <cell r="B100">
            <v>0.64</v>
          </cell>
          <cell r="C100">
            <v>0.36</v>
          </cell>
        </row>
        <row r="101">
          <cell r="A101" t="str">
            <v>Hungary</v>
          </cell>
          <cell r="B101">
            <v>0.84</v>
          </cell>
          <cell r="C101">
            <v>0.16</v>
          </cell>
        </row>
        <row r="102">
          <cell r="A102" t="str">
            <v>Guatemala</v>
          </cell>
          <cell r="B102">
            <v>0.6</v>
          </cell>
          <cell r="C102">
            <v>0.4</v>
          </cell>
        </row>
        <row r="103">
          <cell r="A103" t="str">
            <v>United Arab Emirates</v>
          </cell>
          <cell r="B103">
            <v>0.67</v>
          </cell>
          <cell r="C103">
            <v>0.33</v>
          </cell>
        </row>
        <row r="104">
          <cell r="A104" t="str">
            <v>Brazil</v>
          </cell>
          <cell r="B104">
            <v>0.45</v>
          </cell>
          <cell r="C104">
            <v>0.55000000000000004</v>
          </cell>
        </row>
        <row r="105">
          <cell r="A105" t="str">
            <v>Malaysia</v>
          </cell>
          <cell r="B105">
            <v>0.53</v>
          </cell>
          <cell r="C105">
            <v>0.47</v>
          </cell>
        </row>
        <row r="106">
          <cell r="A106" t="str">
            <v>Denmark</v>
          </cell>
          <cell r="B106">
            <v>0.54</v>
          </cell>
          <cell r="C106">
            <v>0.46</v>
          </cell>
        </row>
        <row r="107">
          <cell r="A107" t="str">
            <v>Slovakia</v>
          </cell>
        </row>
        <row r="108">
          <cell r="A108" t="str">
            <v>Mongolia</v>
          </cell>
        </row>
        <row r="109">
          <cell r="A109" t="str">
            <v>Poland</v>
          </cell>
          <cell r="B109">
            <v>0.48</v>
          </cell>
          <cell r="C109">
            <v>0.52</v>
          </cell>
        </row>
        <row r="110">
          <cell r="A110" t="str">
            <v>Trinidad &amp; Tobago</v>
          </cell>
        </row>
        <row r="111">
          <cell r="A111" t="str">
            <v>Barbados</v>
          </cell>
        </row>
        <row r="112">
          <cell r="A112" t="str">
            <v>Slovenia</v>
          </cell>
        </row>
        <row r="113">
          <cell r="A113" t="str">
            <v>Qatar</v>
          </cell>
        </row>
        <row r="114">
          <cell r="A114" t="str">
            <v>Honduras</v>
          </cell>
        </row>
        <row r="115">
          <cell r="A115" t="str">
            <v>Oman</v>
          </cell>
        </row>
        <row r="116">
          <cell r="A116" t="str">
            <v>Belarus</v>
          </cell>
          <cell r="B116">
            <v>0.53</v>
          </cell>
          <cell r="C116">
            <v>0.47</v>
          </cell>
        </row>
        <row r="117">
          <cell r="A117" t="str">
            <v>Mexico</v>
          </cell>
          <cell r="B117">
            <v>0.49</v>
          </cell>
          <cell r="C117">
            <v>0.51</v>
          </cell>
        </row>
        <row r="118">
          <cell r="A118" t="str">
            <v>Sierra Leone</v>
          </cell>
        </row>
        <row r="119">
          <cell r="A119" t="str">
            <v>Bahamas</v>
          </cell>
        </row>
        <row r="120">
          <cell r="A120" t="str">
            <v>Albania</v>
          </cell>
        </row>
        <row r="121">
          <cell r="A121" t="str">
            <v>Latvia</v>
          </cell>
        </row>
        <row r="122">
          <cell r="A122" t="str">
            <v>Cambodia</v>
          </cell>
        </row>
        <row r="123">
          <cell r="A123" t="str">
            <v>Italy</v>
          </cell>
          <cell r="B123">
            <v>0.81</v>
          </cell>
          <cell r="C123">
            <v>0.19</v>
          </cell>
        </row>
        <row r="124">
          <cell r="A124" t="str">
            <v>Argentina</v>
          </cell>
          <cell r="B124">
            <v>0.75</v>
          </cell>
          <cell r="C124">
            <v>0.25</v>
          </cell>
        </row>
        <row r="125">
          <cell r="A125" t="str">
            <v>El Salvador</v>
          </cell>
        </row>
        <row r="126">
          <cell r="A126" t="str">
            <v>Morocco</v>
          </cell>
          <cell r="B126">
            <v>0.78</v>
          </cell>
          <cell r="C126">
            <v>0.22</v>
          </cell>
        </row>
        <row r="127">
          <cell r="A127" t="str">
            <v>France</v>
          </cell>
          <cell r="B127">
            <v>0.71</v>
          </cell>
          <cell r="C127">
            <v>0.28999999999999998</v>
          </cell>
        </row>
        <row r="128">
          <cell r="A128" t="str">
            <v>Bulgaria</v>
          </cell>
          <cell r="B128">
            <v>0.56999999999999995</v>
          </cell>
          <cell r="C128">
            <v>0.43</v>
          </cell>
        </row>
        <row r="129">
          <cell r="A129" t="str">
            <v>Colombia</v>
          </cell>
          <cell r="B129">
            <v>0.64</v>
          </cell>
          <cell r="C129">
            <v>0.36</v>
          </cell>
        </row>
        <row r="130">
          <cell r="A130" t="str">
            <v>Indonesia</v>
          </cell>
          <cell r="B130">
            <v>0.73</v>
          </cell>
          <cell r="C130">
            <v>0.27</v>
          </cell>
        </row>
        <row r="131">
          <cell r="A131" t="str">
            <v>Cyprus</v>
          </cell>
        </row>
        <row r="132">
          <cell r="A132" t="str">
            <v>Iran</v>
          </cell>
          <cell r="B132">
            <v>0.82</v>
          </cell>
          <cell r="C132">
            <v>0.18</v>
          </cell>
        </row>
        <row r="133">
          <cell r="A133" t="str">
            <v>Moldova</v>
          </cell>
        </row>
        <row r="134">
          <cell r="A134" t="str">
            <v>Burkina Faso</v>
          </cell>
        </row>
        <row r="135">
          <cell r="A135" t="str">
            <v>Croatia</v>
          </cell>
          <cell r="B135">
            <v>0.57999999999999996</v>
          </cell>
          <cell r="C135">
            <v>0.42</v>
          </cell>
        </row>
        <row r="136">
          <cell r="A136" t="str">
            <v>Lithuania</v>
          </cell>
          <cell r="B136">
            <v>0.65</v>
          </cell>
          <cell r="C136">
            <v>0.35</v>
          </cell>
        </row>
        <row r="137">
          <cell r="A137" t="str">
            <v>Peru</v>
          </cell>
          <cell r="B137">
            <v>0.56999999999999995</v>
          </cell>
          <cell r="C137">
            <v>0.43</v>
          </cell>
        </row>
        <row r="138">
          <cell r="A138" t="str">
            <v>Kuwait</v>
          </cell>
        </row>
        <row r="139">
          <cell r="A139" t="str">
            <v>Guinea</v>
          </cell>
        </row>
        <row r="140">
          <cell r="A140" t="str">
            <v>Ukraine</v>
          </cell>
          <cell r="B140">
            <v>0.64</v>
          </cell>
          <cell r="C140">
            <v>0.36</v>
          </cell>
        </row>
        <row r="141">
          <cell r="A141" t="str">
            <v>Bahrain</v>
          </cell>
        </row>
        <row r="142">
          <cell r="A142" t="str">
            <v>North Macedonia</v>
          </cell>
        </row>
        <row r="143">
          <cell r="A143" t="str">
            <v>Armenia</v>
          </cell>
        </row>
        <row r="144">
          <cell r="A144" t="str">
            <v>Greece</v>
          </cell>
          <cell r="B144">
            <v>0.69</v>
          </cell>
          <cell r="C144">
            <v>0.31</v>
          </cell>
        </row>
        <row r="145">
          <cell r="A145" t="str">
            <v>Kyrgyzstan</v>
          </cell>
        </row>
        <row r="146">
          <cell r="A146" t="str">
            <v>Paraguay</v>
          </cell>
        </row>
        <row r="147">
          <cell r="A147" t="str">
            <v>Mali</v>
          </cell>
        </row>
        <row r="148">
          <cell r="A148" t="str">
            <v>Serbia</v>
          </cell>
        </row>
        <row r="149">
          <cell r="A149" t="str">
            <v>Jordan</v>
          </cell>
        </row>
        <row r="150">
          <cell r="A150" t="str">
            <v>Cayman Islands</v>
          </cell>
        </row>
        <row r="151">
          <cell r="A151" t="str">
            <v>Kazakhstan</v>
          </cell>
          <cell r="B151">
            <v>0.47</v>
          </cell>
          <cell r="C151">
            <v>0.53</v>
          </cell>
        </row>
        <row r="152">
          <cell r="A152" t="str">
            <v>Azerbaijan</v>
          </cell>
        </row>
        <row r="153">
          <cell r="A153" t="str">
            <v>Puerto Rico</v>
          </cell>
        </row>
        <row r="154">
          <cell r="A154" t="str">
            <v>Bosnia &amp; Herzegovina</v>
          </cell>
        </row>
        <row r="155">
          <cell r="A155" t="str">
            <v>Sudan</v>
          </cell>
        </row>
        <row r="156">
          <cell r="A156" t="str">
            <v>Martinique</v>
          </cell>
        </row>
        <row r="157">
          <cell r="A157" t="str">
            <v>Guadeloupe</v>
          </cell>
        </row>
        <row r="158">
          <cell r="A158" t="str">
            <v>RÃ©union</v>
          </cell>
        </row>
        <row r="159">
          <cell r="A159" t="str">
            <v>Algeria</v>
          </cell>
          <cell r="B159">
            <v>0.74</v>
          </cell>
          <cell r="C159">
            <v>0.26</v>
          </cell>
        </row>
        <row r="160">
          <cell r="A160" t="str">
            <v>Syria</v>
          </cell>
        </row>
        <row r="161">
          <cell r="A161" t="str">
            <v>Palestine</v>
          </cell>
        </row>
        <row r="162">
          <cell r="A162" t="str">
            <v>Libya</v>
          </cell>
        </row>
        <row r="163">
          <cell r="A163" t="str">
            <v>Thailand</v>
          </cell>
          <cell r="B163">
            <v>0.68</v>
          </cell>
          <cell r="C163">
            <v>0.32</v>
          </cell>
        </row>
        <row r="164">
          <cell r="A164" t="str">
            <v>Montenegro</v>
          </cell>
        </row>
        <row r="165">
          <cell r="A165" t="str">
            <v>Egypt</v>
          </cell>
          <cell r="B165">
            <v>0.81</v>
          </cell>
          <cell r="C165">
            <v>0.19</v>
          </cell>
        </row>
        <row r="166">
          <cell r="A166" t="str">
            <v>Saudi Arabia</v>
          </cell>
          <cell r="B166">
            <v>0.74</v>
          </cell>
          <cell r="C166">
            <v>0.26</v>
          </cell>
        </row>
        <row r="167">
          <cell r="A167" t="str">
            <v>Georgia</v>
          </cell>
        </row>
        <row r="168">
          <cell r="A168" t="str">
            <v>Suriname</v>
          </cell>
        </row>
        <row r="169">
          <cell r="A169" t="str">
            <v>Yemen</v>
          </cell>
        </row>
        <row r="170">
          <cell r="A170" t="str">
            <v>Turkey</v>
          </cell>
          <cell r="B170">
            <v>0.67</v>
          </cell>
          <cell r="C170">
            <v>0.33</v>
          </cell>
        </row>
        <row r="171">
          <cell r="A171" t="str">
            <v>Iraq</v>
          </cell>
        </row>
        <row r="172">
          <cell r="A172" t="str">
            <v>North Korea</v>
          </cell>
        </row>
        <row r="173">
          <cell r="A173" t="str">
            <v>Kiribati</v>
          </cell>
        </row>
        <row r="174">
          <cell r="A174" t="str">
            <v>British Indian Ocean Territory</v>
          </cell>
        </row>
        <row r="175">
          <cell r="A175" t="str">
            <v>St. Pierre &amp; Miquelon</v>
          </cell>
        </row>
        <row r="176">
          <cell r="A176" t="str">
            <v>Eritrea</v>
          </cell>
        </row>
        <row r="177">
          <cell r="A177" t="str">
            <v>SÃ£o TomÃ© &amp; PrÃ­ncipe</v>
          </cell>
        </row>
        <row r="178">
          <cell r="A178" t="str">
            <v>Micronesia</v>
          </cell>
        </row>
        <row r="179">
          <cell r="A179" t="str">
            <v>Samoa</v>
          </cell>
        </row>
        <row r="180">
          <cell r="A180" t="str">
            <v>Central African Republic</v>
          </cell>
        </row>
        <row r="181">
          <cell r="A181" t="str">
            <v>Equatorial Guinea</v>
          </cell>
        </row>
        <row r="182">
          <cell r="A182" t="str">
            <v>American Samoa</v>
          </cell>
        </row>
        <row r="183">
          <cell r="A183" t="str">
            <v>Sint Maarten</v>
          </cell>
        </row>
        <row r="184">
          <cell r="A184" t="str">
            <v>Comoros</v>
          </cell>
        </row>
        <row r="185">
          <cell r="A185" t="str">
            <v>Liechtenstein</v>
          </cell>
        </row>
        <row r="186">
          <cell r="A186" t="str">
            <v>St. BarthÃ©lemy</v>
          </cell>
        </row>
        <row r="187">
          <cell r="A187" t="str">
            <v>Monaco</v>
          </cell>
        </row>
        <row r="188">
          <cell r="A188" t="str">
            <v>Solomon Islands</v>
          </cell>
        </row>
        <row r="189">
          <cell r="A189" t="str">
            <v>Greenland</v>
          </cell>
        </row>
        <row r="190">
          <cell r="A190" t="str">
            <v>Northern Mariana Islands</v>
          </cell>
        </row>
        <row r="191">
          <cell r="A191" t="str">
            <v>Anguilla</v>
          </cell>
        </row>
        <row r="192">
          <cell r="A192" t="str">
            <v>St. Kitts &amp; Nevis</v>
          </cell>
        </row>
        <row r="193">
          <cell r="A193" t="str">
            <v>Turks &amp; Caicos Islands</v>
          </cell>
        </row>
        <row r="194">
          <cell r="A194" t="str">
            <v>Andorra</v>
          </cell>
        </row>
        <row r="195">
          <cell r="A195" t="str">
            <v>Dominica</v>
          </cell>
        </row>
        <row r="196">
          <cell r="A196" t="str">
            <v>Gabon</v>
          </cell>
        </row>
        <row r="197">
          <cell r="A197" t="str">
            <v>Niger</v>
          </cell>
        </row>
        <row r="198">
          <cell r="A198" t="str">
            <v>St. Vincent &amp; Grenadines</v>
          </cell>
        </row>
        <row r="199">
          <cell r="A199" t="str">
            <v>British Virgin Islands</v>
          </cell>
        </row>
        <row r="200">
          <cell r="A200" t="str">
            <v>Congo - Brazzaville</v>
          </cell>
        </row>
        <row r="201">
          <cell r="A201" t="str">
            <v>Seychelles</v>
          </cell>
        </row>
        <row r="202">
          <cell r="A202" t="str">
            <v>Gambia</v>
          </cell>
        </row>
        <row r="203">
          <cell r="A203" t="str">
            <v>Ã…land Islands</v>
          </cell>
        </row>
        <row r="204">
          <cell r="A204" t="str">
            <v>Faroe Islands</v>
          </cell>
        </row>
        <row r="205">
          <cell r="A205" t="str">
            <v>South Sudan</v>
          </cell>
        </row>
        <row r="206">
          <cell r="A206" t="str">
            <v>Burundi</v>
          </cell>
        </row>
        <row r="207">
          <cell r="A207" t="str">
            <v>Djibouti</v>
          </cell>
        </row>
        <row r="208">
          <cell r="A208" t="str">
            <v>Chad</v>
          </cell>
        </row>
        <row r="209">
          <cell r="A209" t="str">
            <v>San Marino</v>
          </cell>
        </row>
        <row r="210">
          <cell r="A210" t="str">
            <v>Grenada</v>
          </cell>
        </row>
        <row r="211">
          <cell r="A211" t="str">
            <v>Timor-Leste</v>
          </cell>
        </row>
        <row r="212">
          <cell r="A212" t="str">
            <v>Gibraltar</v>
          </cell>
        </row>
        <row r="213">
          <cell r="A213" t="str">
            <v>French Polynesia</v>
          </cell>
        </row>
        <row r="214">
          <cell r="A214" t="str">
            <v>St. Lucia</v>
          </cell>
        </row>
        <row r="215">
          <cell r="A215" t="str">
            <v>Belize</v>
          </cell>
        </row>
        <row r="216">
          <cell r="A216" t="str">
            <v>French Guiana</v>
          </cell>
        </row>
        <row r="217">
          <cell r="A217" t="str">
            <v>U.S. Virgin Islands</v>
          </cell>
        </row>
        <row r="218">
          <cell r="A218" t="str">
            <v>New Caledonia</v>
          </cell>
        </row>
        <row r="219">
          <cell r="A219" t="str">
            <v>Mauritania</v>
          </cell>
        </row>
        <row r="220">
          <cell r="A220" t="str">
            <v>Mayotte</v>
          </cell>
        </row>
        <row r="221">
          <cell r="A221" t="str">
            <v>Guam</v>
          </cell>
        </row>
        <row r="222">
          <cell r="A222" t="str">
            <v>Guernsey</v>
          </cell>
        </row>
        <row r="223">
          <cell r="A223" t="str">
            <v>Bermuda</v>
          </cell>
        </row>
        <row r="224">
          <cell r="A224" t="str">
            <v>Liberia</v>
          </cell>
        </row>
        <row r="225">
          <cell r="A225" t="str">
            <v>Antarctica</v>
          </cell>
        </row>
        <row r="226">
          <cell r="A226" t="str">
            <v>French Southern Territories</v>
          </cell>
        </row>
        <row r="227">
          <cell r="A227" t="str">
            <v>Antigua &amp; Barbuda</v>
          </cell>
        </row>
        <row r="228">
          <cell r="A228" t="str">
            <v>Caribbean Netherlands</v>
          </cell>
        </row>
        <row r="229">
          <cell r="A229" t="str">
            <v>Bouvet Island</v>
          </cell>
        </row>
        <row r="230">
          <cell r="A230" t="str">
            <v>Cocos (Keeling) Islands</v>
          </cell>
        </row>
        <row r="231">
          <cell r="A231" t="str">
            <v>Cook Islands</v>
          </cell>
        </row>
        <row r="232">
          <cell r="A232" t="str">
            <v>Christmas Island</v>
          </cell>
        </row>
        <row r="233">
          <cell r="A233" t="str">
            <v>Western Sahara</v>
          </cell>
        </row>
        <row r="234">
          <cell r="A234" t="str">
            <v>Falkland Islands (Islas Malvinas)</v>
          </cell>
        </row>
        <row r="235">
          <cell r="A235" t="str">
            <v>Guinea-Bissau</v>
          </cell>
        </row>
        <row r="236">
          <cell r="A236" t="str">
            <v>Heard &amp; McDonald Islands</v>
          </cell>
        </row>
        <row r="237">
          <cell r="A237" t="str">
            <v>St. Martin</v>
          </cell>
        </row>
        <row r="238">
          <cell r="A238" t="str">
            <v>Marshall Islands</v>
          </cell>
        </row>
        <row r="239">
          <cell r="A239" t="str">
            <v>Montserrat</v>
          </cell>
        </row>
        <row r="240">
          <cell r="A240" t="str">
            <v>Norfolk Island</v>
          </cell>
        </row>
        <row r="241">
          <cell r="A241" t="str">
            <v>Niue</v>
          </cell>
        </row>
        <row r="242">
          <cell r="A242" t="str">
            <v>Nauru</v>
          </cell>
        </row>
        <row r="243">
          <cell r="A243" t="str">
            <v>Pitcairn Islands</v>
          </cell>
        </row>
        <row r="244">
          <cell r="A244" t="str">
            <v>Palau</v>
          </cell>
        </row>
        <row r="245">
          <cell r="A245" t="str">
            <v>South Georgia &amp; South Sandwich Islands</v>
          </cell>
        </row>
        <row r="246">
          <cell r="A246" t="str">
            <v>Svalbard &amp; Jan Mayen</v>
          </cell>
        </row>
        <row r="247">
          <cell r="A247" t="str">
            <v>Tokelau</v>
          </cell>
        </row>
        <row r="248">
          <cell r="A248" t="str">
            <v>Tonga</v>
          </cell>
        </row>
        <row r="249">
          <cell r="A249" t="str">
            <v>Tuvalu</v>
          </cell>
        </row>
        <row r="250">
          <cell r="A250" t="str">
            <v>U.S. Outlying Islands</v>
          </cell>
        </row>
        <row r="251">
          <cell r="A251" t="str">
            <v>Vatican City</v>
          </cell>
        </row>
        <row r="252">
          <cell r="A252" t="str">
            <v>Vanuatu</v>
          </cell>
        </row>
        <row r="253">
          <cell r="A253" t="str">
            <v>Wallis &amp; Futuna</v>
          </cell>
        </row>
      </sheetData>
    </sheetDataSet>
  </externalBook>
</externalLink>
</file>

<file path=xl/externalLinks/externalLink2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5)"/>
    </sheetNames>
    <sheetDataSet>
      <sheetData sheetId="0">
        <row r="1">
          <cell r="A1" t="str">
            <v>Kategori: TÃ¼m kategoriler</v>
          </cell>
        </row>
        <row r="3">
          <cell r="A3" t="str">
            <v>Ãœlke</v>
          </cell>
          <cell r="B3" t="str">
            <v>SayÄ± deÄŸil: (2015)</v>
          </cell>
          <cell r="C3" t="str">
            <v>Yapay Sinir AÄŸlarÄ±: (2015)</v>
          </cell>
        </row>
        <row r="4">
          <cell r="A4" t="str">
            <v>Haiti</v>
          </cell>
          <cell r="B4">
            <v>1</v>
          </cell>
        </row>
        <row r="5">
          <cell r="A5" t="str">
            <v>China</v>
          </cell>
        </row>
        <row r="6">
          <cell r="A6" t="str">
            <v>CuraÃ§ao</v>
          </cell>
        </row>
        <row r="7">
          <cell r="A7" t="str">
            <v>Aruba</v>
          </cell>
        </row>
        <row r="8">
          <cell r="A8" t="str">
            <v>Myanmar (Burma)</v>
          </cell>
        </row>
        <row r="9">
          <cell r="A9" t="str">
            <v>Kosovo</v>
          </cell>
          <cell r="B9">
            <v>1</v>
          </cell>
        </row>
        <row r="10">
          <cell r="A10" t="str">
            <v>Cuba</v>
          </cell>
        </row>
        <row r="11">
          <cell r="A11" t="str">
            <v>Tanzania</v>
          </cell>
        </row>
        <row r="12">
          <cell r="A12" t="str">
            <v>Sri Lanka</v>
          </cell>
          <cell r="B12">
            <v>0.73</v>
          </cell>
          <cell r="C12">
            <v>0.27</v>
          </cell>
        </row>
        <row r="13">
          <cell r="A13" t="str">
            <v>South Korea</v>
          </cell>
          <cell r="B13">
            <v>0.2</v>
          </cell>
          <cell r="C13">
            <v>0.8</v>
          </cell>
        </row>
        <row r="14">
          <cell r="A14" t="str">
            <v>Croatia</v>
          </cell>
          <cell r="B14">
            <v>0.23</v>
          </cell>
          <cell r="C14">
            <v>0.77</v>
          </cell>
        </row>
        <row r="15">
          <cell r="A15" t="str">
            <v>Turkmenistan</v>
          </cell>
        </row>
        <row r="16">
          <cell r="A16" t="str">
            <v>Nigeria</v>
          </cell>
          <cell r="B16">
            <v>0.66</v>
          </cell>
          <cell r="C16">
            <v>0.34</v>
          </cell>
        </row>
        <row r="17">
          <cell r="A17" t="str">
            <v>Venezuela</v>
          </cell>
          <cell r="B17">
            <v>0.92</v>
          </cell>
          <cell r="C17">
            <v>0.08</v>
          </cell>
        </row>
        <row r="18">
          <cell r="A18" t="str">
            <v>Botswana</v>
          </cell>
        </row>
        <row r="19">
          <cell r="A19" t="str">
            <v>Zimbabwe</v>
          </cell>
        </row>
        <row r="20">
          <cell r="A20" t="str">
            <v>Singapore</v>
          </cell>
          <cell r="B20">
            <v>0.63</v>
          </cell>
          <cell r="C20">
            <v>0.37</v>
          </cell>
        </row>
        <row r="21">
          <cell r="A21" t="str">
            <v>Isle of Man</v>
          </cell>
        </row>
        <row r="22">
          <cell r="A22" t="str">
            <v>Afghanistan</v>
          </cell>
        </row>
        <row r="23">
          <cell r="A23" t="str">
            <v>Nepal</v>
          </cell>
        </row>
        <row r="24">
          <cell r="A24" t="str">
            <v>Vietnam</v>
          </cell>
          <cell r="B24">
            <v>0.92</v>
          </cell>
          <cell r="C24">
            <v>0.08</v>
          </cell>
        </row>
        <row r="25">
          <cell r="A25" t="str">
            <v>Namibia</v>
          </cell>
        </row>
        <row r="26">
          <cell r="A26" t="str">
            <v>Fiji</v>
          </cell>
        </row>
        <row r="27">
          <cell r="A27" t="str">
            <v>Iran</v>
          </cell>
          <cell r="B27">
            <v>0.13</v>
          </cell>
          <cell r="C27">
            <v>0.87</v>
          </cell>
        </row>
        <row r="28">
          <cell r="A28" t="str">
            <v>Pakistan</v>
          </cell>
          <cell r="B28">
            <v>0.56999999999999995</v>
          </cell>
          <cell r="C28">
            <v>0.43</v>
          </cell>
        </row>
        <row r="29">
          <cell r="A29" t="str">
            <v>Bolivia</v>
          </cell>
          <cell r="B29">
            <v>0.79</v>
          </cell>
          <cell r="C29">
            <v>0.21</v>
          </cell>
        </row>
        <row r="30">
          <cell r="A30" t="str">
            <v>Chile</v>
          </cell>
          <cell r="B30">
            <v>0.83</v>
          </cell>
          <cell r="C30">
            <v>0.17</v>
          </cell>
        </row>
        <row r="31">
          <cell r="A31" t="str">
            <v>India</v>
          </cell>
          <cell r="B31">
            <v>0.54</v>
          </cell>
          <cell r="C31">
            <v>0.46</v>
          </cell>
        </row>
        <row r="32">
          <cell r="A32" t="str">
            <v>Maldives</v>
          </cell>
        </row>
        <row r="33">
          <cell r="A33" t="str">
            <v>Brazil</v>
          </cell>
          <cell r="B33">
            <v>0.85</v>
          </cell>
          <cell r="C33">
            <v>0.15</v>
          </cell>
        </row>
        <row r="34">
          <cell r="A34" t="str">
            <v>Romania</v>
          </cell>
          <cell r="B34">
            <v>0.83</v>
          </cell>
          <cell r="C34">
            <v>0.17</v>
          </cell>
        </row>
        <row r="35">
          <cell r="A35" t="str">
            <v>Iceland</v>
          </cell>
        </row>
        <row r="36">
          <cell r="A36" t="str">
            <v>Poland</v>
          </cell>
          <cell r="B36">
            <v>0.76</v>
          </cell>
          <cell r="C36">
            <v>0.24</v>
          </cell>
        </row>
        <row r="37">
          <cell r="A37" t="str">
            <v>Japan</v>
          </cell>
          <cell r="B37">
            <v>0.77</v>
          </cell>
          <cell r="C37">
            <v>0.23</v>
          </cell>
        </row>
        <row r="38">
          <cell r="A38" t="str">
            <v>Mexico</v>
          </cell>
          <cell r="B38">
            <v>0.79</v>
          </cell>
          <cell r="C38">
            <v>0.21</v>
          </cell>
        </row>
        <row r="39">
          <cell r="A39" t="str">
            <v>Tajikistan</v>
          </cell>
        </row>
        <row r="40">
          <cell r="A40" t="str">
            <v>Cambodia</v>
          </cell>
        </row>
        <row r="41">
          <cell r="A41" t="str">
            <v>Malaysia</v>
          </cell>
          <cell r="B41">
            <v>0.61</v>
          </cell>
          <cell r="C41">
            <v>0.39</v>
          </cell>
        </row>
        <row r="42">
          <cell r="A42" t="str">
            <v>South Africa</v>
          </cell>
          <cell r="B42">
            <v>0.65</v>
          </cell>
          <cell r="C42">
            <v>0.35</v>
          </cell>
        </row>
        <row r="43">
          <cell r="A43" t="str">
            <v>Australia</v>
          </cell>
          <cell r="B43">
            <v>0.67</v>
          </cell>
          <cell r="C43">
            <v>0.33</v>
          </cell>
        </row>
        <row r="44">
          <cell r="A44" t="str">
            <v>Nicaragua</v>
          </cell>
        </row>
        <row r="45">
          <cell r="A45" t="str">
            <v>Belarus</v>
          </cell>
          <cell r="B45">
            <v>0.63</v>
          </cell>
          <cell r="C45">
            <v>0.37</v>
          </cell>
        </row>
        <row r="46">
          <cell r="A46" t="str">
            <v>Luxembourg</v>
          </cell>
        </row>
        <row r="47">
          <cell r="A47" t="str">
            <v>Denmark</v>
          </cell>
          <cell r="B47">
            <v>0.78</v>
          </cell>
          <cell r="C47">
            <v>0.22</v>
          </cell>
        </row>
        <row r="48">
          <cell r="A48" t="str">
            <v>Hong Kong</v>
          </cell>
          <cell r="B48">
            <v>0.53</v>
          </cell>
          <cell r="C48">
            <v>0.47</v>
          </cell>
        </row>
        <row r="49">
          <cell r="A49" t="str">
            <v>Ethiopia</v>
          </cell>
        </row>
        <row r="50">
          <cell r="A50" t="str">
            <v>United Kingdom</v>
          </cell>
          <cell r="B50">
            <v>0.66</v>
          </cell>
          <cell r="C50">
            <v>0.34</v>
          </cell>
        </row>
        <row r="51">
          <cell r="A51" t="str">
            <v>Moldova</v>
          </cell>
        </row>
        <row r="52">
          <cell r="A52" t="str">
            <v>Belgium</v>
          </cell>
          <cell r="B52">
            <v>0.78</v>
          </cell>
          <cell r="C52">
            <v>0.22</v>
          </cell>
        </row>
        <row r="53">
          <cell r="A53" t="str">
            <v>St. Helena</v>
          </cell>
        </row>
        <row r="54">
          <cell r="A54" t="str">
            <v>Kyrgyzstan</v>
          </cell>
        </row>
        <row r="55">
          <cell r="A55" t="str">
            <v>Dominican Republic</v>
          </cell>
        </row>
        <row r="56">
          <cell r="A56" t="str">
            <v>Malta</v>
          </cell>
        </row>
        <row r="57">
          <cell r="A57" t="str">
            <v>Bangladesh</v>
          </cell>
          <cell r="B57">
            <v>0.38</v>
          </cell>
          <cell r="C57">
            <v>0.62</v>
          </cell>
        </row>
        <row r="58">
          <cell r="A58" t="str">
            <v>Guatemala</v>
          </cell>
        </row>
        <row r="59">
          <cell r="A59" t="str">
            <v>Kenya</v>
          </cell>
          <cell r="B59">
            <v>0.56999999999999995</v>
          </cell>
          <cell r="C59">
            <v>0.43</v>
          </cell>
        </row>
        <row r="60">
          <cell r="A60" t="str">
            <v>Mozambique</v>
          </cell>
        </row>
        <row r="61">
          <cell r="A61" t="str">
            <v>Uzbekistan</v>
          </cell>
        </row>
        <row r="62">
          <cell r="A62" t="str">
            <v>Benin</v>
          </cell>
        </row>
        <row r="63">
          <cell r="A63" t="str">
            <v>Albania</v>
          </cell>
        </row>
        <row r="64">
          <cell r="A64" t="str">
            <v>Ireland</v>
          </cell>
          <cell r="B64">
            <v>0.62</v>
          </cell>
          <cell r="C64">
            <v>0.38</v>
          </cell>
        </row>
        <row r="65">
          <cell r="A65" t="str">
            <v>Kazakhstan</v>
          </cell>
          <cell r="B65">
            <v>0.8</v>
          </cell>
          <cell r="C65">
            <v>0.2</v>
          </cell>
        </row>
        <row r="66">
          <cell r="A66" t="str">
            <v>Cyprus</v>
          </cell>
        </row>
        <row r="67">
          <cell r="A67" t="str">
            <v>Netherlands</v>
          </cell>
          <cell r="B67">
            <v>0.7</v>
          </cell>
          <cell r="C67">
            <v>0.3</v>
          </cell>
        </row>
        <row r="68">
          <cell r="A68" t="str">
            <v>Taiwan</v>
          </cell>
          <cell r="B68">
            <v>0.37</v>
          </cell>
          <cell r="C68">
            <v>0.63</v>
          </cell>
        </row>
        <row r="69">
          <cell r="A69" t="str">
            <v>North Macedonia</v>
          </cell>
        </row>
        <row r="70">
          <cell r="A70" t="str">
            <v>Azerbaijan</v>
          </cell>
        </row>
        <row r="71">
          <cell r="A71" t="str">
            <v>Portugal</v>
          </cell>
          <cell r="B71">
            <v>0.66</v>
          </cell>
          <cell r="C71">
            <v>0.34</v>
          </cell>
        </row>
        <row r="72">
          <cell r="A72" t="str">
            <v>Bulgaria</v>
          </cell>
          <cell r="B72">
            <v>0.73</v>
          </cell>
          <cell r="C72">
            <v>0.27</v>
          </cell>
        </row>
        <row r="73">
          <cell r="A73" t="str">
            <v>Rwanda</v>
          </cell>
        </row>
        <row r="74">
          <cell r="A74" t="str">
            <v>Macao</v>
          </cell>
        </row>
        <row r="75">
          <cell r="A75" t="str">
            <v>Mauritius</v>
          </cell>
        </row>
        <row r="76">
          <cell r="A76" t="str">
            <v>Ghana</v>
          </cell>
        </row>
        <row r="77">
          <cell r="A77" t="str">
            <v>Armenia</v>
          </cell>
        </row>
        <row r="78">
          <cell r="A78" t="str">
            <v>Peru</v>
          </cell>
          <cell r="B78">
            <v>0.65</v>
          </cell>
          <cell r="C78">
            <v>0.35</v>
          </cell>
        </row>
        <row r="79">
          <cell r="A79" t="str">
            <v>Czechia</v>
          </cell>
          <cell r="B79">
            <v>0.39</v>
          </cell>
          <cell r="C79">
            <v>0.61</v>
          </cell>
        </row>
        <row r="80">
          <cell r="A80" t="str">
            <v>Ecuador</v>
          </cell>
          <cell r="B80">
            <v>0.69</v>
          </cell>
          <cell r="C80">
            <v>0.31</v>
          </cell>
        </row>
        <row r="81">
          <cell r="A81" t="str">
            <v>Finland</v>
          </cell>
          <cell r="B81">
            <v>0.68</v>
          </cell>
          <cell r="C81">
            <v>0.32</v>
          </cell>
        </row>
        <row r="82">
          <cell r="A82" t="str">
            <v>Honduras</v>
          </cell>
        </row>
        <row r="83">
          <cell r="A83" t="str">
            <v>Russia</v>
          </cell>
          <cell r="B83">
            <v>0.56000000000000005</v>
          </cell>
          <cell r="C83">
            <v>0.44</v>
          </cell>
        </row>
        <row r="84">
          <cell r="A84" t="str">
            <v>Bhutan</v>
          </cell>
        </row>
        <row r="85">
          <cell r="A85" t="str">
            <v>Panama</v>
          </cell>
        </row>
        <row r="86">
          <cell r="A86" t="str">
            <v>Brunei</v>
          </cell>
        </row>
        <row r="87">
          <cell r="A87" t="str">
            <v>Israel</v>
          </cell>
          <cell r="B87">
            <v>0.4</v>
          </cell>
          <cell r="C87">
            <v>0.6</v>
          </cell>
        </row>
        <row r="88">
          <cell r="A88" t="str">
            <v>Costa Rica</v>
          </cell>
        </row>
        <row r="89">
          <cell r="A89" t="str">
            <v>Jamaica</v>
          </cell>
        </row>
        <row r="90">
          <cell r="A90" t="str">
            <v>Germany</v>
          </cell>
          <cell r="B90">
            <v>0.69</v>
          </cell>
          <cell r="C90">
            <v>0.31</v>
          </cell>
        </row>
        <row r="91">
          <cell r="A91" t="str">
            <v>Philippines</v>
          </cell>
          <cell r="B91">
            <v>0.57999999999999996</v>
          </cell>
          <cell r="C91">
            <v>0.42</v>
          </cell>
        </row>
        <row r="92">
          <cell r="A92" t="str">
            <v>Mongolia</v>
          </cell>
        </row>
        <row r="93">
          <cell r="A93" t="str">
            <v>Tunisia</v>
          </cell>
        </row>
        <row r="94">
          <cell r="A94" t="str">
            <v>Qatar</v>
          </cell>
        </row>
        <row r="95">
          <cell r="A95" t="str">
            <v>Angola</v>
          </cell>
        </row>
        <row r="96">
          <cell r="A96" t="str">
            <v>Syria</v>
          </cell>
        </row>
        <row r="97">
          <cell r="A97" t="str">
            <v>Madagascar</v>
          </cell>
        </row>
        <row r="98">
          <cell r="A98" t="str">
            <v>Indonesia</v>
          </cell>
          <cell r="B98">
            <v>0.39</v>
          </cell>
          <cell r="C98">
            <v>0.61</v>
          </cell>
        </row>
        <row r="99">
          <cell r="A99" t="str">
            <v>New Zealand</v>
          </cell>
          <cell r="B99">
            <v>0.56000000000000005</v>
          </cell>
          <cell r="C99">
            <v>0.44</v>
          </cell>
        </row>
        <row r="100">
          <cell r="A100" t="str">
            <v>Switzerland</v>
          </cell>
          <cell r="B100">
            <v>0.61</v>
          </cell>
          <cell r="C100">
            <v>0.39</v>
          </cell>
        </row>
        <row r="101">
          <cell r="A101" t="str">
            <v>United Arab Emirates</v>
          </cell>
          <cell r="B101">
            <v>0.64</v>
          </cell>
          <cell r="C101">
            <v>0.36</v>
          </cell>
        </row>
        <row r="102">
          <cell r="A102" t="str">
            <v>Lebanon</v>
          </cell>
        </row>
        <row r="103">
          <cell r="A103" t="str">
            <v>Spain</v>
          </cell>
          <cell r="B103">
            <v>0.73</v>
          </cell>
          <cell r="C103">
            <v>0.27</v>
          </cell>
        </row>
        <row r="104">
          <cell r="A104" t="str">
            <v>United States</v>
          </cell>
          <cell r="B104">
            <v>0.49</v>
          </cell>
          <cell r="C104">
            <v>0.51</v>
          </cell>
        </row>
        <row r="105">
          <cell r="A105" t="str">
            <v>Colombia</v>
          </cell>
          <cell r="B105">
            <v>0.65</v>
          </cell>
          <cell r="C105">
            <v>0.35</v>
          </cell>
        </row>
        <row r="106">
          <cell r="A106" t="str">
            <v>Bahrain</v>
          </cell>
        </row>
        <row r="107">
          <cell r="A107" t="str">
            <v>Canada</v>
          </cell>
          <cell r="B107">
            <v>0.5</v>
          </cell>
          <cell r="C107">
            <v>0.5</v>
          </cell>
        </row>
        <row r="108">
          <cell r="A108" t="str">
            <v>Uruguay</v>
          </cell>
        </row>
        <row r="109">
          <cell r="A109" t="str">
            <v>Lithuania</v>
          </cell>
          <cell r="B109">
            <v>0.55000000000000004</v>
          </cell>
          <cell r="C109">
            <v>0.45</v>
          </cell>
        </row>
        <row r="110">
          <cell r="A110" t="str">
            <v>Estonia</v>
          </cell>
        </row>
        <row r="111">
          <cell r="A111" t="str">
            <v>Libya</v>
          </cell>
        </row>
        <row r="112">
          <cell r="A112" t="str">
            <v>Paraguay</v>
          </cell>
        </row>
        <row r="113">
          <cell r="A113" t="str">
            <v>Austria</v>
          </cell>
          <cell r="B113">
            <v>0.66</v>
          </cell>
          <cell r="C113">
            <v>0.34</v>
          </cell>
        </row>
        <row r="114">
          <cell r="A114" t="str">
            <v>Cameroon</v>
          </cell>
        </row>
        <row r="115">
          <cell r="A115" t="str">
            <v>Ukraine</v>
          </cell>
          <cell r="B115">
            <v>0.56999999999999995</v>
          </cell>
          <cell r="C115">
            <v>0.43</v>
          </cell>
        </row>
        <row r="116">
          <cell r="A116" t="str">
            <v>Guadeloupe</v>
          </cell>
        </row>
        <row r="117">
          <cell r="A117" t="str">
            <v>Trinidad &amp; Tobago</v>
          </cell>
        </row>
        <row r="118">
          <cell r="A118" t="str">
            <v>Sudan</v>
          </cell>
        </row>
        <row r="119">
          <cell r="A119" t="str">
            <v>Zambia</v>
          </cell>
        </row>
        <row r="120">
          <cell r="A120" t="str">
            <v>Uganda</v>
          </cell>
        </row>
        <row r="121">
          <cell r="A121" t="str">
            <v>Latvia</v>
          </cell>
        </row>
        <row r="122">
          <cell r="A122" t="str">
            <v>Kuwait</v>
          </cell>
        </row>
        <row r="123">
          <cell r="A123" t="str">
            <v>El Salvador</v>
          </cell>
        </row>
        <row r="124">
          <cell r="A124" t="str">
            <v>Oman</v>
          </cell>
        </row>
        <row r="125">
          <cell r="A125" t="str">
            <v>Laos</v>
          </cell>
        </row>
        <row r="126">
          <cell r="A126" t="str">
            <v>Algeria</v>
          </cell>
          <cell r="B126">
            <v>0.34</v>
          </cell>
          <cell r="C126">
            <v>0.66</v>
          </cell>
        </row>
        <row r="127">
          <cell r="A127" t="str">
            <v>France</v>
          </cell>
          <cell r="B127">
            <v>0.71</v>
          </cell>
          <cell r="C127">
            <v>0.28999999999999998</v>
          </cell>
        </row>
        <row r="128">
          <cell r="A128" t="str">
            <v>Sweden</v>
          </cell>
          <cell r="B128">
            <v>0.54</v>
          </cell>
          <cell r="C128">
            <v>0.46</v>
          </cell>
        </row>
        <row r="129">
          <cell r="A129" t="str">
            <v>RÃ©union</v>
          </cell>
        </row>
        <row r="130">
          <cell r="A130" t="str">
            <v>Greece</v>
          </cell>
          <cell r="B130">
            <v>0.51</v>
          </cell>
          <cell r="C130">
            <v>0.49</v>
          </cell>
        </row>
        <row r="131">
          <cell r="A131" t="str">
            <v>Iraq</v>
          </cell>
        </row>
        <row r="132">
          <cell r="A132" t="str">
            <v>Palestine</v>
          </cell>
        </row>
        <row r="133">
          <cell r="A133" t="str">
            <v>Slovenia</v>
          </cell>
        </row>
        <row r="134">
          <cell r="A134" t="str">
            <v>Georgia</v>
          </cell>
        </row>
        <row r="135">
          <cell r="A135" t="str">
            <v>Bosnia &amp; Herzegovina</v>
          </cell>
        </row>
        <row r="136">
          <cell r="A136" t="str">
            <v>Egypt</v>
          </cell>
          <cell r="B136">
            <v>0.26</v>
          </cell>
          <cell r="C136">
            <v>0.74</v>
          </cell>
        </row>
        <row r="137">
          <cell r="A137" t="str">
            <v>Norway</v>
          </cell>
          <cell r="B137">
            <v>0.52</v>
          </cell>
          <cell r="C137">
            <v>0.48</v>
          </cell>
        </row>
        <row r="138">
          <cell r="A138" t="str">
            <v>Jordan</v>
          </cell>
        </row>
        <row r="139">
          <cell r="A139" t="str">
            <v>Argentina</v>
          </cell>
          <cell r="B139">
            <v>0.74</v>
          </cell>
          <cell r="C139">
            <v>0.26</v>
          </cell>
        </row>
        <row r="140">
          <cell r="A140" t="str">
            <v>Senegal</v>
          </cell>
        </row>
        <row r="141">
          <cell r="A141" t="str">
            <v>CÃ´te dâ€™Ivoire</v>
          </cell>
        </row>
        <row r="142">
          <cell r="A142" t="str">
            <v>Morocco</v>
          </cell>
          <cell r="B142">
            <v>0.53</v>
          </cell>
          <cell r="C142">
            <v>0.47</v>
          </cell>
        </row>
        <row r="143">
          <cell r="A143" t="str">
            <v>Thailand</v>
          </cell>
          <cell r="B143">
            <v>0.56000000000000005</v>
          </cell>
          <cell r="C143">
            <v>0.44</v>
          </cell>
        </row>
        <row r="144">
          <cell r="A144" t="str">
            <v>Serbia</v>
          </cell>
        </row>
        <row r="145">
          <cell r="A145" t="str">
            <v>Slovakia</v>
          </cell>
        </row>
        <row r="146">
          <cell r="A146" t="str">
            <v>Italy</v>
          </cell>
          <cell r="B146">
            <v>0.55000000000000004</v>
          </cell>
          <cell r="C146">
            <v>0.45</v>
          </cell>
        </row>
        <row r="147">
          <cell r="A147" t="str">
            <v>Hungary</v>
          </cell>
          <cell r="B147">
            <v>0.55000000000000004</v>
          </cell>
          <cell r="C147">
            <v>0.45</v>
          </cell>
        </row>
        <row r="148">
          <cell r="A148" t="str">
            <v>Puerto Rico</v>
          </cell>
        </row>
        <row r="149">
          <cell r="A149" t="str">
            <v>Saudi Arabia</v>
          </cell>
          <cell r="B149">
            <v>0.53</v>
          </cell>
          <cell r="C149">
            <v>0.47</v>
          </cell>
        </row>
        <row r="150">
          <cell r="A150" t="str">
            <v>Turkey</v>
          </cell>
          <cell r="B150">
            <v>0.48</v>
          </cell>
          <cell r="C150">
            <v>0.52</v>
          </cell>
        </row>
        <row r="151">
          <cell r="A151" t="str">
            <v>Yemen</v>
          </cell>
        </row>
        <row r="152">
          <cell r="A152" t="str">
            <v>Montserrat</v>
          </cell>
        </row>
        <row r="153">
          <cell r="A153" t="str">
            <v>Falkland Islands (Islas Malvinas)</v>
          </cell>
        </row>
        <row r="154">
          <cell r="A154" t="str">
            <v>Eritrea</v>
          </cell>
        </row>
        <row r="155">
          <cell r="A155" t="str">
            <v>Guinea-Bissau</v>
          </cell>
        </row>
        <row r="156">
          <cell r="A156" t="str">
            <v>Marshall Islands</v>
          </cell>
        </row>
        <row r="157">
          <cell r="A157" t="str">
            <v>Cook Islands</v>
          </cell>
        </row>
        <row r="158">
          <cell r="A158" t="str">
            <v>Caribbean Netherlands</v>
          </cell>
        </row>
        <row r="159">
          <cell r="A159" t="str">
            <v>Micronesia</v>
          </cell>
        </row>
        <row r="160">
          <cell r="A160" t="str">
            <v>Turks &amp; Caicos Islands</v>
          </cell>
        </row>
        <row r="161">
          <cell r="A161" t="str">
            <v>SÃ£o TomÃ© &amp; PrÃ­ncipe</v>
          </cell>
        </row>
        <row r="162">
          <cell r="A162" t="str">
            <v>Equatorial Guinea</v>
          </cell>
        </row>
        <row r="163">
          <cell r="A163" t="str">
            <v>St. Martin</v>
          </cell>
        </row>
        <row r="164">
          <cell r="A164" t="str">
            <v>Samoa</v>
          </cell>
        </row>
        <row r="165">
          <cell r="A165" t="str">
            <v>Anguilla</v>
          </cell>
        </row>
        <row r="166">
          <cell r="A166" t="str">
            <v>Lesotho</v>
          </cell>
        </row>
        <row r="167">
          <cell r="A167" t="str">
            <v>Dominica</v>
          </cell>
        </row>
        <row r="168">
          <cell r="A168" t="str">
            <v>Vanuatu</v>
          </cell>
        </row>
        <row r="169">
          <cell r="A169" t="str">
            <v>Greenland</v>
          </cell>
        </row>
        <row r="170">
          <cell r="A170" t="str">
            <v>British Virgin Islands</v>
          </cell>
        </row>
        <row r="171">
          <cell r="A171" t="str">
            <v>Sint Maarten</v>
          </cell>
        </row>
        <row r="172">
          <cell r="A172" t="str">
            <v>Faroe Islands</v>
          </cell>
        </row>
        <row r="173">
          <cell r="A173" t="str">
            <v>Ã…land Islands</v>
          </cell>
        </row>
        <row r="174">
          <cell r="A174" t="str">
            <v>St. BarthÃ©lemy</v>
          </cell>
        </row>
        <row r="175">
          <cell r="A175" t="str">
            <v>Bahamas</v>
          </cell>
        </row>
        <row r="176">
          <cell r="A176" t="str">
            <v>Liechtenstein</v>
          </cell>
        </row>
        <row r="177">
          <cell r="A177" t="str">
            <v>St. Lucia</v>
          </cell>
        </row>
        <row r="178">
          <cell r="A178" t="str">
            <v>Cayman Islands</v>
          </cell>
        </row>
        <row r="179">
          <cell r="A179" t="str">
            <v>Guernsey</v>
          </cell>
        </row>
        <row r="180">
          <cell r="A180" t="str">
            <v>South Sudan</v>
          </cell>
        </row>
        <row r="181">
          <cell r="A181" t="str">
            <v>Antigua &amp; Barbuda</v>
          </cell>
        </row>
        <row r="182">
          <cell r="A182" t="str">
            <v>Burundi</v>
          </cell>
        </row>
        <row r="183">
          <cell r="A183" t="str">
            <v>Seychelles</v>
          </cell>
        </row>
        <row r="184">
          <cell r="A184" t="str">
            <v>French Guiana</v>
          </cell>
        </row>
        <row r="185">
          <cell r="A185" t="str">
            <v>New Caledonia</v>
          </cell>
        </row>
        <row r="186">
          <cell r="A186" t="str">
            <v>Sierra Leone</v>
          </cell>
        </row>
        <row r="187">
          <cell r="A187" t="str">
            <v>Eswatini</v>
          </cell>
        </row>
        <row r="188">
          <cell r="A188" t="str">
            <v>Jersey</v>
          </cell>
        </row>
        <row r="189">
          <cell r="A189" t="str">
            <v>U.S. Virgin Islands</v>
          </cell>
        </row>
        <row r="190">
          <cell r="A190" t="str">
            <v>Guam</v>
          </cell>
        </row>
        <row r="191">
          <cell r="A191" t="str">
            <v>Belize</v>
          </cell>
        </row>
        <row r="192">
          <cell r="A192" t="str">
            <v>Gambia</v>
          </cell>
        </row>
        <row r="193">
          <cell r="A193" t="str">
            <v>Guinea</v>
          </cell>
        </row>
        <row r="194">
          <cell r="A194" t="str">
            <v>Barbados</v>
          </cell>
        </row>
        <row r="195">
          <cell r="A195" t="str">
            <v>Somalia</v>
          </cell>
        </row>
        <row r="196">
          <cell r="A196" t="str">
            <v>Gibraltar</v>
          </cell>
        </row>
        <row r="197">
          <cell r="A197" t="str">
            <v>Papua New Guinea</v>
          </cell>
        </row>
        <row r="198">
          <cell r="A198" t="str">
            <v>Malawi</v>
          </cell>
        </row>
        <row r="199">
          <cell r="A199" t="str">
            <v>Mauritania</v>
          </cell>
        </row>
        <row r="200">
          <cell r="A200" t="str">
            <v>Mayotte</v>
          </cell>
        </row>
        <row r="201">
          <cell r="A201" t="str">
            <v>Grenada</v>
          </cell>
        </row>
        <row r="202">
          <cell r="A202" t="str">
            <v>Cape Verde</v>
          </cell>
        </row>
        <row r="203">
          <cell r="A203" t="str">
            <v>Timor-Leste</v>
          </cell>
        </row>
        <row r="204">
          <cell r="A204" t="str">
            <v>Liberia</v>
          </cell>
        </row>
        <row r="205">
          <cell r="A205" t="str">
            <v>Suriname</v>
          </cell>
        </row>
        <row r="206">
          <cell r="A206" t="str">
            <v>Guyana</v>
          </cell>
        </row>
        <row r="207">
          <cell r="A207" t="str">
            <v>Andorra</v>
          </cell>
        </row>
        <row r="208">
          <cell r="A208" t="str">
            <v>Monaco</v>
          </cell>
        </row>
        <row r="209">
          <cell r="A209" t="str">
            <v>Bermuda</v>
          </cell>
        </row>
        <row r="210">
          <cell r="A210" t="str">
            <v>Togo</v>
          </cell>
        </row>
        <row r="211">
          <cell r="A211" t="str">
            <v>Niger</v>
          </cell>
        </row>
        <row r="212">
          <cell r="A212" t="str">
            <v>Martinique</v>
          </cell>
        </row>
        <row r="213">
          <cell r="A213" t="str">
            <v>Burkina Faso</v>
          </cell>
        </row>
        <row r="214">
          <cell r="A214" t="str">
            <v>French Polynesia</v>
          </cell>
        </row>
        <row r="215">
          <cell r="A215" t="str">
            <v>Gabon</v>
          </cell>
        </row>
        <row r="216">
          <cell r="A216" t="str">
            <v>Djibouti</v>
          </cell>
        </row>
        <row r="217">
          <cell r="A217" t="str">
            <v>Mali</v>
          </cell>
        </row>
        <row r="218">
          <cell r="A218" t="str">
            <v>Congo - Brazzaville</v>
          </cell>
        </row>
        <row r="219">
          <cell r="A219" t="str">
            <v>Montenegro</v>
          </cell>
        </row>
        <row r="220">
          <cell r="A220" t="str">
            <v>Congo - Kinshasa</v>
          </cell>
        </row>
        <row r="221">
          <cell r="A221" t="str">
            <v>American Samoa</v>
          </cell>
        </row>
        <row r="222">
          <cell r="A222" t="str">
            <v>Antarctica</v>
          </cell>
        </row>
        <row r="223">
          <cell r="A223" t="str">
            <v>French Southern Territories</v>
          </cell>
        </row>
        <row r="224">
          <cell r="A224" t="str">
            <v>Bouvet Island</v>
          </cell>
        </row>
        <row r="225">
          <cell r="A225" t="str">
            <v>Central African Republic</v>
          </cell>
        </row>
        <row r="226">
          <cell r="A226" t="str">
            <v>Cocos (Keeling) Islands</v>
          </cell>
        </row>
        <row r="227">
          <cell r="A227" t="str">
            <v>Comoros</v>
          </cell>
        </row>
        <row r="228">
          <cell r="A228" t="str">
            <v>Christmas Island</v>
          </cell>
        </row>
        <row r="229">
          <cell r="A229" t="str">
            <v>Western Sahara</v>
          </cell>
        </row>
        <row r="230">
          <cell r="A230" t="str">
            <v>Heard &amp; McDonald Islands</v>
          </cell>
        </row>
        <row r="231">
          <cell r="A231" t="str">
            <v>British Indian Ocean Territory</v>
          </cell>
        </row>
        <row r="232">
          <cell r="A232" t="str">
            <v>Kiribati</v>
          </cell>
        </row>
        <row r="233">
          <cell r="A233" t="str">
            <v>St. Kitts &amp; Nevis</v>
          </cell>
        </row>
        <row r="234">
          <cell r="A234" t="str">
            <v>Northern Mariana Islands</v>
          </cell>
        </row>
        <row r="235">
          <cell r="A235" t="str">
            <v>Norfolk Island</v>
          </cell>
        </row>
        <row r="236">
          <cell r="A236" t="str">
            <v>Niue</v>
          </cell>
        </row>
        <row r="237">
          <cell r="A237" t="str">
            <v>Nauru</v>
          </cell>
        </row>
        <row r="238">
          <cell r="A238" t="str">
            <v>Pitcairn Islands</v>
          </cell>
        </row>
        <row r="239">
          <cell r="A239" t="str">
            <v>Palau</v>
          </cell>
        </row>
        <row r="240">
          <cell r="A240" t="str">
            <v>North Korea</v>
          </cell>
        </row>
        <row r="241">
          <cell r="A241" t="str">
            <v>South Georgia &amp; South Sandwich Islands</v>
          </cell>
        </row>
        <row r="242">
          <cell r="A242" t="str">
            <v>Svalbard &amp; Jan Mayen</v>
          </cell>
        </row>
        <row r="243">
          <cell r="A243" t="str">
            <v>Solomon Islands</v>
          </cell>
        </row>
        <row r="244">
          <cell r="A244" t="str">
            <v>San Marino</v>
          </cell>
        </row>
        <row r="245">
          <cell r="A245" t="str">
            <v>St. Pierre &amp; Miquelon</v>
          </cell>
        </row>
        <row r="246">
          <cell r="A246" t="str">
            <v>Chad</v>
          </cell>
        </row>
        <row r="247">
          <cell r="A247" t="str">
            <v>Tokelau</v>
          </cell>
        </row>
        <row r="248">
          <cell r="A248" t="str">
            <v>Tonga</v>
          </cell>
        </row>
        <row r="249">
          <cell r="A249" t="str">
            <v>Tuvalu</v>
          </cell>
        </row>
        <row r="250">
          <cell r="A250" t="str">
            <v>U.S. Outlying Islands</v>
          </cell>
        </row>
        <row r="251">
          <cell r="A251" t="str">
            <v>Vatican City</v>
          </cell>
        </row>
        <row r="252">
          <cell r="A252" t="str">
            <v>St. Vincent &amp; Grenadines</v>
          </cell>
        </row>
        <row r="253">
          <cell r="A253" t="str">
            <v>Wallis &amp; Futuna</v>
          </cell>
        </row>
      </sheetData>
    </sheetDataSet>
  </externalBook>
</externalLink>
</file>

<file path=xl/externalLinks/externalLink2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20)"/>
    </sheetNames>
    <sheetDataSet>
      <sheetData sheetId="0">
        <row r="1">
          <cell r="A1" t="str">
            <v>Kategori: TÃ¼m kategoriler</v>
          </cell>
        </row>
        <row r="3">
          <cell r="A3" t="str">
            <v>Ãœlke</v>
          </cell>
          <cell r="B3" t="str">
            <v>Lojistik Regresyon: (2015)</v>
          </cell>
          <cell r="C3" t="str">
            <v>Design thinking: (2015)</v>
          </cell>
        </row>
        <row r="4">
          <cell r="A4" t="str">
            <v>China</v>
          </cell>
        </row>
        <row r="5">
          <cell r="A5" t="str">
            <v>Ethiopia</v>
          </cell>
          <cell r="B5">
            <v>1</v>
          </cell>
        </row>
        <row r="6">
          <cell r="A6" t="str">
            <v>Malawi</v>
          </cell>
        </row>
        <row r="7">
          <cell r="A7" t="str">
            <v>South Korea</v>
          </cell>
          <cell r="B7">
            <v>0.82</v>
          </cell>
          <cell r="C7">
            <v>0.18</v>
          </cell>
        </row>
        <row r="8">
          <cell r="A8" t="str">
            <v>Rwanda</v>
          </cell>
        </row>
        <row r="9">
          <cell r="A9" t="str">
            <v>Singapore</v>
          </cell>
          <cell r="B9">
            <v>0.43</v>
          </cell>
          <cell r="C9">
            <v>0.56999999999999995</v>
          </cell>
        </row>
        <row r="10">
          <cell r="A10" t="str">
            <v>Uganda</v>
          </cell>
          <cell r="B10">
            <v>1</v>
          </cell>
        </row>
        <row r="11">
          <cell r="A11" t="str">
            <v>Ghana</v>
          </cell>
        </row>
        <row r="12">
          <cell r="A12" t="str">
            <v>Zimbabwe</v>
          </cell>
        </row>
        <row r="13">
          <cell r="A13" t="str">
            <v>St. Helena</v>
          </cell>
        </row>
        <row r="14">
          <cell r="A14" t="str">
            <v>Iceland</v>
          </cell>
        </row>
        <row r="15">
          <cell r="A15" t="str">
            <v>Kenya</v>
          </cell>
          <cell r="B15">
            <v>0.81</v>
          </cell>
          <cell r="C15">
            <v>0.19</v>
          </cell>
        </row>
        <row r="16">
          <cell r="A16" t="str">
            <v>Cameroon</v>
          </cell>
        </row>
        <row r="17">
          <cell r="A17" t="str">
            <v>Hong Kong</v>
          </cell>
          <cell r="B17">
            <v>0.75</v>
          </cell>
          <cell r="C17">
            <v>0.25</v>
          </cell>
        </row>
        <row r="18">
          <cell r="A18" t="str">
            <v>United States</v>
          </cell>
          <cell r="B18">
            <v>0.78</v>
          </cell>
          <cell r="C18">
            <v>0.22</v>
          </cell>
        </row>
        <row r="19">
          <cell r="A19" t="str">
            <v>Netherlands</v>
          </cell>
          <cell r="B19">
            <v>0.73</v>
          </cell>
          <cell r="C19">
            <v>0.27</v>
          </cell>
        </row>
        <row r="20">
          <cell r="A20" t="str">
            <v>Denmark</v>
          </cell>
          <cell r="B20">
            <v>0.62</v>
          </cell>
          <cell r="C20">
            <v>0.38</v>
          </cell>
        </row>
        <row r="21">
          <cell r="A21" t="str">
            <v>Tanzania</v>
          </cell>
          <cell r="B21">
            <v>1</v>
          </cell>
        </row>
        <row r="22">
          <cell r="A22" t="str">
            <v>Nigeria</v>
          </cell>
          <cell r="B22">
            <v>0.87</v>
          </cell>
          <cell r="C22">
            <v>0.13</v>
          </cell>
        </row>
        <row r="23">
          <cell r="A23" t="str">
            <v>Taiwan</v>
          </cell>
          <cell r="B23">
            <v>0.57999999999999996</v>
          </cell>
          <cell r="C23">
            <v>0.42</v>
          </cell>
        </row>
        <row r="24">
          <cell r="A24" t="str">
            <v>Canada</v>
          </cell>
          <cell r="B24">
            <v>0.73</v>
          </cell>
          <cell r="C24">
            <v>0.27</v>
          </cell>
        </row>
        <row r="25">
          <cell r="A25" t="str">
            <v>Belgium</v>
          </cell>
          <cell r="B25">
            <v>0.82</v>
          </cell>
          <cell r="C25">
            <v>0.18</v>
          </cell>
        </row>
        <row r="26">
          <cell r="A26" t="str">
            <v>Switzerland</v>
          </cell>
          <cell r="B26">
            <v>0.54</v>
          </cell>
          <cell r="C26">
            <v>0.46</v>
          </cell>
        </row>
        <row r="27">
          <cell r="A27" t="str">
            <v>Ireland</v>
          </cell>
          <cell r="B27">
            <v>0.64</v>
          </cell>
          <cell r="C27">
            <v>0.36</v>
          </cell>
        </row>
        <row r="28">
          <cell r="A28" t="str">
            <v>Australia</v>
          </cell>
          <cell r="B28">
            <v>0.57999999999999996</v>
          </cell>
          <cell r="C28">
            <v>0.42</v>
          </cell>
        </row>
        <row r="29">
          <cell r="A29" t="str">
            <v>New Zealand</v>
          </cell>
          <cell r="B29">
            <v>0.51</v>
          </cell>
          <cell r="C29">
            <v>0.49</v>
          </cell>
        </row>
        <row r="30">
          <cell r="A30" t="str">
            <v>India</v>
          </cell>
          <cell r="B30">
            <v>0.71</v>
          </cell>
          <cell r="C30">
            <v>0.28999999999999998</v>
          </cell>
        </row>
        <row r="31">
          <cell r="A31" t="str">
            <v>Sweden</v>
          </cell>
          <cell r="B31">
            <v>0.77</v>
          </cell>
          <cell r="C31">
            <v>0.23</v>
          </cell>
        </row>
        <row r="32">
          <cell r="A32" t="str">
            <v>Sri Lanka</v>
          </cell>
        </row>
        <row r="33">
          <cell r="A33" t="str">
            <v>Mauritius</v>
          </cell>
        </row>
        <row r="34">
          <cell r="A34" t="str">
            <v>South Africa</v>
          </cell>
          <cell r="B34">
            <v>0.72</v>
          </cell>
          <cell r="C34">
            <v>0.28000000000000003</v>
          </cell>
        </row>
        <row r="35">
          <cell r="A35" t="str">
            <v>Nepal</v>
          </cell>
        </row>
        <row r="36">
          <cell r="A36" t="str">
            <v>Bangladesh</v>
          </cell>
        </row>
        <row r="37">
          <cell r="A37" t="str">
            <v>United Kingdom</v>
          </cell>
          <cell r="B37">
            <v>0.8</v>
          </cell>
          <cell r="C37">
            <v>0.2</v>
          </cell>
        </row>
        <row r="38">
          <cell r="A38" t="str">
            <v>Norway</v>
          </cell>
          <cell r="B38">
            <v>0.7</v>
          </cell>
          <cell r="C38">
            <v>0.3</v>
          </cell>
        </row>
        <row r="39">
          <cell r="A39" t="str">
            <v>Iran</v>
          </cell>
          <cell r="B39">
            <v>0.93</v>
          </cell>
          <cell r="C39">
            <v>7.0000000000000007E-2</v>
          </cell>
        </row>
        <row r="40">
          <cell r="A40" t="str">
            <v>Peru</v>
          </cell>
          <cell r="B40">
            <v>0.38</v>
          </cell>
          <cell r="C40">
            <v>0.62</v>
          </cell>
        </row>
        <row r="41">
          <cell r="A41" t="str">
            <v>Brazil</v>
          </cell>
          <cell r="B41">
            <v>0.18</v>
          </cell>
          <cell r="C41">
            <v>0.82</v>
          </cell>
        </row>
        <row r="42">
          <cell r="A42" t="str">
            <v>Zambia</v>
          </cell>
        </row>
        <row r="43">
          <cell r="A43" t="str">
            <v>Finland</v>
          </cell>
          <cell r="B43">
            <v>0.67</v>
          </cell>
          <cell r="C43">
            <v>0.33</v>
          </cell>
        </row>
        <row r="44">
          <cell r="A44" t="str">
            <v>Malaysia</v>
          </cell>
          <cell r="B44">
            <v>0.71</v>
          </cell>
          <cell r="C44">
            <v>0.28999999999999998</v>
          </cell>
        </row>
        <row r="45">
          <cell r="A45" t="str">
            <v>Indonesia</v>
          </cell>
          <cell r="B45">
            <v>0.89</v>
          </cell>
          <cell r="C45">
            <v>0.11</v>
          </cell>
        </row>
        <row r="46">
          <cell r="A46" t="str">
            <v>Estonia</v>
          </cell>
        </row>
        <row r="47">
          <cell r="A47" t="str">
            <v>Tunisia</v>
          </cell>
          <cell r="B47">
            <v>0.71</v>
          </cell>
          <cell r="C47">
            <v>0.28999999999999998</v>
          </cell>
        </row>
        <row r="48">
          <cell r="A48" t="str">
            <v>Pakistan</v>
          </cell>
          <cell r="B48">
            <v>0.88</v>
          </cell>
          <cell r="C48">
            <v>0.12</v>
          </cell>
        </row>
        <row r="49">
          <cell r="A49" t="str">
            <v>Israel</v>
          </cell>
          <cell r="B49">
            <v>0.81</v>
          </cell>
          <cell r="C49">
            <v>0.19</v>
          </cell>
        </row>
        <row r="50">
          <cell r="A50" t="str">
            <v>Germany</v>
          </cell>
          <cell r="B50">
            <v>0.5</v>
          </cell>
          <cell r="C50">
            <v>0.5</v>
          </cell>
        </row>
        <row r="51">
          <cell r="A51" t="str">
            <v>Colombia</v>
          </cell>
          <cell r="B51">
            <v>0.36</v>
          </cell>
          <cell r="C51">
            <v>0.64</v>
          </cell>
        </row>
        <row r="52">
          <cell r="A52" t="str">
            <v>Japan</v>
          </cell>
          <cell r="B52">
            <v>0.66</v>
          </cell>
          <cell r="C52">
            <v>0.34</v>
          </cell>
        </row>
        <row r="53">
          <cell r="A53" t="str">
            <v>Austria</v>
          </cell>
          <cell r="B53">
            <v>0.6</v>
          </cell>
          <cell r="C53">
            <v>0.4</v>
          </cell>
        </row>
        <row r="54">
          <cell r="A54" t="str">
            <v>Laos</v>
          </cell>
        </row>
        <row r="55">
          <cell r="A55" t="str">
            <v>Myanmar (Burma)</v>
          </cell>
        </row>
        <row r="56">
          <cell r="A56" t="str">
            <v>Portugal</v>
          </cell>
          <cell r="B56">
            <v>0.49</v>
          </cell>
          <cell r="C56">
            <v>0.51</v>
          </cell>
        </row>
        <row r="57">
          <cell r="A57" t="str">
            <v>Chile</v>
          </cell>
          <cell r="B57">
            <v>0.45</v>
          </cell>
          <cell r="C57">
            <v>0.55000000000000004</v>
          </cell>
        </row>
        <row r="58">
          <cell r="A58" t="str">
            <v>El Salvador</v>
          </cell>
          <cell r="C58">
            <v>1</v>
          </cell>
        </row>
        <row r="59">
          <cell r="A59" t="str">
            <v>Jamaica</v>
          </cell>
        </row>
        <row r="60">
          <cell r="A60" t="str">
            <v>Cyprus</v>
          </cell>
        </row>
        <row r="61">
          <cell r="A61" t="str">
            <v>Lebanon</v>
          </cell>
        </row>
        <row r="62">
          <cell r="A62" t="str">
            <v>Guatemala</v>
          </cell>
          <cell r="C62">
            <v>1</v>
          </cell>
        </row>
        <row r="63">
          <cell r="A63" t="str">
            <v>Philippines</v>
          </cell>
          <cell r="B63">
            <v>0.76</v>
          </cell>
          <cell r="C63">
            <v>0.24</v>
          </cell>
        </row>
        <row r="64">
          <cell r="A64" t="str">
            <v>Czechia</v>
          </cell>
          <cell r="B64">
            <v>0.78</v>
          </cell>
          <cell r="C64">
            <v>0.22</v>
          </cell>
        </row>
        <row r="65">
          <cell r="A65" t="str">
            <v>Sudan</v>
          </cell>
        </row>
        <row r="66">
          <cell r="A66" t="str">
            <v>Puerto Rico</v>
          </cell>
        </row>
        <row r="67">
          <cell r="A67" t="str">
            <v>Slovenia</v>
          </cell>
        </row>
        <row r="68">
          <cell r="A68" t="str">
            <v>Lithuania</v>
          </cell>
        </row>
        <row r="69">
          <cell r="A69" t="str">
            <v>Greece</v>
          </cell>
          <cell r="B69">
            <v>0.82</v>
          </cell>
          <cell r="C69">
            <v>0.18</v>
          </cell>
        </row>
        <row r="70">
          <cell r="A70" t="str">
            <v>Spain</v>
          </cell>
          <cell r="B70">
            <v>0.49</v>
          </cell>
          <cell r="C70">
            <v>0.51</v>
          </cell>
        </row>
        <row r="71">
          <cell r="A71" t="str">
            <v>Uruguay</v>
          </cell>
        </row>
        <row r="72">
          <cell r="A72" t="str">
            <v>Thailand</v>
          </cell>
          <cell r="B72">
            <v>0.82</v>
          </cell>
          <cell r="C72">
            <v>0.18</v>
          </cell>
        </row>
        <row r="73">
          <cell r="A73" t="str">
            <v>France</v>
          </cell>
          <cell r="B73">
            <v>0.56999999999999995</v>
          </cell>
          <cell r="C73">
            <v>0.43</v>
          </cell>
        </row>
        <row r="74">
          <cell r="A74" t="str">
            <v>Nicaragua</v>
          </cell>
        </row>
        <row r="75">
          <cell r="A75" t="str">
            <v>Mexico</v>
          </cell>
          <cell r="B75">
            <v>0.37</v>
          </cell>
          <cell r="C75">
            <v>0.63</v>
          </cell>
        </row>
        <row r="76">
          <cell r="A76" t="str">
            <v>Morocco</v>
          </cell>
          <cell r="B76">
            <v>0.74</v>
          </cell>
          <cell r="C76">
            <v>0.26</v>
          </cell>
        </row>
        <row r="77">
          <cell r="A77" t="str">
            <v>Costa Rica</v>
          </cell>
        </row>
        <row r="78">
          <cell r="A78" t="str">
            <v>Italy</v>
          </cell>
          <cell r="B78">
            <v>0.73</v>
          </cell>
          <cell r="C78">
            <v>0.27</v>
          </cell>
        </row>
        <row r="79">
          <cell r="A79" t="str">
            <v>Poland</v>
          </cell>
          <cell r="B79">
            <v>0.42</v>
          </cell>
          <cell r="C79">
            <v>0.57999999999999996</v>
          </cell>
        </row>
        <row r="80">
          <cell r="A80" t="str">
            <v>Ecuador</v>
          </cell>
          <cell r="B80">
            <v>0.52</v>
          </cell>
          <cell r="C80">
            <v>0.48</v>
          </cell>
        </row>
        <row r="81">
          <cell r="A81" t="str">
            <v>Armenia</v>
          </cell>
        </row>
        <row r="82">
          <cell r="A82" t="str">
            <v>United Arab Emirates</v>
          </cell>
          <cell r="B82">
            <v>0.5</v>
          </cell>
          <cell r="C82">
            <v>0.5</v>
          </cell>
        </row>
        <row r="83">
          <cell r="A83" t="str">
            <v>Qatar</v>
          </cell>
        </row>
        <row r="84">
          <cell r="A84" t="str">
            <v>Croatia</v>
          </cell>
        </row>
        <row r="85">
          <cell r="A85" t="str">
            <v>Honduras</v>
          </cell>
        </row>
        <row r="86">
          <cell r="A86" t="str">
            <v>Panama</v>
          </cell>
        </row>
        <row r="87">
          <cell r="A87" t="str">
            <v>Jordan</v>
          </cell>
        </row>
        <row r="88">
          <cell r="A88" t="str">
            <v>Serbia</v>
          </cell>
        </row>
        <row r="89">
          <cell r="A89" t="str">
            <v>Slovakia</v>
          </cell>
        </row>
        <row r="90">
          <cell r="A90" t="str">
            <v>Hungary</v>
          </cell>
          <cell r="B90">
            <v>0.69</v>
          </cell>
          <cell r="C90">
            <v>0.31</v>
          </cell>
        </row>
        <row r="91">
          <cell r="A91" t="str">
            <v>Belarus</v>
          </cell>
        </row>
        <row r="92">
          <cell r="A92" t="str">
            <v>Algeria</v>
          </cell>
        </row>
        <row r="93">
          <cell r="A93" t="str">
            <v>Romania</v>
          </cell>
          <cell r="B93">
            <v>0.75</v>
          </cell>
          <cell r="C93">
            <v>0.25</v>
          </cell>
        </row>
        <row r="94">
          <cell r="A94" t="str">
            <v>Egypt</v>
          </cell>
          <cell r="B94">
            <v>0.65</v>
          </cell>
          <cell r="C94">
            <v>0.35</v>
          </cell>
        </row>
        <row r="95">
          <cell r="A95" t="str">
            <v>Saudi Arabia</v>
          </cell>
          <cell r="B95">
            <v>0.63</v>
          </cell>
          <cell r="C95">
            <v>0.37</v>
          </cell>
        </row>
        <row r="96">
          <cell r="A96" t="str">
            <v>Russia</v>
          </cell>
          <cell r="B96">
            <v>0.65</v>
          </cell>
          <cell r="C96">
            <v>0.35</v>
          </cell>
        </row>
        <row r="97">
          <cell r="A97" t="str">
            <v>Argentina</v>
          </cell>
          <cell r="B97">
            <v>0.41</v>
          </cell>
          <cell r="C97">
            <v>0.59</v>
          </cell>
        </row>
        <row r="98">
          <cell r="A98" t="str">
            <v>Turkey</v>
          </cell>
          <cell r="B98">
            <v>0.84</v>
          </cell>
          <cell r="C98">
            <v>0.16</v>
          </cell>
        </row>
        <row r="99">
          <cell r="A99" t="str">
            <v>Bulgaria</v>
          </cell>
        </row>
        <row r="100">
          <cell r="A100" t="str">
            <v>Bolivia</v>
          </cell>
        </row>
        <row r="101">
          <cell r="A101" t="str">
            <v>Kazakhstan</v>
          </cell>
        </row>
        <row r="102">
          <cell r="A102" t="str">
            <v>Iraq</v>
          </cell>
        </row>
        <row r="103">
          <cell r="A103" t="str">
            <v>Ukraine</v>
          </cell>
          <cell r="B103">
            <v>0.72</v>
          </cell>
          <cell r="C103">
            <v>0.28000000000000003</v>
          </cell>
        </row>
        <row r="104">
          <cell r="A104" t="str">
            <v>Vietnam</v>
          </cell>
          <cell r="B104">
            <v>0.82</v>
          </cell>
          <cell r="C104">
            <v>0.18</v>
          </cell>
        </row>
        <row r="105">
          <cell r="A105" t="str">
            <v>Venezuela</v>
          </cell>
        </row>
        <row r="106">
          <cell r="A106" t="str">
            <v>Guinea-Bissau</v>
          </cell>
        </row>
        <row r="107">
          <cell r="A107" t="str">
            <v>Solomon Islands</v>
          </cell>
        </row>
        <row r="108">
          <cell r="A108" t="str">
            <v>Eswatini</v>
          </cell>
        </row>
        <row r="109">
          <cell r="A109" t="str">
            <v>Lesotho</v>
          </cell>
        </row>
        <row r="110">
          <cell r="A110" t="str">
            <v>St. Kitts &amp; Nevis</v>
          </cell>
        </row>
        <row r="111">
          <cell r="A111" t="str">
            <v>Benin</v>
          </cell>
        </row>
        <row r="112">
          <cell r="A112" t="str">
            <v>South Sudan</v>
          </cell>
        </row>
        <row r="113">
          <cell r="A113" t="str">
            <v>U.S. Virgin Islands</v>
          </cell>
        </row>
        <row r="114">
          <cell r="A114" t="str">
            <v>Togo</v>
          </cell>
        </row>
        <row r="115">
          <cell r="A115" t="str">
            <v>Bhutan</v>
          </cell>
        </row>
        <row r="116">
          <cell r="A116" t="str">
            <v>Cuba</v>
          </cell>
        </row>
        <row r="117">
          <cell r="A117" t="str">
            <v>Niger</v>
          </cell>
        </row>
        <row r="118">
          <cell r="A118" t="str">
            <v>Liechtenstein</v>
          </cell>
        </row>
        <row r="119">
          <cell r="A119" t="str">
            <v>Gambia</v>
          </cell>
        </row>
        <row r="120">
          <cell r="A120" t="str">
            <v>Grenada</v>
          </cell>
        </row>
        <row r="121">
          <cell r="A121" t="str">
            <v>St. Vincent &amp; Grenadines</v>
          </cell>
        </row>
        <row r="122">
          <cell r="A122" t="str">
            <v>Burundi</v>
          </cell>
        </row>
        <row r="123">
          <cell r="A123" t="str">
            <v>St. Lucia</v>
          </cell>
        </row>
        <row r="124">
          <cell r="A124" t="str">
            <v>Bermuda</v>
          </cell>
        </row>
        <row r="125">
          <cell r="A125" t="str">
            <v>Liberia</v>
          </cell>
        </row>
        <row r="126">
          <cell r="A126" t="str">
            <v>Cayman Islands</v>
          </cell>
        </row>
        <row r="127">
          <cell r="A127" t="str">
            <v>Botswana</v>
          </cell>
        </row>
        <row r="128">
          <cell r="A128" t="str">
            <v>Burkina Faso</v>
          </cell>
        </row>
        <row r="129">
          <cell r="A129" t="str">
            <v>Cape Verde</v>
          </cell>
        </row>
        <row r="130">
          <cell r="A130" t="str">
            <v>CuraÃ§ao</v>
          </cell>
        </row>
        <row r="131">
          <cell r="A131" t="str">
            <v>Luxembourg</v>
          </cell>
        </row>
        <row r="132">
          <cell r="A132" t="str">
            <v>Guernsey</v>
          </cell>
        </row>
        <row r="133">
          <cell r="A133" t="str">
            <v>Barbados</v>
          </cell>
        </row>
        <row r="134">
          <cell r="A134" t="str">
            <v>Macao</v>
          </cell>
        </row>
        <row r="135">
          <cell r="A135" t="str">
            <v>Haiti</v>
          </cell>
        </row>
        <row r="136">
          <cell r="A136" t="str">
            <v>Suriname</v>
          </cell>
        </row>
        <row r="137">
          <cell r="A137" t="str">
            <v>Belize</v>
          </cell>
        </row>
        <row r="138">
          <cell r="A138" t="str">
            <v>Malta</v>
          </cell>
        </row>
        <row r="139">
          <cell r="A139" t="str">
            <v>Congo - Brazzaville</v>
          </cell>
        </row>
        <row r="140">
          <cell r="A140" t="str">
            <v>CÃ´te dâ€™Ivoire</v>
          </cell>
        </row>
        <row r="141">
          <cell r="A141" t="str">
            <v>Senegal</v>
          </cell>
        </row>
        <row r="142">
          <cell r="A142" t="str">
            <v>Brunei</v>
          </cell>
        </row>
        <row r="143">
          <cell r="A143" t="str">
            <v>Mali</v>
          </cell>
        </row>
        <row r="144">
          <cell r="A144" t="str">
            <v>Trinidad &amp; Tobago</v>
          </cell>
        </row>
        <row r="145">
          <cell r="A145" t="str">
            <v>Fiji</v>
          </cell>
        </row>
        <row r="146">
          <cell r="A146" t="str">
            <v>French Guiana</v>
          </cell>
        </row>
        <row r="147">
          <cell r="A147" t="str">
            <v>Papua New Guinea</v>
          </cell>
        </row>
        <row r="148">
          <cell r="A148" t="str">
            <v>Guadeloupe</v>
          </cell>
        </row>
        <row r="149">
          <cell r="A149" t="str">
            <v>Guyana</v>
          </cell>
        </row>
        <row r="150">
          <cell r="A150" t="str">
            <v>Somalia</v>
          </cell>
        </row>
        <row r="151">
          <cell r="A151" t="str">
            <v>Congo - Kinshasa</v>
          </cell>
        </row>
        <row r="152">
          <cell r="A152" t="str">
            <v>Afghanistan</v>
          </cell>
        </row>
        <row r="153">
          <cell r="A153" t="str">
            <v>Madagascar</v>
          </cell>
        </row>
        <row r="154">
          <cell r="A154" t="str">
            <v>Jersey</v>
          </cell>
        </row>
        <row r="155">
          <cell r="A155" t="str">
            <v>Mauritania</v>
          </cell>
        </row>
        <row r="156">
          <cell r="A156" t="str">
            <v>Mozambique</v>
          </cell>
        </row>
        <row r="157">
          <cell r="A157" t="str">
            <v>Namibia</v>
          </cell>
        </row>
        <row r="158">
          <cell r="A158" t="str">
            <v>Guinea</v>
          </cell>
        </row>
        <row r="159">
          <cell r="A159" t="str">
            <v>Guam</v>
          </cell>
        </row>
        <row r="160">
          <cell r="A160" t="str">
            <v>Palestine</v>
          </cell>
        </row>
        <row r="161">
          <cell r="A161" t="str">
            <v>Maldives</v>
          </cell>
        </row>
        <row r="162">
          <cell r="A162" t="str">
            <v>Albania</v>
          </cell>
        </row>
        <row r="163">
          <cell r="A163" t="str">
            <v>Oman</v>
          </cell>
        </row>
        <row r="164">
          <cell r="A164" t="str">
            <v>Cambodia</v>
          </cell>
        </row>
        <row r="165">
          <cell r="A165" t="str">
            <v>Uzbekistan</v>
          </cell>
        </row>
        <row r="166">
          <cell r="A166" t="str">
            <v>Bahrain</v>
          </cell>
        </row>
        <row r="167">
          <cell r="A167" t="str">
            <v>North Macedonia</v>
          </cell>
        </row>
        <row r="168">
          <cell r="A168" t="str">
            <v>Martinique</v>
          </cell>
        </row>
        <row r="169">
          <cell r="A169" t="str">
            <v>Mongolia</v>
          </cell>
        </row>
        <row r="170">
          <cell r="A170" t="str">
            <v>Kyrgyzstan</v>
          </cell>
        </row>
        <row r="171">
          <cell r="A171" t="str">
            <v>Syria</v>
          </cell>
        </row>
        <row r="172">
          <cell r="A172" t="str">
            <v>Paraguay</v>
          </cell>
        </row>
        <row r="173">
          <cell r="A173" t="str">
            <v>Latvia</v>
          </cell>
        </row>
        <row r="174">
          <cell r="A174" t="str">
            <v>RÃ©union</v>
          </cell>
        </row>
        <row r="175">
          <cell r="A175" t="str">
            <v>Libya</v>
          </cell>
        </row>
        <row r="176">
          <cell r="A176" t="str">
            <v>Montenegro</v>
          </cell>
        </row>
        <row r="177">
          <cell r="A177" t="str">
            <v>Kuwait</v>
          </cell>
        </row>
        <row r="178">
          <cell r="A178" t="str">
            <v>Bosnia &amp; Herzegovina</v>
          </cell>
        </row>
        <row r="179">
          <cell r="A179" t="str">
            <v>Dominican Republic</v>
          </cell>
        </row>
        <row r="180">
          <cell r="A180" t="str">
            <v>Kosovo</v>
          </cell>
        </row>
        <row r="181">
          <cell r="A181" t="str">
            <v>Georgia</v>
          </cell>
        </row>
        <row r="182">
          <cell r="A182" t="str">
            <v>Azerbaijan</v>
          </cell>
        </row>
        <row r="183">
          <cell r="A183" t="str">
            <v>Moldova</v>
          </cell>
        </row>
        <row r="184">
          <cell r="A184" t="str">
            <v>Aruba</v>
          </cell>
        </row>
        <row r="185">
          <cell r="A185" t="str">
            <v>Angola</v>
          </cell>
        </row>
        <row r="186">
          <cell r="A186" t="str">
            <v>Anguilla</v>
          </cell>
        </row>
        <row r="187">
          <cell r="A187" t="str">
            <v>Ã…land Islands</v>
          </cell>
        </row>
        <row r="188">
          <cell r="A188" t="str">
            <v>Andorra</v>
          </cell>
        </row>
        <row r="189">
          <cell r="A189" t="str">
            <v>American Samoa</v>
          </cell>
        </row>
        <row r="190">
          <cell r="A190" t="str">
            <v>Antarctica</v>
          </cell>
        </row>
        <row r="191">
          <cell r="A191" t="str">
            <v>French Southern Territories</v>
          </cell>
        </row>
        <row r="192">
          <cell r="A192" t="str">
            <v>Antigua &amp; Barbuda</v>
          </cell>
        </row>
        <row r="193">
          <cell r="A193" t="str">
            <v>Caribbean Netherlands</v>
          </cell>
        </row>
        <row r="194">
          <cell r="A194" t="str">
            <v>Bahamas</v>
          </cell>
        </row>
        <row r="195">
          <cell r="A195" t="str">
            <v>St. BarthÃ©lemy</v>
          </cell>
        </row>
        <row r="196">
          <cell r="A196" t="str">
            <v>Bouvet Island</v>
          </cell>
        </row>
        <row r="197">
          <cell r="A197" t="str">
            <v>Central African Republic</v>
          </cell>
        </row>
        <row r="198">
          <cell r="A198" t="str">
            <v>Cocos (Keeling) Islands</v>
          </cell>
        </row>
        <row r="199">
          <cell r="A199" t="str">
            <v>Cook Islands</v>
          </cell>
        </row>
        <row r="200">
          <cell r="A200" t="str">
            <v>Comoros</v>
          </cell>
        </row>
        <row r="201">
          <cell r="A201" t="str">
            <v>Christmas Island</v>
          </cell>
        </row>
        <row r="202">
          <cell r="A202" t="str">
            <v>Djibouti</v>
          </cell>
        </row>
        <row r="203">
          <cell r="A203" t="str">
            <v>Dominica</v>
          </cell>
        </row>
        <row r="204">
          <cell r="A204" t="str">
            <v>Eritrea</v>
          </cell>
        </row>
        <row r="205">
          <cell r="A205" t="str">
            <v>Western Sahara</v>
          </cell>
        </row>
        <row r="206">
          <cell r="A206" t="str">
            <v>Falkland Islands (Islas Malvinas)</v>
          </cell>
        </row>
        <row r="207">
          <cell r="A207" t="str">
            <v>Faroe Islands</v>
          </cell>
        </row>
        <row r="208">
          <cell r="A208" t="str">
            <v>Micronesia</v>
          </cell>
        </row>
        <row r="209">
          <cell r="A209" t="str">
            <v>Gabon</v>
          </cell>
        </row>
        <row r="210">
          <cell r="A210" t="str">
            <v>Gibraltar</v>
          </cell>
        </row>
        <row r="211">
          <cell r="A211" t="str">
            <v>Equatorial Guinea</v>
          </cell>
        </row>
        <row r="212">
          <cell r="A212" t="str">
            <v>Greenland</v>
          </cell>
        </row>
        <row r="213">
          <cell r="A213" t="str">
            <v>Heard &amp; McDonald Islands</v>
          </cell>
        </row>
        <row r="214">
          <cell r="A214" t="str">
            <v>Isle of Man</v>
          </cell>
        </row>
        <row r="215">
          <cell r="A215" t="str">
            <v>British Indian Ocean Territory</v>
          </cell>
        </row>
        <row r="216">
          <cell r="A216" t="str">
            <v>Kiribati</v>
          </cell>
        </row>
        <row r="217">
          <cell r="A217" t="str">
            <v>St. Martin</v>
          </cell>
        </row>
        <row r="218">
          <cell r="A218" t="str">
            <v>Monaco</v>
          </cell>
        </row>
        <row r="219">
          <cell r="A219" t="str">
            <v>Marshall Islands</v>
          </cell>
        </row>
        <row r="220">
          <cell r="A220" t="str">
            <v>Northern Mariana Islands</v>
          </cell>
        </row>
        <row r="221">
          <cell r="A221" t="str">
            <v>Montserrat</v>
          </cell>
        </row>
        <row r="222">
          <cell r="A222" t="str">
            <v>Mayotte</v>
          </cell>
        </row>
        <row r="223">
          <cell r="A223" t="str">
            <v>New Caledonia</v>
          </cell>
        </row>
        <row r="224">
          <cell r="A224" t="str">
            <v>Norfolk Island</v>
          </cell>
        </row>
        <row r="225">
          <cell r="A225" t="str">
            <v>Niue</v>
          </cell>
        </row>
        <row r="226">
          <cell r="A226" t="str">
            <v>Nauru</v>
          </cell>
        </row>
        <row r="227">
          <cell r="A227" t="str">
            <v>Pitcairn Islands</v>
          </cell>
        </row>
        <row r="228">
          <cell r="A228" t="str">
            <v>Palau</v>
          </cell>
        </row>
        <row r="229">
          <cell r="A229" t="str">
            <v>North Korea</v>
          </cell>
        </row>
        <row r="230">
          <cell r="A230" t="str">
            <v>French Polynesia</v>
          </cell>
        </row>
        <row r="231">
          <cell r="A231" t="str">
            <v>South Georgia &amp; South Sandwich Islands</v>
          </cell>
        </row>
        <row r="232">
          <cell r="A232" t="str">
            <v>Svalbard &amp; Jan Mayen</v>
          </cell>
        </row>
        <row r="233">
          <cell r="A233" t="str">
            <v>Sierra Leone</v>
          </cell>
        </row>
        <row r="234">
          <cell r="A234" t="str">
            <v>San Marino</v>
          </cell>
        </row>
        <row r="235">
          <cell r="A235" t="str">
            <v>St. Pierre &amp; Miquelon</v>
          </cell>
        </row>
        <row r="236">
          <cell r="A236" t="str">
            <v>SÃ£o TomÃ© &amp; PrÃ­ncipe</v>
          </cell>
        </row>
        <row r="237">
          <cell r="A237" t="str">
            <v>Sint Maarten</v>
          </cell>
        </row>
        <row r="238">
          <cell r="A238" t="str">
            <v>Seychelles</v>
          </cell>
        </row>
        <row r="239">
          <cell r="A239" t="str">
            <v>Turks &amp; Caicos Islands</v>
          </cell>
        </row>
        <row r="240">
          <cell r="A240" t="str">
            <v>Chad</v>
          </cell>
        </row>
        <row r="241">
          <cell r="A241" t="str">
            <v>Tajikistan</v>
          </cell>
        </row>
        <row r="242">
          <cell r="A242" t="str">
            <v>Tokelau</v>
          </cell>
        </row>
        <row r="243">
          <cell r="A243" t="str">
            <v>Turkmenistan</v>
          </cell>
        </row>
        <row r="244">
          <cell r="A244" t="str">
            <v>Timor-Leste</v>
          </cell>
        </row>
        <row r="245">
          <cell r="A245" t="str">
            <v>Tonga</v>
          </cell>
        </row>
        <row r="246">
          <cell r="A246" t="str">
            <v>Tuvalu</v>
          </cell>
        </row>
        <row r="247">
          <cell r="A247" t="str">
            <v>U.S. Outlying Islands</v>
          </cell>
        </row>
        <row r="248">
          <cell r="A248" t="str">
            <v>Vatican City</v>
          </cell>
        </row>
        <row r="249">
          <cell r="A249" t="str">
            <v>British Virgin Islands</v>
          </cell>
        </row>
        <row r="250">
          <cell r="A250" t="str">
            <v>Vanuatu</v>
          </cell>
        </row>
        <row r="251">
          <cell r="A251" t="str">
            <v>Wallis &amp; Futuna</v>
          </cell>
        </row>
        <row r="252">
          <cell r="A252" t="str">
            <v>Samoa</v>
          </cell>
        </row>
        <row r="253">
          <cell r="A253" t="str">
            <v>Yemen</v>
          </cell>
        </row>
      </sheetData>
    </sheetDataSet>
  </externalBook>
</externalLink>
</file>

<file path=xl/externalLinks/externalLink2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21)"/>
    </sheetNames>
    <sheetDataSet>
      <sheetData sheetId="0">
        <row r="1">
          <cell r="A1" t="str">
            <v>Kategori: TÃ¼m kategoriler</v>
          </cell>
        </row>
        <row r="3">
          <cell r="A3" t="str">
            <v>Ãœlke</v>
          </cell>
          <cell r="B3" t="str">
            <v>Design thinking: (2015)</v>
          </cell>
          <cell r="C3" t="str">
            <v>Ã‡Ã¶p toplama: (2015)</v>
          </cell>
        </row>
        <row r="4">
          <cell r="A4" t="str">
            <v>China</v>
          </cell>
        </row>
        <row r="5">
          <cell r="A5" t="str">
            <v>Singapore</v>
          </cell>
          <cell r="B5">
            <v>0.72</v>
          </cell>
          <cell r="C5">
            <v>0.28000000000000003</v>
          </cell>
        </row>
        <row r="6">
          <cell r="A6" t="str">
            <v>South Korea</v>
          </cell>
          <cell r="B6">
            <v>0.23</v>
          </cell>
          <cell r="C6">
            <v>0.77</v>
          </cell>
        </row>
        <row r="7">
          <cell r="A7" t="str">
            <v>St. Helena</v>
          </cell>
        </row>
        <row r="8">
          <cell r="A8" t="str">
            <v>Canada</v>
          </cell>
          <cell r="B8">
            <v>0.18</v>
          </cell>
          <cell r="C8">
            <v>0.82</v>
          </cell>
        </row>
        <row r="9">
          <cell r="A9" t="str">
            <v>India</v>
          </cell>
          <cell r="B9">
            <v>0.21</v>
          </cell>
          <cell r="C9">
            <v>0.79</v>
          </cell>
        </row>
        <row r="10">
          <cell r="A10" t="str">
            <v>Rwanda</v>
          </cell>
        </row>
        <row r="11">
          <cell r="A11" t="str">
            <v>Jamaica</v>
          </cell>
        </row>
        <row r="12">
          <cell r="A12" t="str">
            <v>Hong Kong</v>
          </cell>
          <cell r="B12">
            <v>0.28000000000000003</v>
          </cell>
          <cell r="C12">
            <v>0.72</v>
          </cell>
        </row>
        <row r="13">
          <cell r="A13" t="str">
            <v>Malta</v>
          </cell>
        </row>
        <row r="14">
          <cell r="A14" t="str">
            <v>Guyana</v>
          </cell>
        </row>
        <row r="15">
          <cell r="A15" t="str">
            <v>Ecuador</v>
          </cell>
          <cell r="B15">
            <v>0.21</v>
          </cell>
          <cell r="C15">
            <v>0.79</v>
          </cell>
        </row>
        <row r="16">
          <cell r="A16" t="str">
            <v>Japan</v>
          </cell>
          <cell r="B16">
            <v>0.25</v>
          </cell>
          <cell r="C16">
            <v>0.75</v>
          </cell>
        </row>
        <row r="17">
          <cell r="A17" t="str">
            <v>Australia</v>
          </cell>
          <cell r="B17">
            <v>0.42</v>
          </cell>
          <cell r="C17">
            <v>0.57999999999999996</v>
          </cell>
        </row>
        <row r="18">
          <cell r="A18" t="str">
            <v>United States</v>
          </cell>
          <cell r="B18">
            <v>0.28999999999999998</v>
          </cell>
          <cell r="C18">
            <v>0.71</v>
          </cell>
        </row>
        <row r="19">
          <cell r="A19" t="str">
            <v>New Zealand</v>
          </cell>
          <cell r="B19">
            <v>0.62</v>
          </cell>
          <cell r="C19">
            <v>0.38</v>
          </cell>
        </row>
        <row r="20">
          <cell r="A20" t="str">
            <v>Israel</v>
          </cell>
          <cell r="B20">
            <v>0.15</v>
          </cell>
          <cell r="C20">
            <v>0.85</v>
          </cell>
        </row>
        <row r="21">
          <cell r="A21" t="str">
            <v>Panama</v>
          </cell>
        </row>
        <row r="22">
          <cell r="A22" t="str">
            <v>Costa Rica</v>
          </cell>
          <cell r="B22">
            <v>0.28000000000000003</v>
          </cell>
          <cell r="C22">
            <v>0.72</v>
          </cell>
        </row>
        <row r="23">
          <cell r="A23" t="str">
            <v>Switzerland</v>
          </cell>
          <cell r="B23">
            <v>0.6</v>
          </cell>
          <cell r="C23">
            <v>0.4</v>
          </cell>
        </row>
        <row r="24">
          <cell r="A24" t="str">
            <v>Peru</v>
          </cell>
          <cell r="B24">
            <v>0.7</v>
          </cell>
          <cell r="C24">
            <v>0.3</v>
          </cell>
        </row>
        <row r="25">
          <cell r="A25" t="str">
            <v>Brazil</v>
          </cell>
          <cell r="B25">
            <v>0.83</v>
          </cell>
          <cell r="C25">
            <v>0.17</v>
          </cell>
        </row>
        <row r="26">
          <cell r="A26" t="str">
            <v>Chile</v>
          </cell>
          <cell r="B26">
            <v>0.43</v>
          </cell>
          <cell r="C26">
            <v>0.56999999999999995</v>
          </cell>
        </row>
        <row r="27">
          <cell r="A27" t="str">
            <v>Mexico</v>
          </cell>
          <cell r="B27">
            <v>0.31</v>
          </cell>
          <cell r="C27">
            <v>0.69</v>
          </cell>
        </row>
        <row r="28">
          <cell r="A28" t="str">
            <v>Denmark</v>
          </cell>
          <cell r="B28">
            <v>0.64</v>
          </cell>
          <cell r="C28">
            <v>0.36</v>
          </cell>
        </row>
        <row r="29">
          <cell r="A29" t="str">
            <v>Taiwan</v>
          </cell>
          <cell r="B29">
            <v>0.54</v>
          </cell>
          <cell r="C29">
            <v>0.46</v>
          </cell>
        </row>
        <row r="30">
          <cell r="A30" t="str">
            <v>Belarus</v>
          </cell>
        </row>
        <row r="31">
          <cell r="A31" t="str">
            <v>Germany</v>
          </cell>
          <cell r="B31">
            <v>0.6</v>
          </cell>
          <cell r="C31">
            <v>0.4</v>
          </cell>
        </row>
        <row r="32">
          <cell r="A32" t="str">
            <v>Colombia</v>
          </cell>
          <cell r="B32">
            <v>0.61</v>
          </cell>
          <cell r="C32">
            <v>0.39</v>
          </cell>
        </row>
        <row r="33">
          <cell r="A33" t="str">
            <v>El Salvador</v>
          </cell>
        </row>
        <row r="34">
          <cell r="A34" t="str">
            <v>Paraguay</v>
          </cell>
        </row>
        <row r="35">
          <cell r="A35" t="str">
            <v>Sri Lanka</v>
          </cell>
        </row>
        <row r="36">
          <cell r="A36" t="str">
            <v>Kenya</v>
          </cell>
          <cell r="B36">
            <v>0.38</v>
          </cell>
          <cell r="C36">
            <v>0.62</v>
          </cell>
        </row>
        <row r="37">
          <cell r="A37" t="str">
            <v>Myanmar (Burma)</v>
          </cell>
        </row>
        <row r="38">
          <cell r="A38" t="str">
            <v>Argentina</v>
          </cell>
          <cell r="B38">
            <v>0.21</v>
          </cell>
          <cell r="C38">
            <v>0.79</v>
          </cell>
        </row>
        <row r="39">
          <cell r="A39" t="str">
            <v>Norway</v>
          </cell>
          <cell r="B39">
            <v>0.37</v>
          </cell>
          <cell r="C39">
            <v>0.63</v>
          </cell>
        </row>
        <row r="40">
          <cell r="A40" t="str">
            <v>Portugal</v>
          </cell>
          <cell r="B40">
            <v>0.63</v>
          </cell>
          <cell r="C40">
            <v>0.37</v>
          </cell>
        </row>
        <row r="41">
          <cell r="A41" t="str">
            <v>Philippines</v>
          </cell>
          <cell r="B41">
            <v>0.23</v>
          </cell>
          <cell r="C41">
            <v>0.77</v>
          </cell>
        </row>
        <row r="42">
          <cell r="A42" t="str">
            <v>Ireland</v>
          </cell>
          <cell r="B42">
            <v>0.5</v>
          </cell>
          <cell r="C42">
            <v>0.5</v>
          </cell>
        </row>
        <row r="43">
          <cell r="A43" t="str">
            <v>Sweden</v>
          </cell>
          <cell r="B43">
            <v>0.34</v>
          </cell>
          <cell r="C43">
            <v>0.66</v>
          </cell>
        </row>
        <row r="44">
          <cell r="A44" t="str">
            <v>Guatemala</v>
          </cell>
          <cell r="B44">
            <v>0.54</v>
          </cell>
          <cell r="C44">
            <v>0.46</v>
          </cell>
        </row>
        <row r="45">
          <cell r="A45" t="str">
            <v>Czechia</v>
          </cell>
          <cell r="B45">
            <v>0.21</v>
          </cell>
          <cell r="C45">
            <v>0.79</v>
          </cell>
        </row>
        <row r="46">
          <cell r="A46" t="str">
            <v>Hungary</v>
          </cell>
        </row>
        <row r="47">
          <cell r="A47" t="str">
            <v>United Kingdom</v>
          </cell>
          <cell r="B47">
            <v>0.28999999999999998</v>
          </cell>
          <cell r="C47">
            <v>0.71</v>
          </cell>
        </row>
        <row r="48">
          <cell r="A48" t="str">
            <v>Latvia</v>
          </cell>
        </row>
        <row r="49">
          <cell r="A49" t="str">
            <v>Belgium</v>
          </cell>
          <cell r="B49">
            <v>0.32</v>
          </cell>
          <cell r="C49">
            <v>0.68</v>
          </cell>
        </row>
        <row r="50">
          <cell r="A50" t="str">
            <v>Netherlands</v>
          </cell>
          <cell r="B50">
            <v>0.56999999999999995</v>
          </cell>
          <cell r="C50">
            <v>0.43</v>
          </cell>
        </row>
        <row r="51">
          <cell r="A51" t="str">
            <v>Honduras</v>
          </cell>
        </row>
        <row r="52">
          <cell r="A52" t="str">
            <v>Iceland</v>
          </cell>
        </row>
        <row r="53">
          <cell r="A53" t="str">
            <v>Estonia</v>
          </cell>
        </row>
        <row r="54">
          <cell r="A54" t="str">
            <v>Bulgaria</v>
          </cell>
        </row>
        <row r="55">
          <cell r="A55" t="str">
            <v>Austria</v>
          </cell>
          <cell r="B55">
            <v>0.49</v>
          </cell>
          <cell r="C55">
            <v>0.51</v>
          </cell>
        </row>
        <row r="56">
          <cell r="A56" t="str">
            <v>Finland</v>
          </cell>
          <cell r="B56">
            <v>0.47</v>
          </cell>
          <cell r="C56">
            <v>0.53</v>
          </cell>
        </row>
        <row r="57">
          <cell r="A57" t="str">
            <v>Namibia</v>
          </cell>
        </row>
        <row r="58">
          <cell r="A58" t="str">
            <v>Nepal</v>
          </cell>
        </row>
        <row r="59">
          <cell r="A59" t="str">
            <v>Cyprus</v>
          </cell>
        </row>
        <row r="60">
          <cell r="A60" t="str">
            <v>Spain</v>
          </cell>
          <cell r="B60">
            <v>0.67</v>
          </cell>
          <cell r="C60">
            <v>0.33</v>
          </cell>
        </row>
        <row r="61">
          <cell r="A61" t="str">
            <v>Turkey</v>
          </cell>
          <cell r="B61">
            <v>7.0000000000000007E-2</v>
          </cell>
          <cell r="C61">
            <v>0.93</v>
          </cell>
        </row>
        <row r="62">
          <cell r="A62" t="str">
            <v>Uruguay</v>
          </cell>
        </row>
        <row r="63">
          <cell r="A63" t="str">
            <v>Ukraine</v>
          </cell>
          <cell r="B63">
            <v>0.11</v>
          </cell>
          <cell r="C63">
            <v>0.89</v>
          </cell>
        </row>
        <row r="64">
          <cell r="A64" t="str">
            <v>Lebanon</v>
          </cell>
        </row>
        <row r="65">
          <cell r="A65" t="str">
            <v>South Africa</v>
          </cell>
          <cell r="B65">
            <v>0.55000000000000004</v>
          </cell>
          <cell r="C65">
            <v>0.45</v>
          </cell>
        </row>
        <row r="66">
          <cell r="A66" t="str">
            <v>Uganda</v>
          </cell>
        </row>
        <row r="67">
          <cell r="A67" t="str">
            <v>Malaysia</v>
          </cell>
          <cell r="B67">
            <v>0.47</v>
          </cell>
          <cell r="C67">
            <v>0.53</v>
          </cell>
        </row>
        <row r="68">
          <cell r="A68" t="str">
            <v>Slovenia</v>
          </cell>
        </row>
        <row r="69">
          <cell r="A69" t="str">
            <v>Russia</v>
          </cell>
          <cell r="B69">
            <v>0.21</v>
          </cell>
          <cell r="C69">
            <v>0.79</v>
          </cell>
        </row>
        <row r="70">
          <cell r="A70" t="str">
            <v>Ghana</v>
          </cell>
        </row>
        <row r="71">
          <cell r="A71" t="str">
            <v>Vietnam</v>
          </cell>
          <cell r="B71">
            <v>0.06</v>
          </cell>
          <cell r="C71">
            <v>0.94</v>
          </cell>
        </row>
        <row r="72">
          <cell r="A72" t="str">
            <v>Pakistan</v>
          </cell>
          <cell r="B72">
            <v>0.22</v>
          </cell>
          <cell r="C72">
            <v>0.78</v>
          </cell>
        </row>
        <row r="73">
          <cell r="A73" t="str">
            <v>Poland</v>
          </cell>
          <cell r="B73">
            <v>0.49</v>
          </cell>
          <cell r="C73">
            <v>0.51</v>
          </cell>
        </row>
        <row r="74">
          <cell r="A74" t="str">
            <v>Armenia</v>
          </cell>
        </row>
        <row r="75">
          <cell r="A75" t="str">
            <v>Lithuania</v>
          </cell>
        </row>
        <row r="76">
          <cell r="A76" t="str">
            <v>United Arab Emirates</v>
          </cell>
          <cell r="B76">
            <v>0.47</v>
          </cell>
          <cell r="C76">
            <v>0.53</v>
          </cell>
        </row>
        <row r="77">
          <cell r="A77" t="str">
            <v>Romania</v>
          </cell>
          <cell r="B77">
            <v>0.17</v>
          </cell>
          <cell r="C77">
            <v>0.83</v>
          </cell>
        </row>
        <row r="78">
          <cell r="A78" t="str">
            <v>Serbia</v>
          </cell>
        </row>
        <row r="79">
          <cell r="A79" t="str">
            <v>Tunisia</v>
          </cell>
        </row>
        <row r="80">
          <cell r="A80" t="str">
            <v>Dominican Republic</v>
          </cell>
        </row>
        <row r="81">
          <cell r="A81" t="str">
            <v>France</v>
          </cell>
          <cell r="B81">
            <v>0.5</v>
          </cell>
          <cell r="C81">
            <v>0.5</v>
          </cell>
        </row>
        <row r="82">
          <cell r="A82" t="str">
            <v>Bolivia</v>
          </cell>
        </row>
        <row r="83">
          <cell r="A83" t="str">
            <v>Egypt</v>
          </cell>
          <cell r="B83">
            <v>0.28000000000000003</v>
          </cell>
          <cell r="C83">
            <v>0.72</v>
          </cell>
        </row>
        <row r="84">
          <cell r="A84" t="str">
            <v>Bangladesh</v>
          </cell>
        </row>
        <row r="85">
          <cell r="A85" t="str">
            <v>Nigeria</v>
          </cell>
        </row>
        <row r="86">
          <cell r="A86" t="str">
            <v>Venezuela</v>
          </cell>
          <cell r="B86">
            <v>0.24</v>
          </cell>
          <cell r="C86">
            <v>0.76</v>
          </cell>
        </row>
        <row r="87">
          <cell r="A87" t="str">
            <v>Greece</v>
          </cell>
          <cell r="B87">
            <v>0.28999999999999998</v>
          </cell>
          <cell r="C87">
            <v>0.71</v>
          </cell>
        </row>
        <row r="88">
          <cell r="A88" t="str">
            <v>Slovakia</v>
          </cell>
        </row>
        <row r="89">
          <cell r="A89" t="str">
            <v>Italy</v>
          </cell>
          <cell r="B89">
            <v>0.38</v>
          </cell>
          <cell r="C89">
            <v>0.62</v>
          </cell>
        </row>
        <row r="90">
          <cell r="A90" t="str">
            <v>Croatia</v>
          </cell>
        </row>
        <row r="91">
          <cell r="A91" t="str">
            <v>Iran</v>
          </cell>
          <cell r="B91">
            <v>0.28999999999999998</v>
          </cell>
          <cell r="C91">
            <v>0.71</v>
          </cell>
        </row>
        <row r="92">
          <cell r="A92" t="str">
            <v>Jordan</v>
          </cell>
        </row>
        <row r="93">
          <cell r="A93" t="str">
            <v>Kazakhstan</v>
          </cell>
        </row>
        <row r="94">
          <cell r="A94" t="str">
            <v>Kuwait</v>
          </cell>
        </row>
        <row r="95">
          <cell r="A95" t="str">
            <v>Morocco</v>
          </cell>
        </row>
        <row r="96">
          <cell r="A96" t="str">
            <v>Saudi Arabia</v>
          </cell>
        </row>
        <row r="97">
          <cell r="A97" t="str">
            <v>Thailand</v>
          </cell>
          <cell r="B97">
            <v>0.49</v>
          </cell>
          <cell r="C97">
            <v>0.51</v>
          </cell>
        </row>
        <row r="98">
          <cell r="A98" t="str">
            <v>Indonesia</v>
          </cell>
          <cell r="B98">
            <v>0.5</v>
          </cell>
          <cell r="C98">
            <v>0.5</v>
          </cell>
        </row>
        <row r="99">
          <cell r="A99" t="str">
            <v>Algeria</v>
          </cell>
        </row>
        <row r="100">
          <cell r="A100" t="str">
            <v>Liechtenstein</v>
          </cell>
        </row>
        <row r="101">
          <cell r="A101" t="str">
            <v>San Marino</v>
          </cell>
        </row>
        <row r="102">
          <cell r="A102" t="str">
            <v>Bhutan</v>
          </cell>
        </row>
        <row r="103">
          <cell r="A103" t="str">
            <v>Monaco</v>
          </cell>
        </row>
        <row r="104">
          <cell r="A104" t="str">
            <v>Cayman Islands</v>
          </cell>
        </row>
        <row r="105">
          <cell r="A105" t="str">
            <v>Jersey</v>
          </cell>
        </row>
        <row r="106">
          <cell r="A106" t="str">
            <v>Djibouti</v>
          </cell>
        </row>
        <row r="107">
          <cell r="A107" t="str">
            <v>Cape Verde</v>
          </cell>
        </row>
        <row r="108">
          <cell r="A108" t="str">
            <v>Cuba</v>
          </cell>
        </row>
        <row r="109">
          <cell r="A109" t="str">
            <v>Guernsey</v>
          </cell>
        </row>
        <row r="110">
          <cell r="A110" t="str">
            <v>Barbados</v>
          </cell>
        </row>
        <row r="111">
          <cell r="A111" t="str">
            <v>French Guiana</v>
          </cell>
        </row>
        <row r="112">
          <cell r="A112" t="str">
            <v>Papua New Guinea</v>
          </cell>
        </row>
        <row r="113">
          <cell r="A113" t="str">
            <v>Somalia</v>
          </cell>
        </row>
        <row r="114">
          <cell r="A114" t="str">
            <v>Isle of Man</v>
          </cell>
        </row>
        <row r="115">
          <cell r="A115" t="str">
            <v>Gabon</v>
          </cell>
        </row>
        <row r="116">
          <cell r="A116" t="str">
            <v>Botswana</v>
          </cell>
        </row>
        <row r="117">
          <cell r="A117" t="str">
            <v>Maldives</v>
          </cell>
        </row>
        <row r="118">
          <cell r="A118" t="str">
            <v>Malawi</v>
          </cell>
        </row>
        <row r="119">
          <cell r="A119" t="str">
            <v>Haiti</v>
          </cell>
        </row>
        <row r="120">
          <cell r="A120" t="str">
            <v>Laos</v>
          </cell>
        </row>
        <row r="121">
          <cell r="A121" t="str">
            <v>Bahrain</v>
          </cell>
        </row>
        <row r="122">
          <cell r="A122" t="str">
            <v>Mozambique</v>
          </cell>
        </row>
        <row r="123">
          <cell r="A123" t="str">
            <v>Macao</v>
          </cell>
        </row>
        <row r="124">
          <cell r="A124" t="str">
            <v>Luxembourg</v>
          </cell>
        </row>
        <row r="125">
          <cell r="A125" t="str">
            <v>Nicaragua</v>
          </cell>
        </row>
        <row r="126">
          <cell r="A126" t="str">
            <v>Palestine</v>
          </cell>
        </row>
        <row r="127">
          <cell r="A127" t="str">
            <v>Mongolia</v>
          </cell>
        </row>
        <row r="128">
          <cell r="A128" t="str">
            <v>Brunei</v>
          </cell>
        </row>
        <row r="129">
          <cell r="A129" t="str">
            <v>Martinique</v>
          </cell>
        </row>
        <row r="130">
          <cell r="A130" t="str">
            <v>Zambia</v>
          </cell>
        </row>
        <row r="131">
          <cell r="A131" t="str">
            <v>Guadeloupe</v>
          </cell>
        </row>
        <row r="132">
          <cell r="A132" t="str">
            <v>Cambodia</v>
          </cell>
        </row>
        <row r="133">
          <cell r="A133" t="str">
            <v>Cameroon</v>
          </cell>
        </row>
        <row r="134">
          <cell r="A134" t="str">
            <v>Tanzania</v>
          </cell>
        </row>
        <row r="135">
          <cell r="A135" t="str">
            <v>Ethiopia</v>
          </cell>
        </row>
        <row r="136">
          <cell r="A136" t="str">
            <v>Libya</v>
          </cell>
        </row>
        <row r="137">
          <cell r="A137" t="str">
            <v>Trinidad &amp; Tobago</v>
          </cell>
        </row>
        <row r="138">
          <cell r="A138" t="str">
            <v>Montenegro</v>
          </cell>
        </row>
        <row r="139">
          <cell r="A139" t="str">
            <v>Angola</v>
          </cell>
        </row>
        <row r="140">
          <cell r="A140" t="str">
            <v>Syria</v>
          </cell>
        </row>
        <row r="141">
          <cell r="A141" t="str">
            <v>Uzbekistan</v>
          </cell>
        </row>
        <row r="142">
          <cell r="A142" t="str">
            <v>Mauritius</v>
          </cell>
        </row>
        <row r="143">
          <cell r="A143" t="str">
            <v>Senegal</v>
          </cell>
        </row>
        <row r="144">
          <cell r="A144" t="str">
            <v>Qatar</v>
          </cell>
        </row>
        <row r="145">
          <cell r="A145" t="str">
            <v>CÃ´te dâ€™Ivoire</v>
          </cell>
        </row>
        <row r="146">
          <cell r="A146" t="str">
            <v>Puerto Rico</v>
          </cell>
        </row>
        <row r="147">
          <cell r="A147" t="str">
            <v>Oman</v>
          </cell>
        </row>
        <row r="148">
          <cell r="A148" t="str">
            <v>Kosovo</v>
          </cell>
        </row>
        <row r="149">
          <cell r="A149" t="str">
            <v>Kyrgyzstan</v>
          </cell>
        </row>
        <row r="150">
          <cell r="A150" t="str">
            <v>Georgia</v>
          </cell>
        </row>
        <row r="151">
          <cell r="A151" t="str">
            <v>RÃ©union</v>
          </cell>
        </row>
        <row r="152">
          <cell r="A152" t="str">
            <v>Albania</v>
          </cell>
        </row>
        <row r="153">
          <cell r="A153" t="str">
            <v>North Macedonia</v>
          </cell>
        </row>
        <row r="154">
          <cell r="A154" t="str">
            <v>Sudan</v>
          </cell>
        </row>
        <row r="155">
          <cell r="A155" t="str">
            <v>Moldova</v>
          </cell>
        </row>
        <row r="156">
          <cell r="A156" t="str">
            <v>Bosnia &amp; Herzegovina</v>
          </cell>
        </row>
        <row r="157">
          <cell r="A157" t="str">
            <v>Azerbaijan</v>
          </cell>
        </row>
        <row r="158">
          <cell r="A158" t="str">
            <v>Iraq</v>
          </cell>
        </row>
        <row r="159">
          <cell r="A159" t="str">
            <v>Aruba</v>
          </cell>
        </row>
        <row r="160">
          <cell r="A160" t="str">
            <v>Afghanistan</v>
          </cell>
        </row>
        <row r="161">
          <cell r="A161" t="str">
            <v>Anguilla</v>
          </cell>
        </row>
        <row r="162">
          <cell r="A162" t="str">
            <v>Ã…land Islands</v>
          </cell>
        </row>
        <row r="163">
          <cell r="A163" t="str">
            <v>Andorra</v>
          </cell>
        </row>
        <row r="164">
          <cell r="A164" t="str">
            <v>American Samoa</v>
          </cell>
        </row>
        <row r="165">
          <cell r="A165" t="str">
            <v>Antarctica</v>
          </cell>
        </row>
        <row r="166">
          <cell r="A166" t="str">
            <v>French Southern Territories</v>
          </cell>
        </row>
        <row r="167">
          <cell r="A167" t="str">
            <v>Antigua &amp; Barbuda</v>
          </cell>
        </row>
        <row r="168">
          <cell r="A168" t="str">
            <v>Burundi</v>
          </cell>
        </row>
        <row r="169">
          <cell r="A169" t="str">
            <v>Benin</v>
          </cell>
        </row>
        <row r="170">
          <cell r="A170" t="str">
            <v>Caribbean Netherlands</v>
          </cell>
        </row>
        <row r="171">
          <cell r="A171" t="str">
            <v>Burkina Faso</v>
          </cell>
        </row>
        <row r="172">
          <cell r="A172" t="str">
            <v>Bahamas</v>
          </cell>
        </row>
        <row r="173">
          <cell r="A173" t="str">
            <v>St. BarthÃ©lemy</v>
          </cell>
        </row>
        <row r="174">
          <cell r="A174" t="str">
            <v>Belize</v>
          </cell>
        </row>
        <row r="175">
          <cell r="A175" t="str">
            <v>Bermuda</v>
          </cell>
        </row>
        <row r="176">
          <cell r="A176" t="str">
            <v>Bouvet Island</v>
          </cell>
        </row>
        <row r="177">
          <cell r="A177" t="str">
            <v>Central African Republic</v>
          </cell>
        </row>
        <row r="178">
          <cell r="A178" t="str">
            <v>Cocos (Keeling) Islands</v>
          </cell>
        </row>
        <row r="179">
          <cell r="A179" t="str">
            <v>Congo - Kinshasa</v>
          </cell>
        </row>
        <row r="180">
          <cell r="A180" t="str">
            <v>Congo - Brazzaville</v>
          </cell>
        </row>
        <row r="181">
          <cell r="A181" t="str">
            <v>Cook Islands</v>
          </cell>
        </row>
        <row r="182">
          <cell r="A182" t="str">
            <v>Comoros</v>
          </cell>
        </row>
        <row r="183">
          <cell r="A183" t="str">
            <v>CuraÃ§ao</v>
          </cell>
        </row>
        <row r="184">
          <cell r="A184" t="str">
            <v>Christmas Island</v>
          </cell>
        </row>
        <row r="185">
          <cell r="A185" t="str">
            <v>Dominica</v>
          </cell>
        </row>
        <row r="186">
          <cell r="A186" t="str">
            <v>Eritrea</v>
          </cell>
        </row>
        <row r="187">
          <cell r="A187" t="str">
            <v>Western Sahara</v>
          </cell>
        </row>
        <row r="188">
          <cell r="A188" t="str">
            <v>Fiji</v>
          </cell>
        </row>
        <row r="189">
          <cell r="A189" t="str">
            <v>Falkland Islands (Islas Malvinas)</v>
          </cell>
        </row>
        <row r="190">
          <cell r="A190" t="str">
            <v>Faroe Islands</v>
          </cell>
        </row>
        <row r="191">
          <cell r="A191" t="str">
            <v>Micronesia</v>
          </cell>
        </row>
        <row r="192">
          <cell r="A192" t="str">
            <v>Gibraltar</v>
          </cell>
        </row>
        <row r="193">
          <cell r="A193" t="str">
            <v>Guinea</v>
          </cell>
        </row>
        <row r="194">
          <cell r="A194" t="str">
            <v>Gambia</v>
          </cell>
        </row>
        <row r="195">
          <cell r="A195" t="str">
            <v>Guinea-Bissau</v>
          </cell>
        </row>
        <row r="196">
          <cell r="A196" t="str">
            <v>Equatorial Guinea</v>
          </cell>
        </row>
        <row r="197">
          <cell r="A197" t="str">
            <v>Grenada</v>
          </cell>
        </row>
        <row r="198">
          <cell r="A198" t="str">
            <v>Greenland</v>
          </cell>
        </row>
        <row r="199">
          <cell r="A199" t="str">
            <v>Guam</v>
          </cell>
        </row>
        <row r="200">
          <cell r="A200" t="str">
            <v>Heard &amp; McDonald Islands</v>
          </cell>
        </row>
        <row r="201">
          <cell r="A201" t="str">
            <v>British Indian Ocean Territory</v>
          </cell>
        </row>
        <row r="202">
          <cell r="A202" t="str">
            <v>Kiribati</v>
          </cell>
        </row>
        <row r="203">
          <cell r="A203" t="str">
            <v>St. Kitts &amp; Nevis</v>
          </cell>
        </row>
        <row r="204">
          <cell r="A204" t="str">
            <v>Liberia</v>
          </cell>
        </row>
        <row r="205">
          <cell r="A205" t="str">
            <v>St. Lucia</v>
          </cell>
        </row>
        <row r="206">
          <cell r="A206" t="str">
            <v>Lesotho</v>
          </cell>
        </row>
        <row r="207">
          <cell r="A207" t="str">
            <v>St. Martin</v>
          </cell>
        </row>
        <row r="208">
          <cell r="A208" t="str">
            <v>Madagascar</v>
          </cell>
        </row>
        <row r="209">
          <cell r="A209" t="str">
            <v>Marshall Islands</v>
          </cell>
        </row>
        <row r="210">
          <cell r="A210" t="str">
            <v>Mali</v>
          </cell>
        </row>
        <row r="211">
          <cell r="A211" t="str">
            <v>Northern Mariana Islands</v>
          </cell>
        </row>
        <row r="212">
          <cell r="A212" t="str">
            <v>Mauritania</v>
          </cell>
        </row>
        <row r="213">
          <cell r="A213" t="str">
            <v>Montserrat</v>
          </cell>
        </row>
        <row r="214">
          <cell r="A214" t="str">
            <v>Mayotte</v>
          </cell>
        </row>
        <row r="215">
          <cell r="A215" t="str">
            <v>New Caledonia</v>
          </cell>
        </row>
        <row r="216">
          <cell r="A216" t="str">
            <v>Niger</v>
          </cell>
        </row>
        <row r="217">
          <cell r="A217" t="str">
            <v>Norfolk Island</v>
          </cell>
        </row>
        <row r="218">
          <cell r="A218" t="str">
            <v>Niue</v>
          </cell>
        </row>
        <row r="219">
          <cell r="A219" t="str">
            <v>Nauru</v>
          </cell>
        </row>
        <row r="220">
          <cell r="A220" t="str">
            <v>Pitcairn Islands</v>
          </cell>
        </row>
        <row r="221">
          <cell r="A221" t="str">
            <v>Palau</v>
          </cell>
        </row>
        <row r="222">
          <cell r="A222" t="str">
            <v>North Korea</v>
          </cell>
        </row>
        <row r="223">
          <cell r="A223" t="str">
            <v>French Polynesia</v>
          </cell>
        </row>
        <row r="224">
          <cell r="A224" t="str">
            <v>South Georgia &amp; South Sandwich Islands</v>
          </cell>
        </row>
        <row r="225">
          <cell r="A225" t="str">
            <v>Svalbard &amp; Jan Mayen</v>
          </cell>
        </row>
        <row r="226">
          <cell r="A226" t="str">
            <v>Solomon Islands</v>
          </cell>
        </row>
        <row r="227">
          <cell r="A227" t="str">
            <v>Sierra Leone</v>
          </cell>
        </row>
        <row r="228">
          <cell r="A228" t="str">
            <v>St. Pierre &amp; Miquelon</v>
          </cell>
        </row>
        <row r="229">
          <cell r="A229" t="str">
            <v>South Sudan</v>
          </cell>
        </row>
        <row r="230">
          <cell r="A230" t="str">
            <v>SÃ£o TomÃ© &amp; PrÃ­ncipe</v>
          </cell>
        </row>
        <row r="231">
          <cell r="A231" t="str">
            <v>Suriname</v>
          </cell>
        </row>
        <row r="232">
          <cell r="A232" t="str">
            <v>Eswatini</v>
          </cell>
        </row>
        <row r="233">
          <cell r="A233" t="str">
            <v>Sint Maarten</v>
          </cell>
        </row>
        <row r="234">
          <cell r="A234" t="str">
            <v>Seychelles</v>
          </cell>
        </row>
        <row r="235">
          <cell r="A235" t="str">
            <v>Turks &amp; Caicos Islands</v>
          </cell>
        </row>
        <row r="236">
          <cell r="A236" t="str">
            <v>Chad</v>
          </cell>
        </row>
        <row r="237">
          <cell r="A237" t="str">
            <v>Togo</v>
          </cell>
        </row>
        <row r="238">
          <cell r="A238" t="str">
            <v>Tajikistan</v>
          </cell>
        </row>
        <row r="239">
          <cell r="A239" t="str">
            <v>Tokelau</v>
          </cell>
        </row>
        <row r="240">
          <cell r="A240" t="str">
            <v>Turkmenistan</v>
          </cell>
        </row>
        <row r="241">
          <cell r="A241" t="str">
            <v>Timor-Leste</v>
          </cell>
        </row>
        <row r="242">
          <cell r="A242" t="str">
            <v>Tonga</v>
          </cell>
        </row>
        <row r="243">
          <cell r="A243" t="str">
            <v>Tuvalu</v>
          </cell>
        </row>
        <row r="244">
          <cell r="A244" t="str">
            <v>U.S. Outlying Islands</v>
          </cell>
        </row>
        <row r="245">
          <cell r="A245" t="str">
            <v>Vatican City</v>
          </cell>
        </row>
        <row r="246">
          <cell r="A246" t="str">
            <v>St. Vincent &amp; Grenadines</v>
          </cell>
        </row>
        <row r="247">
          <cell r="A247" t="str">
            <v>British Virgin Islands</v>
          </cell>
        </row>
        <row r="248">
          <cell r="A248" t="str">
            <v>U.S. Virgin Islands</v>
          </cell>
        </row>
        <row r="249">
          <cell r="A249" t="str">
            <v>Vanuatu</v>
          </cell>
        </row>
        <row r="250">
          <cell r="A250" t="str">
            <v>Wallis &amp; Futuna</v>
          </cell>
        </row>
        <row r="251">
          <cell r="A251" t="str">
            <v>Samoa</v>
          </cell>
        </row>
        <row r="252">
          <cell r="A252" t="str">
            <v>Yemen</v>
          </cell>
        </row>
        <row r="253">
          <cell r="A253" t="str">
            <v>Zimbabwe</v>
          </cell>
        </row>
      </sheetData>
    </sheetDataSet>
  </externalBook>
</externalLink>
</file>

<file path=xl/externalLinks/externalLink2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28)"/>
    </sheetNames>
    <sheetDataSet>
      <sheetData sheetId="0">
        <row r="1">
          <cell r="A1" t="str">
            <v>Category: All categories</v>
          </cell>
        </row>
        <row r="3">
          <cell r="A3" t="str">
            <v>Country</v>
          </cell>
          <cell r="B3" t="str">
            <v>C++: (2015)</v>
          </cell>
          <cell r="C3" t="str">
            <v>Cache: (2015)</v>
          </cell>
        </row>
        <row r="4">
          <cell r="A4" t="str">
            <v>North Korea</v>
          </cell>
        </row>
        <row r="5">
          <cell r="A5" t="str">
            <v>China</v>
          </cell>
          <cell r="B5">
            <v>0.74</v>
          </cell>
          <cell r="C5">
            <v>0.26</v>
          </cell>
        </row>
        <row r="6">
          <cell r="A6" t="str">
            <v>Cuba</v>
          </cell>
        </row>
        <row r="7">
          <cell r="A7" t="str">
            <v>Ethiopia</v>
          </cell>
        </row>
        <row r="8">
          <cell r="A8" t="str">
            <v>Pakistan</v>
          </cell>
          <cell r="B8">
            <v>0.87</v>
          </cell>
          <cell r="C8">
            <v>0.13</v>
          </cell>
        </row>
        <row r="9">
          <cell r="A9" t="str">
            <v>South Korea</v>
          </cell>
          <cell r="B9">
            <v>0.76</v>
          </cell>
          <cell r="C9">
            <v>0.24</v>
          </cell>
        </row>
        <row r="10">
          <cell r="A10" t="str">
            <v>Iceland</v>
          </cell>
        </row>
        <row r="11">
          <cell r="A11" t="str">
            <v>Armenia</v>
          </cell>
        </row>
        <row r="12">
          <cell r="A12" t="str">
            <v>India</v>
          </cell>
          <cell r="B12">
            <v>0.76</v>
          </cell>
          <cell r="C12">
            <v>0.24</v>
          </cell>
        </row>
        <row r="13">
          <cell r="A13" t="str">
            <v>Fiji</v>
          </cell>
        </row>
        <row r="14">
          <cell r="A14" t="str">
            <v>Belarus</v>
          </cell>
          <cell r="B14">
            <v>0.55000000000000004</v>
          </cell>
          <cell r="C14">
            <v>0.45</v>
          </cell>
        </row>
        <row r="15">
          <cell r="A15" t="str">
            <v>Lesotho</v>
          </cell>
        </row>
        <row r="16">
          <cell r="A16" t="str">
            <v>Romania</v>
          </cell>
          <cell r="B16">
            <v>0.78</v>
          </cell>
          <cell r="C16">
            <v>0.22</v>
          </cell>
        </row>
        <row r="17">
          <cell r="A17" t="str">
            <v>St. Helena</v>
          </cell>
        </row>
        <row r="18">
          <cell r="A18" t="str">
            <v>Eswatini</v>
          </cell>
        </row>
        <row r="19">
          <cell r="A19" t="str">
            <v>Bangladesh</v>
          </cell>
          <cell r="B19">
            <v>0.79</v>
          </cell>
          <cell r="C19">
            <v>0.21</v>
          </cell>
        </row>
        <row r="20">
          <cell r="A20" t="str">
            <v>Israel</v>
          </cell>
          <cell r="B20">
            <v>0.73</v>
          </cell>
          <cell r="C20">
            <v>0.27</v>
          </cell>
        </row>
        <row r="21">
          <cell r="A21" t="str">
            <v>Philippines</v>
          </cell>
          <cell r="B21">
            <v>0.67</v>
          </cell>
          <cell r="C21">
            <v>0.33</v>
          </cell>
        </row>
        <row r="22">
          <cell r="A22" t="str">
            <v>Poland</v>
          </cell>
          <cell r="B22">
            <v>0.8</v>
          </cell>
          <cell r="C22">
            <v>0.2</v>
          </cell>
        </row>
        <row r="23">
          <cell r="A23" t="str">
            <v>Taiwan</v>
          </cell>
          <cell r="B23">
            <v>0.77</v>
          </cell>
          <cell r="C23">
            <v>0.23</v>
          </cell>
        </row>
        <row r="24">
          <cell r="A24" t="str">
            <v>Rwanda</v>
          </cell>
        </row>
        <row r="25">
          <cell r="A25" t="str">
            <v>Nepal</v>
          </cell>
        </row>
        <row r="26">
          <cell r="A26" t="str">
            <v>Gibraltar</v>
          </cell>
        </row>
        <row r="27">
          <cell r="A27" t="str">
            <v>Somalia</v>
          </cell>
        </row>
        <row r="28">
          <cell r="A28" t="str">
            <v>Singapore</v>
          </cell>
          <cell r="B28">
            <v>0.59</v>
          </cell>
          <cell r="C28">
            <v>0.41</v>
          </cell>
        </row>
        <row r="29">
          <cell r="A29" t="str">
            <v>Honduras</v>
          </cell>
        </row>
        <row r="30">
          <cell r="A30" t="str">
            <v>Uzbekistan</v>
          </cell>
        </row>
        <row r="31">
          <cell r="A31" t="str">
            <v>Belize</v>
          </cell>
        </row>
        <row r="32">
          <cell r="A32" t="str">
            <v>North Macedonia</v>
          </cell>
        </row>
        <row r="33">
          <cell r="A33" t="str">
            <v>Iran</v>
          </cell>
          <cell r="B33">
            <v>0.85</v>
          </cell>
          <cell r="C33">
            <v>0.15</v>
          </cell>
        </row>
        <row r="34">
          <cell r="A34" t="str">
            <v>Lithuania</v>
          </cell>
          <cell r="B34">
            <v>0.74</v>
          </cell>
          <cell r="C34">
            <v>0.26</v>
          </cell>
        </row>
        <row r="35">
          <cell r="A35" t="str">
            <v>Ukraine</v>
          </cell>
          <cell r="B35">
            <v>0.54</v>
          </cell>
          <cell r="C35">
            <v>0.46</v>
          </cell>
        </row>
        <row r="36">
          <cell r="A36" t="str">
            <v>Russia</v>
          </cell>
          <cell r="B36">
            <v>0.53</v>
          </cell>
          <cell r="C36">
            <v>0.47</v>
          </cell>
        </row>
        <row r="37">
          <cell r="A37" t="str">
            <v>Guatemala</v>
          </cell>
        </row>
        <row r="38">
          <cell r="A38" t="str">
            <v>Hong Kong</v>
          </cell>
          <cell r="B38">
            <v>0.6</v>
          </cell>
          <cell r="C38">
            <v>0.4</v>
          </cell>
        </row>
        <row r="39">
          <cell r="A39" t="str">
            <v>Czechia</v>
          </cell>
          <cell r="B39">
            <v>0.65</v>
          </cell>
          <cell r="C39">
            <v>0.35</v>
          </cell>
        </row>
        <row r="40">
          <cell r="A40" t="str">
            <v>Mongolia</v>
          </cell>
        </row>
        <row r="41">
          <cell r="A41" t="str">
            <v>Sri Lanka</v>
          </cell>
          <cell r="B41">
            <v>0.7</v>
          </cell>
          <cell r="C41">
            <v>0.3</v>
          </cell>
        </row>
        <row r="42">
          <cell r="A42" t="str">
            <v>Zimbabwe</v>
          </cell>
        </row>
        <row r="43">
          <cell r="A43" t="str">
            <v>Bulgaria</v>
          </cell>
          <cell r="B43">
            <v>0.68</v>
          </cell>
          <cell r="C43">
            <v>0.32</v>
          </cell>
        </row>
        <row r="44">
          <cell r="A44" t="str">
            <v>Moldova</v>
          </cell>
        </row>
        <row r="45">
          <cell r="A45" t="str">
            <v>Afghanistan</v>
          </cell>
        </row>
        <row r="46">
          <cell r="A46" t="str">
            <v>Turkmenistan</v>
          </cell>
        </row>
        <row r="47">
          <cell r="A47" t="str">
            <v>Faroe Islands</v>
          </cell>
        </row>
        <row r="48">
          <cell r="A48" t="str">
            <v>Kazakhstan</v>
          </cell>
          <cell r="B48">
            <v>0.4</v>
          </cell>
          <cell r="C48">
            <v>0.6</v>
          </cell>
        </row>
        <row r="49">
          <cell r="A49" t="str">
            <v>Togo</v>
          </cell>
        </row>
        <row r="50">
          <cell r="A50" t="str">
            <v>Latvia</v>
          </cell>
          <cell r="B50">
            <v>0.57999999999999996</v>
          </cell>
          <cell r="C50">
            <v>0.42</v>
          </cell>
        </row>
        <row r="51">
          <cell r="A51" t="str">
            <v>Germany</v>
          </cell>
          <cell r="B51">
            <v>0.59</v>
          </cell>
          <cell r="C51">
            <v>0.41</v>
          </cell>
        </row>
        <row r="52">
          <cell r="A52" t="str">
            <v>Tunisia</v>
          </cell>
          <cell r="B52">
            <v>0.66</v>
          </cell>
          <cell r="C52">
            <v>0.34</v>
          </cell>
        </row>
        <row r="53">
          <cell r="A53" t="str">
            <v>Malta</v>
          </cell>
        </row>
        <row r="54">
          <cell r="A54" t="str">
            <v>Bermuda</v>
          </cell>
        </row>
        <row r="55">
          <cell r="A55" t="str">
            <v>Madagascar</v>
          </cell>
        </row>
        <row r="56">
          <cell r="A56" t="str">
            <v>Hungary</v>
          </cell>
          <cell r="B56">
            <v>0.68</v>
          </cell>
          <cell r="C56">
            <v>0.32</v>
          </cell>
        </row>
        <row r="57">
          <cell r="A57" t="str">
            <v>Ecuador</v>
          </cell>
          <cell r="B57">
            <v>0.77</v>
          </cell>
          <cell r="C57">
            <v>0.23</v>
          </cell>
        </row>
        <row r="58">
          <cell r="A58" t="str">
            <v>Sweden</v>
          </cell>
          <cell r="B58">
            <v>0.59</v>
          </cell>
          <cell r="C58">
            <v>0.41</v>
          </cell>
        </row>
        <row r="59">
          <cell r="A59" t="str">
            <v>Bosnia &amp; Herzegovina</v>
          </cell>
        </row>
        <row r="60">
          <cell r="A60" t="str">
            <v>Ghana</v>
          </cell>
        </row>
        <row r="61">
          <cell r="A61" t="str">
            <v>Estonia</v>
          </cell>
        </row>
        <row r="62">
          <cell r="A62" t="str">
            <v>Switzerland</v>
          </cell>
          <cell r="B62">
            <v>0.56999999999999995</v>
          </cell>
          <cell r="C62">
            <v>0.43</v>
          </cell>
        </row>
        <row r="63">
          <cell r="A63" t="str">
            <v>Costa Rica</v>
          </cell>
          <cell r="B63">
            <v>0.65</v>
          </cell>
          <cell r="C63">
            <v>0.35</v>
          </cell>
        </row>
        <row r="64">
          <cell r="A64" t="str">
            <v>Slovenia</v>
          </cell>
        </row>
        <row r="65">
          <cell r="A65" t="str">
            <v>Austria</v>
          </cell>
          <cell r="B65">
            <v>0.59</v>
          </cell>
          <cell r="C65">
            <v>0.41</v>
          </cell>
        </row>
        <row r="66">
          <cell r="A66" t="str">
            <v>St. Kitts &amp; Nevis</v>
          </cell>
        </row>
        <row r="67">
          <cell r="A67" t="str">
            <v>Jordan</v>
          </cell>
        </row>
        <row r="68">
          <cell r="A68" t="str">
            <v>Albania</v>
          </cell>
        </row>
        <row r="69">
          <cell r="A69" t="str">
            <v>Mexico</v>
          </cell>
          <cell r="B69">
            <v>0.71</v>
          </cell>
          <cell r="C69">
            <v>0.28999999999999998</v>
          </cell>
        </row>
        <row r="70">
          <cell r="A70" t="str">
            <v>Cyprus</v>
          </cell>
        </row>
        <row r="71">
          <cell r="A71" t="str">
            <v>Cameroon</v>
          </cell>
        </row>
        <row r="72">
          <cell r="A72" t="str">
            <v>Japan</v>
          </cell>
          <cell r="B72">
            <v>0.45</v>
          </cell>
          <cell r="C72">
            <v>0.55000000000000004</v>
          </cell>
        </row>
        <row r="73">
          <cell r="A73" t="str">
            <v>Croatia</v>
          </cell>
          <cell r="B73">
            <v>0.68</v>
          </cell>
          <cell r="C73">
            <v>0.32</v>
          </cell>
        </row>
        <row r="74">
          <cell r="A74" t="str">
            <v>Canada</v>
          </cell>
          <cell r="B74">
            <v>0.52</v>
          </cell>
          <cell r="C74">
            <v>0.48</v>
          </cell>
        </row>
        <row r="75">
          <cell r="A75" t="str">
            <v>Egypt</v>
          </cell>
          <cell r="B75">
            <v>0.83</v>
          </cell>
          <cell r="C75">
            <v>0.17</v>
          </cell>
        </row>
        <row r="76">
          <cell r="A76" t="str">
            <v>New Zealand</v>
          </cell>
          <cell r="B76">
            <v>0.41</v>
          </cell>
          <cell r="C76">
            <v>0.59</v>
          </cell>
        </row>
        <row r="77">
          <cell r="A77" t="str">
            <v>Bhutan</v>
          </cell>
        </row>
        <row r="78">
          <cell r="A78" t="str">
            <v>Malawi</v>
          </cell>
        </row>
        <row r="79">
          <cell r="A79" t="str">
            <v>Lebanon</v>
          </cell>
        </row>
        <row r="80">
          <cell r="A80" t="str">
            <v>Kyrgyzstan</v>
          </cell>
        </row>
        <row r="81">
          <cell r="A81" t="str">
            <v>Finland</v>
          </cell>
          <cell r="B81">
            <v>0.55000000000000004</v>
          </cell>
          <cell r="C81">
            <v>0.45</v>
          </cell>
        </row>
        <row r="82">
          <cell r="A82" t="str">
            <v>United States</v>
          </cell>
          <cell r="B82">
            <v>0.52</v>
          </cell>
          <cell r="C82">
            <v>0.48</v>
          </cell>
        </row>
        <row r="83">
          <cell r="A83" t="str">
            <v>Barbados</v>
          </cell>
        </row>
        <row r="84">
          <cell r="A84" t="str">
            <v>Malaysia</v>
          </cell>
          <cell r="B84">
            <v>0.64</v>
          </cell>
          <cell r="C84">
            <v>0.36</v>
          </cell>
        </row>
        <row r="85">
          <cell r="A85" t="str">
            <v>Slovakia</v>
          </cell>
          <cell r="B85">
            <v>0.67</v>
          </cell>
          <cell r="C85">
            <v>0.33</v>
          </cell>
        </row>
        <row r="86">
          <cell r="A86" t="str">
            <v>CuraÃ§ao</v>
          </cell>
        </row>
        <row r="87">
          <cell r="A87" t="str">
            <v>Syria</v>
          </cell>
        </row>
        <row r="88">
          <cell r="A88" t="str">
            <v>Botswana</v>
          </cell>
        </row>
        <row r="89">
          <cell r="A89" t="str">
            <v>Luxembourg</v>
          </cell>
        </row>
        <row r="90">
          <cell r="A90" t="str">
            <v>Kenya</v>
          </cell>
          <cell r="B90">
            <v>0.66</v>
          </cell>
          <cell r="C90">
            <v>0.34</v>
          </cell>
        </row>
        <row r="91">
          <cell r="A91" t="str">
            <v>Jamaica</v>
          </cell>
        </row>
        <row r="92">
          <cell r="A92" t="str">
            <v>Serbia</v>
          </cell>
          <cell r="B92">
            <v>0.71</v>
          </cell>
          <cell r="C92">
            <v>0.28999999999999998</v>
          </cell>
        </row>
        <row r="93">
          <cell r="A93" t="str">
            <v>Guernsey</v>
          </cell>
        </row>
        <row r="94">
          <cell r="A94" t="str">
            <v>Caribbean Netherlands</v>
          </cell>
        </row>
        <row r="95">
          <cell r="A95" t="str">
            <v>Benin</v>
          </cell>
        </row>
        <row r="96">
          <cell r="A96" t="str">
            <v>Ireland</v>
          </cell>
          <cell r="B96">
            <v>0.4</v>
          </cell>
          <cell r="C96">
            <v>0.6</v>
          </cell>
        </row>
        <row r="97">
          <cell r="A97" t="str">
            <v>Isle of Man</v>
          </cell>
        </row>
        <row r="98">
          <cell r="A98" t="str">
            <v>Vietnam</v>
          </cell>
          <cell r="B98">
            <v>0.74</v>
          </cell>
          <cell r="C98">
            <v>0.26</v>
          </cell>
        </row>
        <row r="99">
          <cell r="A99" t="str">
            <v>Sudan</v>
          </cell>
        </row>
        <row r="100">
          <cell r="A100" t="str">
            <v>Norway</v>
          </cell>
          <cell r="B100">
            <v>0.55000000000000004</v>
          </cell>
          <cell r="C100">
            <v>0.45</v>
          </cell>
        </row>
        <row r="101">
          <cell r="A101" t="str">
            <v>Cayman Islands</v>
          </cell>
        </row>
        <row r="102">
          <cell r="A102" t="str">
            <v>Australia</v>
          </cell>
          <cell r="B102">
            <v>0.39</v>
          </cell>
          <cell r="C102">
            <v>0.61</v>
          </cell>
        </row>
        <row r="103">
          <cell r="A103" t="str">
            <v>Solomon Islands</v>
          </cell>
        </row>
        <row r="104">
          <cell r="A104" t="str">
            <v>Cambodia</v>
          </cell>
        </row>
        <row r="105">
          <cell r="A105" t="str">
            <v>Angola</v>
          </cell>
        </row>
        <row r="106">
          <cell r="A106" t="str">
            <v>Netherlands</v>
          </cell>
          <cell r="B106">
            <v>0.44</v>
          </cell>
          <cell r="C106">
            <v>0.56000000000000005</v>
          </cell>
        </row>
        <row r="107">
          <cell r="A107" t="str">
            <v>Mauritius</v>
          </cell>
        </row>
        <row r="108">
          <cell r="A108" t="str">
            <v>Bahrain</v>
          </cell>
        </row>
        <row r="109">
          <cell r="A109" t="str">
            <v>United Kingdom</v>
          </cell>
          <cell r="B109">
            <v>0.42</v>
          </cell>
          <cell r="C109">
            <v>0.57999999999999996</v>
          </cell>
        </row>
        <row r="110">
          <cell r="A110" t="str">
            <v>Nicaragua</v>
          </cell>
        </row>
        <row r="111">
          <cell r="A111" t="str">
            <v>Tajikistan</v>
          </cell>
        </row>
        <row r="112">
          <cell r="A112" t="str">
            <v>Oman</v>
          </cell>
        </row>
        <row r="113">
          <cell r="A113" t="str">
            <v>Trinidad &amp; Tobago</v>
          </cell>
        </row>
        <row r="114">
          <cell r="A114" t="str">
            <v>Jersey</v>
          </cell>
        </row>
        <row r="115">
          <cell r="A115" t="str">
            <v>Georgia</v>
          </cell>
        </row>
        <row r="116">
          <cell r="A116" t="str">
            <v>Antigua &amp; Barbuda</v>
          </cell>
        </row>
        <row r="117">
          <cell r="A117" t="str">
            <v>Panama</v>
          </cell>
        </row>
        <row r="118">
          <cell r="A118" t="str">
            <v>U.S. Virgin Islands</v>
          </cell>
        </row>
        <row r="119">
          <cell r="A119" t="str">
            <v>El Salvador</v>
          </cell>
        </row>
        <row r="120">
          <cell r="A120" t="str">
            <v>Grenada</v>
          </cell>
        </row>
        <row r="121">
          <cell r="A121" t="str">
            <v>Portugal</v>
          </cell>
          <cell r="B121">
            <v>0.53</v>
          </cell>
          <cell r="C121">
            <v>0.47</v>
          </cell>
        </row>
        <row r="122">
          <cell r="A122" t="str">
            <v>Aruba</v>
          </cell>
        </row>
        <row r="123">
          <cell r="A123" t="str">
            <v>Bolivia</v>
          </cell>
          <cell r="B123">
            <v>0.74</v>
          </cell>
          <cell r="C123">
            <v>0.26</v>
          </cell>
        </row>
        <row r="124">
          <cell r="A124" t="str">
            <v>Bahamas</v>
          </cell>
        </row>
        <row r="125">
          <cell r="A125" t="str">
            <v>Morocco</v>
          </cell>
          <cell r="B125">
            <v>0.7</v>
          </cell>
          <cell r="C125">
            <v>0.3</v>
          </cell>
        </row>
        <row r="126">
          <cell r="A126" t="str">
            <v>Belgium</v>
          </cell>
          <cell r="B126">
            <v>0.49</v>
          </cell>
          <cell r="C126">
            <v>0.51</v>
          </cell>
        </row>
        <row r="127">
          <cell r="A127" t="str">
            <v>Colombia</v>
          </cell>
          <cell r="B127">
            <v>0.66</v>
          </cell>
          <cell r="C127">
            <v>0.34</v>
          </cell>
        </row>
        <row r="128">
          <cell r="A128" t="str">
            <v>Monaco</v>
          </cell>
        </row>
        <row r="129">
          <cell r="A129" t="str">
            <v>Macao</v>
          </cell>
        </row>
        <row r="130">
          <cell r="A130" t="str">
            <v>Indonesia</v>
          </cell>
          <cell r="B130">
            <v>0.64</v>
          </cell>
          <cell r="C130">
            <v>0.36</v>
          </cell>
        </row>
        <row r="131">
          <cell r="A131" t="str">
            <v>Denmark</v>
          </cell>
          <cell r="B131">
            <v>0.49</v>
          </cell>
          <cell r="C131">
            <v>0.51</v>
          </cell>
        </row>
        <row r="132">
          <cell r="A132" t="str">
            <v>Peru</v>
          </cell>
          <cell r="B132">
            <v>0.6</v>
          </cell>
          <cell r="C132">
            <v>0.4</v>
          </cell>
        </row>
        <row r="133">
          <cell r="A133" t="str">
            <v>Libya</v>
          </cell>
        </row>
        <row r="134">
          <cell r="A134" t="str">
            <v>Greece</v>
          </cell>
          <cell r="B134">
            <v>0.62</v>
          </cell>
          <cell r="C134">
            <v>0.38</v>
          </cell>
        </row>
        <row r="135">
          <cell r="A135" t="str">
            <v>Dominica</v>
          </cell>
        </row>
        <row r="136">
          <cell r="A136" t="str">
            <v>South Africa</v>
          </cell>
          <cell r="B136">
            <v>0.54</v>
          </cell>
          <cell r="C136">
            <v>0.46</v>
          </cell>
        </row>
        <row r="137">
          <cell r="A137" t="str">
            <v>France</v>
          </cell>
          <cell r="B137">
            <v>0.57999999999999996</v>
          </cell>
          <cell r="C137">
            <v>0.42</v>
          </cell>
        </row>
        <row r="138">
          <cell r="A138" t="str">
            <v>Palestine</v>
          </cell>
        </row>
        <row r="139">
          <cell r="A139" t="str">
            <v>Puerto Rico</v>
          </cell>
        </row>
        <row r="140">
          <cell r="A140" t="str">
            <v>Djibouti</v>
          </cell>
        </row>
        <row r="141">
          <cell r="A141" t="str">
            <v>Dominican Republic</v>
          </cell>
        </row>
        <row r="142">
          <cell r="A142" t="str">
            <v>Maldives</v>
          </cell>
        </row>
        <row r="143">
          <cell r="A143" t="str">
            <v>St. Vincent &amp; Grenadines</v>
          </cell>
        </row>
        <row r="144">
          <cell r="A144" t="str">
            <v>Uganda</v>
          </cell>
        </row>
        <row r="145">
          <cell r="A145" t="str">
            <v>Italy</v>
          </cell>
          <cell r="B145">
            <v>0.54</v>
          </cell>
          <cell r="C145">
            <v>0.46</v>
          </cell>
        </row>
        <row r="146">
          <cell r="A146" t="str">
            <v>Spain</v>
          </cell>
          <cell r="B146">
            <v>0.49</v>
          </cell>
          <cell r="C146">
            <v>0.51</v>
          </cell>
        </row>
        <row r="147">
          <cell r="A147" t="str">
            <v>Brunei</v>
          </cell>
        </row>
        <row r="148">
          <cell r="A148" t="str">
            <v>Yemen</v>
          </cell>
        </row>
        <row r="149">
          <cell r="A149" t="str">
            <v>Nigeria</v>
          </cell>
          <cell r="B149">
            <v>0.65</v>
          </cell>
          <cell r="C149">
            <v>0.35</v>
          </cell>
        </row>
        <row r="150">
          <cell r="A150" t="str">
            <v>Congo - Kinshasa</v>
          </cell>
        </row>
        <row r="151">
          <cell r="A151" t="str">
            <v>Myanmar (Burma)</v>
          </cell>
        </row>
        <row r="152">
          <cell r="A152" t="str">
            <v>Andorra</v>
          </cell>
        </row>
        <row r="153">
          <cell r="A153" t="str">
            <v>Guyana</v>
          </cell>
        </row>
        <row r="154">
          <cell r="A154" t="str">
            <v>Papua New Guinea</v>
          </cell>
        </row>
        <row r="155">
          <cell r="A155" t="str">
            <v>Paraguay</v>
          </cell>
        </row>
        <row r="156">
          <cell r="A156" t="str">
            <v>Laos</v>
          </cell>
        </row>
        <row r="157">
          <cell r="A157" t="str">
            <v>Cape Verde</v>
          </cell>
        </row>
        <row r="158">
          <cell r="A158" t="str">
            <v>Niger</v>
          </cell>
        </row>
        <row r="159">
          <cell r="A159" t="str">
            <v>Venezuela</v>
          </cell>
          <cell r="B159">
            <v>0.62</v>
          </cell>
          <cell r="C159">
            <v>0.38</v>
          </cell>
        </row>
        <row r="160">
          <cell r="A160" t="str">
            <v>Gabon</v>
          </cell>
        </row>
        <row r="161">
          <cell r="A161" t="str">
            <v>Guam</v>
          </cell>
        </row>
        <row r="162">
          <cell r="A162" t="str">
            <v>Burundi</v>
          </cell>
        </row>
        <row r="163">
          <cell r="A163" t="str">
            <v>French Polynesia</v>
          </cell>
        </row>
        <row r="164">
          <cell r="A164" t="str">
            <v>Algeria</v>
          </cell>
          <cell r="B164">
            <v>0.71</v>
          </cell>
          <cell r="C164">
            <v>0.28999999999999998</v>
          </cell>
        </row>
        <row r="165">
          <cell r="A165" t="str">
            <v>Tanzania</v>
          </cell>
        </row>
        <row r="166">
          <cell r="A166" t="str">
            <v>Azerbaijan</v>
          </cell>
        </row>
        <row r="167">
          <cell r="A167" t="str">
            <v>Montenegro</v>
          </cell>
        </row>
        <row r="168">
          <cell r="A168" t="str">
            <v>Kosovo</v>
          </cell>
        </row>
        <row r="169">
          <cell r="A169" t="str">
            <v>Haiti</v>
          </cell>
        </row>
        <row r="170">
          <cell r="A170" t="str">
            <v>Uruguay</v>
          </cell>
        </row>
        <row r="171">
          <cell r="A171" t="str">
            <v>United Arab Emirates</v>
          </cell>
          <cell r="B171">
            <v>0.49</v>
          </cell>
          <cell r="C171">
            <v>0.51</v>
          </cell>
        </row>
        <row r="172">
          <cell r="A172" t="str">
            <v>Brazil</v>
          </cell>
          <cell r="B172">
            <v>0.5</v>
          </cell>
          <cell r="C172">
            <v>0.5</v>
          </cell>
        </row>
        <row r="173">
          <cell r="A173" t="str">
            <v>Zambia</v>
          </cell>
        </row>
        <row r="174">
          <cell r="A174" t="str">
            <v>Thailand</v>
          </cell>
          <cell r="B174">
            <v>0.48</v>
          </cell>
          <cell r="C174">
            <v>0.52</v>
          </cell>
        </row>
        <row r="175">
          <cell r="A175" t="str">
            <v>Guinea</v>
          </cell>
        </row>
        <row r="176">
          <cell r="A176" t="str">
            <v>CÃ´te dâ€™Ivoire</v>
          </cell>
        </row>
        <row r="177">
          <cell r="A177" t="str">
            <v>Namibia</v>
          </cell>
        </row>
        <row r="178">
          <cell r="A178" t="str">
            <v>New Caledonia</v>
          </cell>
        </row>
        <row r="179">
          <cell r="A179" t="str">
            <v>Senegal</v>
          </cell>
        </row>
        <row r="180">
          <cell r="A180" t="str">
            <v>French Guiana</v>
          </cell>
        </row>
        <row r="181">
          <cell r="A181" t="str">
            <v>Vanuatu</v>
          </cell>
        </row>
        <row r="182">
          <cell r="A182" t="str">
            <v>Kuwait</v>
          </cell>
        </row>
        <row r="183">
          <cell r="A183" t="str">
            <v>Argentina</v>
          </cell>
          <cell r="B183">
            <v>0.48</v>
          </cell>
          <cell r="C183">
            <v>0.52</v>
          </cell>
        </row>
        <row r="184">
          <cell r="A184" t="str">
            <v>Qatar</v>
          </cell>
        </row>
        <row r="185">
          <cell r="A185" t="str">
            <v>Chile</v>
          </cell>
          <cell r="B185">
            <v>0.54</v>
          </cell>
          <cell r="C185">
            <v>0.46</v>
          </cell>
        </row>
        <row r="186">
          <cell r="A186" t="str">
            <v>RÃ©union</v>
          </cell>
        </row>
        <row r="187">
          <cell r="A187" t="str">
            <v>Iraq</v>
          </cell>
        </row>
        <row r="188">
          <cell r="A188" t="str">
            <v>Mozambique</v>
          </cell>
        </row>
        <row r="189">
          <cell r="A189" t="str">
            <v>Burkina Faso</v>
          </cell>
        </row>
        <row r="190">
          <cell r="A190" t="str">
            <v>Mayotte</v>
          </cell>
        </row>
        <row r="191">
          <cell r="A191" t="str">
            <v>Turkey</v>
          </cell>
          <cell r="B191">
            <v>0.74</v>
          </cell>
          <cell r="C191">
            <v>0.26</v>
          </cell>
        </row>
        <row r="192">
          <cell r="A192" t="str">
            <v>Congo - Brazzaville</v>
          </cell>
        </row>
        <row r="193">
          <cell r="A193" t="str">
            <v>Guadeloupe</v>
          </cell>
        </row>
        <row r="194">
          <cell r="A194" t="str">
            <v>Liberia</v>
          </cell>
        </row>
        <row r="195">
          <cell r="A195" t="str">
            <v>Saudi Arabia</v>
          </cell>
          <cell r="B195">
            <v>0.7</v>
          </cell>
          <cell r="C195">
            <v>0.3</v>
          </cell>
        </row>
        <row r="196">
          <cell r="A196" t="str">
            <v>Martinique</v>
          </cell>
        </row>
        <row r="197">
          <cell r="A197" t="str">
            <v>Suriname</v>
          </cell>
        </row>
        <row r="198">
          <cell r="A198" t="str">
            <v>Mali</v>
          </cell>
        </row>
        <row r="199">
          <cell r="A199" t="str">
            <v>Mauritania</v>
          </cell>
        </row>
        <row r="200">
          <cell r="A200" t="str">
            <v>British Indian Ocean Territory</v>
          </cell>
        </row>
        <row r="201">
          <cell r="A201" t="str">
            <v>Eritrea</v>
          </cell>
        </row>
        <row r="202">
          <cell r="A202" t="str">
            <v>Kiribati</v>
          </cell>
        </row>
        <row r="203">
          <cell r="A203" t="str">
            <v>Svalbard &amp; Jan Mayen</v>
          </cell>
        </row>
        <row r="204">
          <cell r="A204" t="str">
            <v>Falkland Islands (Islas Malvinas)</v>
          </cell>
        </row>
        <row r="205">
          <cell r="A205" t="str">
            <v>Tonga</v>
          </cell>
        </row>
        <row r="206">
          <cell r="A206" t="str">
            <v>Ã…land Islands</v>
          </cell>
        </row>
        <row r="207">
          <cell r="A207" t="str">
            <v>SÃ£o TomÃ© &amp; PrÃ­ncipe</v>
          </cell>
        </row>
        <row r="208">
          <cell r="A208" t="str">
            <v>Micronesia</v>
          </cell>
        </row>
        <row r="209">
          <cell r="A209" t="str">
            <v>Liechtenstein</v>
          </cell>
        </row>
        <row r="210">
          <cell r="A210" t="str">
            <v>Cook Islands</v>
          </cell>
        </row>
        <row r="211">
          <cell r="A211" t="str">
            <v>San Marino</v>
          </cell>
        </row>
        <row r="212">
          <cell r="A212" t="str">
            <v>Comoros</v>
          </cell>
        </row>
        <row r="213">
          <cell r="A213" t="str">
            <v>St. Lucia</v>
          </cell>
        </row>
        <row r="214">
          <cell r="A214" t="str">
            <v>Anguilla</v>
          </cell>
        </row>
        <row r="215">
          <cell r="A215" t="str">
            <v>St. Pierre &amp; Miquelon</v>
          </cell>
        </row>
        <row r="216">
          <cell r="A216" t="str">
            <v>Central African Republic</v>
          </cell>
        </row>
        <row r="217">
          <cell r="A217" t="str">
            <v>Chad</v>
          </cell>
        </row>
        <row r="218">
          <cell r="A218" t="str">
            <v>Guinea-Bissau</v>
          </cell>
        </row>
        <row r="219">
          <cell r="A219" t="str">
            <v>St. Martin</v>
          </cell>
        </row>
        <row r="220">
          <cell r="A220" t="str">
            <v>British Virgin Islands</v>
          </cell>
        </row>
        <row r="221">
          <cell r="A221" t="str">
            <v>Seychelles</v>
          </cell>
        </row>
        <row r="222">
          <cell r="A222" t="str">
            <v>St. BarthÃ©lemy</v>
          </cell>
        </row>
        <row r="223">
          <cell r="A223" t="str">
            <v>Turks &amp; Caicos Islands</v>
          </cell>
        </row>
        <row r="224">
          <cell r="A224" t="str">
            <v>Equatorial Guinea</v>
          </cell>
        </row>
        <row r="225">
          <cell r="A225" t="str">
            <v>Samoa</v>
          </cell>
        </row>
        <row r="226">
          <cell r="A226" t="str">
            <v>Gambia</v>
          </cell>
        </row>
        <row r="227">
          <cell r="A227" t="str">
            <v>Timor-Leste</v>
          </cell>
        </row>
        <row r="228">
          <cell r="A228" t="str">
            <v>Northern Mariana Islands</v>
          </cell>
        </row>
        <row r="229">
          <cell r="A229" t="str">
            <v>South Sudan</v>
          </cell>
        </row>
        <row r="230">
          <cell r="A230" t="str">
            <v>Sierra Leone</v>
          </cell>
        </row>
        <row r="231">
          <cell r="A231" t="str">
            <v>Sint Maarten</v>
          </cell>
        </row>
        <row r="232">
          <cell r="A232" t="str">
            <v>American Samoa</v>
          </cell>
        </row>
        <row r="233">
          <cell r="A233" t="str">
            <v>Antarctica</v>
          </cell>
        </row>
        <row r="234">
          <cell r="A234" t="str">
            <v>French Southern Territories</v>
          </cell>
        </row>
        <row r="235">
          <cell r="A235" t="str">
            <v>Bouvet Island</v>
          </cell>
        </row>
        <row r="236">
          <cell r="A236" t="str">
            <v>Cocos (Keeling) Islands</v>
          </cell>
        </row>
        <row r="237">
          <cell r="A237" t="str">
            <v>Christmas Island</v>
          </cell>
        </row>
        <row r="238">
          <cell r="A238" t="str">
            <v>Western Sahara</v>
          </cell>
        </row>
        <row r="239">
          <cell r="A239" t="str">
            <v>Greenland</v>
          </cell>
        </row>
        <row r="240">
          <cell r="A240" t="str">
            <v>Heard &amp; McDonald Islands</v>
          </cell>
        </row>
        <row r="241">
          <cell r="A241" t="str">
            <v>Marshall Islands</v>
          </cell>
        </row>
        <row r="242">
          <cell r="A242" t="str">
            <v>Montserrat</v>
          </cell>
        </row>
        <row r="243">
          <cell r="A243" t="str">
            <v>Norfolk Island</v>
          </cell>
        </row>
        <row r="244">
          <cell r="A244" t="str">
            <v>Niue</v>
          </cell>
        </row>
        <row r="245">
          <cell r="A245" t="str">
            <v>Nauru</v>
          </cell>
        </row>
        <row r="246">
          <cell r="A246" t="str">
            <v>Pitcairn Islands</v>
          </cell>
        </row>
        <row r="247">
          <cell r="A247" t="str">
            <v>Palau</v>
          </cell>
        </row>
        <row r="248">
          <cell r="A248" t="str">
            <v>South Georgia &amp; South Sandwich Islands</v>
          </cell>
        </row>
        <row r="249">
          <cell r="A249" t="str">
            <v>Tokelau</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2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31)"/>
    </sheetNames>
    <sheetDataSet>
      <sheetData sheetId="0">
        <row r="1">
          <cell r="A1" t="str">
            <v>Category: All categories</v>
          </cell>
        </row>
        <row r="3">
          <cell r="A3" t="str">
            <v>Country</v>
          </cell>
          <cell r="B3" t="str">
            <v>Artificial neural network: (2015)</v>
          </cell>
          <cell r="C3" t="str">
            <v>Heap: (2015)</v>
          </cell>
        </row>
        <row r="4">
          <cell r="A4" t="str">
            <v>China</v>
          </cell>
          <cell r="B4">
            <v>0.64</v>
          </cell>
          <cell r="C4">
            <v>0.36</v>
          </cell>
        </row>
        <row r="5">
          <cell r="A5" t="str">
            <v>Cuba</v>
          </cell>
        </row>
        <row r="6">
          <cell r="A6" t="str">
            <v>South Korea</v>
          </cell>
          <cell r="B6">
            <v>0.52</v>
          </cell>
          <cell r="C6">
            <v>0.48</v>
          </cell>
        </row>
        <row r="7">
          <cell r="A7" t="str">
            <v>Croatia</v>
          </cell>
          <cell r="B7">
            <v>0.9</v>
          </cell>
          <cell r="C7">
            <v>0.1</v>
          </cell>
        </row>
        <row r="8">
          <cell r="A8" t="str">
            <v>Botswana</v>
          </cell>
        </row>
        <row r="9">
          <cell r="A9" t="str">
            <v>Hong Kong</v>
          </cell>
          <cell r="B9">
            <v>0.33</v>
          </cell>
          <cell r="C9">
            <v>0.67</v>
          </cell>
        </row>
        <row r="10">
          <cell r="A10" t="str">
            <v>Zimbabwe</v>
          </cell>
        </row>
        <row r="11">
          <cell r="A11" t="str">
            <v>St. Helena</v>
          </cell>
        </row>
        <row r="12">
          <cell r="A12" t="str">
            <v>Taiwan</v>
          </cell>
          <cell r="B12">
            <v>0.32</v>
          </cell>
          <cell r="C12">
            <v>0.68</v>
          </cell>
        </row>
        <row r="13">
          <cell r="A13" t="str">
            <v>Iran</v>
          </cell>
          <cell r="B13">
            <v>0.69</v>
          </cell>
          <cell r="C13">
            <v>0.31</v>
          </cell>
        </row>
        <row r="14">
          <cell r="A14" t="str">
            <v>Nepal</v>
          </cell>
        </row>
        <row r="15">
          <cell r="A15" t="str">
            <v>Tajikistan</v>
          </cell>
        </row>
        <row r="16">
          <cell r="A16" t="str">
            <v>New Zealand</v>
          </cell>
          <cell r="B16">
            <v>0.28000000000000003</v>
          </cell>
          <cell r="C16">
            <v>0.72</v>
          </cell>
        </row>
        <row r="17">
          <cell r="A17" t="str">
            <v>India</v>
          </cell>
          <cell r="B17">
            <v>0.49</v>
          </cell>
          <cell r="C17">
            <v>0.51</v>
          </cell>
        </row>
        <row r="18">
          <cell r="A18" t="str">
            <v>Myanmar (Burma)</v>
          </cell>
        </row>
        <row r="19">
          <cell r="A19" t="str">
            <v>Macao</v>
          </cell>
        </row>
        <row r="20">
          <cell r="A20" t="str">
            <v>Israel</v>
          </cell>
          <cell r="B20">
            <v>0.39</v>
          </cell>
          <cell r="C20">
            <v>0.61</v>
          </cell>
        </row>
        <row r="21">
          <cell r="A21" t="str">
            <v>Pakistan</v>
          </cell>
          <cell r="B21">
            <v>0.59</v>
          </cell>
          <cell r="C21">
            <v>0.41</v>
          </cell>
        </row>
        <row r="22">
          <cell r="A22" t="str">
            <v>Singapore</v>
          </cell>
          <cell r="B22">
            <v>0.49</v>
          </cell>
          <cell r="C22">
            <v>0.51</v>
          </cell>
        </row>
        <row r="23">
          <cell r="A23" t="str">
            <v>Sri Lanka</v>
          </cell>
          <cell r="B23">
            <v>0.57999999999999996</v>
          </cell>
          <cell r="C23">
            <v>0.42</v>
          </cell>
        </row>
        <row r="24">
          <cell r="A24" t="str">
            <v>Nigeria</v>
          </cell>
          <cell r="B24">
            <v>0.7</v>
          </cell>
          <cell r="C24">
            <v>0.3</v>
          </cell>
        </row>
        <row r="25">
          <cell r="A25" t="str">
            <v>Ethiopia</v>
          </cell>
        </row>
        <row r="26">
          <cell r="A26" t="str">
            <v>Bhutan</v>
          </cell>
        </row>
        <row r="27">
          <cell r="A27" t="str">
            <v>Fiji</v>
          </cell>
        </row>
        <row r="28">
          <cell r="A28" t="str">
            <v>Bangladesh</v>
          </cell>
          <cell r="B28">
            <v>0.59</v>
          </cell>
          <cell r="C28">
            <v>0.41</v>
          </cell>
        </row>
        <row r="29">
          <cell r="A29" t="str">
            <v>Belarus</v>
          </cell>
          <cell r="B29">
            <v>0.37</v>
          </cell>
          <cell r="C29">
            <v>0.63</v>
          </cell>
        </row>
        <row r="30">
          <cell r="A30" t="str">
            <v>Cambodia</v>
          </cell>
        </row>
        <row r="31">
          <cell r="A31" t="str">
            <v>Australia</v>
          </cell>
          <cell r="B31">
            <v>0.38</v>
          </cell>
          <cell r="C31">
            <v>0.62</v>
          </cell>
        </row>
        <row r="32">
          <cell r="A32" t="str">
            <v>Denmark</v>
          </cell>
          <cell r="B32">
            <v>0.25</v>
          </cell>
          <cell r="C32">
            <v>0.75</v>
          </cell>
        </row>
        <row r="33">
          <cell r="A33" t="str">
            <v>United States</v>
          </cell>
          <cell r="B33">
            <v>0.43</v>
          </cell>
          <cell r="C33">
            <v>0.56999999999999995</v>
          </cell>
        </row>
        <row r="34">
          <cell r="A34" t="str">
            <v>Uzbekistan</v>
          </cell>
        </row>
        <row r="35">
          <cell r="A35" t="str">
            <v>Cyprus</v>
          </cell>
        </row>
        <row r="36">
          <cell r="A36" t="str">
            <v>Estonia</v>
          </cell>
        </row>
        <row r="37">
          <cell r="A37" t="str">
            <v>Jamaica</v>
          </cell>
        </row>
        <row r="38">
          <cell r="A38" t="str">
            <v>Ghana</v>
          </cell>
        </row>
        <row r="39">
          <cell r="A39" t="str">
            <v>Mauritius</v>
          </cell>
        </row>
        <row r="40">
          <cell r="A40" t="str">
            <v>Russia</v>
          </cell>
          <cell r="B40">
            <v>0.43</v>
          </cell>
          <cell r="C40">
            <v>0.56999999999999995</v>
          </cell>
        </row>
        <row r="41">
          <cell r="A41" t="str">
            <v>Malta</v>
          </cell>
        </row>
        <row r="42">
          <cell r="A42" t="str">
            <v>Czechia</v>
          </cell>
          <cell r="B42">
            <v>0.54</v>
          </cell>
          <cell r="C42">
            <v>0.46</v>
          </cell>
        </row>
        <row r="43">
          <cell r="A43" t="str">
            <v>Kenya</v>
          </cell>
          <cell r="B43">
            <v>0.62</v>
          </cell>
          <cell r="C43">
            <v>0.38</v>
          </cell>
        </row>
        <row r="44">
          <cell r="A44" t="str">
            <v>Malaysia</v>
          </cell>
          <cell r="B44">
            <v>0.65</v>
          </cell>
          <cell r="C44">
            <v>0.35</v>
          </cell>
        </row>
        <row r="45">
          <cell r="A45" t="str">
            <v>Somalia</v>
          </cell>
        </row>
        <row r="46">
          <cell r="A46" t="str">
            <v>Rwanda</v>
          </cell>
        </row>
        <row r="47">
          <cell r="A47" t="str">
            <v>Tunisia</v>
          </cell>
        </row>
        <row r="48">
          <cell r="A48" t="str">
            <v>Iceland</v>
          </cell>
        </row>
        <row r="49">
          <cell r="A49" t="str">
            <v>Ukraine</v>
          </cell>
          <cell r="B49">
            <v>0.4</v>
          </cell>
          <cell r="C49">
            <v>0.6</v>
          </cell>
        </row>
        <row r="50">
          <cell r="A50" t="str">
            <v>Madagascar</v>
          </cell>
        </row>
        <row r="51">
          <cell r="A51" t="str">
            <v>Cameroon</v>
          </cell>
        </row>
        <row r="52">
          <cell r="A52" t="str">
            <v>Syria</v>
          </cell>
        </row>
        <row r="53">
          <cell r="A53" t="str">
            <v>Indonesia</v>
          </cell>
          <cell r="B53">
            <v>0.83</v>
          </cell>
          <cell r="C53">
            <v>0.17</v>
          </cell>
        </row>
        <row r="54">
          <cell r="A54" t="str">
            <v>United Kingdom</v>
          </cell>
          <cell r="B54">
            <v>0.45</v>
          </cell>
          <cell r="C54">
            <v>0.55000000000000004</v>
          </cell>
        </row>
        <row r="55">
          <cell r="A55" t="str">
            <v>South Africa</v>
          </cell>
          <cell r="B55">
            <v>0.57999999999999996</v>
          </cell>
          <cell r="C55">
            <v>0.42</v>
          </cell>
        </row>
        <row r="56">
          <cell r="A56" t="str">
            <v>Tanzania</v>
          </cell>
        </row>
        <row r="57">
          <cell r="A57" t="str">
            <v>Canada</v>
          </cell>
          <cell r="B57">
            <v>0.53</v>
          </cell>
          <cell r="C57">
            <v>0.47</v>
          </cell>
        </row>
        <row r="58">
          <cell r="A58" t="str">
            <v>Uganda</v>
          </cell>
        </row>
        <row r="59">
          <cell r="A59" t="str">
            <v>Philippines</v>
          </cell>
          <cell r="B59">
            <v>0.47</v>
          </cell>
          <cell r="C59">
            <v>0.53</v>
          </cell>
        </row>
        <row r="60">
          <cell r="A60" t="str">
            <v>Lebanon</v>
          </cell>
        </row>
        <row r="61">
          <cell r="A61" t="str">
            <v>Ireland</v>
          </cell>
          <cell r="B61">
            <v>0.45</v>
          </cell>
          <cell r="C61">
            <v>0.55000000000000004</v>
          </cell>
        </row>
        <row r="62">
          <cell r="A62" t="str">
            <v>Brunei</v>
          </cell>
        </row>
        <row r="63">
          <cell r="A63" t="str">
            <v>Kazakhstan</v>
          </cell>
          <cell r="B63">
            <v>0.3</v>
          </cell>
          <cell r="C63">
            <v>0.7</v>
          </cell>
        </row>
        <row r="64">
          <cell r="A64" t="str">
            <v>Mongolia</v>
          </cell>
        </row>
        <row r="65">
          <cell r="A65" t="str">
            <v>Latvia</v>
          </cell>
        </row>
        <row r="66">
          <cell r="A66" t="str">
            <v>Kyrgyzstan</v>
          </cell>
        </row>
        <row r="67">
          <cell r="A67" t="str">
            <v>Trinidad &amp; Tobago</v>
          </cell>
        </row>
        <row r="68">
          <cell r="A68" t="str">
            <v>Lithuania</v>
          </cell>
          <cell r="B68">
            <v>0.46</v>
          </cell>
          <cell r="C68">
            <v>0.54</v>
          </cell>
        </row>
        <row r="69">
          <cell r="A69" t="str">
            <v>North Macedonia</v>
          </cell>
        </row>
        <row r="70">
          <cell r="A70" t="str">
            <v>Qatar</v>
          </cell>
        </row>
        <row r="71">
          <cell r="A71" t="str">
            <v>Sudan</v>
          </cell>
        </row>
        <row r="72">
          <cell r="A72" t="str">
            <v>Laos</v>
          </cell>
        </row>
        <row r="73">
          <cell r="A73" t="str">
            <v>Sweden</v>
          </cell>
          <cell r="B73">
            <v>0.43</v>
          </cell>
          <cell r="C73">
            <v>0.56999999999999995</v>
          </cell>
        </row>
        <row r="74">
          <cell r="A74" t="str">
            <v>Zambia</v>
          </cell>
        </row>
        <row r="75">
          <cell r="A75" t="str">
            <v>Algeria</v>
          </cell>
        </row>
        <row r="76">
          <cell r="A76" t="str">
            <v>Slovenia</v>
          </cell>
          <cell r="B76">
            <v>0.45</v>
          </cell>
          <cell r="C76">
            <v>0.55000000000000004</v>
          </cell>
        </row>
        <row r="77">
          <cell r="A77" t="str">
            <v>Moldova</v>
          </cell>
        </row>
        <row r="78">
          <cell r="A78" t="str">
            <v>Iraq</v>
          </cell>
          <cell r="B78">
            <v>0.57999999999999996</v>
          </cell>
          <cell r="C78">
            <v>0.42</v>
          </cell>
        </row>
        <row r="79">
          <cell r="A79" t="str">
            <v>Libya</v>
          </cell>
        </row>
        <row r="80">
          <cell r="A80" t="str">
            <v>Finland</v>
          </cell>
          <cell r="B80">
            <v>0.47</v>
          </cell>
          <cell r="C80">
            <v>0.53</v>
          </cell>
        </row>
        <row r="81">
          <cell r="A81" t="str">
            <v>Greece</v>
          </cell>
          <cell r="B81">
            <v>0.54</v>
          </cell>
          <cell r="C81">
            <v>0.46</v>
          </cell>
        </row>
        <row r="82">
          <cell r="A82" t="str">
            <v>Switzerland</v>
          </cell>
          <cell r="B82">
            <v>0.48</v>
          </cell>
          <cell r="C82">
            <v>0.52</v>
          </cell>
        </row>
        <row r="83">
          <cell r="A83" t="str">
            <v>Luxembourg</v>
          </cell>
        </row>
        <row r="84">
          <cell r="A84" t="str">
            <v>Palestine</v>
          </cell>
        </row>
        <row r="85">
          <cell r="A85" t="str">
            <v>Peru</v>
          </cell>
          <cell r="B85">
            <v>0.85</v>
          </cell>
          <cell r="C85">
            <v>0.15</v>
          </cell>
        </row>
        <row r="86">
          <cell r="A86" t="str">
            <v>Armenia</v>
          </cell>
        </row>
        <row r="87">
          <cell r="A87" t="str">
            <v>Jordan</v>
          </cell>
        </row>
        <row r="88">
          <cell r="A88" t="str">
            <v>Bolivia</v>
          </cell>
          <cell r="B88">
            <v>0.63</v>
          </cell>
          <cell r="C88">
            <v>0.37</v>
          </cell>
        </row>
        <row r="89">
          <cell r="A89" t="str">
            <v>Egypt</v>
          </cell>
          <cell r="B89">
            <v>0.66</v>
          </cell>
          <cell r="C89">
            <v>0.34</v>
          </cell>
        </row>
        <row r="90">
          <cell r="A90" t="str">
            <v>Poland</v>
          </cell>
          <cell r="B90">
            <v>0.59</v>
          </cell>
          <cell r="C90">
            <v>0.41</v>
          </cell>
        </row>
        <row r="91">
          <cell r="A91" t="str">
            <v>Bulgaria</v>
          </cell>
          <cell r="B91">
            <v>0.43</v>
          </cell>
          <cell r="C91">
            <v>0.56999999999999995</v>
          </cell>
        </row>
        <row r="92">
          <cell r="A92" t="str">
            <v>Oman</v>
          </cell>
        </row>
        <row r="93">
          <cell r="A93" t="str">
            <v>Germany</v>
          </cell>
          <cell r="B93">
            <v>0.45</v>
          </cell>
          <cell r="C93">
            <v>0.55000000000000004</v>
          </cell>
        </row>
        <row r="94">
          <cell r="A94" t="str">
            <v>Portugal</v>
          </cell>
          <cell r="B94">
            <v>0.59</v>
          </cell>
          <cell r="C94">
            <v>0.41</v>
          </cell>
        </row>
        <row r="95">
          <cell r="A95" t="str">
            <v>Japan</v>
          </cell>
          <cell r="B95">
            <v>0.51</v>
          </cell>
          <cell r="C95">
            <v>0.49</v>
          </cell>
        </row>
        <row r="96">
          <cell r="A96" t="str">
            <v>United Arab Emirates</v>
          </cell>
          <cell r="B96">
            <v>0.53</v>
          </cell>
          <cell r="C96">
            <v>0.47</v>
          </cell>
        </row>
        <row r="97">
          <cell r="A97" t="str">
            <v>Romania</v>
          </cell>
          <cell r="B97">
            <v>0.42</v>
          </cell>
          <cell r="C97">
            <v>0.57999999999999996</v>
          </cell>
        </row>
        <row r="98">
          <cell r="A98" t="str">
            <v>Norway</v>
          </cell>
          <cell r="B98">
            <v>0.5</v>
          </cell>
          <cell r="C98">
            <v>0.5</v>
          </cell>
        </row>
        <row r="99">
          <cell r="A99" t="str">
            <v>Georgia</v>
          </cell>
        </row>
        <row r="100">
          <cell r="A100" t="str">
            <v>Netherlands</v>
          </cell>
          <cell r="B100">
            <v>0.53</v>
          </cell>
          <cell r="C100">
            <v>0.47</v>
          </cell>
        </row>
        <row r="101">
          <cell r="A101" t="str">
            <v>Austria</v>
          </cell>
          <cell r="B101">
            <v>0.4</v>
          </cell>
          <cell r="C101">
            <v>0.6</v>
          </cell>
        </row>
        <row r="102">
          <cell r="A102" t="str">
            <v>Serbia</v>
          </cell>
          <cell r="B102">
            <v>0.44</v>
          </cell>
          <cell r="C102">
            <v>0.56000000000000005</v>
          </cell>
        </row>
        <row r="103">
          <cell r="A103" t="str">
            <v>Albania</v>
          </cell>
        </row>
        <row r="104">
          <cell r="A104" t="str">
            <v>Belgium</v>
          </cell>
          <cell r="B104">
            <v>0.48</v>
          </cell>
          <cell r="C104">
            <v>0.52</v>
          </cell>
        </row>
        <row r="105">
          <cell r="A105" t="str">
            <v>Colombia</v>
          </cell>
          <cell r="B105">
            <v>0.8</v>
          </cell>
          <cell r="C105">
            <v>0.2</v>
          </cell>
        </row>
        <row r="106">
          <cell r="A106" t="str">
            <v>Slovakia</v>
          </cell>
          <cell r="B106">
            <v>0.44</v>
          </cell>
          <cell r="C106">
            <v>0.56000000000000005</v>
          </cell>
        </row>
        <row r="107">
          <cell r="A107" t="str">
            <v>Hungary</v>
          </cell>
          <cell r="B107">
            <v>0.41</v>
          </cell>
          <cell r="C107">
            <v>0.59</v>
          </cell>
        </row>
        <row r="108">
          <cell r="A108" t="str">
            <v>Bahrain</v>
          </cell>
        </row>
        <row r="109">
          <cell r="A109" t="str">
            <v>Mexico</v>
          </cell>
          <cell r="B109">
            <v>0.76</v>
          </cell>
          <cell r="C109">
            <v>0.24</v>
          </cell>
        </row>
        <row r="110">
          <cell r="A110" t="str">
            <v>Morocco</v>
          </cell>
          <cell r="B110">
            <v>0.61</v>
          </cell>
          <cell r="C110">
            <v>0.39</v>
          </cell>
        </row>
        <row r="111">
          <cell r="A111" t="str">
            <v>Ecuador</v>
          </cell>
        </row>
        <row r="112">
          <cell r="A112" t="str">
            <v>Honduras</v>
          </cell>
        </row>
        <row r="113">
          <cell r="A113" t="str">
            <v>Chile</v>
          </cell>
          <cell r="B113">
            <v>0.67</v>
          </cell>
          <cell r="C113">
            <v>0.33</v>
          </cell>
        </row>
        <row r="114">
          <cell r="A114" t="str">
            <v>Panama</v>
          </cell>
        </row>
        <row r="115">
          <cell r="A115" t="str">
            <v>Bosnia &amp; Herzegovina</v>
          </cell>
        </row>
        <row r="116">
          <cell r="A116" t="str">
            <v>France</v>
          </cell>
          <cell r="B116">
            <v>0.44</v>
          </cell>
          <cell r="C116">
            <v>0.56000000000000005</v>
          </cell>
        </row>
        <row r="117">
          <cell r="A117" t="str">
            <v>Thailand</v>
          </cell>
          <cell r="B117">
            <v>0.51</v>
          </cell>
          <cell r="C117">
            <v>0.49</v>
          </cell>
        </row>
        <row r="118">
          <cell r="A118" t="str">
            <v>Spain</v>
          </cell>
          <cell r="B118">
            <v>0.61</v>
          </cell>
          <cell r="C118">
            <v>0.39</v>
          </cell>
        </row>
        <row r="119">
          <cell r="A119" t="str">
            <v>Brazil</v>
          </cell>
          <cell r="B119">
            <v>0.62</v>
          </cell>
          <cell r="C119">
            <v>0.38</v>
          </cell>
        </row>
        <row r="120">
          <cell r="A120" t="str">
            <v>Costa Rica</v>
          </cell>
        </row>
        <row r="121">
          <cell r="A121" t="str">
            <v>Italy</v>
          </cell>
          <cell r="B121">
            <v>0.55000000000000004</v>
          </cell>
          <cell r="C121">
            <v>0.45</v>
          </cell>
        </row>
        <row r="122">
          <cell r="A122" t="str">
            <v>Turkey</v>
          </cell>
          <cell r="B122">
            <v>0.61</v>
          </cell>
          <cell r="C122">
            <v>0.39</v>
          </cell>
        </row>
        <row r="123">
          <cell r="A123" t="str">
            <v>Kuwait</v>
          </cell>
        </row>
        <row r="124">
          <cell r="A124" t="str">
            <v>Uruguay</v>
          </cell>
        </row>
        <row r="125">
          <cell r="A125" t="str">
            <v>Vietnam</v>
          </cell>
          <cell r="B125">
            <v>0.41</v>
          </cell>
          <cell r="C125">
            <v>0.59</v>
          </cell>
        </row>
        <row r="126">
          <cell r="A126" t="str">
            <v>CÃ´te dâ€™Ivoire</v>
          </cell>
        </row>
        <row r="127">
          <cell r="A127" t="str">
            <v>Dominican Republic</v>
          </cell>
        </row>
        <row r="128">
          <cell r="A128" t="str">
            <v>Puerto Rico</v>
          </cell>
        </row>
        <row r="129">
          <cell r="A129" t="str">
            <v>Paraguay</v>
          </cell>
        </row>
        <row r="130">
          <cell r="A130" t="str">
            <v>Saudi Arabia</v>
          </cell>
          <cell r="B130">
            <v>0.55000000000000004</v>
          </cell>
          <cell r="C130">
            <v>0.45</v>
          </cell>
        </row>
        <row r="131">
          <cell r="A131" t="str">
            <v>Venezuela</v>
          </cell>
        </row>
        <row r="132">
          <cell r="A132" t="str">
            <v>Yemen</v>
          </cell>
        </row>
        <row r="133">
          <cell r="A133" t="str">
            <v>Guatemala</v>
          </cell>
        </row>
        <row r="134">
          <cell r="A134" t="str">
            <v>Azerbaijan</v>
          </cell>
        </row>
        <row r="135">
          <cell r="A135" t="str">
            <v>El Salvador</v>
          </cell>
        </row>
        <row r="136">
          <cell r="A136" t="str">
            <v>Argentina</v>
          </cell>
          <cell r="B136">
            <v>0.59</v>
          </cell>
          <cell r="C136">
            <v>0.41</v>
          </cell>
        </row>
        <row r="137">
          <cell r="A137" t="str">
            <v>Mali</v>
          </cell>
        </row>
        <row r="138">
          <cell r="A138" t="str">
            <v>British Indian Ocean Territory</v>
          </cell>
        </row>
        <row r="139">
          <cell r="A139" t="str">
            <v>Eritrea</v>
          </cell>
        </row>
        <row r="140">
          <cell r="A140" t="str">
            <v>Cook Islands</v>
          </cell>
        </row>
        <row r="141">
          <cell r="A141" t="str">
            <v>American Samoa</v>
          </cell>
        </row>
        <row r="142">
          <cell r="A142" t="str">
            <v>Seychelles</v>
          </cell>
        </row>
        <row r="143">
          <cell r="A143" t="str">
            <v>Solomon Islands</v>
          </cell>
        </row>
        <row r="144">
          <cell r="A144" t="str">
            <v>Samoa</v>
          </cell>
        </row>
        <row r="145">
          <cell r="A145" t="str">
            <v>Caribbean Netherlands</v>
          </cell>
        </row>
        <row r="146">
          <cell r="A146" t="str">
            <v>Eswatini</v>
          </cell>
        </row>
        <row r="147">
          <cell r="A147" t="str">
            <v>U.S. Virgin Islands</v>
          </cell>
        </row>
        <row r="148">
          <cell r="A148" t="str">
            <v>British Virgin Islands</v>
          </cell>
        </row>
        <row r="149">
          <cell r="A149" t="str">
            <v>Northern Mariana Islands</v>
          </cell>
        </row>
        <row r="150">
          <cell r="A150" t="str">
            <v>Faroe Islands</v>
          </cell>
        </row>
        <row r="151">
          <cell r="A151" t="str">
            <v>St. Lucia</v>
          </cell>
        </row>
        <row r="152">
          <cell r="A152" t="str">
            <v>Monaco</v>
          </cell>
        </row>
        <row r="153">
          <cell r="A153" t="str">
            <v>Bermuda</v>
          </cell>
        </row>
        <row r="154">
          <cell r="A154" t="str">
            <v>Ã…land Islands</v>
          </cell>
        </row>
        <row r="155">
          <cell r="A155" t="str">
            <v>Lesotho</v>
          </cell>
        </row>
        <row r="156">
          <cell r="A156" t="str">
            <v>Dominica</v>
          </cell>
        </row>
        <row r="157">
          <cell r="A157" t="str">
            <v>Gibraltar</v>
          </cell>
        </row>
        <row r="158">
          <cell r="A158" t="str">
            <v>Isle of Man</v>
          </cell>
        </row>
        <row r="159">
          <cell r="A159" t="str">
            <v>Kosovo</v>
          </cell>
        </row>
        <row r="160">
          <cell r="A160" t="str">
            <v>Antigua &amp; Barbuda</v>
          </cell>
        </row>
        <row r="161">
          <cell r="A161" t="str">
            <v>Sierra Leone</v>
          </cell>
        </row>
        <row r="162">
          <cell r="A162" t="str">
            <v>Malawi</v>
          </cell>
        </row>
        <row r="163">
          <cell r="A163" t="str">
            <v>Maldives</v>
          </cell>
        </row>
        <row r="164">
          <cell r="A164" t="str">
            <v>Guam</v>
          </cell>
        </row>
        <row r="165">
          <cell r="A165" t="str">
            <v>Papua New Guinea</v>
          </cell>
        </row>
        <row r="166">
          <cell r="A166" t="str">
            <v>Liberia</v>
          </cell>
        </row>
        <row r="167">
          <cell r="A167" t="str">
            <v>Mayotte</v>
          </cell>
        </row>
        <row r="168">
          <cell r="A168" t="str">
            <v>Grenada</v>
          </cell>
        </row>
        <row r="169">
          <cell r="A169" t="str">
            <v>Bahamas</v>
          </cell>
        </row>
        <row r="170">
          <cell r="A170" t="str">
            <v>Suriname</v>
          </cell>
        </row>
        <row r="171">
          <cell r="A171" t="str">
            <v>Timor-Leste</v>
          </cell>
        </row>
        <row r="172">
          <cell r="A172" t="str">
            <v>Guernsey</v>
          </cell>
        </row>
        <row r="173">
          <cell r="A173" t="str">
            <v>St. Vincent &amp; Grenadines</v>
          </cell>
        </row>
        <row r="174">
          <cell r="A174" t="str">
            <v>Burundi</v>
          </cell>
        </row>
        <row r="175">
          <cell r="A175" t="str">
            <v>Guyana</v>
          </cell>
        </row>
        <row r="176">
          <cell r="A176" t="str">
            <v>Barbados</v>
          </cell>
        </row>
        <row r="177">
          <cell r="A177" t="str">
            <v>Haiti</v>
          </cell>
        </row>
        <row r="178">
          <cell r="A178" t="str">
            <v>Namibia</v>
          </cell>
        </row>
        <row r="179">
          <cell r="A179" t="str">
            <v>Togo</v>
          </cell>
        </row>
        <row r="180">
          <cell r="A180" t="str">
            <v>Niger</v>
          </cell>
        </row>
        <row r="181">
          <cell r="A181" t="str">
            <v>South Sudan</v>
          </cell>
        </row>
        <row r="182">
          <cell r="A182" t="str">
            <v>Cayman Islands</v>
          </cell>
        </row>
        <row r="183">
          <cell r="A183" t="str">
            <v>Jersey</v>
          </cell>
        </row>
        <row r="184">
          <cell r="A184" t="str">
            <v>Djibouti</v>
          </cell>
        </row>
        <row r="185">
          <cell r="A185" t="str">
            <v>Cape Verde</v>
          </cell>
        </row>
        <row r="186">
          <cell r="A186" t="str">
            <v>CuraÃ§ao</v>
          </cell>
        </row>
        <row r="187">
          <cell r="A187" t="str">
            <v>Aruba</v>
          </cell>
        </row>
        <row r="188">
          <cell r="A188" t="str">
            <v>Belize</v>
          </cell>
        </row>
        <row r="189">
          <cell r="A189" t="str">
            <v>Mozambique</v>
          </cell>
        </row>
        <row r="190">
          <cell r="A190" t="str">
            <v>Montenegro</v>
          </cell>
        </row>
        <row r="191">
          <cell r="A191" t="str">
            <v>Turkmenistan</v>
          </cell>
        </row>
        <row r="192">
          <cell r="A192" t="str">
            <v>Benin</v>
          </cell>
        </row>
        <row r="193">
          <cell r="A193" t="str">
            <v>New Caledonia</v>
          </cell>
        </row>
        <row r="194">
          <cell r="A194" t="str">
            <v>French Guiana</v>
          </cell>
        </row>
        <row r="195">
          <cell r="A195" t="str">
            <v>Burkina Faso</v>
          </cell>
        </row>
        <row r="196">
          <cell r="A196" t="str">
            <v>French Polynesia</v>
          </cell>
        </row>
        <row r="197">
          <cell r="A197" t="str">
            <v>Gabon</v>
          </cell>
        </row>
        <row r="198">
          <cell r="A198" t="str">
            <v>Angola</v>
          </cell>
        </row>
        <row r="199">
          <cell r="A199" t="str">
            <v>Congo - Kinshasa</v>
          </cell>
        </row>
        <row r="200">
          <cell r="A200" t="str">
            <v>Afghanistan</v>
          </cell>
        </row>
        <row r="201">
          <cell r="A201" t="str">
            <v>Guadeloupe</v>
          </cell>
        </row>
        <row r="202">
          <cell r="A202" t="str">
            <v>Senegal</v>
          </cell>
        </row>
        <row r="203">
          <cell r="A203" t="str">
            <v>Nicaragua</v>
          </cell>
        </row>
        <row r="204">
          <cell r="A204" t="str">
            <v>RÃ©union</v>
          </cell>
        </row>
        <row r="205">
          <cell r="A205" t="str">
            <v>Martinique</v>
          </cell>
        </row>
        <row r="206">
          <cell r="A206" t="str">
            <v>Anguilla</v>
          </cell>
        </row>
        <row r="207">
          <cell r="A207" t="str">
            <v>Andorra</v>
          </cell>
        </row>
        <row r="208">
          <cell r="A208" t="str">
            <v>Antarctica</v>
          </cell>
        </row>
        <row r="209">
          <cell r="A209" t="str">
            <v>French Southern Territories</v>
          </cell>
        </row>
        <row r="210">
          <cell r="A210" t="str">
            <v>St. BarthÃ©lemy</v>
          </cell>
        </row>
        <row r="211">
          <cell r="A211" t="str">
            <v>Bouvet Island</v>
          </cell>
        </row>
        <row r="212">
          <cell r="A212" t="str">
            <v>Central African Republic</v>
          </cell>
        </row>
        <row r="213">
          <cell r="A213" t="str">
            <v>Cocos (Keeling) Islands</v>
          </cell>
        </row>
        <row r="214">
          <cell r="A214" t="str">
            <v>Congo - Brazzaville</v>
          </cell>
        </row>
        <row r="215">
          <cell r="A215" t="str">
            <v>Comoros</v>
          </cell>
        </row>
        <row r="216">
          <cell r="A216" t="str">
            <v>Christmas Island</v>
          </cell>
        </row>
        <row r="217">
          <cell r="A217" t="str">
            <v>Western Sahara</v>
          </cell>
        </row>
        <row r="218">
          <cell r="A218" t="str">
            <v>Falkland Islands (Islas Malvinas)</v>
          </cell>
        </row>
        <row r="219">
          <cell r="A219" t="str">
            <v>Micronesia</v>
          </cell>
        </row>
        <row r="220">
          <cell r="A220" t="str">
            <v>Guinea</v>
          </cell>
        </row>
        <row r="221">
          <cell r="A221" t="str">
            <v>Gambia</v>
          </cell>
        </row>
        <row r="222">
          <cell r="A222" t="str">
            <v>Guinea-Bissau</v>
          </cell>
        </row>
        <row r="223">
          <cell r="A223" t="str">
            <v>Equatorial Guinea</v>
          </cell>
        </row>
        <row r="224">
          <cell r="A224" t="str">
            <v>Greenland</v>
          </cell>
        </row>
        <row r="225">
          <cell r="A225" t="str">
            <v>Heard &amp; McDonald Islands</v>
          </cell>
        </row>
        <row r="226">
          <cell r="A226" t="str">
            <v>Kiribati</v>
          </cell>
        </row>
        <row r="227">
          <cell r="A227" t="str">
            <v>St. Kitts &amp; Nevis</v>
          </cell>
        </row>
        <row r="228">
          <cell r="A228" t="str">
            <v>Liechtenstein</v>
          </cell>
        </row>
        <row r="229">
          <cell r="A229" t="str">
            <v>St. Martin</v>
          </cell>
        </row>
        <row r="230">
          <cell r="A230" t="str">
            <v>Marshall Islands</v>
          </cell>
        </row>
        <row r="231">
          <cell r="A231" t="str">
            <v>Mauritania</v>
          </cell>
        </row>
        <row r="232">
          <cell r="A232" t="str">
            <v>Montserrat</v>
          </cell>
        </row>
        <row r="233">
          <cell r="A233" t="str">
            <v>Norfolk Island</v>
          </cell>
        </row>
        <row r="234">
          <cell r="A234" t="str">
            <v>Niue</v>
          </cell>
        </row>
        <row r="235">
          <cell r="A235" t="str">
            <v>Nauru</v>
          </cell>
        </row>
        <row r="236">
          <cell r="A236" t="str">
            <v>Pitcairn Islands</v>
          </cell>
        </row>
        <row r="237">
          <cell r="A237" t="str">
            <v>Palau</v>
          </cell>
        </row>
        <row r="238">
          <cell r="A238" t="str">
            <v>North Korea</v>
          </cell>
        </row>
        <row r="239">
          <cell r="A239" t="str">
            <v>South Georgia &amp; South Sandwich Islands</v>
          </cell>
        </row>
        <row r="240">
          <cell r="A240" t="str">
            <v>Svalbard &amp; Jan Mayen</v>
          </cell>
        </row>
        <row r="241">
          <cell r="A241" t="str">
            <v>San Marino</v>
          </cell>
        </row>
        <row r="242">
          <cell r="A242" t="str">
            <v>St. Pierre &amp; Miquelon</v>
          </cell>
        </row>
        <row r="243">
          <cell r="A243" t="str">
            <v>SÃ£o TomÃ© &amp; PrÃ­ncipe</v>
          </cell>
        </row>
        <row r="244">
          <cell r="A244" t="str">
            <v>Sint Maarten</v>
          </cell>
        </row>
        <row r="245">
          <cell r="A245" t="str">
            <v>Turks &amp; Caicos Islands</v>
          </cell>
        </row>
        <row r="246">
          <cell r="A246" t="str">
            <v>Chad</v>
          </cell>
        </row>
        <row r="247">
          <cell r="A247" t="str">
            <v>Tokelau</v>
          </cell>
        </row>
        <row r="248">
          <cell r="A248" t="str">
            <v>Tonga</v>
          </cell>
        </row>
        <row r="249">
          <cell r="A249" t="str">
            <v>Tuvalu</v>
          </cell>
        </row>
        <row r="250">
          <cell r="A250" t="str">
            <v>U.S. Outlying Islands</v>
          </cell>
        </row>
        <row r="251">
          <cell r="A251" t="str">
            <v>Vatican City</v>
          </cell>
        </row>
        <row r="252">
          <cell r="A252" t="str">
            <v>Vanuatu</v>
          </cell>
        </row>
        <row r="253">
          <cell r="A253" t="str">
            <v>Wallis &amp; Futuna</v>
          </cell>
        </row>
      </sheetData>
    </sheetDataSet>
  </externalBook>
</externalLink>
</file>

<file path=xl/externalLinks/externalLink2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33)"/>
    </sheetNames>
    <sheetDataSet>
      <sheetData sheetId="0">
        <row r="1">
          <cell r="A1" t="str">
            <v>Category: All categories</v>
          </cell>
        </row>
        <row r="3">
          <cell r="A3" t="str">
            <v>Country</v>
          </cell>
          <cell r="B3" t="str">
            <v>Transmission Control Protocol: (2015)</v>
          </cell>
          <cell r="C3" t="str">
            <v>Garbage collection: (2015)</v>
          </cell>
        </row>
        <row r="4">
          <cell r="A4" t="str">
            <v>China</v>
          </cell>
          <cell r="B4">
            <v>0.87</v>
          </cell>
          <cell r="C4">
            <v>0.13</v>
          </cell>
        </row>
        <row r="5">
          <cell r="A5" t="str">
            <v>Cuba</v>
          </cell>
        </row>
        <row r="6">
          <cell r="A6" t="str">
            <v>St. Helena</v>
          </cell>
        </row>
        <row r="7">
          <cell r="A7" t="str">
            <v>Botswana</v>
          </cell>
        </row>
        <row r="8">
          <cell r="A8" t="str">
            <v>South Korea</v>
          </cell>
          <cell r="B8">
            <v>0.86</v>
          </cell>
          <cell r="C8">
            <v>0.14000000000000001</v>
          </cell>
        </row>
        <row r="9">
          <cell r="A9" t="str">
            <v>Rwanda</v>
          </cell>
        </row>
        <row r="10">
          <cell r="A10" t="str">
            <v>Singapore</v>
          </cell>
          <cell r="B10">
            <v>0.91</v>
          </cell>
          <cell r="C10">
            <v>0.09</v>
          </cell>
        </row>
        <row r="11">
          <cell r="A11" t="str">
            <v>Eswatini</v>
          </cell>
        </row>
        <row r="12">
          <cell r="A12" t="str">
            <v>Papua New Guinea</v>
          </cell>
        </row>
        <row r="13">
          <cell r="A13" t="str">
            <v>Hong Kong</v>
          </cell>
          <cell r="B13">
            <v>0.86</v>
          </cell>
          <cell r="C13">
            <v>0.14000000000000001</v>
          </cell>
        </row>
        <row r="14">
          <cell r="A14" t="str">
            <v>Cameroon</v>
          </cell>
        </row>
        <row r="15">
          <cell r="A15" t="str">
            <v>India</v>
          </cell>
          <cell r="B15">
            <v>0.85</v>
          </cell>
          <cell r="C15">
            <v>0.15</v>
          </cell>
        </row>
        <row r="16">
          <cell r="A16" t="str">
            <v>Congo - Kinshasa</v>
          </cell>
        </row>
        <row r="17">
          <cell r="A17" t="str">
            <v>Luxembourg</v>
          </cell>
        </row>
        <row r="18">
          <cell r="A18" t="str">
            <v>Benin</v>
          </cell>
        </row>
        <row r="19">
          <cell r="A19" t="str">
            <v>Angola</v>
          </cell>
        </row>
        <row r="20">
          <cell r="A20" t="str">
            <v>Ethiopia</v>
          </cell>
        </row>
        <row r="21">
          <cell r="A21" t="str">
            <v>Burundi</v>
          </cell>
        </row>
        <row r="22">
          <cell r="A22" t="str">
            <v>Namibia</v>
          </cell>
        </row>
        <row r="23">
          <cell r="A23" t="str">
            <v>Madagascar</v>
          </cell>
        </row>
        <row r="24">
          <cell r="A24" t="str">
            <v>Zimbabwe</v>
          </cell>
        </row>
        <row r="25">
          <cell r="A25" t="str">
            <v>Myanmar (Burma)</v>
          </cell>
        </row>
        <row r="26">
          <cell r="A26" t="str">
            <v>Malta</v>
          </cell>
        </row>
        <row r="27">
          <cell r="A27" t="str">
            <v>Malawi</v>
          </cell>
        </row>
        <row r="28">
          <cell r="A28" t="str">
            <v>Czechia</v>
          </cell>
          <cell r="B28">
            <v>0.94</v>
          </cell>
          <cell r="C28">
            <v>0.06</v>
          </cell>
        </row>
        <row r="29">
          <cell r="A29" t="str">
            <v>Mauritius</v>
          </cell>
        </row>
        <row r="30">
          <cell r="A30" t="str">
            <v>Somalia</v>
          </cell>
        </row>
        <row r="31">
          <cell r="A31" t="str">
            <v>Israel</v>
          </cell>
          <cell r="B31">
            <v>0.89</v>
          </cell>
          <cell r="C31">
            <v>0.11</v>
          </cell>
        </row>
        <row r="32">
          <cell r="A32" t="str">
            <v>Nepal</v>
          </cell>
        </row>
        <row r="33">
          <cell r="A33" t="str">
            <v>Brunei</v>
          </cell>
        </row>
        <row r="34">
          <cell r="A34" t="str">
            <v>Bhutan</v>
          </cell>
        </row>
        <row r="35">
          <cell r="A35" t="str">
            <v>Ghana</v>
          </cell>
        </row>
        <row r="36">
          <cell r="A36" t="str">
            <v>Togo</v>
          </cell>
        </row>
        <row r="37">
          <cell r="A37" t="str">
            <v>Tunisia</v>
          </cell>
        </row>
        <row r="38">
          <cell r="A38" t="str">
            <v>Switzerland</v>
          </cell>
          <cell r="B38">
            <v>0.92</v>
          </cell>
          <cell r="C38">
            <v>0.08</v>
          </cell>
        </row>
        <row r="39">
          <cell r="A39" t="str">
            <v>CÃ´te dâ€™Ivoire</v>
          </cell>
        </row>
        <row r="40">
          <cell r="A40" t="str">
            <v>Lesotho</v>
          </cell>
        </row>
        <row r="41">
          <cell r="A41" t="str">
            <v>Taiwan</v>
          </cell>
          <cell r="B41">
            <v>0.91</v>
          </cell>
          <cell r="C41">
            <v>0.09</v>
          </cell>
        </row>
        <row r="42">
          <cell r="A42" t="str">
            <v>Iceland</v>
          </cell>
        </row>
        <row r="43">
          <cell r="A43" t="str">
            <v>Uruguay</v>
          </cell>
          <cell r="B43">
            <v>0.93</v>
          </cell>
          <cell r="C43">
            <v>7.0000000000000007E-2</v>
          </cell>
        </row>
        <row r="44">
          <cell r="A44" t="str">
            <v>Sri Lanka</v>
          </cell>
          <cell r="B44">
            <v>0.9</v>
          </cell>
          <cell r="C44">
            <v>0.1</v>
          </cell>
        </row>
        <row r="45">
          <cell r="A45" t="str">
            <v>Uganda</v>
          </cell>
        </row>
        <row r="46">
          <cell r="A46" t="str">
            <v>Norway</v>
          </cell>
          <cell r="B46">
            <v>0.9</v>
          </cell>
          <cell r="C46">
            <v>0.1</v>
          </cell>
        </row>
        <row r="47">
          <cell r="A47" t="str">
            <v>Costa Rica</v>
          </cell>
          <cell r="B47">
            <v>0.88</v>
          </cell>
          <cell r="C47">
            <v>0.12</v>
          </cell>
        </row>
        <row r="48">
          <cell r="A48" t="str">
            <v>Germany</v>
          </cell>
          <cell r="B48">
            <v>0.93</v>
          </cell>
          <cell r="C48">
            <v>7.0000000000000007E-2</v>
          </cell>
        </row>
        <row r="49">
          <cell r="A49" t="str">
            <v>Mozambique</v>
          </cell>
        </row>
        <row r="50">
          <cell r="A50" t="str">
            <v>Jersey</v>
          </cell>
        </row>
        <row r="51">
          <cell r="A51" t="str">
            <v>Belgium</v>
          </cell>
          <cell r="B51">
            <v>0.92</v>
          </cell>
          <cell r="C51">
            <v>0.08</v>
          </cell>
        </row>
        <row r="52">
          <cell r="A52" t="str">
            <v>New Zealand</v>
          </cell>
          <cell r="B52">
            <v>0.91</v>
          </cell>
          <cell r="C52">
            <v>0.09</v>
          </cell>
        </row>
        <row r="53">
          <cell r="A53" t="str">
            <v>Zambia</v>
          </cell>
        </row>
        <row r="54">
          <cell r="A54" t="str">
            <v>Japan</v>
          </cell>
          <cell r="B54">
            <v>0.85</v>
          </cell>
          <cell r="C54">
            <v>0.15</v>
          </cell>
        </row>
        <row r="55">
          <cell r="A55" t="str">
            <v>Sweden</v>
          </cell>
          <cell r="B55">
            <v>0.91</v>
          </cell>
          <cell r="C55">
            <v>0.09</v>
          </cell>
        </row>
        <row r="56">
          <cell r="A56" t="str">
            <v>United States</v>
          </cell>
          <cell r="B56">
            <v>0.86</v>
          </cell>
          <cell r="C56">
            <v>0.14000000000000001</v>
          </cell>
        </row>
        <row r="57">
          <cell r="A57" t="str">
            <v>Ireland</v>
          </cell>
          <cell r="B57">
            <v>0.9</v>
          </cell>
          <cell r="C57">
            <v>0.1</v>
          </cell>
        </row>
        <row r="58">
          <cell r="A58" t="str">
            <v>Austria</v>
          </cell>
          <cell r="B58">
            <v>0.92</v>
          </cell>
          <cell r="C58">
            <v>0.08</v>
          </cell>
        </row>
        <row r="59">
          <cell r="A59" t="str">
            <v>Finland</v>
          </cell>
          <cell r="B59">
            <v>0.93</v>
          </cell>
          <cell r="C59">
            <v>7.0000000000000007E-2</v>
          </cell>
        </row>
        <row r="60">
          <cell r="A60" t="str">
            <v>Philippines</v>
          </cell>
          <cell r="B60">
            <v>0.91</v>
          </cell>
          <cell r="C60">
            <v>0.09</v>
          </cell>
        </row>
        <row r="61">
          <cell r="A61" t="str">
            <v>Fiji</v>
          </cell>
        </row>
        <row r="62">
          <cell r="A62" t="str">
            <v>Jamaica</v>
          </cell>
        </row>
        <row r="63">
          <cell r="A63" t="str">
            <v>Kenya</v>
          </cell>
          <cell r="B63">
            <v>0.86</v>
          </cell>
          <cell r="C63">
            <v>0.14000000000000001</v>
          </cell>
        </row>
        <row r="64">
          <cell r="A64" t="str">
            <v>Macao</v>
          </cell>
        </row>
        <row r="65">
          <cell r="A65" t="str">
            <v>Estonia</v>
          </cell>
        </row>
        <row r="66">
          <cell r="A66" t="str">
            <v>Australia</v>
          </cell>
          <cell r="B66">
            <v>0.84</v>
          </cell>
          <cell r="C66">
            <v>0.16</v>
          </cell>
        </row>
        <row r="67">
          <cell r="A67" t="str">
            <v>Bangladesh</v>
          </cell>
        </row>
        <row r="68">
          <cell r="A68" t="str">
            <v>Uzbekistan</v>
          </cell>
        </row>
        <row r="69">
          <cell r="A69" t="str">
            <v>Canada</v>
          </cell>
          <cell r="B69">
            <v>0.74</v>
          </cell>
          <cell r="C69">
            <v>0.26</v>
          </cell>
        </row>
        <row r="70">
          <cell r="A70" t="str">
            <v>South Africa</v>
          </cell>
          <cell r="B70">
            <v>0.94</v>
          </cell>
          <cell r="C70">
            <v>0.06</v>
          </cell>
        </row>
        <row r="71">
          <cell r="A71" t="str">
            <v>Oman</v>
          </cell>
        </row>
        <row r="72">
          <cell r="A72" t="str">
            <v>Pakistan</v>
          </cell>
          <cell r="B72">
            <v>0.93</v>
          </cell>
          <cell r="C72">
            <v>7.0000000000000007E-2</v>
          </cell>
        </row>
        <row r="73">
          <cell r="A73" t="str">
            <v>Qatar</v>
          </cell>
        </row>
        <row r="74">
          <cell r="A74" t="str">
            <v>Portugal</v>
          </cell>
          <cell r="B74">
            <v>0.94</v>
          </cell>
          <cell r="C74">
            <v>0.06</v>
          </cell>
        </row>
        <row r="75">
          <cell r="A75" t="str">
            <v>Panama</v>
          </cell>
        </row>
        <row r="76">
          <cell r="A76" t="str">
            <v>Nicaragua</v>
          </cell>
        </row>
        <row r="77">
          <cell r="A77" t="str">
            <v>Netherlands</v>
          </cell>
          <cell r="B77">
            <v>0.92</v>
          </cell>
          <cell r="C77">
            <v>0.08</v>
          </cell>
        </row>
        <row r="78">
          <cell r="A78" t="str">
            <v>United Kingdom</v>
          </cell>
          <cell r="B78">
            <v>0.91</v>
          </cell>
          <cell r="C78">
            <v>0.09</v>
          </cell>
        </row>
        <row r="79">
          <cell r="A79" t="str">
            <v>Ecuador</v>
          </cell>
          <cell r="B79">
            <v>0.81</v>
          </cell>
          <cell r="C79">
            <v>0.19</v>
          </cell>
        </row>
        <row r="80">
          <cell r="A80" t="str">
            <v>Belarus</v>
          </cell>
          <cell r="B80">
            <v>0.86</v>
          </cell>
          <cell r="C80">
            <v>0.14000000000000001</v>
          </cell>
        </row>
        <row r="81">
          <cell r="A81" t="str">
            <v>United Arab Emirates</v>
          </cell>
          <cell r="B81">
            <v>0.94</v>
          </cell>
          <cell r="C81">
            <v>0.06</v>
          </cell>
        </row>
        <row r="82">
          <cell r="A82" t="str">
            <v>Lebanon</v>
          </cell>
        </row>
        <row r="83">
          <cell r="A83" t="str">
            <v>Spain</v>
          </cell>
          <cell r="B83">
            <v>0.96</v>
          </cell>
          <cell r="C83">
            <v>0.04</v>
          </cell>
        </row>
        <row r="84">
          <cell r="A84" t="str">
            <v>Senegal</v>
          </cell>
        </row>
        <row r="85">
          <cell r="A85" t="str">
            <v>Russia</v>
          </cell>
          <cell r="B85">
            <v>0.93</v>
          </cell>
          <cell r="C85">
            <v>7.0000000000000007E-2</v>
          </cell>
        </row>
        <row r="86">
          <cell r="A86" t="str">
            <v>Bolivia</v>
          </cell>
          <cell r="B86">
            <v>0.96</v>
          </cell>
          <cell r="C86">
            <v>0.04</v>
          </cell>
        </row>
        <row r="87">
          <cell r="A87" t="str">
            <v>Laos</v>
          </cell>
        </row>
        <row r="88">
          <cell r="A88" t="str">
            <v>Honduras</v>
          </cell>
        </row>
        <row r="89">
          <cell r="A89" t="str">
            <v>Latvia</v>
          </cell>
        </row>
        <row r="90">
          <cell r="A90" t="str">
            <v>Dominican Republic</v>
          </cell>
        </row>
        <row r="91">
          <cell r="A91" t="str">
            <v>Slovenia</v>
          </cell>
        </row>
        <row r="92">
          <cell r="A92" t="str">
            <v>El Salvador</v>
          </cell>
        </row>
        <row r="93">
          <cell r="A93" t="str">
            <v>Slovakia</v>
          </cell>
        </row>
        <row r="94">
          <cell r="A94" t="str">
            <v>Denmark</v>
          </cell>
          <cell r="B94">
            <v>0.92</v>
          </cell>
          <cell r="C94">
            <v>0.08</v>
          </cell>
        </row>
        <row r="95">
          <cell r="A95" t="str">
            <v>Malaysia</v>
          </cell>
          <cell r="B95">
            <v>0.93</v>
          </cell>
          <cell r="C95">
            <v>7.0000000000000007E-2</v>
          </cell>
        </row>
        <row r="96">
          <cell r="A96" t="str">
            <v>Guatemala</v>
          </cell>
          <cell r="B96">
            <v>0.88</v>
          </cell>
          <cell r="C96">
            <v>0.12</v>
          </cell>
        </row>
        <row r="97">
          <cell r="A97" t="str">
            <v>Afghanistan</v>
          </cell>
        </row>
        <row r="98">
          <cell r="A98" t="str">
            <v>CuraÃ§ao</v>
          </cell>
        </row>
        <row r="99">
          <cell r="A99" t="str">
            <v>Hungary</v>
          </cell>
          <cell r="B99">
            <v>0.89</v>
          </cell>
          <cell r="C99">
            <v>0.11</v>
          </cell>
        </row>
        <row r="100">
          <cell r="A100" t="str">
            <v>Mongolia</v>
          </cell>
        </row>
        <row r="101">
          <cell r="A101" t="str">
            <v>Tanzania</v>
          </cell>
        </row>
        <row r="102">
          <cell r="A102" t="str">
            <v>Trinidad &amp; Tobago</v>
          </cell>
        </row>
        <row r="103">
          <cell r="A103" t="str">
            <v>Bahrain</v>
          </cell>
        </row>
        <row r="104">
          <cell r="A104" t="str">
            <v>Cyprus</v>
          </cell>
        </row>
        <row r="105">
          <cell r="A105" t="str">
            <v>Isle of Man</v>
          </cell>
        </row>
        <row r="106">
          <cell r="A106" t="str">
            <v>Nigeria</v>
          </cell>
        </row>
        <row r="107">
          <cell r="A107" t="str">
            <v>Poland</v>
          </cell>
          <cell r="B107">
            <v>0.93</v>
          </cell>
          <cell r="C107">
            <v>7.0000000000000007E-2</v>
          </cell>
        </row>
        <row r="108">
          <cell r="A108" t="str">
            <v>Romania</v>
          </cell>
          <cell r="B108">
            <v>0.94</v>
          </cell>
          <cell r="C108">
            <v>0.06</v>
          </cell>
        </row>
        <row r="109">
          <cell r="A109" t="str">
            <v>Albania</v>
          </cell>
        </row>
        <row r="110">
          <cell r="A110" t="str">
            <v>Argentina</v>
          </cell>
          <cell r="B110">
            <v>0.86</v>
          </cell>
          <cell r="C110">
            <v>0.14000000000000001</v>
          </cell>
        </row>
        <row r="111">
          <cell r="A111" t="str">
            <v>France</v>
          </cell>
          <cell r="B111">
            <v>0.94</v>
          </cell>
          <cell r="C111">
            <v>0.06</v>
          </cell>
        </row>
        <row r="112">
          <cell r="A112" t="str">
            <v>Iran</v>
          </cell>
          <cell r="B112">
            <v>0.95</v>
          </cell>
          <cell r="C112">
            <v>0.05</v>
          </cell>
        </row>
        <row r="113">
          <cell r="A113" t="str">
            <v>Morocco</v>
          </cell>
        </row>
        <row r="114">
          <cell r="A114" t="str">
            <v>Italy</v>
          </cell>
          <cell r="B114">
            <v>0.95</v>
          </cell>
          <cell r="C114">
            <v>0.05</v>
          </cell>
        </row>
        <row r="115">
          <cell r="A115" t="str">
            <v>Colombia</v>
          </cell>
          <cell r="B115">
            <v>0.9</v>
          </cell>
          <cell r="C115">
            <v>0.1</v>
          </cell>
        </row>
        <row r="116">
          <cell r="A116" t="str">
            <v>Mexico</v>
          </cell>
          <cell r="B116">
            <v>0.83</v>
          </cell>
          <cell r="C116">
            <v>0.17</v>
          </cell>
        </row>
        <row r="117">
          <cell r="A117" t="str">
            <v>Bulgaria</v>
          </cell>
          <cell r="B117">
            <v>0.93</v>
          </cell>
          <cell r="C117">
            <v>7.0000000000000007E-2</v>
          </cell>
        </row>
        <row r="118">
          <cell r="A118" t="str">
            <v>Indonesia</v>
          </cell>
          <cell r="B118">
            <v>0.98</v>
          </cell>
          <cell r="C118">
            <v>0.02</v>
          </cell>
        </row>
        <row r="119">
          <cell r="A119" t="str">
            <v>Brazil</v>
          </cell>
          <cell r="B119">
            <v>0.96</v>
          </cell>
          <cell r="C119">
            <v>0.04</v>
          </cell>
        </row>
        <row r="120">
          <cell r="A120" t="str">
            <v>Barbados</v>
          </cell>
        </row>
        <row r="121">
          <cell r="A121" t="str">
            <v>Sierra Leone</v>
          </cell>
        </row>
        <row r="122">
          <cell r="A122" t="str">
            <v>Maldives</v>
          </cell>
        </row>
        <row r="123">
          <cell r="A123" t="str">
            <v>Peru</v>
          </cell>
          <cell r="B123">
            <v>0.91</v>
          </cell>
          <cell r="C123">
            <v>0.09</v>
          </cell>
        </row>
        <row r="124">
          <cell r="A124" t="str">
            <v>Haiti</v>
          </cell>
        </row>
        <row r="125">
          <cell r="A125" t="str">
            <v>Lithuania</v>
          </cell>
        </row>
        <row r="126">
          <cell r="A126" t="str">
            <v>Moldova</v>
          </cell>
        </row>
        <row r="127">
          <cell r="A127" t="str">
            <v>Paraguay</v>
          </cell>
        </row>
        <row r="128">
          <cell r="A128" t="str">
            <v>North Macedonia</v>
          </cell>
        </row>
        <row r="129">
          <cell r="A129" t="str">
            <v>Guinea</v>
          </cell>
        </row>
        <row r="130">
          <cell r="A130" t="str">
            <v>Suriname</v>
          </cell>
        </row>
        <row r="131">
          <cell r="A131" t="str">
            <v>Ukraine</v>
          </cell>
          <cell r="B131">
            <v>0.89</v>
          </cell>
          <cell r="C131">
            <v>0.11</v>
          </cell>
        </row>
        <row r="132">
          <cell r="A132" t="str">
            <v>Croatia</v>
          </cell>
        </row>
        <row r="133">
          <cell r="A133" t="str">
            <v>Greece</v>
          </cell>
          <cell r="B133">
            <v>0.94</v>
          </cell>
          <cell r="C133">
            <v>0.06</v>
          </cell>
        </row>
        <row r="134">
          <cell r="A134" t="str">
            <v>Liberia</v>
          </cell>
        </row>
        <row r="135">
          <cell r="A135" t="str">
            <v>Guam</v>
          </cell>
        </row>
        <row r="136">
          <cell r="A136" t="str">
            <v>Serbia</v>
          </cell>
          <cell r="B136">
            <v>0.92</v>
          </cell>
          <cell r="C136">
            <v>0.08</v>
          </cell>
        </row>
        <row r="137">
          <cell r="A137" t="str">
            <v>Chile</v>
          </cell>
          <cell r="B137">
            <v>0.8</v>
          </cell>
          <cell r="C137">
            <v>0.2</v>
          </cell>
        </row>
        <row r="138">
          <cell r="A138" t="str">
            <v>Tajikistan</v>
          </cell>
        </row>
        <row r="139">
          <cell r="A139" t="str">
            <v>Kosovo</v>
          </cell>
        </row>
        <row r="140">
          <cell r="A140" t="str">
            <v>Cambodia</v>
          </cell>
        </row>
        <row r="141">
          <cell r="A141" t="str">
            <v>Bahamas</v>
          </cell>
        </row>
        <row r="142">
          <cell r="A142" t="str">
            <v>Martinique</v>
          </cell>
        </row>
        <row r="143">
          <cell r="A143" t="str">
            <v>Armenia</v>
          </cell>
        </row>
        <row r="144">
          <cell r="A144" t="str">
            <v>Palestine</v>
          </cell>
        </row>
        <row r="145">
          <cell r="A145" t="str">
            <v>Jordan</v>
          </cell>
        </row>
        <row r="146">
          <cell r="A146" t="str">
            <v>Venezuela</v>
          </cell>
          <cell r="B146">
            <v>0.94</v>
          </cell>
          <cell r="C146">
            <v>0.06</v>
          </cell>
        </row>
        <row r="147">
          <cell r="A147" t="str">
            <v>Kuwait</v>
          </cell>
        </row>
        <row r="148">
          <cell r="A148" t="str">
            <v>RÃ©union</v>
          </cell>
        </row>
        <row r="149">
          <cell r="A149" t="str">
            <v>Puerto Rico</v>
          </cell>
        </row>
        <row r="150">
          <cell r="A150" t="str">
            <v>Algeria</v>
          </cell>
          <cell r="B150">
            <v>1</v>
          </cell>
        </row>
        <row r="151">
          <cell r="A151" t="str">
            <v>Kazakhstan</v>
          </cell>
        </row>
        <row r="152">
          <cell r="A152" t="str">
            <v>Bosnia &amp; Herzegovina</v>
          </cell>
        </row>
        <row r="153">
          <cell r="A153" t="str">
            <v>Sudan</v>
          </cell>
        </row>
        <row r="154">
          <cell r="A154" t="str">
            <v>Cape Verde</v>
          </cell>
        </row>
        <row r="155">
          <cell r="A155" t="str">
            <v>Montenegro</v>
          </cell>
        </row>
        <row r="156">
          <cell r="A156" t="str">
            <v>Georgia</v>
          </cell>
        </row>
        <row r="157">
          <cell r="A157" t="str">
            <v>Burkina Faso</v>
          </cell>
        </row>
        <row r="158">
          <cell r="A158" t="str">
            <v>Vietnam</v>
          </cell>
          <cell r="B158">
            <v>0.87</v>
          </cell>
          <cell r="C158">
            <v>0.13</v>
          </cell>
        </row>
        <row r="159">
          <cell r="A159" t="str">
            <v>Syria</v>
          </cell>
        </row>
        <row r="160">
          <cell r="A160" t="str">
            <v>Libya</v>
          </cell>
        </row>
        <row r="161">
          <cell r="A161" t="str">
            <v>Thailand</v>
          </cell>
          <cell r="B161">
            <v>0.97</v>
          </cell>
          <cell r="C161">
            <v>0.03</v>
          </cell>
        </row>
        <row r="162">
          <cell r="A162" t="str">
            <v>Mali</v>
          </cell>
        </row>
        <row r="163">
          <cell r="A163" t="str">
            <v>Kyrgyzstan</v>
          </cell>
        </row>
        <row r="164">
          <cell r="A164" t="str">
            <v>Cayman Islands</v>
          </cell>
        </row>
        <row r="165">
          <cell r="A165" t="str">
            <v>Egypt</v>
          </cell>
          <cell r="B165">
            <v>0.88</v>
          </cell>
          <cell r="C165">
            <v>0.12</v>
          </cell>
        </row>
        <row r="166">
          <cell r="A166" t="str">
            <v>Saudi Arabia</v>
          </cell>
        </row>
        <row r="167">
          <cell r="A167" t="str">
            <v>Guadeloupe</v>
          </cell>
        </row>
        <row r="168">
          <cell r="A168" t="str">
            <v>Turkmenistan</v>
          </cell>
        </row>
        <row r="169">
          <cell r="A169" t="str">
            <v>Azerbaijan</v>
          </cell>
        </row>
        <row r="170">
          <cell r="A170" t="str">
            <v>Yemen</v>
          </cell>
        </row>
        <row r="171">
          <cell r="A171" t="str">
            <v>Turkey</v>
          </cell>
          <cell r="B171">
            <v>0.76</v>
          </cell>
          <cell r="C171">
            <v>0.24</v>
          </cell>
        </row>
        <row r="172">
          <cell r="A172" t="str">
            <v>Guyana</v>
          </cell>
        </row>
        <row r="173">
          <cell r="A173" t="str">
            <v>Iraq</v>
          </cell>
        </row>
        <row r="174">
          <cell r="A174" t="str">
            <v>Kiribati</v>
          </cell>
        </row>
        <row r="175">
          <cell r="A175" t="str">
            <v>British Indian Ocean Territory</v>
          </cell>
        </row>
        <row r="176">
          <cell r="A176" t="str">
            <v>Eritrea</v>
          </cell>
        </row>
        <row r="177">
          <cell r="A177" t="str">
            <v>SÃ£o TomÃ© &amp; PrÃ­ncipe</v>
          </cell>
        </row>
        <row r="178">
          <cell r="A178" t="str">
            <v>Micronesia</v>
          </cell>
        </row>
        <row r="179">
          <cell r="A179" t="str">
            <v>British Virgin Islands</v>
          </cell>
        </row>
        <row r="180">
          <cell r="A180" t="str">
            <v>Marshall Islands</v>
          </cell>
        </row>
        <row r="181">
          <cell r="A181" t="str">
            <v>Central African Republic</v>
          </cell>
        </row>
        <row r="182">
          <cell r="A182" t="str">
            <v>Solomon Islands</v>
          </cell>
        </row>
        <row r="183">
          <cell r="A183" t="str">
            <v>Guinea-Bissau</v>
          </cell>
        </row>
        <row r="184">
          <cell r="A184" t="str">
            <v>St. Martin</v>
          </cell>
        </row>
        <row r="185">
          <cell r="A185" t="str">
            <v>Equatorial Guinea</v>
          </cell>
        </row>
        <row r="186">
          <cell r="A186" t="str">
            <v>American Samoa</v>
          </cell>
        </row>
        <row r="187">
          <cell r="A187" t="str">
            <v>Northern Mariana Islands</v>
          </cell>
        </row>
        <row r="188">
          <cell r="A188" t="str">
            <v>Comoros</v>
          </cell>
        </row>
        <row r="189">
          <cell r="A189" t="str">
            <v>Seychelles</v>
          </cell>
        </row>
        <row r="190">
          <cell r="A190" t="str">
            <v>Liechtenstein</v>
          </cell>
        </row>
        <row r="191">
          <cell r="A191" t="str">
            <v>Samoa</v>
          </cell>
        </row>
        <row r="192">
          <cell r="A192" t="str">
            <v>Anguilla</v>
          </cell>
        </row>
        <row r="193">
          <cell r="A193" t="str">
            <v>Monaco</v>
          </cell>
        </row>
        <row r="194">
          <cell r="A194" t="str">
            <v>Djibouti</v>
          </cell>
        </row>
        <row r="195">
          <cell r="A195" t="str">
            <v>St. Kitts &amp; Nevis</v>
          </cell>
        </row>
        <row r="196">
          <cell r="A196" t="str">
            <v>Ã…land Islands</v>
          </cell>
        </row>
        <row r="197">
          <cell r="A197" t="str">
            <v>Turks &amp; Caicos Islands</v>
          </cell>
        </row>
        <row r="198">
          <cell r="A198" t="str">
            <v>Andorra</v>
          </cell>
        </row>
        <row r="199">
          <cell r="A199" t="str">
            <v>French Polynesia</v>
          </cell>
        </row>
        <row r="200">
          <cell r="A200" t="str">
            <v>St. Lucia</v>
          </cell>
        </row>
        <row r="201">
          <cell r="A201" t="str">
            <v>Gibraltar</v>
          </cell>
        </row>
        <row r="202">
          <cell r="A202" t="str">
            <v>Sint Maarten</v>
          </cell>
        </row>
        <row r="203">
          <cell r="A203" t="str">
            <v>Dominica</v>
          </cell>
        </row>
        <row r="204">
          <cell r="A204" t="str">
            <v>Congo - Brazzaville</v>
          </cell>
        </row>
        <row r="205">
          <cell r="A205" t="str">
            <v>Timor-Leste</v>
          </cell>
        </row>
        <row r="206">
          <cell r="A206" t="str">
            <v>Belize</v>
          </cell>
        </row>
        <row r="207">
          <cell r="A207" t="str">
            <v>Faroe Islands</v>
          </cell>
        </row>
        <row r="208">
          <cell r="A208" t="str">
            <v>Gabon</v>
          </cell>
        </row>
        <row r="209">
          <cell r="A209" t="str">
            <v>New Caledonia</v>
          </cell>
        </row>
        <row r="210">
          <cell r="A210" t="str">
            <v>Chad</v>
          </cell>
        </row>
        <row r="211">
          <cell r="A211" t="str">
            <v>Niger</v>
          </cell>
        </row>
        <row r="212">
          <cell r="A212" t="str">
            <v>St. Vincent &amp; Grenadines</v>
          </cell>
        </row>
        <row r="213">
          <cell r="A213" t="str">
            <v>Greenland</v>
          </cell>
        </row>
        <row r="214">
          <cell r="A214" t="str">
            <v>French Guiana</v>
          </cell>
        </row>
        <row r="215">
          <cell r="A215" t="str">
            <v>San Marino</v>
          </cell>
        </row>
        <row r="216">
          <cell r="A216" t="str">
            <v>Guernsey</v>
          </cell>
        </row>
        <row r="217">
          <cell r="A217" t="str">
            <v>South Sudan</v>
          </cell>
        </row>
        <row r="218">
          <cell r="A218" t="str">
            <v>Bermuda</v>
          </cell>
        </row>
        <row r="219">
          <cell r="A219" t="str">
            <v>Mauritania</v>
          </cell>
        </row>
        <row r="220">
          <cell r="A220" t="str">
            <v>Grenada</v>
          </cell>
        </row>
        <row r="221">
          <cell r="A221" t="str">
            <v>Gambia</v>
          </cell>
        </row>
        <row r="222">
          <cell r="A222" t="str">
            <v>Mayotte</v>
          </cell>
        </row>
        <row r="223">
          <cell r="A223" t="str">
            <v>Antigua &amp; Barbuda</v>
          </cell>
        </row>
        <row r="224">
          <cell r="A224" t="str">
            <v>Aruba</v>
          </cell>
        </row>
        <row r="225">
          <cell r="A225" t="str">
            <v>Antarctica</v>
          </cell>
        </row>
        <row r="226">
          <cell r="A226" t="str">
            <v>French Southern Territories</v>
          </cell>
        </row>
        <row r="227">
          <cell r="A227" t="str">
            <v>Caribbean Netherlands</v>
          </cell>
        </row>
        <row r="228">
          <cell r="A228" t="str">
            <v>St. BarthÃ©lemy</v>
          </cell>
        </row>
        <row r="229">
          <cell r="A229" t="str">
            <v>Bouvet Island</v>
          </cell>
        </row>
        <row r="230">
          <cell r="A230" t="str">
            <v>Cocos (Keeling) Islands</v>
          </cell>
        </row>
        <row r="231">
          <cell r="A231" t="str">
            <v>Cook Islands</v>
          </cell>
        </row>
        <row r="232">
          <cell r="A232" t="str">
            <v>Christmas Island</v>
          </cell>
        </row>
        <row r="233">
          <cell r="A233" t="str">
            <v>Western Sahara</v>
          </cell>
        </row>
        <row r="234">
          <cell r="A234" t="str">
            <v>Falkland Islands (Islas Malvinas)</v>
          </cell>
        </row>
        <row r="235">
          <cell r="A235" t="str">
            <v>Heard &amp; McDonald Islands</v>
          </cell>
        </row>
        <row r="236">
          <cell r="A236" t="str">
            <v>Montserrat</v>
          </cell>
        </row>
        <row r="237">
          <cell r="A237" t="str">
            <v>Norfolk Island</v>
          </cell>
        </row>
        <row r="238">
          <cell r="A238" t="str">
            <v>Niue</v>
          </cell>
        </row>
        <row r="239">
          <cell r="A239" t="str">
            <v>Nauru</v>
          </cell>
        </row>
        <row r="240">
          <cell r="A240" t="str">
            <v>Pitcairn Islands</v>
          </cell>
        </row>
        <row r="241">
          <cell r="A241" t="str">
            <v>Palau</v>
          </cell>
        </row>
        <row r="242">
          <cell r="A242" t="str">
            <v>North Korea</v>
          </cell>
        </row>
        <row r="243">
          <cell r="A243" t="str">
            <v>South Georgia &amp; South Sandwich Islands</v>
          </cell>
        </row>
        <row r="244">
          <cell r="A244" t="str">
            <v>Svalbard &amp; Jan Mayen</v>
          </cell>
        </row>
        <row r="245">
          <cell r="A245" t="str">
            <v>St. Pierre &amp; Miquelon</v>
          </cell>
        </row>
        <row r="246">
          <cell r="A246" t="str">
            <v>Tokelau</v>
          </cell>
        </row>
        <row r="247">
          <cell r="A247" t="str">
            <v>Tonga</v>
          </cell>
        </row>
        <row r="248">
          <cell r="A248" t="str">
            <v>Tuvalu</v>
          </cell>
        </row>
        <row r="249">
          <cell r="A249" t="str">
            <v>U.S. Outlying Islands</v>
          </cell>
        </row>
        <row r="250">
          <cell r="A250" t="str">
            <v>Vatican City</v>
          </cell>
        </row>
        <row r="251">
          <cell r="A251" t="str">
            <v>U.S. Virgin Islands</v>
          </cell>
        </row>
        <row r="252">
          <cell r="A252" t="str">
            <v>Vanuatu</v>
          </cell>
        </row>
        <row r="253">
          <cell r="A253" t="str">
            <v>Wallis &amp; Futuna</v>
          </cell>
        </row>
      </sheetData>
    </sheetDataSet>
  </externalBook>
</externalLink>
</file>

<file path=xl/externalLinks/externalLink2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26)"/>
    </sheetNames>
    <sheetDataSet>
      <sheetData sheetId="0">
        <row r="1">
          <cell r="A1" t="str">
            <v>Category: All categories</v>
          </cell>
        </row>
        <row r="3">
          <cell r="A3" t="str">
            <v>Country</v>
          </cell>
          <cell r="B3" t="str">
            <v>Java: (2015)</v>
          </cell>
          <cell r="C3" t="str">
            <v>C++: (2015)</v>
          </cell>
        </row>
        <row r="4">
          <cell r="A4" t="str">
            <v>North Korea</v>
          </cell>
        </row>
        <row r="5">
          <cell r="A5" t="str">
            <v>China</v>
          </cell>
          <cell r="B5">
            <v>0.75</v>
          </cell>
          <cell r="C5">
            <v>0.25</v>
          </cell>
        </row>
        <row r="6">
          <cell r="A6" t="str">
            <v>SÃ£o TomÃ© &amp; PrÃ­ncipe</v>
          </cell>
        </row>
        <row r="7">
          <cell r="A7" t="str">
            <v>Madagascar</v>
          </cell>
        </row>
        <row r="8">
          <cell r="A8" t="str">
            <v>Bangladesh</v>
          </cell>
          <cell r="B8">
            <v>0.93</v>
          </cell>
          <cell r="C8">
            <v>7.0000000000000007E-2</v>
          </cell>
        </row>
        <row r="9">
          <cell r="A9" t="str">
            <v>Cameroon</v>
          </cell>
        </row>
        <row r="10">
          <cell r="A10" t="str">
            <v>Togo</v>
          </cell>
        </row>
        <row r="11">
          <cell r="A11" t="str">
            <v>India</v>
          </cell>
          <cell r="B11">
            <v>0.88</v>
          </cell>
          <cell r="C11">
            <v>0.12</v>
          </cell>
        </row>
        <row r="12">
          <cell r="A12" t="str">
            <v>Bolivia</v>
          </cell>
          <cell r="B12">
            <v>0.96</v>
          </cell>
          <cell r="C12">
            <v>0.04</v>
          </cell>
        </row>
        <row r="13">
          <cell r="A13" t="str">
            <v>British Indian Ocean Territory</v>
          </cell>
        </row>
        <row r="14">
          <cell r="A14" t="str">
            <v>Cuba</v>
          </cell>
        </row>
        <row r="15">
          <cell r="A15" t="str">
            <v>Benin</v>
          </cell>
        </row>
        <row r="16">
          <cell r="A16" t="str">
            <v>Ethiopia</v>
          </cell>
          <cell r="B16">
            <v>0.77</v>
          </cell>
          <cell r="C16">
            <v>0.23</v>
          </cell>
        </row>
        <row r="17">
          <cell r="A17" t="str">
            <v>Uganda</v>
          </cell>
        </row>
        <row r="18">
          <cell r="A18" t="str">
            <v>Sri Lanka</v>
          </cell>
          <cell r="B18">
            <v>0.91</v>
          </cell>
          <cell r="C18">
            <v>0.09</v>
          </cell>
        </row>
        <row r="19">
          <cell r="A19" t="str">
            <v>Eritrea</v>
          </cell>
        </row>
        <row r="20">
          <cell r="A20" t="str">
            <v>Comoros</v>
          </cell>
        </row>
        <row r="21">
          <cell r="A21" t="str">
            <v>Nepal</v>
          </cell>
        </row>
        <row r="22">
          <cell r="A22" t="str">
            <v>Zambia</v>
          </cell>
        </row>
        <row r="23">
          <cell r="A23" t="str">
            <v>Uzbekistan</v>
          </cell>
        </row>
        <row r="24">
          <cell r="A24" t="str">
            <v>St. Helena</v>
          </cell>
        </row>
        <row r="25">
          <cell r="A25" t="str">
            <v>Mozambique</v>
          </cell>
        </row>
        <row r="26">
          <cell r="A26" t="str">
            <v>Nigeria</v>
          </cell>
          <cell r="B26">
            <v>0.95</v>
          </cell>
          <cell r="C26">
            <v>0.05</v>
          </cell>
        </row>
        <row r="27">
          <cell r="A27" t="str">
            <v>Botswana</v>
          </cell>
        </row>
        <row r="28">
          <cell r="A28" t="str">
            <v>South Korea</v>
          </cell>
          <cell r="B28">
            <v>0.78</v>
          </cell>
          <cell r="C28">
            <v>0.22</v>
          </cell>
        </row>
        <row r="29">
          <cell r="A29" t="str">
            <v>Rwanda</v>
          </cell>
        </row>
        <row r="30">
          <cell r="A30" t="str">
            <v>Pakistan</v>
          </cell>
          <cell r="B30">
            <v>0.74</v>
          </cell>
          <cell r="C30">
            <v>0.26</v>
          </cell>
        </row>
        <row r="31">
          <cell r="A31" t="str">
            <v>Timor-Leste</v>
          </cell>
        </row>
        <row r="32">
          <cell r="A32" t="str">
            <v>Malawi</v>
          </cell>
        </row>
        <row r="33">
          <cell r="A33" t="str">
            <v>Burundi</v>
          </cell>
        </row>
        <row r="34">
          <cell r="A34" t="str">
            <v>Congo - Kinshasa</v>
          </cell>
        </row>
        <row r="35">
          <cell r="A35" t="str">
            <v>Congo - Brazzaville</v>
          </cell>
        </row>
        <row r="36">
          <cell r="A36" t="str">
            <v>Nicaragua</v>
          </cell>
        </row>
        <row r="37">
          <cell r="A37" t="str">
            <v>Eswatini</v>
          </cell>
        </row>
        <row r="38">
          <cell r="A38" t="str">
            <v>Burkina Faso</v>
          </cell>
        </row>
        <row r="39">
          <cell r="A39" t="str">
            <v>Sierra Leone</v>
          </cell>
        </row>
        <row r="40">
          <cell r="A40" t="str">
            <v>Cape Verde</v>
          </cell>
        </row>
        <row r="41">
          <cell r="A41" t="str">
            <v>Niger</v>
          </cell>
        </row>
        <row r="42">
          <cell r="A42" t="str">
            <v>Kenya</v>
          </cell>
          <cell r="B42">
            <v>0.88</v>
          </cell>
          <cell r="C42">
            <v>0.12</v>
          </cell>
        </row>
        <row r="43">
          <cell r="A43" t="str">
            <v>Hong Kong</v>
          </cell>
          <cell r="B43">
            <v>0.82</v>
          </cell>
          <cell r="C43">
            <v>0.18</v>
          </cell>
        </row>
        <row r="44">
          <cell r="A44" t="str">
            <v>Luxembourg</v>
          </cell>
        </row>
        <row r="45">
          <cell r="A45" t="str">
            <v>Tunisia</v>
          </cell>
          <cell r="B45">
            <v>0.85</v>
          </cell>
          <cell r="C45">
            <v>0.15</v>
          </cell>
        </row>
        <row r="46">
          <cell r="A46" t="str">
            <v>Faroe Islands</v>
          </cell>
        </row>
        <row r="47">
          <cell r="A47" t="str">
            <v>CÃ´te dâ€™Ivoire</v>
          </cell>
        </row>
        <row r="48">
          <cell r="A48" t="str">
            <v>Iran</v>
          </cell>
          <cell r="B48">
            <v>0.81</v>
          </cell>
          <cell r="C48">
            <v>0.19</v>
          </cell>
        </row>
        <row r="49">
          <cell r="A49" t="str">
            <v>Singapore</v>
          </cell>
          <cell r="B49">
            <v>0.8</v>
          </cell>
          <cell r="C49">
            <v>0.2</v>
          </cell>
        </row>
        <row r="50">
          <cell r="A50" t="str">
            <v>Costa Rica</v>
          </cell>
          <cell r="B50">
            <v>0.86</v>
          </cell>
          <cell r="C50">
            <v>0.14000000000000001</v>
          </cell>
        </row>
        <row r="51">
          <cell r="A51" t="str">
            <v>Indonesia</v>
          </cell>
          <cell r="B51">
            <v>0.9</v>
          </cell>
          <cell r="C51">
            <v>0.1</v>
          </cell>
        </row>
        <row r="52">
          <cell r="A52" t="str">
            <v>Tanzania</v>
          </cell>
        </row>
        <row r="53">
          <cell r="A53" t="str">
            <v>Philippines</v>
          </cell>
          <cell r="B53">
            <v>0.77</v>
          </cell>
          <cell r="C53">
            <v>0.23</v>
          </cell>
        </row>
        <row r="54">
          <cell r="A54" t="str">
            <v>Estonia</v>
          </cell>
        </row>
        <row r="55">
          <cell r="A55" t="str">
            <v>Guinea</v>
          </cell>
        </row>
        <row r="56">
          <cell r="A56" t="str">
            <v>Ghana</v>
          </cell>
        </row>
        <row r="57">
          <cell r="A57" t="str">
            <v>Portugal</v>
          </cell>
          <cell r="B57">
            <v>0.89</v>
          </cell>
          <cell r="C57">
            <v>0.11</v>
          </cell>
        </row>
        <row r="58">
          <cell r="A58" t="str">
            <v>Mali</v>
          </cell>
        </row>
        <row r="59">
          <cell r="A59" t="str">
            <v>Ireland</v>
          </cell>
          <cell r="B59">
            <v>0.9</v>
          </cell>
          <cell r="C59">
            <v>0.1</v>
          </cell>
        </row>
        <row r="60">
          <cell r="A60" t="str">
            <v>Belarus</v>
          </cell>
          <cell r="B60">
            <v>0.73</v>
          </cell>
          <cell r="C60">
            <v>0.27</v>
          </cell>
        </row>
        <row r="61">
          <cell r="A61" t="str">
            <v>El Salvador</v>
          </cell>
        </row>
        <row r="62">
          <cell r="A62" t="str">
            <v>Zimbabwe</v>
          </cell>
        </row>
        <row r="63">
          <cell r="A63" t="str">
            <v>Ã…land Islands</v>
          </cell>
        </row>
        <row r="64">
          <cell r="A64" t="str">
            <v>North Macedonia</v>
          </cell>
        </row>
        <row r="65">
          <cell r="A65" t="str">
            <v>Serbia</v>
          </cell>
          <cell r="B65">
            <v>0.85</v>
          </cell>
          <cell r="C65">
            <v>0.15</v>
          </cell>
        </row>
        <row r="66">
          <cell r="A66" t="str">
            <v>Mexico</v>
          </cell>
          <cell r="B66">
            <v>0.84</v>
          </cell>
          <cell r="C66">
            <v>0.16</v>
          </cell>
        </row>
        <row r="67">
          <cell r="A67" t="str">
            <v>Lesotho</v>
          </cell>
        </row>
        <row r="68">
          <cell r="A68" t="str">
            <v>Israel</v>
          </cell>
          <cell r="B68">
            <v>0.74</v>
          </cell>
          <cell r="C68">
            <v>0.26</v>
          </cell>
        </row>
        <row r="69">
          <cell r="A69" t="str">
            <v>Hungary</v>
          </cell>
          <cell r="B69">
            <v>0.82</v>
          </cell>
          <cell r="C69">
            <v>0.18</v>
          </cell>
        </row>
        <row r="70">
          <cell r="A70" t="str">
            <v>Syria</v>
          </cell>
        </row>
        <row r="71">
          <cell r="A71" t="str">
            <v>Ukraine</v>
          </cell>
          <cell r="B71">
            <v>0.77</v>
          </cell>
          <cell r="C71">
            <v>0.23</v>
          </cell>
        </row>
        <row r="72">
          <cell r="A72" t="str">
            <v>Germany</v>
          </cell>
          <cell r="B72">
            <v>0.81</v>
          </cell>
          <cell r="C72">
            <v>0.19</v>
          </cell>
        </row>
        <row r="73">
          <cell r="A73" t="str">
            <v>Malta</v>
          </cell>
        </row>
        <row r="74">
          <cell r="A74" t="str">
            <v>Czechia</v>
          </cell>
          <cell r="B74">
            <v>0.78</v>
          </cell>
          <cell r="C74">
            <v>0.22</v>
          </cell>
        </row>
        <row r="75">
          <cell r="A75" t="str">
            <v>Morocco</v>
          </cell>
          <cell r="B75">
            <v>0.87</v>
          </cell>
          <cell r="C75">
            <v>0.13</v>
          </cell>
        </row>
        <row r="76">
          <cell r="A76" t="str">
            <v>Mauritania</v>
          </cell>
        </row>
        <row r="77">
          <cell r="A77" t="str">
            <v>Switzerland</v>
          </cell>
          <cell r="B77">
            <v>0.81</v>
          </cell>
          <cell r="C77">
            <v>0.19</v>
          </cell>
        </row>
        <row r="78">
          <cell r="A78" t="str">
            <v>Brazil</v>
          </cell>
          <cell r="B78">
            <v>0.91</v>
          </cell>
          <cell r="C78">
            <v>0.09</v>
          </cell>
        </row>
        <row r="79">
          <cell r="A79" t="str">
            <v>Afghanistan</v>
          </cell>
        </row>
        <row r="80">
          <cell r="A80" t="str">
            <v>Chad</v>
          </cell>
        </row>
        <row r="81">
          <cell r="A81" t="str">
            <v>Gibraltar</v>
          </cell>
        </row>
        <row r="82">
          <cell r="A82" t="str">
            <v>Guatemala</v>
          </cell>
          <cell r="B82">
            <v>0.76</v>
          </cell>
          <cell r="C82">
            <v>0.24</v>
          </cell>
        </row>
        <row r="83">
          <cell r="A83" t="str">
            <v>Angola</v>
          </cell>
        </row>
        <row r="84">
          <cell r="A84" t="str">
            <v>Myanmar (Burma)</v>
          </cell>
        </row>
        <row r="85">
          <cell r="A85" t="str">
            <v>Ecuador</v>
          </cell>
          <cell r="B85">
            <v>0.8</v>
          </cell>
          <cell r="C85">
            <v>0.2</v>
          </cell>
        </row>
        <row r="86">
          <cell r="A86" t="str">
            <v>Austria</v>
          </cell>
          <cell r="B86">
            <v>0.81</v>
          </cell>
          <cell r="C86">
            <v>0.19</v>
          </cell>
        </row>
        <row r="87">
          <cell r="A87" t="str">
            <v>Solomon Islands</v>
          </cell>
        </row>
        <row r="88">
          <cell r="A88" t="str">
            <v>Mauritius</v>
          </cell>
        </row>
        <row r="89">
          <cell r="A89" t="str">
            <v>Romania</v>
          </cell>
          <cell r="B89">
            <v>0.69</v>
          </cell>
          <cell r="C89">
            <v>0.31</v>
          </cell>
        </row>
        <row r="90">
          <cell r="A90" t="str">
            <v>Tonga</v>
          </cell>
        </row>
        <row r="91">
          <cell r="A91" t="str">
            <v>Poland</v>
          </cell>
          <cell r="B91">
            <v>0.72</v>
          </cell>
          <cell r="C91">
            <v>0.28000000000000003</v>
          </cell>
        </row>
        <row r="92">
          <cell r="A92" t="str">
            <v>Central African Republic</v>
          </cell>
        </row>
        <row r="93">
          <cell r="A93" t="str">
            <v>Denmark</v>
          </cell>
          <cell r="B93">
            <v>0.87</v>
          </cell>
          <cell r="C93">
            <v>0.13</v>
          </cell>
        </row>
        <row r="94">
          <cell r="A94" t="str">
            <v>Senegal</v>
          </cell>
        </row>
        <row r="95">
          <cell r="A95" t="str">
            <v>Spain</v>
          </cell>
          <cell r="B95">
            <v>0.89</v>
          </cell>
          <cell r="C95">
            <v>0.11</v>
          </cell>
        </row>
        <row r="96">
          <cell r="A96" t="str">
            <v>Bosnia &amp; Herzegovina</v>
          </cell>
        </row>
        <row r="97">
          <cell r="A97" t="str">
            <v>Croatia</v>
          </cell>
          <cell r="B97">
            <v>0.81</v>
          </cell>
          <cell r="C97">
            <v>0.19</v>
          </cell>
        </row>
        <row r="98">
          <cell r="A98" t="str">
            <v>Peru</v>
          </cell>
          <cell r="B98">
            <v>0.86</v>
          </cell>
          <cell r="C98">
            <v>0.14000000000000001</v>
          </cell>
        </row>
        <row r="99">
          <cell r="A99" t="str">
            <v>Gabon</v>
          </cell>
        </row>
        <row r="100">
          <cell r="A100" t="str">
            <v>Colombia</v>
          </cell>
          <cell r="B100">
            <v>0.86</v>
          </cell>
          <cell r="C100">
            <v>0.14000000000000001</v>
          </cell>
        </row>
        <row r="101">
          <cell r="A101" t="str">
            <v>Liechtenstein</v>
          </cell>
        </row>
        <row r="102">
          <cell r="A102" t="str">
            <v>Uruguay</v>
          </cell>
        </row>
        <row r="103">
          <cell r="A103" t="str">
            <v>United States</v>
          </cell>
          <cell r="B103">
            <v>0.82</v>
          </cell>
          <cell r="C103">
            <v>0.18</v>
          </cell>
        </row>
        <row r="104">
          <cell r="A104" t="str">
            <v>Iceland</v>
          </cell>
        </row>
        <row r="105">
          <cell r="A105" t="str">
            <v>Equatorial Guinea</v>
          </cell>
        </row>
        <row r="106">
          <cell r="A106" t="str">
            <v>Guinea-Bissau</v>
          </cell>
        </row>
        <row r="107">
          <cell r="A107" t="str">
            <v>Latvia</v>
          </cell>
        </row>
        <row r="108">
          <cell r="A108" t="str">
            <v>Sweden</v>
          </cell>
          <cell r="B108">
            <v>0.78</v>
          </cell>
          <cell r="C108">
            <v>0.22</v>
          </cell>
        </row>
        <row r="109">
          <cell r="A109" t="str">
            <v>Belgium</v>
          </cell>
          <cell r="B109">
            <v>0.85</v>
          </cell>
          <cell r="C109">
            <v>0.15</v>
          </cell>
        </row>
        <row r="110">
          <cell r="A110" t="str">
            <v>Haiti</v>
          </cell>
        </row>
        <row r="111">
          <cell r="A111" t="str">
            <v>Norway</v>
          </cell>
          <cell r="B111">
            <v>0.82</v>
          </cell>
          <cell r="C111">
            <v>0.18</v>
          </cell>
        </row>
        <row r="112">
          <cell r="A112" t="str">
            <v>Bulgaria</v>
          </cell>
          <cell r="B112">
            <v>0.75</v>
          </cell>
          <cell r="C112">
            <v>0.25</v>
          </cell>
        </row>
        <row r="113">
          <cell r="A113" t="str">
            <v>Taiwan</v>
          </cell>
          <cell r="B113">
            <v>0.7</v>
          </cell>
          <cell r="C113">
            <v>0.3</v>
          </cell>
        </row>
        <row r="114">
          <cell r="A114" t="str">
            <v>Somalia</v>
          </cell>
        </row>
        <row r="115">
          <cell r="A115" t="str">
            <v>Lithuania</v>
          </cell>
          <cell r="B115">
            <v>0.72</v>
          </cell>
          <cell r="C115">
            <v>0.28000000000000003</v>
          </cell>
        </row>
        <row r="116">
          <cell r="A116" t="str">
            <v>Namibia</v>
          </cell>
        </row>
        <row r="117">
          <cell r="A117" t="str">
            <v>South Africa</v>
          </cell>
          <cell r="B117">
            <v>0.85</v>
          </cell>
          <cell r="C117">
            <v>0.15</v>
          </cell>
        </row>
        <row r="118">
          <cell r="A118" t="str">
            <v>Slovenia</v>
          </cell>
          <cell r="B118">
            <v>0.78</v>
          </cell>
          <cell r="C118">
            <v>0.22</v>
          </cell>
        </row>
        <row r="119">
          <cell r="A119" t="str">
            <v>Tajikistan</v>
          </cell>
        </row>
        <row r="120">
          <cell r="A120" t="str">
            <v>Moldova</v>
          </cell>
        </row>
        <row r="121">
          <cell r="A121" t="str">
            <v>Greenland</v>
          </cell>
        </row>
        <row r="122">
          <cell r="A122" t="str">
            <v>Turkmenistan</v>
          </cell>
        </row>
        <row r="123">
          <cell r="A123" t="str">
            <v>Slovakia</v>
          </cell>
          <cell r="B123">
            <v>0.79</v>
          </cell>
          <cell r="C123">
            <v>0.21</v>
          </cell>
        </row>
        <row r="124">
          <cell r="A124" t="str">
            <v>Honduras</v>
          </cell>
        </row>
        <row r="125">
          <cell r="A125" t="str">
            <v>Andorra</v>
          </cell>
        </row>
        <row r="126">
          <cell r="A126" t="str">
            <v>Cambodia</v>
          </cell>
        </row>
        <row r="127">
          <cell r="A127" t="str">
            <v>Finland</v>
          </cell>
          <cell r="B127">
            <v>0.79</v>
          </cell>
          <cell r="C127">
            <v>0.21</v>
          </cell>
        </row>
        <row r="128">
          <cell r="A128" t="str">
            <v>Paraguay</v>
          </cell>
        </row>
        <row r="129">
          <cell r="A129" t="str">
            <v>Canada</v>
          </cell>
          <cell r="B129">
            <v>0.78</v>
          </cell>
          <cell r="C129">
            <v>0.22</v>
          </cell>
        </row>
        <row r="130">
          <cell r="A130" t="str">
            <v>Djibouti</v>
          </cell>
        </row>
        <row r="131">
          <cell r="A131" t="str">
            <v>Kazakhstan</v>
          </cell>
          <cell r="B131">
            <v>0.8</v>
          </cell>
          <cell r="C131">
            <v>0.2</v>
          </cell>
        </row>
        <row r="132">
          <cell r="A132" t="str">
            <v>Armenia</v>
          </cell>
        </row>
        <row r="133">
          <cell r="A133" t="str">
            <v>Vietnam</v>
          </cell>
          <cell r="B133">
            <v>0.79</v>
          </cell>
          <cell r="C133">
            <v>0.21</v>
          </cell>
        </row>
        <row r="134">
          <cell r="A134" t="str">
            <v>Netherlands</v>
          </cell>
          <cell r="B134">
            <v>0.84</v>
          </cell>
          <cell r="C134">
            <v>0.16</v>
          </cell>
        </row>
        <row r="135">
          <cell r="A135" t="str">
            <v>Mongolia</v>
          </cell>
        </row>
        <row r="136">
          <cell r="A136" t="str">
            <v>Gambia</v>
          </cell>
        </row>
        <row r="137">
          <cell r="A137" t="str">
            <v>Lebanon</v>
          </cell>
        </row>
        <row r="138">
          <cell r="A138" t="str">
            <v>Sudan</v>
          </cell>
        </row>
        <row r="139">
          <cell r="A139" t="str">
            <v>Bhutan</v>
          </cell>
        </row>
        <row r="140">
          <cell r="A140" t="str">
            <v>Algeria</v>
          </cell>
          <cell r="B140">
            <v>0.86</v>
          </cell>
          <cell r="C140">
            <v>0.14000000000000001</v>
          </cell>
        </row>
        <row r="141">
          <cell r="A141" t="str">
            <v>Macao</v>
          </cell>
        </row>
        <row r="142">
          <cell r="A142" t="str">
            <v>Greece</v>
          </cell>
          <cell r="B142">
            <v>0.82</v>
          </cell>
          <cell r="C142">
            <v>0.18</v>
          </cell>
        </row>
        <row r="143">
          <cell r="A143" t="str">
            <v>Japan</v>
          </cell>
          <cell r="B143">
            <v>0.8</v>
          </cell>
          <cell r="C143">
            <v>0.2</v>
          </cell>
        </row>
        <row r="144">
          <cell r="A144" t="str">
            <v>Palestine</v>
          </cell>
        </row>
        <row r="145">
          <cell r="A145" t="str">
            <v>Italy</v>
          </cell>
          <cell r="B145">
            <v>0.83</v>
          </cell>
          <cell r="C145">
            <v>0.17</v>
          </cell>
        </row>
        <row r="146">
          <cell r="A146" t="str">
            <v>South Sudan</v>
          </cell>
        </row>
        <row r="147">
          <cell r="A147" t="str">
            <v>Monaco</v>
          </cell>
        </row>
        <row r="148">
          <cell r="A148" t="str">
            <v>Chile</v>
          </cell>
          <cell r="B148">
            <v>0.88</v>
          </cell>
          <cell r="C148">
            <v>0.12</v>
          </cell>
        </row>
        <row r="149">
          <cell r="A149" t="str">
            <v>Kyrgyzstan</v>
          </cell>
        </row>
        <row r="150">
          <cell r="A150" t="str">
            <v>Yemen</v>
          </cell>
        </row>
        <row r="151">
          <cell r="A151" t="str">
            <v>Kosovo</v>
          </cell>
        </row>
        <row r="152">
          <cell r="A152" t="str">
            <v>Brunei</v>
          </cell>
        </row>
        <row r="153">
          <cell r="A153" t="str">
            <v>Seychelles</v>
          </cell>
        </row>
        <row r="154">
          <cell r="A154" t="str">
            <v>New Zealand</v>
          </cell>
          <cell r="B154">
            <v>0.81</v>
          </cell>
          <cell r="C154">
            <v>0.19</v>
          </cell>
        </row>
        <row r="155">
          <cell r="A155" t="str">
            <v>France</v>
          </cell>
          <cell r="B155">
            <v>0.81</v>
          </cell>
          <cell r="C155">
            <v>0.19</v>
          </cell>
        </row>
        <row r="156">
          <cell r="A156" t="str">
            <v>Argentina</v>
          </cell>
          <cell r="B156">
            <v>0.88</v>
          </cell>
          <cell r="C156">
            <v>0.12</v>
          </cell>
        </row>
        <row r="157">
          <cell r="A157" t="str">
            <v>Albania</v>
          </cell>
        </row>
        <row r="158">
          <cell r="A158" t="str">
            <v>Venezuela</v>
          </cell>
          <cell r="B158">
            <v>0.83</v>
          </cell>
          <cell r="C158">
            <v>0.17</v>
          </cell>
        </row>
        <row r="159">
          <cell r="A159" t="str">
            <v>Russia</v>
          </cell>
          <cell r="B159">
            <v>0.65</v>
          </cell>
          <cell r="C159">
            <v>0.35</v>
          </cell>
        </row>
        <row r="160">
          <cell r="A160" t="str">
            <v>Montenegro</v>
          </cell>
        </row>
        <row r="161">
          <cell r="A161" t="str">
            <v>Turkey</v>
          </cell>
          <cell r="B161">
            <v>0.88</v>
          </cell>
          <cell r="C161">
            <v>0.12</v>
          </cell>
        </row>
        <row r="162">
          <cell r="A162" t="str">
            <v>Malaysia</v>
          </cell>
          <cell r="B162">
            <v>0.74</v>
          </cell>
          <cell r="C162">
            <v>0.26</v>
          </cell>
        </row>
        <row r="163">
          <cell r="A163" t="str">
            <v>Jamaica</v>
          </cell>
        </row>
        <row r="164">
          <cell r="A164" t="str">
            <v>Northern Mariana Islands</v>
          </cell>
        </row>
        <row r="165">
          <cell r="A165" t="str">
            <v>Panama</v>
          </cell>
        </row>
        <row r="166">
          <cell r="A166" t="str">
            <v>Laos</v>
          </cell>
        </row>
        <row r="167">
          <cell r="A167" t="str">
            <v>Jordan</v>
          </cell>
        </row>
        <row r="168">
          <cell r="A168" t="str">
            <v>Dominican Republic</v>
          </cell>
        </row>
        <row r="169">
          <cell r="A169" t="str">
            <v>Cyprus</v>
          </cell>
        </row>
        <row r="170">
          <cell r="A170" t="str">
            <v>Maldives</v>
          </cell>
        </row>
        <row r="171">
          <cell r="A171" t="str">
            <v>Papua New Guinea</v>
          </cell>
        </row>
        <row r="172">
          <cell r="A172" t="str">
            <v>Australia</v>
          </cell>
          <cell r="B172">
            <v>0.82</v>
          </cell>
          <cell r="C172">
            <v>0.18</v>
          </cell>
        </row>
        <row r="173">
          <cell r="A173" t="str">
            <v>French Polynesia</v>
          </cell>
        </row>
        <row r="174">
          <cell r="A174" t="str">
            <v>Qatar</v>
          </cell>
        </row>
        <row r="175">
          <cell r="A175" t="str">
            <v>United Kingdom</v>
          </cell>
          <cell r="B175">
            <v>0.81</v>
          </cell>
          <cell r="C175">
            <v>0.19</v>
          </cell>
        </row>
        <row r="176">
          <cell r="A176" t="str">
            <v>Dominica</v>
          </cell>
        </row>
        <row r="177">
          <cell r="A177" t="str">
            <v>Egypt</v>
          </cell>
          <cell r="B177">
            <v>0.71</v>
          </cell>
          <cell r="C177">
            <v>0.28999999999999998</v>
          </cell>
        </row>
        <row r="178">
          <cell r="A178" t="str">
            <v>Trinidad &amp; Tobago</v>
          </cell>
        </row>
        <row r="179">
          <cell r="A179" t="str">
            <v>San Marino</v>
          </cell>
        </row>
        <row r="180">
          <cell r="A180" t="str">
            <v>Vanuatu</v>
          </cell>
        </row>
        <row r="181">
          <cell r="A181" t="str">
            <v>Azerbaijan</v>
          </cell>
        </row>
        <row r="182">
          <cell r="A182" t="str">
            <v>United Arab Emirates</v>
          </cell>
          <cell r="B182">
            <v>0.84</v>
          </cell>
          <cell r="C182">
            <v>0.16</v>
          </cell>
        </row>
        <row r="183">
          <cell r="A183" t="str">
            <v>U.S. Virgin Islands</v>
          </cell>
        </row>
        <row r="184">
          <cell r="A184" t="str">
            <v>Liberia</v>
          </cell>
        </row>
        <row r="185">
          <cell r="A185" t="str">
            <v>New Caledonia</v>
          </cell>
        </row>
        <row r="186">
          <cell r="A186" t="str">
            <v>Fiji</v>
          </cell>
        </row>
        <row r="187">
          <cell r="A187" t="str">
            <v>Georgia</v>
          </cell>
        </row>
        <row r="188">
          <cell r="A188" t="str">
            <v>Bahrain</v>
          </cell>
        </row>
        <row r="189">
          <cell r="A189" t="str">
            <v>Saudi Arabia</v>
          </cell>
          <cell r="B189">
            <v>0.87</v>
          </cell>
          <cell r="C189">
            <v>0.13</v>
          </cell>
        </row>
        <row r="190">
          <cell r="A190" t="str">
            <v>Oman</v>
          </cell>
        </row>
        <row r="191">
          <cell r="A191" t="str">
            <v>Belize</v>
          </cell>
        </row>
        <row r="192">
          <cell r="A192" t="str">
            <v>Barbados</v>
          </cell>
        </row>
        <row r="193">
          <cell r="A193" t="str">
            <v>Puerto Rico</v>
          </cell>
        </row>
        <row r="194">
          <cell r="A194" t="str">
            <v>CuraÃ§ao</v>
          </cell>
        </row>
        <row r="195">
          <cell r="A195" t="str">
            <v>Guernsey</v>
          </cell>
        </row>
        <row r="196">
          <cell r="A196" t="str">
            <v>Guadeloupe</v>
          </cell>
        </row>
        <row r="197">
          <cell r="A197" t="str">
            <v>Guyana</v>
          </cell>
        </row>
        <row r="198">
          <cell r="A198" t="str">
            <v>Isle of Man</v>
          </cell>
        </row>
        <row r="199">
          <cell r="A199" t="str">
            <v>St. Lucia</v>
          </cell>
        </row>
        <row r="200">
          <cell r="A200" t="str">
            <v>Suriname</v>
          </cell>
        </row>
        <row r="201">
          <cell r="A201" t="str">
            <v>Thailand</v>
          </cell>
          <cell r="B201">
            <v>0.81</v>
          </cell>
          <cell r="C201">
            <v>0.19</v>
          </cell>
        </row>
        <row r="202">
          <cell r="A202" t="str">
            <v>Mayotte</v>
          </cell>
        </row>
        <row r="203">
          <cell r="A203" t="str">
            <v>Grenada</v>
          </cell>
        </row>
        <row r="204">
          <cell r="A204" t="str">
            <v>Cayman Islands</v>
          </cell>
        </row>
        <row r="205">
          <cell r="A205" t="str">
            <v>Guam</v>
          </cell>
        </row>
        <row r="206">
          <cell r="A206" t="str">
            <v>RÃ©union</v>
          </cell>
        </row>
        <row r="207">
          <cell r="A207" t="str">
            <v>St. Kitts &amp; Nevis</v>
          </cell>
        </row>
        <row r="208">
          <cell r="A208" t="str">
            <v>Aruba</v>
          </cell>
        </row>
        <row r="209">
          <cell r="A209" t="str">
            <v>Kuwait</v>
          </cell>
        </row>
        <row r="210">
          <cell r="A210" t="str">
            <v>St. Vincent &amp; Grenadines</v>
          </cell>
        </row>
        <row r="211">
          <cell r="A211" t="str">
            <v>Jersey</v>
          </cell>
        </row>
        <row r="212">
          <cell r="A212" t="str">
            <v>Caribbean Netherlands</v>
          </cell>
        </row>
        <row r="213">
          <cell r="A213" t="str">
            <v>Samoa</v>
          </cell>
        </row>
        <row r="214">
          <cell r="A214" t="str">
            <v>Martinique</v>
          </cell>
        </row>
        <row r="215">
          <cell r="A215" t="str">
            <v>French Guiana</v>
          </cell>
        </row>
        <row r="216">
          <cell r="A216" t="str">
            <v>St. BarthÃ©lemy</v>
          </cell>
        </row>
        <row r="217">
          <cell r="A217" t="str">
            <v>Libya</v>
          </cell>
        </row>
        <row r="218">
          <cell r="A218" t="str">
            <v>Bermuda</v>
          </cell>
        </row>
        <row r="219">
          <cell r="A219" t="str">
            <v>Sint Maarten</v>
          </cell>
        </row>
        <row r="220">
          <cell r="A220" t="str">
            <v>Antigua &amp; Barbuda</v>
          </cell>
        </row>
        <row r="221">
          <cell r="A221" t="str">
            <v>Iraq</v>
          </cell>
        </row>
        <row r="222">
          <cell r="A222" t="str">
            <v>Bahamas</v>
          </cell>
        </row>
        <row r="223">
          <cell r="A223" t="str">
            <v>Montserrat</v>
          </cell>
        </row>
        <row r="224">
          <cell r="A224" t="str">
            <v>Palau</v>
          </cell>
        </row>
        <row r="225">
          <cell r="A225" t="str">
            <v>Svalbard &amp; Jan Mayen</v>
          </cell>
        </row>
        <row r="226">
          <cell r="A226" t="str">
            <v>Kiribati</v>
          </cell>
        </row>
        <row r="227">
          <cell r="A227" t="str">
            <v>St. Pierre &amp; Miquelon</v>
          </cell>
        </row>
        <row r="228">
          <cell r="A228" t="str">
            <v>Anguilla</v>
          </cell>
        </row>
        <row r="229">
          <cell r="A229" t="str">
            <v>Cook Islands</v>
          </cell>
        </row>
        <row r="230">
          <cell r="A230" t="str">
            <v>Micronesia</v>
          </cell>
        </row>
        <row r="231">
          <cell r="A231" t="str">
            <v>British Virgin Islands</v>
          </cell>
        </row>
        <row r="232">
          <cell r="A232" t="str">
            <v>Falkland Islands (Islas Malvinas)</v>
          </cell>
        </row>
        <row r="233">
          <cell r="A233" t="str">
            <v>Turks &amp; Caicos Islands</v>
          </cell>
        </row>
        <row r="234">
          <cell r="A234" t="str">
            <v>Marshall Islands</v>
          </cell>
        </row>
        <row r="235">
          <cell r="A235" t="str">
            <v>American Samoa</v>
          </cell>
        </row>
        <row r="236">
          <cell r="A236" t="str">
            <v>St. Martin</v>
          </cell>
        </row>
        <row r="237">
          <cell r="A237" t="str">
            <v>Antarctica</v>
          </cell>
        </row>
        <row r="238">
          <cell r="A238" t="str">
            <v>French Southern Territories</v>
          </cell>
        </row>
        <row r="239">
          <cell r="A239" t="str">
            <v>Bouvet Island</v>
          </cell>
        </row>
        <row r="240">
          <cell r="A240" t="str">
            <v>Cocos (Keeling) Islands</v>
          </cell>
        </row>
        <row r="241">
          <cell r="A241" t="str">
            <v>Christmas Island</v>
          </cell>
        </row>
        <row r="242">
          <cell r="A242" t="str">
            <v>Western Sahara</v>
          </cell>
        </row>
        <row r="243">
          <cell r="A243" t="str">
            <v>Heard &amp; McDonald Islands</v>
          </cell>
        </row>
        <row r="244">
          <cell r="A244" t="str">
            <v>Norfolk Island</v>
          </cell>
        </row>
        <row r="245">
          <cell r="A245" t="str">
            <v>Niue</v>
          </cell>
        </row>
        <row r="246">
          <cell r="A246" t="str">
            <v>Nauru</v>
          </cell>
        </row>
        <row r="247">
          <cell r="A247" t="str">
            <v>Pitcairn Islands</v>
          </cell>
        </row>
        <row r="248">
          <cell r="A248" t="str">
            <v>South Georgia &amp; South Sandwich Islands</v>
          </cell>
        </row>
        <row r="249">
          <cell r="A249" t="str">
            <v>Tokelau</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2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29)"/>
    </sheetNames>
    <sheetDataSet>
      <sheetData sheetId="0">
        <row r="1">
          <cell r="A1" t="str">
            <v>Category: All categories</v>
          </cell>
        </row>
        <row r="3">
          <cell r="A3" t="str">
            <v>Country</v>
          </cell>
          <cell r="B3" t="str">
            <v>C++: (2015)</v>
          </cell>
          <cell r="C3" t="str">
            <v>Transmission Control Protocol: (2015)</v>
          </cell>
        </row>
        <row r="4">
          <cell r="A4" t="str">
            <v>North Korea</v>
          </cell>
        </row>
        <row r="5">
          <cell r="A5" t="str">
            <v>China</v>
          </cell>
          <cell r="B5">
            <v>0.84</v>
          </cell>
          <cell r="C5">
            <v>0.16</v>
          </cell>
        </row>
        <row r="6">
          <cell r="A6" t="str">
            <v>Cuba</v>
          </cell>
        </row>
        <row r="7">
          <cell r="A7" t="str">
            <v>Ethiopia</v>
          </cell>
        </row>
        <row r="8">
          <cell r="A8" t="str">
            <v>Pakistan</v>
          </cell>
          <cell r="B8">
            <v>0.94</v>
          </cell>
          <cell r="C8">
            <v>0.06</v>
          </cell>
        </row>
        <row r="9">
          <cell r="A9" t="str">
            <v>South Korea</v>
          </cell>
          <cell r="B9">
            <v>0.83</v>
          </cell>
          <cell r="C9">
            <v>0.17</v>
          </cell>
        </row>
        <row r="10">
          <cell r="A10" t="str">
            <v>Iceland</v>
          </cell>
        </row>
        <row r="11">
          <cell r="A11" t="str">
            <v>Armenia</v>
          </cell>
        </row>
        <row r="12">
          <cell r="A12" t="str">
            <v>India</v>
          </cell>
          <cell r="B12">
            <v>0.87</v>
          </cell>
          <cell r="C12">
            <v>0.13</v>
          </cell>
        </row>
        <row r="13">
          <cell r="A13" t="str">
            <v>Fiji</v>
          </cell>
        </row>
        <row r="14">
          <cell r="A14" t="str">
            <v>Belarus</v>
          </cell>
          <cell r="B14">
            <v>0.93</v>
          </cell>
          <cell r="C14">
            <v>7.0000000000000007E-2</v>
          </cell>
        </row>
        <row r="15">
          <cell r="A15" t="str">
            <v>Lesotho</v>
          </cell>
        </row>
        <row r="16">
          <cell r="A16" t="str">
            <v>Romania</v>
          </cell>
          <cell r="B16">
            <v>0.93</v>
          </cell>
          <cell r="C16">
            <v>7.0000000000000007E-2</v>
          </cell>
        </row>
        <row r="17">
          <cell r="A17" t="str">
            <v>St. Helena</v>
          </cell>
        </row>
        <row r="18">
          <cell r="A18" t="str">
            <v>Eswatini</v>
          </cell>
        </row>
        <row r="19">
          <cell r="A19" t="str">
            <v>Bangladesh</v>
          </cell>
          <cell r="B19">
            <v>0.9</v>
          </cell>
          <cell r="C19">
            <v>0.1</v>
          </cell>
        </row>
        <row r="20">
          <cell r="A20" t="str">
            <v>Israel</v>
          </cell>
          <cell r="B20">
            <v>0.85</v>
          </cell>
          <cell r="C20">
            <v>0.15</v>
          </cell>
        </row>
        <row r="21">
          <cell r="A21" t="str">
            <v>Philippines</v>
          </cell>
          <cell r="B21">
            <v>0.89</v>
          </cell>
          <cell r="C21">
            <v>0.11</v>
          </cell>
        </row>
        <row r="22">
          <cell r="A22" t="str">
            <v>Poland</v>
          </cell>
          <cell r="B22">
            <v>0.92</v>
          </cell>
          <cell r="C22">
            <v>0.08</v>
          </cell>
        </row>
        <row r="23">
          <cell r="A23" t="str">
            <v>Taiwan</v>
          </cell>
          <cell r="B23">
            <v>0.87</v>
          </cell>
          <cell r="C23">
            <v>0.13</v>
          </cell>
        </row>
        <row r="24">
          <cell r="A24" t="str">
            <v>Rwanda</v>
          </cell>
        </row>
        <row r="25">
          <cell r="A25" t="str">
            <v>Nepal</v>
          </cell>
        </row>
        <row r="26">
          <cell r="A26" t="str">
            <v>Somalia</v>
          </cell>
        </row>
        <row r="27">
          <cell r="A27" t="str">
            <v>Singapore</v>
          </cell>
          <cell r="B27">
            <v>0.79</v>
          </cell>
          <cell r="C27">
            <v>0.21</v>
          </cell>
        </row>
        <row r="28">
          <cell r="A28" t="str">
            <v>Honduras</v>
          </cell>
        </row>
        <row r="29">
          <cell r="A29" t="str">
            <v>Uzbekistan</v>
          </cell>
        </row>
        <row r="30">
          <cell r="A30" t="str">
            <v>Belize</v>
          </cell>
        </row>
        <row r="31">
          <cell r="A31" t="str">
            <v>North Macedonia</v>
          </cell>
        </row>
        <row r="32">
          <cell r="A32" t="str">
            <v>Iran</v>
          </cell>
          <cell r="B32">
            <v>0.91</v>
          </cell>
          <cell r="C32">
            <v>0.09</v>
          </cell>
        </row>
        <row r="33">
          <cell r="A33" t="str">
            <v>Lithuania</v>
          </cell>
          <cell r="B33">
            <v>0.92</v>
          </cell>
          <cell r="C33">
            <v>0.08</v>
          </cell>
        </row>
        <row r="34">
          <cell r="A34" t="str">
            <v>Ukraine</v>
          </cell>
          <cell r="B34">
            <v>0.92</v>
          </cell>
          <cell r="C34">
            <v>0.08</v>
          </cell>
        </row>
        <row r="35">
          <cell r="A35" t="str">
            <v>Russia</v>
          </cell>
          <cell r="B35">
            <v>0.89</v>
          </cell>
          <cell r="C35">
            <v>0.11</v>
          </cell>
        </row>
        <row r="36">
          <cell r="A36" t="str">
            <v>Guatemala</v>
          </cell>
          <cell r="B36">
            <v>0.9</v>
          </cell>
          <cell r="C36">
            <v>0.1</v>
          </cell>
        </row>
        <row r="37">
          <cell r="A37" t="str">
            <v>Hong Kong</v>
          </cell>
          <cell r="B37">
            <v>0.79</v>
          </cell>
          <cell r="C37">
            <v>0.21</v>
          </cell>
        </row>
        <row r="38">
          <cell r="A38" t="str">
            <v>Tonga</v>
          </cell>
        </row>
        <row r="39">
          <cell r="A39" t="str">
            <v>Czechia</v>
          </cell>
          <cell r="B39">
            <v>0.83</v>
          </cell>
          <cell r="C39">
            <v>0.17</v>
          </cell>
        </row>
        <row r="40">
          <cell r="A40" t="str">
            <v>Mongolia</v>
          </cell>
        </row>
        <row r="41">
          <cell r="A41" t="str">
            <v>Sri Lanka</v>
          </cell>
          <cell r="B41">
            <v>0.85</v>
          </cell>
          <cell r="C41">
            <v>0.15</v>
          </cell>
        </row>
        <row r="42">
          <cell r="A42" t="str">
            <v>Zimbabwe</v>
          </cell>
        </row>
        <row r="43">
          <cell r="A43" t="str">
            <v>Bulgaria</v>
          </cell>
          <cell r="B43">
            <v>0.9</v>
          </cell>
          <cell r="C43">
            <v>0.1</v>
          </cell>
        </row>
        <row r="44">
          <cell r="A44" t="str">
            <v>Moldova</v>
          </cell>
        </row>
        <row r="45">
          <cell r="A45" t="str">
            <v>Afghanistan</v>
          </cell>
        </row>
        <row r="46">
          <cell r="A46" t="str">
            <v>Faroe Islands</v>
          </cell>
        </row>
        <row r="47">
          <cell r="A47" t="str">
            <v>Togo</v>
          </cell>
        </row>
        <row r="48">
          <cell r="A48" t="str">
            <v>Latvia</v>
          </cell>
        </row>
        <row r="49">
          <cell r="A49" t="str">
            <v>Germany</v>
          </cell>
          <cell r="B49">
            <v>0.83</v>
          </cell>
          <cell r="C49">
            <v>0.17</v>
          </cell>
        </row>
        <row r="50">
          <cell r="A50" t="str">
            <v>Tunisia</v>
          </cell>
          <cell r="B50">
            <v>0.82</v>
          </cell>
          <cell r="C50">
            <v>0.18</v>
          </cell>
        </row>
        <row r="51">
          <cell r="A51" t="str">
            <v>Madagascar</v>
          </cell>
        </row>
        <row r="52">
          <cell r="A52" t="str">
            <v>Hungary</v>
          </cell>
          <cell r="B52">
            <v>0.86</v>
          </cell>
          <cell r="C52">
            <v>0.14000000000000001</v>
          </cell>
        </row>
        <row r="53">
          <cell r="A53" t="str">
            <v>Ecuador</v>
          </cell>
          <cell r="B53">
            <v>0.85</v>
          </cell>
          <cell r="C53">
            <v>0.15</v>
          </cell>
        </row>
        <row r="54">
          <cell r="A54" t="str">
            <v>Sweden</v>
          </cell>
          <cell r="B54">
            <v>0.83</v>
          </cell>
          <cell r="C54">
            <v>0.17</v>
          </cell>
        </row>
        <row r="55">
          <cell r="A55" t="str">
            <v>Bosnia &amp; Herzegovina</v>
          </cell>
        </row>
        <row r="56">
          <cell r="A56" t="str">
            <v>Ghana</v>
          </cell>
        </row>
        <row r="57">
          <cell r="A57" t="str">
            <v>Switzerland</v>
          </cell>
          <cell r="B57">
            <v>0.8</v>
          </cell>
          <cell r="C57">
            <v>0.2</v>
          </cell>
        </row>
        <row r="58">
          <cell r="A58" t="str">
            <v>Costa Rica</v>
          </cell>
          <cell r="B58">
            <v>0.81</v>
          </cell>
          <cell r="C58">
            <v>0.19</v>
          </cell>
        </row>
        <row r="59">
          <cell r="A59" t="str">
            <v>Slovenia</v>
          </cell>
          <cell r="B59">
            <v>0.85</v>
          </cell>
          <cell r="C59">
            <v>0.15</v>
          </cell>
        </row>
        <row r="60">
          <cell r="A60" t="str">
            <v>Austria</v>
          </cell>
          <cell r="B60">
            <v>0.83</v>
          </cell>
          <cell r="C60">
            <v>0.17</v>
          </cell>
        </row>
        <row r="61">
          <cell r="A61" t="str">
            <v>St. Kitts &amp; Nevis</v>
          </cell>
        </row>
        <row r="62">
          <cell r="A62" t="str">
            <v>Jordan</v>
          </cell>
        </row>
        <row r="63">
          <cell r="A63" t="str">
            <v>Albania</v>
          </cell>
        </row>
        <row r="64">
          <cell r="A64" t="str">
            <v>Mexico</v>
          </cell>
          <cell r="B64">
            <v>0.87</v>
          </cell>
          <cell r="C64">
            <v>0.13</v>
          </cell>
        </row>
        <row r="65">
          <cell r="A65" t="str">
            <v>Cyprus</v>
          </cell>
        </row>
        <row r="66">
          <cell r="A66" t="str">
            <v>Cameroon</v>
          </cell>
        </row>
        <row r="67">
          <cell r="A67" t="str">
            <v>Croatia</v>
          </cell>
          <cell r="B67">
            <v>0.87</v>
          </cell>
          <cell r="C67">
            <v>0.13</v>
          </cell>
        </row>
        <row r="68">
          <cell r="A68" t="str">
            <v>Canada</v>
          </cell>
          <cell r="B68">
            <v>0.83</v>
          </cell>
          <cell r="C68">
            <v>0.17</v>
          </cell>
        </row>
        <row r="69">
          <cell r="A69" t="str">
            <v>Egypt</v>
          </cell>
          <cell r="B69">
            <v>0.92</v>
          </cell>
          <cell r="C69">
            <v>0.08</v>
          </cell>
        </row>
        <row r="70">
          <cell r="A70" t="str">
            <v>Bhutan</v>
          </cell>
        </row>
        <row r="71">
          <cell r="A71" t="str">
            <v>Malawi</v>
          </cell>
        </row>
        <row r="72">
          <cell r="A72" t="str">
            <v>Lebanon</v>
          </cell>
        </row>
        <row r="73">
          <cell r="A73" t="str">
            <v>Finland</v>
          </cell>
          <cell r="B73">
            <v>0.81</v>
          </cell>
          <cell r="C73">
            <v>0.19</v>
          </cell>
        </row>
        <row r="74">
          <cell r="A74" t="str">
            <v>United States</v>
          </cell>
          <cell r="B74">
            <v>0.8</v>
          </cell>
          <cell r="C74">
            <v>0.2</v>
          </cell>
        </row>
        <row r="75">
          <cell r="A75" t="str">
            <v>Malaysia</v>
          </cell>
          <cell r="B75">
            <v>0.84</v>
          </cell>
          <cell r="C75">
            <v>0.16</v>
          </cell>
        </row>
        <row r="76">
          <cell r="A76" t="str">
            <v>Slovakia</v>
          </cell>
          <cell r="B76">
            <v>0.84</v>
          </cell>
          <cell r="C76">
            <v>0.16</v>
          </cell>
        </row>
        <row r="77">
          <cell r="A77" t="str">
            <v>Syria</v>
          </cell>
        </row>
        <row r="78">
          <cell r="A78" t="str">
            <v>Botswana</v>
          </cell>
        </row>
        <row r="79">
          <cell r="A79" t="str">
            <v>Kenya</v>
          </cell>
          <cell r="B79">
            <v>0.81</v>
          </cell>
          <cell r="C79">
            <v>0.19</v>
          </cell>
        </row>
        <row r="80">
          <cell r="A80" t="str">
            <v>Jamaica</v>
          </cell>
        </row>
        <row r="81">
          <cell r="A81" t="str">
            <v>Serbia</v>
          </cell>
          <cell r="B81">
            <v>0.88</v>
          </cell>
          <cell r="C81">
            <v>0.12</v>
          </cell>
        </row>
        <row r="82">
          <cell r="A82" t="str">
            <v>Benin</v>
          </cell>
        </row>
        <row r="83">
          <cell r="A83" t="str">
            <v>Vietnam</v>
          </cell>
          <cell r="B83">
            <v>0.9</v>
          </cell>
          <cell r="C83">
            <v>0.1</v>
          </cell>
        </row>
        <row r="84">
          <cell r="A84" t="str">
            <v>Sudan</v>
          </cell>
        </row>
        <row r="85">
          <cell r="A85" t="str">
            <v>Norway</v>
          </cell>
          <cell r="B85">
            <v>0.78</v>
          </cell>
          <cell r="C85">
            <v>0.22</v>
          </cell>
        </row>
        <row r="86">
          <cell r="A86" t="str">
            <v>Estonia</v>
          </cell>
        </row>
        <row r="87">
          <cell r="A87" t="str">
            <v>Cambodia</v>
          </cell>
        </row>
        <row r="88">
          <cell r="A88" t="str">
            <v>Angola</v>
          </cell>
        </row>
        <row r="89">
          <cell r="A89" t="str">
            <v>Kazakhstan</v>
          </cell>
          <cell r="B89">
            <v>0.88</v>
          </cell>
          <cell r="C89">
            <v>0.12</v>
          </cell>
        </row>
        <row r="90">
          <cell r="A90" t="str">
            <v>Barbados</v>
          </cell>
        </row>
        <row r="91">
          <cell r="A91" t="str">
            <v>Bahrain</v>
          </cell>
        </row>
        <row r="92">
          <cell r="A92" t="str">
            <v>Nicaragua</v>
          </cell>
        </row>
        <row r="93">
          <cell r="A93" t="str">
            <v>Oman</v>
          </cell>
        </row>
        <row r="94">
          <cell r="A94" t="str">
            <v>Japan</v>
          </cell>
          <cell r="B94">
            <v>0.77</v>
          </cell>
          <cell r="C94">
            <v>0.23</v>
          </cell>
        </row>
        <row r="95">
          <cell r="A95" t="str">
            <v>Georgia</v>
          </cell>
        </row>
        <row r="96">
          <cell r="A96" t="str">
            <v>Kyrgyzstan</v>
          </cell>
        </row>
        <row r="97">
          <cell r="A97" t="str">
            <v>Panama</v>
          </cell>
        </row>
        <row r="98">
          <cell r="A98" t="str">
            <v>El Salvador</v>
          </cell>
        </row>
        <row r="99">
          <cell r="A99" t="str">
            <v>Tajikistan</v>
          </cell>
        </row>
        <row r="100">
          <cell r="A100" t="str">
            <v>Portugal</v>
          </cell>
          <cell r="B100">
            <v>0.78</v>
          </cell>
          <cell r="C100">
            <v>0.22</v>
          </cell>
        </row>
        <row r="101">
          <cell r="A101" t="str">
            <v>Bolivia</v>
          </cell>
          <cell r="B101">
            <v>0.8</v>
          </cell>
          <cell r="C101">
            <v>0.2</v>
          </cell>
        </row>
        <row r="102">
          <cell r="A102" t="str">
            <v>Morocco</v>
          </cell>
          <cell r="B102">
            <v>0.82</v>
          </cell>
          <cell r="C102">
            <v>0.18</v>
          </cell>
        </row>
        <row r="103">
          <cell r="A103" t="str">
            <v>Mauritius</v>
          </cell>
        </row>
        <row r="104">
          <cell r="A104" t="str">
            <v>Colombia</v>
          </cell>
          <cell r="B104">
            <v>0.83</v>
          </cell>
          <cell r="C104">
            <v>0.17</v>
          </cell>
        </row>
        <row r="105">
          <cell r="A105" t="str">
            <v>Macao</v>
          </cell>
        </row>
        <row r="106">
          <cell r="A106" t="str">
            <v>Belgium</v>
          </cell>
          <cell r="B106">
            <v>0.74</v>
          </cell>
          <cell r="C106">
            <v>0.26</v>
          </cell>
        </row>
        <row r="107">
          <cell r="A107" t="str">
            <v>Indonesia</v>
          </cell>
          <cell r="B107">
            <v>0.82</v>
          </cell>
          <cell r="C107">
            <v>0.18</v>
          </cell>
        </row>
        <row r="108">
          <cell r="A108" t="str">
            <v>Peru</v>
          </cell>
          <cell r="B108">
            <v>0.83</v>
          </cell>
          <cell r="C108">
            <v>0.17</v>
          </cell>
        </row>
        <row r="109">
          <cell r="A109" t="str">
            <v>New Zealand</v>
          </cell>
          <cell r="B109">
            <v>0.76</v>
          </cell>
          <cell r="C109">
            <v>0.24</v>
          </cell>
        </row>
        <row r="110">
          <cell r="A110" t="str">
            <v>Malta</v>
          </cell>
        </row>
        <row r="111">
          <cell r="A111" t="str">
            <v>Libya</v>
          </cell>
        </row>
        <row r="112">
          <cell r="A112" t="str">
            <v>Greece</v>
          </cell>
          <cell r="B112">
            <v>0.84</v>
          </cell>
          <cell r="C112">
            <v>0.16</v>
          </cell>
        </row>
        <row r="113">
          <cell r="A113" t="str">
            <v>Denmark</v>
          </cell>
          <cell r="B113">
            <v>0.79</v>
          </cell>
          <cell r="C113">
            <v>0.21</v>
          </cell>
        </row>
        <row r="114">
          <cell r="A114" t="str">
            <v>South Africa</v>
          </cell>
          <cell r="B114">
            <v>0.77</v>
          </cell>
          <cell r="C114">
            <v>0.23</v>
          </cell>
        </row>
        <row r="115">
          <cell r="A115" t="str">
            <v>France</v>
          </cell>
          <cell r="B115">
            <v>0.8</v>
          </cell>
          <cell r="C115">
            <v>0.2</v>
          </cell>
        </row>
        <row r="116">
          <cell r="A116" t="str">
            <v>Palestine</v>
          </cell>
        </row>
        <row r="117">
          <cell r="A117" t="str">
            <v>Puerto Rico</v>
          </cell>
        </row>
        <row r="118">
          <cell r="A118" t="str">
            <v>Netherlands</v>
          </cell>
          <cell r="B118">
            <v>0.76</v>
          </cell>
          <cell r="C118">
            <v>0.24</v>
          </cell>
        </row>
        <row r="119">
          <cell r="A119" t="str">
            <v>Djibouti</v>
          </cell>
        </row>
        <row r="120">
          <cell r="A120" t="str">
            <v>Dominican Republic</v>
          </cell>
        </row>
        <row r="121">
          <cell r="A121" t="str">
            <v>Grenada</v>
          </cell>
        </row>
        <row r="122">
          <cell r="A122" t="str">
            <v>Uganda</v>
          </cell>
        </row>
        <row r="123">
          <cell r="A123" t="str">
            <v>Ireland</v>
          </cell>
          <cell r="B123">
            <v>0.73</v>
          </cell>
          <cell r="C123">
            <v>0.27</v>
          </cell>
        </row>
        <row r="124">
          <cell r="A124" t="str">
            <v>Italy</v>
          </cell>
          <cell r="B124">
            <v>0.79</v>
          </cell>
          <cell r="C124">
            <v>0.21</v>
          </cell>
        </row>
        <row r="125">
          <cell r="A125" t="str">
            <v>Trinidad &amp; Tobago</v>
          </cell>
        </row>
        <row r="126">
          <cell r="A126" t="str">
            <v>United Kingdom</v>
          </cell>
          <cell r="B126">
            <v>0.75</v>
          </cell>
          <cell r="C126">
            <v>0.25</v>
          </cell>
        </row>
        <row r="127">
          <cell r="A127" t="str">
            <v>Brunei</v>
          </cell>
        </row>
        <row r="128">
          <cell r="A128" t="str">
            <v>Yemen</v>
          </cell>
        </row>
        <row r="129">
          <cell r="A129" t="str">
            <v>Nigeria</v>
          </cell>
          <cell r="B129">
            <v>0.78</v>
          </cell>
          <cell r="C129">
            <v>0.22</v>
          </cell>
        </row>
        <row r="130">
          <cell r="A130" t="str">
            <v>Congo - Kinshasa</v>
          </cell>
        </row>
        <row r="131">
          <cell r="A131" t="str">
            <v>Myanmar (Burma)</v>
          </cell>
        </row>
        <row r="132">
          <cell r="A132" t="str">
            <v>Spain</v>
          </cell>
          <cell r="B132">
            <v>0.75</v>
          </cell>
          <cell r="C132">
            <v>0.25</v>
          </cell>
        </row>
        <row r="133">
          <cell r="A133" t="str">
            <v>Papua New Guinea</v>
          </cell>
        </row>
        <row r="134">
          <cell r="A134" t="str">
            <v>Turkmenistan</v>
          </cell>
        </row>
        <row r="135">
          <cell r="A135" t="str">
            <v>Paraguay</v>
          </cell>
        </row>
        <row r="136">
          <cell r="A136" t="str">
            <v>Maldives</v>
          </cell>
        </row>
        <row r="137">
          <cell r="A137" t="str">
            <v>Laos</v>
          </cell>
        </row>
        <row r="138">
          <cell r="A138" t="str">
            <v>Cape Verde</v>
          </cell>
        </row>
        <row r="139">
          <cell r="A139" t="str">
            <v>Australia</v>
          </cell>
          <cell r="B139">
            <v>0.72</v>
          </cell>
          <cell r="C139">
            <v>0.28000000000000003</v>
          </cell>
        </row>
        <row r="140">
          <cell r="A140" t="str">
            <v>St. Vincent &amp; Grenadines</v>
          </cell>
        </row>
        <row r="141">
          <cell r="A141" t="str">
            <v>Niger</v>
          </cell>
        </row>
        <row r="142">
          <cell r="A142" t="str">
            <v>Venezuela</v>
          </cell>
          <cell r="B142">
            <v>0.83</v>
          </cell>
          <cell r="C142">
            <v>0.17</v>
          </cell>
        </row>
        <row r="143">
          <cell r="A143" t="str">
            <v>Gabon</v>
          </cell>
        </row>
        <row r="144">
          <cell r="A144" t="str">
            <v>Burundi</v>
          </cell>
        </row>
        <row r="145">
          <cell r="A145" t="str">
            <v>Algeria</v>
          </cell>
          <cell r="B145">
            <v>0.84</v>
          </cell>
          <cell r="C145">
            <v>0.16</v>
          </cell>
        </row>
        <row r="146">
          <cell r="A146" t="str">
            <v>Tanzania</v>
          </cell>
        </row>
        <row r="147">
          <cell r="A147" t="str">
            <v>Azerbaijan</v>
          </cell>
        </row>
        <row r="148">
          <cell r="A148" t="str">
            <v>Montenegro</v>
          </cell>
        </row>
        <row r="149">
          <cell r="A149" t="str">
            <v>Luxembourg</v>
          </cell>
        </row>
        <row r="150">
          <cell r="A150" t="str">
            <v>Kosovo</v>
          </cell>
        </row>
        <row r="151">
          <cell r="A151" t="str">
            <v>Andorra</v>
          </cell>
        </row>
        <row r="152">
          <cell r="A152" t="str">
            <v>Haiti</v>
          </cell>
        </row>
        <row r="153">
          <cell r="A153" t="str">
            <v>Uruguay</v>
          </cell>
        </row>
        <row r="154">
          <cell r="A154" t="str">
            <v>Brazil</v>
          </cell>
          <cell r="B154">
            <v>0.76</v>
          </cell>
          <cell r="C154">
            <v>0.24</v>
          </cell>
        </row>
        <row r="155">
          <cell r="A155" t="str">
            <v>Zambia</v>
          </cell>
        </row>
        <row r="156">
          <cell r="A156" t="str">
            <v>Guinea</v>
          </cell>
        </row>
        <row r="157">
          <cell r="A157" t="str">
            <v>CÃ´te dâ€™Ivoire</v>
          </cell>
        </row>
        <row r="158">
          <cell r="A158" t="str">
            <v>United Arab Emirates</v>
          </cell>
          <cell r="B158">
            <v>0.71</v>
          </cell>
          <cell r="C158">
            <v>0.28999999999999998</v>
          </cell>
        </row>
        <row r="159">
          <cell r="A159" t="str">
            <v>Cayman Islands</v>
          </cell>
        </row>
        <row r="160">
          <cell r="A160" t="str">
            <v>Thailand</v>
          </cell>
          <cell r="B160">
            <v>0.83</v>
          </cell>
          <cell r="C160">
            <v>0.17</v>
          </cell>
        </row>
        <row r="161">
          <cell r="A161" t="str">
            <v>Senegal</v>
          </cell>
        </row>
        <row r="162">
          <cell r="A162" t="str">
            <v>Kuwait</v>
          </cell>
        </row>
        <row r="163">
          <cell r="A163" t="str">
            <v>Qatar</v>
          </cell>
        </row>
        <row r="164">
          <cell r="A164" t="str">
            <v>Chile</v>
          </cell>
          <cell r="B164">
            <v>0.76</v>
          </cell>
          <cell r="C164">
            <v>0.24</v>
          </cell>
        </row>
        <row r="165">
          <cell r="A165" t="str">
            <v>French Polynesia</v>
          </cell>
        </row>
        <row r="166">
          <cell r="A166" t="str">
            <v>Iraq</v>
          </cell>
        </row>
        <row r="167">
          <cell r="A167" t="str">
            <v>Mozambique</v>
          </cell>
        </row>
        <row r="168">
          <cell r="A168" t="str">
            <v>Argentina</v>
          </cell>
          <cell r="B168">
            <v>0.7</v>
          </cell>
          <cell r="C168">
            <v>0.3</v>
          </cell>
        </row>
        <row r="169">
          <cell r="A169" t="str">
            <v>Burkina Faso</v>
          </cell>
        </row>
        <row r="170">
          <cell r="A170" t="str">
            <v>Turkey</v>
          </cell>
          <cell r="B170">
            <v>0.87</v>
          </cell>
          <cell r="C170">
            <v>0.13</v>
          </cell>
        </row>
        <row r="171">
          <cell r="A171" t="str">
            <v>Guyana</v>
          </cell>
        </row>
        <row r="172">
          <cell r="A172" t="str">
            <v>Congo - Brazzaville</v>
          </cell>
        </row>
        <row r="173">
          <cell r="A173" t="str">
            <v>Liberia</v>
          </cell>
        </row>
        <row r="174">
          <cell r="A174" t="str">
            <v>Saudi Arabia</v>
          </cell>
          <cell r="B174">
            <v>0.8</v>
          </cell>
          <cell r="C174">
            <v>0.2</v>
          </cell>
        </row>
        <row r="175">
          <cell r="A175" t="str">
            <v>Isle of Man</v>
          </cell>
        </row>
        <row r="176">
          <cell r="A176" t="str">
            <v>Namibia</v>
          </cell>
        </row>
        <row r="177">
          <cell r="A177" t="str">
            <v>Suriname</v>
          </cell>
        </row>
        <row r="178">
          <cell r="A178" t="str">
            <v>Mali</v>
          </cell>
        </row>
        <row r="179">
          <cell r="A179" t="str">
            <v>Martinique</v>
          </cell>
        </row>
        <row r="180">
          <cell r="A180" t="str">
            <v>French Guiana</v>
          </cell>
        </row>
        <row r="181">
          <cell r="A181" t="str">
            <v>Antigua &amp; Barbuda</v>
          </cell>
        </row>
        <row r="182">
          <cell r="A182" t="str">
            <v>Mauritania</v>
          </cell>
        </row>
        <row r="183">
          <cell r="A183" t="str">
            <v>RÃ©union</v>
          </cell>
        </row>
        <row r="184">
          <cell r="A184" t="str">
            <v>Bahamas</v>
          </cell>
        </row>
        <row r="185">
          <cell r="A185" t="str">
            <v>Guam</v>
          </cell>
        </row>
        <row r="186">
          <cell r="A186" t="str">
            <v>Guadeloupe</v>
          </cell>
        </row>
        <row r="187">
          <cell r="A187" t="str">
            <v>South Sudan</v>
          </cell>
        </row>
        <row r="188">
          <cell r="A188" t="str">
            <v>CuraÃ§ao</v>
          </cell>
        </row>
        <row r="189">
          <cell r="A189" t="str">
            <v>Jersey</v>
          </cell>
        </row>
        <row r="190">
          <cell r="A190" t="str">
            <v>Sierra Leone</v>
          </cell>
        </row>
        <row r="191">
          <cell r="A191" t="str">
            <v>British Indian Ocean Territory</v>
          </cell>
        </row>
        <row r="192">
          <cell r="A192" t="str">
            <v>Eritrea</v>
          </cell>
        </row>
        <row r="193">
          <cell r="A193" t="str">
            <v>Kiribati</v>
          </cell>
        </row>
        <row r="194">
          <cell r="A194" t="str">
            <v>Svalbard &amp; Jan Mayen</v>
          </cell>
        </row>
        <row r="195">
          <cell r="A195" t="str">
            <v>Falkland Islands (Islas Malvinas)</v>
          </cell>
        </row>
        <row r="196">
          <cell r="A196" t="str">
            <v>Ã…land Islands</v>
          </cell>
        </row>
        <row r="197">
          <cell r="A197" t="str">
            <v>SÃ£o TomÃ© &amp; PrÃ­ncipe</v>
          </cell>
        </row>
        <row r="198">
          <cell r="A198" t="str">
            <v>Micronesia</v>
          </cell>
        </row>
        <row r="199">
          <cell r="A199" t="str">
            <v>Liechtenstein</v>
          </cell>
        </row>
        <row r="200">
          <cell r="A200" t="str">
            <v>Cook Islands</v>
          </cell>
        </row>
        <row r="201">
          <cell r="A201" t="str">
            <v>San Marino</v>
          </cell>
        </row>
        <row r="202">
          <cell r="A202" t="str">
            <v>Comoros</v>
          </cell>
        </row>
        <row r="203">
          <cell r="A203" t="str">
            <v>St. Lucia</v>
          </cell>
        </row>
        <row r="204">
          <cell r="A204" t="str">
            <v>Anguilla</v>
          </cell>
        </row>
        <row r="205">
          <cell r="A205" t="str">
            <v>St. Pierre &amp; Miquelon</v>
          </cell>
        </row>
        <row r="206">
          <cell r="A206" t="str">
            <v>Central African Republic</v>
          </cell>
        </row>
        <row r="207">
          <cell r="A207" t="str">
            <v>Chad</v>
          </cell>
        </row>
        <row r="208">
          <cell r="A208" t="str">
            <v>Guinea-Bissau</v>
          </cell>
        </row>
        <row r="209">
          <cell r="A209" t="str">
            <v>St. Martin</v>
          </cell>
        </row>
        <row r="210">
          <cell r="A210" t="str">
            <v>Solomon Islands</v>
          </cell>
        </row>
        <row r="211">
          <cell r="A211" t="str">
            <v>British Virgin Islands</v>
          </cell>
        </row>
        <row r="212">
          <cell r="A212" t="str">
            <v>Seychelles</v>
          </cell>
        </row>
        <row r="213">
          <cell r="A213" t="str">
            <v>St. BarthÃ©lemy</v>
          </cell>
        </row>
        <row r="214">
          <cell r="A214" t="str">
            <v>Turks &amp; Caicos Islands</v>
          </cell>
        </row>
        <row r="215">
          <cell r="A215" t="str">
            <v>Monaco</v>
          </cell>
        </row>
        <row r="216">
          <cell r="A216" t="str">
            <v>Vanuatu</v>
          </cell>
        </row>
        <row r="217">
          <cell r="A217" t="str">
            <v>Equatorial Guinea</v>
          </cell>
        </row>
        <row r="218">
          <cell r="A218" t="str">
            <v>Samoa</v>
          </cell>
        </row>
        <row r="219">
          <cell r="A219" t="str">
            <v>Bermuda</v>
          </cell>
        </row>
        <row r="220">
          <cell r="A220" t="str">
            <v>Caribbean Netherlands</v>
          </cell>
        </row>
        <row r="221">
          <cell r="A221" t="str">
            <v>Guernsey</v>
          </cell>
        </row>
        <row r="222">
          <cell r="A222" t="str">
            <v>Mayotte</v>
          </cell>
        </row>
        <row r="223">
          <cell r="A223" t="str">
            <v>Dominica</v>
          </cell>
        </row>
        <row r="224">
          <cell r="A224" t="str">
            <v>Gambia</v>
          </cell>
        </row>
        <row r="225">
          <cell r="A225" t="str">
            <v>New Caledonia</v>
          </cell>
        </row>
        <row r="226">
          <cell r="A226" t="str">
            <v>Timor-Leste</v>
          </cell>
        </row>
        <row r="227">
          <cell r="A227" t="str">
            <v>Northern Mariana Islands</v>
          </cell>
        </row>
        <row r="228">
          <cell r="A228" t="str">
            <v>Gibraltar</v>
          </cell>
        </row>
        <row r="229">
          <cell r="A229" t="str">
            <v>U.S. Virgin Islands</v>
          </cell>
        </row>
        <row r="230">
          <cell r="A230" t="str">
            <v>Sint Maarten</v>
          </cell>
        </row>
        <row r="231">
          <cell r="A231" t="str">
            <v>Aruba</v>
          </cell>
        </row>
        <row r="232">
          <cell r="A232" t="str">
            <v>American Samoa</v>
          </cell>
        </row>
        <row r="233">
          <cell r="A233" t="str">
            <v>Antarctica</v>
          </cell>
        </row>
        <row r="234">
          <cell r="A234" t="str">
            <v>French Southern Territories</v>
          </cell>
        </row>
        <row r="235">
          <cell r="A235" t="str">
            <v>Bouvet Island</v>
          </cell>
        </row>
        <row r="236">
          <cell r="A236" t="str">
            <v>Cocos (Keeling) Islands</v>
          </cell>
        </row>
        <row r="237">
          <cell r="A237" t="str">
            <v>Christmas Island</v>
          </cell>
        </row>
        <row r="238">
          <cell r="A238" t="str">
            <v>Western Sahara</v>
          </cell>
        </row>
        <row r="239">
          <cell r="A239" t="str">
            <v>Greenland</v>
          </cell>
        </row>
        <row r="240">
          <cell r="A240" t="str">
            <v>Heard &amp; McDonald Islands</v>
          </cell>
        </row>
        <row r="241">
          <cell r="A241" t="str">
            <v>Marshall Islands</v>
          </cell>
        </row>
        <row r="242">
          <cell r="A242" t="str">
            <v>Montserrat</v>
          </cell>
        </row>
        <row r="243">
          <cell r="A243" t="str">
            <v>Norfolk Island</v>
          </cell>
        </row>
        <row r="244">
          <cell r="A244" t="str">
            <v>Niue</v>
          </cell>
        </row>
        <row r="245">
          <cell r="A245" t="str">
            <v>Nauru</v>
          </cell>
        </row>
        <row r="246">
          <cell r="A246" t="str">
            <v>Pitcairn Islands</v>
          </cell>
        </row>
        <row r="247">
          <cell r="A247" t="str">
            <v>Palau</v>
          </cell>
        </row>
        <row r="248">
          <cell r="A248" t="str">
            <v>South Georgia &amp; South Sandwich Islands</v>
          </cell>
        </row>
        <row r="249">
          <cell r="A249" t="str">
            <v>Tokelau</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2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32)"/>
    </sheetNames>
    <sheetDataSet>
      <sheetData sheetId="0">
        <row r="1">
          <cell r="A1" t="str">
            <v>Category: All categories</v>
          </cell>
        </row>
        <row r="3">
          <cell r="A3" t="str">
            <v>Country</v>
          </cell>
          <cell r="B3" t="str">
            <v>Heap: (2015)</v>
          </cell>
          <cell r="C3" t="str">
            <v>Logistic regression: (2015)</v>
          </cell>
        </row>
        <row r="4">
          <cell r="A4" t="str">
            <v>China</v>
          </cell>
          <cell r="B4">
            <v>0.7</v>
          </cell>
          <cell r="C4">
            <v>0.3</v>
          </cell>
        </row>
        <row r="5">
          <cell r="A5" t="str">
            <v>South Korea</v>
          </cell>
          <cell r="B5">
            <v>0.75</v>
          </cell>
          <cell r="C5">
            <v>0.25</v>
          </cell>
        </row>
        <row r="6">
          <cell r="A6" t="str">
            <v>Ethiopia</v>
          </cell>
        </row>
        <row r="7">
          <cell r="A7" t="str">
            <v>Hong Kong</v>
          </cell>
          <cell r="B7">
            <v>0.78</v>
          </cell>
          <cell r="C7">
            <v>0.22</v>
          </cell>
        </row>
        <row r="8">
          <cell r="A8" t="str">
            <v>Taiwan</v>
          </cell>
          <cell r="B8">
            <v>0.85</v>
          </cell>
          <cell r="C8">
            <v>0.15</v>
          </cell>
        </row>
        <row r="9">
          <cell r="A9" t="str">
            <v>Botswana</v>
          </cell>
        </row>
        <row r="10">
          <cell r="A10" t="str">
            <v>Macao</v>
          </cell>
        </row>
        <row r="11">
          <cell r="A11" t="str">
            <v>New Zealand</v>
          </cell>
          <cell r="B11">
            <v>0.82</v>
          </cell>
          <cell r="C11">
            <v>0.18</v>
          </cell>
        </row>
        <row r="12">
          <cell r="A12" t="str">
            <v>St. Helena</v>
          </cell>
        </row>
        <row r="13">
          <cell r="A13" t="str">
            <v>Malawi</v>
          </cell>
        </row>
        <row r="14">
          <cell r="A14" t="str">
            <v>India</v>
          </cell>
          <cell r="B14">
            <v>0.81</v>
          </cell>
          <cell r="C14">
            <v>0.19</v>
          </cell>
        </row>
        <row r="15">
          <cell r="A15" t="str">
            <v>Israel</v>
          </cell>
          <cell r="B15">
            <v>0.86</v>
          </cell>
          <cell r="C15">
            <v>0.14000000000000001</v>
          </cell>
        </row>
        <row r="16">
          <cell r="A16" t="str">
            <v>Singapore</v>
          </cell>
          <cell r="B16">
            <v>0.65</v>
          </cell>
          <cell r="C16">
            <v>0.35</v>
          </cell>
        </row>
        <row r="17">
          <cell r="A17" t="str">
            <v>Belarus</v>
          </cell>
        </row>
        <row r="18">
          <cell r="A18" t="str">
            <v>Tajikistan</v>
          </cell>
        </row>
        <row r="19">
          <cell r="A19" t="str">
            <v>Rwanda</v>
          </cell>
        </row>
        <row r="20">
          <cell r="A20" t="str">
            <v>Australia</v>
          </cell>
          <cell r="B20">
            <v>0.75</v>
          </cell>
          <cell r="C20">
            <v>0.25</v>
          </cell>
        </row>
        <row r="21">
          <cell r="A21" t="str">
            <v>Estonia</v>
          </cell>
        </row>
        <row r="22">
          <cell r="A22" t="str">
            <v>United States</v>
          </cell>
          <cell r="B22">
            <v>0.68</v>
          </cell>
          <cell r="C22">
            <v>0.32</v>
          </cell>
        </row>
        <row r="23">
          <cell r="A23" t="str">
            <v>Uzbekistan</v>
          </cell>
        </row>
        <row r="24">
          <cell r="A24" t="str">
            <v>Denmark</v>
          </cell>
          <cell r="B24">
            <v>0.69</v>
          </cell>
          <cell r="C24">
            <v>0.31</v>
          </cell>
        </row>
        <row r="25">
          <cell r="A25" t="str">
            <v>Pakistan</v>
          </cell>
          <cell r="B25">
            <v>0.78</v>
          </cell>
          <cell r="C25">
            <v>0.22</v>
          </cell>
        </row>
        <row r="26">
          <cell r="A26" t="str">
            <v>Zimbabwe</v>
          </cell>
        </row>
        <row r="27">
          <cell r="A27" t="str">
            <v>Russia</v>
          </cell>
          <cell r="B27">
            <v>0.95</v>
          </cell>
          <cell r="C27">
            <v>0.05</v>
          </cell>
        </row>
        <row r="28">
          <cell r="A28" t="str">
            <v>Sri Lanka</v>
          </cell>
          <cell r="B28">
            <v>0.7</v>
          </cell>
          <cell r="C28">
            <v>0.3</v>
          </cell>
        </row>
        <row r="29">
          <cell r="A29" t="str">
            <v>Ghana</v>
          </cell>
        </row>
        <row r="30">
          <cell r="A30" t="str">
            <v>Iceland</v>
          </cell>
        </row>
        <row r="31">
          <cell r="A31" t="str">
            <v>Iran</v>
          </cell>
          <cell r="B31">
            <v>0.75</v>
          </cell>
          <cell r="C31">
            <v>0.25</v>
          </cell>
        </row>
        <row r="32">
          <cell r="A32" t="str">
            <v>Ukraine</v>
          </cell>
          <cell r="B32">
            <v>0.95</v>
          </cell>
          <cell r="C32">
            <v>0.05</v>
          </cell>
        </row>
        <row r="33">
          <cell r="A33" t="str">
            <v>Bangladesh</v>
          </cell>
          <cell r="B33">
            <v>0.72</v>
          </cell>
          <cell r="C33">
            <v>0.28000000000000003</v>
          </cell>
        </row>
        <row r="34">
          <cell r="A34" t="str">
            <v>Cameroon</v>
          </cell>
        </row>
        <row r="35">
          <cell r="A35" t="str">
            <v>Kyrgyzstan</v>
          </cell>
        </row>
        <row r="36">
          <cell r="A36" t="str">
            <v>Uganda</v>
          </cell>
        </row>
        <row r="37">
          <cell r="A37" t="str">
            <v>Nepal</v>
          </cell>
        </row>
        <row r="38">
          <cell r="A38" t="str">
            <v>United Kingdom</v>
          </cell>
          <cell r="B38">
            <v>0.72</v>
          </cell>
          <cell r="C38">
            <v>0.28000000000000003</v>
          </cell>
        </row>
        <row r="39">
          <cell r="A39" t="str">
            <v>Czechia</v>
          </cell>
          <cell r="B39">
            <v>0.81</v>
          </cell>
          <cell r="C39">
            <v>0.19</v>
          </cell>
        </row>
        <row r="40">
          <cell r="A40" t="str">
            <v>Philippines</v>
          </cell>
          <cell r="B40">
            <v>0.78</v>
          </cell>
          <cell r="C40">
            <v>0.22</v>
          </cell>
        </row>
        <row r="41">
          <cell r="A41" t="str">
            <v>Maldives</v>
          </cell>
        </row>
        <row r="42">
          <cell r="A42" t="str">
            <v>Ireland</v>
          </cell>
          <cell r="B42">
            <v>0.64</v>
          </cell>
          <cell r="C42">
            <v>0.36</v>
          </cell>
        </row>
        <row r="43">
          <cell r="A43" t="str">
            <v>Kazakhstan</v>
          </cell>
        </row>
        <row r="44">
          <cell r="A44" t="str">
            <v>Canada</v>
          </cell>
          <cell r="B44">
            <v>0.63</v>
          </cell>
          <cell r="C44">
            <v>0.37</v>
          </cell>
        </row>
        <row r="45">
          <cell r="A45" t="str">
            <v>Latvia</v>
          </cell>
        </row>
        <row r="46">
          <cell r="A46" t="str">
            <v>Lithuania</v>
          </cell>
        </row>
        <row r="47">
          <cell r="A47" t="str">
            <v>Sweden</v>
          </cell>
          <cell r="B47">
            <v>0.62</v>
          </cell>
          <cell r="C47">
            <v>0.38</v>
          </cell>
        </row>
        <row r="48">
          <cell r="A48" t="str">
            <v>Kenya</v>
          </cell>
          <cell r="B48">
            <v>0.51</v>
          </cell>
          <cell r="C48">
            <v>0.49</v>
          </cell>
        </row>
        <row r="49">
          <cell r="A49" t="str">
            <v>Moldova</v>
          </cell>
        </row>
        <row r="50">
          <cell r="A50" t="str">
            <v>Slovenia</v>
          </cell>
        </row>
        <row r="51">
          <cell r="A51" t="str">
            <v>Malta</v>
          </cell>
        </row>
        <row r="52">
          <cell r="A52" t="str">
            <v>Luxembourg</v>
          </cell>
        </row>
        <row r="53">
          <cell r="A53" t="str">
            <v>Finland</v>
          </cell>
          <cell r="B53">
            <v>0.63</v>
          </cell>
          <cell r="C53">
            <v>0.37</v>
          </cell>
        </row>
        <row r="54">
          <cell r="A54" t="str">
            <v>Jamaica</v>
          </cell>
        </row>
        <row r="55">
          <cell r="A55" t="str">
            <v>Malaysia</v>
          </cell>
          <cell r="B55">
            <v>0.66</v>
          </cell>
          <cell r="C55">
            <v>0.34</v>
          </cell>
        </row>
        <row r="56">
          <cell r="A56" t="str">
            <v>Switzerland</v>
          </cell>
          <cell r="B56">
            <v>0.57999999999999996</v>
          </cell>
          <cell r="C56">
            <v>0.42</v>
          </cell>
        </row>
        <row r="57">
          <cell r="A57" t="str">
            <v>South Africa</v>
          </cell>
          <cell r="B57">
            <v>0.62</v>
          </cell>
          <cell r="C57">
            <v>0.38</v>
          </cell>
        </row>
        <row r="58">
          <cell r="A58" t="str">
            <v>Myanmar (Burma)</v>
          </cell>
        </row>
        <row r="59">
          <cell r="A59" t="str">
            <v>Netherlands</v>
          </cell>
          <cell r="B59">
            <v>0.44</v>
          </cell>
          <cell r="C59">
            <v>0.56000000000000005</v>
          </cell>
        </row>
        <row r="60">
          <cell r="A60" t="str">
            <v>Nigeria</v>
          </cell>
          <cell r="B60">
            <v>0.59</v>
          </cell>
          <cell r="C60">
            <v>0.41</v>
          </cell>
        </row>
        <row r="61">
          <cell r="A61" t="str">
            <v>Norway</v>
          </cell>
          <cell r="B61">
            <v>0.62</v>
          </cell>
          <cell r="C61">
            <v>0.38</v>
          </cell>
        </row>
        <row r="62">
          <cell r="A62" t="str">
            <v>Lebanon</v>
          </cell>
        </row>
        <row r="63">
          <cell r="A63" t="str">
            <v>Sudan</v>
          </cell>
        </row>
        <row r="64">
          <cell r="A64" t="str">
            <v>Germany</v>
          </cell>
          <cell r="B64">
            <v>0.66</v>
          </cell>
          <cell r="C64">
            <v>0.34</v>
          </cell>
        </row>
        <row r="65">
          <cell r="A65" t="str">
            <v>Bulgaria</v>
          </cell>
        </row>
        <row r="66">
          <cell r="A66" t="str">
            <v>Belgium</v>
          </cell>
          <cell r="B66">
            <v>0.55000000000000004</v>
          </cell>
          <cell r="C66">
            <v>0.45</v>
          </cell>
        </row>
        <row r="67">
          <cell r="A67" t="str">
            <v>Austria</v>
          </cell>
          <cell r="B67">
            <v>0.68</v>
          </cell>
          <cell r="C67">
            <v>0.32</v>
          </cell>
        </row>
        <row r="68">
          <cell r="A68" t="str">
            <v>Romania</v>
          </cell>
          <cell r="B68">
            <v>0.88</v>
          </cell>
          <cell r="C68">
            <v>0.12</v>
          </cell>
        </row>
        <row r="69">
          <cell r="A69" t="str">
            <v>Mauritius</v>
          </cell>
        </row>
        <row r="70">
          <cell r="A70" t="str">
            <v>Japan</v>
          </cell>
          <cell r="B70">
            <v>0.65</v>
          </cell>
          <cell r="C70">
            <v>0.35</v>
          </cell>
        </row>
        <row r="71">
          <cell r="A71" t="str">
            <v>Armenia</v>
          </cell>
        </row>
        <row r="72">
          <cell r="A72" t="str">
            <v>Serbia</v>
          </cell>
        </row>
        <row r="73">
          <cell r="A73" t="str">
            <v>Zambia</v>
          </cell>
        </row>
        <row r="74">
          <cell r="A74" t="str">
            <v>United Arab Emirates</v>
          </cell>
        </row>
        <row r="75">
          <cell r="A75" t="str">
            <v>Cambodia</v>
          </cell>
        </row>
        <row r="76">
          <cell r="A76" t="str">
            <v>Greece</v>
          </cell>
          <cell r="B76">
            <v>0.72</v>
          </cell>
          <cell r="C76">
            <v>0.28000000000000003</v>
          </cell>
        </row>
        <row r="77">
          <cell r="A77" t="str">
            <v>Cyprus</v>
          </cell>
        </row>
        <row r="78">
          <cell r="A78" t="str">
            <v>Trinidad &amp; Tobago</v>
          </cell>
        </row>
        <row r="79">
          <cell r="A79" t="str">
            <v>Hungary</v>
          </cell>
          <cell r="B79">
            <v>0.83</v>
          </cell>
          <cell r="C79">
            <v>0.17</v>
          </cell>
        </row>
        <row r="80">
          <cell r="A80" t="str">
            <v>Slovakia</v>
          </cell>
        </row>
        <row r="81">
          <cell r="A81" t="str">
            <v>Laos</v>
          </cell>
        </row>
        <row r="82">
          <cell r="A82" t="str">
            <v>Tanzania</v>
          </cell>
        </row>
        <row r="83">
          <cell r="A83" t="str">
            <v>Madagascar</v>
          </cell>
        </row>
        <row r="84">
          <cell r="A84" t="str">
            <v>Qatar</v>
          </cell>
        </row>
        <row r="85">
          <cell r="A85" t="str">
            <v>Iraq</v>
          </cell>
        </row>
        <row r="86">
          <cell r="A86" t="str">
            <v>Poland</v>
          </cell>
          <cell r="B86">
            <v>0.78</v>
          </cell>
          <cell r="C86">
            <v>0.22</v>
          </cell>
        </row>
        <row r="87">
          <cell r="A87" t="str">
            <v>Croatia</v>
          </cell>
        </row>
        <row r="88">
          <cell r="A88" t="str">
            <v>Georgia</v>
          </cell>
        </row>
        <row r="89">
          <cell r="A89" t="str">
            <v>Oman</v>
          </cell>
        </row>
        <row r="90">
          <cell r="A90" t="str">
            <v>Portugal</v>
          </cell>
          <cell r="B90">
            <v>0.6</v>
          </cell>
          <cell r="C90">
            <v>0.4</v>
          </cell>
        </row>
        <row r="91">
          <cell r="A91" t="str">
            <v>Jordan</v>
          </cell>
        </row>
        <row r="92">
          <cell r="A92" t="str">
            <v>Bosnia &amp; Herzegovina</v>
          </cell>
        </row>
        <row r="93">
          <cell r="A93" t="str">
            <v>France</v>
          </cell>
          <cell r="B93">
            <v>0.69</v>
          </cell>
          <cell r="C93">
            <v>0.31</v>
          </cell>
        </row>
        <row r="94">
          <cell r="A94" t="str">
            <v>Thailand</v>
          </cell>
          <cell r="B94">
            <v>0.69</v>
          </cell>
          <cell r="C94">
            <v>0.31</v>
          </cell>
        </row>
        <row r="95">
          <cell r="A95" t="str">
            <v>North Macedonia</v>
          </cell>
        </row>
        <row r="96">
          <cell r="A96" t="str">
            <v>Costa Rica</v>
          </cell>
        </row>
        <row r="97">
          <cell r="A97" t="str">
            <v>Indonesia</v>
          </cell>
          <cell r="B97">
            <v>0.36</v>
          </cell>
          <cell r="C97">
            <v>0.64</v>
          </cell>
        </row>
        <row r="98">
          <cell r="A98" t="str">
            <v>Tunisia</v>
          </cell>
        </row>
        <row r="99">
          <cell r="A99" t="str">
            <v>Bolivia</v>
          </cell>
        </row>
        <row r="100">
          <cell r="A100" t="str">
            <v>Albania</v>
          </cell>
        </row>
        <row r="101">
          <cell r="A101" t="str">
            <v>Vietnam</v>
          </cell>
          <cell r="B101">
            <v>0.84</v>
          </cell>
          <cell r="C101">
            <v>0.16</v>
          </cell>
        </row>
        <row r="102">
          <cell r="A102" t="str">
            <v>Montenegro</v>
          </cell>
        </row>
        <row r="103">
          <cell r="A103" t="str">
            <v>Kuwait</v>
          </cell>
        </row>
        <row r="104">
          <cell r="A104" t="str">
            <v>Bahrain</v>
          </cell>
        </row>
        <row r="105">
          <cell r="A105" t="str">
            <v>Uruguay</v>
          </cell>
        </row>
        <row r="106">
          <cell r="A106" t="str">
            <v>Egypt</v>
          </cell>
          <cell r="B106">
            <v>0.79</v>
          </cell>
          <cell r="C106">
            <v>0.21</v>
          </cell>
        </row>
        <row r="107">
          <cell r="A107" t="str">
            <v>Morocco</v>
          </cell>
          <cell r="B107">
            <v>0.68</v>
          </cell>
          <cell r="C107">
            <v>0.32</v>
          </cell>
        </row>
        <row r="108">
          <cell r="A108" t="str">
            <v>Italy</v>
          </cell>
          <cell r="B108">
            <v>0.65</v>
          </cell>
          <cell r="C108">
            <v>0.35</v>
          </cell>
        </row>
        <row r="109">
          <cell r="A109" t="str">
            <v>El Salvador</v>
          </cell>
        </row>
        <row r="110">
          <cell r="A110" t="str">
            <v>Saudi Arabia</v>
          </cell>
          <cell r="B110">
            <v>0.75</v>
          </cell>
          <cell r="C110">
            <v>0.25</v>
          </cell>
        </row>
        <row r="111">
          <cell r="A111" t="str">
            <v>Spain</v>
          </cell>
          <cell r="B111">
            <v>0.57999999999999996</v>
          </cell>
          <cell r="C111">
            <v>0.42</v>
          </cell>
        </row>
        <row r="112">
          <cell r="A112" t="str">
            <v>Puerto Rico</v>
          </cell>
        </row>
        <row r="113">
          <cell r="A113" t="str">
            <v>Chile</v>
          </cell>
          <cell r="B113">
            <v>0.49</v>
          </cell>
          <cell r="C113">
            <v>0.51</v>
          </cell>
        </row>
        <row r="114">
          <cell r="A114" t="str">
            <v>Brazil</v>
          </cell>
          <cell r="B114">
            <v>0.74</v>
          </cell>
          <cell r="C114">
            <v>0.26</v>
          </cell>
        </row>
        <row r="115">
          <cell r="A115" t="str">
            <v>Turkey</v>
          </cell>
          <cell r="B115">
            <v>0.73</v>
          </cell>
          <cell r="C115">
            <v>0.27</v>
          </cell>
        </row>
        <row r="116">
          <cell r="A116" t="str">
            <v>Azerbaijan</v>
          </cell>
        </row>
        <row r="117">
          <cell r="A117" t="str">
            <v>Peru</v>
          </cell>
          <cell r="B117">
            <v>0.42</v>
          </cell>
          <cell r="C117">
            <v>0.57999999999999996</v>
          </cell>
        </row>
        <row r="118">
          <cell r="A118" t="str">
            <v>Guatemala</v>
          </cell>
        </row>
        <row r="119">
          <cell r="A119" t="str">
            <v>Honduras</v>
          </cell>
        </row>
        <row r="120">
          <cell r="A120" t="str">
            <v>Colombia</v>
          </cell>
          <cell r="B120">
            <v>0.42</v>
          </cell>
          <cell r="C120">
            <v>0.57999999999999996</v>
          </cell>
        </row>
        <row r="121">
          <cell r="A121" t="str">
            <v>Ecuador</v>
          </cell>
        </row>
        <row r="122">
          <cell r="A122" t="str">
            <v>Argentina</v>
          </cell>
          <cell r="B122">
            <v>0.75</v>
          </cell>
          <cell r="C122">
            <v>0.25</v>
          </cell>
        </row>
        <row r="123">
          <cell r="A123" t="str">
            <v>Mexico</v>
          </cell>
          <cell r="B123">
            <v>0.6</v>
          </cell>
          <cell r="C123">
            <v>0.4</v>
          </cell>
        </row>
        <row r="124">
          <cell r="A124" t="str">
            <v>Algeria</v>
          </cell>
        </row>
        <row r="125">
          <cell r="A125" t="str">
            <v>Dominican Republic</v>
          </cell>
        </row>
        <row r="126">
          <cell r="A126" t="str">
            <v>Panama</v>
          </cell>
        </row>
        <row r="127">
          <cell r="A127" t="str">
            <v>Paraguay</v>
          </cell>
        </row>
        <row r="128">
          <cell r="A128" t="str">
            <v>RÃ©union</v>
          </cell>
        </row>
        <row r="129">
          <cell r="A129" t="str">
            <v>Venezuela</v>
          </cell>
        </row>
        <row r="130">
          <cell r="A130" t="str">
            <v>Svalbard &amp; Jan Mayen</v>
          </cell>
        </row>
        <row r="131">
          <cell r="A131" t="str">
            <v>Cook Islands</v>
          </cell>
        </row>
        <row r="132">
          <cell r="A132" t="str">
            <v>Micronesia</v>
          </cell>
        </row>
        <row r="133">
          <cell r="A133" t="str">
            <v>Samoa</v>
          </cell>
        </row>
        <row r="134">
          <cell r="A134" t="str">
            <v>Solomon Islands</v>
          </cell>
        </row>
        <row r="135">
          <cell r="A135" t="str">
            <v>Tonga</v>
          </cell>
        </row>
        <row r="136">
          <cell r="A136" t="str">
            <v>American Samoa</v>
          </cell>
        </row>
        <row r="137">
          <cell r="A137" t="str">
            <v>Anguilla</v>
          </cell>
        </row>
        <row r="138">
          <cell r="A138" t="str">
            <v>Northern Mariana Islands</v>
          </cell>
        </row>
        <row r="139">
          <cell r="A139" t="str">
            <v>Bhutan</v>
          </cell>
        </row>
        <row r="140">
          <cell r="A140" t="str">
            <v>Turks &amp; Caicos Islands</v>
          </cell>
        </row>
        <row r="141">
          <cell r="A141" t="str">
            <v>Eswatini</v>
          </cell>
        </row>
        <row r="142">
          <cell r="A142" t="str">
            <v>Chad</v>
          </cell>
        </row>
        <row r="143">
          <cell r="A143" t="str">
            <v>Guernsey</v>
          </cell>
        </row>
        <row r="144">
          <cell r="A144" t="str">
            <v>Isle of Man</v>
          </cell>
        </row>
        <row r="145">
          <cell r="A145" t="str">
            <v>St. Vincent &amp; Grenadines</v>
          </cell>
        </row>
        <row r="146">
          <cell r="A146" t="str">
            <v>St. Kitts &amp; Nevis</v>
          </cell>
        </row>
        <row r="147">
          <cell r="A147" t="str">
            <v>Gibraltar</v>
          </cell>
        </row>
        <row r="148">
          <cell r="A148" t="str">
            <v>Lesotho</v>
          </cell>
        </row>
        <row r="149">
          <cell r="A149" t="str">
            <v>Dominica</v>
          </cell>
        </row>
        <row r="150">
          <cell r="A150" t="str">
            <v>South Sudan</v>
          </cell>
        </row>
        <row r="151">
          <cell r="A151" t="str">
            <v>Fiji</v>
          </cell>
        </row>
        <row r="152">
          <cell r="A152" t="str">
            <v>Antigua &amp; Barbuda</v>
          </cell>
        </row>
        <row r="153">
          <cell r="A153" t="str">
            <v>Somalia</v>
          </cell>
        </row>
        <row r="154">
          <cell r="A154" t="str">
            <v>Bermuda</v>
          </cell>
        </row>
        <row r="155">
          <cell r="A155" t="str">
            <v>St. Lucia</v>
          </cell>
        </row>
        <row r="156">
          <cell r="A156" t="str">
            <v>Faroe Islands</v>
          </cell>
        </row>
        <row r="157">
          <cell r="A157" t="str">
            <v>Cuba</v>
          </cell>
        </row>
        <row r="158">
          <cell r="A158" t="str">
            <v>Aruba</v>
          </cell>
        </row>
        <row r="159">
          <cell r="A159" t="str">
            <v>Papua New Guinea</v>
          </cell>
        </row>
        <row r="160">
          <cell r="A160" t="str">
            <v>Mayotte</v>
          </cell>
        </row>
        <row r="161">
          <cell r="A161" t="str">
            <v>Congo - Brazzaville</v>
          </cell>
        </row>
        <row r="162">
          <cell r="A162" t="str">
            <v>Guyana</v>
          </cell>
        </row>
        <row r="163">
          <cell r="A163" t="str">
            <v>Gambia</v>
          </cell>
        </row>
        <row r="164">
          <cell r="A164" t="str">
            <v>Namibia</v>
          </cell>
        </row>
        <row r="165">
          <cell r="A165" t="str">
            <v>Grenada</v>
          </cell>
        </row>
        <row r="166">
          <cell r="A166" t="str">
            <v>Timor-Leste</v>
          </cell>
        </row>
        <row r="167">
          <cell r="A167" t="str">
            <v>New Caledonia</v>
          </cell>
        </row>
        <row r="168">
          <cell r="A168" t="str">
            <v>French Guiana</v>
          </cell>
        </row>
        <row r="169">
          <cell r="A169" t="str">
            <v>Belize</v>
          </cell>
        </row>
        <row r="170">
          <cell r="A170" t="str">
            <v>Barbados</v>
          </cell>
        </row>
        <row r="171">
          <cell r="A171" t="str">
            <v>Togo</v>
          </cell>
        </row>
        <row r="172">
          <cell r="A172" t="str">
            <v>Cayman Islands</v>
          </cell>
        </row>
        <row r="173">
          <cell r="A173" t="str">
            <v>Guam</v>
          </cell>
        </row>
        <row r="174">
          <cell r="A174" t="str">
            <v>Jersey</v>
          </cell>
        </row>
        <row r="175">
          <cell r="A175" t="str">
            <v>Djibouti</v>
          </cell>
        </row>
        <row r="176">
          <cell r="A176" t="str">
            <v>Mongolia</v>
          </cell>
        </row>
        <row r="177">
          <cell r="A177" t="str">
            <v>Cape Verde</v>
          </cell>
        </row>
        <row r="178">
          <cell r="A178" t="str">
            <v>Andorra</v>
          </cell>
        </row>
        <row r="179">
          <cell r="A179" t="str">
            <v>Afghanistan</v>
          </cell>
        </row>
        <row r="180">
          <cell r="A180" t="str">
            <v>Burkina Faso</v>
          </cell>
        </row>
        <row r="181">
          <cell r="A181" t="str">
            <v>Turkmenistan</v>
          </cell>
        </row>
        <row r="182">
          <cell r="A182" t="str">
            <v>Liberia</v>
          </cell>
        </row>
        <row r="183">
          <cell r="A183" t="str">
            <v>Brunei</v>
          </cell>
        </row>
        <row r="184">
          <cell r="A184" t="str">
            <v>Palestine</v>
          </cell>
        </row>
        <row r="185">
          <cell r="A185" t="str">
            <v>Guadeloupe</v>
          </cell>
        </row>
        <row r="186">
          <cell r="A186" t="str">
            <v>Libya</v>
          </cell>
        </row>
        <row r="187">
          <cell r="A187" t="str">
            <v>Angola</v>
          </cell>
        </row>
        <row r="188">
          <cell r="A188" t="str">
            <v>French Polynesia</v>
          </cell>
        </row>
        <row r="189">
          <cell r="A189" t="str">
            <v>Gabon</v>
          </cell>
        </row>
        <row r="190">
          <cell r="A190" t="str">
            <v>CuraÃ§ao</v>
          </cell>
        </row>
        <row r="191">
          <cell r="A191" t="str">
            <v>Mali</v>
          </cell>
        </row>
        <row r="192">
          <cell r="A192" t="str">
            <v>Benin</v>
          </cell>
        </row>
        <row r="193">
          <cell r="A193" t="str">
            <v>Mauritania</v>
          </cell>
        </row>
        <row r="194">
          <cell r="A194" t="str">
            <v>Suriname</v>
          </cell>
        </row>
        <row r="195">
          <cell r="A195" t="str">
            <v>CÃ´te dâ€™Ivoire</v>
          </cell>
        </row>
        <row r="196">
          <cell r="A196" t="str">
            <v>Haiti</v>
          </cell>
        </row>
        <row r="197">
          <cell r="A197" t="str">
            <v>Nicaragua</v>
          </cell>
        </row>
        <row r="198">
          <cell r="A198" t="str">
            <v>Congo - Kinshasa</v>
          </cell>
        </row>
        <row r="199">
          <cell r="A199" t="str">
            <v>Bahamas</v>
          </cell>
        </row>
        <row r="200">
          <cell r="A200" t="str">
            <v>Mozambique</v>
          </cell>
        </row>
        <row r="201">
          <cell r="A201" t="str">
            <v>Martinique</v>
          </cell>
        </row>
        <row r="202">
          <cell r="A202" t="str">
            <v>Kosovo</v>
          </cell>
        </row>
        <row r="203">
          <cell r="A203" t="str">
            <v>Senegal</v>
          </cell>
        </row>
        <row r="204">
          <cell r="A204" t="str">
            <v>Syria</v>
          </cell>
        </row>
        <row r="205">
          <cell r="A205" t="str">
            <v>Yemen</v>
          </cell>
        </row>
        <row r="206">
          <cell r="A206" t="str">
            <v>Ã…land Islands</v>
          </cell>
        </row>
        <row r="207">
          <cell r="A207" t="str">
            <v>Antarctica</v>
          </cell>
        </row>
        <row r="208">
          <cell r="A208" t="str">
            <v>French Southern Territories</v>
          </cell>
        </row>
        <row r="209">
          <cell r="A209" t="str">
            <v>Burundi</v>
          </cell>
        </row>
        <row r="210">
          <cell r="A210" t="str">
            <v>Caribbean Netherlands</v>
          </cell>
        </row>
        <row r="211">
          <cell r="A211" t="str">
            <v>St. BarthÃ©lemy</v>
          </cell>
        </row>
        <row r="212">
          <cell r="A212" t="str">
            <v>Bouvet Island</v>
          </cell>
        </row>
        <row r="213">
          <cell r="A213" t="str">
            <v>Central African Republic</v>
          </cell>
        </row>
        <row r="214">
          <cell r="A214" t="str">
            <v>Cocos (Keeling) Islands</v>
          </cell>
        </row>
        <row r="215">
          <cell r="A215" t="str">
            <v>Comoros</v>
          </cell>
        </row>
        <row r="216">
          <cell r="A216" t="str">
            <v>Christmas Island</v>
          </cell>
        </row>
        <row r="217">
          <cell r="A217" t="str">
            <v>Eritrea</v>
          </cell>
        </row>
        <row r="218">
          <cell r="A218" t="str">
            <v>Western Sahara</v>
          </cell>
        </row>
        <row r="219">
          <cell r="A219" t="str">
            <v>Falkland Islands (Islas Malvinas)</v>
          </cell>
        </row>
        <row r="220">
          <cell r="A220" t="str">
            <v>Guinea</v>
          </cell>
        </row>
        <row r="221">
          <cell r="A221" t="str">
            <v>Guinea-Bissau</v>
          </cell>
        </row>
        <row r="222">
          <cell r="A222" t="str">
            <v>Equatorial Guinea</v>
          </cell>
        </row>
        <row r="223">
          <cell r="A223" t="str">
            <v>Greenland</v>
          </cell>
        </row>
        <row r="224">
          <cell r="A224" t="str">
            <v>Heard &amp; McDonald Islands</v>
          </cell>
        </row>
        <row r="225">
          <cell r="A225" t="str">
            <v>British Indian Ocean Territory</v>
          </cell>
        </row>
        <row r="226">
          <cell r="A226" t="str">
            <v>Kiribati</v>
          </cell>
        </row>
        <row r="227">
          <cell r="A227" t="str">
            <v>Liechtenstein</v>
          </cell>
        </row>
        <row r="228">
          <cell r="A228" t="str">
            <v>St. Martin</v>
          </cell>
        </row>
        <row r="229">
          <cell r="A229" t="str">
            <v>Monaco</v>
          </cell>
        </row>
        <row r="230">
          <cell r="A230" t="str">
            <v>Marshall Islands</v>
          </cell>
        </row>
        <row r="231">
          <cell r="A231" t="str">
            <v>Montserrat</v>
          </cell>
        </row>
        <row r="232">
          <cell r="A232" t="str">
            <v>Niger</v>
          </cell>
        </row>
        <row r="233">
          <cell r="A233" t="str">
            <v>Norfolk Island</v>
          </cell>
        </row>
        <row r="234">
          <cell r="A234" t="str">
            <v>Niue</v>
          </cell>
        </row>
        <row r="235">
          <cell r="A235" t="str">
            <v>Nauru</v>
          </cell>
        </row>
        <row r="236">
          <cell r="A236" t="str">
            <v>Pitcairn Islands</v>
          </cell>
        </row>
        <row r="237">
          <cell r="A237" t="str">
            <v>Palau</v>
          </cell>
        </row>
        <row r="238">
          <cell r="A238" t="str">
            <v>North Korea</v>
          </cell>
        </row>
        <row r="239">
          <cell r="A239" t="str">
            <v>South Georgia &amp; South Sandwich Islands</v>
          </cell>
        </row>
        <row r="240">
          <cell r="A240" t="str">
            <v>Sierra Leone</v>
          </cell>
        </row>
        <row r="241">
          <cell r="A241" t="str">
            <v>San Marino</v>
          </cell>
        </row>
        <row r="242">
          <cell r="A242" t="str">
            <v>St. Pierre &amp; Miquelon</v>
          </cell>
        </row>
        <row r="243">
          <cell r="A243" t="str">
            <v>SÃ£o TomÃ© &amp; PrÃ­ncipe</v>
          </cell>
        </row>
        <row r="244">
          <cell r="A244" t="str">
            <v>Sint Maarten</v>
          </cell>
        </row>
        <row r="245">
          <cell r="A245" t="str">
            <v>Seychelles</v>
          </cell>
        </row>
        <row r="246">
          <cell r="A246" t="str">
            <v>Tokelau</v>
          </cell>
        </row>
        <row r="247">
          <cell r="A247" t="str">
            <v>Tuvalu</v>
          </cell>
        </row>
        <row r="248">
          <cell r="A248" t="str">
            <v>U.S. Outlying Islands</v>
          </cell>
        </row>
        <row r="249">
          <cell r="A249" t="str">
            <v>Vatican City</v>
          </cell>
        </row>
        <row r="250">
          <cell r="A250" t="str">
            <v>British Virgin Islands</v>
          </cell>
        </row>
        <row r="251">
          <cell r="A251" t="str">
            <v>U.S. Virgin Islands</v>
          </cell>
        </row>
        <row r="252">
          <cell r="A252" t="str">
            <v>Vanuatu</v>
          </cell>
        </row>
        <row r="253">
          <cell r="A253" t="str">
            <v>Wallis &amp; Futuna</v>
          </cell>
        </row>
      </sheetData>
    </sheetDataSet>
  </externalBook>
</externalLink>
</file>

<file path=xl/externalLinks/externalLink2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34)"/>
    </sheetNames>
    <sheetDataSet>
      <sheetData sheetId="0">
        <row r="1">
          <cell r="A1" t="str">
            <v>Category: All categories</v>
          </cell>
        </row>
        <row r="3">
          <cell r="A3" t="str">
            <v>Country</v>
          </cell>
          <cell r="B3" t="str">
            <v>Design thinking: (2015)</v>
          </cell>
          <cell r="C3" t="str">
            <v>Finite-state machine: (2015)</v>
          </cell>
        </row>
        <row r="4">
          <cell r="A4" t="str">
            <v>Micronesia</v>
          </cell>
          <cell r="C4">
            <v>1</v>
          </cell>
        </row>
        <row r="5">
          <cell r="A5" t="str">
            <v>Guam</v>
          </cell>
          <cell r="C5">
            <v>1</v>
          </cell>
        </row>
        <row r="6">
          <cell r="A6" t="str">
            <v>Fiji</v>
          </cell>
          <cell r="C6">
            <v>1</v>
          </cell>
        </row>
        <row r="7">
          <cell r="A7" t="str">
            <v>China</v>
          </cell>
        </row>
        <row r="8">
          <cell r="A8" t="str">
            <v>Macao</v>
          </cell>
          <cell r="C8">
            <v>1</v>
          </cell>
        </row>
        <row r="9">
          <cell r="A9" t="str">
            <v>Singapore</v>
          </cell>
          <cell r="B9">
            <v>0.46</v>
          </cell>
          <cell r="C9">
            <v>0.54</v>
          </cell>
        </row>
        <row r="10">
          <cell r="A10" t="str">
            <v>St. Helena</v>
          </cell>
          <cell r="B10">
            <v>0.51</v>
          </cell>
          <cell r="C10">
            <v>0.49</v>
          </cell>
        </row>
        <row r="11">
          <cell r="A11" t="str">
            <v>Maldives</v>
          </cell>
        </row>
        <row r="12">
          <cell r="A12" t="str">
            <v>Israel</v>
          </cell>
          <cell r="B12">
            <v>0.08</v>
          </cell>
          <cell r="C12">
            <v>0.92</v>
          </cell>
        </row>
        <row r="13">
          <cell r="A13" t="str">
            <v>Iceland</v>
          </cell>
        </row>
        <row r="14">
          <cell r="A14" t="str">
            <v>South Korea</v>
          </cell>
          <cell r="B14">
            <v>0.26</v>
          </cell>
          <cell r="C14">
            <v>0.74</v>
          </cell>
        </row>
        <row r="15">
          <cell r="A15" t="str">
            <v>Ethiopia</v>
          </cell>
        </row>
        <row r="16">
          <cell r="A16" t="str">
            <v>Tunisia</v>
          </cell>
          <cell r="B16">
            <v>0.22</v>
          </cell>
          <cell r="C16">
            <v>0.78</v>
          </cell>
        </row>
        <row r="17">
          <cell r="A17" t="str">
            <v>Rwanda</v>
          </cell>
        </row>
        <row r="18">
          <cell r="A18" t="str">
            <v>Hong Kong</v>
          </cell>
          <cell r="B18">
            <v>0.33</v>
          </cell>
          <cell r="C18">
            <v>0.67</v>
          </cell>
        </row>
        <row r="19">
          <cell r="A19" t="str">
            <v>Nepal</v>
          </cell>
        </row>
        <row r="20">
          <cell r="A20" t="str">
            <v>India</v>
          </cell>
          <cell r="B20">
            <v>0.27</v>
          </cell>
          <cell r="C20">
            <v>0.73</v>
          </cell>
        </row>
        <row r="21">
          <cell r="A21" t="str">
            <v>Pakistan</v>
          </cell>
          <cell r="B21">
            <v>7.0000000000000007E-2</v>
          </cell>
          <cell r="C21">
            <v>0.93</v>
          </cell>
        </row>
        <row r="22">
          <cell r="A22" t="str">
            <v>New Zealand</v>
          </cell>
          <cell r="B22">
            <v>0.47</v>
          </cell>
          <cell r="C22">
            <v>0.53</v>
          </cell>
        </row>
        <row r="23">
          <cell r="A23" t="str">
            <v>United States</v>
          </cell>
          <cell r="B23">
            <v>0.3</v>
          </cell>
          <cell r="C23">
            <v>0.7</v>
          </cell>
        </row>
        <row r="24">
          <cell r="A24" t="str">
            <v>Czechia</v>
          </cell>
          <cell r="B24">
            <v>0.16</v>
          </cell>
          <cell r="C24">
            <v>0.84</v>
          </cell>
        </row>
        <row r="25">
          <cell r="A25" t="str">
            <v>Slovenia</v>
          </cell>
        </row>
        <row r="26">
          <cell r="A26" t="str">
            <v>Switzerland</v>
          </cell>
          <cell r="B26">
            <v>0.53</v>
          </cell>
          <cell r="C26">
            <v>0.47</v>
          </cell>
        </row>
        <row r="27">
          <cell r="A27" t="str">
            <v>Myanmar (Burma)</v>
          </cell>
        </row>
        <row r="28">
          <cell r="A28" t="str">
            <v>Brazil</v>
          </cell>
          <cell r="B28">
            <v>0.79</v>
          </cell>
          <cell r="C28">
            <v>0.21</v>
          </cell>
        </row>
        <row r="29">
          <cell r="A29" t="str">
            <v>Australia</v>
          </cell>
          <cell r="B29">
            <v>0.48</v>
          </cell>
          <cell r="C29">
            <v>0.52</v>
          </cell>
        </row>
        <row r="30">
          <cell r="A30" t="str">
            <v>Canada</v>
          </cell>
          <cell r="B30">
            <v>0.33</v>
          </cell>
          <cell r="C30">
            <v>0.67</v>
          </cell>
        </row>
        <row r="31">
          <cell r="A31" t="str">
            <v>Peru</v>
          </cell>
          <cell r="B31">
            <v>0.8</v>
          </cell>
          <cell r="C31">
            <v>0.2</v>
          </cell>
        </row>
        <row r="32">
          <cell r="A32" t="str">
            <v>Norway</v>
          </cell>
          <cell r="B32">
            <v>0.3</v>
          </cell>
          <cell r="C32">
            <v>0.7</v>
          </cell>
        </row>
        <row r="33">
          <cell r="A33" t="str">
            <v>Sri Lanka</v>
          </cell>
        </row>
        <row r="34">
          <cell r="A34" t="str">
            <v>United Kingdom</v>
          </cell>
          <cell r="B34">
            <v>0.21</v>
          </cell>
          <cell r="C34">
            <v>0.79</v>
          </cell>
        </row>
        <row r="35">
          <cell r="A35" t="str">
            <v>Taiwan</v>
          </cell>
          <cell r="B35">
            <v>0.49</v>
          </cell>
          <cell r="C35">
            <v>0.51</v>
          </cell>
        </row>
        <row r="36">
          <cell r="A36" t="str">
            <v>Germany</v>
          </cell>
          <cell r="B36">
            <v>0.5</v>
          </cell>
          <cell r="C36">
            <v>0.5</v>
          </cell>
        </row>
        <row r="37">
          <cell r="A37" t="str">
            <v>Ireland</v>
          </cell>
          <cell r="B37">
            <v>0.45</v>
          </cell>
          <cell r="C37">
            <v>0.55000000000000004</v>
          </cell>
        </row>
        <row r="38">
          <cell r="A38" t="str">
            <v>South Africa</v>
          </cell>
          <cell r="B38">
            <v>0.36</v>
          </cell>
          <cell r="C38">
            <v>0.64</v>
          </cell>
        </row>
        <row r="39">
          <cell r="A39" t="str">
            <v>Denmark</v>
          </cell>
          <cell r="B39">
            <v>0.59</v>
          </cell>
          <cell r="C39">
            <v>0.41</v>
          </cell>
        </row>
        <row r="40">
          <cell r="A40" t="str">
            <v>Portugal</v>
          </cell>
          <cell r="B40">
            <v>0.62</v>
          </cell>
          <cell r="C40">
            <v>0.38</v>
          </cell>
        </row>
        <row r="41">
          <cell r="A41" t="str">
            <v>El Salvador</v>
          </cell>
        </row>
        <row r="42">
          <cell r="A42" t="str">
            <v>Malaysia</v>
          </cell>
          <cell r="B42">
            <v>0.36</v>
          </cell>
          <cell r="C42">
            <v>0.64</v>
          </cell>
        </row>
        <row r="43">
          <cell r="A43" t="str">
            <v>Colombia</v>
          </cell>
          <cell r="B43">
            <v>0.69</v>
          </cell>
          <cell r="C43">
            <v>0.31</v>
          </cell>
        </row>
        <row r="44">
          <cell r="A44" t="str">
            <v>Russia</v>
          </cell>
          <cell r="B44">
            <v>0.11</v>
          </cell>
          <cell r="C44">
            <v>0.89</v>
          </cell>
        </row>
        <row r="45">
          <cell r="A45" t="str">
            <v>Austria</v>
          </cell>
          <cell r="B45">
            <v>0.43</v>
          </cell>
          <cell r="C45">
            <v>0.56999999999999995</v>
          </cell>
        </row>
        <row r="46">
          <cell r="A46" t="str">
            <v>Belarus</v>
          </cell>
        </row>
        <row r="47">
          <cell r="A47" t="str">
            <v>Latvia</v>
          </cell>
        </row>
        <row r="48">
          <cell r="A48" t="str">
            <v>Chile</v>
          </cell>
          <cell r="B48">
            <v>0.86</v>
          </cell>
          <cell r="C48">
            <v>0.14000000000000001</v>
          </cell>
        </row>
        <row r="49">
          <cell r="A49" t="str">
            <v>Mauritius</v>
          </cell>
        </row>
        <row r="50">
          <cell r="A50" t="str">
            <v>Croatia</v>
          </cell>
          <cell r="B50">
            <v>0.23</v>
          </cell>
          <cell r="C50">
            <v>0.77</v>
          </cell>
        </row>
        <row r="51">
          <cell r="A51" t="str">
            <v>Romania</v>
          </cell>
          <cell r="B51">
            <v>0.12</v>
          </cell>
          <cell r="C51">
            <v>0.88</v>
          </cell>
        </row>
        <row r="52">
          <cell r="A52" t="str">
            <v>Nigeria</v>
          </cell>
          <cell r="B52">
            <v>0.26</v>
          </cell>
          <cell r="C52">
            <v>0.74</v>
          </cell>
        </row>
        <row r="53">
          <cell r="A53" t="str">
            <v>Slovakia</v>
          </cell>
        </row>
        <row r="54">
          <cell r="A54" t="str">
            <v>Philippines</v>
          </cell>
          <cell r="B54">
            <v>0.28999999999999998</v>
          </cell>
          <cell r="C54">
            <v>0.71</v>
          </cell>
        </row>
        <row r="55">
          <cell r="A55" t="str">
            <v>Finland</v>
          </cell>
          <cell r="B55">
            <v>0.44</v>
          </cell>
          <cell r="C55">
            <v>0.56000000000000005</v>
          </cell>
        </row>
        <row r="56">
          <cell r="A56" t="str">
            <v>Guatemala</v>
          </cell>
        </row>
        <row r="57">
          <cell r="A57" t="str">
            <v>Bangladesh</v>
          </cell>
        </row>
        <row r="58">
          <cell r="A58" t="str">
            <v>Netherlands</v>
          </cell>
          <cell r="B58">
            <v>0.56000000000000005</v>
          </cell>
          <cell r="C58">
            <v>0.44</v>
          </cell>
        </row>
        <row r="59">
          <cell r="A59" t="str">
            <v>Uruguay</v>
          </cell>
          <cell r="B59">
            <v>1</v>
          </cell>
        </row>
        <row r="60">
          <cell r="A60" t="str">
            <v>Sweden</v>
          </cell>
          <cell r="B60">
            <v>0.37</v>
          </cell>
          <cell r="C60">
            <v>0.63</v>
          </cell>
        </row>
        <row r="61">
          <cell r="A61" t="str">
            <v>Estonia</v>
          </cell>
        </row>
        <row r="62">
          <cell r="A62" t="str">
            <v>Belgium</v>
          </cell>
          <cell r="B62">
            <v>0.33</v>
          </cell>
          <cell r="C62">
            <v>0.67</v>
          </cell>
        </row>
        <row r="63">
          <cell r="A63" t="str">
            <v>Ghana</v>
          </cell>
        </row>
        <row r="64">
          <cell r="A64" t="str">
            <v>Hungary</v>
          </cell>
        </row>
        <row r="65">
          <cell r="A65" t="str">
            <v>Bosnia &amp; Herzegovina</v>
          </cell>
          <cell r="C65">
            <v>1</v>
          </cell>
        </row>
        <row r="66">
          <cell r="A66" t="str">
            <v>Spain</v>
          </cell>
          <cell r="B66">
            <v>0.7</v>
          </cell>
          <cell r="C66">
            <v>0.3</v>
          </cell>
        </row>
        <row r="67">
          <cell r="A67" t="str">
            <v>Costa Rica</v>
          </cell>
        </row>
        <row r="68">
          <cell r="A68" t="str">
            <v>Tanzania</v>
          </cell>
        </row>
        <row r="69">
          <cell r="A69" t="str">
            <v>Ukraine</v>
          </cell>
          <cell r="B69">
            <v>0.1</v>
          </cell>
          <cell r="C69">
            <v>0.9</v>
          </cell>
        </row>
        <row r="70">
          <cell r="A70" t="str">
            <v>Greece</v>
          </cell>
        </row>
        <row r="71">
          <cell r="A71" t="str">
            <v>Kenya</v>
          </cell>
          <cell r="B71">
            <v>0.47</v>
          </cell>
          <cell r="C71">
            <v>0.53</v>
          </cell>
        </row>
        <row r="72">
          <cell r="A72" t="str">
            <v>United Arab Emirates</v>
          </cell>
          <cell r="B72">
            <v>0.37</v>
          </cell>
          <cell r="C72">
            <v>0.63</v>
          </cell>
        </row>
        <row r="73">
          <cell r="A73" t="str">
            <v>Serbia</v>
          </cell>
        </row>
        <row r="74">
          <cell r="A74" t="str">
            <v>Lithuania</v>
          </cell>
        </row>
        <row r="75">
          <cell r="A75" t="str">
            <v>Lebanon</v>
          </cell>
        </row>
        <row r="76">
          <cell r="A76" t="str">
            <v>Mexico</v>
          </cell>
          <cell r="B76">
            <v>0.5</v>
          </cell>
          <cell r="C76">
            <v>0.5</v>
          </cell>
        </row>
        <row r="77">
          <cell r="A77" t="str">
            <v>Bulgaria</v>
          </cell>
          <cell r="B77">
            <v>0.37</v>
          </cell>
          <cell r="C77">
            <v>0.63</v>
          </cell>
        </row>
        <row r="78">
          <cell r="A78" t="str">
            <v>Japan</v>
          </cell>
          <cell r="B78">
            <v>0.54</v>
          </cell>
          <cell r="C78">
            <v>0.46</v>
          </cell>
        </row>
        <row r="79">
          <cell r="A79" t="str">
            <v>Iran</v>
          </cell>
          <cell r="B79">
            <v>0.21</v>
          </cell>
          <cell r="C79">
            <v>0.79</v>
          </cell>
        </row>
        <row r="80">
          <cell r="A80" t="str">
            <v>Italy</v>
          </cell>
          <cell r="B80">
            <v>0.27</v>
          </cell>
          <cell r="C80">
            <v>0.73</v>
          </cell>
        </row>
        <row r="81">
          <cell r="A81" t="str">
            <v>Poland</v>
          </cell>
          <cell r="B81">
            <v>0.57999999999999996</v>
          </cell>
          <cell r="C81">
            <v>0.42</v>
          </cell>
        </row>
        <row r="82">
          <cell r="A82" t="str">
            <v>Georgia</v>
          </cell>
        </row>
        <row r="83">
          <cell r="A83" t="str">
            <v>Indonesia</v>
          </cell>
          <cell r="B83">
            <v>0.24</v>
          </cell>
          <cell r="C83">
            <v>0.76</v>
          </cell>
        </row>
        <row r="84">
          <cell r="A84" t="str">
            <v>Bolivia</v>
          </cell>
          <cell r="B84">
            <v>0.26</v>
          </cell>
          <cell r="C84">
            <v>0.74</v>
          </cell>
        </row>
        <row r="85">
          <cell r="A85" t="str">
            <v>Ecuador</v>
          </cell>
          <cell r="B85">
            <v>0.61</v>
          </cell>
          <cell r="C85">
            <v>0.39</v>
          </cell>
        </row>
        <row r="86">
          <cell r="A86" t="str">
            <v>Kazakhstan</v>
          </cell>
        </row>
        <row r="87">
          <cell r="A87" t="str">
            <v>Jordan</v>
          </cell>
        </row>
        <row r="88">
          <cell r="A88" t="str">
            <v>France</v>
          </cell>
          <cell r="B88">
            <v>0.6</v>
          </cell>
          <cell r="C88">
            <v>0.4</v>
          </cell>
        </row>
        <row r="89">
          <cell r="A89" t="str">
            <v>Panama</v>
          </cell>
        </row>
        <row r="90">
          <cell r="A90" t="str">
            <v>Turkey</v>
          </cell>
          <cell r="B90">
            <v>0.11</v>
          </cell>
          <cell r="C90">
            <v>0.89</v>
          </cell>
        </row>
        <row r="91">
          <cell r="A91" t="str">
            <v>Uzbekistan</v>
          </cell>
        </row>
        <row r="92">
          <cell r="A92" t="str">
            <v>Egypt</v>
          </cell>
          <cell r="B92">
            <v>0.25</v>
          </cell>
          <cell r="C92">
            <v>0.75</v>
          </cell>
        </row>
        <row r="93">
          <cell r="A93" t="str">
            <v>Morocco</v>
          </cell>
        </row>
        <row r="94">
          <cell r="A94" t="str">
            <v>Vietnam</v>
          </cell>
          <cell r="B94">
            <v>0.14000000000000001</v>
          </cell>
          <cell r="C94">
            <v>0.86</v>
          </cell>
        </row>
        <row r="95">
          <cell r="A95" t="str">
            <v>Algeria</v>
          </cell>
        </row>
        <row r="96">
          <cell r="A96" t="str">
            <v>Thailand</v>
          </cell>
          <cell r="B96">
            <v>0.31</v>
          </cell>
          <cell r="C96">
            <v>0.69</v>
          </cell>
        </row>
        <row r="97">
          <cell r="A97" t="str">
            <v>Kuwait</v>
          </cell>
        </row>
        <row r="98">
          <cell r="A98" t="str">
            <v>Argentina</v>
          </cell>
          <cell r="B98">
            <v>0.5</v>
          </cell>
          <cell r="C98">
            <v>0.5</v>
          </cell>
        </row>
        <row r="99">
          <cell r="A99" t="str">
            <v>Dominican Republic</v>
          </cell>
        </row>
        <row r="100">
          <cell r="A100" t="str">
            <v>Saudi Arabia</v>
          </cell>
          <cell r="B100">
            <v>0.41</v>
          </cell>
          <cell r="C100">
            <v>0.59</v>
          </cell>
        </row>
        <row r="101">
          <cell r="A101" t="str">
            <v>Iraq</v>
          </cell>
        </row>
        <row r="102">
          <cell r="A102" t="str">
            <v>Venezuela</v>
          </cell>
        </row>
        <row r="103">
          <cell r="A103" t="str">
            <v>Liechtenstein</v>
          </cell>
        </row>
        <row r="104">
          <cell r="A104" t="str">
            <v>Chad</v>
          </cell>
        </row>
        <row r="105">
          <cell r="A105" t="str">
            <v>San Marino</v>
          </cell>
        </row>
        <row r="106">
          <cell r="A106" t="str">
            <v>Bhutan</v>
          </cell>
        </row>
        <row r="107">
          <cell r="A107" t="str">
            <v>Eswatini</v>
          </cell>
        </row>
        <row r="108">
          <cell r="A108" t="str">
            <v>Monaco</v>
          </cell>
        </row>
        <row r="109">
          <cell r="A109" t="str">
            <v>Bermuda</v>
          </cell>
        </row>
        <row r="110">
          <cell r="A110" t="str">
            <v>Cayman Islands</v>
          </cell>
        </row>
        <row r="111">
          <cell r="A111" t="str">
            <v>Jersey</v>
          </cell>
        </row>
        <row r="112">
          <cell r="A112" t="str">
            <v>Botswana</v>
          </cell>
        </row>
        <row r="113">
          <cell r="A113" t="str">
            <v>Guernsey</v>
          </cell>
        </row>
        <row r="114">
          <cell r="A114" t="str">
            <v>French Guiana</v>
          </cell>
        </row>
        <row r="115">
          <cell r="A115" t="str">
            <v>Papua New Guinea</v>
          </cell>
        </row>
        <row r="116">
          <cell r="A116" t="str">
            <v>Somalia</v>
          </cell>
        </row>
        <row r="117">
          <cell r="A117" t="str">
            <v>Guyana</v>
          </cell>
        </row>
        <row r="118">
          <cell r="A118" t="str">
            <v>Isle of Man</v>
          </cell>
        </row>
        <row r="119">
          <cell r="A119" t="str">
            <v>Gabon</v>
          </cell>
        </row>
        <row r="120">
          <cell r="A120" t="str">
            <v>CuraÃ§ao</v>
          </cell>
        </row>
        <row r="121">
          <cell r="A121" t="str">
            <v>Madagascar</v>
          </cell>
        </row>
        <row r="122">
          <cell r="A122" t="str">
            <v>Suriname</v>
          </cell>
        </row>
        <row r="123">
          <cell r="A123" t="str">
            <v>Guadeloupe</v>
          </cell>
        </row>
        <row r="124">
          <cell r="A124" t="str">
            <v>Barbados</v>
          </cell>
        </row>
        <row r="125">
          <cell r="A125" t="str">
            <v>Zambia</v>
          </cell>
        </row>
        <row r="126">
          <cell r="A126" t="str">
            <v>Mongolia</v>
          </cell>
        </row>
        <row r="127">
          <cell r="A127" t="str">
            <v>Tajikistan</v>
          </cell>
        </row>
        <row r="128">
          <cell r="A128" t="str">
            <v>Malta</v>
          </cell>
        </row>
        <row r="129">
          <cell r="A129" t="str">
            <v>Palestine</v>
          </cell>
        </row>
        <row r="130">
          <cell r="A130" t="str">
            <v>CÃ´te dâ€™Ivoire</v>
          </cell>
        </row>
        <row r="131">
          <cell r="A131" t="str">
            <v>Brunei</v>
          </cell>
        </row>
        <row r="132">
          <cell r="A132" t="str">
            <v>Luxembourg</v>
          </cell>
        </row>
        <row r="133">
          <cell r="A133" t="str">
            <v>Martinique</v>
          </cell>
        </row>
        <row r="134">
          <cell r="A134" t="str">
            <v>Senegal</v>
          </cell>
        </row>
        <row r="135">
          <cell r="A135" t="str">
            <v>Honduras</v>
          </cell>
        </row>
        <row r="136">
          <cell r="A136" t="str">
            <v>Laos</v>
          </cell>
        </row>
        <row r="137">
          <cell r="A137" t="str">
            <v>Uganda</v>
          </cell>
        </row>
        <row r="138">
          <cell r="A138" t="str">
            <v>Kosovo</v>
          </cell>
        </row>
        <row r="139">
          <cell r="A139" t="str">
            <v>Oman</v>
          </cell>
        </row>
        <row r="140">
          <cell r="A140" t="str">
            <v>Montenegro</v>
          </cell>
        </row>
        <row r="141">
          <cell r="A141" t="str">
            <v>Nicaragua</v>
          </cell>
        </row>
        <row r="142">
          <cell r="A142" t="str">
            <v>Mozambique</v>
          </cell>
        </row>
        <row r="143">
          <cell r="A143" t="str">
            <v>Puerto Rico</v>
          </cell>
        </row>
        <row r="144">
          <cell r="A144" t="str">
            <v>Cambodia</v>
          </cell>
        </row>
        <row r="145">
          <cell r="A145" t="str">
            <v>Albania</v>
          </cell>
        </row>
        <row r="146">
          <cell r="A146" t="str">
            <v>Qatar</v>
          </cell>
        </row>
        <row r="147">
          <cell r="A147" t="str">
            <v>Paraguay</v>
          </cell>
        </row>
        <row r="148">
          <cell r="A148" t="str">
            <v>Libya</v>
          </cell>
        </row>
        <row r="149">
          <cell r="A149" t="str">
            <v>Trinidad &amp; Tobago</v>
          </cell>
        </row>
        <row r="150">
          <cell r="A150" t="str">
            <v>Armenia</v>
          </cell>
        </row>
        <row r="151">
          <cell r="A151" t="str">
            <v>Bahrain</v>
          </cell>
        </row>
        <row r="152">
          <cell r="A152" t="str">
            <v>Jamaica</v>
          </cell>
        </row>
        <row r="153">
          <cell r="A153" t="str">
            <v>Kyrgyzstan</v>
          </cell>
        </row>
        <row r="154">
          <cell r="A154" t="str">
            <v>Yemen</v>
          </cell>
        </row>
        <row r="155">
          <cell r="A155" t="str">
            <v>Cyprus</v>
          </cell>
        </row>
        <row r="156">
          <cell r="A156" t="str">
            <v>Sudan</v>
          </cell>
        </row>
        <row r="157">
          <cell r="A157" t="str">
            <v>Moldova</v>
          </cell>
        </row>
        <row r="158">
          <cell r="A158" t="str">
            <v>Azerbaijan</v>
          </cell>
        </row>
        <row r="159">
          <cell r="A159" t="str">
            <v>Aruba</v>
          </cell>
        </row>
        <row r="160">
          <cell r="A160" t="str">
            <v>Afghanistan</v>
          </cell>
        </row>
        <row r="161">
          <cell r="A161" t="str">
            <v>Angola</v>
          </cell>
        </row>
        <row r="162">
          <cell r="A162" t="str">
            <v>Anguilla</v>
          </cell>
        </row>
        <row r="163">
          <cell r="A163" t="str">
            <v>Ã…land Islands</v>
          </cell>
        </row>
        <row r="164">
          <cell r="A164" t="str">
            <v>Andorra</v>
          </cell>
        </row>
        <row r="165">
          <cell r="A165" t="str">
            <v>American Samoa</v>
          </cell>
        </row>
        <row r="166">
          <cell r="A166" t="str">
            <v>Antarctica</v>
          </cell>
        </row>
        <row r="167">
          <cell r="A167" t="str">
            <v>French Southern Territories</v>
          </cell>
        </row>
        <row r="168">
          <cell r="A168" t="str">
            <v>Antigua &amp; Barbuda</v>
          </cell>
        </row>
        <row r="169">
          <cell r="A169" t="str">
            <v>Burundi</v>
          </cell>
        </row>
        <row r="170">
          <cell r="A170" t="str">
            <v>Benin</v>
          </cell>
        </row>
        <row r="171">
          <cell r="A171" t="str">
            <v>Caribbean Netherlands</v>
          </cell>
        </row>
        <row r="172">
          <cell r="A172" t="str">
            <v>Burkina Faso</v>
          </cell>
        </row>
        <row r="173">
          <cell r="A173" t="str">
            <v>Bahamas</v>
          </cell>
        </row>
        <row r="174">
          <cell r="A174" t="str">
            <v>St. BarthÃ©lemy</v>
          </cell>
        </row>
        <row r="175">
          <cell r="A175" t="str">
            <v>Belize</v>
          </cell>
        </row>
        <row r="176">
          <cell r="A176" t="str">
            <v>Bouvet Island</v>
          </cell>
        </row>
        <row r="177">
          <cell r="A177" t="str">
            <v>Central African Republic</v>
          </cell>
        </row>
        <row r="178">
          <cell r="A178" t="str">
            <v>Cocos (Keeling) Islands</v>
          </cell>
        </row>
        <row r="179">
          <cell r="A179" t="str">
            <v>Cameroon</v>
          </cell>
        </row>
        <row r="180">
          <cell r="A180" t="str">
            <v>Congo - Kinshasa</v>
          </cell>
        </row>
        <row r="181">
          <cell r="A181" t="str">
            <v>Congo - Brazzaville</v>
          </cell>
        </row>
        <row r="182">
          <cell r="A182" t="str">
            <v>Cook Islands</v>
          </cell>
        </row>
        <row r="183">
          <cell r="A183" t="str">
            <v>Comoros</v>
          </cell>
        </row>
        <row r="184">
          <cell r="A184" t="str">
            <v>Cape Verde</v>
          </cell>
        </row>
        <row r="185">
          <cell r="A185" t="str">
            <v>Cuba</v>
          </cell>
        </row>
        <row r="186">
          <cell r="A186" t="str">
            <v>Christmas Island</v>
          </cell>
        </row>
        <row r="187">
          <cell r="A187" t="str">
            <v>Djibouti</v>
          </cell>
        </row>
        <row r="188">
          <cell r="A188" t="str">
            <v>Dominica</v>
          </cell>
        </row>
        <row r="189">
          <cell r="A189" t="str">
            <v>Eritrea</v>
          </cell>
        </row>
        <row r="190">
          <cell r="A190" t="str">
            <v>Western Sahara</v>
          </cell>
        </row>
        <row r="191">
          <cell r="A191" t="str">
            <v>Falkland Islands (Islas Malvinas)</v>
          </cell>
        </row>
        <row r="192">
          <cell r="A192" t="str">
            <v>Faroe Islands</v>
          </cell>
        </row>
        <row r="193">
          <cell r="A193" t="str">
            <v>Gibraltar</v>
          </cell>
        </row>
        <row r="194">
          <cell r="A194" t="str">
            <v>Guinea</v>
          </cell>
        </row>
        <row r="195">
          <cell r="A195" t="str">
            <v>Gambia</v>
          </cell>
        </row>
        <row r="196">
          <cell r="A196" t="str">
            <v>Guinea-Bissau</v>
          </cell>
        </row>
        <row r="197">
          <cell r="A197" t="str">
            <v>Equatorial Guinea</v>
          </cell>
        </row>
        <row r="198">
          <cell r="A198" t="str">
            <v>Grenada</v>
          </cell>
        </row>
        <row r="199">
          <cell r="A199" t="str">
            <v>Greenland</v>
          </cell>
        </row>
        <row r="200">
          <cell r="A200" t="str">
            <v>Heard &amp; McDonald Islands</v>
          </cell>
        </row>
        <row r="201">
          <cell r="A201" t="str">
            <v>Haiti</v>
          </cell>
        </row>
        <row r="202">
          <cell r="A202" t="str">
            <v>British Indian Ocean Territory</v>
          </cell>
        </row>
        <row r="203">
          <cell r="A203" t="str">
            <v>Kiribati</v>
          </cell>
        </row>
        <row r="204">
          <cell r="A204" t="str">
            <v>St. Kitts &amp; Nevis</v>
          </cell>
        </row>
        <row r="205">
          <cell r="A205" t="str">
            <v>Liberia</v>
          </cell>
        </row>
        <row r="206">
          <cell r="A206" t="str">
            <v>St. Lucia</v>
          </cell>
        </row>
        <row r="207">
          <cell r="A207" t="str">
            <v>Lesotho</v>
          </cell>
        </row>
        <row r="208">
          <cell r="A208" t="str">
            <v>St. Martin</v>
          </cell>
        </row>
        <row r="209">
          <cell r="A209" t="str">
            <v>Marshall Islands</v>
          </cell>
        </row>
        <row r="210">
          <cell r="A210" t="str">
            <v>North Macedonia</v>
          </cell>
        </row>
        <row r="211">
          <cell r="A211" t="str">
            <v>Mali</v>
          </cell>
        </row>
        <row r="212">
          <cell r="A212" t="str">
            <v>Northern Mariana Islands</v>
          </cell>
        </row>
        <row r="213">
          <cell r="A213" t="str">
            <v>Mauritania</v>
          </cell>
        </row>
        <row r="214">
          <cell r="A214" t="str">
            <v>Montserrat</v>
          </cell>
        </row>
        <row r="215">
          <cell r="A215" t="str">
            <v>Malawi</v>
          </cell>
        </row>
        <row r="216">
          <cell r="A216" t="str">
            <v>Mayotte</v>
          </cell>
        </row>
        <row r="217">
          <cell r="A217" t="str">
            <v>Namibia</v>
          </cell>
        </row>
        <row r="218">
          <cell r="A218" t="str">
            <v>New Caledonia</v>
          </cell>
        </row>
        <row r="219">
          <cell r="A219" t="str">
            <v>Niger</v>
          </cell>
        </row>
        <row r="220">
          <cell r="A220" t="str">
            <v>Norfolk Island</v>
          </cell>
        </row>
        <row r="221">
          <cell r="A221" t="str">
            <v>Niue</v>
          </cell>
        </row>
        <row r="222">
          <cell r="A222" t="str">
            <v>Nauru</v>
          </cell>
        </row>
        <row r="223">
          <cell r="A223" t="str">
            <v>Pitcairn Islands</v>
          </cell>
        </row>
        <row r="224">
          <cell r="A224" t="str">
            <v>Palau</v>
          </cell>
        </row>
        <row r="225">
          <cell r="A225" t="str">
            <v>North Korea</v>
          </cell>
        </row>
        <row r="226">
          <cell r="A226" t="str">
            <v>French Polynesia</v>
          </cell>
        </row>
        <row r="227">
          <cell r="A227" t="str">
            <v>RÃ©union</v>
          </cell>
        </row>
        <row r="228">
          <cell r="A228" t="str">
            <v>South Georgia &amp; South Sandwich Islands</v>
          </cell>
        </row>
        <row r="229">
          <cell r="A229" t="str">
            <v>Svalbard &amp; Jan Mayen</v>
          </cell>
        </row>
        <row r="230">
          <cell r="A230" t="str">
            <v>Solomon Islands</v>
          </cell>
        </row>
        <row r="231">
          <cell r="A231" t="str">
            <v>Sierra Leone</v>
          </cell>
        </row>
        <row r="232">
          <cell r="A232" t="str">
            <v>St. Pierre &amp; Miquelon</v>
          </cell>
        </row>
        <row r="233">
          <cell r="A233" t="str">
            <v>South Sudan</v>
          </cell>
        </row>
        <row r="234">
          <cell r="A234" t="str">
            <v>SÃ£o TomÃ© &amp; PrÃ­ncipe</v>
          </cell>
        </row>
        <row r="235">
          <cell r="A235" t="str">
            <v>Sint Maarten</v>
          </cell>
        </row>
        <row r="236">
          <cell r="A236" t="str">
            <v>Seychelles</v>
          </cell>
        </row>
        <row r="237">
          <cell r="A237" t="str">
            <v>Syria</v>
          </cell>
        </row>
        <row r="238">
          <cell r="A238" t="str">
            <v>Turks &amp; Caicos Islands</v>
          </cell>
        </row>
        <row r="239">
          <cell r="A239" t="str">
            <v>Togo</v>
          </cell>
        </row>
        <row r="240">
          <cell r="A240" t="str">
            <v>Tokelau</v>
          </cell>
        </row>
        <row r="241">
          <cell r="A241" t="str">
            <v>Turkmenistan</v>
          </cell>
        </row>
        <row r="242">
          <cell r="A242" t="str">
            <v>Timor-Leste</v>
          </cell>
        </row>
        <row r="243">
          <cell r="A243" t="str">
            <v>Tonga</v>
          </cell>
        </row>
        <row r="244">
          <cell r="A244" t="str">
            <v>Tuvalu</v>
          </cell>
        </row>
        <row r="245">
          <cell r="A245" t="str">
            <v>U.S. Outlying Islands</v>
          </cell>
        </row>
        <row r="246">
          <cell r="A246" t="str">
            <v>Vatican City</v>
          </cell>
        </row>
        <row r="247">
          <cell r="A247" t="str">
            <v>St. Vincent &amp; Grenadines</v>
          </cell>
        </row>
        <row r="248">
          <cell r="A248" t="str">
            <v>British Virgin Islands</v>
          </cell>
        </row>
        <row r="249">
          <cell r="A249" t="str">
            <v>U.S. Virgin Islands</v>
          </cell>
        </row>
        <row r="250">
          <cell r="A250" t="str">
            <v>Vanuatu</v>
          </cell>
        </row>
        <row r="251">
          <cell r="A251" t="str">
            <v>Wallis &amp; Futuna</v>
          </cell>
        </row>
        <row r="252">
          <cell r="A252" t="str">
            <v>Samoa</v>
          </cell>
        </row>
        <row r="253">
          <cell r="A253" t="str">
            <v>Zimbabwe</v>
          </cell>
        </row>
      </sheetData>
    </sheetDataSet>
  </externalBook>
</externalLink>
</file>

<file path=xl/externalLinks/externalLink2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sheetNames>
    <sheetDataSet>
      <sheetData sheetId="0">
        <row r="1">
          <cell r="A1" t="str">
            <v>Kategori: TÃ¼m kategoriler</v>
          </cell>
        </row>
        <row r="3">
          <cell r="A3" t="str">
            <v>Ãœlke</v>
          </cell>
          <cell r="B3" t="str">
            <v>Java: (2014)</v>
          </cell>
        </row>
        <row r="4">
          <cell r="A4" t="str">
            <v>British Indian Ocean Territory</v>
          </cell>
        </row>
        <row r="5">
          <cell r="A5" t="str">
            <v>Bangladesh</v>
          </cell>
          <cell r="B5">
            <v>100</v>
          </cell>
        </row>
        <row r="6">
          <cell r="A6" t="str">
            <v>Madagascar</v>
          </cell>
        </row>
        <row r="7">
          <cell r="A7" t="str">
            <v>SÃ£o TomÃ© &amp; PrÃ­ncipe</v>
          </cell>
        </row>
        <row r="8">
          <cell r="A8" t="str">
            <v>Cuba</v>
          </cell>
        </row>
        <row r="9">
          <cell r="A9" t="str">
            <v>India</v>
          </cell>
          <cell r="B9">
            <v>60</v>
          </cell>
        </row>
        <row r="10">
          <cell r="A10" t="str">
            <v>Bolivia</v>
          </cell>
          <cell r="B10">
            <v>55</v>
          </cell>
        </row>
        <row r="11">
          <cell r="A11" t="str">
            <v>Cameroon</v>
          </cell>
        </row>
        <row r="12">
          <cell r="A12" t="str">
            <v>China</v>
          </cell>
          <cell r="B12">
            <v>50</v>
          </cell>
        </row>
        <row r="13">
          <cell r="A13" t="str">
            <v>Togo</v>
          </cell>
        </row>
        <row r="14">
          <cell r="A14" t="str">
            <v>Iran</v>
          </cell>
          <cell r="B14">
            <v>48</v>
          </cell>
        </row>
        <row r="15">
          <cell r="A15" t="str">
            <v>Sri Lanka</v>
          </cell>
          <cell r="B15">
            <v>47</v>
          </cell>
        </row>
        <row r="16">
          <cell r="A16" t="str">
            <v>Timor-Leste</v>
          </cell>
        </row>
        <row r="17">
          <cell r="A17" t="str">
            <v>Ethiopia</v>
          </cell>
        </row>
        <row r="18">
          <cell r="A18" t="str">
            <v>Uganda</v>
          </cell>
        </row>
        <row r="19">
          <cell r="A19" t="str">
            <v>Benin</v>
          </cell>
        </row>
        <row r="20">
          <cell r="A20" t="str">
            <v>Comoros</v>
          </cell>
        </row>
        <row r="21">
          <cell r="A21" t="str">
            <v>Nicaragua</v>
          </cell>
        </row>
        <row r="22">
          <cell r="A22" t="str">
            <v>Nepal</v>
          </cell>
        </row>
        <row r="23">
          <cell r="A23" t="str">
            <v>Uzbekistan</v>
          </cell>
        </row>
        <row r="24">
          <cell r="A24" t="str">
            <v>St. Helena</v>
          </cell>
        </row>
        <row r="25">
          <cell r="A25" t="str">
            <v>Mozambique</v>
          </cell>
        </row>
        <row r="26">
          <cell r="A26" t="str">
            <v>Pakistan</v>
          </cell>
          <cell r="B26">
            <v>31</v>
          </cell>
        </row>
        <row r="27">
          <cell r="A27" t="str">
            <v>Botswana</v>
          </cell>
        </row>
        <row r="28">
          <cell r="A28" t="str">
            <v>Rwanda</v>
          </cell>
        </row>
        <row r="29">
          <cell r="A29" t="str">
            <v>South Korea</v>
          </cell>
          <cell r="B29">
            <v>30</v>
          </cell>
        </row>
        <row r="30">
          <cell r="A30" t="str">
            <v>Zambia</v>
          </cell>
        </row>
        <row r="31">
          <cell r="A31" t="str">
            <v>Burundi</v>
          </cell>
        </row>
        <row r="32">
          <cell r="A32" t="str">
            <v>Eswatini</v>
          </cell>
        </row>
        <row r="33">
          <cell r="A33" t="str">
            <v>Nigeria</v>
          </cell>
          <cell r="B33">
            <v>25</v>
          </cell>
        </row>
        <row r="34">
          <cell r="A34" t="str">
            <v>Congo - Kinshasa</v>
          </cell>
        </row>
        <row r="35">
          <cell r="A35" t="str">
            <v>Indonesia</v>
          </cell>
          <cell r="B35">
            <v>25</v>
          </cell>
        </row>
        <row r="36">
          <cell r="A36" t="str">
            <v>Denmark</v>
          </cell>
          <cell r="B36">
            <v>25</v>
          </cell>
        </row>
        <row r="37">
          <cell r="A37" t="str">
            <v>Lesotho</v>
          </cell>
        </row>
        <row r="38">
          <cell r="A38" t="str">
            <v>El Salvador</v>
          </cell>
          <cell r="B38">
            <v>24</v>
          </cell>
        </row>
        <row r="39">
          <cell r="A39" t="str">
            <v>Malawi</v>
          </cell>
        </row>
        <row r="40">
          <cell r="A40" t="str">
            <v>Kenya</v>
          </cell>
          <cell r="B40">
            <v>24</v>
          </cell>
        </row>
        <row r="41">
          <cell r="A41" t="str">
            <v>Niger</v>
          </cell>
        </row>
        <row r="42">
          <cell r="A42" t="str">
            <v>Guatemala</v>
          </cell>
          <cell r="B42">
            <v>22</v>
          </cell>
        </row>
        <row r="43">
          <cell r="A43" t="str">
            <v>Hong Kong</v>
          </cell>
          <cell r="B43">
            <v>22</v>
          </cell>
        </row>
        <row r="44">
          <cell r="A44" t="str">
            <v>Burkina Faso</v>
          </cell>
        </row>
        <row r="45">
          <cell r="A45" t="str">
            <v>Costa Rica</v>
          </cell>
          <cell r="B45">
            <v>22</v>
          </cell>
        </row>
        <row r="46">
          <cell r="A46" t="str">
            <v>Congo - Brazzaville</v>
          </cell>
        </row>
        <row r="47">
          <cell r="A47" t="str">
            <v>Norway</v>
          </cell>
          <cell r="B47">
            <v>22</v>
          </cell>
        </row>
        <row r="48">
          <cell r="A48" t="str">
            <v>Luxembourg</v>
          </cell>
        </row>
        <row r="49">
          <cell r="A49" t="str">
            <v>Ghana</v>
          </cell>
        </row>
        <row r="50">
          <cell r="A50" t="str">
            <v>Central African Republic</v>
          </cell>
        </row>
        <row r="51">
          <cell r="A51" t="str">
            <v>Tunisia</v>
          </cell>
          <cell r="B51">
            <v>21</v>
          </cell>
        </row>
        <row r="52">
          <cell r="A52" t="str">
            <v>Cape Verde</v>
          </cell>
        </row>
        <row r="53">
          <cell r="A53" t="str">
            <v>Singapore</v>
          </cell>
          <cell r="B53">
            <v>21</v>
          </cell>
        </row>
        <row r="54">
          <cell r="A54" t="str">
            <v>Philippines</v>
          </cell>
          <cell r="B54">
            <v>20</v>
          </cell>
        </row>
        <row r="55">
          <cell r="A55" t="str">
            <v>Faroe Islands</v>
          </cell>
        </row>
        <row r="56">
          <cell r="A56" t="str">
            <v>Ireland</v>
          </cell>
          <cell r="B56">
            <v>20</v>
          </cell>
        </row>
        <row r="57">
          <cell r="A57" t="str">
            <v>Greenland</v>
          </cell>
        </row>
        <row r="58">
          <cell r="A58" t="str">
            <v>Guinea-Bissau</v>
          </cell>
        </row>
        <row r="59">
          <cell r="A59" t="str">
            <v>Syria</v>
          </cell>
        </row>
        <row r="60">
          <cell r="A60" t="str">
            <v>Mexico</v>
          </cell>
          <cell r="B60">
            <v>20</v>
          </cell>
        </row>
        <row r="61">
          <cell r="A61" t="str">
            <v>CÃ´te dâ€™Ivoire</v>
          </cell>
        </row>
        <row r="62">
          <cell r="A62" t="str">
            <v>Estonia</v>
          </cell>
        </row>
        <row r="63">
          <cell r="A63" t="str">
            <v>Mali</v>
          </cell>
        </row>
        <row r="64">
          <cell r="A64" t="str">
            <v>Tanzania</v>
          </cell>
        </row>
        <row r="65">
          <cell r="A65" t="str">
            <v>Brazil</v>
          </cell>
          <cell r="B65">
            <v>18</v>
          </cell>
        </row>
        <row r="66">
          <cell r="A66" t="str">
            <v>Mauritania</v>
          </cell>
        </row>
        <row r="67">
          <cell r="A67" t="str">
            <v>Haiti</v>
          </cell>
        </row>
        <row r="68">
          <cell r="A68" t="str">
            <v>Belarus</v>
          </cell>
          <cell r="B68">
            <v>17</v>
          </cell>
        </row>
        <row r="69">
          <cell r="A69" t="str">
            <v>Somalia</v>
          </cell>
        </row>
        <row r="70">
          <cell r="A70" t="str">
            <v>Germany</v>
          </cell>
          <cell r="B70">
            <v>17</v>
          </cell>
        </row>
        <row r="71">
          <cell r="A71" t="str">
            <v>Czechia</v>
          </cell>
          <cell r="B71">
            <v>17</v>
          </cell>
        </row>
        <row r="72">
          <cell r="A72" t="str">
            <v>Serbia</v>
          </cell>
          <cell r="B72">
            <v>17</v>
          </cell>
        </row>
        <row r="73">
          <cell r="A73" t="str">
            <v>Hungary</v>
          </cell>
          <cell r="B73">
            <v>17</v>
          </cell>
        </row>
        <row r="74">
          <cell r="A74" t="str">
            <v>North Macedonia</v>
          </cell>
        </row>
        <row r="75">
          <cell r="A75" t="str">
            <v>Zimbabwe</v>
          </cell>
        </row>
        <row r="76">
          <cell r="A76" t="str">
            <v>Eritrea</v>
          </cell>
        </row>
        <row r="77">
          <cell r="A77" t="str">
            <v>Turkmenistan</v>
          </cell>
        </row>
        <row r="78">
          <cell r="A78" t="str">
            <v>Portugal</v>
          </cell>
          <cell r="B78">
            <v>17</v>
          </cell>
        </row>
        <row r="79">
          <cell r="A79" t="str">
            <v>Mauritius</v>
          </cell>
        </row>
        <row r="80">
          <cell r="A80" t="str">
            <v>Poland</v>
          </cell>
          <cell r="B80">
            <v>15</v>
          </cell>
        </row>
        <row r="81">
          <cell r="A81" t="str">
            <v>Switzerland</v>
          </cell>
          <cell r="B81">
            <v>15</v>
          </cell>
        </row>
        <row r="82">
          <cell r="A82" t="str">
            <v>Honduras</v>
          </cell>
        </row>
        <row r="83">
          <cell r="A83" t="str">
            <v>Guinea</v>
          </cell>
        </row>
        <row r="84">
          <cell r="A84" t="str">
            <v>Austria</v>
          </cell>
          <cell r="B84">
            <v>15</v>
          </cell>
        </row>
        <row r="85">
          <cell r="A85" t="str">
            <v>Malta</v>
          </cell>
        </row>
        <row r="86">
          <cell r="A86" t="str">
            <v>Sierra Leone</v>
          </cell>
        </row>
        <row r="87">
          <cell r="A87" t="str">
            <v>Morocco</v>
          </cell>
          <cell r="B87">
            <v>15</v>
          </cell>
        </row>
        <row r="88">
          <cell r="A88" t="str">
            <v>Colombia</v>
          </cell>
          <cell r="B88">
            <v>15</v>
          </cell>
        </row>
        <row r="89">
          <cell r="A89" t="str">
            <v>Israel</v>
          </cell>
          <cell r="B89">
            <v>15</v>
          </cell>
        </row>
        <row r="90">
          <cell r="A90" t="str">
            <v>Taiwan</v>
          </cell>
          <cell r="B90">
            <v>15</v>
          </cell>
        </row>
        <row r="91">
          <cell r="A91" t="str">
            <v>Romania</v>
          </cell>
          <cell r="B91">
            <v>15</v>
          </cell>
        </row>
        <row r="92">
          <cell r="A92" t="str">
            <v>Solomon Islands</v>
          </cell>
        </row>
        <row r="93">
          <cell r="A93" t="str">
            <v>Peru</v>
          </cell>
          <cell r="B93">
            <v>15</v>
          </cell>
        </row>
        <row r="94">
          <cell r="A94" t="str">
            <v>Spain</v>
          </cell>
          <cell r="B94">
            <v>15</v>
          </cell>
        </row>
        <row r="95">
          <cell r="A95" t="str">
            <v>Bosnia &amp; Herzegovina</v>
          </cell>
          <cell r="B95">
            <v>15</v>
          </cell>
        </row>
        <row r="96">
          <cell r="A96" t="str">
            <v>Uruguay</v>
          </cell>
          <cell r="B96">
            <v>15</v>
          </cell>
        </row>
        <row r="97">
          <cell r="A97" t="str">
            <v>Afghanistan</v>
          </cell>
        </row>
        <row r="98">
          <cell r="A98" t="str">
            <v>Bhutan</v>
          </cell>
        </row>
        <row r="99">
          <cell r="A99" t="str">
            <v>Angola</v>
          </cell>
        </row>
        <row r="100">
          <cell r="A100" t="str">
            <v>Liechtenstein</v>
          </cell>
        </row>
        <row r="101">
          <cell r="A101" t="str">
            <v>Gambia</v>
          </cell>
        </row>
        <row r="102">
          <cell r="A102" t="str">
            <v>Ecuador</v>
          </cell>
          <cell r="B102">
            <v>14</v>
          </cell>
        </row>
        <row r="103">
          <cell r="A103" t="str">
            <v>Yemen</v>
          </cell>
        </row>
        <row r="104">
          <cell r="A104" t="str">
            <v>Gabon</v>
          </cell>
        </row>
        <row r="105">
          <cell r="A105" t="str">
            <v>Senegal</v>
          </cell>
        </row>
        <row r="106">
          <cell r="A106" t="str">
            <v>Djibouti</v>
          </cell>
        </row>
        <row r="107">
          <cell r="A107" t="str">
            <v>Croatia</v>
          </cell>
          <cell r="B107">
            <v>14</v>
          </cell>
        </row>
        <row r="108">
          <cell r="A108" t="str">
            <v>Vanuatu</v>
          </cell>
        </row>
        <row r="109">
          <cell r="A109" t="str">
            <v>Latvia</v>
          </cell>
        </row>
        <row r="110">
          <cell r="A110" t="str">
            <v>Myanmar (Burma)</v>
          </cell>
        </row>
        <row r="111">
          <cell r="A111" t="str">
            <v>Iceland</v>
          </cell>
        </row>
        <row r="112">
          <cell r="A112" t="str">
            <v>Cambodia</v>
          </cell>
        </row>
        <row r="113">
          <cell r="A113" t="str">
            <v>Ukraine</v>
          </cell>
          <cell r="B113">
            <v>14</v>
          </cell>
        </row>
        <row r="114">
          <cell r="A114" t="str">
            <v>Paraguay</v>
          </cell>
        </row>
        <row r="115">
          <cell r="A115" t="str">
            <v>Papua New Guinea</v>
          </cell>
        </row>
        <row r="116">
          <cell r="A116" t="str">
            <v>Namibia</v>
          </cell>
        </row>
        <row r="117">
          <cell r="A117" t="str">
            <v>Andorra</v>
          </cell>
        </row>
        <row r="118">
          <cell r="A118" t="str">
            <v>Sweden</v>
          </cell>
          <cell r="B118">
            <v>12</v>
          </cell>
        </row>
        <row r="119">
          <cell r="A119" t="str">
            <v>Ã…land Islands</v>
          </cell>
        </row>
        <row r="120">
          <cell r="A120" t="str">
            <v>Sudan</v>
          </cell>
        </row>
        <row r="121">
          <cell r="A121" t="str">
            <v>United States</v>
          </cell>
          <cell r="B121">
            <v>12</v>
          </cell>
        </row>
        <row r="122">
          <cell r="A122" t="str">
            <v>Belgium</v>
          </cell>
          <cell r="B122">
            <v>12</v>
          </cell>
        </row>
        <row r="123">
          <cell r="A123" t="str">
            <v>Chad</v>
          </cell>
        </row>
        <row r="124">
          <cell r="A124" t="str">
            <v>Lithuania</v>
          </cell>
          <cell r="B124">
            <v>12</v>
          </cell>
        </row>
        <row r="125">
          <cell r="A125" t="str">
            <v>Slovenia</v>
          </cell>
          <cell r="B125">
            <v>12</v>
          </cell>
        </row>
        <row r="126">
          <cell r="A126" t="str">
            <v>Gibraltar</v>
          </cell>
        </row>
        <row r="127">
          <cell r="A127" t="str">
            <v>South Africa</v>
          </cell>
          <cell r="B127">
            <v>12</v>
          </cell>
        </row>
        <row r="128">
          <cell r="A128" t="str">
            <v>Slovakia</v>
          </cell>
          <cell r="B128">
            <v>12</v>
          </cell>
        </row>
        <row r="129">
          <cell r="A129" t="str">
            <v>Mongolia</v>
          </cell>
        </row>
        <row r="130">
          <cell r="A130" t="str">
            <v>Finland</v>
          </cell>
          <cell r="B130">
            <v>12</v>
          </cell>
        </row>
        <row r="131">
          <cell r="A131" t="str">
            <v>Seychelles</v>
          </cell>
        </row>
        <row r="132">
          <cell r="A132" t="str">
            <v>Dominica</v>
          </cell>
        </row>
        <row r="133">
          <cell r="A133" t="str">
            <v>Tajikistan</v>
          </cell>
        </row>
        <row r="134">
          <cell r="A134" t="str">
            <v>Macao</v>
          </cell>
        </row>
        <row r="135">
          <cell r="A135" t="str">
            <v>Canada</v>
          </cell>
          <cell r="B135">
            <v>11</v>
          </cell>
        </row>
        <row r="136">
          <cell r="A136" t="str">
            <v>Bulgaria</v>
          </cell>
          <cell r="B136">
            <v>11</v>
          </cell>
        </row>
        <row r="137">
          <cell r="A137" t="str">
            <v>Dominican Republic</v>
          </cell>
          <cell r="B137">
            <v>11</v>
          </cell>
        </row>
        <row r="138">
          <cell r="A138" t="str">
            <v>Tonga</v>
          </cell>
        </row>
        <row r="139">
          <cell r="A139" t="str">
            <v>Moldova</v>
          </cell>
        </row>
        <row r="140">
          <cell r="A140" t="str">
            <v>Equatorial Guinea</v>
          </cell>
        </row>
        <row r="141">
          <cell r="A141" t="str">
            <v>Kazakhstan</v>
          </cell>
          <cell r="B141">
            <v>11</v>
          </cell>
        </row>
        <row r="142">
          <cell r="A142" t="str">
            <v>Lebanon</v>
          </cell>
        </row>
        <row r="143">
          <cell r="A143" t="str">
            <v>Chile</v>
          </cell>
          <cell r="B143">
            <v>11</v>
          </cell>
        </row>
        <row r="144">
          <cell r="A144" t="str">
            <v>Netherlands</v>
          </cell>
          <cell r="B144">
            <v>11</v>
          </cell>
        </row>
        <row r="145">
          <cell r="A145" t="str">
            <v>Algeria</v>
          </cell>
          <cell r="B145">
            <v>11</v>
          </cell>
        </row>
        <row r="146">
          <cell r="A146" t="str">
            <v>Kyrgyzstan</v>
          </cell>
        </row>
        <row r="147">
          <cell r="A147" t="str">
            <v>Japan</v>
          </cell>
          <cell r="B147">
            <v>11</v>
          </cell>
        </row>
        <row r="148">
          <cell r="A148" t="str">
            <v>Italy</v>
          </cell>
          <cell r="B148">
            <v>11</v>
          </cell>
        </row>
        <row r="149">
          <cell r="A149" t="str">
            <v>Armenia</v>
          </cell>
        </row>
        <row r="150">
          <cell r="A150" t="str">
            <v>Argentina</v>
          </cell>
          <cell r="B150">
            <v>11</v>
          </cell>
        </row>
        <row r="151">
          <cell r="A151" t="str">
            <v>Turkey</v>
          </cell>
          <cell r="B151">
            <v>11</v>
          </cell>
        </row>
        <row r="152">
          <cell r="A152" t="str">
            <v>Vietnam</v>
          </cell>
          <cell r="B152">
            <v>10</v>
          </cell>
        </row>
        <row r="153">
          <cell r="A153" t="str">
            <v>Jamaica</v>
          </cell>
        </row>
        <row r="154">
          <cell r="A154" t="str">
            <v>Fiji</v>
          </cell>
        </row>
        <row r="155">
          <cell r="A155" t="str">
            <v>France</v>
          </cell>
          <cell r="B155">
            <v>10</v>
          </cell>
        </row>
        <row r="156">
          <cell r="A156" t="str">
            <v>Laos</v>
          </cell>
        </row>
        <row r="157">
          <cell r="A157" t="str">
            <v>Panama</v>
          </cell>
        </row>
        <row r="158">
          <cell r="A158" t="str">
            <v>New Zealand</v>
          </cell>
          <cell r="B158">
            <v>10</v>
          </cell>
        </row>
        <row r="159">
          <cell r="A159" t="str">
            <v>South Sudan</v>
          </cell>
        </row>
        <row r="160">
          <cell r="A160" t="str">
            <v>Greece</v>
          </cell>
          <cell r="B160">
            <v>10</v>
          </cell>
        </row>
        <row r="161">
          <cell r="A161" t="str">
            <v>Trinidad &amp; Tobago</v>
          </cell>
        </row>
        <row r="162">
          <cell r="A162" t="str">
            <v>Malaysia</v>
          </cell>
          <cell r="B162">
            <v>10</v>
          </cell>
        </row>
        <row r="163">
          <cell r="A163" t="str">
            <v>Russia</v>
          </cell>
          <cell r="B163">
            <v>10</v>
          </cell>
        </row>
        <row r="164">
          <cell r="A164" t="str">
            <v>Venezuela</v>
          </cell>
          <cell r="B164">
            <v>10</v>
          </cell>
        </row>
        <row r="165">
          <cell r="A165" t="str">
            <v>San Marino</v>
          </cell>
        </row>
        <row r="166">
          <cell r="A166" t="str">
            <v>Egypt</v>
          </cell>
          <cell r="B166">
            <v>10</v>
          </cell>
        </row>
        <row r="167">
          <cell r="A167" t="str">
            <v>Montenegro</v>
          </cell>
        </row>
        <row r="168">
          <cell r="A168" t="str">
            <v>Jordan</v>
          </cell>
        </row>
        <row r="169">
          <cell r="A169" t="str">
            <v>Kosovo</v>
          </cell>
        </row>
        <row r="170">
          <cell r="A170" t="str">
            <v>Palestine</v>
          </cell>
        </row>
        <row r="171">
          <cell r="A171" t="str">
            <v>Guyana</v>
          </cell>
        </row>
        <row r="172">
          <cell r="A172" t="str">
            <v>Albania</v>
          </cell>
        </row>
        <row r="173">
          <cell r="A173" t="str">
            <v>Cyprus</v>
          </cell>
        </row>
        <row r="174">
          <cell r="A174" t="str">
            <v>United Kingdom</v>
          </cell>
          <cell r="B174">
            <v>8</v>
          </cell>
        </row>
        <row r="175">
          <cell r="A175" t="str">
            <v>Brunei</v>
          </cell>
        </row>
        <row r="176">
          <cell r="A176" t="str">
            <v>Belize</v>
          </cell>
        </row>
        <row r="177">
          <cell r="A177" t="str">
            <v>Georgia</v>
          </cell>
        </row>
        <row r="178">
          <cell r="A178" t="str">
            <v>Monaco</v>
          </cell>
        </row>
        <row r="179">
          <cell r="A179" t="str">
            <v>Maldives</v>
          </cell>
        </row>
        <row r="180">
          <cell r="A180" t="str">
            <v>Azerbaijan</v>
          </cell>
        </row>
        <row r="181">
          <cell r="A181" t="str">
            <v>Australia</v>
          </cell>
          <cell r="B181">
            <v>8</v>
          </cell>
        </row>
        <row r="182">
          <cell r="A182" t="str">
            <v>United Arab Emirates</v>
          </cell>
          <cell r="B182">
            <v>8</v>
          </cell>
        </row>
        <row r="183">
          <cell r="A183" t="str">
            <v>Saudi Arabia</v>
          </cell>
          <cell r="B183">
            <v>8</v>
          </cell>
        </row>
        <row r="184">
          <cell r="A184" t="str">
            <v>French Polynesia</v>
          </cell>
        </row>
        <row r="185">
          <cell r="A185" t="str">
            <v>Thailand</v>
          </cell>
          <cell r="B185">
            <v>8</v>
          </cell>
        </row>
        <row r="186">
          <cell r="A186" t="str">
            <v>Barbados</v>
          </cell>
        </row>
        <row r="187">
          <cell r="A187" t="str">
            <v>Qatar</v>
          </cell>
        </row>
        <row r="188">
          <cell r="A188" t="str">
            <v>Oman</v>
          </cell>
        </row>
        <row r="189">
          <cell r="A189" t="str">
            <v>St. Lucia</v>
          </cell>
        </row>
        <row r="190">
          <cell r="A190" t="str">
            <v>Liberia</v>
          </cell>
        </row>
        <row r="191">
          <cell r="A191" t="str">
            <v>St. Vincent &amp; Grenadines</v>
          </cell>
        </row>
        <row r="192">
          <cell r="A192" t="str">
            <v>Northern Mariana Islands</v>
          </cell>
        </row>
        <row r="193">
          <cell r="A193" t="str">
            <v>Puerto Rico</v>
          </cell>
        </row>
        <row r="194">
          <cell r="A194" t="str">
            <v>St. Kitts &amp; Nevis</v>
          </cell>
        </row>
        <row r="195">
          <cell r="A195" t="str">
            <v>CuraÃ§ao</v>
          </cell>
        </row>
        <row r="196">
          <cell r="A196" t="str">
            <v>Cayman Islands</v>
          </cell>
        </row>
        <row r="197">
          <cell r="A197" t="str">
            <v>Bahrain</v>
          </cell>
        </row>
        <row r="198">
          <cell r="A198" t="str">
            <v>Aruba</v>
          </cell>
        </row>
        <row r="199">
          <cell r="A199" t="str">
            <v>Mayotte</v>
          </cell>
        </row>
        <row r="200">
          <cell r="A200" t="str">
            <v>New Caledonia</v>
          </cell>
        </row>
        <row r="201">
          <cell r="A201" t="str">
            <v>RÃ©union</v>
          </cell>
        </row>
        <row r="202">
          <cell r="A202" t="str">
            <v>Samoa</v>
          </cell>
        </row>
        <row r="203">
          <cell r="A203" t="str">
            <v>Guadeloupe</v>
          </cell>
        </row>
        <row r="204">
          <cell r="A204" t="str">
            <v>Isle of Man</v>
          </cell>
        </row>
        <row r="205">
          <cell r="A205" t="str">
            <v>Grenada</v>
          </cell>
        </row>
        <row r="206">
          <cell r="A206" t="str">
            <v>French Guiana</v>
          </cell>
        </row>
        <row r="207">
          <cell r="A207" t="str">
            <v>Suriname</v>
          </cell>
        </row>
        <row r="208">
          <cell r="A208" t="str">
            <v>U.S. Virgin Islands</v>
          </cell>
        </row>
        <row r="209">
          <cell r="A209" t="str">
            <v>Kuwait</v>
          </cell>
        </row>
        <row r="210">
          <cell r="A210" t="str">
            <v>Martinique</v>
          </cell>
        </row>
        <row r="211">
          <cell r="A211" t="str">
            <v>Guam</v>
          </cell>
        </row>
        <row r="212">
          <cell r="A212" t="str">
            <v>Caribbean Netherlands</v>
          </cell>
        </row>
        <row r="213">
          <cell r="A213" t="str">
            <v>Jersey</v>
          </cell>
        </row>
        <row r="214">
          <cell r="A214" t="str">
            <v>Sint Maarten</v>
          </cell>
        </row>
        <row r="215">
          <cell r="A215" t="str">
            <v>Guernsey</v>
          </cell>
        </row>
        <row r="216">
          <cell r="A216" t="str">
            <v>Bermuda</v>
          </cell>
        </row>
        <row r="217">
          <cell r="A217" t="str">
            <v>Iraq</v>
          </cell>
        </row>
        <row r="218">
          <cell r="A218" t="str">
            <v>St. BarthÃ©lemy</v>
          </cell>
        </row>
        <row r="219">
          <cell r="A219" t="str">
            <v>Antigua &amp; Barbuda</v>
          </cell>
        </row>
        <row r="220">
          <cell r="A220" t="str">
            <v>Libya</v>
          </cell>
        </row>
        <row r="221">
          <cell r="A221" t="str">
            <v>Bahamas</v>
          </cell>
        </row>
        <row r="222">
          <cell r="A222" t="str">
            <v>North Korea</v>
          </cell>
        </row>
        <row r="223">
          <cell r="A223" t="str">
            <v>Norfolk Island</v>
          </cell>
        </row>
        <row r="224">
          <cell r="A224" t="str">
            <v>Tuvalu</v>
          </cell>
        </row>
        <row r="225">
          <cell r="A225" t="str">
            <v>Svalbard &amp; Jan Mayen</v>
          </cell>
        </row>
        <row r="226">
          <cell r="A226" t="str">
            <v>St. Pierre &amp; Miquelon</v>
          </cell>
        </row>
        <row r="227">
          <cell r="A227" t="str">
            <v>Kiribati</v>
          </cell>
        </row>
        <row r="228">
          <cell r="A228" t="str">
            <v>Marshall Islands</v>
          </cell>
        </row>
        <row r="229">
          <cell r="A229" t="str">
            <v>Montserrat</v>
          </cell>
        </row>
        <row r="230">
          <cell r="A230" t="str">
            <v>Falkland Islands (Islas Malvinas)</v>
          </cell>
        </row>
        <row r="231">
          <cell r="A231" t="str">
            <v>Palau</v>
          </cell>
        </row>
        <row r="232">
          <cell r="A232" t="str">
            <v>Turks &amp; Caicos Islands</v>
          </cell>
        </row>
        <row r="233">
          <cell r="A233" t="str">
            <v>British Virgin Islands</v>
          </cell>
        </row>
        <row r="234">
          <cell r="A234" t="str">
            <v>Cook Islands</v>
          </cell>
        </row>
        <row r="235">
          <cell r="A235" t="str">
            <v>Micronesia</v>
          </cell>
        </row>
        <row r="236">
          <cell r="A236" t="str">
            <v>St. Martin</v>
          </cell>
        </row>
        <row r="237">
          <cell r="A237" t="str">
            <v>Anguilla</v>
          </cell>
        </row>
        <row r="238">
          <cell r="A238" t="str">
            <v>American Samoa</v>
          </cell>
        </row>
        <row r="239">
          <cell r="A239" t="str">
            <v>Antarctica</v>
          </cell>
        </row>
        <row r="240">
          <cell r="A240" t="str">
            <v>French Southern Territories</v>
          </cell>
        </row>
        <row r="241">
          <cell r="A241" t="str">
            <v>Bouvet Island</v>
          </cell>
        </row>
        <row r="242">
          <cell r="A242" t="str">
            <v>Cocos (Keeling) Islands</v>
          </cell>
        </row>
        <row r="243">
          <cell r="A243" t="str">
            <v>Christmas Island</v>
          </cell>
        </row>
        <row r="244">
          <cell r="A244" t="str">
            <v>Western Sahara</v>
          </cell>
        </row>
        <row r="245">
          <cell r="A245" t="str">
            <v>Heard &amp; McDonald Islands</v>
          </cell>
        </row>
        <row r="246">
          <cell r="A246" t="str">
            <v>Niue</v>
          </cell>
        </row>
        <row r="247">
          <cell r="A247" t="str">
            <v>Nauru</v>
          </cell>
        </row>
        <row r="248">
          <cell r="A248" t="str">
            <v>Pitcairn Islands</v>
          </cell>
        </row>
        <row r="249">
          <cell r="A249" t="str">
            <v>South Georgia &amp; South Sandwich Islands</v>
          </cell>
        </row>
        <row r="250">
          <cell r="A250" t="str">
            <v>Tokelau</v>
          </cell>
        </row>
        <row r="251">
          <cell r="A251" t="str">
            <v>U.S. Outlying Islands</v>
          </cell>
        </row>
        <row r="252">
          <cell r="A252" t="str">
            <v>Vatican City</v>
          </cell>
        </row>
        <row r="253">
          <cell r="A253" t="str">
            <v>Wallis &amp; Futuna</v>
          </cell>
        </row>
      </sheetData>
    </sheetDataSet>
  </externalBook>
</externalLink>
</file>

<file path=xl/externalLinks/externalLink2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
    </sheetNames>
    <sheetDataSet>
      <sheetData sheetId="0">
        <row r="1">
          <cell r="A1" t="str">
            <v>Kategori: TÃ¼m kategoriler</v>
          </cell>
        </row>
        <row r="3">
          <cell r="A3" t="str">
            <v>Ãœlke</v>
          </cell>
          <cell r="B3" t="str">
            <v>Java: (2014)</v>
          </cell>
          <cell r="C3" t="str">
            <v>Python: (2014)</v>
          </cell>
        </row>
        <row r="4">
          <cell r="A4" t="str">
            <v>British Indian Ocean Territory</v>
          </cell>
        </row>
        <row r="5">
          <cell r="A5" t="str">
            <v>Bangladesh</v>
          </cell>
          <cell r="B5">
            <v>0.98</v>
          </cell>
          <cell r="C5">
            <v>0.02</v>
          </cell>
        </row>
        <row r="6">
          <cell r="A6" t="str">
            <v>Western Sahara</v>
          </cell>
        </row>
        <row r="7">
          <cell r="A7" t="str">
            <v>SÃ£o TomÃ© &amp; PrÃ­ncipe</v>
          </cell>
        </row>
        <row r="8">
          <cell r="A8" t="str">
            <v>Madagascar</v>
          </cell>
        </row>
        <row r="9">
          <cell r="A9" t="str">
            <v>India</v>
          </cell>
          <cell r="B9">
            <v>0.94</v>
          </cell>
          <cell r="C9">
            <v>0.06</v>
          </cell>
        </row>
        <row r="10">
          <cell r="A10" t="str">
            <v>Cuba</v>
          </cell>
        </row>
        <row r="11">
          <cell r="A11" t="str">
            <v>Bolivia</v>
          </cell>
          <cell r="B11">
            <v>0.99</v>
          </cell>
          <cell r="C11">
            <v>0.01</v>
          </cell>
        </row>
        <row r="12">
          <cell r="A12" t="str">
            <v>Togo</v>
          </cell>
        </row>
        <row r="13">
          <cell r="A13" t="str">
            <v>China</v>
          </cell>
          <cell r="B13">
            <v>0.67</v>
          </cell>
          <cell r="C13">
            <v>0.33</v>
          </cell>
        </row>
        <row r="14">
          <cell r="A14" t="str">
            <v>Cameroon</v>
          </cell>
        </row>
        <row r="15">
          <cell r="A15" t="str">
            <v>Iran</v>
          </cell>
          <cell r="B15">
            <v>0.98</v>
          </cell>
          <cell r="C15">
            <v>0.02</v>
          </cell>
        </row>
        <row r="16">
          <cell r="A16" t="str">
            <v>Timor-Leste</v>
          </cell>
        </row>
        <row r="17">
          <cell r="A17" t="str">
            <v>Sri Lanka</v>
          </cell>
          <cell r="B17">
            <v>0.92</v>
          </cell>
          <cell r="C17">
            <v>0.08</v>
          </cell>
        </row>
        <row r="18">
          <cell r="A18" t="str">
            <v>Ethiopia</v>
          </cell>
        </row>
        <row r="19">
          <cell r="A19" t="str">
            <v>Benin</v>
          </cell>
        </row>
        <row r="20">
          <cell r="A20" t="str">
            <v>Uganda</v>
          </cell>
        </row>
        <row r="21">
          <cell r="A21" t="str">
            <v>Nicaragua</v>
          </cell>
        </row>
        <row r="22">
          <cell r="A22" t="str">
            <v>Nepal</v>
          </cell>
        </row>
        <row r="23">
          <cell r="A23" t="str">
            <v>Mozambique</v>
          </cell>
        </row>
        <row r="24">
          <cell r="A24" t="str">
            <v>Uzbekistan</v>
          </cell>
        </row>
        <row r="25">
          <cell r="A25" t="str">
            <v>St. Helena</v>
          </cell>
        </row>
        <row r="26">
          <cell r="A26" t="str">
            <v>Botswana</v>
          </cell>
        </row>
        <row r="27">
          <cell r="A27" t="str">
            <v>Pakistan</v>
          </cell>
          <cell r="B27">
            <v>0.96</v>
          </cell>
          <cell r="C27">
            <v>0.04</v>
          </cell>
        </row>
        <row r="28">
          <cell r="A28" t="str">
            <v>Rwanda</v>
          </cell>
        </row>
        <row r="29">
          <cell r="A29" t="str">
            <v>Burundi</v>
          </cell>
        </row>
        <row r="30">
          <cell r="A30" t="str">
            <v>South Korea</v>
          </cell>
          <cell r="B30">
            <v>0.8</v>
          </cell>
          <cell r="C30">
            <v>0.2</v>
          </cell>
        </row>
        <row r="31">
          <cell r="A31" t="str">
            <v>Comoros</v>
          </cell>
        </row>
        <row r="32">
          <cell r="A32" t="str">
            <v>Eritrea</v>
          </cell>
        </row>
        <row r="33">
          <cell r="A33" t="str">
            <v>Zambia</v>
          </cell>
        </row>
        <row r="34">
          <cell r="A34" t="str">
            <v>Congo - Kinshasa</v>
          </cell>
        </row>
        <row r="35">
          <cell r="A35" t="str">
            <v>Niger</v>
          </cell>
        </row>
        <row r="36">
          <cell r="A36" t="str">
            <v>Indonesia</v>
          </cell>
          <cell r="B36">
            <v>0.96</v>
          </cell>
          <cell r="C36">
            <v>0.04</v>
          </cell>
        </row>
        <row r="37">
          <cell r="A37" t="str">
            <v>Nigeria</v>
          </cell>
          <cell r="B37">
            <v>0.94</v>
          </cell>
          <cell r="C37">
            <v>0.06</v>
          </cell>
        </row>
        <row r="38">
          <cell r="A38" t="str">
            <v>Lesotho</v>
          </cell>
        </row>
        <row r="39">
          <cell r="A39" t="str">
            <v>Denmark</v>
          </cell>
          <cell r="B39">
            <v>0.89</v>
          </cell>
          <cell r="C39">
            <v>0.11</v>
          </cell>
        </row>
        <row r="40">
          <cell r="A40" t="str">
            <v>El Salvador</v>
          </cell>
        </row>
        <row r="41">
          <cell r="A41" t="str">
            <v>Eswatini</v>
          </cell>
        </row>
        <row r="42">
          <cell r="A42" t="str">
            <v>Malawi</v>
          </cell>
        </row>
        <row r="43">
          <cell r="A43" t="str">
            <v>Congo - Brazzaville</v>
          </cell>
        </row>
        <row r="44">
          <cell r="A44" t="str">
            <v>Kenya</v>
          </cell>
          <cell r="B44">
            <v>0.88</v>
          </cell>
          <cell r="C44">
            <v>0.12</v>
          </cell>
        </row>
        <row r="45">
          <cell r="A45" t="str">
            <v>Hong Kong</v>
          </cell>
          <cell r="B45">
            <v>0.82</v>
          </cell>
          <cell r="C45">
            <v>0.18</v>
          </cell>
        </row>
        <row r="46">
          <cell r="A46" t="str">
            <v>Guatemala</v>
          </cell>
        </row>
        <row r="47">
          <cell r="A47" t="str">
            <v>Costa Rica</v>
          </cell>
          <cell r="B47">
            <v>0.9</v>
          </cell>
          <cell r="C47">
            <v>0.1</v>
          </cell>
        </row>
        <row r="48">
          <cell r="A48" t="str">
            <v>Greenland</v>
          </cell>
        </row>
        <row r="49">
          <cell r="A49" t="str">
            <v>Burkina Faso</v>
          </cell>
        </row>
        <row r="50">
          <cell r="A50" t="str">
            <v>Norway</v>
          </cell>
          <cell r="B50">
            <v>0.83</v>
          </cell>
          <cell r="C50">
            <v>0.17</v>
          </cell>
        </row>
        <row r="51">
          <cell r="A51" t="str">
            <v>Cape Verde</v>
          </cell>
        </row>
        <row r="52">
          <cell r="A52" t="str">
            <v>Tunisia</v>
          </cell>
        </row>
        <row r="53">
          <cell r="A53" t="str">
            <v>Luxembourg</v>
          </cell>
        </row>
        <row r="54">
          <cell r="A54" t="str">
            <v>Ghana</v>
          </cell>
        </row>
        <row r="55">
          <cell r="A55" t="str">
            <v>Faroe Islands</v>
          </cell>
        </row>
        <row r="56">
          <cell r="A56" t="str">
            <v>Singapore</v>
          </cell>
          <cell r="B56">
            <v>0.77</v>
          </cell>
          <cell r="C56">
            <v>0.23</v>
          </cell>
        </row>
        <row r="57">
          <cell r="A57" t="str">
            <v>Ireland</v>
          </cell>
          <cell r="B57">
            <v>0.83</v>
          </cell>
          <cell r="C57">
            <v>0.17</v>
          </cell>
        </row>
        <row r="58">
          <cell r="A58" t="str">
            <v>Mali</v>
          </cell>
        </row>
        <row r="59">
          <cell r="A59" t="str">
            <v>Philippines</v>
          </cell>
          <cell r="B59">
            <v>0.91</v>
          </cell>
          <cell r="C59">
            <v>0.09</v>
          </cell>
        </row>
        <row r="60">
          <cell r="A60" t="str">
            <v>Somalia</v>
          </cell>
        </row>
        <row r="61">
          <cell r="A61" t="str">
            <v>CÃ´te dâ€™Ivoire</v>
          </cell>
        </row>
        <row r="62">
          <cell r="A62" t="str">
            <v>Syria</v>
          </cell>
        </row>
        <row r="63">
          <cell r="A63" t="str">
            <v>Mexico</v>
          </cell>
          <cell r="B63">
            <v>0.95</v>
          </cell>
          <cell r="C63">
            <v>0.05</v>
          </cell>
        </row>
        <row r="64">
          <cell r="A64" t="str">
            <v>Estonia</v>
          </cell>
        </row>
        <row r="65">
          <cell r="A65" t="str">
            <v>Haiti</v>
          </cell>
        </row>
        <row r="66">
          <cell r="A66" t="str">
            <v>Central African Republic</v>
          </cell>
        </row>
        <row r="67">
          <cell r="A67" t="str">
            <v>Tanzania</v>
          </cell>
        </row>
        <row r="68">
          <cell r="A68" t="str">
            <v>Czechia</v>
          </cell>
          <cell r="B68">
            <v>0.79</v>
          </cell>
          <cell r="C68">
            <v>0.21</v>
          </cell>
        </row>
        <row r="69">
          <cell r="A69" t="str">
            <v>Belarus</v>
          </cell>
          <cell r="B69">
            <v>0.84</v>
          </cell>
          <cell r="C69">
            <v>0.16</v>
          </cell>
        </row>
        <row r="70">
          <cell r="A70" t="str">
            <v>Mauritania</v>
          </cell>
        </row>
        <row r="71">
          <cell r="A71" t="str">
            <v>Germany</v>
          </cell>
          <cell r="B71">
            <v>0.82</v>
          </cell>
          <cell r="C71">
            <v>0.18</v>
          </cell>
        </row>
        <row r="72">
          <cell r="A72" t="str">
            <v>Brazil</v>
          </cell>
          <cell r="B72">
            <v>0.94</v>
          </cell>
          <cell r="C72">
            <v>0.06</v>
          </cell>
        </row>
        <row r="73">
          <cell r="A73" t="str">
            <v>Hungary</v>
          </cell>
          <cell r="B73">
            <v>0.88</v>
          </cell>
          <cell r="C73">
            <v>0.12</v>
          </cell>
        </row>
        <row r="74">
          <cell r="A74" t="str">
            <v>Serbia</v>
          </cell>
          <cell r="B74">
            <v>0.9</v>
          </cell>
          <cell r="C74">
            <v>0.1</v>
          </cell>
        </row>
        <row r="75">
          <cell r="A75" t="str">
            <v>Zimbabwe</v>
          </cell>
        </row>
        <row r="76">
          <cell r="A76" t="str">
            <v>North Macedonia</v>
          </cell>
        </row>
        <row r="77">
          <cell r="A77" t="str">
            <v>Portugal</v>
          </cell>
          <cell r="B77">
            <v>0.86</v>
          </cell>
          <cell r="C77">
            <v>0.14000000000000001</v>
          </cell>
        </row>
        <row r="78">
          <cell r="A78" t="str">
            <v>Sierra Leone</v>
          </cell>
        </row>
        <row r="79">
          <cell r="A79" t="str">
            <v>Guinea</v>
          </cell>
        </row>
        <row r="80">
          <cell r="A80" t="str">
            <v>Poland</v>
          </cell>
          <cell r="B80">
            <v>0.87</v>
          </cell>
          <cell r="C80">
            <v>0.13</v>
          </cell>
        </row>
        <row r="81">
          <cell r="A81" t="str">
            <v>Honduras</v>
          </cell>
        </row>
        <row r="82">
          <cell r="A82" t="str">
            <v>Turkmenistan</v>
          </cell>
        </row>
        <row r="83">
          <cell r="A83" t="str">
            <v>Switzerland</v>
          </cell>
          <cell r="B83">
            <v>0.76</v>
          </cell>
          <cell r="C83">
            <v>0.24</v>
          </cell>
        </row>
        <row r="84">
          <cell r="A84" t="str">
            <v>Austria</v>
          </cell>
          <cell r="B84">
            <v>0.82</v>
          </cell>
          <cell r="C84">
            <v>0.18</v>
          </cell>
        </row>
        <row r="85">
          <cell r="A85" t="str">
            <v>Tonga</v>
          </cell>
        </row>
        <row r="86">
          <cell r="A86" t="str">
            <v>Morocco</v>
          </cell>
          <cell r="B86">
            <v>0.91</v>
          </cell>
          <cell r="C86">
            <v>0.09</v>
          </cell>
        </row>
        <row r="87">
          <cell r="A87" t="str">
            <v>Malta</v>
          </cell>
        </row>
        <row r="88">
          <cell r="A88" t="str">
            <v>Colombia</v>
          </cell>
          <cell r="B88">
            <v>0.93</v>
          </cell>
          <cell r="C88">
            <v>7.0000000000000007E-2</v>
          </cell>
        </row>
        <row r="89">
          <cell r="A89" t="str">
            <v>Mauritius</v>
          </cell>
        </row>
        <row r="90">
          <cell r="A90" t="str">
            <v>Israel</v>
          </cell>
          <cell r="B90">
            <v>0.68</v>
          </cell>
          <cell r="C90">
            <v>0.32</v>
          </cell>
        </row>
        <row r="91">
          <cell r="A91" t="str">
            <v>Gambia</v>
          </cell>
        </row>
        <row r="92">
          <cell r="A92" t="str">
            <v>Romania</v>
          </cell>
          <cell r="B92">
            <v>0.88</v>
          </cell>
          <cell r="C92">
            <v>0.12</v>
          </cell>
        </row>
        <row r="93">
          <cell r="A93" t="str">
            <v>Bosnia &amp; Herzegovina</v>
          </cell>
        </row>
        <row r="94">
          <cell r="A94" t="str">
            <v>Taiwan</v>
          </cell>
          <cell r="B94">
            <v>0.8</v>
          </cell>
          <cell r="C94">
            <v>0.2</v>
          </cell>
        </row>
        <row r="95">
          <cell r="A95" t="str">
            <v>Angola</v>
          </cell>
        </row>
        <row r="96">
          <cell r="A96" t="str">
            <v>Spain</v>
          </cell>
          <cell r="B96">
            <v>0.87</v>
          </cell>
          <cell r="C96">
            <v>0.13</v>
          </cell>
        </row>
        <row r="97">
          <cell r="A97" t="str">
            <v>Peru</v>
          </cell>
          <cell r="B97">
            <v>0.94</v>
          </cell>
          <cell r="C97">
            <v>0.06</v>
          </cell>
        </row>
        <row r="98">
          <cell r="A98" t="str">
            <v>Afghanistan</v>
          </cell>
        </row>
        <row r="99">
          <cell r="A99" t="str">
            <v>Ecuador</v>
          </cell>
        </row>
        <row r="100">
          <cell r="A100" t="str">
            <v>Guinea-Bissau</v>
          </cell>
        </row>
        <row r="101">
          <cell r="A101" t="str">
            <v>Uruguay</v>
          </cell>
        </row>
        <row r="102">
          <cell r="A102" t="str">
            <v>Liechtenstein</v>
          </cell>
        </row>
        <row r="103">
          <cell r="A103" t="str">
            <v>Senegal</v>
          </cell>
        </row>
        <row r="104">
          <cell r="A104" t="str">
            <v>Gabon</v>
          </cell>
        </row>
        <row r="105">
          <cell r="A105" t="str">
            <v>Croatia</v>
          </cell>
          <cell r="B105">
            <v>0.83</v>
          </cell>
          <cell r="C105">
            <v>0.17</v>
          </cell>
        </row>
        <row r="106">
          <cell r="A106" t="str">
            <v>Yemen</v>
          </cell>
        </row>
        <row r="107">
          <cell r="A107" t="str">
            <v>Myanmar (Burma)</v>
          </cell>
        </row>
        <row r="108">
          <cell r="A108" t="str">
            <v>Iceland</v>
          </cell>
        </row>
        <row r="109">
          <cell r="A109" t="str">
            <v>Bhutan</v>
          </cell>
        </row>
        <row r="110">
          <cell r="A110" t="str">
            <v>Gibraltar</v>
          </cell>
        </row>
        <row r="111">
          <cell r="A111" t="str">
            <v>Latvia</v>
          </cell>
        </row>
        <row r="112">
          <cell r="A112" t="str">
            <v>Paraguay</v>
          </cell>
        </row>
        <row r="113">
          <cell r="A113" t="str">
            <v>Ukraine</v>
          </cell>
          <cell r="B113">
            <v>0.83</v>
          </cell>
          <cell r="C113">
            <v>0.17</v>
          </cell>
        </row>
        <row r="114">
          <cell r="A114" t="str">
            <v>Djibouti</v>
          </cell>
        </row>
        <row r="115">
          <cell r="A115" t="str">
            <v>Cambodia</v>
          </cell>
        </row>
        <row r="116">
          <cell r="A116" t="str">
            <v>Papua New Guinea</v>
          </cell>
        </row>
        <row r="117">
          <cell r="A117" t="str">
            <v>Solomon Islands</v>
          </cell>
        </row>
        <row r="118">
          <cell r="A118" t="str">
            <v>Sudan</v>
          </cell>
        </row>
        <row r="119">
          <cell r="A119" t="str">
            <v>Sweden</v>
          </cell>
          <cell r="B119">
            <v>0.74</v>
          </cell>
          <cell r="C119">
            <v>0.26</v>
          </cell>
        </row>
        <row r="120">
          <cell r="A120" t="str">
            <v>Belgium</v>
          </cell>
          <cell r="B120">
            <v>0.79</v>
          </cell>
          <cell r="C120">
            <v>0.21</v>
          </cell>
        </row>
        <row r="121">
          <cell r="A121" t="str">
            <v>Lithuania</v>
          </cell>
          <cell r="B121">
            <v>0.87</v>
          </cell>
          <cell r="C121">
            <v>0.13</v>
          </cell>
        </row>
        <row r="122">
          <cell r="A122" t="str">
            <v>Slovenia</v>
          </cell>
          <cell r="B122">
            <v>0.75</v>
          </cell>
          <cell r="C122">
            <v>0.25</v>
          </cell>
        </row>
        <row r="123">
          <cell r="A123" t="str">
            <v>Equatorial Guinea</v>
          </cell>
        </row>
        <row r="124">
          <cell r="A124" t="str">
            <v>United States</v>
          </cell>
          <cell r="B124">
            <v>0.72</v>
          </cell>
          <cell r="C124">
            <v>0.28000000000000003</v>
          </cell>
        </row>
        <row r="125">
          <cell r="A125" t="str">
            <v>Tajikistan</v>
          </cell>
        </row>
        <row r="126">
          <cell r="A126" t="str">
            <v>Namibia</v>
          </cell>
        </row>
        <row r="127">
          <cell r="A127" t="str">
            <v>Ã…land Islands</v>
          </cell>
        </row>
        <row r="128">
          <cell r="A128" t="str">
            <v>South Africa</v>
          </cell>
          <cell r="B128">
            <v>0.81</v>
          </cell>
          <cell r="C128">
            <v>0.19</v>
          </cell>
        </row>
        <row r="129">
          <cell r="A129" t="str">
            <v>Slovakia</v>
          </cell>
          <cell r="B129">
            <v>0.84</v>
          </cell>
          <cell r="C129">
            <v>0.16</v>
          </cell>
        </row>
        <row r="130">
          <cell r="A130" t="str">
            <v>Mongolia</v>
          </cell>
        </row>
        <row r="131">
          <cell r="A131" t="str">
            <v>Finland</v>
          </cell>
          <cell r="B131">
            <v>0.71</v>
          </cell>
          <cell r="C131">
            <v>0.28999999999999998</v>
          </cell>
        </row>
        <row r="132">
          <cell r="A132" t="str">
            <v>Andorra</v>
          </cell>
        </row>
        <row r="133">
          <cell r="A133" t="str">
            <v>Macao</v>
          </cell>
        </row>
        <row r="134">
          <cell r="A134" t="str">
            <v>Canada</v>
          </cell>
          <cell r="B134">
            <v>0.73</v>
          </cell>
          <cell r="C134">
            <v>0.27</v>
          </cell>
        </row>
        <row r="135">
          <cell r="A135" t="str">
            <v>Bulgaria</v>
          </cell>
          <cell r="B135">
            <v>0.87</v>
          </cell>
          <cell r="C135">
            <v>0.13</v>
          </cell>
        </row>
        <row r="136">
          <cell r="A136" t="str">
            <v>Kazakhstan</v>
          </cell>
        </row>
        <row r="137">
          <cell r="A137" t="str">
            <v>Dominican Republic</v>
          </cell>
        </row>
        <row r="138">
          <cell r="A138" t="str">
            <v>Moldova</v>
          </cell>
        </row>
        <row r="139">
          <cell r="A139" t="str">
            <v>Vanuatu</v>
          </cell>
        </row>
        <row r="140">
          <cell r="A140" t="str">
            <v>Netherlands</v>
          </cell>
          <cell r="B140">
            <v>0.76</v>
          </cell>
          <cell r="C140">
            <v>0.24</v>
          </cell>
        </row>
        <row r="141">
          <cell r="A141" t="str">
            <v>Lebanon</v>
          </cell>
        </row>
        <row r="142">
          <cell r="A142" t="str">
            <v>Kyrgyzstan</v>
          </cell>
        </row>
        <row r="143">
          <cell r="A143" t="str">
            <v>Chile</v>
          </cell>
          <cell r="B143">
            <v>0.85</v>
          </cell>
          <cell r="C143">
            <v>0.15</v>
          </cell>
        </row>
        <row r="144">
          <cell r="A144" t="str">
            <v>Japan</v>
          </cell>
          <cell r="B144">
            <v>0.84</v>
          </cell>
          <cell r="C144">
            <v>0.16</v>
          </cell>
        </row>
        <row r="145">
          <cell r="A145" t="str">
            <v>Algeria</v>
          </cell>
        </row>
        <row r="146">
          <cell r="A146" t="str">
            <v>Seychelles</v>
          </cell>
        </row>
        <row r="147">
          <cell r="A147" t="str">
            <v>Armenia</v>
          </cell>
        </row>
        <row r="148">
          <cell r="A148" t="str">
            <v>Chad</v>
          </cell>
        </row>
        <row r="149">
          <cell r="A149" t="str">
            <v>Italy</v>
          </cell>
          <cell r="B149">
            <v>0.87</v>
          </cell>
          <cell r="C149">
            <v>0.13</v>
          </cell>
        </row>
        <row r="150">
          <cell r="A150" t="str">
            <v>Argentina</v>
          </cell>
          <cell r="B150">
            <v>0.89</v>
          </cell>
          <cell r="C150">
            <v>0.11</v>
          </cell>
        </row>
        <row r="151">
          <cell r="A151" t="str">
            <v>Turkey</v>
          </cell>
          <cell r="B151">
            <v>0.95</v>
          </cell>
          <cell r="C151">
            <v>0.05</v>
          </cell>
        </row>
        <row r="152">
          <cell r="A152" t="str">
            <v>Vietnam</v>
          </cell>
          <cell r="B152">
            <v>0.94</v>
          </cell>
          <cell r="C152">
            <v>0.06</v>
          </cell>
        </row>
        <row r="153">
          <cell r="A153" t="str">
            <v>Northern Mariana Islands</v>
          </cell>
        </row>
        <row r="154">
          <cell r="A154" t="str">
            <v>Jamaica</v>
          </cell>
        </row>
        <row r="155">
          <cell r="A155" t="str">
            <v>France</v>
          </cell>
          <cell r="B155">
            <v>0.75</v>
          </cell>
          <cell r="C155">
            <v>0.25</v>
          </cell>
        </row>
        <row r="156">
          <cell r="A156" t="str">
            <v>Panama</v>
          </cell>
        </row>
        <row r="157">
          <cell r="A157" t="str">
            <v>Fiji</v>
          </cell>
        </row>
        <row r="158">
          <cell r="A158" t="str">
            <v>Laos</v>
          </cell>
        </row>
        <row r="159">
          <cell r="A159" t="str">
            <v>Montenegro</v>
          </cell>
        </row>
        <row r="160">
          <cell r="A160" t="str">
            <v>New Zealand</v>
          </cell>
          <cell r="B160">
            <v>0.65</v>
          </cell>
          <cell r="C160">
            <v>0.35</v>
          </cell>
        </row>
        <row r="161">
          <cell r="A161" t="str">
            <v>San Marino</v>
          </cell>
        </row>
        <row r="162">
          <cell r="A162" t="str">
            <v>Trinidad &amp; Tobago</v>
          </cell>
        </row>
        <row r="163">
          <cell r="A163" t="str">
            <v>Russia</v>
          </cell>
          <cell r="B163">
            <v>0.73</v>
          </cell>
          <cell r="C163">
            <v>0.27</v>
          </cell>
        </row>
        <row r="164">
          <cell r="A164" t="str">
            <v>Greece</v>
          </cell>
          <cell r="B164">
            <v>0.82</v>
          </cell>
          <cell r="C164">
            <v>0.18</v>
          </cell>
        </row>
        <row r="165">
          <cell r="A165" t="str">
            <v>Dominica</v>
          </cell>
        </row>
        <row r="166">
          <cell r="A166" t="str">
            <v>Malaysia</v>
          </cell>
          <cell r="B166">
            <v>0.88</v>
          </cell>
          <cell r="C166">
            <v>0.12</v>
          </cell>
        </row>
        <row r="167">
          <cell r="A167" t="str">
            <v>Venezuela</v>
          </cell>
          <cell r="B167">
            <v>0.92</v>
          </cell>
          <cell r="C167">
            <v>0.08</v>
          </cell>
        </row>
        <row r="168">
          <cell r="A168" t="str">
            <v>Palestine</v>
          </cell>
        </row>
        <row r="169">
          <cell r="A169" t="str">
            <v>Jordan</v>
          </cell>
        </row>
        <row r="170">
          <cell r="A170" t="str">
            <v>Egypt</v>
          </cell>
          <cell r="B170">
            <v>0.92</v>
          </cell>
          <cell r="C170">
            <v>0.08</v>
          </cell>
        </row>
        <row r="171">
          <cell r="A171" t="str">
            <v>Albania</v>
          </cell>
        </row>
        <row r="172">
          <cell r="A172" t="str">
            <v>Monaco</v>
          </cell>
        </row>
        <row r="173">
          <cell r="A173" t="str">
            <v>United Kingdom</v>
          </cell>
          <cell r="B173">
            <v>0.69</v>
          </cell>
          <cell r="C173">
            <v>0.31</v>
          </cell>
        </row>
        <row r="174">
          <cell r="A174" t="str">
            <v>Brunei</v>
          </cell>
        </row>
        <row r="175">
          <cell r="A175" t="str">
            <v>Kosovo</v>
          </cell>
        </row>
        <row r="176">
          <cell r="A176" t="str">
            <v>Georgia</v>
          </cell>
        </row>
        <row r="177">
          <cell r="A177" t="str">
            <v>Cyprus</v>
          </cell>
        </row>
        <row r="178">
          <cell r="A178" t="str">
            <v>South Sudan</v>
          </cell>
        </row>
        <row r="179">
          <cell r="A179" t="str">
            <v>Maldives</v>
          </cell>
        </row>
        <row r="180">
          <cell r="A180" t="str">
            <v>Australia</v>
          </cell>
          <cell r="B180">
            <v>0.7</v>
          </cell>
          <cell r="C180">
            <v>0.3</v>
          </cell>
        </row>
        <row r="181">
          <cell r="A181" t="str">
            <v>Qatar</v>
          </cell>
        </row>
        <row r="182">
          <cell r="A182" t="str">
            <v>United Arab Emirates</v>
          </cell>
          <cell r="B182">
            <v>0.85</v>
          </cell>
          <cell r="C182">
            <v>0.15</v>
          </cell>
        </row>
        <row r="183">
          <cell r="A183" t="str">
            <v>Saudi Arabia</v>
          </cell>
          <cell r="B183">
            <v>0.92</v>
          </cell>
          <cell r="C183">
            <v>0.08</v>
          </cell>
        </row>
        <row r="184">
          <cell r="A184" t="str">
            <v>Azerbaijan</v>
          </cell>
        </row>
        <row r="185">
          <cell r="A185" t="str">
            <v>Thailand</v>
          </cell>
          <cell r="B185">
            <v>0.92</v>
          </cell>
          <cell r="C185">
            <v>0.08</v>
          </cell>
        </row>
        <row r="186">
          <cell r="A186" t="str">
            <v>Oman</v>
          </cell>
        </row>
        <row r="187">
          <cell r="A187" t="str">
            <v>French Polynesia</v>
          </cell>
        </row>
        <row r="188">
          <cell r="A188" t="str">
            <v>Guyana</v>
          </cell>
        </row>
        <row r="189">
          <cell r="A189" t="str">
            <v>CuraÃ§ao</v>
          </cell>
        </row>
        <row r="190">
          <cell r="A190" t="str">
            <v>Belize</v>
          </cell>
        </row>
        <row r="191">
          <cell r="A191" t="str">
            <v>U.S. Virgin Islands</v>
          </cell>
        </row>
        <row r="192">
          <cell r="A192" t="str">
            <v>Grenada</v>
          </cell>
        </row>
        <row r="193">
          <cell r="A193" t="str">
            <v>Barbados</v>
          </cell>
        </row>
        <row r="194">
          <cell r="A194" t="str">
            <v>New Caledonia</v>
          </cell>
        </row>
        <row r="195">
          <cell r="A195" t="str">
            <v>Samoa</v>
          </cell>
        </row>
        <row r="196">
          <cell r="A196" t="str">
            <v>Puerto Rico</v>
          </cell>
        </row>
        <row r="197">
          <cell r="A197" t="str">
            <v>Isle of Man</v>
          </cell>
        </row>
        <row r="198">
          <cell r="A198" t="str">
            <v>Liberia</v>
          </cell>
        </row>
        <row r="199">
          <cell r="A199" t="str">
            <v>Bahrain</v>
          </cell>
        </row>
        <row r="200">
          <cell r="A200" t="str">
            <v>RÃ©union</v>
          </cell>
        </row>
        <row r="201">
          <cell r="A201" t="str">
            <v>Cayman Islands</v>
          </cell>
        </row>
        <row r="202">
          <cell r="A202" t="str">
            <v>Mayotte</v>
          </cell>
        </row>
        <row r="203">
          <cell r="A203" t="str">
            <v>Guadeloupe</v>
          </cell>
        </row>
        <row r="204">
          <cell r="A204" t="str">
            <v>St. Lucia</v>
          </cell>
        </row>
        <row r="205">
          <cell r="A205" t="str">
            <v>Suriname</v>
          </cell>
        </row>
        <row r="206">
          <cell r="A206" t="str">
            <v>Aruba</v>
          </cell>
        </row>
        <row r="207">
          <cell r="A207" t="str">
            <v>French Guiana</v>
          </cell>
        </row>
        <row r="208">
          <cell r="A208" t="str">
            <v>Kuwait</v>
          </cell>
        </row>
        <row r="209">
          <cell r="A209" t="str">
            <v>Martinique</v>
          </cell>
        </row>
        <row r="210">
          <cell r="A210" t="str">
            <v>St. Kitts &amp; Nevis</v>
          </cell>
        </row>
        <row r="211">
          <cell r="A211" t="str">
            <v>Jersey</v>
          </cell>
        </row>
        <row r="212">
          <cell r="A212" t="str">
            <v>St. Vincent &amp; Grenadines</v>
          </cell>
        </row>
        <row r="213">
          <cell r="A213" t="str">
            <v>Guam</v>
          </cell>
        </row>
        <row r="214">
          <cell r="A214" t="str">
            <v>Caribbean Netherlands</v>
          </cell>
        </row>
        <row r="215">
          <cell r="A215" t="str">
            <v>Sint Maarten</v>
          </cell>
        </row>
        <row r="216">
          <cell r="A216" t="str">
            <v>St. BarthÃ©lemy</v>
          </cell>
        </row>
        <row r="217">
          <cell r="A217" t="str">
            <v>Iraq</v>
          </cell>
        </row>
        <row r="218">
          <cell r="A218" t="str">
            <v>Bermuda</v>
          </cell>
        </row>
        <row r="219">
          <cell r="A219" t="str">
            <v>Bahamas</v>
          </cell>
        </row>
        <row r="220">
          <cell r="A220" t="str">
            <v>Antigua &amp; Barbuda</v>
          </cell>
        </row>
        <row r="221">
          <cell r="A221" t="str">
            <v>Guernsey</v>
          </cell>
        </row>
        <row r="222">
          <cell r="A222" t="str">
            <v>Libya</v>
          </cell>
        </row>
        <row r="223">
          <cell r="A223" t="str">
            <v>Tuvalu</v>
          </cell>
        </row>
        <row r="224">
          <cell r="A224" t="str">
            <v>North Korea</v>
          </cell>
        </row>
        <row r="225">
          <cell r="A225" t="str">
            <v>Wallis &amp; Futuna</v>
          </cell>
        </row>
        <row r="226">
          <cell r="A226" t="str">
            <v>Montserrat</v>
          </cell>
        </row>
        <row r="227">
          <cell r="A227" t="str">
            <v>Svalbard &amp; Jan Mayen</v>
          </cell>
        </row>
        <row r="228">
          <cell r="A228" t="str">
            <v>St. Pierre &amp; Miquelon</v>
          </cell>
        </row>
        <row r="229">
          <cell r="A229" t="str">
            <v>Kiribati</v>
          </cell>
        </row>
        <row r="230">
          <cell r="A230" t="str">
            <v>Palau</v>
          </cell>
        </row>
        <row r="231">
          <cell r="A231" t="str">
            <v>Anguilla</v>
          </cell>
        </row>
        <row r="232">
          <cell r="A232" t="str">
            <v>Turks &amp; Caicos Islands</v>
          </cell>
        </row>
        <row r="233">
          <cell r="A233" t="str">
            <v>British Virgin Islands</v>
          </cell>
        </row>
        <row r="234">
          <cell r="A234" t="str">
            <v>St. Martin</v>
          </cell>
        </row>
        <row r="235">
          <cell r="A235" t="str">
            <v>American Samoa</v>
          </cell>
        </row>
        <row r="236">
          <cell r="A236" t="str">
            <v>Marshall Islands</v>
          </cell>
        </row>
        <row r="237">
          <cell r="A237" t="str">
            <v>Micronesia</v>
          </cell>
        </row>
        <row r="238">
          <cell r="A238" t="str">
            <v>Cook Islands</v>
          </cell>
        </row>
        <row r="239">
          <cell r="A239" t="str">
            <v>Antarctica</v>
          </cell>
        </row>
        <row r="240">
          <cell r="A240" t="str">
            <v>French Southern Territories</v>
          </cell>
        </row>
        <row r="241">
          <cell r="A241" t="str">
            <v>Bouvet Island</v>
          </cell>
        </row>
        <row r="242">
          <cell r="A242" t="str">
            <v>Cocos (Keeling) Islands</v>
          </cell>
        </row>
        <row r="243">
          <cell r="A243" t="str">
            <v>Christmas Island</v>
          </cell>
        </row>
        <row r="244">
          <cell r="A244" t="str">
            <v>Falkland Islands (Islas Malvinas)</v>
          </cell>
        </row>
        <row r="245">
          <cell r="A245" t="str">
            <v>Heard &amp; McDonald Islands</v>
          </cell>
        </row>
        <row r="246">
          <cell r="A246" t="str">
            <v>Norfolk Island</v>
          </cell>
        </row>
        <row r="247">
          <cell r="A247" t="str">
            <v>Niue</v>
          </cell>
        </row>
        <row r="248">
          <cell r="A248" t="str">
            <v>Nauru</v>
          </cell>
        </row>
        <row r="249">
          <cell r="A249" t="str">
            <v>Pitcairn Islands</v>
          </cell>
        </row>
        <row r="250">
          <cell r="A250" t="str">
            <v>South Georgia &amp; South Sandwich Islands</v>
          </cell>
        </row>
        <row r="251">
          <cell r="A251" t="str">
            <v>Tokelau</v>
          </cell>
        </row>
        <row r="252">
          <cell r="A252" t="str">
            <v>U.S. Outlying Islands</v>
          </cell>
        </row>
        <row r="253">
          <cell r="A253" t="str">
            <v>Vatican City</v>
          </cell>
        </row>
      </sheetData>
    </sheetDataSet>
  </externalBook>
</externalLink>
</file>

<file path=xl/externalLinks/externalLink2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2)"/>
    </sheetNames>
    <sheetDataSet>
      <sheetData sheetId="0">
        <row r="1">
          <cell r="A1" t="str">
            <v>Kategori: TÃ¼m kategoriler</v>
          </cell>
        </row>
        <row r="3">
          <cell r="A3" t="str">
            <v>Ãœlke</v>
          </cell>
          <cell r="B3" t="str">
            <v>Python: (2014)</v>
          </cell>
          <cell r="C3" t="str">
            <v>JavaScript: (2014)</v>
          </cell>
        </row>
        <row r="4">
          <cell r="A4" t="str">
            <v>British Indian Ocean Territory</v>
          </cell>
        </row>
        <row r="5">
          <cell r="A5" t="str">
            <v>North Korea</v>
          </cell>
        </row>
        <row r="6">
          <cell r="A6" t="str">
            <v>Western Sahara</v>
          </cell>
        </row>
        <row r="7">
          <cell r="A7" t="str">
            <v>Cuba</v>
          </cell>
        </row>
        <row r="8">
          <cell r="A8" t="str">
            <v>China</v>
          </cell>
          <cell r="B8">
            <v>0.43</v>
          </cell>
          <cell r="C8">
            <v>0.56999999999999995</v>
          </cell>
        </row>
        <row r="9">
          <cell r="A9" t="str">
            <v>South Korea</v>
          </cell>
          <cell r="B9">
            <v>0.3</v>
          </cell>
          <cell r="C9">
            <v>0.7</v>
          </cell>
        </row>
        <row r="10">
          <cell r="A10" t="str">
            <v>India</v>
          </cell>
          <cell r="B10">
            <v>0.2</v>
          </cell>
          <cell r="C10">
            <v>0.8</v>
          </cell>
        </row>
        <row r="11">
          <cell r="A11" t="str">
            <v>Iceland</v>
          </cell>
        </row>
        <row r="12">
          <cell r="A12" t="str">
            <v>Nepal</v>
          </cell>
        </row>
        <row r="13">
          <cell r="A13" t="str">
            <v>Madagascar</v>
          </cell>
        </row>
        <row r="14">
          <cell r="A14" t="str">
            <v>Sri Lanka</v>
          </cell>
          <cell r="B14">
            <v>0.26</v>
          </cell>
          <cell r="C14">
            <v>0.74</v>
          </cell>
        </row>
        <row r="15">
          <cell r="A15" t="str">
            <v>Belarus</v>
          </cell>
          <cell r="B15">
            <v>0.21</v>
          </cell>
          <cell r="C15">
            <v>0.79</v>
          </cell>
        </row>
        <row r="16">
          <cell r="A16" t="str">
            <v>Gibraltar</v>
          </cell>
        </row>
        <row r="17">
          <cell r="A17" t="str">
            <v>Hong Kong</v>
          </cell>
          <cell r="B17">
            <v>0.31</v>
          </cell>
          <cell r="C17">
            <v>0.69</v>
          </cell>
        </row>
        <row r="18">
          <cell r="A18" t="str">
            <v>Armenia</v>
          </cell>
        </row>
        <row r="19">
          <cell r="A19" t="str">
            <v>St. Helena</v>
          </cell>
        </row>
        <row r="20">
          <cell r="A20" t="str">
            <v>Israel</v>
          </cell>
          <cell r="B20">
            <v>0.41</v>
          </cell>
          <cell r="C20">
            <v>0.59</v>
          </cell>
        </row>
        <row r="21">
          <cell r="A21" t="str">
            <v>Estonia</v>
          </cell>
          <cell r="B21">
            <v>0.4</v>
          </cell>
          <cell r="C21">
            <v>0.6</v>
          </cell>
        </row>
        <row r="22">
          <cell r="A22" t="str">
            <v>Malta</v>
          </cell>
        </row>
        <row r="23">
          <cell r="A23" t="str">
            <v>Czechia</v>
          </cell>
          <cell r="B23">
            <v>0.32</v>
          </cell>
          <cell r="C23">
            <v>0.68</v>
          </cell>
        </row>
        <row r="24">
          <cell r="A24" t="str">
            <v>Singapore</v>
          </cell>
          <cell r="B24">
            <v>0.39</v>
          </cell>
          <cell r="C24">
            <v>0.61</v>
          </cell>
        </row>
        <row r="25">
          <cell r="A25" t="str">
            <v>Cameroon</v>
          </cell>
        </row>
        <row r="26">
          <cell r="A26" t="str">
            <v>Ukraine</v>
          </cell>
          <cell r="B26">
            <v>0.23</v>
          </cell>
          <cell r="C26">
            <v>0.77</v>
          </cell>
        </row>
        <row r="27">
          <cell r="A27" t="str">
            <v>Latvia</v>
          </cell>
        </row>
        <row r="28">
          <cell r="A28" t="str">
            <v>Luxembourg</v>
          </cell>
        </row>
        <row r="29">
          <cell r="A29" t="str">
            <v>Bangladesh</v>
          </cell>
          <cell r="B29">
            <v>0.24</v>
          </cell>
          <cell r="C29">
            <v>0.76</v>
          </cell>
        </row>
        <row r="30">
          <cell r="A30" t="str">
            <v>Bulgaria</v>
          </cell>
          <cell r="B30">
            <v>0.18</v>
          </cell>
          <cell r="C30">
            <v>0.82</v>
          </cell>
        </row>
        <row r="31">
          <cell r="A31" t="str">
            <v>North Macedonia</v>
          </cell>
        </row>
        <row r="32">
          <cell r="A32" t="str">
            <v>Taiwan</v>
          </cell>
          <cell r="B32">
            <v>0.31</v>
          </cell>
          <cell r="C32">
            <v>0.69</v>
          </cell>
        </row>
        <row r="33">
          <cell r="A33" t="str">
            <v>Liechtenstein</v>
          </cell>
        </row>
        <row r="34">
          <cell r="A34" t="str">
            <v>Sweden</v>
          </cell>
          <cell r="B34">
            <v>0.36</v>
          </cell>
          <cell r="C34">
            <v>0.64</v>
          </cell>
        </row>
        <row r="35">
          <cell r="A35" t="str">
            <v>Finland</v>
          </cell>
          <cell r="B35">
            <v>0.38</v>
          </cell>
          <cell r="C35">
            <v>0.62</v>
          </cell>
        </row>
        <row r="36">
          <cell r="A36" t="str">
            <v>Moldova</v>
          </cell>
        </row>
        <row r="37">
          <cell r="A37" t="str">
            <v>Switzerland</v>
          </cell>
          <cell r="B37">
            <v>0.39</v>
          </cell>
          <cell r="C37">
            <v>0.61</v>
          </cell>
        </row>
        <row r="38">
          <cell r="A38" t="str">
            <v>Togo</v>
          </cell>
        </row>
        <row r="39">
          <cell r="A39" t="str">
            <v>Mauritius</v>
          </cell>
        </row>
        <row r="40">
          <cell r="A40" t="str">
            <v>New Zealand</v>
          </cell>
          <cell r="B40">
            <v>0.4</v>
          </cell>
          <cell r="C40">
            <v>0.6</v>
          </cell>
        </row>
        <row r="41">
          <cell r="A41" t="str">
            <v>Philippines</v>
          </cell>
          <cell r="B41">
            <v>0.2</v>
          </cell>
          <cell r="C41">
            <v>0.8</v>
          </cell>
        </row>
        <row r="42">
          <cell r="A42" t="str">
            <v>Tunisia</v>
          </cell>
        </row>
        <row r="43">
          <cell r="A43" t="str">
            <v>Cambodia</v>
          </cell>
        </row>
        <row r="44">
          <cell r="A44" t="str">
            <v>Pakistan</v>
          </cell>
          <cell r="B44">
            <v>0.16</v>
          </cell>
          <cell r="C44">
            <v>0.84</v>
          </cell>
        </row>
        <row r="45">
          <cell r="A45" t="str">
            <v>Costa Rica</v>
          </cell>
          <cell r="B45">
            <v>0.27</v>
          </cell>
          <cell r="C45">
            <v>0.73</v>
          </cell>
        </row>
        <row r="46">
          <cell r="A46" t="str">
            <v>Denmark</v>
          </cell>
          <cell r="B46">
            <v>0.32</v>
          </cell>
          <cell r="C46">
            <v>0.68</v>
          </cell>
        </row>
        <row r="47">
          <cell r="A47" t="str">
            <v>Norway</v>
          </cell>
          <cell r="B47">
            <v>0.39</v>
          </cell>
          <cell r="C47">
            <v>0.61</v>
          </cell>
        </row>
        <row r="48">
          <cell r="A48" t="str">
            <v>Russia</v>
          </cell>
          <cell r="B48">
            <v>0.33</v>
          </cell>
          <cell r="C48">
            <v>0.67</v>
          </cell>
        </row>
        <row r="49">
          <cell r="A49" t="str">
            <v>Netherlands</v>
          </cell>
          <cell r="B49">
            <v>0.34</v>
          </cell>
          <cell r="C49">
            <v>0.66</v>
          </cell>
        </row>
        <row r="50">
          <cell r="A50" t="str">
            <v>Benin</v>
          </cell>
        </row>
        <row r="51">
          <cell r="A51" t="str">
            <v>Portugal</v>
          </cell>
          <cell r="B51">
            <v>0.28000000000000003</v>
          </cell>
          <cell r="C51">
            <v>0.72</v>
          </cell>
        </row>
        <row r="52">
          <cell r="A52" t="str">
            <v>Slovenia</v>
          </cell>
          <cell r="B52">
            <v>0.38</v>
          </cell>
          <cell r="C52">
            <v>0.62</v>
          </cell>
        </row>
        <row r="53">
          <cell r="A53" t="str">
            <v>Canada</v>
          </cell>
          <cell r="B53">
            <v>0.39</v>
          </cell>
          <cell r="C53">
            <v>0.61</v>
          </cell>
        </row>
        <row r="54">
          <cell r="A54" t="str">
            <v>Myanmar (Burma)</v>
          </cell>
        </row>
        <row r="55">
          <cell r="A55" t="str">
            <v>Austria</v>
          </cell>
          <cell r="B55">
            <v>0.35</v>
          </cell>
          <cell r="C55">
            <v>0.65</v>
          </cell>
        </row>
        <row r="56">
          <cell r="A56" t="str">
            <v>Romania</v>
          </cell>
          <cell r="B56">
            <v>0.25</v>
          </cell>
          <cell r="C56">
            <v>0.75</v>
          </cell>
        </row>
        <row r="57">
          <cell r="A57" t="str">
            <v>Monaco</v>
          </cell>
        </row>
        <row r="58">
          <cell r="A58" t="str">
            <v>Belgium</v>
          </cell>
          <cell r="B58">
            <v>0.35</v>
          </cell>
          <cell r="C58">
            <v>0.65</v>
          </cell>
        </row>
        <row r="59">
          <cell r="A59" t="str">
            <v>Germany</v>
          </cell>
          <cell r="B59">
            <v>0.37</v>
          </cell>
          <cell r="C59">
            <v>0.63</v>
          </cell>
        </row>
        <row r="60">
          <cell r="A60" t="str">
            <v>Ã…land Islands</v>
          </cell>
        </row>
        <row r="61">
          <cell r="A61" t="str">
            <v>United States</v>
          </cell>
          <cell r="B61">
            <v>0.43</v>
          </cell>
          <cell r="C61">
            <v>0.56999999999999995</v>
          </cell>
        </row>
        <row r="62">
          <cell r="A62" t="str">
            <v>Japan</v>
          </cell>
          <cell r="B62">
            <v>0.24</v>
          </cell>
          <cell r="C62">
            <v>0.76</v>
          </cell>
        </row>
        <row r="63">
          <cell r="A63" t="str">
            <v>Bhutan</v>
          </cell>
        </row>
        <row r="64">
          <cell r="A64" t="str">
            <v>Hungary</v>
          </cell>
          <cell r="B64">
            <v>0.27</v>
          </cell>
          <cell r="C64">
            <v>0.73</v>
          </cell>
        </row>
        <row r="65">
          <cell r="A65" t="str">
            <v>Mongolia</v>
          </cell>
        </row>
        <row r="66">
          <cell r="A66" t="str">
            <v>Lithuania</v>
          </cell>
          <cell r="B66">
            <v>0.25</v>
          </cell>
          <cell r="C66">
            <v>0.75</v>
          </cell>
        </row>
        <row r="67">
          <cell r="A67" t="str">
            <v>Uzbekistan</v>
          </cell>
        </row>
        <row r="68">
          <cell r="A68" t="str">
            <v>Kenya</v>
          </cell>
          <cell r="B68">
            <v>0.34</v>
          </cell>
          <cell r="C68">
            <v>0.66</v>
          </cell>
        </row>
        <row r="69">
          <cell r="A69" t="str">
            <v>Lebanon</v>
          </cell>
        </row>
        <row r="70">
          <cell r="A70" t="str">
            <v>Ireland</v>
          </cell>
          <cell r="B70">
            <v>0.41</v>
          </cell>
          <cell r="C70">
            <v>0.59</v>
          </cell>
        </row>
        <row r="71">
          <cell r="A71" t="str">
            <v>Australia</v>
          </cell>
          <cell r="B71">
            <v>0.38</v>
          </cell>
          <cell r="C71">
            <v>0.62</v>
          </cell>
        </row>
        <row r="72">
          <cell r="A72" t="str">
            <v>Uganda</v>
          </cell>
        </row>
        <row r="73">
          <cell r="A73" t="str">
            <v>Slovakia</v>
          </cell>
          <cell r="B73">
            <v>0.3</v>
          </cell>
          <cell r="C73">
            <v>0.7</v>
          </cell>
        </row>
        <row r="74">
          <cell r="A74" t="str">
            <v>Serbia</v>
          </cell>
          <cell r="B74">
            <v>0.24</v>
          </cell>
          <cell r="C74">
            <v>0.76</v>
          </cell>
        </row>
        <row r="75">
          <cell r="A75" t="str">
            <v>United Kingdom</v>
          </cell>
          <cell r="B75">
            <v>0.41</v>
          </cell>
          <cell r="C75">
            <v>0.59</v>
          </cell>
        </row>
        <row r="76">
          <cell r="A76" t="str">
            <v>Cape Verde</v>
          </cell>
        </row>
        <row r="77">
          <cell r="A77" t="str">
            <v>Maldives</v>
          </cell>
        </row>
        <row r="78">
          <cell r="A78" t="str">
            <v>CÃ´te dâ€™Ivoire</v>
          </cell>
        </row>
        <row r="79">
          <cell r="A79" t="str">
            <v>Faroe Islands</v>
          </cell>
        </row>
        <row r="80">
          <cell r="A80" t="str">
            <v>South Africa</v>
          </cell>
          <cell r="B80">
            <v>0.34</v>
          </cell>
          <cell r="C80">
            <v>0.66</v>
          </cell>
        </row>
        <row r="81">
          <cell r="A81" t="str">
            <v>Spain</v>
          </cell>
          <cell r="B81">
            <v>0.3</v>
          </cell>
          <cell r="C81">
            <v>0.7</v>
          </cell>
        </row>
        <row r="82">
          <cell r="A82" t="str">
            <v>Isle of Man</v>
          </cell>
        </row>
        <row r="83">
          <cell r="A83" t="str">
            <v>Uruguay</v>
          </cell>
        </row>
        <row r="84">
          <cell r="A84" t="str">
            <v>Macao</v>
          </cell>
        </row>
        <row r="85">
          <cell r="A85" t="str">
            <v>Botswana</v>
          </cell>
        </row>
        <row r="86">
          <cell r="A86" t="str">
            <v>Poland</v>
          </cell>
          <cell r="B86">
            <v>0.32</v>
          </cell>
          <cell r="C86">
            <v>0.68</v>
          </cell>
        </row>
        <row r="87">
          <cell r="A87" t="str">
            <v>France</v>
          </cell>
          <cell r="B87">
            <v>0.39</v>
          </cell>
          <cell r="C87">
            <v>0.61</v>
          </cell>
        </row>
        <row r="88">
          <cell r="A88" t="str">
            <v>Lesotho</v>
          </cell>
        </row>
        <row r="89">
          <cell r="A89" t="str">
            <v>Jamaica</v>
          </cell>
        </row>
        <row r="90">
          <cell r="A90" t="str">
            <v>Rwanda</v>
          </cell>
        </row>
        <row r="91">
          <cell r="A91" t="str">
            <v>El Salvador</v>
          </cell>
        </row>
        <row r="92">
          <cell r="A92" t="str">
            <v>Nicaragua</v>
          </cell>
        </row>
        <row r="93">
          <cell r="A93" t="str">
            <v>Ghana</v>
          </cell>
        </row>
        <row r="94">
          <cell r="A94" t="str">
            <v>Andorra</v>
          </cell>
        </row>
        <row r="95">
          <cell r="A95" t="str">
            <v>Burundi</v>
          </cell>
        </row>
        <row r="96">
          <cell r="A96" t="str">
            <v>Jersey</v>
          </cell>
        </row>
        <row r="97">
          <cell r="A97" t="str">
            <v>Ethiopia</v>
          </cell>
        </row>
        <row r="98">
          <cell r="A98" t="str">
            <v>Cayman Islands</v>
          </cell>
        </row>
        <row r="99">
          <cell r="A99" t="str">
            <v>Georgia</v>
          </cell>
        </row>
        <row r="100">
          <cell r="A100" t="str">
            <v>Cyprus</v>
          </cell>
        </row>
        <row r="101">
          <cell r="A101" t="str">
            <v>San Marino</v>
          </cell>
        </row>
        <row r="102">
          <cell r="A102" t="str">
            <v>Croatia</v>
          </cell>
          <cell r="B102">
            <v>0.4</v>
          </cell>
          <cell r="C102">
            <v>0.6</v>
          </cell>
        </row>
        <row r="103">
          <cell r="A103" t="str">
            <v>Kyrgyzstan</v>
          </cell>
        </row>
        <row r="104">
          <cell r="A104" t="str">
            <v>Iran</v>
          </cell>
          <cell r="B104">
            <v>0.25</v>
          </cell>
          <cell r="C104">
            <v>0.75</v>
          </cell>
        </row>
        <row r="105">
          <cell r="A105" t="str">
            <v>Eswatini</v>
          </cell>
        </row>
        <row r="106">
          <cell r="A106" t="str">
            <v>Senegal</v>
          </cell>
        </row>
        <row r="107">
          <cell r="A107" t="str">
            <v>Belize</v>
          </cell>
        </row>
        <row r="108">
          <cell r="A108" t="str">
            <v>Malawi</v>
          </cell>
        </row>
        <row r="109">
          <cell r="A109" t="str">
            <v>Italy</v>
          </cell>
          <cell r="B109">
            <v>0.3</v>
          </cell>
          <cell r="C109">
            <v>0.7</v>
          </cell>
        </row>
        <row r="110">
          <cell r="A110" t="str">
            <v>Guatemala</v>
          </cell>
        </row>
        <row r="111">
          <cell r="A111" t="str">
            <v>CuraÃ§ao</v>
          </cell>
        </row>
        <row r="112">
          <cell r="A112" t="str">
            <v>Morocco</v>
          </cell>
          <cell r="B112">
            <v>0.28000000000000003</v>
          </cell>
          <cell r="C112">
            <v>0.72</v>
          </cell>
        </row>
        <row r="113">
          <cell r="A113" t="str">
            <v>Malaysia</v>
          </cell>
          <cell r="B113">
            <v>0.25</v>
          </cell>
          <cell r="C113">
            <v>0.75</v>
          </cell>
        </row>
        <row r="114">
          <cell r="A114" t="str">
            <v>Greece</v>
          </cell>
          <cell r="B114">
            <v>0.35</v>
          </cell>
          <cell r="C114">
            <v>0.65</v>
          </cell>
        </row>
        <row r="115">
          <cell r="A115" t="str">
            <v>Guernsey</v>
          </cell>
        </row>
        <row r="116">
          <cell r="A116" t="str">
            <v>Colombia</v>
          </cell>
          <cell r="B116">
            <v>0.24</v>
          </cell>
          <cell r="C116">
            <v>0.76</v>
          </cell>
        </row>
        <row r="117">
          <cell r="A117" t="str">
            <v>New Caledonia</v>
          </cell>
        </row>
        <row r="118">
          <cell r="A118" t="str">
            <v>Chile</v>
          </cell>
          <cell r="B118">
            <v>0.37</v>
          </cell>
          <cell r="C118">
            <v>0.63</v>
          </cell>
        </row>
        <row r="119">
          <cell r="A119" t="str">
            <v>Zambia</v>
          </cell>
        </row>
        <row r="120">
          <cell r="A120" t="str">
            <v>Congo - Kinshasa</v>
          </cell>
        </row>
        <row r="121">
          <cell r="A121" t="str">
            <v>Nigeria</v>
          </cell>
          <cell r="B121">
            <v>0.34</v>
          </cell>
          <cell r="C121">
            <v>0.66</v>
          </cell>
        </row>
        <row r="122">
          <cell r="A122" t="str">
            <v>Argentina</v>
          </cell>
          <cell r="B122">
            <v>0.27</v>
          </cell>
          <cell r="C122">
            <v>0.73</v>
          </cell>
        </row>
        <row r="123">
          <cell r="A123" t="str">
            <v>Honduras</v>
          </cell>
        </row>
        <row r="124">
          <cell r="A124" t="str">
            <v>French Polynesia</v>
          </cell>
        </row>
        <row r="125">
          <cell r="A125" t="str">
            <v>Zimbabwe</v>
          </cell>
        </row>
        <row r="126">
          <cell r="A126" t="str">
            <v>United Arab Emirates</v>
          </cell>
          <cell r="B126">
            <v>0.28999999999999998</v>
          </cell>
          <cell r="C126">
            <v>0.71</v>
          </cell>
        </row>
        <row r="127">
          <cell r="A127" t="str">
            <v>Mexico</v>
          </cell>
          <cell r="B127">
            <v>0.25</v>
          </cell>
          <cell r="C127">
            <v>0.75</v>
          </cell>
        </row>
        <row r="128">
          <cell r="A128" t="str">
            <v>Vietnam</v>
          </cell>
          <cell r="B128">
            <v>0.16</v>
          </cell>
          <cell r="C128">
            <v>0.84</v>
          </cell>
        </row>
        <row r="129">
          <cell r="A129" t="str">
            <v>Barbados</v>
          </cell>
        </row>
        <row r="130">
          <cell r="A130" t="str">
            <v>Bosnia &amp; Herzegovina</v>
          </cell>
        </row>
        <row r="131">
          <cell r="A131" t="str">
            <v>Gabon</v>
          </cell>
        </row>
        <row r="132">
          <cell r="A132" t="str">
            <v>Jordan</v>
          </cell>
        </row>
        <row r="133">
          <cell r="A133" t="str">
            <v>Peru</v>
          </cell>
          <cell r="B133">
            <v>0.24</v>
          </cell>
          <cell r="C133">
            <v>0.76</v>
          </cell>
        </row>
        <row r="134">
          <cell r="A134" t="str">
            <v>Brazil</v>
          </cell>
          <cell r="B134">
            <v>0.26</v>
          </cell>
          <cell r="C134">
            <v>0.74</v>
          </cell>
        </row>
        <row r="135">
          <cell r="A135" t="str">
            <v>Namibia</v>
          </cell>
        </row>
        <row r="136">
          <cell r="A136" t="str">
            <v>Haiti</v>
          </cell>
        </row>
        <row r="137">
          <cell r="A137" t="str">
            <v>Paraguay</v>
          </cell>
        </row>
        <row r="138">
          <cell r="A138" t="str">
            <v>Dominican Republic</v>
          </cell>
        </row>
        <row r="139">
          <cell r="A139" t="str">
            <v>Albania</v>
          </cell>
        </row>
        <row r="140">
          <cell r="A140" t="str">
            <v>RÃ©union</v>
          </cell>
        </row>
        <row r="141">
          <cell r="A141" t="str">
            <v>Panama</v>
          </cell>
        </row>
        <row r="142">
          <cell r="A142" t="str">
            <v>Trinidad &amp; Tobago</v>
          </cell>
        </row>
        <row r="143">
          <cell r="A143" t="str">
            <v>Kazakhstan</v>
          </cell>
        </row>
        <row r="144">
          <cell r="A144" t="str">
            <v>Montenegro</v>
          </cell>
        </row>
        <row r="145">
          <cell r="A145" t="str">
            <v>Brunei</v>
          </cell>
        </row>
        <row r="146">
          <cell r="A146" t="str">
            <v>Martinique</v>
          </cell>
        </row>
        <row r="147">
          <cell r="A147" t="str">
            <v>U.S. Virgin Islands</v>
          </cell>
        </row>
        <row r="148">
          <cell r="A148" t="str">
            <v>Guyana</v>
          </cell>
        </row>
        <row r="149">
          <cell r="A149" t="str">
            <v>Qatar</v>
          </cell>
        </row>
        <row r="150">
          <cell r="A150" t="str">
            <v>Indonesia</v>
          </cell>
          <cell r="B150">
            <v>0.27</v>
          </cell>
          <cell r="C150">
            <v>0.73</v>
          </cell>
        </row>
        <row r="151">
          <cell r="A151" t="str">
            <v>Burkina Faso</v>
          </cell>
        </row>
        <row r="152">
          <cell r="A152" t="str">
            <v>Papua New Guinea</v>
          </cell>
        </row>
        <row r="153">
          <cell r="A153" t="str">
            <v>Tajikistan</v>
          </cell>
        </row>
        <row r="154">
          <cell r="A154" t="str">
            <v>Kosovo</v>
          </cell>
        </row>
        <row r="155">
          <cell r="A155" t="str">
            <v>Chad</v>
          </cell>
        </row>
        <row r="156">
          <cell r="A156" t="str">
            <v>Niger</v>
          </cell>
        </row>
        <row r="157">
          <cell r="A157" t="str">
            <v>Mozambique</v>
          </cell>
        </row>
        <row r="158">
          <cell r="A158" t="str">
            <v>Afghanistan</v>
          </cell>
        </row>
        <row r="159">
          <cell r="A159" t="str">
            <v>Congo - Brazzaville</v>
          </cell>
        </row>
        <row r="160">
          <cell r="A160" t="str">
            <v>Ecuador</v>
          </cell>
        </row>
        <row r="161">
          <cell r="A161" t="str">
            <v>Suriname</v>
          </cell>
        </row>
        <row r="162">
          <cell r="A162" t="str">
            <v>Bahrain</v>
          </cell>
        </row>
        <row r="163">
          <cell r="A163" t="str">
            <v>Fiji</v>
          </cell>
        </row>
        <row r="164">
          <cell r="A164" t="str">
            <v>Tanzania</v>
          </cell>
        </row>
        <row r="165">
          <cell r="A165" t="str">
            <v>Bermuda</v>
          </cell>
        </row>
        <row r="166">
          <cell r="A166" t="str">
            <v>Guadeloupe</v>
          </cell>
        </row>
        <row r="167">
          <cell r="A167" t="str">
            <v>Somalia</v>
          </cell>
        </row>
        <row r="168">
          <cell r="A168" t="str">
            <v>Guinea</v>
          </cell>
        </row>
        <row r="169">
          <cell r="A169" t="str">
            <v>Puerto Rico</v>
          </cell>
        </row>
        <row r="170">
          <cell r="A170" t="str">
            <v>British Virgin Islands</v>
          </cell>
        </row>
        <row r="171">
          <cell r="A171" t="str">
            <v>Venezuela</v>
          </cell>
          <cell r="B171">
            <v>0.25</v>
          </cell>
          <cell r="C171">
            <v>0.75</v>
          </cell>
        </row>
        <row r="172">
          <cell r="A172" t="str">
            <v>Egypt</v>
          </cell>
          <cell r="B172">
            <v>0.25</v>
          </cell>
          <cell r="C172">
            <v>0.75</v>
          </cell>
        </row>
        <row r="173">
          <cell r="A173" t="str">
            <v>Palestine</v>
          </cell>
        </row>
        <row r="174">
          <cell r="A174" t="str">
            <v>Thailand</v>
          </cell>
          <cell r="B174">
            <v>0.23</v>
          </cell>
          <cell r="C174">
            <v>0.77</v>
          </cell>
        </row>
        <row r="175">
          <cell r="A175" t="str">
            <v>Syria</v>
          </cell>
        </row>
        <row r="176">
          <cell r="A176" t="str">
            <v>Grenada</v>
          </cell>
        </row>
        <row r="177">
          <cell r="A177" t="str">
            <v>Mauritania</v>
          </cell>
        </row>
        <row r="178">
          <cell r="A178" t="str">
            <v>Laos</v>
          </cell>
        </row>
        <row r="179">
          <cell r="A179" t="str">
            <v>Liberia</v>
          </cell>
        </row>
        <row r="180">
          <cell r="A180" t="str">
            <v>St. Vincent &amp; Grenadines</v>
          </cell>
        </row>
        <row r="181">
          <cell r="A181" t="str">
            <v>Guam</v>
          </cell>
        </row>
        <row r="182">
          <cell r="A182" t="str">
            <v>French Guiana</v>
          </cell>
        </row>
        <row r="183">
          <cell r="A183" t="str">
            <v>Angola</v>
          </cell>
        </row>
        <row r="184">
          <cell r="A184" t="str">
            <v>Antigua &amp; Barbuda</v>
          </cell>
        </row>
        <row r="185">
          <cell r="A185" t="str">
            <v>Bolivia</v>
          </cell>
          <cell r="B185">
            <v>0.28000000000000003</v>
          </cell>
          <cell r="C185">
            <v>0.72</v>
          </cell>
        </row>
        <row r="186">
          <cell r="A186" t="str">
            <v>St. Lucia</v>
          </cell>
        </row>
        <row r="187">
          <cell r="A187" t="str">
            <v>Oman</v>
          </cell>
        </row>
        <row r="188">
          <cell r="A188" t="str">
            <v>Bahamas</v>
          </cell>
        </row>
        <row r="189">
          <cell r="A189" t="str">
            <v>Djibouti</v>
          </cell>
        </row>
        <row r="190">
          <cell r="A190" t="str">
            <v>Mali</v>
          </cell>
        </row>
        <row r="191">
          <cell r="A191" t="str">
            <v>Sint Maarten</v>
          </cell>
        </row>
        <row r="192">
          <cell r="A192" t="str">
            <v>Gambia</v>
          </cell>
        </row>
        <row r="193">
          <cell r="A193" t="str">
            <v>Aruba</v>
          </cell>
        </row>
        <row r="194">
          <cell r="A194" t="str">
            <v>Kuwait</v>
          </cell>
        </row>
        <row r="195">
          <cell r="A195" t="str">
            <v>Turkey</v>
          </cell>
          <cell r="B195">
            <v>0.26</v>
          </cell>
          <cell r="C195">
            <v>0.74</v>
          </cell>
        </row>
        <row r="196">
          <cell r="A196" t="str">
            <v>Azerbaijan</v>
          </cell>
        </row>
        <row r="197">
          <cell r="A197" t="str">
            <v>Turkmenistan</v>
          </cell>
        </row>
        <row r="198">
          <cell r="A198" t="str">
            <v>Sierra Leone</v>
          </cell>
        </row>
        <row r="199">
          <cell r="A199" t="str">
            <v>Algeria</v>
          </cell>
        </row>
        <row r="200">
          <cell r="A200" t="str">
            <v>Sudan</v>
          </cell>
        </row>
        <row r="201">
          <cell r="A201" t="str">
            <v>Caribbean Netherlands</v>
          </cell>
        </row>
        <row r="202">
          <cell r="A202" t="str">
            <v>Timor-Leste</v>
          </cell>
        </row>
        <row r="203">
          <cell r="A203" t="str">
            <v>Saudi Arabia</v>
          </cell>
          <cell r="B203">
            <v>0.37</v>
          </cell>
          <cell r="C203">
            <v>0.63</v>
          </cell>
        </row>
        <row r="204">
          <cell r="A204" t="str">
            <v>Yemen</v>
          </cell>
        </row>
        <row r="205">
          <cell r="A205" t="str">
            <v>Libya</v>
          </cell>
        </row>
        <row r="206">
          <cell r="A206" t="str">
            <v>Iraq</v>
          </cell>
        </row>
        <row r="207">
          <cell r="A207" t="str">
            <v>Tuvalu</v>
          </cell>
        </row>
        <row r="208">
          <cell r="A208" t="str">
            <v>Palau</v>
          </cell>
        </row>
        <row r="209">
          <cell r="A209" t="str">
            <v>Kiribati</v>
          </cell>
        </row>
        <row r="210">
          <cell r="A210" t="str">
            <v>Svalbard &amp; Jan Mayen</v>
          </cell>
        </row>
        <row r="211">
          <cell r="A211" t="str">
            <v>Montserrat</v>
          </cell>
        </row>
        <row r="212">
          <cell r="A212" t="str">
            <v>Eritrea</v>
          </cell>
        </row>
        <row r="213">
          <cell r="A213" t="str">
            <v>Tonga</v>
          </cell>
        </row>
        <row r="214">
          <cell r="A214" t="str">
            <v>Micronesia</v>
          </cell>
        </row>
        <row r="215">
          <cell r="A215" t="str">
            <v>Northern Mariana Islands</v>
          </cell>
        </row>
        <row r="216">
          <cell r="A216" t="str">
            <v>Marshall Islands</v>
          </cell>
        </row>
        <row r="217">
          <cell r="A217" t="str">
            <v>Dominica</v>
          </cell>
        </row>
        <row r="218">
          <cell r="A218" t="str">
            <v>St. Kitts &amp; Nevis</v>
          </cell>
        </row>
        <row r="219">
          <cell r="A219" t="str">
            <v>Seychelles</v>
          </cell>
        </row>
        <row r="220">
          <cell r="A220" t="str">
            <v>SÃ£o TomÃ© &amp; PrÃ­ncipe</v>
          </cell>
        </row>
        <row r="221">
          <cell r="A221" t="str">
            <v>Turks &amp; Caicos Islands</v>
          </cell>
        </row>
        <row r="222">
          <cell r="A222" t="str">
            <v>Vanuatu</v>
          </cell>
        </row>
        <row r="223">
          <cell r="A223" t="str">
            <v>Greenland</v>
          </cell>
        </row>
        <row r="224">
          <cell r="A224" t="str">
            <v>St. BarthÃ©lemy</v>
          </cell>
        </row>
        <row r="225">
          <cell r="A225" t="str">
            <v>Mayotte</v>
          </cell>
        </row>
        <row r="226">
          <cell r="A226" t="str">
            <v>Guinea-Bissau</v>
          </cell>
        </row>
        <row r="227">
          <cell r="A227" t="str">
            <v>Solomon Islands</v>
          </cell>
        </row>
        <row r="228">
          <cell r="A228" t="str">
            <v>Anguilla</v>
          </cell>
        </row>
        <row r="229">
          <cell r="A229" t="str">
            <v>Samoa</v>
          </cell>
        </row>
        <row r="230">
          <cell r="A230" t="str">
            <v>Comoros</v>
          </cell>
        </row>
        <row r="231">
          <cell r="A231" t="str">
            <v>St. Martin</v>
          </cell>
        </row>
        <row r="232">
          <cell r="A232" t="str">
            <v>South Sudan</v>
          </cell>
        </row>
        <row r="233">
          <cell r="A233" t="str">
            <v>Equatorial Guinea</v>
          </cell>
        </row>
        <row r="234">
          <cell r="A234" t="str">
            <v>American Samoa</v>
          </cell>
        </row>
        <row r="235">
          <cell r="A235" t="str">
            <v>Antarctica</v>
          </cell>
        </row>
        <row r="236">
          <cell r="A236" t="str">
            <v>French Southern Territories</v>
          </cell>
        </row>
        <row r="237">
          <cell r="A237" t="str">
            <v>Bouvet Island</v>
          </cell>
        </row>
        <row r="238">
          <cell r="A238" t="str">
            <v>Central African Republic</v>
          </cell>
        </row>
        <row r="239">
          <cell r="A239" t="str">
            <v>Cocos (Keeling) Islands</v>
          </cell>
        </row>
        <row r="240">
          <cell r="A240" t="str">
            <v>Cook Islands</v>
          </cell>
        </row>
        <row r="241">
          <cell r="A241" t="str">
            <v>Christmas Island</v>
          </cell>
        </row>
        <row r="242">
          <cell r="A242" t="str">
            <v>Falkland Islands (Islas Malvinas)</v>
          </cell>
        </row>
        <row r="243">
          <cell r="A243" t="str">
            <v>Heard &amp; McDonald Islands</v>
          </cell>
        </row>
        <row r="244">
          <cell r="A244" t="str">
            <v>Norfolk Island</v>
          </cell>
        </row>
        <row r="245">
          <cell r="A245" t="str">
            <v>Niue</v>
          </cell>
        </row>
        <row r="246">
          <cell r="A246" t="str">
            <v>Nauru</v>
          </cell>
        </row>
        <row r="247">
          <cell r="A247" t="str">
            <v>Pitcairn Islands</v>
          </cell>
        </row>
        <row r="248">
          <cell r="A248" t="str">
            <v>South Georgia &amp; South Sandwich Islands</v>
          </cell>
        </row>
        <row r="249">
          <cell r="A249" t="str">
            <v>St. Pierre &amp; Miquelon</v>
          </cell>
        </row>
        <row r="250">
          <cell r="A250" t="str">
            <v>Tokelau</v>
          </cell>
        </row>
        <row r="251">
          <cell r="A251" t="str">
            <v>U.S. Outlying Islands</v>
          </cell>
        </row>
        <row r="252">
          <cell r="A252" t="str">
            <v>Vatican City</v>
          </cell>
        </row>
        <row r="253">
          <cell r="A253" t="str">
            <v>Wallis &amp; Futuna</v>
          </cell>
        </row>
      </sheetData>
    </sheetDataSet>
  </externalBook>
</externalLink>
</file>

<file path=xl/externalLinks/externalLink2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3)"/>
    </sheetNames>
    <sheetDataSet>
      <sheetData sheetId="0">
        <row r="1">
          <cell r="A1" t="str">
            <v>Kategori: TÃ¼m kategoriler</v>
          </cell>
        </row>
        <row r="3">
          <cell r="A3" t="str">
            <v>Ãœlke</v>
          </cell>
          <cell r="B3" t="str">
            <v>JavaScript: (2014)</v>
          </cell>
          <cell r="C3" t="str">
            <v>SQL: (2014)</v>
          </cell>
        </row>
        <row r="4">
          <cell r="A4" t="str">
            <v>British Indian Ocean Territory</v>
          </cell>
        </row>
        <row r="5">
          <cell r="A5" t="str">
            <v>Western Sahara</v>
          </cell>
        </row>
        <row r="6">
          <cell r="A6" t="str">
            <v>North Korea</v>
          </cell>
        </row>
        <row r="7">
          <cell r="A7" t="str">
            <v>Cuba</v>
          </cell>
        </row>
        <row r="8">
          <cell r="A8" t="str">
            <v>China</v>
          </cell>
          <cell r="B8">
            <v>0.67</v>
          </cell>
          <cell r="C8">
            <v>0.33</v>
          </cell>
        </row>
        <row r="9">
          <cell r="A9" t="str">
            <v>India</v>
          </cell>
          <cell r="B9">
            <v>0.43</v>
          </cell>
          <cell r="C9">
            <v>0.56999999999999995</v>
          </cell>
        </row>
        <row r="10">
          <cell r="A10" t="str">
            <v>South Korea</v>
          </cell>
          <cell r="B10">
            <v>0.71</v>
          </cell>
          <cell r="C10">
            <v>0.28999999999999998</v>
          </cell>
        </row>
        <row r="11">
          <cell r="A11" t="str">
            <v>St. Helena</v>
          </cell>
        </row>
        <row r="12">
          <cell r="A12" t="str">
            <v>Liechtenstein</v>
          </cell>
        </row>
        <row r="13">
          <cell r="A13" t="str">
            <v>Sri Lanka</v>
          </cell>
          <cell r="B13">
            <v>0.46</v>
          </cell>
          <cell r="C13">
            <v>0.54</v>
          </cell>
        </row>
        <row r="14">
          <cell r="A14" t="str">
            <v>Nepal</v>
          </cell>
        </row>
        <row r="15">
          <cell r="A15" t="str">
            <v>Iceland</v>
          </cell>
        </row>
        <row r="16">
          <cell r="A16" t="str">
            <v>Madagascar</v>
          </cell>
        </row>
        <row r="17">
          <cell r="A17" t="str">
            <v>Botswana</v>
          </cell>
        </row>
        <row r="18">
          <cell r="A18" t="str">
            <v>Singapore</v>
          </cell>
          <cell r="B18">
            <v>0.42</v>
          </cell>
          <cell r="C18">
            <v>0.57999999999999996</v>
          </cell>
        </row>
        <row r="19">
          <cell r="A19" t="str">
            <v>Somalia</v>
          </cell>
        </row>
        <row r="20">
          <cell r="A20" t="str">
            <v>Vanuatu</v>
          </cell>
        </row>
        <row r="21">
          <cell r="A21" t="str">
            <v>Belarus</v>
          </cell>
          <cell r="B21">
            <v>0.62</v>
          </cell>
          <cell r="C21">
            <v>0.38</v>
          </cell>
        </row>
        <row r="22">
          <cell r="A22" t="str">
            <v>Luxembourg</v>
          </cell>
        </row>
        <row r="23">
          <cell r="A23" t="str">
            <v>Hong Kong</v>
          </cell>
          <cell r="B23">
            <v>0.48</v>
          </cell>
          <cell r="C23">
            <v>0.52</v>
          </cell>
        </row>
        <row r="24">
          <cell r="A24" t="str">
            <v>Gibraltar</v>
          </cell>
        </row>
        <row r="25">
          <cell r="A25" t="str">
            <v>Nicaragua</v>
          </cell>
        </row>
        <row r="26">
          <cell r="A26" t="str">
            <v>Israel</v>
          </cell>
          <cell r="B26">
            <v>0.55000000000000004</v>
          </cell>
          <cell r="C26">
            <v>0.45</v>
          </cell>
        </row>
        <row r="27">
          <cell r="A27" t="str">
            <v>Armenia</v>
          </cell>
        </row>
        <row r="28">
          <cell r="A28" t="str">
            <v>Isle of Man</v>
          </cell>
        </row>
        <row r="29">
          <cell r="A29" t="str">
            <v>Bermuda</v>
          </cell>
        </row>
        <row r="30">
          <cell r="A30" t="str">
            <v>Costa Rica</v>
          </cell>
          <cell r="B30">
            <v>0.4</v>
          </cell>
          <cell r="C30">
            <v>0.6</v>
          </cell>
        </row>
        <row r="31">
          <cell r="A31" t="str">
            <v>Cape Verde</v>
          </cell>
        </row>
        <row r="32">
          <cell r="A32" t="str">
            <v>Malta</v>
          </cell>
        </row>
        <row r="33">
          <cell r="A33" t="str">
            <v>Estonia</v>
          </cell>
        </row>
        <row r="34">
          <cell r="A34" t="str">
            <v>Ethiopia</v>
          </cell>
        </row>
        <row r="35">
          <cell r="A35" t="str">
            <v>Rwanda</v>
          </cell>
        </row>
        <row r="36">
          <cell r="A36" t="str">
            <v>El Salvador</v>
          </cell>
        </row>
        <row r="37">
          <cell r="A37" t="str">
            <v>Cameroon</v>
          </cell>
        </row>
        <row r="38">
          <cell r="A38" t="str">
            <v>Mauritius</v>
          </cell>
        </row>
        <row r="39">
          <cell r="A39" t="str">
            <v>Honduras</v>
          </cell>
        </row>
        <row r="40">
          <cell r="A40" t="str">
            <v>Macao</v>
          </cell>
        </row>
        <row r="41">
          <cell r="A41" t="str">
            <v>Czechia</v>
          </cell>
          <cell r="B41">
            <v>0.53</v>
          </cell>
          <cell r="C41">
            <v>0.47</v>
          </cell>
        </row>
        <row r="42">
          <cell r="A42" t="str">
            <v>Monaco</v>
          </cell>
        </row>
        <row r="43">
          <cell r="A43" t="str">
            <v>South Africa</v>
          </cell>
          <cell r="B43">
            <v>0.36</v>
          </cell>
          <cell r="C43">
            <v>0.64</v>
          </cell>
        </row>
        <row r="44">
          <cell r="A44" t="str">
            <v>Ukraine</v>
          </cell>
          <cell r="B44">
            <v>0.67</v>
          </cell>
          <cell r="C44">
            <v>0.33</v>
          </cell>
        </row>
        <row r="45">
          <cell r="A45" t="str">
            <v>Burundi</v>
          </cell>
        </row>
        <row r="46">
          <cell r="A46" t="str">
            <v>Togo</v>
          </cell>
        </row>
        <row r="47">
          <cell r="A47" t="str">
            <v>Cayman Islands</v>
          </cell>
        </row>
        <row r="48">
          <cell r="A48" t="str">
            <v>New Zealand</v>
          </cell>
          <cell r="B48">
            <v>0.46</v>
          </cell>
          <cell r="C48">
            <v>0.54</v>
          </cell>
        </row>
        <row r="49">
          <cell r="A49" t="str">
            <v>Bangladesh</v>
          </cell>
          <cell r="B49">
            <v>0.57999999999999996</v>
          </cell>
          <cell r="C49">
            <v>0.42</v>
          </cell>
        </row>
        <row r="50">
          <cell r="A50" t="str">
            <v>Tunisia</v>
          </cell>
          <cell r="B50">
            <v>0.46</v>
          </cell>
          <cell r="C50">
            <v>0.54</v>
          </cell>
        </row>
        <row r="51">
          <cell r="A51" t="str">
            <v>Taiwan</v>
          </cell>
          <cell r="B51">
            <v>0.49</v>
          </cell>
          <cell r="C51">
            <v>0.51</v>
          </cell>
        </row>
        <row r="52">
          <cell r="A52" t="str">
            <v>Central African Republic</v>
          </cell>
        </row>
        <row r="53">
          <cell r="A53" t="str">
            <v>Latvia</v>
          </cell>
        </row>
        <row r="54">
          <cell r="A54" t="str">
            <v>Lebanon</v>
          </cell>
        </row>
        <row r="55">
          <cell r="A55" t="str">
            <v>Lesotho</v>
          </cell>
        </row>
        <row r="56">
          <cell r="A56" t="str">
            <v>Jersey</v>
          </cell>
        </row>
        <row r="57">
          <cell r="A57" t="str">
            <v>Eswatini</v>
          </cell>
        </row>
        <row r="58">
          <cell r="A58" t="str">
            <v>Switzerland</v>
          </cell>
          <cell r="B58">
            <v>0.49</v>
          </cell>
          <cell r="C58">
            <v>0.51</v>
          </cell>
        </row>
        <row r="59">
          <cell r="A59" t="str">
            <v>Bulgaria</v>
          </cell>
          <cell r="B59">
            <v>0.65</v>
          </cell>
          <cell r="C59">
            <v>0.35</v>
          </cell>
        </row>
        <row r="60">
          <cell r="A60" t="str">
            <v>Sweden</v>
          </cell>
          <cell r="B60">
            <v>0.56000000000000005</v>
          </cell>
          <cell r="C60">
            <v>0.44</v>
          </cell>
        </row>
        <row r="61">
          <cell r="A61" t="str">
            <v>North Macedonia</v>
          </cell>
        </row>
        <row r="62">
          <cell r="A62" t="str">
            <v>Finland</v>
          </cell>
          <cell r="B62">
            <v>0.62</v>
          </cell>
          <cell r="C62">
            <v>0.38</v>
          </cell>
        </row>
        <row r="63">
          <cell r="A63" t="str">
            <v>Pakistan</v>
          </cell>
          <cell r="B63">
            <v>0.48</v>
          </cell>
          <cell r="C63">
            <v>0.52</v>
          </cell>
        </row>
        <row r="64">
          <cell r="A64" t="str">
            <v>United States</v>
          </cell>
          <cell r="B64">
            <v>0.45</v>
          </cell>
          <cell r="C64">
            <v>0.55000000000000004</v>
          </cell>
        </row>
        <row r="65">
          <cell r="A65" t="str">
            <v>Portugal</v>
          </cell>
          <cell r="B65">
            <v>0.47</v>
          </cell>
          <cell r="C65">
            <v>0.53</v>
          </cell>
        </row>
        <row r="66">
          <cell r="A66" t="str">
            <v>Peru</v>
          </cell>
          <cell r="B66">
            <v>0.3</v>
          </cell>
          <cell r="C66">
            <v>0.7</v>
          </cell>
        </row>
        <row r="67">
          <cell r="A67" t="str">
            <v>Philippines</v>
          </cell>
          <cell r="B67">
            <v>0.49</v>
          </cell>
          <cell r="C67">
            <v>0.51</v>
          </cell>
        </row>
        <row r="68">
          <cell r="A68" t="str">
            <v>Benin</v>
          </cell>
        </row>
        <row r="69">
          <cell r="A69" t="str">
            <v>Cambodia</v>
          </cell>
        </row>
        <row r="70">
          <cell r="A70" t="str">
            <v>Moldova</v>
          </cell>
        </row>
        <row r="71">
          <cell r="A71" t="str">
            <v>Guatemala</v>
          </cell>
        </row>
        <row r="72">
          <cell r="A72" t="str">
            <v>Bhutan</v>
          </cell>
        </row>
        <row r="73">
          <cell r="A73" t="str">
            <v>CÃ´te dâ€™Ivoire</v>
          </cell>
        </row>
        <row r="74">
          <cell r="A74" t="str">
            <v>Myanmar (Burma)</v>
          </cell>
        </row>
        <row r="75">
          <cell r="A75" t="str">
            <v>Iran</v>
          </cell>
          <cell r="B75">
            <v>0.37</v>
          </cell>
          <cell r="C75">
            <v>0.63</v>
          </cell>
        </row>
        <row r="76">
          <cell r="A76" t="str">
            <v>Denmark</v>
          </cell>
          <cell r="B76">
            <v>0.51</v>
          </cell>
          <cell r="C76">
            <v>0.49</v>
          </cell>
        </row>
        <row r="77">
          <cell r="A77" t="str">
            <v>Angola</v>
          </cell>
        </row>
        <row r="78">
          <cell r="A78" t="str">
            <v>Slovenia</v>
          </cell>
          <cell r="B78">
            <v>0.53</v>
          </cell>
          <cell r="C78">
            <v>0.47</v>
          </cell>
        </row>
        <row r="79">
          <cell r="A79" t="str">
            <v>Australia</v>
          </cell>
          <cell r="B79">
            <v>0.45</v>
          </cell>
          <cell r="C79">
            <v>0.55000000000000004</v>
          </cell>
        </row>
        <row r="80">
          <cell r="A80" t="str">
            <v>Djibouti</v>
          </cell>
        </row>
        <row r="81">
          <cell r="A81" t="str">
            <v>Russia</v>
          </cell>
          <cell r="B81">
            <v>0.56000000000000005</v>
          </cell>
          <cell r="C81">
            <v>0.44</v>
          </cell>
        </row>
        <row r="82">
          <cell r="A82" t="str">
            <v>CuraÃ§ao</v>
          </cell>
        </row>
        <row r="83">
          <cell r="A83" t="str">
            <v>Netherlands</v>
          </cell>
          <cell r="B83">
            <v>0.53</v>
          </cell>
          <cell r="C83">
            <v>0.47</v>
          </cell>
        </row>
        <row r="84">
          <cell r="A84" t="str">
            <v>Canada</v>
          </cell>
          <cell r="B84">
            <v>0.51</v>
          </cell>
          <cell r="C84">
            <v>0.49</v>
          </cell>
        </row>
        <row r="85">
          <cell r="A85" t="str">
            <v>Congo - Kinshasa</v>
          </cell>
        </row>
        <row r="86">
          <cell r="A86" t="str">
            <v>Norway</v>
          </cell>
          <cell r="B86">
            <v>0.53</v>
          </cell>
          <cell r="C86">
            <v>0.47</v>
          </cell>
        </row>
        <row r="87">
          <cell r="A87" t="str">
            <v>Belgium</v>
          </cell>
          <cell r="B87">
            <v>0.49</v>
          </cell>
          <cell r="C87">
            <v>0.51</v>
          </cell>
        </row>
        <row r="88">
          <cell r="A88" t="str">
            <v>United Arab Emirates</v>
          </cell>
          <cell r="B88">
            <v>0.35</v>
          </cell>
          <cell r="C88">
            <v>0.65</v>
          </cell>
        </row>
        <row r="89">
          <cell r="A89" t="str">
            <v>Faroe Islands</v>
          </cell>
        </row>
        <row r="90">
          <cell r="A90" t="str">
            <v>Ã…land Islands</v>
          </cell>
        </row>
        <row r="91">
          <cell r="A91" t="str">
            <v>United Kingdom</v>
          </cell>
          <cell r="B91">
            <v>0.45</v>
          </cell>
          <cell r="C91">
            <v>0.55000000000000004</v>
          </cell>
        </row>
        <row r="92">
          <cell r="A92" t="str">
            <v>Jamaica</v>
          </cell>
        </row>
        <row r="93">
          <cell r="A93" t="str">
            <v>Romania</v>
          </cell>
          <cell r="B93">
            <v>0.56000000000000005</v>
          </cell>
          <cell r="C93">
            <v>0.44</v>
          </cell>
        </row>
        <row r="94">
          <cell r="A94" t="str">
            <v>Austria</v>
          </cell>
          <cell r="B94">
            <v>0.52</v>
          </cell>
          <cell r="C94">
            <v>0.48</v>
          </cell>
        </row>
        <row r="95">
          <cell r="A95" t="str">
            <v>Maldives</v>
          </cell>
        </row>
        <row r="96">
          <cell r="A96" t="str">
            <v>Fiji</v>
          </cell>
        </row>
        <row r="97">
          <cell r="A97" t="str">
            <v>Japan</v>
          </cell>
          <cell r="B97">
            <v>0.5</v>
          </cell>
          <cell r="C97">
            <v>0.5</v>
          </cell>
        </row>
        <row r="98">
          <cell r="A98" t="str">
            <v>Kenya</v>
          </cell>
          <cell r="B98">
            <v>0.49</v>
          </cell>
          <cell r="C98">
            <v>0.51</v>
          </cell>
        </row>
        <row r="99">
          <cell r="A99" t="str">
            <v>Dominican Republic</v>
          </cell>
        </row>
        <row r="100">
          <cell r="A100" t="str">
            <v>Germany</v>
          </cell>
          <cell r="B100">
            <v>0.53</v>
          </cell>
          <cell r="C100">
            <v>0.47</v>
          </cell>
        </row>
        <row r="101">
          <cell r="A101" t="str">
            <v>Ecuador</v>
          </cell>
          <cell r="B101">
            <v>0.31</v>
          </cell>
          <cell r="C101">
            <v>0.69</v>
          </cell>
        </row>
        <row r="102">
          <cell r="A102" t="str">
            <v>Ghana</v>
          </cell>
        </row>
        <row r="103">
          <cell r="A103" t="str">
            <v>Mongolia</v>
          </cell>
        </row>
        <row r="104">
          <cell r="A104" t="str">
            <v>Ireland</v>
          </cell>
          <cell r="B104">
            <v>0.49</v>
          </cell>
          <cell r="C104">
            <v>0.51</v>
          </cell>
        </row>
        <row r="105">
          <cell r="A105" t="str">
            <v>Uzbekistan</v>
          </cell>
        </row>
        <row r="106">
          <cell r="A106" t="str">
            <v>Hungary</v>
          </cell>
          <cell r="B106">
            <v>0.57999999999999996</v>
          </cell>
          <cell r="C106">
            <v>0.42</v>
          </cell>
        </row>
        <row r="107">
          <cell r="A107" t="str">
            <v>Bahrain</v>
          </cell>
        </row>
        <row r="108">
          <cell r="A108" t="str">
            <v>Afghanistan</v>
          </cell>
        </row>
        <row r="109">
          <cell r="A109" t="str">
            <v>Lithuania</v>
          </cell>
          <cell r="B109">
            <v>0.54</v>
          </cell>
          <cell r="C109">
            <v>0.46</v>
          </cell>
        </row>
        <row r="110">
          <cell r="A110" t="str">
            <v>Panama</v>
          </cell>
        </row>
        <row r="111">
          <cell r="A111" t="str">
            <v>Namibia</v>
          </cell>
        </row>
        <row r="112">
          <cell r="A112" t="str">
            <v>Guernsey</v>
          </cell>
        </row>
        <row r="113">
          <cell r="A113" t="str">
            <v>Chile</v>
          </cell>
          <cell r="B113">
            <v>0.37</v>
          </cell>
          <cell r="C113">
            <v>0.63</v>
          </cell>
        </row>
        <row r="114">
          <cell r="A114" t="str">
            <v>Zimbabwe</v>
          </cell>
        </row>
        <row r="115">
          <cell r="A115" t="str">
            <v>Malawi</v>
          </cell>
        </row>
        <row r="116">
          <cell r="A116" t="str">
            <v>Paraguay</v>
          </cell>
        </row>
        <row r="117">
          <cell r="A117" t="str">
            <v>Andorra</v>
          </cell>
        </row>
        <row r="118">
          <cell r="A118" t="str">
            <v>Laos</v>
          </cell>
        </row>
        <row r="119">
          <cell r="A119" t="str">
            <v>Mexico</v>
          </cell>
          <cell r="B119">
            <v>0.37</v>
          </cell>
          <cell r="C119">
            <v>0.63</v>
          </cell>
        </row>
        <row r="120">
          <cell r="A120" t="str">
            <v>Slovakia</v>
          </cell>
          <cell r="B120">
            <v>0.54</v>
          </cell>
          <cell r="C120">
            <v>0.46</v>
          </cell>
        </row>
        <row r="121">
          <cell r="A121" t="str">
            <v>Seychelles</v>
          </cell>
        </row>
        <row r="122">
          <cell r="A122" t="str">
            <v>San Marino</v>
          </cell>
        </row>
        <row r="123">
          <cell r="A123" t="str">
            <v>Serbia</v>
          </cell>
          <cell r="B123">
            <v>0.56999999999999995</v>
          </cell>
          <cell r="C123">
            <v>0.43</v>
          </cell>
        </row>
        <row r="124">
          <cell r="A124" t="str">
            <v>Uganda</v>
          </cell>
        </row>
        <row r="125">
          <cell r="A125" t="str">
            <v>Colombia</v>
          </cell>
          <cell r="B125">
            <v>0.4</v>
          </cell>
          <cell r="C125">
            <v>0.6</v>
          </cell>
        </row>
        <row r="126">
          <cell r="A126" t="str">
            <v>Malaysia</v>
          </cell>
          <cell r="B126">
            <v>0.41</v>
          </cell>
          <cell r="C126">
            <v>0.59</v>
          </cell>
        </row>
        <row r="127">
          <cell r="A127" t="str">
            <v>Oman</v>
          </cell>
        </row>
        <row r="128">
          <cell r="A128" t="str">
            <v>Papua New Guinea</v>
          </cell>
        </row>
        <row r="129">
          <cell r="A129" t="str">
            <v>Spain</v>
          </cell>
          <cell r="B129">
            <v>0.56999999999999995</v>
          </cell>
          <cell r="C129">
            <v>0.43</v>
          </cell>
        </row>
        <row r="130">
          <cell r="A130" t="str">
            <v>Morocco</v>
          </cell>
          <cell r="B130">
            <v>0.42</v>
          </cell>
          <cell r="C130">
            <v>0.57999999999999996</v>
          </cell>
        </row>
        <row r="131">
          <cell r="A131" t="str">
            <v>Uruguay</v>
          </cell>
        </row>
        <row r="132">
          <cell r="A132" t="str">
            <v>Cyprus</v>
          </cell>
        </row>
        <row r="133">
          <cell r="A133" t="str">
            <v>Poland</v>
          </cell>
          <cell r="B133">
            <v>0.51</v>
          </cell>
          <cell r="C133">
            <v>0.49</v>
          </cell>
        </row>
        <row r="134">
          <cell r="A134" t="str">
            <v>France</v>
          </cell>
          <cell r="B134">
            <v>0.55000000000000004</v>
          </cell>
          <cell r="C134">
            <v>0.45</v>
          </cell>
        </row>
        <row r="135">
          <cell r="A135" t="str">
            <v>Congo - Brazzaville</v>
          </cell>
        </row>
        <row r="136">
          <cell r="A136" t="str">
            <v>Senegal</v>
          </cell>
        </row>
        <row r="137">
          <cell r="A137" t="str">
            <v>Gabon</v>
          </cell>
        </row>
        <row r="138">
          <cell r="A138" t="str">
            <v>Mozambique</v>
          </cell>
        </row>
        <row r="139">
          <cell r="A139" t="str">
            <v>New Caledonia</v>
          </cell>
        </row>
        <row r="140">
          <cell r="A140" t="str">
            <v>Qatar</v>
          </cell>
        </row>
        <row r="141">
          <cell r="A141" t="str">
            <v>Gambia</v>
          </cell>
        </row>
        <row r="142">
          <cell r="A142" t="str">
            <v>Zambia</v>
          </cell>
        </row>
        <row r="143">
          <cell r="A143" t="str">
            <v>Jordan</v>
          </cell>
        </row>
        <row r="144">
          <cell r="A144" t="str">
            <v>Guyana</v>
          </cell>
        </row>
        <row r="145">
          <cell r="A145" t="str">
            <v>Vietnam</v>
          </cell>
          <cell r="B145">
            <v>0.43</v>
          </cell>
          <cell r="C145">
            <v>0.56999999999999995</v>
          </cell>
        </row>
        <row r="146">
          <cell r="A146" t="str">
            <v>Albania</v>
          </cell>
        </row>
        <row r="147">
          <cell r="A147" t="str">
            <v>Trinidad &amp; Tobago</v>
          </cell>
        </row>
        <row r="148">
          <cell r="A148" t="str">
            <v>Croatia</v>
          </cell>
          <cell r="B148">
            <v>0.49</v>
          </cell>
          <cell r="C148">
            <v>0.51</v>
          </cell>
        </row>
        <row r="149">
          <cell r="A149" t="str">
            <v>Haiti</v>
          </cell>
        </row>
        <row r="150">
          <cell r="A150" t="str">
            <v>Georgia</v>
          </cell>
        </row>
        <row r="151">
          <cell r="A151" t="str">
            <v>Kuwait</v>
          </cell>
        </row>
        <row r="152">
          <cell r="A152" t="str">
            <v>Liberia</v>
          </cell>
        </row>
        <row r="153">
          <cell r="A153" t="str">
            <v>Belize</v>
          </cell>
        </row>
        <row r="154">
          <cell r="A154" t="str">
            <v>Greenland</v>
          </cell>
        </row>
        <row r="155">
          <cell r="A155" t="str">
            <v>Chad</v>
          </cell>
        </row>
        <row r="156">
          <cell r="A156" t="str">
            <v>Kyrgyzstan</v>
          </cell>
        </row>
        <row r="157">
          <cell r="A157" t="str">
            <v>Puerto Rico</v>
          </cell>
        </row>
        <row r="158">
          <cell r="A158" t="str">
            <v>Niger</v>
          </cell>
        </row>
        <row r="159">
          <cell r="A159" t="str">
            <v>Brazil</v>
          </cell>
          <cell r="B159">
            <v>0.45</v>
          </cell>
          <cell r="C159">
            <v>0.55000000000000004</v>
          </cell>
        </row>
        <row r="160">
          <cell r="A160" t="str">
            <v>Barbados</v>
          </cell>
        </row>
        <row r="161">
          <cell r="A161" t="str">
            <v>Burkina Faso</v>
          </cell>
        </row>
        <row r="162">
          <cell r="A162" t="str">
            <v>Italy</v>
          </cell>
          <cell r="B162">
            <v>0.53</v>
          </cell>
          <cell r="C162">
            <v>0.47</v>
          </cell>
        </row>
        <row r="163">
          <cell r="A163" t="str">
            <v>Aruba</v>
          </cell>
        </row>
        <row r="164">
          <cell r="A164" t="str">
            <v>Syria</v>
          </cell>
        </row>
        <row r="165">
          <cell r="A165" t="str">
            <v>Greece</v>
          </cell>
          <cell r="B165">
            <v>0.52</v>
          </cell>
          <cell r="C165">
            <v>0.48</v>
          </cell>
        </row>
        <row r="166">
          <cell r="A166" t="str">
            <v>Sudan</v>
          </cell>
        </row>
        <row r="167">
          <cell r="A167" t="str">
            <v>Suriname</v>
          </cell>
        </row>
        <row r="168">
          <cell r="A168" t="str">
            <v>Argentina</v>
          </cell>
          <cell r="B168">
            <v>0.49</v>
          </cell>
          <cell r="C168">
            <v>0.51</v>
          </cell>
        </row>
        <row r="169">
          <cell r="A169" t="str">
            <v>Kosovo</v>
          </cell>
        </row>
        <row r="170">
          <cell r="A170" t="str">
            <v>Nigeria</v>
          </cell>
          <cell r="B170">
            <v>0.51</v>
          </cell>
          <cell r="C170">
            <v>0.49</v>
          </cell>
        </row>
        <row r="171">
          <cell r="A171" t="str">
            <v>Bosnia &amp; Herzegovina</v>
          </cell>
        </row>
        <row r="172">
          <cell r="A172" t="str">
            <v>Thailand</v>
          </cell>
          <cell r="B172">
            <v>0.4</v>
          </cell>
          <cell r="C172">
            <v>0.6</v>
          </cell>
        </row>
        <row r="173">
          <cell r="A173" t="str">
            <v>Egypt</v>
          </cell>
          <cell r="B173">
            <v>0.42</v>
          </cell>
          <cell r="C173">
            <v>0.57999999999999996</v>
          </cell>
        </row>
        <row r="174">
          <cell r="A174" t="str">
            <v>Palestine</v>
          </cell>
        </row>
        <row r="175">
          <cell r="A175" t="str">
            <v>RÃ©union</v>
          </cell>
        </row>
        <row r="176">
          <cell r="A176" t="str">
            <v>French Polynesia</v>
          </cell>
        </row>
        <row r="177">
          <cell r="A177" t="str">
            <v>Sierra Leone</v>
          </cell>
        </row>
        <row r="178">
          <cell r="A178" t="str">
            <v>Kazakhstan</v>
          </cell>
          <cell r="B178">
            <v>0.51</v>
          </cell>
          <cell r="C178">
            <v>0.49</v>
          </cell>
        </row>
        <row r="179">
          <cell r="A179" t="str">
            <v>Tanzania</v>
          </cell>
        </row>
        <row r="180">
          <cell r="A180" t="str">
            <v>Indonesia</v>
          </cell>
          <cell r="B180">
            <v>0.49</v>
          </cell>
          <cell r="C180">
            <v>0.51</v>
          </cell>
        </row>
        <row r="181">
          <cell r="A181" t="str">
            <v>Brunei</v>
          </cell>
        </row>
        <row r="182">
          <cell r="A182" t="str">
            <v>Bolivia</v>
          </cell>
          <cell r="B182">
            <v>0.41</v>
          </cell>
          <cell r="C182">
            <v>0.59</v>
          </cell>
        </row>
        <row r="183">
          <cell r="A183" t="str">
            <v>Yemen</v>
          </cell>
        </row>
        <row r="184">
          <cell r="A184" t="str">
            <v>Tajikistan</v>
          </cell>
        </row>
        <row r="185">
          <cell r="A185" t="str">
            <v>St. Vincent &amp; Grenadines</v>
          </cell>
        </row>
        <row r="186">
          <cell r="A186" t="str">
            <v>Martinique</v>
          </cell>
        </row>
        <row r="187">
          <cell r="A187" t="str">
            <v>Montenegro</v>
          </cell>
        </row>
        <row r="188">
          <cell r="A188" t="str">
            <v>Grenada</v>
          </cell>
        </row>
        <row r="189">
          <cell r="A189" t="str">
            <v>Turkey</v>
          </cell>
          <cell r="B189">
            <v>0.38</v>
          </cell>
          <cell r="C189">
            <v>0.62</v>
          </cell>
        </row>
        <row r="190">
          <cell r="A190" t="str">
            <v>Dominica</v>
          </cell>
        </row>
        <row r="191">
          <cell r="A191" t="str">
            <v>Sint Maarten</v>
          </cell>
        </row>
        <row r="192">
          <cell r="A192" t="str">
            <v>Timor-Leste</v>
          </cell>
        </row>
        <row r="193">
          <cell r="A193" t="str">
            <v>Antigua &amp; Barbuda</v>
          </cell>
        </row>
        <row r="194">
          <cell r="A194" t="str">
            <v>Algeria</v>
          </cell>
        </row>
        <row r="195">
          <cell r="A195" t="str">
            <v>Azerbaijan</v>
          </cell>
        </row>
        <row r="196">
          <cell r="A196" t="str">
            <v>U.S. Virgin Islands</v>
          </cell>
        </row>
        <row r="197">
          <cell r="A197" t="str">
            <v>Libya</v>
          </cell>
        </row>
        <row r="198">
          <cell r="A198" t="str">
            <v>Saudi Arabia</v>
          </cell>
          <cell r="B198">
            <v>0.31</v>
          </cell>
          <cell r="C198">
            <v>0.69</v>
          </cell>
        </row>
        <row r="199">
          <cell r="A199" t="str">
            <v>Guinea</v>
          </cell>
        </row>
        <row r="200">
          <cell r="A200" t="str">
            <v>Venezuela</v>
          </cell>
          <cell r="B200">
            <v>0.49</v>
          </cell>
          <cell r="C200">
            <v>0.51</v>
          </cell>
        </row>
        <row r="201">
          <cell r="A201" t="str">
            <v>Guam</v>
          </cell>
        </row>
        <row r="202">
          <cell r="A202" t="str">
            <v>Guadeloupe</v>
          </cell>
        </row>
        <row r="203">
          <cell r="A203" t="str">
            <v>Turkmenistan</v>
          </cell>
        </row>
        <row r="204">
          <cell r="A204" t="str">
            <v>Mauritania</v>
          </cell>
        </row>
        <row r="205">
          <cell r="A205" t="str">
            <v>St. Lucia</v>
          </cell>
        </row>
        <row r="206">
          <cell r="A206" t="str">
            <v>Bahamas</v>
          </cell>
        </row>
        <row r="207">
          <cell r="A207" t="str">
            <v>French Guiana</v>
          </cell>
        </row>
        <row r="208">
          <cell r="A208" t="str">
            <v>Mali</v>
          </cell>
        </row>
        <row r="209">
          <cell r="A209" t="str">
            <v>South Sudan</v>
          </cell>
        </row>
        <row r="210">
          <cell r="A210" t="str">
            <v>Iraq</v>
          </cell>
        </row>
        <row r="211">
          <cell r="A211" t="str">
            <v>Kiribati</v>
          </cell>
        </row>
        <row r="212">
          <cell r="A212" t="str">
            <v>Palau</v>
          </cell>
        </row>
        <row r="213">
          <cell r="A213" t="str">
            <v>Marshall Islands</v>
          </cell>
        </row>
        <row r="214">
          <cell r="A214" t="str">
            <v>Eritrea</v>
          </cell>
        </row>
        <row r="215">
          <cell r="A215" t="str">
            <v>Tonga</v>
          </cell>
        </row>
        <row r="216">
          <cell r="A216" t="str">
            <v>Montserrat</v>
          </cell>
        </row>
        <row r="217">
          <cell r="A217" t="str">
            <v>Northern Mariana Islands</v>
          </cell>
        </row>
        <row r="218">
          <cell r="A218" t="str">
            <v>Comoros</v>
          </cell>
        </row>
        <row r="219">
          <cell r="A219" t="str">
            <v>St. Pierre &amp; Miquelon</v>
          </cell>
        </row>
        <row r="220">
          <cell r="A220" t="str">
            <v>British Virgin Islands</v>
          </cell>
        </row>
        <row r="221">
          <cell r="A221" t="str">
            <v>St. BarthÃ©lemy</v>
          </cell>
        </row>
        <row r="222">
          <cell r="A222" t="str">
            <v>Micronesia</v>
          </cell>
        </row>
        <row r="223">
          <cell r="A223" t="str">
            <v>SÃ£o TomÃ© &amp; PrÃ­ncipe</v>
          </cell>
        </row>
        <row r="224">
          <cell r="A224" t="str">
            <v>Turks &amp; Caicos Islands</v>
          </cell>
        </row>
        <row r="225">
          <cell r="A225" t="str">
            <v>Equatorial Guinea</v>
          </cell>
        </row>
        <row r="226">
          <cell r="A226" t="str">
            <v>St. Kitts &amp; Nevis</v>
          </cell>
        </row>
        <row r="227">
          <cell r="A227" t="str">
            <v>Anguilla</v>
          </cell>
        </row>
        <row r="228">
          <cell r="A228" t="str">
            <v>Cook Islands</v>
          </cell>
        </row>
        <row r="229">
          <cell r="A229" t="str">
            <v>Solomon Islands</v>
          </cell>
        </row>
        <row r="230">
          <cell r="A230" t="str">
            <v>St. Martin</v>
          </cell>
        </row>
        <row r="231">
          <cell r="A231" t="str">
            <v>Mayotte</v>
          </cell>
        </row>
        <row r="232">
          <cell r="A232" t="str">
            <v>Caribbean Netherlands</v>
          </cell>
        </row>
        <row r="233">
          <cell r="A233" t="str">
            <v>Guinea-Bissau</v>
          </cell>
        </row>
        <row r="234">
          <cell r="A234" t="str">
            <v>Samoa</v>
          </cell>
        </row>
        <row r="235">
          <cell r="A235" t="str">
            <v>American Samoa</v>
          </cell>
        </row>
        <row r="236">
          <cell r="A236" t="str">
            <v>Antarctica</v>
          </cell>
        </row>
        <row r="237">
          <cell r="A237" t="str">
            <v>French Southern Territories</v>
          </cell>
        </row>
        <row r="238">
          <cell r="A238" t="str">
            <v>Bouvet Island</v>
          </cell>
        </row>
        <row r="239">
          <cell r="A239" t="str">
            <v>Cocos (Keeling) Islands</v>
          </cell>
        </row>
        <row r="240">
          <cell r="A240" t="str">
            <v>Christmas Island</v>
          </cell>
        </row>
        <row r="241">
          <cell r="A241" t="str">
            <v>Falkland Islands (Islas Malvinas)</v>
          </cell>
        </row>
        <row r="242">
          <cell r="A242" t="str">
            <v>Heard &amp; McDonald Islands</v>
          </cell>
        </row>
        <row r="243">
          <cell r="A243" t="str">
            <v>Norfolk Island</v>
          </cell>
        </row>
        <row r="244">
          <cell r="A244" t="str">
            <v>Niue</v>
          </cell>
        </row>
        <row r="245">
          <cell r="A245" t="str">
            <v>Nauru</v>
          </cell>
        </row>
        <row r="246">
          <cell r="A246" t="str">
            <v>Pitcairn Islands</v>
          </cell>
        </row>
        <row r="247">
          <cell r="A247" t="str">
            <v>South Georgia &amp; South Sandwich Islands</v>
          </cell>
        </row>
        <row r="248">
          <cell r="A248" t="str">
            <v>Svalbard &amp; Jan Mayen</v>
          </cell>
        </row>
        <row r="249">
          <cell r="A249" t="str">
            <v>Tokelau</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2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4)"/>
    </sheetNames>
    <sheetDataSet>
      <sheetData sheetId="0">
        <row r="1">
          <cell r="A1" t="str">
            <v>Kategori: TÃ¼m kategoriler</v>
          </cell>
        </row>
        <row r="3">
          <cell r="A3" t="str">
            <v>Ãœlke</v>
          </cell>
          <cell r="B3" t="str">
            <v>SQL: (2014)</v>
          </cell>
          <cell r="C3" t="str">
            <v>VeritabanÄ±: (2014)</v>
          </cell>
        </row>
        <row r="4">
          <cell r="A4" t="str">
            <v>Cuba</v>
          </cell>
        </row>
        <row r="5">
          <cell r="A5" t="str">
            <v>British Indian Ocean Territory</v>
          </cell>
        </row>
        <row r="6">
          <cell r="A6" t="str">
            <v>Eritrea</v>
          </cell>
        </row>
        <row r="7">
          <cell r="A7" t="str">
            <v>Botswana</v>
          </cell>
        </row>
        <row r="8">
          <cell r="A8" t="str">
            <v>Ethiopia</v>
          </cell>
        </row>
        <row r="9">
          <cell r="A9" t="str">
            <v>India</v>
          </cell>
          <cell r="B9">
            <v>0.62</v>
          </cell>
          <cell r="C9">
            <v>0.38</v>
          </cell>
        </row>
        <row r="10">
          <cell r="A10" t="str">
            <v>China</v>
          </cell>
          <cell r="B10">
            <v>0.46</v>
          </cell>
          <cell r="C10">
            <v>0.54</v>
          </cell>
        </row>
        <row r="11">
          <cell r="A11" t="str">
            <v>Tonga</v>
          </cell>
        </row>
        <row r="12">
          <cell r="A12" t="str">
            <v>St. Helena</v>
          </cell>
        </row>
        <row r="13">
          <cell r="A13" t="str">
            <v>Liechtenstein</v>
          </cell>
        </row>
        <row r="14">
          <cell r="A14" t="str">
            <v>Rwanda</v>
          </cell>
        </row>
        <row r="15">
          <cell r="A15" t="str">
            <v>Vanuatu</v>
          </cell>
        </row>
        <row r="16">
          <cell r="A16" t="str">
            <v>Sri Lanka</v>
          </cell>
          <cell r="B16">
            <v>0.52</v>
          </cell>
          <cell r="C16">
            <v>0.48</v>
          </cell>
        </row>
        <row r="17">
          <cell r="A17" t="str">
            <v>Burundi</v>
          </cell>
        </row>
        <row r="18">
          <cell r="A18" t="str">
            <v>Zimbabwe</v>
          </cell>
        </row>
        <row r="19">
          <cell r="A19" t="str">
            <v>Bhutan</v>
          </cell>
        </row>
        <row r="20">
          <cell r="A20" t="str">
            <v>Uganda</v>
          </cell>
        </row>
        <row r="21">
          <cell r="A21" t="str">
            <v>Nepal</v>
          </cell>
        </row>
        <row r="22">
          <cell r="A22" t="str">
            <v>Fiji</v>
          </cell>
        </row>
        <row r="23">
          <cell r="A23" t="str">
            <v>Lesotho</v>
          </cell>
        </row>
        <row r="24">
          <cell r="A24" t="str">
            <v>Singapore</v>
          </cell>
          <cell r="B24">
            <v>0.57999999999999996</v>
          </cell>
          <cell r="C24">
            <v>0.42</v>
          </cell>
        </row>
        <row r="25">
          <cell r="A25" t="str">
            <v>Eswatini</v>
          </cell>
        </row>
        <row r="26">
          <cell r="A26" t="str">
            <v>Kenya</v>
          </cell>
          <cell r="B26">
            <v>0.33</v>
          </cell>
          <cell r="C26">
            <v>0.67</v>
          </cell>
        </row>
        <row r="27">
          <cell r="A27" t="str">
            <v>Somalia</v>
          </cell>
        </row>
        <row r="28">
          <cell r="A28" t="str">
            <v>Iceland</v>
          </cell>
        </row>
        <row r="29">
          <cell r="A29" t="str">
            <v>Central African Republic</v>
          </cell>
        </row>
        <row r="30">
          <cell r="A30" t="str">
            <v>Togo</v>
          </cell>
        </row>
        <row r="31">
          <cell r="A31" t="str">
            <v>Luxembourg</v>
          </cell>
        </row>
        <row r="32">
          <cell r="A32" t="str">
            <v>Hong Kong</v>
          </cell>
          <cell r="B32">
            <v>0.59</v>
          </cell>
          <cell r="C32">
            <v>0.41</v>
          </cell>
        </row>
        <row r="33">
          <cell r="A33" t="str">
            <v>Cameroon</v>
          </cell>
        </row>
        <row r="34">
          <cell r="A34" t="str">
            <v>Madagascar</v>
          </cell>
        </row>
        <row r="35">
          <cell r="A35" t="str">
            <v>Ghana</v>
          </cell>
        </row>
        <row r="36">
          <cell r="A36" t="str">
            <v>Nicaragua</v>
          </cell>
        </row>
        <row r="37">
          <cell r="A37" t="str">
            <v>Timor-Leste</v>
          </cell>
        </row>
        <row r="38">
          <cell r="A38" t="str">
            <v>Cape Verde</v>
          </cell>
        </row>
        <row r="39">
          <cell r="A39" t="str">
            <v>Papua New Guinea</v>
          </cell>
        </row>
        <row r="40">
          <cell r="A40" t="str">
            <v>Bermuda</v>
          </cell>
        </row>
        <row r="41">
          <cell r="A41" t="str">
            <v>Costa Rica</v>
          </cell>
          <cell r="B41">
            <v>0.63</v>
          </cell>
          <cell r="C41">
            <v>0.37</v>
          </cell>
        </row>
        <row r="42">
          <cell r="A42" t="str">
            <v>SÃ£o TomÃ© &amp; PrÃ­ncipe</v>
          </cell>
        </row>
        <row r="43">
          <cell r="A43" t="str">
            <v>Malta</v>
          </cell>
        </row>
        <row r="44">
          <cell r="A44" t="str">
            <v>Afghanistan</v>
          </cell>
        </row>
        <row r="45">
          <cell r="A45" t="str">
            <v>Isle of Man</v>
          </cell>
        </row>
        <row r="46">
          <cell r="A46" t="str">
            <v>Malawi</v>
          </cell>
        </row>
        <row r="47">
          <cell r="A47" t="str">
            <v>Congo - Kinshasa</v>
          </cell>
        </row>
        <row r="48">
          <cell r="A48" t="str">
            <v>Namibia</v>
          </cell>
        </row>
        <row r="49">
          <cell r="A49" t="str">
            <v>El Salvador</v>
          </cell>
        </row>
        <row r="50">
          <cell r="A50" t="str">
            <v>Mauritius</v>
          </cell>
        </row>
        <row r="51">
          <cell r="A51" t="str">
            <v>Monaco</v>
          </cell>
        </row>
        <row r="52">
          <cell r="A52" t="str">
            <v>Samoa</v>
          </cell>
        </row>
        <row r="53">
          <cell r="A53" t="str">
            <v>Honduras</v>
          </cell>
        </row>
        <row r="54">
          <cell r="A54" t="str">
            <v>Belize</v>
          </cell>
        </row>
        <row r="55">
          <cell r="A55" t="str">
            <v>Cayman Islands</v>
          </cell>
        </row>
        <row r="56">
          <cell r="A56" t="str">
            <v>South Africa</v>
          </cell>
          <cell r="B56">
            <v>0.53</v>
          </cell>
          <cell r="C56">
            <v>0.47</v>
          </cell>
        </row>
        <row r="57">
          <cell r="A57" t="str">
            <v>Macao</v>
          </cell>
        </row>
        <row r="58">
          <cell r="A58" t="str">
            <v>Maldives</v>
          </cell>
        </row>
        <row r="59">
          <cell r="A59" t="str">
            <v>Zambia</v>
          </cell>
        </row>
        <row r="60">
          <cell r="A60" t="str">
            <v>New Zealand</v>
          </cell>
          <cell r="B60">
            <v>0.54</v>
          </cell>
          <cell r="C60">
            <v>0.46</v>
          </cell>
        </row>
        <row r="61">
          <cell r="A61" t="str">
            <v>Philippines</v>
          </cell>
          <cell r="B61">
            <v>0.46</v>
          </cell>
          <cell r="C61">
            <v>0.54</v>
          </cell>
        </row>
        <row r="62">
          <cell r="A62" t="str">
            <v>Guinea-Bissau</v>
          </cell>
        </row>
        <row r="63">
          <cell r="A63" t="str">
            <v>Angola</v>
          </cell>
        </row>
        <row r="64">
          <cell r="A64" t="str">
            <v>Israel</v>
          </cell>
          <cell r="B64">
            <v>0.69</v>
          </cell>
          <cell r="C64">
            <v>0.31</v>
          </cell>
        </row>
        <row r="65">
          <cell r="A65" t="str">
            <v>Czechia</v>
          </cell>
          <cell r="B65">
            <v>0.49</v>
          </cell>
          <cell r="C65">
            <v>0.51</v>
          </cell>
        </row>
        <row r="66">
          <cell r="A66" t="str">
            <v>Tunisia</v>
          </cell>
          <cell r="B66">
            <v>0.53</v>
          </cell>
          <cell r="C66">
            <v>0.47</v>
          </cell>
        </row>
        <row r="67">
          <cell r="A67" t="str">
            <v>Dominica</v>
          </cell>
        </row>
        <row r="68">
          <cell r="A68" t="str">
            <v>Taiwan</v>
          </cell>
          <cell r="B68">
            <v>0.52</v>
          </cell>
          <cell r="C68">
            <v>0.48</v>
          </cell>
        </row>
        <row r="69">
          <cell r="A69" t="str">
            <v>Jersey</v>
          </cell>
        </row>
        <row r="70">
          <cell r="A70" t="str">
            <v>Lebanon</v>
          </cell>
        </row>
        <row r="71">
          <cell r="A71" t="str">
            <v>Jamaica</v>
          </cell>
        </row>
        <row r="72">
          <cell r="A72" t="str">
            <v>Myanmar (Burma)</v>
          </cell>
        </row>
        <row r="73">
          <cell r="A73" t="str">
            <v>Solomon Islands</v>
          </cell>
        </row>
        <row r="74">
          <cell r="A74" t="str">
            <v>Mozambique</v>
          </cell>
        </row>
        <row r="75">
          <cell r="A75" t="str">
            <v>Switzerland</v>
          </cell>
          <cell r="B75">
            <v>0.56999999999999995</v>
          </cell>
          <cell r="C75">
            <v>0.43</v>
          </cell>
        </row>
        <row r="76">
          <cell r="A76" t="str">
            <v>Pakistan</v>
          </cell>
          <cell r="B76">
            <v>0.49</v>
          </cell>
          <cell r="C76">
            <v>0.51</v>
          </cell>
        </row>
        <row r="77">
          <cell r="A77" t="str">
            <v>Gibraltar</v>
          </cell>
        </row>
        <row r="78">
          <cell r="A78" t="str">
            <v>Benin</v>
          </cell>
        </row>
        <row r="79">
          <cell r="A79" t="str">
            <v>Seychelles</v>
          </cell>
        </row>
        <row r="80">
          <cell r="A80" t="str">
            <v>South Korea</v>
          </cell>
          <cell r="B80">
            <v>0.47</v>
          </cell>
          <cell r="C80">
            <v>0.53</v>
          </cell>
        </row>
        <row r="81">
          <cell r="A81" t="str">
            <v>Bangladesh</v>
          </cell>
          <cell r="B81">
            <v>0.44</v>
          </cell>
          <cell r="C81">
            <v>0.56000000000000005</v>
          </cell>
        </row>
        <row r="82">
          <cell r="A82" t="str">
            <v>Faroe Islands</v>
          </cell>
        </row>
        <row r="83">
          <cell r="A83" t="str">
            <v>Tanzania</v>
          </cell>
        </row>
        <row r="84">
          <cell r="A84" t="str">
            <v>United States</v>
          </cell>
          <cell r="B84">
            <v>0.55000000000000004</v>
          </cell>
          <cell r="C84">
            <v>0.45</v>
          </cell>
        </row>
        <row r="85">
          <cell r="A85" t="str">
            <v>Guyana</v>
          </cell>
        </row>
        <row r="86">
          <cell r="A86" t="str">
            <v>Cambodia</v>
          </cell>
        </row>
        <row r="87">
          <cell r="A87" t="str">
            <v>Portugal</v>
          </cell>
          <cell r="B87">
            <v>0.56999999999999995</v>
          </cell>
          <cell r="C87">
            <v>0.43</v>
          </cell>
        </row>
        <row r="88">
          <cell r="A88" t="str">
            <v>Peru</v>
          </cell>
          <cell r="B88">
            <v>0.57999999999999996</v>
          </cell>
          <cell r="C88">
            <v>0.42</v>
          </cell>
        </row>
        <row r="89">
          <cell r="A89" t="str">
            <v>Estonia</v>
          </cell>
        </row>
        <row r="90">
          <cell r="A90" t="str">
            <v>Nigeria</v>
          </cell>
          <cell r="B90">
            <v>0.3</v>
          </cell>
          <cell r="C90">
            <v>0.7</v>
          </cell>
        </row>
        <row r="91">
          <cell r="A91" t="str">
            <v>Belarus</v>
          </cell>
          <cell r="B91">
            <v>0.53</v>
          </cell>
          <cell r="C91">
            <v>0.47</v>
          </cell>
        </row>
        <row r="92">
          <cell r="A92" t="str">
            <v>CÃ´te dâ€™Ivoire</v>
          </cell>
        </row>
        <row r="93">
          <cell r="A93" t="str">
            <v>Grenada</v>
          </cell>
        </row>
        <row r="94">
          <cell r="A94" t="str">
            <v>Gabon</v>
          </cell>
        </row>
        <row r="95">
          <cell r="A95" t="str">
            <v>Latvia</v>
          </cell>
        </row>
        <row r="96">
          <cell r="A96" t="str">
            <v>Gambia</v>
          </cell>
        </row>
        <row r="97">
          <cell r="A97" t="str">
            <v>Guatemala</v>
          </cell>
          <cell r="B97">
            <v>0.52</v>
          </cell>
          <cell r="C97">
            <v>0.48</v>
          </cell>
        </row>
        <row r="98">
          <cell r="A98" t="str">
            <v>Djibouti</v>
          </cell>
        </row>
        <row r="99">
          <cell r="A99" t="str">
            <v>Iran</v>
          </cell>
          <cell r="B99">
            <v>0.57999999999999996</v>
          </cell>
          <cell r="C99">
            <v>0.42</v>
          </cell>
        </row>
        <row r="100">
          <cell r="A100" t="str">
            <v>North Macedonia</v>
          </cell>
        </row>
        <row r="101">
          <cell r="A101" t="str">
            <v>Malaysia</v>
          </cell>
          <cell r="B101">
            <v>0.43</v>
          </cell>
          <cell r="C101">
            <v>0.56999999999999995</v>
          </cell>
        </row>
        <row r="102">
          <cell r="A102" t="str">
            <v>Yemen</v>
          </cell>
        </row>
        <row r="103">
          <cell r="A103" t="str">
            <v>Australia</v>
          </cell>
          <cell r="B103">
            <v>0.52</v>
          </cell>
          <cell r="C103">
            <v>0.48</v>
          </cell>
        </row>
        <row r="104">
          <cell r="A104" t="str">
            <v>Niger</v>
          </cell>
        </row>
        <row r="105">
          <cell r="A105" t="str">
            <v>Denmark</v>
          </cell>
          <cell r="B105">
            <v>0.56000000000000005</v>
          </cell>
          <cell r="C105">
            <v>0.44</v>
          </cell>
        </row>
        <row r="106">
          <cell r="A106" t="str">
            <v>Canada</v>
          </cell>
          <cell r="B106">
            <v>0.5</v>
          </cell>
          <cell r="C106">
            <v>0.5</v>
          </cell>
        </row>
        <row r="107">
          <cell r="A107" t="str">
            <v>United Arab Emirates</v>
          </cell>
          <cell r="B107">
            <v>0.56000000000000005</v>
          </cell>
          <cell r="C107">
            <v>0.44</v>
          </cell>
        </row>
        <row r="108">
          <cell r="A108" t="str">
            <v>Trinidad &amp; Tobago</v>
          </cell>
        </row>
        <row r="109">
          <cell r="A109" t="str">
            <v>Belgium</v>
          </cell>
          <cell r="B109">
            <v>0.54</v>
          </cell>
          <cell r="C109">
            <v>0.46</v>
          </cell>
        </row>
        <row r="110">
          <cell r="A110" t="str">
            <v>CuraÃ§ao</v>
          </cell>
        </row>
        <row r="111">
          <cell r="A111" t="str">
            <v>United Kingdom</v>
          </cell>
          <cell r="B111">
            <v>0.53</v>
          </cell>
          <cell r="C111">
            <v>0.47</v>
          </cell>
        </row>
        <row r="112">
          <cell r="A112" t="str">
            <v>Ecuador</v>
          </cell>
          <cell r="B112">
            <v>0.49</v>
          </cell>
          <cell r="C112">
            <v>0.51</v>
          </cell>
        </row>
        <row r="113">
          <cell r="A113" t="str">
            <v>Brunei</v>
          </cell>
        </row>
        <row r="114">
          <cell r="A114" t="str">
            <v>Colombia</v>
          </cell>
          <cell r="B114">
            <v>0.45</v>
          </cell>
          <cell r="C114">
            <v>0.55000000000000004</v>
          </cell>
        </row>
        <row r="115">
          <cell r="A115" t="str">
            <v>Indonesia</v>
          </cell>
          <cell r="B115">
            <v>0.33</v>
          </cell>
          <cell r="C115">
            <v>0.67</v>
          </cell>
        </row>
        <row r="116">
          <cell r="A116" t="str">
            <v>Sweden</v>
          </cell>
          <cell r="B116">
            <v>0.57999999999999996</v>
          </cell>
          <cell r="C116">
            <v>0.42</v>
          </cell>
        </row>
        <row r="117">
          <cell r="A117" t="str">
            <v>Dominican Republic</v>
          </cell>
          <cell r="B117">
            <v>0.54</v>
          </cell>
          <cell r="C117">
            <v>0.46</v>
          </cell>
        </row>
        <row r="118">
          <cell r="A118" t="str">
            <v>Japan</v>
          </cell>
          <cell r="B118">
            <v>0.54</v>
          </cell>
          <cell r="C118">
            <v>0.46</v>
          </cell>
        </row>
        <row r="119">
          <cell r="A119" t="str">
            <v>Bahrain</v>
          </cell>
        </row>
        <row r="120">
          <cell r="A120" t="str">
            <v>Ireland</v>
          </cell>
          <cell r="B120">
            <v>0.52</v>
          </cell>
          <cell r="C120">
            <v>0.48</v>
          </cell>
        </row>
        <row r="121">
          <cell r="A121" t="str">
            <v>Burkina Faso</v>
          </cell>
        </row>
        <row r="122">
          <cell r="A122" t="str">
            <v>Guernsey</v>
          </cell>
        </row>
        <row r="123">
          <cell r="A123" t="str">
            <v>Chad</v>
          </cell>
        </row>
        <row r="124">
          <cell r="A124" t="str">
            <v>Norway</v>
          </cell>
          <cell r="B124">
            <v>0.56999999999999995</v>
          </cell>
          <cell r="C124">
            <v>0.43</v>
          </cell>
        </row>
        <row r="125">
          <cell r="A125" t="str">
            <v>Netherlands</v>
          </cell>
          <cell r="B125">
            <v>0.52</v>
          </cell>
          <cell r="C125">
            <v>0.48</v>
          </cell>
        </row>
        <row r="126">
          <cell r="A126" t="str">
            <v>Haiti</v>
          </cell>
        </row>
        <row r="127">
          <cell r="A127" t="str">
            <v>Slovenia</v>
          </cell>
        </row>
        <row r="128">
          <cell r="A128" t="str">
            <v>Austria</v>
          </cell>
          <cell r="B128">
            <v>0.54</v>
          </cell>
          <cell r="C128">
            <v>0.46</v>
          </cell>
        </row>
        <row r="129">
          <cell r="A129" t="str">
            <v>Barbados</v>
          </cell>
        </row>
        <row r="130">
          <cell r="A130" t="str">
            <v>San Marino</v>
          </cell>
        </row>
        <row r="131">
          <cell r="A131" t="str">
            <v>Senegal</v>
          </cell>
        </row>
        <row r="132">
          <cell r="A132" t="str">
            <v>St. Kitts &amp; Nevis</v>
          </cell>
        </row>
        <row r="133">
          <cell r="A133" t="str">
            <v>Panama</v>
          </cell>
        </row>
        <row r="134">
          <cell r="A134" t="str">
            <v>St. Vincent &amp; Grenadines</v>
          </cell>
        </row>
        <row r="135">
          <cell r="A135" t="str">
            <v>Turks &amp; Caicos Islands</v>
          </cell>
        </row>
        <row r="136">
          <cell r="A136" t="str">
            <v>Chile</v>
          </cell>
          <cell r="B136">
            <v>0.57999999999999996</v>
          </cell>
          <cell r="C136">
            <v>0.42</v>
          </cell>
        </row>
        <row r="137">
          <cell r="A137" t="str">
            <v>Laos</v>
          </cell>
        </row>
        <row r="138">
          <cell r="A138" t="str">
            <v>Paraguay</v>
          </cell>
        </row>
        <row r="139">
          <cell r="A139" t="str">
            <v>Antigua &amp; Barbuda</v>
          </cell>
        </row>
        <row r="140">
          <cell r="A140" t="str">
            <v>Congo - Brazzaville</v>
          </cell>
        </row>
        <row r="141">
          <cell r="A141" t="str">
            <v>Germany</v>
          </cell>
          <cell r="B141">
            <v>0.49</v>
          </cell>
          <cell r="C141">
            <v>0.51</v>
          </cell>
        </row>
        <row r="142">
          <cell r="A142" t="str">
            <v>Mongolia</v>
          </cell>
        </row>
        <row r="143">
          <cell r="A143" t="str">
            <v>Mexico</v>
          </cell>
          <cell r="B143">
            <v>0.5</v>
          </cell>
          <cell r="C143">
            <v>0.5</v>
          </cell>
        </row>
        <row r="144">
          <cell r="A144" t="str">
            <v>Kyrgyzstan</v>
          </cell>
        </row>
        <row r="145">
          <cell r="A145" t="str">
            <v>Russia</v>
          </cell>
          <cell r="B145">
            <v>0.49</v>
          </cell>
          <cell r="C145">
            <v>0.51</v>
          </cell>
        </row>
        <row r="146">
          <cell r="A146" t="str">
            <v>Oman</v>
          </cell>
        </row>
        <row r="147">
          <cell r="A147" t="str">
            <v>Sudan</v>
          </cell>
        </row>
        <row r="148">
          <cell r="A148" t="str">
            <v>Morocco</v>
          </cell>
          <cell r="B148">
            <v>0.57999999999999996</v>
          </cell>
          <cell r="C148">
            <v>0.42</v>
          </cell>
        </row>
        <row r="149">
          <cell r="A149" t="str">
            <v>Northern Mariana Islands</v>
          </cell>
        </row>
        <row r="150">
          <cell r="A150" t="str">
            <v>Slovakia</v>
          </cell>
          <cell r="B150">
            <v>0.47</v>
          </cell>
          <cell r="C150">
            <v>0.53</v>
          </cell>
        </row>
        <row r="151">
          <cell r="A151" t="str">
            <v>Sierra Leone</v>
          </cell>
        </row>
        <row r="152">
          <cell r="A152" t="str">
            <v>Greenland</v>
          </cell>
        </row>
        <row r="153">
          <cell r="A153" t="str">
            <v>Cyprus</v>
          </cell>
        </row>
        <row r="154">
          <cell r="A154" t="str">
            <v>Ã…land Islands</v>
          </cell>
        </row>
        <row r="155">
          <cell r="A155" t="str">
            <v>Hungary</v>
          </cell>
          <cell r="B155">
            <v>0.46</v>
          </cell>
          <cell r="C155">
            <v>0.54</v>
          </cell>
        </row>
        <row r="156">
          <cell r="A156" t="str">
            <v>St. Lucia</v>
          </cell>
        </row>
        <row r="157">
          <cell r="A157" t="str">
            <v>Romania</v>
          </cell>
          <cell r="B157">
            <v>0.53</v>
          </cell>
          <cell r="C157">
            <v>0.47</v>
          </cell>
        </row>
        <row r="158">
          <cell r="A158" t="str">
            <v>Tajikistan</v>
          </cell>
        </row>
        <row r="159">
          <cell r="A159" t="str">
            <v>Uzbekistan</v>
          </cell>
        </row>
        <row r="160">
          <cell r="A160" t="str">
            <v>Moldova</v>
          </cell>
        </row>
        <row r="161">
          <cell r="A161" t="str">
            <v>Andorra</v>
          </cell>
        </row>
        <row r="162">
          <cell r="A162" t="str">
            <v>New Caledonia</v>
          </cell>
        </row>
        <row r="163">
          <cell r="A163" t="str">
            <v>Equatorial Guinea</v>
          </cell>
        </row>
        <row r="164">
          <cell r="A164" t="str">
            <v>Ukraine</v>
          </cell>
          <cell r="B164">
            <v>0.47</v>
          </cell>
          <cell r="C164">
            <v>0.53</v>
          </cell>
        </row>
        <row r="165">
          <cell r="A165" t="str">
            <v>Lithuania</v>
          </cell>
          <cell r="B165">
            <v>0.5</v>
          </cell>
          <cell r="C165">
            <v>0.5</v>
          </cell>
        </row>
        <row r="166">
          <cell r="A166" t="str">
            <v>Liberia</v>
          </cell>
        </row>
        <row r="167">
          <cell r="A167" t="str">
            <v>Uruguay</v>
          </cell>
        </row>
        <row r="168">
          <cell r="A168" t="str">
            <v>Qatar</v>
          </cell>
        </row>
        <row r="169">
          <cell r="A169" t="str">
            <v>Poland</v>
          </cell>
          <cell r="B169">
            <v>0.5</v>
          </cell>
          <cell r="C169">
            <v>0.5</v>
          </cell>
        </row>
        <row r="170">
          <cell r="A170" t="str">
            <v>Suriname</v>
          </cell>
        </row>
        <row r="171">
          <cell r="A171" t="str">
            <v>Finland</v>
          </cell>
          <cell r="B171">
            <v>0.51</v>
          </cell>
          <cell r="C171">
            <v>0.49</v>
          </cell>
        </row>
        <row r="172">
          <cell r="A172" t="str">
            <v>Jordan</v>
          </cell>
          <cell r="B172">
            <v>0.52</v>
          </cell>
          <cell r="C172">
            <v>0.48</v>
          </cell>
        </row>
        <row r="173">
          <cell r="A173" t="str">
            <v>Guam</v>
          </cell>
        </row>
        <row r="174">
          <cell r="A174" t="str">
            <v>Albania</v>
          </cell>
        </row>
        <row r="175">
          <cell r="A175" t="str">
            <v>Armenia</v>
          </cell>
        </row>
        <row r="176">
          <cell r="A176" t="str">
            <v>Vietnam</v>
          </cell>
          <cell r="B176">
            <v>0.62</v>
          </cell>
          <cell r="C176">
            <v>0.38</v>
          </cell>
        </row>
        <row r="177">
          <cell r="A177" t="str">
            <v>Spain</v>
          </cell>
          <cell r="B177">
            <v>0.48</v>
          </cell>
          <cell r="C177">
            <v>0.52</v>
          </cell>
        </row>
        <row r="178">
          <cell r="A178" t="str">
            <v>Bulgaria</v>
          </cell>
          <cell r="B178">
            <v>0.54</v>
          </cell>
          <cell r="C178">
            <v>0.46</v>
          </cell>
        </row>
        <row r="179">
          <cell r="A179" t="str">
            <v>Croatia</v>
          </cell>
          <cell r="B179">
            <v>0.51</v>
          </cell>
          <cell r="C179">
            <v>0.49</v>
          </cell>
        </row>
        <row r="180">
          <cell r="A180" t="str">
            <v>Kazakhstan</v>
          </cell>
          <cell r="B180">
            <v>0.41</v>
          </cell>
          <cell r="C180">
            <v>0.59</v>
          </cell>
        </row>
        <row r="181">
          <cell r="A181" t="str">
            <v>Serbia</v>
          </cell>
          <cell r="B181">
            <v>0.52</v>
          </cell>
          <cell r="C181">
            <v>0.48</v>
          </cell>
        </row>
        <row r="182">
          <cell r="A182" t="str">
            <v>Puerto Rico</v>
          </cell>
        </row>
        <row r="183">
          <cell r="A183" t="str">
            <v>Kuwait</v>
          </cell>
        </row>
        <row r="184">
          <cell r="A184" t="str">
            <v>Italy</v>
          </cell>
          <cell r="B184">
            <v>0.45</v>
          </cell>
          <cell r="C184">
            <v>0.55000000000000004</v>
          </cell>
        </row>
        <row r="185">
          <cell r="A185" t="str">
            <v>France</v>
          </cell>
          <cell r="B185">
            <v>0.55000000000000004</v>
          </cell>
          <cell r="C185">
            <v>0.45</v>
          </cell>
        </row>
        <row r="186">
          <cell r="A186" t="str">
            <v>British Virgin Islands</v>
          </cell>
        </row>
        <row r="187">
          <cell r="A187" t="str">
            <v>Thailand</v>
          </cell>
          <cell r="B187">
            <v>0.46</v>
          </cell>
          <cell r="C187">
            <v>0.54</v>
          </cell>
        </row>
        <row r="188">
          <cell r="A188" t="str">
            <v>Brazil</v>
          </cell>
          <cell r="B188">
            <v>0.55000000000000004</v>
          </cell>
          <cell r="C188">
            <v>0.45</v>
          </cell>
        </row>
        <row r="189">
          <cell r="A189" t="str">
            <v>Syria</v>
          </cell>
        </row>
        <row r="190">
          <cell r="A190" t="str">
            <v>Sint Maarten</v>
          </cell>
        </row>
        <row r="191">
          <cell r="A191" t="str">
            <v>Georgia</v>
          </cell>
        </row>
        <row r="192">
          <cell r="A192" t="str">
            <v>U.S. Virgin Islands</v>
          </cell>
        </row>
        <row r="193">
          <cell r="A193" t="str">
            <v>Aruba</v>
          </cell>
        </row>
        <row r="194">
          <cell r="A194" t="str">
            <v>Argentina</v>
          </cell>
          <cell r="B194">
            <v>0.56000000000000005</v>
          </cell>
          <cell r="C194">
            <v>0.44</v>
          </cell>
        </row>
        <row r="195">
          <cell r="A195" t="str">
            <v>Kosovo</v>
          </cell>
        </row>
        <row r="196">
          <cell r="A196" t="str">
            <v>Venezuela</v>
          </cell>
          <cell r="B196">
            <v>0.42</v>
          </cell>
          <cell r="C196">
            <v>0.57999999999999996</v>
          </cell>
        </row>
        <row r="197">
          <cell r="A197" t="str">
            <v>Bosnia &amp; Herzegovina</v>
          </cell>
        </row>
        <row r="198">
          <cell r="A198" t="str">
            <v>Greece</v>
          </cell>
          <cell r="B198">
            <v>0.51</v>
          </cell>
          <cell r="C198">
            <v>0.49</v>
          </cell>
        </row>
        <row r="199">
          <cell r="A199" t="str">
            <v>Egypt</v>
          </cell>
          <cell r="B199">
            <v>0.5</v>
          </cell>
          <cell r="C199">
            <v>0.5</v>
          </cell>
        </row>
        <row r="200">
          <cell r="A200" t="str">
            <v>French Polynesia</v>
          </cell>
        </row>
        <row r="201">
          <cell r="A201" t="str">
            <v>Guinea</v>
          </cell>
        </row>
        <row r="202">
          <cell r="A202" t="str">
            <v>Mali</v>
          </cell>
        </row>
        <row r="203">
          <cell r="A203" t="str">
            <v>Bolivia</v>
          </cell>
          <cell r="B203">
            <v>0.48</v>
          </cell>
          <cell r="C203">
            <v>0.52</v>
          </cell>
        </row>
        <row r="204">
          <cell r="A204" t="str">
            <v>Bahamas</v>
          </cell>
        </row>
        <row r="205">
          <cell r="A205" t="str">
            <v>Palestine</v>
          </cell>
        </row>
        <row r="206">
          <cell r="A206" t="str">
            <v>Algeria</v>
          </cell>
          <cell r="B206">
            <v>0.45</v>
          </cell>
          <cell r="C206">
            <v>0.55000000000000004</v>
          </cell>
        </row>
        <row r="207">
          <cell r="A207" t="str">
            <v>Mauritania</v>
          </cell>
        </row>
        <row r="208">
          <cell r="A208" t="str">
            <v>Libya</v>
          </cell>
        </row>
        <row r="209">
          <cell r="A209" t="str">
            <v>Montenegro</v>
          </cell>
        </row>
        <row r="210">
          <cell r="A210" t="str">
            <v>South Sudan</v>
          </cell>
        </row>
        <row r="211">
          <cell r="A211" t="str">
            <v>Saudi Arabia</v>
          </cell>
          <cell r="B211">
            <v>0.47</v>
          </cell>
          <cell r="C211">
            <v>0.53</v>
          </cell>
        </row>
        <row r="212">
          <cell r="A212" t="str">
            <v>Turkey</v>
          </cell>
          <cell r="B212">
            <v>0.6</v>
          </cell>
          <cell r="C212">
            <v>0.4</v>
          </cell>
        </row>
        <row r="213">
          <cell r="A213" t="str">
            <v>Turkmenistan</v>
          </cell>
        </row>
        <row r="214">
          <cell r="A214" t="str">
            <v>Azerbaijan</v>
          </cell>
        </row>
        <row r="215">
          <cell r="A215" t="str">
            <v>RÃ©union</v>
          </cell>
        </row>
        <row r="216">
          <cell r="A216" t="str">
            <v>Martinique</v>
          </cell>
        </row>
        <row r="217">
          <cell r="A217" t="str">
            <v>Guadeloupe</v>
          </cell>
        </row>
        <row r="218">
          <cell r="A218" t="str">
            <v>French Guiana</v>
          </cell>
        </row>
        <row r="219">
          <cell r="A219" t="str">
            <v>Mayotte</v>
          </cell>
        </row>
        <row r="220">
          <cell r="A220" t="str">
            <v>Iraq</v>
          </cell>
        </row>
        <row r="221">
          <cell r="A221" t="str">
            <v>Norfolk Island</v>
          </cell>
        </row>
        <row r="222">
          <cell r="A222" t="str">
            <v>North Korea</v>
          </cell>
        </row>
        <row r="223">
          <cell r="A223" t="str">
            <v>Kiribati</v>
          </cell>
        </row>
        <row r="224">
          <cell r="A224" t="str">
            <v>Palau</v>
          </cell>
        </row>
        <row r="225">
          <cell r="A225" t="str">
            <v>Falkland Islands (Islas Malvinas)</v>
          </cell>
        </row>
        <row r="226">
          <cell r="A226" t="str">
            <v>Comoros</v>
          </cell>
        </row>
        <row r="227">
          <cell r="A227" t="str">
            <v>Marshall Islands</v>
          </cell>
        </row>
        <row r="228">
          <cell r="A228" t="str">
            <v>Svalbard &amp; Jan Mayen</v>
          </cell>
        </row>
        <row r="229">
          <cell r="A229" t="str">
            <v>Caribbean Netherlands</v>
          </cell>
        </row>
        <row r="230">
          <cell r="A230" t="str">
            <v>St. Pierre &amp; Miquelon</v>
          </cell>
        </row>
        <row r="231">
          <cell r="A231" t="str">
            <v>Cook Islands</v>
          </cell>
        </row>
        <row r="232">
          <cell r="A232" t="str">
            <v>Micronesia</v>
          </cell>
        </row>
        <row r="233">
          <cell r="A233" t="str">
            <v>St. Martin</v>
          </cell>
        </row>
        <row r="234">
          <cell r="A234" t="str">
            <v>St. BarthÃ©lemy</v>
          </cell>
        </row>
        <row r="235">
          <cell r="A235" t="str">
            <v>American Samoa</v>
          </cell>
        </row>
        <row r="236">
          <cell r="A236" t="str">
            <v>Anguilla</v>
          </cell>
        </row>
        <row r="237">
          <cell r="A237" t="str">
            <v>Antarctica</v>
          </cell>
        </row>
        <row r="238">
          <cell r="A238" t="str">
            <v>French Southern Territories</v>
          </cell>
        </row>
        <row r="239">
          <cell r="A239" t="str">
            <v>Bouvet Island</v>
          </cell>
        </row>
        <row r="240">
          <cell r="A240" t="str">
            <v>Cocos (Keeling) Islands</v>
          </cell>
        </row>
        <row r="241">
          <cell r="A241" t="str">
            <v>Christmas Island</v>
          </cell>
        </row>
        <row r="242">
          <cell r="A242" t="str">
            <v>Western Sahara</v>
          </cell>
        </row>
        <row r="243">
          <cell r="A243" t="str">
            <v>Heard &amp; McDonald Islands</v>
          </cell>
        </row>
        <row r="244">
          <cell r="A244" t="str">
            <v>Montserrat</v>
          </cell>
        </row>
        <row r="245">
          <cell r="A245" t="str">
            <v>Niue</v>
          </cell>
        </row>
        <row r="246">
          <cell r="A246" t="str">
            <v>Nauru</v>
          </cell>
        </row>
        <row r="247">
          <cell r="A247" t="str">
            <v>Pitcairn Islands</v>
          </cell>
        </row>
        <row r="248">
          <cell r="A248" t="str">
            <v>South Georgia &amp; South Sandwich Islands</v>
          </cell>
        </row>
        <row r="249">
          <cell r="A249" t="str">
            <v>Tokelau</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2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5)"/>
    </sheetNames>
    <sheetDataSet>
      <sheetData sheetId="0">
        <row r="1">
          <cell r="A1" t="str">
            <v>Kategori: TÃ¼m kategoriler</v>
          </cell>
        </row>
        <row r="3">
          <cell r="A3" t="str">
            <v>Ãœlke</v>
          </cell>
          <cell r="B3" t="str">
            <v>VeritabanÄ±: (2014)</v>
          </cell>
          <cell r="C3" t="str">
            <v>Dizgi: (2014)</v>
          </cell>
        </row>
        <row r="4">
          <cell r="A4" t="str">
            <v>British Indian Ocean Territory</v>
          </cell>
        </row>
        <row r="5">
          <cell r="A5" t="str">
            <v>Cuba</v>
          </cell>
        </row>
        <row r="6">
          <cell r="A6" t="str">
            <v>Eritrea</v>
          </cell>
        </row>
        <row r="7">
          <cell r="A7" t="str">
            <v>Botswana</v>
          </cell>
        </row>
        <row r="8">
          <cell r="A8" t="str">
            <v>Ethiopia</v>
          </cell>
        </row>
        <row r="9">
          <cell r="A9" t="str">
            <v>Tonga</v>
          </cell>
        </row>
        <row r="10">
          <cell r="A10" t="str">
            <v>China</v>
          </cell>
          <cell r="B10">
            <v>0.51</v>
          </cell>
          <cell r="C10">
            <v>0.49</v>
          </cell>
        </row>
        <row r="11">
          <cell r="A11" t="str">
            <v>Rwanda</v>
          </cell>
        </row>
        <row r="12">
          <cell r="A12" t="str">
            <v>Vanuatu</v>
          </cell>
        </row>
        <row r="13">
          <cell r="A13" t="str">
            <v>Burundi</v>
          </cell>
        </row>
        <row r="14">
          <cell r="A14" t="str">
            <v>Bhutan</v>
          </cell>
        </row>
        <row r="15">
          <cell r="A15" t="str">
            <v>Lesotho</v>
          </cell>
        </row>
        <row r="16">
          <cell r="A16" t="str">
            <v>Uganda</v>
          </cell>
        </row>
        <row r="17">
          <cell r="A17" t="str">
            <v>Sri Lanka</v>
          </cell>
          <cell r="B17">
            <v>0.66</v>
          </cell>
          <cell r="C17">
            <v>0.34</v>
          </cell>
        </row>
        <row r="18">
          <cell r="A18" t="str">
            <v>Fiji</v>
          </cell>
        </row>
        <row r="19">
          <cell r="A19" t="str">
            <v>Nepal</v>
          </cell>
        </row>
        <row r="20">
          <cell r="A20" t="str">
            <v>Zimbabwe</v>
          </cell>
        </row>
        <row r="21">
          <cell r="A21" t="str">
            <v>Cape Verde</v>
          </cell>
        </row>
        <row r="22">
          <cell r="A22" t="str">
            <v>Kenya</v>
          </cell>
        </row>
        <row r="23">
          <cell r="A23" t="str">
            <v>Madagascar</v>
          </cell>
        </row>
        <row r="24">
          <cell r="A24" t="str">
            <v>Eswatini</v>
          </cell>
        </row>
        <row r="25">
          <cell r="A25" t="str">
            <v>Somalia</v>
          </cell>
        </row>
        <row r="26">
          <cell r="A26" t="str">
            <v>Cameroon</v>
          </cell>
        </row>
        <row r="27">
          <cell r="A27" t="str">
            <v>St. Helena</v>
          </cell>
        </row>
        <row r="28">
          <cell r="A28" t="str">
            <v>India</v>
          </cell>
          <cell r="B28">
            <v>0.57999999999999996</v>
          </cell>
          <cell r="C28">
            <v>0.42</v>
          </cell>
        </row>
        <row r="29">
          <cell r="A29" t="str">
            <v>Togo</v>
          </cell>
        </row>
        <row r="30">
          <cell r="A30" t="str">
            <v>Ghana</v>
          </cell>
        </row>
        <row r="31">
          <cell r="A31" t="str">
            <v>SÃ£o TomÃ© &amp; PrÃ­ncipe</v>
          </cell>
        </row>
        <row r="32">
          <cell r="A32" t="str">
            <v>Congo - Kinshasa</v>
          </cell>
        </row>
        <row r="33">
          <cell r="A33" t="str">
            <v>Timor-Leste</v>
          </cell>
        </row>
        <row r="34">
          <cell r="A34" t="str">
            <v>South Korea</v>
          </cell>
          <cell r="B34">
            <v>0.44</v>
          </cell>
          <cell r="C34">
            <v>0.56000000000000005</v>
          </cell>
        </row>
        <row r="35">
          <cell r="A35" t="str">
            <v>Papua New Guinea</v>
          </cell>
        </row>
        <row r="36">
          <cell r="A36" t="str">
            <v>Malawi</v>
          </cell>
        </row>
        <row r="37">
          <cell r="A37" t="str">
            <v>Central African Republic</v>
          </cell>
        </row>
        <row r="38">
          <cell r="A38" t="str">
            <v>Namibia</v>
          </cell>
        </row>
        <row r="39">
          <cell r="A39" t="str">
            <v>Afghanistan</v>
          </cell>
        </row>
        <row r="40">
          <cell r="A40" t="str">
            <v>Dominica</v>
          </cell>
        </row>
        <row r="41">
          <cell r="A41" t="str">
            <v>Guinea-Bissau</v>
          </cell>
        </row>
        <row r="42">
          <cell r="A42" t="str">
            <v>Israel</v>
          </cell>
          <cell r="B42">
            <v>0.28999999999999998</v>
          </cell>
          <cell r="C42">
            <v>0.71</v>
          </cell>
        </row>
        <row r="43">
          <cell r="A43" t="str">
            <v>Liechtenstein</v>
          </cell>
        </row>
        <row r="44">
          <cell r="A44" t="str">
            <v>Singapore</v>
          </cell>
          <cell r="B44">
            <v>0.54</v>
          </cell>
          <cell r="C44">
            <v>0.46</v>
          </cell>
        </row>
        <row r="45">
          <cell r="A45" t="str">
            <v>Belize</v>
          </cell>
        </row>
        <row r="46">
          <cell r="A46" t="str">
            <v>Angola</v>
          </cell>
        </row>
        <row r="47">
          <cell r="A47" t="str">
            <v>Mauritius</v>
          </cell>
        </row>
        <row r="48">
          <cell r="A48" t="str">
            <v>Jamaica</v>
          </cell>
        </row>
        <row r="49">
          <cell r="A49" t="str">
            <v>Seychelles</v>
          </cell>
        </row>
        <row r="50">
          <cell r="A50" t="str">
            <v>Philippines</v>
          </cell>
          <cell r="B50">
            <v>0.67</v>
          </cell>
          <cell r="C50">
            <v>0.33</v>
          </cell>
        </row>
        <row r="51">
          <cell r="A51" t="str">
            <v>Czechia</v>
          </cell>
          <cell r="B51">
            <v>0.55000000000000004</v>
          </cell>
          <cell r="C51">
            <v>0.45</v>
          </cell>
        </row>
        <row r="52">
          <cell r="A52" t="str">
            <v>Samoa</v>
          </cell>
        </row>
        <row r="53">
          <cell r="A53" t="str">
            <v>Malta</v>
          </cell>
        </row>
        <row r="54">
          <cell r="A54" t="str">
            <v>Iceland</v>
          </cell>
        </row>
        <row r="55">
          <cell r="A55" t="str">
            <v>Maldives</v>
          </cell>
        </row>
        <row r="56">
          <cell r="A56" t="str">
            <v>Hong Kong</v>
          </cell>
          <cell r="B56">
            <v>0.5</v>
          </cell>
          <cell r="C56">
            <v>0.5</v>
          </cell>
        </row>
        <row r="57">
          <cell r="A57" t="str">
            <v>Benin</v>
          </cell>
        </row>
        <row r="58">
          <cell r="A58" t="str">
            <v>Zambia</v>
          </cell>
        </row>
        <row r="59">
          <cell r="A59" t="str">
            <v>South Africa</v>
          </cell>
          <cell r="B59">
            <v>0.69</v>
          </cell>
          <cell r="C59">
            <v>0.31</v>
          </cell>
        </row>
        <row r="60">
          <cell r="A60" t="str">
            <v>Myanmar (Burma)</v>
          </cell>
        </row>
        <row r="61">
          <cell r="A61" t="str">
            <v>Pakistan</v>
          </cell>
          <cell r="B61">
            <v>0.67</v>
          </cell>
          <cell r="C61">
            <v>0.33</v>
          </cell>
        </row>
        <row r="62">
          <cell r="A62" t="str">
            <v>Gibraltar</v>
          </cell>
        </row>
        <row r="63">
          <cell r="A63" t="str">
            <v>Belarus</v>
          </cell>
          <cell r="B63">
            <v>0.46</v>
          </cell>
          <cell r="C63">
            <v>0.54</v>
          </cell>
        </row>
        <row r="64">
          <cell r="A64" t="str">
            <v>Bangladesh</v>
          </cell>
          <cell r="B64">
            <v>0.67</v>
          </cell>
          <cell r="C64">
            <v>0.33</v>
          </cell>
        </row>
        <row r="65">
          <cell r="A65" t="str">
            <v>Tunisia</v>
          </cell>
          <cell r="B65">
            <v>0.72</v>
          </cell>
          <cell r="C65">
            <v>0.28000000000000003</v>
          </cell>
        </row>
        <row r="66">
          <cell r="A66" t="str">
            <v>Taiwan</v>
          </cell>
          <cell r="B66">
            <v>0.56000000000000005</v>
          </cell>
          <cell r="C66">
            <v>0.44</v>
          </cell>
        </row>
        <row r="67">
          <cell r="A67" t="str">
            <v>Tanzania</v>
          </cell>
        </row>
        <row r="68">
          <cell r="A68" t="str">
            <v>Estonia</v>
          </cell>
        </row>
        <row r="69">
          <cell r="A69" t="str">
            <v>Solomon Islands</v>
          </cell>
        </row>
        <row r="70">
          <cell r="A70" t="str">
            <v>New Zealand</v>
          </cell>
          <cell r="B70">
            <v>0.6</v>
          </cell>
          <cell r="C70">
            <v>0.4</v>
          </cell>
        </row>
        <row r="71">
          <cell r="A71" t="str">
            <v>El Salvador</v>
          </cell>
        </row>
        <row r="72">
          <cell r="A72" t="str">
            <v>Guyana</v>
          </cell>
        </row>
        <row r="73">
          <cell r="A73" t="str">
            <v>CÃ´te dâ€™Ivoire</v>
          </cell>
        </row>
        <row r="74">
          <cell r="A74" t="str">
            <v>Honduras</v>
          </cell>
        </row>
        <row r="75">
          <cell r="A75" t="str">
            <v>Djibouti</v>
          </cell>
        </row>
        <row r="76">
          <cell r="A76" t="str">
            <v>Nigeria</v>
          </cell>
        </row>
        <row r="77">
          <cell r="A77" t="str">
            <v>Cayman Islands</v>
          </cell>
        </row>
        <row r="78">
          <cell r="A78" t="str">
            <v>Latvia</v>
          </cell>
          <cell r="B78">
            <v>0.6</v>
          </cell>
          <cell r="C78">
            <v>0.4</v>
          </cell>
        </row>
        <row r="79">
          <cell r="A79" t="str">
            <v>Luxembourg</v>
          </cell>
        </row>
        <row r="80">
          <cell r="A80" t="str">
            <v>Cambodia</v>
          </cell>
        </row>
        <row r="81">
          <cell r="A81" t="str">
            <v>Caribbean Netherlands</v>
          </cell>
        </row>
        <row r="82">
          <cell r="A82" t="str">
            <v>Yemen</v>
          </cell>
        </row>
        <row r="83">
          <cell r="A83" t="str">
            <v>Mozambique</v>
          </cell>
        </row>
        <row r="84">
          <cell r="A84" t="str">
            <v>Malaysia</v>
          </cell>
          <cell r="B84">
            <v>0.72</v>
          </cell>
          <cell r="C84">
            <v>0.28000000000000003</v>
          </cell>
        </row>
        <row r="85">
          <cell r="A85" t="str">
            <v>Gabon</v>
          </cell>
        </row>
        <row r="86">
          <cell r="A86" t="str">
            <v>Nicaragua</v>
          </cell>
        </row>
        <row r="87">
          <cell r="A87" t="str">
            <v>Lebanon</v>
          </cell>
        </row>
        <row r="88">
          <cell r="A88" t="str">
            <v>Ecuador</v>
          </cell>
          <cell r="B88">
            <v>0.8</v>
          </cell>
          <cell r="C88">
            <v>0.2</v>
          </cell>
        </row>
        <row r="89">
          <cell r="A89" t="str">
            <v>Brunei</v>
          </cell>
        </row>
        <row r="90">
          <cell r="A90" t="str">
            <v>Canada</v>
          </cell>
          <cell r="B90">
            <v>0.59</v>
          </cell>
          <cell r="C90">
            <v>0.41</v>
          </cell>
        </row>
        <row r="91">
          <cell r="A91" t="str">
            <v>Guatemala</v>
          </cell>
        </row>
        <row r="92">
          <cell r="A92" t="str">
            <v>Trinidad &amp; Tobago</v>
          </cell>
        </row>
        <row r="93">
          <cell r="A93" t="str">
            <v>Indonesia</v>
          </cell>
          <cell r="B93">
            <v>0.82</v>
          </cell>
          <cell r="C93">
            <v>0.18</v>
          </cell>
        </row>
        <row r="94">
          <cell r="A94" t="str">
            <v>United States</v>
          </cell>
          <cell r="B94">
            <v>0.56000000000000005</v>
          </cell>
          <cell r="C94">
            <v>0.44</v>
          </cell>
        </row>
        <row r="95">
          <cell r="A95" t="str">
            <v>Colombia</v>
          </cell>
          <cell r="B95">
            <v>0.81</v>
          </cell>
          <cell r="C95">
            <v>0.19</v>
          </cell>
        </row>
        <row r="96">
          <cell r="A96" t="str">
            <v>Gambia</v>
          </cell>
        </row>
        <row r="97">
          <cell r="A97" t="str">
            <v>Chad</v>
          </cell>
        </row>
        <row r="98">
          <cell r="A98" t="str">
            <v>St. Lucia</v>
          </cell>
        </row>
        <row r="99">
          <cell r="A99" t="str">
            <v>Australia</v>
          </cell>
          <cell r="B99">
            <v>0.6</v>
          </cell>
          <cell r="C99">
            <v>0.4</v>
          </cell>
        </row>
        <row r="100">
          <cell r="A100" t="str">
            <v>Costa Rica</v>
          </cell>
          <cell r="B100">
            <v>0.63</v>
          </cell>
          <cell r="C100">
            <v>0.37</v>
          </cell>
        </row>
        <row r="101">
          <cell r="A101" t="str">
            <v>Switzerland</v>
          </cell>
          <cell r="B101">
            <v>0.52</v>
          </cell>
          <cell r="C101">
            <v>0.48</v>
          </cell>
        </row>
        <row r="102">
          <cell r="A102" t="str">
            <v>Grenada</v>
          </cell>
        </row>
        <row r="103">
          <cell r="A103" t="str">
            <v>Haiti</v>
          </cell>
        </row>
        <row r="104">
          <cell r="A104" t="str">
            <v>Laos</v>
          </cell>
        </row>
        <row r="105">
          <cell r="A105" t="str">
            <v>Macao</v>
          </cell>
        </row>
        <row r="106">
          <cell r="A106" t="str">
            <v>Burkina Faso</v>
          </cell>
        </row>
        <row r="107">
          <cell r="A107" t="str">
            <v>Faroe Islands</v>
          </cell>
        </row>
        <row r="108">
          <cell r="A108" t="str">
            <v>Niger</v>
          </cell>
        </row>
        <row r="109">
          <cell r="A109" t="str">
            <v>Barbados</v>
          </cell>
        </row>
        <row r="110">
          <cell r="A110" t="str">
            <v>Portugal</v>
          </cell>
          <cell r="B110">
            <v>0.56999999999999995</v>
          </cell>
          <cell r="C110">
            <v>0.43</v>
          </cell>
        </row>
        <row r="111">
          <cell r="A111" t="str">
            <v>Ireland</v>
          </cell>
          <cell r="B111">
            <v>0.59</v>
          </cell>
          <cell r="C111">
            <v>0.41</v>
          </cell>
        </row>
        <row r="112">
          <cell r="A112" t="str">
            <v>Mongolia</v>
          </cell>
        </row>
        <row r="113">
          <cell r="A113" t="str">
            <v>Isle of Man</v>
          </cell>
        </row>
        <row r="114">
          <cell r="A114" t="str">
            <v>Bermuda</v>
          </cell>
        </row>
        <row r="115">
          <cell r="A115" t="str">
            <v>St. Vincent &amp; Grenadines</v>
          </cell>
        </row>
        <row r="116">
          <cell r="A116" t="str">
            <v>Senegal</v>
          </cell>
        </row>
        <row r="117">
          <cell r="A117" t="str">
            <v>Turks &amp; Caicos Islands</v>
          </cell>
        </row>
        <row r="118">
          <cell r="A118" t="str">
            <v>United Kingdom</v>
          </cell>
          <cell r="B118">
            <v>0.6</v>
          </cell>
          <cell r="C118">
            <v>0.4</v>
          </cell>
        </row>
        <row r="119">
          <cell r="A119" t="str">
            <v>Congo - Brazzaville</v>
          </cell>
        </row>
        <row r="120">
          <cell r="A120" t="str">
            <v>Netherlands</v>
          </cell>
          <cell r="B120">
            <v>0.56000000000000005</v>
          </cell>
          <cell r="C120">
            <v>0.44</v>
          </cell>
        </row>
        <row r="121">
          <cell r="A121" t="str">
            <v>Panama</v>
          </cell>
        </row>
        <row r="122">
          <cell r="A122" t="str">
            <v>Sierra Leone</v>
          </cell>
        </row>
        <row r="123">
          <cell r="A123" t="str">
            <v>Germany</v>
          </cell>
          <cell r="B123">
            <v>0.53</v>
          </cell>
          <cell r="C123">
            <v>0.47</v>
          </cell>
        </row>
        <row r="124">
          <cell r="A124" t="str">
            <v>Russia</v>
          </cell>
          <cell r="B124">
            <v>0.5</v>
          </cell>
          <cell r="C124">
            <v>0.5</v>
          </cell>
        </row>
        <row r="125">
          <cell r="A125" t="str">
            <v>Belgium</v>
          </cell>
          <cell r="B125">
            <v>0.56999999999999995</v>
          </cell>
          <cell r="C125">
            <v>0.43</v>
          </cell>
        </row>
        <row r="126">
          <cell r="A126" t="str">
            <v>Paraguay</v>
          </cell>
        </row>
        <row r="127">
          <cell r="A127" t="str">
            <v>Mexico</v>
          </cell>
          <cell r="B127">
            <v>0.76</v>
          </cell>
          <cell r="C127">
            <v>0.24</v>
          </cell>
        </row>
        <row r="128">
          <cell r="A128" t="str">
            <v>Antigua &amp; Barbuda</v>
          </cell>
        </row>
        <row r="129">
          <cell r="A129" t="str">
            <v>CuraÃ§ao</v>
          </cell>
        </row>
        <row r="130">
          <cell r="A130" t="str">
            <v>United Arab Emirates</v>
          </cell>
          <cell r="B130">
            <v>0.7</v>
          </cell>
          <cell r="C130">
            <v>0.3</v>
          </cell>
        </row>
        <row r="131">
          <cell r="A131" t="str">
            <v>Peru</v>
          </cell>
          <cell r="B131">
            <v>0.79</v>
          </cell>
          <cell r="C131">
            <v>0.21</v>
          </cell>
        </row>
        <row r="132">
          <cell r="A132" t="str">
            <v>Kyrgyzstan</v>
          </cell>
        </row>
        <row r="133">
          <cell r="A133" t="str">
            <v>Monaco</v>
          </cell>
        </row>
        <row r="134">
          <cell r="A134" t="str">
            <v>Japan</v>
          </cell>
          <cell r="B134">
            <v>0.5</v>
          </cell>
          <cell r="C134">
            <v>0.5</v>
          </cell>
        </row>
        <row r="135">
          <cell r="A135" t="str">
            <v>Uzbekistan</v>
          </cell>
        </row>
        <row r="136">
          <cell r="A136" t="str">
            <v>Slovakia</v>
          </cell>
          <cell r="B136">
            <v>0.56999999999999995</v>
          </cell>
          <cell r="C136">
            <v>0.43</v>
          </cell>
        </row>
        <row r="137">
          <cell r="A137" t="str">
            <v>Oman</v>
          </cell>
        </row>
        <row r="138">
          <cell r="A138" t="str">
            <v>Denmark</v>
          </cell>
          <cell r="B138">
            <v>0.54</v>
          </cell>
          <cell r="C138">
            <v>0.46</v>
          </cell>
        </row>
        <row r="139">
          <cell r="A139" t="str">
            <v>Bahrain</v>
          </cell>
        </row>
        <row r="140">
          <cell r="A140" t="str">
            <v>Iran</v>
          </cell>
          <cell r="B140">
            <v>0.67</v>
          </cell>
          <cell r="C140">
            <v>0.33</v>
          </cell>
        </row>
        <row r="141">
          <cell r="A141" t="str">
            <v>Austria</v>
          </cell>
          <cell r="B141">
            <v>0.51</v>
          </cell>
          <cell r="C141">
            <v>0.49</v>
          </cell>
        </row>
        <row r="142">
          <cell r="A142" t="str">
            <v>Jersey</v>
          </cell>
        </row>
        <row r="143">
          <cell r="A143" t="str">
            <v>Dominican Republic</v>
          </cell>
        </row>
        <row r="144">
          <cell r="A144" t="str">
            <v>Sudan</v>
          </cell>
        </row>
        <row r="145">
          <cell r="A145" t="str">
            <v>Hungary</v>
          </cell>
          <cell r="B145">
            <v>0.56999999999999995</v>
          </cell>
          <cell r="C145">
            <v>0.43</v>
          </cell>
        </row>
        <row r="146">
          <cell r="A146" t="str">
            <v>Equatorial Guinea</v>
          </cell>
        </row>
        <row r="147">
          <cell r="A147" t="str">
            <v>Ukraine</v>
          </cell>
          <cell r="B147">
            <v>0.51</v>
          </cell>
          <cell r="C147">
            <v>0.49</v>
          </cell>
        </row>
        <row r="148">
          <cell r="A148" t="str">
            <v>Greenland</v>
          </cell>
        </row>
        <row r="149">
          <cell r="A149" t="str">
            <v>North Macedonia</v>
          </cell>
        </row>
        <row r="150">
          <cell r="A150" t="str">
            <v>Ã…land Islands</v>
          </cell>
        </row>
        <row r="151">
          <cell r="A151" t="str">
            <v>Lithuania</v>
          </cell>
          <cell r="B151">
            <v>0.56999999999999995</v>
          </cell>
          <cell r="C151">
            <v>0.43</v>
          </cell>
        </row>
        <row r="152">
          <cell r="A152" t="str">
            <v>Moldova</v>
          </cell>
        </row>
        <row r="153">
          <cell r="A153" t="str">
            <v>Finland</v>
          </cell>
          <cell r="B153">
            <v>0.48</v>
          </cell>
          <cell r="C153">
            <v>0.52</v>
          </cell>
        </row>
        <row r="154">
          <cell r="A154" t="str">
            <v>Liberia</v>
          </cell>
        </row>
        <row r="155">
          <cell r="A155" t="str">
            <v>Andorra</v>
          </cell>
        </row>
        <row r="156">
          <cell r="A156" t="str">
            <v>Norway</v>
          </cell>
          <cell r="B156">
            <v>0.5</v>
          </cell>
          <cell r="C156">
            <v>0.5</v>
          </cell>
        </row>
        <row r="157">
          <cell r="A157" t="str">
            <v>Poland</v>
          </cell>
          <cell r="B157">
            <v>0.63</v>
          </cell>
          <cell r="C157">
            <v>0.37</v>
          </cell>
        </row>
        <row r="158">
          <cell r="A158" t="str">
            <v>Guam</v>
          </cell>
        </row>
        <row r="159">
          <cell r="A159" t="str">
            <v>Sweden</v>
          </cell>
          <cell r="B159">
            <v>0.51</v>
          </cell>
          <cell r="C159">
            <v>0.49</v>
          </cell>
        </row>
        <row r="160">
          <cell r="A160" t="str">
            <v>Slovenia</v>
          </cell>
        </row>
        <row r="161">
          <cell r="A161" t="str">
            <v>Qatar</v>
          </cell>
        </row>
        <row r="162">
          <cell r="A162" t="str">
            <v>Romania</v>
          </cell>
          <cell r="B162">
            <v>0.55000000000000004</v>
          </cell>
          <cell r="C162">
            <v>0.45</v>
          </cell>
        </row>
        <row r="163">
          <cell r="A163" t="str">
            <v>Jordan</v>
          </cell>
        </row>
        <row r="164">
          <cell r="A164" t="str">
            <v>Cyprus</v>
          </cell>
        </row>
        <row r="165">
          <cell r="A165" t="str">
            <v>Tajikistan</v>
          </cell>
        </row>
        <row r="166">
          <cell r="A166" t="str">
            <v>Suriname</v>
          </cell>
        </row>
        <row r="167">
          <cell r="A167" t="str">
            <v>Spain</v>
          </cell>
          <cell r="B167">
            <v>0.63</v>
          </cell>
          <cell r="C167">
            <v>0.37</v>
          </cell>
        </row>
        <row r="168">
          <cell r="A168" t="str">
            <v>Bulgaria</v>
          </cell>
          <cell r="B168">
            <v>0.46</v>
          </cell>
          <cell r="C168">
            <v>0.54</v>
          </cell>
        </row>
        <row r="169">
          <cell r="A169" t="str">
            <v>Albania</v>
          </cell>
        </row>
        <row r="170">
          <cell r="A170" t="str">
            <v>Puerto Rico</v>
          </cell>
        </row>
        <row r="171">
          <cell r="A171" t="str">
            <v>U.S. Virgin Islands</v>
          </cell>
        </row>
        <row r="172">
          <cell r="A172" t="str">
            <v>Kazakhstan</v>
          </cell>
          <cell r="B172">
            <v>0.63</v>
          </cell>
          <cell r="C172">
            <v>0.37</v>
          </cell>
        </row>
        <row r="173">
          <cell r="A173" t="str">
            <v>British Virgin Islands</v>
          </cell>
        </row>
        <row r="174">
          <cell r="A174" t="str">
            <v>Northern Mariana Islands</v>
          </cell>
        </row>
        <row r="175">
          <cell r="A175" t="str">
            <v>Italy</v>
          </cell>
          <cell r="B175">
            <v>0.62</v>
          </cell>
          <cell r="C175">
            <v>0.38</v>
          </cell>
        </row>
        <row r="176">
          <cell r="A176" t="str">
            <v>Croatia</v>
          </cell>
          <cell r="B176">
            <v>0.56999999999999995</v>
          </cell>
          <cell r="C176">
            <v>0.43</v>
          </cell>
        </row>
        <row r="177">
          <cell r="A177" t="str">
            <v>Armenia</v>
          </cell>
        </row>
        <row r="178">
          <cell r="A178" t="str">
            <v>Chile</v>
          </cell>
          <cell r="B178">
            <v>0.68</v>
          </cell>
          <cell r="C178">
            <v>0.32</v>
          </cell>
        </row>
        <row r="179">
          <cell r="A179" t="str">
            <v>Guernsey</v>
          </cell>
        </row>
        <row r="180">
          <cell r="A180" t="str">
            <v>Morocco</v>
          </cell>
          <cell r="B180">
            <v>0.75</v>
          </cell>
          <cell r="C180">
            <v>0.25</v>
          </cell>
        </row>
        <row r="181">
          <cell r="A181" t="str">
            <v>Thailand</v>
          </cell>
          <cell r="B181">
            <v>0.75</v>
          </cell>
          <cell r="C181">
            <v>0.25</v>
          </cell>
        </row>
        <row r="182">
          <cell r="A182" t="str">
            <v>Serbia</v>
          </cell>
          <cell r="B182">
            <v>0.56000000000000005</v>
          </cell>
          <cell r="C182">
            <v>0.44</v>
          </cell>
        </row>
        <row r="183">
          <cell r="A183" t="str">
            <v>St. Kitts &amp; Nevis</v>
          </cell>
        </row>
        <row r="184">
          <cell r="A184" t="str">
            <v>Syria</v>
          </cell>
        </row>
        <row r="185">
          <cell r="A185" t="str">
            <v>Kuwait</v>
          </cell>
        </row>
        <row r="186">
          <cell r="A186" t="str">
            <v>Mauritania</v>
          </cell>
        </row>
        <row r="187">
          <cell r="A187" t="str">
            <v>Venezuela</v>
          </cell>
          <cell r="B187">
            <v>0.8</v>
          </cell>
          <cell r="C187">
            <v>0.2</v>
          </cell>
        </row>
        <row r="188">
          <cell r="A188" t="str">
            <v>Aruba</v>
          </cell>
        </row>
        <row r="189">
          <cell r="A189" t="str">
            <v>Sint Maarten</v>
          </cell>
        </row>
        <row r="190">
          <cell r="A190" t="str">
            <v>San Marino</v>
          </cell>
        </row>
        <row r="191">
          <cell r="A191" t="str">
            <v>Bosnia &amp; Herzegovina</v>
          </cell>
        </row>
        <row r="192">
          <cell r="A192" t="str">
            <v>Uruguay</v>
          </cell>
        </row>
        <row r="193">
          <cell r="A193" t="str">
            <v>Egypt</v>
          </cell>
          <cell r="B193">
            <v>0.7</v>
          </cell>
          <cell r="C193">
            <v>0.3</v>
          </cell>
        </row>
        <row r="194">
          <cell r="A194" t="str">
            <v>Kosovo</v>
          </cell>
        </row>
        <row r="195">
          <cell r="A195" t="str">
            <v>France</v>
          </cell>
          <cell r="B195">
            <v>0.6</v>
          </cell>
          <cell r="C195">
            <v>0.4</v>
          </cell>
        </row>
        <row r="196">
          <cell r="A196" t="str">
            <v>Greece</v>
          </cell>
          <cell r="B196">
            <v>0.63</v>
          </cell>
          <cell r="C196">
            <v>0.37</v>
          </cell>
        </row>
        <row r="197">
          <cell r="A197" t="str">
            <v>Mali</v>
          </cell>
        </row>
        <row r="198">
          <cell r="A198" t="str">
            <v>Bahamas</v>
          </cell>
        </row>
        <row r="199">
          <cell r="A199" t="str">
            <v>French Polynesia</v>
          </cell>
        </row>
        <row r="200">
          <cell r="A200" t="str">
            <v>South Sudan</v>
          </cell>
        </row>
        <row r="201">
          <cell r="A201" t="str">
            <v>Bolivia</v>
          </cell>
          <cell r="B201">
            <v>0.72</v>
          </cell>
          <cell r="C201">
            <v>0.28000000000000003</v>
          </cell>
        </row>
        <row r="202">
          <cell r="A202" t="str">
            <v>Libya</v>
          </cell>
        </row>
        <row r="203">
          <cell r="A203" t="str">
            <v>Guinea</v>
          </cell>
        </row>
        <row r="204">
          <cell r="A204" t="str">
            <v>Brazil</v>
          </cell>
          <cell r="B204">
            <v>0.66</v>
          </cell>
          <cell r="C204">
            <v>0.34</v>
          </cell>
        </row>
        <row r="205">
          <cell r="A205" t="str">
            <v>Algeria</v>
          </cell>
        </row>
        <row r="206">
          <cell r="A206" t="str">
            <v>New Caledonia</v>
          </cell>
        </row>
        <row r="207">
          <cell r="A207" t="str">
            <v>Montenegro</v>
          </cell>
        </row>
        <row r="208">
          <cell r="A208" t="str">
            <v>Palestine</v>
          </cell>
        </row>
        <row r="209">
          <cell r="A209" t="str">
            <v>Martinique</v>
          </cell>
        </row>
        <row r="210">
          <cell r="A210" t="str">
            <v>Vietnam</v>
          </cell>
          <cell r="B210">
            <v>0.57999999999999996</v>
          </cell>
          <cell r="C210">
            <v>0.42</v>
          </cell>
        </row>
        <row r="211">
          <cell r="A211" t="str">
            <v>Saudi Arabia</v>
          </cell>
          <cell r="B211">
            <v>0.81</v>
          </cell>
          <cell r="C211">
            <v>0.19</v>
          </cell>
        </row>
        <row r="212">
          <cell r="A212" t="str">
            <v>Argentina</v>
          </cell>
          <cell r="B212">
            <v>0.63</v>
          </cell>
          <cell r="C212">
            <v>0.37</v>
          </cell>
        </row>
        <row r="213">
          <cell r="A213" t="str">
            <v>Georgia</v>
          </cell>
        </row>
        <row r="214">
          <cell r="A214" t="str">
            <v>Turkmenistan</v>
          </cell>
        </row>
        <row r="215">
          <cell r="A215" t="str">
            <v>Mayotte</v>
          </cell>
        </row>
        <row r="216">
          <cell r="A216" t="str">
            <v>Guadeloupe</v>
          </cell>
        </row>
        <row r="217">
          <cell r="A217" t="str">
            <v>RÃ©union</v>
          </cell>
        </row>
        <row r="218">
          <cell r="A218" t="str">
            <v>Azerbaijan</v>
          </cell>
        </row>
        <row r="219">
          <cell r="A219" t="str">
            <v>Turkey</v>
          </cell>
          <cell r="B219">
            <v>0.66</v>
          </cell>
          <cell r="C219">
            <v>0.34</v>
          </cell>
        </row>
        <row r="220">
          <cell r="A220" t="str">
            <v>French Guiana</v>
          </cell>
        </row>
        <row r="221">
          <cell r="A221" t="str">
            <v>Iraq</v>
          </cell>
        </row>
        <row r="222">
          <cell r="A222" t="str">
            <v>Nauru</v>
          </cell>
        </row>
        <row r="223">
          <cell r="A223" t="str">
            <v>Tuvalu</v>
          </cell>
        </row>
        <row r="224">
          <cell r="A224" t="str">
            <v>Kiribati</v>
          </cell>
        </row>
        <row r="225">
          <cell r="A225" t="str">
            <v>North Korea</v>
          </cell>
        </row>
        <row r="226">
          <cell r="A226" t="str">
            <v>Falkland Islands (Islas Malvinas)</v>
          </cell>
        </row>
        <row r="227">
          <cell r="A227" t="str">
            <v>Montserrat</v>
          </cell>
        </row>
        <row r="228">
          <cell r="A228" t="str">
            <v>Svalbard &amp; Jan Mayen</v>
          </cell>
        </row>
        <row r="229">
          <cell r="A229" t="str">
            <v>Cook Islands</v>
          </cell>
        </row>
        <row r="230">
          <cell r="A230" t="str">
            <v>Micronesia</v>
          </cell>
        </row>
        <row r="231">
          <cell r="A231" t="str">
            <v>American Samoa</v>
          </cell>
        </row>
        <row r="232">
          <cell r="A232" t="str">
            <v>Palau</v>
          </cell>
        </row>
        <row r="233">
          <cell r="A233" t="str">
            <v>Anguilla</v>
          </cell>
        </row>
        <row r="234">
          <cell r="A234" t="str">
            <v>Comoros</v>
          </cell>
        </row>
        <row r="235">
          <cell r="A235" t="str">
            <v>St. Pierre &amp; Miquelon</v>
          </cell>
        </row>
        <row r="236">
          <cell r="A236" t="str">
            <v>Marshall Islands</v>
          </cell>
        </row>
        <row r="237">
          <cell r="A237" t="str">
            <v>St. BarthÃ©lemy</v>
          </cell>
        </row>
        <row r="238">
          <cell r="A238" t="str">
            <v>St. Martin</v>
          </cell>
        </row>
        <row r="239">
          <cell r="A239" t="str">
            <v>Antarctica</v>
          </cell>
        </row>
        <row r="240">
          <cell r="A240" t="str">
            <v>French Southern Territories</v>
          </cell>
        </row>
        <row r="241">
          <cell r="A241" t="str">
            <v>Bouvet Island</v>
          </cell>
        </row>
        <row r="242">
          <cell r="A242" t="str">
            <v>Cocos (Keeling) Islands</v>
          </cell>
        </row>
        <row r="243">
          <cell r="A243" t="str">
            <v>Christmas Island</v>
          </cell>
        </row>
        <row r="244">
          <cell r="A244" t="str">
            <v>Western Sahara</v>
          </cell>
        </row>
        <row r="245">
          <cell r="A245" t="str">
            <v>Heard &amp; McDonald Islands</v>
          </cell>
        </row>
        <row r="246">
          <cell r="A246" t="str">
            <v>Norfolk Island</v>
          </cell>
        </row>
        <row r="247">
          <cell r="A247" t="str">
            <v>Niue</v>
          </cell>
        </row>
        <row r="248">
          <cell r="A248" t="str">
            <v>Pitcairn Islands</v>
          </cell>
        </row>
        <row r="249">
          <cell r="A249" t="str">
            <v>South Georgia &amp; South Sandwich Islands</v>
          </cell>
        </row>
        <row r="250">
          <cell r="A250" t="str">
            <v>Tokelau</v>
          </cell>
        </row>
        <row r="251">
          <cell r="A251" t="str">
            <v>U.S. Outlying Islands</v>
          </cell>
        </row>
        <row r="252">
          <cell r="A252" t="str">
            <v>Vatican City</v>
          </cell>
        </row>
        <row r="253">
          <cell r="A253" t="str">
            <v>Wallis &amp; Futuna</v>
          </cell>
        </row>
      </sheetData>
    </sheetDataSet>
  </externalBook>
</externalLink>
</file>

<file path=xl/externalLinks/externalLink2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6)"/>
    </sheetNames>
    <sheetDataSet>
      <sheetData sheetId="0">
        <row r="1">
          <cell r="A1" t="str">
            <v>Kategori: TÃ¼m kategoriler</v>
          </cell>
        </row>
        <row r="3">
          <cell r="A3" t="str">
            <v>Ãœlke</v>
          </cell>
          <cell r="B3" t="str">
            <v>Dizgi: (2014)</v>
          </cell>
          <cell r="C3" t="str">
            <v>C++: (2014)</v>
          </cell>
        </row>
        <row r="4">
          <cell r="A4" t="str">
            <v>North Korea</v>
          </cell>
        </row>
        <row r="5">
          <cell r="A5" t="str">
            <v>British Indian Ocean Territory</v>
          </cell>
        </row>
        <row r="6">
          <cell r="A6" t="str">
            <v>Cuba</v>
          </cell>
        </row>
        <row r="7">
          <cell r="A7" t="str">
            <v>China</v>
          </cell>
          <cell r="B7">
            <v>0.51</v>
          </cell>
          <cell r="C7">
            <v>0.49</v>
          </cell>
        </row>
        <row r="8">
          <cell r="A8" t="str">
            <v>Ethiopia</v>
          </cell>
        </row>
        <row r="9">
          <cell r="A9" t="str">
            <v>Lesotho</v>
          </cell>
        </row>
        <row r="10">
          <cell r="A10" t="str">
            <v>South Korea</v>
          </cell>
          <cell r="B10">
            <v>0.56000000000000005</v>
          </cell>
          <cell r="C10">
            <v>0.44</v>
          </cell>
        </row>
        <row r="11">
          <cell r="A11" t="str">
            <v>Pakistan</v>
          </cell>
          <cell r="B11">
            <v>0.28000000000000003</v>
          </cell>
          <cell r="C11">
            <v>0.72</v>
          </cell>
        </row>
        <row r="12">
          <cell r="A12" t="str">
            <v>Israel</v>
          </cell>
          <cell r="B12">
            <v>0.65</v>
          </cell>
          <cell r="C12">
            <v>0.35</v>
          </cell>
        </row>
        <row r="13">
          <cell r="A13" t="str">
            <v>St. Helena</v>
          </cell>
        </row>
        <row r="14">
          <cell r="A14" t="str">
            <v>Iceland</v>
          </cell>
        </row>
        <row r="15">
          <cell r="A15" t="str">
            <v>Liechtenstein</v>
          </cell>
        </row>
        <row r="16">
          <cell r="A16" t="str">
            <v>India</v>
          </cell>
          <cell r="B16">
            <v>0.54</v>
          </cell>
          <cell r="C16">
            <v>0.46</v>
          </cell>
        </row>
        <row r="17">
          <cell r="A17" t="str">
            <v>Hong Kong</v>
          </cell>
          <cell r="B17">
            <v>0.66</v>
          </cell>
          <cell r="C17">
            <v>0.34</v>
          </cell>
        </row>
        <row r="18">
          <cell r="A18" t="str">
            <v>Singapore</v>
          </cell>
          <cell r="B18">
            <v>0.62</v>
          </cell>
          <cell r="C18">
            <v>0.38</v>
          </cell>
        </row>
        <row r="19">
          <cell r="A19" t="str">
            <v>Belarus</v>
          </cell>
          <cell r="B19">
            <v>0.54</v>
          </cell>
          <cell r="C19">
            <v>0.46</v>
          </cell>
        </row>
        <row r="20">
          <cell r="A20" t="str">
            <v>Armenia</v>
          </cell>
        </row>
        <row r="21">
          <cell r="A21" t="str">
            <v>Czechia</v>
          </cell>
          <cell r="B21">
            <v>0.6</v>
          </cell>
          <cell r="C21">
            <v>0.4</v>
          </cell>
        </row>
        <row r="22">
          <cell r="A22" t="str">
            <v>Fiji</v>
          </cell>
        </row>
        <row r="23">
          <cell r="A23" t="str">
            <v>Sri Lanka</v>
          </cell>
          <cell r="B23">
            <v>0.6</v>
          </cell>
          <cell r="C23">
            <v>0.4</v>
          </cell>
        </row>
        <row r="24">
          <cell r="A24" t="str">
            <v>Luxembourg</v>
          </cell>
        </row>
        <row r="25">
          <cell r="A25" t="str">
            <v>Malta</v>
          </cell>
        </row>
        <row r="26">
          <cell r="A26" t="str">
            <v>Taiwan</v>
          </cell>
          <cell r="B26">
            <v>0.52</v>
          </cell>
          <cell r="C26">
            <v>0.48</v>
          </cell>
        </row>
        <row r="27">
          <cell r="A27" t="str">
            <v>Philippines</v>
          </cell>
          <cell r="B27">
            <v>0.43</v>
          </cell>
          <cell r="C27">
            <v>0.56999999999999995</v>
          </cell>
        </row>
        <row r="28">
          <cell r="A28" t="str">
            <v>Estonia</v>
          </cell>
        </row>
        <row r="29">
          <cell r="A29" t="str">
            <v>Romania</v>
          </cell>
          <cell r="B29">
            <v>0.4</v>
          </cell>
          <cell r="C29">
            <v>0.6</v>
          </cell>
        </row>
        <row r="30">
          <cell r="A30" t="str">
            <v>Switzerland</v>
          </cell>
          <cell r="B30">
            <v>0.64</v>
          </cell>
          <cell r="C30">
            <v>0.36</v>
          </cell>
        </row>
        <row r="31">
          <cell r="A31" t="str">
            <v>Nepal</v>
          </cell>
        </row>
        <row r="32">
          <cell r="A32" t="str">
            <v>Russia</v>
          </cell>
          <cell r="B32">
            <v>0.53</v>
          </cell>
          <cell r="C32">
            <v>0.47</v>
          </cell>
        </row>
        <row r="33">
          <cell r="A33" t="str">
            <v>Poland</v>
          </cell>
          <cell r="B33">
            <v>0.34</v>
          </cell>
          <cell r="C33">
            <v>0.66</v>
          </cell>
        </row>
        <row r="34">
          <cell r="A34" t="str">
            <v>Iran</v>
          </cell>
          <cell r="B34">
            <v>0.33</v>
          </cell>
          <cell r="C34">
            <v>0.67</v>
          </cell>
        </row>
        <row r="35">
          <cell r="A35" t="str">
            <v>Honduras</v>
          </cell>
        </row>
        <row r="36">
          <cell r="A36" t="str">
            <v>Japan</v>
          </cell>
          <cell r="B36">
            <v>0.67</v>
          </cell>
          <cell r="C36">
            <v>0.33</v>
          </cell>
        </row>
        <row r="37">
          <cell r="A37" t="str">
            <v>Rwanda</v>
          </cell>
        </row>
        <row r="38">
          <cell r="A38" t="str">
            <v>New Zealand</v>
          </cell>
          <cell r="B38">
            <v>0.72</v>
          </cell>
          <cell r="C38">
            <v>0.28000000000000003</v>
          </cell>
        </row>
        <row r="39">
          <cell r="A39" t="str">
            <v>Latvia</v>
          </cell>
          <cell r="B39">
            <v>0.55000000000000004</v>
          </cell>
          <cell r="C39">
            <v>0.45</v>
          </cell>
        </row>
        <row r="40">
          <cell r="A40" t="str">
            <v>Mauritius</v>
          </cell>
        </row>
        <row r="41">
          <cell r="A41" t="str">
            <v>Lebanon</v>
          </cell>
        </row>
        <row r="42">
          <cell r="A42" t="str">
            <v>Guatemala</v>
          </cell>
        </row>
        <row r="43">
          <cell r="A43" t="str">
            <v>Austria</v>
          </cell>
          <cell r="B43">
            <v>0.6</v>
          </cell>
          <cell r="C43">
            <v>0.4</v>
          </cell>
        </row>
        <row r="44">
          <cell r="A44" t="str">
            <v>Germany</v>
          </cell>
          <cell r="B44">
            <v>0.56999999999999995</v>
          </cell>
          <cell r="C44">
            <v>0.43</v>
          </cell>
        </row>
        <row r="45">
          <cell r="A45" t="str">
            <v>United States</v>
          </cell>
          <cell r="B45">
            <v>0.64</v>
          </cell>
          <cell r="C45">
            <v>0.36</v>
          </cell>
        </row>
        <row r="46">
          <cell r="A46" t="str">
            <v>Bangladesh</v>
          </cell>
          <cell r="B46">
            <v>0.44</v>
          </cell>
          <cell r="C46">
            <v>0.56000000000000005</v>
          </cell>
        </row>
        <row r="47">
          <cell r="A47" t="str">
            <v>Ukraine</v>
          </cell>
          <cell r="B47">
            <v>0.52</v>
          </cell>
          <cell r="C47">
            <v>0.48</v>
          </cell>
        </row>
        <row r="48">
          <cell r="A48" t="str">
            <v>Slovenia</v>
          </cell>
          <cell r="B48">
            <v>0.6</v>
          </cell>
          <cell r="C48">
            <v>0.4</v>
          </cell>
        </row>
        <row r="49">
          <cell r="A49" t="str">
            <v>Denmark</v>
          </cell>
          <cell r="B49">
            <v>0.71</v>
          </cell>
          <cell r="C49">
            <v>0.28999999999999998</v>
          </cell>
        </row>
        <row r="50">
          <cell r="A50" t="str">
            <v>Faroe Islands</v>
          </cell>
        </row>
        <row r="51">
          <cell r="A51" t="str">
            <v>Canada</v>
          </cell>
          <cell r="B51">
            <v>0.62</v>
          </cell>
          <cell r="C51">
            <v>0.38</v>
          </cell>
        </row>
        <row r="52">
          <cell r="A52" t="str">
            <v>Norway</v>
          </cell>
          <cell r="B52">
            <v>0.64</v>
          </cell>
          <cell r="C52">
            <v>0.36</v>
          </cell>
        </row>
        <row r="53">
          <cell r="A53" t="str">
            <v>Finland</v>
          </cell>
          <cell r="B53">
            <v>0.62</v>
          </cell>
          <cell r="C53">
            <v>0.38</v>
          </cell>
        </row>
        <row r="54">
          <cell r="A54" t="str">
            <v>Belize</v>
          </cell>
        </row>
        <row r="55">
          <cell r="A55" t="str">
            <v>Sweden</v>
          </cell>
          <cell r="B55">
            <v>0.57999999999999996</v>
          </cell>
          <cell r="C55">
            <v>0.42</v>
          </cell>
        </row>
        <row r="56">
          <cell r="A56" t="str">
            <v>Gibraltar</v>
          </cell>
        </row>
        <row r="57">
          <cell r="A57" t="str">
            <v>Portugal</v>
          </cell>
          <cell r="B57">
            <v>0.66</v>
          </cell>
          <cell r="C57">
            <v>0.34</v>
          </cell>
        </row>
        <row r="58">
          <cell r="A58" t="str">
            <v>Netherlands</v>
          </cell>
          <cell r="B58">
            <v>0.72</v>
          </cell>
          <cell r="C58">
            <v>0.28000000000000003</v>
          </cell>
        </row>
        <row r="59">
          <cell r="A59" t="str">
            <v>Somalia</v>
          </cell>
        </row>
        <row r="60">
          <cell r="A60" t="str">
            <v>North Macedonia</v>
          </cell>
        </row>
        <row r="61">
          <cell r="A61" t="str">
            <v>Madagascar</v>
          </cell>
        </row>
        <row r="62">
          <cell r="A62" t="str">
            <v>Belgium</v>
          </cell>
          <cell r="B62">
            <v>0.69</v>
          </cell>
          <cell r="C62">
            <v>0.31</v>
          </cell>
        </row>
        <row r="63">
          <cell r="A63" t="str">
            <v>Bulgaria</v>
          </cell>
          <cell r="B63">
            <v>0.54</v>
          </cell>
          <cell r="C63">
            <v>0.46</v>
          </cell>
        </row>
        <row r="64">
          <cell r="A64" t="str">
            <v>Uzbekistan</v>
          </cell>
        </row>
        <row r="65">
          <cell r="A65" t="str">
            <v>Ã…land Islands</v>
          </cell>
        </row>
        <row r="66">
          <cell r="A66" t="str">
            <v>Lithuania</v>
          </cell>
          <cell r="B66">
            <v>0.46</v>
          </cell>
          <cell r="C66">
            <v>0.54</v>
          </cell>
        </row>
        <row r="67">
          <cell r="A67" t="str">
            <v>Togo</v>
          </cell>
        </row>
        <row r="68">
          <cell r="A68" t="str">
            <v>Australia</v>
          </cell>
          <cell r="B68">
            <v>0.71</v>
          </cell>
          <cell r="C68">
            <v>0.28999999999999998</v>
          </cell>
        </row>
        <row r="69">
          <cell r="A69" t="str">
            <v>Ireland</v>
          </cell>
          <cell r="B69">
            <v>0.7</v>
          </cell>
          <cell r="C69">
            <v>0.3</v>
          </cell>
        </row>
        <row r="70">
          <cell r="A70" t="str">
            <v>Kenya</v>
          </cell>
        </row>
        <row r="71">
          <cell r="A71" t="str">
            <v>Moldova</v>
          </cell>
        </row>
        <row r="72">
          <cell r="A72" t="str">
            <v>Macao</v>
          </cell>
        </row>
        <row r="73">
          <cell r="A73" t="str">
            <v>Tonga</v>
          </cell>
        </row>
        <row r="74">
          <cell r="A74" t="str">
            <v>Slovakia</v>
          </cell>
          <cell r="B74">
            <v>0.56999999999999995</v>
          </cell>
          <cell r="C74">
            <v>0.43</v>
          </cell>
        </row>
        <row r="75">
          <cell r="A75" t="str">
            <v>Isle of Man</v>
          </cell>
        </row>
        <row r="76">
          <cell r="A76" t="str">
            <v>Mongolia</v>
          </cell>
        </row>
        <row r="77">
          <cell r="A77" t="str">
            <v>Ghana</v>
          </cell>
        </row>
        <row r="78">
          <cell r="A78" t="str">
            <v>Hungary</v>
          </cell>
          <cell r="B78">
            <v>0.53</v>
          </cell>
          <cell r="C78">
            <v>0.47</v>
          </cell>
        </row>
        <row r="79">
          <cell r="A79" t="str">
            <v>Cayman Islands</v>
          </cell>
        </row>
        <row r="80">
          <cell r="A80" t="str">
            <v>Costa Rica</v>
          </cell>
          <cell r="B80">
            <v>0.53</v>
          </cell>
          <cell r="C80">
            <v>0.47</v>
          </cell>
        </row>
        <row r="81">
          <cell r="A81" t="str">
            <v>Zimbabwe</v>
          </cell>
        </row>
        <row r="82">
          <cell r="A82" t="str">
            <v>San Marino</v>
          </cell>
        </row>
        <row r="83">
          <cell r="A83" t="str">
            <v>United Kingdom</v>
          </cell>
          <cell r="B83">
            <v>0.68</v>
          </cell>
          <cell r="C83">
            <v>0.32</v>
          </cell>
        </row>
        <row r="84">
          <cell r="A84" t="str">
            <v>South Africa</v>
          </cell>
          <cell r="B84">
            <v>0.65</v>
          </cell>
          <cell r="C84">
            <v>0.35</v>
          </cell>
        </row>
        <row r="85">
          <cell r="A85" t="str">
            <v>Cyprus</v>
          </cell>
        </row>
        <row r="86">
          <cell r="A86" t="str">
            <v>Tunisia</v>
          </cell>
          <cell r="B86">
            <v>0.47</v>
          </cell>
          <cell r="C86">
            <v>0.53</v>
          </cell>
        </row>
        <row r="87">
          <cell r="A87" t="str">
            <v>Jordan</v>
          </cell>
        </row>
        <row r="88">
          <cell r="A88" t="str">
            <v>Cambodia</v>
          </cell>
        </row>
        <row r="89">
          <cell r="A89" t="str">
            <v>Bhutan</v>
          </cell>
        </row>
        <row r="90">
          <cell r="A90" t="str">
            <v>Monaco</v>
          </cell>
        </row>
        <row r="91">
          <cell r="A91" t="str">
            <v>Myanmar (Burma)</v>
          </cell>
        </row>
        <row r="92">
          <cell r="A92" t="str">
            <v>Jamaica</v>
          </cell>
        </row>
        <row r="93">
          <cell r="A93" t="str">
            <v>Ecuador</v>
          </cell>
          <cell r="B93">
            <v>0.33</v>
          </cell>
          <cell r="C93">
            <v>0.67</v>
          </cell>
        </row>
        <row r="94">
          <cell r="A94" t="str">
            <v>Afghanistan</v>
          </cell>
        </row>
        <row r="95">
          <cell r="A95" t="str">
            <v>Syria</v>
          </cell>
        </row>
        <row r="96">
          <cell r="A96" t="str">
            <v>Bermuda</v>
          </cell>
        </row>
        <row r="97">
          <cell r="A97" t="str">
            <v>Kyrgyzstan</v>
          </cell>
        </row>
        <row r="98">
          <cell r="A98" t="str">
            <v>Cameroon</v>
          </cell>
        </row>
        <row r="99">
          <cell r="A99" t="str">
            <v>Croatia</v>
          </cell>
          <cell r="B99">
            <v>0.52</v>
          </cell>
          <cell r="C99">
            <v>0.48</v>
          </cell>
        </row>
        <row r="100">
          <cell r="A100" t="str">
            <v>Bosnia &amp; Herzegovina</v>
          </cell>
        </row>
        <row r="101">
          <cell r="A101" t="str">
            <v>Sudan</v>
          </cell>
        </row>
        <row r="102">
          <cell r="A102" t="str">
            <v>Serbia</v>
          </cell>
          <cell r="B102">
            <v>0.54</v>
          </cell>
          <cell r="C102">
            <v>0.46</v>
          </cell>
        </row>
        <row r="103">
          <cell r="A103" t="str">
            <v>Botswana</v>
          </cell>
        </row>
        <row r="104">
          <cell r="A104" t="str">
            <v>Albania</v>
          </cell>
        </row>
        <row r="105">
          <cell r="A105" t="str">
            <v>Mexico</v>
          </cell>
          <cell r="B105">
            <v>0.38</v>
          </cell>
          <cell r="C105">
            <v>0.62</v>
          </cell>
        </row>
        <row r="106">
          <cell r="A106" t="str">
            <v>Malaysia</v>
          </cell>
          <cell r="B106">
            <v>0.48</v>
          </cell>
          <cell r="C106">
            <v>0.52</v>
          </cell>
        </row>
        <row r="107">
          <cell r="A107" t="str">
            <v>Guernsey</v>
          </cell>
        </row>
        <row r="108">
          <cell r="A108" t="str">
            <v>Egypt</v>
          </cell>
          <cell r="B108">
            <v>0.34</v>
          </cell>
          <cell r="C108">
            <v>0.66</v>
          </cell>
        </row>
        <row r="109">
          <cell r="A109" t="str">
            <v>Nicaragua</v>
          </cell>
        </row>
        <row r="110">
          <cell r="A110" t="str">
            <v>Jersey</v>
          </cell>
        </row>
        <row r="111">
          <cell r="A111" t="str">
            <v>Eswatini</v>
          </cell>
        </row>
        <row r="112">
          <cell r="A112" t="str">
            <v>Cape Verde</v>
          </cell>
        </row>
        <row r="113">
          <cell r="A113" t="str">
            <v>Barbados</v>
          </cell>
        </row>
        <row r="114">
          <cell r="A114" t="str">
            <v>Spain</v>
          </cell>
          <cell r="B114">
            <v>0.61</v>
          </cell>
          <cell r="C114">
            <v>0.39</v>
          </cell>
        </row>
        <row r="115">
          <cell r="A115" t="str">
            <v>Vietnam</v>
          </cell>
          <cell r="B115">
            <v>0.43</v>
          </cell>
          <cell r="C115">
            <v>0.56999999999999995</v>
          </cell>
        </row>
        <row r="116">
          <cell r="A116" t="str">
            <v>Georgia</v>
          </cell>
        </row>
        <row r="117">
          <cell r="A117" t="str">
            <v>St. Vincent &amp; Grenadines</v>
          </cell>
        </row>
        <row r="118">
          <cell r="A118" t="str">
            <v>Kazakhstan</v>
          </cell>
          <cell r="B118">
            <v>0.5</v>
          </cell>
          <cell r="C118">
            <v>0.5</v>
          </cell>
        </row>
        <row r="119">
          <cell r="A119" t="str">
            <v>Uruguay</v>
          </cell>
        </row>
        <row r="120">
          <cell r="A120" t="str">
            <v>U.S. Virgin Islands</v>
          </cell>
        </row>
        <row r="121">
          <cell r="A121" t="str">
            <v>Bahrain</v>
          </cell>
        </row>
        <row r="122">
          <cell r="A122" t="str">
            <v>Yemen</v>
          </cell>
        </row>
        <row r="123">
          <cell r="A123" t="str">
            <v>Italy</v>
          </cell>
          <cell r="B123">
            <v>0.57999999999999996</v>
          </cell>
          <cell r="C123">
            <v>0.42</v>
          </cell>
        </row>
        <row r="124">
          <cell r="A124" t="str">
            <v>Panama</v>
          </cell>
        </row>
        <row r="125">
          <cell r="A125" t="str">
            <v>Oman</v>
          </cell>
        </row>
        <row r="126">
          <cell r="A126" t="str">
            <v>Benin</v>
          </cell>
        </row>
        <row r="127">
          <cell r="A127" t="str">
            <v>Bolivia</v>
          </cell>
          <cell r="B127">
            <v>0.33</v>
          </cell>
          <cell r="C127">
            <v>0.67</v>
          </cell>
        </row>
        <row r="128">
          <cell r="A128" t="str">
            <v>Andorra</v>
          </cell>
        </row>
        <row r="129">
          <cell r="A129" t="str">
            <v>Colombia</v>
          </cell>
          <cell r="B129">
            <v>0.39</v>
          </cell>
          <cell r="C129">
            <v>0.61</v>
          </cell>
        </row>
        <row r="130">
          <cell r="A130" t="str">
            <v>Papua New Guinea</v>
          </cell>
        </row>
        <row r="131">
          <cell r="A131" t="str">
            <v>CuraÃ§ao</v>
          </cell>
        </row>
        <row r="132">
          <cell r="A132" t="str">
            <v>Uganda</v>
          </cell>
        </row>
        <row r="133">
          <cell r="A133" t="str">
            <v>France</v>
          </cell>
          <cell r="B133">
            <v>0.53</v>
          </cell>
          <cell r="C133">
            <v>0.47</v>
          </cell>
        </row>
        <row r="134">
          <cell r="A134" t="str">
            <v>El Salvador</v>
          </cell>
        </row>
        <row r="135">
          <cell r="A135" t="str">
            <v>United Arab Emirates</v>
          </cell>
          <cell r="B135">
            <v>0.6</v>
          </cell>
          <cell r="C135">
            <v>0.4</v>
          </cell>
        </row>
        <row r="136">
          <cell r="A136" t="str">
            <v>Maldives</v>
          </cell>
        </row>
        <row r="137">
          <cell r="A137" t="str">
            <v>Namibia</v>
          </cell>
        </row>
        <row r="138">
          <cell r="A138" t="str">
            <v>Tanzania</v>
          </cell>
        </row>
        <row r="139">
          <cell r="A139" t="str">
            <v>Trinidad &amp; Tobago</v>
          </cell>
        </row>
        <row r="140">
          <cell r="A140" t="str">
            <v>Tajikistan</v>
          </cell>
        </row>
        <row r="141">
          <cell r="A141" t="str">
            <v>Antigua &amp; Barbuda</v>
          </cell>
        </row>
        <row r="142">
          <cell r="A142" t="str">
            <v>Indonesia</v>
          </cell>
          <cell r="B142">
            <v>0.4</v>
          </cell>
          <cell r="C142">
            <v>0.6</v>
          </cell>
        </row>
        <row r="143">
          <cell r="A143" t="str">
            <v>Morocco</v>
          </cell>
          <cell r="B143">
            <v>0.39</v>
          </cell>
          <cell r="C143">
            <v>0.61</v>
          </cell>
        </row>
        <row r="144">
          <cell r="A144" t="str">
            <v>Dominican Republic</v>
          </cell>
        </row>
        <row r="145">
          <cell r="A145" t="str">
            <v>Palestine</v>
          </cell>
        </row>
        <row r="146">
          <cell r="A146" t="str">
            <v>Peru</v>
          </cell>
          <cell r="B146">
            <v>0.42</v>
          </cell>
          <cell r="C146">
            <v>0.57999999999999996</v>
          </cell>
        </row>
        <row r="147">
          <cell r="A147" t="str">
            <v>Puerto Rico</v>
          </cell>
        </row>
        <row r="148">
          <cell r="A148" t="str">
            <v>Burundi</v>
          </cell>
        </row>
        <row r="149">
          <cell r="A149" t="str">
            <v>Angola</v>
          </cell>
        </row>
        <row r="150">
          <cell r="A150" t="str">
            <v>Malawi</v>
          </cell>
        </row>
        <row r="151">
          <cell r="A151" t="str">
            <v>Greece</v>
          </cell>
          <cell r="B151">
            <v>0.5</v>
          </cell>
          <cell r="C151">
            <v>0.5</v>
          </cell>
        </row>
        <row r="152">
          <cell r="A152" t="str">
            <v>Guyana</v>
          </cell>
        </row>
        <row r="153">
          <cell r="A153" t="str">
            <v>Chile</v>
          </cell>
          <cell r="B153">
            <v>0.6</v>
          </cell>
          <cell r="C153">
            <v>0.4</v>
          </cell>
        </row>
        <row r="154">
          <cell r="A154" t="str">
            <v>Paraguay</v>
          </cell>
        </row>
        <row r="155">
          <cell r="A155" t="str">
            <v>Zambia</v>
          </cell>
        </row>
        <row r="156">
          <cell r="A156" t="str">
            <v>Qatar</v>
          </cell>
        </row>
        <row r="157">
          <cell r="A157" t="str">
            <v>Congo - Kinshasa</v>
          </cell>
        </row>
        <row r="158">
          <cell r="A158" t="str">
            <v>Laos</v>
          </cell>
        </row>
        <row r="159">
          <cell r="A159" t="str">
            <v>Seychelles</v>
          </cell>
        </row>
        <row r="160">
          <cell r="A160" t="str">
            <v>French Polynesia</v>
          </cell>
        </row>
        <row r="161">
          <cell r="A161" t="str">
            <v>Mozambique</v>
          </cell>
        </row>
        <row r="162">
          <cell r="A162" t="str">
            <v>Brunei</v>
          </cell>
        </row>
        <row r="163">
          <cell r="A163" t="str">
            <v>Kosovo</v>
          </cell>
        </row>
        <row r="164">
          <cell r="A164" t="str">
            <v>New Caledonia</v>
          </cell>
        </row>
        <row r="165">
          <cell r="A165" t="str">
            <v>Venezuela</v>
          </cell>
          <cell r="B165">
            <v>0.35</v>
          </cell>
          <cell r="C165">
            <v>0.65</v>
          </cell>
        </row>
        <row r="166">
          <cell r="A166" t="str">
            <v>Algeria</v>
          </cell>
        </row>
        <row r="167">
          <cell r="A167" t="str">
            <v>Montenegro</v>
          </cell>
        </row>
        <row r="168">
          <cell r="A168" t="str">
            <v>Congo - Brazzaville</v>
          </cell>
        </row>
        <row r="169">
          <cell r="A169" t="str">
            <v>Brazil</v>
          </cell>
          <cell r="B169">
            <v>0.53</v>
          </cell>
          <cell r="C169">
            <v>0.47</v>
          </cell>
        </row>
        <row r="170">
          <cell r="A170" t="str">
            <v>Suriname</v>
          </cell>
        </row>
        <row r="171">
          <cell r="A171" t="str">
            <v>Nigeria</v>
          </cell>
        </row>
        <row r="172">
          <cell r="A172" t="str">
            <v>Grenada</v>
          </cell>
        </row>
        <row r="173">
          <cell r="A173" t="str">
            <v>Argentina</v>
          </cell>
          <cell r="B173">
            <v>0.56999999999999995</v>
          </cell>
          <cell r="C173">
            <v>0.43</v>
          </cell>
        </row>
        <row r="174">
          <cell r="A174" t="str">
            <v>CÃ´te dâ€™Ivoire</v>
          </cell>
        </row>
        <row r="175">
          <cell r="A175" t="str">
            <v>Turkmenistan</v>
          </cell>
        </row>
        <row r="176">
          <cell r="A176" t="str">
            <v>Guinea</v>
          </cell>
        </row>
        <row r="177">
          <cell r="A177" t="str">
            <v>Senegal</v>
          </cell>
        </row>
        <row r="178">
          <cell r="A178" t="str">
            <v>Aruba</v>
          </cell>
        </row>
        <row r="179">
          <cell r="A179" t="str">
            <v>Guam</v>
          </cell>
        </row>
        <row r="180">
          <cell r="A180" t="str">
            <v>Libya</v>
          </cell>
        </row>
        <row r="181">
          <cell r="A181" t="str">
            <v>Gambia</v>
          </cell>
        </row>
        <row r="182">
          <cell r="A182" t="str">
            <v>Azerbaijan</v>
          </cell>
        </row>
        <row r="183">
          <cell r="A183" t="str">
            <v>Mali</v>
          </cell>
        </row>
        <row r="184">
          <cell r="A184" t="str">
            <v>Iraq</v>
          </cell>
        </row>
        <row r="185">
          <cell r="A185" t="str">
            <v>Thailand</v>
          </cell>
          <cell r="B185">
            <v>0.5</v>
          </cell>
          <cell r="C185">
            <v>0.5</v>
          </cell>
        </row>
        <row r="186">
          <cell r="A186" t="str">
            <v>Haiti</v>
          </cell>
        </row>
        <row r="187">
          <cell r="A187" t="str">
            <v>Niger</v>
          </cell>
        </row>
        <row r="188">
          <cell r="A188" t="str">
            <v>Gabon</v>
          </cell>
        </row>
        <row r="189">
          <cell r="A189" t="str">
            <v>Liberia</v>
          </cell>
        </row>
        <row r="190">
          <cell r="A190" t="str">
            <v>Kuwait</v>
          </cell>
        </row>
        <row r="191">
          <cell r="A191" t="str">
            <v>Mauritania</v>
          </cell>
        </row>
        <row r="192">
          <cell r="A192" t="str">
            <v>Burkina Faso</v>
          </cell>
        </row>
        <row r="193">
          <cell r="A193" t="str">
            <v>Bahamas</v>
          </cell>
        </row>
        <row r="194">
          <cell r="A194" t="str">
            <v>French Guiana</v>
          </cell>
        </row>
        <row r="195">
          <cell r="A195" t="str">
            <v>Turkey</v>
          </cell>
          <cell r="B195">
            <v>0.47</v>
          </cell>
          <cell r="C195">
            <v>0.53</v>
          </cell>
        </row>
        <row r="196">
          <cell r="A196" t="str">
            <v>Saudi Arabia</v>
          </cell>
          <cell r="B196">
            <v>0.41</v>
          </cell>
          <cell r="C196">
            <v>0.59</v>
          </cell>
        </row>
        <row r="197">
          <cell r="A197" t="str">
            <v>Chad</v>
          </cell>
        </row>
        <row r="198">
          <cell r="A198" t="str">
            <v>RÃ©union</v>
          </cell>
        </row>
        <row r="199">
          <cell r="A199" t="str">
            <v>Sierra Leone</v>
          </cell>
        </row>
        <row r="200">
          <cell r="A200" t="str">
            <v>Martinique</v>
          </cell>
        </row>
        <row r="201">
          <cell r="A201" t="str">
            <v>Guadeloupe</v>
          </cell>
        </row>
        <row r="202">
          <cell r="A202" t="str">
            <v>Sint Maarten</v>
          </cell>
        </row>
        <row r="203">
          <cell r="A203" t="str">
            <v>South Sudan</v>
          </cell>
        </row>
        <row r="204">
          <cell r="A204" t="str">
            <v>Svalbard &amp; Jan Mayen</v>
          </cell>
        </row>
        <row r="205">
          <cell r="A205" t="str">
            <v>Kiribati</v>
          </cell>
        </row>
        <row r="206">
          <cell r="A206" t="str">
            <v>Falkland Islands (Islas Malvinas)</v>
          </cell>
        </row>
        <row r="207">
          <cell r="A207" t="str">
            <v>Eritrea</v>
          </cell>
        </row>
        <row r="208">
          <cell r="A208" t="str">
            <v>St. Pierre &amp; Miquelon</v>
          </cell>
        </row>
        <row r="209">
          <cell r="A209" t="str">
            <v>Micronesia</v>
          </cell>
        </row>
        <row r="210">
          <cell r="A210" t="str">
            <v>Cook Islands</v>
          </cell>
        </row>
        <row r="211">
          <cell r="A211" t="str">
            <v>Greenland</v>
          </cell>
        </row>
        <row r="212">
          <cell r="A212" t="str">
            <v>Vanuatu</v>
          </cell>
        </row>
        <row r="213">
          <cell r="A213" t="str">
            <v>Marshall Islands</v>
          </cell>
        </row>
        <row r="214">
          <cell r="A214" t="str">
            <v>St. Kitts &amp; Nevis</v>
          </cell>
        </row>
        <row r="215">
          <cell r="A215" t="str">
            <v>American Samoa</v>
          </cell>
        </row>
        <row r="216">
          <cell r="A216" t="str">
            <v>Anguilla</v>
          </cell>
        </row>
        <row r="217">
          <cell r="A217" t="str">
            <v>SÃ£o TomÃ© &amp; PrÃ­ncipe</v>
          </cell>
        </row>
        <row r="218">
          <cell r="A218" t="str">
            <v>Central African Republic</v>
          </cell>
        </row>
        <row r="219">
          <cell r="A219" t="str">
            <v>Northern Mariana Islands</v>
          </cell>
        </row>
        <row r="220">
          <cell r="A220" t="str">
            <v>Djibouti</v>
          </cell>
        </row>
        <row r="221">
          <cell r="A221" t="str">
            <v>Guinea-Bissau</v>
          </cell>
        </row>
        <row r="222">
          <cell r="A222" t="str">
            <v>Samoa</v>
          </cell>
        </row>
        <row r="223">
          <cell r="A223" t="str">
            <v>British Virgin Islands</v>
          </cell>
        </row>
        <row r="224">
          <cell r="A224" t="str">
            <v>Caribbean Netherlands</v>
          </cell>
        </row>
        <row r="225">
          <cell r="A225" t="str">
            <v>Turks &amp; Caicos Islands</v>
          </cell>
        </row>
        <row r="226">
          <cell r="A226" t="str">
            <v>Comoros</v>
          </cell>
        </row>
        <row r="227">
          <cell r="A227" t="str">
            <v>St. Lucia</v>
          </cell>
        </row>
        <row r="228">
          <cell r="A228" t="str">
            <v>Solomon Islands</v>
          </cell>
        </row>
        <row r="229">
          <cell r="A229" t="str">
            <v>St. BarthÃ©lemy</v>
          </cell>
        </row>
        <row r="230">
          <cell r="A230" t="str">
            <v>Dominica</v>
          </cell>
        </row>
        <row r="231">
          <cell r="A231" t="str">
            <v>St. Martin</v>
          </cell>
        </row>
        <row r="232">
          <cell r="A232" t="str">
            <v>Mayotte</v>
          </cell>
        </row>
        <row r="233">
          <cell r="A233" t="str">
            <v>Equatorial Guinea</v>
          </cell>
        </row>
        <row r="234">
          <cell r="A234" t="str">
            <v>Timor-Leste</v>
          </cell>
        </row>
        <row r="235">
          <cell r="A235" t="str">
            <v>Antarctica</v>
          </cell>
        </row>
        <row r="236">
          <cell r="A236" t="str">
            <v>French Southern Territories</v>
          </cell>
        </row>
        <row r="237">
          <cell r="A237" t="str">
            <v>Bouvet Island</v>
          </cell>
        </row>
        <row r="238">
          <cell r="A238" t="str">
            <v>Cocos (Keeling) Islands</v>
          </cell>
        </row>
        <row r="239">
          <cell r="A239" t="str">
            <v>Christmas Island</v>
          </cell>
        </row>
        <row r="240">
          <cell r="A240" t="str">
            <v>Western Sahara</v>
          </cell>
        </row>
        <row r="241">
          <cell r="A241" t="str">
            <v>Heard &amp; McDonald Islands</v>
          </cell>
        </row>
        <row r="242">
          <cell r="A242" t="str">
            <v>Montserrat</v>
          </cell>
        </row>
        <row r="243">
          <cell r="A243" t="str">
            <v>Norfolk Island</v>
          </cell>
        </row>
        <row r="244">
          <cell r="A244" t="str">
            <v>Niue</v>
          </cell>
        </row>
        <row r="245">
          <cell r="A245" t="str">
            <v>Nauru</v>
          </cell>
        </row>
        <row r="246">
          <cell r="A246" t="str">
            <v>Pitcairn Islands</v>
          </cell>
        </row>
        <row r="247">
          <cell r="A247" t="str">
            <v>Palau</v>
          </cell>
        </row>
        <row r="248">
          <cell r="A248" t="str">
            <v>South Georgia &amp; South Sandwich Islands</v>
          </cell>
        </row>
        <row r="249">
          <cell r="A249" t="str">
            <v>Tokelau</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2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7)"/>
    </sheetNames>
    <sheetDataSet>
      <sheetData sheetId="0">
        <row r="1">
          <cell r="A1" t="str">
            <v>Kategori: TÃ¼m kategoriler</v>
          </cell>
        </row>
        <row r="3">
          <cell r="A3" t="str">
            <v>Ãœlke</v>
          </cell>
          <cell r="B3" t="str">
            <v>C++: (2014)</v>
          </cell>
          <cell r="C3" t="str">
            <v>ReactJS: (2014)</v>
          </cell>
        </row>
        <row r="4">
          <cell r="A4" t="str">
            <v>North Korea</v>
          </cell>
        </row>
        <row r="5">
          <cell r="A5" t="str">
            <v>Cuba</v>
          </cell>
        </row>
        <row r="6">
          <cell r="A6" t="str">
            <v>China</v>
          </cell>
          <cell r="B6">
            <v>0.99</v>
          </cell>
          <cell r="C6">
            <v>0.01</v>
          </cell>
        </row>
        <row r="7">
          <cell r="A7" t="str">
            <v>Ethiopia</v>
          </cell>
        </row>
        <row r="8">
          <cell r="A8" t="str">
            <v>Pakistan</v>
          </cell>
          <cell r="B8">
            <v>1</v>
          </cell>
          <cell r="C8" t="str">
            <v>&lt;1%</v>
          </cell>
        </row>
        <row r="9">
          <cell r="A9" t="str">
            <v>Lesotho</v>
          </cell>
        </row>
        <row r="10">
          <cell r="A10" t="str">
            <v>Iceland</v>
          </cell>
        </row>
        <row r="11">
          <cell r="A11" t="str">
            <v>South Korea</v>
          </cell>
          <cell r="B11">
            <v>0.99</v>
          </cell>
          <cell r="C11">
            <v>0.01</v>
          </cell>
        </row>
        <row r="12">
          <cell r="A12" t="str">
            <v>Fiji</v>
          </cell>
        </row>
        <row r="13">
          <cell r="A13" t="str">
            <v>India</v>
          </cell>
          <cell r="B13">
            <v>1</v>
          </cell>
          <cell r="C13" t="str">
            <v>&lt;1%</v>
          </cell>
        </row>
        <row r="14">
          <cell r="A14" t="str">
            <v>Belarus</v>
          </cell>
          <cell r="B14">
            <v>0.99</v>
          </cell>
          <cell r="C14">
            <v>0.01</v>
          </cell>
        </row>
        <row r="15">
          <cell r="A15" t="str">
            <v>Armenia</v>
          </cell>
        </row>
        <row r="16">
          <cell r="A16" t="str">
            <v>St. Helena</v>
          </cell>
        </row>
        <row r="17">
          <cell r="A17" t="str">
            <v>Rwanda</v>
          </cell>
        </row>
        <row r="18">
          <cell r="A18" t="str">
            <v>Philippines</v>
          </cell>
          <cell r="B18">
            <v>0.98</v>
          </cell>
          <cell r="C18">
            <v>0.02</v>
          </cell>
        </row>
        <row r="19">
          <cell r="A19" t="str">
            <v>Romania</v>
          </cell>
          <cell r="B19">
            <v>0.98</v>
          </cell>
          <cell r="C19">
            <v>0.02</v>
          </cell>
        </row>
        <row r="20">
          <cell r="A20" t="str">
            <v>Nepal</v>
          </cell>
        </row>
        <row r="21">
          <cell r="A21" t="str">
            <v>Taiwan</v>
          </cell>
          <cell r="B21">
            <v>0.98</v>
          </cell>
          <cell r="C21">
            <v>0.02</v>
          </cell>
        </row>
        <row r="22">
          <cell r="A22" t="str">
            <v>Poland</v>
          </cell>
          <cell r="B22">
            <v>0.99</v>
          </cell>
          <cell r="C22">
            <v>0.01</v>
          </cell>
        </row>
        <row r="23">
          <cell r="A23" t="str">
            <v>Iran</v>
          </cell>
        </row>
        <row r="24">
          <cell r="A24" t="str">
            <v>Honduras</v>
          </cell>
        </row>
        <row r="25">
          <cell r="A25" t="str">
            <v>Israel</v>
          </cell>
          <cell r="B25">
            <v>0.98</v>
          </cell>
          <cell r="C25">
            <v>0.02</v>
          </cell>
        </row>
        <row r="26">
          <cell r="A26" t="str">
            <v>Russia</v>
          </cell>
          <cell r="B26">
            <v>0.99</v>
          </cell>
          <cell r="C26">
            <v>0.01</v>
          </cell>
        </row>
        <row r="27">
          <cell r="A27" t="str">
            <v>Singapore</v>
          </cell>
          <cell r="B27">
            <v>0.97</v>
          </cell>
          <cell r="C27">
            <v>0.03</v>
          </cell>
        </row>
        <row r="28">
          <cell r="A28" t="str">
            <v>Guatemala</v>
          </cell>
        </row>
        <row r="29">
          <cell r="A29" t="str">
            <v>Bangladesh</v>
          </cell>
          <cell r="B29">
            <v>0.99</v>
          </cell>
          <cell r="C29">
            <v>0.01</v>
          </cell>
        </row>
        <row r="30">
          <cell r="A30" t="str">
            <v>Czechia</v>
          </cell>
          <cell r="B30">
            <v>0.96</v>
          </cell>
          <cell r="C30">
            <v>0.04</v>
          </cell>
        </row>
        <row r="31">
          <cell r="A31" t="str">
            <v>Somalia</v>
          </cell>
        </row>
        <row r="32">
          <cell r="A32" t="str">
            <v>Ukraine</v>
          </cell>
          <cell r="B32">
            <v>0.99</v>
          </cell>
          <cell r="C32">
            <v>0.01</v>
          </cell>
        </row>
        <row r="33">
          <cell r="A33" t="str">
            <v>Madagascar</v>
          </cell>
        </row>
        <row r="34">
          <cell r="A34" t="str">
            <v>Sri Lanka</v>
          </cell>
        </row>
        <row r="35">
          <cell r="A35" t="str">
            <v>North Macedonia</v>
          </cell>
        </row>
        <row r="36">
          <cell r="A36" t="str">
            <v>Belize</v>
          </cell>
        </row>
        <row r="37">
          <cell r="A37" t="str">
            <v>Lithuania</v>
          </cell>
          <cell r="B37">
            <v>0.97</v>
          </cell>
          <cell r="C37">
            <v>0.03</v>
          </cell>
        </row>
        <row r="38">
          <cell r="A38" t="str">
            <v>Togo</v>
          </cell>
        </row>
        <row r="39">
          <cell r="A39" t="str">
            <v>Hong Kong</v>
          </cell>
          <cell r="B39">
            <v>0.94</v>
          </cell>
          <cell r="C39">
            <v>0.06</v>
          </cell>
        </row>
        <row r="40">
          <cell r="A40" t="str">
            <v>Zimbabwe</v>
          </cell>
        </row>
        <row r="41">
          <cell r="A41" t="str">
            <v>Tonga</v>
          </cell>
        </row>
        <row r="42">
          <cell r="A42" t="str">
            <v>Kenya</v>
          </cell>
          <cell r="B42">
            <v>0.97</v>
          </cell>
          <cell r="C42">
            <v>0.03</v>
          </cell>
        </row>
        <row r="43">
          <cell r="A43" t="str">
            <v>Latvia</v>
          </cell>
          <cell r="B43">
            <v>0.96</v>
          </cell>
          <cell r="C43">
            <v>0.04</v>
          </cell>
        </row>
        <row r="44">
          <cell r="A44" t="str">
            <v>Uzbekistan</v>
          </cell>
        </row>
        <row r="45">
          <cell r="A45" t="str">
            <v>Mongolia</v>
          </cell>
        </row>
        <row r="46">
          <cell r="A46" t="str">
            <v>Moldova</v>
          </cell>
        </row>
        <row r="47">
          <cell r="A47" t="str">
            <v>Ghana</v>
          </cell>
        </row>
        <row r="48">
          <cell r="A48" t="str">
            <v>Germany</v>
          </cell>
          <cell r="B48">
            <v>0.98</v>
          </cell>
          <cell r="C48">
            <v>0.02</v>
          </cell>
        </row>
        <row r="49">
          <cell r="A49" t="str">
            <v>Bulgaria</v>
          </cell>
          <cell r="B49">
            <v>0.97</v>
          </cell>
          <cell r="C49">
            <v>0.03</v>
          </cell>
        </row>
        <row r="50">
          <cell r="A50" t="str">
            <v>St. Vincent &amp; Grenadines</v>
          </cell>
        </row>
        <row r="51">
          <cell r="A51" t="str">
            <v>Tunisia</v>
          </cell>
        </row>
        <row r="52">
          <cell r="A52" t="str">
            <v>Jordan</v>
          </cell>
        </row>
        <row r="53">
          <cell r="A53" t="str">
            <v>Costa Rica</v>
          </cell>
          <cell r="B53">
            <v>0.99</v>
          </cell>
          <cell r="C53">
            <v>0.01</v>
          </cell>
        </row>
        <row r="54">
          <cell r="A54" t="str">
            <v>Hungary</v>
          </cell>
          <cell r="B54">
            <v>0.98</v>
          </cell>
          <cell r="C54">
            <v>0.02</v>
          </cell>
        </row>
        <row r="55">
          <cell r="A55" t="str">
            <v>Jamaica</v>
          </cell>
        </row>
        <row r="56">
          <cell r="A56" t="str">
            <v>Sweden</v>
          </cell>
          <cell r="B56">
            <v>0.93</v>
          </cell>
          <cell r="C56">
            <v>7.0000000000000007E-2</v>
          </cell>
        </row>
        <row r="57">
          <cell r="A57" t="str">
            <v>Switzerland</v>
          </cell>
          <cell r="B57">
            <v>0.97</v>
          </cell>
          <cell r="C57">
            <v>0.03</v>
          </cell>
        </row>
        <row r="58">
          <cell r="A58" t="str">
            <v>Austria</v>
          </cell>
          <cell r="B58">
            <v>0.98</v>
          </cell>
          <cell r="C58">
            <v>0.02</v>
          </cell>
        </row>
        <row r="59">
          <cell r="A59" t="str">
            <v>Afghanistan</v>
          </cell>
        </row>
        <row r="60">
          <cell r="A60" t="str">
            <v>Cameroon</v>
          </cell>
        </row>
        <row r="61">
          <cell r="A61" t="str">
            <v>Syria</v>
          </cell>
        </row>
        <row r="62">
          <cell r="A62" t="str">
            <v>Ecuador</v>
          </cell>
        </row>
        <row r="63">
          <cell r="A63" t="str">
            <v>Slovenia</v>
          </cell>
          <cell r="B63">
            <v>0.96</v>
          </cell>
          <cell r="C63">
            <v>0.04</v>
          </cell>
        </row>
        <row r="64">
          <cell r="A64" t="str">
            <v>Botswana</v>
          </cell>
        </row>
        <row r="65">
          <cell r="A65" t="str">
            <v>Cambodia</v>
          </cell>
        </row>
        <row r="66">
          <cell r="A66" t="str">
            <v>Bosnia &amp; Herzegovina</v>
          </cell>
        </row>
        <row r="67">
          <cell r="A67" t="str">
            <v>Albania</v>
          </cell>
        </row>
        <row r="68">
          <cell r="A68" t="str">
            <v>Lebanon</v>
          </cell>
        </row>
        <row r="69">
          <cell r="A69" t="str">
            <v>Slovakia</v>
          </cell>
          <cell r="B69">
            <v>0.96</v>
          </cell>
          <cell r="C69">
            <v>0.04</v>
          </cell>
        </row>
        <row r="70">
          <cell r="A70" t="str">
            <v>Bhutan</v>
          </cell>
        </row>
        <row r="71">
          <cell r="A71" t="str">
            <v>Nicaragua</v>
          </cell>
        </row>
        <row r="72">
          <cell r="A72" t="str">
            <v>Mexico</v>
          </cell>
          <cell r="B72">
            <v>1</v>
          </cell>
          <cell r="C72" t="str">
            <v>&lt;1%</v>
          </cell>
        </row>
        <row r="73">
          <cell r="A73" t="str">
            <v>Estonia</v>
          </cell>
        </row>
        <row r="74">
          <cell r="A74" t="str">
            <v>Malaysia</v>
          </cell>
          <cell r="B74">
            <v>0.98</v>
          </cell>
          <cell r="C74">
            <v>0.02</v>
          </cell>
        </row>
        <row r="75">
          <cell r="A75" t="str">
            <v>Mauritius</v>
          </cell>
        </row>
        <row r="76">
          <cell r="A76" t="str">
            <v>Yemen</v>
          </cell>
        </row>
        <row r="77">
          <cell r="A77" t="str">
            <v>Egypt</v>
          </cell>
          <cell r="B77">
            <v>0.99</v>
          </cell>
          <cell r="C77">
            <v>0.01</v>
          </cell>
        </row>
        <row r="78">
          <cell r="A78" t="str">
            <v>Canada</v>
          </cell>
          <cell r="B78">
            <v>0.96</v>
          </cell>
          <cell r="C78">
            <v>0.04</v>
          </cell>
        </row>
        <row r="79">
          <cell r="A79" t="str">
            <v>Croatia</v>
          </cell>
          <cell r="B79">
            <v>0.96</v>
          </cell>
          <cell r="C79">
            <v>0.04</v>
          </cell>
        </row>
        <row r="80">
          <cell r="A80" t="str">
            <v>Finland</v>
          </cell>
          <cell r="B80">
            <v>0.93</v>
          </cell>
          <cell r="C80">
            <v>7.0000000000000007E-2</v>
          </cell>
        </row>
        <row r="81">
          <cell r="A81" t="str">
            <v>Cape Verde</v>
          </cell>
        </row>
        <row r="82">
          <cell r="A82" t="str">
            <v>Cyprus</v>
          </cell>
        </row>
        <row r="83">
          <cell r="A83" t="str">
            <v>Sudan</v>
          </cell>
        </row>
        <row r="84">
          <cell r="A84" t="str">
            <v>Bahrain</v>
          </cell>
        </row>
        <row r="85">
          <cell r="A85" t="str">
            <v>Oman</v>
          </cell>
        </row>
        <row r="86">
          <cell r="A86" t="str">
            <v>United States</v>
          </cell>
          <cell r="B86">
            <v>0.95</v>
          </cell>
          <cell r="C86">
            <v>0.05</v>
          </cell>
        </row>
        <row r="87">
          <cell r="A87" t="str">
            <v>Kyrgyzstan</v>
          </cell>
        </row>
        <row r="88">
          <cell r="A88" t="str">
            <v>Vietnam</v>
          </cell>
          <cell r="B88">
            <v>0.98</v>
          </cell>
          <cell r="C88">
            <v>0.02</v>
          </cell>
        </row>
        <row r="89">
          <cell r="A89" t="str">
            <v>Serbia</v>
          </cell>
          <cell r="B89">
            <v>0.97</v>
          </cell>
          <cell r="C89">
            <v>0.03</v>
          </cell>
        </row>
        <row r="90">
          <cell r="A90" t="str">
            <v>Barbados</v>
          </cell>
        </row>
        <row r="91">
          <cell r="A91" t="str">
            <v>Kazakhstan</v>
          </cell>
          <cell r="B91">
            <v>0.99</v>
          </cell>
          <cell r="C91">
            <v>0.01</v>
          </cell>
        </row>
        <row r="92">
          <cell r="A92" t="str">
            <v>Japan</v>
          </cell>
          <cell r="B92">
            <v>0.99</v>
          </cell>
          <cell r="C92">
            <v>0.01</v>
          </cell>
        </row>
        <row r="93">
          <cell r="A93" t="str">
            <v>Uganda</v>
          </cell>
        </row>
        <row r="94">
          <cell r="A94" t="str">
            <v>Bolivia</v>
          </cell>
          <cell r="B94">
            <v>0.99</v>
          </cell>
          <cell r="C94">
            <v>0.01</v>
          </cell>
        </row>
        <row r="95">
          <cell r="A95" t="str">
            <v>Norway</v>
          </cell>
          <cell r="B95">
            <v>0.89</v>
          </cell>
          <cell r="C95">
            <v>0.11</v>
          </cell>
        </row>
        <row r="96">
          <cell r="A96" t="str">
            <v>Georgia</v>
          </cell>
        </row>
        <row r="97">
          <cell r="A97" t="str">
            <v>Faroe Islands</v>
          </cell>
        </row>
        <row r="98">
          <cell r="A98" t="str">
            <v>Colombia</v>
          </cell>
          <cell r="B98">
            <v>1</v>
          </cell>
          <cell r="C98" t="str">
            <v>&lt;1%</v>
          </cell>
        </row>
        <row r="99">
          <cell r="A99" t="str">
            <v>Benin</v>
          </cell>
        </row>
        <row r="100">
          <cell r="A100" t="str">
            <v>Panama</v>
          </cell>
        </row>
        <row r="101">
          <cell r="A101" t="str">
            <v>Tajikistan</v>
          </cell>
        </row>
        <row r="102">
          <cell r="A102" t="str">
            <v>Portugal</v>
          </cell>
          <cell r="B102">
            <v>0.95</v>
          </cell>
          <cell r="C102">
            <v>0.05</v>
          </cell>
        </row>
        <row r="103">
          <cell r="A103" t="str">
            <v>Malta</v>
          </cell>
        </row>
        <row r="104">
          <cell r="A104" t="str">
            <v>Dominican Republic</v>
          </cell>
        </row>
        <row r="105">
          <cell r="A105" t="str">
            <v>Maldives</v>
          </cell>
        </row>
        <row r="106">
          <cell r="A106" t="str">
            <v>Grenada</v>
          </cell>
        </row>
        <row r="107">
          <cell r="A107" t="str">
            <v>Eswatini</v>
          </cell>
        </row>
        <row r="108">
          <cell r="A108" t="str">
            <v>Morocco</v>
          </cell>
          <cell r="B108">
            <v>0.99</v>
          </cell>
          <cell r="C108">
            <v>0.01</v>
          </cell>
        </row>
        <row r="109">
          <cell r="A109" t="str">
            <v>Papua New Guinea</v>
          </cell>
        </row>
        <row r="110">
          <cell r="A110" t="str">
            <v>El Salvador</v>
          </cell>
        </row>
        <row r="111">
          <cell r="A111" t="str">
            <v>Malawi</v>
          </cell>
        </row>
        <row r="112">
          <cell r="A112" t="str">
            <v>Indonesia</v>
          </cell>
          <cell r="B112">
            <v>0.98</v>
          </cell>
          <cell r="C112">
            <v>0.02</v>
          </cell>
        </row>
        <row r="113">
          <cell r="A113" t="str">
            <v>Angola</v>
          </cell>
        </row>
        <row r="114">
          <cell r="A114" t="str">
            <v>St. Kitts &amp; Nevis</v>
          </cell>
        </row>
        <row r="115">
          <cell r="A115" t="str">
            <v>Tanzania</v>
          </cell>
        </row>
        <row r="116">
          <cell r="A116" t="str">
            <v>Peru</v>
          </cell>
          <cell r="B116">
            <v>1</v>
          </cell>
          <cell r="C116" t="str">
            <v>&lt;1%</v>
          </cell>
        </row>
        <row r="117">
          <cell r="A117" t="str">
            <v>Palestine</v>
          </cell>
        </row>
        <row r="118">
          <cell r="A118" t="str">
            <v>Belgium</v>
          </cell>
          <cell r="B118">
            <v>0.96</v>
          </cell>
          <cell r="C118">
            <v>0.04</v>
          </cell>
        </row>
        <row r="119">
          <cell r="A119" t="str">
            <v>Macao</v>
          </cell>
        </row>
        <row r="120">
          <cell r="A120" t="str">
            <v>Puerto Rico</v>
          </cell>
        </row>
        <row r="121">
          <cell r="A121" t="str">
            <v>Luxembourg</v>
          </cell>
        </row>
        <row r="122">
          <cell r="A122" t="str">
            <v>South Africa</v>
          </cell>
          <cell r="B122">
            <v>0.96</v>
          </cell>
          <cell r="C122">
            <v>0.04</v>
          </cell>
        </row>
        <row r="123">
          <cell r="A123" t="str">
            <v>Denmark</v>
          </cell>
          <cell r="B123">
            <v>0.92</v>
          </cell>
          <cell r="C123">
            <v>0.08</v>
          </cell>
        </row>
        <row r="124">
          <cell r="A124" t="str">
            <v>New Zealand</v>
          </cell>
          <cell r="B124">
            <v>0.93</v>
          </cell>
          <cell r="C124">
            <v>7.0000000000000007E-2</v>
          </cell>
        </row>
        <row r="125">
          <cell r="A125" t="str">
            <v>Greece</v>
          </cell>
          <cell r="B125">
            <v>0.96</v>
          </cell>
          <cell r="C125">
            <v>0.04</v>
          </cell>
        </row>
        <row r="126">
          <cell r="A126" t="str">
            <v>France</v>
          </cell>
          <cell r="B126">
            <v>0.98</v>
          </cell>
          <cell r="C126">
            <v>0.02</v>
          </cell>
        </row>
        <row r="127">
          <cell r="A127" t="str">
            <v>Myanmar (Burma)</v>
          </cell>
        </row>
        <row r="128">
          <cell r="A128" t="str">
            <v>Italy</v>
          </cell>
          <cell r="B128">
            <v>0.99</v>
          </cell>
          <cell r="C128">
            <v>0.01</v>
          </cell>
        </row>
        <row r="129">
          <cell r="A129" t="str">
            <v>Kosovo</v>
          </cell>
        </row>
        <row r="130">
          <cell r="A130" t="str">
            <v>Paraguay</v>
          </cell>
        </row>
        <row r="131">
          <cell r="A131" t="str">
            <v>Mozambique</v>
          </cell>
        </row>
        <row r="132">
          <cell r="A132" t="str">
            <v>Netherlands</v>
          </cell>
          <cell r="B132">
            <v>0.93</v>
          </cell>
          <cell r="C132">
            <v>7.0000000000000007E-2</v>
          </cell>
        </row>
        <row r="133">
          <cell r="A133" t="str">
            <v>Spain</v>
          </cell>
          <cell r="B133">
            <v>0.98</v>
          </cell>
          <cell r="C133">
            <v>0.02</v>
          </cell>
        </row>
        <row r="134">
          <cell r="A134" t="str">
            <v>United Kingdom</v>
          </cell>
          <cell r="B134">
            <v>0.93</v>
          </cell>
          <cell r="C134">
            <v>7.0000000000000007E-2</v>
          </cell>
        </row>
        <row r="135">
          <cell r="A135" t="str">
            <v>Algeria</v>
          </cell>
        </row>
        <row r="136">
          <cell r="A136" t="str">
            <v>Laos</v>
          </cell>
        </row>
        <row r="137">
          <cell r="A137" t="str">
            <v>Australia</v>
          </cell>
          <cell r="B137">
            <v>0.93</v>
          </cell>
          <cell r="C137">
            <v>7.0000000000000007E-2</v>
          </cell>
        </row>
        <row r="138">
          <cell r="A138" t="str">
            <v>Venezuela</v>
          </cell>
          <cell r="B138">
            <v>1</v>
          </cell>
          <cell r="C138" t="str">
            <v>&lt;1%</v>
          </cell>
        </row>
        <row r="139">
          <cell r="A139" t="str">
            <v>Ireland</v>
          </cell>
          <cell r="B139">
            <v>0.95</v>
          </cell>
          <cell r="C139">
            <v>0.05</v>
          </cell>
        </row>
        <row r="140">
          <cell r="A140" t="str">
            <v>Zambia</v>
          </cell>
        </row>
        <row r="141">
          <cell r="A141" t="str">
            <v>Congo - Kinshasa</v>
          </cell>
        </row>
        <row r="142">
          <cell r="A142" t="str">
            <v>Turkmenistan</v>
          </cell>
        </row>
        <row r="143">
          <cell r="A143" t="str">
            <v>Nigeria</v>
          </cell>
          <cell r="B143">
            <v>0.95</v>
          </cell>
          <cell r="C143">
            <v>0.05</v>
          </cell>
        </row>
        <row r="144">
          <cell r="A144" t="str">
            <v>Trinidad &amp; Tobago</v>
          </cell>
        </row>
        <row r="145">
          <cell r="A145" t="str">
            <v>United Arab Emirates</v>
          </cell>
          <cell r="B145">
            <v>0.94</v>
          </cell>
          <cell r="C145">
            <v>0.06</v>
          </cell>
        </row>
        <row r="146">
          <cell r="A146" t="str">
            <v>CÃ´te dâ€™Ivoire</v>
          </cell>
        </row>
        <row r="147">
          <cell r="A147" t="str">
            <v>Qatar</v>
          </cell>
        </row>
        <row r="148">
          <cell r="A148" t="str">
            <v>Brazil</v>
          </cell>
          <cell r="B148">
            <v>0.98</v>
          </cell>
          <cell r="C148">
            <v>0.02</v>
          </cell>
        </row>
        <row r="149">
          <cell r="A149" t="str">
            <v>Mali</v>
          </cell>
        </row>
        <row r="150">
          <cell r="A150" t="str">
            <v>Libya</v>
          </cell>
        </row>
        <row r="151">
          <cell r="A151" t="str">
            <v>Burundi</v>
          </cell>
        </row>
        <row r="152">
          <cell r="A152" t="str">
            <v>Uruguay</v>
          </cell>
        </row>
        <row r="153">
          <cell r="A153" t="str">
            <v>Azerbaijan</v>
          </cell>
        </row>
        <row r="154">
          <cell r="A154" t="str">
            <v>Djibouti</v>
          </cell>
        </row>
        <row r="155">
          <cell r="A155" t="str">
            <v>Thailand</v>
          </cell>
          <cell r="B155">
            <v>0.98</v>
          </cell>
          <cell r="C155">
            <v>0.02</v>
          </cell>
        </row>
        <row r="156">
          <cell r="A156" t="str">
            <v>Brunei</v>
          </cell>
        </row>
        <row r="157">
          <cell r="A157" t="str">
            <v>Isle of Man</v>
          </cell>
        </row>
        <row r="158">
          <cell r="A158" t="str">
            <v>Burkina Faso</v>
          </cell>
        </row>
        <row r="159">
          <cell r="A159" t="str">
            <v>Guinea</v>
          </cell>
        </row>
        <row r="160">
          <cell r="A160" t="str">
            <v>Iraq</v>
          </cell>
        </row>
        <row r="161">
          <cell r="A161" t="str">
            <v>Chile</v>
          </cell>
          <cell r="B161">
            <v>0.97</v>
          </cell>
          <cell r="C161">
            <v>0.03</v>
          </cell>
        </row>
        <row r="162">
          <cell r="A162" t="str">
            <v>Senegal</v>
          </cell>
        </row>
        <row r="163">
          <cell r="A163" t="str">
            <v>Gabon</v>
          </cell>
        </row>
        <row r="164">
          <cell r="A164" t="str">
            <v>Mauritania</v>
          </cell>
        </row>
        <row r="165">
          <cell r="A165" t="str">
            <v>Namibia</v>
          </cell>
        </row>
        <row r="166">
          <cell r="A166" t="str">
            <v>Argentina</v>
          </cell>
          <cell r="B166">
            <v>0.98</v>
          </cell>
          <cell r="C166">
            <v>0.02</v>
          </cell>
        </row>
        <row r="167">
          <cell r="A167" t="str">
            <v>Kuwait</v>
          </cell>
        </row>
        <row r="168">
          <cell r="A168" t="str">
            <v>Andorra</v>
          </cell>
        </row>
        <row r="169">
          <cell r="A169" t="str">
            <v>Turkey</v>
          </cell>
          <cell r="B169">
            <v>0.98</v>
          </cell>
          <cell r="C169">
            <v>0.02</v>
          </cell>
        </row>
        <row r="170">
          <cell r="A170" t="str">
            <v>Haiti</v>
          </cell>
        </row>
        <row r="171">
          <cell r="A171" t="str">
            <v>Montenegro</v>
          </cell>
        </row>
        <row r="172">
          <cell r="A172" t="str">
            <v>French Guiana</v>
          </cell>
        </row>
        <row r="173">
          <cell r="A173" t="str">
            <v>Saudi Arabia</v>
          </cell>
          <cell r="B173">
            <v>0.97</v>
          </cell>
          <cell r="C173">
            <v>0.03</v>
          </cell>
        </row>
        <row r="174">
          <cell r="A174" t="str">
            <v>Guyana</v>
          </cell>
        </row>
        <row r="175">
          <cell r="A175" t="str">
            <v>Niger</v>
          </cell>
        </row>
        <row r="176">
          <cell r="A176" t="str">
            <v>Martinique</v>
          </cell>
        </row>
        <row r="177">
          <cell r="A177" t="str">
            <v>Sierra Leone</v>
          </cell>
        </row>
        <row r="178">
          <cell r="A178" t="str">
            <v>Congo - Brazzaville</v>
          </cell>
        </row>
        <row r="179">
          <cell r="A179" t="str">
            <v>South Sudan</v>
          </cell>
        </row>
        <row r="180">
          <cell r="A180" t="str">
            <v>Bahamas</v>
          </cell>
        </row>
        <row r="181">
          <cell r="A181" t="str">
            <v>French Polynesia</v>
          </cell>
        </row>
        <row r="182">
          <cell r="A182" t="str">
            <v>Guadeloupe</v>
          </cell>
        </row>
        <row r="183">
          <cell r="A183" t="str">
            <v>Suriname</v>
          </cell>
        </row>
        <row r="184">
          <cell r="A184" t="str">
            <v>RÃ©union</v>
          </cell>
        </row>
        <row r="185">
          <cell r="A185" t="str">
            <v>Guam</v>
          </cell>
        </row>
        <row r="186">
          <cell r="A186" t="str">
            <v>CuraÃ§ao</v>
          </cell>
        </row>
        <row r="187">
          <cell r="A187" t="str">
            <v>Aruba</v>
          </cell>
        </row>
        <row r="188">
          <cell r="A188" t="str">
            <v>Liberia</v>
          </cell>
        </row>
        <row r="189">
          <cell r="A189" t="str">
            <v>Antigua &amp; Barbuda</v>
          </cell>
        </row>
        <row r="190">
          <cell r="A190" t="str">
            <v>Jersey</v>
          </cell>
        </row>
        <row r="191">
          <cell r="A191" t="str">
            <v>British Indian Ocean Territory</v>
          </cell>
        </row>
        <row r="192">
          <cell r="A192" t="str">
            <v>Kiribati</v>
          </cell>
        </row>
        <row r="193">
          <cell r="A193" t="str">
            <v>Eritrea</v>
          </cell>
        </row>
        <row r="194">
          <cell r="A194" t="str">
            <v>Micronesia</v>
          </cell>
        </row>
        <row r="195">
          <cell r="A195" t="str">
            <v>Svalbard &amp; Jan Mayen</v>
          </cell>
        </row>
        <row r="196">
          <cell r="A196" t="str">
            <v>Anguilla</v>
          </cell>
        </row>
        <row r="197">
          <cell r="A197" t="str">
            <v>Vanuatu</v>
          </cell>
        </row>
        <row r="198">
          <cell r="A198" t="str">
            <v>Liechtenstein</v>
          </cell>
        </row>
        <row r="199">
          <cell r="A199" t="str">
            <v>St. Pierre &amp; Miquelon</v>
          </cell>
        </row>
        <row r="200">
          <cell r="A200" t="str">
            <v>Ã…land Islands</v>
          </cell>
        </row>
        <row r="201">
          <cell r="A201" t="str">
            <v>SÃ£o TomÃ© &amp; PrÃ­ncipe</v>
          </cell>
        </row>
        <row r="202">
          <cell r="A202" t="str">
            <v>Dominica</v>
          </cell>
        </row>
        <row r="203">
          <cell r="A203" t="str">
            <v>Marshall Islands</v>
          </cell>
        </row>
        <row r="204">
          <cell r="A204" t="str">
            <v>Caribbean Netherlands</v>
          </cell>
        </row>
        <row r="205">
          <cell r="A205" t="str">
            <v>Equatorial Guinea</v>
          </cell>
        </row>
        <row r="206">
          <cell r="A206" t="str">
            <v>Guinea-Bissau</v>
          </cell>
        </row>
        <row r="207">
          <cell r="A207" t="str">
            <v>Central African Republic</v>
          </cell>
        </row>
        <row r="208">
          <cell r="A208" t="str">
            <v>Comoros</v>
          </cell>
        </row>
        <row r="209">
          <cell r="A209" t="str">
            <v>St. Lucia</v>
          </cell>
        </row>
        <row r="210">
          <cell r="A210" t="str">
            <v>Seychelles</v>
          </cell>
        </row>
        <row r="211">
          <cell r="A211" t="str">
            <v>U.S. Virgin Islands</v>
          </cell>
        </row>
        <row r="212">
          <cell r="A212" t="str">
            <v>Sint Maarten</v>
          </cell>
        </row>
        <row r="213">
          <cell r="A213" t="str">
            <v>Monaco</v>
          </cell>
        </row>
        <row r="214">
          <cell r="A214" t="str">
            <v>San Marino</v>
          </cell>
        </row>
        <row r="215">
          <cell r="A215" t="str">
            <v>St. Martin</v>
          </cell>
        </row>
        <row r="216">
          <cell r="A216" t="str">
            <v>Solomon Islands</v>
          </cell>
        </row>
        <row r="217">
          <cell r="A217" t="str">
            <v>Turks &amp; Caicos Islands</v>
          </cell>
        </row>
        <row r="218">
          <cell r="A218" t="str">
            <v>St. BarthÃ©lemy</v>
          </cell>
        </row>
        <row r="219">
          <cell r="A219" t="str">
            <v>Northern Mariana Islands</v>
          </cell>
        </row>
        <row r="220">
          <cell r="A220" t="str">
            <v>Mayotte</v>
          </cell>
        </row>
        <row r="221">
          <cell r="A221" t="str">
            <v>British Virgin Islands</v>
          </cell>
        </row>
        <row r="222">
          <cell r="A222" t="str">
            <v>Samoa</v>
          </cell>
        </row>
        <row r="223">
          <cell r="A223" t="str">
            <v>Timor-Leste</v>
          </cell>
        </row>
        <row r="224">
          <cell r="A224" t="str">
            <v>Cayman Islands</v>
          </cell>
        </row>
        <row r="225">
          <cell r="A225" t="str">
            <v>Guernsey</v>
          </cell>
        </row>
        <row r="226">
          <cell r="A226" t="str">
            <v>Bermuda</v>
          </cell>
        </row>
        <row r="227">
          <cell r="A227" t="str">
            <v>Gambia</v>
          </cell>
        </row>
        <row r="228">
          <cell r="A228" t="str">
            <v>Gibraltar</v>
          </cell>
        </row>
        <row r="229">
          <cell r="A229" t="str">
            <v>Greenland</v>
          </cell>
        </row>
        <row r="230">
          <cell r="A230" t="str">
            <v>Chad</v>
          </cell>
        </row>
        <row r="231">
          <cell r="A231" t="str">
            <v>New Caledonia</v>
          </cell>
        </row>
        <row r="232">
          <cell r="A232" t="str">
            <v>American Samoa</v>
          </cell>
        </row>
        <row r="233">
          <cell r="A233" t="str">
            <v>Antarctica</v>
          </cell>
        </row>
        <row r="234">
          <cell r="A234" t="str">
            <v>French Southern Territories</v>
          </cell>
        </row>
        <row r="235">
          <cell r="A235" t="str">
            <v>Bouvet Island</v>
          </cell>
        </row>
        <row r="236">
          <cell r="A236" t="str">
            <v>Cocos (Keeling) Islands</v>
          </cell>
        </row>
        <row r="237">
          <cell r="A237" t="str">
            <v>Cook Islands</v>
          </cell>
        </row>
        <row r="238">
          <cell r="A238" t="str">
            <v>Christmas Island</v>
          </cell>
        </row>
        <row r="239">
          <cell r="A239" t="str">
            <v>Western Sahara</v>
          </cell>
        </row>
        <row r="240">
          <cell r="A240" t="str">
            <v>Falkland Islands (Islas Malvinas)</v>
          </cell>
        </row>
        <row r="241">
          <cell r="A241" t="str">
            <v>Heard &amp; McDonald Islands</v>
          </cell>
        </row>
        <row r="242">
          <cell r="A242" t="str">
            <v>Montserrat</v>
          </cell>
        </row>
        <row r="243">
          <cell r="A243" t="str">
            <v>Norfolk Island</v>
          </cell>
        </row>
        <row r="244">
          <cell r="A244" t="str">
            <v>Niue</v>
          </cell>
        </row>
        <row r="245">
          <cell r="A245" t="str">
            <v>Nauru</v>
          </cell>
        </row>
        <row r="246">
          <cell r="A246" t="str">
            <v>Pitcairn Islands</v>
          </cell>
        </row>
        <row r="247">
          <cell r="A247" t="str">
            <v>Palau</v>
          </cell>
        </row>
        <row r="248">
          <cell r="A248" t="str">
            <v>South Georgia &amp; South Sandwich Islands</v>
          </cell>
        </row>
        <row r="249">
          <cell r="A249" t="str">
            <v>Tokelau</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2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8)"/>
    </sheetNames>
    <sheetDataSet>
      <sheetData sheetId="0">
        <row r="1">
          <cell r="A1" t="str">
            <v>Kategori: TÃ¼m kategoriler</v>
          </cell>
        </row>
        <row r="3">
          <cell r="A3" t="str">
            <v>Ãœlke</v>
          </cell>
          <cell r="B3" t="str">
            <v>ReactJS: (2014)</v>
          </cell>
          <cell r="C3" t="str">
            <v>Ä°ÅŸlemci Ã¶nbelleÄŸi: (2014)</v>
          </cell>
        </row>
        <row r="4">
          <cell r="A4" t="str">
            <v>Cuba</v>
          </cell>
        </row>
        <row r="5">
          <cell r="A5" t="str">
            <v>China</v>
          </cell>
          <cell r="B5">
            <v>0.02</v>
          </cell>
          <cell r="C5">
            <v>0.98</v>
          </cell>
        </row>
        <row r="6">
          <cell r="A6" t="str">
            <v>Belarus</v>
          </cell>
          <cell r="B6">
            <v>0.02</v>
          </cell>
          <cell r="C6">
            <v>0.98</v>
          </cell>
        </row>
        <row r="7">
          <cell r="A7" t="str">
            <v>Russia</v>
          </cell>
          <cell r="B7">
            <v>0.01</v>
          </cell>
          <cell r="C7">
            <v>0.99</v>
          </cell>
        </row>
        <row r="8">
          <cell r="A8" t="str">
            <v>Ukraine</v>
          </cell>
          <cell r="B8">
            <v>0.02</v>
          </cell>
          <cell r="C8">
            <v>0.98</v>
          </cell>
        </row>
        <row r="9">
          <cell r="A9" t="str">
            <v>Kazakhstan</v>
          </cell>
          <cell r="B9">
            <v>0.01</v>
          </cell>
          <cell r="C9">
            <v>0.99</v>
          </cell>
        </row>
        <row r="10">
          <cell r="A10" t="str">
            <v>CuraÃ§ao</v>
          </cell>
        </row>
        <row r="11">
          <cell r="A11" t="str">
            <v>Gibraltar</v>
          </cell>
        </row>
        <row r="12">
          <cell r="A12" t="str">
            <v>Caribbean Netherlands</v>
          </cell>
        </row>
        <row r="13">
          <cell r="A13" t="str">
            <v>Uzbekistan</v>
          </cell>
        </row>
        <row r="14">
          <cell r="A14" t="str">
            <v>Singapore</v>
          </cell>
          <cell r="B14">
            <v>0.04</v>
          </cell>
          <cell r="C14">
            <v>0.96</v>
          </cell>
        </row>
        <row r="15">
          <cell r="A15" t="str">
            <v>Isle of Man</v>
          </cell>
        </row>
        <row r="16">
          <cell r="A16" t="str">
            <v>Malta</v>
          </cell>
        </row>
        <row r="17">
          <cell r="A17" t="str">
            <v>Bermuda</v>
          </cell>
        </row>
        <row r="18">
          <cell r="A18" t="str">
            <v>St. Helena</v>
          </cell>
        </row>
        <row r="19">
          <cell r="A19" t="str">
            <v>Turkmenistan</v>
          </cell>
        </row>
        <row r="20">
          <cell r="A20" t="str">
            <v>Japan</v>
          </cell>
          <cell r="B20" t="str">
            <v>&lt;1%</v>
          </cell>
          <cell r="C20">
            <v>1</v>
          </cell>
        </row>
        <row r="21">
          <cell r="A21" t="str">
            <v>Estonia</v>
          </cell>
          <cell r="B21">
            <v>7.0000000000000007E-2</v>
          </cell>
          <cell r="C21">
            <v>0.93</v>
          </cell>
        </row>
        <row r="22">
          <cell r="A22" t="str">
            <v>Kyrgyzstan</v>
          </cell>
        </row>
        <row r="23">
          <cell r="A23" t="str">
            <v>Hong Kong</v>
          </cell>
          <cell r="B23">
            <v>0.09</v>
          </cell>
          <cell r="C23">
            <v>0.91</v>
          </cell>
        </row>
        <row r="24">
          <cell r="A24" t="str">
            <v>Dominica</v>
          </cell>
        </row>
        <row r="25">
          <cell r="A25" t="str">
            <v>Iceland</v>
          </cell>
        </row>
        <row r="26">
          <cell r="A26" t="str">
            <v>Cayman Islands</v>
          </cell>
        </row>
        <row r="27">
          <cell r="A27" t="str">
            <v>Barbados</v>
          </cell>
        </row>
        <row r="28">
          <cell r="A28" t="str">
            <v>Ã…land Islands</v>
          </cell>
        </row>
        <row r="29">
          <cell r="A29" t="str">
            <v>Latvia</v>
          </cell>
          <cell r="B29">
            <v>0.05</v>
          </cell>
          <cell r="C29">
            <v>0.95</v>
          </cell>
        </row>
        <row r="30">
          <cell r="A30" t="str">
            <v>New Zealand</v>
          </cell>
          <cell r="B30">
            <v>0.05</v>
          </cell>
          <cell r="C30">
            <v>0.95</v>
          </cell>
        </row>
        <row r="31">
          <cell r="A31" t="str">
            <v>Moldova</v>
          </cell>
        </row>
        <row r="32">
          <cell r="A32" t="str">
            <v>South Korea</v>
          </cell>
          <cell r="B32">
            <v>0.03</v>
          </cell>
          <cell r="C32">
            <v>0.97</v>
          </cell>
        </row>
        <row r="33">
          <cell r="A33" t="str">
            <v>U.S. Virgin Islands</v>
          </cell>
        </row>
        <row r="34">
          <cell r="A34" t="str">
            <v>Mauritius</v>
          </cell>
        </row>
        <row r="35">
          <cell r="A35" t="str">
            <v>Philippines</v>
          </cell>
          <cell r="B35">
            <v>0.05</v>
          </cell>
          <cell r="C35">
            <v>0.95</v>
          </cell>
        </row>
        <row r="36">
          <cell r="A36" t="str">
            <v>United States</v>
          </cell>
          <cell r="B36">
            <v>0.05</v>
          </cell>
          <cell r="C36">
            <v>0.95</v>
          </cell>
        </row>
        <row r="37">
          <cell r="A37" t="str">
            <v>Madagascar</v>
          </cell>
        </row>
        <row r="38">
          <cell r="A38" t="str">
            <v>Tajikistan</v>
          </cell>
        </row>
        <row r="39">
          <cell r="A39" t="str">
            <v>Liechtenstein</v>
          </cell>
        </row>
        <row r="40">
          <cell r="A40" t="str">
            <v>Luxembourg</v>
          </cell>
        </row>
        <row r="41">
          <cell r="A41" t="str">
            <v>Canada</v>
          </cell>
          <cell r="B41">
            <v>0.05</v>
          </cell>
          <cell r="C41">
            <v>0.95</v>
          </cell>
        </row>
        <row r="42">
          <cell r="A42" t="str">
            <v>St. Vincent &amp; Grenadines</v>
          </cell>
        </row>
        <row r="43">
          <cell r="A43" t="str">
            <v>Germany</v>
          </cell>
          <cell r="B43">
            <v>0.03</v>
          </cell>
          <cell r="C43">
            <v>0.97</v>
          </cell>
        </row>
        <row r="44">
          <cell r="A44" t="str">
            <v>Netherlands</v>
          </cell>
          <cell r="B44">
            <v>0.05</v>
          </cell>
          <cell r="C44">
            <v>0.95</v>
          </cell>
        </row>
        <row r="45">
          <cell r="A45" t="str">
            <v>Aruba</v>
          </cell>
        </row>
        <row r="46">
          <cell r="A46" t="str">
            <v>French Polynesia</v>
          </cell>
        </row>
        <row r="47">
          <cell r="A47" t="str">
            <v>Jersey</v>
          </cell>
        </row>
        <row r="48">
          <cell r="A48" t="str">
            <v>Antigua &amp; Barbuda</v>
          </cell>
        </row>
        <row r="49">
          <cell r="A49" t="str">
            <v>Grenada</v>
          </cell>
        </row>
        <row r="50">
          <cell r="A50" t="str">
            <v>Switzerland</v>
          </cell>
          <cell r="B50">
            <v>0.04</v>
          </cell>
          <cell r="C50">
            <v>0.96</v>
          </cell>
        </row>
        <row r="51">
          <cell r="A51" t="str">
            <v>Sweden</v>
          </cell>
          <cell r="B51">
            <v>0.1</v>
          </cell>
          <cell r="C51">
            <v>0.9</v>
          </cell>
        </row>
        <row r="52">
          <cell r="A52" t="str">
            <v>Czechia</v>
          </cell>
          <cell r="B52">
            <v>0.08</v>
          </cell>
          <cell r="C52">
            <v>0.92</v>
          </cell>
        </row>
        <row r="53">
          <cell r="A53" t="str">
            <v>Australia</v>
          </cell>
          <cell r="B53">
            <v>0.05</v>
          </cell>
          <cell r="C53">
            <v>0.95</v>
          </cell>
        </row>
        <row r="54">
          <cell r="A54" t="str">
            <v>Nepal</v>
          </cell>
        </row>
        <row r="55">
          <cell r="A55" t="str">
            <v>United Kingdom</v>
          </cell>
          <cell r="B55">
            <v>0.05</v>
          </cell>
          <cell r="C55">
            <v>0.95</v>
          </cell>
        </row>
        <row r="56">
          <cell r="A56" t="str">
            <v>Ireland</v>
          </cell>
          <cell r="B56">
            <v>0.03</v>
          </cell>
          <cell r="C56">
            <v>0.97</v>
          </cell>
        </row>
        <row r="57">
          <cell r="A57" t="str">
            <v>Trinidad &amp; Tobago</v>
          </cell>
        </row>
        <row r="58">
          <cell r="A58" t="str">
            <v>Austria</v>
          </cell>
          <cell r="B58">
            <v>0.03</v>
          </cell>
          <cell r="C58">
            <v>0.97</v>
          </cell>
        </row>
        <row r="59">
          <cell r="A59" t="str">
            <v>Finland</v>
          </cell>
          <cell r="B59">
            <v>0.09</v>
          </cell>
          <cell r="C59">
            <v>0.91</v>
          </cell>
        </row>
        <row r="60">
          <cell r="A60" t="str">
            <v>Faroe Islands</v>
          </cell>
        </row>
        <row r="61">
          <cell r="A61" t="str">
            <v>Jamaica</v>
          </cell>
        </row>
        <row r="62">
          <cell r="A62" t="str">
            <v>India</v>
          </cell>
          <cell r="B62">
            <v>0.02</v>
          </cell>
          <cell r="C62">
            <v>0.98</v>
          </cell>
        </row>
        <row r="63">
          <cell r="A63" t="str">
            <v>Botswana</v>
          </cell>
        </row>
        <row r="64">
          <cell r="A64" t="str">
            <v>Norway</v>
          </cell>
          <cell r="B64">
            <v>0.13</v>
          </cell>
          <cell r="C64">
            <v>0.87</v>
          </cell>
        </row>
        <row r="65">
          <cell r="A65" t="str">
            <v>Denmark</v>
          </cell>
          <cell r="B65">
            <v>0.08</v>
          </cell>
          <cell r="C65">
            <v>0.92</v>
          </cell>
        </row>
        <row r="66">
          <cell r="A66" t="str">
            <v>Guernsey</v>
          </cell>
        </row>
        <row r="67">
          <cell r="A67" t="str">
            <v>Guyana</v>
          </cell>
        </row>
        <row r="68">
          <cell r="A68" t="str">
            <v>Belize</v>
          </cell>
        </row>
        <row r="69">
          <cell r="A69" t="str">
            <v>Maldives</v>
          </cell>
        </row>
        <row r="70">
          <cell r="A70" t="str">
            <v>Fiji</v>
          </cell>
        </row>
        <row r="71">
          <cell r="A71" t="str">
            <v>Belgium</v>
          </cell>
          <cell r="B71">
            <v>0.04</v>
          </cell>
          <cell r="C71">
            <v>0.96</v>
          </cell>
        </row>
        <row r="72">
          <cell r="A72" t="str">
            <v>Bhutan</v>
          </cell>
        </row>
        <row r="73">
          <cell r="A73" t="str">
            <v>Sri Lanka</v>
          </cell>
        </row>
        <row r="74">
          <cell r="A74" t="str">
            <v>Israel</v>
          </cell>
          <cell r="B74">
            <v>0.06</v>
          </cell>
          <cell r="C74">
            <v>0.94</v>
          </cell>
        </row>
        <row r="75">
          <cell r="A75" t="str">
            <v>Portugal</v>
          </cell>
          <cell r="B75">
            <v>0.06</v>
          </cell>
          <cell r="C75">
            <v>0.94</v>
          </cell>
        </row>
        <row r="76">
          <cell r="A76" t="str">
            <v>Guam</v>
          </cell>
        </row>
        <row r="77">
          <cell r="A77" t="str">
            <v>Lebanon</v>
          </cell>
        </row>
        <row r="78">
          <cell r="A78" t="str">
            <v>Solomon Islands</v>
          </cell>
        </row>
        <row r="79">
          <cell r="A79" t="str">
            <v>Tunisia</v>
          </cell>
        </row>
        <row r="80">
          <cell r="A80" t="str">
            <v>Macao</v>
          </cell>
        </row>
        <row r="81">
          <cell r="A81" t="str">
            <v>Taiwan</v>
          </cell>
          <cell r="B81">
            <v>0.06</v>
          </cell>
          <cell r="C81">
            <v>0.94</v>
          </cell>
        </row>
        <row r="82">
          <cell r="A82" t="str">
            <v>Togo</v>
          </cell>
        </row>
        <row r="83">
          <cell r="A83" t="str">
            <v>Cyprus</v>
          </cell>
        </row>
        <row r="84">
          <cell r="A84" t="str">
            <v>Monaco</v>
          </cell>
        </row>
        <row r="85">
          <cell r="A85" t="str">
            <v>Armenia</v>
          </cell>
        </row>
        <row r="86">
          <cell r="A86" t="str">
            <v>Bulgaria</v>
          </cell>
          <cell r="B86">
            <v>7.0000000000000007E-2</v>
          </cell>
          <cell r="C86">
            <v>0.93</v>
          </cell>
        </row>
        <row r="87">
          <cell r="A87" t="str">
            <v>Kenya</v>
          </cell>
        </row>
        <row r="88">
          <cell r="A88" t="str">
            <v>Brunei</v>
          </cell>
        </row>
        <row r="89">
          <cell r="A89" t="str">
            <v>Spain</v>
          </cell>
          <cell r="B89">
            <v>0.02</v>
          </cell>
          <cell r="C89">
            <v>0.98</v>
          </cell>
        </row>
        <row r="90">
          <cell r="A90" t="str">
            <v>Eswatini</v>
          </cell>
        </row>
        <row r="91">
          <cell r="A91" t="str">
            <v>Romania</v>
          </cell>
          <cell r="B91">
            <v>0.06</v>
          </cell>
          <cell r="C91">
            <v>0.94</v>
          </cell>
        </row>
        <row r="92">
          <cell r="A92" t="str">
            <v>St. Lucia</v>
          </cell>
        </row>
        <row r="93">
          <cell r="A93" t="str">
            <v>Lithuania</v>
          </cell>
          <cell r="B93">
            <v>0.08</v>
          </cell>
          <cell r="C93">
            <v>0.92</v>
          </cell>
        </row>
        <row r="94">
          <cell r="A94" t="str">
            <v>Bangladesh</v>
          </cell>
          <cell r="B94">
            <v>0.04</v>
          </cell>
          <cell r="C94">
            <v>0.96</v>
          </cell>
        </row>
        <row r="95">
          <cell r="A95" t="str">
            <v>Papua New Guinea</v>
          </cell>
        </row>
        <row r="96">
          <cell r="A96" t="str">
            <v>Costa Rica</v>
          </cell>
        </row>
        <row r="97">
          <cell r="A97" t="str">
            <v>Bahamas</v>
          </cell>
        </row>
        <row r="98">
          <cell r="A98" t="str">
            <v>South Africa</v>
          </cell>
          <cell r="B98">
            <v>0.06</v>
          </cell>
          <cell r="C98">
            <v>0.94</v>
          </cell>
        </row>
        <row r="99">
          <cell r="A99" t="str">
            <v>North Macedonia</v>
          </cell>
        </row>
        <row r="100">
          <cell r="A100" t="str">
            <v>El Salvador</v>
          </cell>
        </row>
        <row r="101">
          <cell r="A101" t="str">
            <v>Hungary</v>
          </cell>
          <cell r="B101">
            <v>0.06</v>
          </cell>
          <cell r="C101">
            <v>0.94</v>
          </cell>
        </row>
        <row r="102">
          <cell r="A102" t="str">
            <v>Malaysia</v>
          </cell>
          <cell r="B102">
            <v>0.04</v>
          </cell>
          <cell r="C102">
            <v>0.96</v>
          </cell>
        </row>
        <row r="103">
          <cell r="A103" t="str">
            <v>Slovenia</v>
          </cell>
          <cell r="B103">
            <v>0.09</v>
          </cell>
          <cell r="C103">
            <v>0.91</v>
          </cell>
        </row>
        <row r="104">
          <cell r="A104" t="str">
            <v>Cape Verde</v>
          </cell>
        </row>
        <row r="105">
          <cell r="A105" t="str">
            <v>Pakistan</v>
          </cell>
          <cell r="B105">
            <v>0.03</v>
          </cell>
          <cell r="C105">
            <v>0.97</v>
          </cell>
        </row>
        <row r="106">
          <cell r="A106" t="str">
            <v>Italy</v>
          </cell>
          <cell r="B106">
            <v>0.02</v>
          </cell>
          <cell r="C106">
            <v>0.98</v>
          </cell>
        </row>
        <row r="107">
          <cell r="A107" t="str">
            <v>Slovakia</v>
          </cell>
          <cell r="B107">
            <v>0.08</v>
          </cell>
          <cell r="C107">
            <v>0.92</v>
          </cell>
        </row>
        <row r="108">
          <cell r="A108" t="str">
            <v>Nicaragua</v>
          </cell>
        </row>
        <row r="109">
          <cell r="A109" t="str">
            <v>Ghana</v>
          </cell>
        </row>
        <row r="110">
          <cell r="A110" t="str">
            <v>Namibia</v>
          </cell>
        </row>
        <row r="111">
          <cell r="A111" t="str">
            <v>New Caledonia</v>
          </cell>
        </row>
        <row r="112">
          <cell r="A112" t="str">
            <v>Zimbabwe</v>
          </cell>
        </row>
        <row r="113">
          <cell r="A113" t="str">
            <v>Thailand</v>
          </cell>
          <cell r="B113">
            <v>0.02</v>
          </cell>
          <cell r="C113">
            <v>0.98</v>
          </cell>
        </row>
        <row r="114">
          <cell r="A114" t="str">
            <v>France</v>
          </cell>
          <cell r="B114">
            <v>0.03</v>
          </cell>
          <cell r="C114">
            <v>0.97</v>
          </cell>
        </row>
        <row r="115">
          <cell r="A115" t="str">
            <v>Andorra</v>
          </cell>
        </row>
        <row r="116">
          <cell r="A116" t="str">
            <v>United Arab Emirates</v>
          </cell>
          <cell r="B116">
            <v>0.06</v>
          </cell>
          <cell r="C116">
            <v>0.94</v>
          </cell>
        </row>
        <row r="117">
          <cell r="A117" t="str">
            <v>Suriname</v>
          </cell>
        </row>
        <row r="118">
          <cell r="A118" t="str">
            <v>Cambodia</v>
          </cell>
        </row>
        <row r="119">
          <cell r="A119" t="str">
            <v>Croatia</v>
          </cell>
          <cell r="B119">
            <v>0.09</v>
          </cell>
          <cell r="C119">
            <v>0.91</v>
          </cell>
        </row>
        <row r="120">
          <cell r="A120" t="str">
            <v>Panama</v>
          </cell>
        </row>
        <row r="121">
          <cell r="A121" t="str">
            <v>Mongolia</v>
          </cell>
        </row>
        <row r="122">
          <cell r="A122" t="str">
            <v>Peru</v>
          </cell>
          <cell r="B122">
            <v>0.01</v>
          </cell>
          <cell r="C122">
            <v>0.99</v>
          </cell>
        </row>
        <row r="123">
          <cell r="A123" t="str">
            <v>Afghanistan</v>
          </cell>
        </row>
        <row r="124">
          <cell r="A124" t="str">
            <v>Honduras</v>
          </cell>
        </row>
        <row r="125">
          <cell r="A125" t="str">
            <v>Cameroon</v>
          </cell>
        </row>
        <row r="126">
          <cell r="A126" t="str">
            <v>Poland</v>
          </cell>
          <cell r="B126">
            <v>0.04</v>
          </cell>
          <cell r="C126">
            <v>0.96</v>
          </cell>
        </row>
        <row r="127">
          <cell r="A127" t="str">
            <v>Brazil</v>
          </cell>
          <cell r="B127">
            <v>0.02</v>
          </cell>
          <cell r="C127">
            <v>0.98</v>
          </cell>
        </row>
        <row r="128">
          <cell r="A128" t="str">
            <v>Georgia</v>
          </cell>
        </row>
        <row r="129">
          <cell r="A129" t="str">
            <v>Guatemala</v>
          </cell>
        </row>
        <row r="130">
          <cell r="A130" t="str">
            <v>Uruguay</v>
          </cell>
        </row>
        <row r="131">
          <cell r="A131" t="str">
            <v>Dominican Republic</v>
          </cell>
        </row>
        <row r="132">
          <cell r="A132" t="str">
            <v>Myanmar (Burma)</v>
          </cell>
        </row>
        <row r="133">
          <cell r="A133" t="str">
            <v>Rwanda</v>
          </cell>
        </row>
        <row r="134">
          <cell r="A134" t="str">
            <v>Paraguay</v>
          </cell>
        </row>
        <row r="135">
          <cell r="A135" t="str">
            <v>Greece</v>
          </cell>
          <cell r="B135">
            <v>7.0000000000000007E-2</v>
          </cell>
          <cell r="C135">
            <v>0.93</v>
          </cell>
        </row>
        <row r="136">
          <cell r="A136" t="str">
            <v>Argentina</v>
          </cell>
          <cell r="B136">
            <v>0.03</v>
          </cell>
          <cell r="C136">
            <v>0.97</v>
          </cell>
        </row>
        <row r="137">
          <cell r="A137" t="str">
            <v>Qatar</v>
          </cell>
        </row>
        <row r="138">
          <cell r="A138" t="str">
            <v>RÃ©union</v>
          </cell>
        </row>
        <row r="139">
          <cell r="A139" t="str">
            <v>Puerto Rico</v>
          </cell>
        </row>
        <row r="140">
          <cell r="A140" t="str">
            <v>Mexico</v>
          </cell>
          <cell r="B140">
            <v>0.02</v>
          </cell>
          <cell r="C140">
            <v>0.98</v>
          </cell>
        </row>
        <row r="141">
          <cell r="A141" t="str">
            <v>Uganda</v>
          </cell>
        </row>
        <row r="142">
          <cell r="A142" t="str">
            <v>Serbia</v>
          </cell>
          <cell r="B142">
            <v>0.1</v>
          </cell>
          <cell r="C142">
            <v>0.9</v>
          </cell>
        </row>
        <row r="143">
          <cell r="A143" t="str">
            <v>Martinique</v>
          </cell>
        </row>
        <row r="144">
          <cell r="A144" t="str">
            <v>Bosnia &amp; Herzegovina</v>
          </cell>
        </row>
        <row r="145">
          <cell r="A145" t="str">
            <v>Laos</v>
          </cell>
        </row>
        <row r="146">
          <cell r="A146" t="str">
            <v>Montenegro</v>
          </cell>
        </row>
        <row r="147">
          <cell r="A147" t="str">
            <v>Indonesia</v>
          </cell>
          <cell r="B147">
            <v>0.04</v>
          </cell>
          <cell r="C147">
            <v>0.96</v>
          </cell>
        </row>
        <row r="148">
          <cell r="A148" t="str">
            <v>Colombia</v>
          </cell>
          <cell r="B148">
            <v>0.01</v>
          </cell>
          <cell r="C148">
            <v>0.99</v>
          </cell>
        </row>
        <row r="149">
          <cell r="A149" t="str">
            <v>Benin</v>
          </cell>
        </row>
        <row r="150">
          <cell r="A150" t="str">
            <v>Bahrain</v>
          </cell>
        </row>
        <row r="151">
          <cell r="A151" t="str">
            <v>Chile</v>
          </cell>
          <cell r="B151">
            <v>0.04</v>
          </cell>
          <cell r="C151">
            <v>0.96</v>
          </cell>
        </row>
        <row r="152">
          <cell r="A152" t="str">
            <v>Venezuela</v>
          </cell>
          <cell r="B152">
            <v>0.01</v>
          </cell>
          <cell r="C152">
            <v>0.99</v>
          </cell>
        </row>
        <row r="153">
          <cell r="A153" t="str">
            <v>Ecuador</v>
          </cell>
        </row>
        <row r="154">
          <cell r="A154" t="str">
            <v>Zambia</v>
          </cell>
        </row>
        <row r="155">
          <cell r="A155" t="str">
            <v>Nigeria</v>
          </cell>
          <cell r="B155">
            <v>0.09</v>
          </cell>
          <cell r="C155">
            <v>0.91</v>
          </cell>
        </row>
        <row r="156">
          <cell r="A156" t="str">
            <v>Ethiopia</v>
          </cell>
        </row>
        <row r="157">
          <cell r="A157" t="str">
            <v>Albania</v>
          </cell>
        </row>
        <row r="158">
          <cell r="A158" t="str">
            <v>Senegal</v>
          </cell>
        </row>
        <row r="159">
          <cell r="A159" t="str">
            <v>Vietnam</v>
          </cell>
          <cell r="B159">
            <v>0.05</v>
          </cell>
          <cell r="C159">
            <v>0.95</v>
          </cell>
        </row>
        <row r="160">
          <cell r="A160" t="str">
            <v>Morocco</v>
          </cell>
          <cell r="B160">
            <v>0.03</v>
          </cell>
          <cell r="C160">
            <v>0.97</v>
          </cell>
        </row>
        <row r="161">
          <cell r="A161" t="str">
            <v>Congo - Brazzaville</v>
          </cell>
        </row>
        <row r="162">
          <cell r="A162" t="str">
            <v>Guadeloupe</v>
          </cell>
        </row>
        <row r="163">
          <cell r="A163" t="str">
            <v>Mozambique</v>
          </cell>
        </row>
        <row r="164">
          <cell r="A164" t="str">
            <v>Malawi</v>
          </cell>
        </row>
        <row r="165">
          <cell r="A165" t="str">
            <v>Angola</v>
          </cell>
        </row>
        <row r="166">
          <cell r="A166" t="str">
            <v>Gabon</v>
          </cell>
        </row>
        <row r="167">
          <cell r="A167" t="str">
            <v>Congo - Kinshasa</v>
          </cell>
        </row>
        <row r="168">
          <cell r="A168" t="str">
            <v>CÃ´te dâ€™Ivoire</v>
          </cell>
        </row>
        <row r="169">
          <cell r="A169" t="str">
            <v>Azerbaijan</v>
          </cell>
        </row>
        <row r="170">
          <cell r="A170" t="str">
            <v>French Guiana</v>
          </cell>
        </row>
        <row r="171">
          <cell r="A171" t="str">
            <v>Jordan</v>
          </cell>
        </row>
        <row r="172">
          <cell r="A172" t="str">
            <v>Bolivia</v>
          </cell>
          <cell r="B172">
            <v>0.04</v>
          </cell>
          <cell r="C172">
            <v>0.96</v>
          </cell>
        </row>
        <row r="173">
          <cell r="A173" t="str">
            <v>Mayotte</v>
          </cell>
        </row>
        <row r="174">
          <cell r="A174" t="str">
            <v>Niger</v>
          </cell>
        </row>
        <row r="175">
          <cell r="A175" t="str">
            <v>Burkina Faso</v>
          </cell>
        </row>
        <row r="176">
          <cell r="A176" t="str">
            <v>Iran</v>
          </cell>
          <cell r="B176">
            <v>0.02</v>
          </cell>
          <cell r="C176">
            <v>0.98</v>
          </cell>
        </row>
        <row r="177">
          <cell r="A177" t="str">
            <v>Somalia</v>
          </cell>
        </row>
        <row r="178">
          <cell r="A178" t="str">
            <v>Kosovo</v>
          </cell>
        </row>
        <row r="179">
          <cell r="A179" t="str">
            <v>Kuwait</v>
          </cell>
        </row>
        <row r="180">
          <cell r="A180" t="str">
            <v>Oman</v>
          </cell>
        </row>
        <row r="181">
          <cell r="A181" t="str">
            <v>Algeria</v>
          </cell>
        </row>
        <row r="182">
          <cell r="A182" t="str">
            <v>Haiti</v>
          </cell>
        </row>
        <row r="183">
          <cell r="A183" t="str">
            <v>Tanzania</v>
          </cell>
        </row>
        <row r="184">
          <cell r="A184" t="str">
            <v>Mali</v>
          </cell>
        </row>
        <row r="185">
          <cell r="A185" t="str">
            <v>Egypt</v>
          </cell>
          <cell r="B185">
            <v>0.06</v>
          </cell>
          <cell r="C185">
            <v>0.94</v>
          </cell>
        </row>
        <row r="186">
          <cell r="A186" t="str">
            <v>Syria</v>
          </cell>
        </row>
        <row r="187">
          <cell r="A187" t="str">
            <v>Yemen</v>
          </cell>
        </row>
        <row r="188">
          <cell r="A188" t="str">
            <v>Mauritania</v>
          </cell>
        </row>
        <row r="189">
          <cell r="A189" t="str">
            <v>Palestine</v>
          </cell>
        </row>
        <row r="190">
          <cell r="A190" t="str">
            <v>Turkey</v>
          </cell>
          <cell r="B190">
            <v>0.05</v>
          </cell>
          <cell r="C190">
            <v>0.95</v>
          </cell>
        </row>
        <row r="191">
          <cell r="A191" t="str">
            <v>Sudan</v>
          </cell>
        </row>
        <row r="192">
          <cell r="A192" t="str">
            <v>Saudi Arabia</v>
          </cell>
          <cell r="B192">
            <v>0.09</v>
          </cell>
          <cell r="C192">
            <v>0.91</v>
          </cell>
        </row>
        <row r="193">
          <cell r="A193" t="str">
            <v>Guinea</v>
          </cell>
        </row>
        <row r="194">
          <cell r="A194" t="str">
            <v>Djibouti</v>
          </cell>
        </row>
        <row r="195">
          <cell r="A195" t="str">
            <v>Libya</v>
          </cell>
        </row>
        <row r="196">
          <cell r="A196" t="str">
            <v>Iraq</v>
          </cell>
        </row>
        <row r="197">
          <cell r="A197" t="str">
            <v>British Indian Ocean Territory</v>
          </cell>
        </row>
        <row r="198">
          <cell r="A198" t="str">
            <v>Cook Islands</v>
          </cell>
        </row>
        <row r="199">
          <cell r="A199" t="str">
            <v>American Samoa</v>
          </cell>
        </row>
        <row r="200">
          <cell r="A200" t="str">
            <v>Northern Mariana Islands</v>
          </cell>
        </row>
        <row r="201">
          <cell r="A201" t="str">
            <v>Vanuatu</v>
          </cell>
        </row>
        <row r="202">
          <cell r="A202" t="str">
            <v>Lesotho</v>
          </cell>
        </row>
        <row r="203">
          <cell r="A203" t="str">
            <v>Samoa</v>
          </cell>
        </row>
        <row r="204">
          <cell r="A204" t="str">
            <v>St. Martin</v>
          </cell>
        </row>
        <row r="205">
          <cell r="A205" t="str">
            <v>Sint Maarten</v>
          </cell>
        </row>
        <row r="206">
          <cell r="A206" t="str">
            <v>Turks &amp; Caicos Islands</v>
          </cell>
        </row>
        <row r="207">
          <cell r="A207" t="str">
            <v>Seychelles</v>
          </cell>
        </row>
        <row r="208">
          <cell r="A208" t="str">
            <v>Burundi</v>
          </cell>
        </row>
        <row r="209">
          <cell r="A209" t="str">
            <v>Gambia</v>
          </cell>
        </row>
        <row r="210">
          <cell r="A210" t="str">
            <v>South Sudan</v>
          </cell>
        </row>
        <row r="211">
          <cell r="A211" t="str">
            <v>Liberia</v>
          </cell>
        </row>
        <row r="212">
          <cell r="A212" t="str">
            <v>Anguilla</v>
          </cell>
        </row>
        <row r="213">
          <cell r="A213" t="str">
            <v>Antarctica</v>
          </cell>
        </row>
        <row r="214">
          <cell r="A214" t="str">
            <v>French Southern Territories</v>
          </cell>
        </row>
        <row r="215">
          <cell r="A215" t="str">
            <v>St. BarthÃ©lemy</v>
          </cell>
        </row>
        <row r="216">
          <cell r="A216" t="str">
            <v>Bouvet Island</v>
          </cell>
        </row>
        <row r="217">
          <cell r="A217" t="str">
            <v>Central African Republic</v>
          </cell>
        </row>
        <row r="218">
          <cell r="A218" t="str">
            <v>Cocos (Keeling) Islands</v>
          </cell>
        </row>
        <row r="219">
          <cell r="A219" t="str">
            <v>Comoros</v>
          </cell>
        </row>
        <row r="220">
          <cell r="A220" t="str">
            <v>Christmas Island</v>
          </cell>
        </row>
        <row r="221">
          <cell r="A221" t="str">
            <v>Eritrea</v>
          </cell>
        </row>
        <row r="222">
          <cell r="A222" t="str">
            <v>Western Sahara</v>
          </cell>
        </row>
        <row r="223">
          <cell r="A223" t="str">
            <v>Falkland Islands (Islas Malvinas)</v>
          </cell>
        </row>
        <row r="224">
          <cell r="A224" t="str">
            <v>Micronesia</v>
          </cell>
        </row>
        <row r="225">
          <cell r="A225" t="str">
            <v>Guinea-Bissau</v>
          </cell>
        </row>
        <row r="226">
          <cell r="A226" t="str">
            <v>Equatorial Guinea</v>
          </cell>
        </row>
        <row r="227">
          <cell r="A227" t="str">
            <v>Greenland</v>
          </cell>
        </row>
        <row r="228">
          <cell r="A228" t="str">
            <v>Heard &amp; McDonald Islands</v>
          </cell>
        </row>
        <row r="229">
          <cell r="A229" t="str">
            <v>Kiribati</v>
          </cell>
        </row>
        <row r="230">
          <cell r="A230" t="str">
            <v>St. Kitts &amp; Nevis</v>
          </cell>
        </row>
        <row r="231">
          <cell r="A231" t="str">
            <v>Marshall Islands</v>
          </cell>
        </row>
        <row r="232">
          <cell r="A232" t="str">
            <v>Montserrat</v>
          </cell>
        </row>
        <row r="233">
          <cell r="A233" t="str">
            <v>Norfolk Island</v>
          </cell>
        </row>
        <row r="234">
          <cell r="A234" t="str">
            <v>Niue</v>
          </cell>
        </row>
        <row r="235">
          <cell r="A235" t="str">
            <v>Nauru</v>
          </cell>
        </row>
        <row r="236">
          <cell r="A236" t="str">
            <v>Pitcairn Islands</v>
          </cell>
        </row>
        <row r="237">
          <cell r="A237" t="str">
            <v>Palau</v>
          </cell>
        </row>
        <row r="238">
          <cell r="A238" t="str">
            <v>North Korea</v>
          </cell>
        </row>
        <row r="239">
          <cell r="A239" t="str">
            <v>South Georgia &amp; South Sandwich Islands</v>
          </cell>
        </row>
        <row r="240">
          <cell r="A240" t="str">
            <v>Svalbard &amp; Jan Mayen</v>
          </cell>
        </row>
        <row r="241">
          <cell r="A241" t="str">
            <v>Sierra Leone</v>
          </cell>
        </row>
        <row r="242">
          <cell r="A242" t="str">
            <v>San Marino</v>
          </cell>
        </row>
        <row r="243">
          <cell r="A243" t="str">
            <v>St. Pierre &amp; Miquelon</v>
          </cell>
        </row>
        <row r="244">
          <cell r="A244" t="str">
            <v>SÃ£o TomÃ© &amp; PrÃ­ncipe</v>
          </cell>
        </row>
        <row r="245">
          <cell r="A245" t="str">
            <v>Chad</v>
          </cell>
        </row>
        <row r="246">
          <cell r="A246" t="str">
            <v>Tokelau</v>
          </cell>
        </row>
        <row r="247">
          <cell r="A247" t="str">
            <v>Timor-Leste</v>
          </cell>
        </row>
        <row r="248">
          <cell r="A248" t="str">
            <v>Tonga</v>
          </cell>
        </row>
        <row r="249">
          <cell r="A249" t="str">
            <v>Tuvalu</v>
          </cell>
        </row>
        <row r="250">
          <cell r="A250" t="str">
            <v>U.S. Outlying Islands</v>
          </cell>
        </row>
        <row r="251">
          <cell r="A251" t="str">
            <v>Vatican City</v>
          </cell>
        </row>
        <row r="252">
          <cell r="A252" t="str">
            <v>British Virgin Islands</v>
          </cell>
        </row>
        <row r="253">
          <cell r="A253" t="str">
            <v>Wallis &amp; Futuna</v>
          </cell>
        </row>
      </sheetData>
    </sheetDataSet>
  </externalBook>
</externalLink>
</file>

<file path=xl/externalLinks/externalLink2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9)"/>
    </sheetNames>
    <sheetDataSet>
      <sheetData sheetId="0">
        <row r="1">
          <cell r="A1" t="str">
            <v>Kategori: TÃ¼m kategoriler</v>
          </cell>
        </row>
        <row r="3">
          <cell r="A3" t="str">
            <v>Ãœlke</v>
          </cell>
          <cell r="B3" t="str">
            <v>Ä°ÅŸlemci Ã¶nbelleÄŸi: (2014)</v>
          </cell>
          <cell r="C3" t="str">
            <v>HTTP: (2014)</v>
          </cell>
        </row>
        <row r="4">
          <cell r="A4" t="str">
            <v>Cuba</v>
          </cell>
        </row>
        <row r="5">
          <cell r="A5" t="str">
            <v>China</v>
          </cell>
          <cell r="B5">
            <v>0.39</v>
          </cell>
          <cell r="C5">
            <v>0.61</v>
          </cell>
        </row>
        <row r="6">
          <cell r="A6" t="str">
            <v>Ethiopia</v>
          </cell>
        </row>
        <row r="7">
          <cell r="A7" t="str">
            <v>Papua New Guinea</v>
          </cell>
        </row>
        <row r="8">
          <cell r="A8" t="str">
            <v>South Korea</v>
          </cell>
          <cell r="B8">
            <v>0.33</v>
          </cell>
          <cell r="C8">
            <v>0.67</v>
          </cell>
        </row>
        <row r="9">
          <cell r="A9" t="str">
            <v>Belarus</v>
          </cell>
          <cell r="B9">
            <v>0.71</v>
          </cell>
          <cell r="C9">
            <v>0.28999999999999998</v>
          </cell>
        </row>
        <row r="10">
          <cell r="A10" t="str">
            <v>Cook Islands</v>
          </cell>
        </row>
        <row r="11">
          <cell r="A11" t="str">
            <v>Myanmar (Burma)</v>
          </cell>
        </row>
        <row r="12">
          <cell r="A12" t="str">
            <v>Russia</v>
          </cell>
          <cell r="B12">
            <v>0.7</v>
          </cell>
          <cell r="C12">
            <v>0.3</v>
          </cell>
        </row>
        <row r="13">
          <cell r="A13" t="str">
            <v>Ukraine</v>
          </cell>
          <cell r="B13">
            <v>0.7</v>
          </cell>
          <cell r="C13">
            <v>0.3</v>
          </cell>
        </row>
        <row r="14">
          <cell r="A14" t="str">
            <v>Kazakhstan</v>
          </cell>
          <cell r="B14">
            <v>0.79</v>
          </cell>
          <cell r="C14">
            <v>0.21</v>
          </cell>
        </row>
        <row r="15">
          <cell r="A15" t="str">
            <v>Lesotho</v>
          </cell>
        </row>
        <row r="16">
          <cell r="A16" t="str">
            <v>CuraÃ§ao</v>
          </cell>
        </row>
        <row r="17">
          <cell r="A17" t="str">
            <v>Botswana</v>
          </cell>
        </row>
        <row r="18">
          <cell r="A18" t="str">
            <v>Liberia</v>
          </cell>
        </row>
        <row r="19">
          <cell r="A19" t="str">
            <v>Tanzania</v>
          </cell>
        </row>
        <row r="20">
          <cell r="A20" t="str">
            <v>Turkmenistan</v>
          </cell>
        </row>
        <row r="21">
          <cell r="A21" t="str">
            <v>Gibraltar</v>
          </cell>
        </row>
        <row r="22">
          <cell r="A22" t="str">
            <v>Singapore</v>
          </cell>
          <cell r="B22">
            <v>0.61</v>
          </cell>
          <cell r="C22">
            <v>0.39</v>
          </cell>
        </row>
        <row r="23">
          <cell r="A23" t="str">
            <v>St. Helena</v>
          </cell>
        </row>
        <row r="24">
          <cell r="A24" t="str">
            <v>Uzbekistan</v>
          </cell>
        </row>
        <row r="25">
          <cell r="A25" t="str">
            <v>Isle of Man</v>
          </cell>
        </row>
        <row r="26">
          <cell r="A26" t="str">
            <v>Iceland</v>
          </cell>
        </row>
        <row r="27">
          <cell r="A27" t="str">
            <v>Malta</v>
          </cell>
        </row>
        <row r="28">
          <cell r="A28" t="str">
            <v>Angola</v>
          </cell>
        </row>
        <row r="29">
          <cell r="A29" t="str">
            <v>Estonia</v>
          </cell>
        </row>
        <row r="30">
          <cell r="A30" t="str">
            <v>Japan</v>
          </cell>
          <cell r="B30">
            <v>0.57999999999999996</v>
          </cell>
          <cell r="C30">
            <v>0.42</v>
          </cell>
        </row>
        <row r="31">
          <cell r="A31" t="str">
            <v>Liechtenstein</v>
          </cell>
        </row>
        <row r="32">
          <cell r="A32" t="str">
            <v>U.S. Virgin Islands</v>
          </cell>
        </row>
        <row r="33">
          <cell r="A33" t="str">
            <v>Hong Kong</v>
          </cell>
          <cell r="B33">
            <v>0.52</v>
          </cell>
          <cell r="C33">
            <v>0.48</v>
          </cell>
        </row>
        <row r="34">
          <cell r="A34" t="str">
            <v>Canada</v>
          </cell>
          <cell r="B34">
            <v>0.46</v>
          </cell>
          <cell r="C34">
            <v>0.54</v>
          </cell>
        </row>
        <row r="35">
          <cell r="A35" t="str">
            <v>Eswatini</v>
          </cell>
        </row>
        <row r="36">
          <cell r="A36" t="str">
            <v>Jersey</v>
          </cell>
        </row>
        <row r="37">
          <cell r="A37" t="str">
            <v>Kyrgyzstan</v>
          </cell>
        </row>
        <row r="38">
          <cell r="A38" t="str">
            <v>Ã…land Islands</v>
          </cell>
        </row>
        <row r="39">
          <cell r="A39" t="str">
            <v>Grenada</v>
          </cell>
        </row>
        <row r="40">
          <cell r="A40" t="str">
            <v>New Zealand</v>
          </cell>
          <cell r="B40">
            <v>0.64</v>
          </cell>
          <cell r="C40">
            <v>0.36</v>
          </cell>
        </row>
        <row r="41">
          <cell r="A41" t="str">
            <v>Guernsey</v>
          </cell>
        </row>
        <row r="42">
          <cell r="A42" t="str">
            <v>Latvia</v>
          </cell>
        </row>
        <row r="43">
          <cell r="A43" t="str">
            <v>Madagascar</v>
          </cell>
        </row>
        <row r="44">
          <cell r="A44" t="str">
            <v>Moldova</v>
          </cell>
        </row>
        <row r="45">
          <cell r="A45" t="str">
            <v>Faroe Islands</v>
          </cell>
        </row>
        <row r="46">
          <cell r="A46" t="str">
            <v>Israel</v>
          </cell>
          <cell r="B46">
            <v>0.42</v>
          </cell>
          <cell r="C46">
            <v>0.57999999999999996</v>
          </cell>
        </row>
        <row r="47">
          <cell r="A47" t="str">
            <v>United States</v>
          </cell>
          <cell r="B47">
            <v>0.64</v>
          </cell>
          <cell r="C47">
            <v>0.36</v>
          </cell>
        </row>
        <row r="48">
          <cell r="A48" t="str">
            <v>Philippines</v>
          </cell>
          <cell r="B48">
            <v>0.63</v>
          </cell>
          <cell r="C48">
            <v>0.37</v>
          </cell>
        </row>
        <row r="49">
          <cell r="A49" t="str">
            <v>Cayman Islands</v>
          </cell>
        </row>
        <row r="50">
          <cell r="A50" t="str">
            <v>Timor-Leste</v>
          </cell>
        </row>
        <row r="51">
          <cell r="A51" t="str">
            <v>Barbados</v>
          </cell>
        </row>
        <row r="52">
          <cell r="A52" t="str">
            <v>Rwanda</v>
          </cell>
        </row>
        <row r="53">
          <cell r="A53" t="str">
            <v>Luxembourg</v>
          </cell>
        </row>
        <row r="54">
          <cell r="A54" t="str">
            <v>Cameroon</v>
          </cell>
        </row>
        <row r="55">
          <cell r="A55" t="str">
            <v>Bermuda</v>
          </cell>
        </row>
        <row r="56">
          <cell r="A56" t="str">
            <v>Germany</v>
          </cell>
          <cell r="B56">
            <v>0.5</v>
          </cell>
          <cell r="C56">
            <v>0.5</v>
          </cell>
        </row>
        <row r="57">
          <cell r="A57" t="str">
            <v>Mauritius</v>
          </cell>
        </row>
        <row r="58">
          <cell r="A58" t="str">
            <v>India</v>
          </cell>
          <cell r="B58">
            <v>0.46</v>
          </cell>
          <cell r="C58">
            <v>0.54</v>
          </cell>
        </row>
        <row r="59">
          <cell r="A59" t="str">
            <v>Taiwan</v>
          </cell>
          <cell r="B59">
            <v>0.42</v>
          </cell>
          <cell r="C59">
            <v>0.57999999999999996</v>
          </cell>
        </row>
        <row r="60">
          <cell r="A60" t="str">
            <v>Uganda</v>
          </cell>
        </row>
        <row r="61">
          <cell r="A61" t="str">
            <v>Bangladesh</v>
          </cell>
          <cell r="B61">
            <v>0.4</v>
          </cell>
          <cell r="C61">
            <v>0.6</v>
          </cell>
        </row>
        <row r="62">
          <cell r="A62" t="str">
            <v>Netherlands</v>
          </cell>
          <cell r="B62">
            <v>0.67</v>
          </cell>
          <cell r="C62">
            <v>0.33</v>
          </cell>
        </row>
        <row r="63">
          <cell r="A63" t="str">
            <v>Switzerland</v>
          </cell>
          <cell r="B63">
            <v>0.54</v>
          </cell>
          <cell r="C63">
            <v>0.46</v>
          </cell>
        </row>
        <row r="64">
          <cell r="A64" t="str">
            <v>Somalia</v>
          </cell>
        </row>
        <row r="65">
          <cell r="A65" t="str">
            <v>Equatorial Guinea</v>
          </cell>
        </row>
        <row r="66">
          <cell r="A66" t="str">
            <v>Sri Lanka</v>
          </cell>
          <cell r="B66">
            <v>0.45</v>
          </cell>
          <cell r="C66">
            <v>0.55000000000000004</v>
          </cell>
        </row>
        <row r="67">
          <cell r="A67" t="str">
            <v>Dominica</v>
          </cell>
        </row>
        <row r="68">
          <cell r="A68" t="str">
            <v>Nepal</v>
          </cell>
        </row>
        <row r="69">
          <cell r="A69" t="str">
            <v>Czechia</v>
          </cell>
          <cell r="B69">
            <v>0.55000000000000004</v>
          </cell>
          <cell r="C69">
            <v>0.45</v>
          </cell>
        </row>
        <row r="70">
          <cell r="A70" t="str">
            <v>Tajikistan</v>
          </cell>
        </row>
        <row r="71">
          <cell r="A71" t="str">
            <v>Sweden</v>
          </cell>
          <cell r="B71">
            <v>0.65</v>
          </cell>
          <cell r="C71">
            <v>0.35</v>
          </cell>
        </row>
        <row r="72">
          <cell r="A72" t="str">
            <v>Fiji</v>
          </cell>
        </row>
        <row r="73">
          <cell r="A73" t="str">
            <v>Australia</v>
          </cell>
          <cell r="B73">
            <v>0.65</v>
          </cell>
          <cell r="C73">
            <v>0.35</v>
          </cell>
        </row>
        <row r="74">
          <cell r="A74" t="str">
            <v>Trinidad &amp; Tobago</v>
          </cell>
        </row>
        <row r="75">
          <cell r="A75" t="str">
            <v>Haiti</v>
          </cell>
        </row>
        <row r="76">
          <cell r="A76" t="str">
            <v>Kenya</v>
          </cell>
        </row>
        <row r="77">
          <cell r="A77" t="str">
            <v>Jamaica</v>
          </cell>
        </row>
        <row r="78">
          <cell r="A78" t="str">
            <v>United Kingdom</v>
          </cell>
          <cell r="B78">
            <v>0.63</v>
          </cell>
          <cell r="C78">
            <v>0.37</v>
          </cell>
        </row>
        <row r="79">
          <cell r="A79" t="str">
            <v>Guyana</v>
          </cell>
        </row>
        <row r="80">
          <cell r="A80" t="str">
            <v>Solomon Islands</v>
          </cell>
        </row>
        <row r="81">
          <cell r="A81" t="str">
            <v>CÃ´te dâ€™Ivoire</v>
          </cell>
        </row>
        <row r="82">
          <cell r="A82" t="str">
            <v>Finland</v>
          </cell>
          <cell r="B82">
            <v>0.57999999999999996</v>
          </cell>
          <cell r="C82">
            <v>0.42</v>
          </cell>
        </row>
        <row r="83">
          <cell r="A83" t="str">
            <v>Ireland</v>
          </cell>
          <cell r="B83">
            <v>0.62</v>
          </cell>
          <cell r="C83">
            <v>0.38</v>
          </cell>
        </row>
        <row r="84">
          <cell r="A84" t="str">
            <v>Austria</v>
          </cell>
          <cell r="B84">
            <v>0.52</v>
          </cell>
          <cell r="C84">
            <v>0.48</v>
          </cell>
        </row>
        <row r="85">
          <cell r="A85" t="str">
            <v>Ghana</v>
          </cell>
        </row>
        <row r="86">
          <cell r="A86" t="str">
            <v>Benin</v>
          </cell>
        </row>
        <row r="87">
          <cell r="A87" t="str">
            <v>Cambodia</v>
          </cell>
        </row>
        <row r="88">
          <cell r="A88" t="str">
            <v>Aruba</v>
          </cell>
        </row>
        <row r="89">
          <cell r="A89" t="str">
            <v>Guam</v>
          </cell>
        </row>
        <row r="90">
          <cell r="A90" t="str">
            <v>Denmark</v>
          </cell>
          <cell r="B90">
            <v>0.59</v>
          </cell>
          <cell r="C90">
            <v>0.41</v>
          </cell>
        </row>
        <row r="91">
          <cell r="A91" t="str">
            <v>Norway</v>
          </cell>
          <cell r="B91">
            <v>0.57999999999999996</v>
          </cell>
          <cell r="C91">
            <v>0.42</v>
          </cell>
        </row>
        <row r="92">
          <cell r="A92" t="str">
            <v>Maldives</v>
          </cell>
        </row>
        <row r="93">
          <cell r="A93" t="str">
            <v>French Polynesia</v>
          </cell>
        </row>
        <row r="94">
          <cell r="A94" t="str">
            <v>Belgium</v>
          </cell>
          <cell r="B94">
            <v>0.62</v>
          </cell>
          <cell r="C94">
            <v>0.38</v>
          </cell>
        </row>
        <row r="95">
          <cell r="A95" t="str">
            <v>Togo</v>
          </cell>
        </row>
        <row r="96">
          <cell r="A96" t="str">
            <v>Niger</v>
          </cell>
        </row>
        <row r="97">
          <cell r="A97" t="str">
            <v>Mozambique</v>
          </cell>
        </row>
        <row r="98">
          <cell r="A98" t="str">
            <v>North Macedonia</v>
          </cell>
        </row>
        <row r="99">
          <cell r="A99" t="str">
            <v>Tunisia</v>
          </cell>
          <cell r="B99">
            <v>0.6</v>
          </cell>
          <cell r="C99">
            <v>0.4</v>
          </cell>
        </row>
        <row r="100">
          <cell r="A100" t="str">
            <v>Portugal</v>
          </cell>
          <cell r="B100">
            <v>0.56000000000000005</v>
          </cell>
          <cell r="C100">
            <v>0.44</v>
          </cell>
        </row>
        <row r="101">
          <cell r="A101" t="str">
            <v>Mongolia</v>
          </cell>
        </row>
        <row r="102">
          <cell r="A102" t="str">
            <v>Lebanon</v>
          </cell>
        </row>
        <row r="103">
          <cell r="A103" t="str">
            <v>Macao</v>
          </cell>
        </row>
        <row r="104">
          <cell r="A104" t="str">
            <v>Armenia</v>
          </cell>
        </row>
        <row r="105">
          <cell r="A105" t="str">
            <v>Zambia</v>
          </cell>
        </row>
        <row r="106">
          <cell r="A106" t="str">
            <v>Monaco</v>
          </cell>
        </row>
        <row r="107">
          <cell r="A107" t="str">
            <v>St. Lucia</v>
          </cell>
        </row>
        <row r="108">
          <cell r="A108" t="str">
            <v>Cape Verde</v>
          </cell>
        </row>
        <row r="109">
          <cell r="A109" t="str">
            <v>Andorra</v>
          </cell>
        </row>
        <row r="110">
          <cell r="A110" t="str">
            <v>Bulgaria</v>
          </cell>
          <cell r="B110">
            <v>0.62</v>
          </cell>
          <cell r="C110">
            <v>0.38</v>
          </cell>
        </row>
        <row r="111">
          <cell r="A111" t="str">
            <v>Spain</v>
          </cell>
          <cell r="B111">
            <v>0.59</v>
          </cell>
          <cell r="C111">
            <v>0.41</v>
          </cell>
        </row>
        <row r="112">
          <cell r="A112" t="str">
            <v>El Salvador</v>
          </cell>
        </row>
        <row r="113">
          <cell r="A113" t="str">
            <v>Romania</v>
          </cell>
          <cell r="B113">
            <v>0.51</v>
          </cell>
          <cell r="C113">
            <v>0.49</v>
          </cell>
        </row>
        <row r="114">
          <cell r="A114" t="str">
            <v>Iran</v>
          </cell>
          <cell r="B114">
            <v>0.32</v>
          </cell>
          <cell r="C114">
            <v>0.68</v>
          </cell>
        </row>
        <row r="115">
          <cell r="A115" t="str">
            <v>Belize</v>
          </cell>
        </row>
        <row r="116">
          <cell r="A116" t="str">
            <v>Mali</v>
          </cell>
        </row>
        <row r="117">
          <cell r="A117" t="str">
            <v>Oman</v>
          </cell>
        </row>
        <row r="118">
          <cell r="A118" t="str">
            <v>Cyprus</v>
          </cell>
        </row>
        <row r="119">
          <cell r="A119" t="str">
            <v>Nigeria</v>
          </cell>
          <cell r="B119">
            <v>0.38</v>
          </cell>
          <cell r="C119">
            <v>0.62</v>
          </cell>
        </row>
        <row r="120">
          <cell r="A120" t="str">
            <v>Zimbabwe</v>
          </cell>
        </row>
        <row r="121">
          <cell r="A121" t="str">
            <v>South Africa</v>
          </cell>
          <cell r="B121">
            <v>0.52</v>
          </cell>
          <cell r="C121">
            <v>0.48</v>
          </cell>
        </row>
        <row r="122">
          <cell r="A122" t="str">
            <v>Lithuania</v>
          </cell>
        </row>
        <row r="123">
          <cell r="A123" t="str">
            <v>South Sudan</v>
          </cell>
        </row>
        <row r="124">
          <cell r="A124" t="str">
            <v>Slovenia</v>
          </cell>
        </row>
        <row r="125">
          <cell r="A125" t="str">
            <v>Mexico</v>
          </cell>
          <cell r="B125">
            <v>0.41</v>
          </cell>
          <cell r="C125">
            <v>0.59</v>
          </cell>
        </row>
        <row r="126">
          <cell r="A126" t="str">
            <v>Guatemala</v>
          </cell>
        </row>
        <row r="127">
          <cell r="A127" t="str">
            <v>Malaysia</v>
          </cell>
          <cell r="B127">
            <v>0.51</v>
          </cell>
          <cell r="C127">
            <v>0.49</v>
          </cell>
        </row>
        <row r="128">
          <cell r="A128" t="str">
            <v>St. Vincent &amp; Grenadines</v>
          </cell>
        </row>
        <row r="129">
          <cell r="A129" t="str">
            <v>Costa Rica</v>
          </cell>
          <cell r="B129">
            <v>0.52</v>
          </cell>
          <cell r="C129">
            <v>0.48</v>
          </cell>
        </row>
        <row r="130">
          <cell r="A130" t="str">
            <v>Congo - Brazzaville</v>
          </cell>
        </row>
        <row r="131">
          <cell r="A131" t="str">
            <v>Bhutan</v>
          </cell>
        </row>
        <row r="132">
          <cell r="A132" t="str">
            <v>Congo - Kinshasa</v>
          </cell>
        </row>
        <row r="133">
          <cell r="A133" t="str">
            <v>Bahamas</v>
          </cell>
        </row>
        <row r="134">
          <cell r="A134" t="str">
            <v>Chad</v>
          </cell>
        </row>
        <row r="135">
          <cell r="A135" t="str">
            <v>Namibia</v>
          </cell>
        </row>
        <row r="136">
          <cell r="A136" t="str">
            <v>Honduras</v>
          </cell>
        </row>
        <row r="137">
          <cell r="A137" t="str">
            <v>Pakistan</v>
          </cell>
          <cell r="B137">
            <v>0.54</v>
          </cell>
          <cell r="C137">
            <v>0.46</v>
          </cell>
        </row>
        <row r="138">
          <cell r="A138" t="str">
            <v>Hungary</v>
          </cell>
          <cell r="B138">
            <v>0.54</v>
          </cell>
          <cell r="C138">
            <v>0.46</v>
          </cell>
        </row>
        <row r="139">
          <cell r="A139" t="str">
            <v>Malawi</v>
          </cell>
        </row>
        <row r="140">
          <cell r="A140" t="str">
            <v>Italy</v>
          </cell>
          <cell r="B140">
            <v>0.64</v>
          </cell>
          <cell r="C140">
            <v>0.36</v>
          </cell>
        </row>
        <row r="141">
          <cell r="A141" t="str">
            <v>Burkina Faso</v>
          </cell>
        </row>
        <row r="142">
          <cell r="A142" t="str">
            <v>Antigua &amp; Barbuda</v>
          </cell>
        </row>
        <row r="143">
          <cell r="A143" t="str">
            <v>Brunei</v>
          </cell>
        </row>
        <row r="144">
          <cell r="A144" t="str">
            <v>Thailand</v>
          </cell>
          <cell r="B144">
            <v>0.75</v>
          </cell>
          <cell r="C144">
            <v>0.25</v>
          </cell>
        </row>
        <row r="145">
          <cell r="A145" t="str">
            <v>New Caledonia</v>
          </cell>
        </row>
        <row r="146">
          <cell r="A146" t="str">
            <v>Nicaragua</v>
          </cell>
        </row>
        <row r="147">
          <cell r="A147" t="str">
            <v>France</v>
          </cell>
          <cell r="B147">
            <v>0.57999999999999996</v>
          </cell>
          <cell r="C147">
            <v>0.42</v>
          </cell>
        </row>
        <row r="148">
          <cell r="A148" t="str">
            <v>Dominican Republic</v>
          </cell>
        </row>
        <row r="149">
          <cell r="A149" t="str">
            <v>Slovakia</v>
          </cell>
          <cell r="B149">
            <v>0.52</v>
          </cell>
          <cell r="C149">
            <v>0.48</v>
          </cell>
        </row>
        <row r="150">
          <cell r="A150" t="str">
            <v>United Arab Emirates</v>
          </cell>
          <cell r="B150">
            <v>0.51</v>
          </cell>
          <cell r="C150">
            <v>0.49</v>
          </cell>
        </row>
        <row r="151">
          <cell r="A151" t="str">
            <v>Indonesia</v>
          </cell>
          <cell r="B151">
            <v>0.43</v>
          </cell>
          <cell r="C151">
            <v>0.56999999999999995</v>
          </cell>
        </row>
        <row r="152">
          <cell r="A152" t="str">
            <v>Peru</v>
          </cell>
          <cell r="B152">
            <v>0.57999999999999996</v>
          </cell>
          <cell r="C152">
            <v>0.42</v>
          </cell>
        </row>
        <row r="153">
          <cell r="A153" t="str">
            <v>Bosnia &amp; Herzegovina</v>
          </cell>
        </row>
        <row r="154">
          <cell r="A154" t="str">
            <v>Gambia</v>
          </cell>
        </row>
        <row r="155">
          <cell r="A155" t="str">
            <v>Ecuador</v>
          </cell>
          <cell r="B155">
            <v>0.42</v>
          </cell>
          <cell r="C155">
            <v>0.57999999999999996</v>
          </cell>
        </row>
        <row r="156">
          <cell r="A156" t="str">
            <v>Afghanistan</v>
          </cell>
        </row>
        <row r="157">
          <cell r="A157" t="str">
            <v>Guinea</v>
          </cell>
        </row>
        <row r="158">
          <cell r="A158" t="str">
            <v>Croatia</v>
          </cell>
          <cell r="B158">
            <v>0.57999999999999996</v>
          </cell>
          <cell r="C158">
            <v>0.42</v>
          </cell>
        </row>
        <row r="159">
          <cell r="A159" t="str">
            <v>Qatar</v>
          </cell>
        </row>
        <row r="160">
          <cell r="A160" t="str">
            <v>Poland</v>
          </cell>
          <cell r="B160">
            <v>0.56000000000000005</v>
          </cell>
          <cell r="C160">
            <v>0.44</v>
          </cell>
        </row>
        <row r="161">
          <cell r="A161" t="str">
            <v>Uruguay</v>
          </cell>
        </row>
        <row r="162">
          <cell r="A162" t="str">
            <v>Brazil</v>
          </cell>
          <cell r="B162">
            <v>0.57999999999999996</v>
          </cell>
          <cell r="C162">
            <v>0.42</v>
          </cell>
        </row>
        <row r="163">
          <cell r="A163" t="str">
            <v>Panama</v>
          </cell>
        </row>
        <row r="164">
          <cell r="A164" t="str">
            <v>Senegal</v>
          </cell>
        </row>
        <row r="165">
          <cell r="A165" t="str">
            <v>Georgia</v>
          </cell>
        </row>
        <row r="166">
          <cell r="A166" t="str">
            <v>Laos</v>
          </cell>
        </row>
        <row r="167">
          <cell r="A167" t="str">
            <v>Paraguay</v>
          </cell>
        </row>
        <row r="168">
          <cell r="A168" t="str">
            <v>Djibouti</v>
          </cell>
        </row>
        <row r="169">
          <cell r="A169" t="str">
            <v>Suriname</v>
          </cell>
        </row>
        <row r="170">
          <cell r="A170" t="str">
            <v>Albania</v>
          </cell>
        </row>
        <row r="171">
          <cell r="A171" t="str">
            <v>Puerto Rico</v>
          </cell>
        </row>
        <row r="172">
          <cell r="A172" t="str">
            <v>Bahrain</v>
          </cell>
        </row>
        <row r="173">
          <cell r="A173" t="str">
            <v>Gabon</v>
          </cell>
        </row>
        <row r="174">
          <cell r="A174" t="str">
            <v>Serbia</v>
          </cell>
          <cell r="B174">
            <v>0.55000000000000004</v>
          </cell>
          <cell r="C174">
            <v>0.45</v>
          </cell>
        </row>
        <row r="175">
          <cell r="A175" t="str">
            <v>Argentina</v>
          </cell>
          <cell r="B175">
            <v>0.56000000000000005</v>
          </cell>
          <cell r="C175">
            <v>0.44</v>
          </cell>
        </row>
        <row r="176">
          <cell r="A176" t="str">
            <v>Greece</v>
          </cell>
          <cell r="B176">
            <v>0.66</v>
          </cell>
          <cell r="C176">
            <v>0.34</v>
          </cell>
        </row>
        <row r="177">
          <cell r="A177" t="str">
            <v>Colombia</v>
          </cell>
          <cell r="B177">
            <v>0.49</v>
          </cell>
          <cell r="C177">
            <v>0.51</v>
          </cell>
        </row>
        <row r="178">
          <cell r="A178" t="str">
            <v>RÃ©union</v>
          </cell>
        </row>
        <row r="179">
          <cell r="A179" t="str">
            <v>Morocco</v>
          </cell>
          <cell r="B179">
            <v>0.45</v>
          </cell>
          <cell r="C179">
            <v>0.55000000000000004</v>
          </cell>
        </row>
        <row r="180">
          <cell r="A180" t="str">
            <v>Martinique</v>
          </cell>
        </row>
        <row r="181">
          <cell r="A181" t="str">
            <v>Guadeloupe</v>
          </cell>
        </row>
        <row r="182">
          <cell r="A182" t="str">
            <v>Syria</v>
          </cell>
        </row>
        <row r="183">
          <cell r="A183" t="str">
            <v>Sudan</v>
          </cell>
        </row>
        <row r="184">
          <cell r="A184" t="str">
            <v>Vietnam</v>
          </cell>
          <cell r="B184">
            <v>0.49</v>
          </cell>
          <cell r="C184">
            <v>0.51</v>
          </cell>
        </row>
        <row r="185">
          <cell r="A185" t="str">
            <v>Chile</v>
          </cell>
          <cell r="B185">
            <v>0.53</v>
          </cell>
          <cell r="C185">
            <v>0.47</v>
          </cell>
        </row>
        <row r="186">
          <cell r="A186" t="str">
            <v>Montenegro</v>
          </cell>
        </row>
        <row r="187">
          <cell r="A187" t="str">
            <v>French Guiana</v>
          </cell>
        </row>
        <row r="188">
          <cell r="A188" t="str">
            <v>Venezuela</v>
          </cell>
          <cell r="B188">
            <v>0.51</v>
          </cell>
          <cell r="C188">
            <v>0.49</v>
          </cell>
        </row>
        <row r="189">
          <cell r="A189" t="str">
            <v>Mauritania</v>
          </cell>
        </row>
        <row r="190">
          <cell r="A190" t="str">
            <v>Algeria</v>
          </cell>
          <cell r="B190">
            <v>0.42</v>
          </cell>
          <cell r="C190">
            <v>0.57999999999999996</v>
          </cell>
        </row>
        <row r="191">
          <cell r="A191" t="str">
            <v>Mayotte</v>
          </cell>
        </row>
        <row r="192">
          <cell r="A192" t="str">
            <v>Yemen</v>
          </cell>
        </row>
        <row r="193">
          <cell r="A193" t="str">
            <v>Azerbaijan</v>
          </cell>
        </row>
        <row r="194">
          <cell r="A194" t="str">
            <v>Jordan</v>
          </cell>
        </row>
        <row r="195">
          <cell r="A195" t="str">
            <v>Bolivia</v>
          </cell>
          <cell r="B195">
            <v>0.51</v>
          </cell>
          <cell r="C195">
            <v>0.49</v>
          </cell>
        </row>
        <row r="196">
          <cell r="A196" t="str">
            <v>Kosovo</v>
          </cell>
        </row>
        <row r="197">
          <cell r="A197" t="str">
            <v>Kuwait</v>
          </cell>
        </row>
        <row r="198">
          <cell r="A198" t="str">
            <v>Egypt</v>
          </cell>
          <cell r="B198">
            <v>0.45</v>
          </cell>
          <cell r="C198">
            <v>0.55000000000000004</v>
          </cell>
        </row>
        <row r="199">
          <cell r="A199" t="str">
            <v>Saudi Arabia</v>
          </cell>
          <cell r="B199">
            <v>0.34</v>
          </cell>
          <cell r="C199">
            <v>0.66</v>
          </cell>
        </row>
        <row r="200">
          <cell r="A200" t="str">
            <v>Sierra Leone</v>
          </cell>
        </row>
        <row r="201">
          <cell r="A201" t="str">
            <v>Libya</v>
          </cell>
        </row>
        <row r="202">
          <cell r="A202" t="str">
            <v>Iraq</v>
          </cell>
        </row>
        <row r="203">
          <cell r="A203" t="str">
            <v>Palestine</v>
          </cell>
        </row>
        <row r="204">
          <cell r="A204" t="str">
            <v>Turkey</v>
          </cell>
          <cell r="B204">
            <v>0.52</v>
          </cell>
          <cell r="C204">
            <v>0.48</v>
          </cell>
        </row>
        <row r="205">
          <cell r="A205" t="str">
            <v>British Indian Ocean Territory</v>
          </cell>
        </row>
        <row r="206">
          <cell r="A206" t="str">
            <v>Wallis &amp; Futuna</v>
          </cell>
        </row>
        <row r="207">
          <cell r="A207" t="str">
            <v>Palau</v>
          </cell>
        </row>
        <row r="208">
          <cell r="A208" t="str">
            <v>Falkland Islands (Islas Malvinas)</v>
          </cell>
        </row>
        <row r="209">
          <cell r="A209" t="str">
            <v>Micronesia</v>
          </cell>
        </row>
        <row r="210">
          <cell r="A210" t="str">
            <v>Montserrat</v>
          </cell>
        </row>
        <row r="211">
          <cell r="A211" t="str">
            <v>Marshall Islands</v>
          </cell>
        </row>
        <row r="212">
          <cell r="A212" t="str">
            <v>Northern Mariana Islands</v>
          </cell>
        </row>
        <row r="213">
          <cell r="A213" t="str">
            <v>Caribbean Netherlands</v>
          </cell>
        </row>
        <row r="214">
          <cell r="A214" t="str">
            <v>Samoa</v>
          </cell>
        </row>
        <row r="215">
          <cell r="A215" t="str">
            <v>Tonga</v>
          </cell>
        </row>
        <row r="216">
          <cell r="A216" t="str">
            <v>Anguilla</v>
          </cell>
        </row>
        <row r="217">
          <cell r="A217" t="str">
            <v>Seychelles</v>
          </cell>
        </row>
        <row r="218">
          <cell r="A218" t="str">
            <v>Vanuatu</v>
          </cell>
        </row>
        <row r="219">
          <cell r="A219" t="str">
            <v>St. Kitts &amp; Nevis</v>
          </cell>
        </row>
        <row r="220">
          <cell r="A220" t="str">
            <v>Turks &amp; Caicos Islands</v>
          </cell>
        </row>
        <row r="221">
          <cell r="A221" t="str">
            <v>SÃ£o TomÃ© &amp; PrÃ­ncipe</v>
          </cell>
        </row>
        <row r="222">
          <cell r="A222" t="str">
            <v>Greenland</v>
          </cell>
        </row>
        <row r="223">
          <cell r="A223" t="str">
            <v>St. BarthÃ©lemy</v>
          </cell>
        </row>
        <row r="224">
          <cell r="A224" t="str">
            <v>Central African Republic</v>
          </cell>
        </row>
        <row r="225">
          <cell r="A225" t="str">
            <v>British Virgin Islands</v>
          </cell>
        </row>
        <row r="226">
          <cell r="A226" t="str">
            <v>St. Pierre &amp; Miquelon</v>
          </cell>
        </row>
        <row r="227">
          <cell r="A227" t="str">
            <v>St. Martin</v>
          </cell>
        </row>
        <row r="228">
          <cell r="A228" t="str">
            <v>Sint Maarten</v>
          </cell>
        </row>
        <row r="229">
          <cell r="A229" t="str">
            <v>Burundi</v>
          </cell>
        </row>
        <row r="230">
          <cell r="A230" t="str">
            <v>San Marino</v>
          </cell>
        </row>
        <row r="231">
          <cell r="A231" t="str">
            <v>American Samoa</v>
          </cell>
        </row>
        <row r="232">
          <cell r="A232" t="str">
            <v>Antarctica</v>
          </cell>
        </row>
        <row r="233">
          <cell r="A233" t="str">
            <v>French Southern Territories</v>
          </cell>
        </row>
        <row r="234">
          <cell r="A234" t="str">
            <v>Bouvet Island</v>
          </cell>
        </row>
        <row r="235">
          <cell r="A235" t="str">
            <v>Cocos (Keeling) Islands</v>
          </cell>
        </row>
        <row r="236">
          <cell r="A236" t="str">
            <v>Comoros</v>
          </cell>
        </row>
        <row r="237">
          <cell r="A237" t="str">
            <v>Christmas Island</v>
          </cell>
        </row>
        <row r="238">
          <cell r="A238" t="str">
            <v>Eritrea</v>
          </cell>
        </row>
        <row r="239">
          <cell r="A239" t="str">
            <v>Western Sahara</v>
          </cell>
        </row>
        <row r="240">
          <cell r="A240" t="str">
            <v>Guinea-Bissau</v>
          </cell>
        </row>
        <row r="241">
          <cell r="A241" t="str">
            <v>Heard &amp; McDonald Islands</v>
          </cell>
        </row>
        <row r="242">
          <cell r="A242" t="str">
            <v>Kiribati</v>
          </cell>
        </row>
        <row r="243">
          <cell r="A243" t="str">
            <v>Norfolk Island</v>
          </cell>
        </row>
        <row r="244">
          <cell r="A244" t="str">
            <v>Niue</v>
          </cell>
        </row>
        <row r="245">
          <cell r="A245" t="str">
            <v>Nauru</v>
          </cell>
        </row>
        <row r="246">
          <cell r="A246" t="str">
            <v>Pitcairn Islands</v>
          </cell>
        </row>
        <row r="247">
          <cell r="A247" t="str">
            <v>North Korea</v>
          </cell>
        </row>
        <row r="248">
          <cell r="A248" t="str">
            <v>South Georgia &amp; South Sandwich Islands</v>
          </cell>
        </row>
        <row r="249">
          <cell r="A249" t="str">
            <v>Svalbard &amp; Jan Mayen</v>
          </cell>
        </row>
        <row r="250">
          <cell r="A250" t="str">
            <v>Tokelau</v>
          </cell>
        </row>
        <row r="251">
          <cell r="A251" t="str">
            <v>Tuvalu</v>
          </cell>
        </row>
        <row r="252">
          <cell r="A252" t="str">
            <v>U.S. Outlying Islands</v>
          </cell>
        </row>
        <row r="253">
          <cell r="A253" t="str">
            <v>Vatican City</v>
          </cell>
        </row>
      </sheetData>
    </sheetDataSet>
  </externalBook>
</externalLink>
</file>

<file path=xl/externalLinks/externalLink2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0)"/>
    </sheetNames>
    <sheetDataSet>
      <sheetData sheetId="0">
        <row r="1">
          <cell r="A1" t="str">
            <v>Kategori: TÃ¼m kategoriler</v>
          </cell>
        </row>
        <row r="3">
          <cell r="A3" t="str">
            <v>Ãœlke</v>
          </cell>
          <cell r="B3" t="str">
            <v>HTTP: (2014)</v>
          </cell>
          <cell r="C3" t="str">
            <v>For dÃ¶ngÃ¼sÃ¼: (2014)</v>
          </cell>
        </row>
        <row r="4">
          <cell r="A4" t="str">
            <v>British Indian Ocean Territory</v>
          </cell>
        </row>
        <row r="5">
          <cell r="A5" t="str">
            <v>Cuba</v>
          </cell>
        </row>
        <row r="6">
          <cell r="A6" t="str">
            <v>China</v>
          </cell>
          <cell r="B6">
            <v>0.83</v>
          </cell>
          <cell r="C6">
            <v>0.17</v>
          </cell>
        </row>
        <row r="7">
          <cell r="A7" t="str">
            <v>Ethiopia</v>
          </cell>
        </row>
        <row r="8">
          <cell r="A8" t="str">
            <v>Papua New Guinea</v>
          </cell>
        </row>
        <row r="9">
          <cell r="A9" t="str">
            <v>South Korea</v>
          </cell>
          <cell r="B9">
            <v>0.69</v>
          </cell>
          <cell r="C9">
            <v>0.31</v>
          </cell>
        </row>
        <row r="10">
          <cell r="A10" t="str">
            <v>Myanmar (Burma)</v>
          </cell>
        </row>
        <row r="11">
          <cell r="A11" t="str">
            <v>Cook Islands</v>
          </cell>
        </row>
        <row r="12">
          <cell r="A12" t="str">
            <v>Botswana</v>
          </cell>
        </row>
        <row r="13">
          <cell r="A13" t="str">
            <v>Tanzania</v>
          </cell>
        </row>
        <row r="14">
          <cell r="A14" t="str">
            <v>Lesotho</v>
          </cell>
        </row>
        <row r="15">
          <cell r="A15" t="str">
            <v>Liberia</v>
          </cell>
        </row>
        <row r="16">
          <cell r="A16" t="str">
            <v>St. Helena</v>
          </cell>
        </row>
        <row r="17">
          <cell r="A17" t="str">
            <v>Gibraltar</v>
          </cell>
        </row>
        <row r="18">
          <cell r="A18" t="str">
            <v>Iceland</v>
          </cell>
        </row>
        <row r="19">
          <cell r="A19" t="str">
            <v>Equatorial Guinea</v>
          </cell>
        </row>
        <row r="20">
          <cell r="A20" t="str">
            <v>Angola</v>
          </cell>
        </row>
        <row r="21">
          <cell r="A21" t="str">
            <v>Canada</v>
          </cell>
          <cell r="B21">
            <v>0.75</v>
          </cell>
          <cell r="C21">
            <v>0.25</v>
          </cell>
        </row>
        <row r="22">
          <cell r="A22" t="str">
            <v>Solomon Islands</v>
          </cell>
        </row>
        <row r="23">
          <cell r="A23" t="str">
            <v>Hong Kong</v>
          </cell>
          <cell r="B23">
            <v>0.61</v>
          </cell>
          <cell r="C23">
            <v>0.39</v>
          </cell>
        </row>
        <row r="24">
          <cell r="A24" t="str">
            <v>Cameroon</v>
          </cell>
        </row>
        <row r="25">
          <cell r="A25" t="str">
            <v>Israel</v>
          </cell>
          <cell r="B25">
            <v>0.71</v>
          </cell>
          <cell r="C25">
            <v>0.28999999999999998</v>
          </cell>
        </row>
        <row r="26">
          <cell r="A26" t="str">
            <v>Somalia</v>
          </cell>
        </row>
        <row r="27">
          <cell r="A27" t="str">
            <v>Germany</v>
          </cell>
          <cell r="B27">
            <v>0.76</v>
          </cell>
          <cell r="C27">
            <v>0.24</v>
          </cell>
        </row>
        <row r="28">
          <cell r="A28" t="str">
            <v>India</v>
          </cell>
          <cell r="B28">
            <v>0.61</v>
          </cell>
          <cell r="C28">
            <v>0.39</v>
          </cell>
        </row>
        <row r="29">
          <cell r="A29" t="str">
            <v>Taiwan</v>
          </cell>
          <cell r="B29">
            <v>0.71</v>
          </cell>
          <cell r="C29">
            <v>0.28999999999999998</v>
          </cell>
        </row>
        <row r="30">
          <cell r="A30" t="str">
            <v>Burundi</v>
          </cell>
        </row>
        <row r="31">
          <cell r="A31" t="str">
            <v>Uganda</v>
          </cell>
        </row>
        <row r="32">
          <cell r="A32" t="str">
            <v>Sri Lanka</v>
          </cell>
          <cell r="B32">
            <v>0.59</v>
          </cell>
          <cell r="C32">
            <v>0.41</v>
          </cell>
        </row>
        <row r="33">
          <cell r="A33" t="str">
            <v>Rwanda</v>
          </cell>
        </row>
        <row r="34">
          <cell r="A34" t="str">
            <v>Kenya</v>
          </cell>
        </row>
        <row r="35">
          <cell r="A35" t="str">
            <v>Haiti</v>
          </cell>
        </row>
        <row r="36">
          <cell r="A36" t="str">
            <v>Eswatini</v>
          </cell>
        </row>
        <row r="37">
          <cell r="A37" t="str">
            <v>Belarus</v>
          </cell>
          <cell r="B37">
            <v>0.77</v>
          </cell>
          <cell r="C37">
            <v>0.23</v>
          </cell>
        </row>
        <row r="38">
          <cell r="A38" t="str">
            <v>Japan</v>
          </cell>
          <cell r="B38">
            <v>0.68</v>
          </cell>
          <cell r="C38">
            <v>0.32</v>
          </cell>
        </row>
        <row r="39">
          <cell r="A39" t="str">
            <v>Bangladesh</v>
          </cell>
          <cell r="B39">
            <v>0.71</v>
          </cell>
          <cell r="C39">
            <v>0.28999999999999998</v>
          </cell>
        </row>
        <row r="40">
          <cell r="A40" t="str">
            <v>Singapore</v>
          </cell>
          <cell r="B40">
            <v>0.57999999999999996</v>
          </cell>
          <cell r="C40">
            <v>0.42</v>
          </cell>
        </row>
        <row r="41">
          <cell r="A41" t="str">
            <v>Timor-Leste</v>
          </cell>
        </row>
        <row r="42">
          <cell r="A42" t="str">
            <v>Luxembourg</v>
          </cell>
        </row>
        <row r="43">
          <cell r="A43" t="str">
            <v>U.S. Virgin Islands</v>
          </cell>
        </row>
        <row r="44">
          <cell r="A44" t="str">
            <v>Ghana</v>
          </cell>
        </row>
        <row r="45">
          <cell r="A45" t="str">
            <v>Switzerland</v>
          </cell>
          <cell r="B45">
            <v>0.66</v>
          </cell>
          <cell r="C45">
            <v>0.34</v>
          </cell>
        </row>
        <row r="46">
          <cell r="A46" t="str">
            <v>Benin</v>
          </cell>
        </row>
        <row r="47">
          <cell r="A47" t="str">
            <v>Austria</v>
          </cell>
          <cell r="B47">
            <v>0.75</v>
          </cell>
          <cell r="C47">
            <v>0.25</v>
          </cell>
        </row>
        <row r="48">
          <cell r="A48" t="str">
            <v>Fiji</v>
          </cell>
        </row>
        <row r="49">
          <cell r="A49" t="str">
            <v>Niger</v>
          </cell>
        </row>
        <row r="50">
          <cell r="A50" t="str">
            <v>Nepal</v>
          </cell>
        </row>
        <row r="51">
          <cell r="A51" t="str">
            <v>Macao</v>
          </cell>
        </row>
        <row r="52">
          <cell r="A52" t="str">
            <v>Burkina Faso</v>
          </cell>
        </row>
        <row r="53">
          <cell r="A53" t="str">
            <v>Gambia</v>
          </cell>
        </row>
        <row r="54">
          <cell r="A54" t="str">
            <v>Czechia</v>
          </cell>
          <cell r="B54">
            <v>0.83</v>
          </cell>
          <cell r="C54">
            <v>0.17</v>
          </cell>
        </row>
        <row r="55">
          <cell r="A55" t="str">
            <v>Mozambique</v>
          </cell>
        </row>
        <row r="56">
          <cell r="A56" t="str">
            <v>Cambodia</v>
          </cell>
        </row>
        <row r="57">
          <cell r="A57" t="str">
            <v>Malta</v>
          </cell>
        </row>
        <row r="58">
          <cell r="A58" t="str">
            <v>CÃ´te dâ€™Ivoire</v>
          </cell>
        </row>
        <row r="59">
          <cell r="A59" t="str">
            <v>Cape Verde</v>
          </cell>
        </row>
        <row r="60">
          <cell r="A60" t="str">
            <v>Ã…land Islands</v>
          </cell>
        </row>
        <row r="61">
          <cell r="A61" t="str">
            <v>North Macedonia</v>
          </cell>
        </row>
        <row r="62">
          <cell r="A62" t="str">
            <v>Isle of Man</v>
          </cell>
        </row>
        <row r="63">
          <cell r="A63" t="str">
            <v>Russia</v>
          </cell>
          <cell r="B63">
            <v>0.76</v>
          </cell>
          <cell r="C63">
            <v>0.24</v>
          </cell>
        </row>
        <row r="64">
          <cell r="A64" t="str">
            <v>Ukraine</v>
          </cell>
          <cell r="B64">
            <v>0.79</v>
          </cell>
          <cell r="C64">
            <v>0.21</v>
          </cell>
        </row>
        <row r="65">
          <cell r="A65" t="str">
            <v>Guyana</v>
          </cell>
        </row>
        <row r="66">
          <cell r="A66" t="str">
            <v>Malawi</v>
          </cell>
        </row>
        <row r="67">
          <cell r="A67" t="str">
            <v>Mongolia</v>
          </cell>
        </row>
        <row r="68">
          <cell r="A68" t="str">
            <v>Uzbekistan</v>
          </cell>
        </row>
        <row r="69">
          <cell r="A69" t="str">
            <v>Barbados</v>
          </cell>
        </row>
        <row r="70">
          <cell r="A70" t="str">
            <v>Zambia</v>
          </cell>
        </row>
        <row r="71">
          <cell r="A71" t="str">
            <v>Madagascar</v>
          </cell>
        </row>
        <row r="72">
          <cell r="A72" t="str">
            <v>Zimbabwe</v>
          </cell>
        </row>
        <row r="73">
          <cell r="A73" t="str">
            <v>Armenia</v>
          </cell>
        </row>
        <row r="74">
          <cell r="A74" t="str">
            <v>Iran</v>
          </cell>
          <cell r="B74">
            <v>0.89</v>
          </cell>
          <cell r="C74">
            <v>0.11</v>
          </cell>
        </row>
        <row r="75">
          <cell r="A75" t="str">
            <v>Chad</v>
          </cell>
        </row>
        <row r="76">
          <cell r="A76" t="str">
            <v>Seychelles</v>
          </cell>
        </row>
        <row r="77">
          <cell r="A77" t="str">
            <v>Mali</v>
          </cell>
        </row>
        <row r="78">
          <cell r="A78" t="str">
            <v>El Salvador</v>
          </cell>
        </row>
        <row r="79">
          <cell r="A79" t="str">
            <v>Estonia</v>
          </cell>
        </row>
        <row r="80">
          <cell r="A80" t="str">
            <v>South Sudan</v>
          </cell>
        </row>
        <row r="81">
          <cell r="A81" t="str">
            <v>Philippines</v>
          </cell>
          <cell r="B81">
            <v>0.53</v>
          </cell>
          <cell r="C81">
            <v>0.47</v>
          </cell>
        </row>
        <row r="82">
          <cell r="A82" t="str">
            <v>Mauritius</v>
          </cell>
        </row>
        <row r="83">
          <cell r="A83" t="str">
            <v>Finland</v>
          </cell>
          <cell r="B83">
            <v>0.7</v>
          </cell>
          <cell r="C83">
            <v>0.3</v>
          </cell>
        </row>
        <row r="84">
          <cell r="A84" t="str">
            <v>Nigeria</v>
          </cell>
        </row>
        <row r="85">
          <cell r="A85" t="str">
            <v>Romania</v>
          </cell>
          <cell r="B85">
            <v>0.89</v>
          </cell>
          <cell r="C85">
            <v>0.11</v>
          </cell>
        </row>
        <row r="86">
          <cell r="A86" t="str">
            <v>Mexico</v>
          </cell>
          <cell r="B86">
            <v>0.73</v>
          </cell>
          <cell r="C86">
            <v>0.27</v>
          </cell>
        </row>
        <row r="87">
          <cell r="A87" t="str">
            <v>Maldives</v>
          </cell>
        </row>
        <row r="88">
          <cell r="A88" t="str">
            <v>New Zealand</v>
          </cell>
          <cell r="B88">
            <v>0.62</v>
          </cell>
          <cell r="C88">
            <v>0.38</v>
          </cell>
        </row>
        <row r="89">
          <cell r="A89" t="str">
            <v>Guatemala</v>
          </cell>
          <cell r="B89">
            <v>0.66</v>
          </cell>
          <cell r="C89">
            <v>0.34</v>
          </cell>
        </row>
        <row r="90">
          <cell r="A90" t="str">
            <v>Monaco</v>
          </cell>
        </row>
        <row r="91">
          <cell r="A91" t="str">
            <v>Norway</v>
          </cell>
          <cell r="B91">
            <v>0.72</v>
          </cell>
          <cell r="C91">
            <v>0.28000000000000003</v>
          </cell>
        </row>
        <row r="92">
          <cell r="A92" t="str">
            <v>Jamaica</v>
          </cell>
        </row>
        <row r="93">
          <cell r="A93" t="str">
            <v>Malaysia</v>
          </cell>
          <cell r="B93">
            <v>0.68</v>
          </cell>
          <cell r="C93">
            <v>0.32</v>
          </cell>
        </row>
        <row r="94">
          <cell r="A94" t="str">
            <v>Senegal</v>
          </cell>
        </row>
        <row r="95">
          <cell r="A95" t="str">
            <v>Portugal</v>
          </cell>
          <cell r="B95">
            <v>0.69</v>
          </cell>
          <cell r="C95">
            <v>0.31</v>
          </cell>
        </row>
        <row r="96">
          <cell r="A96" t="str">
            <v>Oman</v>
          </cell>
        </row>
        <row r="97">
          <cell r="A97" t="str">
            <v>Turkmenistan</v>
          </cell>
        </row>
        <row r="98">
          <cell r="A98" t="str">
            <v>United States</v>
          </cell>
          <cell r="B98">
            <v>0.59</v>
          </cell>
          <cell r="C98">
            <v>0.41</v>
          </cell>
        </row>
        <row r="99">
          <cell r="A99" t="str">
            <v>South Africa</v>
          </cell>
          <cell r="B99">
            <v>0.67</v>
          </cell>
          <cell r="C99">
            <v>0.33</v>
          </cell>
        </row>
        <row r="100">
          <cell r="A100" t="str">
            <v>Congo - Kinshasa</v>
          </cell>
        </row>
        <row r="101">
          <cell r="A101" t="str">
            <v>Andorra</v>
          </cell>
        </row>
        <row r="102">
          <cell r="A102" t="str">
            <v>Denmark</v>
          </cell>
          <cell r="B102">
            <v>0.74</v>
          </cell>
          <cell r="C102">
            <v>0.26</v>
          </cell>
        </row>
        <row r="103">
          <cell r="A103" t="str">
            <v>Costa Rica</v>
          </cell>
          <cell r="B103">
            <v>0.64</v>
          </cell>
          <cell r="C103">
            <v>0.36</v>
          </cell>
        </row>
        <row r="104">
          <cell r="A104" t="str">
            <v>Congo - Brazzaville</v>
          </cell>
        </row>
        <row r="105">
          <cell r="A105" t="str">
            <v>Namibia</v>
          </cell>
        </row>
        <row r="106">
          <cell r="A106" t="str">
            <v>United Arab Emirates</v>
          </cell>
          <cell r="B106">
            <v>0.74</v>
          </cell>
          <cell r="C106">
            <v>0.26</v>
          </cell>
        </row>
        <row r="107">
          <cell r="A107" t="str">
            <v>Ireland</v>
          </cell>
          <cell r="B107">
            <v>0.62</v>
          </cell>
          <cell r="C107">
            <v>0.38</v>
          </cell>
        </row>
        <row r="108">
          <cell r="A108" t="str">
            <v>Dominican Republic</v>
          </cell>
        </row>
        <row r="109">
          <cell r="A109" t="str">
            <v>Indonesia</v>
          </cell>
          <cell r="B109">
            <v>0.93</v>
          </cell>
          <cell r="C109">
            <v>7.0000000000000007E-2</v>
          </cell>
        </row>
        <row r="110">
          <cell r="A110" t="str">
            <v>Togo</v>
          </cell>
        </row>
        <row r="111">
          <cell r="A111" t="str">
            <v>Grenada</v>
          </cell>
        </row>
        <row r="112">
          <cell r="A112" t="str">
            <v>Nicaragua</v>
          </cell>
        </row>
        <row r="113">
          <cell r="A113" t="str">
            <v>Cayman Islands</v>
          </cell>
        </row>
        <row r="114">
          <cell r="A114" t="str">
            <v>Moldova</v>
          </cell>
        </row>
        <row r="115">
          <cell r="A115" t="str">
            <v>United Kingdom</v>
          </cell>
          <cell r="B115">
            <v>0.65</v>
          </cell>
          <cell r="C115">
            <v>0.35</v>
          </cell>
        </row>
        <row r="116">
          <cell r="A116" t="str">
            <v>Bosnia &amp; Herzegovina</v>
          </cell>
        </row>
        <row r="117">
          <cell r="A117" t="str">
            <v>Tajikistan</v>
          </cell>
        </row>
        <row r="118">
          <cell r="A118" t="str">
            <v>Qatar</v>
          </cell>
        </row>
        <row r="119">
          <cell r="A119" t="str">
            <v>Slovakia</v>
          </cell>
        </row>
        <row r="120">
          <cell r="A120" t="str">
            <v>Jersey</v>
          </cell>
        </row>
        <row r="121">
          <cell r="A121" t="str">
            <v>Ecuador</v>
          </cell>
          <cell r="B121">
            <v>0.68</v>
          </cell>
          <cell r="C121">
            <v>0.32</v>
          </cell>
        </row>
        <row r="122">
          <cell r="A122" t="str">
            <v>Honduras</v>
          </cell>
        </row>
        <row r="123">
          <cell r="A123" t="str">
            <v>Tunisia</v>
          </cell>
          <cell r="B123">
            <v>0.64</v>
          </cell>
          <cell r="C123">
            <v>0.36</v>
          </cell>
        </row>
        <row r="124">
          <cell r="A124" t="str">
            <v>Bhutan</v>
          </cell>
        </row>
        <row r="125">
          <cell r="A125" t="str">
            <v>Pakistan</v>
          </cell>
          <cell r="B125">
            <v>0.5</v>
          </cell>
          <cell r="C125">
            <v>0.5</v>
          </cell>
        </row>
        <row r="126">
          <cell r="A126" t="str">
            <v>Sweden</v>
          </cell>
          <cell r="B126">
            <v>0.67</v>
          </cell>
          <cell r="C126">
            <v>0.33</v>
          </cell>
        </row>
        <row r="127">
          <cell r="A127" t="str">
            <v>Australia</v>
          </cell>
          <cell r="B127">
            <v>0.62</v>
          </cell>
          <cell r="C127">
            <v>0.38</v>
          </cell>
        </row>
        <row r="128">
          <cell r="A128" t="str">
            <v>Latvia</v>
          </cell>
        </row>
        <row r="129">
          <cell r="A129" t="str">
            <v>Greenland</v>
          </cell>
        </row>
        <row r="130">
          <cell r="A130" t="str">
            <v>Uruguay</v>
          </cell>
        </row>
        <row r="131">
          <cell r="A131" t="str">
            <v>Hungary</v>
          </cell>
          <cell r="B131">
            <v>0.81</v>
          </cell>
          <cell r="C131">
            <v>0.19</v>
          </cell>
        </row>
        <row r="132">
          <cell r="A132" t="str">
            <v>Panama</v>
          </cell>
        </row>
        <row r="133">
          <cell r="A133" t="str">
            <v>Belgium</v>
          </cell>
          <cell r="B133">
            <v>0.68</v>
          </cell>
          <cell r="C133">
            <v>0.32</v>
          </cell>
        </row>
        <row r="134">
          <cell r="A134" t="str">
            <v>Bermuda</v>
          </cell>
        </row>
        <row r="135">
          <cell r="A135" t="str">
            <v>Kyrgyzstan</v>
          </cell>
        </row>
        <row r="136">
          <cell r="A136" t="str">
            <v>Spain</v>
          </cell>
          <cell r="B136">
            <v>0.7</v>
          </cell>
          <cell r="C136">
            <v>0.3</v>
          </cell>
        </row>
        <row r="137">
          <cell r="A137" t="str">
            <v>Netherlands</v>
          </cell>
          <cell r="B137">
            <v>0.69</v>
          </cell>
          <cell r="C137">
            <v>0.31</v>
          </cell>
        </row>
        <row r="138">
          <cell r="A138" t="str">
            <v>French Polynesia</v>
          </cell>
        </row>
        <row r="139">
          <cell r="A139" t="str">
            <v>Aruba</v>
          </cell>
        </row>
        <row r="140">
          <cell r="A140" t="str">
            <v>Colombia</v>
          </cell>
          <cell r="B140">
            <v>0.69</v>
          </cell>
          <cell r="C140">
            <v>0.31</v>
          </cell>
        </row>
        <row r="141">
          <cell r="A141" t="str">
            <v>Paraguay</v>
          </cell>
        </row>
        <row r="142">
          <cell r="A142" t="str">
            <v>Kazakhstan</v>
          </cell>
          <cell r="B142">
            <v>0.75</v>
          </cell>
          <cell r="C142">
            <v>0.25</v>
          </cell>
        </row>
        <row r="143">
          <cell r="A143" t="str">
            <v>Trinidad &amp; Tobago</v>
          </cell>
        </row>
        <row r="144">
          <cell r="A144" t="str">
            <v>Lebanon</v>
          </cell>
        </row>
        <row r="145">
          <cell r="A145" t="str">
            <v>Bulgaria</v>
          </cell>
        </row>
        <row r="146">
          <cell r="A146" t="str">
            <v>St. Lucia</v>
          </cell>
        </row>
        <row r="147">
          <cell r="A147" t="str">
            <v>Afghanistan</v>
          </cell>
        </row>
        <row r="148">
          <cell r="A148" t="str">
            <v>New Caledonia</v>
          </cell>
        </row>
        <row r="149">
          <cell r="A149" t="str">
            <v>Djibouti</v>
          </cell>
        </row>
        <row r="150">
          <cell r="A150" t="str">
            <v>France</v>
          </cell>
          <cell r="B150">
            <v>0.68</v>
          </cell>
          <cell r="C150">
            <v>0.32</v>
          </cell>
        </row>
        <row r="151">
          <cell r="A151" t="str">
            <v>Sudan</v>
          </cell>
        </row>
        <row r="152">
          <cell r="A152" t="str">
            <v>Poland</v>
          </cell>
          <cell r="B152">
            <v>0.74</v>
          </cell>
          <cell r="C152">
            <v>0.26</v>
          </cell>
        </row>
        <row r="153">
          <cell r="A153" t="str">
            <v>Gabon</v>
          </cell>
        </row>
        <row r="154">
          <cell r="A154" t="str">
            <v>Morocco</v>
          </cell>
          <cell r="B154">
            <v>0.75</v>
          </cell>
          <cell r="C154">
            <v>0.25</v>
          </cell>
        </row>
        <row r="155">
          <cell r="A155" t="str">
            <v>Peru</v>
          </cell>
          <cell r="B155">
            <v>0.69</v>
          </cell>
          <cell r="C155">
            <v>0.31</v>
          </cell>
        </row>
        <row r="156">
          <cell r="A156" t="str">
            <v>Guinea</v>
          </cell>
        </row>
        <row r="157">
          <cell r="A157" t="str">
            <v>CuraÃ§ao</v>
          </cell>
        </row>
        <row r="158">
          <cell r="A158" t="str">
            <v>Vietnam</v>
          </cell>
          <cell r="B158">
            <v>0.91</v>
          </cell>
          <cell r="C158">
            <v>0.09</v>
          </cell>
        </row>
        <row r="159">
          <cell r="A159" t="str">
            <v>Guernsey</v>
          </cell>
        </row>
        <row r="160">
          <cell r="A160" t="str">
            <v>Albania</v>
          </cell>
        </row>
        <row r="161">
          <cell r="A161" t="str">
            <v>Croatia</v>
          </cell>
          <cell r="B161">
            <v>0.76</v>
          </cell>
          <cell r="C161">
            <v>0.24</v>
          </cell>
        </row>
        <row r="162">
          <cell r="A162" t="str">
            <v>Syria</v>
          </cell>
        </row>
        <row r="163">
          <cell r="A163" t="str">
            <v>Brazil</v>
          </cell>
          <cell r="B163">
            <v>0.76</v>
          </cell>
          <cell r="C163">
            <v>0.24</v>
          </cell>
        </row>
        <row r="164">
          <cell r="A164" t="str">
            <v>Mauritania</v>
          </cell>
        </row>
        <row r="165">
          <cell r="A165" t="str">
            <v>Montenegro</v>
          </cell>
        </row>
        <row r="166">
          <cell r="A166" t="str">
            <v>Georgia</v>
          </cell>
        </row>
        <row r="167">
          <cell r="A167" t="str">
            <v>Cyprus</v>
          </cell>
        </row>
        <row r="168">
          <cell r="A168" t="str">
            <v>Serbia</v>
          </cell>
          <cell r="B168">
            <v>0.76</v>
          </cell>
          <cell r="C168">
            <v>0.24</v>
          </cell>
        </row>
        <row r="169">
          <cell r="A169" t="str">
            <v>Yemen</v>
          </cell>
        </row>
        <row r="170">
          <cell r="A170" t="str">
            <v>Algeria</v>
          </cell>
        </row>
        <row r="171">
          <cell r="A171" t="str">
            <v>Venezuela</v>
          </cell>
          <cell r="B171">
            <v>0.78</v>
          </cell>
          <cell r="C171">
            <v>0.22</v>
          </cell>
        </row>
        <row r="172">
          <cell r="A172" t="str">
            <v>Mayotte</v>
          </cell>
        </row>
        <row r="173">
          <cell r="A173" t="str">
            <v>Belize</v>
          </cell>
        </row>
        <row r="174">
          <cell r="A174" t="str">
            <v>Laos</v>
          </cell>
        </row>
        <row r="175">
          <cell r="A175" t="str">
            <v>Bahrain</v>
          </cell>
        </row>
        <row r="176">
          <cell r="A176" t="str">
            <v>Sierra Leone</v>
          </cell>
        </row>
        <row r="177">
          <cell r="A177" t="str">
            <v>Argentina</v>
          </cell>
          <cell r="B177">
            <v>0.74</v>
          </cell>
          <cell r="C177">
            <v>0.26</v>
          </cell>
        </row>
        <row r="178">
          <cell r="A178" t="str">
            <v>Puerto Rico</v>
          </cell>
        </row>
        <row r="179">
          <cell r="A179" t="str">
            <v>Chile</v>
          </cell>
          <cell r="B179">
            <v>0.64</v>
          </cell>
          <cell r="C179">
            <v>0.36</v>
          </cell>
        </row>
        <row r="180">
          <cell r="A180" t="str">
            <v>Martinique</v>
          </cell>
        </row>
        <row r="181">
          <cell r="A181" t="str">
            <v>Italy</v>
          </cell>
          <cell r="B181">
            <v>0.69</v>
          </cell>
          <cell r="C181">
            <v>0.31</v>
          </cell>
        </row>
        <row r="182">
          <cell r="A182" t="str">
            <v>Slovenia</v>
          </cell>
        </row>
        <row r="183">
          <cell r="A183" t="str">
            <v>St. Vincent &amp; Grenadines</v>
          </cell>
        </row>
        <row r="184">
          <cell r="A184" t="str">
            <v>Antigua &amp; Barbuda</v>
          </cell>
        </row>
        <row r="185">
          <cell r="A185" t="str">
            <v>Bolivia</v>
          </cell>
          <cell r="B185">
            <v>0.68</v>
          </cell>
          <cell r="C185">
            <v>0.32</v>
          </cell>
        </row>
        <row r="186">
          <cell r="A186" t="str">
            <v>RÃ©union</v>
          </cell>
        </row>
        <row r="187">
          <cell r="A187" t="str">
            <v>Kuwait</v>
          </cell>
        </row>
        <row r="188">
          <cell r="A188" t="str">
            <v>Kosovo</v>
          </cell>
        </row>
        <row r="189">
          <cell r="A189" t="str">
            <v>Saudi Arabia</v>
          </cell>
          <cell r="B189">
            <v>0.82</v>
          </cell>
          <cell r="C189">
            <v>0.18</v>
          </cell>
        </row>
        <row r="190">
          <cell r="A190" t="str">
            <v>Egypt</v>
          </cell>
          <cell r="B190">
            <v>0.77</v>
          </cell>
          <cell r="C190">
            <v>0.23</v>
          </cell>
        </row>
        <row r="191">
          <cell r="A191" t="str">
            <v>Guam</v>
          </cell>
        </row>
        <row r="192">
          <cell r="A192" t="str">
            <v>Brunei</v>
          </cell>
        </row>
        <row r="193">
          <cell r="A193" t="str">
            <v>Bahamas</v>
          </cell>
        </row>
        <row r="194">
          <cell r="A194" t="str">
            <v>Suriname</v>
          </cell>
        </row>
        <row r="195">
          <cell r="A195" t="str">
            <v>Jordan</v>
          </cell>
        </row>
        <row r="196">
          <cell r="A196" t="str">
            <v>Lithuania</v>
          </cell>
        </row>
        <row r="197">
          <cell r="A197" t="str">
            <v>Azerbaijan</v>
          </cell>
        </row>
        <row r="198">
          <cell r="A198" t="str">
            <v>Libya</v>
          </cell>
        </row>
        <row r="199">
          <cell r="A199" t="str">
            <v>Guadeloupe</v>
          </cell>
        </row>
        <row r="200">
          <cell r="A200" t="str">
            <v>Iraq</v>
          </cell>
        </row>
        <row r="201">
          <cell r="A201" t="str">
            <v>Palestine</v>
          </cell>
        </row>
        <row r="202">
          <cell r="A202" t="str">
            <v>French Guiana</v>
          </cell>
        </row>
        <row r="203">
          <cell r="A203" t="str">
            <v>Greece</v>
          </cell>
          <cell r="B203">
            <v>0.68</v>
          </cell>
          <cell r="C203">
            <v>0.32</v>
          </cell>
        </row>
        <row r="204">
          <cell r="A204" t="str">
            <v>Thailand</v>
          </cell>
          <cell r="B204">
            <v>0.68</v>
          </cell>
          <cell r="C204">
            <v>0.32</v>
          </cell>
        </row>
        <row r="205">
          <cell r="A205" t="str">
            <v>Turkey</v>
          </cell>
          <cell r="B205">
            <v>0.6</v>
          </cell>
          <cell r="C205">
            <v>0.4</v>
          </cell>
        </row>
        <row r="206">
          <cell r="A206" t="str">
            <v>North Korea</v>
          </cell>
        </row>
        <row r="207">
          <cell r="A207" t="str">
            <v>Kiribati</v>
          </cell>
        </row>
        <row r="208">
          <cell r="A208" t="str">
            <v>Eritrea</v>
          </cell>
        </row>
        <row r="209">
          <cell r="A209" t="str">
            <v>Montserrat</v>
          </cell>
        </row>
        <row r="210">
          <cell r="A210" t="str">
            <v>SÃ£o TomÃ© &amp; PrÃ­ncipe</v>
          </cell>
        </row>
        <row r="211">
          <cell r="A211" t="str">
            <v>Marshall Islands</v>
          </cell>
        </row>
        <row r="212">
          <cell r="A212" t="str">
            <v>St. Pierre &amp; Miquelon</v>
          </cell>
        </row>
        <row r="213">
          <cell r="A213" t="str">
            <v>Tonga</v>
          </cell>
        </row>
        <row r="214">
          <cell r="A214" t="str">
            <v>Guinea-Bissau</v>
          </cell>
        </row>
        <row r="215">
          <cell r="A215" t="str">
            <v>Micronesia</v>
          </cell>
        </row>
        <row r="216">
          <cell r="A216" t="str">
            <v>Vanuatu</v>
          </cell>
        </row>
        <row r="217">
          <cell r="A217" t="str">
            <v>St. Kitts &amp; Nevis</v>
          </cell>
        </row>
        <row r="218">
          <cell r="A218" t="str">
            <v>Northern Mariana Islands</v>
          </cell>
        </row>
        <row r="219">
          <cell r="A219" t="str">
            <v>Central African Republic</v>
          </cell>
        </row>
        <row r="220">
          <cell r="A220" t="str">
            <v>St. Martin</v>
          </cell>
        </row>
        <row r="221">
          <cell r="A221" t="str">
            <v>Liechtenstein</v>
          </cell>
        </row>
        <row r="222">
          <cell r="A222" t="str">
            <v>Sint Maarten</v>
          </cell>
        </row>
        <row r="223">
          <cell r="A223" t="str">
            <v>Comoros</v>
          </cell>
        </row>
        <row r="224">
          <cell r="A224" t="str">
            <v>St. BarthÃ©lemy</v>
          </cell>
        </row>
        <row r="225">
          <cell r="A225" t="str">
            <v>Caribbean Netherlands</v>
          </cell>
        </row>
        <row r="226">
          <cell r="A226" t="str">
            <v>Faroe Islands</v>
          </cell>
        </row>
        <row r="227">
          <cell r="A227" t="str">
            <v>San Marino</v>
          </cell>
        </row>
        <row r="228">
          <cell r="A228" t="str">
            <v>Dominica</v>
          </cell>
        </row>
        <row r="229">
          <cell r="A229" t="str">
            <v>Anguilla</v>
          </cell>
        </row>
        <row r="230">
          <cell r="A230" t="str">
            <v>Turks &amp; Caicos Islands</v>
          </cell>
        </row>
        <row r="231">
          <cell r="A231" t="str">
            <v>Samoa</v>
          </cell>
        </row>
        <row r="232">
          <cell r="A232" t="str">
            <v>British Virgin Islands</v>
          </cell>
        </row>
        <row r="233">
          <cell r="A233" t="str">
            <v>American Samoa</v>
          </cell>
        </row>
        <row r="234">
          <cell r="A234" t="str">
            <v>Antarctica</v>
          </cell>
        </row>
        <row r="235">
          <cell r="A235" t="str">
            <v>French Southern Territories</v>
          </cell>
        </row>
        <row r="236">
          <cell r="A236" t="str">
            <v>Bouvet Island</v>
          </cell>
        </row>
        <row r="237">
          <cell r="A237" t="str">
            <v>Cocos (Keeling) Islands</v>
          </cell>
        </row>
        <row r="238">
          <cell r="A238" t="str">
            <v>Christmas Island</v>
          </cell>
        </row>
        <row r="239">
          <cell r="A239" t="str">
            <v>Western Sahara</v>
          </cell>
        </row>
        <row r="240">
          <cell r="A240" t="str">
            <v>Falkland Islands (Islas Malvinas)</v>
          </cell>
        </row>
        <row r="241">
          <cell r="A241" t="str">
            <v>Heard &amp; McDonald Islands</v>
          </cell>
        </row>
        <row r="242">
          <cell r="A242" t="str">
            <v>Norfolk Island</v>
          </cell>
        </row>
        <row r="243">
          <cell r="A243" t="str">
            <v>Niue</v>
          </cell>
        </row>
        <row r="244">
          <cell r="A244" t="str">
            <v>Nauru</v>
          </cell>
        </row>
        <row r="245">
          <cell r="A245" t="str">
            <v>Pitcairn Islands</v>
          </cell>
        </row>
        <row r="246">
          <cell r="A246" t="str">
            <v>Palau</v>
          </cell>
        </row>
        <row r="247">
          <cell r="A247" t="str">
            <v>South Georgia &amp; South Sandwich Islands</v>
          </cell>
        </row>
        <row r="248">
          <cell r="A248" t="str">
            <v>Svalbard &amp; Jan Mayen</v>
          </cell>
        </row>
        <row r="249">
          <cell r="A249" t="str">
            <v>Tokelau</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2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1)"/>
    </sheetNames>
    <sheetDataSet>
      <sheetData sheetId="0">
        <row r="1">
          <cell r="A1" t="str">
            <v>Kategori: TÃ¼m kategoriler</v>
          </cell>
        </row>
        <row r="3">
          <cell r="A3" t="str">
            <v>Ãœlke</v>
          </cell>
          <cell r="B3" t="str">
            <v>For dÃ¶ngÃ¼sÃ¼: (2014)</v>
          </cell>
          <cell r="C3" t="str">
            <v>YÄ±ÄŸÄ±n: (2014)</v>
          </cell>
        </row>
        <row r="4">
          <cell r="A4" t="str">
            <v>Cuba</v>
          </cell>
        </row>
        <row r="5">
          <cell r="A5" t="str">
            <v>Taiwan</v>
          </cell>
          <cell r="B5">
            <v>0.27</v>
          </cell>
          <cell r="C5">
            <v>0.73</v>
          </cell>
        </row>
        <row r="6">
          <cell r="A6" t="str">
            <v>South Korea</v>
          </cell>
          <cell r="B6">
            <v>0.61</v>
          </cell>
          <cell r="C6">
            <v>0.39</v>
          </cell>
        </row>
        <row r="7">
          <cell r="A7" t="str">
            <v>China</v>
          </cell>
          <cell r="B7">
            <v>0.47</v>
          </cell>
          <cell r="C7">
            <v>0.53</v>
          </cell>
        </row>
        <row r="8">
          <cell r="A8" t="str">
            <v>Hong Kong</v>
          </cell>
          <cell r="B8">
            <v>0.48</v>
          </cell>
          <cell r="C8">
            <v>0.52</v>
          </cell>
        </row>
        <row r="9">
          <cell r="A9" t="str">
            <v>Iceland</v>
          </cell>
        </row>
        <row r="10">
          <cell r="A10" t="str">
            <v>Czechia</v>
          </cell>
          <cell r="B10">
            <v>0.18</v>
          </cell>
          <cell r="C10">
            <v>0.82</v>
          </cell>
        </row>
        <row r="11">
          <cell r="A11" t="str">
            <v>Singapore</v>
          </cell>
          <cell r="B11">
            <v>0.51</v>
          </cell>
          <cell r="C11">
            <v>0.49</v>
          </cell>
        </row>
        <row r="12">
          <cell r="A12" t="str">
            <v>Sri Lanka</v>
          </cell>
          <cell r="B12">
            <v>0.66</v>
          </cell>
          <cell r="C12">
            <v>0.34</v>
          </cell>
        </row>
        <row r="13">
          <cell r="A13" t="str">
            <v>India</v>
          </cell>
          <cell r="B13">
            <v>0.57999999999999996</v>
          </cell>
          <cell r="C13">
            <v>0.42</v>
          </cell>
        </row>
        <row r="14">
          <cell r="A14" t="str">
            <v>Slovenia</v>
          </cell>
        </row>
        <row r="15">
          <cell r="A15" t="str">
            <v>St. Helena</v>
          </cell>
        </row>
        <row r="16">
          <cell r="A16" t="str">
            <v>Lesotho</v>
          </cell>
        </row>
        <row r="17">
          <cell r="A17" t="str">
            <v>Madagascar</v>
          </cell>
        </row>
        <row r="18">
          <cell r="A18" t="str">
            <v>Philippines</v>
          </cell>
          <cell r="B18">
            <v>0.57999999999999996</v>
          </cell>
          <cell r="C18">
            <v>0.42</v>
          </cell>
        </row>
        <row r="19">
          <cell r="A19" t="str">
            <v>Slovakia</v>
          </cell>
        </row>
        <row r="20">
          <cell r="A20" t="str">
            <v>Nepal</v>
          </cell>
        </row>
        <row r="21">
          <cell r="A21" t="str">
            <v>Mauritius</v>
          </cell>
        </row>
        <row r="22">
          <cell r="A22" t="str">
            <v>Macao</v>
          </cell>
        </row>
        <row r="23">
          <cell r="A23" t="str">
            <v>Pakistan</v>
          </cell>
          <cell r="B23">
            <v>0.61</v>
          </cell>
          <cell r="C23">
            <v>0.39</v>
          </cell>
        </row>
        <row r="24">
          <cell r="A24" t="str">
            <v>Ethiopia</v>
          </cell>
        </row>
        <row r="25">
          <cell r="A25" t="str">
            <v>Malta</v>
          </cell>
        </row>
        <row r="26">
          <cell r="A26" t="str">
            <v>Botswana</v>
          </cell>
        </row>
        <row r="27">
          <cell r="A27" t="str">
            <v>Australia</v>
          </cell>
          <cell r="B27">
            <v>0.42</v>
          </cell>
          <cell r="C27">
            <v>0.57999999999999996</v>
          </cell>
        </row>
        <row r="28">
          <cell r="A28" t="str">
            <v>New Zealand</v>
          </cell>
          <cell r="B28">
            <v>0.48</v>
          </cell>
          <cell r="C28">
            <v>0.52</v>
          </cell>
        </row>
        <row r="29">
          <cell r="A29" t="str">
            <v>Luxembourg</v>
          </cell>
        </row>
        <row r="30">
          <cell r="A30" t="str">
            <v>United States</v>
          </cell>
          <cell r="B30">
            <v>0.48</v>
          </cell>
          <cell r="C30">
            <v>0.52</v>
          </cell>
        </row>
        <row r="31">
          <cell r="A31" t="str">
            <v>Japan</v>
          </cell>
          <cell r="B31">
            <v>0.57999999999999996</v>
          </cell>
          <cell r="C31">
            <v>0.42</v>
          </cell>
        </row>
        <row r="32">
          <cell r="A32" t="str">
            <v>Rwanda</v>
          </cell>
        </row>
        <row r="33">
          <cell r="A33" t="str">
            <v>Switzerland</v>
          </cell>
          <cell r="B33">
            <v>0.65</v>
          </cell>
          <cell r="C33">
            <v>0.35</v>
          </cell>
        </row>
        <row r="34">
          <cell r="A34" t="str">
            <v>Israel</v>
          </cell>
          <cell r="B34">
            <v>0.5</v>
          </cell>
          <cell r="C34">
            <v>0.5</v>
          </cell>
        </row>
        <row r="35">
          <cell r="A35" t="str">
            <v>Canada</v>
          </cell>
          <cell r="B35">
            <v>0.49</v>
          </cell>
          <cell r="C35">
            <v>0.51</v>
          </cell>
        </row>
        <row r="36">
          <cell r="A36" t="str">
            <v>Afghanistan</v>
          </cell>
        </row>
        <row r="37">
          <cell r="A37" t="str">
            <v>Cameroon</v>
          </cell>
        </row>
        <row r="38">
          <cell r="A38" t="str">
            <v>Fiji</v>
          </cell>
        </row>
        <row r="39">
          <cell r="A39" t="str">
            <v>Barbados</v>
          </cell>
        </row>
        <row r="40">
          <cell r="A40" t="str">
            <v>Guam</v>
          </cell>
        </row>
        <row r="41">
          <cell r="A41" t="str">
            <v>Sweden</v>
          </cell>
          <cell r="B41">
            <v>0.4</v>
          </cell>
          <cell r="C41">
            <v>0.6</v>
          </cell>
        </row>
        <row r="42">
          <cell r="A42" t="str">
            <v>Bangladesh</v>
          </cell>
          <cell r="B42">
            <v>0.59</v>
          </cell>
          <cell r="C42">
            <v>0.41</v>
          </cell>
        </row>
        <row r="43">
          <cell r="A43" t="str">
            <v>Bhutan</v>
          </cell>
        </row>
        <row r="44">
          <cell r="A44" t="str">
            <v>Belize</v>
          </cell>
        </row>
        <row r="45">
          <cell r="A45" t="str">
            <v>Norway</v>
          </cell>
          <cell r="B45">
            <v>0.41</v>
          </cell>
          <cell r="C45">
            <v>0.59</v>
          </cell>
        </row>
        <row r="46">
          <cell r="A46" t="str">
            <v>Ireland</v>
          </cell>
          <cell r="B46">
            <v>0.5</v>
          </cell>
          <cell r="C46">
            <v>0.5</v>
          </cell>
        </row>
        <row r="47">
          <cell r="A47" t="str">
            <v>Guatemala</v>
          </cell>
        </row>
        <row r="48">
          <cell r="A48" t="str">
            <v>Zimbabwe</v>
          </cell>
        </row>
        <row r="49">
          <cell r="A49" t="str">
            <v>Honduras</v>
          </cell>
        </row>
        <row r="50">
          <cell r="A50" t="str">
            <v>Estonia</v>
          </cell>
        </row>
        <row r="51">
          <cell r="A51" t="str">
            <v>Belarus</v>
          </cell>
          <cell r="B51">
            <v>0.45</v>
          </cell>
          <cell r="C51">
            <v>0.55000000000000004</v>
          </cell>
        </row>
        <row r="52">
          <cell r="A52" t="str">
            <v>Jamaica</v>
          </cell>
        </row>
        <row r="53">
          <cell r="A53" t="str">
            <v>North Macedonia</v>
          </cell>
        </row>
        <row r="54">
          <cell r="A54" t="str">
            <v>Germany</v>
          </cell>
          <cell r="B54">
            <v>0.57999999999999996</v>
          </cell>
          <cell r="C54">
            <v>0.42</v>
          </cell>
        </row>
        <row r="55">
          <cell r="A55" t="str">
            <v>Cambodia</v>
          </cell>
        </row>
        <row r="56">
          <cell r="A56" t="str">
            <v>Costa Rica</v>
          </cell>
        </row>
        <row r="57">
          <cell r="A57" t="str">
            <v>United Kingdom</v>
          </cell>
          <cell r="B57">
            <v>0.48</v>
          </cell>
          <cell r="C57">
            <v>0.52</v>
          </cell>
        </row>
        <row r="58">
          <cell r="A58" t="str">
            <v>Cyprus</v>
          </cell>
        </row>
        <row r="59">
          <cell r="A59" t="str">
            <v>Tunisia</v>
          </cell>
        </row>
        <row r="60">
          <cell r="A60" t="str">
            <v>Finland</v>
          </cell>
          <cell r="B60">
            <v>0.47</v>
          </cell>
          <cell r="C60">
            <v>0.53</v>
          </cell>
        </row>
        <row r="61">
          <cell r="A61" t="str">
            <v>Lebanon</v>
          </cell>
        </row>
        <row r="62">
          <cell r="A62" t="str">
            <v>Bahamas</v>
          </cell>
        </row>
        <row r="63">
          <cell r="A63" t="str">
            <v>Isle of Man</v>
          </cell>
        </row>
        <row r="64">
          <cell r="A64" t="str">
            <v>Nicaragua</v>
          </cell>
        </row>
        <row r="65">
          <cell r="A65" t="str">
            <v>South Africa</v>
          </cell>
          <cell r="B65">
            <v>0.53</v>
          </cell>
          <cell r="C65">
            <v>0.47</v>
          </cell>
        </row>
        <row r="66">
          <cell r="A66" t="str">
            <v>Austria</v>
          </cell>
          <cell r="B66">
            <v>0.55000000000000004</v>
          </cell>
          <cell r="C66">
            <v>0.45</v>
          </cell>
        </row>
        <row r="67">
          <cell r="A67" t="str">
            <v>Denmark</v>
          </cell>
          <cell r="B67">
            <v>0.42</v>
          </cell>
          <cell r="C67">
            <v>0.57999999999999996</v>
          </cell>
        </row>
        <row r="68">
          <cell r="A68" t="str">
            <v>Lithuania</v>
          </cell>
        </row>
        <row r="69">
          <cell r="A69" t="str">
            <v>Latvia</v>
          </cell>
        </row>
        <row r="70">
          <cell r="A70" t="str">
            <v>Armenia</v>
          </cell>
        </row>
        <row r="71">
          <cell r="A71" t="str">
            <v>Somalia</v>
          </cell>
        </row>
        <row r="72">
          <cell r="A72" t="str">
            <v>Benin</v>
          </cell>
        </row>
        <row r="73">
          <cell r="A73" t="str">
            <v>Malaysia</v>
          </cell>
          <cell r="B73">
            <v>0.52</v>
          </cell>
          <cell r="C73">
            <v>0.48</v>
          </cell>
        </row>
        <row r="74">
          <cell r="A74" t="str">
            <v>Mozambique</v>
          </cell>
        </row>
        <row r="75">
          <cell r="A75" t="str">
            <v>Brunei</v>
          </cell>
        </row>
        <row r="76">
          <cell r="A76" t="str">
            <v>El Salvador</v>
          </cell>
        </row>
        <row r="77">
          <cell r="A77" t="str">
            <v>Tajikistan</v>
          </cell>
        </row>
        <row r="78">
          <cell r="A78" t="str">
            <v>Portugal</v>
          </cell>
          <cell r="B78">
            <v>0.6</v>
          </cell>
          <cell r="C78">
            <v>0.4</v>
          </cell>
        </row>
        <row r="79">
          <cell r="A79" t="str">
            <v>Bulgaria</v>
          </cell>
          <cell r="B79">
            <v>0.27</v>
          </cell>
          <cell r="C79">
            <v>0.73</v>
          </cell>
        </row>
        <row r="80">
          <cell r="A80" t="str">
            <v>Kenya</v>
          </cell>
          <cell r="B80">
            <v>0.54</v>
          </cell>
          <cell r="C80">
            <v>0.46</v>
          </cell>
        </row>
        <row r="81">
          <cell r="A81" t="str">
            <v>Namibia</v>
          </cell>
        </row>
        <row r="82">
          <cell r="A82" t="str">
            <v>Maldives</v>
          </cell>
        </row>
        <row r="83">
          <cell r="A83" t="str">
            <v>Greece</v>
          </cell>
          <cell r="B83">
            <v>0.28000000000000003</v>
          </cell>
          <cell r="C83">
            <v>0.72</v>
          </cell>
        </row>
        <row r="84">
          <cell r="A84" t="str">
            <v>Ghana</v>
          </cell>
        </row>
        <row r="85">
          <cell r="A85" t="str">
            <v>Trinidad &amp; Tobago</v>
          </cell>
        </row>
        <row r="86">
          <cell r="A86" t="str">
            <v>Netherlands</v>
          </cell>
          <cell r="B86">
            <v>0.46</v>
          </cell>
          <cell r="C86">
            <v>0.54</v>
          </cell>
        </row>
        <row r="87">
          <cell r="A87" t="str">
            <v>Jersey</v>
          </cell>
        </row>
        <row r="88">
          <cell r="A88" t="str">
            <v>Ecuador</v>
          </cell>
        </row>
        <row r="89">
          <cell r="A89" t="str">
            <v>Russia</v>
          </cell>
          <cell r="B89">
            <v>0.49</v>
          </cell>
          <cell r="C89">
            <v>0.51</v>
          </cell>
        </row>
        <row r="90">
          <cell r="A90" t="str">
            <v>Belgium</v>
          </cell>
          <cell r="B90">
            <v>0.56000000000000005</v>
          </cell>
          <cell r="C90">
            <v>0.44</v>
          </cell>
        </row>
        <row r="91">
          <cell r="A91" t="str">
            <v>Uzbekistan</v>
          </cell>
        </row>
        <row r="92">
          <cell r="A92" t="str">
            <v>Myanmar (Burma)</v>
          </cell>
        </row>
        <row r="93">
          <cell r="A93" t="str">
            <v>Ukraine</v>
          </cell>
          <cell r="B93">
            <v>0.47</v>
          </cell>
          <cell r="C93">
            <v>0.53</v>
          </cell>
        </row>
        <row r="94">
          <cell r="A94" t="str">
            <v>Mexico</v>
          </cell>
          <cell r="B94">
            <v>0.73</v>
          </cell>
          <cell r="C94">
            <v>0.27</v>
          </cell>
        </row>
        <row r="95">
          <cell r="A95" t="str">
            <v>Iran</v>
          </cell>
          <cell r="B95">
            <v>0.28000000000000003</v>
          </cell>
          <cell r="C95">
            <v>0.72</v>
          </cell>
        </row>
        <row r="96">
          <cell r="A96" t="str">
            <v>Croatia</v>
          </cell>
          <cell r="B96">
            <v>0.37</v>
          </cell>
          <cell r="C96">
            <v>0.63</v>
          </cell>
        </row>
        <row r="97">
          <cell r="A97" t="str">
            <v>Poland</v>
          </cell>
          <cell r="B97">
            <v>0.41</v>
          </cell>
          <cell r="C97">
            <v>0.59</v>
          </cell>
        </row>
        <row r="98">
          <cell r="A98" t="str">
            <v>Serbia</v>
          </cell>
          <cell r="B98">
            <v>0.34</v>
          </cell>
          <cell r="C98">
            <v>0.66</v>
          </cell>
        </row>
        <row r="99">
          <cell r="A99" t="str">
            <v>Romania</v>
          </cell>
          <cell r="B99">
            <v>0.28999999999999998</v>
          </cell>
          <cell r="C99">
            <v>0.71</v>
          </cell>
        </row>
        <row r="100">
          <cell r="A100" t="str">
            <v>Uganda</v>
          </cell>
        </row>
        <row r="101">
          <cell r="A101" t="str">
            <v>Mongolia</v>
          </cell>
        </row>
        <row r="102">
          <cell r="A102" t="str">
            <v>Zambia</v>
          </cell>
        </row>
        <row r="103">
          <cell r="A103" t="str">
            <v>Panama</v>
          </cell>
        </row>
        <row r="104">
          <cell r="A104" t="str">
            <v>Papua New Guinea</v>
          </cell>
        </row>
        <row r="105">
          <cell r="A105" t="str">
            <v>Colombia</v>
          </cell>
          <cell r="B105">
            <v>0.79</v>
          </cell>
          <cell r="C105">
            <v>0.21</v>
          </cell>
        </row>
        <row r="106">
          <cell r="A106" t="str">
            <v>France</v>
          </cell>
          <cell r="B106">
            <v>0.77</v>
          </cell>
          <cell r="C106">
            <v>0.23</v>
          </cell>
        </row>
        <row r="107">
          <cell r="A107" t="str">
            <v>Guyana</v>
          </cell>
        </row>
        <row r="108">
          <cell r="A108" t="str">
            <v>Spain</v>
          </cell>
          <cell r="B108">
            <v>0.67</v>
          </cell>
          <cell r="C108">
            <v>0.33</v>
          </cell>
        </row>
        <row r="109">
          <cell r="A109" t="str">
            <v>United Arab Emirates</v>
          </cell>
          <cell r="B109">
            <v>0.49</v>
          </cell>
          <cell r="C109">
            <v>0.51</v>
          </cell>
        </row>
        <row r="110">
          <cell r="A110" t="str">
            <v>Chile</v>
          </cell>
          <cell r="B110">
            <v>0.7</v>
          </cell>
          <cell r="C110">
            <v>0.3</v>
          </cell>
        </row>
        <row r="111">
          <cell r="A111" t="str">
            <v>Tanzania</v>
          </cell>
        </row>
        <row r="112">
          <cell r="A112" t="str">
            <v>Puerto Rico</v>
          </cell>
        </row>
        <row r="113">
          <cell r="A113" t="str">
            <v>Bahrain</v>
          </cell>
        </row>
        <row r="114">
          <cell r="A114" t="str">
            <v>Montenegro</v>
          </cell>
        </row>
        <row r="115">
          <cell r="A115" t="str">
            <v>Uruguay</v>
          </cell>
        </row>
        <row r="116">
          <cell r="A116" t="str">
            <v>Hungary</v>
          </cell>
          <cell r="B116">
            <v>0.42</v>
          </cell>
          <cell r="C116">
            <v>0.57999999999999996</v>
          </cell>
        </row>
        <row r="117">
          <cell r="A117" t="str">
            <v>Peru</v>
          </cell>
          <cell r="B117">
            <v>0.74</v>
          </cell>
          <cell r="C117">
            <v>0.26</v>
          </cell>
        </row>
        <row r="118">
          <cell r="A118" t="str">
            <v>Qatar</v>
          </cell>
        </row>
        <row r="119">
          <cell r="A119" t="str">
            <v>Bosnia &amp; Herzegovina</v>
          </cell>
        </row>
        <row r="120">
          <cell r="A120" t="str">
            <v>Moldova</v>
          </cell>
        </row>
        <row r="121">
          <cell r="A121" t="str">
            <v>Oman</v>
          </cell>
        </row>
        <row r="122">
          <cell r="A122" t="str">
            <v>Dominican Republic</v>
          </cell>
        </row>
        <row r="123">
          <cell r="A123" t="str">
            <v>CÃ´te dâ€™Ivoire</v>
          </cell>
        </row>
        <row r="124">
          <cell r="A124" t="str">
            <v>Kuwait</v>
          </cell>
        </row>
        <row r="125">
          <cell r="A125" t="str">
            <v>Congo - Kinshasa</v>
          </cell>
        </row>
        <row r="126">
          <cell r="A126" t="str">
            <v>Angola</v>
          </cell>
        </row>
        <row r="127">
          <cell r="A127" t="str">
            <v>Nigeria</v>
          </cell>
          <cell r="B127">
            <v>0.46</v>
          </cell>
          <cell r="C127">
            <v>0.54</v>
          </cell>
        </row>
        <row r="128">
          <cell r="A128" t="str">
            <v>Kyrgyzstan</v>
          </cell>
        </row>
        <row r="129">
          <cell r="A129" t="str">
            <v>Kazakhstan</v>
          </cell>
          <cell r="B129">
            <v>0.55000000000000004</v>
          </cell>
          <cell r="C129">
            <v>0.45</v>
          </cell>
        </row>
        <row r="130">
          <cell r="A130" t="str">
            <v>Bolivia</v>
          </cell>
          <cell r="B130">
            <v>0.52</v>
          </cell>
          <cell r="C130">
            <v>0.48</v>
          </cell>
        </row>
        <row r="131">
          <cell r="A131" t="str">
            <v>Italy</v>
          </cell>
          <cell r="B131">
            <v>0.51</v>
          </cell>
          <cell r="C131">
            <v>0.49</v>
          </cell>
        </row>
        <row r="132">
          <cell r="A132" t="str">
            <v>Paraguay</v>
          </cell>
        </row>
        <row r="133">
          <cell r="A133" t="str">
            <v>Jordan</v>
          </cell>
        </row>
        <row r="134">
          <cell r="A134" t="str">
            <v>Malawi</v>
          </cell>
        </row>
        <row r="135">
          <cell r="A135" t="str">
            <v>Morocco</v>
          </cell>
        </row>
        <row r="136">
          <cell r="A136" t="str">
            <v>Thailand</v>
          </cell>
          <cell r="B136">
            <v>0.41</v>
          </cell>
          <cell r="C136">
            <v>0.59</v>
          </cell>
        </row>
        <row r="137">
          <cell r="A137" t="str">
            <v>Senegal</v>
          </cell>
        </row>
        <row r="138">
          <cell r="A138" t="str">
            <v>Argentina</v>
          </cell>
          <cell r="B138">
            <v>0.66</v>
          </cell>
          <cell r="C138">
            <v>0.34</v>
          </cell>
        </row>
        <row r="139">
          <cell r="A139" t="str">
            <v>Egypt</v>
          </cell>
          <cell r="B139">
            <v>0.42</v>
          </cell>
          <cell r="C139">
            <v>0.57999999999999996</v>
          </cell>
        </row>
        <row r="140">
          <cell r="A140" t="str">
            <v>Brazil</v>
          </cell>
          <cell r="B140">
            <v>0.62</v>
          </cell>
          <cell r="C140">
            <v>0.38</v>
          </cell>
        </row>
        <row r="141">
          <cell r="A141" t="str">
            <v>Indonesia</v>
          </cell>
          <cell r="B141">
            <v>0.27</v>
          </cell>
          <cell r="C141">
            <v>0.73</v>
          </cell>
        </row>
        <row r="142">
          <cell r="A142" t="str">
            <v>RÃ©union</v>
          </cell>
        </row>
        <row r="143">
          <cell r="A143" t="str">
            <v>Albania</v>
          </cell>
        </row>
        <row r="144">
          <cell r="A144" t="str">
            <v>Georgia</v>
          </cell>
        </row>
        <row r="145">
          <cell r="A145" t="str">
            <v>Laos</v>
          </cell>
        </row>
        <row r="146">
          <cell r="A146" t="str">
            <v>Vietnam</v>
          </cell>
          <cell r="B146">
            <v>0.27</v>
          </cell>
          <cell r="C146">
            <v>0.73</v>
          </cell>
        </row>
        <row r="147">
          <cell r="A147" t="str">
            <v>Venezuela</v>
          </cell>
          <cell r="B147">
            <v>0.64</v>
          </cell>
          <cell r="C147">
            <v>0.36</v>
          </cell>
        </row>
        <row r="148">
          <cell r="A148" t="str">
            <v>Azerbaijan</v>
          </cell>
        </row>
        <row r="149">
          <cell r="A149" t="str">
            <v>Turkey</v>
          </cell>
          <cell r="B149">
            <v>0.57999999999999996</v>
          </cell>
          <cell r="C149">
            <v>0.42</v>
          </cell>
        </row>
        <row r="150">
          <cell r="A150" t="str">
            <v>Sudan</v>
          </cell>
        </row>
        <row r="151">
          <cell r="A151" t="str">
            <v>Syria</v>
          </cell>
        </row>
        <row r="152">
          <cell r="A152" t="str">
            <v>Yemen</v>
          </cell>
        </row>
        <row r="153">
          <cell r="A153" t="str">
            <v>Algeria</v>
          </cell>
        </row>
        <row r="154">
          <cell r="A154" t="str">
            <v>Palestine</v>
          </cell>
        </row>
        <row r="155">
          <cell r="A155" t="str">
            <v>Kosovo</v>
          </cell>
        </row>
        <row r="156">
          <cell r="A156" t="str">
            <v>Saudi Arabia</v>
          </cell>
          <cell r="B156">
            <v>0.45</v>
          </cell>
          <cell r="C156">
            <v>0.55000000000000004</v>
          </cell>
        </row>
        <row r="157">
          <cell r="A157" t="str">
            <v>Libya</v>
          </cell>
        </row>
        <row r="158">
          <cell r="A158" t="str">
            <v>Iraq</v>
          </cell>
        </row>
        <row r="159">
          <cell r="A159" t="str">
            <v>Western Sahara</v>
          </cell>
        </row>
        <row r="160">
          <cell r="A160" t="str">
            <v>British Indian Ocean Territory</v>
          </cell>
        </row>
        <row r="161">
          <cell r="A161" t="str">
            <v>Montserrat</v>
          </cell>
        </row>
        <row r="162">
          <cell r="A162" t="str">
            <v>Kiribati</v>
          </cell>
        </row>
        <row r="163">
          <cell r="A163" t="str">
            <v>Eritrea</v>
          </cell>
        </row>
        <row r="164">
          <cell r="A164" t="str">
            <v>Svalbard &amp; Jan Mayen</v>
          </cell>
        </row>
        <row r="165">
          <cell r="A165" t="str">
            <v>Vanuatu</v>
          </cell>
        </row>
        <row r="166">
          <cell r="A166" t="str">
            <v>Faroe Islands</v>
          </cell>
        </row>
        <row r="167">
          <cell r="A167" t="str">
            <v>SÃ£o TomÃ© &amp; PrÃ­ncipe</v>
          </cell>
        </row>
        <row r="168">
          <cell r="A168" t="str">
            <v>St. BarthÃ©lemy</v>
          </cell>
        </row>
        <row r="169">
          <cell r="A169" t="str">
            <v>Central African Republic</v>
          </cell>
        </row>
        <row r="170">
          <cell r="A170" t="str">
            <v>Liechtenstein</v>
          </cell>
        </row>
        <row r="171">
          <cell r="A171" t="str">
            <v>Samoa</v>
          </cell>
        </row>
        <row r="172">
          <cell r="A172" t="str">
            <v>Tonga</v>
          </cell>
        </row>
        <row r="173">
          <cell r="A173" t="str">
            <v>Anguilla</v>
          </cell>
        </row>
        <row r="174">
          <cell r="A174" t="str">
            <v>Comoros</v>
          </cell>
        </row>
        <row r="175">
          <cell r="A175" t="str">
            <v>San Marino</v>
          </cell>
        </row>
        <row r="176">
          <cell r="A176" t="str">
            <v>Gibraltar</v>
          </cell>
        </row>
        <row r="177">
          <cell r="A177" t="str">
            <v>Burundi</v>
          </cell>
        </row>
        <row r="178">
          <cell r="A178" t="str">
            <v>Eswatini</v>
          </cell>
        </row>
        <row r="179">
          <cell r="A179" t="str">
            <v>St. Vincent &amp; Grenadines</v>
          </cell>
        </row>
        <row r="180">
          <cell r="A180" t="str">
            <v>St. Kitts &amp; Nevis</v>
          </cell>
        </row>
        <row r="181">
          <cell r="A181" t="str">
            <v>Caribbean Netherlands</v>
          </cell>
        </row>
        <row r="182">
          <cell r="A182" t="str">
            <v>U.S. Virgin Islands</v>
          </cell>
        </row>
        <row r="183">
          <cell r="A183" t="str">
            <v>Monaco</v>
          </cell>
        </row>
        <row r="184">
          <cell r="A184" t="str">
            <v>Chad</v>
          </cell>
        </row>
        <row r="185">
          <cell r="A185" t="str">
            <v>St. Martin</v>
          </cell>
        </row>
        <row r="186">
          <cell r="A186" t="str">
            <v>Ã…land Islands</v>
          </cell>
        </row>
        <row r="187">
          <cell r="A187" t="str">
            <v>Timor-Leste</v>
          </cell>
        </row>
        <row r="188">
          <cell r="A188" t="str">
            <v>Gambia</v>
          </cell>
        </row>
        <row r="189">
          <cell r="A189" t="str">
            <v>Haiti</v>
          </cell>
        </row>
        <row r="190">
          <cell r="A190" t="str">
            <v>Cayman Islands</v>
          </cell>
        </row>
        <row r="191">
          <cell r="A191" t="str">
            <v>Grenada</v>
          </cell>
        </row>
        <row r="192">
          <cell r="A192" t="str">
            <v>St. Lucia</v>
          </cell>
        </row>
        <row r="193">
          <cell r="A193" t="str">
            <v>Togo</v>
          </cell>
        </row>
        <row r="194">
          <cell r="A194" t="str">
            <v>Antigua &amp; Barbuda</v>
          </cell>
        </row>
        <row r="195">
          <cell r="A195" t="str">
            <v>Dominica</v>
          </cell>
        </row>
        <row r="196">
          <cell r="A196" t="str">
            <v>Equatorial Guinea</v>
          </cell>
        </row>
        <row r="197">
          <cell r="A197" t="str">
            <v>Northern Mariana Islands</v>
          </cell>
        </row>
        <row r="198">
          <cell r="A198" t="str">
            <v>CuraÃ§ao</v>
          </cell>
        </row>
        <row r="199">
          <cell r="A199" t="str">
            <v>Guernsey</v>
          </cell>
        </row>
        <row r="200">
          <cell r="A200" t="str">
            <v>Greenland</v>
          </cell>
        </row>
        <row r="201">
          <cell r="A201" t="str">
            <v>Cape Verde</v>
          </cell>
        </row>
        <row r="202">
          <cell r="A202" t="str">
            <v>Andorra</v>
          </cell>
        </row>
        <row r="203">
          <cell r="A203" t="str">
            <v>Bermuda</v>
          </cell>
        </row>
        <row r="204">
          <cell r="A204" t="str">
            <v>New Caledonia</v>
          </cell>
        </row>
        <row r="205">
          <cell r="A205" t="str">
            <v>Turkmenistan</v>
          </cell>
        </row>
        <row r="206">
          <cell r="A206" t="str">
            <v>Suriname</v>
          </cell>
        </row>
        <row r="207">
          <cell r="A207" t="str">
            <v>Mali</v>
          </cell>
        </row>
        <row r="208">
          <cell r="A208" t="str">
            <v>Djibouti</v>
          </cell>
        </row>
        <row r="209">
          <cell r="A209" t="str">
            <v>Mayotte</v>
          </cell>
        </row>
        <row r="210">
          <cell r="A210" t="str">
            <v>Aruba</v>
          </cell>
        </row>
        <row r="211">
          <cell r="A211" t="str">
            <v>Sint Maarten</v>
          </cell>
        </row>
        <row r="212">
          <cell r="A212" t="str">
            <v>French Polynesia</v>
          </cell>
        </row>
        <row r="213">
          <cell r="A213" t="str">
            <v>Burkina Faso</v>
          </cell>
        </row>
        <row r="214">
          <cell r="A214" t="str">
            <v>Liberia</v>
          </cell>
        </row>
        <row r="215">
          <cell r="A215" t="str">
            <v>Martinique</v>
          </cell>
        </row>
        <row r="216">
          <cell r="A216" t="str">
            <v>Congo - Brazzaville</v>
          </cell>
        </row>
        <row r="217">
          <cell r="A217" t="str">
            <v>Gabon</v>
          </cell>
        </row>
        <row r="218">
          <cell r="A218" t="str">
            <v>South Sudan</v>
          </cell>
        </row>
        <row r="219">
          <cell r="A219" t="str">
            <v>Niger</v>
          </cell>
        </row>
        <row r="220">
          <cell r="A220" t="str">
            <v>French Guiana</v>
          </cell>
        </row>
        <row r="221">
          <cell r="A221" t="str">
            <v>Sierra Leone</v>
          </cell>
        </row>
        <row r="222">
          <cell r="A222" t="str">
            <v>Guadeloupe</v>
          </cell>
        </row>
        <row r="223">
          <cell r="A223" t="str">
            <v>Mauritania</v>
          </cell>
        </row>
        <row r="224">
          <cell r="A224" t="str">
            <v>Guinea</v>
          </cell>
        </row>
        <row r="225">
          <cell r="A225" t="str">
            <v>American Samoa</v>
          </cell>
        </row>
        <row r="226">
          <cell r="A226" t="str">
            <v>Antarctica</v>
          </cell>
        </row>
        <row r="227">
          <cell r="A227" t="str">
            <v>French Southern Territories</v>
          </cell>
        </row>
        <row r="228">
          <cell r="A228" t="str">
            <v>Bouvet Island</v>
          </cell>
        </row>
        <row r="229">
          <cell r="A229" t="str">
            <v>Cocos (Keeling) Islands</v>
          </cell>
        </row>
        <row r="230">
          <cell r="A230" t="str">
            <v>Cook Islands</v>
          </cell>
        </row>
        <row r="231">
          <cell r="A231" t="str">
            <v>Christmas Island</v>
          </cell>
        </row>
        <row r="232">
          <cell r="A232" t="str">
            <v>Falkland Islands (Islas Malvinas)</v>
          </cell>
        </row>
        <row r="233">
          <cell r="A233" t="str">
            <v>Micronesia</v>
          </cell>
        </row>
        <row r="234">
          <cell r="A234" t="str">
            <v>Guinea-Bissau</v>
          </cell>
        </row>
        <row r="235">
          <cell r="A235" t="str">
            <v>Heard &amp; McDonald Islands</v>
          </cell>
        </row>
        <row r="236">
          <cell r="A236" t="str">
            <v>Marshall Islands</v>
          </cell>
        </row>
        <row r="237">
          <cell r="A237" t="str">
            <v>Norfolk Island</v>
          </cell>
        </row>
        <row r="238">
          <cell r="A238" t="str">
            <v>Niue</v>
          </cell>
        </row>
        <row r="239">
          <cell r="A239" t="str">
            <v>Nauru</v>
          </cell>
        </row>
        <row r="240">
          <cell r="A240" t="str">
            <v>Pitcairn Islands</v>
          </cell>
        </row>
        <row r="241">
          <cell r="A241" t="str">
            <v>Palau</v>
          </cell>
        </row>
        <row r="242">
          <cell r="A242" t="str">
            <v>North Korea</v>
          </cell>
        </row>
        <row r="243">
          <cell r="A243" t="str">
            <v>South Georgia &amp; South Sandwich Islands</v>
          </cell>
        </row>
        <row r="244">
          <cell r="A244" t="str">
            <v>Solomon Islands</v>
          </cell>
        </row>
        <row r="245">
          <cell r="A245" t="str">
            <v>St. Pierre &amp; Miquelon</v>
          </cell>
        </row>
        <row r="246">
          <cell r="A246" t="str">
            <v>Seychelles</v>
          </cell>
        </row>
        <row r="247">
          <cell r="A247" t="str">
            <v>Turks &amp; Caicos Islands</v>
          </cell>
        </row>
        <row r="248">
          <cell r="A248" t="str">
            <v>Tokelau</v>
          </cell>
        </row>
        <row r="249">
          <cell r="A249" t="str">
            <v>Tuvalu</v>
          </cell>
        </row>
        <row r="250">
          <cell r="A250" t="str">
            <v>U.S. Outlying Islands</v>
          </cell>
        </row>
        <row r="251">
          <cell r="A251" t="str">
            <v>Vatican City</v>
          </cell>
        </row>
        <row r="252">
          <cell r="A252" t="str">
            <v>British Virgin Islands</v>
          </cell>
        </row>
        <row r="253">
          <cell r="A253" t="str">
            <v>Wallis &amp; Futuna</v>
          </cell>
        </row>
      </sheetData>
    </sheetDataSet>
  </externalBook>
</externalLink>
</file>

<file path=xl/externalLinks/externalLink2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2)"/>
    </sheetNames>
    <sheetDataSet>
      <sheetData sheetId="0">
        <row r="1">
          <cell r="A1" t="str">
            <v>Kategori: TÃ¼m kategoriler</v>
          </cell>
        </row>
        <row r="3">
          <cell r="A3" t="str">
            <v>Ãœlke</v>
          </cell>
          <cell r="B3" t="str">
            <v>YÄ±ÄŸÄ±n: (2014)</v>
          </cell>
          <cell r="C3" t="str">
            <v>DÃ¼zenli ifade: (2014)</v>
          </cell>
        </row>
        <row r="4">
          <cell r="A4" t="str">
            <v>Cuba</v>
          </cell>
        </row>
        <row r="5">
          <cell r="A5" t="str">
            <v>China</v>
          </cell>
          <cell r="B5">
            <v>0.33</v>
          </cell>
          <cell r="C5">
            <v>0.67</v>
          </cell>
        </row>
        <row r="6">
          <cell r="A6" t="str">
            <v>Taiwan</v>
          </cell>
          <cell r="B6">
            <v>0.76</v>
          </cell>
          <cell r="C6">
            <v>0.24</v>
          </cell>
        </row>
        <row r="7">
          <cell r="A7" t="str">
            <v>Lesotho</v>
          </cell>
        </row>
        <row r="8">
          <cell r="A8" t="str">
            <v>St. Helena</v>
          </cell>
        </row>
        <row r="9">
          <cell r="A9" t="str">
            <v>South Korea</v>
          </cell>
          <cell r="B9">
            <v>0.47</v>
          </cell>
          <cell r="C9">
            <v>0.53</v>
          </cell>
        </row>
        <row r="10">
          <cell r="A10" t="str">
            <v>Hong Kong</v>
          </cell>
          <cell r="B10">
            <v>0.56999999999999995</v>
          </cell>
          <cell r="C10">
            <v>0.43</v>
          </cell>
        </row>
        <row r="11">
          <cell r="A11" t="str">
            <v>Czechia</v>
          </cell>
          <cell r="B11">
            <v>0.54</v>
          </cell>
          <cell r="C11">
            <v>0.46</v>
          </cell>
        </row>
        <row r="12">
          <cell r="A12" t="str">
            <v>Singapore</v>
          </cell>
          <cell r="B12">
            <v>0.6</v>
          </cell>
          <cell r="C12">
            <v>0.4</v>
          </cell>
        </row>
        <row r="13">
          <cell r="A13" t="str">
            <v>Luxembourg</v>
          </cell>
        </row>
        <row r="14">
          <cell r="A14" t="str">
            <v>Belarus</v>
          </cell>
          <cell r="B14">
            <v>0.33</v>
          </cell>
          <cell r="C14">
            <v>0.67</v>
          </cell>
        </row>
        <row r="15">
          <cell r="A15" t="str">
            <v>Slovenia</v>
          </cell>
          <cell r="B15">
            <v>0.7</v>
          </cell>
          <cell r="C15">
            <v>0.3</v>
          </cell>
        </row>
        <row r="16">
          <cell r="A16" t="str">
            <v>Israel</v>
          </cell>
          <cell r="B16">
            <v>0.4</v>
          </cell>
          <cell r="C16">
            <v>0.6</v>
          </cell>
        </row>
        <row r="17">
          <cell r="A17" t="str">
            <v>Gibraltar</v>
          </cell>
        </row>
        <row r="18">
          <cell r="A18" t="str">
            <v>Iceland</v>
          </cell>
        </row>
        <row r="19">
          <cell r="A19" t="str">
            <v>Japan</v>
          </cell>
          <cell r="B19">
            <v>0.34</v>
          </cell>
          <cell r="C19">
            <v>0.66</v>
          </cell>
        </row>
        <row r="20">
          <cell r="A20" t="str">
            <v>Slovakia</v>
          </cell>
          <cell r="B20">
            <v>0.65</v>
          </cell>
          <cell r="C20">
            <v>0.35</v>
          </cell>
        </row>
        <row r="21">
          <cell r="A21" t="str">
            <v>Ethiopia</v>
          </cell>
        </row>
        <row r="22">
          <cell r="A22" t="str">
            <v>Switzerland</v>
          </cell>
          <cell r="B22">
            <v>0.33</v>
          </cell>
          <cell r="C22">
            <v>0.67</v>
          </cell>
        </row>
        <row r="23">
          <cell r="A23" t="str">
            <v>India</v>
          </cell>
          <cell r="B23">
            <v>0.5</v>
          </cell>
          <cell r="C23">
            <v>0.5</v>
          </cell>
        </row>
        <row r="24">
          <cell r="A24" t="str">
            <v>Malta</v>
          </cell>
        </row>
        <row r="25">
          <cell r="A25" t="str">
            <v>Estonia</v>
          </cell>
        </row>
        <row r="26">
          <cell r="A26" t="str">
            <v>Macao</v>
          </cell>
        </row>
        <row r="27">
          <cell r="A27" t="str">
            <v>New Zealand</v>
          </cell>
          <cell r="B27">
            <v>0.55000000000000004</v>
          </cell>
          <cell r="C27">
            <v>0.45</v>
          </cell>
        </row>
        <row r="28">
          <cell r="A28" t="str">
            <v>Australia</v>
          </cell>
          <cell r="B28">
            <v>0.6</v>
          </cell>
          <cell r="C28">
            <v>0.4</v>
          </cell>
        </row>
        <row r="29">
          <cell r="A29" t="str">
            <v>United States</v>
          </cell>
          <cell r="B29">
            <v>0.55000000000000004</v>
          </cell>
          <cell r="C29">
            <v>0.45</v>
          </cell>
        </row>
        <row r="30">
          <cell r="A30" t="str">
            <v>Madagascar</v>
          </cell>
        </row>
        <row r="31">
          <cell r="A31" t="str">
            <v>Sweden</v>
          </cell>
          <cell r="B31">
            <v>0.47</v>
          </cell>
          <cell r="C31">
            <v>0.53</v>
          </cell>
        </row>
        <row r="32">
          <cell r="A32" t="str">
            <v>Isle of Man</v>
          </cell>
        </row>
        <row r="33">
          <cell r="A33" t="str">
            <v>Canada</v>
          </cell>
          <cell r="B33">
            <v>0.55000000000000004</v>
          </cell>
          <cell r="C33">
            <v>0.45</v>
          </cell>
        </row>
        <row r="34">
          <cell r="A34" t="str">
            <v>Philippines</v>
          </cell>
          <cell r="B34">
            <v>0.69</v>
          </cell>
          <cell r="C34">
            <v>0.31</v>
          </cell>
        </row>
        <row r="35">
          <cell r="A35" t="str">
            <v>Ukraine</v>
          </cell>
          <cell r="B35">
            <v>0.36</v>
          </cell>
          <cell r="C35">
            <v>0.64</v>
          </cell>
        </row>
        <row r="36">
          <cell r="A36" t="str">
            <v>Afghanistan</v>
          </cell>
        </row>
        <row r="37">
          <cell r="A37" t="str">
            <v>Germany</v>
          </cell>
          <cell r="B37">
            <v>0.36</v>
          </cell>
          <cell r="C37">
            <v>0.64</v>
          </cell>
        </row>
        <row r="38">
          <cell r="A38" t="str">
            <v>Botswana</v>
          </cell>
        </row>
        <row r="39">
          <cell r="A39" t="str">
            <v>Russia</v>
          </cell>
          <cell r="B39">
            <v>0.38</v>
          </cell>
          <cell r="C39">
            <v>0.62</v>
          </cell>
        </row>
        <row r="40">
          <cell r="A40" t="str">
            <v>Latvia</v>
          </cell>
        </row>
        <row r="41">
          <cell r="A41" t="str">
            <v>Austria</v>
          </cell>
          <cell r="B41">
            <v>0.38</v>
          </cell>
          <cell r="C41">
            <v>0.62</v>
          </cell>
        </row>
        <row r="42">
          <cell r="A42" t="str">
            <v>Nepal</v>
          </cell>
        </row>
        <row r="43">
          <cell r="A43" t="str">
            <v>Ireland</v>
          </cell>
          <cell r="B43">
            <v>0.53</v>
          </cell>
          <cell r="C43">
            <v>0.47</v>
          </cell>
        </row>
        <row r="44">
          <cell r="A44" t="str">
            <v>Sri Lanka</v>
          </cell>
          <cell r="B44">
            <v>0.52</v>
          </cell>
          <cell r="C44">
            <v>0.48</v>
          </cell>
        </row>
        <row r="45">
          <cell r="A45" t="str">
            <v>Norway</v>
          </cell>
          <cell r="B45">
            <v>0.53</v>
          </cell>
          <cell r="C45">
            <v>0.47</v>
          </cell>
        </row>
        <row r="46">
          <cell r="A46" t="str">
            <v>Bulgaria</v>
          </cell>
          <cell r="B46">
            <v>0.45</v>
          </cell>
          <cell r="C46">
            <v>0.55000000000000004</v>
          </cell>
        </row>
        <row r="47">
          <cell r="A47" t="str">
            <v>Guam</v>
          </cell>
        </row>
        <row r="48">
          <cell r="A48" t="str">
            <v>Finland</v>
          </cell>
          <cell r="B48">
            <v>0.47</v>
          </cell>
          <cell r="C48">
            <v>0.53</v>
          </cell>
        </row>
        <row r="49">
          <cell r="A49" t="str">
            <v>Belgium</v>
          </cell>
          <cell r="B49">
            <v>0.37</v>
          </cell>
          <cell r="C49">
            <v>0.63</v>
          </cell>
        </row>
        <row r="50">
          <cell r="A50" t="str">
            <v>Pakistan</v>
          </cell>
          <cell r="B50">
            <v>0.6</v>
          </cell>
          <cell r="C50">
            <v>0.4</v>
          </cell>
        </row>
        <row r="51">
          <cell r="A51" t="str">
            <v>Denmark</v>
          </cell>
          <cell r="B51">
            <v>0.49</v>
          </cell>
          <cell r="C51">
            <v>0.51</v>
          </cell>
        </row>
        <row r="52">
          <cell r="A52" t="str">
            <v>Hungary</v>
          </cell>
          <cell r="B52">
            <v>0.37</v>
          </cell>
          <cell r="C52">
            <v>0.63</v>
          </cell>
        </row>
        <row r="53">
          <cell r="A53" t="str">
            <v>Brunei</v>
          </cell>
        </row>
        <row r="54">
          <cell r="A54" t="str">
            <v>United Kingdom</v>
          </cell>
          <cell r="B54">
            <v>0.52</v>
          </cell>
          <cell r="C54">
            <v>0.48</v>
          </cell>
        </row>
        <row r="55">
          <cell r="A55" t="str">
            <v>North Macedonia</v>
          </cell>
        </row>
        <row r="56">
          <cell r="A56" t="str">
            <v>Moldova</v>
          </cell>
        </row>
        <row r="57">
          <cell r="A57" t="str">
            <v>Armenia</v>
          </cell>
        </row>
        <row r="58">
          <cell r="A58" t="str">
            <v>Netherlands</v>
          </cell>
          <cell r="B58">
            <v>0.45</v>
          </cell>
          <cell r="C58">
            <v>0.55000000000000004</v>
          </cell>
        </row>
        <row r="59">
          <cell r="A59" t="str">
            <v>Bahamas</v>
          </cell>
        </row>
        <row r="60">
          <cell r="A60" t="str">
            <v>Lithuania</v>
          </cell>
          <cell r="B60">
            <v>0.54</v>
          </cell>
          <cell r="C60">
            <v>0.46</v>
          </cell>
        </row>
        <row r="61">
          <cell r="A61" t="str">
            <v>Trinidad &amp; Tobago</v>
          </cell>
        </row>
        <row r="62">
          <cell r="A62" t="str">
            <v>Mauritius</v>
          </cell>
        </row>
        <row r="63">
          <cell r="A63" t="str">
            <v>Jamaica</v>
          </cell>
        </row>
        <row r="64">
          <cell r="A64" t="str">
            <v>Cyprus</v>
          </cell>
        </row>
        <row r="65">
          <cell r="A65" t="str">
            <v>Poland</v>
          </cell>
          <cell r="B65">
            <v>0.46</v>
          </cell>
          <cell r="C65">
            <v>0.54</v>
          </cell>
        </row>
        <row r="66">
          <cell r="A66" t="str">
            <v>Guyana</v>
          </cell>
        </row>
        <row r="67">
          <cell r="A67" t="str">
            <v>South Africa</v>
          </cell>
          <cell r="B67">
            <v>0.56000000000000005</v>
          </cell>
          <cell r="C67">
            <v>0.44</v>
          </cell>
        </row>
        <row r="68">
          <cell r="A68" t="str">
            <v>Papua New Guinea</v>
          </cell>
        </row>
        <row r="69">
          <cell r="A69" t="str">
            <v>Malaysia</v>
          </cell>
          <cell r="B69">
            <v>0.68</v>
          </cell>
          <cell r="C69">
            <v>0.32</v>
          </cell>
        </row>
        <row r="70">
          <cell r="A70" t="str">
            <v>Namibia</v>
          </cell>
        </row>
        <row r="71">
          <cell r="A71" t="str">
            <v>Greece</v>
          </cell>
          <cell r="B71">
            <v>0.69</v>
          </cell>
          <cell r="C71">
            <v>0.31</v>
          </cell>
        </row>
        <row r="72">
          <cell r="A72" t="str">
            <v>Zimbabwe</v>
          </cell>
        </row>
        <row r="73">
          <cell r="A73" t="str">
            <v>France</v>
          </cell>
          <cell r="B73">
            <v>0.2</v>
          </cell>
          <cell r="C73">
            <v>0.8</v>
          </cell>
        </row>
        <row r="74">
          <cell r="A74" t="str">
            <v>Bangladesh</v>
          </cell>
          <cell r="B74">
            <v>0.56999999999999995</v>
          </cell>
          <cell r="C74">
            <v>0.43</v>
          </cell>
        </row>
        <row r="75">
          <cell r="A75" t="str">
            <v>Romania</v>
          </cell>
          <cell r="B75">
            <v>0.46</v>
          </cell>
          <cell r="C75">
            <v>0.54</v>
          </cell>
        </row>
        <row r="76">
          <cell r="A76" t="str">
            <v>Portugal</v>
          </cell>
          <cell r="B76">
            <v>0.44</v>
          </cell>
          <cell r="C76">
            <v>0.56000000000000005</v>
          </cell>
        </row>
        <row r="77">
          <cell r="A77" t="str">
            <v>Cayman Islands</v>
          </cell>
        </row>
        <row r="78">
          <cell r="A78" t="str">
            <v>Iran</v>
          </cell>
          <cell r="B78">
            <v>0.66</v>
          </cell>
          <cell r="C78">
            <v>0.34</v>
          </cell>
        </row>
        <row r="79">
          <cell r="A79" t="str">
            <v>Jersey</v>
          </cell>
        </row>
        <row r="80">
          <cell r="A80" t="str">
            <v>Mongolia</v>
          </cell>
        </row>
        <row r="81">
          <cell r="A81" t="str">
            <v>Barbados</v>
          </cell>
        </row>
        <row r="82">
          <cell r="A82" t="str">
            <v>Lebanon</v>
          </cell>
        </row>
        <row r="83">
          <cell r="A83" t="str">
            <v>Serbia</v>
          </cell>
          <cell r="B83">
            <v>0.56000000000000005</v>
          </cell>
          <cell r="C83">
            <v>0.44</v>
          </cell>
        </row>
        <row r="84">
          <cell r="A84" t="str">
            <v>Croatia</v>
          </cell>
          <cell r="B84">
            <v>0.5</v>
          </cell>
          <cell r="C84">
            <v>0.5</v>
          </cell>
        </row>
        <row r="85">
          <cell r="A85" t="str">
            <v>Rwanda</v>
          </cell>
        </row>
        <row r="86">
          <cell r="A86" t="str">
            <v>Kenya</v>
          </cell>
        </row>
        <row r="87">
          <cell r="A87" t="str">
            <v>Fiji</v>
          </cell>
        </row>
        <row r="88">
          <cell r="A88" t="str">
            <v>Costa Rica</v>
          </cell>
        </row>
        <row r="89">
          <cell r="A89" t="str">
            <v>Ghana</v>
          </cell>
        </row>
        <row r="90">
          <cell r="A90" t="str">
            <v>Uzbekistan</v>
          </cell>
        </row>
        <row r="91">
          <cell r="A91" t="str">
            <v>Somalia</v>
          </cell>
        </row>
        <row r="92">
          <cell r="A92" t="str">
            <v>Zambia</v>
          </cell>
        </row>
        <row r="93">
          <cell r="A93" t="str">
            <v>Kyrgyzstan</v>
          </cell>
        </row>
        <row r="94">
          <cell r="A94" t="str">
            <v>United Arab Emirates</v>
          </cell>
          <cell r="B94">
            <v>0.66</v>
          </cell>
          <cell r="C94">
            <v>0.34</v>
          </cell>
        </row>
        <row r="95">
          <cell r="A95" t="str">
            <v>Uruguay</v>
          </cell>
        </row>
        <row r="96">
          <cell r="A96" t="str">
            <v>Bahrain</v>
          </cell>
        </row>
        <row r="97">
          <cell r="A97" t="str">
            <v>Uganda</v>
          </cell>
        </row>
        <row r="98">
          <cell r="A98" t="str">
            <v>Maldives</v>
          </cell>
        </row>
        <row r="99">
          <cell r="A99" t="str">
            <v>Bosnia &amp; Herzegovina</v>
          </cell>
        </row>
        <row r="100">
          <cell r="A100" t="str">
            <v>Spain</v>
          </cell>
          <cell r="B100">
            <v>0.37</v>
          </cell>
          <cell r="C100">
            <v>0.63</v>
          </cell>
        </row>
        <row r="101">
          <cell r="A101" t="str">
            <v>Qatar</v>
          </cell>
        </row>
        <row r="102">
          <cell r="A102" t="str">
            <v>Myanmar (Burma)</v>
          </cell>
        </row>
        <row r="103">
          <cell r="A103" t="str">
            <v>Montenegro</v>
          </cell>
        </row>
        <row r="104">
          <cell r="A104" t="str">
            <v>Tanzania</v>
          </cell>
        </row>
        <row r="105">
          <cell r="A105" t="str">
            <v>Cambodia</v>
          </cell>
        </row>
        <row r="106">
          <cell r="A106" t="str">
            <v>Puerto Rico</v>
          </cell>
        </row>
        <row r="107">
          <cell r="A107" t="str">
            <v>Tunisia</v>
          </cell>
        </row>
        <row r="108">
          <cell r="A108" t="str">
            <v>Guatemala</v>
          </cell>
        </row>
        <row r="109">
          <cell r="A109" t="str">
            <v>Kuwait</v>
          </cell>
        </row>
        <row r="110">
          <cell r="A110" t="str">
            <v>Jordan</v>
          </cell>
        </row>
        <row r="111">
          <cell r="A111" t="str">
            <v>Mozambique</v>
          </cell>
        </row>
        <row r="112">
          <cell r="A112" t="str">
            <v>Nigeria</v>
          </cell>
        </row>
        <row r="113">
          <cell r="A113" t="str">
            <v>Italy</v>
          </cell>
          <cell r="B113">
            <v>0.5</v>
          </cell>
          <cell r="C113">
            <v>0.5</v>
          </cell>
        </row>
        <row r="114">
          <cell r="A114" t="str">
            <v>Oman</v>
          </cell>
        </row>
        <row r="115">
          <cell r="A115" t="str">
            <v>Thailand</v>
          </cell>
          <cell r="B115">
            <v>0.69</v>
          </cell>
          <cell r="C115">
            <v>0.31</v>
          </cell>
        </row>
        <row r="116">
          <cell r="A116" t="str">
            <v>Bolivia</v>
          </cell>
        </row>
        <row r="117">
          <cell r="A117" t="str">
            <v>Cameroon</v>
          </cell>
        </row>
        <row r="118">
          <cell r="A118" t="str">
            <v>Kazakhstan</v>
          </cell>
        </row>
        <row r="119">
          <cell r="A119" t="str">
            <v>Laos</v>
          </cell>
        </row>
        <row r="120">
          <cell r="A120" t="str">
            <v>Angola</v>
          </cell>
        </row>
        <row r="121">
          <cell r="A121" t="str">
            <v>Indonesia</v>
          </cell>
          <cell r="B121">
            <v>0.69</v>
          </cell>
          <cell r="C121">
            <v>0.31</v>
          </cell>
        </row>
        <row r="122">
          <cell r="A122" t="str">
            <v>Egypt</v>
          </cell>
          <cell r="B122">
            <v>0.57999999999999996</v>
          </cell>
          <cell r="C122">
            <v>0.42</v>
          </cell>
        </row>
        <row r="123">
          <cell r="A123" t="str">
            <v>Malawi</v>
          </cell>
        </row>
        <row r="124">
          <cell r="A124" t="str">
            <v>Georgia</v>
          </cell>
        </row>
        <row r="125">
          <cell r="A125" t="str">
            <v>Sudan</v>
          </cell>
        </row>
        <row r="126">
          <cell r="A126" t="str">
            <v>Panama</v>
          </cell>
        </row>
        <row r="127">
          <cell r="A127" t="str">
            <v>Albania</v>
          </cell>
        </row>
        <row r="128">
          <cell r="A128" t="str">
            <v>Honduras</v>
          </cell>
        </row>
        <row r="129">
          <cell r="A129" t="str">
            <v>Mexico</v>
          </cell>
          <cell r="B129">
            <v>0.46</v>
          </cell>
          <cell r="C129">
            <v>0.54</v>
          </cell>
        </row>
        <row r="130">
          <cell r="A130" t="str">
            <v>Vietnam</v>
          </cell>
          <cell r="B130">
            <v>0.5</v>
          </cell>
          <cell r="C130">
            <v>0.5</v>
          </cell>
        </row>
        <row r="131">
          <cell r="A131" t="str">
            <v>Azerbaijan</v>
          </cell>
        </row>
        <row r="132">
          <cell r="A132" t="str">
            <v>Turkmenistan</v>
          </cell>
        </row>
        <row r="133">
          <cell r="A133" t="str">
            <v>Nicaragua</v>
          </cell>
        </row>
        <row r="134">
          <cell r="A134" t="str">
            <v>Argentina</v>
          </cell>
          <cell r="B134">
            <v>0.39</v>
          </cell>
          <cell r="C134">
            <v>0.61</v>
          </cell>
        </row>
        <row r="135">
          <cell r="A135" t="str">
            <v>Morocco</v>
          </cell>
        </row>
        <row r="136">
          <cell r="A136" t="str">
            <v>El Salvador</v>
          </cell>
        </row>
        <row r="137">
          <cell r="A137" t="str">
            <v>Brazil</v>
          </cell>
          <cell r="B137">
            <v>0.43</v>
          </cell>
          <cell r="C137">
            <v>0.56999999999999995</v>
          </cell>
        </row>
        <row r="138">
          <cell r="A138" t="str">
            <v>Libya</v>
          </cell>
        </row>
        <row r="139">
          <cell r="A139" t="str">
            <v>Chile</v>
          </cell>
          <cell r="B139">
            <v>0.47</v>
          </cell>
          <cell r="C139">
            <v>0.53</v>
          </cell>
        </row>
        <row r="140">
          <cell r="A140" t="str">
            <v>Colombia</v>
          </cell>
          <cell r="B140">
            <v>0.4</v>
          </cell>
          <cell r="C140">
            <v>0.6</v>
          </cell>
        </row>
        <row r="141">
          <cell r="A141" t="str">
            <v>Syria</v>
          </cell>
        </row>
        <row r="142">
          <cell r="A142" t="str">
            <v>Paraguay</v>
          </cell>
        </row>
        <row r="143">
          <cell r="A143" t="str">
            <v>Saudi Arabia</v>
          </cell>
        </row>
        <row r="144">
          <cell r="A144" t="str">
            <v>Yemen</v>
          </cell>
        </row>
        <row r="145">
          <cell r="A145" t="str">
            <v>Dominican Republic</v>
          </cell>
        </row>
        <row r="146">
          <cell r="A146" t="str">
            <v>Turkey</v>
          </cell>
          <cell r="B146">
            <v>0.61</v>
          </cell>
          <cell r="C146">
            <v>0.39</v>
          </cell>
        </row>
        <row r="147">
          <cell r="A147" t="str">
            <v>RÃ©union</v>
          </cell>
        </row>
        <row r="148">
          <cell r="A148" t="str">
            <v>Palestine</v>
          </cell>
        </row>
        <row r="149">
          <cell r="A149" t="str">
            <v>Kosovo</v>
          </cell>
        </row>
        <row r="150">
          <cell r="A150" t="str">
            <v>Peru</v>
          </cell>
          <cell r="B150">
            <v>0.53</v>
          </cell>
          <cell r="C150">
            <v>0.47</v>
          </cell>
        </row>
        <row r="151">
          <cell r="A151" t="str">
            <v>CÃ´te dâ€™Ivoire</v>
          </cell>
        </row>
        <row r="152">
          <cell r="A152" t="str">
            <v>Ecuador</v>
          </cell>
        </row>
        <row r="153">
          <cell r="A153" t="str">
            <v>Senegal</v>
          </cell>
        </row>
        <row r="154">
          <cell r="A154" t="str">
            <v>Venezuela</v>
          </cell>
          <cell r="B154">
            <v>0.56000000000000005</v>
          </cell>
          <cell r="C154">
            <v>0.44</v>
          </cell>
        </row>
        <row r="155">
          <cell r="A155" t="str">
            <v>Algeria</v>
          </cell>
        </row>
        <row r="156">
          <cell r="A156" t="str">
            <v>Iraq</v>
          </cell>
        </row>
        <row r="157">
          <cell r="A157" t="str">
            <v>North Korea</v>
          </cell>
        </row>
        <row r="158">
          <cell r="A158" t="str">
            <v>British Indian Ocean Territory</v>
          </cell>
        </row>
        <row r="159">
          <cell r="A159" t="str">
            <v>Falkland Islands (Islas Malvinas)</v>
          </cell>
        </row>
        <row r="160">
          <cell r="A160" t="str">
            <v>Svalbard &amp; Jan Mayen</v>
          </cell>
        </row>
        <row r="161">
          <cell r="A161" t="str">
            <v>Micronesia</v>
          </cell>
        </row>
        <row r="162">
          <cell r="A162" t="str">
            <v>Tonga</v>
          </cell>
        </row>
        <row r="163">
          <cell r="A163" t="str">
            <v>Solomon Islands</v>
          </cell>
        </row>
        <row r="164">
          <cell r="A164" t="str">
            <v>St. Kitts &amp; Nevis</v>
          </cell>
        </row>
        <row r="165">
          <cell r="A165" t="str">
            <v>Caribbean Netherlands</v>
          </cell>
        </row>
        <row r="166">
          <cell r="A166" t="str">
            <v>Vanuatu</v>
          </cell>
        </row>
        <row r="167">
          <cell r="A167" t="str">
            <v>Guinea-Bissau</v>
          </cell>
        </row>
        <row r="168">
          <cell r="A168" t="str">
            <v>Eswatini</v>
          </cell>
        </row>
        <row r="169">
          <cell r="A169" t="str">
            <v>Northern Mariana Islands</v>
          </cell>
        </row>
        <row r="170">
          <cell r="A170" t="str">
            <v>Bhutan</v>
          </cell>
        </row>
        <row r="171">
          <cell r="A171" t="str">
            <v>Dominica</v>
          </cell>
        </row>
        <row r="172">
          <cell r="A172" t="str">
            <v>Seychelles</v>
          </cell>
        </row>
        <row r="173">
          <cell r="A173" t="str">
            <v>Greenland</v>
          </cell>
        </row>
        <row r="174">
          <cell r="A174" t="str">
            <v>Liechtenstein</v>
          </cell>
        </row>
        <row r="175">
          <cell r="A175" t="str">
            <v>U.S. Virgin Islands</v>
          </cell>
        </row>
        <row r="176">
          <cell r="A176" t="str">
            <v>British Virgin Islands</v>
          </cell>
        </row>
        <row r="177">
          <cell r="A177" t="str">
            <v>Ã…land Islands</v>
          </cell>
        </row>
        <row r="178">
          <cell r="A178" t="str">
            <v>Bermuda</v>
          </cell>
        </row>
        <row r="179">
          <cell r="A179" t="str">
            <v>Turks &amp; Caicos Islands</v>
          </cell>
        </row>
        <row r="180">
          <cell r="A180" t="str">
            <v>San Marino</v>
          </cell>
        </row>
        <row r="181">
          <cell r="A181" t="str">
            <v>Sint Maarten</v>
          </cell>
        </row>
        <row r="182">
          <cell r="A182" t="str">
            <v>Faroe Islands</v>
          </cell>
        </row>
        <row r="183">
          <cell r="A183" t="str">
            <v>St. Lucia</v>
          </cell>
        </row>
        <row r="184">
          <cell r="A184" t="str">
            <v>Equatorial Guinea</v>
          </cell>
        </row>
        <row r="185">
          <cell r="A185" t="str">
            <v>Cape Verde</v>
          </cell>
        </row>
        <row r="186">
          <cell r="A186" t="str">
            <v>St. Vincent &amp; Grenadines</v>
          </cell>
        </row>
        <row r="187">
          <cell r="A187" t="str">
            <v>Guernsey</v>
          </cell>
        </row>
        <row r="188">
          <cell r="A188" t="str">
            <v>Djibouti</v>
          </cell>
        </row>
        <row r="189">
          <cell r="A189" t="str">
            <v>CuraÃ§ao</v>
          </cell>
        </row>
        <row r="190">
          <cell r="A190" t="str">
            <v>Timor-Leste</v>
          </cell>
        </row>
        <row r="191">
          <cell r="A191" t="str">
            <v>Belize</v>
          </cell>
        </row>
        <row r="192">
          <cell r="A192" t="str">
            <v>Grenada</v>
          </cell>
        </row>
        <row r="193">
          <cell r="A193" t="str">
            <v>South Sudan</v>
          </cell>
        </row>
        <row r="194">
          <cell r="A194" t="str">
            <v>Antigua &amp; Barbuda</v>
          </cell>
        </row>
        <row r="195">
          <cell r="A195" t="str">
            <v>Chad</v>
          </cell>
        </row>
        <row r="196">
          <cell r="A196" t="str">
            <v>Andorra</v>
          </cell>
        </row>
        <row r="197">
          <cell r="A197" t="str">
            <v>Monaco</v>
          </cell>
        </row>
        <row r="198">
          <cell r="A198" t="str">
            <v>Burundi</v>
          </cell>
        </row>
        <row r="199">
          <cell r="A199" t="str">
            <v>Aruba</v>
          </cell>
        </row>
        <row r="200">
          <cell r="A200" t="str">
            <v>Liberia</v>
          </cell>
        </row>
        <row r="201">
          <cell r="A201" t="str">
            <v>Mayotte</v>
          </cell>
        </row>
        <row r="202">
          <cell r="A202" t="str">
            <v>Suriname</v>
          </cell>
        </row>
        <row r="203">
          <cell r="A203" t="str">
            <v>Benin</v>
          </cell>
        </row>
        <row r="204">
          <cell r="A204" t="str">
            <v>New Caledonia</v>
          </cell>
        </row>
        <row r="205">
          <cell r="A205" t="str">
            <v>Togo</v>
          </cell>
        </row>
        <row r="206">
          <cell r="A206" t="str">
            <v>Guinea</v>
          </cell>
        </row>
        <row r="207">
          <cell r="A207" t="str">
            <v>Tajikistan</v>
          </cell>
        </row>
        <row r="208">
          <cell r="A208" t="str">
            <v>Burkina Faso</v>
          </cell>
        </row>
        <row r="209">
          <cell r="A209" t="str">
            <v>Congo - Brazzaville</v>
          </cell>
        </row>
        <row r="210">
          <cell r="A210" t="str">
            <v>Sierra Leone</v>
          </cell>
        </row>
        <row r="211">
          <cell r="A211" t="str">
            <v>French Polynesia</v>
          </cell>
        </row>
        <row r="212">
          <cell r="A212" t="str">
            <v>Congo - Kinshasa</v>
          </cell>
        </row>
        <row r="213">
          <cell r="A213" t="str">
            <v>Haiti</v>
          </cell>
        </row>
        <row r="214">
          <cell r="A214" t="str">
            <v>French Guiana</v>
          </cell>
        </row>
        <row r="215">
          <cell r="A215" t="str">
            <v>Gabon</v>
          </cell>
        </row>
        <row r="216">
          <cell r="A216" t="str">
            <v>Guadeloupe</v>
          </cell>
        </row>
        <row r="217">
          <cell r="A217" t="str">
            <v>Martinique</v>
          </cell>
        </row>
        <row r="218">
          <cell r="A218" t="str">
            <v>Mali</v>
          </cell>
        </row>
        <row r="219">
          <cell r="A219" t="str">
            <v>Anguilla</v>
          </cell>
        </row>
        <row r="220">
          <cell r="A220" t="str">
            <v>American Samoa</v>
          </cell>
        </row>
        <row r="221">
          <cell r="A221" t="str">
            <v>Antarctica</v>
          </cell>
        </row>
        <row r="222">
          <cell r="A222" t="str">
            <v>French Southern Territories</v>
          </cell>
        </row>
        <row r="223">
          <cell r="A223" t="str">
            <v>St. BarthÃ©lemy</v>
          </cell>
        </row>
        <row r="224">
          <cell r="A224" t="str">
            <v>Bouvet Island</v>
          </cell>
        </row>
        <row r="225">
          <cell r="A225" t="str">
            <v>Central African Republic</v>
          </cell>
        </row>
        <row r="226">
          <cell r="A226" t="str">
            <v>Cocos (Keeling) Islands</v>
          </cell>
        </row>
        <row r="227">
          <cell r="A227" t="str">
            <v>Cook Islands</v>
          </cell>
        </row>
        <row r="228">
          <cell r="A228" t="str">
            <v>Comoros</v>
          </cell>
        </row>
        <row r="229">
          <cell r="A229" t="str">
            <v>Christmas Island</v>
          </cell>
        </row>
        <row r="230">
          <cell r="A230" t="str">
            <v>Eritrea</v>
          </cell>
        </row>
        <row r="231">
          <cell r="A231" t="str">
            <v>Western Sahara</v>
          </cell>
        </row>
        <row r="232">
          <cell r="A232" t="str">
            <v>Gambia</v>
          </cell>
        </row>
        <row r="233">
          <cell r="A233" t="str">
            <v>Heard &amp; McDonald Islands</v>
          </cell>
        </row>
        <row r="234">
          <cell r="A234" t="str">
            <v>Kiribati</v>
          </cell>
        </row>
        <row r="235">
          <cell r="A235" t="str">
            <v>St. Martin</v>
          </cell>
        </row>
        <row r="236">
          <cell r="A236" t="str">
            <v>Marshall Islands</v>
          </cell>
        </row>
        <row r="237">
          <cell r="A237" t="str">
            <v>Mauritania</v>
          </cell>
        </row>
        <row r="238">
          <cell r="A238" t="str">
            <v>Montserrat</v>
          </cell>
        </row>
        <row r="239">
          <cell r="A239" t="str">
            <v>Niger</v>
          </cell>
        </row>
        <row r="240">
          <cell r="A240" t="str">
            <v>Norfolk Island</v>
          </cell>
        </row>
        <row r="241">
          <cell r="A241" t="str">
            <v>Niue</v>
          </cell>
        </row>
        <row r="242">
          <cell r="A242" t="str">
            <v>Nauru</v>
          </cell>
        </row>
        <row r="243">
          <cell r="A243" t="str">
            <v>Pitcairn Islands</v>
          </cell>
        </row>
        <row r="244">
          <cell r="A244" t="str">
            <v>Palau</v>
          </cell>
        </row>
        <row r="245">
          <cell r="A245" t="str">
            <v>South Georgia &amp; South Sandwich Islands</v>
          </cell>
        </row>
        <row r="246">
          <cell r="A246" t="str">
            <v>St. Pierre &amp; Miquelon</v>
          </cell>
        </row>
        <row r="247">
          <cell r="A247" t="str">
            <v>SÃ£o TomÃ© &amp; PrÃ­ncipe</v>
          </cell>
        </row>
        <row r="248">
          <cell r="A248" t="str">
            <v>Tokelau</v>
          </cell>
        </row>
        <row r="249">
          <cell r="A249" t="str">
            <v>Tuvalu</v>
          </cell>
        </row>
        <row r="250">
          <cell r="A250" t="str">
            <v>U.S. Outlying Islands</v>
          </cell>
        </row>
        <row r="251">
          <cell r="A251" t="str">
            <v>Vatican City</v>
          </cell>
        </row>
        <row r="252">
          <cell r="A252" t="str">
            <v>Wallis &amp; Futuna</v>
          </cell>
        </row>
        <row r="253">
          <cell r="A253" t="str">
            <v>Samoa</v>
          </cell>
        </row>
      </sheetData>
    </sheetDataSet>
  </externalBook>
</externalLink>
</file>

<file path=xl/externalLinks/externalLink2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3)"/>
    </sheetNames>
    <sheetDataSet>
      <sheetData sheetId="0">
        <row r="1">
          <cell r="A1" t="str">
            <v>Kategori: TÃ¼m kategoriler</v>
          </cell>
        </row>
        <row r="3">
          <cell r="A3" t="str">
            <v>Ãœlke</v>
          </cell>
          <cell r="B3" t="str">
            <v>DÃ¼zenli ifade: (2014)</v>
          </cell>
          <cell r="C3" t="str">
            <v>TCP: (2014)</v>
          </cell>
        </row>
        <row r="4">
          <cell r="A4" t="str">
            <v>Cuba</v>
          </cell>
        </row>
        <row r="5">
          <cell r="A5" t="str">
            <v>China</v>
          </cell>
          <cell r="B5">
            <v>0.6</v>
          </cell>
          <cell r="C5">
            <v>0.4</v>
          </cell>
        </row>
        <row r="6">
          <cell r="A6" t="str">
            <v>Eswatini</v>
          </cell>
        </row>
        <row r="7">
          <cell r="A7" t="str">
            <v>Burundi</v>
          </cell>
        </row>
        <row r="8">
          <cell r="A8" t="str">
            <v>South Korea</v>
          </cell>
          <cell r="B8">
            <v>0.5</v>
          </cell>
          <cell r="C8">
            <v>0.5</v>
          </cell>
        </row>
        <row r="9">
          <cell r="A9" t="str">
            <v>Botswana</v>
          </cell>
        </row>
        <row r="10">
          <cell r="A10" t="str">
            <v>St. Helena</v>
          </cell>
        </row>
        <row r="11">
          <cell r="A11" t="str">
            <v>Luxembourg</v>
          </cell>
        </row>
        <row r="12">
          <cell r="A12" t="str">
            <v>Belarus</v>
          </cell>
          <cell r="B12">
            <v>0.72</v>
          </cell>
          <cell r="C12">
            <v>0.28000000000000003</v>
          </cell>
        </row>
        <row r="13">
          <cell r="A13" t="str">
            <v>Israel</v>
          </cell>
          <cell r="B13">
            <v>0.63</v>
          </cell>
          <cell r="C13">
            <v>0.37</v>
          </cell>
        </row>
        <row r="14">
          <cell r="A14" t="str">
            <v>Namibia</v>
          </cell>
        </row>
        <row r="15">
          <cell r="A15" t="str">
            <v>Iceland</v>
          </cell>
        </row>
        <row r="16">
          <cell r="A16" t="str">
            <v>Japan</v>
          </cell>
          <cell r="B16">
            <v>0.65</v>
          </cell>
          <cell r="C16">
            <v>0.35</v>
          </cell>
        </row>
        <row r="17">
          <cell r="A17" t="str">
            <v>Czechia</v>
          </cell>
          <cell r="B17">
            <v>0.59</v>
          </cell>
          <cell r="C17">
            <v>0.41</v>
          </cell>
        </row>
        <row r="18">
          <cell r="A18" t="str">
            <v>Hong Kong</v>
          </cell>
          <cell r="B18">
            <v>0.54</v>
          </cell>
          <cell r="C18">
            <v>0.46</v>
          </cell>
        </row>
        <row r="19">
          <cell r="A19" t="str">
            <v>Singapore</v>
          </cell>
          <cell r="B19">
            <v>0.46</v>
          </cell>
          <cell r="C19">
            <v>0.54</v>
          </cell>
        </row>
        <row r="20">
          <cell r="A20" t="str">
            <v>Madagascar</v>
          </cell>
        </row>
        <row r="21">
          <cell r="A21" t="str">
            <v>Gibraltar</v>
          </cell>
        </row>
        <row r="22">
          <cell r="A22" t="str">
            <v>Congo - Kinshasa</v>
          </cell>
        </row>
        <row r="23">
          <cell r="A23" t="str">
            <v>Switzerland</v>
          </cell>
          <cell r="B23">
            <v>0.59</v>
          </cell>
          <cell r="C23">
            <v>0.41</v>
          </cell>
        </row>
        <row r="24">
          <cell r="A24" t="str">
            <v>Ethiopia</v>
          </cell>
        </row>
        <row r="25">
          <cell r="A25" t="str">
            <v>India</v>
          </cell>
          <cell r="B25">
            <v>0.49</v>
          </cell>
          <cell r="C25">
            <v>0.51</v>
          </cell>
        </row>
        <row r="26">
          <cell r="A26" t="str">
            <v>Angola</v>
          </cell>
        </row>
        <row r="27">
          <cell r="A27" t="str">
            <v>Nepal</v>
          </cell>
        </row>
        <row r="28">
          <cell r="A28" t="str">
            <v>Papua New Guinea</v>
          </cell>
        </row>
        <row r="29">
          <cell r="A29" t="str">
            <v>Rwanda</v>
          </cell>
        </row>
        <row r="30">
          <cell r="A30" t="str">
            <v>Lesotho</v>
          </cell>
        </row>
        <row r="31">
          <cell r="A31" t="str">
            <v>Ghana</v>
          </cell>
        </row>
        <row r="32">
          <cell r="A32" t="str">
            <v>Malta</v>
          </cell>
        </row>
        <row r="33">
          <cell r="A33" t="str">
            <v>Cameroon</v>
          </cell>
        </row>
        <row r="34">
          <cell r="A34" t="str">
            <v>Estonia</v>
          </cell>
        </row>
        <row r="35">
          <cell r="A35" t="str">
            <v>Togo</v>
          </cell>
        </row>
        <row r="36">
          <cell r="A36" t="str">
            <v>Zimbabwe</v>
          </cell>
        </row>
        <row r="37">
          <cell r="A37" t="str">
            <v>Uganda</v>
          </cell>
        </row>
        <row r="38">
          <cell r="A38" t="str">
            <v>Malawi</v>
          </cell>
        </row>
        <row r="39">
          <cell r="A39" t="str">
            <v>Sweden</v>
          </cell>
          <cell r="B39">
            <v>0.59</v>
          </cell>
          <cell r="C39">
            <v>0.41</v>
          </cell>
        </row>
        <row r="40">
          <cell r="A40" t="str">
            <v>Ukraine</v>
          </cell>
          <cell r="B40">
            <v>0.69</v>
          </cell>
          <cell r="C40">
            <v>0.31</v>
          </cell>
        </row>
        <row r="41">
          <cell r="A41" t="str">
            <v>Sri Lanka</v>
          </cell>
          <cell r="B41">
            <v>0.44</v>
          </cell>
          <cell r="C41">
            <v>0.56000000000000005</v>
          </cell>
        </row>
        <row r="42">
          <cell r="A42" t="str">
            <v>Germany</v>
          </cell>
          <cell r="B42">
            <v>0.56000000000000005</v>
          </cell>
          <cell r="C42">
            <v>0.44</v>
          </cell>
        </row>
        <row r="43">
          <cell r="A43" t="str">
            <v>Taiwan</v>
          </cell>
          <cell r="B43">
            <v>0.46</v>
          </cell>
          <cell r="C43">
            <v>0.54</v>
          </cell>
        </row>
        <row r="44">
          <cell r="A44" t="str">
            <v>Latvia</v>
          </cell>
        </row>
        <row r="45">
          <cell r="A45" t="str">
            <v>Russia</v>
          </cell>
          <cell r="B45">
            <v>0.59</v>
          </cell>
          <cell r="C45">
            <v>0.41</v>
          </cell>
        </row>
        <row r="46">
          <cell r="A46" t="str">
            <v>Austria</v>
          </cell>
          <cell r="B46">
            <v>0.56999999999999995</v>
          </cell>
          <cell r="C46">
            <v>0.43</v>
          </cell>
        </row>
        <row r="47">
          <cell r="A47" t="str">
            <v>Tunisia</v>
          </cell>
        </row>
        <row r="48">
          <cell r="A48" t="str">
            <v>Bhutan</v>
          </cell>
        </row>
        <row r="49">
          <cell r="A49" t="str">
            <v>Kenya</v>
          </cell>
        </row>
        <row r="50">
          <cell r="A50" t="str">
            <v>Barbados</v>
          </cell>
        </row>
        <row r="51">
          <cell r="A51" t="str">
            <v>New Zealand</v>
          </cell>
          <cell r="B51">
            <v>0.55000000000000004</v>
          </cell>
          <cell r="C51">
            <v>0.45</v>
          </cell>
        </row>
        <row r="52">
          <cell r="A52" t="str">
            <v>United States</v>
          </cell>
          <cell r="B52">
            <v>0.54</v>
          </cell>
          <cell r="C52">
            <v>0.46</v>
          </cell>
        </row>
        <row r="53">
          <cell r="A53" t="str">
            <v>Guyana</v>
          </cell>
        </row>
        <row r="54">
          <cell r="A54" t="str">
            <v>Brunei</v>
          </cell>
        </row>
        <row r="55">
          <cell r="A55" t="str">
            <v>Uruguay</v>
          </cell>
        </row>
        <row r="56">
          <cell r="A56" t="str">
            <v>Canada</v>
          </cell>
          <cell r="B56">
            <v>0.56999999999999995</v>
          </cell>
          <cell r="C56">
            <v>0.43</v>
          </cell>
        </row>
        <row r="57">
          <cell r="A57" t="str">
            <v>Bulgaria</v>
          </cell>
          <cell r="B57">
            <v>0.63</v>
          </cell>
          <cell r="C57">
            <v>0.37</v>
          </cell>
        </row>
        <row r="58">
          <cell r="A58" t="str">
            <v>Jersey</v>
          </cell>
        </row>
        <row r="59">
          <cell r="A59" t="str">
            <v>Finland</v>
          </cell>
          <cell r="B59">
            <v>0.52</v>
          </cell>
          <cell r="C59">
            <v>0.48</v>
          </cell>
        </row>
        <row r="60">
          <cell r="A60" t="str">
            <v>Belgium</v>
          </cell>
          <cell r="B60">
            <v>0.56000000000000005</v>
          </cell>
          <cell r="C60">
            <v>0.44</v>
          </cell>
        </row>
        <row r="61">
          <cell r="A61" t="str">
            <v>Ireland</v>
          </cell>
          <cell r="B61">
            <v>0.54</v>
          </cell>
          <cell r="C61">
            <v>0.46</v>
          </cell>
        </row>
        <row r="62">
          <cell r="A62" t="str">
            <v>Denmark</v>
          </cell>
          <cell r="B62">
            <v>0.6</v>
          </cell>
          <cell r="C62">
            <v>0.4</v>
          </cell>
        </row>
        <row r="63">
          <cell r="A63" t="str">
            <v>Burkina Faso</v>
          </cell>
        </row>
        <row r="64">
          <cell r="A64" t="str">
            <v>Hungary</v>
          </cell>
          <cell r="B64">
            <v>0.56999999999999995</v>
          </cell>
          <cell r="C64">
            <v>0.43</v>
          </cell>
        </row>
        <row r="65">
          <cell r="A65" t="str">
            <v>CÃ´te dâ€™Ivoire</v>
          </cell>
        </row>
        <row r="66">
          <cell r="A66" t="str">
            <v>Zambia</v>
          </cell>
        </row>
        <row r="67">
          <cell r="A67" t="str">
            <v>Armenia</v>
          </cell>
        </row>
        <row r="68">
          <cell r="A68" t="str">
            <v>Panama</v>
          </cell>
        </row>
        <row r="69">
          <cell r="A69" t="str">
            <v>Philippines</v>
          </cell>
          <cell r="B69">
            <v>0.38</v>
          </cell>
          <cell r="C69">
            <v>0.62</v>
          </cell>
        </row>
        <row r="70">
          <cell r="A70" t="str">
            <v>Norway</v>
          </cell>
          <cell r="B70">
            <v>0.51</v>
          </cell>
          <cell r="C70">
            <v>0.49</v>
          </cell>
        </row>
        <row r="71">
          <cell r="A71" t="str">
            <v>Moldova</v>
          </cell>
        </row>
        <row r="72">
          <cell r="A72" t="str">
            <v>Maldives</v>
          </cell>
        </row>
        <row r="73">
          <cell r="A73" t="str">
            <v>Afghanistan</v>
          </cell>
        </row>
        <row r="74">
          <cell r="A74" t="str">
            <v>Macao</v>
          </cell>
        </row>
        <row r="75">
          <cell r="A75" t="str">
            <v>Netherlands</v>
          </cell>
          <cell r="B75">
            <v>0.54</v>
          </cell>
          <cell r="C75">
            <v>0.46</v>
          </cell>
        </row>
        <row r="76">
          <cell r="A76" t="str">
            <v>Myanmar (Burma)</v>
          </cell>
        </row>
        <row r="77">
          <cell r="A77" t="str">
            <v>Benin</v>
          </cell>
        </row>
        <row r="78">
          <cell r="A78" t="str">
            <v>Australia</v>
          </cell>
          <cell r="B78">
            <v>0.52</v>
          </cell>
          <cell r="C78">
            <v>0.48</v>
          </cell>
        </row>
        <row r="79">
          <cell r="A79" t="str">
            <v>Mozambique</v>
          </cell>
        </row>
        <row r="80">
          <cell r="A80" t="str">
            <v>Slovakia</v>
          </cell>
          <cell r="B80">
            <v>0.54</v>
          </cell>
          <cell r="C80">
            <v>0.46</v>
          </cell>
        </row>
        <row r="81">
          <cell r="A81" t="str">
            <v>Jamaica</v>
          </cell>
        </row>
        <row r="82">
          <cell r="A82" t="str">
            <v>Mauritius</v>
          </cell>
        </row>
        <row r="83">
          <cell r="A83" t="str">
            <v>Honduras</v>
          </cell>
        </row>
        <row r="84">
          <cell r="A84" t="str">
            <v>Pakistan</v>
          </cell>
          <cell r="B84">
            <v>0.44</v>
          </cell>
          <cell r="C84">
            <v>0.56000000000000005</v>
          </cell>
        </row>
        <row r="85">
          <cell r="A85" t="str">
            <v>United Kingdom</v>
          </cell>
          <cell r="B85">
            <v>0.54</v>
          </cell>
          <cell r="C85">
            <v>0.46</v>
          </cell>
        </row>
        <row r="86">
          <cell r="A86" t="str">
            <v>Slovenia</v>
          </cell>
          <cell r="B86">
            <v>0.56000000000000005</v>
          </cell>
          <cell r="C86">
            <v>0.44</v>
          </cell>
        </row>
        <row r="87">
          <cell r="A87" t="str">
            <v>Ecuador</v>
          </cell>
        </row>
        <row r="88">
          <cell r="A88" t="str">
            <v>El Salvador</v>
          </cell>
        </row>
        <row r="89">
          <cell r="A89" t="str">
            <v>Fiji</v>
          </cell>
        </row>
        <row r="90">
          <cell r="A90" t="str">
            <v>Costa Rica</v>
          </cell>
          <cell r="B90">
            <v>0.44</v>
          </cell>
          <cell r="C90">
            <v>0.56000000000000005</v>
          </cell>
        </row>
        <row r="91">
          <cell r="A91" t="str">
            <v>Isle of Man</v>
          </cell>
        </row>
        <row r="92">
          <cell r="A92" t="str">
            <v>Somalia</v>
          </cell>
        </row>
        <row r="93">
          <cell r="A93" t="str">
            <v>North Macedonia</v>
          </cell>
        </row>
        <row r="94">
          <cell r="A94" t="str">
            <v>Senegal</v>
          </cell>
        </row>
        <row r="95">
          <cell r="A95" t="str">
            <v>Oman</v>
          </cell>
        </row>
        <row r="96">
          <cell r="A96" t="str">
            <v>Laos</v>
          </cell>
        </row>
        <row r="97">
          <cell r="A97" t="str">
            <v>Poland</v>
          </cell>
          <cell r="B97">
            <v>0.55000000000000004</v>
          </cell>
          <cell r="C97">
            <v>0.45</v>
          </cell>
        </row>
        <row r="98">
          <cell r="A98" t="str">
            <v>Lebanon</v>
          </cell>
        </row>
        <row r="99">
          <cell r="A99" t="str">
            <v>Bangladesh</v>
          </cell>
          <cell r="B99">
            <v>0.42</v>
          </cell>
          <cell r="C99">
            <v>0.57999999999999996</v>
          </cell>
        </row>
        <row r="100">
          <cell r="A100" t="str">
            <v>Nicaragua</v>
          </cell>
        </row>
        <row r="101">
          <cell r="A101" t="str">
            <v>France</v>
          </cell>
          <cell r="B101">
            <v>0.55000000000000004</v>
          </cell>
          <cell r="C101">
            <v>0.45</v>
          </cell>
        </row>
        <row r="102">
          <cell r="A102" t="str">
            <v>South Africa</v>
          </cell>
          <cell r="B102">
            <v>0.44</v>
          </cell>
          <cell r="C102">
            <v>0.56000000000000005</v>
          </cell>
        </row>
        <row r="103">
          <cell r="A103" t="str">
            <v>Spain</v>
          </cell>
          <cell r="B103">
            <v>0.42</v>
          </cell>
          <cell r="C103">
            <v>0.57999999999999996</v>
          </cell>
        </row>
        <row r="104">
          <cell r="A104" t="str">
            <v>Romania</v>
          </cell>
          <cell r="B104">
            <v>0.55000000000000004</v>
          </cell>
          <cell r="C104">
            <v>0.45</v>
          </cell>
        </row>
        <row r="105">
          <cell r="A105" t="str">
            <v>Portugal</v>
          </cell>
          <cell r="B105">
            <v>0.5</v>
          </cell>
          <cell r="C105">
            <v>0.5</v>
          </cell>
        </row>
        <row r="106">
          <cell r="A106" t="str">
            <v>Qatar</v>
          </cell>
        </row>
        <row r="107">
          <cell r="A107" t="str">
            <v>Tanzania</v>
          </cell>
        </row>
        <row r="108">
          <cell r="A108" t="str">
            <v>Guam</v>
          </cell>
        </row>
        <row r="109">
          <cell r="A109" t="str">
            <v>Dominican Republic</v>
          </cell>
        </row>
        <row r="110">
          <cell r="A110" t="str">
            <v>Lithuania</v>
          </cell>
        </row>
        <row r="111">
          <cell r="A111" t="str">
            <v>Cayman Islands</v>
          </cell>
        </row>
        <row r="112">
          <cell r="A112" t="str">
            <v>Trinidad &amp; Tobago</v>
          </cell>
        </row>
        <row r="113">
          <cell r="A113" t="str">
            <v>Malaysia</v>
          </cell>
          <cell r="B113">
            <v>0.33</v>
          </cell>
          <cell r="C113">
            <v>0.67</v>
          </cell>
        </row>
        <row r="114">
          <cell r="A114" t="str">
            <v>Mongolia</v>
          </cell>
        </row>
        <row r="115">
          <cell r="A115" t="str">
            <v>Nigeria</v>
          </cell>
        </row>
        <row r="116">
          <cell r="A116" t="str">
            <v>United Arab Emirates</v>
          </cell>
          <cell r="B116">
            <v>0.3</v>
          </cell>
          <cell r="C116">
            <v>0.7</v>
          </cell>
        </row>
        <row r="117">
          <cell r="A117" t="str">
            <v>Guatemala</v>
          </cell>
        </row>
        <row r="118">
          <cell r="A118" t="str">
            <v>Colombia</v>
          </cell>
          <cell r="B118">
            <v>0.28999999999999998</v>
          </cell>
          <cell r="C118">
            <v>0.71</v>
          </cell>
        </row>
        <row r="119">
          <cell r="A119" t="str">
            <v>Bolivia</v>
          </cell>
        </row>
        <row r="120">
          <cell r="A120" t="str">
            <v>Morocco</v>
          </cell>
          <cell r="B120">
            <v>0.3</v>
          </cell>
          <cell r="C120">
            <v>0.7</v>
          </cell>
        </row>
        <row r="121">
          <cell r="A121" t="str">
            <v>Iran</v>
          </cell>
          <cell r="B121">
            <v>0.35</v>
          </cell>
          <cell r="C121">
            <v>0.65</v>
          </cell>
        </row>
        <row r="122">
          <cell r="A122" t="str">
            <v>Mexico</v>
          </cell>
          <cell r="B122">
            <v>0.32</v>
          </cell>
          <cell r="C122">
            <v>0.68</v>
          </cell>
        </row>
        <row r="123">
          <cell r="A123" t="str">
            <v>Bahrain</v>
          </cell>
        </row>
        <row r="124">
          <cell r="A124" t="str">
            <v>Indonesia</v>
          </cell>
          <cell r="B124">
            <v>0.2</v>
          </cell>
          <cell r="C124">
            <v>0.8</v>
          </cell>
        </row>
        <row r="125">
          <cell r="A125" t="str">
            <v>Italy</v>
          </cell>
          <cell r="B125">
            <v>0.4</v>
          </cell>
          <cell r="C125">
            <v>0.6</v>
          </cell>
        </row>
        <row r="126">
          <cell r="A126" t="str">
            <v>Haiti</v>
          </cell>
        </row>
        <row r="127">
          <cell r="A127" t="str">
            <v>Uzbekistan</v>
          </cell>
        </row>
        <row r="128">
          <cell r="A128" t="str">
            <v>Croatia</v>
          </cell>
          <cell r="B128">
            <v>0.55000000000000004</v>
          </cell>
          <cell r="C128">
            <v>0.45</v>
          </cell>
        </row>
        <row r="129">
          <cell r="A129" t="str">
            <v>Cape Verde</v>
          </cell>
        </row>
        <row r="130">
          <cell r="A130" t="str">
            <v>Sudan</v>
          </cell>
        </row>
        <row r="131">
          <cell r="A131" t="str">
            <v>Cyprus</v>
          </cell>
        </row>
        <row r="132">
          <cell r="A132" t="str">
            <v>Brazil</v>
          </cell>
          <cell r="B132">
            <v>0.33</v>
          </cell>
          <cell r="C132">
            <v>0.67</v>
          </cell>
        </row>
        <row r="133">
          <cell r="A133" t="str">
            <v>Cambodia</v>
          </cell>
        </row>
        <row r="134">
          <cell r="A134" t="str">
            <v>Kyrgyzstan</v>
          </cell>
        </row>
        <row r="135">
          <cell r="A135" t="str">
            <v>Paraguay</v>
          </cell>
        </row>
        <row r="136">
          <cell r="A136" t="str">
            <v>Argentina</v>
          </cell>
          <cell r="B136">
            <v>0.34</v>
          </cell>
          <cell r="C136">
            <v>0.66</v>
          </cell>
        </row>
        <row r="137">
          <cell r="A137" t="str">
            <v>Peru</v>
          </cell>
          <cell r="B137">
            <v>0.23</v>
          </cell>
          <cell r="C137">
            <v>0.77</v>
          </cell>
        </row>
        <row r="138">
          <cell r="A138" t="str">
            <v>Liberia</v>
          </cell>
        </row>
        <row r="139">
          <cell r="A139" t="str">
            <v>Suriname</v>
          </cell>
        </row>
        <row r="140">
          <cell r="A140" t="str">
            <v>Martinique</v>
          </cell>
        </row>
        <row r="141">
          <cell r="A141" t="str">
            <v>Sierra Leone</v>
          </cell>
        </row>
        <row r="142">
          <cell r="A142" t="str">
            <v>Serbia</v>
          </cell>
          <cell r="B142">
            <v>0.53</v>
          </cell>
          <cell r="C142">
            <v>0.47</v>
          </cell>
        </row>
        <row r="143">
          <cell r="A143" t="str">
            <v>Bahamas</v>
          </cell>
        </row>
        <row r="144">
          <cell r="A144" t="str">
            <v>Greece</v>
          </cell>
          <cell r="B144">
            <v>0.4</v>
          </cell>
          <cell r="C144">
            <v>0.6</v>
          </cell>
        </row>
        <row r="145">
          <cell r="A145" t="str">
            <v>Chile</v>
          </cell>
          <cell r="B145">
            <v>0.36</v>
          </cell>
          <cell r="C145">
            <v>0.64</v>
          </cell>
        </row>
        <row r="146">
          <cell r="A146" t="str">
            <v>Jordan</v>
          </cell>
        </row>
        <row r="147">
          <cell r="A147" t="str">
            <v>Syria</v>
          </cell>
        </row>
        <row r="148">
          <cell r="A148" t="str">
            <v>Guinea</v>
          </cell>
        </row>
        <row r="149">
          <cell r="A149" t="str">
            <v>Puerto Rico</v>
          </cell>
        </row>
        <row r="150">
          <cell r="A150" t="str">
            <v>Kazakhstan</v>
          </cell>
        </row>
        <row r="151">
          <cell r="A151" t="str">
            <v>RÃ©union</v>
          </cell>
        </row>
        <row r="152">
          <cell r="A152" t="str">
            <v>Venezuela</v>
          </cell>
          <cell r="B152">
            <v>0.24</v>
          </cell>
          <cell r="C152">
            <v>0.76</v>
          </cell>
        </row>
        <row r="153">
          <cell r="A153" t="str">
            <v>Algeria</v>
          </cell>
        </row>
        <row r="154">
          <cell r="A154" t="str">
            <v>Kuwait</v>
          </cell>
        </row>
        <row r="155">
          <cell r="A155" t="str">
            <v>Vietnam</v>
          </cell>
          <cell r="B155">
            <v>0.44</v>
          </cell>
          <cell r="C155">
            <v>0.56000000000000005</v>
          </cell>
        </row>
        <row r="156">
          <cell r="A156" t="str">
            <v>Bosnia &amp; Herzegovina</v>
          </cell>
        </row>
        <row r="157">
          <cell r="A157" t="str">
            <v>Albania</v>
          </cell>
        </row>
        <row r="158">
          <cell r="A158" t="str">
            <v>Montenegro</v>
          </cell>
        </row>
        <row r="159">
          <cell r="A159" t="str">
            <v>Mali</v>
          </cell>
        </row>
        <row r="160">
          <cell r="A160" t="str">
            <v>Georgia</v>
          </cell>
        </row>
        <row r="161">
          <cell r="A161" t="str">
            <v>Kosovo</v>
          </cell>
        </row>
        <row r="162">
          <cell r="A162" t="str">
            <v>Tajikistan</v>
          </cell>
        </row>
        <row r="163">
          <cell r="A163" t="str">
            <v>Guadeloupe</v>
          </cell>
        </row>
        <row r="164">
          <cell r="A164" t="str">
            <v>CuraÃ§ao</v>
          </cell>
        </row>
        <row r="165">
          <cell r="A165" t="str">
            <v>Yemen</v>
          </cell>
        </row>
        <row r="166">
          <cell r="A166" t="str">
            <v>Turkmenistan</v>
          </cell>
        </row>
        <row r="167">
          <cell r="A167" t="str">
            <v>Thailand</v>
          </cell>
          <cell r="B167">
            <v>0.34</v>
          </cell>
          <cell r="C167">
            <v>0.66</v>
          </cell>
        </row>
        <row r="168">
          <cell r="A168" t="str">
            <v>Palestine</v>
          </cell>
        </row>
        <row r="169">
          <cell r="A169" t="str">
            <v>Saudi Arabia</v>
          </cell>
        </row>
        <row r="170">
          <cell r="A170" t="str">
            <v>Egypt</v>
          </cell>
          <cell r="B170">
            <v>0.46</v>
          </cell>
          <cell r="C170">
            <v>0.54</v>
          </cell>
        </row>
        <row r="171">
          <cell r="A171" t="str">
            <v>Azerbaijan</v>
          </cell>
        </row>
        <row r="172">
          <cell r="A172" t="str">
            <v>Libya</v>
          </cell>
        </row>
        <row r="173">
          <cell r="A173" t="str">
            <v>Turkey</v>
          </cell>
          <cell r="B173">
            <v>0.39</v>
          </cell>
          <cell r="C173">
            <v>0.61</v>
          </cell>
        </row>
        <row r="174">
          <cell r="A174" t="str">
            <v>Iraq</v>
          </cell>
        </row>
        <row r="175">
          <cell r="A175" t="str">
            <v>British Indian Ocean Territory</v>
          </cell>
        </row>
        <row r="176">
          <cell r="A176" t="str">
            <v>Falkland Islands (Islas Malvinas)</v>
          </cell>
        </row>
        <row r="177">
          <cell r="A177" t="str">
            <v>Cook Islands</v>
          </cell>
        </row>
        <row r="178">
          <cell r="A178" t="str">
            <v>Vanuatu</v>
          </cell>
        </row>
        <row r="179">
          <cell r="A179" t="str">
            <v>Tonga</v>
          </cell>
        </row>
        <row r="180">
          <cell r="A180" t="str">
            <v>U.S. Virgin Islands</v>
          </cell>
        </row>
        <row r="181">
          <cell r="A181" t="str">
            <v>Liechtenstein</v>
          </cell>
        </row>
        <row r="182">
          <cell r="A182" t="str">
            <v>Solomon Islands</v>
          </cell>
        </row>
        <row r="183">
          <cell r="A183" t="str">
            <v>St. BarthÃ©lemy</v>
          </cell>
        </row>
        <row r="184">
          <cell r="A184" t="str">
            <v>Faroe Islands</v>
          </cell>
        </row>
        <row r="185">
          <cell r="A185" t="str">
            <v>Caribbean Netherlands</v>
          </cell>
        </row>
        <row r="186">
          <cell r="A186" t="str">
            <v>Monaco</v>
          </cell>
        </row>
        <row r="187">
          <cell r="A187" t="str">
            <v>Bermuda</v>
          </cell>
        </row>
        <row r="188">
          <cell r="A188" t="str">
            <v>San Marino</v>
          </cell>
        </row>
        <row r="189">
          <cell r="A189" t="str">
            <v>Grenada</v>
          </cell>
        </row>
        <row r="190">
          <cell r="A190" t="str">
            <v>British Virgin Islands</v>
          </cell>
        </row>
        <row r="191">
          <cell r="A191" t="str">
            <v>Equatorial Guinea</v>
          </cell>
        </row>
        <row r="192">
          <cell r="A192" t="str">
            <v>Ã…land Islands</v>
          </cell>
        </row>
        <row r="193">
          <cell r="A193" t="str">
            <v>Turks &amp; Caicos Islands</v>
          </cell>
        </row>
        <row r="194">
          <cell r="A194" t="str">
            <v>French Polynesia</v>
          </cell>
        </row>
        <row r="195">
          <cell r="A195" t="str">
            <v>Djibouti</v>
          </cell>
        </row>
        <row r="196">
          <cell r="A196" t="str">
            <v>St. Vincent &amp; Grenadines</v>
          </cell>
        </row>
        <row r="197">
          <cell r="A197" t="str">
            <v>Chad</v>
          </cell>
        </row>
        <row r="198">
          <cell r="A198" t="str">
            <v>Dominica</v>
          </cell>
        </row>
        <row r="199">
          <cell r="A199" t="str">
            <v>Guernsey</v>
          </cell>
        </row>
        <row r="200">
          <cell r="A200" t="str">
            <v>Belize</v>
          </cell>
        </row>
        <row r="201">
          <cell r="A201" t="str">
            <v>Mayotte</v>
          </cell>
        </row>
        <row r="202">
          <cell r="A202" t="str">
            <v>Andorra</v>
          </cell>
        </row>
        <row r="203">
          <cell r="A203" t="str">
            <v>Sint Maarten</v>
          </cell>
        </row>
        <row r="204">
          <cell r="A204" t="str">
            <v>French Guiana</v>
          </cell>
        </row>
        <row r="205">
          <cell r="A205" t="str">
            <v>New Caledonia</v>
          </cell>
        </row>
        <row r="206">
          <cell r="A206" t="str">
            <v>Gambia</v>
          </cell>
        </row>
        <row r="207">
          <cell r="A207" t="str">
            <v>Congo - Brazzaville</v>
          </cell>
        </row>
        <row r="208">
          <cell r="A208" t="str">
            <v>Gabon</v>
          </cell>
        </row>
        <row r="209">
          <cell r="A209" t="str">
            <v>South Sudan</v>
          </cell>
        </row>
        <row r="210">
          <cell r="A210" t="str">
            <v>Niger</v>
          </cell>
        </row>
        <row r="211">
          <cell r="A211" t="str">
            <v>Aruba</v>
          </cell>
        </row>
        <row r="212">
          <cell r="A212" t="str">
            <v>Mauritania</v>
          </cell>
        </row>
        <row r="213">
          <cell r="A213" t="str">
            <v>Anguilla</v>
          </cell>
        </row>
        <row r="214">
          <cell r="A214" t="str">
            <v>American Samoa</v>
          </cell>
        </row>
        <row r="215">
          <cell r="A215" t="str">
            <v>Antarctica</v>
          </cell>
        </row>
        <row r="216">
          <cell r="A216" t="str">
            <v>French Southern Territories</v>
          </cell>
        </row>
        <row r="217">
          <cell r="A217" t="str">
            <v>Antigua &amp; Barbuda</v>
          </cell>
        </row>
        <row r="218">
          <cell r="A218" t="str">
            <v>Bouvet Island</v>
          </cell>
        </row>
        <row r="219">
          <cell r="A219" t="str">
            <v>Central African Republic</v>
          </cell>
        </row>
        <row r="220">
          <cell r="A220" t="str">
            <v>Cocos (Keeling) Islands</v>
          </cell>
        </row>
        <row r="221">
          <cell r="A221" t="str">
            <v>Comoros</v>
          </cell>
        </row>
        <row r="222">
          <cell r="A222" t="str">
            <v>Christmas Island</v>
          </cell>
        </row>
        <row r="223">
          <cell r="A223" t="str">
            <v>Eritrea</v>
          </cell>
        </row>
        <row r="224">
          <cell r="A224" t="str">
            <v>Western Sahara</v>
          </cell>
        </row>
        <row r="225">
          <cell r="A225" t="str">
            <v>Micronesia</v>
          </cell>
        </row>
        <row r="226">
          <cell r="A226" t="str">
            <v>Guinea-Bissau</v>
          </cell>
        </row>
        <row r="227">
          <cell r="A227" t="str">
            <v>Greenland</v>
          </cell>
        </row>
        <row r="228">
          <cell r="A228" t="str">
            <v>Heard &amp; McDonald Islands</v>
          </cell>
        </row>
        <row r="229">
          <cell r="A229" t="str">
            <v>Kiribati</v>
          </cell>
        </row>
        <row r="230">
          <cell r="A230" t="str">
            <v>St. Kitts &amp; Nevis</v>
          </cell>
        </row>
        <row r="231">
          <cell r="A231" t="str">
            <v>St. Lucia</v>
          </cell>
        </row>
        <row r="232">
          <cell r="A232" t="str">
            <v>St. Martin</v>
          </cell>
        </row>
        <row r="233">
          <cell r="A233" t="str">
            <v>Marshall Islands</v>
          </cell>
        </row>
        <row r="234">
          <cell r="A234" t="str">
            <v>Northern Mariana Islands</v>
          </cell>
        </row>
        <row r="235">
          <cell r="A235" t="str">
            <v>Montserrat</v>
          </cell>
        </row>
        <row r="236">
          <cell r="A236" t="str">
            <v>Norfolk Island</v>
          </cell>
        </row>
        <row r="237">
          <cell r="A237" t="str">
            <v>Niue</v>
          </cell>
        </row>
        <row r="238">
          <cell r="A238" t="str">
            <v>Nauru</v>
          </cell>
        </row>
        <row r="239">
          <cell r="A239" t="str">
            <v>Pitcairn Islands</v>
          </cell>
        </row>
        <row r="240">
          <cell r="A240" t="str">
            <v>Palau</v>
          </cell>
        </row>
        <row r="241">
          <cell r="A241" t="str">
            <v>North Korea</v>
          </cell>
        </row>
        <row r="242">
          <cell r="A242" t="str">
            <v>South Georgia &amp; South Sandwich Islands</v>
          </cell>
        </row>
        <row r="243">
          <cell r="A243" t="str">
            <v>Svalbard &amp; Jan Mayen</v>
          </cell>
        </row>
        <row r="244">
          <cell r="A244" t="str">
            <v>St. Pierre &amp; Miquelon</v>
          </cell>
        </row>
        <row r="245">
          <cell r="A245" t="str">
            <v>SÃ£o TomÃ© &amp; PrÃ­ncipe</v>
          </cell>
        </row>
        <row r="246">
          <cell r="A246" t="str">
            <v>Seychelles</v>
          </cell>
        </row>
        <row r="247">
          <cell r="A247" t="str">
            <v>Tokelau</v>
          </cell>
        </row>
        <row r="248">
          <cell r="A248" t="str">
            <v>Timor-Leste</v>
          </cell>
        </row>
        <row r="249">
          <cell r="A249" t="str">
            <v>Tuvalu</v>
          </cell>
        </row>
        <row r="250">
          <cell r="A250" t="str">
            <v>U.S. Outlying Islands</v>
          </cell>
        </row>
        <row r="251">
          <cell r="A251" t="str">
            <v>Vatican City</v>
          </cell>
        </row>
        <row r="252">
          <cell r="A252" t="str">
            <v>Wallis &amp; Futuna</v>
          </cell>
        </row>
        <row r="253">
          <cell r="A253" t="str">
            <v>Samoa</v>
          </cell>
        </row>
      </sheetData>
    </sheetDataSet>
  </externalBook>
</externalLink>
</file>

<file path=xl/externalLinks/externalLink2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4)"/>
    </sheetNames>
    <sheetDataSet>
      <sheetData sheetId="0">
        <row r="1">
          <cell r="A1" t="str">
            <v>Kategori: TÃ¼m kategoriler</v>
          </cell>
        </row>
        <row r="3">
          <cell r="A3" t="str">
            <v>Ãœlke</v>
          </cell>
          <cell r="B3" t="str">
            <v>TCP: (2014)</v>
          </cell>
          <cell r="C3" t="str">
            <v>SayÄ± deÄŸil: (2014)</v>
          </cell>
        </row>
        <row r="4">
          <cell r="A4" t="str">
            <v>Haiti</v>
          </cell>
        </row>
        <row r="5">
          <cell r="A5" t="str">
            <v>Cuba</v>
          </cell>
        </row>
        <row r="6">
          <cell r="A6" t="str">
            <v>CuraÃ§ao</v>
          </cell>
        </row>
        <row r="7">
          <cell r="A7" t="str">
            <v>China</v>
          </cell>
          <cell r="B7">
            <v>0.86</v>
          </cell>
          <cell r="C7">
            <v>0.14000000000000001</v>
          </cell>
        </row>
        <row r="8">
          <cell r="A8" t="str">
            <v>Aruba</v>
          </cell>
        </row>
        <row r="9">
          <cell r="A9" t="str">
            <v>Eswatini</v>
          </cell>
        </row>
        <row r="10">
          <cell r="A10" t="str">
            <v>Myanmar (Burma)</v>
          </cell>
        </row>
        <row r="11">
          <cell r="A11" t="str">
            <v>St. Helena</v>
          </cell>
        </row>
        <row r="12">
          <cell r="A12" t="str">
            <v>South Korea</v>
          </cell>
          <cell r="B12">
            <v>0.87</v>
          </cell>
          <cell r="C12">
            <v>0.13</v>
          </cell>
        </row>
        <row r="13">
          <cell r="A13" t="str">
            <v>Botswana</v>
          </cell>
        </row>
        <row r="14">
          <cell r="A14" t="str">
            <v>Namibia</v>
          </cell>
        </row>
        <row r="15">
          <cell r="A15" t="str">
            <v>Cameroon</v>
          </cell>
        </row>
        <row r="16">
          <cell r="A16" t="str">
            <v>Burundi</v>
          </cell>
        </row>
        <row r="17">
          <cell r="A17" t="str">
            <v>Rwanda</v>
          </cell>
        </row>
        <row r="18">
          <cell r="A18" t="str">
            <v>Ethiopia</v>
          </cell>
        </row>
        <row r="19">
          <cell r="A19" t="str">
            <v>Singapore</v>
          </cell>
          <cell r="B19">
            <v>0.6</v>
          </cell>
          <cell r="C19">
            <v>0.4</v>
          </cell>
        </row>
        <row r="20">
          <cell r="A20" t="str">
            <v>Kosovo</v>
          </cell>
        </row>
        <row r="21">
          <cell r="A21" t="str">
            <v>Hong Kong</v>
          </cell>
          <cell r="B21">
            <v>0.75</v>
          </cell>
          <cell r="C21">
            <v>0.25</v>
          </cell>
        </row>
        <row r="22">
          <cell r="A22" t="str">
            <v>India</v>
          </cell>
          <cell r="B22">
            <v>0.69</v>
          </cell>
          <cell r="C22">
            <v>0.31</v>
          </cell>
        </row>
        <row r="23">
          <cell r="A23" t="str">
            <v>Sri Lanka</v>
          </cell>
          <cell r="B23">
            <v>0.45</v>
          </cell>
          <cell r="C23">
            <v>0.55000000000000004</v>
          </cell>
        </row>
        <row r="24">
          <cell r="A24" t="str">
            <v>Madagascar</v>
          </cell>
        </row>
        <row r="25">
          <cell r="A25" t="str">
            <v>Nepal</v>
          </cell>
        </row>
        <row r="26">
          <cell r="A26" t="str">
            <v>Angola</v>
          </cell>
        </row>
        <row r="27">
          <cell r="A27" t="str">
            <v>Ghana</v>
          </cell>
        </row>
        <row r="28">
          <cell r="A28" t="str">
            <v>Uganda</v>
          </cell>
        </row>
        <row r="29">
          <cell r="A29" t="str">
            <v>Congo - Kinshasa</v>
          </cell>
        </row>
        <row r="30">
          <cell r="A30" t="str">
            <v>Zimbabwe</v>
          </cell>
        </row>
        <row r="31">
          <cell r="A31" t="str">
            <v>Czechia</v>
          </cell>
          <cell r="B31">
            <v>0.83</v>
          </cell>
          <cell r="C31">
            <v>0.17</v>
          </cell>
        </row>
        <row r="32">
          <cell r="A32" t="str">
            <v>Taiwan</v>
          </cell>
          <cell r="B32">
            <v>0.83</v>
          </cell>
          <cell r="C32">
            <v>0.17</v>
          </cell>
        </row>
        <row r="33">
          <cell r="A33" t="str">
            <v>Tunisia</v>
          </cell>
        </row>
        <row r="34">
          <cell r="A34" t="str">
            <v>Malawi</v>
          </cell>
        </row>
        <row r="35">
          <cell r="A35" t="str">
            <v>Iceland</v>
          </cell>
        </row>
        <row r="36">
          <cell r="A36" t="str">
            <v>Fiji</v>
          </cell>
        </row>
        <row r="37">
          <cell r="A37" t="str">
            <v>Israel</v>
          </cell>
          <cell r="B37">
            <v>0.84</v>
          </cell>
          <cell r="C37">
            <v>0.16</v>
          </cell>
        </row>
        <row r="38">
          <cell r="A38" t="str">
            <v>Malta</v>
          </cell>
        </row>
        <row r="39">
          <cell r="A39" t="str">
            <v>Papua New Guinea</v>
          </cell>
        </row>
        <row r="40">
          <cell r="A40" t="str">
            <v>Kenya</v>
          </cell>
        </row>
        <row r="41">
          <cell r="A41" t="str">
            <v>Luxembourg</v>
          </cell>
        </row>
        <row r="42">
          <cell r="A42" t="str">
            <v>Cayman Islands</v>
          </cell>
        </row>
        <row r="43">
          <cell r="A43" t="str">
            <v>Cape Verde</v>
          </cell>
        </row>
        <row r="44">
          <cell r="A44" t="str">
            <v>Turkmenistan</v>
          </cell>
        </row>
        <row r="45">
          <cell r="A45" t="str">
            <v>Afghanistan</v>
          </cell>
        </row>
        <row r="46">
          <cell r="A46" t="str">
            <v>Switzerland</v>
          </cell>
          <cell r="B46">
            <v>0.75</v>
          </cell>
          <cell r="C46">
            <v>0.25</v>
          </cell>
        </row>
        <row r="47">
          <cell r="A47" t="str">
            <v>Barbados</v>
          </cell>
        </row>
        <row r="48">
          <cell r="A48" t="str">
            <v>Uruguay</v>
          </cell>
        </row>
        <row r="49">
          <cell r="A49" t="str">
            <v>Bhutan</v>
          </cell>
        </row>
        <row r="50">
          <cell r="A50" t="str">
            <v>CÃ´te dâ€™Ivoire</v>
          </cell>
        </row>
        <row r="51">
          <cell r="A51" t="str">
            <v>Togo</v>
          </cell>
        </row>
        <row r="52">
          <cell r="A52" t="str">
            <v>Japan</v>
          </cell>
          <cell r="B52">
            <v>0.59</v>
          </cell>
          <cell r="C52">
            <v>0.41</v>
          </cell>
        </row>
        <row r="53">
          <cell r="A53" t="str">
            <v>Germany</v>
          </cell>
          <cell r="B53">
            <v>0.75</v>
          </cell>
          <cell r="C53">
            <v>0.25</v>
          </cell>
        </row>
        <row r="54">
          <cell r="A54" t="str">
            <v>Benin</v>
          </cell>
        </row>
        <row r="55">
          <cell r="A55" t="str">
            <v>Isle of Man</v>
          </cell>
        </row>
        <row r="56">
          <cell r="A56" t="str">
            <v>Macao</v>
          </cell>
        </row>
        <row r="57">
          <cell r="A57" t="str">
            <v>Mauritius</v>
          </cell>
        </row>
        <row r="58">
          <cell r="A58" t="str">
            <v>Norway</v>
          </cell>
          <cell r="B58">
            <v>0.83</v>
          </cell>
          <cell r="C58">
            <v>0.17</v>
          </cell>
        </row>
        <row r="59">
          <cell r="A59" t="str">
            <v>Philippines</v>
          </cell>
          <cell r="B59">
            <v>0.72</v>
          </cell>
          <cell r="C59">
            <v>0.28000000000000003</v>
          </cell>
        </row>
        <row r="60">
          <cell r="A60" t="str">
            <v>Honduras</v>
          </cell>
        </row>
        <row r="61">
          <cell r="A61" t="str">
            <v>Nicaragua</v>
          </cell>
        </row>
        <row r="62">
          <cell r="A62" t="str">
            <v>Senegal</v>
          </cell>
        </row>
        <row r="63">
          <cell r="A63" t="str">
            <v>Panama</v>
          </cell>
        </row>
        <row r="64">
          <cell r="A64" t="str">
            <v>Mozambique</v>
          </cell>
        </row>
        <row r="65">
          <cell r="A65" t="str">
            <v>Zambia</v>
          </cell>
        </row>
        <row r="66">
          <cell r="A66" t="str">
            <v>New Zealand</v>
          </cell>
          <cell r="B66">
            <v>0.75</v>
          </cell>
          <cell r="C66">
            <v>0.25</v>
          </cell>
        </row>
        <row r="67">
          <cell r="A67" t="str">
            <v>El Salvador</v>
          </cell>
        </row>
        <row r="68">
          <cell r="A68" t="str">
            <v>Jersey</v>
          </cell>
        </row>
        <row r="69">
          <cell r="A69" t="str">
            <v>Guyana</v>
          </cell>
        </row>
        <row r="70">
          <cell r="A70" t="str">
            <v>Austria</v>
          </cell>
          <cell r="B70">
            <v>0.77</v>
          </cell>
          <cell r="C70">
            <v>0.23</v>
          </cell>
        </row>
        <row r="71">
          <cell r="A71" t="str">
            <v>Finland</v>
          </cell>
          <cell r="B71">
            <v>0.68</v>
          </cell>
          <cell r="C71">
            <v>0.32</v>
          </cell>
        </row>
        <row r="72">
          <cell r="A72" t="str">
            <v>United States</v>
          </cell>
          <cell r="B72">
            <v>0.75</v>
          </cell>
          <cell r="C72">
            <v>0.25</v>
          </cell>
        </row>
        <row r="73">
          <cell r="A73" t="str">
            <v>Costa Rica</v>
          </cell>
        </row>
        <row r="74">
          <cell r="A74" t="str">
            <v>Sweden</v>
          </cell>
          <cell r="B74">
            <v>0.79</v>
          </cell>
          <cell r="C74">
            <v>0.21</v>
          </cell>
        </row>
        <row r="75">
          <cell r="A75" t="str">
            <v>Tanzania</v>
          </cell>
        </row>
        <row r="76">
          <cell r="A76" t="str">
            <v>Somalia</v>
          </cell>
        </row>
        <row r="77">
          <cell r="A77" t="str">
            <v>Pakistan</v>
          </cell>
          <cell r="B77">
            <v>0.57999999999999996</v>
          </cell>
          <cell r="C77">
            <v>0.42</v>
          </cell>
        </row>
        <row r="78">
          <cell r="A78" t="str">
            <v>Jamaica</v>
          </cell>
        </row>
        <row r="79">
          <cell r="A79" t="str">
            <v>Ecuador</v>
          </cell>
          <cell r="B79">
            <v>0.74</v>
          </cell>
          <cell r="C79">
            <v>0.26</v>
          </cell>
        </row>
        <row r="80">
          <cell r="A80" t="str">
            <v>Russia</v>
          </cell>
          <cell r="B80">
            <v>0.7</v>
          </cell>
          <cell r="C80">
            <v>0.3</v>
          </cell>
        </row>
        <row r="81">
          <cell r="A81" t="str">
            <v>Oman</v>
          </cell>
        </row>
        <row r="82">
          <cell r="A82" t="str">
            <v>Australia</v>
          </cell>
          <cell r="B82">
            <v>0.62</v>
          </cell>
          <cell r="C82">
            <v>0.38</v>
          </cell>
        </row>
        <row r="83">
          <cell r="A83" t="str">
            <v>Estonia</v>
          </cell>
        </row>
        <row r="84">
          <cell r="A84" t="str">
            <v>Ireland</v>
          </cell>
          <cell r="B84">
            <v>0.68</v>
          </cell>
          <cell r="C84">
            <v>0.32</v>
          </cell>
        </row>
        <row r="85">
          <cell r="A85" t="str">
            <v>Belgium</v>
          </cell>
          <cell r="B85">
            <v>0.64</v>
          </cell>
          <cell r="C85">
            <v>0.36</v>
          </cell>
        </row>
        <row r="86">
          <cell r="A86" t="str">
            <v>Mongolia</v>
          </cell>
        </row>
        <row r="87">
          <cell r="A87" t="str">
            <v>Lebanon</v>
          </cell>
        </row>
        <row r="88">
          <cell r="A88" t="str">
            <v>Canada</v>
          </cell>
          <cell r="B88">
            <v>0.72</v>
          </cell>
          <cell r="C88">
            <v>0.28000000000000003</v>
          </cell>
        </row>
        <row r="89">
          <cell r="A89" t="str">
            <v>South Africa</v>
          </cell>
          <cell r="B89">
            <v>0.66</v>
          </cell>
          <cell r="C89">
            <v>0.34</v>
          </cell>
        </row>
        <row r="90">
          <cell r="A90" t="str">
            <v>Slovakia</v>
          </cell>
        </row>
        <row r="91">
          <cell r="A91" t="str">
            <v>Brunei</v>
          </cell>
        </row>
        <row r="92">
          <cell r="A92" t="str">
            <v>Belarus</v>
          </cell>
          <cell r="B92">
            <v>0.61</v>
          </cell>
          <cell r="C92">
            <v>0.39</v>
          </cell>
        </row>
        <row r="93">
          <cell r="A93" t="str">
            <v>Maldives</v>
          </cell>
        </row>
        <row r="94">
          <cell r="A94" t="str">
            <v>Latvia</v>
          </cell>
        </row>
        <row r="95">
          <cell r="A95" t="str">
            <v>Spain</v>
          </cell>
          <cell r="B95">
            <v>0.74</v>
          </cell>
          <cell r="C95">
            <v>0.26</v>
          </cell>
        </row>
        <row r="96">
          <cell r="A96" t="str">
            <v>Guatemala</v>
          </cell>
          <cell r="B96">
            <v>0.69</v>
          </cell>
          <cell r="C96">
            <v>0.31</v>
          </cell>
        </row>
        <row r="97">
          <cell r="A97" t="str">
            <v>Guam</v>
          </cell>
        </row>
        <row r="98">
          <cell r="A98" t="str">
            <v>Portugal</v>
          </cell>
          <cell r="B98">
            <v>0.68</v>
          </cell>
          <cell r="C98">
            <v>0.32</v>
          </cell>
        </row>
        <row r="99">
          <cell r="A99" t="str">
            <v>Malaysia</v>
          </cell>
          <cell r="B99">
            <v>0.56999999999999995</v>
          </cell>
          <cell r="C99">
            <v>0.43</v>
          </cell>
        </row>
        <row r="100">
          <cell r="A100" t="str">
            <v>Netherlands</v>
          </cell>
          <cell r="B100">
            <v>0.67</v>
          </cell>
          <cell r="C100">
            <v>0.33</v>
          </cell>
        </row>
        <row r="101">
          <cell r="A101" t="str">
            <v>Bolivia</v>
          </cell>
          <cell r="B101">
            <v>0.48</v>
          </cell>
          <cell r="C101">
            <v>0.52</v>
          </cell>
        </row>
        <row r="102">
          <cell r="A102" t="str">
            <v>Dominican Republic</v>
          </cell>
          <cell r="B102">
            <v>0.67</v>
          </cell>
          <cell r="C102">
            <v>0.33</v>
          </cell>
        </row>
        <row r="103">
          <cell r="A103" t="str">
            <v>Nigeria</v>
          </cell>
          <cell r="B103">
            <v>0.51</v>
          </cell>
          <cell r="C103">
            <v>0.49</v>
          </cell>
        </row>
        <row r="104">
          <cell r="A104" t="str">
            <v>Cambodia</v>
          </cell>
        </row>
        <row r="105">
          <cell r="A105" t="str">
            <v>Bangladesh</v>
          </cell>
          <cell r="B105">
            <v>0.71</v>
          </cell>
          <cell r="C105">
            <v>0.28999999999999998</v>
          </cell>
        </row>
        <row r="106">
          <cell r="A106" t="str">
            <v>Hungary</v>
          </cell>
          <cell r="B106">
            <v>0.82</v>
          </cell>
          <cell r="C106">
            <v>0.18</v>
          </cell>
        </row>
        <row r="107">
          <cell r="A107" t="str">
            <v>United Kingdom</v>
          </cell>
          <cell r="B107">
            <v>0.6</v>
          </cell>
          <cell r="C107">
            <v>0.4</v>
          </cell>
        </row>
        <row r="108">
          <cell r="A108" t="str">
            <v>United Arab Emirates</v>
          </cell>
          <cell r="B108">
            <v>0.65</v>
          </cell>
          <cell r="C108">
            <v>0.35</v>
          </cell>
        </row>
        <row r="109">
          <cell r="A109" t="str">
            <v>Trinidad &amp; Tobago</v>
          </cell>
        </row>
        <row r="110">
          <cell r="A110" t="str">
            <v>Suriname</v>
          </cell>
        </row>
        <row r="111">
          <cell r="A111" t="str">
            <v>Slovenia</v>
          </cell>
        </row>
        <row r="112">
          <cell r="A112" t="str">
            <v>Vietnam</v>
          </cell>
          <cell r="B112">
            <v>0.37</v>
          </cell>
          <cell r="C112">
            <v>0.63</v>
          </cell>
        </row>
        <row r="113">
          <cell r="A113" t="str">
            <v>Poland</v>
          </cell>
          <cell r="B113">
            <v>0.56000000000000005</v>
          </cell>
          <cell r="C113">
            <v>0.44</v>
          </cell>
        </row>
        <row r="114">
          <cell r="A114" t="str">
            <v>Colombia</v>
          </cell>
          <cell r="B114">
            <v>0.72</v>
          </cell>
          <cell r="C114">
            <v>0.28000000000000003</v>
          </cell>
        </row>
        <row r="115">
          <cell r="A115" t="str">
            <v>Laos</v>
          </cell>
        </row>
        <row r="116">
          <cell r="A116" t="str">
            <v>Denmark</v>
          </cell>
          <cell r="B116">
            <v>0.59</v>
          </cell>
          <cell r="C116">
            <v>0.41</v>
          </cell>
        </row>
        <row r="117">
          <cell r="A117" t="str">
            <v>Morocco</v>
          </cell>
          <cell r="B117">
            <v>0.8</v>
          </cell>
          <cell r="C117">
            <v>0.2</v>
          </cell>
        </row>
        <row r="118">
          <cell r="A118" t="str">
            <v>Mexico</v>
          </cell>
          <cell r="B118">
            <v>0.59</v>
          </cell>
          <cell r="C118">
            <v>0.41</v>
          </cell>
        </row>
        <row r="119">
          <cell r="A119" t="str">
            <v>Iran</v>
          </cell>
          <cell r="B119">
            <v>0.82</v>
          </cell>
          <cell r="C119">
            <v>0.18</v>
          </cell>
        </row>
        <row r="120">
          <cell r="A120" t="str">
            <v>Indonesia</v>
          </cell>
          <cell r="B120">
            <v>0.68</v>
          </cell>
          <cell r="C120">
            <v>0.32</v>
          </cell>
        </row>
        <row r="121">
          <cell r="A121" t="str">
            <v>Italy</v>
          </cell>
          <cell r="B121">
            <v>0.81</v>
          </cell>
          <cell r="C121">
            <v>0.19</v>
          </cell>
        </row>
        <row r="122">
          <cell r="A122" t="str">
            <v>Romania</v>
          </cell>
          <cell r="B122">
            <v>0.52</v>
          </cell>
          <cell r="C122">
            <v>0.48</v>
          </cell>
        </row>
        <row r="123">
          <cell r="A123" t="str">
            <v>Qatar</v>
          </cell>
        </row>
        <row r="124">
          <cell r="A124" t="str">
            <v>Burkina Faso</v>
          </cell>
        </row>
        <row r="125">
          <cell r="A125" t="str">
            <v>France</v>
          </cell>
          <cell r="B125">
            <v>0.74</v>
          </cell>
          <cell r="C125">
            <v>0.26</v>
          </cell>
        </row>
        <row r="126">
          <cell r="A126" t="str">
            <v>Argentina</v>
          </cell>
          <cell r="B126">
            <v>0.78</v>
          </cell>
          <cell r="C126">
            <v>0.22</v>
          </cell>
        </row>
        <row r="127">
          <cell r="A127" t="str">
            <v>Chile</v>
          </cell>
          <cell r="B127">
            <v>0.46</v>
          </cell>
          <cell r="C127">
            <v>0.54</v>
          </cell>
        </row>
        <row r="128">
          <cell r="A128" t="str">
            <v>Bulgaria</v>
          </cell>
          <cell r="B128">
            <v>0.63</v>
          </cell>
          <cell r="C128">
            <v>0.37</v>
          </cell>
        </row>
        <row r="129">
          <cell r="A129" t="str">
            <v>Brazil</v>
          </cell>
          <cell r="B129">
            <v>0.53</v>
          </cell>
          <cell r="C129">
            <v>0.47</v>
          </cell>
        </row>
        <row r="130">
          <cell r="A130" t="str">
            <v>Uzbekistan</v>
          </cell>
        </row>
        <row r="131">
          <cell r="A131" t="str">
            <v>Cyprus</v>
          </cell>
        </row>
        <row r="132">
          <cell r="A132" t="str">
            <v>Moldova</v>
          </cell>
        </row>
        <row r="133">
          <cell r="A133" t="str">
            <v>Peru</v>
          </cell>
          <cell r="B133">
            <v>0.64</v>
          </cell>
          <cell r="C133">
            <v>0.36</v>
          </cell>
        </row>
        <row r="134">
          <cell r="A134" t="str">
            <v>Ukraine</v>
          </cell>
          <cell r="B134">
            <v>0.67</v>
          </cell>
          <cell r="C134">
            <v>0.33</v>
          </cell>
        </row>
        <row r="135">
          <cell r="A135" t="str">
            <v>Greece</v>
          </cell>
          <cell r="B135">
            <v>0.72</v>
          </cell>
          <cell r="C135">
            <v>0.28000000000000003</v>
          </cell>
        </row>
        <row r="136">
          <cell r="A136" t="str">
            <v>Bahrain</v>
          </cell>
        </row>
        <row r="137">
          <cell r="A137" t="str">
            <v>Paraguay</v>
          </cell>
        </row>
        <row r="138">
          <cell r="A138" t="str">
            <v>Lithuania</v>
          </cell>
          <cell r="B138">
            <v>0.65</v>
          </cell>
          <cell r="C138">
            <v>0.35</v>
          </cell>
        </row>
        <row r="139">
          <cell r="A139" t="str">
            <v>Guadeloupe</v>
          </cell>
        </row>
        <row r="140">
          <cell r="A140" t="str">
            <v>Croatia</v>
          </cell>
          <cell r="B140">
            <v>0.57999999999999996</v>
          </cell>
          <cell r="C140">
            <v>0.42</v>
          </cell>
        </row>
        <row r="141">
          <cell r="A141" t="str">
            <v>Martinique</v>
          </cell>
        </row>
        <row r="142">
          <cell r="A142" t="str">
            <v>Jordan</v>
          </cell>
        </row>
        <row r="143">
          <cell r="A143" t="str">
            <v>Sudan</v>
          </cell>
        </row>
        <row r="144">
          <cell r="A144" t="str">
            <v>Serbia</v>
          </cell>
        </row>
        <row r="145">
          <cell r="A145" t="str">
            <v>Puerto Rico</v>
          </cell>
        </row>
        <row r="146">
          <cell r="A146" t="str">
            <v>RÃ©union</v>
          </cell>
        </row>
        <row r="147">
          <cell r="A147" t="str">
            <v>North Macedonia</v>
          </cell>
        </row>
        <row r="148">
          <cell r="A148" t="str">
            <v>Albania</v>
          </cell>
        </row>
        <row r="149">
          <cell r="A149" t="str">
            <v>Kyrgyzstan</v>
          </cell>
        </row>
        <row r="150">
          <cell r="A150" t="str">
            <v>Kazakhstan</v>
          </cell>
          <cell r="B150">
            <v>0.51</v>
          </cell>
          <cell r="C150">
            <v>0.49</v>
          </cell>
        </row>
        <row r="151">
          <cell r="A151" t="str">
            <v>Yemen</v>
          </cell>
        </row>
        <row r="152">
          <cell r="A152" t="str">
            <v>Armenia</v>
          </cell>
        </row>
        <row r="153">
          <cell r="A153" t="str">
            <v>Liberia</v>
          </cell>
        </row>
        <row r="154">
          <cell r="A154" t="str">
            <v>Algeria</v>
          </cell>
          <cell r="B154">
            <v>0.78</v>
          </cell>
          <cell r="C154">
            <v>0.22</v>
          </cell>
        </row>
        <row r="155">
          <cell r="A155" t="str">
            <v>Tajikistan</v>
          </cell>
        </row>
        <row r="156">
          <cell r="A156" t="str">
            <v>Kuwait</v>
          </cell>
        </row>
        <row r="157">
          <cell r="A157" t="str">
            <v>Venezuela</v>
          </cell>
          <cell r="B157">
            <v>0.6</v>
          </cell>
          <cell r="C157">
            <v>0.4</v>
          </cell>
        </row>
        <row r="158">
          <cell r="A158" t="str">
            <v>Mali</v>
          </cell>
        </row>
        <row r="159">
          <cell r="A159" t="str">
            <v>Syria</v>
          </cell>
        </row>
        <row r="160">
          <cell r="A160" t="str">
            <v>Bosnia &amp; Herzegovina</v>
          </cell>
        </row>
        <row r="161">
          <cell r="A161" t="str">
            <v>Guinea</v>
          </cell>
        </row>
        <row r="162">
          <cell r="A162" t="str">
            <v>Georgia</v>
          </cell>
        </row>
        <row r="163">
          <cell r="A163" t="str">
            <v>Thailand</v>
          </cell>
          <cell r="B163">
            <v>0.7</v>
          </cell>
          <cell r="C163">
            <v>0.3</v>
          </cell>
        </row>
        <row r="164">
          <cell r="A164" t="str">
            <v>Libya</v>
          </cell>
        </row>
        <row r="165">
          <cell r="A165" t="str">
            <v>Saudi Arabia</v>
          </cell>
          <cell r="B165">
            <v>0.72</v>
          </cell>
          <cell r="C165">
            <v>0.28000000000000003</v>
          </cell>
        </row>
        <row r="166">
          <cell r="A166" t="str">
            <v>Montenegro</v>
          </cell>
        </row>
        <row r="167">
          <cell r="A167" t="str">
            <v>Palestine</v>
          </cell>
        </row>
        <row r="168">
          <cell r="A168" t="str">
            <v>Egypt</v>
          </cell>
          <cell r="B168">
            <v>0.81</v>
          </cell>
          <cell r="C168">
            <v>0.19</v>
          </cell>
        </row>
        <row r="169">
          <cell r="A169" t="str">
            <v>Azerbaijan</v>
          </cell>
        </row>
        <row r="170">
          <cell r="A170" t="str">
            <v>Turkey</v>
          </cell>
          <cell r="B170">
            <v>0.64</v>
          </cell>
          <cell r="C170">
            <v>0.36</v>
          </cell>
        </row>
        <row r="171">
          <cell r="A171" t="str">
            <v>Iraq</v>
          </cell>
        </row>
        <row r="172">
          <cell r="A172" t="str">
            <v>North Korea</v>
          </cell>
        </row>
        <row r="173">
          <cell r="A173" t="str">
            <v>British Indian Ocean Territory</v>
          </cell>
        </row>
        <row r="174">
          <cell r="A174" t="str">
            <v>Palau</v>
          </cell>
        </row>
        <row r="175">
          <cell r="A175" t="str">
            <v>Eritrea</v>
          </cell>
        </row>
        <row r="176">
          <cell r="A176" t="str">
            <v>Micronesia</v>
          </cell>
        </row>
        <row r="177">
          <cell r="A177" t="str">
            <v>SÃ£o TomÃ© &amp; PrÃ­ncipe</v>
          </cell>
        </row>
        <row r="178">
          <cell r="A178" t="str">
            <v>Guinea-Bissau</v>
          </cell>
        </row>
        <row r="179">
          <cell r="A179" t="str">
            <v>Vanuatu</v>
          </cell>
        </row>
        <row r="180">
          <cell r="A180" t="str">
            <v>Turks &amp; Caicos Islands</v>
          </cell>
        </row>
        <row r="181">
          <cell r="A181" t="str">
            <v>Solomon Islands</v>
          </cell>
        </row>
        <row r="182">
          <cell r="A182" t="str">
            <v>Greenland</v>
          </cell>
        </row>
        <row r="183">
          <cell r="A183" t="str">
            <v>Central African Republic</v>
          </cell>
        </row>
        <row r="184">
          <cell r="A184" t="str">
            <v>Caribbean Netherlands</v>
          </cell>
        </row>
        <row r="185">
          <cell r="A185" t="str">
            <v>Comoros</v>
          </cell>
        </row>
        <row r="186">
          <cell r="A186" t="str">
            <v>St. Pierre &amp; Miquelon</v>
          </cell>
        </row>
        <row r="187">
          <cell r="A187" t="str">
            <v>Tonga</v>
          </cell>
        </row>
        <row r="188">
          <cell r="A188" t="str">
            <v>Liechtenstein</v>
          </cell>
        </row>
        <row r="189">
          <cell r="A189" t="str">
            <v>Antigua &amp; Barbuda</v>
          </cell>
        </row>
        <row r="190">
          <cell r="A190" t="str">
            <v>Samoa</v>
          </cell>
        </row>
        <row r="191">
          <cell r="A191" t="str">
            <v>Dominica</v>
          </cell>
        </row>
        <row r="192">
          <cell r="A192" t="str">
            <v>Faroe Islands</v>
          </cell>
        </row>
        <row r="193">
          <cell r="A193" t="str">
            <v>Northern Mariana Islands</v>
          </cell>
        </row>
        <row r="194">
          <cell r="A194" t="str">
            <v>Seychelles</v>
          </cell>
        </row>
        <row r="195">
          <cell r="A195" t="str">
            <v>Anguilla</v>
          </cell>
        </row>
        <row r="196">
          <cell r="A196" t="str">
            <v>St. BarthÃ©lemy</v>
          </cell>
        </row>
        <row r="197">
          <cell r="A197" t="str">
            <v>St. Martin</v>
          </cell>
        </row>
        <row r="198">
          <cell r="A198" t="str">
            <v>Niger</v>
          </cell>
        </row>
        <row r="199">
          <cell r="A199" t="str">
            <v>Congo - Brazzaville</v>
          </cell>
        </row>
        <row r="200">
          <cell r="A200" t="str">
            <v>U.S. Virgin Islands</v>
          </cell>
        </row>
        <row r="201">
          <cell r="A201" t="str">
            <v>San Marino</v>
          </cell>
        </row>
        <row r="202">
          <cell r="A202" t="str">
            <v>New Caledonia</v>
          </cell>
        </row>
        <row r="203">
          <cell r="A203" t="str">
            <v>Lesotho</v>
          </cell>
        </row>
        <row r="204">
          <cell r="A204" t="str">
            <v>Gibraltar</v>
          </cell>
        </row>
        <row r="205">
          <cell r="A205" t="str">
            <v>British Virgin Islands</v>
          </cell>
        </row>
        <row r="206">
          <cell r="A206" t="str">
            <v>Equatorial Guinea</v>
          </cell>
        </row>
        <row r="207">
          <cell r="A207" t="str">
            <v>French Polynesia</v>
          </cell>
        </row>
        <row r="208">
          <cell r="A208" t="str">
            <v>Timor-Leste</v>
          </cell>
        </row>
        <row r="209">
          <cell r="A209" t="str">
            <v>Ã…land Islands</v>
          </cell>
        </row>
        <row r="210">
          <cell r="A210" t="str">
            <v>Djibouti</v>
          </cell>
        </row>
        <row r="211">
          <cell r="A211" t="str">
            <v>South Sudan</v>
          </cell>
        </row>
        <row r="212">
          <cell r="A212" t="str">
            <v>Belize</v>
          </cell>
        </row>
        <row r="213">
          <cell r="A213" t="str">
            <v>Monaco</v>
          </cell>
        </row>
        <row r="214">
          <cell r="A214" t="str">
            <v>Guernsey</v>
          </cell>
        </row>
        <row r="215">
          <cell r="A215" t="str">
            <v>Sint Maarten</v>
          </cell>
        </row>
        <row r="216">
          <cell r="A216" t="str">
            <v>St. Vincent &amp; Grenadines</v>
          </cell>
        </row>
        <row r="217">
          <cell r="A217" t="str">
            <v>St. Kitts &amp; Nevis</v>
          </cell>
        </row>
        <row r="218">
          <cell r="A218" t="str">
            <v>Gabon</v>
          </cell>
        </row>
        <row r="219">
          <cell r="A219" t="str">
            <v>Andorra</v>
          </cell>
        </row>
        <row r="220">
          <cell r="A220" t="str">
            <v>Grenada</v>
          </cell>
        </row>
        <row r="221">
          <cell r="A221" t="str">
            <v>Bermuda</v>
          </cell>
        </row>
        <row r="222">
          <cell r="A222" t="str">
            <v>Chad</v>
          </cell>
        </row>
        <row r="223">
          <cell r="A223" t="str">
            <v>St. Lucia</v>
          </cell>
        </row>
        <row r="224">
          <cell r="A224" t="str">
            <v>Gambia</v>
          </cell>
        </row>
        <row r="225">
          <cell r="A225" t="str">
            <v>Sierra Leone</v>
          </cell>
        </row>
        <row r="226">
          <cell r="A226" t="str">
            <v>Mauritania</v>
          </cell>
        </row>
        <row r="227">
          <cell r="A227" t="str">
            <v>Bahamas</v>
          </cell>
        </row>
        <row r="228">
          <cell r="A228" t="str">
            <v>French Guiana</v>
          </cell>
        </row>
        <row r="229">
          <cell r="A229" t="str">
            <v>American Samoa</v>
          </cell>
        </row>
        <row r="230">
          <cell r="A230" t="str">
            <v>Antarctica</v>
          </cell>
        </row>
        <row r="231">
          <cell r="A231" t="str">
            <v>French Southern Territories</v>
          </cell>
        </row>
        <row r="232">
          <cell r="A232" t="str">
            <v>Bouvet Island</v>
          </cell>
        </row>
        <row r="233">
          <cell r="A233" t="str">
            <v>Cocos (Keeling) Islands</v>
          </cell>
        </row>
        <row r="234">
          <cell r="A234" t="str">
            <v>Cook Islands</v>
          </cell>
        </row>
        <row r="235">
          <cell r="A235" t="str">
            <v>Christmas Island</v>
          </cell>
        </row>
        <row r="236">
          <cell r="A236" t="str">
            <v>Western Sahara</v>
          </cell>
        </row>
        <row r="237">
          <cell r="A237" t="str">
            <v>Falkland Islands (Islas Malvinas)</v>
          </cell>
        </row>
        <row r="238">
          <cell r="A238" t="str">
            <v>Heard &amp; McDonald Islands</v>
          </cell>
        </row>
        <row r="239">
          <cell r="A239" t="str">
            <v>Kiribati</v>
          </cell>
        </row>
        <row r="240">
          <cell r="A240" t="str">
            <v>Marshall Islands</v>
          </cell>
        </row>
        <row r="241">
          <cell r="A241" t="str">
            <v>Montserrat</v>
          </cell>
        </row>
        <row r="242">
          <cell r="A242" t="str">
            <v>Mayotte</v>
          </cell>
        </row>
        <row r="243">
          <cell r="A243" t="str">
            <v>Norfolk Island</v>
          </cell>
        </row>
        <row r="244">
          <cell r="A244" t="str">
            <v>Niue</v>
          </cell>
        </row>
        <row r="245">
          <cell r="A245" t="str">
            <v>Nauru</v>
          </cell>
        </row>
        <row r="246">
          <cell r="A246" t="str">
            <v>Pitcairn Islands</v>
          </cell>
        </row>
        <row r="247">
          <cell r="A247" t="str">
            <v>South Georgia &amp; South Sandwich Islands</v>
          </cell>
        </row>
        <row r="248">
          <cell r="A248" t="str">
            <v>Svalbard &amp; Jan Mayen</v>
          </cell>
        </row>
        <row r="249">
          <cell r="A249" t="str">
            <v>Tokelau</v>
          </cell>
        </row>
        <row r="250">
          <cell r="A250" t="str">
            <v>Tuvalu</v>
          </cell>
        </row>
        <row r="251">
          <cell r="A251" t="str">
            <v>U.S. Outlying Islands</v>
          </cell>
        </row>
        <row r="252">
          <cell r="A252" t="str">
            <v>Vatican City</v>
          </cell>
        </row>
        <row r="253">
          <cell r="A253" t="str">
            <v>Wallis &amp; Futuna</v>
          </cell>
        </row>
      </sheetData>
    </sheetDataSet>
  </externalBook>
</externalLink>
</file>

<file path=xl/externalLinks/externalLink2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5)"/>
    </sheetNames>
    <sheetDataSet>
      <sheetData sheetId="0">
        <row r="1">
          <cell r="A1" t="str">
            <v>Kategori: TÃ¼m kategoriler</v>
          </cell>
        </row>
        <row r="3">
          <cell r="A3" t="str">
            <v>Ãœlke</v>
          </cell>
          <cell r="B3" t="str">
            <v>SayÄ± deÄŸil: (2014)</v>
          </cell>
          <cell r="C3" t="str">
            <v>Yapay Sinir AÄŸlarÄ±: (2014)</v>
          </cell>
        </row>
        <row r="4">
          <cell r="A4" t="str">
            <v>Haiti</v>
          </cell>
          <cell r="B4">
            <v>1</v>
          </cell>
        </row>
        <row r="5">
          <cell r="A5" t="str">
            <v>CuraÃ§ao</v>
          </cell>
        </row>
        <row r="6">
          <cell r="A6" t="str">
            <v>Aruba</v>
          </cell>
        </row>
        <row r="7">
          <cell r="A7" t="str">
            <v>Myanmar (Burma)</v>
          </cell>
        </row>
        <row r="8">
          <cell r="A8" t="str">
            <v>Cuba</v>
          </cell>
        </row>
        <row r="9">
          <cell r="A9" t="str">
            <v>China</v>
          </cell>
          <cell r="B9">
            <v>0.26</v>
          </cell>
          <cell r="C9">
            <v>0.74</v>
          </cell>
        </row>
        <row r="10">
          <cell r="A10" t="str">
            <v>Croatia</v>
          </cell>
          <cell r="B10">
            <v>0.18</v>
          </cell>
          <cell r="C10">
            <v>0.82</v>
          </cell>
        </row>
        <row r="11">
          <cell r="A11" t="str">
            <v>Kosovo</v>
          </cell>
          <cell r="B11">
            <v>1</v>
          </cell>
        </row>
        <row r="12">
          <cell r="A12" t="str">
            <v>Sri Lanka</v>
          </cell>
          <cell r="B12">
            <v>0.7</v>
          </cell>
          <cell r="C12">
            <v>0.3</v>
          </cell>
        </row>
        <row r="13">
          <cell r="A13" t="str">
            <v>South Korea</v>
          </cell>
          <cell r="B13">
            <v>0.22</v>
          </cell>
          <cell r="C13">
            <v>0.78</v>
          </cell>
        </row>
        <row r="14">
          <cell r="A14" t="str">
            <v>Turkmenistan</v>
          </cell>
        </row>
        <row r="15">
          <cell r="A15" t="str">
            <v>Singapore</v>
          </cell>
          <cell r="B15">
            <v>0.69</v>
          </cell>
          <cell r="C15">
            <v>0.31</v>
          </cell>
        </row>
        <row r="16">
          <cell r="A16" t="str">
            <v>Iran</v>
          </cell>
          <cell r="B16">
            <v>0.12</v>
          </cell>
          <cell r="C16">
            <v>0.88</v>
          </cell>
        </row>
        <row r="17">
          <cell r="A17" t="str">
            <v>Tanzania</v>
          </cell>
        </row>
        <row r="18">
          <cell r="A18" t="str">
            <v>Maldives</v>
          </cell>
        </row>
        <row r="19">
          <cell r="A19" t="str">
            <v>Cambodia</v>
          </cell>
        </row>
        <row r="20">
          <cell r="A20" t="str">
            <v>Nepal</v>
          </cell>
        </row>
        <row r="21">
          <cell r="A21" t="str">
            <v>Bolivia</v>
          </cell>
          <cell r="B21">
            <v>0.78</v>
          </cell>
          <cell r="C21">
            <v>0.22</v>
          </cell>
        </row>
        <row r="22">
          <cell r="A22" t="str">
            <v>Zimbabwe</v>
          </cell>
        </row>
        <row r="23">
          <cell r="A23" t="str">
            <v>Fiji</v>
          </cell>
        </row>
        <row r="24">
          <cell r="A24" t="str">
            <v>Nigeria</v>
          </cell>
          <cell r="B24">
            <v>0.52</v>
          </cell>
          <cell r="C24">
            <v>0.48</v>
          </cell>
        </row>
        <row r="25">
          <cell r="A25" t="str">
            <v>India</v>
          </cell>
          <cell r="B25">
            <v>0.5</v>
          </cell>
          <cell r="C25">
            <v>0.5</v>
          </cell>
        </row>
        <row r="26">
          <cell r="A26" t="str">
            <v>Vietnam</v>
          </cell>
          <cell r="B26">
            <v>0.91</v>
          </cell>
          <cell r="C26">
            <v>0.09</v>
          </cell>
        </row>
        <row r="27">
          <cell r="A27" t="str">
            <v>Japan</v>
          </cell>
          <cell r="B27">
            <v>0.83</v>
          </cell>
          <cell r="C27">
            <v>0.17</v>
          </cell>
        </row>
        <row r="28">
          <cell r="A28" t="str">
            <v>Bhutan</v>
          </cell>
        </row>
        <row r="29">
          <cell r="A29" t="str">
            <v>Pakistan</v>
          </cell>
          <cell r="B29">
            <v>0.56000000000000005</v>
          </cell>
          <cell r="C29">
            <v>0.44</v>
          </cell>
        </row>
        <row r="30">
          <cell r="A30" t="str">
            <v>Ethiopia</v>
          </cell>
        </row>
        <row r="31">
          <cell r="A31" t="str">
            <v>Romania</v>
          </cell>
          <cell r="B31">
            <v>0.87</v>
          </cell>
          <cell r="C31">
            <v>0.13</v>
          </cell>
        </row>
        <row r="32">
          <cell r="A32" t="str">
            <v>Chile</v>
          </cell>
          <cell r="B32">
            <v>0.81</v>
          </cell>
          <cell r="C32">
            <v>0.19</v>
          </cell>
        </row>
        <row r="33">
          <cell r="A33" t="str">
            <v>Iceland</v>
          </cell>
        </row>
        <row r="34">
          <cell r="A34" t="str">
            <v>Malaysia</v>
          </cell>
          <cell r="B34">
            <v>0.57999999999999996</v>
          </cell>
          <cell r="C34">
            <v>0.42</v>
          </cell>
        </row>
        <row r="35">
          <cell r="A35" t="str">
            <v>Hong Kong</v>
          </cell>
          <cell r="B35">
            <v>0.57999999999999996</v>
          </cell>
          <cell r="C35">
            <v>0.42</v>
          </cell>
        </row>
        <row r="36">
          <cell r="A36" t="str">
            <v>Poland</v>
          </cell>
          <cell r="B36">
            <v>0.73</v>
          </cell>
          <cell r="C36">
            <v>0.27</v>
          </cell>
        </row>
        <row r="37">
          <cell r="A37" t="str">
            <v>Kenya</v>
          </cell>
        </row>
        <row r="38">
          <cell r="A38" t="str">
            <v>Brazil</v>
          </cell>
          <cell r="B38">
            <v>0.84</v>
          </cell>
          <cell r="C38">
            <v>0.16</v>
          </cell>
        </row>
        <row r="39">
          <cell r="A39" t="str">
            <v>Macao</v>
          </cell>
        </row>
        <row r="40">
          <cell r="A40" t="str">
            <v>Brunei</v>
          </cell>
        </row>
        <row r="41">
          <cell r="A41" t="str">
            <v>Afghanistan</v>
          </cell>
        </row>
        <row r="42">
          <cell r="A42" t="str">
            <v>Australia</v>
          </cell>
          <cell r="B42">
            <v>0.68</v>
          </cell>
          <cell r="C42">
            <v>0.32</v>
          </cell>
        </row>
        <row r="43">
          <cell r="A43" t="str">
            <v>Ghana</v>
          </cell>
        </row>
        <row r="44">
          <cell r="A44" t="str">
            <v>Botswana</v>
          </cell>
        </row>
        <row r="45">
          <cell r="A45" t="str">
            <v>Benin</v>
          </cell>
        </row>
        <row r="46">
          <cell r="A46" t="str">
            <v>Belarus</v>
          </cell>
          <cell r="B46">
            <v>0.69</v>
          </cell>
          <cell r="C46">
            <v>0.31</v>
          </cell>
        </row>
        <row r="47">
          <cell r="A47" t="str">
            <v>Denmark</v>
          </cell>
          <cell r="B47">
            <v>0.81</v>
          </cell>
          <cell r="C47">
            <v>0.19</v>
          </cell>
        </row>
        <row r="48">
          <cell r="A48" t="str">
            <v>Luxembourg</v>
          </cell>
        </row>
        <row r="49">
          <cell r="A49" t="str">
            <v>Kyrgyzstan</v>
          </cell>
        </row>
        <row r="50">
          <cell r="A50" t="str">
            <v>Moldova</v>
          </cell>
        </row>
        <row r="51">
          <cell r="A51" t="str">
            <v>United Kingdom</v>
          </cell>
          <cell r="B51">
            <v>0.67</v>
          </cell>
          <cell r="C51">
            <v>0.33</v>
          </cell>
        </row>
        <row r="52">
          <cell r="A52" t="str">
            <v>Albania</v>
          </cell>
        </row>
        <row r="53">
          <cell r="A53" t="str">
            <v>Bangladesh</v>
          </cell>
          <cell r="B53">
            <v>0.39</v>
          </cell>
          <cell r="C53">
            <v>0.61</v>
          </cell>
        </row>
        <row r="54">
          <cell r="A54" t="str">
            <v>Belgium</v>
          </cell>
          <cell r="B54">
            <v>0.81</v>
          </cell>
          <cell r="C54">
            <v>0.19</v>
          </cell>
        </row>
        <row r="55">
          <cell r="A55" t="str">
            <v>Mexico</v>
          </cell>
          <cell r="B55">
            <v>0.73</v>
          </cell>
          <cell r="C55">
            <v>0.27</v>
          </cell>
        </row>
        <row r="56">
          <cell r="A56" t="str">
            <v>Taiwan</v>
          </cell>
          <cell r="B56">
            <v>0.36</v>
          </cell>
          <cell r="C56">
            <v>0.64</v>
          </cell>
        </row>
        <row r="57">
          <cell r="A57" t="str">
            <v>Mozambique</v>
          </cell>
        </row>
        <row r="58">
          <cell r="A58" t="str">
            <v>Nicaragua</v>
          </cell>
        </row>
        <row r="59">
          <cell r="A59" t="str">
            <v>Qatar</v>
          </cell>
        </row>
        <row r="60">
          <cell r="A60" t="str">
            <v>Kazakhstan</v>
          </cell>
        </row>
        <row r="61">
          <cell r="A61" t="str">
            <v>Czechia</v>
          </cell>
          <cell r="B61">
            <v>0.38</v>
          </cell>
          <cell r="C61">
            <v>0.62</v>
          </cell>
        </row>
        <row r="62">
          <cell r="A62" t="str">
            <v>Uzbekistan</v>
          </cell>
        </row>
        <row r="63">
          <cell r="A63" t="str">
            <v>North Macedonia</v>
          </cell>
        </row>
        <row r="64">
          <cell r="A64" t="str">
            <v>South Africa</v>
          </cell>
          <cell r="B64">
            <v>0.56999999999999995</v>
          </cell>
          <cell r="C64">
            <v>0.43</v>
          </cell>
        </row>
        <row r="65">
          <cell r="A65" t="str">
            <v>Finland</v>
          </cell>
          <cell r="B65">
            <v>0.72</v>
          </cell>
          <cell r="C65">
            <v>0.28000000000000003</v>
          </cell>
        </row>
        <row r="66">
          <cell r="A66" t="str">
            <v>Lebanon</v>
          </cell>
        </row>
        <row r="67">
          <cell r="A67" t="str">
            <v>Armenia</v>
          </cell>
        </row>
        <row r="68">
          <cell r="A68" t="str">
            <v>Malta</v>
          </cell>
        </row>
        <row r="69">
          <cell r="A69" t="str">
            <v>Bahrain</v>
          </cell>
        </row>
        <row r="70">
          <cell r="A70" t="str">
            <v>Ireland</v>
          </cell>
          <cell r="B70">
            <v>0.65</v>
          </cell>
          <cell r="C70">
            <v>0.35</v>
          </cell>
        </row>
        <row r="71">
          <cell r="A71" t="str">
            <v>Syria</v>
          </cell>
        </row>
        <row r="72">
          <cell r="A72" t="str">
            <v>Cameroon</v>
          </cell>
        </row>
        <row r="73">
          <cell r="A73" t="str">
            <v>Tajikistan</v>
          </cell>
        </row>
        <row r="74">
          <cell r="A74" t="str">
            <v>United Arab Emirates</v>
          </cell>
          <cell r="B74">
            <v>0.69</v>
          </cell>
          <cell r="C74">
            <v>0.31</v>
          </cell>
        </row>
        <row r="75">
          <cell r="A75" t="str">
            <v>Dominican Republic</v>
          </cell>
        </row>
        <row r="76">
          <cell r="A76" t="str">
            <v>Madagascar</v>
          </cell>
        </row>
        <row r="77">
          <cell r="A77" t="str">
            <v>Trinidad &amp; Tobago</v>
          </cell>
        </row>
        <row r="78">
          <cell r="A78" t="str">
            <v>St. Helena</v>
          </cell>
        </row>
        <row r="79">
          <cell r="A79" t="str">
            <v>Tunisia</v>
          </cell>
        </row>
        <row r="80">
          <cell r="A80" t="str">
            <v>Sudan</v>
          </cell>
        </row>
        <row r="81">
          <cell r="A81" t="str">
            <v>Philippines</v>
          </cell>
          <cell r="B81">
            <v>0.56000000000000005</v>
          </cell>
          <cell r="C81">
            <v>0.44</v>
          </cell>
        </row>
        <row r="82">
          <cell r="A82" t="str">
            <v>Mauritius</v>
          </cell>
        </row>
        <row r="83">
          <cell r="A83" t="str">
            <v>Bulgaria</v>
          </cell>
          <cell r="B83">
            <v>0.75</v>
          </cell>
          <cell r="C83">
            <v>0.25</v>
          </cell>
        </row>
        <row r="84">
          <cell r="A84" t="str">
            <v>Russia</v>
          </cell>
          <cell r="B84">
            <v>0.57999999999999996</v>
          </cell>
          <cell r="C84">
            <v>0.42</v>
          </cell>
        </row>
        <row r="85">
          <cell r="A85" t="str">
            <v>Netherlands</v>
          </cell>
          <cell r="B85">
            <v>0.76</v>
          </cell>
          <cell r="C85">
            <v>0.24</v>
          </cell>
        </row>
        <row r="86">
          <cell r="A86" t="str">
            <v>Portugal</v>
          </cell>
          <cell r="B86">
            <v>0.69</v>
          </cell>
          <cell r="C86">
            <v>0.31</v>
          </cell>
        </row>
        <row r="87">
          <cell r="A87" t="str">
            <v>Azerbaijan</v>
          </cell>
        </row>
        <row r="88">
          <cell r="A88" t="str">
            <v>Namibia</v>
          </cell>
        </row>
        <row r="89">
          <cell r="A89" t="str">
            <v>Switzerland</v>
          </cell>
          <cell r="B89">
            <v>0.69</v>
          </cell>
          <cell r="C89">
            <v>0.31</v>
          </cell>
        </row>
        <row r="90">
          <cell r="A90" t="str">
            <v>Guatemala</v>
          </cell>
        </row>
        <row r="91">
          <cell r="A91" t="str">
            <v>Germany</v>
          </cell>
          <cell r="B91">
            <v>0.75</v>
          </cell>
          <cell r="C91">
            <v>0.25</v>
          </cell>
        </row>
        <row r="92">
          <cell r="A92" t="str">
            <v>Indonesia</v>
          </cell>
          <cell r="B92">
            <v>0.48</v>
          </cell>
          <cell r="C92">
            <v>0.52</v>
          </cell>
        </row>
        <row r="93">
          <cell r="A93" t="str">
            <v>Honduras</v>
          </cell>
        </row>
        <row r="94">
          <cell r="A94" t="str">
            <v>Peru</v>
          </cell>
          <cell r="B94">
            <v>0.57999999999999996</v>
          </cell>
          <cell r="C94">
            <v>0.42</v>
          </cell>
        </row>
        <row r="95">
          <cell r="A95" t="str">
            <v>Canada</v>
          </cell>
          <cell r="B95">
            <v>0.53</v>
          </cell>
          <cell r="C95">
            <v>0.47</v>
          </cell>
        </row>
        <row r="96">
          <cell r="A96" t="str">
            <v>Estonia</v>
          </cell>
        </row>
        <row r="97">
          <cell r="A97" t="str">
            <v>New Zealand</v>
          </cell>
          <cell r="B97">
            <v>0.53</v>
          </cell>
          <cell r="C97">
            <v>0.47</v>
          </cell>
        </row>
        <row r="98">
          <cell r="A98" t="str">
            <v>United States</v>
          </cell>
          <cell r="B98">
            <v>0.52</v>
          </cell>
          <cell r="C98">
            <v>0.48</v>
          </cell>
        </row>
        <row r="99">
          <cell r="A99" t="str">
            <v>Israel</v>
          </cell>
          <cell r="B99">
            <v>0.43</v>
          </cell>
          <cell r="C99">
            <v>0.56999999999999995</v>
          </cell>
        </row>
        <row r="100">
          <cell r="A100" t="str">
            <v>Ecuador</v>
          </cell>
          <cell r="B100">
            <v>0.62</v>
          </cell>
          <cell r="C100">
            <v>0.38</v>
          </cell>
        </row>
        <row r="101">
          <cell r="A101" t="str">
            <v>Jamaica</v>
          </cell>
        </row>
        <row r="102">
          <cell r="A102" t="str">
            <v>Mongolia</v>
          </cell>
        </row>
        <row r="103">
          <cell r="A103" t="str">
            <v>Georgia</v>
          </cell>
        </row>
        <row r="104">
          <cell r="A104" t="str">
            <v>Uganda</v>
          </cell>
        </row>
        <row r="105">
          <cell r="A105" t="str">
            <v>Cyprus</v>
          </cell>
        </row>
        <row r="106">
          <cell r="A106" t="str">
            <v>Ukraine</v>
          </cell>
          <cell r="B106">
            <v>0.61</v>
          </cell>
          <cell r="C106">
            <v>0.39</v>
          </cell>
        </row>
        <row r="107">
          <cell r="A107" t="str">
            <v>Venezuela</v>
          </cell>
          <cell r="B107">
            <v>0.76</v>
          </cell>
          <cell r="C107">
            <v>0.24</v>
          </cell>
        </row>
        <row r="108">
          <cell r="A108" t="str">
            <v>Oman</v>
          </cell>
        </row>
        <row r="109">
          <cell r="A109" t="str">
            <v>Lithuania</v>
          </cell>
          <cell r="B109">
            <v>0.52</v>
          </cell>
          <cell r="C109">
            <v>0.48</v>
          </cell>
        </row>
        <row r="110">
          <cell r="A110" t="str">
            <v>Austria</v>
          </cell>
          <cell r="B110">
            <v>0.71</v>
          </cell>
          <cell r="C110">
            <v>0.28999999999999998</v>
          </cell>
        </row>
        <row r="111">
          <cell r="A111" t="str">
            <v>Angola</v>
          </cell>
        </row>
        <row r="112">
          <cell r="A112" t="str">
            <v>Colombia</v>
          </cell>
          <cell r="B112">
            <v>0.6</v>
          </cell>
          <cell r="C112">
            <v>0.4</v>
          </cell>
        </row>
        <row r="113">
          <cell r="A113" t="str">
            <v>Yemen</v>
          </cell>
        </row>
        <row r="114">
          <cell r="A114" t="str">
            <v>Laos</v>
          </cell>
        </row>
        <row r="115">
          <cell r="A115" t="str">
            <v>Spain</v>
          </cell>
          <cell r="B115">
            <v>0.72</v>
          </cell>
          <cell r="C115">
            <v>0.28000000000000003</v>
          </cell>
        </row>
        <row r="116">
          <cell r="A116" t="str">
            <v>Uruguay</v>
          </cell>
        </row>
        <row r="117">
          <cell r="A117" t="str">
            <v>Algeria</v>
          </cell>
        </row>
        <row r="118">
          <cell r="A118" t="str">
            <v>Guadeloupe</v>
          </cell>
        </row>
        <row r="119">
          <cell r="A119" t="str">
            <v>Kuwait</v>
          </cell>
        </row>
        <row r="120">
          <cell r="A120" t="str">
            <v>Jordan</v>
          </cell>
        </row>
        <row r="121">
          <cell r="A121" t="str">
            <v>RÃ©union</v>
          </cell>
        </row>
        <row r="122">
          <cell r="A122" t="str">
            <v>Panama</v>
          </cell>
        </row>
        <row r="123">
          <cell r="A123" t="str">
            <v>Sweden</v>
          </cell>
          <cell r="B123">
            <v>0.66</v>
          </cell>
          <cell r="C123">
            <v>0.34</v>
          </cell>
        </row>
        <row r="124">
          <cell r="A124" t="str">
            <v>Latvia</v>
          </cell>
        </row>
        <row r="125">
          <cell r="A125" t="str">
            <v>Costa Rica</v>
          </cell>
        </row>
        <row r="126">
          <cell r="A126" t="str">
            <v>France</v>
          </cell>
          <cell r="B126">
            <v>0.76</v>
          </cell>
          <cell r="C126">
            <v>0.24</v>
          </cell>
        </row>
        <row r="127">
          <cell r="A127" t="str">
            <v>Paraguay</v>
          </cell>
        </row>
        <row r="128">
          <cell r="A128" t="str">
            <v>CÃ´te dâ€™Ivoire</v>
          </cell>
        </row>
        <row r="129">
          <cell r="A129" t="str">
            <v>Greece</v>
          </cell>
          <cell r="B129">
            <v>0.5</v>
          </cell>
          <cell r="C129">
            <v>0.5</v>
          </cell>
        </row>
        <row r="130">
          <cell r="A130" t="str">
            <v>Bosnia &amp; Herzegovina</v>
          </cell>
        </row>
        <row r="131">
          <cell r="A131" t="str">
            <v>Iraq</v>
          </cell>
        </row>
        <row r="132">
          <cell r="A132" t="str">
            <v>Libya</v>
          </cell>
        </row>
        <row r="133">
          <cell r="A133" t="str">
            <v>Argentina</v>
          </cell>
          <cell r="B133">
            <v>0.75</v>
          </cell>
          <cell r="C133">
            <v>0.25</v>
          </cell>
        </row>
        <row r="134">
          <cell r="A134" t="str">
            <v>Morocco</v>
          </cell>
          <cell r="B134">
            <v>0.55000000000000004</v>
          </cell>
          <cell r="C134">
            <v>0.45</v>
          </cell>
        </row>
        <row r="135">
          <cell r="A135" t="str">
            <v>Egypt</v>
          </cell>
          <cell r="B135">
            <v>0.28000000000000003</v>
          </cell>
          <cell r="C135">
            <v>0.72</v>
          </cell>
        </row>
        <row r="136">
          <cell r="A136" t="str">
            <v>Norway</v>
          </cell>
          <cell r="B136">
            <v>0.54</v>
          </cell>
          <cell r="C136">
            <v>0.46</v>
          </cell>
        </row>
        <row r="137">
          <cell r="A137" t="str">
            <v>Slovakia</v>
          </cell>
        </row>
        <row r="138">
          <cell r="A138" t="str">
            <v>Palestine</v>
          </cell>
        </row>
        <row r="139">
          <cell r="A139" t="str">
            <v>Zambia</v>
          </cell>
        </row>
        <row r="140">
          <cell r="A140" t="str">
            <v>El Salvador</v>
          </cell>
        </row>
        <row r="141">
          <cell r="A141" t="str">
            <v>Puerto Rico</v>
          </cell>
        </row>
        <row r="142">
          <cell r="A142" t="str">
            <v>Hungary</v>
          </cell>
          <cell r="B142">
            <v>0.63</v>
          </cell>
          <cell r="C142">
            <v>0.37</v>
          </cell>
        </row>
        <row r="143">
          <cell r="A143" t="str">
            <v>Italy</v>
          </cell>
          <cell r="B143">
            <v>0.6</v>
          </cell>
          <cell r="C143">
            <v>0.4</v>
          </cell>
        </row>
        <row r="144">
          <cell r="A144" t="str">
            <v>Slovenia</v>
          </cell>
        </row>
        <row r="145">
          <cell r="A145" t="str">
            <v>Senegal</v>
          </cell>
        </row>
        <row r="146">
          <cell r="A146" t="str">
            <v>Thailand</v>
          </cell>
          <cell r="B146">
            <v>0.51</v>
          </cell>
          <cell r="C146">
            <v>0.49</v>
          </cell>
        </row>
        <row r="147">
          <cell r="A147" t="str">
            <v>Serbia</v>
          </cell>
        </row>
        <row r="148">
          <cell r="A148" t="str">
            <v>Turkey</v>
          </cell>
          <cell r="B148">
            <v>0.54</v>
          </cell>
          <cell r="C148">
            <v>0.46</v>
          </cell>
        </row>
        <row r="149">
          <cell r="A149" t="str">
            <v>Saudi Arabia</v>
          </cell>
          <cell r="B149">
            <v>0.53</v>
          </cell>
          <cell r="C149">
            <v>0.47</v>
          </cell>
        </row>
        <row r="150">
          <cell r="A150" t="str">
            <v>British Indian Ocean Territory</v>
          </cell>
        </row>
        <row r="151">
          <cell r="A151" t="str">
            <v>Marshall Islands</v>
          </cell>
        </row>
        <row r="152">
          <cell r="A152" t="str">
            <v>Cook Islands</v>
          </cell>
        </row>
        <row r="153">
          <cell r="A153" t="str">
            <v>American Samoa</v>
          </cell>
        </row>
        <row r="154">
          <cell r="A154" t="str">
            <v>Guinea-Bissau</v>
          </cell>
        </row>
        <row r="155">
          <cell r="A155" t="str">
            <v>Caribbean Netherlands</v>
          </cell>
        </row>
        <row r="156">
          <cell r="A156" t="str">
            <v>Samoa</v>
          </cell>
        </row>
        <row r="157">
          <cell r="A157" t="str">
            <v>Turks &amp; Caicos Islands</v>
          </cell>
        </row>
        <row r="158">
          <cell r="A158" t="str">
            <v>Vanuatu</v>
          </cell>
        </row>
        <row r="159">
          <cell r="A159" t="str">
            <v>Greenland</v>
          </cell>
        </row>
        <row r="160">
          <cell r="A160" t="str">
            <v>San Marino</v>
          </cell>
        </row>
        <row r="161">
          <cell r="A161" t="str">
            <v>Sint Maarten</v>
          </cell>
        </row>
        <row r="162">
          <cell r="A162" t="str">
            <v>St. BarthÃ©lemy</v>
          </cell>
        </row>
        <row r="163">
          <cell r="A163" t="str">
            <v>Gibraltar</v>
          </cell>
        </row>
        <row r="164">
          <cell r="A164" t="str">
            <v>Niger</v>
          </cell>
        </row>
        <row r="165">
          <cell r="A165" t="str">
            <v>Eswatini</v>
          </cell>
        </row>
        <row r="166">
          <cell r="A166" t="str">
            <v>Lesotho</v>
          </cell>
        </row>
        <row r="167">
          <cell r="A167" t="str">
            <v>Timor-Leste</v>
          </cell>
        </row>
        <row r="168">
          <cell r="A168" t="str">
            <v>Northern Mariana Islands</v>
          </cell>
        </row>
        <row r="169">
          <cell r="A169" t="str">
            <v>Faroe Islands</v>
          </cell>
        </row>
        <row r="170">
          <cell r="A170" t="str">
            <v>Djibouti</v>
          </cell>
        </row>
        <row r="171">
          <cell r="A171" t="str">
            <v>U.S. Virgin Islands</v>
          </cell>
        </row>
        <row r="172">
          <cell r="A172" t="str">
            <v>St. Kitts &amp; Nevis</v>
          </cell>
        </row>
        <row r="173">
          <cell r="A173" t="str">
            <v>Seychelles</v>
          </cell>
        </row>
        <row r="174">
          <cell r="A174" t="str">
            <v>Chad</v>
          </cell>
        </row>
        <row r="175">
          <cell r="A175" t="str">
            <v>Cayman Islands</v>
          </cell>
        </row>
        <row r="176">
          <cell r="A176" t="str">
            <v>Ã…land Islands</v>
          </cell>
        </row>
        <row r="177">
          <cell r="A177" t="str">
            <v>Burundi</v>
          </cell>
        </row>
        <row r="178">
          <cell r="A178" t="str">
            <v>Bahamas</v>
          </cell>
        </row>
        <row r="179">
          <cell r="A179" t="str">
            <v>Somalia</v>
          </cell>
        </row>
        <row r="180">
          <cell r="A180" t="str">
            <v>South Sudan</v>
          </cell>
        </row>
        <row r="181">
          <cell r="A181" t="str">
            <v>Guernsey</v>
          </cell>
        </row>
        <row r="182">
          <cell r="A182" t="str">
            <v>Jersey</v>
          </cell>
        </row>
        <row r="183">
          <cell r="A183" t="str">
            <v>Liberia</v>
          </cell>
        </row>
        <row r="184">
          <cell r="A184" t="str">
            <v>St. Lucia</v>
          </cell>
        </row>
        <row r="185">
          <cell r="A185" t="str">
            <v>French Guiana</v>
          </cell>
        </row>
        <row r="186">
          <cell r="A186" t="str">
            <v>Belize</v>
          </cell>
        </row>
        <row r="187">
          <cell r="A187" t="str">
            <v>Guam</v>
          </cell>
        </row>
        <row r="188">
          <cell r="A188" t="str">
            <v>Monaco</v>
          </cell>
        </row>
        <row r="189">
          <cell r="A189" t="str">
            <v>Sierra Leone</v>
          </cell>
        </row>
        <row r="190">
          <cell r="A190" t="str">
            <v>Guyana</v>
          </cell>
        </row>
        <row r="191">
          <cell r="A191" t="str">
            <v>Grenada</v>
          </cell>
        </row>
        <row r="192">
          <cell r="A192" t="str">
            <v>Isle of Man</v>
          </cell>
        </row>
        <row r="193">
          <cell r="A193" t="str">
            <v>Antigua &amp; Barbuda</v>
          </cell>
        </row>
        <row r="194">
          <cell r="A194" t="str">
            <v>Andorra</v>
          </cell>
        </row>
        <row r="195">
          <cell r="A195" t="str">
            <v>Gambia</v>
          </cell>
        </row>
        <row r="196">
          <cell r="A196" t="str">
            <v>Liechtenstein</v>
          </cell>
        </row>
        <row r="197">
          <cell r="A197" t="str">
            <v>Mauritania</v>
          </cell>
        </row>
        <row r="198">
          <cell r="A198" t="str">
            <v>Bermuda</v>
          </cell>
        </row>
        <row r="199">
          <cell r="A199" t="str">
            <v>Papua New Guinea</v>
          </cell>
        </row>
        <row r="200">
          <cell r="A200" t="str">
            <v>Martinique</v>
          </cell>
        </row>
        <row r="201">
          <cell r="A201" t="str">
            <v>Cape Verde</v>
          </cell>
        </row>
        <row r="202">
          <cell r="A202" t="str">
            <v>Barbados</v>
          </cell>
        </row>
        <row r="203">
          <cell r="A203" t="str">
            <v>Gabon</v>
          </cell>
        </row>
        <row r="204">
          <cell r="A204" t="str">
            <v>Suriname</v>
          </cell>
        </row>
        <row r="205">
          <cell r="A205" t="str">
            <v>Malawi</v>
          </cell>
        </row>
        <row r="206">
          <cell r="A206" t="str">
            <v>Rwanda</v>
          </cell>
        </row>
        <row r="207">
          <cell r="A207" t="str">
            <v>Congo - Brazzaville</v>
          </cell>
        </row>
        <row r="208">
          <cell r="A208" t="str">
            <v>Guinea</v>
          </cell>
        </row>
        <row r="209">
          <cell r="A209" t="str">
            <v>French Polynesia</v>
          </cell>
        </row>
        <row r="210">
          <cell r="A210" t="str">
            <v>Mali</v>
          </cell>
        </row>
        <row r="211">
          <cell r="A211" t="str">
            <v>New Caledonia</v>
          </cell>
        </row>
        <row r="212">
          <cell r="A212" t="str">
            <v>Burkina Faso</v>
          </cell>
        </row>
        <row r="213">
          <cell r="A213" t="str">
            <v>Congo - Kinshasa</v>
          </cell>
        </row>
        <row r="214">
          <cell r="A214" t="str">
            <v>Montenegro</v>
          </cell>
        </row>
        <row r="215">
          <cell r="A215" t="str">
            <v>Anguilla</v>
          </cell>
        </row>
        <row r="216">
          <cell r="A216" t="str">
            <v>Antarctica</v>
          </cell>
        </row>
        <row r="217">
          <cell r="A217" t="str">
            <v>French Southern Territories</v>
          </cell>
        </row>
        <row r="218">
          <cell r="A218" t="str">
            <v>Bouvet Island</v>
          </cell>
        </row>
        <row r="219">
          <cell r="A219" t="str">
            <v>Central African Republic</v>
          </cell>
        </row>
        <row r="220">
          <cell r="A220" t="str">
            <v>Cocos (Keeling) Islands</v>
          </cell>
        </row>
        <row r="221">
          <cell r="A221" t="str">
            <v>Comoros</v>
          </cell>
        </row>
        <row r="222">
          <cell r="A222" t="str">
            <v>Christmas Island</v>
          </cell>
        </row>
        <row r="223">
          <cell r="A223" t="str">
            <v>Dominica</v>
          </cell>
        </row>
        <row r="224">
          <cell r="A224" t="str">
            <v>Eritrea</v>
          </cell>
        </row>
        <row r="225">
          <cell r="A225" t="str">
            <v>Western Sahara</v>
          </cell>
        </row>
        <row r="226">
          <cell r="A226" t="str">
            <v>Falkland Islands (Islas Malvinas)</v>
          </cell>
        </row>
        <row r="227">
          <cell r="A227" t="str">
            <v>Micronesia</v>
          </cell>
        </row>
        <row r="228">
          <cell r="A228" t="str">
            <v>Equatorial Guinea</v>
          </cell>
        </row>
        <row r="229">
          <cell r="A229" t="str">
            <v>Heard &amp; McDonald Islands</v>
          </cell>
        </row>
        <row r="230">
          <cell r="A230" t="str">
            <v>Kiribati</v>
          </cell>
        </row>
        <row r="231">
          <cell r="A231" t="str">
            <v>St. Martin</v>
          </cell>
        </row>
        <row r="232">
          <cell r="A232" t="str">
            <v>Montserrat</v>
          </cell>
        </row>
        <row r="233">
          <cell r="A233" t="str">
            <v>Mayotte</v>
          </cell>
        </row>
        <row r="234">
          <cell r="A234" t="str">
            <v>Norfolk Island</v>
          </cell>
        </row>
        <row r="235">
          <cell r="A235" t="str">
            <v>Niue</v>
          </cell>
        </row>
        <row r="236">
          <cell r="A236" t="str">
            <v>Nauru</v>
          </cell>
        </row>
        <row r="237">
          <cell r="A237" t="str">
            <v>Pitcairn Islands</v>
          </cell>
        </row>
        <row r="238">
          <cell r="A238" t="str">
            <v>Palau</v>
          </cell>
        </row>
        <row r="239">
          <cell r="A239" t="str">
            <v>North Korea</v>
          </cell>
        </row>
        <row r="240">
          <cell r="A240" t="str">
            <v>South Georgia &amp; South Sandwich Islands</v>
          </cell>
        </row>
        <row r="241">
          <cell r="A241" t="str">
            <v>Svalbard &amp; Jan Mayen</v>
          </cell>
        </row>
        <row r="242">
          <cell r="A242" t="str">
            <v>Solomon Islands</v>
          </cell>
        </row>
        <row r="243">
          <cell r="A243" t="str">
            <v>St. Pierre &amp; Miquelon</v>
          </cell>
        </row>
        <row r="244">
          <cell r="A244" t="str">
            <v>SÃ£o TomÃ© &amp; PrÃ­ncipe</v>
          </cell>
        </row>
        <row r="245">
          <cell r="A245" t="str">
            <v>Togo</v>
          </cell>
        </row>
        <row r="246">
          <cell r="A246" t="str">
            <v>Tokelau</v>
          </cell>
        </row>
        <row r="247">
          <cell r="A247" t="str">
            <v>Tonga</v>
          </cell>
        </row>
        <row r="248">
          <cell r="A248" t="str">
            <v>Tuvalu</v>
          </cell>
        </row>
        <row r="249">
          <cell r="A249" t="str">
            <v>U.S. Outlying Islands</v>
          </cell>
        </row>
        <row r="250">
          <cell r="A250" t="str">
            <v>Vatican City</v>
          </cell>
        </row>
        <row r="251">
          <cell r="A251" t="str">
            <v>St. Vincent &amp; Grenadines</v>
          </cell>
        </row>
        <row r="252">
          <cell r="A252" t="str">
            <v>British Virgin Islands</v>
          </cell>
        </row>
        <row r="253">
          <cell r="A253" t="str">
            <v>Wallis &amp; Futuna</v>
          </cell>
        </row>
      </sheetData>
    </sheetDataSet>
  </externalBook>
</externalLink>
</file>

<file path=xl/externalLinks/externalLink2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6)"/>
    </sheetNames>
    <sheetDataSet>
      <sheetData sheetId="0">
        <row r="1">
          <cell r="A1" t="str">
            <v>Kategori: TÃ¼m kategoriler</v>
          </cell>
        </row>
        <row r="3">
          <cell r="A3" t="str">
            <v>Ãœlke</v>
          </cell>
          <cell r="B3" t="str">
            <v>Yapay Sinir AÄŸlarÄ±: (2014)</v>
          </cell>
          <cell r="C3" t="str">
            <v>Derin Ã¶ÄŸrenme: (2014)</v>
          </cell>
        </row>
        <row r="4">
          <cell r="A4" t="str">
            <v>Cuba</v>
          </cell>
        </row>
        <row r="5">
          <cell r="A5" t="str">
            <v>China</v>
          </cell>
          <cell r="B5">
            <v>0.73</v>
          </cell>
          <cell r="C5">
            <v>0.27</v>
          </cell>
        </row>
        <row r="6">
          <cell r="A6" t="str">
            <v>Croatia</v>
          </cell>
        </row>
        <row r="7">
          <cell r="A7" t="str">
            <v>South Korea</v>
          </cell>
          <cell r="B7">
            <v>0.83</v>
          </cell>
          <cell r="C7">
            <v>0.17</v>
          </cell>
        </row>
        <row r="8">
          <cell r="A8" t="str">
            <v>Iran</v>
          </cell>
          <cell r="B8">
            <v>0.96</v>
          </cell>
          <cell r="C8">
            <v>0.04</v>
          </cell>
        </row>
        <row r="9">
          <cell r="A9" t="str">
            <v>Botswana</v>
          </cell>
        </row>
        <row r="10">
          <cell r="A10" t="str">
            <v>India</v>
          </cell>
          <cell r="B10">
            <v>0.95</v>
          </cell>
          <cell r="C10">
            <v>0.05</v>
          </cell>
        </row>
        <row r="11">
          <cell r="A11" t="str">
            <v>Bhutan</v>
          </cell>
        </row>
        <row r="12">
          <cell r="A12" t="str">
            <v>Nepal</v>
          </cell>
        </row>
        <row r="13">
          <cell r="A13" t="str">
            <v>Sri Lanka</v>
          </cell>
          <cell r="B13">
            <v>0.94</v>
          </cell>
          <cell r="C13">
            <v>0.06</v>
          </cell>
        </row>
        <row r="14">
          <cell r="A14" t="str">
            <v>Zimbabwe</v>
          </cell>
        </row>
        <row r="15">
          <cell r="A15" t="str">
            <v>Nigeria</v>
          </cell>
          <cell r="B15">
            <v>0.99</v>
          </cell>
          <cell r="C15">
            <v>0.01</v>
          </cell>
        </row>
        <row r="16">
          <cell r="A16" t="str">
            <v>Ethiopia</v>
          </cell>
        </row>
        <row r="17">
          <cell r="A17" t="str">
            <v>Kenya</v>
          </cell>
        </row>
        <row r="18">
          <cell r="A18" t="str">
            <v>Ghana</v>
          </cell>
        </row>
        <row r="19">
          <cell r="A19" t="str">
            <v>Fiji</v>
          </cell>
        </row>
        <row r="20">
          <cell r="A20" t="str">
            <v>Pakistan</v>
          </cell>
          <cell r="B20">
            <v>0.96</v>
          </cell>
          <cell r="C20">
            <v>0.04</v>
          </cell>
        </row>
        <row r="21">
          <cell r="A21" t="str">
            <v>Macao</v>
          </cell>
        </row>
        <row r="22">
          <cell r="A22" t="str">
            <v>Singapore</v>
          </cell>
          <cell r="B22">
            <v>0.78</v>
          </cell>
          <cell r="C22">
            <v>0.22</v>
          </cell>
        </row>
        <row r="23">
          <cell r="A23" t="str">
            <v>Bangladesh</v>
          </cell>
          <cell r="B23">
            <v>0.94</v>
          </cell>
          <cell r="C23">
            <v>0.06</v>
          </cell>
        </row>
        <row r="24">
          <cell r="A24" t="str">
            <v>Cambodia</v>
          </cell>
        </row>
        <row r="25">
          <cell r="A25" t="str">
            <v>Madagascar</v>
          </cell>
        </row>
        <row r="26">
          <cell r="A26" t="str">
            <v>Mauritius</v>
          </cell>
        </row>
        <row r="27">
          <cell r="A27" t="str">
            <v>Myanmar (Burma)</v>
          </cell>
        </row>
        <row r="28">
          <cell r="A28" t="str">
            <v>Taiwan</v>
          </cell>
          <cell r="B28">
            <v>0.89</v>
          </cell>
          <cell r="C28">
            <v>0.11</v>
          </cell>
        </row>
        <row r="29">
          <cell r="A29" t="str">
            <v>Trinidad &amp; Tobago</v>
          </cell>
        </row>
        <row r="30">
          <cell r="A30" t="str">
            <v>Lebanon</v>
          </cell>
        </row>
        <row r="31">
          <cell r="A31" t="str">
            <v>Czechia</v>
          </cell>
          <cell r="B31">
            <v>0.95</v>
          </cell>
          <cell r="C31">
            <v>0.05</v>
          </cell>
        </row>
        <row r="32">
          <cell r="A32" t="str">
            <v>Malaysia</v>
          </cell>
          <cell r="B32">
            <v>0.94</v>
          </cell>
          <cell r="C32">
            <v>0.06</v>
          </cell>
        </row>
        <row r="33">
          <cell r="A33" t="str">
            <v>Hong Kong</v>
          </cell>
          <cell r="B33">
            <v>0.77</v>
          </cell>
          <cell r="C33">
            <v>0.23</v>
          </cell>
        </row>
        <row r="34">
          <cell r="A34" t="str">
            <v>Tunisia</v>
          </cell>
        </row>
        <row r="35">
          <cell r="A35" t="str">
            <v>Cameroon</v>
          </cell>
        </row>
        <row r="36">
          <cell r="A36" t="str">
            <v>St. Helena</v>
          </cell>
        </row>
        <row r="37">
          <cell r="A37" t="str">
            <v>Malta</v>
          </cell>
        </row>
        <row r="38">
          <cell r="A38" t="str">
            <v>Syria</v>
          </cell>
        </row>
        <row r="39">
          <cell r="A39" t="str">
            <v>Brunei</v>
          </cell>
        </row>
        <row r="40">
          <cell r="A40" t="str">
            <v>Indonesia</v>
          </cell>
          <cell r="B40">
            <v>0.99</v>
          </cell>
          <cell r="C40">
            <v>0.01</v>
          </cell>
        </row>
        <row r="41">
          <cell r="A41" t="str">
            <v>South Africa</v>
          </cell>
          <cell r="B41">
            <v>0.91</v>
          </cell>
          <cell r="C41">
            <v>0.09</v>
          </cell>
        </row>
        <row r="42">
          <cell r="A42" t="str">
            <v>Sudan</v>
          </cell>
        </row>
        <row r="43">
          <cell r="A43" t="str">
            <v>Israel</v>
          </cell>
          <cell r="B43">
            <v>0.76</v>
          </cell>
          <cell r="C43">
            <v>0.24</v>
          </cell>
        </row>
        <row r="44">
          <cell r="A44" t="str">
            <v>North Macedonia</v>
          </cell>
        </row>
        <row r="45">
          <cell r="A45" t="str">
            <v>Cyprus</v>
          </cell>
        </row>
        <row r="46">
          <cell r="A46" t="str">
            <v>Jamaica</v>
          </cell>
        </row>
        <row r="47">
          <cell r="A47" t="str">
            <v>Mongolia</v>
          </cell>
        </row>
        <row r="48">
          <cell r="A48" t="str">
            <v>Somalia</v>
          </cell>
        </row>
        <row r="49">
          <cell r="A49" t="str">
            <v>Rwanda</v>
          </cell>
        </row>
        <row r="50">
          <cell r="A50" t="str">
            <v>United States</v>
          </cell>
          <cell r="B50">
            <v>0.85</v>
          </cell>
          <cell r="C50">
            <v>0.15</v>
          </cell>
        </row>
        <row r="51">
          <cell r="A51" t="str">
            <v>Philippines</v>
          </cell>
          <cell r="B51">
            <v>0.97</v>
          </cell>
          <cell r="C51">
            <v>0.03</v>
          </cell>
        </row>
        <row r="52">
          <cell r="A52" t="str">
            <v>Laos</v>
          </cell>
        </row>
        <row r="53">
          <cell r="A53" t="str">
            <v>Russia</v>
          </cell>
          <cell r="B53">
            <v>0.96</v>
          </cell>
          <cell r="C53">
            <v>0.04</v>
          </cell>
        </row>
        <row r="54">
          <cell r="A54" t="str">
            <v>Canada</v>
          </cell>
          <cell r="B54">
            <v>0.85</v>
          </cell>
          <cell r="C54">
            <v>0.15</v>
          </cell>
        </row>
        <row r="55">
          <cell r="A55" t="str">
            <v>Jordan</v>
          </cell>
        </row>
        <row r="56">
          <cell r="A56" t="str">
            <v>Algeria</v>
          </cell>
        </row>
        <row r="57">
          <cell r="A57" t="str">
            <v>Tanzania</v>
          </cell>
        </row>
        <row r="58">
          <cell r="A58" t="str">
            <v>Albania</v>
          </cell>
        </row>
        <row r="59">
          <cell r="A59" t="str">
            <v>New Zealand</v>
          </cell>
          <cell r="B59">
            <v>0.88</v>
          </cell>
          <cell r="C59">
            <v>0.12</v>
          </cell>
        </row>
        <row r="60">
          <cell r="A60" t="str">
            <v>Uganda</v>
          </cell>
        </row>
        <row r="61">
          <cell r="A61" t="str">
            <v>Palestine</v>
          </cell>
        </row>
        <row r="62">
          <cell r="A62" t="str">
            <v>Belarus</v>
          </cell>
          <cell r="B62">
            <v>0.97</v>
          </cell>
          <cell r="C62">
            <v>0.03</v>
          </cell>
        </row>
        <row r="63">
          <cell r="A63" t="str">
            <v>Australia</v>
          </cell>
          <cell r="B63">
            <v>0.82</v>
          </cell>
          <cell r="C63">
            <v>0.18</v>
          </cell>
        </row>
        <row r="64">
          <cell r="A64" t="str">
            <v>Peru</v>
          </cell>
          <cell r="B64">
            <v>0.97</v>
          </cell>
          <cell r="C64">
            <v>0.03</v>
          </cell>
        </row>
        <row r="65">
          <cell r="A65" t="str">
            <v>Qatar</v>
          </cell>
        </row>
        <row r="66">
          <cell r="A66" t="str">
            <v>United Kingdom</v>
          </cell>
          <cell r="B66">
            <v>0.84</v>
          </cell>
          <cell r="C66">
            <v>0.16</v>
          </cell>
        </row>
        <row r="67">
          <cell r="A67" t="str">
            <v>Latvia</v>
          </cell>
        </row>
        <row r="68">
          <cell r="A68" t="str">
            <v>Yemen</v>
          </cell>
        </row>
        <row r="69">
          <cell r="A69" t="str">
            <v>Iceland</v>
          </cell>
        </row>
        <row r="70">
          <cell r="A70" t="str">
            <v>Ireland</v>
          </cell>
          <cell r="B70">
            <v>0.86</v>
          </cell>
          <cell r="C70">
            <v>0.14000000000000001</v>
          </cell>
        </row>
        <row r="71">
          <cell r="A71" t="str">
            <v>Lithuania</v>
          </cell>
          <cell r="B71">
            <v>0.88</v>
          </cell>
          <cell r="C71">
            <v>0.12</v>
          </cell>
        </row>
        <row r="72">
          <cell r="A72" t="str">
            <v>Oman</v>
          </cell>
        </row>
        <row r="73">
          <cell r="A73" t="str">
            <v>Greece</v>
          </cell>
          <cell r="B73">
            <v>0.92</v>
          </cell>
          <cell r="C73">
            <v>0.08</v>
          </cell>
        </row>
        <row r="74">
          <cell r="A74" t="str">
            <v>Bolivia</v>
          </cell>
          <cell r="B74">
            <v>0.97</v>
          </cell>
          <cell r="C74">
            <v>0.03</v>
          </cell>
        </row>
        <row r="75">
          <cell r="A75" t="str">
            <v>Poland</v>
          </cell>
          <cell r="B75">
            <v>0.96</v>
          </cell>
          <cell r="C75">
            <v>0.04</v>
          </cell>
        </row>
        <row r="76">
          <cell r="A76" t="str">
            <v>Afghanistan</v>
          </cell>
        </row>
        <row r="77">
          <cell r="A77" t="str">
            <v>Iraq</v>
          </cell>
        </row>
        <row r="78">
          <cell r="A78" t="str">
            <v>Bahrain</v>
          </cell>
        </row>
        <row r="79">
          <cell r="A79" t="str">
            <v>Libya</v>
          </cell>
        </row>
        <row r="80">
          <cell r="A80" t="str">
            <v>United Arab Emirates</v>
          </cell>
          <cell r="B80">
            <v>0.93</v>
          </cell>
          <cell r="C80">
            <v>7.0000000000000007E-2</v>
          </cell>
        </row>
        <row r="81">
          <cell r="A81" t="str">
            <v>Egypt</v>
          </cell>
          <cell r="B81">
            <v>0.92</v>
          </cell>
          <cell r="C81">
            <v>0.08</v>
          </cell>
        </row>
        <row r="82">
          <cell r="A82" t="str">
            <v>Colombia</v>
          </cell>
          <cell r="B82">
            <v>0.98</v>
          </cell>
          <cell r="C82">
            <v>0.02</v>
          </cell>
        </row>
        <row r="83">
          <cell r="A83" t="str">
            <v>Ukraine</v>
          </cell>
          <cell r="B83">
            <v>0.97</v>
          </cell>
          <cell r="C83">
            <v>0.03</v>
          </cell>
        </row>
        <row r="84">
          <cell r="A84" t="str">
            <v>Portugal</v>
          </cell>
          <cell r="B84">
            <v>0.89</v>
          </cell>
          <cell r="C84">
            <v>0.11</v>
          </cell>
        </row>
        <row r="85">
          <cell r="A85" t="str">
            <v>Estonia</v>
          </cell>
        </row>
        <row r="86">
          <cell r="A86" t="str">
            <v>Mexico</v>
          </cell>
          <cell r="B86">
            <v>0.97</v>
          </cell>
          <cell r="C86">
            <v>0.03</v>
          </cell>
        </row>
        <row r="87">
          <cell r="A87" t="str">
            <v>Honduras</v>
          </cell>
        </row>
        <row r="88">
          <cell r="A88" t="str">
            <v>Slovakia</v>
          </cell>
          <cell r="B88">
            <v>0.94</v>
          </cell>
          <cell r="C88">
            <v>0.06</v>
          </cell>
        </row>
        <row r="89">
          <cell r="A89" t="str">
            <v>Switzerland</v>
          </cell>
          <cell r="B89">
            <v>0.79</v>
          </cell>
          <cell r="C89">
            <v>0.21</v>
          </cell>
        </row>
        <row r="90">
          <cell r="A90" t="str">
            <v>Ecuador</v>
          </cell>
        </row>
        <row r="91">
          <cell r="A91" t="str">
            <v>Finland</v>
          </cell>
          <cell r="B91">
            <v>0.8</v>
          </cell>
          <cell r="C91">
            <v>0.2</v>
          </cell>
        </row>
        <row r="92">
          <cell r="A92" t="str">
            <v>Georgia</v>
          </cell>
        </row>
        <row r="93">
          <cell r="A93" t="str">
            <v>Armenia</v>
          </cell>
        </row>
        <row r="94">
          <cell r="A94" t="str">
            <v>Japan</v>
          </cell>
          <cell r="B94">
            <v>0.66</v>
          </cell>
          <cell r="C94">
            <v>0.34</v>
          </cell>
        </row>
        <row r="95">
          <cell r="A95" t="str">
            <v>Paraguay</v>
          </cell>
        </row>
        <row r="96">
          <cell r="A96" t="str">
            <v>Morocco</v>
          </cell>
        </row>
        <row r="97">
          <cell r="A97" t="str">
            <v>Slovenia</v>
          </cell>
        </row>
        <row r="98">
          <cell r="A98" t="str">
            <v>Costa Rica</v>
          </cell>
        </row>
        <row r="99">
          <cell r="A99" t="str">
            <v>Puerto Rico</v>
          </cell>
        </row>
        <row r="100">
          <cell r="A100" t="str">
            <v>Norway</v>
          </cell>
          <cell r="B100">
            <v>0.85</v>
          </cell>
          <cell r="C100">
            <v>0.15</v>
          </cell>
        </row>
        <row r="101">
          <cell r="A101" t="str">
            <v>Thailand</v>
          </cell>
          <cell r="B101">
            <v>0.97</v>
          </cell>
          <cell r="C101">
            <v>0.03</v>
          </cell>
        </row>
        <row r="102">
          <cell r="A102" t="str">
            <v>Bulgaria</v>
          </cell>
        </row>
        <row r="103">
          <cell r="A103" t="str">
            <v>Chile</v>
          </cell>
          <cell r="B103">
            <v>0.93</v>
          </cell>
          <cell r="C103">
            <v>7.0000000000000007E-2</v>
          </cell>
        </row>
        <row r="104">
          <cell r="A104" t="str">
            <v>Kuwait</v>
          </cell>
        </row>
        <row r="105">
          <cell r="A105" t="str">
            <v>Sweden</v>
          </cell>
          <cell r="B105">
            <v>0.83</v>
          </cell>
          <cell r="C105">
            <v>0.17</v>
          </cell>
        </row>
        <row r="106">
          <cell r="A106" t="str">
            <v>Denmark</v>
          </cell>
          <cell r="B106">
            <v>0.77</v>
          </cell>
          <cell r="C106">
            <v>0.23</v>
          </cell>
        </row>
        <row r="107">
          <cell r="A107" t="str">
            <v>Panama</v>
          </cell>
        </row>
        <row r="108">
          <cell r="A108" t="str">
            <v>Serbia</v>
          </cell>
          <cell r="B108">
            <v>0.9</v>
          </cell>
          <cell r="C108">
            <v>0.1</v>
          </cell>
        </row>
        <row r="109">
          <cell r="A109" t="str">
            <v>Austria</v>
          </cell>
          <cell r="B109">
            <v>0.84</v>
          </cell>
          <cell r="C109">
            <v>0.16</v>
          </cell>
        </row>
        <row r="110">
          <cell r="A110" t="str">
            <v>Azerbaijan</v>
          </cell>
        </row>
        <row r="111">
          <cell r="A111" t="str">
            <v>Saudi Arabia</v>
          </cell>
          <cell r="B111">
            <v>0.95</v>
          </cell>
          <cell r="C111">
            <v>0.05</v>
          </cell>
        </row>
        <row r="112">
          <cell r="A112" t="str">
            <v>Netherlands</v>
          </cell>
          <cell r="B112">
            <v>0.83</v>
          </cell>
          <cell r="C112">
            <v>0.17</v>
          </cell>
        </row>
        <row r="113">
          <cell r="A113" t="str">
            <v>Belgium</v>
          </cell>
          <cell r="B113">
            <v>0.81</v>
          </cell>
          <cell r="C113">
            <v>0.19</v>
          </cell>
        </row>
        <row r="114">
          <cell r="A114" t="str">
            <v>Germany</v>
          </cell>
          <cell r="B114">
            <v>0.84</v>
          </cell>
          <cell r="C114">
            <v>0.16</v>
          </cell>
        </row>
        <row r="115">
          <cell r="A115" t="str">
            <v>Brazil</v>
          </cell>
          <cell r="B115">
            <v>0.95</v>
          </cell>
          <cell r="C115">
            <v>0.05</v>
          </cell>
        </row>
        <row r="116">
          <cell r="A116" t="str">
            <v>Turkey</v>
          </cell>
          <cell r="B116">
            <v>0.95</v>
          </cell>
          <cell r="C116">
            <v>0.05</v>
          </cell>
        </row>
        <row r="117">
          <cell r="A117" t="str">
            <v>Kazakhstan</v>
          </cell>
          <cell r="B117">
            <v>1</v>
          </cell>
        </row>
        <row r="118">
          <cell r="A118" t="str">
            <v>Romania</v>
          </cell>
          <cell r="B118">
            <v>0.89</v>
          </cell>
          <cell r="C118">
            <v>0.11</v>
          </cell>
        </row>
        <row r="119">
          <cell r="A119" t="str">
            <v>Bosnia &amp; Herzegovina</v>
          </cell>
        </row>
        <row r="120">
          <cell r="A120" t="str">
            <v>Spain</v>
          </cell>
          <cell r="B120">
            <v>0.89</v>
          </cell>
          <cell r="C120">
            <v>0.11</v>
          </cell>
        </row>
        <row r="121">
          <cell r="A121" t="str">
            <v>Italy</v>
          </cell>
          <cell r="B121">
            <v>0.94</v>
          </cell>
          <cell r="C121">
            <v>0.06</v>
          </cell>
        </row>
        <row r="122">
          <cell r="A122" t="str">
            <v>Kyrgyzstan</v>
          </cell>
        </row>
        <row r="123">
          <cell r="A123" t="str">
            <v>Uzbekistan</v>
          </cell>
        </row>
        <row r="124">
          <cell r="A124" t="str">
            <v>Venezuela</v>
          </cell>
        </row>
        <row r="125">
          <cell r="A125" t="str">
            <v>Luxembourg</v>
          </cell>
        </row>
        <row r="126">
          <cell r="A126" t="str">
            <v>Hungary</v>
          </cell>
          <cell r="B126">
            <v>0.85</v>
          </cell>
          <cell r="C126">
            <v>0.15</v>
          </cell>
        </row>
        <row r="127">
          <cell r="A127" t="str">
            <v>Moldova</v>
          </cell>
        </row>
        <row r="128">
          <cell r="A128" t="str">
            <v>Dominican Republic</v>
          </cell>
        </row>
        <row r="129">
          <cell r="A129" t="str">
            <v>Vietnam</v>
          </cell>
          <cell r="B129">
            <v>0.63</v>
          </cell>
          <cell r="C129">
            <v>0.37</v>
          </cell>
        </row>
        <row r="130">
          <cell r="A130" t="str">
            <v>Uruguay</v>
          </cell>
        </row>
        <row r="131">
          <cell r="A131" t="str">
            <v>France</v>
          </cell>
          <cell r="B131">
            <v>0.82</v>
          </cell>
          <cell r="C131">
            <v>0.18</v>
          </cell>
        </row>
        <row r="132">
          <cell r="A132" t="str">
            <v>Guatemala</v>
          </cell>
        </row>
        <row r="133">
          <cell r="A133" t="str">
            <v>Argentina</v>
          </cell>
          <cell r="B133">
            <v>0.93</v>
          </cell>
          <cell r="C133">
            <v>7.0000000000000007E-2</v>
          </cell>
        </row>
        <row r="134">
          <cell r="A134" t="str">
            <v>El Salvador</v>
          </cell>
        </row>
        <row r="135">
          <cell r="A135" t="str">
            <v>Svalbard &amp; Jan Mayen</v>
          </cell>
        </row>
        <row r="136">
          <cell r="A136" t="str">
            <v>Cook Islands</v>
          </cell>
        </row>
        <row r="137">
          <cell r="A137" t="str">
            <v>Anguilla</v>
          </cell>
        </row>
        <row r="138">
          <cell r="A138" t="str">
            <v>St. Pierre &amp; Miquelon</v>
          </cell>
        </row>
        <row r="139">
          <cell r="A139" t="str">
            <v>St. BarthÃ©lemy</v>
          </cell>
        </row>
        <row r="140">
          <cell r="A140" t="str">
            <v>Caribbean Netherlands</v>
          </cell>
        </row>
        <row r="141">
          <cell r="A141" t="str">
            <v>Samoa</v>
          </cell>
        </row>
        <row r="142">
          <cell r="A142" t="str">
            <v>Dominica</v>
          </cell>
        </row>
        <row r="143">
          <cell r="A143" t="str">
            <v>Faroe Islands</v>
          </cell>
        </row>
        <row r="144">
          <cell r="A144" t="str">
            <v>U.S. Virgin Islands</v>
          </cell>
        </row>
        <row r="145">
          <cell r="A145" t="str">
            <v>Bermuda</v>
          </cell>
        </row>
        <row r="146">
          <cell r="A146" t="str">
            <v>Turks &amp; Caicos Islands</v>
          </cell>
        </row>
        <row r="147">
          <cell r="A147" t="str">
            <v>Lesotho</v>
          </cell>
        </row>
        <row r="148">
          <cell r="A148" t="str">
            <v>Northern Mariana Islands</v>
          </cell>
        </row>
        <row r="149">
          <cell r="A149" t="str">
            <v>Cape Verde</v>
          </cell>
        </row>
        <row r="150">
          <cell r="A150" t="str">
            <v>San Marino</v>
          </cell>
        </row>
        <row r="151">
          <cell r="A151" t="str">
            <v>St. Vincent &amp; Grenadines</v>
          </cell>
        </row>
        <row r="152">
          <cell r="A152" t="str">
            <v>St. Kitts &amp; Nevis</v>
          </cell>
        </row>
        <row r="153">
          <cell r="A153" t="str">
            <v>Seychelles</v>
          </cell>
        </row>
        <row r="154">
          <cell r="A154" t="str">
            <v>Antigua &amp; Barbuda</v>
          </cell>
        </row>
        <row r="155">
          <cell r="A155" t="str">
            <v>Liechtenstein</v>
          </cell>
        </row>
        <row r="156">
          <cell r="A156" t="str">
            <v>Togo</v>
          </cell>
        </row>
        <row r="157">
          <cell r="A157" t="str">
            <v>Cayman Islands</v>
          </cell>
        </row>
        <row r="158">
          <cell r="A158" t="str">
            <v>Burundi</v>
          </cell>
        </row>
        <row r="159">
          <cell r="A159" t="str">
            <v>Papua New Guinea</v>
          </cell>
        </row>
        <row r="160">
          <cell r="A160" t="str">
            <v>Eswatini</v>
          </cell>
        </row>
        <row r="161">
          <cell r="A161" t="str">
            <v>Maldives</v>
          </cell>
        </row>
        <row r="162">
          <cell r="A162" t="str">
            <v>Gibraltar</v>
          </cell>
        </row>
        <row r="163">
          <cell r="A163" t="str">
            <v>Isle of Man</v>
          </cell>
        </row>
        <row r="164">
          <cell r="A164" t="str">
            <v>Barbados</v>
          </cell>
        </row>
        <row r="165">
          <cell r="A165" t="str">
            <v>Gambia</v>
          </cell>
        </row>
        <row r="166">
          <cell r="A166" t="str">
            <v>Bahamas</v>
          </cell>
        </row>
        <row r="167">
          <cell r="A167" t="str">
            <v>St. Lucia</v>
          </cell>
        </row>
        <row r="168">
          <cell r="A168" t="str">
            <v>Benin</v>
          </cell>
        </row>
        <row r="169">
          <cell r="A169" t="str">
            <v>Guyana</v>
          </cell>
        </row>
        <row r="170">
          <cell r="A170" t="str">
            <v>Timor-Leste</v>
          </cell>
        </row>
        <row r="171">
          <cell r="A171" t="str">
            <v>South Sudan</v>
          </cell>
        </row>
        <row r="172">
          <cell r="A172" t="str">
            <v>Malawi</v>
          </cell>
        </row>
        <row r="173">
          <cell r="A173" t="str">
            <v>Guernsey</v>
          </cell>
        </row>
        <row r="174">
          <cell r="A174" t="str">
            <v>Haiti</v>
          </cell>
        </row>
        <row r="175">
          <cell r="A175" t="str">
            <v>Jersey</v>
          </cell>
        </row>
        <row r="176">
          <cell r="A176" t="str">
            <v>Kosovo</v>
          </cell>
        </row>
        <row r="177">
          <cell r="A177" t="str">
            <v>Namibia</v>
          </cell>
        </row>
        <row r="178">
          <cell r="A178" t="str">
            <v>Liberia</v>
          </cell>
        </row>
        <row r="179">
          <cell r="A179" t="str">
            <v>Aruba</v>
          </cell>
        </row>
        <row r="180">
          <cell r="A180" t="str">
            <v>Congo - Brazzaville</v>
          </cell>
        </row>
        <row r="181">
          <cell r="A181" t="str">
            <v>Belize</v>
          </cell>
        </row>
        <row r="182">
          <cell r="A182" t="str">
            <v>Zambia</v>
          </cell>
        </row>
        <row r="183">
          <cell r="A183" t="str">
            <v>Sierra Leone</v>
          </cell>
        </row>
        <row r="184">
          <cell r="A184" t="str">
            <v>Mauritania</v>
          </cell>
        </row>
        <row r="185">
          <cell r="A185" t="str">
            <v>French Polynesia</v>
          </cell>
        </row>
        <row r="186">
          <cell r="A186" t="str">
            <v>Congo - Kinshasa</v>
          </cell>
        </row>
        <row r="187">
          <cell r="A187" t="str">
            <v>Angola</v>
          </cell>
        </row>
        <row r="188">
          <cell r="A188" t="str">
            <v>Turkmenistan</v>
          </cell>
        </row>
        <row r="189">
          <cell r="A189" t="str">
            <v>Guam</v>
          </cell>
        </row>
        <row r="190">
          <cell r="A190" t="str">
            <v>Suriname</v>
          </cell>
        </row>
        <row r="191">
          <cell r="A191" t="str">
            <v>New Caledonia</v>
          </cell>
        </row>
        <row r="192">
          <cell r="A192" t="str">
            <v>CÃ´te dâ€™Ivoire</v>
          </cell>
        </row>
        <row r="193">
          <cell r="A193" t="str">
            <v>Nicaragua</v>
          </cell>
        </row>
        <row r="194">
          <cell r="A194" t="str">
            <v>RÃ©union</v>
          </cell>
        </row>
        <row r="195">
          <cell r="A195" t="str">
            <v>Montenegro</v>
          </cell>
        </row>
        <row r="196">
          <cell r="A196" t="str">
            <v>Guadeloupe</v>
          </cell>
        </row>
        <row r="197">
          <cell r="A197" t="str">
            <v>Senegal</v>
          </cell>
        </row>
        <row r="198">
          <cell r="A198" t="str">
            <v>Mozambique</v>
          </cell>
        </row>
        <row r="199">
          <cell r="A199" t="str">
            <v>Martinique</v>
          </cell>
        </row>
        <row r="200">
          <cell r="A200" t="str">
            <v>Ã…land Islands</v>
          </cell>
        </row>
        <row r="201">
          <cell r="A201" t="str">
            <v>Andorra</v>
          </cell>
        </row>
        <row r="202">
          <cell r="A202" t="str">
            <v>American Samoa</v>
          </cell>
        </row>
        <row r="203">
          <cell r="A203" t="str">
            <v>Antarctica</v>
          </cell>
        </row>
        <row r="204">
          <cell r="A204" t="str">
            <v>French Southern Territories</v>
          </cell>
        </row>
        <row r="205">
          <cell r="A205" t="str">
            <v>Burkina Faso</v>
          </cell>
        </row>
        <row r="206">
          <cell r="A206" t="str">
            <v>Bouvet Island</v>
          </cell>
        </row>
        <row r="207">
          <cell r="A207" t="str">
            <v>Central African Republic</v>
          </cell>
        </row>
        <row r="208">
          <cell r="A208" t="str">
            <v>Cocos (Keeling) Islands</v>
          </cell>
        </row>
        <row r="209">
          <cell r="A209" t="str">
            <v>Comoros</v>
          </cell>
        </row>
        <row r="210">
          <cell r="A210" t="str">
            <v>CuraÃ§ao</v>
          </cell>
        </row>
        <row r="211">
          <cell r="A211" t="str">
            <v>Christmas Island</v>
          </cell>
        </row>
        <row r="212">
          <cell r="A212" t="str">
            <v>Djibouti</v>
          </cell>
        </row>
        <row r="213">
          <cell r="A213" t="str">
            <v>Eritrea</v>
          </cell>
        </row>
        <row r="214">
          <cell r="A214" t="str">
            <v>Western Sahara</v>
          </cell>
        </row>
        <row r="215">
          <cell r="A215" t="str">
            <v>Falkland Islands (Islas Malvinas)</v>
          </cell>
        </row>
        <row r="216">
          <cell r="A216" t="str">
            <v>Micronesia</v>
          </cell>
        </row>
        <row r="217">
          <cell r="A217" t="str">
            <v>Gabon</v>
          </cell>
        </row>
        <row r="218">
          <cell r="A218" t="str">
            <v>Guinea</v>
          </cell>
        </row>
        <row r="219">
          <cell r="A219" t="str">
            <v>Guinea-Bissau</v>
          </cell>
        </row>
        <row r="220">
          <cell r="A220" t="str">
            <v>Equatorial Guinea</v>
          </cell>
        </row>
        <row r="221">
          <cell r="A221" t="str">
            <v>Grenada</v>
          </cell>
        </row>
        <row r="222">
          <cell r="A222" t="str">
            <v>Greenland</v>
          </cell>
        </row>
        <row r="223">
          <cell r="A223" t="str">
            <v>French Guiana</v>
          </cell>
        </row>
        <row r="224">
          <cell r="A224" t="str">
            <v>Heard &amp; McDonald Islands</v>
          </cell>
        </row>
        <row r="225">
          <cell r="A225" t="str">
            <v>British Indian Ocean Territory</v>
          </cell>
        </row>
        <row r="226">
          <cell r="A226" t="str">
            <v>Kiribati</v>
          </cell>
        </row>
        <row r="227">
          <cell r="A227" t="str">
            <v>St. Martin</v>
          </cell>
        </row>
        <row r="228">
          <cell r="A228" t="str">
            <v>Monaco</v>
          </cell>
        </row>
        <row r="229">
          <cell r="A229" t="str">
            <v>Marshall Islands</v>
          </cell>
        </row>
        <row r="230">
          <cell r="A230" t="str">
            <v>Mali</v>
          </cell>
        </row>
        <row r="231">
          <cell r="A231" t="str">
            <v>Montserrat</v>
          </cell>
        </row>
        <row r="232">
          <cell r="A232" t="str">
            <v>Mayotte</v>
          </cell>
        </row>
        <row r="233">
          <cell r="A233" t="str">
            <v>Niger</v>
          </cell>
        </row>
        <row r="234">
          <cell r="A234" t="str">
            <v>Norfolk Island</v>
          </cell>
        </row>
        <row r="235">
          <cell r="A235" t="str">
            <v>Niue</v>
          </cell>
        </row>
        <row r="236">
          <cell r="A236" t="str">
            <v>Nauru</v>
          </cell>
        </row>
        <row r="237">
          <cell r="A237" t="str">
            <v>Pitcairn Islands</v>
          </cell>
        </row>
        <row r="238">
          <cell r="A238" t="str">
            <v>Palau</v>
          </cell>
        </row>
        <row r="239">
          <cell r="A239" t="str">
            <v>North Korea</v>
          </cell>
        </row>
        <row r="240">
          <cell r="A240" t="str">
            <v>South Georgia &amp; South Sandwich Islands</v>
          </cell>
        </row>
        <row r="241">
          <cell r="A241" t="str">
            <v>Solomon Islands</v>
          </cell>
        </row>
        <row r="242">
          <cell r="A242" t="str">
            <v>SÃ£o TomÃ© &amp; PrÃ­ncipe</v>
          </cell>
        </row>
        <row r="243">
          <cell r="A243" t="str">
            <v>Sint Maarten</v>
          </cell>
        </row>
        <row r="244">
          <cell r="A244" t="str">
            <v>Chad</v>
          </cell>
        </row>
        <row r="245">
          <cell r="A245" t="str">
            <v>Tajikistan</v>
          </cell>
        </row>
        <row r="246">
          <cell r="A246" t="str">
            <v>Tokelau</v>
          </cell>
        </row>
        <row r="247">
          <cell r="A247" t="str">
            <v>Tonga</v>
          </cell>
        </row>
        <row r="248">
          <cell r="A248" t="str">
            <v>Tuvalu</v>
          </cell>
        </row>
        <row r="249">
          <cell r="A249" t="str">
            <v>U.S. Outlying Islands</v>
          </cell>
        </row>
        <row r="250">
          <cell r="A250" t="str">
            <v>Vatican City</v>
          </cell>
        </row>
        <row r="251">
          <cell r="A251" t="str">
            <v>British Virgin Islands</v>
          </cell>
        </row>
        <row r="252">
          <cell r="A252" t="str">
            <v>Vanuatu</v>
          </cell>
        </row>
        <row r="253">
          <cell r="A253" t="str">
            <v>Wallis &amp; Futuna</v>
          </cell>
        </row>
      </sheetData>
    </sheetDataSet>
  </externalBook>
</externalLink>
</file>

<file path=xl/externalLinks/externalLink2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7)"/>
    </sheetNames>
    <sheetDataSet>
      <sheetData sheetId="0">
        <row r="1">
          <cell r="A1" t="str">
            <v>Kategori: TÃ¼m kategoriler</v>
          </cell>
        </row>
        <row r="3">
          <cell r="A3" t="str">
            <v>Ãœlke</v>
          </cell>
          <cell r="B3" t="str">
            <v>Derin Ã¶ÄŸrenme: (2014)</v>
          </cell>
          <cell r="C3" t="str">
            <v>Ã–bek: (2014)</v>
          </cell>
        </row>
        <row r="4">
          <cell r="A4" t="str">
            <v>China</v>
          </cell>
          <cell r="B4">
            <v>0.25</v>
          </cell>
          <cell r="C4">
            <v>0.75</v>
          </cell>
        </row>
        <row r="5">
          <cell r="A5" t="str">
            <v>South Korea</v>
          </cell>
          <cell r="B5">
            <v>0.17</v>
          </cell>
          <cell r="C5">
            <v>0.83</v>
          </cell>
        </row>
        <row r="6">
          <cell r="A6" t="str">
            <v>Hong Kong</v>
          </cell>
          <cell r="B6">
            <v>0.08</v>
          </cell>
          <cell r="C6">
            <v>0.92</v>
          </cell>
        </row>
        <row r="7">
          <cell r="A7" t="str">
            <v>Taiwan</v>
          </cell>
          <cell r="B7">
            <v>0.04</v>
          </cell>
          <cell r="C7">
            <v>0.96</v>
          </cell>
        </row>
        <row r="8">
          <cell r="A8" t="str">
            <v>Macao</v>
          </cell>
        </row>
        <row r="9">
          <cell r="A9" t="str">
            <v>St. Helena</v>
          </cell>
        </row>
        <row r="10">
          <cell r="A10" t="str">
            <v>Estonia</v>
          </cell>
          <cell r="B10">
            <v>0.08</v>
          </cell>
          <cell r="C10">
            <v>0.92</v>
          </cell>
        </row>
        <row r="11">
          <cell r="A11" t="str">
            <v>New Zealand</v>
          </cell>
          <cell r="B11">
            <v>0.05</v>
          </cell>
          <cell r="C11">
            <v>0.95</v>
          </cell>
        </row>
        <row r="12">
          <cell r="A12" t="str">
            <v>India</v>
          </cell>
          <cell r="B12">
            <v>0.06</v>
          </cell>
          <cell r="C12">
            <v>0.94</v>
          </cell>
        </row>
        <row r="13">
          <cell r="A13" t="str">
            <v>Israel</v>
          </cell>
          <cell r="B13">
            <v>0.14000000000000001</v>
          </cell>
          <cell r="C13">
            <v>0.86</v>
          </cell>
        </row>
        <row r="14">
          <cell r="A14" t="str">
            <v>Singapore</v>
          </cell>
          <cell r="B14">
            <v>0.2</v>
          </cell>
          <cell r="C14">
            <v>0.8</v>
          </cell>
        </row>
        <row r="15">
          <cell r="A15" t="str">
            <v>Nepal</v>
          </cell>
        </row>
        <row r="16">
          <cell r="A16" t="str">
            <v>Belarus</v>
          </cell>
        </row>
        <row r="17">
          <cell r="A17" t="str">
            <v>Australia</v>
          </cell>
          <cell r="B17">
            <v>0.09</v>
          </cell>
          <cell r="C17">
            <v>0.91</v>
          </cell>
        </row>
        <row r="18">
          <cell r="A18" t="str">
            <v>United States</v>
          </cell>
          <cell r="B18">
            <v>0.1</v>
          </cell>
          <cell r="C18">
            <v>0.9</v>
          </cell>
        </row>
        <row r="19">
          <cell r="A19" t="str">
            <v>Burkina Faso</v>
          </cell>
        </row>
        <row r="20">
          <cell r="A20" t="str">
            <v>Russia</v>
          </cell>
          <cell r="B20">
            <v>0.02</v>
          </cell>
          <cell r="C20">
            <v>0.98</v>
          </cell>
        </row>
        <row r="21">
          <cell r="A21" t="str">
            <v>Tajikistan</v>
          </cell>
        </row>
        <row r="22">
          <cell r="A22" t="str">
            <v>Sri Lanka</v>
          </cell>
          <cell r="B22">
            <v>0.08</v>
          </cell>
          <cell r="C22">
            <v>0.92</v>
          </cell>
        </row>
        <row r="23">
          <cell r="A23" t="str">
            <v>Iran</v>
          </cell>
          <cell r="B23">
            <v>0.08</v>
          </cell>
          <cell r="C23">
            <v>0.92</v>
          </cell>
        </row>
        <row r="24">
          <cell r="A24" t="str">
            <v>Zimbabwe</v>
          </cell>
        </row>
        <row r="25">
          <cell r="A25" t="str">
            <v>Pakistan</v>
          </cell>
          <cell r="B25">
            <v>0.04</v>
          </cell>
          <cell r="C25">
            <v>0.96</v>
          </cell>
        </row>
        <row r="26">
          <cell r="A26" t="str">
            <v>Kazakhstan</v>
          </cell>
          <cell r="C26">
            <v>1</v>
          </cell>
        </row>
        <row r="27">
          <cell r="A27" t="str">
            <v>Ukraine</v>
          </cell>
          <cell r="B27">
            <v>0.01</v>
          </cell>
          <cell r="C27">
            <v>0.99</v>
          </cell>
        </row>
        <row r="28">
          <cell r="A28" t="str">
            <v>Denmark</v>
          </cell>
          <cell r="B28">
            <v>0.08</v>
          </cell>
          <cell r="C28">
            <v>0.92</v>
          </cell>
        </row>
        <row r="29">
          <cell r="A29" t="str">
            <v>Kyrgyzstan</v>
          </cell>
        </row>
        <row r="30">
          <cell r="A30" t="str">
            <v>Czechia</v>
          </cell>
          <cell r="B30">
            <v>0.06</v>
          </cell>
          <cell r="C30">
            <v>0.94</v>
          </cell>
        </row>
        <row r="31">
          <cell r="A31" t="str">
            <v>Mauritius</v>
          </cell>
        </row>
        <row r="32">
          <cell r="A32" t="str">
            <v>Bangladesh</v>
          </cell>
          <cell r="B32">
            <v>0.1</v>
          </cell>
          <cell r="C32">
            <v>0.9</v>
          </cell>
        </row>
        <row r="33">
          <cell r="A33" t="str">
            <v>United Kingdom</v>
          </cell>
          <cell r="B33">
            <v>0.12</v>
          </cell>
          <cell r="C33">
            <v>0.88</v>
          </cell>
        </row>
        <row r="34">
          <cell r="A34" t="str">
            <v>Philippines</v>
          </cell>
          <cell r="B34">
            <v>0.03</v>
          </cell>
          <cell r="C34">
            <v>0.97</v>
          </cell>
        </row>
        <row r="35">
          <cell r="A35" t="str">
            <v>Canada</v>
          </cell>
          <cell r="B35">
            <v>0.13</v>
          </cell>
          <cell r="C35">
            <v>0.87</v>
          </cell>
        </row>
        <row r="36">
          <cell r="A36" t="str">
            <v>Iceland</v>
          </cell>
        </row>
        <row r="37">
          <cell r="A37" t="str">
            <v>Uzbekistan</v>
          </cell>
        </row>
        <row r="38">
          <cell r="A38" t="str">
            <v>Jamaica</v>
          </cell>
        </row>
        <row r="39">
          <cell r="A39" t="str">
            <v>Ethiopia</v>
          </cell>
        </row>
        <row r="40">
          <cell r="A40" t="str">
            <v>Maldives</v>
          </cell>
        </row>
        <row r="41">
          <cell r="A41" t="str">
            <v>Ghana</v>
          </cell>
        </row>
        <row r="42">
          <cell r="A42" t="str">
            <v>Lithuania</v>
          </cell>
          <cell r="B42">
            <v>0.09</v>
          </cell>
          <cell r="C42">
            <v>0.91</v>
          </cell>
        </row>
        <row r="43">
          <cell r="A43" t="str">
            <v>Ireland</v>
          </cell>
          <cell r="B43">
            <v>0.12</v>
          </cell>
          <cell r="C43">
            <v>0.88</v>
          </cell>
        </row>
        <row r="44">
          <cell r="A44" t="str">
            <v>Finland</v>
          </cell>
          <cell r="B44">
            <v>0.13</v>
          </cell>
          <cell r="C44">
            <v>0.87</v>
          </cell>
        </row>
        <row r="45">
          <cell r="A45" t="str">
            <v>Latvia</v>
          </cell>
        </row>
        <row r="46">
          <cell r="A46" t="str">
            <v>Kenya</v>
          </cell>
        </row>
        <row r="47">
          <cell r="A47" t="str">
            <v>Luxembourg</v>
          </cell>
        </row>
        <row r="48">
          <cell r="A48" t="str">
            <v>Slovenia</v>
          </cell>
          <cell r="B48">
            <v>0.11</v>
          </cell>
          <cell r="C48">
            <v>0.89</v>
          </cell>
        </row>
        <row r="49">
          <cell r="A49" t="str">
            <v>Malta</v>
          </cell>
        </row>
        <row r="50">
          <cell r="A50" t="str">
            <v>Botswana</v>
          </cell>
        </row>
        <row r="51">
          <cell r="A51" t="str">
            <v>Cambodia</v>
          </cell>
        </row>
        <row r="52">
          <cell r="A52" t="str">
            <v>South Africa</v>
          </cell>
          <cell r="B52">
            <v>0.12</v>
          </cell>
          <cell r="C52">
            <v>0.88</v>
          </cell>
        </row>
        <row r="53">
          <cell r="A53" t="str">
            <v>Switzerland</v>
          </cell>
          <cell r="B53">
            <v>0.15</v>
          </cell>
          <cell r="C53">
            <v>0.85</v>
          </cell>
        </row>
        <row r="54">
          <cell r="A54" t="str">
            <v>Norway</v>
          </cell>
          <cell r="B54">
            <v>0.11</v>
          </cell>
          <cell r="C54">
            <v>0.89</v>
          </cell>
        </row>
        <row r="55">
          <cell r="A55" t="str">
            <v>Sweden</v>
          </cell>
          <cell r="B55">
            <v>0.1</v>
          </cell>
          <cell r="C55">
            <v>0.9</v>
          </cell>
        </row>
        <row r="56">
          <cell r="A56" t="str">
            <v>Lebanon</v>
          </cell>
        </row>
        <row r="57">
          <cell r="A57" t="str">
            <v>Japan</v>
          </cell>
          <cell r="B57">
            <v>0.28000000000000003</v>
          </cell>
          <cell r="C57">
            <v>0.72</v>
          </cell>
        </row>
        <row r="58">
          <cell r="A58" t="str">
            <v>Germany</v>
          </cell>
          <cell r="B58">
            <v>0.1</v>
          </cell>
          <cell r="C58">
            <v>0.9</v>
          </cell>
        </row>
        <row r="59">
          <cell r="A59" t="str">
            <v>Armenia</v>
          </cell>
        </row>
        <row r="60">
          <cell r="A60" t="str">
            <v>Austria</v>
          </cell>
          <cell r="B60">
            <v>0.09</v>
          </cell>
          <cell r="C60">
            <v>0.91</v>
          </cell>
        </row>
        <row r="61">
          <cell r="A61" t="str">
            <v>Zambia</v>
          </cell>
        </row>
        <row r="62">
          <cell r="A62" t="str">
            <v>Rwanda</v>
          </cell>
        </row>
        <row r="63">
          <cell r="A63" t="str">
            <v>Malaysia</v>
          </cell>
          <cell r="B63">
            <v>0.13</v>
          </cell>
          <cell r="C63">
            <v>0.87</v>
          </cell>
        </row>
        <row r="64">
          <cell r="A64" t="str">
            <v>Moldova</v>
          </cell>
        </row>
        <row r="65">
          <cell r="A65" t="str">
            <v>United Arab Emirates</v>
          </cell>
          <cell r="B65">
            <v>7.0000000000000007E-2</v>
          </cell>
          <cell r="C65">
            <v>0.93</v>
          </cell>
        </row>
        <row r="66">
          <cell r="A66" t="str">
            <v>Greece</v>
          </cell>
          <cell r="B66">
            <v>0.1</v>
          </cell>
          <cell r="C66">
            <v>0.9</v>
          </cell>
        </row>
        <row r="67">
          <cell r="A67" t="str">
            <v>Nigeria</v>
          </cell>
          <cell r="B67">
            <v>0.08</v>
          </cell>
          <cell r="C67">
            <v>0.92</v>
          </cell>
        </row>
        <row r="68">
          <cell r="A68" t="str">
            <v>Hungary</v>
          </cell>
          <cell r="B68">
            <v>7.0000000000000007E-2</v>
          </cell>
          <cell r="C68">
            <v>0.93</v>
          </cell>
        </row>
        <row r="69">
          <cell r="A69" t="str">
            <v>Slovakia</v>
          </cell>
          <cell r="B69">
            <v>0.09</v>
          </cell>
          <cell r="C69">
            <v>0.91</v>
          </cell>
        </row>
        <row r="70">
          <cell r="A70" t="str">
            <v>Romania</v>
          </cell>
          <cell r="B70">
            <v>0.08</v>
          </cell>
          <cell r="C70">
            <v>0.92</v>
          </cell>
        </row>
        <row r="71">
          <cell r="A71" t="str">
            <v>Cameroon</v>
          </cell>
        </row>
        <row r="72">
          <cell r="A72" t="str">
            <v>North Macedonia</v>
          </cell>
        </row>
        <row r="73">
          <cell r="A73" t="str">
            <v>Bulgaria</v>
          </cell>
          <cell r="B73">
            <v>0.06</v>
          </cell>
          <cell r="C73">
            <v>0.94</v>
          </cell>
        </row>
        <row r="74">
          <cell r="A74" t="str">
            <v>Cyprus</v>
          </cell>
        </row>
        <row r="75">
          <cell r="A75" t="str">
            <v>Trinidad &amp; Tobago</v>
          </cell>
        </row>
        <row r="76">
          <cell r="A76" t="str">
            <v>Uganda</v>
          </cell>
        </row>
        <row r="77">
          <cell r="A77" t="str">
            <v>Belgium</v>
          </cell>
          <cell r="B77">
            <v>0.14000000000000001</v>
          </cell>
          <cell r="C77">
            <v>0.86</v>
          </cell>
        </row>
        <row r="78">
          <cell r="A78" t="str">
            <v>Georgia</v>
          </cell>
        </row>
        <row r="79">
          <cell r="A79" t="str">
            <v>Bosnia &amp; Herzegovina</v>
          </cell>
        </row>
        <row r="80">
          <cell r="A80" t="str">
            <v>Congo - Kinshasa</v>
          </cell>
        </row>
        <row r="81">
          <cell r="A81" t="str">
            <v>Serbia</v>
          </cell>
          <cell r="B81">
            <v>7.0000000000000007E-2</v>
          </cell>
          <cell r="C81">
            <v>0.93</v>
          </cell>
        </row>
        <row r="82">
          <cell r="A82" t="str">
            <v>Qatar</v>
          </cell>
        </row>
        <row r="83">
          <cell r="A83" t="str">
            <v>Croatia</v>
          </cell>
        </row>
        <row r="84">
          <cell r="A84" t="str">
            <v>Bolivia</v>
          </cell>
        </row>
        <row r="85">
          <cell r="A85" t="str">
            <v>Poland</v>
          </cell>
          <cell r="B85">
            <v>0.05</v>
          </cell>
          <cell r="C85">
            <v>0.95</v>
          </cell>
        </row>
        <row r="86">
          <cell r="A86" t="str">
            <v>Netherlands</v>
          </cell>
          <cell r="B86">
            <v>0.16</v>
          </cell>
          <cell r="C86">
            <v>0.84</v>
          </cell>
        </row>
        <row r="87">
          <cell r="A87" t="str">
            <v>Portugal</v>
          </cell>
          <cell r="B87">
            <v>0.13</v>
          </cell>
          <cell r="C87">
            <v>0.87</v>
          </cell>
        </row>
        <row r="88">
          <cell r="A88" t="str">
            <v>Tunisia</v>
          </cell>
        </row>
        <row r="89">
          <cell r="A89" t="str">
            <v>France</v>
          </cell>
          <cell r="B89">
            <v>0.11</v>
          </cell>
          <cell r="C89">
            <v>0.89</v>
          </cell>
        </row>
        <row r="90">
          <cell r="A90" t="str">
            <v>Myanmar (Burma)</v>
          </cell>
        </row>
        <row r="91">
          <cell r="A91" t="str">
            <v>Oman</v>
          </cell>
        </row>
        <row r="92">
          <cell r="A92" t="str">
            <v>Bahrain</v>
          </cell>
        </row>
        <row r="93">
          <cell r="A93" t="str">
            <v>Costa Rica</v>
          </cell>
        </row>
        <row r="94">
          <cell r="A94" t="str">
            <v>Jordan</v>
          </cell>
        </row>
        <row r="95">
          <cell r="A95" t="str">
            <v>Vietnam</v>
          </cell>
          <cell r="B95">
            <v>0.31</v>
          </cell>
          <cell r="C95">
            <v>0.69</v>
          </cell>
        </row>
        <row r="96">
          <cell r="A96" t="str">
            <v>Kuwait</v>
          </cell>
        </row>
        <row r="97">
          <cell r="A97" t="str">
            <v>Iraq</v>
          </cell>
        </row>
        <row r="98">
          <cell r="A98" t="str">
            <v>Morocco</v>
          </cell>
        </row>
        <row r="99">
          <cell r="A99" t="str">
            <v>Thailand</v>
          </cell>
          <cell r="B99">
            <v>0.05</v>
          </cell>
          <cell r="C99">
            <v>0.95</v>
          </cell>
        </row>
        <row r="100">
          <cell r="A100" t="str">
            <v>Azerbaijan</v>
          </cell>
        </row>
        <row r="101">
          <cell r="A101" t="str">
            <v>Italy</v>
          </cell>
          <cell r="B101">
            <v>0.08</v>
          </cell>
          <cell r="C101">
            <v>0.92</v>
          </cell>
        </row>
        <row r="102">
          <cell r="A102" t="str">
            <v>Madagascar</v>
          </cell>
        </row>
        <row r="103">
          <cell r="A103" t="str">
            <v>Senegal</v>
          </cell>
        </row>
        <row r="104">
          <cell r="A104" t="str">
            <v>Egypt</v>
          </cell>
          <cell r="B104">
            <v>0.13</v>
          </cell>
          <cell r="C104">
            <v>0.87</v>
          </cell>
        </row>
        <row r="105">
          <cell r="A105" t="str">
            <v>Spain</v>
          </cell>
          <cell r="B105">
            <v>0.12</v>
          </cell>
          <cell r="C105">
            <v>0.88</v>
          </cell>
        </row>
        <row r="106">
          <cell r="A106" t="str">
            <v>CÃ´te dâ€™Ivoire</v>
          </cell>
        </row>
        <row r="107">
          <cell r="A107" t="str">
            <v>Puerto Rico</v>
          </cell>
        </row>
        <row r="108">
          <cell r="A108" t="str">
            <v>Palestine</v>
          </cell>
        </row>
        <row r="109">
          <cell r="A109" t="str">
            <v>Uruguay</v>
          </cell>
        </row>
        <row r="110">
          <cell r="A110" t="str">
            <v>Chile</v>
          </cell>
          <cell r="B110">
            <v>0.13</v>
          </cell>
          <cell r="C110">
            <v>0.87</v>
          </cell>
        </row>
        <row r="111">
          <cell r="A111" t="str">
            <v>Mali</v>
          </cell>
        </row>
        <row r="112">
          <cell r="A112" t="str">
            <v>Honduras</v>
          </cell>
        </row>
        <row r="113">
          <cell r="A113" t="str">
            <v>Albania</v>
          </cell>
        </row>
        <row r="114">
          <cell r="A114" t="str">
            <v>Guatemala</v>
          </cell>
        </row>
        <row r="115">
          <cell r="A115" t="str">
            <v>Brazil</v>
          </cell>
          <cell r="B115">
            <v>7.0000000000000007E-2</v>
          </cell>
          <cell r="C115">
            <v>0.93</v>
          </cell>
        </row>
        <row r="116">
          <cell r="A116" t="str">
            <v>Indonesia</v>
          </cell>
          <cell r="B116">
            <v>7.0000000000000007E-2</v>
          </cell>
          <cell r="C116">
            <v>0.93</v>
          </cell>
        </row>
        <row r="117">
          <cell r="A117" t="str">
            <v>Panama</v>
          </cell>
        </row>
        <row r="118">
          <cell r="A118" t="str">
            <v>Turkey</v>
          </cell>
          <cell r="B118">
            <v>0.09</v>
          </cell>
          <cell r="C118">
            <v>0.91</v>
          </cell>
        </row>
        <row r="119">
          <cell r="A119" t="str">
            <v>Paraguay</v>
          </cell>
        </row>
        <row r="120">
          <cell r="A120" t="str">
            <v>Saudi Arabia</v>
          </cell>
          <cell r="B120">
            <v>0.11</v>
          </cell>
          <cell r="C120">
            <v>0.89</v>
          </cell>
        </row>
        <row r="121">
          <cell r="A121" t="str">
            <v>Laos</v>
          </cell>
        </row>
        <row r="122">
          <cell r="A122" t="str">
            <v>Tanzania</v>
          </cell>
        </row>
        <row r="123">
          <cell r="A123" t="str">
            <v>Sudan</v>
          </cell>
        </row>
        <row r="124">
          <cell r="A124" t="str">
            <v>Syria</v>
          </cell>
        </row>
        <row r="125">
          <cell r="A125" t="str">
            <v>Peru</v>
          </cell>
          <cell r="B125">
            <v>0.16</v>
          </cell>
          <cell r="C125">
            <v>0.84</v>
          </cell>
        </row>
        <row r="126">
          <cell r="A126" t="str">
            <v>Argentina</v>
          </cell>
          <cell r="B126">
            <v>0.06</v>
          </cell>
          <cell r="C126">
            <v>0.94</v>
          </cell>
        </row>
        <row r="127">
          <cell r="A127" t="str">
            <v>Mexico</v>
          </cell>
          <cell r="B127">
            <v>0.1</v>
          </cell>
          <cell r="C127">
            <v>0.9</v>
          </cell>
        </row>
        <row r="128">
          <cell r="A128" t="str">
            <v>Dominican Republic</v>
          </cell>
        </row>
        <row r="129">
          <cell r="A129" t="str">
            <v>Algeria</v>
          </cell>
        </row>
        <row r="130">
          <cell r="A130" t="str">
            <v>Colombia</v>
          </cell>
          <cell r="B130">
            <v>0.08</v>
          </cell>
          <cell r="C130">
            <v>0.92</v>
          </cell>
        </row>
        <row r="131">
          <cell r="A131" t="str">
            <v>Montenegro</v>
          </cell>
        </row>
        <row r="132">
          <cell r="A132" t="str">
            <v>RÃ©union</v>
          </cell>
        </row>
        <row r="133">
          <cell r="A133" t="str">
            <v>Ecuador</v>
          </cell>
        </row>
        <row r="134">
          <cell r="A134" t="str">
            <v>Venezuela</v>
          </cell>
        </row>
        <row r="135">
          <cell r="A135" t="str">
            <v>El Salvador</v>
          </cell>
        </row>
        <row r="136">
          <cell r="A136" t="str">
            <v>British Indian Ocean Territory</v>
          </cell>
        </row>
        <row r="137">
          <cell r="A137" t="str">
            <v>Seychelles</v>
          </cell>
        </row>
        <row r="138">
          <cell r="A138" t="str">
            <v>Bhutan</v>
          </cell>
        </row>
        <row r="139">
          <cell r="A139" t="str">
            <v>Lesotho</v>
          </cell>
        </row>
        <row r="140">
          <cell r="A140" t="str">
            <v>Gibraltar</v>
          </cell>
        </row>
        <row r="141">
          <cell r="A141" t="str">
            <v>Cuba</v>
          </cell>
        </row>
        <row r="142">
          <cell r="A142" t="str">
            <v>Belize</v>
          </cell>
        </row>
        <row r="143">
          <cell r="A143" t="str">
            <v>Guernsey</v>
          </cell>
        </row>
        <row r="144">
          <cell r="A144" t="str">
            <v>Namibia</v>
          </cell>
        </row>
        <row r="145">
          <cell r="A145" t="str">
            <v>Papua New Guinea</v>
          </cell>
        </row>
        <row r="146">
          <cell r="A146" t="str">
            <v>Bahamas</v>
          </cell>
        </row>
        <row r="147">
          <cell r="A147" t="str">
            <v>CuraÃ§ao</v>
          </cell>
        </row>
        <row r="148">
          <cell r="A148" t="str">
            <v>Benin</v>
          </cell>
        </row>
        <row r="149">
          <cell r="A149" t="str">
            <v>Jersey</v>
          </cell>
        </row>
        <row r="150">
          <cell r="A150" t="str">
            <v>Fiji</v>
          </cell>
        </row>
        <row r="151">
          <cell r="A151" t="str">
            <v>Suriname</v>
          </cell>
        </row>
        <row r="152">
          <cell r="A152" t="str">
            <v>Malawi</v>
          </cell>
        </row>
        <row r="153">
          <cell r="A153" t="str">
            <v>Haiti</v>
          </cell>
        </row>
        <row r="154">
          <cell r="A154" t="str">
            <v>Afghanistan</v>
          </cell>
        </row>
        <row r="155">
          <cell r="A155" t="str">
            <v>Brunei</v>
          </cell>
        </row>
        <row r="156">
          <cell r="A156" t="str">
            <v>Libya</v>
          </cell>
        </row>
        <row r="157">
          <cell r="A157" t="str">
            <v>Mongolia</v>
          </cell>
        </row>
        <row r="158">
          <cell r="A158" t="str">
            <v>Kosovo</v>
          </cell>
        </row>
        <row r="159">
          <cell r="A159" t="str">
            <v>Aruba</v>
          </cell>
        </row>
        <row r="160">
          <cell r="A160" t="str">
            <v>Angola</v>
          </cell>
        </row>
        <row r="161">
          <cell r="A161" t="str">
            <v>Anguilla</v>
          </cell>
        </row>
        <row r="162">
          <cell r="A162" t="str">
            <v>Ã…land Islands</v>
          </cell>
        </row>
        <row r="163">
          <cell r="A163" t="str">
            <v>Andorra</v>
          </cell>
        </row>
        <row r="164">
          <cell r="A164" t="str">
            <v>American Samoa</v>
          </cell>
        </row>
        <row r="165">
          <cell r="A165" t="str">
            <v>Antarctica</v>
          </cell>
        </row>
        <row r="166">
          <cell r="A166" t="str">
            <v>French Southern Territories</v>
          </cell>
        </row>
        <row r="167">
          <cell r="A167" t="str">
            <v>Antigua &amp; Barbuda</v>
          </cell>
        </row>
        <row r="168">
          <cell r="A168" t="str">
            <v>Burundi</v>
          </cell>
        </row>
        <row r="169">
          <cell r="A169" t="str">
            <v>Caribbean Netherlands</v>
          </cell>
        </row>
        <row r="170">
          <cell r="A170" t="str">
            <v>St. BarthÃ©lemy</v>
          </cell>
        </row>
        <row r="171">
          <cell r="A171" t="str">
            <v>Bermuda</v>
          </cell>
        </row>
        <row r="172">
          <cell r="A172" t="str">
            <v>Barbados</v>
          </cell>
        </row>
        <row r="173">
          <cell r="A173" t="str">
            <v>Bouvet Island</v>
          </cell>
        </row>
        <row r="174">
          <cell r="A174" t="str">
            <v>Central African Republic</v>
          </cell>
        </row>
        <row r="175">
          <cell r="A175" t="str">
            <v>Cocos (Keeling) Islands</v>
          </cell>
        </row>
        <row r="176">
          <cell r="A176" t="str">
            <v>Congo - Brazzaville</v>
          </cell>
        </row>
        <row r="177">
          <cell r="A177" t="str">
            <v>Cook Islands</v>
          </cell>
        </row>
        <row r="178">
          <cell r="A178" t="str">
            <v>Comoros</v>
          </cell>
        </row>
        <row r="179">
          <cell r="A179" t="str">
            <v>Cape Verde</v>
          </cell>
        </row>
        <row r="180">
          <cell r="A180" t="str">
            <v>Christmas Island</v>
          </cell>
        </row>
        <row r="181">
          <cell r="A181" t="str">
            <v>Cayman Islands</v>
          </cell>
        </row>
        <row r="182">
          <cell r="A182" t="str">
            <v>Djibouti</v>
          </cell>
        </row>
        <row r="183">
          <cell r="A183" t="str">
            <v>Dominica</v>
          </cell>
        </row>
        <row r="184">
          <cell r="A184" t="str">
            <v>Eritrea</v>
          </cell>
        </row>
        <row r="185">
          <cell r="A185" t="str">
            <v>Western Sahara</v>
          </cell>
        </row>
        <row r="186">
          <cell r="A186" t="str">
            <v>Falkland Islands (Islas Malvinas)</v>
          </cell>
        </row>
        <row r="187">
          <cell r="A187" t="str">
            <v>Faroe Islands</v>
          </cell>
        </row>
        <row r="188">
          <cell r="A188" t="str">
            <v>Micronesia</v>
          </cell>
        </row>
        <row r="189">
          <cell r="A189" t="str">
            <v>Gabon</v>
          </cell>
        </row>
        <row r="190">
          <cell r="A190" t="str">
            <v>Guinea</v>
          </cell>
        </row>
        <row r="191">
          <cell r="A191" t="str">
            <v>Guadeloupe</v>
          </cell>
        </row>
        <row r="192">
          <cell r="A192" t="str">
            <v>Gambia</v>
          </cell>
        </row>
        <row r="193">
          <cell r="A193" t="str">
            <v>Guinea-Bissau</v>
          </cell>
        </row>
        <row r="194">
          <cell r="A194" t="str">
            <v>Equatorial Guinea</v>
          </cell>
        </row>
        <row r="195">
          <cell r="A195" t="str">
            <v>Grenada</v>
          </cell>
        </row>
        <row r="196">
          <cell r="A196" t="str">
            <v>Greenland</v>
          </cell>
        </row>
        <row r="197">
          <cell r="A197" t="str">
            <v>French Guiana</v>
          </cell>
        </row>
        <row r="198">
          <cell r="A198" t="str">
            <v>Guam</v>
          </cell>
        </row>
        <row r="199">
          <cell r="A199" t="str">
            <v>Guyana</v>
          </cell>
        </row>
        <row r="200">
          <cell r="A200" t="str">
            <v>Heard &amp; McDonald Islands</v>
          </cell>
        </row>
        <row r="201">
          <cell r="A201" t="str">
            <v>Isle of Man</v>
          </cell>
        </row>
        <row r="202">
          <cell r="A202" t="str">
            <v>Kiribati</v>
          </cell>
        </row>
        <row r="203">
          <cell r="A203" t="str">
            <v>St. Kitts &amp; Nevis</v>
          </cell>
        </row>
        <row r="204">
          <cell r="A204" t="str">
            <v>Liberia</v>
          </cell>
        </row>
        <row r="205">
          <cell r="A205" t="str">
            <v>St. Lucia</v>
          </cell>
        </row>
        <row r="206">
          <cell r="A206" t="str">
            <v>Liechtenstein</v>
          </cell>
        </row>
        <row r="207">
          <cell r="A207" t="str">
            <v>St. Martin</v>
          </cell>
        </row>
        <row r="208">
          <cell r="A208" t="str">
            <v>Monaco</v>
          </cell>
        </row>
        <row r="209">
          <cell r="A209" t="str">
            <v>Marshall Islands</v>
          </cell>
        </row>
        <row r="210">
          <cell r="A210" t="str">
            <v>Northern Mariana Islands</v>
          </cell>
        </row>
        <row r="211">
          <cell r="A211" t="str">
            <v>Mozambique</v>
          </cell>
        </row>
        <row r="212">
          <cell r="A212" t="str">
            <v>Mauritania</v>
          </cell>
        </row>
        <row r="213">
          <cell r="A213" t="str">
            <v>Montserrat</v>
          </cell>
        </row>
        <row r="214">
          <cell r="A214" t="str">
            <v>Martinique</v>
          </cell>
        </row>
        <row r="215">
          <cell r="A215" t="str">
            <v>Mayotte</v>
          </cell>
        </row>
        <row r="216">
          <cell r="A216" t="str">
            <v>New Caledonia</v>
          </cell>
        </row>
        <row r="217">
          <cell r="A217" t="str">
            <v>Niger</v>
          </cell>
        </row>
        <row r="218">
          <cell r="A218" t="str">
            <v>Norfolk Island</v>
          </cell>
        </row>
        <row r="219">
          <cell r="A219" t="str">
            <v>Nicaragua</v>
          </cell>
        </row>
        <row r="220">
          <cell r="A220" t="str">
            <v>Niue</v>
          </cell>
        </row>
        <row r="221">
          <cell r="A221" t="str">
            <v>Nauru</v>
          </cell>
        </row>
        <row r="222">
          <cell r="A222" t="str">
            <v>Pitcairn Islands</v>
          </cell>
        </row>
        <row r="223">
          <cell r="A223" t="str">
            <v>Palau</v>
          </cell>
        </row>
        <row r="224">
          <cell r="A224" t="str">
            <v>North Korea</v>
          </cell>
        </row>
        <row r="225">
          <cell r="A225" t="str">
            <v>French Polynesia</v>
          </cell>
        </row>
        <row r="226">
          <cell r="A226" t="str">
            <v>South Georgia &amp; South Sandwich Islands</v>
          </cell>
        </row>
        <row r="227">
          <cell r="A227" t="str">
            <v>Svalbard &amp; Jan Mayen</v>
          </cell>
        </row>
        <row r="228">
          <cell r="A228" t="str">
            <v>Solomon Islands</v>
          </cell>
        </row>
        <row r="229">
          <cell r="A229" t="str">
            <v>Sierra Leone</v>
          </cell>
        </row>
        <row r="230">
          <cell r="A230" t="str">
            <v>San Marino</v>
          </cell>
        </row>
        <row r="231">
          <cell r="A231" t="str">
            <v>Somalia</v>
          </cell>
        </row>
        <row r="232">
          <cell r="A232" t="str">
            <v>St. Pierre &amp; Miquelon</v>
          </cell>
        </row>
        <row r="233">
          <cell r="A233" t="str">
            <v>South Sudan</v>
          </cell>
        </row>
        <row r="234">
          <cell r="A234" t="str">
            <v>SÃ£o TomÃ© &amp; PrÃ­ncipe</v>
          </cell>
        </row>
        <row r="235">
          <cell r="A235" t="str">
            <v>Eswatini</v>
          </cell>
        </row>
        <row r="236">
          <cell r="A236" t="str">
            <v>Sint Maarten</v>
          </cell>
        </row>
        <row r="237">
          <cell r="A237" t="str">
            <v>Turks &amp; Caicos Islands</v>
          </cell>
        </row>
        <row r="238">
          <cell r="A238" t="str">
            <v>Chad</v>
          </cell>
        </row>
        <row r="239">
          <cell r="A239" t="str">
            <v>Togo</v>
          </cell>
        </row>
        <row r="240">
          <cell r="A240" t="str">
            <v>Tokelau</v>
          </cell>
        </row>
        <row r="241">
          <cell r="A241" t="str">
            <v>Turkmenistan</v>
          </cell>
        </row>
        <row r="242">
          <cell r="A242" t="str">
            <v>Timor-Leste</v>
          </cell>
        </row>
        <row r="243">
          <cell r="A243" t="str">
            <v>Tonga</v>
          </cell>
        </row>
        <row r="244">
          <cell r="A244" t="str">
            <v>Tuvalu</v>
          </cell>
        </row>
        <row r="245">
          <cell r="A245" t="str">
            <v>U.S. Outlying Islands</v>
          </cell>
        </row>
        <row r="246">
          <cell r="A246" t="str">
            <v>Vatican City</v>
          </cell>
        </row>
        <row r="247">
          <cell r="A247" t="str">
            <v>St. Vincent &amp; Grenadines</v>
          </cell>
        </row>
        <row r="248">
          <cell r="A248" t="str">
            <v>British Virgin Islands</v>
          </cell>
        </row>
        <row r="249">
          <cell r="A249" t="str">
            <v>U.S. Virgin Islands</v>
          </cell>
        </row>
        <row r="250">
          <cell r="A250" t="str">
            <v>Vanuatu</v>
          </cell>
        </row>
        <row r="251">
          <cell r="A251" t="str">
            <v>Wallis &amp; Futuna</v>
          </cell>
        </row>
        <row r="252">
          <cell r="A252" t="str">
            <v>Samoa</v>
          </cell>
        </row>
        <row r="253">
          <cell r="A253" t="str">
            <v>Yemen</v>
          </cell>
        </row>
      </sheetData>
    </sheetDataSet>
  </externalBook>
</externalLink>
</file>

<file path=xl/externalLinks/externalLink2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8)"/>
    </sheetNames>
    <sheetDataSet>
      <sheetData sheetId="0">
        <row r="1">
          <cell r="A1" t="str">
            <v>Kategori: TÃ¼m kategoriler</v>
          </cell>
        </row>
        <row r="3">
          <cell r="A3" t="str">
            <v>Ãœlke</v>
          </cell>
          <cell r="B3" t="str">
            <v>Ã–bek: (2014)</v>
          </cell>
          <cell r="C3" t="str">
            <v>Komut Ã§izelgesi: (2014)</v>
          </cell>
        </row>
        <row r="4">
          <cell r="A4" t="str">
            <v>China</v>
          </cell>
          <cell r="B4">
            <v>0.62</v>
          </cell>
          <cell r="C4">
            <v>0.38</v>
          </cell>
        </row>
        <row r="5">
          <cell r="A5" t="str">
            <v>South Korea</v>
          </cell>
          <cell r="B5">
            <v>0.61</v>
          </cell>
          <cell r="C5">
            <v>0.39</v>
          </cell>
        </row>
        <row r="6">
          <cell r="A6" t="str">
            <v>Hong Kong</v>
          </cell>
          <cell r="B6">
            <v>0.71</v>
          </cell>
          <cell r="C6">
            <v>0.28999999999999998</v>
          </cell>
        </row>
        <row r="7">
          <cell r="A7" t="str">
            <v>Taiwan</v>
          </cell>
          <cell r="B7">
            <v>0.78</v>
          </cell>
          <cell r="C7">
            <v>0.22</v>
          </cell>
        </row>
        <row r="8">
          <cell r="A8" t="str">
            <v>India</v>
          </cell>
          <cell r="B8">
            <v>0.45</v>
          </cell>
          <cell r="C8">
            <v>0.55000000000000004</v>
          </cell>
        </row>
        <row r="9">
          <cell r="A9" t="str">
            <v>St. Helena</v>
          </cell>
        </row>
        <row r="10">
          <cell r="A10" t="str">
            <v>Macao</v>
          </cell>
        </row>
        <row r="11">
          <cell r="A11" t="str">
            <v>New Zealand</v>
          </cell>
          <cell r="B11">
            <v>0.79</v>
          </cell>
          <cell r="C11">
            <v>0.21</v>
          </cell>
        </row>
        <row r="12">
          <cell r="A12" t="str">
            <v>Israel</v>
          </cell>
          <cell r="B12">
            <v>0.57999999999999996</v>
          </cell>
          <cell r="C12">
            <v>0.42</v>
          </cell>
        </row>
        <row r="13">
          <cell r="A13" t="str">
            <v>Estonia</v>
          </cell>
        </row>
        <row r="14">
          <cell r="A14" t="str">
            <v>Singapore</v>
          </cell>
          <cell r="B14">
            <v>0.52</v>
          </cell>
          <cell r="C14">
            <v>0.48</v>
          </cell>
        </row>
        <row r="15">
          <cell r="A15" t="str">
            <v>Cuba</v>
          </cell>
        </row>
        <row r="16">
          <cell r="A16" t="str">
            <v>Belarus</v>
          </cell>
          <cell r="B16">
            <v>0.62</v>
          </cell>
          <cell r="C16">
            <v>0.38</v>
          </cell>
        </row>
        <row r="17">
          <cell r="A17" t="str">
            <v>United States</v>
          </cell>
          <cell r="B17">
            <v>0.63</v>
          </cell>
          <cell r="C17">
            <v>0.37</v>
          </cell>
        </row>
        <row r="18">
          <cell r="A18" t="str">
            <v>Australia</v>
          </cell>
          <cell r="B18">
            <v>0.76</v>
          </cell>
          <cell r="C18">
            <v>0.24</v>
          </cell>
        </row>
        <row r="19">
          <cell r="A19" t="str">
            <v>Zambia</v>
          </cell>
        </row>
        <row r="20">
          <cell r="A20" t="str">
            <v>Sri Lanka</v>
          </cell>
          <cell r="B20">
            <v>0.52</v>
          </cell>
          <cell r="C20">
            <v>0.48</v>
          </cell>
        </row>
        <row r="21">
          <cell r="A21" t="str">
            <v>Botswana</v>
          </cell>
        </row>
        <row r="22">
          <cell r="A22" t="str">
            <v>Nepal</v>
          </cell>
        </row>
        <row r="23">
          <cell r="A23" t="str">
            <v>Tajikistan</v>
          </cell>
        </row>
        <row r="24">
          <cell r="A24" t="str">
            <v>Iceland</v>
          </cell>
        </row>
        <row r="25">
          <cell r="A25" t="str">
            <v>Russia</v>
          </cell>
          <cell r="B25">
            <v>0.74</v>
          </cell>
          <cell r="C25">
            <v>0.26</v>
          </cell>
        </row>
        <row r="26">
          <cell r="A26" t="str">
            <v>Iran</v>
          </cell>
          <cell r="B26">
            <v>0.82</v>
          </cell>
          <cell r="C26">
            <v>0.18</v>
          </cell>
        </row>
        <row r="27">
          <cell r="A27" t="str">
            <v>Luxembourg</v>
          </cell>
        </row>
        <row r="28">
          <cell r="A28" t="str">
            <v>Pakistan</v>
          </cell>
          <cell r="B28">
            <v>0.67</v>
          </cell>
          <cell r="C28">
            <v>0.33</v>
          </cell>
        </row>
        <row r="29">
          <cell r="A29" t="str">
            <v>Denmark</v>
          </cell>
          <cell r="B29">
            <v>0.67</v>
          </cell>
          <cell r="C29">
            <v>0.33</v>
          </cell>
        </row>
        <row r="30">
          <cell r="A30" t="str">
            <v>Bangladesh</v>
          </cell>
          <cell r="B30">
            <v>0.68</v>
          </cell>
          <cell r="C30">
            <v>0.32</v>
          </cell>
        </row>
        <row r="31">
          <cell r="A31" t="str">
            <v>Burkina Faso</v>
          </cell>
        </row>
        <row r="32">
          <cell r="A32" t="str">
            <v>Kyrgyzstan</v>
          </cell>
        </row>
        <row r="33">
          <cell r="A33" t="str">
            <v>Mauritius</v>
          </cell>
        </row>
        <row r="34">
          <cell r="A34" t="str">
            <v>Kazakhstan</v>
          </cell>
        </row>
        <row r="35">
          <cell r="A35" t="str">
            <v>Czechia</v>
          </cell>
          <cell r="B35">
            <v>0.59</v>
          </cell>
          <cell r="C35">
            <v>0.41</v>
          </cell>
        </row>
        <row r="36">
          <cell r="A36" t="str">
            <v>Zimbabwe</v>
          </cell>
        </row>
        <row r="37">
          <cell r="A37" t="str">
            <v>Ukraine</v>
          </cell>
          <cell r="B37">
            <v>0.61</v>
          </cell>
          <cell r="C37">
            <v>0.39</v>
          </cell>
        </row>
        <row r="38">
          <cell r="A38" t="str">
            <v>Jamaica</v>
          </cell>
        </row>
        <row r="39">
          <cell r="A39" t="str">
            <v>Uzbekistan</v>
          </cell>
        </row>
        <row r="40">
          <cell r="A40" t="str">
            <v>Philippines</v>
          </cell>
          <cell r="B40">
            <v>0.7</v>
          </cell>
          <cell r="C40">
            <v>0.3</v>
          </cell>
        </row>
        <row r="41">
          <cell r="A41" t="str">
            <v>United Kingdom</v>
          </cell>
          <cell r="B41">
            <v>0.69</v>
          </cell>
          <cell r="C41">
            <v>0.31</v>
          </cell>
        </row>
        <row r="42">
          <cell r="A42" t="str">
            <v>Canada</v>
          </cell>
          <cell r="B42">
            <v>0.57999999999999996</v>
          </cell>
          <cell r="C42">
            <v>0.42</v>
          </cell>
        </row>
        <row r="43">
          <cell r="A43" t="str">
            <v>Ghana</v>
          </cell>
        </row>
        <row r="44">
          <cell r="A44" t="str">
            <v>Ireland</v>
          </cell>
          <cell r="B44">
            <v>0.52</v>
          </cell>
          <cell r="C44">
            <v>0.48</v>
          </cell>
        </row>
        <row r="45">
          <cell r="A45" t="str">
            <v>Lebanon</v>
          </cell>
        </row>
        <row r="46">
          <cell r="A46" t="str">
            <v>Malta</v>
          </cell>
        </row>
        <row r="47">
          <cell r="A47" t="str">
            <v>North Macedonia</v>
          </cell>
        </row>
        <row r="48">
          <cell r="A48" t="str">
            <v>Kenya</v>
          </cell>
        </row>
        <row r="49">
          <cell r="A49" t="str">
            <v>Switzerland</v>
          </cell>
          <cell r="B49">
            <v>0.47</v>
          </cell>
          <cell r="C49">
            <v>0.53</v>
          </cell>
        </row>
        <row r="50">
          <cell r="A50" t="str">
            <v>Cambodia</v>
          </cell>
        </row>
        <row r="51">
          <cell r="A51" t="str">
            <v>Latvia</v>
          </cell>
        </row>
        <row r="52">
          <cell r="A52" t="str">
            <v>Finland</v>
          </cell>
          <cell r="B52">
            <v>0.56000000000000005</v>
          </cell>
          <cell r="C52">
            <v>0.44</v>
          </cell>
        </row>
        <row r="53">
          <cell r="A53" t="str">
            <v>Slovenia</v>
          </cell>
          <cell r="B53">
            <v>0.61</v>
          </cell>
          <cell r="C53">
            <v>0.39</v>
          </cell>
        </row>
        <row r="54">
          <cell r="A54" t="str">
            <v>Portugal</v>
          </cell>
          <cell r="B54">
            <v>0.35</v>
          </cell>
          <cell r="C54">
            <v>0.65</v>
          </cell>
        </row>
        <row r="55">
          <cell r="A55" t="str">
            <v>Sweden</v>
          </cell>
          <cell r="B55">
            <v>0.52</v>
          </cell>
          <cell r="C55">
            <v>0.48</v>
          </cell>
        </row>
        <row r="56">
          <cell r="A56" t="str">
            <v>Ethiopia</v>
          </cell>
        </row>
        <row r="57">
          <cell r="A57" t="str">
            <v>South Africa</v>
          </cell>
          <cell r="B57">
            <v>0.69</v>
          </cell>
          <cell r="C57">
            <v>0.31</v>
          </cell>
        </row>
        <row r="58">
          <cell r="A58" t="str">
            <v>Armenia</v>
          </cell>
        </row>
        <row r="59">
          <cell r="A59" t="str">
            <v>Lithuania</v>
          </cell>
        </row>
        <row r="60">
          <cell r="A60" t="str">
            <v>Maldives</v>
          </cell>
        </row>
        <row r="61">
          <cell r="A61" t="str">
            <v>Austria</v>
          </cell>
          <cell r="B61">
            <v>0.48</v>
          </cell>
          <cell r="C61">
            <v>0.52</v>
          </cell>
        </row>
        <row r="62">
          <cell r="A62" t="str">
            <v>Germany</v>
          </cell>
          <cell r="B62">
            <v>0.49</v>
          </cell>
          <cell r="C62">
            <v>0.51</v>
          </cell>
        </row>
        <row r="63">
          <cell r="A63" t="str">
            <v>Uganda</v>
          </cell>
        </row>
        <row r="64">
          <cell r="A64" t="str">
            <v>Japan</v>
          </cell>
          <cell r="B64">
            <v>0.52</v>
          </cell>
          <cell r="C64">
            <v>0.48</v>
          </cell>
        </row>
        <row r="65">
          <cell r="A65" t="str">
            <v>Norway</v>
          </cell>
          <cell r="B65">
            <v>0.51</v>
          </cell>
          <cell r="C65">
            <v>0.49</v>
          </cell>
        </row>
        <row r="66">
          <cell r="A66" t="str">
            <v>United Arab Emirates</v>
          </cell>
          <cell r="B66">
            <v>0.71</v>
          </cell>
          <cell r="C66">
            <v>0.28999999999999998</v>
          </cell>
        </row>
        <row r="67">
          <cell r="A67" t="str">
            <v>Cyprus</v>
          </cell>
        </row>
        <row r="68">
          <cell r="A68" t="str">
            <v>Moldova</v>
          </cell>
        </row>
        <row r="69">
          <cell r="A69" t="str">
            <v>Bulgaria</v>
          </cell>
          <cell r="B69">
            <v>0.56000000000000005</v>
          </cell>
          <cell r="C69">
            <v>0.44</v>
          </cell>
        </row>
        <row r="70">
          <cell r="A70" t="str">
            <v>Malaysia</v>
          </cell>
          <cell r="B70">
            <v>0.69</v>
          </cell>
          <cell r="C70">
            <v>0.31</v>
          </cell>
        </row>
        <row r="71">
          <cell r="A71" t="str">
            <v>Nigeria</v>
          </cell>
        </row>
        <row r="72">
          <cell r="A72" t="str">
            <v>Myanmar (Burma)</v>
          </cell>
        </row>
        <row r="73">
          <cell r="A73" t="str">
            <v>Tunisia</v>
          </cell>
        </row>
        <row r="74">
          <cell r="A74" t="str">
            <v>Slovakia</v>
          </cell>
          <cell r="B74">
            <v>0.56000000000000005</v>
          </cell>
          <cell r="C74">
            <v>0.44</v>
          </cell>
        </row>
        <row r="75">
          <cell r="A75" t="str">
            <v>Romania</v>
          </cell>
          <cell r="B75">
            <v>0.49</v>
          </cell>
          <cell r="C75">
            <v>0.51</v>
          </cell>
        </row>
        <row r="76">
          <cell r="A76" t="str">
            <v>Greece</v>
          </cell>
          <cell r="B76">
            <v>0.61</v>
          </cell>
          <cell r="C76">
            <v>0.39</v>
          </cell>
        </row>
        <row r="77">
          <cell r="A77" t="str">
            <v>Hungary</v>
          </cell>
          <cell r="B77">
            <v>0.56000000000000005</v>
          </cell>
          <cell r="C77">
            <v>0.44</v>
          </cell>
        </row>
        <row r="78">
          <cell r="A78" t="str">
            <v>Belgium</v>
          </cell>
          <cell r="B78">
            <v>0.49</v>
          </cell>
          <cell r="C78">
            <v>0.51</v>
          </cell>
        </row>
        <row r="79">
          <cell r="A79" t="str">
            <v>Congo - Kinshasa</v>
          </cell>
        </row>
        <row r="80">
          <cell r="A80" t="str">
            <v>Oman</v>
          </cell>
        </row>
        <row r="81">
          <cell r="A81" t="str">
            <v>Georgia</v>
          </cell>
        </row>
        <row r="82">
          <cell r="A82" t="str">
            <v>France</v>
          </cell>
          <cell r="B82">
            <v>0.43</v>
          </cell>
          <cell r="C82">
            <v>0.56999999999999995</v>
          </cell>
        </row>
        <row r="83">
          <cell r="A83" t="str">
            <v>Serbia</v>
          </cell>
          <cell r="B83">
            <v>0.56000000000000005</v>
          </cell>
          <cell r="C83">
            <v>0.44</v>
          </cell>
        </row>
        <row r="84">
          <cell r="A84" t="str">
            <v>Trinidad &amp; Tobago</v>
          </cell>
        </row>
        <row r="85">
          <cell r="A85" t="str">
            <v>Qatar</v>
          </cell>
        </row>
        <row r="86">
          <cell r="A86" t="str">
            <v>Poland</v>
          </cell>
          <cell r="B86">
            <v>0.55000000000000004</v>
          </cell>
          <cell r="C86">
            <v>0.45</v>
          </cell>
        </row>
        <row r="87">
          <cell r="A87" t="str">
            <v>Bosnia &amp; Herzegovina</v>
          </cell>
        </row>
        <row r="88">
          <cell r="A88" t="str">
            <v>Costa Rica</v>
          </cell>
        </row>
        <row r="89">
          <cell r="A89" t="str">
            <v>Croatia</v>
          </cell>
          <cell r="B89">
            <v>0.6</v>
          </cell>
          <cell r="C89">
            <v>0.4</v>
          </cell>
        </row>
        <row r="90">
          <cell r="A90" t="str">
            <v>Netherlands</v>
          </cell>
          <cell r="B90">
            <v>0.51</v>
          </cell>
          <cell r="C90">
            <v>0.49</v>
          </cell>
        </row>
        <row r="91">
          <cell r="A91" t="str">
            <v>Bolivia</v>
          </cell>
          <cell r="B91">
            <v>0.71</v>
          </cell>
          <cell r="C91">
            <v>0.28999999999999998</v>
          </cell>
        </row>
        <row r="92">
          <cell r="A92" t="str">
            <v>Spain</v>
          </cell>
          <cell r="B92">
            <v>0.4</v>
          </cell>
          <cell r="C92">
            <v>0.6</v>
          </cell>
        </row>
        <row r="93">
          <cell r="A93" t="str">
            <v>Uruguay</v>
          </cell>
        </row>
        <row r="94">
          <cell r="A94" t="str">
            <v>Jordan</v>
          </cell>
        </row>
        <row r="95">
          <cell r="A95" t="str">
            <v>Paraguay</v>
          </cell>
        </row>
        <row r="96">
          <cell r="A96" t="str">
            <v>Bahrain</v>
          </cell>
        </row>
        <row r="97">
          <cell r="A97" t="str">
            <v>Mali</v>
          </cell>
        </row>
        <row r="98">
          <cell r="A98" t="str">
            <v>Guatemala</v>
          </cell>
        </row>
        <row r="99">
          <cell r="A99" t="str">
            <v>Vietnam</v>
          </cell>
          <cell r="B99">
            <v>0.54</v>
          </cell>
          <cell r="C99">
            <v>0.46</v>
          </cell>
        </row>
        <row r="100">
          <cell r="A100" t="str">
            <v>Thailand</v>
          </cell>
          <cell r="B100">
            <v>0.71</v>
          </cell>
          <cell r="C100">
            <v>0.28999999999999998</v>
          </cell>
        </row>
        <row r="101">
          <cell r="A101" t="str">
            <v>Italy</v>
          </cell>
          <cell r="B101">
            <v>0.48</v>
          </cell>
          <cell r="C101">
            <v>0.52</v>
          </cell>
        </row>
        <row r="102">
          <cell r="A102" t="str">
            <v>Egypt</v>
          </cell>
          <cell r="B102">
            <v>0.6</v>
          </cell>
          <cell r="C102">
            <v>0.4</v>
          </cell>
        </row>
        <row r="103">
          <cell r="A103" t="str">
            <v>Azerbaijan</v>
          </cell>
        </row>
        <row r="104">
          <cell r="A104" t="str">
            <v>Laos</v>
          </cell>
        </row>
        <row r="105">
          <cell r="A105" t="str">
            <v>Albania</v>
          </cell>
        </row>
        <row r="106">
          <cell r="A106" t="str">
            <v>Iraq</v>
          </cell>
        </row>
        <row r="107">
          <cell r="A107" t="str">
            <v>Morocco</v>
          </cell>
          <cell r="B107">
            <v>0.52</v>
          </cell>
          <cell r="C107">
            <v>0.48</v>
          </cell>
        </row>
        <row r="108">
          <cell r="A108" t="str">
            <v>Honduras</v>
          </cell>
        </row>
        <row r="109">
          <cell r="A109" t="str">
            <v>Sudan</v>
          </cell>
        </row>
        <row r="110">
          <cell r="A110" t="str">
            <v>Kuwait</v>
          </cell>
        </row>
        <row r="111">
          <cell r="A111" t="str">
            <v>Kosovo</v>
          </cell>
        </row>
        <row r="112">
          <cell r="A112" t="str">
            <v>Chile</v>
          </cell>
          <cell r="B112">
            <v>0.55000000000000004</v>
          </cell>
          <cell r="C112">
            <v>0.45</v>
          </cell>
        </row>
        <row r="113">
          <cell r="A113" t="str">
            <v>Panama</v>
          </cell>
        </row>
        <row r="114">
          <cell r="A114" t="str">
            <v>Syria</v>
          </cell>
        </row>
        <row r="115">
          <cell r="A115" t="str">
            <v>Indonesia</v>
          </cell>
          <cell r="B115">
            <v>0.67</v>
          </cell>
          <cell r="C115">
            <v>0.33</v>
          </cell>
        </row>
        <row r="116">
          <cell r="A116" t="str">
            <v>Brazil</v>
          </cell>
          <cell r="B116">
            <v>0.54</v>
          </cell>
          <cell r="C116">
            <v>0.46</v>
          </cell>
        </row>
        <row r="117">
          <cell r="A117" t="str">
            <v>Turkey</v>
          </cell>
          <cell r="B117">
            <v>0.62</v>
          </cell>
          <cell r="C117">
            <v>0.38</v>
          </cell>
        </row>
        <row r="118">
          <cell r="A118" t="str">
            <v>Palestine</v>
          </cell>
        </row>
        <row r="119">
          <cell r="A119" t="str">
            <v>Puerto Rico</v>
          </cell>
        </row>
        <row r="120">
          <cell r="A120" t="str">
            <v>Saudi Arabia</v>
          </cell>
        </row>
        <row r="121">
          <cell r="A121" t="str">
            <v>Mexico</v>
          </cell>
          <cell r="B121">
            <v>0.42</v>
          </cell>
          <cell r="C121">
            <v>0.57999999999999996</v>
          </cell>
        </row>
        <row r="122">
          <cell r="A122" t="str">
            <v>Algeria</v>
          </cell>
        </row>
        <row r="123">
          <cell r="A123" t="str">
            <v>Colombia</v>
          </cell>
          <cell r="B123">
            <v>0.42</v>
          </cell>
          <cell r="C123">
            <v>0.57999999999999996</v>
          </cell>
        </row>
        <row r="124">
          <cell r="A124" t="str">
            <v>El Salvador</v>
          </cell>
        </row>
        <row r="125">
          <cell r="A125" t="str">
            <v>Peru</v>
          </cell>
          <cell r="B125">
            <v>0.54</v>
          </cell>
          <cell r="C125">
            <v>0.46</v>
          </cell>
        </row>
        <row r="126">
          <cell r="A126" t="str">
            <v>Argentina</v>
          </cell>
          <cell r="B126">
            <v>0.5</v>
          </cell>
          <cell r="C126">
            <v>0.5</v>
          </cell>
        </row>
        <row r="127">
          <cell r="A127" t="str">
            <v>Tanzania</v>
          </cell>
        </row>
        <row r="128">
          <cell r="A128" t="str">
            <v>Ecuador</v>
          </cell>
        </row>
        <row r="129">
          <cell r="A129" t="str">
            <v>Dominican Republic</v>
          </cell>
        </row>
        <row r="130">
          <cell r="A130" t="str">
            <v>Venezuela</v>
          </cell>
        </row>
        <row r="131">
          <cell r="A131" t="str">
            <v>British Indian Ocean Territory</v>
          </cell>
        </row>
        <row r="132">
          <cell r="A132" t="str">
            <v>Cook Islands</v>
          </cell>
        </row>
        <row r="133">
          <cell r="A133" t="str">
            <v>Vanuatu</v>
          </cell>
        </row>
        <row r="134">
          <cell r="A134" t="str">
            <v>Solomon Islands</v>
          </cell>
        </row>
        <row r="135">
          <cell r="A135" t="str">
            <v>Caribbean Netherlands</v>
          </cell>
        </row>
        <row r="136">
          <cell r="A136" t="str">
            <v>Samoa</v>
          </cell>
        </row>
        <row r="137">
          <cell r="A137" t="str">
            <v>Bhutan</v>
          </cell>
        </row>
        <row r="138">
          <cell r="A138" t="str">
            <v>Equatorial Guinea</v>
          </cell>
        </row>
        <row r="139">
          <cell r="A139" t="str">
            <v>Turks &amp; Caicos Islands</v>
          </cell>
        </row>
        <row r="140">
          <cell r="A140" t="str">
            <v>Greenland</v>
          </cell>
        </row>
        <row r="141">
          <cell r="A141" t="str">
            <v>St. Kitts &amp; Nevis</v>
          </cell>
        </row>
        <row r="142">
          <cell r="A142" t="str">
            <v>Belize</v>
          </cell>
        </row>
        <row r="143">
          <cell r="A143" t="str">
            <v>Seychelles</v>
          </cell>
        </row>
        <row r="144">
          <cell r="A144" t="str">
            <v>Isle of Man</v>
          </cell>
        </row>
        <row r="145">
          <cell r="A145" t="str">
            <v>Fiji</v>
          </cell>
        </row>
        <row r="146">
          <cell r="A146" t="str">
            <v>Barbados</v>
          </cell>
        </row>
        <row r="147">
          <cell r="A147" t="str">
            <v>Burundi</v>
          </cell>
        </row>
        <row r="148">
          <cell r="A148" t="str">
            <v>Gambia</v>
          </cell>
        </row>
        <row r="149">
          <cell r="A149" t="str">
            <v>Eswatini</v>
          </cell>
        </row>
        <row r="150">
          <cell r="A150" t="str">
            <v>U.S. Virgin Islands</v>
          </cell>
        </row>
        <row r="151">
          <cell r="A151" t="str">
            <v>Sint Maarten</v>
          </cell>
        </row>
        <row r="152">
          <cell r="A152" t="str">
            <v>Faroe Islands</v>
          </cell>
        </row>
        <row r="153">
          <cell r="A153" t="str">
            <v>Benin</v>
          </cell>
        </row>
        <row r="154">
          <cell r="A154" t="str">
            <v>Congo - Brazzaville</v>
          </cell>
        </row>
        <row r="155">
          <cell r="A155" t="str">
            <v>Monaco</v>
          </cell>
        </row>
        <row r="156">
          <cell r="A156" t="str">
            <v>Turkmenistan</v>
          </cell>
        </row>
        <row r="157">
          <cell r="A157" t="str">
            <v>Gibraltar</v>
          </cell>
        </row>
        <row r="158">
          <cell r="A158" t="str">
            <v>Lesotho</v>
          </cell>
        </row>
        <row r="159">
          <cell r="A159" t="str">
            <v>Somalia</v>
          </cell>
        </row>
        <row r="160">
          <cell r="A160" t="str">
            <v>Bermuda</v>
          </cell>
        </row>
        <row r="161">
          <cell r="A161" t="str">
            <v>Antigua &amp; Barbuda</v>
          </cell>
        </row>
        <row r="162">
          <cell r="A162" t="str">
            <v>St. Lucia</v>
          </cell>
        </row>
        <row r="163">
          <cell r="A163" t="str">
            <v>Papua New Guinea</v>
          </cell>
        </row>
        <row r="164">
          <cell r="A164" t="str">
            <v>St. Vincent &amp; Grenadines</v>
          </cell>
        </row>
        <row r="165">
          <cell r="A165" t="str">
            <v>Guyana</v>
          </cell>
        </row>
        <row r="166">
          <cell r="A166" t="str">
            <v>New Caledonia</v>
          </cell>
        </row>
        <row r="167">
          <cell r="A167" t="str">
            <v>Timor-Leste</v>
          </cell>
        </row>
        <row r="168">
          <cell r="A168" t="str">
            <v>Niger</v>
          </cell>
        </row>
        <row r="169">
          <cell r="A169" t="str">
            <v>Rwanda</v>
          </cell>
        </row>
        <row r="170">
          <cell r="A170" t="str">
            <v>Togo</v>
          </cell>
        </row>
        <row r="171">
          <cell r="A171" t="str">
            <v>Cayman Islands</v>
          </cell>
        </row>
        <row r="172">
          <cell r="A172" t="str">
            <v>Malawi</v>
          </cell>
        </row>
        <row r="173">
          <cell r="A173" t="str">
            <v>Mauritania</v>
          </cell>
        </row>
        <row r="174">
          <cell r="A174" t="str">
            <v>Liberia</v>
          </cell>
        </row>
        <row r="175">
          <cell r="A175" t="str">
            <v>Andorra</v>
          </cell>
        </row>
        <row r="176">
          <cell r="A176" t="str">
            <v>Mongolia</v>
          </cell>
        </row>
        <row r="177">
          <cell r="A177" t="str">
            <v>Aruba</v>
          </cell>
        </row>
        <row r="178">
          <cell r="A178" t="str">
            <v>Guernsey</v>
          </cell>
        </row>
        <row r="179">
          <cell r="A179" t="str">
            <v>Namibia</v>
          </cell>
        </row>
        <row r="180">
          <cell r="A180" t="str">
            <v>Brunei</v>
          </cell>
        </row>
        <row r="181">
          <cell r="A181" t="str">
            <v>Guadeloupe</v>
          </cell>
        </row>
        <row r="182">
          <cell r="A182" t="str">
            <v>Gabon</v>
          </cell>
        </row>
        <row r="183">
          <cell r="A183" t="str">
            <v>Cameroon</v>
          </cell>
        </row>
        <row r="184">
          <cell r="A184" t="str">
            <v>Madagascar</v>
          </cell>
        </row>
        <row r="185">
          <cell r="A185" t="str">
            <v>Jersey</v>
          </cell>
        </row>
        <row r="186">
          <cell r="A186" t="str">
            <v>French Polynesia</v>
          </cell>
        </row>
        <row r="187">
          <cell r="A187" t="str">
            <v>Bahamas</v>
          </cell>
        </row>
        <row r="188">
          <cell r="A188" t="str">
            <v>Guam</v>
          </cell>
        </row>
        <row r="189">
          <cell r="A189" t="str">
            <v>Afghanistan</v>
          </cell>
        </row>
        <row r="190">
          <cell r="A190" t="str">
            <v>Martinique</v>
          </cell>
        </row>
        <row r="191">
          <cell r="A191" t="str">
            <v>Haiti</v>
          </cell>
        </row>
        <row r="192">
          <cell r="A192" t="str">
            <v>Libya</v>
          </cell>
        </row>
        <row r="193">
          <cell r="A193" t="str">
            <v>Yemen</v>
          </cell>
        </row>
        <row r="194">
          <cell r="A194" t="str">
            <v>Mozambique</v>
          </cell>
        </row>
        <row r="195">
          <cell r="A195" t="str">
            <v>Senegal</v>
          </cell>
        </row>
        <row r="196">
          <cell r="A196" t="str">
            <v>Montenegro</v>
          </cell>
        </row>
        <row r="197">
          <cell r="A197" t="str">
            <v>CÃ´te dâ€™Ivoire</v>
          </cell>
        </row>
        <row r="198">
          <cell r="A198" t="str">
            <v>Nicaragua</v>
          </cell>
        </row>
        <row r="199">
          <cell r="A199" t="str">
            <v>Angola</v>
          </cell>
        </row>
        <row r="200">
          <cell r="A200" t="str">
            <v>RÃ©union</v>
          </cell>
        </row>
        <row r="201">
          <cell r="A201" t="str">
            <v>Anguilla</v>
          </cell>
        </row>
        <row r="202">
          <cell r="A202" t="str">
            <v>Ã…land Islands</v>
          </cell>
        </row>
        <row r="203">
          <cell r="A203" t="str">
            <v>American Samoa</v>
          </cell>
        </row>
        <row r="204">
          <cell r="A204" t="str">
            <v>Antarctica</v>
          </cell>
        </row>
        <row r="205">
          <cell r="A205" t="str">
            <v>French Southern Territories</v>
          </cell>
        </row>
        <row r="206">
          <cell r="A206" t="str">
            <v>St. BarthÃ©lemy</v>
          </cell>
        </row>
        <row r="207">
          <cell r="A207" t="str">
            <v>Bouvet Island</v>
          </cell>
        </row>
        <row r="208">
          <cell r="A208" t="str">
            <v>Central African Republic</v>
          </cell>
        </row>
        <row r="209">
          <cell r="A209" t="str">
            <v>Cocos (Keeling) Islands</v>
          </cell>
        </row>
        <row r="210">
          <cell r="A210" t="str">
            <v>Comoros</v>
          </cell>
        </row>
        <row r="211">
          <cell r="A211" t="str">
            <v>Cape Verde</v>
          </cell>
        </row>
        <row r="212">
          <cell r="A212" t="str">
            <v>CuraÃ§ao</v>
          </cell>
        </row>
        <row r="213">
          <cell r="A213" t="str">
            <v>Christmas Island</v>
          </cell>
        </row>
        <row r="214">
          <cell r="A214" t="str">
            <v>Djibouti</v>
          </cell>
        </row>
        <row r="215">
          <cell r="A215" t="str">
            <v>Dominica</v>
          </cell>
        </row>
        <row r="216">
          <cell r="A216" t="str">
            <v>Eritrea</v>
          </cell>
        </row>
        <row r="217">
          <cell r="A217" t="str">
            <v>Western Sahara</v>
          </cell>
        </row>
        <row r="218">
          <cell r="A218" t="str">
            <v>Falkland Islands (Islas Malvinas)</v>
          </cell>
        </row>
        <row r="219">
          <cell r="A219" t="str">
            <v>Micronesia</v>
          </cell>
        </row>
        <row r="220">
          <cell r="A220" t="str">
            <v>Guinea</v>
          </cell>
        </row>
        <row r="221">
          <cell r="A221" t="str">
            <v>Guinea-Bissau</v>
          </cell>
        </row>
        <row r="222">
          <cell r="A222" t="str">
            <v>Grenada</v>
          </cell>
        </row>
        <row r="223">
          <cell r="A223" t="str">
            <v>French Guiana</v>
          </cell>
        </row>
        <row r="224">
          <cell r="A224" t="str">
            <v>Heard &amp; McDonald Islands</v>
          </cell>
        </row>
        <row r="225">
          <cell r="A225" t="str">
            <v>Kiribati</v>
          </cell>
        </row>
        <row r="226">
          <cell r="A226" t="str">
            <v>Liechtenstein</v>
          </cell>
        </row>
        <row r="227">
          <cell r="A227" t="str">
            <v>St. Martin</v>
          </cell>
        </row>
        <row r="228">
          <cell r="A228" t="str">
            <v>Marshall Islands</v>
          </cell>
        </row>
        <row r="229">
          <cell r="A229" t="str">
            <v>Northern Mariana Islands</v>
          </cell>
        </row>
        <row r="230">
          <cell r="A230" t="str">
            <v>Montserrat</v>
          </cell>
        </row>
        <row r="231">
          <cell r="A231" t="str">
            <v>Mayotte</v>
          </cell>
        </row>
        <row r="232">
          <cell r="A232" t="str">
            <v>Norfolk Island</v>
          </cell>
        </row>
        <row r="233">
          <cell r="A233" t="str">
            <v>Niue</v>
          </cell>
        </row>
        <row r="234">
          <cell r="A234" t="str">
            <v>Nauru</v>
          </cell>
        </row>
        <row r="235">
          <cell r="A235" t="str">
            <v>Pitcairn Islands</v>
          </cell>
        </row>
        <row r="236">
          <cell r="A236" t="str">
            <v>Palau</v>
          </cell>
        </row>
        <row r="237">
          <cell r="A237" t="str">
            <v>North Korea</v>
          </cell>
        </row>
        <row r="238">
          <cell r="A238" t="str">
            <v>South Georgia &amp; South Sandwich Islands</v>
          </cell>
        </row>
        <row r="239">
          <cell r="A239" t="str">
            <v>Svalbard &amp; Jan Mayen</v>
          </cell>
        </row>
        <row r="240">
          <cell r="A240" t="str">
            <v>Sierra Leone</v>
          </cell>
        </row>
        <row r="241">
          <cell r="A241" t="str">
            <v>San Marino</v>
          </cell>
        </row>
        <row r="242">
          <cell r="A242" t="str">
            <v>St. Pierre &amp; Miquelon</v>
          </cell>
        </row>
        <row r="243">
          <cell r="A243" t="str">
            <v>South Sudan</v>
          </cell>
        </row>
        <row r="244">
          <cell r="A244" t="str">
            <v>SÃ£o TomÃ© &amp; PrÃ­ncipe</v>
          </cell>
        </row>
        <row r="245">
          <cell r="A245" t="str">
            <v>Suriname</v>
          </cell>
        </row>
        <row r="246">
          <cell r="A246" t="str">
            <v>Chad</v>
          </cell>
        </row>
        <row r="247">
          <cell r="A247" t="str">
            <v>Tokelau</v>
          </cell>
        </row>
        <row r="248">
          <cell r="A248" t="str">
            <v>Tonga</v>
          </cell>
        </row>
        <row r="249">
          <cell r="A249" t="str">
            <v>Tuvalu</v>
          </cell>
        </row>
        <row r="250">
          <cell r="A250" t="str">
            <v>U.S. Outlying Islands</v>
          </cell>
        </row>
        <row r="251">
          <cell r="A251" t="str">
            <v>Vatican City</v>
          </cell>
        </row>
        <row r="252">
          <cell r="A252" t="str">
            <v>British Virgin Islands</v>
          </cell>
        </row>
        <row r="253">
          <cell r="A253" t="str">
            <v>Wallis &amp; Futuna</v>
          </cell>
        </row>
      </sheetData>
    </sheetDataSet>
  </externalBook>
</externalLink>
</file>

<file path=xl/externalLinks/externalLink2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19)"/>
    </sheetNames>
    <sheetDataSet>
      <sheetData sheetId="0">
        <row r="1">
          <cell r="A1" t="str">
            <v>Kategori: TÃ¼m kategoriler</v>
          </cell>
        </row>
        <row r="3">
          <cell r="A3" t="str">
            <v>Ãœlke</v>
          </cell>
          <cell r="B3" t="str">
            <v>Komut Ã§izelgesi: (2014)</v>
          </cell>
          <cell r="C3" t="str">
            <v>Lojistik Regresyon: (2014)</v>
          </cell>
        </row>
        <row r="4">
          <cell r="A4" t="str">
            <v>Ethiopia</v>
          </cell>
        </row>
        <row r="5">
          <cell r="A5" t="str">
            <v>China</v>
          </cell>
          <cell r="B5">
            <v>0.73</v>
          </cell>
          <cell r="C5">
            <v>0.27</v>
          </cell>
        </row>
        <row r="6">
          <cell r="A6" t="str">
            <v>South Korea</v>
          </cell>
          <cell r="B6">
            <v>0.66</v>
          </cell>
          <cell r="C6">
            <v>0.34</v>
          </cell>
        </row>
        <row r="7">
          <cell r="A7" t="str">
            <v>India</v>
          </cell>
          <cell r="B7">
            <v>0.85</v>
          </cell>
          <cell r="C7">
            <v>0.15</v>
          </cell>
        </row>
        <row r="8">
          <cell r="A8" t="str">
            <v>Cuba</v>
          </cell>
        </row>
        <row r="9">
          <cell r="A9" t="str">
            <v>Singapore</v>
          </cell>
          <cell r="B9">
            <v>0.64</v>
          </cell>
          <cell r="C9">
            <v>0.36</v>
          </cell>
        </row>
        <row r="10">
          <cell r="A10" t="str">
            <v>Malawi</v>
          </cell>
        </row>
        <row r="11">
          <cell r="A11" t="str">
            <v>Rwanda</v>
          </cell>
        </row>
        <row r="12">
          <cell r="A12" t="str">
            <v>Hong Kong</v>
          </cell>
          <cell r="B12">
            <v>0.64</v>
          </cell>
          <cell r="C12">
            <v>0.36</v>
          </cell>
        </row>
        <row r="13">
          <cell r="A13" t="str">
            <v>Israel</v>
          </cell>
          <cell r="B13">
            <v>0.8</v>
          </cell>
          <cell r="C13">
            <v>0.2</v>
          </cell>
        </row>
        <row r="14">
          <cell r="A14" t="str">
            <v>St. Helena</v>
          </cell>
        </row>
        <row r="15">
          <cell r="A15" t="str">
            <v>Zimbabwe</v>
          </cell>
        </row>
        <row r="16">
          <cell r="A16" t="str">
            <v>Zambia</v>
          </cell>
        </row>
        <row r="17">
          <cell r="A17" t="str">
            <v>Uganda</v>
          </cell>
          <cell r="C17">
            <v>1</v>
          </cell>
        </row>
        <row r="18">
          <cell r="A18" t="str">
            <v>Sri Lanka</v>
          </cell>
          <cell r="B18">
            <v>0.66</v>
          </cell>
          <cell r="C18">
            <v>0.34</v>
          </cell>
        </row>
        <row r="19">
          <cell r="A19" t="str">
            <v>Luxembourg</v>
          </cell>
        </row>
        <row r="20">
          <cell r="A20" t="str">
            <v>Cameroon</v>
          </cell>
        </row>
        <row r="21">
          <cell r="A21" t="str">
            <v>Ghana</v>
          </cell>
        </row>
        <row r="22">
          <cell r="A22" t="str">
            <v>Kenya</v>
          </cell>
        </row>
        <row r="23">
          <cell r="A23" t="str">
            <v>Belarus</v>
          </cell>
        </row>
        <row r="24">
          <cell r="A24" t="str">
            <v>Iceland</v>
          </cell>
        </row>
        <row r="25">
          <cell r="A25" t="str">
            <v>United States</v>
          </cell>
          <cell r="B25">
            <v>0.59</v>
          </cell>
          <cell r="C25">
            <v>0.41</v>
          </cell>
        </row>
        <row r="26">
          <cell r="A26" t="str">
            <v>Switzerland</v>
          </cell>
          <cell r="B26">
            <v>0.62</v>
          </cell>
          <cell r="C26">
            <v>0.38</v>
          </cell>
        </row>
        <row r="27">
          <cell r="A27" t="str">
            <v>Taiwan</v>
          </cell>
          <cell r="B27">
            <v>0.56999999999999995</v>
          </cell>
          <cell r="C27">
            <v>0.43</v>
          </cell>
        </row>
        <row r="28">
          <cell r="A28" t="str">
            <v>Estonia</v>
          </cell>
        </row>
        <row r="29">
          <cell r="A29" t="str">
            <v>Tanzania</v>
          </cell>
          <cell r="C29">
            <v>1</v>
          </cell>
        </row>
        <row r="30">
          <cell r="A30" t="str">
            <v>Sweden</v>
          </cell>
          <cell r="B30">
            <v>0.66</v>
          </cell>
          <cell r="C30">
            <v>0.34</v>
          </cell>
        </row>
        <row r="31">
          <cell r="A31" t="str">
            <v>Ireland</v>
          </cell>
          <cell r="B31">
            <v>0.65</v>
          </cell>
          <cell r="C31">
            <v>0.35</v>
          </cell>
        </row>
        <row r="32">
          <cell r="A32" t="str">
            <v>Portugal</v>
          </cell>
          <cell r="B32">
            <v>0.72</v>
          </cell>
          <cell r="C32">
            <v>0.28000000000000003</v>
          </cell>
        </row>
        <row r="33">
          <cell r="A33" t="str">
            <v>Lebanon</v>
          </cell>
        </row>
        <row r="34">
          <cell r="A34" t="str">
            <v>North Macedonia</v>
          </cell>
        </row>
        <row r="35">
          <cell r="A35" t="str">
            <v>Austria</v>
          </cell>
          <cell r="B35">
            <v>0.7</v>
          </cell>
          <cell r="C35">
            <v>0.3</v>
          </cell>
        </row>
        <row r="36">
          <cell r="A36" t="str">
            <v>Czechia</v>
          </cell>
          <cell r="B36">
            <v>0.79</v>
          </cell>
          <cell r="C36">
            <v>0.21</v>
          </cell>
        </row>
        <row r="37">
          <cell r="A37" t="str">
            <v>Canada</v>
          </cell>
          <cell r="B37">
            <v>0.56000000000000005</v>
          </cell>
          <cell r="C37">
            <v>0.44</v>
          </cell>
        </row>
        <row r="38">
          <cell r="A38" t="str">
            <v>Germany</v>
          </cell>
          <cell r="B38">
            <v>0.7</v>
          </cell>
          <cell r="C38">
            <v>0.3</v>
          </cell>
        </row>
        <row r="39">
          <cell r="A39" t="str">
            <v>Nepal</v>
          </cell>
        </row>
        <row r="40">
          <cell r="A40" t="str">
            <v>Netherlands</v>
          </cell>
          <cell r="B40">
            <v>0.39</v>
          </cell>
          <cell r="C40">
            <v>0.61</v>
          </cell>
        </row>
        <row r="41">
          <cell r="A41" t="str">
            <v>Ukraine</v>
          </cell>
        </row>
        <row r="42">
          <cell r="A42" t="str">
            <v>Mauritius</v>
          </cell>
        </row>
        <row r="43">
          <cell r="A43" t="str">
            <v>Latvia</v>
          </cell>
        </row>
        <row r="44">
          <cell r="A44" t="str">
            <v>Romania</v>
          </cell>
          <cell r="B44">
            <v>0.9</v>
          </cell>
          <cell r="C44">
            <v>0.1</v>
          </cell>
        </row>
        <row r="45">
          <cell r="A45" t="str">
            <v>Norway</v>
          </cell>
          <cell r="B45">
            <v>0.63</v>
          </cell>
          <cell r="C45">
            <v>0.37</v>
          </cell>
        </row>
        <row r="46">
          <cell r="A46" t="str">
            <v>Myanmar (Burma)</v>
          </cell>
        </row>
        <row r="47">
          <cell r="A47" t="str">
            <v>Finland</v>
          </cell>
          <cell r="B47">
            <v>0.59</v>
          </cell>
          <cell r="C47">
            <v>0.41</v>
          </cell>
        </row>
        <row r="48">
          <cell r="A48" t="str">
            <v>Japan</v>
          </cell>
          <cell r="B48">
            <v>0.65</v>
          </cell>
          <cell r="C48">
            <v>0.35</v>
          </cell>
        </row>
        <row r="49">
          <cell r="A49" t="str">
            <v>Belgium</v>
          </cell>
          <cell r="B49">
            <v>0.54</v>
          </cell>
          <cell r="C49">
            <v>0.46</v>
          </cell>
        </row>
        <row r="50">
          <cell r="A50" t="str">
            <v>Pakistan</v>
          </cell>
          <cell r="B50">
            <v>0.62</v>
          </cell>
          <cell r="C50">
            <v>0.38</v>
          </cell>
        </row>
        <row r="51">
          <cell r="A51" t="str">
            <v>Denmark</v>
          </cell>
          <cell r="B51">
            <v>0.52</v>
          </cell>
          <cell r="C51">
            <v>0.48</v>
          </cell>
        </row>
        <row r="52">
          <cell r="A52" t="str">
            <v>New Zealand</v>
          </cell>
          <cell r="B52">
            <v>0.56999999999999995</v>
          </cell>
          <cell r="C52">
            <v>0.43</v>
          </cell>
        </row>
        <row r="53">
          <cell r="A53" t="str">
            <v>Bulgaria</v>
          </cell>
        </row>
        <row r="54">
          <cell r="A54" t="str">
            <v>Tunisia</v>
          </cell>
          <cell r="B54">
            <v>0.64</v>
          </cell>
          <cell r="C54">
            <v>0.36</v>
          </cell>
        </row>
        <row r="55">
          <cell r="A55" t="str">
            <v>Jamaica</v>
          </cell>
        </row>
        <row r="56">
          <cell r="A56" t="str">
            <v>Australia</v>
          </cell>
          <cell r="B56">
            <v>0.48</v>
          </cell>
          <cell r="C56">
            <v>0.52</v>
          </cell>
        </row>
        <row r="57">
          <cell r="A57" t="str">
            <v>Slovakia</v>
          </cell>
          <cell r="B57">
            <v>0.83</v>
          </cell>
          <cell r="C57">
            <v>0.17</v>
          </cell>
        </row>
        <row r="58">
          <cell r="A58" t="str">
            <v>France</v>
          </cell>
          <cell r="B58">
            <v>0.74</v>
          </cell>
          <cell r="C58">
            <v>0.26</v>
          </cell>
        </row>
        <row r="59">
          <cell r="A59" t="str">
            <v>Nigeria</v>
          </cell>
        </row>
        <row r="60">
          <cell r="A60" t="str">
            <v>Cyprus</v>
          </cell>
        </row>
        <row r="61">
          <cell r="A61" t="str">
            <v>Bangladesh</v>
          </cell>
          <cell r="B61">
            <v>0.56999999999999995</v>
          </cell>
          <cell r="C61">
            <v>0.43</v>
          </cell>
        </row>
        <row r="62">
          <cell r="A62" t="str">
            <v>Armenia</v>
          </cell>
        </row>
        <row r="63">
          <cell r="A63" t="str">
            <v>Philippines</v>
          </cell>
          <cell r="B63">
            <v>0.64</v>
          </cell>
          <cell r="C63">
            <v>0.36</v>
          </cell>
        </row>
        <row r="64">
          <cell r="A64" t="str">
            <v>South Africa</v>
          </cell>
          <cell r="B64">
            <v>0.41</v>
          </cell>
          <cell r="C64">
            <v>0.59</v>
          </cell>
        </row>
        <row r="65">
          <cell r="A65" t="str">
            <v>Slovenia</v>
          </cell>
        </row>
        <row r="66">
          <cell r="A66" t="str">
            <v>Malta</v>
          </cell>
        </row>
        <row r="67">
          <cell r="A67" t="str">
            <v>United Kingdom</v>
          </cell>
          <cell r="B67">
            <v>0.55000000000000004</v>
          </cell>
          <cell r="C67">
            <v>0.45</v>
          </cell>
        </row>
        <row r="68">
          <cell r="A68" t="str">
            <v>Russia</v>
          </cell>
          <cell r="B68">
            <v>0.85</v>
          </cell>
          <cell r="C68">
            <v>0.15</v>
          </cell>
        </row>
        <row r="69">
          <cell r="A69" t="str">
            <v>Spain</v>
          </cell>
          <cell r="B69">
            <v>0.72</v>
          </cell>
          <cell r="C69">
            <v>0.28000000000000003</v>
          </cell>
        </row>
        <row r="70">
          <cell r="A70" t="str">
            <v>Costa Rica</v>
          </cell>
        </row>
        <row r="71">
          <cell r="A71" t="str">
            <v>Hungary</v>
          </cell>
          <cell r="B71">
            <v>0.8</v>
          </cell>
          <cell r="C71">
            <v>0.2</v>
          </cell>
        </row>
        <row r="72">
          <cell r="A72" t="str">
            <v>Greece</v>
          </cell>
          <cell r="B72">
            <v>0.68</v>
          </cell>
          <cell r="C72">
            <v>0.32</v>
          </cell>
        </row>
        <row r="73">
          <cell r="A73" t="str">
            <v>Poland</v>
          </cell>
          <cell r="B73">
            <v>0.76</v>
          </cell>
          <cell r="C73">
            <v>0.24</v>
          </cell>
        </row>
        <row r="74">
          <cell r="A74" t="str">
            <v>Serbia</v>
          </cell>
        </row>
        <row r="75">
          <cell r="A75" t="str">
            <v>Paraguay</v>
          </cell>
        </row>
        <row r="76">
          <cell r="A76" t="str">
            <v>Iran</v>
          </cell>
          <cell r="B76">
            <v>0.39</v>
          </cell>
          <cell r="C76">
            <v>0.61</v>
          </cell>
        </row>
        <row r="77">
          <cell r="A77" t="str">
            <v>Laos</v>
          </cell>
        </row>
        <row r="78">
          <cell r="A78" t="str">
            <v>Indonesia</v>
          </cell>
          <cell r="B78">
            <v>0.21</v>
          </cell>
          <cell r="C78">
            <v>0.79</v>
          </cell>
        </row>
        <row r="79">
          <cell r="A79" t="str">
            <v>Malaysia</v>
          </cell>
          <cell r="B79">
            <v>0.47</v>
          </cell>
          <cell r="C79">
            <v>0.53</v>
          </cell>
        </row>
        <row r="80">
          <cell r="A80" t="str">
            <v>Guatemala</v>
          </cell>
        </row>
        <row r="81">
          <cell r="A81" t="str">
            <v>Italy</v>
          </cell>
          <cell r="B81">
            <v>0.68</v>
          </cell>
          <cell r="C81">
            <v>0.32</v>
          </cell>
        </row>
        <row r="82">
          <cell r="A82" t="str">
            <v>Croatia</v>
          </cell>
        </row>
        <row r="83">
          <cell r="A83" t="str">
            <v>Cambodia</v>
          </cell>
        </row>
        <row r="84">
          <cell r="A84" t="str">
            <v>Vietnam</v>
          </cell>
          <cell r="B84">
            <v>0.87</v>
          </cell>
          <cell r="C84">
            <v>0.13</v>
          </cell>
        </row>
        <row r="85">
          <cell r="A85" t="str">
            <v>Uruguay</v>
          </cell>
        </row>
        <row r="86">
          <cell r="A86" t="str">
            <v>Albania</v>
          </cell>
        </row>
        <row r="87">
          <cell r="A87" t="str">
            <v>Kosovo</v>
          </cell>
        </row>
        <row r="88">
          <cell r="A88" t="str">
            <v>Moldova</v>
          </cell>
        </row>
        <row r="89">
          <cell r="A89" t="str">
            <v>Lithuania</v>
          </cell>
        </row>
        <row r="90">
          <cell r="A90" t="str">
            <v>Morocco</v>
          </cell>
          <cell r="B90">
            <v>0.66</v>
          </cell>
          <cell r="C90">
            <v>0.34</v>
          </cell>
        </row>
        <row r="91">
          <cell r="A91" t="str">
            <v>Jordan</v>
          </cell>
        </row>
        <row r="92">
          <cell r="A92" t="str">
            <v>United Arab Emirates</v>
          </cell>
          <cell r="B92">
            <v>0.59</v>
          </cell>
          <cell r="C92">
            <v>0.41</v>
          </cell>
        </row>
        <row r="93">
          <cell r="A93" t="str">
            <v>Chile</v>
          </cell>
          <cell r="B93">
            <v>0.46</v>
          </cell>
          <cell r="C93">
            <v>0.54</v>
          </cell>
        </row>
        <row r="94">
          <cell r="A94" t="str">
            <v>Peru</v>
          </cell>
          <cell r="B94">
            <v>0.41</v>
          </cell>
          <cell r="C94">
            <v>0.59</v>
          </cell>
        </row>
        <row r="95">
          <cell r="A95" t="str">
            <v>Bosnia &amp; Herzegovina</v>
          </cell>
        </row>
        <row r="96">
          <cell r="A96" t="str">
            <v>Egypt</v>
          </cell>
          <cell r="B96">
            <v>0.72</v>
          </cell>
          <cell r="C96">
            <v>0.28000000000000003</v>
          </cell>
        </row>
        <row r="97">
          <cell r="A97" t="str">
            <v>Kazakhstan</v>
          </cell>
        </row>
        <row r="98">
          <cell r="A98" t="str">
            <v>Puerto Rico</v>
          </cell>
        </row>
        <row r="99">
          <cell r="A99" t="str">
            <v>Colombia</v>
          </cell>
          <cell r="B99">
            <v>0.54</v>
          </cell>
          <cell r="C99">
            <v>0.46</v>
          </cell>
        </row>
        <row r="100">
          <cell r="A100" t="str">
            <v>Mexico</v>
          </cell>
          <cell r="B100">
            <v>0.67</v>
          </cell>
          <cell r="C100">
            <v>0.33</v>
          </cell>
        </row>
        <row r="101">
          <cell r="A101" t="str">
            <v>Brazil</v>
          </cell>
          <cell r="B101">
            <v>0.69</v>
          </cell>
          <cell r="C101">
            <v>0.31</v>
          </cell>
        </row>
        <row r="102">
          <cell r="A102" t="str">
            <v>Bolivia</v>
          </cell>
        </row>
        <row r="103">
          <cell r="A103" t="str">
            <v>Argentina</v>
          </cell>
          <cell r="B103">
            <v>0.78</v>
          </cell>
          <cell r="C103">
            <v>0.22</v>
          </cell>
        </row>
        <row r="104">
          <cell r="A104" t="str">
            <v>Thailand</v>
          </cell>
          <cell r="B104">
            <v>0.45</v>
          </cell>
          <cell r="C104">
            <v>0.55000000000000004</v>
          </cell>
        </row>
        <row r="105">
          <cell r="A105" t="str">
            <v>El Salvador</v>
          </cell>
        </row>
        <row r="106">
          <cell r="A106" t="str">
            <v>Uzbekistan</v>
          </cell>
        </row>
        <row r="107">
          <cell r="A107" t="str">
            <v>Ecuador</v>
          </cell>
        </row>
        <row r="108">
          <cell r="A108" t="str">
            <v>Georgia</v>
          </cell>
        </row>
        <row r="109">
          <cell r="A109" t="str">
            <v>Turkey</v>
          </cell>
          <cell r="B109">
            <v>0.63</v>
          </cell>
          <cell r="C109">
            <v>0.37</v>
          </cell>
        </row>
        <row r="110">
          <cell r="A110" t="str">
            <v>Sudan</v>
          </cell>
        </row>
        <row r="111">
          <cell r="A111" t="str">
            <v>Algeria</v>
          </cell>
        </row>
        <row r="112">
          <cell r="A112" t="str">
            <v>Venezuela</v>
          </cell>
        </row>
        <row r="113">
          <cell r="A113" t="str">
            <v>Azerbaijan</v>
          </cell>
        </row>
        <row r="114">
          <cell r="A114" t="str">
            <v>Saudi Arabia</v>
          </cell>
        </row>
        <row r="115">
          <cell r="A115" t="str">
            <v>Yemen</v>
          </cell>
        </row>
        <row r="116">
          <cell r="A116" t="str">
            <v>Iraq</v>
          </cell>
        </row>
        <row r="117">
          <cell r="A117" t="str">
            <v>British Indian Ocean Territory</v>
          </cell>
        </row>
        <row r="118">
          <cell r="A118" t="str">
            <v>Guinea-Bissau</v>
          </cell>
        </row>
        <row r="119">
          <cell r="A119" t="str">
            <v>SÃ£o TomÃ© &amp; PrÃ­ncipe</v>
          </cell>
        </row>
        <row r="120">
          <cell r="A120" t="str">
            <v>Northern Mariana Islands</v>
          </cell>
        </row>
        <row r="121">
          <cell r="A121" t="str">
            <v>Greenland</v>
          </cell>
        </row>
        <row r="122">
          <cell r="A122" t="str">
            <v>San Marino</v>
          </cell>
        </row>
        <row r="123">
          <cell r="A123" t="str">
            <v>Dominica</v>
          </cell>
        </row>
        <row r="124">
          <cell r="A124" t="str">
            <v>Andorra</v>
          </cell>
        </row>
        <row r="125">
          <cell r="A125" t="str">
            <v>U.S. Virgin Islands</v>
          </cell>
        </row>
        <row r="126">
          <cell r="A126" t="str">
            <v>Lesotho</v>
          </cell>
        </row>
        <row r="127">
          <cell r="A127" t="str">
            <v>Gibraltar</v>
          </cell>
        </row>
        <row r="128">
          <cell r="A128" t="str">
            <v>French Polynesia</v>
          </cell>
        </row>
        <row r="129">
          <cell r="A129" t="str">
            <v>Grenada</v>
          </cell>
        </row>
        <row r="130">
          <cell r="A130" t="str">
            <v>Gambia</v>
          </cell>
        </row>
        <row r="131">
          <cell r="A131" t="str">
            <v>Liechtenstein</v>
          </cell>
        </row>
        <row r="132">
          <cell r="A132" t="str">
            <v>Macao</v>
          </cell>
        </row>
        <row r="133">
          <cell r="A133" t="str">
            <v>Togo</v>
          </cell>
        </row>
        <row r="134">
          <cell r="A134" t="str">
            <v>Cayman Islands</v>
          </cell>
        </row>
        <row r="135">
          <cell r="A135" t="str">
            <v>Monaco</v>
          </cell>
        </row>
        <row r="136">
          <cell r="A136" t="str">
            <v>Cape Verde</v>
          </cell>
        </row>
        <row r="137">
          <cell r="A137" t="str">
            <v>Fiji</v>
          </cell>
        </row>
        <row r="138">
          <cell r="A138" t="str">
            <v>Botswana</v>
          </cell>
        </row>
        <row r="139">
          <cell r="A139" t="str">
            <v>Maldives</v>
          </cell>
        </row>
        <row r="140">
          <cell r="A140" t="str">
            <v>Somalia</v>
          </cell>
        </row>
        <row r="141">
          <cell r="A141" t="str">
            <v>Guyana</v>
          </cell>
        </row>
        <row r="142">
          <cell r="A142" t="str">
            <v>Guernsey</v>
          </cell>
        </row>
        <row r="143">
          <cell r="A143" t="str">
            <v>Papua New Guinea</v>
          </cell>
        </row>
        <row r="144">
          <cell r="A144" t="str">
            <v>French Guiana</v>
          </cell>
        </row>
        <row r="145">
          <cell r="A145" t="str">
            <v>Mongolia</v>
          </cell>
        </row>
        <row r="146">
          <cell r="A146" t="str">
            <v>CuraÃ§ao</v>
          </cell>
        </row>
        <row r="147">
          <cell r="A147" t="str">
            <v>Madagascar</v>
          </cell>
        </row>
        <row r="148">
          <cell r="A148" t="str">
            <v>Namibia</v>
          </cell>
        </row>
        <row r="149">
          <cell r="A149" t="str">
            <v>Mauritania</v>
          </cell>
        </row>
        <row r="150">
          <cell r="A150" t="str">
            <v>Suriname</v>
          </cell>
        </row>
        <row r="151">
          <cell r="A151" t="str">
            <v>Qatar</v>
          </cell>
        </row>
        <row r="152">
          <cell r="A152" t="str">
            <v>New Caledonia</v>
          </cell>
        </row>
        <row r="153">
          <cell r="A153" t="str">
            <v>Mozambique</v>
          </cell>
        </row>
        <row r="154">
          <cell r="A154" t="str">
            <v>Afghanistan</v>
          </cell>
        </row>
        <row r="155">
          <cell r="A155" t="str">
            <v>Angola</v>
          </cell>
        </row>
        <row r="156">
          <cell r="A156" t="str">
            <v>Tajikistan</v>
          </cell>
        </row>
        <row r="157">
          <cell r="A157" t="str">
            <v>Bahrain</v>
          </cell>
        </row>
        <row r="158">
          <cell r="A158" t="str">
            <v>Haiti</v>
          </cell>
        </row>
        <row r="159">
          <cell r="A159" t="str">
            <v>Bahamas</v>
          </cell>
        </row>
        <row r="160">
          <cell r="A160" t="str">
            <v>Montenegro</v>
          </cell>
        </row>
        <row r="161">
          <cell r="A161" t="str">
            <v>Nicaragua</v>
          </cell>
        </row>
        <row r="162">
          <cell r="A162" t="str">
            <v>RÃ©union</v>
          </cell>
        </row>
        <row r="163">
          <cell r="A163" t="str">
            <v>Senegal</v>
          </cell>
        </row>
        <row r="164">
          <cell r="A164" t="str">
            <v>Congo - Kinshasa</v>
          </cell>
        </row>
        <row r="165">
          <cell r="A165" t="str">
            <v>Martinique</v>
          </cell>
        </row>
        <row r="166">
          <cell r="A166" t="str">
            <v>Syria</v>
          </cell>
        </row>
        <row r="167">
          <cell r="A167" t="str">
            <v>CÃ´te dâ€™Ivoire</v>
          </cell>
        </row>
        <row r="168">
          <cell r="A168" t="str">
            <v>Guadeloupe</v>
          </cell>
        </row>
        <row r="169">
          <cell r="A169" t="str">
            <v>Kuwait</v>
          </cell>
        </row>
        <row r="170">
          <cell r="A170" t="str">
            <v>Honduras</v>
          </cell>
        </row>
        <row r="171">
          <cell r="A171" t="str">
            <v>Palestine</v>
          </cell>
        </row>
        <row r="172">
          <cell r="A172" t="str">
            <v>Oman</v>
          </cell>
        </row>
        <row r="173">
          <cell r="A173" t="str">
            <v>Panama</v>
          </cell>
        </row>
        <row r="174">
          <cell r="A174" t="str">
            <v>Kyrgyzstan</v>
          </cell>
        </row>
        <row r="175">
          <cell r="A175" t="str">
            <v>Trinidad &amp; Tobago</v>
          </cell>
        </row>
        <row r="176">
          <cell r="A176" t="str">
            <v>Dominican Republic</v>
          </cell>
        </row>
        <row r="177">
          <cell r="A177" t="str">
            <v>Aruba</v>
          </cell>
        </row>
        <row r="178">
          <cell r="A178" t="str">
            <v>Anguilla</v>
          </cell>
        </row>
        <row r="179">
          <cell r="A179" t="str">
            <v>Ã…land Islands</v>
          </cell>
        </row>
        <row r="180">
          <cell r="A180" t="str">
            <v>American Samoa</v>
          </cell>
        </row>
        <row r="181">
          <cell r="A181" t="str">
            <v>Antarctica</v>
          </cell>
        </row>
        <row r="182">
          <cell r="A182" t="str">
            <v>French Southern Territories</v>
          </cell>
        </row>
        <row r="183">
          <cell r="A183" t="str">
            <v>Antigua &amp; Barbuda</v>
          </cell>
        </row>
        <row r="184">
          <cell r="A184" t="str">
            <v>Burundi</v>
          </cell>
        </row>
        <row r="185">
          <cell r="A185" t="str">
            <v>Benin</v>
          </cell>
        </row>
        <row r="186">
          <cell r="A186" t="str">
            <v>Caribbean Netherlands</v>
          </cell>
        </row>
        <row r="187">
          <cell r="A187" t="str">
            <v>Burkina Faso</v>
          </cell>
        </row>
        <row r="188">
          <cell r="A188" t="str">
            <v>St. BarthÃ©lemy</v>
          </cell>
        </row>
        <row r="189">
          <cell r="A189" t="str">
            <v>Belize</v>
          </cell>
        </row>
        <row r="190">
          <cell r="A190" t="str">
            <v>Bermuda</v>
          </cell>
        </row>
        <row r="191">
          <cell r="A191" t="str">
            <v>Barbados</v>
          </cell>
        </row>
        <row r="192">
          <cell r="A192" t="str">
            <v>Brunei</v>
          </cell>
        </row>
        <row r="193">
          <cell r="A193" t="str">
            <v>Bhutan</v>
          </cell>
        </row>
        <row r="194">
          <cell r="A194" t="str">
            <v>Bouvet Island</v>
          </cell>
        </row>
        <row r="195">
          <cell r="A195" t="str">
            <v>Central African Republic</v>
          </cell>
        </row>
        <row r="196">
          <cell r="A196" t="str">
            <v>Cocos (Keeling) Islands</v>
          </cell>
        </row>
        <row r="197">
          <cell r="A197" t="str">
            <v>Congo - Brazzaville</v>
          </cell>
        </row>
        <row r="198">
          <cell r="A198" t="str">
            <v>Cook Islands</v>
          </cell>
        </row>
        <row r="199">
          <cell r="A199" t="str">
            <v>Comoros</v>
          </cell>
        </row>
        <row r="200">
          <cell r="A200" t="str">
            <v>Christmas Island</v>
          </cell>
        </row>
        <row r="201">
          <cell r="A201" t="str">
            <v>Djibouti</v>
          </cell>
        </row>
        <row r="202">
          <cell r="A202" t="str">
            <v>Eritrea</v>
          </cell>
        </row>
        <row r="203">
          <cell r="A203" t="str">
            <v>Western Sahara</v>
          </cell>
        </row>
        <row r="204">
          <cell r="A204" t="str">
            <v>Falkland Islands (Islas Malvinas)</v>
          </cell>
        </row>
        <row r="205">
          <cell r="A205" t="str">
            <v>Faroe Islands</v>
          </cell>
        </row>
        <row r="206">
          <cell r="A206" t="str">
            <v>Micronesia</v>
          </cell>
        </row>
        <row r="207">
          <cell r="A207" t="str">
            <v>Gabon</v>
          </cell>
        </row>
        <row r="208">
          <cell r="A208" t="str">
            <v>Guinea</v>
          </cell>
        </row>
        <row r="209">
          <cell r="A209" t="str">
            <v>Equatorial Guinea</v>
          </cell>
        </row>
        <row r="210">
          <cell r="A210" t="str">
            <v>Guam</v>
          </cell>
        </row>
        <row r="211">
          <cell r="A211" t="str">
            <v>Heard &amp; McDonald Islands</v>
          </cell>
        </row>
        <row r="212">
          <cell r="A212" t="str">
            <v>Isle of Man</v>
          </cell>
        </row>
        <row r="213">
          <cell r="A213" t="str">
            <v>Jersey</v>
          </cell>
        </row>
        <row r="214">
          <cell r="A214" t="str">
            <v>Kiribati</v>
          </cell>
        </row>
        <row r="215">
          <cell r="A215" t="str">
            <v>St. Kitts &amp; Nevis</v>
          </cell>
        </row>
        <row r="216">
          <cell r="A216" t="str">
            <v>Liberia</v>
          </cell>
        </row>
        <row r="217">
          <cell r="A217" t="str">
            <v>Libya</v>
          </cell>
        </row>
        <row r="218">
          <cell r="A218" t="str">
            <v>St. Lucia</v>
          </cell>
        </row>
        <row r="219">
          <cell r="A219" t="str">
            <v>St. Martin</v>
          </cell>
        </row>
        <row r="220">
          <cell r="A220" t="str">
            <v>Marshall Islands</v>
          </cell>
        </row>
        <row r="221">
          <cell r="A221" t="str">
            <v>Mali</v>
          </cell>
        </row>
        <row r="222">
          <cell r="A222" t="str">
            <v>Montserrat</v>
          </cell>
        </row>
        <row r="223">
          <cell r="A223" t="str">
            <v>Mayotte</v>
          </cell>
        </row>
        <row r="224">
          <cell r="A224" t="str">
            <v>Niger</v>
          </cell>
        </row>
        <row r="225">
          <cell r="A225" t="str">
            <v>Norfolk Island</v>
          </cell>
        </row>
        <row r="226">
          <cell r="A226" t="str">
            <v>Niue</v>
          </cell>
        </row>
        <row r="227">
          <cell r="A227" t="str">
            <v>Nauru</v>
          </cell>
        </row>
        <row r="228">
          <cell r="A228" t="str">
            <v>Pitcairn Islands</v>
          </cell>
        </row>
        <row r="229">
          <cell r="A229" t="str">
            <v>Palau</v>
          </cell>
        </row>
        <row r="230">
          <cell r="A230" t="str">
            <v>North Korea</v>
          </cell>
        </row>
        <row r="231">
          <cell r="A231" t="str">
            <v>South Georgia &amp; South Sandwich Islands</v>
          </cell>
        </row>
        <row r="232">
          <cell r="A232" t="str">
            <v>Svalbard &amp; Jan Mayen</v>
          </cell>
        </row>
        <row r="233">
          <cell r="A233" t="str">
            <v>Solomon Islands</v>
          </cell>
        </row>
        <row r="234">
          <cell r="A234" t="str">
            <v>Sierra Leone</v>
          </cell>
        </row>
        <row r="235">
          <cell r="A235" t="str">
            <v>St. Pierre &amp; Miquelon</v>
          </cell>
        </row>
        <row r="236">
          <cell r="A236" t="str">
            <v>South Sudan</v>
          </cell>
        </row>
        <row r="237">
          <cell r="A237" t="str">
            <v>Eswatini</v>
          </cell>
        </row>
        <row r="238">
          <cell r="A238" t="str">
            <v>Sint Maarten</v>
          </cell>
        </row>
        <row r="239">
          <cell r="A239" t="str">
            <v>Seychelles</v>
          </cell>
        </row>
        <row r="240">
          <cell r="A240" t="str">
            <v>Turks &amp; Caicos Islands</v>
          </cell>
        </row>
        <row r="241">
          <cell r="A241" t="str">
            <v>Chad</v>
          </cell>
        </row>
        <row r="242">
          <cell r="A242" t="str">
            <v>Tokelau</v>
          </cell>
        </row>
        <row r="243">
          <cell r="A243" t="str">
            <v>Turkmenistan</v>
          </cell>
        </row>
        <row r="244">
          <cell r="A244" t="str">
            <v>Timor-Leste</v>
          </cell>
        </row>
        <row r="245">
          <cell r="A245" t="str">
            <v>Tonga</v>
          </cell>
        </row>
        <row r="246">
          <cell r="A246" t="str">
            <v>Tuvalu</v>
          </cell>
        </row>
        <row r="247">
          <cell r="A247" t="str">
            <v>U.S. Outlying Islands</v>
          </cell>
        </row>
        <row r="248">
          <cell r="A248" t="str">
            <v>Vatican City</v>
          </cell>
        </row>
        <row r="249">
          <cell r="A249" t="str">
            <v>St. Vincent &amp; Grenadines</v>
          </cell>
        </row>
        <row r="250">
          <cell r="A250" t="str">
            <v>British Virgin Islands</v>
          </cell>
        </row>
        <row r="251">
          <cell r="A251" t="str">
            <v>Vanuatu</v>
          </cell>
        </row>
        <row r="252">
          <cell r="A252" t="str">
            <v>Wallis &amp; Futuna</v>
          </cell>
        </row>
        <row r="253">
          <cell r="A253" t="str">
            <v>Samoa</v>
          </cell>
        </row>
      </sheetData>
    </sheetDataSet>
  </externalBook>
</externalLink>
</file>

<file path=xl/externalLinks/externalLink2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20)"/>
    </sheetNames>
    <sheetDataSet>
      <sheetData sheetId="0">
        <row r="1">
          <cell r="A1" t="str">
            <v>Kategori: TÃ¼m kategoriler</v>
          </cell>
        </row>
        <row r="3">
          <cell r="A3" t="str">
            <v>Ãœlke</v>
          </cell>
          <cell r="B3" t="str">
            <v>Lojistik Regresyon: (2014)</v>
          </cell>
          <cell r="C3" t="str">
            <v>Design thinking: (2014)</v>
          </cell>
        </row>
        <row r="4">
          <cell r="A4" t="str">
            <v>Ethiopia</v>
          </cell>
          <cell r="B4">
            <v>1</v>
          </cell>
        </row>
        <row r="5">
          <cell r="A5" t="str">
            <v>Rwanda</v>
          </cell>
        </row>
        <row r="6">
          <cell r="A6" t="str">
            <v>China</v>
          </cell>
          <cell r="B6">
            <v>0.89</v>
          </cell>
          <cell r="C6">
            <v>0.11</v>
          </cell>
        </row>
        <row r="7">
          <cell r="A7" t="str">
            <v>Malawi</v>
          </cell>
        </row>
        <row r="8">
          <cell r="A8" t="str">
            <v>Cameroon</v>
          </cell>
        </row>
        <row r="9">
          <cell r="A9" t="str">
            <v>Zimbabwe</v>
          </cell>
        </row>
        <row r="10">
          <cell r="A10" t="str">
            <v>South Korea</v>
          </cell>
          <cell r="B10">
            <v>0.86</v>
          </cell>
          <cell r="C10">
            <v>0.14000000000000001</v>
          </cell>
        </row>
        <row r="11">
          <cell r="A11" t="str">
            <v>Uganda</v>
          </cell>
          <cell r="B11">
            <v>1</v>
          </cell>
        </row>
        <row r="12">
          <cell r="A12" t="str">
            <v>Ghana</v>
          </cell>
        </row>
        <row r="13">
          <cell r="A13" t="str">
            <v>Singapore</v>
          </cell>
          <cell r="B13">
            <v>0.44</v>
          </cell>
          <cell r="C13">
            <v>0.56000000000000005</v>
          </cell>
        </row>
        <row r="14">
          <cell r="A14" t="str">
            <v>Iceland</v>
          </cell>
        </row>
        <row r="15">
          <cell r="A15" t="str">
            <v>Zambia</v>
          </cell>
        </row>
        <row r="16">
          <cell r="A16" t="str">
            <v>Kenya</v>
          </cell>
          <cell r="B16">
            <v>0.81</v>
          </cell>
          <cell r="C16">
            <v>0.19</v>
          </cell>
        </row>
        <row r="17">
          <cell r="A17" t="str">
            <v>Mauritius</v>
          </cell>
        </row>
        <row r="18">
          <cell r="A18" t="str">
            <v>Hong Kong</v>
          </cell>
          <cell r="B18">
            <v>0.78</v>
          </cell>
          <cell r="C18">
            <v>0.22</v>
          </cell>
        </row>
        <row r="19">
          <cell r="A19" t="str">
            <v>Tanzania</v>
          </cell>
          <cell r="B19">
            <v>1</v>
          </cell>
        </row>
        <row r="20">
          <cell r="A20" t="str">
            <v>Sri Lanka</v>
          </cell>
        </row>
        <row r="21">
          <cell r="A21" t="str">
            <v>St. Helena</v>
          </cell>
        </row>
        <row r="22">
          <cell r="A22" t="str">
            <v>Netherlands</v>
          </cell>
          <cell r="B22">
            <v>0.81</v>
          </cell>
          <cell r="C22">
            <v>0.19</v>
          </cell>
        </row>
        <row r="23">
          <cell r="A23" t="str">
            <v>United States</v>
          </cell>
          <cell r="B23">
            <v>0.83</v>
          </cell>
          <cell r="C23">
            <v>0.17</v>
          </cell>
        </row>
        <row r="24">
          <cell r="A24" t="str">
            <v>Taiwan</v>
          </cell>
          <cell r="B24">
            <v>0.54</v>
          </cell>
          <cell r="C24">
            <v>0.46</v>
          </cell>
        </row>
        <row r="25">
          <cell r="A25" t="str">
            <v>Nepal</v>
          </cell>
        </row>
        <row r="26">
          <cell r="A26" t="str">
            <v>Canada</v>
          </cell>
          <cell r="B26">
            <v>0.78</v>
          </cell>
          <cell r="C26">
            <v>0.22</v>
          </cell>
        </row>
        <row r="27">
          <cell r="A27" t="str">
            <v>Denmark</v>
          </cell>
          <cell r="B27">
            <v>0.68</v>
          </cell>
          <cell r="C27">
            <v>0.32</v>
          </cell>
        </row>
        <row r="28">
          <cell r="A28" t="str">
            <v>Switzerland</v>
          </cell>
          <cell r="B28">
            <v>0.66</v>
          </cell>
          <cell r="C28">
            <v>0.34</v>
          </cell>
        </row>
        <row r="29">
          <cell r="A29" t="str">
            <v>Belgium</v>
          </cell>
          <cell r="B29">
            <v>0.88</v>
          </cell>
          <cell r="C29">
            <v>0.12</v>
          </cell>
        </row>
        <row r="30">
          <cell r="A30" t="str">
            <v>Nigeria</v>
          </cell>
        </row>
        <row r="31">
          <cell r="A31" t="str">
            <v>Australia</v>
          </cell>
          <cell r="B31">
            <v>0.65</v>
          </cell>
          <cell r="C31">
            <v>0.35</v>
          </cell>
        </row>
        <row r="32">
          <cell r="A32" t="str">
            <v>South Africa</v>
          </cell>
          <cell r="B32">
            <v>0.79</v>
          </cell>
          <cell r="C32">
            <v>0.21</v>
          </cell>
        </row>
        <row r="33">
          <cell r="A33" t="str">
            <v>New Zealand</v>
          </cell>
          <cell r="B33">
            <v>0.55000000000000004</v>
          </cell>
          <cell r="C33">
            <v>0.45</v>
          </cell>
        </row>
        <row r="34">
          <cell r="A34" t="str">
            <v>India</v>
          </cell>
          <cell r="B34">
            <v>0.82</v>
          </cell>
          <cell r="C34">
            <v>0.18</v>
          </cell>
        </row>
        <row r="35">
          <cell r="A35" t="str">
            <v>Sweden</v>
          </cell>
          <cell r="B35">
            <v>0.82</v>
          </cell>
          <cell r="C35">
            <v>0.18</v>
          </cell>
        </row>
        <row r="36">
          <cell r="A36" t="str">
            <v>Estonia</v>
          </cell>
        </row>
        <row r="37">
          <cell r="A37" t="str">
            <v>Ireland</v>
          </cell>
          <cell r="B37">
            <v>0.72</v>
          </cell>
          <cell r="C37">
            <v>0.28000000000000003</v>
          </cell>
        </row>
        <row r="38">
          <cell r="A38" t="str">
            <v>Norway</v>
          </cell>
          <cell r="B38">
            <v>0.83</v>
          </cell>
          <cell r="C38">
            <v>0.17</v>
          </cell>
        </row>
        <row r="39">
          <cell r="A39" t="str">
            <v>Finland</v>
          </cell>
          <cell r="B39">
            <v>0.73</v>
          </cell>
          <cell r="C39">
            <v>0.27</v>
          </cell>
        </row>
        <row r="40">
          <cell r="A40" t="str">
            <v>Iran</v>
          </cell>
          <cell r="B40">
            <v>0.93</v>
          </cell>
          <cell r="C40">
            <v>7.0000000000000007E-2</v>
          </cell>
        </row>
        <row r="41">
          <cell r="A41" t="str">
            <v>Jamaica</v>
          </cell>
        </row>
        <row r="42">
          <cell r="A42" t="str">
            <v>Bangladesh</v>
          </cell>
        </row>
        <row r="43">
          <cell r="A43" t="str">
            <v>Israel</v>
          </cell>
          <cell r="B43">
            <v>0.87</v>
          </cell>
          <cell r="C43">
            <v>0.13</v>
          </cell>
        </row>
        <row r="44">
          <cell r="A44" t="str">
            <v>United Kingdom</v>
          </cell>
          <cell r="B44">
            <v>0.84</v>
          </cell>
          <cell r="C44">
            <v>0.16</v>
          </cell>
        </row>
        <row r="45">
          <cell r="A45" t="str">
            <v>Malaysia</v>
          </cell>
          <cell r="B45">
            <v>0.7</v>
          </cell>
          <cell r="C45">
            <v>0.3</v>
          </cell>
        </row>
        <row r="46">
          <cell r="A46" t="str">
            <v>Pakistan</v>
          </cell>
          <cell r="B46">
            <v>0.94</v>
          </cell>
          <cell r="C46">
            <v>0.06</v>
          </cell>
        </row>
        <row r="47">
          <cell r="A47" t="str">
            <v>Austria</v>
          </cell>
          <cell r="B47">
            <v>0.59</v>
          </cell>
          <cell r="C47">
            <v>0.41</v>
          </cell>
        </row>
        <row r="48">
          <cell r="A48" t="str">
            <v>Indonesia</v>
          </cell>
          <cell r="B48">
            <v>0.91</v>
          </cell>
          <cell r="C48">
            <v>0.09</v>
          </cell>
        </row>
        <row r="49">
          <cell r="A49" t="str">
            <v>Japan</v>
          </cell>
          <cell r="B49">
            <v>0.67</v>
          </cell>
          <cell r="C49">
            <v>0.33</v>
          </cell>
        </row>
        <row r="50">
          <cell r="A50" t="str">
            <v>Chile</v>
          </cell>
          <cell r="B50">
            <v>0.41</v>
          </cell>
          <cell r="C50">
            <v>0.59</v>
          </cell>
        </row>
        <row r="51">
          <cell r="A51" t="str">
            <v>Cyprus</v>
          </cell>
        </row>
        <row r="52">
          <cell r="A52" t="str">
            <v>Germany</v>
          </cell>
          <cell r="B52">
            <v>0.56999999999999995</v>
          </cell>
          <cell r="C52">
            <v>0.43</v>
          </cell>
        </row>
        <row r="53">
          <cell r="A53" t="str">
            <v>Laos</v>
          </cell>
        </row>
        <row r="54">
          <cell r="A54" t="str">
            <v>Portugal</v>
          </cell>
          <cell r="B54">
            <v>0.55000000000000004</v>
          </cell>
          <cell r="C54">
            <v>0.45</v>
          </cell>
        </row>
        <row r="55">
          <cell r="A55" t="str">
            <v>Brazil</v>
          </cell>
          <cell r="B55">
            <v>0.22</v>
          </cell>
          <cell r="C55">
            <v>0.78</v>
          </cell>
        </row>
        <row r="56">
          <cell r="A56" t="str">
            <v>Puerto Rico</v>
          </cell>
        </row>
        <row r="57">
          <cell r="A57" t="str">
            <v>Qatar</v>
          </cell>
        </row>
        <row r="58">
          <cell r="A58" t="str">
            <v>Peru</v>
          </cell>
          <cell r="B58">
            <v>0.68</v>
          </cell>
          <cell r="C58">
            <v>0.32</v>
          </cell>
        </row>
        <row r="59">
          <cell r="A59" t="str">
            <v>Philippines</v>
          </cell>
          <cell r="B59">
            <v>0.73</v>
          </cell>
          <cell r="C59">
            <v>0.27</v>
          </cell>
        </row>
        <row r="60">
          <cell r="A60" t="str">
            <v>Colombia</v>
          </cell>
          <cell r="B60">
            <v>0.4</v>
          </cell>
          <cell r="C60">
            <v>0.6</v>
          </cell>
        </row>
        <row r="61">
          <cell r="A61" t="str">
            <v>Lebanon</v>
          </cell>
        </row>
        <row r="62">
          <cell r="A62" t="str">
            <v>Ecuador</v>
          </cell>
          <cell r="B62">
            <v>0.7</v>
          </cell>
          <cell r="C62">
            <v>0.3</v>
          </cell>
        </row>
        <row r="63">
          <cell r="A63" t="str">
            <v>Czechia</v>
          </cell>
          <cell r="B63">
            <v>0.82</v>
          </cell>
          <cell r="C63">
            <v>0.18</v>
          </cell>
        </row>
        <row r="64">
          <cell r="A64" t="str">
            <v>Costa Rica</v>
          </cell>
        </row>
        <row r="65">
          <cell r="A65" t="str">
            <v>Tunisia</v>
          </cell>
        </row>
        <row r="66">
          <cell r="A66" t="str">
            <v>Sudan</v>
          </cell>
        </row>
        <row r="67">
          <cell r="A67" t="str">
            <v>Guatemala</v>
          </cell>
          <cell r="C67">
            <v>1</v>
          </cell>
        </row>
        <row r="68">
          <cell r="A68" t="str">
            <v>El Salvador</v>
          </cell>
          <cell r="C68">
            <v>1</v>
          </cell>
        </row>
        <row r="69">
          <cell r="A69" t="str">
            <v>Spain</v>
          </cell>
          <cell r="B69">
            <v>0.51</v>
          </cell>
          <cell r="C69">
            <v>0.49</v>
          </cell>
        </row>
        <row r="70">
          <cell r="A70" t="str">
            <v>Greece</v>
          </cell>
        </row>
        <row r="71">
          <cell r="A71" t="str">
            <v>France</v>
          </cell>
          <cell r="B71">
            <v>0.63</v>
          </cell>
          <cell r="C71">
            <v>0.37</v>
          </cell>
        </row>
        <row r="72">
          <cell r="A72" t="str">
            <v>Slovenia</v>
          </cell>
        </row>
        <row r="73">
          <cell r="A73" t="str">
            <v>Thailand</v>
          </cell>
          <cell r="B73">
            <v>0.83</v>
          </cell>
          <cell r="C73">
            <v>0.17</v>
          </cell>
        </row>
        <row r="74">
          <cell r="A74" t="str">
            <v>United Arab Emirates</v>
          </cell>
          <cell r="B74">
            <v>0.65</v>
          </cell>
          <cell r="C74">
            <v>0.35</v>
          </cell>
        </row>
        <row r="75">
          <cell r="A75" t="str">
            <v>Morocco</v>
          </cell>
          <cell r="B75">
            <v>0.8</v>
          </cell>
          <cell r="C75">
            <v>0.2</v>
          </cell>
        </row>
        <row r="76">
          <cell r="A76" t="str">
            <v>Italy</v>
          </cell>
          <cell r="B76">
            <v>0.82</v>
          </cell>
          <cell r="C76">
            <v>0.18</v>
          </cell>
        </row>
        <row r="77">
          <cell r="A77" t="str">
            <v>Armenia</v>
          </cell>
        </row>
        <row r="78">
          <cell r="A78" t="str">
            <v>Mexico</v>
          </cell>
          <cell r="B78">
            <v>0.41</v>
          </cell>
          <cell r="C78">
            <v>0.59</v>
          </cell>
        </row>
        <row r="79">
          <cell r="A79" t="str">
            <v>Croatia</v>
          </cell>
        </row>
        <row r="80">
          <cell r="A80" t="str">
            <v>Jordan</v>
          </cell>
        </row>
        <row r="81">
          <cell r="A81" t="str">
            <v>Poland</v>
          </cell>
          <cell r="B81">
            <v>0.54</v>
          </cell>
          <cell r="C81">
            <v>0.46</v>
          </cell>
        </row>
        <row r="82">
          <cell r="A82" t="str">
            <v>Serbia</v>
          </cell>
        </row>
        <row r="83">
          <cell r="A83" t="str">
            <v>Hungary</v>
          </cell>
        </row>
        <row r="84">
          <cell r="A84" t="str">
            <v>Lithuania</v>
          </cell>
        </row>
        <row r="85">
          <cell r="A85" t="str">
            <v>Slovakia</v>
          </cell>
        </row>
        <row r="86">
          <cell r="A86" t="str">
            <v>Uruguay</v>
          </cell>
        </row>
        <row r="87">
          <cell r="A87" t="str">
            <v>Panama</v>
          </cell>
        </row>
        <row r="88">
          <cell r="A88" t="str">
            <v>Russia</v>
          </cell>
          <cell r="B88">
            <v>0.74</v>
          </cell>
          <cell r="C88">
            <v>0.26</v>
          </cell>
        </row>
        <row r="89">
          <cell r="A89" t="str">
            <v>Turkey</v>
          </cell>
          <cell r="B89">
            <v>0.85</v>
          </cell>
          <cell r="C89">
            <v>0.15</v>
          </cell>
        </row>
        <row r="90">
          <cell r="A90" t="str">
            <v>Belarus</v>
          </cell>
        </row>
        <row r="91">
          <cell r="A91" t="str">
            <v>Algeria</v>
          </cell>
        </row>
        <row r="92">
          <cell r="A92" t="str">
            <v>Saudi Arabia</v>
          </cell>
          <cell r="B92">
            <v>0.74</v>
          </cell>
          <cell r="C92">
            <v>0.26</v>
          </cell>
        </row>
        <row r="93">
          <cell r="A93" t="str">
            <v>Bulgaria</v>
          </cell>
        </row>
        <row r="94">
          <cell r="A94" t="str">
            <v>Egypt</v>
          </cell>
          <cell r="B94">
            <v>0.72</v>
          </cell>
          <cell r="C94">
            <v>0.28000000000000003</v>
          </cell>
        </row>
        <row r="95">
          <cell r="A95" t="str">
            <v>Romania</v>
          </cell>
          <cell r="B95">
            <v>0.67</v>
          </cell>
          <cell r="C95">
            <v>0.33</v>
          </cell>
        </row>
        <row r="96">
          <cell r="A96" t="str">
            <v>Argentina</v>
          </cell>
          <cell r="B96">
            <v>0.51</v>
          </cell>
          <cell r="C96">
            <v>0.49</v>
          </cell>
        </row>
        <row r="97">
          <cell r="A97" t="str">
            <v>Iraq</v>
          </cell>
        </row>
        <row r="98">
          <cell r="A98" t="str">
            <v>Vietnam</v>
          </cell>
          <cell r="B98">
            <v>0.78</v>
          </cell>
          <cell r="C98">
            <v>0.22</v>
          </cell>
        </row>
        <row r="99">
          <cell r="A99" t="str">
            <v>Bolivia</v>
          </cell>
        </row>
        <row r="100">
          <cell r="A100" t="str">
            <v>Venezuela</v>
          </cell>
        </row>
        <row r="101">
          <cell r="A101" t="str">
            <v>Ukraine</v>
          </cell>
          <cell r="B101">
            <v>0.69</v>
          </cell>
          <cell r="C101">
            <v>0.31</v>
          </cell>
        </row>
        <row r="102">
          <cell r="A102" t="str">
            <v>Kazakhstan</v>
          </cell>
        </row>
        <row r="103">
          <cell r="A103" t="str">
            <v>Svalbard &amp; Jan Mayen</v>
          </cell>
        </row>
        <row r="104">
          <cell r="A104" t="str">
            <v>Tonga</v>
          </cell>
        </row>
        <row r="105">
          <cell r="A105" t="str">
            <v>Lesotho</v>
          </cell>
        </row>
        <row r="106">
          <cell r="A106" t="str">
            <v>Samoa</v>
          </cell>
        </row>
        <row r="107">
          <cell r="A107" t="str">
            <v>Burundi</v>
          </cell>
        </row>
        <row r="108">
          <cell r="A108" t="str">
            <v>Sint Maarten</v>
          </cell>
        </row>
        <row r="109">
          <cell r="A109" t="str">
            <v>Northern Mariana Islands</v>
          </cell>
        </row>
        <row r="110">
          <cell r="A110" t="str">
            <v>Benin</v>
          </cell>
        </row>
        <row r="111">
          <cell r="A111" t="str">
            <v>Greenland</v>
          </cell>
        </row>
        <row r="112">
          <cell r="A112" t="str">
            <v>Seychelles</v>
          </cell>
        </row>
        <row r="113">
          <cell r="A113" t="str">
            <v>Bhutan</v>
          </cell>
        </row>
        <row r="114">
          <cell r="A114" t="str">
            <v>Ã…land Islands</v>
          </cell>
        </row>
        <row r="115">
          <cell r="A115" t="str">
            <v>Botswana</v>
          </cell>
        </row>
        <row r="116">
          <cell r="A116" t="str">
            <v>Burkina Faso</v>
          </cell>
        </row>
        <row r="117">
          <cell r="A117" t="str">
            <v>Gambia</v>
          </cell>
        </row>
        <row r="118">
          <cell r="A118" t="str">
            <v>Cuba</v>
          </cell>
        </row>
        <row r="119">
          <cell r="A119" t="str">
            <v>Timor-Leste</v>
          </cell>
        </row>
        <row r="120">
          <cell r="A120" t="str">
            <v>CuraÃ§ao</v>
          </cell>
        </row>
        <row r="121">
          <cell r="A121" t="str">
            <v>Congo - Kinshasa</v>
          </cell>
        </row>
        <row r="122">
          <cell r="A122" t="str">
            <v>South Sudan</v>
          </cell>
        </row>
        <row r="123">
          <cell r="A123" t="str">
            <v>Liechtenstein</v>
          </cell>
        </row>
        <row r="124">
          <cell r="A124" t="str">
            <v>Bermuda</v>
          </cell>
        </row>
        <row r="125">
          <cell r="A125" t="str">
            <v>Togo</v>
          </cell>
        </row>
        <row r="126">
          <cell r="A126" t="str">
            <v>Liberia</v>
          </cell>
        </row>
        <row r="127">
          <cell r="A127" t="str">
            <v>Andorra</v>
          </cell>
        </row>
        <row r="128">
          <cell r="A128" t="str">
            <v>Suriname</v>
          </cell>
        </row>
        <row r="129">
          <cell r="A129" t="str">
            <v>Aruba</v>
          </cell>
        </row>
        <row r="130">
          <cell r="A130" t="str">
            <v>Congo - Brazzaville</v>
          </cell>
        </row>
        <row r="131">
          <cell r="A131" t="str">
            <v>Senegal</v>
          </cell>
        </row>
        <row r="132">
          <cell r="A132" t="str">
            <v>Namibia</v>
          </cell>
        </row>
        <row r="133">
          <cell r="A133" t="str">
            <v>Macao</v>
          </cell>
        </row>
        <row r="134">
          <cell r="A134" t="str">
            <v>Haiti</v>
          </cell>
        </row>
        <row r="135">
          <cell r="A135" t="str">
            <v>Mozambique</v>
          </cell>
        </row>
        <row r="136">
          <cell r="A136" t="str">
            <v>Sierra Leone</v>
          </cell>
        </row>
        <row r="137">
          <cell r="A137" t="str">
            <v>Somalia</v>
          </cell>
        </row>
        <row r="138">
          <cell r="A138" t="str">
            <v>Madagascar</v>
          </cell>
        </row>
        <row r="139">
          <cell r="A139" t="str">
            <v>Isle of Man</v>
          </cell>
        </row>
        <row r="140">
          <cell r="A140" t="str">
            <v>Luxembourg</v>
          </cell>
        </row>
        <row r="141">
          <cell r="A141" t="str">
            <v>Malta</v>
          </cell>
        </row>
        <row r="142">
          <cell r="A142" t="str">
            <v>French Polynesia</v>
          </cell>
        </row>
        <row r="143">
          <cell r="A143" t="str">
            <v>Jersey</v>
          </cell>
        </row>
        <row r="144">
          <cell r="A144" t="str">
            <v>Barbados</v>
          </cell>
        </row>
        <row r="145">
          <cell r="A145" t="str">
            <v>Fiji</v>
          </cell>
        </row>
        <row r="146">
          <cell r="A146" t="str">
            <v>Trinidad &amp; Tobago</v>
          </cell>
        </row>
        <row r="147">
          <cell r="A147" t="str">
            <v>Maldives</v>
          </cell>
        </row>
        <row r="148">
          <cell r="A148" t="str">
            <v>CÃ´te dâ€™Ivoire</v>
          </cell>
        </row>
        <row r="149">
          <cell r="A149" t="str">
            <v>Palestine</v>
          </cell>
        </row>
        <row r="150">
          <cell r="A150" t="str">
            <v>Afghanistan</v>
          </cell>
        </row>
        <row r="151">
          <cell r="A151" t="str">
            <v>Mali</v>
          </cell>
        </row>
        <row r="152">
          <cell r="A152" t="str">
            <v>Bahamas</v>
          </cell>
        </row>
        <row r="153">
          <cell r="A153" t="str">
            <v>Mongolia</v>
          </cell>
        </row>
        <row r="154">
          <cell r="A154" t="str">
            <v>Myanmar (Burma)</v>
          </cell>
        </row>
        <row r="155">
          <cell r="A155" t="str">
            <v>Syria</v>
          </cell>
        </row>
        <row r="156">
          <cell r="A156" t="str">
            <v>Martinique</v>
          </cell>
        </row>
        <row r="157">
          <cell r="A157" t="str">
            <v>Brunei</v>
          </cell>
        </row>
        <row r="158">
          <cell r="A158" t="str">
            <v>Guadeloupe</v>
          </cell>
        </row>
        <row r="159">
          <cell r="A159" t="str">
            <v>North Macedonia</v>
          </cell>
        </row>
        <row r="160">
          <cell r="A160" t="str">
            <v>Bahrain</v>
          </cell>
        </row>
        <row r="161">
          <cell r="A161" t="str">
            <v>Honduras</v>
          </cell>
        </row>
        <row r="162">
          <cell r="A162" t="str">
            <v>Nicaragua</v>
          </cell>
        </row>
        <row r="163">
          <cell r="A163" t="str">
            <v>Paraguay</v>
          </cell>
        </row>
        <row r="164">
          <cell r="A164" t="str">
            <v>Cambodia</v>
          </cell>
        </row>
        <row r="165">
          <cell r="A165" t="str">
            <v>Oman</v>
          </cell>
        </row>
        <row r="166">
          <cell r="A166" t="str">
            <v>Uzbekistan</v>
          </cell>
        </row>
        <row r="167">
          <cell r="A167" t="str">
            <v>Montenegro</v>
          </cell>
        </row>
        <row r="168">
          <cell r="A168" t="str">
            <v>Latvia</v>
          </cell>
        </row>
        <row r="169">
          <cell r="A169" t="str">
            <v>Libya</v>
          </cell>
        </row>
        <row r="170">
          <cell r="A170" t="str">
            <v>Kyrgyzstan</v>
          </cell>
        </row>
        <row r="171">
          <cell r="A171" t="str">
            <v>Dominican Republic</v>
          </cell>
        </row>
        <row r="172">
          <cell r="A172" t="str">
            <v>Georgia</v>
          </cell>
        </row>
        <row r="173">
          <cell r="A173" t="str">
            <v>RÃ©union</v>
          </cell>
        </row>
        <row r="174">
          <cell r="A174" t="str">
            <v>Albania</v>
          </cell>
        </row>
        <row r="175">
          <cell r="A175" t="str">
            <v>Kuwait</v>
          </cell>
        </row>
        <row r="176">
          <cell r="A176" t="str">
            <v>Azerbaijan</v>
          </cell>
        </row>
        <row r="177">
          <cell r="A177" t="str">
            <v>Moldova</v>
          </cell>
        </row>
        <row r="178">
          <cell r="A178" t="str">
            <v>Bosnia &amp; Herzegovina</v>
          </cell>
        </row>
        <row r="179">
          <cell r="A179" t="str">
            <v>Angola</v>
          </cell>
        </row>
        <row r="180">
          <cell r="A180" t="str">
            <v>Anguilla</v>
          </cell>
        </row>
        <row r="181">
          <cell r="A181" t="str">
            <v>American Samoa</v>
          </cell>
        </row>
        <row r="182">
          <cell r="A182" t="str">
            <v>Antarctica</v>
          </cell>
        </row>
        <row r="183">
          <cell r="A183" t="str">
            <v>French Southern Territories</v>
          </cell>
        </row>
        <row r="184">
          <cell r="A184" t="str">
            <v>Antigua &amp; Barbuda</v>
          </cell>
        </row>
        <row r="185">
          <cell r="A185" t="str">
            <v>Caribbean Netherlands</v>
          </cell>
        </row>
        <row r="186">
          <cell r="A186" t="str">
            <v>St. BarthÃ©lemy</v>
          </cell>
        </row>
        <row r="187">
          <cell r="A187" t="str">
            <v>Belize</v>
          </cell>
        </row>
        <row r="188">
          <cell r="A188" t="str">
            <v>Bouvet Island</v>
          </cell>
        </row>
        <row r="189">
          <cell r="A189" t="str">
            <v>Central African Republic</v>
          </cell>
        </row>
        <row r="190">
          <cell r="A190" t="str">
            <v>Cocos (Keeling) Islands</v>
          </cell>
        </row>
        <row r="191">
          <cell r="A191" t="str">
            <v>Cook Islands</v>
          </cell>
        </row>
        <row r="192">
          <cell r="A192" t="str">
            <v>Comoros</v>
          </cell>
        </row>
        <row r="193">
          <cell r="A193" t="str">
            <v>Cape Verde</v>
          </cell>
        </row>
        <row r="194">
          <cell r="A194" t="str">
            <v>Christmas Island</v>
          </cell>
        </row>
        <row r="195">
          <cell r="A195" t="str">
            <v>Cayman Islands</v>
          </cell>
        </row>
        <row r="196">
          <cell r="A196" t="str">
            <v>Djibouti</v>
          </cell>
        </row>
        <row r="197">
          <cell r="A197" t="str">
            <v>Dominica</v>
          </cell>
        </row>
        <row r="198">
          <cell r="A198" t="str">
            <v>Eritrea</v>
          </cell>
        </row>
        <row r="199">
          <cell r="A199" t="str">
            <v>Western Sahara</v>
          </cell>
        </row>
        <row r="200">
          <cell r="A200" t="str">
            <v>Falkland Islands (Islas Malvinas)</v>
          </cell>
        </row>
        <row r="201">
          <cell r="A201" t="str">
            <v>Faroe Islands</v>
          </cell>
        </row>
        <row r="202">
          <cell r="A202" t="str">
            <v>Micronesia</v>
          </cell>
        </row>
        <row r="203">
          <cell r="A203" t="str">
            <v>Gabon</v>
          </cell>
        </row>
        <row r="204">
          <cell r="A204" t="str">
            <v>Guernsey</v>
          </cell>
        </row>
        <row r="205">
          <cell r="A205" t="str">
            <v>Gibraltar</v>
          </cell>
        </row>
        <row r="206">
          <cell r="A206" t="str">
            <v>Guinea</v>
          </cell>
        </row>
        <row r="207">
          <cell r="A207" t="str">
            <v>Guinea-Bissau</v>
          </cell>
        </row>
        <row r="208">
          <cell r="A208" t="str">
            <v>Equatorial Guinea</v>
          </cell>
        </row>
        <row r="209">
          <cell r="A209" t="str">
            <v>Grenada</v>
          </cell>
        </row>
        <row r="210">
          <cell r="A210" t="str">
            <v>French Guiana</v>
          </cell>
        </row>
        <row r="211">
          <cell r="A211" t="str">
            <v>Guam</v>
          </cell>
        </row>
        <row r="212">
          <cell r="A212" t="str">
            <v>Guyana</v>
          </cell>
        </row>
        <row r="213">
          <cell r="A213" t="str">
            <v>Heard &amp; McDonald Islands</v>
          </cell>
        </row>
        <row r="214">
          <cell r="A214" t="str">
            <v>British Indian Ocean Territory</v>
          </cell>
        </row>
        <row r="215">
          <cell r="A215" t="str">
            <v>Kiribati</v>
          </cell>
        </row>
        <row r="216">
          <cell r="A216" t="str">
            <v>St. Kitts &amp; Nevis</v>
          </cell>
        </row>
        <row r="217">
          <cell r="A217" t="str">
            <v>St. Lucia</v>
          </cell>
        </row>
        <row r="218">
          <cell r="A218" t="str">
            <v>St. Martin</v>
          </cell>
        </row>
        <row r="219">
          <cell r="A219" t="str">
            <v>Monaco</v>
          </cell>
        </row>
        <row r="220">
          <cell r="A220" t="str">
            <v>Marshall Islands</v>
          </cell>
        </row>
        <row r="221">
          <cell r="A221" t="str">
            <v>Mauritania</v>
          </cell>
        </row>
        <row r="222">
          <cell r="A222" t="str">
            <v>Montserrat</v>
          </cell>
        </row>
        <row r="223">
          <cell r="A223" t="str">
            <v>Mayotte</v>
          </cell>
        </row>
        <row r="224">
          <cell r="A224" t="str">
            <v>New Caledonia</v>
          </cell>
        </row>
        <row r="225">
          <cell r="A225" t="str">
            <v>Niger</v>
          </cell>
        </row>
        <row r="226">
          <cell r="A226" t="str">
            <v>Norfolk Island</v>
          </cell>
        </row>
        <row r="227">
          <cell r="A227" t="str">
            <v>Niue</v>
          </cell>
        </row>
        <row r="228">
          <cell r="A228" t="str">
            <v>Nauru</v>
          </cell>
        </row>
        <row r="229">
          <cell r="A229" t="str">
            <v>Pitcairn Islands</v>
          </cell>
        </row>
        <row r="230">
          <cell r="A230" t="str">
            <v>Palau</v>
          </cell>
        </row>
        <row r="231">
          <cell r="A231" t="str">
            <v>Papua New Guinea</v>
          </cell>
        </row>
        <row r="232">
          <cell r="A232" t="str">
            <v>North Korea</v>
          </cell>
        </row>
        <row r="233">
          <cell r="A233" t="str">
            <v>South Georgia &amp; South Sandwich Islands</v>
          </cell>
        </row>
        <row r="234">
          <cell r="A234" t="str">
            <v>Solomon Islands</v>
          </cell>
        </row>
        <row r="235">
          <cell r="A235" t="str">
            <v>San Marino</v>
          </cell>
        </row>
        <row r="236">
          <cell r="A236" t="str">
            <v>St. Pierre &amp; Miquelon</v>
          </cell>
        </row>
        <row r="237">
          <cell r="A237" t="str">
            <v>SÃ£o TomÃ© &amp; PrÃ­ncipe</v>
          </cell>
        </row>
        <row r="238">
          <cell r="A238" t="str">
            <v>Eswatini</v>
          </cell>
        </row>
        <row r="239">
          <cell r="A239" t="str">
            <v>Turks &amp; Caicos Islands</v>
          </cell>
        </row>
        <row r="240">
          <cell r="A240" t="str">
            <v>Chad</v>
          </cell>
        </row>
        <row r="241">
          <cell r="A241" t="str">
            <v>Tajikistan</v>
          </cell>
        </row>
        <row r="242">
          <cell r="A242" t="str">
            <v>Tokelau</v>
          </cell>
        </row>
        <row r="243">
          <cell r="A243" t="str">
            <v>Turkmenistan</v>
          </cell>
        </row>
        <row r="244">
          <cell r="A244" t="str">
            <v>Tuvalu</v>
          </cell>
        </row>
        <row r="245">
          <cell r="A245" t="str">
            <v>U.S. Outlying Islands</v>
          </cell>
        </row>
        <row r="246">
          <cell r="A246" t="str">
            <v>Vatican City</v>
          </cell>
        </row>
        <row r="247">
          <cell r="A247" t="str">
            <v>St. Vincent &amp; Grenadines</v>
          </cell>
        </row>
        <row r="248">
          <cell r="A248" t="str">
            <v>British Virgin Islands</v>
          </cell>
        </row>
        <row r="249">
          <cell r="A249" t="str">
            <v>U.S. Virgin Islands</v>
          </cell>
        </row>
        <row r="250">
          <cell r="A250" t="str">
            <v>Vanuatu</v>
          </cell>
        </row>
        <row r="251">
          <cell r="A251" t="str">
            <v>Wallis &amp; Futuna</v>
          </cell>
        </row>
        <row r="252">
          <cell r="A252" t="str">
            <v>Kosovo</v>
          </cell>
        </row>
        <row r="253">
          <cell r="A253" t="str">
            <v>Yemen</v>
          </cell>
        </row>
      </sheetData>
    </sheetDataSet>
  </externalBook>
</externalLink>
</file>

<file path=xl/externalLinks/externalLink2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21)"/>
    </sheetNames>
    <sheetDataSet>
      <sheetData sheetId="0">
        <row r="1">
          <cell r="A1" t="str">
            <v>Kategori: TÃ¼m kategoriler</v>
          </cell>
        </row>
        <row r="3">
          <cell r="A3" t="str">
            <v>Ãœlke</v>
          </cell>
          <cell r="B3" t="str">
            <v>Design thinking: (2014)</v>
          </cell>
          <cell r="C3" t="str">
            <v>Ã‡Ã¶p toplama: (2014)</v>
          </cell>
        </row>
        <row r="4">
          <cell r="A4" t="str">
            <v>China</v>
          </cell>
          <cell r="B4">
            <v>7.0000000000000007E-2</v>
          </cell>
          <cell r="C4">
            <v>0.93</v>
          </cell>
        </row>
        <row r="5">
          <cell r="A5" t="str">
            <v>Singapore</v>
          </cell>
          <cell r="B5">
            <v>0.7</v>
          </cell>
          <cell r="C5">
            <v>0.3</v>
          </cell>
        </row>
        <row r="6">
          <cell r="A6" t="str">
            <v>South Korea</v>
          </cell>
          <cell r="B6">
            <v>0.17</v>
          </cell>
          <cell r="C6">
            <v>0.83</v>
          </cell>
        </row>
        <row r="7">
          <cell r="A7" t="str">
            <v>Guyana</v>
          </cell>
        </row>
        <row r="8">
          <cell r="A8" t="str">
            <v>Jamaica</v>
          </cell>
        </row>
        <row r="9">
          <cell r="A9" t="str">
            <v>Canada</v>
          </cell>
          <cell r="B9">
            <v>0.14000000000000001</v>
          </cell>
          <cell r="C9">
            <v>0.86</v>
          </cell>
        </row>
        <row r="10">
          <cell r="A10" t="str">
            <v>India</v>
          </cell>
          <cell r="B10">
            <v>0.12</v>
          </cell>
          <cell r="C10">
            <v>0.88</v>
          </cell>
        </row>
        <row r="11">
          <cell r="A11" t="str">
            <v>Hong Kong</v>
          </cell>
          <cell r="B11">
            <v>0.26</v>
          </cell>
          <cell r="C11">
            <v>0.74</v>
          </cell>
        </row>
        <row r="12">
          <cell r="A12" t="str">
            <v>Uganda</v>
          </cell>
        </row>
        <row r="13">
          <cell r="A13" t="str">
            <v>Japan</v>
          </cell>
          <cell r="B13">
            <v>0.21</v>
          </cell>
          <cell r="C13">
            <v>0.79</v>
          </cell>
        </row>
        <row r="14">
          <cell r="A14" t="str">
            <v>Ecuador</v>
          </cell>
          <cell r="B14">
            <v>0.15</v>
          </cell>
          <cell r="C14">
            <v>0.85</v>
          </cell>
        </row>
        <row r="15">
          <cell r="A15" t="str">
            <v>St. Helena</v>
          </cell>
        </row>
        <row r="16">
          <cell r="A16" t="str">
            <v>Australia</v>
          </cell>
          <cell r="B16">
            <v>0.34</v>
          </cell>
          <cell r="C16">
            <v>0.66</v>
          </cell>
        </row>
        <row r="17">
          <cell r="A17" t="str">
            <v>Namibia</v>
          </cell>
        </row>
        <row r="18">
          <cell r="A18" t="str">
            <v>Taiwan</v>
          </cell>
          <cell r="B18">
            <v>0.57999999999999996</v>
          </cell>
          <cell r="C18">
            <v>0.42</v>
          </cell>
        </row>
        <row r="19">
          <cell r="A19" t="str">
            <v>Israel</v>
          </cell>
          <cell r="B19">
            <v>0.13</v>
          </cell>
          <cell r="C19">
            <v>0.87</v>
          </cell>
        </row>
        <row r="20">
          <cell r="A20" t="str">
            <v>United States</v>
          </cell>
          <cell r="B20">
            <v>0.23</v>
          </cell>
          <cell r="C20">
            <v>0.77</v>
          </cell>
        </row>
        <row r="21">
          <cell r="A21" t="str">
            <v>Panama</v>
          </cell>
        </row>
        <row r="22">
          <cell r="A22" t="str">
            <v>Iceland</v>
          </cell>
        </row>
        <row r="23">
          <cell r="A23" t="str">
            <v>Malta</v>
          </cell>
        </row>
        <row r="24">
          <cell r="A24" t="str">
            <v>Nepal</v>
          </cell>
        </row>
        <row r="25">
          <cell r="A25" t="str">
            <v>Belarus</v>
          </cell>
        </row>
        <row r="26">
          <cell r="A26" t="str">
            <v>Mexico</v>
          </cell>
          <cell r="B26">
            <v>0.27</v>
          </cell>
          <cell r="C26">
            <v>0.73</v>
          </cell>
        </row>
        <row r="27">
          <cell r="A27" t="str">
            <v>Kenya</v>
          </cell>
          <cell r="B27">
            <v>0.38</v>
          </cell>
          <cell r="C27">
            <v>0.62</v>
          </cell>
        </row>
        <row r="28">
          <cell r="A28" t="str">
            <v>Ethiopia</v>
          </cell>
        </row>
        <row r="29">
          <cell r="A29" t="str">
            <v>Costa Rica</v>
          </cell>
          <cell r="B29">
            <v>0.3</v>
          </cell>
          <cell r="C29">
            <v>0.7</v>
          </cell>
        </row>
        <row r="30">
          <cell r="A30" t="str">
            <v>Paraguay</v>
          </cell>
        </row>
        <row r="31">
          <cell r="A31" t="str">
            <v>Sri Lanka</v>
          </cell>
        </row>
        <row r="32">
          <cell r="A32" t="str">
            <v>Chile</v>
          </cell>
          <cell r="B32">
            <v>0.45</v>
          </cell>
          <cell r="C32">
            <v>0.55000000000000004</v>
          </cell>
        </row>
        <row r="33">
          <cell r="A33" t="str">
            <v>El Salvador</v>
          </cell>
        </row>
        <row r="34">
          <cell r="A34" t="str">
            <v>Uruguay</v>
          </cell>
        </row>
        <row r="35">
          <cell r="A35" t="str">
            <v>Switzerland</v>
          </cell>
          <cell r="B35">
            <v>0.44</v>
          </cell>
          <cell r="C35">
            <v>0.56000000000000005</v>
          </cell>
        </row>
        <row r="36">
          <cell r="A36" t="str">
            <v>Argentina</v>
          </cell>
          <cell r="B36">
            <v>0.14000000000000001</v>
          </cell>
          <cell r="C36">
            <v>0.86</v>
          </cell>
        </row>
        <row r="37">
          <cell r="A37" t="str">
            <v>New Zealand</v>
          </cell>
          <cell r="B37">
            <v>0.49</v>
          </cell>
          <cell r="C37">
            <v>0.51</v>
          </cell>
        </row>
        <row r="38">
          <cell r="A38" t="str">
            <v>Hungary</v>
          </cell>
        </row>
        <row r="39">
          <cell r="A39" t="str">
            <v>Turkey</v>
          </cell>
          <cell r="B39">
            <v>0.04</v>
          </cell>
          <cell r="C39">
            <v>0.96</v>
          </cell>
        </row>
        <row r="40">
          <cell r="A40" t="str">
            <v>Brazil</v>
          </cell>
          <cell r="B40">
            <v>0.77</v>
          </cell>
          <cell r="C40">
            <v>0.23</v>
          </cell>
        </row>
        <row r="41">
          <cell r="A41" t="str">
            <v>Philippines</v>
          </cell>
          <cell r="B41">
            <v>0.18</v>
          </cell>
          <cell r="C41">
            <v>0.82</v>
          </cell>
        </row>
        <row r="42">
          <cell r="A42" t="str">
            <v>Norway</v>
          </cell>
          <cell r="B42">
            <v>0.24</v>
          </cell>
          <cell r="C42">
            <v>0.76</v>
          </cell>
        </row>
        <row r="43">
          <cell r="A43" t="str">
            <v>Estonia</v>
          </cell>
        </row>
        <row r="44">
          <cell r="A44" t="str">
            <v>Armenia</v>
          </cell>
        </row>
        <row r="45">
          <cell r="A45" t="str">
            <v>Portugal</v>
          </cell>
          <cell r="B45">
            <v>0.66</v>
          </cell>
          <cell r="C45">
            <v>0.34</v>
          </cell>
        </row>
        <row r="46">
          <cell r="A46" t="str">
            <v>Guatemala</v>
          </cell>
        </row>
        <row r="47">
          <cell r="A47" t="str">
            <v>Colombia</v>
          </cell>
          <cell r="B47">
            <v>0.53</v>
          </cell>
          <cell r="C47">
            <v>0.47</v>
          </cell>
        </row>
        <row r="48">
          <cell r="A48" t="str">
            <v>Sweden</v>
          </cell>
          <cell r="B48">
            <v>0.27</v>
          </cell>
          <cell r="C48">
            <v>0.73</v>
          </cell>
        </row>
        <row r="49">
          <cell r="A49" t="str">
            <v>United Kingdom</v>
          </cell>
          <cell r="B49">
            <v>0.23</v>
          </cell>
          <cell r="C49">
            <v>0.77</v>
          </cell>
        </row>
        <row r="50">
          <cell r="A50" t="str">
            <v>Czechia</v>
          </cell>
        </row>
        <row r="51">
          <cell r="A51" t="str">
            <v>Germany</v>
          </cell>
          <cell r="B51">
            <v>0.52</v>
          </cell>
          <cell r="C51">
            <v>0.48</v>
          </cell>
        </row>
        <row r="52">
          <cell r="A52" t="str">
            <v>Ireland</v>
          </cell>
          <cell r="B52">
            <v>0.43</v>
          </cell>
          <cell r="C52">
            <v>0.56999999999999995</v>
          </cell>
        </row>
        <row r="53">
          <cell r="A53" t="str">
            <v>Denmark</v>
          </cell>
          <cell r="B53">
            <v>0.5</v>
          </cell>
          <cell r="C53">
            <v>0.5</v>
          </cell>
        </row>
        <row r="54">
          <cell r="A54" t="str">
            <v>Ukraine</v>
          </cell>
        </row>
        <row r="55">
          <cell r="A55" t="str">
            <v>Austria</v>
          </cell>
          <cell r="B55">
            <v>0.49</v>
          </cell>
          <cell r="C55">
            <v>0.51</v>
          </cell>
        </row>
        <row r="56">
          <cell r="A56" t="str">
            <v>Belgium</v>
          </cell>
          <cell r="B56">
            <v>0.26</v>
          </cell>
          <cell r="C56">
            <v>0.74</v>
          </cell>
        </row>
        <row r="57">
          <cell r="A57" t="str">
            <v>Lebanon</v>
          </cell>
        </row>
        <row r="58">
          <cell r="A58" t="str">
            <v>Finland</v>
          </cell>
          <cell r="B58">
            <v>0.39</v>
          </cell>
          <cell r="C58">
            <v>0.61</v>
          </cell>
        </row>
        <row r="59">
          <cell r="A59" t="str">
            <v>Russia</v>
          </cell>
          <cell r="B59">
            <v>0.17</v>
          </cell>
          <cell r="C59">
            <v>0.83</v>
          </cell>
        </row>
        <row r="60">
          <cell r="A60" t="str">
            <v>Netherlands</v>
          </cell>
          <cell r="B60">
            <v>0.47</v>
          </cell>
          <cell r="C60">
            <v>0.53</v>
          </cell>
        </row>
        <row r="61">
          <cell r="A61" t="str">
            <v>South Africa</v>
          </cell>
          <cell r="B61">
            <v>0.45</v>
          </cell>
          <cell r="C61">
            <v>0.55000000000000004</v>
          </cell>
        </row>
        <row r="62">
          <cell r="A62" t="str">
            <v>United Arab Emirates</v>
          </cell>
          <cell r="B62">
            <v>0.34</v>
          </cell>
          <cell r="C62">
            <v>0.66</v>
          </cell>
        </row>
        <row r="63">
          <cell r="A63" t="str">
            <v>Peru</v>
          </cell>
          <cell r="B63">
            <v>0.56999999999999995</v>
          </cell>
          <cell r="C63">
            <v>0.43</v>
          </cell>
        </row>
        <row r="64">
          <cell r="A64" t="str">
            <v>Slovakia</v>
          </cell>
        </row>
        <row r="65">
          <cell r="A65" t="str">
            <v>Slovenia</v>
          </cell>
        </row>
        <row r="66">
          <cell r="A66" t="str">
            <v>Pakistan</v>
          </cell>
          <cell r="B66">
            <v>0.17</v>
          </cell>
          <cell r="C66">
            <v>0.83</v>
          </cell>
        </row>
        <row r="67">
          <cell r="A67" t="str">
            <v>Malaysia</v>
          </cell>
          <cell r="B67">
            <v>0.45</v>
          </cell>
          <cell r="C67">
            <v>0.55000000000000004</v>
          </cell>
        </row>
        <row r="68">
          <cell r="A68" t="str">
            <v>Mauritius</v>
          </cell>
        </row>
        <row r="69">
          <cell r="A69" t="str">
            <v>Poland</v>
          </cell>
          <cell r="B69">
            <v>0.42</v>
          </cell>
          <cell r="C69">
            <v>0.57999999999999996</v>
          </cell>
        </row>
        <row r="70">
          <cell r="A70" t="str">
            <v>Latvia</v>
          </cell>
        </row>
        <row r="71">
          <cell r="A71" t="str">
            <v>Lithuania</v>
          </cell>
        </row>
        <row r="72">
          <cell r="A72" t="str">
            <v>Romania</v>
          </cell>
          <cell r="B72">
            <v>0.15</v>
          </cell>
          <cell r="C72">
            <v>0.85</v>
          </cell>
        </row>
        <row r="73">
          <cell r="A73" t="str">
            <v>Honduras</v>
          </cell>
        </row>
        <row r="74">
          <cell r="A74" t="str">
            <v>Spain</v>
          </cell>
          <cell r="B74">
            <v>0.59</v>
          </cell>
          <cell r="C74">
            <v>0.41</v>
          </cell>
        </row>
        <row r="75">
          <cell r="A75" t="str">
            <v>Ghana</v>
          </cell>
        </row>
        <row r="76">
          <cell r="A76" t="str">
            <v>Venezuela</v>
          </cell>
        </row>
        <row r="77">
          <cell r="A77" t="str">
            <v>Vietnam</v>
          </cell>
          <cell r="B77">
            <v>7.0000000000000007E-2</v>
          </cell>
          <cell r="C77">
            <v>0.93</v>
          </cell>
        </row>
        <row r="78">
          <cell r="A78" t="str">
            <v>France</v>
          </cell>
          <cell r="B78">
            <v>0.4</v>
          </cell>
          <cell r="C78">
            <v>0.6</v>
          </cell>
        </row>
        <row r="79">
          <cell r="A79" t="str">
            <v>Tunisia</v>
          </cell>
        </row>
        <row r="80">
          <cell r="A80" t="str">
            <v>Bolivia</v>
          </cell>
          <cell r="B80">
            <v>0.19</v>
          </cell>
          <cell r="C80">
            <v>0.81</v>
          </cell>
        </row>
        <row r="81">
          <cell r="A81" t="str">
            <v>Croatia</v>
          </cell>
        </row>
        <row r="82">
          <cell r="A82" t="str">
            <v>Cyprus</v>
          </cell>
        </row>
        <row r="83">
          <cell r="A83" t="str">
            <v>Bulgaria</v>
          </cell>
          <cell r="B83">
            <v>0.31</v>
          </cell>
          <cell r="C83">
            <v>0.69</v>
          </cell>
        </row>
        <row r="84">
          <cell r="A84" t="str">
            <v>Serbia</v>
          </cell>
        </row>
        <row r="85">
          <cell r="A85" t="str">
            <v>Zimbabwe</v>
          </cell>
        </row>
        <row r="86">
          <cell r="A86" t="str">
            <v>Greece</v>
          </cell>
          <cell r="B86">
            <v>0.24</v>
          </cell>
          <cell r="C86">
            <v>0.76</v>
          </cell>
        </row>
        <row r="87">
          <cell r="A87" t="str">
            <v>Egypt</v>
          </cell>
          <cell r="B87">
            <v>0.24</v>
          </cell>
          <cell r="C87">
            <v>0.76</v>
          </cell>
        </row>
        <row r="88">
          <cell r="A88" t="str">
            <v>Italy</v>
          </cell>
          <cell r="B88">
            <v>0.22</v>
          </cell>
          <cell r="C88">
            <v>0.78</v>
          </cell>
        </row>
        <row r="89">
          <cell r="A89" t="str">
            <v>Bangladesh</v>
          </cell>
        </row>
        <row r="90">
          <cell r="A90" t="str">
            <v>Nigeria</v>
          </cell>
        </row>
        <row r="91">
          <cell r="A91" t="str">
            <v>Dominican Republic</v>
          </cell>
        </row>
        <row r="92">
          <cell r="A92" t="str">
            <v>Jordan</v>
          </cell>
        </row>
        <row r="93">
          <cell r="A93" t="str">
            <v>Iran</v>
          </cell>
        </row>
        <row r="94">
          <cell r="A94" t="str">
            <v>Morocco</v>
          </cell>
        </row>
        <row r="95">
          <cell r="A95" t="str">
            <v>Indonesia</v>
          </cell>
          <cell r="B95">
            <v>0.45</v>
          </cell>
          <cell r="C95">
            <v>0.55000000000000004</v>
          </cell>
        </row>
        <row r="96">
          <cell r="A96" t="str">
            <v>Saudi Arabia</v>
          </cell>
          <cell r="B96">
            <v>0.47</v>
          </cell>
          <cell r="C96">
            <v>0.53</v>
          </cell>
        </row>
        <row r="97">
          <cell r="A97" t="str">
            <v>Thailand</v>
          </cell>
          <cell r="B97">
            <v>0.51</v>
          </cell>
          <cell r="C97">
            <v>0.49</v>
          </cell>
        </row>
        <row r="98">
          <cell r="A98" t="str">
            <v>Kazakhstan</v>
          </cell>
        </row>
        <row r="99">
          <cell r="A99" t="str">
            <v>Liechtenstein</v>
          </cell>
        </row>
        <row r="100">
          <cell r="A100" t="str">
            <v>Eswatini</v>
          </cell>
        </row>
        <row r="101">
          <cell r="A101" t="str">
            <v>Aruba</v>
          </cell>
        </row>
        <row r="102">
          <cell r="A102" t="str">
            <v>Sierra Leone</v>
          </cell>
        </row>
        <row r="103">
          <cell r="A103" t="str">
            <v>CuraÃ§ao</v>
          </cell>
        </row>
        <row r="104">
          <cell r="A104" t="str">
            <v>Jersey</v>
          </cell>
        </row>
        <row r="105">
          <cell r="A105" t="str">
            <v>Botswana</v>
          </cell>
        </row>
        <row r="106">
          <cell r="A106" t="str">
            <v>Fiji</v>
          </cell>
        </row>
        <row r="107">
          <cell r="A107" t="str">
            <v>Mauritania</v>
          </cell>
        </row>
        <row r="108">
          <cell r="A108" t="str">
            <v>Guam</v>
          </cell>
        </row>
        <row r="109">
          <cell r="A109" t="str">
            <v>Rwanda</v>
          </cell>
        </row>
        <row r="110">
          <cell r="A110" t="str">
            <v>Macao</v>
          </cell>
        </row>
        <row r="111">
          <cell r="A111" t="str">
            <v>Senegal</v>
          </cell>
        </row>
        <row r="112">
          <cell r="A112" t="str">
            <v>Barbados</v>
          </cell>
        </row>
        <row r="113">
          <cell r="A113" t="str">
            <v>Bahamas</v>
          </cell>
        </row>
        <row r="114">
          <cell r="A114" t="str">
            <v>RÃ©union</v>
          </cell>
        </row>
        <row r="115">
          <cell r="A115" t="str">
            <v>Trinidad &amp; Tobago</v>
          </cell>
        </row>
        <row r="116">
          <cell r="A116" t="str">
            <v>Luxembourg</v>
          </cell>
        </row>
        <row r="117">
          <cell r="A117" t="str">
            <v>Cameroon</v>
          </cell>
        </row>
        <row r="118">
          <cell r="A118" t="str">
            <v>Brunei</v>
          </cell>
        </row>
        <row r="119">
          <cell r="A119" t="str">
            <v>Guadeloupe</v>
          </cell>
        </row>
        <row r="120">
          <cell r="A120" t="str">
            <v>Myanmar (Burma)</v>
          </cell>
        </row>
        <row r="121">
          <cell r="A121" t="str">
            <v>Kyrgyzstan</v>
          </cell>
        </row>
        <row r="122">
          <cell r="A122" t="str">
            <v>Mozambique</v>
          </cell>
        </row>
        <row r="123">
          <cell r="A123" t="str">
            <v>CÃ´te dâ€™Ivoire</v>
          </cell>
        </row>
        <row r="124">
          <cell r="A124" t="str">
            <v>Mongolia</v>
          </cell>
        </row>
        <row r="125">
          <cell r="A125" t="str">
            <v>Kosovo</v>
          </cell>
        </row>
        <row r="126">
          <cell r="A126" t="str">
            <v>Angola</v>
          </cell>
        </row>
        <row r="127">
          <cell r="A127" t="str">
            <v>Palestine</v>
          </cell>
        </row>
        <row r="128">
          <cell r="A128" t="str">
            <v>Bahrain</v>
          </cell>
        </row>
        <row r="129">
          <cell r="A129" t="str">
            <v>Oman</v>
          </cell>
        </row>
        <row r="130">
          <cell r="A130" t="str">
            <v>Kuwait</v>
          </cell>
        </row>
        <row r="131">
          <cell r="A131" t="str">
            <v>North Macedonia</v>
          </cell>
        </row>
        <row r="132">
          <cell r="A132" t="str">
            <v>Cambodia</v>
          </cell>
        </row>
        <row r="133">
          <cell r="A133" t="str">
            <v>Libya</v>
          </cell>
        </row>
        <row r="134">
          <cell r="A134" t="str">
            <v>Georgia</v>
          </cell>
        </row>
        <row r="135">
          <cell r="A135" t="str">
            <v>Syria</v>
          </cell>
        </row>
        <row r="136">
          <cell r="A136" t="str">
            <v>Yemen</v>
          </cell>
        </row>
        <row r="137">
          <cell r="A137" t="str">
            <v>Sudan</v>
          </cell>
        </row>
        <row r="138">
          <cell r="A138" t="str">
            <v>Tanzania</v>
          </cell>
        </row>
        <row r="139">
          <cell r="A139" t="str">
            <v>Moldova</v>
          </cell>
        </row>
        <row r="140">
          <cell r="A140" t="str">
            <v>Qatar</v>
          </cell>
        </row>
        <row r="141">
          <cell r="A141" t="str">
            <v>Puerto Rico</v>
          </cell>
        </row>
        <row r="142">
          <cell r="A142" t="str">
            <v>Bosnia &amp; Herzegovina</v>
          </cell>
        </row>
        <row r="143">
          <cell r="A143" t="str">
            <v>Iraq</v>
          </cell>
        </row>
        <row r="144">
          <cell r="A144" t="str">
            <v>Algeria</v>
          </cell>
        </row>
        <row r="145">
          <cell r="A145" t="str">
            <v>Afghanistan</v>
          </cell>
        </row>
        <row r="146">
          <cell r="A146" t="str">
            <v>Anguilla</v>
          </cell>
        </row>
        <row r="147">
          <cell r="A147" t="str">
            <v>Ã…land Islands</v>
          </cell>
        </row>
        <row r="148">
          <cell r="A148" t="str">
            <v>Albania</v>
          </cell>
        </row>
        <row r="149">
          <cell r="A149" t="str">
            <v>Andorra</v>
          </cell>
        </row>
        <row r="150">
          <cell r="A150" t="str">
            <v>American Samoa</v>
          </cell>
        </row>
        <row r="151">
          <cell r="A151" t="str">
            <v>Antarctica</v>
          </cell>
        </row>
        <row r="152">
          <cell r="A152" t="str">
            <v>French Southern Territories</v>
          </cell>
        </row>
        <row r="153">
          <cell r="A153" t="str">
            <v>Antigua &amp; Barbuda</v>
          </cell>
        </row>
        <row r="154">
          <cell r="A154" t="str">
            <v>Azerbaijan</v>
          </cell>
        </row>
        <row r="155">
          <cell r="A155" t="str">
            <v>Burundi</v>
          </cell>
        </row>
        <row r="156">
          <cell r="A156" t="str">
            <v>Benin</v>
          </cell>
        </row>
        <row r="157">
          <cell r="A157" t="str">
            <v>Caribbean Netherlands</v>
          </cell>
        </row>
        <row r="158">
          <cell r="A158" t="str">
            <v>Burkina Faso</v>
          </cell>
        </row>
        <row r="159">
          <cell r="A159" t="str">
            <v>St. BarthÃ©lemy</v>
          </cell>
        </row>
        <row r="160">
          <cell r="A160" t="str">
            <v>Belize</v>
          </cell>
        </row>
        <row r="161">
          <cell r="A161" t="str">
            <v>Bermuda</v>
          </cell>
        </row>
        <row r="162">
          <cell r="A162" t="str">
            <v>Bhutan</v>
          </cell>
        </row>
        <row r="163">
          <cell r="A163" t="str">
            <v>Bouvet Island</v>
          </cell>
        </row>
        <row r="164">
          <cell r="A164" t="str">
            <v>Central African Republic</v>
          </cell>
        </row>
        <row r="165">
          <cell r="A165" t="str">
            <v>Cocos (Keeling) Islands</v>
          </cell>
        </row>
        <row r="166">
          <cell r="A166" t="str">
            <v>Congo - Kinshasa</v>
          </cell>
        </row>
        <row r="167">
          <cell r="A167" t="str">
            <v>Congo - Brazzaville</v>
          </cell>
        </row>
        <row r="168">
          <cell r="A168" t="str">
            <v>Cook Islands</v>
          </cell>
        </row>
        <row r="169">
          <cell r="A169" t="str">
            <v>Comoros</v>
          </cell>
        </row>
        <row r="170">
          <cell r="A170" t="str">
            <v>Cape Verde</v>
          </cell>
        </row>
        <row r="171">
          <cell r="A171" t="str">
            <v>Cuba</v>
          </cell>
        </row>
        <row r="172">
          <cell r="A172" t="str">
            <v>Christmas Island</v>
          </cell>
        </row>
        <row r="173">
          <cell r="A173" t="str">
            <v>Cayman Islands</v>
          </cell>
        </row>
        <row r="174">
          <cell r="A174" t="str">
            <v>Djibouti</v>
          </cell>
        </row>
        <row r="175">
          <cell r="A175" t="str">
            <v>Dominica</v>
          </cell>
        </row>
        <row r="176">
          <cell r="A176" t="str">
            <v>Eritrea</v>
          </cell>
        </row>
        <row r="177">
          <cell r="A177" t="str">
            <v>Western Sahara</v>
          </cell>
        </row>
        <row r="178">
          <cell r="A178" t="str">
            <v>Falkland Islands (Islas Malvinas)</v>
          </cell>
        </row>
        <row r="179">
          <cell r="A179" t="str">
            <v>Faroe Islands</v>
          </cell>
        </row>
        <row r="180">
          <cell r="A180" t="str">
            <v>Micronesia</v>
          </cell>
        </row>
        <row r="181">
          <cell r="A181" t="str">
            <v>Gabon</v>
          </cell>
        </row>
        <row r="182">
          <cell r="A182" t="str">
            <v>Guernsey</v>
          </cell>
        </row>
        <row r="183">
          <cell r="A183" t="str">
            <v>Gibraltar</v>
          </cell>
        </row>
        <row r="184">
          <cell r="A184" t="str">
            <v>Guinea</v>
          </cell>
        </row>
        <row r="185">
          <cell r="A185" t="str">
            <v>Gambia</v>
          </cell>
        </row>
        <row r="186">
          <cell r="A186" t="str">
            <v>Guinea-Bissau</v>
          </cell>
        </row>
        <row r="187">
          <cell r="A187" t="str">
            <v>Equatorial Guinea</v>
          </cell>
        </row>
        <row r="188">
          <cell r="A188" t="str">
            <v>Grenada</v>
          </cell>
        </row>
        <row r="189">
          <cell r="A189" t="str">
            <v>Greenland</v>
          </cell>
        </row>
        <row r="190">
          <cell r="A190" t="str">
            <v>French Guiana</v>
          </cell>
        </row>
        <row r="191">
          <cell r="A191" t="str">
            <v>Heard &amp; McDonald Islands</v>
          </cell>
        </row>
        <row r="192">
          <cell r="A192" t="str">
            <v>Haiti</v>
          </cell>
        </row>
        <row r="193">
          <cell r="A193" t="str">
            <v>Isle of Man</v>
          </cell>
        </row>
        <row r="194">
          <cell r="A194" t="str">
            <v>British Indian Ocean Territory</v>
          </cell>
        </row>
        <row r="195">
          <cell r="A195" t="str">
            <v>Kiribati</v>
          </cell>
        </row>
        <row r="196">
          <cell r="A196" t="str">
            <v>St. Kitts &amp; Nevis</v>
          </cell>
        </row>
        <row r="197">
          <cell r="A197" t="str">
            <v>Laos</v>
          </cell>
        </row>
        <row r="198">
          <cell r="A198" t="str">
            <v>Liberia</v>
          </cell>
        </row>
        <row r="199">
          <cell r="A199" t="str">
            <v>St. Lucia</v>
          </cell>
        </row>
        <row r="200">
          <cell r="A200" t="str">
            <v>Lesotho</v>
          </cell>
        </row>
        <row r="201">
          <cell r="A201" t="str">
            <v>St. Martin</v>
          </cell>
        </row>
        <row r="202">
          <cell r="A202" t="str">
            <v>Monaco</v>
          </cell>
        </row>
        <row r="203">
          <cell r="A203" t="str">
            <v>Madagascar</v>
          </cell>
        </row>
        <row r="204">
          <cell r="A204" t="str">
            <v>Maldives</v>
          </cell>
        </row>
        <row r="205">
          <cell r="A205" t="str">
            <v>Marshall Islands</v>
          </cell>
        </row>
        <row r="206">
          <cell r="A206" t="str">
            <v>Mali</v>
          </cell>
        </row>
        <row r="207">
          <cell r="A207" t="str">
            <v>Montenegro</v>
          </cell>
        </row>
        <row r="208">
          <cell r="A208" t="str">
            <v>Northern Mariana Islands</v>
          </cell>
        </row>
        <row r="209">
          <cell r="A209" t="str">
            <v>Montserrat</v>
          </cell>
        </row>
        <row r="210">
          <cell r="A210" t="str">
            <v>Martinique</v>
          </cell>
        </row>
        <row r="211">
          <cell r="A211" t="str">
            <v>Malawi</v>
          </cell>
        </row>
        <row r="212">
          <cell r="A212" t="str">
            <v>Mayotte</v>
          </cell>
        </row>
        <row r="213">
          <cell r="A213" t="str">
            <v>New Caledonia</v>
          </cell>
        </row>
        <row r="214">
          <cell r="A214" t="str">
            <v>Niger</v>
          </cell>
        </row>
        <row r="215">
          <cell r="A215" t="str">
            <v>Norfolk Island</v>
          </cell>
        </row>
        <row r="216">
          <cell r="A216" t="str">
            <v>Nicaragua</v>
          </cell>
        </row>
        <row r="217">
          <cell r="A217" t="str">
            <v>Niue</v>
          </cell>
        </row>
        <row r="218">
          <cell r="A218" t="str">
            <v>Nauru</v>
          </cell>
        </row>
        <row r="219">
          <cell r="A219" t="str">
            <v>Pitcairn Islands</v>
          </cell>
        </row>
        <row r="220">
          <cell r="A220" t="str">
            <v>Palau</v>
          </cell>
        </row>
        <row r="221">
          <cell r="A221" t="str">
            <v>Papua New Guinea</v>
          </cell>
        </row>
        <row r="222">
          <cell r="A222" t="str">
            <v>North Korea</v>
          </cell>
        </row>
        <row r="223">
          <cell r="A223" t="str">
            <v>French Polynesia</v>
          </cell>
        </row>
        <row r="224">
          <cell r="A224" t="str">
            <v>South Georgia &amp; South Sandwich Islands</v>
          </cell>
        </row>
        <row r="225">
          <cell r="A225" t="str">
            <v>Svalbard &amp; Jan Mayen</v>
          </cell>
        </row>
        <row r="226">
          <cell r="A226" t="str">
            <v>Solomon Islands</v>
          </cell>
        </row>
        <row r="227">
          <cell r="A227" t="str">
            <v>San Marino</v>
          </cell>
        </row>
        <row r="228">
          <cell r="A228" t="str">
            <v>Somalia</v>
          </cell>
        </row>
        <row r="229">
          <cell r="A229" t="str">
            <v>St. Pierre &amp; Miquelon</v>
          </cell>
        </row>
        <row r="230">
          <cell r="A230" t="str">
            <v>South Sudan</v>
          </cell>
        </row>
        <row r="231">
          <cell r="A231" t="str">
            <v>SÃ£o TomÃ© &amp; PrÃ­ncipe</v>
          </cell>
        </row>
        <row r="232">
          <cell r="A232" t="str">
            <v>Suriname</v>
          </cell>
        </row>
        <row r="233">
          <cell r="A233" t="str">
            <v>Sint Maarten</v>
          </cell>
        </row>
        <row r="234">
          <cell r="A234" t="str">
            <v>Seychelles</v>
          </cell>
        </row>
        <row r="235">
          <cell r="A235" t="str">
            <v>Turks &amp; Caicos Islands</v>
          </cell>
        </row>
        <row r="236">
          <cell r="A236" t="str">
            <v>Chad</v>
          </cell>
        </row>
        <row r="237">
          <cell r="A237" t="str">
            <v>Togo</v>
          </cell>
        </row>
        <row r="238">
          <cell r="A238" t="str">
            <v>Tajikistan</v>
          </cell>
        </row>
        <row r="239">
          <cell r="A239" t="str">
            <v>Tokelau</v>
          </cell>
        </row>
        <row r="240">
          <cell r="A240" t="str">
            <v>Turkmenistan</v>
          </cell>
        </row>
        <row r="241">
          <cell r="A241" t="str">
            <v>Timor-Leste</v>
          </cell>
        </row>
        <row r="242">
          <cell r="A242" t="str">
            <v>Tonga</v>
          </cell>
        </row>
        <row r="243">
          <cell r="A243" t="str">
            <v>Tuvalu</v>
          </cell>
        </row>
        <row r="244">
          <cell r="A244" t="str">
            <v>U.S. Outlying Islands</v>
          </cell>
        </row>
        <row r="245">
          <cell r="A245" t="str">
            <v>Uzbekistan</v>
          </cell>
        </row>
        <row r="246">
          <cell r="A246" t="str">
            <v>Vatican City</v>
          </cell>
        </row>
        <row r="247">
          <cell r="A247" t="str">
            <v>St. Vincent &amp; Grenadines</v>
          </cell>
        </row>
        <row r="248">
          <cell r="A248" t="str">
            <v>British Virgin Islands</v>
          </cell>
        </row>
        <row r="249">
          <cell r="A249" t="str">
            <v>U.S. Virgin Islands</v>
          </cell>
        </row>
        <row r="250">
          <cell r="A250" t="str">
            <v>Vanuatu</v>
          </cell>
        </row>
        <row r="251">
          <cell r="A251" t="str">
            <v>Wallis &amp; Futuna</v>
          </cell>
        </row>
        <row r="252">
          <cell r="A252" t="str">
            <v>Samoa</v>
          </cell>
        </row>
        <row r="253">
          <cell r="A253" t="str">
            <v>Zambia</v>
          </cell>
        </row>
      </sheetData>
    </sheetDataSet>
  </externalBook>
</externalLink>
</file>

<file path=xl/externalLinks/externalLink2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22)"/>
    </sheetNames>
    <sheetDataSet>
      <sheetData sheetId="0">
        <row r="1">
          <cell r="A1" t="str">
            <v>Kategori: TÃ¼m kategoriler</v>
          </cell>
        </row>
        <row r="3">
          <cell r="A3" t="str">
            <v>Ãœlke</v>
          </cell>
          <cell r="B3" t="str">
            <v>Ã‡Ã¶p toplama: (2014)</v>
          </cell>
          <cell r="C3" t="str">
            <v>Null pointer: (2014)</v>
          </cell>
        </row>
        <row r="4">
          <cell r="A4" t="str">
            <v>China</v>
          </cell>
          <cell r="B4">
            <v>0.69</v>
          </cell>
          <cell r="C4">
            <v>0.31</v>
          </cell>
        </row>
        <row r="5">
          <cell r="A5" t="str">
            <v>South Korea</v>
          </cell>
          <cell r="B5">
            <v>0.7</v>
          </cell>
          <cell r="C5">
            <v>0.3</v>
          </cell>
        </row>
        <row r="6">
          <cell r="A6" t="str">
            <v>India</v>
          </cell>
          <cell r="B6">
            <v>0.43</v>
          </cell>
          <cell r="C6">
            <v>0.56999999999999995</v>
          </cell>
        </row>
        <row r="7">
          <cell r="A7" t="str">
            <v>Singapore</v>
          </cell>
          <cell r="B7">
            <v>0.35</v>
          </cell>
          <cell r="C7">
            <v>0.65</v>
          </cell>
        </row>
        <row r="8">
          <cell r="A8" t="str">
            <v>St. Helena</v>
          </cell>
        </row>
        <row r="9">
          <cell r="A9" t="str">
            <v>Canada</v>
          </cell>
          <cell r="B9">
            <v>0.63</v>
          </cell>
          <cell r="C9">
            <v>0.37</v>
          </cell>
        </row>
        <row r="10">
          <cell r="A10" t="str">
            <v>Jamaica</v>
          </cell>
        </row>
        <row r="11">
          <cell r="A11" t="str">
            <v>Guyana</v>
          </cell>
        </row>
        <row r="12">
          <cell r="A12" t="str">
            <v>Sri Lanka</v>
          </cell>
          <cell r="B12">
            <v>0.37</v>
          </cell>
          <cell r="C12">
            <v>0.63</v>
          </cell>
        </row>
        <row r="13">
          <cell r="A13" t="str">
            <v>Nepal</v>
          </cell>
        </row>
        <row r="14">
          <cell r="A14" t="str">
            <v>Hong Kong</v>
          </cell>
          <cell r="B14">
            <v>0.61</v>
          </cell>
          <cell r="C14">
            <v>0.39</v>
          </cell>
        </row>
        <row r="15">
          <cell r="A15" t="str">
            <v>Japan</v>
          </cell>
          <cell r="B15">
            <v>0.83</v>
          </cell>
          <cell r="C15">
            <v>0.17</v>
          </cell>
        </row>
        <row r="16">
          <cell r="A16" t="str">
            <v>Uganda</v>
          </cell>
        </row>
        <row r="17">
          <cell r="A17" t="str">
            <v>Israel</v>
          </cell>
          <cell r="B17">
            <v>0.44</v>
          </cell>
          <cell r="C17">
            <v>0.56000000000000005</v>
          </cell>
        </row>
        <row r="18">
          <cell r="A18" t="str">
            <v>Ecuador</v>
          </cell>
          <cell r="B18">
            <v>1</v>
          </cell>
        </row>
        <row r="19">
          <cell r="A19" t="str">
            <v>United States</v>
          </cell>
          <cell r="B19">
            <v>0.46</v>
          </cell>
          <cell r="C19">
            <v>0.54</v>
          </cell>
        </row>
        <row r="20">
          <cell r="A20" t="str">
            <v>New Zealand</v>
          </cell>
          <cell r="B20">
            <v>0.4</v>
          </cell>
          <cell r="C20">
            <v>0.6</v>
          </cell>
        </row>
        <row r="21">
          <cell r="A21" t="str">
            <v>Myanmar (Burma)</v>
          </cell>
        </row>
        <row r="22">
          <cell r="A22" t="str">
            <v>Ireland</v>
          </cell>
          <cell r="B22">
            <v>0.34</v>
          </cell>
          <cell r="C22">
            <v>0.66</v>
          </cell>
        </row>
        <row r="23">
          <cell r="A23" t="str">
            <v>Australia</v>
          </cell>
          <cell r="B23">
            <v>0.56000000000000005</v>
          </cell>
          <cell r="C23">
            <v>0.44</v>
          </cell>
        </row>
        <row r="24">
          <cell r="A24" t="str">
            <v>Kenya</v>
          </cell>
          <cell r="B24">
            <v>0.66</v>
          </cell>
          <cell r="C24">
            <v>0.34</v>
          </cell>
        </row>
        <row r="25">
          <cell r="A25" t="str">
            <v>Costa Rica</v>
          </cell>
        </row>
        <row r="26">
          <cell r="A26" t="str">
            <v>Philippines</v>
          </cell>
          <cell r="B26">
            <v>0.4</v>
          </cell>
          <cell r="C26">
            <v>0.6</v>
          </cell>
        </row>
        <row r="27">
          <cell r="A27" t="str">
            <v>North Macedonia</v>
          </cell>
        </row>
        <row r="28">
          <cell r="A28" t="str">
            <v>Mexico</v>
          </cell>
          <cell r="B28">
            <v>0.89</v>
          </cell>
          <cell r="C28">
            <v>0.11</v>
          </cell>
        </row>
        <row r="29">
          <cell r="A29" t="str">
            <v>South Africa</v>
          </cell>
          <cell r="B29">
            <v>0.27</v>
          </cell>
          <cell r="C29">
            <v>0.73</v>
          </cell>
        </row>
        <row r="30">
          <cell r="A30" t="str">
            <v>Belarus</v>
          </cell>
          <cell r="B30">
            <v>0.63</v>
          </cell>
          <cell r="C30">
            <v>0.37</v>
          </cell>
        </row>
        <row r="31">
          <cell r="A31" t="str">
            <v>Lebanon</v>
          </cell>
        </row>
        <row r="32">
          <cell r="A32" t="str">
            <v>Luxembourg</v>
          </cell>
        </row>
        <row r="33">
          <cell r="A33" t="str">
            <v>El Salvador</v>
          </cell>
        </row>
        <row r="34">
          <cell r="A34" t="str">
            <v>Paraguay</v>
          </cell>
        </row>
        <row r="35">
          <cell r="A35" t="str">
            <v>Panama</v>
          </cell>
        </row>
        <row r="36">
          <cell r="A36" t="str">
            <v>United Kingdom</v>
          </cell>
          <cell r="B36">
            <v>0.39</v>
          </cell>
          <cell r="C36">
            <v>0.61</v>
          </cell>
        </row>
        <row r="37">
          <cell r="A37" t="str">
            <v>Chile</v>
          </cell>
          <cell r="B37">
            <v>0.85</v>
          </cell>
          <cell r="C37">
            <v>0.15</v>
          </cell>
        </row>
        <row r="38">
          <cell r="A38" t="str">
            <v>Switzerland</v>
          </cell>
          <cell r="B38">
            <v>0.45</v>
          </cell>
          <cell r="C38">
            <v>0.55000000000000004</v>
          </cell>
        </row>
        <row r="39">
          <cell r="A39" t="str">
            <v>Taiwan</v>
          </cell>
          <cell r="B39">
            <v>0.68</v>
          </cell>
          <cell r="C39">
            <v>0.32</v>
          </cell>
        </row>
        <row r="40">
          <cell r="A40" t="str">
            <v>Estonia</v>
          </cell>
        </row>
        <row r="41">
          <cell r="A41" t="str">
            <v>Pakistan</v>
          </cell>
          <cell r="B41">
            <v>0.28999999999999998</v>
          </cell>
          <cell r="C41">
            <v>0.71</v>
          </cell>
        </row>
        <row r="42">
          <cell r="A42" t="str">
            <v>Slovenia</v>
          </cell>
        </row>
        <row r="43">
          <cell r="A43" t="str">
            <v>Norway</v>
          </cell>
          <cell r="B43">
            <v>0.55000000000000004</v>
          </cell>
          <cell r="C43">
            <v>0.45</v>
          </cell>
        </row>
        <row r="44">
          <cell r="A44" t="str">
            <v>Hungary</v>
          </cell>
          <cell r="B44">
            <v>0.71</v>
          </cell>
          <cell r="C44">
            <v>0.28999999999999998</v>
          </cell>
        </row>
        <row r="45">
          <cell r="A45" t="str">
            <v>Argentina</v>
          </cell>
          <cell r="B45">
            <v>0.82</v>
          </cell>
          <cell r="C45">
            <v>0.18</v>
          </cell>
        </row>
        <row r="46">
          <cell r="A46" t="str">
            <v>Sweden</v>
          </cell>
          <cell r="B46">
            <v>0.43</v>
          </cell>
          <cell r="C46">
            <v>0.56999999999999995</v>
          </cell>
        </row>
        <row r="47">
          <cell r="A47" t="str">
            <v>Uruguay</v>
          </cell>
        </row>
        <row r="48">
          <cell r="A48" t="str">
            <v>Turkey</v>
          </cell>
          <cell r="B48">
            <v>0.87</v>
          </cell>
          <cell r="C48">
            <v>0.13</v>
          </cell>
        </row>
        <row r="49">
          <cell r="A49" t="str">
            <v>Finland</v>
          </cell>
          <cell r="B49">
            <v>0.47</v>
          </cell>
          <cell r="C49">
            <v>0.53</v>
          </cell>
        </row>
        <row r="50">
          <cell r="A50" t="str">
            <v>Bangladesh</v>
          </cell>
        </row>
        <row r="51">
          <cell r="A51" t="str">
            <v>Czechia</v>
          </cell>
          <cell r="B51">
            <v>0.51</v>
          </cell>
          <cell r="C51">
            <v>0.49</v>
          </cell>
        </row>
        <row r="52">
          <cell r="A52" t="str">
            <v>Serbia</v>
          </cell>
          <cell r="B52">
            <v>0.36</v>
          </cell>
          <cell r="C52">
            <v>0.64</v>
          </cell>
        </row>
        <row r="53">
          <cell r="A53" t="str">
            <v>Malaysia</v>
          </cell>
          <cell r="B53">
            <v>0.36</v>
          </cell>
          <cell r="C53">
            <v>0.64</v>
          </cell>
        </row>
        <row r="54">
          <cell r="A54" t="str">
            <v>Austria</v>
          </cell>
          <cell r="B54">
            <v>0.47</v>
          </cell>
          <cell r="C54">
            <v>0.53</v>
          </cell>
        </row>
        <row r="55">
          <cell r="A55" t="str">
            <v>Belgium</v>
          </cell>
          <cell r="B55">
            <v>0.5</v>
          </cell>
          <cell r="C55">
            <v>0.5</v>
          </cell>
        </row>
        <row r="56">
          <cell r="A56" t="str">
            <v>Germany</v>
          </cell>
          <cell r="B56">
            <v>0.5</v>
          </cell>
          <cell r="C56">
            <v>0.5</v>
          </cell>
        </row>
        <row r="57">
          <cell r="A57" t="str">
            <v>United Arab Emirates</v>
          </cell>
          <cell r="B57">
            <v>0.45</v>
          </cell>
          <cell r="C57">
            <v>0.55000000000000004</v>
          </cell>
        </row>
        <row r="58">
          <cell r="A58" t="str">
            <v>Colombia</v>
          </cell>
          <cell r="B58">
            <v>0.81</v>
          </cell>
          <cell r="C58">
            <v>0.19</v>
          </cell>
        </row>
        <row r="59">
          <cell r="A59" t="str">
            <v>Romania</v>
          </cell>
          <cell r="B59">
            <v>0.39</v>
          </cell>
          <cell r="C59">
            <v>0.61</v>
          </cell>
        </row>
        <row r="60">
          <cell r="A60" t="str">
            <v>Lithuania</v>
          </cell>
        </row>
        <row r="61">
          <cell r="A61" t="str">
            <v>Denmark</v>
          </cell>
          <cell r="B61">
            <v>0.52</v>
          </cell>
          <cell r="C61">
            <v>0.48</v>
          </cell>
        </row>
        <row r="62">
          <cell r="A62" t="str">
            <v>Croatia</v>
          </cell>
        </row>
        <row r="63">
          <cell r="A63" t="str">
            <v>Nigeria</v>
          </cell>
        </row>
        <row r="64">
          <cell r="A64" t="str">
            <v>Vietnam</v>
          </cell>
          <cell r="B64">
            <v>0.45</v>
          </cell>
          <cell r="C64">
            <v>0.55000000000000004</v>
          </cell>
        </row>
        <row r="65">
          <cell r="A65" t="str">
            <v>Guatemala</v>
          </cell>
        </row>
        <row r="66">
          <cell r="A66" t="str">
            <v>Ukraine</v>
          </cell>
          <cell r="B66">
            <v>0.66</v>
          </cell>
          <cell r="C66">
            <v>0.34</v>
          </cell>
        </row>
        <row r="67">
          <cell r="A67" t="str">
            <v>Honduras</v>
          </cell>
        </row>
        <row r="68">
          <cell r="A68" t="str">
            <v>Latvia</v>
          </cell>
        </row>
        <row r="69">
          <cell r="A69" t="str">
            <v>Russia</v>
          </cell>
          <cell r="B69">
            <v>0.7</v>
          </cell>
          <cell r="C69">
            <v>0.3</v>
          </cell>
        </row>
        <row r="70">
          <cell r="A70" t="str">
            <v>Tunisia</v>
          </cell>
        </row>
        <row r="71">
          <cell r="A71" t="str">
            <v>Slovakia</v>
          </cell>
          <cell r="B71">
            <v>0.51</v>
          </cell>
          <cell r="C71">
            <v>0.49</v>
          </cell>
        </row>
        <row r="72">
          <cell r="A72" t="str">
            <v>Laos</v>
          </cell>
        </row>
        <row r="73">
          <cell r="A73" t="str">
            <v>Netherlands</v>
          </cell>
          <cell r="B73">
            <v>0.53</v>
          </cell>
          <cell r="C73">
            <v>0.47</v>
          </cell>
        </row>
        <row r="74">
          <cell r="A74" t="str">
            <v>Bosnia &amp; Herzegovina</v>
          </cell>
        </row>
        <row r="75">
          <cell r="A75" t="str">
            <v>Bolivia</v>
          </cell>
          <cell r="B75">
            <v>1</v>
          </cell>
        </row>
        <row r="76">
          <cell r="A76" t="str">
            <v>Portugal</v>
          </cell>
          <cell r="B76">
            <v>0.47</v>
          </cell>
          <cell r="C76">
            <v>0.53</v>
          </cell>
        </row>
        <row r="77">
          <cell r="A77" t="str">
            <v>Bulgaria</v>
          </cell>
          <cell r="B77">
            <v>0.47</v>
          </cell>
          <cell r="C77">
            <v>0.53</v>
          </cell>
        </row>
        <row r="78">
          <cell r="A78" t="str">
            <v>Iran</v>
          </cell>
        </row>
        <row r="79">
          <cell r="A79" t="str">
            <v>Poland</v>
          </cell>
          <cell r="B79">
            <v>0.52</v>
          </cell>
          <cell r="C79">
            <v>0.48</v>
          </cell>
        </row>
        <row r="80">
          <cell r="A80" t="str">
            <v>France</v>
          </cell>
          <cell r="B80">
            <v>0.59</v>
          </cell>
          <cell r="C80">
            <v>0.41</v>
          </cell>
        </row>
        <row r="81">
          <cell r="A81" t="str">
            <v>Venezuela</v>
          </cell>
          <cell r="B81">
            <v>1</v>
          </cell>
        </row>
        <row r="82">
          <cell r="A82" t="str">
            <v>Greece</v>
          </cell>
          <cell r="B82">
            <v>0.46</v>
          </cell>
          <cell r="C82">
            <v>0.54</v>
          </cell>
        </row>
        <row r="83">
          <cell r="A83" t="str">
            <v>Peru</v>
          </cell>
        </row>
        <row r="84">
          <cell r="A84" t="str">
            <v>Egypt</v>
          </cell>
          <cell r="B84">
            <v>0.54</v>
          </cell>
          <cell r="C84">
            <v>0.46</v>
          </cell>
        </row>
        <row r="85">
          <cell r="A85" t="str">
            <v>Spain</v>
          </cell>
          <cell r="B85">
            <v>0.5</v>
          </cell>
          <cell r="C85">
            <v>0.5</v>
          </cell>
        </row>
        <row r="86">
          <cell r="A86" t="str">
            <v>Italy</v>
          </cell>
          <cell r="B86">
            <v>0.57999999999999996</v>
          </cell>
          <cell r="C86">
            <v>0.42</v>
          </cell>
        </row>
        <row r="87">
          <cell r="A87" t="str">
            <v>Indonesia</v>
          </cell>
          <cell r="B87">
            <v>0.34</v>
          </cell>
          <cell r="C87">
            <v>0.66</v>
          </cell>
        </row>
        <row r="88">
          <cell r="A88" t="str">
            <v>Brazil</v>
          </cell>
          <cell r="B88">
            <v>0.63</v>
          </cell>
          <cell r="C88">
            <v>0.37</v>
          </cell>
        </row>
        <row r="89">
          <cell r="A89" t="str">
            <v>Morocco</v>
          </cell>
        </row>
        <row r="90">
          <cell r="A90" t="str">
            <v>Thailand</v>
          </cell>
          <cell r="B90">
            <v>0.35</v>
          </cell>
          <cell r="C90">
            <v>0.65</v>
          </cell>
        </row>
        <row r="91">
          <cell r="A91" t="str">
            <v>Saudi Arabia</v>
          </cell>
          <cell r="B91">
            <v>0.56000000000000005</v>
          </cell>
          <cell r="C91">
            <v>0.44</v>
          </cell>
        </row>
        <row r="92">
          <cell r="A92" t="str">
            <v>British Indian Ocean Territory</v>
          </cell>
        </row>
        <row r="93">
          <cell r="A93" t="str">
            <v>Dominica</v>
          </cell>
        </row>
        <row r="94">
          <cell r="A94" t="str">
            <v>Turks &amp; Caicos Islands</v>
          </cell>
        </row>
        <row r="95">
          <cell r="A95" t="str">
            <v>Cuba</v>
          </cell>
        </row>
        <row r="96">
          <cell r="A96" t="str">
            <v>Faroe Islands</v>
          </cell>
        </row>
        <row r="97">
          <cell r="A97" t="str">
            <v>Belize</v>
          </cell>
        </row>
        <row r="98">
          <cell r="A98" t="str">
            <v>Gibraltar</v>
          </cell>
        </row>
        <row r="99">
          <cell r="A99" t="str">
            <v>Bhutan</v>
          </cell>
        </row>
        <row r="100">
          <cell r="A100" t="str">
            <v>Antigua &amp; Barbuda</v>
          </cell>
        </row>
        <row r="101">
          <cell r="A101" t="str">
            <v>St. Lucia</v>
          </cell>
        </row>
        <row r="102">
          <cell r="A102" t="str">
            <v>Djibouti</v>
          </cell>
        </row>
        <row r="103">
          <cell r="A103" t="str">
            <v>Papua New Guinea</v>
          </cell>
        </row>
        <row r="104">
          <cell r="A104" t="str">
            <v>Cayman Islands</v>
          </cell>
        </row>
        <row r="105">
          <cell r="A105" t="str">
            <v>Cape Verde</v>
          </cell>
        </row>
        <row r="106">
          <cell r="A106" t="str">
            <v>Monaco</v>
          </cell>
        </row>
        <row r="107">
          <cell r="A107" t="str">
            <v>Aruba</v>
          </cell>
        </row>
        <row r="108">
          <cell r="A108" t="str">
            <v>Congo - Brazzaville</v>
          </cell>
        </row>
        <row r="109">
          <cell r="A109" t="str">
            <v>Sierra Leone</v>
          </cell>
        </row>
        <row r="110">
          <cell r="A110" t="str">
            <v>Malta</v>
          </cell>
        </row>
        <row r="111">
          <cell r="A111" t="str">
            <v>Somalia</v>
          </cell>
        </row>
        <row r="112">
          <cell r="A112" t="str">
            <v>CuraÃ§ao</v>
          </cell>
        </row>
        <row r="113">
          <cell r="A113" t="str">
            <v>Isle of Man</v>
          </cell>
        </row>
        <row r="114">
          <cell r="A114" t="str">
            <v>Zambia</v>
          </cell>
        </row>
        <row r="115">
          <cell r="A115" t="str">
            <v>Jersey</v>
          </cell>
        </row>
        <row r="116">
          <cell r="A116" t="str">
            <v>Cameroon</v>
          </cell>
        </row>
        <row r="117">
          <cell r="A117" t="str">
            <v>Guam</v>
          </cell>
        </row>
        <row r="118">
          <cell r="A118" t="str">
            <v>Brunei</v>
          </cell>
        </row>
        <row r="119">
          <cell r="A119" t="str">
            <v>Suriname</v>
          </cell>
        </row>
        <row r="120">
          <cell r="A120" t="str">
            <v>New Caledonia</v>
          </cell>
        </row>
        <row r="121">
          <cell r="A121" t="str">
            <v>Nicaragua</v>
          </cell>
        </row>
        <row r="122">
          <cell r="A122" t="str">
            <v>Barbados</v>
          </cell>
        </row>
        <row r="123">
          <cell r="A123" t="str">
            <v>Trinidad &amp; Tobago</v>
          </cell>
        </row>
        <row r="124">
          <cell r="A124" t="str">
            <v>Cyprus</v>
          </cell>
        </row>
        <row r="125">
          <cell r="A125" t="str">
            <v>Namibia</v>
          </cell>
        </row>
        <row r="126">
          <cell r="A126" t="str">
            <v>Tajikistan</v>
          </cell>
        </row>
        <row r="127">
          <cell r="A127" t="str">
            <v>Iceland</v>
          </cell>
        </row>
        <row r="128">
          <cell r="A128" t="str">
            <v>Bahamas</v>
          </cell>
        </row>
        <row r="129">
          <cell r="A129" t="str">
            <v>Macao</v>
          </cell>
        </row>
        <row r="130">
          <cell r="A130" t="str">
            <v>Qatar</v>
          </cell>
        </row>
        <row r="131">
          <cell r="A131" t="str">
            <v>Armenia</v>
          </cell>
        </row>
        <row r="132">
          <cell r="A132" t="str">
            <v>Congo - Kinshasa</v>
          </cell>
        </row>
        <row r="133">
          <cell r="A133" t="str">
            <v>Afghanistan</v>
          </cell>
        </row>
        <row r="134">
          <cell r="A134" t="str">
            <v>Ethiopia</v>
          </cell>
        </row>
        <row r="135">
          <cell r="A135" t="str">
            <v>Mongolia</v>
          </cell>
        </row>
        <row r="136">
          <cell r="A136" t="str">
            <v>Mauritius</v>
          </cell>
        </row>
        <row r="137">
          <cell r="A137" t="str">
            <v>Uzbekistan</v>
          </cell>
        </row>
        <row r="138">
          <cell r="A138" t="str">
            <v>Guadeloupe</v>
          </cell>
        </row>
        <row r="139">
          <cell r="A139" t="str">
            <v>Moldova</v>
          </cell>
        </row>
        <row r="140">
          <cell r="A140" t="str">
            <v>Senegal</v>
          </cell>
        </row>
        <row r="141">
          <cell r="A141" t="str">
            <v>Kosovo</v>
          </cell>
        </row>
        <row r="142">
          <cell r="A142" t="str">
            <v>CÃ´te dâ€™Ivoire</v>
          </cell>
        </row>
        <row r="143">
          <cell r="A143" t="str">
            <v>Kyrgyzstan</v>
          </cell>
        </row>
        <row r="144">
          <cell r="A144" t="str">
            <v>Mozambique</v>
          </cell>
        </row>
        <row r="145">
          <cell r="A145" t="str">
            <v>Montenegro</v>
          </cell>
        </row>
        <row r="146">
          <cell r="A146" t="str">
            <v>Cambodia</v>
          </cell>
        </row>
        <row r="147">
          <cell r="A147" t="str">
            <v>Angola</v>
          </cell>
        </row>
        <row r="148">
          <cell r="A148" t="str">
            <v>Ghana</v>
          </cell>
        </row>
        <row r="149">
          <cell r="A149" t="str">
            <v>Libya</v>
          </cell>
        </row>
        <row r="150">
          <cell r="A150" t="str">
            <v>Oman</v>
          </cell>
        </row>
        <row r="151">
          <cell r="A151" t="str">
            <v>Sudan</v>
          </cell>
        </row>
        <row r="152">
          <cell r="A152" t="str">
            <v>Tanzania</v>
          </cell>
        </row>
        <row r="153">
          <cell r="A153" t="str">
            <v>Syria</v>
          </cell>
        </row>
        <row r="154">
          <cell r="A154" t="str">
            <v>Kuwait</v>
          </cell>
        </row>
        <row r="155">
          <cell r="A155" t="str">
            <v>Puerto Rico</v>
          </cell>
        </row>
        <row r="156">
          <cell r="A156" t="str">
            <v>Palestine</v>
          </cell>
        </row>
        <row r="157">
          <cell r="A157" t="str">
            <v>Georgia</v>
          </cell>
        </row>
        <row r="158">
          <cell r="A158" t="str">
            <v>Azerbaijan</v>
          </cell>
        </row>
        <row r="159">
          <cell r="A159" t="str">
            <v>Bahrain</v>
          </cell>
        </row>
        <row r="160">
          <cell r="A160" t="str">
            <v>Dominican Republic</v>
          </cell>
        </row>
        <row r="161">
          <cell r="A161" t="str">
            <v>RÃ©union</v>
          </cell>
        </row>
        <row r="162">
          <cell r="A162" t="str">
            <v>Algeria</v>
          </cell>
        </row>
        <row r="163">
          <cell r="A163" t="str">
            <v>Kazakhstan</v>
          </cell>
        </row>
        <row r="164">
          <cell r="A164" t="str">
            <v>Jordan</v>
          </cell>
        </row>
        <row r="165">
          <cell r="A165" t="str">
            <v>Iraq</v>
          </cell>
        </row>
        <row r="166">
          <cell r="A166" t="str">
            <v>Anguilla</v>
          </cell>
        </row>
        <row r="167">
          <cell r="A167" t="str">
            <v>Ã…land Islands</v>
          </cell>
        </row>
        <row r="168">
          <cell r="A168" t="str">
            <v>Albania</v>
          </cell>
        </row>
        <row r="169">
          <cell r="A169" t="str">
            <v>Andorra</v>
          </cell>
        </row>
        <row r="170">
          <cell r="A170" t="str">
            <v>American Samoa</v>
          </cell>
        </row>
        <row r="171">
          <cell r="A171" t="str">
            <v>Antarctica</v>
          </cell>
        </row>
        <row r="172">
          <cell r="A172" t="str">
            <v>French Southern Territories</v>
          </cell>
        </row>
        <row r="173">
          <cell r="A173" t="str">
            <v>Burundi</v>
          </cell>
        </row>
        <row r="174">
          <cell r="A174" t="str">
            <v>Benin</v>
          </cell>
        </row>
        <row r="175">
          <cell r="A175" t="str">
            <v>Caribbean Netherlands</v>
          </cell>
        </row>
        <row r="176">
          <cell r="A176" t="str">
            <v>Burkina Faso</v>
          </cell>
        </row>
        <row r="177">
          <cell r="A177" t="str">
            <v>St. BarthÃ©lemy</v>
          </cell>
        </row>
        <row r="178">
          <cell r="A178" t="str">
            <v>Bermuda</v>
          </cell>
        </row>
        <row r="179">
          <cell r="A179" t="str">
            <v>Bouvet Island</v>
          </cell>
        </row>
        <row r="180">
          <cell r="A180" t="str">
            <v>Botswana</v>
          </cell>
        </row>
        <row r="181">
          <cell r="A181" t="str">
            <v>Central African Republic</v>
          </cell>
        </row>
        <row r="182">
          <cell r="A182" t="str">
            <v>Cocos (Keeling) Islands</v>
          </cell>
        </row>
        <row r="183">
          <cell r="A183" t="str">
            <v>Cook Islands</v>
          </cell>
        </row>
        <row r="184">
          <cell r="A184" t="str">
            <v>Comoros</v>
          </cell>
        </row>
        <row r="185">
          <cell r="A185" t="str">
            <v>Christmas Island</v>
          </cell>
        </row>
        <row r="186">
          <cell r="A186" t="str">
            <v>Eritrea</v>
          </cell>
        </row>
        <row r="187">
          <cell r="A187" t="str">
            <v>Western Sahara</v>
          </cell>
        </row>
        <row r="188">
          <cell r="A188" t="str">
            <v>Fiji</v>
          </cell>
        </row>
        <row r="189">
          <cell r="A189" t="str">
            <v>Falkland Islands (Islas Malvinas)</v>
          </cell>
        </row>
        <row r="190">
          <cell r="A190" t="str">
            <v>Micronesia</v>
          </cell>
        </row>
        <row r="191">
          <cell r="A191" t="str">
            <v>Gabon</v>
          </cell>
        </row>
        <row r="192">
          <cell r="A192" t="str">
            <v>Guernsey</v>
          </cell>
        </row>
        <row r="193">
          <cell r="A193" t="str">
            <v>Guinea</v>
          </cell>
        </row>
        <row r="194">
          <cell r="A194" t="str">
            <v>Gambia</v>
          </cell>
        </row>
        <row r="195">
          <cell r="A195" t="str">
            <v>Guinea-Bissau</v>
          </cell>
        </row>
        <row r="196">
          <cell r="A196" t="str">
            <v>Equatorial Guinea</v>
          </cell>
        </row>
        <row r="197">
          <cell r="A197" t="str">
            <v>Grenada</v>
          </cell>
        </row>
        <row r="198">
          <cell r="A198" t="str">
            <v>Greenland</v>
          </cell>
        </row>
        <row r="199">
          <cell r="A199" t="str">
            <v>French Guiana</v>
          </cell>
        </row>
        <row r="200">
          <cell r="A200" t="str">
            <v>Heard &amp; McDonald Islands</v>
          </cell>
        </row>
        <row r="201">
          <cell r="A201" t="str">
            <v>Haiti</v>
          </cell>
        </row>
        <row r="202">
          <cell r="A202" t="str">
            <v>Kiribati</v>
          </cell>
        </row>
        <row r="203">
          <cell r="A203" t="str">
            <v>St. Kitts &amp; Nevis</v>
          </cell>
        </row>
        <row r="204">
          <cell r="A204" t="str">
            <v>Liberia</v>
          </cell>
        </row>
        <row r="205">
          <cell r="A205" t="str">
            <v>Liechtenstein</v>
          </cell>
        </row>
        <row r="206">
          <cell r="A206" t="str">
            <v>Lesotho</v>
          </cell>
        </row>
        <row r="207">
          <cell r="A207" t="str">
            <v>St. Martin</v>
          </cell>
        </row>
        <row r="208">
          <cell r="A208" t="str">
            <v>Madagascar</v>
          </cell>
        </row>
        <row r="209">
          <cell r="A209" t="str">
            <v>Maldives</v>
          </cell>
        </row>
        <row r="210">
          <cell r="A210" t="str">
            <v>Marshall Islands</v>
          </cell>
        </row>
        <row r="211">
          <cell r="A211" t="str">
            <v>Mali</v>
          </cell>
        </row>
        <row r="212">
          <cell r="A212" t="str">
            <v>Northern Mariana Islands</v>
          </cell>
        </row>
        <row r="213">
          <cell r="A213" t="str">
            <v>Mauritania</v>
          </cell>
        </row>
        <row r="214">
          <cell r="A214" t="str">
            <v>Montserrat</v>
          </cell>
        </row>
        <row r="215">
          <cell r="A215" t="str">
            <v>Martinique</v>
          </cell>
        </row>
        <row r="216">
          <cell r="A216" t="str">
            <v>Malawi</v>
          </cell>
        </row>
        <row r="217">
          <cell r="A217" t="str">
            <v>Mayotte</v>
          </cell>
        </row>
        <row r="218">
          <cell r="A218" t="str">
            <v>Niger</v>
          </cell>
        </row>
        <row r="219">
          <cell r="A219" t="str">
            <v>Norfolk Island</v>
          </cell>
        </row>
        <row r="220">
          <cell r="A220" t="str">
            <v>Niue</v>
          </cell>
        </row>
        <row r="221">
          <cell r="A221" t="str">
            <v>Nauru</v>
          </cell>
        </row>
        <row r="222">
          <cell r="A222" t="str">
            <v>Pitcairn Islands</v>
          </cell>
        </row>
        <row r="223">
          <cell r="A223" t="str">
            <v>Palau</v>
          </cell>
        </row>
        <row r="224">
          <cell r="A224" t="str">
            <v>North Korea</v>
          </cell>
        </row>
        <row r="225">
          <cell r="A225" t="str">
            <v>French Polynesia</v>
          </cell>
        </row>
        <row r="226">
          <cell r="A226" t="str">
            <v>Rwanda</v>
          </cell>
        </row>
        <row r="227">
          <cell r="A227" t="str">
            <v>South Georgia &amp; South Sandwich Islands</v>
          </cell>
        </row>
        <row r="228">
          <cell r="A228" t="str">
            <v>Svalbard &amp; Jan Mayen</v>
          </cell>
        </row>
        <row r="229">
          <cell r="A229" t="str">
            <v>Solomon Islands</v>
          </cell>
        </row>
        <row r="230">
          <cell r="A230" t="str">
            <v>San Marino</v>
          </cell>
        </row>
        <row r="231">
          <cell r="A231" t="str">
            <v>St. Pierre &amp; Miquelon</v>
          </cell>
        </row>
        <row r="232">
          <cell r="A232" t="str">
            <v>South Sudan</v>
          </cell>
        </row>
        <row r="233">
          <cell r="A233" t="str">
            <v>SÃ£o TomÃ© &amp; PrÃ­ncipe</v>
          </cell>
        </row>
        <row r="234">
          <cell r="A234" t="str">
            <v>Eswatini</v>
          </cell>
        </row>
        <row r="235">
          <cell r="A235" t="str">
            <v>Sint Maarten</v>
          </cell>
        </row>
        <row r="236">
          <cell r="A236" t="str">
            <v>Seychelles</v>
          </cell>
        </row>
        <row r="237">
          <cell r="A237" t="str">
            <v>Chad</v>
          </cell>
        </row>
        <row r="238">
          <cell r="A238" t="str">
            <v>Togo</v>
          </cell>
        </row>
        <row r="239">
          <cell r="A239" t="str">
            <v>Tokelau</v>
          </cell>
        </row>
        <row r="240">
          <cell r="A240" t="str">
            <v>Turkmenistan</v>
          </cell>
        </row>
        <row r="241">
          <cell r="A241" t="str">
            <v>Timor-Leste</v>
          </cell>
        </row>
        <row r="242">
          <cell r="A242" t="str">
            <v>Tonga</v>
          </cell>
        </row>
        <row r="243">
          <cell r="A243" t="str">
            <v>Tuvalu</v>
          </cell>
        </row>
        <row r="244">
          <cell r="A244" t="str">
            <v>U.S. Outlying Islands</v>
          </cell>
        </row>
        <row r="245">
          <cell r="A245" t="str">
            <v>Vatican City</v>
          </cell>
        </row>
        <row r="246">
          <cell r="A246" t="str">
            <v>St. Vincent &amp; Grenadines</v>
          </cell>
        </row>
        <row r="247">
          <cell r="A247" t="str">
            <v>British Virgin Islands</v>
          </cell>
        </row>
        <row r="248">
          <cell r="A248" t="str">
            <v>U.S. Virgin Islands</v>
          </cell>
        </row>
        <row r="249">
          <cell r="A249" t="str">
            <v>Vanuatu</v>
          </cell>
        </row>
        <row r="250">
          <cell r="A250" t="str">
            <v>Wallis &amp; Futuna</v>
          </cell>
        </row>
        <row r="251">
          <cell r="A251" t="str">
            <v>Samoa</v>
          </cell>
        </row>
        <row r="252">
          <cell r="A252" t="str">
            <v>Yemen</v>
          </cell>
        </row>
        <row r="253">
          <cell r="A253" t="str">
            <v>Zimbabwe</v>
          </cell>
        </row>
      </sheetData>
    </sheetDataSet>
  </externalBook>
</externalLink>
</file>

<file path=xl/externalLinks/externalLink3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23)"/>
    </sheetNames>
    <sheetDataSet>
      <sheetData sheetId="0">
        <row r="1">
          <cell r="A1" t="str">
            <v>Kategori: TÃ¼m kategoriler</v>
          </cell>
        </row>
        <row r="3">
          <cell r="A3" t="str">
            <v>Ãœlke</v>
          </cell>
          <cell r="B3" t="str">
            <v>Null pointer: (2014)</v>
          </cell>
          <cell r="C3" t="str">
            <v>Sonlu durum makinesi: (2014)</v>
          </cell>
        </row>
        <row r="4">
          <cell r="A4" t="str">
            <v>Micronesia</v>
          </cell>
          <cell r="C4">
            <v>1</v>
          </cell>
        </row>
        <row r="5">
          <cell r="A5" t="str">
            <v>Guam</v>
          </cell>
          <cell r="C5">
            <v>1</v>
          </cell>
        </row>
        <row r="6">
          <cell r="A6" t="str">
            <v>Fiji</v>
          </cell>
          <cell r="C6">
            <v>1</v>
          </cell>
        </row>
        <row r="7">
          <cell r="A7" t="str">
            <v>Macao</v>
          </cell>
          <cell r="C7">
            <v>1</v>
          </cell>
        </row>
        <row r="8">
          <cell r="A8" t="str">
            <v>Mauritius</v>
          </cell>
          <cell r="C8">
            <v>1</v>
          </cell>
        </row>
        <row r="9">
          <cell r="A9" t="str">
            <v>China</v>
          </cell>
          <cell r="B9">
            <v>0.34</v>
          </cell>
          <cell r="C9">
            <v>0.66</v>
          </cell>
        </row>
        <row r="10">
          <cell r="A10" t="str">
            <v>Maldives</v>
          </cell>
        </row>
        <row r="11">
          <cell r="A11" t="str">
            <v>Singapore</v>
          </cell>
          <cell r="B11">
            <v>0.46</v>
          </cell>
          <cell r="C11">
            <v>0.54</v>
          </cell>
        </row>
        <row r="12">
          <cell r="A12" t="str">
            <v>Israel</v>
          </cell>
          <cell r="B12">
            <v>0.35</v>
          </cell>
          <cell r="C12">
            <v>0.65</v>
          </cell>
        </row>
        <row r="13">
          <cell r="A13" t="str">
            <v>India</v>
          </cell>
          <cell r="B13">
            <v>0.66</v>
          </cell>
          <cell r="C13">
            <v>0.34</v>
          </cell>
        </row>
        <row r="14">
          <cell r="A14" t="str">
            <v>Iceland</v>
          </cell>
        </row>
        <row r="15">
          <cell r="A15" t="str">
            <v>South Korea</v>
          </cell>
          <cell r="B15">
            <v>0.35</v>
          </cell>
          <cell r="C15">
            <v>0.65</v>
          </cell>
        </row>
        <row r="16">
          <cell r="A16" t="str">
            <v>Sri Lanka</v>
          </cell>
          <cell r="B16">
            <v>0.66</v>
          </cell>
          <cell r="C16">
            <v>0.34</v>
          </cell>
        </row>
        <row r="17">
          <cell r="A17" t="str">
            <v>St. Helena</v>
          </cell>
        </row>
        <row r="18">
          <cell r="A18" t="str">
            <v>Nepal</v>
          </cell>
        </row>
        <row r="19">
          <cell r="A19" t="str">
            <v>United States</v>
          </cell>
          <cell r="B19">
            <v>0.54</v>
          </cell>
          <cell r="C19">
            <v>0.46</v>
          </cell>
        </row>
        <row r="20">
          <cell r="A20" t="str">
            <v>Ethiopia</v>
          </cell>
        </row>
        <row r="21">
          <cell r="A21" t="str">
            <v>Hong Kong</v>
          </cell>
          <cell r="B21">
            <v>0.48</v>
          </cell>
          <cell r="C21">
            <v>0.52</v>
          </cell>
        </row>
        <row r="22">
          <cell r="A22" t="str">
            <v>New Zealand</v>
          </cell>
          <cell r="B22">
            <v>0.51</v>
          </cell>
          <cell r="C22">
            <v>0.49</v>
          </cell>
        </row>
        <row r="23">
          <cell r="A23" t="str">
            <v>Canada</v>
          </cell>
          <cell r="B23">
            <v>0.55000000000000004</v>
          </cell>
          <cell r="C23">
            <v>0.45</v>
          </cell>
        </row>
        <row r="24">
          <cell r="A24" t="str">
            <v>Ireland</v>
          </cell>
          <cell r="B24">
            <v>0.55000000000000004</v>
          </cell>
          <cell r="C24">
            <v>0.45</v>
          </cell>
        </row>
        <row r="25">
          <cell r="A25" t="str">
            <v>Taiwan</v>
          </cell>
          <cell r="B25">
            <v>0.26</v>
          </cell>
          <cell r="C25">
            <v>0.74</v>
          </cell>
        </row>
        <row r="26">
          <cell r="A26" t="str">
            <v>Tunisia</v>
          </cell>
        </row>
        <row r="27">
          <cell r="A27" t="str">
            <v>Pakistan</v>
          </cell>
          <cell r="B27">
            <v>0.44</v>
          </cell>
          <cell r="C27">
            <v>0.56000000000000005</v>
          </cell>
        </row>
        <row r="28">
          <cell r="A28" t="str">
            <v>Estonia</v>
          </cell>
        </row>
        <row r="29">
          <cell r="A29" t="str">
            <v>Philippines</v>
          </cell>
          <cell r="B29">
            <v>0.63</v>
          </cell>
          <cell r="C29">
            <v>0.37</v>
          </cell>
        </row>
        <row r="30">
          <cell r="A30" t="str">
            <v>South Africa</v>
          </cell>
          <cell r="B30">
            <v>0.62</v>
          </cell>
          <cell r="C30">
            <v>0.38</v>
          </cell>
        </row>
        <row r="31">
          <cell r="A31" t="str">
            <v>Myanmar (Burma)</v>
          </cell>
        </row>
        <row r="32">
          <cell r="A32" t="str">
            <v>Lebanon</v>
          </cell>
        </row>
        <row r="33">
          <cell r="A33" t="str">
            <v>North Macedonia</v>
          </cell>
        </row>
        <row r="34">
          <cell r="A34" t="str">
            <v>Australia</v>
          </cell>
          <cell r="B34">
            <v>0.5</v>
          </cell>
          <cell r="C34">
            <v>0.5</v>
          </cell>
        </row>
        <row r="35">
          <cell r="A35" t="str">
            <v>United Kingdom</v>
          </cell>
          <cell r="B35">
            <v>0.5</v>
          </cell>
          <cell r="C35">
            <v>0.5</v>
          </cell>
        </row>
        <row r="36">
          <cell r="A36" t="str">
            <v>Czechia</v>
          </cell>
          <cell r="B36">
            <v>0.39</v>
          </cell>
          <cell r="C36">
            <v>0.61</v>
          </cell>
        </row>
        <row r="37">
          <cell r="A37" t="str">
            <v>Luxembourg</v>
          </cell>
        </row>
        <row r="38">
          <cell r="A38" t="str">
            <v>Uzbekistan</v>
          </cell>
        </row>
        <row r="39">
          <cell r="A39" t="str">
            <v>Russia</v>
          </cell>
          <cell r="B39">
            <v>0.18</v>
          </cell>
          <cell r="C39">
            <v>0.82</v>
          </cell>
        </row>
        <row r="40">
          <cell r="A40" t="str">
            <v>Norway</v>
          </cell>
          <cell r="B40">
            <v>0.44</v>
          </cell>
          <cell r="C40">
            <v>0.56000000000000005</v>
          </cell>
        </row>
        <row r="41">
          <cell r="A41" t="str">
            <v>Switzerland</v>
          </cell>
          <cell r="B41">
            <v>0.5</v>
          </cell>
          <cell r="C41">
            <v>0.5</v>
          </cell>
        </row>
        <row r="42">
          <cell r="A42" t="str">
            <v>Sweden</v>
          </cell>
          <cell r="B42">
            <v>0.59</v>
          </cell>
          <cell r="C42">
            <v>0.41</v>
          </cell>
        </row>
        <row r="43">
          <cell r="A43" t="str">
            <v>Germany</v>
          </cell>
          <cell r="B43">
            <v>0.42</v>
          </cell>
          <cell r="C43">
            <v>0.57999999999999996</v>
          </cell>
        </row>
        <row r="44">
          <cell r="A44" t="str">
            <v>Guatemala</v>
          </cell>
          <cell r="C44">
            <v>1</v>
          </cell>
        </row>
        <row r="45">
          <cell r="A45" t="str">
            <v>Bangladesh</v>
          </cell>
        </row>
        <row r="46">
          <cell r="A46" t="str">
            <v>Slovenia</v>
          </cell>
          <cell r="B46">
            <v>0.51</v>
          </cell>
          <cell r="C46">
            <v>0.49</v>
          </cell>
        </row>
        <row r="47">
          <cell r="A47" t="str">
            <v>Finland</v>
          </cell>
          <cell r="B47">
            <v>0.55000000000000004</v>
          </cell>
          <cell r="C47">
            <v>0.45</v>
          </cell>
        </row>
        <row r="48">
          <cell r="A48" t="str">
            <v>Malaysia</v>
          </cell>
          <cell r="B48">
            <v>0.44</v>
          </cell>
          <cell r="C48">
            <v>0.56000000000000005</v>
          </cell>
        </row>
        <row r="49">
          <cell r="A49" t="str">
            <v>Austria</v>
          </cell>
          <cell r="B49">
            <v>0.45</v>
          </cell>
          <cell r="C49">
            <v>0.55000000000000004</v>
          </cell>
        </row>
        <row r="50">
          <cell r="A50" t="str">
            <v>Slovakia</v>
          </cell>
          <cell r="B50">
            <v>0.41</v>
          </cell>
          <cell r="C50">
            <v>0.59</v>
          </cell>
        </row>
        <row r="51">
          <cell r="A51" t="str">
            <v>Belarus</v>
          </cell>
          <cell r="B51">
            <v>0.42</v>
          </cell>
          <cell r="C51">
            <v>0.57999999999999996</v>
          </cell>
        </row>
        <row r="52">
          <cell r="A52" t="str">
            <v>Kenya</v>
          </cell>
        </row>
        <row r="53">
          <cell r="A53" t="str">
            <v>Latvia</v>
          </cell>
        </row>
        <row r="54">
          <cell r="A54" t="str">
            <v>Romania</v>
          </cell>
          <cell r="B54">
            <v>0.47</v>
          </cell>
          <cell r="C54">
            <v>0.53</v>
          </cell>
        </row>
        <row r="55">
          <cell r="A55" t="str">
            <v>Tanzania</v>
          </cell>
        </row>
        <row r="56">
          <cell r="A56" t="str">
            <v>Denmark</v>
          </cell>
          <cell r="B56">
            <v>0.44</v>
          </cell>
          <cell r="C56">
            <v>0.56000000000000005</v>
          </cell>
        </row>
        <row r="57">
          <cell r="A57" t="str">
            <v>Nigeria</v>
          </cell>
          <cell r="B57">
            <v>0.37</v>
          </cell>
          <cell r="C57">
            <v>0.63</v>
          </cell>
        </row>
        <row r="58">
          <cell r="A58" t="str">
            <v>Laos</v>
          </cell>
        </row>
        <row r="59">
          <cell r="A59" t="str">
            <v>Serbia</v>
          </cell>
          <cell r="B59">
            <v>0.61</v>
          </cell>
          <cell r="C59">
            <v>0.39</v>
          </cell>
        </row>
        <row r="60">
          <cell r="A60" t="str">
            <v>Portugal</v>
          </cell>
          <cell r="B60">
            <v>0.47</v>
          </cell>
          <cell r="C60">
            <v>0.53</v>
          </cell>
        </row>
        <row r="61">
          <cell r="A61" t="str">
            <v>United Arab Emirates</v>
          </cell>
          <cell r="B61">
            <v>0.47</v>
          </cell>
          <cell r="C61">
            <v>0.53</v>
          </cell>
        </row>
        <row r="62">
          <cell r="A62" t="str">
            <v>Croatia</v>
          </cell>
          <cell r="B62">
            <v>0.46</v>
          </cell>
          <cell r="C62">
            <v>0.54</v>
          </cell>
        </row>
        <row r="63">
          <cell r="A63" t="str">
            <v>Bulgaria</v>
          </cell>
          <cell r="B63">
            <v>0.56000000000000005</v>
          </cell>
          <cell r="C63">
            <v>0.44</v>
          </cell>
        </row>
        <row r="64">
          <cell r="A64" t="str">
            <v>Bolivia</v>
          </cell>
          <cell r="C64">
            <v>1</v>
          </cell>
        </row>
        <row r="65">
          <cell r="A65" t="str">
            <v>Ukraine</v>
          </cell>
          <cell r="B65">
            <v>0.38</v>
          </cell>
          <cell r="C65">
            <v>0.62</v>
          </cell>
        </row>
        <row r="66">
          <cell r="A66" t="str">
            <v>Bosnia &amp; Herzegovina</v>
          </cell>
        </row>
        <row r="67">
          <cell r="A67" t="str">
            <v>Mexico</v>
          </cell>
          <cell r="B67">
            <v>0.19</v>
          </cell>
          <cell r="C67">
            <v>0.81</v>
          </cell>
        </row>
        <row r="68">
          <cell r="A68" t="str">
            <v>Greece</v>
          </cell>
          <cell r="B68">
            <v>0.38</v>
          </cell>
          <cell r="C68">
            <v>0.62</v>
          </cell>
        </row>
        <row r="69">
          <cell r="A69" t="str">
            <v>Costa Rica</v>
          </cell>
        </row>
        <row r="70">
          <cell r="A70" t="str">
            <v>Vietnam</v>
          </cell>
          <cell r="B70">
            <v>0.67</v>
          </cell>
          <cell r="C70">
            <v>0.33</v>
          </cell>
        </row>
        <row r="71">
          <cell r="A71" t="str">
            <v>Belgium</v>
          </cell>
          <cell r="B71">
            <v>0.5</v>
          </cell>
          <cell r="C71">
            <v>0.5</v>
          </cell>
        </row>
        <row r="72">
          <cell r="A72" t="str">
            <v>Lithuania</v>
          </cell>
          <cell r="B72">
            <v>0.49</v>
          </cell>
          <cell r="C72">
            <v>0.51</v>
          </cell>
        </row>
        <row r="73">
          <cell r="A73" t="str">
            <v>Hungary</v>
          </cell>
          <cell r="B73">
            <v>0.42</v>
          </cell>
          <cell r="C73">
            <v>0.57999999999999996</v>
          </cell>
        </row>
        <row r="74">
          <cell r="A74" t="str">
            <v>Iran</v>
          </cell>
          <cell r="B74">
            <v>0.55000000000000004</v>
          </cell>
          <cell r="C74">
            <v>0.45</v>
          </cell>
        </row>
        <row r="75">
          <cell r="A75" t="str">
            <v>Kazakhstan</v>
          </cell>
          <cell r="C75">
            <v>1</v>
          </cell>
        </row>
        <row r="76">
          <cell r="A76" t="str">
            <v>Netherlands</v>
          </cell>
          <cell r="B76">
            <v>0.48</v>
          </cell>
          <cell r="C76">
            <v>0.52</v>
          </cell>
        </row>
        <row r="77">
          <cell r="A77" t="str">
            <v>El Salvador</v>
          </cell>
        </row>
        <row r="78">
          <cell r="A78" t="str">
            <v>Italy</v>
          </cell>
          <cell r="B78">
            <v>0.32</v>
          </cell>
          <cell r="C78">
            <v>0.68</v>
          </cell>
        </row>
        <row r="79">
          <cell r="A79" t="str">
            <v>Japan</v>
          </cell>
          <cell r="B79">
            <v>0.42</v>
          </cell>
          <cell r="C79">
            <v>0.57999999999999996</v>
          </cell>
        </row>
        <row r="80">
          <cell r="A80" t="str">
            <v>Morocco</v>
          </cell>
        </row>
        <row r="81">
          <cell r="A81" t="str">
            <v>Indonesia</v>
          </cell>
          <cell r="B81">
            <v>0.34</v>
          </cell>
          <cell r="C81">
            <v>0.66</v>
          </cell>
        </row>
        <row r="82">
          <cell r="A82" t="str">
            <v>Poland</v>
          </cell>
          <cell r="B82">
            <v>0.47</v>
          </cell>
          <cell r="C82">
            <v>0.53</v>
          </cell>
        </row>
        <row r="83">
          <cell r="A83" t="str">
            <v>Uruguay</v>
          </cell>
        </row>
        <row r="84">
          <cell r="A84" t="str">
            <v>Ecuador</v>
          </cell>
          <cell r="C84">
            <v>1</v>
          </cell>
        </row>
        <row r="85">
          <cell r="A85" t="str">
            <v>Colombia</v>
          </cell>
          <cell r="B85">
            <v>0.31</v>
          </cell>
          <cell r="C85">
            <v>0.69</v>
          </cell>
        </row>
        <row r="86">
          <cell r="A86" t="str">
            <v>Turkey</v>
          </cell>
          <cell r="B86">
            <v>0.28000000000000003</v>
          </cell>
          <cell r="C86">
            <v>0.72</v>
          </cell>
        </row>
        <row r="87">
          <cell r="A87" t="str">
            <v>Egypt</v>
          </cell>
          <cell r="B87">
            <v>0.47</v>
          </cell>
          <cell r="C87">
            <v>0.53</v>
          </cell>
        </row>
        <row r="88">
          <cell r="A88" t="str">
            <v>Peru</v>
          </cell>
        </row>
        <row r="89">
          <cell r="A89" t="str">
            <v>Spain</v>
          </cell>
          <cell r="B89">
            <v>0.55000000000000004</v>
          </cell>
          <cell r="C89">
            <v>0.45</v>
          </cell>
        </row>
        <row r="90">
          <cell r="A90" t="str">
            <v>France</v>
          </cell>
          <cell r="B90">
            <v>0.53</v>
          </cell>
          <cell r="C90">
            <v>0.47</v>
          </cell>
        </row>
        <row r="91">
          <cell r="A91" t="str">
            <v>Brazil</v>
          </cell>
          <cell r="B91">
            <v>0.35</v>
          </cell>
          <cell r="C91">
            <v>0.65</v>
          </cell>
        </row>
        <row r="92">
          <cell r="A92" t="str">
            <v>Thailand</v>
          </cell>
          <cell r="B92">
            <v>0.37</v>
          </cell>
          <cell r="C92">
            <v>0.63</v>
          </cell>
        </row>
        <row r="93">
          <cell r="A93" t="str">
            <v>Saudi Arabia</v>
          </cell>
          <cell r="B93">
            <v>0.33</v>
          </cell>
          <cell r="C93">
            <v>0.67</v>
          </cell>
        </row>
        <row r="94">
          <cell r="A94" t="str">
            <v>Algeria</v>
          </cell>
        </row>
        <row r="95">
          <cell r="A95" t="str">
            <v>Argentina</v>
          </cell>
          <cell r="B95">
            <v>0.47</v>
          </cell>
          <cell r="C95">
            <v>0.53</v>
          </cell>
        </row>
        <row r="96">
          <cell r="A96" t="str">
            <v>Iraq</v>
          </cell>
        </row>
        <row r="97">
          <cell r="A97" t="str">
            <v>Chile</v>
          </cell>
          <cell r="B97">
            <v>0.53</v>
          </cell>
          <cell r="C97">
            <v>0.47</v>
          </cell>
        </row>
        <row r="98">
          <cell r="A98" t="str">
            <v>Venezuela</v>
          </cell>
          <cell r="C98">
            <v>1</v>
          </cell>
        </row>
        <row r="99">
          <cell r="A99" t="str">
            <v>Vanuatu</v>
          </cell>
        </row>
        <row r="100">
          <cell r="A100" t="str">
            <v>Faroe Islands</v>
          </cell>
        </row>
        <row r="101">
          <cell r="A101" t="str">
            <v>Eswatini</v>
          </cell>
        </row>
        <row r="102">
          <cell r="A102" t="str">
            <v>Gibraltar</v>
          </cell>
        </row>
        <row r="103">
          <cell r="A103" t="str">
            <v>Cuba</v>
          </cell>
        </row>
        <row r="104">
          <cell r="A104" t="str">
            <v>Bhutan</v>
          </cell>
        </row>
        <row r="105">
          <cell r="A105" t="str">
            <v>Gambia</v>
          </cell>
        </row>
        <row r="106">
          <cell r="A106" t="str">
            <v>St. Lucia</v>
          </cell>
        </row>
        <row r="107">
          <cell r="A107" t="str">
            <v>South Sudan</v>
          </cell>
        </row>
        <row r="108">
          <cell r="A108" t="str">
            <v>Liechtenstein</v>
          </cell>
        </row>
        <row r="109">
          <cell r="A109" t="str">
            <v>Togo</v>
          </cell>
        </row>
        <row r="110">
          <cell r="A110" t="str">
            <v>Monaco</v>
          </cell>
        </row>
        <row r="111">
          <cell r="A111" t="str">
            <v>Andorra</v>
          </cell>
        </row>
        <row r="112">
          <cell r="A112" t="str">
            <v>Belize</v>
          </cell>
        </row>
        <row r="113">
          <cell r="A113" t="str">
            <v>Guyana</v>
          </cell>
        </row>
        <row r="114">
          <cell r="A114" t="str">
            <v>Malta</v>
          </cell>
        </row>
        <row r="115">
          <cell r="A115" t="str">
            <v>Guernsey</v>
          </cell>
        </row>
        <row r="116">
          <cell r="A116" t="str">
            <v>Suriname</v>
          </cell>
        </row>
        <row r="117">
          <cell r="A117" t="str">
            <v>Barbados</v>
          </cell>
        </row>
        <row r="118">
          <cell r="A118" t="str">
            <v>CuraÃ§ao</v>
          </cell>
        </row>
        <row r="119">
          <cell r="A119" t="str">
            <v>Isle of Man</v>
          </cell>
        </row>
        <row r="120">
          <cell r="A120" t="str">
            <v>Namibia</v>
          </cell>
        </row>
        <row r="121">
          <cell r="A121" t="str">
            <v>Jersey</v>
          </cell>
        </row>
        <row r="122">
          <cell r="A122" t="str">
            <v>Botswana</v>
          </cell>
        </row>
        <row r="123">
          <cell r="A123" t="str">
            <v>Jamaica</v>
          </cell>
        </row>
        <row r="124">
          <cell r="A124" t="str">
            <v>Mongolia</v>
          </cell>
        </row>
        <row r="125">
          <cell r="A125" t="str">
            <v>Madagascar</v>
          </cell>
        </row>
        <row r="126">
          <cell r="A126" t="str">
            <v>Brunei</v>
          </cell>
        </row>
        <row r="127">
          <cell r="A127" t="str">
            <v>Trinidad &amp; Tobago</v>
          </cell>
        </row>
        <row r="128">
          <cell r="A128" t="str">
            <v>Rwanda</v>
          </cell>
        </row>
        <row r="129">
          <cell r="A129" t="str">
            <v>New Caledonia</v>
          </cell>
        </row>
        <row r="130">
          <cell r="A130" t="str">
            <v>Zimbabwe</v>
          </cell>
        </row>
        <row r="131">
          <cell r="A131" t="str">
            <v>Armenia</v>
          </cell>
        </row>
        <row r="132">
          <cell r="A132" t="str">
            <v>Cyprus</v>
          </cell>
        </row>
        <row r="133">
          <cell r="A133" t="str">
            <v>Ghana</v>
          </cell>
        </row>
        <row r="134">
          <cell r="A134" t="str">
            <v>Cambodia</v>
          </cell>
        </row>
        <row r="135">
          <cell r="A135" t="str">
            <v>Jordan</v>
          </cell>
        </row>
        <row r="136">
          <cell r="A136" t="str">
            <v>Zambia</v>
          </cell>
        </row>
        <row r="137">
          <cell r="A137" t="str">
            <v>Bahrain</v>
          </cell>
        </row>
        <row r="138">
          <cell r="A138" t="str">
            <v>Kuwait</v>
          </cell>
        </row>
        <row r="139">
          <cell r="A139" t="str">
            <v>Afghanistan</v>
          </cell>
        </row>
        <row r="140">
          <cell r="A140" t="str">
            <v>Uganda</v>
          </cell>
        </row>
        <row r="141">
          <cell r="A141" t="str">
            <v>Qatar</v>
          </cell>
        </row>
        <row r="142">
          <cell r="A142" t="str">
            <v>Syria</v>
          </cell>
        </row>
        <row r="143">
          <cell r="A143" t="str">
            <v>Albania</v>
          </cell>
        </row>
        <row r="144">
          <cell r="A144" t="str">
            <v>Kosovo</v>
          </cell>
        </row>
        <row r="145">
          <cell r="A145" t="str">
            <v>Georgia</v>
          </cell>
        </row>
        <row r="146">
          <cell r="A146" t="str">
            <v>Nicaragua</v>
          </cell>
        </row>
        <row r="147">
          <cell r="A147" t="str">
            <v>Mozambique</v>
          </cell>
        </row>
        <row r="148">
          <cell r="A148" t="str">
            <v>Moldova</v>
          </cell>
        </row>
        <row r="149">
          <cell r="A149" t="str">
            <v>Montenegro</v>
          </cell>
        </row>
        <row r="150">
          <cell r="A150" t="str">
            <v>Angola</v>
          </cell>
        </row>
        <row r="151">
          <cell r="A151" t="str">
            <v>Puerto Rico</v>
          </cell>
        </row>
        <row r="152">
          <cell r="A152" t="str">
            <v>Senegal</v>
          </cell>
        </row>
        <row r="153">
          <cell r="A153" t="str">
            <v>Sudan</v>
          </cell>
        </row>
        <row r="154">
          <cell r="A154" t="str">
            <v>Paraguay</v>
          </cell>
        </row>
        <row r="155">
          <cell r="A155" t="str">
            <v>Honduras</v>
          </cell>
        </row>
        <row r="156">
          <cell r="A156" t="str">
            <v>Kyrgyzstan</v>
          </cell>
        </row>
        <row r="157">
          <cell r="A157" t="str">
            <v>Panama</v>
          </cell>
        </row>
        <row r="158">
          <cell r="A158" t="str">
            <v>CÃ´te dâ€™Ivoire</v>
          </cell>
        </row>
        <row r="159">
          <cell r="A159" t="str">
            <v>Palestine</v>
          </cell>
        </row>
        <row r="160">
          <cell r="A160" t="str">
            <v>Dominican Republic</v>
          </cell>
        </row>
        <row r="161">
          <cell r="A161" t="str">
            <v>RÃ©union</v>
          </cell>
        </row>
        <row r="162">
          <cell r="A162" t="str">
            <v>Azerbaijan</v>
          </cell>
        </row>
        <row r="163">
          <cell r="A163" t="str">
            <v>Yemen</v>
          </cell>
        </row>
        <row r="164">
          <cell r="A164" t="str">
            <v>Oman</v>
          </cell>
        </row>
        <row r="165">
          <cell r="A165" t="str">
            <v>Aruba</v>
          </cell>
        </row>
        <row r="166">
          <cell r="A166" t="str">
            <v>Anguilla</v>
          </cell>
        </row>
        <row r="167">
          <cell r="A167" t="str">
            <v>Ã…land Islands</v>
          </cell>
        </row>
        <row r="168">
          <cell r="A168" t="str">
            <v>American Samoa</v>
          </cell>
        </row>
        <row r="169">
          <cell r="A169" t="str">
            <v>Antarctica</v>
          </cell>
        </row>
        <row r="170">
          <cell r="A170" t="str">
            <v>French Southern Territories</v>
          </cell>
        </row>
        <row r="171">
          <cell r="A171" t="str">
            <v>Antigua &amp; Barbuda</v>
          </cell>
        </row>
        <row r="172">
          <cell r="A172" t="str">
            <v>Burundi</v>
          </cell>
        </row>
        <row r="173">
          <cell r="A173" t="str">
            <v>Benin</v>
          </cell>
        </row>
        <row r="174">
          <cell r="A174" t="str">
            <v>Caribbean Netherlands</v>
          </cell>
        </row>
        <row r="175">
          <cell r="A175" t="str">
            <v>Burkina Faso</v>
          </cell>
        </row>
        <row r="176">
          <cell r="A176" t="str">
            <v>Bahamas</v>
          </cell>
        </row>
        <row r="177">
          <cell r="A177" t="str">
            <v>St. BarthÃ©lemy</v>
          </cell>
        </row>
        <row r="178">
          <cell r="A178" t="str">
            <v>Bermuda</v>
          </cell>
        </row>
        <row r="179">
          <cell r="A179" t="str">
            <v>Bouvet Island</v>
          </cell>
        </row>
        <row r="180">
          <cell r="A180" t="str">
            <v>Central African Republic</v>
          </cell>
        </row>
        <row r="181">
          <cell r="A181" t="str">
            <v>Cocos (Keeling) Islands</v>
          </cell>
        </row>
        <row r="182">
          <cell r="A182" t="str">
            <v>Cameroon</v>
          </cell>
        </row>
        <row r="183">
          <cell r="A183" t="str">
            <v>Congo - Kinshasa</v>
          </cell>
        </row>
        <row r="184">
          <cell r="A184" t="str">
            <v>Congo - Brazzaville</v>
          </cell>
        </row>
        <row r="185">
          <cell r="A185" t="str">
            <v>Cook Islands</v>
          </cell>
        </row>
        <row r="186">
          <cell r="A186" t="str">
            <v>Comoros</v>
          </cell>
        </row>
        <row r="187">
          <cell r="A187" t="str">
            <v>Cape Verde</v>
          </cell>
        </row>
        <row r="188">
          <cell r="A188" t="str">
            <v>Christmas Island</v>
          </cell>
        </row>
        <row r="189">
          <cell r="A189" t="str">
            <v>Cayman Islands</v>
          </cell>
        </row>
        <row r="190">
          <cell r="A190" t="str">
            <v>Djibouti</v>
          </cell>
        </row>
        <row r="191">
          <cell r="A191" t="str">
            <v>Dominica</v>
          </cell>
        </row>
        <row r="192">
          <cell r="A192" t="str">
            <v>Eritrea</v>
          </cell>
        </row>
        <row r="193">
          <cell r="A193" t="str">
            <v>Western Sahara</v>
          </cell>
        </row>
        <row r="194">
          <cell r="A194" t="str">
            <v>Falkland Islands (Islas Malvinas)</v>
          </cell>
        </row>
        <row r="195">
          <cell r="A195" t="str">
            <v>Gabon</v>
          </cell>
        </row>
        <row r="196">
          <cell r="A196" t="str">
            <v>Guinea</v>
          </cell>
        </row>
        <row r="197">
          <cell r="A197" t="str">
            <v>Guadeloupe</v>
          </cell>
        </row>
        <row r="198">
          <cell r="A198" t="str">
            <v>Guinea-Bissau</v>
          </cell>
        </row>
        <row r="199">
          <cell r="A199" t="str">
            <v>Equatorial Guinea</v>
          </cell>
        </row>
        <row r="200">
          <cell r="A200" t="str">
            <v>Grenada</v>
          </cell>
        </row>
        <row r="201">
          <cell r="A201" t="str">
            <v>Greenland</v>
          </cell>
        </row>
        <row r="202">
          <cell r="A202" t="str">
            <v>French Guiana</v>
          </cell>
        </row>
        <row r="203">
          <cell r="A203" t="str">
            <v>Heard &amp; McDonald Islands</v>
          </cell>
        </row>
        <row r="204">
          <cell r="A204" t="str">
            <v>Haiti</v>
          </cell>
        </row>
        <row r="205">
          <cell r="A205" t="str">
            <v>British Indian Ocean Territory</v>
          </cell>
        </row>
        <row r="206">
          <cell r="A206" t="str">
            <v>Kiribati</v>
          </cell>
        </row>
        <row r="207">
          <cell r="A207" t="str">
            <v>St. Kitts &amp; Nevis</v>
          </cell>
        </row>
        <row r="208">
          <cell r="A208" t="str">
            <v>Liberia</v>
          </cell>
        </row>
        <row r="209">
          <cell r="A209" t="str">
            <v>Libya</v>
          </cell>
        </row>
        <row r="210">
          <cell r="A210" t="str">
            <v>Lesotho</v>
          </cell>
        </row>
        <row r="211">
          <cell r="A211" t="str">
            <v>St. Martin</v>
          </cell>
        </row>
        <row r="212">
          <cell r="A212" t="str">
            <v>Marshall Islands</v>
          </cell>
        </row>
        <row r="213">
          <cell r="A213" t="str">
            <v>Mali</v>
          </cell>
        </row>
        <row r="214">
          <cell r="A214" t="str">
            <v>Northern Mariana Islands</v>
          </cell>
        </row>
        <row r="215">
          <cell r="A215" t="str">
            <v>Mauritania</v>
          </cell>
        </row>
        <row r="216">
          <cell r="A216" t="str">
            <v>Montserrat</v>
          </cell>
        </row>
        <row r="217">
          <cell r="A217" t="str">
            <v>Martinique</v>
          </cell>
        </row>
        <row r="218">
          <cell r="A218" t="str">
            <v>Malawi</v>
          </cell>
        </row>
        <row r="219">
          <cell r="A219" t="str">
            <v>Mayotte</v>
          </cell>
        </row>
        <row r="220">
          <cell r="A220" t="str">
            <v>Niger</v>
          </cell>
        </row>
        <row r="221">
          <cell r="A221" t="str">
            <v>Norfolk Island</v>
          </cell>
        </row>
        <row r="222">
          <cell r="A222" t="str">
            <v>Niue</v>
          </cell>
        </row>
        <row r="223">
          <cell r="A223" t="str">
            <v>Nauru</v>
          </cell>
        </row>
        <row r="224">
          <cell r="A224" t="str">
            <v>Pitcairn Islands</v>
          </cell>
        </row>
        <row r="225">
          <cell r="A225" t="str">
            <v>Palau</v>
          </cell>
        </row>
        <row r="226">
          <cell r="A226" t="str">
            <v>Papua New Guinea</v>
          </cell>
        </row>
        <row r="227">
          <cell r="A227" t="str">
            <v>North Korea</v>
          </cell>
        </row>
        <row r="228">
          <cell r="A228" t="str">
            <v>French Polynesia</v>
          </cell>
        </row>
        <row r="229">
          <cell r="A229" t="str">
            <v>South Georgia &amp; South Sandwich Islands</v>
          </cell>
        </row>
        <row r="230">
          <cell r="A230" t="str">
            <v>Svalbard &amp; Jan Mayen</v>
          </cell>
        </row>
        <row r="231">
          <cell r="A231" t="str">
            <v>Solomon Islands</v>
          </cell>
        </row>
        <row r="232">
          <cell r="A232" t="str">
            <v>Sierra Leone</v>
          </cell>
        </row>
        <row r="233">
          <cell r="A233" t="str">
            <v>San Marino</v>
          </cell>
        </row>
        <row r="234">
          <cell r="A234" t="str">
            <v>Somalia</v>
          </cell>
        </row>
        <row r="235">
          <cell r="A235" t="str">
            <v>St. Pierre &amp; Miquelon</v>
          </cell>
        </row>
        <row r="236">
          <cell r="A236" t="str">
            <v>SÃ£o TomÃ© &amp; PrÃ­ncipe</v>
          </cell>
        </row>
        <row r="237">
          <cell r="A237" t="str">
            <v>Sint Maarten</v>
          </cell>
        </row>
        <row r="238">
          <cell r="A238" t="str">
            <v>Seychelles</v>
          </cell>
        </row>
        <row r="239">
          <cell r="A239" t="str">
            <v>Turks &amp; Caicos Islands</v>
          </cell>
        </row>
        <row r="240">
          <cell r="A240" t="str">
            <v>Chad</v>
          </cell>
        </row>
        <row r="241">
          <cell r="A241" t="str">
            <v>Tajikistan</v>
          </cell>
        </row>
        <row r="242">
          <cell r="A242" t="str">
            <v>Tokelau</v>
          </cell>
        </row>
        <row r="243">
          <cell r="A243" t="str">
            <v>Turkmenistan</v>
          </cell>
        </row>
        <row r="244">
          <cell r="A244" t="str">
            <v>Timor-Leste</v>
          </cell>
        </row>
        <row r="245">
          <cell r="A245" t="str">
            <v>Tonga</v>
          </cell>
        </row>
        <row r="246">
          <cell r="A246" t="str">
            <v>Tuvalu</v>
          </cell>
        </row>
        <row r="247">
          <cell r="A247" t="str">
            <v>U.S. Outlying Islands</v>
          </cell>
        </row>
        <row r="248">
          <cell r="A248" t="str">
            <v>Vatican City</v>
          </cell>
        </row>
        <row r="249">
          <cell r="A249" t="str">
            <v>St. Vincent &amp; Grenadines</v>
          </cell>
        </row>
        <row r="250">
          <cell r="A250" t="str">
            <v>British Virgin Islands</v>
          </cell>
        </row>
        <row r="251">
          <cell r="A251" t="str">
            <v>U.S. Virgin Islands</v>
          </cell>
        </row>
        <row r="252">
          <cell r="A252" t="str">
            <v>Wallis &amp; Futuna</v>
          </cell>
        </row>
        <row r="253">
          <cell r="A253" t="str">
            <v>Samoa</v>
          </cell>
        </row>
      </sheetData>
    </sheetDataSet>
  </externalBook>
</externalLink>
</file>

<file path=xl/externalLinks/externalLink3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24)"/>
    </sheetNames>
    <sheetDataSet>
      <sheetData sheetId="0">
        <row r="1">
          <cell r="A1" t="str">
            <v>Kategori: TÃ¼m kategoriler</v>
          </cell>
        </row>
        <row r="3">
          <cell r="A3" t="str">
            <v>Ãœlke</v>
          </cell>
          <cell r="B3" t="str">
            <v>Sonlu durum makinesi: (2014)</v>
          </cell>
          <cell r="C3" t="str">
            <v>K-means KÃ¼meleme YÃ¶ntemi: (2014)</v>
          </cell>
        </row>
        <row r="4">
          <cell r="A4" t="str">
            <v>Micronesia</v>
          </cell>
          <cell r="B4">
            <v>1</v>
          </cell>
        </row>
        <row r="5">
          <cell r="A5" t="str">
            <v>Cambodia</v>
          </cell>
          <cell r="C5">
            <v>1</v>
          </cell>
        </row>
        <row r="6">
          <cell r="A6" t="str">
            <v>Guam</v>
          </cell>
          <cell r="B6">
            <v>1</v>
          </cell>
        </row>
        <row r="7">
          <cell r="A7" t="str">
            <v>Fiji</v>
          </cell>
        </row>
        <row r="8">
          <cell r="A8" t="str">
            <v>Macao</v>
          </cell>
          <cell r="B8">
            <v>1</v>
          </cell>
        </row>
        <row r="9">
          <cell r="A9" t="str">
            <v>Mauritius</v>
          </cell>
          <cell r="B9">
            <v>1</v>
          </cell>
        </row>
        <row r="10">
          <cell r="A10" t="str">
            <v>China</v>
          </cell>
          <cell r="B10">
            <v>0.55000000000000004</v>
          </cell>
          <cell r="C10">
            <v>0.45</v>
          </cell>
        </row>
        <row r="11">
          <cell r="A11" t="str">
            <v>Maldives</v>
          </cell>
        </row>
        <row r="12">
          <cell r="A12" t="str">
            <v>Singapore</v>
          </cell>
          <cell r="B12">
            <v>0.77</v>
          </cell>
          <cell r="C12">
            <v>0.23</v>
          </cell>
        </row>
        <row r="13">
          <cell r="A13" t="str">
            <v>Israel</v>
          </cell>
          <cell r="B13">
            <v>0.83</v>
          </cell>
          <cell r="C13">
            <v>0.17</v>
          </cell>
        </row>
        <row r="14">
          <cell r="A14" t="str">
            <v>Iceland</v>
          </cell>
        </row>
        <row r="15">
          <cell r="A15" t="str">
            <v>South Korea</v>
          </cell>
          <cell r="B15">
            <v>0.61</v>
          </cell>
          <cell r="C15">
            <v>0.39</v>
          </cell>
        </row>
        <row r="16">
          <cell r="A16" t="str">
            <v>Nepal</v>
          </cell>
        </row>
        <row r="17">
          <cell r="A17" t="str">
            <v>St. Helena</v>
          </cell>
        </row>
        <row r="18">
          <cell r="A18" t="str">
            <v>Hong Kong</v>
          </cell>
          <cell r="B18">
            <v>0.67</v>
          </cell>
          <cell r="C18">
            <v>0.33</v>
          </cell>
        </row>
        <row r="19">
          <cell r="A19" t="str">
            <v>India</v>
          </cell>
          <cell r="B19">
            <v>0.51</v>
          </cell>
          <cell r="C19">
            <v>0.49</v>
          </cell>
        </row>
        <row r="20">
          <cell r="A20" t="str">
            <v>New Zealand</v>
          </cell>
          <cell r="B20">
            <v>0.73</v>
          </cell>
          <cell r="C20">
            <v>0.27</v>
          </cell>
        </row>
        <row r="21">
          <cell r="A21" t="str">
            <v>Taiwan</v>
          </cell>
          <cell r="B21">
            <v>0.56999999999999995</v>
          </cell>
          <cell r="C21">
            <v>0.43</v>
          </cell>
        </row>
        <row r="22">
          <cell r="A22" t="str">
            <v>Tunisia</v>
          </cell>
          <cell r="B22">
            <v>0.62</v>
          </cell>
          <cell r="C22">
            <v>0.38</v>
          </cell>
        </row>
        <row r="23">
          <cell r="A23" t="str">
            <v>United States</v>
          </cell>
          <cell r="B23">
            <v>0.67</v>
          </cell>
          <cell r="C23">
            <v>0.33</v>
          </cell>
        </row>
        <row r="24">
          <cell r="A24" t="str">
            <v>Pakistan</v>
          </cell>
          <cell r="B24">
            <v>0.56000000000000005</v>
          </cell>
          <cell r="C24">
            <v>0.44</v>
          </cell>
        </row>
        <row r="25">
          <cell r="A25" t="str">
            <v>Canada</v>
          </cell>
          <cell r="B25">
            <v>0.7</v>
          </cell>
          <cell r="C25">
            <v>0.3</v>
          </cell>
        </row>
        <row r="26">
          <cell r="A26" t="str">
            <v>Ethiopia</v>
          </cell>
        </row>
        <row r="27">
          <cell r="A27" t="str">
            <v>Norway</v>
          </cell>
          <cell r="B27">
            <v>0.78</v>
          </cell>
          <cell r="C27">
            <v>0.22</v>
          </cell>
        </row>
        <row r="28">
          <cell r="A28" t="str">
            <v>Iran</v>
          </cell>
          <cell r="B28">
            <v>0.28000000000000003</v>
          </cell>
          <cell r="C28">
            <v>0.72</v>
          </cell>
        </row>
        <row r="29">
          <cell r="A29" t="str">
            <v>United Kingdom</v>
          </cell>
          <cell r="B29">
            <v>0.76</v>
          </cell>
          <cell r="C29">
            <v>0.24</v>
          </cell>
        </row>
        <row r="30">
          <cell r="A30" t="str">
            <v>Australia</v>
          </cell>
          <cell r="B30">
            <v>0.71</v>
          </cell>
          <cell r="C30">
            <v>0.28999999999999998</v>
          </cell>
        </row>
        <row r="31">
          <cell r="A31" t="str">
            <v>Bangladesh</v>
          </cell>
          <cell r="B31">
            <v>0.35</v>
          </cell>
          <cell r="C31">
            <v>0.65</v>
          </cell>
        </row>
        <row r="32">
          <cell r="A32" t="str">
            <v>Czechia</v>
          </cell>
          <cell r="B32">
            <v>0.74</v>
          </cell>
          <cell r="C32">
            <v>0.26</v>
          </cell>
        </row>
        <row r="33">
          <cell r="A33" t="str">
            <v>Russia</v>
          </cell>
          <cell r="B33">
            <v>0.86</v>
          </cell>
          <cell r="C33">
            <v>0.14000000000000001</v>
          </cell>
        </row>
        <row r="34">
          <cell r="A34" t="str">
            <v>Ireland</v>
          </cell>
          <cell r="B34">
            <v>0.7</v>
          </cell>
          <cell r="C34">
            <v>0.3</v>
          </cell>
        </row>
        <row r="35">
          <cell r="A35" t="str">
            <v>Germany</v>
          </cell>
          <cell r="B35">
            <v>0.75</v>
          </cell>
          <cell r="C35">
            <v>0.25</v>
          </cell>
        </row>
        <row r="36">
          <cell r="A36" t="str">
            <v>Switzerland</v>
          </cell>
          <cell r="B36">
            <v>0.68</v>
          </cell>
          <cell r="C36">
            <v>0.32</v>
          </cell>
        </row>
        <row r="37">
          <cell r="A37" t="str">
            <v>Belarus</v>
          </cell>
        </row>
        <row r="38">
          <cell r="A38" t="str">
            <v>Guatemala</v>
          </cell>
          <cell r="B38">
            <v>1</v>
          </cell>
        </row>
        <row r="39">
          <cell r="A39" t="str">
            <v>Malaysia</v>
          </cell>
          <cell r="B39">
            <v>0.67</v>
          </cell>
          <cell r="C39">
            <v>0.33</v>
          </cell>
        </row>
        <row r="40">
          <cell r="A40" t="str">
            <v>Slovakia</v>
          </cell>
          <cell r="B40">
            <v>0.79</v>
          </cell>
          <cell r="C40">
            <v>0.21</v>
          </cell>
        </row>
        <row r="41">
          <cell r="A41" t="str">
            <v>Sri Lanka</v>
          </cell>
          <cell r="B41">
            <v>0.49</v>
          </cell>
          <cell r="C41">
            <v>0.51</v>
          </cell>
        </row>
        <row r="42">
          <cell r="A42" t="str">
            <v>South Africa</v>
          </cell>
          <cell r="B42">
            <v>0.74</v>
          </cell>
          <cell r="C42">
            <v>0.26</v>
          </cell>
        </row>
        <row r="43">
          <cell r="A43" t="str">
            <v>Slovenia</v>
          </cell>
        </row>
        <row r="44">
          <cell r="A44" t="str">
            <v>Austria</v>
          </cell>
          <cell r="B44">
            <v>0.72</v>
          </cell>
          <cell r="C44">
            <v>0.28000000000000003</v>
          </cell>
        </row>
        <row r="45">
          <cell r="A45" t="str">
            <v>Nigeria</v>
          </cell>
          <cell r="B45">
            <v>0.7</v>
          </cell>
          <cell r="C45">
            <v>0.3</v>
          </cell>
        </row>
        <row r="46">
          <cell r="A46" t="str">
            <v>Finland</v>
          </cell>
          <cell r="B46">
            <v>0.65</v>
          </cell>
          <cell r="C46">
            <v>0.35</v>
          </cell>
        </row>
        <row r="47">
          <cell r="A47" t="str">
            <v>Estonia</v>
          </cell>
        </row>
        <row r="48">
          <cell r="A48" t="str">
            <v>Uzbekistan</v>
          </cell>
        </row>
        <row r="49">
          <cell r="A49" t="str">
            <v>Philippines</v>
          </cell>
          <cell r="B49">
            <v>0.76</v>
          </cell>
          <cell r="C49">
            <v>0.24</v>
          </cell>
        </row>
        <row r="50">
          <cell r="A50" t="str">
            <v>Denmark</v>
          </cell>
          <cell r="B50">
            <v>0.69</v>
          </cell>
          <cell r="C50">
            <v>0.31</v>
          </cell>
        </row>
        <row r="51">
          <cell r="A51" t="str">
            <v>Lebanon</v>
          </cell>
        </row>
        <row r="52">
          <cell r="A52" t="str">
            <v>Romania</v>
          </cell>
          <cell r="B52">
            <v>0.74</v>
          </cell>
          <cell r="C52">
            <v>0.26</v>
          </cell>
        </row>
        <row r="53">
          <cell r="A53" t="str">
            <v>Croatia</v>
          </cell>
          <cell r="B53">
            <v>0.81</v>
          </cell>
          <cell r="C53">
            <v>0.19</v>
          </cell>
        </row>
        <row r="54">
          <cell r="A54" t="str">
            <v>Myanmar (Burma)</v>
          </cell>
        </row>
        <row r="55">
          <cell r="A55" t="str">
            <v>United Arab Emirates</v>
          </cell>
          <cell r="B55">
            <v>0.54</v>
          </cell>
          <cell r="C55">
            <v>0.46</v>
          </cell>
        </row>
        <row r="56">
          <cell r="A56" t="str">
            <v>Tanzania</v>
          </cell>
        </row>
        <row r="57">
          <cell r="A57" t="str">
            <v>Kenya</v>
          </cell>
        </row>
        <row r="58">
          <cell r="A58" t="str">
            <v>Portugal</v>
          </cell>
          <cell r="B58">
            <v>0.6</v>
          </cell>
          <cell r="C58">
            <v>0.4</v>
          </cell>
        </row>
        <row r="59">
          <cell r="A59" t="str">
            <v>Ukraine</v>
          </cell>
          <cell r="B59">
            <v>0.78</v>
          </cell>
          <cell r="C59">
            <v>0.22</v>
          </cell>
        </row>
        <row r="60">
          <cell r="A60" t="str">
            <v>Belgium</v>
          </cell>
          <cell r="B60">
            <v>0.7</v>
          </cell>
          <cell r="C60">
            <v>0.3</v>
          </cell>
        </row>
        <row r="61">
          <cell r="A61" t="str">
            <v>Sweden</v>
          </cell>
          <cell r="B61">
            <v>0.69</v>
          </cell>
          <cell r="C61">
            <v>0.31</v>
          </cell>
        </row>
        <row r="62">
          <cell r="A62" t="str">
            <v>Bolivia</v>
          </cell>
          <cell r="B62">
            <v>0.7</v>
          </cell>
          <cell r="C62">
            <v>0.3</v>
          </cell>
        </row>
        <row r="63">
          <cell r="A63" t="str">
            <v>Mexico</v>
          </cell>
          <cell r="B63">
            <v>0.77</v>
          </cell>
          <cell r="C63">
            <v>0.23</v>
          </cell>
        </row>
        <row r="64">
          <cell r="A64" t="str">
            <v>Greece</v>
          </cell>
          <cell r="B64">
            <v>0.53</v>
          </cell>
          <cell r="C64">
            <v>0.47</v>
          </cell>
        </row>
        <row r="65">
          <cell r="A65" t="str">
            <v>Netherlands</v>
          </cell>
          <cell r="B65">
            <v>0.69</v>
          </cell>
          <cell r="C65">
            <v>0.31</v>
          </cell>
        </row>
        <row r="66">
          <cell r="A66" t="str">
            <v>Indonesia</v>
          </cell>
          <cell r="B66">
            <v>0.45</v>
          </cell>
          <cell r="C66">
            <v>0.55000000000000004</v>
          </cell>
        </row>
        <row r="67">
          <cell r="A67" t="str">
            <v>Jordan</v>
          </cell>
          <cell r="B67">
            <v>0.59</v>
          </cell>
          <cell r="C67">
            <v>0.41</v>
          </cell>
        </row>
        <row r="68">
          <cell r="A68" t="str">
            <v>Lithuania</v>
          </cell>
          <cell r="B68">
            <v>0.62</v>
          </cell>
          <cell r="C68">
            <v>0.38</v>
          </cell>
        </row>
        <row r="69">
          <cell r="A69" t="str">
            <v>Latvia</v>
          </cell>
        </row>
        <row r="70">
          <cell r="A70" t="str">
            <v>Hungary</v>
          </cell>
          <cell r="B70">
            <v>0.76</v>
          </cell>
          <cell r="C70">
            <v>0.24</v>
          </cell>
        </row>
        <row r="71">
          <cell r="A71" t="str">
            <v>Algeria</v>
          </cell>
        </row>
        <row r="72">
          <cell r="A72" t="str">
            <v>El Salvador</v>
          </cell>
        </row>
        <row r="73">
          <cell r="A73" t="str">
            <v>Bulgaria</v>
          </cell>
        </row>
        <row r="74">
          <cell r="A74" t="str">
            <v>Bosnia &amp; Herzegovina</v>
          </cell>
        </row>
        <row r="75">
          <cell r="A75" t="str">
            <v>Japan</v>
          </cell>
          <cell r="B75">
            <v>0.56999999999999995</v>
          </cell>
          <cell r="C75">
            <v>0.43</v>
          </cell>
        </row>
        <row r="76">
          <cell r="A76" t="str">
            <v>Kazakhstan</v>
          </cell>
        </row>
        <row r="77">
          <cell r="A77" t="str">
            <v>Morocco</v>
          </cell>
          <cell r="B77">
            <v>0.56000000000000005</v>
          </cell>
          <cell r="C77">
            <v>0.44</v>
          </cell>
        </row>
        <row r="78">
          <cell r="A78" t="str">
            <v>Serbia</v>
          </cell>
          <cell r="B78">
            <v>0.72</v>
          </cell>
          <cell r="C78">
            <v>0.28000000000000003</v>
          </cell>
        </row>
        <row r="79">
          <cell r="A79" t="str">
            <v>Costa Rica</v>
          </cell>
        </row>
        <row r="80">
          <cell r="A80" t="str">
            <v>Italy</v>
          </cell>
          <cell r="B80">
            <v>0.72</v>
          </cell>
          <cell r="C80">
            <v>0.28000000000000003</v>
          </cell>
        </row>
        <row r="81">
          <cell r="A81" t="str">
            <v>Ghana</v>
          </cell>
        </row>
        <row r="82">
          <cell r="A82" t="str">
            <v>Colombia</v>
          </cell>
          <cell r="B82">
            <v>0.68</v>
          </cell>
          <cell r="C82">
            <v>0.32</v>
          </cell>
        </row>
        <row r="83">
          <cell r="A83" t="str">
            <v>Ecuador</v>
          </cell>
        </row>
        <row r="84">
          <cell r="A84" t="str">
            <v>Poland</v>
          </cell>
          <cell r="B84">
            <v>0.73</v>
          </cell>
          <cell r="C84">
            <v>0.27</v>
          </cell>
        </row>
        <row r="85">
          <cell r="A85" t="str">
            <v>Kuwait</v>
          </cell>
        </row>
        <row r="86">
          <cell r="A86" t="str">
            <v>Turkey</v>
          </cell>
          <cell r="B86">
            <v>0.7</v>
          </cell>
          <cell r="C86">
            <v>0.3</v>
          </cell>
        </row>
        <row r="87">
          <cell r="A87" t="str">
            <v>Egypt</v>
          </cell>
          <cell r="B87">
            <v>0.53</v>
          </cell>
          <cell r="C87">
            <v>0.47</v>
          </cell>
        </row>
        <row r="88">
          <cell r="A88" t="str">
            <v>Peru</v>
          </cell>
          <cell r="B88">
            <v>0.63</v>
          </cell>
          <cell r="C88">
            <v>0.37</v>
          </cell>
        </row>
        <row r="89">
          <cell r="A89" t="str">
            <v>Georgia</v>
          </cell>
        </row>
        <row r="90">
          <cell r="A90" t="str">
            <v>France</v>
          </cell>
          <cell r="B90">
            <v>0.47</v>
          </cell>
          <cell r="C90">
            <v>0.53</v>
          </cell>
        </row>
        <row r="91">
          <cell r="A91" t="str">
            <v>Brazil</v>
          </cell>
          <cell r="B91">
            <v>0.71</v>
          </cell>
          <cell r="C91">
            <v>0.28999999999999998</v>
          </cell>
        </row>
        <row r="92">
          <cell r="A92" t="str">
            <v>Spain</v>
          </cell>
          <cell r="B92">
            <v>0.51</v>
          </cell>
          <cell r="C92">
            <v>0.49</v>
          </cell>
        </row>
        <row r="93">
          <cell r="A93" t="str">
            <v>Thailand</v>
          </cell>
          <cell r="B93">
            <v>0.53</v>
          </cell>
          <cell r="C93">
            <v>0.47</v>
          </cell>
        </row>
        <row r="94">
          <cell r="A94" t="str">
            <v>Vietnam</v>
          </cell>
          <cell r="B94">
            <v>0.5</v>
          </cell>
          <cell r="C94">
            <v>0.5</v>
          </cell>
        </row>
        <row r="95">
          <cell r="A95" t="str">
            <v>Chile</v>
          </cell>
          <cell r="B95">
            <v>0.39</v>
          </cell>
          <cell r="C95">
            <v>0.61</v>
          </cell>
        </row>
        <row r="96">
          <cell r="A96" t="str">
            <v>Iraq</v>
          </cell>
        </row>
        <row r="97">
          <cell r="A97" t="str">
            <v>Saudi Arabia</v>
          </cell>
          <cell r="B97">
            <v>0.5</v>
          </cell>
          <cell r="C97">
            <v>0.5</v>
          </cell>
        </row>
        <row r="98">
          <cell r="A98" t="str">
            <v>Argentina</v>
          </cell>
          <cell r="B98">
            <v>0.69</v>
          </cell>
          <cell r="C98">
            <v>0.31</v>
          </cell>
        </row>
        <row r="99">
          <cell r="A99" t="str">
            <v>Venezuela</v>
          </cell>
          <cell r="B99">
            <v>1</v>
          </cell>
        </row>
        <row r="100">
          <cell r="A100" t="str">
            <v>Marshall Islands</v>
          </cell>
        </row>
        <row r="101">
          <cell r="A101" t="str">
            <v>Palau</v>
          </cell>
        </row>
        <row r="102">
          <cell r="A102" t="str">
            <v>Eritrea</v>
          </cell>
        </row>
        <row r="103">
          <cell r="A103" t="str">
            <v>Tonga</v>
          </cell>
        </row>
        <row r="104">
          <cell r="A104" t="str">
            <v>Northern Mariana Islands</v>
          </cell>
        </row>
        <row r="105">
          <cell r="A105" t="str">
            <v>Samoa</v>
          </cell>
        </row>
        <row r="106">
          <cell r="A106" t="str">
            <v>Turks &amp; Caicos Islands</v>
          </cell>
        </row>
        <row r="107">
          <cell r="A107" t="str">
            <v>Vanuatu</v>
          </cell>
        </row>
        <row r="108">
          <cell r="A108" t="str">
            <v>Solomon Islands</v>
          </cell>
        </row>
        <row r="109">
          <cell r="A109" t="str">
            <v>San Marino</v>
          </cell>
        </row>
        <row r="110">
          <cell r="A110" t="str">
            <v>St. Kitts &amp; Nevis</v>
          </cell>
        </row>
        <row r="111">
          <cell r="A111" t="str">
            <v>Seychelles</v>
          </cell>
        </row>
        <row r="112">
          <cell r="A112" t="str">
            <v>Dominica</v>
          </cell>
        </row>
        <row r="113">
          <cell r="A113" t="str">
            <v>Sint Maarten</v>
          </cell>
        </row>
        <row r="114">
          <cell r="A114" t="str">
            <v>Lesotho</v>
          </cell>
        </row>
        <row r="115">
          <cell r="A115" t="str">
            <v>Gibraltar</v>
          </cell>
        </row>
        <row r="116">
          <cell r="A116" t="str">
            <v>Malta</v>
          </cell>
        </row>
        <row r="117">
          <cell r="A117" t="str">
            <v>Somalia</v>
          </cell>
        </row>
        <row r="118">
          <cell r="A118" t="str">
            <v>Grenada</v>
          </cell>
        </row>
        <row r="119">
          <cell r="A119" t="str">
            <v>St. Vincent &amp; Grenadines</v>
          </cell>
        </row>
        <row r="120">
          <cell r="A120" t="str">
            <v>Timor-Leste</v>
          </cell>
        </row>
        <row r="121">
          <cell r="A121" t="str">
            <v>Turkmenistan</v>
          </cell>
        </row>
        <row r="122">
          <cell r="A122" t="str">
            <v>South Sudan</v>
          </cell>
        </row>
        <row r="123">
          <cell r="A123" t="str">
            <v>Liechtenstein</v>
          </cell>
        </row>
        <row r="124">
          <cell r="A124" t="str">
            <v>Botswana</v>
          </cell>
        </row>
        <row r="125">
          <cell r="A125" t="str">
            <v>Cuba</v>
          </cell>
        </row>
        <row r="126">
          <cell r="A126" t="str">
            <v>Andorra</v>
          </cell>
        </row>
        <row r="127">
          <cell r="A127" t="str">
            <v>Aruba</v>
          </cell>
        </row>
        <row r="128">
          <cell r="A128" t="str">
            <v>Armenia</v>
          </cell>
        </row>
        <row r="129">
          <cell r="A129" t="str">
            <v>Tajikistan</v>
          </cell>
        </row>
        <row r="130">
          <cell r="A130" t="str">
            <v>Sierra Leone</v>
          </cell>
        </row>
        <row r="131">
          <cell r="A131" t="str">
            <v>Guyana</v>
          </cell>
        </row>
        <row r="132">
          <cell r="A132" t="str">
            <v>Afghanistan</v>
          </cell>
        </row>
        <row r="133">
          <cell r="A133" t="str">
            <v>Papua New Guinea</v>
          </cell>
        </row>
        <row r="134">
          <cell r="A134" t="str">
            <v>Bahamas</v>
          </cell>
        </row>
        <row r="135">
          <cell r="A135" t="str">
            <v>Montenegro</v>
          </cell>
        </row>
        <row r="136">
          <cell r="A136" t="str">
            <v>Gabon</v>
          </cell>
        </row>
        <row r="137">
          <cell r="A137" t="str">
            <v>Isle of Man</v>
          </cell>
        </row>
        <row r="138">
          <cell r="A138" t="str">
            <v>CuraÃ§ao</v>
          </cell>
        </row>
        <row r="139">
          <cell r="A139" t="str">
            <v>Jersey</v>
          </cell>
        </row>
        <row r="140">
          <cell r="A140" t="str">
            <v>French Polynesia</v>
          </cell>
        </row>
        <row r="141">
          <cell r="A141" t="str">
            <v>Mauritania</v>
          </cell>
        </row>
        <row r="142">
          <cell r="A142" t="str">
            <v>Martinique</v>
          </cell>
        </row>
        <row r="143">
          <cell r="A143" t="str">
            <v>Brunei</v>
          </cell>
        </row>
        <row r="144">
          <cell r="A144" t="str">
            <v>Uganda</v>
          </cell>
        </row>
        <row r="145">
          <cell r="A145" t="str">
            <v>Zimbabwe</v>
          </cell>
        </row>
        <row r="146">
          <cell r="A146" t="str">
            <v>Rwanda</v>
          </cell>
        </row>
        <row r="147">
          <cell r="A147" t="str">
            <v>Oman</v>
          </cell>
        </row>
        <row r="148">
          <cell r="A148" t="str">
            <v>North Macedonia</v>
          </cell>
        </row>
        <row r="149">
          <cell r="A149" t="str">
            <v>Mozambique</v>
          </cell>
        </row>
        <row r="150">
          <cell r="A150" t="str">
            <v>Luxembourg</v>
          </cell>
        </row>
        <row r="151">
          <cell r="A151" t="str">
            <v>Barbados</v>
          </cell>
        </row>
        <row r="152">
          <cell r="A152" t="str">
            <v>Moldova</v>
          </cell>
        </row>
        <row r="153">
          <cell r="A153" t="str">
            <v>Mongolia</v>
          </cell>
        </row>
        <row r="154">
          <cell r="A154" t="str">
            <v>Namibia</v>
          </cell>
        </row>
        <row r="155">
          <cell r="A155" t="str">
            <v>Zambia</v>
          </cell>
        </row>
        <row r="156">
          <cell r="A156" t="str">
            <v>Mali</v>
          </cell>
        </row>
        <row r="157">
          <cell r="A157" t="str">
            <v>Trinidad &amp; Tobago</v>
          </cell>
        </row>
        <row r="158">
          <cell r="A158" t="str">
            <v>Cyprus</v>
          </cell>
        </row>
        <row r="159">
          <cell r="A159" t="str">
            <v>Madagascar</v>
          </cell>
        </row>
        <row r="160">
          <cell r="A160" t="str">
            <v>Angola</v>
          </cell>
        </row>
        <row r="161">
          <cell r="A161" t="str">
            <v>Sudan</v>
          </cell>
        </row>
        <row r="162">
          <cell r="A162" t="str">
            <v>Bahrain</v>
          </cell>
        </row>
        <row r="163">
          <cell r="A163" t="str">
            <v>Senegal</v>
          </cell>
        </row>
        <row r="164">
          <cell r="A164" t="str">
            <v>Jamaica</v>
          </cell>
        </row>
        <row r="165">
          <cell r="A165" t="str">
            <v>Congo - Kinshasa</v>
          </cell>
        </row>
        <row r="166">
          <cell r="A166" t="str">
            <v>Laos</v>
          </cell>
        </row>
        <row r="167">
          <cell r="A167" t="str">
            <v>Qatar</v>
          </cell>
        </row>
        <row r="168">
          <cell r="A168" t="str">
            <v>Cameroon</v>
          </cell>
        </row>
        <row r="169">
          <cell r="A169" t="str">
            <v>Guadeloupe</v>
          </cell>
        </row>
        <row r="170">
          <cell r="A170" t="str">
            <v>Albania</v>
          </cell>
        </row>
        <row r="171">
          <cell r="A171" t="str">
            <v>Azerbaijan</v>
          </cell>
        </row>
        <row r="172">
          <cell r="A172" t="str">
            <v>Honduras</v>
          </cell>
        </row>
        <row r="173">
          <cell r="A173" t="str">
            <v>Syria</v>
          </cell>
        </row>
        <row r="174">
          <cell r="A174" t="str">
            <v>Dominican Republic</v>
          </cell>
        </row>
        <row r="175">
          <cell r="A175" t="str">
            <v>Panama</v>
          </cell>
        </row>
        <row r="176">
          <cell r="A176" t="str">
            <v>Libya</v>
          </cell>
        </row>
        <row r="177">
          <cell r="A177" t="str">
            <v>Paraguay</v>
          </cell>
        </row>
        <row r="178">
          <cell r="A178" t="str">
            <v>Kyrgyzstan</v>
          </cell>
        </row>
        <row r="179">
          <cell r="A179" t="str">
            <v>Puerto Rico</v>
          </cell>
        </row>
        <row r="180">
          <cell r="A180" t="str">
            <v>Palestine</v>
          </cell>
        </row>
        <row r="181">
          <cell r="A181" t="str">
            <v>Yemen</v>
          </cell>
        </row>
        <row r="182">
          <cell r="A182" t="str">
            <v>Kosovo</v>
          </cell>
        </row>
        <row r="183">
          <cell r="A183" t="str">
            <v>RÃ©union</v>
          </cell>
        </row>
        <row r="184">
          <cell r="A184" t="str">
            <v>Uruguay</v>
          </cell>
        </row>
        <row r="185">
          <cell r="A185" t="str">
            <v>Nicaragua</v>
          </cell>
        </row>
        <row r="186">
          <cell r="A186" t="str">
            <v>Anguilla</v>
          </cell>
        </row>
        <row r="187">
          <cell r="A187" t="str">
            <v>Ã…land Islands</v>
          </cell>
        </row>
        <row r="188">
          <cell r="A188" t="str">
            <v>American Samoa</v>
          </cell>
        </row>
        <row r="189">
          <cell r="A189" t="str">
            <v>Antarctica</v>
          </cell>
        </row>
        <row r="190">
          <cell r="A190" t="str">
            <v>French Southern Territories</v>
          </cell>
        </row>
        <row r="191">
          <cell r="A191" t="str">
            <v>Antigua &amp; Barbuda</v>
          </cell>
        </row>
        <row r="192">
          <cell r="A192" t="str">
            <v>Burundi</v>
          </cell>
        </row>
        <row r="193">
          <cell r="A193" t="str">
            <v>Benin</v>
          </cell>
        </row>
        <row r="194">
          <cell r="A194" t="str">
            <v>Caribbean Netherlands</v>
          </cell>
        </row>
        <row r="195">
          <cell r="A195" t="str">
            <v>Burkina Faso</v>
          </cell>
        </row>
        <row r="196">
          <cell r="A196" t="str">
            <v>St. BarthÃ©lemy</v>
          </cell>
        </row>
        <row r="197">
          <cell r="A197" t="str">
            <v>Belize</v>
          </cell>
        </row>
        <row r="198">
          <cell r="A198" t="str">
            <v>Bermuda</v>
          </cell>
        </row>
        <row r="199">
          <cell r="A199" t="str">
            <v>Bhutan</v>
          </cell>
        </row>
        <row r="200">
          <cell r="A200" t="str">
            <v>Bouvet Island</v>
          </cell>
        </row>
        <row r="201">
          <cell r="A201" t="str">
            <v>Central African Republic</v>
          </cell>
        </row>
        <row r="202">
          <cell r="A202" t="str">
            <v>Cocos (Keeling) Islands</v>
          </cell>
        </row>
        <row r="203">
          <cell r="A203" t="str">
            <v>CÃ´te dâ€™Ivoire</v>
          </cell>
        </row>
        <row r="204">
          <cell r="A204" t="str">
            <v>Congo - Brazzaville</v>
          </cell>
        </row>
        <row r="205">
          <cell r="A205" t="str">
            <v>Cook Islands</v>
          </cell>
        </row>
        <row r="206">
          <cell r="A206" t="str">
            <v>Comoros</v>
          </cell>
        </row>
        <row r="207">
          <cell r="A207" t="str">
            <v>Cape Verde</v>
          </cell>
        </row>
        <row r="208">
          <cell r="A208" t="str">
            <v>Christmas Island</v>
          </cell>
        </row>
        <row r="209">
          <cell r="A209" t="str">
            <v>Cayman Islands</v>
          </cell>
        </row>
        <row r="210">
          <cell r="A210" t="str">
            <v>Djibouti</v>
          </cell>
        </row>
        <row r="211">
          <cell r="A211" t="str">
            <v>Western Sahara</v>
          </cell>
        </row>
        <row r="212">
          <cell r="A212" t="str">
            <v>Falkland Islands (Islas Malvinas)</v>
          </cell>
        </row>
        <row r="213">
          <cell r="A213" t="str">
            <v>Faroe Islands</v>
          </cell>
        </row>
        <row r="214">
          <cell r="A214" t="str">
            <v>Guernsey</v>
          </cell>
        </row>
        <row r="215">
          <cell r="A215" t="str">
            <v>Guinea</v>
          </cell>
        </row>
        <row r="216">
          <cell r="A216" t="str">
            <v>Gambia</v>
          </cell>
        </row>
        <row r="217">
          <cell r="A217" t="str">
            <v>Guinea-Bissau</v>
          </cell>
        </row>
        <row r="218">
          <cell r="A218" t="str">
            <v>Equatorial Guinea</v>
          </cell>
        </row>
        <row r="219">
          <cell r="A219" t="str">
            <v>Greenland</v>
          </cell>
        </row>
        <row r="220">
          <cell r="A220" t="str">
            <v>French Guiana</v>
          </cell>
        </row>
        <row r="221">
          <cell r="A221" t="str">
            <v>Heard &amp; McDonald Islands</v>
          </cell>
        </row>
        <row r="222">
          <cell r="A222" t="str">
            <v>Haiti</v>
          </cell>
        </row>
        <row r="223">
          <cell r="A223" t="str">
            <v>British Indian Ocean Territory</v>
          </cell>
        </row>
        <row r="224">
          <cell r="A224" t="str">
            <v>Kiribati</v>
          </cell>
        </row>
        <row r="225">
          <cell r="A225" t="str">
            <v>Liberia</v>
          </cell>
        </row>
        <row r="226">
          <cell r="A226" t="str">
            <v>St. Lucia</v>
          </cell>
        </row>
        <row r="227">
          <cell r="A227" t="str">
            <v>St. Martin</v>
          </cell>
        </row>
        <row r="228">
          <cell r="A228" t="str">
            <v>Monaco</v>
          </cell>
        </row>
        <row r="229">
          <cell r="A229" t="str">
            <v>Montserrat</v>
          </cell>
        </row>
        <row r="230">
          <cell r="A230" t="str">
            <v>Malawi</v>
          </cell>
        </row>
        <row r="231">
          <cell r="A231" t="str">
            <v>Mayotte</v>
          </cell>
        </row>
        <row r="232">
          <cell r="A232" t="str">
            <v>New Caledonia</v>
          </cell>
        </row>
        <row r="233">
          <cell r="A233" t="str">
            <v>Niger</v>
          </cell>
        </row>
        <row r="234">
          <cell r="A234" t="str">
            <v>Norfolk Island</v>
          </cell>
        </row>
        <row r="235">
          <cell r="A235" t="str">
            <v>Niue</v>
          </cell>
        </row>
        <row r="236">
          <cell r="A236" t="str">
            <v>Nauru</v>
          </cell>
        </row>
        <row r="237">
          <cell r="A237" t="str">
            <v>Pitcairn Islands</v>
          </cell>
        </row>
        <row r="238">
          <cell r="A238" t="str">
            <v>North Korea</v>
          </cell>
        </row>
        <row r="239">
          <cell r="A239" t="str">
            <v>South Georgia &amp; South Sandwich Islands</v>
          </cell>
        </row>
        <row r="240">
          <cell r="A240" t="str">
            <v>Svalbard &amp; Jan Mayen</v>
          </cell>
        </row>
        <row r="241">
          <cell r="A241" t="str">
            <v>St. Pierre &amp; Miquelon</v>
          </cell>
        </row>
        <row r="242">
          <cell r="A242" t="str">
            <v>SÃ£o TomÃ© &amp; PrÃ­ncipe</v>
          </cell>
        </row>
        <row r="243">
          <cell r="A243" t="str">
            <v>Suriname</v>
          </cell>
        </row>
        <row r="244">
          <cell r="A244" t="str">
            <v>Eswatini</v>
          </cell>
        </row>
        <row r="245">
          <cell r="A245" t="str">
            <v>Chad</v>
          </cell>
        </row>
        <row r="246">
          <cell r="A246" t="str">
            <v>Togo</v>
          </cell>
        </row>
        <row r="247">
          <cell r="A247" t="str">
            <v>Tokelau</v>
          </cell>
        </row>
        <row r="248">
          <cell r="A248" t="str">
            <v>Tuvalu</v>
          </cell>
        </row>
        <row r="249">
          <cell r="A249" t="str">
            <v>U.S. Outlying Islands</v>
          </cell>
        </row>
        <row r="250">
          <cell r="A250" t="str">
            <v>Vatican City</v>
          </cell>
        </row>
        <row r="251">
          <cell r="A251" t="str">
            <v>British Virgin Islands</v>
          </cell>
        </row>
        <row r="252">
          <cell r="A252" t="str">
            <v>U.S. Virgin Islands</v>
          </cell>
        </row>
        <row r="253">
          <cell r="A253" t="str">
            <v>Wallis &amp; Futuna</v>
          </cell>
        </row>
      </sheetData>
    </sheetDataSet>
  </externalBook>
</externalLink>
</file>

<file path=xl/externalLinks/externalLink3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25)"/>
    </sheetNames>
    <sheetDataSet>
      <sheetData sheetId="0">
        <row r="1">
          <cell r="A1" t="str">
            <v>Kategori: TÃ¼m kategoriler</v>
          </cell>
        </row>
        <row r="3">
          <cell r="A3" t="str">
            <v>Ãœlke</v>
          </cell>
          <cell r="B3" t="str">
            <v>K-means KÃ¼meleme YÃ¶ntemi: (2014)</v>
          </cell>
          <cell r="C3" t="str">
            <v>Semafor: (2014)</v>
          </cell>
        </row>
        <row r="4">
          <cell r="A4" t="str">
            <v>Cambodia</v>
          </cell>
          <cell r="B4">
            <v>1</v>
          </cell>
        </row>
        <row r="5">
          <cell r="A5" t="str">
            <v>Australia</v>
          </cell>
          <cell r="B5">
            <v>0.1</v>
          </cell>
          <cell r="C5">
            <v>0.9</v>
          </cell>
        </row>
        <row r="6">
          <cell r="A6" t="str">
            <v>China</v>
          </cell>
          <cell r="B6">
            <v>0.53</v>
          </cell>
          <cell r="C6">
            <v>0.47</v>
          </cell>
        </row>
        <row r="7">
          <cell r="A7" t="str">
            <v>India</v>
          </cell>
          <cell r="B7">
            <v>0.41</v>
          </cell>
          <cell r="C7">
            <v>0.59</v>
          </cell>
        </row>
        <row r="8">
          <cell r="A8" t="str">
            <v>South Korea</v>
          </cell>
          <cell r="B8">
            <v>0.41</v>
          </cell>
          <cell r="C8">
            <v>0.59</v>
          </cell>
        </row>
        <row r="9">
          <cell r="A9" t="str">
            <v>France</v>
          </cell>
          <cell r="B9">
            <v>0.12</v>
          </cell>
          <cell r="C9">
            <v>0.88</v>
          </cell>
        </row>
        <row r="10">
          <cell r="A10" t="str">
            <v>St. Helena</v>
          </cell>
        </row>
        <row r="11">
          <cell r="A11" t="str">
            <v>Israel</v>
          </cell>
          <cell r="B11">
            <v>0.28000000000000003</v>
          </cell>
          <cell r="C11">
            <v>0.72</v>
          </cell>
        </row>
        <row r="12">
          <cell r="A12" t="str">
            <v>Cameroon</v>
          </cell>
        </row>
        <row r="13">
          <cell r="A13" t="str">
            <v>Kenya</v>
          </cell>
          <cell r="B13">
            <v>0.23</v>
          </cell>
          <cell r="C13">
            <v>0.77</v>
          </cell>
        </row>
        <row r="14">
          <cell r="A14" t="str">
            <v>Tunisia</v>
          </cell>
          <cell r="B14">
            <v>0.33</v>
          </cell>
          <cell r="C14">
            <v>0.67</v>
          </cell>
        </row>
        <row r="15">
          <cell r="A15" t="str">
            <v>Slovakia</v>
          </cell>
          <cell r="B15">
            <v>0.15</v>
          </cell>
          <cell r="C15">
            <v>0.85</v>
          </cell>
        </row>
        <row r="16">
          <cell r="A16" t="str">
            <v>Iceland</v>
          </cell>
        </row>
        <row r="17">
          <cell r="A17" t="str">
            <v>Senegal</v>
          </cell>
        </row>
        <row r="18">
          <cell r="A18" t="str">
            <v>Belgium</v>
          </cell>
          <cell r="B18">
            <v>0.19</v>
          </cell>
          <cell r="C18">
            <v>0.81</v>
          </cell>
        </row>
        <row r="19">
          <cell r="A19" t="str">
            <v>Singapore</v>
          </cell>
          <cell r="B19">
            <v>0.44</v>
          </cell>
          <cell r="C19">
            <v>0.56000000000000005</v>
          </cell>
        </row>
        <row r="20">
          <cell r="A20" t="str">
            <v>Iran</v>
          </cell>
          <cell r="B20">
            <v>0.65</v>
          </cell>
          <cell r="C20">
            <v>0.35</v>
          </cell>
        </row>
        <row r="21">
          <cell r="A21" t="str">
            <v>Fiji</v>
          </cell>
        </row>
        <row r="22">
          <cell r="A22" t="str">
            <v>Zimbabwe</v>
          </cell>
        </row>
        <row r="23">
          <cell r="A23" t="str">
            <v>Taiwan</v>
          </cell>
          <cell r="B23">
            <v>0.5</v>
          </cell>
          <cell r="C23">
            <v>0.5</v>
          </cell>
        </row>
        <row r="24">
          <cell r="A24" t="str">
            <v>Nepal</v>
          </cell>
        </row>
        <row r="25">
          <cell r="A25" t="str">
            <v>Switzerland</v>
          </cell>
          <cell r="B25">
            <v>0.33</v>
          </cell>
          <cell r="C25">
            <v>0.67</v>
          </cell>
        </row>
        <row r="26">
          <cell r="A26" t="str">
            <v>Pakistan</v>
          </cell>
          <cell r="B26">
            <v>0.54</v>
          </cell>
          <cell r="C26">
            <v>0.46</v>
          </cell>
        </row>
        <row r="27">
          <cell r="A27" t="str">
            <v>Bangladesh</v>
          </cell>
          <cell r="B27">
            <v>0.62</v>
          </cell>
          <cell r="C27">
            <v>0.38</v>
          </cell>
        </row>
        <row r="28">
          <cell r="A28" t="str">
            <v>Hong Kong</v>
          </cell>
          <cell r="B28">
            <v>0.54</v>
          </cell>
          <cell r="C28">
            <v>0.46</v>
          </cell>
        </row>
        <row r="29">
          <cell r="A29" t="str">
            <v>Canada</v>
          </cell>
          <cell r="B29">
            <v>0.35</v>
          </cell>
          <cell r="C29">
            <v>0.65</v>
          </cell>
        </row>
        <row r="30">
          <cell r="A30" t="str">
            <v>United States</v>
          </cell>
          <cell r="B30">
            <v>0.42</v>
          </cell>
          <cell r="C30">
            <v>0.57999999999999996</v>
          </cell>
        </row>
        <row r="31">
          <cell r="A31" t="str">
            <v>Sri Lanka</v>
          </cell>
        </row>
        <row r="32">
          <cell r="A32" t="str">
            <v>Ireland</v>
          </cell>
          <cell r="B32">
            <v>0.36</v>
          </cell>
          <cell r="C32">
            <v>0.64</v>
          </cell>
        </row>
        <row r="33">
          <cell r="A33" t="str">
            <v>North Macedonia</v>
          </cell>
        </row>
        <row r="34">
          <cell r="A34" t="str">
            <v>Algeria</v>
          </cell>
          <cell r="B34">
            <v>0.39</v>
          </cell>
          <cell r="C34">
            <v>0.61</v>
          </cell>
        </row>
        <row r="35">
          <cell r="A35" t="str">
            <v>Myanmar (Burma)</v>
          </cell>
        </row>
        <row r="36">
          <cell r="A36" t="str">
            <v>Austria</v>
          </cell>
          <cell r="B36">
            <v>0.28999999999999998</v>
          </cell>
          <cell r="C36">
            <v>0.71</v>
          </cell>
        </row>
        <row r="37">
          <cell r="A37" t="str">
            <v>New Zealand</v>
          </cell>
          <cell r="B37">
            <v>0.35</v>
          </cell>
          <cell r="C37">
            <v>0.65</v>
          </cell>
        </row>
        <row r="38">
          <cell r="A38" t="str">
            <v>Hungary</v>
          </cell>
          <cell r="B38">
            <v>0.19</v>
          </cell>
          <cell r="C38">
            <v>0.81</v>
          </cell>
        </row>
        <row r="39">
          <cell r="A39" t="str">
            <v>United Kingdom</v>
          </cell>
          <cell r="B39">
            <v>0.33</v>
          </cell>
          <cell r="C39">
            <v>0.67</v>
          </cell>
        </row>
        <row r="40">
          <cell r="A40" t="str">
            <v>Lebanon</v>
          </cell>
        </row>
        <row r="41">
          <cell r="A41" t="str">
            <v>Germany</v>
          </cell>
          <cell r="B41">
            <v>0.28999999999999998</v>
          </cell>
          <cell r="C41">
            <v>0.71</v>
          </cell>
        </row>
        <row r="42">
          <cell r="A42" t="str">
            <v>Japan</v>
          </cell>
          <cell r="B42">
            <v>0.31</v>
          </cell>
          <cell r="C42">
            <v>0.69</v>
          </cell>
        </row>
        <row r="43">
          <cell r="A43" t="str">
            <v>Czechia</v>
          </cell>
          <cell r="B43">
            <v>0.36</v>
          </cell>
          <cell r="C43">
            <v>0.64</v>
          </cell>
        </row>
        <row r="44">
          <cell r="A44" t="str">
            <v>Philippines</v>
          </cell>
          <cell r="B44">
            <v>0.26</v>
          </cell>
          <cell r="C44">
            <v>0.74</v>
          </cell>
        </row>
        <row r="45">
          <cell r="A45" t="str">
            <v>Belarus</v>
          </cell>
        </row>
        <row r="46">
          <cell r="A46" t="str">
            <v>Slovenia</v>
          </cell>
          <cell r="B46">
            <v>0.38</v>
          </cell>
          <cell r="C46">
            <v>0.62</v>
          </cell>
        </row>
        <row r="47">
          <cell r="A47" t="str">
            <v>Denmark</v>
          </cell>
          <cell r="B47">
            <v>0.33</v>
          </cell>
          <cell r="C47">
            <v>0.67</v>
          </cell>
        </row>
        <row r="48">
          <cell r="A48" t="str">
            <v>Sweden</v>
          </cell>
          <cell r="B48">
            <v>0.31</v>
          </cell>
          <cell r="C48">
            <v>0.69</v>
          </cell>
        </row>
        <row r="49">
          <cell r="A49" t="str">
            <v>Moldova</v>
          </cell>
        </row>
        <row r="50">
          <cell r="A50" t="str">
            <v>Portugal</v>
          </cell>
          <cell r="B50">
            <v>0.42</v>
          </cell>
          <cell r="C50">
            <v>0.57999999999999996</v>
          </cell>
        </row>
        <row r="51">
          <cell r="A51" t="str">
            <v>Ethiopia</v>
          </cell>
        </row>
        <row r="52">
          <cell r="A52" t="str">
            <v>Greece</v>
          </cell>
          <cell r="B52">
            <v>0.48</v>
          </cell>
          <cell r="C52">
            <v>0.52</v>
          </cell>
        </row>
        <row r="53">
          <cell r="A53" t="str">
            <v>South Africa</v>
          </cell>
          <cell r="B53">
            <v>0.34</v>
          </cell>
          <cell r="C53">
            <v>0.66</v>
          </cell>
        </row>
        <row r="54">
          <cell r="A54" t="str">
            <v>Indonesia</v>
          </cell>
          <cell r="B54">
            <v>0.51</v>
          </cell>
          <cell r="C54">
            <v>0.49</v>
          </cell>
        </row>
        <row r="55">
          <cell r="A55" t="str">
            <v>Costa Rica</v>
          </cell>
        </row>
        <row r="56">
          <cell r="A56" t="str">
            <v>Norway</v>
          </cell>
          <cell r="B56">
            <v>0.37</v>
          </cell>
          <cell r="C56">
            <v>0.63</v>
          </cell>
        </row>
        <row r="57">
          <cell r="A57" t="str">
            <v>Romania</v>
          </cell>
          <cell r="B57">
            <v>0.31</v>
          </cell>
          <cell r="C57">
            <v>0.69</v>
          </cell>
        </row>
        <row r="58">
          <cell r="A58" t="str">
            <v>United Arab Emirates</v>
          </cell>
          <cell r="B58">
            <v>0.61</v>
          </cell>
          <cell r="C58">
            <v>0.39</v>
          </cell>
        </row>
        <row r="59">
          <cell r="A59" t="str">
            <v>Qatar</v>
          </cell>
        </row>
        <row r="60">
          <cell r="A60" t="str">
            <v>Croatia</v>
          </cell>
        </row>
        <row r="61">
          <cell r="A61" t="str">
            <v>Cyprus</v>
          </cell>
        </row>
        <row r="62">
          <cell r="A62" t="str">
            <v>Serbia</v>
          </cell>
          <cell r="B62">
            <v>0.3</v>
          </cell>
          <cell r="C62">
            <v>0.7</v>
          </cell>
        </row>
        <row r="63">
          <cell r="A63" t="str">
            <v>Morocco</v>
          </cell>
          <cell r="B63">
            <v>0.45</v>
          </cell>
          <cell r="C63">
            <v>0.55000000000000004</v>
          </cell>
        </row>
        <row r="64">
          <cell r="A64" t="str">
            <v>Malaysia</v>
          </cell>
          <cell r="B64">
            <v>0.46</v>
          </cell>
          <cell r="C64">
            <v>0.54</v>
          </cell>
        </row>
        <row r="65">
          <cell r="A65" t="str">
            <v>Ukraine</v>
          </cell>
          <cell r="B65">
            <v>0.25</v>
          </cell>
          <cell r="C65">
            <v>0.75</v>
          </cell>
        </row>
        <row r="66">
          <cell r="A66" t="str">
            <v>Russia</v>
          </cell>
          <cell r="B66">
            <v>0.28999999999999998</v>
          </cell>
          <cell r="C66">
            <v>0.71</v>
          </cell>
        </row>
        <row r="67">
          <cell r="A67" t="str">
            <v>Bulgaria</v>
          </cell>
        </row>
        <row r="68">
          <cell r="A68" t="str">
            <v>Nigeria</v>
          </cell>
          <cell r="B68">
            <v>0.42</v>
          </cell>
          <cell r="C68">
            <v>0.57999999999999996</v>
          </cell>
        </row>
        <row r="69">
          <cell r="A69" t="str">
            <v>Poland</v>
          </cell>
          <cell r="B69">
            <v>0.26</v>
          </cell>
          <cell r="C69">
            <v>0.74</v>
          </cell>
        </row>
        <row r="70">
          <cell r="A70" t="str">
            <v>Finland</v>
          </cell>
          <cell r="B70">
            <v>0.5</v>
          </cell>
          <cell r="C70">
            <v>0.5</v>
          </cell>
        </row>
        <row r="71">
          <cell r="A71" t="str">
            <v>Tanzania</v>
          </cell>
        </row>
        <row r="72">
          <cell r="A72" t="str">
            <v>Netherlands</v>
          </cell>
          <cell r="B72">
            <v>0.42</v>
          </cell>
          <cell r="C72">
            <v>0.57999999999999996</v>
          </cell>
        </row>
        <row r="73">
          <cell r="A73" t="str">
            <v>Oman</v>
          </cell>
        </row>
        <row r="74">
          <cell r="A74" t="str">
            <v>Bolivia</v>
          </cell>
          <cell r="B74">
            <v>0.43</v>
          </cell>
          <cell r="C74">
            <v>0.56999999999999995</v>
          </cell>
        </row>
        <row r="75">
          <cell r="A75" t="str">
            <v>Lithuania</v>
          </cell>
        </row>
        <row r="76">
          <cell r="A76" t="str">
            <v>Italy</v>
          </cell>
          <cell r="B76">
            <v>0.31</v>
          </cell>
          <cell r="C76">
            <v>0.69</v>
          </cell>
        </row>
        <row r="77">
          <cell r="A77" t="str">
            <v>Sudan</v>
          </cell>
        </row>
        <row r="78">
          <cell r="A78" t="str">
            <v>Uruguay</v>
          </cell>
        </row>
        <row r="79">
          <cell r="A79" t="str">
            <v>Latvia</v>
          </cell>
        </row>
        <row r="80">
          <cell r="A80" t="str">
            <v>Guatemala</v>
          </cell>
        </row>
        <row r="81">
          <cell r="A81" t="str">
            <v>Spain</v>
          </cell>
          <cell r="B81">
            <v>0.46</v>
          </cell>
          <cell r="C81">
            <v>0.54</v>
          </cell>
        </row>
        <row r="82">
          <cell r="A82" t="str">
            <v>Egypt</v>
          </cell>
          <cell r="B82">
            <v>0.52</v>
          </cell>
          <cell r="C82">
            <v>0.48</v>
          </cell>
        </row>
        <row r="83">
          <cell r="A83" t="str">
            <v>Jordan</v>
          </cell>
        </row>
        <row r="84">
          <cell r="A84" t="str">
            <v>Vietnam</v>
          </cell>
          <cell r="B84">
            <v>0.56999999999999995</v>
          </cell>
          <cell r="C84">
            <v>0.43</v>
          </cell>
        </row>
        <row r="85">
          <cell r="A85" t="str">
            <v>Thailand</v>
          </cell>
          <cell r="B85">
            <v>0.7</v>
          </cell>
          <cell r="C85">
            <v>0.3</v>
          </cell>
        </row>
        <row r="86">
          <cell r="A86" t="str">
            <v>Kazakhstan</v>
          </cell>
        </row>
        <row r="87">
          <cell r="A87" t="str">
            <v>Chile</v>
          </cell>
          <cell r="B87">
            <v>0.62</v>
          </cell>
          <cell r="C87">
            <v>0.38</v>
          </cell>
        </row>
        <row r="88">
          <cell r="A88" t="str">
            <v>Palestine</v>
          </cell>
        </row>
        <row r="89">
          <cell r="A89" t="str">
            <v>Bosnia &amp; Herzegovina</v>
          </cell>
        </row>
        <row r="90">
          <cell r="A90" t="str">
            <v>Argentina</v>
          </cell>
          <cell r="B90">
            <v>0.28999999999999998</v>
          </cell>
          <cell r="C90">
            <v>0.71</v>
          </cell>
        </row>
        <row r="91">
          <cell r="A91" t="str">
            <v>Saudi Arabia</v>
          </cell>
          <cell r="B91">
            <v>0.6</v>
          </cell>
          <cell r="C91">
            <v>0.4</v>
          </cell>
        </row>
        <row r="92">
          <cell r="A92" t="str">
            <v>Colombia</v>
          </cell>
          <cell r="B92">
            <v>0.62</v>
          </cell>
          <cell r="C92">
            <v>0.38</v>
          </cell>
        </row>
        <row r="93">
          <cell r="A93" t="str">
            <v>Venezuela</v>
          </cell>
          <cell r="C93">
            <v>1</v>
          </cell>
        </row>
        <row r="94">
          <cell r="A94" t="str">
            <v>Mexico</v>
          </cell>
          <cell r="B94">
            <v>0.48</v>
          </cell>
          <cell r="C94">
            <v>0.52</v>
          </cell>
        </row>
        <row r="95">
          <cell r="A95" t="str">
            <v>Turkey</v>
          </cell>
          <cell r="B95">
            <v>0.51</v>
          </cell>
          <cell r="C95">
            <v>0.49</v>
          </cell>
        </row>
        <row r="96">
          <cell r="A96" t="str">
            <v>Iraq</v>
          </cell>
        </row>
        <row r="97">
          <cell r="A97" t="str">
            <v>Peru</v>
          </cell>
        </row>
        <row r="98">
          <cell r="A98" t="str">
            <v>Brazil</v>
          </cell>
          <cell r="B98">
            <v>0.52</v>
          </cell>
          <cell r="C98">
            <v>0.48</v>
          </cell>
        </row>
        <row r="99">
          <cell r="A99" t="str">
            <v>American Samoa</v>
          </cell>
        </row>
        <row r="100">
          <cell r="A100" t="str">
            <v>Cuba</v>
          </cell>
        </row>
        <row r="101">
          <cell r="A101" t="str">
            <v>Bhutan</v>
          </cell>
        </row>
        <row r="102">
          <cell r="A102" t="str">
            <v>U.S. Virgin Islands</v>
          </cell>
        </row>
        <row r="103">
          <cell r="A103" t="str">
            <v>Antigua &amp; Barbuda</v>
          </cell>
        </row>
        <row r="104">
          <cell r="A104" t="str">
            <v>St. Vincent &amp; Grenadines</v>
          </cell>
        </row>
        <row r="105">
          <cell r="A105" t="str">
            <v>Bermuda</v>
          </cell>
        </row>
        <row r="106">
          <cell r="A106" t="str">
            <v>Cayman Islands</v>
          </cell>
        </row>
        <row r="107">
          <cell r="A107" t="str">
            <v>Monaco</v>
          </cell>
        </row>
        <row r="108">
          <cell r="A108" t="str">
            <v>Liberia</v>
          </cell>
        </row>
        <row r="109">
          <cell r="A109" t="str">
            <v>Botswana</v>
          </cell>
        </row>
        <row r="110">
          <cell r="A110" t="str">
            <v>Rwanda</v>
          </cell>
        </row>
        <row r="111">
          <cell r="A111" t="str">
            <v>Bahamas</v>
          </cell>
        </row>
        <row r="112">
          <cell r="A112" t="str">
            <v>French Guiana</v>
          </cell>
        </row>
        <row r="113">
          <cell r="A113" t="str">
            <v>Maldives</v>
          </cell>
        </row>
        <row r="114">
          <cell r="A114" t="str">
            <v>Benin</v>
          </cell>
        </row>
        <row r="115">
          <cell r="A115" t="str">
            <v>Jersey</v>
          </cell>
        </row>
        <row r="116">
          <cell r="A116" t="str">
            <v>Zambia</v>
          </cell>
        </row>
        <row r="117">
          <cell r="A117" t="str">
            <v>French Polynesia</v>
          </cell>
        </row>
        <row r="118">
          <cell r="A118" t="str">
            <v>Barbados</v>
          </cell>
        </row>
        <row r="119">
          <cell r="A119" t="str">
            <v>Laos</v>
          </cell>
        </row>
        <row r="120">
          <cell r="A120" t="str">
            <v>Trinidad &amp; Tobago</v>
          </cell>
        </row>
        <row r="121">
          <cell r="A121" t="str">
            <v>Mauritius</v>
          </cell>
        </row>
        <row r="122">
          <cell r="A122" t="str">
            <v>Macao</v>
          </cell>
        </row>
        <row r="123">
          <cell r="A123" t="str">
            <v>Haiti</v>
          </cell>
        </row>
        <row r="124">
          <cell r="A124" t="str">
            <v>Montenegro</v>
          </cell>
        </row>
        <row r="125">
          <cell r="A125" t="str">
            <v>Madagascar</v>
          </cell>
        </row>
        <row r="126">
          <cell r="A126" t="str">
            <v>Jamaica</v>
          </cell>
        </row>
        <row r="127">
          <cell r="A127" t="str">
            <v>Syria</v>
          </cell>
        </row>
        <row r="128">
          <cell r="A128" t="str">
            <v>Congo - Kinshasa</v>
          </cell>
        </row>
        <row r="129">
          <cell r="A129" t="str">
            <v>Afghanistan</v>
          </cell>
        </row>
        <row r="130">
          <cell r="A130" t="str">
            <v>Estonia</v>
          </cell>
        </row>
        <row r="131">
          <cell r="A131" t="str">
            <v>Mongolia</v>
          </cell>
        </row>
        <row r="132">
          <cell r="A132" t="str">
            <v>Bahrain</v>
          </cell>
        </row>
        <row r="133">
          <cell r="A133" t="str">
            <v>Uganda</v>
          </cell>
        </row>
        <row r="134">
          <cell r="A134" t="str">
            <v>Kosovo</v>
          </cell>
        </row>
        <row r="135">
          <cell r="A135" t="str">
            <v>Uzbekistan</v>
          </cell>
        </row>
        <row r="136">
          <cell r="A136" t="str">
            <v>Libya</v>
          </cell>
        </row>
        <row r="137">
          <cell r="A137" t="str">
            <v>Ghana</v>
          </cell>
        </row>
        <row r="138">
          <cell r="A138" t="str">
            <v>Angola</v>
          </cell>
        </row>
        <row r="139">
          <cell r="A139" t="str">
            <v>Malta</v>
          </cell>
        </row>
        <row r="140">
          <cell r="A140" t="str">
            <v>Puerto Rico</v>
          </cell>
        </row>
        <row r="141">
          <cell r="A141" t="str">
            <v>Kyrgyzstan</v>
          </cell>
        </row>
        <row r="142">
          <cell r="A142" t="str">
            <v>CÃ´te dâ€™Ivoire</v>
          </cell>
        </row>
        <row r="143">
          <cell r="A143" t="str">
            <v>Georgia</v>
          </cell>
        </row>
        <row r="144">
          <cell r="A144" t="str">
            <v>Luxembourg</v>
          </cell>
        </row>
        <row r="145">
          <cell r="A145" t="str">
            <v>RÃ©union</v>
          </cell>
        </row>
        <row r="146">
          <cell r="A146" t="str">
            <v>Armenia</v>
          </cell>
        </row>
        <row r="147">
          <cell r="A147" t="str">
            <v>Kuwait</v>
          </cell>
        </row>
        <row r="148">
          <cell r="A148" t="str">
            <v>Albania</v>
          </cell>
        </row>
        <row r="149">
          <cell r="A149" t="str">
            <v>Paraguay</v>
          </cell>
        </row>
        <row r="150">
          <cell r="A150" t="str">
            <v>Yemen</v>
          </cell>
        </row>
        <row r="151">
          <cell r="A151" t="str">
            <v>Panama</v>
          </cell>
        </row>
        <row r="152">
          <cell r="A152" t="str">
            <v>Ecuador</v>
          </cell>
        </row>
        <row r="153">
          <cell r="A153" t="str">
            <v>Dominican Republic</v>
          </cell>
        </row>
        <row r="154">
          <cell r="A154" t="str">
            <v>Azerbaijan</v>
          </cell>
        </row>
        <row r="155">
          <cell r="A155" t="str">
            <v>Aruba</v>
          </cell>
        </row>
        <row r="156">
          <cell r="A156" t="str">
            <v>Anguilla</v>
          </cell>
        </row>
        <row r="157">
          <cell r="A157" t="str">
            <v>Ã…land Islands</v>
          </cell>
        </row>
        <row r="158">
          <cell r="A158" t="str">
            <v>Andorra</v>
          </cell>
        </row>
        <row r="159">
          <cell r="A159" t="str">
            <v>Antarctica</v>
          </cell>
        </row>
        <row r="160">
          <cell r="A160" t="str">
            <v>French Southern Territories</v>
          </cell>
        </row>
        <row r="161">
          <cell r="A161" t="str">
            <v>Burundi</v>
          </cell>
        </row>
        <row r="162">
          <cell r="A162" t="str">
            <v>Caribbean Netherlands</v>
          </cell>
        </row>
        <row r="163">
          <cell r="A163" t="str">
            <v>Burkina Faso</v>
          </cell>
        </row>
        <row r="164">
          <cell r="A164" t="str">
            <v>St. BarthÃ©lemy</v>
          </cell>
        </row>
        <row r="165">
          <cell r="A165" t="str">
            <v>Belize</v>
          </cell>
        </row>
        <row r="166">
          <cell r="A166" t="str">
            <v>Brunei</v>
          </cell>
        </row>
        <row r="167">
          <cell r="A167" t="str">
            <v>Bouvet Island</v>
          </cell>
        </row>
        <row r="168">
          <cell r="A168" t="str">
            <v>Central African Republic</v>
          </cell>
        </row>
        <row r="169">
          <cell r="A169" t="str">
            <v>Cocos (Keeling) Islands</v>
          </cell>
        </row>
        <row r="170">
          <cell r="A170" t="str">
            <v>Congo - Brazzaville</v>
          </cell>
        </row>
        <row r="171">
          <cell r="A171" t="str">
            <v>Cook Islands</v>
          </cell>
        </row>
        <row r="172">
          <cell r="A172" t="str">
            <v>Comoros</v>
          </cell>
        </row>
        <row r="173">
          <cell r="A173" t="str">
            <v>Cape Verde</v>
          </cell>
        </row>
        <row r="174">
          <cell r="A174" t="str">
            <v>CuraÃ§ao</v>
          </cell>
        </row>
        <row r="175">
          <cell r="A175" t="str">
            <v>Christmas Island</v>
          </cell>
        </row>
        <row r="176">
          <cell r="A176" t="str">
            <v>Djibouti</v>
          </cell>
        </row>
        <row r="177">
          <cell r="A177" t="str">
            <v>Dominica</v>
          </cell>
        </row>
        <row r="178">
          <cell r="A178" t="str">
            <v>Eritrea</v>
          </cell>
        </row>
        <row r="179">
          <cell r="A179" t="str">
            <v>Western Sahara</v>
          </cell>
        </row>
        <row r="180">
          <cell r="A180" t="str">
            <v>Falkland Islands (Islas Malvinas)</v>
          </cell>
        </row>
        <row r="181">
          <cell r="A181" t="str">
            <v>Faroe Islands</v>
          </cell>
        </row>
        <row r="182">
          <cell r="A182" t="str">
            <v>Micronesia</v>
          </cell>
        </row>
        <row r="183">
          <cell r="A183" t="str">
            <v>Gabon</v>
          </cell>
        </row>
        <row r="184">
          <cell r="A184" t="str">
            <v>Guernsey</v>
          </cell>
        </row>
        <row r="185">
          <cell r="A185" t="str">
            <v>Gibraltar</v>
          </cell>
        </row>
        <row r="186">
          <cell r="A186" t="str">
            <v>Guinea</v>
          </cell>
        </row>
        <row r="187">
          <cell r="A187" t="str">
            <v>Guadeloupe</v>
          </cell>
        </row>
        <row r="188">
          <cell r="A188" t="str">
            <v>Gambia</v>
          </cell>
        </row>
        <row r="189">
          <cell r="A189" t="str">
            <v>Guinea-Bissau</v>
          </cell>
        </row>
        <row r="190">
          <cell r="A190" t="str">
            <v>Equatorial Guinea</v>
          </cell>
        </row>
        <row r="191">
          <cell r="A191" t="str">
            <v>Grenada</v>
          </cell>
        </row>
        <row r="192">
          <cell r="A192" t="str">
            <v>Greenland</v>
          </cell>
        </row>
        <row r="193">
          <cell r="A193" t="str">
            <v>Guam</v>
          </cell>
        </row>
        <row r="194">
          <cell r="A194" t="str">
            <v>Guyana</v>
          </cell>
        </row>
        <row r="195">
          <cell r="A195" t="str">
            <v>Heard &amp; McDonald Islands</v>
          </cell>
        </row>
        <row r="196">
          <cell r="A196" t="str">
            <v>Honduras</v>
          </cell>
        </row>
        <row r="197">
          <cell r="A197" t="str">
            <v>Isle of Man</v>
          </cell>
        </row>
        <row r="198">
          <cell r="A198" t="str">
            <v>British Indian Ocean Territory</v>
          </cell>
        </row>
        <row r="199">
          <cell r="A199" t="str">
            <v>Kiribati</v>
          </cell>
        </row>
        <row r="200">
          <cell r="A200" t="str">
            <v>St. Kitts &amp; Nevis</v>
          </cell>
        </row>
        <row r="201">
          <cell r="A201" t="str">
            <v>St. Lucia</v>
          </cell>
        </row>
        <row r="202">
          <cell r="A202" t="str">
            <v>Liechtenstein</v>
          </cell>
        </row>
        <row r="203">
          <cell r="A203" t="str">
            <v>Lesotho</v>
          </cell>
        </row>
        <row r="204">
          <cell r="A204" t="str">
            <v>St. Martin</v>
          </cell>
        </row>
        <row r="205">
          <cell r="A205" t="str">
            <v>Marshall Islands</v>
          </cell>
        </row>
        <row r="206">
          <cell r="A206" t="str">
            <v>Mali</v>
          </cell>
        </row>
        <row r="207">
          <cell r="A207" t="str">
            <v>Northern Mariana Islands</v>
          </cell>
        </row>
        <row r="208">
          <cell r="A208" t="str">
            <v>Mozambique</v>
          </cell>
        </row>
        <row r="209">
          <cell r="A209" t="str">
            <v>Mauritania</v>
          </cell>
        </row>
        <row r="210">
          <cell r="A210" t="str">
            <v>Montserrat</v>
          </cell>
        </row>
        <row r="211">
          <cell r="A211" t="str">
            <v>Martinique</v>
          </cell>
        </row>
        <row r="212">
          <cell r="A212" t="str">
            <v>Malawi</v>
          </cell>
        </row>
        <row r="213">
          <cell r="A213" t="str">
            <v>Mayotte</v>
          </cell>
        </row>
        <row r="214">
          <cell r="A214" t="str">
            <v>Namibia</v>
          </cell>
        </row>
        <row r="215">
          <cell r="A215" t="str">
            <v>New Caledonia</v>
          </cell>
        </row>
        <row r="216">
          <cell r="A216" t="str">
            <v>Niger</v>
          </cell>
        </row>
        <row r="217">
          <cell r="A217" t="str">
            <v>Norfolk Island</v>
          </cell>
        </row>
        <row r="218">
          <cell r="A218" t="str">
            <v>Nicaragua</v>
          </cell>
        </row>
        <row r="219">
          <cell r="A219" t="str">
            <v>Niue</v>
          </cell>
        </row>
        <row r="220">
          <cell r="A220" t="str">
            <v>Nauru</v>
          </cell>
        </row>
        <row r="221">
          <cell r="A221" t="str">
            <v>Pitcairn Islands</v>
          </cell>
        </row>
        <row r="222">
          <cell r="A222" t="str">
            <v>Palau</v>
          </cell>
        </row>
        <row r="223">
          <cell r="A223" t="str">
            <v>Papua New Guinea</v>
          </cell>
        </row>
        <row r="224">
          <cell r="A224" t="str">
            <v>North Korea</v>
          </cell>
        </row>
        <row r="225">
          <cell r="A225" t="str">
            <v>South Georgia &amp; South Sandwich Islands</v>
          </cell>
        </row>
        <row r="226">
          <cell r="A226" t="str">
            <v>Svalbard &amp; Jan Mayen</v>
          </cell>
        </row>
        <row r="227">
          <cell r="A227" t="str">
            <v>Solomon Islands</v>
          </cell>
        </row>
        <row r="228">
          <cell r="A228" t="str">
            <v>Sierra Leone</v>
          </cell>
        </row>
        <row r="229">
          <cell r="A229" t="str">
            <v>El Salvador</v>
          </cell>
        </row>
        <row r="230">
          <cell r="A230" t="str">
            <v>San Marino</v>
          </cell>
        </row>
        <row r="231">
          <cell r="A231" t="str">
            <v>Somalia</v>
          </cell>
        </row>
        <row r="232">
          <cell r="A232" t="str">
            <v>St. Pierre &amp; Miquelon</v>
          </cell>
        </row>
        <row r="233">
          <cell r="A233" t="str">
            <v>South Sudan</v>
          </cell>
        </row>
        <row r="234">
          <cell r="A234" t="str">
            <v>SÃ£o TomÃ© &amp; PrÃ­ncipe</v>
          </cell>
        </row>
        <row r="235">
          <cell r="A235" t="str">
            <v>Suriname</v>
          </cell>
        </row>
        <row r="236">
          <cell r="A236" t="str">
            <v>Eswatini</v>
          </cell>
        </row>
        <row r="237">
          <cell r="A237" t="str">
            <v>Sint Maarten</v>
          </cell>
        </row>
        <row r="238">
          <cell r="A238" t="str">
            <v>Seychelles</v>
          </cell>
        </row>
        <row r="239">
          <cell r="A239" t="str">
            <v>Turks &amp; Caicos Islands</v>
          </cell>
        </row>
        <row r="240">
          <cell r="A240" t="str">
            <v>Chad</v>
          </cell>
        </row>
        <row r="241">
          <cell r="A241" t="str">
            <v>Togo</v>
          </cell>
        </row>
        <row r="242">
          <cell r="A242" t="str">
            <v>Tajikistan</v>
          </cell>
        </row>
        <row r="243">
          <cell r="A243" t="str">
            <v>Tokelau</v>
          </cell>
        </row>
        <row r="244">
          <cell r="A244" t="str">
            <v>Turkmenistan</v>
          </cell>
        </row>
        <row r="245">
          <cell r="A245" t="str">
            <v>Timor-Leste</v>
          </cell>
        </row>
        <row r="246">
          <cell r="A246" t="str">
            <v>Tonga</v>
          </cell>
        </row>
        <row r="247">
          <cell r="A247" t="str">
            <v>Tuvalu</v>
          </cell>
        </row>
        <row r="248">
          <cell r="A248" t="str">
            <v>U.S. Outlying Islands</v>
          </cell>
        </row>
        <row r="249">
          <cell r="A249" t="str">
            <v>Vatican City</v>
          </cell>
        </row>
        <row r="250">
          <cell r="A250" t="str">
            <v>British Virgin Islands</v>
          </cell>
        </row>
        <row r="251">
          <cell r="A251" t="str">
            <v>Vanuatu</v>
          </cell>
        </row>
        <row r="252">
          <cell r="A252" t="str">
            <v>Wallis &amp; Futuna</v>
          </cell>
        </row>
        <row r="253">
          <cell r="A253" t="str">
            <v>Samoa</v>
          </cell>
        </row>
      </sheetData>
    </sheetDataSet>
  </externalBook>
</externalLink>
</file>

<file path=xl/externalLinks/externalLink3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33)"/>
    </sheetNames>
    <sheetDataSet>
      <sheetData sheetId="0">
        <row r="1">
          <cell r="A1" t="str">
            <v>Category: All categories</v>
          </cell>
        </row>
        <row r="3">
          <cell r="A3" t="str">
            <v>Country</v>
          </cell>
          <cell r="B3" t="str">
            <v>Logistic regression: (2014)</v>
          </cell>
          <cell r="C3" t="str">
            <v>Null pointer: (2014)</v>
          </cell>
        </row>
        <row r="4">
          <cell r="A4" t="str">
            <v>Ethiopia</v>
          </cell>
          <cell r="B4">
            <v>1</v>
          </cell>
        </row>
        <row r="5">
          <cell r="A5" t="str">
            <v>Rwanda</v>
          </cell>
        </row>
        <row r="6">
          <cell r="A6" t="str">
            <v>Malawi</v>
          </cell>
        </row>
        <row r="7">
          <cell r="A7" t="str">
            <v>China</v>
          </cell>
          <cell r="B7">
            <v>0.66</v>
          </cell>
          <cell r="C7">
            <v>0.34</v>
          </cell>
        </row>
        <row r="8">
          <cell r="A8" t="str">
            <v>South Korea</v>
          </cell>
          <cell r="B8">
            <v>0.75</v>
          </cell>
          <cell r="C8">
            <v>0.25</v>
          </cell>
        </row>
        <row r="9">
          <cell r="A9" t="str">
            <v>Zambia</v>
          </cell>
        </row>
        <row r="10">
          <cell r="A10" t="str">
            <v>Ghana</v>
          </cell>
          <cell r="B10">
            <v>1</v>
          </cell>
        </row>
        <row r="11">
          <cell r="A11" t="str">
            <v>Uganda</v>
          </cell>
        </row>
        <row r="12">
          <cell r="A12" t="str">
            <v>Cameroon</v>
          </cell>
        </row>
        <row r="13">
          <cell r="A13" t="str">
            <v>Zimbabwe</v>
          </cell>
        </row>
        <row r="14">
          <cell r="A14" t="str">
            <v>St. Helena</v>
          </cell>
        </row>
        <row r="15">
          <cell r="A15" t="str">
            <v>India</v>
          </cell>
          <cell r="B15">
            <v>0.3</v>
          </cell>
          <cell r="C15">
            <v>0.7</v>
          </cell>
        </row>
        <row r="16">
          <cell r="A16" t="str">
            <v>Singapore</v>
          </cell>
          <cell r="B16">
            <v>0.46</v>
          </cell>
          <cell r="C16">
            <v>0.54</v>
          </cell>
        </row>
        <row r="17">
          <cell r="A17" t="str">
            <v>Kenya</v>
          </cell>
          <cell r="B17">
            <v>0.74</v>
          </cell>
          <cell r="C17">
            <v>0.26</v>
          </cell>
        </row>
        <row r="18">
          <cell r="A18" t="str">
            <v>Hong Kong</v>
          </cell>
          <cell r="B18">
            <v>0.67</v>
          </cell>
          <cell r="C18">
            <v>0.33</v>
          </cell>
        </row>
        <row r="19">
          <cell r="A19" t="str">
            <v>Mauritius</v>
          </cell>
        </row>
        <row r="20">
          <cell r="A20" t="str">
            <v>Iceland</v>
          </cell>
        </row>
        <row r="21">
          <cell r="A21" t="str">
            <v>Sri Lanka</v>
          </cell>
          <cell r="B21">
            <v>0.5</v>
          </cell>
          <cell r="C21">
            <v>0.5</v>
          </cell>
        </row>
        <row r="22">
          <cell r="A22" t="str">
            <v>Tanzania</v>
          </cell>
          <cell r="B22">
            <v>1</v>
          </cell>
        </row>
        <row r="23">
          <cell r="A23" t="str">
            <v>Netherlands</v>
          </cell>
          <cell r="B23">
            <v>0.8</v>
          </cell>
          <cell r="C23">
            <v>0.2</v>
          </cell>
        </row>
        <row r="24">
          <cell r="A24" t="str">
            <v>United States</v>
          </cell>
          <cell r="B24">
            <v>0.54</v>
          </cell>
          <cell r="C24">
            <v>0.46</v>
          </cell>
        </row>
        <row r="25">
          <cell r="A25" t="str">
            <v>Taiwan</v>
          </cell>
          <cell r="B25">
            <v>0.81</v>
          </cell>
          <cell r="C25">
            <v>0.19</v>
          </cell>
        </row>
        <row r="26">
          <cell r="A26" t="str">
            <v>Nepal</v>
          </cell>
        </row>
        <row r="27">
          <cell r="A27" t="str">
            <v>Israel</v>
          </cell>
          <cell r="B27">
            <v>0.35</v>
          </cell>
          <cell r="C27">
            <v>0.65</v>
          </cell>
        </row>
        <row r="28">
          <cell r="A28" t="str">
            <v>Luxembourg</v>
          </cell>
        </row>
        <row r="29">
          <cell r="A29" t="str">
            <v>Denmark</v>
          </cell>
          <cell r="B29">
            <v>0.72</v>
          </cell>
          <cell r="C29">
            <v>0.28000000000000003</v>
          </cell>
        </row>
        <row r="30">
          <cell r="A30" t="str">
            <v>Ireland</v>
          </cell>
          <cell r="B30">
            <v>0.47</v>
          </cell>
          <cell r="C30">
            <v>0.53</v>
          </cell>
        </row>
        <row r="31">
          <cell r="A31" t="str">
            <v>Canada</v>
          </cell>
          <cell r="B31">
            <v>0.51</v>
          </cell>
          <cell r="C31">
            <v>0.49</v>
          </cell>
        </row>
        <row r="32">
          <cell r="A32" t="str">
            <v>Australia</v>
          </cell>
          <cell r="B32">
            <v>0.56000000000000005</v>
          </cell>
          <cell r="C32">
            <v>0.44</v>
          </cell>
        </row>
        <row r="33">
          <cell r="A33" t="str">
            <v>Switzerland</v>
          </cell>
          <cell r="B33">
            <v>0.6</v>
          </cell>
          <cell r="C33">
            <v>0.4</v>
          </cell>
        </row>
        <row r="34">
          <cell r="A34" t="str">
            <v>New Zealand</v>
          </cell>
          <cell r="B34">
            <v>0.46</v>
          </cell>
          <cell r="C34">
            <v>0.54</v>
          </cell>
        </row>
        <row r="35">
          <cell r="A35" t="str">
            <v>Nigeria</v>
          </cell>
          <cell r="B35">
            <v>0.78</v>
          </cell>
          <cell r="C35">
            <v>0.22</v>
          </cell>
        </row>
        <row r="36">
          <cell r="A36" t="str">
            <v>Belgium</v>
          </cell>
          <cell r="B36">
            <v>0.66</v>
          </cell>
          <cell r="C36">
            <v>0.34</v>
          </cell>
        </row>
        <row r="37">
          <cell r="A37" t="str">
            <v>Philippines</v>
          </cell>
          <cell r="B37">
            <v>0.37</v>
          </cell>
          <cell r="C37">
            <v>0.63</v>
          </cell>
        </row>
        <row r="38">
          <cell r="A38" t="str">
            <v>South Africa</v>
          </cell>
          <cell r="B38">
            <v>0.53</v>
          </cell>
          <cell r="C38">
            <v>0.47</v>
          </cell>
        </row>
        <row r="39">
          <cell r="A39" t="str">
            <v>Estonia</v>
          </cell>
        </row>
        <row r="40">
          <cell r="A40" t="str">
            <v>North Macedonia</v>
          </cell>
        </row>
        <row r="41">
          <cell r="A41" t="str">
            <v>Sweden</v>
          </cell>
          <cell r="B41">
            <v>0.6</v>
          </cell>
          <cell r="C41">
            <v>0.4</v>
          </cell>
        </row>
        <row r="42">
          <cell r="A42" t="str">
            <v>Finland</v>
          </cell>
          <cell r="B42">
            <v>0.56000000000000005</v>
          </cell>
          <cell r="C42">
            <v>0.44</v>
          </cell>
        </row>
        <row r="43">
          <cell r="A43" t="str">
            <v>Iran</v>
          </cell>
          <cell r="B43">
            <v>0.72</v>
          </cell>
          <cell r="C43">
            <v>0.28000000000000003</v>
          </cell>
        </row>
        <row r="44">
          <cell r="A44" t="str">
            <v>Norway</v>
          </cell>
          <cell r="B44">
            <v>0.63</v>
          </cell>
          <cell r="C44">
            <v>0.37</v>
          </cell>
        </row>
        <row r="45">
          <cell r="A45" t="str">
            <v>United Kingdom</v>
          </cell>
          <cell r="B45">
            <v>0.49</v>
          </cell>
          <cell r="C45">
            <v>0.51</v>
          </cell>
        </row>
        <row r="46">
          <cell r="A46" t="str">
            <v>Myanmar (Burma)</v>
          </cell>
        </row>
        <row r="47">
          <cell r="A47" t="str">
            <v>Malaysia</v>
          </cell>
          <cell r="B47">
            <v>0.56999999999999995</v>
          </cell>
          <cell r="C47">
            <v>0.43</v>
          </cell>
        </row>
        <row r="48">
          <cell r="A48" t="str">
            <v>Pakistan</v>
          </cell>
          <cell r="B48">
            <v>0.49</v>
          </cell>
          <cell r="C48">
            <v>0.51</v>
          </cell>
        </row>
        <row r="49">
          <cell r="A49" t="str">
            <v>Bangladesh</v>
          </cell>
          <cell r="B49">
            <v>0.5</v>
          </cell>
          <cell r="C49">
            <v>0.5</v>
          </cell>
        </row>
        <row r="50">
          <cell r="A50" t="str">
            <v>Indonesia</v>
          </cell>
          <cell r="B50">
            <v>0.8</v>
          </cell>
          <cell r="C50">
            <v>0.2</v>
          </cell>
        </row>
        <row r="51">
          <cell r="A51" t="str">
            <v>Japan</v>
          </cell>
          <cell r="B51">
            <v>0.74</v>
          </cell>
          <cell r="C51">
            <v>0.26</v>
          </cell>
        </row>
        <row r="52">
          <cell r="A52" t="str">
            <v>Cyprus</v>
          </cell>
        </row>
        <row r="53">
          <cell r="A53" t="str">
            <v>Jamaica</v>
          </cell>
        </row>
        <row r="54">
          <cell r="A54" t="str">
            <v>Austria</v>
          </cell>
          <cell r="B54">
            <v>0.53</v>
          </cell>
          <cell r="C54">
            <v>0.47</v>
          </cell>
        </row>
        <row r="55">
          <cell r="A55" t="str">
            <v>Portugal</v>
          </cell>
          <cell r="B55">
            <v>0.63</v>
          </cell>
          <cell r="C55">
            <v>0.37</v>
          </cell>
        </row>
        <row r="56">
          <cell r="A56" t="str">
            <v>Puerto Rico</v>
          </cell>
        </row>
        <row r="57">
          <cell r="A57" t="str">
            <v>Lebanon</v>
          </cell>
        </row>
        <row r="58">
          <cell r="A58" t="str">
            <v>Germany</v>
          </cell>
          <cell r="B58">
            <v>0.56000000000000005</v>
          </cell>
          <cell r="C58">
            <v>0.44</v>
          </cell>
        </row>
        <row r="59">
          <cell r="A59" t="str">
            <v>Laos</v>
          </cell>
        </row>
        <row r="60">
          <cell r="A60" t="str">
            <v>Tunisia</v>
          </cell>
        </row>
        <row r="61">
          <cell r="A61" t="str">
            <v>Serbia</v>
          </cell>
        </row>
        <row r="62">
          <cell r="A62" t="str">
            <v>Slovenia</v>
          </cell>
        </row>
        <row r="63">
          <cell r="A63" t="str">
            <v>Peru</v>
          </cell>
        </row>
        <row r="64">
          <cell r="A64" t="str">
            <v>Chile</v>
          </cell>
          <cell r="B64">
            <v>0.77</v>
          </cell>
          <cell r="C64">
            <v>0.23</v>
          </cell>
        </row>
        <row r="65">
          <cell r="A65" t="str">
            <v>Czechia</v>
          </cell>
          <cell r="B65">
            <v>0.46</v>
          </cell>
          <cell r="C65">
            <v>0.54</v>
          </cell>
        </row>
        <row r="66">
          <cell r="A66" t="str">
            <v>Lithuania</v>
          </cell>
        </row>
        <row r="67">
          <cell r="A67" t="str">
            <v>Romania</v>
          </cell>
          <cell r="B67">
            <v>0.31</v>
          </cell>
          <cell r="C67">
            <v>0.69</v>
          </cell>
        </row>
        <row r="68">
          <cell r="A68" t="str">
            <v>Vietnam</v>
          </cell>
          <cell r="B68">
            <v>0.18</v>
          </cell>
          <cell r="C68">
            <v>0.82</v>
          </cell>
        </row>
        <row r="69">
          <cell r="A69" t="str">
            <v>United Arab Emirates</v>
          </cell>
          <cell r="B69">
            <v>0.43</v>
          </cell>
          <cell r="C69">
            <v>0.56999999999999995</v>
          </cell>
        </row>
        <row r="70">
          <cell r="A70" t="str">
            <v>Bulgaria</v>
          </cell>
        </row>
        <row r="71">
          <cell r="A71" t="str">
            <v>Qatar</v>
          </cell>
        </row>
        <row r="72">
          <cell r="A72" t="str">
            <v>Belarus</v>
          </cell>
        </row>
        <row r="73">
          <cell r="A73" t="str">
            <v>Croatia</v>
          </cell>
          <cell r="B73">
            <v>0.45</v>
          </cell>
          <cell r="C73">
            <v>0.55000000000000004</v>
          </cell>
        </row>
        <row r="74">
          <cell r="A74" t="str">
            <v>Slovakia</v>
          </cell>
        </row>
        <row r="75">
          <cell r="A75" t="str">
            <v>Uruguay</v>
          </cell>
        </row>
        <row r="76">
          <cell r="A76" t="str">
            <v>Greece</v>
          </cell>
          <cell r="B76">
            <v>0.57999999999999996</v>
          </cell>
          <cell r="C76">
            <v>0.42</v>
          </cell>
        </row>
        <row r="77">
          <cell r="A77" t="str">
            <v>Costa Rica</v>
          </cell>
        </row>
        <row r="78">
          <cell r="A78" t="str">
            <v>Ecuador</v>
          </cell>
          <cell r="B78">
            <v>1</v>
          </cell>
        </row>
        <row r="79">
          <cell r="A79" t="str">
            <v>Thailand</v>
          </cell>
          <cell r="B79">
            <v>0.75</v>
          </cell>
          <cell r="C79">
            <v>0.25</v>
          </cell>
        </row>
        <row r="80">
          <cell r="A80" t="str">
            <v>France</v>
          </cell>
          <cell r="B80">
            <v>0.64</v>
          </cell>
          <cell r="C80">
            <v>0.36</v>
          </cell>
        </row>
        <row r="81">
          <cell r="A81" t="str">
            <v>Spain</v>
          </cell>
          <cell r="B81">
            <v>0.63</v>
          </cell>
          <cell r="C81">
            <v>0.37</v>
          </cell>
        </row>
        <row r="82">
          <cell r="A82" t="str">
            <v>Latvia</v>
          </cell>
        </row>
        <row r="83">
          <cell r="A83" t="str">
            <v>Colombia</v>
          </cell>
          <cell r="B83">
            <v>0.72</v>
          </cell>
          <cell r="C83">
            <v>0.28000000000000003</v>
          </cell>
        </row>
        <row r="84">
          <cell r="A84" t="str">
            <v>Morocco</v>
          </cell>
        </row>
        <row r="85">
          <cell r="A85" t="str">
            <v>Italy</v>
          </cell>
          <cell r="B85">
            <v>0.67</v>
          </cell>
          <cell r="C85">
            <v>0.33</v>
          </cell>
        </row>
        <row r="86">
          <cell r="A86" t="str">
            <v>Poland</v>
          </cell>
          <cell r="B86">
            <v>0.46</v>
          </cell>
          <cell r="C86">
            <v>0.54</v>
          </cell>
        </row>
        <row r="87">
          <cell r="A87" t="str">
            <v>Hungary</v>
          </cell>
          <cell r="B87">
            <v>0.42</v>
          </cell>
          <cell r="C87">
            <v>0.57999999999999996</v>
          </cell>
        </row>
        <row r="88">
          <cell r="A88" t="str">
            <v>Ukraine</v>
          </cell>
        </row>
        <row r="89">
          <cell r="A89" t="str">
            <v>Mexico</v>
          </cell>
          <cell r="B89">
            <v>0.67</v>
          </cell>
          <cell r="C89">
            <v>0.33</v>
          </cell>
        </row>
        <row r="90">
          <cell r="A90" t="str">
            <v>Egypt</v>
          </cell>
          <cell r="B90">
            <v>0.42</v>
          </cell>
          <cell r="C90">
            <v>0.57999999999999996</v>
          </cell>
        </row>
        <row r="91">
          <cell r="A91" t="str">
            <v>Russia</v>
          </cell>
          <cell r="B91">
            <v>0.52</v>
          </cell>
          <cell r="C91">
            <v>0.48</v>
          </cell>
        </row>
        <row r="92">
          <cell r="A92" t="str">
            <v>Bosnia &amp; Herzegovina</v>
          </cell>
        </row>
        <row r="93">
          <cell r="A93" t="str">
            <v>Brazil</v>
          </cell>
          <cell r="B93">
            <v>0.6</v>
          </cell>
          <cell r="C93">
            <v>0.4</v>
          </cell>
        </row>
        <row r="94">
          <cell r="A94" t="str">
            <v>Argentina</v>
          </cell>
          <cell r="B94">
            <v>0.4</v>
          </cell>
          <cell r="C94">
            <v>0.6</v>
          </cell>
        </row>
        <row r="95">
          <cell r="A95" t="str">
            <v>Saudi Arabia</v>
          </cell>
        </row>
        <row r="96">
          <cell r="A96" t="str">
            <v>Turkey</v>
          </cell>
          <cell r="B96">
            <v>0.62</v>
          </cell>
          <cell r="C96">
            <v>0.38</v>
          </cell>
        </row>
        <row r="97">
          <cell r="A97" t="str">
            <v>Iraq</v>
          </cell>
        </row>
        <row r="98">
          <cell r="A98" t="str">
            <v>Algeria</v>
          </cell>
        </row>
        <row r="99">
          <cell r="A99" t="str">
            <v>Tonga</v>
          </cell>
        </row>
        <row r="100">
          <cell r="A100" t="str">
            <v>Samoa</v>
          </cell>
        </row>
        <row r="101">
          <cell r="A101" t="str">
            <v>Burundi</v>
          </cell>
        </row>
        <row r="102">
          <cell r="A102" t="str">
            <v>Sint Maarten</v>
          </cell>
        </row>
        <row r="103">
          <cell r="A103" t="str">
            <v>Northern Mariana Islands</v>
          </cell>
        </row>
        <row r="104">
          <cell r="A104" t="str">
            <v>Botswana</v>
          </cell>
        </row>
        <row r="105">
          <cell r="A105" t="str">
            <v>Benin</v>
          </cell>
        </row>
        <row r="106">
          <cell r="A106" t="str">
            <v>Lesotho</v>
          </cell>
        </row>
        <row r="107">
          <cell r="A107" t="str">
            <v>St. Kitts &amp; Nevis</v>
          </cell>
        </row>
        <row r="108">
          <cell r="A108" t="str">
            <v>South Sudan</v>
          </cell>
        </row>
        <row r="109">
          <cell r="A109" t="str">
            <v>Bhutan</v>
          </cell>
        </row>
        <row r="110">
          <cell r="A110" t="str">
            <v>Ã…land Islands</v>
          </cell>
        </row>
        <row r="111">
          <cell r="A111" t="str">
            <v>Gambia</v>
          </cell>
        </row>
        <row r="112">
          <cell r="A112" t="str">
            <v>Cuba</v>
          </cell>
        </row>
        <row r="113">
          <cell r="A113" t="str">
            <v>Sierra Leone</v>
          </cell>
        </row>
        <row r="114">
          <cell r="A114" t="str">
            <v>Congo - Kinshasa</v>
          </cell>
        </row>
        <row r="115">
          <cell r="A115" t="str">
            <v>French Guiana</v>
          </cell>
        </row>
        <row r="116">
          <cell r="A116" t="str">
            <v>Bermuda</v>
          </cell>
        </row>
        <row r="117">
          <cell r="A117" t="str">
            <v>Burkina Faso</v>
          </cell>
        </row>
        <row r="118">
          <cell r="A118" t="str">
            <v>Togo</v>
          </cell>
        </row>
        <row r="119">
          <cell r="A119" t="str">
            <v>Jersey</v>
          </cell>
        </row>
        <row r="120">
          <cell r="A120" t="str">
            <v>Senegal</v>
          </cell>
        </row>
        <row r="121">
          <cell r="A121" t="str">
            <v>Haiti</v>
          </cell>
        </row>
        <row r="122">
          <cell r="A122" t="str">
            <v>Liberia</v>
          </cell>
        </row>
        <row r="123">
          <cell r="A123" t="str">
            <v>Barbados</v>
          </cell>
        </row>
        <row r="124">
          <cell r="A124" t="str">
            <v>Macao</v>
          </cell>
        </row>
        <row r="125">
          <cell r="A125" t="str">
            <v>Suriname</v>
          </cell>
        </row>
        <row r="126">
          <cell r="A126" t="str">
            <v>Congo - Brazzaville</v>
          </cell>
        </row>
        <row r="127">
          <cell r="A127" t="str">
            <v>Somalia</v>
          </cell>
        </row>
        <row r="128">
          <cell r="A128" t="str">
            <v>Namibia</v>
          </cell>
        </row>
        <row r="129">
          <cell r="A129" t="str">
            <v>Mozambique</v>
          </cell>
        </row>
        <row r="130">
          <cell r="A130" t="str">
            <v>Papua New Guinea</v>
          </cell>
        </row>
        <row r="131">
          <cell r="A131" t="str">
            <v>Gabon</v>
          </cell>
        </row>
        <row r="132">
          <cell r="A132" t="str">
            <v>CuraÃ§ao</v>
          </cell>
        </row>
        <row r="133">
          <cell r="A133" t="str">
            <v>Palestine</v>
          </cell>
        </row>
        <row r="134">
          <cell r="A134" t="str">
            <v>Trinidad &amp; Tobago</v>
          </cell>
        </row>
        <row r="135">
          <cell r="A135" t="str">
            <v>CÃ´te dâ€™Ivoire</v>
          </cell>
        </row>
        <row r="136">
          <cell r="A136" t="str">
            <v>Madagascar</v>
          </cell>
        </row>
        <row r="137">
          <cell r="A137" t="str">
            <v>Guam</v>
          </cell>
        </row>
        <row r="138">
          <cell r="A138" t="str">
            <v>Maldives</v>
          </cell>
        </row>
        <row r="139">
          <cell r="A139" t="str">
            <v>Malta</v>
          </cell>
        </row>
        <row r="140">
          <cell r="A140" t="str">
            <v>Afghanistan</v>
          </cell>
        </row>
        <row r="141">
          <cell r="A141" t="str">
            <v>Mali</v>
          </cell>
        </row>
        <row r="142">
          <cell r="A142" t="str">
            <v>Bahamas</v>
          </cell>
        </row>
        <row r="143">
          <cell r="A143" t="str">
            <v>Armenia</v>
          </cell>
        </row>
        <row r="144">
          <cell r="A144" t="str">
            <v>Kyrgyzstan</v>
          </cell>
        </row>
        <row r="145">
          <cell r="A145" t="str">
            <v>Paraguay</v>
          </cell>
        </row>
        <row r="146">
          <cell r="A146" t="str">
            <v>Albania</v>
          </cell>
        </row>
        <row r="147">
          <cell r="A147" t="str">
            <v>Guadeloupe</v>
          </cell>
        </row>
        <row r="148">
          <cell r="A148" t="str">
            <v>Nicaragua</v>
          </cell>
        </row>
        <row r="149">
          <cell r="A149" t="str">
            <v>Syria</v>
          </cell>
        </row>
        <row r="150">
          <cell r="A150" t="str">
            <v>Sudan</v>
          </cell>
        </row>
        <row r="151">
          <cell r="A151" t="str">
            <v>Jordan</v>
          </cell>
        </row>
        <row r="152">
          <cell r="A152" t="str">
            <v>Montenegro</v>
          </cell>
        </row>
        <row r="153">
          <cell r="A153" t="str">
            <v>Mongolia</v>
          </cell>
        </row>
        <row r="154">
          <cell r="A154" t="str">
            <v>Kuwait</v>
          </cell>
        </row>
        <row r="155">
          <cell r="A155" t="str">
            <v>RÃ©union</v>
          </cell>
        </row>
        <row r="156">
          <cell r="A156" t="str">
            <v>Oman</v>
          </cell>
        </row>
        <row r="157">
          <cell r="A157" t="str">
            <v>Honduras</v>
          </cell>
        </row>
        <row r="158">
          <cell r="A158" t="str">
            <v>Cambodia</v>
          </cell>
        </row>
        <row r="159">
          <cell r="A159" t="str">
            <v>Uzbekistan</v>
          </cell>
        </row>
        <row r="160">
          <cell r="A160" t="str">
            <v>El Salvador</v>
          </cell>
        </row>
        <row r="161">
          <cell r="A161" t="str">
            <v>Moldova</v>
          </cell>
        </row>
        <row r="162">
          <cell r="A162" t="str">
            <v>Bahrain</v>
          </cell>
        </row>
        <row r="163">
          <cell r="A163" t="str">
            <v>Georgia</v>
          </cell>
        </row>
        <row r="164">
          <cell r="A164" t="str">
            <v>Panama</v>
          </cell>
        </row>
        <row r="165">
          <cell r="A165" t="str">
            <v>Azerbaijan</v>
          </cell>
        </row>
        <row r="166">
          <cell r="A166" t="str">
            <v>Yemen</v>
          </cell>
        </row>
        <row r="167">
          <cell r="A167" t="str">
            <v>Venezuela</v>
          </cell>
        </row>
        <row r="168">
          <cell r="A168" t="str">
            <v>Guatemala</v>
          </cell>
        </row>
        <row r="169">
          <cell r="A169" t="str">
            <v>Bolivia</v>
          </cell>
        </row>
        <row r="170">
          <cell r="A170" t="str">
            <v>Dominican Republic</v>
          </cell>
        </row>
        <row r="171">
          <cell r="A171" t="str">
            <v>Kazakhstan</v>
          </cell>
        </row>
        <row r="172">
          <cell r="A172" t="str">
            <v>Aruba</v>
          </cell>
        </row>
        <row r="173">
          <cell r="A173" t="str">
            <v>Angola</v>
          </cell>
        </row>
        <row r="174">
          <cell r="A174" t="str">
            <v>Anguilla</v>
          </cell>
        </row>
        <row r="175">
          <cell r="A175" t="str">
            <v>Andorra</v>
          </cell>
        </row>
        <row r="176">
          <cell r="A176" t="str">
            <v>American Samoa</v>
          </cell>
        </row>
        <row r="177">
          <cell r="A177" t="str">
            <v>Antarctica</v>
          </cell>
        </row>
        <row r="178">
          <cell r="A178" t="str">
            <v>French Southern Territories</v>
          </cell>
        </row>
        <row r="179">
          <cell r="A179" t="str">
            <v>Antigua &amp; Barbuda</v>
          </cell>
        </row>
        <row r="180">
          <cell r="A180" t="str">
            <v>Caribbean Netherlands</v>
          </cell>
        </row>
        <row r="181">
          <cell r="A181" t="str">
            <v>St. BarthÃ©lemy</v>
          </cell>
        </row>
        <row r="182">
          <cell r="A182" t="str">
            <v>Belize</v>
          </cell>
        </row>
        <row r="183">
          <cell r="A183" t="str">
            <v>Brunei</v>
          </cell>
        </row>
        <row r="184">
          <cell r="A184" t="str">
            <v>Bouvet Island</v>
          </cell>
        </row>
        <row r="185">
          <cell r="A185" t="str">
            <v>Central African Republic</v>
          </cell>
        </row>
        <row r="186">
          <cell r="A186" t="str">
            <v>Cocos (Keeling) Islands</v>
          </cell>
        </row>
        <row r="187">
          <cell r="A187" t="str">
            <v>Cook Islands</v>
          </cell>
        </row>
        <row r="188">
          <cell r="A188" t="str">
            <v>Comoros</v>
          </cell>
        </row>
        <row r="189">
          <cell r="A189" t="str">
            <v>Cape Verde</v>
          </cell>
        </row>
        <row r="190">
          <cell r="A190" t="str">
            <v>Christmas Island</v>
          </cell>
        </row>
        <row r="191">
          <cell r="A191" t="str">
            <v>Cayman Islands</v>
          </cell>
        </row>
        <row r="192">
          <cell r="A192" t="str">
            <v>Djibouti</v>
          </cell>
        </row>
        <row r="193">
          <cell r="A193" t="str">
            <v>Dominica</v>
          </cell>
        </row>
        <row r="194">
          <cell r="A194" t="str">
            <v>Eritrea</v>
          </cell>
        </row>
        <row r="195">
          <cell r="A195" t="str">
            <v>Western Sahara</v>
          </cell>
        </row>
        <row r="196">
          <cell r="A196" t="str">
            <v>Fiji</v>
          </cell>
        </row>
        <row r="197">
          <cell r="A197" t="str">
            <v>Falkland Islands (Islas Malvinas)</v>
          </cell>
        </row>
        <row r="198">
          <cell r="A198" t="str">
            <v>Faroe Islands</v>
          </cell>
        </row>
        <row r="199">
          <cell r="A199" t="str">
            <v>Micronesia</v>
          </cell>
        </row>
        <row r="200">
          <cell r="A200" t="str">
            <v>Guernsey</v>
          </cell>
        </row>
        <row r="201">
          <cell r="A201" t="str">
            <v>Gibraltar</v>
          </cell>
        </row>
        <row r="202">
          <cell r="A202" t="str">
            <v>Guinea</v>
          </cell>
        </row>
        <row r="203">
          <cell r="A203" t="str">
            <v>Guinea-Bissau</v>
          </cell>
        </row>
        <row r="204">
          <cell r="A204" t="str">
            <v>Equatorial Guinea</v>
          </cell>
        </row>
        <row r="205">
          <cell r="A205" t="str">
            <v>Grenada</v>
          </cell>
        </row>
        <row r="206">
          <cell r="A206" t="str">
            <v>Greenland</v>
          </cell>
        </row>
        <row r="207">
          <cell r="A207" t="str">
            <v>Guyana</v>
          </cell>
        </row>
        <row r="208">
          <cell r="A208" t="str">
            <v>Heard &amp; McDonald Islands</v>
          </cell>
        </row>
        <row r="209">
          <cell r="A209" t="str">
            <v>Isle of Man</v>
          </cell>
        </row>
        <row r="210">
          <cell r="A210" t="str">
            <v>British Indian Ocean Territory</v>
          </cell>
        </row>
        <row r="211">
          <cell r="A211" t="str">
            <v>Kiribati</v>
          </cell>
        </row>
        <row r="212">
          <cell r="A212" t="str">
            <v>Libya</v>
          </cell>
        </row>
        <row r="213">
          <cell r="A213" t="str">
            <v>St. Lucia</v>
          </cell>
        </row>
        <row r="214">
          <cell r="A214" t="str">
            <v>Liechtenstein</v>
          </cell>
        </row>
        <row r="215">
          <cell r="A215" t="str">
            <v>St. Martin</v>
          </cell>
        </row>
        <row r="216">
          <cell r="A216" t="str">
            <v>Monaco</v>
          </cell>
        </row>
        <row r="217">
          <cell r="A217" t="str">
            <v>Marshall Islands</v>
          </cell>
        </row>
        <row r="218">
          <cell r="A218" t="str">
            <v>Mauritania</v>
          </cell>
        </row>
        <row r="219">
          <cell r="A219" t="str">
            <v>Montserrat</v>
          </cell>
        </row>
        <row r="220">
          <cell r="A220" t="str">
            <v>Martinique</v>
          </cell>
        </row>
        <row r="221">
          <cell r="A221" t="str">
            <v>Mayotte</v>
          </cell>
        </row>
        <row r="222">
          <cell r="A222" t="str">
            <v>New Caledonia</v>
          </cell>
        </row>
        <row r="223">
          <cell r="A223" t="str">
            <v>Niger</v>
          </cell>
        </row>
        <row r="224">
          <cell r="A224" t="str">
            <v>Norfolk Island</v>
          </cell>
        </row>
        <row r="225">
          <cell r="A225" t="str">
            <v>Niue</v>
          </cell>
        </row>
        <row r="226">
          <cell r="A226" t="str">
            <v>Nauru</v>
          </cell>
        </row>
        <row r="227">
          <cell r="A227" t="str">
            <v>Pitcairn Islands</v>
          </cell>
        </row>
        <row r="228">
          <cell r="A228" t="str">
            <v>Palau</v>
          </cell>
        </row>
        <row r="229">
          <cell r="A229" t="str">
            <v>North Korea</v>
          </cell>
        </row>
        <row r="230">
          <cell r="A230" t="str">
            <v>French Polynesia</v>
          </cell>
        </row>
        <row r="231">
          <cell r="A231" t="str">
            <v>South Georgia &amp; South Sandwich Islands</v>
          </cell>
        </row>
        <row r="232">
          <cell r="A232" t="str">
            <v>Svalbard &amp; Jan Mayen</v>
          </cell>
        </row>
        <row r="233">
          <cell r="A233" t="str">
            <v>Solomon Islands</v>
          </cell>
        </row>
        <row r="234">
          <cell r="A234" t="str">
            <v>San Marino</v>
          </cell>
        </row>
        <row r="235">
          <cell r="A235" t="str">
            <v>St. Pierre &amp; Miquelon</v>
          </cell>
        </row>
        <row r="236">
          <cell r="A236" t="str">
            <v>SÃ£o TomÃ© &amp; PrÃ­ncipe</v>
          </cell>
        </row>
        <row r="237">
          <cell r="A237" t="str">
            <v>Eswatini</v>
          </cell>
        </row>
        <row r="238">
          <cell r="A238" t="str">
            <v>Seychelles</v>
          </cell>
        </row>
        <row r="239">
          <cell r="A239" t="str">
            <v>Turks &amp; Caicos Islands</v>
          </cell>
        </row>
        <row r="240">
          <cell r="A240" t="str">
            <v>Chad</v>
          </cell>
        </row>
        <row r="241">
          <cell r="A241" t="str">
            <v>Tajikistan</v>
          </cell>
        </row>
        <row r="242">
          <cell r="A242" t="str">
            <v>Tokelau</v>
          </cell>
        </row>
        <row r="243">
          <cell r="A243" t="str">
            <v>Turkmenistan</v>
          </cell>
        </row>
        <row r="244">
          <cell r="A244" t="str">
            <v>Timor-Leste</v>
          </cell>
        </row>
        <row r="245">
          <cell r="A245" t="str">
            <v>Tuvalu</v>
          </cell>
        </row>
        <row r="246">
          <cell r="A246" t="str">
            <v>U.S. Outlying Islands</v>
          </cell>
        </row>
        <row r="247">
          <cell r="A247" t="str">
            <v>Vatican City</v>
          </cell>
        </row>
        <row r="248">
          <cell r="A248" t="str">
            <v>St. Vincent &amp; Grenadines</v>
          </cell>
        </row>
        <row r="249">
          <cell r="A249" t="str">
            <v>British Virgin Islands</v>
          </cell>
        </row>
        <row r="250">
          <cell r="A250" t="str">
            <v>U.S. Virgin Islands</v>
          </cell>
        </row>
        <row r="251">
          <cell r="A251" t="str">
            <v>Vanuatu</v>
          </cell>
        </row>
        <row r="252">
          <cell r="A252" t="str">
            <v>Wallis &amp; Futuna</v>
          </cell>
        </row>
        <row r="253">
          <cell r="A253" t="str">
            <v>Kosovo</v>
          </cell>
        </row>
      </sheetData>
    </sheetDataSet>
  </externalBook>
</externalLink>
</file>

<file path=xl/externalLinks/externalLink3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27)"/>
    </sheetNames>
    <sheetDataSet>
      <sheetData sheetId="0">
        <row r="1">
          <cell r="A1" t="str">
            <v>Category: All categories</v>
          </cell>
        </row>
        <row r="3">
          <cell r="A3" t="str">
            <v>Country</v>
          </cell>
          <cell r="B3" t="str">
            <v>C++: (2014)</v>
          </cell>
          <cell r="C3" t="str">
            <v>Cache: (2014)</v>
          </cell>
        </row>
        <row r="4">
          <cell r="A4" t="str">
            <v>North Korea</v>
          </cell>
        </row>
        <row r="5">
          <cell r="A5" t="str">
            <v>Cuba</v>
          </cell>
        </row>
        <row r="6">
          <cell r="A6" t="str">
            <v>China</v>
          </cell>
          <cell r="B6">
            <v>0.71</v>
          </cell>
          <cell r="C6">
            <v>0.28999999999999998</v>
          </cell>
        </row>
        <row r="7">
          <cell r="A7" t="str">
            <v>Ethiopia</v>
          </cell>
        </row>
        <row r="8">
          <cell r="A8" t="str">
            <v>Pakistan</v>
          </cell>
          <cell r="B8">
            <v>0.87</v>
          </cell>
          <cell r="C8">
            <v>0.13</v>
          </cell>
        </row>
        <row r="9">
          <cell r="A9" t="str">
            <v>Iceland</v>
          </cell>
        </row>
        <row r="10">
          <cell r="A10" t="str">
            <v>Lesotho</v>
          </cell>
        </row>
        <row r="11">
          <cell r="A11" t="str">
            <v>South Korea</v>
          </cell>
          <cell r="B11">
            <v>0.75</v>
          </cell>
          <cell r="C11">
            <v>0.25</v>
          </cell>
        </row>
        <row r="12">
          <cell r="A12" t="str">
            <v>Armenia</v>
          </cell>
        </row>
        <row r="13">
          <cell r="A13" t="str">
            <v>India</v>
          </cell>
          <cell r="B13">
            <v>0.78</v>
          </cell>
          <cell r="C13">
            <v>0.22</v>
          </cell>
        </row>
        <row r="14">
          <cell r="A14" t="str">
            <v>Fiji</v>
          </cell>
        </row>
        <row r="15">
          <cell r="A15" t="str">
            <v>Belarus</v>
          </cell>
          <cell r="B15">
            <v>0.54</v>
          </cell>
          <cell r="C15">
            <v>0.46</v>
          </cell>
        </row>
        <row r="16">
          <cell r="A16" t="str">
            <v>St. Helena</v>
          </cell>
        </row>
        <row r="17">
          <cell r="A17" t="str">
            <v>Romania</v>
          </cell>
          <cell r="B17">
            <v>0.78</v>
          </cell>
          <cell r="C17">
            <v>0.22</v>
          </cell>
        </row>
        <row r="18">
          <cell r="A18" t="str">
            <v>Nepal</v>
          </cell>
        </row>
        <row r="19">
          <cell r="A19" t="str">
            <v>Philippines</v>
          </cell>
          <cell r="B19">
            <v>0.69</v>
          </cell>
          <cell r="C19">
            <v>0.31</v>
          </cell>
        </row>
        <row r="20">
          <cell r="A20" t="str">
            <v>Taiwan</v>
          </cell>
          <cell r="B20">
            <v>0.76</v>
          </cell>
          <cell r="C20">
            <v>0.24</v>
          </cell>
        </row>
        <row r="21">
          <cell r="A21" t="str">
            <v>Rwanda</v>
          </cell>
        </row>
        <row r="22">
          <cell r="A22" t="str">
            <v>Poland</v>
          </cell>
          <cell r="B22">
            <v>0.82</v>
          </cell>
          <cell r="C22">
            <v>0.18</v>
          </cell>
        </row>
        <row r="23">
          <cell r="A23" t="str">
            <v>Iran</v>
          </cell>
          <cell r="B23">
            <v>0.87</v>
          </cell>
          <cell r="C23">
            <v>0.13</v>
          </cell>
        </row>
        <row r="24">
          <cell r="A24" t="str">
            <v>Honduras</v>
          </cell>
        </row>
        <row r="25">
          <cell r="A25" t="str">
            <v>Israel</v>
          </cell>
          <cell r="B25">
            <v>0.72</v>
          </cell>
          <cell r="C25">
            <v>0.28000000000000003</v>
          </cell>
        </row>
        <row r="26">
          <cell r="A26" t="str">
            <v>Somalia</v>
          </cell>
        </row>
        <row r="27">
          <cell r="A27" t="str">
            <v>Singapore</v>
          </cell>
          <cell r="B27">
            <v>0.59</v>
          </cell>
          <cell r="C27">
            <v>0.41</v>
          </cell>
        </row>
        <row r="28">
          <cell r="A28" t="str">
            <v>Russia</v>
          </cell>
          <cell r="B28">
            <v>0.54</v>
          </cell>
          <cell r="C28">
            <v>0.46</v>
          </cell>
        </row>
        <row r="29">
          <cell r="A29" t="str">
            <v>Guatemala</v>
          </cell>
        </row>
        <row r="30">
          <cell r="A30" t="str">
            <v>Bangladesh</v>
          </cell>
          <cell r="B30">
            <v>0.77</v>
          </cell>
          <cell r="C30">
            <v>0.23</v>
          </cell>
        </row>
        <row r="31">
          <cell r="A31" t="str">
            <v>Belize</v>
          </cell>
        </row>
        <row r="32">
          <cell r="A32" t="str">
            <v>Czechia</v>
          </cell>
          <cell r="B32">
            <v>0.66</v>
          </cell>
          <cell r="C32">
            <v>0.34</v>
          </cell>
        </row>
        <row r="33">
          <cell r="A33" t="str">
            <v>Ukraine</v>
          </cell>
          <cell r="B33">
            <v>0.52</v>
          </cell>
          <cell r="C33">
            <v>0.48</v>
          </cell>
        </row>
        <row r="34">
          <cell r="A34" t="str">
            <v>Madagascar</v>
          </cell>
        </row>
        <row r="35">
          <cell r="A35" t="str">
            <v>Lithuania</v>
          </cell>
          <cell r="B35">
            <v>0.74</v>
          </cell>
          <cell r="C35">
            <v>0.26</v>
          </cell>
        </row>
        <row r="36">
          <cell r="A36" t="str">
            <v>CuraÃ§ao</v>
          </cell>
        </row>
        <row r="37">
          <cell r="A37" t="str">
            <v>Sri Lanka</v>
          </cell>
          <cell r="B37">
            <v>0.69</v>
          </cell>
          <cell r="C37">
            <v>0.31</v>
          </cell>
        </row>
        <row r="38">
          <cell r="A38" t="str">
            <v>Gibraltar</v>
          </cell>
        </row>
        <row r="39">
          <cell r="A39" t="str">
            <v>Turkmenistan</v>
          </cell>
        </row>
        <row r="40">
          <cell r="A40" t="str">
            <v>Hong Kong</v>
          </cell>
          <cell r="B40">
            <v>0.57999999999999996</v>
          </cell>
          <cell r="C40">
            <v>0.42</v>
          </cell>
        </row>
        <row r="41">
          <cell r="A41" t="str">
            <v>North Macedonia</v>
          </cell>
        </row>
        <row r="42">
          <cell r="A42" t="str">
            <v>Moldova</v>
          </cell>
        </row>
        <row r="43">
          <cell r="A43" t="str">
            <v>Togo</v>
          </cell>
        </row>
        <row r="44">
          <cell r="A44" t="str">
            <v>Uzbekistan</v>
          </cell>
        </row>
        <row r="45">
          <cell r="A45" t="str">
            <v>Caribbean Netherlands</v>
          </cell>
        </row>
        <row r="46">
          <cell r="A46" t="str">
            <v>Mongolia</v>
          </cell>
        </row>
        <row r="47">
          <cell r="A47" t="str">
            <v>Kazakhstan</v>
          </cell>
          <cell r="B47">
            <v>0.4</v>
          </cell>
          <cell r="C47">
            <v>0.6</v>
          </cell>
        </row>
        <row r="48">
          <cell r="A48" t="str">
            <v>Kenya</v>
          </cell>
        </row>
        <row r="49">
          <cell r="A49" t="str">
            <v>Ghana</v>
          </cell>
        </row>
        <row r="50">
          <cell r="A50" t="str">
            <v>Latvia</v>
          </cell>
          <cell r="B50">
            <v>0.59</v>
          </cell>
          <cell r="C50">
            <v>0.41</v>
          </cell>
        </row>
        <row r="51">
          <cell r="A51" t="str">
            <v>Zimbabwe</v>
          </cell>
        </row>
        <row r="52">
          <cell r="A52" t="str">
            <v>Germany</v>
          </cell>
          <cell r="B52">
            <v>0.61</v>
          </cell>
          <cell r="C52">
            <v>0.39</v>
          </cell>
        </row>
        <row r="53">
          <cell r="A53" t="str">
            <v>Bulgaria</v>
          </cell>
          <cell r="B53">
            <v>0.69</v>
          </cell>
          <cell r="C53">
            <v>0.31</v>
          </cell>
        </row>
        <row r="54">
          <cell r="A54" t="str">
            <v>Jordan</v>
          </cell>
        </row>
        <row r="55">
          <cell r="A55" t="str">
            <v>Liechtenstein</v>
          </cell>
        </row>
        <row r="56">
          <cell r="A56" t="str">
            <v>Hungary</v>
          </cell>
          <cell r="B56">
            <v>0.7</v>
          </cell>
          <cell r="C56">
            <v>0.3</v>
          </cell>
        </row>
        <row r="57">
          <cell r="A57" t="str">
            <v>Costa Rica</v>
          </cell>
          <cell r="B57">
            <v>0.68</v>
          </cell>
          <cell r="C57">
            <v>0.32</v>
          </cell>
        </row>
        <row r="58">
          <cell r="A58" t="str">
            <v>Faroe Islands</v>
          </cell>
        </row>
        <row r="59">
          <cell r="A59" t="str">
            <v>Tunisia</v>
          </cell>
          <cell r="B59">
            <v>0.66</v>
          </cell>
          <cell r="C59">
            <v>0.34</v>
          </cell>
        </row>
        <row r="60">
          <cell r="A60" t="str">
            <v>Grenada</v>
          </cell>
        </row>
        <row r="61">
          <cell r="A61" t="str">
            <v>Eswatini</v>
          </cell>
        </row>
        <row r="62">
          <cell r="A62" t="str">
            <v>Ã…land Islands</v>
          </cell>
        </row>
        <row r="63">
          <cell r="A63" t="str">
            <v>Malta</v>
          </cell>
        </row>
        <row r="64">
          <cell r="A64" t="str">
            <v>Switzerland</v>
          </cell>
          <cell r="B64">
            <v>0.57999999999999996</v>
          </cell>
          <cell r="C64">
            <v>0.42</v>
          </cell>
        </row>
        <row r="65">
          <cell r="A65" t="str">
            <v>Sweden</v>
          </cell>
          <cell r="B65">
            <v>0.57999999999999996</v>
          </cell>
          <cell r="C65">
            <v>0.42</v>
          </cell>
        </row>
        <row r="66">
          <cell r="A66" t="str">
            <v>Austria</v>
          </cell>
          <cell r="B66">
            <v>0.6</v>
          </cell>
          <cell r="C66">
            <v>0.4</v>
          </cell>
        </row>
        <row r="67">
          <cell r="A67" t="str">
            <v>Afghanistan</v>
          </cell>
        </row>
        <row r="68">
          <cell r="A68" t="str">
            <v>Ecuador</v>
          </cell>
          <cell r="B68">
            <v>0.77</v>
          </cell>
          <cell r="C68">
            <v>0.23</v>
          </cell>
        </row>
        <row r="69">
          <cell r="A69" t="str">
            <v>Isle of Man</v>
          </cell>
        </row>
        <row r="70">
          <cell r="A70" t="str">
            <v>Lebanon</v>
          </cell>
        </row>
        <row r="71">
          <cell r="A71" t="str">
            <v>Syria</v>
          </cell>
        </row>
        <row r="72">
          <cell r="A72" t="str">
            <v>Kyrgyzstan</v>
          </cell>
        </row>
        <row r="73">
          <cell r="A73" t="str">
            <v>Slovenia</v>
          </cell>
          <cell r="B73">
            <v>0.67</v>
          </cell>
          <cell r="C73">
            <v>0.33</v>
          </cell>
        </row>
        <row r="74">
          <cell r="A74" t="str">
            <v>Cambodia</v>
          </cell>
        </row>
        <row r="75">
          <cell r="A75" t="str">
            <v>Cameroon</v>
          </cell>
        </row>
        <row r="76">
          <cell r="A76" t="str">
            <v>Estonia</v>
          </cell>
        </row>
        <row r="77">
          <cell r="A77" t="str">
            <v>Albania</v>
          </cell>
        </row>
        <row r="78">
          <cell r="A78" t="str">
            <v>Cyprus</v>
          </cell>
        </row>
        <row r="79">
          <cell r="A79" t="str">
            <v>Malaysia</v>
          </cell>
          <cell r="B79">
            <v>0.67</v>
          </cell>
          <cell r="C79">
            <v>0.33</v>
          </cell>
        </row>
        <row r="80">
          <cell r="A80" t="str">
            <v>Japan</v>
          </cell>
          <cell r="B80">
            <v>0.46</v>
          </cell>
          <cell r="C80">
            <v>0.54</v>
          </cell>
        </row>
        <row r="81">
          <cell r="A81" t="str">
            <v>Bosnia &amp; Herzegovina</v>
          </cell>
        </row>
        <row r="82">
          <cell r="A82" t="str">
            <v>Benin</v>
          </cell>
        </row>
        <row r="83">
          <cell r="A83" t="str">
            <v>Cayman Islands</v>
          </cell>
        </row>
        <row r="84">
          <cell r="A84" t="str">
            <v>Mexico</v>
          </cell>
          <cell r="B84">
            <v>0.73</v>
          </cell>
          <cell r="C84">
            <v>0.27</v>
          </cell>
        </row>
        <row r="85">
          <cell r="A85" t="str">
            <v>Slovakia</v>
          </cell>
          <cell r="B85">
            <v>0.68</v>
          </cell>
          <cell r="C85">
            <v>0.32</v>
          </cell>
        </row>
        <row r="86">
          <cell r="A86" t="str">
            <v>Jamaica</v>
          </cell>
        </row>
        <row r="87">
          <cell r="A87" t="str">
            <v>Canada</v>
          </cell>
          <cell r="B87">
            <v>0.54</v>
          </cell>
          <cell r="C87">
            <v>0.46</v>
          </cell>
        </row>
        <row r="88">
          <cell r="A88" t="str">
            <v>U.S. Virgin Islands</v>
          </cell>
        </row>
        <row r="89">
          <cell r="A89" t="str">
            <v>New Zealand</v>
          </cell>
          <cell r="B89">
            <v>0.41</v>
          </cell>
          <cell r="C89">
            <v>0.59</v>
          </cell>
        </row>
        <row r="90">
          <cell r="A90" t="str">
            <v>Botswana</v>
          </cell>
        </row>
        <row r="91">
          <cell r="A91" t="str">
            <v>Sudan</v>
          </cell>
        </row>
        <row r="92">
          <cell r="A92" t="str">
            <v>Finland</v>
          </cell>
          <cell r="B92">
            <v>0.55000000000000004</v>
          </cell>
          <cell r="C92">
            <v>0.45</v>
          </cell>
        </row>
        <row r="93">
          <cell r="A93" t="str">
            <v>Tajikistan</v>
          </cell>
        </row>
        <row r="94">
          <cell r="A94" t="str">
            <v>Egypt</v>
          </cell>
          <cell r="B94">
            <v>0.83</v>
          </cell>
          <cell r="C94">
            <v>0.17</v>
          </cell>
        </row>
        <row r="95">
          <cell r="A95" t="str">
            <v>Nicaragua</v>
          </cell>
        </row>
        <row r="96">
          <cell r="A96" t="str">
            <v>Croatia</v>
          </cell>
          <cell r="B96">
            <v>0.67</v>
          </cell>
          <cell r="C96">
            <v>0.33</v>
          </cell>
        </row>
        <row r="97">
          <cell r="A97" t="str">
            <v>Yemen</v>
          </cell>
        </row>
        <row r="98">
          <cell r="A98" t="str">
            <v>United States</v>
          </cell>
          <cell r="B98">
            <v>0.51</v>
          </cell>
          <cell r="C98">
            <v>0.49</v>
          </cell>
        </row>
        <row r="99">
          <cell r="A99" t="str">
            <v>Oman</v>
          </cell>
        </row>
        <row r="100">
          <cell r="A100" t="str">
            <v>Vietnam</v>
          </cell>
          <cell r="B100">
            <v>0.74</v>
          </cell>
          <cell r="C100">
            <v>0.26</v>
          </cell>
        </row>
        <row r="101">
          <cell r="A101" t="str">
            <v>Bhutan</v>
          </cell>
        </row>
        <row r="102">
          <cell r="A102" t="str">
            <v>Barbados</v>
          </cell>
        </row>
        <row r="103">
          <cell r="A103" t="str">
            <v>Norway</v>
          </cell>
          <cell r="B103">
            <v>0.56999999999999995</v>
          </cell>
          <cell r="C103">
            <v>0.43</v>
          </cell>
        </row>
        <row r="104">
          <cell r="A104" t="str">
            <v>Cape Verde</v>
          </cell>
        </row>
        <row r="105">
          <cell r="A105" t="str">
            <v>Mauritius</v>
          </cell>
        </row>
        <row r="106">
          <cell r="A106" t="str">
            <v>Luxembourg</v>
          </cell>
        </row>
        <row r="107">
          <cell r="A107" t="str">
            <v>Georgia</v>
          </cell>
        </row>
        <row r="108">
          <cell r="A108" t="str">
            <v>Serbia</v>
          </cell>
          <cell r="B108">
            <v>0.7</v>
          </cell>
          <cell r="C108">
            <v>0.3</v>
          </cell>
        </row>
        <row r="109">
          <cell r="A109" t="str">
            <v>Bolivia</v>
          </cell>
          <cell r="B109">
            <v>0.76</v>
          </cell>
          <cell r="C109">
            <v>0.24</v>
          </cell>
        </row>
        <row r="110">
          <cell r="A110" t="str">
            <v>Uganda</v>
          </cell>
        </row>
        <row r="111">
          <cell r="A111" t="str">
            <v>Panama</v>
          </cell>
        </row>
        <row r="112">
          <cell r="A112" t="str">
            <v>Colombia</v>
          </cell>
          <cell r="B112">
            <v>0.7</v>
          </cell>
          <cell r="C112">
            <v>0.3</v>
          </cell>
        </row>
        <row r="113">
          <cell r="A113" t="str">
            <v>Bahrain</v>
          </cell>
        </row>
        <row r="114">
          <cell r="A114" t="str">
            <v>Netherlands</v>
          </cell>
          <cell r="B114">
            <v>0.43</v>
          </cell>
          <cell r="C114">
            <v>0.56999999999999995</v>
          </cell>
        </row>
        <row r="115">
          <cell r="A115" t="str">
            <v>Australia</v>
          </cell>
          <cell r="B115">
            <v>0.42</v>
          </cell>
          <cell r="C115">
            <v>0.57999999999999996</v>
          </cell>
        </row>
        <row r="116">
          <cell r="A116" t="str">
            <v>St. Vincent &amp; Grenadines</v>
          </cell>
        </row>
        <row r="117">
          <cell r="A117" t="str">
            <v>Portugal</v>
          </cell>
          <cell r="B117">
            <v>0.55000000000000004</v>
          </cell>
          <cell r="C117">
            <v>0.45</v>
          </cell>
        </row>
        <row r="118">
          <cell r="A118" t="str">
            <v>Dominican Republic</v>
          </cell>
        </row>
        <row r="119">
          <cell r="A119" t="str">
            <v>Guyana</v>
          </cell>
        </row>
        <row r="120">
          <cell r="A120" t="str">
            <v>Palestine</v>
          </cell>
        </row>
        <row r="121">
          <cell r="A121" t="str">
            <v>Jersey</v>
          </cell>
        </row>
        <row r="122">
          <cell r="A122" t="str">
            <v>United Kingdom</v>
          </cell>
          <cell r="B122">
            <v>0.43</v>
          </cell>
          <cell r="C122">
            <v>0.56999999999999995</v>
          </cell>
        </row>
        <row r="123">
          <cell r="A123" t="str">
            <v>Ireland</v>
          </cell>
          <cell r="B123">
            <v>0.44</v>
          </cell>
          <cell r="C123">
            <v>0.56000000000000005</v>
          </cell>
        </row>
        <row r="124">
          <cell r="A124" t="str">
            <v>Malawi</v>
          </cell>
        </row>
        <row r="125">
          <cell r="A125" t="str">
            <v>St. Lucia</v>
          </cell>
        </row>
        <row r="126">
          <cell r="A126" t="str">
            <v>Trinidad &amp; Tobago</v>
          </cell>
        </row>
        <row r="127">
          <cell r="A127" t="str">
            <v>Papua New Guinea</v>
          </cell>
        </row>
        <row r="128">
          <cell r="A128" t="str">
            <v>El Salvador</v>
          </cell>
        </row>
        <row r="129">
          <cell r="A129" t="str">
            <v>Indonesia</v>
          </cell>
          <cell r="B129">
            <v>0.67</v>
          </cell>
          <cell r="C129">
            <v>0.33</v>
          </cell>
        </row>
        <row r="130">
          <cell r="A130" t="str">
            <v>French Polynesia</v>
          </cell>
        </row>
        <row r="131">
          <cell r="A131" t="str">
            <v>Puerto Rico</v>
          </cell>
        </row>
        <row r="132">
          <cell r="A132" t="str">
            <v>Peru</v>
          </cell>
          <cell r="B132">
            <v>0.63</v>
          </cell>
          <cell r="C132">
            <v>0.37</v>
          </cell>
        </row>
        <row r="133">
          <cell r="A133" t="str">
            <v>Tanzania</v>
          </cell>
        </row>
        <row r="134">
          <cell r="A134" t="str">
            <v>Morocco</v>
          </cell>
          <cell r="B134">
            <v>0.72</v>
          </cell>
          <cell r="C134">
            <v>0.28000000000000003</v>
          </cell>
        </row>
        <row r="135">
          <cell r="A135" t="str">
            <v>Maldives</v>
          </cell>
        </row>
        <row r="136">
          <cell r="A136" t="str">
            <v>Belgium</v>
          </cell>
          <cell r="B136">
            <v>0.51</v>
          </cell>
          <cell r="C136">
            <v>0.49</v>
          </cell>
        </row>
        <row r="137">
          <cell r="A137" t="str">
            <v>Denmark</v>
          </cell>
          <cell r="B137">
            <v>0.49</v>
          </cell>
          <cell r="C137">
            <v>0.51</v>
          </cell>
        </row>
        <row r="138">
          <cell r="A138" t="str">
            <v>Macao</v>
          </cell>
        </row>
        <row r="139">
          <cell r="A139" t="str">
            <v>Bermuda</v>
          </cell>
        </row>
        <row r="140">
          <cell r="A140" t="str">
            <v>Greece</v>
          </cell>
          <cell r="B140">
            <v>0.63</v>
          </cell>
          <cell r="C140">
            <v>0.37</v>
          </cell>
        </row>
        <row r="141">
          <cell r="A141" t="str">
            <v>France</v>
          </cell>
          <cell r="B141">
            <v>0.59</v>
          </cell>
          <cell r="C141">
            <v>0.41</v>
          </cell>
        </row>
        <row r="142">
          <cell r="A142" t="str">
            <v>South Africa</v>
          </cell>
          <cell r="B142">
            <v>0.56000000000000005</v>
          </cell>
          <cell r="C142">
            <v>0.44</v>
          </cell>
        </row>
        <row r="143">
          <cell r="A143" t="str">
            <v>Guernsey</v>
          </cell>
        </row>
        <row r="144">
          <cell r="A144" t="str">
            <v>Antigua &amp; Barbuda</v>
          </cell>
        </row>
        <row r="145">
          <cell r="A145" t="str">
            <v>Italy</v>
          </cell>
          <cell r="B145">
            <v>0.56000000000000005</v>
          </cell>
          <cell r="C145">
            <v>0.44</v>
          </cell>
        </row>
        <row r="146">
          <cell r="A146" t="str">
            <v>Angola</v>
          </cell>
        </row>
        <row r="147">
          <cell r="A147" t="str">
            <v>Mozambique</v>
          </cell>
        </row>
        <row r="148">
          <cell r="A148" t="str">
            <v>Zambia</v>
          </cell>
        </row>
        <row r="149">
          <cell r="A149" t="str">
            <v>Paraguay</v>
          </cell>
        </row>
        <row r="150">
          <cell r="A150" t="str">
            <v>Venezuela</v>
          </cell>
          <cell r="B150">
            <v>0.66</v>
          </cell>
          <cell r="C150">
            <v>0.34</v>
          </cell>
        </row>
        <row r="151">
          <cell r="A151" t="str">
            <v>Algeria</v>
          </cell>
          <cell r="B151">
            <v>0.72</v>
          </cell>
          <cell r="C151">
            <v>0.28000000000000003</v>
          </cell>
        </row>
        <row r="152">
          <cell r="A152" t="str">
            <v>Myanmar (Burma)</v>
          </cell>
        </row>
        <row r="153">
          <cell r="A153" t="str">
            <v>Spain</v>
          </cell>
          <cell r="B153">
            <v>0.5</v>
          </cell>
          <cell r="C153">
            <v>0.5</v>
          </cell>
        </row>
        <row r="154">
          <cell r="A154" t="str">
            <v>CÃ´te dâ€™Ivoire</v>
          </cell>
        </row>
        <row r="155">
          <cell r="A155" t="str">
            <v>Djibouti</v>
          </cell>
        </row>
        <row r="156">
          <cell r="A156" t="str">
            <v>Guam</v>
          </cell>
        </row>
        <row r="157">
          <cell r="A157" t="str">
            <v>Monaco</v>
          </cell>
        </row>
        <row r="158">
          <cell r="A158" t="str">
            <v>Mali</v>
          </cell>
        </row>
        <row r="159">
          <cell r="A159" t="str">
            <v>Nigeria</v>
          </cell>
          <cell r="B159">
            <v>0.62</v>
          </cell>
          <cell r="C159">
            <v>0.38</v>
          </cell>
        </row>
        <row r="160">
          <cell r="A160" t="str">
            <v>Laos</v>
          </cell>
        </row>
        <row r="161">
          <cell r="A161" t="str">
            <v>Bahamas</v>
          </cell>
        </row>
        <row r="162">
          <cell r="A162" t="str">
            <v>Senegal</v>
          </cell>
        </row>
        <row r="163">
          <cell r="A163" t="str">
            <v>Kosovo</v>
          </cell>
        </row>
        <row r="164">
          <cell r="A164" t="str">
            <v>Congo - Kinshasa</v>
          </cell>
        </row>
        <row r="165">
          <cell r="A165" t="str">
            <v>Andorra</v>
          </cell>
        </row>
        <row r="166">
          <cell r="A166" t="str">
            <v>Uruguay</v>
          </cell>
        </row>
        <row r="167">
          <cell r="A167" t="str">
            <v>Aruba</v>
          </cell>
        </row>
        <row r="168">
          <cell r="A168" t="str">
            <v>United Arab Emirates</v>
          </cell>
          <cell r="B168">
            <v>0.52</v>
          </cell>
          <cell r="C168">
            <v>0.48</v>
          </cell>
        </row>
        <row r="169">
          <cell r="A169" t="str">
            <v>Brazil</v>
          </cell>
          <cell r="B169">
            <v>0.54</v>
          </cell>
          <cell r="C169">
            <v>0.46</v>
          </cell>
        </row>
        <row r="170">
          <cell r="A170" t="str">
            <v>Brunei</v>
          </cell>
        </row>
        <row r="171">
          <cell r="A171" t="str">
            <v>Azerbaijan</v>
          </cell>
        </row>
        <row r="172">
          <cell r="A172" t="str">
            <v>Thailand</v>
          </cell>
          <cell r="B172">
            <v>0.47</v>
          </cell>
          <cell r="C172">
            <v>0.53</v>
          </cell>
        </row>
        <row r="173">
          <cell r="A173" t="str">
            <v>Haiti</v>
          </cell>
        </row>
        <row r="174">
          <cell r="A174" t="str">
            <v>Namibia</v>
          </cell>
        </row>
        <row r="175">
          <cell r="A175" t="str">
            <v>Libya</v>
          </cell>
        </row>
        <row r="176">
          <cell r="A176" t="str">
            <v>Qatar</v>
          </cell>
        </row>
        <row r="177">
          <cell r="A177" t="str">
            <v>Iraq</v>
          </cell>
        </row>
        <row r="178">
          <cell r="A178" t="str">
            <v>Burkina Faso</v>
          </cell>
        </row>
        <row r="179">
          <cell r="A179" t="str">
            <v>Guinea</v>
          </cell>
        </row>
        <row r="180">
          <cell r="A180" t="str">
            <v>Kuwait</v>
          </cell>
        </row>
        <row r="181">
          <cell r="A181" t="str">
            <v>Chile</v>
          </cell>
          <cell r="B181">
            <v>0.55000000000000004</v>
          </cell>
          <cell r="C181">
            <v>0.45</v>
          </cell>
        </row>
        <row r="182">
          <cell r="A182" t="str">
            <v>New Caledonia</v>
          </cell>
        </row>
        <row r="183">
          <cell r="A183" t="str">
            <v>Argentina</v>
          </cell>
          <cell r="B183">
            <v>0.52</v>
          </cell>
          <cell r="C183">
            <v>0.48</v>
          </cell>
        </row>
        <row r="184">
          <cell r="A184" t="str">
            <v>RÃ©union</v>
          </cell>
        </row>
        <row r="185">
          <cell r="A185" t="str">
            <v>South Sudan</v>
          </cell>
        </row>
        <row r="186">
          <cell r="A186" t="str">
            <v>Congo - Brazzaville</v>
          </cell>
        </row>
        <row r="187">
          <cell r="A187" t="str">
            <v>Turkey</v>
          </cell>
          <cell r="B187">
            <v>0.73</v>
          </cell>
          <cell r="C187">
            <v>0.27</v>
          </cell>
        </row>
        <row r="188">
          <cell r="A188" t="str">
            <v>Niger</v>
          </cell>
        </row>
        <row r="189">
          <cell r="A189" t="str">
            <v>Martinique</v>
          </cell>
        </row>
        <row r="190">
          <cell r="A190" t="str">
            <v>Suriname</v>
          </cell>
        </row>
        <row r="191">
          <cell r="A191" t="str">
            <v>Saudi Arabia</v>
          </cell>
          <cell r="B191">
            <v>0.73</v>
          </cell>
          <cell r="C191">
            <v>0.27</v>
          </cell>
        </row>
        <row r="192">
          <cell r="A192" t="str">
            <v>Montenegro</v>
          </cell>
        </row>
        <row r="193">
          <cell r="A193" t="str">
            <v>Guadeloupe</v>
          </cell>
        </row>
        <row r="194">
          <cell r="A194" t="str">
            <v>Gabon</v>
          </cell>
        </row>
        <row r="195">
          <cell r="A195" t="str">
            <v>Mauritania</v>
          </cell>
        </row>
        <row r="196">
          <cell r="A196" t="str">
            <v>French Guiana</v>
          </cell>
        </row>
        <row r="197">
          <cell r="A197" t="str">
            <v>Sierra Leone</v>
          </cell>
        </row>
        <row r="198">
          <cell r="A198" t="str">
            <v>Tuvalu</v>
          </cell>
        </row>
        <row r="199">
          <cell r="A199" t="str">
            <v>British Indian Ocean Territory</v>
          </cell>
        </row>
        <row r="200">
          <cell r="A200" t="str">
            <v>Kiribati</v>
          </cell>
        </row>
        <row r="201">
          <cell r="A201" t="str">
            <v>Marshall Islands</v>
          </cell>
        </row>
        <row r="202">
          <cell r="A202" t="str">
            <v>Eritrea</v>
          </cell>
        </row>
        <row r="203">
          <cell r="A203" t="str">
            <v>Falkland Islands (Islas Malvinas)</v>
          </cell>
        </row>
        <row r="204">
          <cell r="A204" t="str">
            <v>Vanuatu</v>
          </cell>
        </row>
        <row r="205">
          <cell r="A205" t="str">
            <v>Micronesia</v>
          </cell>
        </row>
        <row r="206">
          <cell r="A206" t="str">
            <v>Guinea-Bissau</v>
          </cell>
        </row>
        <row r="207">
          <cell r="A207" t="str">
            <v>Anguilla</v>
          </cell>
        </row>
        <row r="208">
          <cell r="A208" t="str">
            <v>Dominica</v>
          </cell>
        </row>
        <row r="209">
          <cell r="A209" t="str">
            <v>Solomon Islands</v>
          </cell>
        </row>
        <row r="210">
          <cell r="A210" t="str">
            <v>St. Kitts &amp; Nevis</v>
          </cell>
        </row>
        <row r="211">
          <cell r="A211" t="str">
            <v>Burundi</v>
          </cell>
        </row>
        <row r="212">
          <cell r="A212" t="str">
            <v>St. Pierre &amp; Miquelon</v>
          </cell>
        </row>
        <row r="213">
          <cell r="A213" t="str">
            <v>Timor-Leste</v>
          </cell>
        </row>
        <row r="214">
          <cell r="A214" t="str">
            <v>Mayotte</v>
          </cell>
        </row>
        <row r="215">
          <cell r="A215" t="str">
            <v>Equatorial Guinea</v>
          </cell>
        </row>
        <row r="216">
          <cell r="A216" t="str">
            <v>Comoros</v>
          </cell>
        </row>
        <row r="217">
          <cell r="A217" t="str">
            <v>San Marino</v>
          </cell>
        </row>
        <row r="218">
          <cell r="A218" t="str">
            <v>Sint Maarten</v>
          </cell>
        </row>
        <row r="219">
          <cell r="A219" t="str">
            <v>Samoa</v>
          </cell>
        </row>
        <row r="220">
          <cell r="A220" t="str">
            <v>Seychelles</v>
          </cell>
        </row>
        <row r="221">
          <cell r="A221" t="str">
            <v>Northern Mariana Islands</v>
          </cell>
        </row>
        <row r="222">
          <cell r="A222" t="str">
            <v>St. Martin</v>
          </cell>
        </row>
        <row r="223">
          <cell r="A223" t="str">
            <v>Chad</v>
          </cell>
        </row>
        <row r="224">
          <cell r="A224" t="str">
            <v>British Virgin Islands</v>
          </cell>
        </row>
        <row r="225">
          <cell r="A225" t="str">
            <v>Turks &amp; Caicos Islands</v>
          </cell>
        </row>
        <row r="226">
          <cell r="A226" t="str">
            <v>Greenland</v>
          </cell>
        </row>
        <row r="227">
          <cell r="A227" t="str">
            <v>Gambia</v>
          </cell>
        </row>
        <row r="228">
          <cell r="A228" t="str">
            <v>Liberia</v>
          </cell>
        </row>
        <row r="229">
          <cell r="A229" t="str">
            <v>American Samoa</v>
          </cell>
        </row>
        <row r="230">
          <cell r="A230" t="str">
            <v>Antarctica</v>
          </cell>
        </row>
        <row r="231">
          <cell r="A231" t="str">
            <v>French Southern Territories</v>
          </cell>
        </row>
        <row r="232">
          <cell r="A232" t="str">
            <v>St. BarthÃ©lemy</v>
          </cell>
        </row>
        <row r="233">
          <cell r="A233" t="str">
            <v>Bouvet Island</v>
          </cell>
        </row>
        <row r="234">
          <cell r="A234" t="str">
            <v>Central African Republic</v>
          </cell>
        </row>
        <row r="235">
          <cell r="A235" t="str">
            <v>Cocos (Keeling) Islands</v>
          </cell>
        </row>
        <row r="236">
          <cell r="A236" t="str">
            <v>Cook Islands</v>
          </cell>
        </row>
        <row r="237">
          <cell r="A237" t="str">
            <v>Christmas Island</v>
          </cell>
        </row>
        <row r="238">
          <cell r="A238" t="str">
            <v>Western Sahara</v>
          </cell>
        </row>
        <row r="239">
          <cell r="A239" t="str">
            <v>Heard &amp; McDonald Islands</v>
          </cell>
        </row>
        <row r="240">
          <cell r="A240" t="str">
            <v>Montserrat</v>
          </cell>
        </row>
        <row r="241">
          <cell r="A241" t="str">
            <v>Norfolk Island</v>
          </cell>
        </row>
        <row r="242">
          <cell r="A242" t="str">
            <v>Niue</v>
          </cell>
        </row>
        <row r="243">
          <cell r="A243" t="str">
            <v>Nauru</v>
          </cell>
        </row>
        <row r="244">
          <cell r="A244" t="str">
            <v>Pitcairn Islands</v>
          </cell>
        </row>
        <row r="245">
          <cell r="A245" t="str">
            <v>Palau</v>
          </cell>
        </row>
        <row r="246">
          <cell r="A246" t="str">
            <v>South Georgia &amp; South Sandwich Islands</v>
          </cell>
        </row>
        <row r="247">
          <cell r="A247" t="str">
            <v>Svalbard &amp; Jan Mayen</v>
          </cell>
        </row>
        <row r="248">
          <cell r="A248" t="str">
            <v>SÃ£o TomÃ© &amp; PrÃ­ncipe</v>
          </cell>
        </row>
        <row r="249">
          <cell r="A249" t="str">
            <v>Tokelau</v>
          </cell>
        </row>
        <row r="250">
          <cell r="A250" t="str">
            <v>Tonga</v>
          </cell>
        </row>
        <row r="251">
          <cell r="A251" t="str">
            <v>U.S. Outlying Islands</v>
          </cell>
        </row>
        <row r="252">
          <cell r="A252" t="str">
            <v>Vatican City</v>
          </cell>
        </row>
        <row r="253">
          <cell r="A253" t="str">
            <v>Wallis &amp; Futuna</v>
          </cell>
        </row>
      </sheetData>
    </sheetDataSet>
  </externalBook>
</externalLink>
</file>

<file path=xl/externalLinks/externalLink3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28)"/>
    </sheetNames>
    <sheetDataSet>
      <sheetData sheetId="0">
        <row r="1">
          <cell r="A1" t="str">
            <v>Category: All categories</v>
          </cell>
        </row>
        <row r="3">
          <cell r="A3" t="str">
            <v>Country</v>
          </cell>
          <cell r="B3" t="str">
            <v>Hypertext Transfer Protocol: (2014)</v>
          </cell>
          <cell r="C3" t="str">
            <v>Transmission Control Protocol: (2014)</v>
          </cell>
        </row>
        <row r="4">
          <cell r="A4" t="str">
            <v>British Indian Ocean Territory</v>
          </cell>
        </row>
        <row r="5">
          <cell r="A5" t="str">
            <v>Cuba</v>
          </cell>
        </row>
        <row r="6">
          <cell r="A6" t="str">
            <v>China</v>
          </cell>
          <cell r="B6">
            <v>0.76</v>
          </cell>
          <cell r="C6">
            <v>0.24</v>
          </cell>
        </row>
        <row r="7">
          <cell r="A7" t="str">
            <v>Ethiopia</v>
          </cell>
        </row>
        <row r="8">
          <cell r="A8" t="str">
            <v>Papua New Guinea</v>
          </cell>
        </row>
        <row r="9">
          <cell r="A9" t="str">
            <v>South Korea</v>
          </cell>
          <cell r="B9">
            <v>0.76</v>
          </cell>
          <cell r="C9">
            <v>0.24</v>
          </cell>
        </row>
        <row r="10">
          <cell r="A10" t="str">
            <v>Myanmar (Burma)</v>
          </cell>
        </row>
        <row r="11">
          <cell r="A11" t="str">
            <v>Lesotho</v>
          </cell>
        </row>
        <row r="12">
          <cell r="A12" t="str">
            <v>Cook Islands</v>
          </cell>
        </row>
        <row r="13">
          <cell r="A13" t="str">
            <v>Tanzania</v>
          </cell>
        </row>
        <row r="14">
          <cell r="A14" t="str">
            <v>St. Helena</v>
          </cell>
        </row>
        <row r="15">
          <cell r="A15" t="str">
            <v>Liberia</v>
          </cell>
        </row>
        <row r="16">
          <cell r="A16" t="str">
            <v>Botswana</v>
          </cell>
        </row>
        <row r="17">
          <cell r="A17" t="str">
            <v>Iceland</v>
          </cell>
        </row>
        <row r="18">
          <cell r="A18" t="str">
            <v>Angola</v>
          </cell>
        </row>
        <row r="19">
          <cell r="A19" t="str">
            <v>Equatorial Guinea</v>
          </cell>
        </row>
        <row r="20">
          <cell r="A20" t="str">
            <v>Liechtenstein</v>
          </cell>
        </row>
        <row r="21">
          <cell r="A21" t="str">
            <v>Gibraltar</v>
          </cell>
        </row>
        <row r="22">
          <cell r="A22" t="str">
            <v>Canada</v>
          </cell>
          <cell r="B22">
            <v>0.82</v>
          </cell>
          <cell r="C22">
            <v>0.18</v>
          </cell>
        </row>
        <row r="23">
          <cell r="A23" t="str">
            <v>Solomon Islands</v>
          </cell>
        </row>
        <row r="24">
          <cell r="A24" t="str">
            <v>Somalia</v>
          </cell>
        </row>
        <row r="25">
          <cell r="A25" t="str">
            <v>Hong Kong</v>
          </cell>
          <cell r="B25">
            <v>0.71</v>
          </cell>
          <cell r="C25">
            <v>0.28999999999999998</v>
          </cell>
        </row>
        <row r="26">
          <cell r="A26" t="str">
            <v>Cameroon</v>
          </cell>
        </row>
        <row r="27">
          <cell r="A27" t="str">
            <v>Eswatini</v>
          </cell>
        </row>
        <row r="28">
          <cell r="A28" t="str">
            <v>Israel</v>
          </cell>
          <cell r="B28">
            <v>0.73</v>
          </cell>
          <cell r="C28">
            <v>0.27</v>
          </cell>
        </row>
        <row r="29">
          <cell r="A29" t="str">
            <v>Rwanda</v>
          </cell>
        </row>
        <row r="30">
          <cell r="A30" t="str">
            <v>Taiwan</v>
          </cell>
          <cell r="B30">
            <v>0.71</v>
          </cell>
          <cell r="C30">
            <v>0.28999999999999998</v>
          </cell>
        </row>
        <row r="31">
          <cell r="A31" t="str">
            <v>India</v>
          </cell>
          <cell r="B31">
            <v>0.68</v>
          </cell>
          <cell r="C31">
            <v>0.32</v>
          </cell>
        </row>
        <row r="32">
          <cell r="A32" t="str">
            <v>Uganda</v>
          </cell>
        </row>
        <row r="33">
          <cell r="A33" t="str">
            <v>Germany</v>
          </cell>
          <cell r="B33">
            <v>0.76</v>
          </cell>
          <cell r="C33">
            <v>0.24</v>
          </cell>
        </row>
        <row r="34">
          <cell r="A34" t="str">
            <v>Haiti</v>
          </cell>
        </row>
        <row r="35">
          <cell r="A35" t="str">
            <v>Belarus</v>
          </cell>
          <cell r="B35">
            <v>0.79</v>
          </cell>
          <cell r="C35">
            <v>0.21</v>
          </cell>
        </row>
        <row r="36">
          <cell r="A36" t="str">
            <v>Timor-Leste</v>
          </cell>
        </row>
        <row r="37">
          <cell r="A37" t="str">
            <v>Bangladesh</v>
          </cell>
          <cell r="B37">
            <v>0.8</v>
          </cell>
          <cell r="C37">
            <v>0.2</v>
          </cell>
        </row>
        <row r="38">
          <cell r="A38" t="str">
            <v>Fiji</v>
          </cell>
        </row>
        <row r="39">
          <cell r="A39" t="str">
            <v>Luxembourg</v>
          </cell>
        </row>
        <row r="40">
          <cell r="A40" t="str">
            <v>Burundi</v>
          </cell>
        </row>
        <row r="41">
          <cell r="A41" t="str">
            <v>Sri Lanka</v>
          </cell>
          <cell r="B41">
            <v>0.71</v>
          </cell>
          <cell r="C41">
            <v>0.28999999999999998</v>
          </cell>
        </row>
        <row r="42">
          <cell r="A42" t="str">
            <v>Kenya</v>
          </cell>
          <cell r="B42">
            <v>0.73</v>
          </cell>
          <cell r="C42">
            <v>0.27</v>
          </cell>
        </row>
        <row r="43">
          <cell r="A43" t="str">
            <v>Japan</v>
          </cell>
          <cell r="B43">
            <v>0.74</v>
          </cell>
          <cell r="C43">
            <v>0.26</v>
          </cell>
        </row>
        <row r="44">
          <cell r="A44" t="str">
            <v>Singapore</v>
          </cell>
          <cell r="B44">
            <v>0.63</v>
          </cell>
          <cell r="C44">
            <v>0.37</v>
          </cell>
        </row>
        <row r="45">
          <cell r="A45" t="str">
            <v>Chad</v>
          </cell>
        </row>
        <row r="46">
          <cell r="A46" t="str">
            <v>Macao</v>
          </cell>
        </row>
        <row r="47">
          <cell r="A47" t="str">
            <v>Ghana</v>
          </cell>
        </row>
        <row r="48">
          <cell r="A48" t="str">
            <v>Switzerland</v>
          </cell>
          <cell r="B48">
            <v>0.71</v>
          </cell>
          <cell r="C48">
            <v>0.28999999999999998</v>
          </cell>
        </row>
        <row r="49">
          <cell r="A49" t="str">
            <v>Zambia</v>
          </cell>
        </row>
        <row r="50">
          <cell r="A50" t="str">
            <v>Austria</v>
          </cell>
          <cell r="B50">
            <v>0.75</v>
          </cell>
          <cell r="C50">
            <v>0.25</v>
          </cell>
        </row>
        <row r="51">
          <cell r="A51" t="str">
            <v>Mozambique</v>
          </cell>
        </row>
        <row r="52">
          <cell r="A52" t="str">
            <v>Cambodia</v>
          </cell>
        </row>
        <row r="53">
          <cell r="A53" t="str">
            <v>Nepal</v>
          </cell>
        </row>
        <row r="54">
          <cell r="A54" t="str">
            <v>Madagascar</v>
          </cell>
        </row>
        <row r="55">
          <cell r="A55" t="str">
            <v>Czechia</v>
          </cell>
          <cell r="B55">
            <v>0.65</v>
          </cell>
          <cell r="C55">
            <v>0.35</v>
          </cell>
        </row>
        <row r="56">
          <cell r="A56" t="str">
            <v>CÃ´te dâ€™Ivoire</v>
          </cell>
        </row>
        <row r="57">
          <cell r="A57" t="str">
            <v>Monaco</v>
          </cell>
        </row>
        <row r="58">
          <cell r="A58" t="str">
            <v>Malta</v>
          </cell>
        </row>
        <row r="59">
          <cell r="A59" t="str">
            <v>Benin</v>
          </cell>
        </row>
        <row r="60">
          <cell r="A60" t="str">
            <v>South Sudan</v>
          </cell>
        </row>
        <row r="61">
          <cell r="A61" t="str">
            <v>Ukraine</v>
          </cell>
          <cell r="B61">
            <v>0.81</v>
          </cell>
          <cell r="C61">
            <v>0.19</v>
          </cell>
        </row>
        <row r="62">
          <cell r="A62" t="str">
            <v>Niger</v>
          </cell>
        </row>
        <row r="63">
          <cell r="A63" t="str">
            <v>Uzbekistan</v>
          </cell>
        </row>
        <row r="64">
          <cell r="A64" t="str">
            <v>North Macedonia</v>
          </cell>
        </row>
        <row r="65">
          <cell r="A65" t="str">
            <v>Russia</v>
          </cell>
          <cell r="B65">
            <v>0.73</v>
          </cell>
          <cell r="C65">
            <v>0.27</v>
          </cell>
        </row>
        <row r="66">
          <cell r="A66" t="str">
            <v>Burkina Faso</v>
          </cell>
        </row>
        <row r="67">
          <cell r="A67" t="str">
            <v>Mongolia</v>
          </cell>
        </row>
        <row r="68">
          <cell r="A68" t="str">
            <v>Andorra</v>
          </cell>
        </row>
        <row r="69">
          <cell r="A69" t="str">
            <v>Cape Verde</v>
          </cell>
        </row>
        <row r="70">
          <cell r="A70" t="str">
            <v>El Salvador</v>
          </cell>
        </row>
        <row r="71">
          <cell r="A71" t="str">
            <v>Oman</v>
          </cell>
        </row>
        <row r="72">
          <cell r="A72" t="str">
            <v>Iran</v>
          </cell>
          <cell r="B72">
            <v>0.75</v>
          </cell>
          <cell r="C72">
            <v>0.25</v>
          </cell>
        </row>
        <row r="73">
          <cell r="A73" t="str">
            <v>Gambia</v>
          </cell>
        </row>
        <row r="74">
          <cell r="A74" t="str">
            <v>Isle of Man</v>
          </cell>
        </row>
        <row r="75">
          <cell r="A75" t="str">
            <v>Zimbabwe</v>
          </cell>
        </row>
        <row r="76">
          <cell r="A76" t="str">
            <v>Nigeria</v>
          </cell>
          <cell r="B76">
            <v>0.75</v>
          </cell>
          <cell r="C76">
            <v>0.25</v>
          </cell>
        </row>
        <row r="77">
          <cell r="A77" t="str">
            <v>Finland</v>
          </cell>
          <cell r="B77">
            <v>0.69</v>
          </cell>
          <cell r="C77">
            <v>0.31</v>
          </cell>
        </row>
        <row r="78">
          <cell r="A78" t="str">
            <v>Greenland</v>
          </cell>
        </row>
        <row r="79">
          <cell r="A79" t="str">
            <v>Norway</v>
          </cell>
          <cell r="B79">
            <v>0.69</v>
          </cell>
          <cell r="C79">
            <v>0.31</v>
          </cell>
        </row>
        <row r="80">
          <cell r="A80" t="str">
            <v>Malawi</v>
          </cell>
        </row>
        <row r="81">
          <cell r="A81" t="str">
            <v>Barbados</v>
          </cell>
        </row>
        <row r="82">
          <cell r="A82" t="str">
            <v>Mexico</v>
          </cell>
          <cell r="B82">
            <v>0.75</v>
          </cell>
          <cell r="C82">
            <v>0.25</v>
          </cell>
        </row>
        <row r="83">
          <cell r="A83" t="str">
            <v>New Zealand</v>
          </cell>
          <cell r="B83">
            <v>0.69</v>
          </cell>
          <cell r="C83">
            <v>0.31</v>
          </cell>
        </row>
        <row r="84">
          <cell r="A84" t="str">
            <v>Romania</v>
          </cell>
          <cell r="B84">
            <v>0.75</v>
          </cell>
          <cell r="C84">
            <v>0.25</v>
          </cell>
        </row>
        <row r="85">
          <cell r="A85" t="str">
            <v>Estonia</v>
          </cell>
        </row>
        <row r="86">
          <cell r="A86" t="str">
            <v>Philippines</v>
          </cell>
          <cell r="B86">
            <v>0.68</v>
          </cell>
          <cell r="C86">
            <v>0.32</v>
          </cell>
        </row>
        <row r="87">
          <cell r="A87" t="str">
            <v>Faroe Islands</v>
          </cell>
        </row>
        <row r="88">
          <cell r="A88" t="str">
            <v>Namibia</v>
          </cell>
        </row>
        <row r="89">
          <cell r="A89" t="str">
            <v>Togo</v>
          </cell>
        </row>
        <row r="90">
          <cell r="A90" t="str">
            <v>Armenia</v>
          </cell>
        </row>
        <row r="91">
          <cell r="A91" t="str">
            <v>Bhutan</v>
          </cell>
        </row>
        <row r="92">
          <cell r="A92" t="str">
            <v>Jamaica</v>
          </cell>
        </row>
        <row r="93">
          <cell r="A93" t="str">
            <v>Malaysia</v>
          </cell>
          <cell r="B93">
            <v>0.72</v>
          </cell>
          <cell r="C93">
            <v>0.28000000000000003</v>
          </cell>
        </row>
        <row r="94">
          <cell r="A94" t="str">
            <v>Portugal</v>
          </cell>
          <cell r="B94">
            <v>0.71</v>
          </cell>
          <cell r="C94">
            <v>0.28999999999999998</v>
          </cell>
        </row>
        <row r="95">
          <cell r="A95" t="str">
            <v>Costa Rica</v>
          </cell>
          <cell r="B95">
            <v>0.69</v>
          </cell>
          <cell r="C95">
            <v>0.31</v>
          </cell>
        </row>
        <row r="96">
          <cell r="A96" t="str">
            <v>Maldives</v>
          </cell>
        </row>
        <row r="97">
          <cell r="A97" t="str">
            <v>Mali</v>
          </cell>
        </row>
        <row r="98">
          <cell r="A98" t="str">
            <v>United States</v>
          </cell>
          <cell r="B98">
            <v>0.67</v>
          </cell>
          <cell r="C98">
            <v>0.33</v>
          </cell>
        </row>
        <row r="99">
          <cell r="A99" t="str">
            <v>Mauritius</v>
          </cell>
        </row>
        <row r="100">
          <cell r="A100" t="str">
            <v>Guatemala</v>
          </cell>
          <cell r="B100">
            <v>0.72</v>
          </cell>
          <cell r="C100">
            <v>0.28000000000000003</v>
          </cell>
        </row>
        <row r="101">
          <cell r="A101" t="str">
            <v>Senegal</v>
          </cell>
        </row>
        <row r="102">
          <cell r="A102" t="str">
            <v>Congo - Kinshasa</v>
          </cell>
        </row>
        <row r="103">
          <cell r="A103" t="str">
            <v>Cayman Islands</v>
          </cell>
        </row>
        <row r="104">
          <cell r="A104" t="str">
            <v>South Africa</v>
          </cell>
          <cell r="B104">
            <v>0.69</v>
          </cell>
          <cell r="C104">
            <v>0.31</v>
          </cell>
        </row>
        <row r="105">
          <cell r="A105" t="str">
            <v>Denmark</v>
          </cell>
          <cell r="B105">
            <v>0.72</v>
          </cell>
          <cell r="C105">
            <v>0.28000000000000003</v>
          </cell>
        </row>
        <row r="106">
          <cell r="A106" t="str">
            <v>Guyana</v>
          </cell>
        </row>
        <row r="107">
          <cell r="A107" t="str">
            <v>St. Lucia</v>
          </cell>
        </row>
        <row r="108">
          <cell r="A108" t="str">
            <v>Congo - Brazzaville</v>
          </cell>
        </row>
        <row r="109">
          <cell r="A109" t="str">
            <v>Aruba</v>
          </cell>
        </row>
        <row r="110">
          <cell r="A110" t="str">
            <v>Ireland</v>
          </cell>
          <cell r="B110">
            <v>0.67</v>
          </cell>
          <cell r="C110">
            <v>0.33</v>
          </cell>
        </row>
        <row r="111">
          <cell r="A111" t="str">
            <v>United Arab Emirates</v>
          </cell>
          <cell r="B111">
            <v>0.7</v>
          </cell>
          <cell r="C111">
            <v>0.3</v>
          </cell>
        </row>
        <row r="112">
          <cell r="A112" t="str">
            <v>Seychelles</v>
          </cell>
        </row>
        <row r="113">
          <cell r="A113" t="str">
            <v>Nicaragua</v>
          </cell>
        </row>
        <row r="114">
          <cell r="A114" t="str">
            <v>Qatar</v>
          </cell>
        </row>
        <row r="115">
          <cell r="A115" t="str">
            <v>Jersey</v>
          </cell>
        </row>
        <row r="116">
          <cell r="A116" t="str">
            <v>Indonesia</v>
          </cell>
          <cell r="B116">
            <v>0.72</v>
          </cell>
          <cell r="C116">
            <v>0.28000000000000003</v>
          </cell>
        </row>
        <row r="117">
          <cell r="A117" t="str">
            <v>Moldova</v>
          </cell>
        </row>
        <row r="118">
          <cell r="A118" t="str">
            <v>Honduras</v>
          </cell>
        </row>
        <row r="119">
          <cell r="A119" t="str">
            <v>United Kingdom</v>
          </cell>
          <cell r="B119">
            <v>0.69</v>
          </cell>
          <cell r="C119">
            <v>0.31</v>
          </cell>
        </row>
        <row r="120">
          <cell r="A120" t="str">
            <v>Bosnia &amp; Herzegovina</v>
          </cell>
        </row>
        <row r="121">
          <cell r="A121" t="str">
            <v>Tajikistan</v>
          </cell>
        </row>
        <row r="122">
          <cell r="A122" t="str">
            <v>Pakistan</v>
          </cell>
          <cell r="B122">
            <v>0.65</v>
          </cell>
          <cell r="C122">
            <v>0.35</v>
          </cell>
        </row>
        <row r="123">
          <cell r="A123" t="str">
            <v>Sweden</v>
          </cell>
          <cell r="B123">
            <v>0.64</v>
          </cell>
          <cell r="C123">
            <v>0.36</v>
          </cell>
        </row>
        <row r="124">
          <cell r="A124" t="str">
            <v>Tunisia</v>
          </cell>
          <cell r="B124">
            <v>0.57999999999999996</v>
          </cell>
          <cell r="C124">
            <v>0.42</v>
          </cell>
        </row>
        <row r="125">
          <cell r="A125" t="str">
            <v>Ecuador</v>
          </cell>
          <cell r="B125">
            <v>0.67</v>
          </cell>
          <cell r="C125">
            <v>0.33</v>
          </cell>
        </row>
        <row r="126">
          <cell r="A126" t="str">
            <v>Turkmenistan</v>
          </cell>
        </row>
        <row r="127">
          <cell r="A127" t="str">
            <v>U.S. Virgin Islands</v>
          </cell>
        </row>
        <row r="128">
          <cell r="A128" t="str">
            <v>Latvia</v>
          </cell>
        </row>
        <row r="129">
          <cell r="A129" t="str">
            <v>Slovakia</v>
          </cell>
          <cell r="B129">
            <v>0.66</v>
          </cell>
          <cell r="C129">
            <v>0.34</v>
          </cell>
        </row>
        <row r="130">
          <cell r="A130" t="str">
            <v>Australia</v>
          </cell>
          <cell r="B130">
            <v>0.66</v>
          </cell>
          <cell r="C130">
            <v>0.34</v>
          </cell>
        </row>
        <row r="131">
          <cell r="A131" t="str">
            <v>Uruguay</v>
          </cell>
          <cell r="B131">
            <v>0.59</v>
          </cell>
          <cell r="C131">
            <v>0.41</v>
          </cell>
        </row>
        <row r="132">
          <cell r="A132" t="str">
            <v>Belgium</v>
          </cell>
          <cell r="B132">
            <v>0.65</v>
          </cell>
          <cell r="C132">
            <v>0.35</v>
          </cell>
        </row>
        <row r="133">
          <cell r="A133" t="str">
            <v>Hungary</v>
          </cell>
          <cell r="B133">
            <v>0.68</v>
          </cell>
          <cell r="C133">
            <v>0.32</v>
          </cell>
        </row>
        <row r="134">
          <cell r="A134" t="str">
            <v>French Polynesia</v>
          </cell>
        </row>
        <row r="135">
          <cell r="A135" t="str">
            <v>Djibouti</v>
          </cell>
        </row>
        <row r="136">
          <cell r="A136" t="str">
            <v>Dominican Republic</v>
          </cell>
          <cell r="B136">
            <v>0.67</v>
          </cell>
          <cell r="C136">
            <v>0.33</v>
          </cell>
        </row>
        <row r="137">
          <cell r="A137" t="str">
            <v>Spain</v>
          </cell>
          <cell r="B137">
            <v>0.67</v>
          </cell>
          <cell r="C137">
            <v>0.33</v>
          </cell>
        </row>
        <row r="138">
          <cell r="A138" t="str">
            <v>Netherlands</v>
          </cell>
          <cell r="B138">
            <v>0.66</v>
          </cell>
          <cell r="C138">
            <v>0.34</v>
          </cell>
        </row>
        <row r="139">
          <cell r="A139" t="str">
            <v>New Caledonia</v>
          </cell>
        </row>
        <row r="140">
          <cell r="A140" t="str">
            <v>Panama</v>
          </cell>
        </row>
        <row r="141">
          <cell r="A141" t="str">
            <v>Antigua &amp; Barbuda</v>
          </cell>
        </row>
        <row r="142">
          <cell r="A142" t="str">
            <v>Kazakhstan</v>
          </cell>
          <cell r="B142">
            <v>0.76</v>
          </cell>
          <cell r="C142">
            <v>0.24</v>
          </cell>
        </row>
        <row r="143">
          <cell r="A143" t="str">
            <v>Colombia</v>
          </cell>
          <cell r="B143">
            <v>0.66</v>
          </cell>
          <cell r="C143">
            <v>0.34</v>
          </cell>
        </row>
        <row r="144">
          <cell r="A144" t="str">
            <v>Bulgaria</v>
          </cell>
          <cell r="B144">
            <v>0.69</v>
          </cell>
          <cell r="C144">
            <v>0.31</v>
          </cell>
        </row>
        <row r="145">
          <cell r="A145" t="str">
            <v>Guinea</v>
          </cell>
        </row>
        <row r="146">
          <cell r="A146" t="str">
            <v>Afghanistan</v>
          </cell>
        </row>
        <row r="147">
          <cell r="A147" t="str">
            <v>Guernsey</v>
          </cell>
        </row>
        <row r="148">
          <cell r="A148" t="str">
            <v>Paraguay</v>
          </cell>
        </row>
        <row r="149">
          <cell r="A149" t="str">
            <v>Morocco</v>
          </cell>
          <cell r="B149">
            <v>0.66</v>
          </cell>
          <cell r="C149">
            <v>0.34</v>
          </cell>
        </row>
        <row r="150">
          <cell r="A150" t="str">
            <v>Bermuda</v>
          </cell>
        </row>
        <row r="151">
          <cell r="A151" t="str">
            <v>Kyrgyzstan</v>
          </cell>
        </row>
        <row r="152">
          <cell r="A152" t="str">
            <v>Lebanon</v>
          </cell>
        </row>
        <row r="153">
          <cell r="A153" t="str">
            <v>France</v>
          </cell>
          <cell r="B153">
            <v>0.67</v>
          </cell>
          <cell r="C153">
            <v>0.33</v>
          </cell>
        </row>
        <row r="154">
          <cell r="A154" t="str">
            <v>Mauritania</v>
          </cell>
        </row>
        <row r="155">
          <cell r="A155" t="str">
            <v>Suriname</v>
          </cell>
        </row>
        <row r="156">
          <cell r="A156" t="str">
            <v>Gabon</v>
          </cell>
        </row>
        <row r="157">
          <cell r="A157" t="str">
            <v>Vietnam</v>
          </cell>
          <cell r="B157">
            <v>0.75</v>
          </cell>
          <cell r="C157">
            <v>0.25</v>
          </cell>
        </row>
        <row r="158">
          <cell r="A158" t="str">
            <v>Sierra Leone</v>
          </cell>
        </row>
        <row r="159">
          <cell r="A159" t="str">
            <v>Poland</v>
          </cell>
          <cell r="B159">
            <v>0.65</v>
          </cell>
          <cell r="C159">
            <v>0.35</v>
          </cell>
        </row>
        <row r="160">
          <cell r="A160" t="str">
            <v>Peru</v>
          </cell>
          <cell r="B160">
            <v>0.68</v>
          </cell>
          <cell r="C160">
            <v>0.32</v>
          </cell>
        </row>
        <row r="161">
          <cell r="A161" t="str">
            <v>Trinidad &amp; Tobago</v>
          </cell>
        </row>
        <row r="162">
          <cell r="A162" t="str">
            <v>Croatia</v>
          </cell>
          <cell r="B162">
            <v>0.7</v>
          </cell>
          <cell r="C162">
            <v>0.3</v>
          </cell>
        </row>
        <row r="163">
          <cell r="A163" t="str">
            <v>Albania</v>
          </cell>
        </row>
        <row r="164">
          <cell r="A164" t="str">
            <v>Grenada</v>
          </cell>
        </row>
        <row r="165">
          <cell r="A165" t="str">
            <v>Georgia</v>
          </cell>
        </row>
        <row r="166">
          <cell r="A166" t="str">
            <v>Sudan</v>
          </cell>
        </row>
        <row r="167">
          <cell r="A167" t="str">
            <v>Bahrain</v>
          </cell>
        </row>
        <row r="168">
          <cell r="A168" t="str">
            <v>Syria</v>
          </cell>
        </row>
        <row r="169">
          <cell r="A169" t="str">
            <v>Brazil</v>
          </cell>
          <cell r="B169">
            <v>0.65</v>
          </cell>
          <cell r="C169">
            <v>0.35</v>
          </cell>
        </row>
        <row r="170">
          <cell r="A170" t="str">
            <v>Serbia</v>
          </cell>
          <cell r="B170">
            <v>0.72</v>
          </cell>
          <cell r="C170">
            <v>0.28000000000000003</v>
          </cell>
        </row>
        <row r="171">
          <cell r="A171" t="str">
            <v>Guam</v>
          </cell>
        </row>
        <row r="172">
          <cell r="A172" t="str">
            <v>Yemen</v>
          </cell>
        </row>
        <row r="173">
          <cell r="A173" t="str">
            <v>Martinique</v>
          </cell>
        </row>
        <row r="174">
          <cell r="A174" t="str">
            <v>Algeria</v>
          </cell>
          <cell r="B174">
            <v>0.72</v>
          </cell>
          <cell r="C174">
            <v>0.28000000000000003</v>
          </cell>
        </row>
        <row r="175">
          <cell r="A175" t="str">
            <v>Puerto Rico</v>
          </cell>
        </row>
        <row r="176">
          <cell r="A176" t="str">
            <v>Venezuela</v>
          </cell>
          <cell r="B176">
            <v>0.71</v>
          </cell>
          <cell r="C176">
            <v>0.28999999999999998</v>
          </cell>
        </row>
        <row r="177">
          <cell r="A177" t="str">
            <v>Laos</v>
          </cell>
        </row>
        <row r="178">
          <cell r="A178" t="str">
            <v>Cyprus</v>
          </cell>
        </row>
        <row r="179">
          <cell r="A179" t="str">
            <v>Argentina</v>
          </cell>
          <cell r="B179">
            <v>0.63</v>
          </cell>
          <cell r="C179">
            <v>0.37</v>
          </cell>
        </row>
        <row r="180">
          <cell r="A180" t="str">
            <v>Chile</v>
          </cell>
          <cell r="B180">
            <v>0.66</v>
          </cell>
          <cell r="C180">
            <v>0.34</v>
          </cell>
        </row>
        <row r="181">
          <cell r="A181" t="str">
            <v>Slovenia</v>
          </cell>
        </row>
        <row r="182">
          <cell r="A182" t="str">
            <v>Brunei</v>
          </cell>
        </row>
        <row r="183">
          <cell r="A183" t="str">
            <v>Kuwait</v>
          </cell>
        </row>
        <row r="184">
          <cell r="A184" t="str">
            <v>Italy</v>
          </cell>
          <cell r="B184">
            <v>0.6</v>
          </cell>
          <cell r="C184">
            <v>0.4</v>
          </cell>
        </row>
        <row r="185">
          <cell r="A185" t="str">
            <v>RÃ©union</v>
          </cell>
        </row>
        <row r="186">
          <cell r="A186" t="str">
            <v>Bolivia</v>
          </cell>
          <cell r="B186">
            <v>0.57999999999999996</v>
          </cell>
          <cell r="C186">
            <v>0.42</v>
          </cell>
        </row>
        <row r="187">
          <cell r="A187" t="str">
            <v>Guadeloupe</v>
          </cell>
        </row>
        <row r="188">
          <cell r="A188" t="str">
            <v>Jordan</v>
          </cell>
        </row>
        <row r="189">
          <cell r="A189" t="str">
            <v>Lithuania</v>
          </cell>
        </row>
        <row r="190">
          <cell r="A190" t="str">
            <v>Montenegro</v>
          </cell>
        </row>
        <row r="191">
          <cell r="A191" t="str">
            <v>Kosovo</v>
          </cell>
        </row>
        <row r="192">
          <cell r="A192" t="str">
            <v>Saudi Arabia</v>
          </cell>
          <cell r="B192">
            <v>0.74</v>
          </cell>
          <cell r="C192">
            <v>0.26</v>
          </cell>
        </row>
        <row r="193">
          <cell r="A193" t="str">
            <v>CuraÃ§ao</v>
          </cell>
        </row>
        <row r="194">
          <cell r="A194" t="str">
            <v>Egypt</v>
          </cell>
          <cell r="B194">
            <v>0.75</v>
          </cell>
          <cell r="C194">
            <v>0.25</v>
          </cell>
        </row>
        <row r="195">
          <cell r="A195" t="str">
            <v>Bahamas</v>
          </cell>
        </row>
        <row r="196">
          <cell r="A196" t="str">
            <v>Belize</v>
          </cell>
        </row>
        <row r="197">
          <cell r="A197" t="str">
            <v>Libya</v>
          </cell>
        </row>
        <row r="198">
          <cell r="A198" t="str">
            <v>Mayotte</v>
          </cell>
        </row>
        <row r="199">
          <cell r="A199" t="str">
            <v>Azerbaijan</v>
          </cell>
        </row>
        <row r="200">
          <cell r="A200" t="str">
            <v>Iraq</v>
          </cell>
        </row>
        <row r="201">
          <cell r="A201" t="str">
            <v>Greece</v>
          </cell>
          <cell r="B201">
            <v>0.57999999999999996</v>
          </cell>
          <cell r="C201">
            <v>0.42</v>
          </cell>
        </row>
        <row r="202">
          <cell r="A202" t="str">
            <v>French Guiana</v>
          </cell>
        </row>
        <row r="203">
          <cell r="A203" t="str">
            <v>Palestine</v>
          </cell>
        </row>
        <row r="204">
          <cell r="A204" t="str">
            <v>Thailand</v>
          </cell>
          <cell r="B204">
            <v>0.63</v>
          </cell>
          <cell r="C204">
            <v>0.37</v>
          </cell>
        </row>
        <row r="205">
          <cell r="A205" t="str">
            <v>Turkey</v>
          </cell>
          <cell r="B205">
            <v>0.68</v>
          </cell>
          <cell r="C205">
            <v>0.32</v>
          </cell>
        </row>
        <row r="206">
          <cell r="A206" t="str">
            <v>North Korea</v>
          </cell>
        </row>
        <row r="207">
          <cell r="A207" t="str">
            <v>Kiribati</v>
          </cell>
        </row>
        <row r="208">
          <cell r="A208" t="str">
            <v>Marshall Islands</v>
          </cell>
        </row>
        <row r="209">
          <cell r="A209" t="str">
            <v>Palau</v>
          </cell>
        </row>
        <row r="210">
          <cell r="A210" t="str">
            <v>Eritrea</v>
          </cell>
        </row>
        <row r="211">
          <cell r="A211" t="str">
            <v>SÃ£o TomÃ© &amp; PrÃ­ncipe</v>
          </cell>
        </row>
        <row r="212">
          <cell r="A212" t="str">
            <v>Tonga</v>
          </cell>
        </row>
        <row r="213">
          <cell r="A213" t="str">
            <v>Guinea-Bissau</v>
          </cell>
        </row>
        <row r="214">
          <cell r="A214" t="str">
            <v>Micronesia</v>
          </cell>
        </row>
        <row r="215">
          <cell r="A215" t="str">
            <v>Vanuatu</v>
          </cell>
        </row>
        <row r="216">
          <cell r="A216" t="str">
            <v>Samoa</v>
          </cell>
        </row>
        <row r="217">
          <cell r="A217" t="str">
            <v>Central African Republic</v>
          </cell>
        </row>
        <row r="218">
          <cell r="A218" t="str">
            <v>Northern Mariana Islands</v>
          </cell>
        </row>
        <row r="219">
          <cell r="A219" t="str">
            <v>Caribbean Netherlands</v>
          </cell>
        </row>
        <row r="220">
          <cell r="A220" t="str">
            <v>Sint Maarten</v>
          </cell>
        </row>
        <row r="221">
          <cell r="A221" t="str">
            <v>Turks &amp; Caicos Islands</v>
          </cell>
        </row>
        <row r="222">
          <cell r="A222" t="str">
            <v>St. Pierre &amp; Miquelon</v>
          </cell>
        </row>
        <row r="223">
          <cell r="A223" t="str">
            <v>Comoros</v>
          </cell>
        </row>
        <row r="224">
          <cell r="A224" t="str">
            <v>Ã…land Islands</v>
          </cell>
        </row>
        <row r="225">
          <cell r="A225" t="str">
            <v>St. Martin</v>
          </cell>
        </row>
        <row r="226">
          <cell r="A226" t="str">
            <v>St. Kitts &amp; Nevis</v>
          </cell>
        </row>
        <row r="227">
          <cell r="A227" t="str">
            <v>Anguilla</v>
          </cell>
        </row>
        <row r="228">
          <cell r="A228" t="str">
            <v>St. BarthÃ©lemy</v>
          </cell>
        </row>
        <row r="229">
          <cell r="A229" t="str">
            <v>Dominica</v>
          </cell>
        </row>
        <row r="230">
          <cell r="A230" t="str">
            <v>St. Vincent &amp; Grenadines</v>
          </cell>
        </row>
        <row r="231">
          <cell r="A231" t="str">
            <v>San Marino</v>
          </cell>
        </row>
        <row r="232">
          <cell r="A232" t="str">
            <v>American Samoa</v>
          </cell>
        </row>
        <row r="233">
          <cell r="A233" t="str">
            <v>Antarctica</v>
          </cell>
        </row>
        <row r="234">
          <cell r="A234" t="str">
            <v>French Southern Territories</v>
          </cell>
        </row>
        <row r="235">
          <cell r="A235" t="str">
            <v>Bouvet Island</v>
          </cell>
        </row>
        <row r="236">
          <cell r="A236" t="str">
            <v>Cocos (Keeling) Islands</v>
          </cell>
        </row>
        <row r="237">
          <cell r="A237" t="str">
            <v>Christmas Island</v>
          </cell>
        </row>
        <row r="238">
          <cell r="A238" t="str">
            <v>Western Sahara</v>
          </cell>
        </row>
        <row r="239">
          <cell r="A239" t="str">
            <v>Falkland Islands (Islas Malvinas)</v>
          </cell>
        </row>
        <row r="240">
          <cell r="A240" t="str">
            <v>Heard &amp; McDonald Islands</v>
          </cell>
        </row>
        <row r="241">
          <cell r="A241" t="str">
            <v>Montserrat</v>
          </cell>
        </row>
        <row r="242">
          <cell r="A242" t="str">
            <v>Norfolk Island</v>
          </cell>
        </row>
        <row r="243">
          <cell r="A243" t="str">
            <v>Niue</v>
          </cell>
        </row>
        <row r="244">
          <cell r="A244" t="str">
            <v>Nauru</v>
          </cell>
        </row>
        <row r="245">
          <cell r="A245" t="str">
            <v>Pitcairn Islands</v>
          </cell>
        </row>
        <row r="246">
          <cell r="A246" t="str">
            <v>South Georgia &amp; South Sandwich Islands</v>
          </cell>
        </row>
        <row r="247">
          <cell r="A247" t="str">
            <v>Svalbard &amp; Jan Mayen</v>
          </cell>
        </row>
        <row r="248">
          <cell r="A248" t="str">
            <v>Tokelau</v>
          </cell>
        </row>
        <row r="249">
          <cell r="A249" t="str">
            <v>Tuvalu</v>
          </cell>
        </row>
        <row r="250">
          <cell r="A250" t="str">
            <v>U.S. Outlying Islands</v>
          </cell>
        </row>
        <row r="251">
          <cell r="A251" t="str">
            <v>Vatican City</v>
          </cell>
        </row>
        <row r="252">
          <cell r="A252" t="str">
            <v>British Virgin Islands</v>
          </cell>
        </row>
        <row r="253">
          <cell r="A253" t="str">
            <v>Wallis &amp; Futuna</v>
          </cell>
        </row>
      </sheetData>
    </sheetDataSet>
  </externalBook>
</externalLink>
</file>

<file path=xl/externalLinks/externalLink3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31)"/>
    </sheetNames>
    <sheetDataSet>
      <sheetData sheetId="0">
        <row r="1">
          <cell r="A1" t="str">
            <v>Category: All categories</v>
          </cell>
        </row>
        <row r="3">
          <cell r="A3" t="str">
            <v>Country</v>
          </cell>
          <cell r="B3" t="str">
            <v>Heap: (2014)</v>
          </cell>
          <cell r="C3" t="str">
            <v>Logistic regression: (2014)</v>
          </cell>
        </row>
        <row r="4">
          <cell r="A4" t="str">
            <v>China</v>
          </cell>
          <cell r="B4">
            <v>0.83</v>
          </cell>
          <cell r="C4">
            <v>0.17</v>
          </cell>
        </row>
        <row r="5">
          <cell r="A5" t="str">
            <v>Ethiopia</v>
          </cell>
        </row>
        <row r="6">
          <cell r="A6" t="str">
            <v>South Korea</v>
          </cell>
          <cell r="B6">
            <v>0.76</v>
          </cell>
          <cell r="C6">
            <v>0.24</v>
          </cell>
        </row>
        <row r="7">
          <cell r="A7" t="str">
            <v>Hong Kong</v>
          </cell>
          <cell r="B7">
            <v>0.8</v>
          </cell>
          <cell r="C7">
            <v>0.2</v>
          </cell>
        </row>
        <row r="8">
          <cell r="A8" t="str">
            <v>Taiwan</v>
          </cell>
          <cell r="B8">
            <v>0.83</v>
          </cell>
          <cell r="C8">
            <v>0.17</v>
          </cell>
        </row>
        <row r="9">
          <cell r="A9" t="str">
            <v>Macao</v>
          </cell>
        </row>
        <row r="10">
          <cell r="A10" t="str">
            <v>India</v>
          </cell>
          <cell r="B10">
            <v>0.82</v>
          </cell>
          <cell r="C10">
            <v>0.18</v>
          </cell>
        </row>
        <row r="11">
          <cell r="A11" t="str">
            <v>Israel</v>
          </cell>
          <cell r="B11">
            <v>0.87</v>
          </cell>
          <cell r="C11">
            <v>0.13</v>
          </cell>
        </row>
        <row r="12">
          <cell r="A12" t="str">
            <v>St. Helena</v>
          </cell>
        </row>
        <row r="13">
          <cell r="A13" t="str">
            <v>New Zealand</v>
          </cell>
          <cell r="B13">
            <v>0.81</v>
          </cell>
          <cell r="C13">
            <v>0.19</v>
          </cell>
        </row>
        <row r="14">
          <cell r="A14" t="str">
            <v>Estonia</v>
          </cell>
        </row>
        <row r="15">
          <cell r="A15" t="str">
            <v>Singapore</v>
          </cell>
          <cell r="B15">
            <v>0.68</v>
          </cell>
          <cell r="C15">
            <v>0.32</v>
          </cell>
        </row>
        <row r="16">
          <cell r="A16" t="str">
            <v>Rwanda</v>
          </cell>
        </row>
        <row r="17">
          <cell r="A17" t="str">
            <v>Nepal</v>
          </cell>
        </row>
        <row r="18">
          <cell r="A18" t="str">
            <v>Belarus</v>
          </cell>
        </row>
        <row r="19">
          <cell r="A19" t="str">
            <v>United States</v>
          </cell>
          <cell r="B19">
            <v>0.7</v>
          </cell>
          <cell r="C19">
            <v>0.3</v>
          </cell>
        </row>
        <row r="20">
          <cell r="A20" t="str">
            <v>Australia</v>
          </cell>
          <cell r="B20">
            <v>0.75</v>
          </cell>
          <cell r="C20">
            <v>0.25</v>
          </cell>
        </row>
        <row r="21">
          <cell r="A21" t="str">
            <v>Malawi</v>
          </cell>
        </row>
        <row r="22">
          <cell r="A22" t="str">
            <v>Iceland</v>
          </cell>
        </row>
        <row r="23">
          <cell r="A23" t="str">
            <v>Sri Lanka</v>
          </cell>
          <cell r="B23">
            <v>0.63</v>
          </cell>
          <cell r="C23">
            <v>0.37</v>
          </cell>
        </row>
        <row r="24">
          <cell r="A24" t="str">
            <v>Uganda</v>
          </cell>
        </row>
        <row r="25">
          <cell r="A25" t="str">
            <v>Zimbabwe</v>
          </cell>
        </row>
        <row r="26">
          <cell r="A26" t="str">
            <v>Russia</v>
          </cell>
          <cell r="B26">
            <v>0.94</v>
          </cell>
          <cell r="C26">
            <v>0.06</v>
          </cell>
        </row>
        <row r="27">
          <cell r="A27" t="str">
            <v>Pakistan</v>
          </cell>
          <cell r="B27">
            <v>0.77</v>
          </cell>
          <cell r="C27">
            <v>0.23</v>
          </cell>
        </row>
        <row r="28">
          <cell r="A28" t="str">
            <v>Uzbekistan</v>
          </cell>
        </row>
        <row r="29">
          <cell r="A29" t="str">
            <v>Zambia</v>
          </cell>
        </row>
        <row r="30">
          <cell r="A30" t="str">
            <v>Jamaica</v>
          </cell>
        </row>
        <row r="31">
          <cell r="A31" t="str">
            <v>Iran</v>
          </cell>
          <cell r="B31">
            <v>0.74</v>
          </cell>
          <cell r="C31">
            <v>0.26</v>
          </cell>
        </row>
        <row r="32">
          <cell r="A32" t="str">
            <v>Cameroon</v>
          </cell>
        </row>
        <row r="33">
          <cell r="A33" t="str">
            <v>Ghana</v>
          </cell>
        </row>
        <row r="34">
          <cell r="A34" t="str">
            <v>Kazakhstan</v>
          </cell>
        </row>
        <row r="35">
          <cell r="A35" t="str">
            <v>Czechia</v>
          </cell>
          <cell r="B35">
            <v>0.87</v>
          </cell>
          <cell r="C35">
            <v>0.13</v>
          </cell>
        </row>
        <row r="36">
          <cell r="A36" t="str">
            <v>Denmark</v>
          </cell>
          <cell r="B36">
            <v>0.69</v>
          </cell>
          <cell r="C36">
            <v>0.31</v>
          </cell>
        </row>
        <row r="37">
          <cell r="A37" t="str">
            <v>Tajikistan</v>
          </cell>
        </row>
        <row r="38">
          <cell r="A38" t="str">
            <v>Mauritius</v>
          </cell>
        </row>
        <row r="39">
          <cell r="A39" t="str">
            <v>Ukraine</v>
          </cell>
        </row>
        <row r="40">
          <cell r="A40" t="str">
            <v>Kenya</v>
          </cell>
          <cell r="B40">
            <v>0.46</v>
          </cell>
          <cell r="C40">
            <v>0.54</v>
          </cell>
        </row>
        <row r="41">
          <cell r="A41" t="str">
            <v>Bangladesh</v>
          </cell>
          <cell r="B41">
            <v>0.75</v>
          </cell>
          <cell r="C41">
            <v>0.25</v>
          </cell>
        </row>
        <row r="42">
          <cell r="A42" t="str">
            <v>Philippines</v>
          </cell>
          <cell r="B42">
            <v>0.79</v>
          </cell>
          <cell r="C42">
            <v>0.21</v>
          </cell>
        </row>
        <row r="43">
          <cell r="A43" t="str">
            <v>Kyrgyzstan</v>
          </cell>
        </row>
        <row r="44">
          <cell r="A44" t="str">
            <v>Malta</v>
          </cell>
        </row>
        <row r="45">
          <cell r="A45" t="str">
            <v>United Kingdom</v>
          </cell>
          <cell r="B45">
            <v>0.73</v>
          </cell>
          <cell r="C45">
            <v>0.27</v>
          </cell>
        </row>
        <row r="46">
          <cell r="A46" t="str">
            <v>Canada</v>
          </cell>
          <cell r="B46">
            <v>0.64</v>
          </cell>
          <cell r="C46">
            <v>0.36</v>
          </cell>
        </row>
        <row r="47">
          <cell r="A47" t="str">
            <v>Ireland</v>
          </cell>
          <cell r="B47">
            <v>0.7</v>
          </cell>
          <cell r="C47">
            <v>0.3</v>
          </cell>
        </row>
        <row r="48">
          <cell r="A48" t="str">
            <v>Lithuania</v>
          </cell>
        </row>
        <row r="49">
          <cell r="A49" t="str">
            <v>Luxembourg</v>
          </cell>
        </row>
        <row r="50">
          <cell r="A50" t="str">
            <v>Finland</v>
          </cell>
          <cell r="B50">
            <v>0.64</v>
          </cell>
          <cell r="C50">
            <v>0.36</v>
          </cell>
        </row>
        <row r="51">
          <cell r="A51" t="str">
            <v>Tanzania</v>
          </cell>
        </row>
        <row r="52">
          <cell r="A52" t="str">
            <v>Slovenia</v>
          </cell>
        </row>
        <row r="53">
          <cell r="A53" t="str">
            <v>Armenia</v>
          </cell>
        </row>
        <row r="54">
          <cell r="A54" t="str">
            <v>South Africa</v>
          </cell>
          <cell r="B54">
            <v>0.63</v>
          </cell>
          <cell r="C54">
            <v>0.37</v>
          </cell>
        </row>
        <row r="55">
          <cell r="A55" t="str">
            <v>Switzerland</v>
          </cell>
          <cell r="B55">
            <v>0.59</v>
          </cell>
          <cell r="C55">
            <v>0.41</v>
          </cell>
        </row>
        <row r="56">
          <cell r="A56" t="str">
            <v>Sweden</v>
          </cell>
          <cell r="B56">
            <v>0.63</v>
          </cell>
          <cell r="C56">
            <v>0.37</v>
          </cell>
        </row>
        <row r="57">
          <cell r="A57" t="str">
            <v>Lebanon</v>
          </cell>
        </row>
        <row r="58">
          <cell r="A58" t="str">
            <v>Trinidad &amp; Tobago</v>
          </cell>
        </row>
        <row r="59">
          <cell r="A59" t="str">
            <v>Latvia</v>
          </cell>
        </row>
        <row r="60">
          <cell r="A60" t="str">
            <v>Netherlands</v>
          </cell>
          <cell r="B60">
            <v>0.42</v>
          </cell>
          <cell r="C60">
            <v>0.57999999999999996</v>
          </cell>
        </row>
        <row r="61">
          <cell r="A61" t="str">
            <v>Burkina Faso</v>
          </cell>
        </row>
        <row r="62">
          <cell r="A62" t="str">
            <v>Japan</v>
          </cell>
          <cell r="B62">
            <v>0.67</v>
          </cell>
          <cell r="C62">
            <v>0.33</v>
          </cell>
        </row>
        <row r="63">
          <cell r="A63" t="str">
            <v>Moldova</v>
          </cell>
        </row>
        <row r="64">
          <cell r="A64" t="str">
            <v>Austria</v>
          </cell>
          <cell r="B64">
            <v>0.67</v>
          </cell>
          <cell r="C64">
            <v>0.33</v>
          </cell>
        </row>
        <row r="65">
          <cell r="A65" t="str">
            <v>Germany</v>
          </cell>
          <cell r="B65">
            <v>0.68</v>
          </cell>
          <cell r="C65">
            <v>0.32</v>
          </cell>
        </row>
        <row r="66">
          <cell r="A66" t="str">
            <v>Nigeria</v>
          </cell>
          <cell r="B66">
            <v>0.59</v>
          </cell>
          <cell r="C66">
            <v>0.41</v>
          </cell>
        </row>
        <row r="67">
          <cell r="A67" t="str">
            <v>Malaysia</v>
          </cell>
          <cell r="B67">
            <v>0.64</v>
          </cell>
          <cell r="C67">
            <v>0.36</v>
          </cell>
        </row>
        <row r="68">
          <cell r="A68" t="str">
            <v>Norway</v>
          </cell>
          <cell r="B68">
            <v>0.6</v>
          </cell>
          <cell r="C68">
            <v>0.4</v>
          </cell>
        </row>
        <row r="69">
          <cell r="A69" t="str">
            <v>Cyprus</v>
          </cell>
        </row>
        <row r="70">
          <cell r="A70" t="str">
            <v>Slovakia</v>
          </cell>
        </row>
        <row r="71">
          <cell r="A71" t="str">
            <v>Hungary</v>
          </cell>
          <cell r="B71">
            <v>0.85</v>
          </cell>
          <cell r="C71">
            <v>0.15</v>
          </cell>
        </row>
        <row r="72">
          <cell r="A72" t="str">
            <v>Romania</v>
          </cell>
          <cell r="B72">
            <v>0.86</v>
          </cell>
          <cell r="C72">
            <v>0.14000000000000001</v>
          </cell>
        </row>
        <row r="73">
          <cell r="A73" t="str">
            <v>Bulgaria</v>
          </cell>
        </row>
        <row r="74">
          <cell r="A74" t="str">
            <v>Maldives</v>
          </cell>
        </row>
        <row r="75">
          <cell r="A75" t="str">
            <v>Madagascar</v>
          </cell>
        </row>
        <row r="76">
          <cell r="A76" t="str">
            <v>Belgium</v>
          </cell>
          <cell r="B76">
            <v>0.54</v>
          </cell>
          <cell r="C76">
            <v>0.46</v>
          </cell>
        </row>
        <row r="77">
          <cell r="A77" t="str">
            <v>Croatia</v>
          </cell>
          <cell r="B77">
            <v>0.82</v>
          </cell>
          <cell r="C77">
            <v>0.18</v>
          </cell>
        </row>
        <row r="78">
          <cell r="A78" t="str">
            <v>Qatar</v>
          </cell>
        </row>
        <row r="79">
          <cell r="A79" t="str">
            <v>United Arab Emirates</v>
          </cell>
          <cell r="B79">
            <v>0.79</v>
          </cell>
          <cell r="C79">
            <v>0.21</v>
          </cell>
        </row>
        <row r="80">
          <cell r="A80" t="str">
            <v>Greece</v>
          </cell>
          <cell r="B80">
            <v>0.77</v>
          </cell>
          <cell r="C80">
            <v>0.23</v>
          </cell>
        </row>
        <row r="81">
          <cell r="A81" t="str">
            <v>Bosnia &amp; Herzegovina</v>
          </cell>
        </row>
        <row r="82">
          <cell r="A82" t="str">
            <v>North Macedonia</v>
          </cell>
        </row>
        <row r="83">
          <cell r="A83" t="str">
            <v>Georgia</v>
          </cell>
        </row>
        <row r="84">
          <cell r="A84" t="str">
            <v>Cambodia</v>
          </cell>
        </row>
        <row r="85">
          <cell r="A85" t="str">
            <v>Serbia</v>
          </cell>
          <cell r="B85">
            <v>0.81</v>
          </cell>
          <cell r="C85">
            <v>0.19</v>
          </cell>
        </row>
        <row r="86">
          <cell r="A86" t="str">
            <v>Oman</v>
          </cell>
        </row>
        <row r="87">
          <cell r="A87" t="str">
            <v>Poland</v>
          </cell>
          <cell r="B87">
            <v>0.8</v>
          </cell>
          <cell r="C87">
            <v>0.2</v>
          </cell>
        </row>
        <row r="88">
          <cell r="A88" t="str">
            <v>Bolivia</v>
          </cell>
        </row>
        <row r="89">
          <cell r="A89" t="str">
            <v>Portugal</v>
          </cell>
          <cell r="B89">
            <v>0.57999999999999996</v>
          </cell>
          <cell r="C89">
            <v>0.42</v>
          </cell>
        </row>
        <row r="90">
          <cell r="A90" t="str">
            <v>France</v>
          </cell>
          <cell r="B90">
            <v>0.68</v>
          </cell>
          <cell r="C90">
            <v>0.32</v>
          </cell>
        </row>
        <row r="91">
          <cell r="A91" t="str">
            <v>Laos</v>
          </cell>
        </row>
        <row r="92">
          <cell r="A92" t="str">
            <v>Uruguay</v>
          </cell>
        </row>
        <row r="93">
          <cell r="A93" t="str">
            <v>Costa Rica</v>
          </cell>
        </row>
        <row r="94">
          <cell r="A94" t="str">
            <v>Azerbaijan</v>
          </cell>
        </row>
        <row r="95">
          <cell r="A95" t="str">
            <v>Vietnam</v>
          </cell>
          <cell r="B95">
            <v>0.88</v>
          </cell>
          <cell r="C95">
            <v>0.12</v>
          </cell>
        </row>
        <row r="96">
          <cell r="A96" t="str">
            <v>Indonesia</v>
          </cell>
          <cell r="B96">
            <v>0.4</v>
          </cell>
          <cell r="C96">
            <v>0.6</v>
          </cell>
        </row>
        <row r="97">
          <cell r="A97" t="str">
            <v>Tunisia</v>
          </cell>
        </row>
        <row r="98">
          <cell r="A98" t="str">
            <v>Jordan</v>
          </cell>
        </row>
        <row r="99">
          <cell r="A99" t="str">
            <v>Puerto Rico</v>
          </cell>
        </row>
        <row r="100">
          <cell r="A100" t="str">
            <v>Bahrain</v>
          </cell>
        </row>
        <row r="101">
          <cell r="A101" t="str">
            <v>Thailand</v>
          </cell>
          <cell r="B101">
            <v>0.65</v>
          </cell>
          <cell r="C101">
            <v>0.35</v>
          </cell>
        </row>
        <row r="102">
          <cell r="A102" t="str">
            <v>Myanmar (Burma)</v>
          </cell>
        </row>
        <row r="103">
          <cell r="A103" t="str">
            <v>Kuwait</v>
          </cell>
        </row>
        <row r="104">
          <cell r="A104" t="str">
            <v>Italy</v>
          </cell>
          <cell r="B104">
            <v>0.68</v>
          </cell>
          <cell r="C104">
            <v>0.32</v>
          </cell>
        </row>
        <row r="105">
          <cell r="A105" t="str">
            <v>Spain</v>
          </cell>
          <cell r="B105">
            <v>0.63</v>
          </cell>
          <cell r="C105">
            <v>0.37</v>
          </cell>
        </row>
        <row r="106">
          <cell r="A106" t="str">
            <v>CÃ´te dâ€™Ivoire</v>
          </cell>
        </row>
        <row r="107">
          <cell r="A107" t="str">
            <v>Egypt</v>
          </cell>
          <cell r="B107">
            <v>0.79</v>
          </cell>
          <cell r="C107">
            <v>0.21</v>
          </cell>
        </row>
        <row r="108">
          <cell r="A108" t="str">
            <v>Iraq</v>
          </cell>
        </row>
        <row r="109">
          <cell r="A109" t="str">
            <v>Chile</v>
          </cell>
          <cell r="B109">
            <v>0.53</v>
          </cell>
          <cell r="C109">
            <v>0.47</v>
          </cell>
        </row>
        <row r="110">
          <cell r="A110" t="str">
            <v>Morocco</v>
          </cell>
          <cell r="B110">
            <v>0.6</v>
          </cell>
          <cell r="C110">
            <v>0.4</v>
          </cell>
        </row>
        <row r="111">
          <cell r="A111" t="str">
            <v>Paraguay</v>
          </cell>
        </row>
        <row r="112">
          <cell r="A112" t="str">
            <v>Peru</v>
          </cell>
          <cell r="B112">
            <v>0.43</v>
          </cell>
          <cell r="C112">
            <v>0.56999999999999995</v>
          </cell>
        </row>
        <row r="113">
          <cell r="A113" t="str">
            <v>Montenegro</v>
          </cell>
        </row>
        <row r="114">
          <cell r="A114" t="str">
            <v>Brazil</v>
          </cell>
          <cell r="B114">
            <v>0.73</v>
          </cell>
          <cell r="C114">
            <v>0.27</v>
          </cell>
        </row>
        <row r="115">
          <cell r="A115" t="str">
            <v>Sudan</v>
          </cell>
        </row>
        <row r="116">
          <cell r="A116" t="str">
            <v>Panama</v>
          </cell>
        </row>
        <row r="117">
          <cell r="A117" t="str">
            <v>Honduras</v>
          </cell>
        </row>
        <row r="118">
          <cell r="A118" t="str">
            <v>Turkey</v>
          </cell>
          <cell r="B118">
            <v>0.73</v>
          </cell>
          <cell r="C118">
            <v>0.27</v>
          </cell>
        </row>
        <row r="119">
          <cell r="A119" t="str">
            <v>Albania</v>
          </cell>
        </row>
        <row r="120">
          <cell r="A120" t="str">
            <v>Syria</v>
          </cell>
        </row>
        <row r="121">
          <cell r="A121" t="str">
            <v>Guatemala</v>
          </cell>
        </row>
        <row r="122">
          <cell r="A122" t="str">
            <v>Saudi Arabia</v>
          </cell>
          <cell r="B122">
            <v>0.73</v>
          </cell>
          <cell r="C122">
            <v>0.27</v>
          </cell>
        </row>
        <row r="123">
          <cell r="A123" t="str">
            <v>Dominican Republic</v>
          </cell>
        </row>
        <row r="124">
          <cell r="A124" t="str">
            <v>Argentina</v>
          </cell>
          <cell r="B124">
            <v>0.79</v>
          </cell>
          <cell r="C124">
            <v>0.21</v>
          </cell>
        </row>
        <row r="125">
          <cell r="A125" t="str">
            <v>Algeria</v>
          </cell>
        </row>
        <row r="126">
          <cell r="A126" t="str">
            <v>Ecuador</v>
          </cell>
        </row>
        <row r="127">
          <cell r="A127" t="str">
            <v>Colombia</v>
          </cell>
          <cell r="B127">
            <v>0.43</v>
          </cell>
          <cell r="C127">
            <v>0.56999999999999995</v>
          </cell>
        </row>
        <row r="128">
          <cell r="A128" t="str">
            <v>Mexico</v>
          </cell>
          <cell r="B128">
            <v>0.63</v>
          </cell>
          <cell r="C128">
            <v>0.37</v>
          </cell>
        </row>
        <row r="129">
          <cell r="A129" t="str">
            <v>RÃ©union</v>
          </cell>
        </row>
        <row r="130">
          <cell r="A130" t="str">
            <v>El Salvador</v>
          </cell>
        </row>
        <row r="131">
          <cell r="A131" t="str">
            <v>Venezuela</v>
          </cell>
        </row>
        <row r="132">
          <cell r="A132" t="str">
            <v>British Indian Ocean Territory</v>
          </cell>
        </row>
        <row r="133">
          <cell r="A133" t="str">
            <v>Tonga</v>
          </cell>
        </row>
        <row r="134">
          <cell r="A134" t="str">
            <v>Cook Islands</v>
          </cell>
        </row>
        <row r="135">
          <cell r="A135" t="str">
            <v>Equatorial Guinea</v>
          </cell>
        </row>
        <row r="136">
          <cell r="A136" t="str">
            <v>Vanuatu</v>
          </cell>
        </row>
        <row r="137">
          <cell r="A137" t="str">
            <v>Anguilla</v>
          </cell>
        </row>
        <row r="138">
          <cell r="A138" t="str">
            <v>Caribbean Netherlands</v>
          </cell>
        </row>
        <row r="139">
          <cell r="A139" t="str">
            <v>Samoa</v>
          </cell>
        </row>
        <row r="140">
          <cell r="A140" t="str">
            <v>Chad</v>
          </cell>
        </row>
        <row r="141">
          <cell r="A141" t="str">
            <v>Lesotho</v>
          </cell>
        </row>
        <row r="142">
          <cell r="A142" t="str">
            <v>Northern Mariana Islands</v>
          </cell>
        </row>
        <row r="143">
          <cell r="A143" t="str">
            <v>Cuba</v>
          </cell>
        </row>
        <row r="144">
          <cell r="A144" t="str">
            <v>Grenada</v>
          </cell>
        </row>
        <row r="145">
          <cell r="A145" t="str">
            <v>Greenland</v>
          </cell>
        </row>
        <row r="146">
          <cell r="A146" t="str">
            <v>Fiji</v>
          </cell>
        </row>
        <row r="147">
          <cell r="A147" t="str">
            <v>St. Kitts &amp; Nevis</v>
          </cell>
        </row>
        <row r="148">
          <cell r="A148" t="str">
            <v>Eswatini</v>
          </cell>
        </row>
        <row r="149">
          <cell r="A149" t="str">
            <v>Gibraltar</v>
          </cell>
        </row>
        <row r="150">
          <cell r="A150" t="str">
            <v>Monaco</v>
          </cell>
        </row>
        <row r="151">
          <cell r="A151" t="str">
            <v>Ã…land Islands</v>
          </cell>
        </row>
        <row r="152">
          <cell r="A152" t="str">
            <v>Burundi</v>
          </cell>
        </row>
        <row r="153">
          <cell r="A153" t="str">
            <v>Bhutan</v>
          </cell>
        </row>
        <row r="154">
          <cell r="A154" t="str">
            <v>Botswana</v>
          </cell>
        </row>
        <row r="155">
          <cell r="A155" t="str">
            <v>Liberia</v>
          </cell>
        </row>
        <row r="156">
          <cell r="A156" t="str">
            <v>Bermuda</v>
          </cell>
        </row>
        <row r="157">
          <cell r="A157" t="str">
            <v>Sint Maarten</v>
          </cell>
        </row>
        <row r="158">
          <cell r="A158" t="str">
            <v>Faroe Islands</v>
          </cell>
        </row>
        <row r="159">
          <cell r="A159" t="str">
            <v>Congo - Brazzaville</v>
          </cell>
        </row>
        <row r="160">
          <cell r="A160" t="str">
            <v>Belize</v>
          </cell>
        </row>
        <row r="161">
          <cell r="A161" t="str">
            <v>Isle of Man</v>
          </cell>
        </row>
        <row r="162">
          <cell r="A162" t="str">
            <v>Barbados</v>
          </cell>
        </row>
        <row r="163">
          <cell r="A163" t="str">
            <v>Turkmenistan</v>
          </cell>
        </row>
        <row r="164">
          <cell r="A164" t="str">
            <v>Gambia</v>
          </cell>
        </row>
        <row r="165">
          <cell r="A165" t="str">
            <v>St. Lucia</v>
          </cell>
        </row>
        <row r="166">
          <cell r="A166" t="str">
            <v>Djibouti</v>
          </cell>
        </row>
        <row r="167">
          <cell r="A167" t="str">
            <v>St. Vincent &amp; Grenadines</v>
          </cell>
        </row>
        <row r="168">
          <cell r="A168" t="str">
            <v>Timor-Leste</v>
          </cell>
        </row>
        <row r="169">
          <cell r="A169" t="str">
            <v>Liechtenstein</v>
          </cell>
        </row>
        <row r="170">
          <cell r="A170" t="str">
            <v>Niger</v>
          </cell>
        </row>
        <row r="171">
          <cell r="A171" t="str">
            <v>Togo</v>
          </cell>
        </row>
        <row r="172">
          <cell r="A172" t="str">
            <v>Guernsey</v>
          </cell>
        </row>
        <row r="173">
          <cell r="A173" t="str">
            <v>Mongolia</v>
          </cell>
        </row>
        <row r="174">
          <cell r="A174" t="str">
            <v>Guam</v>
          </cell>
        </row>
        <row r="175">
          <cell r="A175" t="str">
            <v>Afghanistan</v>
          </cell>
        </row>
        <row r="176">
          <cell r="A176" t="str">
            <v>Benin</v>
          </cell>
        </row>
        <row r="177">
          <cell r="A177" t="str">
            <v>Somalia</v>
          </cell>
        </row>
        <row r="178">
          <cell r="A178" t="str">
            <v>Congo - Kinshasa</v>
          </cell>
        </row>
        <row r="179">
          <cell r="A179" t="str">
            <v>French Polynesia</v>
          </cell>
        </row>
        <row r="180">
          <cell r="A180" t="str">
            <v>Mauritania</v>
          </cell>
        </row>
        <row r="181">
          <cell r="A181" t="str">
            <v>Guyana</v>
          </cell>
        </row>
        <row r="182">
          <cell r="A182" t="str">
            <v>Guadeloupe</v>
          </cell>
        </row>
        <row r="183">
          <cell r="A183" t="str">
            <v>Namibia</v>
          </cell>
        </row>
        <row r="184">
          <cell r="A184" t="str">
            <v>Papua New Guinea</v>
          </cell>
        </row>
        <row r="185">
          <cell r="A185" t="str">
            <v>Gabon</v>
          </cell>
        </row>
        <row r="186">
          <cell r="A186" t="str">
            <v>CuraÃ§ao</v>
          </cell>
        </row>
        <row r="187">
          <cell r="A187" t="str">
            <v>New Caledonia</v>
          </cell>
        </row>
        <row r="188">
          <cell r="A188" t="str">
            <v>Jersey</v>
          </cell>
        </row>
        <row r="189">
          <cell r="A189" t="str">
            <v>Brunei</v>
          </cell>
        </row>
        <row r="190">
          <cell r="A190" t="str">
            <v>Suriname</v>
          </cell>
        </row>
        <row r="191">
          <cell r="A191" t="str">
            <v>Yemen</v>
          </cell>
        </row>
        <row r="192">
          <cell r="A192" t="str">
            <v>Senegal</v>
          </cell>
        </row>
        <row r="193">
          <cell r="A193" t="str">
            <v>Kosovo</v>
          </cell>
        </row>
        <row r="194">
          <cell r="A194" t="str">
            <v>Haiti</v>
          </cell>
        </row>
        <row r="195">
          <cell r="A195" t="str">
            <v>Bahamas</v>
          </cell>
        </row>
        <row r="196">
          <cell r="A196" t="str">
            <v>Palestine</v>
          </cell>
        </row>
        <row r="197">
          <cell r="A197" t="str">
            <v>Mozambique</v>
          </cell>
        </row>
        <row r="198">
          <cell r="A198" t="str">
            <v>Martinique</v>
          </cell>
        </row>
        <row r="199">
          <cell r="A199" t="str">
            <v>Nicaragua</v>
          </cell>
        </row>
        <row r="200">
          <cell r="A200" t="str">
            <v>Libya</v>
          </cell>
        </row>
        <row r="201">
          <cell r="A201" t="str">
            <v>Aruba</v>
          </cell>
        </row>
        <row r="202">
          <cell r="A202" t="str">
            <v>Angola</v>
          </cell>
        </row>
        <row r="203">
          <cell r="A203" t="str">
            <v>Andorra</v>
          </cell>
        </row>
        <row r="204">
          <cell r="A204" t="str">
            <v>American Samoa</v>
          </cell>
        </row>
        <row r="205">
          <cell r="A205" t="str">
            <v>Antarctica</v>
          </cell>
        </row>
        <row r="206">
          <cell r="A206" t="str">
            <v>French Southern Territories</v>
          </cell>
        </row>
        <row r="207">
          <cell r="A207" t="str">
            <v>Antigua &amp; Barbuda</v>
          </cell>
        </row>
        <row r="208">
          <cell r="A208" t="str">
            <v>St. BarthÃ©lemy</v>
          </cell>
        </row>
        <row r="209">
          <cell r="A209" t="str">
            <v>Bouvet Island</v>
          </cell>
        </row>
        <row r="210">
          <cell r="A210" t="str">
            <v>Central African Republic</v>
          </cell>
        </row>
        <row r="211">
          <cell r="A211" t="str">
            <v>Cocos (Keeling) Islands</v>
          </cell>
        </row>
        <row r="212">
          <cell r="A212" t="str">
            <v>Comoros</v>
          </cell>
        </row>
        <row r="213">
          <cell r="A213" t="str">
            <v>Cape Verde</v>
          </cell>
        </row>
        <row r="214">
          <cell r="A214" t="str">
            <v>Christmas Island</v>
          </cell>
        </row>
        <row r="215">
          <cell r="A215" t="str">
            <v>Cayman Islands</v>
          </cell>
        </row>
        <row r="216">
          <cell r="A216" t="str">
            <v>Dominica</v>
          </cell>
        </row>
        <row r="217">
          <cell r="A217" t="str">
            <v>Eritrea</v>
          </cell>
        </row>
        <row r="218">
          <cell r="A218" t="str">
            <v>Western Sahara</v>
          </cell>
        </row>
        <row r="219">
          <cell r="A219" t="str">
            <v>Falkland Islands (Islas Malvinas)</v>
          </cell>
        </row>
        <row r="220">
          <cell r="A220" t="str">
            <v>Micronesia</v>
          </cell>
        </row>
        <row r="221">
          <cell r="A221" t="str">
            <v>Guinea</v>
          </cell>
        </row>
        <row r="222">
          <cell r="A222" t="str">
            <v>Guinea-Bissau</v>
          </cell>
        </row>
        <row r="223">
          <cell r="A223" t="str">
            <v>French Guiana</v>
          </cell>
        </row>
        <row r="224">
          <cell r="A224" t="str">
            <v>Heard &amp; McDonald Islands</v>
          </cell>
        </row>
        <row r="225">
          <cell r="A225" t="str">
            <v>Kiribati</v>
          </cell>
        </row>
        <row r="226">
          <cell r="A226" t="str">
            <v>St. Martin</v>
          </cell>
        </row>
        <row r="227">
          <cell r="A227" t="str">
            <v>Marshall Islands</v>
          </cell>
        </row>
        <row r="228">
          <cell r="A228" t="str">
            <v>Mali</v>
          </cell>
        </row>
        <row r="229">
          <cell r="A229" t="str">
            <v>Montserrat</v>
          </cell>
        </row>
        <row r="230">
          <cell r="A230" t="str">
            <v>Mayotte</v>
          </cell>
        </row>
        <row r="231">
          <cell r="A231" t="str">
            <v>Norfolk Island</v>
          </cell>
        </row>
        <row r="232">
          <cell r="A232" t="str">
            <v>Niue</v>
          </cell>
        </row>
        <row r="233">
          <cell r="A233" t="str">
            <v>Nauru</v>
          </cell>
        </row>
        <row r="234">
          <cell r="A234" t="str">
            <v>Pitcairn Islands</v>
          </cell>
        </row>
        <row r="235">
          <cell r="A235" t="str">
            <v>Palau</v>
          </cell>
        </row>
        <row r="236">
          <cell r="A236" t="str">
            <v>North Korea</v>
          </cell>
        </row>
        <row r="237">
          <cell r="A237" t="str">
            <v>South Georgia &amp; South Sandwich Islands</v>
          </cell>
        </row>
        <row r="238">
          <cell r="A238" t="str">
            <v>Svalbard &amp; Jan Mayen</v>
          </cell>
        </row>
        <row r="239">
          <cell r="A239" t="str">
            <v>Solomon Islands</v>
          </cell>
        </row>
        <row r="240">
          <cell r="A240" t="str">
            <v>Sierra Leone</v>
          </cell>
        </row>
        <row r="241">
          <cell r="A241" t="str">
            <v>San Marino</v>
          </cell>
        </row>
        <row r="242">
          <cell r="A242" t="str">
            <v>St. Pierre &amp; Miquelon</v>
          </cell>
        </row>
        <row r="243">
          <cell r="A243" t="str">
            <v>South Sudan</v>
          </cell>
        </row>
        <row r="244">
          <cell r="A244" t="str">
            <v>SÃ£o TomÃ© &amp; PrÃ­ncipe</v>
          </cell>
        </row>
        <row r="245">
          <cell r="A245" t="str">
            <v>Seychelles</v>
          </cell>
        </row>
        <row r="246">
          <cell r="A246" t="str">
            <v>Turks &amp; Caicos Islands</v>
          </cell>
        </row>
        <row r="247">
          <cell r="A247" t="str">
            <v>Tokelau</v>
          </cell>
        </row>
        <row r="248">
          <cell r="A248" t="str">
            <v>Tuvalu</v>
          </cell>
        </row>
        <row r="249">
          <cell r="A249" t="str">
            <v>U.S. Outlying Islands</v>
          </cell>
        </row>
        <row r="250">
          <cell r="A250" t="str">
            <v>Vatican City</v>
          </cell>
        </row>
        <row r="251">
          <cell r="A251" t="str">
            <v>British Virgin Islands</v>
          </cell>
        </row>
        <row r="252">
          <cell r="A252" t="str">
            <v>U.S. Virgin Islands</v>
          </cell>
        </row>
        <row r="253">
          <cell r="A253" t="str">
            <v>Wallis &amp; Futuna</v>
          </cell>
        </row>
      </sheetData>
    </sheetDataSet>
  </externalBook>
</externalLink>
</file>

<file path=xl/externalLinks/externalLink3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26)"/>
    </sheetNames>
    <sheetDataSet>
      <sheetData sheetId="0">
        <row r="1">
          <cell r="A1" t="str">
            <v>Category: All categories</v>
          </cell>
        </row>
        <row r="3">
          <cell r="A3" t="str">
            <v>Country</v>
          </cell>
          <cell r="B3" t="str">
            <v>Java: (2014)</v>
          </cell>
          <cell r="C3" t="str">
            <v>JavaScript: (2014)</v>
          </cell>
        </row>
        <row r="4">
          <cell r="A4" t="str">
            <v>British Indian Ocean Territory</v>
          </cell>
        </row>
        <row r="5">
          <cell r="A5" t="str">
            <v>Bangladesh</v>
          </cell>
          <cell r="B5">
            <v>0.92</v>
          </cell>
          <cell r="C5">
            <v>0.08</v>
          </cell>
        </row>
        <row r="6">
          <cell r="A6" t="str">
            <v>Western Sahara</v>
          </cell>
        </row>
        <row r="7">
          <cell r="A7" t="str">
            <v>Madagascar</v>
          </cell>
        </row>
        <row r="8">
          <cell r="A8" t="str">
            <v>SÃ£o TomÃ© &amp; PrÃ­ncipe</v>
          </cell>
        </row>
        <row r="9">
          <cell r="A9" t="str">
            <v>India</v>
          </cell>
          <cell r="B9">
            <v>0.8</v>
          </cell>
          <cell r="C9">
            <v>0.2</v>
          </cell>
        </row>
        <row r="10">
          <cell r="A10" t="str">
            <v>Cuba</v>
          </cell>
        </row>
        <row r="11">
          <cell r="A11" t="str">
            <v>Bolivia</v>
          </cell>
          <cell r="B11">
            <v>0.97</v>
          </cell>
          <cell r="C11">
            <v>0.03</v>
          </cell>
        </row>
        <row r="12">
          <cell r="A12" t="str">
            <v>Cameroon</v>
          </cell>
        </row>
        <row r="13">
          <cell r="A13" t="str">
            <v>China</v>
          </cell>
          <cell r="B13">
            <v>0.6</v>
          </cell>
          <cell r="C13">
            <v>0.4</v>
          </cell>
        </row>
        <row r="14">
          <cell r="A14" t="str">
            <v>Iran</v>
          </cell>
          <cell r="B14">
            <v>0.92</v>
          </cell>
          <cell r="C14">
            <v>0.08</v>
          </cell>
        </row>
        <row r="15">
          <cell r="A15" t="str">
            <v>Togo</v>
          </cell>
        </row>
        <row r="16">
          <cell r="A16" t="str">
            <v>Sri Lanka</v>
          </cell>
          <cell r="B16">
            <v>0.78</v>
          </cell>
          <cell r="C16">
            <v>0.22</v>
          </cell>
        </row>
        <row r="17">
          <cell r="A17" t="str">
            <v>Timor-Leste</v>
          </cell>
        </row>
        <row r="18">
          <cell r="A18" t="str">
            <v>Ethiopia</v>
          </cell>
        </row>
        <row r="19">
          <cell r="A19" t="str">
            <v>Uganda</v>
          </cell>
        </row>
        <row r="20">
          <cell r="A20" t="str">
            <v>Benin</v>
          </cell>
        </row>
        <row r="21">
          <cell r="A21" t="str">
            <v>Uzbekistan</v>
          </cell>
        </row>
        <row r="22">
          <cell r="A22" t="str">
            <v>Nicaragua</v>
          </cell>
        </row>
        <row r="23">
          <cell r="A23" t="str">
            <v>Nepal</v>
          </cell>
        </row>
        <row r="24">
          <cell r="A24" t="str">
            <v>St. Helena</v>
          </cell>
        </row>
        <row r="25">
          <cell r="A25" t="str">
            <v>Mozambique</v>
          </cell>
        </row>
        <row r="26">
          <cell r="A26" t="str">
            <v>Botswana</v>
          </cell>
        </row>
        <row r="27">
          <cell r="A27" t="str">
            <v>Pakistan</v>
          </cell>
          <cell r="B27">
            <v>0.81</v>
          </cell>
          <cell r="C27">
            <v>0.19</v>
          </cell>
        </row>
        <row r="28">
          <cell r="A28" t="str">
            <v>Rwanda</v>
          </cell>
        </row>
        <row r="29">
          <cell r="A29" t="str">
            <v>South Korea</v>
          </cell>
          <cell r="B29">
            <v>0.63</v>
          </cell>
          <cell r="C29">
            <v>0.37</v>
          </cell>
        </row>
        <row r="30">
          <cell r="A30" t="str">
            <v>Burundi</v>
          </cell>
        </row>
        <row r="31">
          <cell r="A31" t="str">
            <v>Comoros</v>
          </cell>
        </row>
        <row r="32">
          <cell r="A32" t="str">
            <v>Zambia</v>
          </cell>
        </row>
        <row r="33">
          <cell r="A33" t="str">
            <v>Eritrea</v>
          </cell>
        </row>
        <row r="34">
          <cell r="A34" t="str">
            <v>Nigeria</v>
          </cell>
          <cell r="B34">
            <v>0.88</v>
          </cell>
          <cell r="C34">
            <v>0.12</v>
          </cell>
        </row>
        <row r="35">
          <cell r="A35" t="str">
            <v>Lesotho</v>
          </cell>
        </row>
        <row r="36">
          <cell r="A36" t="str">
            <v>Congo - Kinshasa</v>
          </cell>
        </row>
        <row r="37">
          <cell r="A37" t="str">
            <v>Denmark</v>
          </cell>
          <cell r="B37">
            <v>0.78</v>
          </cell>
          <cell r="C37">
            <v>0.22</v>
          </cell>
        </row>
        <row r="38">
          <cell r="A38" t="str">
            <v>Indonesia</v>
          </cell>
          <cell r="B38">
            <v>0.89</v>
          </cell>
          <cell r="C38">
            <v>0.11</v>
          </cell>
        </row>
        <row r="39">
          <cell r="A39" t="str">
            <v>Malawi</v>
          </cell>
        </row>
        <row r="40">
          <cell r="A40" t="str">
            <v>Kenya</v>
          </cell>
          <cell r="B40">
            <v>0.8</v>
          </cell>
          <cell r="C40">
            <v>0.2</v>
          </cell>
        </row>
        <row r="41">
          <cell r="A41" t="str">
            <v>El Salvador</v>
          </cell>
        </row>
        <row r="42">
          <cell r="A42" t="str">
            <v>Hong Kong</v>
          </cell>
          <cell r="B42">
            <v>0.67</v>
          </cell>
          <cell r="C42">
            <v>0.33</v>
          </cell>
        </row>
        <row r="43">
          <cell r="A43" t="str">
            <v>Eswatini</v>
          </cell>
        </row>
        <row r="44">
          <cell r="A44" t="str">
            <v>Guatemala</v>
          </cell>
        </row>
        <row r="45">
          <cell r="A45" t="str">
            <v>Costa Rica</v>
          </cell>
          <cell r="B45">
            <v>0.76</v>
          </cell>
          <cell r="C45">
            <v>0.24</v>
          </cell>
        </row>
        <row r="46">
          <cell r="A46" t="str">
            <v>Norway</v>
          </cell>
          <cell r="B46">
            <v>0.76</v>
          </cell>
          <cell r="C46">
            <v>0.24</v>
          </cell>
        </row>
        <row r="47">
          <cell r="A47" t="str">
            <v>Luxembourg</v>
          </cell>
        </row>
        <row r="48">
          <cell r="A48" t="str">
            <v>Niger</v>
          </cell>
        </row>
        <row r="49">
          <cell r="A49" t="str">
            <v>Burkina Faso</v>
          </cell>
        </row>
        <row r="50">
          <cell r="A50" t="str">
            <v>Congo - Brazzaville</v>
          </cell>
        </row>
        <row r="51">
          <cell r="A51" t="str">
            <v>Tunisia</v>
          </cell>
          <cell r="B51">
            <v>0.75</v>
          </cell>
          <cell r="C51">
            <v>0.25</v>
          </cell>
        </row>
        <row r="52">
          <cell r="A52" t="str">
            <v>Ghana</v>
          </cell>
        </row>
        <row r="53">
          <cell r="A53" t="str">
            <v>Singapore</v>
          </cell>
          <cell r="B53">
            <v>0.68</v>
          </cell>
          <cell r="C53">
            <v>0.32</v>
          </cell>
        </row>
        <row r="54">
          <cell r="A54" t="str">
            <v>Ireland</v>
          </cell>
          <cell r="B54">
            <v>0.78</v>
          </cell>
          <cell r="C54">
            <v>0.22</v>
          </cell>
        </row>
        <row r="55">
          <cell r="A55" t="str">
            <v>Philippines</v>
          </cell>
          <cell r="B55">
            <v>0.73</v>
          </cell>
          <cell r="C55">
            <v>0.27</v>
          </cell>
        </row>
        <row r="56">
          <cell r="A56" t="str">
            <v>Cape Verde</v>
          </cell>
        </row>
        <row r="57">
          <cell r="A57" t="str">
            <v>Central African Republic</v>
          </cell>
        </row>
        <row r="58">
          <cell r="A58" t="str">
            <v>Syria</v>
          </cell>
        </row>
        <row r="59">
          <cell r="A59" t="str">
            <v>Mexico</v>
          </cell>
          <cell r="B59">
            <v>0.85</v>
          </cell>
          <cell r="C59">
            <v>0.15</v>
          </cell>
        </row>
        <row r="60">
          <cell r="A60" t="str">
            <v>Faroe Islands</v>
          </cell>
        </row>
        <row r="61">
          <cell r="A61" t="str">
            <v>Mali</v>
          </cell>
        </row>
        <row r="62">
          <cell r="A62" t="str">
            <v>Estonia</v>
          </cell>
        </row>
        <row r="63">
          <cell r="A63" t="str">
            <v>Somalia</v>
          </cell>
        </row>
        <row r="64">
          <cell r="A64" t="str">
            <v>Mauritania</v>
          </cell>
        </row>
        <row r="65">
          <cell r="A65" t="str">
            <v>CÃ´te dâ€™Ivoire</v>
          </cell>
        </row>
        <row r="66">
          <cell r="A66" t="str">
            <v>Tanzania</v>
          </cell>
        </row>
        <row r="67">
          <cell r="A67" t="str">
            <v>Greenland</v>
          </cell>
        </row>
        <row r="68">
          <cell r="A68" t="str">
            <v>Guinea-Bissau</v>
          </cell>
        </row>
        <row r="69">
          <cell r="A69" t="str">
            <v>Czechia</v>
          </cell>
          <cell r="B69">
            <v>0.64</v>
          </cell>
          <cell r="C69">
            <v>0.36</v>
          </cell>
        </row>
        <row r="70">
          <cell r="A70" t="str">
            <v>Haiti</v>
          </cell>
        </row>
        <row r="71">
          <cell r="A71" t="str">
            <v>Brazil</v>
          </cell>
          <cell r="B71">
            <v>0.85</v>
          </cell>
          <cell r="C71">
            <v>0.15</v>
          </cell>
        </row>
        <row r="72">
          <cell r="A72" t="str">
            <v>Belarus</v>
          </cell>
          <cell r="B72">
            <v>0.57999999999999996</v>
          </cell>
          <cell r="C72">
            <v>0.42</v>
          </cell>
        </row>
        <row r="73">
          <cell r="A73" t="str">
            <v>Serbia</v>
          </cell>
          <cell r="B73">
            <v>0.76</v>
          </cell>
          <cell r="C73">
            <v>0.24</v>
          </cell>
        </row>
        <row r="74">
          <cell r="A74" t="str">
            <v>Germany</v>
          </cell>
          <cell r="B74">
            <v>0.73</v>
          </cell>
          <cell r="C74">
            <v>0.27</v>
          </cell>
        </row>
        <row r="75">
          <cell r="A75" t="str">
            <v>Hungary</v>
          </cell>
          <cell r="B75">
            <v>0.73</v>
          </cell>
          <cell r="C75">
            <v>0.27</v>
          </cell>
        </row>
        <row r="76">
          <cell r="A76" t="str">
            <v>Portugal</v>
          </cell>
          <cell r="B76">
            <v>0.7</v>
          </cell>
          <cell r="C76">
            <v>0.3</v>
          </cell>
        </row>
        <row r="77">
          <cell r="A77" t="str">
            <v>Zimbabwe</v>
          </cell>
        </row>
        <row r="78">
          <cell r="A78" t="str">
            <v>North Macedonia</v>
          </cell>
        </row>
        <row r="79">
          <cell r="A79" t="str">
            <v>Poland</v>
          </cell>
          <cell r="B79">
            <v>0.76</v>
          </cell>
          <cell r="C79">
            <v>0.24</v>
          </cell>
        </row>
        <row r="80">
          <cell r="A80" t="str">
            <v>Malta</v>
          </cell>
        </row>
        <row r="81">
          <cell r="A81" t="str">
            <v>Mauritius</v>
          </cell>
        </row>
        <row r="82">
          <cell r="A82" t="str">
            <v>Guinea</v>
          </cell>
        </row>
        <row r="83">
          <cell r="A83" t="str">
            <v>Turkmenistan</v>
          </cell>
        </row>
        <row r="84">
          <cell r="A84" t="str">
            <v>Honduras</v>
          </cell>
        </row>
        <row r="85">
          <cell r="A85" t="str">
            <v>Switzerland</v>
          </cell>
          <cell r="B85">
            <v>0.67</v>
          </cell>
          <cell r="C85">
            <v>0.33</v>
          </cell>
        </row>
        <row r="86">
          <cell r="A86" t="str">
            <v>Austria</v>
          </cell>
          <cell r="B86">
            <v>0.71</v>
          </cell>
          <cell r="C86">
            <v>0.28999999999999998</v>
          </cell>
        </row>
        <row r="87">
          <cell r="A87" t="str">
            <v>Morocco</v>
          </cell>
          <cell r="B87">
            <v>0.8</v>
          </cell>
          <cell r="C87">
            <v>0.2</v>
          </cell>
        </row>
        <row r="88">
          <cell r="A88" t="str">
            <v>Israel</v>
          </cell>
          <cell r="B88">
            <v>0.57999999999999996</v>
          </cell>
          <cell r="C88">
            <v>0.42</v>
          </cell>
        </row>
        <row r="89">
          <cell r="A89" t="str">
            <v>Sierra Leone</v>
          </cell>
        </row>
        <row r="90">
          <cell r="A90" t="str">
            <v>Colombia</v>
          </cell>
          <cell r="B90">
            <v>0.81</v>
          </cell>
          <cell r="C90">
            <v>0.19</v>
          </cell>
        </row>
        <row r="91">
          <cell r="A91" t="str">
            <v>Romania</v>
          </cell>
          <cell r="B91">
            <v>0.7</v>
          </cell>
          <cell r="C91">
            <v>0.3</v>
          </cell>
        </row>
        <row r="92">
          <cell r="A92" t="str">
            <v>Angola</v>
          </cell>
        </row>
        <row r="93">
          <cell r="A93" t="str">
            <v>Peru</v>
          </cell>
          <cell r="B93">
            <v>0.82</v>
          </cell>
          <cell r="C93">
            <v>0.18</v>
          </cell>
        </row>
        <row r="94">
          <cell r="A94" t="str">
            <v>Taiwan</v>
          </cell>
          <cell r="B94">
            <v>0.64</v>
          </cell>
          <cell r="C94">
            <v>0.36</v>
          </cell>
        </row>
        <row r="95">
          <cell r="A95" t="str">
            <v>Bosnia &amp; Herzegovina</v>
          </cell>
        </row>
        <row r="96">
          <cell r="A96" t="str">
            <v>Gambia</v>
          </cell>
        </row>
        <row r="97">
          <cell r="A97" t="str">
            <v>Spain</v>
          </cell>
          <cell r="B97">
            <v>0.74</v>
          </cell>
          <cell r="C97">
            <v>0.26</v>
          </cell>
        </row>
        <row r="98">
          <cell r="A98" t="str">
            <v>Uruguay</v>
          </cell>
          <cell r="B98">
            <v>0.73</v>
          </cell>
          <cell r="C98">
            <v>0.27</v>
          </cell>
        </row>
        <row r="99">
          <cell r="A99" t="str">
            <v>Senegal</v>
          </cell>
        </row>
        <row r="100">
          <cell r="A100" t="str">
            <v>Ecuador</v>
          </cell>
          <cell r="B100">
            <v>0.84</v>
          </cell>
          <cell r="C100">
            <v>0.16</v>
          </cell>
        </row>
        <row r="101">
          <cell r="A101" t="str">
            <v>Tonga</v>
          </cell>
        </row>
        <row r="102">
          <cell r="A102" t="str">
            <v>Yemen</v>
          </cell>
        </row>
        <row r="103">
          <cell r="A103" t="str">
            <v>Afghanistan</v>
          </cell>
        </row>
        <row r="104">
          <cell r="A104" t="str">
            <v>Djibouti</v>
          </cell>
        </row>
        <row r="105">
          <cell r="A105" t="str">
            <v>Chad</v>
          </cell>
        </row>
        <row r="106">
          <cell r="A106" t="str">
            <v>Gabon</v>
          </cell>
        </row>
        <row r="107">
          <cell r="A107" t="str">
            <v>Croatia</v>
          </cell>
          <cell r="B107">
            <v>0.77</v>
          </cell>
          <cell r="C107">
            <v>0.23</v>
          </cell>
        </row>
        <row r="108">
          <cell r="A108" t="str">
            <v>Liechtenstein</v>
          </cell>
        </row>
        <row r="109">
          <cell r="A109" t="str">
            <v>Myanmar (Burma)</v>
          </cell>
        </row>
        <row r="110">
          <cell r="A110" t="str">
            <v>Iceland</v>
          </cell>
        </row>
        <row r="111">
          <cell r="A111" t="str">
            <v>Ukraine</v>
          </cell>
          <cell r="B111">
            <v>0.59</v>
          </cell>
          <cell r="C111">
            <v>0.41</v>
          </cell>
        </row>
        <row r="112">
          <cell r="A112" t="str">
            <v>Solomon Islands</v>
          </cell>
        </row>
        <row r="113">
          <cell r="A113" t="str">
            <v>Cambodia</v>
          </cell>
        </row>
        <row r="114">
          <cell r="A114" t="str">
            <v>Latvia</v>
          </cell>
        </row>
        <row r="115">
          <cell r="A115" t="str">
            <v>Namibia</v>
          </cell>
        </row>
        <row r="116">
          <cell r="A116" t="str">
            <v>Sweden</v>
          </cell>
          <cell r="B116">
            <v>0.62</v>
          </cell>
          <cell r="C116">
            <v>0.38</v>
          </cell>
        </row>
        <row r="117">
          <cell r="A117" t="str">
            <v>Paraguay</v>
          </cell>
        </row>
        <row r="118">
          <cell r="A118" t="str">
            <v>Ã…land Islands</v>
          </cell>
        </row>
        <row r="119">
          <cell r="A119" t="str">
            <v>Sudan</v>
          </cell>
        </row>
        <row r="120">
          <cell r="A120" t="str">
            <v>Tajikistan</v>
          </cell>
        </row>
        <row r="121">
          <cell r="A121" t="str">
            <v>Slovakia</v>
          </cell>
          <cell r="B121">
            <v>0.69</v>
          </cell>
          <cell r="C121">
            <v>0.31</v>
          </cell>
        </row>
        <row r="122">
          <cell r="A122" t="str">
            <v>United States</v>
          </cell>
          <cell r="B122">
            <v>0.66</v>
          </cell>
          <cell r="C122">
            <v>0.34</v>
          </cell>
        </row>
        <row r="123">
          <cell r="A123" t="str">
            <v>Belgium</v>
          </cell>
          <cell r="B123">
            <v>0.66</v>
          </cell>
          <cell r="C123">
            <v>0.34</v>
          </cell>
        </row>
        <row r="124">
          <cell r="A124" t="str">
            <v>Papua New Guinea</v>
          </cell>
        </row>
        <row r="125">
          <cell r="A125" t="str">
            <v>Lithuania</v>
          </cell>
          <cell r="B125">
            <v>0.67</v>
          </cell>
          <cell r="C125">
            <v>0.33</v>
          </cell>
        </row>
        <row r="126">
          <cell r="A126" t="str">
            <v>Andorra</v>
          </cell>
        </row>
        <row r="127">
          <cell r="A127" t="str">
            <v>South Africa</v>
          </cell>
          <cell r="B127">
            <v>0.7</v>
          </cell>
          <cell r="C127">
            <v>0.3</v>
          </cell>
        </row>
        <row r="128">
          <cell r="A128" t="str">
            <v>Slovenia</v>
          </cell>
          <cell r="B128">
            <v>0.64</v>
          </cell>
          <cell r="C128">
            <v>0.36</v>
          </cell>
        </row>
        <row r="129">
          <cell r="A129" t="str">
            <v>Bhutan</v>
          </cell>
        </row>
        <row r="130">
          <cell r="A130" t="str">
            <v>Equatorial Guinea</v>
          </cell>
        </row>
        <row r="131">
          <cell r="A131" t="str">
            <v>Finland</v>
          </cell>
          <cell r="B131">
            <v>0.61</v>
          </cell>
          <cell r="C131">
            <v>0.39</v>
          </cell>
        </row>
        <row r="132">
          <cell r="A132" t="str">
            <v>Macao</v>
          </cell>
        </row>
        <row r="133">
          <cell r="A133" t="str">
            <v>Mongolia</v>
          </cell>
        </row>
        <row r="134">
          <cell r="A134" t="str">
            <v>Gibraltar</v>
          </cell>
        </row>
        <row r="135">
          <cell r="A135" t="str">
            <v>Kazakhstan</v>
          </cell>
          <cell r="B135">
            <v>0.79</v>
          </cell>
          <cell r="C135">
            <v>0.21</v>
          </cell>
        </row>
        <row r="136">
          <cell r="A136" t="str">
            <v>Bulgaria</v>
          </cell>
          <cell r="B136">
            <v>0.57999999999999996</v>
          </cell>
          <cell r="C136">
            <v>0.42</v>
          </cell>
        </row>
        <row r="137">
          <cell r="A137" t="str">
            <v>Dominican Republic</v>
          </cell>
        </row>
        <row r="138">
          <cell r="A138" t="str">
            <v>Canada</v>
          </cell>
          <cell r="B138">
            <v>0.63</v>
          </cell>
          <cell r="C138">
            <v>0.37</v>
          </cell>
        </row>
        <row r="139">
          <cell r="A139" t="str">
            <v>Seychelles</v>
          </cell>
        </row>
        <row r="140">
          <cell r="A140" t="str">
            <v>Vanuatu</v>
          </cell>
        </row>
        <row r="141">
          <cell r="A141" t="str">
            <v>Moldova</v>
          </cell>
        </row>
        <row r="142">
          <cell r="A142" t="str">
            <v>Chile</v>
          </cell>
          <cell r="B142">
            <v>0.76</v>
          </cell>
          <cell r="C142">
            <v>0.24</v>
          </cell>
        </row>
        <row r="143">
          <cell r="A143" t="str">
            <v>Algeria</v>
          </cell>
        </row>
        <row r="144">
          <cell r="A144" t="str">
            <v>Netherlands</v>
          </cell>
          <cell r="B144">
            <v>0.62</v>
          </cell>
          <cell r="C144">
            <v>0.38</v>
          </cell>
        </row>
        <row r="145">
          <cell r="A145" t="str">
            <v>Kyrgyzstan</v>
          </cell>
        </row>
        <row r="146">
          <cell r="A146" t="str">
            <v>Japan</v>
          </cell>
          <cell r="B146">
            <v>0.62</v>
          </cell>
          <cell r="C146">
            <v>0.38</v>
          </cell>
        </row>
        <row r="147">
          <cell r="A147" t="str">
            <v>Armenia</v>
          </cell>
        </row>
        <row r="148">
          <cell r="A148" t="str">
            <v>Lebanon</v>
          </cell>
        </row>
        <row r="149">
          <cell r="A149" t="str">
            <v>Argentina</v>
          </cell>
          <cell r="B149">
            <v>0.76</v>
          </cell>
          <cell r="C149">
            <v>0.24</v>
          </cell>
        </row>
        <row r="150">
          <cell r="A150" t="str">
            <v>Italy</v>
          </cell>
          <cell r="B150">
            <v>0.74</v>
          </cell>
          <cell r="C150">
            <v>0.26</v>
          </cell>
        </row>
        <row r="151">
          <cell r="A151" t="str">
            <v>Laos</v>
          </cell>
        </row>
        <row r="152">
          <cell r="A152" t="str">
            <v>Turkey</v>
          </cell>
          <cell r="B152">
            <v>0.86</v>
          </cell>
          <cell r="C152">
            <v>0.14000000000000001</v>
          </cell>
        </row>
        <row r="153">
          <cell r="A153" t="str">
            <v>Dominica</v>
          </cell>
        </row>
        <row r="154">
          <cell r="A154" t="str">
            <v>Vietnam</v>
          </cell>
          <cell r="B154">
            <v>0.75</v>
          </cell>
          <cell r="C154">
            <v>0.25</v>
          </cell>
        </row>
        <row r="155">
          <cell r="A155" t="str">
            <v>Fiji</v>
          </cell>
        </row>
        <row r="156">
          <cell r="A156" t="str">
            <v>Jamaica</v>
          </cell>
        </row>
        <row r="157">
          <cell r="A157" t="str">
            <v>France</v>
          </cell>
          <cell r="B157">
            <v>0.66</v>
          </cell>
          <cell r="C157">
            <v>0.34</v>
          </cell>
        </row>
        <row r="158">
          <cell r="A158" t="str">
            <v>San Marino</v>
          </cell>
        </row>
        <row r="159">
          <cell r="A159" t="str">
            <v>Panama</v>
          </cell>
        </row>
        <row r="160">
          <cell r="A160" t="str">
            <v>New Zealand</v>
          </cell>
          <cell r="B160">
            <v>0.56000000000000005</v>
          </cell>
          <cell r="C160">
            <v>0.44</v>
          </cell>
        </row>
        <row r="161">
          <cell r="A161" t="str">
            <v>Greece</v>
          </cell>
          <cell r="B161">
            <v>0.71</v>
          </cell>
          <cell r="C161">
            <v>0.28999999999999998</v>
          </cell>
        </row>
        <row r="162">
          <cell r="A162" t="str">
            <v>Malaysia</v>
          </cell>
          <cell r="B162">
            <v>0.71</v>
          </cell>
          <cell r="C162">
            <v>0.28999999999999998</v>
          </cell>
        </row>
        <row r="163">
          <cell r="A163" t="str">
            <v>Montenegro</v>
          </cell>
        </row>
        <row r="164">
          <cell r="A164" t="str">
            <v>Russia</v>
          </cell>
          <cell r="B164">
            <v>0.56999999999999995</v>
          </cell>
          <cell r="C164">
            <v>0.43</v>
          </cell>
        </row>
        <row r="165">
          <cell r="A165" t="str">
            <v>Trinidad &amp; Tobago</v>
          </cell>
        </row>
        <row r="166">
          <cell r="A166" t="str">
            <v>Palestine</v>
          </cell>
        </row>
        <row r="167">
          <cell r="A167" t="str">
            <v>Monaco</v>
          </cell>
        </row>
        <row r="168">
          <cell r="A168" t="str">
            <v>Venezuela</v>
          </cell>
          <cell r="B168">
            <v>0.79</v>
          </cell>
          <cell r="C168">
            <v>0.21</v>
          </cell>
        </row>
        <row r="169">
          <cell r="A169" t="str">
            <v>Egypt</v>
          </cell>
          <cell r="B169">
            <v>0.79</v>
          </cell>
          <cell r="C169">
            <v>0.21</v>
          </cell>
        </row>
        <row r="170">
          <cell r="A170" t="str">
            <v>Jordan</v>
          </cell>
        </row>
        <row r="171">
          <cell r="A171" t="str">
            <v>Belize</v>
          </cell>
        </row>
        <row r="172">
          <cell r="A172" t="str">
            <v>Kosovo</v>
          </cell>
        </row>
        <row r="173">
          <cell r="A173" t="str">
            <v>Georgia</v>
          </cell>
        </row>
        <row r="174">
          <cell r="A174" t="str">
            <v>Albania</v>
          </cell>
        </row>
        <row r="175">
          <cell r="A175" t="str">
            <v>United Kingdom</v>
          </cell>
          <cell r="B175">
            <v>0.61</v>
          </cell>
          <cell r="C175">
            <v>0.39</v>
          </cell>
        </row>
        <row r="176">
          <cell r="A176" t="str">
            <v>Maldives</v>
          </cell>
        </row>
        <row r="177">
          <cell r="A177" t="str">
            <v>Cyprus</v>
          </cell>
        </row>
        <row r="178">
          <cell r="A178" t="str">
            <v>Northern Mariana Islands</v>
          </cell>
        </row>
        <row r="179">
          <cell r="A179" t="str">
            <v>South Sudan</v>
          </cell>
        </row>
        <row r="180">
          <cell r="A180" t="str">
            <v>French Polynesia</v>
          </cell>
        </row>
        <row r="181">
          <cell r="A181" t="str">
            <v>Brunei</v>
          </cell>
        </row>
        <row r="182">
          <cell r="A182" t="str">
            <v>Australia</v>
          </cell>
          <cell r="B182">
            <v>0.59</v>
          </cell>
          <cell r="C182">
            <v>0.41</v>
          </cell>
        </row>
        <row r="183">
          <cell r="A183" t="str">
            <v>Barbados</v>
          </cell>
        </row>
        <row r="184">
          <cell r="A184" t="str">
            <v>Guyana</v>
          </cell>
        </row>
        <row r="185">
          <cell r="A185" t="str">
            <v>United Arab Emirates</v>
          </cell>
          <cell r="B185">
            <v>0.69</v>
          </cell>
          <cell r="C185">
            <v>0.31</v>
          </cell>
        </row>
        <row r="186">
          <cell r="A186" t="str">
            <v>Saudi Arabia</v>
          </cell>
          <cell r="B186">
            <v>0.87</v>
          </cell>
          <cell r="C186">
            <v>0.13</v>
          </cell>
        </row>
        <row r="187">
          <cell r="A187" t="str">
            <v>Azerbaijan</v>
          </cell>
        </row>
        <row r="188">
          <cell r="A188" t="str">
            <v>Qatar</v>
          </cell>
        </row>
        <row r="189">
          <cell r="A189" t="str">
            <v>Thailand</v>
          </cell>
          <cell r="B189">
            <v>0.78</v>
          </cell>
          <cell r="C189">
            <v>0.22</v>
          </cell>
        </row>
        <row r="190">
          <cell r="A190" t="str">
            <v>Grenada</v>
          </cell>
        </row>
        <row r="191">
          <cell r="A191" t="str">
            <v>Liberia</v>
          </cell>
        </row>
        <row r="192">
          <cell r="A192" t="str">
            <v>Oman</v>
          </cell>
        </row>
        <row r="193">
          <cell r="A193" t="str">
            <v>Samoa</v>
          </cell>
        </row>
        <row r="194">
          <cell r="A194" t="str">
            <v>Bahrain</v>
          </cell>
        </row>
        <row r="195">
          <cell r="A195" t="str">
            <v>Cayman Islands</v>
          </cell>
        </row>
        <row r="196">
          <cell r="A196" t="str">
            <v>Puerto Rico</v>
          </cell>
        </row>
        <row r="197">
          <cell r="A197" t="str">
            <v>CuraÃ§ao</v>
          </cell>
        </row>
        <row r="198">
          <cell r="A198" t="str">
            <v>Mayotte</v>
          </cell>
        </row>
        <row r="199">
          <cell r="A199" t="str">
            <v>New Caledonia</v>
          </cell>
        </row>
        <row r="200">
          <cell r="A200" t="str">
            <v>Isle of Man</v>
          </cell>
        </row>
        <row r="201">
          <cell r="A201" t="str">
            <v>Suriname</v>
          </cell>
        </row>
        <row r="202">
          <cell r="A202" t="str">
            <v>RÃ©union</v>
          </cell>
        </row>
        <row r="203">
          <cell r="A203" t="str">
            <v>Guadeloupe</v>
          </cell>
        </row>
        <row r="204">
          <cell r="A204" t="str">
            <v>U.S. Virgin Islands</v>
          </cell>
        </row>
        <row r="205">
          <cell r="A205" t="str">
            <v>French Guiana</v>
          </cell>
        </row>
        <row r="206">
          <cell r="A206" t="str">
            <v>St. Kitts &amp; Nevis</v>
          </cell>
        </row>
        <row r="207">
          <cell r="A207" t="str">
            <v>St. Vincent &amp; Grenadines</v>
          </cell>
        </row>
        <row r="208">
          <cell r="A208" t="str">
            <v>St. Lucia</v>
          </cell>
        </row>
        <row r="209">
          <cell r="A209" t="str">
            <v>Aruba</v>
          </cell>
        </row>
        <row r="210">
          <cell r="A210" t="str">
            <v>Guam</v>
          </cell>
        </row>
        <row r="211">
          <cell r="A211" t="str">
            <v>St. BarthÃ©lemy</v>
          </cell>
        </row>
        <row r="212">
          <cell r="A212" t="str">
            <v>Martinique</v>
          </cell>
        </row>
        <row r="213">
          <cell r="A213" t="str">
            <v>Kuwait</v>
          </cell>
        </row>
        <row r="214">
          <cell r="A214" t="str">
            <v>Jersey</v>
          </cell>
        </row>
        <row r="215">
          <cell r="A215" t="str">
            <v>Bermuda</v>
          </cell>
        </row>
        <row r="216">
          <cell r="A216" t="str">
            <v>Caribbean Netherlands</v>
          </cell>
        </row>
        <row r="217">
          <cell r="A217" t="str">
            <v>Iraq</v>
          </cell>
        </row>
        <row r="218">
          <cell r="A218" t="str">
            <v>Bahamas</v>
          </cell>
        </row>
        <row r="219">
          <cell r="A219" t="str">
            <v>Guernsey</v>
          </cell>
        </row>
        <row r="220">
          <cell r="A220" t="str">
            <v>Sint Maarten</v>
          </cell>
        </row>
        <row r="221">
          <cell r="A221" t="str">
            <v>Libya</v>
          </cell>
        </row>
        <row r="222">
          <cell r="A222" t="str">
            <v>Antigua &amp; Barbuda</v>
          </cell>
        </row>
        <row r="223">
          <cell r="A223" t="str">
            <v>Tuvalu</v>
          </cell>
        </row>
        <row r="224">
          <cell r="A224" t="str">
            <v>North Korea</v>
          </cell>
        </row>
        <row r="225">
          <cell r="A225" t="str">
            <v>Norfolk Island</v>
          </cell>
        </row>
        <row r="226">
          <cell r="A226" t="str">
            <v>Wallis &amp; Futuna</v>
          </cell>
        </row>
        <row r="227">
          <cell r="A227" t="str">
            <v>Svalbard &amp; Jan Mayen</v>
          </cell>
        </row>
        <row r="228">
          <cell r="A228" t="str">
            <v>Kiribati</v>
          </cell>
        </row>
        <row r="229">
          <cell r="A229" t="str">
            <v>Palau</v>
          </cell>
        </row>
        <row r="230">
          <cell r="A230" t="str">
            <v>St. Pierre &amp; Miquelon</v>
          </cell>
        </row>
        <row r="231">
          <cell r="A231" t="str">
            <v>Montserrat</v>
          </cell>
        </row>
        <row r="232">
          <cell r="A232" t="str">
            <v>Falkland Islands (Islas Malvinas)</v>
          </cell>
        </row>
        <row r="233">
          <cell r="A233" t="str">
            <v>Cook Islands</v>
          </cell>
        </row>
        <row r="234">
          <cell r="A234" t="str">
            <v>Marshall Islands</v>
          </cell>
        </row>
        <row r="235">
          <cell r="A235" t="str">
            <v>Anguilla</v>
          </cell>
        </row>
        <row r="236">
          <cell r="A236" t="str">
            <v>Turks &amp; Caicos Islands</v>
          </cell>
        </row>
        <row r="237">
          <cell r="A237" t="str">
            <v>Micronesia</v>
          </cell>
        </row>
        <row r="238">
          <cell r="A238" t="str">
            <v>American Samoa</v>
          </cell>
        </row>
        <row r="239">
          <cell r="A239" t="str">
            <v>St. Martin</v>
          </cell>
        </row>
        <row r="240">
          <cell r="A240" t="str">
            <v>British Virgin Islands</v>
          </cell>
        </row>
        <row r="241">
          <cell r="A241" t="str">
            <v>Antarctica</v>
          </cell>
        </row>
        <row r="242">
          <cell r="A242" t="str">
            <v>French Southern Territories</v>
          </cell>
        </row>
        <row r="243">
          <cell r="A243" t="str">
            <v>Bouvet Island</v>
          </cell>
        </row>
        <row r="244">
          <cell r="A244" t="str">
            <v>Cocos (Keeling) Islands</v>
          </cell>
        </row>
        <row r="245">
          <cell r="A245" t="str">
            <v>Christmas Island</v>
          </cell>
        </row>
        <row r="246">
          <cell r="A246" t="str">
            <v>Heard &amp; McDonald Islands</v>
          </cell>
        </row>
        <row r="247">
          <cell r="A247" t="str">
            <v>Niue</v>
          </cell>
        </row>
        <row r="248">
          <cell r="A248" t="str">
            <v>Nauru</v>
          </cell>
        </row>
        <row r="249">
          <cell r="A249" t="str">
            <v>Pitcairn Islands</v>
          </cell>
        </row>
        <row r="250">
          <cell r="A250" t="str">
            <v>South Georgia &amp; South Sandwich Islands</v>
          </cell>
        </row>
        <row r="251">
          <cell r="A251" t="str">
            <v>Tokelau</v>
          </cell>
        </row>
        <row r="252">
          <cell r="A252" t="str">
            <v>U.S. Outlying Islands</v>
          </cell>
        </row>
        <row r="253">
          <cell r="A253" t="str">
            <v>Vatican City</v>
          </cell>
        </row>
      </sheetData>
    </sheetDataSet>
  </externalBook>
</externalLink>
</file>

<file path=xl/externalLinks/externalLink3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29)"/>
    </sheetNames>
    <sheetDataSet>
      <sheetData sheetId="0">
        <row r="1">
          <cell r="A1" t="str">
            <v>Category: All categories</v>
          </cell>
        </row>
        <row r="3">
          <cell r="A3" t="str">
            <v>Country</v>
          </cell>
          <cell r="B3" t="str">
            <v>Transmission Control Protocol: (2014)</v>
          </cell>
          <cell r="C3" t="str">
            <v>Artificial neural network: (2014)</v>
          </cell>
        </row>
        <row r="4">
          <cell r="A4" t="str">
            <v>Cuba</v>
          </cell>
        </row>
        <row r="5">
          <cell r="A5" t="str">
            <v>China</v>
          </cell>
          <cell r="B5">
            <v>0.67</v>
          </cell>
          <cell r="C5">
            <v>0.33</v>
          </cell>
        </row>
        <row r="6">
          <cell r="A6" t="str">
            <v>Burundi</v>
          </cell>
        </row>
        <row r="7">
          <cell r="A7" t="str">
            <v>South Korea</v>
          </cell>
          <cell r="B7">
            <v>0.64</v>
          </cell>
          <cell r="C7">
            <v>0.36</v>
          </cell>
        </row>
        <row r="8">
          <cell r="A8" t="str">
            <v>St. Helena</v>
          </cell>
        </row>
        <row r="9">
          <cell r="A9" t="str">
            <v>Eswatini</v>
          </cell>
        </row>
        <row r="10">
          <cell r="A10" t="str">
            <v>Botswana</v>
          </cell>
        </row>
        <row r="11">
          <cell r="A11" t="str">
            <v>Namibia</v>
          </cell>
        </row>
        <row r="12">
          <cell r="A12" t="str">
            <v>Croatia</v>
          </cell>
          <cell r="B12">
            <v>0.23</v>
          </cell>
          <cell r="C12">
            <v>0.77</v>
          </cell>
        </row>
        <row r="13">
          <cell r="A13" t="str">
            <v>Singapore</v>
          </cell>
          <cell r="B13">
            <v>0.78</v>
          </cell>
          <cell r="C13">
            <v>0.22</v>
          </cell>
        </row>
        <row r="14">
          <cell r="A14" t="str">
            <v>Cameroon</v>
          </cell>
        </row>
        <row r="15">
          <cell r="A15" t="str">
            <v>Rwanda</v>
          </cell>
        </row>
        <row r="16">
          <cell r="A16" t="str">
            <v>Ethiopia</v>
          </cell>
        </row>
        <row r="17">
          <cell r="A17" t="str">
            <v>Hong Kong</v>
          </cell>
          <cell r="B17">
            <v>0.79</v>
          </cell>
          <cell r="C17">
            <v>0.21</v>
          </cell>
        </row>
        <row r="18">
          <cell r="A18" t="str">
            <v>India</v>
          </cell>
          <cell r="B18">
            <v>0.68</v>
          </cell>
          <cell r="C18">
            <v>0.32</v>
          </cell>
        </row>
        <row r="19">
          <cell r="A19" t="str">
            <v>Malawi</v>
          </cell>
        </row>
        <row r="20">
          <cell r="A20" t="str">
            <v>Nepal</v>
          </cell>
        </row>
        <row r="21">
          <cell r="A21" t="str">
            <v>Angola</v>
          </cell>
        </row>
        <row r="22">
          <cell r="A22" t="str">
            <v>Ghana</v>
          </cell>
        </row>
        <row r="23">
          <cell r="A23" t="str">
            <v>Papua New Guinea</v>
          </cell>
        </row>
        <row r="24">
          <cell r="A24" t="str">
            <v>Madagascar</v>
          </cell>
        </row>
        <row r="25">
          <cell r="A25" t="str">
            <v>Taiwan</v>
          </cell>
          <cell r="B25">
            <v>0.73</v>
          </cell>
          <cell r="C25">
            <v>0.27</v>
          </cell>
        </row>
        <row r="26">
          <cell r="A26" t="str">
            <v>Czechia</v>
          </cell>
          <cell r="B26">
            <v>0.75</v>
          </cell>
          <cell r="C26">
            <v>0.25</v>
          </cell>
        </row>
        <row r="27">
          <cell r="A27" t="str">
            <v>Sri Lanka</v>
          </cell>
          <cell r="B27">
            <v>0.64</v>
          </cell>
          <cell r="C27">
            <v>0.36</v>
          </cell>
        </row>
        <row r="28">
          <cell r="A28" t="str">
            <v>Benin</v>
          </cell>
        </row>
        <row r="29">
          <cell r="A29" t="str">
            <v>Lesotho</v>
          </cell>
        </row>
        <row r="30">
          <cell r="A30" t="str">
            <v>Uganda</v>
          </cell>
        </row>
        <row r="31">
          <cell r="A31" t="str">
            <v>Tunisia</v>
          </cell>
          <cell r="B31">
            <v>0.75</v>
          </cell>
          <cell r="C31">
            <v>0.25</v>
          </cell>
        </row>
        <row r="32">
          <cell r="A32" t="str">
            <v>Israel</v>
          </cell>
          <cell r="B32">
            <v>0.8</v>
          </cell>
          <cell r="C32">
            <v>0.2</v>
          </cell>
        </row>
        <row r="33">
          <cell r="A33" t="str">
            <v>Iceland</v>
          </cell>
        </row>
        <row r="34">
          <cell r="A34" t="str">
            <v>Congo - Kinshasa</v>
          </cell>
        </row>
        <row r="35">
          <cell r="A35" t="str">
            <v>Bhutan</v>
          </cell>
        </row>
        <row r="36">
          <cell r="A36" t="str">
            <v>Kenya</v>
          </cell>
          <cell r="B36">
            <v>0.68</v>
          </cell>
          <cell r="C36">
            <v>0.32</v>
          </cell>
        </row>
        <row r="37">
          <cell r="A37" t="str">
            <v>Togo</v>
          </cell>
        </row>
        <row r="38">
          <cell r="A38" t="str">
            <v>Switzerland</v>
          </cell>
          <cell r="B38">
            <v>0.87</v>
          </cell>
          <cell r="C38">
            <v>0.13</v>
          </cell>
        </row>
        <row r="39">
          <cell r="A39" t="str">
            <v>Myanmar (Burma)</v>
          </cell>
        </row>
        <row r="40">
          <cell r="A40" t="str">
            <v>Luxembourg</v>
          </cell>
        </row>
        <row r="41">
          <cell r="A41" t="str">
            <v>Mauritius</v>
          </cell>
        </row>
        <row r="42">
          <cell r="A42" t="str">
            <v>Mozambique</v>
          </cell>
        </row>
        <row r="43">
          <cell r="A43" t="str">
            <v>Afghanistan</v>
          </cell>
        </row>
        <row r="44">
          <cell r="A44" t="str">
            <v>Malta</v>
          </cell>
        </row>
        <row r="45">
          <cell r="A45" t="str">
            <v>Japan</v>
          </cell>
          <cell r="B45">
            <v>0.87</v>
          </cell>
          <cell r="C45">
            <v>0.13</v>
          </cell>
        </row>
        <row r="46">
          <cell r="A46" t="str">
            <v>CÃ´te dâ€™Ivoire</v>
          </cell>
        </row>
        <row r="47">
          <cell r="A47" t="str">
            <v>Uruguay</v>
          </cell>
        </row>
        <row r="48">
          <cell r="A48" t="str">
            <v>Zimbabwe</v>
          </cell>
        </row>
        <row r="49">
          <cell r="A49" t="str">
            <v>Cape Verde</v>
          </cell>
        </row>
        <row r="50">
          <cell r="A50" t="str">
            <v>Iran</v>
          </cell>
          <cell r="B50">
            <v>0.4</v>
          </cell>
          <cell r="C50">
            <v>0.6</v>
          </cell>
        </row>
        <row r="51">
          <cell r="A51" t="str">
            <v>Philippines</v>
          </cell>
          <cell r="B51">
            <v>0.78</v>
          </cell>
          <cell r="C51">
            <v>0.22</v>
          </cell>
        </row>
        <row r="52">
          <cell r="A52" t="str">
            <v>Germany</v>
          </cell>
          <cell r="B52">
            <v>0.9</v>
          </cell>
          <cell r="C52">
            <v>0.1</v>
          </cell>
        </row>
        <row r="53">
          <cell r="A53" t="str">
            <v>Isle of Man</v>
          </cell>
        </row>
        <row r="54">
          <cell r="A54" t="str">
            <v>Panama</v>
          </cell>
        </row>
        <row r="55">
          <cell r="A55" t="str">
            <v>Estonia</v>
          </cell>
        </row>
        <row r="56">
          <cell r="A56" t="str">
            <v>Brunei</v>
          </cell>
        </row>
        <row r="57">
          <cell r="A57" t="str">
            <v>Finland</v>
          </cell>
          <cell r="B57">
            <v>0.85</v>
          </cell>
          <cell r="C57">
            <v>0.15</v>
          </cell>
        </row>
        <row r="58">
          <cell r="A58" t="str">
            <v>Austria</v>
          </cell>
          <cell r="B58">
            <v>0.89</v>
          </cell>
          <cell r="C58">
            <v>0.11</v>
          </cell>
        </row>
        <row r="59">
          <cell r="A59" t="str">
            <v>New Zealand</v>
          </cell>
          <cell r="B59">
            <v>0.78</v>
          </cell>
          <cell r="C59">
            <v>0.22</v>
          </cell>
        </row>
        <row r="60">
          <cell r="A60" t="str">
            <v>Sweden</v>
          </cell>
          <cell r="B60">
            <v>0.87</v>
          </cell>
          <cell r="C60">
            <v>0.13</v>
          </cell>
        </row>
        <row r="61">
          <cell r="A61" t="str">
            <v>Cayman Islands</v>
          </cell>
        </row>
        <row r="62">
          <cell r="A62" t="str">
            <v>Honduras</v>
          </cell>
        </row>
        <row r="63">
          <cell r="A63" t="str">
            <v>United States</v>
          </cell>
          <cell r="B63">
            <v>0.76</v>
          </cell>
          <cell r="C63">
            <v>0.24</v>
          </cell>
        </row>
        <row r="64">
          <cell r="A64" t="str">
            <v>Norway</v>
          </cell>
          <cell r="B64">
            <v>0.86</v>
          </cell>
          <cell r="C64">
            <v>0.14000000000000001</v>
          </cell>
        </row>
        <row r="65">
          <cell r="A65" t="str">
            <v>Zambia</v>
          </cell>
        </row>
        <row r="66">
          <cell r="A66" t="str">
            <v>Jamaica</v>
          </cell>
        </row>
        <row r="67">
          <cell r="A67" t="str">
            <v>Macao</v>
          </cell>
        </row>
        <row r="68">
          <cell r="A68" t="str">
            <v>Senegal</v>
          </cell>
        </row>
        <row r="69">
          <cell r="A69" t="str">
            <v>Maldives</v>
          </cell>
        </row>
        <row r="70">
          <cell r="A70" t="str">
            <v>El Salvador</v>
          </cell>
        </row>
        <row r="71">
          <cell r="A71" t="str">
            <v>Ireland</v>
          </cell>
          <cell r="B71">
            <v>0.8</v>
          </cell>
          <cell r="C71">
            <v>0.2</v>
          </cell>
        </row>
        <row r="72">
          <cell r="A72" t="str">
            <v>Russia</v>
          </cell>
          <cell r="B72">
            <v>0.76</v>
          </cell>
          <cell r="C72">
            <v>0.24</v>
          </cell>
        </row>
        <row r="73">
          <cell r="A73" t="str">
            <v>Pakistan</v>
          </cell>
          <cell r="B73">
            <v>0.63</v>
          </cell>
          <cell r="C73">
            <v>0.37</v>
          </cell>
        </row>
        <row r="74">
          <cell r="A74" t="str">
            <v>Costa Rica</v>
          </cell>
        </row>
        <row r="75">
          <cell r="A75" t="str">
            <v>Australia</v>
          </cell>
          <cell r="B75">
            <v>0.78</v>
          </cell>
          <cell r="C75">
            <v>0.22</v>
          </cell>
        </row>
        <row r="76">
          <cell r="A76" t="str">
            <v>Belgium</v>
          </cell>
          <cell r="B76">
            <v>0.89</v>
          </cell>
          <cell r="C76">
            <v>0.11</v>
          </cell>
        </row>
        <row r="77">
          <cell r="A77" t="str">
            <v>Trinidad &amp; Tobago</v>
          </cell>
        </row>
        <row r="78">
          <cell r="A78" t="str">
            <v>Belarus</v>
          </cell>
          <cell r="B78">
            <v>0.8</v>
          </cell>
          <cell r="C78">
            <v>0.2</v>
          </cell>
        </row>
        <row r="79">
          <cell r="A79" t="str">
            <v>Jersey</v>
          </cell>
        </row>
        <row r="80">
          <cell r="A80" t="str">
            <v>Canada</v>
          </cell>
          <cell r="B80">
            <v>0.76</v>
          </cell>
          <cell r="C80">
            <v>0.24</v>
          </cell>
        </row>
        <row r="81">
          <cell r="A81" t="str">
            <v>South Africa</v>
          </cell>
          <cell r="B81">
            <v>0.71</v>
          </cell>
          <cell r="C81">
            <v>0.28999999999999998</v>
          </cell>
        </row>
        <row r="82">
          <cell r="A82" t="str">
            <v>Ecuador</v>
          </cell>
          <cell r="B82">
            <v>0.83</v>
          </cell>
          <cell r="C82">
            <v>0.17</v>
          </cell>
        </row>
        <row r="83">
          <cell r="A83" t="str">
            <v>Portugal</v>
          </cell>
          <cell r="B83">
            <v>0.84</v>
          </cell>
          <cell r="C83">
            <v>0.16</v>
          </cell>
        </row>
        <row r="84">
          <cell r="A84" t="str">
            <v>Oman</v>
          </cell>
        </row>
        <row r="85">
          <cell r="A85" t="str">
            <v>Guam</v>
          </cell>
        </row>
        <row r="86">
          <cell r="A86" t="str">
            <v>Burkina Faso</v>
          </cell>
        </row>
        <row r="87">
          <cell r="A87" t="str">
            <v>Barbados</v>
          </cell>
        </row>
        <row r="88">
          <cell r="A88" t="str">
            <v>Netherlands</v>
          </cell>
          <cell r="B88">
            <v>0.87</v>
          </cell>
          <cell r="C88">
            <v>0.13</v>
          </cell>
        </row>
        <row r="89">
          <cell r="A89" t="str">
            <v>Tanzania</v>
          </cell>
        </row>
        <row r="90">
          <cell r="A90" t="str">
            <v>Guatemala</v>
          </cell>
        </row>
        <row r="91">
          <cell r="A91" t="str">
            <v>Spain</v>
          </cell>
          <cell r="B91">
            <v>0.88</v>
          </cell>
          <cell r="C91">
            <v>0.12</v>
          </cell>
        </row>
        <row r="92">
          <cell r="A92" t="str">
            <v>Fiji</v>
          </cell>
        </row>
        <row r="93">
          <cell r="A93" t="str">
            <v>Dominican Republic</v>
          </cell>
        </row>
        <row r="94">
          <cell r="A94" t="str">
            <v>Lebanon</v>
          </cell>
        </row>
        <row r="95">
          <cell r="A95" t="str">
            <v>Slovakia</v>
          </cell>
          <cell r="B95">
            <v>0.82</v>
          </cell>
          <cell r="C95">
            <v>0.18</v>
          </cell>
        </row>
        <row r="96">
          <cell r="A96" t="str">
            <v>Bangladesh</v>
          </cell>
          <cell r="B96">
            <v>0.6</v>
          </cell>
          <cell r="C96">
            <v>0.4</v>
          </cell>
        </row>
        <row r="97">
          <cell r="A97" t="str">
            <v>Malaysia</v>
          </cell>
          <cell r="B97">
            <v>0.64</v>
          </cell>
          <cell r="C97">
            <v>0.36</v>
          </cell>
        </row>
        <row r="98">
          <cell r="A98" t="str">
            <v>United Kingdom</v>
          </cell>
          <cell r="B98">
            <v>0.76</v>
          </cell>
          <cell r="C98">
            <v>0.24</v>
          </cell>
        </row>
        <row r="99">
          <cell r="A99" t="str">
            <v>Nicaragua</v>
          </cell>
        </row>
        <row r="100">
          <cell r="A100" t="str">
            <v>Latvia</v>
          </cell>
        </row>
        <row r="101">
          <cell r="A101" t="str">
            <v>Hungary</v>
          </cell>
          <cell r="B101">
            <v>0.88</v>
          </cell>
          <cell r="C101">
            <v>0.12</v>
          </cell>
        </row>
        <row r="102">
          <cell r="A102" t="str">
            <v>Cambodia</v>
          </cell>
        </row>
        <row r="103">
          <cell r="A103" t="str">
            <v>Somalia</v>
          </cell>
        </row>
        <row r="104">
          <cell r="A104" t="str">
            <v>Haiti</v>
          </cell>
        </row>
        <row r="105">
          <cell r="A105" t="str">
            <v>Bolivia</v>
          </cell>
          <cell r="B105">
            <v>0.77</v>
          </cell>
          <cell r="C105">
            <v>0.23</v>
          </cell>
        </row>
        <row r="106">
          <cell r="A106" t="str">
            <v>United Arab Emirates</v>
          </cell>
          <cell r="B106">
            <v>0.79</v>
          </cell>
          <cell r="C106">
            <v>0.21</v>
          </cell>
        </row>
        <row r="107">
          <cell r="A107" t="str">
            <v>Nigeria</v>
          </cell>
          <cell r="B107">
            <v>0.51</v>
          </cell>
          <cell r="C107">
            <v>0.49</v>
          </cell>
        </row>
        <row r="108">
          <cell r="A108" t="str">
            <v>Mongolia</v>
          </cell>
        </row>
        <row r="109">
          <cell r="A109" t="str">
            <v>Bahrain</v>
          </cell>
        </row>
        <row r="110">
          <cell r="A110" t="str">
            <v>Morocco</v>
          </cell>
          <cell r="B110">
            <v>0.82</v>
          </cell>
          <cell r="C110">
            <v>0.18</v>
          </cell>
        </row>
        <row r="111">
          <cell r="A111" t="str">
            <v>Colombia</v>
          </cell>
          <cell r="B111">
            <v>0.79</v>
          </cell>
          <cell r="C111">
            <v>0.21</v>
          </cell>
        </row>
        <row r="112">
          <cell r="A112" t="str">
            <v>Italy</v>
          </cell>
          <cell r="B112">
            <v>0.87</v>
          </cell>
          <cell r="C112">
            <v>0.13</v>
          </cell>
        </row>
        <row r="113">
          <cell r="A113" t="str">
            <v>Poland</v>
          </cell>
          <cell r="B113">
            <v>0.77</v>
          </cell>
          <cell r="C113">
            <v>0.23</v>
          </cell>
        </row>
        <row r="114">
          <cell r="A114" t="str">
            <v>Indonesia</v>
          </cell>
          <cell r="B114">
            <v>0.66</v>
          </cell>
          <cell r="C114">
            <v>0.34</v>
          </cell>
        </row>
        <row r="115">
          <cell r="A115" t="str">
            <v>Denmark</v>
          </cell>
          <cell r="B115">
            <v>0.85</v>
          </cell>
          <cell r="C115">
            <v>0.15</v>
          </cell>
        </row>
        <row r="116">
          <cell r="A116" t="str">
            <v>Mexico</v>
          </cell>
          <cell r="B116">
            <v>0.8</v>
          </cell>
          <cell r="C116">
            <v>0.2</v>
          </cell>
        </row>
        <row r="117">
          <cell r="A117" t="str">
            <v>Romania</v>
          </cell>
          <cell r="B117">
            <v>0.88</v>
          </cell>
          <cell r="C117">
            <v>0.12</v>
          </cell>
        </row>
        <row r="118">
          <cell r="A118" t="str">
            <v>Slovenia</v>
          </cell>
        </row>
        <row r="119">
          <cell r="A119" t="str">
            <v>Qatar</v>
          </cell>
        </row>
        <row r="120">
          <cell r="A120" t="str">
            <v>France</v>
          </cell>
          <cell r="B120">
            <v>0.9</v>
          </cell>
          <cell r="C120">
            <v>0.1</v>
          </cell>
        </row>
        <row r="121">
          <cell r="A121" t="str">
            <v>Sudan</v>
          </cell>
        </row>
        <row r="122">
          <cell r="A122" t="str">
            <v>Argentina</v>
          </cell>
          <cell r="B122">
            <v>0.91</v>
          </cell>
          <cell r="C122">
            <v>0.09</v>
          </cell>
        </row>
        <row r="123">
          <cell r="A123" t="str">
            <v>Brazil</v>
          </cell>
          <cell r="B123">
            <v>0.86</v>
          </cell>
          <cell r="C123">
            <v>0.14000000000000001</v>
          </cell>
        </row>
        <row r="124">
          <cell r="A124" t="str">
            <v>Bulgaria</v>
          </cell>
          <cell r="B124">
            <v>0.83</v>
          </cell>
          <cell r="C124">
            <v>0.17</v>
          </cell>
        </row>
        <row r="125">
          <cell r="A125" t="str">
            <v>Peru</v>
          </cell>
          <cell r="B125">
            <v>0.72</v>
          </cell>
          <cell r="C125">
            <v>0.28000000000000003</v>
          </cell>
        </row>
        <row r="126">
          <cell r="A126" t="str">
            <v>Laos</v>
          </cell>
        </row>
        <row r="127">
          <cell r="A127" t="str">
            <v>Paraguay</v>
          </cell>
        </row>
        <row r="128">
          <cell r="A128" t="str">
            <v>Cyprus</v>
          </cell>
        </row>
        <row r="129">
          <cell r="A129" t="str">
            <v>Ukraine</v>
          </cell>
          <cell r="B129">
            <v>0.75</v>
          </cell>
          <cell r="C129">
            <v>0.25</v>
          </cell>
        </row>
        <row r="130">
          <cell r="A130" t="str">
            <v>Moldova</v>
          </cell>
        </row>
        <row r="131">
          <cell r="A131" t="str">
            <v>Chile</v>
          </cell>
          <cell r="B131">
            <v>0.81</v>
          </cell>
          <cell r="C131">
            <v>0.19</v>
          </cell>
        </row>
        <row r="132">
          <cell r="A132" t="str">
            <v>Sierra Leone</v>
          </cell>
        </row>
        <row r="133">
          <cell r="A133" t="str">
            <v>Uzbekistan</v>
          </cell>
        </row>
        <row r="134">
          <cell r="A134" t="str">
            <v>Martinique</v>
          </cell>
        </row>
        <row r="135">
          <cell r="A135" t="str">
            <v>Lithuania</v>
          </cell>
          <cell r="B135">
            <v>0.72</v>
          </cell>
          <cell r="C135">
            <v>0.28000000000000003</v>
          </cell>
        </row>
        <row r="136">
          <cell r="A136" t="str">
            <v>North Macedonia</v>
          </cell>
        </row>
        <row r="137">
          <cell r="A137" t="str">
            <v>Greece</v>
          </cell>
          <cell r="B137">
            <v>0.71</v>
          </cell>
          <cell r="C137">
            <v>0.28999999999999998</v>
          </cell>
        </row>
        <row r="138">
          <cell r="A138" t="str">
            <v>CuraÃ§ao</v>
          </cell>
        </row>
        <row r="139">
          <cell r="A139" t="str">
            <v>Armenia</v>
          </cell>
        </row>
        <row r="140">
          <cell r="A140" t="str">
            <v>Suriname</v>
          </cell>
        </row>
        <row r="141">
          <cell r="A141" t="str">
            <v>Puerto Rico</v>
          </cell>
        </row>
        <row r="142">
          <cell r="A142" t="str">
            <v>Guadeloupe</v>
          </cell>
        </row>
        <row r="143">
          <cell r="A143" t="str">
            <v>Albania</v>
          </cell>
        </row>
        <row r="144">
          <cell r="A144" t="str">
            <v>Syria</v>
          </cell>
        </row>
        <row r="145">
          <cell r="A145" t="str">
            <v>Serbia</v>
          </cell>
          <cell r="B145">
            <v>0.77</v>
          </cell>
          <cell r="C145">
            <v>0.23</v>
          </cell>
        </row>
        <row r="146">
          <cell r="A146" t="str">
            <v>Kuwait</v>
          </cell>
        </row>
        <row r="147">
          <cell r="A147" t="str">
            <v>Turkmenistan</v>
          </cell>
        </row>
        <row r="148">
          <cell r="A148" t="str">
            <v>Kazakhstan</v>
          </cell>
        </row>
        <row r="149">
          <cell r="A149" t="str">
            <v>Guyana</v>
          </cell>
        </row>
        <row r="150">
          <cell r="A150" t="str">
            <v>Venezuela</v>
          </cell>
          <cell r="B150">
            <v>0.85</v>
          </cell>
          <cell r="C150">
            <v>0.15</v>
          </cell>
        </row>
        <row r="151">
          <cell r="A151" t="str">
            <v>Yemen</v>
          </cell>
        </row>
        <row r="152">
          <cell r="A152" t="str">
            <v>Algeria</v>
          </cell>
          <cell r="B152">
            <v>0.61</v>
          </cell>
          <cell r="C152">
            <v>0.39</v>
          </cell>
        </row>
        <row r="153">
          <cell r="A153" t="str">
            <v>Jordan</v>
          </cell>
        </row>
        <row r="154">
          <cell r="A154" t="str">
            <v>Tajikistan</v>
          </cell>
        </row>
        <row r="155">
          <cell r="A155" t="str">
            <v>Vietnam</v>
          </cell>
          <cell r="B155">
            <v>0.85</v>
          </cell>
          <cell r="C155">
            <v>0.15</v>
          </cell>
        </row>
        <row r="156">
          <cell r="A156" t="str">
            <v>Guinea</v>
          </cell>
        </row>
        <row r="157">
          <cell r="A157" t="str">
            <v>Bosnia &amp; Herzegovina</v>
          </cell>
        </row>
        <row r="158">
          <cell r="A158" t="str">
            <v>Mali</v>
          </cell>
        </row>
        <row r="159">
          <cell r="A159" t="str">
            <v>Kyrgyzstan</v>
          </cell>
        </row>
        <row r="160">
          <cell r="A160" t="str">
            <v>Libya</v>
          </cell>
        </row>
        <row r="161">
          <cell r="A161" t="str">
            <v>Liberia</v>
          </cell>
        </row>
        <row r="162">
          <cell r="A162" t="str">
            <v>Thailand</v>
          </cell>
          <cell r="B162">
            <v>0.72</v>
          </cell>
          <cell r="C162">
            <v>0.28000000000000003</v>
          </cell>
        </row>
        <row r="163">
          <cell r="A163" t="str">
            <v>RÃ©union</v>
          </cell>
        </row>
        <row r="164">
          <cell r="A164" t="str">
            <v>Georgia</v>
          </cell>
        </row>
        <row r="165">
          <cell r="A165" t="str">
            <v>Kosovo</v>
          </cell>
        </row>
        <row r="166">
          <cell r="A166" t="str">
            <v>Saudi Arabia</v>
          </cell>
          <cell r="B166">
            <v>0.75</v>
          </cell>
          <cell r="C166">
            <v>0.25</v>
          </cell>
        </row>
        <row r="167">
          <cell r="A167" t="str">
            <v>Egypt</v>
          </cell>
          <cell r="B167">
            <v>0.6</v>
          </cell>
          <cell r="C167">
            <v>0.4</v>
          </cell>
        </row>
        <row r="168">
          <cell r="A168" t="str">
            <v>Azerbaijan</v>
          </cell>
        </row>
        <row r="169">
          <cell r="A169" t="str">
            <v>Montenegro</v>
          </cell>
        </row>
        <row r="170">
          <cell r="A170" t="str">
            <v>Palestine</v>
          </cell>
        </row>
        <row r="171">
          <cell r="A171" t="str">
            <v>Turkey</v>
          </cell>
          <cell r="B171">
            <v>0.67</v>
          </cell>
          <cell r="C171">
            <v>0.33</v>
          </cell>
        </row>
        <row r="172">
          <cell r="A172" t="str">
            <v>Iraq</v>
          </cell>
        </row>
        <row r="173">
          <cell r="A173" t="str">
            <v>North Korea</v>
          </cell>
        </row>
        <row r="174">
          <cell r="A174" t="str">
            <v>British Indian Ocean Territory</v>
          </cell>
        </row>
        <row r="175">
          <cell r="A175" t="str">
            <v>Falkland Islands (Islas Malvinas)</v>
          </cell>
        </row>
        <row r="176">
          <cell r="A176" t="str">
            <v>Eritrea</v>
          </cell>
        </row>
        <row r="177">
          <cell r="A177" t="str">
            <v>Micronesia</v>
          </cell>
        </row>
        <row r="178">
          <cell r="A178" t="str">
            <v>Cook Islands</v>
          </cell>
        </row>
        <row r="179">
          <cell r="A179" t="str">
            <v>Guinea-Bissau</v>
          </cell>
        </row>
        <row r="180">
          <cell r="A180" t="str">
            <v>Vanuatu</v>
          </cell>
        </row>
        <row r="181">
          <cell r="A181" t="str">
            <v>Equatorial Guinea</v>
          </cell>
        </row>
        <row r="182">
          <cell r="A182" t="str">
            <v>SÃ£o TomÃ© &amp; PrÃ­ncipe</v>
          </cell>
        </row>
        <row r="183">
          <cell r="A183" t="str">
            <v>Central African Republic</v>
          </cell>
        </row>
        <row r="184">
          <cell r="A184" t="str">
            <v>Caribbean Netherlands</v>
          </cell>
        </row>
        <row r="185">
          <cell r="A185" t="str">
            <v>St. Pierre &amp; Miquelon</v>
          </cell>
        </row>
        <row r="186">
          <cell r="A186" t="str">
            <v>Tonga</v>
          </cell>
        </row>
        <row r="187">
          <cell r="A187" t="str">
            <v>Liechtenstein</v>
          </cell>
        </row>
        <row r="188">
          <cell r="A188" t="str">
            <v>Turks &amp; Caicos Islands</v>
          </cell>
        </row>
        <row r="189">
          <cell r="A189" t="str">
            <v>Comoros</v>
          </cell>
        </row>
        <row r="190">
          <cell r="A190" t="str">
            <v>Greenland</v>
          </cell>
        </row>
        <row r="191">
          <cell r="A191" t="str">
            <v>Faroe Islands</v>
          </cell>
        </row>
        <row r="192">
          <cell r="A192" t="str">
            <v>Anguilla</v>
          </cell>
        </row>
        <row r="193">
          <cell r="A193" t="str">
            <v>Solomon Islands</v>
          </cell>
        </row>
        <row r="194">
          <cell r="A194" t="str">
            <v>Samoa</v>
          </cell>
        </row>
        <row r="195">
          <cell r="A195" t="str">
            <v>St. Martin</v>
          </cell>
        </row>
        <row r="196">
          <cell r="A196" t="str">
            <v>Seychelles</v>
          </cell>
        </row>
        <row r="197">
          <cell r="A197" t="str">
            <v>Grenada</v>
          </cell>
        </row>
        <row r="198">
          <cell r="A198" t="str">
            <v>Mayotte</v>
          </cell>
        </row>
        <row r="199">
          <cell r="A199" t="str">
            <v>Andorra</v>
          </cell>
        </row>
        <row r="200">
          <cell r="A200" t="str">
            <v>Gibraltar</v>
          </cell>
        </row>
        <row r="201">
          <cell r="A201" t="str">
            <v>Dominica</v>
          </cell>
        </row>
        <row r="202">
          <cell r="A202" t="str">
            <v>St. Lucia</v>
          </cell>
        </row>
        <row r="203">
          <cell r="A203" t="str">
            <v>Niger</v>
          </cell>
        </row>
        <row r="204">
          <cell r="A204" t="str">
            <v>U.S. Virgin Islands</v>
          </cell>
        </row>
        <row r="205">
          <cell r="A205" t="str">
            <v>French Polynesia</v>
          </cell>
        </row>
        <row r="206">
          <cell r="A206" t="str">
            <v>Chad</v>
          </cell>
        </row>
        <row r="207">
          <cell r="A207" t="str">
            <v>Belize</v>
          </cell>
        </row>
        <row r="208">
          <cell r="A208" t="str">
            <v>Guernsey</v>
          </cell>
        </row>
        <row r="209">
          <cell r="A209" t="str">
            <v>Bermuda</v>
          </cell>
        </row>
        <row r="210">
          <cell r="A210" t="str">
            <v>Congo - Brazzaville</v>
          </cell>
        </row>
        <row r="211">
          <cell r="A211" t="str">
            <v>Timor-Leste</v>
          </cell>
        </row>
        <row r="212">
          <cell r="A212" t="str">
            <v>Gabon</v>
          </cell>
        </row>
        <row r="213">
          <cell r="A213" t="str">
            <v>Antigua &amp; Barbuda</v>
          </cell>
        </row>
        <row r="214">
          <cell r="A214" t="str">
            <v>New Caledonia</v>
          </cell>
        </row>
        <row r="215">
          <cell r="A215" t="str">
            <v>San Marino</v>
          </cell>
        </row>
        <row r="216">
          <cell r="A216" t="str">
            <v>Sint Maarten</v>
          </cell>
        </row>
        <row r="217">
          <cell r="A217" t="str">
            <v>St. Kitts &amp; Nevis</v>
          </cell>
        </row>
        <row r="218">
          <cell r="A218" t="str">
            <v>Monaco</v>
          </cell>
        </row>
        <row r="219">
          <cell r="A219" t="str">
            <v>South Sudan</v>
          </cell>
        </row>
        <row r="220">
          <cell r="A220" t="str">
            <v>Aruba</v>
          </cell>
        </row>
        <row r="221">
          <cell r="A221" t="str">
            <v>Mauritania</v>
          </cell>
        </row>
        <row r="222">
          <cell r="A222" t="str">
            <v>Ã…land Islands</v>
          </cell>
        </row>
        <row r="223">
          <cell r="A223" t="str">
            <v>Gambia</v>
          </cell>
        </row>
        <row r="224">
          <cell r="A224" t="str">
            <v>Bahamas</v>
          </cell>
        </row>
        <row r="225">
          <cell r="A225" t="str">
            <v>Djibouti</v>
          </cell>
        </row>
        <row r="226">
          <cell r="A226" t="str">
            <v>St. Vincent &amp; Grenadines</v>
          </cell>
        </row>
        <row r="227">
          <cell r="A227" t="str">
            <v>French Guiana</v>
          </cell>
        </row>
        <row r="228">
          <cell r="A228" t="str">
            <v>American Samoa</v>
          </cell>
        </row>
        <row r="229">
          <cell r="A229" t="str">
            <v>Antarctica</v>
          </cell>
        </row>
        <row r="230">
          <cell r="A230" t="str">
            <v>French Southern Territories</v>
          </cell>
        </row>
        <row r="231">
          <cell r="A231" t="str">
            <v>St. BarthÃ©lemy</v>
          </cell>
        </row>
        <row r="232">
          <cell r="A232" t="str">
            <v>Bouvet Island</v>
          </cell>
        </row>
        <row r="233">
          <cell r="A233" t="str">
            <v>Cocos (Keeling) Islands</v>
          </cell>
        </row>
        <row r="234">
          <cell r="A234" t="str">
            <v>Christmas Island</v>
          </cell>
        </row>
        <row r="235">
          <cell r="A235" t="str">
            <v>Western Sahara</v>
          </cell>
        </row>
        <row r="236">
          <cell r="A236" t="str">
            <v>Heard &amp; McDonald Islands</v>
          </cell>
        </row>
        <row r="237">
          <cell r="A237" t="str">
            <v>Kiribati</v>
          </cell>
        </row>
        <row r="238">
          <cell r="A238" t="str">
            <v>Marshall Islands</v>
          </cell>
        </row>
        <row r="239">
          <cell r="A239" t="str">
            <v>Northern Mariana Islands</v>
          </cell>
        </row>
        <row r="240">
          <cell r="A240" t="str">
            <v>Montserrat</v>
          </cell>
        </row>
        <row r="241">
          <cell r="A241" t="str">
            <v>Norfolk Island</v>
          </cell>
        </row>
        <row r="242">
          <cell r="A242" t="str">
            <v>Niue</v>
          </cell>
        </row>
        <row r="243">
          <cell r="A243" t="str">
            <v>Nauru</v>
          </cell>
        </row>
        <row r="244">
          <cell r="A244" t="str">
            <v>Pitcairn Islands</v>
          </cell>
        </row>
        <row r="245">
          <cell r="A245" t="str">
            <v>Palau</v>
          </cell>
        </row>
        <row r="246">
          <cell r="A246" t="str">
            <v>South Georgia &amp; South Sandwich Islands</v>
          </cell>
        </row>
        <row r="247">
          <cell r="A247" t="str">
            <v>Svalbard &amp; Jan Mayen</v>
          </cell>
        </row>
        <row r="248">
          <cell r="A248" t="str">
            <v>Tokelau</v>
          </cell>
        </row>
        <row r="249">
          <cell r="A249" t="str">
            <v>Tuvalu</v>
          </cell>
        </row>
        <row r="250">
          <cell r="A250" t="str">
            <v>U.S. Outlying Islands</v>
          </cell>
        </row>
        <row r="251">
          <cell r="A251" t="str">
            <v>Vatican City</v>
          </cell>
        </row>
        <row r="252">
          <cell r="A252" t="str">
            <v>British Virgin Islands</v>
          </cell>
        </row>
        <row r="253">
          <cell r="A253" t="str">
            <v>Wallis &amp; Futuna</v>
          </cell>
        </row>
      </sheetData>
    </sheetDataSet>
  </externalBook>
</externalLink>
</file>

<file path=xl/externalLinks/externalLink3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32)"/>
    </sheetNames>
    <sheetDataSet>
      <sheetData sheetId="0">
        <row r="1">
          <cell r="A1" t="str">
            <v>Category: All categories</v>
          </cell>
        </row>
        <row r="3">
          <cell r="A3" t="str">
            <v>Country</v>
          </cell>
          <cell r="B3" t="str">
            <v>Artificial neural network: (2014)</v>
          </cell>
          <cell r="C3" t="str">
            <v>Design thinking: (2014)</v>
          </cell>
        </row>
        <row r="4">
          <cell r="A4" t="str">
            <v>Cuba</v>
          </cell>
        </row>
        <row r="5">
          <cell r="A5" t="str">
            <v>China</v>
          </cell>
          <cell r="B5">
            <v>0.97</v>
          </cell>
          <cell r="C5">
            <v>0.03</v>
          </cell>
        </row>
        <row r="6">
          <cell r="A6" t="str">
            <v>Croatia</v>
          </cell>
        </row>
        <row r="7">
          <cell r="A7" t="str">
            <v>South Korea</v>
          </cell>
          <cell r="B7">
            <v>0.95</v>
          </cell>
          <cell r="C7">
            <v>0.05</v>
          </cell>
        </row>
        <row r="8">
          <cell r="A8" t="str">
            <v>Iran</v>
          </cell>
          <cell r="B8">
            <v>1</v>
          </cell>
          <cell r="C8" t="str">
            <v>&lt;1%</v>
          </cell>
        </row>
        <row r="9">
          <cell r="A9" t="str">
            <v>Bhutan</v>
          </cell>
        </row>
        <row r="10">
          <cell r="A10" t="str">
            <v>Botswana</v>
          </cell>
        </row>
        <row r="11">
          <cell r="A11" t="str">
            <v>India</v>
          </cell>
          <cell r="B11">
            <v>0.96</v>
          </cell>
          <cell r="C11">
            <v>0.04</v>
          </cell>
        </row>
        <row r="12">
          <cell r="A12" t="str">
            <v>Sri Lanka</v>
          </cell>
        </row>
        <row r="13">
          <cell r="A13" t="str">
            <v>Zimbabwe</v>
          </cell>
        </row>
        <row r="14">
          <cell r="A14" t="str">
            <v>Nigeria</v>
          </cell>
        </row>
        <row r="15">
          <cell r="A15" t="str">
            <v>Nepal</v>
          </cell>
        </row>
        <row r="16">
          <cell r="A16" t="str">
            <v>Fiji</v>
          </cell>
        </row>
        <row r="17">
          <cell r="A17" t="str">
            <v>Ghana</v>
          </cell>
        </row>
        <row r="18">
          <cell r="A18" t="str">
            <v>Ethiopia</v>
          </cell>
        </row>
        <row r="19">
          <cell r="A19" t="str">
            <v>Myanmar (Burma)</v>
          </cell>
        </row>
        <row r="20">
          <cell r="A20" t="str">
            <v>Cambodia</v>
          </cell>
        </row>
        <row r="21">
          <cell r="A21" t="str">
            <v>Pakistan</v>
          </cell>
          <cell r="B21">
            <v>0.98</v>
          </cell>
          <cell r="C21">
            <v>0.02</v>
          </cell>
        </row>
        <row r="22">
          <cell r="A22" t="str">
            <v>Kenya</v>
          </cell>
          <cell r="B22">
            <v>0.9</v>
          </cell>
          <cell r="C22">
            <v>0.1</v>
          </cell>
        </row>
        <row r="23">
          <cell r="A23" t="str">
            <v>Bangladesh</v>
          </cell>
        </row>
        <row r="24">
          <cell r="A24" t="str">
            <v>Singapore</v>
          </cell>
          <cell r="B24">
            <v>0.59</v>
          </cell>
          <cell r="C24">
            <v>0.41</v>
          </cell>
        </row>
        <row r="25">
          <cell r="A25" t="str">
            <v>Taiwan</v>
          </cell>
          <cell r="B25">
            <v>0.76</v>
          </cell>
          <cell r="C25">
            <v>0.24</v>
          </cell>
        </row>
        <row r="26">
          <cell r="A26" t="str">
            <v>Hong Kong</v>
          </cell>
          <cell r="B26">
            <v>0.86</v>
          </cell>
          <cell r="C26">
            <v>0.14000000000000001</v>
          </cell>
        </row>
        <row r="27">
          <cell r="A27" t="str">
            <v>Macao</v>
          </cell>
        </row>
        <row r="28">
          <cell r="A28" t="str">
            <v>St. Helena</v>
          </cell>
        </row>
        <row r="29">
          <cell r="A29" t="str">
            <v>Malta</v>
          </cell>
        </row>
        <row r="30">
          <cell r="A30" t="str">
            <v>Lebanon</v>
          </cell>
        </row>
        <row r="31">
          <cell r="A31" t="str">
            <v>Czechia</v>
          </cell>
        </row>
        <row r="32">
          <cell r="A32" t="str">
            <v>Malaysia</v>
          </cell>
          <cell r="B32">
            <v>0.91</v>
          </cell>
          <cell r="C32">
            <v>0.09</v>
          </cell>
        </row>
        <row r="33">
          <cell r="A33" t="str">
            <v>Mauritius</v>
          </cell>
        </row>
        <row r="34">
          <cell r="A34" t="str">
            <v>Brunei</v>
          </cell>
        </row>
        <row r="35">
          <cell r="A35" t="str">
            <v>Tunisia</v>
          </cell>
          <cell r="B35">
            <v>0.92</v>
          </cell>
          <cell r="C35">
            <v>0.08</v>
          </cell>
        </row>
        <row r="36">
          <cell r="A36" t="str">
            <v>Trinidad &amp; Tobago</v>
          </cell>
        </row>
        <row r="37">
          <cell r="A37" t="str">
            <v>Cameroon</v>
          </cell>
        </row>
        <row r="38">
          <cell r="A38" t="str">
            <v>Syria</v>
          </cell>
        </row>
        <row r="39">
          <cell r="A39" t="str">
            <v>Madagascar</v>
          </cell>
        </row>
        <row r="40">
          <cell r="A40" t="str">
            <v>Indonesia</v>
          </cell>
          <cell r="B40">
            <v>0.98</v>
          </cell>
          <cell r="C40">
            <v>0.02</v>
          </cell>
        </row>
        <row r="41">
          <cell r="A41" t="str">
            <v>Tanzania</v>
          </cell>
        </row>
        <row r="42">
          <cell r="A42" t="str">
            <v>South Africa</v>
          </cell>
          <cell r="B42">
            <v>0.88</v>
          </cell>
          <cell r="C42">
            <v>0.12</v>
          </cell>
        </row>
        <row r="43">
          <cell r="A43" t="str">
            <v>Sudan</v>
          </cell>
        </row>
        <row r="44">
          <cell r="A44" t="str">
            <v>Israel</v>
          </cell>
          <cell r="B44">
            <v>0.94</v>
          </cell>
          <cell r="C44">
            <v>0.06</v>
          </cell>
        </row>
        <row r="45">
          <cell r="A45" t="str">
            <v>United States</v>
          </cell>
          <cell r="B45">
            <v>0.88</v>
          </cell>
          <cell r="C45">
            <v>0.12</v>
          </cell>
        </row>
        <row r="46">
          <cell r="A46" t="str">
            <v>Philippines</v>
          </cell>
          <cell r="B46">
            <v>0.95</v>
          </cell>
          <cell r="C46">
            <v>0.05</v>
          </cell>
        </row>
        <row r="47">
          <cell r="A47" t="str">
            <v>Somalia</v>
          </cell>
        </row>
        <row r="48">
          <cell r="A48" t="str">
            <v>Laos</v>
          </cell>
        </row>
        <row r="49">
          <cell r="A49" t="str">
            <v>Iceland</v>
          </cell>
        </row>
        <row r="50">
          <cell r="A50" t="str">
            <v>Russia</v>
          </cell>
          <cell r="B50">
            <v>0.97</v>
          </cell>
          <cell r="C50">
            <v>0.03</v>
          </cell>
        </row>
        <row r="51">
          <cell r="A51" t="str">
            <v>Mongolia</v>
          </cell>
        </row>
        <row r="52">
          <cell r="A52" t="str">
            <v>Algeria</v>
          </cell>
        </row>
        <row r="53">
          <cell r="A53" t="str">
            <v>Canada</v>
          </cell>
          <cell r="B53">
            <v>0.85</v>
          </cell>
          <cell r="C53">
            <v>0.15</v>
          </cell>
        </row>
        <row r="54">
          <cell r="A54" t="str">
            <v>Cyprus</v>
          </cell>
        </row>
        <row r="55">
          <cell r="A55" t="str">
            <v>North Macedonia</v>
          </cell>
        </row>
        <row r="56">
          <cell r="A56" t="str">
            <v>New Zealand</v>
          </cell>
          <cell r="B56">
            <v>0.71</v>
          </cell>
          <cell r="C56">
            <v>0.28999999999999998</v>
          </cell>
        </row>
        <row r="57">
          <cell r="A57" t="str">
            <v>Palestine</v>
          </cell>
        </row>
        <row r="58">
          <cell r="A58" t="str">
            <v>Jamaica</v>
          </cell>
        </row>
        <row r="59">
          <cell r="A59" t="str">
            <v>Australia</v>
          </cell>
          <cell r="B59">
            <v>0.75</v>
          </cell>
          <cell r="C59">
            <v>0.25</v>
          </cell>
        </row>
        <row r="60">
          <cell r="A60" t="str">
            <v>United Kingdom</v>
          </cell>
          <cell r="B60">
            <v>0.91</v>
          </cell>
          <cell r="C60">
            <v>0.09</v>
          </cell>
        </row>
        <row r="61">
          <cell r="A61" t="str">
            <v>Peru</v>
          </cell>
          <cell r="B61">
            <v>0.84</v>
          </cell>
          <cell r="C61">
            <v>0.16</v>
          </cell>
        </row>
        <row r="62">
          <cell r="A62" t="str">
            <v>Belarus</v>
          </cell>
        </row>
        <row r="63">
          <cell r="A63" t="str">
            <v>Lithuania</v>
          </cell>
        </row>
        <row r="64">
          <cell r="A64" t="str">
            <v>Libya</v>
          </cell>
        </row>
        <row r="65">
          <cell r="A65" t="str">
            <v>Jordan</v>
          </cell>
        </row>
        <row r="66">
          <cell r="A66" t="str">
            <v>Ireland</v>
          </cell>
          <cell r="B66">
            <v>0.81</v>
          </cell>
          <cell r="C66">
            <v>0.19</v>
          </cell>
        </row>
        <row r="67">
          <cell r="A67" t="str">
            <v>Uganda</v>
          </cell>
        </row>
        <row r="68">
          <cell r="A68" t="str">
            <v>Albania</v>
          </cell>
        </row>
        <row r="69">
          <cell r="A69" t="str">
            <v>Oman</v>
          </cell>
        </row>
        <row r="70">
          <cell r="A70" t="str">
            <v>Iraq</v>
          </cell>
          <cell r="B70">
            <v>1</v>
          </cell>
        </row>
        <row r="71">
          <cell r="A71" t="str">
            <v>Afghanistan</v>
          </cell>
        </row>
        <row r="72">
          <cell r="A72" t="str">
            <v>Poland</v>
          </cell>
          <cell r="B72">
            <v>0.85</v>
          </cell>
          <cell r="C72">
            <v>0.15</v>
          </cell>
        </row>
        <row r="73">
          <cell r="A73" t="str">
            <v>Yemen</v>
          </cell>
        </row>
        <row r="74">
          <cell r="A74" t="str">
            <v>United Arab Emirates</v>
          </cell>
          <cell r="B74">
            <v>0.88</v>
          </cell>
          <cell r="C74">
            <v>0.12</v>
          </cell>
        </row>
        <row r="75">
          <cell r="A75" t="str">
            <v>Qatar</v>
          </cell>
        </row>
        <row r="76">
          <cell r="A76" t="str">
            <v>Bolivia</v>
          </cell>
          <cell r="B76">
            <v>0.94</v>
          </cell>
          <cell r="C76">
            <v>0.06</v>
          </cell>
        </row>
        <row r="77">
          <cell r="A77" t="str">
            <v>Greece</v>
          </cell>
        </row>
        <row r="78">
          <cell r="A78" t="str">
            <v>Rwanda</v>
          </cell>
        </row>
        <row r="79">
          <cell r="A79" t="str">
            <v>Egypt</v>
          </cell>
          <cell r="B79">
            <v>0.94</v>
          </cell>
          <cell r="C79">
            <v>0.06</v>
          </cell>
        </row>
        <row r="80">
          <cell r="A80" t="str">
            <v>Ukraine</v>
          </cell>
          <cell r="B80">
            <v>0.97</v>
          </cell>
          <cell r="C80">
            <v>0.03</v>
          </cell>
        </row>
        <row r="81">
          <cell r="A81" t="str">
            <v>Colombia</v>
          </cell>
          <cell r="B81">
            <v>0.71</v>
          </cell>
          <cell r="C81">
            <v>0.28999999999999998</v>
          </cell>
        </row>
        <row r="82">
          <cell r="A82" t="str">
            <v>Latvia</v>
          </cell>
        </row>
        <row r="83">
          <cell r="A83" t="str">
            <v>Finland</v>
          </cell>
          <cell r="B83">
            <v>0.82</v>
          </cell>
          <cell r="C83">
            <v>0.18</v>
          </cell>
        </row>
        <row r="84">
          <cell r="A84" t="str">
            <v>Portugal</v>
          </cell>
          <cell r="B84">
            <v>0.66</v>
          </cell>
          <cell r="C84">
            <v>0.34</v>
          </cell>
        </row>
        <row r="85">
          <cell r="A85" t="str">
            <v>Armenia</v>
          </cell>
        </row>
        <row r="86">
          <cell r="A86" t="str">
            <v>Costa Rica</v>
          </cell>
        </row>
        <row r="87">
          <cell r="A87" t="str">
            <v>Bahrain</v>
          </cell>
        </row>
        <row r="88">
          <cell r="A88" t="str">
            <v>Ecuador</v>
          </cell>
          <cell r="B88">
            <v>0.83</v>
          </cell>
          <cell r="C88">
            <v>0.17</v>
          </cell>
        </row>
        <row r="89">
          <cell r="A89" t="str">
            <v>Switzerland</v>
          </cell>
          <cell r="B89">
            <v>0.68</v>
          </cell>
          <cell r="C89">
            <v>0.32</v>
          </cell>
        </row>
        <row r="90">
          <cell r="A90" t="str">
            <v>Honduras</v>
          </cell>
        </row>
        <row r="91">
          <cell r="A91" t="str">
            <v>Mexico</v>
          </cell>
          <cell r="B91">
            <v>0.78</v>
          </cell>
          <cell r="C91">
            <v>0.22</v>
          </cell>
        </row>
        <row r="92">
          <cell r="A92" t="str">
            <v>Georgia</v>
          </cell>
        </row>
        <row r="93">
          <cell r="A93" t="str">
            <v>Morocco</v>
          </cell>
          <cell r="B93">
            <v>0.91</v>
          </cell>
          <cell r="C93">
            <v>0.09</v>
          </cell>
        </row>
        <row r="94">
          <cell r="A94" t="str">
            <v>Japan</v>
          </cell>
          <cell r="B94">
            <v>0.76</v>
          </cell>
          <cell r="C94">
            <v>0.24</v>
          </cell>
        </row>
        <row r="95">
          <cell r="A95" t="str">
            <v>Uzbekistan</v>
          </cell>
        </row>
        <row r="96">
          <cell r="A96" t="str">
            <v>Slovakia</v>
          </cell>
        </row>
        <row r="97">
          <cell r="A97" t="str">
            <v>Kyrgyzstan</v>
          </cell>
        </row>
        <row r="98">
          <cell r="A98" t="str">
            <v>Chile</v>
          </cell>
          <cell r="B98">
            <v>0.6</v>
          </cell>
          <cell r="C98">
            <v>0.4</v>
          </cell>
        </row>
        <row r="99">
          <cell r="A99" t="str">
            <v>Norway</v>
          </cell>
          <cell r="B99">
            <v>0.86</v>
          </cell>
          <cell r="C99">
            <v>0.14000000000000001</v>
          </cell>
        </row>
        <row r="100">
          <cell r="A100" t="str">
            <v>Bulgaria</v>
          </cell>
        </row>
        <row r="101">
          <cell r="A101" t="str">
            <v>Slovenia</v>
          </cell>
        </row>
        <row r="102">
          <cell r="A102" t="str">
            <v>Thailand</v>
          </cell>
          <cell r="B102">
            <v>0.93</v>
          </cell>
          <cell r="C102">
            <v>7.0000000000000007E-2</v>
          </cell>
        </row>
        <row r="103">
          <cell r="A103" t="str">
            <v>Serbia</v>
          </cell>
        </row>
        <row r="104">
          <cell r="A104" t="str">
            <v>Austria</v>
          </cell>
          <cell r="B104">
            <v>0.67</v>
          </cell>
          <cell r="C104">
            <v>0.33</v>
          </cell>
        </row>
        <row r="105">
          <cell r="A105" t="str">
            <v>Paraguay</v>
          </cell>
        </row>
        <row r="106">
          <cell r="A106" t="str">
            <v>Estonia</v>
          </cell>
        </row>
        <row r="107">
          <cell r="A107" t="str">
            <v>Sweden</v>
          </cell>
          <cell r="B107">
            <v>0.81</v>
          </cell>
          <cell r="C107">
            <v>0.19</v>
          </cell>
        </row>
        <row r="108">
          <cell r="A108" t="str">
            <v>Kuwait</v>
          </cell>
        </row>
        <row r="109">
          <cell r="A109" t="str">
            <v>Netherlands</v>
          </cell>
          <cell r="B109">
            <v>0.73</v>
          </cell>
          <cell r="C109">
            <v>0.27</v>
          </cell>
        </row>
        <row r="110">
          <cell r="A110" t="str">
            <v>Denmark</v>
          </cell>
          <cell r="B110">
            <v>0.6</v>
          </cell>
          <cell r="C110">
            <v>0.4</v>
          </cell>
        </row>
        <row r="111">
          <cell r="A111" t="str">
            <v>Azerbaijan</v>
          </cell>
        </row>
        <row r="112">
          <cell r="A112" t="str">
            <v>Saudi Arabia</v>
          </cell>
          <cell r="B112">
            <v>0.93</v>
          </cell>
          <cell r="C112">
            <v>7.0000000000000007E-2</v>
          </cell>
        </row>
        <row r="113">
          <cell r="A113" t="str">
            <v>Panama</v>
          </cell>
        </row>
        <row r="114">
          <cell r="A114" t="str">
            <v>Turkey</v>
          </cell>
          <cell r="B114">
            <v>0.96</v>
          </cell>
          <cell r="C114">
            <v>0.04</v>
          </cell>
        </row>
        <row r="115">
          <cell r="A115" t="str">
            <v>Germany</v>
          </cell>
          <cell r="B115">
            <v>0.61</v>
          </cell>
          <cell r="C115">
            <v>0.39</v>
          </cell>
        </row>
        <row r="116">
          <cell r="A116" t="str">
            <v>Belgium</v>
          </cell>
          <cell r="B116">
            <v>0.84</v>
          </cell>
          <cell r="C116">
            <v>0.16</v>
          </cell>
        </row>
        <row r="117">
          <cell r="A117" t="str">
            <v>Puerto Rico</v>
          </cell>
        </row>
        <row r="118">
          <cell r="A118" t="str">
            <v>Kazakhstan</v>
          </cell>
        </row>
        <row r="119">
          <cell r="A119" t="str">
            <v>Luxembourg</v>
          </cell>
        </row>
        <row r="120">
          <cell r="A120" t="str">
            <v>Brazil</v>
          </cell>
          <cell r="B120">
            <v>0.53</v>
          </cell>
          <cell r="C120">
            <v>0.47</v>
          </cell>
        </row>
        <row r="121">
          <cell r="A121" t="str">
            <v>Moldova</v>
          </cell>
        </row>
        <row r="122">
          <cell r="A122" t="str">
            <v>Spain</v>
          </cell>
          <cell r="B122">
            <v>0.67</v>
          </cell>
          <cell r="C122">
            <v>0.33</v>
          </cell>
        </row>
        <row r="123">
          <cell r="A123" t="str">
            <v>Italy</v>
          </cell>
          <cell r="B123">
            <v>0.93</v>
          </cell>
          <cell r="C123">
            <v>7.0000000000000007E-2</v>
          </cell>
        </row>
        <row r="124">
          <cell r="A124" t="str">
            <v>Romania</v>
          </cell>
          <cell r="B124">
            <v>0.92</v>
          </cell>
          <cell r="C124">
            <v>0.08</v>
          </cell>
        </row>
        <row r="125">
          <cell r="A125" t="str">
            <v>Dominican Republic</v>
          </cell>
        </row>
        <row r="126">
          <cell r="A126" t="str">
            <v>Venezuela</v>
          </cell>
        </row>
        <row r="127">
          <cell r="A127" t="str">
            <v>Hungary</v>
          </cell>
        </row>
        <row r="128">
          <cell r="A128" t="str">
            <v>Guatemala</v>
          </cell>
        </row>
        <row r="129">
          <cell r="A129" t="str">
            <v>Vietnam</v>
          </cell>
          <cell r="B129">
            <v>0.96</v>
          </cell>
          <cell r="C129">
            <v>0.04</v>
          </cell>
        </row>
        <row r="130">
          <cell r="A130" t="str">
            <v>Bosnia &amp; Herzegovina</v>
          </cell>
        </row>
        <row r="131">
          <cell r="A131" t="str">
            <v>El Salvador</v>
          </cell>
        </row>
        <row r="132">
          <cell r="A132" t="str">
            <v>France</v>
          </cell>
          <cell r="B132">
            <v>0.69</v>
          </cell>
          <cell r="C132">
            <v>0.31</v>
          </cell>
        </row>
        <row r="133">
          <cell r="A133" t="str">
            <v>Uruguay</v>
          </cell>
        </row>
        <row r="134">
          <cell r="A134" t="str">
            <v>Argentina</v>
          </cell>
          <cell r="B134">
            <v>0.75</v>
          </cell>
          <cell r="C134">
            <v>0.25</v>
          </cell>
        </row>
        <row r="135">
          <cell r="A135" t="str">
            <v>North Korea</v>
          </cell>
        </row>
        <row r="136">
          <cell r="A136" t="str">
            <v>British Indian Ocean Territory</v>
          </cell>
        </row>
        <row r="137">
          <cell r="A137" t="str">
            <v>Svalbard &amp; Jan Mayen</v>
          </cell>
        </row>
        <row r="138">
          <cell r="A138" t="str">
            <v>Eritrea</v>
          </cell>
        </row>
        <row r="139">
          <cell r="A139" t="str">
            <v>Cook Islands</v>
          </cell>
        </row>
        <row r="140">
          <cell r="A140" t="str">
            <v>St. Pierre &amp; Miquelon</v>
          </cell>
        </row>
        <row r="141">
          <cell r="A141" t="str">
            <v>U.S. Virgin Islands</v>
          </cell>
        </row>
        <row r="142">
          <cell r="A142" t="str">
            <v>Samoa</v>
          </cell>
        </row>
        <row r="143">
          <cell r="A143" t="str">
            <v>St. Lucia</v>
          </cell>
        </row>
        <row r="144">
          <cell r="A144" t="str">
            <v>Isle of Man</v>
          </cell>
        </row>
        <row r="145">
          <cell r="A145" t="str">
            <v>Faroe Islands</v>
          </cell>
        </row>
        <row r="146">
          <cell r="A146" t="str">
            <v>British Virgin Islands</v>
          </cell>
        </row>
        <row r="147">
          <cell r="A147" t="str">
            <v>Cape Verde</v>
          </cell>
        </row>
        <row r="148">
          <cell r="A148" t="str">
            <v>Turks &amp; Caicos Islands</v>
          </cell>
        </row>
        <row r="149">
          <cell r="A149" t="str">
            <v>Lesotho</v>
          </cell>
        </row>
        <row r="150">
          <cell r="A150" t="str">
            <v>Bermuda</v>
          </cell>
        </row>
        <row r="151">
          <cell r="A151" t="str">
            <v>Northern Mariana Islands</v>
          </cell>
        </row>
        <row r="152">
          <cell r="A152" t="str">
            <v>Cayman Islands</v>
          </cell>
        </row>
        <row r="153">
          <cell r="A153" t="str">
            <v>Seychelles</v>
          </cell>
        </row>
        <row r="154">
          <cell r="A154" t="str">
            <v>Dominica</v>
          </cell>
        </row>
        <row r="155">
          <cell r="A155" t="str">
            <v>Antigua &amp; Barbuda</v>
          </cell>
        </row>
        <row r="156">
          <cell r="A156" t="str">
            <v>Liberia</v>
          </cell>
        </row>
        <row r="157">
          <cell r="A157" t="str">
            <v>Eswatini</v>
          </cell>
        </row>
        <row r="158">
          <cell r="A158" t="str">
            <v>Bahamas</v>
          </cell>
        </row>
        <row r="159">
          <cell r="A159" t="str">
            <v>St. Vincent &amp; Grenadines</v>
          </cell>
        </row>
        <row r="160">
          <cell r="A160" t="str">
            <v>Gibraltar</v>
          </cell>
        </row>
        <row r="161">
          <cell r="A161" t="str">
            <v>Maldives</v>
          </cell>
        </row>
        <row r="162">
          <cell r="A162" t="str">
            <v>Togo</v>
          </cell>
        </row>
        <row r="163">
          <cell r="A163" t="str">
            <v>Grenada</v>
          </cell>
        </row>
        <row r="164">
          <cell r="A164" t="str">
            <v>Barbados</v>
          </cell>
        </row>
        <row r="165">
          <cell r="A165" t="str">
            <v>Djibouti</v>
          </cell>
        </row>
        <row r="166">
          <cell r="A166" t="str">
            <v>Papua New Guinea</v>
          </cell>
        </row>
        <row r="167">
          <cell r="A167" t="str">
            <v>Aruba</v>
          </cell>
        </row>
        <row r="168">
          <cell r="A168" t="str">
            <v>Timor-Leste</v>
          </cell>
        </row>
        <row r="169">
          <cell r="A169" t="str">
            <v>Liechtenstein</v>
          </cell>
        </row>
        <row r="170">
          <cell r="A170" t="str">
            <v>Niger</v>
          </cell>
        </row>
        <row r="171">
          <cell r="A171" t="str">
            <v>Kosovo</v>
          </cell>
        </row>
        <row r="172">
          <cell r="A172" t="str">
            <v>South Sudan</v>
          </cell>
        </row>
        <row r="173">
          <cell r="A173" t="str">
            <v>Benin</v>
          </cell>
        </row>
        <row r="174">
          <cell r="A174" t="str">
            <v>Monaco</v>
          </cell>
        </row>
        <row r="175">
          <cell r="A175" t="str">
            <v>Guam</v>
          </cell>
        </row>
        <row r="176">
          <cell r="A176" t="str">
            <v>Jersey</v>
          </cell>
        </row>
        <row r="177">
          <cell r="A177" t="str">
            <v>Malawi</v>
          </cell>
        </row>
        <row r="178">
          <cell r="A178" t="str">
            <v>Andorra</v>
          </cell>
        </row>
        <row r="179">
          <cell r="A179" t="str">
            <v>Suriname</v>
          </cell>
        </row>
        <row r="180">
          <cell r="A180" t="str">
            <v>Congo - Brazzaville</v>
          </cell>
        </row>
        <row r="181">
          <cell r="A181" t="str">
            <v>Belize</v>
          </cell>
        </row>
        <row r="182">
          <cell r="A182" t="str">
            <v>Turkmenistan</v>
          </cell>
        </row>
        <row r="183">
          <cell r="A183" t="str">
            <v>French Polynesia</v>
          </cell>
        </row>
        <row r="184">
          <cell r="A184" t="str">
            <v>Guyana</v>
          </cell>
        </row>
        <row r="185">
          <cell r="A185" t="str">
            <v>Guernsey</v>
          </cell>
        </row>
        <row r="186">
          <cell r="A186" t="str">
            <v>Zambia</v>
          </cell>
        </row>
        <row r="187">
          <cell r="A187" t="str">
            <v>Haiti</v>
          </cell>
        </row>
        <row r="188">
          <cell r="A188" t="str">
            <v>CuraÃ§ao</v>
          </cell>
        </row>
        <row r="189">
          <cell r="A189" t="str">
            <v>Congo - Kinshasa</v>
          </cell>
        </row>
        <row r="190">
          <cell r="A190" t="str">
            <v>Namibia</v>
          </cell>
        </row>
        <row r="191">
          <cell r="A191" t="str">
            <v>Nicaragua</v>
          </cell>
        </row>
        <row r="192">
          <cell r="A192" t="str">
            <v>Martinique</v>
          </cell>
        </row>
        <row r="193">
          <cell r="A193" t="str">
            <v>Angola</v>
          </cell>
        </row>
        <row r="194">
          <cell r="A194" t="str">
            <v>RÃ©union</v>
          </cell>
        </row>
        <row r="195">
          <cell r="A195" t="str">
            <v>Guadeloupe</v>
          </cell>
        </row>
        <row r="196">
          <cell r="A196" t="str">
            <v>Montenegro</v>
          </cell>
        </row>
        <row r="197">
          <cell r="A197" t="str">
            <v>New Caledonia</v>
          </cell>
        </row>
        <row r="198">
          <cell r="A198" t="str">
            <v>Mozambique</v>
          </cell>
        </row>
        <row r="199">
          <cell r="A199" t="str">
            <v>Tajikistan</v>
          </cell>
        </row>
        <row r="200">
          <cell r="A200" t="str">
            <v>Mali</v>
          </cell>
        </row>
        <row r="201">
          <cell r="A201" t="str">
            <v>Senegal</v>
          </cell>
        </row>
        <row r="202">
          <cell r="A202" t="str">
            <v>CÃ´te dâ€™Ivoire</v>
          </cell>
        </row>
        <row r="203">
          <cell r="A203" t="str">
            <v>Anguilla</v>
          </cell>
        </row>
        <row r="204">
          <cell r="A204" t="str">
            <v>Ã…land Islands</v>
          </cell>
        </row>
        <row r="205">
          <cell r="A205" t="str">
            <v>American Samoa</v>
          </cell>
        </row>
        <row r="206">
          <cell r="A206" t="str">
            <v>Antarctica</v>
          </cell>
        </row>
        <row r="207">
          <cell r="A207" t="str">
            <v>French Southern Territories</v>
          </cell>
        </row>
        <row r="208">
          <cell r="A208" t="str">
            <v>Burundi</v>
          </cell>
        </row>
        <row r="209">
          <cell r="A209" t="str">
            <v>Caribbean Netherlands</v>
          </cell>
        </row>
        <row r="210">
          <cell r="A210" t="str">
            <v>Burkina Faso</v>
          </cell>
        </row>
        <row r="211">
          <cell r="A211" t="str">
            <v>St. BarthÃ©lemy</v>
          </cell>
        </row>
        <row r="212">
          <cell r="A212" t="str">
            <v>Bouvet Island</v>
          </cell>
        </row>
        <row r="213">
          <cell r="A213" t="str">
            <v>Central African Republic</v>
          </cell>
        </row>
        <row r="214">
          <cell r="A214" t="str">
            <v>Cocos (Keeling) Islands</v>
          </cell>
        </row>
        <row r="215">
          <cell r="A215" t="str">
            <v>Comoros</v>
          </cell>
        </row>
        <row r="216">
          <cell r="A216" t="str">
            <v>Christmas Island</v>
          </cell>
        </row>
        <row r="217">
          <cell r="A217" t="str">
            <v>Western Sahara</v>
          </cell>
        </row>
        <row r="218">
          <cell r="A218" t="str">
            <v>Falkland Islands (Islas Malvinas)</v>
          </cell>
        </row>
        <row r="219">
          <cell r="A219" t="str">
            <v>Micronesia</v>
          </cell>
        </row>
        <row r="220">
          <cell r="A220" t="str">
            <v>Gabon</v>
          </cell>
        </row>
        <row r="221">
          <cell r="A221" t="str">
            <v>Guinea</v>
          </cell>
        </row>
        <row r="222">
          <cell r="A222" t="str">
            <v>Gambia</v>
          </cell>
        </row>
        <row r="223">
          <cell r="A223" t="str">
            <v>Guinea-Bissau</v>
          </cell>
        </row>
        <row r="224">
          <cell r="A224" t="str">
            <v>Equatorial Guinea</v>
          </cell>
        </row>
        <row r="225">
          <cell r="A225" t="str">
            <v>Greenland</v>
          </cell>
        </row>
        <row r="226">
          <cell r="A226" t="str">
            <v>French Guiana</v>
          </cell>
        </row>
        <row r="227">
          <cell r="A227" t="str">
            <v>Heard &amp; McDonald Islands</v>
          </cell>
        </row>
        <row r="228">
          <cell r="A228" t="str">
            <v>Kiribati</v>
          </cell>
        </row>
        <row r="229">
          <cell r="A229" t="str">
            <v>St. Kitts &amp; Nevis</v>
          </cell>
        </row>
        <row r="230">
          <cell r="A230" t="str">
            <v>St. Martin</v>
          </cell>
        </row>
        <row r="231">
          <cell r="A231" t="str">
            <v>Marshall Islands</v>
          </cell>
        </row>
        <row r="232">
          <cell r="A232" t="str">
            <v>Mauritania</v>
          </cell>
        </row>
        <row r="233">
          <cell r="A233" t="str">
            <v>Montserrat</v>
          </cell>
        </row>
        <row r="234">
          <cell r="A234" t="str">
            <v>Mayotte</v>
          </cell>
        </row>
        <row r="235">
          <cell r="A235" t="str">
            <v>Norfolk Island</v>
          </cell>
        </row>
        <row r="236">
          <cell r="A236" t="str">
            <v>Niue</v>
          </cell>
        </row>
        <row r="237">
          <cell r="A237" t="str">
            <v>Nauru</v>
          </cell>
        </row>
        <row r="238">
          <cell r="A238" t="str">
            <v>Pitcairn Islands</v>
          </cell>
        </row>
        <row r="239">
          <cell r="A239" t="str">
            <v>Palau</v>
          </cell>
        </row>
        <row r="240">
          <cell r="A240" t="str">
            <v>South Georgia &amp; South Sandwich Islands</v>
          </cell>
        </row>
        <row r="241">
          <cell r="A241" t="str">
            <v>Solomon Islands</v>
          </cell>
        </row>
        <row r="242">
          <cell r="A242" t="str">
            <v>Sierra Leone</v>
          </cell>
        </row>
        <row r="243">
          <cell r="A243" t="str">
            <v>San Marino</v>
          </cell>
        </row>
        <row r="244">
          <cell r="A244" t="str">
            <v>SÃ£o TomÃ© &amp; PrÃ­ncipe</v>
          </cell>
        </row>
        <row r="245">
          <cell r="A245" t="str">
            <v>Sint Maarten</v>
          </cell>
        </row>
        <row r="246">
          <cell r="A246" t="str">
            <v>Chad</v>
          </cell>
        </row>
        <row r="247">
          <cell r="A247" t="str">
            <v>Tokelau</v>
          </cell>
        </row>
        <row r="248">
          <cell r="A248" t="str">
            <v>Tonga</v>
          </cell>
        </row>
        <row r="249">
          <cell r="A249" t="str">
            <v>Tuvalu</v>
          </cell>
        </row>
        <row r="250">
          <cell r="A250" t="str">
            <v>U.S. Outlying Islands</v>
          </cell>
        </row>
        <row r="251">
          <cell r="A251" t="str">
            <v>Vatican City</v>
          </cell>
        </row>
        <row r="252">
          <cell r="A252" t="str">
            <v>Vanuatu</v>
          </cell>
        </row>
        <row r="253">
          <cell r="A253" t="str">
            <v>Wallis &amp; Futuna</v>
          </cell>
        </row>
      </sheetData>
    </sheetDataSet>
  </externalBook>
</externalLink>
</file>

<file path=xl/externalLinks/externalLink3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oMap (30)"/>
    </sheetNames>
    <sheetDataSet>
      <sheetData sheetId="0">
        <row r="1">
          <cell r="A1" t="str">
            <v>Category: All categories</v>
          </cell>
        </row>
        <row r="3">
          <cell r="A3" t="str">
            <v>Country</v>
          </cell>
          <cell r="B3" t="str">
            <v>Artificial neural network: (2014)</v>
          </cell>
          <cell r="C3" t="str">
            <v>Heap: (2014)</v>
          </cell>
        </row>
        <row r="4">
          <cell r="A4" t="str">
            <v>Cuba</v>
          </cell>
        </row>
        <row r="5">
          <cell r="A5" t="str">
            <v>China</v>
          </cell>
          <cell r="B5">
            <v>0.49</v>
          </cell>
          <cell r="C5">
            <v>0.51</v>
          </cell>
        </row>
        <row r="6">
          <cell r="A6" t="str">
            <v>Croatia</v>
          </cell>
          <cell r="B6">
            <v>0.92</v>
          </cell>
          <cell r="C6">
            <v>0.08</v>
          </cell>
        </row>
        <row r="7">
          <cell r="A7" t="str">
            <v>South Korea</v>
          </cell>
          <cell r="B7">
            <v>0.51</v>
          </cell>
          <cell r="C7">
            <v>0.49</v>
          </cell>
        </row>
        <row r="8">
          <cell r="A8" t="str">
            <v>Hong Kong</v>
          </cell>
          <cell r="B8">
            <v>0.28999999999999998</v>
          </cell>
          <cell r="C8">
            <v>0.71</v>
          </cell>
        </row>
        <row r="9">
          <cell r="A9" t="str">
            <v>Iran</v>
          </cell>
          <cell r="B9">
            <v>0.73</v>
          </cell>
          <cell r="C9">
            <v>0.27</v>
          </cell>
        </row>
        <row r="10">
          <cell r="A10" t="str">
            <v>Taiwan</v>
          </cell>
          <cell r="B10">
            <v>0.32</v>
          </cell>
          <cell r="C10">
            <v>0.68</v>
          </cell>
        </row>
        <row r="11">
          <cell r="A11" t="str">
            <v>Bhutan</v>
          </cell>
        </row>
        <row r="12">
          <cell r="A12" t="str">
            <v>Botswana</v>
          </cell>
        </row>
        <row r="13">
          <cell r="A13" t="str">
            <v>Macao</v>
          </cell>
        </row>
        <row r="14">
          <cell r="A14" t="str">
            <v>India</v>
          </cell>
          <cell r="B14">
            <v>0.52</v>
          </cell>
          <cell r="C14">
            <v>0.48</v>
          </cell>
        </row>
        <row r="15">
          <cell r="A15" t="str">
            <v>Sri Lanka</v>
          </cell>
          <cell r="B15">
            <v>0.64</v>
          </cell>
          <cell r="C15">
            <v>0.36</v>
          </cell>
        </row>
        <row r="16">
          <cell r="A16" t="str">
            <v>Zimbabwe</v>
          </cell>
        </row>
        <row r="17">
          <cell r="A17" t="str">
            <v>Nigeria</v>
          </cell>
          <cell r="B17">
            <v>0.78</v>
          </cell>
          <cell r="C17">
            <v>0.22</v>
          </cell>
        </row>
        <row r="18">
          <cell r="A18" t="str">
            <v>Israel</v>
          </cell>
          <cell r="B18">
            <v>0.33</v>
          </cell>
          <cell r="C18">
            <v>0.67</v>
          </cell>
        </row>
        <row r="19">
          <cell r="A19" t="str">
            <v>New Zealand</v>
          </cell>
          <cell r="B19">
            <v>0.28999999999999998</v>
          </cell>
          <cell r="C19">
            <v>0.71</v>
          </cell>
        </row>
        <row r="20">
          <cell r="A20" t="str">
            <v>St. Helena</v>
          </cell>
        </row>
        <row r="21">
          <cell r="A21" t="str">
            <v>Nepal</v>
          </cell>
        </row>
        <row r="22">
          <cell r="A22" t="str">
            <v>Estonia</v>
          </cell>
        </row>
        <row r="23">
          <cell r="A23" t="str">
            <v>Singapore</v>
          </cell>
          <cell r="B23">
            <v>0.44</v>
          </cell>
          <cell r="C23">
            <v>0.56000000000000005</v>
          </cell>
        </row>
        <row r="24">
          <cell r="A24" t="str">
            <v>Ghana</v>
          </cell>
        </row>
        <row r="25">
          <cell r="A25" t="str">
            <v>Ethiopia</v>
          </cell>
        </row>
        <row r="26">
          <cell r="A26" t="str">
            <v>Myanmar (Burma)</v>
          </cell>
        </row>
        <row r="27">
          <cell r="A27" t="str">
            <v>Cambodia</v>
          </cell>
        </row>
        <row r="28">
          <cell r="A28" t="str">
            <v>Pakistan</v>
          </cell>
          <cell r="B28">
            <v>0.56000000000000005</v>
          </cell>
          <cell r="C28">
            <v>0.44</v>
          </cell>
        </row>
        <row r="29">
          <cell r="A29" t="str">
            <v>Kenya</v>
          </cell>
          <cell r="B29">
            <v>0.65</v>
          </cell>
          <cell r="C29">
            <v>0.35</v>
          </cell>
        </row>
        <row r="30">
          <cell r="A30" t="str">
            <v>Bangladesh</v>
          </cell>
          <cell r="B30">
            <v>0.57999999999999996</v>
          </cell>
          <cell r="C30">
            <v>0.42</v>
          </cell>
        </row>
        <row r="31">
          <cell r="A31" t="str">
            <v>Belarus</v>
          </cell>
          <cell r="B31">
            <v>0.33</v>
          </cell>
          <cell r="C31">
            <v>0.67</v>
          </cell>
        </row>
        <row r="32">
          <cell r="A32" t="str">
            <v>United States</v>
          </cell>
          <cell r="B32">
            <v>0.39</v>
          </cell>
          <cell r="C32">
            <v>0.61</v>
          </cell>
        </row>
        <row r="33">
          <cell r="A33" t="str">
            <v>Australia</v>
          </cell>
          <cell r="B33">
            <v>0.34</v>
          </cell>
          <cell r="C33">
            <v>0.66</v>
          </cell>
        </row>
        <row r="34">
          <cell r="A34" t="str">
            <v>Malta</v>
          </cell>
        </row>
        <row r="35">
          <cell r="A35" t="str">
            <v>Zambia</v>
          </cell>
        </row>
        <row r="36">
          <cell r="A36" t="str">
            <v>Tajikistan</v>
          </cell>
        </row>
        <row r="37">
          <cell r="A37" t="str">
            <v>Lebanon</v>
          </cell>
        </row>
        <row r="38">
          <cell r="A38" t="str">
            <v>Czechia</v>
          </cell>
          <cell r="B38">
            <v>0.55000000000000004</v>
          </cell>
          <cell r="C38">
            <v>0.45</v>
          </cell>
        </row>
        <row r="39">
          <cell r="A39" t="str">
            <v>Iceland</v>
          </cell>
        </row>
        <row r="40">
          <cell r="A40" t="str">
            <v>Malaysia</v>
          </cell>
          <cell r="B40">
            <v>0.66</v>
          </cell>
          <cell r="C40">
            <v>0.34</v>
          </cell>
        </row>
        <row r="41">
          <cell r="A41" t="str">
            <v>Mauritius</v>
          </cell>
        </row>
        <row r="42">
          <cell r="A42" t="str">
            <v>Russia</v>
          </cell>
          <cell r="B42">
            <v>0.41</v>
          </cell>
          <cell r="C42">
            <v>0.59</v>
          </cell>
        </row>
        <row r="43">
          <cell r="A43" t="str">
            <v>Brunei</v>
          </cell>
        </row>
        <row r="44">
          <cell r="A44" t="str">
            <v>Tunisia</v>
          </cell>
        </row>
        <row r="45">
          <cell r="A45" t="str">
            <v>Uzbekistan</v>
          </cell>
        </row>
        <row r="46">
          <cell r="A46" t="str">
            <v>Trinidad &amp; Tobago</v>
          </cell>
        </row>
        <row r="47">
          <cell r="A47" t="str">
            <v>Jamaica</v>
          </cell>
        </row>
        <row r="48">
          <cell r="A48" t="str">
            <v>Cameroon</v>
          </cell>
        </row>
        <row r="49">
          <cell r="A49" t="str">
            <v>Denmark</v>
          </cell>
          <cell r="B49">
            <v>0.26</v>
          </cell>
          <cell r="C49">
            <v>0.74</v>
          </cell>
        </row>
        <row r="50">
          <cell r="A50" t="str">
            <v>Syria</v>
          </cell>
        </row>
        <row r="51">
          <cell r="A51" t="str">
            <v>Ukraine</v>
          </cell>
          <cell r="B51">
            <v>0.35</v>
          </cell>
          <cell r="C51">
            <v>0.65</v>
          </cell>
        </row>
        <row r="52">
          <cell r="A52" t="str">
            <v>Madagascar</v>
          </cell>
        </row>
        <row r="53">
          <cell r="A53" t="str">
            <v>Kazakhstan</v>
          </cell>
          <cell r="B53">
            <v>0.24</v>
          </cell>
          <cell r="C53">
            <v>0.76</v>
          </cell>
        </row>
        <row r="54">
          <cell r="A54" t="str">
            <v>Indonesia</v>
          </cell>
          <cell r="B54">
            <v>0.83</v>
          </cell>
          <cell r="C54">
            <v>0.17</v>
          </cell>
        </row>
        <row r="55">
          <cell r="A55" t="str">
            <v>Philippines</v>
          </cell>
          <cell r="B55">
            <v>0.48</v>
          </cell>
          <cell r="C55">
            <v>0.52</v>
          </cell>
        </row>
        <row r="56">
          <cell r="A56" t="str">
            <v>Tanzania</v>
          </cell>
        </row>
        <row r="57">
          <cell r="A57" t="str">
            <v>South Africa</v>
          </cell>
          <cell r="B57">
            <v>0.56999999999999995</v>
          </cell>
          <cell r="C57">
            <v>0.43</v>
          </cell>
        </row>
        <row r="58">
          <cell r="A58" t="str">
            <v>Sudan</v>
          </cell>
        </row>
        <row r="59">
          <cell r="A59" t="str">
            <v>United Kingdom</v>
          </cell>
          <cell r="B59">
            <v>0.43</v>
          </cell>
          <cell r="C59">
            <v>0.56999999999999995</v>
          </cell>
        </row>
        <row r="60">
          <cell r="A60" t="str">
            <v>Canada</v>
          </cell>
          <cell r="B60">
            <v>0.47</v>
          </cell>
          <cell r="C60">
            <v>0.53</v>
          </cell>
        </row>
        <row r="61">
          <cell r="A61" t="str">
            <v>Somalia</v>
          </cell>
        </row>
        <row r="62">
          <cell r="A62" t="str">
            <v>Ireland</v>
          </cell>
          <cell r="B62">
            <v>0.44</v>
          </cell>
          <cell r="C62">
            <v>0.56000000000000005</v>
          </cell>
        </row>
        <row r="63">
          <cell r="A63" t="str">
            <v>Laos</v>
          </cell>
        </row>
        <row r="64">
          <cell r="A64" t="str">
            <v>Lithuania</v>
          </cell>
          <cell r="B64">
            <v>0.46</v>
          </cell>
          <cell r="C64">
            <v>0.54</v>
          </cell>
        </row>
        <row r="65">
          <cell r="A65" t="str">
            <v>Finland</v>
          </cell>
          <cell r="B65">
            <v>0.4</v>
          </cell>
          <cell r="C65">
            <v>0.6</v>
          </cell>
        </row>
        <row r="66">
          <cell r="A66" t="str">
            <v>Mongolia</v>
          </cell>
        </row>
        <row r="67">
          <cell r="A67" t="str">
            <v>Luxembourg</v>
          </cell>
        </row>
        <row r="68">
          <cell r="A68" t="str">
            <v>Algeria</v>
          </cell>
        </row>
        <row r="69">
          <cell r="A69" t="str">
            <v>Cyprus</v>
          </cell>
        </row>
        <row r="70">
          <cell r="A70" t="str">
            <v>Rwanda</v>
          </cell>
        </row>
        <row r="71">
          <cell r="A71" t="str">
            <v>Armenia</v>
          </cell>
        </row>
        <row r="72">
          <cell r="A72" t="str">
            <v>North Macedonia</v>
          </cell>
        </row>
        <row r="73">
          <cell r="A73" t="str">
            <v>Kyrgyzstan</v>
          </cell>
        </row>
        <row r="74">
          <cell r="A74" t="str">
            <v>Palestine</v>
          </cell>
        </row>
        <row r="75">
          <cell r="A75" t="str">
            <v>Switzerland</v>
          </cell>
          <cell r="B75">
            <v>0.41</v>
          </cell>
          <cell r="C75">
            <v>0.59</v>
          </cell>
        </row>
        <row r="76">
          <cell r="A76" t="str">
            <v>Slovenia</v>
          </cell>
        </row>
        <row r="77">
          <cell r="A77" t="str">
            <v>Peru</v>
          </cell>
          <cell r="B77">
            <v>0.8</v>
          </cell>
          <cell r="C77">
            <v>0.2</v>
          </cell>
        </row>
        <row r="78">
          <cell r="A78" t="str">
            <v>Libya</v>
          </cell>
        </row>
        <row r="79">
          <cell r="A79" t="str">
            <v>Sweden</v>
          </cell>
          <cell r="B79">
            <v>0.36</v>
          </cell>
          <cell r="C79">
            <v>0.64</v>
          </cell>
        </row>
        <row r="80">
          <cell r="A80" t="str">
            <v>Jordan</v>
          </cell>
        </row>
        <row r="81">
          <cell r="A81" t="str">
            <v>Latvia</v>
          </cell>
        </row>
        <row r="82">
          <cell r="A82" t="str">
            <v>Uganda</v>
          </cell>
        </row>
        <row r="83">
          <cell r="A83" t="str">
            <v>Albania</v>
          </cell>
        </row>
        <row r="84">
          <cell r="A84" t="str">
            <v>Oman</v>
          </cell>
        </row>
        <row r="85">
          <cell r="A85" t="str">
            <v>Germany</v>
          </cell>
          <cell r="B85">
            <v>0.35</v>
          </cell>
          <cell r="C85">
            <v>0.65</v>
          </cell>
        </row>
        <row r="86">
          <cell r="A86" t="str">
            <v>Iraq</v>
          </cell>
        </row>
        <row r="87">
          <cell r="A87" t="str">
            <v>Japan</v>
          </cell>
          <cell r="B87">
            <v>0.42</v>
          </cell>
          <cell r="C87">
            <v>0.57999999999999996</v>
          </cell>
        </row>
        <row r="88">
          <cell r="A88" t="str">
            <v>Austria</v>
          </cell>
          <cell r="B88">
            <v>0.39</v>
          </cell>
          <cell r="C88">
            <v>0.61</v>
          </cell>
        </row>
        <row r="89">
          <cell r="A89" t="str">
            <v>Afghanistan</v>
          </cell>
        </row>
        <row r="90">
          <cell r="A90" t="str">
            <v>Norway</v>
          </cell>
          <cell r="B90">
            <v>0.41</v>
          </cell>
          <cell r="C90">
            <v>0.59</v>
          </cell>
        </row>
        <row r="91">
          <cell r="A91" t="str">
            <v>Poland</v>
          </cell>
          <cell r="B91">
            <v>0.57999999999999996</v>
          </cell>
          <cell r="C91">
            <v>0.42</v>
          </cell>
        </row>
        <row r="92">
          <cell r="A92" t="str">
            <v>Yemen</v>
          </cell>
        </row>
        <row r="93">
          <cell r="A93" t="str">
            <v>United Arab Emirates</v>
          </cell>
          <cell r="B93">
            <v>0.52</v>
          </cell>
          <cell r="C93">
            <v>0.48</v>
          </cell>
        </row>
        <row r="94">
          <cell r="A94" t="str">
            <v>Qatar</v>
          </cell>
        </row>
        <row r="95">
          <cell r="A95" t="str">
            <v>Bolivia</v>
          </cell>
          <cell r="B95">
            <v>0.56999999999999995</v>
          </cell>
          <cell r="C95">
            <v>0.43</v>
          </cell>
        </row>
        <row r="96">
          <cell r="A96" t="str">
            <v>Greece</v>
          </cell>
          <cell r="B96">
            <v>0.54</v>
          </cell>
          <cell r="C96">
            <v>0.46</v>
          </cell>
        </row>
        <row r="97">
          <cell r="A97" t="str">
            <v>Congo - Kinshasa</v>
          </cell>
        </row>
        <row r="98">
          <cell r="A98" t="str">
            <v>Hungary</v>
          </cell>
          <cell r="B98">
            <v>0.32</v>
          </cell>
          <cell r="C98">
            <v>0.68</v>
          </cell>
        </row>
        <row r="99">
          <cell r="A99" t="str">
            <v>Romania</v>
          </cell>
          <cell r="B99">
            <v>0.35</v>
          </cell>
          <cell r="C99">
            <v>0.65</v>
          </cell>
        </row>
        <row r="100">
          <cell r="A100" t="str">
            <v>Slovakia</v>
          </cell>
          <cell r="B100">
            <v>0.44</v>
          </cell>
          <cell r="C100">
            <v>0.56000000000000005</v>
          </cell>
        </row>
        <row r="101">
          <cell r="A101" t="str">
            <v>Egypt</v>
          </cell>
          <cell r="B101">
            <v>0.67</v>
          </cell>
          <cell r="C101">
            <v>0.33</v>
          </cell>
        </row>
        <row r="102">
          <cell r="A102" t="str">
            <v>Moldova</v>
          </cell>
        </row>
        <row r="103">
          <cell r="A103" t="str">
            <v>Bulgaria</v>
          </cell>
          <cell r="B103">
            <v>0.43</v>
          </cell>
          <cell r="C103">
            <v>0.56999999999999995</v>
          </cell>
        </row>
        <row r="104">
          <cell r="A104" t="str">
            <v>Colombia</v>
          </cell>
          <cell r="B104">
            <v>0.83</v>
          </cell>
          <cell r="C104">
            <v>0.17</v>
          </cell>
        </row>
        <row r="105">
          <cell r="A105" t="str">
            <v>Portugal</v>
          </cell>
          <cell r="B105">
            <v>0.56000000000000005</v>
          </cell>
          <cell r="C105">
            <v>0.44</v>
          </cell>
        </row>
        <row r="106">
          <cell r="A106" t="str">
            <v>Belgium</v>
          </cell>
          <cell r="B106">
            <v>0.39</v>
          </cell>
          <cell r="C106">
            <v>0.61</v>
          </cell>
        </row>
        <row r="107">
          <cell r="A107" t="str">
            <v>Costa Rica</v>
          </cell>
        </row>
        <row r="108">
          <cell r="A108" t="str">
            <v>Bahrain</v>
          </cell>
        </row>
        <row r="109">
          <cell r="A109" t="str">
            <v>Ecuador</v>
          </cell>
        </row>
        <row r="110">
          <cell r="A110" t="str">
            <v>Honduras</v>
          </cell>
        </row>
        <row r="111">
          <cell r="A111" t="str">
            <v>Mexico</v>
          </cell>
          <cell r="B111">
            <v>0.77</v>
          </cell>
          <cell r="C111">
            <v>0.23</v>
          </cell>
        </row>
        <row r="112">
          <cell r="A112" t="str">
            <v>Bosnia &amp; Herzegovina</v>
          </cell>
        </row>
        <row r="113">
          <cell r="A113" t="str">
            <v>Georgia</v>
          </cell>
        </row>
        <row r="114">
          <cell r="A114" t="str">
            <v>Serbia</v>
          </cell>
          <cell r="B114">
            <v>0.45</v>
          </cell>
          <cell r="C114">
            <v>0.55000000000000004</v>
          </cell>
        </row>
        <row r="115">
          <cell r="A115" t="str">
            <v>Netherlands</v>
          </cell>
          <cell r="B115">
            <v>0.45</v>
          </cell>
          <cell r="C115">
            <v>0.55000000000000004</v>
          </cell>
        </row>
        <row r="116">
          <cell r="A116" t="str">
            <v>Morocco</v>
          </cell>
          <cell r="B116">
            <v>0.64</v>
          </cell>
          <cell r="C116">
            <v>0.36</v>
          </cell>
        </row>
        <row r="117">
          <cell r="A117" t="str">
            <v>Chile</v>
          </cell>
          <cell r="B117">
            <v>0.63</v>
          </cell>
          <cell r="C117">
            <v>0.37</v>
          </cell>
        </row>
        <row r="118">
          <cell r="A118" t="str">
            <v>Thailand</v>
          </cell>
          <cell r="B118">
            <v>0.56999999999999995</v>
          </cell>
          <cell r="C118">
            <v>0.43</v>
          </cell>
        </row>
        <row r="119">
          <cell r="A119" t="str">
            <v>Paraguay</v>
          </cell>
        </row>
        <row r="120">
          <cell r="A120" t="str">
            <v>Kuwait</v>
          </cell>
        </row>
        <row r="121">
          <cell r="A121" t="str">
            <v>Azerbaijan</v>
          </cell>
        </row>
        <row r="122">
          <cell r="A122" t="str">
            <v>Saudi Arabia</v>
          </cell>
          <cell r="B122">
            <v>0.67</v>
          </cell>
          <cell r="C122">
            <v>0.33</v>
          </cell>
        </row>
        <row r="123">
          <cell r="A123" t="str">
            <v>Uruguay</v>
          </cell>
        </row>
        <row r="124">
          <cell r="A124" t="str">
            <v>France</v>
          </cell>
          <cell r="B124">
            <v>0.37</v>
          </cell>
          <cell r="C124">
            <v>0.63</v>
          </cell>
        </row>
        <row r="125">
          <cell r="A125" t="str">
            <v>Panama</v>
          </cell>
        </row>
        <row r="126">
          <cell r="A126" t="str">
            <v>Turkey</v>
          </cell>
          <cell r="B126">
            <v>0.63</v>
          </cell>
          <cell r="C126">
            <v>0.37</v>
          </cell>
        </row>
        <row r="127">
          <cell r="A127" t="str">
            <v>Vietnam</v>
          </cell>
          <cell r="B127">
            <v>0.43</v>
          </cell>
          <cell r="C127">
            <v>0.56999999999999995</v>
          </cell>
        </row>
        <row r="128">
          <cell r="A128" t="str">
            <v>Puerto Rico</v>
          </cell>
        </row>
        <row r="129">
          <cell r="A129" t="str">
            <v>Brazil</v>
          </cell>
          <cell r="B129">
            <v>0.6</v>
          </cell>
          <cell r="C129">
            <v>0.4</v>
          </cell>
        </row>
        <row r="130">
          <cell r="A130" t="str">
            <v>Spain</v>
          </cell>
          <cell r="B130">
            <v>0.53</v>
          </cell>
          <cell r="C130">
            <v>0.47</v>
          </cell>
        </row>
        <row r="131">
          <cell r="A131" t="str">
            <v>Burkina Faso</v>
          </cell>
        </row>
        <row r="132">
          <cell r="A132" t="str">
            <v>Italy</v>
          </cell>
          <cell r="B132">
            <v>0.52</v>
          </cell>
          <cell r="C132">
            <v>0.48</v>
          </cell>
        </row>
        <row r="133">
          <cell r="A133" t="str">
            <v>Dominican Republic</v>
          </cell>
        </row>
        <row r="134">
          <cell r="A134" t="str">
            <v>Venezuela</v>
          </cell>
        </row>
        <row r="135">
          <cell r="A135" t="str">
            <v>CÃ´te dâ€™Ivoire</v>
          </cell>
        </row>
        <row r="136">
          <cell r="A136" t="str">
            <v>Guatemala</v>
          </cell>
        </row>
        <row r="137">
          <cell r="A137" t="str">
            <v>Mali</v>
          </cell>
        </row>
        <row r="138">
          <cell r="A138" t="str">
            <v>Argentina</v>
          </cell>
          <cell r="B138">
            <v>0.54</v>
          </cell>
          <cell r="C138">
            <v>0.46</v>
          </cell>
        </row>
        <row r="139">
          <cell r="A139" t="str">
            <v>El Salvador</v>
          </cell>
        </row>
        <row r="140">
          <cell r="A140" t="str">
            <v>North Korea</v>
          </cell>
        </row>
        <row r="141">
          <cell r="A141" t="str">
            <v>British Indian Ocean Territory</v>
          </cell>
        </row>
        <row r="142">
          <cell r="A142" t="str">
            <v>Svalbard &amp; Jan Mayen</v>
          </cell>
        </row>
        <row r="143">
          <cell r="A143" t="str">
            <v>Eritrea</v>
          </cell>
        </row>
        <row r="144">
          <cell r="A144" t="str">
            <v>Cook Islands</v>
          </cell>
        </row>
        <row r="145">
          <cell r="A145" t="str">
            <v>St. Pierre &amp; Miquelon</v>
          </cell>
        </row>
        <row r="146">
          <cell r="A146" t="str">
            <v>U.S. Virgin Islands</v>
          </cell>
        </row>
        <row r="147">
          <cell r="A147" t="str">
            <v>Samoa</v>
          </cell>
        </row>
        <row r="148">
          <cell r="A148" t="str">
            <v>St. Lucia</v>
          </cell>
        </row>
        <row r="149">
          <cell r="A149" t="str">
            <v>Isle of Man</v>
          </cell>
        </row>
        <row r="150">
          <cell r="A150" t="str">
            <v>Faroe Islands</v>
          </cell>
        </row>
        <row r="151">
          <cell r="A151" t="str">
            <v>British Virgin Islands</v>
          </cell>
        </row>
        <row r="152">
          <cell r="A152" t="str">
            <v>Cape Verde</v>
          </cell>
        </row>
        <row r="153">
          <cell r="A153" t="str">
            <v>Turks &amp; Caicos Islands</v>
          </cell>
        </row>
        <row r="154">
          <cell r="A154" t="str">
            <v>Lesotho</v>
          </cell>
        </row>
        <row r="155">
          <cell r="A155" t="str">
            <v>Bermuda</v>
          </cell>
        </row>
        <row r="156">
          <cell r="A156" t="str">
            <v>Northern Mariana Islands</v>
          </cell>
        </row>
        <row r="157">
          <cell r="A157" t="str">
            <v>Fiji</v>
          </cell>
        </row>
        <row r="158">
          <cell r="A158" t="str">
            <v>Cayman Islands</v>
          </cell>
        </row>
        <row r="159">
          <cell r="A159" t="str">
            <v>Seychelles</v>
          </cell>
        </row>
        <row r="160">
          <cell r="A160" t="str">
            <v>Dominica</v>
          </cell>
        </row>
        <row r="161">
          <cell r="A161" t="str">
            <v>Antigua &amp; Barbuda</v>
          </cell>
        </row>
        <row r="162">
          <cell r="A162" t="str">
            <v>Liberia</v>
          </cell>
        </row>
        <row r="163">
          <cell r="A163" t="str">
            <v>Eswatini</v>
          </cell>
        </row>
        <row r="164">
          <cell r="A164" t="str">
            <v>Bahamas</v>
          </cell>
        </row>
        <row r="165">
          <cell r="A165" t="str">
            <v>St. Vincent &amp; Grenadines</v>
          </cell>
        </row>
        <row r="166">
          <cell r="A166" t="str">
            <v>Gibraltar</v>
          </cell>
        </row>
        <row r="167">
          <cell r="A167" t="str">
            <v>Maldives</v>
          </cell>
        </row>
        <row r="168">
          <cell r="A168" t="str">
            <v>Togo</v>
          </cell>
        </row>
        <row r="169">
          <cell r="A169" t="str">
            <v>Grenada</v>
          </cell>
        </row>
        <row r="170">
          <cell r="A170" t="str">
            <v>Barbados</v>
          </cell>
        </row>
        <row r="171">
          <cell r="A171" t="str">
            <v>Djibouti</v>
          </cell>
        </row>
        <row r="172">
          <cell r="A172" t="str">
            <v>Papua New Guinea</v>
          </cell>
        </row>
        <row r="173">
          <cell r="A173" t="str">
            <v>Aruba</v>
          </cell>
        </row>
        <row r="174">
          <cell r="A174" t="str">
            <v>Timor-Leste</v>
          </cell>
        </row>
        <row r="175">
          <cell r="A175" t="str">
            <v>Liechtenstein</v>
          </cell>
        </row>
        <row r="176">
          <cell r="A176" t="str">
            <v>Niger</v>
          </cell>
        </row>
        <row r="177">
          <cell r="A177" t="str">
            <v>Kosovo</v>
          </cell>
        </row>
        <row r="178">
          <cell r="A178" t="str">
            <v>South Sudan</v>
          </cell>
        </row>
        <row r="179">
          <cell r="A179" t="str">
            <v>Benin</v>
          </cell>
        </row>
        <row r="180">
          <cell r="A180" t="str">
            <v>Monaco</v>
          </cell>
        </row>
        <row r="181">
          <cell r="A181" t="str">
            <v>Guam</v>
          </cell>
        </row>
        <row r="182">
          <cell r="A182" t="str">
            <v>Jersey</v>
          </cell>
        </row>
        <row r="183">
          <cell r="A183" t="str">
            <v>Malawi</v>
          </cell>
        </row>
        <row r="184">
          <cell r="A184" t="str">
            <v>Andorra</v>
          </cell>
        </row>
        <row r="185">
          <cell r="A185" t="str">
            <v>Suriname</v>
          </cell>
        </row>
        <row r="186">
          <cell r="A186" t="str">
            <v>Congo - Brazzaville</v>
          </cell>
        </row>
        <row r="187">
          <cell r="A187" t="str">
            <v>Belize</v>
          </cell>
        </row>
        <row r="188">
          <cell r="A188" t="str">
            <v>Turkmenistan</v>
          </cell>
        </row>
        <row r="189">
          <cell r="A189" t="str">
            <v>French Polynesia</v>
          </cell>
        </row>
        <row r="190">
          <cell r="A190" t="str">
            <v>Guyana</v>
          </cell>
        </row>
        <row r="191">
          <cell r="A191" t="str">
            <v>Guernsey</v>
          </cell>
        </row>
        <row r="192">
          <cell r="A192" t="str">
            <v>Haiti</v>
          </cell>
        </row>
        <row r="193">
          <cell r="A193" t="str">
            <v>CuraÃ§ao</v>
          </cell>
        </row>
        <row r="194">
          <cell r="A194" t="str">
            <v>Namibia</v>
          </cell>
        </row>
        <row r="195">
          <cell r="A195" t="str">
            <v>Nicaragua</v>
          </cell>
        </row>
        <row r="196">
          <cell r="A196" t="str">
            <v>Martinique</v>
          </cell>
        </row>
        <row r="197">
          <cell r="A197" t="str">
            <v>Angola</v>
          </cell>
        </row>
        <row r="198">
          <cell r="A198" t="str">
            <v>RÃ©union</v>
          </cell>
        </row>
        <row r="199">
          <cell r="A199" t="str">
            <v>Guadeloupe</v>
          </cell>
        </row>
        <row r="200">
          <cell r="A200" t="str">
            <v>Montenegro</v>
          </cell>
        </row>
        <row r="201">
          <cell r="A201" t="str">
            <v>New Caledonia</v>
          </cell>
        </row>
        <row r="202">
          <cell r="A202" t="str">
            <v>Mozambique</v>
          </cell>
        </row>
        <row r="203">
          <cell r="A203" t="str">
            <v>Senegal</v>
          </cell>
        </row>
        <row r="204">
          <cell r="A204" t="str">
            <v>Anguilla</v>
          </cell>
        </row>
        <row r="205">
          <cell r="A205" t="str">
            <v>Ã…land Islands</v>
          </cell>
        </row>
        <row r="206">
          <cell r="A206" t="str">
            <v>American Samoa</v>
          </cell>
        </row>
        <row r="207">
          <cell r="A207" t="str">
            <v>Antarctica</v>
          </cell>
        </row>
        <row r="208">
          <cell r="A208" t="str">
            <v>French Southern Territories</v>
          </cell>
        </row>
        <row r="209">
          <cell r="A209" t="str">
            <v>Burundi</v>
          </cell>
        </row>
        <row r="210">
          <cell r="A210" t="str">
            <v>Caribbean Netherlands</v>
          </cell>
        </row>
        <row r="211">
          <cell r="A211" t="str">
            <v>St. BarthÃ©lemy</v>
          </cell>
        </row>
        <row r="212">
          <cell r="A212" t="str">
            <v>Bouvet Island</v>
          </cell>
        </row>
        <row r="213">
          <cell r="A213" t="str">
            <v>Central African Republic</v>
          </cell>
        </row>
        <row r="214">
          <cell r="A214" t="str">
            <v>Cocos (Keeling) Islands</v>
          </cell>
        </row>
        <row r="215">
          <cell r="A215" t="str">
            <v>Comoros</v>
          </cell>
        </row>
        <row r="216">
          <cell r="A216" t="str">
            <v>Christmas Island</v>
          </cell>
        </row>
        <row r="217">
          <cell r="A217" t="str">
            <v>Western Sahara</v>
          </cell>
        </row>
        <row r="218">
          <cell r="A218" t="str">
            <v>Falkland Islands (Islas Malvinas)</v>
          </cell>
        </row>
        <row r="219">
          <cell r="A219" t="str">
            <v>Micronesia</v>
          </cell>
        </row>
        <row r="220">
          <cell r="A220" t="str">
            <v>Gabon</v>
          </cell>
        </row>
        <row r="221">
          <cell r="A221" t="str">
            <v>Guinea</v>
          </cell>
        </row>
        <row r="222">
          <cell r="A222" t="str">
            <v>Gambia</v>
          </cell>
        </row>
        <row r="223">
          <cell r="A223" t="str">
            <v>Guinea-Bissau</v>
          </cell>
        </row>
        <row r="224">
          <cell r="A224" t="str">
            <v>Equatorial Guinea</v>
          </cell>
        </row>
        <row r="225">
          <cell r="A225" t="str">
            <v>Greenland</v>
          </cell>
        </row>
        <row r="226">
          <cell r="A226" t="str">
            <v>French Guiana</v>
          </cell>
        </row>
        <row r="227">
          <cell r="A227" t="str">
            <v>Heard &amp; McDonald Islands</v>
          </cell>
        </row>
        <row r="228">
          <cell r="A228" t="str">
            <v>Kiribati</v>
          </cell>
        </row>
        <row r="229">
          <cell r="A229" t="str">
            <v>St. Kitts &amp; Nevis</v>
          </cell>
        </row>
        <row r="230">
          <cell r="A230" t="str">
            <v>St. Martin</v>
          </cell>
        </row>
        <row r="231">
          <cell r="A231" t="str">
            <v>Marshall Islands</v>
          </cell>
        </row>
        <row r="232">
          <cell r="A232" t="str">
            <v>Mauritania</v>
          </cell>
        </row>
        <row r="233">
          <cell r="A233" t="str">
            <v>Montserrat</v>
          </cell>
        </row>
        <row r="234">
          <cell r="A234" t="str">
            <v>Mayotte</v>
          </cell>
        </row>
        <row r="235">
          <cell r="A235" t="str">
            <v>Norfolk Island</v>
          </cell>
        </row>
        <row r="236">
          <cell r="A236" t="str">
            <v>Niue</v>
          </cell>
        </row>
        <row r="237">
          <cell r="A237" t="str">
            <v>Nauru</v>
          </cell>
        </row>
        <row r="238">
          <cell r="A238" t="str">
            <v>Pitcairn Islands</v>
          </cell>
        </row>
        <row r="239">
          <cell r="A239" t="str">
            <v>Palau</v>
          </cell>
        </row>
        <row r="240">
          <cell r="A240" t="str">
            <v>South Georgia &amp; South Sandwich Islands</v>
          </cell>
        </row>
        <row r="241">
          <cell r="A241" t="str">
            <v>Solomon Islands</v>
          </cell>
        </row>
        <row r="242">
          <cell r="A242" t="str">
            <v>Sierra Leone</v>
          </cell>
        </row>
        <row r="243">
          <cell r="A243" t="str">
            <v>San Marino</v>
          </cell>
        </row>
        <row r="244">
          <cell r="A244" t="str">
            <v>SÃ£o TomÃ© &amp; PrÃ­ncipe</v>
          </cell>
        </row>
        <row r="245">
          <cell r="A245" t="str">
            <v>Sint Maarten</v>
          </cell>
        </row>
        <row r="246">
          <cell r="A246" t="str">
            <v>Chad</v>
          </cell>
        </row>
        <row r="247">
          <cell r="A247" t="str">
            <v>Tokelau</v>
          </cell>
        </row>
        <row r="248">
          <cell r="A248" t="str">
            <v>Tonga</v>
          </cell>
        </row>
        <row r="249">
          <cell r="A249" t="str">
            <v>Tuvalu</v>
          </cell>
        </row>
        <row r="250">
          <cell r="A250" t="str">
            <v>U.S. Outlying Islands</v>
          </cell>
        </row>
        <row r="251">
          <cell r="A251" t="str">
            <v>Vatican City</v>
          </cell>
        </row>
        <row r="252">
          <cell r="A252" t="str">
            <v>Vanuatu</v>
          </cell>
        </row>
        <row r="253">
          <cell r="A253" t="str">
            <v>Wallis &amp; Futuna</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7.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R29"/>
  <sheetViews>
    <sheetView showGridLines="0" workbookViewId="0"/>
  </sheetViews>
  <sheetFormatPr baseColWidth="10" defaultColWidth="8.83203125" defaultRowHeight="15" x14ac:dyDescent="0.2"/>
  <cols>
    <col min="2" max="2" width="26.5" customWidth="1"/>
  </cols>
  <sheetData>
    <row r="2" spans="1:18" x14ac:dyDescent="0.2">
      <c r="B2" s="102" t="s">
        <v>3</v>
      </c>
      <c r="C2" s="102"/>
      <c r="D2" s="102"/>
      <c r="E2" s="102"/>
      <c r="F2" s="102"/>
      <c r="G2" s="102"/>
      <c r="H2" s="102"/>
      <c r="I2" s="102"/>
      <c r="J2" s="102"/>
      <c r="K2" s="102"/>
      <c r="L2" s="102"/>
      <c r="M2" s="102"/>
      <c r="N2" s="102"/>
      <c r="O2" s="102"/>
      <c r="P2" s="102"/>
      <c r="Q2" s="102"/>
      <c r="R2" s="102"/>
    </row>
    <row r="3" spans="1:18" x14ac:dyDescent="0.2">
      <c r="B3" s="102" t="s">
        <v>1370</v>
      </c>
      <c r="C3" s="102"/>
      <c r="D3" s="102"/>
      <c r="E3" s="102"/>
      <c r="F3" s="102"/>
      <c r="G3" s="102"/>
      <c r="H3" s="102"/>
      <c r="I3" s="102"/>
      <c r="J3" s="102"/>
      <c r="K3" s="102"/>
      <c r="L3" s="102"/>
      <c r="M3" s="102"/>
      <c r="N3" s="102"/>
      <c r="O3" s="102"/>
      <c r="P3" s="102"/>
      <c r="Q3" s="102"/>
      <c r="R3" s="102"/>
    </row>
    <row r="4" spans="1:18" x14ac:dyDescent="0.2">
      <c r="B4" s="102" t="s">
        <v>1371</v>
      </c>
      <c r="C4" s="102"/>
      <c r="D4" s="102"/>
      <c r="E4" s="102"/>
      <c r="F4" s="102"/>
      <c r="G4" s="102"/>
      <c r="H4" s="102"/>
      <c r="I4" s="102"/>
      <c r="J4" s="102"/>
      <c r="K4" s="102"/>
      <c r="L4" s="102"/>
      <c r="M4" s="102"/>
      <c r="N4" s="102"/>
      <c r="O4" s="102"/>
      <c r="P4" s="102"/>
      <c r="Q4" s="102"/>
      <c r="R4" s="102"/>
    </row>
    <row r="6" spans="1:18" x14ac:dyDescent="0.2">
      <c r="B6" s="6" t="s">
        <v>1</v>
      </c>
      <c r="C6" s="7">
        <v>1000</v>
      </c>
      <c r="D6" s="102" t="s">
        <v>2</v>
      </c>
      <c r="E6" s="102"/>
      <c r="F6" s="102"/>
      <c r="G6" s="102"/>
      <c r="H6" s="102"/>
      <c r="I6" s="102"/>
      <c r="J6" s="102"/>
      <c r="K6" s="102"/>
      <c r="L6" s="102"/>
      <c r="M6" s="102"/>
      <c r="N6" s="102"/>
      <c r="O6" s="102"/>
      <c r="P6" s="102"/>
      <c r="Q6" s="102"/>
      <c r="R6" s="102"/>
    </row>
    <row r="7" spans="1:18" x14ac:dyDescent="0.2">
      <c r="B7" s="6" t="s">
        <v>337</v>
      </c>
      <c r="C7" s="11">
        <v>1</v>
      </c>
      <c r="D7" s="102" t="s">
        <v>338</v>
      </c>
      <c r="E7" s="102"/>
      <c r="F7" s="102"/>
      <c r="G7" s="102"/>
      <c r="H7" s="102"/>
      <c r="I7" s="102"/>
      <c r="J7" s="102"/>
      <c r="K7" s="102"/>
      <c r="L7" s="102"/>
      <c r="M7" s="102"/>
      <c r="N7" s="102"/>
      <c r="O7" s="102"/>
      <c r="P7" s="102"/>
      <c r="Q7" s="102"/>
      <c r="R7" s="102"/>
    </row>
    <row r="9" spans="1:18" x14ac:dyDescent="0.2">
      <c r="B9" s="6" t="s">
        <v>321</v>
      </c>
    </row>
    <row r="10" spans="1:18" x14ac:dyDescent="0.2">
      <c r="A10" s="101" t="s">
        <v>333</v>
      </c>
      <c r="B10" s="104" t="s">
        <v>1323</v>
      </c>
      <c r="C10" s="102" t="s">
        <v>322</v>
      </c>
      <c r="D10" s="102"/>
      <c r="E10" s="102"/>
      <c r="F10" s="102"/>
      <c r="G10" s="102"/>
      <c r="H10" s="102"/>
      <c r="I10" s="102"/>
      <c r="J10" s="102"/>
      <c r="K10" s="102"/>
      <c r="L10" s="102"/>
      <c r="M10" s="102"/>
      <c r="N10" s="102"/>
      <c r="O10" s="102"/>
      <c r="P10" s="102"/>
      <c r="Q10" s="102"/>
      <c r="R10" s="102"/>
    </row>
    <row r="11" spans="1:18" x14ac:dyDescent="0.2">
      <c r="A11" s="101"/>
      <c r="B11" s="104"/>
      <c r="C11" s="102" t="s">
        <v>323</v>
      </c>
      <c r="D11" s="102"/>
      <c r="E11" s="102"/>
      <c r="F11" s="102"/>
      <c r="G11" s="102"/>
      <c r="H11" s="102"/>
      <c r="I11" s="102"/>
      <c r="J11" s="102"/>
      <c r="K11" s="102"/>
      <c r="L11" s="102"/>
      <c r="M11" s="102"/>
      <c r="N11" s="102"/>
      <c r="O11" s="102"/>
      <c r="P11" s="102"/>
      <c r="Q11" s="102"/>
      <c r="R11" s="102"/>
    </row>
    <row r="12" spans="1:18" x14ac:dyDescent="0.2">
      <c r="A12" s="101" t="s">
        <v>333</v>
      </c>
      <c r="B12" s="105" t="s">
        <v>1333</v>
      </c>
      <c r="C12" s="102" t="s">
        <v>324</v>
      </c>
      <c r="D12" s="102"/>
      <c r="E12" s="102"/>
      <c r="F12" s="102"/>
      <c r="G12" s="102"/>
      <c r="H12" s="102"/>
      <c r="I12" s="102"/>
      <c r="J12" s="102"/>
      <c r="K12" s="102"/>
      <c r="L12" s="102"/>
      <c r="M12" s="102"/>
      <c r="N12" s="102"/>
      <c r="O12" s="102"/>
      <c r="P12" s="102"/>
      <c r="Q12" s="102"/>
      <c r="R12" s="102"/>
    </row>
    <row r="13" spans="1:18" x14ac:dyDescent="0.2">
      <c r="A13" s="101"/>
      <c r="B13" s="105"/>
      <c r="C13" s="102" t="s">
        <v>325</v>
      </c>
      <c r="D13" s="102"/>
      <c r="E13" s="102"/>
      <c r="F13" s="102"/>
      <c r="G13" s="102"/>
      <c r="H13" s="102"/>
      <c r="I13" s="102"/>
      <c r="J13" s="102"/>
      <c r="K13" s="102"/>
      <c r="L13" s="102"/>
      <c r="M13" s="102"/>
      <c r="N13" s="102"/>
      <c r="O13" s="102"/>
      <c r="P13" s="102"/>
      <c r="Q13" s="102"/>
      <c r="R13" s="102"/>
    </row>
    <row r="14" spans="1:18" x14ac:dyDescent="0.2">
      <c r="A14" s="101" t="s">
        <v>333</v>
      </c>
      <c r="B14" s="105" t="s">
        <v>1334</v>
      </c>
      <c r="C14" s="102" t="s">
        <v>326</v>
      </c>
      <c r="D14" s="102"/>
      <c r="E14" s="102"/>
      <c r="F14" s="102"/>
      <c r="G14" s="102"/>
      <c r="H14" s="102"/>
      <c r="I14" s="102"/>
      <c r="J14" s="102"/>
      <c r="K14" s="102"/>
      <c r="L14" s="102"/>
      <c r="M14" s="102"/>
      <c r="N14" s="102"/>
      <c r="O14" s="102"/>
      <c r="P14" s="102"/>
      <c r="Q14" s="102"/>
      <c r="R14" s="102"/>
    </row>
    <row r="15" spans="1:18" x14ac:dyDescent="0.2">
      <c r="A15" s="101"/>
      <c r="B15" s="105"/>
      <c r="C15" s="102" t="s">
        <v>327</v>
      </c>
      <c r="D15" s="102"/>
      <c r="E15" s="102"/>
      <c r="F15" s="102"/>
      <c r="G15" s="102"/>
      <c r="H15" s="102"/>
      <c r="I15" s="102"/>
      <c r="J15" s="102"/>
      <c r="K15" s="102"/>
      <c r="L15" s="102"/>
      <c r="M15" s="102"/>
      <c r="N15" s="102"/>
      <c r="O15" s="102"/>
      <c r="P15" s="102"/>
      <c r="Q15" s="102"/>
      <c r="R15" s="102"/>
    </row>
    <row r="16" spans="1:18" x14ac:dyDescent="0.2">
      <c r="A16" s="101"/>
      <c r="B16" s="105"/>
      <c r="C16" s="102" t="s">
        <v>328</v>
      </c>
      <c r="D16" s="102"/>
      <c r="E16" s="102"/>
      <c r="F16" s="102"/>
      <c r="G16" s="102"/>
      <c r="H16" s="102"/>
      <c r="I16" s="102"/>
      <c r="J16" s="102"/>
      <c r="K16" s="102"/>
      <c r="L16" s="102"/>
      <c r="M16" s="102"/>
      <c r="N16" s="102"/>
      <c r="O16" s="102"/>
      <c r="P16" s="102"/>
      <c r="Q16" s="102"/>
      <c r="R16" s="102"/>
    </row>
    <row r="17" spans="1:18" x14ac:dyDescent="0.2">
      <c r="A17" s="101"/>
      <c r="B17" s="105"/>
      <c r="C17" s="102" t="s">
        <v>329</v>
      </c>
      <c r="D17" s="102"/>
      <c r="E17" s="102"/>
      <c r="F17" s="102"/>
      <c r="G17" s="102"/>
      <c r="H17" s="102"/>
      <c r="I17" s="102"/>
      <c r="J17" s="102"/>
      <c r="K17" s="102"/>
      <c r="L17" s="102"/>
      <c r="M17" s="102"/>
      <c r="N17" s="102"/>
      <c r="O17" s="102"/>
      <c r="P17" s="102"/>
      <c r="Q17" s="102"/>
      <c r="R17" s="102"/>
    </row>
    <row r="18" spans="1:18" x14ac:dyDescent="0.2">
      <c r="B18" s="104" t="s">
        <v>1320</v>
      </c>
      <c r="C18" s="103" t="s">
        <v>1332</v>
      </c>
      <c r="D18" s="103"/>
      <c r="E18" s="103"/>
      <c r="F18" s="103"/>
      <c r="G18" s="103"/>
      <c r="H18" s="103"/>
      <c r="I18" s="103"/>
      <c r="J18" s="103"/>
      <c r="K18" s="103"/>
      <c r="L18" s="103"/>
      <c r="M18" s="103"/>
      <c r="N18" s="103"/>
      <c r="O18" s="103"/>
      <c r="P18" s="103"/>
      <c r="Q18" s="103"/>
      <c r="R18" s="103"/>
    </row>
    <row r="19" spans="1:18" x14ac:dyDescent="0.2">
      <c r="B19" s="104"/>
      <c r="C19" s="103"/>
      <c r="D19" s="103"/>
      <c r="E19" s="103"/>
      <c r="F19" s="103"/>
      <c r="G19" s="103"/>
      <c r="H19" s="103"/>
      <c r="I19" s="103"/>
      <c r="J19" s="103"/>
      <c r="K19" s="103"/>
      <c r="L19" s="103"/>
      <c r="M19" s="103"/>
      <c r="N19" s="103"/>
      <c r="O19" s="103"/>
      <c r="P19" s="103"/>
      <c r="Q19" s="103"/>
      <c r="R19" s="103"/>
    </row>
    <row r="20" spans="1:18" ht="15" customHeight="1" x14ac:dyDescent="0.2">
      <c r="B20" s="67"/>
      <c r="C20" s="102" t="s">
        <v>1345</v>
      </c>
      <c r="D20" s="102"/>
      <c r="E20" s="102"/>
      <c r="F20" s="102"/>
      <c r="G20" s="102"/>
      <c r="H20" s="102"/>
      <c r="I20" s="102"/>
      <c r="J20" s="102"/>
      <c r="K20" s="102"/>
      <c r="L20" s="102"/>
      <c r="M20" s="102"/>
      <c r="N20" s="102"/>
      <c r="O20" s="102"/>
      <c r="P20" s="102"/>
      <c r="Q20" s="102"/>
      <c r="R20" s="102"/>
    </row>
    <row r="21" spans="1:18" x14ac:dyDescent="0.2">
      <c r="A21" t="s">
        <v>333</v>
      </c>
      <c r="B21" t="s">
        <v>1326</v>
      </c>
      <c r="C21" s="102" t="s">
        <v>1328</v>
      </c>
      <c r="D21" s="102"/>
      <c r="E21" s="102"/>
      <c r="F21" s="102"/>
      <c r="G21" s="102"/>
      <c r="H21" s="102"/>
      <c r="I21" s="102"/>
      <c r="J21" s="102"/>
      <c r="K21" s="102"/>
      <c r="L21" s="102"/>
      <c r="M21" s="102"/>
      <c r="N21" s="102"/>
      <c r="O21" s="102"/>
      <c r="P21" s="102"/>
      <c r="Q21" s="102"/>
      <c r="R21" s="102"/>
    </row>
    <row r="22" spans="1:18" x14ac:dyDescent="0.2">
      <c r="A22" t="s">
        <v>333</v>
      </c>
      <c r="B22" t="s">
        <v>1324</v>
      </c>
      <c r="C22" s="102" t="s">
        <v>1329</v>
      </c>
      <c r="D22" s="102"/>
      <c r="E22" s="102"/>
      <c r="F22" s="102"/>
      <c r="G22" s="102"/>
      <c r="H22" s="102"/>
      <c r="I22" s="102"/>
      <c r="J22" s="102"/>
      <c r="K22" s="102"/>
      <c r="L22" s="102"/>
      <c r="M22" s="102"/>
      <c r="N22" s="102"/>
      <c r="O22" s="102"/>
      <c r="P22" s="102"/>
      <c r="Q22" s="102"/>
      <c r="R22" s="102"/>
    </row>
    <row r="23" spans="1:18" x14ac:dyDescent="0.2">
      <c r="A23" t="s">
        <v>333</v>
      </c>
      <c r="B23" t="s">
        <v>348</v>
      </c>
      <c r="C23" s="102" t="s">
        <v>1330</v>
      </c>
      <c r="D23" s="102"/>
      <c r="E23" s="102"/>
      <c r="F23" s="102"/>
      <c r="G23" s="102"/>
      <c r="H23" s="102"/>
      <c r="I23" s="102"/>
      <c r="J23" s="102"/>
      <c r="K23" s="102"/>
      <c r="L23" s="102"/>
      <c r="M23" s="102"/>
      <c r="N23" s="102"/>
      <c r="O23" s="102"/>
      <c r="P23" s="102"/>
      <c r="Q23" s="102"/>
      <c r="R23" s="102"/>
    </row>
    <row r="24" spans="1:18" x14ac:dyDescent="0.2">
      <c r="A24" t="s">
        <v>333</v>
      </c>
      <c r="B24" t="s">
        <v>1325</v>
      </c>
      <c r="C24" s="102" t="s">
        <v>1331</v>
      </c>
      <c r="D24" s="102"/>
      <c r="E24" s="102"/>
      <c r="F24" s="102"/>
      <c r="G24" s="102"/>
      <c r="H24" s="102"/>
      <c r="I24" s="102"/>
      <c r="J24" s="102"/>
      <c r="K24" s="102"/>
      <c r="L24" s="102"/>
      <c r="M24" s="102"/>
      <c r="N24" s="102"/>
      <c r="O24" s="102"/>
      <c r="P24" s="102"/>
      <c r="Q24" s="102"/>
      <c r="R24" s="102"/>
    </row>
    <row r="26" spans="1:18" x14ac:dyDescent="0.2">
      <c r="B26" s="6" t="s">
        <v>330</v>
      </c>
      <c r="C26" s="102" t="s">
        <v>331</v>
      </c>
      <c r="D26" s="102"/>
      <c r="E26" s="102"/>
      <c r="F26" s="102"/>
      <c r="G26" s="102"/>
      <c r="H26" s="102"/>
      <c r="I26" s="102"/>
      <c r="J26" s="102"/>
      <c r="K26" s="102"/>
      <c r="L26" s="102"/>
      <c r="M26" s="102"/>
      <c r="N26" s="102"/>
      <c r="O26" s="102"/>
      <c r="P26" s="102"/>
      <c r="Q26" s="102"/>
      <c r="R26" s="102"/>
    </row>
    <row r="27" spans="1:18" x14ac:dyDescent="0.2">
      <c r="C27" s="102" t="s">
        <v>1321</v>
      </c>
      <c r="D27" s="102"/>
      <c r="E27" s="102"/>
      <c r="F27" s="102"/>
      <c r="G27" s="102"/>
      <c r="H27" s="102"/>
      <c r="I27" s="102"/>
      <c r="J27" s="102"/>
      <c r="K27" s="102"/>
      <c r="L27" s="102"/>
      <c r="M27" s="102"/>
      <c r="N27" s="102"/>
      <c r="O27" s="102"/>
      <c r="P27" s="102"/>
      <c r="Q27" s="102"/>
      <c r="R27" s="102"/>
    </row>
    <row r="28" spans="1:18" x14ac:dyDescent="0.2">
      <c r="C28" s="106" t="s">
        <v>1322</v>
      </c>
      <c r="D28" s="106"/>
      <c r="E28" s="106"/>
      <c r="F28" s="106"/>
      <c r="G28" s="106"/>
      <c r="H28" s="106"/>
      <c r="I28" s="106"/>
      <c r="J28" s="106"/>
      <c r="K28" s="106"/>
      <c r="L28" s="106"/>
      <c r="M28" s="106"/>
      <c r="N28" s="106"/>
      <c r="O28" s="106"/>
      <c r="P28" s="106"/>
      <c r="Q28" s="106"/>
      <c r="R28" s="106"/>
    </row>
    <row r="29" spans="1:18" x14ac:dyDescent="0.2">
      <c r="C29" s="106"/>
      <c r="D29" s="106"/>
      <c r="E29" s="106"/>
      <c r="F29" s="106"/>
      <c r="G29" s="106"/>
      <c r="H29" s="106"/>
      <c r="I29" s="106"/>
      <c r="J29" s="106"/>
      <c r="K29" s="106"/>
      <c r="L29" s="106"/>
      <c r="M29" s="106"/>
      <c r="N29" s="106"/>
      <c r="O29" s="106"/>
      <c r="P29" s="106"/>
      <c r="Q29" s="106"/>
      <c r="R29" s="106"/>
    </row>
  </sheetData>
  <mergeCells count="29">
    <mergeCell ref="B2:R2"/>
    <mergeCell ref="C27:R27"/>
    <mergeCell ref="C28:R29"/>
    <mergeCell ref="C26:R26"/>
    <mergeCell ref="D7:R7"/>
    <mergeCell ref="B4:R4"/>
    <mergeCell ref="C15:R15"/>
    <mergeCell ref="C14:R14"/>
    <mergeCell ref="C13:R13"/>
    <mergeCell ref="C12:R12"/>
    <mergeCell ref="C11:R11"/>
    <mergeCell ref="C10:R10"/>
    <mergeCell ref="C21:R21"/>
    <mergeCell ref="C22:R22"/>
    <mergeCell ref="C24:R24"/>
    <mergeCell ref="C16:R16"/>
    <mergeCell ref="B3:R3"/>
    <mergeCell ref="C23:R23"/>
    <mergeCell ref="C18:R19"/>
    <mergeCell ref="B10:B11"/>
    <mergeCell ref="B12:B13"/>
    <mergeCell ref="B14:B17"/>
    <mergeCell ref="B18:B19"/>
    <mergeCell ref="C20:R20"/>
    <mergeCell ref="A10:A11"/>
    <mergeCell ref="A12:A13"/>
    <mergeCell ref="A14:A17"/>
    <mergeCell ref="C17:R17"/>
    <mergeCell ref="D6:R6"/>
  </mergeCells>
  <pageMargins left="0.7" right="0.7" top="0.75" bottom="0.75" header="0.3" footer="0.3"/>
  <pageSetup orientation="portrait" horizontalDpi="4294967295" verticalDpi="4294967295"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0:AA23"/>
  <sheetViews>
    <sheetView zoomScale="70" zoomScaleNormal="70" workbookViewId="0">
      <selection activeCell="A20" sqref="A20"/>
    </sheetView>
  </sheetViews>
  <sheetFormatPr baseColWidth="10" defaultColWidth="8.83203125" defaultRowHeight="15" x14ac:dyDescent="0.2"/>
  <cols>
    <col min="1" max="1" width="11" customWidth="1"/>
  </cols>
  <sheetData>
    <row r="20" spans="1:27" ht="78" x14ac:dyDescent="0.2">
      <c r="A20" s="47" t="s">
        <v>332</v>
      </c>
      <c r="B20" s="48" t="s">
        <v>254</v>
      </c>
      <c r="C20" s="48" t="s">
        <v>255</v>
      </c>
      <c r="D20" s="48" t="s">
        <v>256</v>
      </c>
      <c r="E20" s="48" t="s">
        <v>257</v>
      </c>
      <c r="F20" s="48" t="s">
        <v>258</v>
      </c>
      <c r="G20" s="48" t="s">
        <v>259</v>
      </c>
      <c r="H20" s="48" t="s">
        <v>260</v>
      </c>
      <c r="I20" s="48" t="s">
        <v>261</v>
      </c>
      <c r="J20" s="48" t="s">
        <v>262</v>
      </c>
      <c r="K20" s="48" t="s">
        <v>263</v>
      </c>
      <c r="L20" s="48" t="s">
        <v>264</v>
      </c>
      <c r="M20" s="48" t="s">
        <v>265</v>
      </c>
      <c r="N20" s="48" t="s">
        <v>266</v>
      </c>
      <c r="O20" s="48" t="s">
        <v>267</v>
      </c>
      <c r="P20" s="48" t="s">
        <v>268</v>
      </c>
      <c r="Q20" s="48" t="s">
        <v>269</v>
      </c>
      <c r="R20" s="48" t="s">
        <v>270</v>
      </c>
      <c r="S20" s="48" t="s">
        <v>271</v>
      </c>
      <c r="T20" s="48" t="s">
        <v>272</v>
      </c>
      <c r="U20" s="48" t="s">
        <v>273</v>
      </c>
      <c r="V20" s="48" t="s">
        <v>274</v>
      </c>
      <c r="W20" s="48" t="s">
        <v>275</v>
      </c>
      <c r="X20" s="48" t="s">
        <v>276</v>
      </c>
      <c r="Y20" s="48" t="s">
        <v>277</v>
      </c>
      <c r="Z20" s="48" t="s">
        <v>278</v>
      </c>
      <c r="AA20" s="48" t="s">
        <v>279</v>
      </c>
    </row>
    <row r="21" spans="1:27" ht="112" x14ac:dyDescent="0.2">
      <c r="A21" s="47" t="s">
        <v>339</v>
      </c>
      <c r="B21" s="8">
        <v>0.21</v>
      </c>
      <c r="C21" s="8">
        <v>0.42</v>
      </c>
      <c r="D21" s="8">
        <v>0.4</v>
      </c>
      <c r="E21" s="8">
        <v>0.44</v>
      </c>
      <c r="F21" s="8">
        <v>0.33</v>
      </c>
      <c r="G21" s="8">
        <v>0.4</v>
      </c>
      <c r="H21" s="8">
        <v>0.37</v>
      </c>
      <c r="I21" s="8">
        <v>0.31</v>
      </c>
      <c r="J21" s="8">
        <v>0.12</v>
      </c>
      <c r="K21" s="8">
        <v>0.31</v>
      </c>
      <c r="L21" s="8">
        <v>0.42</v>
      </c>
      <c r="M21" s="8">
        <v>0.47</v>
      </c>
      <c r="N21" s="8">
        <v>0.33</v>
      </c>
      <c r="O21" s="8">
        <v>0.42</v>
      </c>
      <c r="P21" s="8">
        <v>0.19</v>
      </c>
      <c r="Q21" s="8">
        <v>0.4</v>
      </c>
      <c r="R21" s="8">
        <v>0.43</v>
      </c>
      <c r="S21" s="8">
        <v>0.5</v>
      </c>
      <c r="T21" s="8">
        <v>0.48</v>
      </c>
      <c r="U21" s="8">
        <v>0.41</v>
      </c>
      <c r="V21" s="8">
        <v>0.15</v>
      </c>
      <c r="W21" s="8">
        <v>0.32</v>
      </c>
      <c r="X21" s="8">
        <v>0.42</v>
      </c>
      <c r="Y21" s="8">
        <v>0.53</v>
      </c>
      <c r="Z21" s="8">
        <v>0.43</v>
      </c>
      <c r="AA21" s="8">
        <v>0.56000000000000005</v>
      </c>
    </row>
    <row r="23" spans="1:27" ht="45" hidden="1" customHeight="1" x14ac:dyDescent="0.2">
      <c r="A23" s="107" t="s">
        <v>1337</v>
      </c>
      <c r="B23" s="108"/>
      <c r="C23" s="109">
        <f>'Data_Matrix (2018)'!B130^2+'Data_Matrix (2017)'!B128^2+'Data_Matrix (2016)'!B128^2+'Data_Matrix (2015)'!B128^2+'Data_Matrix (2014)'!B128^2</f>
        <v>7.1934758559761116E-4</v>
      </c>
      <c r="D23" s="110"/>
    </row>
  </sheetData>
  <mergeCells count="2">
    <mergeCell ref="A23:B23"/>
    <mergeCell ref="C23:D23"/>
  </mergeCells>
  <conditionalFormatting sqref="A20:AA20">
    <cfRule type="colorScale" priority="2">
      <colorScale>
        <cfvo type="min"/>
        <cfvo type="max"/>
        <color rgb="FFFFEF9C"/>
        <color rgb="FF63BE7B"/>
      </colorScale>
    </cfRule>
    <cfRule type="cellIs" dxfId="38" priority="3" operator="equal">
      <formula>#DIV/0!</formula>
    </cfRule>
  </conditionalFormatting>
  <conditionalFormatting sqref="B21:AA21">
    <cfRule type="colorScale" priority="1">
      <colorScale>
        <cfvo type="min"/>
        <cfvo type="percentile" val="50"/>
        <cfvo type="max"/>
        <color rgb="FFF8696B"/>
        <color rgb="FFFFEB84"/>
        <color rgb="FF63BE7B"/>
      </colorScale>
    </cfRule>
  </conditionalFormatting>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81"/>
  <sheetViews>
    <sheetView tabSelected="1" topLeftCell="B1" zoomScaleNormal="100" workbookViewId="0">
      <pane ySplit="2" topLeftCell="A55" activePane="bottomLeft" state="frozen"/>
      <selection pane="bottomLeft" activeCell="AB3" sqref="AB3:AB67"/>
    </sheetView>
  </sheetViews>
  <sheetFormatPr baseColWidth="10" defaultColWidth="8.83203125" defaultRowHeight="15" x14ac:dyDescent="0.2"/>
  <cols>
    <col min="1" max="1" width="3.5" style="70" hidden="1" customWidth="1"/>
    <col min="2" max="2" width="26.5" style="70" bestFit="1" customWidth="1"/>
    <col min="3" max="3" width="9.33203125" style="69" hidden="1" customWidth="1"/>
    <col min="4" max="4" width="14.5" style="72" hidden="1" customWidth="1"/>
    <col min="5" max="5" width="9.6640625" style="72" hidden="1" customWidth="1"/>
    <col min="6" max="6" width="9.6640625" style="72" customWidth="1"/>
    <col min="7" max="7" width="7.1640625" style="72" customWidth="1"/>
    <col min="8" max="8" width="13.1640625" style="72" hidden="1" customWidth="1"/>
    <col min="9" max="9" width="14.5" style="70" hidden="1" customWidth="1"/>
    <col min="10" max="10" width="9.6640625" style="74" hidden="1" customWidth="1"/>
    <col min="11" max="11" width="9.6640625" style="74" customWidth="1"/>
    <col min="12" max="12" width="7.1640625" style="74" customWidth="1"/>
    <col min="13" max="13" width="7" style="74" hidden="1" customWidth="1"/>
    <col min="14" max="14" width="14.5" style="72" hidden="1" customWidth="1"/>
    <col min="15" max="15" width="9.6640625" style="72" hidden="1" customWidth="1"/>
    <col min="16" max="16" width="9.6640625" style="72" customWidth="1"/>
    <col min="17" max="17" width="7.1640625" style="72" customWidth="1"/>
    <col min="18" max="18" width="7" style="72" hidden="1" customWidth="1"/>
    <col min="19" max="19" width="14.5" style="70" hidden="1" customWidth="1"/>
    <col min="20" max="20" width="9.6640625" style="70" hidden="1" customWidth="1"/>
    <col min="21" max="21" width="9.6640625" style="70" customWidth="1"/>
    <col min="22" max="22" width="7.1640625" style="70" customWidth="1"/>
    <col min="23" max="23" width="7" style="70" hidden="1" customWidth="1"/>
    <col min="24" max="26" width="14.5" style="70" hidden="1" customWidth="1"/>
    <col min="27" max="27" width="9.6640625" style="70" hidden="1" customWidth="1"/>
    <col min="28" max="28" width="9.6640625" style="70" customWidth="1"/>
    <col min="29" max="29" width="7.1640625" style="70" bestFit="1" customWidth="1"/>
    <col min="30" max="30" width="2" style="70" bestFit="1" customWidth="1"/>
    <col min="31" max="31" width="2" style="70" customWidth="1"/>
    <col min="32" max="32" width="7.1640625" style="70" hidden="1" customWidth="1"/>
    <col min="33" max="36" width="7.1640625" style="70" customWidth="1"/>
    <col min="37" max="84" width="17.83203125" style="70" bestFit="1" customWidth="1"/>
    <col min="85" max="85" width="13.5" style="70" bestFit="1" customWidth="1"/>
    <col min="86" max="16384" width="8.83203125" style="70"/>
  </cols>
  <sheetData>
    <row r="1" spans="1:36" s="69" customFormat="1" ht="15" customHeight="1" x14ac:dyDescent="0.2">
      <c r="A1" s="52"/>
      <c r="B1" s="80"/>
      <c r="C1" s="52">
        <v>2014</v>
      </c>
      <c r="D1" s="53">
        <v>2014</v>
      </c>
      <c r="E1" s="54">
        <v>2014</v>
      </c>
      <c r="F1" s="54">
        <v>2014</v>
      </c>
      <c r="G1" s="55">
        <v>2014</v>
      </c>
      <c r="H1" s="52">
        <v>2015</v>
      </c>
      <c r="I1" s="53">
        <v>2015</v>
      </c>
      <c r="J1" s="54">
        <v>2015</v>
      </c>
      <c r="K1" s="54">
        <v>2015</v>
      </c>
      <c r="L1" s="55">
        <v>2015</v>
      </c>
      <c r="M1" s="52">
        <v>2016</v>
      </c>
      <c r="N1" s="53">
        <v>2016</v>
      </c>
      <c r="O1" s="54">
        <v>2016</v>
      </c>
      <c r="P1" s="54">
        <v>2016</v>
      </c>
      <c r="Q1" s="55">
        <v>2016</v>
      </c>
      <c r="R1" s="52">
        <v>2017</v>
      </c>
      <c r="S1" s="53">
        <v>2017</v>
      </c>
      <c r="T1" s="54">
        <v>2017</v>
      </c>
      <c r="U1" s="54">
        <v>2017</v>
      </c>
      <c r="V1" s="55">
        <v>2017</v>
      </c>
      <c r="W1" s="52">
        <v>2018</v>
      </c>
      <c r="X1" s="53">
        <v>2018</v>
      </c>
      <c r="Y1" s="53"/>
      <c r="Z1" s="53"/>
      <c r="AA1" s="54">
        <v>2018</v>
      </c>
      <c r="AB1" s="54">
        <v>2018</v>
      </c>
      <c r="AC1" s="55">
        <v>2018</v>
      </c>
    </row>
    <row r="2" spans="1:36" s="68" customFormat="1" ht="60" customHeight="1" thickBot="1" x14ac:dyDescent="0.25">
      <c r="A2" s="46"/>
      <c r="B2" s="81" t="s">
        <v>0</v>
      </c>
      <c r="C2" s="84" t="s">
        <v>1338</v>
      </c>
      <c r="D2" s="59" t="s">
        <v>349</v>
      </c>
      <c r="E2" s="57"/>
      <c r="F2" s="57" t="s">
        <v>1336</v>
      </c>
      <c r="G2" s="58" t="s">
        <v>1352</v>
      </c>
      <c r="H2" s="84" t="s">
        <v>1338</v>
      </c>
      <c r="I2" s="59" t="s">
        <v>349</v>
      </c>
      <c r="J2" s="57"/>
      <c r="K2" s="57" t="s">
        <v>1336</v>
      </c>
      <c r="L2" s="58" t="s">
        <v>1352</v>
      </c>
      <c r="M2" s="84" t="s">
        <v>1338</v>
      </c>
      <c r="N2" s="59" t="s">
        <v>349</v>
      </c>
      <c r="O2" s="57"/>
      <c r="P2" s="57" t="s">
        <v>1336</v>
      </c>
      <c r="Q2" s="58" t="s">
        <v>1352</v>
      </c>
      <c r="R2" s="84" t="s">
        <v>1338</v>
      </c>
      <c r="S2" s="59" t="s">
        <v>349</v>
      </c>
      <c r="T2" s="57"/>
      <c r="U2" s="57" t="s">
        <v>1336</v>
      </c>
      <c r="V2" s="58" t="s">
        <v>1352</v>
      </c>
      <c r="W2" s="84" t="s">
        <v>1338</v>
      </c>
      <c r="X2" s="59" t="s">
        <v>349</v>
      </c>
      <c r="Y2" s="66" t="s">
        <v>1339</v>
      </c>
      <c r="Z2" s="59" t="s">
        <v>1314</v>
      </c>
      <c r="AA2" s="57"/>
      <c r="AB2" s="57" t="s">
        <v>1336</v>
      </c>
      <c r="AC2" s="58" t="s">
        <v>1352</v>
      </c>
      <c r="AF2" s="68" t="s">
        <v>1351</v>
      </c>
      <c r="AG2" s="68" t="s">
        <v>1351</v>
      </c>
      <c r="AH2" s="68" t="s">
        <v>1353</v>
      </c>
      <c r="AI2" s="68" t="s">
        <v>1347</v>
      </c>
      <c r="AJ2" s="68" t="s">
        <v>1354</v>
      </c>
    </row>
    <row r="3" spans="1:36" x14ac:dyDescent="0.2">
      <c r="A3" s="89">
        <v>49</v>
      </c>
      <c r="B3" s="82" t="s">
        <v>145</v>
      </c>
      <c r="C3" s="85">
        <f t="array" ref="C3">MMULT('Data_Matrix (2014)'!B$126:AA$126,TRANSPOSE('Data_Matrix (2014)'!B48:AA48))</f>
        <v>3.1933101008038198</v>
      </c>
      <c r="D3" s="62">
        <f>VLOOKUP(B3,Data_ITU!A:S,16,0)</f>
        <v>84</v>
      </c>
      <c r="E3" s="62">
        <f t="shared" ref="E3:E34" si="0">(C3-MIN(C$3:C$67))*D3/100</f>
        <v>4.1370963503736418</v>
      </c>
      <c r="F3" s="62">
        <f t="shared" ref="F3:F34" si="1">E3/MAX(E$3:E$67)</f>
        <v>1</v>
      </c>
      <c r="G3" s="88">
        <v>1</v>
      </c>
      <c r="H3" s="85">
        <f t="array" ref="H3">MMULT('Data_Matrix (2015)'!B$126:AA$126,TRANSPOSE('Data_Matrix (2015)'!B48:AA48))</f>
        <v>3.2680928348321903</v>
      </c>
      <c r="I3" s="63">
        <f>VLOOKUP(B3,Data_ITU!A:S,17,0)</f>
        <v>84.560519347398994</v>
      </c>
      <c r="J3" s="63">
        <f t="shared" ref="J3:J34" si="2">(H3-MIN(H$3:H$67))*I3/100</f>
        <v>3.4474189058474201</v>
      </c>
      <c r="K3" s="62">
        <f t="shared" ref="K3:K34" si="3">J3/MAX(J$3:J$67)</f>
        <v>1</v>
      </c>
      <c r="L3" s="87">
        <v>1</v>
      </c>
      <c r="M3" s="93">
        <f t="array" ref="M3">MMULT('Data_Matrix (2016)'!B$126:AA$126,TRANSPOSE('Data_Matrix (2016)'!B48:AA48))</f>
        <v>2.3548744629821936</v>
      </c>
      <c r="N3" s="62">
        <f>VLOOKUP(B3,Data_ITU!A:S,18,0)</f>
        <v>86.54</v>
      </c>
      <c r="O3" s="62">
        <f t="shared" ref="O3:O34" si="4">(M3-MIN(M$3:M$67))*N3/100</f>
        <v>4.1390329673426303</v>
      </c>
      <c r="P3" s="62">
        <f t="shared" ref="P3:P34" si="5">O3/MAX(O$3:O$67)</f>
        <v>1</v>
      </c>
      <c r="Q3" s="88">
        <v>1</v>
      </c>
      <c r="R3" s="85">
        <f t="array" ref="R3">MMULT('Data_Matrix (2017)'!B$126:AA$126,TRANSPOSE('Data_Matrix (2017)'!B48:AA48))</f>
        <v>3.6307613352244061</v>
      </c>
      <c r="S3" s="62">
        <f>VLOOKUP(B3,Data_ITU!A:S,19,0)</f>
        <v>86.545048850000001</v>
      </c>
      <c r="T3" s="62">
        <f t="shared" ref="T3:T34" si="6">(R3-MIN(R$3:R$67))*S3/100</f>
        <v>4.2601094688966867</v>
      </c>
      <c r="U3" s="62">
        <f t="shared" ref="U3:U34" si="7">T3/MAX(T$3:T$67)</f>
        <v>1</v>
      </c>
      <c r="V3" s="88">
        <v>1</v>
      </c>
      <c r="W3" s="85">
        <f t="array" ref="W3">MMULT('Data_Matrix (2018)'!B$128:AA$128,TRANSPOSE('Data_Matrix (2018)'!B49:AA49))</f>
        <v>3.0719157899115617</v>
      </c>
      <c r="X3" s="63">
        <v>87.315717246806116</v>
      </c>
      <c r="Y3" s="60">
        <f>VLOOKUP(B3,[1]ESTIMATES!$C:$BX,74,0)</f>
        <v>24898.151999999998</v>
      </c>
      <c r="Z3" s="60">
        <v>21740</v>
      </c>
      <c r="AA3" s="62">
        <f t="shared" ref="AA3:AA34" si="8">(W3-MIN(W$3:W$67))*X3/100</f>
        <v>4.7134910891363306</v>
      </c>
      <c r="AB3" s="62">
        <f t="shared" ref="AB3:AB34" si="9">AA3/MAX(AA$3:AA$67)</f>
        <v>1</v>
      </c>
      <c r="AC3" s="88">
        <v>1</v>
      </c>
      <c r="AD3" s="70" t="s">
        <v>1344</v>
      </c>
      <c r="AF3" s="62">
        <f t="shared" ref="AF3:AF34" si="10">AVERAGE(E3,J3,O3,T3,AA3)</f>
        <v>4.1394297563193421</v>
      </c>
      <c r="AG3" s="62">
        <f t="shared" ref="AG3:AG34" si="11">AVERAGE(F3,K3,P3,U3,AB3)</f>
        <v>1</v>
      </c>
      <c r="AH3" s="62">
        <f t="shared" ref="AH3:AH34" si="12">AVERAGE(G3,L3,Q3,V3,AC3)</f>
        <v>1</v>
      </c>
      <c r="AI3" s="71">
        <f>VLOOKUP(B3,'[2]Table 1'!$B:$P,2,0)</f>
        <v>0.9386312851065749</v>
      </c>
      <c r="AJ3" s="70">
        <v>0</v>
      </c>
    </row>
    <row r="4" spans="1:36" x14ac:dyDescent="0.2">
      <c r="A4" s="89">
        <v>8</v>
      </c>
      <c r="B4" s="82" t="s">
        <v>11</v>
      </c>
      <c r="C4" s="85">
        <f t="array" ref="C4">MMULT('Data_Matrix (2014)'!B$126:AA$126,TRANSPOSE('Data_Matrix (2014)'!B3:AA3))</f>
        <v>2.4247108235335806</v>
      </c>
      <c r="D4" s="62">
        <f>VLOOKUP(B4,Data_ITU!A:S,16,0)</f>
        <v>87.556826494474706</v>
      </c>
      <c r="E4" s="62">
        <f t="shared" si="0"/>
        <v>3.6393129993697277</v>
      </c>
      <c r="F4" s="62">
        <f t="shared" si="1"/>
        <v>0.87967808606658227</v>
      </c>
      <c r="G4" s="88">
        <v>2</v>
      </c>
      <c r="H4" s="85">
        <f t="array" ref="H4">MMULT('Data_Matrix (2015)'!B$126:AA$126,TRANSPOSE('Data_Matrix (2015)'!B3:AA3))</f>
        <v>2.780622479041492</v>
      </c>
      <c r="I4" s="63">
        <f>VLOOKUP(B4,Data_ITU!A:S,17,0)</f>
        <v>89.9</v>
      </c>
      <c r="J4" s="63">
        <f t="shared" si="2"/>
        <v>3.226866517389924</v>
      </c>
      <c r="K4" s="62">
        <f t="shared" si="3"/>
        <v>0.93602390818145109</v>
      </c>
      <c r="L4" s="87">
        <v>2</v>
      </c>
      <c r="M4" s="93">
        <f t="array" ref="M4">MMULT('Data_Matrix (2016)'!B$126:AA$126,TRANSPOSE('Data_Matrix (2016)'!B3:AA3))</f>
        <v>1.4899560935136456</v>
      </c>
      <c r="N4" s="62">
        <f>VLOOKUP(B4,Data_ITU!A:S,18,0)</f>
        <v>92.843025679999997</v>
      </c>
      <c r="O4" s="62">
        <f t="shared" si="4"/>
        <v>3.6374775389030147</v>
      </c>
      <c r="P4" s="62">
        <f t="shared" si="5"/>
        <v>0.87882304093807995</v>
      </c>
      <c r="Q4" s="88">
        <v>3</v>
      </c>
      <c r="R4" s="85">
        <f t="array" ref="R4">MMULT('Data_Matrix (2017)'!B$126:AA$126,TRANSPOSE('Data_Matrix (2017)'!B3:AA3))</f>
        <v>2.542023728432504</v>
      </c>
      <c r="S4" s="62">
        <f>VLOOKUP(B4,Data_ITU!A:S,19,0)</f>
        <v>95.069421879999993</v>
      </c>
      <c r="T4" s="62">
        <f t="shared" si="6"/>
        <v>3.6446582327541237</v>
      </c>
      <c r="U4" s="62">
        <f t="shared" si="7"/>
        <v>0.85553159123350953</v>
      </c>
      <c r="V4" s="88">
        <v>3</v>
      </c>
      <c r="W4" s="85">
        <f t="array" ref="W4">MMULT('Data_Matrix (2018)'!B$128:AA$128,TRANSPOSE('Data_Matrix (2018)'!B4:AA4))</f>
        <v>2.0194402565214036</v>
      </c>
      <c r="X4" s="63">
        <v>95.898292199538702</v>
      </c>
      <c r="Y4" s="60" t="e">
        <f>VLOOKUP(B4,[1]ESTIMATES!$C:$BX,74,0)</f>
        <v>#N/A</v>
      </c>
      <c r="Z4" s="60"/>
      <c r="AA4" s="62">
        <f t="shared" si="8"/>
        <v>4.167490968008237</v>
      </c>
      <c r="AB4" s="62">
        <f t="shared" si="9"/>
        <v>0.88416226724465086</v>
      </c>
      <c r="AC4" s="88">
        <v>3</v>
      </c>
      <c r="AF4" s="62">
        <f t="shared" si="10"/>
        <v>3.6631612512850054</v>
      </c>
      <c r="AG4" s="62">
        <f t="shared" si="11"/>
        <v>0.88684377873285469</v>
      </c>
      <c r="AH4" s="62">
        <f t="shared" si="12"/>
        <v>2.6</v>
      </c>
      <c r="AI4" s="71">
        <f>VLOOKUP(B4,'[2]Table 1'!$B:$P,2,0)</f>
        <v>0.90256112640990338</v>
      </c>
      <c r="AJ4" s="70">
        <v>0.3</v>
      </c>
    </row>
    <row r="5" spans="1:36" x14ac:dyDescent="0.2">
      <c r="A5" s="89">
        <v>4</v>
      </c>
      <c r="B5" s="82" t="s">
        <v>42</v>
      </c>
      <c r="C5" s="85">
        <f t="array" ref="C5">MMULT('Data_Matrix (2014)'!B$126:AA$126,TRANSPOSE('Data_Matrix (2014)'!B9:AA9))</f>
        <v>3.1028102924402048</v>
      </c>
      <c r="D5" s="62">
        <f>VLOOKUP(B5,Data_ITU!A:S,16,0)</f>
        <v>75.017753162807594</v>
      </c>
      <c r="E5" s="62">
        <f t="shared" si="0"/>
        <v>3.6268194678999457</v>
      </c>
      <c r="F5" s="62">
        <f t="shared" si="1"/>
        <v>0.87665820680545414</v>
      </c>
      <c r="G5" s="88">
        <v>3</v>
      </c>
      <c r="H5" s="85">
        <f t="array" ref="H5">MMULT('Data_Matrix (2015)'!B$126:AA$126,TRANSPOSE('Data_Matrix (2015)'!B9:AA9))</f>
        <v>2.7921681597801236</v>
      </c>
      <c r="I5" s="63">
        <f>VLOOKUP(B5,Data_ITU!A:S,17,0)</f>
        <v>77.352089657225306</v>
      </c>
      <c r="J5" s="63">
        <f t="shared" si="2"/>
        <v>2.7854032186985052</v>
      </c>
      <c r="K5" s="62">
        <f t="shared" si="3"/>
        <v>0.8079677273840955</v>
      </c>
      <c r="L5" s="87">
        <v>5</v>
      </c>
      <c r="M5" s="93">
        <f t="array" ref="M5">MMULT('Data_Matrix (2016)'!B$126:AA$126,TRANSPOSE('Data_Matrix (2016)'!B9:AA9))</f>
        <v>2.5586374683029338</v>
      </c>
      <c r="N5" s="62">
        <f>VLOOKUP(B5,Data_ITU!A:S,18,0)</f>
        <v>79.653124180000006</v>
      </c>
      <c r="O5" s="62">
        <f t="shared" si="4"/>
        <v>3.971951241593735</v>
      </c>
      <c r="P5" s="62">
        <f t="shared" si="5"/>
        <v>0.95963266611617104</v>
      </c>
      <c r="Q5" s="88">
        <v>2</v>
      </c>
      <c r="R5" s="85">
        <f t="array" ref="R5">MMULT('Data_Matrix (2017)'!B$126:AA$126,TRANSPOSE('Data_Matrix (2017)'!B9:AA9))</f>
        <v>2.9256069087459244</v>
      </c>
      <c r="S5" s="62">
        <f>VLOOKUP(B5,Data_ITU!A:S,19,0)</f>
        <v>81.581183589999995</v>
      </c>
      <c r="T5" s="62">
        <f t="shared" si="6"/>
        <v>3.4404939212865884</v>
      </c>
      <c r="U5" s="62">
        <f t="shared" si="7"/>
        <v>0.80760692803925338</v>
      </c>
      <c r="V5" s="88">
        <v>4</v>
      </c>
      <c r="W5" s="85">
        <f t="array" ref="W5">MMULT('Data_Matrix (2018)'!B$128:AA$128,TRANSPOSE('Data_Matrix (2018)'!B10:AA10))</f>
        <v>1.9518522094580302</v>
      </c>
      <c r="X5" s="63">
        <v>85.903313911230384</v>
      </c>
      <c r="Y5" s="60">
        <f>VLOOKUP(B5,[1]ESTIMATES!$C:$BX,74,0)</f>
        <v>8381.5159999999996</v>
      </c>
      <c r="Z5" s="60">
        <v>7200</v>
      </c>
      <c r="AA5" s="62">
        <f t="shared" si="8"/>
        <v>3.6750747716327692</v>
      </c>
      <c r="AB5" s="62">
        <f t="shared" si="9"/>
        <v>0.77969273774657033</v>
      </c>
      <c r="AC5" s="88">
        <v>4</v>
      </c>
      <c r="AD5" s="70" t="s">
        <v>1344</v>
      </c>
      <c r="AF5" s="62">
        <f t="shared" si="10"/>
        <v>3.499948524222309</v>
      </c>
      <c r="AG5" s="62">
        <f t="shared" si="11"/>
        <v>0.84631165321830903</v>
      </c>
      <c r="AH5" s="62">
        <f t="shared" si="12"/>
        <v>3.6</v>
      </c>
      <c r="AI5" s="71">
        <f>VLOOKUP(B5,'[2]Table 1'!$B:$P,2,0)</f>
        <v>0.90324484142540495</v>
      </c>
      <c r="AJ5" s="70">
        <v>0.1</v>
      </c>
    </row>
    <row r="6" spans="1:36" x14ac:dyDescent="0.2">
      <c r="A6" s="89">
        <v>10</v>
      </c>
      <c r="B6" s="82" t="s">
        <v>32</v>
      </c>
      <c r="C6" s="85">
        <f t="array" ref="C6">MMULT('Data_Matrix (2014)'!B$126:AA$126,TRANSPOSE('Data_Matrix (2014)'!B7:AA7))</f>
        <v>1.1539448941615811</v>
      </c>
      <c r="D6" s="62">
        <f>VLOOKUP(B6,Data_ITU!A:S,16,0)</f>
        <v>79.029235863343501</v>
      </c>
      <c r="E6" s="62">
        <f t="shared" si="0"/>
        <v>2.2805857757641248</v>
      </c>
      <c r="F6" s="62">
        <f t="shared" si="1"/>
        <v>0.55125275860644474</v>
      </c>
      <c r="G6" s="88">
        <v>9</v>
      </c>
      <c r="H6" s="85">
        <f t="array" ref="H6">MMULT('Data_Matrix (2015)'!B$126:AA$126,TRANSPOSE('Data_Matrix (2015)'!B7:AA7))</f>
        <v>2.8447426232179076</v>
      </c>
      <c r="I6" s="63">
        <f>VLOOKUP(B6,Data_ITU!A:S,17,0)</f>
        <v>79.012957002558394</v>
      </c>
      <c r="J6" s="63">
        <f t="shared" si="2"/>
        <v>2.8867507123988729</v>
      </c>
      <c r="K6" s="62">
        <f t="shared" si="3"/>
        <v>0.83736580648857128</v>
      </c>
      <c r="L6" s="87">
        <v>4</v>
      </c>
      <c r="M6" s="93">
        <f t="array" ref="M6">MMULT('Data_Matrix (2016)'!B$126:AA$126,TRANSPOSE('Data_Matrix (2016)'!B7:AA7))</f>
        <v>1.6286405779305322</v>
      </c>
      <c r="N6" s="62">
        <f>VLOOKUP(B6,Data_ITU!A:S,18,0)</f>
        <v>84.452267890000002</v>
      </c>
      <c r="O6" s="62">
        <f t="shared" si="4"/>
        <v>3.4258599818054956</v>
      </c>
      <c r="P6" s="62">
        <f t="shared" si="5"/>
        <v>0.8276957465272351</v>
      </c>
      <c r="Q6" s="88">
        <v>4</v>
      </c>
      <c r="R6" s="85">
        <f t="array" ref="R6">MMULT('Data_Matrix (2017)'!B$126:AA$126,TRANSPOSE('Data_Matrix (2017)'!B7:AA7))</f>
        <v>3.4358093152531084</v>
      </c>
      <c r="S6" s="62">
        <f>VLOOKUP(B6,Data_ITU!A:S,19,0)</f>
        <v>84.449538779999997</v>
      </c>
      <c r="T6" s="62">
        <f t="shared" si="6"/>
        <v>3.9923236124759516</v>
      </c>
      <c r="U6" s="62">
        <f t="shared" si="7"/>
        <v>0.93714108560452358</v>
      </c>
      <c r="V6" s="88">
        <v>2</v>
      </c>
      <c r="W6" s="85">
        <f t="array" ref="W6">MMULT('Data_Matrix (2018)'!B$128:AA$128,TRANSPOSE('Data_Matrix (2018)'!B8:AA8))</f>
        <v>2.9370458252679241</v>
      </c>
      <c r="X6" s="63">
        <v>88.165636031344704</v>
      </c>
      <c r="Y6" s="60">
        <f>VLOOKUP(B6,[1]ESTIMATES!$C:$BX,74,0)</f>
        <v>5757.4989999999998</v>
      </c>
      <c r="Z6" s="60"/>
      <c r="AA6" s="62">
        <f t="shared" si="8"/>
        <v>4.6404625794903458</v>
      </c>
      <c r="AB6" s="62">
        <f t="shared" si="9"/>
        <v>0.98450649247766664</v>
      </c>
      <c r="AC6" s="88">
        <v>2</v>
      </c>
      <c r="AF6" s="62">
        <f t="shared" si="10"/>
        <v>3.4451965323869578</v>
      </c>
      <c r="AG6" s="62">
        <f t="shared" si="11"/>
        <v>0.82759237794088825</v>
      </c>
      <c r="AH6" s="62">
        <f t="shared" si="12"/>
        <v>4.2</v>
      </c>
      <c r="AI6" s="71">
        <f>VLOOKUP(B6,'[2]Table 1'!$B:$P,2,0)</f>
        <v>0.93204160643220724</v>
      </c>
      <c r="AJ6" s="70">
        <v>-1.5999999999999999</v>
      </c>
    </row>
    <row r="7" spans="1:36" x14ac:dyDescent="0.2">
      <c r="A7" s="89">
        <v>40</v>
      </c>
      <c r="B7" s="82" t="s">
        <v>48</v>
      </c>
      <c r="C7" s="85">
        <f t="array" ref="C7">MMULT('Data_Matrix (2014)'!B$126:AA$126,TRANSPOSE('Data_Matrix (2014)'!B11:AA11))</f>
        <v>2.2520569684986307</v>
      </c>
      <c r="D7" s="62">
        <f>VLOOKUP(B7,Data_ITU!A:S,16,0)</f>
        <v>79.866270430906397</v>
      </c>
      <c r="E7" s="62">
        <f t="shared" si="0"/>
        <v>3.1817616555049169</v>
      </c>
      <c r="F7" s="62">
        <f t="shared" si="1"/>
        <v>0.76908086881214555</v>
      </c>
      <c r="G7" s="88">
        <v>4</v>
      </c>
      <c r="H7" s="85">
        <f t="array" ref="H7">MMULT('Data_Matrix (2015)'!B$126:AA$126,TRANSPOSE('Data_Matrix (2015)'!B11:AA11))</f>
        <v>2.9768832149135576</v>
      </c>
      <c r="I7" s="63">
        <f>VLOOKUP(B7,Data_ITU!A:S,17,0)</f>
        <v>84.948352963406194</v>
      </c>
      <c r="J7" s="63">
        <f t="shared" si="2"/>
        <v>3.2158525861637277</v>
      </c>
      <c r="K7" s="62">
        <f t="shared" si="3"/>
        <v>0.93282907415431415</v>
      </c>
      <c r="L7" s="87">
        <v>3</v>
      </c>
      <c r="M7" s="93">
        <f t="array" ref="M7">MMULT('Data_Matrix (2016)'!B$126:AA$126,TRANSPOSE('Data_Matrix (2016)'!B11:AA11))</f>
        <v>0.27411343504060259</v>
      </c>
      <c r="N7" s="62">
        <f>VLOOKUP(B7,Data_ITU!A:S,18,0)</f>
        <v>87.479414669999997</v>
      </c>
      <c r="O7" s="62">
        <f t="shared" si="4"/>
        <v>2.3637257008869432</v>
      </c>
      <c r="P7" s="62">
        <f t="shared" si="5"/>
        <v>0.57108163175721649</v>
      </c>
      <c r="Q7" s="88">
        <v>7</v>
      </c>
      <c r="R7" s="85">
        <f t="array" ref="R7">MMULT('Data_Matrix (2017)'!B$126:AA$126,TRANSPOSE('Data_Matrix (2017)'!B11:AA11))</f>
        <v>2.347059028761977</v>
      </c>
      <c r="S7" s="62">
        <f>VLOOKUP(B7,Data_ITU!A:S,19,0)</f>
        <v>89.41594465</v>
      </c>
      <c r="T7" s="62">
        <f t="shared" si="6"/>
        <v>3.2535924301743382</v>
      </c>
      <c r="U7" s="62">
        <f t="shared" si="7"/>
        <v>0.76373446596361205</v>
      </c>
      <c r="V7" s="88">
        <v>5</v>
      </c>
      <c r="W7" s="85">
        <f t="array" ref="W7">MMULT('Data_Matrix (2018)'!B$128:AA$128,TRANSPOSE('Data_Matrix (2018)'!B12:AA12))</f>
        <v>0.54768411694516217</v>
      </c>
      <c r="X7" s="63">
        <v>89</v>
      </c>
      <c r="Y7" s="60" t="e">
        <f>VLOOKUP(B7,[1]ESTIMATES!$C:$BX,74,0)</f>
        <v>#N/A</v>
      </c>
      <c r="Z7" s="60"/>
      <c r="AA7" s="62">
        <f t="shared" si="8"/>
        <v>2.5578461226186024</v>
      </c>
      <c r="AB7" s="62">
        <f t="shared" si="9"/>
        <v>0.5426648898337656</v>
      </c>
      <c r="AC7" s="88">
        <v>11</v>
      </c>
      <c r="AF7" s="62">
        <f t="shared" si="10"/>
        <v>2.9145556990697061</v>
      </c>
      <c r="AG7" s="62">
        <f t="shared" si="11"/>
        <v>0.71587818610421072</v>
      </c>
      <c r="AH7" s="62">
        <f t="shared" si="12"/>
        <v>6</v>
      </c>
      <c r="AI7" s="71">
        <f>VLOOKUP(B7,'[2]Table 1'!$B:$P,2,0)</f>
        <v>0.93258291443370078</v>
      </c>
      <c r="AJ7" s="70">
        <v>1.6</v>
      </c>
    </row>
    <row r="8" spans="1:36" x14ac:dyDescent="0.2">
      <c r="A8" s="89">
        <v>31</v>
      </c>
      <c r="B8" s="82" t="s">
        <v>108</v>
      </c>
      <c r="C8" s="85">
        <f t="array" ref="C8">MMULT('Data_Matrix (2014)'!B$126:AA$126,TRANSPOSE('Data_Matrix (2014)'!B30:AA30))</f>
        <v>1.7673337811619527</v>
      </c>
      <c r="D8" s="62">
        <f>VLOOKUP(B8,Data_ITU!A:S,16,0)</f>
        <v>78.037620503983803</v>
      </c>
      <c r="E8" s="62">
        <f t="shared" si="0"/>
        <v>2.7306443323782839</v>
      </c>
      <c r="F8" s="62">
        <f t="shared" si="1"/>
        <v>0.66003885361085823</v>
      </c>
      <c r="G8" s="88">
        <v>6</v>
      </c>
      <c r="H8" s="85">
        <f t="array" ref="H8">MMULT('Data_Matrix (2015)'!B$126:AA$126,TRANSPOSE('Data_Matrix (2015)'!B30:AA30))</f>
        <v>1.7962071054671225</v>
      </c>
      <c r="I8" s="63">
        <f>VLOOKUP(B8,Data_ITU!A:S,17,0)</f>
        <v>78.036873143419598</v>
      </c>
      <c r="J8" s="63">
        <f t="shared" si="2"/>
        <v>2.0328450044569983</v>
      </c>
      <c r="K8" s="62">
        <f t="shared" si="3"/>
        <v>0.58967159488768273</v>
      </c>
      <c r="L8" s="87">
        <v>11</v>
      </c>
      <c r="M8" s="93">
        <f t="array" ref="M8">MMULT('Data_Matrix (2016)'!B$126:AA$126,TRANSPOSE('Data_Matrix (2016)'!B30:AA30))</f>
        <v>0.86440635502373753</v>
      </c>
      <c r="N8" s="62">
        <f>VLOOKUP(B8,Data_ITU!A:S,18,0)</f>
        <v>79.745186860000004</v>
      </c>
      <c r="O8" s="62">
        <f t="shared" si="4"/>
        <v>2.6254742357215362</v>
      </c>
      <c r="P8" s="62">
        <f t="shared" si="5"/>
        <v>0.63432068708724509</v>
      </c>
      <c r="Q8" s="88">
        <v>6</v>
      </c>
      <c r="R8" s="85">
        <f t="array" ref="R8">MMULT('Data_Matrix (2017)'!B$126:AA$126,TRANSPOSE('Data_Matrix (2017)'!B30:AA30))</f>
        <v>1.9848956722142246</v>
      </c>
      <c r="S8" s="62">
        <f>VLOOKUP(B8,Data_ITU!A:S,19,0)</f>
        <v>92.781961229999993</v>
      </c>
      <c r="T8" s="62">
        <f t="shared" si="6"/>
        <v>3.0400499544547279</v>
      </c>
      <c r="U8" s="62">
        <f t="shared" si="7"/>
        <v>0.71360841233078964</v>
      </c>
      <c r="V8" s="88">
        <v>6</v>
      </c>
      <c r="W8" s="85">
        <f t="array" ref="W8">MMULT('Data_Matrix (2018)'!B$128:AA$128,TRANSPOSE('Data_Matrix (2018)'!B31:AA31))</f>
        <v>1.3572886707179475</v>
      </c>
      <c r="X8" s="63">
        <v>87.750132130962655</v>
      </c>
      <c r="Y8" s="60" t="e">
        <f>VLOOKUP(B8,[1]ESTIMATES!$C:$BX,74,0)</f>
        <v>#N/A</v>
      </c>
      <c r="Z8" s="60">
        <v>20820</v>
      </c>
      <c r="AA8" s="62">
        <f t="shared" si="8"/>
        <v>3.2323541806228184</v>
      </c>
      <c r="AB8" s="62">
        <f t="shared" si="9"/>
        <v>0.6857664774359622</v>
      </c>
      <c r="AC8" s="88">
        <v>6</v>
      </c>
      <c r="AD8" s="70" t="s">
        <v>1344</v>
      </c>
      <c r="AF8" s="62">
        <f t="shared" si="10"/>
        <v>2.7322735415268733</v>
      </c>
      <c r="AG8" s="62">
        <f t="shared" si="11"/>
        <v>0.65668120507050765</v>
      </c>
      <c r="AH8" s="62">
        <f t="shared" si="12"/>
        <v>7</v>
      </c>
      <c r="AI8" s="71">
        <v>0.88200000000000001</v>
      </c>
      <c r="AJ8" s="70">
        <v>-0.5</v>
      </c>
    </row>
    <row r="9" spans="1:36" x14ac:dyDescent="0.2">
      <c r="A9" s="89">
        <v>60</v>
      </c>
      <c r="B9" s="82" t="s">
        <v>122</v>
      </c>
      <c r="C9" s="85">
        <f t="array" ref="C9">MMULT('Data_Matrix (2014)'!B$126:AA$126,TRANSPOSE('Data_Matrix (2014)'!B39:AA39))</f>
        <v>0.38858587001993039</v>
      </c>
      <c r="D9" s="62">
        <f>VLOOKUP(B9,Data_ITU!A:S,16,0)</f>
        <v>79.98</v>
      </c>
      <c r="E9" s="62">
        <f t="shared" si="0"/>
        <v>1.6958882995390914</v>
      </c>
      <c r="F9" s="62">
        <f t="shared" si="1"/>
        <v>0.40992236001124976</v>
      </c>
      <c r="G9" s="88">
        <v>16</v>
      </c>
      <c r="H9" s="85">
        <f t="array" ref="H9">MMULT('Data_Matrix (2015)'!B$126:AA$126,TRANSPOSE('Data_Matrix (2015)'!B39:AA39))</f>
        <v>2.342387036995186</v>
      </c>
      <c r="I9" s="63">
        <f>VLOOKUP(B9,Data_ITU!A:S,17,0)</f>
        <v>77.634699999999995</v>
      </c>
      <c r="J9" s="63">
        <f t="shared" si="2"/>
        <v>2.4463936254651282</v>
      </c>
      <c r="K9" s="62">
        <f t="shared" si="3"/>
        <v>0.7096305068454607</v>
      </c>
      <c r="L9" s="87">
        <v>8</v>
      </c>
      <c r="M9" s="93">
        <f t="array" ref="M9">MMULT('Data_Matrix (2016)'!B$126:AA$126,TRANSPOSE('Data_Matrix (2016)'!B39:AA39))</f>
        <v>1.2061416421619016</v>
      </c>
      <c r="N9" s="62">
        <f>VLOOKUP(B9,Data_ITU!A:S,18,0)</f>
        <v>80.47585728</v>
      </c>
      <c r="O9" s="62">
        <f t="shared" si="4"/>
        <v>2.9245447147624022</v>
      </c>
      <c r="P9" s="62">
        <f t="shared" si="5"/>
        <v>0.70657681101777692</v>
      </c>
      <c r="Q9" s="88">
        <v>5</v>
      </c>
      <c r="R9" s="85">
        <f t="array" ref="R9">MMULT('Data_Matrix (2017)'!B$126:AA$126,TRANSPOSE('Data_Matrix (2017)'!B39:AA39))</f>
        <v>1.3802457799904968</v>
      </c>
      <c r="S9" s="62">
        <f>VLOOKUP(B9,Data_ITU!A:S,19,0)</f>
        <v>81.625667519999993</v>
      </c>
      <c r="T9" s="62">
        <f t="shared" si="6"/>
        <v>2.1809585891301073</v>
      </c>
      <c r="U9" s="62">
        <f t="shared" si="7"/>
        <v>0.51194895461100609</v>
      </c>
      <c r="V9" s="88">
        <v>13</v>
      </c>
      <c r="W9" s="85">
        <f t="array" ref="W9">MMULT('Data_Matrix (2018)'!B$128:AA$128,TRANSPOSE('Data_Matrix (2018)'!B40:AA40))</f>
        <v>1.9020319888848782</v>
      </c>
      <c r="X9" s="63">
        <v>80.660335563768001</v>
      </c>
      <c r="Y9" s="60">
        <f>VLOOKUP(B9,[1]ESTIMATES!$C:$BX,74,0)</f>
        <v>5453.0140000000001</v>
      </c>
      <c r="Z9" s="60"/>
      <c r="AA9" s="62">
        <f t="shared" si="8"/>
        <v>3.4105870052960823</v>
      </c>
      <c r="AB9" s="62">
        <f t="shared" si="9"/>
        <v>0.72357981394232695</v>
      </c>
      <c r="AC9" s="88">
        <v>5</v>
      </c>
      <c r="AF9" s="62">
        <f t="shared" si="10"/>
        <v>2.5316744468385624</v>
      </c>
      <c r="AG9" s="62">
        <f t="shared" si="11"/>
        <v>0.61233168928556414</v>
      </c>
      <c r="AH9" s="62">
        <f t="shared" si="12"/>
        <v>9.4</v>
      </c>
      <c r="AI9" s="71">
        <f>VLOOKUP(B9,'[2]Table 1'!$B:$P,2,0)</f>
        <v>0.85520023672264023</v>
      </c>
      <c r="AJ9" s="70">
        <v>-1.7</v>
      </c>
    </row>
    <row r="10" spans="1:36" x14ac:dyDescent="0.2">
      <c r="A10" s="89">
        <v>54</v>
      </c>
      <c r="B10" s="82" t="s">
        <v>162</v>
      </c>
      <c r="C10" s="85">
        <f t="array" ref="C10">MMULT('Data_Matrix (2014)'!B$126:AA$126,TRANSPOSE('Data_Matrix (2014)'!B59:AA59))</f>
        <v>-0.21986705718062505</v>
      </c>
      <c r="D10" s="62">
        <f>VLOOKUP(B10,Data_ITU!A:S,16,0)</f>
        <v>91.61</v>
      </c>
      <c r="E10" s="62">
        <f t="shared" si="0"/>
        <v>1.3850859848291324</v>
      </c>
      <c r="F10" s="62">
        <f t="shared" si="1"/>
        <v>0.33479664661521319</v>
      </c>
      <c r="G10" s="88">
        <v>28</v>
      </c>
      <c r="H10" s="85">
        <f t="array" ref="H10">MMULT('Data_Matrix (2015)'!B$126:AA$126,TRANSPOSE('Data_Matrix (2015)'!B59:AA59))</f>
        <v>1.7152742627936344</v>
      </c>
      <c r="I10" s="63">
        <f>VLOOKUP(B10,Data_ITU!A:S,17,0)</f>
        <v>92.000299999999996</v>
      </c>
      <c r="J10" s="63">
        <f t="shared" si="2"/>
        <v>2.3221310352167572</v>
      </c>
      <c r="K10" s="62">
        <f t="shared" si="3"/>
        <v>0.67358539784011173</v>
      </c>
      <c r="L10" s="87">
        <v>9</v>
      </c>
      <c r="M10" s="93">
        <f t="array" ref="M10">MMULT('Data_Matrix (2016)'!B$126:AA$126,TRANSPOSE('Data_Matrix (2016)'!B59:AA59))</f>
        <v>4.4469829068726041E-2</v>
      </c>
      <c r="N10" s="62">
        <f>VLOOKUP(B10,Data_ITU!A:S,18,0)</f>
        <v>94.775800630000006</v>
      </c>
      <c r="O10" s="62">
        <f t="shared" si="4"/>
        <v>2.343230145427011</v>
      </c>
      <c r="P10" s="62">
        <f t="shared" si="5"/>
        <v>0.56612985784730951</v>
      </c>
      <c r="Q10" s="88">
        <v>8</v>
      </c>
      <c r="R10" s="85">
        <f t="array" ref="R10">MMULT('Data_Matrix (2017)'!B$126:AA$126,TRANSPOSE('Data_Matrix (2017)'!B59:AA59))</f>
        <v>1.6358921640035802</v>
      </c>
      <c r="S10" s="62">
        <f>VLOOKUP(B10,Data_ITU!A:S,19,0)</f>
        <v>94.62</v>
      </c>
      <c r="T10" s="62">
        <f t="shared" si="6"/>
        <v>2.7700471458857869</v>
      </c>
      <c r="U10" s="62">
        <f t="shared" si="7"/>
        <v>0.65022910000554357</v>
      </c>
      <c r="V10" s="88">
        <v>7</v>
      </c>
      <c r="W10" s="85">
        <f t="array" ref="W10">MMULT('Data_Matrix (2018)'!B$128:AA$128,TRANSPOSE('Data_Matrix (2018)'!B60:AA60))</f>
        <v>0.92608063586078393</v>
      </c>
      <c r="X10" s="63">
        <v>94.896741760595404</v>
      </c>
      <c r="Y10" s="60">
        <f>VLOOKUP(B10,[1]ESTIMATES!$C:$BX,74,0)</f>
        <v>67141.683999999994</v>
      </c>
      <c r="Z10" s="60"/>
      <c r="AA10" s="62">
        <f t="shared" si="8"/>
        <v>3.0864035287513589</v>
      </c>
      <c r="AB10" s="62">
        <f t="shared" si="9"/>
        <v>0.65480202898121764</v>
      </c>
      <c r="AC10" s="88">
        <v>7</v>
      </c>
      <c r="AF10" s="62">
        <f t="shared" si="10"/>
        <v>2.3813795680220089</v>
      </c>
      <c r="AG10" s="62">
        <f t="shared" si="11"/>
        <v>0.5759086062578791</v>
      </c>
      <c r="AH10" s="62">
        <f t="shared" si="12"/>
        <v>11.8</v>
      </c>
      <c r="AI10" s="71">
        <f>VLOOKUP(B10,'[2]Table 1'!$B:$P,2,0)</f>
        <v>0.92154892233940866</v>
      </c>
      <c r="AJ10" s="70">
        <v>-4.4000000000000004</v>
      </c>
    </row>
    <row r="11" spans="1:36" x14ac:dyDescent="0.2">
      <c r="A11" s="89">
        <v>16</v>
      </c>
      <c r="B11" s="82" t="s">
        <v>120</v>
      </c>
      <c r="C11" s="85">
        <f t="array" ref="C11">MMULT('Data_Matrix (2014)'!B$126:AA$126,TRANSPOSE('Data_Matrix (2014)'!B36:AA36))</f>
        <v>0.43098559299115091</v>
      </c>
      <c r="D11" s="62">
        <f>VLOOKUP(B11,Data_ITU!A:S,16,0)</f>
        <v>85</v>
      </c>
      <c r="E11" s="62">
        <f t="shared" si="0"/>
        <v>1.8383716657611311</v>
      </c>
      <c r="F11" s="62">
        <f t="shared" si="1"/>
        <v>0.44436278734361567</v>
      </c>
      <c r="G11" s="88">
        <v>14</v>
      </c>
      <c r="H11" s="85">
        <f t="array" ref="H11">MMULT('Data_Matrix (2015)'!B$126:AA$126,TRANSPOSE('Data_Matrix (2015)'!B36:AA36))</f>
        <v>1.7103527795387687</v>
      </c>
      <c r="I11" s="63">
        <f>VLOOKUP(B11,Data_ITU!A:S,17,0)</f>
        <v>85.052899999999994</v>
      </c>
      <c r="J11" s="63">
        <f t="shared" si="2"/>
        <v>2.1425895128619201</v>
      </c>
      <c r="K11" s="62">
        <f t="shared" si="3"/>
        <v>0.6215054135799154</v>
      </c>
      <c r="L11" s="87">
        <v>10</v>
      </c>
      <c r="M11" s="93">
        <f t="array" ref="M11">MMULT('Data_Matrix (2016)'!B$126:AA$126,TRANSPOSE('Data_Matrix (2016)'!B36:AA36))</f>
        <v>0.25362019630994093</v>
      </c>
      <c r="N11" s="62">
        <f>VLOOKUP(B11,Data_ITU!A:S,18,0)</f>
        <v>86.516476659999995</v>
      </c>
      <c r="O11" s="62">
        <f t="shared" si="4"/>
        <v>2.3199767364294921</v>
      </c>
      <c r="P11" s="62">
        <f t="shared" si="5"/>
        <v>0.5605117801028241</v>
      </c>
      <c r="Q11" s="88">
        <v>9</v>
      </c>
      <c r="R11" s="85">
        <f t="array" ref="R11">MMULT('Data_Matrix (2017)'!B$126:AA$126,TRANSPOSE('Data_Matrix (2017)'!B36:AA36))</f>
        <v>1.6619316642074091</v>
      </c>
      <c r="S11" s="62">
        <f>VLOOKUP(B11,Data_ITU!A:S,19,0)</f>
        <v>87.679680820000002</v>
      </c>
      <c r="T11" s="62">
        <f t="shared" si="6"/>
        <v>2.5896972311099087</v>
      </c>
      <c r="U11" s="62">
        <f t="shared" si="7"/>
        <v>0.60789452712833847</v>
      </c>
      <c r="V11" s="88">
        <v>9</v>
      </c>
      <c r="W11" s="85">
        <f t="array" ref="W11">MMULT('Data_Matrix (2018)'!B$128:AA$128,TRANSPOSE('Data_Matrix (2018)'!B37:AA37))</f>
        <v>0.25223633602142975</v>
      </c>
      <c r="X11" s="63">
        <v>88.655064275331597</v>
      </c>
      <c r="Y11" s="60">
        <f>VLOOKUP(B11,[1]ESTIMATES!$C:$BX,74,0)</f>
        <v>11482.178</v>
      </c>
      <c r="Z11" s="60"/>
      <c r="AA11" s="62">
        <f t="shared" si="8"/>
        <v>2.2860033035979783</v>
      </c>
      <c r="AB11" s="62">
        <f t="shared" si="9"/>
        <v>0.48499154031854774</v>
      </c>
      <c r="AC11" s="88">
        <v>20</v>
      </c>
      <c r="AF11" s="62">
        <f t="shared" si="10"/>
        <v>2.235327689952086</v>
      </c>
      <c r="AG11" s="62">
        <f t="shared" si="11"/>
        <v>0.54385320969464823</v>
      </c>
      <c r="AH11" s="62">
        <f t="shared" si="12"/>
        <v>12.4</v>
      </c>
      <c r="AI11" s="71">
        <f>VLOOKUP(B11,'[2]Table 1'!$B:$P,2,0)</f>
        <v>0.91606603684458232</v>
      </c>
      <c r="AJ11" s="70">
        <v>1.1000000000000001</v>
      </c>
    </row>
    <row r="12" spans="1:36" x14ac:dyDescent="0.2">
      <c r="A12" s="89">
        <v>25</v>
      </c>
      <c r="B12" s="82" t="s">
        <v>99</v>
      </c>
      <c r="C12" s="85">
        <f t="array" ref="C12">MMULT('Data_Matrix (2014)'!B$126:AA$126,TRANSPOSE('Data_Matrix (2014)'!B33:AA33))</f>
        <v>0.71844734762911455</v>
      </c>
      <c r="D12" s="62">
        <f>VLOOKUP(B12,Data_ITU!A:S,16,0)</f>
        <v>73</v>
      </c>
      <c r="E12" s="62">
        <f t="shared" si="0"/>
        <v>1.7886839232452729</v>
      </c>
      <c r="F12" s="62">
        <f t="shared" si="1"/>
        <v>0.43235249357528932</v>
      </c>
      <c r="G12" s="88">
        <v>15</v>
      </c>
      <c r="H12" s="85">
        <f t="array" ref="H12">MMULT('Data_Matrix (2015)'!B$126:AA$126,TRANSPOSE('Data_Matrix (2015)'!B33:AA33))</f>
        <v>1.338993944617713</v>
      </c>
      <c r="I12" s="63">
        <f>VLOOKUP(B12,Data_ITU!A:S,17,0)</f>
        <v>74.554202446276093</v>
      </c>
      <c r="J12" s="63">
        <f t="shared" si="2"/>
        <v>1.6012505008144962</v>
      </c>
      <c r="K12" s="62">
        <f t="shared" si="3"/>
        <v>0.46447807607555258</v>
      </c>
      <c r="L12" s="87">
        <v>12</v>
      </c>
      <c r="M12" s="93">
        <f t="array" ref="M12">MMULT('Data_Matrix (2016)'!B$126:AA$126,TRANSPOSE('Data_Matrix (2016)'!B33:AA33))</f>
        <v>0.24861546171866233</v>
      </c>
      <c r="N12" s="62">
        <f>VLOOKUP(B12,Data_ITU!A:S,18,0)</f>
        <v>85.544421288722205</v>
      </c>
      <c r="O12" s="62">
        <f t="shared" si="4"/>
        <v>2.2896293800318586</v>
      </c>
      <c r="P12" s="62">
        <f t="shared" si="5"/>
        <v>0.55317978815275337</v>
      </c>
      <c r="Q12" s="88">
        <v>10</v>
      </c>
      <c r="R12" s="85">
        <f t="array" ref="R12">MMULT('Data_Matrix (2017)'!B$126:AA$126,TRANSPOSE('Data_Matrix (2017)'!B33:AA33))</f>
        <v>1.2594369601548654</v>
      </c>
      <c r="S12" s="62">
        <f>VLOOKUP(B12,Data_ITU!A:S,19,0)</f>
        <v>87.266112824591502</v>
      </c>
      <c r="T12" s="62">
        <f t="shared" si="6"/>
        <v>2.226240650572552</v>
      </c>
      <c r="U12" s="62">
        <f t="shared" si="7"/>
        <v>0.5225782733581068</v>
      </c>
      <c r="V12" s="88">
        <v>12</v>
      </c>
      <c r="W12" s="85">
        <f t="array" ref="W12">MMULT('Data_Matrix (2018)'!B$128:AA$128,TRANSPOSE('Data_Matrix (2018)'!B34:AA34))</f>
        <v>0.12315245334082203</v>
      </c>
      <c r="X12" s="63">
        <v>95</v>
      </c>
      <c r="Y12" s="60" t="e">
        <f>VLOOKUP(B12,[1]ESTIMATES!$C:$BX,74,0)</f>
        <v>#N/A</v>
      </c>
      <c r="Z12" s="60"/>
      <c r="AA12" s="62">
        <f t="shared" si="8"/>
        <v>2.326980106640677</v>
      </c>
      <c r="AB12" s="62">
        <f t="shared" si="9"/>
        <v>0.4936850548002325</v>
      </c>
      <c r="AC12" s="88">
        <v>17</v>
      </c>
      <c r="AF12" s="62">
        <f t="shared" si="10"/>
        <v>2.046556912260971</v>
      </c>
      <c r="AG12" s="62">
        <f t="shared" si="11"/>
        <v>0.49325473719238688</v>
      </c>
      <c r="AH12" s="62">
        <f t="shared" si="12"/>
        <v>13.2</v>
      </c>
      <c r="AI12" s="71">
        <f>VLOOKUP(B12,'[2]Table 1'!$B:$P,2,0)</f>
        <v>0.9239135887246156</v>
      </c>
      <c r="AJ12" s="70">
        <v>0.4</v>
      </c>
    </row>
    <row r="13" spans="1:36" x14ac:dyDescent="0.2">
      <c r="A13" s="89">
        <v>12</v>
      </c>
      <c r="B13" s="82" t="s">
        <v>142</v>
      </c>
      <c r="C13" s="85">
        <f t="array" ref="C13">MMULT('Data_Matrix (2014)'!B$126:AA$126,TRANSPOSE('Data_Matrix (2014)'!B49:AA49))</f>
        <v>0.47143025433382857</v>
      </c>
      <c r="D13" s="62">
        <f>VLOOKUP(B13,Data_ITU!A:S,16,0)</f>
        <v>83.75</v>
      </c>
      <c r="E13" s="62">
        <f t="shared" si="0"/>
        <v>1.8452091921979596</v>
      </c>
      <c r="F13" s="62">
        <f t="shared" si="1"/>
        <v>0.44601552294795105</v>
      </c>
      <c r="G13" s="88">
        <v>13</v>
      </c>
      <c r="H13" s="85">
        <f t="array" ref="H13">MMULT('Data_Matrix (2015)'!B$126:AA$126,TRANSPOSE('Data_Matrix (2015)'!B49:AA49))</f>
        <v>2.526657056881584</v>
      </c>
      <c r="I13" s="63">
        <f>VLOOKUP(B13,Data_ITU!A:S,17,0)</f>
        <v>78.010000000000005</v>
      </c>
      <c r="J13" s="63">
        <f t="shared" si="2"/>
        <v>2.6019689715210865</v>
      </c>
      <c r="K13" s="62">
        <f t="shared" si="3"/>
        <v>0.75475857230686305</v>
      </c>
      <c r="L13" s="87">
        <v>6</v>
      </c>
      <c r="M13" s="93">
        <f t="array" ref="M13">MMULT('Data_Matrix (2016)'!B$126:AA$126,TRANSPOSE('Data_Matrix (2016)'!B49:AA49))</f>
        <v>-0.31489395813044774</v>
      </c>
      <c r="N13" s="62">
        <f>VLOOKUP(B13,Data_ITU!A:S,18,0)</f>
        <v>79.269811320000002</v>
      </c>
      <c r="O13" s="62">
        <f t="shared" si="4"/>
        <v>1.6749941739024876</v>
      </c>
      <c r="P13" s="62">
        <f t="shared" si="5"/>
        <v>0.40468249156707697</v>
      </c>
      <c r="Q13" s="88">
        <v>17</v>
      </c>
      <c r="R13" s="85">
        <f t="array" ref="R13">MMULT('Data_Matrix (2017)'!B$126:AA$126,TRANSPOSE('Data_Matrix (2017)'!B49:AA49))</f>
        <v>1.3182995242686848</v>
      </c>
      <c r="S13" s="62">
        <f>VLOOKUP(B13,Data_ITU!A:S,19,0)</f>
        <v>80.502459720000004</v>
      </c>
      <c r="T13" s="62">
        <f t="shared" si="6"/>
        <v>2.101079307629877</v>
      </c>
      <c r="U13" s="62">
        <f t="shared" si="7"/>
        <v>0.49319843139477576</v>
      </c>
      <c r="V13" s="88">
        <v>14</v>
      </c>
      <c r="W13" s="85">
        <f t="array" ref="W13">MMULT('Data_Matrix (2018)'!B$128:AA$128,TRANSPOSE('Data_Matrix (2018)'!B50:AA50))</f>
        <v>0.2885270356637355</v>
      </c>
      <c r="X13" s="63">
        <v>82.043534217447302</v>
      </c>
      <c r="Y13" s="60">
        <f>VLOOKUP(B13,[1]ESTIMATES!$C:$BX,74,0)</f>
        <v>64990.510999999999</v>
      </c>
      <c r="Z13" s="60"/>
      <c r="AA13" s="62">
        <f t="shared" si="8"/>
        <v>2.145296752061308</v>
      </c>
      <c r="AB13" s="62">
        <f t="shared" si="9"/>
        <v>0.45513966431501163</v>
      </c>
      <c r="AC13" s="88">
        <v>24</v>
      </c>
      <c r="AF13" s="62">
        <f t="shared" si="10"/>
        <v>2.0737096794625436</v>
      </c>
      <c r="AG13" s="62">
        <f t="shared" si="11"/>
        <v>0.51075893650633564</v>
      </c>
      <c r="AH13" s="62">
        <f t="shared" si="12"/>
        <v>14.8</v>
      </c>
      <c r="AI13" s="71">
        <f>VLOOKUP(B13,'[2]Table 1'!$B:$P,2,0)</f>
        <v>0.90080243991875186</v>
      </c>
      <c r="AJ13" s="70">
        <v>3</v>
      </c>
    </row>
    <row r="14" spans="1:36" x14ac:dyDescent="0.2">
      <c r="A14" s="89">
        <v>27</v>
      </c>
      <c r="B14" s="82" t="s">
        <v>79</v>
      </c>
      <c r="C14" s="85">
        <f t="array" ref="C14">MMULT('Data_Matrix (2014)'!B$126:AA$126,TRANSPOSE('Data_Matrix (2014)'!B18:AA18))</f>
        <v>-0.24539002998870146</v>
      </c>
      <c r="D14" s="62">
        <f>VLOOKUP(B14,Data_ITU!A:S,16,0)</f>
        <v>92.52</v>
      </c>
      <c r="E14" s="62">
        <f t="shared" si="0"/>
        <v>1.375230762045156</v>
      </c>
      <c r="F14" s="62">
        <f t="shared" si="1"/>
        <v>0.33241448725770001</v>
      </c>
      <c r="G14" s="88">
        <v>29</v>
      </c>
      <c r="H14" s="85">
        <f t="array" ref="H14">MMULT('Data_Matrix (2015)'!B$126:AA$126,TRANSPOSE('Data_Matrix (2015)'!B18:AA18))</f>
        <v>1.9508969206937938</v>
      </c>
      <c r="I14" s="63">
        <f>VLOOKUP(B14,Data_ITU!A:S,17,0)</f>
        <v>90.610200000000006</v>
      </c>
      <c r="J14" s="63">
        <f t="shared" si="2"/>
        <v>2.5005424160677929</v>
      </c>
      <c r="K14" s="62">
        <f t="shared" si="3"/>
        <v>0.72533755959464041</v>
      </c>
      <c r="L14" s="87">
        <v>7</v>
      </c>
      <c r="M14" s="93">
        <f t="array" ref="M14">MMULT('Data_Matrix (2016)'!B$126:AA$126,TRANSPOSE('Data_Matrix (2016)'!B18:AA18))</f>
        <v>6.7025536599982782E-2</v>
      </c>
      <c r="N14" s="62">
        <f>VLOOKUP(B14,Data_ITU!A:S,18,0)</f>
        <v>89.650947610000003</v>
      </c>
      <c r="O14" s="62">
        <f t="shared" si="4"/>
        <v>2.2367450498629275</v>
      </c>
      <c r="P14" s="62">
        <f t="shared" si="5"/>
        <v>0.54040281087661346</v>
      </c>
      <c r="Q14" s="88">
        <v>11</v>
      </c>
      <c r="R14" s="85">
        <f t="array" ref="R14">MMULT('Data_Matrix (2017)'!B$126:AA$126,TRANSPOSE('Data_Matrix (2017)'!B18:AA18))</f>
        <v>1.2397660514431954</v>
      </c>
      <c r="S14" s="62">
        <f>VLOOKUP(B14,Data_ITU!A:S,19,0)</f>
        <v>95.510067449999994</v>
      </c>
      <c r="T14" s="62">
        <f t="shared" si="6"/>
        <v>2.4177639919776133</v>
      </c>
      <c r="U14" s="62">
        <f t="shared" si="7"/>
        <v>0.56753564893809705</v>
      </c>
      <c r="V14" s="88">
        <v>10</v>
      </c>
      <c r="W14" s="85">
        <f t="array" ref="W14">MMULT('Data_Matrix (2018)'!B$128:AA$128,TRANSPOSE('Data_Matrix (2018)'!B19:AA19))</f>
        <v>5.7930034515008E-3</v>
      </c>
      <c r="X14" s="63">
        <v>92.141677053550794</v>
      </c>
      <c r="Y14" s="60">
        <f>VLOOKUP(B14,[1]ESTIMATES!$C:$BX,74,0)</f>
        <v>9971.6380000000008</v>
      </c>
      <c r="Z14" s="60"/>
      <c r="AA14" s="62">
        <f t="shared" si="8"/>
        <v>2.1488298714924472</v>
      </c>
      <c r="AB14" s="62">
        <f t="shared" si="9"/>
        <v>0.45588924023747007</v>
      </c>
      <c r="AC14" s="88">
        <v>23</v>
      </c>
      <c r="AF14" s="62">
        <f t="shared" si="10"/>
        <v>2.1358224182891874</v>
      </c>
      <c r="AG14" s="62">
        <f t="shared" si="11"/>
        <v>0.5243159493809042</v>
      </c>
      <c r="AH14" s="62">
        <f t="shared" si="12"/>
        <v>16</v>
      </c>
      <c r="AI14" s="71">
        <f>VLOOKUP(B14,'[2]Table 1'!$B:$P,2,0)</f>
        <v>0.9328045492693906</v>
      </c>
      <c r="AJ14" s="70">
        <v>-0.9</v>
      </c>
    </row>
    <row r="15" spans="1:36" x14ac:dyDescent="0.2">
      <c r="A15" s="89">
        <v>36</v>
      </c>
      <c r="B15" s="82" t="s">
        <v>150</v>
      </c>
      <c r="C15" s="85">
        <f t="array" ref="C15">MMULT('Data_Matrix (2014)'!B$126:AA$126,TRANSPOSE('Data_Matrix (2014)'!B53:AA53))</f>
        <v>0.87596086009596896</v>
      </c>
      <c r="D15" s="62">
        <f>VLOOKUP(B15,Data_ITU!A:S,16,0)</f>
        <v>63.665425881322498</v>
      </c>
      <c r="E15" s="62">
        <f t="shared" si="0"/>
        <v>1.6602449874434071</v>
      </c>
      <c r="F15" s="62">
        <f t="shared" si="1"/>
        <v>0.40130682170200416</v>
      </c>
      <c r="G15" s="88">
        <v>17</v>
      </c>
      <c r="H15" s="85">
        <f t="array" ref="H15">MMULT('Data_Matrix (2015)'!B$126:AA$126,TRANSPOSE('Data_Matrix (2015)'!B53:AA53))</f>
        <v>1.1157288896356254</v>
      </c>
      <c r="I15" s="63">
        <f>VLOOKUP(B15,Data_ITU!A:S,17,0)</f>
        <v>71.064067811195699</v>
      </c>
      <c r="J15" s="63">
        <f t="shared" si="2"/>
        <v>1.3676293134376336</v>
      </c>
      <c r="K15" s="62">
        <f t="shared" si="3"/>
        <v>0.39671109046768216</v>
      </c>
      <c r="L15" s="87">
        <v>21</v>
      </c>
      <c r="M15" s="93">
        <f t="array" ref="M15">MMULT('Data_Matrix (2016)'!B$126:AA$126,TRANSPOSE('Data_Matrix (2016)'!B53:AA53))</f>
        <v>-0.44395307188339822</v>
      </c>
      <c r="N15" s="62">
        <f>VLOOKUP(B15,Data_ITU!A:S,18,0)</f>
        <v>78.788309929999997</v>
      </c>
      <c r="O15" s="62">
        <f t="shared" si="4"/>
        <v>1.5631364149196276</v>
      </c>
      <c r="P15" s="62">
        <f t="shared" si="5"/>
        <v>0.37765739660759529</v>
      </c>
      <c r="Q15" s="88">
        <v>20</v>
      </c>
      <c r="R15" s="85">
        <f t="array" ref="R15">MMULT('Data_Matrix (2017)'!B$126:AA$126,TRANSPOSE('Data_Matrix (2017)'!B53:AA53))</f>
        <v>1.1747429606666087</v>
      </c>
      <c r="S15" s="62">
        <f>VLOOKUP(B15,Data_ITU!A:S,19,0)</f>
        <v>80.140479010000007</v>
      </c>
      <c r="T15" s="62">
        <f t="shared" si="6"/>
        <v>1.9765848502661454</v>
      </c>
      <c r="U15" s="62">
        <f t="shared" si="7"/>
        <v>0.4639751313193497</v>
      </c>
      <c r="V15" s="88">
        <v>16</v>
      </c>
      <c r="W15" s="85">
        <f t="array" ref="W15">MMULT('Data_Matrix (2018)'!B$128:AA$128,TRANSPOSE('Data_Matrix (2018)'!B54:AA54))</f>
        <v>1.2598563441581367</v>
      </c>
      <c r="X15" s="63">
        <v>81.201706651971804</v>
      </c>
      <c r="Y15" s="60">
        <f>VLOOKUP(B15,[1]ESTIMATES!$C:$BX,74,0)</f>
        <v>31528.032999999999</v>
      </c>
      <c r="Z15" s="60"/>
      <c r="AA15" s="62">
        <f t="shared" si="8"/>
        <v>2.9120203905483977</v>
      </c>
      <c r="AB15" s="62">
        <f t="shared" si="9"/>
        <v>0.61780543030197543</v>
      </c>
      <c r="AC15" s="88">
        <v>8</v>
      </c>
      <c r="AF15" s="62">
        <f t="shared" si="10"/>
        <v>1.8959231913230421</v>
      </c>
      <c r="AG15" s="62">
        <f t="shared" si="11"/>
        <v>0.45149117407972134</v>
      </c>
      <c r="AH15" s="62">
        <f t="shared" si="12"/>
        <v>16.399999999999999</v>
      </c>
      <c r="AI15" s="71">
        <f>VLOOKUP(B15,'[2]Table 1'!$B:$P,2,0)</f>
        <v>0.8018076952157448</v>
      </c>
      <c r="AJ15" s="70">
        <v>-2.2999999999999998</v>
      </c>
    </row>
    <row r="16" spans="1:36" x14ac:dyDescent="0.2">
      <c r="A16" s="89">
        <v>9</v>
      </c>
      <c r="B16" s="82" t="s">
        <v>61</v>
      </c>
      <c r="C16" s="85">
        <f t="array" ref="C16">MMULT('Data_Matrix (2014)'!B$126:AA$126,TRANSPOSE('Data_Matrix (2014)'!B15:AA15))</f>
        <v>0.47298204876606603</v>
      </c>
      <c r="D16" s="62">
        <f>VLOOKUP(B16,Data_ITU!A:S,16,0)</f>
        <v>62.075080463937702</v>
      </c>
      <c r="E16" s="62">
        <f t="shared" si="0"/>
        <v>1.3686230875348144</v>
      </c>
      <c r="F16" s="62">
        <f t="shared" si="1"/>
        <v>0.33081731040931817</v>
      </c>
      <c r="G16" s="88">
        <v>30</v>
      </c>
      <c r="H16" s="85">
        <f t="array" ref="H16">MMULT('Data_Matrix (2015)'!B$126:AA$126,TRANSPOSE('Data_Matrix (2015)'!B15:AA15))</f>
        <v>1.2233629791953184</v>
      </c>
      <c r="I16" s="63">
        <f>VLOOKUP(B16,Data_ITU!A:S,17,0)</f>
        <v>65.317025400380103</v>
      </c>
      <c r="J16" s="63">
        <f t="shared" si="2"/>
        <v>1.3273307604283429</v>
      </c>
      <c r="K16" s="62">
        <f t="shared" si="3"/>
        <v>0.38502160505558514</v>
      </c>
      <c r="L16" s="87">
        <v>22</v>
      </c>
      <c r="M16" s="93">
        <f t="array" ref="M16">MMULT('Data_Matrix (2016)'!B$126:AA$126,TRANSPOSE('Data_Matrix (2016)'!B15:AA15))</f>
        <v>0.5348573204890319</v>
      </c>
      <c r="N16" s="62">
        <f>VLOOKUP(B16,Data_ITU!A:S,18,0)</f>
        <v>67.056841370000001</v>
      </c>
      <c r="O16" s="62">
        <f t="shared" si="4"/>
        <v>1.9867469328764564</v>
      </c>
      <c r="P16" s="62">
        <f t="shared" si="5"/>
        <v>0.48000268385202088</v>
      </c>
      <c r="Q16" s="88">
        <v>14</v>
      </c>
      <c r="R16" s="85">
        <f t="array" ref="R16">MMULT('Data_Matrix (2017)'!B$126:AA$126,TRANSPOSE('Data_Matrix (2017)'!B15:AA15))</f>
        <v>2.5431347738657752</v>
      </c>
      <c r="S16" s="62">
        <f>VLOOKUP(B16,Data_ITU!A:S,19,0)</f>
        <v>70.330835530000002</v>
      </c>
      <c r="T16" s="62">
        <f t="shared" si="6"/>
        <v>2.6970411897241577</v>
      </c>
      <c r="U16" s="62">
        <f t="shared" si="7"/>
        <v>0.63309199198175925</v>
      </c>
      <c r="V16" s="88">
        <v>8</v>
      </c>
      <c r="W16" s="85">
        <f t="array" ref="W16">MMULT('Data_Matrix (2018)'!B$128:AA$128,TRANSPOSE('Data_Matrix (2018)'!B16:AA16))</f>
        <v>1.2635524480578906</v>
      </c>
      <c r="X16" s="63">
        <v>73.360709154564006</v>
      </c>
      <c r="Y16" s="60">
        <f>VLOOKUP(B16,[1]ESTIMATES!$C:$BX,74,0)</f>
        <v>8802.7540000000008</v>
      </c>
      <c r="Z16" s="60"/>
      <c r="AA16" s="62">
        <f t="shared" si="8"/>
        <v>2.6335414266043471</v>
      </c>
      <c r="AB16" s="62">
        <f t="shared" si="9"/>
        <v>0.55872417636985494</v>
      </c>
      <c r="AC16" s="88">
        <v>9</v>
      </c>
      <c r="AF16" s="62">
        <f t="shared" si="10"/>
        <v>2.0026566794336236</v>
      </c>
      <c r="AG16" s="62">
        <f t="shared" si="11"/>
        <v>0.47753155353370769</v>
      </c>
      <c r="AH16" s="62">
        <f t="shared" si="12"/>
        <v>16.600000000000001</v>
      </c>
      <c r="AI16" s="71">
        <f>VLOOKUP(B16,'[2]Table 1'!$B:$P,2,0)</f>
        <v>0.78669303469972784</v>
      </c>
      <c r="AJ16" s="70">
        <v>-5.6</v>
      </c>
    </row>
    <row r="17" spans="1:36" x14ac:dyDescent="0.2">
      <c r="A17" s="89">
        <v>52</v>
      </c>
      <c r="B17" s="82" t="s">
        <v>127</v>
      </c>
      <c r="C17" s="85">
        <f t="array" ref="C17">MMULT('Data_Matrix (2014)'!B$126:AA$126,TRANSPOSE('Data_Matrix (2014)'!B46:AA46))</f>
        <v>-1.2392065506081101E-2</v>
      </c>
      <c r="D17" s="62">
        <f>VLOOKUP(B17,Data_ITU!A:S,16,0)</f>
        <v>91.666666000000006</v>
      </c>
      <c r="E17" s="62">
        <f t="shared" si="0"/>
        <v>1.5761281470101245</v>
      </c>
      <c r="F17" s="62">
        <f t="shared" si="1"/>
        <v>0.38097448391980926</v>
      </c>
      <c r="G17" s="88">
        <v>20</v>
      </c>
      <c r="H17" s="85">
        <f t="array" ref="H17">MMULT('Data_Matrix (2015)'!B$126:AA$126,TRANSPOSE('Data_Matrix (2015)'!B46:AA46))</f>
        <v>0.8866214096632351</v>
      </c>
      <c r="I17" s="63">
        <f>VLOOKUP(B17,Data_ITU!A:S,17,0)</f>
        <v>91.724137931034505</v>
      </c>
      <c r="J17" s="63">
        <f t="shared" si="2"/>
        <v>1.5550858881554976</v>
      </c>
      <c r="K17" s="62">
        <f t="shared" si="3"/>
        <v>0.45108701049292338</v>
      </c>
      <c r="L17" s="87">
        <v>14</v>
      </c>
      <c r="M17" s="93">
        <f t="array" ref="M17">MMULT('Data_Matrix (2016)'!B$126:AA$126,TRANSPOSE('Data_Matrix (2016)'!B46:AA46))</f>
        <v>-0.3433674852399648</v>
      </c>
      <c r="N17" s="62">
        <f>VLOOKUP(B17,Data_ITU!A:S,18,0)</f>
        <v>90.410958899999997</v>
      </c>
      <c r="O17" s="62">
        <f t="shared" si="4"/>
        <v>1.8846666744931557</v>
      </c>
      <c r="P17" s="62">
        <f t="shared" si="5"/>
        <v>0.45533985579804698</v>
      </c>
      <c r="Q17" s="88">
        <v>15</v>
      </c>
      <c r="R17" s="85">
        <f t="array" ref="R17">MMULT('Data_Matrix (2017)'!B$126:AA$126,TRANSPOSE('Data_Matrix (2017)'!B46:AA46))</f>
        <v>0.58527699936189048</v>
      </c>
      <c r="S17" s="62">
        <f>VLOOKUP(B17,Data_ITU!A:S,19,0)</f>
        <v>93.197278909999994</v>
      </c>
      <c r="T17" s="62">
        <f t="shared" si="6"/>
        <v>1.7492515393393453</v>
      </c>
      <c r="U17" s="62">
        <f t="shared" si="7"/>
        <v>0.41061187561275952</v>
      </c>
      <c r="V17" s="88">
        <v>19</v>
      </c>
      <c r="W17" s="85">
        <f t="array" ref="W17">MMULT('Data_Matrix (2018)'!B$128:AA$128,TRANSPOSE('Data_Matrix (2018)'!B47:AA47))</f>
        <v>1.9519380151908905E-3</v>
      </c>
      <c r="X17" s="63">
        <v>94.712073721730306</v>
      </c>
      <c r="Y17" s="60">
        <f>VLOOKUP(B17,[1]ESTIMATES!$C:$BX,74,0)</f>
        <v>17059.560000000001</v>
      </c>
      <c r="Z17" s="60"/>
      <c r="AA17" s="62">
        <f t="shared" si="8"/>
        <v>2.2051359670910573</v>
      </c>
      <c r="AB17" s="62">
        <f t="shared" si="9"/>
        <v>0.46783497102041027</v>
      </c>
      <c r="AC17" s="88">
        <v>21</v>
      </c>
      <c r="AF17" s="62">
        <f t="shared" si="10"/>
        <v>1.7940536432178362</v>
      </c>
      <c r="AG17" s="62">
        <f t="shared" si="11"/>
        <v>0.43316963936878994</v>
      </c>
      <c r="AH17" s="62">
        <f t="shared" si="12"/>
        <v>17.8</v>
      </c>
      <c r="AI17" s="71">
        <f>VLOOKUP(B17,'[2]Table 1'!$B:$P,2,0)</f>
        <v>0.93063859254564973</v>
      </c>
      <c r="AJ17" s="70">
        <v>0.7</v>
      </c>
    </row>
    <row r="18" spans="1:36" x14ac:dyDescent="0.2">
      <c r="A18" s="89">
        <v>48</v>
      </c>
      <c r="B18" s="82" t="s">
        <v>85</v>
      </c>
      <c r="C18" s="85">
        <f t="array" ref="C18">MMULT('Data_Matrix (2014)'!B$126:AA$126,TRANSPOSE('Data_Matrix (2014)'!B23:AA23))</f>
        <v>2.9190449700646048E-2</v>
      </c>
      <c r="D18" s="62">
        <f>VLOOKUP(B18,Data_ITU!A:S,16,0)</f>
        <v>66.599999999999994</v>
      </c>
      <c r="E18" s="62">
        <f t="shared" si="0"/>
        <v>1.172822704447245</v>
      </c>
      <c r="F18" s="62">
        <f t="shared" si="1"/>
        <v>0.28348933771903129</v>
      </c>
      <c r="G18" s="88">
        <v>34</v>
      </c>
      <c r="H18" s="85">
        <f t="array" ref="H18">MMULT('Data_Matrix (2015)'!B$126:AA$126,TRANSPOSE('Data_Matrix (2015)'!B23:AA23))</f>
        <v>1.4624321157406655</v>
      </c>
      <c r="I18" s="63">
        <f>VLOOKUP(B18,Data_ITU!A:S,17,0)</f>
        <v>67.997</v>
      </c>
      <c r="J18" s="63">
        <f t="shared" si="2"/>
        <v>1.5443513287326625</v>
      </c>
      <c r="K18" s="62">
        <f t="shared" si="3"/>
        <v>0.44797321442809718</v>
      </c>
      <c r="L18" s="87">
        <v>15</v>
      </c>
      <c r="M18" s="93">
        <f t="array" ref="M18">MMULT('Data_Matrix (2016)'!B$126:AA$126,TRANSPOSE('Data_Matrix (2016)'!B23:AA23))</f>
        <v>-6.775842052942993E-2</v>
      </c>
      <c r="N18" s="62">
        <f>VLOOKUP(B18,Data_ITU!A:S,18,0)</f>
        <v>73.300704100000004</v>
      </c>
      <c r="O18" s="62">
        <f t="shared" si="4"/>
        <v>1.7300172909889175</v>
      </c>
      <c r="P18" s="62">
        <f t="shared" si="5"/>
        <v>0.41797620474128161</v>
      </c>
      <c r="Q18" s="88">
        <v>16</v>
      </c>
      <c r="R18" s="85">
        <f t="array" ref="R18">MMULT('Data_Matrix (2017)'!B$126:AA$126,TRANSPOSE('Data_Matrix (2017)'!B23:AA23))</f>
        <v>1.7609387353710146</v>
      </c>
      <c r="S18" s="62">
        <f>VLOOKUP(B18,Data_ITU!A:S,19,0)</f>
        <v>75.985365950000002</v>
      </c>
      <c r="T18" s="62">
        <f t="shared" si="6"/>
        <v>2.31952614240834</v>
      </c>
      <c r="U18" s="62">
        <f t="shared" si="7"/>
        <v>0.54447571343960499</v>
      </c>
      <c r="V18" s="88">
        <v>11</v>
      </c>
      <c r="W18" s="85">
        <f t="array" ref="W18">MMULT('Data_Matrix (2018)'!B$128:AA$128,TRANSPOSE('Data_Matrix (2018)'!B24:AA24))</f>
        <v>0.49478850366144106</v>
      </c>
      <c r="X18" s="63">
        <v>77.5417345350006</v>
      </c>
      <c r="Y18" s="60">
        <f>VLOOKUP(B18,[1]ESTIMATES!$C:$BX,74,0)</f>
        <v>37921.591999999997</v>
      </c>
      <c r="Z18" s="60"/>
      <c r="AA18" s="62">
        <f t="shared" si="8"/>
        <v>2.1875211837586996</v>
      </c>
      <c r="AB18" s="62">
        <f t="shared" si="9"/>
        <v>0.4640978719150452</v>
      </c>
      <c r="AC18" s="88">
        <v>22</v>
      </c>
      <c r="AF18" s="62">
        <f t="shared" si="10"/>
        <v>1.790847730067173</v>
      </c>
      <c r="AG18" s="62">
        <f t="shared" si="11"/>
        <v>0.43160246844861205</v>
      </c>
      <c r="AH18" s="62">
        <f t="shared" si="12"/>
        <v>19.600000000000001</v>
      </c>
      <c r="AI18" s="71">
        <f>VLOOKUP(B18,'[2]Table 1'!$B:$P,2,0)</f>
        <v>0.8650750409424125</v>
      </c>
      <c r="AJ18" s="70">
        <v>-2.8</v>
      </c>
    </row>
    <row r="19" spans="1:36" x14ac:dyDescent="0.2">
      <c r="A19" s="89">
        <v>34</v>
      </c>
      <c r="B19" s="82" t="s">
        <v>154</v>
      </c>
      <c r="C19" s="85">
        <f t="array" ref="C19">MMULT('Data_Matrix (2014)'!B$126:AA$126,TRANSPOSE('Data_Matrix (2014)'!B51:AA51))</f>
        <v>0.64148250248020433</v>
      </c>
      <c r="D19" s="62">
        <f>VLOOKUP(B19,Data_ITU!A:S,16,0)</f>
        <v>63.21</v>
      </c>
      <c r="E19" s="62">
        <f t="shared" si="0"/>
        <v>1.500154778755808</v>
      </c>
      <c r="F19" s="62">
        <f t="shared" si="1"/>
        <v>0.36261054897121786</v>
      </c>
      <c r="G19" s="88">
        <v>23</v>
      </c>
      <c r="H19" s="85">
        <f t="array" ref="H19">MMULT('Data_Matrix (2015)'!B$126:AA$126,TRANSPOSE('Data_Matrix (2015)'!B51:AA51))</f>
        <v>1.0295863106160152</v>
      </c>
      <c r="I19" s="63">
        <f>VLOOKUP(B19,Data_ITU!A:S,17,0)</f>
        <v>66.834999999999994</v>
      </c>
      <c r="J19" s="63">
        <f t="shared" si="2"/>
        <v>1.2286674316688231</v>
      </c>
      <c r="K19" s="62">
        <f t="shared" si="3"/>
        <v>0.35640212727985859</v>
      </c>
      <c r="L19" s="87">
        <v>23</v>
      </c>
      <c r="M19" s="93">
        <f t="array" ref="M19">MMULT('Data_Matrix (2016)'!B$126:AA$126,TRANSPOSE('Data_Matrix (2016)'!B51:AA51))</f>
        <v>-0.13582645824894574</v>
      </c>
      <c r="N19" s="62">
        <f>VLOOKUP(B19,Data_ITU!A:S,18,0)</f>
        <v>69.087915469999999</v>
      </c>
      <c r="O19" s="62">
        <f t="shared" si="4"/>
        <v>1.5835617554866435</v>
      </c>
      <c r="P19" s="62">
        <f t="shared" si="5"/>
        <v>0.38259220643592323</v>
      </c>
      <c r="Q19" s="88">
        <v>19</v>
      </c>
      <c r="R19" s="85">
        <f t="array" ref="R19">MMULT('Data_Matrix (2017)'!B$126:AA$126,TRANSPOSE('Data_Matrix (2017)'!B51:AA51))</f>
        <v>0.64461119953810497</v>
      </c>
      <c r="S19" s="62">
        <f>VLOOKUP(B19,Data_ITU!A:S,19,0)</f>
        <v>70.549433452112893</v>
      </c>
      <c r="T19" s="62">
        <f t="shared" si="6"/>
        <v>1.3660263395093957</v>
      </c>
      <c r="U19" s="62">
        <f t="shared" si="7"/>
        <v>0.32065522012587599</v>
      </c>
      <c r="V19" s="88">
        <v>28</v>
      </c>
      <c r="W19" s="85">
        <f t="array" ref="W19">MMULT('Data_Matrix (2018)'!B$128:AA$128,TRANSPOSE('Data_Matrix (2018)'!B52:AA52))</f>
        <v>0.90305608315830543</v>
      </c>
      <c r="X19" s="63">
        <v>72.952094201810993</v>
      </c>
      <c r="Y19" s="60">
        <f>VLOOKUP(B19,[1]ESTIMATES!$C:$BX,74,0)</f>
        <v>10522.245999999999</v>
      </c>
      <c r="Z19" s="60"/>
      <c r="AA19" s="62">
        <f t="shared" si="8"/>
        <v>2.3558831038171717</v>
      </c>
      <c r="AB19" s="62">
        <f t="shared" si="9"/>
        <v>0.49981702718119453</v>
      </c>
      <c r="AC19" s="88">
        <v>15</v>
      </c>
      <c r="AF19" s="62">
        <f t="shared" si="10"/>
        <v>1.6068586818475683</v>
      </c>
      <c r="AG19" s="62">
        <f t="shared" si="11"/>
        <v>0.38441542599881406</v>
      </c>
      <c r="AH19" s="62">
        <f t="shared" si="12"/>
        <v>21.6</v>
      </c>
      <c r="AI19" s="71">
        <f>VLOOKUP(B19,'[2]Table 1'!$B:$P,2,0)</f>
        <v>0.86993406704056964</v>
      </c>
      <c r="AJ19" s="70">
        <v>-1.1000000000000001</v>
      </c>
    </row>
    <row r="20" spans="1:36" x14ac:dyDescent="0.2">
      <c r="A20" s="89">
        <v>66</v>
      </c>
      <c r="B20" s="82" t="s">
        <v>78</v>
      </c>
      <c r="C20" s="85">
        <f t="array" ref="C20">MMULT('Data_Matrix (2014)'!B$126:AA$126,TRANSPOSE('Data_Matrix (2014)'!B20:AA20))</f>
        <v>1.2183780607788881</v>
      </c>
      <c r="D20" s="62">
        <f>VLOOKUP(B20,Data_ITU!A:S,16,0)</f>
        <v>74.231711636738297</v>
      </c>
      <c r="E20" s="62">
        <f t="shared" si="0"/>
        <v>2.1899710870073612</v>
      </c>
      <c r="F20" s="62">
        <f t="shared" si="1"/>
        <v>0.52934979065923227</v>
      </c>
      <c r="G20" s="88">
        <v>10</v>
      </c>
      <c r="H20" s="85">
        <f t="array" ref="H20">MMULT('Data_Matrix (2015)'!B$126:AA$126,TRANSPOSE('Data_Matrix (2015)'!B20:AA20))</f>
        <v>1.264708257198675</v>
      </c>
      <c r="I20" s="63">
        <f>VLOOKUP(B20,Data_ITU!A:S,17,0)</f>
        <v>75.668838699278993</v>
      </c>
      <c r="J20" s="63">
        <f t="shared" si="2"/>
        <v>1.5689791725929525</v>
      </c>
      <c r="K20" s="62">
        <f t="shared" si="3"/>
        <v>0.45511706451794759</v>
      </c>
      <c r="L20" s="87">
        <v>13</v>
      </c>
      <c r="M20" s="93">
        <f t="array" ref="M20">MMULT('Data_Matrix (2016)'!B$126:AA$126,TRANSPOSE('Data_Matrix (2016)'!B20:AA20))</f>
        <v>-0.39235797488925228</v>
      </c>
      <c r="N20" s="62">
        <f>VLOOKUP(B20,Data_ITU!A:S,18,0)</f>
        <v>76.481198699999993</v>
      </c>
      <c r="O20" s="62">
        <f t="shared" si="4"/>
        <v>1.5568245694166762</v>
      </c>
      <c r="P20" s="62">
        <f t="shared" si="5"/>
        <v>0.37613244004098839</v>
      </c>
      <c r="Q20" s="88">
        <v>21</v>
      </c>
      <c r="R20" s="85">
        <f t="array" ref="R20">MMULT('Data_Matrix (2017)'!B$126:AA$126,TRANSPOSE('Data_Matrix (2017)'!B20:AA20))</f>
        <v>0.17164008153566718</v>
      </c>
      <c r="S20" s="62">
        <f>VLOOKUP(B20,Data_ITU!A:S,19,0)</f>
        <v>78.71916143</v>
      </c>
      <c r="T20" s="62">
        <f t="shared" si="6"/>
        <v>1.151895297393724</v>
      </c>
      <c r="U20" s="62">
        <f t="shared" si="7"/>
        <v>0.27039100891744222</v>
      </c>
      <c r="V20" s="88">
        <v>39</v>
      </c>
      <c r="W20" s="85">
        <f t="array" ref="W20">MMULT('Data_Matrix (2018)'!B$128:AA$128,TRANSPOSE('Data_Matrix (2018)'!B21:AA21))</f>
        <v>-0.24269164120523667</v>
      </c>
      <c r="X20" s="63">
        <v>80.688167543428804</v>
      </c>
      <c r="Y20" s="60">
        <f>VLOOKUP(B20,[1]ESTIMATES!$C:$BX,74,0)</f>
        <v>10665.677</v>
      </c>
      <c r="Z20" s="60"/>
      <c r="AA20" s="62">
        <f t="shared" si="8"/>
        <v>1.6812256378854498</v>
      </c>
      <c r="AB20" s="62">
        <f t="shared" si="9"/>
        <v>0.356683741645411</v>
      </c>
      <c r="AC20" s="88">
        <v>31</v>
      </c>
      <c r="AF20" s="62">
        <f t="shared" si="10"/>
        <v>1.6297791528592327</v>
      </c>
      <c r="AG20" s="62">
        <f t="shared" si="11"/>
        <v>0.39753480915620426</v>
      </c>
      <c r="AH20" s="62">
        <f t="shared" si="12"/>
        <v>22.8</v>
      </c>
      <c r="AI20" s="71">
        <f>VLOOKUP(B20,'[2]Table 1'!$B:$P,2,0)</f>
        <v>0.88756142888998346</v>
      </c>
      <c r="AJ20" s="70">
        <v>6.8</v>
      </c>
    </row>
    <row r="21" spans="1:36" x14ac:dyDescent="0.2">
      <c r="A21" s="89">
        <v>65</v>
      </c>
      <c r="B21" s="82" t="s">
        <v>77</v>
      </c>
      <c r="C21" s="85">
        <f t="array" ref="C21">MMULT('Data_Matrix (2014)'!B$126:AA$126,TRANSPOSE('Data_Matrix (2014)'!B26:AA26))</f>
        <v>-0.64544978639148265</v>
      </c>
      <c r="D21" s="62">
        <f>VLOOKUP(B21,Data_ITU!A:S,16,0)</f>
        <v>54.08</v>
      </c>
      <c r="E21" s="62">
        <f t="shared" si="0"/>
        <v>0.58750068429295355</v>
      </c>
      <c r="F21" s="62">
        <f t="shared" si="1"/>
        <v>0.14200797722293643</v>
      </c>
      <c r="G21" s="88">
        <v>53</v>
      </c>
      <c r="H21" s="85">
        <f t="array" ref="H21">MMULT('Data_Matrix (2015)'!B$126:AA$126,TRANSPOSE('Data_Matrix (2015)'!B26:AA26))</f>
        <v>1.6583469904507613</v>
      </c>
      <c r="I21" s="63">
        <f>VLOOKUP(B21,Data_ITU!A:S,17,0)</f>
        <v>55.763199999999998</v>
      </c>
      <c r="J21" s="63">
        <f t="shared" si="2"/>
        <v>1.3757450431835241</v>
      </c>
      <c r="K21" s="62">
        <f t="shared" si="3"/>
        <v>0.39906523714017522</v>
      </c>
      <c r="L21" s="87">
        <v>20</v>
      </c>
      <c r="M21" s="93">
        <f t="array" ref="M21">MMULT('Data_Matrix (2016)'!B$126:AA$126,TRANSPOSE('Data_Matrix (2016)'!B26:AA26))</f>
        <v>0.10927840741766914</v>
      </c>
      <c r="N21" s="62">
        <f>VLOOKUP(B21,Data_ITU!A:S,18,0)</f>
        <v>59.503951290000003</v>
      </c>
      <c r="O21" s="62">
        <f t="shared" si="4"/>
        <v>1.5097351190813344</v>
      </c>
      <c r="P21" s="62">
        <f t="shared" si="5"/>
        <v>0.36475551922231358</v>
      </c>
      <c r="Q21" s="88">
        <v>24</v>
      </c>
      <c r="R21" s="85">
        <f t="array" ref="R21">MMULT('Data_Matrix (2017)'!B$126:AA$126,TRANSPOSE('Data_Matrix (2017)'!B26:AA26))</f>
        <v>1.5517792130652355</v>
      </c>
      <c r="S21" s="62">
        <f>VLOOKUP(B21,Data_ITU!A:S,19,0)</f>
        <v>63.747282179999999</v>
      </c>
      <c r="T21" s="62">
        <f t="shared" si="6"/>
        <v>1.812613391849702</v>
      </c>
      <c r="U21" s="62">
        <f t="shared" si="7"/>
        <v>0.42548516771310702</v>
      </c>
      <c r="V21" s="88">
        <v>17</v>
      </c>
      <c r="W21" s="85">
        <f t="array" ref="W21">MMULT('Data_Matrix (2018)'!B$128:AA$128,TRANSPOSE('Data_Matrix (2018)'!B27:AA27))</f>
        <v>1.2346187004687978</v>
      </c>
      <c r="X21" s="63">
        <v>70.681277927326803</v>
      </c>
      <c r="Y21" s="60">
        <f>VLOOKUP(B21,[1]ESTIMATES!$C:$BX,74,0)</f>
        <v>19506.114000000001</v>
      </c>
      <c r="Z21" s="60"/>
      <c r="AA21" s="62">
        <f t="shared" si="8"/>
        <v>2.5169030487675879</v>
      </c>
      <c r="AB21" s="62">
        <f t="shared" si="9"/>
        <v>0.53397853123527783</v>
      </c>
      <c r="AC21" s="88">
        <v>12</v>
      </c>
      <c r="AF21" s="62">
        <f t="shared" si="10"/>
        <v>1.5604994574350204</v>
      </c>
      <c r="AG21" s="62">
        <f t="shared" si="11"/>
        <v>0.37305848650676199</v>
      </c>
      <c r="AH21" s="62">
        <f t="shared" si="12"/>
        <v>25.2</v>
      </c>
      <c r="AI21" s="71">
        <f>VLOOKUP(B21,'[2]Table 1'!$B:$P,2,0)</f>
        <v>0.81119175021267953</v>
      </c>
      <c r="AJ21" s="70">
        <v>-8.5</v>
      </c>
    </row>
    <row r="22" spans="1:36" x14ac:dyDescent="0.2">
      <c r="A22" s="89">
        <v>37</v>
      </c>
      <c r="B22" s="82" t="s">
        <v>125</v>
      </c>
      <c r="C22" s="85">
        <f t="array" ref="C22">MMULT('Data_Matrix (2014)'!B$126:AA$126,TRANSPOSE('Data_Matrix (2014)'!B35:AA35))</f>
        <v>-0.24480420343290876</v>
      </c>
      <c r="D22" s="62">
        <f>VLOOKUP(B22,Data_ITU!A:S,16,0)</f>
        <v>95.99</v>
      </c>
      <c r="E22" s="62">
        <f t="shared" si="0"/>
        <v>1.4273716826056151</v>
      </c>
      <c r="F22" s="62">
        <f t="shared" si="1"/>
        <v>0.34501775199813806</v>
      </c>
      <c r="G22" s="88">
        <v>25</v>
      </c>
      <c r="H22" s="85">
        <f t="array" ref="H22">MMULT('Data_Matrix (2015)'!B$126:AA$126,TRANSPOSE('Data_Matrix (2015)'!B35:AA35))</f>
        <v>-0.30512131047246138</v>
      </c>
      <c r="I22" s="63">
        <f>VLOOKUP(B22,Data_ITU!A:S,17,0)</f>
        <v>96.330500000000001</v>
      </c>
      <c r="J22" s="63">
        <f t="shared" si="2"/>
        <v>0.48517017120522071</v>
      </c>
      <c r="K22" s="62">
        <f t="shared" si="3"/>
        <v>0.14073432456446996</v>
      </c>
      <c r="L22" s="87">
        <v>49</v>
      </c>
      <c r="M22" s="93">
        <f t="array" ref="M22">MMULT('Data_Matrix (2016)'!B$126:AA$126,TRANSPOSE('Data_Matrix (2016)'!B35:AA35))</f>
        <v>-0.93419927133842295</v>
      </c>
      <c r="N22" s="62">
        <f>VLOOKUP(B22,Data_ITU!A:S,18,0)</f>
        <v>96.967785250000006</v>
      </c>
      <c r="O22" s="62">
        <f t="shared" si="4"/>
        <v>1.4484308654813285</v>
      </c>
      <c r="P22" s="62">
        <f t="shared" si="5"/>
        <v>0.34994426884482144</v>
      </c>
      <c r="Q22" s="88">
        <v>26</v>
      </c>
      <c r="R22" s="85">
        <f t="array" ref="R22">MMULT('Data_Matrix (2017)'!B$126:AA$126,TRANSPOSE('Data_Matrix (2017)'!B35:AA35))</f>
        <v>0.40043883581926598</v>
      </c>
      <c r="S22" s="62">
        <f>VLOOKUP(B22,Data_ITU!A:S,19,0)</f>
        <v>97.099362159999998</v>
      </c>
      <c r="T22" s="62">
        <f t="shared" si="6"/>
        <v>1.6430143939473805</v>
      </c>
      <c r="U22" s="62">
        <f t="shared" si="7"/>
        <v>0.38567421939345142</v>
      </c>
      <c r="V22" s="88">
        <v>21</v>
      </c>
      <c r="W22" s="85">
        <f t="array" ref="W22">MMULT('Data_Matrix (2018)'!B$128:AA$128,TRANSPOSE('Data_Matrix (2018)'!B36:AA36))</f>
        <v>0.21492291635902389</v>
      </c>
      <c r="X22" s="63">
        <v>97.644268128092904</v>
      </c>
      <c r="Y22" s="60">
        <f>VLOOKUP(B22,[1]ESTIMATES!$C:$BX,74,0)</f>
        <v>5752.1260000000002</v>
      </c>
      <c r="Z22" s="60"/>
      <c r="AA22" s="62">
        <f t="shared" si="8"/>
        <v>2.4813588018304169</v>
      </c>
      <c r="AB22" s="62">
        <f t="shared" si="9"/>
        <v>0.52643757141059644</v>
      </c>
      <c r="AC22" s="88">
        <v>13</v>
      </c>
      <c r="AF22" s="62">
        <f t="shared" si="10"/>
        <v>1.4970691830139924</v>
      </c>
      <c r="AG22" s="62">
        <f t="shared" si="11"/>
        <v>0.34956162724229545</v>
      </c>
      <c r="AH22" s="62">
        <f t="shared" si="12"/>
        <v>26.8</v>
      </c>
      <c r="AI22" s="71">
        <f>VLOOKUP(B22,'[2]Table 1'!$B:$P,2,0)</f>
        <v>0.92947411111012224</v>
      </c>
      <c r="AJ22" s="70">
        <v>-5.2</v>
      </c>
    </row>
    <row r="23" spans="1:36" x14ac:dyDescent="0.2">
      <c r="A23" s="89">
        <v>47</v>
      </c>
      <c r="B23" s="82" t="s">
        <v>37</v>
      </c>
      <c r="C23" s="85">
        <f t="array" ref="C23">MMULT('Data_Matrix (2014)'!B$126:AA$126,TRANSPOSE('Data_Matrix (2014)'!B8:AA8))</f>
        <v>2.6626475016924953</v>
      </c>
      <c r="D23" s="62">
        <f>VLOOKUP(B23,Data_ITU!A:S,16,0)</f>
        <v>46.16</v>
      </c>
      <c r="E23" s="62">
        <f t="shared" si="0"/>
        <v>2.0284790910745851</v>
      </c>
      <c r="F23" s="62">
        <f t="shared" si="1"/>
        <v>0.49031468432959824</v>
      </c>
      <c r="G23" s="88">
        <v>11</v>
      </c>
      <c r="H23" s="85">
        <f t="array" ref="H23">MMULT('Data_Matrix (2015)'!B$126:AA$126,TRANSPOSE('Data_Matrix (2015)'!B8:AA8))</f>
        <v>0.51447773302598043</v>
      </c>
      <c r="I23" s="63">
        <f>VLOOKUP(B23,Data_ITU!A:S,17,0)</f>
        <v>46.5</v>
      </c>
      <c r="J23" s="63">
        <f t="shared" si="2"/>
        <v>0.61531158140792019</v>
      </c>
      <c r="K23" s="62">
        <f t="shared" si="3"/>
        <v>0.17848471514855507</v>
      </c>
      <c r="L23" s="87">
        <v>41</v>
      </c>
      <c r="M23" s="93">
        <f t="array" ref="M23">MMULT('Data_Matrix (2016)'!B$126:AA$126,TRANSPOSE('Data_Matrix (2016)'!B8:AA8))</f>
        <v>-0.12511237238239759</v>
      </c>
      <c r="N23" s="62">
        <f>VLOOKUP(B23,Data_ITU!A:S,18,0)</f>
        <v>49.599994840000001</v>
      </c>
      <c r="O23" s="62">
        <f t="shared" si="4"/>
        <v>1.1421939770485345</v>
      </c>
      <c r="P23" s="62">
        <f t="shared" si="5"/>
        <v>0.27595672372280078</v>
      </c>
      <c r="Q23" s="88">
        <v>35</v>
      </c>
      <c r="R23" s="85">
        <f t="array" ref="R23">MMULT('Data_Matrix (2017)'!B$126:AA$126,TRANSPOSE('Data_Matrix (2017)'!B8:AA8))</f>
        <v>0.52031125955237778</v>
      </c>
      <c r="S23" s="62">
        <f>VLOOKUP(B23,Data_ITU!A:S,19,0)</f>
        <v>64.190810232738698</v>
      </c>
      <c r="T23" s="62">
        <f t="shared" si="6"/>
        <v>1.163117193060291</v>
      </c>
      <c r="U23" s="62">
        <f t="shared" si="7"/>
        <v>0.2730251890361689</v>
      </c>
      <c r="V23" s="88">
        <v>38</v>
      </c>
      <c r="W23" s="85">
        <f t="array" ref="W23">MMULT('Data_Matrix (2018)'!B$128:AA$128,TRANSPOSE('Data_Matrix (2018)'!B9:AA9))</f>
        <v>1.4924314198603705</v>
      </c>
      <c r="X23" s="63">
        <v>64.190810232738698</v>
      </c>
      <c r="Y23" s="60">
        <f>VLOOKUP(B23,[1]ESTIMATES!$C:$BX,74,0)</f>
        <v>11565.200999999999</v>
      </c>
      <c r="Z23" s="60"/>
      <c r="AA23" s="62">
        <f t="shared" si="8"/>
        <v>2.4512748254893664</v>
      </c>
      <c r="AB23" s="62">
        <f t="shared" si="9"/>
        <v>0.52005504606534048</v>
      </c>
      <c r="AC23" s="88">
        <v>14</v>
      </c>
      <c r="AF23" s="62">
        <f t="shared" si="10"/>
        <v>1.4800753336161394</v>
      </c>
      <c r="AG23" s="62">
        <f t="shared" si="11"/>
        <v>0.34756727166049267</v>
      </c>
      <c r="AH23" s="62">
        <f t="shared" si="12"/>
        <v>27.8</v>
      </c>
      <c r="AI23" s="71">
        <f>VLOOKUP(B23,'[2]Table 1'!$B:$P,2,0)</f>
        <v>0.73472009733071209</v>
      </c>
      <c r="AJ23" s="70">
        <v>0.3</v>
      </c>
    </row>
    <row r="24" spans="1:36" x14ac:dyDescent="0.2">
      <c r="A24" s="89">
        <v>24</v>
      </c>
      <c r="B24" s="82" t="s">
        <v>178</v>
      </c>
      <c r="C24" s="85">
        <f t="array" ref="C24">MMULT('Data_Matrix (2014)'!B$126:AA$126,TRANSPOSE('Data_Matrix (2014)'!B64:AA64))</f>
        <v>-8.6061127671017978E-3</v>
      </c>
      <c r="D24" s="62">
        <f>VLOOKUP(B24,Data_ITU!A:S,16,0)</f>
        <v>51.04</v>
      </c>
      <c r="E24" s="62">
        <f t="shared" si="0"/>
        <v>0.87952050891567157</v>
      </c>
      <c r="F24" s="62">
        <f t="shared" si="1"/>
        <v>0.21259367305676546</v>
      </c>
      <c r="G24" s="88">
        <v>49</v>
      </c>
      <c r="H24" s="85">
        <f t="array" ref="H24">MMULT('Data_Matrix (2015)'!B$126:AA$126,TRANSPOSE('Data_Matrix (2015)'!B64:AA64))</f>
        <v>0.7885898503762615</v>
      </c>
      <c r="I24" s="63">
        <f>VLOOKUP(B24,Data_ITU!A:S,17,0)</f>
        <v>53.744979142358297</v>
      </c>
      <c r="J24" s="63">
        <f t="shared" si="2"/>
        <v>0.85850231984110492</v>
      </c>
      <c r="K24" s="62">
        <f t="shared" si="3"/>
        <v>0.24902756041191751</v>
      </c>
      <c r="L24" s="87">
        <v>33</v>
      </c>
      <c r="M24" s="93">
        <f t="array" ref="M24">MMULT('Data_Matrix (2016)'!B$126:AA$126,TRANSPOSE('Data_Matrix (2016)'!B64:AA64))</f>
        <v>0.41383612427695821</v>
      </c>
      <c r="N24" s="62">
        <f>VLOOKUP(B24,Data_ITU!A:S,18,0)</f>
        <v>58.347734010000003</v>
      </c>
      <c r="O24" s="62">
        <f t="shared" si="4"/>
        <v>1.658102083947486</v>
      </c>
      <c r="P24" s="62">
        <f t="shared" si="5"/>
        <v>0.40060132331152509</v>
      </c>
      <c r="Q24" s="88">
        <v>18</v>
      </c>
      <c r="R24" s="85">
        <f t="array" ref="R24">MMULT('Data_Matrix (2017)'!B$126:AA$126,TRANSPOSE('Data_Matrix (2017)'!B64:AA64))</f>
        <v>1.1129120967159927</v>
      </c>
      <c r="S24" s="62">
        <f>VLOOKUP(B24,Data_ITU!A:S,19,0)</f>
        <v>64.684617680000002</v>
      </c>
      <c r="T24" s="62">
        <f t="shared" si="6"/>
        <v>1.5553864138180364</v>
      </c>
      <c r="U24" s="62">
        <f t="shared" si="7"/>
        <v>0.36510479957710135</v>
      </c>
      <c r="V24" s="88">
        <v>22</v>
      </c>
      <c r="W24" s="85">
        <f t="array" ref="W24">MMULT('Data_Matrix (2018)'!B$128:AA$128,TRANSPOSE('Data_Matrix (2018)'!B65:AA65))</f>
        <v>0.89334897581365347</v>
      </c>
      <c r="X24" s="63">
        <v>71.042761072829194</v>
      </c>
      <c r="Y24" s="60">
        <f>VLOOKUP(B24,[1]ESTIMATES!$C:$BX,74,0)</f>
        <v>82340.088000000003</v>
      </c>
      <c r="Z24" s="60"/>
      <c r="AA24" s="62">
        <f t="shared" si="8"/>
        <v>2.2873277356442467</v>
      </c>
      <c r="AB24" s="62">
        <f t="shared" si="9"/>
        <v>0.48527252781194113</v>
      </c>
      <c r="AC24" s="88">
        <v>19</v>
      </c>
      <c r="AF24" s="62">
        <f t="shared" si="10"/>
        <v>1.4477678124333093</v>
      </c>
      <c r="AG24" s="62">
        <f t="shared" si="11"/>
        <v>0.34251997683385016</v>
      </c>
      <c r="AH24" s="62">
        <f t="shared" si="12"/>
        <v>28.2</v>
      </c>
      <c r="AI24" s="71">
        <f>VLOOKUP(B24,'[2]Table 1'!$B:$P,2,0)</f>
        <v>0.79063398071465241</v>
      </c>
      <c r="AJ24" s="70">
        <v>-7.1</v>
      </c>
    </row>
    <row r="25" spans="1:36" x14ac:dyDescent="0.2">
      <c r="A25" s="89">
        <v>19</v>
      </c>
      <c r="B25" s="82" t="s">
        <v>184</v>
      </c>
      <c r="C25" s="85">
        <f t="array" ref="C25">MMULT('Data_Matrix (2014)'!B$126:AA$126,TRANSPOSE('Data_Matrix (2014)'!B65:AA65))</f>
        <v>-7.2755047255749911E-2</v>
      </c>
      <c r="D25" s="62">
        <f>VLOOKUP(B25,Data_ITU!A:S,16,0)</f>
        <v>64.713657369019003</v>
      </c>
      <c r="E25" s="62">
        <f t="shared" si="0"/>
        <v>1.0736316444536302</v>
      </c>
      <c r="F25" s="62">
        <f t="shared" si="1"/>
        <v>0.25951332855872822</v>
      </c>
      <c r="G25" s="88">
        <v>38</v>
      </c>
      <c r="H25" s="85">
        <f t="array" ref="H25">MMULT('Data_Matrix (2015)'!B$126:AA$126,TRANSPOSE('Data_Matrix (2015)'!B65:AA65))</f>
        <v>-6.6628397652684634E-3</v>
      </c>
      <c r="I25" s="63">
        <f>VLOOKUP(B25,Data_ITU!A:S,17,0)</f>
        <v>69.616235801400407</v>
      </c>
      <c r="J25" s="63">
        <f t="shared" si="2"/>
        <v>0.55839888638944213</v>
      </c>
      <c r="K25" s="62">
        <f t="shared" si="3"/>
        <v>0.16197593087463227</v>
      </c>
      <c r="L25" s="87">
        <v>46</v>
      </c>
      <c r="M25" s="93">
        <f t="array" ref="M25">MMULT('Data_Matrix (2016)'!B$126:AA$126,TRANSPOSE('Data_Matrix (2016)'!B65:AA65))</f>
        <v>-0.356820827077168</v>
      </c>
      <c r="N25" s="62">
        <f>VLOOKUP(B25,Data_ITU!A:S,18,0)</f>
        <v>74.879274690000003</v>
      </c>
      <c r="O25" s="62">
        <f t="shared" si="4"/>
        <v>1.5508263222737639</v>
      </c>
      <c r="P25" s="62">
        <f t="shared" si="5"/>
        <v>0.37468324956818017</v>
      </c>
      <c r="Q25" s="88">
        <v>22</v>
      </c>
      <c r="R25" s="85">
        <f t="array" ref="R25">MMULT('Data_Matrix (2017)'!B$126:AA$126,TRANSPOSE('Data_Matrix (2017)'!B65:AA65))</f>
        <v>0.89558586077868141</v>
      </c>
      <c r="S25" s="62">
        <f>VLOOKUP(B25,Data_ITU!A:S,19,0)</f>
        <v>82.120001209999998</v>
      </c>
      <c r="T25" s="62">
        <f t="shared" si="6"/>
        <v>1.7961639738775264</v>
      </c>
      <c r="U25" s="62">
        <f t="shared" si="7"/>
        <v>0.42162390121461119</v>
      </c>
      <c r="V25" s="88">
        <v>18</v>
      </c>
      <c r="W25" s="85">
        <f t="array" ref="W25">MMULT('Data_Matrix (2018)'!B$128:AA$128,TRANSPOSE('Data_Matrix (2018)'!B66:AA66))</f>
        <v>0.1626137007063827</v>
      </c>
      <c r="X25" s="63">
        <v>93.310001848034702</v>
      </c>
      <c r="Y25" s="60">
        <f>VLOOKUP(B25,[1]ESTIMATES!$C:$BX,74,0)</f>
        <v>33702.756000000001</v>
      </c>
      <c r="Z25" s="60"/>
      <c r="AA25" s="62">
        <f t="shared" si="8"/>
        <v>2.3224056911827105</v>
      </c>
      <c r="AB25" s="62">
        <f t="shared" si="9"/>
        <v>0.49271456066510838</v>
      </c>
      <c r="AC25" s="88">
        <v>18</v>
      </c>
      <c r="AF25" s="62">
        <f t="shared" si="10"/>
        <v>1.4602853036354149</v>
      </c>
      <c r="AG25" s="62">
        <f t="shared" si="11"/>
        <v>0.34210219417625204</v>
      </c>
      <c r="AH25" s="62">
        <f t="shared" si="12"/>
        <v>28.4</v>
      </c>
      <c r="AI25" s="71">
        <f>VLOOKUP(B25,'[2]Table 1'!$B:$P,2,0)</f>
        <v>0.85329863821228358</v>
      </c>
      <c r="AJ25" s="70">
        <v>-6.8</v>
      </c>
    </row>
    <row r="26" spans="1:36" x14ac:dyDescent="0.2">
      <c r="A26" s="89">
        <v>50</v>
      </c>
      <c r="B26" s="82" t="s">
        <v>129</v>
      </c>
      <c r="C26" s="85">
        <f t="array" ref="C26">MMULT('Data_Matrix (2014)'!B$126:AA$126,TRANSPOSE('Data_Matrix (2014)'!B55:AA55))</f>
        <v>0.41459455533997586</v>
      </c>
      <c r="D26" s="62">
        <f>VLOOKUP(B26,Data_ITU!A:S,16,0)</f>
        <v>66</v>
      </c>
      <c r="E26" s="62">
        <f t="shared" si="0"/>
        <v>1.4166234438588674</v>
      </c>
      <c r="F26" s="62">
        <f t="shared" si="1"/>
        <v>0.3424197369082122</v>
      </c>
      <c r="G26" s="88">
        <v>26</v>
      </c>
      <c r="H26" s="85">
        <f t="array" ref="H26">MMULT('Data_Matrix (2015)'!B$126:AA$126,TRANSPOSE('Data_Matrix (2015)'!B55:AA55))</f>
        <v>1.3602436249459873</v>
      </c>
      <c r="I26" s="63">
        <f>VLOOKUP(B26,Data_ITU!A:S,17,0)</f>
        <v>70.829933595659995</v>
      </c>
      <c r="J26" s="63">
        <f t="shared" si="2"/>
        <v>1.5363130207348763</v>
      </c>
      <c r="K26" s="62">
        <f t="shared" si="3"/>
        <v>0.44564152564372816</v>
      </c>
      <c r="L26" s="87">
        <v>16</v>
      </c>
      <c r="M26" s="93">
        <f t="array" ref="M26">MMULT('Data_Matrix (2016)'!B$126:AA$126,TRANSPOSE('Data_Matrix (2016)'!B55:AA55))</f>
        <v>-0.9704956402462348</v>
      </c>
      <c r="N26" s="62">
        <f>VLOOKUP(B26,Data_ITU!A:S,18,0)</f>
        <v>74.587726470000007</v>
      </c>
      <c r="O26" s="62">
        <f t="shared" si="4"/>
        <v>1.087061969547946</v>
      </c>
      <c r="P26" s="62">
        <f t="shared" si="5"/>
        <v>0.2626367023710538</v>
      </c>
      <c r="Q26" s="88">
        <v>36</v>
      </c>
      <c r="R26" s="85">
        <f t="array" ref="R26">MMULT('Data_Matrix (2017)'!B$126:AA$126,TRANSPOSE('Data_Matrix (2017)'!B55:AA55))</f>
        <v>0.59330247901586697</v>
      </c>
      <c r="S26" s="62">
        <f>VLOOKUP(B26,Data_ITU!A:S,19,0)</f>
        <v>76.426748230000001</v>
      </c>
      <c r="T26" s="62">
        <f t="shared" si="6"/>
        <v>1.4406133377695449</v>
      </c>
      <c r="U26" s="62">
        <f t="shared" si="7"/>
        <v>0.33816345525568037</v>
      </c>
      <c r="V26" s="88">
        <v>24</v>
      </c>
      <c r="W26" s="85">
        <f t="array" ref="W26">MMULT('Data_Matrix (2018)'!B$128:AA$128,TRANSPOSE('Data_Matrix (2018)'!B56:AA56))</f>
        <v>-0.49824446572745396</v>
      </c>
      <c r="X26" s="63">
        <v>78.903919057881595</v>
      </c>
      <c r="Y26" s="60">
        <f>VLOOKUP(B26,[1]ESTIMATES!$C:$BX,74,0)</f>
        <v>18319.617999999999</v>
      </c>
      <c r="Z26" s="60"/>
      <c r="AA26" s="62">
        <f t="shared" si="8"/>
        <v>1.4424076883046888</v>
      </c>
      <c r="AB26" s="62">
        <f t="shared" si="9"/>
        <v>0.30601684845212812</v>
      </c>
      <c r="AC26" s="88">
        <v>41</v>
      </c>
      <c r="AF26" s="62">
        <f t="shared" si="10"/>
        <v>1.3846038920431847</v>
      </c>
      <c r="AG26" s="62">
        <f t="shared" si="11"/>
        <v>0.33897565372616051</v>
      </c>
      <c r="AH26" s="62">
        <f t="shared" si="12"/>
        <v>28.6</v>
      </c>
      <c r="AI26" s="71">
        <f>VLOOKUP(B26,'[2]Table 1'!$B:$P,2,0)</f>
        <v>0.80043460415804601</v>
      </c>
      <c r="AJ26" s="70">
        <v>3.8</v>
      </c>
    </row>
    <row r="27" spans="1:36" x14ac:dyDescent="0.2">
      <c r="A27" s="89">
        <v>20</v>
      </c>
      <c r="B27" s="82" t="s">
        <v>71</v>
      </c>
      <c r="C27" s="85">
        <f t="array" ref="C27">MMULT('Data_Matrix (2014)'!B$126:AA$126,TRANSPOSE('Data_Matrix (2014)'!B17:AA17))</f>
        <v>-0.65704707356644731</v>
      </c>
      <c r="D27" s="62">
        <f>VLOOKUP(B27,Data_ITU!A:S,16,0)</f>
        <v>83.491722335172796</v>
      </c>
      <c r="E27" s="62">
        <f t="shared" si="0"/>
        <v>0.89733357143442916</v>
      </c>
      <c r="F27" s="62">
        <f t="shared" si="1"/>
        <v>0.21689936502285873</v>
      </c>
      <c r="G27" s="88">
        <v>48</v>
      </c>
      <c r="H27" s="85">
        <f t="array" ref="H27">MMULT('Data_Matrix (2015)'!B$126:AA$126,TRANSPOSE('Data_Matrix (2015)'!B17:AA17))</f>
        <v>0.65617340278471359</v>
      </c>
      <c r="I27" s="63">
        <f>VLOOKUP(B27,Data_ITU!A:S,17,0)</f>
        <v>83.4947916666667</v>
      </c>
      <c r="J27" s="63">
        <f t="shared" si="2"/>
        <v>1.2231539300666352</v>
      </c>
      <c r="K27" s="62">
        <f t="shared" si="3"/>
        <v>0.3548028143582882</v>
      </c>
      <c r="L27" s="87">
        <v>24</v>
      </c>
      <c r="M27" s="93">
        <f t="array" ref="M27">MMULT('Data_Matrix (2016)'!B$126:AA$126,TRANSPOSE('Data_Matrix (2016)'!B17:AA17))</f>
        <v>7.5839234075751216E-2</v>
      </c>
      <c r="N27" s="62">
        <f>VLOOKUP(B27,Data_ITU!A:S,18,0)</f>
        <v>85.011132119999999</v>
      </c>
      <c r="O27" s="62">
        <f t="shared" si="4"/>
        <v>2.128476662901134</v>
      </c>
      <c r="P27" s="62">
        <f t="shared" si="5"/>
        <v>0.51424491655297755</v>
      </c>
      <c r="Q27" s="88">
        <v>13</v>
      </c>
      <c r="R27" s="85">
        <f t="array" ref="R27">MMULT('Data_Matrix (2017)'!B$126:AA$126,TRANSPOSE('Data_Matrix (2017)'!B17:AA17))</f>
        <v>0.25931240398992172</v>
      </c>
      <c r="S27" s="62">
        <f>VLOOKUP(B27,Data_ITU!A:S,19,0)</f>
        <v>84.114007062384403</v>
      </c>
      <c r="T27" s="62">
        <f t="shared" si="6"/>
        <v>1.304582626822326</v>
      </c>
      <c r="U27" s="62">
        <f t="shared" si="7"/>
        <v>0.30623218401948626</v>
      </c>
      <c r="V27" s="88">
        <v>30</v>
      </c>
      <c r="W27" s="85">
        <f t="array" ref="W27">MMULT('Data_Matrix (2018)'!B$128:AA$128,TRANSPOSE('Data_Matrix (2018)'!B18:AA18))</f>
        <v>-0.3802030500548958</v>
      </c>
      <c r="X27" s="63">
        <v>84.522302056861193</v>
      </c>
      <c r="Y27" s="60">
        <f>VLOOKUP(B27,[1]ESTIMATES!$C:$BX,74,0)</f>
        <v>4818.6899999999996</v>
      </c>
      <c r="Z27" s="60"/>
      <c r="AA27" s="62">
        <f t="shared" si="8"/>
        <v>1.6448861878820411</v>
      </c>
      <c r="AB27" s="62">
        <f t="shared" si="9"/>
        <v>0.34897407394556873</v>
      </c>
      <c r="AC27" s="88">
        <v>32</v>
      </c>
      <c r="AF27" s="62">
        <f t="shared" si="10"/>
        <v>1.4396865958213132</v>
      </c>
      <c r="AG27" s="62">
        <f t="shared" si="11"/>
        <v>0.34823067077983594</v>
      </c>
      <c r="AH27" s="62">
        <f t="shared" si="12"/>
        <v>29.4</v>
      </c>
      <c r="AI27" s="71">
        <f>VLOOKUP(B27,'[2]Table 1'!$B:$P,2,0)</f>
        <v>0.93841005899505603</v>
      </c>
      <c r="AJ27" s="70">
        <v>-2.6</v>
      </c>
    </row>
    <row r="28" spans="1:36" x14ac:dyDescent="0.2">
      <c r="A28" s="89">
        <v>29</v>
      </c>
      <c r="B28" s="82" t="s">
        <v>123</v>
      </c>
      <c r="C28" s="85">
        <f t="array" ref="C28">MMULT('Data_Matrix (2014)'!B$126:AA$126,TRANSPOSE('Data_Matrix (2014)'!B37:AA37))</f>
        <v>1.9908674631042373</v>
      </c>
      <c r="D28" s="62">
        <f>VLOOKUP(B28,Data_ITU!A:S,16,0)</f>
        <v>68.569999999999993</v>
      </c>
      <c r="E28" s="62">
        <f t="shared" si="0"/>
        <v>2.5526362350570224</v>
      </c>
      <c r="F28" s="62">
        <f t="shared" si="1"/>
        <v>0.61701155082512915</v>
      </c>
      <c r="G28" s="88">
        <v>8</v>
      </c>
      <c r="H28" s="85">
        <f t="array" ref="H28">MMULT('Data_Matrix (2015)'!B$126:AA$126,TRANSPOSE('Data_Matrix (2015)'!B37:AA37))</f>
        <v>1.255687243525017</v>
      </c>
      <c r="I28" s="63">
        <f>VLOOKUP(B28,Data_ITU!A:S,17,0)</f>
        <v>69.803100000000001</v>
      </c>
      <c r="J28" s="63">
        <f t="shared" si="2"/>
        <v>1.4410572340634797</v>
      </c>
      <c r="K28" s="62">
        <f t="shared" si="3"/>
        <v>0.41801048071622421</v>
      </c>
      <c r="L28" s="87">
        <v>19</v>
      </c>
      <c r="M28" s="93">
        <f t="array" ref="M28">MMULT('Data_Matrix (2016)'!B$126:AA$126,TRANSPOSE('Data_Matrix (2016)'!B37:AA37))</f>
        <v>-0.77417847317598854</v>
      </c>
      <c r="N28" s="62">
        <f>VLOOKUP(B28,Data_ITU!A:S,18,0)</f>
        <v>72.697269669999997</v>
      </c>
      <c r="O28" s="62">
        <f t="shared" si="4"/>
        <v>1.20222715433732</v>
      </c>
      <c r="P28" s="62">
        <f t="shared" si="5"/>
        <v>0.2904608791046141</v>
      </c>
      <c r="Q28" s="88">
        <v>29</v>
      </c>
      <c r="R28" s="85">
        <f t="array" ref="R28">MMULT('Data_Matrix (2017)'!B$126:AA$126,TRANSPOSE('Data_Matrix (2017)'!B37:AA37))</f>
        <v>4.960714842205044E-2</v>
      </c>
      <c r="S28" s="62">
        <f>VLOOKUP(B28,Data_ITU!A:S,19,0)</f>
        <v>67.096192040000005</v>
      </c>
      <c r="T28" s="62">
        <f t="shared" si="6"/>
        <v>0.89993725877923225</v>
      </c>
      <c r="U28" s="62">
        <f t="shared" si="7"/>
        <v>0.21124744923803668</v>
      </c>
      <c r="V28" s="88">
        <v>47</v>
      </c>
      <c r="W28" s="85">
        <f t="array" ref="W28">MMULT('Data_Matrix (2018)'!B$128:AA$128,TRANSPOSE('Data_Matrix (2018)'!B38:AA38))</f>
        <v>-0.87024223520702426</v>
      </c>
      <c r="X28" s="63">
        <v>72.688770879175195</v>
      </c>
      <c r="Y28" s="60">
        <f>VLOOKUP(B28,[1]ESTIMATES!$C:$BX,74,0)</f>
        <v>4156.4049999999997</v>
      </c>
      <c r="Z28" s="60"/>
      <c r="AA28" s="62">
        <f t="shared" si="8"/>
        <v>1.0583907036734848</v>
      </c>
      <c r="AB28" s="62">
        <f t="shared" si="9"/>
        <v>0.22454496755342701</v>
      </c>
      <c r="AC28" s="88">
        <v>56</v>
      </c>
      <c r="AF28" s="62">
        <f t="shared" si="10"/>
        <v>1.4308497171821077</v>
      </c>
      <c r="AG28" s="62">
        <f t="shared" si="11"/>
        <v>0.35225506548748625</v>
      </c>
      <c r="AH28" s="62">
        <f t="shared" si="12"/>
        <v>31.8</v>
      </c>
      <c r="AI28" s="71">
        <f>VLOOKUP(B28,'[2]Table 1'!$B:$P,2,0)</f>
        <v>0.83110227884211219</v>
      </c>
      <c r="AJ28" s="70">
        <v>12.4</v>
      </c>
    </row>
    <row r="29" spans="1:36" x14ac:dyDescent="0.2">
      <c r="A29" s="89">
        <v>11</v>
      </c>
      <c r="B29" s="82" t="s">
        <v>147</v>
      </c>
      <c r="C29" s="85">
        <f t="array" ref="C29">MMULT('Data_Matrix (2014)'!B$126:AA$126,TRANSPOSE('Data_Matrix (2014)'!B52:AA52))</f>
        <v>7.6415372268172133E-2</v>
      </c>
      <c r="D29" s="62">
        <f>VLOOKUP(B29,Data_ITU!A:S,16,0)</f>
        <v>90.4</v>
      </c>
      <c r="E29" s="62">
        <f t="shared" si="0"/>
        <v>1.6346308567582652</v>
      </c>
      <c r="F29" s="62">
        <f t="shared" si="1"/>
        <v>0.39511549123351541</v>
      </c>
      <c r="G29" s="88">
        <v>18</v>
      </c>
      <c r="H29" s="85">
        <f t="array" ref="H29">MMULT('Data_Matrix (2015)'!B$126:AA$126,TRANSPOSE('Data_Matrix (2015)'!B52:AA52))</f>
        <v>0.20557043628306076</v>
      </c>
      <c r="I29" s="63">
        <f>VLOOKUP(B29,Data_ITU!A:S,17,0)</f>
        <v>90.5</v>
      </c>
      <c r="J29" s="63">
        <f t="shared" si="2"/>
        <v>0.91798079144586797</v>
      </c>
      <c r="K29" s="62">
        <f t="shared" si="3"/>
        <v>0.26628060485739447</v>
      </c>
      <c r="L29" s="87">
        <v>31</v>
      </c>
      <c r="M29" s="93">
        <f t="array" ref="M29">MMULT('Data_Matrix (2016)'!B$126:AA$126,TRANSPOSE('Data_Matrix (2016)'!B52:AA52))</f>
        <v>-1.4165646498187321</v>
      </c>
      <c r="N29" s="62">
        <f>VLOOKUP(B29,Data_ITU!A:S,18,0)</f>
        <v>90.600007320000003</v>
      </c>
      <c r="O29" s="62">
        <f t="shared" si="4"/>
        <v>0.91629078418510446</v>
      </c>
      <c r="P29" s="62">
        <f t="shared" si="5"/>
        <v>0.2213779864559493</v>
      </c>
      <c r="Q29" s="88">
        <v>44</v>
      </c>
      <c r="R29" s="85">
        <f t="array" ref="R29">MMULT('Data_Matrix (2017)'!B$126:AA$126,TRANSPOSE('Data_Matrix (2017)'!B52:AA52))</f>
        <v>0.10258443380812519</v>
      </c>
      <c r="S29" s="62">
        <f>VLOOKUP(B29,Data_ITU!A:S,19,0)</f>
        <v>94.819922539999993</v>
      </c>
      <c r="T29" s="62">
        <f t="shared" si="6"/>
        <v>1.3220187747311873</v>
      </c>
      <c r="U29" s="62">
        <f t="shared" si="7"/>
        <v>0.31032507131174097</v>
      </c>
      <c r="V29" s="88">
        <v>29</v>
      </c>
      <c r="W29" s="85">
        <f t="array" ref="W29">MMULT('Data_Matrix (2018)'!B$128:AA$128,TRANSPOSE('Data_Matrix (2018)'!B53:AA53))</f>
        <v>-0.80754249015830359</v>
      </c>
      <c r="X29" s="63">
        <v>98.450001781719394</v>
      </c>
      <c r="Y29" s="60">
        <f>VLOOKUP(B29,[1]ESTIMATES!$C:$BX,74,0)</f>
        <v>9630.9590000000007</v>
      </c>
      <c r="Z29" s="60"/>
      <c r="AA29" s="62">
        <f t="shared" si="8"/>
        <v>1.4952170814880046</v>
      </c>
      <c r="AB29" s="62">
        <f t="shared" si="9"/>
        <v>0.31722072943644375</v>
      </c>
      <c r="AC29" s="88">
        <v>37</v>
      </c>
      <c r="AF29" s="62">
        <f t="shared" si="10"/>
        <v>1.2572276577216859</v>
      </c>
      <c r="AG29" s="62">
        <f t="shared" si="11"/>
        <v>0.3020639766590088</v>
      </c>
      <c r="AH29" s="62">
        <f t="shared" si="12"/>
        <v>31.8</v>
      </c>
      <c r="AI29" s="71">
        <f>VLOOKUP(B29,'[2]Table 1'!$B:$P,2,0)</f>
        <v>0.86275666039651411</v>
      </c>
      <c r="AJ29" s="70">
        <v>3.6</v>
      </c>
    </row>
    <row r="30" spans="1:36" x14ac:dyDescent="0.2">
      <c r="A30" s="89">
        <v>61</v>
      </c>
      <c r="B30" s="82" t="s">
        <v>117</v>
      </c>
      <c r="C30" s="85">
        <f t="array" ref="C30">MMULT('Data_Matrix (2014)'!B$126:AA$126,TRANSPOSE('Data_Matrix (2014)'!B32:AA32))</f>
        <v>1.1507065198150586</v>
      </c>
      <c r="D30" s="62">
        <f>VLOOKUP(B30,Data_ITU!A:S,16,0)</f>
        <v>96.3</v>
      </c>
      <c r="E30" s="62">
        <f t="shared" si="0"/>
        <v>2.7758582103290337</v>
      </c>
      <c r="F30" s="62">
        <f t="shared" si="1"/>
        <v>0.67096774530724479</v>
      </c>
      <c r="G30" s="88">
        <v>5</v>
      </c>
      <c r="H30" s="85">
        <f t="array" ref="H30">MMULT('Data_Matrix (2015)'!B$126:AA$126,TRANSPOSE('Data_Matrix (2015)'!B32:AA32))</f>
        <v>0.71346968447901049</v>
      </c>
      <c r="I30" s="63">
        <f>VLOOKUP(B30,Data_ITU!A:S,17,0)</f>
        <v>96.810299999999998</v>
      </c>
      <c r="J30" s="63">
        <f t="shared" si="2"/>
        <v>1.4736876898995794</v>
      </c>
      <c r="K30" s="62">
        <f t="shared" si="3"/>
        <v>0.42747566517081798</v>
      </c>
      <c r="L30" s="87">
        <v>18</v>
      </c>
      <c r="M30" s="93">
        <f t="array" ref="M30">MMULT('Data_Matrix (2016)'!B$126:AA$126,TRANSPOSE('Data_Matrix (2016)'!B32:AA32))</f>
        <v>-1.1210388348215947</v>
      </c>
      <c r="N30" s="62">
        <f>VLOOKUP(B30,Data_ITU!A:S,18,0)</f>
        <v>97.298203670000007</v>
      </c>
      <c r="O30" s="62">
        <f t="shared" si="4"/>
        <v>1.2715748649744534</v>
      </c>
      <c r="P30" s="62">
        <f t="shared" si="5"/>
        <v>0.30721544742631957</v>
      </c>
      <c r="Q30" s="88">
        <v>28</v>
      </c>
      <c r="R30" s="85">
        <f t="array" ref="R30">MMULT('Data_Matrix (2017)'!B$126:AA$126,TRANSPOSE('Data_Matrix (2017)'!B32:AA32))</f>
        <v>-0.36439669218340143</v>
      </c>
      <c r="S30" s="62">
        <f>VLOOKUP(B30,Data_ITU!A:S,19,0)</f>
        <v>96.357601299999999</v>
      </c>
      <c r="T30" s="62">
        <f t="shared" si="6"/>
        <v>0.89348591965516366</v>
      </c>
      <c r="U30" s="62">
        <f t="shared" si="7"/>
        <v>0.20973308929701401</v>
      </c>
      <c r="V30" s="88">
        <v>48</v>
      </c>
      <c r="W30" s="85">
        <f t="array" ref="W30">MMULT('Data_Matrix (2018)'!B$128:AA$128,TRANSPOSE('Data_Matrix (2018)'!B33:AA33))</f>
        <v>-1.6203184964265236</v>
      </c>
      <c r="X30" s="63">
        <v>96.491657988709406</v>
      </c>
      <c r="Y30" s="60">
        <f>VLOOKUP(B30,[1]ESTIMATES!$C:$BX,74,0)</f>
        <v>5337.9620000000004</v>
      </c>
      <c r="Z30" s="60"/>
      <c r="AA30" s="62">
        <f t="shared" si="8"/>
        <v>0.68121353819170272</v>
      </c>
      <c r="AB30" s="62">
        <f t="shared" si="9"/>
        <v>0.14452420197881902</v>
      </c>
      <c r="AC30" s="88">
        <v>62</v>
      </c>
      <c r="AF30" s="62">
        <f t="shared" si="10"/>
        <v>1.4191640446099865</v>
      </c>
      <c r="AG30" s="62">
        <f t="shared" si="11"/>
        <v>0.35198322983604308</v>
      </c>
      <c r="AH30" s="62">
        <f t="shared" si="12"/>
        <v>32.200000000000003</v>
      </c>
      <c r="AI30" s="71">
        <f>VLOOKUP(B30,'[2]Table 1'!$B:$P,2,0)</f>
        <v>0.95252201967581829</v>
      </c>
      <c r="AJ30" s="70">
        <v>14.4</v>
      </c>
    </row>
    <row r="31" spans="1:36" x14ac:dyDescent="0.2">
      <c r="A31" s="89">
        <v>35</v>
      </c>
      <c r="B31" s="82" t="s">
        <v>94</v>
      </c>
      <c r="C31" s="85">
        <f t="array" ref="C31">MMULT('Data_Matrix (2014)'!B$126:AA$126,TRANSPOSE('Data_Matrix (2014)'!B19:AA19))</f>
        <v>-1.7318046020219442</v>
      </c>
      <c r="D31" s="62">
        <f>VLOOKUP(B31,Data_ITU!A:S,16,0)</f>
        <v>89.106833016607496</v>
      </c>
      <c r="E31" s="62">
        <f t="shared" si="0"/>
        <v>0</v>
      </c>
      <c r="F31" s="62">
        <f t="shared" si="1"/>
        <v>0</v>
      </c>
      <c r="G31" s="88">
        <v>65</v>
      </c>
      <c r="H31" s="85">
        <f t="array" ref="H31">MMULT('Data_Matrix (2015)'!B$126:AA$126,TRANSPOSE('Data_Matrix (2015)'!B19:AA19))</f>
        <v>4.86583067894234E-2</v>
      </c>
      <c r="I31" s="63">
        <f>VLOOKUP(B31,Data_ITU!A:S,17,0)</f>
        <v>91.058028392996206</v>
      </c>
      <c r="J31" s="63">
        <f t="shared" si="2"/>
        <v>0.78076002428305391</v>
      </c>
      <c r="K31" s="62">
        <f t="shared" si="3"/>
        <v>0.22647669041866353</v>
      </c>
      <c r="L31" s="87">
        <v>35</v>
      </c>
      <c r="M31" s="93">
        <f t="array" ref="M31">MMULT('Data_Matrix (2016)'!B$126:AA$126,TRANSPOSE('Data_Matrix (2016)'!B19:AA19))</f>
        <v>-4.7687342670762911E-2</v>
      </c>
      <c r="N31" s="62">
        <f>VLOOKUP(B31,Data_ITU!A:S,18,0)</f>
        <v>93.182721279999996</v>
      </c>
      <c r="O31" s="62">
        <f t="shared" si="4"/>
        <v>2.2179684045453762</v>
      </c>
      <c r="P31" s="62">
        <f t="shared" si="5"/>
        <v>0.53586632965848813</v>
      </c>
      <c r="Q31" s="88">
        <v>12</v>
      </c>
      <c r="R31" s="85">
        <f t="array" ref="R31">MMULT('Data_Matrix (2017)'!B$126:AA$126,TRANSPOSE('Data_Matrix (2017)'!B19:AA19))</f>
        <v>0.34809457171661007</v>
      </c>
      <c r="S31" s="62">
        <f>VLOOKUP(B31,Data_ITU!A:S,19,0)</f>
        <v>84.588065830000005</v>
      </c>
      <c r="T31" s="62">
        <f t="shared" si="6"/>
        <v>1.3870342523827417</v>
      </c>
      <c r="U31" s="62">
        <f t="shared" si="7"/>
        <v>0.32558652835321755</v>
      </c>
      <c r="V31" s="88">
        <v>27</v>
      </c>
      <c r="W31" s="85">
        <f t="array" ref="W31">MMULT('Data_Matrix (2018)'!B$128:AA$128,TRANSPOSE('Data_Matrix (2018)'!B20:AA20))</f>
        <v>-9.2767298446626456E-2</v>
      </c>
      <c r="X31" s="63">
        <v>94</v>
      </c>
      <c r="Y31" s="60">
        <f>VLOOKUP(B31,[1]ESTIMATES!$C:$BX,74,0)</f>
        <v>127202.192</v>
      </c>
      <c r="Z31" s="60"/>
      <c r="AA31" s="62">
        <f t="shared" si="8"/>
        <v>2.0995210125221528</v>
      </c>
      <c r="AB31" s="62">
        <f t="shared" si="9"/>
        <v>0.44542802199438453</v>
      </c>
      <c r="AC31" s="88">
        <v>25</v>
      </c>
      <c r="AF31" s="62">
        <f t="shared" si="10"/>
        <v>1.2970567387466652</v>
      </c>
      <c r="AG31" s="62">
        <f t="shared" si="11"/>
        <v>0.30667151408495075</v>
      </c>
      <c r="AH31" s="62">
        <f t="shared" si="12"/>
        <v>32.799999999999997</v>
      </c>
      <c r="AI31" s="71">
        <f>VLOOKUP(B31,'[2]Table 1'!$B:$P,2,0)</f>
        <v>0.90915295664779872</v>
      </c>
      <c r="AJ31" s="70">
        <v>-8.8000000000000007</v>
      </c>
    </row>
    <row r="32" spans="1:36" x14ac:dyDescent="0.2">
      <c r="A32" s="89">
        <v>26</v>
      </c>
      <c r="B32" s="82" t="s">
        <v>126</v>
      </c>
      <c r="C32" s="85">
        <f t="array" ref="C32">MMULT('Data_Matrix (2014)'!B$126:AA$126,TRANSPOSE('Data_Matrix (2014)'!B38:AA38))</f>
        <v>0.16384298931385433</v>
      </c>
      <c r="D32" s="62">
        <f>VLOOKUP(B32,Data_ITU!A:S,16,0)</f>
        <v>49</v>
      </c>
      <c r="E32" s="62">
        <f t="shared" si="0"/>
        <v>0.92886731975454129</v>
      </c>
      <c r="F32" s="62">
        <f t="shared" si="1"/>
        <v>0.22452155838010654</v>
      </c>
      <c r="G32" s="88">
        <v>46</v>
      </c>
      <c r="H32" s="85">
        <f t="array" ref="H32">MMULT('Data_Matrix (2015)'!B$126:AA$126,TRANSPOSE('Data_Matrix (2015)'!B38:AA38))</f>
        <v>2.1146874228254098</v>
      </c>
      <c r="I32" s="63">
        <f>VLOOKUP(B32,Data_ITU!A:S,17,0)</f>
        <v>51.919115722747001</v>
      </c>
      <c r="J32" s="63">
        <f t="shared" si="2"/>
        <v>1.5178347894850663</v>
      </c>
      <c r="K32" s="62">
        <f t="shared" si="3"/>
        <v>0.44028150652378084</v>
      </c>
      <c r="L32" s="87">
        <v>17</v>
      </c>
      <c r="M32" s="93">
        <f t="array" ref="M32">MMULT('Data_Matrix (2016)'!B$126:AA$126,TRANSPOSE('Data_Matrix (2016)'!B38:AA38))</f>
        <v>-0.26552844789958113</v>
      </c>
      <c r="N32" s="62">
        <f>VLOOKUP(B32,Data_ITU!A:S,18,0)</f>
        <v>54</v>
      </c>
      <c r="O32" s="62">
        <f t="shared" si="4"/>
        <v>1.1676930848895219</v>
      </c>
      <c r="P32" s="62">
        <f t="shared" si="5"/>
        <v>0.28211736753554106</v>
      </c>
      <c r="Q32" s="88">
        <v>32</v>
      </c>
      <c r="R32" s="85">
        <f t="array" ref="R32">MMULT('Data_Matrix (2017)'!B$126:AA$126,TRANSPOSE('Data_Matrix (2017)'!B38:AA38))</f>
        <v>1.2136219631128649</v>
      </c>
      <c r="S32" s="62">
        <f>VLOOKUP(B32,Data_ITU!A:S,19,0)</f>
        <v>56.167394467338298</v>
      </c>
      <c r="T32" s="62">
        <f t="shared" si="6"/>
        <v>1.4071499930512998</v>
      </c>
      <c r="U32" s="62">
        <f t="shared" si="7"/>
        <v>0.33030841186710946</v>
      </c>
      <c r="V32" s="88">
        <v>25</v>
      </c>
      <c r="W32" s="85">
        <f t="array" ref="W32">MMULT('Data_Matrix (2018)'!B$128:AA$128,TRANSPOSE('Data_Matrix (2018)'!B39:AA39))</f>
        <v>-0.17872860577609412</v>
      </c>
      <c r="X32" s="63">
        <v>63.329997145997339</v>
      </c>
      <c r="Y32" s="60">
        <f>VLOOKUP(B32,[1]ESTIMATES!$C:$BX,74,0)</f>
        <v>57792.517999999996</v>
      </c>
      <c r="Z32" s="60">
        <v>36600</v>
      </c>
      <c r="AA32" s="62">
        <f t="shared" si="8"/>
        <v>1.3600570866384945</v>
      </c>
      <c r="AB32" s="62">
        <f t="shared" si="9"/>
        <v>0.28854559410818836</v>
      </c>
      <c r="AC32" s="88">
        <v>45</v>
      </c>
      <c r="AD32" s="70" t="s">
        <v>1344</v>
      </c>
      <c r="AF32" s="62">
        <f t="shared" si="10"/>
        <v>1.2763204547637848</v>
      </c>
      <c r="AG32" s="62">
        <f t="shared" si="11"/>
        <v>0.3131548876829453</v>
      </c>
      <c r="AH32" s="62">
        <f t="shared" si="12"/>
        <v>33</v>
      </c>
      <c r="AI32" s="71">
        <f>VLOOKUP(B32,'[2]Table 1'!$B:$P,2,0)</f>
        <v>0.69903005468226886</v>
      </c>
      <c r="AJ32" s="70">
        <v>0.6</v>
      </c>
    </row>
    <row r="33" spans="1:36" x14ac:dyDescent="0.2">
      <c r="A33" s="89">
        <v>21</v>
      </c>
      <c r="B33" s="82" t="s">
        <v>110</v>
      </c>
      <c r="C33" s="85">
        <f t="array" ref="C33">MMULT('Data_Matrix (2014)'!B$126:AA$126,TRANSPOSE('Data_Matrix (2014)'!B42:AA42))</f>
        <v>-0.31224236774928343</v>
      </c>
      <c r="D33" s="62">
        <f>VLOOKUP(B33,Data_ITU!A:S,16,0)</f>
        <v>56.8</v>
      </c>
      <c r="E33" s="62">
        <f t="shared" si="0"/>
        <v>0.80631134906687141</v>
      </c>
      <c r="F33" s="62">
        <f t="shared" si="1"/>
        <v>0.19489788991596713</v>
      </c>
      <c r="G33" s="88">
        <v>51</v>
      </c>
      <c r="H33" s="85">
        <f t="array" ref="H33">MMULT('Data_Matrix (2015)'!B$126:AA$126,TRANSPOSE('Data_Matrix (2015)'!B42:AA42))</f>
        <v>1.1974694586477681</v>
      </c>
      <c r="I33" s="63">
        <f>VLOOKUP(B33,Data_ITU!A:S,17,0)</f>
        <v>57.08</v>
      </c>
      <c r="J33" s="63">
        <f t="shared" si="2"/>
        <v>1.1451631837970471</v>
      </c>
      <c r="K33" s="62">
        <f t="shared" si="3"/>
        <v>0.33217987574839014</v>
      </c>
      <c r="L33" s="87">
        <v>26</v>
      </c>
      <c r="M33" s="93">
        <f t="array" ref="M33">MMULT('Data_Matrix (2016)'!B$126:AA$126,TRANSPOSE('Data_Matrix (2016)'!B42:AA42))</f>
        <v>-9.0535176639251036E-2</v>
      </c>
      <c r="N33" s="62">
        <f>VLOOKUP(B33,Data_ITU!A:S,18,0)</f>
        <v>58.271236420000001</v>
      </c>
      <c r="O33" s="62">
        <f t="shared" si="4"/>
        <v>1.3620248134743926</v>
      </c>
      <c r="P33" s="62">
        <f t="shared" si="5"/>
        <v>0.32906836553873814</v>
      </c>
      <c r="Q33" s="88">
        <v>27</v>
      </c>
      <c r="R33" s="85">
        <f t="array" ref="R33">MMULT('Data_Matrix (2017)'!B$126:AA$126,TRANSPOSE('Data_Matrix (2017)'!B42:AA42))</f>
        <v>1.4251399279830814</v>
      </c>
      <c r="S33" s="62">
        <f>VLOOKUP(B33,Data_ITU!A:S,19,0)</f>
        <v>61.762212009999999</v>
      </c>
      <c r="T33" s="62">
        <f t="shared" si="6"/>
        <v>1.6779539613783754</v>
      </c>
      <c r="U33" s="62">
        <f t="shared" si="7"/>
        <v>0.39387578503069398</v>
      </c>
      <c r="V33" s="88">
        <v>20</v>
      </c>
      <c r="W33" s="85">
        <f t="array" ref="W33">MMULT('Data_Matrix (2018)'!B$128:AA$128,TRANSPOSE('Data_Matrix (2018)'!B43:AA43))</f>
        <v>-0.26015954539435443</v>
      </c>
      <c r="X33" s="63">
        <v>64.803865192404302</v>
      </c>
      <c r="Y33" s="60">
        <f>VLOOKUP(B33,[1]ESTIMATES!$C:$BX,74,0)</f>
        <v>36029.093000000001</v>
      </c>
      <c r="Z33" s="60"/>
      <c r="AA33" s="62">
        <f t="shared" si="8"/>
        <v>1.3389390631380724</v>
      </c>
      <c r="AB33" s="62">
        <f t="shared" si="9"/>
        <v>0.28406525817436323</v>
      </c>
      <c r="AC33" s="88">
        <v>46</v>
      </c>
      <c r="AF33" s="62">
        <f t="shared" si="10"/>
        <v>1.2660784741709519</v>
      </c>
      <c r="AG33" s="62">
        <f t="shared" si="11"/>
        <v>0.30681743488163049</v>
      </c>
      <c r="AH33" s="62">
        <f t="shared" si="12"/>
        <v>34</v>
      </c>
      <c r="AI33" s="71">
        <f>VLOOKUP(B33,'[2]Table 1'!$B:$P,2,0)</f>
        <v>0.6665125699524036</v>
      </c>
      <c r="AJ33" s="70">
        <v>-1.6</v>
      </c>
    </row>
    <row r="34" spans="1:36" x14ac:dyDescent="0.2">
      <c r="A34" s="89">
        <v>18</v>
      </c>
      <c r="B34" s="82" t="s">
        <v>73</v>
      </c>
      <c r="C34" s="85">
        <f t="array" ref="C34">MMULT('Data_Matrix (2014)'!B$126:AA$126,TRANSPOSE('Data_Matrix (2014)'!B22:AA22))</f>
        <v>2.6506201250758976E-2</v>
      </c>
      <c r="D34" s="62">
        <f>VLOOKUP(B34,Data_ITU!A:S,16,0)</f>
        <v>64.59</v>
      </c>
      <c r="E34" s="62">
        <f t="shared" si="0"/>
        <v>1.1356929478338391</v>
      </c>
      <c r="F34" s="62">
        <f t="shared" si="1"/>
        <v>0.27451450284237855</v>
      </c>
      <c r="G34" s="88">
        <v>37</v>
      </c>
      <c r="H34" s="85">
        <f t="array" ref="H34">MMULT('Data_Matrix (2015)'!B$126:AA$126,TRANSPOSE('Data_Matrix (2015)'!B22:AA22))</f>
        <v>0.77784187241491876</v>
      </c>
      <c r="I34" s="63">
        <f>VLOOKUP(B34,Data_ITU!A:S,17,0)</f>
        <v>68.632900000000006</v>
      </c>
      <c r="J34" s="63">
        <f t="shared" si="2"/>
        <v>1.0889397848229212</v>
      </c>
      <c r="K34" s="62">
        <f t="shared" si="3"/>
        <v>0.31587103701725677</v>
      </c>
      <c r="L34" s="87">
        <v>28</v>
      </c>
      <c r="M34" s="93">
        <f t="array" ref="M34">MMULT('Data_Matrix (2016)'!B$126:AA$126,TRANSPOSE('Data_Matrix (2016)'!B22:AA22))</f>
        <v>-1.0658876325404754</v>
      </c>
      <c r="N34" s="62">
        <f>VLOOKUP(B34,Data_ITU!A:S,18,0)</f>
        <v>70.423567090000006</v>
      </c>
      <c r="O34" s="62">
        <f t="shared" si="4"/>
        <v>0.95919392568504147</v>
      </c>
      <c r="P34" s="62">
        <f t="shared" si="5"/>
        <v>0.2317434853148487</v>
      </c>
      <c r="Q34" s="88">
        <v>42</v>
      </c>
      <c r="R34" s="85">
        <f t="array" ref="R34">MMULT('Data_Matrix (2017)'!B$126:AA$126,TRANSPOSE('Data_Matrix (2017)'!B22:AA22))</f>
        <v>0.67593743340134038</v>
      </c>
      <c r="S34" s="62">
        <f>VLOOKUP(B34,Data_ITU!A:S,19,0)</f>
        <v>73.791213949999999</v>
      </c>
      <c r="T34" s="62">
        <f t="shared" si="6"/>
        <v>1.4519119169892281</v>
      </c>
      <c r="U34" s="62">
        <f t="shared" si="7"/>
        <v>0.34081563574591767</v>
      </c>
      <c r="V34" s="88">
        <v>23</v>
      </c>
      <c r="W34" s="85">
        <f t="array" ref="W34">MMULT('Data_Matrix (2018)'!B$128:AA$128,TRANSPOSE('Data_Matrix (2018)'!B23:AA23))</f>
        <v>-0.38277423930210808</v>
      </c>
      <c r="X34" s="63">
        <v>74.660968279126706</v>
      </c>
      <c r="Y34" s="60">
        <f>VLOOKUP(B34,[1]ESTIMATES!$C:$BX,74,0)</f>
        <v>10256.192999999999</v>
      </c>
      <c r="Z34" s="60"/>
      <c r="AA34" s="62">
        <f t="shared" si="8"/>
        <v>1.4510553685750531</v>
      </c>
      <c r="AB34" s="62">
        <f t="shared" si="9"/>
        <v>0.30785151411857981</v>
      </c>
      <c r="AC34" s="88">
        <v>40</v>
      </c>
      <c r="AF34" s="62">
        <f t="shared" si="10"/>
        <v>1.2173587887812167</v>
      </c>
      <c r="AG34" s="62">
        <f t="shared" si="11"/>
        <v>0.29415923500779628</v>
      </c>
      <c r="AH34" s="62">
        <f t="shared" si="12"/>
        <v>34</v>
      </c>
      <c r="AI34" s="71">
        <f>VLOOKUP(B34,'[2]Table 1'!$B:$P,2,0)</f>
        <v>0.84711334071287581</v>
      </c>
      <c r="AJ34" s="70">
        <v>0.1</v>
      </c>
    </row>
    <row r="35" spans="1:36" x14ac:dyDescent="0.2">
      <c r="A35" s="89">
        <v>17</v>
      </c>
      <c r="B35" s="82" t="s">
        <v>133</v>
      </c>
      <c r="C35" s="85">
        <f t="array" ref="C35">MMULT('Data_Matrix (2014)'!B$126:AA$126,TRANSPOSE('Data_Matrix (2014)'!B47:AA47))</f>
        <v>-0.18783327058945798</v>
      </c>
      <c r="D35" s="62">
        <f>VLOOKUP(B35,Data_ITU!A:S,16,0)</f>
        <v>85.5</v>
      </c>
      <c r="E35" s="62">
        <f t="shared" ref="E35:E66" si="13">(C35-MIN(C$3:C$67))*D35/100</f>
        <v>1.3200954883747757</v>
      </c>
      <c r="F35" s="62">
        <f t="shared" ref="F35:F66" si="14">E35/MAX(E$3:E$67)</f>
        <v>0.31908744118457655</v>
      </c>
      <c r="G35" s="88">
        <v>33</v>
      </c>
      <c r="H35" s="85">
        <f t="array" ref="H35">MMULT('Data_Matrix (2015)'!B$126:AA$126,TRANSPOSE('Data_Matrix (2015)'!B47:AA47))</f>
        <v>0.13102482888389855</v>
      </c>
      <c r="I35" s="63">
        <f>VLOOKUP(B35,Data_ITU!A:S,17,0)</f>
        <v>88.222888817949993</v>
      </c>
      <c r="J35" s="63">
        <f t="shared" ref="J35:J66" si="15">(H35-MIN(H$3:H$67))*I35/100</f>
        <v>0.82911677576217424</v>
      </c>
      <c r="K35" s="62">
        <f t="shared" ref="K35:K66" si="16">J35/MAX(J$3:J$67)</f>
        <v>0.24050363428588514</v>
      </c>
      <c r="L35" s="87">
        <v>34</v>
      </c>
      <c r="M35" s="93">
        <f t="array" ref="M35">MMULT('Data_Matrix (2016)'!B$126:AA$126,TRANSPOSE('Data_Matrix (2016)'!B47:AA47))</f>
        <v>-1.1114008924645202</v>
      </c>
      <c r="N35" s="62">
        <f>VLOOKUP(B35,Data_ITU!A:S,18,0)</f>
        <v>88.470186347099002</v>
      </c>
      <c r="O35" s="62">
        <f t="shared" ref="O35:O66" si="17">(M35-MIN(M$3:M$67))*N35/100</f>
        <v>1.1647296056715795</v>
      </c>
      <c r="P35" s="62">
        <f t="shared" ref="P35:P66" si="18">O35/MAX(O$3:O$67)</f>
        <v>0.28140138405792092</v>
      </c>
      <c r="Q35" s="88">
        <v>33</v>
      </c>
      <c r="R35" s="85">
        <f t="array" ref="R35">MMULT('Data_Matrix (2017)'!B$126:AA$126,TRANSPOSE('Data_Matrix (2017)'!B47:AA47))</f>
        <v>-0.51587017048600592</v>
      </c>
      <c r="S35" s="62">
        <f>VLOOKUP(B35,Data_ITU!A:S,19,0)</f>
        <v>90.811093072382704</v>
      </c>
      <c r="T35" s="62">
        <f t="shared" ref="T35:T66" si="19">(R35-MIN(R$3:R$67))*S35/100</f>
        <v>0.70450062159028259</v>
      </c>
      <c r="U35" s="62">
        <f t="shared" ref="U35:U66" si="20">T35/MAX(T$3:T$67)</f>
        <v>0.16537148322921832</v>
      </c>
      <c r="V35" s="88">
        <v>56</v>
      </c>
      <c r="W35" s="85">
        <f t="array" ref="W35">MMULT('Data_Matrix (2018)'!B$128:AA$128,TRANSPOSE('Data_Matrix (2018)'!B48:AA48))</f>
        <v>0.34036536773403009</v>
      </c>
      <c r="X35" s="63">
        <v>88</v>
      </c>
      <c r="Y35" s="60">
        <f>VLOOKUP(B35,[1]ESTIMATES!$C:$BX,74,0)</f>
        <v>4743.1310000000003</v>
      </c>
      <c r="Z35" s="60"/>
      <c r="AA35" s="62">
        <f t="shared" ref="AA35:AA67" si="21">(W35-MIN(W$3:W$67))*X35/100</f>
        <v>2.3466657792384398</v>
      </c>
      <c r="AB35" s="62">
        <f t="shared" ref="AB35:AB66" si="22">AA35/MAX(AA$3:AA$67)</f>
        <v>0.49786150750280245</v>
      </c>
      <c r="AC35" s="88">
        <v>16</v>
      </c>
      <c r="AF35" s="62">
        <f t="shared" ref="AF35:AF67" si="23">AVERAGE(E35,J35,O35,T35,AA35)</f>
        <v>1.2730216541274504</v>
      </c>
      <c r="AG35" s="62">
        <f t="shared" ref="AG35:AG67" si="24">AVERAGE(F35,K35,P35,U35,AB35)</f>
        <v>0.30084509005208071</v>
      </c>
      <c r="AH35" s="62">
        <f t="shared" ref="AH35:AH67" si="25">AVERAGE(G35,L35,Q35,V35,AC35)</f>
        <v>34.4</v>
      </c>
      <c r="AI35" s="71">
        <f>VLOOKUP(B35,'[2]Table 1'!$B:$P,2,0)</f>
        <v>0.91668762945436066</v>
      </c>
      <c r="AJ35" s="70">
        <v>-1.2</v>
      </c>
    </row>
    <row r="36" spans="1:36" x14ac:dyDescent="0.2">
      <c r="A36" s="89">
        <v>46</v>
      </c>
      <c r="B36" s="82" t="s">
        <v>115</v>
      </c>
      <c r="C36" s="85">
        <f t="array" ref="C36">MMULT('Data_Matrix (2014)'!B$126:AA$126,TRANSPOSE('Data_Matrix (2014)'!B44:AA44))</f>
        <v>0.93867621347574848</v>
      </c>
      <c r="D36" s="62">
        <f>VLOOKUP(B36,Data_ITU!A:S,16,0)</f>
        <v>40.200000000000003</v>
      </c>
      <c r="E36" s="62">
        <f t="shared" si="13"/>
        <v>1.0735332878300725</v>
      </c>
      <c r="F36" s="62">
        <f t="shared" si="14"/>
        <v>0.25948955424572512</v>
      </c>
      <c r="G36" s="88">
        <v>39</v>
      </c>
      <c r="H36" s="85">
        <f t="array" ref="H36">MMULT('Data_Matrix (2015)'!B$126:AA$126,TRANSPOSE('Data_Matrix (2015)'!B44:AA44))</f>
        <v>2.0473610858156213</v>
      </c>
      <c r="I36" s="63">
        <f>VLOOKUP(B36,Data_ITU!A:S,17,0)</f>
        <v>40.852600909046799</v>
      </c>
      <c r="J36" s="63">
        <f t="shared" si="15"/>
        <v>1.1668050512039425</v>
      </c>
      <c r="K36" s="62">
        <f t="shared" si="16"/>
        <v>0.3384575774138846</v>
      </c>
      <c r="L36" s="87">
        <v>25</v>
      </c>
      <c r="M36" s="93">
        <f t="array" ref="M36">MMULT('Data_Matrix (2016)'!B$126:AA$126,TRANSPOSE('Data_Matrix (2016)'!B44:AA44))</f>
        <v>0.90472906177766221</v>
      </c>
      <c r="N36" s="62">
        <f>VLOOKUP(B36,Data_ITU!A:S,18,0)</f>
        <v>45.461740689999999</v>
      </c>
      <c r="O36" s="62">
        <f t="shared" si="17"/>
        <v>1.5150816609501572</v>
      </c>
      <c r="P36" s="62">
        <f t="shared" si="18"/>
        <v>0.36604725618382306</v>
      </c>
      <c r="Q36" s="88">
        <v>23</v>
      </c>
      <c r="R36" s="85">
        <f t="array" ref="R36">MMULT('Data_Matrix (2017)'!B$126:AA$126,TRANSPOSE('Data_Matrix (2017)'!B44:AA44))</f>
        <v>1.3092175868358273</v>
      </c>
      <c r="S36" s="62">
        <f>VLOOKUP(B36,Data_ITU!A:S,19,0)</f>
        <v>48.727631459999998</v>
      </c>
      <c r="T36" s="62">
        <f t="shared" si="19"/>
        <v>1.2673446487643052</v>
      </c>
      <c r="U36" s="62">
        <f t="shared" si="20"/>
        <v>0.2974910992351873</v>
      </c>
      <c r="V36" s="88">
        <v>34</v>
      </c>
      <c r="W36" s="85">
        <f t="array" ref="W36">MMULT('Data_Matrix (2018)'!B$128:AA$128,TRANSPOSE('Data_Matrix (2018)'!B45:AA45))</f>
        <v>-2.0292128443929233E-2</v>
      </c>
      <c r="X36" s="63">
        <v>52.540311572038398</v>
      </c>
      <c r="Y36" s="60">
        <f>VLOOKUP(B36,[1]ESTIMATES!$C:$BX,74,0)</f>
        <v>31989.26</v>
      </c>
      <c r="Z36" s="60"/>
      <c r="AA36" s="62">
        <f t="shared" si="21"/>
        <v>1.2115838732164139</v>
      </c>
      <c r="AB36" s="62">
        <f t="shared" si="22"/>
        <v>0.25704596663158574</v>
      </c>
      <c r="AC36" s="88">
        <v>54</v>
      </c>
      <c r="AF36" s="62">
        <f t="shared" si="23"/>
        <v>1.2468697043929784</v>
      </c>
      <c r="AG36" s="62">
        <f t="shared" si="24"/>
        <v>0.30370629074204114</v>
      </c>
      <c r="AH36" s="62">
        <f t="shared" si="25"/>
        <v>35</v>
      </c>
      <c r="AI36" s="71">
        <f>VLOOKUP(B36,'[2]Table 1'!$B:$P,2,0)</f>
        <v>0.74977285457469078</v>
      </c>
      <c r="AJ36" s="70">
        <v>3.9</v>
      </c>
    </row>
    <row r="37" spans="1:36" x14ac:dyDescent="0.2">
      <c r="A37" s="89">
        <v>63</v>
      </c>
      <c r="B37" s="82" t="s">
        <v>161</v>
      </c>
      <c r="C37" s="85">
        <f t="array" ref="C37">MMULT('Data_Matrix (2014)'!B$126:AA$126,TRANSPOSE('Data_Matrix (2014)'!B62:AA62))</f>
        <v>1.0685886998279497</v>
      </c>
      <c r="D37" s="62">
        <f>VLOOKUP(B37,Data_ITU!A:S,16,0)</f>
        <v>55.638460224229298</v>
      </c>
      <c r="E37" s="62">
        <f t="shared" si="13"/>
        <v>1.5580957133717348</v>
      </c>
      <c r="F37" s="62">
        <f t="shared" si="14"/>
        <v>0.37661576657043905</v>
      </c>
      <c r="G37" s="88">
        <v>21</v>
      </c>
      <c r="H37" s="85">
        <f t="array" ref="H37">MMULT('Data_Matrix (2015)'!B$126:AA$126,TRANSPOSE('Data_Matrix (2015)'!B62:AA62))</f>
        <v>0.15782701297799934</v>
      </c>
      <c r="I37" s="63">
        <f>VLOOKUP(B37,Data_ITU!A:S,17,0)</f>
        <v>58.1417349568747</v>
      </c>
      <c r="J37" s="63">
        <f t="shared" si="15"/>
        <v>0.56199800582393322</v>
      </c>
      <c r="K37" s="62">
        <f t="shared" si="16"/>
        <v>0.16301993496371653</v>
      </c>
      <c r="L37" s="87">
        <v>44</v>
      </c>
      <c r="M37" s="93">
        <f t="array" ref="M37">MMULT('Data_Matrix (2016)'!B$126:AA$126,TRANSPOSE('Data_Matrix (2016)'!B62:AA62))</f>
        <v>-0.50894249052256391</v>
      </c>
      <c r="N37" s="62">
        <f>VLOOKUP(B37,Data_ITU!A:S,18,0)</f>
        <v>61.324252770000001</v>
      </c>
      <c r="O37" s="62">
        <f t="shared" si="17"/>
        <v>1.1768004886232086</v>
      </c>
      <c r="P37" s="62">
        <f t="shared" si="18"/>
        <v>0.28431773747836225</v>
      </c>
      <c r="Q37" s="88">
        <v>31</v>
      </c>
      <c r="R37" s="85">
        <f t="array" ref="R37">MMULT('Data_Matrix (2017)'!B$126:AA$126,TRANSPOSE('Data_Matrix (2017)'!B62:AA62))</f>
        <v>0.2656737473989727</v>
      </c>
      <c r="S37" s="62">
        <f>VLOOKUP(B37,Data_ITU!A:S,19,0)</f>
        <v>63.077347000000003</v>
      </c>
      <c r="T37" s="62">
        <f t="shared" si="19"/>
        <v>0.98232300407471795</v>
      </c>
      <c r="U37" s="62">
        <f t="shared" si="20"/>
        <v>0.23058632911823435</v>
      </c>
      <c r="V37" s="88">
        <v>44</v>
      </c>
      <c r="W37" s="85">
        <f t="array" ref="W37">MMULT('Data_Matrix (2018)'!B$128:AA$128,TRANSPOSE('Data_Matrix (2018)'!B63:AA63))</f>
        <v>-0.23008656212621642</v>
      </c>
      <c r="X37" s="63">
        <v>74.3871829234822</v>
      </c>
      <c r="Y37" s="60">
        <f>VLOOKUP(B37,[1]ESTIMATES!$C:$BX,74,0)</f>
        <v>60627.290999999997</v>
      </c>
      <c r="Z37" s="60"/>
      <c r="AA37" s="62">
        <f t="shared" si="21"/>
        <v>1.5593143405862073</v>
      </c>
      <c r="AB37" s="62">
        <f t="shared" si="22"/>
        <v>0.33081940988073999</v>
      </c>
      <c r="AC37" s="88">
        <v>35</v>
      </c>
      <c r="AF37" s="62">
        <f t="shared" si="23"/>
        <v>1.1677063104959604</v>
      </c>
      <c r="AG37" s="62">
        <f t="shared" si="24"/>
        <v>0.27707183560229842</v>
      </c>
      <c r="AH37" s="62">
        <f t="shared" si="25"/>
        <v>35</v>
      </c>
      <c r="AI37" s="71">
        <f>VLOOKUP(B37,'[2]Table 1'!$B:$P,2,0)</f>
        <v>0.87976944514192545</v>
      </c>
      <c r="AJ37" s="70">
        <v>2.8</v>
      </c>
    </row>
    <row r="38" spans="1:36" x14ac:dyDescent="0.2">
      <c r="A38" s="89">
        <v>28</v>
      </c>
      <c r="B38" s="82" t="s">
        <v>43</v>
      </c>
      <c r="C38" s="85">
        <f t="array" ref="C38">MMULT('Data_Matrix (2014)'!B$126:AA$126,TRANSPOSE('Data_Matrix (2014)'!B10:AA10))</f>
        <v>-0.34151081128535221</v>
      </c>
      <c r="D38" s="62">
        <f>VLOOKUP(B38,Data_ITU!A:S,16,0)</f>
        <v>59.02</v>
      </c>
      <c r="E38" s="62">
        <f t="shared" si="13"/>
        <v>0.82055139529273657</v>
      </c>
      <c r="F38" s="62">
        <f t="shared" si="14"/>
        <v>0.19833992873253448</v>
      </c>
      <c r="G38" s="88">
        <v>50</v>
      </c>
      <c r="H38" s="85">
        <f t="array" ref="H38">MMULT('Data_Matrix (2015)'!B$126:AA$126,TRANSPOSE('Data_Matrix (2015)'!B10:AA10))</f>
        <v>0.98346688653278591</v>
      </c>
      <c r="I38" s="63">
        <f>VLOOKUP(B38,Data_ITU!A:S,17,0)</f>
        <v>62.230360906803</v>
      </c>
      <c r="J38" s="63">
        <f t="shared" si="15"/>
        <v>1.115317337059337</v>
      </c>
      <c r="K38" s="62">
        <f t="shared" si="16"/>
        <v>0.3235224286690444</v>
      </c>
      <c r="L38" s="87">
        <v>27</v>
      </c>
      <c r="M38" s="93">
        <f t="array" ref="M38">MMULT('Data_Matrix (2016)'!B$126:AA$126,TRANSPOSE('Data_Matrix (2016)'!B10:AA10))</f>
        <v>-1.0856924079004044</v>
      </c>
      <c r="N38" s="62">
        <f>VLOOKUP(B38,Data_ITU!A:S,18,0)</f>
        <v>71.113045760000006</v>
      </c>
      <c r="O38" s="62">
        <f t="shared" si="17"/>
        <v>0.95450109039877451</v>
      </c>
      <c r="P38" s="62">
        <f t="shared" si="18"/>
        <v>0.2306096853854222</v>
      </c>
      <c r="Q38" s="88">
        <v>43</v>
      </c>
      <c r="R38" s="85">
        <f t="array" ref="R38">MMULT('Data_Matrix (2017)'!B$126:AA$126,TRANSPOSE('Data_Matrix (2017)'!B10:AA10))</f>
        <v>0.44627072267638179</v>
      </c>
      <c r="S38" s="62">
        <f>VLOOKUP(B38,Data_ITU!A:S,19,0)</f>
        <v>74.436445410000005</v>
      </c>
      <c r="T38" s="62">
        <f t="shared" si="19"/>
        <v>1.2936517203904092</v>
      </c>
      <c r="U38" s="62">
        <f t="shared" si="20"/>
        <v>0.30366630947759382</v>
      </c>
      <c r="V38" s="88">
        <v>31</v>
      </c>
      <c r="W38" s="85">
        <f t="array" ref="W38">MMULT('Data_Matrix (2018)'!B$128:AA$128,TRANSPOSE('Data_Matrix (2018)'!B11:AA11))</f>
        <v>0.16290585545667929</v>
      </c>
      <c r="X38" s="63">
        <v>79.129886691930693</v>
      </c>
      <c r="Y38" s="60">
        <f>VLOOKUP(B38,[1]ESTIMATES!$C:$BX,74,0)</f>
        <v>9452.6170000000002</v>
      </c>
      <c r="Z38" s="60"/>
      <c r="AA38" s="62">
        <f t="shared" si="21"/>
        <v>1.9697060028173454</v>
      </c>
      <c r="AB38" s="62">
        <f t="shared" si="22"/>
        <v>0.41788686253319329</v>
      </c>
      <c r="AC38" s="88">
        <v>27</v>
      </c>
      <c r="AF38" s="62">
        <f t="shared" si="23"/>
        <v>1.2307455091917205</v>
      </c>
      <c r="AG38" s="62">
        <f t="shared" si="24"/>
        <v>0.29480504295955762</v>
      </c>
      <c r="AH38" s="62">
        <f t="shared" si="25"/>
        <v>35.6</v>
      </c>
      <c r="AI38" s="71">
        <f>VLOOKUP(B38,'[2]Table 1'!$B:$P,2,0)</f>
        <v>0.80752959552767289</v>
      </c>
      <c r="AJ38" s="70">
        <v>-4.2</v>
      </c>
    </row>
    <row r="39" spans="1:36" x14ac:dyDescent="0.2">
      <c r="A39" s="89">
        <v>53</v>
      </c>
      <c r="B39" s="82" t="s">
        <v>67</v>
      </c>
      <c r="C39" s="85">
        <f t="array" ref="C39">MMULT('Data_Matrix (2014)'!B$126:AA$126,TRANSPOSE('Data_Matrix (2014)'!B25:AA25))</f>
        <v>0.94887375109595884</v>
      </c>
      <c r="D39" s="62">
        <f>VLOOKUP(B39,Data_ITU!A:S,16,0)</f>
        <v>75.653197454410304</v>
      </c>
      <c r="E39" s="62">
        <f t="shared" si="13"/>
        <v>2.0280188876019216</v>
      </c>
      <c r="F39" s="62">
        <f t="shared" si="14"/>
        <v>0.49020344605190574</v>
      </c>
      <c r="G39" s="88">
        <v>12</v>
      </c>
      <c r="H39" s="85">
        <f t="array" ref="H39">MMULT('Data_Matrix (2015)'!B$126:AA$126,TRANSPOSE('Data_Matrix (2015)'!B25:AA25))</f>
        <v>-0.40983339805971164</v>
      </c>
      <c r="I39" s="63">
        <f>VLOOKUP(B39,Data_ITU!A:S,17,0)</f>
        <v>72.834699999999998</v>
      </c>
      <c r="J39" s="63">
        <f t="shared" si="15"/>
        <v>0.29056644745382715</v>
      </c>
      <c r="K39" s="62">
        <f t="shared" si="16"/>
        <v>8.4285216096302101E-2</v>
      </c>
      <c r="L39" s="87">
        <v>59</v>
      </c>
      <c r="M39" s="93">
        <f t="array" ref="M39">MMULT('Data_Matrix (2016)'!B$126:AA$126,TRANSPOSE('Data_Matrix (2016)'!B25:AA25))</f>
        <v>-2.0397155490363934</v>
      </c>
      <c r="N39" s="62">
        <f>VLOOKUP(B39,Data_ITU!A:S,18,0)</f>
        <v>79.259412130000001</v>
      </c>
      <c r="O39" s="62">
        <f t="shared" si="17"/>
        <v>0.30769098274915008</v>
      </c>
      <c r="P39" s="62">
        <f t="shared" si="18"/>
        <v>7.4338857693780555E-2</v>
      </c>
      <c r="Q39" s="88">
        <v>63</v>
      </c>
      <c r="R39" s="85">
        <f t="array" ref="R39">MMULT('Data_Matrix (2017)'!B$126:AA$126,TRANSPOSE('Data_Matrix (2017)'!B25:AA25))</f>
        <v>1.3809705832226058</v>
      </c>
      <c r="S39" s="62">
        <f>VLOOKUP(B39,Data_ITU!A:S,19,0)</f>
        <v>76.750547119999993</v>
      </c>
      <c r="T39" s="62">
        <f t="shared" si="19"/>
        <v>2.0512563955422349</v>
      </c>
      <c r="U39" s="62">
        <f t="shared" si="20"/>
        <v>0.48150321265652446</v>
      </c>
      <c r="V39" s="88">
        <v>15</v>
      </c>
      <c r="W39" s="85">
        <f t="array" ref="W39">MMULT('Data_Matrix (2018)'!B$128:AA$128,TRANSPOSE('Data_Matrix (2018)'!B26:AA26))</f>
        <v>-2.1179329993904594E-2</v>
      </c>
      <c r="X39" s="63">
        <v>76.074360636506299</v>
      </c>
      <c r="Y39" s="60">
        <f>VLOOKUP(B39,[1]ESTIMATES!$C:$BX,74,0)</f>
        <v>9707.4989999999998</v>
      </c>
      <c r="Z39" s="60"/>
      <c r="AA39" s="62">
        <f t="shared" si="21"/>
        <v>1.7536060325966156</v>
      </c>
      <c r="AB39" s="62">
        <f t="shared" si="22"/>
        <v>0.37203974706525539</v>
      </c>
      <c r="AC39" s="88">
        <v>30</v>
      </c>
      <c r="AF39" s="62">
        <f t="shared" si="23"/>
        <v>1.2862277491887499</v>
      </c>
      <c r="AG39" s="62">
        <f t="shared" si="24"/>
        <v>0.30047409591275365</v>
      </c>
      <c r="AH39" s="62">
        <f t="shared" si="25"/>
        <v>35.799999999999997</v>
      </c>
      <c r="AI39" s="71">
        <f>VLOOKUP(B39,'[2]Table 1'!$B:$P,2,0)</f>
        <v>0.83784463394834396</v>
      </c>
      <c r="AJ39" s="70">
        <v>-0.8</v>
      </c>
    </row>
    <row r="40" spans="1:36" x14ac:dyDescent="0.2">
      <c r="A40" s="89">
        <v>42</v>
      </c>
      <c r="B40" s="82" t="s">
        <v>68</v>
      </c>
      <c r="C40" s="85">
        <f t="array" ref="C40">MMULT('Data_Matrix (2014)'!B$126:AA$126,TRANSPOSE('Data_Matrix (2014)'!B28:AA28))</f>
        <v>1.2893171078025456E-2</v>
      </c>
      <c r="D40" s="62">
        <f>VLOOKUP(B40,Data_ITU!A:S,16,0)</f>
        <v>55.49</v>
      </c>
      <c r="E40" s="62">
        <f t="shared" si="13"/>
        <v>0.96813279429317323</v>
      </c>
      <c r="F40" s="62">
        <f t="shared" si="14"/>
        <v>0.23401262922139493</v>
      </c>
      <c r="G40" s="88">
        <v>44</v>
      </c>
      <c r="H40" s="85">
        <f t="array" ref="H40">MMULT('Data_Matrix (2015)'!B$126:AA$126,TRANSPOSE('Data_Matrix (2015)'!B28:AA28))</f>
        <v>-5.8977844413738434E-2</v>
      </c>
      <c r="I40" s="63">
        <f>VLOOKUP(B40,Data_ITU!A:S,17,0)</f>
        <v>56.656300000000002</v>
      </c>
      <c r="J40" s="63">
        <f t="shared" si="15"/>
        <v>0.4248061812214195</v>
      </c>
      <c r="K40" s="62">
        <f t="shared" si="16"/>
        <v>0.12322441595388207</v>
      </c>
      <c r="L40" s="87">
        <v>53</v>
      </c>
      <c r="M40" s="93">
        <f t="array" ref="M40">MMULT('Data_Matrix (2016)'!B$126:AA$126,TRANSPOSE('Data_Matrix (2016)'!B28:AA28))</f>
        <v>7.9855149701650696E-2</v>
      </c>
      <c r="N40" s="62">
        <f>VLOOKUP(B40,Data_ITU!A:S,18,0)</f>
        <v>59.825547659999998</v>
      </c>
      <c r="O40" s="62">
        <f t="shared" si="17"/>
        <v>1.5002920417984982</v>
      </c>
      <c r="P40" s="62">
        <f t="shared" si="18"/>
        <v>0.3624740497686168</v>
      </c>
      <c r="Q40" s="88">
        <v>25</v>
      </c>
      <c r="R40" s="85">
        <f t="array" ref="R40">MMULT('Data_Matrix (2017)'!B$126:AA$126,TRANSPOSE('Data_Matrix (2017)'!B28:AA28))</f>
        <v>0.6543146359337515</v>
      </c>
      <c r="S40" s="62">
        <f>VLOOKUP(B40,Data_ITU!A:S,19,0)</f>
        <v>63.41010138</v>
      </c>
      <c r="T40" s="62">
        <f t="shared" si="19"/>
        <v>1.2339426722181053</v>
      </c>
      <c r="U40" s="62">
        <f t="shared" si="20"/>
        <v>0.28965046115063342</v>
      </c>
      <c r="V40" s="88">
        <v>36</v>
      </c>
      <c r="W40" s="85">
        <f t="array" ref="W40">MMULT('Data_Matrix (2018)'!B$128:AA$128,TRANSPOSE('Data_Matrix (2018)'!B29:AA29))</f>
        <v>0.90201694944246069</v>
      </c>
      <c r="X40" s="63">
        <v>64.782010691180005</v>
      </c>
      <c r="Y40" s="60">
        <f>VLOOKUP(B40,[1]ESTIMATES!$C:$BX,74,0)</f>
        <v>7051.6080000000002</v>
      </c>
      <c r="Z40" s="60"/>
      <c r="AA40" s="62">
        <f t="shared" si="21"/>
        <v>2.0913688195192064</v>
      </c>
      <c r="AB40" s="62">
        <f t="shared" si="22"/>
        <v>0.44369847740656598</v>
      </c>
      <c r="AC40" s="88">
        <v>26</v>
      </c>
      <c r="AF40" s="62">
        <f t="shared" si="23"/>
        <v>1.2437085018100804</v>
      </c>
      <c r="AG40" s="62">
        <f t="shared" si="24"/>
        <v>0.29061200670021864</v>
      </c>
      <c r="AH40" s="62">
        <f t="shared" si="25"/>
        <v>36.799999999999997</v>
      </c>
      <c r="AI40" s="71">
        <f>VLOOKUP(B40,'[2]Table 1'!$B:$P,2,0)</f>
        <v>0.81300624867146398</v>
      </c>
      <c r="AJ40" s="70">
        <v>-5.3</v>
      </c>
    </row>
    <row r="41" spans="1:36" x14ac:dyDescent="0.2">
      <c r="A41" s="89">
        <v>41</v>
      </c>
      <c r="B41" s="82" t="s">
        <v>93</v>
      </c>
      <c r="C41" s="85">
        <f t="array" ref="C41">MMULT('Data_Matrix (2014)'!B$126:AA$126,TRANSPOSE('Data_Matrix (2014)'!B27:AA27))</f>
        <v>1.1102126531878245</v>
      </c>
      <c r="D41" s="62">
        <f>VLOOKUP(B41,Data_ITU!A:S,16,0)</f>
        <v>49.6</v>
      </c>
      <c r="E41" s="62">
        <f t="shared" si="13"/>
        <v>1.4096405585840452</v>
      </c>
      <c r="F41" s="62">
        <f t="shared" si="14"/>
        <v>0.34073186583066495</v>
      </c>
      <c r="G41" s="88">
        <v>27</v>
      </c>
      <c r="H41" s="85">
        <f t="array" ref="H41">MMULT('Data_Matrix (2015)'!B$126:AA$126,TRANSPOSE('Data_Matrix (2015)'!B27:AA27))</f>
        <v>0.47477228689729045</v>
      </c>
      <c r="I41" s="63">
        <f>VLOOKUP(B41,Data_ITU!A:S,17,0)</f>
        <v>36</v>
      </c>
      <c r="J41" s="63">
        <f t="shared" si="15"/>
        <v>0.46207629596754529</v>
      </c>
      <c r="K41" s="62">
        <f t="shared" si="16"/>
        <v>0.13403543595580561</v>
      </c>
      <c r="L41" s="87">
        <v>50</v>
      </c>
      <c r="M41" s="93">
        <f t="array" ref="M41">MMULT('Data_Matrix (2016)'!B$126:AA$126,TRANSPOSE('Data_Matrix (2016)'!B27:AA27))</f>
        <v>-0.8305790962295454</v>
      </c>
      <c r="N41" s="62">
        <f>VLOOKUP(B41,Data_ITU!A:S,18,0)</f>
        <v>55.5</v>
      </c>
      <c r="O41" s="62">
        <f t="shared" si="17"/>
        <v>0.88652589409110094</v>
      </c>
      <c r="P41" s="62">
        <f t="shared" si="18"/>
        <v>0.21418671972073569</v>
      </c>
      <c r="Q41" s="88">
        <v>45</v>
      </c>
      <c r="R41" s="85">
        <f t="array" ref="R41">MMULT('Data_Matrix (2017)'!B$126:AA$126,TRANSPOSE('Data_Matrix (2017)'!B27:AA27))</f>
        <v>1.0440966351182088</v>
      </c>
      <c r="S41" s="62">
        <f>VLOOKUP(B41,Data_ITU!A:S,19,0)</f>
        <v>60.054760333691299</v>
      </c>
      <c r="T41" s="62">
        <f t="shared" si="19"/>
        <v>1.4027313281019638</v>
      </c>
      <c r="U41" s="62">
        <f t="shared" si="20"/>
        <v>0.3292711932271668</v>
      </c>
      <c r="V41" s="88">
        <v>26</v>
      </c>
      <c r="W41" s="85">
        <f t="array" ref="W41">MMULT('Data_Matrix (2018)'!B$128:AA$128,TRANSPOSE('Data_Matrix (2018)'!B28:AA28))</f>
        <v>-3.211361890378861E-2</v>
      </c>
      <c r="X41" s="63">
        <v>65.259343914435846</v>
      </c>
      <c r="Y41" s="60">
        <f>VLOOKUP(B41,[1]ESTIMATES!$C:$BX,74,0)</f>
        <v>106651.394</v>
      </c>
      <c r="Z41" s="60">
        <v>69600</v>
      </c>
      <c r="AA41" s="62">
        <f t="shared" si="21"/>
        <v>1.4971711700505537</v>
      </c>
      <c r="AB41" s="62">
        <f t="shared" si="22"/>
        <v>0.31763530295012937</v>
      </c>
      <c r="AC41" s="88">
        <v>36</v>
      </c>
      <c r="AD41" s="70" t="s">
        <v>1344</v>
      </c>
      <c r="AF41" s="62">
        <f t="shared" si="23"/>
        <v>1.131629049359042</v>
      </c>
      <c r="AG41" s="62">
        <f t="shared" si="24"/>
        <v>0.26717210353690046</v>
      </c>
      <c r="AH41" s="62">
        <f t="shared" si="25"/>
        <v>36.799999999999997</v>
      </c>
      <c r="AI41" s="71">
        <f>VLOOKUP(B41,'[2]Table 1'!$B:$P,2,0)</f>
        <v>0.69893237253676199</v>
      </c>
      <c r="AJ41" s="70">
        <v>-0.6</v>
      </c>
    </row>
    <row r="42" spans="1:36" x14ac:dyDescent="0.2">
      <c r="A42" s="89">
        <v>23</v>
      </c>
      <c r="B42" s="82" t="s">
        <v>153</v>
      </c>
      <c r="C42" s="85">
        <f t="array" ref="C42">MMULT('Data_Matrix (2014)'!B$126:AA$126,TRANSPOSE('Data_Matrix (2014)'!B54:AA54))</f>
        <v>1.1916296850813577</v>
      </c>
      <c r="D42" s="62">
        <f>VLOOKUP(B42,Data_ITU!A:S,16,0)</f>
        <v>39.35</v>
      </c>
      <c r="E42" s="62">
        <f t="shared" si="13"/>
        <v>1.1503713919751493</v>
      </c>
      <c r="F42" s="62">
        <f t="shared" si="14"/>
        <v>0.27806250919712167</v>
      </c>
      <c r="G42" s="88">
        <v>36</v>
      </c>
      <c r="H42" s="85">
        <f t="array" ref="H42">MMULT('Data_Matrix (2015)'!B$126:AA$126,TRANSPOSE('Data_Matrix (2015)'!B54:AA54))</f>
        <v>0.64293549984879228</v>
      </c>
      <c r="I42" s="63">
        <f>VLOOKUP(B42,Data_ITU!A:S,17,0)</f>
        <v>45.334975884698601</v>
      </c>
      <c r="J42" s="63">
        <f t="shared" si="15"/>
        <v>0.65813168911015096</v>
      </c>
      <c r="K42" s="62">
        <f t="shared" si="16"/>
        <v>0.19090563319527126</v>
      </c>
      <c r="L42" s="87">
        <v>37</v>
      </c>
      <c r="M42" s="93">
        <f t="array" ref="M42">MMULT('Data_Matrix (2016)'!B$126:AA$126,TRANSPOSE('Data_Matrix (2016)'!B54:AA54))</f>
        <v>-0.38755959031593501</v>
      </c>
      <c r="N42" s="62">
        <f>VLOOKUP(B42,Data_ITU!A:S,18,0)</f>
        <v>53.226771669999998</v>
      </c>
      <c r="O42" s="62">
        <f t="shared" si="17"/>
        <v>1.0860195996829496</v>
      </c>
      <c r="P42" s="62">
        <f t="shared" si="18"/>
        <v>0.26238486338517936</v>
      </c>
      <c r="Q42" s="88">
        <v>37</v>
      </c>
      <c r="R42" s="85">
        <f t="array" ref="R42">MMULT('Data_Matrix (2017)'!B$126:AA$126,TRANSPOSE('Data_Matrix (2017)'!B54:AA54))</f>
        <v>0.69733492516482554</v>
      </c>
      <c r="S42" s="62">
        <f>VLOOKUP(B42,Data_ITU!A:S,19,0)</f>
        <v>64.043973620000003</v>
      </c>
      <c r="T42" s="62">
        <f t="shared" si="19"/>
        <v>1.2738295497531178</v>
      </c>
      <c r="U42" s="62">
        <f t="shared" si="20"/>
        <v>0.2990133373457709</v>
      </c>
      <c r="V42" s="88">
        <v>33</v>
      </c>
      <c r="W42" s="85">
        <f t="array" ref="W42">MMULT('Data_Matrix (2018)'!B$128:AA$128,TRANSPOSE('Data_Matrix (2018)'!B55:AA55))</f>
        <v>-0.46216872627736599</v>
      </c>
      <c r="X42" s="63">
        <v>70.004552218067104</v>
      </c>
      <c r="Y42" s="60" t="e">
        <f>VLOOKUP(B42,[1]ESTIMATES!$C:$BX,74,0)</f>
        <v>#N/A</v>
      </c>
      <c r="Z42" s="60"/>
      <c r="AA42" s="62">
        <f t="shared" si="21"/>
        <v>1.3049769542837333</v>
      </c>
      <c r="AB42" s="62">
        <f t="shared" si="22"/>
        <v>0.27685995997562152</v>
      </c>
      <c r="AC42" s="88">
        <v>47</v>
      </c>
      <c r="AF42" s="62">
        <f t="shared" si="23"/>
        <v>1.09466583696102</v>
      </c>
      <c r="AG42" s="62">
        <f t="shared" si="24"/>
        <v>0.2614452606197929</v>
      </c>
      <c r="AH42" s="62">
        <f t="shared" si="25"/>
        <v>38</v>
      </c>
      <c r="AI42" s="71">
        <f>VLOOKUP(B42,'[2]Table 1'!$B:$P,2,0)</f>
        <v>0.79805734320084043</v>
      </c>
      <c r="AJ42" s="70">
        <v>1.8</v>
      </c>
    </row>
    <row r="43" spans="1:36" x14ac:dyDescent="0.2">
      <c r="A43" s="89">
        <v>56</v>
      </c>
      <c r="B43" s="82" t="s">
        <v>159</v>
      </c>
      <c r="C43" s="85">
        <f t="array" ref="C43">MMULT('Data_Matrix (2014)'!B$126:AA$126,TRANSPOSE('Data_Matrix (2014)'!B60:AA60))</f>
        <v>0.15399673223474081</v>
      </c>
      <c r="D43" s="62">
        <f>VLOOKUP(B43,Data_ITU!A:S,16,0)</f>
        <v>61.11</v>
      </c>
      <c r="E43" s="62">
        <f t="shared" si="13"/>
        <v>1.1524131953642602</v>
      </c>
      <c r="F43" s="62">
        <f t="shared" si="14"/>
        <v>0.27855604456980559</v>
      </c>
      <c r="G43" s="88">
        <v>35</v>
      </c>
      <c r="H43" s="85">
        <f t="array" ref="H43">MMULT('Data_Matrix (2015)'!B$126:AA$126,TRANSPOSE('Data_Matrix (2015)'!B60:AA60))</f>
        <v>0.18617707374136311</v>
      </c>
      <c r="I43" s="63">
        <f>VLOOKUP(B43,Data_ITU!A:S,17,0)</f>
        <v>76.63</v>
      </c>
      <c r="J43" s="63">
        <f t="shared" si="15"/>
        <v>0.76243022593619603</v>
      </c>
      <c r="K43" s="62">
        <f t="shared" si="16"/>
        <v>0.22115972754079355</v>
      </c>
      <c r="L43" s="87">
        <v>36</v>
      </c>
      <c r="M43" s="93">
        <f t="array" ref="M43">MMULT('Data_Matrix (2016)'!B$126:AA$126,TRANSPOSE('Data_Matrix (2016)'!B60:AA60))</f>
        <v>-1.6964423359502676</v>
      </c>
      <c r="N43" s="62">
        <f>VLOOKUP(B43,Data_ITU!A:S,18,0)</f>
        <v>83.558586020000007</v>
      </c>
      <c r="O43" s="62">
        <f t="shared" si="17"/>
        <v>0.6112149412903054</v>
      </c>
      <c r="P43" s="62">
        <f t="shared" si="18"/>
        <v>0.14767095263865987</v>
      </c>
      <c r="Q43" s="88">
        <v>56</v>
      </c>
      <c r="R43" s="85">
        <f t="array" ref="R43">MMULT('Data_Matrix (2017)'!B$126:AA$126,TRANSPOSE('Data_Matrix (2017)'!B60:AA60))</f>
        <v>0.15821637612485745</v>
      </c>
      <c r="S43" s="62">
        <f>VLOOKUP(B43,Data_ITU!A:S,19,0)</f>
        <v>82.327486930000006</v>
      </c>
      <c r="T43" s="62">
        <f t="shared" si="19"/>
        <v>1.1936444246494593</v>
      </c>
      <c r="U43" s="62">
        <f t="shared" si="20"/>
        <v>0.28019102170127985</v>
      </c>
      <c r="V43" s="88">
        <v>37</v>
      </c>
      <c r="W43" s="85">
        <f t="array" ref="W43">MMULT('Data_Matrix (2018)'!B$128:AA$128,TRANSPOSE('Data_Matrix (2018)'!B61:AA61))</f>
        <v>-4.9260890706517867E-2</v>
      </c>
      <c r="X43" s="63">
        <v>80.302586982010936</v>
      </c>
      <c r="Y43" s="60">
        <f>VLOOKUP(B43,[1]ESTIMATES!$C:$BX,74,0)</f>
        <v>18729.16</v>
      </c>
      <c r="Z43" s="60">
        <v>15040</v>
      </c>
      <c r="AA43" s="62">
        <f t="shared" si="21"/>
        <v>1.8285215446269709</v>
      </c>
      <c r="AB43" s="62">
        <f t="shared" si="22"/>
        <v>0.38793359530080651</v>
      </c>
      <c r="AC43" s="88">
        <v>28</v>
      </c>
      <c r="AD43" s="70" t="s">
        <v>1344</v>
      </c>
      <c r="AF43" s="62">
        <f t="shared" si="23"/>
        <v>1.1096448663734386</v>
      </c>
      <c r="AG43" s="62">
        <f t="shared" si="24"/>
        <v>0.26310226835026906</v>
      </c>
      <c r="AH43" s="62">
        <f t="shared" si="25"/>
        <v>38.4</v>
      </c>
      <c r="AI43" s="71">
        <f>VLOOKUP(B43,'[2]Table 1'!$B:$P,2,0)</f>
        <v>0.84285878076783016</v>
      </c>
      <c r="AJ43" s="70">
        <v>-1.3</v>
      </c>
    </row>
    <row r="44" spans="1:36" x14ac:dyDescent="0.2">
      <c r="A44" s="89">
        <v>64</v>
      </c>
      <c r="B44" s="82" t="s">
        <v>81</v>
      </c>
      <c r="C44" s="85">
        <f t="array" ref="C44">MMULT('Data_Matrix (2014)'!B$126:AA$126,TRANSPOSE('Data_Matrix (2014)'!B21:AA21))</f>
        <v>0.13259108443221318</v>
      </c>
      <c r="D44" s="62">
        <f>VLOOKUP(B44,Data_ITU!A:S,16,0)</f>
        <v>80.995824957476401</v>
      </c>
      <c r="E44" s="62">
        <f t="shared" si="13"/>
        <v>1.5100826667151497</v>
      </c>
      <c r="F44" s="62">
        <f t="shared" si="14"/>
        <v>0.36501027262243158</v>
      </c>
      <c r="G44" s="88">
        <v>22</v>
      </c>
      <c r="H44" s="85">
        <f t="array" ref="H44">MMULT('Data_Matrix (2015)'!B$126:AA$126,TRANSPOSE('Data_Matrix (2015)'!B21:AA21))</f>
        <v>0.246294428970532</v>
      </c>
      <c r="I44" s="63">
        <f>VLOOKUP(B44,Data_ITU!A:S,17,0)</f>
        <v>83.940141931502595</v>
      </c>
      <c r="J44" s="63">
        <f t="shared" si="15"/>
        <v>0.88562508029363185</v>
      </c>
      <c r="K44" s="62">
        <f t="shared" si="16"/>
        <v>0.25689511616689753</v>
      </c>
      <c r="L44" s="87">
        <v>32</v>
      </c>
      <c r="M44" s="93">
        <f t="array" ref="M44">MMULT('Data_Matrix (2016)'!B$126:AA$126,TRANSPOSE('Data_Matrix (2016)'!B21:AA21))</f>
        <v>-1.4124878500031821</v>
      </c>
      <c r="N44" s="62">
        <f>VLOOKUP(B44,Data_ITU!A:S,18,0)</f>
        <v>84.323742569999993</v>
      </c>
      <c r="O44" s="62">
        <f t="shared" si="17"/>
        <v>0.85625296362836334</v>
      </c>
      <c r="P44" s="62">
        <f t="shared" si="18"/>
        <v>0.20687270924978898</v>
      </c>
      <c r="Q44" s="88">
        <v>48</v>
      </c>
      <c r="R44" s="85">
        <f t="array" ref="R44">MMULT('Data_Matrix (2017)'!B$126:AA$126,TRANSPOSE('Data_Matrix (2017)'!B21:AA21))</f>
        <v>-0.20992952012531785</v>
      </c>
      <c r="S44" s="62">
        <f>VLOOKUP(B44,Data_ITU!A:S,19,0)</f>
        <v>87.93558659</v>
      </c>
      <c r="T44" s="62">
        <f t="shared" si="19"/>
        <v>0.95122352267340105</v>
      </c>
      <c r="U44" s="62">
        <f t="shared" si="20"/>
        <v>0.2232861689631078</v>
      </c>
      <c r="V44" s="88">
        <v>45</v>
      </c>
      <c r="W44" s="85">
        <f t="array" ref="W44">MMULT('Data_Matrix (2018)'!B$128:AA$128,TRANSPOSE('Data_Matrix (2018)'!B22:AA22))</f>
        <v>-0.88121912447711015</v>
      </c>
      <c r="X44" s="63">
        <v>87.710464949561796</v>
      </c>
      <c r="Y44" s="60">
        <f>VLOOKUP(B44,[1]ESTIMATES!$C:$BX,74,0)</f>
        <v>8891.3880000000008</v>
      </c>
      <c r="Z44" s="60"/>
      <c r="AA44" s="62">
        <f t="shared" si="21"/>
        <v>1.2674874096097439</v>
      </c>
      <c r="AB44" s="62">
        <f t="shared" si="22"/>
        <v>0.26890629167222846</v>
      </c>
      <c r="AC44" s="88">
        <v>49</v>
      </c>
      <c r="AF44" s="62">
        <f t="shared" si="23"/>
        <v>1.0941343285840581</v>
      </c>
      <c r="AG44" s="62">
        <f t="shared" si="24"/>
        <v>0.26419411173489082</v>
      </c>
      <c r="AH44" s="62">
        <f t="shared" si="25"/>
        <v>39.200000000000003</v>
      </c>
      <c r="AI44" s="71">
        <f>VLOOKUP(B44,'[2]Table 1'!$B:$P,2,0)</f>
        <v>0.9077551793931995</v>
      </c>
      <c r="AJ44" s="70">
        <v>6.7</v>
      </c>
    </row>
    <row r="45" spans="1:36" x14ac:dyDescent="0.2">
      <c r="A45" s="89">
        <v>58</v>
      </c>
      <c r="B45" s="82" t="s">
        <v>111</v>
      </c>
      <c r="C45" s="85">
        <f t="array" ref="C45">MMULT('Data_Matrix (2014)'!B$126:AA$126,TRANSPOSE('Data_Matrix (2014)'!B45:AA45))</f>
        <v>-0.45493794780437141</v>
      </c>
      <c r="D45" s="62">
        <f>VLOOKUP(B45,Data_ITU!A:S,16,0)</f>
        <v>44.39</v>
      </c>
      <c r="E45" s="62">
        <f t="shared" si="13"/>
        <v>0.56680110780718063</v>
      </c>
      <c r="F45" s="62">
        <f t="shared" si="14"/>
        <v>0.13700457030834923</v>
      </c>
      <c r="G45" s="88">
        <v>55</v>
      </c>
      <c r="H45" s="85">
        <f t="array" ref="H45">MMULT('Data_Matrix (2015)'!B$126:AA$126,TRANSPOSE('Data_Matrix (2015)'!B45:AA45))</f>
        <v>1.077855055546086</v>
      </c>
      <c r="I45" s="63">
        <f>VLOOKUP(B45,Data_ITU!A:S,17,0)</f>
        <v>57.431042992363302</v>
      </c>
      <c r="J45" s="63">
        <f t="shared" si="15"/>
        <v>1.083510158016227</v>
      </c>
      <c r="K45" s="62">
        <f t="shared" si="16"/>
        <v>0.31429605383274017</v>
      </c>
      <c r="L45" s="87">
        <v>29</v>
      </c>
      <c r="M45" s="93">
        <f t="array" ref="M45">MMULT('Data_Matrix (2016)'!B$126:AA$126,TRANSPOSE('Data_Matrix (2016)'!B45:AA45))</f>
        <v>-0.81653827816666535</v>
      </c>
      <c r="N45" s="62">
        <f>VLOOKUP(B45,Data_ITU!A:S,18,0)</f>
        <v>59.540446000000003</v>
      </c>
      <c r="O45" s="62">
        <f t="shared" si="17"/>
        <v>0.95942567965583891</v>
      </c>
      <c r="P45" s="62">
        <f t="shared" si="18"/>
        <v>0.23179947761368419</v>
      </c>
      <c r="Q45" s="88">
        <v>41</v>
      </c>
      <c r="R45" s="85">
        <f t="array" ref="R45">MMULT('Data_Matrix (2017)'!B$126:AA$126,TRANSPOSE('Data_Matrix (2017)'!B45:AA45))</f>
        <v>0.38546745448576014</v>
      </c>
      <c r="S45" s="62">
        <f>VLOOKUP(B45,Data_ITU!A:S,19,0)</f>
        <v>63.852249090000001</v>
      </c>
      <c r="T45" s="62">
        <f t="shared" si="19"/>
        <v>1.0708817698670345</v>
      </c>
      <c r="U45" s="62">
        <f t="shared" si="20"/>
        <v>0.25137423760718031</v>
      </c>
      <c r="V45" s="88">
        <v>42</v>
      </c>
      <c r="W45" s="85">
        <f t="array" ref="W45">MMULT('Data_Matrix (2018)'!B$128:AA$128,TRANSPOSE('Data_Matrix (2018)'!B46:AA46))</f>
        <v>7.8806699000572536E-2</v>
      </c>
      <c r="X45" s="63">
        <v>65.772634475923297</v>
      </c>
      <c r="Y45" s="60">
        <f>VLOOKUP(B45,[1]ESTIMATES!$C:$BX,74,0)</f>
        <v>126190.788</v>
      </c>
      <c r="Z45" s="60"/>
      <c r="AA45" s="62">
        <f t="shared" si="21"/>
        <v>1.5819022289534841</v>
      </c>
      <c r="AB45" s="62">
        <f t="shared" si="22"/>
        <v>0.33561158789489542</v>
      </c>
      <c r="AC45" s="88">
        <v>34</v>
      </c>
      <c r="AF45" s="62">
        <f t="shared" si="23"/>
        <v>1.0525041888599531</v>
      </c>
      <c r="AG45" s="62">
        <f t="shared" si="24"/>
        <v>0.25401718545136986</v>
      </c>
      <c r="AH45" s="62">
        <f t="shared" si="25"/>
        <v>40.200000000000003</v>
      </c>
      <c r="AI45" s="71">
        <f>VLOOKUP(B45,'[2]Table 1'!$B:$P,2,0)</f>
        <v>0.77403462077387097</v>
      </c>
      <c r="AJ45" s="70">
        <v>-2.9</v>
      </c>
    </row>
    <row r="46" spans="1:36" x14ac:dyDescent="0.2">
      <c r="A46" s="89">
        <v>51</v>
      </c>
      <c r="B46" s="82" t="s">
        <v>55</v>
      </c>
      <c r="C46" s="85">
        <f t="array" ref="C46">MMULT('Data_Matrix (2014)'!B$126:AA$126,TRANSPOSE('Data_Matrix (2014)'!B13:AA13))</f>
        <v>-2.6658354173920262E-2</v>
      </c>
      <c r="D46" s="62">
        <f>VLOOKUP(B46,Data_ITU!A:S,16,0)</f>
        <v>87.4</v>
      </c>
      <c r="E46" s="62">
        <f t="shared" si="13"/>
        <v>1.490297820619173</v>
      </c>
      <c r="F46" s="62">
        <f t="shared" si="14"/>
        <v>0.36022797015220032</v>
      </c>
      <c r="G46" s="88">
        <v>24</v>
      </c>
      <c r="H46" s="85">
        <f t="array" ref="H46">MMULT('Data_Matrix (2015)'!B$126:AA$126,TRANSPOSE('Data_Matrix (2015)'!B13:AA13))</f>
        <v>-0.10164029652116846</v>
      </c>
      <c r="I46" s="63">
        <f>VLOOKUP(B46,Data_ITU!A:S,17,0)</f>
        <v>87.4790555978675</v>
      </c>
      <c r="J46" s="63">
        <f t="shared" si="15"/>
        <v>0.61859299305052784</v>
      </c>
      <c r="K46" s="62">
        <f t="shared" si="16"/>
        <v>0.17943656107509501</v>
      </c>
      <c r="L46" s="87">
        <v>39</v>
      </c>
      <c r="M46" s="93">
        <f t="array" ref="M46">MMULT('Data_Matrix (2016)'!B$126:AA$126,TRANSPOSE('Data_Matrix (2016)'!B13:AA13))</f>
        <v>-1.351518647240608</v>
      </c>
      <c r="N46" s="62">
        <f>VLOOKUP(B46,Data_ITU!A:S,18,0)</f>
        <v>89.134687740000004</v>
      </c>
      <c r="O46" s="62">
        <f t="shared" si="17"/>
        <v>0.95944970281527697</v>
      </c>
      <c r="P46" s="62">
        <f t="shared" si="18"/>
        <v>0.231805281664927</v>
      </c>
      <c r="Q46" s="88">
        <v>40</v>
      </c>
      <c r="R46" s="85">
        <f t="array" ref="R46">MMULT('Data_Matrix (2017)'!B$126:AA$126,TRANSPOSE('Data_Matrix (2017)'!B13:AA13))</f>
        <v>-0.30958969372614542</v>
      </c>
      <c r="S46" s="62">
        <f>VLOOKUP(B46,Data_ITU!A:S,19,0)</f>
        <v>89.686147669999997</v>
      </c>
      <c r="T46" s="62">
        <f t="shared" si="19"/>
        <v>0.88077845481181116</v>
      </c>
      <c r="U46" s="62">
        <f t="shared" si="20"/>
        <v>0.20675019298035113</v>
      </c>
      <c r="V46" s="88">
        <v>49</v>
      </c>
      <c r="W46" s="85">
        <f t="array" ref="W46">MMULT('Data_Matrix (2018)'!B$128:AA$128,TRANSPOSE('Data_Matrix (2018)'!B14:AA14))</f>
        <v>-1.0443565810961655</v>
      </c>
      <c r="X46" s="63">
        <v>95</v>
      </c>
      <c r="Y46" s="60">
        <f>VLOOKUP(B46,[1]ESTIMATES!$C:$BX,74,0)</f>
        <v>8525.6110000000008</v>
      </c>
      <c r="Z46" s="60"/>
      <c r="AA46" s="62">
        <f t="shared" si="21"/>
        <v>1.2178465239255392</v>
      </c>
      <c r="AB46" s="62">
        <f t="shared" si="22"/>
        <v>0.25837463164668661</v>
      </c>
      <c r="AC46" s="88">
        <v>53</v>
      </c>
      <c r="AF46" s="62">
        <f t="shared" si="23"/>
        <v>1.0333930990444657</v>
      </c>
      <c r="AG46" s="62">
        <f t="shared" si="24"/>
        <v>0.24731892750385201</v>
      </c>
      <c r="AH46" s="62">
        <f t="shared" si="25"/>
        <v>41</v>
      </c>
      <c r="AI46" s="71">
        <f>VLOOKUP(B46,'[2]Table 1'!$B:$P,2,0)</f>
        <v>0.94399757027811748</v>
      </c>
      <c r="AJ46" s="70">
        <v>6.8</v>
      </c>
    </row>
    <row r="47" spans="1:36" x14ac:dyDescent="0.2">
      <c r="A47" s="89">
        <v>39</v>
      </c>
      <c r="B47" s="82" t="s">
        <v>97</v>
      </c>
      <c r="C47" s="85">
        <f t="array" ref="C47">MMULT('Data_Matrix (2014)'!B$126:AA$126,TRANSPOSE('Data_Matrix (2014)'!B34:AA34))</f>
        <v>-1.350960406053622</v>
      </c>
      <c r="D47" s="62">
        <f>VLOOKUP(B47,Data_ITU!A:S,16,0)</f>
        <v>87.12</v>
      </c>
      <c r="E47" s="62">
        <f t="shared" si="13"/>
        <v>0.33179146352760236</v>
      </c>
      <c r="F47" s="62">
        <f t="shared" si="14"/>
        <v>8.0199114409708297E-2</v>
      </c>
      <c r="G47" s="88">
        <v>62</v>
      </c>
      <c r="H47" s="85">
        <f t="array" ref="H47">MMULT('Data_Matrix (2015)'!B$126:AA$126,TRANSPOSE('Data_Matrix (2015)'!B34:AA34))</f>
        <v>-0.12441579402377523</v>
      </c>
      <c r="I47" s="63">
        <f>VLOOKUP(B47,Data_ITU!A:S,17,0)</f>
        <v>90</v>
      </c>
      <c r="J47" s="63">
        <f t="shared" si="15"/>
        <v>0.61592146708990414</v>
      </c>
      <c r="K47" s="62">
        <f t="shared" si="16"/>
        <v>0.1786616259617288</v>
      </c>
      <c r="L47" s="87">
        <v>40</v>
      </c>
      <c r="M47" s="93">
        <f t="array" ref="M47">MMULT('Data_Matrix (2016)'!B$126:AA$126,TRANSPOSE('Data_Matrix (2016)'!B34:AA34))</f>
        <v>-1.158168397062441</v>
      </c>
      <c r="N47" s="62">
        <f>VLOOKUP(B47,Data_ITU!A:S,18,0)</f>
        <v>91.16</v>
      </c>
      <c r="O47" s="62">
        <f t="shared" si="17"/>
        <v>1.157508341204782</v>
      </c>
      <c r="P47" s="62">
        <f t="shared" si="18"/>
        <v>0.27965670975264861</v>
      </c>
      <c r="Q47" s="88">
        <v>34</v>
      </c>
      <c r="R47" s="85">
        <f t="array" ref="R47">MMULT('Data_Matrix (2017)'!B$126:AA$126,TRANSPOSE('Data_Matrix (2017)'!B34:AA34))</f>
        <v>-7.8984201727714809E-2</v>
      </c>
      <c r="S47" s="62">
        <f>VLOOKUP(B47,Data_ITU!A:S,19,0)</f>
        <v>91</v>
      </c>
      <c r="T47" s="62">
        <f t="shared" si="19"/>
        <v>1.1035323684781866</v>
      </c>
      <c r="U47" s="62">
        <f t="shared" si="20"/>
        <v>0.25903850042707638</v>
      </c>
      <c r="V47" s="88">
        <v>41</v>
      </c>
      <c r="W47" s="85">
        <f t="array" ref="W47">MMULT('Data_Matrix (2018)'!B$128:AA$128,TRANSPOSE('Data_Matrix (2018)'!B35:AA35))</f>
        <v>-0.37376303189558779</v>
      </c>
      <c r="X47" s="63">
        <v>91</v>
      </c>
      <c r="Y47" s="60">
        <f>VLOOKUP(B47,[1]ESTIMATES!$C:$BX,74,0)</f>
        <v>37074.561999999998</v>
      </c>
      <c r="Z47" s="60"/>
      <c r="AA47" s="62">
        <f t="shared" si="21"/>
        <v>1.7768089053222524</v>
      </c>
      <c r="AB47" s="62">
        <f t="shared" si="22"/>
        <v>0.37696239829909667</v>
      </c>
      <c r="AC47" s="88">
        <v>29</v>
      </c>
      <c r="AF47" s="62">
        <f t="shared" si="23"/>
        <v>0.99711250912454541</v>
      </c>
      <c r="AG47" s="62">
        <f t="shared" si="24"/>
        <v>0.23490366977005173</v>
      </c>
      <c r="AH47" s="62">
        <f t="shared" si="25"/>
        <v>41.2</v>
      </c>
      <c r="AI47" s="71">
        <f>VLOOKUP(B47,'[2]Table 1'!$B:$P,2,0)</f>
        <v>0.92595239850071687</v>
      </c>
      <c r="AJ47" s="70">
        <v>-6.5</v>
      </c>
    </row>
    <row r="48" spans="1:36" x14ac:dyDescent="0.2">
      <c r="A48" s="89">
        <v>43</v>
      </c>
      <c r="B48" s="82" t="s">
        <v>98</v>
      </c>
      <c r="C48" s="85">
        <f t="array" ref="C48">MMULT('Data_Matrix (2014)'!B$126:AA$126,TRANSPOSE('Data_Matrix (2014)'!B40:AA40))</f>
        <v>-0.50207653853915901</v>
      </c>
      <c r="D48" s="62">
        <f>VLOOKUP(B48,Data_ITU!A:S,16,0)</f>
        <v>46.235975457165097</v>
      </c>
      <c r="E48" s="62">
        <f t="shared" si="13"/>
        <v>0.56857676562177217</v>
      </c>
      <c r="F48" s="62">
        <f t="shared" si="14"/>
        <v>0.13743377419054337</v>
      </c>
      <c r="G48" s="88">
        <v>54</v>
      </c>
      <c r="H48" s="85">
        <f t="array" ref="H48">MMULT('Data_Matrix (2015)'!B$126:AA$126,TRANSPOSE('Data_Matrix (2015)'!B40:AA40))</f>
        <v>0.36024071471173807</v>
      </c>
      <c r="I48" s="63">
        <f>VLOOKUP(B48,Data_ITU!A:S,17,0)</f>
        <v>48.884643681321798</v>
      </c>
      <c r="J48" s="63">
        <f t="shared" si="15"/>
        <v>0.57146817908887815</v>
      </c>
      <c r="K48" s="62">
        <f t="shared" si="16"/>
        <v>0.1657669678957695</v>
      </c>
      <c r="L48" s="87">
        <v>43</v>
      </c>
      <c r="M48" s="93">
        <f t="array" ref="M48">MMULT('Data_Matrix (2016)'!B$126:AA$126,TRANSPOSE('Data_Matrix (2016)'!B40:AA40))</f>
        <v>-0.60386246142603117</v>
      </c>
      <c r="N48" s="62">
        <f>VLOOKUP(B48,Data_ITU!A:S,18,0)</f>
        <v>53</v>
      </c>
      <c r="O48" s="62">
        <f t="shared" si="17"/>
        <v>0.96675211170403097</v>
      </c>
      <c r="P48" s="62">
        <f t="shared" si="18"/>
        <v>0.2335695606514368</v>
      </c>
      <c r="Q48" s="88">
        <v>39</v>
      </c>
      <c r="R48" s="85">
        <f t="array" ref="R48">MMULT('Data_Matrix (2017)'!B$126:AA$126,TRANSPOSE('Data_Matrix (2017)'!B40:AA40))</f>
        <v>0.8101042170732714</v>
      </c>
      <c r="S48" s="62">
        <f>VLOOKUP(B48,Data_ITU!A:S,19,0)</f>
        <v>58.889479450000003</v>
      </c>
      <c r="T48" s="62">
        <f t="shared" si="19"/>
        <v>1.2377163189997851</v>
      </c>
      <c r="U48" s="62">
        <f t="shared" si="20"/>
        <v>0.2905362709659049</v>
      </c>
      <c r="V48" s="88">
        <v>35</v>
      </c>
      <c r="W48" s="85">
        <f t="array" ref="W48">MMULT('Data_Matrix (2018)'!B$128:AA$128,TRANSPOSE('Data_Matrix (2018)'!B41:AA41))</f>
        <v>-0.25228062877715063</v>
      </c>
      <c r="X48" s="63">
        <v>70</v>
      </c>
      <c r="Y48" s="60">
        <f>VLOOKUP(B48,[1]ESTIMATES!$C:$BX,74,0)</f>
        <v>44246.156000000003</v>
      </c>
      <c r="Z48" s="60"/>
      <c r="AA48" s="62">
        <f t="shared" si="21"/>
        <v>1.4518137632000232</v>
      </c>
      <c r="AB48" s="62">
        <f t="shared" si="22"/>
        <v>0.30801241282627395</v>
      </c>
      <c r="AC48" s="88">
        <v>39</v>
      </c>
      <c r="AF48" s="62">
        <f t="shared" si="23"/>
        <v>0.95926542772289791</v>
      </c>
      <c r="AG48" s="62">
        <f t="shared" si="24"/>
        <v>0.22706379730598575</v>
      </c>
      <c r="AH48" s="62">
        <f t="shared" si="25"/>
        <v>42</v>
      </c>
      <c r="AI48" s="71">
        <f>VLOOKUP(B48,'[2]Table 1'!$B:$P,2,0)</f>
        <v>0.75070973757603288</v>
      </c>
      <c r="AJ48" s="70">
        <v>-3.8</v>
      </c>
    </row>
    <row r="49" spans="1:36" x14ac:dyDescent="0.2">
      <c r="A49" s="89">
        <v>55</v>
      </c>
      <c r="B49" s="82" t="s">
        <v>16</v>
      </c>
      <c r="C49" s="85">
        <f t="array" ref="C49">MMULT('Data_Matrix (2014)'!B$126:AA$126,TRANSPOSE('Data_Matrix (2014)'!B4:AA4))</f>
        <v>2.7047255507444898</v>
      </c>
      <c r="D49" s="62">
        <f>VLOOKUP(B49,Data_ITU!A:S,16,0)</f>
        <v>21</v>
      </c>
      <c r="E49" s="62">
        <f t="shared" si="13"/>
        <v>0.9316713320809511</v>
      </c>
      <c r="F49" s="62">
        <f t="shared" si="14"/>
        <v>0.22519933140953008</v>
      </c>
      <c r="G49" s="88">
        <v>45</v>
      </c>
      <c r="H49" s="85">
        <f t="array" ref="H49">MMULT('Data_Matrix (2015)'!B$126:AA$126,TRANSPOSE('Data_Matrix (2015)'!B4:AA4))</f>
        <v>2.9039851923739795</v>
      </c>
      <c r="I49" s="63">
        <f>VLOOKUP(B49,Data_ITU!A:S,17,0)</f>
        <v>17</v>
      </c>
      <c r="J49" s="63">
        <f t="shared" si="15"/>
        <v>0.63116888924904468</v>
      </c>
      <c r="K49" s="62">
        <f t="shared" si="16"/>
        <v>0.18308447754303164</v>
      </c>
      <c r="L49" s="87">
        <v>38</v>
      </c>
      <c r="M49" s="93">
        <f t="array" ref="M49">MMULT('Data_Matrix (2016)'!B$126:AA$126,TRANSPOSE('Data_Matrix (2016)'!B4:AA4))</f>
        <v>1.4581664574441888</v>
      </c>
      <c r="N49" s="62">
        <f>VLOOKUP(B49,Data_ITU!A:S,18,0)</f>
        <v>22</v>
      </c>
      <c r="O49" s="62">
        <f t="shared" si="17"/>
        <v>0.8549396915380274</v>
      </c>
      <c r="P49" s="62">
        <f t="shared" si="18"/>
        <v>0.20655541965565002</v>
      </c>
      <c r="Q49" s="88">
        <v>49</v>
      </c>
      <c r="R49" s="85">
        <f t="array" ref="R49">MMULT('Data_Matrix (2017)'!B$126:AA$126,TRANSPOSE('Data_Matrix (2017)'!B4:AA4))</f>
        <v>1.947202275179063</v>
      </c>
      <c r="S49" s="62">
        <f>VLOOKUP(B49,Data_ITU!A:S,19,0)</f>
        <v>34.450000000000003</v>
      </c>
      <c r="T49" s="62">
        <f t="shared" si="19"/>
        <v>1.1157870665039842</v>
      </c>
      <c r="U49" s="62">
        <f t="shared" si="20"/>
        <v>0.2619151161843169</v>
      </c>
      <c r="V49" s="88">
        <v>40</v>
      </c>
      <c r="W49" s="85">
        <f t="array" ref="W49">MMULT('Data_Matrix (2018)'!B$128:AA$128,TRANSPOSE('Data_Matrix (2018)'!B5:AA5))</f>
        <v>1.1918508473375731</v>
      </c>
      <c r="X49" s="63">
        <v>35.707888710975375</v>
      </c>
      <c r="Y49" s="60">
        <f>VLOOKUP(B49,[1]ESTIMATES!$C:$BX,74,0)</f>
        <v>1352642.28</v>
      </c>
      <c r="Z49" s="60">
        <v>483000</v>
      </c>
      <c r="AA49" s="62">
        <f t="shared" si="21"/>
        <v>1.2562574929799084</v>
      </c>
      <c r="AB49" s="62">
        <f t="shared" si="22"/>
        <v>0.2665237865571306</v>
      </c>
      <c r="AC49" s="88">
        <v>51</v>
      </c>
      <c r="AD49" s="70" t="s">
        <v>1344</v>
      </c>
      <c r="AF49" s="62">
        <f t="shared" si="23"/>
        <v>0.95796489447038324</v>
      </c>
      <c r="AG49" s="62">
        <f t="shared" si="24"/>
        <v>0.22865562626993183</v>
      </c>
      <c r="AH49" s="62">
        <f t="shared" si="25"/>
        <v>44.6</v>
      </c>
      <c r="AI49" s="71">
        <f>VLOOKUP(B49,'[2]Table 1'!$B:$P,2,0)</f>
        <v>0.63983291089580574</v>
      </c>
      <c r="AJ49" s="70">
        <v>1.4</v>
      </c>
    </row>
    <row r="50" spans="1:36" x14ac:dyDescent="0.2">
      <c r="A50" s="89">
        <v>62</v>
      </c>
      <c r="B50" s="82" t="s">
        <v>177</v>
      </c>
      <c r="C50" s="85">
        <f t="array" ref="C50">MMULT('Data_Matrix (2014)'!B$126:AA$126,TRANSPOSE('Data_Matrix (2014)'!B63:AA63))</f>
        <v>0.31235125812797687</v>
      </c>
      <c r="D50" s="62">
        <f>VLOOKUP(B50,Data_ITU!A:S,16,0)</f>
        <v>64.7</v>
      </c>
      <c r="E50" s="62">
        <f t="shared" si="13"/>
        <v>1.3225688415169989</v>
      </c>
      <c r="F50" s="62">
        <f t="shared" si="14"/>
        <v>0.31968528878897179</v>
      </c>
      <c r="G50" s="88">
        <v>32</v>
      </c>
      <c r="H50" s="85">
        <f t="array" ref="H50">MMULT('Data_Matrix (2015)'!B$126:AA$126,TRANSPOSE('Data_Matrix (2015)'!B63:AA63))</f>
        <v>-0.19775734251159591</v>
      </c>
      <c r="I50" s="63">
        <f>VLOOKUP(B50,Data_ITU!A:S,17,0)</f>
        <v>68.043064108812203</v>
      </c>
      <c r="J50" s="63">
        <f t="shared" si="15"/>
        <v>0.41575376171283673</v>
      </c>
      <c r="K50" s="62">
        <f t="shared" si="16"/>
        <v>0.12059856172617905</v>
      </c>
      <c r="L50" s="87">
        <v>54</v>
      </c>
      <c r="M50" s="93">
        <f t="array" ref="M50">MMULT('Data_Matrix (2016)'!B$126:AA$126,TRANSPOSE('Data_Matrix (2016)'!B63:AA63))</f>
        <v>-1.2746863096662073</v>
      </c>
      <c r="N50" s="62">
        <f>VLOOKUP(B50,Data_ITU!A:S,18,0)</f>
        <v>70.968980819999999</v>
      </c>
      <c r="O50" s="62">
        <f t="shared" si="17"/>
        <v>0.81844036073508253</v>
      </c>
      <c r="P50" s="62">
        <f t="shared" si="18"/>
        <v>0.19773709636831985</v>
      </c>
      <c r="Q50" s="88">
        <v>50</v>
      </c>
      <c r="R50" s="85">
        <f t="array" ref="R50">MMULT('Data_Matrix (2017)'!B$126:AA$126,TRANSPOSE('Data_Matrix (2017)'!B63:AA63))</f>
        <v>-0.11283236871958578</v>
      </c>
      <c r="S50" s="62">
        <f>VLOOKUP(B50,Data_ITU!A:S,19,0)</f>
        <v>74.294906870000005</v>
      </c>
      <c r="T50" s="62">
        <f t="shared" si="19"/>
        <v>0.87580676161571913</v>
      </c>
      <c r="U50" s="62">
        <f t="shared" si="20"/>
        <v>0.20558315883900086</v>
      </c>
      <c r="V50" s="88">
        <v>50</v>
      </c>
      <c r="W50" s="85">
        <f t="array" ref="W50">MMULT('Data_Matrix (2018)'!B$128:AA$128,TRANSPOSE('Data_Matrix (2018)'!B64:AA64))</f>
        <v>-0.82584150692084912</v>
      </c>
      <c r="X50" s="63">
        <v>93</v>
      </c>
      <c r="Y50" s="60">
        <f>VLOOKUP(B50,[1]ESTIMATES!$C:$BX,74,0)</f>
        <v>44361.15</v>
      </c>
      <c r="Z50" s="60"/>
      <c r="AA50" s="62">
        <f t="shared" si="21"/>
        <v>1.3954266687206771</v>
      </c>
      <c r="AB50" s="62">
        <f t="shared" si="22"/>
        <v>0.29604949756601023</v>
      </c>
      <c r="AC50" s="88">
        <v>42</v>
      </c>
      <c r="AF50" s="62">
        <f t="shared" si="23"/>
        <v>0.96559927886026276</v>
      </c>
      <c r="AG50" s="62">
        <f t="shared" si="24"/>
        <v>0.22793072065769632</v>
      </c>
      <c r="AH50" s="62">
        <f t="shared" si="25"/>
        <v>45.6</v>
      </c>
      <c r="AI50" s="71">
        <f>VLOOKUP(B50,'[2]Table 1'!$B:$P,2,0)</f>
        <v>0.82484965000841348</v>
      </c>
      <c r="AJ50" s="70">
        <v>1.6</v>
      </c>
    </row>
    <row r="51" spans="1:36" x14ac:dyDescent="0.2">
      <c r="A51" s="89">
        <v>22</v>
      </c>
      <c r="B51" s="82" t="s">
        <v>101</v>
      </c>
      <c r="C51" s="85">
        <f t="array" ref="C51">MMULT('Data_Matrix (2014)'!B$126:AA$126,TRANSPOSE('Data_Matrix (2014)'!B43:AA43))</f>
        <v>0.22088215092217087</v>
      </c>
      <c r="D51" s="62">
        <f>VLOOKUP(B51,Data_ITU!A:S,16,0)</f>
        <v>52.57</v>
      </c>
      <c r="E51" s="62">
        <f t="shared" si="13"/>
        <v>1.0265274260227213</v>
      </c>
      <c r="F51" s="62">
        <f t="shared" si="14"/>
        <v>0.24812751241097164</v>
      </c>
      <c r="G51" s="88">
        <v>40</v>
      </c>
      <c r="H51" s="85">
        <f t="array" ref="H51">MMULT('Data_Matrix (2015)'!B$126:AA$126,TRANSPOSE('Data_Matrix (2015)'!B43:AA43))</f>
        <v>1.0791490639754958E-2</v>
      </c>
      <c r="I51" s="63">
        <f>VLOOKUP(B51,Data_ITU!A:S,17,0)</f>
        <v>55.904972514292403</v>
      </c>
      <c r="J51" s="63">
        <f t="shared" si="15"/>
        <v>0.45817729186873146</v>
      </c>
      <c r="K51" s="62">
        <f t="shared" si="16"/>
        <v>0.13290444369600207</v>
      </c>
      <c r="L51" s="87">
        <v>51</v>
      </c>
      <c r="M51" s="93">
        <f t="array" ref="M51">MMULT('Data_Matrix (2016)'!B$126:AA$126,TRANSPOSE('Data_Matrix (2016)'!B43:AA43))</f>
        <v>-0.94270186643512055</v>
      </c>
      <c r="N51" s="62">
        <f>VLOOKUP(B51,Data_ITU!A:S,18,0)</f>
        <v>58.136493569999999</v>
      </c>
      <c r="O51" s="62">
        <f t="shared" si="17"/>
        <v>0.86345551762002515</v>
      </c>
      <c r="P51" s="62">
        <f t="shared" si="18"/>
        <v>0.20861286306071311</v>
      </c>
      <c r="Q51" s="88">
        <v>46</v>
      </c>
      <c r="R51" s="85">
        <f t="array" ref="R51">MMULT('Data_Matrix (2017)'!B$126:AA$126,TRANSPOSE('Data_Matrix (2017)'!B43:AA43))</f>
        <v>0.36360589902719354</v>
      </c>
      <c r="S51" s="62">
        <f>VLOOKUP(B51,Data_ITU!A:S,19,0)</f>
        <v>62.259880320000001</v>
      </c>
      <c r="T51" s="62">
        <f t="shared" si="19"/>
        <v>1.0305647834194704</v>
      </c>
      <c r="U51" s="62">
        <f t="shared" si="20"/>
        <v>0.24191039947299134</v>
      </c>
      <c r="V51" s="88">
        <v>43</v>
      </c>
      <c r="W51" s="85">
        <f t="array" ref="W51">MMULT('Data_Matrix (2018)'!B$128:AA$128,TRANSPOSE('Data_Matrix (2018)'!B44:AA44))</f>
        <v>-0.48185228783614642</v>
      </c>
      <c r="X51" s="63">
        <v>68.464121014925013</v>
      </c>
      <c r="Y51" s="60">
        <f>VLOOKUP(B51,[1]ESTIMATES!$C:$BX,74,0)</f>
        <v>49661.048000000003</v>
      </c>
      <c r="Z51" s="60">
        <v>34000</v>
      </c>
      <c r="AA51" s="62">
        <f t="shared" si="21"/>
        <v>1.2627851125953078</v>
      </c>
      <c r="AB51" s="62">
        <f t="shared" si="22"/>
        <v>0.26790866657322826</v>
      </c>
      <c r="AC51" s="88">
        <v>50</v>
      </c>
      <c r="AD51" s="70" t="s">
        <v>1344</v>
      </c>
      <c r="AF51" s="62">
        <f t="shared" si="23"/>
        <v>0.92830202630525138</v>
      </c>
      <c r="AG51" s="62">
        <f t="shared" si="24"/>
        <v>0.21989277704278129</v>
      </c>
      <c r="AH51" s="62">
        <f t="shared" si="25"/>
        <v>46</v>
      </c>
      <c r="AI51" s="71">
        <f>VLOOKUP(B51,'[2]Table 1'!$B:$P,2,0)</f>
        <v>0.74704538259088049</v>
      </c>
      <c r="AJ51" s="70">
        <v>1.2</v>
      </c>
    </row>
    <row r="52" spans="1:36" x14ac:dyDescent="0.2">
      <c r="A52" s="89">
        <v>44</v>
      </c>
      <c r="B52" s="82" t="s">
        <v>95</v>
      </c>
      <c r="C52" s="85">
        <f t="array" ref="C52">MMULT('Data_Matrix (2014)'!B$126:AA$126,TRANSPOSE('Data_Matrix (2014)'!B29:AA29))</f>
        <v>-0.49113553230837537</v>
      </c>
      <c r="D52" s="62">
        <f>VLOOKUP(B52,Data_ITU!A:S,16,0)</f>
        <v>41</v>
      </c>
      <c r="E52" s="62">
        <f t="shared" si="13"/>
        <v>0.50867431858256318</v>
      </c>
      <c r="F52" s="62">
        <f t="shared" si="14"/>
        <v>0.1229544287835168</v>
      </c>
      <c r="G52" s="88">
        <v>57</v>
      </c>
      <c r="H52" s="85">
        <f t="array" ref="H52">MMULT('Data_Matrix (2015)'!B$126:AA$126,TRANSPOSE('Data_Matrix (2015)'!B29:AA29))</f>
        <v>0.18275142434892008</v>
      </c>
      <c r="I52" s="63">
        <f>VLOOKUP(B52,Data_ITU!A:S,17,0)</f>
        <v>45</v>
      </c>
      <c r="J52" s="63">
        <f t="shared" si="15"/>
        <v>0.44618598181266494</v>
      </c>
      <c r="K52" s="62">
        <f t="shared" si="16"/>
        <v>0.1294260993509829</v>
      </c>
      <c r="L52" s="87">
        <v>52</v>
      </c>
      <c r="M52" s="93">
        <f t="array" ref="M52">MMULT('Data_Matrix (2016)'!B$126:AA$126,TRANSPOSE('Data_Matrix (2016)'!B29:AA29))</f>
        <v>-0.55776788878931227</v>
      </c>
      <c r="N52" s="62">
        <f>VLOOKUP(B52,Data_ITU!A:S,18,0)</f>
        <v>53</v>
      </c>
      <c r="O52" s="62">
        <f t="shared" si="17"/>
        <v>0.99118223520149196</v>
      </c>
      <c r="P52" s="62">
        <f t="shared" si="18"/>
        <v>0.23947193535833503</v>
      </c>
      <c r="Q52" s="88">
        <v>38</v>
      </c>
      <c r="R52" s="85">
        <f t="array" ref="R52">MMULT('Data_Matrix (2017)'!B$126:AA$126,TRANSPOSE('Data_Matrix (2017)'!B29:AA29))</f>
        <v>0.9265671818286787</v>
      </c>
      <c r="S52" s="62">
        <f>VLOOKUP(B52,Data_ITU!A:S,19,0)</f>
        <v>58.140000003629702</v>
      </c>
      <c r="T52" s="62">
        <f t="shared" si="19"/>
        <v>1.2896756173738479</v>
      </c>
      <c r="U52" s="62">
        <f t="shared" si="20"/>
        <v>0.30273297594577009</v>
      </c>
      <c r="V52" s="88">
        <v>32</v>
      </c>
      <c r="W52" s="85">
        <f t="array" ref="W52">MMULT('Data_Matrix (2018)'!B$128:AA$128,TRANSPOSE('Data_Matrix (2018)'!B30:AA30))</f>
        <v>-0.54808165407833143</v>
      </c>
      <c r="X52" s="63">
        <v>70.349635576212094</v>
      </c>
      <c r="Y52" s="60" t="e">
        <f>VLOOKUP(B52,[1]ESTIMATES!$C:$BX,74,0)</f>
        <v>#N/A</v>
      </c>
      <c r="Z52" s="60"/>
      <c r="AA52" s="62">
        <f t="shared" si="21"/>
        <v>1.2509703304649309</v>
      </c>
      <c r="AB52" s="62">
        <f t="shared" si="22"/>
        <v>0.26540207816413852</v>
      </c>
      <c r="AC52" s="88">
        <v>52</v>
      </c>
      <c r="AF52" s="62">
        <f t="shared" si="23"/>
        <v>0.89733769668709973</v>
      </c>
      <c r="AG52" s="62">
        <f t="shared" si="24"/>
        <v>0.21199750352054866</v>
      </c>
      <c r="AH52" s="62">
        <f t="shared" si="25"/>
        <v>46.2</v>
      </c>
      <c r="AI52" s="71">
        <f>VLOOKUP(B52,'[2]Table 1'!$B:$P,2,0)</f>
        <v>0.69399806213388093</v>
      </c>
      <c r="AJ52" s="70">
        <v>-3</v>
      </c>
    </row>
    <row r="53" spans="1:36" x14ac:dyDescent="0.2">
      <c r="A53" s="89">
        <v>5</v>
      </c>
      <c r="B53" s="82" t="s">
        <v>113</v>
      </c>
      <c r="C53" s="85">
        <f t="array" ref="C53">MMULT('Data_Matrix (2014)'!B$126:AA$126,TRANSPOSE('Data_Matrix (2014)'!B41:AA41))</f>
        <v>1.3763645854909634E-2</v>
      </c>
      <c r="D53" s="62">
        <f>VLOOKUP(B53,Data_ITU!A:S,16,0)</f>
        <v>76.19</v>
      </c>
      <c r="E53" s="62">
        <f t="shared" si="13"/>
        <v>1.3299484480573747</v>
      </c>
      <c r="F53" s="62">
        <f t="shared" si="14"/>
        <v>0.32146905351557992</v>
      </c>
      <c r="G53" s="88">
        <v>31</v>
      </c>
      <c r="H53" s="85">
        <f t="array" ref="H53">MMULT('Data_Matrix (2015)'!B$126:AA$126,TRANSPOSE('Data_Matrix (2015)'!B41:AA41))</f>
        <v>-0.5051852827046146</v>
      </c>
      <c r="I53" s="63">
        <f>VLOOKUP(B53,Data_ITU!A:S,17,0)</f>
        <v>78.689599999999999</v>
      </c>
      <c r="J53" s="63">
        <f t="shared" si="15"/>
        <v>0.23889194439853242</v>
      </c>
      <c r="K53" s="62">
        <f t="shared" si="16"/>
        <v>6.9295885102135482E-2</v>
      </c>
      <c r="L53" s="87">
        <v>61</v>
      </c>
      <c r="M53" s="93">
        <f t="array" ref="M53">MMULT('Data_Matrix (2016)'!B$126:AA$126,TRANSPOSE('Data_Matrix (2016)'!B41:AA41))</f>
        <v>-1.8497533890197604</v>
      </c>
      <c r="N53" s="62">
        <f>VLOOKUP(B53,Data_ITU!A:S,18,0)</f>
        <v>80.56133294</v>
      </c>
      <c r="O53" s="62">
        <f t="shared" si="17"/>
        <v>0.46578118517529177</v>
      </c>
      <c r="P53" s="62">
        <f t="shared" si="18"/>
        <v>0.11253381861182317</v>
      </c>
      <c r="Q53" s="88">
        <v>60</v>
      </c>
      <c r="R53" s="85">
        <f t="array" ref="R53">MMULT('Data_Matrix (2017)'!B$126:AA$126,TRANSPOSE('Data_Matrix (2017)'!B41:AA41))</f>
        <v>-0.2157905211565764</v>
      </c>
      <c r="S53" s="62">
        <f>VLOOKUP(B53,Data_ITU!A:S,19,0)</f>
        <v>84.602242799999999</v>
      </c>
      <c r="T53" s="62">
        <f t="shared" si="19"/>
        <v>0.91020728410457397</v>
      </c>
      <c r="U53" s="62">
        <f t="shared" si="20"/>
        <v>0.21365819135636105</v>
      </c>
      <c r="V53" s="88">
        <v>46</v>
      </c>
      <c r="W53" s="85">
        <f t="array" ref="W53">MMULT('Data_Matrix (2018)'!B$128:AA$128,TRANSPOSE('Data_Matrix (2018)'!B42:AA42))</f>
        <v>-0.62047196941965743</v>
      </c>
      <c r="X53" s="63">
        <v>86.107235525659107</v>
      </c>
      <c r="Y53" s="60">
        <f>VLOOKUP(B53,[1]ESTIMATES!$C:$BX,74,0)</f>
        <v>46692.858</v>
      </c>
      <c r="Z53" s="60"/>
      <c r="AA53" s="62">
        <f t="shared" si="21"/>
        <v>1.4688416100887018</v>
      </c>
      <c r="AB53" s="62">
        <f t="shared" si="22"/>
        <v>0.31162498927262061</v>
      </c>
      <c r="AC53" s="88">
        <v>38</v>
      </c>
      <c r="AF53" s="62">
        <f t="shared" si="23"/>
        <v>0.88273409436489492</v>
      </c>
      <c r="AG53" s="62">
        <f t="shared" si="24"/>
        <v>0.20571638757170402</v>
      </c>
      <c r="AH53" s="62">
        <f t="shared" si="25"/>
        <v>47.2</v>
      </c>
      <c r="AI53" s="71">
        <f>VLOOKUP(B53,'[2]Table 1'!$B:$P,2,0)</f>
        <v>0.89102021644103457</v>
      </c>
      <c r="AJ53" s="70">
        <v>-0.1</v>
      </c>
    </row>
    <row r="54" spans="1:36" x14ac:dyDescent="0.2">
      <c r="A54" s="89">
        <v>30</v>
      </c>
      <c r="B54" s="82" t="s">
        <v>189</v>
      </c>
      <c r="C54" s="85">
        <f t="array" ref="C54">MMULT('Data_Matrix (2014)'!B$126:AA$126,TRANSPOSE('Data_Matrix (2014)'!B66:AA66))</f>
        <v>-0.36372768882256973</v>
      </c>
      <c r="D54" s="62">
        <f>VLOOKUP(B54,Data_ITU!A:S,16,0)</f>
        <v>34.89</v>
      </c>
      <c r="E54" s="62">
        <f t="shared" si="13"/>
        <v>0.47732203501526171</v>
      </c>
      <c r="F54" s="62">
        <f t="shared" si="14"/>
        <v>0.11537609825600324</v>
      </c>
      <c r="G54" s="88">
        <v>58</v>
      </c>
      <c r="H54" s="85">
        <f t="array" ref="H54">MMULT('Data_Matrix (2015)'!B$126:AA$126,TRANSPOSE('Data_Matrix (2015)'!B66:AA66))</f>
        <v>0.7309252237263314</v>
      </c>
      <c r="I54" s="63">
        <f>VLOOKUP(B54,Data_ITU!A:S,17,0)</f>
        <v>39.316126736500401</v>
      </c>
      <c r="J54" s="63">
        <f t="shared" si="15"/>
        <v>0.60534969701054786</v>
      </c>
      <c r="K54" s="62">
        <f t="shared" si="16"/>
        <v>0.1755950505416588</v>
      </c>
      <c r="L54" s="87">
        <v>42</v>
      </c>
      <c r="M54" s="93">
        <f t="array" ref="M54">MMULT('Data_Matrix (2016)'!B$126:AA$126,TRANSPOSE('Data_Matrix (2016)'!B66:AA66))</f>
        <v>9.9178566157918591E-2</v>
      </c>
      <c r="N54" s="62">
        <f>VLOOKUP(B54,Data_ITU!A:S,18,0)</f>
        <v>47.50496562</v>
      </c>
      <c r="O54" s="62">
        <f t="shared" si="17"/>
        <v>1.2004987537230121</v>
      </c>
      <c r="P54" s="62">
        <f t="shared" si="18"/>
        <v>0.29004329349272234</v>
      </c>
      <c r="Q54" s="88">
        <v>30</v>
      </c>
      <c r="R54" s="85">
        <f t="array" ref="R54">MMULT('Data_Matrix (2017)'!B$126:AA$126,TRANSPOSE('Data_Matrix (2017)'!B66:AA66))</f>
        <v>0.1371086538584147</v>
      </c>
      <c r="S54" s="62">
        <f>VLOOKUP(B54,Data_ITU!A:S,19,0)</f>
        <v>52.891929339999997</v>
      </c>
      <c r="T54" s="62">
        <f t="shared" si="19"/>
        <v>0.75570179101233881</v>
      </c>
      <c r="U54" s="62">
        <f t="shared" si="20"/>
        <v>0.17739022823938272</v>
      </c>
      <c r="V54" s="88">
        <v>53</v>
      </c>
      <c r="W54" s="85">
        <f t="array" ref="W54">MMULT('Data_Matrix (2018)'!B$128:AA$128,TRANSPOSE('Data_Matrix (2018)'!B67:AA67))</f>
        <v>-0.32307951158804171</v>
      </c>
      <c r="X54" s="63">
        <v>56.817480930145599</v>
      </c>
      <c r="Y54" s="60">
        <f>VLOOKUP(B54,[1]ESTIMATES!$C:$BX,74,0)</f>
        <v>69428.452999999994</v>
      </c>
      <c r="Z54" s="60"/>
      <c r="AA54" s="62">
        <f t="shared" si="21"/>
        <v>1.1381795840421696</v>
      </c>
      <c r="AB54" s="62">
        <f t="shared" si="22"/>
        <v>0.2414727348621597</v>
      </c>
      <c r="AC54" s="88">
        <v>55</v>
      </c>
      <c r="AF54" s="62">
        <f t="shared" si="23"/>
        <v>0.83541037216066605</v>
      </c>
      <c r="AG54" s="62">
        <f t="shared" si="24"/>
        <v>0.19997548107838536</v>
      </c>
      <c r="AH54" s="62">
        <f t="shared" si="25"/>
        <v>47.6</v>
      </c>
      <c r="AI54" s="71">
        <f>VLOOKUP(B54,'[2]Table 1'!$B:$P,2,0)</f>
        <v>0.75468354591492348</v>
      </c>
      <c r="AJ54" s="70">
        <v>0.5</v>
      </c>
    </row>
    <row r="55" spans="1:36" x14ac:dyDescent="0.2">
      <c r="A55" s="89">
        <v>14</v>
      </c>
      <c r="B55" s="82" t="s">
        <v>128</v>
      </c>
      <c r="C55" s="85">
        <f t="array" ref="C55">MMULT('Data_Matrix (2014)'!B$126:AA$126,TRANSPOSE('Data_Matrix (2014)'!B50:AA50))</f>
        <v>-0.30615685086444056</v>
      </c>
      <c r="D55" s="62">
        <f>VLOOKUP(B55,Data_ITU!A:S,16,0)</f>
        <v>70.52</v>
      </c>
      <c r="E55" s="62">
        <f t="shared" si="13"/>
        <v>1.0053667941162714</v>
      </c>
      <c r="F55" s="62">
        <f t="shared" si="14"/>
        <v>0.24301266128971633</v>
      </c>
      <c r="G55" s="88">
        <v>42</v>
      </c>
      <c r="H55" s="85">
        <f t="array" ref="H55">MMULT('Data_Matrix (2015)'!B$126:AA$126,TRANSPOSE('Data_Matrix (2015)'!B50:AA50))</f>
        <v>-5.9989756188232934E-2</v>
      </c>
      <c r="I55" s="63">
        <f>VLOOKUP(B55,Data_ITU!A:S,17,0)</f>
        <v>70.099999999999994</v>
      </c>
      <c r="J55" s="63">
        <f t="shared" si="15"/>
        <v>0.52489703966718482</v>
      </c>
      <c r="K55" s="62">
        <f t="shared" si="16"/>
        <v>0.15225798024628467</v>
      </c>
      <c r="L55" s="87">
        <v>48</v>
      </c>
      <c r="M55" s="93">
        <f t="array" ref="M55">MMULT('Data_Matrix (2016)'!B$126:AA$126,TRANSPOSE('Data_Matrix (2016)'!B50:AA50))</f>
        <v>-1.3347364877637915</v>
      </c>
      <c r="N55" s="62">
        <f>VLOOKUP(B55,Data_ITU!A:S,18,0)</f>
        <v>73.091434620000001</v>
      </c>
      <c r="O55" s="62">
        <f t="shared" si="17"/>
        <v>0.7990257410802859</v>
      </c>
      <c r="P55" s="62">
        <f t="shared" si="18"/>
        <v>0.193046479065201</v>
      </c>
      <c r="Q55" s="88">
        <v>51</v>
      </c>
      <c r="R55" s="85">
        <f t="array" ref="R55">MMULT('Data_Matrix (2017)'!B$126:AA$126,TRANSPOSE('Data_Matrix (2017)'!B50:AA50))</f>
        <v>-0.344436333750401</v>
      </c>
      <c r="S55" s="62">
        <f>VLOOKUP(B55,Data_ITU!A:S,19,0)</f>
        <v>76.008138529999997</v>
      </c>
      <c r="T55" s="62">
        <f t="shared" si="19"/>
        <v>0.71996489813090758</v>
      </c>
      <c r="U55" s="62">
        <f t="shared" si="20"/>
        <v>0.16900150181290274</v>
      </c>
      <c r="V55" s="88">
        <v>54</v>
      </c>
      <c r="W55" s="85">
        <f t="array" ref="W55">MMULT('Data_Matrix (2018)'!B$128:AA$128,TRANSPOSE('Data_Matrix (2018)'!B51:AA51))</f>
        <v>-0.63446291756336093</v>
      </c>
      <c r="X55" s="63">
        <v>80.864721858328295</v>
      </c>
      <c r="Y55" s="60" t="e">
        <f>VLOOKUP(B55,[1]ESTIMATES!$C:$BX,74,0)</f>
        <v>#N/A</v>
      </c>
      <c r="Z55" s="60"/>
      <c r="AA55" s="62">
        <f t="shared" si="21"/>
        <v>1.3680995859135638</v>
      </c>
      <c r="AB55" s="62">
        <f t="shared" si="22"/>
        <v>0.29025186640678374</v>
      </c>
      <c r="AC55" s="88">
        <v>44</v>
      </c>
      <c r="AF55" s="62">
        <f t="shared" si="23"/>
        <v>0.88347081178164255</v>
      </c>
      <c r="AG55" s="62">
        <f t="shared" si="24"/>
        <v>0.2095140977641777</v>
      </c>
      <c r="AH55" s="62">
        <f t="shared" si="25"/>
        <v>47.8</v>
      </c>
      <c r="AI55" s="71">
        <f>VLOOKUP(B55,'[2]Table 1'!$B:$P,2,0)</f>
        <v>0.81627548670301231</v>
      </c>
      <c r="AJ55" s="70">
        <v>1</v>
      </c>
    </row>
    <row r="56" spans="1:36" x14ac:dyDescent="0.2">
      <c r="A56" s="89">
        <v>45</v>
      </c>
      <c r="B56" s="82" t="s">
        <v>112</v>
      </c>
      <c r="C56" s="85">
        <f t="array" ref="C56">MMULT('Data_Matrix (2014)'!B$126:AA$126,TRANSPOSE('Data_Matrix (2014)'!B31:AA31))</f>
        <v>1.4047175285436846</v>
      </c>
      <c r="D56" s="62">
        <f>VLOOKUP(B56,Data_ITU!A:S,16,0)</f>
        <v>86.530392752937701</v>
      </c>
      <c r="E56" s="62">
        <f t="shared" si="13"/>
        <v>2.7140449183612478</v>
      </c>
      <c r="F56" s="62">
        <f t="shared" si="14"/>
        <v>0.65602651920739741</v>
      </c>
      <c r="G56" s="88">
        <v>7</v>
      </c>
      <c r="H56" s="85">
        <f t="array" ref="H56">MMULT('Data_Matrix (2015)'!B$126:AA$126,TRANSPOSE('Data_Matrix (2015)'!B31:AA31))</f>
        <v>-0.33746456784051326</v>
      </c>
      <c r="I56" s="63">
        <f>VLOOKUP(B56,Data_ITU!A:S,17,0)</f>
        <v>86.422133332544504</v>
      </c>
      <c r="J56" s="63">
        <f t="shared" si="15"/>
        <v>0.40731478408674876</v>
      </c>
      <c r="K56" s="62">
        <f t="shared" si="16"/>
        <v>0.11815064986615705</v>
      </c>
      <c r="L56" s="87">
        <v>55</v>
      </c>
      <c r="M56" s="93">
        <f t="array" ref="M56">MMULT('Data_Matrix (2016)'!B$126:AA$126,TRANSPOSE('Data_Matrix (2016)'!B31:AA31))</f>
        <v>-1.4489786388453256</v>
      </c>
      <c r="N56" s="62">
        <f>VLOOKUP(B56,Data_ITU!A:S,18,0)</f>
        <v>87.703649960000007</v>
      </c>
      <c r="O56" s="62">
        <f t="shared" si="17"/>
        <v>0.85856997926464473</v>
      </c>
      <c r="P56" s="62">
        <f t="shared" si="18"/>
        <v>0.20743250562120302</v>
      </c>
      <c r="Q56" s="88">
        <v>47</v>
      </c>
      <c r="R56" s="85">
        <f t="array" ref="R56">MMULT('Data_Matrix (2017)'!B$126:AA$126,TRANSPOSE('Data_Matrix (2017)'!B31:AA31))</f>
        <v>-1.2916571341213263</v>
      </c>
      <c r="S56" s="62">
        <f>VLOOKUP(B56,Data_ITU!A:S,19,0)</f>
        <v>87.468929070000002</v>
      </c>
      <c r="T56" s="62">
        <f t="shared" si="19"/>
        <v>0</v>
      </c>
      <c r="U56" s="62">
        <f t="shared" si="20"/>
        <v>0</v>
      </c>
      <c r="V56" s="88">
        <v>65</v>
      </c>
      <c r="W56" s="85">
        <f t="array" ref="W56">MMULT('Data_Matrix (2018)'!B$128:AA$128,TRANSPOSE('Data_Matrix (2018)'!B32:AA32))</f>
        <v>-2.3263002904914698</v>
      </c>
      <c r="X56" s="63">
        <v>88.889959998558496</v>
      </c>
      <c r="Y56" s="60">
        <f>VLOOKUP(B56,[1]ESTIMATES!$C:$BX,74,0)</f>
        <v>5522.576</v>
      </c>
      <c r="Z56" s="60"/>
      <c r="AA56" s="62">
        <f t="shared" si="21"/>
        <v>0</v>
      </c>
      <c r="AB56" s="62">
        <f t="shared" si="22"/>
        <v>0</v>
      </c>
      <c r="AC56" s="88">
        <v>65</v>
      </c>
      <c r="AF56" s="62">
        <f t="shared" si="23"/>
        <v>0.79598593634252823</v>
      </c>
      <c r="AG56" s="62">
        <f t="shared" si="24"/>
        <v>0.1963219349389515</v>
      </c>
      <c r="AH56" s="62">
        <f t="shared" si="25"/>
        <v>47.8</v>
      </c>
      <c r="AI56" s="71">
        <f>VLOOKUP(B56,'[2]Table 1'!$B:$P,2,0)</f>
        <v>0.91965277545544544</v>
      </c>
      <c r="AJ56" s="70">
        <v>12.6</v>
      </c>
    </row>
    <row r="57" spans="1:36" x14ac:dyDescent="0.2">
      <c r="A57" s="89">
        <v>67</v>
      </c>
      <c r="B57" s="82" t="s">
        <v>57</v>
      </c>
      <c r="C57" s="85">
        <f t="array" ref="C57">MMULT('Data_Matrix (2014)'!B$126:AA$126,TRANSPOSE('Data_Matrix (2014)'!B16:AA16))</f>
        <v>0.43521314614009665</v>
      </c>
      <c r="D57" s="62">
        <f>VLOOKUP(B57,Data_ITU!A:S,16,0)</f>
        <v>45.590390666609501</v>
      </c>
      <c r="E57" s="62">
        <f t="shared" si="13"/>
        <v>0.98795185720183842</v>
      </c>
      <c r="F57" s="62">
        <f t="shared" si="14"/>
        <v>0.23880320242302588</v>
      </c>
      <c r="G57" s="88">
        <v>43</v>
      </c>
      <c r="H57" s="85">
        <f t="array" ref="H57">MMULT('Data_Matrix (2015)'!B$126:AA$126,TRANSPOSE('Data_Matrix (2015)'!B16:AA16))</f>
        <v>-3.2801652258454994E-2</v>
      </c>
      <c r="I57" s="63">
        <f>VLOOKUP(B57,Data_ITU!A:S,17,0)</f>
        <v>48.940433789266898</v>
      </c>
      <c r="J57" s="63">
        <f t="shared" si="15"/>
        <v>0.37976373372005701</v>
      </c>
      <c r="K57" s="62">
        <f t="shared" si="16"/>
        <v>0.11015885916153441</v>
      </c>
      <c r="L57" s="87">
        <v>56</v>
      </c>
      <c r="M57" s="93">
        <f t="array" ref="M57">MMULT('Data_Matrix (2016)'!B$126:AA$126,TRANSPOSE('Data_Matrix (2016)'!B16:AA16))</f>
        <v>-1.0077322811609242</v>
      </c>
      <c r="N57" s="62">
        <f>VLOOKUP(B57,Data_ITU!A:S,18,0)</f>
        <v>54.062924729999999</v>
      </c>
      <c r="O57" s="62">
        <f t="shared" si="17"/>
        <v>0.76779666613488862</v>
      </c>
      <c r="P57" s="62">
        <f t="shared" si="18"/>
        <v>0.18550146186147307</v>
      </c>
      <c r="Q57" s="88">
        <v>53</v>
      </c>
      <c r="R57" s="85">
        <f t="array" ref="R57">MMULT('Data_Matrix (2017)'!B$126:AA$126,TRANSPOSE('Data_Matrix (2017)'!B16:AA16))</f>
        <v>-4.8157418696087029E-2</v>
      </c>
      <c r="S57" s="62">
        <f>VLOOKUP(B57,Data_ITU!A:S,19,0)</f>
        <v>57.272243683102403</v>
      </c>
      <c r="T57" s="62">
        <f t="shared" si="19"/>
        <v>0.71218018721702803</v>
      </c>
      <c r="U57" s="62">
        <f t="shared" si="20"/>
        <v>0.16717415184203552</v>
      </c>
      <c r="V57" s="88">
        <v>55</v>
      </c>
      <c r="W57" s="85">
        <f t="array" ref="W57">MMULT('Data_Matrix (2018)'!B$128:AA$128,TRANSPOSE('Data_Matrix (2018)'!B17:AA17))</f>
        <v>-0.29113457601329651</v>
      </c>
      <c r="X57" s="63">
        <v>78.902584457665895</v>
      </c>
      <c r="Y57" s="60">
        <f>VLOOKUP(B57,[1]ESTIMATES!$C:$BX,74,0)</f>
        <v>17084.358</v>
      </c>
      <c r="Z57" s="60">
        <v>13480</v>
      </c>
      <c r="AA57" s="62">
        <f t="shared" si="21"/>
        <v>1.6057983467196002</v>
      </c>
      <c r="AB57" s="62">
        <f t="shared" si="22"/>
        <v>0.34068131589781708</v>
      </c>
      <c r="AC57" s="88">
        <v>33</v>
      </c>
      <c r="AD57" s="70" t="s">
        <v>1344</v>
      </c>
      <c r="AF57" s="62">
        <f t="shared" si="23"/>
        <v>0.89069815819868248</v>
      </c>
      <c r="AG57" s="62">
        <f t="shared" si="24"/>
        <v>0.20846379823717717</v>
      </c>
      <c r="AH57" s="62">
        <f t="shared" si="25"/>
        <v>48</v>
      </c>
      <c r="AI57" s="71">
        <f>VLOOKUP(B57,'[2]Table 1'!$B:$P,2,0)</f>
        <v>0.75189975257563157</v>
      </c>
      <c r="AJ57" s="70">
        <v>-2.1</v>
      </c>
    </row>
    <row r="58" spans="1:36" x14ac:dyDescent="0.2">
      <c r="A58" s="89">
        <v>38</v>
      </c>
      <c r="B58" s="82" t="s">
        <v>70</v>
      </c>
      <c r="C58" s="85">
        <f t="array" ref="C58">MMULT('Data_Matrix (2014)'!B$126:AA$126,TRANSPOSE('Data_Matrix (2014)'!B24:AA24))</f>
        <v>0.21224210784380948</v>
      </c>
      <c r="D58" s="62">
        <f>VLOOKUP(B58,Data_ITU!A:S,16,0)</f>
        <v>16.5</v>
      </c>
      <c r="E58" s="62">
        <f t="shared" si="13"/>
        <v>0.32076770712784936</v>
      </c>
      <c r="F58" s="62">
        <f t="shared" si="14"/>
        <v>7.753450245336424E-2</v>
      </c>
      <c r="G58" s="88">
        <v>63</v>
      </c>
      <c r="H58" s="85">
        <f t="array" ref="H58">MMULT('Data_Matrix (2015)'!B$126:AA$126,TRANSPOSE('Data_Matrix (2015)'!B24:AA24))</f>
        <v>0.96573892891090474</v>
      </c>
      <c r="I58" s="63">
        <f>VLOOKUP(B58,Data_ITU!A:S,17,0)</f>
        <v>16.5878548475992</v>
      </c>
      <c r="J58" s="63">
        <f t="shared" si="15"/>
        <v>0.2943534596502928</v>
      </c>
      <c r="K58" s="62">
        <f t="shared" si="16"/>
        <v>8.5383722631159883E-2</v>
      </c>
      <c r="L58" s="87">
        <v>58</v>
      </c>
      <c r="M58" s="93">
        <f t="array" ref="M58">MMULT('Data_Matrix (2016)'!B$126:AA$126,TRANSPOSE('Data_Matrix (2016)'!B24:AA24))</f>
        <v>1.1337007024223431</v>
      </c>
      <c r="N58" s="62">
        <f>VLOOKUP(B58,Data_ITU!A:S,18,0)</f>
        <v>16.600000000000001</v>
      </c>
      <c r="O58" s="62">
        <f t="shared" si="17"/>
        <v>0.59122954282688522</v>
      </c>
      <c r="P58" s="62">
        <f t="shared" si="18"/>
        <v>0.14284243384668432</v>
      </c>
      <c r="Q58" s="88">
        <v>57</v>
      </c>
      <c r="R58" s="85">
        <f t="array" ref="R58">MMULT('Data_Matrix (2017)'!B$126:AA$126,TRANSPOSE('Data_Matrix (2017)'!B24:AA24))</f>
        <v>1.3948104949524871</v>
      </c>
      <c r="S58" s="62">
        <f>VLOOKUP(B58,Data_ITU!A:S,19,0)</f>
        <v>17.827100208864501</v>
      </c>
      <c r="T58" s="62">
        <f t="shared" si="19"/>
        <v>0.47891927631369496</v>
      </c>
      <c r="U58" s="62">
        <f t="shared" si="20"/>
        <v>0.11241947649709783</v>
      </c>
      <c r="V58" s="88">
        <v>58</v>
      </c>
      <c r="W58" s="85">
        <f t="array" ref="W58">MMULT('Data_Matrix (2018)'!B$128:AA$128,TRANSPOSE('Data_Matrix (2018)'!B25:AA25))</f>
        <v>0.77329196180492032</v>
      </c>
      <c r="X58" s="63">
        <v>84.311806581360543</v>
      </c>
      <c r="Y58" s="60">
        <f>VLOOKUP(B58,[1]ESTIMATES!$C:$BX,74,0)</f>
        <v>51392.565000000002</v>
      </c>
      <c r="Z58" s="60">
        <v>43330</v>
      </c>
      <c r="AA58" s="62">
        <f t="shared" si="21"/>
        <v>2.6133222245669696</v>
      </c>
      <c r="AB58" s="62">
        <f t="shared" si="22"/>
        <v>0.5544345316765662</v>
      </c>
      <c r="AC58" s="88">
        <v>10</v>
      </c>
      <c r="AD58" s="70" t="s">
        <v>1344</v>
      </c>
      <c r="AF58" s="62">
        <f t="shared" si="23"/>
        <v>0.85971844209713844</v>
      </c>
      <c r="AG58" s="62">
        <f t="shared" si="24"/>
        <v>0.19452293342097451</v>
      </c>
      <c r="AH58" s="62">
        <f t="shared" si="25"/>
        <v>49.2</v>
      </c>
      <c r="AI58" s="71">
        <f>VLOOKUP(B58,'[2]Table 1'!$B:$P,2,0)</f>
        <v>0.58992017706695854</v>
      </c>
      <c r="AJ58" s="70">
        <v>-10.6</v>
      </c>
    </row>
    <row r="59" spans="1:36" x14ac:dyDescent="0.2">
      <c r="A59" s="89">
        <v>7</v>
      </c>
      <c r="B59" s="82" t="s">
        <v>168</v>
      </c>
      <c r="C59" s="85">
        <f t="array" ref="C59">MMULT('Data_Matrix (2014)'!B$126:AA$126,TRANSPOSE('Data_Matrix (2014)'!B61:AA61))</f>
        <v>-0.14324978556180909</v>
      </c>
      <c r="D59" s="62">
        <f>VLOOKUP(B59,Data_ITU!A:S,16,0)</f>
        <v>33.894603911527497</v>
      </c>
      <c r="E59" s="62">
        <f t="shared" si="13"/>
        <v>0.53843436295665537</v>
      </c>
      <c r="F59" s="62">
        <f t="shared" si="14"/>
        <v>0.13014789053874143</v>
      </c>
      <c r="G59" s="88">
        <v>56</v>
      </c>
      <c r="H59" s="85">
        <f t="array" ref="H59">MMULT('Data_Matrix (2015)'!B$126:AA$126,TRANSPOSE('Data_Matrix (2015)'!B61:AA61))</f>
        <v>0.67510932646762289</v>
      </c>
      <c r="I59" s="63">
        <f>VLOOKUP(B59,Data_ITU!A:S,17,0)</f>
        <v>37.8193834276939</v>
      </c>
      <c r="J59" s="63">
        <f t="shared" si="15"/>
        <v>0.56119513897738282</v>
      </c>
      <c r="K59" s="62">
        <f t="shared" si="16"/>
        <v>0.1627870457012052</v>
      </c>
      <c r="L59" s="87">
        <v>45</v>
      </c>
      <c r="M59" s="93">
        <f t="array" ref="M59">MMULT('Data_Matrix (2016)'!B$126:AA$126,TRANSPOSE('Data_Matrix (2016)'!B61:AA61))</f>
        <v>-0.50250363411471355</v>
      </c>
      <c r="N59" s="62">
        <f>VLOOKUP(B59,Data_ITU!A:S,18,0)</f>
        <v>41.248067089999999</v>
      </c>
      <c r="O59" s="62">
        <f t="shared" si="17"/>
        <v>0.79419829224133109</v>
      </c>
      <c r="P59" s="62">
        <f t="shared" si="18"/>
        <v>0.19188015618808363</v>
      </c>
      <c r="Q59" s="88">
        <v>52</v>
      </c>
      <c r="R59" s="85">
        <f t="array" ref="R59">MMULT('Data_Matrix (2017)'!B$126:AA$126,TRANSPOSE('Data_Matrix (2017)'!B61:AA61))</f>
        <v>0.53532509541175965</v>
      </c>
      <c r="S59" s="62">
        <f>VLOOKUP(B59,Data_ITU!A:S,19,0)</f>
        <v>44.950204249999999</v>
      </c>
      <c r="T59" s="62">
        <f t="shared" si="19"/>
        <v>0.82123224378632598</v>
      </c>
      <c r="U59" s="62">
        <f t="shared" si="20"/>
        <v>0.192772568353511</v>
      </c>
      <c r="V59" s="88">
        <v>52</v>
      </c>
      <c r="W59" s="85">
        <f t="array" ref="W59">MMULT('Data_Matrix (2018)'!B$128:AA$128,TRANSPOSE('Data_Matrix (2018)'!B62:AA62))</f>
        <v>0.41091322597870295</v>
      </c>
      <c r="X59" s="63">
        <v>46.924338086490501</v>
      </c>
      <c r="Y59" s="60">
        <f>VLOOKUP(B59,[1]ESTIMATES!$C:$BX,74,0)</f>
        <v>98423.597999999998</v>
      </c>
      <c r="Z59" s="60"/>
      <c r="AA59" s="62">
        <f t="shared" si="21"/>
        <v>1.2844193246175795</v>
      </c>
      <c r="AB59" s="62">
        <f t="shared" si="22"/>
        <v>0.2724985155011565</v>
      </c>
      <c r="AC59" s="88">
        <v>48</v>
      </c>
      <c r="AF59" s="62">
        <f t="shared" si="23"/>
        <v>0.79989587251585503</v>
      </c>
      <c r="AG59" s="62">
        <f t="shared" si="24"/>
        <v>0.19001723525653955</v>
      </c>
      <c r="AH59" s="62">
        <f t="shared" si="25"/>
        <v>50.6</v>
      </c>
      <c r="AI59" s="71">
        <f>VLOOKUP(B59,'[2]Table 1'!$B:$P,2,0)</f>
        <v>0.69560755578806399</v>
      </c>
      <c r="AJ59" s="70">
        <v>-0.9</v>
      </c>
    </row>
    <row r="60" spans="1:36" x14ac:dyDescent="0.2">
      <c r="A60" s="89">
        <v>3</v>
      </c>
      <c r="B60" s="82" t="s">
        <v>60</v>
      </c>
      <c r="C60" s="85">
        <f t="array" ref="C60">MMULT('Data_Matrix (2014)'!B$126:AA$126,TRANSPOSE('Data_Matrix (2014)'!B14:AA14))</f>
        <v>0.14887910886614497</v>
      </c>
      <c r="D60" s="62">
        <f>VLOOKUP(B60,Data_ITU!A:S,16,0)</f>
        <v>86.19</v>
      </c>
      <c r="E60" s="62">
        <f t="shared" si="13"/>
        <v>1.6209612904144441</v>
      </c>
      <c r="F60" s="62">
        <f t="shared" si="14"/>
        <v>0.39181134620373226</v>
      </c>
      <c r="G60" s="88">
        <v>19</v>
      </c>
      <c r="H60" s="85">
        <f t="array" ref="H60">MMULT('Data_Matrix (2015)'!B$126:AA$126,TRANSPOSE('Data_Matrix (2015)'!B14:AA14))</f>
        <v>-0.56206468539879151</v>
      </c>
      <c r="I60" s="63">
        <f>VLOOKUP(B60,Data_ITU!A:S,17,0)</f>
        <v>87.589799352576705</v>
      </c>
      <c r="J60" s="63">
        <f t="shared" si="15"/>
        <v>0.21609129994639548</v>
      </c>
      <c r="K60" s="62">
        <f t="shared" si="16"/>
        <v>6.2682054559678596E-2</v>
      </c>
      <c r="L60" s="87">
        <v>62</v>
      </c>
      <c r="M60" s="93">
        <f t="array" ref="M60">MMULT('Data_Matrix (2016)'!B$126:AA$126,TRANSPOSE('Data_Matrix (2016)'!B14:AA14))</f>
        <v>-1.6309971555591558</v>
      </c>
      <c r="N60" s="62">
        <f>VLOOKUP(B60,Data_ITU!A:S,18,0)</f>
        <v>84.165206644121199</v>
      </c>
      <c r="O60" s="62">
        <f t="shared" si="17"/>
        <v>0.67073432547524814</v>
      </c>
      <c r="P60" s="62">
        <f t="shared" si="18"/>
        <v>0.16205097441054631</v>
      </c>
      <c r="Q60" s="88">
        <v>55</v>
      </c>
      <c r="R60" s="85">
        <f t="array" ref="R60">MMULT('Data_Matrix (2017)'!B$126:AA$126,TRANSPOSE('Data_Matrix (2017)'!B14:AA14))</f>
        <v>-0.76893373174187507</v>
      </c>
      <c r="S60" s="62">
        <f>VLOOKUP(B60,Data_ITU!A:S,19,0)</f>
        <v>84.395500769999998</v>
      </c>
      <c r="T60" s="62">
        <f t="shared" si="19"/>
        <v>0.44115503308011994</v>
      </c>
      <c r="U60" s="62">
        <f t="shared" si="20"/>
        <v>0.10355485846103701</v>
      </c>
      <c r="V60" s="88">
        <v>59</v>
      </c>
      <c r="W60" s="85">
        <f t="array" ref="W60">MMULT('Data_Matrix (2018)'!B$128:AA$128,TRANSPOSE('Data_Matrix (2018)'!B15:AA15))</f>
        <v>-1.2257803772505902</v>
      </c>
      <c r="X60" s="63">
        <v>89.739121036490602</v>
      </c>
      <c r="Y60" s="60">
        <f>VLOOKUP(B60,[1]ESTIMATES!$C:$BX,74,0)</f>
        <v>83124.418000000005</v>
      </c>
      <c r="Z60" s="60"/>
      <c r="AA60" s="62">
        <f t="shared" si="21"/>
        <v>0.9875968969739144</v>
      </c>
      <c r="AB60" s="62">
        <f t="shared" si="22"/>
        <v>0.20952556784293724</v>
      </c>
      <c r="AC60" s="88">
        <v>59</v>
      </c>
      <c r="AF60" s="62">
        <f t="shared" si="23"/>
        <v>0.78730776917802436</v>
      </c>
      <c r="AG60" s="62">
        <f t="shared" si="24"/>
        <v>0.18592496029558628</v>
      </c>
      <c r="AH60" s="62">
        <f t="shared" si="25"/>
        <v>50.8</v>
      </c>
      <c r="AI60" s="71">
        <f>VLOOKUP(B60,'[2]Table 1'!$B:$P,2,0)</f>
        <v>0.93604342015495512</v>
      </c>
      <c r="AJ60" s="70">
        <v>7.7</v>
      </c>
    </row>
    <row r="61" spans="1:36" x14ac:dyDescent="0.2">
      <c r="A61" s="89">
        <v>15</v>
      </c>
      <c r="B61" s="82" t="s">
        <v>134</v>
      </c>
      <c r="C61" s="85">
        <f t="array" ref="C61">MMULT('Data_Matrix (2014)'!B$126:AA$126,TRANSPOSE('Data_Matrix (2014)'!B57:AA57))</f>
        <v>0.96375506103836961</v>
      </c>
      <c r="D61" s="62">
        <f>VLOOKUP(B61,Data_ITU!A:S,16,0)</f>
        <v>29.5</v>
      </c>
      <c r="E61" s="62">
        <f t="shared" si="13"/>
        <v>0.7951901006027926</v>
      </c>
      <c r="F61" s="62">
        <f t="shared" si="14"/>
        <v>0.19220971262392161</v>
      </c>
      <c r="G61" s="88">
        <v>52</v>
      </c>
      <c r="H61" s="85">
        <f t="array" ref="H61">MMULT('Data_Matrix (2015)'!B$126:AA$126,TRANSPOSE('Data_Matrix (2015)'!B57:AA57))</f>
        <v>0.62689838977895762</v>
      </c>
      <c r="I61" s="63">
        <f>VLOOKUP(B61,Data_ITU!A:S,17,0)</f>
        <v>38.200000000000003</v>
      </c>
      <c r="J61" s="63">
        <f t="shared" si="15"/>
        <v>0.54842646313302557</v>
      </c>
      <c r="K61" s="62">
        <f t="shared" si="16"/>
        <v>0.15908320923888861</v>
      </c>
      <c r="L61" s="87">
        <v>47</v>
      </c>
      <c r="M61" s="93">
        <f t="array" ref="M61">MMULT('Data_Matrix (2016)'!B$126:AA$126,TRANSPOSE('Data_Matrix (2016)'!B57:AA57))</f>
        <v>-0.76895858536091222</v>
      </c>
      <c r="N61" s="62">
        <f>VLOOKUP(B61,Data_ITU!A:S,18,0)</f>
        <v>42.945526880033199</v>
      </c>
      <c r="O61" s="62">
        <f t="shared" si="17"/>
        <v>0.71245102989716813</v>
      </c>
      <c r="P61" s="62">
        <f t="shared" si="18"/>
        <v>0.17212982730953716</v>
      </c>
      <c r="Q61" s="88">
        <v>54</v>
      </c>
      <c r="R61" s="85">
        <f t="array" ref="R61">MMULT('Data_Matrix (2017)'!B$126:AA$126,TRANSPOSE('Data_Matrix (2017)'!B57:AA57))</f>
        <v>-0.37902880355889845</v>
      </c>
      <c r="S61" s="62">
        <f>VLOOKUP(B61,Data_ITU!A:S,19,0)</f>
        <v>47.691055148554803</v>
      </c>
      <c r="T61" s="62">
        <f t="shared" si="19"/>
        <v>0.43524208042986251</v>
      </c>
      <c r="U61" s="62">
        <f t="shared" si="20"/>
        <v>0.10216687707383834</v>
      </c>
      <c r="V61" s="88">
        <v>60</v>
      </c>
      <c r="W61" s="85">
        <f t="array" ref="W61">MMULT('Data_Matrix (2018)'!B$128:AA$128,TRANSPOSE('Data_Matrix (2018)'!B58:AA58))</f>
        <v>-1.5358810035440262E-2</v>
      </c>
      <c r="X61" s="63">
        <v>59.5796847635727</v>
      </c>
      <c r="Y61" s="60">
        <f>VLOOKUP(B61,[1]ESTIMATES!$C:$BX,74,0)</f>
        <v>42228.408000000003</v>
      </c>
      <c r="Z61" s="60"/>
      <c r="AA61" s="62">
        <f t="shared" si="21"/>
        <v>1.3768516491263423</v>
      </c>
      <c r="AB61" s="62">
        <f t="shared" si="22"/>
        <v>0.29210867764229242</v>
      </c>
      <c r="AC61" s="88">
        <v>43</v>
      </c>
      <c r="AF61" s="62">
        <f t="shared" si="23"/>
        <v>0.77363226463783819</v>
      </c>
      <c r="AG61" s="62">
        <f t="shared" si="24"/>
        <v>0.18353966077769562</v>
      </c>
      <c r="AH61" s="62">
        <f t="shared" si="25"/>
        <v>51.2</v>
      </c>
      <c r="AI61" s="71">
        <f>VLOOKUP(B61,'[2]Table 1'!$B:$P,2,0)</f>
        <v>0.75376753474292468</v>
      </c>
      <c r="AJ61" s="70">
        <v>-0.5</v>
      </c>
    </row>
    <row r="62" spans="1:36" x14ac:dyDescent="0.2">
      <c r="A62" s="89">
        <v>6</v>
      </c>
      <c r="B62" s="82" t="s">
        <v>20</v>
      </c>
      <c r="C62" s="85">
        <f t="array" ref="C62">MMULT('Data_Matrix (2014)'!B$126:AA$126,TRANSPOSE('Data_Matrix (2014)'!B6:AA6))</f>
        <v>9.8637556338650387E-2</v>
      </c>
      <c r="D62" s="62">
        <f>VLOOKUP(B62,Data_ITU!A:S,16,0)</f>
        <v>21</v>
      </c>
      <c r="E62" s="62">
        <f t="shared" si="13"/>
        <v>0.38439285325572486</v>
      </c>
      <c r="F62" s="62">
        <f t="shared" si="14"/>
        <v>9.2913681650418523E-2</v>
      </c>
      <c r="G62" s="88">
        <v>59</v>
      </c>
      <c r="H62" s="85">
        <f t="array" ref="H62">MMULT('Data_Matrix (2015)'!B$126:AA$126,TRANSPOSE('Data_Matrix (2015)'!B6:AA6))</f>
        <v>1.9694410261235555</v>
      </c>
      <c r="I62" s="63">
        <f>VLOOKUP(B62,Data_ITU!A:S,17,0)</f>
        <v>36</v>
      </c>
      <c r="J62" s="63">
        <f t="shared" si="15"/>
        <v>1.0001570420890007</v>
      </c>
      <c r="K62" s="62">
        <f t="shared" si="16"/>
        <v>0.2901176414599807</v>
      </c>
      <c r="L62" s="87">
        <v>30</v>
      </c>
      <c r="M62" s="93">
        <f t="array" ref="M62">MMULT('Data_Matrix (2016)'!B$126:AA$126,TRANSPOSE('Data_Matrix (2016)'!B6:AA6))</f>
        <v>-0.31315584256910411</v>
      </c>
      <c r="N62" s="62">
        <f>VLOOKUP(B62,Data_ITU!A:S,18,0)</f>
        <v>25.67</v>
      </c>
      <c r="O62" s="62">
        <f t="shared" si="17"/>
        <v>0.54286074203118595</v>
      </c>
      <c r="P62" s="62">
        <f t="shared" si="18"/>
        <v>0.13115641897863817</v>
      </c>
      <c r="Q62" s="88">
        <v>59</v>
      </c>
      <c r="R62" s="85">
        <f t="array" ref="R62">MMULT('Data_Matrix (2017)'!B$126:AA$126,TRANSPOSE('Data_Matrix (2017)'!B6:AA6))</f>
        <v>0.73379135124612083</v>
      </c>
      <c r="S62" s="62">
        <f>VLOOKUP(B62,Data_ITU!A:S,19,0)</f>
        <v>42</v>
      </c>
      <c r="T62" s="62">
        <f t="shared" si="19"/>
        <v>0.85068836385432778</v>
      </c>
      <c r="U62" s="62">
        <f t="shared" si="20"/>
        <v>0.1996869728501707</v>
      </c>
      <c r="V62" s="88">
        <v>51</v>
      </c>
      <c r="W62" s="85">
        <f t="array" ref="W62">MMULT('Data_Matrix (2018)'!B$128:AA$128,TRANSPOSE('Data_Matrix (2018)'!B7:AA7))</f>
        <v>-0.48862543135900793</v>
      </c>
      <c r="X62" s="63">
        <v>56.990519800866771</v>
      </c>
      <c r="Y62" s="60">
        <f>VLOOKUP(B62,[1]ESTIMATES!$C:$BX,74,0)</f>
        <v>195874.68299999999</v>
      </c>
      <c r="Z62" s="60">
        <v>111630</v>
      </c>
      <c r="AA62" s="62">
        <f t="shared" si="21"/>
        <v>1.0473004544694362</v>
      </c>
      <c r="AB62" s="62">
        <f t="shared" si="22"/>
        <v>0.22219209385655944</v>
      </c>
      <c r="AC62" s="88">
        <v>57</v>
      </c>
      <c r="AD62" s="70" t="s">
        <v>1344</v>
      </c>
      <c r="AF62" s="62">
        <f t="shared" si="23"/>
        <v>0.76507989113993502</v>
      </c>
      <c r="AG62" s="62">
        <f t="shared" si="24"/>
        <v>0.18721336175915351</v>
      </c>
      <c r="AH62" s="62">
        <f t="shared" si="25"/>
        <v>51.2</v>
      </c>
      <c r="AI62" s="71">
        <f>VLOOKUP(B62,'[2]Table 1'!$B:$P,2,0)</f>
        <v>0.53180969920944143</v>
      </c>
      <c r="AJ62" s="70">
        <v>1.7</v>
      </c>
    </row>
    <row r="63" spans="1:36" x14ac:dyDescent="0.2">
      <c r="A63" s="89">
        <v>57</v>
      </c>
      <c r="B63" s="82" t="s">
        <v>18</v>
      </c>
      <c r="C63" s="85">
        <f t="array" ref="C63">MMULT('Data_Matrix (2014)'!B$126:AA$126,TRANSPOSE('Data_Matrix (2014)'!B5:AA5))</f>
        <v>1.7722317528004687</v>
      </c>
      <c r="D63" s="62">
        <f>VLOOKUP(B63,Data_ITU!A:S,16,0)</f>
        <v>25.8</v>
      </c>
      <c r="E63" s="62">
        <f t="shared" si="13"/>
        <v>0.90404137954418262</v>
      </c>
      <c r="F63" s="62">
        <f t="shared" si="14"/>
        <v>0.21852074570671629</v>
      </c>
      <c r="G63" s="88">
        <v>47</v>
      </c>
      <c r="H63" s="85">
        <f t="array" ref="H63">MMULT('Data_Matrix (2015)'!B$126:AA$126,TRANSPOSE('Data_Matrix (2015)'!B5:AA5))</f>
        <v>0.90553898846557734</v>
      </c>
      <c r="I63" s="63">
        <f>VLOOKUP(B63,Data_ITU!A:S,17,0)</f>
        <v>12.1</v>
      </c>
      <c r="J63" s="63">
        <f t="shared" si="15"/>
        <v>0.20743174814552098</v>
      </c>
      <c r="K63" s="62">
        <f t="shared" si="16"/>
        <v>6.0170160288232098E-2</v>
      </c>
      <c r="L63" s="87">
        <v>63</v>
      </c>
      <c r="M63" s="93">
        <f t="array" ref="M63">MMULT('Data_Matrix (2016)'!B$126:AA$126,TRANSPOSE('Data_Matrix (2016)'!B5:AA5))</f>
        <v>0.10737409752990557</v>
      </c>
      <c r="N63" s="62">
        <f>VLOOKUP(B63,Data_ITU!A:S,18,0)</f>
        <v>16.399999999999999</v>
      </c>
      <c r="O63" s="62">
        <f t="shared" si="17"/>
        <v>0.41578873212058698</v>
      </c>
      <c r="P63" s="62">
        <f t="shared" si="18"/>
        <v>0.10045552557836582</v>
      </c>
      <c r="Q63" s="88">
        <v>61</v>
      </c>
      <c r="R63" s="85">
        <f t="array" ref="R63">MMULT('Data_Matrix (2017)'!B$126:AA$126,TRANSPOSE('Data_Matrix (2017)'!B5:AA5))</f>
        <v>0.60608018032476774</v>
      </c>
      <c r="S63" s="62">
        <f>VLOOKUP(B63,Data_ITU!A:S,19,0)</f>
        <v>34.113347899961902</v>
      </c>
      <c r="T63" s="62">
        <f t="shared" si="19"/>
        <v>0.64738173230439</v>
      </c>
      <c r="U63" s="62">
        <f t="shared" si="20"/>
        <v>0.1519636377963906</v>
      </c>
      <c r="V63" s="88">
        <v>57</v>
      </c>
      <c r="W63" s="85">
        <f t="array" ref="W63">MMULT('Data_Matrix (2018)'!B$128:AA$128,TRANSPOSE('Data_Matrix (2018)'!B6:AA6))</f>
        <v>0.22843718583918177</v>
      </c>
      <c r="X63" s="63">
        <v>33.586507136567498</v>
      </c>
      <c r="Y63" s="60">
        <f>VLOOKUP(B63,[1]ESTIMATES!$C:$BX,74,0)</f>
        <v>21228.762999999999</v>
      </c>
      <c r="Z63" s="60">
        <v>7130</v>
      </c>
      <c r="AA63" s="62">
        <f t="shared" si="21"/>
        <v>0.85804708480835867</v>
      </c>
      <c r="AB63" s="62">
        <f t="shared" si="22"/>
        <v>0.1820406718888232</v>
      </c>
      <c r="AC63" s="88">
        <v>60</v>
      </c>
      <c r="AD63" s="70" t="s">
        <v>1344</v>
      </c>
      <c r="AF63" s="62">
        <f t="shared" si="23"/>
        <v>0.60653813538460777</v>
      </c>
      <c r="AG63" s="62">
        <f t="shared" si="24"/>
        <v>0.14263014825170561</v>
      </c>
      <c r="AH63" s="62">
        <f t="shared" si="25"/>
        <v>57.6</v>
      </c>
      <c r="AI63" s="71">
        <f>VLOOKUP(B63,'[2]Table 1'!$B:$P,2,0)</f>
        <v>0.7700102474771624</v>
      </c>
      <c r="AJ63" s="70">
        <v>2</v>
      </c>
    </row>
    <row r="64" spans="1:36" x14ac:dyDescent="0.2">
      <c r="A64" s="89">
        <v>33</v>
      </c>
      <c r="B64" s="82" t="s">
        <v>144</v>
      </c>
      <c r="C64" s="85">
        <f t="array" ref="C64">MMULT('Data_Matrix (2014)'!B$126:AA$126,TRANSPOSE('Data_Matrix (2014)'!B56:AA56))</f>
        <v>0.13531167409055278</v>
      </c>
      <c r="D64" s="62">
        <f>VLOOKUP(B64,Data_ITU!A:S,16,0)</f>
        <v>54.551001879639202</v>
      </c>
      <c r="E64" s="62">
        <f t="shared" si="13"/>
        <v>1.0185306348771777</v>
      </c>
      <c r="F64" s="62">
        <f t="shared" si="14"/>
        <v>0.24619456464560927</v>
      </c>
      <c r="G64" s="88">
        <v>41</v>
      </c>
      <c r="H64" s="85">
        <f t="array" ref="H64">MMULT('Data_Matrix (2015)'!B$126:AA$126,TRANSPOSE('Data_Matrix (2015)'!B56:AA56))</f>
        <v>-0.60477828358881935</v>
      </c>
      <c r="I64" s="63">
        <f>VLOOKUP(B64,Data_ITU!A:S,17,0)</f>
        <v>58.327951734092402</v>
      </c>
      <c r="J64" s="63">
        <f t="shared" si="15"/>
        <v>0.11898592787571984</v>
      </c>
      <c r="K64" s="62">
        <f t="shared" si="16"/>
        <v>3.4514496533594764E-2</v>
      </c>
      <c r="L64" s="87">
        <v>64</v>
      </c>
      <c r="M64" s="93">
        <f t="array" ref="M64">MMULT('Data_Matrix (2016)'!B$126:AA$126,TRANSPOSE('Data_Matrix (2016)'!B56:AA56))</f>
        <v>-1.529004113915198</v>
      </c>
      <c r="N64" s="62">
        <f>VLOOKUP(B64,Data_ITU!A:S,18,0)</f>
        <v>60.872540069999999</v>
      </c>
      <c r="O64" s="62">
        <f t="shared" si="17"/>
        <v>0.54719478928919141</v>
      </c>
      <c r="P64" s="62">
        <f t="shared" si="18"/>
        <v>0.13220353488522829</v>
      </c>
      <c r="Q64" s="88">
        <v>58</v>
      </c>
      <c r="R64" s="85">
        <f t="array" ref="R64">MMULT('Data_Matrix (2017)'!B$126:AA$126,TRANSPOSE('Data_Matrix (2017)'!B56:AA56))</f>
        <v>-1.2615808052808402</v>
      </c>
      <c r="S64" s="62">
        <f>VLOOKUP(B64,Data_ITU!A:S,19,0)</f>
        <v>67.471284519999998</v>
      </c>
      <c r="T64" s="62">
        <f t="shared" si="19"/>
        <v>2.0292885405135238E-2</v>
      </c>
      <c r="U64" s="62">
        <f t="shared" si="20"/>
        <v>4.7634657168541808E-3</v>
      </c>
      <c r="V64" s="88">
        <v>64</v>
      </c>
      <c r="W64" s="85">
        <f t="array" ref="W64">MMULT('Data_Matrix (2018)'!B$128:AA$128,TRANSPOSE('Data_Matrix (2018)'!B57:AA57))</f>
        <v>-1.0282452136652303</v>
      </c>
      <c r="X64" s="63">
        <v>66.07172736219708</v>
      </c>
      <c r="Y64" s="60">
        <f>VLOOKUP(B64,[1]ESTIMATES!$C:$BX,74,0)</f>
        <v>209469.323</v>
      </c>
      <c r="Z64" s="60">
        <v>138400</v>
      </c>
      <c r="AA64" s="62">
        <f t="shared" si="21"/>
        <v>0.8576474113717909</v>
      </c>
      <c r="AB64" s="62">
        <f t="shared" si="22"/>
        <v>0.18195587838247948</v>
      </c>
      <c r="AC64" s="88">
        <v>61</v>
      </c>
      <c r="AD64" s="70" t="s">
        <v>1344</v>
      </c>
      <c r="AF64" s="62">
        <f t="shared" si="23"/>
        <v>0.51253032976380308</v>
      </c>
      <c r="AG64" s="62">
        <f t="shared" si="24"/>
        <v>0.1199263880327532</v>
      </c>
      <c r="AH64" s="62">
        <f t="shared" si="25"/>
        <v>57.6</v>
      </c>
      <c r="AI64" s="71">
        <f>VLOOKUP(B64,'[2]Table 1'!$B:$P,2,0)</f>
        <v>0.75924536998366643</v>
      </c>
      <c r="AJ64" s="70">
        <v>4</v>
      </c>
    </row>
    <row r="65" spans="1:36" x14ac:dyDescent="0.2">
      <c r="A65" s="89">
        <v>13</v>
      </c>
      <c r="B65" s="82" t="s">
        <v>44</v>
      </c>
      <c r="C65" s="85">
        <f t="array" ref="C65">MMULT('Data_Matrix (2014)'!B$126:AA$126,TRANSPOSE('Data_Matrix (2014)'!B12:AA12))</f>
        <v>1.4601503571941326</v>
      </c>
      <c r="D65" s="62">
        <f>VLOOKUP(B65,Data_ITU!A:S,16,0)</f>
        <v>12</v>
      </c>
      <c r="E65" s="62">
        <f t="shared" si="13"/>
        <v>0.38303459510592924</v>
      </c>
      <c r="F65" s="62">
        <f t="shared" si="14"/>
        <v>9.2585369705333417E-2</v>
      </c>
      <c r="G65" s="88">
        <v>60</v>
      </c>
      <c r="H65" s="85">
        <f t="array" ref="H65">MMULT('Data_Matrix (2015)'!B$126:AA$126,TRANSPOSE('Data_Matrix (2015)'!B12:AA12))</f>
        <v>1.7722865029225365</v>
      </c>
      <c r="I65" s="63">
        <f>VLOOKUP(B65,Data_ITU!A:S,17,0)</f>
        <v>14</v>
      </c>
      <c r="J65" s="63">
        <f t="shared" si="15"/>
        <v>0.36134832756424656</v>
      </c>
      <c r="K65" s="62">
        <f t="shared" si="16"/>
        <v>0.10481706384777817</v>
      </c>
      <c r="L65" s="87">
        <v>57</v>
      </c>
      <c r="M65" s="93">
        <f t="array" ref="M65">MMULT('Data_Matrix (2016)'!B$126:AA$126,TRANSPOSE('Data_Matrix (2016)'!B12:AA12))</f>
        <v>0.54255479312933153</v>
      </c>
      <c r="N65" s="62">
        <f>VLOOKUP(B65,Data_ITU!A:S,18,0)</f>
        <v>12.385446760000001</v>
      </c>
      <c r="O65" s="62">
        <f t="shared" si="17"/>
        <v>0.36790695172225435</v>
      </c>
      <c r="P65" s="62">
        <f t="shared" si="18"/>
        <v>8.8887175972038809E-2</v>
      </c>
      <c r="Q65" s="88">
        <v>62</v>
      </c>
      <c r="R65" s="85">
        <f t="array" ref="R65">MMULT('Data_Matrix (2017)'!B$126:AA$126,TRANSPOSE('Data_Matrix (2017)'!B12:AA12))</f>
        <v>1.2225450082912221</v>
      </c>
      <c r="S65" s="62">
        <f>VLOOKUP(B65,Data_ITU!A:S,19,0)</f>
        <v>15.51</v>
      </c>
      <c r="T65" s="62">
        <f t="shared" si="19"/>
        <v>0.38995275228818627</v>
      </c>
      <c r="U65" s="62">
        <f t="shared" si="20"/>
        <v>9.1535852572628612E-2</v>
      </c>
      <c r="V65" s="88">
        <v>61</v>
      </c>
      <c r="W65" s="85">
        <f t="array" ref="W65">MMULT('Data_Matrix (2018)'!B$128:AA$128,TRANSPOSE('Data_Matrix (2018)'!B13:AA13))</f>
        <v>0.86189391765014078</v>
      </c>
      <c r="X65" s="63">
        <v>21.019818253632788</v>
      </c>
      <c r="Y65" s="60">
        <f>VLOOKUP(B65,[1]ESTIMATES!$C:$BX,74,0)</f>
        <v>212228.28599999999</v>
      </c>
      <c r="Z65" s="60">
        <v>44610</v>
      </c>
      <c r="AA65" s="62">
        <f t="shared" si="21"/>
        <v>0.67015262812421372</v>
      </c>
      <c r="AB65" s="62">
        <f t="shared" si="22"/>
        <v>0.14217755278434357</v>
      </c>
      <c r="AC65" s="88">
        <v>63</v>
      </c>
      <c r="AD65" s="70" t="s">
        <v>1344</v>
      </c>
      <c r="AF65" s="62">
        <f t="shared" si="23"/>
        <v>0.43447905096096601</v>
      </c>
      <c r="AG65" s="62">
        <f t="shared" si="24"/>
        <v>0.10400060297642452</v>
      </c>
      <c r="AH65" s="62">
        <f t="shared" si="25"/>
        <v>60.6</v>
      </c>
      <c r="AI65" s="71">
        <f>VLOOKUP(B65,'[2]Table 1'!$B:$P,2,0)</f>
        <v>0.56160258568140708</v>
      </c>
      <c r="AJ65" s="70">
        <v>1</v>
      </c>
    </row>
    <row r="66" spans="1:36" x14ac:dyDescent="0.2">
      <c r="A66" s="89">
        <v>59</v>
      </c>
      <c r="B66" s="82" t="s">
        <v>7</v>
      </c>
      <c r="C66" s="85">
        <f t="array" ref="C66">MMULT('Data_Matrix (2014)'!B$126:AA$126,TRANSPOSE('Data_Matrix (2014)'!B2:AA2))</f>
        <v>-0.16909128675705648</v>
      </c>
      <c r="D66" s="62">
        <f>VLOOKUP(B66,Data_ITU!A:S,16,0)</f>
        <v>13.9</v>
      </c>
      <c r="E66" s="62">
        <f t="shared" si="13"/>
        <v>0.21721715082181942</v>
      </c>
      <c r="F66" s="62">
        <f t="shared" si="14"/>
        <v>5.2504735791855911E-2</v>
      </c>
      <c r="G66" s="88">
        <v>64</v>
      </c>
      <c r="H66" s="85">
        <f t="array" ref="H66">MMULT('Data_Matrix (2015)'!B$126:AA$126,TRANSPOSE('Data_Matrix (2015)'!B2:AA2))</f>
        <v>0.87674128815047436</v>
      </c>
      <c r="I66" s="63">
        <f>VLOOKUP(B66,Data_ITU!A:S,17,0)</f>
        <v>14.4</v>
      </c>
      <c r="J66" s="63">
        <f t="shared" si="15"/>
        <v>0.24271405456747661</v>
      </c>
      <c r="K66" s="62">
        <f t="shared" si="16"/>
        <v>7.0404572579152336E-2</v>
      </c>
      <c r="L66" s="87">
        <v>60</v>
      </c>
      <c r="M66" s="93">
        <f t="array" ref="M66">MMULT('Data_Matrix (2016)'!B$126:AA$126,TRANSPOSE('Data_Matrix (2016)'!B2:AA2))</f>
        <v>-0.95322456385066179</v>
      </c>
      <c r="N66" s="62">
        <f>VLOOKUP(B66,Data_ITU!A:S,18,0)</f>
        <v>18.02</v>
      </c>
      <c r="O66" s="62">
        <f t="shared" si="17"/>
        <v>0.26574066712245209</v>
      </c>
      <c r="P66" s="62">
        <f t="shared" si="18"/>
        <v>6.4203563783901116E-2</v>
      </c>
      <c r="Q66" s="88">
        <v>64</v>
      </c>
      <c r="R66" s="85">
        <f t="array" ref="R66">MMULT('Data_Matrix (2017)'!B$126:AA$126,TRANSPOSE('Data_Matrix (2017)'!B2:AA2))</f>
        <v>7.2052468741431189E-2</v>
      </c>
      <c r="S66" s="62">
        <f>VLOOKUP(B66,Data_ITU!A:S,19,0)</f>
        <v>15</v>
      </c>
      <c r="T66" s="62">
        <f t="shared" si="19"/>
        <v>0.20455644042941362</v>
      </c>
      <c r="U66" s="62">
        <f t="shared" si="20"/>
        <v>4.8016709881023571E-2</v>
      </c>
      <c r="V66" s="88">
        <v>62</v>
      </c>
      <c r="W66" s="85">
        <f t="array" ref="W66">MMULT('Data_Matrix (2018)'!B$128:AA$128,TRANSPOSE('Data_Matrix (2018)'!B3:AA3))</f>
        <v>-0.59508208014287267</v>
      </c>
      <c r="X66" s="63">
        <v>57.046646409468202</v>
      </c>
      <c r="Y66" s="60">
        <f>VLOOKUP(B66,[1]ESTIMATES!$C:$BX,74,0)</f>
        <v>161376.70800000001</v>
      </c>
      <c r="Z66" s="60">
        <v>92060</v>
      </c>
      <c r="AA66" s="62">
        <f t="shared" si="21"/>
        <v>0.98760193103388771</v>
      </c>
      <c r="AB66" s="62">
        <f t="shared" si="22"/>
        <v>0.20952663585386122</v>
      </c>
      <c r="AC66" s="88">
        <v>58</v>
      </c>
      <c r="AD66" s="70" t="s">
        <v>1344</v>
      </c>
      <c r="AF66" s="62">
        <f t="shared" si="23"/>
        <v>0.38356604879500988</v>
      </c>
      <c r="AG66" s="62">
        <f t="shared" si="24"/>
        <v>8.8931243577958827E-2</v>
      </c>
      <c r="AH66" s="62">
        <f t="shared" si="25"/>
        <v>61.6</v>
      </c>
      <c r="AI66" s="71">
        <f>VLOOKUP(B66,'[2]Table 1'!$B:$P,2,0)</f>
        <v>0.60815583703192777</v>
      </c>
      <c r="AJ66" s="70">
        <v>-1</v>
      </c>
    </row>
    <row r="67" spans="1:36" ht="16" thickBot="1" x14ac:dyDescent="0.25">
      <c r="A67" s="90">
        <v>32</v>
      </c>
      <c r="B67" s="83" t="s">
        <v>151</v>
      </c>
      <c r="C67" s="86">
        <f t="array" ref="C67">MMULT('Data_Matrix (2014)'!B$126:AA$126,TRANSPOSE('Data_Matrix (2014)'!B58:AA58))</f>
        <v>0.27368565907060605</v>
      </c>
      <c r="D67" s="64">
        <f>VLOOKUP(B67,Data_ITU!A:S,16,0)</f>
        <v>17.14</v>
      </c>
      <c r="E67" s="64">
        <f t="shared" ref="E67" si="26">(C67-MIN(C$3:C$67))*D67/100</f>
        <v>0.34374103075126317</v>
      </c>
      <c r="F67" s="62">
        <f t="shared" ref="F67" si="27">E67/MAX(E$3:E$67)</f>
        <v>8.308750912224179E-2</v>
      </c>
      <c r="G67" s="92">
        <v>61</v>
      </c>
      <c r="H67" s="86">
        <f t="array" ref="H67">MMULT('Data_Matrix (2015)'!B$126:AA$126,TRANSPOSE('Data_Matrix (2015)'!B58:AA58))</f>
        <v>-0.80877297967922424</v>
      </c>
      <c r="I67" s="65">
        <f>VLOOKUP(B67,Data_ITU!A:S,17,0)</f>
        <v>21.9760677113476</v>
      </c>
      <c r="J67" s="65">
        <f t="shared" ref="J67" si="28">(H67-MIN(H$3:H$67))*I67/100</f>
        <v>0</v>
      </c>
      <c r="K67" s="62">
        <f t="shared" ref="K67" si="29">J67/MAX(J$3:J$67)</f>
        <v>0</v>
      </c>
      <c r="L67" s="91">
        <v>65</v>
      </c>
      <c r="M67" s="94">
        <f t="array" ref="M67">MMULT('Data_Matrix (2016)'!B$126:AA$126,TRANSPOSE('Data_Matrix (2016)'!B58:AA58))</f>
        <v>-2.4279230495468442</v>
      </c>
      <c r="N67" s="64">
        <f>VLOOKUP(B67,Data_ITU!A:S,18,0)</f>
        <v>25.447353700000001</v>
      </c>
      <c r="O67" s="64">
        <f t="shared" ref="O67" si="30">(M67-MIN(M$3:M$67))*N67/100</f>
        <v>0</v>
      </c>
      <c r="P67" s="62">
        <f t="shared" ref="P67" si="31">O67/MAX(O$3:O$67)</f>
        <v>0</v>
      </c>
      <c r="Q67" s="92">
        <v>65</v>
      </c>
      <c r="R67" s="86">
        <f t="array" ref="R67">MMULT('Data_Matrix (2017)'!B$126:AA$126,TRANSPOSE('Data_Matrix (2017)'!B58:AA58))</f>
        <v>-0.72582223898875586</v>
      </c>
      <c r="S67" s="64">
        <f>VLOOKUP(B67,Data_ITU!A:S,19,0)</f>
        <v>32.292441895879897</v>
      </c>
      <c r="T67" s="64">
        <f t="shared" ref="T67" si="32">(R67-MIN(R$3:R$67))*S67/100</f>
        <v>0.18272190473729824</v>
      </c>
      <c r="U67" s="62">
        <f t="shared" ref="U67" si="33">T67/MAX(T$3:T$67)</f>
        <v>4.2891363724655851E-2</v>
      </c>
      <c r="V67" s="92">
        <v>63</v>
      </c>
      <c r="W67" s="86">
        <f t="array" ref="W67">MMULT('Data_Matrix (2018)'!B$128:AA$128,TRANSPOSE('Data_Matrix (2018)'!B59:AA59))</f>
        <v>-1.4833756954564297</v>
      </c>
      <c r="X67" s="65">
        <v>39.7874830543211</v>
      </c>
      <c r="Y67" s="61">
        <f>VLOOKUP(B67,[1]ESTIMATES!$C:$BX,74,0)</f>
        <v>267670.54300000001</v>
      </c>
      <c r="Z67" s="61"/>
      <c r="AA67" s="64">
        <f t="shared" si="21"/>
        <v>0.3353784804102713</v>
      </c>
      <c r="AB67" s="62">
        <f t="shared" ref="AB67" si="34">AA67/MAX(AA$3:AA$67)</f>
        <v>7.1152883089829685E-2</v>
      </c>
      <c r="AC67" s="92">
        <v>64</v>
      </c>
      <c r="AF67" s="62">
        <f t="shared" si="23"/>
        <v>0.17236828317976655</v>
      </c>
      <c r="AG67" s="62">
        <f t="shared" si="24"/>
        <v>3.9426351187345464E-2</v>
      </c>
      <c r="AH67" s="62">
        <f t="shared" si="25"/>
        <v>63.6</v>
      </c>
      <c r="AI67" s="71">
        <f>VLOOKUP(B67,'[2]Table 1'!$B:$P,2,0)</f>
        <v>0.69397966394211896</v>
      </c>
      <c r="AJ67" s="70">
        <v>0.4</v>
      </c>
    </row>
    <row r="68" spans="1:36" x14ac:dyDescent="0.2">
      <c r="J68" s="73"/>
      <c r="K68" s="73"/>
      <c r="L68" s="73"/>
    </row>
    <row r="69" spans="1:36" x14ac:dyDescent="0.2">
      <c r="B69" s="75" t="s">
        <v>1335</v>
      </c>
      <c r="C69" s="69">
        <f>_xlfn.STDEV.P(C3:C67)</f>
        <v>0.99116796022177156</v>
      </c>
      <c r="D69" s="76"/>
      <c r="E69" s="77">
        <f>STDEV(E3:E67)</f>
        <v>0.85910934012747864</v>
      </c>
      <c r="F69" s="77">
        <f>STDEV(F3:F67)</f>
        <v>0.20765997873119138</v>
      </c>
      <c r="G69" s="77"/>
      <c r="H69" s="69">
        <f>_xlfn.STDEV.P(H3:H67)</f>
        <v>1.0049353248433703</v>
      </c>
      <c r="J69" s="77">
        <f>STDEV(J3:J67)</f>
        <v>0.84734857551871479</v>
      </c>
      <c r="K69" s="77">
        <f>STDEV(K3:K67)</f>
        <v>0.24579217050804714</v>
      </c>
      <c r="L69" s="77"/>
      <c r="M69" s="69">
        <f>_xlfn.STDEV.P(M3:M67)</f>
        <v>1.0018588814298661</v>
      </c>
      <c r="N69" s="76"/>
      <c r="O69" s="77">
        <f>STDEV(O3:O67)</f>
        <v>0.87786991933554825</v>
      </c>
      <c r="P69" s="77">
        <f>STDEV(P3:P67)</f>
        <v>0.2120954160698951</v>
      </c>
      <c r="Q69" s="77"/>
      <c r="R69" s="69">
        <f>_xlfn.STDEV.P(R3:R67)</f>
        <v>1.0073898484968871</v>
      </c>
      <c r="T69" s="77">
        <f>STDEV(T3:T67)</f>
        <v>0.93400317909298358</v>
      </c>
      <c r="U69" s="77">
        <f>STDEV(U3:U67)</f>
        <v>0.219243938662186</v>
      </c>
      <c r="V69" s="77"/>
      <c r="W69" s="69">
        <f>_xlfn.STDEV.P(W3:W67)</f>
        <v>0.99556687534775734</v>
      </c>
      <c r="AA69" s="77">
        <f>STDEV(AA3:AA67)</f>
        <v>0.92974966617884147</v>
      </c>
      <c r="AB69" s="77">
        <f>STDEV(AB3:AB67)</f>
        <v>0.19725287448229833</v>
      </c>
      <c r="AC69" s="77"/>
      <c r="AF69" s="77">
        <f>STDEV(AF3:AF67)</f>
        <v>0.79871156416621336</v>
      </c>
      <c r="AG69" s="77">
        <f>STDEV(AG3:AG67)</f>
        <v>0.19455570394295635</v>
      </c>
      <c r="AH69" s="77"/>
      <c r="AJ69" s="70">
        <f>STDEV(AJ3:AJ67)</f>
        <v>4.6979716367811335</v>
      </c>
    </row>
    <row r="70" spans="1:36" x14ac:dyDescent="0.2">
      <c r="B70" s="75" t="s">
        <v>1346</v>
      </c>
      <c r="C70" s="77">
        <f>AVERAGE(C3:C67)</f>
        <v>0.50543849506999294</v>
      </c>
      <c r="D70" s="76"/>
      <c r="E70" s="77">
        <f>AVERAGE(E3:E67)</f>
        <v>1.3833212670759121</v>
      </c>
      <c r="F70" s="77">
        <f>AVERAGE(F3:F67)</f>
        <v>0.33437008711459587</v>
      </c>
      <c r="G70" s="77"/>
      <c r="H70" s="77">
        <f>AVERAGE(H3:H67)</f>
        <v>0.9250712466119887</v>
      </c>
      <c r="J70" s="77">
        <f>AVERAGE(J3:J67)</f>
        <v>1.1157638126938059</v>
      </c>
      <c r="K70" s="77">
        <f>AVERAGE(K3:K67)</f>
        <v>0.32365193878854626</v>
      </c>
      <c r="L70" s="77"/>
      <c r="M70" s="77">
        <f>AVERAGE(M3:M67)</f>
        <v>-0.33786718257495951</v>
      </c>
      <c r="N70" s="76"/>
      <c r="O70" s="77">
        <f>AVERAGE(O3:O67)</f>
        <v>1.3924528591490279</v>
      </c>
      <c r="P70" s="77">
        <f>AVERAGE(P3:P67)</f>
        <v>0.33641985220596587</v>
      </c>
      <c r="Q70" s="77"/>
      <c r="R70" s="77">
        <f>AVERAGE(R3:R67)</f>
        <v>0.7669914826008235</v>
      </c>
      <c r="T70" s="77">
        <f>AVERAGE(T3:T67)</f>
        <v>1.4686417108465055</v>
      </c>
      <c r="U70" s="77">
        <f>AVERAGE(U3:U67)</f>
        <v>0.34474271648865989</v>
      </c>
      <c r="V70" s="77"/>
      <c r="W70" s="77">
        <f>AVERAGE(W3:W67)</f>
        <v>0.13333209769740847</v>
      </c>
      <c r="AA70" s="77">
        <f>AVERAGE(AA3:AA67)</f>
        <v>1.8710854767285572</v>
      </c>
      <c r="AB70" s="77">
        <f>AVERAGE(AB3:AB67)</f>
        <v>0.3969638302788015</v>
      </c>
      <c r="AC70" s="77"/>
      <c r="AF70" s="77">
        <f>AVERAGE(AF3:AF67)</f>
        <v>1.4462530252987622</v>
      </c>
      <c r="AG70" s="77">
        <f>AVERAGE(AG3:AG67)</f>
        <v>0.34722968497531387</v>
      </c>
      <c r="AH70" s="77"/>
    </row>
    <row r="72" spans="1:36" x14ac:dyDescent="0.2">
      <c r="B72" s="111" t="s">
        <v>1349</v>
      </c>
      <c r="C72" s="111"/>
      <c r="D72" s="111"/>
      <c r="E72" s="111"/>
      <c r="F72" s="111"/>
      <c r="G72" s="111"/>
      <c r="H72" s="111"/>
      <c r="I72" s="111"/>
      <c r="J72" s="111"/>
      <c r="K72" s="111"/>
      <c r="L72" s="111"/>
      <c r="M72" s="111"/>
      <c r="N72" s="111"/>
      <c r="O72" s="111"/>
      <c r="P72" s="111"/>
      <c r="Q72" s="111"/>
      <c r="R72" s="111"/>
      <c r="S72" s="111"/>
      <c r="T72" s="111"/>
      <c r="U72" s="111"/>
      <c r="V72" s="111"/>
      <c r="W72" s="111"/>
      <c r="X72" s="111"/>
      <c r="Y72" s="111"/>
      <c r="Z72" s="111"/>
      <c r="AA72" s="111"/>
      <c r="AB72" s="78"/>
      <c r="AC72" s="78"/>
    </row>
    <row r="73" spans="1:36" x14ac:dyDescent="0.2">
      <c r="B73" s="111"/>
      <c r="C73" s="111"/>
      <c r="D73" s="111"/>
      <c r="E73" s="111"/>
      <c r="F73" s="111"/>
      <c r="G73" s="111"/>
      <c r="H73" s="111"/>
      <c r="I73" s="111"/>
      <c r="J73" s="111"/>
      <c r="K73" s="111"/>
      <c r="L73" s="111"/>
      <c r="M73" s="111"/>
      <c r="N73" s="111"/>
      <c r="O73" s="111"/>
      <c r="P73" s="111"/>
      <c r="Q73" s="111"/>
      <c r="R73" s="111"/>
      <c r="S73" s="111"/>
      <c r="T73" s="111"/>
      <c r="U73" s="111"/>
      <c r="V73" s="111"/>
      <c r="W73" s="111"/>
      <c r="X73" s="111"/>
      <c r="Y73" s="111"/>
      <c r="Z73" s="111"/>
      <c r="AA73" s="111"/>
      <c r="AB73" s="78"/>
      <c r="AC73" s="78"/>
    </row>
    <row r="75" spans="1:36" x14ac:dyDescent="0.2">
      <c r="B75" s="75" t="s">
        <v>1348</v>
      </c>
      <c r="C75" s="77"/>
      <c r="D75" s="76"/>
      <c r="E75" s="77">
        <f>CORREL($AI3:$AI67,E3:E67)</f>
        <v>0.57579267849080773</v>
      </c>
      <c r="F75" s="77">
        <f>CORREL($AI3:$AI67,F3:F67)</f>
        <v>0.57579267849080762</v>
      </c>
      <c r="G75" s="77"/>
      <c r="H75" s="77"/>
      <c r="J75" s="77">
        <f>CORREL($AI3:$AI67,J3:J67)</f>
        <v>0.4664814021169828</v>
      </c>
      <c r="K75" s="77">
        <f>CORREL($AI3:$AI67,K3:K67)</f>
        <v>0.46648140211698291</v>
      </c>
      <c r="L75" s="77"/>
      <c r="M75" s="77"/>
      <c r="N75" s="76"/>
      <c r="O75" s="77">
        <f>CORREL($AI3:$AI67,O3:O67)</f>
        <v>0.53392359025604696</v>
      </c>
      <c r="P75" s="77">
        <f>CORREL($AI3:$AI67,P3:P67)</f>
        <v>0.53392359025604685</v>
      </c>
      <c r="Q75" s="77"/>
      <c r="R75" s="77"/>
      <c r="T75" s="77">
        <f>CORREL($AI3:$AI67,T3:T67)</f>
        <v>0.44726019093804581</v>
      </c>
      <c r="U75" s="77">
        <f>CORREL($AI3:$AI67,U3:U67)</f>
        <v>0.4472601909380457</v>
      </c>
      <c r="V75" s="77"/>
      <c r="W75" s="77"/>
      <c r="AA75" s="77">
        <f>CORREL($AI3:$AI67,AA3:AA67)</f>
        <v>0.394069048697608</v>
      </c>
      <c r="AB75" s="77">
        <f>CORREL($AI3:$AI67,AB3:AB67)</f>
        <v>0.39406904869760773</v>
      </c>
      <c r="AC75" s="77"/>
      <c r="AF75" s="77">
        <f>CORREL($AI3:$AI67,AF3:AF67)</f>
        <v>0.53656032580433699</v>
      </c>
      <c r="AG75" s="77">
        <f>CORREL($AI3:$AI67,AG3:AG67)</f>
        <v>0.53790214893254606</v>
      </c>
      <c r="AH75" s="77"/>
    </row>
    <row r="76" spans="1:36" x14ac:dyDescent="0.2">
      <c r="B76" s="75" t="s">
        <v>1350</v>
      </c>
      <c r="E76" s="79">
        <f>CORREL($E$3:$E$67,E$3:E$67)</f>
        <v>0.99999999999999989</v>
      </c>
      <c r="F76" s="79">
        <f>CORREL($F$3:$F$67,F$3:F$67)</f>
        <v>1</v>
      </c>
      <c r="G76" s="79"/>
      <c r="J76" s="79">
        <f>CORREL($E3:$E67,J3:J67)</f>
        <v>0.68146881793848635</v>
      </c>
      <c r="K76" s="79">
        <f>CORREL($F$3:$F$67,K$3:K$67)</f>
        <v>0.68146881793848613</v>
      </c>
      <c r="L76" s="79"/>
      <c r="O76" s="79">
        <f>CORREL($E3:$E67,O3:O67)</f>
        <v>0.64924146368768998</v>
      </c>
      <c r="P76" s="79">
        <f>CORREL($F$3:$F$67,P$3:P$67)</f>
        <v>0.64924146368769031</v>
      </c>
      <c r="Q76" s="79"/>
      <c r="T76" s="79">
        <f>CORREL($E3:$E67,T3:T67)</f>
        <v>0.62966674209685036</v>
      </c>
      <c r="U76" s="79">
        <f>CORREL($F$3:$F$67,U$3:U$67)</f>
        <v>0.62966674209685036</v>
      </c>
      <c r="V76" s="79"/>
      <c r="AA76" s="79">
        <f>CORREL($E3:$E67,AA3:AA67)</f>
        <v>0.5171676679338405</v>
      </c>
      <c r="AB76" s="79">
        <f>CORREL($F$3:$F$67,AB$3:AB$67)</f>
        <v>0.51716766793384028</v>
      </c>
      <c r="AC76" s="79"/>
      <c r="AF76" s="62">
        <f>CORREL($E3:$E67,AF3:AF67)</f>
        <v>0.77010221639721577</v>
      </c>
      <c r="AG76" s="62">
        <f>CORREL($F$3:$F$67,AG$3:AG$67)</f>
        <v>0.77399349123007744</v>
      </c>
      <c r="AH76" s="79"/>
    </row>
    <row r="77" spans="1:36" x14ac:dyDescent="0.2">
      <c r="E77" s="79">
        <f>CORREL($J$3:$J$67,E$3:E$67)</f>
        <v>0.68146881793848635</v>
      </c>
      <c r="F77" s="79">
        <f>CORREL($K$3:$K$67,F$3:F$67)</f>
        <v>0.68146881793848613</v>
      </c>
      <c r="G77" s="79"/>
      <c r="J77" s="79">
        <f>CORREL($J$3:$J$67,J$3:J$67)</f>
        <v>1</v>
      </c>
      <c r="K77" s="79">
        <f>CORREL($K$3:$K$67,K$3:K$67)</f>
        <v>1</v>
      </c>
      <c r="L77" s="79"/>
      <c r="O77" s="79">
        <f>CORREL($J$3:$J$67,O$3:O$67)</f>
        <v>0.87296601786910566</v>
      </c>
      <c r="P77" s="79">
        <f>CORREL($K$3:$K$67,P$3:P$67)</f>
        <v>0.87296601786910522</v>
      </c>
      <c r="Q77" s="79"/>
      <c r="T77" s="79">
        <f>CORREL($J$3:$J$67,T$3:T$67)</f>
        <v>0.86701231755120067</v>
      </c>
      <c r="U77" s="79">
        <f>CORREL($K$3:$K$67,U$3:U$67)</f>
        <v>0.86701231755120067</v>
      </c>
      <c r="V77" s="79"/>
      <c r="AA77" s="79">
        <f>CORREL($J$3:$J$67,AA$3:AA$67)</f>
        <v>0.73682309581376204</v>
      </c>
      <c r="AB77" s="79">
        <f>CORREL($K$3:$K$67,AB$3:AB$67)</f>
        <v>0.73682309581376193</v>
      </c>
      <c r="AC77" s="79"/>
      <c r="AF77" s="62">
        <f>CORREL($J$3:$J$67,AF$3:AF$67)</f>
        <v>0.9249919154062225</v>
      </c>
      <c r="AG77" s="62">
        <f>CORREL($K$3:$K$67,AG$3:AG$67)</f>
        <v>0.93329130128295612</v>
      </c>
      <c r="AH77" s="79"/>
    </row>
    <row r="78" spans="1:36" x14ac:dyDescent="0.2">
      <c r="E78" s="79">
        <f>CORREL($O$3:$O$67,E$3:E$67)</f>
        <v>0.64924146368768998</v>
      </c>
      <c r="F78" s="79">
        <f>CORREL($P$3:$P$67,F$3:F$67)</f>
        <v>0.64924146368769031</v>
      </c>
      <c r="G78" s="79"/>
      <c r="J78" s="79">
        <f>CORREL($O$3:$O$67,J$3:J$67)</f>
        <v>0.87296601786910566</v>
      </c>
      <c r="K78" s="79">
        <f>CORREL($P$3:$P$67,K$3:K$67)</f>
        <v>0.87296601786910522</v>
      </c>
      <c r="L78" s="79"/>
      <c r="O78" s="79">
        <f>CORREL($O$3:$O$67,O$3:O$67)</f>
        <v>1</v>
      </c>
      <c r="P78" s="79">
        <f>CORREL($P$3:$P$67,P$3:P$67)</f>
        <v>0.99999999999999989</v>
      </c>
      <c r="Q78" s="79"/>
      <c r="T78" s="79">
        <f>CORREL($O$3:$O$67,T$3:T$67)</f>
        <v>0.88571727986374571</v>
      </c>
      <c r="U78" s="79">
        <f>CORREL($P$3:$P$67,U$3:U$67)</f>
        <v>0.88571727986374593</v>
      </c>
      <c r="V78" s="79"/>
      <c r="AA78" s="79">
        <f>CORREL($O$3:$O$67,AA$3:AA$67)</f>
        <v>0.84942809312313883</v>
      </c>
      <c r="AB78" s="79">
        <f>CORREL($P$3:$P$67,AB$3:AB$67)</f>
        <v>0.84942809312313894</v>
      </c>
      <c r="AC78" s="79"/>
      <c r="AF78" s="62">
        <f>CORREL($O$3:$O$67,AF$3:AF$67)</f>
        <v>0.94962042565609006</v>
      </c>
      <c r="AG78" s="62">
        <f>CORREL($P$3:$P$67,AG$3:AG$67)</f>
        <v>0.94906019841621714</v>
      </c>
      <c r="AH78" s="79"/>
    </row>
    <row r="79" spans="1:36" x14ac:dyDescent="0.2">
      <c r="E79" s="79">
        <f>CORREL($T$3:$T$67,E$3:E$67)</f>
        <v>0.62966674209685036</v>
      </c>
      <c r="F79" s="79">
        <f>CORREL($U$3:$U$67,F$3:F$67)</f>
        <v>0.62966674209685036</v>
      </c>
      <c r="G79" s="79"/>
      <c r="J79" s="79">
        <f>CORREL($T$3:$T$67,J$3:J$67)</f>
        <v>0.86701231755120067</v>
      </c>
      <c r="K79" s="79">
        <f>CORREL($U$3:$U$67,K$3:K$67)</f>
        <v>0.86701231755120067</v>
      </c>
      <c r="L79" s="79"/>
      <c r="O79" s="79">
        <f>CORREL($T$3:$T$67,O$3:O$67)</f>
        <v>0.88571727986374571</v>
      </c>
      <c r="P79" s="79">
        <f>CORREL($U$3:$U$67,P$3:P$67)</f>
        <v>0.88571727986374593</v>
      </c>
      <c r="Q79" s="79"/>
      <c r="T79" s="79">
        <f>CORREL($T$3:$T$67,T$3:T$67)</f>
        <v>1</v>
      </c>
      <c r="U79" s="79">
        <f>CORREL($U$3:$U$67,U$3:U$67)</f>
        <v>1.0000000000000002</v>
      </c>
      <c r="V79" s="79"/>
      <c r="AA79" s="79">
        <f>CORREL($T$3:$T$67,AA$3:AA$67)</f>
        <v>0.86695605787975516</v>
      </c>
      <c r="AB79" s="79">
        <f>CORREL($U$3:$U$67,AB$3:AB$67)</f>
        <v>0.86695605787975538</v>
      </c>
      <c r="AC79" s="79"/>
      <c r="AF79" s="62">
        <f>CORREL($T$3:$T$67,AF$3:AF$67)</f>
        <v>0.94983326728805328</v>
      </c>
      <c r="AG79" s="62">
        <f>CORREL($U$3:$U$67,AG$3:AG$67)</f>
        <v>0.94777124607132679</v>
      </c>
      <c r="AH79" s="79"/>
    </row>
    <row r="80" spans="1:36" x14ac:dyDescent="0.2">
      <c r="E80" s="79">
        <f>CORREL($AA$3:$AA$67,E$3:E$67)</f>
        <v>0.5171676679338405</v>
      </c>
      <c r="F80" s="79">
        <f>CORREL($AB$3:$AB$67,F$3:F$67)</f>
        <v>0.51716766793384028</v>
      </c>
      <c r="G80" s="79"/>
      <c r="J80" s="79">
        <f>CORREL($AA$3:$AA$67,J$3:J$67)</f>
        <v>0.73682309581376204</v>
      </c>
      <c r="K80" s="79">
        <f>CORREL($AB$3:$AB$67,K$3:K$67)</f>
        <v>0.73682309581376193</v>
      </c>
      <c r="L80" s="79"/>
      <c r="O80" s="79">
        <f>CORREL($AA$3:$AA$67,O$3:O$67)</f>
        <v>0.84942809312313883</v>
      </c>
      <c r="P80" s="79">
        <f>CORREL($AB$3:$AB$67,P$3:P$67)</f>
        <v>0.84942809312313894</v>
      </c>
      <c r="Q80" s="79"/>
      <c r="T80" s="79">
        <f>CORREL($AA$3:$AA$67,T$3:T$67)</f>
        <v>0.86695605787975516</v>
      </c>
      <c r="U80" s="79">
        <f>CORREL($AB$3:$AB$67,U$3:U$67)</f>
        <v>0.86695605787975538</v>
      </c>
      <c r="V80" s="79"/>
      <c r="AA80" s="79">
        <f>CORREL($AA$3:$AA$67,AA$3:AA$67)</f>
        <v>1.0000000000000002</v>
      </c>
      <c r="AB80" s="79">
        <f>CORREL($AB$3:$AB$67,AB$3:AB$67)</f>
        <v>1</v>
      </c>
      <c r="AC80" s="79"/>
      <c r="AF80" s="62">
        <f>CORREL($AA$3:$AA$67,AF$3:AF$67)</f>
        <v>0.88988978900153803</v>
      </c>
      <c r="AG80" s="62">
        <f>CORREL($AB$3:$AB$67,AG$3:AG$67)</f>
        <v>0.87994121752031218</v>
      </c>
      <c r="AH80" s="79"/>
    </row>
    <row r="81" spans="5:7" x14ac:dyDescent="0.2">
      <c r="E81" s="79"/>
      <c r="F81" s="79"/>
      <c r="G81" s="79"/>
    </row>
  </sheetData>
  <autoFilter ref="B2:AJ2" xr:uid="{3FBC8890-300C-B440-B636-99C86AFCE6E8}">
    <sortState xmlns:xlrd2="http://schemas.microsoft.com/office/spreadsheetml/2017/richdata2" ref="B3:AJ67">
      <sortCondition ref="AH2:AH67"/>
    </sortState>
  </autoFilter>
  <mergeCells count="1">
    <mergeCell ref="B72:AA73"/>
  </mergeCells>
  <conditionalFormatting sqref="C3:C67">
    <cfRule type="colorScale" priority="28">
      <colorScale>
        <cfvo type="min"/>
        <cfvo type="percentile" val="50"/>
        <cfvo type="max"/>
        <color rgb="FFF8696B"/>
        <color rgb="FFFFEB84"/>
        <color rgb="FF63BE7B"/>
      </colorScale>
    </cfRule>
  </conditionalFormatting>
  <conditionalFormatting sqref="E3:E67">
    <cfRule type="colorScale" priority="27">
      <colorScale>
        <cfvo type="min"/>
        <cfvo type="percentile" val="50"/>
        <cfvo type="max"/>
        <color rgb="FFF8696B"/>
        <color rgb="FFFFEB84"/>
        <color rgb="FF63BE7B"/>
      </colorScale>
    </cfRule>
  </conditionalFormatting>
  <conditionalFormatting sqref="H3:H67">
    <cfRule type="colorScale" priority="26">
      <colorScale>
        <cfvo type="min"/>
        <cfvo type="percentile" val="50"/>
        <cfvo type="max"/>
        <color rgb="FFF8696B"/>
        <color rgb="FFFFEB84"/>
        <color rgb="FF63BE7B"/>
      </colorScale>
    </cfRule>
  </conditionalFormatting>
  <conditionalFormatting sqref="J3:J67">
    <cfRule type="colorScale" priority="25">
      <colorScale>
        <cfvo type="min"/>
        <cfvo type="percentile" val="50"/>
        <cfvo type="max"/>
        <color rgb="FFF8696B"/>
        <color rgb="FFFFEB84"/>
        <color rgb="FF63BE7B"/>
      </colorScale>
    </cfRule>
  </conditionalFormatting>
  <conditionalFormatting sqref="M3:M67">
    <cfRule type="colorScale" priority="24">
      <colorScale>
        <cfvo type="min"/>
        <cfvo type="percentile" val="50"/>
        <cfvo type="max"/>
        <color rgb="FFF8696B"/>
        <color rgb="FFFFEB84"/>
        <color rgb="FF63BE7B"/>
      </colorScale>
    </cfRule>
  </conditionalFormatting>
  <conditionalFormatting sqref="O3:O67">
    <cfRule type="colorScale" priority="23">
      <colorScale>
        <cfvo type="min"/>
        <cfvo type="percentile" val="50"/>
        <cfvo type="max"/>
        <color rgb="FFF8696B"/>
        <color rgb="FFFFEB84"/>
        <color rgb="FF63BE7B"/>
      </colorScale>
    </cfRule>
  </conditionalFormatting>
  <conditionalFormatting sqref="R3:R67">
    <cfRule type="colorScale" priority="22">
      <colorScale>
        <cfvo type="min"/>
        <cfvo type="percentile" val="50"/>
        <cfvo type="max"/>
        <color rgb="FFF8696B"/>
        <color rgb="FFFFEB84"/>
        <color rgb="FF63BE7B"/>
      </colorScale>
    </cfRule>
  </conditionalFormatting>
  <conditionalFormatting sqref="T3:T67">
    <cfRule type="colorScale" priority="21">
      <colorScale>
        <cfvo type="min"/>
        <cfvo type="percentile" val="50"/>
        <cfvo type="max"/>
        <color rgb="FFF8696B"/>
        <color rgb="FFFFEB84"/>
        <color rgb="FF63BE7B"/>
      </colorScale>
    </cfRule>
  </conditionalFormatting>
  <conditionalFormatting sqref="W3:W67">
    <cfRule type="colorScale" priority="20">
      <colorScale>
        <cfvo type="min"/>
        <cfvo type="percentile" val="50"/>
        <cfvo type="max"/>
        <color rgb="FFF8696B"/>
        <color rgb="FFFFEB84"/>
        <color rgb="FF63BE7B"/>
      </colorScale>
    </cfRule>
  </conditionalFormatting>
  <conditionalFormatting sqref="AA3:AA67">
    <cfRule type="colorScale" priority="19">
      <colorScale>
        <cfvo type="min"/>
        <cfvo type="percentile" val="50"/>
        <cfvo type="max"/>
        <color rgb="FFF8696B"/>
        <color rgb="FFFFEB84"/>
        <color rgb="FF63BE7B"/>
      </colorScale>
    </cfRule>
  </conditionalFormatting>
  <conditionalFormatting sqref="AI3:AI67">
    <cfRule type="colorScale" priority="17">
      <colorScale>
        <cfvo type="min"/>
        <cfvo type="percentile" val="50"/>
        <cfvo type="max"/>
        <color rgb="FFF8696B"/>
        <color rgb="FFFFEB84"/>
        <color rgb="FF63BE7B"/>
      </colorScale>
    </cfRule>
  </conditionalFormatting>
  <conditionalFormatting sqref="E76:G80 J76:L80 O76:Q80 T76:V80 AA76:AC80">
    <cfRule type="colorScale" priority="16">
      <colorScale>
        <cfvo type="min"/>
        <cfvo type="percentile" val="50"/>
        <cfvo type="max"/>
        <color rgb="FFF8696B"/>
        <color rgb="FFFFEB84"/>
        <color rgb="FF63BE7B"/>
      </colorScale>
    </cfRule>
  </conditionalFormatting>
  <conditionalFormatting sqref="AF3:AF67">
    <cfRule type="colorScale" priority="14">
      <colorScale>
        <cfvo type="min"/>
        <cfvo type="percentile" val="50"/>
        <cfvo type="max"/>
        <color rgb="FFF8696B"/>
        <color rgb="FFFFEB84"/>
        <color rgb="FF63BE7B"/>
      </colorScale>
    </cfRule>
  </conditionalFormatting>
  <conditionalFormatting sqref="AF76:AF80 AH76:AH80">
    <cfRule type="colorScale" priority="12">
      <colorScale>
        <cfvo type="min"/>
        <cfvo type="percentile" val="50"/>
        <cfvo type="max"/>
        <color rgb="FFF8696B"/>
        <color rgb="FFFFEB84"/>
        <color rgb="FF63BE7B"/>
      </colorScale>
    </cfRule>
  </conditionalFormatting>
  <conditionalFormatting sqref="AH3:AH67">
    <cfRule type="colorScale" priority="10">
      <colorScale>
        <cfvo type="min"/>
        <cfvo type="percentile" val="50"/>
        <cfvo type="max"/>
        <color rgb="FF63BE7B"/>
        <color rgb="FFFFEB84"/>
        <color rgb="FFF8696B"/>
      </colorScale>
    </cfRule>
  </conditionalFormatting>
  <conditionalFormatting sqref="AJ3:AJ67">
    <cfRule type="colorScale" priority="8">
      <colorScale>
        <cfvo type="min"/>
        <cfvo type="percentile" val="50"/>
        <cfvo type="max"/>
        <color rgb="FF63BE7B"/>
        <color rgb="FFFFEB84"/>
        <color rgb="FFF8696B"/>
      </colorScale>
    </cfRule>
  </conditionalFormatting>
  <conditionalFormatting sqref="F3:F67">
    <cfRule type="colorScale" priority="7">
      <colorScale>
        <cfvo type="min"/>
        <cfvo type="percentile" val="50"/>
        <cfvo type="max"/>
        <color rgb="FFF8696B"/>
        <color rgb="FFFFEB84"/>
        <color rgb="FF63BE7B"/>
      </colorScale>
    </cfRule>
  </conditionalFormatting>
  <conditionalFormatting sqref="K3:K67">
    <cfRule type="colorScale" priority="6">
      <colorScale>
        <cfvo type="min"/>
        <cfvo type="percentile" val="50"/>
        <cfvo type="max"/>
        <color rgb="FFF8696B"/>
        <color rgb="FFFFEB84"/>
        <color rgb="FF63BE7B"/>
      </colorScale>
    </cfRule>
  </conditionalFormatting>
  <conditionalFormatting sqref="P3:P67">
    <cfRule type="colorScale" priority="5">
      <colorScale>
        <cfvo type="min"/>
        <cfvo type="percentile" val="50"/>
        <cfvo type="max"/>
        <color rgb="FFF8696B"/>
        <color rgb="FFFFEB84"/>
        <color rgb="FF63BE7B"/>
      </colorScale>
    </cfRule>
  </conditionalFormatting>
  <conditionalFormatting sqref="U3:U67">
    <cfRule type="colorScale" priority="4">
      <colorScale>
        <cfvo type="min"/>
        <cfvo type="percentile" val="50"/>
        <cfvo type="max"/>
        <color rgb="FFF8696B"/>
        <color rgb="FFFFEB84"/>
        <color rgb="FF63BE7B"/>
      </colorScale>
    </cfRule>
  </conditionalFormatting>
  <conditionalFormatting sqref="AB3:AB67">
    <cfRule type="colorScale" priority="3">
      <colorScale>
        <cfvo type="min"/>
        <cfvo type="percentile" val="50"/>
        <cfvo type="max"/>
        <color rgb="FFF8696B"/>
        <color rgb="FFFFEB84"/>
        <color rgb="FF63BE7B"/>
      </colorScale>
    </cfRule>
  </conditionalFormatting>
  <conditionalFormatting sqref="AG3:AG67">
    <cfRule type="colorScale" priority="2">
      <colorScale>
        <cfvo type="min"/>
        <cfvo type="percentile" val="50"/>
        <cfvo type="max"/>
        <color rgb="FFF8696B"/>
        <color rgb="FFFFEB84"/>
        <color rgb="FF63BE7B"/>
      </colorScale>
    </cfRule>
  </conditionalFormatting>
  <conditionalFormatting sqref="AG76:AG80">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M72"/>
  <sheetViews>
    <sheetView zoomScale="80" zoomScaleNormal="80" workbookViewId="0">
      <selection activeCell="K3" sqref="K3"/>
    </sheetView>
  </sheetViews>
  <sheetFormatPr baseColWidth="10" defaultColWidth="8.83203125" defaultRowHeight="15" x14ac:dyDescent="0.2"/>
  <cols>
    <col min="1" max="1" width="3.5" customWidth="1"/>
    <col min="2" max="2" width="26.5" bestFit="1" customWidth="1"/>
    <col min="3" max="3" width="21.6640625" style="5" hidden="1" customWidth="1"/>
    <col min="4" max="5" width="21.6640625" style="36" customWidth="1"/>
    <col min="6" max="6" width="21.83203125" style="36" customWidth="1"/>
    <col min="7" max="7" width="24.5" bestFit="1" customWidth="1"/>
    <col min="8" max="8" width="16.6640625" style="1" customWidth="1"/>
    <col min="9" max="9" width="19.1640625" style="1" customWidth="1"/>
    <col min="10" max="12" width="21.83203125" style="36" customWidth="1"/>
    <col min="13" max="13" width="17.83203125" hidden="1" customWidth="1"/>
    <col min="14" max="72" width="17.83203125" bestFit="1" customWidth="1"/>
    <col min="73" max="73" width="13.5" bestFit="1" customWidth="1"/>
  </cols>
  <sheetData>
    <row r="1" spans="1:13" ht="15" customHeight="1" x14ac:dyDescent="0.2">
      <c r="D1" s="112" t="s">
        <v>1315</v>
      </c>
      <c r="E1" s="112"/>
      <c r="F1" s="112"/>
      <c r="J1" s="112" t="s">
        <v>1316</v>
      </c>
      <c r="K1" s="112"/>
      <c r="L1" s="112"/>
    </row>
    <row r="2" spans="1:13" ht="30" customHeight="1" x14ac:dyDescent="0.2">
      <c r="B2" s="2" t="s">
        <v>0</v>
      </c>
      <c r="C2" s="2" t="s">
        <v>1343</v>
      </c>
      <c r="D2" s="38" t="s">
        <v>1340</v>
      </c>
      <c r="E2" s="38" t="s">
        <v>1341</v>
      </c>
      <c r="F2" s="38" t="s">
        <v>1342</v>
      </c>
      <c r="G2" s="15" t="s">
        <v>349</v>
      </c>
      <c r="H2" s="15" t="s">
        <v>1313</v>
      </c>
      <c r="I2" s="15" t="s">
        <v>1314</v>
      </c>
      <c r="J2" s="38" t="s">
        <v>342</v>
      </c>
      <c r="K2" s="38" t="s">
        <v>347</v>
      </c>
      <c r="L2" s="38" t="s">
        <v>1319</v>
      </c>
      <c r="M2" s="33" t="s">
        <v>1318</v>
      </c>
    </row>
    <row r="3" spans="1:13" x14ac:dyDescent="0.2">
      <c r="A3">
        <v>2</v>
      </c>
      <c r="B3" s="14" t="s">
        <v>8</v>
      </c>
      <c r="C3" s="5">
        <f t="array" ref="C3">MMULT('MetaData (67) (2018)'!$B$140:$BO$140,TRANSPOSE('Data_Matrix (2018)'!B2:BO2))</f>
        <v>63363413403246.242</v>
      </c>
      <c r="D3" s="39">
        <f t="array" ref="D3">MMULT('MetaData (40) (2018)'!$B$142:$AO$142,TRANSPOSE('Data_Matrix (2018)'!B2:AO2))</f>
        <v>1.7227087387006654</v>
      </c>
      <c r="E3" s="39">
        <f t="array" ref="E3">MMULT('MetaData (2018)'!$B$142:$AA$142,TRANSPOSE('Data_Matrix (2018)'!B2:AA2))</f>
        <v>0.4346307297238115</v>
      </c>
      <c r="F3" s="39">
        <f t="array" ref="F3">MMULT('MetaData (21) (2018)'!$B$142:$V$142,TRANSPOSE('Data_Matrix (2018)'!B2:V2))</f>
        <v>1.0317730298708279</v>
      </c>
      <c r="G3" s="32">
        <v>53.7</v>
      </c>
      <c r="H3" s="1">
        <v>6.0350000000000001</v>
      </c>
      <c r="J3" s="36">
        <f t="shared" ref="J3:J34" si="0">(D3-MIN($D$3:$D$68))*G3/100</f>
        <v>1.2615325813032625</v>
      </c>
      <c r="K3" s="36">
        <f t="shared" ref="K3:K34" si="1">(E3-MIN($E$3:$E$68))*G3/100</f>
        <v>1.3424148847404851</v>
      </c>
      <c r="L3" s="36">
        <f t="shared" ref="L3:L34" si="2">(F3-MIN($F$3:$F$68))*G3/100</f>
        <v>1.9912148282649238</v>
      </c>
      <c r="M3" s="36">
        <f t="shared" ref="M3:M34" si="3">0.5*(J3/$J$70+L3/$L$70)</f>
        <v>1.8304258500236621</v>
      </c>
    </row>
    <row r="4" spans="1:13" x14ac:dyDescent="0.2">
      <c r="A4">
        <v>3</v>
      </c>
      <c r="B4" s="14" t="s">
        <v>7</v>
      </c>
      <c r="C4" s="5">
        <f t="array" ref="C4">MMULT('MetaData (67) (2018)'!$B$140:$BO$140,TRANSPOSE('Data_Matrix (2018)'!B3:BO3))</f>
        <v>63363413403255.75</v>
      </c>
      <c r="D4" s="39">
        <f t="array" ref="D4">MMULT('MetaData (40) (2018)'!$B$142:$AO$142,TRANSPOSE('Data_Matrix (2018)'!B3:AO3))</f>
        <v>0.12145575721151081</v>
      </c>
      <c r="E4" s="39">
        <f t="array" ref="E4">MMULT('MetaData (2018)'!$B$142:$AA$142,TRANSPOSE('Data_Matrix (2018)'!B3:AA3))</f>
        <v>0.17679857108741065</v>
      </c>
      <c r="F4" s="39">
        <f t="array" ref="F4">MMULT('MetaData (21) (2018)'!$B$142:$V$142,TRANSPOSE('Data_Matrix (2018)'!B3:V3))</f>
        <v>-2.6762620320750261</v>
      </c>
      <c r="G4" s="32">
        <f>I4/H4*100</f>
        <v>57.046646409468202</v>
      </c>
      <c r="H4" s="1">
        <v>161376.70800000001</v>
      </c>
      <c r="I4" s="1">
        <v>92060</v>
      </c>
      <c r="J4" s="36">
        <f t="shared" si="0"/>
        <v>0.42669163143628031</v>
      </c>
      <c r="K4" s="36">
        <f t="shared" si="1"/>
        <v>1.2789911406280905</v>
      </c>
      <c r="L4" s="36">
        <f t="shared" si="2"/>
        <v>0</v>
      </c>
      <c r="M4" s="36">
        <f t="shared" si="3"/>
        <v>0.25346331538581979</v>
      </c>
    </row>
    <row r="5" spans="1:13" x14ac:dyDescent="0.2">
      <c r="A5">
        <v>4</v>
      </c>
      <c r="B5" s="14" t="s">
        <v>11</v>
      </c>
      <c r="C5" s="5">
        <f t="array" ref="C5">MMULT('MetaData (67) (2018)'!$B$140:$BO$140,TRANSPOSE('Data_Matrix (2018)'!B4:BO4))</f>
        <v>63363413403239.375</v>
      </c>
      <c r="D5" s="39">
        <f t="array" ref="D5">MMULT('MetaData (40) (2018)'!$B$142:$AO$142,TRANSPOSE('Data_Matrix (2018)'!B4:AO4))</f>
        <v>2.6664074381792249</v>
      </c>
      <c r="E5" s="39">
        <f t="array" ref="E5">MMULT('MetaData (2018)'!$B$142:$AA$142,TRANSPOSE('Data_Matrix (2018)'!B4:AA4))</f>
        <v>1.9383304923119682</v>
      </c>
      <c r="F5" s="39">
        <f t="array" ref="F5">MMULT('MetaData (21) (2018)'!$B$142:$V$142,TRANSPOSE('Data_Matrix (2018)'!B4:V4))</f>
        <v>2.8102531117883331</v>
      </c>
      <c r="G5" s="32">
        <f>Data_ITU!T111</f>
        <v>95.898292199538702</v>
      </c>
      <c r="H5" s="1">
        <v>51171.705999999998</v>
      </c>
      <c r="J5" s="36">
        <f t="shared" si="0"/>
        <v>3.1578553702209007</v>
      </c>
      <c r="K5" s="36">
        <f t="shared" si="1"/>
        <v>3.839327696969538</v>
      </c>
      <c r="L5" s="36">
        <f t="shared" si="2"/>
        <v>5.2614743242340252</v>
      </c>
      <c r="M5" s="36">
        <f t="shared" si="3"/>
        <v>4.7323358260001633</v>
      </c>
    </row>
    <row r="6" spans="1:13" x14ac:dyDescent="0.2">
      <c r="A6">
        <v>5</v>
      </c>
      <c r="B6" s="14" t="s">
        <v>16</v>
      </c>
      <c r="C6" s="5">
        <f t="array" ref="C6">MMULT('MetaData (67) (2018)'!$B$140:$BO$140,TRANSPOSE('Data_Matrix (2018)'!B5:BO5))</f>
        <v>63363413403268.5</v>
      </c>
      <c r="D6" s="39">
        <f t="array" ref="D6">MMULT('MetaData (40) (2018)'!$B$142:$AO$142,TRANSPOSE('Data_Matrix (2018)'!B5:AO5))</f>
        <v>3.6287392757667476</v>
      </c>
      <c r="E6" s="39">
        <f t="array" ref="E6">MMULT('MetaData (2018)'!$B$142:$AA$142,TRANSPOSE('Data_Matrix (2018)'!B5:AA5))</f>
        <v>3.0476615126339257</v>
      </c>
      <c r="F6" s="39">
        <f t="array" ref="F6">MMULT('MetaData (21) (2018)'!$B$142:$V$142,TRANSPOSE('Data_Matrix (2018)'!B5:V5))</f>
        <v>2.9137013608433855</v>
      </c>
      <c r="G6" s="32">
        <f>I6/H6*100</f>
        <v>35.707888710975375</v>
      </c>
      <c r="H6" s="1">
        <v>1352642.28</v>
      </c>
      <c r="I6" s="1">
        <v>483000</v>
      </c>
      <c r="J6" s="36">
        <f t="shared" si="0"/>
        <v>1.5194610845453216</v>
      </c>
      <c r="K6" s="36">
        <f t="shared" si="1"/>
        <v>1.825698744210809</v>
      </c>
      <c r="L6" s="36">
        <f t="shared" si="2"/>
        <v>1.9960579073275695</v>
      </c>
      <c r="M6" s="36">
        <f t="shared" si="3"/>
        <v>1.9862698667611571</v>
      </c>
    </row>
    <row r="7" spans="1:13" x14ac:dyDescent="0.2">
      <c r="A7">
        <v>6</v>
      </c>
      <c r="B7" s="14" t="s">
        <v>18</v>
      </c>
      <c r="C7" s="5">
        <f t="array" ref="C7">MMULT('MetaData (67) (2018)'!$B$140:$BO$140,TRANSPOSE('Data_Matrix (2018)'!B6:BO6))</f>
        <v>63363413403208</v>
      </c>
      <c r="D7" s="39">
        <f t="array" ref="D7">MMULT('MetaData (40) (2018)'!$B$142:$AO$142,TRANSPOSE('Data_Matrix (2018)'!B6:AO6))</f>
        <v>2.4384298603549643</v>
      </c>
      <c r="E7" s="39">
        <f t="array" ref="E7">MMULT('MetaData (2018)'!$B$142:$AA$142,TRANSPOSE('Data_Matrix (2018)'!B6:AA6))</f>
        <v>0.94159823682455968</v>
      </c>
      <c r="F7" s="39">
        <f t="array" ref="F7">MMULT('MetaData (21) (2018)'!$B$142:$V$142,TRANSPOSE('Data_Matrix (2018)'!B6:V6))</f>
        <v>1.1278179316528814</v>
      </c>
      <c r="G7" s="32">
        <f>I7/H7*100</f>
        <v>33.586507136567498</v>
      </c>
      <c r="H7" s="1">
        <v>21228.762999999999</v>
      </c>
      <c r="I7" s="1">
        <v>7130</v>
      </c>
      <c r="J7" s="36">
        <f t="shared" si="0"/>
        <v>1.0294075700149015</v>
      </c>
      <c r="K7" s="36">
        <f t="shared" si="1"/>
        <v>1.0098821212778109</v>
      </c>
      <c r="L7" s="36">
        <f t="shared" si="2"/>
        <v>1.277657588498208</v>
      </c>
      <c r="M7" s="36">
        <f t="shared" si="3"/>
        <v>1.3051416284713531</v>
      </c>
    </row>
    <row r="8" spans="1:13" x14ac:dyDescent="0.2">
      <c r="A8">
        <v>7</v>
      </c>
      <c r="B8" s="14" t="s">
        <v>20</v>
      </c>
      <c r="C8" s="5">
        <f t="array" ref="C8">MMULT('MetaData (67) (2018)'!$B$140:$BO$140,TRANSPOSE('Data_Matrix (2018)'!B7:BO7))</f>
        <v>63363413403306.5</v>
      </c>
      <c r="D8" s="39">
        <f t="array" ref="D8">MMULT('MetaData (40) (2018)'!$B$142:$AO$142,TRANSPOSE('Data_Matrix (2018)'!B7:AO7))</f>
        <v>1.2842782824243579</v>
      </c>
      <c r="E8" s="39">
        <f t="array" ref="E8">MMULT('MetaData (2018)'!$B$142:$AA$142,TRANSPOSE('Data_Matrix (2018)'!B7:AA7))</f>
        <v>-0.59453719421256801</v>
      </c>
      <c r="F8" s="39">
        <f t="array" ref="F8">MMULT('MetaData (21) (2018)'!$B$142:$V$142,TRANSPOSE('Data_Matrix (2018)'!B7:V7))</f>
        <v>0.35205781686524179</v>
      </c>
      <c r="G8" s="32">
        <f>I8/H8*100</f>
        <v>56.990519800866771</v>
      </c>
      <c r="H8" s="1">
        <v>195874.68299999999</v>
      </c>
      <c r="I8" s="1">
        <v>111630</v>
      </c>
      <c r="J8" s="36">
        <f t="shared" si="0"/>
        <v>1.0889704228892665</v>
      </c>
      <c r="K8" s="36">
        <f t="shared" si="1"/>
        <v>0.83814451476659801</v>
      </c>
      <c r="L8" s="36">
        <f t="shared" si="2"/>
        <v>1.7258552231438822</v>
      </c>
      <c r="M8" s="36">
        <f t="shared" si="3"/>
        <v>1.5838541174605838</v>
      </c>
    </row>
    <row r="9" spans="1:13" x14ac:dyDescent="0.2">
      <c r="A9">
        <v>8</v>
      </c>
      <c r="B9" s="14" t="s">
        <v>32</v>
      </c>
      <c r="C9" s="5">
        <f t="array" ref="C9">MMULT('MetaData (67) (2018)'!$B$140:$BO$140,TRANSPOSE('Data_Matrix (2018)'!B8:BO8))</f>
        <v>63363413403317.75</v>
      </c>
      <c r="D9" s="39">
        <f t="array" ref="D9">MMULT('MetaData (40) (2018)'!$B$142:$AO$142,TRANSPOSE('Data_Matrix (2018)'!B8:AO8))</f>
        <v>3.1979932701993099</v>
      </c>
      <c r="E9" s="39">
        <f t="array" ref="E9">MMULT('MetaData (2018)'!$B$142:$AA$142,TRANSPOSE('Data_Matrix (2018)'!B8:AA8))</f>
        <v>2.0281018465288772</v>
      </c>
      <c r="F9" s="39">
        <f t="array" ref="F9">MMULT('MetaData (21) (2018)'!$B$142:$V$142,TRANSPOSE('Data_Matrix (2018)'!B8:V8))</f>
        <v>0.7141145253175043</v>
      </c>
      <c r="G9" s="32">
        <f>VLOOKUP(B9,Data_ITU!A:T,20,0)</f>
        <v>88.165636031344704</v>
      </c>
      <c r="H9" s="1">
        <v>5757.4989999999998</v>
      </c>
      <c r="J9" s="36">
        <f t="shared" si="0"/>
        <v>3.3719011116012729</v>
      </c>
      <c r="K9" s="36">
        <f t="shared" si="1"/>
        <v>3.6088951021104805</v>
      </c>
      <c r="L9" s="36">
        <f t="shared" si="2"/>
        <v>2.9891470556827331</v>
      </c>
      <c r="M9" s="36">
        <f t="shared" si="3"/>
        <v>3.6258140969882211</v>
      </c>
    </row>
    <row r="10" spans="1:13" x14ac:dyDescent="0.2">
      <c r="A10">
        <v>9</v>
      </c>
      <c r="B10" s="14" t="s">
        <v>37</v>
      </c>
      <c r="C10" s="5">
        <f t="array" ref="C10">MMULT('MetaData (67) (2018)'!$B$140:$BO$140,TRANSPOSE('Data_Matrix (2018)'!B9:BO9))</f>
        <v>63363413403288.703</v>
      </c>
      <c r="D10" s="39">
        <f t="array" ref="D10">MMULT('MetaData (40) (2018)'!$B$142:$AO$142,TRANSPOSE('Data_Matrix (2018)'!B9:AO9))</f>
        <v>1.1836404410161578</v>
      </c>
      <c r="E10" s="39">
        <f t="array" ref="E10">MMULT('MetaData (2018)'!$B$142:$AA$142,TRANSPOSE('Data_Matrix (2018)'!B9:AA9))</f>
        <v>-0.38138292464615592</v>
      </c>
      <c r="F10" s="39">
        <f t="array" ref="F10">MMULT('MetaData (21) (2018)'!$B$142:$V$142,TRANSPOSE('Data_Matrix (2018)'!B9:V9))</f>
        <v>-1.9605473935128752</v>
      </c>
      <c r="G10" s="32">
        <f>VLOOKUP(B10,Data_ITU!A:T,20,0)</f>
        <v>64.190810232738698</v>
      </c>
      <c r="H10" s="1">
        <v>11565.200999999999</v>
      </c>
      <c r="J10" s="36">
        <f t="shared" si="0"/>
        <v>1.1619527670337104</v>
      </c>
      <c r="K10" s="36">
        <f t="shared" si="1"/>
        <v>1.0808627361264931</v>
      </c>
      <c r="L10" s="36">
        <f t="shared" si="2"/>
        <v>0.45942302544736191</v>
      </c>
      <c r="M10" s="36">
        <f t="shared" si="3"/>
        <v>0.93964839974487147</v>
      </c>
    </row>
    <row r="11" spans="1:13" x14ac:dyDescent="0.2">
      <c r="A11">
        <v>10</v>
      </c>
      <c r="B11" s="14" t="s">
        <v>42</v>
      </c>
      <c r="C11" s="5">
        <f t="array" ref="C11">MMULT('MetaData (67) (2018)'!$B$140:$BO$140,TRANSPOSE('Data_Matrix (2018)'!B10:BO10))</f>
        <v>63363413403243.25</v>
      </c>
      <c r="D11" s="39">
        <f t="array" ref="D11">MMULT('MetaData (40) (2018)'!$B$142:$AO$142,TRANSPOSE('Data_Matrix (2018)'!B10:AO10))</f>
        <v>3.2144719281879555</v>
      </c>
      <c r="E11" s="39">
        <f t="array" ref="E11">MMULT('MetaData (2018)'!$B$142:$AA$142,TRANSPOSE('Data_Matrix (2018)'!B10:AA10))</f>
        <v>1.3729851687593984</v>
      </c>
      <c r="F11" s="39">
        <f t="array" ref="F11">MMULT('MetaData (21) (2018)'!$B$142:$V$142,TRANSPOSE('Data_Matrix (2018)'!B10:V10))</f>
        <v>-0.47628954040812582</v>
      </c>
      <c r="G11" s="32">
        <f>I11/H11*100</f>
        <v>85.903313911230384</v>
      </c>
      <c r="H11" s="1">
        <v>8381.5159999999996</v>
      </c>
      <c r="I11" s="1">
        <v>7200</v>
      </c>
      <c r="J11" s="36">
        <f t="shared" si="0"/>
        <v>3.2995341521802226</v>
      </c>
      <c r="K11" s="36">
        <f t="shared" si="1"/>
        <v>2.9535242491779274</v>
      </c>
      <c r="L11" s="36">
        <f t="shared" si="2"/>
        <v>1.8898492754773342</v>
      </c>
      <c r="M11" s="36">
        <f t="shared" si="3"/>
        <v>2.9860069457476461</v>
      </c>
    </row>
    <row r="12" spans="1:13" x14ac:dyDescent="0.2">
      <c r="A12">
        <v>11</v>
      </c>
      <c r="B12" s="14" t="s">
        <v>43</v>
      </c>
      <c r="C12" s="5">
        <f t="array" ref="C12">MMULT('MetaData (67) (2018)'!$B$140:$BO$140,TRANSPOSE('Data_Matrix (2018)'!B11:BO11))</f>
        <v>63363413403204.492</v>
      </c>
      <c r="D12" s="39">
        <f t="array" ref="D12">MMULT('MetaData (40) (2018)'!$B$142:$AO$142,TRANSPOSE('Data_Matrix (2018)'!B11:AO11))</f>
        <v>0.60456137050421566</v>
      </c>
      <c r="E12" s="39">
        <f t="array" ref="E12">MMULT('MetaData (2018)'!$B$142:$AA$142,TRANSPOSE('Data_Matrix (2018)'!B11:AA11))</f>
        <v>-0.17376779580389159</v>
      </c>
      <c r="F12" s="39">
        <f t="array" ref="F12">MMULT('MetaData (21) (2018)'!$B$142:$V$142,TRANSPOSE('Data_Matrix (2018)'!B11:V11))</f>
        <v>-1.1032079438144491</v>
      </c>
      <c r="G12" s="32">
        <f>VLOOKUP(B12,Data_ITU!A:T,20,0)</f>
        <v>79.129886691930693</v>
      </c>
      <c r="H12" s="1">
        <v>9452.6170000000002</v>
      </c>
      <c r="J12" s="36">
        <f t="shared" si="0"/>
        <v>0.97414850248069618</v>
      </c>
      <c r="K12" s="36">
        <f t="shared" si="1"/>
        <v>1.4966966814232254</v>
      </c>
      <c r="L12" s="36">
        <f t="shared" si="2"/>
        <v>1.244755917643378</v>
      </c>
      <c r="M12" s="36">
        <f t="shared" si="3"/>
        <v>1.2544539977972105</v>
      </c>
    </row>
    <row r="13" spans="1:13" x14ac:dyDescent="0.2">
      <c r="A13">
        <v>12</v>
      </c>
      <c r="B13" s="14" t="s">
        <v>48</v>
      </c>
      <c r="C13" s="5">
        <f t="array" ref="C13">MMULT('MetaData (67) (2018)'!$B$140:$BO$140,TRANSPOSE('Data_Matrix (2018)'!B12:BO12))</f>
        <v>63363413403110.672</v>
      </c>
      <c r="D13" s="39">
        <f t="array" ref="D13">MMULT('MetaData (40) (2018)'!$B$142:$AO$142,TRANSPOSE('Data_Matrix (2018)'!B12:AO12))</f>
        <v>1.9045599726086793</v>
      </c>
      <c r="E13" s="39">
        <f t="array" ref="E13">MMULT('MetaData (2018)'!$B$142:$AA$142,TRANSPOSE('Data_Matrix (2018)'!B12:AA12))</f>
        <v>0.97044154792892789</v>
      </c>
      <c r="F13" s="39">
        <f t="array" ref="F13">MMULT('MetaData (21) (2018)'!$B$142:$V$142,TRANSPOSE('Data_Matrix (2018)'!B12:V12))</f>
        <v>1.2739083698909415E-2</v>
      </c>
      <c r="G13" s="32">
        <v>89</v>
      </c>
      <c r="H13" s="1">
        <v>7371.73</v>
      </c>
      <c r="J13" s="36">
        <f t="shared" si="0"/>
        <v>2.2526557869302803</v>
      </c>
      <c r="K13" s="36">
        <f t="shared" si="1"/>
        <v>2.7017305619437675</v>
      </c>
      <c r="L13" s="36">
        <f t="shared" si="2"/>
        <v>2.3932109930388026</v>
      </c>
      <c r="M13" s="36">
        <f t="shared" si="3"/>
        <v>2.6374204768321481</v>
      </c>
    </row>
    <row r="14" spans="1:13" x14ac:dyDescent="0.2">
      <c r="A14">
        <v>13</v>
      </c>
      <c r="B14" s="14" t="s">
        <v>44</v>
      </c>
      <c r="C14" s="5">
        <f t="array" ref="C14">MMULT('MetaData (67) (2018)'!$B$140:$BO$140,TRANSPOSE('Data_Matrix (2018)'!B13:BO13))</f>
        <v>63363413403276.969</v>
      </c>
      <c r="D14" s="39">
        <f t="array" ref="D14">MMULT('MetaData (40) (2018)'!$B$142:$AO$142,TRANSPOSE('Data_Matrix (2018)'!B13:AO13))</f>
        <v>2.7247269938766872</v>
      </c>
      <c r="E14" s="39">
        <f t="array" ref="E14">MMULT('MetaData (2018)'!$B$142:$AA$142,TRANSPOSE('Data_Matrix (2018)'!B13:AA13))</f>
        <v>1.1606583062875824</v>
      </c>
      <c r="F14" s="39">
        <f t="array" ref="F14">MMULT('MetaData (21) (2018)'!$B$142:$V$142,TRANSPOSE('Data_Matrix (2018)'!B13:V13))</f>
        <v>0.40002946995317895</v>
      </c>
      <c r="G14" s="32">
        <f>I14/H14*100</f>
        <v>21.019818253632788</v>
      </c>
      <c r="H14" s="1">
        <v>212228.28599999999</v>
      </c>
      <c r="I14" s="1">
        <v>44610</v>
      </c>
      <c r="J14" s="36">
        <f t="shared" si="0"/>
        <v>0.70442475465428189</v>
      </c>
      <c r="K14" s="36">
        <f t="shared" si="1"/>
        <v>0.6780718166965497</v>
      </c>
      <c r="L14" s="36">
        <f t="shared" si="2"/>
        <v>0.64663088267827884</v>
      </c>
      <c r="M14" s="36">
        <f t="shared" si="3"/>
        <v>0.76950467518501919</v>
      </c>
    </row>
    <row r="15" spans="1:13" x14ac:dyDescent="0.2">
      <c r="A15">
        <v>14</v>
      </c>
      <c r="B15" s="14" t="s">
        <v>55</v>
      </c>
      <c r="C15" s="5">
        <f t="array" ref="C15">MMULT('MetaData (67) (2018)'!$B$140:$BO$140,TRANSPOSE('Data_Matrix (2018)'!B14:BO14))</f>
        <v>63363413403307.969</v>
      </c>
      <c r="D15" s="39">
        <f t="array" ref="D15">MMULT('MetaData (40) (2018)'!$B$142:$AO$142,TRANSPOSE('Data_Matrix (2018)'!B14:AO14))</f>
        <v>0.69124798175807045</v>
      </c>
      <c r="E15" s="39">
        <f t="array" ref="E15">MMULT('MetaData (2018)'!$B$142:$AA$142,TRANSPOSE('Data_Matrix (2018)'!B14:AA14))</f>
        <v>-1.1007584671603663</v>
      </c>
      <c r="F15" s="39">
        <f t="array" ref="F15">MMULT('MetaData (21) (2018)'!$B$142:$V$142,TRANSPOSE('Data_Matrix (2018)'!B14:V14))</f>
        <v>-0.81570561750832615</v>
      </c>
      <c r="G15" s="32">
        <v>95</v>
      </c>
      <c r="H15" s="1">
        <v>8525.6110000000008</v>
      </c>
      <c r="J15" s="36">
        <f t="shared" si="0"/>
        <v>1.2518738306961537</v>
      </c>
      <c r="K15" s="36">
        <f t="shared" si="1"/>
        <v>0.91622968661638271</v>
      </c>
      <c r="L15" s="36">
        <f t="shared" si="2"/>
        <v>1.7675285938383649</v>
      </c>
      <c r="M15" s="36">
        <f t="shared" si="3"/>
        <v>1.7032468705573893</v>
      </c>
    </row>
    <row r="16" spans="1:13" x14ac:dyDescent="0.2">
      <c r="A16">
        <v>15</v>
      </c>
      <c r="B16" s="14" t="s">
        <v>60</v>
      </c>
      <c r="C16" s="5">
        <f t="array" ref="C16">MMULT('MetaData (67) (2018)'!$B$140:$BO$140,TRANSPOSE('Data_Matrix (2018)'!B15:BO15))</f>
        <v>63363413403122.172</v>
      </c>
      <c r="D16" s="39">
        <f t="array" ref="D16">MMULT('MetaData (40) (2018)'!$B$142:$AO$142,TRANSPOSE('Data_Matrix (2018)'!B15:AO15))</f>
        <v>0.38591882969994784</v>
      </c>
      <c r="E16" s="39">
        <f t="array" ref="E16">MMULT('MetaData (2018)'!$B$142:$AA$142,TRANSPOSE('Data_Matrix (2018)'!B15:AA15))</f>
        <v>-0.45999663091229204</v>
      </c>
      <c r="F16" s="39">
        <f t="array" ref="F16">MMULT('MetaData (21) (2018)'!$B$142:$V$142,TRANSPOSE('Data_Matrix (2018)'!B15:V15))</f>
        <v>-6.4253406245059153E-2</v>
      </c>
      <c r="G16" s="32">
        <f>VLOOKUP(B16,Data_ITU!A:T,20,0)</f>
        <v>89.739121036490602</v>
      </c>
      <c r="H16" s="1">
        <v>83124.418000000005</v>
      </c>
      <c r="J16" s="36">
        <f t="shared" si="0"/>
        <v>0.90854827336178967</v>
      </c>
      <c r="K16" s="36">
        <f t="shared" si="1"/>
        <v>1.4405050581493877</v>
      </c>
      <c r="L16" s="36">
        <f t="shared" si="2"/>
        <v>2.3439935822171289</v>
      </c>
      <c r="M16" s="36">
        <f t="shared" si="3"/>
        <v>1.8122732576899674</v>
      </c>
    </row>
    <row r="17" spans="1:13" x14ac:dyDescent="0.2">
      <c r="A17">
        <v>16</v>
      </c>
      <c r="B17" s="14" t="s">
        <v>61</v>
      </c>
      <c r="C17" s="5">
        <f t="array" ref="C17">MMULT('MetaData (67) (2018)'!$B$140:$BO$140,TRANSPOSE('Data_Matrix (2018)'!B16:BO16))</f>
        <v>63363413403271.078</v>
      </c>
      <c r="D17" s="39">
        <f t="array" ref="D17">MMULT('MetaData (40) (2018)'!$B$142:$AO$142,TRANSPOSE('Data_Matrix (2018)'!B16:AO16))</f>
        <v>1.8012499715312917</v>
      </c>
      <c r="E17" s="39">
        <f t="array" ref="E17">MMULT('MetaData (2018)'!$B$142:$AA$142,TRANSPOSE('Data_Matrix (2018)'!B16:AA16))</f>
        <v>-0.56593250380834714</v>
      </c>
      <c r="F17" s="39">
        <f t="array" ref="F17">MMULT('MetaData (21) (2018)'!$B$142:$V$142,TRANSPOSE('Data_Matrix (2018)'!B16:V16))</f>
        <v>-0.50224855108354238</v>
      </c>
      <c r="G17" s="32">
        <f>VLOOKUP(B17,Data_ITU!A:T,20,0)</f>
        <v>73.360709154564006</v>
      </c>
      <c r="H17" s="1">
        <v>8802.7540000000008</v>
      </c>
      <c r="J17" s="36">
        <f t="shared" si="0"/>
        <v>1.7810248259790946</v>
      </c>
      <c r="K17" s="36">
        <f t="shared" si="1"/>
        <v>1.0998811674434728</v>
      </c>
      <c r="L17" s="36">
        <f t="shared" si="2"/>
        <v>1.5948717067711748</v>
      </c>
      <c r="M17" s="36">
        <f t="shared" si="3"/>
        <v>1.9238359383947308</v>
      </c>
    </row>
    <row r="18" spans="1:13" x14ac:dyDescent="0.2">
      <c r="A18">
        <v>17</v>
      </c>
      <c r="B18" s="14" t="s">
        <v>57</v>
      </c>
      <c r="C18" s="5">
        <f t="array" ref="C18">MMULT('MetaData (67) (2018)'!$B$140:$BO$140,TRANSPOSE('Data_Matrix (2018)'!B17:BO17))</f>
        <v>63363413403266.711</v>
      </c>
      <c r="D18" s="39">
        <f t="array" ref="D18">MMULT('MetaData (40) (2018)'!$B$142:$AO$142,TRANSPOSE('Data_Matrix (2018)'!B17:AO17))</f>
        <v>2.8605791104292702</v>
      </c>
      <c r="E18" s="39">
        <f t="array" ref="E18">MMULT('MetaData (2018)'!$B$142:$AA$142,TRANSPOSE('Data_Matrix (2018)'!B17:AA17))</f>
        <v>0.49985161375801035</v>
      </c>
      <c r="F18" s="39">
        <f t="array" ref="F18">MMULT('MetaData (21) (2018)'!$B$142:$V$142,TRANSPOSE('Data_Matrix (2018)'!B17:V17))</f>
        <v>-0.51734699475513901</v>
      </c>
      <c r="G18" s="32">
        <f>I18/H18*100</f>
        <v>78.902584457665895</v>
      </c>
      <c r="H18" s="1">
        <v>17084.358</v>
      </c>
      <c r="I18" s="1">
        <v>13480</v>
      </c>
      <c r="J18" s="36">
        <f t="shared" si="0"/>
        <v>2.7514065434067039</v>
      </c>
      <c r="K18" s="36">
        <f t="shared" si="1"/>
        <v>2.0239005128384302</v>
      </c>
      <c r="L18" s="36">
        <f t="shared" si="2"/>
        <v>1.7034397606905731</v>
      </c>
      <c r="M18" s="36">
        <f t="shared" si="3"/>
        <v>2.5592046583104575</v>
      </c>
    </row>
    <row r="19" spans="1:13" x14ac:dyDescent="0.2">
      <c r="A19">
        <v>18</v>
      </c>
      <c r="B19" s="14" t="s">
        <v>71</v>
      </c>
      <c r="C19" s="5">
        <f t="array" ref="C19">MMULT('MetaData (67) (2018)'!$B$140:$BO$140,TRANSPOSE('Data_Matrix (2018)'!B18:BO18))</f>
        <v>63363413403193.375</v>
      </c>
      <c r="D19" s="39">
        <f t="array" ref="D19">MMULT('MetaData (40) (2018)'!$B$142:$AO$142,TRANSPOSE('Data_Matrix (2018)'!B18:AO18))</f>
        <v>1.7466251427388961</v>
      </c>
      <c r="E19" s="39">
        <f t="array" ref="E19">MMULT('MetaData (2018)'!$B$142:$AA$142,TRANSPOSE('Data_Matrix (2018)'!B18:AA18))</f>
        <v>-0.66873053708678287</v>
      </c>
      <c r="F19" s="39">
        <f t="array" ref="F19">MMULT('MetaData (21) (2018)'!$B$142:$V$142,TRANSPOSE('Data_Matrix (2018)'!B18:V18))</f>
        <v>0.41724366241637612</v>
      </c>
      <c r="G19" s="32">
        <f>VLOOKUP(B19,Data_ITU!A:T,20,0)</f>
        <v>84.522302056861193</v>
      </c>
      <c r="H19" s="1">
        <v>4818.6899999999996</v>
      </c>
      <c r="J19" s="36">
        <f t="shared" si="0"/>
        <v>2.0058317882136576</v>
      </c>
      <c r="K19" s="36">
        <f t="shared" si="1"/>
        <v>1.1803372396652536</v>
      </c>
      <c r="L19" s="36">
        <f t="shared" si="2"/>
        <v>2.6147022272442246</v>
      </c>
      <c r="M19" s="36">
        <f t="shared" si="3"/>
        <v>2.6110519145786597</v>
      </c>
    </row>
    <row r="20" spans="1:13" x14ac:dyDescent="0.2">
      <c r="A20">
        <v>19</v>
      </c>
      <c r="B20" s="14" t="s">
        <v>79</v>
      </c>
      <c r="C20" s="5">
        <f t="array" ref="C20">MMULT('MetaData (67) (2018)'!$B$140:$BO$140,TRANSPOSE('Data_Matrix (2018)'!B19:BO19))</f>
        <v>63363413403202.375</v>
      </c>
      <c r="D20" s="39">
        <f t="array" ref="D20">MMULT('MetaData (40) (2018)'!$B$142:$AO$142,TRANSPOSE('Data_Matrix (2018)'!B19:AO19))</f>
        <v>0.28471578112153195</v>
      </c>
      <c r="E20" s="39">
        <f t="array" ref="E20">MMULT('MetaData (2018)'!$B$142:$AA$142,TRANSPOSE('Data_Matrix (2018)'!B19:AA19))</f>
        <v>-1.0699932953004045</v>
      </c>
      <c r="F20" s="39">
        <f t="array" ref="F20">MMULT('MetaData (21) (2018)'!$B$142:$V$142,TRANSPOSE('Data_Matrix (2018)'!B19:V19))</f>
        <v>-0.55365093762955198</v>
      </c>
      <c r="G20" s="32">
        <f>VLOOKUP(B20,Data_ITU!A:T,20,0)</f>
        <v>92.141677053550794</v>
      </c>
      <c r="H20" s="1">
        <v>9971.6380000000008</v>
      </c>
      <c r="J20" s="36">
        <f t="shared" si="0"/>
        <v>0.83962235172654021</v>
      </c>
      <c r="K20" s="36">
        <f t="shared" si="1"/>
        <v>0.91701007046946825</v>
      </c>
      <c r="L20" s="36">
        <f t="shared" si="2"/>
        <v>1.9558094597467888</v>
      </c>
      <c r="M20" s="36">
        <f t="shared" si="3"/>
        <v>1.5605808544530526</v>
      </c>
    </row>
    <row r="21" spans="1:13" x14ac:dyDescent="0.2">
      <c r="A21">
        <v>20</v>
      </c>
      <c r="B21" s="14" t="s">
        <v>94</v>
      </c>
      <c r="C21" s="5">
        <f t="array" ref="C21">MMULT('MetaData (67) (2018)'!$B$140:$BO$140,TRANSPOSE('Data_Matrix (2018)'!B20:BO20))</f>
        <v>63363413403335.016</v>
      </c>
      <c r="D21" s="39">
        <f t="array" ref="D21">MMULT('MetaData (40) (2018)'!$B$142:$AO$142,TRANSPOSE('Data_Matrix (2018)'!B20:AO20))</f>
        <v>1.7107365710670095</v>
      </c>
      <c r="E21" s="39">
        <f t="array" ref="E21">MMULT('MetaData (2018)'!$B$142:$AA$142,TRANSPOSE('Data_Matrix (2018)'!B20:AA20))</f>
        <v>0.88572069153241517</v>
      </c>
      <c r="F21" s="39">
        <f t="array" ref="F21">MMULT('MetaData (21) (2018)'!$B$142:$V$142,TRANSPOSE('Data_Matrix (2018)'!B20:V20))</f>
        <v>0.32200480878119486</v>
      </c>
      <c r="G21" s="32">
        <v>94</v>
      </c>
      <c r="H21" s="1">
        <v>127202.192</v>
      </c>
      <c r="J21" s="36">
        <f t="shared" si="0"/>
        <v>2.1970154853760704</v>
      </c>
      <c r="K21" s="36">
        <f t="shared" si="1"/>
        <v>2.7738755727705833</v>
      </c>
      <c r="L21" s="36">
        <f t="shared" si="2"/>
        <v>2.8183708304048478</v>
      </c>
      <c r="M21" s="36">
        <f t="shared" si="3"/>
        <v>2.8351925507512883</v>
      </c>
    </row>
    <row r="22" spans="1:13" x14ac:dyDescent="0.2">
      <c r="A22">
        <v>21</v>
      </c>
      <c r="B22" s="14" t="s">
        <v>78</v>
      </c>
      <c r="C22" s="5">
        <f t="array" ref="C22">MMULT('MetaData (67) (2018)'!$B$140:$BO$140,TRANSPOSE('Data_Matrix (2018)'!B21:BO21))</f>
        <v>63363413403284.938</v>
      </c>
      <c r="D22" s="39">
        <f t="array" ref="D22">MMULT('MetaData (40) (2018)'!$B$142:$AO$142,TRANSPOSE('Data_Matrix (2018)'!B21:AO21))</f>
        <v>1.9173438347425651</v>
      </c>
      <c r="E22" s="39">
        <f t="array" ref="E22">MMULT('MetaData (2018)'!$B$142:$AA$142,TRANSPOSE('Data_Matrix (2018)'!B21:AA21))</f>
        <v>1.645684980388725</v>
      </c>
      <c r="F22" s="39">
        <f t="array" ref="F22">MMULT('MetaData (21) (2018)'!$B$142:$V$142,TRANSPOSE('Data_Matrix (2018)'!B21:V21))</f>
        <v>1.589053371122279</v>
      </c>
      <c r="G22" s="32">
        <f>Data_ITU!T56</f>
        <v>80.688167543428804</v>
      </c>
      <c r="H22" s="1">
        <v>10665.677</v>
      </c>
      <c r="J22" s="36">
        <f t="shared" si="0"/>
        <v>2.052592227619638</v>
      </c>
      <c r="K22" s="36">
        <f t="shared" si="1"/>
        <v>2.9942537795172588</v>
      </c>
      <c r="L22" s="36">
        <f t="shared" si="2"/>
        <v>3.4416048387875176</v>
      </c>
      <c r="M22" s="36">
        <f t="shared" si="3"/>
        <v>3.08776222753623</v>
      </c>
    </row>
    <row r="23" spans="1:13" x14ac:dyDescent="0.2">
      <c r="A23">
        <v>22</v>
      </c>
      <c r="B23" s="14" t="s">
        <v>81</v>
      </c>
      <c r="C23" s="5">
        <f t="array" ref="C23">MMULT('MetaData (67) (2018)'!$B$140:$BO$140,TRANSPOSE('Data_Matrix (2018)'!B22:BO22))</f>
        <v>63363413403258.281</v>
      </c>
      <c r="D23" s="39">
        <f t="array" ref="D23">MMULT('MetaData (40) (2018)'!$B$142:$AO$142,TRANSPOSE('Data_Matrix (2018)'!B22:AO22))</f>
        <v>1.3679630619747827</v>
      </c>
      <c r="E23" s="39">
        <f t="array" ref="E23">MMULT('MetaData (2018)'!$B$142:$AA$142,TRANSPOSE('Data_Matrix (2018)'!B22:AA22))</f>
        <v>-3.1251375993942676E-2</v>
      </c>
      <c r="F23" s="39">
        <f t="array" ref="F23">MMULT('MetaData (21) (2018)'!$B$142:$V$142,TRANSPOSE('Data_Matrix (2018)'!B22:V22))</f>
        <v>0.32103244234970585</v>
      </c>
      <c r="G23" s="32">
        <f>VLOOKUP(B23,Data_ITU!A:T,20,0)</f>
        <v>87.710464949561796</v>
      </c>
      <c r="H23" s="1">
        <v>8891.3880000000008</v>
      </c>
      <c r="J23" s="36">
        <f t="shared" si="0"/>
        <v>1.7493650563844954</v>
      </c>
      <c r="K23" s="36">
        <f t="shared" si="1"/>
        <v>1.783995240369701</v>
      </c>
      <c r="L23" s="36">
        <f t="shared" si="2"/>
        <v>2.6289409194254567</v>
      </c>
      <c r="M23" s="36">
        <f t="shared" si="3"/>
        <v>2.4664359032156131</v>
      </c>
    </row>
    <row r="24" spans="1:13" x14ac:dyDescent="0.2">
      <c r="A24">
        <v>23</v>
      </c>
      <c r="B24" s="14" t="s">
        <v>73</v>
      </c>
      <c r="C24" s="5">
        <f t="array" ref="C24">MMULT('MetaData (67) (2018)'!$B$140:$BO$140,TRANSPOSE('Data_Matrix (2018)'!B23:BO23))</f>
        <v>63363413403381.078</v>
      </c>
      <c r="D24" s="39">
        <f t="array" ref="D24">MMULT('MetaData (40) (2018)'!$B$142:$AO$142,TRANSPOSE('Data_Matrix (2018)'!B23:AO23))</f>
        <v>-0.24875110018716085</v>
      </c>
      <c r="E24" s="39">
        <f t="array" ref="E24">MMULT('MetaData (2018)'!$B$142:$AA$142,TRANSPOSE('Data_Matrix (2018)'!B23:AA23))</f>
        <v>2.5840531869860212E-2</v>
      </c>
      <c r="F24" s="39">
        <f t="array" ref="F24">MMULT('MetaData (21) (2018)'!$B$142:$V$142,TRANSPOSE('Data_Matrix (2018)'!B23:V23))</f>
        <v>0.12068278963830426</v>
      </c>
      <c r="G24" s="32">
        <f>VLOOKUP(B24,Data_ITU!A:T,20,0)</f>
        <v>74.660968279126706</v>
      </c>
      <c r="H24" s="1">
        <v>10256.192999999999</v>
      </c>
      <c r="J24" s="36">
        <f t="shared" si="0"/>
        <v>0.28204139795293981</v>
      </c>
      <c r="K24" s="36">
        <f t="shared" si="1"/>
        <v>1.5611991483395473</v>
      </c>
      <c r="L24" s="36">
        <f t="shared" si="2"/>
        <v>2.0882260861240662</v>
      </c>
      <c r="M24" s="36">
        <f t="shared" si="3"/>
        <v>1.3012569866324262</v>
      </c>
    </row>
    <row r="25" spans="1:13" x14ac:dyDescent="0.2">
      <c r="A25">
        <v>24</v>
      </c>
      <c r="B25" s="14" t="s">
        <v>85</v>
      </c>
      <c r="C25" s="5">
        <f t="array" ref="C25">MMULT('MetaData (67) (2018)'!$B$140:$BO$140,TRANSPOSE('Data_Matrix (2018)'!B24:BO24))</f>
        <v>63363413403301.5</v>
      </c>
      <c r="D25" s="39">
        <f t="array" ref="D25">MMULT('MetaData (40) (2018)'!$B$142:$AO$142,TRANSPOSE('Data_Matrix (2018)'!B24:AO24))</f>
        <v>0.9685733034898274</v>
      </c>
      <c r="E25" s="39">
        <f t="array" ref="E25">MMULT('MetaData (2018)'!$B$142:$AA$142,TRANSPOSE('Data_Matrix (2018)'!B24:AA24))</f>
        <v>-0.6985226831464062</v>
      </c>
      <c r="F25" s="39">
        <f t="array" ref="F25">MMULT('MetaData (21) (2018)'!$B$142:$V$142,TRANSPOSE('Data_Matrix (2018)'!B24:V24))</f>
        <v>-0.47246456436988926</v>
      </c>
      <c r="G25" s="32">
        <f>VLOOKUP(B25,Data_ITU!A:T,20,0)</f>
        <v>77.5417345350006</v>
      </c>
      <c r="H25" s="1">
        <v>37921.591999999997</v>
      </c>
      <c r="J25" s="36">
        <f t="shared" si="0"/>
        <v>1.2368583200508956</v>
      </c>
      <c r="K25" s="36">
        <f t="shared" si="1"/>
        <v>1.0597536473469291</v>
      </c>
      <c r="L25" s="36">
        <f t="shared" si="2"/>
        <v>1.7088627820969828</v>
      </c>
      <c r="M25" s="36">
        <f t="shared" si="3"/>
        <v>1.6624771037995787</v>
      </c>
    </row>
    <row r="26" spans="1:13" x14ac:dyDescent="0.2">
      <c r="A26">
        <v>25</v>
      </c>
      <c r="B26" s="14" t="s">
        <v>70</v>
      </c>
      <c r="C26" s="5">
        <f t="array" ref="C26">MMULT('MetaData (67) (2018)'!$B$140:$BO$140,TRANSPOSE('Data_Matrix (2018)'!B25:BO25))</f>
        <v>63363413403248.25</v>
      </c>
      <c r="D26" s="39">
        <f t="array" ref="D26">MMULT('MetaData (40) (2018)'!$B$142:$AO$142,TRANSPOSE('Data_Matrix (2018)'!B25:AO25))</f>
        <v>0.23498950317960543</v>
      </c>
      <c r="E26" s="39">
        <f t="array" ref="E26">MMULT('MetaData (2018)'!$B$142:$AA$142,TRANSPOSE('Data_Matrix (2018)'!B25:AA25))</f>
        <v>-0.5327591378103137</v>
      </c>
      <c r="F26" s="39">
        <f t="array" ref="F26">MMULT('MetaData (21) (2018)'!$B$142:$V$142,TRANSPOSE('Data_Matrix (2018)'!B25:V25))</f>
        <v>0.25893899823206606</v>
      </c>
      <c r="G26" s="32">
        <f>I26/H26*100</f>
        <v>84.311806581360543</v>
      </c>
      <c r="H26" s="1">
        <v>51392.565000000002</v>
      </c>
      <c r="I26" s="1">
        <v>43330</v>
      </c>
      <c r="J26" s="36">
        <f t="shared" si="0"/>
        <v>0.72634912116587669</v>
      </c>
      <c r="K26" s="36">
        <f t="shared" si="1"/>
        <v>1.2920376551250521</v>
      </c>
      <c r="L26" s="36">
        <f t="shared" si="2"/>
        <v>2.4747210154466175</v>
      </c>
      <c r="M26" s="36">
        <f t="shared" si="3"/>
        <v>1.7750165660153907</v>
      </c>
    </row>
    <row r="27" spans="1:13" x14ac:dyDescent="0.2">
      <c r="A27">
        <v>26</v>
      </c>
      <c r="B27" s="14" t="s">
        <v>67</v>
      </c>
      <c r="C27" s="5">
        <f t="array" ref="C27">MMULT('MetaData (67) (2018)'!$B$140:$BO$140,TRANSPOSE('Data_Matrix (2018)'!B26:BO26))</f>
        <v>63363413403253.336</v>
      </c>
      <c r="D27" s="39">
        <f t="array" ref="D27">MMULT('MetaData (40) (2018)'!$B$142:$AO$142,TRANSPOSE('Data_Matrix (2018)'!B26:AO26))</f>
        <v>0.95460949736015444</v>
      </c>
      <c r="E27" s="39">
        <f t="array" ref="E27">MMULT('MetaData (2018)'!$B$142:$AA$142,TRANSPOSE('Data_Matrix (2018)'!B26:AA26))</f>
        <v>0.61418361497175644</v>
      </c>
      <c r="F27" s="39">
        <f t="array" ref="F27">MMULT('MetaData (21) (2018)'!$B$142:$V$142,TRANSPOSE('Data_Matrix (2018)'!B26:V26))</f>
        <v>0.24089747113564214</v>
      </c>
      <c r="G27" s="32">
        <f>VLOOKUP(B27,Data_ITU!A:T,20,0)</f>
        <v>76.074360636506299</v>
      </c>
      <c r="H27" s="1">
        <v>9707.4989999999998</v>
      </c>
      <c r="J27" s="36">
        <f t="shared" si="0"/>
        <v>1.202829549870412</v>
      </c>
      <c r="K27" s="36">
        <f t="shared" si="1"/>
        <v>2.038332146431852</v>
      </c>
      <c r="L27" s="36">
        <f t="shared" si="2"/>
        <v>2.219210440814599</v>
      </c>
      <c r="M27" s="36">
        <f t="shared" si="3"/>
        <v>1.9193361757351548</v>
      </c>
    </row>
    <row r="28" spans="1:13" x14ac:dyDescent="0.2">
      <c r="A28">
        <v>27</v>
      </c>
      <c r="B28" s="14" t="s">
        <v>77</v>
      </c>
      <c r="C28" s="5">
        <f t="array" ref="C28">MMULT('MetaData (67) (2018)'!$B$140:$BO$140,TRANSPOSE('Data_Matrix (2018)'!B27:BO27))</f>
        <v>63363413403232.086</v>
      </c>
      <c r="D28" s="39">
        <f t="array" ref="D28">MMULT('MetaData (40) (2018)'!$B$142:$AO$142,TRANSPOSE('Data_Matrix (2018)'!B27:AO27))</f>
        <v>0.36937763579020899</v>
      </c>
      <c r="E28" s="39">
        <f t="array" ref="E28">MMULT('MetaData (2018)'!$B$142:$AA$142,TRANSPOSE('Data_Matrix (2018)'!B27:AA27))</f>
        <v>-0.50864534375990178</v>
      </c>
      <c r="F28" s="39">
        <f t="array" ref="F28">MMULT('MetaData (21) (2018)'!$B$142:$V$142,TRANSPOSE('Data_Matrix (2018)'!B27:V27))</f>
        <v>0.3216215591547627</v>
      </c>
      <c r="G28" s="32">
        <f>VLOOKUP(B28,Data_ITU!A:T,20,0)</f>
        <v>70.681277927326803</v>
      </c>
      <c r="H28" s="1">
        <v>19506.114000000001</v>
      </c>
      <c r="J28" s="36">
        <f t="shared" si="0"/>
        <v>0.70390889627851383</v>
      </c>
      <c r="K28" s="36">
        <f t="shared" si="1"/>
        <v>1.100200334236964</v>
      </c>
      <c r="L28" s="36">
        <f t="shared" si="2"/>
        <v>2.118942433054853</v>
      </c>
      <c r="M28" s="36">
        <f t="shared" si="3"/>
        <v>1.5685308823643993</v>
      </c>
    </row>
    <row r="29" spans="1:13" x14ac:dyDescent="0.2">
      <c r="A29">
        <v>28</v>
      </c>
      <c r="B29" s="14" t="s">
        <v>93</v>
      </c>
      <c r="C29" s="5">
        <f t="array" ref="C29">MMULT('MetaData (67) (2018)'!$B$140:$BO$140,TRANSPOSE('Data_Matrix (2018)'!B28:BO28))</f>
        <v>63363413403360.531</v>
      </c>
      <c r="D29" s="39">
        <f t="array" ref="D29">MMULT('MetaData (40) (2018)'!$B$142:$AO$142,TRANSPOSE('Data_Matrix (2018)'!B28:AO28))</f>
        <v>-0.6265139452905123</v>
      </c>
      <c r="E29" s="39">
        <f t="array" ref="E29">MMULT('MetaData (2018)'!$B$142:$AA$142,TRANSPOSE('Data_Matrix (2018)'!B28:AA28))</f>
        <v>-1.5474261419821236</v>
      </c>
      <c r="F29" s="39">
        <f t="array" ref="F29">MMULT('MetaData (21) (2018)'!$B$142:$V$142,TRANSPOSE('Data_Matrix (2018)'!B28:V28))</f>
        <v>4.800491803128315E-2</v>
      </c>
      <c r="G29" s="32">
        <f>I29/H29*100</f>
        <v>65.259343914435846</v>
      </c>
      <c r="H29" s="1">
        <v>106651.394</v>
      </c>
      <c r="I29" s="1">
        <v>69600</v>
      </c>
      <c r="J29" s="36">
        <f t="shared" si="0"/>
        <v>0</v>
      </c>
      <c r="K29" s="36">
        <f t="shared" si="1"/>
        <v>0.33790285039150064</v>
      </c>
      <c r="L29" s="36">
        <f t="shared" si="2"/>
        <v>1.7778387381171887</v>
      </c>
      <c r="M29" s="36">
        <f t="shared" si="3"/>
        <v>0.96520639731127167</v>
      </c>
    </row>
    <row r="30" spans="1:13" x14ac:dyDescent="0.2">
      <c r="A30">
        <v>29</v>
      </c>
      <c r="B30" s="14" t="s">
        <v>68</v>
      </c>
      <c r="C30" s="5">
        <f t="array" ref="C30">MMULT('MetaData (67) (2018)'!$B$140:$BO$140,TRANSPOSE('Data_Matrix (2018)'!B29:BO29))</f>
        <v>63363413403159.422</v>
      </c>
      <c r="D30" s="39">
        <f t="array" ref="D30">MMULT('MetaData (40) (2018)'!$B$142:$AO$142,TRANSPOSE('Data_Matrix (2018)'!B29:AO29))</f>
        <v>1.437151517234176</v>
      </c>
      <c r="E30" s="39">
        <f t="array" ref="E30">MMULT('MetaData (2018)'!$B$142:$AA$142,TRANSPOSE('Data_Matrix (2018)'!B29:AA29))</f>
        <v>1.1262646220159795</v>
      </c>
      <c r="F30" s="39">
        <f t="array" ref="F30">MMULT('MetaData (21) (2018)'!$B$142:$V$142,TRANSPOSE('Data_Matrix (2018)'!B29:V29))</f>
        <v>0.38206051834166233</v>
      </c>
      <c r="G30" s="32">
        <f>VLOOKUP(B30,Data_ITU!A:T,20,0)</f>
        <v>64.782010691180005</v>
      </c>
      <c r="H30" s="1">
        <v>7051.6080000000002</v>
      </c>
      <c r="J30" s="36">
        <f t="shared" si="0"/>
        <v>1.3368839805629329</v>
      </c>
      <c r="K30" s="36">
        <f t="shared" si="1"/>
        <v>2.0675019289248358</v>
      </c>
      <c r="L30" s="36">
        <f t="shared" si="2"/>
        <v>1.9812428415817083</v>
      </c>
      <c r="M30" s="36">
        <f t="shared" si="3"/>
        <v>1.8697721887094323</v>
      </c>
    </row>
    <row r="31" spans="1:13" x14ac:dyDescent="0.2">
      <c r="A31">
        <v>30</v>
      </c>
      <c r="B31" s="14" t="s">
        <v>95</v>
      </c>
      <c r="C31" s="5">
        <f t="array" ref="C31">MMULT('MetaData (67) (2018)'!$B$140:$BO$140,TRANSPOSE('Data_Matrix (2018)'!B30:BO30))</f>
        <v>63363413403260.891</v>
      </c>
      <c r="D31" s="39">
        <f t="array" ref="D31">MMULT('MetaData (40) (2018)'!$B$142:$AO$142,TRANSPOSE('Data_Matrix (2018)'!B30:AO30))</f>
        <v>0.49626874332538767</v>
      </c>
      <c r="E31" s="39">
        <f t="array" ref="E31">MMULT('MetaData (2018)'!$B$142:$AA$142,TRANSPOSE('Data_Matrix (2018)'!B30:AA30))</f>
        <v>8.3380384920820144E-2</v>
      </c>
      <c r="F31" s="39">
        <f t="array" ref="F31">MMULT('MetaData (21) (2018)'!$B$142:$V$142,TRANSPOSE('Data_Matrix (2018)'!B30:V30))</f>
        <v>-0.21313063161240622</v>
      </c>
      <c r="G31" s="32">
        <f>Data_ITU!T226</f>
        <v>70.349635576212094</v>
      </c>
      <c r="H31" s="1">
        <v>95545.962</v>
      </c>
      <c r="J31" s="36">
        <f t="shared" si="0"/>
        <v>0.78987352975408187</v>
      </c>
      <c r="K31" s="36">
        <f t="shared" si="1"/>
        <v>1.5115260467088194</v>
      </c>
      <c r="L31" s="36">
        <f t="shared" si="2"/>
        <v>1.7328039639887023</v>
      </c>
      <c r="M31" s="36">
        <f t="shared" si="3"/>
        <v>1.4099571550773491</v>
      </c>
    </row>
    <row r="32" spans="1:13" x14ac:dyDescent="0.2">
      <c r="A32">
        <v>31</v>
      </c>
      <c r="B32" s="14" t="s">
        <v>108</v>
      </c>
      <c r="C32" s="5">
        <f t="array" ref="C32">MMULT('MetaData (67) (2018)'!$B$140:$BO$140,TRANSPOSE('Data_Matrix (2018)'!B31:BO31))</f>
        <v>63363413403256.703</v>
      </c>
      <c r="D32" s="39">
        <f t="array" ref="D32">MMULT('MetaData (40) (2018)'!$B$142:$AO$142,TRANSPOSE('Data_Matrix (2018)'!B31:AO31))</f>
        <v>2.3455881303804902</v>
      </c>
      <c r="E32" s="39">
        <f t="array" ref="E32">MMULT('MetaData (2018)'!$B$142:$AA$142,TRANSPOSE('Data_Matrix (2018)'!B31:AA31))</f>
        <v>0.39819021416894673</v>
      </c>
      <c r="F32" s="39">
        <f t="array" ref="F32">MMULT('MetaData (21) (2018)'!$B$142:$V$142,TRANSPOSE('Data_Matrix (2018)'!B31:V31))</f>
        <v>0.84375879611848126</v>
      </c>
      <c r="G32" s="32">
        <f>I32/H32*100</f>
        <v>87.750132130962655</v>
      </c>
      <c r="H32" s="1">
        <v>23726.46</v>
      </c>
      <c r="I32" s="1">
        <v>20820</v>
      </c>
      <c r="J32" s="36">
        <f t="shared" si="0"/>
        <v>2.6080234984683881</v>
      </c>
      <c r="K32" s="36">
        <f t="shared" si="1"/>
        <v>2.1616376175249323</v>
      </c>
      <c r="L32" s="36">
        <f t="shared" si="2"/>
        <v>3.0888229277772088</v>
      </c>
      <c r="M32" s="36">
        <f t="shared" si="3"/>
        <v>3.226170628231555</v>
      </c>
    </row>
    <row r="33" spans="1:13" x14ac:dyDescent="0.2">
      <c r="A33">
        <v>32</v>
      </c>
      <c r="B33" s="14" t="s">
        <v>112</v>
      </c>
      <c r="C33" s="5">
        <f t="array" ref="C33">MMULT('MetaData (67) (2018)'!$B$140:$BO$140,TRANSPOSE('Data_Matrix (2018)'!B32:BO32))</f>
        <v>63363413403321.094</v>
      </c>
      <c r="D33" s="39">
        <f t="array" ref="D33">MMULT('MetaData (40) (2018)'!$B$142:$AO$142,TRANSPOSE('Data_Matrix (2018)'!B32:AO32))</f>
        <v>5.0484679842492663E-2</v>
      </c>
      <c r="E33" s="39">
        <f t="array" ref="E33">MMULT('MetaData (2018)'!$B$142:$AA$142,TRANSPOSE('Data_Matrix (2018)'!B32:AA32))</f>
        <v>-2.0652107688618218</v>
      </c>
      <c r="F33" s="39">
        <f t="array" ref="F33">MMULT('MetaData (21) (2018)'!$B$142:$V$142,TRANSPOSE('Data_Matrix (2018)'!B32:V32))</f>
        <v>-1.2206021349877003</v>
      </c>
      <c r="G33" s="32">
        <f>VLOOKUP(B33,Data_ITU!A:T,20,0)</f>
        <v>88.889959998558496</v>
      </c>
      <c r="H33" s="1">
        <v>5522.576</v>
      </c>
      <c r="J33" s="36">
        <f t="shared" si="0"/>
        <v>0.60178380707151902</v>
      </c>
      <c r="K33" s="36">
        <f t="shared" si="1"/>
        <v>0</v>
      </c>
      <c r="L33" s="36">
        <f t="shared" si="2"/>
        <v>1.2939355002359816</v>
      </c>
      <c r="M33" s="36">
        <f t="shared" si="3"/>
        <v>1.0599620492000572</v>
      </c>
    </row>
    <row r="34" spans="1:13" x14ac:dyDescent="0.2">
      <c r="A34">
        <v>33</v>
      </c>
      <c r="B34" s="14" t="s">
        <v>117</v>
      </c>
      <c r="C34" s="5">
        <f t="array" ref="C34">MMULT('MetaData (67) (2018)'!$B$140:$BO$140,TRANSPOSE('Data_Matrix (2018)'!B33:BO33))</f>
        <v>63363413403234.188</v>
      </c>
      <c r="D34" s="39">
        <f t="array" ref="D34">MMULT('MetaData (40) (2018)'!$B$142:$AO$142,TRANSPOSE('Data_Matrix (2018)'!B33:AO33))</f>
        <v>0.15808607136758102</v>
      </c>
      <c r="E34" s="39">
        <f t="array" ref="E34">MMULT('MetaData (2018)'!$B$142:$AA$142,TRANSPOSE('Data_Matrix (2018)'!B33:AA33))</f>
        <v>-0.82824688155843695</v>
      </c>
      <c r="F34" s="39">
        <f t="array" ref="F34">MMULT('MetaData (21) (2018)'!$B$142:$V$142,TRANSPOSE('Data_Matrix (2018)'!B33:V33))</f>
        <v>-1.4782359913369616</v>
      </c>
      <c r="G34" s="32">
        <f>VLOOKUP(B34,Data_ITU!A:T,20,0)</f>
        <v>96.491657988709406</v>
      </c>
      <c r="H34" s="1">
        <v>5337.9620000000004</v>
      </c>
      <c r="J34" s="36">
        <f t="shared" si="0"/>
        <v>0.7570735646530844</v>
      </c>
      <c r="K34" s="36">
        <f t="shared" si="1"/>
        <v>1.193566963580627</v>
      </c>
      <c r="L34" s="36">
        <f t="shared" si="2"/>
        <v>1.1559951898446497</v>
      </c>
      <c r="M34" s="36">
        <f t="shared" si="3"/>
        <v>1.0773180822725656</v>
      </c>
    </row>
    <row r="35" spans="1:13" x14ac:dyDescent="0.2">
      <c r="A35">
        <v>34</v>
      </c>
      <c r="B35" s="14" t="s">
        <v>99</v>
      </c>
      <c r="C35" s="5">
        <f t="array" ref="C35">MMULT('MetaData (67) (2018)'!$B$140:$BO$140,TRANSPOSE('Data_Matrix (2018)'!B34:BO34))</f>
        <v>63363413403250.5</v>
      </c>
      <c r="D35" s="39">
        <f t="array" ref="D35">MMULT('MetaData (40) (2018)'!$B$142:$AO$142,TRANSPOSE('Data_Matrix (2018)'!B34:AO34))</f>
        <v>1.8091464412785894</v>
      </c>
      <c r="E35" s="39">
        <f t="array" ref="E35">MMULT('MetaData (2018)'!$B$142:$AA$142,TRANSPOSE('Data_Matrix (2018)'!B34:AA34))</f>
        <v>0.89488361863170063</v>
      </c>
      <c r="F35" s="39">
        <f t="array" ref="F35">MMULT('MetaData (21) (2018)'!$B$142:$V$142,TRANSPOSE('Data_Matrix (2018)'!B34:V34))</f>
        <v>1.4989248565511422</v>
      </c>
      <c r="G35" s="32">
        <v>95</v>
      </c>
      <c r="H35" s="1">
        <v>327096.26500000001</v>
      </c>
      <c r="J35" s="36">
        <f t="shared" ref="J35:J68" si="4">(D35-MIN($D$3:$D$68))*G35/100</f>
        <v>2.3138773672406465</v>
      </c>
      <c r="K35" s="36">
        <f t="shared" ref="K35:K68" si="5">(E35-MIN($E$3:$E$68))*G35/100</f>
        <v>2.8120896681188463</v>
      </c>
      <c r="L35" s="36">
        <f t="shared" ref="L35:L68" si="6">(F35-MIN($F$3:$F$68))*G35/100</f>
        <v>3.9664275441948598</v>
      </c>
      <c r="M35" s="36">
        <f t="shared" ref="M35:M66" si="7">0.5*(J35/$J$70+L35/$L$70)</f>
        <v>3.5279022826212323</v>
      </c>
    </row>
    <row r="36" spans="1:13" x14ac:dyDescent="0.2">
      <c r="A36">
        <v>35</v>
      </c>
      <c r="B36" s="14" t="s">
        <v>97</v>
      </c>
      <c r="C36" s="5">
        <f t="array" ref="C36">MMULT('MetaData (67) (2018)'!$B$140:$BO$140,TRANSPOSE('Data_Matrix (2018)'!B35:BO35))</f>
        <v>63363413403234.898</v>
      </c>
      <c r="D36" s="39">
        <f t="array" ref="D36">MMULT('MetaData (40) (2018)'!$B$142:$AO$142,TRANSPOSE('Data_Matrix (2018)'!B35:AO35))</f>
        <v>2.104507152339913</v>
      </c>
      <c r="E36" s="39">
        <f t="array" ref="E36">MMULT('MetaData (2018)'!$B$142:$AA$142,TRANSPOSE('Data_Matrix (2018)'!B35:AA35))</f>
        <v>0.56538498495991485</v>
      </c>
      <c r="F36" s="39">
        <f t="array" ref="F36">MMULT('MetaData (21) (2018)'!$B$142:$V$142,TRANSPOSE('Data_Matrix (2018)'!B35:V35))</f>
        <v>8.6615113529046606E-2</v>
      </c>
      <c r="G36" s="32">
        <v>91</v>
      </c>
      <c r="H36" s="1">
        <v>37074.561999999998</v>
      </c>
      <c r="J36" s="36">
        <f t="shared" si="4"/>
        <v>2.4852291988436868</v>
      </c>
      <c r="K36" s="36">
        <f t="shared" si="5"/>
        <v>2.3938421359777804</v>
      </c>
      <c r="L36" s="36">
        <f t="shared" si="6"/>
        <v>2.5142182024997064</v>
      </c>
      <c r="M36" s="36">
        <f t="shared" si="7"/>
        <v>2.8412697309859922</v>
      </c>
    </row>
    <row r="37" spans="1:13" x14ac:dyDescent="0.2">
      <c r="A37">
        <v>36</v>
      </c>
      <c r="B37" s="14" t="s">
        <v>125</v>
      </c>
      <c r="C37" s="5">
        <f t="array" ref="C37">MMULT('MetaData (67) (2018)'!$B$140:$BO$140,TRANSPOSE('Data_Matrix (2018)'!B36:BO36))</f>
        <v>63363413403342.156</v>
      </c>
      <c r="D37" s="39">
        <f t="array" ref="D37">MMULT('MetaData (40) (2018)'!$B$142:$AO$142,TRANSPOSE('Data_Matrix (2018)'!B36:AO36))</f>
        <v>1.8536614761707437</v>
      </c>
      <c r="E37" s="39">
        <f t="array" ref="E37">MMULT('MetaData (2018)'!$B$142:$AA$142,TRANSPOSE('Data_Matrix (2018)'!B36:AA36))</f>
        <v>0.96205125298999139</v>
      </c>
      <c r="F37" s="39">
        <f t="array" ref="F37">MMULT('MetaData (21) (2018)'!$B$142:$V$142,TRANSPOSE('Data_Matrix (2018)'!B36:V36))</f>
        <v>0.8779852648686991</v>
      </c>
      <c r="G37" s="32">
        <f>VLOOKUP(B37,Data_ITU!A:T,20,0)</f>
        <v>97.644268128092904</v>
      </c>
      <c r="H37" s="1">
        <v>5752.1260000000002</v>
      </c>
      <c r="J37" s="36">
        <f t="shared" si="4"/>
        <v>2.4217491385786873</v>
      </c>
      <c r="K37" s="36">
        <f t="shared" si="5"/>
        <v>2.9559478455569108</v>
      </c>
      <c r="L37" s="36">
        <f t="shared" si="6"/>
        <v>3.4705187605632255</v>
      </c>
      <c r="M37" s="36">
        <f t="shared" si="7"/>
        <v>3.3227464314225319</v>
      </c>
    </row>
    <row r="38" spans="1:13" x14ac:dyDescent="0.2">
      <c r="A38">
        <v>37</v>
      </c>
      <c r="B38" s="14" t="s">
        <v>120</v>
      </c>
      <c r="C38" s="5">
        <f t="array" ref="C38">MMULT('MetaData (67) (2018)'!$B$140:$BO$140,TRANSPOSE('Data_Matrix (2018)'!B37:BO37))</f>
        <v>63363413403134.086</v>
      </c>
      <c r="D38" s="39">
        <f t="array" ref="D38">MMULT('MetaData (40) (2018)'!$B$142:$AO$142,TRANSPOSE('Data_Matrix (2018)'!B37:AO37))</f>
        <v>1.5075261739659778</v>
      </c>
      <c r="E38" s="39">
        <f t="array" ref="E38">MMULT('MetaData (2018)'!$B$142:$AA$142,TRANSPOSE('Data_Matrix (2018)'!B37:AA37))</f>
        <v>-0.25698712855543604</v>
      </c>
      <c r="F38" s="39">
        <f t="array" ref="F38">MMULT('MetaData (21) (2018)'!$B$142:$V$142,TRANSPOSE('Data_Matrix (2018)'!B37:V37))</f>
        <v>0.47167348891676036</v>
      </c>
      <c r="G38" s="32">
        <f>VLOOKUP(B38,Data_ITU!A:T,20,0)</f>
        <v>88.655064275331597</v>
      </c>
      <c r="H38" s="1">
        <v>11482.178</v>
      </c>
      <c r="J38" s="36">
        <f t="shared" si="4"/>
        <v>1.8919346393882044</v>
      </c>
      <c r="K38" s="36">
        <f t="shared" si="5"/>
        <v>1.6030818305553669</v>
      </c>
      <c r="L38" s="36">
        <f t="shared" si="6"/>
        <v>2.7908042594812628</v>
      </c>
      <c r="M38" s="36">
        <f t="shared" si="7"/>
        <v>2.6390022940699951</v>
      </c>
    </row>
    <row r="39" spans="1:13" x14ac:dyDescent="0.2">
      <c r="A39">
        <v>38</v>
      </c>
      <c r="B39" s="14" t="s">
        <v>123</v>
      </c>
      <c r="C39" s="5">
        <f t="array" ref="C39">MMULT('MetaData (67) (2018)'!$B$140:$BO$140,TRANSPOSE('Data_Matrix (2018)'!B38:BO38))</f>
        <v>63363413403217.586</v>
      </c>
      <c r="D39" s="39">
        <f t="array" ref="D39">MMULT('MetaData (40) (2018)'!$B$142:$AO$142,TRANSPOSE('Data_Matrix (2018)'!B38:AO38))</f>
        <v>2.5114441861811385</v>
      </c>
      <c r="E39" s="39">
        <f t="array" ref="E39">MMULT('MetaData (2018)'!$B$142:$AA$142,TRANSPOSE('Data_Matrix (2018)'!B38:AA38))</f>
        <v>1.0944692704067469</v>
      </c>
      <c r="F39" s="39">
        <f t="array" ref="F39">MMULT('MetaData (21) (2018)'!$B$142:$V$142,TRANSPOSE('Data_Matrix (2018)'!B38:V38))</f>
        <v>-0.11884454228452074</v>
      </c>
      <c r="G39" s="32">
        <f>VLOOKUP(B39,Data_ITU!A:T,20,0)</f>
        <v>72.688770879175195</v>
      </c>
      <c r="H39" s="1">
        <v>4156.4049999999997</v>
      </c>
      <c r="J39" s="36">
        <f t="shared" si="4"/>
        <v>2.2809431964698756</v>
      </c>
      <c r="K39" s="36">
        <f t="shared" si="5"/>
        <v>2.296732584258963</v>
      </c>
      <c r="L39" s="36">
        <f t="shared" si="6"/>
        <v>1.8589553395777743</v>
      </c>
      <c r="M39" s="36">
        <f t="shared" si="7"/>
        <v>2.3641710334922599</v>
      </c>
    </row>
    <row r="40" spans="1:13" x14ac:dyDescent="0.2">
      <c r="A40">
        <v>39</v>
      </c>
      <c r="B40" s="14" t="s">
        <v>126</v>
      </c>
      <c r="C40" s="5">
        <f t="array" ref="C40">MMULT('MetaData (67) (2018)'!$B$140:$BO$140,TRANSPOSE('Data_Matrix (2018)'!B39:BO39))</f>
        <v>63363413403263.711</v>
      </c>
      <c r="D40" s="39">
        <f t="array" ref="D40">MMULT('MetaData (40) (2018)'!$B$142:$AO$142,TRANSPOSE('Data_Matrix (2018)'!B39:AO39))</f>
        <v>1.0614616451898555</v>
      </c>
      <c r="E40" s="39">
        <f t="array" ref="E40">MMULT('MetaData (2018)'!$B$142:$AA$142,TRANSPOSE('Data_Matrix (2018)'!B39:AA39))</f>
        <v>4.3026368129643375E-2</v>
      </c>
      <c r="F40" s="39">
        <f t="array" ref="F40">MMULT('MetaData (21) (2018)'!$B$142:$V$142,TRANSPOSE('Data_Matrix (2018)'!B39:V39))</f>
        <v>0.54878366802348322</v>
      </c>
      <c r="G40" s="32">
        <f>I40/H40*100</f>
        <v>63.329997145997339</v>
      </c>
      <c r="H40" s="1">
        <v>57792.517999999996</v>
      </c>
      <c r="I40" s="1">
        <v>36600</v>
      </c>
      <c r="J40" s="36">
        <f t="shared" si="4"/>
        <v>1.0689948932763489</v>
      </c>
      <c r="K40" s="36">
        <f t="shared" si="5"/>
        <v>1.3351465186875509</v>
      </c>
      <c r="L40" s="36">
        <f t="shared" si="6"/>
        <v>2.0424213498294961</v>
      </c>
      <c r="M40" s="36">
        <f t="shared" si="7"/>
        <v>1.7438551657254653</v>
      </c>
    </row>
    <row r="41" spans="1:13" x14ac:dyDescent="0.2">
      <c r="A41">
        <v>40</v>
      </c>
      <c r="B41" s="14" t="s">
        <v>122</v>
      </c>
      <c r="C41" s="5">
        <f t="array" ref="C41">MMULT('MetaData (67) (2018)'!$B$140:$BO$140,TRANSPOSE('Data_Matrix (2018)'!B40:BO40))</f>
        <v>63363413403249.195</v>
      </c>
      <c r="D41" s="39">
        <f t="array" ref="D41">MMULT('MetaData (40) (2018)'!$B$142:$AO$142,TRANSPOSE('Data_Matrix (2018)'!B40:AO40))</f>
        <v>1.3545748137425289</v>
      </c>
      <c r="E41" s="39">
        <f t="array" ref="E41">MMULT('MetaData (2018)'!$B$142:$AA$142,TRANSPOSE('Data_Matrix (2018)'!B40:AA40))</f>
        <v>0.57347175960267061</v>
      </c>
      <c r="F41" s="39">
        <f t="array" ref="F41">MMULT('MetaData (21) (2018)'!$B$142:$V$142,TRANSPOSE('Data_Matrix (2018)'!B40:V40))</f>
        <v>0.44739407427067701</v>
      </c>
      <c r="G41" s="32">
        <f>VLOOKUP(B41,Data_ITU!A:T,20,0)</f>
        <v>80.660335563768001</v>
      </c>
      <c r="H41" s="1">
        <v>5453.0140000000001</v>
      </c>
      <c r="J41" s="36">
        <f t="shared" si="4"/>
        <v>1.5979528408521382</v>
      </c>
      <c r="K41" s="36">
        <f t="shared" si="5"/>
        <v>2.1283701819219778</v>
      </c>
      <c r="L41" s="36">
        <f t="shared" si="6"/>
        <v>2.5195514972365745</v>
      </c>
      <c r="M41" s="36">
        <f t="shared" si="7"/>
        <v>2.3171054265759885</v>
      </c>
    </row>
    <row r="42" spans="1:13" x14ac:dyDescent="0.2">
      <c r="A42">
        <v>41</v>
      </c>
      <c r="B42" s="14" t="s">
        <v>98</v>
      </c>
      <c r="C42" s="5">
        <f t="array" ref="C42">MMULT('MetaData (67) (2018)'!$B$140:$BO$140,TRANSPOSE('Data_Matrix (2018)'!B41:BO41))</f>
        <v>63363413403334.75</v>
      </c>
      <c r="D42" s="39">
        <f t="array" ref="D42">MMULT('MetaData (40) (2018)'!$B$142:$AO$142,TRANSPOSE('Data_Matrix (2018)'!B41:AO41))</f>
        <v>9.2900188236593684E-2</v>
      </c>
      <c r="E42" s="39">
        <f t="array" ref="E42">MMULT('MetaData (2018)'!$B$142:$AA$142,TRANSPOSE('Data_Matrix (2018)'!B41:AA41))</f>
        <v>-1.0947126968797265</v>
      </c>
      <c r="F42" s="39">
        <f t="array" ref="F42">MMULT('MetaData (21) (2018)'!$B$142:$V$142,TRANSPOSE('Data_Matrix (2018)'!B41:V41))</f>
        <v>-1.0119705762656865</v>
      </c>
      <c r="G42" s="32">
        <v>70</v>
      </c>
      <c r="H42" s="1">
        <v>44246.156000000003</v>
      </c>
      <c r="J42" s="36">
        <f t="shared" si="4"/>
        <v>0.5035898934689742</v>
      </c>
      <c r="K42" s="36">
        <f t="shared" si="5"/>
        <v>0.67934865038746661</v>
      </c>
      <c r="L42" s="36">
        <f t="shared" si="6"/>
        <v>1.1650040190665376</v>
      </c>
      <c r="M42" s="36">
        <f t="shared" si="7"/>
        <v>0.93163472345655074</v>
      </c>
    </row>
    <row r="43" spans="1:13" x14ac:dyDescent="0.2">
      <c r="A43">
        <v>42</v>
      </c>
      <c r="B43" s="14" t="s">
        <v>113</v>
      </c>
      <c r="C43" s="5">
        <f t="array" ref="C43">MMULT('MetaData (67) (2018)'!$B$140:$BO$140,TRANSPOSE('Data_Matrix (2018)'!B42:BO42))</f>
        <v>63363413402945.406</v>
      </c>
      <c r="D43" s="39">
        <f t="array" ref="D43">MMULT('MetaData (40) (2018)'!$B$142:$AO$142,TRANSPOSE('Data_Matrix (2018)'!B42:AO42))</f>
        <v>-2.034423678841691E-2</v>
      </c>
      <c r="E43" s="39">
        <f t="array" ref="E43">MMULT('MetaData (2018)'!$B$142:$AA$142,TRANSPOSE('Data_Matrix (2018)'!B42:AA42))</f>
        <v>-1.1294579132944211</v>
      </c>
      <c r="F43" s="39">
        <f t="array" ref="F43">MMULT('MetaData (21) (2018)'!$B$142:$V$142,TRANSPOSE('Data_Matrix (2018)'!B42:V42))</f>
        <v>-0.52729163755380104</v>
      </c>
      <c r="G43" s="32">
        <f>VLOOKUP(B43,Data_ITU!A:T,20,0)</f>
        <v>86.107235525659107</v>
      </c>
      <c r="H43" s="1">
        <v>46692.858</v>
      </c>
      <c r="J43" s="36">
        <f t="shared" si="4"/>
        <v>0.52195597858510057</v>
      </c>
      <c r="K43" s="36">
        <f t="shared" si="5"/>
        <v>0.80575091528150233</v>
      </c>
      <c r="L43" s="36">
        <f t="shared" si="6"/>
        <v>1.8504189989870767</v>
      </c>
      <c r="M43" s="36">
        <f t="shared" si="7"/>
        <v>1.3146631777034707</v>
      </c>
    </row>
    <row r="44" spans="1:13" x14ac:dyDescent="0.2">
      <c r="A44">
        <v>43</v>
      </c>
      <c r="B44" s="14" t="s">
        <v>110</v>
      </c>
      <c r="C44" s="5">
        <f t="array" ref="C44">MMULT('MetaData (67) (2018)'!$B$140:$BO$140,TRANSPOSE('Data_Matrix (2018)'!B43:BO43))</f>
        <v>63363413403294.844</v>
      </c>
      <c r="D44" s="39">
        <f t="array" ref="D44">MMULT('MetaData (40) (2018)'!$B$142:$AO$142,TRANSPOSE('Data_Matrix (2018)'!B43:AO43))</f>
        <v>-2.8819703884233994E-2</v>
      </c>
      <c r="E44" s="39">
        <f t="array" ref="E44">MMULT('MetaData (2018)'!$B$142:$AA$142,TRANSPOSE('Data_Matrix (2018)'!B43:AA43))</f>
        <v>-1.0851795135386992</v>
      </c>
      <c r="F44" s="39">
        <f t="array" ref="F44">MMULT('MetaData (21) (2018)'!$B$142:$V$142,TRANSPOSE('Data_Matrix (2018)'!B43:V43))</f>
        <v>-1.1816409258805036</v>
      </c>
      <c r="G44" s="32">
        <f>VLOOKUP(B44,Data_ITU!A:T,20,0)</f>
        <v>64.803865192404302</v>
      </c>
      <c r="H44" s="1">
        <v>36029.093000000001</v>
      </c>
      <c r="J44" s="36">
        <f t="shared" si="4"/>
        <v>0.38732897046368814</v>
      </c>
      <c r="K44" s="36">
        <f t="shared" si="5"/>
        <v>0.63509813354302391</v>
      </c>
      <c r="L44" s="36">
        <f t="shared" si="6"/>
        <v>0.96857224679552034</v>
      </c>
      <c r="M44" s="36">
        <f t="shared" si="7"/>
        <v>0.7559286529727276</v>
      </c>
    </row>
    <row r="45" spans="1:13" x14ac:dyDescent="0.2">
      <c r="A45">
        <v>44</v>
      </c>
      <c r="B45" s="14" t="s">
        <v>101</v>
      </c>
      <c r="C45" s="5">
        <f t="array" ref="C45">MMULT('MetaData (67) (2018)'!$B$140:$BO$140,TRANSPOSE('Data_Matrix (2018)'!B44:BO44))</f>
        <v>63363413403309.578</v>
      </c>
      <c r="D45" s="39">
        <f t="array" ref="D45">MMULT('MetaData (40) (2018)'!$B$142:$AO$142,TRANSPOSE('Data_Matrix (2018)'!B44:AO44))</f>
        <v>1.4870144759290223</v>
      </c>
      <c r="E45" s="39">
        <f t="array" ref="E45">MMULT('MetaData (2018)'!$B$142:$AA$142,TRANSPOSE('Data_Matrix (2018)'!B44:AA44))</f>
        <v>-0.21335270678206272</v>
      </c>
      <c r="F45" s="39">
        <f t="array" ref="F45">MMULT('MetaData (21) (2018)'!$B$142:$V$142,TRANSPOSE('Data_Matrix (2018)'!B44:V44))</f>
        <v>-0.64001260506628266</v>
      </c>
      <c r="G45" s="32">
        <f>I45/H45*100</f>
        <v>68.464121014925013</v>
      </c>
      <c r="H45" s="1">
        <v>49661.048000000003</v>
      </c>
      <c r="I45" s="1">
        <v>34000</v>
      </c>
      <c r="J45" s="36">
        <f t="shared" si="4"/>
        <v>1.447008655988576</v>
      </c>
      <c r="K45" s="36">
        <f t="shared" si="5"/>
        <v>1.2678583446469314</v>
      </c>
      <c r="L45" s="36">
        <f t="shared" si="6"/>
        <v>1.3941002718729834</v>
      </c>
      <c r="M45" s="36">
        <f t="shared" si="7"/>
        <v>1.6164228741889823</v>
      </c>
    </row>
    <row r="46" spans="1:13" x14ac:dyDescent="0.2">
      <c r="A46">
        <v>45</v>
      </c>
      <c r="B46" s="14" t="s">
        <v>115</v>
      </c>
      <c r="C46" s="5">
        <f t="array" ref="C46">MMULT('MetaData (67) (2018)'!$B$140:$BO$140,TRANSPOSE('Data_Matrix (2018)'!B45:BO45))</f>
        <v>63363413403213.234</v>
      </c>
      <c r="D46" s="39">
        <f t="array" ref="D46">MMULT('MetaData (40) (2018)'!$B$142:$AO$142,TRANSPOSE('Data_Matrix (2018)'!B45:AO45))</f>
        <v>-0.11037964987346655</v>
      </c>
      <c r="E46" s="39">
        <f t="array" ref="E46">MMULT('MetaData (2018)'!$B$142:$AA$142,TRANSPOSE('Data_Matrix (2018)'!B45:AA45))</f>
        <v>-1.1155682407865575</v>
      </c>
      <c r="F46" s="39">
        <f t="array" ref="F46">MMULT('MetaData (21) (2018)'!$B$142:$V$142,TRANSPOSE('Data_Matrix (2018)'!B45:V45))</f>
        <v>-2.5190897125603628</v>
      </c>
      <c r="G46" s="32">
        <f>VLOOKUP(B46,Data_ITU!A:T,20,0)</f>
        <v>52.540311572038398</v>
      </c>
      <c r="H46" s="1">
        <v>31989.26</v>
      </c>
      <c r="J46" s="36">
        <f t="shared" si="4"/>
        <v>0.271178566942261</v>
      </c>
      <c r="K46" s="36">
        <f t="shared" si="5"/>
        <v>0.49894514307132609</v>
      </c>
      <c r="L46" s="36">
        <f t="shared" si="6"/>
        <v>8.2578826378003789E-2</v>
      </c>
      <c r="M46" s="36">
        <f t="shared" si="7"/>
        <v>0.20591833127683917</v>
      </c>
    </row>
    <row r="47" spans="1:13" x14ac:dyDescent="0.2">
      <c r="A47">
        <v>46</v>
      </c>
      <c r="B47" s="14" t="s">
        <v>111</v>
      </c>
      <c r="C47" s="5">
        <f t="array" ref="C47">MMULT('MetaData (67) (2018)'!$B$140:$BO$140,TRANSPOSE('Data_Matrix (2018)'!B46:BO46))</f>
        <v>63363413403103.43</v>
      </c>
      <c r="D47" s="39">
        <f t="array" ref="D47">MMULT('MetaData (40) (2018)'!$B$142:$AO$142,TRANSPOSE('Data_Matrix (2018)'!B46:AO46))</f>
        <v>0.26808054845521495</v>
      </c>
      <c r="E47" s="39">
        <f t="array" ref="E47">MMULT('MetaData (2018)'!$B$142:$AA$142,TRANSPOSE('Data_Matrix (2018)'!B46:AA46))</f>
        <v>-0.12930532835830413</v>
      </c>
      <c r="F47" s="39">
        <f t="array" ref="F47">MMULT('MetaData (21) (2018)'!$B$142:$V$142,TRANSPOSE('Data_Matrix (2018)'!B46:V46))</f>
        <v>8.2807939558881494E-2</v>
      </c>
      <c r="G47" s="32">
        <f>VLOOKUP(B47,Data_ITU!A:T,20,0)</f>
        <v>65.772634475923297</v>
      </c>
      <c r="H47" s="1">
        <v>126190.788</v>
      </c>
      <c r="J47" s="36">
        <f t="shared" si="4"/>
        <v>0.58839836641311372</v>
      </c>
      <c r="K47" s="36">
        <f t="shared" si="5"/>
        <v>1.2732960091818915</v>
      </c>
      <c r="L47" s="36">
        <f t="shared" si="6"/>
        <v>1.8147130073777307</v>
      </c>
      <c r="M47" s="36">
        <f t="shared" si="7"/>
        <v>1.3347461382595398</v>
      </c>
    </row>
    <row r="48" spans="1:13" x14ac:dyDescent="0.2">
      <c r="A48">
        <v>47</v>
      </c>
      <c r="B48" s="14" t="s">
        <v>127</v>
      </c>
      <c r="C48" s="5">
        <f t="array" ref="C48">MMULT('MetaData (67) (2018)'!$B$140:$BO$140,TRANSPOSE('Data_Matrix (2018)'!B47:BO47))</f>
        <v>63363413403302.578</v>
      </c>
      <c r="D48" s="39">
        <f t="array" ref="D48">MMULT('MetaData (40) (2018)'!$B$142:$AO$142,TRANSPOSE('Data_Matrix (2018)'!B47:AO47))</f>
        <v>1.401574851626481E-2</v>
      </c>
      <c r="E48" s="39">
        <f t="array" ref="E48">MMULT('MetaData (2018)'!$B$142:$AA$142,TRANSPOSE('Data_Matrix (2018)'!B47:AA47))</f>
        <v>-1.162963049105006</v>
      </c>
      <c r="F48" s="39">
        <f t="array" ref="F48">MMULT('MetaData (21) (2018)'!$B$142:$V$142,TRANSPOSE('Data_Matrix (2018)'!B47:V47))</f>
        <v>-0.47907585529333302</v>
      </c>
      <c r="G48" s="32">
        <f>VLOOKUP(B48,Data_ITU!A:T,20,0)</f>
        <v>94.712073721730306</v>
      </c>
      <c r="H48" s="1">
        <v>17059.560000000001</v>
      </c>
      <c r="J48" s="36">
        <f t="shared" si="4"/>
        <v>0.60665895580784823</v>
      </c>
      <c r="K48" s="36">
        <f t="shared" si="5"/>
        <v>0.85453752548870598</v>
      </c>
      <c r="L48" s="36">
        <f t="shared" si="6"/>
        <v>2.081000591557145</v>
      </c>
      <c r="M48" s="36">
        <f t="shared" si="7"/>
        <v>1.4901634790719915</v>
      </c>
    </row>
    <row r="49" spans="1:13" x14ac:dyDescent="0.2">
      <c r="A49">
        <v>48</v>
      </c>
      <c r="B49" s="14" t="s">
        <v>133</v>
      </c>
      <c r="C49" s="5">
        <f t="array" ref="C49">MMULT('MetaData (67) (2018)'!$B$140:$BO$140,TRANSPOSE('Data_Matrix (2018)'!B48:BO48))</f>
        <v>63363413403223.031</v>
      </c>
      <c r="D49" s="39">
        <f t="array" ref="D49">MMULT('MetaData (40) (2018)'!$B$142:$AO$142,TRANSPOSE('Data_Matrix (2018)'!B48:AO48))</f>
        <v>1.5445979912794958</v>
      </c>
      <c r="E49" s="39">
        <f t="array" ref="E49">MMULT('MetaData (2018)'!$B$142:$AA$142,TRANSPOSE('Data_Matrix (2018)'!B48:AA48))</f>
        <v>1.6273922186315255</v>
      </c>
      <c r="F49" s="39">
        <f t="array" ref="F49">MMULT('MetaData (21) (2018)'!$B$142:$V$142,TRANSPOSE('Data_Matrix (2018)'!B48:V48))</f>
        <v>1.648011029471578</v>
      </c>
      <c r="G49" s="32">
        <v>88</v>
      </c>
      <c r="H49" s="1">
        <v>4743.1310000000003</v>
      </c>
      <c r="J49" s="36">
        <f t="shared" si="4"/>
        <v>1.910578504181607</v>
      </c>
      <c r="K49" s="36">
        <f t="shared" si="5"/>
        <v>3.2494906289941459</v>
      </c>
      <c r="L49" s="36">
        <f t="shared" si="6"/>
        <v>3.8053602941610114</v>
      </c>
      <c r="M49" s="36">
        <f t="shared" si="7"/>
        <v>3.2008897190848744</v>
      </c>
    </row>
    <row r="50" spans="1:13" x14ac:dyDescent="0.2">
      <c r="A50">
        <v>49</v>
      </c>
      <c r="B50" s="14" t="s">
        <v>145</v>
      </c>
      <c r="C50" s="5">
        <f t="array" ref="C50">MMULT('MetaData (67) (2018)'!$B$140:$BO$140,TRANSPOSE('Data_Matrix (2018)'!B49:BO49))</f>
        <v>63363413403264.688</v>
      </c>
      <c r="D50" s="39">
        <f t="array" ref="D50">MMULT('MetaData (40) (2018)'!$B$142:$AO$142,TRANSPOSE('Data_Matrix (2018)'!B49:AO49))</f>
        <v>3.6455467957739476</v>
      </c>
      <c r="E50" s="39">
        <f t="array" ref="E50">MMULT('MetaData (2018)'!$B$142:$AA$142,TRANSPOSE('Data_Matrix (2018)'!B49:AA49))</f>
        <v>2.816029947125589</v>
      </c>
      <c r="F50" s="39">
        <f t="array" ref="F50">MMULT('MetaData (21) (2018)'!$B$142:$V$142,TRANSPOSE('Data_Matrix (2018)'!B49:V49))</f>
        <v>1.780975086977747</v>
      </c>
      <c r="G50" s="32">
        <f>I50/H50*100</f>
        <v>87.315717246806116</v>
      </c>
      <c r="H50" s="1">
        <v>24898.151999999998</v>
      </c>
      <c r="I50" s="1">
        <v>21740</v>
      </c>
      <c r="J50" s="36">
        <f t="shared" si="4"/>
        <v>3.7301804772796539</v>
      </c>
      <c r="K50" s="36">
        <f t="shared" si="5"/>
        <v>4.262090341707542</v>
      </c>
      <c r="L50" s="36">
        <f t="shared" si="6"/>
        <v>3.8918685598918064</v>
      </c>
      <c r="M50" s="36">
        <f t="shared" si="7"/>
        <v>4.3287356814892499</v>
      </c>
    </row>
    <row r="51" spans="1:13" x14ac:dyDescent="0.2">
      <c r="A51">
        <v>50</v>
      </c>
      <c r="B51" s="14" t="s">
        <v>142</v>
      </c>
      <c r="C51" s="5">
        <f t="array" ref="C51">MMULT('MetaData (67) (2018)'!$B$140:$BO$140,TRANSPOSE('Data_Matrix (2018)'!B50:BO50))</f>
        <v>63363413403204.375</v>
      </c>
      <c r="D51" s="39">
        <f t="array" ref="D51">MMULT('MetaData (40) (2018)'!$B$142:$AO$142,TRANSPOSE('Data_Matrix (2018)'!B50:AO50))</f>
        <v>0.454542187161316</v>
      </c>
      <c r="E51" s="39">
        <f t="array" ref="E51">MMULT('MetaData (2018)'!$B$142:$AA$142,TRANSPOSE('Data_Matrix (2018)'!B50:AA50))</f>
        <v>-1.0800128541166012</v>
      </c>
      <c r="F51" s="39">
        <f t="array" ref="F51">MMULT('MetaData (21) (2018)'!$B$142:$V$142,TRANSPOSE('Data_Matrix (2018)'!B50:V50))</f>
        <v>-1.3789607479086317</v>
      </c>
      <c r="G51" s="32">
        <f>VLOOKUP(B51,Data_ITU!A:T,20,0)</f>
        <v>82.043534217447302</v>
      </c>
      <c r="H51" s="1">
        <v>64990.510999999999</v>
      </c>
      <c r="J51" s="36">
        <f t="shared" si="4"/>
        <v>0.88693665793792831</v>
      </c>
      <c r="K51" s="36">
        <f t="shared" si="5"/>
        <v>0.80829118829357227</v>
      </c>
      <c r="L51" s="36">
        <f t="shared" si="6"/>
        <v>1.064351822978439</v>
      </c>
      <c r="M51" s="36">
        <f t="shared" si="7"/>
        <v>1.1047052438271714</v>
      </c>
    </row>
    <row r="52" spans="1:13" x14ac:dyDescent="0.2">
      <c r="A52">
        <v>51</v>
      </c>
      <c r="B52" s="14" t="s">
        <v>128</v>
      </c>
      <c r="C52" s="5">
        <f t="array" ref="C52">MMULT('MetaData (67) (2018)'!$B$140:$BO$140,TRANSPOSE('Data_Matrix (2018)'!B51:BO51))</f>
        <v>63363413403252.188</v>
      </c>
      <c r="D52" s="39">
        <f t="array" ref="D52">MMULT('MetaData (40) (2018)'!$B$142:$AO$142,TRANSPOSE('Data_Matrix (2018)'!B51:AO51))</f>
        <v>0.75137410783537451</v>
      </c>
      <c r="E52" s="39">
        <f t="array" ref="E52">MMULT('MetaData (2018)'!$B$142:$AA$142,TRANSPOSE('Data_Matrix (2018)'!B51:AA51))</f>
        <v>-0.32006126977707988</v>
      </c>
      <c r="F52" s="39">
        <f t="array" ref="F52">MMULT('MetaData (21) (2018)'!$B$142:$V$142,TRANSPOSE('Data_Matrix (2018)'!B51:V51))</f>
        <v>-0.35661230871824007</v>
      </c>
      <c r="G52" s="32">
        <f>Data_ITU!T173</f>
        <v>80.864721858328295</v>
      </c>
      <c r="H52" s="1">
        <v>145734.038</v>
      </c>
      <c r="J52" s="36">
        <f t="shared" si="4"/>
        <v>1.1142253416793833</v>
      </c>
      <c r="K52" s="36">
        <f t="shared" si="5"/>
        <v>1.411210288446886</v>
      </c>
      <c r="L52" s="36">
        <f t="shared" si="6"/>
        <v>1.875778296879947</v>
      </c>
      <c r="M52" s="36">
        <f t="shared" si="7"/>
        <v>1.6802507747712192</v>
      </c>
    </row>
    <row r="53" spans="1:13" x14ac:dyDescent="0.2">
      <c r="A53">
        <v>52</v>
      </c>
      <c r="B53" s="14" t="s">
        <v>154</v>
      </c>
      <c r="C53" s="5">
        <f t="array" ref="C53">MMULT('MetaData (67) (2018)'!$B$140:$BO$140,TRANSPOSE('Data_Matrix (2018)'!B52:BO52))</f>
        <v>63363413403251.5</v>
      </c>
      <c r="D53" s="39">
        <f t="array" ref="D53">MMULT('MetaData (40) (2018)'!$B$142:$AO$142,TRANSPOSE('Data_Matrix (2018)'!B52:AO52))</f>
        <v>1.8229457883410376</v>
      </c>
      <c r="E53" s="39">
        <f t="array" ref="E53">MMULT('MetaData (2018)'!$B$142:$AA$142,TRANSPOSE('Data_Matrix (2018)'!B52:AA52))</f>
        <v>0.40523711429078479</v>
      </c>
      <c r="F53" s="39">
        <f t="array" ref="F53">MMULT('MetaData (21) (2018)'!$B$142:$V$142,TRANSPOSE('Data_Matrix (2018)'!B52:V52))</f>
        <v>0.14068158332204872</v>
      </c>
      <c r="G53" s="32">
        <f>VLOOKUP(B53,Data_ITU!A:T,20,0)</f>
        <v>72.952094201810993</v>
      </c>
      <c r="H53" s="1">
        <v>10522.245999999999</v>
      </c>
      <c r="J53" s="36">
        <f t="shared" si="4"/>
        <v>1.7869321723143168</v>
      </c>
      <c r="K53" s="36">
        <f t="shared" si="5"/>
        <v>1.8022434669241352</v>
      </c>
      <c r="L53" s="36">
        <f t="shared" si="6"/>
        <v>2.0550193599163746</v>
      </c>
      <c r="M53" s="36">
        <f t="shared" si="7"/>
        <v>2.177163773693592</v>
      </c>
    </row>
    <row r="54" spans="1:13" x14ac:dyDescent="0.2">
      <c r="A54">
        <v>53</v>
      </c>
      <c r="B54" s="14" t="s">
        <v>147</v>
      </c>
      <c r="C54" s="5">
        <f t="array" ref="C54">MMULT('MetaData (67) (2018)'!$B$140:$BO$140,TRANSPOSE('Data_Matrix (2018)'!B53:BO53))</f>
        <v>63363413403131.133</v>
      </c>
      <c r="D54" s="39">
        <f t="array" ref="D54">MMULT('MetaData (40) (2018)'!$B$142:$AO$142,TRANSPOSE('Data_Matrix (2018)'!B53:AO53))</f>
        <v>1.3529601465683281</v>
      </c>
      <c r="E54" s="39">
        <f t="array" ref="E54">MMULT('MetaData (2018)'!$B$142:$AA$142,TRANSPOSE('Data_Matrix (2018)'!B53:AA53))</f>
        <v>-0.20876807673883221</v>
      </c>
      <c r="F54" s="39">
        <f t="array" ref="F54">MMULT('MetaData (21) (2018)'!$B$142:$V$142,TRANSPOSE('Data_Matrix (2018)'!B53:V53))</f>
        <v>-0.20271577311733835</v>
      </c>
      <c r="G54" s="32">
        <f>VLOOKUP(B54,Data_ITU!A:T,20,0)</f>
        <v>98.450001781719394</v>
      </c>
      <c r="H54" s="1">
        <v>9630.9590000000007</v>
      </c>
      <c r="J54" s="36">
        <f t="shared" si="4"/>
        <v>1.9487922787037022</v>
      </c>
      <c r="K54" s="36">
        <f t="shared" si="5"/>
        <v>1.8276678634716828</v>
      </c>
      <c r="L54" s="36">
        <f t="shared" si="6"/>
        <v>2.4352063360154972</v>
      </c>
      <c r="M54" s="36">
        <f t="shared" si="7"/>
        <v>2.479719200415774</v>
      </c>
    </row>
    <row r="55" spans="1:13" x14ac:dyDescent="0.2">
      <c r="A55">
        <v>54</v>
      </c>
      <c r="B55" s="14" t="s">
        <v>150</v>
      </c>
      <c r="C55" s="5">
        <f t="array" ref="C55">MMULT('MetaData (67) (2018)'!$B$140:$BO$140,TRANSPOSE('Data_Matrix (2018)'!B54:BO54))</f>
        <v>63363413403200.625</v>
      </c>
      <c r="D55" s="39">
        <f t="array" ref="D55">MMULT('MetaData (40) (2018)'!$B$142:$AO$142,TRANSPOSE('Data_Matrix (2018)'!B54:AO54))</f>
        <v>0.51181343363129495</v>
      </c>
      <c r="E55" s="39">
        <f t="array" ref="E55">MMULT('MetaData (2018)'!$B$142:$AA$142,TRANSPOSE('Data_Matrix (2018)'!B54:AA54))</f>
        <v>0.39306193506911669</v>
      </c>
      <c r="F55" s="39">
        <f t="array" ref="F55">MMULT('MetaData (21) (2018)'!$B$142:$V$142,TRANSPOSE('Data_Matrix (2018)'!B54:V54))</f>
        <v>0.10849645208130926</v>
      </c>
      <c r="G55" s="32">
        <f>VLOOKUP(B55,Data_ITU!A:T,20,0)</f>
        <v>81.201706651971804</v>
      </c>
      <c r="H55" s="1">
        <v>31528.032999999999</v>
      </c>
      <c r="J55" s="36">
        <f t="shared" si="4"/>
        <v>0.92434125897116526</v>
      </c>
      <c r="K55" s="36">
        <f t="shared" si="5"/>
        <v>1.996159389751496</v>
      </c>
      <c r="L55" s="36">
        <f t="shared" si="6"/>
        <v>2.2612714152705244</v>
      </c>
      <c r="M55" s="36">
        <f t="shared" si="7"/>
        <v>1.776743915074773</v>
      </c>
    </row>
    <row r="56" spans="1:13" x14ac:dyDescent="0.2">
      <c r="A56">
        <v>55</v>
      </c>
      <c r="B56" s="14" t="s">
        <v>153</v>
      </c>
      <c r="C56" s="5">
        <f t="array" ref="C56">MMULT('MetaData (67) (2018)'!$B$140:$BO$140,TRANSPOSE('Data_Matrix (2018)'!B55:BO55))</f>
        <v>63363413403263.133</v>
      </c>
      <c r="D56" s="39">
        <f t="array" ref="D56">MMULT('MetaData (40) (2018)'!$B$142:$AO$142,TRANSPOSE('Data_Matrix (2018)'!B55:AO55))</f>
        <v>1.7555480160783217</v>
      </c>
      <c r="E56" s="39">
        <f t="array" ref="E56">MMULT('MetaData (2018)'!$B$142:$AA$142,TRANSPOSE('Data_Matrix (2018)'!B55:AA55))</f>
        <v>0.34101661135857314</v>
      </c>
      <c r="F56" s="39">
        <f t="array" ref="F56">MMULT('MetaData (21) (2018)'!$B$142:$V$142,TRANSPOSE('Data_Matrix (2018)'!B55:V55))</f>
        <v>-3.0138843458411078E-2</v>
      </c>
      <c r="G56" s="32">
        <f>Data_ITU!T99</f>
        <v>70.004552218067104</v>
      </c>
      <c r="H56" s="1">
        <v>81800.187999999995</v>
      </c>
      <c r="J56" s="36">
        <f t="shared" si="4"/>
        <v>1.667551809613159</v>
      </c>
      <c r="K56" s="36">
        <f t="shared" si="5"/>
        <v>1.6844687028718146</v>
      </c>
      <c r="L56" s="36">
        <f t="shared" si="6"/>
        <v>1.8524066893295006</v>
      </c>
      <c r="M56" s="36">
        <f t="shared" si="7"/>
        <v>1.9962490225956246</v>
      </c>
    </row>
    <row r="57" spans="1:13" x14ac:dyDescent="0.2">
      <c r="A57">
        <v>56</v>
      </c>
      <c r="B57" s="14" t="s">
        <v>129</v>
      </c>
      <c r="C57" s="5">
        <f t="array" ref="C57">MMULT('MetaData (67) (2018)'!$B$140:$BO$140,TRANSPOSE('Data_Matrix (2018)'!B56:BO56))</f>
        <v>63363413403255.75</v>
      </c>
      <c r="D57" s="39">
        <f t="array" ref="D57">MMULT('MetaData (40) (2018)'!$B$142:$AO$142,TRANSPOSE('Data_Matrix (2018)'!B56:AO56))</f>
        <v>0.8287394851655856</v>
      </c>
      <c r="E57" s="39">
        <f t="array" ref="E57">MMULT('MetaData (2018)'!$B$142:$AA$142,TRANSPOSE('Data_Matrix (2018)'!B56:AA56))</f>
        <v>-1.2011015885578975</v>
      </c>
      <c r="F57" s="39">
        <f t="array" ref="F57">MMULT('MetaData (21) (2018)'!$B$142:$V$142,TRANSPOSE('Data_Matrix (2018)'!B56:V56))</f>
        <v>-0.74485719590188526</v>
      </c>
      <c r="G57" s="32">
        <f>VLOOKUP(B57,Data_ITU!A:T,20,0)</f>
        <v>78.903919057881595</v>
      </c>
      <c r="H57" s="1">
        <v>18319.617999999999</v>
      </c>
      <c r="J57" s="36">
        <f t="shared" si="4"/>
        <v>1.1482519888541247</v>
      </c>
      <c r="K57" s="36">
        <f t="shared" si="5"/>
        <v>0.68181600819873256</v>
      </c>
      <c r="L57" s="36">
        <f t="shared" si="6"/>
        <v>1.5239541086140656</v>
      </c>
      <c r="M57" s="36">
        <f t="shared" si="7"/>
        <v>1.5094544162176413</v>
      </c>
    </row>
    <row r="58" spans="1:13" x14ac:dyDescent="0.2">
      <c r="A58">
        <v>57</v>
      </c>
      <c r="B58" s="14" t="s">
        <v>144</v>
      </c>
      <c r="C58" s="5">
        <f t="array" ref="C58">MMULT('MetaData (67) (2018)'!$B$140:$BO$140,TRANSPOSE('Data_Matrix (2018)'!B57:BO57))</f>
        <v>63363413403315.297</v>
      </c>
      <c r="D58" s="39">
        <f t="array" ref="D58">MMULT('MetaData (40) (2018)'!$B$142:$AO$142,TRANSPOSE('Data_Matrix (2018)'!B57:AO57))</f>
        <v>-0.45113997876104994</v>
      </c>
      <c r="E58" s="39">
        <f t="array" ref="E58">MMULT('MetaData (2018)'!$B$142:$AA$142,TRANSPOSE('Data_Matrix (2018)'!B57:AA57))</f>
        <v>-1.1773621083753392</v>
      </c>
      <c r="F58" s="39">
        <f t="array" ref="F58">MMULT('MetaData (21) (2018)'!$B$142:$V$142,TRANSPOSE('Data_Matrix (2018)'!B57:V57))</f>
        <v>-0.31847487463178559</v>
      </c>
      <c r="G58" s="32">
        <f>I58/H58*100</f>
        <v>66.07172736219708</v>
      </c>
      <c r="H58" s="1">
        <v>209469.323</v>
      </c>
      <c r="I58" s="1">
        <v>138400</v>
      </c>
      <c r="J58" s="36">
        <f t="shared" si="4"/>
        <v>0.11587260902961713</v>
      </c>
      <c r="K58" s="36">
        <f t="shared" si="5"/>
        <v>0.58661694634554751</v>
      </c>
      <c r="L58" s="36">
        <f t="shared" si="6"/>
        <v>1.5578307024467943</v>
      </c>
      <c r="M58" s="36">
        <f t="shared" si="7"/>
        <v>0.91459247293668555</v>
      </c>
    </row>
    <row r="59" spans="1:13" x14ac:dyDescent="0.2">
      <c r="A59">
        <v>58</v>
      </c>
      <c r="B59" s="14" t="s">
        <v>134</v>
      </c>
      <c r="C59" s="5">
        <f t="array" ref="C59">MMULT('MetaData (67) (2018)'!$B$140:$BO$140,TRANSPOSE('Data_Matrix (2018)'!B58:BO58))</f>
        <v>63363413403253.531</v>
      </c>
      <c r="D59" s="39">
        <f t="array" ref="D59">MMULT('MetaData (40) (2018)'!$B$142:$AO$142,TRANSPOSE('Data_Matrix (2018)'!B58:AO58))</f>
        <v>1.6898105515383812</v>
      </c>
      <c r="E59" s="39">
        <f t="array" ref="E59">MMULT('MetaData (2018)'!$B$142:$AA$142,TRANSPOSE('Data_Matrix (2018)'!B58:AA58))</f>
        <v>-7.506053437943605E-2</v>
      </c>
      <c r="F59" s="39">
        <f t="array" ref="F59">MMULT('MetaData (21) (2018)'!$B$142:$V$142,TRANSPOSE('Data_Matrix (2018)'!B58:V58))</f>
        <v>-0.61469298421583607</v>
      </c>
      <c r="G59" s="32">
        <f>VLOOKUP(B59,Data_ITU!A:T,20,0)</f>
        <v>59.5796847635727</v>
      </c>
      <c r="H59" s="1">
        <v>42228.408000000003</v>
      </c>
      <c r="J59" s="36">
        <f t="shared" si="4"/>
        <v>1.3800588333120662</v>
      </c>
      <c r="K59" s="36">
        <f t="shared" si="5"/>
        <v>1.1857252360261084</v>
      </c>
      <c r="L59" s="36">
        <f t="shared" si="6"/>
        <v>1.2282763398978926</v>
      </c>
      <c r="M59" s="36">
        <f t="shared" si="7"/>
        <v>1.4866258800549015</v>
      </c>
    </row>
    <row r="60" spans="1:13" x14ac:dyDescent="0.2">
      <c r="A60">
        <v>59</v>
      </c>
      <c r="B60" s="14" t="s">
        <v>151</v>
      </c>
      <c r="C60" s="5">
        <f t="array" ref="C60">MMULT('MetaData (67) (2018)'!$B$140:$BO$140,TRANSPOSE('Data_Matrix (2018)'!B59:BO59))</f>
        <v>63363413403125.297</v>
      </c>
      <c r="D60" s="39">
        <f t="array" ref="D60">MMULT('MetaData (40) (2018)'!$B$142:$AO$142,TRANSPOSE('Data_Matrix (2018)'!B59:AO59))</f>
        <v>0.62276323578938897</v>
      </c>
      <c r="E60" s="39">
        <f t="array" ref="E60">MMULT('MetaData (2018)'!$B$142:$AA$142,TRANSPOSE('Data_Matrix (2018)'!B59:AA59))</f>
        <v>-0.29498833349188258</v>
      </c>
      <c r="F60" s="39">
        <f t="array" ref="F60">MMULT('MetaData (21) (2018)'!$B$142:$V$142,TRANSPOSE('Data_Matrix (2018)'!B59:V59))</f>
        <v>-5.0184897555884816E-2</v>
      </c>
      <c r="G60" s="32">
        <f>VLOOKUP(B60,Data_ITU!A:T,20,0)</f>
        <v>39.7874830543211</v>
      </c>
      <c r="H60" s="1">
        <v>267670.54300000001</v>
      </c>
      <c r="J60" s="36">
        <f t="shared" si="4"/>
        <v>0.49705594672366599</v>
      </c>
      <c r="K60" s="36">
        <f t="shared" si="5"/>
        <v>0.70432695149660485</v>
      </c>
      <c r="L60" s="36">
        <f t="shared" si="6"/>
        <v>1.0448499948902044</v>
      </c>
      <c r="M60" s="36">
        <f t="shared" si="7"/>
        <v>0.86252061003569835</v>
      </c>
    </row>
    <row r="61" spans="1:13" x14ac:dyDescent="0.2">
      <c r="A61">
        <v>60</v>
      </c>
      <c r="B61" s="14" t="s">
        <v>162</v>
      </c>
      <c r="C61" s="5">
        <f t="array" ref="C61">MMULT('MetaData (67) (2018)'!$B$140:$BO$140,TRANSPOSE('Data_Matrix (2018)'!B60:BO60))</f>
        <v>63363413403232.281</v>
      </c>
      <c r="D61" s="39">
        <f t="array" ref="D61">MMULT('MetaData (40) (2018)'!$B$142:$AO$142,TRANSPOSE('Data_Matrix (2018)'!B60:AO60))</f>
        <v>1.5041702582413092</v>
      </c>
      <c r="E61" s="39">
        <f t="array" ref="E61">MMULT('MetaData (2018)'!$B$142:$AA$142,TRANSPOSE('Data_Matrix (2018)'!B60:AA60))</f>
        <v>0.22970775763678253</v>
      </c>
      <c r="F61" s="39">
        <f t="array" ref="F61">MMULT('MetaData (21) (2018)'!$B$142:$V$142,TRANSPOSE('Data_Matrix (2018)'!B60:V60))</f>
        <v>1.0412547313501868</v>
      </c>
      <c r="G61" s="32">
        <f>VLOOKUP(B61,Data_ITU!A:T,20,0)</f>
        <v>94.896741760595404</v>
      </c>
      <c r="H61" s="1">
        <v>67141.683999999994</v>
      </c>
      <c r="J61" s="36">
        <f t="shared" si="4"/>
        <v>2.0219498863593919</v>
      </c>
      <c r="K61" s="36">
        <f t="shared" si="5"/>
        <v>2.1778029077074414</v>
      </c>
      <c r="L61" s="36">
        <f t="shared" si="6"/>
        <v>3.5278022828944682</v>
      </c>
      <c r="M61" s="36">
        <f t="shared" si="7"/>
        <v>3.1163575202220137</v>
      </c>
    </row>
    <row r="62" spans="1:13" x14ac:dyDescent="0.2">
      <c r="A62">
        <v>61</v>
      </c>
      <c r="B62" s="14" t="s">
        <v>159</v>
      </c>
      <c r="C62" s="5">
        <f t="array" ref="C62">MMULT('MetaData (67) (2018)'!$B$140:$BO$140,TRANSPOSE('Data_Matrix (2018)'!B61:BO61))</f>
        <v>63363413403208</v>
      </c>
      <c r="D62" s="39">
        <f t="array" ref="D62">MMULT('MetaData (40) (2018)'!$B$142:$AO$142,TRANSPOSE('Data_Matrix (2018)'!B61:AO61))</f>
        <v>1.231394005336597</v>
      </c>
      <c r="E62" s="39">
        <f t="array" ref="E62">MMULT('MetaData (2018)'!$B$142:$AA$142,TRANSPOSE('Data_Matrix (2018)'!B61:AA61))</f>
        <v>-0.30358261831832556</v>
      </c>
      <c r="F62" s="39">
        <f t="array" ref="F62">MMULT('MetaData (21) (2018)'!$B$142:$V$142,TRANSPOSE('Data_Matrix (2018)'!B61:V61))</f>
        <v>-0.34352486912595392</v>
      </c>
      <c r="G62" s="32">
        <f>I62/H62*100</f>
        <v>80.302586982010936</v>
      </c>
      <c r="H62" s="1">
        <v>18729.16</v>
      </c>
      <c r="I62" s="1">
        <v>15040</v>
      </c>
      <c r="J62" s="36">
        <f t="shared" si="4"/>
        <v>1.4919481480980314</v>
      </c>
      <c r="K62" s="36">
        <f t="shared" si="5"/>
        <v>1.4146329778897817</v>
      </c>
      <c r="L62" s="36">
        <f t="shared" si="6"/>
        <v>1.8732482893388729</v>
      </c>
      <c r="M62" s="36">
        <f t="shared" si="7"/>
        <v>1.9032520678250582</v>
      </c>
    </row>
    <row r="63" spans="1:13" x14ac:dyDescent="0.2">
      <c r="A63">
        <v>62</v>
      </c>
      <c r="B63" s="14" t="s">
        <v>168</v>
      </c>
      <c r="C63" s="5">
        <f t="array" ref="C63">MMULT('MetaData (67) (2018)'!$B$140:$BO$140,TRANSPOSE('Data_Matrix (2018)'!B62:BO62))</f>
        <v>63363413403169.836</v>
      </c>
      <c r="D63" s="39">
        <f t="array" ref="D63">MMULT('MetaData (40) (2018)'!$B$142:$AO$142,TRANSPOSE('Data_Matrix (2018)'!B62:AO62))</f>
        <v>0.69275053383997431</v>
      </c>
      <c r="E63" s="39">
        <f t="array" ref="E63">MMULT('MetaData (2018)'!$B$142:$AA$142,TRANSPOSE('Data_Matrix (2018)'!B62:AA62))</f>
        <v>-0.55425800378524304</v>
      </c>
      <c r="F63" s="39">
        <f t="array" ref="F63">MMULT('MetaData (21) (2018)'!$B$142:$V$142,TRANSPOSE('Data_Matrix (2018)'!B62:V62))</f>
        <v>-0.42600725700993536</v>
      </c>
      <c r="G63" s="32">
        <f>VLOOKUP(B63,Data_ITU!A:T,20,0)</f>
        <v>46.924338086490501</v>
      </c>
      <c r="H63" s="1">
        <v>98423.597999999998</v>
      </c>
      <c r="J63" s="36">
        <f t="shared" si="4"/>
        <v>0.6190561244421674</v>
      </c>
      <c r="K63" s="36">
        <f t="shared" si="5"/>
        <v>0.70900458381171039</v>
      </c>
      <c r="L63" s="36">
        <f t="shared" si="6"/>
        <v>1.0559171584589395</v>
      </c>
      <c r="M63" s="36">
        <f t="shared" si="7"/>
        <v>0.94099961559097978</v>
      </c>
    </row>
    <row r="64" spans="1:13" x14ac:dyDescent="0.2">
      <c r="A64">
        <v>63</v>
      </c>
      <c r="B64" s="14" t="s">
        <v>161</v>
      </c>
      <c r="C64" s="5">
        <f t="array" ref="C64">MMULT('MetaData (67) (2018)'!$B$140:$BO$140,TRANSPOSE('Data_Matrix (2018)'!B63:BO63))</f>
        <v>63363413403313.812</v>
      </c>
      <c r="D64" s="39">
        <f t="array" ref="D64">MMULT('MetaData (40) (2018)'!$B$142:$AO$142,TRANSPOSE('Data_Matrix (2018)'!B63:AO63))</f>
        <v>0.46360414909199216</v>
      </c>
      <c r="E64" s="39">
        <f t="array" ref="E64">MMULT('MetaData (2018)'!$B$142:$AA$142,TRANSPOSE('Data_Matrix (2018)'!B63:AA63))</f>
        <v>-7.6625279446254357E-3</v>
      </c>
      <c r="F64" s="39">
        <f t="array" ref="F64">MMULT('MetaData (21) (2018)'!$B$142:$V$142,TRANSPOSE('Data_Matrix (2018)'!B63:V63))</f>
        <v>7.7807492253216329E-2</v>
      </c>
      <c r="G64" s="32">
        <f>VLOOKUP(B64,Data_ITU!A:T,20,0)</f>
        <v>74.3871829234822</v>
      </c>
      <c r="H64" s="1">
        <v>60627.290999999997</v>
      </c>
      <c r="J64" s="36">
        <f t="shared" si="4"/>
        <v>0.81090814095029184</v>
      </c>
      <c r="K64" s="36">
        <f t="shared" si="5"/>
        <v>1.530552173709965</v>
      </c>
      <c r="L64" s="36">
        <f t="shared" si="6"/>
        <v>2.0486747349019261</v>
      </c>
      <c r="M64" s="36">
        <f t="shared" si="7"/>
        <v>1.5939415270285624</v>
      </c>
    </row>
    <row r="65" spans="1:13" x14ac:dyDescent="0.2">
      <c r="A65">
        <v>64</v>
      </c>
      <c r="B65" s="14" t="s">
        <v>177</v>
      </c>
      <c r="C65" s="5">
        <f t="array" ref="C65">MMULT('MetaData (67) (2018)'!$B$140:$BO$140,TRANSPOSE('Data_Matrix (2018)'!B64:BO64))</f>
        <v>63363413403375.648</v>
      </c>
      <c r="D65" s="39">
        <f t="array" ref="D65">MMULT('MetaData (40) (2018)'!$B$142:$AO$142,TRANSPOSE('Data_Matrix (2018)'!B64:AO64))</f>
        <v>0.48709617488412027</v>
      </c>
      <c r="E65" s="39">
        <f t="array" ref="E65">MMULT('MetaData (2018)'!$B$142:$AA$142,TRANSPOSE('Data_Matrix (2018)'!B64:AA64))</f>
        <v>-4.235623791424923E-2</v>
      </c>
      <c r="F65" s="39">
        <f t="array" ref="F65">MMULT('MetaData (21) (2018)'!$B$142:$V$142,TRANSPOSE('Data_Matrix (2018)'!B64:V64))</f>
        <v>1.3887789998670991E-2</v>
      </c>
      <c r="G65" s="32">
        <v>93</v>
      </c>
      <c r="H65" s="1">
        <v>44361.15</v>
      </c>
      <c r="J65" s="36">
        <f t="shared" si="4"/>
        <v>1.0356574117624082</v>
      </c>
      <c r="K65" s="36">
        <f t="shared" si="5"/>
        <v>1.8812547137812428</v>
      </c>
      <c r="L65" s="36">
        <f t="shared" si="6"/>
        <v>2.5018393345285386</v>
      </c>
      <c r="M65" s="36">
        <f t="shared" si="7"/>
        <v>1.9734746484730303</v>
      </c>
    </row>
    <row r="66" spans="1:13" x14ac:dyDescent="0.2">
      <c r="A66">
        <v>65</v>
      </c>
      <c r="B66" s="14" t="s">
        <v>178</v>
      </c>
      <c r="C66" s="5">
        <f t="array" ref="C66">MMULT('MetaData (67) (2018)'!$B$140:$BO$140,TRANSPOSE('Data_Matrix (2018)'!B65:BO65))</f>
        <v>63363413403263.477</v>
      </c>
      <c r="D66" s="39">
        <f t="array" ref="D66">MMULT('MetaData (40) (2018)'!$B$142:$AO$142,TRANSPOSE('Data_Matrix (2018)'!B65:AO65))</f>
        <v>0.37546589800836372</v>
      </c>
      <c r="E66" s="39">
        <f t="array" ref="E66">MMULT('MetaData (2018)'!$B$142:$AA$142,TRANSPOSE('Data_Matrix (2018)'!B65:AA65))</f>
        <v>0.46141793317792396</v>
      </c>
      <c r="F66" s="39">
        <f t="array" ref="F66">MMULT('MetaData (21) (2018)'!$B$142:$V$142,TRANSPOSE('Data_Matrix (2018)'!B65:V65))</f>
        <v>-0.61504641947285055</v>
      </c>
      <c r="G66" s="32">
        <f>VLOOKUP(B66,Data_ITU!A:T,20,0)</f>
        <v>71.042761072829194</v>
      </c>
      <c r="H66" s="1">
        <v>82340.088000000003</v>
      </c>
      <c r="J66" s="36">
        <f t="shared" si="4"/>
        <v>0.71183414607272877</v>
      </c>
      <c r="K66" s="36">
        <f t="shared" si="5"/>
        <v>1.7949867919876217</v>
      </c>
      <c r="L66" s="36">
        <f t="shared" si="6"/>
        <v>1.4643444828568162</v>
      </c>
      <c r="M66" s="36">
        <f t="shared" si="7"/>
        <v>1.2178508770048544</v>
      </c>
    </row>
    <row r="67" spans="1:13" x14ac:dyDescent="0.2">
      <c r="A67">
        <v>66</v>
      </c>
      <c r="B67" s="14" t="s">
        <v>184</v>
      </c>
      <c r="C67" s="5">
        <f t="array" ref="C67">MMULT('MetaData (67) (2018)'!$B$140:$BO$140,TRANSPOSE('Data_Matrix (2018)'!B66:BO66))</f>
        <v>63363413403311.367</v>
      </c>
      <c r="D67" s="39">
        <f t="array" ref="D67">MMULT('MetaData (40) (2018)'!$B$142:$AO$142,TRANSPOSE('Data_Matrix (2018)'!B66:AO66))</f>
        <v>2.0921714657879242</v>
      </c>
      <c r="E67" s="39">
        <f t="array" ref="E67">MMULT('MetaData (2018)'!$B$142:$AA$142,TRANSPOSE('Data_Matrix (2018)'!B66:AA66))</f>
        <v>0.28625158056134747</v>
      </c>
      <c r="F67" s="39">
        <f t="array" ref="F67">MMULT('MetaData (21) (2018)'!$B$142:$V$142,TRANSPOSE('Data_Matrix (2018)'!B66:V66))</f>
        <v>0.40750744220578616</v>
      </c>
      <c r="G67" s="32">
        <f>VLOOKUP(B67,Data_ITU!A:T,20,0)</f>
        <v>93.310001848034702</v>
      </c>
      <c r="H67" s="1">
        <v>33702.756000000001</v>
      </c>
      <c r="J67" s="36">
        <f t="shared" si="4"/>
        <v>2.5368054073195392</v>
      </c>
      <c r="K67" s="36">
        <f t="shared" si="5"/>
        <v>2.1941495617025994</v>
      </c>
      <c r="L67" s="36">
        <f t="shared" si="6"/>
        <v>2.8774653534405559</v>
      </c>
      <c r="M67" s="36">
        <f t="shared" ref="M67:M68" si="8">0.5*(J67/$J$70+L67/$L$70)</f>
        <v>3.0691175287799455</v>
      </c>
    </row>
    <row r="68" spans="1:13" x14ac:dyDescent="0.2">
      <c r="A68">
        <v>67</v>
      </c>
      <c r="B68" s="14" t="s">
        <v>189</v>
      </c>
      <c r="C68" s="5">
        <f t="array" ref="C68">MMULT('MetaData (67) (2018)'!$B$140:$BO$140,TRANSPOSE('Data_Matrix (2018)'!B67:BO67))</f>
        <v>63363413403309.359</v>
      </c>
      <c r="D68" s="39">
        <f t="array" ref="D68">MMULT('MetaData (40) (2018)'!$B$142:$AO$142,TRANSPOSE('Data_Matrix (2018)'!B67:AO67))</f>
        <v>0.76499771130351202</v>
      </c>
      <c r="E68" s="39">
        <f t="array" ref="E68">MMULT('MetaData (2018)'!$B$142:$AA$142,TRANSPOSE('Data_Matrix (2018)'!B67:AA67))</f>
        <v>-0.37676736004635031</v>
      </c>
      <c r="F68" s="39">
        <f t="array" ref="F68">MMULT('MetaData (21) (2018)'!$B$142:$V$142,TRANSPOSE('Data_Matrix (2018)'!B67:V67))</f>
        <v>-0.37150976258848933</v>
      </c>
      <c r="G68" s="32">
        <f>VLOOKUP(B68,Data_ITU!A:T,20,0)</f>
        <v>56.817480930145599</v>
      </c>
      <c r="H68" s="1">
        <v>69428.452999999994</v>
      </c>
      <c r="J68" s="36">
        <f t="shared" si="4"/>
        <v>0.790621870126063</v>
      </c>
      <c r="K68" s="36">
        <f t="shared" si="5"/>
        <v>0.95933101182003067</v>
      </c>
      <c r="L68" s="36">
        <f t="shared" si="6"/>
        <v>1.3095021812026111</v>
      </c>
      <c r="M68" s="36">
        <f t="shared" si="8"/>
        <v>1.1805869208685293</v>
      </c>
    </row>
    <row r="69" spans="1:13" x14ac:dyDescent="0.2">
      <c r="H69" s="34"/>
    </row>
    <row r="70" spans="1:13" x14ac:dyDescent="0.2">
      <c r="B70" s="35" t="s">
        <v>1335</v>
      </c>
      <c r="C70" s="5">
        <f>_xlfn.STDEV.P(C3:C68)</f>
        <v>72.180173583935542</v>
      </c>
      <c r="D70" s="39">
        <f>_xlfn.STDEV.P(D3:D68)</f>
        <v>0.99998647581976741</v>
      </c>
      <c r="E70" s="39">
        <f>_xlfn.STDEV.P(E3:E68)</f>
        <v>0.99960981901113088</v>
      </c>
      <c r="F70" s="39">
        <f>_xlfn.STDEV.P(F3:F68)</f>
        <v>0.999733248668908</v>
      </c>
      <c r="J70" s="39">
        <f>_xlfn.STDEV.P(J3:J68)</f>
        <v>0.84172265873421126</v>
      </c>
      <c r="K70" s="39">
        <f>_xlfn.STDEV.P(K3:K68)</f>
        <v>0.86829088796489828</v>
      </c>
      <c r="L70" s="39">
        <f>_xlfn.STDEV.P(L3:L68)</f>
        <v>0.92096298940290244</v>
      </c>
      <c r="M70" s="5">
        <f>_xlfn.STDEV.P(M3:M68)</f>
        <v>0.91658595723437852</v>
      </c>
    </row>
    <row r="71" spans="1:13" ht="15" customHeight="1" x14ac:dyDescent="0.2">
      <c r="B71" s="114" t="s">
        <v>1317</v>
      </c>
      <c r="D71" s="113">
        <f>CORREL($G3:$G68,D3:D68)</f>
        <v>-1.1028330096401601E-2</v>
      </c>
      <c r="E71" s="113">
        <f>CORREL($G3:$G68,E3:E68)</f>
        <v>-4.8541021951046939E-2</v>
      </c>
      <c r="F71" s="113">
        <f>CORREL($G3:$G68,F3:F68)</f>
        <v>6.5999340990104807E-2</v>
      </c>
      <c r="G71" s="110"/>
      <c r="J71" s="113">
        <f>CORREL($G3:$G68,J3:J68)</f>
        <v>0.4532194702864405</v>
      </c>
      <c r="K71" s="113">
        <f>CORREL($G3:$G68,K3:K68)</f>
        <v>0.45419715784913045</v>
      </c>
      <c r="L71" s="113">
        <f>CORREL($G3:$G68,L3:L68)</f>
        <v>0.61143457726881068</v>
      </c>
      <c r="M71" s="110">
        <f>CORREL($G3:$G68,M3:M68)</f>
        <v>0.58077152456472192</v>
      </c>
    </row>
    <row r="72" spans="1:13" x14ac:dyDescent="0.2">
      <c r="B72" s="114"/>
      <c r="D72" s="113"/>
      <c r="E72" s="113"/>
      <c r="F72" s="113"/>
      <c r="G72" s="110"/>
      <c r="J72" s="113"/>
      <c r="K72" s="113"/>
      <c r="L72" s="113"/>
      <c r="M72" s="110"/>
    </row>
  </sheetData>
  <autoFilter ref="A2:M68" xr:uid="{00000000-0009-0000-0000-000003000000}">
    <sortState xmlns:xlrd2="http://schemas.microsoft.com/office/spreadsheetml/2017/richdata2" ref="A3:M68">
      <sortCondition ref="A2:A68"/>
    </sortState>
  </autoFilter>
  <mergeCells count="11">
    <mergeCell ref="B71:B72"/>
    <mergeCell ref="D71:D72"/>
    <mergeCell ref="F71:F72"/>
    <mergeCell ref="J71:J72"/>
    <mergeCell ref="L71:L72"/>
    <mergeCell ref="G71:G72"/>
    <mergeCell ref="M71:M72"/>
    <mergeCell ref="D1:F1"/>
    <mergeCell ref="J1:L1"/>
    <mergeCell ref="E71:E72"/>
    <mergeCell ref="K71:K72"/>
  </mergeCells>
  <conditionalFormatting sqref="B3:B68 B70">
    <cfRule type="colorScale" priority="37">
      <colorScale>
        <cfvo type="min"/>
        <cfvo type="max"/>
        <color rgb="FFFFEF9C"/>
        <color rgb="FF63BE7B"/>
      </colorScale>
    </cfRule>
    <cfRule type="cellIs" dxfId="37" priority="38" operator="equal">
      <formula>#DIV/0!</formula>
    </cfRule>
  </conditionalFormatting>
  <conditionalFormatting sqref="B2">
    <cfRule type="colorScale" priority="35">
      <colorScale>
        <cfvo type="min"/>
        <cfvo type="max"/>
        <color rgb="FFFFEF9C"/>
        <color rgb="FF63BE7B"/>
      </colorScale>
    </cfRule>
    <cfRule type="cellIs" dxfId="36" priority="36" operator="equal">
      <formula>#DIV/0!</formula>
    </cfRule>
  </conditionalFormatting>
  <conditionalFormatting sqref="C2">
    <cfRule type="colorScale" priority="33">
      <colorScale>
        <cfvo type="min"/>
        <cfvo type="max"/>
        <color rgb="FFFFEF9C"/>
        <color rgb="FF63BE7B"/>
      </colorScale>
    </cfRule>
    <cfRule type="cellIs" dxfId="35" priority="34" operator="equal">
      <formula>#DIV/0!</formula>
    </cfRule>
  </conditionalFormatting>
  <conditionalFormatting sqref="D2:F2">
    <cfRule type="colorScale" priority="31">
      <colorScale>
        <cfvo type="min"/>
        <cfvo type="max"/>
        <color rgb="FFFFEF9C"/>
        <color rgb="FF63BE7B"/>
      </colorScale>
    </cfRule>
    <cfRule type="cellIs" dxfId="34" priority="32" operator="equal">
      <formula>#DIV/0!</formula>
    </cfRule>
  </conditionalFormatting>
  <conditionalFormatting sqref="G70">
    <cfRule type="colorScale" priority="27">
      <colorScale>
        <cfvo type="min"/>
        <cfvo type="percentile" val="50"/>
        <cfvo type="max"/>
        <color rgb="FFF8696B"/>
        <color rgb="FFFFEB84"/>
        <color rgb="FF63BE7B"/>
      </colorScale>
    </cfRule>
  </conditionalFormatting>
  <conditionalFormatting sqref="D4:D68">
    <cfRule type="colorScale" priority="41">
      <colorScale>
        <cfvo type="min"/>
        <cfvo type="percentile" val="50"/>
        <cfvo type="max"/>
        <color rgb="FFF8696B"/>
        <color rgb="FFFFEB84"/>
        <color rgb="FF63BE7B"/>
      </colorScale>
    </cfRule>
  </conditionalFormatting>
  <conditionalFormatting sqref="F4:F68">
    <cfRule type="colorScale" priority="43">
      <colorScale>
        <cfvo type="min"/>
        <cfvo type="percentile" val="50"/>
        <cfvo type="max"/>
        <color rgb="FFF8696B"/>
        <color rgb="FFFFEB84"/>
        <color rgb="FF63BE7B"/>
      </colorScale>
    </cfRule>
  </conditionalFormatting>
  <conditionalFormatting sqref="D3:D68">
    <cfRule type="colorScale" priority="25">
      <colorScale>
        <cfvo type="min"/>
        <cfvo type="percentile" val="50"/>
        <cfvo type="max"/>
        <color rgb="FFF8696B"/>
        <color rgb="FFFFEB84"/>
        <color rgb="FF63BE7B"/>
      </colorScale>
    </cfRule>
  </conditionalFormatting>
  <conditionalFormatting sqref="F3:F68">
    <cfRule type="colorScale" priority="24">
      <colorScale>
        <cfvo type="min"/>
        <cfvo type="percentile" val="50"/>
        <cfvo type="max"/>
        <color rgb="FFF8696B"/>
        <color rgb="FFFFEB84"/>
        <color rgb="FF63BE7B"/>
      </colorScale>
    </cfRule>
  </conditionalFormatting>
  <conditionalFormatting sqref="G2">
    <cfRule type="colorScale" priority="22">
      <colorScale>
        <cfvo type="min"/>
        <cfvo type="max"/>
        <color rgb="FFFFEF9C"/>
        <color rgb="FF63BE7B"/>
      </colorScale>
    </cfRule>
    <cfRule type="cellIs" dxfId="33" priority="23" operator="equal">
      <formula>#DIV/0!</formula>
    </cfRule>
  </conditionalFormatting>
  <conditionalFormatting sqref="H2">
    <cfRule type="colorScale" priority="20">
      <colorScale>
        <cfvo type="min"/>
        <cfvo type="max"/>
        <color rgb="FFFFEF9C"/>
        <color rgb="FF63BE7B"/>
      </colorScale>
    </cfRule>
    <cfRule type="cellIs" dxfId="32" priority="21" operator="equal">
      <formula>#DIV/0!</formula>
    </cfRule>
  </conditionalFormatting>
  <conditionalFormatting sqref="I2">
    <cfRule type="colorScale" priority="18">
      <colorScale>
        <cfvo type="min"/>
        <cfvo type="max"/>
        <color rgb="FFFFEF9C"/>
        <color rgb="FF63BE7B"/>
      </colorScale>
    </cfRule>
    <cfRule type="cellIs" dxfId="31" priority="19" operator="equal">
      <formula>#DIV/0!</formula>
    </cfRule>
  </conditionalFormatting>
  <conditionalFormatting sqref="D1">
    <cfRule type="colorScale" priority="16">
      <colorScale>
        <cfvo type="min"/>
        <cfvo type="max"/>
        <color rgb="FFFFEF9C"/>
        <color rgb="FF63BE7B"/>
      </colorScale>
    </cfRule>
    <cfRule type="cellIs" dxfId="30" priority="17" operator="equal">
      <formula>#DIV/0!</formula>
    </cfRule>
  </conditionalFormatting>
  <conditionalFormatting sqref="J2:L2">
    <cfRule type="colorScale" priority="14">
      <colorScale>
        <cfvo type="min"/>
        <cfvo type="max"/>
        <color rgb="FFFFEF9C"/>
        <color rgb="FF63BE7B"/>
      </colorScale>
    </cfRule>
    <cfRule type="cellIs" dxfId="29" priority="15" operator="equal">
      <formula>#DIV/0!</formula>
    </cfRule>
  </conditionalFormatting>
  <conditionalFormatting sqref="J1">
    <cfRule type="colorScale" priority="12">
      <colorScale>
        <cfvo type="min"/>
        <cfvo type="max"/>
        <color rgb="FFFFEF9C"/>
        <color rgb="FF63BE7B"/>
      </colorScale>
    </cfRule>
    <cfRule type="cellIs" dxfId="28" priority="13" operator="equal">
      <formula>#DIV/0!</formula>
    </cfRule>
  </conditionalFormatting>
  <conditionalFormatting sqref="B71">
    <cfRule type="colorScale" priority="8">
      <colorScale>
        <cfvo type="min"/>
        <cfvo type="max"/>
        <color rgb="FFFFEF9C"/>
        <color rgb="FF63BE7B"/>
      </colorScale>
    </cfRule>
    <cfRule type="cellIs" dxfId="27" priority="9" operator="equal">
      <formula>#DIV/0!</formula>
    </cfRule>
  </conditionalFormatting>
  <conditionalFormatting sqref="M2">
    <cfRule type="colorScale" priority="6">
      <colorScale>
        <cfvo type="min"/>
        <cfvo type="max"/>
        <color rgb="FFFFEF9C"/>
        <color rgb="FF63BE7B"/>
      </colorScale>
    </cfRule>
    <cfRule type="cellIs" dxfId="26" priority="7" operator="equal">
      <formula>#DIV/0!</formula>
    </cfRule>
  </conditionalFormatting>
  <conditionalFormatting sqref="M3:M68">
    <cfRule type="colorScale" priority="5">
      <colorScale>
        <cfvo type="min"/>
        <cfvo type="percentile" val="50"/>
        <cfvo type="max"/>
        <color rgb="FFF8696B"/>
        <color rgb="FFFFEB84"/>
        <color rgb="FF63BE7B"/>
      </colorScale>
    </cfRule>
  </conditionalFormatting>
  <conditionalFormatting sqref="E3:E68">
    <cfRule type="colorScale" priority="4">
      <colorScale>
        <cfvo type="min"/>
        <cfvo type="percentile" val="50"/>
        <cfvo type="max"/>
        <color rgb="FFF8696B"/>
        <color rgb="FFFFEB84"/>
        <color rgb="FF63BE7B"/>
      </colorScale>
    </cfRule>
  </conditionalFormatting>
  <conditionalFormatting sqref="J3:J68">
    <cfRule type="colorScale" priority="3">
      <colorScale>
        <cfvo type="min"/>
        <cfvo type="percentile" val="50"/>
        <cfvo type="max"/>
        <color rgb="FFF8696B"/>
        <color rgb="FFFFEB84"/>
        <color rgb="FF63BE7B"/>
      </colorScale>
    </cfRule>
  </conditionalFormatting>
  <conditionalFormatting sqref="K3:K68">
    <cfRule type="colorScale" priority="2">
      <colorScale>
        <cfvo type="min"/>
        <cfvo type="percentile" val="50"/>
        <cfvo type="max"/>
        <color rgb="FFF8696B"/>
        <color rgb="FFFFEB84"/>
        <color rgb="FF63BE7B"/>
      </colorScale>
    </cfRule>
  </conditionalFormatting>
  <conditionalFormatting sqref="L3:L68">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G231"/>
  <sheetViews>
    <sheetView zoomScale="70" zoomScaleNormal="70" workbookViewId="0">
      <selection activeCell="A99" sqref="A99"/>
    </sheetView>
  </sheetViews>
  <sheetFormatPr baseColWidth="10" defaultColWidth="8.83203125" defaultRowHeight="13" x14ac:dyDescent="0.15"/>
  <cols>
    <col min="1" max="1" width="26.33203125" style="18" bestFit="1" customWidth="1"/>
    <col min="2" max="20" width="8.1640625" style="18" customWidth="1"/>
    <col min="21" max="21" width="2.5" style="18" customWidth="1"/>
    <col min="22" max="57" width="15.1640625" style="18" customWidth="1"/>
    <col min="58" max="59" width="10.5" style="18" customWidth="1"/>
    <col min="60" max="256" width="9.1640625" style="18"/>
    <col min="257" max="257" width="26.33203125" style="18" bestFit="1" customWidth="1"/>
    <col min="258" max="276" width="8.1640625" style="18" customWidth="1"/>
    <col min="277" max="277" width="2.5" style="18" customWidth="1"/>
    <col min="278" max="313" width="15.1640625" style="18" customWidth="1"/>
    <col min="314" max="315" width="10.5" style="18" customWidth="1"/>
    <col min="316" max="512" width="9.1640625" style="18"/>
    <col min="513" max="513" width="26.33203125" style="18" bestFit="1" customWidth="1"/>
    <col min="514" max="532" width="8.1640625" style="18" customWidth="1"/>
    <col min="533" max="533" width="2.5" style="18" customWidth="1"/>
    <col min="534" max="569" width="15.1640625" style="18" customWidth="1"/>
    <col min="570" max="571" width="10.5" style="18" customWidth="1"/>
    <col min="572" max="768" width="9.1640625" style="18"/>
    <col min="769" max="769" width="26.33203125" style="18" bestFit="1" customWidth="1"/>
    <col min="770" max="788" width="8.1640625" style="18" customWidth="1"/>
    <col min="789" max="789" width="2.5" style="18" customWidth="1"/>
    <col min="790" max="825" width="15.1640625" style="18" customWidth="1"/>
    <col min="826" max="827" width="10.5" style="18" customWidth="1"/>
    <col min="828" max="1024" width="9.1640625" style="18"/>
    <col min="1025" max="1025" width="26.33203125" style="18" bestFit="1" customWidth="1"/>
    <col min="1026" max="1044" width="8.1640625" style="18" customWidth="1"/>
    <col min="1045" max="1045" width="2.5" style="18" customWidth="1"/>
    <col min="1046" max="1081" width="15.1640625" style="18" customWidth="1"/>
    <col min="1082" max="1083" width="10.5" style="18" customWidth="1"/>
    <col min="1084" max="1280" width="9.1640625" style="18"/>
    <col min="1281" max="1281" width="26.33203125" style="18" bestFit="1" customWidth="1"/>
    <col min="1282" max="1300" width="8.1640625" style="18" customWidth="1"/>
    <col min="1301" max="1301" width="2.5" style="18" customWidth="1"/>
    <col min="1302" max="1337" width="15.1640625" style="18" customWidth="1"/>
    <col min="1338" max="1339" width="10.5" style="18" customWidth="1"/>
    <col min="1340" max="1536" width="9.1640625" style="18"/>
    <col min="1537" max="1537" width="26.33203125" style="18" bestFit="1" customWidth="1"/>
    <col min="1538" max="1556" width="8.1640625" style="18" customWidth="1"/>
    <col min="1557" max="1557" width="2.5" style="18" customWidth="1"/>
    <col min="1558" max="1593" width="15.1640625" style="18" customWidth="1"/>
    <col min="1594" max="1595" width="10.5" style="18" customWidth="1"/>
    <col min="1596" max="1792" width="9.1640625" style="18"/>
    <col min="1793" max="1793" width="26.33203125" style="18" bestFit="1" customWidth="1"/>
    <col min="1794" max="1812" width="8.1640625" style="18" customWidth="1"/>
    <col min="1813" max="1813" width="2.5" style="18" customWidth="1"/>
    <col min="1814" max="1849" width="15.1640625" style="18" customWidth="1"/>
    <col min="1850" max="1851" width="10.5" style="18" customWidth="1"/>
    <col min="1852" max="2048" width="9.1640625" style="18"/>
    <col min="2049" max="2049" width="26.33203125" style="18" bestFit="1" customWidth="1"/>
    <col min="2050" max="2068" width="8.1640625" style="18" customWidth="1"/>
    <col min="2069" max="2069" width="2.5" style="18" customWidth="1"/>
    <col min="2070" max="2105" width="15.1640625" style="18" customWidth="1"/>
    <col min="2106" max="2107" width="10.5" style="18" customWidth="1"/>
    <col min="2108" max="2304" width="9.1640625" style="18"/>
    <col min="2305" max="2305" width="26.33203125" style="18" bestFit="1" customWidth="1"/>
    <col min="2306" max="2324" width="8.1640625" style="18" customWidth="1"/>
    <col min="2325" max="2325" width="2.5" style="18" customWidth="1"/>
    <col min="2326" max="2361" width="15.1640625" style="18" customWidth="1"/>
    <col min="2362" max="2363" width="10.5" style="18" customWidth="1"/>
    <col min="2364" max="2560" width="9.1640625" style="18"/>
    <col min="2561" max="2561" width="26.33203125" style="18" bestFit="1" customWidth="1"/>
    <col min="2562" max="2580" width="8.1640625" style="18" customWidth="1"/>
    <col min="2581" max="2581" width="2.5" style="18" customWidth="1"/>
    <col min="2582" max="2617" width="15.1640625" style="18" customWidth="1"/>
    <col min="2618" max="2619" width="10.5" style="18" customWidth="1"/>
    <col min="2620" max="2816" width="9.1640625" style="18"/>
    <col min="2817" max="2817" width="26.33203125" style="18" bestFit="1" customWidth="1"/>
    <col min="2818" max="2836" width="8.1640625" style="18" customWidth="1"/>
    <col min="2837" max="2837" width="2.5" style="18" customWidth="1"/>
    <col min="2838" max="2873" width="15.1640625" style="18" customWidth="1"/>
    <col min="2874" max="2875" width="10.5" style="18" customWidth="1"/>
    <col min="2876" max="3072" width="9.1640625" style="18"/>
    <col min="3073" max="3073" width="26.33203125" style="18" bestFit="1" customWidth="1"/>
    <col min="3074" max="3092" width="8.1640625" style="18" customWidth="1"/>
    <col min="3093" max="3093" width="2.5" style="18" customWidth="1"/>
    <col min="3094" max="3129" width="15.1640625" style="18" customWidth="1"/>
    <col min="3130" max="3131" width="10.5" style="18" customWidth="1"/>
    <col min="3132" max="3328" width="9.1640625" style="18"/>
    <col min="3329" max="3329" width="26.33203125" style="18" bestFit="1" customWidth="1"/>
    <col min="3330" max="3348" width="8.1640625" style="18" customWidth="1"/>
    <col min="3349" max="3349" width="2.5" style="18" customWidth="1"/>
    <col min="3350" max="3385" width="15.1640625" style="18" customWidth="1"/>
    <col min="3386" max="3387" width="10.5" style="18" customWidth="1"/>
    <col min="3388" max="3584" width="9.1640625" style="18"/>
    <col min="3585" max="3585" width="26.33203125" style="18" bestFit="1" customWidth="1"/>
    <col min="3586" max="3604" width="8.1640625" style="18" customWidth="1"/>
    <col min="3605" max="3605" width="2.5" style="18" customWidth="1"/>
    <col min="3606" max="3641" width="15.1640625" style="18" customWidth="1"/>
    <col min="3642" max="3643" width="10.5" style="18" customWidth="1"/>
    <col min="3644" max="3840" width="9.1640625" style="18"/>
    <col min="3841" max="3841" width="26.33203125" style="18" bestFit="1" customWidth="1"/>
    <col min="3842" max="3860" width="8.1640625" style="18" customWidth="1"/>
    <col min="3861" max="3861" width="2.5" style="18" customWidth="1"/>
    <col min="3862" max="3897" width="15.1640625" style="18" customWidth="1"/>
    <col min="3898" max="3899" width="10.5" style="18" customWidth="1"/>
    <col min="3900" max="4096" width="9.1640625" style="18"/>
    <col min="4097" max="4097" width="26.33203125" style="18" bestFit="1" customWidth="1"/>
    <col min="4098" max="4116" width="8.1640625" style="18" customWidth="1"/>
    <col min="4117" max="4117" width="2.5" style="18" customWidth="1"/>
    <col min="4118" max="4153" width="15.1640625" style="18" customWidth="1"/>
    <col min="4154" max="4155" width="10.5" style="18" customWidth="1"/>
    <col min="4156" max="4352" width="9.1640625" style="18"/>
    <col min="4353" max="4353" width="26.33203125" style="18" bestFit="1" customWidth="1"/>
    <col min="4354" max="4372" width="8.1640625" style="18" customWidth="1"/>
    <col min="4373" max="4373" width="2.5" style="18" customWidth="1"/>
    <col min="4374" max="4409" width="15.1640625" style="18" customWidth="1"/>
    <col min="4410" max="4411" width="10.5" style="18" customWidth="1"/>
    <col min="4412" max="4608" width="9.1640625" style="18"/>
    <col min="4609" max="4609" width="26.33203125" style="18" bestFit="1" customWidth="1"/>
    <col min="4610" max="4628" width="8.1640625" style="18" customWidth="1"/>
    <col min="4629" max="4629" width="2.5" style="18" customWidth="1"/>
    <col min="4630" max="4665" width="15.1640625" style="18" customWidth="1"/>
    <col min="4666" max="4667" width="10.5" style="18" customWidth="1"/>
    <col min="4668" max="4864" width="9.1640625" style="18"/>
    <col min="4865" max="4865" width="26.33203125" style="18" bestFit="1" customWidth="1"/>
    <col min="4866" max="4884" width="8.1640625" style="18" customWidth="1"/>
    <col min="4885" max="4885" width="2.5" style="18" customWidth="1"/>
    <col min="4886" max="4921" width="15.1640625" style="18" customWidth="1"/>
    <col min="4922" max="4923" width="10.5" style="18" customWidth="1"/>
    <col min="4924" max="5120" width="9.1640625" style="18"/>
    <col min="5121" max="5121" width="26.33203125" style="18" bestFit="1" customWidth="1"/>
    <col min="5122" max="5140" width="8.1640625" style="18" customWidth="1"/>
    <col min="5141" max="5141" width="2.5" style="18" customWidth="1"/>
    <col min="5142" max="5177" width="15.1640625" style="18" customWidth="1"/>
    <col min="5178" max="5179" width="10.5" style="18" customWidth="1"/>
    <col min="5180" max="5376" width="9.1640625" style="18"/>
    <col min="5377" max="5377" width="26.33203125" style="18" bestFit="1" customWidth="1"/>
    <col min="5378" max="5396" width="8.1640625" style="18" customWidth="1"/>
    <col min="5397" max="5397" width="2.5" style="18" customWidth="1"/>
    <col min="5398" max="5433" width="15.1640625" style="18" customWidth="1"/>
    <col min="5434" max="5435" width="10.5" style="18" customWidth="1"/>
    <col min="5436" max="5632" width="9.1640625" style="18"/>
    <col min="5633" max="5633" width="26.33203125" style="18" bestFit="1" customWidth="1"/>
    <col min="5634" max="5652" width="8.1640625" style="18" customWidth="1"/>
    <col min="5653" max="5653" width="2.5" style="18" customWidth="1"/>
    <col min="5654" max="5689" width="15.1640625" style="18" customWidth="1"/>
    <col min="5690" max="5691" width="10.5" style="18" customWidth="1"/>
    <col min="5692" max="5888" width="9.1640625" style="18"/>
    <col min="5889" max="5889" width="26.33203125" style="18" bestFit="1" customWidth="1"/>
    <col min="5890" max="5908" width="8.1640625" style="18" customWidth="1"/>
    <col min="5909" max="5909" width="2.5" style="18" customWidth="1"/>
    <col min="5910" max="5945" width="15.1640625" style="18" customWidth="1"/>
    <col min="5946" max="5947" width="10.5" style="18" customWidth="1"/>
    <col min="5948" max="6144" width="9.1640625" style="18"/>
    <col min="6145" max="6145" width="26.33203125" style="18" bestFit="1" customWidth="1"/>
    <col min="6146" max="6164" width="8.1640625" style="18" customWidth="1"/>
    <col min="6165" max="6165" width="2.5" style="18" customWidth="1"/>
    <col min="6166" max="6201" width="15.1640625" style="18" customWidth="1"/>
    <col min="6202" max="6203" width="10.5" style="18" customWidth="1"/>
    <col min="6204" max="6400" width="9.1640625" style="18"/>
    <col min="6401" max="6401" width="26.33203125" style="18" bestFit="1" customWidth="1"/>
    <col min="6402" max="6420" width="8.1640625" style="18" customWidth="1"/>
    <col min="6421" max="6421" width="2.5" style="18" customWidth="1"/>
    <col min="6422" max="6457" width="15.1640625" style="18" customWidth="1"/>
    <col min="6458" max="6459" width="10.5" style="18" customWidth="1"/>
    <col min="6460" max="6656" width="9.1640625" style="18"/>
    <col min="6657" max="6657" width="26.33203125" style="18" bestFit="1" customWidth="1"/>
    <col min="6658" max="6676" width="8.1640625" style="18" customWidth="1"/>
    <col min="6677" max="6677" width="2.5" style="18" customWidth="1"/>
    <col min="6678" max="6713" width="15.1640625" style="18" customWidth="1"/>
    <col min="6714" max="6715" width="10.5" style="18" customWidth="1"/>
    <col min="6716" max="6912" width="9.1640625" style="18"/>
    <col min="6913" max="6913" width="26.33203125" style="18" bestFit="1" customWidth="1"/>
    <col min="6914" max="6932" width="8.1640625" style="18" customWidth="1"/>
    <col min="6933" max="6933" width="2.5" style="18" customWidth="1"/>
    <col min="6934" max="6969" width="15.1640625" style="18" customWidth="1"/>
    <col min="6970" max="6971" width="10.5" style="18" customWidth="1"/>
    <col min="6972" max="7168" width="9.1640625" style="18"/>
    <col min="7169" max="7169" width="26.33203125" style="18" bestFit="1" customWidth="1"/>
    <col min="7170" max="7188" width="8.1640625" style="18" customWidth="1"/>
    <col min="7189" max="7189" width="2.5" style="18" customWidth="1"/>
    <col min="7190" max="7225" width="15.1640625" style="18" customWidth="1"/>
    <col min="7226" max="7227" width="10.5" style="18" customWidth="1"/>
    <col min="7228" max="7424" width="9.1640625" style="18"/>
    <col min="7425" max="7425" width="26.33203125" style="18" bestFit="1" customWidth="1"/>
    <col min="7426" max="7444" width="8.1640625" style="18" customWidth="1"/>
    <col min="7445" max="7445" width="2.5" style="18" customWidth="1"/>
    <col min="7446" max="7481" width="15.1640625" style="18" customWidth="1"/>
    <col min="7482" max="7483" width="10.5" style="18" customWidth="1"/>
    <col min="7484" max="7680" width="9.1640625" style="18"/>
    <col min="7681" max="7681" width="26.33203125" style="18" bestFit="1" customWidth="1"/>
    <col min="7682" max="7700" width="8.1640625" style="18" customWidth="1"/>
    <col min="7701" max="7701" width="2.5" style="18" customWidth="1"/>
    <col min="7702" max="7737" width="15.1640625" style="18" customWidth="1"/>
    <col min="7738" max="7739" width="10.5" style="18" customWidth="1"/>
    <col min="7740" max="7936" width="9.1640625" style="18"/>
    <col min="7937" max="7937" width="26.33203125" style="18" bestFit="1" customWidth="1"/>
    <col min="7938" max="7956" width="8.1640625" style="18" customWidth="1"/>
    <col min="7957" max="7957" width="2.5" style="18" customWidth="1"/>
    <col min="7958" max="7993" width="15.1640625" style="18" customWidth="1"/>
    <col min="7994" max="7995" width="10.5" style="18" customWidth="1"/>
    <col min="7996" max="8192" width="9.1640625" style="18"/>
    <col min="8193" max="8193" width="26.33203125" style="18" bestFit="1" customWidth="1"/>
    <col min="8194" max="8212" width="8.1640625" style="18" customWidth="1"/>
    <col min="8213" max="8213" width="2.5" style="18" customWidth="1"/>
    <col min="8214" max="8249" width="15.1640625" style="18" customWidth="1"/>
    <col min="8250" max="8251" width="10.5" style="18" customWidth="1"/>
    <col min="8252" max="8448" width="9.1640625" style="18"/>
    <col min="8449" max="8449" width="26.33203125" style="18" bestFit="1" customWidth="1"/>
    <col min="8450" max="8468" width="8.1640625" style="18" customWidth="1"/>
    <col min="8469" max="8469" width="2.5" style="18" customWidth="1"/>
    <col min="8470" max="8505" width="15.1640625" style="18" customWidth="1"/>
    <col min="8506" max="8507" width="10.5" style="18" customWidth="1"/>
    <col min="8508" max="8704" width="9.1640625" style="18"/>
    <col min="8705" max="8705" width="26.33203125" style="18" bestFit="1" customWidth="1"/>
    <col min="8706" max="8724" width="8.1640625" style="18" customWidth="1"/>
    <col min="8725" max="8725" width="2.5" style="18" customWidth="1"/>
    <col min="8726" max="8761" width="15.1640625" style="18" customWidth="1"/>
    <col min="8762" max="8763" width="10.5" style="18" customWidth="1"/>
    <col min="8764" max="8960" width="9.1640625" style="18"/>
    <col min="8961" max="8961" width="26.33203125" style="18" bestFit="1" customWidth="1"/>
    <col min="8962" max="8980" width="8.1640625" style="18" customWidth="1"/>
    <col min="8981" max="8981" width="2.5" style="18" customWidth="1"/>
    <col min="8982" max="9017" width="15.1640625" style="18" customWidth="1"/>
    <col min="9018" max="9019" width="10.5" style="18" customWidth="1"/>
    <col min="9020" max="9216" width="9.1640625" style="18"/>
    <col min="9217" max="9217" width="26.33203125" style="18" bestFit="1" customWidth="1"/>
    <col min="9218" max="9236" width="8.1640625" style="18" customWidth="1"/>
    <col min="9237" max="9237" width="2.5" style="18" customWidth="1"/>
    <col min="9238" max="9273" width="15.1640625" style="18" customWidth="1"/>
    <col min="9274" max="9275" width="10.5" style="18" customWidth="1"/>
    <col min="9276" max="9472" width="9.1640625" style="18"/>
    <col min="9473" max="9473" width="26.33203125" style="18" bestFit="1" customWidth="1"/>
    <col min="9474" max="9492" width="8.1640625" style="18" customWidth="1"/>
    <col min="9493" max="9493" width="2.5" style="18" customWidth="1"/>
    <col min="9494" max="9529" width="15.1640625" style="18" customWidth="1"/>
    <col min="9530" max="9531" width="10.5" style="18" customWidth="1"/>
    <col min="9532" max="9728" width="9.1640625" style="18"/>
    <col min="9729" max="9729" width="26.33203125" style="18" bestFit="1" customWidth="1"/>
    <col min="9730" max="9748" width="8.1640625" style="18" customWidth="1"/>
    <col min="9749" max="9749" width="2.5" style="18" customWidth="1"/>
    <col min="9750" max="9785" width="15.1640625" style="18" customWidth="1"/>
    <col min="9786" max="9787" width="10.5" style="18" customWidth="1"/>
    <col min="9788" max="9984" width="9.1640625" style="18"/>
    <col min="9985" max="9985" width="26.33203125" style="18" bestFit="1" customWidth="1"/>
    <col min="9986" max="10004" width="8.1640625" style="18" customWidth="1"/>
    <col min="10005" max="10005" width="2.5" style="18" customWidth="1"/>
    <col min="10006" max="10041" width="15.1640625" style="18" customWidth="1"/>
    <col min="10042" max="10043" width="10.5" style="18" customWidth="1"/>
    <col min="10044" max="10240" width="9.1640625" style="18"/>
    <col min="10241" max="10241" width="26.33203125" style="18" bestFit="1" customWidth="1"/>
    <col min="10242" max="10260" width="8.1640625" style="18" customWidth="1"/>
    <col min="10261" max="10261" width="2.5" style="18" customWidth="1"/>
    <col min="10262" max="10297" width="15.1640625" style="18" customWidth="1"/>
    <col min="10298" max="10299" width="10.5" style="18" customWidth="1"/>
    <col min="10300" max="10496" width="9.1640625" style="18"/>
    <col min="10497" max="10497" width="26.33203125" style="18" bestFit="1" customWidth="1"/>
    <col min="10498" max="10516" width="8.1640625" style="18" customWidth="1"/>
    <col min="10517" max="10517" width="2.5" style="18" customWidth="1"/>
    <col min="10518" max="10553" width="15.1640625" style="18" customWidth="1"/>
    <col min="10554" max="10555" width="10.5" style="18" customWidth="1"/>
    <col min="10556" max="10752" width="9.1640625" style="18"/>
    <col min="10753" max="10753" width="26.33203125" style="18" bestFit="1" customWidth="1"/>
    <col min="10754" max="10772" width="8.1640625" style="18" customWidth="1"/>
    <col min="10773" max="10773" width="2.5" style="18" customWidth="1"/>
    <col min="10774" max="10809" width="15.1640625" style="18" customWidth="1"/>
    <col min="10810" max="10811" width="10.5" style="18" customWidth="1"/>
    <col min="10812" max="11008" width="9.1640625" style="18"/>
    <col min="11009" max="11009" width="26.33203125" style="18" bestFit="1" customWidth="1"/>
    <col min="11010" max="11028" width="8.1640625" style="18" customWidth="1"/>
    <col min="11029" max="11029" width="2.5" style="18" customWidth="1"/>
    <col min="11030" max="11065" width="15.1640625" style="18" customWidth="1"/>
    <col min="11066" max="11067" width="10.5" style="18" customWidth="1"/>
    <col min="11068" max="11264" width="9.1640625" style="18"/>
    <col min="11265" max="11265" width="26.33203125" style="18" bestFit="1" customWidth="1"/>
    <col min="11266" max="11284" width="8.1640625" style="18" customWidth="1"/>
    <col min="11285" max="11285" width="2.5" style="18" customWidth="1"/>
    <col min="11286" max="11321" width="15.1640625" style="18" customWidth="1"/>
    <col min="11322" max="11323" width="10.5" style="18" customWidth="1"/>
    <col min="11324" max="11520" width="9.1640625" style="18"/>
    <col min="11521" max="11521" width="26.33203125" style="18" bestFit="1" customWidth="1"/>
    <col min="11522" max="11540" width="8.1640625" style="18" customWidth="1"/>
    <col min="11541" max="11541" width="2.5" style="18" customWidth="1"/>
    <col min="11542" max="11577" width="15.1640625" style="18" customWidth="1"/>
    <col min="11578" max="11579" width="10.5" style="18" customWidth="1"/>
    <col min="11580" max="11776" width="9.1640625" style="18"/>
    <col min="11777" max="11777" width="26.33203125" style="18" bestFit="1" customWidth="1"/>
    <col min="11778" max="11796" width="8.1640625" style="18" customWidth="1"/>
    <col min="11797" max="11797" width="2.5" style="18" customWidth="1"/>
    <col min="11798" max="11833" width="15.1640625" style="18" customWidth="1"/>
    <col min="11834" max="11835" width="10.5" style="18" customWidth="1"/>
    <col min="11836" max="12032" width="9.1640625" style="18"/>
    <col min="12033" max="12033" width="26.33203125" style="18" bestFit="1" customWidth="1"/>
    <col min="12034" max="12052" width="8.1640625" style="18" customWidth="1"/>
    <col min="12053" max="12053" width="2.5" style="18" customWidth="1"/>
    <col min="12054" max="12089" width="15.1640625" style="18" customWidth="1"/>
    <col min="12090" max="12091" width="10.5" style="18" customWidth="1"/>
    <col min="12092" max="12288" width="9.1640625" style="18"/>
    <col min="12289" max="12289" width="26.33203125" style="18" bestFit="1" customWidth="1"/>
    <col min="12290" max="12308" width="8.1640625" style="18" customWidth="1"/>
    <col min="12309" max="12309" width="2.5" style="18" customWidth="1"/>
    <col min="12310" max="12345" width="15.1640625" style="18" customWidth="1"/>
    <col min="12346" max="12347" width="10.5" style="18" customWidth="1"/>
    <col min="12348" max="12544" width="9.1640625" style="18"/>
    <col min="12545" max="12545" width="26.33203125" style="18" bestFit="1" customWidth="1"/>
    <col min="12546" max="12564" width="8.1640625" style="18" customWidth="1"/>
    <col min="12565" max="12565" width="2.5" style="18" customWidth="1"/>
    <col min="12566" max="12601" width="15.1640625" style="18" customWidth="1"/>
    <col min="12602" max="12603" width="10.5" style="18" customWidth="1"/>
    <col min="12604" max="12800" width="9.1640625" style="18"/>
    <col min="12801" max="12801" width="26.33203125" style="18" bestFit="1" customWidth="1"/>
    <col min="12802" max="12820" width="8.1640625" style="18" customWidth="1"/>
    <col min="12821" max="12821" width="2.5" style="18" customWidth="1"/>
    <col min="12822" max="12857" width="15.1640625" style="18" customWidth="1"/>
    <col min="12858" max="12859" width="10.5" style="18" customWidth="1"/>
    <col min="12860" max="13056" width="9.1640625" style="18"/>
    <col min="13057" max="13057" width="26.33203125" style="18" bestFit="1" customWidth="1"/>
    <col min="13058" max="13076" width="8.1640625" style="18" customWidth="1"/>
    <col min="13077" max="13077" width="2.5" style="18" customWidth="1"/>
    <col min="13078" max="13113" width="15.1640625" style="18" customWidth="1"/>
    <col min="13114" max="13115" width="10.5" style="18" customWidth="1"/>
    <col min="13116" max="13312" width="9.1640625" style="18"/>
    <col min="13313" max="13313" width="26.33203125" style="18" bestFit="1" customWidth="1"/>
    <col min="13314" max="13332" width="8.1640625" style="18" customWidth="1"/>
    <col min="13333" max="13333" width="2.5" style="18" customWidth="1"/>
    <col min="13334" max="13369" width="15.1640625" style="18" customWidth="1"/>
    <col min="13370" max="13371" width="10.5" style="18" customWidth="1"/>
    <col min="13372" max="13568" width="9.1640625" style="18"/>
    <col min="13569" max="13569" width="26.33203125" style="18" bestFit="1" customWidth="1"/>
    <col min="13570" max="13588" width="8.1640625" style="18" customWidth="1"/>
    <col min="13589" max="13589" width="2.5" style="18" customWidth="1"/>
    <col min="13590" max="13625" width="15.1640625" style="18" customWidth="1"/>
    <col min="13626" max="13627" width="10.5" style="18" customWidth="1"/>
    <col min="13628" max="13824" width="9.1640625" style="18"/>
    <col min="13825" max="13825" width="26.33203125" style="18" bestFit="1" customWidth="1"/>
    <col min="13826" max="13844" width="8.1640625" style="18" customWidth="1"/>
    <col min="13845" max="13845" width="2.5" style="18" customWidth="1"/>
    <col min="13846" max="13881" width="15.1640625" style="18" customWidth="1"/>
    <col min="13882" max="13883" width="10.5" style="18" customWidth="1"/>
    <col min="13884" max="14080" width="9.1640625" style="18"/>
    <col min="14081" max="14081" width="26.33203125" style="18" bestFit="1" customWidth="1"/>
    <col min="14082" max="14100" width="8.1640625" style="18" customWidth="1"/>
    <col min="14101" max="14101" width="2.5" style="18" customWidth="1"/>
    <col min="14102" max="14137" width="15.1640625" style="18" customWidth="1"/>
    <col min="14138" max="14139" width="10.5" style="18" customWidth="1"/>
    <col min="14140" max="14336" width="9.1640625" style="18"/>
    <col min="14337" max="14337" width="26.33203125" style="18" bestFit="1" customWidth="1"/>
    <col min="14338" max="14356" width="8.1640625" style="18" customWidth="1"/>
    <col min="14357" max="14357" width="2.5" style="18" customWidth="1"/>
    <col min="14358" max="14393" width="15.1640625" style="18" customWidth="1"/>
    <col min="14394" max="14395" width="10.5" style="18" customWidth="1"/>
    <col min="14396" max="14592" width="9.1640625" style="18"/>
    <col min="14593" max="14593" width="26.33203125" style="18" bestFit="1" customWidth="1"/>
    <col min="14594" max="14612" width="8.1640625" style="18" customWidth="1"/>
    <col min="14613" max="14613" width="2.5" style="18" customWidth="1"/>
    <col min="14614" max="14649" width="15.1640625" style="18" customWidth="1"/>
    <col min="14650" max="14651" width="10.5" style="18" customWidth="1"/>
    <col min="14652" max="14848" width="9.1640625" style="18"/>
    <col min="14849" max="14849" width="26.33203125" style="18" bestFit="1" customWidth="1"/>
    <col min="14850" max="14868" width="8.1640625" style="18" customWidth="1"/>
    <col min="14869" max="14869" width="2.5" style="18" customWidth="1"/>
    <col min="14870" max="14905" width="15.1640625" style="18" customWidth="1"/>
    <col min="14906" max="14907" width="10.5" style="18" customWidth="1"/>
    <col min="14908" max="15104" width="9.1640625" style="18"/>
    <col min="15105" max="15105" width="26.33203125" style="18" bestFit="1" customWidth="1"/>
    <col min="15106" max="15124" width="8.1640625" style="18" customWidth="1"/>
    <col min="15125" max="15125" width="2.5" style="18" customWidth="1"/>
    <col min="15126" max="15161" width="15.1640625" style="18" customWidth="1"/>
    <col min="15162" max="15163" width="10.5" style="18" customWidth="1"/>
    <col min="15164" max="15360" width="9.1640625" style="18"/>
    <col min="15361" max="15361" width="26.33203125" style="18" bestFit="1" customWidth="1"/>
    <col min="15362" max="15380" width="8.1640625" style="18" customWidth="1"/>
    <col min="15381" max="15381" width="2.5" style="18" customWidth="1"/>
    <col min="15382" max="15417" width="15.1640625" style="18" customWidth="1"/>
    <col min="15418" max="15419" width="10.5" style="18" customWidth="1"/>
    <col min="15420" max="15616" width="9.1640625" style="18"/>
    <col min="15617" max="15617" width="26.33203125" style="18" bestFit="1" customWidth="1"/>
    <col min="15618" max="15636" width="8.1640625" style="18" customWidth="1"/>
    <col min="15637" max="15637" width="2.5" style="18" customWidth="1"/>
    <col min="15638" max="15673" width="15.1640625" style="18" customWidth="1"/>
    <col min="15674" max="15675" width="10.5" style="18" customWidth="1"/>
    <col min="15676" max="15872" width="9.1640625" style="18"/>
    <col min="15873" max="15873" width="26.33203125" style="18" bestFit="1" customWidth="1"/>
    <col min="15874" max="15892" width="8.1640625" style="18" customWidth="1"/>
    <col min="15893" max="15893" width="2.5" style="18" customWidth="1"/>
    <col min="15894" max="15929" width="15.1640625" style="18" customWidth="1"/>
    <col min="15930" max="15931" width="10.5" style="18" customWidth="1"/>
    <col min="15932" max="16128" width="9.1640625" style="18"/>
    <col min="16129" max="16129" width="26.33203125" style="18" bestFit="1" customWidth="1"/>
    <col min="16130" max="16148" width="8.1640625" style="18" customWidth="1"/>
    <col min="16149" max="16149" width="2.5" style="18" customWidth="1"/>
    <col min="16150" max="16185" width="15.1640625" style="18" customWidth="1"/>
    <col min="16186" max="16187" width="10.5" style="18" customWidth="1"/>
    <col min="16188" max="16384" width="9.1640625" style="18"/>
  </cols>
  <sheetData>
    <row r="1" spans="1:59" ht="21" customHeight="1" x14ac:dyDescent="0.15">
      <c r="A1" s="115"/>
      <c r="B1" s="117" t="s">
        <v>349</v>
      </c>
      <c r="C1" s="118"/>
      <c r="D1" s="118"/>
      <c r="E1" s="118"/>
      <c r="F1" s="118"/>
      <c r="G1" s="118"/>
      <c r="H1" s="118"/>
      <c r="I1" s="118"/>
      <c r="J1" s="118"/>
      <c r="K1" s="118"/>
      <c r="L1" s="118"/>
      <c r="M1" s="118"/>
      <c r="N1" s="118"/>
      <c r="O1" s="118"/>
      <c r="P1" s="118"/>
      <c r="Q1" s="118"/>
      <c r="R1" s="118"/>
      <c r="S1" s="118"/>
      <c r="T1" s="16"/>
      <c r="U1" s="17"/>
      <c r="V1" s="117" t="s">
        <v>350</v>
      </c>
      <c r="W1" s="118"/>
      <c r="X1" s="118"/>
      <c r="Y1" s="118"/>
      <c r="Z1" s="118"/>
      <c r="AA1" s="118"/>
      <c r="AB1" s="118"/>
      <c r="AC1" s="118"/>
      <c r="AD1" s="118"/>
      <c r="AE1" s="118"/>
      <c r="AF1" s="118"/>
      <c r="AG1" s="118"/>
      <c r="AH1" s="118"/>
      <c r="AI1" s="118"/>
      <c r="AJ1" s="118"/>
      <c r="AK1" s="118"/>
      <c r="AL1" s="118"/>
      <c r="AM1" s="118"/>
      <c r="AN1" s="118"/>
      <c r="AO1" s="118"/>
      <c r="AP1" s="118"/>
      <c r="AQ1" s="118"/>
      <c r="AR1" s="118"/>
      <c r="AS1" s="118"/>
      <c r="AT1" s="118"/>
      <c r="AU1" s="118"/>
      <c r="AV1" s="118"/>
      <c r="AW1" s="118"/>
      <c r="AX1" s="118"/>
      <c r="AY1" s="118"/>
      <c r="AZ1" s="118"/>
      <c r="BA1" s="118"/>
      <c r="BB1" s="118"/>
      <c r="BC1" s="118"/>
      <c r="BD1" s="118"/>
      <c r="BE1" s="118"/>
    </row>
    <row r="2" spans="1:59" ht="32" x14ac:dyDescent="0.15">
      <c r="A2" s="116"/>
      <c r="B2" s="19">
        <v>2000</v>
      </c>
      <c r="C2" s="19">
        <v>2001</v>
      </c>
      <c r="D2" s="19">
        <v>2002</v>
      </c>
      <c r="E2" s="19">
        <v>2003</v>
      </c>
      <c r="F2" s="19">
        <v>2004</v>
      </c>
      <c r="G2" s="19">
        <v>2005</v>
      </c>
      <c r="H2" s="19">
        <v>2006</v>
      </c>
      <c r="I2" s="19">
        <v>2007</v>
      </c>
      <c r="J2" s="19">
        <v>2008</v>
      </c>
      <c r="K2" s="19">
        <v>2009</v>
      </c>
      <c r="L2" s="19">
        <v>2010</v>
      </c>
      <c r="M2" s="19">
        <v>2011</v>
      </c>
      <c r="N2" s="19">
        <v>2012</v>
      </c>
      <c r="O2" s="19">
        <v>2013</v>
      </c>
      <c r="P2" s="19">
        <v>2014</v>
      </c>
      <c r="Q2" s="19">
        <v>2015</v>
      </c>
      <c r="R2" s="19">
        <v>2016</v>
      </c>
      <c r="S2" s="19">
        <v>2017</v>
      </c>
      <c r="T2" s="19">
        <v>2018</v>
      </c>
      <c r="U2" s="20"/>
      <c r="V2" s="21" t="s">
        <v>351</v>
      </c>
      <c r="W2" s="21" t="s">
        <v>352</v>
      </c>
      <c r="X2" s="22" t="s">
        <v>353</v>
      </c>
      <c r="Y2" s="22" t="s">
        <v>354</v>
      </c>
      <c r="Z2" s="22" t="s">
        <v>355</v>
      </c>
      <c r="AA2" s="22" t="s">
        <v>356</v>
      </c>
      <c r="AB2" s="22" t="s">
        <v>357</v>
      </c>
      <c r="AC2" s="22" t="s">
        <v>358</v>
      </c>
      <c r="AD2" s="22" t="s">
        <v>359</v>
      </c>
      <c r="AE2" s="22" t="s">
        <v>360</v>
      </c>
      <c r="AF2" s="22" t="s">
        <v>361</v>
      </c>
      <c r="AG2" s="22" t="s">
        <v>362</v>
      </c>
      <c r="AH2" s="22" t="s">
        <v>363</v>
      </c>
      <c r="AI2" s="22" t="s">
        <v>364</v>
      </c>
      <c r="AJ2" s="22" t="s">
        <v>365</v>
      </c>
      <c r="AK2" s="22" t="s">
        <v>366</v>
      </c>
      <c r="AL2" s="22" t="s">
        <v>367</v>
      </c>
      <c r="AM2" s="22" t="s">
        <v>368</v>
      </c>
      <c r="AN2" s="22" t="s">
        <v>369</v>
      </c>
      <c r="AO2" s="22" t="s">
        <v>370</v>
      </c>
      <c r="AP2" s="22" t="s">
        <v>371</v>
      </c>
      <c r="AQ2" s="22" t="s">
        <v>372</v>
      </c>
      <c r="AR2" s="22" t="s">
        <v>373</v>
      </c>
      <c r="AS2" s="22" t="s">
        <v>374</v>
      </c>
      <c r="AT2" s="22" t="s">
        <v>375</v>
      </c>
      <c r="AU2" s="22" t="s">
        <v>376</v>
      </c>
      <c r="AV2" s="22" t="s">
        <v>377</v>
      </c>
      <c r="AW2" s="22" t="s">
        <v>378</v>
      </c>
      <c r="AX2" s="22" t="s">
        <v>379</v>
      </c>
      <c r="AY2" s="22" t="s">
        <v>380</v>
      </c>
      <c r="AZ2" s="22" t="s">
        <v>381</v>
      </c>
      <c r="BA2" s="22" t="s">
        <v>382</v>
      </c>
      <c r="BB2" s="22" t="s">
        <v>383</v>
      </c>
      <c r="BC2" s="22" t="s">
        <v>384</v>
      </c>
      <c r="BD2" s="22" t="s">
        <v>385</v>
      </c>
      <c r="BE2" s="22" t="s">
        <v>386</v>
      </c>
      <c r="BF2" s="22" t="s">
        <v>387</v>
      </c>
      <c r="BG2" s="22" t="s">
        <v>388</v>
      </c>
    </row>
    <row r="3" spans="1:59" ht="25.5" customHeight="1" x14ac:dyDescent="0.15">
      <c r="A3" s="23" t="s">
        <v>82</v>
      </c>
      <c r="B3" s="24"/>
      <c r="C3" s="24">
        <v>4.7225682421736803E-3</v>
      </c>
      <c r="D3" s="24">
        <v>4.5613951702214604E-3</v>
      </c>
      <c r="E3" s="24">
        <v>8.7891252855971297E-2</v>
      </c>
      <c r="F3" s="24">
        <v>0.105809030021958</v>
      </c>
      <c r="G3" s="24">
        <v>1.2241480837247101</v>
      </c>
      <c r="H3" s="24">
        <v>2.10712364546412</v>
      </c>
      <c r="I3" s="24">
        <v>1.9</v>
      </c>
      <c r="J3" s="24">
        <v>1.84</v>
      </c>
      <c r="K3" s="24">
        <v>3.55</v>
      </c>
      <c r="L3" s="24">
        <v>4</v>
      </c>
      <c r="M3" s="24">
        <v>5</v>
      </c>
      <c r="N3" s="24">
        <v>5.4545454545454497</v>
      </c>
      <c r="O3" s="24">
        <v>5.9</v>
      </c>
      <c r="P3" s="24">
        <v>7</v>
      </c>
      <c r="Q3" s="24">
        <v>8.26</v>
      </c>
      <c r="R3" s="24">
        <v>11.2</v>
      </c>
      <c r="S3" s="24">
        <v>13.5</v>
      </c>
      <c r="T3" s="24"/>
      <c r="U3" s="25">
        <v>10.595726418660099</v>
      </c>
      <c r="V3" s="26"/>
      <c r="W3" s="26"/>
      <c r="X3" s="26"/>
      <c r="Y3" s="26" t="s">
        <v>389</v>
      </c>
      <c r="Z3" s="26"/>
      <c r="AA3" s="26" t="s">
        <v>390</v>
      </c>
      <c r="AB3" s="26"/>
      <c r="AC3" s="26" t="s">
        <v>390</v>
      </c>
      <c r="AD3" s="26"/>
      <c r="AE3" s="26" t="s">
        <v>390</v>
      </c>
      <c r="AF3" s="26"/>
      <c r="AG3" s="26" t="s">
        <v>390</v>
      </c>
      <c r="AH3" s="26"/>
      <c r="AI3" s="26" t="s">
        <v>390</v>
      </c>
      <c r="AJ3" s="26"/>
      <c r="AK3" s="26" t="s">
        <v>391</v>
      </c>
      <c r="AL3" s="26"/>
      <c r="AM3" s="26" t="s">
        <v>392</v>
      </c>
      <c r="AN3" s="26"/>
      <c r="AO3" s="26" t="s">
        <v>392</v>
      </c>
      <c r="AP3" s="26"/>
      <c r="AQ3" s="26" t="s">
        <v>393</v>
      </c>
      <c r="AR3" s="26"/>
      <c r="AS3" s="26" t="s">
        <v>393</v>
      </c>
      <c r="AT3" s="26"/>
      <c r="AU3" s="26" t="s">
        <v>389</v>
      </c>
      <c r="AV3" s="26"/>
      <c r="AW3" s="26" t="s">
        <v>389</v>
      </c>
      <c r="AX3" s="26"/>
      <c r="AY3" s="26" t="s">
        <v>389</v>
      </c>
      <c r="AZ3" s="26"/>
      <c r="BA3" s="26" t="s">
        <v>389</v>
      </c>
      <c r="BB3" s="26" t="s">
        <v>394</v>
      </c>
      <c r="BC3" s="26" t="s">
        <v>395</v>
      </c>
      <c r="BD3" s="26" t="s">
        <v>394</v>
      </c>
      <c r="BE3" s="26" t="s">
        <v>395</v>
      </c>
      <c r="BF3" s="26"/>
      <c r="BG3" s="26"/>
    </row>
    <row r="4" spans="1:59" ht="25.5" customHeight="1" x14ac:dyDescent="0.15">
      <c r="A4" s="23" t="s">
        <v>58</v>
      </c>
      <c r="B4" s="24">
        <v>0.114097346552109</v>
      </c>
      <c r="C4" s="24">
        <v>0.325798377067964</v>
      </c>
      <c r="D4" s="24">
        <v>0.39008127343332</v>
      </c>
      <c r="E4" s="24">
        <v>0.97190041519585701</v>
      </c>
      <c r="F4" s="24">
        <v>2.42038779776014</v>
      </c>
      <c r="G4" s="24">
        <v>6.0438908640481399</v>
      </c>
      <c r="H4" s="24">
        <v>9.6099913157711807</v>
      </c>
      <c r="I4" s="24">
        <v>15.0361154084109</v>
      </c>
      <c r="J4" s="24">
        <v>23.86</v>
      </c>
      <c r="K4" s="24">
        <v>41.2</v>
      </c>
      <c r="L4" s="24">
        <v>45</v>
      </c>
      <c r="M4" s="24">
        <v>49</v>
      </c>
      <c r="N4" s="24">
        <v>54.655959039949401</v>
      </c>
      <c r="O4" s="24">
        <v>57.2</v>
      </c>
      <c r="P4" s="24">
        <v>60.1</v>
      </c>
      <c r="Q4" s="24">
        <v>63.252932696930998</v>
      </c>
      <c r="R4" s="24">
        <v>66.363444701022999</v>
      </c>
      <c r="S4" s="24">
        <v>71.847040504384395</v>
      </c>
      <c r="T4" s="24"/>
      <c r="U4" s="25">
        <v>10.595726418660099</v>
      </c>
      <c r="V4" s="26"/>
      <c r="W4" s="26" t="s">
        <v>396</v>
      </c>
      <c r="X4" s="26"/>
      <c r="Y4" s="26" t="s">
        <v>396</v>
      </c>
      <c r="Z4" s="26"/>
      <c r="AA4" s="26" t="s">
        <v>396</v>
      </c>
      <c r="AB4" s="26"/>
      <c r="AC4" s="26" t="s">
        <v>397</v>
      </c>
      <c r="AD4" s="26"/>
      <c r="AE4" s="26" t="s">
        <v>397</v>
      </c>
      <c r="AF4" s="26"/>
      <c r="AG4" s="26" t="s">
        <v>397</v>
      </c>
      <c r="AH4" s="26"/>
      <c r="AI4" s="26" t="s">
        <v>393</v>
      </c>
      <c r="AJ4" s="26"/>
      <c r="AK4" s="26" t="s">
        <v>389</v>
      </c>
      <c r="AL4" s="26"/>
      <c r="AM4" s="26" t="s">
        <v>398</v>
      </c>
      <c r="AN4" s="26"/>
      <c r="AO4" s="26" t="s">
        <v>398</v>
      </c>
      <c r="AP4" s="26"/>
      <c r="AQ4" s="26" t="s">
        <v>398</v>
      </c>
      <c r="AR4" s="26"/>
      <c r="AS4" s="26" t="s">
        <v>389</v>
      </c>
      <c r="AT4" s="26"/>
      <c r="AU4" s="26" t="s">
        <v>389</v>
      </c>
      <c r="AV4" s="26"/>
      <c r="AW4" s="26" t="s">
        <v>389</v>
      </c>
      <c r="AX4" s="26"/>
      <c r="AY4" s="26" t="s">
        <v>389</v>
      </c>
      <c r="AZ4" s="26"/>
      <c r="BA4" s="26" t="s">
        <v>389</v>
      </c>
      <c r="BB4" s="26"/>
      <c r="BC4" s="26" t="s">
        <v>389</v>
      </c>
      <c r="BD4" s="26"/>
      <c r="BE4" s="26" t="s">
        <v>389</v>
      </c>
      <c r="BF4" s="26"/>
      <c r="BG4" s="26"/>
    </row>
    <row r="5" spans="1:59" ht="25.5" customHeight="1" x14ac:dyDescent="0.15">
      <c r="A5" s="23" t="s">
        <v>134</v>
      </c>
      <c r="B5" s="24">
        <v>0.49170567914158902</v>
      </c>
      <c r="C5" s="24">
        <v>0.64611401670379198</v>
      </c>
      <c r="D5" s="24">
        <v>1.5916412603583201</v>
      </c>
      <c r="E5" s="24">
        <v>2.1953597308614401</v>
      </c>
      <c r="F5" s="24">
        <v>4.6344750877653702</v>
      </c>
      <c r="G5" s="24">
        <v>5.8439420920125604</v>
      </c>
      <c r="H5" s="24">
        <v>7.3759849563488604</v>
      </c>
      <c r="I5" s="24">
        <v>9.4511906255530391</v>
      </c>
      <c r="J5" s="24">
        <v>10.18</v>
      </c>
      <c r="K5" s="24">
        <v>11.23</v>
      </c>
      <c r="L5" s="24">
        <v>12.5</v>
      </c>
      <c r="M5" s="24">
        <v>14.9</v>
      </c>
      <c r="N5" s="24">
        <v>18.2</v>
      </c>
      <c r="O5" s="24">
        <v>22.5</v>
      </c>
      <c r="P5" s="24">
        <v>29.5</v>
      </c>
      <c r="Q5" s="24">
        <v>38.200000000000003</v>
      </c>
      <c r="R5" s="24">
        <v>42.945526880033199</v>
      </c>
      <c r="S5" s="24">
        <v>47.691055148554803</v>
      </c>
      <c r="T5" s="24">
        <v>59.5796847635727</v>
      </c>
      <c r="U5" s="25">
        <v>10.595726418660099</v>
      </c>
      <c r="V5" s="26"/>
      <c r="W5" s="26"/>
      <c r="X5" s="26"/>
      <c r="Y5" s="26"/>
      <c r="Z5" s="26"/>
      <c r="AA5" s="26"/>
      <c r="AB5" s="26"/>
      <c r="AC5" s="26"/>
      <c r="AD5" s="26"/>
      <c r="AE5" s="26"/>
      <c r="AF5" s="26"/>
      <c r="AG5" s="26"/>
      <c r="AH5" s="26"/>
      <c r="AI5" s="26" t="s">
        <v>399</v>
      </c>
      <c r="AJ5" s="26"/>
      <c r="AK5" s="26" t="s">
        <v>399</v>
      </c>
      <c r="AL5" s="26"/>
      <c r="AM5" s="26" t="s">
        <v>400</v>
      </c>
      <c r="AN5" s="26"/>
      <c r="AO5" s="26" t="s">
        <v>400</v>
      </c>
      <c r="AP5" s="26"/>
      <c r="AQ5" s="26" t="s">
        <v>400</v>
      </c>
      <c r="AR5" s="26"/>
      <c r="AS5" s="26" t="s">
        <v>393</v>
      </c>
      <c r="AT5" s="26"/>
      <c r="AU5" s="26" t="s">
        <v>389</v>
      </c>
      <c r="AV5" s="26"/>
      <c r="AW5" s="26" t="s">
        <v>389</v>
      </c>
      <c r="AX5" s="26"/>
      <c r="AY5" s="26" t="s">
        <v>389</v>
      </c>
      <c r="AZ5" s="26"/>
      <c r="BA5" s="26" t="s">
        <v>389</v>
      </c>
      <c r="BB5" s="26"/>
      <c r="BC5" s="26" t="s">
        <v>401</v>
      </c>
      <c r="BD5" s="26"/>
      <c r="BE5" s="26" t="s">
        <v>389</v>
      </c>
      <c r="BF5" s="26"/>
      <c r="BG5" s="26" t="s">
        <v>402</v>
      </c>
    </row>
    <row r="6" spans="1:59" ht="25.5" customHeight="1" x14ac:dyDescent="0.15">
      <c r="A6" s="23" t="s">
        <v>229</v>
      </c>
      <c r="B6" s="27"/>
      <c r="C6" s="27"/>
      <c r="D6" s="27"/>
      <c r="E6" s="27"/>
      <c r="F6" s="27"/>
      <c r="G6" s="27"/>
      <c r="H6" s="27"/>
      <c r="I6" s="27"/>
      <c r="J6" s="27"/>
      <c r="K6" s="27"/>
      <c r="L6" s="27"/>
      <c r="M6" s="27"/>
      <c r="N6" s="27"/>
      <c r="O6" s="27"/>
      <c r="P6" s="27"/>
      <c r="Q6" s="27"/>
      <c r="R6" s="27"/>
      <c r="S6" s="27"/>
      <c r="T6" s="27"/>
      <c r="U6" s="25">
        <v>10.595726418660099</v>
      </c>
      <c r="V6" s="26"/>
      <c r="W6" s="26"/>
      <c r="X6" s="26"/>
      <c r="Y6" s="26"/>
      <c r="Z6" s="26"/>
      <c r="AA6" s="26"/>
      <c r="AB6" s="26"/>
      <c r="AC6" s="26"/>
      <c r="AD6" s="26"/>
      <c r="AE6" s="26"/>
      <c r="AF6" s="26"/>
      <c r="AG6" s="26"/>
      <c r="AH6" s="26"/>
      <c r="AI6" s="26"/>
      <c r="AJ6" s="26"/>
      <c r="AK6" s="26"/>
      <c r="AL6" s="26"/>
      <c r="AM6" s="26"/>
      <c r="AN6" s="26"/>
      <c r="AO6" s="26"/>
      <c r="AP6" s="26"/>
      <c r="AQ6" s="26"/>
      <c r="AR6" s="26"/>
      <c r="AS6" s="26"/>
      <c r="AT6" s="26"/>
      <c r="AU6" s="26"/>
      <c r="AV6" s="26"/>
      <c r="AW6" s="26"/>
      <c r="AX6" s="26"/>
      <c r="AY6" s="26"/>
      <c r="AZ6" s="26"/>
      <c r="BA6" s="26"/>
      <c r="BB6" s="26"/>
      <c r="BC6" s="26"/>
      <c r="BD6" s="26"/>
      <c r="BE6" s="26"/>
      <c r="BF6" s="26"/>
      <c r="BG6" s="26"/>
    </row>
    <row r="7" spans="1:59" ht="25.5" customHeight="1" x14ac:dyDescent="0.15">
      <c r="A7" s="23" t="s">
        <v>114</v>
      </c>
      <c r="B7" s="24">
        <v>10.53883560922</v>
      </c>
      <c r="C7" s="24"/>
      <c r="D7" s="24">
        <v>11.260468717010299</v>
      </c>
      <c r="E7" s="24">
        <v>13.546412876439</v>
      </c>
      <c r="F7" s="24">
        <v>26.8379543894637</v>
      </c>
      <c r="G7" s="24">
        <v>37.605766217486703</v>
      </c>
      <c r="H7" s="24">
        <v>48.9368469989479</v>
      </c>
      <c r="I7" s="24">
        <v>70.87</v>
      </c>
      <c r="J7" s="24">
        <v>70.040000000000006</v>
      </c>
      <c r="K7" s="24">
        <v>78.53</v>
      </c>
      <c r="L7" s="24">
        <v>81</v>
      </c>
      <c r="M7" s="24">
        <v>81</v>
      </c>
      <c r="N7" s="24">
        <v>86.434424616725806</v>
      </c>
      <c r="O7" s="24">
        <v>94</v>
      </c>
      <c r="P7" s="24">
        <v>95.9</v>
      </c>
      <c r="Q7" s="24">
        <v>96.91</v>
      </c>
      <c r="R7" s="24">
        <v>97.930637122002096</v>
      </c>
      <c r="S7" s="24">
        <v>91.567467027392595</v>
      </c>
      <c r="T7" s="24"/>
      <c r="U7" s="25">
        <v>10.595726418660099</v>
      </c>
      <c r="V7" s="26"/>
      <c r="W7" s="26" t="s">
        <v>403</v>
      </c>
      <c r="X7" s="26"/>
      <c r="Y7" s="26"/>
      <c r="Z7" s="26"/>
      <c r="AA7" s="26" t="s">
        <v>403</v>
      </c>
      <c r="AB7" s="26"/>
      <c r="AC7" s="26" t="s">
        <v>403</v>
      </c>
      <c r="AD7" s="26"/>
      <c r="AE7" s="26" t="s">
        <v>403</v>
      </c>
      <c r="AF7" s="26"/>
      <c r="AG7" s="26" t="s">
        <v>403</v>
      </c>
      <c r="AH7" s="26"/>
      <c r="AI7" s="26" t="s">
        <v>403</v>
      </c>
      <c r="AJ7" s="26"/>
      <c r="AK7" s="26" t="s">
        <v>404</v>
      </c>
      <c r="AL7" s="26"/>
      <c r="AM7" s="26" t="s">
        <v>404</v>
      </c>
      <c r="AN7" s="26"/>
      <c r="AO7" s="26" t="s">
        <v>404</v>
      </c>
      <c r="AP7" s="26"/>
      <c r="AQ7" s="26" t="s">
        <v>405</v>
      </c>
      <c r="AR7" s="26"/>
      <c r="AS7" s="26" t="s">
        <v>405</v>
      </c>
      <c r="AT7" s="26"/>
      <c r="AU7" s="26" t="s">
        <v>389</v>
      </c>
      <c r="AV7" s="26"/>
      <c r="AW7" s="26" t="s">
        <v>389</v>
      </c>
      <c r="AX7" s="26"/>
      <c r="AY7" s="26" t="s">
        <v>389</v>
      </c>
      <c r="AZ7" s="26"/>
      <c r="BA7" s="26" t="s">
        <v>389</v>
      </c>
      <c r="BB7" s="26"/>
      <c r="BC7" s="26" t="s">
        <v>401</v>
      </c>
      <c r="BD7" s="26"/>
      <c r="BE7" s="26" t="s">
        <v>406</v>
      </c>
      <c r="BF7" s="26"/>
      <c r="BG7" s="26"/>
    </row>
    <row r="8" spans="1:59" ht="25.5" customHeight="1" x14ac:dyDescent="0.15">
      <c r="A8" s="23" t="s">
        <v>45</v>
      </c>
      <c r="B8" s="24">
        <v>0.105045562462262</v>
      </c>
      <c r="C8" s="24">
        <v>0.13601386742986801</v>
      </c>
      <c r="D8" s="24">
        <v>0.27037674559513403</v>
      </c>
      <c r="E8" s="24">
        <v>0.370682065225727</v>
      </c>
      <c r="F8" s="24">
        <v>0.46481461798590901</v>
      </c>
      <c r="G8" s="24">
        <v>1.1433668265595001</v>
      </c>
      <c r="H8" s="24">
        <v>1.5</v>
      </c>
      <c r="I8" s="24">
        <v>1.7</v>
      </c>
      <c r="J8" s="24">
        <v>1.9</v>
      </c>
      <c r="K8" s="24">
        <v>2.2999999999999998</v>
      </c>
      <c r="L8" s="24">
        <v>2.8</v>
      </c>
      <c r="M8" s="24">
        <v>3.1</v>
      </c>
      <c r="N8" s="24">
        <v>6.5</v>
      </c>
      <c r="O8" s="24">
        <v>8.9</v>
      </c>
      <c r="P8" s="24">
        <v>10.199999999999999</v>
      </c>
      <c r="Q8" s="24">
        <v>12.4</v>
      </c>
      <c r="R8" s="24">
        <v>13</v>
      </c>
      <c r="S8" s="24">
        <v>14.339079364379399</v>
      </c>
      <c r="T8" s="24"/>
      <c r="U8" s="25">
        <v>10.595726418660099</v>
      </c>
      <c r="V8" s="26"/>
      <c r="W8" s="26"/>
      <c r="X8" s="26"/>
      <c r="Y8" s="26"/>
      <c r="Z8" s="26"/>
      <c r="AA8" s="26"/>
      <c r="AB8" s="26"/>
      <c r="AC8" s="26"/>
      <c r="AD8" s="26"/>
      <c r="AE8" s="26"/>
      <c r="AF8" s="26"/>
      <c r="AG8" s="26"/>
      <c r="AH8" s="26"/>
      <c r="AI8" s="26"/>
      <c r="AJ8" s="26"/>
      <c r="AK8" s="26" t="s">
        <v>389</v>
      </c>
      <c r="AL8" s="26"/>
      <c r="AM8" s="26" t="s">
        <v>389</v>
      </c>
      <c r="AN8" s="26"/>
      <c r="AO8" s="26" t="s">
        <v>389</v>
      </c>
      <c r="AP8" s="26"/>
      <c r="AQ8" s="26" t="s">
        <v>389</v>
      </c>
      <c r="AR8" s="26"/>
      <c r="AS8" s="26" t="s">
        <v>389</v>
      </c>
      <c r="AT8" s="26"/>
      <c r="AU8" s="26" t="s">
        <v>389</v>
      </c>
      <c r="AV8" s="26"/>
      <c r="AW8" s="26" t="s">
        <v>389</v>
      </c>
      <c r="AX8" s="26" t="s">
        <v>407</v>
      </c>
      <c r="AY8" s="26" t="s">
        <v>408</v>
      </c>
      <c r="AZ8" s="26"/>
      <c r="BA8" s="26" t="s">
        <v>401</v>
      </c>
      <c r="BB8" s="26"/>
      <c r="BC8" s="26" t="s">
        <v>401</v>
      </c>
      <c r="BD8" s="26"/>
      <c r="BE8" s="26" t="s">
        <v>389</v>
      </c>
      <c r="BF8" s="26"/>
      <c r="BG8" s="26"/>
    </row>
    <row r="9" spans="1:59" ht="25.5" customHeight="1" x14ac:dyDescent="0.15">
      <c r="A9" s="23" t="s">
        <v>231</v>
      </c>
      <c r="B9" s="24">
        <v>22.405449005198101</v>
      </c>
      <c r="C9" s="24">
        <v>25.884383088869701</v>
      </c>
      <c r="D9" s="24">
        <v>24.803637866887101</v>
      </c>
      <c r="E9" s="24">
        <v>24.523376315164899</v>
      </c>
      <c r="F9" s="24">
        <v>25.043636639599299</v>
      </c>
      <c r="G9" s="24">
        <v>29</v>
      </c>
      <c r="H9" s="24">
        <v>36</v>
      </c>
      <c r="I9" s="24">
        <v>41</v>
      </c>
      <c r="J9" s="24">
        <v>44</v>
      </c>
      <c r="K9" s="24">
        <v>48</v>
      </c>
      <c r="L9" s="24">
        <v>49.6</v>
      </c>
      <c r="M9" s="24">
        <v>53.64</v>
      </c>
      <c r="N9" s="24">
        <v>59.2149831732415</v>
      </c>
      <c r="O9" s="24">
        <v>64.8</v>
      </c>
      <c r="P9" s="24">
        <v>70.39</v>
      </c>
      <c r="Q9" s="24">
        <v>75.979999963374993</v>
      </c>
      <c r="R9" s="24">
        <v>81.569999926091</v>
      </c>
      <c r="S9" s="24"/>
      <c r="T9" s="24"/>
      <c r="U9" s="25">
        <v>10.595726418660099</v>
      </c>
      <c r="V9" s="26"/>
      <c r="W9" s="26"/>
      <c r="X9" s="26"/>
      <c r="Y9" s="26"/>
      <c r="Z9" s="26"/>
      <c r="AA9" s="26"/>
      <c r="AB9" s="26"/>
      <c r="AC9" s="26" t="s">
        <v>389</v>
      </c>
      <c r="AD9" s="26"/>
      <c r="AE9" s="26" t="s">
        <v>389</v>
      </c>
      <c r="AF9" s="26"/>
      <c r="AG9" s="26" t="s">
        <v>389</v>
      </c>
      <c r="AH9" s="26"/>
      <c r="AI9" s="26" t="s">
        <v>389</v>
      </c>
      <c r="AJ9" s="26"/>
      <c r="AK9" s="26" t="s">
        <v>389</v>
      </c>
      <c r="AL9" s="26"/>
      <c r="AM9" s="26" t="s">
        <v>389</v>
      </c>
      <c r="AN9" s="26"/>
      <c r="AO9" s="26" t="s">
        <v>389</v>
      </c>
      <c r="AP9" s="26"/>
      <c r="AQ9" s="26" t="s">
        <v>389</v>
      </c>
      <c r="AR9" s="26"/>
      <c r="AS9" s="26" t="s">
        <v>389</v>
      </c>
      <c r="AT9" s="26"/>
      <c r="AU9" s="26" t="s">
        <v>389</v>
      </c>
      <c r="AV9" s="26"/>
      <c r="AW9" s="26" t="s">
        <v>389</v>
      </c>
      <c r="AX9" s="26"/>
      <c r="AY9" s="26" t="s">
        <v>389</v>
      </c>
      <c r="AZ9" s="26"/>
      <c r="BA9" s="26" t="s">
        <v>389</v>
      </c>
      <c r="BB9" s="26"/>
      <c r="BC9" s="26" t="s">
        <v>401</v>
      </c>
      <c r="BD9" s="26"/>
      <c r="BE9" s="26"/>
      <c r="BF9" s="26"/>
      <c r="BG9" s="26"/>
    </row>
    <row r="10" spans="1:59" ht="25.5" customHeight="1" x14ac:dyDescent="0.15">
      <c r="A10" s="23" t="s">
        <v>409</v>
      </c>
      <c r="B10" s="24">
        <v>6.4822257370290703</v>
      </c>
      <c r="C10" s="24">
        <v>8.8992855145058307</v>
      </c>
      <c r="D10" s="24">
        <v>12.5</v>
      </c>
      <c r="E10" s="24">
        <v>17.228648781688399</v>
      </c>
      <c r="F10" s="24">
        <v>24.2665437161785</v>
      </c>
      <c r="G10" s="24">
        <v>27</v>
      </c>
      <c r="H10" s="24">
        <v>30</v>
      </c>
      <c r="I10" s="24">
        <v>34</v>
      </c>
      <c r="J10" s="24">
        <v>38</v>
      </c>
      <c r="K10" s="24">
        <v>42</v>
      </c>
      <c r="L10" s="24">
        <v>47</v>
      </c>
      <c r="M10" s="24">
        <v>52</v>
      </c>
      <c r="N10" s="24">
        <v>58</v>
      </c>
      <c r="O10" s="24">
        <v>63.4</v>
      </c>
      <c r="P10" s="24">
        <v>67.78</v>
      </c>
      <c r="Q10" s="24">
        <v>70</v>
      </c>
      <c r="R10" s="24">
        <v>73</v>
      </c>
      <c r="S10" s="24">
        <v>76</v>
      </c>
      <c r="T10" s="24"/>
      <c r="U10" s="25">
        <v>10.595726418660099</v>
      </c>
      <c r="V10" s="26"/>
      <c r="W10" s="26" t="s">
        <v>410</v>
      </c>
      <c r="X10" s="26"/>
      <c r="Y10" s="26" t="s">
        <v>389</v>
      </c>
      <c r="Z10" s="26"/>
      <c r="AA10" s="26" t="s">
        <v>410</v>
      </c>
      <c r="AB10" s="26"/>
      <c r="AC10" s="26" t="s">
        <v>389</v>
      </c>
      <c r="AD10" s="26"/>
      <c r="AE10" s="26" t="s">
        <v>410</v>
      </c>
      <c r="AF10" s="26"/>
      <c r="AG10" s="26" t="s">
        <v>389</v>
      </c>
      <c r="AH10" s="26"/>
      <c r="AI10" s="26" t="s">
        <v>389</v>
      </c>
      <c r="AJ10" s="26"/>
      <c r="AK10" s="26" t="s">
        <v>389</v>
      </c>
      <c r="AL10" s="26"/>
      <c r="AM10" s="26" t="s">
        <v>389</v>
      </c>
      <c r="AN10" s="26"/>
      <c r="AO10" s="26" t="s">
        <v>389</v>
      </c>
      <c r="AP10" s="26"/>
      <c r="AQ10" s="26" t="s">
        <v>389</v>
      </c>
      <c r="AR10" s="26" t="s">
        <v>411</v>
      </c>
      <c r="AS10" s="26" t="s">
        <v>412</v>
      </c>
      <c r="AT10" s="26"/>
      <c r="AU10" s="26" t="s">
        <v>389</v>
      </c>
      <c r="AV10" s="26"/>
      <c r="AW10" s="26" t="s">
        <v>389</v>
      </c>
      <c r="AX10" s="26"/>
      <c r="AY10" s="26" t="s">
        <v>389</v>
      </c>
      <c r="AZ10" s="26"/>
      <c r="BA10" s="26" t="s">
        <v>389</v>
      </c>
      <c r="BB10" s="26"/>
      <c r="BC10" s="26" t="s">
        <v>389</v>
      </c>
      <c r="BD10" s="26"/>
      <c r="BE10" s="26"/>
      <c r="BF10" s="26"/>
      <c r="BG10" s="26"/>
    </row>
    <row r="11" spans="1:59" ht="25.5" customHeight="1" x14ac:dyDescent="0.15">
      <c r="A11" s="23" t="s">
        <v>177</v>
      </c>
      <c r="B11" s="24">
        <v>7.0386830862177998</v>
      </c>
      <c r="C11" s="24">
        <v>9.7808072853240695</v>
      </c>
      <c r="D11" s="24">
        <v>10.882124377532501</v>
      </c>
      <c r="E11" s="24">
        <v>11.9136965509954</v>
      </c>
      <c r="F11" s="24">
        <v>16.036684105492299</v>
      </c>
      <c r="G11" s="24">
        <v>17.720583369606501</v>
      </c>
      <c r="H11" s="24">
        <v>20.9272021035896</v>
      </c>
      <c r="I11" s="24">
        <v>25.9466329403819</v>
      </c>
      <c r="J11" s="24">
        <v>28.112623479990699</v>
      </c>
      <c r="K11" s="24">
        <v>34</v>
      </c>
      <c r="L11" s="24">
        <v>45</v>
      </c>
      <c r="M11" s="24">
        <v>51</v>
      </c>
      <c r="N11" s="24">
        <v>55.8</v>
      </c>
      <c r="O11" s="24">
        <v>59.9</v>
      </c>
      <c r="P11" s="24">
        <v>64.7</v>
      </c>
      <c r="Q11" s="24">
        <v>68.043064108812203</v>
      </c>
      <c r="R11" s="24">
        <v>70.968980819999999</v>
      </c>
      <c r="S11" s="24">
        <v>74.294906870000005</v>
      </c>
      <c r="T11" s="24"/>
      <c r="U11" s="25">
        <v>10.595726418660099</v>
      </c>
      <c r="V11" s="26"/>
      <c r="W11" s="26" t="s">
        <v>413</v>
      </c>
      <c r="X11" s="26"/>
      <c r="Y11" s="26" t="s">
        <v>413</v>
      </c>
      <c r="Z11" s="26"/>
      <c r="AA11" s="26" t="s">
        <v>413</v>
      </c>
      <c r="AB11" s="26"/>
      <c r="AC11" s="26" t="s">
        <v>413</v>
      </c>
      <c r="AD11" s="26"/>
      <c r="AE11" s="26" t="s">
        <v>413</v>
      </c>
      <c r="AF11" s="26"/>
      <c r="AG11" s="26" t="s">
        <v>413</v>
      </c>
      <c r="AH11" s="26"/>
      <c r="AI11" s="26" t="s">
        <v>413</v>
      </c>
      <c r="AJ11" s="26"/>
      <c r="AK11" s="26" t="s">
        <v>413</v>
      </c>
      <c r="AL11" s="26"/>
      <c r="AM11" s="26" t="s">
        <v>413</v>
      </c>
      <c r="AN11" s="26"/>
      <c r="AO11" s="26" t="s">
        <v>414</v>
      </c>
      <c r="AP11" s="26"/>
      <c r="AQ11" s="26" t="s">
        <v>389</v>
      </c>
      <c r="AR11" s="26" t="s">
        <v>415</v>
      </c>
      <c r="AS11" s="26" t="s">
        <v>416</v>
      </c>
      <c r="AT11" s="26"/>
      <c r="AU11" s="26" t="s">
        <v>389</v>
      </c>
      <c r="AV11" s="26"/>
      <c r="AW11" s="26" t="s">
        <v>389</v>
      </c>
      <c r="AX11" s="26"/>
      <c r="AY11" s="26" t="s">
        <v>389</v>
      </c>
      <c r="AZ11" s="26"/>
      <c r="BA11" s="26" t="s">
        <v>417</v>
      </c>
      <c r="BB11" s="26"/>
      <c r="BC11" s="26" t="s">
        <v>418</v>
      </c>
      <c r="BD11" s="26"/>
      <c r="BE11" s="26" t="s">
        <v>418</v>
      </c>
      <c r="BF11" s="26"/>
      <c r="BG11" s="26"/>
    </row>
    <row r="12" spans="1:59" ht="25.5" customHeight="1" x14ac:dyDescent="0.15">
      <c r="A12" s="23" t="s">
        <v>51</v>
      </c>
      <c r="B12" s="24">
        <v>1.30047002237784</v>
      </c>
      <c r="C12" s="24">
        <v>1.63109466677715</v>
      </c>
      <c r="D12" s="24">
        <v>1.9604050458211999</v>
      </c>
      <c r="E12" s="24">
        <v>4.57521722477781</v>
      </c>
      <c r="F12" s="24">
        <v>4.8990085713053997</v>
      </c>
      <c r="G12" s="24">
        <v>5.25298335195804</v>
      </c>
      <c r="H12" s="24">
        <v>5.6317877773160898</v>
      </c>
      <c r="I12" s="24">
        <v>6.0212533971260704</v>
      </c>
      <c r="J12" s="24">
        <v>6.21</v>
      </c>
      <c r="K12" s="24">
        <v>15.3</v>
      </c>
      <c r="L12" s="24">
        <v>25</v>
      </c>
      <c r="M12" s="24">
        <v>32</v>
      </c>
      <c r="N12" s="24">
        <v>37.5</v>
      </c>
      <c r="O12" s="24">
        <v>41.9</v>
      </c>
      <c r="P12" s="24">
        <v>54.6228058583362</v>
      </c>
      <c r="Q12" s="24">
        <v>59.102377714878898</v>
      </c>
      <c r="R12" s="24">
        <v>64.346029770000001</v>
      </c>
      <c r="S12" s="24">
        <v>64.744884325072604</v>
      </c>
      <c r="T12" s="24"/>
      <c r="U12" s="25">
        <v>10.595726418660099</v>
      </c>
      <c r="V12" s="26"/>
      <c r="W12" s="26"/>
      <c r="X12" s="26"/>
      <c r="Y12" s="26"/>
      <c r="Z12" s="26"/>
      <c r="AA12" s="26"/>
      <c r="AB12" s="26"/>
      <c r="AC12" s="26"/>
      <c r="AD12" s="26"/>
      <c r="AE12" s="26"/>
      <c r="AF12" s="26"/>
      <c r="AG12" s="26"/>
      <c r="AH12" s="26"/>
      <c r="AI12" s="26"/>
      <c r="AJ12" s="26"/>
      <c r="AK12" s="26" t="s">
        <v>389</v>
      </c>
      <c r="AL12" s="26"/>
      <c r="AM12" s="26" t="s">
        <v>419</v>
      </c>
      <c r="AN12" s="26"/>
      <c r="AO12" s="26" t="s">
        <v>389</v>
      </c>
      <c r="AP12" s="26"/>
      <c r="AQ12" s="26" t="s">
        <v>389</v>
      </c>
      <c r="AR12" s="26"/>
      <c r="AS12" s="26" t="s">
        <v>389</v>
      </c>
      <c r="AT12" s="26"/>
      <c r="AU12" s="26" t="s">
        <v>389</v>
      </c>
      <c r="AV12" s="26" t="s">
        <v>420</v>
      </c>
      <c r="AW12" s="26" t="s">
        <v>421</v>
      </c>
      <c r="AX12" s="26" t="s">
        <v>422</v>
      </c>
      <c r="AY12" s="26" t="s">
        <v>421</v>
      </c>
      <c r="AZ12" s="26"/>
      <c r="BA12" s="26" t="s">
        <v>389</v>
      </c>
      <c r="BB12" s="26"/>
      <c r="BC12" s="26" t="s">
        <v>421</v>
      </c>
      <c r="BD12" s="26"/>
      <c r="BE12" s="26" t="s">
        <v>423</v>
      </c>
      <c r="BF12" s="26"/>
      <c r="BG12" s="26"/>
    </row>
    <row r="13" spans="1:59" ht="25.5" customHeight="1" x14ac:dyDescent="0.15">
      <c r="A13" s="23" t="s">
        <v>212</v>
      </c>
      <c r="B13" s="24">
        <v>15.4428229480349</v>
      </c>
      <c r="C13" s="24">
        <v>17.100000000000001</v>
      </c>
      <c r="D13" s="24">
        <v>18.8</v>
      </c>
      <c r="E13" s="24">
        <v>20.8</v>
      </c>
      <c r="F13" s="24">
        <v>23</v>
      </c>
      <c r="G13" s="24">
        <v>25.4</v>
      </c>
      <c r="H13" s="24">
        <v>28</v>
      </c>
      <c r="I13" s="24">
        <v>30.9</v>
      </c>
      <c r="J13" s="24">
        <v>52</v>
      </c>
      <c r="K13" s="24">
        <v>58</v>
      </c>
      <c r="L13" s="24">
        <v>62</v>
      </c>
      <c r="M13" s="24">
        <v>69</v>
      </c>
      <c r="N13" s="24">
        <v>74</v>
      </c>
      <c r="O13" s="24">
        <v>78.900000000000006</v>
      </c>
      <c r="P13" s="24">
        <v>83.78</v>
      </c>
      <c r="Q13" s="24">
        <v>88.661226932496007</v>
      </c>
      <c r="R13" s="24">
        <v>93.542453865048003</v>
      </c>
      <c r="S13" s="24">
        <v>97.17</v>
      </c>
      <c r="T13" s="24"/>
      <c r="U13" s="25">
        <v>10.595726418660099</v>
      </c>
      <c r="V13" s="26"/>
      <c r="W13" s="26" t="s">
        <v>424</v>
      </c>
      <c r="X13" s="26"/>
      <c r="Y13" s="26" t="s">
        <v>389</v>
      </c>
      <c r="Z13" s="26"/>
      <c r="AA13" s="26" t="s">
        <v>389</v>
      </c>
      <c r="AB13" s="26"/>
      <c r="AC13" s="26" t="s">
        <v>389</v>
      </c>
      <c r="AD13" s="26"/>
      <c r="AE13" s="26" t="s">
        <v>389</v>
      </c>
      <c r="AF13" s="26"/>
      <c r="AG13" s="26" t="s">
        <v>389</v>
      </c>
      <c r="AH13" s="26"/>
      <c r="AI13" s="26" t="s">
        <v>389</v>
      </c>
      <c r="AJ13" s="26"/>
      <c r="AK13" s="26" t="s">
        <v>389</v>
      </c>
      <c r="AL13" s="26"/>
      <c r="AM13" s="26" t="s">
        <v>389</v>
      </c>
      <c r="AN13" s="26"/>
      <c r="AO13" s="26" t="s">
        <v>389</v>
      </c>
      <c r="AP13" s="26"/>
      <c r="AQ13" s="26" t="s">
        <v>389</v>
      </c>
      <c r="AR13" s="26"/>
      <c r="AS13" s="26" t="s">
        <v>389</v>
      </c>
      <c r="AT13" s="26"/>
      <c r="AU13" s="26" t="s">
        <v>389</v>
      </c>
      <c r="AV13" s="26"/>
      <c r="AW13" s="26" t="s">
        <v>389</v>
      </c>
      <c r="AX13" s="26"/>
      <c r="AY13" s="26" t="s">
        <v>389</v>
      </c>
      <c r="AZ13" s="26"/>
      <c r="BA13" s="26" t="s">
        <v>389</v>
      </c>
      <c r="BB13" s="26"/>
      <c r="BC13" s="26" t="s">
        <v>401</v>
      </c>
      <c r="BD13" s="26"/>
      <c r="BE13" s="26" t="s">
        <v>389</v>
      </c>
      <c r="BF13" s="26"/>
      <c r="BG13" s="26"/>
    </row>
    <row r="14" spans="1:59" ht="25.5" customHeight="1" x14ac:dyDescent="0.15">
      <c r="A14" s="23" t="s">
        <v>425</v>
      </c>
      <c r="B14" s="24">
        <v>34.937888198757797</v>
      </c>
      <c r="C14" s="24">
        <v>38.167938931297698</v>
      </c>
      <c r="D14" s="24"/>
      <c r="E14" s="24"/>
      <c r="F14" s="24"/>
      <c r="G14" s="24"/>
      <c r="H14" s="24"/>
      <c r="I14" s="24">
        <v>33</v>
      </c>
      <c r="J14" s="24">
        <v>33</v>
      </c>
      <c r="K14" s="24">
        <v>33</v>
      </c>
      <c r="L14" s="24">
        <v>35</v>
      </c>
      <c r="M14" s="24">
        <v>36</v>
      </c>
      <c r="N14" s="24">
        <v>41.03</v>
      </c>
      <c r="O14" s="24"/>
      <c r="P14" s="24"/>
      <c r="Q14" s="24"/>
      <c r="R14" s="24"/>
      <c r="S14" s="24"/>
      <c r="T14" s="24"/>
      <c r="U14" s="25">
        <v>10.595726418660099</v>
      </c>
      <c r="V14" s="26"/>
      <c r="W14" s="26" t="s">
        <v>426</v>
      </c>
      <c r="X14" s="26" t="s">
        <v>427</v>
      </c>
      <c r="Y14" s="26" t="s">
        <v>426</v>
      </c>
      <c r="Z14" s="26"/>
      <c r="AA14" s="26"/>
      <c r="AB14" s="26"/>
      <c r="AC14" s="26"/>
      <c r="AD14" s="26"/>
      <c r="AE14" s="26"/>
      <c r="AF14" s="26"/>
      <c r="AG14" s="26"/>
      <c r="AH14" s="26"/>
      <c r="AI14" s="26"/>
      <c r="AJ14" s="26"/>
      <c r="AK14" s="26" t="s">
        <v>428</v>
      </c>
      <c r="AL14" s="26"/>
      <c r="AM14" s="26" t="s">
        <v>428</v>
      </c>
      <c r="AN14" s="26"/>
      <c r="AO14" s="26" t="s">
        <v>428</v>
      </c>
      <c r="AP14" s="26"/>
      <c r="AQ14" s="26" t="s">
        <v>429</v>
      </c>
      <c r="AR14" s="26"/>
      <c r="AS14" s="26" t="s">
        <v>429</v>
      </c>
      <c r="AT14" s="26"/>
      <c r="AU14" s="26" t="s">
        <v>389</v>
      </c>
      <c r="AV14" s="26"/>
      <c r="AW14" s="26"/>
      <c r="AX14" s="26"/>
      <c r="AY14" s="26"/>
      <c r="AZ14" s="26"/>
      <c r="BA14" s="26"/>
      <c r="BB14" s="26"/>
      <c r="BC14" s="26"/>
      <c r="BD14" s="26"/>
      <c r="BE14" s="26"/>
      <c r="BF14" s="26"/>
      <c r="BG14" s="26"/>
    </row>
    <row r="15" spans="1:59" ht="25.5" customHeight="1" x14ac:dyDescent="0.15">
      <c r="A15" s="23" t="s">
        <v>145</v>
      </c>
      <c r="B15" s="24">
        <v>46.756115611673799</v>
      </c>
      <c r="C15" s="24">
        <v>52.689266431039499</v>
      </c>
      <c r="D15" s="24"/>
      <c r="E15" s="24"/>
      <c r="F15" s="24"/>
      <c r="G15" s="24">
        <v>63</v>
      </c>
      <c r="H15" s="24">
        <v>66</v>
      </c>
      <c r="I15" s="24">
        <v>69.45</v>
      </c>
      <c r="J15" s="24">
        <v>71.67</v>
      </c>
      <c r="K15" s="24">
        <v>74.25</v>
      </c>
      <c r="L15" s="24">
        <v>76</v>
      </c>
      <c r="M15" s="24">
        <v>79.487697713902904</v>
      </c>
      <c r="N15" s="24">
        <v>79</v>
      </c>
      <c r="O15" s="24">
        <v>83.453497166999995</v>
      </c>
      <c r="P15" s="24">
        <v>84</v>
      </c>
      <c r="Q15" s="24">
        <v>84.560519347398994</v>
      </c>
      <c r="R15" s="24">
        <v>86.54</v>
      </c>
      <c r="S15" s="24">
        <v>86.545048850000001</v>
      </c>
      <c r="T15" s="24"/>
      <c r="U15" s="25">
        <v>10.595726418660099</v>
      </c>
      <c r="V15" s="26"/>
      <c r="W15" s="26" t="s">
        <v>430</v>
      </c>
      <c r="X15" s="26"/>
      <c r="Y15" s="26" t="s">
        <v>389</v>
      </c>
      <c r="Z15" s="26"/>
      <c r="AA15" s="26"/>
      <c r="AB15" s="26"/>
      <c r="AC15" s="26"/>
      <c r="AD15" s="26"/>
      <c r="AE15" s="26"/>
      <c r="AF15" s="26" t="s">
        <v>431</v>
      </c>
      <c r="AG15" s="26" t="s">
        <v>432</v>
      </c>
      <c r="AH15" s="26" t="s">
        <v>431</v>
      </c>
      <c r="AI15" s="26" t="s">
        <v>433</v>
      </c>
      <c r="AJ15" s="26" t="s">
        <v>431</v>
      </c>
      <c r="AK15" s="26" t="s">
        <v>432</v>
      </c>
      <c r="AL15" s="26" t="s">
        <v>431</v>
      </c>
      <c r="AM15" s="26" t="s">
        <v>432</v>
      </c>
      <c r="AN15" s="26" t="s">
        <v>431</v>
      </c>
      <c r="AO15" s="26" t="s">
        <v>432</v>
      </c>
      <c r="AP15" s="26"/>
      <c r="AQ15" s="26" t="s">
        <v>389</v>
      </c>
      <c r="AR15" s="26" t="s">
        <v>434</v>
      </c>
      <c r="AS15" s="26" t="s">
        <v>435</v>
      </c>
      <c r="AT15" s="26" t="s">
        <v>436</v>
      </c>
      <c r="AU15" s="26" t="s">
        <v>435</v>
      </c>
      <c r="AV15" s="26" t="s">
        <v>431</v>
      </c>
      <c r="AW15" s="26" t="s">
        <v>435</v>
      </c>
      <c r="AX15" s="26"/>
      <c r="AY15" s="26" t="s">
        <v>389</v>
      </c>
      <c r="AZ15" s="26" t="s">
        <v>431</v>
      </c>
      <c r="BA15" s="26" t="s">
        <v>435</v>
      </c>
      <c r="BB15" s="26"/>
      <c r="BC15" s="26" t="s">
        <v>437</v>
      </c>
      <c r="BD15" s="26" t="s">
        <v>438</v>
      </c>
      <c r="BE15" s="26" t="s">
        <v>435</v>
      </c>
      <c r="BF15" s="26"/>
      <c r="BG15" s="26"/>
    </row>
    <row r="16" spans="1:59" ht="25.5" customHeight="1" x14ac:dyDescent="0.15">
      <c r="A16" s="23" t="s">
        <v>81</v>
      </c>
      <c r="B16" s="24">
        <v>33.730132951691502</v>
      </c>
      <c r="C16" s="24">
        <v>39.185450181111399</v>
      </c>
      <c r="D16" s="24">
        <v>36.56</v>
      </c>
      <c r="E16" s="24">
        <v>42.7</v>
      </c>
      <c r="F16" s="24">
        <v>54.28</v>
      </c>
      <c r="G16" s="24">
        <v>58</v>
      </c>
      <c r="H16" s="24">
        <v>63.6</v>
      </c>
      <c r="I16" s="24">
        <v>69.37</v>
      </c>
      <c r="J16" s="24">
        <v>72.87</v>
      </c>
      <c r="K16" s="24">
        <v>73.45</v>
      </c>
      <c r="L16" s="24">
        <v>75.17</v>
      </c>
      <c r="M16" s="24">
        <v>78.739993098688799</v>
      </c>
      <c r="N16" s="24">
        <v>80.029993916990307</v>
      </c>
      <c r="O16" s="24">
        <v>80.618799999999993</v>
      </c>
      <c r="P16" s="24">
        <v>80.995824957476401</v>
      </c>
      <c r="Q16" s="24">
        <v>83.940141931502595</v>
      </c>
      <c r="R16" s="24">
        <v>84.323742569999993</v>
      </c>
      <c r="S16" s="24">
        <v>87.93558659</v>
      </c>
      <c r="T16" s="24">
        <v>87.710464949561796</v>
      </c>
      <c r="U16" s="25">
        <v>10.595726418660099</v>
      </c>
      <c r="V16" s="26" t="s">
        <v>439</v>
      </c>
      <c r="W16" s="26" t="s">
        <v>440</v>
      </c>
      <c r="X16" s="26" t="s">
        <v>439</v>
      </c>
      <c r="Y16" s="26" t="s">
        <v>440</v>
      </c>
      <c r="Z16" s="26" t="s">
        <v>441</v>
      </c>
      <c r="AA16" s="26" t="s">
        <v>442</v>
      </c>
      <c r="AB16" s="26" t="s">
        <v>443</v>
      </c>
      <c r="AC16" s="26" t="s">
        <v>442</v>
      </c>
      <c r="AD16" s="26" t="s">
        <v>443</v>
      </c>
      <c r="AE16" s="26" t="s">
        <v>442</v>
      </c>
      <c r="AF16" s="26" t="s">
        <v>443</v>
      </c>
      <c r="AG16" s="26" t="s">
        <v>442</v>
      </c>
      <c r="AH16" s="26" t="s">
        <v>443</v>
      </c>
      <c r="AI16" s="26" t="s">
        <v>442</v>
      </c>
      <c r="AJ16" s="26" t="s">
        <v>443</v>
      </c>
      <c r="AK16" s="26" t="s">
        <v>442</v>
      </c>
      <c r="AL16" s="26" t="s">
        <v>443</v>
      </c>
      <c r="AM16" s="26" t="s">
        <v>442</v>
      </c>
      <c r="AN16" s="26" t="s">
        <v>443</v>
      </c>
      <c r="AO16" s="26" t="s">
        <v>442</v>
      </c>
      <c r="AP16" s="26" t="s">
        <v>443</v>
      </c>
      <c r="AQ16" s="26" t="s">
        <v>442</v>
      </c>
      <c r="AR16" s="26" t="s">
        <v>444</v>
      </c>
      <c r="AS16" s="26" t="s">
        <v>442</v>
      </c>
      <c r="AT16" s="26" t="s">
        <v>445</v>
      </c>
      <c r="AU16" s="26" t="s">
        <v>442</v>
      </c>
      <c r="AV16" s="26" t="s">
        <v>443</v>
      </c>
      <c r="AW16" s="26" t="s">
        <v>442</v>
      </c>
      <c r="AX16" s="26" t="s">
        <v>443</v>
      </c>
      <c r="AY16" s="26" t="s">
        <v>446</v>
      </c>
      <c r="AZ16" s="26" t="s">
        <v>443</v>
      </c>
      <c r="BA16" s="26" t="s">
        <v>446</v>
      </c>
      <c r="BB16" s="26" t="s">
        <v>447</v>
      </c>
      <c r="BC16" s="26" t="s">
        <v>448</v>
      </c>
      <c r="BD16" s="26" t="s">
        <v>447</v>
      </c>
      <c r="BE16" s="26" t="s">
        <v>448</v>
      </c>
      <c r="BF16" s="26"/>
      <c r="BG16" s="26" t="s">
        <v>449</v>
      </c>
    </row>
    <row r="17" spans="1:59" ht="25.5" customHeight="1" x14ac:dyDescent="0.15">
      <c r="A17" s="23" t="s">
        <v>136</v>
      </c>
      <c r="B17" s="24">
        <v>0.14775757562325101</v>
      </c>
      <c r="C17" s="24">
        <v>0.30556463761561797</v>
      </c>
      <c r="D17" s="24">
        <v>4.9997136781295701</v>
      </c>
      <c r="E17" s="24"/>
      <c r="F17" s="24"/>
      <c r="G17" s="24">
        <v>8.0303753561645408</v>
      </c>
      <c r="H17" s="24">
        <v>11.992177334367399</v>
      </c>
      <c r="I17" s="24">
        <v>14.54</v>
      </c>
      <c r="J17" s="24">
        <v>17.079999999999998</v>
      </c>
      <c r="K17" s="24">
        <v>27.4</v>
      </c>
      <c r="L17" s="24">
        <v>46</v>
      </c>
      <c r="M17" s="24">
        <v>50</v>
      </c>
      <c r="N17" s="24">
        <v>54.2</v>
      </c>
      <c r="O17" s="24">
        <v>73.000001372</v>
      </c>
      <c r="P17" s="24">
        <v>75.000015636339597</v>
      </c>
      <c r="Q17" s="24">
        <v>77</v>
      </c>
      <c r="R17" s="24">
        <v>78.2</v>
      </c>
      <c r="S17" s="24">
        <v>79</v>
      </c>
      <c r="T17" s="24">
        <v>79.799995488789605</v>
      </c>
      <c r="U17" s="25">
        <v>10.595726418660099</v>
      </c>
      <c r="V17" s="26"/>
      <c r="W17" s="26"/>
      <c r="X17" s="26"/>
      <c r="Y17" s="26"/>
      <c r="Z17" s="26"/>
      <c r="AA17" s="26"/>
      <c r="AB17" s="26"/>
      <c r="AC17" s="26"/>
      <c r="AD17" s="26"/>
      <c r="AE17" s="26"/>
      <c r="AF17" s="26"/>
      <c r="AG17" s="26"/>
      <c r="AH17" s="26"/>
      <c r="AI17" s="26"/>
      <c r="AJ17" s="26"/>
      <c r="AK17" s="26" t="s">
        <v>389</v>
      </c>
      <c r="AL17" s="26" t="s">
        <v>450</v>
      </c>
      <c r="AM17" s="26" t="s">
        <v>451</v>
      </c>
      <c r="AN17" s="26" t="s">
        <v>450</v>
      </c>
      <c r="AO17" s="26" t="s">
        <v>451</v>
      </c>
      <c r="AP17" s="26" t="s">
        <v>450</v>
      </c>
      <c r="AQ17" s="26" t="s">
        <v>451</v>
      </c>
      <c r="AR17" s="26" t="s">
        <v>450</v>
      </c>
      <c r="AS17" s="26" t="s">
        <v>389</v>
      </c>
      <c r="AT17" s="26"/>
      <c r="AU17" s="26" t="s">
        <v>389</v>
      </c>
      <c r="AV17" s="26" t="s">
        <v>450</v>
      </c>
      <c r="AW17" s="26" t="s">
        <v>452</v>
      </c>
      <c r="AX17" s="26" t="s">
        <v>450</v>
      </c>
      <c r="AY17" s="26" t="s">
        <v>453</v>
      </c>
      <c r="AZ17" s="26" t="s">
        <v>450</v>
      </c>
      <c r="BA17" s="26" t="s">
        <v>453</v>
      </c>
      <c r="BB17" s="26"/>
      <c r="BC17" s="26" t="s">
        <v>453</v>
      </c>
      <c r="BD17" s="26"/>
      <c r="BE17" s="26" t="s">
        <v>453</v>
      </c>
      <c r="BF17" s="26"/>
      <c r="BG17" s="26" t="s">
        <v>453</v>
      </c>
    </row>
    <row r="18" spans="1:59" ht="25.5" customHeight="1" x14ac:dyDescent="0.15">
      <c r="A18" s="23" t="s">
        <v>219</v>
      </c>
      <c r="B18" s="24">
        <v>8</v>
      </c>
      <c r="C18" s="24">
        <v>11.8</v>
      </c>
      <c r="D18" s="24">
        <v>18</v>
      </c>
      <c r="E18" s="24">
        <v>20</v>
      </c>
      <c r="F18" s="24">
        <v>22</v>
      </c>
      <c r="G18" s="24">
        <v>25</v>
      </c>
      <c r="H18" s="24">
        <v>26</v>
      </c>
      <c r="I18" s="24">
        <v>27</v>
      </c>
      <c r="J18" s="24">
        <v>31.54</v>
      </c>
      <c r="K18" s="24">
        <v>33.880000000000003</v>
      </c>
      <c r="L18" s="24">
        <v>43</v>
      </c>
      <c r="M18" s="24">
        <v>65</v>
      </c>
      <c r="N18" s="24">
        <v>71.748202814696299</v>
      </c>
      <c r="O18" s="24">
        <v>72</v>
      </c>
      <c r="P18" s="24">
        <v>76.92</v>
      </c>
      <c r="Q18" s="24">
        <v>78</v>
      </c>
      <c r="R18" s="24">
        <v>80</v>
      </c>
      <c r="S18" s="24">
        <v>85</v>
      </c>
      <c r="T18" s="24"/>
      <c r="U18" s="25">
        <v>10.595726418660099</v>
      </c>
      <c r="V18" s="26" t="s">
        <v>454</v>
      </c>
      <c r="W18" s="26" t="s">
        <v>389</v>
      </c>
      <c r="X18" s="26" t="s">
        <v>454</v>
      </c>
      <c r="Y18" s="26" t="s">
        <v>389</v>
      </c>
      <c r="Z18" s="26" t="s">
        <v>454</v>
      </c>
      <c r="AA18" s="26" t="s">
        <v>389</v>
      </c>
      <c r="AB18" s="26"/>
      <c r="AC18" s="26" t="s">
        <v>389</v>
      </c>
      <c r="AD18" s="26"/>
      <c r="AE18" s="26" t="s">
        <v>389</v>
      </c>
      <c r="AF18" s="26"/>
      <c r="AG18" s="26" t="s">
        <v>389</v>
      </c>
      <c r="AH18" s="26"/>
      <c r="AI18" s="26" t="s">
        <v>389</v>
      </c>
      <c r="AJ18" s="26"/>
      <c r="AK18" s="26" t="s">
        <v>389</v>
      </c>
      <c r="AL18" s="26"/>
      <c r="AM18" s="26" t="s">
        <v>455</v>
      </c>
      <c r="AN18" s="26"/>
      <c r="AO18" s="26" t="s">
        <v>455</v>
      </c>
      <c r="AP18" s="26"/>
      <c r="AQ18" s="26" t="s">
        <v>389</v>
      </c>
      <c r="AR18" s="26"/>
      <c r="AS18" s="26" t="s">
        <v>456</v>
      </c>
      <c r="AT18" s="26"/>
      <c r="AU18" s="26" t="s">
        <v>389</v>
      </c>
      <c r="AV18" s="26"/>
      <c r="AW18" s="26" t="s">
        <v>389</v>
      </c>
      <c r="AX18" s="26"/>
      <c r="AY18" s="26" t="s">
        <v>389</v>
      </c>
      <c r="AZ18" s="26"/>
      <c r="BA18" s="26" t="s">
        <v>389</v>
      </c>
      <c r="BB18" s="26"/>
      <c r="BC18" s="26" t="s">
        <v>401</v>
      </c>
      <c r="BD18" s="26"/>
      <c r="BE18" s="26" t="s">
        <v>389</v>
      </c>
      <c r="BF18" s="26"/>
      <c r="BG18" s="26"/>
    </row>
    <row r="19" spans="1:59" ht="25.5" customHeight="1" x14ac:dyDescent="0.15">
      <c r="A19" s="23" t="s">
        <v>166</v>
      </c>
      <c r="B19" s="24">
        <v>6.1537325464760704</v>
      </c>
      <c r="C19" s="24">
        <v>15.0386342513918</v>
      </c>
      <c r="D19" s="24">
        <v>18.050720888115301</v>
      </c>
      <c r="E19" s="24">
        <v>21.554944991780399</v>
      </c>
      <c r="F19" s="24">
        <v>21.458680507743502</v>
      </c>
      <c r="G19" s="24">
        <v>21.3037335136591</v>
      </c>
      <c r="H19" s="24">
        <v>28.243952431804299</v>
      </c>
      <c r="I19" s="24">
        <v>32.909999999999997</v>
      </c>
      <c r="J19" s="24">
        <v>51.95</v>
      </c>
      <c r="K19" s="24">
        <v>53</v>
      </c>
      <c r="L19" s="24">
        <v>55</v>
      </c>
      <c r="M19" s="24">
        <v>76.999966503230297</v>
      </c>
      <c r="N19" s="24">
        <v>88</v>
      </c>
      <c r="O19" s="24">
        <v>90.000039700000002</v>
      </c>
      <c r="P19" s="24">
        <v>90.503133481465596</v>
      </c>
      <c r="Q19" s="24">
        <v>93.478301135416501</v>
      </c>
      <c r="R19" s="24">
        <v>97.999980699999995</v>
      </c>
      <c r="S19" s="24">
        <v>95.878135749999998</v>
      </c>
      <c r="T19" s="24">
        <v>98.643429008218305</v>
      </c>
      <c r="U19" s="25">
        <v>10.595726418660099</v>
      </c>
      <c r="V19" s="26"/>
      <c r="W19" s="26"/>
      <c r="X19" s="26"/>
      <c r="Y19" s="26"/>
      <c r="Z19" s="26"/>
      <c r="AA19" s="26"/>
      <c r="AB19" s="26"/>
      <c r="AC19" s="26"/>
      <c r="AD19" s="26"/>
      <c r="AE19" s="26"/>
      <c r="AF19" s="26"/>
      <c r="AG19" s="26"/>
      <c r="AH19" s="26"/>
      <c r="AI19" s="26"/>
      <c r="AJ19" s="26"/>
      <c r="AK19" s="26" t="s">
        <v>457</v>
      </c>
      <c r="AL19" s="26"/>
      <c r="AM19" s="26" t="s">
        <v>457</v>
      </c>
      <c r="AN19" s="26"/>
      <c r="AO19" s="26" t="s">
        <v>457</v>
      </c>
      <c r="AP19" s="26"/>
      <c r="AQ19" s="26" t="s">
        <v>457</v>
      </c>
      <c r="AR19" s="26" t="s">
        <v>458</v>
      </c>
      <c r="AS19" s="26" t="s">
        <v>457</v>
      </c>
      <c r="AT19" s="26" t="s">
        <v>459</v>
      </c>
      <c r="AU19" s="26" t="s">
        <v>457</v>
      </c>
      <c r="AV19" s="26" t="s">
        <v>431</v>
      </c>
      <c r="AW19" s="26" t="s">
        <v>457</v>
      </c>
      <c r="AX19" s="26" t="s">
        <v>431</v>
      </c>
      <c r="AY19" s="26" t="s">
        <v>457</v>
      </c>
      <c r="AZ19" s="26" t="s">
        <v>431</v>
      </c>
      <c r="BA19" s="26" t="s">
        <v>457</v>
      </c>
      <c r="BB19" s="26" t="s">
        <v>460</v>
      </c>
      <c r="BC19" s="26" t="s">
        <v>461</v>
      </c>
      <c r="BD19" s="26" t="s">
        <v>462</v>
      </c>
      <c r="BE19" s="26" t="s">
        <v>461</v>
      </c>
      <c r="BF19" s="26"/>
      <c r="BG19" s="26" t="s">
        <v>461</v>
      </c>
    </row>
    <row r="20" spans="1:59" ht="25.5" customHeight="1" x14ac:dyDescent="0.15">
      <c r="A20" s="23" t="s">
        <v>7</v>
      </c>
      <c r="B20" s="24">
        <v>7.1039423050768297E-2</v>
      </c>
      <c r="C20" s="24">
        <v>0.12980797394751201</v>
      </c>
      <c r="D20" s="24">
        <v>0.13992028850905</v>
      </c>
      <c r="E20" s="24">
        <v>0.163877665498048</v>
      </c>
      <c r="F20" s="24">
        <v>0.199036333744363</v>
      </c>
      <c r="G20" s="24">
        <v>0.24163732563671</v>
      </c>
      <c r="H20" s="24">
        <v>1</v>
      </c>
      <c r="I20" s="24">
        <v>1.8</v>
      </c>
      <c r="J20" s="24">
        <v>2.5</v>
      </c>
      <c r="K20" s="24">
        <v>3.1</v>
      </c>
      <c r="L20" s="24">
        <v>3.7</v>
      </c>
      <c r="M20" s="24">
        <v>4.5</v>
      </c>
      <c r="N20" s="24">
        <v>5</v>
      </c>
      <c r="O20" s="24">
        <v>6.63</v>
      </c>
      <c r="P20" s="24">
        <v>13.9</v>
      </c>
      <c r="Q20" s="24">
        <v>14.4</v>
      </c>
      <c r="R20" s="24">
        <v>18.02</v>
      </c>
      <c r="S20" s="24">
        <v>15</v>
      </c>
      <c r="T20" s="24"/>
      <c r="U20" s="25">
        <v>10.595726418660099</v>
      </c>
      <c r="V20" s="26"/>
      <c r="W20" s="26" t="s">
        <v>389</v>
      </c>
      <c r="X20" s="26"/>
      <c r="Y20" s="26" t="s">
        <v>389</v>
      </c>
      <c r="Z20" s="26"/>
      <c r="AA20" s="26" t="s">
        <v>389</v>
      </c>
      <c r="AB20" s="26"/>
      <c r="AC20" s="26" t="s">
        <v>389</v>
      </c>
      <c r="AD20" s="26"/>
      <c r="AE20" s="26" t="s">
        <v>389</v>
      </c>
      <c r="AF20" s="26"/>
      <c r="AG20" s="26" t="s">
        <v>389</v>
      </c>
      <c r="AH20" s="26"/>
      <c r="AI20" s="26" t="s">
        <v>389</v>
      </c>
      <c r="AJ20" s="26"/>
      <c r="AK20" s="26" t="s">
        <v>389</v>
      </c>
      <c r="AL20" s="26"/>
      <c r="AM20" s="26" t="s">
        <v>389</v>
      </c>
      <c r="AN20" s="26"/>
      <c r="AO20" s="26" t="s">
        <v>389</v>
      </c>
      <c r="AP20" s="26"/>
      <c r="AQ20" s="26" t="s">
        <v>389</v>
      </c>
      <c r="AR20" s="26"/>
      <c r="AS20" s="26" t="s">
        <v>389</v>
      </c>
      <c r="AT20" s="26"/>
      <c r="AU20" s="26" t="s">
        <v>389</v>
      </c>
      <c r="AV20" s="26" t="s">
        <v>463</v>
      </c>
      <c r="AW20" s="26" t="s">
        <v>464</v>
      </c>
      <c r="AX20" s="26"/>
      <c r="AY20" s="26" t="s">
        <v>389</v>
      </c>
      <c r="AZ20" s="26"/>
      <c r="BA20" s="26" t="s">
        <v>389</v>
      </c>
      <c r="BB20" s="26"/>
      <c r="BC20" s="26" t="s">
        <v>437</v>
      </c>
      <c r="BD20" s="26" t="s">
        <v>394</v>
      </c>
      <c r="BE20" s="26" t="s">
        <v>465</v>
      </c>
      <c r="BF20" s="26"/>
      <c r="BG20" s="26"/>
    </row>
    <row r="21" spans="1:59" ht="25.5" customHeight="1" x14ac:dyDescent="0.15">
      <c r="A21" s="23" t="s">
        <v>185</v>
      </c>
      <c r="B21" s="24">
        <v>3.97367835457927</v>
      </c>
      <c r="C21" s="24">
        <v>11.9364503383984</v>
      </c>
      <c r="D21" s="24">
        <v>27.836322424146001</v>
      </c>
      <c r="E21" s="24">
        <v>39.689627115953201</v>
      </c>
      <c r="F21" s="24">
        <v>49.8</v>
      </c>
      <c r="G21" s="24">
        <v>52.5</v>
      </c>
      <c r="H21" s="24">
        <v>55.3</v>
      </c>
      <c r="I21" s="24">
        <v>58.2</v>
      </c>
      <c r="J21" s="24">
        <v>61.4</v>
      </c>
      <c r="K21" s="24">
        <v>64.7</v>
      </c>
      <c r="L21" s="24">
        <v>65.099999999999994</v>
      </c>
      <c r="M21" s="24">
        <v>66.5</v>
      </c>
      <c r="N21" s="24">
        <v>71.2</v>
      </c>
      <c r="O21" s="24">
        <v>71.8</v>
      </c>
      <c r="P21" s="24">
        <v>75.16</v>
      </c>
      <c r="Q21" s="24">
        <v>76.11</v>
      </c>
      <c r="R21" s="24">
        <v>79.5493978888735</v>
      </c>
      <c r="S21" s="24">
        <v>81.760778393107898</v>
      </c>
      <c r="T21" s="24"/>
      <c r="U21" s="25">
        <v>10.595726418660099</v>
      </c>
      <c r="V21" s="26"/>
      <c r="W21" s="26" t="s">
        <v>466</v>
      </c>
      <c r="X21" s="26"/>
      <c r="Y21" s="26" t="s">
        <v>389</v>
      </c>
      <c r="Z21" s="26"/>
      <c r="AA21" s="26" t="s">
        <v>389</v>
      </c>
      <c r="AB21" s="26"/>
      <c r="AC21" s="26" t="s">
        <v>467</v>
      </c>
      <c r="AD21" s="26"/>
      <c r="AE21" s="26" t="s">
        <v>468</v>
      </c>
      <c r="AF21" s="26"/>
      <c r="AG21" s="26" t="s">
        <v>389</v>
      </c>
      <c r="AH21" s="26"/>
      <c r="AI21" s="26" t="s">
        <v>389</v>
      </c>
      <c r="AJ21" s="26"/>
      <c r="AK21" s="26" t="s">
        <v>389</v>
      </c>
      <c r="AL21" s="26"/>
      <c r="AM21" s="26" t="s">
        <v>389</v>
      </c>
      <c r="AN21" s="26"/>
      <c r="AO21" s="26" t="s">
        <v>389</v>
      </c>
      <c r="AP21" s="26"/>
      <c r="AQ21" s="26" t="s">
        <v>389</v>
      </c>
      <c r="AR21" s="26"/>
      <c r="AS21" s="26" t="s">
        <v>389</v>
      </c>
      <c r="AT21" s="26"/>
      <c r="AU21" s="26" t="s">
        <v>389</v>
      </c>
      <c r="AV21" s="26"/>
      <c r="AW21" s="26" t="s">
        <v>389</v>
      </c>
      <c r="AX21" s="26"/>
      <c r="AY21" s="26" t="s">
        <v>389</v>
      </c>
      <c r="AZ21" s="26"/>
      <c r="BA21" s="26" t="s">
        <v>389</v>
      </c>
      <c r="BB21" s="26"/>
      <c r="BC21" s="26" t="s">
        <v>401</v>
      </c>
      <c r="BD21" s="26"/>
      <c r="BE21" s="26" t="s">
        <v>389</v>
      </c>
      <c r="BF21" s="26"/>
      <c r="BG21" s="26"/>
    </row>
    <row r="22" spans="1:59" ht="25.5" customHeight="1" x14ac:dyDescent="0.15">
      <c r="A22" s="23" t="s">
        <v>43</v>
      </c>
      <c r="B22" s="24">
        <v>1.86039812615388</v>
      </c>
      <c r="C22" s="24">
        <v>4.3006160215171203</v>
      </c>
      <c r="D22" s="24">
        <v>8.9509713146732501</v>
      </c>
      <c r="E22" s="24"/>
      <c r="F22" s="24"/>
      <c r="G22" s="24"/>
      <c r="H22" s="24">
        <v>16.2</v>
      </c>
      <c r="I22" s="24">
        <v>19.7</v>
      </c>
      <c r="J22" s="24">
        <v>23</v>
      </c>
      <c r="K22" s="24">
        <v>27.43</v>
      </c>
      <c r="L22" s="24">
        <v>31.8</v>
      </c>
      <c r="M22" s="24">
        <v>39.648895659896098</v>
      </c>
      <c r="N22" s="24">
        <v>46.91</v>
      </c>
      <c r="O22" s="24">
        <v>54.17</v>
      </c>
      <c r="P22" s="24">
        <v>59.02</v>
      </c>
      <c r="Q22" s="24">
        <v>62.230360906803</v>
      </c>
      <c r="R22" s="24">
        <v>71.113045760000006</v>
      </c>
      <c r="S22" s="24">
        <v>74.436445410000005</v>
      </c>
      <c r="T22" s="24">
        <v>79.129886691930693</v>
      </c>
      <c r="U22" s="25">
        <v>10.595726418660099</v>
      </c>
      <c r="V22" s="26"/>
      <c r="W22" s="26" t="s">
        <v>469</v>
      </c>
      <c r="X22" s="26"/>
      <c r="Y22" s="26" t="s">
        <v>469</v>
      </c>
      <c r="Z22" s="26"/>
      <c r="AA22" s="26" t="s">
        <v>469</v>
      </c>
      <c r="AB22" s="26"/>
      <c r="AC22" s="26"/>
      <c r="AD22" s="26"/>
      <c r="AE22" s="26"/>
      <c r="AF22" s="26"/>
      <c r="AG22" s="26"/>
      <c r="AH22" s="26" t="s">
        <v>470</v>
      </c>
      <c r="AI22" s="26" t="s">
        <v>471</v>
      </c>
      <c r="AJ22" s="26" t="s">
        <v>470</v>
      </c>
      <c r="AK22" s="26" t="s">
        <v>471</v>
      </c>
      <c r="AL22" s="26" t="s">
        <v>470</v>
      </c>
      <c r="AM22" s="26" t="s">
        <v>471</v>
      </c>
      <c r="AN22" s="26" t="s">
        <v>470</v>
      </c>
      <c r="AO22" s="26" t="s">
        <v>472</v>
      </c>
      <c r="AP22" s="26" t="s">
        <v>470</v>
      </c>
      <c r="AQ22" s="26" t="s">
        <v>472</v>
      </c>
      <c r="AR22" s="26" t="s">
        <v>470</v>
      </c>
      <c r="AS22" s="26" t="s">
        <v>473</v>
      </c>
      <c r="AT22" s="26" t="s">
        <v>470</v>
      </c>
      <c r="AU22" s="26" t="s">
        <v>472</v>
      </c>
      <c r="AV22" s="26" t="s">
        <v>474</v>
      </c>
      <c r="AW22" s="26" t="s">
        <v>472</v>
      </c>
      <c r="AX22" s="26" t="s">
        <v>475</v>
      </c>
      <c r="AY22" s="26" t="s">
        <v>472</v>
      </c>
      <c r="AZ22" s="26" t="s">
        <v>476</v>
      </c>
      <c r="BA22" s="26" t="s">
        <v>472</v>
      </c>
      <c r="BB22" s="26" t="s">
        <v>477</v>
      </c>
      <c r="BC22" s="26" t="s">
        <v>472</v>
      </c>
      <c r="BD22" s="26" t="s">
        <v>477</v>
      </c>
      <c r="BE22" s="26" t="s">
        <v>472</v>
      </c>
      <c r="BF22" s="26"/>
      <c r="BG22" s="26" t="s">
        <v>472</v>
      </c>
    </row>
    <row r="23" spans="1:59" ht="25.5" customHeight="1" x14ac:dyDescent="0.15">
      <c r="A23" s="23" t="s">
        <v>120</v>
      </c>
      <c r="B23" s="24">
        <v>29.4316916924341</v>
      </c>
      <c r="C23" s="24">
        <v>31.288395505656599</v>
      </c>
      <c r="D23" s="24">
        <v>46.33</v>
      </c>
      <c r="E23" s="24">
        <v>49.97</v>
      </c>
      <c r="F23" s="24">
        <v>53.86</v>
      </c>
      <c r="G23" s="24">
        <v>55.82</v>
      </c>
      <c r="H23" s="24">
        <v>59.72</v>
      </c>
      <c r="I23" s="24">
        <v>64.44</v>
      </c>
      <c r="J23" s="24">
        <v>66</v>
      </c>
      <c r="K23" s="24">
        <v>70</v>
      </c>
      <c r="L23" s="24">
        <v>75</v>
      </c>
      <c r="M23" s="24">
        <v>81.609995995595199</v>
      </c>
      <c r="N23" s="24">
        <v>80.719990548204194</v>
      </c>
      <c r="O23" s="24">
        <v>82.170199999999994</v>
      </c>
      <c r="P23" s="24">
        <v>85</v>
      </c>
      <c r="Q23" s="24">
        <v>85.052899999999994</v>
      </c>
      <c r="R23" s="24">
        <v>86.516476659999995</v>
      </c>
      <c r="S23" s="24">
        <v>87.679680820000002</v>
      </c>
      <c r="T23" s="24">
        <v>88.655064275331597</v>
      </c>
      <c r="U23" s="25">
        <v>10.595726418660099</v>
      </c>
      <c r="V23" s="26"/>
      <c r="W23" s="26" t="s">
        <v>478</v>
      </c>
      <c r="X23" s="26"/>
      <c r="Y23" s="26" t="s">
        <v>478</v>
      </c>
      <c r="Z23" s="26"/>
      <c r="AA23" s="26" t="s">
        <v>479</v>
      </c>
      <c r="AB23" s="26"/>
      <c r="AC23" s="26" t="s">
        <v>479</v>
      </c>
      <c r="AD23" s="26"/>
      <c r="AE23" s="26" t="s">
        <v>479</v>
      </c>
      <c r="AF23" s="26"/>
      <c r="AG23" s="26" t="s">
        <v>389</v>
      </c>
      <c r="AH23" s="26"/>
      <c r="AI23" s="26" t="s">
        <v>389</v>
      </c>
      <c r="AJ23" s="26"/>
      <c r="AK23" s="26" t="s">
        <v>389</v>
      </c>
      <c r="AL23" s="26"/>
      <c r="AM23" s="26" t="s">
        <v>480</v>
      </c>
      <c r="AN23" s="26"/>
      <c r="AO23" s="26" t="s">
        <v>480</v>
      </c>
      <c r="AP23" s="26"/>
      <c r="AQ23" s="26" t="s">
        <v>480</v>
      </c>
      <c r="AR23" s="26" t="s">
        <v>444</v>
      </c>
      <c r="AS23" s="26" t="s">
        <v>442</v>
      </c>
      <c r="AT23" s="26" t="s">
        <v>445</v>
      </c>
      <c r="AU23" s="26" t="s">
        <v>442</v>
      </c>
      <c r="AV23" s="26" t="s">
        <v>443</v>
      </c>
      <c r="AW23" s="26" t="s">
        <v>442</v>
      </c>
      <c r="AX23" s="26" t="s">
        <v>481</v>
      </c>
      <c r="AY23" s="26" t="s">
        <v>449</v>
      </c>
      <c r="AZ23" s="26" t="s">
        <v>481</v>
      </c>
      <c r="BA23" s="26" t="s">
        <v>442</v>
      </c>
      <c r="BB23" s="26" t="s">
        <v>482</v>
      </c>
      <c r="BC23" s="26" t="s">
        <v>483</v>
      </c>
      <c r="BD23" s="26"/>
      <c r="BE23" s="26" t="s">
        <v>483</v>
      </c>
      <c r="BF23" s="26"/>
      <c r="BG23" s="26" t="s">
        <v>483</v>
      </c>
    </row>
    <row r="24" spans="1:59" ht="25.5" customHeight="1" x14ac:dyDescent="0.15">
      <c r="A24" s="23" t="s">
        <v>217</v>
      </c>
      <c r="B24" s="24">
        <v>5.9638353027242799</v>
      </c>
      <c r="C24" s="24"/>
      <c r="D24" s="24">
        <v>5.68425121358763</v>
      </c>
      <c r="E24" s="24"/>
      <c r="F24" s="24">
        <v>9.8000000000000007</v>
      </c>
      <c r="G24" s="24">
        <v>17</v>
      </c>
      <c r="H24" s="24">
        <v>24</v>
      </c>
      <c r="I24" s="24">
        <v>24.6</v>
      </c>
      <c r="J24" s="24">
        <v>26.3</v>
      </c>
      <c r="K24" s="24">
        <v>27.2</v>
      </c>
      <c r="L24" s="24">
        <v>28.2</v>
      </c>
      <c r="M24" s="24">
        <v>30.7</v>
      </c>
      <c r="N24" s="24">
        <v>31</v>
      </c>
      <c r="O24" s="24">
        <v>33.6</v>
      </c>
      <c r="P24" s="24">
        <v>38.700000000000003</v>
      </c>
      <c r="Q24" s="24">
        <v>41.589999999835001</v>
      </c>
      <c r="R24" s="24">
        <v>44.575740320000001</v>
      </c>
      <c r="S24" s="24">
        <v>47.082625803636397</v>
      </c>
      <c r="T24" s="24"/>
      <c r="U24" s="25">
        <v>10.595726418660099</v>
      </c>
      <c r="V24" s="26"/>
      <c r="W24" s="26" t="s">
        <v>484</v>
      </c>
      <c r="X24" s="26"/>
      <c r="Y24" s="26"/>
      <c r="Z24" s="26"/>
      <c r="AA24" s="26" t="s">
        <v>389</v>
      </c>
      <c r="AB24" s="26"/>
      <c r="AC24" s="26"/>
      <c r="AD24" s="26"/>
      <c r="AE24" s="26" t="s">
        <v>389</v>
      </c>
      <c r="AF24" s="26"/>
      <c r="AG24" s="26" t="s">
        <v>389</v>
      </c>
      <c r="AH24" s="26"/>
      <c r="AI24" s="26" t="s">
        <v>389</v>
      </c>
      <c r="AJ24" s="26"/>
      <c r="AK24" s="26" t="s">
        <v>389</v>
      </c>
      <c r="AL24" s="26"/>
      <c r="AM24" s="26" t="s">
        <v>389</v>
      </c>
      <c r="AN24" s="26"/>
      <c r="AO24" s="26" t="s">
        <v>389</v>
      </c>
      <c r="AP24" s="26" t="s">
        <v>485</v>
      </c>
      <c r="AQ24" s="26" t="s">
        <v>486</v>
      </c>
      <c r="AR24" s="26"/>
      <c r="AS24" s="26" t="s">
        <v>389</v>
      </c>
      <c r="AT24" s="26"/>
      <c r="AU24" s="26" t="s">
        <v>389</v>
      </c>
      <c r="AV24" s="26"/>
      <c r="AW24" s="26" t="s">
        <v>389</v>
      </c>
      <c r="AX24" s="26"/>
      <c r="AY24" s="26" t="s">
        <v>389</v>
      </c>
      <c r="AZ24" s="26"/>
      <c r="BA24" s="26" t="s">
        <v>389</v>
      </c>
      <c r="BB24" s="26"/>
      <c r="BC24" s="26" t="s">
        <v>401</v>
      </c>
      <c r="BD24" s="26"/>
      <c r="BE24" s="26" t="s">
        <v>389</v>
      </c>
      <c r="BF24" s="26"/>
      <c r="BG24" s="26"/>
    </row>
    <row r="25" spans="1:59" ht="25.5" customHeight="1" x14ac:dyDescent="0.15">
      <c r="A25" s="23" t="s">
        <v>15</v>
      </c>
      <c r="B25" s="24">
        <v>0.22524785147336901</v>
      </c>
      <c r="C25" s="24">
        <v>0.36341789001608199</v>
      </c>
      <c r="D25" s="24">
        <v>0.70294559510389998</v>
      </c>
      <c r="E25" s="24">
        <v>0.95132711491569499</v>
      </c>
      <c r="F25" s="24">
        <v>1.1825409651899399</v>
      </c>
      <c r="G25" s="24">
        <v>1.27103143947107</v>
      </c>
      <c r="H25" s="24">
        <v>1.53785434624704</v>
      </c>
      <c r="I25" s="24">
        <v>1.79</v>
      </c>
      <c r="J25" s="24">
        <v>1.85</v>
      </c>
      <c r="K25" s="24">
        <v>2.2400000000000002</v>
      </c>
      <c r="L25" s="24">
        <v>3.13</v>
      </c>
      <c r="M25" s="24">
        <v>4.14832306562512</v>
      </c>
      <c r="N25" s="24">
        <v>4.5</v>
      </c>
      <c r="O25" s="24">
        <v>4.9000000000000004</v>
      </c>
      <c r="P25" s="24">
        <v>6</v>
      </c>
      <c r="Q25" s="24">
        <v>11.2549879092022</v>
      </c>
      <c r="R25" s="24">
        <v>11.994047908222999</v>
      </c>
      <c r="S25" s="24">
        <v>20</v>
      </c>
      <c r="T25" s="24"/>
      <c r="U25" s="25">
        <v>10.595726418660099</v>
      </c>
      <c r="V25" s="26"/>
      <c r="W25" s="26"/>
      <c r="X25" s="26"/>
      <c r="Y25" s="26"/>
      <c r="Z25" s="26"/>
      <c r="AA25" s="26"/>
      <c r="AB25" s="26"/>
      <c r="AC25" s="26"/>
      <c r="AD25" s="26"/>
      <c r="AE25" s="26"/>
      <c r="AF25" s="26"/>
      <c r="AG25" s="26"/>
      <c r="AH25" s="26"/>
      <c r="AI25" s="26"/>
      <c r="AJ25" s="26"/>
      <c r="AK25" s="26" t="s">
        <v>487</v>
      </c>
      <c r="AL25" s="26"/>
      <c r="AM25" s="26" t="s">
        <v>487</v>
      </c>
      <c r="AN25" s="26"/>
      <c r="AO25" s="26" t="s">
        <v>487</v>
      </c>
      <c r="AP25" s="26"/>
      <c r="AQ25" s="26" t="s">
        <v>487</v>
      </c>
      <c r="AR25" s="26" t="s">
        <v>488</v>
      </c>
      <c r="AS25" s="26" t="s">
        <v>489</v>
      </c>
      <c r="AT25" s="26"/>
      <c r="AU25" s="26" t="s">
        <v>389</v>
      </c>
      <c r="AV25" s="26"/>
      <c r="AW25" s="26" t="s">
        <v>389</v>
      </c>
      <c r="AX25" s="26"/>
      <c r="AY25" s="26" t="s">
        <v>389</v>
      </c>
      <c r="AZ25" s="26"/>
      <c r="BA25" s="26" t="s">
        <v>401</v>
      </c>
      <c r="BB25" s="26"/>
      <c r="BC25" s="26" t="s">
        <v>401</v>
      </c>
      <c r="BD25" s="26" t="s">
        <v>490</v>
      </c>
      <c r="BE25" s="26" t="s">
        <v>491</v>
      </c>
      <c r="BF25" s="26"/>
      <c r="BG25" s="26"/>
    </row>
    <row r="26" spans="1:59" ht="25.5" customHeight="1" x14ac:dyDescent="0.15">
      <c r="A26" s="23" t="s">
        <v>213</v>
      </c>
      <c r="B26" s="24">
        <v>42.949860015271099</v>
      </c>
      <c r="C26" s="24">
        <v>47.509699897062298</v>
      </c>
      <c r="D26" s="24">
        <v>52.0315973700393</v>
      </c>
      <c r="E26" s="24">
        <v>56.522012183633699</v>
      </c>
      <c r="F26" s="24">
        <v>60.990867008632598</v>
      </c>
      <c r="G26" s="24">
        <v>65.447065789883794</v>
      </c>
      <c r="H26" s="24">
        <v>69.899655161701205</v>
      </c>
      <c r="I26" s="24">
        <v>74.350594030266905</v>
      </c>
      <c r="J26" s="24">
        <v>82.3</v>
      </c>
      <c r="K26" s="24">
        <v>83.25</v>
      </c>
      <c r="L26" s="24">
        <v>84.21</v>
      </c>
      <c r="M26" s="24">
        <v>88.335999999999999</v>
      </c>
      <c r="N26" s="24">
        <v>91.299304524340101</v>
      </c>
      <c r="O26" s="24">
        <v>95.3</v>
      </c>
      <c r="P26" s="24">
        <v>96.8</v>
      </c>
      <c r="Q26" s="24">
        <v>98.3236096537251</v>
      </c>
      <c r="R26" s="24">
        <v>98</v>
      </c>
      <c r="S26" s="24">
        <v>98.37</v>
      </c>
      <c r="T26" s="24"/>
      <c r="U26" s="25">
        <v>10.595726418660099</v>
      </c>
      <c r="V26" s="26"/>
      <c r="W26" s="26"/>
      <c r="X26" s="26"/>
      <c r="Y26" s="26"/>
      <c r="Z26" s="26"/>
      <c r="AA26" s="26"/>
      <c r="AB26" s="26"/>
      <c r="AC26" s="26"/>
      <c r="AD26" s="26"/>
      <c r="AE26" s="26"/>
      <c r="AF26" s="26"/>
      <c r="AG26" s="26"/>
      <c r="AH26" s="26"/>
      <c r="AI26" s="26"/>
      <c r="AJ26" s="26"/>
      <c r="AK26" s="26"/>
      <c r="AL26" s="26" t="s">
        <v>492</v>
      </c>
      <c r="AM26" s="26" t="s">
        <v>493</v>
      </c>
      <c r="AN26" s="26"/>
      <c r="AO26" s="26" t="s">
        <v>494</v>
      </c>
      <c r="AP26" s="26"/>
      <c r="AQ26" s="26" t="s">
        <v>389</v>
      </c>
      <c r="AR26" s="26"/>
      <c r="AS26" s="26" t="s">
        <v>389</v>
      </c>
      <c r="AT26" s="26"/>
      <c r="AU26" s="26" t="s">
        <v>389</v>
      </c>
      <c r="AV26" s="26"/>
      <c r="AW26" s="26" t="s">
        <v>389</v>
      </c>
      <c r="AX26" s="26"/>
      <c r="AY26" s="26" t="s">
        <v>389</v>
      </c>
      <c r="AZ26" s="26"/>
      <c r="BA26" s="26" t="s">
        <v>389</v>
      </c>
      <c r="BB26" s="26"/>
      <c r="BC26" s="26" t="s">
        <v>389</v>
      </c>
      <c r="BD26" s="26"/>
      <c r="BE26" s="26" t="s">
        <v>389</v>
      </c>
      <c r="BF26" s="26"/>
      <c r="BG26" s="26"/>
    </row>
    <row r="27" spans="1:59" ht="25.5" customHeight="1" x14ac:dyDescent="0.15">
      <c r="A27" s="23" t="s">
        <v>74</v>
      </c>
      <c r="B27" s="24">
        <v>0.40094444691941</v>
      </c>
      <c r="C27" s="24">
        <v>0.86462856421509904</v>
      </c>
      <c r="D27" s="24">
        <v>1.67580258375242</v>
      </c>
      <c r="E27" s="24">
        <v>2.43691239949767</v>
      </c>
      <c r="F27" s="24">
        <v>3.1569841961371101</v>
      </c>
      <c r="G27" s="24">
        <v>3.84710674490143</v>
      </c>
      <c r="H27" s="24">
        <v>4.5183172581645996</v>
      </c>
      <c r="I27" s="24">
        <v>5.92</v>
      </c>
      <c r="J27" s="24">
        <v>6.55</v>
      </c>
      <c r="K27" s="24">
        <v>7.17</v>
      </c>
      <c r="L27" s="24">
        <v>13.6</v>
      </c>
      <c r="M27" s="24">
        <v>14.4</v>
      </c>
      <c r="N27" s="24">
        <v>15.6</v>
      </c>
      <c r="O27" s="24">
        <v>22.4</v>
      </c>
      <c r="P27" s="24">
        <v>30.3</v>
      </c>
      <c r="Q27" s="24">
        <v>39.799999999999997</v>
      </c>
      <c r="R27" s="24">
        <v>41.772644532167199</v>
      </c>
      <c r="S27" s="24">
        <v>48.106415877457401</v>
      </c>
      <c r="T27" s="24"/>
      <c r="U27" s="25">
        <v>10.595726418660099</v>
      </c>
      <c r="V27" s="26"/>
      <c r="W27" s="26"/>
      <c r="X27" s="26"/>
      <c r="Y27" s="26"/>
      <c r="Z27" s="26"/>
      <c r="AA27" s="26"/>
      <c r="AB27" s="26"/>
      <c r="AC27" s="26"/>
      <c r="AD27" s="26"/>
      <c r="AE27" s="26"/>
      <c r="AF27" s="26"/>
      <c r="AG27" s="26"/>
      <c r="AH27" s="26"/>
      <c r="AI27" s="26"/>
      <c r="AJ27" s="26"/>
      <c r="AK27" s="26" t="s">
        <v>495</v>
      </c>
      <c r="AL27" s="26"/>
      <c r="AM27" s="26" t="s">
        <v>495</v>
      </c>
      <c r="AN27" s="26"/>
      <c r="AO27" s="26" t="s">
        <v>495</v>
      </c>
      <c r="AP27" s="26" t="s">
        <v>496</v>
      </c>
      <c r="AQ27" s="26" t="s">
        <v>497</v>
      </c>
      <c r="AR27" s="26"/>
      <c r="AS27" s="26" t="s">
        <v>498</v>
      </c>
      <c r="AT27" s="26"/>
      <c r="AU27" s="26" t="s">
        <v>389</v>
      </c>
      <c r="AV27" s="26"/>
      <c r="AW27" s="26" t="s">
        <v>389</v>
      </c>
      <c r="AX27" s="26"/>
      <c r="AY27" s="26" t="s">
        <v>389</v>
      </c>
      <c r="AZ27" s="26"/>
      <c r="BA27" s="26" t="s">
        <v>389</v>
      </c>
      <c r="BB27" s="26"/>
      <c r="BC27" s="26" t="s">
        <v>401</v>
      </c>
      <c r="BD27" s="26"/>
      <c r="BE27" s="26" t="s">
        <v>389</v>
      </c>
      <c r="BF27" s="26"/>
      <c r="BG27" s="26"/>
    </row>
    <row r="28" spans="1:59" ht="25.5" customHeight="1" x14ac:dyDescent="0.15">
      <c r="A28" s="23" t="s">
        <v>499</v>
      </c>
      <c r="B28" s="24">
        <v>1.4427635847914</v>
      </c>
      <c r="C28" s="24">
        <v>2.1204625341365002</v>
      </c>
      <c r="D28" s="24">
        <v>3.1171929469699702</v>
      </c>
      <c r="E28" s="24">
        <v>3.5085964007233601</v>
      </c>
      <c r="F28" s="24">
        <v>4.4399246012004197</v>
      </c>
      <c r="G28" s="24">
        <v>5.2275839566319604</v>
      </c>
      <c r="H28" s="24">
        <v>6.2006712547357603</v>
      </c>
      <c r="I28" s="24">
        <v>10.4992443168903</v>
      </c>
      <c r="J28" s="24">
        <v>12.5</v>
      </c>
      <c r="K28" s="24">
        <v>16.8</v>
      </c>
      <c r="L28" s="24">
        <v>22.4</v>
      </c>
      <c r="M28" s="24">
        <v>30</v>
      </c>
      <c r="N28" s="24">
        <v>35.340000000000003</v>
      </c>
      <c r="O28" s="24">
        <v>36.99</v>
      </c>
      <c r="P28" s="24">
        <v>34.6</v>
      </c>
      <c r="Q28" s="24">
        <v>35.562270650000002</v>
      </c>
      <c r="R28" s="24">
        <v>39.697514603268502</v>
      </c>
      <c r="S28" s="24">
        <v>43.832276067466097</v>
      </c>
      <c r="T28" s="24"/>
      <c r="U28" s="25">
        <v>10.595726418660099</v>
      </c>
      <c r="V28" s="26"/>
      <c r="W28" s="26" t="s">
        <v>500</v>
      </c>
      <c r="X28" s="26"/>
      <c r="Y28" s="26" t="s">
        <v>500</v>
      </c>
      <c r="Z28" s="26"/>
      <c r="AA28" s="26" t="s">
        <v>500</v>
      </c>
      <c r="AB28" s="26"/>
      <c r="AC28" s="26" t="s">
        <v>501</v>
      </c>
      <c r="AD28" s="26"/>
      <c r="AE28" s="26" t="s">
        <v>501</v>
      </c>
      <c r="AF28" s="26"/>
      <c r="AG28" s="26" t="s">
        <v>501</v>
      </c>
      <c r="AH28" s="26"/>
      <c r="AI28" s="26" t="s">
        <v>501</v>
      </c>
      <c r="AJ28" s="26"/>
      <c r="AK28" s="26" t="s">
        <v>389</v>
      </c>
      <c r="AL28" s="26"/>
      <c r="AM28" s="26" t="s">
        <v>389</v>
      </c>
      <c r="AN28" s="26"/>
      <c r="AO28" s="26" t="s">
        <v>389</v>
      </c>
      <c r="AP28" s="26"/>
      <c r="AQ28" s="26" t="s">
        <v>389</v>
      </c>
      <c r="AR28" s="26"/>
      <c r="AS28" s="26" t="s">
        <v>389</v>
      </c>
      <c r="AT28" s="26" t="s">
        <v>502</v>
      </c>
      <c r="AU28" s="26" t="s">
        <v>503</v>
      </c>
      <c r="AV28" s="26" t="s">
        <v>504</v>
      </c>
      <c r="AW28" s="26" t="s">
        <v>503</v>
      </c>
      <c r="AX28" s="26" t="s">
        <v>504</v>
      </c>
      <c r="AY28" s="26" t="s">
        <v>505</v>
      </c>
      <c r="AZ28" s="26"/>
      <c r="BA28" s="26" t="s">
        <v>389</v>
      </c>
      <c r="BB28" s="26"/>
      <c r="BC28" s="26" t="s">
        <v>401</v>
      </c>
      <c r="BD28" s="26"/>
      <c r="BE28" s="26" t="s">
        <v>389</v>
      </c>
      <c r="BF28" s="26"/>
      <c r="BG28" s="26"/>
    </row>
    <row r="29" spans="1:59" ht="25.5" customHeight="1" x14ac:dyDescent="0.15">
      <c r="A29" s="23" t="s">
        <v>506</v>
      </c>
      <c r="B29" s="24">
        <v>1.0829607497120699</v>
      </c>
      <c r="C29" s="24">
        <v>1.20052695129649</v>
      </c>
      <c r="D29" s="24">
        <v>2.6482679136124401</v>
      </c>
      <c r="E29" s="24">
        <v>3.96503683387051</v>
      </c>
      <c r="F29" s="24">
        <v>15.4689716227665</v>
      </c>
      <c r="G29" s="24">
        <v>21.326701000773799</v>
      </c>
      <c r="H29" s="24">
        <v>25.1223856852117</v>
      </c>
      <c r="I29" s="24">
        <v>27.92</v>
      </c>
      <c r="J29" s="24">
        <v>34.659999999999997</v>
      </c>
      <c r="K29" s="24">
        <v>37.74</v>
      </c>
      <c r="L29" s="24">
        <v>42.75</v>
      </c>
      <c r="M29" s="24">
        <v>43.887686528554497</v>
      </c>
      <c r="N29" s="24">
        <v>45.064500433476297</v>
      </c>
      <c r="O29" s="24">
        <v>48.5213141734421</v>
      </c>
      <c r="P29" s="24">
        <v>49.9177324336354</v>
      </c>
      <c r="Q29" s="24">
        <v>52.6</v>
      </c>
      <c r="R29" s="24">
        <v>60.25653543</v>
      </c>
      <c r="S29" s="24">
        <v>64.891977280000006</v>
      </c>
      <c r="T29" s="24">
        <v>70.120135039488503</v>
      </c>
      <c r="U29" s="25">
        <v>10.595726418660099</v>
      </c>
      <c r="V29" s="26"/>
      <c r="W29" s="26" t="s">
        <v>507</v>
      </c>
      <c r="X29" s="26"/>
      <c r="Y29" s="26" t="s">
        <v>507</v>
      </c>
      <c r="Z29" s="26"/>
      <c r="AA29" s="26" t="s">
        <v>508</v>
      </c>
      <c r="AB29" s="26"/>
      <c r="AC29" s="26" t="s">
        <v>389</v>
      </c>
      <c r="AD29" s="26"/>
      <c r="AE29" s="26" t="s">
        <v>508</v>
      </c>
      <c r="AF29" s="26"/>
      <c r="AG29" s="26" t="s">
        <v>508</v>
      </c>
      <c r="AH29" s="26"/>
      <c r="AI29" s="26" t="s">
        <v>508</v>
      </c>
      <c r="AJ29" s="26"/>
      <c r="AK29" s="26" t="s">
        <v>509</v>
      </c>
      <c r="AL29" s="26"/>
      <c r="AM29" s="26" t="s">
        <v>509</v>
      </c>
      <c r="AN29" s="26"/>
      <c r="AO29" s="26" t="s">
        <v>509</v>
      </c>
      <c r="AP29" s="26"/>
      <c r="AQ29" s="26" t="s">
        <v>389</v>
      </c>
      <c r="AR29" s="26"/>
      <c r="AS29" s="26" t="s">
        <v>389</v>
      </c>
      <c r="AT29" s="26"/>
      <c r="AU29" s="26" t="s">
        <v>389</v>
      </c>
      <c r="AV29" s="26"/>
      <c r="AW29" s="26" t="s">
        <v>389</v>
      </c>
      <c r="AX29" s="26"/>
      <c r="AY29" s="26" t="s">
        <v>389</v>
      </c>
      <c r="AZ29" s="26"/>
      <c r="BA29" s="26" t="s">
        <v>389</v>
      </c>
      <c r="BB29" s="26" t="s">
        <v>510</v>
      </c>
      <c r="BC29" s="26" t="s">
        <v>511</v>
      </c>
      <c r="BD29" s="26"/>
      <c r="BE29" s="26" t="s">
        <v>511</v>
      </c>
      <c r="BF29" s="26"/>
      <c r="BG29" s="26" t="s">
        <v>512</v>
      </c>
    </row>
    <row r="30" spans="1:59" ht="25.5" customHeight="1" x14ac:dyDescent="0.15">
      <c r="A30" s="23" t="s">
        <v>35</v>
      </c>
      <c r="B30" s="24">
        <v>2.9026666217720898</v>
      </c>
      <c r="C30" s="24">
        <v>3.4308867870259898</v>
      </c>
      <c r="D30" s="24">
        <v>3.3859223506427298</v>
      </c>
      <c r="E30" s="24">
        <v>3.3451901740614001</v>
      </c>
      <c r="F30" s="24">
        <v>3.30488925316113</v>
      </c>
      <c r="G30" s="24">
        <v>3.26255403605122</v>
      </c>
      <c r="H30" s="24">
        <v>4.2899329751596804</v>
      </c>
      <c r="I30" s="24">
        <v>5.28</v>
      </c>
      <c r="J30" s="24">
        <v>6.25</v>
      </c>
      <c r="K30" s="24">
        <v>6.15</v>
      </c>
      <c r="L30" s="24">
        <v>6</v>
      </c>
      <c r="M30" s="24">
        <v>9</v>
      </c>
      <c r="N30" s="24">
        <v>16</v>
      </c>
      <c r="O30" s="24">
        <v>30</v>
      </c>
      <c r="P30" s="24">
        <v>36.744747444230001</v>
      </c>
      <c r="Q30" s="24">
        <v>37.3120503733278</v>
      </c>
      <c r="R30" s="24">
        <v>39.362997380000003</v>
      </c>
      <c r="S30" s="24">
        <v>47</v>
      </c>
      <c r="T30" s="24"/>
      <c r="U30" s="25">
        <v>10.595726418660099</v>
      </c>
      <c r="V30" s="26"/>
      <c r="W30" s="26" t="s">
        <v>513</v>
      </c>
      <c r="X30" s="26"/>
      <c r="Y30" s="26" t="s">
        <v>513</v>
      </c>
      <c r="Z30" s="26"/>
      <c r="AA30" s="26" t="s">
        <v>513</v>
      </c>
      <c r="AB30" s="26"/>
      <c r="AC30" s="26" t="s">
        <v>514</v>
      </c>
      <c r="AD30" s="26"/>
      <c r="AE30" s="26" t="s">
        <v>514</v>
      </c>
      <c r="AF30" s="26"/>
      <c r="AG30" s="26" t="s">
        <v>389</v>
      </c>
      <c r="AH30" s="26"/>
      <c r="AI30" s="26" t="s">
        <v>514</v>
      </c>
      <c r="AJ30" s="26"/>
      <c r="AK30" s="26" t="s">
        <v>515</v>
      </c>
      <c r="AL30" s="26"/>
      <c r="AM30" s="26" t="s">
        <v>515</v>
      </c>
      <c r="AN30" s="26"/>
      <c r="AO30" s="26" t="s">
        <v>516</v>
      </c>
      <c r="AP30" s="26"/>
      <c r="AQ30" s="26" t="s">
        <v>517</v>
      </c>
      <c r="AR30" s="26"/>
      <c r="AS30" s="26" t="s">
        <v>518</v>
      </c>
      <c r="AT30" s="26"/>
      <c r="AU30" s="26" t="s">
        <v>389</v>
      </c>
      <c r="AV30" s="26"/>
      <c r="AW30" s="26" t="s">
        <v>389</v>
      </c>
      <c r="AX30" s="26"/>
      <c r="AY30" s="26" t="s">
        <v>519</v>
      </c>
      <c r="AZ30" s="26"/>
      <c r="BA30" s="26" t="s">
        <v>389</v>
      </c>
      <c r="BB30" s="26"/>
      <c r="BC30" s="26" t="s">
        <v>401</v>
      </c>
      <c r="BD30" s="26" t="s">
        <v>394</v>
      </c>
      <c r="BE30" s="26" t="s">
        <v>491</v>
      </c>
      <c r="BF30" s="26"/>
      <c r="BG30" s="26"/>
    </row>
    <row r="31" spans="1:59" ht="25.5" customHeight="1" x14ac:dyDescent="0.15">
      <c r="A31" s="23" t="s">
        <v>144</v>
      </c>
      <c r="B31" s="24">
        <v>2.8706851585410802</v>
      </c>
      <c r="C31" s="24">
        <v>4.5284948690285098</v>
      </c>
      <c r="D31" s="24">
        <v>9.1494250856074792</v>
      </c>
      <c r="E31" s="24">
        <v>13.2075861035303</v>
      </c>
      <c r="F31" s="24">
        <v>19.073672274442</v>
      </c>
      <c r="G31" s="24">
        <v>21.022747248826999</v>
      </c>
      <c r="H31" s="24">
        <v>28.178380179792899</v>
      </c>
      <c r="I31" s="24">
        <v>30.88</v>
      </c>
      <c r="J31" s="24">
        <v>33.83</v>
      </c>
      <c r="K31" s="24">
        <v>39.22</v>
      </c>
      <c r="L31" s="24">
        <v>40.65</v>
      </c>
      <c r="M31" s="24">
        <v>45.69</v>
      </c>
      <c r="N31" s="24">
        <v>48.56</v>
      </c>
      <c r="O31" s="24">
        <v>51.04</v>
      </c>
      <c r="P31" s="24">
        <v>54.551001879639202</v>
      </c>
      <c r="Q31" s="24">
        <v>58.327951734092402</v>
      </c>
      <c r="R31" s="24">
        <v>60.872540069999999</v>
      </c>
      <c r="S31" s="24">
        <v>67.471284519999998</v>
      </c>
      <c r="T31" s="24"/>
      <c r="U31" s="25">
        <v>10.595726418660099</v>
      </c>
      <c r="V31" s="26"/>
      <c r="W31" s="26"/>
      <c r="X31" s="26"/>
      <c r="Y31" s="26"/>
      <c r="Z31" s="26"/>
      <c r="AA31" s="26"/>
      <c r="AB31" s="26"/>
      <c r="AC31" s="26"/>
      <c r="AD31" s="26"/>
      <c r="AE31" s="26"/>
      <c r="AF31" s="26" t="s">
        <v>520</v>
      </c>
      <c r="AG31" s="26" t="s">
        <v>521</v>
      </c>
      <c r="AH31" s="26" t="s">
        <v>522</v>
      </c>
      <c r="AI31" s="26" t="s">
        <v>523</v>
      </c>
      <c r="AJ31" s="26" t="s">
        <v>522</v>
      </c>
      <c r="AK31" s="26" t="s">
        <v>523</v>
      </c>
      <c r="AL31" s="26" t="s">
        <v>520</v>
      </c>
      <c r="AM31" s="26" t="s">
        <v>524</v>
      </c>
      <c r="AN31" s="26" t="s">
        <v>520</v>
      </c>
      <c r="AO31" s="26" t="s">
        <v>524</v>
      </c>
      <c r="AP31" s="26" t="s">
        <v>525</v>
      </c>
      <c r="AQ31" s="26" t="s">
        <v>524</v>
      </c>
      <c r="AR31" s="26" t="s">
        <v>520</v>
      </c>
      <c r="AS31" s="26" t="s">
        <v>524</v>
      </c>
      <c r="AT31" s="26" t="s">
        <v>526</v>
      </c>
      <c r="AU31" s="26" t="s">
        <v>527</v>
      </c>
      <c r="AV31" s="26" t="s">
        <v>526</v>
      </c>
      <c r="AW31" s="26" t="s">
        <v>527</v>
      </c>
      <c r="AX31" s="26" t="s">
        <v>526</v>
      </c>
      <c r="AY31" s="26" t="s">
        <v>527</v>
      </c>
      <c r="AZ31" s="26"/>
      <c r="BA31" s="26" t="s">
        <v>524</v>
      </c>
      <c r="BB31" s="26"/>
      <c r="BC31" s="26" t="s">
        <v>527</v>
      </c>
      <c r="BD31" s="26"/>
      <c r="BE31" s="26" t="s">
        <v>527</v>
      </c>
      <c r="BF31" s="26"/>
      <c r="BG31" s="26"/>
    </row>
    <row r="32" spans="1:59" ht="25.5" customHeight="1" x14ac:dyDescent="0.15">
      <c r="A32" s="23" t="s">
        <v>234</v>
      </c>
      <c r="B32" s="24"/>
      <c r="C32" s="24"/>
      <c r="D32" s="24">
        <v>18.885741265344699</v>
      </c>
      <c r="E32" s="24"/>
      <c r="F32" s="24"/>
      <c r="G32" s="24"/>
      <c r="H32" s="24"/>
      <c r="I32" s="24"/>
      <c r="J32" s="24"/>
      <c r="K32" s="24">
        <v>36</v>
      </c>
      <c r="L32" s="24">
        <v>37</v>
      </c>
      <c r="M32" s="24">
        <v>37.4</v>
      </c>
      <c r="N32" s="24">
        <v>37.6</v>
      </c>
      <c r="O32" s="24"/>
      <c r="P32" s="24"/>
      <c r="Q32" s="24"/>
      <c r="R32" s="24">
        <v>77.701429679707402</v>
      </c>
      <c r="S32" s="24">
        <v>77.704268292682897</v>
      </c>
      <c r="T32" s="24"/>
      <c r="U32" s="25">
        <v>10.595726418660099</v>
      </c>
      <c r="V32" s="26"/>
      <c r="W32" s="26"/>
      <c r="X32" s="26"/>
      <c r="Y32" s="26"/>
      <c r="Z32" s="26"/>
      <c r="AA32" s="26"/>
      <c r="AB32" s="26"/>
      <c r="AC32" s="26"/>
      <c r="AD32" s="26"/>
      <c r="AE32" s="26"/>
      <c r="AF32" s="26"/>
      <c r="AG32" s="26"/>
      <c r="AH32" s="26"/>
      <c r="AI32" s="26"/>
      <c r="AJ32" s="26"/>
      <c r="AK32" s="26"/>
      <c r="AL32" s="26"/>
      <c r="AM32" s="26"/>
      <c r="AN32" s="26"/>
      <c r="AO32" s="26" t="s">
        <v>528</v>
      </c>
      <c r="AP32" s="26"/>
      <c r="AQ32" s="26" t="s">
        <v>528</v>
      </c>
      <c r="AR32" s="26"/>
      <c r="AS32" s="26"/>
      <c r="AT32" s="26"/>
      <c r="AU32" s="26"/>
      <c r="AV32" s="26"/>
      <c r="AW32" s="26"/>
      <c r="AX32" s="26"/>
      <c r="AY32" s="26"/>
      <c r="AZ32" s="26"/>
      <c r="BA32" s="26"/>
      <c r="BB32" s="26"/>
      <c r="BC32" s="26" t="s">
        <v>528</v>
      </c>
      <c r="BD32" s="26"/>
      <c r="BE32" s="26" t="s">
        <v>528</v>
      </c>
      <c r="BF32" s="26"/>
      <c r="BG32" s="26"/>
    </row>
    <row r="33" spans="1:59" ht="25.5" customHeight="1" x14ac:dyDescent="0.15">
      <c r="A33" s="23" t="s">
        <v>529</v>
      </c>
      <c r="B33" s="24">
        <v>8.9962845344872608</v>
      </c>
      <c r="C33" s="24">
        <v>12.9177690823013</v>
      </c>
      <c r="D33" s="24">
        <v>15.329879855734999</v>
      </c>
      <c r="E33" s="24">
        <v>19.595003220734199</v>
      </c>
      <c r="F33" s="24">
        <v>29.715604144786401</v>
      </c>
      <c r="G33" s="24">
        <v>36.466391947578202</v>
      </c>
      <c r="H33" s="24">
        <v>42.186349160930703</v>
      </c>
      <c r="I33" s="24">
        <v>44.68</v>
      </c>
      <c r="J33" s="24">
        <v>46</v>
      </c>
      <c r="K33" s="24">
        <v>49</v>
      </c>
      <c r="L33" s="24">
        <v>53</v>
      </c>
      <c r="M33" s="24">
        <v>56</v>
      </c>
      <c r="N33" s="24">
        <v>60.273065042319303</v>
      </c>
      <c r="O33" s="24">
        <v>64.5</v>
      </c>
      <c r="P33" s="24">
        <v>68.77</v>
      </c>
      <c r="Q33" s="24">
        <v>71.2</v>
      </c>
      <c r="R33" s="24">
        <v>90</v>
      </c>
      <c r="S33" s="24">
        <v>94.866691641129293</v>
      </c>
      <c r="T33" s="24">
        <v>94.600047472110106</v>
      </c>
      <c r="U33" s="25">
        <v>10.595726418660099</v>
      </c>
      <c r="V33" s="26"/>
      <c r="W33" s="26" t="s">
        <v>530</v>
      </c>
      <c r="X33" s="26"/>
      <c r="Y33" s="26" t="s">
        <v>530</v>
      </c>
      <c r="Z33" s="26"/>
      <c r="AA33" s="26" t="s">
        <v>531</v>
      </c>
      <c r="AB33" s="26"/>
      <c r="AC33" s="26" t="s">
        <v>531</v>
      </c>
      <c r="AD33" s="26"/>
      <c r="AE33" s="26" t="s">
        <v>531</v>
      </c>
      <c r="AF33" s="26"/>
      <c r="AG33" s="26" t="s">
        <v>531</v>
      </c>
      <c r="AH33" s="26"/>
      <c r="AI33" s="26" t="s">
        <v>531</v>
      </c>
      <c r="AJ33" s="26"/>
      <c r="AK33" s="26" t="s">
        <v>532</v>
      </c>
      <c r="AL33" s="26" t="s">
        <v>533</v>
      </c>
      <c r="AM33" s="26" t="s">
        <v>534</v>
      </c>
      <c r="AN33" s="26" t="s">
        <v>533</v>
      </c>
      <c r="AO33" s="26" t="s">
        <v>534</v>
      </c>
      <c r="AP33" s="26"/>
      <c r="AQ33" s="26" t="s">
        <v>389</v>
      </c>
      <c r="AR33" s="26"/>
      <c r="AS33" s="26" t="s">
        <v>389</v>
      </c>
      <c r="AT33" s="26"/>
      <c r="AU33" s="26" t="s">
        <v>389</v>
      </c>
      <c r="AV33" s="26"/>
      <c r="AW33" s="26" t="s">
        <v>389</v>
      </c>
      <c r="AX33" s="26"/>
      <c r="AY33" s="26" t="s">
        <v>389</v>
      </c>
      <c r="AZ33" s="26"/>
      <c r="BA33" s="26" t="s">
        <v>389</v>
      </c>
      <c r="BB33" s="26"/>
      <c r="BC33" s="26" t="s">
        <v>534</v>
      </c>
      <c r="BD33" s="26"/>
      <c r="BE33" s="26" t="s">
        <v>389</v>
      </c>
      <c r="BF33" s="26"/>
      <c r="BG33" s="26" t="s">
        <v>534</v>
      </c>
    </row>
    <row r="34" spans="1:59" ht="25.5" customHeight="1" x14ac:dyDescent="0.15">
      <c r="A34" s="23" t="s">
        <v>68</v>
      </c>
      <c r="B34" s="24">
        <v>5.3709234690869598</v>
      </c>
      <c r="C34" s="24">
        <v>7.6122977487982002</v>
      </c>
      <c r="D34" s="24">
        <v>9.08</v>
      </c>
      <c r="E34" s="24">
        <v>12.04</v>
      </c>
      <c r="F34" s="24">
        <v>18.13</v>
      </c>
      <c r="G34" s="24">
        <v>19.97</v>
      </c>
      <c r="H34" s="24">
        <v>27.09</v>
      </c>
      <c r="I34" s="24">
        <v>33.64</v>
      </c>
      <c r="J34" s="24">
        <v>39.67</v>
      </c>
      <c r="K34" s="24">
        <v>45</v>
      </c>
      <c r="L34" s="24">
        <v>46.23</v>
      </c>
      <c r="M34" s="24">
        <v>47.979993050602602</v>
      </c>
      <c r="N34" s="24">
        <v>51.899987665850297</v>
      </c>
      <c r="O34" s="24">
        <v>53.061500000000002</v>
      </c>
      <c r="P34" s="24">
        <v>55.49</v>
      </c>
      <c r="Q34" s="24">
        <v>56.656300000000002</v>
      </c>
      <c r="R34" s="24">
        <v>59.825547659999998</v>
      </c>
      <c r="S34" s="24">
        <v>63.41010138</v>
      </c>
      <c r="T34" s="24">
        <v>64.782010691180005</v>
      </c>
      <c r="U34" s="25">
        <v>10.595726418660099</v>
      </c>
      <c r="V34" s="26"/>
      <c r="W34" s="26" t="s">
        <v>535</v>
      </c>
      <c r="X34" s="26"/>
      <c r="Y34" s="26" t="s">
        <v>535</v>
      </c>
      <c r="Z34" s="26"/>
      <c r="AA34" s="26" t="s">
        <v>536</v>
      </c>
      <c r="AB34" s="26"/>
      <c r="AC34" s="26" t="s">
        <v>536</v>
      </c>
      <c r="AD34" s="26" t="s">
        <v>443</v>
      </c>
      <c r="AE34" s="26" t="s">
        <v>449</v>
      </c>
      <c r="AF34" s="26" t="s">
        <v>443</v>
      </c>
      <c r="AG34" s="26" t="s">
        <v>536</v>
      </c>
      <c r="AH34" s="26" t="s">
        <v>443</v>
      </c>
      <c r="AI34" s="26" t="s">
        <v>449</v>
      </c>
      <c r="AJ34" s="26" t="s">
        <v>443</v>
      </c>
      <c r="AK34" s="26" t="s">
        <v>537</v>
      </c>
      <c r="AL34" s="26" t="s">
        <v>443</v>
      </c>
      <c r="AM34" s="26" t="s">
        <v>537</v>
      </c>
      <c r="AN34" s="26" t="s">
        <v>538</v>
      </c>
      <c r="AO34" s="26" t="s">
        <v>537</v>
      </c>
      <c r="AP34" s="26" t="s">
        <v>538</v>
      </c>
      <c r="AQ34" s="26" t="s">
        <v>537</v>
      </c>
      <c r="AR34" s="26" t="s">
        <v>444</v>
      </c>
      <c r="AS34" s="26" t="s">
        <v>442</v>
      </c>
      <c r="AT34" s="26" t="s">
        <v>445</v>
      </c>
      <c r="AU34" s="26" t="s">
        <v>442</v>
      </c>
      <c r="AV34" s="26" t="s">
        <v>443</v>
      </c>
      <c r="AW34" s="26" t="s">
        <v>442</v>
      </c>
      <c r="AX34" s="26" t="s">
        <v>443</v>
      </c>
      <c r="AY34" s="26" t="s">
        <v>449</v>
      </c>
      <c r="AZ34" s="26" t="s">
        <v>443</v>
      </c>
      <c r="BA34" s="26" t="s">
        <v>442</v>
      </c>
      <c r="BB34" s="26"/>
      <c r="BC34" s="26" t="s">
        <v>539</v>
      </c>
      <c r="BD34" s="26"/>
      <c r="BE34" s="26" t="s">
        <v>539</v>
      </c>
      <c r="BF34" s="26"/>
      <c r="BG34" s="26" t="s">
        <v>539</v>
      </c>
    </row>
    <row r="35" spans="1:59" ht="25.5" customHeight="1" x14ac:dyDescent="0.15">
      <c r="A35" s="23" t="s">
        <v>31</v>
      </c>
      <c r="B35" s="24">
        <v>7.7080168942601404E-2</v>
      </c>
      <c r="C35" s="24">
        <v>0.15773246465360699</v>
      </c>
      <c r="D35" s="24">
        <v>0.20099259792500099</v>
      </c>
      <c r="E35" s="24">
        <v>0.37344030323352601</v>
      </c>
      <c r="F35" s="24">
        <v>0.40029528549217802</v>
      </c>
      <c r="G35" s="24">
        <v>0.46991448865665703</v>
      </c>
      <c r="H35" s="24">
        <v>0.63270756446182896</v>
      </c>
      <c r="I35" s="24">
        <v>0.75</v>
      </c>
      <c r="J35" s="24">
        <v>0.92</v>
      </c>
      <c r="K35" s="24">
        <v>1.1299999999999999</v>
      </c>
      <c r="L35" s="24">
        <v>2.4</v>
      </c>
      <c r="M35" s="24">
        <v>3</v>
      </c>
      <c r="N35" s="24">
        <v>3.72503491597675</v>
      </c>
      <c r="O35" s="24">
        <v>9.1</v>
      </c>
      <c r="P35" s="24">
        <v>9.4</v>
      </c>
      <c r="Q35" s="24">
        <v>14</v>
      </c>
      <c r="R35" s="24">
        <v>13.96</v>
      </c>
      <c r="S35" s="24">
        <v>16</v>
      </c>
      <c r="T35" s="24"/>
      <c r="U35" s="25">
        <v>10.595726418660099</v>
      </c>
      <c r="V35" s="26"/>
      <c r="W35" s="26"/>
      <c r="X35" s="26"/>
      <c r="Y35" s="26"/>
      <c r="Z35" s="26"/>
      <c r="AA35" s="26"/>
      <c r="AB35" s="26"/>
      <c r="AC35" s="26"/>
      <c r="AD35" s="26"/>
      <c r="AE35" s="26"/>
      <c r="AF35" s="26"/>
      <c r="AG35" s="26"/>
      <c r="AH35" s="26"/>
      <c r="AI35" s="26"/>
      <c r="AJ35" s="26"/>
      <c r="AK35" s="26" t="s">
        <v>540</v>
      </c>
      <c r="AL35" s="26"/>
      <c r="AM35" s="26" t="s">
        <v>389</v>
      </c>
      <c r="AN35" s="26"/>
      <c r="AO35" s="26" t="s">
        <v>389</v>
      </c>
      <c r="AP35" s="26"/>
      <c r="AQ35" s="26" t="s">
        <v>389</v>
      </c>
      <c r="AR35" s="26"/>
      <c r="AS35" s="26" t="s">
        <v>389</v>
      </c>
      <c r="AT35" s="26"/>
      <c r="AU35" s="26" t="s">
        <v>389</v>
      </c>
      <c r="AV35" s="26"/>
      <c r="AW35" s="26" t="s">
        <v>389</v>
      </c>
      <c r="AX35" s="26"/>
      <c r="AY35" s="26" t="s">
        <v>389</v>
      </c>
      <c r="AZ35" s="26" t="s">
        <v>490</v>
      </c>
      <c r="BA35" s="26" t="s">
        <v>491</v>
      </c>
      <c r="BB35" s="26"/>
      <c r="BC35" s="26" t="s">
        <v>401</v>
      </c>
      <c r="BD35" s="26" t="s">
        <v>490</v>
      </c>
      <c r="BE35" s="26" t="s">
        <v>491</v>
      </c>
      <c r="BF35" s="26"/>
      <c r="BG35" s="26"/>
    </row>
    <row r="36" spans="1:59" ht="25.5" customHeight="1" x14ac:dyDescent="0.15">
      <c r="A36" s="23" t="s">
        <v>12</v>
      </c>
      <c r="B36" s="24">
        <v>7.7248447383456001E-2</v>
      </c>
      <c r="C36" s="24">
        <v>0.106001245363203</v>
      </c>
      <c r="D36" s="24">
        <v>0.118228412267794</v>
      </c>
      <c r="E36" s="24">
        <v>0.201273196735924</v>
      </c>
      <c r="F36" s="24">
        <v>0.349060461879596</v>
      </c>
      <c r="G36" s="24">
        <v>0.54214286575905601</v>
      </c>
      <c r="H36" s="24">
        <v>0.65759259035190698</v>
      </c>
      <c r="I36" s="24">
        <v>0.7</v>
      </c>
      <c r="J36" s="24">
        <v>0.81</v>
      </c>
      <c r="K36" s="24">
        <v>0.9</v>
      </c>
      <c r="L36" s="24">
        <v>1</v>
      </c>
      <c r="M36" s="24">
        <v>1.1100000000000001</v>
      </c>
      <c r="N36" s="24">
        <v>1.2199999447779299</v>
      </c>
      <c r="O36" s="24">
        <v>1.2642181111999999</v>
      </c>
      <c r="P36" s="24">
        <v>1.38</v>
      </c>
      <c r="Q36" s="24">
        <v>4.8662244635951097</v>
      </c>
      <c r="R36" s="24">
        <v>5.1736267765288604</v>
      </c>
      <c r="S36" s="24">
        <v>2.6607485347534001</v>
      </c>
      <c r="T36" s="24"/>
      <c r="U36" s="25">
        <v>10.595726418660099</v>
      </c>
      <c r="V36" s="26"/>
      <c r="W36" s="26"/>
      <c r="X36" s="26"/>
      <c r="Y36" s="26"/>
      <c r="Z36" s="26"/>
      <c r="AA36" s="26"/>
      <c r="AB36" s="26"/>
      <c r="AC36" s="26"/>
      <c r="AD36" s="26"/>
      <c r="AE36" s="26"/>
      <c r="AF36" s="26"/>
      <c r="AG36" s="26"/>
      <c r="AH36" s="26"/>
      <c r="AI36" s="26"/>
      <c r="AJ36" s="26"/>
      <c r="AK36" s="26" t="s">
        <v>541</v>
      </c>
      <c r="AL36" s="26"/>
      <c r="AM36" s="26" t="s">
        <v>541</v>
      </c>
      <c r="AN36" s="26"/>
      <c r="AO36" s="26" t="s">
        <v>393</v>
      </c>
      <c r="AP36" s="26"/>
      <c r="AQ36" s="26" t="s">
        <v>393</v>
      </c>
      <c r="AR36" s="26"/>
      <c r="AS36" s="26" t="s">
        <v>389</v>
      </c>
      <c r="AT36" s="26"/>
      <c r="AU36" s="26" t="s">
        <v>389</v>
      </c>
      <c r="AV36" s="26" t="s">
        <v>485</v>
      </c>
      <c r="AW36" s="26" t="s">
        <v>542</v>
      </c>
      <c r="AX36" s="26"/>
      <c r="AY36" s="26" t="s">
        <v>389</v>
      </c>
      <c r="AZ36" s="26"/>
      <c r="BA36" s="26" t="s">
        <v>389</v>
      </c>
      <c r="BB36" s="26"/>
      <c r="BC36" s="26" t="s">
        <v>401</v>
      </c>
      <c r="BD36" s="26"/>
      <c r="BE36" s="26" t="s">
        <v>542</v>
      </c>
      <c r="BF36" s="26"/>
      <c r="BG36" s="26"/>
    </row>
    <row r="37" spans="1:59" ht="25.5" customHeight="1" x14ac:dyDescent="0.15">
      <c r="A37" s="23" t="s">
        <v>543</v>
      </c>
      <c r="B37" s="24">
        <v>1.8224438516439601</v>
      </c>
      <c r="C37" s="24">
        <v>2.6853327127231101</v>
      </c>
      <c r="D37" s="24">
        <v>3.5187571749658</v>
      </c>
      <c r="E37" s="24">
        <v>4.3248853905371503</v>
      </c>
      <c r="F37" s="24">
        <v>5.3188320695788303</v>
      </c>
      <c r="G37" s="24">
        <v>6.0740871065981299</v>
      </c>
      <c r="H37" s="24">
        <v>6.8089110075331298</v>
      </c>
      <c r="I37" s="24">
        <v>8.2832198195303395</v>
      </c>
      <c r="J37" s="24">
        <v>14</v>
      </c>
      <c r="K37" s="24">
        <v>21</v>
      </c>
      <c r="L37" s="24">
        <v>30</v>
      </c>
      <c r="M37" s="24">
        <v>32</v>
      </c>
      <c r="N37" s="24">
        <v>34.74</v>
      </c>
      <c r="O37" s="24">
        <v>37.5</v>
      </c>
      <c r="P37" s="24">
        <v>40.26</v>
      </c>
      <c r="Q37" s="24">
        <v>42.68</v>
      </c>
      <c r="R37" s="24">
        <v>50.322817870000002</v>
      </c>
      <c r="S37" s="24">
        <v>57.16214635</v>
      </c>
      <c r="T37" s="24">
        <v>58.1713720146819</v>
      </c>
      <c r="U37" s="25">
        <v>10.595726418660099</v>
      </c>
      <c r="V37" s="26"/>
      <c r="W37" s="26" t="s">
        <v>544</v>
      </c>
      <c r="X37" s="26"/>
      <c r="Y37" s="26" t="s">
        <v>544</v>
      </c>
      <c r="Z37" s="26"/>
      <c r="AA37" s="26" t="s">
        <v>389</v>
      </c>
      <c r="AB37" s="26"/>
      <c r="AC37" s="26" t="s">
        <v>544</v>
      </c>
      <c r="AD37" s="26"/>
      <c r="AE37" s="26" t="s">
        <v>544</v>
      </c>
      <c r="AF37" s="26"/>
      <c r="AG37" s="26" t="s">
        <v>545</v>
      </c>
      <c r="AH37" s="26"/>
      <c r="AI37" s="26" t="s">
        <v>545</v>
      </c>
      <c r="AJ37" s="26"/>
      <c r="AK37" s="26" t="s">
        <v>545</v>
      </c>
      <c r="AL37" s="26"/>
      <c r="AM37" s="26" t="s">
        <v>389</v>
      </c>
      <c r="AN37" s="26"/>
      <c r="AO37" s="26" t="s">
        <v>389</v>
      </c>
      <c r="AP37" s="26"/>
      <c r="AQ37" s="26" t="s">
        <v>389</v>
      </c>
      <c r="AR37" s="26"/>
      <c r="AS37" s="26" t="s">
        <v>389</v>
      </c>
      <c r="AT37" s="26"/>
      <c r="AU37" s="26" t="s">
        <v>546</v>
      </c>
      <c r="AV37" s="26"/>
      <c r="AW37" s="26" t="s">
        <v>389</v>
      </c>
      <c r="AX37" s="26"/>
      <c r="AY37" s="26" t="s">
        <v>389</v>
      </c>
      <c r="AZ37" s="26"/>
      <c r="BA37" s="26" t="s">
        <v>408</v>
      </c>
      <c r="BB37" s="26" t="s">
        <v>547</v>
      </c>
      <c r="BC37" s="26" t="s">
        <v>546</v>
      </c>
      <c r="BD37" s="26" t="s">
        <v>548</v>
      </c>
      <c r="BE37" s="26" t="s">
        <v>546</v>
      </c>
      <c r="BF37" s="26"/>
      <c r="BG37" s="26" t="s">
        <v>546</v>
      </c>
    </row>
    <row r="38" spans="1:59" ht="25.5" customHeight="1" x14ac:dyDescent="0.15">
      <c r="A38" s="23" t="s">
        <v>92</v>
      </c>
      <c r="B38" s="24">
        <v>4.7022640068884999E-2</v>
      </c>
      <c r="C38" s="24">
        <v>7.6956055552729594E-2</v>
      </c>
      <c r="D38" s="24">
        <v>0.22698323766620401</v>
      </c>
      <c r="E38" s="24">
        <v>0.26057019757400202</v>
      </c>
      <c r="F38" s="24">
        <v>0.30043664436010098</v>
      </c>
      <c r="G38" s="24">
        <v>0.31732178108965597</v>
      </c>
      <c r="H38" s="24">
        <v>0.468356720063827</v>
      </c>
      <c r="I38" s="24">
        <v>0.49</v>
      </c>
      <c r="J38" s="24">
        <v>0.51</v>
      </c>
      <c r="K38" s="24">
        <v>0.53</v>
      </c>
      <c r="L38" s="24">
        <v>1.26</v>
      </c>
      <c r="M38" s="24">
        <v>3.1</v>
      </c>
      <c r="N38" s="24">
        <v>4.9400000000000004</v>
      </c>
      <c r="O38" s="24">
        <v>6.8</v>
      </c>
      <c r="P38" s="24">
        <v>14</v>
      </c>
      <c r="Q38" s="24">
        <v>6.4331910702140496</v>
      </c>
      <c r="R38" s="24">
        <v>32.398451710000003</v>
      </c>
      <c r="S38" s="24">
        <v>32.446948560000003</v>
      </c>
      <c r="T38" s="24">
        <v>40</v>
      </c>
      <c r="U38" s="25">
        <v>10.595726418660099</v>
      </c>
      <c r="V38" s="26"/>
      <c r="W38" s="26" t="s">
        <v>549</v>
      </c>
      <c r="X38" s="26"/>
      <c r="Y38" s="26" t="s">
        <v>549</v>
      </c>
      <c r="Z38" s="26"/>
      <c r="AA38" s="26" t="s">
        <v>549</v>
      </c>
      <c r="AB38" s="26"/>
      <c r="AC38" s="26" t="s">
        <v>549</v>
      </c>
      <c r="AD38" s="26"/>
      <c r="AE38" s="26" t="s">
        <v>549</v>
      </c>
      <c r="AF38" s="26"/>
      <c r="AG38" s="26" t="s">
        <v>549</v>
      </c>
      <c r="AH38" s="26"/>
      <c r="AI38" s="26" t="s">
        <v>389</v>
      </c>
      <c r="AJ38" s="26"/>
      <c r="AK38" s="26" t="s">
        <v>550</v>
      </c>
      <c r="AL38" s="26"/>
      <c r="AM38" s="26" t="s">
        <v>550</v>
      </c>
      <c r="AN38" s="26"/>
      <c r="AO38" s="26" t="s">
        <v>550</v>
      </c>
      <c r="AP38" s="26"/>
      <c r="AQ38" s="26" t="s">
        <v>551</v>
      </c>
      <c r="AR38" s="26"/>
      <c r="AS38" s="26" t="s">
        <v>389</v>
      </c>
      <c r="AT38" s="26"/>
      <c r="AU38" s="26" t="s">
        <v>552</v>
      </c>
      <c r="AV38" s="26" t="s">
        <v>553</v>
      </c>
      <c r="AW38" s="26" t="s">
        <v>554</v>
      </c>
      <c r="AX38" s="26"/>
      <c r="AY38" s="26" t="s">
        <v>389</v>
      </c>
      <c r="AZ38" s="26"/>
      <c r="BA38" s="26" t="s">
        <v>552</v>
      </c>
      <c r="BB38" s="26"/>
      <c r="BC38" s="26" t="s">
        <v>552</v>
      </c>
      <c r="BD38" s="26"/>
      <c r="BE38" s="26" t="s">
        <v>552</v>
      </c>
      <c r="BF38" s="26"/>
      <c r="BG38" s="26" t="s">
        <v>552</v>
      </c>
    </row>
    <row r="39" spans="1:59" ht="25.5" customHeight="1" x14ac:dyDescent="0.15">
      <c r="A39" s="23" t="s">
        <v>10</v>
      </c>
      <c r="B39" s="24">
        <v>0.25212007773366202</v>
      </c>
      <c r="C39" s="24">
        <v>0.27705132184879699</v>
      </c>
      <c r="D39" s="24">
        <v>0.36087158426775501</v>
      </c>
      <c r="E39" s="24">
        <v>0.587622611130454</v>
      </c>
      <c r="F39" s="24">
        <v>0.97607541549090204</v>
      </c>
      <c r="G39" s="24">
        <v>1.40265422575955</v>
      </c>
      <c r="H39" s="24">
        <v>2.0287447914719001</v>
      </c>
      <c r="I39" s="24">
        <v>2.93</v>
      </c>
      <c r="J39" s="24">
        <v>3.4</v>
      </c>
      <c r="K39" s="24">
        <v>3.84</v>
      </c>
      <c r="L39" s="24">
        <v>4.3</v>
      </c>
      <c r="M39" s="24">
        <v>5</v>
      </c>
      <c r="N39" s="24">
        <v>7.5</v>
      </c>
      <c r="O39" s="24">
        <v>10</v>
      </c>
      <c r="P39" s="24">
        <v>16.214872225752401</v>
      </c>
      <c r="Q39" s="24">
        <v>20.6801476606263</v>
      </c>
      <c r="R39" s="24">
        <v>23.2029719748646</v>
      </c>
      <c r="S39" s="24">
        <v>23.20297197</v>
      </c>
      <c r="T39" s="24"/>
      <c r="U39" s="25">
        <v>10.595726418660099</v>
      </c>
      <c r="V39" s="26"/>
      <c r="W39" s="26"/>
      <c r="X39" s="26"/>
      <c r="Y39" s="26"/>
      <c r="Z39" s="26"/>
      <c r="AA39" s="26"/>
      <c r="AB39" s="26"/>
      <c r="AC39" s="26"/>
      <c r="AD39" s="26"/>
      <c r="AE39" s="26"/>
      <c r="AF39" s="26"/>
      <c r="AG39" s="26"/>
      <c r="AH39" s="26"/>
      <c r="AI39" s="26"/>
      <c r="AJ39" s="26"/>
      <c r="AK39" s="26" t="s">
        <v>555</v>
      </c>
      <c r="AL39" s="26"/>
      <c r="AM39" s="26" t="s">
        <v>389</v>
      </c>
      <c r="AN39" s="26"/>
      <c r="AO39" s="26" t="s">
        <v>555</v>
      </c>
      <c r="AP39" s="26"/>
      <c r="AQ39" s="26" t="s">
        <v>389</v>
      </c>
      <c r="AR39" s="26"/>
      <c r="AS39" s="26" t="s">
        <v>393</v>
      </c>
      <c r="AT39" s="26"/>
      <c r="AU39" s="26" t="s">
        <v>389</v>
      </c>
      <c r="AV39" s="26"/>
      <c r="AW39" s="26" t="s">
        <v>389</v>
      </c>
      <c r="AX39" s="26" t="s">
        <v>431</v>
      </c>
      <c r="AY39" s="26" t="s">
        <v>556</v>
      </c>
      <c r="AZ39" s="26"/>
      <c r="BA39" s="26" t="s">
        <v>389</v>
      </c>
      <c r="BB39" s="26"/>
      <c r="BC39" s="26" t="s">
        <v>437</v>
      </c>
      <c r="BD39" s="26" t="s">
        <v>557</v>
      </c>
      <c r="BE39" s="26" t="s">
        <v>556</v>
      </c>
      <c r="BF39" s="26"/>
      <c r="BG39" s="26"/>
    </row>
    <row r="40" spans="1:59" ht="25.5" customHeight="1" x14ac:dyDescent="0.15">
      <c r="A40" s="23" t="s">
        <v>97</v>
      </c>
      <c r="B40" s="24">
        <v>51.3</v>
      </c>
      <c r="C40" s="24">
        <v>60.2</v>
      </c>
      <c r="D40" s="24">
        <v>61.593299268195203</v>
      </c>
      <c r="E40" s="24">
        <v>64.2</v>
      </c>
      <c r="F40" s="24">
        <v>65.9559634648989</v>
      </c>
      <c r="G40" s="24">
        <v>71.66</v>
      </c>
      <c r="H40" s="24">
        <v>72.400000000000006</v>
      </c>
      <c r="I40" s="24">
        <v>73.2</v>
      </c>
      <c r="J40" s="24">
        <v>76.7</v>
      </c>
      <c r="K40" s="24">
        <v>80.3</v>
      </c>
      <c r="L40" s="24">
        <v>80.3</v>
      </c>
      <c r="M40" s="24">
        <v>83</v>
      </c>
      <c r="N40" s="24">
        <v>83</v>
      </c>
      <c r="O40" s="24">
        <v>85.8</v>
      </c>
      <c r="P40" s="24">
        <v>87.12</v>
      </c>
      <c r="Q40" s="24">
        <v>90</v>
      </c>
      <c r="R40" s="24">
        <v>91.16</v>
      </c>
      <c r="S40" s="24">
        <v>91</v>
      </c>
      <c r="T40" s="24"/>
      <c r="U40" s="25">
        <v>10.595726418660099</v>
      </c>
      <c r="V40" s="26" t="s">
        <v>558</v>
      </c>
      <c r="W40" s="26" t="s">
        <v>559</v>
      </c>
      <c r="X40" s="26" t="s">
        <v>558</v>
      </c>
      <c r="Y40" s="26" t="s">
        <v>559</v>
      </c>
      <c r="Z40" s="26" t="s">
        <v>558</v>
      </c>
      <c r="AA40" s="26" t="s">
        <v>559</v>
      </c>
      <c r="AB40" s="26" t="s">
        <v>558</v>
      </c>
      <c r="AC40" s="26" t="s">
        <v>559</v>
      </c>
      <c r="AD40" s="26" t="s">
        <v>558</v>
      </c>
      <c r="AE40" s="26" t="s">
        <v>559</v>
      </c>
      <c r="AF40" s="26" t="s">
        <v>470</v>
      </c>
      <c r="AG40" s="26" t="s">
        <v>559</v>
      </c>
      <c r="AH40" s="26" t="s">
        <v>560</v>
      </c>
      <c r="AI40" s="26" t="s">
        <v>389</v>
      </c>
      <c r="AJ40" s="26" t="s">
        <v>470</v>
      </c>
      <c r="AK40" s="26" t="s">
        <v>559</v>
      </c>
      <c r="AL40" s="26" t="s">
        <v>561</v>
      </c>
      <c r="AM40" s="26" t="s">
        <v>389</v>
      </c>
      <c r="AN40" s="26" t="s">
        <v>470</v>
      </c>
      <c r="AO40" s="26" t="s">
        <v>559</v>
      </c>
      <c r="AP40" s="26" t="s">
        <v>562</v>
      </c>
      <c r="AQ40" s="26" t="s">
        <v>559</v>
      </c>
      <c r="AR40" s="26"/>
      <c r="AS40" s="26" t="s">
        <v>389</v>
      </c>
      <c r="AT40" s="26" t="s">
        <v>563</v>
      </c>
      <c r="AU40" s="26" t="s">
        <v>564</v>
      </c>
      <c r="AV40" s="26"/>
      <c r="AW40" s="26" t="s">
        <v>389</v>
      </c>
      <c r="AX40" s="26"/>
      <c r="AY40" s="26" t="s">
        <v>389</v>
      </c>
      <c r="AZ40" s="26" t="s">
        <v>394</v>
      </c>
      <c r="BA40" s="26" t="s">
        <v>565</v>
      </c>
      <c r="BB40" s="26"/>
      <c r="BC40" s="26" t="s">
        <v>566</v>
      </c>
      <c r="BD40" s="26" t="s">
        <v>394</v>
      </c>
      <c r="BE40" s="26" t="s">
        <v>565</v>
      </c>
      <c r="BF40" s="26"/>
      <c r="BG40" s="26"/>
    </row>
    <row r="41" spans="1:59" ht="25.5" customHeight="1" x14ac:dyDescent="0.15">
      <c r="A41" s="23" t="s">
        <v>199</v>
      </c>
      <c r="B41" s="24"/>
      <c r="C41" s="24"/>
      <c r="D41" s="24"/>
      <c r="E41" s="24"/>
      <c r="F41" s="24"/>
      <c r="G41" s="24">
        <v>38.034383082306398</v>
      </c>
      <c r="H41" s="24">
        <v>44.5</v>
      </c>
      <c r="I41" s="24">
        <v>52</v>
      </c>
      <c r="J41" s="24">
        <v>61</v>
      </c>
      <c r="K41" s="24">
        <v>64.5</v>
      </c>
      <c r="L41" s="24">
        <v>66</v>
      </c>
      <c r="M41" s="24">
        <v>69.465944989999997</v>
      </c>
      <c r="N41" s="24">
        <v>69.7</v>
      </c>
      <c r="O41" s="24">
        <v>71.400000000000006</v>
      </c>
      <c r="P41" s="24">
        <v>74.099999999999994</v>
      </c>
      <c r="Q41" s="24">
        <v>77</v>
      </c>
      <c r="R41" s="24">
        <v>79</v>
      </c>
      <c r="S41" s="24">
        <v>81.067693250816106</v>
      </c>
      <c r="T41" s="24"/>
      <c r="U41" s="25">
        <v>10.595726418660099</v>
      </c>
      <c r="V41" s="26"/>
      <c r="W41" s="26"/>
      <c r="X41" s="26"/>
      <c r="Y41" s="26"/>
      <c r="Z41" s="26"/>
      <c r="AA41" s="26"/>
      <c r="AB41" s="26"/>
      <c r="AC41" s="26"/>
      <c r="AD41" s="26"/>
      <c r="AE41" s="26"/>
      <c r="AF41" s="26" t="s">
        <v>567</v>
      </c>
      <c r="AG41" s="26"/>
      <c r="AH41" s="26"/>
      <c r="AI41" s="26" t="s">
        <v>389</v>
      </c>
      <c r="AJ41" s="26"/>
      <c r="AK41" s="26" t="s">
        <v>389</v>
      </c>
      <c r="AL41" s="26"/>
      <c r="AM41" s="26" t="s">
        <v>568</v>
      </c>
      <c r="AN41" s="26"/>
      <c r="AO41" s="26" t="s">
        <v>568</v>
      </c>
      <c r="AP41" s="26"/>
      <c r="AQ41" s="26" t="s">
        <v>569</v>
      </c>
      <c r="AR41" s="26"/>
      <c r="AS41" s="26" t="s">
        <v>389</v>
      </c>
      <c r="AT41" s="26"/>
      <c r="AU41" s="26" t="s">
        <v>389</v>
      </c>
      <c r="AV41" s="26"/>
      <c r="AW41" s="26" t="s">
        <v>389</v>
      </c>
      <c r="AX41" s="26"/>
      <c r="AY41" s="26" t="s">
        <v>389</v>
      </c>
      <c r="AZ41" s="26"/>
      <c r="BA41" s="26" t="s">
        <v>389</v>
      </c>
      <c r="BB41" s="26"/>
      <c r="BC41" s="26" t="s">
        <v>401</v>
      </c>
      <c r="BD41" s="26"/>
      <c r="BE41" s="26" t="s">
        <v>389</v>
      </c>
      <c r="BF41" s="26"/>
      <c r="BG41" s="26"/>
    </row>
    <row r="42" spans="1:59" ht="25.5" customHeight="1" x14ac:dyDescent="0.15">
      <c r="A42" s="23" t="s">
        <v>570</v>
      </c>
      <c r="B42" s="24">
        <v>5.3394174215045602E-2</v>
      </c>
      <c r="C42" s="24">
        <v>7.8543427839403795E-2</v>
      </c>
      <c r="D42" s="24">
        <v>0.12853711650629901</v>
      </c>
      <c r="E42" s="24">
        <v>0.151563337940017</v>
      </c>
      <c r="F42" s="24">
        <v>0.22340139546440599</v>
      </c>
      <c r="G42" s="24">
        <v>0.26819560919901198</v>
      </c>
      <c r="H42" s="24">
        <v>0.31115917323571601</v>
      </c>
      <c r="I42" s="24">
        <v>0.37581596104479698</v>
      </c>
      <c r="J42" s="24">
        <v>1</v>
      </c>
      <c r="K42" s="24">
        <v>1.8</v>
      </c>
      <c r="L42" s="24">
        <v>2</v>
      </c>
      <c r="M42" s="24">
        <v>2.2000000000000002</v>
      </c>
      <c r="N42" s="24">
        <v>3</v>
      </c>
      <c r="O42" s="24">
        <v>3.4</v>
      </c>
      <c r="P42" s="24">
        <v>3.6</v>
      </c>
      <c r="Q42" s="24">
        <v>3.8</v>
      </c>
      <c r="R42" s="24">
        <v>4</v>
      </c>
      <c r="S42" s="24">
        <v>4.3392549446182702</v>
      </c>
      <c r="T42" s="24"/>
      <c r="U42" s="25">
        <v>10.595726418660099</v>
      </c>
      <c r="V42" s="26"/>
      <c r="W42" s="26"/>
      <c r="X42" s="26"/>
      <c r="Y42" s="26"/>
      <c r="Z42" s="26"/>
      <c r="AA42" s="26"/>
      <c r="AB42" s="26"/>
      <c r="AC42" s="26" t="s">
        <v>389</v>
      </c>
      <c r="AD42" s="26"/>
      <c r="AE42" s="26" t="s">
        <v>389</v>
      </c>
      <c r="AF42" s="26"/>
      <c r="AG42" s="26" t="s">
        <v>389</v>
      </c>
      <c r="AH42" s="26"/>
      <c r="AI42" s="26" t="s">
        <v>389</v>
      </c>
      <c r="AJ42" s="26"/>
      <c r="AK42" s="26" t="s">
        <v>571</v>
      </c>
      <c r="AL42" s="26"/>
      <c r="AM42" s="26" t="s">
        <v>571</v>
      </c>
      <c r="AN42" s="26"/>
      <c r="AO42" s="26" t="s">
        <v>389</v>
      </c>
      <c r="AP42" s="26"/>
      <c r="AQ42" s="26" t="s">
        <v>393</v>
      </c>
      <c r="AR42" s="26"/>
      <c r="AS42" s="26" t="s">
        <v>389</v>
      </c>
      <c r="AT42" s="26"/>
      <c r="AU42" s="26" t="s">
        <v>389</v>
      </c>
      <c r="AV42" s="26"/>
      <c r="AW42" s="26" t="s">
        <v>389</v>
      </c>
      <c r="AX42" s="26"/>
      <c r="AY42" s="26" t="s">
        <v>389</v>
      </c>
      <c r="AZ42" s="26"/>
      <c r="BA42" s="26" t="s">
        <v>389</v>
      </c>
      <c r="BB42" s="26"/>
      <c r="BC42" s="26" t="s">
        <v>389</v>
      </c>
      <c r="BD42" s="26"/>
      <c r="BE42" s="26" t="s">
        <v>389</v>
      </c>
      <c r="BF42" s="26"/>
      <c r="BG42" s="26"/>
    </row>
    <row r="43" spans="1:59" ht="25.5" customHeight="1" x14ac:dyDescent="0.15">
      <c r="A43" s="23" t="s">
        <v>47</v>
      </c>
      <c r="B43" s="24">
        <v>3.5707076285549998E-2</v>
      </c>
      <c r="C43" s="24">
        <v>4.5934134355735297E-2</v>
      </c>
      <c r="D43" s="24">
        <v>0.166069664674347</v>
      </c>
      <c r="E43" s="24">
        <v>0.32030855536677499</v>
      </c>
      <c r="F43" s="24">
        <v>0.36092010703446697</v>
      </c>
      <c r="G43" s="24">
        <v>0.39925770008400402</v>
      </c>
      <c r="H43" s="24">
        <v>0.58104576422964105</v>
      </c>
      <c r="I43" s="24">
        <v>0.84722452071096799</v>
      </c>
      <c r="J43" s="24">
        <v>1.19</v>
      </c>
      <c r="K43" s="24">
        <v>1.5</v>
      </c>
      <c r="L43" s="24">
        <v>1.7</v>
      </c>
      <c r="M43" s="24">
        <v>1.9</v>
      </c>
      <c r="N43" s="24">
        <v>2.1000000000545298</v>
      </c>
      <c r="O43" s="24">
        <v>2.5</v>
      </c>
      <c r="P43" s="24">
        <v>2.9</v>
      </c>
      <c r="Q43" s="24">
        <v>3.5</v>
      </c>
      <c r="R43" s="24">
        <v>5</v>
      </c>
      <c r="S43" s="24">
        <v>6.4999981195150101</v>
      </c>
      <c r="T43" s="24"/>
      <c r="U43" s="25">
        <v>10.595726418660099</v>
      </c>
      <c r="V43" s="26"/>
      <c r="W43" s="26" t="s">
        <v>572</v>
      </c>
      <c r="X43" s="26"/>
      <c r="Y43" s="26" t="s">
        <v>572</v>
      </c>
      <c r="Z43" s="26"/>
      <c r="AA43" s="26" t="s">
        <v>572</v>
      </c>
      <c r="AB43" s="26"/>
      <c r="AC43" s="26" t="s">
        <v>572</v>
      </c>
      <c r="AD43" s="26"/>
      <c r="AE43" s="26" t="s">
        <v>573</v>
      </c>
      <c r="AF43" s="26"/>
      <c r="AG43" s="26" t="s">
        <v>573</v>
      </c>
      <c r="AH43" s="26"/>
      <c r="AI43" s="26" t="s">
        <v>573</v>
      </c>
      <c r="AJ43" s="26"/>
      <c r="AK43" s="26" t="s">
        <v>573</v>
      </c>
      <c r="AL43" s="26"/>
      <c r="AM43" s="26" t="s">
        <v>574</v>
      </c>
      <c r="AN43" s="26"/>
      <c r="AO43" s="26" t="s">
        <v>393</v>
      </c>
      <c r="AP43" s="26"/>
      <c r="AQ43" s="26" t="s">
        <v>389</v>
      </c>
      <c r="AR43" s="26"/>
      <c r="AS43" s="26" t="s">
        <v>389</v>
      </c>
      <c r="AT43" s="26"/>
      <c r="AU43" s="26" t="s">
        <v>389</v>
      </c>
      <c r="AV43" s="26"/>
      <c r="AW43" s="26" t="s">
        <v>389</v>
      </c>
      <c r="AX43" s="26"/>
      <c r="AY43" s="26" t="s">
        <v>389</v>
      </c>
      <c r="AZ43" s="26"/>
      <c r="BA43" s="26" t="s">
        <v>389</v>
      </c>
      <c r="BB43" s="26"/>
      <c r="BC43" s="26" t="s">
        <v>389</v>
      </c>
      <c r="BD43" s="26"/>
      <c r="BE43" s="26" t="s">
        <v>389</v>
      </c>
      <c r="BF43" s="26"/>
      <c r="BG43" s="26"/>
    </row>
    <row r="44" spans="1:59" ht="25.5" customHeight="1" x14ac:dyDescent="0.15">
      <c r="A44" s="23" t="s">
        <v>159</v>
      </c>
      <c r="B44" s="24">
        <v>16.600000000000001</v>
      </c>
      <c r="C44" s="24">
        <v>19.100000000000001</v>
      </c>
      <c r="D44" s="24">
        <v>22.1</v>
      </c>
      <c r="E44" s="24">
        <v>25.473778886472299</v>
      </c>
      <c r="F44" s="24">
        <v>28.177910123243802</v>
      </c>
      <c r="G44" s="24">
        <v>31.1753470303684</v>
      </c>
      <c r="H44" s="24">
        <v>34.497751173601699</v>
      </c>
      <c r="I44" s="24">
        <v>35.9</v>
      </c>
      <c r="J44" s="24">
        <v>37.299999999999997</v>
      </c>
      <c r="K44" s="24">
        <v>41.56</v>
      </c>
      <c r="L44" s="24">
        <v>45</v>
      </c>
      <c r="M44" s="24">
        <v>52.249607287774403</v>
      </c>
      <c r="N44" s="24">
        <v>55.05</v>
      </c>
      <c r="O44" s="24">
        <v>58</v>
      </c>
      <c r="P44" s="24">
        <v>61.11</v>
      </c>
      <c r="Q44" s="24">
        <v>76.63</v>
      </c>
      <c r="R44" s="24">
        <v>83.558586020000007</v>
      </c>
      <c r="S44" s="24">
        <v>82.327486930000006</v>
      </c>
      <c r="T44" s="24"/>
      <c r="U44" s="25">
        <v>10.595726418660099</v>
      </c>
      <c r="V44" s="26" t="s">
        <v>575</v>
      </c>
      <c r="W44" s="26" t="s">
        <v>576</v>
      </c>
      <c r="X44" s="26" t="s">
        <v>577</v>
      </c>
      <c r="Y44" s="26" t="s">
        <v>389</v>
      </c>
      <c r="Z44" s="26" t="s">
        <v>577</v>
      </c>
      <c r="AA44" s="26" t="s">
        <v>389</v>
      </c>
      <c r="AB44" s="26" t="s">
        <v>575</v>
      </c>
      <c r="AC44" s="26" t="s">
        <v>578</v>
      </c>
      <c r="AD44" s="26" t="s">
        <v>579</v>
      </c>
      <c r="AE44" s="26" t="s">
        <v>389</v>
      </c>
      <c r="AF44" s="26" t="s">
        <v>579</v>
      </c>
      <c r="AG44" s="26" t="s">
        <v>389</v>
      </c>
      <c r="AH44" s="26" t="s">
        <v>485</v>
      </c>
      <c r="AI44" s="26" t="s">
        <v>578</v>
      </c>
      <c r="AJ44" s="26" t="s">
        <v>579</v>
      </c>
      <c r="AK44" s="26" t="s">
        <v>389</v>
      </c>
      <c r="AL44" s="26" t="s">
        <v>579</v>
      </c>
      <c r="AM44" s="26" t="s">
        <v>389</v>
      </c>
      <c r="AN44" s="26" t="s">
        <v>485</v>
      </c>
      <c r="AO44" s="26" t="s">
        <v>578</v>
      </c>
      <c r="AP44" s="26" t="s">
        <v>579</v>
      </c>
      <c r="AQ44" s="26" t="s">
        <v>389</v>
      </c>
      <c r="AR44" s="26" t="s">
        <v>485</v>
      </c>
      <c r="AS44" s="26" t="s">
        <v>580</v>
      </c>
      <c r="AT44" s="26"/>
      <c r="AU44" s="26" t="s">
        <v>581</v>
      </c>
      <c r="AV44" s="26" t="s">
        <v>485</v>
      </c>
      <c r="AW44" s="26" t="s">
        <v>580</v>
      </c>
      <c r="AX44" s="26"/>
      <c r="AY44" s="26" t="s">
        <v>389</v>
      </c>
      <c r="AZ44" s="26"/>
      <c r="BA44" s="26" t="s">
        <v>582</v>
      </c>
      <c r="BB44" s="26" t="s">
        <v>583</v>
      </c>
      <c r="BC44" s="26" t="s">
        <v>584</v>
      </c>
      <c r="BD44" s="26" t="s">
        <v>583</v>
      </c>
      <c r="BE44" s="26" t="s">
        <v>584</v>
      </c>
      <c r="BF44" s="26"/>
      <c r="BG44" s="26"/>
    </row>
    <row r="45" spans="1:59" ht="25.5" customHeight="1" x14ac:dyDescent="0.15">
      <c r="A45" s="23" t="s">
        <v>4</v>
      </c>
      <c r="B45" s="24">
        <v>1.7759132067741501</v>
      </c>
      <c r="C45" s="24">
        <v>2.6396502148587202</v>
      </c>
      <c r="D45" s="24">
        <v>4.5957043307755097</v>
      </c>
      <c r="E45" s="24">
        <v>6.2</v>
      </c>
      <c r="F45" s="24">
        <v>7.3</v>
      </c>
      <c r="G45" s="24">
        <v>8.5232570026954093</v>
      </c>
      <c r="H45" s="24">
        <v>10.523152619385099</v>
      </c>
      <c r="I45" s="24">
        <v>16</v>
      </c>
      <c r="J45" s="24">
        <v>22.6</v>
      </c>
      <c r="K45" s="24">
        <v>28.9</v>
      </c>
      <c r="L45" s="24">
        <v>34.299999999999997</v>
      </c>
      <c r="M45" s="24">
        <v>38.299999999999997</v>
      </c>
      <c r="N45" s="24">
        <v>42.3001174855995</v>
      </c>
      <c r="O45" s="24">
        <v>45.8</v>
      </c>
      <c r="P45" s="24">
        <v>47.9</v>
      </c>
      <c r="Q45" s="24">
        <v>50.3</v>
      </c>
      <c r="R45" s="24">
        <v>53.2</v>
      </c>
      <c r="S45" s="24">
        <v>54.3</v>
      </c>
      <c r="T45" s="24"/>
      <c r="U45" s="25">
        <v>10.595726418660099</v>
      </c>
      <c r="V45" s="26"/>
      <c r="W45" s="26" t="s">
        <v>585</v>
      </c>
      <c r="X45" s="26"/>
      <c r="Y45" s="26" t="s">
        <v>585</v>
      </c>
      <c r="Z45" s="26"/>
      <c r="AA45" s="26" t="s">
        <v>585</v>
      </c>
      <c r="AB45" s="26"/>
      <c r="AC45" s="26" t="s">
        <v>585</v>
      </c>
      <c r="AD45" s="26"/>
      <c r="AE45" s="26" t="s">
        <v>585</v>
      </c>
      <c r="AF45" s="26"/>
      <c r="AG45" s="26" t="s">
        <v>585</v>
      </c>
      <c r="AH45" s="26" t="s">
        <v>586</v>
      </c>
      <c r="AI45" s="26" t="s">
        <v>585</v>
      </c>
      <c r="AJ45" s="26"/>
      <c r="AK45" s="26" t="s">
        <v>585</v>
      </c>
      <c r="AL45" s="26"/>
      <c r="AM45" s="26" t="s">
        <v>587</v>
      </c>
      <c r="AN45" s="26"/>
      <c r="AO45" s="26" t="s">
        <v>588</v>
      </c>
      <c r="AP45" s="26"/>
      <c r="AQ45" s="26" t="s">
        <v>588</v>
      </c>
      <c r="AR45" s="26"/>
      <c r="AS45" s="26" t="s">
        <v>588</v>
      </c>
      <c r="AT45" s="26"/>
      <c r="AU45" s="26" t="s">
        <v>389</v>
      </c>
      <c r="AV45" s="26" t="s">
        <v>589</v>
      </c>
      <c r="AW45" s="26" t="s">
        <v>590</v>
      </c>
      <c r="AX45" s="26" t="s">
        <v>589</v>
      </c>
      <c r="AY45" s="26" t="s">
        <v>389</v>
      </c>
      <c r="AZ45" s="26" t="s">
        <v>589</v>
      </c>
      <c r="BA45" s="26" t="s">
        <v>389</v>
      </c>
      <c r="BB45" s="26"/>
      <c r="BC45" s="26" t="s">
        <v>585</v>
      </c>
      <c r="BD45" s="26"/>
      <c r="BE45" s="26" t="s">
        <v>585</v>
      </c>
      <c r="BF45" s="26"/>
      <c r="BG45" s="26"/>
    </row>
    <row r="46" spans="1:59" ht="25.5" customHeight="1" x14ac:dyDescent="0.15">
      <c r="A46" s="23" t="s">
        <v>591</v>
      </c>
      <c r="B46" s="24"/>
      <c r="C46" s="24"/>
      <c r="D46" s="24"/>
      <c r="E46" s="24"/>
      <c r="F46" s="24"/>
      <c r="G46" s="24"/>
      <c r="H46" s="24"/>
      <c r="I46" s="24"/>
      <c r="J46" s="24"/>
      <c r="K46" s="24"/>
      <c r="L46" s="24"/>
      <c r="M46" s="24"/>
      <c r="N46" s="24"/>
      <c r="O46" s="24"/>
      <c r="P46" s="24"/>
      <c r="Q46" s="24"/>
      <c r="R46" s="24"/>
      <c r="S46" s="24"/>
      <c r="T46" s="24"/>
      <c r="U46" s="25">
        <v>10.595726418660099</v>
      </c>
      <c r="V46" s="26"/>
      <c r="W46" s="26"/>
      <c r="X46" s="26"/>
      <c r="Y46" s="26"/>
      <c r="Z46" s="26"/>
      <c r="AA46" s="26"/>
      <c r="AB46" s="26"/>
      <c r="AC46" s="26"/>
      <c r="AD46" s="26"/>
      <c r="AE46" s="26"/>
      <c r="AF46" s="26"/>
      <c r="AG46" s="26"/>
      <c r="AH46" s="26"/>
      <c r="AI46" s="26"/>
      <c r="AJ46" s="26"/>
      <c r="AK46" s="26"/>
      <c r="AL46" s="26"/>
      <c r="AM46" s="26"/>
      <c r="AN46" s="26"/>
      <c r="AO46" s="26"/>
      <c r="AP46" s="26"/>
      <c r="AQ46" s="26"/>
      <c r="AR46" s="26"/>
      <c r="AS46" s="26"/>
      <c r="AT46" s="26"/>
      <c r="AU46" s="26"/>
      <c r="AV46" s="26"/>
      <c r="AW46" s="26"/>
      <c r="AX46" s="26"/>
      <c r="AY46" s="26"/>
      <c r="AZ46" s="26"/>
      <c r="BA46" s="26"/>
      <c r="BB46" s="26"/>
      <c r="BC46" s="26"/>
      <c r="BD46" s="26"/>
      <c r="BE46" s="26"/>
      <c r="BF46" s="26"/>
      <c r="BG46" s="26"/>
    </row>
    <row r="47" spans="1:59" ht="25.5" customHeight="1" x14ac:dyDescent="0.15">
      <c r="A47" s="23" t="s">
        <v>101</v>
      </c>
      <c r="B47" s="24">
        <v>2.2075329926239999</v>
      </c>
      <c r="C47" s="24">
        <v>2.8541999713343298</v>
      </c>
      <c r="D47" s="24">
        <v>4.5999999999999996</v>
      </c>
      <c r="E47" s="24">
        <v>7.3889237105255701</v>
      </c>
      <c r="F47" s="24">
        <v>9.1186903029666002</v>
      </c>
      <c r="G47" s="24">
        <v>11.0072638904585</v>
      </c>
      <c r="H47" s="24">
        <v>15.341674536568201</v>
      </c>
      <c r="I47" s="24">
        <v>21.8</v>
      </c>
      <c r="J47" s="24">
        <v>25.6</v>
      </c>
      <c r="K47" s="24">
        <v>30</v>
      </c>
      <c r="L47" s="24">
        <v>36.5</v>
      </c>
      <c r="M47" s="24">
        <v>40.350915754631799</v>
      </c>
      <c r="N47" s="24">
        <v>48.98</v>
      </c>
      <c r="O47" s="24">
        <v>51.7</v>
      </c>
      <c r="P47" s="24">
        <v>52.57</v>
      </c>
      <c r="Q47" s="24">
        <v>55.904972514292403</v>
      </c>
      <c r="R47" s="24">
        <v>58.136493569999999</v>
      </c>
      <c r="S47" s="24">
        <v>62.259880320000001</v>
      </c>
      <c r="T47" s="24"/>
      <c r="U47" s="25">
        <v>10.595726418660099</v>
      </c>
      <c r="V47" s="26"/>
      <c r="W47" s="26" t="s">
        <v>592</v>
      </c>
      <c r="X47" s="26"/>
      <c r="Y47" s="26" t="s">
        <v>593</v>
      </c>
      <c r="Z47" s="26"/>
      <c r="AA47" s="26" t="s">
        <v>592</v>
      </c>
      <c r="AB47" s="26" t="s">
        <v>594</v>
      </c>
      <c r="AC47" s="26" t="s">
        <v>592</v>
      </c>
      <c r="AD47" s="26"/>
      <c r="AE47" s="26" t="s">
        <v>592</v>
      </c>
      <c r="AF47" s="26"/>
      <c r="AG47" s="26" t="s">
        <v>592</v>
      </c>
      <c r="AH47" s="26"/>
      <c r="AI47" s="26" t="s">
        <v>592</v>
      </c>
      <c r="AJ47" s="26"/>
      <c r="AK47" s="26" t="s">
        <v>389</v>
      </c>
      <c r="AL47" s="26" t="s">
        <v>485</v>
      </c>
      <c r="AM47" s="26" t="s">
        <v>595</v>
      </c>
      <c r="AN47" s="26" t="s">
        <v>485</v>
      </c>
      <c r="AO47" s="26" t="s">
        <v>595</v>
      </c>
      <c r="AP47" s="26" t="s">
        <v>485</v>
      </c>
      <c r="AQ47" s="26" t="s">
        <v>595</v>
      </c>
      <c r="AR47" s="26" t="s">
        <v>485</v>
      </c>
      <c r="AS47" s="26" t="s">
        <v>596</v>
      </c>
      <c r="AT47" s="26" t="s">
        <v>485</v>
      </c>
      <c r="AU47" s="26" t="s">
        <v>597</v>
      </c>
      <c r="AV47" s="26" t="s">
        <v>485</v>
      </c>
      <c r="AW47" s="26" t="s">
        <v>597</v>
      </c>
      <c r="AX47" s="26" t="s">
        <v>485</v>
      </c>
      <c r="AY47" s="26" t="s">
        <v>597</v>
      </c>
      <c r="AZ47" s="26" t="s">
        <v>485</v>
      </c>
      <c r="BA47" s="26" t="s">
        <v>597</v>
      </c>
      <c r="BB47" s="26"/>
      <c r="BC47" s="26" t="s">
        <v>597</v>
      </c>
      <c r="BD47" s="26" t="s">
        <v>598</v>
      </c>
      <c r="BE47" s="26" t="s">
        <v>597</v>
      </c>
      <c r="BF47" s="26"/>
      <c r="BG47" s="26"/>
    </row>
    <row r="48" spans="1:59" ht="25.5" customHeight="1" x14ac:dyDescent="0.15">
      <c r="A48" s="23" t="s">
        <v>139</v>
      </c>
      <c r="B48" s="24">
        <v>0.27174060728590899</v>
      </c>
      <c r="C48" s="24">
        <v>0.44306837253897702</v>
      </c>
      <c r="D48" s="24">
        <v>0.55486967498508799</v>
      </c>
      <c r="E48" s="24">
        <v>0.84818937015153695</v>
      </c>
      <c r="F48" s="24">
        <v>1.32732717785355</v>
      </c>
      <c r="G48" s="24">
        <v>2</v>
      </c>
      <c r="H48" s="24">
        <v>2.2000000000000002</v>
      </c>
      <c r="I48" s="24">
        <v>2.5</v>
      </c>
      <c r="J48" s="24">
        <v>3</v>
      </c>
      <c r="K48" s="24">
        <v>3.5</v>
      </c>
      <c r="L48" s="24">
        <v>5.0999999999999996</v>
      </c>
      <c r="M48" s="24">
        <v>5.5</v>
      </c>
      <c r="N48" s="24">
        <v>5.9752963084285504</v>
      </c>
      <c r="O48" s="24">
        <v>6.5</v>
      </c>
      <c r="P48" s="24">
        <v>6.98</v>
      </c>
      <c r="Q48" s="24">
        <v>7.4591613856489998</v>
      </c>
      <c r="R48" s="24">
        <v>7.9383227708030004</v>
      </c>
      <c r="S48" s="24">
        <v>8.4781702954212399</v>
      </c>
      <c r="T48" s="24"/>
      <c r="U48" s="25">
        <v>10.595726418660099</v>
      </c>
      <c r="V48" s="26"/>
      <c r="W48" s="26"/>
      <c r="X48" s="26"/>
      <c r="Y48" s="26"/>
      <c r="Z48" s="26"/>
      <c r="AA48" s="26"/>
      <c r="AB48" s="26"/>
      <c r="AC48" s="26" t="s">
        <v>389</v>
      </c>
      <c r="AD48" s="26"/>
      <c r="AE48" s="26" t="s">
        <v>389</v>
      </c>
      <c r="AF48" s="26"/>
      <c r="AG48" s="26" t="s">
        <v>389</v>
      </c>
      <c r="AH48" s="26"/>
      <c r="AI48" s="26" t="s">
        <v>389</v>
      </c>
      <c r="AJ48" s="26"/>
      <c r="AK48" s="26" t="s">
        <v>389</v>
      </c>
      <c r="AL48" s="26"/>
      <c r="AM48" s="26" t="s">
        <v>389</v>
      </c>
      <c r="AN48" s="26"/>
      <c r="AO48" s="26" t="s">
        <v>389</v>
      </c>
      <c r="AP48" s="26"/>
      <c r="AQ48" s="26" t="s">
        <v>389</v>
      </c>
      <c r="AR48" s="26"/>
      <c r="AS48" s="26" t="s">
        <v>393</v>
      </c>
      <c r="AT48" s="26"/>
      <c r="AU48" s="26" t="s">
        <v>389</v>
      </c>
      <c r="AV48" s="26"/>
      <c r="AW48" s="26" t="s">
        <v>389</v>
      </c>
      <c r="AX48" s="26"/>
      <c r="AY48" s="26" t="s">
        <v>389</v>
      </c>
      <c r="AZ48" s="26"/>
      <c r="BA48" s="26" t="s">
        <v>389</v>
      </c>
      <c r="BB48" s="26"/>
      <c r="BC48" s="26" t="s">
        <v>401</v>
      </c>
      <c r="BD48" s="26"/>
      <c r="BE48" s="26" t="s">
        <v>389</v>
      </c>
      <c r="BF48" s="26"/>
      <c r="BG48" s="26"/>
    </row>
    <row r="49" spans="1:59" ht="25.5" customHeight="1" x14ac:dyDescent="0.15">
      <c r="A49" s="23" t="s">
        <v>599</v>
      </c>
      <c r="B49" s="24">
        <v>2.6354732058027901E-2</v>
      </c>
      <c r="C49" s="24">
        <v>3.2223616430693103E-2</v>
      </c>
      <c r="D49" s="24">
        <v>0.15724951724398201</v>
      </c>
      <c r="E49" s="24">
        <v>0.46001418683752199</v>
      </c>
      <c r="F49" s="24">
        <v>1.0775049295850501</v>
      </c>
      <c r="G49" s="24">
        <v>1.4634200595085101</v>
      </c>
      <c r="H49" s="24">
        <v>2.0079900793815901</v>
      </c>
      <c r="I49" s="24">
        <v>2.7597043737090301</v>
      </c>
      <c r="J49" s="24">
        <v>4.2875099027648096</v>
      </c>
      <c r="K49" s="24">
        <v>4.5</v>
      </c>
      <c r="L49" s="24">
        <v>5</v>
      </c>
      <c r="M49" s="24">
        <v>5.6</v>
      </c>
      <c r="N49" s="24">
        <v>6.10669502435836</v>
      </c>
      <c r="O49" s="24">
        <v>6.6</v>
      </c>
      <c r="P49" s="24">
        <v>7.11</v>
      </c>
      <c r="Q49" s="24">
        <v>7.6159746620900002</v>
      </c>
      <c r="R49" s="24">
        <v>8.1219493234659996</v>
      </c>
      <c r="S49" s="24">
        <v>8.65</v>
      </c>
      <c r="T49" s="24"/>
      <c r="U49" s="25">
        <v>10.595726418660099</v>
      </c>
      <c r="V49" s="26"/>
      <c r="W49" s="26"/>
      <c r="X49" s="26"/>
      <c r="Y49" s="26"/>
      <c r="Z49" s="26"/>
      <c r="AA49" s="26"/>
      <c r="AB49" s="26"/>
      <c r="AC49" s="26" t="s">
        <v>389</v>
      </c>
      <c r="AD49" s="26"/>
      <c r="AE49" s="26" t="s">
        <v>389</v>
      </c>
      <c r="AF49" s="26"/>
      <c r="AG49" s="26" t="s">
        <v>389</v>
      </c>
      <c r="AH49" s="26"/>
      <c r="AI49" s="26" t="s">
        <v>389</v>
      </c>
      <c r="AJ49" s="26"/>
      <c r="AK49" s="26" t="s">
        <v>600</v>
      </c>
      <c r="AL49" s="26"/>
      <c r="AM49" s="26" t="s">
        <v>600</v>
      </c>
      <c r="AN49" s="26"/>
      <c r="AO49" s="26" t="s">
        <v>389</v>
      </c>
      <c r="AP49" s="26"/>
      <c r="AQ49" s="26" t="s">
        <v>389</v>
      </c>
      <c r="AR49" s="26" t="s">
        <v>601</v>
      </c>
      <c r="AS49" s="26" t="s">
        <v>602</v>
      </c>
      <c r="AT49" s="26"/>
      <c r="AU49" s="26" t="s">
        <v>389</v>
      </c>
      <c r="AV49" s="26"/>
      <c r="AW49" s="26" t="s">
        <v>389</v>
      </c>
      <c r="AX49" s="26"/>
      <c r="AY49" s="26" t="s">
        <v>389</v>
      </c>
      <c r="AZ49" s="26"/>
      <c r="BA49" s="26" t="s">
        <v>389</v>
      </c>
      <c r="BB49" s="26"/>
      <c r="BC49" s="26" t="s">
        <v>401</v>
      </c>
      <c r="BD49" s="26"/>
      <c r="BE49" s="26" t="s">
        <v>389</v>
      </c>
      <c r="BF49" s="26"/>
      <c r="BG49" s="26"/>
    </row>
    <row r="50" spans="1:59" ht="25.5" customHeight="1" x14ac:dyDescent="0.15">
      <c r="A50" s="23" t="s">
        <v>66</v>
      </c>
      <c r="B50" s="24">
        <v>5.8002530233182901</v>
      </c>
      <c r="C50" s="24">
        <v>9.5594821349709296</v>
      </c>
      <c r="D50" s="24">
        <v>19.894851134629299</v>
      </c>
      <c r="E50" s="24">
        <v>20.3336148143541</v>
      </c>
      <c r="F50" s="24">
        <v>20.7923067055542</v>
      </c>
      <c r="G50" s="24">
        <v>22.07</v>
      </c>
      <c r="H50" s="24">
        <v>25.1</v>
      </c>
      <c r="I50" s="24">
        <v>28.4</v>
      </c>
      <c r="J50" s="24">
        <v>32.29</v>
      </c>
      <c r="K50" s="24">
        <v>34.33</v>
      </c>
      <c r="L50" s="24">
        <v>36.5</v>
      </c>
      <c r="M50" s="24">
        <v>39.212195996184199</v>
      </c>
      <c r="N50" s="24">
        <v>47.5</v>
      </c>
      <c r="O50" s="24">
        <v>45.96</v>
      </c>
      <c r="P50" s="24">
        <v>53</v>
      </c>
      <c r="Q50" s="24">
        <v>59.762950137168097</v>
      </c>
      <c r="R50" s="24">
        <v>65.880449194271804</v>
      </c>
      <c r="S50" s="24">
        <v>71.390770896222406</v>
      </c>
      <c r="T50" s="24">
        <v>74.086802225515896</v>
      </c>
      <c r="U50" s="25">
        <v>10.595726418660099</v>
      </c>
      <c r="V50" s="26"/>
      <c r="W50" s="26"/>
      <c r="X50" s="26"/>
      <c r="Y50" s="26"/>
      <c r="Z50" s="26"/>
      <c r="AA50" s="26"/>
      <c r="AB50" s="26"/>
      <c r="AC50" s="26"/>
      <c r="AD50" s="26"/>
      <c r="AE50" s="26"/>
      <c r="AF50" s="26" t="s">
        <v>485</v>
      </c>
      <c r="AG50" s="26" t="s">
        <v>603</v>
      </c>
      <c r="AH50" s="26" t="s">
        <v>604</v>
      </c>
      <c r="AI50" s="26" t="s">
        <v>389</v>
      </c>
      <c r="AJ50" s="26" t="s">
        <v>604</v>
      </c>
      <c r="AK50" s="26" t="s">
        <v>389</v>
      </c>
      <c r="AL50" s="26" t="s">
        <v>605</v>
      </c>
      <c r="AM50" s="26" t="s">
        <v>603</v>
      </c>
      <c r="AN50" s="26" t="s">
        <v>605</v>
      </c>
      <c r="AO50" s="26" t="s">
        <v>606</v>
      </c>
      <c r="AP50" s="26" t="s">
        <v>605</v>
      </c>
      <c r="AQ50" s="26" t="s">
        <v>607</v>
      </c>
      <c r="AR50" s="26" t="s">
        <v>608</v>
      </c>
      <c r="AS50" s="26" t="s">
        <v>607</v>
      </c>
      <c r="AT50" s="26" t="s">
        <v>609</v>
      </c>
      <c r="AU50" s="26" t="s">
        <v>607</v>
      </c>
      <c r="AV50" s="26" t="s">
        <v>610</v>
      </c>
      <c r="AW50" s="26" t="s">
        <v>607</v>
      </c>
      <c r="AX50" s="26"/>
      <c r="AY50" s="26" t="s">
        <v>389</v>
      </c>
      <c r="AZ50" s="26" t="s">
        <v>611</v>
      </c>
      <c r="BA50" s="26" t="s">
        <v>603</v>
      </c>
      <c r="BB50" s="26"/>
      <c r="BC50" s="26" t="s">
        <v>603</v>
      </c>
      <c r="BD50" s="26"/>
      <c r="BE50" s="26" t="s">
        <v>603</v>
      </c>
      <c r="BF50" s="26"/>
      <c r="BG50" s="26" t="s">
        <v>603</v>
      </c>
    </row>
    <row r="51" spans="1:59" ht="25.5" customHeight="1" x14ac:dyDescent="0.15">
      <c r="A51" s="23" t="s">
        <v>612</v>
      </c>
      <c r="B51" s="24">
        <v>0.23146167061279899</v>
      </c>
      <c r="C51" s="24">
        <v>0.39574770224643901</v>
      </c>
      <c r="D51" s="24">
        <v>0.49792936075330702</v>
      </c>
      <c r="E51" s="24">
        <v>0.75866962945220495</v>
      </c>
      <c r="F51" s="24">
        <v>0.84928241474770405</v>
      </c>
      <c r="G51" s="24">
        <v>1.03923820514001</v>
      </c>
      <c r="H51" s="24">
        <v>1.5249007912252699</v>
      </c>
      <c r="I51" s="24">
        <v>1.8</v>
      </c>
      <c r="J51" s="24">
        <v>1.9</v>
      </c>
      <c r="K51" s="24">
        <v>2</v>
      </c>
      <c r="L51" s="24">
        <v>2.7</v>
      </c>
      <c r="M51" s="24">
        <v>2.9</v>
      </c>
      <c r="N51" s="24">
        <v>5</v>
      </c>
      <c r="O51" s="24">
        <v>12</v>
      </c>
      <c r="P51" s="24">
        <v>19.274229800000001</v>
      </c>
      <c r="Q51" s="24">
        <v>38.44</v>
      </c>
      <c r="R51" s="24">
        <v>41.207814929999998</v>
      </c>
      <c r="S51" s="24">
        <v>43.839920849999999</v>
      </c>
      <c r="T51" s="24">
        <v>46.823727082628302</v>
      </c>
      <c r="U51" s="25">
        <v>10.595726418660099</v>
      </c>
      <c r="V51" s="26"/>
      <c r="W51" s="26"/>
      <c r="X51" s="26"/>
      <c r="Y51" s="26"/>
      <c r="Z51" s="26"/>
      <c r="AA51" s="26"/>
      <c r="AB51" s="26"/>
      <c r="AC51" s="26"/>
      <c r="AD51" s="26"/>
      <c r="AE51" s="26"/>
      <c r="AF51" s="26"/>
      <c r="AG51" s="26"/>
      <c r="AH51" s="26"/>
      <c r="AI51" s="26"/>
      <c r="AJ51" s="26"/>
      <c r="AK51" s="26" t="s">
        <v>389</v>
      </c>
      <c r="AL51" s="26"/>
      <c r="AM51" s="26" t="s">
        <v>389</v>
      </c>
      <c r="AN51" s="26"/>
      <c r="AO51" s="26" t="s">
        <v>389</v>
      </c>
      <c r="AP51" s="26"/>
      <c r="AQ51" s="26" t="s">
        <v>389</v>
      </c>
      <c r="AR51" s="26"/>
      <c r="AS51" s="26" t="s">
        <v>389</v>
      </c>
      <c r="AT51" s="26"/>
      <c r="AU51" s="26" t="s">
        <v>389</v>
      </c>
      <c r="AV51" s="26"/>
      <c r="AW51" s="26" t="s">
        <v>389</v>
      </c>
      <c r="AX51" s="26"/>
      <c r="AY51" s="26" t="s">
        <v>389</v>
      </c>
      <c r="AZ51" s="26"/>
      <c r="BA51" s="26" t="s">
        <v>613</v>
      </c>
      <c r="BB51" s="26"/>
      <c r="BC51" s="26" t="s">
        <v>613</v>
      </c>
      <c r="BD51" s="26"/>
      <c r="BE51" s="26" t="s">
        <v>613</v>
      </c>
      <c r="BF51" s="26"/>
      <c r="BG51" s="26" t="s">
        <v>613</v>
      </c>
    </row>
    <row r="52" spans="1:59" ht="25.5" customHeight="1" x14ac:dyDescent="0.15">
      <c r="A52" s="23" t="s">
        <v>123</v>
      </c>
      <c r="B52" s="24">
        <v>6.64488254374396</v>
      </c>
      <c r="C52" s="24">
        <v>11.5585731811648</v>
      </c>
      <c r="D52" s="24">
        <v>17.760000000000002</v>
      </c>
      <c r="E52" s="24">
        <v>22.75</v>
      </c>
      <c r="F52" s="24">
        <v>30.91</v>
      </c>
      <c r="G52" s="24">
        <v>33.14</v>
      </c>
      <c r="H52" s="24">
        <v>37.979999999999997</v>
      </c>
      <c r="I52" s="24">
        <v>41.44</v>
      </c>
      <c r="J52" s="24">
        <v>44.24</v>
      </c>
      <c r="K52" s="24">
        <v>50.58</v>
      </c>
      <c r="L52" s="24">
        <v>56.55</v>
      </c>
      <c r="M52" s="24">
        <v>57.789978989144402</v>
      </c>
      <c r="N52" s="24">
        <v>61.939973152795602</v>
      </c>
      <c r="O52" s="24">
        <v>66.747600000000006</v>
      </c>
      <c r="P52" s="24">
        <v>68.569999999999993</v>
      </c>
      <c r="Q52" s="24">
        <v>69.803100000000001</v>
      </c>
      <c r="R52" s="24">
        <v>72.697269669999997</v>
      </c>
      <c r="S52" s="24">
        <v>67.096192040000005</v>
      </c>
      <c r="T52" s="24">
        <v>72.688770879175195</v>
      </c>
      <c r="U52" s="25">
        <v>10.595726418660099</v>
      </c>
      <c r="V52" s="26"/>
      <c r="W52" s="26"/>
      <c r="X52" s="26"/>
      <c r="Y52" s="26"/>
      <c r="Z52" s="26"/>
      <c r="AA52" s="26" t="s">
        <v>614</v>
      </c>
      <c r="AB52" s="26"/>
      <c r="AC52" s="26"/>
      <c r="AD52" s="26"/>
      <c r="AE52" s="26"/>
      <c r="AF52" s="26" t="s">
        <v>443</v>
      </c>
      <c r="AG52" s="26"/>
      <c r="AH52" s="26" t="s">
        <v>443</v>
      </c>
      <c r="AI52" s="26"/>
      <c r="AJ52" s="26" t="s">
        <v>443</v>
      </c>
      <c r="AK52" s="26" t="s">
        <v>442</v>
      </c>
      <c r="AL52" s="26" t="s">
        <v>443</v>
      </c>
      <c r="AM52" s="26" t="s">
        <v>615</v>
      </c>
      <c r="AN52" s="26" t="s">
        <v>443</v>
      </c>
      <c r="AO52" s="26" t="s">
        <v>615</v>
      </c>
      <c r="AP52" s="26" t="s">
        <v>443</v>
      </c>
      <c r="AQ52" s="26" t="s">
        <v>615</v>
      </c>
      <c r="AR52" s="26" t="s">
        <v>444</v>
      </c>
      <c r="AS52" s="26" t="s">
        <v>442</v>
      </c>
      <c r="AT52" s="26" t="s">
        <v>445</v>
      </c>
      <c r="AU52" s="26" t="s">
        <v>442</v>
      </c>
      <c r="AV52" s="26" t="s">
        <v>443</v>
      </c>
      <c r="AW52" s="26" t="s">
        <v>442</v>
      </c>
      <c r="AX52" s="26" t="s">
        <v>443</v>
      </c>
      <c r="AY52" s="26" t="s">
        <v>449</v>
      </c>
      <c r="AZ52" s="26" t="s">
        <v>443</v>
      </c>
      <c r="BA52" s="26" t="s">
        <v>442</v>
      </c>
      <c r="BB52" s="26" t="s">
        <v>616</v>
      </c>
      <c r="BC52" s="26" t="s">
        <v>617</v>
      </c>
      <c r="BD52" s="26" t="s">
        <v>616</v>
      </c>
      <c r="BE52" s="26" t="s">
        <v>617</v>
      </c>
      <c r="BF52" s="26"/>
      <c r="BG52" s="26" t="s">
        <v>617</v>
      </c>
    </row>
    <row r="53" spans="1:59" ht="25.5" customHeight="1" x14ac:dyDescent="0.15">
      <c r="A53" s="23" t="s">
        <v>21</v>
      </c>
      <c r="B53" s="24">
        <v>0.54118254881105798</v>
      </c>
      <c r="C53" s="24">
        <v>1.07975172188907</v>
      </c>
      <c r="D53" s="24">
        <v>3.77058503769014</v>
      </c>
      <c r="E53" s="24">
        <v>5.2412690536928999</v>
      </c>
      <c r="F53" s="24">
        <v>8.4079847590070305</v>
      </c>
      <c r="G53" s="24">
        <v>9.73806220781346</v>
      </c>
      <c r="H53" s="24">
        <v>11.1596013147617</v>
      </c>
      <c r="I53" s="24">
        <v>11.69</v>
      </c>
      <c r="J53" s="24">
        <v>12.94</v>
      </c>
      <c r="K53" s="24">
        <v>14.33</v>
      </c>
      <c r="L53" s="24">
        <v>15.9</v>
      </c>
      <c r="M53" s="24">
        <v>16.017290799641302</v>
      </c>
      <c r="N53" s="24">
        <v>21.2</v>
      </c>
      <c r="O53" s="24">
        <v>27.93</v>
      </c>
      <c r="P53" s="24">
        <v>29.070184365652299</v>
      </c>
      <c r="Q53" s="24">
        <v>37.305097415537297</v>
      </c>
      <c r="R53" s="24">
        <v>42.978675189999997</v>
      </c>
      <c r="S53" s="24">
        <v>57.148404319999997</v>
      </c>
      <c r="T53" s="24"/>
      <c r="U53" s="25">
        <v>10.595726418660099</v>
      </c>
      <c r="V53" s="26" t="s">
        <v>618</v>
      </c>
      <c r="W53" s="26" t="s">
        <v>619</v>
      </c>
      <c r="X53" s="26" t="s">
        <v>618</v>
      </c>
      <c r="Y53" s="26" t="s">
        <v>619</v>
      </c>
      <c r="Z53" s="26" t="s">
        <v>620</v>
      </c>
      <c r="AA53" s="26" t="s">
        <v>621</v>
      </c>
      <c r="AB53" s="26" t="s">
        <v>620</v>
      </c>
      <c r="AC53" s="26" t="s">
        <v>621</v>
      </c>
      <c r="AD53" s="26" t="s">
        <v>620</v>
      </c>
      <c r="AE53" s="26" t="s">
        <v>621</v>
      </c>
      <c r="AF53" s="26" t="s">
        <v>620</v>
      </c>
      <c r="AG53" s="26" t="s">
        <v>621</v>
      </c>
      <c r="AH53" s="26" t="s">
        <v>620</v>
      </c>
      <c r="AI53" s="26" t="s">
        <v>621</v>
      </c>
      <c r="AJ53" s="26" t="s">
        <v>620</v>
      </c>
      <c r="AK53" s="26" t="s">
        <v>622</v>
      </c>
      <c r="AL53" s="26" t="s">
        <v>620</v>
      </c>
      <c r="AM53" s="26" t="s">
        <v>622</v>
      </c>
      <c r="AN53" s="26" t="s">
        <v>623</v>
      </c>
      <c r="AO53" s="26" t="s">
        <v>622</v>
      </c>
      <c r="AP53" s="26" t="s">
        <v>620</v>
      </c>
      <c r="AQ53" s="26" t="s">
        <v>622</v>
      </c>
      <c r="AR53" s="26" t="s">
        <v>624</v>
      </c>
      <c r="AS53" s="26" t="s">
        <v>625</v>
      </c>
      <c r="AT53" s="26"/>
      <c r="AU53" s="26" t="s">
        <v>389</v>
      </c>
      <c r="AV53" s="26" t="s">
        <v>624</v>
      </c>
      <c r="AW53" s="26" t="s">
        <v>625</v>
      </c>
      <c r="AX53" s="26" t="s">
        <v>475</v>
      </c>
      <c r="AY53" s="26" t="s">
        <v>626</v>
      </c>
      <c r="AZ53" s="26" t="s">
        <v>475</v>
      </c>
      <c r="BA53" s="26" t="s">
        <v>627</v>
      </c>
      <c r="BB53" s="26"/>
      <c r="BC53" s="26" t="s">
        <v>628</v>
      </c>
      <c r="BD53" s="26"/>
      <c r="BE53" s="26" t="s">
        <v>629</v>
      </c>
      <c r="BF53" s="26"/>
      <c r="BG53" s="26"/>
    </row>
    <row r="54" spans="1:59" ht="25.5" customHeight="1" x14ac:dyDescent="0.15">
      <c r="A54" s="23" t="s">
        <v>630</v>
      </c>
      <c r="B54" s="24"/>
      <c r="C54" s="24"/>
      <c r="D54" s="24"/>
      <c r="E54" s="24"/>
      <c r="F54" s="24"/>
      <c r="G54" s="24"/>
      <c r="H54" s="24"/>
      <c r="I54" s="24"/>
      <c r="J54" s="24"/>
      <c r="K54" s="24"/>
      <c r="L54" s="24"/>
      <c r="M54" s="24"/>
      <c r="N54" s="24"/>
      <c r="O54" s="24"/>
      <c r="P54" s="24"/>
      <c r="Q54" s="24"/>
      <c r="R54" s="24">
        <v>61.855510740634003</v>
      </c>
      <c r="S54" s="24">
        <v>68.127216250000004</v>
      </c>
      <c r="T54" s="24"/>
      <c r="U54" s="25">
        <v>10.595726418660099</v>
      </c>
      <c r="V54" s="26"/>
      <c r="W54" s="26"/>
      <c r="X54" s="26"/>
      <c r="Y54" s="26"/>
      <c r="Z54" s="26"/>
      <c r="AA54" s="26"/>
      <c r="AB54" s="26"/>
      <c r="AC54" s="26"/>
      <c r="AD54" s="26"/>
      <c r="AE54" s="26"/>
      <c r="AF54" s="26"/>
      <c r="AG54" s="26"/>
      <c r="AH54" s="26"/>
      <c r="AI54" s="26"/>
      <c r="AJ54" s="26"/>
      <c r="AK54" s="26"/>
      <c r="AL54" s="26"/>
      <c r="AM54" s="26"/>
      <c r="AN54" s="26"/>
      <c r="AO54" s="26"/>
      <c r="AP54" s="26"/>
      <c r="AQ54" s="26"/>
      <c r="AR54" s="26"/>
      <c r="AS54" s="26"/>
      <c r="AT54" s="26"/>
      <c r="AU54" s="26"/>
      <c r="AV54" s="26"/>
      <c r="AW54" s="26"/>
      <c r="AX54" s="26"/>
      <c r="AY54" s="26"/>
      <c r="AZ54" s="26"/>
      <c r="BA54" s="26"/>
      <c r="BB54" s="26"/>
      <c r="BC54" s="26" t="s">
        <v>401</v>
      </c>
      <c r="BD54" s="26"/>
      <c r="BE54" s="26" t="s">
        <v>631</v>
      </c>
      <c r="BF54" s="26"/>
      <c r="BG54" s="26"/>
    </row>
    <row r="55" spans="1:59" ht="25.5" customHeight="1" x14ac:dyDescent="0.15">
      <c r="A55" s="23" t="s">
        <v>119</v>
      </c>
      <c r="B55" s="24">
        <v>15.255394371013701</v>
      </c>
      <c r="C55" s="24">
        <v>18.818759040845499</v>
      </c>
      <c r="D55" s="24">
        <v>28.32</v>
      </c>
      <c r="E55" s="24">
        <v>30.09</v>
      </c>
      <c r="F55" s="24">
        <v>33.83</v>
      </c>
      <c r="G55" s="24">
        <v>32.81</v>
      </c>
      <c r="H55" s="24">
        <v>35.83</v>
      </c>
      <c r="I55" s="24">
        <v>40.770000000000003</v>
      </c>
      <c r="J55" s="24">
        <v>42.31</v>
      </c>
      <c r="K55" s="24">
        <v>49.81</v>
      </c>
      <c r="L55" s="24">
        <v>52.99</v>
      </c>
      <c r="M55" s="24">
        <v>56.859892350350698</v>
      </c>
      <c r="N55" s="24">
        <v>60.689868400190299</v>
      </c>
      <c r="O55" s="24">
        <v>65.454800000000006</v>
      </c>
      <c r="P55" s="24">
        <v>69.33</v>
      </c>
      <c r="Q55" s="24">
        <v>71.715900000000005</v>
      </c>
      <c r="R55" s="24">
        <v>75.900205400000004</v>
      </c>
      <c r="S55" s="24">
        <v>80.743188970000006</v>
      </c>
      <c r="T55" s="24">
        <v>84.433582518688894</v>
      </c>
      <c r="U55" s="25">
        <v>10.595726418660099</v>
      </c>
      <c r="V55" s="26"/>
      <c r="W55" s="26" t="s">
        <v>632</v>
      </c>
      <c r="X55" s="26"/>
      <c r="Y55" s="26" t="s">
        <v>632</v>
      </c>
      <c r="Z55" s="26"/>
      <c r="AA55" s="26" t="s">
        <v>633</v>
      </c>
      <c r="AB55" s="26"/>
      <c r="AC55" s="26" t="s">
        <v>634</v>
      </c>
      <c r="AD55" s="26" t="s">
        <v>443</v>
      </c>
      <c r="AE55" s="26" t="s">
        <v>449</v>
      </c>
      <c r="AF55" s="26" t="s">
        <v>443</v>
      </c>
      <c r="AG55" s="26" t="s">
        <v>442</v>
      </c>
      <c r="AH55" s="26" t="s">
        <v>443</v>
      </c>
      <c r="AI55" s="26" t="s">
        <v>442</v>
      </c>
      <c r="AJ55" s="26" t="s">
        <v>443</v>
      </c>
      <c r="AK55" s="26" t="s">
        <v>442</v>
      </c>
      <c r="AL55" s="26" t="s">
        <v>443</v>
      </c>
      <c r="AM55" s="26" t="s">
        <v>442</v>
      </c>
      <c r="AN55" s="26" t="s">
        <v>443</v>
      </c>
      <c r="AO55" s="26" t="s">
        <v>442</v>
      </c>
      <c r="AP55" s="26" t="s">
        <v>538</v>
      </c>
      <c r="AQ55" s="26" t="s">
        <v>442</v>
      </c>
      <c r="AR55" s="26" t="s">
        <v>444</v>
      </c>
      <c r="AS55" s="26" t="s">
        <v>442</v>
      </c>
      <c r="AT55" s="26" t="s">
        <v>445</v>
      </c>
      <c r="AU55" s="26" t="s">
        <v>442</v>
      </c>
      <c r="AV55" s="26" t="s">
        <v>443</v>
      </c>
      <c r="AW55" s="26" t="s">
        <v>442</v>
      </c>
      <c r="AX55" s="26" t="s">
        <v>443</v>
      </c>
      <c r="AY55" s="26" t="s">
        <v>449</v>
      </c>
      <c r="AZ55" s="26" t="s">
        <v>443</v>
      </c>
      <c r="BA55" s="26" t="s">
        <v>442</v>
      </c>
      <c r="BB55" s="26"/>
      <c r="BC55" s="26" t="s">
        <v>635</v>
      </c>
      <c r="BD55" s="26"/>
      <c r="BE55" s="26" t="s">
        <v>635</v>
      </c>
      <c r="BF55" s="26"/>
      <c r="BG55" s="26" t="s">
        <v>636</v>
      </c>
    </row>
    <row r="56" spans="1:59" ht="25.5" customHeight="1" x14ac:dyDescent="0.2">
      <c r="A56" s="56" t="s">
        <v>78</v>
      </c>
      <c r="B56" s="24">
        <v>9.7805278883439293</v>
      </c>
      <c r="C56" s="24">
        <v>14.697172117112901</v>
      </c>
      <c r="D56" s="24">
        <v>23.93</v>
      </c>
      <c r="E56" s="24">
        <v>34.299999999999997</v>
      </c>
      <c r="F56" s="24">
        <v>35.5</v>
      </c>
      <c r="G56" s="24">
        <v>35.270000000000003</v>
      </c>
      <c r="H56" s="24">
        <v>47.93</v>
      </c>
      <c r="I56" s="24">
        <v>51.93</v>
      </c>
      <c r="J56" s="24">
        <v>62.97</v>
      </c>
      <c r="K56" s="24">
        <v>64.430000000000007</v>
      </c>
      <c r="L56" s="24">
        <v>68.819999999999993</v>
      </c>
      <c r="M56" s="24">
        <v>70.489999999999995</v>
      </c>
      <c r="N56" s="24">
        <v>73.430007824103598</v>
      </c>
      <c r="O56" s="24">
        <v>74.110399999999998</v>
      </c>
      <c r="P56" s="24">
        <v>74.231711636738297</v>
      </c>
      <c r="Q56" s="24">
        <v>75.668838699278993</v>
      </c>
      <c r="R56" s="24">
        <v>76.481198699999993</v>
      </c>
      <c r="S56" s="24">
        <v>78.71916143</v>
      </c>
      <c r="T56" s="24">
        <v>80.688167543428804</v>
      </c>
      <c r="U56" s="25">
        <v>10.595726418660099</v>
      </c>
      <c r="V56" s="26"/>
      <c r="W56" s="26" t="s">
        <v>637</v>
      </c>
      <c r="X56" s="26"/>
      <c r="Y56" s="26" t="s">
        <v>637</v>
      </c>
      <c r="Z56" s="26"/>
      <c r="AA56" s="26" t="s">
        <v>638</v>
      </c>
      <c r="AB56" s="26" t="s">
        <v>443</v>
      </c>
      <c r="AC56" s="26" t="s">
        <v>449</v>
      </c>
      <c r="AD56" s="26" t="s">
        <v>443</v>
      </c>
      <c r="AE56" s="26" t="s">
        <v>449</v>
      </c>
      <c r="AF56" s="26" t="s">
        <v>443</v>
      </c>
      <c r="AG56" s="26" t="s">
        <v>442</v>
      </c>
      <c r="AH56" s="26" t="s">
        <v>443</v>
      </c>
      <c r="AI56" s="26" t="s">
        <v>442</v>
      </c>
      <c r="AJ56" s="26" t="s">
        <v>443</v>
      </c>
      <c r="AK56" s="26" t="s">
        <v>442</v>
      </c>
      <c r="AL56" s="26" t="s">
        <v>443</v>
      </c>
      <c r="AM56" s="26" t="s">
        <v>442</v>
      </c>
      <c r="AN56" s="26" t="s">
        <v>443</v>
      </c>
      <c r="AO56" s="26" t="s">
        <v>442</v>
      </c>
      <c r="AP56" s="26" t="s">
        <v>443</v>
      </c>
      <c r="AQ56" s="26" t="s">
        <v>442</v>
      </c>
      <c r="AR56" s="26" t="s">
        <v>444</v>
      </c>
      <c r="AS56" s="26" t="s">
        <v>442</v>
      </c>
      <c r="AT56" s="26" t="s">
        <v>445</v>
      </c>
      <c r="AU56" s="26" t="s">
        <v>442</v>
      </c>
      <c r="AV56" s="26" t="s">
        <v>443</v>
      </c>
      <c r="AW56" s="26" t="s">
        <v>442</v>
      </c>
      <c r="AX56" s="26" t="s">
        <v>470</v>
      </c>
      <c r="AY56" s="26" t="s">
        <v>639</v>
      </c>
      <c r="AZ56" s="26" t="s">
        <v>470</v>
      </c>
      <c r="BA56" s="26" t="s">
        <v>639</v>
      </c>
      <c r="BB56" s="26"/>
      <c r="BC56" s="26" t="s">
        <v>640</v>
      </c>
      <c r="BD56" s="26" t="s">
        <v>641</v>
      </c>
      <c r="BE56" s="26" t="s">
        <v>640</v>
      </c>
      <c r="BF56" s="26"/>
      <c r="BG56" s="26" t="s">
        <v>640</v>
      </c>
    </row>
    <row r="57" spans="1:59" ht="25.5" customHeight="1" x14ac:dyDescent="0.15">
      <c r="A57" s="23" t="s">
        <v>642</v>
      </c>
      <c r="B57" s="24">
        <v>0</v>
      </c>
      <c r="C57" s="24">
        <v>0</v>
      </c>
      <c r="D57" s="24">
        <v>0</v>
      </c>
      <c r="E57" s="24">
        <v>0</v>
      </c>
      <c r="F57" s="24">
        <v>0</v>
      </c>
      <c r="G57" s="24">
        <v>0</v>
      </c>
      <c r="H57" s="24">
        <v>0</v>
      </c>
      <c r="I57" s="24">
        <v>0</v>
      </c>
      <c r="J57" s="24">
        <v>0</v>
      </c>
      <c r="K57" s="24">
        <v>0</v>
      </c>
      <c r="L57" s="24">
        <v>0</v>
      </c>
      <c r="M57" s="24">
        <v>0</v>
      </c>
      <c r="N57" s="24">
        <v>0</v>
      </c>
      <c r="O57" s="24"/>
      <c r="P57" s="24"/>
      <c r="Q57" s="24"/>
      <c r="R57" s="24"/>
      <c r="S57" s="24"/>
      <c r="T57" s="24"/>
      <c r="U57" s="25">
        <v>10.595726418660099</v>
      </c>
      <c r="V57" s="26" t="s">
        <v>643</v>
      </c>
      <c r="W57" s="26" t="s">
        <v>644</v>
      </c>
      <c r="X57" s="26" t="s">
        <v>643</v>
      </c>
      <c r="Y57" s="26" t="s">
        <v>644</v>
      </c>
      <c r="Z57" s="26" t="s">
        <v>643</v>
      </c>
      <c r="AA57" s="26" t="s">
        <v>644</v>
      </c>
      <c r="AB57" s="26" t="s">
        <v>643</v>
      </c>
      <c r="AC57" s="26" t="s">
        <v>644</v>
      </c>
      <c r="AD57" s="26" t="s">
        <v>643</v>
      </c>
      <c r="AE57" s="26" t="s">
        <v>644</v>
      </c>
      <c r="AF57" s="26" t="s">
        <v>643</v>
      </c>
      <c r="AG57" s="26" t="s">
        <v>644</v>
      </c>
      <c r="AH57" s="26" t="s">
        <v>643</v>
      </c>
      <c r="AI57" s="26" t="s">
        <v>644</v>
      </c>
      <c r="AJ57" s="26" t="s">
        <v>643</v>
      </c>
      <c r="AK57" s="26" t="s">
        <v>644</v>
      </c>
      <c r="AL57" s="26"/>
      <c r="AM57" s="26" t="s">
        <v>644</v>
      </c>
      <c r="AN57" s="26"/>
      <c r="AO57" s="26" t="s">
        <v>389</v>
      </c>
      <c r="AP57" s="26"/>
      <c r="AQ57" s="26" t="s">
        <v>389</v>
      </c>
      <c r="AR57" s="26"/>
      <c r="AS57" s="26" t="s">
        <v>389</v>
      </c>
      <c r="AT57" s="26"/>
      <c r="AU57" s="26" t="s">
        <v>389</v>
      </c>
      <c r="AV57" s="26"/>
      <c r="AW57" s="26"/>
      <c r="AX57" s="26"/>
      <c r="AY57" s="26"/>
      <c r="AZ57" s="26"/>
      <c r="BA57" s="26"/>
      <c r="BB57" s="26"/>
      <c r="BC57" s="26"/>
      <c r="BD57" s="26"/>
      <c r="BE57" s="26"/>
      <c r="BF57" s="26"/>
      <c r="BG57" s="26"/>
    </row>
    <row r="58" spans="1:59" ht="25.5" customHeight="1" x14ac:dyDescent="0.15">
      <c r="A58" s="23" t="s">
        <v>645</v>
      </c>
      <c r="B58" s="24">
        <v>5.9021136806902998E-3</v>
      </c>
      <c r="C58" s="24">
        <v>1.14757819210493E-2</v>
      </c>
      <c r="D58" s="24">
        <v>9.2790702460692501E-2</v>
      </c>
      <c r="E58" s="24">
        <v>0.13491483743733501</v>
      </c>
      <c r="F58" s="24">
        <v>0.19620837517803899</v>
      </c>
      <c r="G58" s="24">
        <v>0.23803779869279201</v>
      </c>
      <c r="H58" s="24">
        <v>0.29605361030881</v>
      </c>
      <c r="I58" s="24">
        <v>0.37</v>
      </c>
      <c r="J58" s="24">
        <v>0.44</v>
      </c>
      <c r="K58" s="24">
        <v>0.56000000000000005</v>
      </c>
      <c r="L58" s="24">
        <v>0.72</v>
      </c>
      <c r="M58" s="24">
        <v>1.2</v>
      </c>
      <c r="N58" s="24">
        <v>1.6799610146449999</v>
      </c>
      <c r="O58" s="24">
        <v>2.2000000000000002</v>
      </c>
      <c r="P58" s="24">
        <v>3</v>
      </c>
      <c r="Q58" s="24">
        <v>3.7999995072730002</v>
      </c>
      <c r="R58" s="24">
        <v>6.2099740603011897</v>
      </c>
      <c r="S58" s="24">
        <v>8.6199049156935494</v>
      </c>
      <c r="T58" s="24"/>
      <c r="U58" s="25">
        <v>10.595726418660099</v>
      </c>
      <c r="V58" s="26" t="s">
        <v>393</v>
      </c>
      <c r="W58" s="26"/>
      <c r="X58" s="26"/>
      <c r="Y58" s="26" t="s">
        <v>393</v>
      </c>
      <c r="Z58" s="26"/>
      <c r="AA58" s="26" t="s">
        <v>393</v>
      </c>
      <c r="AB58" s="26"/>
      <c r="AC58" s="26" t="s">
        <v>393</v>
      </c>
      <c r="AD58" s="26"/>
      <c r="AE58" s="26" t="s">
        <v>393</v>
      </c>
      <c r="AF58" s="26"/>
      <c r="AG58" s="26" t="s">
        <v>393</v>
      </c>
      <c r="AH58" s="26"/>
      <c r="AI58" s="26" t="s">
        <v>393</v>
      </c>
      <c r="AJ58" s="26"/>
      <c r="AK58" s="26" t="s">
        <v>393</v>
      </c>
      <c r="AL58" s="26"/>
      <c r="AM58" s="26" t="s">
        <v>393</v>
      </c>
      <c r="AN58" s="26"/>
      <c r="AO58" s="26" t="s">
        <v>393</v>
      </c>
      <c r="AP58" s="26" t="s">
        <v>646</v>
      </c>
      <c r="AQ58" s="26" t="s">
        <v>400</v>
      </c>
      <c r="AR58" s="26"/>
      <c r="AS58" s="26" t="s">
        <v>393</v>
      </c>
      <c r="AT58" s="26"/>
      <c r="AU58" s="26" t="s">
        <v>389</v>
      </c>
      <c r="AV58" s="26"/>
      <c r="AW58" s="26" t="s">
        <v>389</v>
      </c>
      <c r="AX58" s="26"/>
      <c r="AY58" s="26" t="s">
        <v>389</v>
      </c>
      <c r="AZ58" s="26"/>
      <c r="BA58" s="26" t="s">
        <v>389</v>
      </c>
      <c r="BB58" s="26"/>
      <c r="BC58" s="26" t="s">
        <v>401</v>
      </c>
      <c r="BD58" s="26"/>
      <c r="BE58" s="26" t="s">
        <v>389</v>
      </c>
      <c r="BF58" s="26"/>
      <c r="BG58" s="26"/>
    </row>
    <row r="59" spans="1:59" ht="25.5" customHeight="1" x14ac:dyDescent="0.15">
      <c r="A59" s="23" t="s">
        <v>125</v>
      </c>
      <c r="B59" s="24">
        <v>39.172430855505297</v>
      </c>
      <c r="C59" s="24">
        <v>42.957524720187799</v>
      </c>
      <c r="D59" s="24">
        <v>64.25</v>
      </c>
      <c r="E59" s="24">
        <v>76.260000000000005</v>
      </c>
      <c r="F59" s="24">
        <v>80.930000000000007</v>
      </c>
      <c r="G59" s="24">
        <v>82.74</v>
      </c>
      <c r="H59" s="24">
        <v>86.65</v>
      </c>
      <c r="I59" s="24">
        <v>85.03</v>
      </c>
      <c r="J59" s="24">
        <v>85.02</v>
      </c>
      <c r="K59" s="24">
        <v>86.84</v>
      </c>
      <c r="L59" s="24">
        <v>88.72</v>
      </c>
      <c r="M59" s="24">
        <v>89.810013389523206</v>
      </c>
      <c r="N59" s="24">
        <v>92.260011715301204</v>
      </c>
      <c r="O59" s="24">
        <v>94.6297</v>
      </c>
      <c r="P59" s="24">
        <v>95.99</v>
      </c>
      <c r="Q59" s="24">
        <v>96.330500000000001</v>
      </c>
      <c r="R59" s="24">
        <v>96.967785250000006</v>
      </c>
      <c r="S59" s="24">
        <v>97.099362159999998</v>
      </c>
      <c r="T59" s="24">
        <v>97.644268128092904</v>
      </c>
      <c r="U59" s="25">
        <v>10.595726418660099</v>
      </c>
      <c r="V59" s="26" t="s">
        <v>647</v>
      </c>
      <c r="W59" s="26" t="s">
        <v>648</v>
      </c>
      <c r="X59" s="26"/>
      <c r="Y59" s="26" t="s">
        <v>389</v>
      </c>
      <c r="Z59" s="26" t="s">
        <v>441</v>
      </c>
      <c r="AA59" s="26" t="s">
        <v>442</v>
      </c>
      <c r="AB59" s="26" t="s">
        <v>443</v>
      </c>
      <c r="AC59" s="26" t="s">
        <v>442</v>
      </c>
      <c r="AD59" s="26" t="s">
        <v>443</v>
      </c>
      <c r="AE59" s="26" t="s">
        <v>442</v>
      </c>
      <c r="AF59" s="26" t="s">
        <v>443</v>
      </c>
      <c r="AG59" s="26" t="s">
        <v>442</v>
      </c>
      <c r="AH59" s="26" t="s">
        <v>443</v>
      </c>
      <c r="AI59" s="26" t="s">
        <v>442</v>
      </c>
      <c r="AJ59" s="26" t="s">
        <v>443</v>
      </c>
      <c r="AK59" s="26" t="s">
        <v>442</v>
      </c>
      <c r="AL59" s="26" t="s">
        <v>443</v>
      </c>
      <c r="AM59" s="26" t="s">
        <v>442</v>
      </c>
      <c r="AN59" s="26" t="s">
        <v>443</v>
      </c>
      <c r="AO59" s="26" t="s">
        <v>442</v>
      </c>
      <c r="AP59" s="26" t="s">
        <v>538</v>
      </c>
      <c r="AQ59" s="26" t="s">
        <v>649</v>
      </c>
      <c r="AR59" s="26" t="s">
        <v>444</v>
      </c>
      <c r="AS59" s="26" t="s">
        <v>442</v>
      </c>
      <c r="AT59" s="26" t="s">
        <v>445</v>
      </c>
      <c r="AU59" s="26" t="s">
        <v>442</v>
      </c>
      <c r="AV59" s="26" t="s">
        <v>443</v>
      </c>
      <c r="AW59" s="26" t="s">
        <v>442</v>
      </c>
      <c r="AX59" s="26" t="s">
        <v>443</v>
      </c>
      <c r="AY59" s="26" t="s">
        <v>449</v>
      </c>
      <c r="AZ59" s="26" t="s">
        <v>443</v>
      </c>
      <c r="BA59" s="26" t="s">
        <v>442</v>
      </c>
      <c r="BB59" s="26" t="s">
        <v>650</v>
      </c>
      <c r="BC59" s="26" t="s">
        <v>651</v>
      </c>
      <c r="BD59" s="26" t="s">
        <v>652</v>
      </c>
      <c r="BE59" s="26" t="s">
        <v>651</v>
      </c>
      <c r="BF59" s="26"/>
      <c r="BG59" s="26" t="s">
        <v>449</v>
      </c>
    </row>
    <row r="60" spans="1:59" ht="25.5" customHeight="1" x14ac:dyDescent="0.15">
      <c r="A60" s="23" t="s">
        <v>146</v>
      </c>
      <c r="B60" s="24">
        <v>0.19450052839995599</v>
      </c>
      <c r="C60" s="24">
        <v>0.34352626296420202</v>
      </c>
      <c r="D60" s="24">
        <v>0.48697170451894001</v>
      </c>
      <c r="E60" s="24">
        <v>0.62594022939988803</v>
      </c>
      <c r="F60" s="24">
        <v>0.78131717506866105</v>
      </c>
      <c r="G60" s="24">
        <v>0.95361144930056896</v>
      </c>
      <c r="H60" s="24">
        <v>1.2700411591932199</v>
      </c>
      <c r="I60" s="24">
        <v>1.62</v>
      </c>
      <c r="J60" s="24">
        <v>2.2599999999999998</v>
      </c>
      <c r="K60" s="24">
        <v>4</v>
      </c>
      <c r="L60" s="24">
        <v>6.5</v>
      </c>
      <c r="M60" s="24">
        <v>7</v>
      </c>
      <c r="N60" s="24">
        <v>8.2672328920451896</v>
      </c>
      <c r="O60" s="24">
        <v>9.5</v>
      </c>
      <c r="P60" s="24">
        <v>10.71</v>
      </c>
      <c r="Q60" s="24">
        <v>11.9224314345</v>
      </c>
      <c r="R60" s="24">
        <v>13.134915107399999</v>
      </c>
      <c r="S60" s="24">
        <v>55.681409250000002</v>
      </c>
      <c r="T60" s="24"/>
      <c r="U60" s="25">
        <v>10.595726418660099</v>
      </c>
      <c r="V60" s="26"/>
      <c r="W60" s="26"/>
      <c r="X60" s="26"/>
      <c r="Y60" s="26"/>
      <c r="Z60" s="26"/>
      <c r="AA60" s="26"/>
      <c r="AB60" s="26"/>
      <c r="AC60" s="26"/>
      <c r="AD60" s="26"/>
      <c r="AE60" s="26"/>
      <c r="AF60" s="26"/>
      <c r="AG60" s="26"/>
      <c r="AH60" s="26"/>
      <c r="AI60" s="26"/>
      <c r="AJ60" s="26"/>
      <c r="AK60" s="26" t="s">
        <v>653</v>
      </c>
      <c r="AL60" s="26"/>
      <c r="AM60" s="26" t="s">
        <v>653</v>
      </c>
      <c r="AN60" s="26"/>
      <c r="AO60" s="26" t="s">
        <v>393</v>
      </c>
      <c r="AP60" s="26"/>
      <c r="AQ60" s="26" t="s">
        <v>393</v>
      </c>
      <c r="AR60" s="26"/>
      <c r="AS60" s="26" t="s">
        <v>393</v>
      </c>
      <c r="AT60" s="26"/>
      <c r="AU60" s="26" t="s">
        <v>389</v>
      </c>
      <c r="AV60" s="26"/>
      <c r="AW60" s="26" t="s">
        <v>389</v>
      </c>
      <c r="AX60" s="26"/>
      <c r="AY60" s="26" t="s">
        <v>389</v>
      </c>
      <c r="AZ60" s="26"/>
      <c r="BA60" s="26" t="s">
        <v>389</v>
      </c>
      <c r="BB60" s="26"/>
      <c r="BC60" s="26" t="s">
        <v>401</v>
      </c>
      <c r="BD60" s="26"/>
      <c r="BE60" s="26" t="s">
        <v>654</v>
      </c>
      <c r="BF60" s="26"/>
      <c r="BG60" s="26"/>
    </row>
    <row r="61" spans="1:59" ht="25.5" customHeight="1" x14ac:dyDescent="0.15">
      <c r="A61" s="23" t="s">
        <v>141</v>
      </c>
      <c r="B61" s="24">
        <v>8.8148441976288101</v>
      </c>
      <c r="C61" s="24">
        <v>13.2452280386761</v>
      </c>
      <c r="D61" s="24">
        <v>18.424892767124099</v>
      </c>
      <c r="E61" s="24">
        <v>23.6204198529629</v>
      </c>
      <c r="F61" s="24">
        <v>30.3196130921568</v>
      </c>
      <c r="G61" s="24">
        <v>38.543643263757097</v>
      </c>
      <c r="H61" s="24">
        <v>39.39817430347</v>
      </c>
      <c r="I61" s="24">
        <v>40.274463007159902</v>
      </c>
      <c r="J61" s="24">
        <v>41.16</v>
      </c>
      <c r="K61" s="24">
        <v>42.02</v>
      </c>
      <c r="L61" s="24">
        <v>47.45</v>
      </c>
      <c r="M61" s="24">
        <v>48.6</v>
      </c>
      <c r="N61" s="24">
        <v>49.8</v>
      </c>
      <c r="O61" s="24">
        <v>51</v>
      </c>
      <c r="P61" s="24">
        <v>57.5</v>
      </c>
      <c r="Q61" s="24">
        <v>65</v>
      </c>
      <c r="R61" s="24">
        <v>67.03</v>
      </c>
      <c r="S61" s="24">
        <v>69.619668794203903</v>
      </c>
      <c r="T61" s="24"/>
      <c r="U61" s="25">
        <v>10.595726418660099</v>
      </c>
      <c r="V61" s="26"/>
      <c r="W61" s="26"/>
      <c r="X61" s="26"/>
      <c r="Y61" s="26"/>
      <c r="Z61" s="26"/>
      <c r="AA61" s="26"/>
      <c r="AB61" s="26"/>
      <c r="AC61" s="26" t="s">
        <v>389</v>
      </c>
      <c r="AD61" s="26"/>
      <c r="AE61" s="26" t="s">
        <v>389</v>
      </c>
      <c r="AF61" s="26"/>
      <c r="AG61" s="26" t="s">
        <v>389</v>
      </c>
      <c r="AH61" s="26"/>
      <c r="AI61" s="26" t="s">
        <v>389</v>
      </c>
      <c r="AJ61" s="26"/>
      <c r="AK61" s="26" t="s">
        <v>389</v>
      </c>
      <c r="AL61" s="26"/>
      <c r="AM61" s="26" t="s">
        <v>389</v>
      </c>
      <c r="AN61" s="26"/>
      <c r="AO61" s="26" t="s">
        <v>389</v>
      </c>
      <c r="AP61" s="26"/>
      <c r="AQ61" s="26" t="s">
        <v>655</v>
      </c>
      <c r="AR61" s="26"/>
      <c r="AS61" s="26" t="s">
        <v>389</v>
      </c>
      <c r="AT61" s="26"/>
      <c r="AU61" s="26" t="s">
        <v>389</v>
      </c>
      <c r="AV61" s="26"/>
      <c r="AW61" s="26" t="s">
        <v>389</v>
      </c>
      <c r="AX61" s="26"/>
      <c r="AY61" s="26" t="s">
        <v>656</v>
      </c>
      <c r="AZ61" s="26"/>
      <c r="BA61" s="26" t="s">
        <v>401</v>
      </c>
      <c r="BB61" s="26"/>
      <c r="BC61" s="26" t="s">
        <v>401</v>
      </c>
      <c r="BD61" s="26"/>
      <c r="BE61" s="26" t="s">
        <v>389</v>
      </c>
      <c r="BF61" s="26"/>
      <c r="BG61" s="26"/>
    </row>
    <row r="62" spans="1:59" ht="25.5" customHeight="1" x14ac:dyDescent="0.15">
      <c r="A62" s="23" t="s">
        <v>657</v>
      </c>
      <c r="B62" s="24">
        <v>3.7046923558768801</v>
      </c>
      <c r="C62" s="24">
        <v>4.4293906966664496</v>
      </c>
      <c r="D62" s="24">
        <v>6.8237257325842</v>
      </c>
      <c r="E62" s="24">
        <v>7.8983929371638704</v>
      </c>
      <c r="F62" s="24">
        <v>8.8655534607043993</v>
      </c>
      <c r="G62" s="24">
        <v>11.4831977789344</v>
      </c>
      <c r="H62" s="24">
        <v>14.8449283654589</v>
      </c>
      <c r="I62" s="24">
        <v>17.66</v>
      </c>
      <c r="J62" s="24">
        <v>20.82</v>
      </c>
      <c r="K62" s="24">
        <v>27.72</v>
      </c>
      <c r="L62" s="24">
        <v>31.4</v>
      </c>
      <c r="M62" s="24">
        <v>38</v>
      </c>
      <c r="N62" s="24">
        <v>42.32</v>
      </c>
      <c r="O62" s="24">
        <v>45.9</v>
      </c>
      <c r="P62" s="24">
        <v>49.58</v>
      </c>
      <c r="Q62" s="24">
        <v>54.215766336978497</v>
      </c>
      <c r="R62" s="24">
        <v>63.870864740000002</v>
      </c>
      <c r="S62" s="24">
        <v>67.571234680000003</v>
      </c>
      <c r="T62" s="24">
        <v>74.824289858872106</v>
      </c>
      <c r="U62" s="25">
        <v>10.595726418660099</v>
      </c>
      <c r="V62" s="26"/>
      <c r="W62" s="26" t="s">
        <v>658</v>
      </c>
      <c r="X62" s="26"/>
      <c r="Y62" s="26" t="s">
        <v>658</v>
      </c>
      <c r="Z62" s="26"/>
      <c r="AA62" s="26" t="s">
        <v>658</v>
      </c>
      <c r="AB62" s="26"/>
      <c r="AC62" s="26" t="s">
        <v>658</v>
      </c>
      <c r="AD62" s="26"/>
      <c r="AE62" s="26" t="s">
        <v>658</v>
      </c>
      <c r="AF62" s="26"/>
      <c r="AG62" s="26" t="s">
        <v>658</v>
      </c>
      <c r="AH62" s="26"/>
      <c r="AI62" s="26" t="s">
        <v>658</v>
      </c>
      <c r="AJ62" s="26"/>
      <c r="AK62" s="26" t="s">
        <v>659</v>
      </c>
      <c r="AL62" s="26"/>
      <c r="AM62" s="26" t="s">
        <v>659</v>
      </c>
      <c r="AN62" s="26" t="s">
        <v>660</v>
      </c>
      <c r="AO62" s="26" t="s">
        <v>659</v>
      </c>
      <c r="AP62" s="26"/>
      <c r="AQ62" s="26" t="s">
        <v>389</v>
      </c>
      <c r="AR62" s="26" t="s">
        <v>661</v>
      </c>
      <c r="AS62" s="26" t="s">
        <v>662</v>
      </c>
      <c r="AT62" s="26" t="s">
        <v>663</v>
      </c>
      <c r="AU62" s="26" t="s">
        <v>664</v>
      </c>
      <c r="AV62" s="26" t="s">
        <v>663</v>
      </c>
      <c r="AW62" s="26" t="s">
        <v>664</v>
      </c>
      <c r="AX62" s="26"/>
      <c r="AY62" s="26" t="s">
        <v>389</v>
      </c>
      <c r="AZ62" s="26" t="s">
        <v>665</v>
      </c>
      <c r="BA62" s="26" t="s">
        <v>664</v>
      </c>
      <c r="BB62" s="26" t="s">
        <v>666</v>
      </c>
      <c r="BC62" s="26" t="s">
        <v>664</v>
      </c>
      <c r="BD62" s="26"/>
      <c r="BE62" s="26" t="s">
        <v>667</v>
      </c>
      <c r="BF62" s="26"/>
      <c r="BG62" s="26" t="s">
        <v>664</v>
      </c>
    </row>
    <row r="63" spans="1:59" ht="25.5" customHeight="1" x14ac:dyDescent="0.15">
      <c r="A63" s="23" t="s">
        <v>57</v>
      </c>
      <c r="B63" s="24">
        <v>1.4621885355645701</v>
      </c>
      <c r="C63" s="24">
        <v>2.6704436737670498</v>
      </c>
      <c r="D63" s="24">
        <v>4.2607969151976404</v>
      </c>
      <c r="E63" s="24">
        <v>4.4602283447269802</v>
      </c>
      <c r="F63" s="24">
        <v>4.8344426375952496</v>
      </c>
      <c r="G63" s="24">
        <v>5.9942551609733101</v>
      </c>
      <c r="H63" s="24">
        <v>7.2</v>
      </c>
      <c r="I63" s="24">
        <v>10.8</v>
      </c>
      <c r="J63" s="24">
        <v>18.8</v>
      </c>
      <c r="K63" s="24">
        <v>24.6</v>
      </c>
      <c r="L63" s="24">
        <v>29.03</v>
      </c>
      <c r="M63" s="24">
        <v>31.366808358743299</v>
      </c>
      <c r="N63" s="24">
        <v>35.135146454551602</v>
      </c>
      <c r="O63" s="24">
        <v>40.279121941</v>
      </c>
      <c r="P63" s="24">
        <v>45.590390666609501</v>
      </c>
      <c r="Q63" s="24">
        <v>48.940433789266898</v>
      </c>
      <c r="R63" s="24">
        <v>54.062924729999999</v>
      </c>
      <c r="S63" s="24">
        <v>57.272243683102403</v>
      </c>
      <c r="T63" s="24"/>
      <c r="U63" s="25">
        <v>10.595726418660099</v>
      </c>
      <c r="V63" s="26"/>
      <c r="W63" s="26"/>
      <c r="X63" s="26"/>
      <c r="Y63" s="26"/>
      <c r="Z63" s="26"/>
      <c r="AA63" s="26"/>
      <c r="AB63" s="26"/>
      <c r="AC63" s="26"/>
      <c r="AD63" s="26"/>
      <c r="AE63" s="26"/>
      <c r="AF63" s="26"/>
      <c r="AG63" s="26" t="s">
        <v>389</v>
      </c>
      <c r="AH63" s="26" t="s">
        <v>526</v>
      </c>
      <c r="AI63" s="26" t="s">
        <v>389</v>
      </c>
      <c r="AJ63" s="26" t="s">
        <v>668</v>
      </c>
      <c r="AK63" s="26" t="s">
        <v>389</v>
      </c>
      <c r="AL63" s="26"/>
      <c r="AM63" s="26" t="s">
        <v>669</v>
      </c>
      <c r="AN63" s="26" t="s">
        <v>670</v>
      </c>
      <c r="AO63" s="26" t="s">
        <v>669</v>
      </c>
      <c r="AP63" s="26" t="s">
        <v>485</v>
      </c>
      <c r="AQ63" s="26" t="s">
        <v>671</v>
      </c>
      <c r="AR63" s="26" t="s">
        <v>485</v>
      </c>
      <c r="AS63" s="26" t="s">
        <v>672</v>
      </c>
      <c r="AT63" s="26" t="s">
        <v>485</v>
      </c>
      <c r="AU63" s="26" t="s">
        <v>673</v>
      </c>
      <c r="AV63" s="26" t="s">
        <v>674</v>
      </c>
      <c r="AW63" s="26" t="s">
        <v>671</v>
      </c>
      <c r="AX63" s="26" t="s">
        <v>675</v>
      </c>
      <c r="AY63" s="26" t="s">
        <v>671</v>
      </c>
      <c r="AZ63" s="26" t="s">
        <v>485</v>
      </c>
      <c r="BA63" s="26" t="s">
        <v>671</v>
      </c>
      <c r="BB63" s="26" t="s">
        <v>676</v>
      </c>
      <c r="BC63" s="26" t="s">
        <v>671</v>
      </c>
      <c r="BD63" s="26" t="s">
        <v>676</v>
      </c>
      <c r="BE63" s="26" t="s">
        <v>671</v>
      </c>
      <c r="BF63" s="26"/>
      <c r="BG63" s="26"/>
    </row>
    <row r="64" spans="1:59" ht="25.5" customHeight="1" x14ac:dyDescent="0.15">
      <c r="A64" s="23" t="s">
        <v>168</v>
      </c>
      <c r="B64" s="24">
        <v>0.64126503750481301</v>
      </c>
      <c r="C64" s="24">
        <v>0.83894561147760405</v>
      </c>
      <c r="D64" s="24">
        <v>2.7199997146542101</v>
      </c>
      <c r="E64" s="24">
        <v>4.0378851070670096</v>
      </c>
      <c r="F64" s="24">
        <v>11.92</v>
      </c>
      <c r="G64" s="24">
        <v>12.75</v>
      </c>
      <c r="H64" s="24">
        <v>13.66</v>
      </c>
      <c r="I64" s="24">
        <v>16.03</v>
      </c>
      <c r="J64" s="24">
        <v>18.010000000000002</v>
      </c>
      <c r="K64" s="24">
        <v>20</v>
      </c>
      <c r="L64" s="24">
        <v>21.6</v>
      </c>
      <c r="M64" s="24">
        <v>25.6</v>
      </c>
      <c r="N64" s="24">
        <v>26.4</v>
      </c>
      <c r="O64" s="24">
        <v>29.4</v>
      </c>
      <c r="P64" s="24">
        <v>33.894603911527497</v>
      </c>
      <c r="Q64" s="24">
        <v>37.8193834276939</v>
      </c>
      <c r="R64" s="24">
        <v>41.248067089999999</v>
      </c>
      <c r="S64" s="24">
        <v>44.950204249999999</v>
      </c>
      <c r="T64" s="24">
        <v>46.924338086490501</v>
      </c>
      <c r="U64" s="25">
        <v>10.595726418660099</v>
      </c>
      <c r="V64" s="26"/>
      <c r="W64" s="26" t="s">
        <v>677</v>
      </c>
      <c r="X64" s="26"/>
      <c r="Y64" s="26" t="s">
        <v>677</v>
      </c>
      <c r="Z64" s="26"/>
      <c r="AA64" s="26" t="s">
        <v>678</v>
      </c>
      <c r="AB64" s="26"/>
      <c r="AC64" s="26" t="s">
        <v>677</v>
      </c>
      <c r="AD64" s="26"/>
      <c r="AE64" s="26" t="s">
        <v>679</v>
      </c>
      <c r="AF64" s="26"/>
      <c r="AG64" s="26" t="s">
        <v>679</v>
      </c>
      <c r="AH64" s="26"/>
      <c r="AI64" s="26" t="s">
        <v>679</v>
      </c>
      <c r="AJ64" s="26"/>
      <c r="AK64" s="26" t="s">
        <v>680</v>
      </c>
      <c r="AL64" s="26"/>
      <c r="AM64" s="26" t="s">
        <v>681</v>
      </c>
      <c r="AN64" s="26"/>
      <c r="AO64" s="26" t="s">
        <v>389</v>
      </c>
      <c r="AP64" s="26" t="s">
        <v>475</v>
      </c>
      <c r="AQ64" s="26" t="s">
        <v>681</v>
      </c>
      <c r="AR64" s="26" t="s">
        <v>475</v>
      </c>
      <c r="AS64" s="26" t="s">
        <v>681</v>
      </c>
      <c r="AT64" s="26" t="s">
        <v>475</v>
      </c>
      <c r="AU64" s="26" t="s">
        <v>682</v>
      </c>
      <c r="AV64" s="26" t="s">
        <v>475</v>
      </c>
      <c r="AW64" s="26" t="s">
        <v>681</v>
      </c>
      <c r="AX64" s="26" t="s">
        <v>475</v>
      </c>
      <c r="AY64" s="26" t="s">
        <v>681</v>
      </c>
      <c r="AZ64" s="26" t="s">
        <v>475</v>
      </c>
      <c r="BA64" s="26" t="s">
        <v>683</v>
      </c>
      <c r="BB64" s="26"/>
      <c r="BC64" s="26" t="s">
        <v>681</v>
      </c>
      <c r="BD64" s="26"/>
      <c r="BE64" s="26" t="s">
        <v>681</v>
      </c>
      <c r="BF64" s="26"/>
      <c r="BG64" s="26" t="s">
        <v>681</v>
      </c>
    </row>
    <row r="65" spans="1:59" ht="25.5" customHeight="1" x14ac:dyDescent="0.15">
      <c r="A65" s="23" t="s">
        <v>83</v>
      </c>
      <c r="B65" s="24">
        <v>1.1773972691447701</v>
      </c>
      <c r="C65" s="24">
        <v>1.5</v>
      </c>
      <c r="D65" s="24">
        <v>1.9</v>
      </c>
      <c r="E65" s="24">
        <v>2.5</v>
      </c>
      <c r="F65" s="24">
        <v>3.2</v>
      </c>
      <c r="G65" s="24">
        <v>4.2</v>
      </c>
      <c r="H65" s="24">
        <v>5.5</v>
      </c>
      <c r="I65" s="24">
        <v>6.11</v>
      </c>
      <c r="J65" s="24">
        <v>10.08</v>
      </c>
      <c r="K65" s="24">
        <v>12.11</v>
      </c>
      <c r="L65" s="24">
        <v>15.9</v>
      </c>
      <c r="M65" s="24">
        <v>18.899999999999999</v>
      </c>
      <c r="N65" s="24">
        <v>20.321387724200701</v>
      </c>
      <c r="O65" s="24">
        <v>23.109300000000001</v>
      </c>
      <c r="P65" s="24">
        <v>24.761712145906099</v>
      </c>
      <c r="Q65" s="24">
        <v>26.802604960057199</v>
      </c>
      <c r="R65" s="24">
        <v>28.997073045596998</v>
      </c>
      <c r="S65" s="24">
        <v>33.820728899999999</v>
      </c>
      <c r="T65" s="24"/>
      <c r="U65" s="25">
        <v>10.595726418660099</v>
      </c>
      <c r="V65" s="26"/>
      <c r="W65" s="26" t="s">
        <v>684</v>
      </c>
      <c r="X65" s="26" t="s">
        <v>685</v>
      </c>
      <c r="Y65" s="26" t="s">
        <v>389</v>
      </c>
      <c r="Z65" s="26" t="s">
        <v>685</v>
      </c>
      <c r="AA65" s="26" t="s">
        <v>389</v>
      </c>
      <c r="AB65" s="26" t="s">
        <v>685</v>
      </c>
      <c r="AC65" s="26" t="s">
        <v>389</v>
      </c>
      <c r="AD65" s="26" t="s">
        <v>685</v>
      </c>
      <c r="AE65" s="26" t="s">
        <v>389</v>
      </c>
      <c r="AF65" s="26" t="s">
        <v>685</v>
      </c>
      <c r="AG65" s="26" t="s">
        <v>389</v>
      </c>
      <c r="AH65" s="26" t="s">
        <v>526</v>
      </c>
      <c r="AI65" s="26" t="s">
        <v>576</v>
      </c>
      <c r="AJ65" s="26" t="s">
        <v>526</v>
      </c>
      <c r="AK65" s="26" t="s">
        <v>686</v>
      </c>
      <c r="AL65" s="26" t="s">
        <v>526</v>
      </c>
      <c r="AM65" s="26" t="s">
        <v>686</v>
      </c>
      <c r="AN65" s="26" t="s">
        <v>526</v>
      </c>
      <c r="AO65" s="26" t="s">
        <v>686</v>
      </c>
      <c r="AP65" s="26" t="s">
        <v>526</v>
      </c>
      <c r="AQ65" s="26" t="s">
        <v>686</v>
      </c>
      <c r="AR65" s="26"/>
      <c r="AS65" s="26" t="s">
        <v>389</v>
      </c>
      <c r="AT65" s="26"/>
      <c r="AU65" s="26" t="s">
        <v>687</v>
      </c>
      <c r="AV65" s="26" t="s">
        <v>688</v>
      </c>
      <c r="AW65" s="26" t="s">
        <v>687</v>
      </c>
      <c r="AX65" s="26" t="s">
        <v>526</v>
      </c>
      <c r="AY65" s="26" t="s">
        <v>687</v>
      </c>
      <c r="AZ65" s="26"/>
      <c r="BA65" s="26" t="s">
        <v>689</v>
      </c>
      <c r="BB65" s="26"/>
      <c r="BC65" s="26" t="s">
        <v>401</v>
      </c>
      <c r="BD65" s="26"/>
      <c r="BE65" s="26" t="s">
        <v>687</v>
      </c>
      <c r="BF65" s="26"/>
      <c r="BG65" s="26"/>
    </row>
    <row r="66" spans="1:59" ht="25.5" customHeight="1" x14ac:dyDescent="0.15">
      <c r="A66" s="23" t="s">
        <v>72</v>
      </c>
      <c r="B66" s="24">
        <v>0.13235466512378899</v>
      </c>
      <c r="C66" s="24">
        <v>0.16526042288306</v>
      </c>
      <c r="D66" s="24">
        <v>0.321197997152044</v>
      </c>
      <c r="E66" s="24">
        <v>0.52052427204680596</v>
      </c>
      <c r="F66" s="24">
        <v>0.843930284607049</v>
      </c>
      <c r="G66" s="24">
        <v>1.1497896706181101</v>
      </c>
      <c r="H66" s="24">
        <v>1.2791935963568599</v>
      </c>
      <c r="I66" s="24">
        <v>1.55712305943539</v>
      </c>
      <c r="J66" s="24">
        <v>1.82</v>
      </c>
      <c r="K66" s="24">
        <v>2.13</v>
      </c>
      <c r="L66" s="24">
        <v>6</v>
      </c>
      <c r="M66" s="24">
        <v>11.5</v>
      </c>
      <c r="N66" s="24">
        <v>13.943182191307599</v>
      </c>
      <c r="O66" s="24">
        <v>16.399999999999999</v>
      </c>
      <c r="P66" s="24">
        <v>18.86</v>
      </c>
      <c r="Q66" s="24">
        <v>21.319999985207001</v>
      </c>
      <c r="R66" s="24">
        <v>23.779999971074002</v>
      </c>
      <c r="S66" s="24">
        <v>26.239999956940899</v>
      </c>
      <c r="T66" s="24"/>
      <c r="U66" s="25">
        <v>10.595726418660099</v>
      </c>
      <c r="V66" s="26"/>
      <c r="W66" s="26"/>
      <c r="X66" s="26"/>
      <c r="Y66" s="26"/>
      <c r="Z66" s="26"/>
      <c r="AA66" s="26"/>
      <c r="AB66" s="26"/>
      <c r="AC66" s="26"/>
      <c r="AD66" s="26"/>
      <c r="AE66" s="26"/>
      <c r="AF66" s="26"/>
      <c r="AG66" s="26"/>
      <c r="AH66" s="26"/>
      <c r="AI66" s="26"/>
      <c r="AJ66" s="26"/>
      <c r="AK66" s="26" t="s">
        <v>389</v>
      </c>
      <c r="AL66" s="26"/>
      <c r="AM66" s="26" t="s">
        <v>389</v>
      </c>
      <c r="AN66" s="26"/>
      <c r="AO66" s="26" t="s">
        <v>389</v>
      </c>
      <c r="AP66" s="26"/>
      <c r="AQ66" s="26" t="s">
        <v>690</v>
      </c>
      <c r="AR66" s="26"/>
      <c r="AS66" s="26" t="s">
        <v>389</v>
      </c>
      <c r="AT66" s="26"/>
      <c r="AU66" s="26" t="s">
        <v>389</v>
      </c>
      <c r="AV66" s="26"/>
      <c r="AW66" s="26" t="s">
        <v>389</v>
      </c>
      <c r="AX66" s="26"/>
      <c r="AY66" s="26" t="s">
        <v>389</v>
      </c>
      <c r="AZ66" s="26"/>
      <c r="BA66" s="26" t="s">
        <v>389</v>
      </c>
      <c r="BB66" s="26"/>
      <c r="BC66" s="26" t="s">
        <v>401</v>
      </c>
      <c r="BD66" s="26"/>
      <c r="BE66" s="26" t="s">
        <v>389</v>
      </c>
      <c r="BF66" s="26"/>
      <c r="BG66" s="26"/>
    </row>
    <row r="67" spans="1:59" ht="25.5" customHeight="1" x14ac:dyDescent="0.15">
      <c r="A67" s="23" t="s">
        <v>6</v>
      </c>
      <c r="B67" s="24">
        <v>0.136711941104496</v>
      </c>
      <c r="C67" s="24">
        <v>0.157815289303043</v>
      </c>
      <c r="D67" s="24">
        <v>0.22709013762671601</v>
      </c>
      <c r="E67" s="24"/>
      <c r="F67" s="24"/>
      <c r="G67" s="24"/>
      <c r="H67" s="24"/>
      <c r="I67" s="24">
        <v>0.41</v>
      </c>
      <c r="J67" s="24">
        <v>0.47</v>
      </c>
      <c r="K67" s="24">
        <v>0.54</v>
      </c>
      <c r="L67" s="24">
        <v>0.61</v>
      </c>
      <c r="M67" s="24">
        <v>0.7</v>
      </c>
      <c r="N67" s="24">
        <v>0.8</v>
      </c>
      <c r="O67" s="24">
        <v>0.9</v>
      </c>
      <c r="P67" s="24">
        <v>0.99</v>
      </c>
      <c r="Q67" s="24">
        <v>1.0837331156750001</v>
      </c>
      <c r="R67" s="24">
        <v>1.1771187201569999</v>
      </c>
      <c r="S67" s="24">
        <v>1.3089069798665001</v>
      </c>
      <c r="T67" s="24"/>
      <c r="U67" s="25">
        <v>10.595726418660099</v>
      </c>
      <c r="V67" s="26"/>
      <c r="W67" s="26"/>
      <c r="X67" s="26"/>
      <c r="Y67" s="26"/>
      <c r="Z67" s="26"/>
      <c r="AA67" s="26"/>
      <c r="AB67" s="26"/>
      <c r="AC67" s="26"/>
      <c r="AD67" s="26"/>
      <c r="AE67" s="26"/>
      <c r="AF67" s="26"/>
      <c r="AG67" s="26"/>
      <c r="AH67" s="26"/>
      <c r="AI67" s="26"/>
      <c r="AJ67" s="26"/>
      <c r="AK67" s="26" t="s">
        <v>389</v>
      </c>
      <c r="AL67" s="26"/>
      <c r="AM67" s="26" t="s">
        <v>389</v>
      </c>
      <c r="AN67" s="26"/>
      <c r="AO67" s="26" t="s">
        <v>389</v>
      </c>
      <c r="AP67" s="26"/>
      <c r="AQ67" s="26" t="s">
        <v>389</v>
      </c>
      <c r="AR67" s="26"/>
      <c r="AS67" s="26" t="s">
        <v>389</v>
      </c>
      <c r="AT67" s="26"/>
      <c r="AU67" s="26" t="s">
        <v>691</v>
      </c>
      <c r="AV67" s="26"/>
      <c r="AW67" s="26" t="s">
        <v>389</v>
      </c>
      <c r="AX67" s="26"/>
      <c r="AY67" s="26" t="s">
        <v>389</v>
      </c>
      <c r="AZ67" s="26"/>
      <c r="BA67" s="26" t="s">
        <v>389</v>
      </c>
      <c r="BB67" s="26"/>
      <c r="BC67" s="26" t="s">
        <v>401</v>
      </c>
      <c r="BD67" s="26"/>
      <c r="BE67" s="26" t="s">
        <v>389</v>
      </c>
      <c r="BF67" s="26"/>
      <c r="BG67" s="26"/>
    </row>
    <row r="68" spans="1:59" ht="25.5" customHeight="1" x14ac:dyDescent="0.15">
      <c r="A68" s="23" t="s">
        <v>40</v>
      </c>
      <c r="B68" s="24">
        <v>28.5769538105646</v>
      </c>
      <c r="C68" s="24">
        <v>31.527489767375599</v>
      </c>
      <c r="D68" s="24">
        <v>41.52</v>
      </c>
      <c r="E68" s="24">
        <v>45.32</v>
      </c>
      <c r="F68" s="24">
        <v>53.2</v>
      </c>
      <c r="G68" s="24">
        <v>61.45</v>
      </c>
      <c r="H68" s="24">
        <v>63.51</v>
      </c>
      <c r="I68" s="24">
        <v>66.19</v>
      </c>
      <c r="J68" s="24">
        <v>70.58</v>
      </c>
      <c r="K68" s="24">
        <v>72.5</v>
      </c>
      <c r="L68" s="24">
        <v>74.099999999999994</v>
      </c>
      <c r="M68" s="24">
        <v>76.5</v>
      </c>
      <c r="N68" s="24">
        <v>78.389925925925894</v>
      </c>
      <c r="O68" s="24">
        <v>80.004300000000001</v>
      </c>
      <c r="P68" s="24">
        <v>84.241528029435202</v>
      </c>
      <c r="Q68" s="24">
        <v>88.409703504043094</v>
      </c>
      <c r="R68" s="24">
        <v>87.240232750000004</v>
      </c>
      <c r="S68" s="24">
        <v>88.102456869999997</v>
      </c>
      <c r="T68" s="24">
        <v>89.357007774742598</v>
      </c>
      <c r="U68" s="25">
        <v>10.595726418660099</v>
      </c>
      <c r="V68" s="26"/>
      <c r="W68" s="26" t="s">
        <v>692</v>
      </c>
      <c r="X68" s="26"/>
      <c r="Y68" s="26" t="s">
        <v>692</v>
      </c>
      <c r="Z68" s="26"/>
      <c r="AA68" s="26" t="s">
        <v>693</v>
      </c>
      <c r="AB68" s="26"/>
      <c r="AC68" s="26" t="s">
        <v>693</v>
      </c>
      <c r="AD68" s="26" t="s">
        <v>443</v>
      </c>
      <c r="AE68" s="26" t="s">
        <v>442</v>
      </c>
      <c r="AF68" s="26" t="s">
        <v>443</v>
      </c>
      <c r="AG68" s="26" t="s">
        <v>442</v>
      </c>
      <c r="AH68" s="26" t="s">
        <v>443</v>
      </c>
      <c r="AI68" s="26" t="s">
        <v>442</v>
      </c>
      <c r="AJ68" s="26" t="s">
        <v>443</v>
      </c>
      <c r="AK68" s="26" t="s">
        <v>442</v>
      </c>
      <c r="AL68" s="26" t="s">
        <v>443</v>
      </c>
      <c r="AM68" s="26" t="s">
        <v>442</v>
      </c>
      <c r="AN68" s="26" t="s">
        <v>443</v>
      </c>
      <c r="AO68" s="26" t="s">
        <v>442</v>
      </c>
      <c r="AP68" s="26" t="s">
        <v>694</v>
      </c>
      <c r="AQ68" s="26" t="s">
        <v>695</v>
      </c>
      <c r="AR68" s="26" t="s">
        <v>444</v>
      </c>
      <c r="AS68" s="26" t="s">
        <v>442</v>
      </c>
      <c r="AT68" s="26" t="s">
        <v>445</v>
      </c>
      <c r="AU68" s="26" t="s">
        <v>442</v>
      </c>
      <c r="AV68" s="26" t="s">
        <v>443</v>
      </c>
      <c r="AW68" s="26" t="s">
        <v>442</v>
      </c>
      <c r="AX68" s="26" t="s">
        <v>443</v>
      </c>
      <c r="AY68" s="26" t="s">
        <v>696</v>
      </c>
      <c r="AZ68" s="26"/>
      <c r="BA68" s="26" t="s">
        <v>697</v>
      </c>
      <c r="BB68" s="26"/>
      <c r="BC68" s="26" t="s">
        <v>697</v>
      </c>
      <c r="BD68" s="26"/>
      <c r="BE68" s="26" t="s">
        <v>697</v>
      </c>
      <c r="BF68" s="26"/>
      <c r="BG68" s="26" t="s">
        <v>697</v>
      </c>
    </row>
    <row r="69" spans="1:59" ht="25.5" customHeight="1" x14ac:dyDescent="0.15">
      <c r="A69" s="23" t="s">
        <v>56</v>
      </c>
      <c r="B69" s="24">
        <v>0.92619177726940105</v>
      </c>
      <c r="C69" s="24">
        <v>1.28159005046719</v>
      </c>
      <c r="D69" s="24">
        <v>1.8162038071264199</v>
      </c>
      <c r="E69" s="24">
        <v>2.43707385055863</v>
      </c>
      <c r="F69" s="24">
        <v>3.2286850731611101</v>
      </c>
      <c r="G69" s="24">
        <v>3.6969610729182398</v>
      </c>
      <c r="H69" s="24">
        <v>3.6965387890688199</v>
      </c>
      <c r="I69" s="24">
        <v>4.0999999999999996</v>
      </c>
      <c r="J69" s="24">
        <v>6.85</v>
      </c>
      <c r="K69" s="24">
        <v>8.94</v>
      </c>
      <c r="L69" s="24">
        <v>11.04</v>
      </c>
      <c r="M69" s="24">
        <v>18.13</v>
      </c>
      <c r="N69" s="24">
        <v>20.7817825772944</v>
      </c>
      <c r="O69" s="24">
        <v>24.7</v>
      </c>
      <c r="P69" s="24">
        <v>26.175005729999999</v>
      </c>
      <c r="Q69" s="24">
        <v>25.643042309999998</v>
      </c>
      <c r="R69" s="24">
        <v>28.573522782768499</v>
      </c>
      <c r="S69" s="24">
        <v>47</v>
      </c>
      <c r="T69" s="24"/>
      <c r="U69" s="25">
        <v>10.595726418660099</v>
      </c>
      <c r="V69" s="26"/>
      <c r="W69" s="26" t="s">
        <v>698</v>
      </c>
      <c r="X69" s="26"/>
      <c r="Y69" s="26" t="s">
        <v>698</v>
      </c>
      <c r="Z69" s="26"/>
      <c r="AA69" s="26" t="s">
        <v>698</v>
      </c>
      <c r="AB69" s="26"/>
      <c r="AC69" s="26" t="s">
        <v>698</v>
      </c>
      <c r="AD69" s="26"/>
      <c r="AE69" s="26" t="s">
        <v>698</v>
      </c>
      <c r="AF69" s="26"/>
      <c r="AG69" s="26" t="s">
        <v>389</v>
      </c>
      <c r="AH69" s="26"/>
      <c r="AI69" s="26" t="s">
        <v>698</v>
      </c>
      <c r="AJ69" s="26"/>
      <c r="AK69" s="26" t="s">
        <v>699</v>
      </c>
      <c r="AL69" s="26"/>
      <c r="AM69" s="26" t="s">
        <v>699</v>
      </c>
      <c r="AN69" s="26"/>
      <c r="AO69" s="26" t="s">
        <v>699</v>
      </c>
      <c r="AP69" s="26"/>
      <c r="AQ69" s="26" t="s">
        <v>699</v>
      </c>
      <c r="AR69" s="26" t="s">
        <v>700</v>
      </c>
      <c r="AS69" s="26" t="s">
        <v>699</v>
      </c>
      <c r="AT69" s="26"/>
      <c r="AU69" s="26" t="s">
        <v>389</v>
      </c>
      <c r="AV69" s="26"/>
      <c r="AW69" s="26" t="s">
        <v>389</v>
      </c>
      <c r="AX69" s="26"/>
      <c r="AY69" s="26" t="s">
        <v>389</v>
      </c>
      <c r="AZ69" s="26"/>
      <c r="BA69" s="26" t="s">
        <v>389</v>
      </c>
      <c r="BB69" s="26"/>
      <c r="BC69" s="26" t="s">
        <v>401</v>
      </c>
      <c r="BD69" s="26" t="s">
        <v>490</v>
      </c>
      <c r="BE69" s="26" t="s">
        <v>491</v>
      </c>
      <c r="BF69" s="26"/>
      <c r="BG69" s="26"/>
    </row>
    <row r="70" spans="1:59" ht="25.5" customHeight="1" x14ac:dyDescent="0.15">
      <c r="A70" s="23" t="s">
        <v>9</v>
      </c>
      <c r="B70" s="24">
        <v>1.5263767208256699E-2</v>
      </c>
      <c r="C70" s="24">
        <v>3.7162381068674401E-2</v>
      </c>
      <c r="D70" s="24">
        <v>7.2402261869829496E-2</v>
      </c>
      <c r="E70" s="24">
        <v>0.105811658802603</v>
      </c>
      <c r="F70" s="24">
        <v>0.15533452079472199</v>
      </c>
      <c r="G70" s="24">
        <v>0.21965981899950501</v>
      </c>
      <c r="H70" s="24">
        <v>0.31059265685617599</v>
      </c>
      <c r="I70" s="24">
        <v>0.37</v>
      </c>
      <c r="J70" s="24">
        <v>0.45</v>
      </c>
      <c r="K70" s="24">
        <v>0.54</v>
      </c>
      <c r="L70" s="24">
        <v>0.75</v>
      </c>
      <c r="M70" s="24">
        <v>1.1000000000000001</v>
      </c>
      <c r="N70" s="24">
        <v>2.9</v>
      </c>
      <c r="O70" s="24">
        <v>4.5999999999999996</v>
      </c>
      <c r="P70" s="24">
        <v>7.7</v>
      </c>
      <c r="Q70" s="24">
        <v>13.855175555555601</v>
      </c>
      <c r="R70" s="24">
        <v>15.36692386</v>
      </c>
      <c r="S70" s="24">
        <v>18.6180514528264</v>
      </c>
      <c r="T70" s="24"/>
      <c r="U70" s="25">
        <v>10.595726418660099</v>
      </c>
      <c r="V70" s="26"/>
      <c r="W70" s="26" t="s">
        <v>701</v>
      </c>
      <c r="X70" s="26"/>
      <c r="Y70" s="26" t="s">
        <v>701</v>
      </c>
      <c r="Z70" s="26"/>
      <c r="AA70" s="26" t="s">
        <v>701</v>
      </c>
      <c r="AB70" s="26"/>
      <c r="AC70" s="26" t="s">
        <v>701</v>
      </c>
      <c r="AD70" s="26"/>
      <c r="AE70" s="26" t="s">
        <v>701</v>
      </c>
      <c r="AF70" s="26"/>
      <c r="AG70" s="26" t="s">
        <v>701</v>
      </c>
      <c r="AH70" s="26"/>
      <c r="AI70" s="26" t="s">
        <v>701</v>
      </c>
      <c r="AJ70" s="26"/>
      <c r="AK70" s="26" t="s">
        <v>702</v>
      </c>
      <c r="AL70" s="26"/>
      <c r="AM70" s="26" t="s">
        <v>389</v>
      </c>
      <c r="AN70" s="26"/>
      <c r="AO70" s="26" t="s">
        <v>389</v>
      </c>
      <c r="AP70" s="26"/>
      <c r="AQ70" s="26" t="s">
        <v>389</v>
      </c>
      <c r="AR70" s="26"/>
      <c r="AS70" s="26" t="s">
        <v>389</v>
      </c>
      <c r="AT70" s="26"/>
      <c r="AU70" s="26" t="s">
        <v>389</v>
      </c>
      <c r="AV70" s="26"/>
      <c r="AW70" s="26" t="s">
        <v>389</v>
      </c>
      <c r="AX70" s="26"/>
      <c r="AY70" s="26" t="s">
        <v>389</v>
      </c>
      <c r="AZ70" s="26"/>
      <c r="BA70" s="26" t="s">
        <v>679</v>
      </c>
      <c r="BB70" s="26"/>
      <c r="BC70" s="26" t="s">
        <v>681</v>
      </c>
      <c r="BD70" s="26"/>
      <c r="BE70" s="26" t="s">
        <v>389</v>
      </c>
      <c r="BF70" s="26"/>
      <c r="BG70" s="26"/>
    </row>
    <row r="71" spans="1:59" ht="25.5" customHeight="1" x14ac:dyDescent="0.15">
      <c r="A71" s="23" t="s">
        <v>703</v>
      </c>
      <c r="B71" s="24">
        <v>58.620689655172399</v>
      </c>
      <c r="C71" s="24">
        <v>64.603876232573995</v>
      </c>
      <c r="D71" s="24">
        <v>64.145847400405103</v>
      </c>
      <c r="E71" s="24">
        <v>64.016172506738499</v>
      </c>
      <c r="F71" s="24">
        <v>67.317401548300197</v>
      </c>
      <c r="G71" s="24">
        <v>84.005376344086002</v>
      </c>
      <c r="H71" s="24">
        <v>87.102177554438896</v>
      </c>
      <c r="I71" s="24">
        <v>90.06</v>
      </c>
      <c r="J71" s="24">
        <v>92.96</v>
      </c>
      <c r="K71" s="24">
        <v>95.84</v>
      </c>
      <c r="L71" s="24">
        <v>95.84</v>
      </c>
      <c r="M71" s="24">
        <v>96.38</v>
      </c>
      <c r="N71" s="24">
        <v>96.923042570951594</v>
      </c>
      <c r="O71" s="24">
        <v>96.9</v>
      </c>
      <c r="P71" s="24">
        <v>97.6</v>
      </c>
      <c r="Q71" s="24">
        <v>98.305056759545906</v>
      </c>
      <c r="R71" s="24">
        <v>99.015206808376405</v>
      </c>
      <c r="S71" s="24"/>
      <c r="T71" s="24"/>
      <c r="U71" s="25">
        <v>10.595726418660099</v>
      </c>
      <c r="V71" s="26"/>
      <c r="W71" s="26"/>
      <c r="X71" s="26"/>
      <c r="Y71" s="26"/>
      <c r="Z71" s="26"/>
      <c r="AA71" s="26"/>
      <c r="AB71" s="26"/>
      <c r="AC71" s="26" t="s">
        <v>389</v>
      </c>
      <c r="AD71" s="26"/>
      <c r="AE71" s="26" t="s">
        <v>389</v>
      </c>
      <c r="AF71" s="26"/>
      <c r="AG71" s="26" t="s">
        <v>389</v>
      </c>
      <c r="AH71" s="26"/>
      <c r="AI71" s="26" t="s">
        <v>389</v>
      </c>
      <c r="AJ71" s="26"/>
      <c r="AK71" s="26" t="s">
        <v>429</v>
      </c>
      <c r="AL71" s="26"/>
      <c r="AM71" s="26" t="s">
        <v>428</v>
      </c>
      <c r="AN71" s="26"/>
      <c r="AO71" s="26" t="s">
        <v>428</v>
      </c>
      <c r="AP71" s="26"/>
      <c r="AQ71" s="26" t="s">
        <v>428</v>
      </c>
      <c r="AR71" s="26"/>
      <c r="AS71" s="26" t="s">
        <v>428</v>
      </c>
      <c r="AT71" s="26"/>
      <c r="AU71" s="26" t="s">
        <v>389</v>
      </c>
      <c r="AV71" s="26"/>
      <c r="AW71" s="26" t="s">
        <v>389</v>
      </c>
      <c r="AX71" s="26"/>
      <c r="AY71" s="26" t="s">
        <v>389</v>
      </c>
      <c r="AZ71" s="26"/>
      <c r="BA71" s="26" t="s">
        <v>389</v>
      </c>
      <c r="BB71" s="26"/>
      <c r="BC71" s="26" t="s">
        <v>401</v>
      </c>
      <c r="BD71" s="26"/>
      <c r="BE71" s="26"/>
      <c r="BF71" s="26"/>
      <c r="BG71" s="26"/>
    </row>
    <row r="72" spans="1:59" ht="25.5" customHeight="1" x14ac:dyDescent="0.15">
      <c r="A72" s="23" t="s">
        <v>165</v>
      </c>
      <c r="B72" s="24">
        <v>32.916392363397001</v>
      </c>
      <c r="C72" s="24">
        <v>43.246983522899299</v>
      </c>
      <c r="D72" s="24">
        <v>53.299221831361301</v>
      </c>
      <c r="E72" s="24">
        <v>58.912640969533697</v>
      </c>
      <c r="F72" s="24">
        <v>66.533599467731193</v>
      </c>
      <c r="G72" s="24">
        <v>67.902631741393904</v>
      </c>
      <c r="H72" s="24">
        <v>69.359445124439006</v>
      </c>
      <c r="I72" s="24">
        <v>75.98</v>
      </c>
      <c r="J72" s="24">
        <v>75.569999999999993</v>
      </c>
      <c r="K72" s="24">
        <v>75.180000000000007</v>
      </c>
      <c r="L72" s="24">
        <v>75.2</v>
      </c>
      <c r="M72" s="24">
        <v>80.732172800000001</v>
      </c>
      <c r="N72" s="24">
        <v>85.335189239210905</v>
      </c>
      <c r="O72" s="24">
        <v>90</v>
      </c>
      <c r="P72" s="24">
        <v>93.3</v>
      </c>
      <c r="Q72" s="24">
        <v>94.2</v>
      </c>
      <c r="R72" s="24">
        <v>95.108681672025696</v>
      </c>
      <c r="S72" s="24">
        <v>97.581958938446803</v>
      </c>
      <c r="T72" s="24"/>
      <c r="U72" s="25">
        <v>10.595726418660099</v>
      </c>
      <c r="V72" s="26"/>
      <c r="W72" s="26"/>
      <c r="X72" s="26"/>
      <c r="Y72" s="26"/>
      <c r="Z72" s="26"/>
      <c r="AA72" s="26"/>
      <c r="AB72" s="26"/>
      <c r="AC72" s="26" t="s">
        <v>389</v>
      </c>
      <c r="AD72" s="26"/>
      <c r="AE72" s="26" t="s">
        <v>389</v>
      </c>
      <c r="AF72" s="26"/>
      <c r="AG72" s="26" t="s">
        <v>389</v>
      </c>
      <c r="AH72" s="26"/>
      <c r="AI72" s="26" t="s">
        <v>389</v>
      </c>
      <c r="AJ72" s="26"/>
      <c r="AK72" s="26" t="s">
        <v>704</v>
      </c>
      <c r="AL72" s="26"/>
      <c r="AM72" s="26" t="s">
        <v>704</v>
      </c>
      <c r="AN72" s="26"/>
      <c r="AO72" s="26" t="s">
        <v>704</v>
      </c>
      <c r="AP72" s="26"/>
      <c r="AQ72" s="26" t="s">
        <v>704</v>
      </c>
      <c r="AR72" s="26"/>
      <c r="AS72" s="26" t="s">
        <v>389</v>
      </c>
      <c r="AT72" s="26"/>
      <c r="AU72" s="26" t="s">
        <v>389</v>
      </c>
      <c r="AV72" s="26"/>
      <c r="AW72" s="26" t="s">
        <v>389</v>
      </c>
      <c r="AX72" s="26"/>
      <c r="AY72" s="26" t="s">
        <v>389</v>
      </c>
      <c r="AZ72" s="26"/>
      <c r="BA72" s="26" t="s">
        <v>389</v>
      </c>
      <c r="BB72" s="26"/>
      <c r="BC72" s="26" t="s">
        <v>401</v>
      </c>
      <c r="BD72" s="26"/>
      <c r="BE72" s="26" t="s">
        <v>389</v>
      </c>
      <c r="BF72" s="26"/>
      <c r="BG72" s="26"/>
    </row>
    <row r="73" spans="1:59" ht="25.5" customHeight="1" x14ac:dyDescent="0.15">
      <c r="A73" s="23" t="s">
        <v>167</v>
      </c>
      <c r="B73" s="24">
        <v>1.4968547339902001</v>
      </c>
      <c r="C73" s="24">
        <v>1.8579785936093001</v>
      </c>
      <c r="D73" s="24">
        <v>6.1526497001198504</v>
      </c>
      <c r="E73" s="24">
        <v>6.72543473821551</v>
      </c>
      <c r="F73" s="24">
        <v>7.4129434854202003</v>
      </c>
      <c r="G73" s="24">
        <v>8.4536366337135895</v>
      </c>
      <c r="H73" s="24">
        <v>9.6000384001536005</v>
      </c>
      <c r="I73" s="24">
        <v>10.8978310454645</v>
      </c>
      <c r="J73" s="24">
        <v>13</v>
      </c>
      <c r="K73" s="24">
        <v>17</v>
      </c>
      <c r="L73" s="24">
        <v>20</v>
      </c>
      <c r="M73" s="24">
        <v>28</v>
      </c>
      <c r="N73" s="24">
        <v>33.742356752110403</v>
      </c>
      <c r="O73" s="24">
        <v>35.200000000000003</v>
      </c>
      <c r="P73" s="24">
        <v>37.4</v>
      </c>
      <c r="Q73" s="24">
        <v>42.5</v>
      </c>
      <c r="R73" s="24">
        <v>46.506978312221698</v>
      </c>
      <c r="S73" s="24">
        <v>49.966373010266203</v>
      </c>
      <c r="T73" s="24"/>
      <c r="U73" s="25">
        <v>10.595726418660099</v>
      </c>
      <c r="V73" s="26"/>
      <c r="W73" s="26" t="s">
        <v>705</v>
      </c>
      <c r="X73" s="26"/>
      <c r="Y73" s="26" t="s">
        <v>705</v>
      </c>
      <c r="Z73" s="26"/>
      <c r="AA73" s="26" t="s">
        <v>705</v>
      </c>
      <c r="AB73" s="26"/>
      <c r="AC73" s="26" t="s">
        <v>705</v>
      </c>
      <c r="AD73" s="26"/>
      <c r="AE73" s="26" t="s">
        <v>706</v>
      </c>
      <c r="AF73" s="26"/>
      <c r="AG73" s="26" t="s">
        <v>706</v>
      </c>
      <c r="AH73" s="26"/>
      <c r="AI73" s="26" t="s">
        <v>706</v>
      </c>
      <c r="AJ73" s="26"/>
      <c r="AK73" s="26" t="s">
        <v>389</v>
      </c>
      <c r="AL73" s="26"/>
      <c r="AM73" s="26" t="s">
        <v>389</v>
      </c>
      <c r="AN73" s="26"/>
      <c r="AO73" s="26" t="s">
        <v>389</v>
      </c>
      <c r="AP73" s="26"/>
      <c r="AQ73" s="26" t="s">
        <v>389</v>
      </c>
      <c r="AR73" s="26"/>
      <c r="AS73" s="26" t="s">
        <v>393</v>
      </c>
      <c r="AT73" s="26"/>
      <c r="AU73" s="26" t="s">
        <v>389</v>
      </c>
      <c r="AV73" s="26"/>
      <c r="AW73" s="26" t="s">
        <v>389</v>
      </c>
      <c r="AX73" s="26"/>
      <c r="AY73" s="26" t="s">
        <v>389</v>
      </c>
      <c r="AZ73" s="26"/>
      <c r="BA73" s="26" t="s">
        <v>389</v>
      </c>
      <c r="BB73" s="26"/>
      <c r="BC73" s="26" t="s">
        <v>401</v>
      </c>
      <c r="BD73" s="26"/>
      <c r="BE73" s="26" t="s">
        <v>389</v>
      </c>
      <c r="BF73" s="26"/>
      <c r="BG73" s="26"/>
    </row>
    <row r="74" spans="1:59" ht="25.5" customHeight="1" x14ac:dyDescent="0.15">
      <c r="A74" s="23" t="s">
        <v>112</v>
      </c>
      <c r="B74" s="24">
        <v>37.248461737112102</v>
      </c>
      <c r="C74" s="24">
        <v>43.105363352226298</v>
      </c>
      <c r="D74" s="24">
        <v>62.43</v>
      </c>
      <c r="E74" s="24">
        <v>69.22</v>
      </c>
      <c r="F74" s="24">
        <v>72.39</v>
      </c>
      <c r="G74" s="24">
        <v>74.48</v>
      </c>
      <c r="H74" s="24">
        <v>79.66</v>
      </c>
      <c r="I74" s="24">
        <v>80.78</v>
      </c>
      <c r="J74" s="24">
        <v>83.67</v>
      </c>
      <c r="K74" s="24">
        <v>82.49</v>
      </c>
      <c r="L74" s="24">
        <v>86.89</v>
      </c>
      <c r="M74" s="24">
        <v>88.709994913529997</v>
      </c>
      <c r="N74" s="24">
        <v>89.879997974221993</v>
      </c>
      <c r="O74" s="24">
        <v>91.514399999999995</v>
      </c>
      <c r="P74" s="24">
        <v>86.530392752937701</v>
      </c>
      <c r="Q74" s="24">
        <v>86.422133332544504</v>
      </c>
      <c r="R74" s="24">
        <v>87.703649960000007</v>
      </c>
      <c r="S74" s="24">
        <v>87.468929070000002</v>
      </c>
      <c r="T74" s="24">
        <v>88.889959998558496</v>
      </c>
      <c r="U74" s="25">
        <v>10.595726418660099</v>
      </c>
      <c r="V74" s="26" t="s">
        <v>707</v>
      </c>
      <c r="W74" s="26" t="s">
        <v>708</v>
      </c>
      <c r="X74" s="26" t="s">
        <v>709</v>
      </c>
      <c r="Y74" s="26" t="s">
        <v>708</v>
      </c>
      <c r="Z74" s="26" t="s">
        <v>441</v>
      </c>
      <c r="AA74" s="26" t="s">
        <v>442</v>
      </c>
      <c r="AB74" s="26" t="s">
        <v>443</v>
      </c>
      <c r="AC74" s="26" t="s">
        <v>442</v>
      </c>
      <c r="AD74" s="26" t="s">
        <v>443</v>
      </c>
      <c r="AE74" s="26" t="s">
        <v>442</v>
      </c>
      <c r="AF74" s="26" t="s">
        <v>443</v>
      </c>
      <c r="AG74" s="26" t="s">
        <v>442</v>
      </c>
      <c r="AH74" s="26" t="s">
        <v>443</v>
      </c>
      <c r="AI74" s="26" t="s">
        <v>442</v>
      </c>
      <c r="AJ74" s="26" t="s">
        <v>443</v>
      </c>
      <c r="AK74" s="26" t="s">
        <v>442</v>
      </c>
      <c r="AL74" s="26" t="s">
        <v>443</v>
      </c>
      <c r="AM74" s="26" t="s">
        <v>442</v>
      </c>
      <c r="AN74" s="26" t="s">
        <v>441</v>
      </c>
      <c r="AO74" s="26" t="s">
        <v>442</v>
      </c>
      <c r="AP74" s="26" t="s">
        <v>538</v>
      </c>
      <c r="AQ74" s="26" t="s">
        <v>442</v>
      </c>
      <c r="AR74" s="26" t="s">
        <v>444</v>
      </c>
      <c r="AS74" s="26" t="s">
        <v>442</v>
      </c>
      <c r="AT74" s="26" t="s">
        <v>445</v>
      </c>
      <c r="AU74" s="26" t="s">
        <v>442</v>
      </c>
      <c r="AV74" s="26" t="s">
        <v>443</v>
      </c>
      <c r="AW74" s="26" t="s">
        <v>442</v>
      </c>
      <c r="AX74" s="26" t="s">
        <v>710</v>
      </c>
      <c r="AY74" s="26" t="s">
        <v>711</v>
      </c>
      <c r="AZ74" s="26" t="s">
        <v>712</v>
      </c>
      <c r="BA74" s="26" t="s">
        <v>711</v>
      </c>
      <c r="BB74" s="26"/>
      <c r="BC74" s="26" t="s">
        <v>713</v>
      </c>
      <c r="BD74" s="26"/>
      <c r="BE74" s="26" t="s">
        <v>713</v>
      </c>
      <c r="BF74" s="26"/>
      <c r="BG74" s="26" t="s">
        <v>713</v>
      </c>
    </row>
    <row r="75" spans="1:59" ht="25.5" customHeight="1" x14ac:dyDescent="0.15">
      <c r="A75" s="23" t="s">
        <v>142</v>
      </c>
      <c r="B75" s="24">
        <v>14.307923943067699</v>
      </c>
      <c r="C75" s="24">
        <v>26.3259035521688</v>
      </c>
      <c r="D75" s="24">
        <v>30.18</v>
      </c>
      <c r="E75" s="24">
        <v>36.14</v>
      </c>
      <c r="F75" s="24">
        <v>39.15</v>
      </c>
      <c r="G75" s="24">
        <v>42.87</v>
      </c>
      <c r="H75" s="24">
        <v>46.87</v>
      </c>
      <c r="I75" s="24">
        <v>66.09</v>
      </c>
      <c r="J75" s="24">
        <v>70.680000000000007</v>
      </c>
      <c r="K75" s="24">
        <v>71.58</v>
      </c>
      <c r="L75" s="24">
        <v>77.28</v>
      </c>
      <c r="M75" s="24">
        <v>77.819998992670605</v>
      </c>
      <c r="N75" s="24">
        <v>81.44</v>
      </c>
      <c r="O75" s="24">
        <v>81.919799999999995</v>
      </c>
      <c r="P75" s="24">
        <v>83.75</v>
      </c>
      <c r="Q75" s="24">
        <v>78.010000000000005</v>
      </c>
      <c r="R75" s="24">
        <v>79.269811320000002</v>
      </c>
      <c r="S75" s="24">
        <v>80.502459720000004</v>
      </c>
      <c r="T75" s="24">
        <v>82.043534217447302</v>
      </c>
      <c r="U75" s="25">
        <v>10.595726418660099</v>
      </c>
      <c r="V75" s="26" t="s">
        <v>714</v>
      </c>
      <c r="W75" s="26" t="s">
        <v>715</v>
      </c>
      <c r="X75" s="26" t="s">
        <v>716</v>
      </c>
      <c r="Y75" s="26" t="s">
        <v>715</v>
      </c>
      <c r="Z75" s="26" t="s">
        <v>716</v>
      </c>
      <c r="AA75" s="26" t="s">
        <v>715</v>
      </c>
      <c r="AB75" s="26" t="s">
        <v>716</v>
      </c>
      <c r="AC75" s="26" t="s">
        <v>715</v>
      </c>
      <c r="AD75" s="26" t="s">
        <v>716</v>
      </c>
      <c r="AE75" s="26" t="s">
        <v>715</v>
      </c>
      <c r="AF75" s="26" t="s">
        <v>716</v>
      </c>
      <c r="AG75" s="26" t="s">
        <v>715</v>
      </c>
      <c r="AH75" s="26" t="s">
        <v>443</v>
      </c>
      <c r="AI75" s="26" t="s">
        <v>442</v>
      </c>
      <c r="AJ75" s="26" t="s">
        <v>443</v>
      </c>
      <c r="AK75" s="26" t="s">
        <v>442</v>
      </c>
      <c r="AL75" s="26" t="s">
        <v>443</v>
      </c>
      <c r="AM75" s="26" t="s">
        <v>442</v>
      </c>
      <c r="AN75" s="26" t="s">
        <v>443</v>
      </c>
      <c r="AO75" s="26" t="s">
        <v>442</v>
      </c>
      <c r="AP75" s="26" t="s">
        <v>443</v>
      </c>
      <c r="AQ75" s="26" t="s">
        <v>442</v>
      </c>
      <c r="AR75" s="26" t="s">
        <v>444</v>
      </c>
      <c r="AS75" s="26" t="s">
        <v>442</v>
      </c>
      <c r="AT75" s="26" t="s">
        <v>445</v>
      </c>
      <c r="AU75" s="26" t="s">
        <v>442</v>
      </c>
      <c r="AV75" s="26" t="s">
        <v>443</v>
      </c>
      <c r="AW75" s="26" t="s">
        <v>442</v>
      </c>
      <c r="AX75" s="26" t="s">
        <v>443</v>
      </c>
      <c r="AY75" s="26" t="s">
        <v>449</v>
      </c>
      <c r="AZ75" s="26" t="s">
        <v>717</v>
      </c>
      <c r="BA75" s="26" t="s">
        <v>718</v>
      </c>
      <c r="BB75" s="26" t="s">
        <v>719</v>
      </c>
      <c r="BC75" s="26" t="s">
        <v>718</v>
      </c>
      <c r="BD75" s="26" t="s">
        <v>719</v>
      </c>
      <c r="BE75" s="26" t="s">
        <v>718</v>
      </c>
      <c r="BF75" s="26"/>
      <c r="BG75" s="26" t="s">
        <v>720</v>
      </c>
    </row>
    <row r="76" spans="1:59" ht="25.5" customHeight="1" x14ac:dyDescent="0.15">
      <c r="A76" s="23" t="s">
        <v>171</v>
      </c>
      <c r="B76" s="24">
        <v>6.3570635452072004</v>
      </c>
      <c r="C76" s="24">
        <v>6.2515889455236504</v>
      </c>
      <c r="D76" s="24">
        <v>8.2002164857152202</v>
      </c>
      <c r="E76" s="24">
        <v>14.1242937853107</v>
      </c>
      <c r="F76" s="24">
        <v>17.884537426375299</v>
      </c>
      <c r="G76" s="24">
        <v>21.542185474300201</v>
      </c>
      <c r="H76" s="24">
        <v>25.107964246258899</v>
      </c>
      <c r="I76" s="24">
        <v>28.59</v>
      </c>
      <c r="J76" s="24">
        <v>33.869999999999997</v>
      </c>
      <c r="K76" s="24">
        <v>44.6</v>
      </c>
      <c r="L76" s="24">
        <v>49</v>
      </c>
      <c r="M76" s="24">
        <v>49</v>
      </c>
      <c r="N76" s="24">
        <v>52.876630586799301</v>
      </c>
      <c r="O76" s="24">
        <v>56.8</v>
      </c>
      <c r="P76" s="24">
        <v>60.68</v>
      </c>
      <c r="Q76" s="24">
        <v>64.560209747211999</v>
      </c>
      <c r="R76" s="24">
        <v>68.440419493378002</v>
      </c>
      <c r="S76" s="24">
        <v>72.703895313294197</v>
      </c>
      <c r="T76" s="24"/>
      <c r="U76" s="25">
        <v>10.595726418660099</v>
      </c>
      <c r="V76" s="26"/>
      <c r="W76" s="26"/>
      <c r="X76" s="26"/>
      <c r="Y76" s="26"/>
      <c r="Z76" s="26"/>
      <c r="AA76" s="26"/>
      <c r="AB76" s="26"/>
      <c r="AC76" s="26"/>
      <c r="AD76" s="26"/>
      <c r="AE76" s="26"/>
      <c r="AF76" s="26"/>
      <c r="AG76" s="26"/>
      <c r="AH76" s="26"/>
      <c r="AI76" s="26"/>
      <c r="AJ76" s="26"/>
      <c r="AK76" s="26" t="s">
        <v>721</v>
      </c>
      <c r="AL76" s="26"/>
      <c r="AM76" s="26" t="s">
        <v>721</v>
      </c>
      <c r="AN76" s="26"/>
      <c r="AO76" s="26" t="s">
        <v>721</v>
      </c>
      <c r="AP76" s="26"/>
      <c r="AQ76" s="26" t="s">
        <v>722</v>
      </c>
      <c r="AR76" s="26"/>
      <c r="AS76" s="26" t="s">
        <v>393</v>
      </c>
      <c r="AT76" s="26"/>
      <c r="AU76" s="26" t="s">
        <v>389</v>
      </c>
      <c r="AV76" s="26"/>
      <c r="AW76" s="26" t="s">
        <v>389</v>
      </c>
      <c r="AX76" s="26"/>
      <c r="AY76" s="26" t="s">
        <v>389</v>
      </c>
      <c r="AZ76" s="26"/>
      <c r="BA76" s="26" t="s">
        <v>389</v>
      </c>
      <c r="BB76" s="26"/>
      <c r="BC76" s="26" t="s">
        <v>401</v>
      </c>
      <c r="BD76" s="26"/>
      <c r="BE76" s="26" t="s">
        <v>389</v>
      </c>
      <c r="BF76" s="26"/>
      <c r="BG76" s="26"/>
    </row>
    <row r="77" spans="1:59" ht="25.5" customHeight="1" x14ac:dyDescent="0.15">
      <c r="A77" s="23" t="s">
        <v>69</v>
      </c>
      <c r="B77" s="24">
        <v>1.21614061828589</v>
      </c>
      <c r="C77" s="24">
        <v>1.34762022159633</v>
      </c>
      <c r="D77" s="24">
        <v>1.93953010616212</v>
      </c>
      <c r="E77" s="24">
        <v>2.6595865938598502</v>
      </c>
      <c r="F77" s="24">
        <v>2.9790698003501901</v>
      </c>
      <c r="G77" s="24">
        <v>4.8932647497241204</v>
      </c>
      <c r="H77" s="24">
        <v>5.4892008028013501</v>
      </c>
      <c r="I77" s="24">
        <v>5.7670045756258297</v>
      </c>
      <c r="J77" s="24">
        <v>7.5</v>
      </c>
      <c r="K77" s="24">
        <v>9.5</v>
      </c>
      <c r="L77" s="24">
        <v>13</v>
      </c>
      <c r="M77" s="24">
        <v>18</v>
      </c>
      <c r="N77" s="24">
        <v>24</v>
      </c>
      <c r="O77" s="24">
        <v>30.53803344</v>
      </c>
      <c r="P77" s="24">
        <v>38.071209289999999</v>
      </c>
      <c r="Q77" s="24">
        <v>45.784536529999997</v>
      </c>
      <c r="R77" s="24">
        <v>48.052273750618497</v>
      </c>
      <c r="S77" s="24">
        <v>62</v>
      </c>
      <c r="T77" s="24"/>
      <c r="U77" s="25">
        <v>10.595726418660099</v>
      </c>
      <c r="V77" s="26"/>
      <c r="W77" s="26" t="s">
        <v>723</v>
      </c>
      <c r="X77" s="26"/>
      <c r="Y77" s="26" t="s">
        <v>723</v>
      </c>
      <c r="Z77" s="26"/>
      <c r="AA77" s="26" t="s">
        <v>724</v>
      </c>
      <c r="AB77" s="26"/>
      <c r="AC77" s="26" t="s">
        <v>724</v>
      </c>
      <c r="AD77" s="26"/>
      <c r="AE77" s="26" t="s">
        <v>724</v>
      </c>
      <c r="AF77" s="26"/>
      <c r="AG77" s="26" t="s">
        <v>724</v>
      </c>
      <c r="AH77" s="26"/>
      <c r="AI77" s="26" t="s">
        <v>724</v>
      </c>
      <c r="AJ77" s="26"/>
      <c r="AK77" s="26" t="s">
        <v>389</v>
      </c>
      <c r="AL77" s="26"/>
      <c r="AM77" s="26" t="s">
        <v>389</v>
      </c>
      <c r="AN77" s="26"/>
      <c r="AO77" s="26" t="s">
        <v>389</v>
      </c>
      <c r="AP77" s="26"/>
      <c r="AQ77" s="26" t="s">
        <v>389</v>
      </c>
      <c r="AR77" s="26"/>
      <c r="AS77" s="26" t="s">
        <v>389</v>
      </c>
      <c r="AT77" s="26"/>
      <c r="AU77" s="26" t="s">
        <v>389</v>
      </c>
      <c r="AV77" s="26"/>
      <c r="AW77" s="26" t="s">
        <v>389</v>
      </c>
      <c r="AX77" s="26"/>
      <c r="AY77" s="26" t="s">
        <v>389</v>
      </c>
      <c r="AZ77" s="26"/>
      <c r="BA77" s="26" t="s">
        <v>401</v>
      </c>
      <c r="BB77" s="26"/>
      <c r="BC77" s="26" t="s">
        <v>401</v>
      </c>
      <c r="BD77" s="26" t="s">
        <v>490</v>
      </c>
      <c r="BE77" s="26" t="s">
        <v>491</v>
      </c>
      <c r="BF77" s="26"/>
      <c r="BG77" s="26"/>
    </row>
    <row r="78" spans="1:59" ht="25.5" customHeight="1" x14ac:dyDescent="0.15">
      <c r="A78" s="23" t="s">
        <v>100</v>
      </c>
      <c r="B78" s="24">
        <v>0.92179491906640598</v>
      </c>
      <c r="C78" s="24">
        <v>1.33679116648397</v>
      </c>
      <c r="D78" s="24">
        <v>1.7967798829649499</v>
      </c>
      <c r="E78" s="24">
        <v>2.436781193062</v>
      </c>
      <c r="F78" s="24">
        <v>3.3080034781293701</v>
      </c>
      <c r="G78" s="24">
        <v>3.7990011388223102</v>
      </c>
      <c r="H78" s="24">
        <v>5.2376911584121801</v>
      </c>
      <c r="I78" s="24">
        <v>6.2050374185241797</v>
      </c>
      <c r="J78" s="24">
        <v>6.88</v>
      </c>
      <c r="K78" s="24">
        <v>7.63</v>
      </c>
      <c r="L78" s="24">
        <v>9.1999999999999993</v>
      </c>
      <c r="M78" s="24">
        <v>10.8703</v>
      </c>
      <c r="N78" s="24">
        <v>12.4492287209242</v>
      </c>
      <c r="O78" s="24">
        <v>14</v>
      </c>
      <c r="P78" s="24">
        <v>15.56</v>
      </c>
      <c r="Q78" s="24">
        <v>16.5</v>
      </c>
      <c r="R78" s="24">
        <v>18.5</v>
      </c>
      <c r="S78" s="24">
        <v>19.836454441925198</v>
      </c>
      <c r="T78" s="24"/>
      <c r="U78" s="25">
        <v>10.595726418660099</v>
      </c>
      <c r="V78" s="26"/>
      <c r="W78" s="26" t="s">
        <v>725</v>
      </c>
      <c r="X78" s="26"/>
      <c r="Y78" s="26" t="s">
        <v>725</v>
      </c>
      <c r="Z78" s="26"/>
      <c r="AA78" s="26" t="s">
        <v>725</v>
      </c>
      <c r="AB78" s="26"/>
      <c r="AC78" s="26" t="s">
        <v>725</v>
      </c>
      <c r="AD78" s="26"/>
      <c r="AE78" s="26" t="s">
        <v>725</v>
      </c>
      <c r="AF78" s="26"/>
      <c r="AG78" s="26" t="s">
        <v>389</v>
      </c>
      <c r="AH78" s="26"/>
      <c r="AI78" s="26" t="s">
        <v>725</v>
      </c>
      <c r="AJ78" s="26"/>
      <c r="AK78" s="26" t="s">
        <v>725</v>
      </c>
      <c r="AL78" s="26"/>
      <c r="AM78" s="26" t="s">
        <v>389</v>
      </c>
      <c r="AN78" s="26"/>
      <c r="AO78" s="26" t="s">
        <v>389</v>
      </c>
      <c r="AP78" s="26"/>
      <c r="AQ78" s="26" t="s">
        <v>726</v>
      </c>
      <c r="AR78" s="26"/>
      <c r="AS78" s="26" t="s">
        <v>389</v>
      </c>
      <c r="AT78" s="26"/>
      <c r="AU78" s="26" t="s">
        <v>389</v>
      </c>
      <c r="AV78" s="26"/>
      <c r="AW78" s="26" t="s">
        <v>389</v>
      </c>
      <c r="AX78" s="26"/>
      <c r="AY78" s="26" t="s">
        <v>389</v>
      </c>
      <c r="AZ78" s="26"/>
      <c r="BA78" s="26" t="s">
        <v>389</v>
      </c>
      <c r="BB78" s="26"/>
      <c r="BC78" s="26" t="s">
        <v>401</v>
      </c>
      <c r="BD78" s="26"/>
      <c r="BE78" s="26" t="s">
        <v>389</v>
      </c>
      <c r="BF78" s="26"/>
      <c r="BG78" s="26"/>
    </row>
    <row r="79" spans="1:59" ht="25.5" customHeight="1" x14ac:dyDescent="0.15">
      <c r="A79" s="23" t="s">
        <v>181</v>
      </c>
      <c r="B79" s="24">
        <v>0.484746298540492</v>
      </c>
      <c r="C79" s="24">
        <v>0.99234443613815404</v>
      </c>
      <c r="D79" s="24">
        <v>1.5878756298033201</v>
      </c>
      <c r="E79" s="24">
        <v>2.5588164806848899</v>
      </c>
      <c r="F79" s="24">
        <v>3.8862213535027301</v>
      </c>
      <c r="G79" s="24">
        <v>6.0794576286979396</v>
      </c>
      <c r="H79" s="24">
        <v>7.5268768448783199</v>
      </c>
      <c r="I79" s="24">
        <v>8.26</v>
      </c>
      <c r="J79" s="24">
        <v>10.01</v>
      </c>
      <c r="K79" s="24">
        <v>20.07</v>
      </c>
      <c r="L79" s="24">
        <v>26.9</v>
      </c>
      <c r="M79" s="24">
        <v>31.52</v>
      </c>
      <c r="N79" s="24">
        <v>36.94</v>
      </c>
      <c r="O79" s="24">
        <v>43.3</v>
      </c>
      <c r="P79" s="24">
        <v>44</v>
      </c>
      <c r="Q79" s="24">
        <v>47.569759643873603</v>
      </c>
      <c r="R79" s="24">
        <v>58.459289611872499</v>
      </c>
      <c r="S79" s="24">
        <v>59.7055045962571</v>
      </c>
      <c r="T79" s="24">
        <v>63.968629522891803</v>
      </c>
      <c r="U79" s="25">
        <v>10.595726418660099</v>
      </c>
      <c r="V79" s="26"/>
      <c r="W79" s="26" t="s">
        <v>390</v>
      </c>
      <c r="X79" s="26"/>
      <c r="Y79" s="26" t="s">
        <v>727</v>
      </c>
      <c r="Z79" s="26"/>
      <c r="AA79" s="26" t="s">
        <v>727</v>
      </c>
      <c r="AB79" s="26"/>
      <c r="AC79" s="26" t="s">
        <v>727</v>
      </c>
      <c r="AD79" s="26"/>
      <c r="AE79" s="26" t="s">
        <v>727</v>
      </c>
      <c r="AF79" s="26"/>
      <c r="AG79" s="26" t="s">
        <v>389</v>
      </c>
      <c r="AH79" s="26"/>
      <c r="AI79" s="26" t="s">
        <v>727</v>
      </c>
      <c r="AJ79" s="26"/>
      <c r="AK79" s="26" t="s">
        <v>728</v>
      </c>
      <c r="AL79" s="26"/>
      <c r="AM79" s="26" t="s">
        <v>389</v>
      </c>
      <c r="AN79" s="26"/>
      <c r="AO79" s="26" t="s">
        <v>389</v>
      </c>
      <c r="AP79" s="26"/>
      <c r="AQ79" s="26" t="s">
        <v>729</v>
      </c>
      <c r="AR79" s="26"/>
      <c r="AS79" s="26" t="s">
        <v>389</v>
      </c>
      <c r="AT79" s="26"/>
      <c r="AU79" s="26" t="s">
        <v>389</v>
      </c>
      <c r="AV79" s="26" t="s">
        <v>730</v>
      </c>
      <c r="AW79" s="26" t="s">
        <v>731</v>
      </c>
      <c r="AX79" s="26" t="s">
        <v>732</v>
      </c>
      <c r="AY79" s="26" t="s">
        <v>389</v>
      </c>
      <c r="AZ79" s="26" t="s">
        <v>733</v>
      </c>
      <c r="BA79" s="26" t="s">
        <v>734</v>
      </c>
      <c r="BB79" s="26" t="s">
        <v>735</v>
      </c>
      <c r="BC79" s="26" t="s">
        <v>731</v>
      </c>
      <c r="BD79" s="26" t="s">
        <v>735</v>
      </c>
      <c r="BE79" s="26" t="s">
        <v>731</v>
      </c>
      <c r="BF79" s="26"/>
      <c r="BG79" s="26" t="s">
        <v>731</v>
      </c>
    </row>
    <row r="80" spans="1:59" ht="25.5" customHeight="1" x14ac:dyDescent="0.15">
      <c r="A80" s="23" t="s">
        <v>60</v>
      </c>
      <c r="B80" s="24">
        <v>30.216346604888901</v>
      </c>
      <c r="C80" s="24">
        <v>31.650939416316</v>
      </c>
      <c r="D80" s="24">
        <v>48.82</v>
      </c>
      <c r="E80" s="24">
        <v>55.9</v>
      </c>
      <c r="F80" s="24">
        <v>64.73</v>
      </c>
      <c r="G80" s="24">
        <v>68.709999999999994</v>
      </c>
      <c r="H80" s="24">
        <v>72.16</v>
      </c>
      <c r="I80" s="24">
        <v>75.16</v>
      </c>
      <c r="J80" s="24">
        <v>78</v>
      </c>
      <c r="K80" s="24">
        <v>79</v>
      </c>
      <c r="L80" s="24">
        <v>82</v>
      </c>
      <c r="M80" s="24">
        <v>81.269999536019995</v>
      </c>
      <c r="N80" s="24">
        <v>82.349998473839193</v>
      </c>
      <c r="O80" s="24">
        <v>84.17</v>
      </c>
      <c r="P80" s="24">
        <v>86.19</v>
      </c>
      <c r="Q80" s="24">
        <v>87.589799352576705</v>
      </c>
      <c r="R80" s="24">
        <v>84.165206644121199</v>
      </c>
      <c r="S80" s="24">
        <v>84.395500769999998</v>
      </c>
      <c r="T80" s="24">
        <v>89.739121036490602</v>
      </c>
      <c r="U80" s="25">
        <v>10.595726418660099</v>
      </c>
      <c r="V80" s="26"/>
      <c r="W80" s="26" t="s">
        <v>736</v>
      </c>
      <c r="X80" s="26"/>
      <c r="Y80" s="26" t="s">
        <v>736</v>
      </c>
      <c r="Z80" s="26" t="s">
        <v>441</v>
      </c>
      <c r="AA80" s="26" t="s">
        <v>442</v>
      </c>
      <c r="AB80" s="26" t="s">
        <v>443</v>
      </c>
      <c r="AC80" s="26" t="s">
        <v>442</v>
      </c>
      <c r="AD80" s="26" t="s">
        <v>443</v>
      </c>
      <c r="AE80" s="26" t="s">
        <v>442</v>
      </c>
      <c r="AF80" s="26" t="s">
        <v>443</v>
      </c>
      <c r="AG80" s="26" t="s">
        <v>442</v>
      </c>
      <c r="AH80" s="26" t="s">
        <v>443</v>
      </c>
      <c r="AI80" s="26" t="s">
        <v>442</v>
      </c>
      <c r="AJ80" s="26" t="s">
        <v>443</v>
      </c>
      <c r="AK80" s="26" t="s">
        <v>442</v>
      </c>
      <c r="AL80" s="26" t="s">
        <v>443</v>
      </c>
      <c r="AM80" s="26" t="s">
        <v>442</v>
      </c>
      <c r="AN80" s="26" t="s">
        <v>443</v>
      </c>
      <c r="AO80" s="26" t="s">
        <v>442</v>
      </c>
      <c r="AP80" s="26" t="s">
        <v>443</v>
      </c>
      <c r="AQ80" s="26" t="s">
        <v>442</v>
      </c>
      <c r="AR80" s="26" t="s">
        <v>444</v>
      </c>
      <c r="AS80" s="26" t="s">
        <v>442</v>
      </c>
      <c r="AT80" s="26" t="s">
        <v>445</v>
      </c>
      <c r="AU80" s="26" t="s">
        <v>442</v>
      </c>
      <c r="AV80" s="26" t="s">
        <v>443</v>
      </c>
      <c r="AW80" s="26" t="s">
        <v>442</v>
      </c>
      <c r="AX80" s="26" t="s">
        <v>443</v>
      </c>
      <c r="AY80" s="26" t="s">
        <v>449</v>
      </c>
      <c r="AZ80" s="26" t="s">
        <v>616</v>
      </c>
      <c r="BA80" s="26" t="s">
        <v>449</v>
      </c>
      <c r="BB80" s="26" t="s">
        <v>616</v>
      </c>
      <c r="BC80" s="26" t="s">
        <v>737</v>
      </c>
      <c r="BD80" s="26"/>
      <c r="BE80" s="26" t="s">
        <v>738</v>
      </c>
      <c r="BF80" s="26"/>
      <c r="BG80" s="26" t="s">
        <v>737</v>
      </c>
    </row>
    <row r="81" spans="1:59" ht="25.5" customHeight="1" x14ac:dyDescent="0.15">
      <c r="A81" s="23" t="s">
        <v>64</v>
      </c>
      <c r="B81" s="24">
        <v>0.15361529762579901</v>
      </c>
      <c r="C81" s="24">
        <v>0.20000806032483101</v>
      </c>
      <c r="D81" s="24">
        <v>0.83028403381873905</v>
      </c>
      <c r="E81" s="24">
        <v>1.19305791098328</v>
      </c>
      <c r="F81" s="24">
        <v>1.7167977038950399</v>
      </c>
      <c r="G81" s="24">
        <v>1.8311974610461601</v>
      </c>
      <c r="H81" s="24">
        <v>2.7231759731398699</v>
      </c>
      <c r="I81" s="24">
        <v>3.85</v>
      </c>
      <c r="J81" s="24">
        <v>4.2699999999999996</v>
      </c>
      <c r="K81" s="24">
        <v>5.44</v>
      </c>
      <c r="L81" s="24">
        <v>7.8</v>
      </c>
      <c r="M81" s="24">
        <v>9</v>
      </c>
      <c r="N81" s="24">
        <v>10.6</v>
      </c>
      <c r="O81" s="24">
        <v>15</v>
      </c>
      <c r="P81" s="24">
        <v>25.51773743</v>
      </c>
      <c r="Q81" s="24">
        <v>25</v>
      </c>
      <c r="R81" s="24">
        <v>34.666000650000001</v>
      </c>
      <c r="S81" s="24">
        <v>39</v>
      </c>
      <c r="T81" s="24"/>
      <c r="U81" s="25">
        <v>10.595726418660099</v>
      </c>
      <c r="V81" s="26"/>
      <c r="W81" s="26" t="s">
        <v>739</v>
      </c>
      <c r="X81" s="26"/>
      <c r="Y81" s="26" t="s">
        <v>740</v>
      </c>
      <c r="Z81" s="26"/>
      <c r="AA81" s="26" t="s">
        <v>741</v>
      </c>
      <c r="AB81" s="26"/>
      <c r="AC81" s="26" t="s">
        <v>741</v>
      </c>
      <c r="AD81" s="26"/>
      <c r="AE81" s="26" t="s">
        <v>741</v>
      </c>
      <c r="AF81" s="26"/>
      <c r="AG81" s="26" t="s">
        <v>741</v>
      </c>
      <c r="AH81" s="26"/>
      <c r="AI81" s="26" t="s">
        <v>741</v>
      </c>
      <c r="AJ81" s="26"/>
      <c r="AK81" s="26" t="s">
        <v>742</v>
      </c>
      <c r="AL81" s="26"/>
      <c r="AM81" s="26" t="s">
        <v>742</v>
      </c>
      <c r="AN81" s="26"/>
      <c r="AO81" s="26" t="s">
        <v>742</v>
      </c>
      <c r="AP81" s="26" t="s">
        <v>743</v>
      </c>
      <c r="AQ81" s="26" t="s">
        <v>744</v>
      </c>
      <c r="AR81" s="26"/>
      <c r="AS81" s="26" t="s">
        <v>389</v>
      </c>
      <c r="AT81" s="26" t="s">
        <v>745</v>
      </c>
      <c r="AU81" s="26" t="s">
        <v>746</v>
      </c>
      <c r="AV81" s="26"/>
      <c r="AW81" s="26" t="s">
        <v>389</v>
      </c>
      <c r="AX81" s="26"/>
      <c r="AY81" s="26" t="s">
        <v>389</v>
      </c>
      <c r="AZ81" s="26" t="s">
        <v>394</v>
      </c>
      <c r="BA81" s="26" t="s">
        <v>565</v>
      </c>
      <c r="BB81" s="26"/>
      <c r="BC81" s="26" t="s">
        <v>401</v>
      </c>
      <c r="BD81" s="26" t="s">
        <v>394</v>
      </c>
      <c r="BE81" s="26" t="s">
        <v>565</v>
      </c>
      <c r="BF81" s="26"/>
      <c r="BG81" s="26"/>
    </row>
    <row r="82" spans="1:59" ht="25.5" customHeight="1" x14ac:dyDescent="0.15">
      <c r="A82" s="23" t="s">
        <v>87</v>
      </c>
      <c r="B82" s="24">
        <v>19.1316381248919</v>
      </c>
      <c r="C82" s="24">
        <v>21.171109436030999</v>
      </c>
      <c r="D82" s="24">
        <v>23.670239745713999</v>
      </c>
      <c r="E82" s="24">
        <v>28.3257797920554</v>
      </c>
      <c r="F82" s="24">
        <v>32.886082609839498</v>
      </c>
      <c r="G82" s="24">
        <v>39.0701308849385</v>
      </c>
      <c r="H82" s="24">
        <v>45.298647511810003</v>
      </c>
      <c r="I82" s="24">
        <v>51.61</v>
      </c>
      <c r="J82" s="24">
        <v>58</v>
      </c>
      <c r="K82" s="24">
        <v>65.069999999999993</v>
      </c>
      <c r="L82" s="24">
        <v>65</v>
      </c>
      <c r="M82" s="24">
        <v>65</v>
      </c>
      <c r="N82" s="24">
        <v>65.016999999999996</v>
      </c>
      <c r="O82" s="24"/>
      <c r="P82" s="24"/>
      <c r="Q82" s="24"/>
      <c r="R82" s="24">
        <v>94.444471581815094</v>
      </c>
      <c r="S82" s="24"/>
      <c r="T82" s="24"/>
      <c r="U82" s="25">
        <v>10.595726418660099</v>
      </c>
      <c r="V82" s="26"/>
      <c r="W82" s="26" t="s">
        <v>747</v>
      </c>
      <c r="X82" s="26"/>
      <c r="Y82" s="26" t="s">
        <v>747</v>
      </c>
      <c r="Z82" s="26"/>
      <c r="AA82" s="26" t="s">
        <v>393</v>
      </c>
      <c r="AB82" s="26"/>
      <c r="AC82" s="26" t="s">
        <v>393</v>
      </c>
      <c r="AD82" s="26"/>
      <c r="AE82" s="26" t="s">
        <v>393</v>
      </c>
      <c r="AF82" s="26"/>
      <c r="AG82" s="26" t="s">
        <v>393</v>
      </c>
      <c r="AH82" s="26"/>
      <c r="AI82" s="26" t="s">
        <v>393</v>
      </c>
      <c r="AJ82" s="26"/>
      <c r="AK82" s="26" t="s">
        <v>748</v>
      </c>
      <c r="AL82" s="26"/>
      <c r="AM82" s="26" t="s">
        <v>389</v>
      </c>
      <c r="AN82" s="26"/>
      <c r="AO82" s="26" t="s">
        <v>389</v>
      </c>
      <c r="AP82" s="26"/>
      <c r="AQ82" s="26" t="s">
        <v>748</v>
      </c>
      <c r="AR82" s="26"/>
      <c r="AS82" s="26" t="s">
        <v>748</v>
      </c>
      <c r="AT82" s="26"/>
      <c r="AU82" s="26" t="s">
        <v>389</v>
      </c>
      <c r="AV82" s="26"/>
      <c r="AW82" s="26"/>
      <c r="AX82" s="26"/>
      <c r="AY82" s="26"/>
      <c r="AZ82" s="26"/>
      <c r="BA82" s="26"/>
      <c r="BB82" s="26"/>
      <c r="BC82" s="26" t="s">
        <v>401</v>
      </c>
      <c r="BD82" s="26"/>
      <c r="BE82" s="26"/>
      <c r="BF82" s="26"/>
      <c r="BG82" s="26"/>
    </row>
    <row r="83" spans="1:59" ht="25.5" customHeight="1" x14ac:dyDescent="0.15">
      <c r="A83" s="23" t="s">
        <v>154</v>
      </c>
      <c r="B83" s="24">
        <v>9.1388373077679805</v>
      </c>
      <c r="C83" s="24">
        <v>10.935025808027801</v>
      </c>
      <c r="D83" s="24">
        <v>14.67</v>
      </c>
      <c r="E83" s="24">
        <v>17.8</v>
      </c>
      <c r="F83" s="24">
        <v>21.42</v>
      </c>
      <c r="G83" s="24">
        <v>24</v>
      </c>
      <c r="H83" s="24">
        <v>32.25</v>
      </c>
      <c r="I83" s="24">
        <v>35.880000000000003</v>
      </c>
      <c r="J83" s="24">
        <v>38.200000000000003</v>
      </c>
      <c r="K83" s="24">
        <v>42.4</v>
      </c>
      <c r="L83" s="24">
        <v>44.4</v>
      </c>
      <c r="M83" s="24">
        <v>51.649995167681503</v>
      </c>
      <c r="N83" s="24">
        <v>55.069993441841099</v>
      </c>
      <c r="O83" s="24">
        <v>59.866300000000003</v>
      </c>
      <c r="P83" s="24">
        <v>63.21</v>
      </c>
      <c r="Q83" s="24">
        <v>66.834999999999994</v>
      </c>
      <c r="R83" s="24">
        <v>69.087915469999999</v>
      </c>
      <c r="S83" s="24">
        <v>70.549433452112893</v>
      </c>
      <c r="T83" s="24">
        <v>72.952094201810993</v>
      </c>
      <c r="U83" s="25">
        <v>10.595726418660099</v>
      </c>
      <c r="V83" s="26"/>
      <c r="W83" s="26" t="s">
        <v>749</v>
      </c>
      <c r="X83" s="26"/>
      <c r="Y83" s="26" t="s">
        <v>749</v>
      </c>
      <c r="Z83" s="26" t="s">
        <v>750</v>
      </c>
      <c r="AA83" s="26" t="s">
        <v>442</v>
      </c>
      <c r="AB83" s="26" t="s">
        <v>443</v>
      </c>
      <c r="AC83" s="26" t="s">
        <v>442</v>
      </c>
      <c r="AD83" s="26" t="s">
        <v>443</v>
      </c>
      <c r="AE83" s="26" t="s">
        <v>442</v>
      </c>
      <c r="AF83" s="26" t="s">
        <v>443</v>
      </c>
      <c r="AG83" s="26" t="s">
        <v>442</v>
      </c>
      <c r="AH83" s="26" t="s">
        <v>443</v>
      </c>
      <c r="AI83" s="26" t="s">
        <v>442</v>
      </c>
      <c r="AJ83" s="26" t="s">
        <v>443</v>
      </c>
      <c r="AK83" s="26" t="s">
        <v>442</v>
      </c>
      <c r="AL83" s="26" t="s">
        <v>443</v>
      </c>
      <c r="AM83" s="26" t="s">
        <v>751</v>
      </c>
      <c r="AN83" s="26" t="s">
        <v>443</v>
      </c>
      <c r="AO83" s="26" t="s">
        <v>752</v>
      </c>
      <c r="AP83" s="26" t="s">
        <v>443</v>
      </c>
      <c r="AQ83" s="26" t="s">
        <v>751</v>
      </c>
      <c r="AR83" s="26" t="s">
        <v>444</v>
      </c>
      <c r="AS83" s="26" t="s">
        <v>442</v>
      </c>
      <c r="AT83" s="26" t="s">
        <v>445</v>
      </c>
      <c r="AU83" s="26" t="s">
        <v>442</v>
      </c>
      <c r="AV83" s="26" t="s">
        <v>443</v>
      </c>
      <c r="AW83" s="26" t="s">
        <v>442</v>
      </c>
      <c r="AX83" s="26" t="s">
        <v>443</v>
      </c>
      <c r="AY83" s="26" t="s">
        <v>449</v>
      </c>
      <c r="AZ83" s="26" t="s">
        <v>443</v>
      </c>
      <c r="BA83" s="26" t="s">
        <v>442</v>
      </c>
      <c r="BB83" s="26"/>
      <c r="BC83" s="26" t="s">
        <v>753</v>
      </c>
      <c r="BD83" s="26"/>
      <c r="BE83" s="26" t="s">
        <v>449</v>
      </c>
      <c r="BF83" s="26"/>
      <c r="BG83" s="26" t="s">
        <v>449</v>
      </c>
    </row>
    <row r="84" spans="1:59" ht="25.5" customHeight="1" x14ac:dyDescent="0.15">
      <c r="A84" s="23" t="s">
        <v>201</v>
      </c>
      <c r="B84" s="24">
        <v>31.747811232116199</v>
      </c>
      <c r="C84" s="24">
        <v>35.464136891568401</v>
      </c>
      <c r="D84" s="24">
        <v>44.154789028418001</v>
      </c>
      <c r="E84" s="24">
        <v>54.534259829360501</v>
      </c>
      <c r="F84" s="24">
        <v>56.099014761053297</v>
      </c>
      <c r="G84" s="24">
        <v>57.703404500865602</v>
      </c>
      <c r="H84" s="24">
        <v>59.361687268663999</v>
      </c>
      <c r="I84" s="24">
        <v>61.07</v>
      </c>
      <c r="J84" s="24">
        <v>62.82</v>
      </c>
      <c r="K84" s="24">
        <v>62.83</v>
      </c>
      <c r="L84" s="24">
        <v>63</v>
      </c>
      <c r="M84" s="24">
        <v>64</v>
      </c>
      <c r="N84" s="24">
        <v>64.896010099598897</v>
      </c>
      <c r="O84" s="24">
        <v>65.8</v>
      </c>
      <c r="P84" s="24">
        <v>66.7</v>
      </c>
      <c r="Q84" s="24">
        <v>67.600443481005996</v>
      </c>
      <c r="R84" s="24">
        <v>68.500873675421005</v>
      </c>
      <c r="S84" s="24">
        <v>69.482461782198797</v>
      </c>
      <c r="T84" s="24"/>
      <c r="U84" s="25">
        <v>10.595726418660099</v>
      </c>
      <c r="V84" s="26"/>
      <c r="W84" s="26"/>
      <c r="X84" s="26"/>
      <c r="Y84" s="26"/>
      <c r="Z84" s="26"/>
      <c r="AA84" s="26"/>
      <c r="AB84" s="26"/>
      <c r="AC84" s="26"/>
      <c r="AD84" s="26"/>
      <c r="AE84" s="26"/>
      <c r="AF84" s="26"/>
      <c r="AG84" s="26"/>
      <c r="AH84" s="26"/>
      <c r="AI84" s="26"/>
      <c r="AJ84" s="26"/>
      <c r="AK84" s="26" t="s">
        <v>754</v>
      </c>
      <c r="AL84" s="26"/>
      <c r="AM84" s="26" t="s">
        <v>754</v>
      </c>
      <c r="AN84" s="26"/>
      <c r="AO84" s="26" t="s">
        <v>754</v>
      </c>
      <c r="AP84" s="26"/>
      <c r="AQ84" s="26" t="s">
        <v>755</v>
      </c>
      <c r="AR84" s="26"/>
      <c r="AS84" s="26" t="s">
        <v>755</v>
      </c>
      <c r="AT84" s="26"/>
      <c r="AU84" s="26" t="s">
        <v>389</v>
      </c>
      <c r="AV84" s="26"/>
      <c r="AW84" s="26" t="s">
        <v>389</v>
      </c>
      <c r="AX84" s="26"/>
      <c r="AY84" s="26" t="s">
        <v>389</v>
      </c>
      <c r="AZ84" s="26"/>
      <c r="BA84" s="26" t="s">
        <v>389</v>
      </c>
      <c r="BB84" s="26"/>
      <c r="BC84" s="26" t="s">
        <v>401</v>
      </c>
      <c r="BD84" s="26"/>
      <c r="BE84" s="26" t="s">
        <v>389</v>
      </c>
      <c r="BF84" s="26"/>
      <c r="BG84" s="26"/>
    </row>
    <row r="85" spans="1:59" ht="25.5" customHeight="1" x14ac:dyDescent="0.15">
      <c r="A85" s="23" t="s">
        <v>209</v>
      </c>
      <c r="B85" s="24">
        <v>4.0639079914631298</v>
      </c>
      <c r="C85" s="24">
        <v>5.1281039821699803</v>
      </c>
      <c r="D85" s="24">
        <v>14.7588405454867</v>
      </c>
      <c r="E85" s="24">
        <v>18.645182183056399</v>
      </c>
      <c r="F85" s="24">
        <v>19.570620584378698</v>
      </c>
      <c r="G85" s="24">
        <v>20.487804878048799</v>
      </c>
      <c r="H85" s="24">
        <v>21.395991169290902</v>
      </c>
      <c r="I85" s="24">
        <v>22.29</v>
      </c>
      <c r="J85" s="24">
        <v>23.18</v>
      </c>
      <c r="K85" s="24">
        <v>24.05</v>
      </c>
      <c r="L85" s="24">
        <v>27</v>
      </c>
      <c r="M85" s="24">
        <v>30</v>
      </c>
      <c r="N85" s="24">
        <v>32</v>
      </c>
      <c r="O85" s="24">
        <v>35</v>
      </c>
      <c r="P85" s="24">
        <v>51.6</v>
      </c>
      <c r="Q85" s="24">
        <v>53.81</v>
      </c>
      <c r="R85" s="24">
        <v>55.856407822586498</v>
      </c>
      <c r="S85" s="24">
        <v>59.071735362999</v>
      </c>
      <c r="T85" s="24"/>
      <c r="U85" s="25">
        <v>10.595726418660099</v>
      </c>
      <c r="V85" s="26"/>
      <c r="W85" s="26"/>
      <c r="X85" s="26"/>
      <c r="Y85" s="26"/>
      <c r="Z85" s="26"/>
      <c r="AA85" s="26"/>
      <c r="AB85" s="26"/>
      <c r="AC85" s="26" t="s">
        <v>389</v>
      </c>
      <c r="AD85" s="26"/>
      <c r="AE85" s="26" t="s">
        <v>389</v>
      </c>
      <c r="AF85" s="26"/>
      <c r="AG85" s="26" t="s">
        <v>389</v>
      </c>
      <c r="AH85" s="26"/>
      <c r="AI85" s="26" t="s">
        <v>389</v>
      </c>
      <c r="AJ85" s="26"/>
      <c r="AK85" s="26" t="s">
        <v>756</v>
      </c>
      <c r="AL85" s="26"/>
      <c r="AM85" s="26" t="s">
        <v>389</v>
      </c>
      <c r="AN85" s="26"/>
      <c r="AO85" s="26" t="s">
        <v>389</v>
      </c>
      <c r="AP85" s="26"/>
      <c r="AQ85" s="26" t="s">
        <v>389</v>
      </c>
      <c r="AR85" s="26"/>
      <c r="AS85" s="26" t="s">
        <v>389</v>
      </c>
      <c r="AT85" s="26"/>
      <c r="AU85" s="26" t="s">
        <v>389</v>
      </c>
      <c r="AV85" s="26"/>
      <c r="AW85" s="26" t="s">
        <v>389</v>
      </c>
      <c r="AX85" s="26"/>
      <c r="AY85" s="26" t="s">
        <v>656</v>
      </c>
      <c r="AZ85" s="26"/>
      <c r="BA85" s="26" t="s">
        <v>389</v>
      </c>
      <c r="BB85" s="26"/>
      <c r="BC85" s="26" t="s">
        <v>401</v>
      </c>
      <c r="BD85" s="26"/>
      <c r="BE85" s="26" t="s">
        <v>389</v>
      </c>
      <c r="BF85" s="26"/>
      <c r="BG85" s="26"/>
    </row>
    <row r="86" spans="1:59" ht="25.5" customHeight="1" x14ac:dyDescent="0.15">
      <c r="A86" s="23" t="s">
        <v>200</v>
      </c>
      <c r="B86" s="24">
        <v>16.113127042338899</v>
      </c>
      <c r="C86" s="24">
        <v>25.380227533739799</v>
      </c>
      <c r="D86" s="24">
        <v>31.1922942556271</v>
      </c>
      <c r="E86" s="24">
        <v>33.716681788087598</v>
      </c>
      <c r="F86" s="24">
        <v>36.161787838790801</v>
      </c>
      <c r="G86" s="24">
        <v>38.559877557558004</v>
      </c>
      <c r="H86" s="24">
        <v>43.851443004817803</v>
      </c>
      <c r="I86" s="24">
        <v>46.150473619235498</v>
      </c>
      <c r="J86" s="24">
        <v>48.418702150929597</v>
      </c>
      <c r="K86" s="24">
        <v>50.642028382043499</v>
      </c>
      <c r="L86" s="24">
        <v>54.04</v>
      </c>
      <c r="M86" s="24">
        <v>57.7</v>
      </c>
      <c r="N86" s="24">
        <v>61.534159307900197</v>
      </c>
      <c r="O86" s="24">
        <v>65.400000000000006</v>
      </c>
      <c r="P86" s="24">
        <v>69.27</v>
      </c>
      <c r="Q86" s="24">
        <v>73.139999947042995</v>
      </c>
      <c r="R86" s="24">
        <v>77.009999893206</v>
      </c>
      <c r="S86" s="24">
        <v>80.505465560083096</v>
      </c>
      <c r="T86" s="24"/>
      <c r="U86" s="25">
        <v>10.595726418660099</v>
      </c>
      <c r="V86" s="26"/>
      <c r="W86" s="26" t="s">
        <v>757</v>
      </c>
      <c r="X86" s="26"/>
      <c r="Y86" s="26" t="s">
        <v>757</v>
      </c>
      <c r="Z86" s="26"/>
      <c r="AA86" s="26" t="s">
        <v>757</v>
      </c>
      <c r="AB86" s="26"/>
      <c r="AC86" s="26" t="s">
        <v>757</v>
      </c>
      <c r="AD86" s="26"/>
      <c r="AE86" s="26" t="s">
        <v>757</v>
      </c>
      <c r="AF86" s="26"/>
      <c r="AG86" s="26" t="s">
        <v>757</v>
      </c>
      <c r="AH86" s="26"/>
      <c r="AI86" s="26" t="s">
        <v>389</v>
      </c>
      <c r="AJ86" s="26"/>
      <c r="AK86" s="26" t="s">
        <v>389</v>
      </c>
      <c r="AL86" s="26"/>
      <c r="AM86" s="26" t="s">
        <v>389</v>
      </c>
      <c r="AN86" s="26"/>
      <c r="AO86" s="26" t="s">
        <v>389</v>
      </c>
      <c r="AP86" s="26"/>
      <c r="AQ86" s="26" t="s">
        <v>389</v>
      </c>
      <c r="AR86" s="26"/>
      <c r="AS86" s="26" t="s">
        <v>389</v>
      </c>
      <c r="AT86" s="26"/>
      <c r="AU86" s="26" t="s">
        <v>389</v>
      </c>
      <c r="AV86" s="26"/>
      <c r="AW86" s="26" t="s">
        <v>389</v>
      </c>
      <c r="AX86" s="26"/>
      <c r="AY86" s="26" t="s">
        <v>389</v>
      </c>
      <c r="AZ86" s="26"/>
      <c r="BA86" s="26" t="s">
        <v>389</v>
      </c>
      <c r="BB86" s="26"/>
      <c r="BC86" s="26" t="s">
        <v>401</v>
      </c>
      <c r="BD86" s="26"/>
      <c r="BE86" s="26" t="s">
        <v>389</v>
      </c>
      <c r="BF86" s="26"/>
      <c r="BG86" s="26"/>
    </row>
    <row r="87" spans="1:59" ht="25.5" customHeight="1" x14ac:dyDescent="0.15">
      <c r="A87" s="23" t="s">
        <v>106</v>
      </c>
      <c r="B87" s="24">
        <v>0.71233290450892495</v>
      </c>
      <c r="C87" s="24">
        <v>1.7382017815873001</v>
      </c>
      <c r="D87" s="24">
        <v>3.3917462702450201</v>
      </c>
      <c r="E87" s="24">
        <v>4.5488549084832401</v>
      </c>
      <c r="F87" s="24">
        <v>5.0999999999999996</v>
      </c>
      <c r="G87" s="24">
        <v>5.7</v>
      </c>
      <c r="H87" s="24">
        <v>6.5</v>
      </c>
      <c r="I87" s="24">
        <v>7.3</v>
      </c>
      <c r="J87" s="24">
        <v>8.3000000000000007</v>
      </c>
      <c r="K87" s="24">
        <v>9.3000000000000007</v>
      </c>
      <c r="L87" s="24">
        <v>10.5</v>
      </c>
      <c r="M87" s="24">
        <v>12.3</v>
      </c>
      <c r="N87" s="24">
        <v>16</v>
      </c>
      <c r="O87" s="24">
        <v>19.7</v>
      </c>
      <c r="P87" s="24">
        <v>23.4</v>
      </c>
      <c r="Q87" s="24">
        <v>28.805941555352401</v>
      </c>
      <c r="R87" s="24">
        <v>34.509326091560197</v>
      </c>
      <c r="S87" s="24">
        <v>65</v>
      </c>
      <c r="T87" s="24"/>
      <c r="U87" s="25">
        <v>10.595726418660099</v>
      </c>
      <c r="V87" s="26"/>
      <c r="W87" s="26"/>
      <c r="X87" s="26"/>
      <c r="Y87" s="26"/>
      <c r="Z87" s="26"/>
      <c r="AA87" s="26"/>
      <c r="AB87" s="26"/>
      <c r="AC87" s="26"/>
      <c r="AD87" s="26"/>
      <c r="AE87" s="26"/>
      <c r="AF87" s="26"/>
      <c r="AG87" s="26"/>
      <c r="AH87" s="26"/>
      <c r="AI87" s="26" t="s">
        <v>389</v>
      </c>
      <c r="AJ87" s="26"/>
      <c r="AK87" s="26" t="s">
        <v>389</v>
      </c>
      <c r="AL87" s="26"/>
      <c r="AM87" s="26" t="s">
        <v>389</v>
      </c>
      <c r="AN87" s="26"/>
      <c r="AO87" s="26" t="s">
        <v>389</v>
      </c>
      <c r="AP87" s="26"/>
      <c r="AQ87" s="26" t="s">
        <v>389</v>
      </c>
      <c r="AR87" s="26"/>
      <c r="AS87" s="26" t="s">
        <v>389</v>
      </c>
      <c r="AT87" s="26"/>
      <c r="AU87" s="26" t="s">
        <v>389</v>
      </c>
      <c r="AV87" s="26"/>
      <c r="AW87" s="26" t="s">
        <v>389</v>
      </c>
      <c r="AX87" s="26"/>
      <c r="AY87" s="26" t="s">
        <v>389</v>
      </c>
      <c r="AZ87" s="26"/>
      <c r="BA87" s="26" t="s">
        <v>401</v>
      </c>
      <c r="BB87" s="26"/>
      <c r="BC87" s="26" t="s">
        <v>401</v>
      </c>
      <c r="BD87" s="26" t="s">
        <v>758</v>
      </c>
      <c r="BE87" s="26" t="s">
        <v>759</v>
      </c>
      <c r="BF87" s="26"/>
      <c r="BG87" s="26"/>
    </row>
    <row r="88" spans="1:59" ht="25.5" customHeight="1" x14ac:dyDescent="0.15">
      <c r="A88" s="23" t="s">
        <v>218</v>
      </c>
      <c r="B88" s="24">
        <v>31.897926634768702</v>
      </c>
      <c r="C88" s="24">
        <v>44.4657880226953</v>
      </c>
      <c r="D88" s="24">
        <v>53.571428571428598</v>
      </c>
      <c r="E88" s="24">
        <v>59.139784946236603</v>
      </c>
      <c r="F88" s="24">
        <v>64.516129032258107</v>
      </c>
      <c r="G88" s="24">
        <v>73.571024335031098</v>
      </c>
      <c r="H88" s="24">
        <v>83.632019115890103</v>
      </c>
      <c r="I88" s="24"/>
      <c r="J88" s="24"/>
      <c r="K88" s="24"/>
      <c r="L88" s="24"/>
      <c r="M88" s="24">
        <v>83.632000000000005</v>
      </c>
      <c r="N88" s="24"/>
      <c r="O88" s="24"/>
      <c r="P88" s="24"/>
      <c r="Q88" s="24"/>
      <c r="R88" s="24"/>
      <c r="S88" s="24"/>
      <c r="T88" s="24"/>
      <c r="U88" s="25">
        <v>10.595726418660099</v>
      </c>
      <c r="V88" s="26"/>
      <c r="W88" s="26" t="s">
        <v>760</v>
      </c>
      <c r="X88" s="26"/>
      <c r="Y88" s="26" t="s">
        <v>760</v>
      </c>
      <c r="Z88" s="26"/>
      <c r="AA88" s="26" t="s">
        <v>761</v>
      </c>
      <c r="AB88" s="26"/>
      <c r="AC88" s="26" t="s">
        <v>760</v>
      </c>
      <c r="AD88" s="26"/>
      <c r="AE88" s="26" t="s">
        <v>762</v>
      </c>
      <c r="AF88" s="26"/>
      <c r="AG88" s="26" t="s">
        <v>760</v>
      </c>
      <c r="AH88" s="26"/>
      <c r="AI88" s="26" t="s">
        <v>760</v>
      </c>
      <c r="AJ88" s="26"/>
      <c r="AK88" s="26"/>
      <c r="AL88" s="26"/>
      <c r="AM88" s="26"/>
      <c r="AN88" s="26"/>
      <c r="AO88" s="26"/>
      <c r="AP88" s="26"/>
      <c r="AQ88" s="26"/>
      <c r="AR88" s="26"/>
      <c r="AS88" s="26" t="s">
        <v>389</v>
      </c>
      <c r="AT88" s="26"/>
      <c r="AU88" s="26"/>
      <c r="AV88" s="26"/>
      <c r="AW88" s="26"/>
      <c r="AX88" s="26"/>
      <c r="AY88" s="26"/>
      <c r="AZ88" s="26"/>
      <c r="BA88" s="26"/>
      <c r="BB88" s="26"/>
      <c r="BC88" s="26"/>
      <c r="BD88" s="26"/>
      <c r="BE88" s="26"/>
      <c r="BF88" s="26"/>
      <c r="BG88" s="26"/>
    </row>
    <row r="89" spans="1:59" ht="25.5" customHeight="1" x14ac:dyDescent="0.15">
      <c r="A89" s="23" t="s">
        <v>27</v>
      </c>
      <c r="B89" s="24">
        <v>9.5424923606384604E-2</v>
      </c>
      <c r="C89" s="24">
        <v>0.17554186849105399</v>
      </c>
      <c r="D89" s="24">
        <v>0.40202274874439697</v>
      </c>
      <c r="E89" s="24">
        <v>0.45096037084275098</v>
      </c>
      <c r="F89" s="24">
        <v>0.50881933230293697</v>
      </c>
      <c r="G89" s="24">
        <v>0.54225418099663703</v>
      </c>
      <c r="H89" s="24">
        <v>0.63749212298795499</v>
      </c>
      <c r="I89" s="24">
        <v>0.78002527905924401</v>
      </c>
      <c r="J89" s="24">
        <v>0.92</v>
      </c>
      <c r="K89" s="24">
        <v>0.94</v>
      </c>
      <c r="L89" s="24">
        <v>1</v>
      </c>
      <c r="M89" s="24">
        <v>2</v>
      </c>
      <c r="N89" s="24">
        <v>3.1</v>
      </c>
      <c r="O89" s="24">
        <v>4.5</v>
      </c>
      <c r="P89" s="24">
        <v>6.4</v>
      </c>
      <c r="Q89" s="24">
        <v>8.1999999999999993</v>
      </c>
      <c r="R89" s="24">
        <v>9.8000000000000007</v>
      </c>
      <c r="S89" s="24">
        <v>18</v>
      </c>
      <c r="T89" s="24"/>
      <c r="U89" s="25">
        <v>10.595726418660099</v>
      </c>
      <c r="V89" s="26"/>
      <c r="W89" s="26"/>
      <c r="X89" s="26"/>
      <c r="Y89" s="26"/>
      <c r="Z89" s="26"/>
      <c r="AA89" s="26"/>
      <c r="AB89" s="26"/>
      <c r="AC89" s="26"/>
      <c r="AD89" s="26"/>
      <c r="AE89" s="26"/>
      <c r="AF89" s="26"/>
      <c r="AG89" s="26"/>
      <c r="AH89" s="26"/>
      <c r="AI89" s="26"/>
      <c r="AJ89" s="26"/>
      <c r="AK89" s="26" t="s">
        <v>763</v>
      </c>
      <c r="AL89" s="26" t="s">
        <v>764</v>
      </c>
      <c r="AM89" s="26" t="s">
        <v>765</v>
      </c>
      <c r="AN89" s="26" t="s">
        <v>764</v>
      </c>
      <c r="AO89" s="26" t="s">
        <v>765</v>
      </c>
      <c r="AP89" s="26"/>
      <c r="AQ89" s="26" t="s">
        <v>389</v>
      </c>
      <c r="AR89" s="26"/>
      <c r="AS89" s="26" t="s">
        <v>393</v>
      </c>
      <c r="AT89" s="26"/>
      <c r="AU89" s="26" t="s">
        <v>389</v>
      </c>
      <c r="AV89" s="26"/>
      <c r="AW89" s="26" t="s">
        <v>389</v>
      </c>
      <c r="AX89" s="26"/>
      <c r="AY89" s="26" t="s">
        <v>389</v>
      </c>
      <c r="AZ89" s="26"/>
      <c r="BA89" s="26" t="s">
        <v>401</v>
      </c>
      <c r="BB89" s="26"/>
      <c r="BC89" s="26" t="s">
        <v>401</v>
      </c>
      <c r="BD89" s="26" t="s">
        <v>490</v>
      </c>
      <c r="BE89" s="26" t="s">
        <v>491</v>
      </c>
      <c r="BF89" s="26"/>
      <c r="BG89" s="26"/>
    </row>
    <row r="90" spans="1:59" ht="25.5" customHeight="1" x14ac:dyDescent="0.15">
      <c r="A90" s="23" t="s">
        <v>34</v>
      </c>
      <c r="B90" s="24">
        <v>0.230103170591588</v>
      </c>
      <c r="C90" s="24">
        <v>0.29956914467766699</v>
      </c>
      <c r="D90" s="24">
        <v>1.0229932343611701</v>
      </c>
      <c r="E90" s="24">
        <v>1.35419747762901</v>
      </c>
      <c r="F90" s="24">
        <v>1.8081422034299099</v>
      </c>
      <c r="G90" s="24">
        <v>1.90136531610877</v>
      </c>
      <c r="H90" s="24">
        <v>2.0571967045036001</v>
      </c>
      <c r="I90" s="24">
        <v>2.2063022374500298</v>
      </c>
      <c r="J90" s="24">
        <v>2.3548887108793299</v>
      </c>
      <c r="K90" s="24">
        <v>2.3032805917258199</v>
      </c>
      <c r="L90" s="24">
        <v>2.4500000000000002</v>
      </c>
      <c r="M90" s="24">
        <v>2.6720000000000002</v>
      </c>
      <c r="N90" s="24">
        <v>2.8939906208553099</v>
      </c>
      <c r="O90" s="24">
        <v>3.1</v>
      </c>
      <c r="P90" s="24">
        <v>3.32</v>
      </c>
      <c r="Q90" s="24">
        <v>3.5407069170210002</v>
      </c>
      <c r="R90" s="24">
        <v>3.7614138323369999</v>
      </c>
      <c r="S90" s="24">
        <v>3.93050915199411</v>
      </c>
      <c r="T90" s="24"/>
      <c r="U90" s="25">
        <v>10.595726418660099</v>
      </c>
      <c r="V90" s="26"/>
      <c r="W90" s="26"/>
      <c r="X90" s="26"/>
      <c r="Y90" s="26"/>
      <c r="Z90" s="26"/>
      <c r="AA90" s="26"/>
      <c r="AB90" s="26"/>
      <c r="AC90" s="26"/>
      <c r="AD90" s="26"/>
      <c r="AE90" s="26"/>
      <c r="AF90" s="26"/>
      <c r="AG90" s="26"/>
      <c r="AH90" s="26"/>
      <c r="AI90" s="26"/>
      <c r="AJ90" s="26"/>
      <c r="AK90" s="26" t="s">
        <v>389</v>
      </c>
      <c r="AL90" s="26"/>
      <c r="AM90" s="26" t="s">
        <v>766</v>
      </c>
      <c r="AN90" s="26"/>
      <c r="AO90" s="26" t="s">
        <v>766</v>
      </c>
      <c r="AP90" s="26"/>
      <c r="AQ90" s="26" t="s">
        <v>389</v>
      </c>
      <c r="AR90" s="26"/>
      <c r="AS90" s="26" t="s">
        <v>389</v>
      </c>
      <c r="AT90" s="26"/>
      <c r="AU90" s="26" t="s">
        <v>389</v>
      </c>
      <c r="AV90" s="26"/>
      <c r="AW90" s="26" t="s">
        <v>389</v>
      </c>
      <c r="AX90" s="26"/>
      <c r="AY90" s="26" t="s">
        <v>389</v>
      </c>
      <c r="AZ90" s="26"/>
      <c r="BA90" s="26" t="s">
        <v>389</v>
      </c>
      <c r="BB90" s="26"/>
      <c r="BC90" s="26" t="s">
        <v>401</v>
      </c>
      <c r="BD90" s="26"/>
      <c r="BE90" s="26" t="s">
        <v>389</v>
      </c>
      <c r="BF90" s="26"/>
      <c r="BG90" s="26"/>
    </row>
    <row r="91" spans="1:59" ht="25.5" customHeight="1" x14ac:dyDescent="0.15">
      <c r="A91" s="23" t="s">
        <v>208</v>
      </c>
      <c r="B91" s="24">
        <v>6.6114915657202102</v>
      </c>
      <c r="C91" s="24">
        <v>13.206986495856301</v>
      </c>
      <c r="D91" s="24"/>
      <c r="E91" s="24"/>
      <c r="F91" s="24"/>
      <c r="G91" s="24"/>
      <c r="H91" s="24"/>
      <c r="I91" s="24">
        <v>13.8</v>
      </c>
      <c r="J91" s="24">
        <v>18.2</v>
      </c>
      <c r="K91" s="24">
        <v>23.9</v>
      </c>
      <c r="L91" s="24">
        <v>29.9</v>
      </c>
      <c r="M91" s="24">
        <v>30</v>
      </c>
      <c r="N91" s="24">
        <v>30.5</v>
      </c>
      <c r="O91" s="24">
        <v>31</v>
      </c>
      <c r="P91" s="24">
        <v>32</v>
      </c>
      <c r="Q91" s="24">
        <v>34</v>
      </c>
      <c r="R91" s="24">
        <v>35.659999999999997</v>
      </c>
      <c r="S91" s="24">
        <v>37.325836787809401</v>
      </c>
      <c r="T91" s="24"/>
      <c r="U91" s="25">
        <v>10.595726418660099</v>
      </c>
      <c r="V91" s="26"/>
      <c r="W91" s="26"/>
      <c r="X91" s="26"/>
      <c r="Y91" s="26"/>
      <c r="Z91" s="26"/>
      <c r="AA91" s="26"/>
      <c r="AB91" s="26"/>
      <c r="AC91" s="26"/>
      <c r="AD91" s="26"/>
      <c r="AE91" s="26"/>
      <c r="AF91" s="26"/>
      <c r="AG91" s="26"/>
      <c r="AH91" s="26"/>
      <c r="AI91" s="26"/>
      <c r="AJ91" s="26"/>
      <c r="AK91" s="26" t="s">
        <v>389</v>
      </c>
      <c r="AL91" s="26"/>
      <c r="AM91" s="26" t="s">
        <v>767</v>
      </c>
      <c r="AN91" s="26"/>
      <c r="AO91" s="26" t="s">
        <v>767</v>
      </c>
      <c r="AP91" s="26"/>
      <c r="AQ91" s="26" t="s">
        <v>767</v>
      </c>
      <c r="AR91" s="26"/>
      <c r="AS91" s="26" t="s">
        <v>389</v>
      </c>
      <c r="AT91" s="26"/>
      <c r="AU91" s="26" t="s">
        <v>389</v>
      </c>
      <c r="AV91" s="26"/>
      <c r="AW91" s="26" t="s">
        <v>389</v>
      </c>
      <c r="AX91" s="26"/>
      <c r="AY91" s="26" t="s">
        <v>389</v>
      </c>
      <c r="AZ91" s="26"/>
      <c r="BA91" s="26" t="s">
        <v>389</v>
      </c>
      <c r="BB91" s="26"/>
      <c r="BC91" s="26" t="s">
        <v>401</v>
      </c>
      <c r="BD91" s="26"/>
      <c r="BE91" s="26" t="s">
        <v>389</v>
      </c>
      <c r="BF91" s="26"/>
      <c r="BG91" s="26"/>
    </row>
    <row r="92" spans="1:59" ht="25.5" customHeight="1" x14ac:dyDescent="0.15">
      <c r="A92" s="23" t="s">
        <v>135</v>
      </c>
      <c r="B92" s="24">
        <v>0.23127071462882101</v>
      </c>
      <c r="C92" s="24">
        <v>0.34083232617380899</v>
      </c>
      <c r="D92" s="24">
        <v>0.89343298833790796</v>
      </c>
      <c r="E92" s="24">
        <v>1.64735834557778</v>
      </c>
      <c r="F92" s="24">
        <v>5.4012619076219996</v>
      </c>
      <c r="G92" s="24">
        <v>6.3762016350493802</v>
      </c>
      <c r="H92" s="24">
        <v>6.7960004805295098</v>
      </c>
      <c r="I92" s="24">
        <v>7.2</v>
      </c>
      <c r="J92" s="24">
        <v>7.6</v>
      </c>
      <c r="K92" s="24">
        <v>8.1</v>
      </c>
      <c r="L92" s="24">
        <v>8.3699999999999992</v>
      </c>
      <c r="M92" s="24">
        <v>9</v>
      </c>
      <c r="N92" s="24">
        <v>9.8000000000000007</v>
      </c>
      <c r="O92" s="24">
        <v>10.6</v>
      </c>
      <c r="P92" s="24">
        <v>11.4</v>
      </c>
      <c r="Q92" s="24">
        <v>12.197699999999999</v>
      </c>
      <c r="R92" s="24">
        <v>12.232601607040801</v>
      </c>
      <c r="S92" s="24">
        <v>12.3261035817213</v>
      </c>
      <c r="T92" s="24">
        <v>32.473627130055696</v>
      </c>
      <c r="U92" s="25">
        <v>10.595726418660099</v>
      </c>
      <c r="V92" s="26"/>
      <c r="W92" s="26"/>
      <c r="X92" s="26"/>
      <c r="Y92" s="26"/>
      <c r="Z92" s="26"/>
      <c r="AA92" s="26"/>
      <c r="AB92" s="26"/>
      <c r="AC92" s="26" t="s">
        <v>389</v>
      </c>
      <c r="AD92" s="26"/>
      <c r="AE92" s="26" t="s">
        <v>389</v>
      </c>
      <c r="AF92" s="26"/>
      <c r="AG92" s="26" t="s">
        <v>389</v>
      </c>
      <c r="AH92" s="26"/>
      <c r="AI92" s="26" t="s">
        <v>389</v>
      </c>
      <c r="AJ92" s="26"/>
      <c r="AK92" s="26" t="s">
        <v>389</v>
      </c>
      <c r="AL92" s="26"/>
      <c r="AM92" s="26" t="s">
        <v>389</v>
      </c>
      <c r="AN92" s="26"/>
      <c r="AO92" s="26" t="s">
        <v>389</v>
      </c>
      <c r="AP92" s="26"/>
      <c r="AQ92" s="26" t="s">
        <v>389</v>
      </c>
      <c r="AR92" s="26"/>
      <c r="AS92" s="26" t="s">
        <v>389</v>
      </c>
      <c r="AT92" s="26"/>
      <c r="AU92" s="26" t="s">
        <v>389</v>
      </c>
      <c r="AV92" s="26"/>
      <c r="AW92" s="26" t="s">
        <v>389</v>
      </c>
      <c r="AX92" s="26"/>
      <c r="AY92" s="26" t="s">
        <v>389</v>
      </c>
      <c r="AZ92" s="26"/>
      <c r="BA92" s="26" t="s">
        <v>389</v>
      </c>
      <c r="BB92" s="26"/>
      <c r="BC92" s="26" t="s">
        <v>401</v>
      </c>
      <c r="BD92" s="26"/>
      <c r="BE92" s="26" t="s">
        <v>389</v>
      </c>
      <c r="BF92" s="26"/>
      <c r="BG92" s="26" t="s">
        <v>768</v>
      </c>
    </row>
    <row r="93" spans="1:59" ht="25.5" customHeight="1" x14ac:dyDescent="0.15">
      <c r="A93" s="23" t="s">
        <v>148</v>
      </c>
      <c r="B93" s="24">
        <v>1.20385599891878</v>
      </c>
      <c r="C93" s="24">
        <v>1.4152819312371101</v>
      </c>
      <c r="D93" s="24">
        <v>2.5974025974026</v>
      </c>
      <c r="E93" s="24">
        <v>4.8</v>
      </c>
      <c r="F93" s="24">
        <v>5.6</v>
      </c>
      <c r="G93" s="24">
        <v>6.5</v>
      </c>
      <c r="H93" s="24">
        <v>7.8</v>
      </c>
      <c r="I93" s="24">
        <v>9.4</v>
      </c>
      <c r="J93" s="24">
        <v>9.6</v>
      </c>
      <c r="K93" s="24">
        <v>9.8000000000000007</v>
      </c>
      <c r="L93" s="24">
        <v>11.09</v>
      </c>
      <c r="M93" s="24">
        <v>15.9</v>
      </c>
      <c r="N93" s="24">
        <v>18.12</v>
      </c>
      <c r="O93" s="24">
        <v>17.8</v>
      </c>
      <c r="P93" s="24">
        <v>19.079999999999998</v>
      </c>
      <c r="Q93" s="24">
        <v>27.1</v>
      </c>
      <c r="R93" s="24">
        <v>29.5</v>
      </c>
      <c r="S93" s="24">
        <v>31.7</v>
      </c>
      <c r="T93" s="24"/>
      <c r="U93" s="25">
        <v>10.595726418660099</v>
      </c>
      <c r="V93" s="26"/>
      <c r="W93" s="26"/>
      <c r="X93" s="26"/>
      <c r="Y93" s="26"/>
      <c r="Z93" s="26"/>
      <c r="AA93" s="26"/>
      <c r="AB93" s="26" t="s">
        <v>769</v>
      </c>
      <c r="AC93" s="26" t="s">
        <v>389</v>
      </c>
      <c r="AD93" s="26" t="s">
        <v>485</v>
      </c>
      <c r="AE93" s="26" t="s">
        <v>770</v>
      </c>
      <c r="AF93" s="26" t="s">
        <v>485</v>
      </c>
      <c r="AG93" s="26" t="s">
        <v>770</v>
      </c>
      <c r="AH93" s="26" t="s">
        <v>485</v>
      </c>
      <c r="AI93" s="26" t="s">
        <v>389</v>
      </c>
      <c r="AJ93" s="26" t="s">
        <v>485</v>
      </c>
      <c r="AK93" s="26" t="s">
        <v>770</v>
      </c>
      <c r="AL93" s="26" t="s">
        <v>485</v>
      </c>
      <c r="AM93" s="26" t="s">
        <v>771</v>
      </c>
      <c r="AN93" s="26" t="s">
        <v>769</v>
      </c>
      <c r="AO93" s="26" t="s">
        <v>389</v>
      </c>
      <c r="AP93" s="26"/>
      <c r="AQ93" s="26" t="s">
        <v>772</v>
      </c>
      <c r="AR93" s="26" t="s">
        <v>769</v>
      </c>
      <c r="AS93" s="26" t="s">
        <v>772</v>
      </c>
      <c r="AT93" s="26"/>
      <c r="AU93" s="26" t="s">
        <v>773</v>
      </c>
      <c r="AV93" s="26"/>
      <c r="AW93" s="26" t="s">
        <v>773</v>
      </c>
      <c r="AX93" s="26"/>
      <c r="AY93" s="26" t="s">
        <v>389</v>
      </c>
      <c r="AZ93" s="26" t="s">
        <v>774</v>
      </c>
      <c r="BA93" s="26" t="s">
        <v>775</v>
      </c>
      <c r="BB93" s="26" t="s">
        <v>774</v>
      </c>
      <c r="BC93" s="26" t="s">
        <v>775</v>
      </c>
      <c r="BD93" s="26" t="s">
        <v>774</v>
      </c>
      <c r="BE93" s="26" t="s">
        <v>775</v>
      </c>
      <c r="BF93" s="26"/>
      <c r="BG93" s="26"/>
    </row>
    <row r="94" spans="1:59" ht="25.5" customHeight="1" x14ac:dyDescent="0.2">
      <c r="A94" s="56" t="s">
        <v>48</v>
      </c>
      <c r="B94" s="24">
        <v>27.827760681258098</v>
      </c>
      <c r="C94" s="24">
        <v>38.671403230956898</v>
      </c>
      <c r="D94" s="24">
        <v>43.082383027890899</v>
      </c>
      <c r="E94" s="24">
        <v>52.200043349740398</v>
      </c>
      <c r="F94" s="24">
        <v>56.399880393533302</v>
      </c>
      <c r="G94" s="24">
        <v>56.9</v>
      </c>
      <c r="H94" s="24">
        <v>60.8</v>
      </c>
      <c r="I94" s="24">
        <v>64.8</v>
      </c>
      <c r="J94" s="24">
        <v>66.7</v>
      </c>
      <c r="K94" s="24">
        <v>69.400000000000006</v>
      </c>
      <c r="L94" s="24">
        <v>72</v>
      </c>
      <c r="M94" s="24">
        <v>72.2</v>
      </c>
      <c r="N94" s="24">
        <v>72.900000000000006</v>
      </c>
      <c r="O94" s="24">
        <v>74.2</v>
      </c>
      <c r="P94" s="24">
        <v>79.866270430906397</v>
      </c>
      <c r="Q94" s="24">
        <v>84.948352963406194</v>
      </c>
      <c r="R94" s="24">
        <v>87.479414669999997</v>
      </c>
      <c r="S94" s="24">
        <v>89.41594465</v>
      </c>
      <c r="T94" s="24"/>
      <c r="U94" s="25">
        <v>10.595726418660099</v>
      </c>
      <c r="V94" s="26" t="s">
        <v>776</v>
      </c>
      <c r="W94" s="26" t="s">
        <v>777</v>
      </c>
      <c r="X94" s="26" t="s">
        <v>776</v>
      </c>
      <c r="Y94" s="26" t="s">
        <v>777</v>
      </c>
      <c r="Z94" s="26" t="s">
        <v>776</v>
      </c>
      <c r="AA94" s="26" t="s">
        <v>777</v>
      </c>
      <c r="AB94" s="26" t="s">
        <v>776</v>
      </c>
      <c r="AC94" s="26" t="s">
        <v>777</v>
      </c>
      <c r="AD94" s="26" t="s">
        <v>776</v>
      </c>
      <c r="AE94" s="26" t="s">
        <v>777</v>
      </c>
      <c r="AF94" s="26" t="s">
        <v>526</v>
      </c>
      <c r="AG94" s="26" t="s">
        <v>778</v>
      </c>
      <c r="AH94" s="26" t="s">
        <v>526</v>
      </c>
      <c r="AI94" s="26" t="s">
        <v>778</v>
      </c>
      <c r="AJ94" s="26" t="s">
        <v>526</v>
      </c>
      <c r="AK94" s="26" t="s">
        <v>778</v>
      </c>
      <c r="AL94" s="26" t="s">
        <v>526</v>
      </c>
      <c r="AM94" s="26" t="s">
        <v>778</v>
      </c>
      <c r="AN94" s="26" t="s">
        <v>526</v>
      </c>
      <c r="AO94" s="26" t="s">
        <v>778</v>
      </c>
      <c r="AP94" s="26" t="s">
        <v>526</v>
      </c>
      <c r="AQ94" s="26" t="s">
        <v>779</v>
      </c>
      <c r="AR94" s="26" t="s">
        <v>526</v>
      </c>
      <c r="AS94" s="26" t="s">
        <v>389</v>
      </c>
      <c r="AT94" s="26" t="s">
        <v>780</v>
      </c>
      <c r="AU94" s="26" t="s">
        <v>777</v>
      </c>
      <c r="AV94" s="26" t="s">
        <v>780</v>
      </c>
      <c r="AW94" s="26" t="s">
        <v>777</v>
      </c>
      <c r="AX94" s="26" t="s">
        <v>526</v>
      </c>
      <c r="AY94" s="26" t="s">
        <v>777</v>
      </c>
      <c r="AZ94" s="26" t="s">
        <v>526</v>
      </c>
      <c r="BA94" s="26" t="s">
        <v>777</v>
      </c>
      <c r="BB94" s="26" t="s">
        <v>781</v>
      </c>
      <c r="BC94" s="26" t="s">
        <v>777</v>
      </c>
      <c r="BD94" s="26" t="s">
        <v>782</v>
      </c>
      <c r="BE94" s="26" t="s">
        <v>777</v>
      </c>
      <c r="BF94" s="26"/>
      <c r="BG94" s="26"/>
    </row>
    <row r="95" spans="1:59" ht="25.5" customHeight="1" x14ac:dyDescent="0.15">
      <c r="A95" s="23" t="s">
        <v>67</v>
      </c>
      <c r="B95" s="24">
        <v>6.9996763506291604</v>
      </c>
      <c r="C95" s="24">
        <v>14.5285543028277</v>
      </c>
      <c r="D95" s="24">
        <v>16.670000000000002</v>
      </c>
      <c r="E95" s="24">
        <v>21.63</v>
      </c>
      <c r="F95" s="24">
        <v>27.74</v>
      </c>
      <c r="G95" s="24">
        <v>38.97</v>
      </c>
      <c r="H95" s="24">
        <v>47.06</v>
      </c>
      <c r="I95" s="24">
        <v>53.3</v>
      </c>
      <c r="J95" s="24">
        <v>61</v>
      </c>
      <c r="K95" s="24">
        <v>62</v>
      </c>
      <c r="L95" s="24">
        <v>65</v>
      </c>
      <c r="M95" s="24">
        <v>68.019987886129599</v>
      </c>
      <c r="N95" s="24">
        <v>70.579998153838005</v>
      </c>
      <c r="O95" s="24">
        <v>72.643900000000002</v>
      </c>
      <c r="P95" s="24">
        <v>75.653197454410304</v>
      </c>
      <c r="Q95" s="24">
        <v>72.834699999999998</v>
      </c>
      <c r="R95" s="24">
        <v>79.259412130000001</v>
      </c>
      <c r="S95" s="24">
        <v>76.750547119999993</v>
      </c>
      <c r="T95" s="24">
        <v>76.074360636506299</v>
      </c>
      <c r="U95" s="25">
        <v>10.595726418660099</v>
      </c>
      <c r="V95" s="26"/>
      <c r="W95" s="26" t="s">
        <v>783</v>
      </c>
      <c r="X95" s="26"/>
      <c r="Y95" s="26" t="s">
        <v>783</v>
      </c>
      <c r="Z95" s="26"/>
      <c r="AA95" s="26" t="s">
        <v>783</v>
      </c>
      <c r="AB95" s="26"/>
      <c r="AC95" s="26" t="s">
        <v>783</v>
      </c>
      <c r="AD95" s="26"/>
      <c r="AE95" s="26" t="s">
        <v>634</v>
      </c>
      <c r="AF95" s="26" t="s">
        <v>443</v>
      </c>
      <c r="AG95" s="26" t="s">
        <v>442</v>
      </c>
      <c r="AH95" s="26" t="s">
        <v>443</v>
      </c>
      <c r="AI95" s="26" t="s">
        <v>442</v>
      </c>
      <c r="AJ95" s="26" t="s">
        <v>443</v>
      </c>
      <c r="AK95" s="26" t="s">
        <v>442</v>
      </c>
      <c r="AL95" s="26" t="s">
        <v>443</v>
      </c>
      <c r="AM95" s="26" t="s">
        <v>784</v>
      </c>
      <c r="AN95" s="26" t="s">
        <v>443</v>
      </c>
      <c r="AO95" s="26" t="s">
        <v>442</v>
      </c>
      <c r="AP95" s="26" t="s">
        <v>443</v>
      </c>
      <c r="AQ95" s="26" t="s">
        <v>442</v>
      </c>
      <c r="AR95" s="26" t="s">
        <v>444</v>
      </c>
      <c r="AS95" s="26" t="s">
        <v>442</v>
      </c>
      <c r="AT95" s="26" t="s">
        <v>445</v>
      </c>
      <c r="AU95" s="26" t="s">
        <v>442</v>
      </c>
      <c r="AV95" s="26" t="s">
        <v>443</v>
      </c>
      <c r="AW95" s="26" t="s">
        <v>442</v>
      </c>
      <c r="AX95" s="26" t="s">
        <v>443</v>
      </c>
      <c r="AY95" s="26" t="s">
        <v>449</v>
      </c>
      <c r="AZ95" s="26" t="s">
        <v>443</v>
      </c>
      <c r="BA95" s="26" t="s">
        <v>442</v>
      </c>
      <c r="BB95" s="26" t="s">
        <v>785</v>
      </c>
      <c r="BC95" s="26" t="s">
        <v>786</v>
      </c>
      <c r="BD95" s="26" t="s">
        <v>785</v>
      </c>
      <c r="BE95" s="26" t="s">
        <v>787</v>
      </c>
      <c r="BF95" s="26"/>
      <c r="BG95" s="26" t="s">
        <v>787</v>
      </c>
    </row>
    <row r="96" spans="1:59" ht="25.5" customHeight="1" x14ac:dyDescent="0.15">
      <c r="A96" s="23" t="s">
        <v>90</v>
      </c>
      <c r="B96" s="24">
        <v>44.470533824287998</v>
      </c>
      <c r="C96" s="24">
        <v>49.392995367642598</v>
      </c>
      <c r="D96" s="24">
        <v>79.12</v>
      </c>
      <c r="E96" s="24">
        <v>83.14</v>
      </c>
      <c r="F96" s="24">
        <v>83.88</v>
      </c>
      <c r="G96" s="24">
        <v>87</v>
      </c>
      <c r="H96" s="24">
        <v>89.51</v>
      </c>
      <c r="I96" s="24">
        <v>90.6</v>
      </c>
      <c r="J96" s="24">
        <v>91</v>
      </c>
      <c r="K96" s="24">
        <v>93</v>
      </c>
      <c r="L96" s="24">
        <v>93.39</v>
      </c>
      <c r="M96" s="24">
        <v>94.8196868008949</v>
      </c>
      <c r="N96" s="24">
        <v>96.209799554565706</v>
      </c>
      <c r="O96" s="24">
        <v>96.546800000000005</v>
      </c>
      <c r="P96" s="24">
        <v>98.16</v>
      </c>
      <c r="Q96" s="24">
        <v>98.2</v>
      </c>
      <c r="R96" s="24">
        <v>98.240016299918494</v>
      </c>
      <c r="S96" s="24">
        <v>98.26</v>
      </c>
      <c r="T96" s="24">
        <v>99.010953991699097</v>
      </c>
      <c r="U96" s="25">
        <v>10.595726418660099</v>
      </c>
      <c r="V96" s="26"/>
      <c r="W96" s="26" t="s">
        <v>788</v>
      </c>
      <c r="X96" s="26"/>
      <c r="Y96" s="26" t="s">
        <v>788</v>
      </c>
      <c r="Z96" s="26" t="s">
        <v>789</v>
      </c>
      <c r="AA96" s="26" t="s">
        <v>634</v>
      </c>
      <c r="AB96" s="26" t="s">
        <v>443</v>
      </c>
      <c r="AC96" s="26" t="s">
        <v>442</v>
      </c>
      <c r="AD96" s="26" t="s">
        <v>443</v>
      </c>
      <c r="AE96" s="26" t="s">
        <v>442</v>
      </c>
      <c r="AF96" s="26" t="s">
        <v>443</v>
      </c>
      <c r="AG96" s="26" t="s">
        <v>442</v>
      </c>
      <c r="AH96" s="26" t="s">
        <v>443</v>
      </c>
      <c r="AI96" s="26" t="s">
        <v>442</v>
      </c>
      <c r="AJ96" s="26" t="s">
        <v>443</v>
      </c>
      <c r="AK96" s="26" t="s">
        <v>442</v>
      </c>
      <c r="AL96" s="26"/>
      <c r="AM96" s="26" t="s">
        <v>790</v>
      </c>
      <c r="AN96" s="26"/>
      <c r="AO96" s="26" t="s">
        <v>790</v>
      </c>
      <c r="AP96" s="26" t="s">
        <v>750</v>
      </c>
      <c r="AQ96" s="26" t="s">
        <v>790</v>
      </c>
      <c r="AR96" s="26" t="s">
        <v>444</v>
      </c>
      <c r="AS96" s="26" t="s">
        <v>442</v>
      </c>
      <c r="AT96" s="26" t="s">
        <v>445</v>
      </c>
      <c r="AU96" s="26" t="s">
        <v>442</v>
      </c>
      <c r="AV96" s="26" t="s">
        <v>443</v>
      </c>
      <c r="AW96" s="26" t="s">
        <v>442</v>
      </c>
      <c r="AX96" s="26" t="s">
        <v>443</v>
      </c>
      <c r="AY96" s="26" t="s">
        <v>449</v>
      </c>
      <c r="AZ96" s="26"/>
      <c r="BA96" s="26" t="s">
        <v>389</v>
      </c>
      <c r="BB96" s="26"/>
      <c r="BC96" s="26" t="s">
        <v>401</v>
      </c>
      <c r="BD96" s="26"/>
      <c r="BE96" s="26" t="s">
        <v>791</v>
      </c>
      <c r="BF96" s="26"/>
      <c r="BG96" s="26" t="s">
        <v>449</v>
      </c>
    </row>
    <row r="97" spans="1:59" ht="25.5" customHeight="1" x14ac:dyDescent="0.15">
      <c r="A97" s="23" t="s">
        <v>16</v>
      </c>
      <c r="B97" s="24">
        <v>0.52753244993094595</v>
      </c>
      <c r="C97" s="24">
        <v>0.66014637700992795</v>
      </c>
      <c r="D97" s="24">
        <v>1.5378755817508301</v>
      </c>
      <c r="E97" s="24">
        <v>1.6864899706362499</v>
      </c>
      <c r="F97" s="24">
        <v>1.9761364919055899</v>
      </c>
      <c r="G97" s="24">
        <v>2.3880749999577402</v>
      </c>
      <c r="H97" s="24">
        <v>2.80549986534254</v>
      </c>
      <c r="I97" s="24">
        <v>3.95</v>
      </c>
      <c r="J97" s="24">
        <v>4.38</v>
      </c>
      <c r="K97" s="24">
        <v>5.12</v>
      </c>
      <c r="L97" s="24">
        <v>7.5</v>
      </c>
      <c r="M97" s="24">
        <v>10.07</v>
      </c>
      <c r="N97" s="24">
        <v>12.580060913895499</v>
      </c>
      <c r="O97" s="24">
        <v>15.1</v>
      </c>
      <c r="P97" s="24">
        <v>21</v>
      </c>
      <c r="Q97" s="24">
        <v>17</v>
      </c>
      <c r="R97" s="24">
        <v>22</v>
      </c>
      <c r="S97" s="24">
        <v>34.450000000000003</v>
      </c>
      <c r="T97" s="24"/>
      <c r="U97" s="25">
        <v>10.595726418660099</v>
      </c>
      <c r="V97" s="26"/>
      <c r="W97" s="26" t="s">
        <v>792</v>
      </c>
      <c r="X97" s="26"/>
      <c r="Y97" s="26" t="s">
        <v>792</v>
      </c>
      <c r="Z97" s="26"/>
      <c r="AA97" s="26" t="s">
        <v>792</v>
      </c>
      <c r="AB97" s="26" t="s">
        <v>793</v>
      </c>
      <c r="AC97" s="26" t="s">
        <v>792</v>
      </c>
      <c r="AD97" s="26"/>
      <c r="AE97" s="26" t="s">
        <v>393</v>
      </c>
      <c r="AF97" s="26"/>
      <c r="AG97" s="26" t="s">
        <v>393</v>
      </c>
      <c r="AH97" s="26" t="s">
        <v>794</v>
      </c>
      <c r="AI97" s="26" t="s">
        <v>795</v>
      </c>
      <c r="AJ97" s="26" t="s">
        <v>794</v>
      </c>
      <c r="AK97" s="26" t="s">
        <v>796</v>
      </c>
      <c r="AL97" s="26"/>
      <c r="AM97" s="26" t="s">
        <v>796</v>
      </c>
      <c r="AN97" s="26"/>
      <c r="AO97" s="26" t="s">
        <v>796</v>
      </c>
      <c r="AP97" s="26"/>
      <c r="AQ97" s="26" t="s">
        <v>389</v>
      </c>
      <c r="AR97" s="26" t="s">
        <v>797</v>
      </c>
      <c r="AS97" s="26" t="s">
        <v>798</v>
      </c>
      <c r="AT97" s="26"/>
      <c r="AU97" s="26" t="s">
        <v>389</v>
      </c>
      <c r="AV97" s="26"/>
      <c r="AW97" s="26" t="s">
        <v>389</v>
      </c>
      <c r="AX97" s="26"/>
      <c r="AY97" s="26" t="s">
        <v>389</v>
      </c>
      <c r="AZ97" s="26" t="s">
        <v>394</v>
      </c>
      <c r="BA97" s="26" t="s">
        <v>565</v>
      </c>
      <c r="BB97" s="26" t="s">
        <v>394</v>
      </c>
      <c r="BC97" s="26" t="s">
        <v>565</v>
      </c>
      <c r="BD97" s="26"/>
      <c r="BE97" s="26" t="s">
        <v>390</v>
      </c>
      <c r="BF97" s="26"/>
      <c r="BG97" s="26"/>
    </row>
    <row r="98" spans="1:59" ht="25.5" customHeight="1" x14ac:dyDescent="0.15">
      <c r="A98" s="23" t="s">
        <v>151</v>
      </c>
      <c r="B98" s="24">
        <v>0.92556386446685801</v>
      </c>
      <c r="C98" s="24">
        <v>2.0186138594845899</v>
      </c>
      <c r="D98" s="24">
        <v>2.1341357329580801</v>
      </c>
      <c r="E98" s="24">
        <v>2.3870197795947599</v>
      </c>
      <c r="F98" s="24">
        <v>2.6002858763341399</v>
      </c>
      <c r="G98" s="24">
        <v>3.6020247625964599</v>
      </c>
      <c r="H98" s="24">
        <v>4.7648131336665696</v>
      </c>
      <c r="I98" s="24">
        <v>5.7862747293419901</v>
      </c>
      <c r="J98" s="24">
        <v>7.9174793849290301</v>
      </c>
      <c r="K98" s="24">
        <v>6.92</v>
      </c>
      <c r="L98" s="24">
        <v>10.92</v>
      </c>
      <c r="M98" s="24">
        <v>12.28</v>
      </c>
      <c r="N98" s="24">
        <v>14.52</v>
      </c>
      <c r="O98" s="24">
        <v>14.94</v>
      </c>
      <c r="P98" s="24">
        <v>17.14</v>
      </c>
      <c r="Q98" s="24">
        <v>21.9760677113476</v>
      </c>
      <c r="R98" s="24">
        <v>25.447353700000001</v>
      </c>
      <c r="S98" s="24">
        <v>32.292441895879897</v>
      </c>
      <c r="T98" s="24">
        <v>39.7874830543211</v>
      </c>
      <c r="U98" s="25">
        <v>10.595726418660099</v>
      </c>
      <c r="V98" s="26"/>
      <c r="W98" s="26" t="s">
        <v>799</v>
      </c>
      <c r="X98" s="26"/>
      <c r="Y98" s="26" t="s">
        <v>799</v>
      </c>
      <c r="Z98" s="26"/>
      <c r="AA98" s="26" t="s">
        <v>799</v>
      </c>
      <c r="AB98" s="26"/>
      <c r="AC98" s="26" t="s">
        <v>799</v>
      </c>
      <c r="AD98" s="26"/>
      <c r="AE98" s="26" t="s">
        <v>799</v>
      </c>
      <c r="AF98" s="26"/>
      <c r="AG98" s="26" t="s">
        <v>799</v>
      </c>
      <c r="AH98" s="26"/>
      <c r="AI98" s="26" t="s">
        <v>799</v>
      </c>
      <c r="AJ98" s="26"/>
      <c r="AK98" s="26" t="s">
        <v>799</v>
      </c>
      <c r="AL98" s="26"/>
      <c r="AM98" s="26" t="s">
        <v>389</v>
      </c>
      <c r="AN98" s="26"/>
      <c r="AO98" s="26" t="s">
        <v>800</v>
      </c>
      <c r="AP98" s="26" t="s">
        <v>801</v>
      </c>
      <c r="AQ98" s="26" t="s">
        <v>800</v>
      </c>
      <c r="AR98" s="26" t="s">
        <v>802</v>
      </c>
      <c r="AS98" s="26" t="s">
        <v>803</v>
      </c>
      <c r="AT98" s="26" t="s">
        <v>804</v>
      </c>
      <c r="AU98" s="26" t="s">
        <v>805</v>
      </c>
      <c r="AV98" s="26" t="s">
        <v>485</v>
      </c>
      <c r="AW98" s="26" t="s">
        <v>805</v>
      </c>
      <c r="AX98" s="26" t="s">
        <v>485</v>
      </c>
      <c r="AY98" s="26" t="s">
        <v>805</v>
      </c>
      <c r="AZ98" s="26" t="s">
        <v>485</v>
      </c>
      <c r="BA98" s="26" t="s">
        <v>805</v>
      </c>
      <c r="BB98" s="26"/>
      <c r="BC98" s="26" t="s">
        <v>805</v>
      </c>
      <c r="BD98" s="26"/>
      <c r="BE98" s="26" t="s">
        <v>805</v>
      </c>
      <c r="BF98" s="26"/>
      <c r="BG98" s="26" t="s">
        <v>805</v>
      </c>
    </row>
    <row r="99" spans="1:59" ht="25.5" customHeight="1" x14ac:dyDescent="0.2">
      <c r="A99" s="56" t="s">
        <v>153</v>
      </c>
      <c r="B99" s="24">
        <v>0.93419001995982898</v>
      </c>
      <c r="C99" s="24">
        <v>1.4842213316336299</v>
      </c>
      <c r="D99" s="24">
        <v>4.6261751149220496</v>
      </c>
      <c r="E99" s="24">
        <v>6.9337219530405303</v>
      </c>
      <c r="F99" s="24">
        <v>7.49</v>
      </c>
      <c r="G99" s="24">
        <v>8.1</v>
      </c>
      <c r="H99" s="24">
        <v>8.76</v>
      </c>
      <c r="I99" s="24">
        <v>9.4700000000000006</v>
      </c>
      <c r="J99" s="24">
        <v>12.02</v>
      </c>
      <c r="K99" s="24">
        <v>13.8</v>
      </c>
      <c r="L99" s="24">
        <v>15.9</v>
      </c>
      <c r="M99" s="24">
        <v>19</v>
      </c>
      <c r="N99" s="24">
        <v>22.73</v>
      </c>
      <c r="O99" s="24">
        <v>29.95</v>
      </c>
      <c r="P99" s="24">
        <v>39.35</v>
      </c>
      <c r="Q99" s="24">
        <v>45.334975884698601</v>
      </c>
      <c r="R99" s="24">
        <v>53.226771669999998</v>
      </c>
      <c r="S99" s="24">
        <v>64.043973620000003</v>
      </c>
      <c r="T99" s="24">
        <v>70.004552218067104</v>
      </c>
      <c r="U99" s="25">
        <v>10.595726418660099</v>
      </c>
      <c r="V99" s="26"/>
      <c r="W99" s="26" t="s">
        <v>806</v>
      </c>
      <c r="X99" s="26"/>
      <c r="Y99" s="26" t="s">
        <v>806</v>
      </c>
      <c r="Z99" s="26"/>
      <c r="AA99" s="26" t="s">
        <v>806</v>
      </c>
      <c r="AB99" s="26"/>
      <c r="AC99" s="26" t="s">
        <v>807</v>
      </c>
      <c r="AD99" s="26"/>
      <c r="AE99" s="26" t="s">
        <v>389</v>
      </c>
      <c r="AF99" s="26"/>
      <c r="AG99" s="26" t="s">
        <v>389</v>
      </c>
      <c r="AH99" s="26"/>
      <c r="AI99" s="26" t="s">
        <v>389</v>
      </c>
      <c r="AJ99" s="26"/>
      <c r="AK99" s="26" t="s">
        <v>389</v>
      </c>
      <c r="AL99" s="26" t="s">
        <v>475</v>
      </c>
      <c r="AM99" s="26" t="s">
        <v>808</v>
      </c>
      <c r="AN99" s="26"/>
      <c r="AO99" s="26" t="s">
        <v>389</v>
      </c>
      <c r="AP99" s="26" t="s">
        <v>475</v>
      </c>
      <c r="AQ99" s="26" t="s">
        <v>809</v>
      </c>
      <c r="AR99" s="26"/>
      <c r="AS99" s="26" t="s">
        <v>389</v>
      </c>
      <c r="AT99" s="26" t="s">
        <v>475</v>
      </c>
      <c r="AU99" s="26" t="s">
        <v>808</v>
      </c>
      <c r="AV99" s="26" t="s">
        <v>475</v>
      </c>
      <c r="AW99" s="26" t="s">
        <v>808</v>
      </c>
      <c r="AX99" s="26" t="s">
        <v>646</v>
      </c>
      <c r="AY99" s="26" t="s">
        <v>808</v>
      </c>
      <c r="AZ99" s="26" t="s">
        <v>646</v>
      </c>
      <c r="BA99" s="26" t="s">
        <v>808</v>
      </c>
      <c r="BB99" s="26" t="s">
        <v>810</v>
      </c>
      <c r="BC99" s="26" t="s">
        <v>808</v>
      </c>
      <c r="BD99" s="26" t="s">
        <v>811</v>
      </c>
      <c r="BE99" s="26" t="s">
        <v>808</v>
      </c>
      <c r="BF99" s="26"/>
      <c r="BG99" s="26" t="s">
        <v>808</v>
      </c>
    </row>
    <row r="100" spans="1:59" ht="25.5" customHeight="1" x14ac:dyDescent="0.15">
      <c r="A100" s="23" t="s">
        <v>205</v>
      </c>
      <c r="B100" s="24"/>
      <c r="C100" s="24">
        <v>0.1</v>
      </c>
      <c r="D100" s="24">
        <v>0.5</v>
      </c>
      <c r="E100" s="24">
        <v>0.6</v>
      </c>
      <c r="F100" s="24">
        <v>0.9</v>
      </c>
      <c r="G100" s="24">
        <v>0.9</v>
      </c>
      <c r="H100" s="24">
        <v>0.95234424383919003</v>
      </c>
      <c r="I100" s="24">
        <v>0.93</v>
      </c>
      <c r="J100" s="24">
        <v>1</v>
      </c>
      <c r="K100" s="24">
        <v>1.06</v>
      </c>
      <c r="L100" s="24">
        <v>2.5</v>
      </c>
      <c r="M100" s="24">
        <v>5</v>
      </c>
      <c r="N100" s="24">
        <v>7.1</v>
      </c>
      <c r="O100" s="24">
        <v>9.1999999999999993</v>
      </c>
      <c r="P100" s="24">
        <v>13.21</v>
      </c>
      <c r="Q100" s="24">
        <v>58</v>
      </c>
      <c r="R100" s="24">
        <v>21.23</v>
      </c>
      <c r="S100" s="24">
        <v>49.35999889</v>
      </c>
      <c r="T100" s="24"/>
      <c r="U100" s="25">
        <v>10.595726418660099</v>
      </c>
      <c r="V100" s="26"/>
      <c r="W100" s="26"/>
      <c r="X100" s="26"/>
      <c r="Y100" s="26" t="s">
        <v>389</v>
      </c>
      <c r="Z100" s="26"/>
      <c r="AA100" s="26" t="s">
        <v>389</v>
      </c>
      <c r="AB100" s="26"/>
      <c r="AC100" s="26" t="s">
        <v>389</v>
      </c>
      <c r="AD100" s="26"/>
      <c r="AE100" s="26" t="s">
        <v>389</v>
      </c>
      <c r="AF100" s="26"/>
      <c r="AG100" s="26" t="s">
        <v>389</v>
      </c>
      <c r="AH100" s="26"/>
      <c r="AI100" s="26" t="s">
        <v>812</v>
      </c>
      <c r="AJ100" s="26"/>
      <c r="AK100" s="26" t="s">
        <v>812</v>
      </c>
      <c r="AL100" s="26"/>
      <c r="AM100" s="26" t="s">
        <v>812</v>
      </c>
      <c r="AN100" s="26"/>
      <c r="AO100" s="26" t="s">
        <v>812</v>
      </c>
      <c r="AP100" s="26"/>
      <c r="AQ100" s="26" t="s">
        <v>812</v>
      </c>
      <c r="AR100" s="26"/>
      <c r="AS100" s="26" t="s">
        <v>389</v>
      </c>
      <c r="AT100" s="26"/>
      <c r="AU100" s="26" t="s">
        <v>389</v>
      </c>
      <c r="AV100" s="26"/>
      <c r="AW100" s="26" t="s">
        <v>389</v>
      </c>
      <c r="AX100" s="26"/>
      <c r="AY100" s="26" t="s">
        <v>813</v>
      </c>
      <c r="AZ100" s="26" t="s">
        <v>814</v>
      </c>
      <c r="BA100" s="26" t="s">
        <v>815</v>
      </c>
      <c r="BB100" s="26"/>
      <c r="BC100" s="26" t="s">
        <v>401</v>
      </c>
      <c r="BD100" s="26"/>
      <c r="BE100" s="26" t="s">
        <v>816</v>
      </c>
      <c r="BF100" s="26"/>
      <c r="BG100" s="26"/>
    </row>
    <row r="101" spans="1:59" ht="25.5" customHeight="1" x14ac:dyDescent="0.15">
      <c r="A101" s="23" t="s">
        <v>71</v>
      </c>
      <c r="B101" s="24">
        <v>17.850467240580699</v>
      </c>
      <c r="C101" s="24">
        <v>23.1388121904053</v>
      </c>
      <c r="D101" s="24">
        <v>25.85</v>
      </c>
      <c r="E101" s="24">
        <v>34.31</v>
      </c>
      <c r="F101" s="24">
        <v>36.99</v>
      </c>
      <c r="G101" s="24">
        <v>41.61</v>
      </c>
      <c r="H101" s="24">
        <v>54.82</v>
      </c>
      <c r="I101" s="24">
        <v>61.158324551</v>
      </c>
      <c r="J101" s="24">
        <v>65.34</v>
      </c>
      <c r="K101" s="24">
        <v>67.38</v>
      </c>
      <c r="L101" s="24">
        <v>69.849999999999994</v>
      </c>
      <c r="M101" s="24">
        <v>74.889972967094394</v>
      </c>
      <c r="N101" s="24">
        <v>76.919992540096999</v>
      </c>
      <c r="O101" s="24">
        <v>78.247699999999995</v>
      </c>
      <c r="P101" s="24">
        <v>83.491722335172796</v>
      </c>
      <c r="Q101" s="24">
        <v>83.4947916666667</v>
      </c>
      <c r="R101" s="24">
        <v>85.011132119999999</v>
      </c>
      <c r="S101" s="24">
        <v>84.114007062384403</v>
      </c>
      <c r="T101" s="24">
        <v>84.522302056861193</v>
      </c>
      <c r="U101" s="25">
        <v>10.595726418660099</v>
      </c>
      <c r="V101" s="26" t="s">
        <v>431</v>
      </c>
      <c r="W101" s="26" t="s">
        <v>817</v>
      </c>
      <c r="X101" s="26" t="s">
        <v>431</v>
      </c>
      <c r="Y101" s="26" t="s">
        <v>817</v>
      </c>
      <c r="Z101" s="26" t="s">
        <v>818</v>
      </c>
      <c r="AA101" s="26" t="s">
        <v>817</v>
      </c>
      <c r="AB101" s="26" t="s">
        <v>443</v>
      </c>
      <c r="AC101" s="26" t="s">
        <v>442</v>
      </c>
      <c r="AD101" s="26" t="s">
        <v>443</v>
      </c>
      <c r="AE101" s="26" t="s">
        <v>442</v>
      </c>
      <c r="AF101" s="26" t="s">
        <v>443</v>
      </c>
      <c r="AG101" s="26" t="s">
        <v>442</v>
      </c>
      <c r="AH101" s="26" t="s">
        <v>443</v>
      </c>
      <c r="AI101" s="26" t="s">
        <v>442</v>
      </c>
      <c r="AJ101" s="26" t="s">
        <v>443</v>
      </c>
      <c r="AK101" s="26" t="s">
        <v>442</v>
      </c>
      <c r="AL101" s="26" t="s">
        <v>443</v>
      </c>
      <c r="AM101" s="26" t="s">
        <v>442</v>
      </c>
      <c r="AN101" s="26" t="s">
        <v>538</v>
      </c>
      <c r="AO101" s="26" t="s">
        <v>442</v>
      </c>
      <c r="AP101" s="26" t="s">
        <v>538</v>
      </c>
      <c r="AQ101" s="26" t="s">
        <v>442</v>
      </c>
      <c r="AR101" s="26" t="s">
        <v>444</v>
      </c>
      <c r="AS101" s="26" t="s">
        <v>442</v>
      </c>
      <c r="AT101" s="26" t="s">
        <v>445</v>
      </c>
      <c r="AU101" s="26" t="s">
        <v>442</v>
      </c>
      <c r="AV101" s="26" t="s">
        <v>443</v>
      </c>
      <c r="AW101" s="26" t="s">
        <v>442</v>
      </c>
      <c r="AX101" s="26" t="s">
        <v>819</v>
      </c>
      <c r="AY101" s="26" t="s">
        <v>449</v>
      </c>
      <c r="AZ101" s="26" t="s">
        <v>819</v>
      </c>
      <c r="BA101" s="26" t="s">
        <v>442</v>
      </c>
      <c r="BB101" s="26" t="s">
        <v>820</v>
      </c>
      <c r="BC101" s="26" t="s">
        <v>821</v>
      </c>
      <c r="BD101" s="26" t="s">
        <v>820</v>
      </c>
      <c r="BE101" s="26" t="s">
        <v>821</v>
      </c>
      <c r="BF101" s="26"/>
      <c r="BG101" s="26" t="s">
        <v>821</v>
      </c>
    </row>
    <row r="102" spans="1:59" ht="25.5" customHeight="1" x14ac:dyDescent="0.15">
      <c r="A102" s="23" t="s">
        <v>42</v>
      </c>
      <c r="B102" s="24">
        <v>20.8737899981674</v>
      </c>
      <c r="C102" s="24">
        <v>17.378623863904899</v>
      </c>
      <c r="D102" s="24">
        <v>17.7645990630493</v>
      </c>
      <c r="E102" s="24">
        <v>19.593393657964899</v>
      </c>
      <c r="F102" s="24">
        <v>22.770485525403501</v>
      </c>
      <c r="G102" s="24">
        <v>25.194042421682902</v>
      </c>
      <c r="H102" s="24">
        <v>27.881074457734599</v>
      </c>
      <c r="I102" s="24">
        <v>48.128062194844503</v>
      </c>
      <c r="J102" s="24">
        <v>59.39</v>
      </c>
      <c r="K102" s="24">
        <v>63.12</v>
      </c>
      <c r="L102" s="24">
        <v>67.5</v>
      </c>
      <c r="M102" s="24">
        <v>68.873877990744106</v>
      </c>
      <c r="N102" s="24">
        <v>70.8</v>
      </c>
      <c r="O102" s="24">
        <v>70.250311945000007</v>
      </c>
      <c r="P102" s="24">
        <v>75.017753162807594</v>
      </c>
      <c r="Q102" s="24">
        <v>77.352089657225306</v>
      </c>
      <c r="R102" s="24">
        <v>79.653124180000006</v>
      </c>
      <c r="S102" s="24">
        <v>81.581183589999995</v>
      </c>
      <c r="T102" s="24"/>
      <c r="U102" s="25">
        <v>10.595726418660099</v>
      </c>
      <c r="V102" s="26"/>
      <c r="W102" s="26"/>
      <c r="X102" s="26"/>
      <c r="Y102" s="26"/>
      <c r="Z102" s="26"/>
      <c r="AA102" s="26"/>
      <c r="AB102" s="26"/>
      <c r="AC102" s="26"/>
      <c r="AD102" s="26"/>
      <c r="AE102" s="26"/>
      <c r="AF102" s="26"/>
      <c r="AG102" s="26"/>
      <c r="AH102" s="26"/>
      <c r="AI102" s="26"/>
      <c r="AJ102" s="26" t="s">
        <v>822</v>
      </c>
      <c r="AK102" s="26" t="s">
        <v>823</v>
      </c>
      <c r="AL102" s="26" t="s">
        <v>822</v>
      </c>
      <c r="AM102" s="26" t="s">
        <v>823</v>
      </c>
      <c r="AN102" s="26" t="s">
        <v>822</v>
      </c>
      <c r="AO102" s="26" t="s">
        <v>823</v>
      </c>
      <c r="AP102" s="26" t="s">
        <v>822</v>
      </c>
      <c r="AQ102" s="26" t="s">
        <v>824</v>
      </c>
      <c r="AR102" s="26" t="s">
        <v>825</v>
      </c>
      <c r="AS102" s="26" t="s">
        <v>824</v>
      </c>
      <c r="AT102" s="26" t="s">
        <v>825</v>
      </c>
      <c r="AU102" s="26" t="s">
        <v>824</v>
      </c>
      <c r="AV102" s="26" t="s">
        <v>826</v>
      </c>
      <c r="AW102" s="26" t="s">
        <v>827</v>
      </c>
      <c r="AX102" s="26" t="s">
        <v>822</v>
      </c>
      <c r="AY102" s="26" t="s">
        <v>827</v>
      </c>
      <c r="AZ102" s="26" t="s">
        <v>822</v>
      </c>
      <c r="BA102" s="26" t="s">
        <v>828</v>
      </c>
      <c r="BB102" s="26" t="s">
        <v>829</v>
      </c>
      <c r="BC102" s="26" t="s">
        <v>824</v>
      </c>
      <c r="BD102" s="26"/>
      <c r="BE102" s="26" t="s">
        <v>824</v>
      </c>
      <c r="BF102" s="26"/>
      <c r="BG102" s="26"/>
    </row>
    <row r="103" spans="1:59" ht="25.5" customHeight="1" x14ac:dyDescent="0.15">
      <c r="A103" s="23" t="s">
        <v>161</v>
      </c>
      <c r="B103" s="24">
        <v>23.110874244103702</v>
      </c>
      <c r="C103" s="24">
        <v>27.2221169788811</v>
      </c>
      <c r="D103" s="24">
        <v>28.04</v>
      </c>
      <c r="E103" s="24">
        <v>29.04</v>
      </c>
      <c r="F103" s="24">
        <v>33.24</v>
      </c>
      <c r="G103" s="24">
        <v>35</v>
      </c>
      <c r="H103" s="24">
        <v>37.99</v>
      </c>
      <c r="I103" s="24">
        <v>40.79</v>
      </c>
      <c r="J103" s="24">
        <v>44.53</v>
      </c>
      <c r="K103" s="24">
        <v>48.83</v>
      </c>
      <c r="L103" s="24">
        <v>53.68</v>
      </c>
      <c r="M103" s="24">
        <v>54.389998301881398</v>
      </c>
      <c r="N103" s="24">
        <v>55.829997993283001</v>
      </c>
      <c r="O103" s="24">
        <v>58.459299999999999</v>
      </c>
      <c r="P103" s="24">
        <v>55.638460224229298</v>
      </c>
      <c r="Q103" s="24">
        <v>58.1417349568747</v>
      </c>
      <c r="R103" s="24">
        <v>61.324252770000001</v>
      </c>
      <c r="S103" s="24">
        <v>63.077347000000003</v>
      </c>
      <c r="T103" s="24">
        <v>74.3871829234822</v>
      </c>
      <c r="U103" s="25">
        <v>10.595726418660099</v>
      </c>
      <c r="V103" s="26"/>
      <c r="W103" s="26" t="s">
        <v>830</v>
      </c>
      <c r="X103" s="26"/>
      <c r="Y103" s="26" t="s">
        <v>830</v>
      </c>
      <c r="Z103" s="26" t="s">
        <v>750</v>
      </c>
      <c r="AA103" s="26" t="s">
        <v>442</v>
      </c>
      <c r="AB103" s="26" t="s">
        <v>443</v>
      </c>
      <c r="AC103" s="26" t="s">
        <v>442</v>
      </c>
      <c r="AD103" s="26" t="s">
        <v>443</v>
      </c>
      <c r="AE103" s="26" t="s">
        <v>442</v>
      </c>
      <c r="AF103" s="26" t="s">
        <v>443</v>
      </c>
      <c r="AG103" s="26" t="s">
        <v>442</v>
      </c>
      <c r="AH103" s="26" t="s">
        <v>443</v>
      </c>
      <c r="AI103" s="26" t="s">
        <v>442</v>
      </c>
      <c r="AJ103" s="26" t="s">
        <v>443</v>
      </c>
      <c r="AK103" s="26" t="s">
        <v>442</v>
      </c>
      <c r="AL103" s="26" t="s">
        <v>443</v>
      </c>
      <c r="AM103" s="26" t="s">
        <v>442</v>
      </c>
      <c r="AN103" s="26" t="s">
        <v>443</v>
      </c>
      <c r="AO103" s="26" t="s">
        <v>442</v>
      </c>
      <c r="AP103" s="26" t="s">
        <v>538</v>
      </c>
      <c r="AQ103" s="26" t="s">
        <v>442</v>
      </c>
      <c r="AR103" s="26" t="s">
        <v>444</v>
      </c>
      <c r="AS103" s="26" t="s">
        <v>442</v>
      </c>
      <c r="AT103" s="26" t="s">
        <v>445</v>
      </c>
      <c r="AU103" s="26" t="s">
        <v>442</v>
      </c>
      <c r="AV103" s="26" t="s">
        <v>443</v>
      </c>
      <c r="AW103" s="26" t="s">
        <v>442</v>
      </c>
      <c r="AX103" s="26" t="s">
        <v>831</v>
      </c>
      <c r="AY103" s="26" t="s">
        <v>832</v>
      </c>
      <c r="AZ103" s="26" t="s">
        <v>475</v>
      </c>
      <c r="BA103" s="26" t="s">
        <v>832</v>
      </c>
      <c r="BB103" s="26"/>
      <c r="BC103" s="26" t="s">
        <v>833</v>
      </c>
      <c r="BD103" s="26"/>
      <c r="BE103" s="26" t="s">
        <v>833</v>
      </c>
      <c r="BF103" s="26"/>
      <c r="BG103" s="26" t="s">
        <v>449</v>
      </c>
    </row>
    <row r="104" spans="1:59" ht="25.5" customHeight="1" x14ac:dyDescent="0.15">
      <c r="A104" s="23" t="s">
        <v>176</v>
      </c>
      <c r="B104" s="24">
        <v>3.1157780272996698</v>
      </c>
      <c r="C104" s="24">
        <v>3.8630203874764</v>
      </c>
      <c r="D104" s="24">
        <v>6.1</v>
      </c>
      <c r="E104" s="24">
        <v>7.8</v>
      </c>
      <c r="F104" s="24">
        <v>10</v>
      </c>
      <c r="G104" s="24">
        <v>12.8</v>
      </c>
      <c r="H104" s="24">
        <v>16.399999999999999</v>
      </c>
      <c r="I104" s="24">
        <v>21.1</v>
      </c>
      <c r="J104" s="24">
        <v>23.6</v>
      </c>
      <c r="K104" s="24">
        <v>24.3</v>
      </c>
      <c r="L104" s="24">
        <v>27.67</v>
      </c>
      <c r="M104" s="24">
        <v>37.438613414848</v>
      </c>
      <c r="N104" s="24">
        <v>33.79</v>
      </c>
      <c r="O104" s="24">
        <v>37.1</v>
      </c>
      <c r="P104" s="24">
        <v>40.402735104667201</v>
      </c>
      <c r="Q104" s="24">
        <v>42.221221190744103</v>
      </c>
      <c r="R104" s="24">
        <v>44.366856370000001</v>
      </c>
      <c r="S104" s="24">
        <v>55.072067050775097</v>
      </c>
      <c r="T104" s="24"/>
      <c r="U104" s="25">
        <v>10.595726418660099</v>
      </c>
      <c r="V104" s="26"/>
      <c r="W104" s="26" t="s">
        <v>834</v>
      </c>
      <c r="X104" s="26"/>
      <c r="Y104" s="26" t="s">
        <v>834</v>
      </c>
      <c r="Z104" s="26"/>
      <c r="AA104" s="26" t="s">
        <v>389</v>
      </c>
      <c r="AB104" s="26"/>
      <c r="AC104" s="26" t="s">
        <v>389</v>
      </c>
      <c r="AD104" s="26"/>
      <c r="AE104" s="26" t="s">
        <v>389</v>
      </c>
      <c r="AF104" s="26"/>
      <c r="AG104" s="26" t="s">
        <v>389</v>
      </c>
      <c r="AH104" s="26"/>
      <c r="AI104" s="26" t="s">
        <v>389</v>
      </c>
      <c r="AJ104" s="26"/>
      <c r="AK104" s="26" t="s">
        <v>389</v>
      </c>
      <c r="AL104" s="26"/>
      <c r="AM104" s="26" t="s">
        <v>835</v>
      </c>
      <c r="AN104" s="26"/>
      <c r="AO104" s="26" t="s">
        <v>835</v>
      </c>
      <c r="AP104" s="26" t="s">
        <v>836</v>
      </c>
      <c r="AQ104" s="26" t="s">
        <v>837</v>
      </c>
      <c r="AR104" s="26" t="s">
        <v>838</v>
      </c>
      <c r="AS104" s="26" t="s">
        <v>837</v>
      </c>
      <c r="AT104" s="26" t="s">
        <v>836</v>
      </c>
      <c r="AU104" s="26" t="s">
        <v>837</v>
      </c>
      <c r="AV104" s="26" t="s">
        <v>836</v>
      </c>
      <c r="AW104" s="26" t="s">
        <v>837</v>
      </c>
      <c r="AX104" s="26" t="s">
        <v>836</v>
      </c>
      <c r="AY104" s="26" t="s">
        <v>837</v>
      </c>
      <c r="AZ104" s="26" t="s">
        <v>646</v>
      </c>
      <c r="BA104" s="26" t="s">
        <v>839</v>
      </c>
      <c r="BB104" s="26"/>
      <c r="BC104" s="26" t="s">
        <v>837</v>
      </c>
      <c r="BD104" s="26"/>
      <c r="BE104" s="26" t="s">
        <v>837</v>
      </c>
      <c r="BF104" s="26"/>
      <c r="BG104" s="26"/>
    </row>
    <row r="105" spans="1:59" ht="25.5" customHeight="1" x14ac:dyDescent="0.15">
      <c r="A105" s="23" t="s">
        <v>94</v>
      </c>
      <c r="B105" s="24">
        <v>29.990740358914199</v>
      </c>
      <c r="C105" s="24">
        <v>38.532060861271901</v>
      </c>
      <c r="D105" s="24">
        <v>46.594201117991702</v>
      </c>
      <c r="E105" s="24">
        <v>48.435265889965301</v>
      </c>
      <c r="F105" s="24">
        <v>62.3939296327259</v>
      </c>
      <c r="G105" s="24">
        <v>66.921066104290105</v>
      </c>
      <c r="H105" s="24">
        <v>68.685270321379505</v>
      </c>
      <c r="I105" s="24">
        <v>74.3</v>
      </c>
      <c r="J105" s="24">
        <v>75.400000000000006</v>
      </c>
      <c r="K105" s="24">
        <v>78</v>
      </c>
      <c r="L105" s="24">
        <v>78.209999999999994</v>
      </c>
      <c r="M105" s="24">
        <v>79.054113524473905</v>
      </c>
      <c r="N105" s="24">
        <v>79.496399999999994</v>
      </c>
      <c r="O105" s="24">
        <v>88.219428910999994</v>
      </c>
      <c r="P105" s="24">
        <v>89.106833016607496</v>
      </c>
      <c r="Q105" s="24">
        <v>91.058028392996206</v>
      </c>
      <c r="R105" s="24">
        <v>93.182721279999996</v>
      </c>
      <c r="S105" s="24">
        <v>84.588065830000005</v>
      </c>
      <c r="T105" s="24"/>
      <c r="U105" s="25">
        <v>10.595726418660099</v>
      </c>
      <c r="V105" s="26" t="s">
        <v>840</v>
      </c>
      <c r="W105" s="26" t="s">
        <v>841</v>
      </c>
      <c r="X105" s="26" t="s">
        <v>840</v>
      </c>
      <c r="Y105" s="26" t="s">
        <v>841</v>
      </c>
      <c r="Z105" s="26" t="s">
        <v>840</v>
      </c>
      <c r="AA105" s="26" t="s">
        <v>841</v>
      </c>
      <c r="AB105" s="26" t="s">
        <v>840</v>
      </c>
      <c r="AC105" s="26" t="s">
        <v>841</v>
      </c>
      <c r="AD105" s="26" t="s">
        <v>842</v>
      </c>
      <c r="AE105" s="26" t="s">
        <v>843</v>
      </c>
      <c r="AF105" s="26" t="s">
        <v>475</v>
      </c>
      <c r="AG105" s="26" t="s">
        <v>844</v>
      </c>
      <c r="AH105" s="26" t="s">
        <v>475</v>
      </c>
      <c r="AI105" s="26" t="s">
        <v>844</v>
      </c>
      <c r="AJ105" s="26" t="s">
        <v>475</v>
      </c>
      <c r="AK105" s="26" t="s">
        <v>845</v>
      </c>
      <c r="AL105" s="26" t="s">
        <v>475</v>
      </c>
      <c r="AM105" s="26" t="s">
        <v>844</v>
      </c>
      <c r="AN105" s="26" t="s">
        <v>475</v>
      </c>
      <c r="AO105" s="26" t="s">
        <v>844</v>
      </c>
      <c r="AP105" s="26" t="s">
        <v>475</v>
      </c>
      <c r="AQ105" s="26" t="s">
        <v>846</v>
      </c>
      <c r="AR105" s="26" t="s">
        <v>475</v>
      </c>
      <c r="AS105" s="26" t="s">
        <v>846</v>
      </c>
      <c r="AT105" s="26" t="s">
        <v>475</v>
      </c>
      <c r="AU105" s="26" t="s">
        <v>846</v>
      </c>
      <c r="AV105" s="26" t="s">
        <v>475</v>
      </c>
      <c r="AW105" s="26" t="s">
        <v>846</v>
      </c>
      <c r="AX105" s="26" t="s">
        <v>475</v>
      </c>
      <c r="AY105" s="26" t="s">
        <v>846</v>
      </c>
      <c r="AZ105" s="26"/>
      <c r="BA105" s="26" t="s">
        <v>847</v>
      </c>
      <c r="BB105" s="26" t="s">
        <v>848</v>
      </c>
      <c r="BC105" s="26" t="s">
        <v>846</v>
      </c>
      <c r="BD105" s="26"/>
      <c r="BE105" s="26" t="s">
        <v>846</v>
      </c>
      <c r="BF105" s="26"/>
      <c r="BG105" s="26"/>
    </row>
    <row r="106" spans="1:59" ht="25.5" customHeight="1" x14ac:dyDescent="0.15">
      <c r="A106" s="23" t="s">
        <v>207</v>
      </c>
      <c r="B106" s="24">
        <v>9.2187139893984806</v>
      </c>
      <c r="C106" s="24">
        <v>16.057623930447502</v>
      </c>
      <c r="D106" s="24">
        <v>19.4063926940639</v>
      </c>
      <c r="E106" s="24">
        <v>22.727272727272702</v>
      </c>
      <c r="F106" s="24">
        <v>30.681818181818201</v>
      </c>
      <c r="G106" s="24">
        <v>31.25</v>
      </c>
      <c r="H106" s="24">
        <v>31.818181818181799</v>
      </c>
      <c r="I106" s="24">
        <v>32.386363636363598</v>
      </c>
      <c r="J106" s="24"/>
      <c r="K106" s="24"/>
      <c r="L106" s="24"/>
      <c r="M106" s="24">
        <v>36</v>
      </c>
      <c r="N106" s="24">
        <v>41.03</v>
      </c>
      <c r="O106" s="24"/>
      <c r="P106" s="24"/>
      <c r="Q106" s="24"/>
      <c r="R106" s="24"/>
      <c r="S106" s="24"/>
      <c r="T106" s="24"/>
      <c r="U106" s="25">
        <v>10.595726418660099</v>
      </c>
      <c r="V106" s="26"/>
      <c r="W106" s="26"/>
      <c r="X106" s="26"/>
      <c r="Y106" s="26"/>
      <c r="Z106" s="26"/>
      <c r="AA106" s="26"/>
      <c r="AB106" s="26"/>
      <c r="AC106" s="26"/>
      <c r="AD106" s="26"/>
      <c r="AE106" s="26"/>
      <c r="AF106" s="26"/>
      <c r="AG106" s="26"/>
      <c r="AH106" s="26"/>
      <c r="AI106" s="26"/>
      <c r="AJ106" s="26"/>
      <c r="AK106" s="26" t="s">
        <v>389</v>
      </c>
      <c r="AL106" s="26"/>
      <c r="AM106" s="26"/>
      <c r="AN106" s="26"/>
      <c r="AO106" s="26"/>
      <c r="AP106" s="26"/>
      <c r="AQ106" s="26"/>
      <c r="AR106" s="26"/>
      <c r="AS106" s="26" t="s">
        <v>389</v>
      </c>
      <c r="AT106" s="26"/>
      <c r="AU106" s="26" t="s">
        <v>389</v>
      </c>
      <c r="AV106" s="26"/>
      <c r="AW106" s="26"/>
      <c r="AX106" s="26"/>
      <c r="AY106" s="26"/>
      <c r="AZ106" s="26"/>
      <c r="BA106" s="26"/>
      <c r="BB106" s="26"/>
      <c r="BC106" s="26"/>
      <c r="BD106" s="26"/>
      <c r="BE106" s="26"/>
      <c r="BF106" s="26"/>
      <c r="BG106" s="26"/>
    </row>
    <row r="107" spans="1:59" ht="25.5" customHeight="1" x14ac:dyDescent="0.15">
      <c r="A107" s="23" t="s">
        <v>143</v>
      </c>
      <c r="B107" s="24">
        <v>2.62327542156362</v>
      </c>
      <c r="C107" s="24">
        <v>4.7057195809415902</v>
      </c>
      <c r="D107" s="24">
        <v>6.0255324119120397</v>
      </c>
      <c r="E107" s="24">
        <v>8.4660050162393805</v>
      </c>
      <c r="F107" s="24">
        <v>11.6587413706379</v>
      </c>
      <c r="G107" s="24">
        <v>12.9328520457507</v>
      </c>
      <c r="H107" s="24">
        <v>13.8671087882097</v>
      </c>
      <c r="I107" s="24">
        <v>20</v>
      </c>
      <c r="J107" s="24">
        <v>23</v>
      </c>
      <c r="K107" s="24">
        <v>26</v>
      </c>
      <c r="L107" s="24">
        <v>27.2</v>
      </c>
      <c r="M107" s="24">
        <v>34.9</v>
      </c>
      <c r="N107" s="24">
        <v>37</v>
      </c>
      <c r="O107" s="24">
        <v>41.4</v>
      </c>
      <c r="P107" s="24">
        <v>46.2</v>
      </c>
      <c r="Q107" s="24">
        <v>60.114382689500601</v>
      </c>
      <c r="R107" s="24">
        <v>62.302192567071202</v>
      </c>
      <c r="S107" s="24">
        <v>66.7903144326458</v>
      </c>
      <c r="T107" s="24"/>
      <c r="U107" s="25">
        <v>10.595726418660099</v>
      </c>
      <c r="V107" s="26"/>
      <c r="W107" s="26"/>
      <c r="X107" s="26"/>
      <c r="Y107" s="26"/>
      <c r="Z107" s="26"/>
      <c r="AA107" s="26"/>
      <c r="AB107" s="26"/>
      <c r="AC107" s="26"/>
      <c r="AD107" s="26"/>
      <c r="AE107" s="26"/>
      <c r="AF107" s="26"/>
      <c r="AG107" s="26"/>
      <c r="AH107" s="26"/>
      <c r="AI107" s="26"/>
      <c r="AJ107" s="26"/>
      <c r="AK107" s="26" t="s">
        <v>849</v>
      </c>
      <c r="AL107" s="26"/>
      <c r="AM107" s="26" t="s">
        <v>389</v>
      </c>
      <c r="AN107" s="26" t="s">
        <v>485</v>
      </c>
      <c r="AO107" s="26" t="s">
        <v>850</v>
      </c>
      <c r="AP107" s="26" t="s">
        <v>485</v>
      </c>
      <c r="AQ107" s="26" t="s">
        <v>851</v>
      </c>
      <c r="AR107" s="26" t="s">
        <v>485</v>
      </c>
      <c r="AS107" s="26" t="s">
        <v>851</v>
      </c>
      <c r="AT107" s="26" t="s">
        <v>485</v>
      </c>
      <c r="AU107" s="26" t="s">
        <v>851</v>
      </c>
      <c r="AV107" s="26" t="s">
        <v>485</v>
      </c>
      <c r="AW107" s="26" t="s">
        <v>851</v>
      </c>
      <c r="AX107" s="26" t="s">
        <v>485</v>
      </c>
      <c r="AY107" s="26" t="s">
        <v>851</v>
      </c>
      <c r="AZ107" s="26"/>
      <c r="BA107" s="26" t="s">
        <v>401</v>
      </c>
      <c r="BB107" s="26"/>
      <c r="BC107" s="26" t="s">
        <v>401</v>
      </c>
      <c r="BD107" s="26"/>
      <c r="BE107" s="26" t="s">
        <v>389</v>
      </c>
      <c r="BF107" s="26"/>
      <c r="BG107" s="26"/>
    </row>
    <row r="108" spans="1:59" ht="25.5" customHeight="1" x14ac:dyDescent="0.15">
      <c r="A108" s="23" t="s">
        <v>129</v>
      </c>
      <c r="B108" s="24">
        <v>0.66859440262126402</v>
      </c>
      <c r="C108" s="24">
        <v>1.00612421099739</v>
      </c>
      <c r="D108" s="24">
        <v>1.67477099516366</v>
      </c>
      <c r="E108" s="24">
        <v>2.0004147526587199</v>
      </c>
      <c r="F108" s="24">
        <v>2.6503946570163999</v>
      </c>
      <c r="G108" s="24">
        <v>2.9617074915008899</v>
      </c>
      <c r="H108" s="24">
        <v>3.2683690511597798</v>
      </c>
      <c r="I108" s="24">
        <v>4.0199999999999996</v>
      </c>
      <c r="J108" s="24">
        <v>11</v>
      </c>
      <c r="K108" s="24">
        <v>18.2</v>
      </c>
      <c r="L108" s="24">
        <v>31.6</v>
      </c>
      <c r="M108" s="24">
        <v>50.6</v>
      </c>
      <c r="N108" s="24">
        <v>61.906627465200799</v>
      </c>
      <c r="O108" s="24">
        <v>63.304224429999998</v>
      </c>
      <c r="P108" s="24">
        <v>66</v>
      </c>
      <c r="Q108" s="24">
        <v>70.829933595659995</v>
      </c>
      <c r="R108" s="24">
        <v>74.587726470000007</v>
      </c>
      <c r="S108" s="24">
        <v>76.426748230000001</v>
      </c>
      <c r="T108" s="24">
        <v>78.903919057881595</v>
      </c>
      <c r="U108" s="25">
        <v>10.595726418660099</v>
      </c>
      <c r="V108" s="26"/>
      <c r="W108" s="26"/>
      <c r="X108" s="26"/>
      <c r="Y108" s="26"/>
      <c r="Z108" s="26"/>
      <c r="AA108" s="26"/>
      <c r="AB108" s="26"/>
      <c r="AC108" s="26"/>
      <c r="AD108" s="26"/>
      <c r="AE108" s="26"/>
      <c r="AF108" s="26"/>
      <c r="AG108" s="26"/>
      <c r="AH108" s="26"/>
      <c r="AI108" s="26"/>
      <c r="AJ108" s="26"/>
      <c r="AK108" s="26" t="s">
        <v>852</v>
      </c>
      <c r="AL108" s="26"/>
      <c r="AM108" s="26" t="s">
        <v>852</v>
      </c>
      <c r="AN108" s="26"/>
      <c r="AO108" s="26" t="s">
        <v>852</v>
      </c>
      <c r="AP108" s="26" t="s">
        <v>853</v>
      </c>
      <c r="AQ108" s="26" t="s">
        <v>854</v>
      </c>
      <c r="AR108" s="26"/>
      <c r="AS108" s="26" t="s">
        <v>854</v>
      </c>
      <c r="AT108" s="26"/>
      <c r="AU108" s="26" t="s">
        <v>855</v>
      </c>
      <c r="AV108" s="26"/>
      <c r="AW108" s="26" t="s">
        <v>855</v>
      </c>
      <c r="AX108" s="26"/>
      <c r="AY108" s="26" t="s">
        <v>389</v>
      </c>
      <c r="AZ108" s="26" t="s">
        <v>856</v>
      </c>
      <c r="BA108" s="26" t="s">
        <v>857</v>
      </c>
      <c r="BB108" s="26"/>
      <c r="BC108" s="26" t="s">
        <v>858</v>
      </c>
      <c r="BD108" s="26"/>
      <c r="BE108" s="26" t="s">
        <v>858</v>
      </c>
      <c r="BF108" s="26"/>
      <c r="BG108" s="26" t="s">
        <v>858</v>
      </c>
    </row>
    <row r="109" spans="1:59" ht="25.5" customHeight="1" x14ac:dyDescent="0.15">
      <c r="A109" s="23" t="s">
        <v>70</v>
      </c>
      <c r="B109" s="24">
        <v>0.318059713612037</v>
      </c>
      <c r="C109" s="24">
        <v>0.61978226615142495</v>
      </c>
      <c r="D109" s="24">
        <v>1.20777388492125</v>
      </c>
      <c r="E109" s="24">
        <v>2.9419028610152398</v>
      </c>
      <c r="F109" s="24">
        <v>3.0235280420962098</v>
      </c>
      <c r="G109" s="24">
        <v>3.1018977024849601</v>
      </c>
      <c r="H109" s="24">
        <v>3.6</v>
      </c>
      <c r="I109" s="24">
        <v>4.4000000000000004</v>
      </c>
      <c r="J109" s="24">
        <v>5.2</v>
      </c>
      <c r="K109" s="24">
        <v>6.1</v>
      </c>
      <c r="L109" s="24">
        <v>7.2</v>
      </c>
      <c r="M109" s="24">
        <v>8.8000000000000007</v>
      </c>
      <c r="N109" s="24">
        <v>10.5</v>
      </c>
      <c r="O109" s="24">
        <v>13</v>
      </c>
      <c r="P109" s="24">
        <v>16.5</v>
      </c>
      <c r="Q109" s="24">
        <v>16.5878548475992</v>
      </c>
      <c r="R109" s="24">
        <v>16.600000000000001</v>
      </c>
      <c r="S109" s="24">
        <v>17.827100208864501</v>
      </c>
      <c r="T109" s="24"/>
      <c r="U109" s="25">
        <v>10.595726418660099</v>
      </c>
      <c r="V109" s="26"/>
      <c r="W109" s="26"/>
      <c r="X109" s="26"/>
      <c r="Y109" s="26"/>
      <c r="Z109" s="26"/>
      <c r="AA109" s="26"/>
      <c r="AB109" s="26"/>
      <c r="AC109" s="26"/>
      <c r="AD109" s="26"/>
      <c r="AE109" s="26"/>
      <c r="AF109" s="26"/>
      <c r="AG109" s="26"/>
      <c r="AH109" s="26"/>
      <c r="AI109" s="26" t="s">
        <v>389</v>
      </c>
      <c r="AJ109" s="26"/>
      <c r="AK109" s="26" t="s">
        <v>389</v>
      </c>
      <c r="AL109" s="26"/>
      <c r="AM109" s="26" t="s">
        <v>389</v>
      </c>
      <c r="AN109" s="26"/>
      <c r="AO109" s="26" t="s">
        <v>859</v>
      </c>
      <c r="AP109" s="26"/>
      <c r="AQ109" s="26" t="s">
        <v>860</v>
      </c>
      <c r="AR109" s="26"/>
      <c r="AS109" s="26" t="s">
        <v>389</v>
      </c>
      <c r="AT109" s="26"/>
      <c r="AU109" s="26" t="s">
        <v>389</v>
      </c>
      <c r="AV109" s="26"/>
      <c r="AW109" s="26" t="s">
        <v>389</v>
      </c>
      <c r="AX109" s="26"/>
      <c r="AY109" s="26" t="s">
        <v>389</v>
      </c>
      <c r="AZ109" s="26"/>
      <c r="BA109" s="26" t="s">
        <v>861</v>
      </c>
      <c r="BB109" s="26"/>
      <c r="BC109" s="26" t="s">
        <v>786</v>
      </c>
      <c r="BD109" s="26"/>
      <c r="BE109" s="26" t="s">
        <v>389</v>
      </c>
      <c r="BF109" s="26"/>
      <c r="BG109" s="26"/>
    </row>
    <row r="110" spans="1:59" ht="25.5" customHeight="1" x14ac:dyDescent="0.15">
      <c r="A110" s="23" t="s">
        <v>242</v>
      </c>
      <c r="B110" s="24">
        <v>1.7852254739773601</v>
      </c>
      <c r="C110" s="24">
        <v>2.3374589483772201</v>
      </c>
      <c r="D110" s="24">
        <v>2.5</v>
      </c>
      <c r="E110" s="24">
        <v>3</v>
      </c>
      <c r="F110" s="24">
        <v>3.5</v>
      </c>
      <c r="G110" s="24">
        <v>4</v>
      </c>
      <c r="H110" s="24">
        <v>4.5</v>
      </c>
      <c r="I110" s="24">
        <v>6</v>
      </c>
      <c r="J110" s="24">
        <v>7</v>
      </c>
      <c r="K110" s="24">
        <v>8.9700000000000006</v>
      </c>
      <c r="L110" s="24">
        <v>9.07</v>
      </c>
      <c r="M110" s="24">
        <v>10</v>
      </c>
      <c r="N110" s="24">
        <v>10.7467976841839</v>
      </c>
      <c r="O110" s="24">
        <v>11.5</v>
      </c>
      <c r="P110" s="24">
        <v>12.25</v>
      </c>
      <c r="Q110" s="24">
        <v>12.99748389414</v>
      </c>
      <c r="R110" s="24">
        <v>13.7</v>
      </c>
      <c r="S110" s="24">
        <v>14.5818181818182</v>
      </c>
      <c r="T110" s="24"/>
      <c r="U110" s="25">
        <v>10.595726418660099</v>
      </c>
      <c r="V110" s="26"/>
      <c r="W110" s="26" t="s">
        <v>389</v>
      </c>
      <c r="X110" s="26"/>
      <c r="Y110" s="26" t="s">
        <v>389</v>
      </c>
      <c r="Z110" s="26"/>
      <c r="AA110" s="26" t="s">
        <v>389</v>
      </c>
      <c r="AB110" s="26"/>
      <c r="AC110" s="26" t="s">
        <v>389</v>
      </c>
      <c r="AD110" s="26"/>
      <c r="AE110" s="26" t="s">
        <v>389</v>
      </c>
      <c r="AF110" s="26"/>
      <c r="AG110" s="26" t="s">
        <v>389</v>
      </c>
      <c r="AH110" s="26"/>
      <c r="AI110" s="26" t="s">
        <v>862</v>
      </c>
      <c r="AJ110" s="26"/>
      <c r="AK110" s="26" t="s">
        <v>389</v>
      </c>
      <c r="AL110" s="26"/>
      <c r="AM110" s="26" t="s">
        <v>389</v>
      </c>
      <c r="AN110" s="26"/>
      <c r="AO110" s="26" t="s">
        <v>863</v>
      </c>
      <c r="AP110" s="26"/>
      <c r="AQ110" s="26" t="s">
        <v>863</v>
      </c>
      <c r="AR110" s="26"/>
      <c r="AS110" s="26" t="s">
        <v>863</v>
      </c>
      <c r="AT110" s="26"/>
      <c r="AU110" s="26" t="s">
        <v>389</v>
      </c>
      <c r="AV110" s="26"/>
      <c r="AW110" s="26" t="s">
        <v>389</v>
      </c>
      <c r="AX110" s="26"/>
      <c r="AY110" s="26" t="s">
        <v>389</v>
      </c>
      <c r="AZ110" s="26"/>
      <c r="BA110" s="26" t="s">
        <v>389</v>
      </c>
      <c r="BB110" s="26"/>
      <c r="BC110" s="26" t="s">
        <v>401</v>
      </c>
      <c r="BD110" s="26"/>
      <c r="BE110" s="26" t="s">
        <v>389</v>
      </c>
      <c r="BF110" s="26"/>
      <c r="BG110" s="26"/>
    </row>
    <row r="111" spans="1:59" ht="25.5" customHeight="1" x14ac:dyDescent="0.2">
      <c r="A111" s="56" t="s">
        <v>11</v>
      </c>
      <c r="B111" s="24">
        <v>44.7</v>
      </c>
      <c r="C111" s="24">
        <v>56.6</v>
      </c>
      <c r="D111" s="24">
        <v>59.4</v>
      </c>
      <c r="E111" s="24">
        <v>65.5</v>
      </c>
      <c r="F111" s="24">
        <v>72.7</v>
      </c>
      <c r="G111" s="24">
        <v>73.5</v>
      </c>
      <c r="H111" s="24">
        <v>78.099999999999994</v>
      </c>
      <c r="I111" s="24">
        <v>78.8</v>
      </c>
      <c r="J111" s="24">
        <v>81</v>
      </c>
      <c r="K111" s="24">
        <v>81.599999999999994</v>
      </c>
      <c r="L111" s="24">
        <v>83.7</v>
      </c>
      <c r="M111" s="24">
        <v>83.759120153447199</v>
      </c>
      <c r="N111" s="24">
        <v>84.07</v>
      </c>
      <c r="O111" s="24">
        <v>84.77</v>
      </c>
      <c r="P111" s="24">
        <v>87.556826494474706</v>
      </c>
      <c r="Q111" s="24">
        <v>89.9</v>
      </c>
      <c r="R111" s="24">
        <v>92.843025679999997</v>
      </c>
      <c r="S111" s="24">
        <v>95.069421879999993</v>
      </c>
      <c r="T111" s="24">
        <v>95.898292199538702</v>
      </c>
      <c r="U111" s="25">
        <v>10.595726418660099</v>
      </c>
      <c r="V111" s="26" t="s">
        <v>864</v>
      </c>
      <c r="W111" s="26" t="s">
        <v>865</v>
      </c>
      <c r="X111" s="26" t="s">
        <v>864</v>
      </c>
      <c r="Y111" s="26" t="s">
        <v>865</v>
      </c>
      <c r="Z111" s="26" t="s">
        <v>864</v>
      </c>
      <c r="AA111" s="26" t="s">
        <v>866</v>
      </c>
      <c r="AB111" s="26" t="s">
        <v>864</v>
      </c>
      <c r="AC111" s="26" t="s">
        <v>866</v>
      </c>
      <c r="AD111" s="26" t="s">
        <v>867</v>
      </c>
      <c r="AE111" s="26" t="s">
        <v>868</v>
      </c>
      <c r="AF111" s="26" t="s">
        <v>867</v>
      </c>
      <c r="AG111" s="26" t="s">
        <v>868</v>
      </c>
      <c r="AH111" s="26" t="s">
        <v>867</v>
      </c>
      <c r="AI111" s="26" t="s">
        <v>868</v>
      </c>
      <c r="AJ111" s="26" t="s">
        <v>867</v>
      </c>
      <c r="AK111" s="26" t="s">
        <v>868</v>
      </c>
      <c r="AL111" s="26" t="s">
        <v>867</v>
      </c>
      <c r="AM111" s="26" t="s">
        <v>869</v>
      </c>
      <c r="AN111" s="26" t="s">
        <v>867</v>
      </c>
      <c r="AO111" s="26" t="s">
        <v>870</v>
      </c>
      <c r="AP111" s="26" t="s">
        <v>867</v>
      </c>
      <c r="AQ111" s="26" t="s">
        <v>869</v>
      </c>
      <c r="AR111" s="26" t="s">
        <v>867</v>
      </c>
      <c r="AS111" s="26" t="s">
        <v>871</v>
      </c>
      <c r="AT111" s="26" t="s">
        <v>867</v>
      </c>
      <c r="AU111" s="26" t="s">
        <v>872</v>
      </c>
      <c r="AV111" s="26" t="s">
        <v>867</v>
      </c>
      <c r="AW111" s="26" t="s">
        <v>872</v>
      </c>
      <c r="AX111" s="26" t="s">
        <v>443</v>
      </c>
      <c r="AY111" s="26" t="s">
        <v>872</v>
      </c>
      <c r="AZ111" s="26" t="s">
        <v>443</v>
      </c>
      <c r="BA111" s="26" t="s">
        <v>873</v>
      </c>
      <c r="BB111" s="26" t="s">
        <v>874</v>
      </c>
      <c r="BC111" s="26" t="s">
        <v>875</v>
      </c>
      <c r="BD111" s="26" t="s">
        <v>874</v>
      </c>
      <c r="BE111" s="26" t="s">
        <v>875</v>
      </c>
      <c r="BF111" s="26"/>
      <c r="BG111" s="26" t="s">
        <v>875</v>
      </c>
    </row>
    <row r="112" spans="1:59" ht="25.5" customHeight="1" x14ac:dyDescent="0.15">
      <c r="A112" s="23" t="s">
        <v>206</v>
      </c>
      <c r="B112" s="24">
        <v>6.7313957683753598</v>
      </c>
      <c r="C112" s="24">
        <v>8.5517924343147502</v>
      </c>
      <c r="D112" s="24">
        <v>10.2489679289296</v>
      </c>
      <c r="E112" s="24">
        <v>22.402938380461201</v>
      </c>
      <c r="F112" s="24">
        <v>22.927112036007799</v>
      </c>
      <c r="G112" s="24">
        <v>25.9261083689107</v>
      </c>
      <c r="H112" s="24">
        <v>28.791197954961198</v>
      </c>
      <c r="I112" s="24">
        <v>34.799999999999997</v>
      </c>
      <c r="J112" s="24">
        <v>42</v>
      </c>
      <c r="K112" s="24">
        <v>50.8</v>
      </c>
      <c r="L112" s="24">
        <v>61.4</v>
      </c>
      <c r="M112" s="24">
        <v>65.769070686739795</v>
      </c>
      <c r="N112" s="24">
        <v>70.45</v>
      </c>
      <c r="O112" s="24">
        <v>75.459999999999994</v>
      </c>
      <c r="P112" s="24">
        <v>78.7</v>
      </c>
      <c r="Q112" s="24">
        <v>72</v>
      </c>
      <c r="R112" s="24">
        <v>78.367383759999996</v>
      </c>
      <c r="S112" s="24">
        <v>100</v>
      </c>
      <c r="T112" s="24">
        <v>99.599992535868694</v>
      </c>
      <c r="U112" s="25">
        <v>10.595726418660099</v>
      </c>
      <c r="V112" s="26"/>
      <c r="W112" s="26"/>
      <c r="X112" s="26"/>
      <c r="Y112" s="26"/>
      <c r="Z112" s="26"/>
      <c r="AA112" s="26"/>
      <c r="AB112" s="26"/>
      <c r="AC112" s="26"/>
      <c r="AD112" s="26"/>
      <c r="AE112" s="26"/>
      <c r="AF112" s="26"/>
      <c r="AG112" s="26"/>
      <c r="AH112" s="26"/>
      <c r="AI112" s="26"/>
      <c r="AJ112" s="26"/>
      <c r="AK112" s="26" t="s">
        <v>389</v>
      </c>
      <c r="AL112" s="26"/>
      <c r="AM112" s="26" t="s">
        <v>389</v>
      </c>
      <c r="AN112" s="26"/>
      <c r="AO112" s="26" t="s">
        <v>389</v>
      </c>
      <c r="AP112" s="26"/>
      <c r="AQ112" s="26" t="s">
        <v>389</v>
      </c>
      <c r="AR112" s="26"/>
      <c r="AS112" s="26" t="s">
        <v>876</v>
      </c>
      <c r="AT112" s="26"/>
      <c r="AU112" s="26" t="s">
        <v>389</v>
      </c>
      <c r="AV112" s="26"/>
      <c r="AW112" s="26" t="s">
        <v>389</v>
      </c>
      <c r="AX112" s="26"/>
      <c r="AY112" s="26" t="s">
        <v>389</v>
      </c>
      <c r="AZ112" s="26" t="s">
        <v>877</v>
      </c>
      <c r="BA112" s="26" t="s">
        <v>878</v>
      </c>
      <c r="BB112" s="26"/>
      <c r="BC112" s="26" t="s">
        <v>401</v>
      </c>
      <c r="BD112" s="26"/>
      <c r="BE112" s="26" t="s">
        <v>879</v>
      </c>
      <c r="BF112" s="26"/>
      <c r="BG112" s="26" t="s">
        <v>880</v>
      </c>
    </row>
    <row r="113" spans="1:59" ht="25.5" customHeight="1" x14ac:dyDescent="0.15">
      <c r="A113" s="23" t="s">
        <v>124</v>
      </c>
      <c r="B113" s="24">
        <v>1.04140114469361</v>
      </c>
      <c r="C113" s="24">
        <v>3.0029413271923899</v>
      </c>
      <c r="D113" s="24">
        <v>2.99926518003089</v>
      </c>
      <c r="E113" s="24">
        <v>3.90876626828521</v>
      </c>
      <c r="F113" s="24">
        <v>5.0903853073286296</v>
      </c>
      <c r="G113" s="24">
        <v>10.533801340550699</v>
      </c>
      <c r="H113" s="24">
        <v>12.3069069959465</v>
      </c>
      <c r="I113" s="24">
        <v>14.03</v>
      </c>
      <c r="J113" s="24">
        <v>15.7</v>
      </c>
      <c r="K113" s="24">
        <v>16</v>
      </c>
      <c r="L113" s="24">
        <v>16.3</v>
      </c>
      <c r="M113" s="24">
        <v>17.5</v>
      </c>
      <c r="N113" s="24">
        <v>19.8</v>
      </c>
      <c r="O113" s="24">
        <v>23</v>
      </c>
      <c r="P113" s="24">
        <v>28.3</v>
      </c>
      <c r="Q113" s="24">
        <v>30.247042775311002</v>
      </c>
      <c r="R113" s="24">
        <v>37</v>
      </c>
      <c r="S113" s="24">
        <v>38</v>
      </c>
      <c r="T113" s="24"/>
      <c r="U113" s="25">
        <v>10.595726418660099</v>
      </c>
      <c r="V113" s="26"/>
      <c r="W113" s="26"/>
      <c r="X113" s="26"/>
      <c r="Y113" s="26"/>
      <c r="Z113" s="26"/>
      <c r="AA113" s="26"/>
      <c r="AB113" s="26"/>
      <c r="AC113" s="26"/>
      <c r="AD113" s="26"/>
      <c r="AE113" s="26"/>
      <c r="AF113" s="26"/>
      <c r="AG113" s="26"/>
      <c r="AH113" s="26"/>
      <c r="AI113" s="26"/>
      <c r="AJ113" s="26"/>
      <c r="AK113" s="26" t="s">
        <v>881</v>
      </c>
      <c r="AL113" s="26"/>
      <c r="AM113" s="26"/>
      <c r="AN113" s="26"/>
      <c r="AO113" s="26" t="s">
        <v>389</v>
      </c>
      <c r="AP113" s="26"/>
      <c r="AQ113" s="26" t="s">
        <v>389</v>
      </c>
      <c r="AR113" s="26"/>
      <c r="AS113" s="26" t="s">
        <v>389</v>
      </c>
      <c r="AT113" s="26"/>
      <c r="AU113" s="26" t="s">
        <v>389</v>
      </c>
      <c r="AV113" s="26"/>
      <c r="AW113" s="26" t="s">
        <v>389</v>
      </c>
      <c r="AX113" s="26"/>
      <c r="AY113" s="26" t="s">
        <v>389</v>
      </c>
      <c r="AZ113" s="26"/>
      <c r="BA113" s="26" t="s">
        <v>389</v>
      </c>
      <c r="BB113" s="26" t="s">
        <v>394</v>
      </c>
      <c r="BC113" s="26" t="s">
        <v>882</v>
      </c>
      <c r="BD113" s="26" t="s">
        <v>394</v>
      </c>
      <c r="BE113" s="26" t="s">
        <v>882</v>
      </c>
      <c r="BF113" s="26"/>
      <c r="BG113" s="26"/>
    </row>
    <row r="114" spans="1:59" ht="25.5" customHeight="1" x14ac:dyDescent="0.15">
      <c r="A114" s="23" t="s">
        <v>883</v>
      </c>
      <c r="B114" s="24">
        <v>0.111044032290124</v>
      </c>
      <c r="C114" s="24">
        <v>0.18166446065456601</v>
      </c>
      <c r="D114" s="24">
        <v>0.267899241309349</v>
      </c>
      <c r="E114" s="24">
        <v>0.33391246642861599</v>
      </c>
      <c r="F114" s="24">
        <v>0.36143449025804297</v>
      </c>
      <c r="G114" s="24">
        <v>0.85035749028891705</v>
      </c>
      <c r="H114" s="24">
        <v>1.1698934277225601</v>
      </c>
      <c r="I114" s="24">
        <v>1.64</v>
      </c>
      <c r="J114" s="24">
        <v>3.55</v>
      </c>
      <c r="K114" s="24">
        <v>6</v>
      </c>
      <c r="L114" s="24">
        <v>7</v>
      </c>
      <c r="M114" s="24">
        <v>9</v>
      </c>
      <c r="N114" s="24">
        <v>10.747676189122</v>
      </c>
      <c r="O114" s="24">
        <v>12.5</v>
      </c>
      <c r="P114" s="24">
        <v>14.26</v>
      </c>
      <c r="Q114" s="24">
        <v>18.2</v>
      </c>
      <c r="R114" s="24">
        <v>21.87</v>
      </c>
      <c r="S114" s="24">
        <v>25.510435082302401</v>
      </c>
      <c r="T114" s="24"/>
      <c r="U114" s="25">
        <v>10.595726418660099</v>
      </c>
      <c r="V114" s="26"/>
      <c r="W114" s="26"/>
      <c r="X114" s="26"/>
      <c r="Y114" s="26"/>
      <c r="Z114" s="26"/>
      <c r="AA114" s="26"/>
      <c r="AB114" s="26"/>
      <c r="AC114" s="26"/>
      <c r="AD114" s="26"/>
      <c r="AE114" s="26"/>
      <c r="AF114" s="26"/>
      <c r="AG114" s="26"/>
      <c r="AH114" s="26"/>
      <c r="AI114" s="26"/>
      <c r="AJ114" s="26"/>
      <c r="AK114" s="26" t="s">
        <v>884</v>
      </c>
      <c r="AL114" s="26"/>
      <c r="AM114" s="26" t="s">
        <v>884</v>
      </c>
      <c r="AN114" s="26"/>
      <c r="AO114" s="26" t="s">
        <v>884</v>
      </c>
      <c r="AP114" s="26"/>
      <c r="AQ114" s="26" t="s">
        <v>884</v>
      </c>
      <c r="AR114" s="26"/>
      <c r="AS114" s="26" t="s">
        <v>885</v>
      </c>
      <c r="AT114" s="26"/>
      <c r="AU114" s="26" t="s">
        <v>389</v>
      </c>
      <c r="AV114" s="26"/>
      <c r="AW114" s="26" t="s">
        <v>389</v>
      </c>
      <c r="AX114" s="26"/>
      <c r="AY114" s="26" t="s">
        <v>389</v>
      </c>
      <c r="AZ114" s="26"/>
      <c r="BA114" s="26" t="s">
        <v>389</v>
      </c>
      <c r="BB114" s="26"/>
      <c r="BC114" s="26" t="s">
        <v>401</v>
      </c>
      <c r="BD114" s="26"/>
      <c r="BE114" s="26" t="s">
        <v>389</v>
      </c>
      <c r="BF114" s="26"/>
      <c r="BG114" s="26"/>
    </row>
    <row r="115" spans="1:59" ht="25.5" customHeight="1" x14ac:dyDescent="0.15">
      <c r="A115" s="23" t="s">
        <v>76</v>
      </c>
      <c r="B115" s="24">
        <v>6.3190620826786104</v>
      </c>
      <c r="C115" s="24">
        <v>7.2193458083628901</v>
      </c>
      <c r="D115" s="24">
        <v>21.94</v>
      </c>
      <c r="E115" s="24">
        <v>26.98</v>
      </c>
      <c r="F115" s="24">
        <v>38.58</v>
      </c>
      <c r="G115" s="24">
        <v>46</v>
      </c>
      <c r="H115" s="24">
        <v>53.63</v>
      </c>
      <c r="I115" s="24">
        <v>59.17</v>
      </c>
      <c r="J115" s="24">
        <v>63.41</v>
      </c>
      <c r="K115" s="24">
        <v>66.84</v>
      </c>
      <c r="L115" s="24">
        <v>68.42</v>
      </c>
      <c r="M115" s="24">
        <v>69.749954559224506</v>
      </c>
      <c r="N115" s="24">
        <v>73.119943766374803</v>
      </c>
      <c r="O115" s="24">
        <v>75.234399999999994</v>
      </c>
      <c r="P115" s="24">
        <v>75.83</v>
      </c>
      <c r="Q115" s="24">
        <v>79.200599999999994</v>
      </c>
      <c r="R115" s="24">
        <v>79.842097780000003</v>
      </c>
      <c r="S115" s="24">
        <v>80.114076999999995</v>
      </c>
      <c r="T115" s="24">
        <v>83.577174863095607</v>
      </c>
      <c r="U115" s="25">
        <v>10.595726418660099</v>
      </c>
      <c r="V115" s="26"/>
      <c r="W115" s="26" t="s">
        <v>886</v>
      </c>
      <c r="X115" s="26"/>
      <c r="Y115" s="26" t="s">
        <v>886</v>
      </c>
      <c r="Z115" s="26"/>
      <c r="AA115" s="26" t="s">
        <v>389</v>
      </c>
      <c r="AB115" s="26"/>
      <c r="AC115" s="26" t="s">
        <v>389</v>
      </c>
      <c r="AD115" s="26" t="s">
        <v>443</v>
      </c>
      <c r="AE115" s="26" t="s">
        <v>442</v>
      </c>
      <c r="AF115" s="26" t="s">
        <v>443</v>
      </c>
      <c r="AG115" s="26" t="s">
        <v>442</v>
      </c>
      <c r="AH115" s="26" t="s">
        <v>443</v>
      </c>
      <c r="AI115" s="26" t="s">
        <v>442</v>
      </c>
      <c r="AJ115" s="26" t="s">
        <v>443</v>
      </c>
      <c r="AK115" s="26" t="s">
        <v>442</v>
      </c>
      <c r="AL115" s="26" t="s">
        <v>443</v>
      </c>
      <c r="AM115" s="26" t="s">
        <v>887</v>
      </c>
      <c r="AN115" s="26" t="s">
        <v>443</v>
      </c>
      <c r="AO115" s="26" t="s">
        <v>442</v>
      </c>
      <c r="AP115" s="26" t="s">
        <v>443</v>
      </c>
      <c r="AQ115" s="26" t="s">
        <v>442</v>
      </c>
      <c r="AR115" s="26" t="s">
        <v>444</v>
      </c>
      <c r="AS115" s="26" t="s">
        <v>442</v>
      </c>
      <c r="AT115" s="26" t="s">
        <v>445</v>
      </c>
      <c r="AU115" s="26" t="s">
        <v>442</v>
      </c>
      <c r="AV115" s="26" t="s">
        <v>443</v>
      </c>
      <c r="AW115" s="26" t="s">
        <v>442</v>
      </c>
      <c r="AX115" s="26" t="s">
        <v>443</v>
      </c>
      <c r="AY115" s="26" t="s">
        <v>449</v>
      </c>
      <c r="AZ115" s="26" t="s">
        <v>443</v>
      </c>
      <c r="BA115" s="26" t="s">
        <v>442</v>
      </c>
      <c r="BB115" s="26" t="s">
        <v>616</v>
      </c>
      <c r="BC115" s="26" t="s">
        <v>888</v>
      </c>
      <c r="BD115" s="26" t="s">
        <v>616</v>
      </c>
      <c r="BE115" s="26" t="s">
        <v>888</v>
      </c>
      <c r="BF115" s="26"/>
      <c r="BG115" s="26" t="s">
        <v>888</v>
      </c>
    </row>
    <row r="116" spans="1:59" ht="25.5" customHeight="1" x14ac:dyDescent="0.15">
      <c r="A116" s="23" t="s">
        <v>103</v>
      </c>
      <c r="B116" s="24">
        <v>7.95274373635276</v>
      </c>
      <c r="C116" s="24">
        <v>6.7832197752771499</v>
      </c>
      <c r="D116" s="24">
        <v>7</v>
      </c>
      <c r="E116" s="24">
        <v>8</v>
      </c>
      <c r="F116" s="24">
        <v>9</v>
      </c>
      <c r="G116" s="24">
        <v>10.14</v>
      </c>
      <c r="H116" s="24">
        <v>15</v>
      </c>
      <c r="I116" s="24">
        <v>18.739999999999998</v>
      </c>
      <c r="J116" s="24">
        <v>22.53</v>
      </c>
      <c r="K116" s="24">
        <v>30.14</v>
      </c>
      <c r="L116" s="24">
        <v>43.68</v>
      </c>
      <c r="M116" s="24">
        <v>52</v>
      </c>
      <c r="N116" s="24">
        <v>61.249785718303997</v>
      </c>
      <c r="O116" s="24">
        <v>70.5</v>
      </c>
      <c r="P116" s="24">
        <v>73</v>
      </c>
      <c r="Q116" s="24">
        <v>74</v>
      </c>
      <c r="R116" s="24">
        <v>76.11</v>
      </c>
      <c r="S116" s="24">
        <v>78.180774890767097</v>
      </c>
      <c r="T116" s="24"/>
      <c r="U116" s="25">
        <v>10.595726418660099</v>
      </c>
      <c r="V116" s="26"/>
      <c r="W116" s="26" t="s">
        <v>889</v>
      </c>
      <c r="X116" s="26"/>
      <c r="Y116" s="26" t="s">
        <v>889</v>
      </c>
      <c r="Z116" s="26"/>
      <c r="AA116" s="26" t="s">
        <v>393</v>
      </c>
      <c r="AB116" s="26"/>
      <c r="AC116" s="26" t="s">
        <v>393</v>
      </c>
      <c r="AD116" s="26"/>
      <c r="AE116" s="26" t="s">
        <v>393</v>
      </c>
      <c r="AF116" s="26" t="s">
        <v>475</v>
      </c>
      <c r="AG116" s="26"/>
      <c r="AH116" s="26"/>
      <c r="AI116" s="26" t="s">
        <v>393</v>
      </c>
      <c r="AJ116" s="26"/>
      <c r="AK116" s="26" t="s">
        <v>890</v>
      </c>
      <c r="AL116" s="26" t="s">
        <v>891</v>
      </c>
      <c r="AM116" s="26" t="s">
        <v>890</v>
      </c>
      <c r="AN116" s="26" t="s">
        <v>892</v>
      </c>
      <c r="AO116" s="26" t="s">
        <v>389</v>
      </c>
      <c r="AP116" s="26" t="s">
        <v>892</v>
      </c>
      <c r="AQ116" s="26" t="s">
        <v>389</v>
      </c>
      <c r="AR116" s="26" t="s">
        <v>431</v>
      </c>
      <c r="AS116" s="26" t="s">
        <v>893</v>
      </c>
      <c r="AT116" s="26"/>
      <c r="AU116" s="26" t="s">
        <v>389</v>
      </c>
      <c r="AV116" s="26"/>
      <c r="AW116" s="26" t="s">
        <v>389</v>
      </c>
      <c r="AX116" s="26"/>
      <c r="AY116" s="26" t="s">
        <v>389</v>
      </c>
      <c r="AZ116" s="26"/>
      <c r="BA116" s="26" t="s">
        <v>389</v>
      </c>
      <c r="BB116" s="26"/>
      <c r="BC116" s="26" t="s">
        <v>389</v>
      </c>
      <c r="BD116" s="26"/>
      <c r="BE116" s="26" t="s">
        <v>389</v>
      </c>
      <c r="BF116" s="26"/>
      <c r="BG116" s="26"/>
    </row>
    <row r="117" spans="1:59" ht="25.5" customHeight="1" x14ac:dyDescent="0.15">
      <c r="A117" s="23" t="s">
        <v>52</v>
      </c>
      <c r="B117" s="24">
        <v>0.21180607036197699</v>
      </c>
      <c r="C117" s="24">
        <v>0.26115006309385502</v>
      </c>
      <c r="D117" s="24">
        <v>1.0839431373753401</v>
      </c>
      <c r="E117" s="24">
        <v>1.53249659019509</v>
      </c>
      <c r="F117" s="24">
        <v>2.1755243393109698</v>
      </c>
      <c r="G117" s="24">
        <v>2.58024548419449</v>
      </c>
      <c r="H117" s="24">
        <v>2.9797081872448601</v>
      </c>
      <c r="I117" s="24">
        <v>3.4454312597087302</v>
      </c>
      <c r="J117" s="24">
        <v>3.58</v>
      </c>
      <c r="K117" s="24">
        <v>3.72</v>
      </c>
      <c r="L117" s="24">
        <v>3.86</v>
      </c>
      <c r="M117" s="24">
        <v>7</v>
      </c>
      <c r="N117" s="24">
        <v>10</v>
      </c>
      <c r="O117" s="24">
        <v>15</v>
      </c>
      <c r="P117" s="24">
        <v>22</v>
      </c>
      <c r="Q117" s="24">
        <v>25</v>
      </c>
      <c r="R117" s="24">
        <v>27.36</v>
      </c>
      <c r="S117" s="24">
        <v>29</v>
      </c>
      <c r="T117" s="24"/>
      <c r="U117" s="25">
        <v>10.595726418660099</v>
      </c>
      <c r="V117" s="26"/>
      <c r="W117" s="26" t="s">
        <v>894</v>
      </c>
      <c r="X117" s="26"/>
      <c r="Y117" s="26" t="s">
        <v>894</v>
      </c>
      <c r="Z117" s="26"/>
      <c r="AA117" s="26" t="s">
        <v>895</v>
      </c>
      <c r="AB117" s="26"/>
      <c r="AC117" s="26" t="s">
        <v>895</v>
      </c>
      <c r="AD117" s="26"/>
      <c r="AE117" s="26" t="s">
        <v>895</v>
      </c>
      <c r="AF117" s="26"/>
      <c r="AG117" s="26" t="s">
        <v>389</v>
      </c>
      <c r="AH117" s="26"/>
      <c r="AI117" s="26" t="s">
        <v>895</v>
      </c>
      <c r="AJ117" s="26"/>
      <c r="AK117" s="26" t="s">
        <v>895</v>
      </c>
      <c r="AL117" s="26"/>
      <c r="AM117" s="26" t="s">
        <v>896</v>
      </c>
      <c r="AN117" s="26"/>
      <c r="AO117" s="26" t="s">
        <v>896</v>
      </c>
      <c r="AP117" s="26"/>
      <c r="AQ117" s="26" t="s">
        <v>389</v>
      </c>
      <c r="AR117" s="26"/>
      <c r="AS117" s="26" t="s">
        <v>389</v>
      </c>
      <c r="AT117" s="26"/>
      <c r="AU117" s="26" t="s">
        <v>389</v>
      </c>
      <c r="AV117" s="26"/>
      <c r="AW117" s="26" t="s">
        <v>389</v>
      </c>
      <c r="AX117" s="26"/>
      <c r="AY117" s="26" t="s">
        <v>389</v>
      </c>
      <c r="AZ117" s="26"/>
      <c r="BA117" s="26" t="s">
        <v>389</v>
      </c>
      <c r="BB117" s="26"/>
      <c r="BC117" s="26" t="s">
        <v>897</v>
      </c>
      <c r="BD117" s="26" t="s">
        <v>490</v>
      </c>
      <c r="BE117" s="26" t="s">
        <v>491</v>
      </c>
      <c r="BF117" s="26"/>
      <c r="BG117" s="26"/>
    </row>
    <row r="118" spans="1:59" ht="25.5" customHeight="1" x14ac:dyDescent="0.15">
      <c r="A118" s="23" t="s">
        <v>109</v>
      </c>
      <c r="B118" s="24">
        <v>1.7702705716947199E-2</v>
      </c>
      <c r="C118" s="24">
        <v>3.3812227177591997E-2</v>
      </c>
      <c r="D118" s="24">
        <v>3.2713307119069897E-2</v>
      </c>
      <c r="E118" s="24">
        <v>3.1868934545032701E-2</v>
      </c>
      <c r="F118" s="24">
        <v>3.10111848040233E-2</v>
      </c>
      <c r="G118" s="24"/>
      <c r="H118" s="24"/>
      <c r="I118" s="24">
        <v>0.55137658055542904</v>
      </c>
      <c r="J118" s="24">
        <v>0.53</v>
      </c>
      <c r="K118" s="24">
        <v>2</v>
      </c>
      <c r="L118" s="24">
        <v>2.2999999999999998</v>
      </c>
      <c r="M118" s="24">
        <v>2.5</v>
      </c>
      <c r="N118" s="24">
        <v>2.6</v>
      </c>
      <c r="O118" s="24">
        <v>3.2</v>
      </c>
      <c r="P118" s="24">
        <v>5.41</v>
      </c>
      <c r="Q118" s="24">
        <v>33</v>
      </c>
      <c r="R118" s="24">
        <v>7.3191064113957802</v>
      </c>
      <c r="S118" s="24">
        <v>7.9844797215226704</v>
      </c>
      <c r="T118" s="24"/>
      <c r="U118" s="25">
        <v>10.595726418660099</v>
      </c>
      <c r="V118" s="26"/>
      <c r="W118" s="26"/>
      <c r="X118" s="26"/>
      <c r="Y118" s="26"/>
      <c r="Z118" s="26"/>
      <c r="AA118" s="26"/>
      <c r="AB118" s="26"/>
      <c r="AC118" s="26" t="s">
        <v>389</v>
      </c>
      <c r="AD118" s="26"/>
      <c r="AE118" s="26" t="s">
        <v>389</v>
      </c>
      <c r="AF118" s="26"/>
      <c r="AG118" s="26"/>
      <c r="AH118" s="26"/>
      <c r="AI118" s="26"/>
      <c r="AJ118" s="26"/>
      <c r="AK118" s="26" t="s">
        <v>389</v>
      </c>
      <c r="AL118" s="26"/>
      <c r="AM118" s="26" t="s">
        <v>389</v>
      </c>
      <c r="AN118" s="26"/>
      <c r="AO118" s="26" t="s">
        <v>389</v>
      </c>
      <c r="AP118" s="26"/>
      <c r="AQ118" s="26" t="s">
        <v>898</v>
      </c>
      <c r="AR118" s="26"/>
      <c r="AS118" s="26" t="s">
        <v>389</v>
      </c>
      <c r="AT118" s="26"/>
      <c r="AU118" s="26" t="s">
        <v>389</v>
      </c>
      <c r="AV118" s="26"/>
      <c r="AW118" s="26" t="s">
        <v>389</v>
      </c>
      <c r="AX118" s="26"/>
      <c r="AY118" s="26" t="s">
        <v>389</v>
      </c>
      <c r="AZ118" s="26" t="s">
        <v>899</v>
      </c>
      <c r="BA118" s="26" t="s">
        <v>491</v>
      </c>
      <c r="BB118" s="26"/>
      <c r="BC118" s="26" t="s">
        <v>401</v>
      </c>
      <c r="BD118" s="26"/>
      <c r="BE118" s="26" t="s">
        <v>389</v>
      </c>
      <c r="BF118" s="26"/>
      <c r="BG118" s="26"/>
    </row>
    <row r="119" spans="1:59" ht="25.5" customHeight="1" x14ac:dyDescent="0.15">
      <c r="A119" s="23" t="s">
        <v>182</v>
      </c>
      <c r="B119" s="24">
        <v>0.187042622337565</v>
      </c>
      <c r="C119" s="24">
        <v>0.36653317528422802</v>
      </c>
      <c r="D119" s="24">
        <v>2.2444182216594601</v>
      </c>
      <c r="E119" s="24">
        <v>2.81451798740855</v>
      </c>
      <c r="F119" s="24">
        <v>3.5328381615454898</v>
      </c>
      <c r="G119" s="24">
        <v>3.9177879771028499</v>
      </c>
      <c r="H119" s="24">
        <v>4.3010517891300202</v>
      </c>
      <c r="I119" s="24">
        <v>4.7219993785051297</v>
      </c>
      <c r="J119" s="24">
        <v>9</v>
      </c>
      <c r="K119" s="24">
        <v>10.8</v>
      </c>
      <c r="L119" s="24">
        <v>14</v>
      </c>
      <c r="M119" s="24">
        <v>14</v>
      </c>
      <c r="N119" s="24"/>
      <c r="O119" s="24">
        <v>16.5</v>
      </c>
      <c r="P119" s="24">
        <v>17.760000000000002</v>
      </c>
      <c r="Q119" s="24">
        <v>19.016079781565001</v>
      </c>
      <c r="R119" s="24">
        <v>20.27215956269</v>
      </c>
      <c r="S119" s="24">
        <v>21.758920615925199</v>
      </c>
      <c r="T119" s="24"/>
      <c r="U119" s="25">
        <v>10.595726418660099</v>
      </c>
      <c r="V119" s="26"/>
      <c r="W119" s="26" t="s">
        <v>900</v>
      </c>
      <c r="X119" s="26"/>
      <c r="Y119" s="26" t="s">
        <v>900</v>
      </c>
      <c r="Z119" s="26"/>
      <c r="AA119" s="26" t="s">
        <v>900</v>
      </c>
      <c r="AB119" s="26"/>
      <c r="AC119" s="26" t="s">
        <v>900</v>
      </c>
      <c r="AD119" s="26"/>
      <c r="AE119" s="26" t="s">
        <v>900</v>
      </c>
      <c r="AF119" s="26"/>
      <c r="AG119" s="26" t="s">
        <v>389</v>
      </c>
      <c r="AH119" s="26"/>
      <c r="AI119" s="26" t="s">
        <v>389</v>
      </c>
      <c r="AJ119" s="26"/>
      <c r="AK119" s="26" t="s">
        <v>900</v>
      </c>
      <c r="AL119" s="26"/>
      <c r="AM119" s="26" t="s">
        <v>389</v>
      </c>
      <c r="AN119" s="26"/>
      <c r="AO119" s="26" t="s">
        <v>389</v>
      </c>
      <c r="AP119" s="26"/>
      <c r="AQ119" s="26" t="s">
        <v>389</v>
      </c>
      <c r="AR119" s="26"/>
      <c r="AS119" s="26" t="s">
        <v>389</v>
      </c>
      <c r="AT119" s="26"/>
      <c r="AU119" s="26"/>
      <c r="AV119" s="26"/>
      <c r="AW119" s="26" t="s">
        <v>389</v>
      </c>
      <c r="AX119" s="26"/>
      <c r="AY119" s="26" t="s">
        <v>389</v>
      </c>
      <c r="AZ119" s="26"/>
      <c r="BA119" s="26" t="s">
        <v>389</v>
      </c>
      <c r="BB119" s="26"/>
      <c r="BC119" s="26" t="s">
        <v>401</v>
      </c>
      <c r="BD119" s="26"/>
      <c r="BE119" s="26" t="s">
        <v>389</v>
      </c>
      <c r="BF119" s="26"/>
      <c r="BG119" s="26"/>
    </row>
    <row r="120" spans="1:59" ht="25.5" customHeight="1" x14ac:dyDescent="0.15">
      <c r="A120" s="23" t="s">
        <v>96</v>
      </c>
      <c r="B120" s="24">
        <v>36.515229893801497</v>
      </c>
      <c r="C120" s="24">
        <v>45.116852648359199</v>
      </c>
      <c r="D120" s="24">
        <v>59.470710674992603</v>
      </c>
      <c r="E120" s="24">
        <v>58.8096918372148</v>
      </c>
      <c r="F120" s="24">
        <v>64.007448139419907</v>
      </c>
      <c r="G120" s="24">
        <v>63.371356147021601</v>
      </c>
      <c r="H120" s="24">
        <v>64.214161363052597</v>
      </c>
      <c r="I120" s="24">
        <v>65.080218443167993</v>
      </c>
      <c r="J120" s="24">
        <v>70</v>
      </c>
      <c r="K120" s="24">
        <v>75</v>
      </c>
      <c r="L120" s="24">
        <v>80</v>
      </c>
      <c r="M120" s="24">
        <v>85</v>
      </c>
      <c r="N120" s="24">
        <v>89.407700000000006</v>
      </c>
      <c r="O120" s="24">
        <v>93.8</v>
      </c>
      <c r="P120" s="24">
        <v>95.21</v>
      </c>
      <c r="Q120" s="24">
        <v>96.641195095948802</v>
      </c>
      <c r="R120" s="24">
        <v>98.093903892167205</v>
      </c>
      <c r="S120" s="24">
        <v>98.1</v>
      </c>
      <c r="T120" s="24"/>
      <c r="U120" s="25">
        <v>10.595726418660099</v>
      </c>
      <c r="V120" s="26"/>
      <c r="W120" s="26"/>
      <c r="X120" s="26"/>
      <c r="Y120" s="26"/>
      <c r="Z120" s="26"/>
      <c r="AA120" s="26"/>
      <c r="AB120" s="26"/>
      <c r="AC120" s="26"/>
      <c r="AD120" s="26"/>
      <c r="AE120" s="26"/>
      <c r="AF120" s="26"/>
      <c r="AG120" s="26"/>
      <c r="AH120" s="26"/>
      <c r="AI120" s="26"/>
      <c r="AJ120" s="26"/>
      <c r="AK120" s="26" t="s">
        <v>389</v>
      </c>
      <c r="AL120" s="26"/>
      <c r="AM120" s="26" t="s">
        <v>389</v>
      </c>
      <c r="AN120" s="26"/>
      <c r="AO120" s="26" t="s">
        <v>389</v>
      </c>
      <c r="AP120" s="26"/>
      <c r="AQ120" s="26" t="s">
        <v>393</v>
      </c>
      <c r="AR120" s="26" t="s">
        <v>533</v>
      </c>
      <c r="AS120" s="26" t="s">
        <v>901</v>
      </c>
      <c r="AT120" s="26"/>
      <c r="AU120" s="26" t="s">
        <v>389</v>
      </c>
      <c r="AV120" s="26"/>
      <c r="AW120" s="26" t="s">
        <v>389</v>
      </c>
      <c r="AX120" s="26"/>
      <c r="AY120" s="26" t="s">
        <v>389</v>
      </c>
      <c r="AZ120" s="26"/>
      <c r="BA120" s="26" t="s">
        <v>389</v>
      </c>
      <c r="BB120" s="26"/>
      <c r="BC120" s="26" t="s">
        <v>401</v>
      </c>
      <c r="BD120" s="26"/>
      <c r="BE120" s="26" t="s">
        <v>389</v>
      </c>
      <c r="BF120" s="26"/>
      <c r="BG120" s="26"/>
    </row>
    <row r="121" spans="1:59" ht="25.5" customHeight="1" x14ac:dyDescent="0.15">
      <c r="A121" s="23" t="s">
        <v>102</v>
      </c>
      <c r="B121" s="24">
        <v>6.42706749477765</v>
      </c>
      <c r="C121" s="24">
        <v>7.1793569938136903</v>
      </c>
      <c r="D121" s="24">
        <v>17.690000000000001</v>
      </c>
      <c r="E121" s="24">
        <v>25.91</v>
      </c>
      <c r="F121" s="24">
        <v>31.23</v>
      </c>
      <c r="G121" s="24">
        <v>36.22</v>
      </c>
      <c r="H121" s="24">
        <v>43.9</v>
      </c>
      <c r="I121" s="24">
        <v>49.9</v>
      </c>
      <c r="J121" s="24">
        <v>55.22</v>
      </c>
      <c r="K121" s="24">
        <v>59.76</v>
      </c>
      <c r="L121" s="24">
        <v>62.12</v>
      </c>
      <c r="M121" s="24">
        <v>63.639977400217902</v>
      </c>
      <c r="N121" s="24">
        <v>67.229989327641405</v>
      </c>
      <c r="O121" s="24">
        <v>68.4529</v>
      </c>
      <c r="P121" s="24">
        <v>72.13</v>
      </c>
      <c r="Q121" s="24">
        <v>71.378</v>
      </c>
      <c r="R121" s="24">
        <v>74.37664556</v>
      </c>
      <c r="S121" s="24">
        <v>77.615256509999995</v>
      </c>
      <c r="T121" s="24">
        <v>79.722582768051794</v>
      </c>
      <c r="U121" s="25">
        <v>10.595726418660099</v>
      </c>
      <c r="V121" s="26"/>
      <c r="W121" s="26" t="s">
        <v>902</v>
      </c>
      <c r="X121" s="26"/>
      <c r="Y121" s="26" t="s">
        <v>902</v>
      </c>
      <c r="Z121" s="26" t="s">
        <v>441</v>
      </c>
      <c r="AA121" s="26" t="s">
        <v>442</v>
      </c>
      <c r="AB121" s="26" t="s">
        <v>441</v>
      </c>
      <c r="AC121" s="26" t="s">
        <v>442</v>
      </c>
      <c r="AD121" s="26" t="s">
        <v>903</v>
      </c>
      <c r="AE121" s="26" t="s">
        <v>442</v>
      </c>
      <c r="AF121" s="26" t="s">
        <v>903</v>
      </c>
      <c r="AG121" s="26" t="s">
        <v>442</v>
      </c>
      <c r="AH121" s="26" t="s">
        <v>903</v>
      </c>
      <c r="AI121" s="26" t="s">
        <v>442</v>
      </c>
      <c r="AJ121" s="26" t="s">
        <v>903</v>
      </c>
      <c r="AK121" s="26" t="s">
        <v>442</v>
      </c>
      <c r="AL121" s="26" t="s">
        <v>903</v>
      </c>
      <c r="AM121" s="26" t="s">
        <v>442</v>
      </c>
      <c r="AN121" s="26" t="s">
        <v>903</v>
      </c>
      <c r="AO121" s="26" t="s">
        <v>442</v>
      </c>
      <c r="AP121" s="26" t="s">
        <v>903</v>
      </c>
      <c r="AQ121" s="26" t="s">
        <v>904</v>
      </c>
      <c r="AR121" s="26" t="s">
        <v>444</v>
      </c>
      <c r="AS121" s="26" t="s">
        <v>442</v>
      </c>
      <c r="AT121" s="26" t="s">
        <v>445</v>
      </c>
      <c r="AU121" s="26" t="s">
        <v>442</v>
      </c>
      <c r="AV121" s="26" t="s">
        <v>443</v>
      </c>
      <c r="AW121" s="26" t="s">
        <v>442</v>
      </c>
      <c r="AX121" s="26" t="s">
        <v>443</v>
      </c>
      <c r="AY121" s="26" t="s">
        <v>449</v>
      </c>
      <c r="AZ121" s="26" t="s">
        <v>443</v>
      </c>
      <c r="BA121" s="26" t="s">
        <v>442</v>
      </c>
      <c r="BB121" s="26" t="s">
        <v>905</v>
      </c>
      <c r="BC121" s="26" t="s">
        <v>906</v>
      </c>
      <c r="BD121" s="26" t="s">
        <v>905</v>
      </c>
      <c r="BE121" s="26" t="s">
        <v>906</v>
      </c>
      <c r="BF121" s="26"/>
      <c r="BG121" s="26" t="s">
        <v>906</v>
      </c>
    </row>
    <row r="122" spans="1:59" ht="25.5" customHeight="1" x14ac:dyDescent="0.15">
      <c r="A122" s="23" t="s">
        <v>36</v>
      </c>
      <c r="B122" s="24">
        <v>22.887327973121099</v>
      </c>
      <c r="C122" s="24">
        <v>36.163422506305999</v>
      </c>
      <c r="D122" s="24">
        <v>39.840000000000003</v>
      </c>
      <c r="E122" s="24">
        <v>54.55</v>
      </c>
      <c r="F122" s="24">
        <v>65.88</v>
      </c>
      <c r="G122" s="24">
        <v>70</v>
      </c>
      <c r="H122" s="24">
        <v>72.510000000000005</v>
      </c>
      <c r="I122" s="24">
        <v>78.92</v>
      </c>
      <c r="J122" s="24">
        <v>82.23</v>
      </c>
      <c r="K122" s="24">
        <v>87.31</v>
      </c>
      <c r="L122" s="24">
        <v>90.62</v>
      </c>
      <c r="M122" s="24">
        <v>90.029858564693598</v>
      </c>
      <c r="N122" s="24">
        <v>91.949923741738701</v>
      </c>
      <c r="O122" s="24">
        <v>93.776499999999999</v>
      </c>
      <c r="P122" s="24">
        <v>94.67</v>
      </c>
      <c r="Q122" s="24">
        <v>96.38</v>
      </c>
      <c r="R122" s="24">
        <v>98.136698670000001</v>
      </c>
      <c r="S122" s="24">
        <v>97.362960319999999</v>
      </c>
      <c r="T122" s="24">
        <v>97.061298705829003</v>
      </c>
      <c r="U122" s="25">
        <v>10.595726418660099</v>
      </c>
      <c r="V122" s="26"/>
      <c r="W122" s="26" t="s">
        <v>907</v>
      </c>
      <c r="X122" s="26" t="s">
        <v>665</v>
      </c>
      <c r="Y122" s="26" t="s">
        <v>908</v>
      </c>
      <c r="Z122" s="26" t="s">
        <v>750</v>
      </c>
      <c r="AA122" s="26" t="s">
        <v>442</v>
      </c>
      <c r="AB122" s="26" t="s">
        <v>443</v>
      </c>
      <c r="AC122" s="26" t="s">
        <v>442</v>
      </c>
      <c r="AD122" s="26" t="s">
        <v>443</v>
      </c>
      <c r="AE122" s="26" t="s">
        <v>442</v>
      </c>
      <c r="AF122" s="26" t="s">
        <v>443</v>
      </c>
      <c r="AG122" s="26" t="s">
        <v>442</v>
      </c>
      <c r="AH122" s="26" t="s">
        <v>443</v>
      </c>
      <c r="AI122" s="26" t="s">
        <v>442</v>
      </c>
      <c r="AJ122" s="26" t="s">
        <v>443</v>
      </c>
      <c r="AK122" s="26" t="s">
        <v>442</v>
      </c>
      <c r="AL122" s="26" t="s">
        <v>443</v>
      </c>
      <c r="AM122" s="26" t="s">
        <v>909</v>
      </c>
      <c r="AN122" s="26" t="s">
        <v>443</v>
      </c>
      <c r="AO122" s="26" t="s">
        <v>442</v>
      </c>
      <c r="AP122" s="26" t="s">
        <v>443</v>
      </c>
      <c r="AQ122" s="26" t="s">
        <v>442</v>
      </c>
      <c r="AR122" s="26" t="s">
        <v>444</v>
      </c>
      <c r="AS122" s="26" t="s">
        <v>442</v>
      </c>
      <c r="AT122" s="26" t="s">
        <v>445</v>
      </c>
      <c r="AU122" s="26" t="s">
        <v>442</v>
      </c>
      <c r="AV122" s="26" t="s">
        <v>443</v>
      </c>
      <c r="AW122" s="26" t="s">
        <v>442</v>
      </c>
      <c r="AX122" s="26" t="s">
        <v>443</v>
      </c>
      <c r="AY122" s="26" t="s">
        <v>449</v>
      </c>
      <c r="AZ122" s="26"/>
      <c r="BA122" s="26" t="s">
        <v>910</v>
      </c>
      <c r="BB122" s="26"/>
      <c r="BC122" s="26" t="s">
        <v>910</v>
      </c>
      <c r="BD122" s="26"/>
      <c r="BE122" s="26" t="s">
        <v>910</v>
      </c>
      <c r="BF122" s="26"/>
      <c r="BG122" s="26" t="s">
        <v>910</v>
      </c>
    </row>
    <row r="123" spans="1:59" ht="25.5" customHeight="1" x14ac:dyDescent="0.15">
      <c r="A123" s="23" t="s">
        <v>911</v>
      </c>
      <c r="B123" s="24">
        <v>13.608589741845099</v>
      </c>
      <c r="C123" s="24">
        <v>22.5212167700561</v>
      </c>
      <c r="D123" s="24">
        <v>25.171880164339498</v>
      </c>
      <c r="E123" s="24">
        <v>25.742123982649801</v>
      </c>
      <c r="F123" s="24">
        <v>31.484097382412099</v>
      </c>
      <c r="G123" s="24">
        <v>34.862927173395903</v>
      </c>
      <c r="H123" s="24">
        <v>46.4</v>
      </c>
      <c r="I123" s="24">
        <v>47.326999999999998</v>
      </c>
      <c r="J123" s="24">
        <v>49.24</v>
      </c>
      <c r="K123" s="24">
        <v>54</v>
      </c>
      <c r="L123" s="24">
        <v>55.198</v>
      </c>
      <c r="M123" s="24">
        <v>60.203696718219497</v>
      </c>
      <c r="N123" s="24">
        <v>61.31</v>
      </c>
      <c r="O123" s="24">
        <v>65.8</v>
      </c>
      <c r="P123" s="24">
        <v>69.78</v>
      </c>
      <c r="Q123" s="24">
        <v>77.600131860886805</v>
      </c>
      <c r="R123" s="24">
        <v>81.642985460000006</v>
      </c>
      <c r="S123" s="24">
        <v>83.174089069999994</v>
      </c>
      <c r="T123" s="24">
        <v>83.794089609151598</v>
      </c>
      <c r="U123" s="25">
        <v>10.595726418660099</v>
      </c>
      <c r="V123" s="26"/>
      <c r="W123" s="26" t="s">
        <v>912</v>
      </c>
      <c r="X123" s="26"/>
      <c r="Y123" s="26" t="s">
        <v>912</v>
      </c>
      <c r="Z123" s="26"/>
      <c r="AA123" s="26" t="s">
        <v>912</v>
      </c>
      <c r="AB123" s="26"/>
      <c r="AC123" s="26" t="s">
        <v>912</v>
      </c>
      <c r="AD123" s="26"/>
      <c r="AE123" s="26" t="s">
        <v>912</v>
      </c>
      <c r="AF123" s="26"/>
      <c r="AG123" s="26" t="s">
        <v>912</v>
      </c>
      <c r="AH123" s="26" t="s">
        <v>913</v>
      </c>
      <c r="AI123" s="26" t="s">
        <v>914</v>
      </c>
      <c r="AJ123" s="26" t="s">
        <v>915</v>
      </c>
      <c r="AK123" s="26" t="s">
        <v>389</v>
      </c>
      <c r="AL123" s="26" t="s">
        <v>867</v>
      </c>
      <c r="AM123" s="26" t="s">
        <v>914</v>
      </c>
      <c r="AN123" s="26" t="s">
        <v>867</v>
      </c>
      <c r="AO123" s="26" t="s">
        <v>914</v>
      </c>
      <c r="AP123" s="26" t="s">
        <v>867</v>
      </c>
      <c r="AQ123" s="26" t="s">
        <v>914</v>
      </c>
      <c r="AR123" s="26" t="s">
        <v>916</v>
      </c>
      <c r="AS123" s="26" t="s">
        <v>917</v>
      </c>
      <c r="AT123" s="26" t="s">
        <v>867</v>
      </c>
      <c r="AU123" s="26" t="s">
        <v>914</v>
      </c>
      <c r="AV123" s="26" t="s">
        <v>867</v>
      </c>
      <c r="AW123" s="26" t="s">
        <v>914</v>
      </c>
      <c r="AX123" s="26" t="s">
        <v>867</v>
      </c>
      <c r="AY123" s="26" t="s">
        <v>914</v>
      </c>
      <c r="AZ123" s="26" t="s">
        <v>867</v>
      </c>
      <c r="BA123" s="26" t="s">
        <v>914</v>
      </c>
      <c r="BB123" s="26" t="s">
        <v>918</v>
      </c>
      <c r="BC123" s="26" t="s">
        <v>914</v>
      </c>
      <c r="BD123" s="26" t="s">
        <v>918</v>
      </c>
      <c r="BE123" s="26" t="s">
        <v>914</v>
      </c>
      <c r="BF123" s="26"/>
      <c r="BG123" s="26" t="s">
        <v>914</v>
      </c>
    </row>
    <row r="124" spans="1:59" ht="25.5" customHeight="1" x14ac:dyDescent="0.15">
      <c r="A124" s="23" t="s">
        <v>5</v>
      </c>
      <c r="B124" s="24">
        <v>0.19639469100634099</v>
      </c>
      <c r="C124" s="24">
        <v>0.222511586178292</v>
      </c>
      <c r="D124" s="24">
        <v>0.33972015459614202</v>
      </c>
      <c r="E124" s="24">
        <v>0.42325241927780899</v>
      </c>
      <c r="F124" s="24">
        <v>0.52535365494666897</v>
      </c>
      <c r="G124" s="24">
        <v>0.56772180223740298</v>
      </c>
      <c r="H124" s="24">
        <v>0.60755223886037801</v>
      </c>
      <c r="I124" s="24">
        <v>0.65</v>
      </c>
      <c r="J124" s="24">
        <v>1.65</v>
      </c>
      <c r="K124" s="24">
        <v>1.63</v>
      </c>
      <c r="L124" s="24">
        <v>1.7</v>
      </c>
      <c r="M124" s="24">
        <v>1.9</v>
      </c>
      <c r="N124" s="24">
        <v>2.2999999999999998</v>
      </c>
      <c r="O124" s="24">
        <v>3</v>
      </c>
      <c r="P124" s="24">
        <v>3.7</v>
      </c>
      <c r="Q124" s="24">
        <v>4.1739721900070004</v>
      </c>
      <c r="R124" s="24">
        <v>4.7136628994979999</v>
      </c>
      <c r="S124" s="24">
        <v>9.8000000000000007</v>
      </c>
      <c r="T124" s="24"/>
      <c r="U124" s="25">
        <v>10.595726418660099</v>
      </c>
      <c r="V124" s="26"/>
      <c r="W124" s="26"/>
      <c r="X124" s="26"/>
      <c r="Y124" s="26"/>
      <c r="Z124" s="26"/>
      <c r="AA124" s="26"/>
      <c r="AB124" s="26"/>
      <c r="AC124" s="26" t="s">
        <v>389</v>
      </c>
      <c r="AD124" s="26"/>
      <c r="AE124" s="26" t="s">
        <v>389</v>
      </c>
      <c r="AF124" s="26"/>
      <c r="AG124" s="26" t="s">
        <v>389</v>
      </c>
      <c r="AH124" s="26"/>
      <c r="AI124" s="26" t="s">
        <v>389</v>
      </c>
      <c r="AJ124" s="26"/>
      <c r="AK124" s="26" t="s">
        <v>389</v>
      </c>
      <c r="AL124" s="26"/>
      <c r="AM124" s="26" t="s">
        <v>389</v>
      </c>
      <c r="AN124" s="26"/>
      <c r="AO124" s="26" t="s">
        <v>389</v>
      </c>
      <c r="AP124" s="26"/>
      <c r="AQ124" s="26" t="s">
        <v>389</v>
      </c>
      <c r="AR124" s="26"/>
      <c r="AS124" s="26" t="s">
        <v>389</v>
      </c>
      <c r="AT124" s="26"/>
      <c r="AU124" s="26" t="s">
        <v>389</v>
      </c>
      <c r="AV124" s="26"/>
      <c r="AW124" s="26" t="s">
        <v>389</v>
      </c>
      <c r="AX124" s="26"/>
      <c r="AY124" s="26" t="s">
        <v>389</v>
      </c>
      <c r="AZ124" s="26"/>
      <c r="BA124" s="26" t="s">
        <v>389</v>
      </c>
      <c r="BB124" s="26"/>
      <c r="BC124" s="26" t="s">
        <v>401</v>
      </c>
      <c r="BD124" s="26"/>
      <c r="BE124" s="26"/>
      <c r="BF124" s="26"/>
      <c r="BG124" s="26"/>
    </row>
    <row r="125" spans="1:59" ht="25.5" customHeight="1" x14ac:dyDescent="0.15">
      <c r="A125" s="23" t="s">
        <v>19</v>
      </c>
      <c r="B125" s="24">
        <v>0.12678094475638699</v>
      </c>
      <c r="C125" s="24">
        <v>0.164020725330811</v>
      </c>
      <c r="D125" s="24">
        <v>0.21509472652259001</v>
      </c>
      <c r="E125" s="24">
        <v>0.27881511630230399</v>
      </c>
      <c r="F125" s="24">
        <v>0.34750533496757702</v>
      </c>
      <c r="G125" s="24">
        <v>0.38448933408278202</v>
      </c>
      <c r="H125" s="24">
        <v>0.425137489606563</v>
      </c>
      <c r="I125" s="24">
        <v>0.96586473655313199</v>
      </c>
      <c r="J125" s="24">
        <v>0.7</v>
      </c>
      <c r="K125" s="24">
        <v>1.07</v>
      </c>
      <c r="L125" s="24">
        <v>2.2599999999999998</v>
      </c>
      <c r="M125" s="24">
        <v>3.33</v>
      </c>
      <c r="N125" s="24">
        <v>4.3506</v>
      </c>
      <c r="O125" s="24">
        <v>5.05</v>
      </c>
      <c r="P125" s="24">
        <v>5.83</v>
      </c>
      <c r="Q125" s="24">
        <v>5.3</v>
      </c>
      <c r="R125" s="24">
        <v>11.47</v>
      </c>
      <c r="S125" s="24">
        <v>13.782164391987701</v>
      </c>
      <c r="T125" s="24"/>
      <c r="U125" s="25">
        <v>10.595726418660099</v>
      </c>
      <c r="V125" s="26"/>
      <c r="W125" s="26"/>
      <c r="X125" s="26"/>
      <c r="Y125" s="26"/>
      <c r="Z125" s="26"/>
      <c r="AA125" s="26"/>
      <c r="AB125" s="26"/>
      <c r="AC125" s="26"/>
      <c r="AD125" s="26"/>
      <c r="AE125" s="26"/>
      <c r="AF125" s="26"/>
      <c r="AG125" s="26"/>
      <c r="AH125" s="26"/>
      <c r="AI125" s="26"/>
      <c r="AJ125" s="26"/>
      <c r="AK125" s="26" t="s">
        <v>919</v>
      </c>
      <c r="AL125" s="26"/>
      <c r="AM125" s="26" t="s">
        <v>920</v>
      </c>
      <c r="AN125" s="26"/>
      <c r="AO125" s="26" t="s">
        <v>920</v>
      </c>
      <c r="AP125" s="26"/>
      <c r="AQ125" s="26" t="s">
        <v>920</v>
      </c>
      <c r="AR125" s="26"/>
      <c r="AS125" s="26" t="s">
        <v>921</v>
      </c>
      <c r="AT125" s="26"/>
      <c r="AU125" s="26" t="s">
        <v>389</v>
      </c>
      <c r="AV125" s="26"/>
      <c r="AW125" s="26" t="s">
        <v>389</v>
      </c>
      <c r="AX125" s="26"/>
      <c r="AY125" s="26" t="s">
        <v>389</v>
      </c>
      <c r="AZ125" s="26"/>
      <c r="BA125" s="26" t="s">
        <v>922</v>
      </c>
      <c r="BB125" s="26"/>
      <c r="BC125" s="26" t="s">
        <v>923</v>
      </c>
      <c r="BD125" s="26"/>
      <c r="BE125" s="26" t="s">
        <v>389</v>
      </c>
      <c r="BF125" s="26"/>
      <c r="BG125" s="26"/>
    </row>
    <row r="126" spans="1:59" ht="25.5" customHeight="1" x14ac:dyDescent="0.15">
      <c r="A126" s="23" t="s">
        <v>150</v>
      </c>
      <c r="B126" s="24">
        <v>21.3847311644538</v>
      </c>
      <c r="C126" s="24">
        <v>26.6959725007084</v>
      </c>
      <c r="D126" s="24">
        <v>32.338204338935903</v>
      </c>
      <c r="E126" s="24">
        <v>34.971152339729102</v>
      </c>
      <c r="F126" s="24">
        <v>42.2522656295248</v>
      </c>
      <c r="G126" s="24">
        <v>48.629170245984</v>
      </c>
      <c r="H126" s="24">
        <v>51.637988986440298</v>
      </c>
      <c r="I126" s="24">
        <v>55.7</v>
      </c>
      <c r="J126" s="24">
        <v>55.8</v>
      </c>
      <c r="K126" s="24">
        <v>55.9</v>
      </c>
      <c r="L126" s="24">
        <v>56.3</v>
      </c>
      <c r="M126" s="24">
        <v>61</v>
      </c>
      <c r="N126" s="24">
        <v>65.8</v>
      </c>
      <c r="O126" s="24">
        <v>57.057512260000003</v>
      </c>
      <c r="P126" s="24">
        <v>63.665425881322498</v>
      </c>
      <c r="Q126" s="24">
        <v>71.064067811195699</v>
      </c>
      <c r="R126" s="24">
        <v>78.788309929999997</v>
      </c>
      <c r="S126" s="24">
        <v>80.140479010000007</v>
      </c>
      <c r="T126" s="24">
        <v>81.201706651971804</v>
      </c>
      <c r="U126" s="25">
        <v>10.595726418660099</v>
      </c>
      <c r="V126" s="26"/>
      <c r="W126" s="26" t="s">
        <v>924</v>
      </c>
      <c r="X126" s="26"/>
      <c r="Y126" s="26" t="s">
        <v>924</v>
      </c>
      <c r="Z126" s="26"/>
      <c r="AA126" s="26" t="s">
        <v>924</v>
      </c>
      <c r="AB126" s="26"/>
      <c r="AC126" s="26" t="s">
        <v>924</v>
      </c>
      <c r="AD126" s="26"/>
      <c r="AE126" s="26" t="s">
        <v>924</v>
      </c>
      <c r="AF126" s="26"/>
      <c r="AG126" s="26" t="s">
        <v>924</v>
      </c>
      <c r="AH126" s="26"/>
      <c r="AI126" s="26" t="s">
        <v>924</v>
      </c>
      <c r="AJ126" s="26"/>
      <c r="AK126" s="26" t="s">
        <v>925</v>
      </c>
      <c r="AL126" s="26" t="s">
        <v>801</v>
      </c>
      <c r="AM126" s="26" t="s">
        <v>925</v>
      </c>
      <c r="AN126" s="26" t="s">
        <v>801</v>
      </c>
      <c r="AO126" s="26" t="s">
        <v>925</v>
      </c>
      <c r="AP126" s="26" t="s">
        <v>801</v>
      </c>
      <c r="AQ126" s="26" t="s">
        <v>926</v>
      </c>
      <c r="AR126" s="26" t="s">
        <v>801</v>
      </c>
      <c r="AS126" s="26" t="s">
        <v>926</v>
      </c>
      <c r="AT126" s="26" t="s">
        <v>801</v>
      </c>
      <c r="AU126" s="26" t="s">
        <v>926</v>
      </c>
      <c r="AV126" s="26" t="s">
        <v>431</v>
      </c>
      <c r="AW126" s="26" t="s">
        <v>927</v>
      </c>
      <c r="AX126" s="26" t="s">
        <v>431</v>
      </c>
      <c r="AY126" s="26" t="s">
        <v>927</v>
      </c>
      <c r="AZ126" s="26" t="s">
        <v>431</v>
      </c>
      <c r="BA126" s="26" t="s">
        <v>928</v>
      </c>
      <c r="BB126" s="26" t="s">
        <v>929</v>
      </c>
      <c r="BC126" s="26" t="s">
        <v>927</v>
      </c>
      <c r="BD126" s="26"/>
      <c r="BE126" s="26" t="s">
        <v>927</v>
      </c>
      <c r="BF126" s="26"/>
      <c r="BG126" s="26" t="s">
        <v>930</v>
      </c>
    </row>
    <row r="127" spans="1:59" ht="25.5" customHeight="1" x14ac:dyDescent="0.15">
      <c r="A127" s="23" t="s">
        <v>155</v>
      </c>
      <c r="B127" s="24">
        <v>2.2038729393788001</v>
      </c>
      <c r="C127" s="24">
        <v>3.6172906493036701</v>
      </c>
      <c r="D127" s="24">
        <v>5.3477651689358998</v>
      </c>
      <c r="E127" s="24">
        <v>5.97659284988557</v>
      </c>
      <c r="F127" s="24">
        <v>6.5882548753086096</v>
      </c>
      <c r="G127" s="24">
        <v>6.8696050669621496</v>
      </c>
      <c r="H127" s="24">
        <v>11.0363527828647</v>
      </c>
      <c r="I127" s="24">
        <v>16.3</v>
      </c>
      <c r="J127" s="24">
        <v>23.2</v>
      </c>
      <c r="K127" s="24">
        <v>24.8</v>
      </c>
      <c r="L127" s="24">
        <v>26.53</v>
      </c>
      <c r="M127" s="24">
        <v>34</v>
      </c>
      <c r="N127" s="24">
        <v>38.930100000000003</v>
      </c>
      <c r="O127" s="24">
        <v>44.1</v>
      </c>
      <c r="P127" s="24">
        <v>49.28</v>
      </c>
      <c r="Q127" s="24">
        <v>54.461955146942003</v>
      </c>
      <c r="R127" s="24">
        <v>59.092589965410902</v>
      </c>
      <c r="S127" s="24">
        <v>63.185665884848497</v>
      </c>
      <c r="T127" s="24"/>
      <c r="U127" s="25">
        <v>10.595726418660099</v>
      </c>
      <c r="V127" s="26" t="s">
        <v>931</v>
      </c>
      <c r="W127" s="26" t="s">
        <v>932</v>
      </c>
      <c r="X127" s="26" t="s">
        <v>933</v>
      </c>
      <c r="Y127" s="26" t="s">
        <v>932</v>
      </c>
      <c r="Z127" s="26" t="s">
        <v>933</v>
      </c>
      <c r="AA127" s="26" t="s">
        <v>932</v>
      </c>
      <c r="AB127" s="26" t="s">
        <v>933</v>
      </c>
      <c r="AC127" s="26" t="s">
        <v>932</v>
      </c>
      <c r="AD127" s="26" t="s">
        <v>933</v>
      </c>
      <c r="AE127" s="26" t="s">
        <v>932</v>
      </c>
      <c r="AF127" s="26" t="s">
        <v>933</v>
      </c>
      <c r="AG127" s="26" t="s">
        <v>934</v>
      </c>
      <c r="AH127" s="26" t="s">
        <v>933</v>
      </c>
      <c r="AI127" s="26" t="s">
        <v>934</v>
      </c>
      <c r="AJ127" s="26" t="s">
        <v>933</v>
      </c>
      <c r="AK127" s="26" t="s">
        <v>935</v>
      </c>
      <c r="AL127" s="26" t="s">
        <v>933</v>
      </c>
      <c r="AM127" s="26" t="s">
        <v>935</v>
      </c>
      <c r="AN127" s="26" t="s">
        <v>933</v>
      </c>
      <c r="AO127" s="26" t="s">
        <v>935</v>
      </c>
      <c r="AP127" s="26" t="s">
        <v>936</v>
      </c>
      <c r="AQ127" s="26" t="s">
        <v>937</v>
      </c>
      <c r="AR127" s="26"/>
      <c r="AS127" s="26" t="s">
        <v>393</v>
      </c>
      <c r="AT127" s="26"/>
      <c r="AU127" s="26" t="s">
        <v>389</v>
      </c>
      <c r="AV127" s="26"/>
      <c r="AW127" s="26" t="s">
        <v>389</v>
      </c>
      <c r="AX127" s="26"/>
      <c r="AY127" s="26" t="s">
        <v>389</v>
      </c>
      <c r="AZ127" s="26"/>
      <c r="BA127" s="26" t="s">
        <v>389</v>
      </c>
      <c r="BB127" s="26"/>
      <c r="BC127" s="26" t="s">
        <v>401</v>
      </c>
      <c r="BD127" s="26"/>
      <c r="BE127" s="26" t="s">
        <v>389</v>
      </c>
      <c r="BF127" s="26"/>
      <c r="BG127" s="26"/>
    </row>
    <row r="128" spans="1:59" ht="25.5" customHeight="1" x14ac:dyDescent="0.15">
      <c r="A128" s="23" t="s">
        <v>59</v>
      </c>
      <c r="B128" s="24">
        <v>0.14254575504918399</v>
      </c>
      <c r="C128" s="24">
        <v>0.185897413256084</v>
      </c>
      <c r="D128" s="24">
        <v>0.22704557849170001</v>
      </c>
      <c r="E128" s="24">
        <v>0.31036444323057499</v>
      </c>
      <c r="F128" s="24">
        <v>0.43281963990098499</v>
      </c>
      <c r="G128" s="24">
        <v>0.50706313595224695</v>
      </c>
      <c r="H128" s="24">
        <v>0.72962728083310102</v>
      </c>
      <c r="I128" s="24">
        <v>0.81</v>
      </c>
      <c r="J128" s="24">
        <v>1.57</v>
      </c>
      <c r="K128" s="24">
        <v>1.8</v>
      </c>
      <c r="L128" s="24">
        <v>2</v>
      </c>
      <c r="M128" s="24">
        <v>2.2000000000000002</v>
      </c>
      <c r="N128" s="24">
        <v>2.8</v>
      </c>
      <c r="O128" s="24">
        <v>3.5</v>
      </c>
      <c r="P128" s="24">
        <v>7</v>
      </c>
      <c r="Q128" s="24">
        <v>10.33</v>
      </c>
      <c r="R128" s="24">
        <v>11.112186489058899</v>
      </c>
      <c r="S128" s="24">
        <v>13</v>
      </c>
      <c r="T128" s="24"/>
      <c r="U128" s="25">
        <v>10.595726418660099</v>
      </c>
      <c r="V128" s="26"/>
      <c r="W128" s="26"/>
      <c r="X128" s="26"/>
      <c r="Y128" s="26"/>
      <c r="Z128" s="26"/>
      <c r="AA128" s="26"/>
      <c r="AB128" s="26"/>
      <c r="AC128" s="26"/>
      <c r="AD128" s="26"/>
      <c r="AE128" s="26"/>
      <c r="AF128" s="26"/>
      <c r="AG128" s="26"/>
      <c r="AH128" s="26"/>
      <c r="AI128" s="26"/>
      <c r="AJ128" s="26"/>
      <c r="AK128" s="26" t="s">
        <v>938</v>
      </c>
      <c r="AL128" s="26"/>
      <c r="AM128" s="26" t="s">
        <v>938</v>
      </c>
      <c r="AN128" s="26"/>
      <c r="AO128" s="26" t="s">
        <v>389</v>
      </c>
      <c r="AP128" s="26"/>
      <c r="AQ128" s="26" t="s">
        <v>389</v>
      </c>
      <c r="AR128" s="26"/>
      <c r="AS128" s="26" t="s">
        <v>939</v>
      </c>
      <c r="AT128" s="26"/>
      <c r="AU128" s="26" t="s">
        <v>389</v>
      </c>
      <c r="AV128" s="26"/>
      <c r="AW128" s="26" t="s">
        <v>389</v>
      </c>
      <c r="AX128" s="26"/>
      <c r="AY128" s="26" t="s">
        <v>389</v>
      </c>
      <c r="AZ128" s="26"/>
      <c r="BA128" s="26" t="s">
        <v>401</v>
      </c>
      <c r="BB128" s="26"/>
      <c r="BC128" s="26" t="s">
        <v>940</v>
      </c>
      <c r="BD128" s="26" t="s">
        <v>490</v>
      </c>
      <c r="BE128" s="26" t="s">
        <v>491</v>
      </c>
      <c r="BF128" s="26"/>
      <c r="BG128" s="26"/>
    </row>
    <row r="129" spans="1:59" ht="25.5" customHeight="1" x14ac:dyDescent="0.15">
      <c r="A129" s="23" t="s">
        <v>104</v>
      </c>
      <c r="B129" s="24">
        <v>13.113708711102401</v>
      </c>
      <c r="C129" s="24">
        <v>17.877848324334799</v>
      </c>
      <c r="D129" s="24">
        <v>28.92</v>
      </c>
      <c r="E129" s="24">
        <v>31.64</v>
      </c>
      <c r="F129" s="24">
        <v>34.619999999999997</v>
      </c>
      <c r="G129" s="24">
        <v>41.24</v>
      </c>
      <c r="H129" s="24">
        <v>40.409999999999997</v>
      </c>
      <c r="I129" s="24">
        <v>46.9</v>
      </c>
      <c r="J129" s="24">
        <v>50.08</v>
      </c>
      <c r="K129" s="24">
        <v>58.86</v>
      </c>
      <c r="L129" s="24">
        <v>63</v>
      </c>
      <c r="M129" s="24">
        <v>68.019823788546205</v>
      </c>
      <c r="N129" s="24">
        <v>68.199874292897505</v>
      </c>
      <c r="O129" s="24">
        <v>68.913799999999995</v>
      </c>
      <c r="P129" s="24">
        <v>73.17</v>
      </c>
      <c r="Q129" s="24">
        <v>75.959999999999994</v>
      </c>
      <c r="R129" s="24">
        <v>78.075148803218198</v>
      </c>
      <c r="S129" s="24">
        <v>81.011911076294496</v>
      </c>
      <c r="T129" s="24">
        <v>81.403132523085205</v>
      </c>
      <c r="U129" s="25">
        <v>10.595726418660099</v>
      </c>
      <c r="V129" s="26"/>
      <c r="W129" s="26" t="s">
        <v>941</v>
      </c>
      <c r="X129" s="26"/>
      <c r="Y129" s="26" t="s">
        <v>941</v>
      </c>
      <c r="Z129" s="26"/>
      <c r="AA129" s="26" t="s">
        <v>941</v>
      </c>
      <c r="AB129" s="26"/>
      <c r="AC129" s="26" t="s">
        <v>941</v>
      </c>
      <c r="AD129" s="26"/>
      <c r="AE129" s="26" t="s">
        <v>941</v>
      </c>
      <c r="AF129" s="26" t="s">
        <v>443</v>
      </c>
      <c r="AG129" s="26" t="s">
        <v>442</v>
      </c>
      <c r="AH129" s="26" t="s">
        <v>443</v>
      </c>
      <c r="AI129" s="26" t="s">
        <v>442</v>
      </c>
      <c r="AJ129" s="26" t="s">
        <v>443</v>
      </c>
      <c r="AK129" s="26" t="s">
        <v>442</v>
      </c>
      <c r="AL129" s="26" t="s">
        <v>443</v>
      </c>
      <c r="AM129" s="26" t="s">
        <v>442</v>
      </c>
      <c r="AN129" s="26" t="s">
        <v>443</v>
      </c>
      <c r="AO129" s="26" t="s">
        <v>442</v>
      </c>
      <c r="AP129" s="26" t="s">
        <v>443</v>
      </c>
      <c r="AQ129" s="26" t="s">
        <v>942</v>
      </c>
      <c r="AR129" s="26" t="s">
        <v>444</v>
      </c>
      <c r="AS129" s="26" t="s">
        <v>442</v>
      </c>
      <c r="AT129" s="26" t="s">
        <v>445</v>
      </c>
      <c r="AU129" s="26" t="s">
        <v>442</v>
      </c>
      <c r="AV129" s="26" t="s">
        <v>443</v>
      </c>
      <c r="AW129" s="26" t="s">
        <v>442</v>
      </c>
      <c r="AX129" s="26" t="s">
        <v>443</v>
      </c>
      <c r="AY129" s="26" t="s">
        <v>449</v>
      </c>
      <c r="AZ129" s="26" t="s">
        <v>943</v>
      </c>
      <c r="BA129" s="26" t="s">
        <v>944</v>
      </c>
      <c r="BB129" s="26" t="s">
        <v>945</v>
      </c>
      <c r="BC129" s="26" t="s">
        <v>944</v>
      </c>
      <c r="BD129" s="26" t="s">
        <v>946</v>
      </c>
      <c r="BE129" s="26" t="s">
        <v>944</v>
      </c>
      <c r="BF129" s="26"/>
      <c r="BG129" s="26" t="s">
        <v>944</v>
      </c>
    </row>
    <row r="130" spans="1:59" ht="25.5" customHeight="1" x14ac:dyDescent="0.15">
      <c r="A130" s="23" t="s">
        <v>243</v>
      </c>
      <c r="B130" s="24">
        <v>1.53427179624871</v>
      </c>
      <c r="C130" s="24">
        <v>1.7066140776698999</v>
      </c>
      <c r="D130" s="24">
        <v>2.33544457522934</v>
      </c>
      <c r="E130" s="24">
        <v>2.5697503671072002</v>
      </c>
      <c r="F130" s="24">
        <v>3.5997768138375399</v>
      </c>
      <c r="G130" s="24">
        <v>3.8787023977433002</v>
      </c>
      <c r="H130" s="24">
        <v>3.7955902142783202</v>
      </c>
      <c r="I130" s="24">
        <v>3.95</v>
      </c>
      <c r="J130" s="24">
        <v>4.5999999999999996</v>
      </c>
      <c r="K130" s="24">
        <v>5.6</v>
      </c>
      <c r="L130" s="24">
        <v>7</v>
      </c>
      <c r="M130" s="24">
        <v>10</v>
      </c>
      <c r="N130" s="24">
        <v>12.5</v>
      </c>
      <c r="O130" s="24">
        <v>14</v>
      </c>
      <c r="P130" s="24">
        <v>16.8</v>
      </c>
      <c r="Q130" s="24">
        <v>19.282441803510999</v>
      </c>
      <c r="R130" s="24">
        <v>29.787779362608099</v>
      </c>
      <c r="S130" s="24">
        <v>38.701162619828999</v>
      </c>
      <c r="T130" s="24"/>
      <c r="U130" s="25">
        <v>10.595726418660099</v>
      </c>
      <c r="V130" s="26"/>
      <c r="W130" s="26" t="s">
        <v>947</v>
      </c>
      <c r="X130" s="26"/>
      <c r="Y130" s="26" t="s">
        <v>947</v>
      </c>
      <c r="Z130" s="26"/>
      <c r="AA130" s="26" t="s">
        <v>947</v>
      </c>
      <c r="AB130" s="26"/>
      <c r="AC130" s="26" t="s">
        <v>947</v>
      </c>
      <c r="AD130" s="26"/>
      <c r="AE130" s="26" t="s">
        <v>947</v>
      </c>
      <c r="AF130" s="26"/>
      <c r="AG130" s="26" t="s">
        <v>947</v>
      </c>
      <c r="AH130" s="26"/>
      <c r="AI130" s="26" t="s">
        <v>947</v>
      </c>
      <c r="AJ130" s="26"/>
      <c r="AK130" s="26" t="s">
        <v>389</v>
      </c>
      <c r="AL130" s="26"/>
      <c r="AM130" s="26" t="s">
        <v>389</v>
      </c>
      <c r="AN130" s="26"/>
      <c r="AO130" s="26" t="s">
        <v>389</v>
      </c>
      <c r="AP130" s="26"/>
      <c r="AQ130" s="26" t="s">
        <v>389</v>
      </c>
      <c r="AR130" s="26"/>
      <c r="AS130" s="26" t="s">
        <v>389</v>
      </c>
      <c r="AT130" s="26"/>
      <c r="AU130" s="26" t="s">
        <v>389</v>
      </c>
      <c r="AV130" s="26"/>
      <c r="AW130" s="26" t="s">
        <v>389</v>
      </c>
      <c r="AX130" s="26"/>
      <c r="AY130" s="26" t="s">
        <v>389</v>
      </c>
      <c r="AZ130" s="26"/>
      <c r="BA130" s="26" t="s">
        <v>389</v>
      </c>
      <c r="BB130" s="26"/>
      <c r="BC130" s="26" t="s">
        <v>401</v>
      </c>
      <c r="BD130" s="26"/>
      <c r="BE130" s="26" t="s">
        <v>389</v>
      </c>
      <c r="BF130" s="26"/>
      <c r="BG130" s="26"/>
    </row>
    <row r="131" spans="1:59" ht="25.5" customHeight="1" x14ac:dyDescent="0.15">
      <c r="A131" s="23" t="s">
        <v>118</v>
      </c>
      <c r="B131" s="24">
        <v>0.19203146243480501</v>
      </c>
      <c r="C131" s="24">
        <v>0.26144855196719502</v>
      </c>
      <c r="D131" s="24">
        <v>0.36322941460857899</v>
      </c>
      <c r="E131" s="24">
        <v>0.424004895843197</v>
      </c>
      <c r="F131" s="24">
        <v>0.48147043823095398</v>
      </c>
      <c r="G131" s="24">
        <v>0.66996647487759697</v>
      </c>
      <c r="H131" s="24">
        <v>0.97966125273202997</v>
      </c>
      <c r="I131" s="24">
        <v>1.4336131958678799</v>
      </c>
      <c r="J131" s="24">
        <v>1.87</v>
      </c>
      <c r="K131" s="24">
        <v>2.2799999999999998</v>
      </c>
      <c r="L131" s="24">
        <v>4</v>
      </c>
      <c r="M131" s="24">
        <v>4.5</v>
      </c>
      <c r="N131" s="24">
        <v>5</v>
      </c>
      <c r="O131" s="24">
        <v>6.2</v>
      </c>
      <c r="P131" s="24">
        <v>10.7</v>
      </c>
      <c r="Q131" s="24">
        <v>15.199126690825</v>
      </c>
      <c r="R131" s="24">
        <v>18</v>
      </c>
      <c r="S131" s="24">
        <v>20.80096366143</v>
      </c>
      <c r="T131" s="24"/>
      <c r="U131" s="25">
        <v>10.595726418660099</v>
      </c>
      <c r="V131" s="26"/>
      <c r="W131" s="26"/>
      <c r="X131" s="26"/>
      <c r="Y131" s="26"/>
      <c r="Z131" s="26"/>
      <c r="AA131" s="26"/>
      <c r="AB131" s="26"/>
      <c r="AC131" s="26"/>
      <c r="AD131" s="26"/>
      <c r="AE131" s="26"/>
      <c r="AF131" s="26"/>
      <c r="AG131" s="26"/>
      <c r="AH131" s="26"/>
      <c r="AI131" s="26"/>
      <c r="AJ131" s="26"/>
      <c r="AK131" s="26" t="s">
        <v>389</v>
      </c>
      <c r="AL131" s="26"/>
      <c r="AM131" s="26" t="s">
        <v>389</v>
      </c>
      <c r="AN131" s="26"/>
      <c r="AO131" s="26" t="s">
        <v>389</v>
      </c>
      <c r="AP131" s="26"/>
      <c r="AQ131" s="26" t="s">
        <v>389</v>
      </c>
      <c r="AR131" s="26"/>
      <c r="AS131" s="26" t="s">
        <v>393</v>
      </c>
      <c r="AT131" s="26"/>
      <c r="AU131" s="26" t="s">
        <v>389</v>
      </c>
      <c r="AV131" s="26"/>
      <c r="AW131" s="26" t="s">
        <v>389</v>
      </c>
      <c r="AX131" s="26"/>
      <c r="AY131" s="26" t="s">
        <v>389</v>
      </c>
      <c r="AZ131" s="26"/>
      <c r="BA131" s="26" t="s">
        <v>389</v>
      </c>
      <c r="BB131" s="26"/>
      <c r="BC131" s="26" t="s">
        <v>401</v>
      </c>
      <c r="BD131" s="26"/>
      <c r="BE131" s="26" t="s">
        <v>389</v>
      </c>
      <c r="BF131" s="26"/>
      <c r="BG131" s="26"/>
    </row>
    <row r="132" spans="1:59" ht="25.5" customHeight="1" x14ac:dyDescent="0.15">
      <c r="A132" s="23" t="s">
        <v>54</v>
      </c>
      <c r="B132" s="24">
        <v>7.2815351149938499</v>
      </c>
      <c r="C132" s="24">
        <v>8.78090401892036</v>
      </c>
      <c r="D132" s="24">
        <v>10.252624671915999</v>
      </c>
      <c r="E132" s="24">
        <v>12.187106204130799</v>
      </c>
      <c r="F132" s="24">
        <v>13.689088588534201</v>
      </c>
      <c r="G132" s="24">
        <v>15.172228752491399</v>
      </c>
      <c r="H132" s="24">
        <v>16.7</v>
      </c>
      <c r="I132" s="24">
        <v>20.22</v>
      </c>
      <c r="J132" s="24">
        <v>21.81</v>
      </c>
      <c r="K132" s="24">
        <v>22.51</v>
      </c>
      <c r="L132" s="24">
        <v>28.33</v>
      </c>
      <c r="M132" s="24">
        <v>34.950000000000003</v>
      </c>
      <c r="N132" s="24">
        <v>35.42</v>
      </c>
      <c r="O132" s="24">
        <v>40.116825134999999</v>
      </c>
      <c r="P132" s="24">
        <v>44.8032753683379</v>
      </c>
      <c r="Q132" s="24">
        <v>50.1393184766711</v>
      </c>
      <c r="R132" s="24">
        <v>52.191325939999999</v>
      </c>
      <c r="S132" s="24">
        <v>55.403240300265701</v>
      </c>
      <c r="T132" s="24">
        <v>58.596169704299001</v>
      </c>
      <c r="U132" s="25">
        <v>10.595726418660099</v>
      </c>
      <c r="V132" s="26"/>
      <c r="W132" s="26" t="s">
        <v>948</v>
      </c>
      <c r="X132" s="26"/>
      <c r="Y132" s="26" t="s">
        <v>948</v>
      </c>
      <c r="Z132" s="26" t="s">
        <v>665</v>
      </c>
      <c r="AA132" s="26" t="s">
        <v>948</v>
      </c>
      <c r="AB132" s="26"/>
      <c r="AC132" s="26" t="s">
        <v>389</v>
      </c>
      <c r="AD132" s="26"/>
      <c r="AE132" s="26" t="s">
        <v>389</v>
      </c>
      <c r="AF132" s="26"/>
      <c r="AG132" s="26" t="s">
        <v>389</v>
      </c>
      <c r="AH132" s="26" t="s">
        <v>665</v>
      </c>
      <c r="AI132" s="26" t="s">
        <v>821</v>
      </c>
      <c r="AJ132" s="26"/>
      <c r="AK132" s="26" t="s">
        <v>949</v>
      </c>
      <c r="AL132" s="26" t="s">
        <v>665</v>
      </c>
      <c r="AM132" s="26" t="s">
        <v>821</v>
      </c>
      <c r="AN132" s="26"/>
      <c r="AO132" s="26" t="s">
        <v>949</v>
      </c>
      <c r="AP132" s="26" t="s">
        <v>485</v>
      </c>
      <c r="AQ132" s="26" t="s">
        <v>519</v>
      </c>
      <c r="AR132" s="26"/>
      <c r="AS132" s="26" t="s">
        <v>389</v>
      </c>
      <c r="AT132" s="26" t="s">
        <v>950</v>
      </c>
      <c r="AU132" s="26" t="s">
        <v>951</v>
      </c>
      <c r="AV132" s="26" t="s">
        <v>485</v>
      </c>
      <c r="AW132" s="26" t="s">
        <v>951</v>
      </c>
      <c r="AX132" s="26" t="s">
        <v>485</v>
      </c>
      <c r="AY132" s="26" t="s">
        <v>951</v>
      </c>
      <c r="AZ132" s="26" t="s">
        <v>485</v>
      </c>
      <c r="BA132" s="26" t="s">
        <v>951</v>
      </c>
      <c r="BB132" s="26"/>
      <c r="BC132" s="26" t="s">
        <v>951</v>
      </c>
      <c r="BD132" s="26"/>
      <c r="BE132" s="26" t="s">
        <v>951</v>
      </c>
      <c r="BF132" s="26"/>
      <c r="BG132" s="26" t="s">
        <v>951</v>
      </c>
    </row>
    <row r="133" spans="1:59" ht="25.5" customHeight="1" x14ac:dyDescent="0.15">
      <c r="A133" s="23" t="s">
        <v>196</v>
      </c>
      <c r="B133" s="24">
        <v>1.2115338017930699</v>
      </c>
      <c r="C133" s="24"/>
      <c r="D133" s="24"/>
      <c r="E133" s="24"/>
      <c r="F133" s="24"/>
      <c r="G133" s="24"/>
      <c r="H133" s="24"/>
      <c r="I133" s="24"/>
      <c r="J133" s="24"/>
      <c r="K133" s="24"/>
      <c r="L133" s="24"/>
      <c r="M133" s="24"/>
      <c r="N133" s="24"/>
      <c r="O133" s="24"/>
      <c r="P133" s="24"/>
      <c r="Q133" s="24"/>
      <c r="R133" s="24"/>
      <c r="S133" s="24"/>
      <c r="T133" s="24"/>
      <c r="U133" s="25">
        <v>10.595726418660099</v>
      </c>
      <c r="V133" s="26"/>
      <c r="W133" s="26"/>
      <c r="X133" s="26"/>
      <c r="Y133" s="26"/>
      <c r="Z133" s="26"/>
      <c r="AA133" s="26"/>
      <c r="AB133" s="26"/>
      <c r="AC133" s="26"/>
      <c r="AD133" s="26"/>
      <c r="AE133" s="26"/>
      <c r="AF133" s="26"/>
      <c r="AG133" s="26"/>
      <c r="AH133" s="26"/>
      <c r="AI133" s="26"/>
      <c r="AJ133" s="26"/>
      <c r="AK133" s="26"/>
      <c r="AL133" s="26"/>
      <c r="AM133" s="26"/>
      <c r="AN133" s="26"/>
      <c r="AO133" s="26"/>
      <c r="AP133" s="26"/>
      <c r="AQ133" s="26"/>
      <c r="AR133" s="26"/>
      <c r="AS133" s="26"/>
      <c r="AT133" s="26"/>
      <c r="AU133" s="26"/>
      <c r="AV133" s="26"/>
      <c r="AW133" s="26"/>
      <c r="AX133" s="26"/>
      <c r="AY133" s="26"/>
      <c r="AZ133" s="26"/>
      <c r="BA133" s="26"/>
      <c r="BB133" s="26"/>
      <c r="BC133" s="26"/>
      <c r="BD133" s="26"/>
      <c r="BE133" s="26"/>
      <c r="BF133" s="26"/>
      <c r="BG133" s="26"/>
    </row>
    <row r="134" spans="1:59" ht="25.5" customHeight="1" x14ac:dyDescent="0.15">
      <c r="A134" s="23" t="s">
        <v>111</v>
      </c>
      <c r="B134" s="24">
        <v>5.0813841533806601</v>
      </c>
      <c r="C134" s="24">
        <v>7.0380231165045002</v>
      </c>
      <c r="D134" s="24">
        <v>11.9</v>
      </c>
      <c r="E134" s="24">
        <v>12.9</v>
      </c>
      <c r="F134" s="24">
        <v>14.1</v>
      </c>
      <c r="G134" s="24">
        <v>17.21</v>
      </c>
      <c r="H134" s="24">
        <v>19.52</v>
      </c>
      <c r="I134" s="24">
        <v>20.81</v>
      </c>
      <c r="J134" s="24">
        <v>21.71</v>
      </c>
      <c r="K134" s="24">
        <v>26.34</v>
      </c>
      <c r="L134" s="24">
        <v>31.05</v>
      </c>
      <c r="M134" s="24">
        <v>37.1762954125184</v>
      </c>
      <c r="N134" s="24">
        <v>39.75</v>
      </c>
      <c r="O134" s="24">
        <v>43.46</v>
      </c>
      <c r="P134" s="24">
        <v>44.39</v>
      </c>
      <c r="Q134" s="24">
        <v>57.431042992363302</v>
      </c>
      <c r="R134" s="24">
        <v>59.540446000000003</v>
      </c>
      <c r="S134" s="24">
        <v>63.852249090000001</v>
      </c>
      <c r="T134" s="24">
        <v>65.772634475923297</v>
      </c>
      <c r="U134" s="25">
        <v>10.595726418660099</v>
      </c>
      <c r="V134" s="26"/>
      <c r="W134" s="26" t="s">
        <v>952</v>
      </c>
      <c r="X134" s="26"/>
      <c r="Y134" s="26" t="s">
        <v>953</v>
      </c>
      <c r="Z134" s="26" t="s">
        <v>475</v>
      </c>
      <c r="AA134" s="26" t="s">
        <v>389</v>
      </c>
      <c r="AB134" s="26" t="s">
        <v>954</v>
      </c>
      <c r="AC134" s="26" t="s">
        <v>389</v>
      </c>
      <c r="AD134" s="26" t="s">
        <v>475</v>
      </c>
      <c r="AE134" s="26" t="s">
        <v>389</v>
      </c>
      <c r="AF134" s="26" t="s">
        <v>955</v>
      </c>
      <c r="AG134" s="26" t="s">
        <v>389</v>
      </c>
      <c r="AH134" s="26" t="s">
        <v>955</v>
      </c>
      <c r="AI134" s="26" t="s">
        <v>389</v>
      </c>
      <c r="AJ134" s="26" t="s">
        <v>955</v>
      </c>
      <c r="AK134" s="26" t="s">
        <v>956</v>
      </c>
      <c r="AL134" s="26" t="s">
        <v>955</v>
      </c>
      <c r="AM134" s="26" t="s">
        <v>957</v>
      </c>
      <c r="AN134" s="26" t="s">
        <v>955</v>
      </c>
      <c r="AO134" s="26" t="s">
        <v>957</v>
      </c>
      <c r="AP134" s="26" t="s">
        <v>955</v>
      </c>
      <c r="AQ134" s="26" t="s">
        <v>957</v>
      </c>
      <c r="AR134" s="26" t="s">
        <v>475</v>
      </c>
      <c r="AS134" s="26" t="s">
        <v>958</v>
      </c>
      <c r="AT134" s="26" t="s">
        <v>475</v>
      </c>
      <c r="AU134" s="26" t="s">
        <v>959</v>
      </c>
      <c r="AV134" s="26" t="s">
        <v>475</v>
      </c>
      <c r="AW134" s="26" t="s">
        <v>959</v>
      </c>
      <c r="AX134" s="26" t="s">
        <v>475</v>
      </c>
      <c r="AY134" s="26" t="s">
        <v>959</v>
      </c>
      <c r="AZ134" s="26" t="s">
        <v>960</v>
      </c>
      <c r="BA134" s="26" t="s">
        <v>959</v>
      </c>
      <c r="BB134" s="26" t="s">
        <v>961</v>
      </c>
      <c r="BC134" s="26" t="s">
        <v>959</v>
      </c>
      <c r="BD134" s="26" t="s">
        <v>962</v>
      </c>
      <c r="BE134" s="26" t="s">
        <v>959</v>
      </c>
      <c r="BF134" s="26"/>
      <c r="BG134" s="26" t="s">
        <v>958</v>
      </c>
    </row>
    <row r="135" spans="1:59" ht="25.5" customHeight="1" x14ac:dyDescent="0.15">
      <c r="A135" s="23" t="s">
        <v>225</v>
      </c>
      <c r="B135" s="24">
        <v>3.7348621369013699</v>
      </c>
      <c r="C135" s="24">
        <v>4.6605271988367303</v>
      </c>
      <c r="D135" s="24">
        <v>5.5700997047847203</v>
      </c>
      <c r="E135" s="24">
        <v>9.23250210039423</v>
      </c>
      <c r="F135" s="24">
        <v>11.0178673081514</v>
      </c>
      <c r="G135" s="24">
        <v>11.8813690993008</v>
      </c>
      <c r="H135" s="24">
        <v>12.7503392500979</v>
      </c>
      <c r="I135" s="24">
        <v>13.621132733398101</v>
      </c>
      <c r="J135" s="24">
        <v>14.49</v>
      </c>
      <c r="K135" s="24">
        <v>15.35</v>
      </c>
      <c r="L135" s="24">
        <v>20</v>
      </c>
      <c r="M135" s="24">
        <v>22.8</v>
      </c>
      <c r="N135" s="24">
        <v>25.974423002988299</v>
      </c>
      <c r="O135" s="24">
        <v>27.8</v>
      </c>
      <c r="P135" s="24">
        <v>29.65</v>
      </c>
      <c r="Q135" s="24">
        <v>31.501081275309001</v>
      </c>
      <c r="R135" s="24">
        <v>33.352162552269</v>
      </c>
      <c r="S135" s="24">
        <v>35.3040528661747</v>
      </c>
      <c r="T135" s="24"/>
      <c r="U135" s="25">
        <v>10.595726418660099</v>
      </c>
      <c r="V135" s="26"/>
      <c r="W135" s="26"/>
      <c r="X135" s="26"/>
      <c r="Y135" s="26"/>
      <c r="Z135" s="26"/>
      <c r="AA135" s="26"/>
      <c r="AB135" s="26"/>
      <c r="AC135" s="26"/>
      <c r="AD135" s="26"/>
      <c r="AE135" s="26"/>
      <c r="AF135" s="26"/>
      <c r="AG135" s="26"/>
      <c r="AH135" s="26"/>
      <c r="AI135" s="26"/>
      <c r="AJ135" s="26"/>
      <c r="AK135" s="26" t="s">
        <v>389</v>
      </c>
      <c r="AL135" s="26"/>
      <c r="AM135" s="26" t="s">
        <v>963</v>
      </c>
      <c r="AN135" s="26"/>
      <c r="AO135" s="26" t="s">
        <v>963</v>
      </c>
      <c r="AP135" s="26"/>
      <c r="AQ135" s="26" t="s">
        <v>389</v>
      </c>
      <c r="AR135" s="26"/>
      <c r="AS135" s="26" t="s">
        <v>389</v>
      </c>
      <c r="AT135" s="26"/>
      <c r="AU135" s="26" t="s">
        <v>389</v>
      </c>
      <c r="AV135" s="26"/>
      <c r="AW135" s="26" t="s">
        <v>389</v>
      </c>
      <c r="AX135" s="26"/>
      <c r="AY135" s="26" t="s">
        <v>389</v>
      </c>
      <c r="AZ135" s="26"/>
      <c r="BA135" s="26" t="s">
        <v>389</v>
      </c>
      <c r="BB135" s="26"/>
      <c r="BC135" s="26" t="s">
        <v>401</v>
      </c>
      <c r="BD135" s="26"/>
      <c r="BE135" s="26" t="s">
        <v>389</v>
      </c>
      <c r="BF135" s="26"/>
      <c r="BG135" s="26"/>
    </row>
    <row r="136" spans="1:59" ht="25.5" customHeight="1" x14ac:dyDescent="0.15">
      <c r="A136" s="23" t="s">
        <v>89</v>
      </c>
      <c r="B136" s="24">
        <v>1.28284641670022</v>
      </c>
      <c r="C136" s="24">
        <v>1.48781295215565</v>
      </c>
      <c r="D136" s="24">
        <v>3.7872427988734199</v>
      </c>
      <c r="E136" s="24">
        <v>7.4075445841589698</v>
      </c>
      <c r="F136" s="24">
        <v>10.629390841654001</v>
      </c>
      <c r="G136" s="24">
        <v>14.6302704551796</v>
      </c>
      <c r="H136" s="24">
        <v>19.6206477051634</v>
      </c>
      <c r="I136" s="24">
        <v>20.45</v>
      </c>
      <c r="J136" s="24">
        <v>23.39</v>
      </c>
      <c r="K136" s="24">
        <v>27.5</v>
      </c>
      <c r="L136" s="24">
        <v>32.299999999999997</v>
      </c>
      <c r="M136" s="24">
        <v>38</v>
      </c>
      <c r="N136" s="24">
        <v>43.37</v>
      </c>
      <c r="O136" s="24">
        <v>60</v>
      </c>
      <c r="P136" s="24">
        <v>67</v>
      </c>
      <c r="Q136" s="24">
        <v>69</v>
      </c>
      <c r="R136" s="24">
        <v>70.999999110000005</v>
      </c>
      <c r="S136" s="24">
        <v>76.124519893160794</v>
      </c>
      <c r="T136" s="24"/>
      <c r="U136" s="25">
        <v>10.595726418660099</v>
      </c>
      <c r="V136" s="26"/>
      <c r="W136" s="26"/>
      <c r="X136" s="26"/>
      <c r="Y136" s="26"/>
      <c r="Z136" s="26"/>
      <c r="AA136" s="26"/>
      <c r="AB136" s="26"/>
      <c r="AC136" s="26"/>
      <c r="AD136" s="26"/>
      <c r="AE136" s="26"/>
      <c r="AF136" s="26"/>
      <c r="AG136" s="26" t="s">
        <v>964</v>
      </c>
      <c r="AH136" s="26"/>
      <c r="AI136" s="26" t="s">
        <v>964</v>
      </c>
      <c r="AJ136" s="26"/>
      <c r="AK136" s="26" t="s">
        <v>964</v>
      </c>
      <c r="AL136" s="26" t="s">
        <v>965</v>
      </c>
      <c r="AM136" s="26" t="s">
        <v>964</v>
      </c>
      <c r="AN136" s="26"/>
      <c r="AO136" s="26" t="s">
        <v>389</v>
      </c>
      <c r="AP136" s="26"/>
      <c r="AQ136" s="26" t="s">
        <v>389</v>
      </c>
      <c r="AR136" s="26"/>
      <c r="AS136" s="26" t="s">
        <v>964</v>
      </c>
      <c r="AT136" s="26"/>
      <c r="AU136" s="26" t="s">
        <v>389</v>
      </c>
      <c r="AV136" s="26"/>
      <c r="AW136" s="26" t="s">
        <v>966</v>
      </c>
      <c r="AX136" s="26"/>
      <c r="AY136" s="26" t="s">
        <v>967</v>
      </c>
      <c r="AZ136" s="26"/>
      <c r="BA136" s="26" t="s">
        <v>967</v>
      </c>
      <c r="BB136" s="26" t="s">
        <v>968</v>
      </c>
      <c r="BC136" s="26" t="s">
        <v>969</v>
      </c>
      <c r="BD136" s="26"/>
      <c r="BE136" s="26" t="s">
        <v>389</v>
      </c>
      <c r="BF136" s="26"/>
      <c r="BG136" s="26"/>
    </row>
    <row r="137" spans="1:59" ht="25.5" customHeight="1" x14ac:dyDescent="0.15">
      <c r="A137" s="23" t="s">
        <v>152</v>
      </c>
      <c r="B137" s="24">
        <v>42.184863446034598</v>
      </c>
      <c r="C137" s="24">
        <v>46.646142364026502</v>
      </c>
      <c r="D137" s="24">
        <v>48.0471171729696</v>
      </c>
      <c r="E137" s="24">
        <v>49.491168919545899</v>
      </c>
      <c r="F137" s="24">
        <v>52.490196683854599</v>
      </c>
      <c r="G137" s="24">
        <v>55.464826056142698</v>
      </c>
      <c r="H137" s="24">
        <v>61.4760397135217</v>
      </c>
      <c r="I137" s="24">
        <v>64.377682403433496</v>
      </c>
      <c r="J137" s="24">
        <v>67.25</v>
      </c>
      <c r="K137" s="24">
        <v>70.099999999999994</v>
      </c>
      <c r="L137" s="24">
        <v>75</v>
      </c>
      <c r="M137" s="24">
        <v>80.3</v>
      </c>
      <c r="N137" s="24">
        <v>87</v>
      </c>
      <c r="O137" s="24">
        <v>90.7</v>
      </c>
      <c r="P137" s="24">
        <v>92.4</v>
      </c>
      <c r="Q137" s="24">
        <v>93.363302018093293</v>
      </c>
      <c r="R137" s="24">
        <v>95.208177970053399</v>
      </c>
      <c r="S137" s="24">
        <v>97.052976836927499</v>
      </c>
      <c r="T137" s="24"/>
      <c r="U137" s="25">
        <v>10.595726418660099</v>
      </c>
      <c r="V137" s="26"/>
      <c r="W137" s="26"/>
      <c r="X137" s="26"/>
      <c r="Y137" s="26"/>
      <c r="Z137" s="26"/>
      <c r="AA137" s="26"/>
      <c r="AB137" s="26"/>
      <c r="AC137" s="26"/>
      <c r="AD137" s="26"/>
      <c r="AE137" s="26"/>
      <c r="AF137" s="26"/>
      <c r="AG137" s="26"/>
      <c r="AH137" s="26"/>
      <c r="AI137" s="26"/>
      <c r="AJ137" s="26"/>
      <c r="AK137" s="26" t="s">
        <v>389</v>
      </c>
      <c r="AL137" s="26"/>
      <c r="AM137" s="26" t="s">
        <v>970</v>
      </c>
      <c r="AN137" s="26"/>
      <c r="AO137" s="26" t="s">
        <v>970</v>
      </c>
      <c r="AP137" s="26"/>
      <c r="AQ137" s="26" t="s">
        <v>970</v>
      </c>
      <c r="AR137" s="26"/>
      <c r="AS137" s="26" t="s">
        <v>389</v>
      </c>
      <c r="AT137" s="26"/>
      <c r="AU137" s="26" t="s">
        <v>389</v>
      </c>
      <c r="AV137" s="26"/>
      <c r="AW137" s="26" t="s">
        <v>389</v>
      </c>
      <c r="AX137" s="26"/>
      <c r="AY137" s="26" t="s">
        <v>389</v>
      </c>
      <c r="AZ137" s="26"/>
      <c r="BA137" s="26" t="s">
        <v>389</v>
      </c>
      <c r="BB137" s="26"/>
      <c r="BC137" s="26" t="s">
        <v>401</v>
      </c>
      <c r="BD137" s="26"/>
      <c r="BE137" s="26" t="s">
        <v>389</v>
      </c>
      <c r="BF137" s="26"/>
      <c r="BG137" s="26"/>
    </row>
    <row r="138" spans="1:59" ht="25.5" customHeight="1" x14ac:dyDescent="0.15">
      <c r="A138" s="23" t="s">
        <v>86</v>
      </c>
      <c r="B138" s="24">
        <v>1.2556520035811201</v>
      </c>
      <c r="C138" s="24">
        <v>1.6532382390698199</v>
      </c>
      <c r="D138" s="24">
        <v>2.0395726034817998</v>
      </c>
      <c r="E138" s="24"/>
      <c r="F138" s="24"/>
      <c r="G138" s="24"/>
      <c r="H138" s="24"/>
      <c r="I138" s="24">
        <v>9</v>
      </c>
      <c r="J138" s="24">
        <v>9.8000000000000007</v>
      </c>
      <c r="K138" s="24">
        <v>10</v>
      </c>
      <c r="L138" s="24">
        <v>10.199999999999999</v>
      </c>
      <c r="M138" s="24">
        <v>12.4999911084745</v>
      </c>
      <c r="N138" s="24">
        <v>16.399999999999999</v>
      </c>
      <c r="O138" s="24">
        <v>17.699984236999999</v>
      </c>
      <c r="P138" s="24">
        <v>19.942447434920901</v>
      </c>
      <c r="Q138" s="24">
        <v>22.500004133768801</v>
      </c>
      <c r="R138" s="24">
        <v>22.265770499999999</v>
      </c>
      <c r="S138" s="24">
        <v>23.714265173706099</v>
      </c>
      <c r="T138" s="24"/>
      <c r="U138" s="25">
        <v>10.595726418660099</v>
      </c>
      <c r="V138" s="26"/>
      <c r="W138" s="26"/>
      <c r="X138" s="26"/>
      <c r="Y138" s="26"/>
      <c r="Z138" s="26"/>
      <c r="AA138" s="26"/>
      <c r="AB138" s="26"/>
      <c r="AC138" s="26"/>
      <c r="AD138" s="26"/>
      <c r="AE138" s="26"/>
      <c r="AF138" s="26"/>
      <c r="AG138" s="26"/>
      <c r="AH138" s="26"/>
      <c r="AI138" s="26"/>
      <c r="AJ138" s="26"/>
      <c r="AK138" s="26" t="s">
        <v>389</v>
      </c>
      <c r="AL138" s="26"/>
      <c r="AM138" s="26" t="s">
        <v>971</v>
      </c>
      <c r="AN138" s="26"/>
      <c r="AO138" s="26" t="s">
        <v>971</v>
      </c>
      <c r="AP138" s="26" t="s">
        <v>801</v>
      </c>
      <c r="AQ138" s="26" t="s">
        <v>972</v>
      </c>
      <c r="AR138" s="26"/>
      <c r="AS138" s="26" t="s">
        <v>972</v>
      </c>
      <c r="AT138" s="26" t="s">
        <v>973</v>
      </c>
      <c r="AU138" s="26" t="s">
        <v>972</v>
      </c>
      <c r="AV138" s="26" t="s">
        <v>422</v>
      </c>
      <c r="AW138" s="26" t="s">
        <v>972</v>
      </c>
      <c r="AX138" s="26" t="s">
        <v>422</v>
      </c>
      <c r="AY138" s="26" t="s">
        <v>972</v>
      </c>
      <c r="AZ138" s="26"/>
      <c r="BA138" s="26" t="s">
        <v>972</v>
      </c>
      <c r="BB138" s="26"/>
      <c r="BC138" s="26" t="s">
        <v>972</v>
      </c>
      <c r="BD138" s="26"/>
      <c r="BE138" s="26" t="s">
        <v>389</v>
      </c>
      <c r="BF138" s="26"/>
      <c r="BG138" s="26"/>
    </row>
    <row r="139" spans="1:59" ht="25.5" customHeight="1" x14ac:dyDescent="0.15">
      <c r="A139" s="23" t="s">
        <v>163</v>
      </c>
      <c r="B139" s="24"/>
      <c r="C139" s="24"/>
      <c r="D139" s="24"/>
      <c r="E139" s="24"/>
      <c r="F139" s="24">
        <v>25.3500686036232</v>
      </c>
      <c r="G139" s="24">
        <v>27.1</v>
      </c>
      <c r="H139" s="24">
        <v>28.9</v>
      </c>
      <c r="I139" s="24">
        <v>30.8</v>
      </c>
      <c r="J139" s="24">
        <v>32.9</v>
      </c>
      <c r="K139" s="24">
        <v>35.1</v>
      </c>
      <c r="L139" s="24">
        <v>37.5</v>
      </c>
      <c r="M139" s="24">
        <v>35.611541246010901</v>
      </c>
      <c r="N139" s="24">
        <v>56.838782549063097</v>
      </c>
      <c r="O139" s="24">
        <v>60.31</v>
      </c>
      <c r="P139" s="24">
        <v>61</v>
      </c>
      <c r="Q139" s="24">
        <v>68.119581035931702</v>
      </c>
      <c r="R139" s="24">
        <v>69.881646840000002</v>
      </c>
      <c r="S139" s="24">
        <v>71.272332539999994</v>
      </c>
      <c r="T139" s="24">
        <v>71.517252997762995</v>
      </c>
      <c r="U139" s="25">
        <v>10.595726418660099</v>
      </c>
      <c r="V139" s="26"/>
      <c r="W139" s="26"/>
      <c r="X139" s="26"/>
      <c r="Y139" s="26"/>
      <c r="Z139" s="26"/>
      <c r="AA139" s="26"/>
      <c r="AB139" s="26"/>
      <c r="AC139" s="26"/>
      <c r="AD139" s="26"/>
      <c r="AE139" s="26" t="s">
        <v>974</v>
      </c>
      <c r="AF139" s="26"/>
      <c r="AG139" s="26" t="s">
        <v>389</v>
      </c>
      <c r="AH139" s="26"/>
      <c r="AI139" s="26" t="s">
        <v>389</v>
      </c>
      <c r="AJ139" s="26"/>
      <c r="AK139" s="26" t="s">
        <v>389</v>
      </c>
      <c r="AL139" s="26"/>
      <c r="AM139" s="26" t="s">
        <v>389</v>
      </c>
      <c r="AN139" s="26"/>
      <c r="AO139" s="26" t="s">
        <v>389</v>
      </c>
      <c r="AP139" s="26"/>
      <c r="AQ139" s="26" t="s">
        <v>389</v>
      </c>
      <c r="AR139" s="26" t="s">
        <v>443</v>
      </c>
      <c r="AS139" s="26" t="s">
        <v>975</v>
      </c>
      <c r="AT139" s="26" t="s">
        <v>443</v>
      </c>
      <c r="AU139" s="26" t="s">
        <v>976</v>
      </c>
      <c r="AV139" s="26" t="s">
        <v>443</v>
      </c>
      <c r="AW139" s="26" t="s">
        <v>442</v>
      </c>
      <c r="AX139" s="26"/>
      <c r="AY139" s="26" t="s">
        <v>389</v>
      </c>
      <c r="AZ139" s="26" t="s">
        <v>443</v>
      </c>
      <c r="BA139" s="26" t="s">
        <v>976</v>
      </c>
      <c r="BB139" s="26"/>
      <c r="BC139" s="26" t="s">
        <v>976</v>
      </c>
      <c r="BD139" s="26"/>
      <c r="BE139" s="26" t="s">
        <v>976</v>
      </c>
      <c r="BF139" s="26"/>
      <c r="BG139" s="26" t="s">
        <v>976</v>
      </c>
    </row>
    <row r="140" spans="1:59" ht="25.5" customHeight="1" x14ac:dyDescent="0.15">
      <c r="A140" s="23" t="s">
        <v>223</v>
      </c>
      <c r="B140" s="24"/>
      <c r="C140" s="24"/>
      <c r="D140" s="24"/>
      <c r="E140" s="24"/>
      <c r="F140" s="24"/>
      <c r="G140" s="24"/>
      <c r="H140" s="24">
        <v>25.911210917256899</v>
      </c>
      <c r="I140" s="24">
        <v>20.4255319148936</v>
      </c>
      <c r="J140" s="24">
        <v>20.32</v>
      </c>
      <c r="K140" s="24">
        <v>20.260000000000002</v>
      </c>
      <c r="L140" s="24">
        <v>35</v>
      </c>
      <c r="M140" s="24">
        <v>54.550995530272303</v>
      </c>
      <c r="N140" s="24"/>
      <c r="O140" s="24"/>
      <c r="P140" s="24"/>
      <c r="Q140" s="24"/>
      <c r="R140" s="24"/>
      <c r="S140" s="24"/>
      <c r="T140" s="24"/>
      <c r="U140" s="25">
        <v>10.595726418660099</v>
      </c>
      <c r="V140" s="26"/>
      <c r="W140" s="26"/>
      <c r="X140" s="26"/>
      <c r="Y140" s="26"/>
      <c r="Z140" s="26"/>
      <c r="AA140" s="26"/>
      <c r="AB140" s="26"/>
      <c r="AC140" s="26"/>
      <c r="AD140" s="26"/>
      <c r="AE140" s="26"/>
      <c r="AF140" s="26"/>
      <c r="AG140" s="26"/>
      <c r="AH140" s="26"/>
      <c r="AI140" s="26"/>
      <c r="AJ140" s="26"/>
      <c r="AK140" s="26" t="s">
        <v>389</v>
      </c>
      <c r="AL140" s="26"/>
      <c r="AM140" s="26" t="s">
        <v>389</v>
      </c>
      <c r="AN140" s="26"/>
      <c r="AO140" s="26" t="s">
        <v>389</v>
      </c>
      <c r="AP140" s="26"/>
      <c r="AQ140" s="26" t="s">
        <v>977</v>
      </c>
      <c r="AR140" s="26"/>
      <c r="AS140" s="26" t="s">
        <v>978</v>
      </c>
      <c r="AT140" s="26"/>
      <c r="AU140" s="26"/>
      <c r="AV140" s="26"/>
      <c r="AW140" s="26"/>
      <c r="AX140" s="26"/>
      <c r="AY140" s="26"/>
      <c r="AZ140" s="26"/>
      <c r="BA140" s="26"/>
      <c r="BB140" s="26"/>
      <c r="BC140" s="26"/>
      <c r="BD140" s="26"/>
      <c r="BE140" s="26"/>
      <c r="BF140" s="26"/>
      <c r="BG140" s="26"/>
    </row>
    <row r="141" spans="1:59" ht="25.5" customHeight="1" x14ac:dyDescent="0.15">
      <c r="A141" s="23" t="s">
        <v>110</v>
      </c>
      <c r="B141" s="24">
        <v>0.69379124480545495</v>
      </c>
      <c r="C141" s="24">
        <v>1.3714381009641801</v>
      </c>
      <c r="D141" s="24">
        <v>2.3732531924154401</v>
      </c>
      <c r="E141" s="24">
        <v>3.3533666812236298</v>
      </c>
      <c r="F141" s="24">
        <v>11.607934772958201</v>
      </c>
      <c r="G141" s="24">
        <v>15.0844445240204</v>
      </c>
      <c r="H141" s="24">
        <v>19.771191565311501</v>
      </c>
      <c r="I141" s="24">
        <v>21.5</v>
      </c>
      <c r="J141" s="24">
        <v>33.1</v>
      </c>
      <c r="K141" s="24">
        <v>41.3</v>
      </c>
      <c r="L141" s="24">
        <v>52</v>
      </c>
      <c r="M141" s="24">
        <v>46.107482597000001</v>
      </c>
      <c r="N141" s="24">
        <v>55.416053191489397</v>
      </c>
      <c r="O141" s="24">
        <v>56</v>
      </c>
      <c r="P141" s="24">
        <v>56.8</v>
      </c>
      <c r="Q141" s="24">
        <v>57.08</v>
      </c>
      <c r="R141" s="24">
        <v>58.271236420000001</v>
      </c>
      <c r="S141" s="24">
        <v>61.762212009999999</v>
      </c>
      <c r="T141" s="24">
        <v>64.803865192404302</v>
      </c>
      <c r="U141" s="25">
        <v>10.595726418660099</v>
      </c>
      <c r="V141" s="26"/>
      <c r="W141" s="26" t="s">
        <v>979</v>
      </c>
      <c r="X141" s="26"/>
      <c r="Y141" s="26" t="s">
        <v>979</v>
      </c>
      <c r="Z141" s="26"/>
      <c r="AA141" s="26" t="s">
        <v>979</v>
      </c>
      <c r="AB141" s="26"/>
      <c r="AC141" s="26" t="s">
        <v>979</v>
      </c>
      <c r="AD141" s="26" t="s">
        <v>980</v>
      </c>
      <c r="AE141" s="26" t="s">
        <v>979</v>
      </c>
      <c r="AF141" s="26" t="s">
        <v>980</v>
      </c>
      <c r="AG141" s="26" t="s">
        <v>979</v>
      </c>
      <c r="AH141" s="26" t="s">
        <v>980</v>
      </c>
      <c r="AI141" s="26" t="s">
        <v>979</v>
      </c>
      <c r="AJ141" s="26" t="s">
        <v>980</v>
      </c>
      <c r="AK141" s="26" t="s">
        <v>981</v>
      </c>
      <c r="AL141" s="26" t="s">
        <v>980</v>
      </c>
      <c r="AM141" s="26" t="s">
        <v>981</v>
      </c>
      <c r="AN141" s="26" t="s">
        <v>982</v>
      </c>
      <c r="AO141" s="26" t="s">
        <v>981</v>
      </c>
      <c r="AP141" s="26" t="s">
        <v>983</v>
      </c>
      <c r="AQ141" s="26" t="s">
        <v>981</v>
      </c>
      <c r="AR141" s="26" t="s">
        <v>984</v>
      </c>
      <c r="AS141" s="26" t="s">
        <v>981</v>
      </c>
      <c r="AT141" s="26" t="s">
        <v>985</v>
      </c>
      <c r="AU141" s="26" t="s">
        <v>986</v>
      </c>
      <c r="AV141" s="26" t="s">
        <v>987</v>
      </c>
      <c r="AW141" s="26" t="s">
        <v>986</v>
      </c>
      <c r="AX141" s="26" t="s">
        <v>988</v>
      </c>
      <c r="AY141" s="26" t="s">
        <v>986</v>
      </c>
      <c r="AZ141" s="26" t="s">
        <v>605</v>
      </c>
      <c r="BA141" s="26" t="s">
        <v>981</v>
      </c>
      <c r="BB141" s="26"/>
      <c r="BC141" s="26" t="s">
        <v>981</v>
      </c>
      <c r="BD141" s="26"/>
      <c r="BE141" s="26" t="s">
        <v>981</v>
      </c>
      <c r="BF141" s="26"/>
      <c r="BG141" s="26" t="s">
        <v>981</v>
      </c>
    </row>
    <row r="142" spans="1:59" ht="25.5" customHeight="1" x14ac:dyDescent="0.15">
      <c r="A142" s="23" t="s">
        <v>30</v>
      </c>
      <c r="B142" s="24">
        <v>0.109592530041641</v>
      </c>
      <c r="C142" s="24">
        <v>0.160031946644069</v>
      </c>
      <c r="D142" s="24">
        <v>0.25961261125373902</v>
      </c>
      <c r="E142" s="24">
        <v>0.41953884391370699</v>
      </c>
      <c r="F142" s="24">
        <v>0.67944783539243803</v>
      </c>
      <c r="G142" s="24">
        <v>0.85435711810752801</v>
      </c>
      <c r="H142" s="24">
        <v>0.84295448804423601</v>
      </c>
      <c r="I142" s="24">
        <v>0.91</v>
      </c>
      <c r="J142" s="24">
        <v>1.56</v>
      </c>
      <c r="K142" s="24">
        <v>2.68</v>
      </c>
      <c r="L142" s="24">
        <v>4.17</v>
      </c>
      <c r="M142" s="24">
        <v>4.3</v>
      </c>
      <c r="N142" s="24">
        <v>6</v>
      </c>
      <c r="O142" s="24">
        <v>7.2939373300000003</v>
      </c>
      <c r="P142" s="24">
        <v>9.2363148959999997</v>
      </c>
      <c r="Q142" s="24">
        <v>16.93353299</v>
      </c>
      <c r="R142" s="24">
        <v>17.5212390868424</v>
      </c>
      <c r="S142" s="24">
        <v>10</v>
      </c>
      <c r="T142" s="24"/>
      <c r="U142" s="25">
        <v>10.595726418660099</v>
      </c>
      <c r="V142" s="26"/>
      <c r="W142" s="26" t="s">
        <v>989</v>
      </c>
      <c r="X142" s="26"/>
      <c r="Y142" s="26" t="s">
        <v>989</v>
      </c>
      <c r="Z142" s="26"/>
      <c r="AA142" s="26" t="s">
        <v>989</v>
      </c>
      <c r="AB142" s="26"/>
      <c r="AC142" s="26" t="s">
        <v>990</v>
      </c>
      <c r="AD142" s="26"/>
      <c r="AE142" s="26" t="s">
        <v>990</v>
      </c>
      <c r="AF142" s="26"/>
      <c r="AG142" s="26" t="s">
        <v>389</v>
      </c>
      <c r="AH142" s="26"/>
      <c r="AI142" s="26" t="s">
        <v>990</v>
      </c>
      <c r="AJ142" s="26"/>
      <c r="AK142" s="26" t="s">
        <v>991</v>
      </c>
      <c r="AL142" s="26"/>
      <c r="AM142" s="26" t="s">
        <v>991</v>
      </c>
      <c r="AN142" s="26"/>
      <c r="AO142" s="26" t="s">
        <v>991</v>
      </c>
      <c r="AP142" s="26"/>
      <c r="AQ142" s="26" t="s">
        <v>992</v>
      </c>
      <c r="AR142" s="26"/>
      <c r="AS142" s="26" t="s">
        <v>389</v>
      </c>
      <c r="AT142" s="26"/>
      <c r="AU142" s="26" t="s">
        <v>389</v>
      </c>
      <c r="AV142" s="26"/>
      <c r="AW142" s="26" t="s">
        <v>389</v>
      </c>
      <c r="AX142" s="26"/>
      <c r="AY142" s="26" t="s">
        <v>389</v>
      </c>
      <c r="AZ142" s="26"/>
      <c r="BA142" s="26" t="s">
        <v>401</v>
      </c>
      <c r="BB142" s="26"/>
      <c r="BC142" s="26" t="s">
        <v>401</v>
      </c>
      <c r="BD142" s="26" t="s">
        <v>993</v>
      </c>
      <c r="BE142" s="26" t="s">
        <v>994</v>
      </c>
      <c r="BF142" s="26"/>
      <c r="BG142" s="26"/>
    </row>
    <row r="143" spans="1:59" ht="25.5" customHeight="1" x14ac:dyDescent="0.15">
      <c r="A143" s="23" t="s">
        <v>995</v>
      </c>
      <c r="B143" s="24"/>
      <c r="C143" s="24">
        <v>2.8927738084856102E-4</v>
      </c>
      <c r="D143" s="24">
        <v>4.2649350636188998E-4</v>
      </c>
      <c r="E143" s="24">
        <v>2.4064149140846501E-2</v>
      </c>
      <c r="F143" s="24">
        <v>2.4337392002823002E-2</v>
      </c>
      <c r="G143" s="24">
        <v>6.5238855501147594E-2</v>
      </c>
      <c r="H143" s="24">
        <v>0.18204833106115001</v>
      </c>
      <c r="I143" s="24">
        <v>0.21712844506995799</v>
      </c>
      <c r="J143" s="24">
        <v>0.22</v>
      </c>
      <c r="K143" s="24">
        <v>0.22</v>
      </c>
      <c r="L143" s="24">
        <v>0.25</v>
      </c>
      <c r="M143" s="24">
        <v>0.98</v>
      </c>
      <c r="N143" s="24">
        <v>4</v>
      </c>
      <c r="O143" s="24">
        <v>8</v>
      </c>
      <c r="P143" s="24">
        <v>11.52</v>
      </c>
      <c r="Q143" s="24">
        <v>21.72583401</v>
      </c>
      <c r="R143" s="24">
        <v>25.073304239999999</v>
      </c>
      <c r="S143" s="24">
        <v>30.678183113259202</v>
      </c>
      <c r="T143" s="24"/>
      <c r="U143" s="25">
        <v>10.595726418660099</v>
      </c>
      <c r="V143" s="26"/>
      <c r="W143" s="26"/>
      <c r="X143" s="26"/>
      <c r="Y143" s="26"/>
      <c r="Z143" s="26"/>
      <c r="AA143" s="26"/>
      <c r="AB143" s="26"/>
      <c r="AC143" s="26"/>
      <c r="AD143" s="26"/>
      <c r="AE143" s="26"/>
      <c r="AF143" s="26"/>
      <c r="AG143" s="26"/>
      <c r="AH143" s="26"/>
      <c r="AI143" s="26" t="s">
        <v>996</v>
      </c>
      <c r="AJ143" s="26"/>
      <c r="AK143" s="26" t="s">
        <v>996</v>
      </c>
      <c r="AL143" s="26"/>
      <c r="AM143" s="26" t="s">
        <v>997</v>
      </c>
      <c r="AN143" s="26"/>
      <c r="AO143" s="26" t="s">
        <v>389</v>
      </c>
      <c r="AP143" s="26"/>
      <c r="AQ143" s="26" t="s">
        <v>997</v>
      </c>
      <c r="AR143" s="26"/>
      <c r="AS143" s="26" t="s">
        <v>997</v>
      </c>
      <c r="AT143" s="26"/>
      <c r="AU143" s="26" t="s">
        <v>389</v>
      </c>
      <c r="AV143" s="26"/>
      <c r="AW143" s="26" t="s">
        <v>389</v>
      </c>
      <c r="AX143" s="26"/>
      <c r="AY143" s="26" t="s">
        <v>389</v>
      </c>
      <c r="AZ143" s="26"/>
      <c r="BA143" s="26" t="s">
        <v>389</v>
      </c>
      <c r="BB143" s="26"/>
      <c r="BC143" s="26" t="s">
        <v>401</v>
      </c>
      <c r="BD143" s="26"/>
      <c r="BE143" s="26" t="s">
        <v>389</v>
      </c>
      <c r="BF143" s="26"/>
      <c r="BG143" s="26"/>
    </row>
    <row r="144" spans="1:59" ht="25.5" customHeight="1" x14ac:dyDescent="0.15">
      <c r="A144" s="23" t="s">
        <v>105</v>
      </c>
      <c r="B144" s="24">
        <v>1.6447395472689901</v>
      </c>
      <c r="C144" s="24">
        <v>2.4169794417099801</v>
      </c>
      <c r="D144" s="24">
        <v>2.6336997687611601</v>
      </c>
      <c r="E144" s="24">
        <v>3.3598398855380101</v>
      </c>
      <c r="F144" s="24">
        <v>3.8047156152630999</v>
      </c>
      <c r="G144" s="24">
        <v>4.0100466444237499</v>
      </c>
      <c r="H144" s="24">
        <v>4.3988706473272599</v>
      </c>
      <c r="I144" s="24">
        <v>4.8356107783370401</v>
      </c>
      <c r="J144" s="24">
        <v>5.32900377208954</v>
      </c>
      <c r="K144" s="24">
        <v>6.5</v>
      </c>
      <c r="L144" s="24">
        <v>11.6</v>
      </c>
      <c r="M144" s="24">
        <v>12</v>
      </c>
      <c r="N144" s="24">
        <v>12.9414</v>
      </c>
      <c r="O144" s="24">
        <v>13.9</v>
      </c>
      <c r="P144" s="24">
        <v>14.84</v>
      </c>
      <c r="Q144" s="24">
        <v>25.687851819999999</v>
      </c>
      <c r="R144" s="24">
        <v>31.033345938345398</v>
      </c>
      <c r="S144" s="24">
        <v>51</v>
      </c>
      <c r="T144" s="24"/>
      <c r="U144" s="25">
        <v>10.595726418660099</v>
      </c>
      <c r="V144" s="26"/>
      <c r="W144" s="26" t="s">
        <v>998</v>
      </c>
      <c r="X144" s="26"/>
      <c r="Y144" s="26" t="s">
        <v>998</v>
      </c>
      <c r="Z144" s="26"/>
      <c r="AA144" s="26" t="s">
        <v>999</v>
      </c>
      <c r="AB144" s="26"/>
      <c r="AC144" s="26" t="s">
        <v>999</v>
      </c>
      <c r="AD144" s="26"/>
      <c r="AE144" s="26" t="s">
        <v>999</v>
      </c>
      <c r="AF144" s="26"/>
      <c r="AG144" s="26" t="s">
        <v>389</v>
      </c>
      <c r="AH144" s="26"/>
      <c r="AI144" s="26" t="s">
        <v>999</v>
      </c>
      <c r="AJ144" s="26"/>
      <c r="AK144" s="26" t="s">
        <v>999</v>
      </c>
      <c r="AL144" s="26"/>
      <c r="AM144" s="26" t="s">
        <v>999</v>
      </c>
      <c r="AN144" s="26"/>
      <c r="AO144" s="26" t="s">
        <v>389</v>
      </c>
      <c r="AP144" s="26"/>
      <c r="AQ144" s="26" t="s">
        <v>824</v>
      </c>
      <c r="AR144" s="26"/>
      <c r="AS144" s="26" t="s">
        <v>389</v>
      </c>
      <c r="AT144" s="26"/>
      <c r="AU144" s="26" t="s">
        <v>389</v>
      </c>
      <c r="AV144" s="26"/>
      <c r="AW144" s="26" t="s">
        <v>389</v>
      </c>
      <c r="AX144" s="26"/>
      <c r="AY144" s="26" t="s">
        <v>389</v>
      </c>
      <c r="AZ144" s="26"/>
      <c r="BA144" s="26" t="s">
        <v>401</v>
      </c>
      <c r="BB144" s="26"/>
      <c r="BC144" s="26" t="s">
        <v>401</v>
      </c>
      <c r="BD144" s="26" t="s">
        <v>490</v>
      </c>
      <c r="BE144" s="26" t="s">
        <v>491</v>
      </c>
      <c r="BF144" s="26"/>
      <c r="BG144" s="26"/>
    </row>
    <row r="145" spans="1:59" ht="25.5" customHeight="1" x14ac:dyDescent="0.15">
      <c r="A145" s="23" t="s">
        <v>246</v>
      </c>
      <c r="B145" s="24"/>
      <c r="C145" s="24">
        <v>2.9871552325002502</v>
      </c>
      <c r="D145" s="24"/>
      <c r="E145" s="24"/>
      <c r="F145" s="24"/>
      <c r="G145" s="24"/>
      <c r="H145" s="24"/>
      <c r="I145" s="24"/>
      <c r="J145" s="24"/>
      <c r="K145" s="24"/>
      <c r="L145" s="24"/>
      <c r="M145" s="24">
        <v>54</v>
      </c>
      <c r="N145" s="24"/>
      <c r="O145" s="24"/>
      <c r="P145" s="24"/>
      <c r="Q145" s="24"/>
      <c r="R145" s="24"/>
      <c r="S145" s="24">
        <v>57</v>
      </c>
      <c r="T145" s="24"/>
      <c r="U145" s="25">
        <v>10.595726418660099</v>
      </c>
      <c r="V145" s="26"/>
      <c r="W145" s="26"/>
      <c r="X145" s="26"/>
      <c r="Y145" s="26"/>
      <c r="Z145" s="26"/>
      <c r="AA145" s="26"/>
      <c r="AB145" s="26"/>
      <c r="AC145" s="26"/>
      <c r="AD145" s="26"/>
      <c r="AE145" s="26"/>
      <c r="AF145" s="26"/>
      <c r="AG145" s="26"/>
      <c r="AH145" s="26"/>
      <c r="AI145" s="26"/>
      <c r="AJ145" s="26"/>
      <c r="AK145" s="26"/>
      <c r="AL145" s="26"/>
      <c r="AM145" s="26"/>
      <c r="AN145" s="26"/>
      <c r="AO145" s="26"/>
      <c r="AP145" s="26"/>
      <c r="AQ145" s="26"/>
      <c r="AR145" s="26" t="s">
        <v>431</v>
      </c>
      <c r="AS145" s="26" t="s">
        <v>1000</v>
      </c>
      <c r="AT145" s="26"/>
      <c r="AU145" s="26"/>
      <c r="AV145" s="26"/>
      <c r="AW145" s="26"/>
      <c r="AX145" s="26"/>
      <c r="AY145" s="26"/>
      <c r="AZ145" s="26"/>
      <c r="BA145" s="26"/>
      <c r="BB145" s="26"/>
      <c r="BC145" s="26"/>
      <c r="BD145" s="26"/>
      <c r="BE145" s="26" t="s">
        <v>389</v>
      </c>
      <c r="BF145" s="26"/>
      <c r="BG145" s="26"/>
    </row>
    <row r="146" spans="1:59" ht="25.5" customHeight="1" x14ac:dyDescent="0.15">
      <c r="A146" s="23" t="s">
        <v>1001</v>
      </c>
      <c r="B146" s="24">
        <v>0.20465168365302899</v>
      </c>
      <c r="C146" s="24">
        <v>0.24001530337574301</v>
      </c>
      <c r="D146" s="24">
        <v>0.312956060108532</v>
      </c>
      <c r="E146" s="24">
        <v>0.38281091701704401</v>
      </c>
      <c r="F146" s="24">
        <v>0.44984365121597403</v>
      </c>
      <c r="G146" s="24">
        <v>0.82655126590550998</v>
      </c>
      <c r="H146" s="24">
        <v>1.14138916388191</v>
      </c>
      <c r="I146" s="24">
        <v>1.41</v>
      </c>
      <c r="J146" s="24">
        <v>1.73</v>
      </c>
      <c r="K146" s="24">
        <v>1.97</v>
      </c>
      <c r="L146" s="24">
        <v>7.93</v>
      </c>
      <c r="M146" s="24">
        <v>9</v>
      </c>
      <c r="N146" s="24">
        <v>11.1493</v>
      </c>
      <c r="O146" s="24">
        <v>13.3</v>
      </c>
      <c r="P146" s="24">
        <v>15.44</v>
      </c>
      <c r="Q146" s="24">
        <v>17.581618006559999</v>
      </c>
      <c r="R146" s="24">
        <v>19.688763836629001</v>
      </c>
      <c r="S146" s="24">
        <v>34</v>
      </c>
      <c r="T146" s="24"/>
      <c r="U146" s="25">
        <v>10.595726418660099</v>
      </c>
      <c r="V146" s="26"/>
      <c r="W146" s="26" t="s">
        <v>1002</v>
      </c>
      <c r="X146" s="26" t="s">
        <v>1003</v>
      </c>
      <c r="Y146" s="26" t="s">
        <v>1002</v>
      </c>
      <c r="Z146" s="26"/>
      <c r="AA146" s="26" t="s">
        <v>1002</v>
      </c>
      <c r="AB146" s="26"/>
      <c r="AC146" s="26" t="s">
        <v>1004</v>
      </c>
      <c r="AD146" s="26"/>
      <c r="AE146" s="26" t="s">
        <v>1004</v>
      </c>
      <c r="AF146" s="26"/>
      <c r="AG146" s="26" t="s">
        <v>1004</v>
      </c>
      <c r="AH146" s="26"/>
      <c r="AI146" s="26" t="s">
        <v>1004</v>
      </c>
      <c r="AJ146" s="26"/>
      <c r="AK146" s="26" t="s">
        <v>1005</v>
      </c>
      <c r="AL146" s="26"/>
      <c r="AM146" s="26" t="s">
        <v>1005</v>
      </c>
      <c r="AN146" s="26"/>
      <c r="AO146" s="26" t="s">
        <v>1005</v>
      </c>
      <c r="AP146" s="26" t="s">
        <v>793</v>
      </c>
      <c r="AQ146" s="26" t="s">
        <v>1005</v>
      </c>
      <c r="AR146" s="26" t="s">
        <v>793</v>
      </c>
      <c r="AS146" s="26" t="s">
        <v>1005</v>
      </c>
      <c r="AT146" s="26"/>
      <c r="AU146" s="26" t="s">
        <v>389</v>
      </c>
      <c r="AV146" s="26"/>
      <c r="AW146" s="26" t="s">
        <v>389</v>
      </c>
      <c r="AX146" s="26"/>
      <c r="AY146" s="26" t="s">
        <v>389</v>
      </c>
      <c r="AZ146" s="26"/>
      <c r="BA146" s="26" t="s">
        <v>389</v>
      </c>
      <c r="BB146" s="26"/>
      <c r="BC146" s="26" t="s">
        <v>401</v>
      </c>
      <c r="BD146" s="26" t="s">
        <v>1006</v>
      </c>
      <c r="BE146" s="26" t="s">
        <v>1007</v>
      </c>
      <c r="BF146" s="26"/>
      <c r="BG146" s="26"/>
    </row>
    <row r="147" spans="1:59" ht="25.5" customHeight="1" x14ac:dyDescent="0.15">
      <c r="A147" s="23" t="s">
        <v>1008</v>
      </c>
      <c r="B147" s="24"/>
      <c r="C147" s="24"/>
      <c r="D147" s="24"/>
      <c r="E147" s="24"/>
      <c r="F147" s="24"/>
      <c r="G147" s="24"/>
      <c r="H147" s="24"/>
      <c r="I147" s="24"/>
      <c r="J147" s="24"/>
      <c r="K147" s="24"/>
      <c r="L147" s="24"/>
      <c r="M147" s="24"/>
      <c r="N147" s="24"/>
      <c r="O147" s="24"/>
      <c r="P147" s="24"/>
      <c r="Q147" s="24"/>
      <c r="R147" s="24"/>
      <c r="S147" s="24"/>
      <c r="T147" s="24"/>
      <c r="U147" s="25">
        <v>10.595726418660099</v>
      </c>
      <c r="V147" s="26"/>
      <c r="W147" s="26"/>
      <c r="X147" s="26"/>
      <c r="Y147" s="26"/>
      <c r="Z147" s="26"/>
      <c r="AA147" s="26"/>
      <c r="AB147" s="26"/>
      <c r="AC147" s="26"/>
      <c r="AD147" s="26"/>
      <c r="AE147" s="26"/>
      <c r="AF147" s="26"/>
      <c r="AG147" s="26"/>
      <c r="AH147" s="26"/>
      <c r="AI147" s="26"/>
      <c r="AJ147" s="26"/>
      <c r="AK147" s="26"/>
      <c r="AL147" s="26"/>
      <c r="AM147" s="26"/>
      <c r="AN147" s="26"/>
      <c r="AO147" s="26"/>
      <c r="AP147" s="26"/>
      <c r="AQ147" s="26"/>
      <c r="AR147" s="26"/>
      <c r="AS147" s="26"/>
      <c r="AT147" s="26"/>
      <c r="AU147" s="26"/>
      <c r="AV147" s="26"/>
      <c r="AW147" s="26"/>
      <c r="AX147" s="26"/>
      <c r="AY147" s="26"/>
      <c r="AZ147" s="26"/>
      <c r="BA147" s="26"/>
      <c r="BB147" s="26"/>
      <c r="BC147" s="26"/>
      <c r="BD147" s="26"/>
      <c r="BE147" s="26"/>
      <c r="BF147" s="26"/>
      <c r="BG147" s="26"/>
    </row>
    <row r="148" spans="1:59" ht="25.5" customHeight="1" x14ac:dyDescent="0.15">
      <c r="A148" s="23" t="s">
        <v>127</v>
      </c>
      <c r="B148" s="24">
        <v>43.984351373137997</v>
      </c>
      <c r="C148" s="24">
        <v>49.3730621073123</v>
      </c>
      <c r="D148" s="24">
        <v>61.29</v>
      </c>
      <c r="E148" s="24">
        <v>64.349999999999994</v>
      </c>
      <c r="F148" s="24">
        <v>68.52</v>
      </c>
      <c r="G148" s="24">
        <v>81</v>
      </c>
      <c r="H148" s="24">
        <v>83.7</v>
      </c>
      <c r="I148" s="24">
        <v>85.82</v>
      </c>
      <c r="J148" s="24">
        <v>87.42</v>
      </c>
      <c r="K148" s="24">
        <v>89.63</v>
      </c>
      <c r="L148" s="24">
        <v>90.72</v>
      </c>
      <c r="M148" s="24">
        <v>91.419995762228396</v>
      </c>
      <c r="N148" s="24">
        <v>92.859992359524995</v>
      </c>
      <c r="O148" s="24">
        <v>93.956400000000002</v>
      </c>
      <c r="P148" s="24">
        <v>91.666666000000006</v>
      </c>
      <c r="Q148" s="24">
        <v>91.724137931034505</v>
      </c>
      <c r="R148" s="24">
        <v>90.410958899999997</v>
      </c>
      <c r="S148" s="24">
        <v>93.197278909999994</v>
      </c>
      <c r="T148" s="24">
        <v>94.712073721730306</v>
      </c>
      <c r="U148" s="25">
        <v>10.595726418660099</v>
      </c>
      <c r="V148" s="26"/>
      <c r="W148" s="26" t="s">
        <v>1009</v>
      </c>
      <c r="X148" s="26"/>
      <c r="Y148" s="26" t="s">
        <v>1010</v>
      </c>
      <c r="Z148" s="26" t="s">
        <v>441</v>
      </c>
      <c r="AA148" s="26" t="s">
        <v>442</v>
      </c>
      <c r="AB148" s="26" t="s">
        <v>441</v>
      </c>
      <c r="AC148" s="26" t="s">
        <v>442</v>
      </c>
      <c r="AD148" s="26" t="s">
        <v>441</v>
      </c>
      <c r="AE148" s="26" t="s">
        <v>442</v>
      </c>
      <c r="AF148" s="26" t="s">
        <v>903</v>
      </c>
      <c r="AG148" s="26" t="s">
        <v>442</v>
      </c>
      <c r="AH148" s="26" t="s">
        <v>903</v>
      </c>
      <c r="AI148" s="26" t="s">
        <v>442</v>
      </c>
      <c r="AJ148" s="26" t="s">
        <v>903</v>
      </c>
      <c r="AK148" s="26" t="s">
        <v>442</v>
      </c>
      <c r="AL148" s="26" t="s">
        <v>903</v>
      </c>
      <c r="AM148" s="26" t="s">
        <v>442</v>
      </c>
      <c r="AN148" s="26" t="s">
        <v>903</v>
      </c>
      <c r="AO148" s="26" t="s">
        <v>442</v>
      </c>
      <c r="AP148" s="26" t="s">
        <v>903</v>
      </c>
      <c r="AQ148" s="26" t="s">
        <v>442</v>
      </c>
      <c r="AR148" s="26" t="s">
        <v>444</v>
      </c>
      <c r="AS148" s="26" t="s">
        <v>442</v>
      </c>
      <c r="AT148" s="26" t="s">
        <v>445</v>
      </c>
      <c r="AU148" s="26" t="s">
        <v>442</v>
      </c>
      <c r="AV148" s="26" t="s">
        <v>443</v>
      </c>
      <c r="AW148" s="26" t="s">
        <v>442</v>
      </c>
      <c r="AX148" s="26" t="s">
        <v>1011</v>
      </c>
      <c r="AY148" s="26" t="s">
        <v>1012</v>
      </c>
      <c r="AZ148" s="26" t="s">
        <v>665</v>
      </c>
      <c r="BA148" s="26" t="s">
        <v>1012</v>
      </c>
      <c r="BB148" s="26"/>
      <c r="BC148" s="26" t="s">
        <v>1013</v>
      </c>
      <c r="BD148" s="26"/>
      <c r="BE148" s="26" t="s">
        <v>1013</v>
      </c>
      <c r="BF148" s="26"/>
      <c r="BG148" s="26" t="s">
        <v>449</v>
      </c>
    </row>
    <row r="149" spans="1:59" ht="25.5" customHeight="1" x14ac:dyDescent="0.15">
      <c r="A149" s="23" t="s">
        <v>158</v>
      </c>
      <c r="B149" s="24">
        <v>13.939548823269799</v>
      </c>
      <c r="C149" s="24">
        <v>18.2371097828416</v>
      </c>
      <c r="D149" s="24">
        <v>22.389797417113002</v>
      </c>
      <c r="E149" s="24">
        <v>26.408334470358799</v>
      </c>
      <c r="F149" s="24">
        <v>30.298046208848799</v>
      </c>
      <c r="G149" s="24">
        <v>32.359014753156103</v>
      </c>
      <c r="H149" s="24">
        <v>33.515714680720897</v>
      </c>
      <c r="I149" s="24">
        <v>35.049999999999997</v>
      </c>
      <c r="J149" s="24">
        <v>34.51</v>
      </c>
      <c r="K149" s="24">
        <v>33.99</v>
      </c>
      <c r="L149" s="24">
        <v>42</v>
      </c>
      <c r="M149" s="24">
        <v>50</v>
      </c>
      <c r="N149" s="24">
        <v>58</v>
      </c>
      <c r="O149" s="24">
        <v>66</v>
      </c>
      <c r="P149" s="24">
        <v>70</v>
      </c>
      <c r="Q149" s="24">
        <v>74.001752791409999</v>
      </c>
      <c r="R149" s="24"/>
      <c r="S149" s="24">
        <v>82.005840803518595</v>
      </c>
      <c r="T149" s="24"/>
      <c r="U149" s="25">
        <v>10.595726418660099</v>
      </c>
      <c r="V149" s="26"/>
      <c r="W149" s="26" t="s">
        <v>1014</v>
      </c>
      <c r="X149" s="26"/>
      <c r="Y149" s="26" t="s">
        <v>1014</v>
      </c>
      <c r="Z149" s="26"/>
      <c r="AA149" s="26" t="s">
        <v>1014</v>
      </c>
      <c r="AB149" s="26"/>
      <c r="AC149" s="26" t="s">
        <v>1014</v>
      </c>
      <c r="AD149" s="26"/>
      <c r="AE149" s="26" t="s">
        <v>1014</v>
      </c>
      <c r="AF149" s="26"/>
      <c r="AG149" s="26" t="s">
        <v>1014</v>
      </c>
      <c r="AH149" s="26"/>
      <c r="AI149" s="26" t="s">
        <v>1014</v>
      </c>
      <c r="AJ149" s="26"/>
      <c r="AK149" s="26" t="s">
        <v>1015</v>
      </c>
      <c r="AL149" s="26"/>
      <c r="AM149" s="26" t="s">
        <v>1015</v>
      </c>
      <c r="AN149" s="26"/>
      <c r="AO149" s="26" t="s">
        <v>1015</v>
      </c>
      <c r="AP149" s="26"/>
      <c r="AQ149" s="26" t="s">
        <v>393</v>
      </c>
      <c r="AR149" s="26"/>
      <c r="AS149" s="26" t="s">
        <v>393</v>
      </c>
      <c r="AT149" s="26"/>
      <c r="AU149" s="26" t="s">
        <v>389</v>
      </c>
      <c r="AV149" s="26"/>
      <c r="AW149" s="26" t="s">
        <v>389</v>
      </c>
      <c r="AX149" s="26"/>
      <c r="AY149" s="26" t="s">
        <v>389</v>
      </c>
      <c r="AZ149" s="26"/>
      <c r="BA149" s="26" t="s">
        <v>389</v>
      </c>
      <c r="BB149" s="26"/>
      <c r="BC149" s="26"/>
      <c r="BD149" s="26"/>
      <c r="BE149" s="26" t="s">
        <v>389</v>
      </c>
      <c r="BF149" s="26"/>
      <c r="BG149" s="26"/>
    </row>
    <row r="150" spans="1:59" ht="25.5" customHeight="1" x14ac:dyDescent="0.15">
      <c r="A150" s="23" t="s">
        <v>133</v>
      </c>
      <c r="B150" s="24">
        <v>47.379556543209603</v>
      </c>
      <c r="C150" s="24">
        <v>53.241015294127898</v>
      </c>
      <c r="D150" s="24">
        <v>59.080753281293099</v>
      </c>
      <c r="E150" s="24">
        <v>60.9625398663824</v>
      </c>
      <c r="F150" s="24">
        <v>61.847627810648099</v>
      </c>
      <c r="G150" s="24">
        <v>62.720212368954101</v>
      </c>
      <c r="H150" s="24">
        <v>69</v>
      </c>
      <c r="I150" s="24">
        <v>69.760000000000005</v>
      </c>
      <c r="J150" s="24">
        <v>72.03</v>
      </c>
      <c r="K150" s="24">
        <v>79.7</v>
      </c>
      <c r="L150" s="24">
        <v>80.459999999999994</v>
      </c>
      <c r="M150" s="24">
        <v>81.23</v>
      </c>
      <c r="N150" s="24">
        <v>81.644470179501994</v>
      </c>
      <c r="O150" s="24">
        <v>82.78</v>
      </c>
      <c r="P150" s="24">
        <v>85.5</v>
      </c>
      <c r="Q150" s="24">
        <v>88.222888817949993</v>
      </c>
      <c r="R150" s="24">
        <v>88.470186347099002</v>
      </c>
      <c r="S150" s="24">
        <v>90.811093072382704</v>
      </c>
      <c r="T150" s="24"/>
      <c r="U150" s="25">
        <v>10.595726418660099</v>
      </c>
      <c r="V150" s="26"/>
      <c r="W150" s="26" t="s">
        <v>389</v>
      </c>
      <c r="X150" s="26"/>
      <c r="Y150" s="26" t="s">
        <v>389</v>
      </c>
      <c r="Z150" s="26"/>
      <c r="AA150" s="26" t="s">
        <v>389</v>
      </c>
      <c r="AB150" s="26"/>
      <c r="AC150" s="26" t="s">
        <v>389</v>
      </c>
      <c r="AD150" s="26"/>
      <c r="AE150" s="26" t="s">
        <v>389</v>
      </c>
      <c r="AF150" s="26"/>
      <c r="AG150" s="26" t="s">
        <v>389</v>
      </c>
      <c r="AH150" s="26" t="s">
        <v>431</v>
      </c>
      <c r="AI150" s="26" t="s">
        <v>1016</v>
      </c>
      <c r="AJ150" s="26" t="s">
        <v>1017</v>
      </c>
      <c r="AK150" s="26" t="s">
        <v>389</v>
      </c>
      <c r="AL150" s="26" t="s">
        <v>1017</v>
      </c>
      <c r="AM150" s="26" t="s">
        <v>389</v>
      </c>
      <c r="AN150" s="26" t="s">
        <v>431</v>
      </c>
      <c r="AO150" s="26" t="s">
        <v>1016</v>
      </c>
      <c r="AP150" s="26"/>
      <c r="AQ150" s="26" t="s">
        <v>1018</v>
      </c>
      <c r="AR150" s="26"/>
      <c r="AS150" s="26" t="s">
        <v>1018</v>
      </c>
      <c r="AT150" s="26" t="s">
        <v>1019</v>
      </c>
      <c r="AU150" s="26" t="s">
        <v>1020</v>
      </c>
      <c r="AV150" s="26"/>
      <c r="AW150" s="26" t="s">
        <v>389</v>
      </c>
      <c r="AX150" s="26"/>
      <c r="AY150" s="26" t="s">
        <v>389</v>
      </c>
      <c r="AZ150" s="26"/>
      <c r="BA150" s="26" t="s">
        <v>389</v>
      </c>
      <c r="BB150" s="26"/>
      <c r="BC150" s="26" t="s">
        <v>401</v>
      </c>
      <c r="BD150" s="26"/>
      <c r="BE150" s="26" t="s">
        <v>389</v>
      </c>
      <c r="BF150" s="26"/>
      <c r="BG150" s="26"/>
    </row>
    <row r="151" spans="1:59" ht="25.5" customHeight="1" x14ac:dyDescent="0.15">
      <c r="A151" s="23" t="s">
        <v>157</v>
      </c>
      <c r="B151" s="24">
        <v>0.98021648669238504</v>
      </c>
      <c r="C151" s="24">
        <v>1.4487994282071599</v>
      </c>
      <c r="D151" s="24">
        <v>1.7147295842866801</v>
      </c>
      <c r="E151" s="24">
        <v>1.8804125324230101</v>
      </c>
      <c r="F151" s="24">
        <v>2.3206646086394098</v>
      </c>
      <c r="G151" s="24">
        <v>2.5663511765620299</v>
      </c>
      <c r="H151" s="24">
        <v>2.8055730627336999</v>
      </c>
      <c r="I151" s="24">
        <v>3.9</v>
      </c>
      <c r="J151" s="24">
        <v>5.3</v>
      </c>
      <c r="K151" s="24">
        <v>7.3</v>
      </c>
      <c r="L151" s="24">
        <v>10</v>
      </c>
      <c r="M151" s="24">
        <v>10.6</v>
      </c>
      <c r="N151" s="24">
        <v>13.5</v>
      </c>
      <c r="O151" s="24">
        <v>15.5</v>
      </c>
      <c r="P151" s="24">
        <v>17.600000000000001</v>
      </c>
      <c r="Q151" s="24">
        <v>19.704291498993001</v>
      </c>
      <c r="R151" s="24">
        <v>24.571833959536502</v>
      </c>
      <c r="S151" s="24">
        <v>27.863040008774799</v>
      </c>
      <c r="T151" s="24"/>
      <c r="U151" s="25">
        <v>10.595726418660099</v>
      </c>
      <c r="V151" s="26"/>
      <c r="W151" s="26"/>
      <c r="X151" s="26"/>
      <c r="Y151" s="26"/>
      <c r="Z151" s="26"/>
      <c r="AA151" s="26"/>
      <c r="AB151" s="26"/>
      <c r="AC151" s="26"/>
      <c r="AD151" s="26"/>
      <c r="AE151" s="26"/>
      <c r="AF151" s="26"/>
      <c r="AG151" s="26"/>
      <c r="AH151" s="26"/>
      <c r="AI151" s="26" t="s">
        <v>1021</v>
      </c>
      <c r="AJ151" s="26"/>
      <c r="AK151" s="26" t="s">
        <v>389</v>
      </c>
      <c r="AL151" s="26"/>
      <c r="AM151" s="26" t="s">
        <v>389</v>
      </c>
      <c r="AN151" s="26"/>
      <c r="AO151" s="26" t="s">
        <v>389</v>
      </c>
      <c r="AP151" s="26"/>
      <c r="AQ151" s="26" t="s">
        <v>389</v>
      </c>
      <c r="AR151" s="26"/>
      <c r="AS151" s="26" t="s">
        <v>1022</v>
      </c>
      <c r="AT151" s="26"/>
      <c r="AU151" s="26" t="s">
        <v>389</v>
      </c>
      <c r="AV151" s="26"/>
      <c r="AW151" s="26" t="s">
        <v>389</v>
      </c>
      <c r="AX151" s="26"/>
      <c r="AY151" s="26" t="s">
        <v>389</v>
      </c>
      <c r="AZ151" s="26"/>
      <c r="BA151" s="26" t="s">
        <v>389</v>
      </c>
      <c r="BB151" s="26"/>
      <c r="BC151" s="26" t="s">
        <v>401</v>
      </c>
      <c r="BD151" s="26"/>
      <c r="BE151" s="26" t="s">
        <v>389</v>
      </c>
      <c r="BF151" s="26"/>
      <c r="BG151" s="26"/>
    </row>
    <row r="152" spans="1:59" ht="25.5" customHeight="1" x14ac:dyDescent="0.15">
      <c r="A152" s="23" t="s">
        <v>41</v>
      </c>
      <c r="B152" s="24">
        <v>3.6261293806589101E-2</v>
      </c>
      <c r="C152" s="24">
        <v>0.10518543139701</v>
      </c>
      <c r="D152" s="24">
        <v>0.127152468779619</v>
      </c>
      <c r="E152" s="24">
        <v>0.155698703668983</v>
      </c>
      <c r="F152" s="24">
        <v>0.18993373370309199</v>
      </c>
      <c r="G152" s="24">
        <v>0.221341351487395</v>
      </c>
      <c r="H152" s="24">
        <v>0.29403397709622298</v>
      </c>
      <c r="I152" s="24">
        <v>0.390390619762082</v>
      </c>
      <c r="J152" s="24">
        <v>0.7</v>
      </c>
      <c r="K152" s="24">
        <v>0.76</v>
      </c>
      <c r="L152" s="24">
        <v>0.83</v>
      </c>
      <c r="M152" s="24">
        <v>0.9</v>
      </c>
      <c r="N152" s="24">
        <v>1.05</v>
      </c>
      <c r="O152" s="24">
        <v>1.1499999999999999</v>
      </c>
      <c r="P152" s="24">
        <v>1.24867568902241</v>
      </c>
      <c r="Q152" s="24">
        <v>2.4762199749999998</v>
      </c>
      <c r="R152" s="24">
        <v>4.3227580302806796</v>
      </c>
      <c r="S152" s="24">
        <v>10.22431156</v>
      </c>
      <c r="T152" s="24">
        <v>5.2504876866947301</v>
      </c>
      <c r="U152" s="25">
        <v>10.595726418660099</v>
      </c>
      <c r="V152" s="26"/>
      <c r="W152" s="26"/>
      <c r="X152" s="26"/>
      <c r="Y152" s="26"/>
      <c r="Z152" s="26"/>
      <c r="AA152" s="26"/>
      <c r="AB152" s="26"/>
      <c r="AC152" s="26" t="s">
        <v>389</v>
      </c>
      <c r="AD152" s="26"/>
      <c r="AE152" s="26" t="s">
        <v>389</v>
      </c>
      <c r="AF152" s="26"/>
      <c r="AG152" s="26" t="s">
        <v>389</v>
      </c>
      <c r="AH152" s="26"/>
      <c r="AI152" s="26" t="s">
        <v>389</v>
      </c>
      <c r="AJ152" s="26"/>
      <c r="AK152" s="26" t="s">
        <v>389</v>
      </c>
      <c r="AL152" s="26"/>
      <c r="AM152" s="26" t="s">
        <v>1023</v>
      </c>
      <c r="AN152" s="26"/>
      <c r="AO152" s="26" t="s">
        <v>556</v>
      </c>
      <c r="AP152" s="26"/>
      <c r="AQ152" s="26" t="s">
        <v>389</v>
      </c>
      <c r="AR152" s="26"/>
      <c r="AS152" s="26" t="s">
        <v>556</v>
      </c>
      <c r="AT152" s="26"/>
      <c r="AU152" s="26" t="s">
        <v>389</v>
      </c>
      <c r="AV152" s="26"/>
      <c r="AW152" s="26" t="s">
        <v>389</v>
      </c>
      <c r="AX152" s="26"/>
      <c r="AY152" s="26" t="s">
        <v>1023</v>
      </c>
      <c r="AZ152" s="26"/>
      <c r="BA152" s="26" t="s">
        <v>389</v>
      </c>
      <c r="BB152" s="26"/>
      <c r="BC152" s="26" t="s">
        <v>389</v>
      </c>
      <c r="BD152" s="26"/>
      <c r="BE152" s="26" t="s">
        <v>1024</v>
      </c>
      <c r="BF152" s="26"/>
      <c r="BG152" s="26" t="s">
        <v>1024</v>
      </c>
    </row>
    <row r="153" spans="1:59" ht="25.5" customHeight="1" x14ac:dyDescent="0.15">
      <c r="A153" s="23" t="s">
        <v>20</v>
      </c>
      <c r="B153" s="24">
        <v>6.4080807949410096E-2</v>
      </c>
      <c r="C153" s="24">
        <v>8.9901370457273005E-2</v>
      </c>
      <c r="D153" s="24">
        <v>0.32046197554232703</v>
      </c>
      <c r="E153" s="24">
        <v>0.55857624486052104</v>
      </c>
      <c r="F153" s="24">
        <v>1.2861376413452701</v>
      </c>
      <c r="G153" s="24">
        <v>3.5491557179649198</v>
      </c>
      <c r="H153" s="24">
        <v>5.5450360830053604</v>
      </c>
      <c r="I153" s="24">
        <v>6.77</v>
      </c>
      <c r="J153" s="24">
        <v>8</v>
      </c>
      <c r="K153" s="24">
        <v>9.3000000000000007</v>
      </c>
      <c r="L153" s="24">
        <v>11.5</v>
      </c>
      <c r="M153" s="24">
        <v>13.8</v>
      </c>
      <c r="N153" s="24">
        <v>16.100000000000001</v>
      </c>
      <c r="O153" s="24">
        <v>19.100000000000001</v>
      </c>
      <c r="P153" s="24">
        <v>21</v>
      </c>
      <c r="Q153" s="24">
        <v>36</v>
      </c>
      <c r="R153" s="24">
        <v>25.67</v>
      </c>
      <c r="S153" s="24">
        <v>42</v>
      </c>
      <c r="T153" s="24"/>
      <c r="U153" s="25">
        <v>10.595726418660099</v>
      </c>
      <c r="V153" s="26"/>
      <c r="W153" s="26" t="s">
        <v>1025</v>
      </c>
      <c r="X153" s="26"/>
      <c r="Y153" s="26" t="s">
        <v>1025</v>
      </c>
      <c r="Z153" s="26"/>
      <c r="AA153" s="26" t="s">
        <v>1026</v>
      </c>
      <c r="AB153" s="26"/>
      <c r="AC153" s="26" t="s">
        <v>1026</v>
      </c>
      <c r="AD153" s="26"/>
      <c r="AE153" s="26" t="s">
        <v>1026</v>
      </c>
      <c r="AF153" s="26"/>
      <c r="AG153" s="26" t="s">
        <v>1027</v>
      </c>
      <c r="AH153" s="26"/>
      <c r="AI153" s="26" t="s">
        <v>1026</v>
      </c>
      <c r="AJ153" s="26"/>
      <c r="AK153" s="26" t="s">
        <v>389</v>
      </c>
      <c r="AL153" s="26"/>
      <c r="AM153" s="26" t="s">
        <v>389</v>
      </c>
      <c r="AN153" s="26"/>
      <c r="AO153" s="26" t="s">
        <v>389</v>
      </c>
      <c r="AP153" s="26"/>
      <c r="AQ153" s="26" t="s">
        <v>389</v>
      </c>
      <c r="AR153" s="26"/>
      <c r="AS153" s="26" t="s">
        <v>389</v>
      </c>
      <c r="AT153" s="26"/>
      <c r="AU153" s="26" t="s">
        <v>389</v>
      </c>
      <c r="AV153" s="26"/>
      <c r="AW153" s="26" t="s">
        <v>389</v>
      </c>
      <c r="AX153" s="26"/>
      <c r="AY153" s="26" t="s">
        <v>389</v>
      </c>
      <c r="AZ153" s="26" t="s">
        <v>394</v>
      </c>
      <c r="BA153" s="26" t="s">
        <v>565</v>
      </c>
      <c r="BB153" s="26"/>
      <c r="BC153" s="26" t="s">
        <v>389</v>
      </c>
      <c r="BD153" s="26" t="s">
        <v>394</v>
      </c>
      <c r="BE153" s="26" t="s">
        <v>565</v>
      </c>
      <c r="BF153" s="26"/>
      <c r="BG153" s="26"/>
    </row>
    <row r="154" spans="1:59" ht="25.5" customHeight="1" x14ac:dyDescent="0.15">
      <c r="A154" s="23" t="s">
        <v>245</v>
      </c>
      <c r="B154" s="24">
        <v>26.5111346765642</v>
      </c>
      <c r="C154" s="24">
        <v>32.6619488296135</v>
      </c>
      <c r="D154" s="24">
        <v>39.149888143176703</v>
      </c>
      <c r="E154" s="24">
        <v>43.128234617596299</v>
      </c>
      <c r="F154" s="24">
        <v>47.337278106508897</v>
      </c>
      <c r="G154" s="24">
        <v>51.703163017031599</v>
      </c>
      <c r="H154" s="24">
        <v>56.25</v>
      </c>
      <c r="I154" s="24">
        <v>61.014771997430998</v>
      </c>
      <c r="J154" s="24">
        <v>65.919578114700101</v>
      </c>
      <c r="K154" s="24">
        <v>74.475287745429895</v>
      </c>
      <c r="L154" s="24">
        <v>76.97</v>
      </c>
      <c r="M154" s="24">
        <v>79.56</v>
      </c>
      <c r="N154" s="24"/>
      <c r="O154" s="24"/>
      <c r="P154" s="24"/>
      <c r="Q154" s="24"/>
      <c r="R154" s="24"/>
      <c r="S154" s="24"/>
      <c r="T154" s="24"/>
      <c r="U154" s="25">
        <v>10.595726418660099</v>
      </c>
      <c r="V154" s="26"/>
      <c r="W154" s="26"/>
      <c r="X154" s="26"/>
      <c r="Y154" s="26"/>
      <c r="Z154" s="26"/>
      <c r="AA154" s="26"/>
      <c r="AB154" s="26"/>
      <c r="AC154" s="26"/>
      <c r="AD154" s="26"/>
      <c r="AE154" s="26"/>
      <c r="AF154" s="26"/>
      <c r="AG154" s="26"/>
      <c r="AH154" s="26"/>
      <c r="AI154" s="26" t="s">
        <v>389</v>
      </c>
      <c r="AJ154" s="26"/>
      <c r="AK154" s="26" t="s">
        <v>389</v>
      </c>
      <c r="AL154" s="26"/>
      <c r="AM154" s="26" t="s">
        <v>389</v>
      </c>
      <c r="AN154" s="26"/>
      <c r="AO154" s="26" t="s">
        <v>389</v>
      </c>
      <c r="AP154" s="26"/>
      <c r="AQ154" s="26" t="s">
        <v>389</v>
      </c>
      <c r="AR154" s="26"/>
      <c r="AS154" s="26" t="s">
        <v>389</v>
      </c>
      <c r="AT154" s="26"/>
      <c r="AU154" s="26"/>
      <c r="AV154" s="26"/>
      <c r="AW154" s="26"/>
      <c r="AX154" s="26"/>
      <c r="AY154" s="26"/>
      <c r="AZ154" s="26"/>
      <c r="BA154" s="26"/>
      <c r="BB154" s="26"/>
      <c r="BC154" s="26"/>
      <c r="BD154" s="26"/>
      <c r="BE154" s="26"/>
      <c r="BF154" s="26"/>
      <c r="BG154" s="26"/>
    </row>
    <row r="155" spans="1:59" ht="25.5" customHeight="1" x14ac:dyDescent="0.15">
      <c r="A155" s="23" t="s">
        <v>1028</v>
      </c>
      <c r="B155" s="24"/>
      <c r="C155" s="24"/>
      <c r="D155" s="24"/>
      <c r="E155" s="24"/>
      <c r="F155" s="24"/>
      <c r="G155" s="24"/>
      <c r="H155" s="24"/>
      <c r="I155" s="24"/>
      <c r="J155" s="24"/>
      <c r="K155" s="24"/>
      <c r="L155" s="24"/>
      <c r="M155" s="24"/>
      <c r="N155" s="24"/>
      <c r="O155" s="24"/>
      <c r="P155" s="24"/>
      <c r="Q155" s="24"/>
      <c r="R155" s="24"/>
      <c r="S155" s="24"/>
      <c r="T155" s="24"/>
      <c r="U155" s="25">
        <v>10.595726418660099</v>
      </c>
      <c r="V155" s="26"/>
      <c r="W155" s="26"/>
      <c r="X155" s="26"/>
      <c r="Y155" s="26"/>
      <c r="Z155" s="26"/>
      <c r="AA155" s="26"/>
      <c r="AB155" s="26"/>
      <c r="AC155" s="26"/>
      <c r="AD155" s="26"/>
      <c r="AE155" s="26"/>
      <c r="AF155" s="26"/>
      <c r="AG155" s="26"/>
      <c r="AH155" s="26"/>
      <c r="AI155" s="26"/>
      <c r="AJ155" s="26"/>
      <c r="AK155" s="26"/>
      <c r="AL155" s="26"/>
      <c r="AM155" s="26"/>
      <c r="AN155" s="26"/>
      <c r="AO155" s="26"/>
      <c r="AP155" s="26"/>
      <c r="AQ155" s="26"/>
      <c r="AR155" s="26"/>
      <c r="AS155" s="26"/>
      <c r="AT155" s="26"/>
      <c r="AU155" s="26"/>
      <c r="AV155" s="26"/>
      <c r="AW155" s="26"/>
      <c r="AX155" s="26"/>
      <c r="AY155" s="26"/>
      <c r="AZ155" s="26"/>
      <c r="BA155" s="26"/>
      <c r="BB155" s="26"/>
      <c r="BC155" s="26"/>
      <c r="BD155" s="26"/>
      <c r="BE155" s="26"/>
      <c r="BF155" s="26"/>
      <c r="BG155" s="26"/>
    </row>
    <row r="156" spans="1:59" ht="25.5" customHeight="1" x14ac:dyDescent="0.15">
      <c r="A156" s="23" t="s">
        <v>50</v>
      </c>
      <c r="B156" s="24">
        <v>2.4855663164006598</v>
      </c>
      <c r="C156" s="24">
        <v>3.46818460849398</v>
      </c>
      <c r="D156" s="24">
        <v>17.329999999999998</v>
      </c>
      <c r="E156" s="24">
        <v>19.07</v>
      </c>
      <c r="F156" s="24">
        <v>24.44</v>
      </c>
      <c r="G156" s="24">
        <v>26.45</v>
      </c>
      <c r="H156" s="24">
        <v>28.62</v>
      </c>
      <c r="I156" s="24">
        <v>36.299999999999997</v>
      </c>
      <c r="J156" s="24">
        <v>46.04</v>
      </c>
      <c r="K156" s="24">
        <v>51.77</v>
      </c>
      <c r="L156" s="24">
        <v>51.9</v>
      </c>
      <c r="M156" s="24">
        <v>56.7</v>
      </c>
      <c r="N156" s="24">
        <v>57.449947312961001</v>
      </c>
      <c r="O156" s="24">
        <v>65.239999999999995</v>
      </c>
      <c r="P156" s="24">
        <v>68.06</v>
      </c>
      <c r="Q156" s="24">
        <v>70.380200000000002</v>
      </c>
      <c r="R156" s="24">
        <v>72.15681447</v>
      </c>
      <c r="S156" s="24">
        <v>74.51682418</v>
      </c>
      <c r="T156" s="24">
        <v>79.167755185087103</v>
      </c>
      <c r="U156" s="25">
        <v>10.595726418660099</v>
      </c>
      <c r="V156" s="26"/>
      <c r="W156" s="26" t="s">
        <v>1029</v>
      </c>
      <c r="X156" s="26"/>
      <c r="Y156" s="26" t="s">
        <v>1029</v>
      </c>
      <c r="Z156" s="26"/>
      <c r="AA156" s="26" t="s">
        <v>1029</v>
      </c>
      <c r="AB156" s="26"/>
      <c r="AC156" s="26" t="s">
        <v>1029</v>
      </c>
      <c r="AD156" s="26" t="s">
        <v>443</v>
      </c>
      <c r="AE156" s="26" t="s">
        <v>442</v>
      </c>
      <c r="AF156" s="26" t="s">
        <v>443</v>
      </c>
      <c r="AG156" s="26" t="s">
        <v>389</v>
      </c>
      <c r="AH156" s="26" t="s">
        <v>443</v>
      </c>
      <c r="AI156" s="26" t="s">
        <v>442</v>
      </c>
      <c r="AJ156" s="26" t="s">
        <v>443</v>
      </c>
      <c r="AK156" s="26" t="s">
        <v>389</v>
      </c>
      <c r="AL156" s="26" t="s">
        <v>443</v>
      </c>
      <c r="AM156" s="26" t="s">
        <v>442</v>
      </c>
      <c r="AN156" s="26" t="s">
        <v>443</v>
      </c>
      <c r="AO156" s="26" t="s">
        <v>442</v>
      </c>
      <c r="AP156" s="26" t="s">
        <v>1030</v>
      </c>
      <c r="AQ156" s="26" t="s">
        <v>1031</v>
      </c>
      <c r="AR156" s="26" t="s">
        <v>1032</v>
      </c>
      <c r="AS156" s="26" t="s">
        <v>1031</v>
      </c>
      <c r="AT156" s="26" t="s">
        <v>1033</v>
      </c>
      <c r="AU156" s="26" t="s">
        <v>442</v>
      </c>
      <c r="AV156" s="26" t="s">
        <v>1033</v>
      </c>
      <c r="AW156" s="26" t="s">
        <v>442</v>
      </c>
      <c r="AX156" s="26" t="s">
        <v>1033</v>
      </c>
      <c r="AY156" s="26" t="s">
        <v>449</v>
      </c>
      <c r="AZ156" s="26" t="s">
        <v>443</v>
      </c>
      <c r="BA156" s="26" t="s">
        <v>442</v>
      </c>
      <c r="BB156" s="26" t="s">
        <v>616</v>
      </c>
      <c r="BC156" s="26" t="s">
        <v>449</v>
      </c>
      <c r="BD156" s="26"/>
      <c r="BE156" s="26" t="s">
        <v>1034</v>
      </c>
      <c r="BF156" s="26"/>
      <c r="BG156" s="26" t="s">
        <v>1034</v>
      </c>
    </row>
    <row r="157" spans="1:59" ht="25.5" customHeight="1" x14ac:dyDescent="0.15">
      <c r="A157" s="23" t="s">
        <v>1035</v>
      </c>
      <c r="B157" s="24"/>
      <c r="C157" s="24"/>
      <c r="D157" s="24"/>
      <c r="E157" s="24"/>
      <c r="F157" s="24"/>
      <c r="G157" s="24"/>
      <c r="H157" s="24"/>
      <c r="I157" s="24"/>
      <c r="J157" s="24"/>
      <c r="K157" s="24"/>
      <c r="L157" s="24"/>
      <c r="M157" s="24"/>
      <c r="N157" s="24"/>
      <c r="O157" s="24"/>
      <c r="P157" s="24"/>
      <c r="Q157" s="24"/>
      <c r="R157" s="24"/>
      <c r="S157" s="24"/>
      <c r="T157" s="24"/>
      <c r="U157" s="25">
        <v>10.595726418660099</v>
      </c>
      <c r="V157" s="26"/>
      <c r="W157" s="26"/>
      <c r="X157" s="26"/>
      <c r="Y157" s="26"/>
      <c r="Z157" s="26"/>
      <c r="AA157" s="26"/>
      <c r="AB157" s="26"/>
      <c r="AC157" s="26"/>
      <c r="AD157" s="26"/>
      <c r="AE157" s="26"/>
      <c r="AF157" s="26"/>
      <c r="AG157" s="26"/>
      <c r="AH157" s="26"/>
      <c r="AI157" s="26"/>
      <c r="AJ157" s="26"/>
      <c r="AK157" s="26"/>
      <c r="AL157" s="26"/>
      <c r="AM157" s="26"/>
      <c r="AN157" s="26"/>
      <c r="AO157" s="26"/>
      <c r="AP157" s="26"/>
      <c r="AQ157" s="26"/>
      <c r="AR157" s="26"/>
      <c r="AS157" s="26"/>
      <c r="AT157" s="26"/>
      <c r="AU157" s="26"/>
      <c r="AV157" s="26"/>
      <c r="AW157" s="26"/>
      <c r="AX157" s="26"/>
      <c r="AY157" s="26"/>
      <c r="AZ157" s="26"/>
      <c r="BA157" s="26"/>
      <c r="BB157" s="26"/>
      <c r="BC157" s="26"/>
      <c r="BD157" s="26"/>
      <c r="BE157" s="26"/>
      <c r="BF157" s="26"/>
      <c r="BG157" s="26"/>
    </row>
    <row r="158" spans="1:59" ht="25.5" customHeight="1" x14ac:dyDescent="0.15">
      <c r="A158" s="23" t="s">
        <v>117</v>
      </c>
      <c r="B158" s="24">
        <v>52</v>
      </c>
      <c r="C158" s="24">
        <v>64</v>
      </c>
      <c r="D158" s="24">
        <v>72.84</v>
      </c>
      <c r="E158" s="24">
        <v>78.13</v>
      </c>
      <c r="F158" s="24">
        <v>77.69</v>
      </c>
      <c r="G158" s="24">
        <v>81.99</v>
      </c>
      <c r="H158" s="24">
        <v>82.55</v>
      </c>
      <c r="I158" s="24">
        <v>86.93</v>
      </c>
      <c r="J158" s="24">
        <v>90.57</v>
      </c>
      <c r="K158" s="24">
        <v>92.08</v>
      </c>
      <c r="L158" s="24">
        <v>93.39</v>
      </c>
      <c r="M158" s="24">
        <v>93.489982651519398</v>
      </c>
      <c r="N158" s="24">
        <v>94.6499780533304</v>
      </c>
      <c r="O158" s="24">
        <v>95.053399999999996</v>
      </c>
      <c r="P158" s="24">
        <v>96.3</v>
      </c>
      <c r="Q158" s="24">
        <v>96.810299999999998</v>
      </c>
      <c r="R158" s="24">
        <v>97.298203670000007</v>
      </c>
      <c r="S158" s="24">
        <v>96.357601299999999</v>
      </c>
      <c r="T158" s="24">
        <v>96.491657988709406</v>
      </c>
      <c r="U158" s="25">
        <v>10.595726418660099</v>
      </c>
      <c r="V158" s="26"/>
      <c r="W158" s="26" t="s">
        <v>389</v>
      </c>
      <c r="X158" s="26"/>
      <c r="Y158" s="26" t="s">
        <v>389</v>
      </c>
      <c r="Z158" s="26"/>
      <c r="AA158" s="26" t="s">
        <v>389</v>
      </c>
      <c r="AB158" s="26" t="s">
        <v>443</v>
      </c>
      <c r="AC158" s="26" t="s">
        <v>442</v>
      </c>
      <c r="AD158" s="26" t="s">
        <v>443</v>
      </c>
      <c r="AE158" s="26" t="s">
        <v>442</v>
      </c>
      <c r="AF158" s="26" t="s">
        <v>443</v>
      </c>
      <c r="AG158" s="26" t="s">
        <v>442</v>
      </c>
      <c r="AH158" s="26" t="s">
        <v>443</v>
      </c>
      <c r="AI158" s="26" t="s">
        <v>442</v>
      </c>
      <c r="AJ158" s="26" t="s">
        <v>443</v>
      </c>
      <c r="AK158" s="26" t="s">
        <v>442</v>
      </c>
      <c r="AL158" s="26" t="s">
        <v>443</v>
      </c>
      <c r="AM158" s="26" t="s">
        <v>442</v>
      </c>
      <c r="AN158" s="26" t="s">
        <v>443</v>
      </c>
      <c r="AO158" s="26" t="s">
        <v>442</v>
      </c>
      <c r="AP158" s="26" t="s">
        <v>538</v>
      </c>
      <c r="AQ158" s="26" t="s">
        <v>442</v>
      </c>
      <c r="AR158" s="26" t="s">
        <v>444</v>
      </c>
      <c r="AS158" s="26" t="s">
        <v>442</v>
      </c>
      <c r="AT158" s="26" t="s">
        <v>445</v>
      </c>
      <c r="AU158" s="26" t="s">
        <v>442</v>
      </c>
      <c r="AV158" s="26" t="s">
        <v>443</v>
      </c>
      <c r="AW158" s="26" t="s">
        <v>442</v>
      </c>
      <c r="AX158" s="26" t="s">
        <v>443</v>
      </c>
      <c r="AY158" s="26" t="s">
        <v>449</v>
      </c>
      <c r="AZ158" s="26" t="s">
        <v>443</v>
      </c>
      <c r="BA158" s="26" t="s">
        <v>442</v>
      </c>
      <c r="BB158" s="26" t="s">
        <v>616</v>
      </c>
      <c r="BC158" s="26" t="s">
        <v>1036</v>
      </c>
      <c r="BD158" s="26" t="s">
        <v>616</v>
      </c>
      <c r="BE158" s="26" t="s">
        <v>1036</v>
      </c>
      <c r="BF158" s="26"/>
      <c r="BG158" s="26" t="s">
        <v>1036</v>
      </c>
    </row>
    <row r="159" spans="1:59" ht="25.5" customHeight="1" x14ac:dyDescent="0.15">
      <c r="A159" s="23" t="s">
        <v>173</v>
      </c>
      <c r="B159" s="24">
        <v>3.52042141651097</v>
      </c>
      <c r="C159" s="24">
        <v>5.8938415214867099</v>
      </c>
      <c r="D159" s="24">
        <v>6.8733960391854501</v>
      </c>
      <c r="E159" s="24">
        <v>7.2557429453655597</v>
      </c>
      <c r="F159" s="24">
        <v>6.75885217024525</v>
      </c>
      <c r="G159" s="24">
        <v>6.68358142020519</v>
      </c>
      <c r="H159" s="24">
        <v>8.2997166725029992</v>
      </c>
      <c r="I159" s="24">
        <v>16.68</v>
      </c>
      <c r="J159" s="24">
        <v>20</v>
      </c>
      <c r="K159" s="24">
        <v>26.8</v>
      </c>
      <c r="L159" s="24">
        <v>35.827800000000003</v>
      </c>
      <c r="M159" s="24">
        <v>48</v>
      </c>
      <c r="N159" s="24">
        <v>60</v>
      </c>
      <c r="O159" s="24">
        <v>66.45</v>
      </c>
      <c r="P159" s="24">
        <v>70.22</v>
      </c>
      <c r="Q159" s="24">
        <v>73.53</v>
      </c>
      <c r="R159" s="24">
        <v>76.845390469999998</v>
      </c>
      <c r="S159" s="24">
        <v>80.185635733257001</v>
      </c>
      <c r="T159" s="24"/>
      <c r="U159" s="25">
        <v>10.595726418660099</v>
      </c>
      <c r="V159" s="26" t="s">
        <v>1037</v>
      </c>
      <c r="W159" s="26"/>
      <c r="X159" s="26" t="s">
        <v>1037</v>
      </c>
      <c r="Y159" s="26"/>
      <c r="Z159" s="26" t="s">
        <v>1037</v>
      </c>
      <c r="AA159" s="26"/>
      <c r="AB159" s="26"/>
      <c r="AC159" s="26"/>
      <c r="AD159" s="26"/>
      <c r="AE159" s="26"/>
      <c r="AF159" s="26"/>
      <c r="AG159" s="26"/>
      <c r="AH159" s="26"/>
      <c r="AI159" s="26"/>
      <c r="AJ159" s="26" t="s">
        <v>1038</v>
      </c>
      <c r="AK159" s="26" t="s">
        <v>1039</v>
      </c>
      <c r="AL159" s="26"/>
      <c r="AM159" s="26" t="s">
        <v>1040</v>
      </c>
      <c r="AN159" s="26"/>
      <c r="AO159" s="26" t="s">
        <v>389</v>
      </c>
      <c r="AP159" s="26" t="s">
        <v>411</v>
      </c>
      <c r="AQ159" s="26" t="s">
        <v>1040</v>
      </c>
      <c r="AR159" s="26"/>
      <c r="AS159" s="26" t="s">
        <v>389</v>
      </c>
      <c r="AT159" s="26"/>
      <c r="AU159" s="26" t="s">
        <v>389</v>
      </c>
      <c r="AV159" s="26" t="s">
        <v>1041</v>
      </c>
      <c r="AW159" s="26" t="s">
        <v>1042</v>
      </c>
      <c r="AX159" s="26"/>
      <c r="AY159" s="26" t="s">
        <v>389</v>
      </c>
      <c r="AZ159" s="26"/>
      <c r="BA159" s="26" t="s">
        <v>401</v>
      </c>
      <c r="BB159" s="26"/>
      <c r="BC159" s="26" t="s">
        <v>1043</v>
      </c>
      <c r="BD159" s="26"/>
      <c r="BE159" s="26" t="s">
        <v>389</v>
      </c>
      <c r="BF159" s="26"/>
      <c r="BG159" s="26"/>
    </row>
    <row r="160" spans="1:59" ht="25.5" customHeight="1" x14ac:dyDescent="0.15">
      <c r="A160" s="23" t="s">
        <v>44</v>
      </c>
      <c r="B160" s="24"/>
      <c r="C160" s="24">
        <v>1.3185507792562601</v>
      </c>
      <c r="D160" s="24">
        <v>2.5774267368383099</v>
      </c>
      <c r="E160" s="24">
        <v>5.04115812592502</v>
      </c>
      <c r="F160" s="24">
        <v>6.1643209853415604</v>
      </c>
      <c r="G160" s="24">
        <v>6.3323290983078202</v>
      </c>
      <c r="H160" s="24">
        <v>6.5</v>
      </c>
      <c r="I160" s="24">
        <v>6.8</v>
      </c>
      <c r="J160" s="24">
        <v>7</v>
      </c>
      <c r="K160" s="24">
        <v>7.5</v>
      </c>
      <c r="L160" s="24">
        <v>8</v>
      </c>
      <c r="M160" s="24">
        <v>9</v>
      </c>
      <c r="N160" s="24">
        <v>9.9600000000000009</v>
      </c>
      <c r="O160" s="24">
        <v>10.9</v>
      </c>
      <c r="P160" s="24">
        <v>12</v>
      </c>
      <c r="Q160" s="24">
        <v>14</v>
      </c>
      <c r="R160" s="24">
        <v>12.385446760000001</v>
      </c>
      <c r="S160" s="24">
        <v>15.51</v>
      </c>
      <c r="T160" s="24"/>
      <c r="U160" s="25">
        <v>10.595726418660099</v>
      </c>
      <c r="V160" s="26"/>
      <c r="W160" s="26"/>
      <c r="X160" s="26"/>
      <c r="Y160" s="26"/>
      <c r="Z160" s="26"/>
      <c r="AA160" s="26"/>
      <c r="AB160" s="26"/>
      <c r="AC160" s="26"/>
      <c r="AD160" s="26"/>
      <c r="AE160" s="26"/>
      <c r="AF160" s="26"/>
      <c r="AG160" s="26"/>
      <c r="AH160" s="26"/>
      <c r="AI160" s="26" t="s">
        <v>393</v>
      </c>
      <c r="AJ160" s="26"/>
      <c r="AK160" s="26" t="s">
        <v>393</v>
      </c>
      <c r="AL160" s="26"/>
      <c r="AM160" s="26" t="s">
        <v>393</v>
      </c>
      <c r="AN160" s="26"/>
      <c r="AO160" s="26" t="s">
        <v>393</v>
      </c>
      <c r="AP160" s="26"/>
      <c r="AQ160" s="26" t="s">
        <v>393</v>
      </c>
      <c r="AR160" s="26"/>
      <c r="AS160" s="26" t="s">
        <v>393</v>
      </c>
      <c r="AT160" s="26"/>
      <c r="AU160" s="26" t="s">
        <v>389</v>
      </c>
      <c r="AV160" s="26"/>
      <c r="AW160" s="26" t="s">
        <v>389</v>
      </c>
      <c r="AX160" s="26"/>
      <c r="AY160" s="26" t="s">
        <v>389</v>
      </c>
      <c r="AZ160" s="26"/>
      <c r="BA160" s="26" t="s">
        <v>389</v>
      </c>
      <c r="BB160" s="26"/>
      <c r="BC160" s="26" t="s">
        <v>1044</v>
      </c>
      <c r="BD160" s="26"/>
      <c r="BE160" s="26" t="s">
        <v>1045</v>
      </c>
      <c r="BF160" s="26"/>
      <c r="BG160" s="26"/>
    </row>
    <row r="161" spans="1:59" ht="25.5" customHeight="1" x14ac:dyDescent="0.15">
      <c r="A161" s="23" t="s">
        <v>232</v>
      </c>
      <c r="B161" s="24"/>
      <c r="C161" s="24"/>
      <c r="D161" s="24">
        <v>20.243939470621001</v>
      </c>
      <c r="E161" s="24">
        <v>21.601527177735399</v>
      </c>
      <c r="F161" s="24">
        <v>26.970332634102501</v>
      </c>
      <c r="G161" s="24"/>
      <c r="H161" s="24"/>
      <c r="I161" s="24"/>
      <c r="J161" s="24"/>
      <c r="K161" s="24"/>
      <c r="L161" s="24"/>
      <c r="M161" s="24"/>
      <c r="N161" s="24"/>
      <c r="O161" s="24"/>
      <c r="P161" s="24"/>
      <c r="Q161" s="24"/>
      <c r="R161" s="24"/>
      <c r="S161" s="24"/>
      <c r="T161" s="24"/>
      <c r="U161" s="25">
        <v>10.595726418660099</v>
      </c>
      <c r="V161" s="26"/>
      <c r="W161" s="26"/>
      <c r="X161" s="26"/>
      <c r="Y161" s="26"/>
      <c r="Z161" s="26"/>
      <c r="AA161" s="26"/>
      <c r="AB161" s="26"/>
      <c r="AC161" s="26"/>
      <c r="AD161" s="26"/>
      <c r="AE161" s="26"/>
      <c r="AF161" s="26"/>
      <c r="AG161" s="26"/>
      <c r="AH161" s="26"/>
      <c r="AI161" s="26"/>
      <c r="AJ161" s="26"/>
      <c r="AK161" s="26"/>
      <c r="AL161" s="26"/>
      <c r="AM161" s="26"/>
      <c r="AN161" s="26"/>
      <c r="AO161" s="26"/>
      <c r="AP161" s="26"/>
      <c r="AQ161" s="26"/>
      <c r="AR161" s="26"/>
      <c r="AS161" s="26"/>
      <c r="AT161" s="26"/>
      <c r="AU161" s="26"/>
      <c r="AV161" s="26"/>
      <c r="AW161" s="26"/>
      <c r="AX161" s="26"/>
      <c r="AY161" s="26"/>
      <c r="AZ161" s="26"/>
      <c r="BA161" s="26"/>
      <c r="BB161" s="26"/>
      <c r="BC161" s="26"/>
      <c r="BD161" s="26"/>
      <c r="BE161" s="26"/>
      <c r="BF161" s="26"/>
      <c r="BG161" s="26"/>
    </row>
    <row r="162" spans="1:59" ht="25.5" customHeight="1" x14ac:dyDescent="0.15">
      <c r="A162" s="23" t="s">
        <v>88</v>
      </c>
      <c r="B162" s="24">
        <v>1.11130620708969</v>
      </c>
      <c r="C162" s="24">
        <v>1.83685483917877</v>
      </c>
      <c r="D162" s="24">
        <v>3.1000922351251701</v>
      </c>
      <c r="E162" s="24">
        <v>4.13061635632919</v>
      </c>
      <c r="F162" s="24">
        <v>4.4009048260322299</v>
      </c>
      <c r="G162" s="24">
        <v>16.004999999999999</v>
      </c>
      <c r="H162" s="24">
        <v>18.41</v>
      </c>
      <c r="I162" s="24">
        <v>21.175999999999998</v>
      </c>
      <c r="J162" s="24">
        <v>24.358000000000001</v>
      </c>
      <c r="K162" s="24">
        <v>32.229999999999997</v>
      </c>
      <c r="L162" s="24">
        <v>37.4</v>
      </c>
      <c r="M162" s="24">
        <v>41.08</v>
      </c>
      <c r="N162" s="24">
        <v>43.4</v>
      </c>
      <c r="O162" s="24">
        <v>46.6</v>
      </c>
      <c r="P162" s="24">
        <v>53.67</v>
      </c>
      <c r="Q162" s="24">
        <v>57.42419241388</v>
      </c>
      <c r="R162" s="24">
        <v>61.17838482746</v>
      </c>
      <c r="S162" s="24">
        <v>65.2</v>
      </c>
      <c r="T162" s="24">
        <v>64.399993711449895</v>
      </c>
      <c r="U162" s="25">
        <v>10.595726418660099</v>
      </c>
      <c r="V162" s="26"/>
      <c r="W162" s="26"/>
      <c r="X162" s="26"/>
      <c r="Y162" s="26"/>
      <c r="Z162" s="26"/>
      <c r="AA162" s="26"/>
      <c r="AB162" s="26"/>
      <c r="AC162" s="26"/>
      <c r="AD162" s="26"/>
      <c r="AE162" s="26"/>
      <c r="AF162" s="26" t="s">
        <v>526</v>
      </c>
      <c r="AG162" s="26" t="s">
        <v>393</v>
      </c>
      <c r="AH162" s="26" t="s">
        <v>526</v>
      </c>
      <c r="AI162" s="26" t="s">
        <v>1046</v>
      </c>
      <c r="AJ162" s="26" t="s">
        <v>526</v>
      </c>
      <c r="AK162" s="26" t="s">
        <v>393</v>
      </c>
      <c r="AL162" s="26" t="s">
        <v>526</v>
      </c>
      <c r="AM162" s="26" t="s">
        <v>389</v>
      </c>
      <c r="AN162" s="26" t="s">
        <v>526</v>
      </c>
      <c r="AO162" s="26" t="s">
        <v>1046</v>
      </c>
      <c r="AP162" s="26" t="s">
        <v>801</v>
      </c>
      <c r="AQ162" s="26" t="s">
        <v>389</v>
      </c>
      <c r="AR162" s="26" t="s">
        <v>801</v>
      </c>
      <c r="AS162" s="26" t="s">
        <v>1047</v>
      </c>
      <c r="AT162" s="26"/>
      <c r="AU162" s="26" t="s">
        <v>1046</v>
      </c>
      <c r="AV162" s="26"/>
      <c r="AW162" s="26" t="s">
        <v>389</v>
      </c>
      <c r="AX162" s="26" t="s">
        <v>526</v>
      </c>
      <c r="AY162" s="26" t="s">
        <v>1046</v>
      </c>
      <c r="AZ162" s="26"/>
      <c r="BA162" s="26" t="s">
        <v>389</v>
      </c>
      <c r="BB162" s="26"/>
      <c r="BC162" s="26" t="s">
        <v>401</v>
      </c>
      <c r="BD162" s="26"/>
      <c r="BE162" s="26" t="s">
        <v>389</v>
      </c>
      <c r="BF162" s="26"/>
      <c r="BG162" s="26" t="s">
        <v>1046</v>
      </c>
    </row>
    <row r="163" spans="1:59" ht="25.5" customHeight="1" x14ac:dyDescent="0.15">
      <c r="A163" s="23" t="s">
        <v>175</v>
      </c>
      <c r="B163" s="24">
        <v>6.5547964772954899</v>
      </c>
      <c r="C163" s="24">
        <v>7.2683998778872896</v>
      </c>
      <c r="D163" s="24">
        <v>8.5180778151559498</v>
      </c>
      <c r="E163" s="24">
        <v>9.9874240772340492</v>
      </c>
      <c r="F163" s="24">
        <v>11.1408625409415</v>
      </c>
      <c r="G163" s="24">
        <v>11.4840092783071</v>
      </c>
      <c r="H163" s="24">
        <v>17.3495661695931</v>
      </c>
      <c r="I163" s="24">
        <v>22.29</v>
      </c>
      <c r="J163" s="24">
        <v>33.82</v>
      </c>
      <c r="K163" s="24">
        <v>39.08</v>
      </c>
      <c r="L163" s="24">
        <v>40.1</v>
      </c>
      <c r="M163" s="24">
        <v>42.7</v>
      </c>
      <c r="N163" s="24">
        <v>40.301895221048802</v>
      </c>
      <c r="O163" s="24">
        <v>44.03</v>
      </c>
      <c r="P163" s="24">
        <v>44.92</v>
      </c>
      <c r="Q163" s="24">
        <v>51.2054249948687</v>
      </c>
      <c r="R163" s="24">
        <v>54</v>
      </c>
      <c r="S163" s="24">
        <v>57.865090065607902</v>
      </c>
      <c r="T163" s="24"/>
      <c r="U163" s="25">
        <v>10.595726418660099</v>
      </c>
      <c r="V163" s="26"/>
      <c r="W163" s="26"/>
      <c r="X163" s="26"/>
      <c r="Y163" s="26"/>
      <c r="Z163" s="26"/>
      <c r="AA163" s="26"/>
      <c r="AB163" s="26"/>
      <c r="AC163" s="26"/>
      <c r="AD163" s="26"/>
      <c r="AE163" s="26"/>
      <c r="AF163" s="26"/>
      <c r="AG163" s="26"/>
      <c r="AH163" s="26"/>
      <c r="AI163" s="26"/>
      <c r="AJ163" s="26"/>
      <c r="AK163" s="26" t="s">
        <v>1048</v>
      </c>
      <c r="AL163" s="26" t="s">
        <v>1049</v>
      </c>
      <c r="AM163" s="26" t="s">
        <v>1050</v>
      </c>
      <c r="AN163" s="26" t="s">
        <v>1049</v>
      </c>
      <c r="AO163" s="26" t="s">
        <v>1050</v>
      </c>
      <c r="AP163" s="26" t="s">
        <v>1051</v>
      </c>
      <c r="AQ163" s="26" t="s">
        <v>1050</v>
      </c>
      <c r="AR163" s="26" t="s">
        <v>1052</v>
      </c>
      <c r="AS163" s="26" t="s">
        <v>1050</v>
      </c>
      <c r="AT163" s="26" t="s">
        <v>1053</v>
      </c>
      <c r="AU163" s="26" t="s">
        <v>1054</v>
      </c>
      <c r="AV163" s="26" t="s">
        <v>526</v>
      </c>
      <c r="AW163" s="26" t="s">
        <v>1054</v>
      </c>
      <c r="AX163" s="26" t="s">
        <v>526</v>
      </c>
      <c r="AY163" s="26" t="s">
        <v>1054</v>
      </c>
      <c r="AZ163" s="26" t="s">
        <v>1055</v>
      </c>
      <c r="BA163" s="26" t="s">
        <v>1056</v>
      </c>
      <c r="BB163" s="26"/>
      <c r="BC163" s="26" t="s">
        <v>401</v>
      </c>
      <c r="BD163" s="26"/>
      <c r="BE163" s="26" t="s">
        <v>389</v>
      </c>
      <c r="BF163" s="26"/>
      <c r="BG163" s="26"/>
    </row>
    <row r="164" spans="1:59" ht="25.5" customHeight="1" x14ac:dyDescent="0.15">
      <c r="A164" s="23" t="s">
        <v>75</v>
      </c>
      <c r="B164" s="24">
        <v>0.83524930242762396</v>
      </c>
      <c r="C164" s="24">
        <v>0.90410354517082103</v>
      </c>
      <c r="D164" s="24">
        <v>1.3216569348661</v>
      </c>
      <c r="E164" s="24">
        <v>1.37440466802801</v>
      </c>
      <c r="F164" s="24">
        <v>1.5079127722725001</v>
      </c>
      <c r="G164" s="24">
        <v>1.7161904755678199</v>
      </c>
      <c r="H164" s="24">
        <v>1.754487260668</v>
      </c>
      <c r="I164" s="24">
        <v>1.79055936140245</v>
      </c>
      <c r="J164" s="24">
        <v>1.1499999999999999</v>
      </c>
      <c r="K164" s="24">
        <v>1.61</v>
      </c>
      <c r="L164" s="24">
        <v>1.28</v>
      </c>
      <c r="M164" s="24">
        <v>2</v>
      </c>
      <c r="N164" s="24">
        <v>3.5</v>
      </c>
      <c r="O164" s="24">
        <v>5.0999999999999996</v>
      </c>
      <c r="P164" s="24">
        <v>6.5</v>
      </c>
      <c r="Q164" s="24">
        <v>7.9</v>
      </c>
      <c r="R164" s="24">
        <v>9.6015384615384605</v>
      </c>
      <c r="S164" s="24">
        <v>11.209196592857801</v>
      </c>
      <c r="T164" s="24"/>
      <c r="U164" s="25">
        <v>10.595726418660099</v>
      </c>
      <c r="V164" s="26"/>
      <c r="W164" s="26" t="s">
        <v>1057</v>
      </c>
      <c r="X164" s="26"/>
      <c r="Y164" s="26" t="s">
        <v>1057</v>
      </c>
      <c r="Z164" s="26"/>
      <c r="AA164" s="26" t="s">
        <v>1057</v>
      </c>
      <c r="AB164" s="26"/>
      <c r="AC164" s="26" t="s">
        <v>1057</v>
      </c>
      <c r="AD164" s="26"/>
      <c r="AE164" s="26" t="s">
        <v>1057</v>
      </c>
      <c r="AF164" s="26"/>
      <c r="AG164" s="26" t="s">
        <v>1057</v>
      </c>
      <c r="AH164" s="26"/>
      <c r="AI164" s="26" t="s">
        <v>1057</v>
      </c>
      <c r="AJ164" s="26"/>
      <c r="AK164" s="26" t="s">
        <v>389</v>
      </c>
      <c r="AL164" s="26" t="s">
        <v>526</v>
      </c>
      <c r="AM164" s="26" t="s">
        <v>1058</v>
      </c>
      <c r="AN164" s="26" t="s">
        <v>526</v>
      </c>
      <c r="AO164" s="26" t="s">
        <v>1058</v>
      </c>
      <c r="AP164" s="26" t="s">
        <v>526</v>
      </c>
      <c r="AQ164" s="26" t="s">
        <v>1058</v>
      </c>
      <c r="AR164" s="26"/>
      <c r="AS164" s="26" t="s">
        <v>389</v>
      </c>
      <c r="AT164" s="26"/>
      <c r="AU164" s="26" t="s">
        <v>389</v>
      </c>
      <c r="AV164" s="26"/>
      <c r="AW164" s="26" t="s">
        <v>389</v>
      </c>
      <c r="AX164" s="26"/>
      <c r="AY164" s="26" t="s">
        <v>389</v>
      </c>
      <c r="AZ164" s="26"/>
      <c r="BA164" s="26" t="s">
        <v>389</v>
      </c>
      <c r="BB164" s="26"/>
      <c r="BC164" s="26" t="s">
        <v>401</v>
      </c>
      <c r="BD164" s="26"/>
      <c r="BE164" s="26" t="s">
        <v>389</v>
      </c>
      <c r="BF164" s="26"/>
      <c r="BG164" s="26"/>
    </row>
    <row r="165" spans="1:59" ht="25.5" customHeight="1" x14ac:dyDescent="0.15">
      <c r="A165" s="23" t="s">
        <v>140</v>
      </c>
      <c r="B165" s="24">
        <v>0.74763071154818395</v>
      </c>
      <c r="C165" s="24">
        <v>1.09879383569333</v>
      </c>
      <c r="D165" s="24">
        <v>1.79496959770244</v>
      </c>
      <c r="E165" s="24">
        <v>2.1119420821003398</v>
      </c>
      <c r="F165" s="24">
        <v>3.4524384313707901</v>
      </c>
      <c r="G165" s="24">
        <v>7.9070078614128496</v>
      </c>
      <c r="H165" s="24">
        <v>7.9620738839441598</v>
      </c>
      <c r="I165" s="24">
        <v>11.21</v>
      </c>
      <c r="J165" s="24">
        <v>14.27</v>
      </c>
      <c r="K165" s="24">
        <v>18.899999999999999</v>
      </c>
      <c r="L165" s="24">
        <v>19.8</v>
      </c>
      <c r="M165" s="24">
        <v>24.7635158793993</v>
      </c>
      <c r="N165" s="24">
        <v>29.34</v>
      </c>
      <c r="O165" s="24">
        <v>36.9</v>
      </c>
      <c r="P165" s="24">
        <v>43</v>
      </c>
      <c r="Q165" s="24">
        <v>49.72</v>
      </c>
      <c r="R165" s="24">
        <v>53.40412748</v>
      </c>
      <c r="S165" s="24">
        <v>61.075756220000002</v>
      </c>
      <c r="T165" s="24">
        <v>64.993543023575597</v>
      </c>
      <c r="U165" s="25">
        <v>10.595726418660099</v>
      </c>
      <c r="V165" s="26"/>
      <c r="W165" s="26" t="s">
        <v>1059</v>
      </c>
      <c r="X165" s="26"/>
      <c r="Y165" s="26" t="s">
        <v>1059</v>
      </c>
      <c r="Z165" s="26"/>
      <c r="AA165" s="26" t="s">
        <v>1059</v>
      </c>
      <c r="AB165" s="26"/>
      <c r="AC165" s="26" t="s">
        <v>1059</v>
      </c>
      <c r="AD165" s="26"/>
      <c r="AE165" s="26" t="s">
        <v>1059</v>
      </c>
      <c r="AF165" s="26" t="s">
        <v>1060</v>
      </c>
      <c r="AG165" s="26" t="s">
        <v>1061</v>
      </c>
      <c r="AH165" s="26" t="s">
        <v>1062</v>
      </c>
      <c r="AI165" s="26" t="s">
        <v>389</v>
      </c>
      <c r="AJ165" s="26" t="s">
        <v>1060</v>
      </c>
      <c r="AK165" s="26" t="s">
        <v>1061</v>
      </c>
      <c r="AL165" s="26" t="s">
        <v>1060</v>
      </c>
      <c r="AM165" s="26" t="s">
        <v>1061</v>
      </c>
      <c r="AN165" s="26" t="s">
        <v>1060</v>
      </c>
      <c r="AO165" s="26" t="s">
        <v>1061</v>
      </c>
      <c r="AP165" s="26" t="s">
        <v>1060</v>
      </c>
      <c r="AQ165" s="26" t="s">
        <v>1063</v>
      </c>
      <c r="AR165" s="26" t="s">
        <v>1060</v>
      </c>
      <c r="AS165" s="26" t="s">
        <v>1064</v>
      </c>
      <c r="AT165" s="26" t="s">
        <v>1060</v>
      </c>
      <c r="AU165" s="26" t="s">
        <v>1065</v>
      </c>
      <c r="AV165" s="26" t="s">
        <v>1060</v>
      </c>
      <c r="AW165" s="26" t="s">
        <v>1065</v>
      </c>
      <c r="AX165" s="26" t="s">
        <v>1060</v>
      </c>
      <c r="AY165" s="26" t="s">
        <v>1065</v>
      </c>
      <c r="AZ165" s="26" t="s">
        <v>526</v>
      </c>
      <c r="BA165" s="26" t="s">
        <v>1066</v>
      </c>
      <c r="BB165" s="26"/>
      <c r="BC165" s="26" t="s">
        <v>1065</v>
      </c>
      <c r="BD165" s="26"/>
      <c r="BE165" s="26" t="s">
        <v>1065</v>
      </c>
      <c r="BF165" s="26"/>
      <c r="BG165" s="26" t="s">
        <v>1065</v>
      </c>
    </row>
    <row r="166" spans="1:59" ht="25.5" customHeight="1" x14ac:dyDescent="0.15">
      <c r="A166" s="23" t="s">
        <v>115</v>
      </c>
      <c r="B166" s="24">
        <v>3.0764306113767499</v>
      </c>
      <c r="C166" s="24">
        <v>7.5787629571741899</v>
      </c>
      <c r="D166" s="24">
        <v>8.9669491704002802</v>
      </c>
      <c r="E166" s="24">
        <v>11.6</v>
      </c>
      <c r="F166" s="24">
        <v>14.1</v>
      </c>
      <c r="G166" s="24">
        <v>17.100000000000001</v>
      </c>
      <c r="H166" s="24">
        <v>20.7</v>
      </c>
      <c r="I166" s="24">
        <v>25.2</v>
      </c>
      <c r="J166" s="24">
        <v>30.57</v>
      </c>
      <c r="K166" s="24">
        <v>31.4</v>
      </c>
      <c r="L166" s="24">
        <v>34.770000000000003</v>
      </c>
      <c r="M166" s="24">
        <v>36.01</v>
      </c>
      <c r="N166" s="24">
        <v>38.200000000000003</v>
      </c>
      <c r="O166" s="24">
        <v>39.200000000000003</v>
      </c>
      <c r="P166" s="24">
        <v>40.200000000000003</v>
      </c>
      <c r="Q166" s="24">
        <v>40.852600909046799</v>
      </c>
      <c r="R166" s="24">
        <v>45.461740689999999</v>
      </c>
      <c r="S166" s="24">
        <v>48.727631459999998</v>
      </c>
      <c r="T166" s="24">
        <v>52.540311572038398</v>
      </c>
      <c r="U166" s="25">
        <v>10.595726418660099</v>
      </c>
      <c r="V166" s="26"/>
      <c r="W166" s="26" t="s">
        <v>389</v>
      </c>
      <c r="X166" s="26"/>
      <c r="Y166" s="26" t="s">
        <v>1067</v>
      </c>
      <c r="Z166" s="26"/>
      <c r="AA166" s="26" t="s">
        <v>1067</v>
      </c>
      <c r="AB166" s="26"/>
      <c r="AC166" s="26" t="s">
        <v>1068</v>
      </c>
      <c r="AD166" s="26" t="s">
        <v>1069</v>
      </c>
      <c r="AE166" s="26" t="s">
        <v>1070</v>
      </c>
      <c r="AF166" s="26" t="s">
        <v>1069</v>
      </c>
      <c r="AG166" s="26" t="s">
        <v>1070</v>
      </c>
      <c r="AH166" s="26" t="s">
        <v>1069</v>
      </c>
      <c r="AI166" s="26" t="s">
        <v>1070</v>
      </c>
      <c r="AJ166" s="26" t="s">
        <v>1069</v>
      </c>
      <c r="AK166" s="26" t="s">
        <v>1070</v>
      </c>
      <c r="AL166" s="26" t="s">
        <v>1071</v>
      </c>
      <c r="AM166" s="26" t="s">
        <v>1068</v>
      </c>
      <c r="AN166" s="26" t="s">
        <v>475</v>
      </c>
      <c r="AO166" s="26" t="s">
        <v>1072</v>
      </c>
      <c r="AP166" s="26" t="s">
        <v>475</v>
      </c>
      <c r="AQ166" s="26" t="s">
        <v>1068</v>
      </c>
      <c r="AR166" s="26" t="s">
        <v>1073</v>
      </c>
      <c r="AS166" s="26" t="s">
        <v>1074</v>
      </c>
      <c r="AT166" s="26" t="s">
        <v>475</v>
      </c>
      <c r="AU166" s="26" t="s">
        <v>1075</v>
      </c>
      <c r="AV166" s="26" t="s">
        <v>475</v>
      </c>
      <c r="AW166" s="26" t="s">
        <v>1075</v>
      </c>
      <c r="AX166" s="26" t="s">
        <v>475</v>
      </c>
      <c r="AY166" s="26" t="s">
        <v>1075</v>
      </c>
      <c r="AZ166" s="26"/>
      <c r="BA166" s="26" t="s">
        <v>1075</v>
      </c>
      <c r="BB166" s="26" t="s">
        <v>1076</v>
      </c>
      <c r="BC166" s="26" t="s">
        <v>1075</v>
      </c>
      <c r="BD166" s="26" t="s">
        <v>1076</v>
      </c>
      <c r="BE166" s="26" t="s">
        <v>1075</v>
      </c>
      <c r="BF166" s="26"/>
      <c r="BG166" s="26" t="s">
        <v>1075</v>
      </c>
    </row>
    <row r="167" spans="1:59" ht="25.5" customHeight="1" x14ac:dyDescent="0.15">
      <c r="A167" s="23" t="s">
        <v>93</v>
      </c>
      <c r="B167" s="24">
        <v>1.9822531960582701</v>
      </c>
      <c r="C167" s="24">
        <v>2.5240056600826901</v>
      </c>
      <c r="D167" s="24">
        <v>4.3322757464300699</v>
      </c>
      <c r="E167" s="24">
        <v>4.8576722670851202</v>
      </c>
      <c r="F167" s="24">
        <v>5.2436284521710999</v>
      </c>
      <c r="G167" s="24">
        <v>5.3976363293954996</v>
      </c>
      <c r="H167" s="24">
        <v>5.74058632534702</v>
      </c>
      <c r="I167" s="24">
        <v>5.97</v>
      </c>
      <c r="J167" s="24">
        <v>6.22</v>
      </c>
      <c r="K167" s="24">
        <v>9</v>
      </c>
      <c r="L167" s="24">
        <v>25</v>
      </c>
      <c r="M167" s="24">
        <v>29</v>
      </c>
      <c r="N167" s="24">
        <v>36.235100000000003</v>
      </c>
      <c r="O167" s="24">
        <v>48.099023588999998</v>
      </c>
      <c r="P167" s="24">
        <v>49.6</v>
      </c>
      <c r="Q167" s="24">
        <v>36</v>
      </c>
      <c r="R167" s="24">
        <v>55.5</v>
      </c>
      <c r="S167" s="24">
        <v>60.054760333691299</v>
      </c>
      <c r="T167" s="24"/>
      <c r="U167" s="25">
        <v>10.595726418660099</v>
      </c>
      <c r="V167" s="26"/>
      <c r="W167" s="26" t="s">
        <v>1077</v>
      </c>
      <c r="X167" s="26"/>
      <c r="Y167" s="26" t="s">
        <v>1077</v>
      </c>
      <c r="Z167" s="26"/>
      <c r="AA167" s="26" t="s">
        <v>1077</v>
      </c>
      <c r="AB167" s="26"/>
      <c r="AC167" s="26" t="s">
        <v>1077</v>
      </c>
      <c r="AD167" s="26"/>
      <c r="AE167" s="26" t="s">
        <v>1077</v>
      </c>
      <c r="AF167" s="26"/>
      <c r="AG167" s="26" t="s">
        <v>389</v>
      </c>
      <c r="AH167" s="26"/>
      <c r="AI167" s="26" t="s">
        <v>1077</v>
      </c>
      <c r="AJ167" s="26"/>
      <c r="AK167" s="26" t="s">
        <v>1077</v>
      </c>
      <c r="AL167" s="26"/>
      <c r="AM167" s="26" t="s">
        <v>1077</v>
      </c>
      <c r="AN167" s="26"/>
      <c r="AO167" s="26" t="s">
        <v>1077</v>
      </c>
      <c r="AP167" s="26"/>
      <c r="AQ167" s="26" t="s">
        <v>1078</v>
      </c>
      <c r="AR167" s="26"/>
      <c r="AS167" s="26" t="s">
        <v>389</v>
      </c>
      <c r="AT167" s="26"/>
      <c r="AU167" s="26" t="s">
        <v>389</v>
      </c>
      <c r="AV167" s="26" t="s">
        <v>1079</v>
      </c>
      <c r="AW167" s="26" t="s">
        <v>1080</v>
      </c>
      <c r="AX167" s="26"/>
      <c r="AY167" s="26" t="s">
        <v>389</v>
      </c>
      <c r="AZ167" s="26" t="s">
        <v>394</v>
      </c>
      <c r="BA167" s="26" t="s">
        <v>565</v>
      </c>
      <c r="BB167" s="26"/>
      <c r="BC167" s="26" t="s">
        <v>401</v>
      </c>
      <c r="BD167" s="26"/>
      <c r="BE167" s="26" t="s">
        <v>389</v>
      </c>
      <c r="BF167" s="26"/>
      <c r="BG167" s="26"/>
    </row>
    <row r="168" spans="1:59" ht="25.5" customHeight="1" x14ac:dyDescent="0.15">
      <c r="A168" s="23" t="s">
        <v>85</v>
      </c>
      <c r="B168" s="24">
        <v>7.2854287080600999</v>
      </c>
      <c r="C168" s="24">
        <v>9.9006697073533996</v>
      </c>
      <c r="D168" s="24">
        <v>21.15</v>
      </c>
      <c r="E168" s="24">
        <v>24.87</v>
      </c>
      <c r="F168" s="24">
        <v>32.53</v>
      </c>
      <c r="G168" s="24">
        <v>38.81</v>
      </c>
      <c r="H168" s="24">
        <v>44.58</v>
      </c>
      <c r="I168" s="24">
        <v>48.6</v>
      </c>
      <c r="J168" s="24">
        <v>53.13</v>
      </c>
      <c r="K168" s="24">
        <v>58.97</v>
      </c>
      <c r="L168" s="24">
        <v>62.32</v>
      </c>
      <c r="M168" s="24">
        <v>61.949998968979997</v>
      </c>
      <c r="N168" s="24">
        <v>62.309997271469101</v>
      </c>
      <c r="O168" s="24">
        <v>62.849200000000003</v>
      </c>
      <c r="P168" s="24">
        <v>66.599999999999994</v>
      </c>
      <c r="Q168" s="24">
        <v>67.997</v>
      </c>
      <c r="R168" s="24">
        <v>73.300704100000004</v>
      </c>
      <c r="S168" s="24">
        <v>75.985365950000002</v>
      </c>
      <c r="T168" s="24">
        <v>77.5417345350006</v>
      </c>
      <c r="U168" s="25">
        <v>10.595726418660099</v>
      </c>
      <c r="V168" s="26"/>
      <c r="W168" s="26" t="s">
        <v>1081</v>
      </c>
      <c r="X168" s="26"/>
      <c r="Y168" s="26" t="s">
        <v>1081</v>
      </c>
      <c r="Z168" s="26"/>
      <c r="AA168" s="26" t="s">
        <v>1081</v>
      </c>
      <c r="AB168" s="26"/>
      <c r="AC168" s="26" t="s">
        <v>1081</v>
      </c>
      <c r="AD168" s="26" t="s">
        <v>443</v>
      </c>
      <c r="AE168" s="26" t="s">
        <v>442</v>
      </c>
      <c r="AF168" s="26" t="s">
        <v>443</v>
      </c>
      <c r="AG168" s="26" t="s">
        <v>442</v>
      </c>
      <c r="AH168" s="26" t="s">
        <v>443</v>
      </c>
      <c r="AI168" s="26" t="s">
        <v>442</v>
      </c>
      <c r="AJ168" s="26" t="s">
        <v>443</v>
      </c>
      <c r="AK168" s="26" t="s">
        <v>442</v>
      </c>
      <c r="AL168" s="26" t="s">
        <v>443</v>
      </c>
      <c r="AM168" s="26" t="s">
        <v>442</v>
      </c>
      <c r="AN168" s="26" t="s">
        <v>443</v>
      </c>
      <c r="AO168" s="26" t="s">
        <v>442</v>
      </c>
      <c r="AP168" s="26" t="s">
        <v>443</v>
      </c>
      <c r="AQ168" s="26" t="s">
        <v>442</v>
      </c>
      <c r="AR168" s="26" t="s">
        <v>444</v>
      </c>
      <c r="AS168" s="26" t="s">
        <v>442</v>
      </c>
      <c r="AT168" s="26" t="s">
        <v>445</v>
      </c>
      <c r="AU168" s="26" t="s">
        <v>442</v>
      </c>
      <c r="AV168" s="26" t="s">
        <v>443</v>
      </c>
      <c r="AW168" s="26" t="s">
        <v>442</v>
      </c>
      <c r="AX168" s="26" t="s">
        <v>819</v>
      </c>
      <c r="AY168" s="26" t="s">
        <v>1082</v>
      </c>
      <c r="AZ168" s="26" t="s">
        <v>819</v>
      </c>
      <c r="BA168" s="26" t="s">
        <v>1082</v>
      </c>
      <c r="BB168" s="26"/>
      <c r="BC168" s="26" t="s">
        <v>1083</v>
      </c>
      <c r="BD168" s="26" t="s">
        <v>1084</v>
      </c>
      <c r="BE168" s="26" t="s">
        <v>1083</v>
      </c>
      <c r="BF168" s="26"/>
      <c r="BG168" s="26" t="s">
        <v>1085</v>
      </c>
    </row>
    <row r="169" spans="1:59" ht="25.5" customHeight="1" x14ac:dyDescent="0.15">
      <c r="A169" s="23" t="s">
        <v>73</v>
      </c>
      <c r="B169" s="24">
        <v>16.4304676923534</v>
      </c>
      <c r="C169" s="24">
        <v>18.0871365595338</v>
      </c>
      <c r="D169" s="24">
        <v>19.37</v>
      </c>
      <c r="E169" s="24">
        <v>29.67</v>
      </c>
      <c r="F169" s="24">
        <v>31.78</v>
      </c>
      <c r="G169" s="24">
        <v>34.99</v>
      </c>
      <c r="H169" s="24">
        <v>38.01</v>
      </c>
      <c r="I169" s="24">
        <v>42.09</v>
      </c>
      <c r="J169" s="24">
        <v>44.13</v>
      </c>
      <c r="K169" s="24">
        <v>48.27</v>
      </c>
      <c r="L169" s="24">
        <v>53.3</v>
      </c>
      <c r="M169" s="24">
        <v>55.249996879719397</v>
      </c>
      <c r="N169" s="24">
        <v>60.3399974868057</v>
      </c>
      <c r="O169" s="24">
        <v>62.095599999999997</v>
      </c>
      <c r="P169" s="24">
        <v>64.59</v>
      </c>
      <c r="Q169" s="24">
        <v>68.632900000000006</v>
      </c>
      <c r="R169" s="24">
        <v>70.423567090000006</v>
      </c>
      <c r="S169" s="24">
        <v>73.791213949999999</v>
      </c>
      <c r="T169" s="24">
        <v>74.660968279126706</v>
      </c>
      <c r="U169" s="25">
        <v>10.595726418660099</v>
      </c>
      <c r="V169" s="26"/>
      <c r="W169" s="26" t="s">
        <v>1086</v>
      </c>
      <c r="X169" s="26"/>
      <c r="Y169" s="26" t="s">
        <v>1086</v>
      </c>
      <c r="Z169" s="26" t="s">
        <v>441</v>
      </c>
      <c r="AA169" s="26" t="s">
        <v>442</v>
      </c>
      <c r="AB169" s="26" t="s">
        <v>443</v>
      </c>
      <c r="AC169" s="26" t="s">
        <v>442</v>
      </c>
      <c r="AD169" s="26" t="s">
        <v>443</v>
      </c>
      <c r="AE169" s="26" t="s">
        <v>442</v>
      </c>
      <c r="AF169" s="26" t="s">
        <v>443</v>
      </c>
      <c r="AG169" s="26" t="s">
        <v>442</v>
      </c>
      <c r="AH169" s="26" t="s">
        <v>443</v>
      </c>
      <c r="AI169" s="26" t="s">
        <v>442</v>
      </c>
      <c r="AJ169" s="26" t="s">
        <v>443</v>
      </c>
      <c r="AK169" s="26" t="s">
        <v>442</v>
      </c>
      <c r="AL169" s="26" t="s">
        <v>443</v>
      </c>
      <c r="AM169" s="26" t="s">
        <v>442</v>
      </c>
      <c r="AN169" s="26" t="s">
        <v>443</v>
      </c>
      <c r="AO169" s="26" t="s">
        <v>442</v>
      </c>
      <c r="AP169" s="26" t="s">
        <v>443</v>
      </c>
      <c r="AQ169" s="26" t="s">
        <v>442</v>
      </c>
      <c r="AR169" s="26" t="s">
        <v>444</v>
      </c>
      <c r="AS169" s="26" t="s">
        <v>442</v>
      </c>
      <c r="AT169" s="26" t="s">
        <v>445</v>
      </c>
      <c r="AU169" s="26" t="s">
        <v>442</v>
      </c>
      <c r="AV169" s="26" t="s">
        <v>443</v>
      </c>
      <c r="AW169" s="26" t="s">
        <v>442</v>
      </c>
      <c r="AX169" s="26" t="s">
        <v>443</v>
      </c>
      <c r="AY169" s="26" t="s">
        <v>449</v>
      </c>
      <c r="AZ169" s="26" t="s">
        <v>443</v>
      </c>
      <c r="BA169" s="26" t="s">
        <v>442</v>
      </c>
      <c r="BB169" s="26"/>
      <c r="BC169" s="26" t="s">
        <v>1087</v>
      </c>
      <c r="BD169" s="26"/>
      <c r="BE169" s="26" t="s">
        <v>1087</v>
      </c>
      <c r="BF169" s="26"/>
      <c r="BG169" s="26" t="s">
        <v>1087</v>
      </c>
    </row>
    <row r="170" spans="1:59" ht="25.5" customHeight="1" x14ac:dyDescent="0.15">
      <c r="A170" s="23" t="s">
        <v>195</v>
      </c>
      <c r="B170" s="24">
        <v>10.4746482089399</v>
      </c>
      <c r="C170" s="24">
        <v>15.6300309162012</v>
      </c>
      <c r="D170" s="24">
        <v>17.5476475654777</v>
      </c>
      <c r="E170" s="24">
        <v>19.707025657825199</v>
      </c>
      <c r="F170" s="24">
        <v>22.130738234701401</v>
      </c>
      <c r="G170" s="24">
        <v>23.400050448658298</v>
      </c>
      <c r="H170" s="24">
        <v>25.4424182102582</v>
      </c>
      <c r="I170" s="24">
        <v>27.86</v>
      </c>
      <c r="J170" s="24">
        <v>38</v>
      </c>
      <c r="K170" s="24">
        <v>41.5</v>
      </c>
      <c r="L170" s="24">
        <v>45.3</v>
      </c>
      <c r="M170" s="24">
        <v>48</v>
      </c>
      <c r="N170" s="24">
        <v>68.999982601415098</v>
      </c>
      <c r="O170" s="24">
        <v>68.999990003999997</v>
      </c>
      <c r="P170" s="24"/>
      <c r="Q170" s="24">
        <v>63.47</v>
      </c>
      <c r="R170" s="24">
        <v>68.643807199999998</v>
      </c>
      <c r="S170" s="24">
        <v>70.597873590000006</v>
      </c>
      <c r="T170" s="24"/>
      <c r="U170" s="25">
        <v>10.595726418660099</v>
      </c>
      <c r="V170" s="26"/>
      <c r="W170" s="26" t="s">
        <v>1088</v>
      </c>
      <c r="X170" s="26"/>
      <c r="Y170" s="26" t="s">
        <v>1088</v>
      </c>
      <c r="Z170" s="26"/>
      <c r="AA170" s="26" t="s">
        <v>1088</v>
      </c>
      <c r="AB170" s="26"/>
      <c r="AC170" s="26" t="s">
        <v>1088</v>
      </c>
      <c r="AD170" s="26"/>
      <c r="AE170" s="26" t="s">
        <v>1088</v>
      </c>
      <c r="AF170" s="26"/>
      <c r="AG170" s="26" t="s">
        <v>389</v>
      </c>
      <c r="AH170" s="26"/>
      <c r="AI170" s="26" t="s">
        <v>1088</v>
      </c>
      <c r="AJ170" s="26"/>
      <c r="AK170" s="26" t="s">
        <v>1089</v>
      </c>
      <c r="AL170" s="26" t="s">
        <v>1090</v>
      </c>
      <c r="AM170" s="26" t="s">
        <v>1091</v>
      </c>
      <c r="AN170" s="26" t="s">
        <v>1092</v>
      </c>
      <c r="AO170" s="26" t="s">
        <v>389</v>
      </c>
      <c r="AP170" s="26" t="s">
        <v>1093</v>
      </c>
      <c r="AQ170" s="26" t="s">
        <v>1091</v>
      </c>
      <c r="AR170" s="26" t="s">
        <v>1094</v>
      </c>
      <c r="AS170" s="26" t="s">
        <v>1091</v>
      </c>
      <c r="AT170" s="26" t="s">
        <v>1095</v>
      </c>
      <c r="AU170" s="26" t="s">
        <v>1096</v>
      </c>
      <c r="AV170" s="26" t="s">
        <v>492</v>
      </c>
      <c r="AW170" s="26" t="s">
        <v>1096</v>
      </c>
      <c r="AX170" s="26"/>
      <c r="AY170" s="26"/>
      <c r="AZ170" s="26"/>
      <c r="BA170" s="26" t="s">
        <v>1096</v>
      </c>
      <c r="BB170" s="26" t="s">
        <v>1097</v>
      </c>
      <c r="BC170" s="26" t="s">
        <v>1091</v>
      </c>
      <c r="BD170" s="26" t="s">
        <v>1098</v>
      </c>
      <c r="BE170" s="26" t="s">
        <v>1091</v>
      </c>
      <c r="BF170" s="26"/>
      <c r="BG170" s="26"/>
    </row>
    <row r="171" spans="1:59" ht="25.5" customHeight="1" x14ac:dyDescent="0.15">
      <c r="A171" s="23" t="s">
        <v>183</v>
      </c>
      <c r="B171" s="24">
        <v>4.8636791787515596</v>
      </c>
      <c r="C171" s="24">
        <v>6.1702685609391104</v>
      </c>
      <c r="D171" s="24">
        <v>10.2261289281118</v>
      </c>
      <c r="E171" s="24">
        <v>19.242336421002001</v>
      </c>
      <c r="F171" s="24">
        <v>20.701647851169</v>
      </c>
      <c r="G171" s="24">
        <v>24.733493781050999</v>
      </c>
      <c r="H171" s="24">
        <v>28.974112713582901</v>
      </c>
      <c r="I171" s="24">
        <v>37</v>
      </c>
      <c r="J171" s="24">
        <v>44.3</v>
      </c>
      <c r="K171" s="24">
        <v>53.1</v>
      </c>
      <c r="L171" s="24">
        <v>69</v>
      </c>
      <c r="M171" s="24">
        <v>69</v>
      </c>
      <c r="N171" s="24">
        <v>69.3</v>
      </c>
      <c r="O171" s="24">
        <v>85.3</v>
      </c>
      <c r="P171" s="24">
        <v>91.49</v>
      </c>
      <c r="Q171" s="24">
        <v>92.884826453548101</v>
      </c>
      <c r="R171" s="24">
        <v>95.124662166114803</v>
      </c>
      <c r="S171" s="24">
        <v>97.388849165416403</v>
      </c>
      <c r="T171" s="24">
        <v>99.652849126117502</v>
      </c>
      <c r="U171" s="25">
        <v>10.595726418660099</v>
      </c>
      <c r="V171" s="26"/>
      <c r="W171" s="26"/>
      <c r="X171" s="26"/>
      <c r="Y171" s="26"/>
      <c r="Z171" s="26"/>
      <c r="AA171" s="26"/>
      <c r="AB171" s="26"/>
      <c r="AC171" s="26"/>
      <c r="AD171" s="26"/>
      <c r="AE171" s="26"/>
      <c r="AF171" s="26"/>
      <c r="AG171" s="26"/>
      <c r="AH171" s="26"/>
      <c r="AI171" s="26"/>
      <c r="AJ171" s="26"/>
      <c r="AK171" s="26" t="s">
        <v>1099</v>
      </c>
      <c r="AL171" s="26"/>
      <c r="AM171" s="26" t="s">
        <v>389</v>
      </c>
      <c r="AN171" s="26"/>
      <c r="AO171" s="26" t="s">
        <v>389</v>
      </c>
      <c r="AP171" s="26" t="s">
        <v>1100</v>
      </c>
      <c r="AQ171" s="26" t="s">
        <v>1101</v>
      </c>
      <c r="AR171" s="26" t="s">
        <v>1102</v>
      </c>
      <c r="AS171" s="26" t="s">
        <v>389</v>
      </c>
      <c r="AT171" s="26" t="s">
        <v>1103</v>
      </c>
      <c r="AU171" s="26" t="s">
        <v>1104</v>
      </c>
      <c r="AV171" s="26" t="s">
        <v>1105</v>
      </c>
      <c r="AW171" s="26" t="s">
        <v>1104</v>
      </c>
      <c r="AX171" s="26"/>
      <c r="AY171" s="26" t="s">
        <v>389</v>
      </c>
      <c r="AZ171" s="26" t="s">
        <v>1106</v>
      </c>
      <c r="BA171" s="26" t="s">
        <v>1107</v>
      </c>
      <c r="BB171" s="26" t="s">
        <v>1006</v>
      </c>
      <c r="BC171" s="26" t="s">
        <v>419</v>
      </c>
      <c r="BD171" s="26"/>
      <c r="BE171" s="26" t="s">
        <v>419</v>
      </c>
      <c r="BF171" s="26"/>
      <c r="BG171" s="26" t="s">
        <v>419</v>
      </c>
    </row>
    <row r="172" spans="1:59" ht="25.5" customHeight="1" x14ac:dyDescent="0.15">
      <c r="A172" s="23" t="s">
        <v>77</v>
      </c>
      <c r="B172" s="24">
        <v>3.6137172913978302</v>
      </c>
      <c r="C172" s="24">
        <v>4.5386690289531204</v>
      </c>
      <c r="D172" s="24">
        <v>6.58</v>
      </c>
      <c r="E172" s="24">
        <v>8.9</v>
      </c>
      <c r="F172" s="24">
        <v>15</v>
      </c>
      <c r="G172" s="24">
        <v>21.5</v>
      </c>
      <c r="H172" s="24">
        <v>24.66</v>
      </c>
      <c r="I172" s="24">
        <v>28.3</v>
      </c>
      <c r="J172" s="24">
        <v>32.42</v>
      </c>
      <c r="K172" s="24">
        <v>36.6</v>
      </c>
      <c r="L172" s="24">
        <v>39.93</v>
      </c>
      <c r="M172" s="24">
        <v>40.009996781000801</v>
      </c>
      <c r="N172" s="24">
        <v>45.879994252942403</v>
      </c>
      <c r="O172" s="24">
        <v>49.764499999999998</v>
      </c>
      <c r="P172" s="24">
        <v>54.08</v>
      </c>
      <c r="Q172" s="24">
        <v>55.763199999999998</v>
      </c>
      <c r="R172" s="24">
        <v>59.503951290000003</v>
      </c>
      <c r="S172" s="24">
        <v>63.747282179999999</v>
      </c>
      <c r="T172" s="24">
        <v>70.681277927326803</v>
      </c>
      <c r="U172" s="25">
        <v>10.595726418660099</v>
      </c>
      <c r="V172" s="26"/>
      <c r="W172" s="26" t="s">
        <v>1108</v>
      </c>
      <c r="X172" s="26"/>
      <c r="Y172" s="26" t="s">
        <v>1108</v>
      </c>
      <c r="Z172" s="26"/>
      <c r="AA172" s="26" t="s">
        <v>1109</v>
      </c>
      <c r="AB172" s="26"/>
      <c r="AC172" s="26" t="s">
        <v>634</v>
      </c>
      <c r="AD172" s="26"/>
      <c r="AE172" s="26" t="s">
        <v>442</v>
      </c>
      <c r="AF172" s="26" t="s">
        <v>1110</v>
      </c>
      <c r="AG172" s="26" t="s">
        <v>634</v>
      </c>
      <c r="AH172" s="26" t="s">
        <v>443</v>
      </c>
      <c r="AI172" s="26" t="s">
        <v>442</v>
      </c>
      <c r="AJ172" s="26" t="s">
        <v>443</v>
      </c>
      <c r="AK172" s="26" t="s">
        <v>442</v>
      </c>
      <c r="AL172" s="26" t="s">
        <v>443</v>
      </c>
      <c r="AM172" s="26" t="s">
        <v>442</v>
      </c>
      <c r="AN172" s="26" t="s">
        <v>443</v>
      </c>
      <c r="AO172" s="26" t="s">
        <v>449</v>
      </c>
      <c r="AP172" s="26" t="s">
        <v>443</v>
      </c>
      <c r="AQ172" s="26" t="s">
        <v>442</v>
      </c>
      <c r="AR172" s="26" t="s">
        <v>444</v>
      </c>
      <c r="AS172" s="26" t="s">
        <v>442</v>
      </c>
      <c r="AT172" s="26" t="s">
        <v>445</v>
      </c>
      <c r="AU172" s="26" t="s">
        <v>442</v>
      </c>
      <c r="AV172" s="26" t="s">
        <v>443</v>
      </c>
      <c r="AW172" s="26" t="s">
        <v>442</v>
      </c>
      <c r="AX172" s="26" t="s">
        <v>443</v>
      </c>
      <c r="AY172" s="26" t="s">
        <v>449</v>
      </c>
      <c r="AZ172" s="26" t="s">
        <v>443</v>
      </c>
      <c r="BA172" s="26" t="s">
        <v>442</v>
      </c>
      <c r="BB172" s="26" t="s">
        <v>1111</v>
      </c>
      <c r="BC172" s="26" t="s">
        <v>552</v>
      </c>
      <c r="BD172" s="26" t="s">
        <v>1111</v>
      </c>
      <c r="BE172" s="26" t="s">
        <v>552</v>
      </c>
      <c r="BF172" s="26"/>
      <c r="BG172" s="26" t="s">
        <v>552</v>
      </c>
    </row>
    <row r="173" spans="1:59" ht="25.5" customHeight="1" x14ac:dyDescent="0.2">
      <c r="A173" s="56" t="s">
        <v>128</v>
      </c>
      <c r="B173" s="24">
        <v>1.9772301089764699</v>
      </c>
      <c r="C173" s="24">
        <v>2.9443677866498499</v>
      </c>
      <c r="D173" s="24">
        <v>4.1282718179664402</v>
      </c>
      <c r="E173" s="24">
        <v>8.2988606155390805</v>
      </c>
      <c r="F173" s="24">
        <v>12.859388900847399</v>
      </c>
      <c r="G173" s="24">
        <v>15.2266731976522</v>
      </c>
      <c r="H173" s="24">
        <v>18.023277461721602</v>
      </c>
      <c r="I173" s="24">
        <v>24.66</v>
      </c>
      <c r="J173" s="24">
        <v>26.83</v>
      </c>
      <c r="K173" s="24">
        <v>29</v>
      </c>
      <c r="L173" s="24">
        <v>43</v>
      </c>
      <c r="M173" s="24">
        <v>49</v>
      </c>
      <c r="N173" s="24">
        <v>63.8</v>
      </c>
      <c r="O173" s="24">
        <v>67.97</v>
      </c>
      <c r="P173" s="24">
        <v>70.52</v>
      </c>
      <c r="Q173" s="24">
        <v>70.099999999999994</v>
      </c>
      <c r="R173" s="24">
        <v>73.091434620000001</v>
      </c>
      <c r="S173" s="24">
        <v>76.008138529999997</v>
      </c>
      <c r="T173" s="24">
        <v>80.864721858328295</v>
      </c>
      <c r="U173" s="25">
        <v>10.595726418660099</v>
      </c>
      <c r="V173" s="26"/>
      <c r="W173" s="26"/>
      <c r="X173" s="26"/>
      <c r="Y173" s="26"/>
      <c r="Z173" s="26"/>
      <c r="AA173" s="26"/>
      <c r="AB173" s="26"/>
      <c r="AC173" s="26"/>
      <c r="AD173" s="26"/>
      <c r="AE173" s="26"/>
      <c r="AF173" s="26"/>
      <c r="AG173" s="26"/>
      <c r="AH173" s="26"/>
      <c r="AI173" s="26"/>
      <c r="AJ173" s="26"/>
      <c r="AK173" s="26" t="s">
        <v>1112</v>
      </c>
      <c r="AL173" s="26"/>
      <c r="AM173" s="26" t="s">
        <v>389</v>
      </c>
      <c r="AN173" s="26" t="s">
        <v>1113</v>
      </c>
      <c r="AO173" s="26" t="s">
        <v>1114</v>
      </c>
      <c r="AP173" s="26" t="s">
        <v>443</v>
      </c>
      <c r="AQ173" s="26" t="s">
        <v>1112</v>
      </c>
      <c r="AR173" s="26"/>
      <c r="AS173" s="26" t="s">
        <v>1112</v>
      </c>
      <c r="AT173" s="26"/>
      <c r="AU173" s="26" t="s">
        <v>1115</v>
      </c>
      <c r="AV173" s="26" t="s">
        <v>1116</v>
      </c>
      <c r="AW173" s="26" t="s">
        <v>1115</v>
      </c>
      <c r="AX173" s="26" t="s">
        <v>1117</v>
      </c>
      <c r="AY173" s="26" t="s">
        <v>1115</v>
      </c>
      <c r="AZ173" s="26" t="s">
        <v>1118</v>
      </c>
      <c r="BA173" s="26" t="s">
        <v>1119</v>
      </c>
      <c r="BB173" s="26" t="s">
        <v>1120</v>
      </c>
      <c r="BC173" s="26" t="s">
        <v>1115</v>
      </c>
      <c r="BD173" s="26" t="s">
        <v>1121</v>
      </c>
      <c r="BE173" s="26" t="s">
        <v>1115</v>
      </c>
      <c r="BF173" s="26"/>
      <c r="BG173" s="26" t="s">
        <v>1115</v>
      </c>
    </row>
    <row r="174" spans="1:59" ht="25.5" customHeight="1" x14ac:dyDescent="0.15">
      <c r="A174" s="23" t="s">
        <v>25</v>
      </c>
      <c r="B174" s="24">
        <v>6.2831459510716406E-2</v>
      </c>
      <c r="C174" s="24">
        <v>0.240672409832383</v>
      </c>
      <c r="D174" s="24">
        <v>0.292784718792575</v>
      </c>
      <c r="E174" s="24">
        <v>0.35691846727236098</v>
      </c>
      <c r="F174" s="24">
        <v>0.43085424337006001</v>
      </c>
      <c r="G174" s="24">
        <v>0.55604116483951505</v>
      </c>
      <c r="H174" s="24"/>
      <c r="I174" s="24">
        <v>2.11538717825754</v>
      </c>
      <c r="J174" s="24">
        <v>4.5</v>
      </c>
      <c r="K174" s="24">
        <v>7.7</v>
      </c>
      <c r="L174" s="24">
        <v>8</v>
      </c>
      <c r="M174" s="24">
        <v>7</v>
      </c>
      <c r="N174" s="24">
        <v>8.0238542769476506</v>
      </c>
      <c r="O174" s="24">
        <v>9</v>
      </c>
      <c r="P174" s="24">
        <v>10.6</v>
      </c>
      <c r="Q174" s="24">
        <v>18</v>
      </c>
      <c r="R174" s="24">
        <v>20</v>
      </c>
      <c r="S174" s="24">
        <v>21.767632621378201</v>
      </c>
      <c r="T174" s="24"/>
      <c r="U174" s="25">
        <v>10.595726418660099</v>
      </c>
      <c r="V174" s="26"/>
      <c r="W174" s="26"/>
      <c r="X174" s="26"/>
      <c r="Y174" s="26"/>
      <c r="Z174" s="26"/>
      <c r="AA174" s="26"/>
      <c r="AB174" s="26"/>
      <c r="AC174" s="26"/>
      <c r="AD174" s="26"/>
      <c r="AE174" s="26"/>
      <c r="AF174" s="26"/>
      <c r="AG174" s="26" t="s">
        <v>389</v>
      </c>
      <c r="AH174" s="26"/>
      <c r="AI174" s="26"/>
      <c r="AJ174" s="26"/>
      <c r="AK174" s="26" t="s">
        <v>389</v>
      </c>
      <c r="AL174" s="26"/>
      <c r="AM174" s="26" t="s">
        <v>1122</v>
      </c>
      <c r="AN174" s="26" t="s">
        <v>1123</v>
      </c>
      <c r="AO174" s="26" t="s">
        <v>1122</v>
      </c>
      <c r="AP174" s="26"/>
      <c r="AQ174" s="26" t="s">
        <v>1124</v>
      </c>
      <c r="AR174" s="26"/>
      <c r="AS174" s="26" t="s">
        <v>1124</v>
      </c>
      <c r="AT174" s="26"/>
      <c r="AU174" s="26" t="s">
        <v>389</v>
      </c>
      <c r="AV174" s="26"/>
      <c r="AW174" s="26" t="s">
        <v>389</v>
      </c>
      <c r="AX174" s="26"/>
      <c r="AY174" s="26" t="s">
        <v>389</v>
      </c>
      <c r="AZ174" s="26"/>
      <c r="BA174" s="26" t="s">
        <v>389</v>
      </c>
      <c r="BB174" s="26"/>
      <c r="BC174" s="26" t="s">
        <v>389</v>
      </c>
      <c r="BD174" s="26"/>
      <c r="BE174" s="26" t="s">
        <v>389</v>
      </c>
      <c r="BF174" s="26"/>
      <c r="BG174" s="26"/>
    </row>
    <row r="175" spans="1:59" ht="25.5" customHeight="1" x14ac:dyDescent="0.15">
      <c r="A175" s="23" t="s">
        <v>1125</v>
      </c>
      <c r="B175" s="24">
        <v>5.8628102403752198</v>
      </c>
      <c r="C175" s="24">
        <v>7.7147265558031899</v>
      </c>
      <c r="D175" s="24">
        <v>21.152381758185999</v>
      </c>
      <c r="E175" s="24">
        <v>22.969784292843901</v>
      </c>
      <c r="F175" s="24">
        <v>24.737677544373199</v>
      </c>
      <c r="G175" s="24">
        <v>34</v>
      </c>
      <c r="H175" s="24">
        <v>38.5</v>
      </c>
      <c r="I175" s="24">
        <v>43.5</v>
      </c>
      <c r="J175" s="24">
        <v>49.2</v>
      </c>
      <c r="K175" s="24">
        <v>55.7</v>
      </c>
      <c r="L175" s="24">
        <v>63</v>
      </c>
      <c r="M175" s="24">
        <v>63.2</v>
      </c>
      <c r="N175" s="24">
        <v>64</v>
      </c>
      <c r="O175" s="24">
        <v>64.599999999999994</v>
      </c>
      <c r="P175" s="24">
        <v>68</v>
      </c>
      <c r="Q175" s="24">
        <v>75.7</v>
      </c>
      <c r="R175" s="24">
        <v>76.817674907629396</v>
      </c>
      <c r="S175" s="24">
        <v>80.710190808323006</v>
      </c>
      <c r="T175" s="24"/>
      <c r="U175" s="25">
        <v>10.595726418660099</v>
      </c>
      <c r="V175" s="26"/>
      <c r="W175" s="26"/>
      <c r="X175" s="26"/>
      <c r="Y175" s="26"/>
      <c r="Z175" s="26"/>
      <c r="AA175" s="26"/>
      <c r="AB175" s="26"/>
      <c r="AC175" s="26"/>
      <c r="AD175" s="26"/>
      <c r="AE175" s="26"/>
      <c r="AF175" s="26"/>
      <c r="AG175" s="26" t="s">
        <v>389</v>
      </c>
      <c r="AH175" s="26"/>
      <c r="AI175" s="26" t="s">
        <v>389</v>
      </c>
      <c r="AJ175" s="26"/>
      <c r="AK175" s="26" t="s">
        <v>389</v>
      </c>
      <c r="AL175" s="26"/>
      <c r="AM175" s="26" t="s">
        <v>389</v>
      </c>
      <c r="AN175" s="26"/>
      <c r="AO175" s="26" t="s">
        <v>389</v>
      </c>
      <c r="AP175" s="26"/>
      <c r="AQ175" s="26" t="s">
        <v>1126</v>
      </c>
      <c r="AR175" s="26"/>
      <c r="AS175" s="26" t="s">
        <v>389</v>
      </c>
      <c r="AT175" s="26"/>
      <c r="AU175" s="26" t="s">
        <v>389</v>
      </c>
      <c r="AV175" s="26"/>
      <c r="AW175" s="26" t="s">
        <v>389</v>
      </c>
      <c r="AX175" s="26"/>
      <c r="AY175" s="26" t="s">
        <v>656</v>
      </c>
      <c r="AZ175" s="26"/>
      <c r="BA175" s="26" t="s">
        <v>389</v>
      </c>
      <c r="BB175" s="26"/>
      <c r="BC175" s="26" t="s">
        <v>389</v>
      </c>
      <c r="BD175" s="26"/>
      <c r="BE175" s="26" t="s">
        <v>389</v>
      </c>
      <c r="BF175" s="26"/>
      <c r="BG175" s="26"/>
    </row>
    <row r="176" spans="1:59" ht="25.5" customHeight="1" x14ac:dyDescent="0.15">
      <c r="A176" s="23" t="s">
        <v>1127</v>
      </c>
      <c r="B176" s="24">
        <v>5.09048334139327</v>
      </c>
      <c r="C176" s="24">
        <v>8.18186395448366</v>
      </c>
      <c r="D176" s="24">
        <v>14.6418357746777</v>
      </c>
      <c r="E176" s="24">
        <v>20.982473463342401</v>
      </c>
      <c r="F176" s="24">
        <v>21.395212362765001</v>
      </c>
      <c r="G176" s="24">
        <v>21.567582946421499</v>
      </c>
      <c r="H176" s="24">
        <v>24.5</v>
      </c>
      <c r="I176" s="24">
        <v>27.9</v>
      </c>
      <c r="J176" s="24">
        <v>30</v>
      </c>
      <c r="K176" s="24">
        <v>31</v>
      </c>
      <c r="L176" s="24">
        <v>32.5</v>
      </c>
      <c r="M176" s="24">
        <v>34</v>
      </c>
      <c r="N176" s="24">
        <v>34.82</v>
      </c>
      <c r="O176" s="24">
        <v>36</v>
      </c>
      <c r="P176" s="24">
        <v>39.700000000000003</v>
      </c>
      <c r="Q176" s="24">
        <v>42.530930474403</v>
      </c>
      <c r="R176" s="24">
        <v>46.729078059180303</v>
      </c>
      <c r="S176" s="24">
        <v>50.815244776403802</v>
      </c>
      <c r="T176" s="24"/>
      <c r="U176" s="25">
        <v>10.595726418660099</v>
      </c>
      <c r="V176" s="26"/>
      <c r="W176" s="26"/>
      <c r="X176" s="26"/>
      <c r="Y176" s="26"/>
      <c r="Z176" s="26"/>
      <c r="AA176" s="26"/>
      <c r="AB176" s="26"/>
      <c r="AC176" s="26"/>
      <c r="AD176" s="26"/>
      <c r="AE176" s="26"/>
      <c r="AF176" s="26"/>
      <c r="AG176" s="26"/>
      <c r="AH176" s="26"/>
      <c r="AI176" s="26" t="s">
        <v>389</v>
      </c>
      <c r="AJ176" s="26"/>
      <c r="AK176" s="26" t="s">
        <v>389</v>
      </c>
      <c r="AL176" s="26"/>
      <c r="AM176" s="26" t="s">
        <v>389</v>
      </c>
      <c r="AN176" s="26"/>
      <c r="AO176" s="26" t="s">
        <v>389</v>
      </c>
      <c r="AP176" s="26" t="s">
        <v>1128</v>
      </c>
      <c r="AQ176" s="26" t="s">
        <v>389</v>
      </c>
      <c r="AR176" s="26"/>
      <c r="AS176" s="26" t="s">
        <v>389</v>
      </c>
      <c r="AT176" s="26" t="s">
        <v>1129</v>
      </c>
      <c r="AU176" s="26" t="s">
        <v>1130</v>
      </c>
      <c r="AV176" s="26"/>
      <c r="AW176" s="26" t="s">
        <v>389</v>
      </c>
      <c r="AX176" s="26"/>
      <c r="AY176" s="26" t="s">
        <v>1131</v>
      </c>
      <c r="AZ176" s="26"/>
      <c r="BA176" s="26" t="s">
        <v>389</v>
      </c>
      <c r="BB176" s="26"/>
      <c r="BC176" s="26" t="s">
        <v>389</v>
      </c>
      <c r="BD176" s="26"/>
      <c r="BE176" s="26" t="s">
        <v>389</v>
      </c>
      <c r="BF176" s="26"/>
      <c r="BG176" s="26"/>
    </row>
    <row r="177" spans="1:59" ht="25.5" customHeight="1" x14ac:dyDescent="0.15">
      <c r="A177" s="23" t="s">
        <v>1132</v>
      </c>
      <c r="B177" s="24">
        <v>3.2450374106455802</v>
      </c>
      <c r="C177" s="24">
        <v>5.0948097783294601</v>
      </c>
      <c r="D177" s="24">
        <v>5.5495948795737897</v>
      </c>
      <c r="E177" s="24">
        <v>6.4622741665974299</v>
      </c>
      <c r="F177" s="24">
        <v>7.3711658420174899</v>
      </c>
      <c r="G177" s="24">
        <v>9.1982780823429895</v>
      </c>
      <c r="H177" s="24">
        <v>12</v>
      </c>
      <c r="I177" s="24">
        <v>16</v>
      </c>
      <c r="J177" s="24">
        <v>21</v>
      </c>
      <c r="K177" s="24">
        <v>31</v>
      </c>
      <c r="L177" s="24">
        <v>33.700000000000003</v>
      </c>
      <c r="M177" s="24">
        <v>36.700000000000003</v>
      </c>
      <c r="N177" s="24">
        <v>40</v>
      </c>
      <c r="O177" s="24">
        <v>43.5</v>
      </c>
      <c r="P177" s="24">
        <v>47.4</v>
      </c>
      <c r="Q177" s="24">
        <v>17.132066521314702</v>
      </c>
      <c r="R177" s="24">
        <v>20.68943522</v>
      </c>
      <c r="S177" s="24">
        <v>22.004277977517901</v>
      </c>
      <c r="T177" s="24">
        <v>22.394261192129999</v>
      </c>
      <c r="U177" s="25">
        <v>10.595726418660099</v>
      </c>
      <c r="V177" s="26" t="s">
        <v>1133</v>
      </c>
      <c r="W177" s="26" t="s">
        <v>1134</v>
      </c>
      <c r="X177" s="26" t="s">
        <v>1133</v>
      </c>
      <c r="Y177" s="26" t="s">
        <v>1134</v>
      </c>
      <c r="Z177" s="26" t="s">
        <v>1133</v>
      </c>
      <c r="AA177" s="26" t="s">
        <v>1135</v>
      </c>
      <c r="AB177" s="26" t="s">
        <v>533</v>
      </c>
      <c r="AC177" s="26" t="s">
        <v>1135</v>
      </c>
      <c r="AD177" s="26" t="s">
        <v>533</v>
      </c>
      <c r="AE177" s="26" t="s">
        <v>1135</v>
      </c>
      <c r="AF177" s="26" t="s">
        <v>533</v>
      </c>
      <c r="AG177" s="26" t="s">
        <v>1135</v>
      </c>
      <c r="AH177" s="26"/>
      <c r="AI177" s="26" t="s">
        <v>389</v>
      </c>
      <c r="AJ177" s="26"/>
      <c r="AK177" s="26" t="s">
        <v>389</v>
      </c>
      <c r="AL177" s="26"/>
      <c r="AM177" s="26" t="s">
        <v>389</v>
      </c>
      <c r="AN177" s="26"/>
      <c r="AO177" s="26" t="s">
        <v>389</v>
      </c>
      <c r="AP177" s="26"/>
      <c r="AQ177" s="26" t="s">
        <v>389</v>
      </c>
      <c r="AR177" s="26"/>
      <c r="AS177" s="26" t="s">
        <v>389</v>
      </c>
      <c r="AT177" s="26"/>
      <c r="AU177" s="26" t="s">
        <v>389</v>
      </c>
      <c r="AV177" s="26"/>
      <c r="AW177" s="26" t="s">
        <v>389</v>
      </c>
      <c r="AX177" s="26"/>
      <c r="AY177" s="26" t="s">
        <v>656</v>
      </c>
      <c r="AZ177" s="26" t="s">
        <v>1136</v>
      </c>
      <c r="BA177" s="26" t="s">
        <v>1137</v>
      </c>
      <c r="BB177" s="26" t="s">
        <v>1136</v>
      </c>
      <c r="BC177" s="26" t="s">
        <v>1137</v>
      </c>
      <c r="BD177" s="26"/>
      <c r="BE177" s="26" t="s">
        <v>1138</v>
      </c>
      <c r="BF177" s="26"/>
      <c r="BG177" s="26" t="s">
        <v>1138</v>
      </c>
    </row>
    <row r="178" spans="1:59" ht="25.5" customHeight="1" x14ac:dyDescent="0.15">
      <c r="A178" s="23" t="s">
        <v>188</v>
      </c>
      <c r="B178" s="24">
        <v>0.56639253268084899</v>
      </c>
      <c r="C178" s="24">
        <v>1.6899028305872399</v>
      </c>
      <c r="D178" s="24">
        <v>2.2448326757844299</v>
      </c>
      <c r="E178" s="24">
        <v>2.7996304487807602</v>
      </c>
      <c r="F178" s="24">
        <v>3.0755294104489699</v>
      </c>
      <c r="G178" s="24">
        <v>3.3525921124682898</v>
      </c>
      <c r="H178" s="24">
        <v>4.4691738732095398</v>
      </c>
      <c r="I178" s="24">
        <v>4.74998323535329</v>
      </c>
      <c r="J178" s="24">
        <v>5.0316153162370201</v>
      </c>
      <c r="K178" s="24">
        <v>6</v>
      </c>
      <c r="L178" s="24">
        <v>7</v>
      </c>
      <c r="M178" s="24">
        <v>11</v>
      </c>
      <c r="N178" s="24">
        <v>12.92249</v>
      </c>
      <c r="O178" s="24">
        <v>15.3</v>
      </c>
      <c r="P178" s="24">
        <v>21.2</v>
      </c>
      <c r="Q178" s="24">
        <v>25.407009766592999</v>
      </c>
      <c r="R178" s="24">
        <v>29.4117301129981</v>
      </c>
      <c r="S178" s="24">
        <v>33.610939319504602</v>
      </c>
      <c r="T178" s="24"/>
      <c r="U178" s="25">
        <v>10.595726418660099</v>
      </c>
      <c r="V178" s="26"/>
      <c r="W178" s="26" t="s">
        <v>1139</v>
      </c>
      <c r="X178" s="26"/>
      <c r="Y178" s="26" t="s">
        <v>1139</v>
      </c>
      <c r="Z178" s="26"/>
      <c r="AA178" s="26" t="s">
        <v>1139</v>
      </c>
      <c r="AB178" s="26"/>
      <c r="AC178" s="26" t="s">
        <v>1139</v>
      </c>
      <c r="AD178" s="26"/>
      <c r="AE178" s="26" t="s">
        <v>1139</v>
      </c>
      <c r="AF178" s="26"/>
      <c r="AG178" s="26" t="s">
        <v>1139</v>
      </c>
      <c r="AH178" s="26"/>
      <c r="AI178" s="26" t="s">
        <v>1139</v>
      </c>
      <c r="AJ178" s="26"/>
      <c r="AK178" s="26" t="s">
        <v>389</v>
      </c>
      <c r="AL178" s="26"/>
      <c r="AM178" s="26" t="s">
        <v>389</v>
      </c>
      <c r="AN178" s="26"/>
      <c r="AO178" s="26" t="s">
        <v>389</v>
      </c>
      <c r="AP178" s="26"/>
      <c r="AQ178" s="26" t="s">
        <v>393</v>
      </c>
      <c r="AR178" s="26"/>
      <c r="AS178" s="26" t="s">
        <v>393</v>
      </c>
      <c r="AT178" s="26"/>
      <c r="AU178" s="26" t="s">
        <v>389</v>
      </c>
      <c r="AV178" s="26"/>
      <c r="AW178" s="26" t="s">
        <v>389</v>
      </c>
      <c r="AX178" s="26"/>
      <c r="AY178" s="26" t="s">
        <v>389</v>
      </c>
      <c r="AZ178" s="26"/>
      <c r="BA178" s="26" t="s">
        <v>389</v>
      </c>
      <c r="BB178" s="26"/>
      <c r="BC178" s="26" t="s">
        <v>401</v>
      </c>
      <c r="BD178" s="26"/>
      <c r="BE178" s="26" t="s">
        <v>389</v>
      </c>
      <c r="BF178" s="26"/>
      <c r="BG178" s="26"/>
    </row>
    <row r="179" spans="1:59" ht="25.5" customHeight="1" x14ac:dyDescent="0.15">
      <c r="A179" s="23" t="s">
        <v>160</v>
      </c>
      <c r="B179" s="24">
        <v>48.799495305599898</v>
      </c>
      <c r="C179" s="24">
        <v>50.341669089851699</v>
      </c>
      <c r="D179" s="24">
        <v>50.834839944698501</v>
      </c>
      <c r="E179" s="24">
        <v>50.003453038674003</v>
      </c>
      <c r="F179" s="24">
        <v>50.566343042071203</v>
      </c>
      <c r="G179" s="24">
        <v>50.259564196673601</v>
      </c>
      <c r="H179" s="24">
        <v>50.2086593635889</v>
      </c>
      <c r="I179" s="24">
        <v>50.364822108865503</v>
      </c>
      <c r="J179" s="24">
        <v>54.52</v>
      </c>
      <c r="K179" s="24">
        <v>54.21</v>
      </c>
      <c r="L179" s="24"/>
      <c r="M179" s="24">
        <v>49.6</v>
      </c>
      <c r="N179" s="24"/>
      <c r="O179" s="24"/>
      <c r="P179" s="24"/>
      <c r="Q179" s="24"/>
      <c r="R179" s="24"/>
      <c r="S179" s="24">
        <v>60.182301260752801</v>
      </c>
      <c r="T179" s="24"/>
      <c r="U179" s="25">
        <v>10.595726418660099</v>
      </c>
      <c r="V179" s="26"/>
      <c r="W179" s="26"/>
      <c r="X179" s="26"/>
      <c r="Y179" s="26"/>
      <c r="Z179" s="26"/>
      <c r="AA179" s="26"/>
      <c r="AB179" s="26"/>
      <c r="AC179" s="26"/>
      <c r="AD179" s="26"/>
      <c r="AE179" s="26"/>
      <c r="AF179" s="26"/>
      <c r="AG179" s="26"/>
      <c r="AH179" s="26"/>
      <c r="AI179" s="26" t="s">
        <v>1140</v>
      </c>
      <c r="AJ179" s="26"/>
      <c r="AK179" s="26" t="s">
        <v>1140</v>
      </c>
      <c r="AL179" s="26"/>
      <c r="AM179" s="26" t="s">
        <v>1141</v>
      </c>
      <c r="AN179" s="26"/>
      <c r="AO179" s="26" t="s">
        <v>1141</v>
      </c>
      <c r="AP179" s="26"/>
      <c r="AQ179" s="26"/>
      <c r="AR179" s="26"/>
      <c r="AS179" s="26" t="s">
        <v>1141</v>
      </c>
      <c r="AT179" s="26"/>
      <c r="AU179" s="26"/>
      <c r="AV179" s="26"/>
      <c r="AW179" s="26"/>
      <c r="AX179" s="26"/>
      <c r="AY179" s="26"/>
      <c r="AZ179" s="26"/>
      <c r="BA179" s="26"/>
      <c r="BB179" s="26"/>
      <c r="BC179" s="26"/>
      <c r="BD179" s="26"/>
      <c r="BE179" s="26" t="s">
        <v>389</v>
      </c>
      <c r="BF179" s="26"/>
      <c r="BG179" s="26"/>
    </row>
    <row r="180" spans="1:59" ht="25.5" customHeight="1" x14ac:dyDescent="0.15">
      <c r="A180" s="23" t="s">
        <v>1142</v>
      </c>
      <c r="B180" s="24">
        <v>4.6385168164074999</v>
      </c>
      <c r="C180" s="24">
        <v>6.3109178879461503</v>
      </c>
      <c r="D180" s="24">
        <v>7.5806651689109996</v>
      </c>
      <c r="E180" s="24">
        <v>10.1618443069961</v>
      </c>
      <c r="F180" s="24">
        <v>13.3228526892178</v>
      </c>
      <c r="G180" s="24">
        <v>13.759484215905999</v>
      </c>
      <c r="H180" s="24">
        <v>14.182019777471201</v>
      </c>
      <c r="I180" s="24">
        <v>14.590483198741399</v>
      </c>
      <c r="J180" s="24">
        <v>15.48</v>
      </c>
      <c r="K180" s="24">
        <v>16.41</v>
      </c>
      <c r="L180" s="24">
        <v>18.75</v>
      </c>
      <c r="M180" s="24">
        <v>20.161200000000001</v>
      </c>
      <c r="N180" s="24">
        <v>21.572399999999998</v>
      </c>
      <c r="O180" s="24">
        <v>23</v>
      </c>
      <c r="P180" s="24">
        <v>24.41</v>
      </c>
      <c r="Q180" s="24">
        <v>25.82</v>
      </c>
      <c r="R180" s="24">
        <v>28</v>
      </c>
      <c r="S180" s="24">
        <v>29.931229201821299</v>
      </c>
      <c r="T180" s="24"/>
      <c r="U180" s="25">
        <v>10.595726418660099</v>
      </c>
      <c r="V180" s="26"/>
      <c r="W180" s="26" t="s">
        <v>1143</v>
      </c>
      <c r="X180" s="26"/>
      <c r="Y180" s="26" t="s">
        <v>1143</v>
      </c>
      <c r="Z180" s="26"/>
      <c r="AA180" s="26" t="s">
        <v>1143</v>
      </c>
      <c r="AB180" s="26"/>
      <c r="AC180" s="26" t="s">
        <v>389</v>
      </c>
      <c r="AD180" s="26"/>
      <c r="AE180" s="26" t="s">
        <v>389</v>
      </c>
      <c r="AF180" s="26"/>
      <c r="AG180" s="26" t="s">
        <v>389</v>
      </c>
      <c r="AH180" s="26"/>
      <c r="AI180" s="26" t="s">
        <v>389</v>
      </c>
      <c r="AJ180" s="26"/>
      <c r="AK180" s="26" t="s">
        <v>1143</v>
      </c>
      <c r="AL180" s="26"/>
      <c r="AM180" s="26" t="s">
        <v>389</v>
      </c>
      <c r="AN180" s="26"/>
      <c r="AO180" s="26" t="s">
        <v>389</v>
      </c>
      <c r="AP180" s="26"/>
      <c r="AQ180" s="26" t="s">
        <v>1144</v>
      </c>
      <c r="AR180" s="26"/>
      <c r="AS180" s="26" t="s">
        <v>389</v>
      </c>
      <c r="AT180" s="26"/>
      <c r="AU180" s="26" t="s">
        <v>389</v>
      </c>
      <c r="AV180" s="26"/>
      <c r="AW180" s="26" t="s">
        <v>389</v>
      </c>
      <c r="AX180" s="26"/>
      <c r="AY180" s="26" t="s">
        <v>389</v>
      </c>
      <c r="AZ180" s="26"/>
      <c r="BA180" s="26" t="s">
        <v>401</v>
      </c>
      <c r="BB180" s="26"/>
      <c r="BC180" s="26" t="s">
        <v>401</v>
      </c>
      <c r="BD180" s="26"/>
      <c r="BE180" s="26" t="s">
        <v>389</v>
      </c>
      <c r="BF180" s="26"/>
      <c r="BG180" s="26"/>
    </row>
    <row r="181" spans="1:59" ht="25.5" customHeight="1" x14ac:dyDescent="0.15">
      <c r="A181" s="23" t="s">
        <v>184</v>
      </c>
      <c r="B181" s="24">
        <v>2.2106918090888801</v>
      </c>
      <c r="C181" s="24">
        <v>4.6810531658103001</v>
      </c>
      <c r="D181" s="24">
        <v>6.3847050195593198</v>
      </c>
      <c r="E181" s="24">
        <v>8.0015828909087805</v>
      </c>
      <c r="F181" s="24">
        <v>10.234532996958301</v>
      </c>
      <c r="G181" s="24">
        <v>12.7050359882849</v>
      </c>
      <c r="H181" s="24">
        <v>19.459554351363401</v>
      </c>
      <c r="I181" s="24">
        <v>30</v>
      </c>
      <c r="J181" s="24">
        <v>36</v>
      </c>
      <c r="K181" s="24">
        <v>38</v>
      </c>
      <c r="L181" s="24">
        <v>41</v>
      </c>
      <c r="M181" s="24">
        <v>47.5</v>
      </c>
      <c r="N181" s="24">
        <v>54</v>
      </c>
      <c r="O181" s="24">
        <v>60.5</v>
      </c>
      <c r="P181" s="24">
        <v>64.713657369019003</v>
      </c>
      <c r="Q181" s="24">
        <v>69.616235801400407</v>
      </c>
      <c r="R181" s="24">
        <v>74.879274690000003</v>
      </c>
      <c r="S181" s="24">
        <v>82.120001209999998</v>
      </c>
      <c r="T181" s="24">
        <v>93.310001848034702</v>
      </c>
      <c r="U181" s="25">
        <v>10.595726418660099</v>
      </c>
      <c r="V181" s="26"/>
      <c r="W181" s="26" t="s">
        <v>1145</v>
      </c>
      <c r="X181" s="26"/>
      <c r="Y181" s="26" t="s">
        <v>1145</v>
      </c>
      <c r="Z181" s="26"/>
      <c r="AA181" s="26" t="s">
        <v>1145</v>
      </c>
      <c r="AB181" s="26"/>
      <c r="AC181" s="26" t="s">
        <v>1145</v>
      </c>
      <c r="AD181" s="26"/>
      <c r="AE181" s="26" t="s">
        <v>1145</v>
      </c>
      <c r="AF181" s="26"/>
      <c r="AG181" s="26" t="s">
        <v>1146</v>
      </c>
      <c r="AH181" s="26"/>
      <c r="AI181" s="26" t="s">
        <v>1146</v>
      </c>
      <c r="AJ181" s="26"/>
      <c r="AK181" s="26" t="s">
        <v>1147</v>
      </c>
      <c r="AL181" s="26"/>
      <c r="AM181" s="26" t="s">
        <v>1148</v>
      </c>
      <c r="AN181" s="26"/>
      <c r="AO181" s="26" t="s">
        <v>1149</v>
      </c>
      <c r="AP181" s="26"/>
      <c r="AQ181" s="26" t="s">
        <v>1150</v>
      </c>
      <c r="AR181" s="26"/>
      <c r="AS181" s="26" t="s">
        <v>1150</v>
      </c>
      <c r="AT181" s="26"/>
      <c r="AU181" s="26" t="s">
        <v>389</v>
      </c>
      <c r="AV181" s="26"/>
      <c r="AW181" s="26" t="s">
        <v>389</v>
      </c>
      <c r="AX181" s="26" t="s">
        <v>1151</v>
      </c>
      <c r="AY181" s="26" t="s">
        <v>1150</v>
      </c>
      <c r="AZ181" s="26" t="s">
        <v>1151</v>
      </c>
      <c r="BA181" s="26" t="s">
        <v>1152</v>
      </c>
      <c r="BB181" s="26"/>
      <c r="BC181" s="26" t="s">
        <v>1152</v>
      </c>
      <c r="BD181" s="26"/>
      <c r="BE181" s="26" t="s">
        <v>1152</v>
      </c>
      <c r="BF181" s="26"/>
      <c r="BG181" s="26" t="s">
        <v>1149</v>
      </c>
    </row>
    <row r="182" spans="1:59" ht="25.5" customHeight="1" x14ac:dyDescent="0.15">
      <c r="A182" s="23" t="s">
        <v>62</v>
      </c>
      <c r="B182" s="24">
        <v>0.40396748586896503</v>
      </c>
      <c r="C182" s="24">
        <v>0.98379405884800297</v>
      </c>
      <c r="D182" s="24">
        <v>1.00645453672323</v>
      </c>
      <c r="E182" s="24">
        <v>2.1014364298668502</v>
      </c>
      <c r="F182" s="24">
        <v>4.3860239800856302</v>
      </c>
      <c r="G182" s="24">
        <v>4.7866840831053503</v>
      </c>
      <c r="H182" s="24">
        <v>5.6117386521795201</v>
      </c>
      <c r="I182" s="24">
        <v>6.89</v>
      </c>
      <c r="J182" s="24">
        <v>7.12</v>
      </c>
      <c r="K182" s="24">
        <v>7.5</v>
      </c>
      <c r="L182" s="24">
        <v>8</v>
      </c>
      <c r="M182" s="24">
        <v>9.8000000000000007</v>
      </c>
      <c r="N182" s="24">
        <v>10.8</v>
      </c>
      <c r="O182" s="24">
        <v>13.1</v>
      </c>
      <c r="P182" s="24">
        <v>17.7</v>
      </c>
      <c r="Q182" s="24">
        <v>27</v>
      </c>
      <c r="R182" s="24">
        <v>25.664768041395298</v>
      </c>
      <c r="S182" s="24">
        <v>46</v>
      </c>
      <c r="T182" s="24"/>
      <c r="U182" s="25">
        <v>10.595726418660099</v>
      </c>
      <c r="V182" s="26"/>
      <c r="W182" s="26" t="s">
        <v>1153</v>
      </c>
      <c r="X182" s="26"/>
      <c r="Y182" s="26" t="s">
        <v>1153</v>
      </c>
      <c r="Z182" s="26"/>
      <c r="AA182" s="26" t="s">
        <v>1153</v>
      </c>
      <c r="AB182" s="26"/>
      <c r="AC182" s="26" t="s">
        <v>1153</v>
      </c>
      <c r="AD182" s="26"/>
      <c r="AE182" s="26" t="s">
        <v>1154</v>
      </c>
      <c r="AF182" s="26"/>
      <c r="AG182" s="26" t="s">
        <v>1154</v>
      </c>
      <c r="AH182" s="26"/>
      <c r="AI182" s="26" t="s">
        <v>1154</v>
      </c>
      <c r="AJ182" s="26"/>
      <c r="AK182" s="26" t="s">
        <v>389</v>
      </c>
      <c r="AL182" s="26"/>
      <c r="AM182" s="26" t="s">
        <v>389</v>
      </c>
      <c r="AN182" s="26" t="s">
        <v>1155</v>
      </c>
      <c r="AO182" s="26" t="s">
        <v>389</v>
      </c>
      <c r="AP182" s="26" t="s">
        <v>1156</v>
      </c>
      <c r="AQ182" s="26" t="s">
        <v>389</v>
      </c>
      <c r="AR182" s="26" t="s">
        <v>1157</v>
      </c>
      <c r="AS182" s="26" t="s">
        <v>389</v>
      </c>
      <c r="AT182" s="26" t="s">
        <v>801</v>
      </c>
      <c r="AU182" s="26" t="s">
        <v>389</v>
      </c>
      <c r="AV182" s="26" t="s">
        <v>801</v>
      </c>
      <c r="AW182" s="26" t="s">
        <v>389</v>
      </c>
      <c r="AX182" s="26" t="s">
        <v>801</v>
      </c>
      <c r="AY182" s="26" t="s">
        <v>389</v>
      </c>
      <c r="AZ182" s="26" t="s">
        <v>394</v>
      </c>
      <c r="BA182" s="26" t="s">
        <v>565</v>
      </c>
      <c r="BB182" s="26"/>
      <c r="BC182" s="26" t="s">
        <v>401</v>
      </c>
      <c r="BD182" s="26" t="s">
        <v>394</v>
      </c>
      <c r="BE182" s="26" t="s">
        <v>565</v>
      </c>
      <c r="BF182" s="26"/>
      <c r="BG182" s="26"/>
    </row>
    <row r="183" spans="1:59" ht="25.5" customHeight="1" x14ac:dyDescent="0.15">
      <c r="A183" s="23" t="s">
        <v>61</v>
      </c>
      <c r="B183" s="24"/>
      <c r="C183" s="24"/>
      <c r="D183" s="24"/>
      <c r="E183" s="24"/>
      <c r="F183" s="24">
        <v>23.5</v>
      </c>
      <c r="G183" s="24">
        <v>26.3</v>
      </c>
      <c r="H183" s="24">
        <v>27.2</v>
      </c>
      <c r="I183" s="24">
        <v>33.15</v>
      </c>
      <c r="J183" s="24">
        <v>35.6</v>
      </c>
      <c r="K183" s="24">
        <v>38.1</v>
      </c>
      <c r="L183" s="24">
        <v>40.9</v>
      </c>
      <c r="M183" s="24">
        <v>42.2</v>
      </c>
      <c r="N183" s="24">
        <v>48.1</v>
      </c>
      <c r="O183" s="24">
        <v>53.450364174999997</v>
      </c>
      <c r="P183" s="24">
        <v>62.075080463937702</v>
      </c>
      <c r="Q183" s="24">
        <v>65.317025400380103</v>
      </c>
      <c r="R183" s="24">
        <v>67.056841370000001</v>
      </c>
      <c r="S183" s="24">
        <v>70.330835530000002</v>
      </c>
      <c r="T183" s="24">
        <v>73.360709154564006</v>
      </c>
      <c r="U183" s="25">
        <v>10.595726418660099</v>
      </c>
      <c r="V183" s="26"/>
      <c r="W183" s="26"/>
      <c r="X183" s="26"/>
      <c r="Y183" s="26"/>
      <c r="Z183" s="26"/>
      <c r="AA183" s="26"/>
      <c r="AB183" s="26"/>
      <c r="AC183" s="26"/>
      <c r="AD183" s="26" t="s">
        <v>443</v>
      </c>
      <c r="AE183" s="26" t="s">
        <v>393</v>
      </c>
      <c r="AF183" s="26" t="s">
        <v>443</v>
      </c>
      <c r="AG183" s="26" t="s">
        <v>393</v>
      </c>
      <c r="AH183" s="26" t="s">
        <v>443</v>
      </c>
      <c r="AI183" s="26" t="s">
        <v>1158</v>
      </c>
      <c r="AJ183" s="26" t="s">
        <v>443</v>
      </c>
      <c r="AK183" s="26" t="s">
        <v>442</v>
      </c>
      <c r="AL183" s="26"/>
      <c r="AM183" s="26" t="s">
        <v>1159</v>
      </c>
      <c r="AN183" s="26"/>
      <c r="AO183" s="26" t="s">
        <v>1159</v>
      </c>
      <c r="AP183" s="26"/>
      <c r="AQ183" s="26" t="s">
        <v>1159</v>
      </c>
      <c r="AR183" s="26"/>
      <c r="AS183" s="26" t="s">
        <v>1159</v>
      </c>
      <c r="AT183" s="26"/>
      <c r="AU183" s="26" t="s">
        <v>389</v>
      </c>
      <c r="AV183" s="26" t="s">
        <v>443</v>
      </c>
      <c r="AW183" s="26" t="s">
        <v>1160</v>
      </c>
      <c r="AX183" s="26" t="s">
        <v>443</v>
      </c>
      <c r="AY183" s="26" t="s">
        <v>1160</v>
      </c>
      <c r="AZ183" s="26" t="s">
        <v>443</v>
      </c>
      <c r="BA183" s="26" t="s">
        <v>1160</v>
      </c>
      <c r="BB183" s="26"/>
      <c r="BC183" s="26" t="s">
        <v>1160</v>
      </c>
      <c r="BD183" s="26"/>
      <c r="BE183" s="26" t="s">
        <v>1160</v>
      </c>
      <c r="BF183" s="26"/>
      <c r="BG183" s="26" t="s">
        <v>1160</v>
      </c>
    </row>
    <row r="184" spans="1:59" ht="25.5" customHeight="1" x14ac:dyDescent="0.15">
      <c r="A184" s="23" t="s">
        <v>172</v>
      </c>
      <c r="B184" s="24">
        <v>7.3956291831527601</v>
      </c>
      <c r="C184" s="24">
        <v>11.015102930017401</v>
      </c>
      <c r="D184" s="24">
        <v>14.304170830997201</v>
      </c>
      <c r="E184" s="24">
        <v>14.592504316949199</v>
      </c>
      <c r="F184" s="24">
        <v>24.2721392249906</v>
      </c>
      <c r="G184" s="24">
        <v>25.413268146283599</v>
      </c>
      <c r="H184" s="24">
        <v>34.951971170649998</v>
      </c>
      <c r="I184" s="24">
        <v>38.380000000000003</v>
      </c>
      <c r="J184" s="24">
        <v>40.44</v>
      </c>
      <c r="K184" s="24"/>
      <c r="L184" s="24">
        <v>41</v>
      </c>
      <c r="M184" s="24">
        <v>43.164004460000001</v>
      </c>
      <c r="N184" s="24">
        <v>47.076000000000001</v>
      </c>
      <c r="O184" s="24">
        <v>50.4</v>
      </c>
      <c r="P184" s="24">
        <v>51.254701990000001</v>
      </c>
      <c r="Q184" s="24">
        <v>54.259617859999999</v>
      </c>
      <c r="R184" s="24">
        <v>56.5147081470678</v>
      </c>
      <c r="S184" s="24">
        <v>58.769811242530999</v>
      </c>
      <c r="T184" s="24"/>
      <c r="U184" s="25">
        <v>10.595726418660099</v>
      </c>
      <c r="V184" s="26"/>
      <c r="W184" s="26" t="s">
        <v>389</v>
      </c>
      <c r="X184" s="26" t="s">
        <v>1161</v>
      </c>
      <c r="Y184" s="26" t="s">
        <v>1162</v>
      </c>
      <c r="Z184" s="26"/>
      <c r="AA184" s="26" t="s">
        <v>1162</v>
      </c>
      <c r="AB184" s="26"/>
      <c r="AC184" s="26" t="s">
        <v>1162</v>
      </c>
      <c r="AD184" s="26"/>
      <c r="AE184" s="26" t="s">
        <v>1162</v>
      </c>
      <c r="AF184" s="26"/>
      <c r="AG184" s="26" t="s">
        <v>1162</v>
      </c>
      <c r="AH184" s="26"/>
      <c r="AI184" s="26" t="s">
        <v>1162</v>
      </c>
      <c r="AJ184" s="26"/>
      <c r="AK184" s="26" t="s">
        <v>1163</v>
      </c>
      <c r="AL184" s="26"/>
      <c r="AM184" s="26" t="s">
        <v>1163</v>
      </c>
      <c r="AN184" s="26"/>
      <c r="AO184" s="26"/>
      <c r="AP184" s="26"/>
      <c r="AQ184" s="26" t="s">
        <v>389</v>
      </c>
      <c r="AR184" s="26"/>
      <c r="AS184" s="26" t="s">
        <v>389</v>
      </c>
      <c r="AT184" s="26"/>
      <c r="AU184" s="26" t="s">
        <v>389</v>
      </c>
      <c r="AV184" s="26"/>
      <c r="AW184" s="26" t="s">
        <v>389</v>
      </c>
      <c r="AX184" s="26"/>
      <c r="AY184" s="26" t="s">
        <v>389</v>
      </c>
      <c r="AZ184" s="26"/>
      <c r="BA184" s="26" t="s">
        <v>389</v>
      </c>
      <c r="BB184" s="26"/>
      <c r="BC184" s="26" t="s">
        <v>401</v>
      </c>
      <c r="BD184" s="26"/>
      <c r="BE184" s="26" t="s">
        <v>389</v>
      </c>
      <c r="BF184" s="26"/>
      <c r="BG184" s="26"/>
    </row>
    <row r="185" spans="1:59" ht="25.5" customHeight="1" x14ac:dyDescent="0.15">
      <c r="A185" s="23" t="s">
        <v>13</v>
      </c>
      <c r="B185" s="24">
        <v>0.118254245682183</v>
      </c>
      <c r="C185" s="24">
        <v>0.16026444549303201</v>
      </c>
      <c r="D185" s="24">
        <v>0.17619895681407599</v>
      </c>
      <c r="E185" s="24">
        <v>0.19017328166818301</v>
      </c>
      <c r="F185" s="24">
        <v>0.203007680592588</v>
      </c>
      <c r="G185" s="24">
        <v>0.21539161034012899</v>
      </c>
      <c r="H185" s="24">
        <v>0.227669467190838</v>
      </c>
      <c r="I185" s="24">
        <v>0.23983469854623299</v>
      </c>
      <c r="J185" s="24">
        <v>0.25</v>
      </c>
      <c r="K185" s="24">
        <v>0.26</v>
      </c>
      <c r="L185" s="24">
        <v>0.57999999999999996</v>
      </c>
      <c r="M185" s="24">
        <v>0.9</v>
      </c>
      <c r="N185" s="24">
        <v>2.5</v>
      </c>
      <c r="O185" s="24">
        <v>4</v>
      </c>
      <c r="P185" s="24">
        <v>6.057298984</v>
      </c>
      <c r="Q185" s="24">
        <v>6.3444216029999998</v>
      </c>
      <c r="R185" s="24">
        <v>11.77318438</v>
      </c>
      <c r="S185" s="24">
        <v>9</v>
      </c>
      <c r="T185" s="24"/>
      <c r="U185" s="25">
        <v>10.595726418660099</v>
      </c>
      <c r="V185" s="26"/>
      <c r="W185" s="26"/>
      <c r="X185" s="26"/>
      <c r="Y185" s="26"/>
      <c r="Z185" s="26"/>
      <c r="AA185" s="26"/>
      <c r="AB185" s="26"/>
      <c r="AC185" s="26"/>
      <c r="AD185" s="26"/>
      <c r="AE185" s="26"/>
      <c r="AF185" s="26"/>
      <c r="AG185" s="26"/>
      <c r="AH185" s="26"/>
      <c r="AI185" s="26"/>
      <c r="AJ185" s="26"/>
      <c r="AK185" s="26" t="s">
        <v>389</v>
      </c>
      <c r="AL185" s="26"/>
      <c r="AM185" s="26" t="s">
        <v>389</v>
      </c>
      <c r="AN185" s="26"/>
      <c r="AO185" s="26" t="s">
        <v>389</v>
      </c>
      <c r="AP185" s="26"/>
      <c r="AQ185" s="26" t="s">
        <v>389</v>
      </c>
      <c r="AR185" s="26"/>
      <c r="AS185" s="26" t="s">
        <v>389</v>
      </c>
      <c r="AT185" s="26"/>
      <c r="AU185" s="26" t="s">
        <v>389</v>
      </c>
      <c r="AV185" s="26"/>
      <c r="AW185" s="26" t="s">
        <v>389</v>
      </c>
      <c r="AX185" s="26"/>
      <c r="AY185" s="26" t="s">
        <v>389</v>
      </c>
      <c r="AZ185" s="26"/>
      <c r="BA185" s="26" t="s">
        <v>401</v>
      </c>
      <c r="BB185" s="26"/>
      <c r="BC185" s="26" t="s">
        <v>401</v>
      </c>
      <c r="BD185" s="26" t="s">
        <v>1164</v>
      </c>
      <c r="BE185" s="26" t="s">
        <v>1165</v>
      </c>
      <c r="BF185" s="26"/>
      <c r="BG185" s="26"/>
    </row>
    <row r="186" spans="1:59" ht="25.5" customHeight="1" x14ac:dyDescent="0.15">
      <c r="A186" s="23" t="s">
        <v>32</v>
      </c>
      <c r="B186" s="24">
        <v>36</v>
      </c>
      <c r="C186" s="24">
        <v>41.670425175604102</v>
      </c>
      <c r="D186" s="24">
        <v>47</v>
      </c>
      <c r="E186" s="24">
        <v>53.837943288191099</v>
      </c>
      <c r="F186" s="24">
        <v>62</v>
      </c>
      <c r="G186" s="24">
        <v>61</v>
      </c>
      <c r="H186" s="24">
        <v>59</v>
      </c>
      <c r="I186" s="24">
        <v>69.900000000000006</v>
      </c>
      <c r="J186" s="24">
        <v>69</v>
      </c>
      <c r="K186" s="24">
        <v>69</v>
      </c>
      <c r="L186" s="24">
        <v>71</v>
      </c>
      <c r="M186" s="24">
        <v>71</v>
      </c>
      <c r="N186" s="24">
        <v>72</v>
      </c>
      <c r="O186" s="24">
        <v>80.902056849999994</v>
      </c>
      <c r="P186" s="24">
        <v>79.029235863343501</v>
      </c>
      <c r="Q186" s="24">
        <v>79.012957002558394</v>
      </c>
      <c r="R186" s="24">
        <v>84.452267890000002</v>
      </c>
      <c r="S186" s="24">
        <v>84.449538779999997</v>
      </c>
      <c r="T186" s="24">
        <v>88.165636031344704</v>
      </c>
      <c r="U186" s="25">
        <v>10.595726418660099</v>
      </c>
      <c r="V186" s="26"/>
      <c r="W186" s="26" t="s">
        <v>1166</v>
      </c>
      <c r="X186" s="26"/>
      <c r="Y186" s="26" t="s">
        <v>1166</v>
      </c>
      <c r="Z186" s="26"/>
      <c r="AA186" s="26" t="s">
        <v>1166</v>
      </c>
      <c r="AB186" s="26"/>
      <c r="AC186" s="26" t="s">
        <v>1166</v>
      </c>
      <c r="AD186" s="26" t="s">
        <v>431</v>
      </c>
      <c r="AE186" s="26" t="s">
        <v>1167</v>
      </c>
      <c r="AF186" s="26" t="s">
        <v>431</v>
      </c>
      <c r="AG186" s="26" t="s">
        <v>1167</v>
      </c>
      <c r="AH186" s="26" t="s">
        <v>431</v>
      </c>
      <c r="AI186" s="26" t="s">
        <v>1166</v>
      </c>
      <c r="AJ186" s="26" t="s">
        <v>1168</v>
      </c>
      <c r="AK186" s="26" t="s">
        <v>1166</v>
      </c>
      <c r="AL186" s="26" t="s">
        <v>1168</v>
      </c>
      <c r="AM186" s="26" t="s">
        <v>1166</v>
      </c>
      <c r="AN186" s="26" t="s">
        <v>1168</v>
      </c>
      <c r="AO186" s="26" t="s">
        <v>1166</v>
      </c>
      <c r="AP186" s="26" t="s">
        <v>1168</v>
      </c>
      <c r="AQ186" s="26" t="s">
        <v>1166</v>
      </c>
      <c r="AR186" s="26" t="s">
        <v>1169</v>
      </c>
      <c r="AS186" s="26" t="s">
        <v>1166</v>
      </c>
      <c r="AT186" s="26" t="s">
        <v>1169</v>
      </c>
      <c r="AU186" s="26" t="s">
        <v>1166</v>
      </c>
      <c r="AV186" s="26" t="s">
        <v>1170</v>
      </c>
      <c r="AW186" s="26" t="s">
        <v>1166</v>
      </c>
      <c r="AX186" s="26" t="s">
        <v>422</v>
      </c>
      <c r="AY186" s="26" t="s">
        <v>1166</v>
      </c>
      <c r="AZ186" s="26"/>
      <c r="BA186" s="26" t="s">
        <v>1167</v>
      </c>
      <c r="BB186" s="26"/>
      <c r="BC186" s="26" t="s">
        <v>1171</v>
      </c>
      <c r="BD186" s="26"/>
      <c r="BE186" s="26" t="s">
        <v>1172</v>
      </c>
      <c r="BF186" s="26"/>
      <c r="BG186" s="26" t="s">
        <v>1171</v>
      </c>
    </row>
    <row r="187" spans="1:59" ht="25.5" customHeight="1" x14ac:dyDescent="0.15">
      <c r="A187" s="23" t="s">
        <v>122</v>
      </c>
      <c r="B187" s="24">
        <v>9.4268032006163693</v>
      </c>
      <c r="C187" s="24">
        <v>12.528321848463699</v>
      </c>
      <c r="D187" s="24">
        <v>40.14</v>
      </c>
      <c r="E187" s="24">
        <v>43.04</v>
      </c>
      <c r="F187" s="24">
        <v>52.89</v>
      </c>
      <c r="G187" s="24">
        <v>55.19</v>
      </c>
      <c r="H187" s="24">
        <v>56.08</v>
      </c>
      <c r="I187" s="24">
        <v>61.8</v>
      </c>
      <c r="J187" s="24">
        <v>66.05</v>
      </c>
      <c r="K187" s="24">
        <v>70</v>
      </c>
      <c r="L187" s="24">
        <v>75.709999999999994</v>
      </c>
      <c r="M187" s="24">
        <v>74.439997174675696</v>
      </c>
      <c r="N187" s="24">
        <v>76.709990118112103</v>
      </c>
      <c r="O187" s="24">
        <v>77.882599999999996</v>
      </c>
      <c r="P187" s="24">
        <v>79.98</v>
      </c>
      <c r="Q187" s="24">
        <v>77.634699999999995</v>
      </c>
      <c r="R187" s="24">
        <v>80.47585728</v>
      </c>
      <c r="S187" s="24">
        <v>81.625667519999993</v>
      </c>
      <c r="T187" s="24">
        <v>80.660335563768001</v>
      </c>
      <c r="U187" s="25">
        <v>10.595726418660099</v>
      </c>
      <c r="V187" s="26"/>
      <c r="W187" s="26" t="s">
        <v>1173</v>
      </c>
      <c r="X187" s="26"/>
      <c r="Y187" s="26" t="s">
        <v>1173</v>
      </c>
      <c r="Z187" s="26"/>
      <c r="AA187" s="26" t="s">
        <v>1173</v>
      </c>
      <c r="AB187" s="26"/>
      <c r="AC187" s="26" t="s">
        <v>1173</v>
      </c>
      <c r="AD187" s="26" t="s">
        <v>443</v>
      </c>
      <c r="AE187" s="26" t="s">
        <v>442</v>
      </c>
      <c r="AF187" s="26" t="s">
        <v>443</v>
      </c>
      <c r="AG187" s="26" t="s">
        <v>442</v>
      </c>
      <c r="AH187" s="26" t="s">
        <v>443</v>
      </c>
      <c r="AI187" s="26" t="s">
        <v>442</v>
      </c>
      <c r="AJ187" s="26" t="s">
        <v>443</v>
      </c>
      <c r="AK187" s="26" t="s">
        <v>442</v>
      </c>
      <c r="AL187" s="26" t="s">
        <v>1174</v>
      </c>
      <c r="AM187" s="26" t="s">
        <v>1175</v>
      </c>
      <c r="AN187" s="26" t="s">
        <v>1174</v>
      </c>
      <c r="AO187" s="26" t="s">
        <v>1176</v>
      </c>
      <c r="AP187" s="26" t="s">
        <v>1174</v>
      </c>
      <c r="AQ187" s="26" t="s">
        <v>1176</v>
      </c>
      <c r="AR187" s="26" t="s">
        <v>444</v>
      </c>
      <c r="AS187" s="26" t="s">
        <v>442</v>
      </c>
      <c r="AT187" s="26" t="s">
        <v>445</v>
      </c>
      <c r="AU187" s="26" t="s">
        <v>442</v>
      </c>
      <c r="AV187" s="26" t="s">
        <v>443</v>
      </c>
      <c r="AW187" s="26" t="s">
        <v>442</v>
      </c>
      <c r="AX187" s="26" t="s">
        <v>1177</v>
      </c>
      <c r="AY187" s="26" t="s">
        <v>1178</v>
      </c>
      <c r="AZ187" s="26" t="s">
        <v>1177</v>
      </c>
      <c r="BA187" s="26" t="s">
        <v>1178</v>
      </c>
      <c r="BB187" s="26" t="s">
        <v>1179</v>
      </c>
      <c r="BC187" s="26" t="s">
        <v>1180</v>
      </c>
      <c r="BD187" s="26" t="s">
        <v>1181</v>
      </c>
      <c r="BE187" s="26" t="s">
        <v>1180</v>
      </c>
      <c r="BF187" s="26"/>
      <c r="BG187" s="26" t="s">
        <v>449</v>
      </c>
    </row>
    <row r="188" spans="1:59" ht="25.5" customHeight="1" x14ac:dyDescent="0.15">
      <c r="A188" s="23" t="s">
        <v>116</v>
      </c>
      <c r="B188" s="24">
        <v>15.110259564038801</v>
      </c>
      <c r="C188" s="24">
        <v>30.175910470085402</v>
      </c>
      <c r="D188" s="24">
        <v>27.838885418068699</v>
      </c>
      <c r="E188" s="24">
        <v>31.854793012044102</v>
      </c>
      <c r="F188" s="24">
        <v>40.81</v>
      </c>
      <c r="G188" s="24">
        <v>46.81</v>
      </c>
      <c r="H188" s="24">
        <v>54.01</v>
      </c>
      <c r="I188" s="24">
        <v>56.74</v>
      </c>
      <c r="J188" s="24">
        <v>58</v>
      </c>
      <c r="K188" s="24">
        <v>64</v>
      </c>
      <c r="L188" s="24">
        <v>70</v>
      </c>
      <c r="M188" s="24">
        <v>67.339994809239599</v>
      </c>
      <c r="N188" s="24">
        <v>68.349974528782496</v>
      </c>
      <c r="O188" s="24">
        <v>72.675600000000003</v>
      </c>
      <c r="P188" s="24">
        <v>71.59</v>
      </c>
      <c r="Q188" s="24">
        <v>73.098699999999994</v>
      </c>
      <c r="R188" s="24">
        <v>75.498504260000004</v>
      </c>
      <c r="S188" s="24">
        <v>78.885426359999997</v>
      </c>
      <c r="T188" s="24">
        <v>79.749976595656193</v>
      </c>
      <c r="U188" s="25">
        <v>10.595726418660099</v>
      </c>
      <c r="V188" s="26"/>
      <c r="W188" s="26" t="s">
        <v>900</v>
      </c>
      <c r="X188" s="26"/>
      <c r="Y188" s="26" t="s">
        <v>1182</v>
      </c>
      <c r="Z188" s="26"/>
      <c r="AA188" s="26" t="s">
        <v>1182</v>
      </c>
      <c r="AB188" s="26"/>
      <c r="AC188" s="26" t="s">
        <v>1182</v>
      </c>
      <c r="AD188" s="26"/>
      <c r="AE188" s="26" t="s">
        <v>442</v>
      </c>
      <c r="AF188" s="26" t="s">
        <v>1183</v>
      </c>
      <c r="AG188" s="26" t="s">
        <v>442</v>
      </c>
      <c r="AH188" s="26" t="s">
        <v>443</v>
      </c>
      <c r="AI188" s="26" t="s">
        <v>442</v>
      </c>
      <c r="AJ188" s="26" t="s">
        <v>443</v>
      </c>
      <c r="AK188" s="26" t="s">
        <v>442</v>
      </c>
      <c r="AL188" s="26" t="s">
        <v>443</v>
      </c>
      <c r="AM188" s="26" t="s">
        <v>442</v>
      </c>
      <c r="AN188" s="26" t="s">
        <v>443</v>
      </c>
      <c r="AO188" s="26" t="s">
        <v>442</v>
      </c>
      <c r="AP188" s="26" t="s">
        <v>443</v>
      </c>
      <c r="AQ188" s="26" t="s">
        <v>442</v>
      </c>
      <c r="AR188" s="26" t="s">
        <v>444</v>
      </c>
      <c r="AS188" s="26" t="s">
        <v>442</v>
      </c>
      <c r="AT188" s="26" t="s">
        <v>445</v>
      </c>
      <c r="AU188" s="26" t="s">
        <v>442</v>
      </c>
      <c r="AV188" s="26" t="s">
        <v>443</v>
      </c>
      <c r="AW188" s="26" t="s">
        <v>442</v>
      </c>
      <c r="AX188" s="26" t="s">
        <v>443</v>
      </c>
      <c r="AY188" s="26" t="s">
        <v>1184</v>
      </c>
      <c r="AZ188" s="26" t="s">
        <v>443</v>
      </c>
      <c r="BA188" s="26" t="s">
        <v>1184</v>
      </c>
      <c r="BB188" s="26" t="s">
        <v>1185</v>
      </c>
      <c r="BC188" s="26" t="s">
        <v>1186</v>
      </c>
      <c r="BD188" s="26" t="s">
        <v>1185</v>
      </c>
      <c r="BE188" s="26" t="s">
        <v>1186</v>
      </c>
      <c r="BF188" s="26"/>
      <c r="BG188" s="26" t="s">
        <v>1186</v>
      </c>
    </row>
    <row r="189" spans="1:59" ht="25.5" customHeight="1" x14ac:dyDescent="0.15">
      <c r="A189" s="23" t="s">
        <v>202</v>
      </c>
      <c r="B189" s="24">
        <v>0.48129680611439501</v>
      </c>
      <c r="C189" s="24">
        <v>0.46855196358414097</v>
      </c>
      <c r="D189" s="24">
        <v>0.50191984340100904</v>
      </c>
      <c r="E189" s="24">
        <v>0.55560988185511495</v>
      </c>
      <c r="F189" s="24">
        <v>0.64967267325146005</v>
      </c>
      <c r="G189" s="24">
        <v>0.84430757280569702</v>
      </c>
      <c r="H189" s="24">
        <v>1.6463479885743499</v>
      </c>
      <c r="I189" s="24">
        <v>2</v>
      </c>
      <c r="J189" s="24">
        <v>3</v>
      </c>
      <c r="K189" s="24">
        <v>4</v>
      </c>
      <c r="L189" s="24">
        <v>5</v>
      </c>
      <c r="M189" s="24">
        <v>6</v>
      </c>
      <c r="N189" s="24">
        <v>6.9973999999999998</v>
      </c>
      <c r="O189" s="24">
        <v>8</v>
      </c>
      <c r="P189" s="24">
        <v>9</v>
      </c>
      <c r="Q189" s="24">
        <v>10.000464982561001</v>
      </c>
      <c r="R189" s="24">
        <v>11.000902271205</v>
      </c>
      <c r="S189" s="24">
        <v>11.9242290619686</v>
      </c>
      <c r="T189" s="24"/>
      <c r="U189" s="25">
        <v>10.595726418660099</v>
      </c>
      <c r="V189" s="26"/>
      <c r="W189" s="26"/>
      <c r="X189" s="26"/>
      <c r="Y189" s="26"/>
      <c r="Z189" s="26"/>
      <c r="AA189" s="26"/>
      <c r="AB189" s="26"/>
      <c r="AC189" s="26"/>
      <c r="AD189" s="26"/>
      <c r="AE189" s="26"/>
      <c r="AF189" s="26"/>
      <c r="AG189" s="26"/>
      <c r="AH189" s="26"/>
      <c r="AI189" s="26"/>
      <c r="AJ189" s="26"/>
      <c r="AK189" s="26" t="s">
        <v>389</v>
      </c>
      <c r="AL189" s="26"/>
      <c r="AM189" s="26" t="s">
        <v>389</v>
      </c>
      <c r="AN189" s="26"/>
      <c r="AO189" s="26" t="s">
        <v>389</v>
      </c>
      <c r="AP189" s="26"/>
      <c r="AQ189" s="26" t="s">
        <v>389</v>
      </c>
      <c r="AR189" s="26"/>
      <c r="AS189" s="26" t="s">
        <v>389</v>
      </c>
      <c r="AT189" s="26"/>
      <c r="AU189" s="26" t="s">
        <v>389</v>
      </c>
      <c r="AV189" s="26"/>
      <c r="AW189" s="26" t="s">
        <v>389</v>
      </c>
      <c r="AX189" s="26"/>
      <c r="AY189" s="26" t="s">
        <v>389</v>
      </c>
      <c r="AZ189" s="26"/>
      <c r="BA189" s="26" t="s">
        <v>389</v>
      </c>
      <c r="BB189" s="26"/>
      <c r="BC189" s="26" t="s">
        <v>401</v>
      </c>
      <c r="BD189" s="26"/>
      <c r="BE189" s="26" t="s">
        <v>389</v>
      </c>
      <c r="BF189" s="26"/>
      <c r="BG189" s="26"/>
    </row>
    <row r="190" spans="1:59" ht="25.5" customHeight="1" x14ac:dyDescent="0.15">
      <c r="A190" s="23" t="s">
        <v>132</v>
      </c>
      <c r="B190" s="24">
        <v>0.02</v>
      </c>
      <c r="C190" s="24">
        <v>7.9039178667009505E-2</v>
      </c>
      <c r="D190" s="24">
        <v>0.115614213354469</v>
      </c>
      <c r="E190" s="24">
        <v>0.37619800253908597</v>
      </c>
      <c r="F190" s="24">
        <v>1.0534547435842201</v>
      </c>
      <c r="G190" s="24">
        <v>1.07732783912096</v>
      </c>
      <c r="H190" s="24">
        <v>1.1002163680827699</v>
      </c>
      <c r="I190" s="24">
        <v>1.1222356216137499</v>
      </c>
      <c r="J190" s="24">
        <v>1.14268737216185</v>
      </c>
      <c r="K190" s="24">
        <v>1.1606105424606099</v>
      </c>
      <c r="L190" s="24"/>
      <c r="M190" s="24">
        <v>1.25</v>
      </c>
      <c r="N190" s="24">
        <v>1.3767</v>
      </c>
      <c r="O190" s="24">
        <v>1.5</v>
      </c>
      <c r="P190" s="24">
        <v>1.63</v>
      </c>
      <c r="Q190" s="24">
        <v>1.76</v>
      </c>
      <c r="R190" s="24">
        <v>1.88</v>
      </c>
      <c r="S190" s="24">
        <v>2.0040486984309598</v>
      </c>
      <c r="T190" s="24"/>
      <c r="U190" s="25">
        <v>10.595726418660099</v>
      </c>
      <c r="V190" s="26"/>
      <c r="W190" s="26" t="s">
        <v>644</v>
      </c>
      <c r="X190" s="26"/>
      <c r="Y190" s="26" t="s">
        <v>389</v>
      </c>
      <c r="Z190" s="26"/>
      <c r="AA190" s="26" t="s">
        <v>389</v>
      </c>
      <c r="AB190" s="26"/>
      <c r="AC190" s="26" t="s">
        <v>389</v>
      </c>
      <c r="AD190" s="26"/>
      <c r="AE190" s="26" t="s">
        <v>389</v>
      </c>
      <c r="AF190" s="26"/>
      <c r="AG190" s="26" t="s">
        <v>389</v>
      </c>
      <c r="AH190" s="26"/>
      <c r="AI190" s="26" t="s">
        <v>389</v>
      </c>
      <c r="AJ190" s="26"/>
      <c r="AK190" s="26" t="s">
        <v>389</v>
      </c>
      <c r="AL190" s="26"/>
      <c r="AM190" s="26" t="s">
        <v>389</v>
      </c>
      <c r="AN190" s="26"/>
      <c r="AO190" s="26" t="s">
        <v>389</v>
      </c>
      <c r="AP190" s="26"/>
      <c r="AQ190" s="26"/>
      <c r="AR190" s="26"/>
      <c r="AS190" s="26" t="s">
        <v>389</v>
      </c>
      <c r="AT190" s="26"/>
      <c r="AU190" s="26" t="s">
        <v>389</v>
      </c>
      <c r="AV190" s="26"/>
      <c r="AW190" s="26" t="s">
        <v>389</v>
      </c>
      <c r="AX190" s="26"/>
      <c r="AY190" s="26" t="s">
        <v>389</v>
      </c>
      <c r="AZ190" s="26"/>
      <c r="BA190" s="26" t="s">
        <v>389</v>
      </c>
      <c r="BB190" s="26"/>
      <c r="BC190" s="26" t="s">
        <v>401</v>
      </c>
      <c r="BD190" s="26"/>
      <c r="BE190" s="26" t="s">
        <v>389</v>
      </c>
      <c r="BF190" s="26"/>
      <c r="BG190" s="26"/>
    </row>
    <row r="191" spans="1:59" ht="25.5" customHeight="1" x14ac:dyDescent="0.15">
      <c r="A191" s="23" t="s">
        <v>126</v>
      </c>
      <c r="B191" s="24">
        <v>5.3485597320353699</v>
      </c>
      <c r="C191" s="24">
        <v>6.3466193183976802</v>
      </c>
      <c r="D191" s="24">
        <v>6.7103224370540397</v>
      </c>
      <c r="E191" s="24">
        <v>7.00769172611251</v>
      </c>
      <c r="F191" s="24">
        <v>8.4251186825405995</v>
      </c>
      <c r="G191" s="24">
        <v>7.4885425299292097</v>
      </c>
      <c r="H191" s="24">
        <v>7.6071396747738103</v>
      </c>
      <c r="I191" s="24">
        <v>8.0653751735550401</v>
      </c>
      <c r="J191" s="24">
        <v>8.43</v>
      </c>
      <c r="K191" s="24">
        <v>10</v>
      </c>
      <c r="L191" s="24">
        <v>24</v>
      </c>
      <c r="M191" s="24">
        <v>33.97</v>
      </c>
      <c r="N191" s="24">
        <v>41</v>
      </c>
      <c r="O191" s="24">
        <v>46.5</v>
      </c>
      <c r="P191" s="24">
        <v>49</v>
      </c>
      <c r="Q191" s="24">
        <v>51.919115722747001</v>
      </c>
      <c r="R191" s="24">
        <v>54</v>
      </c>
      <c r="S191" s="24">
        <v>56.167394467338298</v>
      </c>
      <c r="T191" s="24"/>
      <c r="U191" s="25">
        <v>10.595726418660099</v>
      </c>
      <c r="V191" s="26"/>
      <c r="W191" s="26" t="s">
        <v>1187</v>
      </c>
      <c r="X191" s="26"/>
      <c r="Y191" s="26" t="s">
        <v>1187</v>
      </c>
      <c r="Z191" s="26"/>
      <c r="AA191" s="26" t="s">
        <v>1187</v>
      </c>
      <c r="AB191" s="26"/>
      <c r="AC191" s="26" t="s">
        <v>1187</v>
      </c>
      <c r="AD191" s="26"/>
      <c r="AE191" s="26" t="s">
        <v>1187</v>
      </c>
      <c r="AF191" s="26"/>
      <c r="AG191" s="26" t="s">
        <v>1187</v>
      </c>
      <c r="AH191" s="26"/>
      <c r="AI191" s="26" t="s">
        <v>1187</v>
      </c>
      <c r="AJ191" s="26"/>
      <c r="AK191" s="26" t="s">
        <v>1188</v>
      </c>
      <c r="AL191" s="26"/>
      <c r="AM191" s="26" t="s">
        <v>1189</v>
      </c>
      <c r="AN191" s="26"/>
      <c r="AO191" s="26" t="s">
        <v>1190</v>
      </c>
      <c r="AP191" s="26"/>
      <c r="AQ191" s="26" t="s">
        <v>389</v>
      </c>
      <c r="AR191" s="26" t="s">
        <v>485</v>
      </c>
      <c r="AS191" s="26" t="s">
        <v>1191</v>
      </c>
      <c r="AT191" s="26"/>
      <c r="AU191" s="26" t="s">
        <v>389</v>
      </c>
      <c r="AV191" s="26"/>
      <c r="AW191" s="26" t="s">
        <v>389</v>
      </c>
      <c r="AX191" s="26"/>
      <c r="AY191" s="26" t="s">
        <v>389</v>
      </c>
      <c r="AZ191" s="26"/>
      <c r="BA191" s="26" t="s">
        <v>389</v>
      </c>
      <c r="BB191" s="26"/>
      <c r="BC191" s="26" t="s">
        <v>401</v>
      </c>
      <c r="BD191" s="26"/>
      <c r="BE191" s="26" t="s">
        <v>389</v>
      </c>
      <c r="BF191" s="26"/>
      <c r="BG191" s="26"/>
    </row>
    <row r="192" spans="1:59" ht="25.5" customHeight="1" x14ac:dyDescent="0.15">
      <c r="A192" s="23" t="s">
        <v>138</v>
      </c>
      <c r="B192" s="24"/>
      <c r="C192" s="24"/>
      <c r="D192" s="24"/>
      <c r="E192" s="24"/>
      <c r="F192" s="24"/>
      <c r="G192" s="24"/>
      <c r="H192" s="24"/>
      <c r="I192" s="24"/>
      <c r="J192" s="24"/>
      <c r="K192" s="24"/>
      <c r="L192" s="24"/>
      <c r="M192" s="24"/>
      <c r="N192" s="24"/>
      <c r="O192" s="24">
        <v>3.829969245</v>
      </c>
      <c r="P192" s="24">
        <v>4.5161537300000001</v>
      </c>
      <c r="Q192" s="24">
        <v>5.5</v>
      </c>
      <c r="R192" s="24">
        <v>6.6797280510287003</v>
      </c>
      <c r="S192" s="24">
        <v>7.9774289071602702</v>
      </c>
      <c r="T192" s="24"/>
      <c r="U192" s="25">
        <v>10.595726418660099</v>
      </c>
      <c r="V192" s="26"/>
      <c r="W192" s="26"/>
      <c r="X192" s="26"/>
      <c r="Y192" s="26"/>
      <c r="Z192" s="26"/>
      <c r="AA192" s="26"/>
      <c r="AB192" s="26"/>
      <c r="AC192" s="26"/>
      <c r="AD192" s="26"/>
      <c r="AE192" s="26"/>
      <c r="AF192" s="26"/>
      <c r="AG192" s="26"/>
      <c r="AH192" s="26"/>
      <c r="AI192" s="26"/>
      <c r="AJ192" s="26"/>
      <c r="AK192" s="26"/>
      <c r="AL192" s="26"/>
      <c r="AM192" s="26"/>
      <c r="AN192" s="26"/>
      <c r="AO192" s="26"/>
      <c r="AP192" s="26"/>
      <c r="AQ192" s="26"/>
      <c r="AR192" s="26"/>
      <c r="AS192" s="26"/>
      <c r="AT192" s="26"/>
      <c r="AU192" s="26"/>
      <c r="AV192" s="26"/>
      <c r="AW192" s="26" t="s">
        <v>389</v>
      </c>
      <c r="AX192" s="26"/>
      <c r="AY192" s="26" t="s">
        <v>389</v>
      </c>
      <c r="AZ192" s="26"/>
      <c r="BA192" s="26" t="s">
        <v>401</v>
      </c>
      <c r="BB192" s="26"/>
      <c r="BC192" s="26" t="s">
        <v>401</v>
      </c>
      <c r="BD192" s="26"/>
      <c r="BE192" s="26" t="s">
        <v>389</v>
      </c>
      <c r="BF192" s="26"/>
      <c r="BG192" s="26"/>
    </row>
    <row r="193" spans="1:59" ht="25.5" customHeight="1" x14ac:dyDescent="0.15">
      <c r="A193" s="23" t="s">
        <v>113</v>
      </c>
      <c r="B193" s="24">
        <v>13.624960808989901</v>
      </c>
      <c r="C193" s="24">
        <v>18.148722690293202</v>
      </c>
      <c r="D193" s="24">
        <v>20.39</v>
      </c>
      <c r="E193" s="24">
        <v>39.93</v>
      </c>
      <c r="F193" s="24">
        <v>44.01</v>
      </c>
      <c r="G193" s="24">
        <v>47.88</v>
      </c>
      <c r="H193" s="24">
        <v>50.37</v>
      </c>
      <c r="I193" s="24">
        <v>55.11</v>
      </c>
      <c r="J193" s="24">
        <v>59.6</v>
      </c>
      <c r="K193" s="24">
        <v>62.4</v>
      </c>
      <c r="L193" s="24">
        <v>65.8</v>
      </c>
      <c r="M193" s="24">
        <v>67.0899993926581</v>
      </c>
      <c r="N193" s="24">
        <v>69.809999942002406</v>
      </c>
      <c r="O193" s="24">
        <v>71.635000000000005</v>
      </c>
      <c r="P193" s="24">
        <v>76.19</v>
      </c>
      <c r="Q193" s="24">
        <v>78.689599999999999</v>
      </c>
      <c r="R193" s="24">
        <v>80.56133294</v>
      </c>
      <c r="S193" s="24">
        <v>84.602242799999999</v>
      </c>
      <c r="T193" s="24">
        <v>86.107235525659107</v>
      </c>
      <c r="U193" s="25">
        <v>10.595726418660099</v>
      </c>
      <c r="V193" s="26" t="s">
        <v>1192</v>
      </c>
      <c r="W193" s="26" t="s">
        <v>1193</v>
      </c>
      <c r="X193" s="26" t="s">
        <v>1192</v>
      </c>
      <c r="Y193" s="26" t="s">
        <v>1193</v>
      </c>
      <c r="Z193" s="26" t="s">
        <v>441</v>
      </c>
      <c r="AA193" s="26" t="s">
        <v>442</v>
      </c>
      <c r="AB193" s="26" t="s">
        <v>441</v>
      </c>
      <c r="AC193" s="26" t="s">
        <v>442</v>
      </c>
      <c r="AD193" s="26" t="s">
        <v>903</v>
      </c>
      <c r="AE193" s="26" t="s">
        <v>442</v>
      </c>
      <c r="AF193" s="26" t="s">
        <v>903</v>
      </c>
      <c r="AG193" s="26" t="s">
        <v>442</v>
      </c>
      <c r="AH193" s="26" t="s">
        <v>903</v>
      </c>
      <c r="AI193" s="26" t="s">
        <v>442</v>
      </c>
      <c r="AJ193" s="26" t="s">
        <v>903</v>
      </c>
      <c r="AK193" s="26" t="s">
        <v>442</v>
      </c>
      <c r="AL193" s="26" t="s">
        <v>1194</v>
      </c>
      <c r="AM193" s="26" t="s">
        <v>1195</v>
      </c>
      <c r="AN193" s="26" t="s">
        <v>1194</v>
      </c>
      <c r="AO193" s="26" t="s">
        <v>1195</v>
      </c>
      <c r="AP193" s="26" t="s">
        <v>1194</v>
      </c>
      <c r="AQ193" s="26" t="s">
        <v>1195</v>
      </c>
      <c r="AR193" s="26" t="s">
        <v>1194</v>
      </c>
      <c r="AS193" s="26" t="s">
        <v>1195</v>
      </c>
      <c r="AT193" s="26" t="s">
        <v>445</v>
      </c>
      <c r="AU193" s="26" t="s">
        <v>442</v>
      </c>
      <c r="AV193" s="26" t="s">
        <v>443</v>
      </c>
      <c r="AW193" s="26" t="s">
        <v>442</v>
      </c>
      <c r="AX193" s="26" t="s">
        <v>443</v>
      </c>
      <c r="AY193" s="26" t="s">
        <v>449</v>
      </c>
      <c r="AZ193" s="26" t="s">
        <v>443</v>
      </c>
      <c r="BA193" s="26" t="s">
        <v>1196</v>
      </c>
      <c r="BB193" s="26" t="s">
        <v>1197</v>
      </c>
      <c r="BC193" s="26" t="s">
        <v>773</v>
      </c>
      <c r="BD193" s="26" t="s">
        <v>1197</v>
      </c>
      <c r="BE193" s="26" t="s">
        <v>773</v>
      </c>
      <c r="BF193" s="26"/>
      <c r="BG193" s="26" t="s">
        <v>773</v>
      </c>
    </row>
    <row r="194" spans="1:59" ht="25.5" customHeight="1" x14ac:dyDescent="0.15">
      <c r="A194" s="23" t="s">
        <v>18</v>
      </c>
      <c r="B194" s="24">
        <v>0.64741001094096295</v>
      </c>
      <c r="C194" s="24">
        <v>0.79382186436262203</v>
      </c>
      <c r="D194" s="24">
        <v>1.0504227058531801</v>
      </c>
      <c r="E194" s="24">
        <v>1.4585802284240801</v>
      </c>
      <c r="F194" s="24">
        <v>1.4461599804148599</v>
      </c>
      <c r="G194" s="24">
        <v>1.79204679392588</v>
      </c>
      <c r="H194" s="24">
        <v>2.53756612897332</v>
      </c>
      <c r="I194" s="24">
        <v>3.88</v>
      </c>
      <c r="J194" s="24">
        <v>5.8</v>
      </c>
      <c r="K194" s="24">
        <v>8.7799999999999994</v>
      </c>
      <c r="L194" s="24">
        <v>12</v>
      </c>
      <c r="M194" s="24">
        <v>15</v>
      </c>
      <c r="N194" s="24">
        <v>18.285399999999999</v>
      </c>
      <c r="O194" s="24">
        <v>21.9</v>
      </c>
      <c r="P194" s="24">
        <v>25.8</v>
      </c>
      <c r="Q194" s="24">
        <v>12.1</v>
      </c>
      <c r="R194" s="24">
        <v>16.399999999999999</v>
      </c>
      <c r="S194" s="24">
        <v>34.113347899961902</v>
      </c>
      <c r="T194" s="24"/>
      <c r="U194" s="25">
        <v>10.595726418660099</v>
      </c>
      <c r="V194" s="26"/>
      <c r="W194" s="26" t="s">
        <v>1198</v>
      </c>
      <c r="X194" s="26"/>
      <c r="Y194" s="26" t="s">
        <v>1198</v>
      </c>
      <c r="Z194" s="26"/>
      <c r="AA194" s="26" t="s">
        <v>1198</v>
      </c>
      <c r="AB194" s="26"/>
      <c r="AC194" s="26" t="s">
        <v>1198</v>
      </c>
      <c r="AD194" s="26"/>
      <c r="AE194" s="26" t="s">
        <v>1198</v>
      </c>
      <c r="AF194" s="26"/>
      <c r="AG194" s="26" t="s">
        <v>389</v>
      </c>
      <c r="AH194" s="26"/>
      <c r="AI194" s="26" t="s">
        <v>1198</v>
      </c>
      <c r="AJ194" s="26"/>
      <c r="AK194" s="26" t="s">
        <v>1199</v>
      </c>
      <c r="AL194" s="26"/>
      <c r="AM194" s="26" t="s">
        <v>1199</v>
      </c>
      <c r="AN194" s="26"/>
      <c r="AO194" s="26" t="s">
        <v>1199</v>
      </c>
      <c r="AP194" s="26"/>
      <c r="AQ194" s="26" t="s">
        <v>1199</v>
      </c>
      <c r="AR194" s="26"/>
      <c r="AS194" s="26" t="s">
        <v>393</v>
      </c>
      <c r="AT194" s="26"/>
      <c r="AU194" s="26" t="s">
        <v>389</v>
      </c>
      <c r="AV194" s="26"/>
      <c r="AW194" s="26" t="s">
        <v>389</v>
      </c>
      <c r="AX194" s="26"/>
      <c r="AY194" s="26" t="s">
        <v>1200</v>
      </c>
      <c r="AZ194" s="26" t="s">
        <v>1201</v>
      </c>
      <c r="BA194" s="26" t="s">
        <v>1202</v>
      </c>
      <c r="BB194" s="26" t="s">
        <v>1201</v>
      </c>
      <c r="BC194" s="26" t="s">
        <v>1202</v>
      </c>
      <c r="BD194" s="26"/>
      <c r="BE194" s="26" t="s">
        <v>389</v>
      </c>
      <c r="BF194" s="26"/>
      <c r="BG194" s="26"/>
    </row>
    <row r="195" spans="1:59" ht="25.5" customHeight="1" x14ac:dyDescent="0.15">
      <c r="A195" s="23" t="s">
        <v>8</v>
      </c>
      <c r="B195" s="24">
        <v>5.92183181997631</v>
      </c>
      <c r="C195" s="24">
        <v>7.98881565807869</v>
      </c>
      <c r="D195" s="24">
        <v>10.1255569056298</v>
      </c>
      <c r="E195" s="24">
        <v>12.3380629241209</v>
      </c>
      <c r="F195" s="24">
        <v>14.6229371213704</v>
      </c>
      <c r="G195" s="24">
        <v>15.910055154857901</v>
      </c>
      <c r="H195" s="24">
        <v>17.226528854435799</v>
      </c>
      <c r="I195" s="24">
        <v>18.57</v>
      </c>
      <c r="J195" s="24">
        <v>18.82</v>
      </c>
      <c r="K195" s="24">
        <v>19.07</v>
      </c>
      <c r="L195" s="24">
        <v>24.94</v>
      </c>
      <c r="M195" s="24">
        <v>33</v>
      </c>
      <c r="N195" s="24">
        <v>37.6</v>
      </c>
      <c r="O195" s="24"/>
      <c r="P195" s="24"/>
      <c r="Q195" s="24"/>
      <c r="R195" s="24"/>
      <c r="S195" s="24"/>
      <c r="T195" s="24"/>
      <c r="U195" s="25">
        <v>10.595726418660099</v>
      </c>
      <c r="V195" s="26"/>
      <c r="W195" s="26" t="s">
        <v>426</v>
      </c>
      <c r="X195" s="26" t="s">
        <v>1203</v>
      </c>
      <c r="Y195" s="26" t="s">
        <v>426</v>
      </c>
      <c r="Z195" s="26"/>
      <c r="AA195" s="26" t="s">
        <v>426</v>
      </c>
      <c r="AB195" s="26"/>
      <c r="AC195" s="26" t="s">
        <v>426</v>
      </c>
      <c r="AD195" s="26"/>
      <c r="AE195" s="26" t="s">
        <v>426</v>
      </c>
      <c r="AF195" s="26"/>
      <c r="AG195" s="26" t="s">
        <v>426</v>
      </c>
      <c r="AH195" s="26"/>
      <c r="AI195" s="26" t="s">
        <v>426</v>
      </c>
      <c r="AJ195" s="26"/>
      <c r="AK195" s="26" t="s">
        <v>429</v>
      </c>
      <c r="AL195" s="26"/>
      <c r="AM195" s="26" t="s">
        <v>429</v>
      </c>
      <c r="AN195" s="26"/>
      <c r="AO195" s="26" t="s">
        <v>429</v>
      </c>
      <c r="AP195" s="26"/>
      <c r="AQ195" s="26" t="s">
        <v>1204</v>
      </c>
      <c r="AR195" s="26"/>
      <c r="AS195" s="26" t="s">
        <v>1204</v>
      </c>
      <c r="AT195" s="26"/>
      <c r="AU195" s="26" t="s">
        <v>389</v>
      </c>
      <c r="AV195" s="26"/>
      <c r="AW195" s="26"/>
      <c r="AX195" s="26"/>
      <c r="AY195" s="26"/>
      <c r="AZ195" s="26"/>
      <c r="BA195" s="26"/>
      <c r="BB195" s="26"/>
      <c r="BC195" s="26"/>
      <c r="BD195" s="26"/>
      <c r="BE195" s="26"/>
      <c r="BF195" s="26"/>
      <c r="BG195" s="26"/>
    </row>
    <row r="196" spans="1:59" ht="25.5" customHeight="1" x14ac:dyDescent="0.15">
      <c r="A196" s="23" t="s">
        <v>226</v>
      </c>
      <c r="B196" s="24"/>
      <c r="C196" s="24"/>
      <c r="D196" s="24"/>
      <c r="E196" s="24"/>
      <c r="F196" s="24"/>
      <c r="G196" s="24"/>
      <c r="H196" s="24"/>
      <c r="I196" s="24"/>
      <c r="J196" s="24"/>
      <c r="K196" s="24"/>
      <c r="L196" s="24"/>
      <c r="M196" s="24"/>
      <c r="N196" s="24"/>
      <c r="O196" s="24"/>
      <c r="P196" s="24"/>
      <c r="Q196" s="24"/>
      <c r="R196" s="24"/>
      <c r="S196" s="24"/>
      <c r="T196" s="24"/>
      <c r="U196" s="25">
        <v>10.595726418660099</v>
      </c>
      <c r="V196" s="26"/>
      <c r="W196" s="26"/>
      <c r="X196" s="26"/>
      <c r="Y196" s="26"/>
      <c r="Z196" s="26"/>
      <c r="AA196" s="26"/>
      <c r="AB196" s="26"/>
      <c r="AC196" s="26"/>
      <c r="AD196" s="26"/>
      <c r="AE196" s="26"/>
      <c r="AF196" s="26"/>
      <c r="AG196" s="26"/>
      <c r="AH196" s="26"/>
      <c r="AI196" s="26"/>
      <c r="AJ196" s="26"/>
      <c r="AK196" s="26"/>
      <c r="AL196" s="26"/>
      <c r="AM196" s="26"/>
      <c r="AN196" s="26"/>
      <c r="AO196" s="26"/>
      <c r="AP196" s="26"/>
      <c r="AQ196" s="26"/>
      <c r="AR196" s="26"/>
      <c r="AS196" s="26"/>
      <c r="AT196" s="26"/>
      <c r="AU196" s="26"/>
      <c r="AV196" s="26"/>
      <c r="AW196" s="26"/>
      <c r="AX196" s="26"/>
      <c r="AY196" s="26"/>
      <c r="AZ196" s="26"/>
      <c r="BA196" s="26"/>
      <c r="BB196" s="26"/>
      <c r="BC196" s="26"/>
      <c r="BD196" s="26"/>
      <c r="BE196" s="26"/>
      <c r="BF196" s="26"/>
      <c r="BG196" s="26"/>
    </row>
    <row r="197" spans="1:59" ht="25.5" customHeight="1" x14ac:dyDescent="0.15">
      <c r="A197" s="23" t="s">
        <v>84</v>
      </c>
      <c r="B197" s="24">
        <v>2.5785032476248401E-2</v>
      </c>
      <c r="C197" s="24">
        <v>0.14018522449416099</v>
      </c>
      <c r="D197" s="24">
        <v>0.43947763907558302</v>
      </c>
      <c r="E197" s="24">
        <v>0.538471703150458</v>
      </c>
      <c r="F197" s="24">
        <v>0.79156161544638504</v>
      </c>
      <c r="G197" s="24">
        <v>1.2920406779885301</v>
      </c>
      <c r="H197" s="24"/>
      <c r="I197" s="24">
        <v>8.66</v>
      </c>
      <c r="J197" s="24"/>
      <c r="K197" s="24"/>
      <c r="L197" s="24">
        <v>16.7</v>
      </c>
      <c r="M197" s="24">
        <v>17.46</v>
      </c>
      <c r="N197" s="24">
        <v>21</v>
      </c>
      <c r="O197" s="24">
        <v>22.7</v>
      </c>
      <c r="P197" s="24">
        <v>24.64</v>
      </c>
      <c r="Q197" s="24">
        <v>26.61</v>
      </c>
      <c r="R197" s="24">
        <v>14.09999994</v>
      </c>
      <c r="S197" s="24">
        <v>30.8702957284927</v>
      </c>
      <c r="T197" s="24"/>
      <c r="U197" s="25">
        <v>10.595726418660099</v>
      </c>
      <c r="V197" s="26"/>
      <c r="W197" s="26"/>
      <c r="X197" s="26"/>
      <c r="Y197" s="26"/>
      <c r="Z197" s="26"/>
      <c r="AA197" s="26"/>
      <c r="AB197" s="26"/>
      <c r="AC197" s="26"/>
      <c r="AD197" s="26"/>
      <c r="AE197" s="26"/>
      <c r="AF197" s="26"/>
      <c r="AG197" s="26"/>
      <c r="AH197" s="26"/>
      <c r="AI197" s="26"/>
      <c r="AJ197" s="26"/>
      <c r="AK197" s="26" t="s">
        <v>1205</v>
      </c>
      <c r="AL197" s="26"/>
      <c r="AM197" s="26"/>
      <c r="AN197" s="26"/>
      <c r="AO197" s="26"/>
      <c r="AP197" s="26"/>
      <c r="AQ197" s="26" t="s">
        <v>389</v>
      </c>
      <c r="AR197" s="26"/>
      <c r="AS197" s="26" t="s">
        <v>824</v>
      </c>
      <c r="AT197" s="26" t="s">
        <v>431</v>
      </c>
      <c r="AU197" s="26" t="s">
        <v>824</v>
      </c>
      <c r="AV197" s="26"/>
      <c r="AW197" s="26" t="s">
        <v>389</v>
      </c>
      <c r="AX197" s="26"/>
      <c r="AY197" s="26" t="s">
        <v>389</v>
      </c>
      <c r="AZ197" s="26"/>
      <c r="BA197" s="26" t="s">
        <v>389</v>
      </c>
      <c r="BB197" s="26"/>
      <c r="BC197" s="26" t="s">
        <v>824</v>
      </c>
      <c r="BD197" s="26"/>
      <c r="BE197" s="26" t="s">
        <v>389</v>
      </c>
      <c r="BF197" s="26"/>
      <c r="BG197" s="26"/>
    </row>
    <row r="198" spans="1:59" ht="25.5" customHeight="1" x14ac:dyDescent="0.15">
      <c r="A198" s="23" t="s">
        <v>179</v>
      </c>
      <c r="B198" s="24">
        <v>2.5064110522688101</v>
      </c>
      <c r="C198" s="24">
        <v>3.06444838873752</v>
      </c>
      <c r="D198" s="24">
        <v>4.1615687449541001</v>
      </c>
      <c r="E198" s="24">
        <v>4.7198753952895602</v>
      </c>
      <c r="F198" s="24">
        <v>6.0760478144455998</v>
      </c>
      <c r="G198" s="24">
        <v>6.4030862875906198</v>
      </c>
      <c r="H198" s="24">
        <v>9.4996269417336396</v>
      </c>
      <c r="I198" s="24">
        <v>14.11</v>
      </c>
      <c r="J198" s="24">
        <v>21.06</v>
      </c>
      <c r="K198" s="24">
        <v>31.36</v>
      </c>
      <c r="L198" s="24">
        <v>31.59</v>
      </c>
      <c r="M198" s="24">
        <v>32</v>
      </c>
      <c r="N198" s="24">
        <v>34.681199999999997</v>
      </c>
      <c r="O198" s="24">
        <v>37.4</v>
      </c>
      <c r="P198" s="24">
        <v>40.08</v>
      </c>
      <c r="Q198" s="24">
        <v>42.763827782511001</v>
      </c>
      <c r="R198" s="24">
        <v>45.4</v>
      </c>
      <c r="S198" s="24">
        <v>48.945173973855397</v>
      </c>
      <c r="T198" s="24"/>
      <c r="U198" s="25">
        <v>10.595726418660099</v>
      </c>
      <c r="V198" s="26"/>
      <c r="W198" s="26" t="s">
        <v>1206</v>
      </c>
      <c r="X198" s="26"/>
      <c r="Y198" s="26" t="s">
        <v>1206</v>
      </c>
      <c r="Z198" s="26"/>
      <c r="AA198" s="26" t="s">
        <v>1206</v>
      </c>
      <c r="AB198" s="26"/>
      <c r="AC198" s="26" t="s">
        <v>1206</v>
      </c>
      <c r="AD198" s="26"/>
      <c r="AE198" s="26" t="s">
        <v>1206</v>
      </c>
      <c r="AF198" s="26"/>
      <c r="AG198" s="26" t="s">
        <v>1206</v>
      </c>
      <c r="AH198" s="26"/>
      <c r="AI198" s="26" t="s">
        <v>389</v>
      </c>
      <c r="AJ198" s="26"/>
      <c r="AK198" s="26" t="s">
        <v>1207</v>
      </c>
      <c r="AL198" s="26"/>
      <c r="AM198" s="26" t="s">
        <v>389</v>
      </c>
      <c r="AN198" s="26"/>
      <c r="AO198" s="26" t="s">
        <v>1207</v>
      </c>
      <c r="AP198" s="26"/>
      <c r="AQ198" s="26" t="s">
        <v>1207</v>
      </c>
      <c r="AR198" s="26"/>
      <c r="AS198" s="26" t="s">
        <v>389</v>
      </c>
      <c r="AT198" s="26"/>
      <c r="AU198" s="26" t="s">
        <v>389</v>
      </c>
      <c r="AV198" s="26"/>
      <c r="AW198" s="26" t="s">
        <v>389</v>
      </c>
      <c r="AX198" s="26"/>
      <c r="AY198" s="26" t="s">
        <v>389</v>
      </c>
      <c r="AZ198" s="26"/>
      <c r="BA198" s="26" t="s">
        <v>389</v>
      </c>
      <c r="BB198" s="26"/>
      <c r="BC198" s="26" t="s">
        <v>401</v>
      </c>
      <c r="BD198" s="26"/>
      <c r="BE198" s="26" t="s">
        <v>389</v>
      </c>
      <c r="BF198" s="26"/>
      <c r="BG198" s="26"/>
    </row>
    <row r="199" spans="1:59" ht="25.5" customHeight="1" x14ac:dyDescent="0.15">
      <c r="A199" s="23" t="s">
        <v>79</v>
      </c>
      <c r="B199" s="24">
        <v>45.687652212228201</v>
      </c>
      <c r="C199" s="24">
        <v>51.765664937280803</v>
      </c>
      <c r="D199" s="24">
        <v>70.569999999999993</v>
      </c>
      <c r="E199" s="24">
        <v>79.13</v>
      </c>
      <c r="F199" s="24">
        <v>83.89</v>
      </c>
      <c r="G199" s="24">
        <v>84.83</v>
      </c>
      <c r="H199" s="24">
        <v>87.76</v>
      </c>
      <c r="I199" s="24">
        <v>82.01</v>
      </c>
      <c r="J199" s="24">
        <v>90</v>
      </c>
      <c r="K199" s="24">
        <v>91</v>
      </c>
      <c r="L199" s="24">
        <v>90</v>
      </c>
      <c r="M199" s="24">
        <v>92.769986055404601</v>
      </c>
      <c r="N199" s="24">
        <v>93.179988006510797</v>
      </c>
      <c r="O199" s="24">
        <v>94.783600000000007</v>
      </c>
      <c r="P199" s="24">
        <v>92.52</v>
      </c>
      <c r="Q199" s="24">
        <v>90.610200000000006</v>
      </c>
      <c r="R199" s="24">
        <v>89.650947610000003</v>
      </c>
      <c r="S199" s="24">
        <v>95.510067449999994</v>
      </c>
      <c r="T199" s="24">
        <v>92.141677053550794</v>
      </c>
      <c r="U199" s="25">
        <v>10.595726418660099</v>
      </c>
      <c r="V199" s="26"/>
      <c r="W199" s="26" t="s">
        <v>1208</v>
      </c>
      <c r="X199" s="26"/>
      <c r="Y199" s="26" t="s">
        <v>1208</v>
      </c>
      <c r="Z199" s="26" t="s">
        <v>750</v>
      </c>
      <c r="AA199" s="26" t="s">
        <v>442</v>
      </c>
      <c r="AB199" s="26" t="s">
        <v>443</v>
      </c>
      <c r="AC199" s="26" t="s">
        <v>442</v>
      </c>
      <c r="AD199" s="26" t="s">
        <v>443</v>
      </c>
      <c r="AE199" s="26" t="s">
        <v>442</v>
      </c>
      <c r="AF199" s="26" t="s">
        <v>443</v>
      </c>
      <c r="AG199" s="26" t="s">
        <v>442</v>
      </c>
      <c r="AH199" s="26" t="s">
        <v>443</v>
      </c>
      <c r="AI199" s="26" t="s">
        <v>442</v>
      </c>
      <c r="AJ199" s="26" t="s">
        <v>443</v>
      </c>
      <c r="AK199" s="26" t="s">
        <v>442</v>
      </c>
      <c r="AL199" s="26" t="s">
        <v>1209</v>
      </c>
      <c r="AM199" s="26" t="s">
        <v>1210</v>
      </c>
      <c r="AN199" s="26" t="s">
        <v>1209</v>
      </c>
      <c r="AO199" s="26" t="s">
        <v>1210</v>
      </c>
      <c r="AP199" s="26" t="s">
        <v>1209</v>
      </c>
      <c r="AQ199" s="26" t="s">
        <v>1210</v>
      </c>
      <c r="AR199" s="26" t="s">
        <v>444</v>
      </c>
      <c r="AS199" s="26" t="s">
        <v>442</v>
      </c>
      <c r="AT199" s="26" t="s">
        <v>445</v>
      </c>
      <c r="AU199" s="26" t="s">
        <v>442</v>
      </c>
      <c r="AV199" s="26" t="s">
        <v>443</v>
      </c>
      <c r="AW199" s="26" t="s">
        <v>442</v>
      </c>
      <c r="AX199" s="26" t="s">
        <v>443</v>
      </c>
      <c r="AY199" s="26" t="s">
        <v>449</v>
      </c>
      <c r="AZ199" s="26" t="s">
        <v>443</v>
      </c>
      <c r="BA199" s="26" t="s">
        <v>1211</v>
      </c>
      <c r="BB199" s="26" t="s">
        <v>1212</v>
      </c>
      <c r="BC199" s="26" t="s">
        <v>1213</v>
      </c>
      <c r="BD199" s="26"/>
      <c r="BE199" s="26" t="s">
        <v>1213</v>
      </c>
      <c r="BF199" s="26"/>
      <c r="BG199" s="26" t="s">
        <v>1213</v>
      </c>
    </row>
    <row r="200" spans="1:59" ht="25.5" customHeight="1" x14ac:dyDescent="0.15">
      <c r="A200" s="23" t="s">
        <v>55</v>
      </c>
      <c r="B200" s="24">
        <v>47.1</v>
      </c>
      <c r="C200" s="24">
        <v>55.1</v>
      </c>
      <c r="D200" s="24">
        <v>61.4</v>
      </c>
      <c r="E200" s="24">
        <v>65.099999999999994</v>
      </c>
      <c r="F200" s="24">
        <v>67.8</v>
      </c>
      <c r="G200" s="24">
        <v>70.099999999999994</v>
      </c>
      <c r="H200" s="24">
        <v>75.7</v>
      </c>
      <c r="I200" s="24">
        <v>77.2</v>
      </c>
      <c r="J200" s="24">
        <v>79.2</v>
      </c>
      <c r="K200" s="24">
        <v>81.3</v>
      </c>
      <c r="L200" s="24">
        <v>83.9</v>
      </c>
      <c r="M200" s="24">
        <v>85.193028180485399</v>
      </c>
      <c r="N200" s="24">
        <v>85.2</v>
      </c>
      <c r="O200" s="24">
        <v>86.34</v>
      </c>
      <c r="P200" s="24">
        <v>87.4</v>
      </c>
      <c r="Q200" s="24">
        <v>87.4790555978675</v>
      </c>
      <c r="R200" s="24">
        <v>89.134687740000004</v>
      </c>
      <c r="S200" s="24">
        <v>89.686147669999997</v>
      </c>
      <c r="T200" s="24"/>
      <c r="U200" s="25">
        <v>10.595726418660099</v>
      </c>
      <c r="V200" s="26" t="s">
        <v>1214</v>
      </c>
      <c r="W200" s="26" t="s">
        <v>1215</v>
      </c>
      <c r="X200" s="26" t="s">
        <v>1216</v>
      </c>
      <c r="Y200" s="26" t="s">
        <v>1215</v>
      </c>
      <c r="Z200" s="26" t="s">
        <v>1216</v>
      </c>
      <c r="AA200" s="26" t="s">
        <v>1215</v>
      </c>
      <c r="AB200" s="26" t="s">
        <v>1216</v>
      </c>
      <c r="AC200" s="26" t="s">
        <v>1215</v>
      </c>
      <c r="AD200" s="26" t="s">
        <v>1216</v>
      </c>
      <c r="AE200" s="26" t="s">
        <v>1215</v>
      </c>
      <c r="AF200" s="26" t="s">
        <v>1216</v>
      </c>
      <c r="AG200" s="26" t="s">
        <v>1215</v>
      </c>
      <c r="AH200" s="26" t="s">
        <v>1216</v>
      </c>
      <c r="AI200" s="26" t="s">
        <v>1215</v>
      </c>
      <c r="AJ200" s="26" t="s">
        <v>1216</v>
      </c>
      <c r="AK200" s="26" t="s">
        <v>1215</v>
      </c>
      <c r="AL200" s="26" t="s">
        <v>1216</v>
      </c>
      <c r="AM200" s="26" t="s">
        <v>1215</v>
      </c>
      <c r="AN200" s="26" t="s">
        <v>1216</v>
      </c>
      <c r="AO200" s="26" t="s">
        <v>1215</v>
      </c>
      <c r="AP200" s="26" t="s">
        <v>1216</v>
      </c>
      <c r="AQ200" s="26" t="s">
        <v>1215</v>
      </c>
      <c r="AR200" s="26" t="s">
        <v>1216</v>
      </c>
      <c r="AS200" s="26" t="s">
        <v>1217</v>
      </c>
      <c r="AT200" s="26" t="s">
        <v>1216</v>
      </c>
      <c r="AU200" s="26" t="s">
        <v>1217</v>
      </c>
      <c r="AV200" s="26" t="s">
        <v>1216</v>
      </c>
      <c r="AW200" s="26" t="s">
        <v>1217</v>
      </c>
      <c r="AX200" s="26" t="s">
        <v>1216</v>
      </c>
      <c r="AY200" s="26" t="s">
        <v>1217</v>
      </c>
      <c r="AZ200" s="26" t="s">
        <v>1216</v>
      </c>
      <c r="BA200" s="26" t="s">
        <v>1217</v>
      </c>
      <c r="BB200" s="26"/>
      <c r="BC200" s="26" t="s">
        <v>1217</v>
      </c>
      <c r="BD200" s="26"/>
      <c r="BE200" s="26" t="s">
        <v>1217</v>
      </c>
      <c r="BF200" s="26"/>
      <c r="BG200" s="26"/>
    </row>
    <row r="201" spans="1:59" ht="25.5" customHeight="1" x14ac:dyDescent="0.15">
      <c r="A201" s="23" t="s">
        <v>1218</v>
      </c>
      <c r="B201" s="24">
        <v>0.18169858010433301</v>
      </c>
      <c r="C201" s="24">
        <v>0.35375913000724701</v>
      </c>
      <c r="D201" s="24">
        <v>2.09310101861765</v>
      </c>
      <c r="E201" s="24">
        <v>3.39797261356623</v>
      </c>
      <c r="F201" s="24">
        <v>4.3215937778557096</v>
      </c>
      <c r="G201" s="24">
        <v>5.6481060488391703</v>
      </c>
      <c r="H201" s="24">
        <v>7.8325515688878697</v>
      </c>
      <c r="I201" s="24">
        <v>11.5</v>
      </c>
      <c r="J201" s="24">
        <v>14</v>
      </c>
      <c r="K201" s="24">
        <v>17.3</v>
      </c>
      <c r="L201" s="24">
        <v>20.7</v>
      </c>
      <c r="M201" s="24">
        <v>22.5</v>
      </c>
      <c r="N201" s="24">
        <v>24.3001</v>
      </c>
      <c r="O201" s="24">
        <v>26.2</v>
      </c>
      <c r="P201" s="24">
        <v>28.09</v>
      </c>
      <c r="Q201" s="24">
        <v>29.979797235768999</v>
      </c>
      <c r="R201" s="24">
        <v>31.869627268866001</v>
      </c>
      <c r="S201" s="24">
        <v>34.253401925232097</v>
      </c>
      <c r="T201" s="24"/>
      <c r="U201" s="25">
        <v>10.595726418660099</v>
      </c>
      <c r="V201" s="26"/>
      <c r="W201" s="26"/>
      <c r="X201" s="26"/>
      <c r="Y201" s="26"/>
      <c r="Z201" s="26"/>
      <c r="AA201" s="26"/>
      <c r="AB201" s="26"/>
      <c r="AC201" s="26" t="s">
        <v>389</v>
      </c>
      <c r="AD201" s="26"/>
      <c r="AE201" s="26" t="s">
        <v>389</v>
      </c>
      <c r="AF201" s="26"/>
      <c r="AG201" s="26" t="s">
        <v>389</v>
      </c>
      <c r="AH201" s="26"/>
      <c r="AI201" s="26" t="s">
        <v>389</v>
      </c>
      <c r="AJ201" s="26"/>
      <c r="AK201" s="26" t="s">
        <v>389</v>
      </c>
      <c r="AL201" s="26"/>
      <c r="AM201" s="26" t="s">
        <v>1219</v>
      </c>
      <c r="AN201" s="26"/>
      <c r="AO201" s="26" t="s">
        <v>1219</v>
      </c>
      <c r="AP201" s="26"/>
      <c r="AQ201" s="26" t="s">
        <v>1219</v>
      </c>
      <c r="AR201" s="26" t="s">
        <v>533</v>
      </c>
      <c r="AS201" s="26" t="s">
        <v>1219</v>
      </c>
      <c r="AT201" s="26"/>
      <c r="AU201" s="26" t="s">
        <v>389</v>
      </c>
      <c r="AV201" s="26"/>
      <c r="AW201" s="26" t="s">
        <v>389</v>
      </c>
      <c r="AX201" s="26"/>
      <c r="AY201" s="26" t="s">
        <v>389</v>
      </c>
      <c r="AZ201" s="26"/>
      <c r="BA201" s="26" t="s">
        <v>389</v>
      </c>
      <c r="BB201" s="26"/>
      <c r="BC201" s="26" t="s">
        <v>401</v>
      </c>
      <c r="BD201" s="26"/>
      <c r="BE201" s="26" t="s">
        <v>389</v>
      </c>
      <c r="BF201" s="26"/>
      <c r="BG201" s="26"/>
    </row>
    <row r="202" spans="1:59" ht="25.5" customHeight="1" x14ac:dyDescent="0.2">
      <c r="A202" s="56" t="s">
        <v>108</v>
      </c>
      <c r="B202" s="24">
        <v>28.101145449374101</v>
      </c>
      <c r="C202" s="24">
        <v>34.902038636110497</v>
      </c>
      <c r="D202" s="24">
        <v>47.6004912086511</v>
      </c>
      <c r="E202" s="24">
        <v>51.936451018618001</v>
      </c>
      <c r="F202" s="24">
        <v>53.8143344638898</v>
      </c>
      <c r="G202" s="24">
        <v>58.014931927975397</v>
      </c>
      <c r="H202" s="24">
        <v>63.684210526315802</v>
      </c>
      <c r="I202" s="24">
        <v>64.45</v>
      </c>
      <c r="J202" s="24">
        <v>65.84</v>
      </c>
      <c r="K202" s="24">
        <v>69.900000000000006</v>
      </c>
      <c r="L202" s="24">
        <v>71.5</v>
      </c>
      <c r="M202" s="24">
        <v>72</v>
      </c>
      <c r="N202" s="24">
        <v>75.990799999999993</v>
      </c>
      <c r="O202" s="24">
        <v>76.289171289314297</v>
      </c>
      <c r="P202" s="24">
        <v>78.037620503983803</v>
      </c>
      <c r="Q202" s="24">
        <v>78.036873143419598</v>
      </c>
      <c r="R202" s="24">
        <v>79.745186860000004</v>
      </c>
      <c r="S202" s="24">
        <v>92.781961229999993</v>
      </c>
      <c r="T202" s="24"/>
      <c r="U202" s="25">
        <v>10.595726418660099</v>
      </c>
      <c r="V202" s="26"/>
      <c r="W202" s="26" t="s">
        <v>1220</v>
      </c>
      <c r="X202" s="26"/>
      <c r="Y202" s="26" t="s">
        <v>1220</v>
      </c>
      <c r="Z202" s="26"/>
      <c r="AA202" s="26" t="s">
        <v>1220</v>
      </c>
      <c r="AB202" s="26"/>
      <c r="AC202" s="26" t="s">
        <v>1220</v>
      </c>
      <c r="AD202" s="26"/>
      <c r="AE202" s="26" t="s">
        <v>1220</v>
      </c>
      <c r="AF202" s="26"/>
      <c r="AG202" s="26" t="s">
        <v>1220</v>
      </c>
      <c r="AH202" s="26"/>
      <c r="AI202" s="26" t="s">
        <v>1220</v>
      </c>
      <c r="AJ202" s="26"/>
      <c r="AK202" s="26" t="s">
        <v>1221</v>
      </c>
      <c r="AL202" s="26"/>
      <c r="AM202" s="26" t="s">
        <v>1221</v>
      </c>
      <c r="AN202" s="26"/>
      <c r="AO202" s="26" t="s">
        <v>1221</v>
      </c>
      <c r="AP202" s="26"/>
      <c r="AQ202" s="26" t="s">
        <v>1221</v>
      </c>
      <c r="AR202" s="26"/>
      <c r="AS202" s="26" t="s">
        <v>1221</v>
      </c>
      <c r="AT202" s="26"/>
      <c r="AU202" s="26" t="s">
        <v>389</v>
      </c>
      <c r="AV202" s="26" t="s">
        <v>665</v>
      </c>
      <c r="AW202" s="26" t="s">
        <v>1222</v>
      </c>
      <c r="AX202" s="26" t="s">
        <v>665</v>
      </c>
      <c r="AY202" s="26" t="s">
        <v>1222</v>
      </c>
      <c r="AZ202" s="26" t="s">
        <v>665</v>
      </c>
      <c r="BA202" s="26" t="s">
        <v>1222</v>
      </c>
      <c r="BB202" s="26"/>
      <c r="BC202" s="26" t="s">
        <v>1221</v>
      </c>
      <c r="BD202" s="26"/>
      <c r="BE202" s="26" t="s">
        <v>1221</v>
      </c>
      <c r="BF202" s="26"/>
      <c r="BG202" s="26"/>
    </row>
    <row r="203" spans="1:59" ht="25.5" customHeight="1" x14ac:dyDescent="0.15">
      <c r="A203" s="23" t="s">
        <v>174</v>
      </c>
      <c r="B203" s="24">
        <v>4.8599594582182E-2</v>
      </c>
      <c r="C203" s="24">
        <v>5.1259132535292698E-2</v>
      </c>
      <c r="D203" s="24">
        <v>5.5462826991000601E-2</v>
      </c>
      <c r="E203" s="24">
        <v>6.4583777150855295E-2</v>
      </c>
      <c r="F203" s="24">
        <v>7.7479907135682494E-2</v>
      </c>
      <c r="G203" s="24">
        <v>0.29869002368282499</v>
      </c>
      <c r="H203" s="24">
        <v>3.7724062066644799</v>
      </c>
      <c r="I203" s="24">
        <v>7.1976195179785503</v>
      </c>
      <c r="J203" s="24">
        <v>8.7799999999999994</v>
      </c>
      <c r="K203" s="24">
        <v>10.07</v>
      </c>
      <c r="L203" s="24">
        <v>11.55</v>
      </c>
      <c r="M203" s="24">
        <v>13.03</v>
      </c>
      <c r="N203" s="24">
        <v>14.51</v>
      </c>
      <c r="O203" s="24">
        <v>16</v>
      </c>
      <c r="P203" s="24">
        <v>17.489999999999998</v>
      </c>
      <c r="Q203" s="24">
        <v>18.980000000495</v>
      </c>
      <c r="R203" s="24">
        <v>20.470000000054998</v>
      </c>
      <c r="S203" s="24">
        <v>21.959999999615</v>
      </c>
      <c r="T203" s="24"/>
      <c r="U203" s="25">
        <v>10.595726418660099</v>
      </c>
      <c r="V203" s="26"/>
      <c r="W203" s="26" t="s">
        <v>390</v>
      </c>
      <c r="X203" s="26"/>
      <c r="Y203" s="26" t="s">
        <v>390</v>
      </c>
      <c r="Z203" s="26"/>
      <c r="AA203" s="26" t="s">
        <v>390</v>
      </c>
      <c r="AB203" s="26"/>
      <c r="AC203" s="26" t="s">
        <v>1223</v>
      </c>
      <c r="AD203" s="26"/>
      <c r="AE203" s="26" t="s">
        <v>1223</v>
      </c>
      <c r="AF203" s="26"/>
      <c r="AG203" s="26" t="s">
        <v>1224</v>
      </c>
      <c r="AH203" s="26"/>
      <c r="AI203" s="26" t="s">
        <v>1223</v>
      </c>
      <c r="AJ203" s="26"/>
      <c r="AK203" s="26" t="s">
        <v>1223</v>
      </c>
      <c r="AL203" s="26"/>
      <c r="AM203" s="26" t="s">
        <v>1225</v>
      </c>
      <c r="AN203" s="26"/>
      <c r="AO203" s="26" t="s">
        <v>1225</v>
      </c>
      <c r="AP203" s="26"/>
      <c r="AQ203" s="26" t="s">
        <v>389</v>
      </c>
      <c r="AR203" s="26"/>
      <c r="AS203" s="26" t="s">
        <v>389</v>
      </c>
      <c r="AT203" s="26"/>
      <c r="AU203" s="26" t="s">
        <v>389</v>
      </c>
      <c r="AV203" s="26"/>
      <c r="AW203" s="26" t="s">
        <v>389</v>
      </c>
      <c r="AX203" s="26"/>
      <c r="AY203" s="26" t="s">
        <v>389</v>
      </c>
      <c r="AZ203" s="26"/>
      <c r="BA203" s="26" t="s">
        <v>389</v>
      </c>
      <c r="BB203" s="26"/>
      <c r="BC203" s="26" t="s">
        <v>401</v>
      </c>
      <c r="BD203" s="26"/>
      <c r="BE203" s="26" t="s">
        <v>389</v>
      </c>
      <c r="BF203" s="26"/>
      <c r="BG203" s="26"/>
    </row>
    <row r="204" spans="1:59" ht="25.5" customHeight="1" x14ac:dyDescent="0.15">
      <c r="A204" s="23" t="s">
        <v>53</v>
      </c>
      <c r="B204" s="24">
        <v>0.11719444010825</v>
      </c>
      <c r="C204" s="24">
        <v>0.171300350668948</v>
      </c>
      <c r="D204" s="24">
        <v>0.222484413923909</v>
      </c>
      <c r="E204" s="24">
        <v>0.67696285651030297</v>
      </c>
      <c r="F204" s="24">
        <v>0.87757497099258996</v>
      </c>
      <c r="G204" s="24">
        <v>1.1000000000000001</v>
      </c>
      <c r="H204" s="24">
        <v>1.3</v>
      </c>
      <c r="I204" s="24">
        <v>1.6</v>
      </c>
      <c r="J204" s="24">
        <v>1.9</v>
      </c>
      <c r="K204" s="24">
        <v>2.4</v>
      </c>
      <c r="L204" s="24">
        <v>2.9</v>
      </c>
      <c r="M204" s="24">
        <v>3.2</v>
      </c>
      <c r="N204" s="24">
        <v>3.95</v>
      </c>
      <c r="O204" s="24">
        <v>4.4000000000000004</v>
      </c>
      <c r="P204" s="24">
        <v>7</v>
      </c>
      <c r="Q204" s="24">
        <v>20</v>
      </c>
      <c r="R204" s="24">
        <v>13</v>
      </c>
      <c r="S204" s="24">
        <v>25</v>
      </c>
      <c r="T204" s="24"/>
      <c r="U204" s="25">
        <v>10.595726418660099</v>
      </c>
      <c r="V204" s="26"/>
      <c r="W204" s="26" t="s">
        <v>1226</v>
      </c>
      <c r="X204" s="26"/>
      <c r="Y204" s="26" t="s">
        <v>1226</v>
      </c>
      <c r="Z204" s="26"/>
      <c r="AA204" s="26" t="s">
        <v>1226</v>
      </c>
      <c r="AB204" s="26"/>
      <c r="AC204" s="26" t="s">
        <v>1226</v>
      </c>
      <c r="AD204" s="26"/>
      <c r="AE204" s="26" t="s">
        <v>1226</v>
      </c>
      <c r="AF204" s="26"/>
      <c r="AG204" s="26" t="s">
        <v>389</v>
      </c>
      <c r="AH204" s="26"/>
      <c r="AI204" s="26" t="s">
        <v>389</v>
      </c>
      <c r="AJ204" s="26"/>
      <c r="AK204" s="26" t="s">
        <v>1227</v>
      </c>
      <c r="AL204" s="26"/>
      <c r="AM204" s="26" t="s">
        <v>389</v>
      </c>
      <c r="AN204" s="26"/>
      <c r="AO204" s="26" t="s">
        <v>389</v>
      </c>
      <c r="AP204" s="26"/>
      <c r="AQ204" s="26" t="s">
        <v>389</v>
      </c>
      <c r="AR204" s="26"/>
      <c r="AS204" s="26" t="s">
        <v>1228</v>
      </c>
      <c r="AT204" s="26"/>
      <c r="AU204" s="26" t="s">
        <v>389</v>
      </c>
      <c r="AV204" s="26"/>
      <c r="AW204" s="26" t="s">
        <v>389</v>
      </c>
      <c r="AX204" s="26"/>
      <c r="AY204" s="26" t="s">
        <v>389</v>
      </c>
      <c r="AZ204" s="26" t="s">
        <v>394</v>
      </c>
      <c r="BA204" s="26" t="s">
        <v>565</v>
      </c>
      <c r="BB204" s="26"/>
      <c r="BC204" s="26" t="s">
        <v>389</v>
      </c>
      <c r="BD204" s="26" t="s">
        <v>394</v>
      </c>
      <c r="BE204" s="26" t="s">
        <v>565</v>
      </c>
      <c r="BF204" s="26"/>
      <c r="BG204" s="26"/>
    </row>
    <row r="205" spans="1:59" ht="25.5" customHeight="1" x14ac:dyDescent="0.15">
      <c r="A205" s="23" t="s">
        <v>189</v>
      </c>
      <c r="B205" s="24">
        <v>3.6890412794416401</v>
      </c>
      <c r="C205" s="24">
        <v>5.5563261209733197</v>
      </c>
      <c r="D205" s="24">
        <v>7.5312503348856703</v>
      </c>
      <c r="E205" s="24">
        <v>9.2990272380596508</v>
      </c>
      <c r="F205" s="24">
        <v>10.677303323728101</v>
      </c>
      <c r="G205" s="24">
        <v>15.0260043588909</v>
      </c>
      <c r="H205" s="24">
        <v>17.160714716928499</v>
      </c>
      <c r="I205" s="24">
        <v>20.03</v>
      </c>
      <c r="J205" s="24">
        <v>18.2</v>
      </c>
      <c r="K205" s="24">
        <v>20.100000000000001</v>
      </c>
      <c r="L205" s="24">
        <v>22.4</v>
      </c>
      <c r="M205" s="24">
        <v>23.669925618731</v>
      </c>
      <c r="N205" s="24">
        <v>26.46</v>
      </c>
      <c r="O205" s="24">
        <v>28.94</v>
      </c>
      <c r="P205" s="24">
        <v>34.89</v>
      </c>
      <c r="Q205" s="24">
        <v>39.316126736500401</v>
      </c>
      <c r="R205" s="24">
        <v>47.50496562</v>
      </c>
      <c r="S205" s="24">
        <v>52.891929339999997</v>
      </c>
      <c r="T205" s="24">
        <v>56.817480930145599</v>
      </c>
      <c r="U205" s="25">
        <v>10.595726418660099</v>
      </c>
      <c r="V205" s="26"/>
      <c r="W205" s="26" t="s">
        <v>1229</v>
      </c>
      <c r="X205" s="26"/>
      <c r="Y205" s="26" t="s">
        <v>1229</v>
      </c>
      <c r="Z205" s="26"/>
      <c r="AA205" s="26" t="s">
        <v>1229</v>
      </c>
      <c r="AB205" s="26"/>
      <c r="AC205" s="26" t="s">
        <v>1229</v>
      </c>
      <c r="AD205" s="26"/>
      <c r="AE205" s="26" t="s">
        <v>1229</v>
      </c>
      <c r="AF205" s="26"/>
      <c r="AG205" s="26" t="s">
        <v>1229</v>
      </c>
      <c r="AH205" s="26"/>
      <c r="AI205" s="26" t="s">
        <v>1229</v>
      </c>
      <c r="AJ205" s="26"/>
      <c r="AK205" s="26" t="s">
        <v>1230</v>
      </c>
      <c r="AL205" s="26"/>
      <c r="AM205" s="26" t="s">
        <v>1230</v>
      </c>
      <c r="AN205" s="26"/>
      <c r="AO205" s="26" t="s">
        <v>1230</v>
      </c>
      <c r="AP205" s="26"/>
      <c r="AQ205" s="26" t="s">
        <v>1231</v>
      </c>
      <c r="AR205" s="26" t="s">
        <v>1232</v>
      </c>
      <c r="AS205" s="26" t="s">
        <v>1231</v>
      </c>
      <c r="AT205" s="26" t="s">
        <v>475</v>
      </c>
      <c r="AU205" s="26" t="s">
        <v>1231</v>
      </c>
      <c r="AV205" s="26" t="s">
        <v>475</v>
      </c>
      <c r="AW205" s="26" t="s">
        <v>1231</v>
      </c>
      <c r="AX205" s="26" t="s">
        <v>1233</v>
      </c>
      <c r="AY205" s="26" t="s">
        <v>1231</v>
      </c>
      <c r="AZ205" s="26" t="s">
        <v>475</v>
      </c>
      <c r="BA205" s="26" t="s">
        <v>1231</v>
      </c>
      <c r="BB205" s="26" t="s">
        <v>1234</v>
      </c>
      <c r="BC205" s="26" t="s">
        <v>1231</v>
      </c>
      <c r="BD205" s="26" t="s">
        <v>1234</v>
      </c>
      <c r="BE205" s="26" t="s">
        <v>1231</v>
      </c>
      <c r="BF205" s="26"/>
      <c r="BG205" s="26" t="s">
        <v>1231</v>
      </c>
    </row>
    <row r="206" spans="1:59" ht="25.5" customHeight="1" x14ac:dyDescent="0.15">
      <c r="A206" s="23" t="s">
        <v>130</v>
      </c>
      <c r="B206" s="24"/>
      <c r="C206" s="24"/>
      <c r="D206" s="24">
        <v>0</v>
      </c>
      <c r="E206" s="24"/>
      <c r="F206" s="24"/>
      <c r="G206" s="24">
        <v>9.90317678179026E-2</v>
      </c>
      <c r="H206" s="24">
        <v>0.5</v>
      </c>
      <c r="I206" s="24">
        <v>1</v>
      </c>
      <c r="J206" s="24">
        <v>1.5</v>
      </c>
      <c r="K206" s="24">
        <v>2</v>
      </c>
      <c r="L206" s="24">
        <v>3</v>
      </c>
      <c r="M206" s="24">
        <v>4</v>
      </c>
      <c r="N206" s="24">
        <v>7</v>
      </c>
      <c r="O206" s="24">
        <v>11</v>
      </c>
      <c r="P206" s="24">
        <v>17.5</v>
      </c>
      <c r="Q206" s="24">
        <v>23</v>
      </c>
      <c r="R206" s="24">
        <v>25.246249590000001</v>
      </c>
      <c r="S206" s="24">
        <v>27.4927317258886</v>
      </c>
      <c r="T206" s="24"/>
      <c r="U206" s="25">
        <v>10.595726418660099</v>
      </c>
      <c r="V206" s="26"/>
      <c r="W206" s="26"/>
      <c r="X206" s="26"/>
      <c r="Y206" s="26"/>
      <c r="Z206" s="26"/>
      <c r="AA206" s="26" t="s">
        <v>1235</v>
      </c>
      <c r="AB206" s="26"/>
      <c r="AC206" s="26"/>
      <c r="AD206" s="26"/>
      <c r="AE206" s="26"/>
      <c r="AF206" s="26"/>
      <c r="AG206" s="26" t="s">
        <v>1235</v>
      </c>
      <c r="AH206" s="26"/>
      <c r="AI206" s="26" t="s">
        <v>1235</v>
      </c>
      <c r="AJ206" s="26"/>
      <c r="AK206" s="26" t="s">
        <v>389</v>
      </c>
      <c r="AL206" s="26"/>
      <c r="AM206" s="26" t="s">
        <v>389</v>
      </c>
      <c r="AN206" s="26"/>
      <c r="AO206" s="26" t="s">
        <v>389</v>
      </c>
      <c r="AP206" s="26"/>
      <c r="AQ206" s="26" t="s">
        <v>389</v>
      </c>
      <c r="AR206" s="26"/>
      <c r="AS206" s="26" t="s">
        <v>389</v>
      </c>
      <c r="AT206" s="26"/>
      <c r="AU206" s="26" t="s">
        <v>389</v>
      </c>
      <c r="AV206" s="26"/>
      <c r="AW206" s="26" t="s">
        <v>389</v>
      </c>
      <c r="AX206" s="26"/>
      <c r="AY206" s="26" t="s">
        <v>389</v>
      </c>
      <c r="AZ206" s="26"/>
      <c r="BA206" s="26" t="s">
        <v>401</v>
      </c>
      <c r="BB206" s="26"/>
      <c r="BC206" s="26" t="s">
        <v>401</v>
      </c>
      <c r="BD206" s="26"/>
      <c r="BE206" s="26" t="s">
        <v>389</v>
      </c>
      <c r="BF206" s="26"/>
      <c r="BG206" s="26"/>
    </row>
    <row r="207" spans="1:59" ht="25.5" customHeight="1" x14ac:dyDescent="0.15">
      <c r="A207" s="23" t="s">
        <v>14</v>
      </c>
      <c r="B207" s="24">
        <v>0.8</v>
      </c>
      <c r="C207" s="24">
        <v>0.9</v>
      </c>
      <c r="D207" s="24">
        <v>1</v>
      </c>
      <c r="E207" s="24">
        <v>1.2</v>
      </c>
      <c r="F207" s="24">
        <v>1.5</v>
      </c>
      <c r="G207" s="24">
        <v>1.8</v>
      </c>
      <c r="H207" s="24">
        <v>2</v>
      </c>
      <c r="I207" s="24">
        <v>2.2000000000000002</v>
      </c>
      <c r="J207" s="24">
        <v>2.4</v>
      </c>
      <c r="K207" s="24">
        <v>2.6</v>
      </c>
      <c r="L207" s="24">
        <v>3</v>
      </c>
      <c r="M207" s="24">
        <v>3.5</v>
      </c>
      <c r="N207" s="24">
        <v>4</v>
      </c>
      <c r="O207" s="24">
        <v>4.5</v>
      </c>
      <c r="P207" s="24">
        <v>5.7</v>
      </c>
      <c r="Q207" s="24">
        <v>7.12</v>
      </c>
      <c r="R207" s="24">
        <v>11.31</v>
      </c>
      <c r="S207" s="24">
        <v>12.360224970000001</v>
      </c>
      <c r="T207" s="24"/>
      <c r="U207" s="25">
        <v>10.595726418660099</v>
      </c>
      <c r="V207" s="26"/>
      <c r="W207" s="26" t="s">
        <v>393</v>
      </c>
      <c r="X207" s="26"/>
      <c r="Y207" s="26" t="s">
        <v>393</v>
      </c>
      <c r="Z207" s="26"/>
      <c r="AA207" s="26" t="s">
        <v>393</v>
      </c>
      <c r="AB207" s="26"/>
      <c r="AC207" s="26" t="s">
        <v>393</v>
      </c>
      <c r="AD207" s="26"/>
      <c r="AE207" s="26" t="s">
        <v>393</v>
      </c>
      <c r="AF207" s="26"/>
      <c r="AG207" s="26" t="s">
        <v>389</v>
      </c>
      <c r="AH207" s="26"/>
      <c r="AI207" s="26" t="s">
        <v>389</v>
      </c>
      <c r="AJ207" s="26"/>
      <c r="AK207" s="26" t="s">
        <v>389</v>
      </c>
      <c r="AL207" s="26"/>
      <c r="AM207" s="26" t="s">
        <v>389</v>
      </c>
      <c r="AN207" s="26"/>
      <c r="AO207" s="26" t="s">
        <v>389</v>
      </c>
      <c r="AP207" s="26"/>
      <c r="AQ207" s="26" t="s">
        <v>389</v>
      </c>
      <c r="AR207" s="26"/>
      <c r="AS207" s="26" t="s">
        <v>393</v>
      </c>
      <c r="AT207" s="26"/>
      <c r="AU207" s="26" t="s">
        <v>389</v>
      </c>
      <c r="AV207" s="26"/>
      <c r="AW207" s="26" t="s">
        <v>389</v>
      </c>
      <c r="AX207" s="26"/>
      <c r="AY207" s="26" t="s">
        <v>389</v>
      </c>
      <c r="AZ207" s="26"/>
      <c r="BA207" s="26" t="s">
        <v>401</v>
      </c>
      <c r="BB207" s="26"/>
      <c r="BC207" s="26" t="s">
        <v>401</v>
      </c>
      <c r="BD207" s="26"/>
      <c r="BE207" s="26" t="s">
        <v>1236</v>
      </c>
      <c r="BF207" s="26"/>
      <c r="BG207" s="26"/>
    </row>
    <row r="208" spans="1:59" ht="25.5" customHeight="1" x14ac:dyDescent="0.15">
      <c r="A208" s="23" t="s">
        <v>249</v>
      </c>
      <c r="B208" s="24"/>
      <c r="C208" s="24"/>
      <c r="D208" s="24"/>
      <c r="E208" s="24">
        <v>1.49588631264024</v>
      </c>
      <c r="F208" s="24"/>
      <c r="G208" s="24"/>
      <c r="H208" s="24"/>
      <c r="I208" s="24"/>
      <c r="J208" s="24"/>
      <c r="K208" s="24"/>
      <c r="L208" s="24"/>
      <c r="M208" s="24"/>
      <c r="N208" s="24"/>
      <c r="O208" s="24"/>
      <c r="P208" s="24"/>
      <c r="Q208" s="24"/>
      <c r="R208" s="24"/>
      <c r="S208" s="24"/>
      <c r="T208" s="24"/>
      <c r="U208" s="25">
        <v>10.595726418660099</v>
      </c>
      <c r="V208" s="26"/>
      <c r="W208" s="26"/>
      <c r="X208" s="26"/>
      <c r="Y208" s="26"/>
      <c r="Z208" s="26"/>
      <c r="AA208" s="26"/>
      <c r="AB208" s="26"/>
      <c r="AC208" s="26"/>
      <c r="AD208" s="26"/>
      <c r="AE208" s="26"/>
      <c r="AF208" s="26"/>
      <c r="AG208" s="26"/>
      <c r="AH208" s="26"/>
      <c r="AI208" s="26"/>
      <c r="AJ208" s="26"/>
      <c r="AK208" s="26"/>
      <c r="AL208" s="26"/>
      <c r="AM208" s="26"/>
      <c r="AN208" s="26"/>
      <c r="AO208" s="26"/>
      <c r="AP208" s="26"/>
      <c r="AQ208" s="26"/>
      <c r="AR208" s="26"/>
      <c r="AS208" s="26"/>
      <c r="AT208" s="26"/>
      <c r="AU208" s="26"/>
      <c r="AV208" s="26"/>
      <c r="AW208" s="26"/>
      <c r="AX208" s="26"/>
      <c r="AY208" s="26"/>
      <c r="AZ208" s="26"/>
      <c r="BA208" s="26"/>
      <c r="BB208" s="26"/>
      <c r="BC208" s="26"/>
      <c r="BD208" s="26"/>
      <c r="BE208" s="26"/>
      <c r="BF208" s="26"/>
      <c r="BG208" s="26"/>
    </row>
    <row r="209" spans="1:59" ht="25.5" customHeight="1" x14ac:dyDescent="0.15">
      <c r="A209" s="23" t="s">
        <v>63</v>
      </c>
      <c r="B209" s="24">
        <v>2.4343980443669002</v>
      </c>
      <c r="C209" s="24">
        <v>2.8253718391152498</v>
      </c>
      <c r="D209" s="24">
        <v>2.9072973162638198</v>
      </c>
      <c r="E209" s="24">
        <v>2.98581736750435</v>
      </c>
      <c r="F209" s="24">
        <v>3.9523738945704299</v>
      </c>
      <c r="G209" s="24">
        <v>4.9077827619038299</v>
      </c>
      <c r="H209" s="24">
        <v>5.8539440948338903</v>
      </c>
      <c r="I209" s="24">
        <v>7.1798653290124799</v>
      </c>
      <c r="J209" s="24">
        <v>8.11076994380395</v>
      </c>
      <c r="K209" s="24">
        <v>10</v>
      </c>
      <c r="L209" s="24">
        <v>16</v>
      </c>
      <c r="M209" s="24">
        <v>25</v>
      </c>
      <c r="N209" s="24">
        <v>30</v>
      </c>
      <c r="O209" s="24">
        <v>32.75396061</v>
      </c>
      <c r="P209" s="24">
        <v>35.954441449999997</v>
      </c>
      <c r="Q209" s="24">
        <v>38.651272429999999</v>
      </c>
      <c r="R209" s="24">
        <v>39.950000000000003</v>
      </c>
      <c r="S209" s="24">
        <v>41.248727643705003</v>
      </c>
      <c r="T209" s="24"/>
      <c r="U209" s="25">
        <v>10.595726418660099</v>
      </c>
      <c r="V209" s="26"/>
      <c r="W209" s="26"/>
      <c r="X209" s="26"/>
      <c r="Y209" s="26"/>
      <c r="Z209" s="26"/>
      <c r="AA209" s="26"/>
      <c r="AB209" s="26"/>
      <c r="AC209" s="26" t="s">
        <v>389</v>
      </c>
      <c r="AD209" s="26"/>
      <c r="AE209" s="26" t="s">
        <v>389</v>
      </c>
      <c r="AF209" s="26"/>
      <c r="AG209" s="26" t="s">
        <v>389</v>
      </c>
      <c r="AH209" s="26"/>
      <c r="AI209" s="26" t="s">
        <v>389</v>
      </c>
      <c r="AJ209" s="26"/>
      <c r="AK209" s="26" t="s">
        <v>389</v>
      </c>
      <c r="AL209" s="26"/>
      <c r="AM209" s="26" t="s">
        <v>1237</v>
      </c>
      <c r="AN209" s="26"/>
      <c r="AO209" s="26" t="s">
        <v>389</v>
      </c>
      <c r="AP209" s="26"/>
      <c r="AQ209" s="26" t="s">
        <v>389</v>
      </c>
      <c r="AR209" s="26"/>
      <c r="AS209" s="26" t="s">
        <v>1238</v>
      </c>
      <c r="AT209" s="26"/>
      <c r="AU209" s="26" t="s">
        <v>389</v>
      </c>
      <c r="AV209" s="26"/>
      <c r="AW209" s="26" t="s">
        <v>389</v>
      </c>
      <c r="AX209" s="26"/>
      <c r="AY209" s="26" t="s">
        <v>389</v>
      </c>
      <c r="AZ209" s="26"/>
      <c r="BA209" s="26" t="s">
        <v>389</v>
      </c>
      <c r="BB209" s="26"/>
      <c r="BC209" s="26" t="s">
        <v>401</v>
      </c>
      <c r="BD209" s="26"/>
      <c r="BE209" s="26" t="s">
        <v>389</v>
      </c>
      <c r="BF209" s="26"/>
      <c r="BG209" s="26"/>
    </row>
    <row r="210" spans="1:59" ht="25.5" customHeight="1" x14ac:dyDescent="0.15">
      <c r="A210" s="23" t="s">
        <v>1239</v>
      </c>
      <c r="B210" s="24">
        <v>7.72141147401745</v>
      </c>
      <c r="C210" s="24">
        <v>15.384627218944001</v>
      </c>
      <c r="D210" s="24">
        <v>21.998675480444899</v>
      </c>
      <c r="E210" s="24">
        <v>25.971764109160901</v>
      </c>
      <c r="F210" s="24">
        <v>27.0242700782714</v>
      </c>
      <c r="G210" s="24">
        <v>28.976712432678401</v>
      </c>
      <c r="H210" s="24">
        <v>30.003748579167599</v>
      </c>
      <c r="I210" s="24">
        <v>32.299999999999997</v>
      </c>
      <c r="J210" s="24">
        <v>34.799999999999997</v>
      </c>
      <c r="K210" s="24">
        <v>44.3</v>
      </c>
      <c r="L210" s="24">
        <v>48.5</v>
      </c>
      <c r="M210" s="24">
        <v>55.2</v>
      </c>
      <c r="N210" s="24">
        <v>59.516199999999998</v>
      </c>
      <c r="O210" s="24">
        <v>63.8</v>
      </c>
      <c r="P210" s="24">
        <v>65.099999999999994</v>
      </c>
      <c r="Q210" s="24">
        <v>69.198470608693</v>
      </c>
      <c r="R210" s="24">
        <v>73.296941218485998</v>
      </c>
      <c r="S210" s="24">
        <v>77.326052926286707</v>
      </c>
      <c r="T210" s="24"/>
      <c r="U210" s="25">
        <v>10.595726418660099</v>
      </c>
      <c r="V210" s="26"/>
      <c r="W210" s="26" t="s">
        <v>1240</v>
      </c>
      <c r="X210" s="26"/>
      <c r="Y210" s="26" t="s">
        <v>389</v>
      </c>
      <c r="Z210" s="26"/>
      <c r="AA210" s="26" t="s">
        <v>389</v>
      </c>
      <c r="AB210" s="26"/>
      <c r="AC210" s="26" t="s">
        <v>389</v>
      </c>
      <c r="AD210" s="26"/>
      <c r="AE210" s="26" t="s">
        <v>389</v>
      </c>
      <c r="AF210" s="26"/>
      <c r="AG210" s="26" t="s">
        <v>389</v>
      </c>
      <c r="AH210" s="26"/>
      <c r="AI210" s="26" t="s">
        <v>389</v>
      </c>
      <c r="AJ210" s="26" t="s">
        <v>646</v>
      </c>
      <c r="AK210" s="26" t="s">
        <v>1241</v>
      </c>
      <c r="AL210" s="26" t="s">
        <v>646</v>
      </c>
      <c r="AM210" s="26" t="s">
        <v>1241</v>
      </c>
      <c r="AN210" s="26" t="s">
        <v>646</v>
      </c>
      <c r="AO210" s="26" t="s">
        <v>1241</v>
      </c>
      <c r="AP210" s="26" t="s">
        <v>646</v>
      </c>
      <c r="AQ210" s="26" t="s">
        <v>1242</v>
      </c>
      <c r="AR210" s="26" t="s">
        <v>646</v>
      </c>
      <c r="AS210" s="26" t="s">
        <v>1242</v>
      </c>
      <c r="AT210" s="26"/>
      <c r="AU210" s="26" t="s">
        <v>389</v>
      </c>
      <c r="AV210" s="26"/>
      <c r="AW210" s="26" t="s">
        <v>389</v>
      </c>
      <c r="AX210" s="26"/>
      <c r="AY210" s="26" t="s">
        <v>389</v>
      </c>
      <c r="AZ210" s="26"/>
      <c r="BA210" s="26" t="s">
        <v>389</v>
      </c>
      <c r="BB210" s="26"/>
      <c r="BC210" s="26" t="s">
        <v>401</v>
      </c>
      <c r="BD210" s="26"/>
      <c r="BE210" s="26" t="s">
        <v>389</v>
      </c>
      <c r="BF210" s="26"/>
      <c r="BG210" s="26"/>
    </row>
    <row r="211" spans="1:59" ht="25.5" customHeight="1" x14ac:dyDescent="0.15">
      <c r="A211" s="23" t="s">
        <v>37</v>
      </c>
      <c r="B211" s="24">
        <v>2.7507402929813498</v>
      </c>
      <c r="C211" s="24">
        <v>4.2979660347468496</v>
      </c>
      <c r="D211" s="24">
        <v>5.2528872954842099</v>
      </c>
      <c r="E211" s="24">
        <v>6.4908457953279699</v>
      </c>
      <c r="F211" s="24">
        <v>8.52881775162591</v>
      </c>
      <c r="G211" s="24">
        <v>9.65508654217982</v>
      </c>
      <c r="H211" s="24">
        <v>12.9864086534204</v>
      </c>
      <c r="I211" s="24">
        <v>17.100000000000001</v>
      </c>
      <c r="J211" s="24">
        <v>27.53</v>
      </c>
      <c r="K211" s="24">
        <v>34.07</v>
      </c>
      <c r="L211" s="24">
        <v>36.799999999999997</v>
      </c>
      <c r="M211" s="24">
        <v>39.1</v>
      </c>
      <c r="N211" s="24">
        <v>41.441600000000001</v>
      </c>
      <c r="O211" s="24">
        <v>43.8</v>
      </c>
      <c r="P211" s="24">
        <v>46.16</v>
      </c>
      <c r="Q211" s="24">
        <v>46.5</v>
      </c>
      <c r="R211" s="24">
        <v>49.599994840000001</v>
      </c>
      <c r="S211" s="24">
        <v>64.190810232738698</v>
      </c>
      <c r="T211" s="24">
        <v>64.190810232738698</v>
      </c>
      <c r="U211" s="25">
        <v>10.595726418660099</v>
      </c>
      <c r="V211" s="26"/>
      <c r="W211" s="26"/>
      <c r="X211" s="26"/>
      <c r="Y211" s="26"/>
      <c r="Z211" s="26"/>
      <c r="AA211" s="26"/>
      <c r="AB211" s="26"/>
      <c r="AC211" s="26"/>
      <c r="AD211" s="26"/>
      <c r="AE211" s="26"/>
      <c r="AF211" s="26"/>
      <c r="AG211" s="26"/>
      <c r="AH211" s="26"/>
      <c r="AI211" s="26"/>
      <c r="AJ211" s="26"/>
      <c r="AK211" s="26" t="s">
        <v>1243</v>
      </c>
      <c r="AL211" s="26"/>
      <c r="AM211" s="26" t="s">
        <v>1243</v>
      </c>
      <c r="AN211" s="26"/>
      <c r="AO211" s="26" t="s">
        <v>1243</v>
      </c>
      <c r="AP211" s="26"/>
      <c r="AQ211" s="26" t="s">
        <v>1244</v>
      </c>
      <c r="AR211" s="26"/>
      <c r="AS211" s="26" t="s">
        <v>1245</v>
      </c>
      <c r="AT211" s="26"/>
      <c r="AU211" s="26" t="s">
        <v>389</v>
      </c>
      <c r="AV211" s="26"/>
      <c r="AW211" s="26" t="s">
        <v>389</v>
      </c>
      <c r="AX211" s="26"/>
      <c r="AY211" s="26" t="s">
        <v>389</v>
      </c>
      <c r="AZ211" s="26"/>
      <c r="BA211" s="26" t="s">
        <v>1246</v>
      </c>
      <c r="BB211" s="26"/>
      <c r="BC211" s="26" t="s">
        <v>1247</v>
      </c>
      <c r="BD211" s="26" t="s">
        <v>1006</v>
      </c>
      <c r="BE211" s="26" t="s">
        <v>1247</v>
      </c>
      <c r="BF211" s="26"/>
      <c r="BG211" s="26" t="s">
        <v>1247</v>
      </c>
    </row>
    <row r="212" spans="1:59" ht="25.5" customHeight="1" x14ac:dyDescent="0.15">
      <c r="A212" s="23" t="s">
        <v>178</v>
      </c>
      <c r="B212" s="24">
        <v>3.7616850350750002</v>
      </c>
      <c r="C212" s="24">
        <v>5.1894814607850597</v>
      </c>
      <c r="D212" s="24">
        <v>11.38</v>
      </c>
      <c r="E212" s="24">
        <v>12.33</v>
      </c>
      <c r="F212" s="24">
        <v>14.58</v>
      </c>
      <c r="G212" s="24">
        <v>15.46</v>
      </c>
      <c r="H212" s="24">
        <v>18.239999999999998</v>
      </c>
      <c r="I212" s="24">
        <v>28.63</v>
      </c>
      <c r="J212" s="24">
        <v>34.369999999999997</v>
      </c>
      <c r="K212" s="24">
        <v>36.4</v>
      </c>
      <c r="L212" s="24">
        <v>39.82</v>
      </c>
      <c r="M212" s="24">
        <v>43.065710430925002</v>
      </c>
      <c r="N212" s="24">
        <v>45.13</v>
      </c>
      <c r="O212" s="24">
        <v>46.25</v>
      </c>
      <c r="P212" s="24">
        <v>51.04</v>
      </c>
      <c r="Q212" s="24">
        <v>53.744979142358297</v>
      </c>
      <c r="R212" s="24">
        <v>58.347734010000003</v>
      </c>
      <c r="S212" s="24">
        <v>64.684617680000002</v>
      </c>
      <c r="T212" s="24">
        <v>71.042761072829194</v>
      </c>
      <c r="U212" s="25">
        <v>10.595726418660099</v>
      </c>
      <c r="V212" s="26" t="s">
        <v>443</v>
      </c>
      <c r="W212" s="26" t="s">
        <v>1248</v>
      </c>
      <c r="X212" s="26" t="s">
        <v>443</v>
      </c>
      <c r="Y212" s="26" t="s">
        <v>1248</v>
      </c>
      <c r="Z212" s="26" t="s">
        <v>443</v>
      </c>
      <c r="AA212" s="26" t="s">
        <v>389</v>
      </c>
      <c r="AB212" s="26" t="s">
        <v>443</v>
      </c>
      <c r="AC212" s="26" t="s">
        <v>389</v>
      </c>
      <c r="AD212" s="26" t="s">
        <v>1249</v>
      </c>
      <c r="AE212" s="26" t="s">
        <v>442</v>
      </c>
      <c r="AF212" s="26" t="s">
        <v>1249</v>
      </c>
      <c r="AG212" s="26" t="s">
        <v>442</v>
      </c>
      <c r="AH212" s="26" t="s">
        <v>1250</v>
      </c>
      <c r="AI212" s="26" t="s">
        <v>1251</v>
      </c>
      <c r="AJ212" s="26" t="s">
        <v>1249</v>
      </c>
      <c r="AK212" s="26" t="s">
        <v>442</v>
      </c>
      <c r="AL212" s="26" t="s">
        <v>1249</v>
      </c>
      <c r="AM212" s="26" t="s">
        <v>1252</v>
      </c>
      <c r="AN212" s="26" t="s">
        <v>1249</v>
      </c>
      <c r="AO212" s="26" t="s">
        <v>1252</v>
      </c>
      <c r="AP212" s="26" t="s">
        <v>1249</v>
      </c>
      <c r="AQ212" s="26" t="s">
        <v>1253</v>
      </c>
      <c r="AR212" s="26" t="s">
        <v>1249</v>
      </c>
      <c r="AS212" s="26" t="s">
        <v>1254</v>
      </c>
      <c r="AT212" s="26" t="s">
        <v>1249</v>
      </c>
      <c r="AU212" s="26" t="s">
        <v>1254</v>
      </c>
      <c r="AV212" s="26" t="s">
        <v>1249</v>
      </c>
      <c r="AW212" s="26" t="s">
        <v>1254</v>
      </c>
      <c r="AX212" s="26" t="s">
        <v>1249</v>
      </c>
      <c r="AY212" s="26" t="s">
        <v>442</v>
      </c>
      <c r="AZ212" s="26" t="s">
        <v>443</v>
      </c>
      <c r="BA212" s="26" t="s">
        <v>1255</v>
      </c>
      <c r="BB212" s="26" t="s">
        <v>1256</v>
      </c>
      <c r="BC212" s="26" t="s">
        <v>1254</v>
      </c>
      <c r="BD212" s="26" t="s">
        <v>1256</v>
      </c>
      <c r="BE212" s="26" t="s">
        <v>1254</v>
      </c>
      <c r="BF212" s="26"/>
      <c r="BG212" s="26" t="s">
        <v>1254</v>
      </c>
    </row>
    <row r="213" spans="1:59" ht="25.5" customHeight="1" x14ac:dyDescent="0.15">
      <c r="A213" s="23" t="s">
        <v>169</v>
      </c>
      <c r="B213" s="24">
        <v>0.13328218259347999</v>
      </c>
      <c r="C213" s="24">
        <v>0.17520951773142199</v>
      </c>
      <c r="D213" s="24">
        <v>0.30213201615284102</v>
      </c>
      <c r="E213" s="24">
        <v>0.42518263188474298</v>
      </c>
      <c r="F213" s="24">
        <v>0.75405398272462298</v>
      </c>
      <c r="G213" s="24">
        <v>0.99725655854295903</v>
      </c>
      <c r="H213" s="24">
        <v>1.3195731180963</v>
      </c>
      <c r="I213" s="24">
        <v>1.40636068812023</v>
      </c>
      <c r="J213" s="24">
        <v>1.75</v>
      </c>
      <c r="K213" s="24">
        <v>1.95</v>
      </c>
      <c r="L213" s="24">
        <v>3</v>
      </c>
      <c r="M213" s="24">
        <v>5</v>
      </c>
      <c r="N213" s="24">
        <v>7.1958000000000002</v>
      </c>
      <c r="O213" s="24">
        <v>9.6</v>
      </c>
      <c r="P213" s="24">
        <v>12.2</v>
      </c>
      <c r="Q213" s="24">
        <v>14.996774820446999</v>
      </c>
      <c r="R213" s="24">
        <v>17.990324461341</v>
      </c>
      <c r="S213" s="24">
        <v>21.250997410369099</v>
      </c>
      <c r="T213" s="24"/>
      <c r="U213" s="25">
        <v>10.595726418660099</v>
      </c>
      <c r="V213" s="26"/>
      <c r="W213" s="26" t="s">
        <v>390</v>
      </c>
      <c r="X213" s="26"/>
      <c r="Y213" s="26" t="s">
        <v>390</v>
      </c>
      <c r="Z213" s="26"/>
      <c r="AA213" s="26" t="s">
        <v>389</v>
      </c>
      <c r="AB213" s="26"/>
      <c r="AC213" s="26" t="s">
        <v>389</v>
      </c>
      <c r="AD213" s="26"/>
      <c r="AE213" s="26" t="s">
        <v>390</v>
      </c>
      <c r="AF213" s="26"/>
      <c r="AG213" s="26" t="s">
        <v>389</v>
      </c>
      <c r="AH213" s="26"/>
      <c r="AI213" s="26" t="s">
        <v>390</v>
      </c>
      <c r="AJ213" s="26"/>
      <c r="AK213" s="26" t="s">
        <v>390</v>
      </c>
      <c r="AL213" s="26"/>
      <c r="AM213" s="26" t="s">
        <v>389</v>
      </c>
      <c r="AN213" s="26"/>
      <c r="AO213" s="26" t="s">
        <v>389</v>
      </c>
      <c r="AP213" s="26"/>
      <c r="AQ213" s="26" t="s">
        <v>389</v>
      </c>
      <c r="AR213" s="26"/>
      <c r="AS213" s="26" t="s">
        <v>389</v>
      </c>
      <c r="AT213" s="26"/>
      <c r="AU213" s="26" t="s">
        <v>389</v>
      </c>
      <c r="AV213" s="26"/>
      <c r="AW213" s="26" t="s">
        <v>389</v>
      </c>
      <c r="AX213" s="26"/>
      <c r="AY213" s="26" t="s">
        <v>389</v>
      </c>
      <c r="AZ213" s="26"/>
      <c r="BA213" s="26" t="s">
        <v>389</v>
      </c>
      <c r="BB213" s="26"/>
      <c r="BC213" s="26" t="s">
        <v>401</v>
      </c>
      <c r="BD213" s="26"/>
      <c r="BE213" s="26" t="s">
        <v>389</v>
      </c>
      <c r="BF213" s="26"/>
      <c r="BG213" s="26"/>
    </row>
    <row r="214" spans="1:59" ht="25.5" customHeight="1" x14ac:dyDescent="0.15">
      <c r="A214" s="23" t="s">
        <v>1257</v>
      </c>
      <c r="B214" s="24"/>
      <c r="C214" s="24"/>
      <c r="D214" s="24"/>
      <c r="E214" s="24"/>
      <c r="F214" s="24"/>
      <c r="G214" s="24"/>
      <c r="H214" s="24"/>
      <c r="I214" s="24"/>
      <c r="J214" s="24"/>
      <c r="K214" s="24"/>
      <c r="L214" s="24"/>
      <c r="M214" s="24"/>
      <c r="N214" s="24"/>
      <c r="O214" s="24"/>
      <c r="P214" s="24"/>
      <c r="Q214" s="24"/>
      <c r="R214" s="24"/>
      <c r="S214" s="24"/>
      <c r="T214" s="24"/>
      <c r="U214" s="25">
        <v>10.595726418660099</v>
      </c>
      <c r="V214" s="26"/>
      <c r="W214" s="26"/>
      <c r="X214" s="26"/>
      <c r="Y214" s="26"/>
      <c r="Z214" s="26"/>
      <c r="AA214" s="26"/>
      <c r="AB214" s="26"/>
      <c r="AC214" s="26"/>
      <c r="AD214" s="26"/>
      <c r="AE214" s="26"/>
      <c r="AF214" s="26"/>
      <c r="AG214" s="26"/>
      <c r="AH214" s="26"/>
      <c r="AI214" s="26"/>
      <c r="AJ214" s="26"/>
      <c r="AK214" s="26"/>
      <c r="AL214" s="26"/>
      <c r="AM214" s="26"/>
      <c r="AN214" s="26"/>
      <c r="AO214" s="26"/>
      <c r="AP214" s="26"/>
      <c r="AQ214" s="26"/>
      <c r="AR214" s="26"/>
      <c r="AS214" s="26"/>
      <c r="AT214" s="26"/>
      <c r="AU214" s="26"/>
      <c r="AV214" s="26"/>
      <c r="AW214" s="26"/>
      <c r="AX214" s="26"/>
      <c r="AY214" s="26"/>
      <c r="AZ214" s="26"/>
      <c r="BA214" s="26"/>
      <c r="BB214" s="26"/>
      <c r="BC214" s="26"/>
      <c r="BD214" s="26"/>
      <c r="BE214" s="26"/>
      <c r="BF214" s="26"/>
      <c r="BG214" s="26"/>
    </row>
    <row r="215" spans="1:59" ht="25.5" customHeight="1" x14ac:dyDescent="0.15">
      <c r="A215" s="23" t="s">
        <v>250</v>
      </c>
      <c r="B215" s="24">
        <v>5.2416395848621402</v>
      </c>
      <c r="C215" s="24"/>
      <c r="D215" s="24"/>
      <c r="E215" s="24"/>
      <c r="F215" s="24"/>
      <c r="G215" s="24"/>
      <c r="H215" s="24"/>
      <c r="I215" s="24">
        <v>10</v>
      </c>
      <c r="J215" s="24">
        <v>15</v>
      </c>
      <c r="K215" s="24">
        <v>20</v>
      </c>
      <c r="L215" s="24">
        <v>25</v>
      </c>
      <c r="M215" s="24">
        <v>30</v>
      </c>
      <c r="N215" s="24">
        <v>35</v>
      </c>
      <c r="O215" s="24">
        <v>37</v>
      </c>
      <c r="P215" s="24">
        <v>39.200000000000003</v>
      </c>
      <c r="Q215" s="24">
        <v>42.7</v>
      </c>
      <c r="R215" s="24">
        <v>46.009151511057802</v>
      </c>
      <c r="S215" s="24">
        <v>49.318338621032197</v>
      </c>
      <c r="T215" s="24"/>
      <c r="U215" s="25">
        <v>10.595726418660099</v>
      </c>
      <c r="V215" s="26"/>
      <c r="W215" s="26"/>
      <c r="X215" s="26"/>
      <c r="Y215" s="26"/>
      <c r="Z215" s="26"/>
      <c r="AA215" s="26"/>
      <c r="AB215" s="26"/>
      <c r="AC215" s="26"/>
      <c r="AD215" s="26"/>
      <c r="AE215" s="26"/>
      <c r="AF215" s="26"/>
      <c r="AG215" s="26"/>
      <c r="AH215" s="26"/>
      <c r="AI215" s="26"/>
      <c r="AJ215" s="26"/>
      <c r="AK215" s="26" t="s">
        <v>393</v>
      </c>
      <c r="AL215" s="26"/>
      <c r="AM215" s="26" t="s">
        <v>393</v>
      </c>
      <c r="AN215" s="26"/>
      <c r="AO215" s="26" t="s">
        <v>393</v>
      </c>
      <c r="AP215" s="26"/>
      <c r="AQ215" s="26" t="s">
        <v>393</v>
      </c>
      <c r="AR215" s="26"/>
      <c r="AS215" s="26" t="s">
        <v>393</v>
      </c>
      <c r="AT215" s="26"/>
      <c r="AU215" s="26" t="s">
        <v>389</v>
      </c>
      <c r="AV215" s="26"/>
      <c r="AW215" s="26" t="s">
        <v>389</v>
      </c>
      <c r="AX215" s="26"/>
      <c r="AY215" s="26" t="s">
        <v>389</v>
      </c>
      <c r="AZ215" s="26"/>
      <c r="BA215" s="26" t="s">
        <v>389</v>
      </c>
      <c r="BB215" s="26"/>
      <c r="BC215" s="26" t="s">
        <v>401</v>
      </c>
      <c r="BD215" s="26"/>
      <c r="BE215" s="26" t="s">
        <v>389</v>
      </c>
      <c r="BF215" s="26"/>
      <c r="BG215" s="26"/>
    </row>
    <row r="216" spans="1:59" ht="25.5" customHeight="1" x14ac:dyDescent="0.15">
      <c r="A216" s="23" t="s">
        <v>22</v>
      </c>
      <c r="B216" s="24">
        <v>0.163714063074854</v>
      </c>
      <c r="C216" s="24">
        <v>0.237945087191408</v>
      </c>
      <c r="D216" s="24">
        <v>0.384093504951945</v>
      </c>
      <c r="E216" s="24">
        <v>0.46484984011396802</v>
      </c>
      <c r="F216" s="24">
        <v>0.71997067991403096</v>
      </c>
      <c r="G216" s="24">
        <v>1.7422055032439001</v>
      </c>
      <c r="H216" s="24">
        <v>2.5293630382627899</v>
      </c>
      <c r="I216" s="24">
        <v>3.6719653507474401</v>
      </c>
      <c r="J216" s="24">
        <v>7.9</v>
      </c>
      <c r="K216" s="24">
        <v>9.7799999999999994</v>
      </c>
      <c r="L216" s="24">
        <v>12.5</v>
      </c>
      <c r="M216" s="24">
        <v>13.013543329999999</v>
      </c>
      <c r="N216" s="24">
        <v>14.1</v>
      </c>
      <c r="O216" s="24">
        <v>15.5</v>
      </c>
      <c r="P216" s="24">
        <v>16.899999999999999</v>
      </c>
      <c r="Q216" s="24">
        <v>17.834859470000001</v>
      </c>
      <c r="R216" s="24">
        <v>21.876170460000001</v>
      </c>
      <c r="S216" s="24">
        <v>23.706530910614202</v>
      </c>
      <c r="T216" s="24"/>
      <c r="U216" s="25">
        <v>10.595726418660099</v>
      </c>
      <c r="V216" s="26"/>
      <c r="W216" s="26"/>
      <c r="X216" s="26"/>
      <c r="Y216" s="26"/>
      <c r="Z216" s="26"/>
      <c r="AA216" s="26"/>
      <c r="AB216" s="26"/>
      <c r="AC216" s="26"/>
      <c r="AD216" s="26"/>
      <c r="AE216" s="26"/>
      <c r="AF216" s="26"/>
      <c r="AG216" s="26"/>
      <c r="AH216" s="26"/>
      <c r="AI216" s="26"/>
      <c r="AJ216" s="26"/>
      <c r="AK216" s="26" t="s">
        <v>1258</v>
      </c>
      <c r="AL216" s="26"/>
      <c r="AM216" s="26" t="s">
        <v>1259</v>
      </c>
      <c r="AN216" s="26"/>
      <c r="AO216" s="26" t="s">
        <v>1259</v>
      </c>
      <c r="AP216" s="26"/>
      <c r="AQ216" s="26" t="s">
        <v>1259</v>
      </c>
      <c r="AR216" s="26"/>
      <c r="AS216" s="26" t="s">
        <v>389</v>
      </c>
      <c r="AT216" s="26"/>
      <c r="AU216" s="26" t="s">
        <v>389</v>
      </c>
      <c r="AV216" s="26"/>
      <c r="AW216" s="26" t="s">
        <v>389</v>
      </c>
      <c r="AX216" s="26"/>
      <c r="AY216" s="26" t="s">
        <v>389</v>
      </c>
      <c r="AZ216" s="26"/>
      <c r="BA216" s="26" t="s">
        <v>389</v>
      </c>
      <c r="BB216" s="26"/>
      <c r="BC216" s="26" t="s">
        <v>401</v>
      </c>
      <c r="BD216" s="26"/>
      <c r="BE216" s="26" t="s">
        <v>389</v>
      </c>
      <c r="BF216" s="26"/>
      <c r="BG216" s="26"/>
    </row>
    <row r="217" spans="1:59" ht="25.5" customHeight="1" x14ac:dyDescent="0.15">
      <c r="A217" s="23" t="s">
        <v>98</v>
      </c>
      <c r="B217" s="24">
        <v>0.71618376203104295</v>
      </c>
      <c r="C217" s="24">
        <v>1.2387595474811399</v>
      </c>
      <c r="D217" s="24">
        <v>1.87388511643427</v>
      </c>
      <c r="E217" s="24">
        <v>3.1481275881543902</v>
      </c>
      <c r="F217" s="24">
        <v>3.4894778812677001</v>
      </c>
      <c r="G217" s="24">
        <v>3.7497644146589999</v>
      </c>
      <c r="H217" s="24">
        <v>4.5061245635737901</v>
      </c>
      <c r="I217" s="24">
        <v>6.55</v>
      </c>
      <c r="J217" s="24">
        <v>11</v>
      </c>
      <c r="K217" s="24">
        <v>17.899999999999999</v>
      </c>
      <c r="L217" s="24">
        <v>23.3</v>
      </c>
      <c r="M217" s="24">
        <v>28.708262840071299</v>
      </c>
      <c r="N217" s="24">
        <v>35.270000000000003</v>
      </c>
      <c r="O217" s="24">
        <v>40.954128996999998</v>
      </c>
      <c r="P217" s="24">
        <v>46.235975457165097</v>
      </c>
      <c r="Q217" s="24">
        <v>48.884643681321798</v>
      </c>
      <c r="R217" s="24">
        <v>53</v>
      </c>
      <c r="S217" s="24">
        <v>58.889479450000003</v>
      </c>
      <c r="T217" s="24"/>
      <c r="U217" s="25">
        <v>10.595726418660099</v>
      </c>
      <c r="V217" s="26"/>
      <c r="W217" s="26" t="s">
        <v>1260</v>
      </c>
      <c r="X217" s="26"/>
      <c r="Y217" s="26" t="s">
        <v>1224</v>
      </c>
      <c r="Z217" s="26"/>
      <c r="AA217" s="26" t="s">
        <v>1224</v>
      </c>
      <c r="AB217" s="26"/>
      <c r="AC217" s="26" t="s">
        <v>1260</v>
      </c>
      <c r="AD217" s="26"/>
      <c r="AE217" s="26" t="s">
        <v>1260</v>
      </c>
      <c r="AF217" s="26" t="s">
        <v>1261</v>
      </c>
      <c r="AG217" s="26" t="s">
        <v>533</v>
      </c>
      <c r="AH217" s="26"/>
      <c r="AI217" s="26" t="s">
        <v>1260</v>
      </c>
      <c r="AJ217" s="26"/>
      <c r="AK217" s="26" t="s">
        <v>1262</v>
      </c>
      <c r="AL217" s="26"/>
      <c r="AM217" s="26" t="s">
        <v>1262</v>
      </c>
      <c r="AN217" s="26"/>
      <c r="AO217" s="26" t="s">
        <v>1263</v>
      </c>
      <c r="AP217" s="26"/>
      <c r="AQ217" s="26" t="s">
        <v>1264</v>
      </c>
      <c r="AR217" s="26" t="s">
        <v>801</v>
      </c>
      <c r="AS217" s="26" t="s">
        <v>1264</v>
      </c>
      <c r="AT217" s="26"/>
      <c r="AU217" s="26" t="s">
        <v>1264</v>
      </c>
      <c r="AV217" s="26" t="s">
        <v>422</v>
      </c>
      <c r="AW217" s="26" t="s">
        <v>1264</v>
      </c>
      <c r="AX217" s="26" t="s">
        <v>422</v>
      </c>
      <c r="AY217" s="26" t="s">
        <v>1264</v>
      </c>
      <c r="AZ217" s="26" t="s">
        <v>420</v>
      </c>
      <c r="BA217" s="26" t="s">
        <v>1264</v>
      </c>
      <c r="BB217" s="26"/>
      <c r="BC217" s="26" t="s">
        <v>1265</v>
      </c>
      <c r="BD217" s="26"/>
      <c r="BE217" s="26" t="s">
        <v>1264</v>
      </c>
      <c r="BF217" s="26"/>
      <c r="BG217" s="26"/>
    </row>
    <row r="218" spans="1:59" ht="25.5" customHeight="1" x14ac:dyDescent="0.15">
      <c r="A218" s="23" t="s">
        <v>147</v>
      </c>
      <c r="B218" s="24">
        <v>23.6253008751553</v>
      </c>
      <c r="C218" s="24">
        <v>26.271754201000601</v>
      </c>
      <c r="D218" s="24">
        <v>28.316485311043898</v>
      </c>
      <c r="E218" s="24">
        <v>29.4779534120864</v>
      </c>
      <c r="F218" s="24">
        <v>30.1312961695367</v>
      </c>
      <c r="G218" s="24">
        <v>40</v>
      </c>
      <c r="H218" s="24">
        <v>52</v>
      </c>
      <c r="I218" s="24">
        <v>61</v>
      </c>
      <c r="J218" s="24">
        <v>63</v>
      </c>
      <c r="K218" s="24">
        <v>64</v>
      </c>
      <c r="L218" s="24">
        <v>68</v>
      </c>
      <c r="M218" s="24">
        <v>78</v>
      </c>
      <c r="N218" s="24">
        <v>84.999991504949193</v>
      </c>
      <c r="O218" s="24">
        <v>88</v>
      </c>
      <c r="P218" s="24">
        <v>90.4</v>
      </c>
      <c r="Q218" s="24">
        <v>90.5</v>
      </c>
      <c r="R218" s="24">
        <v>90.600007320000003</v>
      </c>
      <c r="S218" s="24">
        <v>94.819922539999993</v>
      </c>
      <c r="T218" s="24">
        <v>98.450001781719394</v>
      </c>
      <c r="U218" s="25">
        <v>10.595726418660099</v>
      </c>
      <c r="V218" s="26"/>
      <c r="W218" s="26" t="s">
        <v>1266</v>
      </c>
      <c r="X218" s="26"/>
      <c r="Y218" s="26" t="s">
        <v>1266</v>
      </c>
      <c r="Z218" s="26"/>
      <c r="AA218" s="26" t="s">
        <v>1266</v>
      </c>
      <c r="AB218" s="26"/>
      <c r="AC218" s="26" t="s">
        <v>1266</v>
      </c>
      <c r="AD218" s="26"/>
      <c r="AE218" s="26" t="s">
        <v>1266</v>
      </c>
      <c r="AF218" s="26"/>
      <c r="AG218" s="26" t="s">
        <v>393</v>
      </c>
      <c r="AH218" s="26"/>
      <c r="AI218" s="26" t="s">
        <v>393</v>
      </c>
      <c r="AJ218" s="26"/>
      <c r="AK218" s="26" t="s">
        <v>393</v>
      </c>
      <c r="AL218" s="26" t="s">
        <v>1267</v>
      </c>
      <c r="AM218" s="26" t="s">
        <v>393</v>
      </c>
      <c r="AN218" s="26" t="s">
        <v>1267</v>
      </c>
      <c r="AO218" s="26" t="s">
        <v>393</v>
      </c>
      <c r="AP218" s="26" t="s">
        <v>1267</v>
      </c>
      <c r="AQ218" s="26" t="s">
        <v>457</v>
      </c>
      <c r="AR218" s="26" t="s">
        <v>1268</v>
      </c>
      <c r="AS218" s="26" t="s">
        <v>1269</v>
      </c>
      <c r="AT218" s="26" t="s">
        <v>1270</v>
      </c>
      <c r="AU218" s="26" t="s">
        <v>1271</v>
      </c>
      <c r="AV218" s="26"/>
      <c r="AW218" s="26" t="s">
        <v>389</v>
      </c>
      <c r="AX218" s="26" t="s">
        <v>1270</v>
      </c>
      <c r="AY218" s="26" t="s">
        <v>457</v>
      </c>
      <c r="AZ218" s="26"/>
      <c r="BA218" s="26" t="s">
        <v>389</v>
      </c>
      <c r="BB218" s="26" t="s">
        <v>1272</v>
      </c>
      <c r="BC218" s="26" t="s">
        <v>1271</v>
      </c>
      <c r="BD218" s="26" t="s">
        <v>1273</v>
      </c>
      <c r="BE218" s="26" t="s">
        <v>1271</v>
      </c>
      <c r="BF218" s="26"/>
      <c r="BG218" s="26" t="s">
        <v>1271</v>
      </c>
    </row>
    <row r="219" spans="1:59" ht="25.5" customHeight="1" x14ac:dyDescent="0.15">
      <c r="A219" s="23" t="s">
        <v>162</v>
      </c>
      <c r="B219" s="24">
        <v>26.821754350857798</v>
      </c>
      <c r="C219" s="24">
        <v>33.481094874414701</v>
      </c>
      <c r="D219" s="24">
        <v>56.48</v>
      </c>
      <c r="E219" s="24">
        <v>64.819999999999993</v>
      </c>
      <c r="F219" s="24">
        <v>65.61</v>
      </c>
      <c r="G219" s="24">
        <v>70</v>
      </c>
      <c r="H219" s="24">
        <v>68.819999999999993</v>
      </c>
      <c r="I219" s="24">
        <v>75.09</v>
      </c>
      <c r="J219" s="24">
        <v>78.39</v>
      </c>
      <c r="K219" s="24">
        <v>83.56</v>
      </c>
      <c r="L219" s="24">
        <v>85</v>
      </c>
      <c r="M219" s="24">
        <v>85.379998549632205</v>
      </c>
      <c r="N219" s="24">
        <v>87.479998424211104</v>
      </c>
      <c r="O219" s="24">
        <v>89.844099999999997</v>
      </c>
      <c r="P219" s="24">
        <v>91.61</v>
      </c>
      <c r="Q219" s="24">
        <v>92.000299999999996</v>
      </c>
      <c r="R219" s="24">
        <v>94.775800630000006</v>
      </c>
      <c r="S219" s="24">
        <v>94.62</v>
      </c>
      <c r="T219" s="24">
        <v>94.896741760595404</v>
      </c>
      <c r="U219" s="28">
        <v>10.595726418660099</v>
      </c>
      <c r="V219" s="26" t="s">
        <v>1274</v>
      </c>
      <c r="W219" s="26" t="s">
        <v>1275</v>
      </c>
      <c r="X219" s="26" t="s">
        <v>1276</v>
      </c>
      <c r="Y219" s="26" t="s">
        <v>1275</v>
      </c>
      <c r="Z219" s="26" t="s">
        <v>441</v>
      </c>
      <c r="AA219" s="26" t="s">
        <v>442</v>
      </c>
      <c r="AB219" s="26" t="s">
        <v>443</v>
      </c>
      <c r="AC219" s="26" t="s">
        <v>442</v>
      </c>
      <c r="AD219" s="26" t="s">
        <v>443</v>
      </c>
      <c r="AE219" s="26" t="s">
        <v>442</v>
      </c>
      <c r="AF219" s="26" t="s">
        <v>443</v>
      </c>
      <c r="AG219" s="26" t="s">
        <v>442</v>
      </c>
      <c r="AH219" s="26" t="s">
        <v>443</v>
      </c>
      <c r="AI219" s="26" t="s">
        <v>442</v>
      </c>
      <c r="AJ219" s="26" t="s">
        <v>443</v>
      </c>
      <c r="AK219" s="26" t="s">
        <v>442</v>
      </c>
      <c r="AL219" s="26" t="s">
        <v>443</v>
      </c>
      <c r="AM219" s="26" t="s">
        <v>442</v>
      </c>
      <c r="AN219" s="26" t="s">
        <v>443</v>
      </c>
      <c r="AO219" s="26" t="s">
        <v>442</v>
      </c>
      <c r="AP219" s="26" t="s">
        <v>443</v>
      </c>
      <c r="AQ219" s="26" t="s">
        <v>442</v>
      </c>
      <c r="AR219" s="26" t="s">
        <v>444</v>
      </c>
      <c r="AS219" s="26" t="s">
        <v>442</v>
      </c>
      <c r="AT219" s="26" t="s">
        <v>445</v>
      </c>
      <c r="AU219" s="26" t="s">
        <v>449</v>
      </c>
      <c r="AV219" s="26" t="s">
        <v>443</v>
      </c>
      <c r="AW219" s="26" t="s">
        <v>442</v>
      </c>
      <c r="AX219" s="26" t="s">
        <v>443</v>
      </c>
      <c r="AY219" s="26" t="s">
        <v>449</v>
      </c>
      <c r="AZ219" s="26" t="s">
        <v>443</v>
      </c>
      <c r="BA219" s="26" t="s">
        <v>442</v>
      </c>
      <c r="BB219" s="26" t="s">
        <v>616</v>
      </c>
      <c r="BC219" s="26" t="s">
        <v>449</v>
      </c>
      <c r="BD219" s="26"/>
      <c r="BE219" s="26" t="s">
        <v>389</v>
      </c>
      <c r="BF219" s="26"/>
      <c r="BG219" s="26" t="s">
        <v>449</v>
      </c>
    </row>
    <row r="220" spans="1:59" ht="25.5" customHeight="1" x14ac:dyDescent="0.15">
      <c r="A220" s="23" t="s">
        <v>99</v>
      </c>
      <c r="B220" s="24">
        <v>43.079162637520099</v>
      </c>
      <c r="C220" s="24">
        <v>49.080831589695102</v>
      </c>
      <c r="D220" s="24">
        <v>58.785403883695203</v>
      </c>
      <c r="E220" s="24">
        <v>61.6971171244207</v>
      </c>
      <c r="F220" s="24">
        <v>64.758256475989597</v>
      </c>
      <c r="G220" s="24">
        <v>67.968052915002005</v>
      </c>
      <c r="H220" s="24">
        <v>68.931193269972098</v>
      </c>
      <c r="I220" s="24">
        <v>75</v>
      </c>
      <c r="J220" s="24">
        <v>74</v>
      </c>
      <c r="K220" s="24">
        <v>71</v>
      </c>
      <c r="L220" s="24">
        <v>71.69</v>
      </c>
      <c r="M220" s="24">
        <v>69.729460761926802</v>
      </c>
      <c r="N220" s="24">
        <v>74.7</v>
      </c>
      <c r="O220" s="24">
        <v>71.400000000000006</v>
      </c>
      <c r="P220" s="24">
        <v>73</v>
      </c>
      <c r="Q220" s="24">
        <v>74.554202446276093</v>
      </c>
      <c r="R220" s="24">
        <v>85.544421288722205</v>
      </c>
      <c r="S220" s="24">
        <v>87.266112824591502</v>
      </c>
      <c r="T220" s="24"/>
      <c r="U220" s="28">
        <v>10.595726418660099</v>
      </c>
      <c r="V220" s="26"/>
      <c r="W220" s="26" t="s">
        <v>389</v>
      </c>
      <c r="X220" s="26"/>
      <c r="Y220" s="26" t="s">
        <v>389</v>
      </c>
      <c r="Z220" s="26"/>
      <c r="AA220" s="26" t="s">
        <v>389</v>
      </c>
      <c r="AB220" s="26"/>
      <c r="AC220" s="26" t="s">
        <v>389</v>
      </c>
      <c r="AD220" s="26"/>
      <c r="AE220" s="26" t="s">
        <v>389</v>
      </c>
      <c r="AF220" s="26"/>
      <c r="AG220" s="26" t="s">
        <v>389</v>
      </c>
      <c r="AH220" s="26"/>
      <c r="AI220" s="26" t="s">
        <v>389</v>
      </c>
      <c r="AJ220" s="26"/>
      <c r="AK220" s="26" t="s">
        <v>1277</v>
      </c>
      <c r="AL220" s="26" t="s">
        <v>1278</v>
      </c>
      <c r="AM220" s="26" t="s">
        <v>1277</v>
      </c>
      <c r="AN220" s="26" t="s">
        <v>1279</v>
      </c>
      <c r="AO220" s="26" t="s">
        <v>1277</v>
      </c>
      <c r="AP220" s="26" t="s">
        <v>1279</v>
      </c>
      <c r="AQ220" s="26" t="s">
        <v>1277</v>
      </c>
      <c r="AR220" s="26" t="s">
        <v>1279</v>
      </c>
      <c r="AS220" s="26" t="s">
        <v>1280</v>
      </c>
      <c r="AT220" s="26" t="s">
        <v>867</v>
      </c>
      <c r="AU220" s="26" t="s">
        <v>1281</v>
      </c>
      <c r="AV220" s="26" t="s">
        <v>867</v>
      </c>
      <c r="AW220" s="26" t="s">
        <v>1281</v>
      </c>
      <c r="AX220" s="26"/>
      <c r="AY220" s="26" t="s">
        <v>389</v>
      </c>
      <c r="AZ220" s="26" t="s">
        <v>867</v>
      </c>
      <c r="BA220" s="26" t="s">
        <v>1281</v>
      </c>
      <c r="BB220" s="26" t="s">
        <v>1006</v>
      </c>
      <c r="BC220" s="26" t="s">
        <v>1282</v>
      </c>
      <c r="BD220" s="26" t="s">
        <v>1006</v>
      </c>
      <c r="BE220" s="26" t="s">
        <v>1282</v>
      </c>
      <c r="BF220" s="26"/>
      <c r="BG220" s="26"/>
    </row>
    <row r="221" spans="1:59" ht="25.5" customHeight="1" x14ac:dyDescent="0.15">
      <c r="A221" s="23" t="s">
        <v>121</v>
      </c>
      <c r="B221" s="24">
        <v>10.5390577480141</v>
      </c>
      <c r="C221" s="24">
        <v>11.1214376832783</v>
      </c>
      <c r="D221" s="24">
        <v>11.4194701966853</v>
      </c>
      <c r="E221" s="24">
        <v>15.937136715975599</v>
      </c>
      <c r="F221" s="24">
        <v>17.0630983403661</v>
      </c>
      <c r="G221" s="24">
        <v>20.088189557930502</v>
      </c>
      <c r="H221" s="24">
        <v>29.4</v>
      </c>
      <c r="I221" s="24">
        <v>34</v>
      </c>
      <c r="J221" s="24">
        <v>39.299999999999997</v>
      </c>
      <c r="K221" s="24">
        <v>41.8</v>
      </c>
      <c r="L221" s="24">
        <v>46.4</v>
      </c>
      <c r="M221" s="24">
        <v>51.404661056361597</v>
      </c>
      <c r="N221" s="24">
        <v>54.453768680746002</v>
      </c>
      <c r="O221" s="24">
        <v>57.69</v>
      </c>
      <c r="P221" s="24">
        <v>61.46</v>
      </c>
      <c r="Q221" s="24">
        <v>64.570787097162395</v>
      </c>
      <c r="R221" s="24">
        <v>66.400000000000006</v>
      </c>
      <c r="S221" s="24">
        <v>68.279662557636001</v>
      </c>
      <c r="T221" s="24"/>
      <c r="U221" s="28">
        <v>10.595726418660099</v>
      </c>
      <c r="V221" s="26"/>
      <c r="W221" s="26" t="s">
        <v>1283</v>
      </c>
      <c r="X221" s="26"/>
      <c r="Y221" s="26" t="s">
        <v>1283</v>
      </c>
      <c r="Z221" s="26"/>
      <c r="AA221" s="26" t="s">
        <v>1283</v>
      </c>
      <c r="AB221" s="26"/>
      <c r="AC221" s="26" t="s">
        <v>1283</v>
      </c>
      <c r="AD221" s="26"/>
      <c r="AE221" s="26" t="s">
        <v>1283</v>
      </c>
      <c r="AF221" s="26"/>
      <c r="AG221" s="26" t="s">
        <v>1283</v>
      </c>
      <c r="AH221" s="26"/>
      <c r="AI221" s="26"/>
      <c r="AJ221" s="26" t="s">
        <v>1284</v>
      </c>
      <c r="AK221" s="26" t="s">
        <v>389</v>
      </c>
      <c r="AL221" s="26" t="s">
        <v>475</v>
      </c>
      <c r="AM221" s="26" t="s">
        <v>1285</v>
      </c>
      <c r="AN221" s="26" t="s">
        <v>475</v>
      </c>
      <c r="AO221" s="26" t="s">
        <v>1285</v>
      </c>
      <c r="AP221" s="26" t="s">
        <v>475</v>
      </c>
      <c r="AQ221" s="26" t="s">
        <v>1286</v>
      </c>
      <c r="AR221" s="26" t="s">
        <v>475</v>
      </c>
      <c r="AS221" s="26" t="s">
        <v>1196</v>
      </c>
      <c r="AT221" s="26" t="s">
        <v>475</v>
      </c>
      <c r="AU221" s="26" t="s">
        <v>1196</v>
      </c>
      <c r="AV221" s="26" t="s">
        <v>475</v>
      </c>
      <c r="AW221" s="26" t="s">
        <v>1196</v>
      </c>
      <c r="AX221" s="26" t="s">
        <v>475</v>
      </c>
      <c r="AY221" s="26" t="s">
        <v>1196</v>
      </c>
      <c r="AZ221" s="26"/>
      <c r="BA221" s="26" t="s">
        <v>1006</v>
      </c>
      <c r="BB221" s="26"/>
      <c r="BC221" s="26" t="s">
        <v>1196</v>
      </c>
      <c r="BD221" s="26"/>
      <c r="BE221" s="26" t="s">
        <v>389</v>
      </c>
      <c r="BF221" s="26"/>
      <c r="BG221" s="26"/>
    </row>
    <row r="222" spans="1:59" ht="25.5" customHeight="1" x14ac:dyDescent="0.15">
      <c r="A222" s="23" t="s">
        <v>33</v>
      </c>
      <c r="B222" s="24">
        <v>0.48434730769494699</v>
      </c>
      <c r="C222" s="24">
        <v>0.59756799387580495</v>
      </c>
      <c r="D222" s="24">
        <v>1.08193974248733</v>
      </c>
      <c r="E222" s="24">
        <v>1.9125951778499699</v>
      </c>
      <c r="F222" s="24">
        <v>2.59372542084924</v>
      </c>
      <c r="G222" s="24">
        <v>3.3435098882595198</v>
      </c>
      <c r="H222" s="24">
        <v>6.38832196706805</v>
      </c>
      <c r="I222" s="24">
        <v>7.4906046813862899</v>
      </c>
      <c r="J222" s="24">
        <v>9.0801145234500993</v>
      </c>
      <c r="K222" s="24">
        <v>11.9</v>
      </c>
      <c r="L222" s="24">
        <v>15.9</v>
      </c>
      <c r="M222" s="24">
        <v>18.600000000000001</v>
      </c>
      <c r="N222" s="24">
        <v>23.6</v>
      </c>
      <c r="O222" s="24">
        <v>26.8</v>
      </c>
      <c r="P222" s="24">
        <v>35.5</v>
      </c>
      <c r="Q222" s="24">
        <v>42.8</v>
      </c>
      <c r="R222" s="24">
        <v>46.791286940780601</v>
      </c>
      <c r="S222" s="24">
        <v>52.305100789357603</v>
      </c>
      <c r="T222" s="24"/>
      <c r="U222" s="29">
        <v>10.595726418660099</v>
      </c>
      <c r="V222" s="26"/>
      <c r="W222" s="26" t="s">
        <v>1287</v>
      </c>
      <c r="X222" s="26"/>
      <c r="Y222" s="26" t="s">
        <v>1287</v>
      </c>
      <c r="Z222" s="26"/>
      <c r="AA222" s="26" t="s">
        <v>1287</v>
      </c>
      <c r="AB222" s="26"/>
      <c r="AC222" s="26" t="s">
        <v>1287</v>
      </c>
      <c r="AD222" s="26"/>
      <c r="AE222" s="26" t="s">
        <v>1287</v>
      </c>
      <c r="AF222" s="26"/>
      <c r="AG222" s="26" t="s">
        <v>1287</v>
      </c>
      <c r="AH222" s="26"/>
      <c r="AI222" s="26" t="s">
        <v>1287</v>
      </c>
      <c r="AJ222" s="26"/>
      <c r="AK222" s="26" t="s">
        <v>1287</v>
      </c>
      <c r="AL222" s="26"/>
      <c r="AM222" s="26" t="s">
        <v>1287</v>
      </c>
      <c r="AN222" s="26"/>
      <c r="AO222" s="26" t="s">
        <v>1287</v>
      </c>
      <c r="AP222" s="26"/>
      <c r="AQ222" s="26" t="s">
        <v>389</v>
      </c>
      <c r="AR222" s="26"/>
      <c r="AS222" s="26" t="s">
        <v>1287</v>
      </c>
      <c r="AT222" s="26"/>
      <c r="AU222" s="26" t="s">
        <v>389</v>
      </c>
      <c r="AV222" s="26"/>
      <c r="AW222" s="26" t="s">
        <v>389</v>
      </c>
      <c r="AX222" s="26"/>
      <c r="AY222" s="26" t="s">
        <v>389</v>
      </c>
      <c r="AZ222" s="26"/>
      <c r="BA222" s="26" t="s">
        <v>389</v>
      </c>
      <c r="BB222" s="26"/>
      <c r="BC222" s="26" t="s">
        <v>401</v>
      </c>
      <c r="BD222" s="26"/>
      <c r="BE222" s="26" t="s">
        <v>389</v>
      </c>
      <c r="BF222" s="26"/>
      <c r="BG222" s="26"/>
    </row>
    <row r="223" spans="1:59" ht="25.5" customHeight="1" x14ac:dyDescent="0.15">
      <c r="A223" s="23" t="s">
        <v>191</v>
      </c>
      <c r="B223" s="24">
        <v>2.1083368911518399</v>
      </c>
      <c r="C223" s="24">
        <v>2.8305722387767802</v>
      </c>
      <c r="D223" s="24">
        <v>3.5100387107126401</v>
      </c>
      <c r="E223" s="24">
        <v>3.9032958454294802</v>
      </c>
      <c r="F223" s="24">
        <v>4.7466026191753299</v>
      </c>
      <c r="G223" s="24">
        <v>5.0823338076844902</v>
      </c>
      <c r="H223" s="24">
        <v>5.8505850585058496</v>
      </c>
      <c r="I223" s="24">
        <v>6.8</v>
      </c>
      <c r="J223" s="24">
        <v>7.2691199233749204</v>
      </c>
      <c r="K223" s="24">
        <v>7.5</v>
      </c>
      <c r="L223" s="24">
        <v>8</v>
      </c>
      <c r="M223" s="24">
        <v>9.1999999999999993</v>
      </c>
      <c r="N223" s="24">
        <v>10.598000000000001</v>
      </c>
      <c r="O223" s="24">
        <v>11.3</v>
      </c>
      <c r="P223" s="24">
        <v>18.8</v>
      </c>
      <c r="Q223" s="24">
        <v>22.351404582535999</v>
      </c>
      <c r="R223" s="24">
        <v>24</v>
      </c>
      <c r="S223" s="24">
        <v>25.719787835664</v>
      </c>
      <c r="T223" s="24"/>
      <c r="U223" s="29">
        <v>10.595726418660099</v>
      </c>
      <c r="V223" s="26"/>
      <c r="W223" s="26" t="s">
        <v>1288</v>
      </c>
      <c r="X223" s="26"/>
      <c r="Y223" s="26"/>
      <c r="Z223" s="26"/>
      <c r="AA223" s="26"/>
      <c r="AB223" s="26"/>
      <c r="AC223" s="26"/>
      <c r="AD223" s="26"/>
      <c r="AE223" s="26"/>
      <c r="AF223" s="26"/>
      <c r="AG223" s="26"/>
      <c r="AH223" s="26"/>
      <c r="AI223" s="26"/>
      <c r="AJ223" s="26"/>
      <c r="AK223" s="26" t="s">
        <v>389</v>
      </c>
      <c r="AL223" s="26"/>
      <c r="AM223" s="26" t="s">
        <v>1288</v>
      </c>
      <c r="AN223" s="26"/>
      <c r="AO223" s="26" t="s">
        <v>393</v>
      </c>
      <c r="AP223" s="26"/>
      <c r="AQ223" s="26" t="s">
        <v>1289</v>
      </c>
      <c r="AR223" s="26"/>
      <c r="AS223" s="26" t="s">
        <v>393</v>
      </c>
      <c r="AT223" s="26"/>
      <c r="AU223" s="26" t="s">
        <v>389</v>
      </c>
      <c r="AV223" s="26"/>
      <c r="AW223" s="26" t="s">
        <v>389</v>
      </c>
      <c r="AX223" s="26"/>
      <c r="AY223" s="26" t="s">
        <v>389</v>
      </c>
      <c r="AZ223" s="26"/>
      <c r="BA223" s="26" t="s">
        <v>389</v>
      </c>
      <c r="BB223" s="26"/>
      <c r="BC223" s="26" t="s">
        <v>401</v>
      </c>
      <c r="BD223" s="26"/>
      <c r="BE223" s="26" t="s">
        <v>389</v>
      </c>
      <c r="BF223" s="26"/>
      <c r="BG223" s="26"/>
    </row>
    <row r="224" spans="1:59" ht="25.5" customHeight="1" x14ac:dyDescent="0.15">
      <c r="A224" s="23" t="s">
        <v>1290</v>
      </c>
      <c r="B224" s="24"/>
      <c r="C224" s="24"/>
      <c r="D224" s="24"/>
      <c r="E224" s="24"/>
      <c r="F224" s="24"/>
      <c r="G224" s="24"/>
      <c r="H224" s="24"/>
      <c r="I224" s="24"/>
      <c r="J224" s="24"/>
      <c r="K224" s="24"/>
      <c r="L224" s="24"/>
      <c r="M224" s="24"/>
      <c r="N224" s="24"/>
      <c r="O224" s="24"/>
      <c r="P224" s="24"/>
      <c r="Q224" s="24"/>
      <c r="R224" s="24"/>
      <c r="S224" s="24"/>
      <c r="T224" s="24"/>
      <c r="U224" s="29">
        <v>10.595726418660099</v>
      </c>
      <c r="V224" s="26"/>
      <c r="W224" s="26"/>
      <c r="X224" s="26"/>
      <c r="Y224" s="26"/>
      <c r="Z224" s="26"/>
      <c r="AA224" s="26"/>
      <c r="AB224" s="26"/>
      <c r="AC224" s="26"/>
      <c r="AD224" s="26"/>
      <c r="AE224" s="26"/>
      <c r="AF224" s="26"/>
      <c r="AG224" s="26"/>
      <c r="AH224" s="26"/>
      <c r="AI224" s="26"/>
      <c r="AJ224" s="26"/>
      <c r="AK224" s="26"/>
      <c r="AL224" s="26"/>
      <c r="AM224" s="26"/>
      <c r="AN224" s="26"/>
      <c r="AO224" s="26"/>
      <c r="AP224" s="26"/>
      <c r="AQ224" s="26"/>
      <c r="AR224" s="26"/>
      <c r="AS224" s="26"/>
      <c r="AT224" s="26"/>
      <c r="AU224" s="26"/>
      <c r="AV224" s="26"/>
      <c r="AW224" s="26"/>
      <c r="AX224" s="26"/>
      <c r="AY224" s="26"/>
      <c r="AZ224" s="26"/>
      <c r="BA224" s="26"/>
      <c r="BB224" s="26"/>
      <c r="BC224" s="26"/>
      <c r="BD224" s="26"/>
      <c r="BE224" s="26"/>
      <c r="BF224" s="26"/>
      <c r="BG224" s="26"/>
    </row>
    <row r="225" spans="1:59" ht="25.5" customHeight="1" x14ac:dyDescent="0.15">
      <c r="A225" s="23" t="s">
        <v>170</v>
      </c>
      <c r="B225" s="24">
        <v>3.3595974645036</v>
      </c>
      <c r="C225" s="24">
        <v>4.6360009477867701</v>
      </c>
      <c r="D225" s="24">
        <v>4.9104463272032497</v>
      </c>
      <c r="E225" s="24">
        <v>7.4999634652240701</v>
      </c>
      <c r="F225" s="24">
        <v>8.4044695924121502</v>
      </c>
      <c r="G225" s="24">
        <v>12.5529979098299</v>
      </c>
      <c r="H225" s="24">
        <v>15.224711477178699</v>
      </c>
      <c r="I225" s="24">
        <v>20.83</v>
      </c>
      <c r="J225" s="24">
        <v>25.88</v>
      </c>
      <c r="K225" s="24">
        <v>32.700000000000003</v>
      </c>
      <c r="L225" s="24">
        <v>37.369999999999997</v>
      </c>
      <c r="M225" s="24">
        <v>40.22</v>
      </c>
      <c r="N225" s="24">
        <v>49.050083072986098</v>
      </c>
      <c r="O225" s="24">
        <v>54.9</v>
      </c>
      <c r="P225" s="24">
        <v>57</v>
      </c>
      <c r="Q225" s="24">
        <v>64</v>
      </c>
      <c r="R225" s="24">
        <v>60</v>
      </c>
      <c r="S225" s="24">
        <v>72</v>
      </c>
      <c r="T225" s="24"/>
      <c r="U225" s="29">
        <v>10.595726418660099</v>
      </c>
      <c r="V225" s="26"/>
      <c r="W225" s="26" t="s">
        <v>1291</v>
      </c>
      <c r="X225" s="26"/>
      <c r="Y225" s="26" t="s">
        <v>1291</v>
      </c>
      <c r="Z225" s="26"/>
      <c r="AA225" s="26" t="s">
        <v>1291</v>
      </c>
      <c r="AB225" s="26"/>
      <c r="AC225" s="26" t="s">
        <v>1291</v>
      </c>
      <c r="AD225" s="26"/>
      <c r="AE225" s="26" t="s">
        <v>1291</v>
      </c>
      <c r="AF225" s="26"/>
      <c r="AG225" s="26" t="s">
        <v>1291</v>
      </c>
      <c r="AH225" s="26"/>
      <c r="AI225" s="26" t="s">
        <v>1291</v>
      </c>
      <c r="AJ225" s="26"/>
      <c r="AK225" s="26" t="s">
        <v>1292</v>
      </c>
      <c r="AL225" s="26"/>
      <c r="AM225" s="26" t="s">
        <v>1292</v>
      </c>
      <c r="AN225" s="26" t="s">
        <v>646</v>
      </c>
      <c r="AO225" s="26" t="s">
        <v>1292</v>
      </c>
      <c r="AP225" s="26" t="s">
        <v>646</v>
      </c>
      <c r="AQ225" s="26" t="s">
        <v>1063</v>
      </c>
      <c r="AR225" s="26" t="s">
        <v>1293</v>
      </c>
      <c r="AS225" s="26" t="s">
        <v>1063</v>
      </c>
      <c r="AT225" s="26"/>
      <c r="AU225" s="26" t="s">
        <v>503</v>
      </c>
      <c r="AV225" s="26"/>
      <c r="AW225" s="26" t="s">
        <v>389</v>
      </c>
      <c r="AX225" s="26"/>
      <c r="AY225" s="26" t="s">
        <v>389</v>
      </c>
      <c r="AZ225" s="26" t="s">
        <v>1006</v>
      </c>
      <c r="BA225" s="26" t="s">
        <v>565</v>
      </c>
      <c r="BB225" s="26"/>
      <c r="BC225" s="26" t="s">
        <v>389</v>
      </c>
      <c r="BD225" s="26" t="s">
        <v>1006</v>
      </c>
      <c r="BE225" s="26" t="s">
        <v>565</v>
      </c>
      <c r="BF225" s="26"/>
      <c r="BG225" s="26"/>
    </row>
    <row r="226" spans="1:59" ht="25.5" customHeight="1" x14ac:dyDescent="0.2">
      <c r="A226" s="56" t="s">
        <v>95</v>
      </c>
      <c r="B226" s="24">
        <v>0.25424827575493403</v>
      </c>
      <c r="C226" s="24">
        <v>1.26565123612317</v>
      </c>
      <c r="D226" s="24">
        <v>1.8549992359258101</v>
      </c>
      <c r="E226" s="24">
        <v>3.7802808137064101</v>
      </c>
      <c r="F226" s="24">
        <v>7.6424085284236298</v>
      </c>
      <c r="G226" s="24">
        <v>12.739929290703101</v>
      </c>
      <c r="H226" s="24">
        <v>17.254561718666199</v>
      </c>
      <c r="I226" s="24">
        <v>20.755444767975298</v>
      </c>
      <c r="J226" s="24">
        <v>23.92</v>
      </c>
      <c r="K226" s="24">
        <v>26.55</v>
      </c>
      <c r="L226" s="24">
        <v>30.65</v>
      </c>
      <c r="M226" s="24">
        <v>35.07</v>
      </c>
      <c r="N226" s="24">
        <v>36.799999999999997</v>
      </c>
      <c r="O226" s="24">
        <v>38.5</v>
      </c>
      <c r="P226" s="24">
        <v>41</v>
      </c>
      <c r="Q226" s="24">
        <v>45</v>
      </c>
      <c r="R226" s="24">
        <v>53</v>
      </c>
      <c r="S226" s="24">
        <v>58.140000003629702</v>
      </c>
      <c r="T226" s="24">
        <v>70.349635576212094</v>
      </c>
      <c r="U226" s="30">
        <v>10.595726418660099</v>
      </c>
      <c r="V226" s="26"/>
      <c r="W226" s="26" t="s">
        <v>1294</v>
      </c>
      <c r="X226" s="26"/>
      <c r="Y226" s="26" t="s">
        <v>1294</v>
      </c>
      <c r="Z226" s="26"/>
      <c r="AA226" s="26" t="s">
        <v>1294</v>
      </c>
      <c r="AB226" s="26"/>
      <c r="AC226" s="26" t="s">
        <v>1294</v>
      </c>
      <c r="AD226" s="26"/>
      <c r="AE226" s="26" t="s">
        <v>1295</v>
      </c>
      <c r="AF226" s="26"/>
      <c r="AG226" s="26" t="s">
        <v>1295</v>
      </c>
      <c r="AH226" s="26"/>
      <c r="AI226" s="26" t="s">
        <v>1295</v>
      </c>
      <c r="AJ226" s="26"/>
      <c r="AK226" s="26" t="s">
        <v>1296</v>
      </c>
      <c r="AL226" s="26"/>
      <c r="AM226" s="26" t="s">
        <v>1297</v>
      </c>
      <c r="AN226" s="26"/>
      <c r="AO226" s="26" t="s">
        <v>1298</v>
      </c>
      <c r="AP226" s="26"/>
      <c r="AQ226" s="26" t="s">
        <v>1297</v>
      </c>
      <c r="AR226" s="26"/>
      <c r="AS226" s="26" t="s">
        <v>1297</v>
      </c>
      <c r="AT226" s="26"/>
      <c r="AU226" s="26" t="s">
        <v>389</v>
      </c>
      <c r="AV226" s="26"/>
      <c r="AW226" s="26" t="s">
        <v>389</v>
      </c>
      <c r="AX226" s="26"/>
      <c r="AY226" s="26" t="s">
        <v>389</v>
      </c>
      <c r="AZ226" s="26" t="s">
        <v>394</v>
      </c>
      <c r="BA226" s="26" t="s">
        <v>565</v>
      </c>
      <c r="BB226" s="26" t="s">
        <v>394</v>
      </c>
      <c r="BC226" s="26" t="s">
        <v>565</v>
      </c>
      <c r="BD226" s="26" t="s">
        <v>1006</v>
      </c>
      <c r="BE226" s="26" t="s">
        <v>1238</v>
      </c>
      <c r="BF226" s="26"/>
      <c r="BG226" s="26" t="s">
        <v>1238</v>
      </c>
    </row>
    <row r="227" spans="1:59" ht="25.5" customHeight="1" x14ac:dyDescent="0.2">
      <c r="A227" s="23" t="s">
        <v>1299</v>
      </c>
      <c r="B227" s="24">
        <v>13.815080541919601</v>
      </c>
      <c r="C227" s="24">
        <v>18.3757660397468</v>
      </c>
      <c r="D227" s="24">
        <v>27.494432377443601</v>
      </c>
      <c r="E227" s="24">
        <v>27.429072988763199</v>
      </c>
      <c r="F227" s="24">
        <v>27.377008788019801</v>
      </c>
      <c r="G227" s="24">
        <v>27.344319673326499</v>
      </c>
      <c r="H227" s="24">
        <v>27.332610537632501</v>
      </c>
      <c r="I227" s="24">
        <v>27.3393358364014</v>
      </c>
      <c r="J227" s="24">
        <v>27.361777421061301</v>
      </c>
      <c r="K227" s="24">
        <v>27.396509684666199</v>
      </c>
      <c r="L227" s="24">
        <v>31.22</v>
      </c>
      <c r="M227" s="24">
        <v>35.6</v>
      </c>
      <c r="N227" s="24">
        <v>40.547899999999998</v>
      </c>
      <c r="O227" s="24">
        <v>45.3</v>
      </c>
      <c r="P227" s="24">
        <v>50.07</v>
      </c>
      <c r="Q227" s="24">
        <v>54.839137295999997</v>
      </c>
      <c r="R227" s="24">
        <v>59.608315798950002</v>
      </c>
      <c r="S227" s="24">
        <v>64.377494298008699</v>
      </c>
      <c r="T227" s="24"/>
      <c r="U227" s="31">
        <v>10.595726418660099</v>
      </c>
      <c r="V227" s="26"/>
      <c r="W227" s="26" t="s">
        <v>1300</v>
      </c>
      <c r="X227" s="26"/>
      <c r="Y227" s="26" t="s">
        <v>1300</v>
      </c>
      <c r="Z227" s="26"/>
      <c r="AA227" s="26" t="s">
        <v>1300</v>
      </c>
      <c r="AB227" s="26"/>
      <c r="AC227" s="26" t="s">
        <v>389</v>
      </c>
      <c r="AD227" s="26"/>
      <c r="AE227" s="26" t="s">
        <v>389</v>
      </c>
      <c r="AF227" s="26"/>
      <c r="AG227" s="26" t="s">
        <v>389</v>
      </c>
      <c r="AH227" s="26"/>
      <c r="AI227" s="26" t="s">
        <v>389</v>
      </c>
      <c r="AJ227" s="26"/>
      <c r="AK227" s="26" t="s">
        <v>1300</v>
      </c>
      <c r="AL227" s="26"/>
      <c r="AM227" s="26" t="s">
        <v>389</v>
      </c>
      <c r="AN227" s="26"/>
      <c r="AO227" s="26" t="s">
        <v>389</v>
      </c>
      <c r="AP227" s="26"/>
      <c r="AQ227" s="26" t="s">
        <v>389</v>
      </c>
      <c r="AR227" s="26"/>
      <c r="AS227" s="26" t="s">
        <v>389</v>
      </c>
      <c r="AT227" s="26"/>
      <c r="AU227" s="26" t="s">
        <v>389</v>
      </c>
      <c r="AV227" s="26"/>
      <c r="AW227" s="26" t="s">
        <v>389</v>
      </c>
      <c r="AX227" s="26"/>
      <c r="AY227" s="26" t="s">
        <v>389</v>
      </c>
      <c r="AZ227" s="26"/>
      <c r="BA227" s="26" t="s">
        <v>389</v>
      </c>
      <c r="BB227" s="26"/>
      <c r="BC227" s="26" t="s">
        <v>401</v>
      </c>
      <c r="BD227" s="26"/>
      <c r="BE227" s="26" t="s">
        <v>389</v>
      </c>
      <c r="BF227" s="26"/>
      <c r="BG227" s="26"/>
    </row>
    <row r="228" spans="1:59" ht="25.5" customHeight="1" x14ac:dyDescent="0.2">
      <c r="A228" s="23" t="s">
        <v>1301</v>
      </c>
      <c r="B228" s="24">
        <v>4.7680675703290003</v>
      </c>
      <c r="C228" s="24">
        <v>5.0926869016092899</v>
      </c>
      <c r="D228" s="24">
        <v>5.4178518217526701</v>
      </c>
      <c r="E228" s="24">
        <v>5.74169143474737</v>
      </c>
      <c r="F228" s="24">
        <v>6.0597899272825204</v>
      </c>
      <c r="G228" s="24">
        <v>6.7042102440332503</v>
      </c>
      <c r="H228" s="24">
        <v>7.3333333333333304</v>
      </c>
      <c r="I228" s="24">
        <v>7.95</v>
      </c>
      <c r="J228" s="24">
        <v>8.2200000000000006</v>
      </c>
      <c r="K228" s="24">
        <v>6.76</v>
      </c>
      <c r="L228" s="24">
        <v>8.16</v>
      </c>
      <c r="M228" s="24">
        <v>8.68</v>
      </c>
      <c r="N228" s="24">
        <v>8.9499999999999993</v>
      </c>
      <c r="O228" s="24"/>
      <c r="P228" s="24"/>
      <c r="Q228" s="24"/>
      <c r="R228" s="24"/>
      <c r="S228" s="24"/>
      <c r="T228" s="24"/>
      <c r="U228" s="31">
        <v>10.595726418660099</v>
      </c>
      <c r="V228" s="26"/>
      <c r="W228" s="26"/>
      <c r="X228" s="26"/>
      <c r="Y228" s="26"/>
      <c r="Z228" s="26"/>
      <c r="AA228" s="26"/>
      <c r="AB228" s="26"/>
      <c r="AC228" s="26"/>
      <c r="AD228" s="26"/>
      <c r="AE228" s="26"/>
      <c r="AF228" s="26"/>
      <c r="AG228" s="26"/>
      <c r="AH228" s="26"/>
      <c r="AI228" s="26"/>
      <c r="AJ228" s="26"/>
      <c r="AK228" s="26" t="s">
        <v>722</v>
      </c>
      <c r="AL228" s="26"/>
      <c r="AM228" s="26" t="s">
        <v>389</v>
      </c>
      <c r="AN228" s="26"/>
      <c r="AO228" s="26" t="s">
        <v>1302</v>
      </c>
      <c r="AP228" s="26"/>
      <c r="AQ228" s="26" t="s">
        <v>1302</v>
      </c>
      <c r="AR228" s="26"/>
      <c r="AS228" s="26" t="s">
        <v>1302</v>
      </c>
      <c r="AT228" s="26"/>
      <c r="AU228" s="26" t="s">
        <v>389</v>
      </c>
      <c r="AV228" s="26"/>
      <c r="AW228" s="26"/>
      <c r="AX228" s="26"/>
      <c r="AY228" s="26"/>
      <c r="AZ228" s="26"/>
      <c r="BA228" s="26"/>
      <c r="BB228" s="26"/>
      <c r="BC228" s="26"/>
      <c r="BD228" s="26"/>
      <c r="BE228" s="26"/>
      <c r="BF228" s="26"/>
      <c r="BG228" s="26"/>
    </row>
    <row r="229" spans="1:59" ht="25.5" customHeight="1" x14ac:dyDescent="0.2">
      <c r="A229" s="23" t="s">
        <v>164</v>
      </c>
      <c r="B229" s="24">
        <v>8.2500386514310797E-2</v>
      </c>
      <c r="C229" s="24">
        <v>9.0802458716929199E-2</v>
      </c>
      <c r="D229" s="24">
        <v>0.51879603212343495</v>
      </c>
      <c r="E229" s="24">
        <v>0.60473410043182096</v>
      </c>
      <c r="F229" s="24">
        <v>0.88122298867951598</v>
      </c>
      <c r="G229" s="24">
        <v>1.0485979341782601</v>
      </c>
      <c r="H229" s="24">
        <v>1.24782404904485</v>
      </c>
      <c r="I229" s="24">
        <v>5.01</v>
      </c>
      <c r="J229" s="24">
        <v>6.89</v>
      </c>
      <c r="K229" s="24">
        <v>9.9600000000000009</v>
      </c>
      <c r="L229" s="24">
        <v>12.35</v>
      </c>
      <c r="M229" s="24">
        <v>14.904999999999999</v>
      </c>
      <c r="N229" s="24">
        <v>17.4465</v>
      </c>
      <c r="O229" s="24">
        <v>20</v>
      </c>
      <c r="P229" s="24">
        <v>22.55</v>
      </c>
      <c r="Q229" s="24">
        <v>24.085409469999998</v>
      </c>
      <c r="R229" s="24">
        <v>24.579208363621099</v>
      </c>
      <c r="S229" s="24">
        <v>26.718354766297701</v>
      </c>
      <c r="T229" s="24"/>
      <c r="U229" s="31">
        <v>10.595726418660099</v>
      </c>
      <c r="V229" s="26"/>
      <c r="W229" s="26" t="s">
        <v>390</v>
      </c>
      <c r="X229" s="26"/>
      <c r="Y229" s="26" t="s">
        <v>390</v>
      </c>
      <c r="Z229" s="26"/>
      <c r="AA229" s="26" t="s">
        <v>390</v>
      </c>
      <c r="AB229" s="26"/>
      <c r="AC229" s="26" t="s">
        <v>1303</v>
      </c>
      <c r="AD229" s="26"/>
      <c r="AE229" s="26"/>
      <c r="AF229" s="26"/>
      <c r="AG229" s="26" t="s">
        <v>389</v>
      </c>
      <c r="AH229" s="26"/>
      <c r="AI229" s="26" t="s">
        <v>1303</v>
      </c>
      <c r="AJ229" s="26"/>
      <c r="AK229" s="26" t="s">
        <v>1303</v>
      </c>
      <c r="AL229" s="26"/>
      <c r="AM229" s="26" t="s">
        <v>1304</v>
      </c>
      <c r="AN229" s="26"/>
      <c r="AO229" s="26" t="s">
        <v>1304</v>
      </c>
      <c r="AP229" s="26"/>
      <c r="AQ229" s="26" t="s">
        <v>1304</v>
      </c>
      <c r="AR229" s="26"/>
      <c r="AS229" s="26" t="s">
        <v>389</v>
      </c>
      <c r="AT229" s="26"/>
      <c r="AU229" s="26" t="s">
        <v>389</v>
      </c>
      <c r="AV229" s="26"/>
      <c r="AW229" s="26" t="s">
        <v>389</v>
      </c>
      <c r="AX229" s="26"/>
      <c r="AY229" s="26" t="s">
        <v>389</v>
      </c>
      <c r="AZ229" s="26"/>
      <c r="BA229" s="26" t="s">
        <v>389</v>
      </c>
      <c r="BB229" s="26"/>
      <c r="BC229" s="26" t="s">
        <v>389</v>
      </c>
      <c r="BD229" s="26"/>
      <c r="BE229" s="26" t="s">
        <v>389</v>
      </c>
      <c r="BF229" s="26"/>
      <c r="BG229" s="26"/>
    </row>
    <row r="230" spans="1:59" ht="25.5" customHeight="1" x14ac:dyDescent="0.2">
      <c r="A230" s="23" t="s">
        <v>17</v>
      </c>
      <c r="B230" s="24">
        <v>0.19107164250342801</v>
      </c>
      <c r="C230" s="24">
        <v>0.23312955634233201</v>
      </c>
      <c r="D230" s="24">
        <v>0.47775090694748401</v>
      </c>
      <c r="E230" s="24">
        <v>0.98048303942611403</v>
      </c>
      <c r="F230" s="24">
        <v>2.0135495321853298</v>
      </c>
      <c r="G230" s="24">
        <v>2.8517522612900899</v>
      </c>
      <c r="H230" s="24">
        <v>4.1599133939310704</v>
      </c>
      <c r="I230" s="24">
        <v>4.87</v>
      </c>
      <c r="J230" s="24">
        <v>5.55</v>
      </c>
      <c r="K230" s="24">
        <v>6.31</v>
      </c>
      <c r="L230" s="24">
        <v>10</v>
      </c>
      <c r="M230" s="24">
        <v>11.5</v>
      </c>
      <c r="N230" s="24">
        <v>13.4682</v>
      </c>
      <c r="O230" s="24"/>
      <c r="P230" s="24"/>
      <c r="Q230" s="24"/>
      <c r="R230" s="24"/>
      <c r="S230" s="24"/>
      <c r="T230" s="24">
        <v>14.299997095001199</v>
      </c>
      <c r="U230" s="31">
        <v>10.595726418660099</v>
      </c>
      <c r="V230" s="26"/>
      <c r="W230" s="26" t="s">
        <v>1305</v>
      </c>
      <c r="X230" s="26"/>
      <c r="Y230" s="26" t="s">
        <v>1305</v>
      </c>
      <c r="Z230" s="26"/>
      <c r="AA230" s="26" t="s">
        <v>1306</v>
      </c>
      <c r="AB230" s="26"/>
      <c r="AC230" s="26" t="s">
        <v>1306</v>
      </c>
      <c r="AD230" s="26"/>
      <c r="AE230" s="26" t="s">
        <v>1306</v>
      </c>
      <c r="AF230" s="26"/>
      <c r="AG230" s="26" t="s">
        <v>389</v>
      </c>
      <c r="AH230" s="26"/>
      <c r="AI230" s="26" t="s">
        <v>1306</v>
      </c>
      <c r="AJ230" s="26"/>
      <c r="AK230" s="26" t="s">
        <v>1307</v>
      </c>
      <c r="AL230" s="26"/>
      <c r="AM230" s="26" t="s">
        <v>1307</v>
      </c>
      <c r="AN230" s="26"/>
      <c r="AO230" s="26" t="s">
        <v>389</v>
      </c>
      <c r="AP230" s="26"/>
      <c r="AQ230" s="26" t="s">
        <v>1308</v>
      </c>
      <c r="AR230" s="26" t="s">
        <v>1309</v>
      </c>
      <c r="AS230" s="26" t="s">
        <v>1308</v>
      </c>
      <c r="AT230" s="26"/>
      <c r="AU230" s="26" t="s">
        <v>389</v>
      </c>
      <c r="AV230" s="26"/>
      <c r="AW230" s="26"/>
      <c r="AX230" s="26"/>
      <c r="AY230" s="26"/>
      <c r="AZ230" s="26"/>
      <c r="BA230" s="26"/>
      <c r="BB230" s="26"/>
      <c r="BC230" s="26"/>
      <c r="BD230" s="26"/>
      <c r="BE230" s="26"/>
      <c r="BF230" s="26"/>
      <c r="BG230" s="26" t="s">
        <v>1310</v>
      </c>
    </row>
    <row r="231" spans="1:59" ht="25.5" customHeight="1" x14ac:dyDescent="0.2">
      <c r="A231" s="23" t="s">
        <v>49</v>
      </c>
      <c r="B231" s="24">
        <v>0.40143353521158198</v>
      </c>
      <c r="C231" s="24">
        <v>0.79984604563313699</v>
      </c>
      <c r="D231" s="24">
        <v>1.1000000000000001</v>
      </c>
      <c r="E231" s="24">
        <v>1.8</v>
      </c>
      <c r="F231" s="24">
        <v>2.1</v>
      </c>
      <c r="G231" s="24">
        <v>2.4</v>
      </c>
      <c r="H231" s="24">
        <v>2.4</v>
      </c>
      <c r="I231" s="24">
        <v>3</v>
      </c>
      <c r="J231" s="24">
        <v>3.5</v>
      </c>
      <c r="K231" s="24">
        <v>4</v>
      </c>
      <c r="L231" s="24">
        <v>6.4</v>
      </c>
      <c r="M231" s="24">
        <v>8.4</v>
      </c>
      <c r="N231" s="24">
        <v>12</v>
      </c>
      <c r="O231" s="24">
        <v>15.5</v>
      </c>
      <c r="P231" s="24">
        <v>16.3647399572904</v>
      </c>
      <c r="Q231" s="24">
        <v>22.7428181020497</v>
      </c>
      <c r="R231" s="24">
        <v>23.11998904</v>
      </c>
      <c r="S231" s="24">
        <v>27.055487687833601</v>
      </c>
      <c r="T231" s="24"/>
      <c r="U231" s="31"/>
      <c r="V231" s="26"/>
      <c r="W231" s="26" t="s">
        <v>1311</v>
      </c>
      <c r="X231" s="26"/>
      <c r="Y231" s="26" t="s">
        <v>1311</v>
      </c>
      <c r="Z231" s="26"/>
      <c r="AA231" s="26" t="s">
        <v>389</v>
      </c>
      <c r="AB231" s="26"/>
      <c r="AC231" s="26" t="s">
        <v>389</v>
      </c>
      <c r="AD231" s="26"/>
      <c r="AE231" s="26" t="s">
        <v>389</v>
      </c>
      <c r="AF231" s="26"/>
      <c r="AG231" s="26" t="s">
        <v>389</v>
      </c>
      <c r="AH231" s="26"/>
      <c r="AI231" s="26" t="s">
        <v>389</v>
      </c>
      <c r="AJ231" s="26"/>
      <c r="AK231" s="26" t="s">
        <v>389</v>
      </c>
      <c r="AL231" s="26"/>
      <c r="AM231" s="26" t="s">
        <v>389</v>
      </c>
      <c r="AN231" s="26"/>
      <c r="AO231" s="26" t="s">
        <v>389</v>
      </c>
      <c r="AP231" s="26"/>
      <c r="AQ231" s="26" t="s">
        <v>389</v>
      </c>
      <c r="AR231" s="26"/>
      <c r="AS231" s="26" t="s">
        <v>389</v>
      </c>
      <c r="AT231" s="26"/>
      <c r="AU231" s="26" t="s">
        <v>389</v>
      </c>
      <c r="AV231" s="26"/>
      <c r="AW231" s="26" t="s">
        <v>389</v>
      </c>
      <c r="AX231" s="26" t="s">
        <v>867</v>
      </c>
      <c r="AY231" s="26" t="s">
        <v>1312</v>
      </c>
      <c r="AZ231" s="26"/>
      <c r="BA231" s="26" t="s">
        <v>401</v>
      </c>
      <c r="BB231" s="26"/>
      <c r="BC231" s="26" t="s">
        <v>401</v>
      </c>
      <c r="BD231" s="26"/>
      <c r="BE231" s="26" t="s">
        <v>389</v>
      </c>
      <c r="BF231" s="26"/>
      <c r="BG231" s="26"/>
    </row>
  </sheetData>
  <mergeCells count="3">
    <mergeCell ref="A1:A2"/>
    <mergeCell ref="B1:S1"/>
    <mergeCell ref="V1:BE1"/>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P251"/>
  <sheetViews>
    <sheetView zoomScale="70" zoomScaleNormal="70" workbookViewId="0">
      <pane xSplit="1" ySplit="1" topLeftCell="B2" activePane="bottomRight" state="frozen"/>
      <selection pane="topRight" activeCell="B1" sqref="B1"/>
      <selection pane="bottomLeft" activeCell="A2" sqref="A2"/>
      <selection pane="bottomRight" activeCell="C65" sqref="C65"/>
    </sheetView>
  </sheetViews>
  <sheetFormatPr baseColWidth="10" defaultColWidth="21.33203125" defaultRowHeight="15" x14ac:dyDescent="0.2"/>
  <cols>
    <col min="1" max="1" width="21.33203125" style="1"/>
    <col min="2" max="3" width="16.5" style="1" bestFit="1" customWidth="1"/>
    <col min="4" max="11" width="15.5" style="1" bestFit="1" customWidth="1"/>
    <col min="12" max="13" width="14" style="1" bestFit="1" customWidth="1"/>
    <col min="14" max="14" width="15.5" style="1" bestFit="1" customWidth="1"/>
    <col min="15" max="16" width="14" style="1" bestFit="1" customWidth="1"/>
    <col min="17" max="17" width="15.5" style="1" bestFit="1" customWidth="1"/>
    <col min="18" max="21" width="14" style="1" bestFit="1" customWidth="1"/>
    <col min="22" max="22" width="12.83203125" style="1" bestFit="1" customWidth="1"/>
    <col min="23" max="23" width="14" style="1" bestFit="1" customWidth="1"/>
    <col min="24" max="24" width="12.83203125" style="1" bestFit="1" customWidth="1"/>
    <col min="25" max="26" width="14" style="1" bestFit="1" customWidth="1"/>
    <col min="27" max="30" width="12.83203125" style="1" bestFit="1" customWidth="1"/>
    <col min="31" max="31" width="11.83203125" style="1" bestFit="1" customWidth="1"/>
    <col min="32" max="32" width="12.83203125" style="1" bestFit="1" customWidth="1"/>
    <col min="33" max="34" width="11.83203125" style="1" bestFit="1" customWidth="1"/>
    <col min="35" max="36" width="12.83203125" style="1" bestFit="1" customWidth="1"/>
    <col min="37" max="41" width="11.83203125" style="1" bestFit="1" customWidth="1"/>
    <col min="42" max="42" width="12.83203125" style="1" bestFit="1" customWidth="1"/>
    <col min="43" max="44" width="11.83203125" style="1" bestFit="1" customWidth="1"/>
    <col min="45" max="47" width="10.33203125" style="1" bestFit="1" customWidth="1"/>
    <col min="48" max="48" width="11.83203125" style="1" bestFit="1" customWidth="1"/>
    <col min="49" max="49" width="10.33203125" style="1" bestFit="1" customWidth="1"/>
    <col min="50" max="50" width="12" style="1" bestFit="1" customWidth="1"/>
    <col min="51" max="51" width="10.33203125" style="1" bestFit="1" customWidth="1"/>
    <col min="52" max="52" width="12" style="1" bestFit="1" customWidth="1"/>
    <col min="53" max="53" width="10.33203125" style="1" bestFit="1" customWidth="1"/>
    <col min="54" max="54" width="12" style="1" bestFit="1" customWidth="1"/>
    <col min="55" max="55" width="9.33203125" style="1" bestFit="1" customWidth="1"/>
    <col min="56" max="56" width="12" style="1" bestFit="1" customWidth="1"/>
    <col min="57" max="57" width="9.33203125" style="1" bestFit="1" customWidth="1"/>
    <col min="58" max="58" width="12" style="1" bestFit="1" customWidth="1"/>
    <col min="59" max="59" width="9.33203125" style="1" bestFit="1" customWidth="1"/>
    <col min="60" max="60" width="12" style="1" bestFit="1" customWidth="1"/>
    <col min="61" max="61" width="9.33203125" style="1" bestFit="1" customWidth="1"/>
    <col min="62" max="62" width="12" style="1" bestFit="1" customWidth="1"/>
    <col min="63" max="63" width="9.33203125" style="1" bestFit="1" customWidth="1"/>
    <col min="64" max="64" width="12" style="1" bestFit="1" customWidth="1"/>
    <col min="65" max="65" width="9.33203125" style="1" bestFit="1" customWidth="1"/>
    <col min="66" max="66" width="12" style="1" bestFit="1" customWidth="1"/>
    <col min="67" max="68" width="8.5" style="1" bestFit="1" customWidth="1"/>
    <col min="69" max="16384" width="21.33203125" style="1"/>
  </cols>
  <sheetData>
    <row r="1" spans="1:68" s="3" customFormat="1" ht="79.5" customHeight="1" x14ac:dyDescent="0.2">
      <c r="A1" s="2" t="s">
        <v>0</v>
      </c>
      <c r="B1" s="3" t="s">
        <v>254</v>
      </c>
      <c r="C1" s="3" t="s">
        <v>255</v>
      </c>
      <c r="D1" s="3" t="s">
        <v>256</v>
      </c>
      <c r="E1" s="3" t="s">
        <v>257</v>
      </c>
      <c r="F1" s="3" t="s">
        <v>258</v>
      </c>
      <c r="G1" s="3" t="s">
        <v>259</v>
      </c>
      <c r="H1" s="3" t="s">
        <v>260</v>
      </c>
      <c r="I1" s="3" t="s">
        <v>261</v>
      </c>
      <c r="J1" s="3" t="s">
        <v>262</v>
      </c>
      <c r="K1" s="3" t="s">
        <v>263</v>
      </c>
      <c r="L1" s="3" t="s">
        <v>264</v>
      </c>
      <c r="M1" s="3" t="s">
        <v>265</v>
      </c>
      <c r="N1" s="3" t="s">
        <v>266</v>
      </c>
      <c r="O1" s="3" t="s">
        <v>267</v>
      </c>
      <c r="P1" s="3" t="s">
        <v>268</v>
      </c>
      <c r="Q1" s="3" t="s">
        <v>269</v>
      </c>
      <c r="R1" s="3" t="s">
        <v>270</v>
      </c>
      <c r="S1" s="3" t="s">
        <v>271</v>
      </c>
      <c r="T1" s="3" t="s">
        <v>272</v>
      </c>
      <c r="U1" s="3" t="s">
        <v>273</v>
      </c>
      <c r="V1" s="3" t="s">
        <v>274</v>
      </c>
      <c r="W1" s="3" t="s">
        <v>275</v>
      </c>
      <c r="X1" s="3" t="s">
        <v>276</v>
      </c>
      <c r="Y1" s="3" t="s">
        <v>277</v>
      </c>
      <c r="Z1" s="3" t="s">
        <v>278</v>
      </c>
      <c r="AA1" s="3" t="s">
        <v>279</v>
      </c>
      <c r="AB1" s="3" t="s">
        <v>280</v>
      </c>
      <c r="AC1" s="3" t="s">
        <v>281</v>
      </c>
      <c r="AD1" s="3" t="s">
        <v>282</v>
      </c>
      <c r="AE1" s="3" t="s">
        <v>283</v>
      </c>
      <c r="AF1" s="3" t="s">
        <v>284</v>
      </c>
      <c r="AG1" s="3" t="s">
        <v>285</v>
      </c>
      <c r="AH1" s="3" t="s">
        <v>286</v>
      </c>
      <c r="AI1" s="3" t="s">
        <v>287</v>
      </c>
      <c r="AJ1" s="3" t="s">
        <v>288</v>
      </c>
      <c r="AK1" s="3" t="s">
        <v>289</v>
      </c>
      <c r="AL1" s="3" t="s">
        <v>290</v>
      </c>
      <c r="AM1" s="3" t="s">
        <v>291</v>
      </c>
      <c r="AN1" s="3" t="s">
        <v>292</v>
      </c>
      <c r="AO1" s="3" t="s">
        <v>293</v>
      </c>
      <c r="AP1" s="3" t="s">
        <v>294</v>
      </c>
      <c r="AQ1" s="3" t="s">
        <v>295</v>
      </c>
      <c r="AR1" s="3" t="s">
        <v>296</v>
      </c>
      <c r="AS1" s="3" t="s">
        <v>297</v>
      </c>
      <c r="AT1" s="3" t="s">
        <v>298</v>
      </c>
      <c r="AU1" s="3" t="s">
        <v>299</v>
      </c>
      <c r="AV1" s="3" t="s">
        <v>300</v>
      </c>
      <c r="AW1" s="3" t="s">
        <v>301</v>
      </c>
      <c r="AX1" s="3" t="s">
        <v>302</v>
      </c>
      <c r="AY1" s="3" t="s">
        <v>303</v>
      </c>
      <c r="AZ1" s="3" t="s">
        <v>304</v>
      </c>
      <c r="BA1" s="3" t="s">
        <v>305</v>
      </c>
      <c r="BB1" s="3" t="s">
        <v>306</v>
      </c>
      <c r="BC1" s="3" t="s">
        <v>307</v>
      </c>
      <c r="BD1" s="3" t="s">
        <v>308</v>
      </c>
      <c r="BE1" s="3" t="s">
        <v>309</v>
      </c>
      <c r="BF1" s="3" t="s">
        <v>310</v>
      </c>
      <c r="BG1" s="3" t="s">
        <v>311</v>
      </c>
      <c r="BH1" s="3" t="s">
        <v>312</v>
      </c>
      <c r="BI1" s="3" t="s">
        <v>313</v>
      </c>
      <c r="BJ1" s="3" t="s">
        <v>314</v>
      </c>
      <c r="BK1" s="3" t="s">
        <v>315</v>
      </c>
      <c r="BL1" s="3" t="s">
        <v>316</v>
      </c>
      <c r="BM1" s="3" t="s">
        <v>317</v>
      </c>
      <c r="BN1" s="3" t="s">
        <v>318</v>
      </c>
      <c r="BO1" s="3" t="s">
        <v>319</v>
      </c>
      <c r="BP1" s="3" t="s">
        <v>320</v>
      </c>
    </row>
    <row r="2" spans="1:68" x14ac:dyDescent="0.2">
      <c r="A2" s="1" t="s">
        <v>4</v>
      </c>
      <c r="B2" s="1">
        <f>VLOOKUP(A2,[3]geoMap!$A:$B,2,0)*Notes!$C$6</f>
        <v>100000</v>
      </c>
      <c r="C2" s="1">
        <f>B2/VLOOKUP(A2,'[4]geoMap (1)'!$A:$B,2,0)*VLOOKUP(A2,'[4]geoMap (1)'!$A:$C,3,0)</f>
        <v>170270.2702702703</v>
      </c>
      <c r="D2" s="1">
        <f>C2/VLOOKUP(A2,'[5]geoMap (2)'!$A:$B,2,0)*VLOOKUP(A2,'[5]geoMap (2)'!$A:$C,3,0)</f>
        <v>87714.987714987728</v>
      </c>
      <c r="E2" s="1">
        <f>D2/VLOOKUP(A2,'[6]geoMap (3)'!$A:$B,2,0)*VLOOKUP(A2,'[6]geoMap (3)'!$A:$C,3,0)</f>
        <v>26200.580746035295</v>
      </c>
      <c r="F2" s="1">
        <f>E2/VLOOKUP(A2,'[7]geoMap (4)'!$A:$B,2,0)*VLOOKUP(A2,'[7]geoMap (4)'!$A:$C,3,0)</f>
        <v>26200.580746035295</v>
      </c>
      <c r="G2" s="1">
        <f>F2/VLOOKUP(A2,'[8]geoMap (5)'!$A:$B,2,0)*VLOOKUP(A2,'[8]geoMap (5)'!$A:$C,3,0)</f>
        <v>58317.42166053017</v>
      </c>
      <c r="H2" s="1">
        <f>G2/VLOOKUP(A2,'[9]geoMap (6)'!$A:$B,2,0)*VLOOKUP(A2,'[9]geoMap (6)'!$A:$C,3,0)</f>
        <v>43993.844410575395</v>
      </c>
      <c r="I2" s="1">
        <f>H2/VLOOKUP(A2,'[10]geoMap (7)'!$A:$B,2,0)*VLOOKUP(A2,'[10]geoMap (7)'!$A:$C,3,0)</f>
        <v>37476.237831230894</v>
      </c>
      <c r="J2" s="1">
        <f>I2/VLOOKUP(A2,'[11]geoMap (8)'!$A:$B,2,0)*VLOOKUP(A2,'[11]geoMap (8)'!$A:$C,3,0)</f>
        <v>13861.074266345675</v>
      </c>
      <c r="K2" s="1">
        <f>J2/VLOOKUP(A2,'[12]geoMap (9)'!$A:$B,2,0)*VLOOKUP(A2,'[12]geoMap (9)'!$A:$C,3,0)</f>
        <v>19141.483510667837</v>
      </c>
      <c r="L2" s="1">
        <f>K2/VLOOKUP(A2,'[13]geoMap (10)'!$A:$B,2,0)*VLOOKUP(A2,'[13]geoMap (10)'!$A:$C,3,0)</f>
        <v>8203.4929331433577</v>
      </c>
      <c r="M2" s="1">
        <f>L2/VLOOKUP(A2,'[14]geoMap (11)'!$A:$B,2,0)*VLOOKUP(A2,'[14]geoMap (11)'!$A:$C,3,0)</f>
        <v>7881.7873279220494</v>
      </c>
      <c r="N2" s="1">
        <f>M2/VLOOKUP(A2,'[15]geoMap (12)'!$A:$B,2,0)*VLOOKUP(A2,'[15]geoMap (12)'!$A:$C,3,0)</f>
        <v>16002.416696084161</v>
      </c>
      <c r="O2" s="1">
        <f>N2/VLOOKUP(A2,'[16]geoMap (13)'!$A:$B,2,0)*VLOOKUP(A2,'[16]geoMap (13)'!$A:$C,3,0)</f>
        <v>7530.5490334513688</v>
      </c>
      <c r="P2" s="1">
        <f>O2/VLOOKUP(A2,'[17]geoMap (14)'!$A:$B,2,0)*VLOOKUP(A2,'[17]geoMap (14)'!$A:$C,3,0)</f>
        <v>1766.4250819206911</v>
      </c>
      <c r="Q2" s="1">
        <f>P2/VLOOKUP(A2,'[18]geoMap (15)'!$A:$B,2,0)*VLOOKUP(A2,'[18]geoMap (15)'!$A:$C,3,0)</f>
        <v>12953.783934085068</v>
      </c>
      <c r="R2" s="1">
        <f>Q2/VLOOKUP(A2,'[19]geoMap (16)'!$A:$B,2,0)*VLOOKUP(A2,'[19]geoMap (16)'!$A:$C,3,0)</f>
        <v>9772.152792379964</v>
      </c>
      <c r="S2" s="1">
        <f>R2/VLOOKUP(A2,'[20]geoMap (17)'!$A:$B,2,0)*VLOOKUP(A2,'[20]geoMap (17)'!$A:$C,3,0)</f>
        <v>3085.9429870673571</v>
      </c>
      <c r="T2" s="1">
        <f>S2/VLOOKUP(A2,'[21]geoMap (18)'!$A:$B,2,0)*VLOOKUP(A2,'[21]geoMap (18)'!$A:$C,3,0)</f>
        <v>3085.9429870673571</v>
      </c>
      <c r="U2" s="1">
        <f>T2/VLOOKUP(A2,'[22]geoMap (19)'!$A:$B,2,0)*VLOOKUP(A2,'[22]geoMap (19)'!$A:$C,3,0)</f>
        <v>1812.3792146268604</v>
      </c>
      <c r="V2" s="1">
        <f>U2/VLOOKUP(A2,'[23]geoMap (20)'!$A:$B,2,0)*VLOOKUP(A2,'[23]geoMap (20)'!$A:$C,3,0)</f>
        <v>247.14262017639004</v>
      </c>
      <c r="W2" s="1">
        <f>V2/VLOOKUP(A2,'[24]geoMap (21)'!$A:$B,2,0)*VLOOKUP(A2,'[24]geoMap (21)'!$A:$C,3,0)</f>
        <v>2224.2835815875105</v>
      </c>
      <c r="X2" s="1">
        <f>W2/VLOOKUP(A2,'[25]geoMap (22)'!$A:$B,2,0)*VLOOKUP(A2,'[25]geoMap (22)'!$A:$C,3,0)</f>
        <v>822.68022880633953</v>
      </c>
      <c r="Y2" s="1">
        <f>X2/VLOOKUP(A2,'[26]geoMap (23)'!$A:$B,2,0)*VLOOKUP(A2,'[26]geoMap (23)'!$A:$C,3,0)</f>
        <v>1090.5296056270081</v>
      </c>
      <c r="Z2" s="1">
        <f>Y2/VLOOKUP(A2,'[27]geoMap (24)'!$A:$B,2,0)*VLOOKUP(A2,'[27]geoMap (24)'!$A:$C,3,0)</f>
        <v>1445.5857562962665</v>
      </c>
      <c r="AA2" s="1">
        <f>Z2/VLOOKUP(A2,'[28]geoMap (25)'!$A:$B,2,0)*VLOOKUP(A2,'[28]geoMap (25)'!$A:$C,3,0)</f>
        <v>712.00492474293719</v>
      </c>
      <c r="AB2" s="1">
        <f>AA2*VLOOKUP(A2,'[29]geoMap (26)'!$A:$B,2,0)*VLOOKUP(A2,'[29]geoMap (26)'!$A:$C,3,0)</f>
        <v>159.77390511231513</v>
      </c>
      <c r="AC2" s="1">
        <f>AB2/VLOOKUP(A2,'[30]geoMap (27)'!$A:$B,2,0)*VLOOKUP(A2,'[30]geoMap (27)'!$A:$C,3,0)</f>
        <v>180.17057385005754</v>
      </c>
      <c r="AD2" s="1">
        <f>AC2/VLOOKUP(A2,'[31]geoMap (28)'!$A:$B,2,0)*VLOOKUP(A2,'[31]geoMap (28)'!$A:$C,3,0)</f>
        <v>259.26985017447305</v>
      </c>
      <c r="AE2" s="1">
        <f>AD2/VLOOKUP(A2,'[32]geoMap (29)'!$A:$B,2,0)*VLOOKUP(A2,'[32]geoMap (29)'!$A:$C,3,0)</f>
        <v>60.816384608827008</v>
      </c>
      <c r="AF2" s="1">
        <f>AE2/VLOOKUP(A2,'[33]geoMap (30)'!$A:$B,2,0)*VLOOKUP(A2,'[33]geoMap (30)'!$A:$C,3,0)</f>
        <v>277.05241877354524</v>
      </c>
      <c r="AG2" s="1">
        <f>AF2/VLOOKUP(A2,'[34]geoMap (31)'!$A:$B,2,0)*VLOOKUP(A2,'[34]geoMap (31)'!$A:$C,3,0)</f>
        <v>17.684196942992251</v>
      </c>
      <c r="AH2" s="1">
        <f>AG2/VLOOKUP(A2,'[35]geoMap (32)'!$A:$B,2,0)*VLOOKUP(A2,'[35]geoMap (32)'!$A:$C,3,0)</f>
        <v>19.941753999544453</v>
      </c>
      <c r="AI2" s="1">
        <f>AH2/VLOOKUP(A2,'[36]geoMap (33)'!$A:$B,2,0)*VLOOKUP(A2,'[36]geoMap (33)'!$A:$C,3,0)</f>
        <v>179.47578599590005</v>
      </c>
      <c r="AJ2" s="1">
        <f>AI2/VLOOKUP(A2,'[37]geoMap (34)'!$A:$B,2,0)*VLOOKUP(A2,'[37]geoMap (34)'!$A:$C,3,0)</f>
        <v>129.96522434185866</v>
      </c>
      <c r="AK2" s="1">
        <f>AJ2/VLOOKUP(A2,'[38]geoMap (35)'!$A:$B,2,0)*VLOOKUP(A2,'[38]geoMap (35)'!$A:$C,3,0)</f>
        <v>98.04394117017408</v>
      </c>
      <c r="AL2" s="1">
        <f>AK2/VLOOKUP(A2,'[39]geoMap (36)'!$A:$B,2,0)*VLOOKUP(A2,'[39]geoMap (36)'!$A:$C,3,0)</f>
        <v>12.117790481706908</v>
      </c>
      <c r="AM2" s="1">
        <f>AL2/VLOOKUP(A2,'[40]geoMap (37)'!$A:$B,2,0)*VLOOKUP(A2,'[40]geoMap (37)'!$A:$C,3,0)</f>
        <v>81.095982454500074</v>
      </c>
      <c r="AN2" s="1">
        <f>AM2/VLOOKUP(A2,'[41]geoMap (38)'!$A:$B,2,0)*VLOOKUP(A2,'[41]geoMap (38)'!$A:$C,3,0)</f>
        <v>77.915747848441242</v>
      </c>
      <c r="AO2" s="1">
        <f>AN2/VLOOKUP(A2,'[42]geoMap (39)'!$A:$B,2,0)*VLOOKUP(A2,'[42]geoMap (39)'!$A:$C,3,0)</f>
        <v>58.778546622508308</v>
      </c>
      <c r="AP2" s="1">
        <f>AO2/VLOOKUP(A2,'[43]geoMap (40)'!$A:$B,2,0)*VLOOKUP(A2,'[43]geoMap (40)'!$A:$C,3,0)</f>
        <v>130.82966828880882</v>
      </c>
      <c r="AQ2" s="1">
        <f>AP2/VLOOKUP(A2,'[44]geoMap (41)'!$A:$B,2,0)*VLOOKUP(A2,'[44]geoMap (41)'!$A:$C,3,0)</f>
        <v>14.536629809867646</v>
      </c>
      <c r="AR2" s="1">
        <f>AQ2/VLOOKUP(A2,'[45]geoMap (42)'!$A:$B,2,0)*VLOOKUP(A2,'[45]geoMap (42)'!$A:$C,3,0)</f>
        <v>30.890338345968747</v>
      </c>
      <c r="AS2" s="1">
        <f>AR2/VLOOKUP(A2,'[46]geoMap (43)'!$A:$B,2,0)*VLOOKUP(A2,'[46]geoMap (43)'!$A:$C,3,0)</f>
        <v>5.4512361787003671</v>
      </c>
      <c r="AT2" s="1">
        <f>AS2/VLOOKUP(A2,'[47]geoMap (44)'!$A:$B,2,0)*VLOOKUP(A2,'[47]geoMap (44)'!$A:$C,3,0)</f>
        <v>6.3992772532569528</v>
      </c>
      <c r="AU2" s="1">
        <f>AT2/VLOOKUP(A2,'[48]geoMap (45)'!$A:$B,2,0)*VLOOKUP(A2,'[48]geoMap (45)'!$A:$C,3,0)</f>
        <v>5.9070251568525709</v>
      </c>
      <c r="AV2" s="1">
        <f>AU2/VLOOKUP(A2,'[49]geoMap (46)'!$A:$B,2,0)*VLOOKUP(A2,'[49]geoMap (46)'!$A:$C,3,0)</f>
        <v>18.705579663366475</v>
      </c>
      <c r="AW2" s="1" t="e">
        <f>AV2/VLOOKUP(A2,'[50]geoMap (47)'!$A:$B,2,0)*VLOOKUP(A2,'[50]geoMap (47)'!$A:$C,3,0)</f>
        <v>#REF!</v>
      </c>
      <c r="AX2" s="4" t="e">
        <f>AW2/VLOOKUP(A2,'[51]geoMap (48)'!$A:$B,2,0)*VLOOKUP(A2,'[51]geoMap (48)'!$A:$C,3,0)</f>
        <v>#REF!</v>
      </c>
      <c r="AY2" s="1" t="e">
        <f>AX2/VLOOKUP(A2,'[52]geoMap (49)'!$A:$B,2,0)*VLOOKUP(A2,'[52]geoMap (49)'!$A:$C,3,0)</f>
        <v>#REF!</v>
      </c>
      <c r="AZ2" s="4" t="e">
        <f>AY2/VLOOKUP(A2,'[53]geoMap (50)'!$A:$B,2,0)*VLOOKUP(A2,'[53]geoMap (50)'!$A:$C,3,0)</f>
        <v>#REF!</v>
      </c>
      <c r="BA2" s="1" t="e">
        <f>AZ2/VLOOKUP(A2,'[54]geoMap (51)'!$A:$B,2,0)*VLOOKUP(A2,'[54]geoMap (51)'!$A:$C,3,0)</f>
        <v>#REF!</v>
      </c>
      <c r="BB2" s="4" t="e">
        <f>BA2/VLOOKUP(A2,'[55]geoMap (52)'!$A:$B,2,0)*VLOOKUP(A2,'[55]geoMap (52)'!$A:$C,3,0)</f>
        <v>#REF!</v>
      </c>
      <c r="BC2" s="1" t="e">
        <f>BB2/VLOOKUP(A2,'[56]geoMap (53)'!$A:$B,2,0)*VLOOKUP(A2,'[56]geoMap (53)'!$A:$C,3,0)</f>
        <v>#REF!</v>
      </c>
      <c r="BD2" s="4" t="e">
        <f>BC2/VLOOKUP(A2,'[57]geoMap (54)'!$A:$B,2,0)*VLOOKUP(A2,'[57]geoMap (54)'!$A:$C,3,0)</f>
        <v>#REF!</v>
      </c>
      <c r="BE2" s="1" t="e">
        <f>BD2/VLOOKUP(A2,'[58]geoMap (55)'!$A:$B,2,0)*VLOOKUP(A2,'[58]geoMap (55)'!$A:$C,3,0)</f>
        <v>#REF!</v>
      </c>
      <c r="BF2" s="4" t="e">
        <f>BE2/VLOOKUP(A2,'[59]geoMap (56)'!$A:$B,2,0)*VLOOKUP(A2,'[59]geoMap (56)'!$A:$C,3,0)</f>
        <v>#REF!</v>
      </c>
      <c r="BG2" s="1" t="e">
        <f>BF2/VLOOKUP(A2,'[60]geoMap (57)'!$A:$B,2,0)*VLOOKUP(A2,'[60]geoMap (57)'!$A:$C,3,0)</f>
        <v>#REF!</v>
      </c>
      <c r="BH2" s="4" t="e">
        <f>BG2/VLOOKUP(A2,'[61]geoMap (58)'!$A:$B,2,0)*VLOOKUP(A2,'[61]geoMap (58)'!$A:$C,3,0)</f>
        <v>#REF!</v>
      </c>
      <c r="BI2" s="1" t="e">
        <f>BH2/VLOOKUP(A2,'[62]geoMap (59)'!$A:$B,2,0)*VLOOKUP(A2,'[62]geoMap (59)'!$A:$C,3,0)</f>
        <v>#REF!</v>
      </c>
      <c r="BJ2" s="4" t="e">
        <f>BI2/VLOOKUP(A2,'[63]geoMap (60)'!$A:$B,2,0)*VLOOKUP(A2,'[63]geoMap (60)'!$A:$C,3,0)</f>
        <v>#REF!</v>
      </c>
      <c r="BK2" s="1" t="e">
        <f>BJ2/VLOOKUP(A2,'[64]geoMap (61)'!$A:$B,2,0)*VLOOKUP(A2,'[64]geoMap (61)'!$A:$C,3,0)</f>
        <v>#REF!</v>
      </c>
      <c r="BL2" s="4" t="e">
        <f>BK2/VLOOKUP(A2,'[65]geoMap (62)'!$A:$B,2,0)*VLOOKUP(A2,'[65]geoMap (62)'!$A:$C,3,0)</f>
        <v>#REF!</v>
      </c>
      <c r="BM2" s="1" t="e">
        <f>BL2/VLOOKUP(A2,'[66]geoMap (63)'!$A:$B,2,0)*VLOOKUP(A2,'[66]geoMap (63)'!$A:$C,3,0)</f>
        <v>#REF!</v>
      </c>
      <c r="BN2" s="4" t="e">
        <f>BM2/VLOOKUP(A2,'[67]geoMap (64)'!$A:$B,2,0)*VLOOKUP(A2,'[67]geoMap (64)'!$A:$C,3,0)</f>
        <v>#REF!</v>
      </c>
      <c r="BO2" s="1" t="e">
        <f>BN2/VLOOKUP(A2,'[68]geoMap (65)'!$A:$B,2,0)*VLOOKUP(A2,'[68]geoMap (65)'!$A:$C,3,0)</f>
        <v>#REF!</v>
      </c>
      <c r="BP2" s="4" t="e">
        <f>BO2/VLOOKUP(A2,'[69]geoMap (66)'!$A:$B,2,0)*VLOOKUP(A2,'[69]geoMap (66)'!$A:$C,3,0)</f>
        <v>#REF!</v>
      </c>
    </row>
    <row r="3" spans="1:68" x14ac:dyDescent="0.2">
      <c r="A3" s="1" t="s">
        <v>9</v>
      </c>
      <c r="B3" s="1">
        <f>VLOOKUP(A3,[3]geoMap!$A:$B,2,0)*Notes!$C$6</f>
        <v>25000</v>
      </c>
      <c r="C3" s="1" t="e">
        <f>B3/VLOOKUP(A3,'[4]geoMap (1)'!$A:$B,2,0)*VLOOKUP(A3,'[4]geoMap (1)'!$A:$C,3,0)</f>
        <v>#DIV/0!</v>
      </c>
      <c r="D3" s="1" t="e">
        <f>C3/VLOOKUP(A3,'[5]geoMap (2)'!$A:$B,2,0)*VLOOKUP(A3,'[5]geoMap (2)'!$A:$C,3,0)</f>
        <v>#DIV/0!</v>
      </c>
      <c r="E3" s="1" t="e">
        <f>D3/VLOOKUP(A3,'[6]geoMap (3)'!$A:$B,2,0)*VLOOKUP(A3,'[6]geoMap (3)'!$A:$C,3,0)</f>
        <v>#DIV/0!</v>
      </c>
      <c r="F3" s="1" t="e">
        <f>E3/VLOOKUP(A3,'[7]geoMap (4)'!$A:$B,2,0)*VLOOKUP(A3,'[7]geoMap (4)'!$A:$C,3,0)</f>
        <v>#DIV/0!</v>
      </c>
      <c r="G3" s="1" t="e">
        <f>F3/VLOOKUP(A3,'[8]geoMap (5)'!$A:$B,2,0)*VLOOKUP(A3,'[8]geoMap (5)'!$A:$C,3,0)</f>
        <v>#DIV/0!</v>
      </c>
      <c r="H3" s="1" t="e">
        <f>G3/VLOOKUP(A3,'[9]geoMap (6)'!$A:$B,2,0)*VLOOKUP(A3,'[9]geoMap (6)'!$A:$C,3,0)</f>
        <v>#DIV/0!</v>
      </c>
      <c r="I3" s="1" t="e">
        <f>H3/VLOOKUP(A3,'[10]geoMap (7)'!$A:$B,2,0)*VLOOKUP(A3,'[10]geoMap (7)'!$A:$C,3,0)</f>
        <v>#DIV/0!</v>
      </c>
      <c r="J3" s="1" t="e">
        <f>I3/VLOOKUP(A3,'[11]geoMap (8)'!$A:$B,2,0)*VLOOKUP(A3,'[11]geoMap (8)'!$A:$C,3,0)</f>
        <v>#DIV/0!</v>
      </c>
      <c r="K3" s="1" t="e">
        <f>J3/VLOOKUP(A3,'[12]geoMap (9)'!$A:$B,2,0)*VLOOKUP(A3,'[12]geoMap (9)'!$A:$C,3,0)</f>
        <v>#DIV/0!</v>
      </c>
      <c r="L3" s="1" t="e">
        <f>K3/VLOOKUP(A3,'[13]geoMap (10)'!$A:$B,2,0)*VLOOKUP(A3,'[13]geoMap (10)'!$A:$C,3,0)</f>
        <v>#DIV/0!</v>
      </c>
      <c r="M3" s="1" t="e">
        <f>L3/VLOOKUP(A3,'[14]geoMap (11)'!$A:$B,2,0)*VLOOKUP(A3,'[14]geoMap (11)'!$A:$C,3,0)</f>
        <v>#DIV/0!</v>
      </c>
      <c r="N3" s="1" t="e">
        <f>M3/VLOOKUP(A3,'[15]geoMap (12)'!$A:$B,2,0)*VLOOKUP(A3,'[15]geoMap (12)'!$A:$C,3,0)</f>
        <v>#DIV/0!</v>
      </c>
      <c r="O3" s="1" t="e">
        <f>N3/VLOOKUP(A3,'[16]geoMap (13)'!$A:$B,2,0)*VLOOKUP(A3,'[16]geoMap (13)'!$A:$C,3,0)</f>
        <v>#DIV/0!</v>
      </c>
      <c r="P3" s="1" t="e">
        <f>O3/VLOOKUP(A3,'[17]geoMap (14)'!$A:$B,2,0)*VLOOKUP(A3,'[17]geoMap (14)'!$A:$C,3,0)</f>
        <v>#DIV/0!</v>
      </c>
      <c r="Q3" s="1" t="e">
        <f>P3/VLOOKUP(A3,'[18]geoMap (15)'!$A:$B,2,0)*VLOOKUP(A3,'[18]geoMap (15)'!$A:$C,3,0)</f>
        <v>#DIV/0!</v>
      </c>
      <c r="R3" s="1" t="e">
        <f>Q3/VLOOKUP(A3,'[19]geoMap (16)'!$A:$B,2,0)*VLOOKUP(A3,'[19]geoMap (16)'!$A:$C,3,0)</f>
        <v>#DIV/0!</v>
      </c>
      <c r="S3" s="1" t="e">
        <f>R3/VLOOKUP(A3,'[20]geoMap (17)'!$A:$B,2,0)*VLOOKUP(A3,'[20]geoMap (17)'!$A:$C,3,0)</f>
        <v>#DIV/0!</v>
      </c>
      <c r="T3" s="1" t="e">
        <f>S3/VLOOKUP(A3,'[21]geoMap (18)'!$A:$B,2,0)*VLOOKUP(A3,'[21]geoMap (18)'!$A:$C,3,0)</f>
        <v>#DIV/0!</v>
      </c>
      <c r="U3" s="1" t="e">
        <f>T3/VLOOKUP(A3,'[22]geoMap (19)'!$A:$B,2,0)*VLOOKUP(A3,'[22]geoMap (19)'!$A:$C,3,0)</f>
        <v>#DIV/0!</v>
      </c>
      <c r="V3" s="1" t="e">
        <f>U3/VLOOKUP(A3,'[23]geoMap (20)'!$A:$B,2,0)*VLOOKUP(A3,'[23]geoMap (20)'!$A:$C,3,0)</f>
        <v>#DIV/0!</v>
      </c>
      <c r="W3" s="1" t="e">
        <f>V3/VLOOKUP(A3,'[24]geoMap (21)'!$A:$B,2,0)*VLOOKUP(A3,'[24]geoMap (21)'!$A:$C,3,0)</f>
        <v>#DIV/0!</v>
      </c>
      <c r="X3" s="1" t="e">
        <f>W3/VLOOKUP(A3,'[25]geoMap (22)'!$A:$B,2,0)*VLOOKUP(A3,'[25]geoMap (22)'!$A:$C,3,0)</f>
        <v>#DIV/0!</v>
      </c>
      <c r="Y3" s="1" t="e">
        <f>X3/VLOOKUP(A3,'[26]geoMap (23)'!$A:$B,2,0)*VLOOKUP(A3,'[26]geoMap (23)'!$A:$C,3,0)</f>
        <v>#DIV/0!</v>
      </c>
      <c r="Z3" s="1" t="e">
        <f>Y3/VLOOKUP(A3,'[27]geoMap (24)'!$A:$B,2,0)*VLOOKUP(A3,'[27]geoMap (24)'!$A:$C,3,0)</f>
        <v>#DIV/0!</v>
      </c>
      <c r="AA3" s="1" t="e">
        <f>Z3/VLOOKUP(A3,'[28]geoMap (25)'!$A:$B,2,0)*VLOOKUP(A3,'[28]geoMap (25)'!$A:$C,3,0)</f>
        <v>#DIV/0!</v>
      </c>
      <c r="AB3" s="1" t="e">
        <f>AA3*VLOOKUP(A3,'[29]geoMap (26)'!$A:$B,2,0)*VLOOKUP(A3,'[29]geoMap (26)'!$A:$C,3,0)</f>
        <v>#DIV/0!</v>
      </c>
      <c r="AC3" s="1" t="e">
        <f>AB3/VLOOKUP(A3,'[30]geoMap (27)'!$A:$B,2,0)*VLOOKUP(A3,'[30]geoMap (27)'!$A:$C,3,0)</f>
        <v>#DIV/0!</v>
      </c>
      <c r="AD3" s="1" t="e">
        <f>AC3/VLOOKUP(A3,'[31]geoMap (28)'!$A:$B,2,0)*VLOOKUP(A3,'[31]geoMap (28)'!$A:$C,3,0)</f>
        <v>#DIV/0!</v>
      </c>
      <c r="AE3" s="1" t="e">
        <f>AD3/VLOOKUP(A3,'[32]geoMap (29)'!$A:$B,2,0)*VLOOKUP(A3,'[32]geoMap (29)'!$A:$C,3,0)</f>
        <v>#DIV/0!</v>
      </c>
      <c r="AF3" s="1" t="e">
        <f>AE3/VLOOKUP(A3,'[33]geoMap (30)'!$A:$B,2,0)*VLOOKUP(A3,'[33]geoMap (30)'!$A:$C,3,0)</f>
        <v>#DIV/0!</v>
      </c>
      <c r="AG3" s="1" t="e">
        <f>AF3/VLOOKUP(A3,'[34]geoMap (31)'!$A:$B,2,0)*VLOOKUP(A3,'[34]geoMap (31)'!$A:$C,3,0)</f>
        <v>#DIV/0!</v>
      </c>
      <c r="AH3" s="1" t="e">
        <f>AG3/VLOOKUP(A3,'[35]geoMap (32)'!$A:$B,2,0)*VLOOKUP(A3,'[35]geoMap (32)'!$A:$C,3,0)</f>
        <v>#DIV/0!</v>
      </c>
      <c r="AI3" s="1" t="e">
        <f>AH3/VLOOKUP(A3,'[36]geoMap (33)'!$A:$B,2,0)*VLOOKUP(A3,'[36]geoMap (33)'!$A:$C,3,0)</f>
        <v>#DIV/0!</v>
      </c>
      <c r="AJ3" s="1" t="e">
        <f>AI3/VLOOKUP(A3,'[37]geoMap (34)'!$A:$B,2,0)*VLOOKUP(A3,'[37]geoMap (34)'!$A:$C,3,0)</f>
        <v>#DIV/0!</v>
      </c>
      <c r="AK3" s="1" t="e">
        <f>AJ3/VLOOKUP(A3,'[38]geoMap (35)'!$A:$B,2,0)*VLOOKUP(A3,'[38]geoMap (35)'!$A:$C,3,0)</f>
        <v>#DIV/0!</v>
      </c>
      <c r="AL3" s="1" t="e">
        <f>AK3/VLOOKUP(A3,'[39]geoMap (36)'!$A:$B,2,0)*VLOOKUP(A3,'[39]geoMap (36)'!$A:$C,3,0)</f>
        <v>#DIV/0!</v>
      </c>
      <c r="AM3" s="1" t="e">
        <f>AL3/VLOOKUP(A3,'[40]geoMap (37)'!$A:$B,2,0)*VLOOKUP(A3,'[40]geoMap (37)'!$A:$C,3,0)</f>
        <v>#DIV/0!</v>
      </c>
      <c r="AN3" s="1" t="e">
        <f>AM3/VLOOKUP(A3,'[41]geoMap (38)'!$A:$B,2,0)*VLOOKUP(A3,'[41]geoMap (38)'!$A:$C,3,0)</f>
        <v>#DIV/0!</v>
      </c>
      <c r="AO3" s="1" t="e">
        <f>AN3/VLOOKUP(A3,'[42]geoMap (39)'!$A:$B,2,0)*VLOOKUP(A3,'[42]geoMap (39)'!$A:$C,3,0)</f>
        <v>#DIV/0!</v>
      </c>
      <c r="AP3" s="1" t="e">
        <f>AO3/VLOOKUP(A3,'[43]geoMap (40)'!$A:$B,2,0)*VLOOKUP(A3,'[43]geoMap (40)'!$A:$C,3,0)</f>
        <v>#DIV/0!</v>
      </c>
      <c r="AQ3" s="1" t="e">
        <f>AP3/VLOOKUP(A3,'[44]geoMap (41)'!$A:$B,2,0)*VLOOKUP(A3,'[44]geoMap (41)'!$A:$C,3,0)</f>
        <v>#DIV/0!</v>
      </c>
      <c r="AR3" s="1" t="e">
        <f>AQ3/VLOOKUP(A3,'[45]geoMap (42)'!$A:$B,2,0)*VLOOKUP(A3,'[45]geoMap (42)'!$A:$C,3,0)</f>
        <v>#DIV/0!</v>
      </c>
      <c r="AS3" s="1" t="e">
        <f>AR3/VLOOKUP(A3,'[46]geoMap (43)'!$A:$B,2,0)*VLOOKUP(A3,'[46]geoMap (43)'!$A:$C,3,0)</f>
        <v>#DIV/0!</v>
      </c>
      <c r="AT3" s="1" t="e">
        <f>AS3/VLOOKUP(A3,'[47]geoMap (44)'!$A:$B,2,0)*VLOOKUP(A3,'[47]geoMap (44)'!$A:$C,3,0)</f>
        <v>#DIV/0!</v>
      </c>
      <c r="AU3" s="1" t="e">
        <f>AT3/VLOOKUP(A3,'[48]geoMap (45)'!$A:$B,2,0)*VLOOKUP(A3,'[48]geoMap (45)'!$A:$C,3,0)</f>
        <v>#DIV/0!</v>
      </c>
      <c r="AV3" s="1" t="e">
        <f>AU3/VLOOKUP(A3,'[49]geoMap (46)'!$A:$B,2,0)*VLOOKUP(A3,'[49]geoMap (46)'!$A:$C,3,0)</f>
        <v>#DIV/0!</v>
      </c>
      <c r="AW3" s="1" t="e">
        <f>AV3/VLOOKUP(A3,'[50]geoMap (47)'!$A:$B,2,0)*VLOOKUP(A3,'[50]geoMap (47)'!$A:$C,3,0)</f>
        <v>#DIV/0!</v>
      </c>
      <c r="AX3" s="4" t="e">
        <f>AW3/VLOOKUP(A3,'[51]geoMap (48)'!$A:$B,2,0)*VLOOKUP(A3,'[51]geoMap (48)'!$A:$C,3,0)</f>
        <v>#DIV/0!</v>
      </c>
      <c r="AY3" s="1" t="e">
        <f>AX3/VLOOKUP(A3,'[52]geoMap (49)'!$A:$B,2,0)*VLOOKUP(A3,'[52]geoMap (49)'!$A:$C,3,0)</f>
        <v>#DIV/0!</v>
      </c>
      <c r="AZ3" s="4" t="e">
        <f>AY3/VLOOKUP(A3,'[53]geoMap (50)'!$A:$B,2,0)*VLOOKUP(A3,'[53]geoMap (50)'!$A:$C,3,0)</f>
        <v>#DIV/0!</v>
      </c>
      <c r="BA3" s="1" t="e">
        <f>AZ3/VLOOKUP(A3,'[54]geoMap (51)'!$A:$B,2,0)*VLOOKUP(A3,'[54]geoMap (51)'!$A:$C,3,0)</f>
        <v>#DIV/0!</v>
      </c>
      <c r="BB3" s="4" t="e">
        <f>BA3/VLOOKUP(A3,'[55]geoMap (52)'!$A:$B,2,0)*VLOOKUP(A3,'[55]geoMap (52)'!$A:$C,3,0)</f>
        <v>#DIV/0!</v>
      </c>
      <c r="BC3" s="1" t="e">
        <f>BB3/VLOOKUP(A3,'[56]geoMap (53)'!$A:$B,2,0)*VLOOKUP(A3,'[56]geoMap (53)'!$A:$C,3,0)</f>
        <v>#DIV/0!</v>
      </c>
      <c r="BD3" s="4" t="e">
        <f>BC3/VLOOKUP(A3,'[57]geoMap (54)'!$A:$B,2,0)*VLOOKUP(A3,'[57]geoMap (54)'!$A:$C,3,0)</f>
        <v>#DIV/0!</v>
      </c>
      <c r="BE3" s="1" t="e">
        <f>BD3/VLOOKUP(A3,'[58]geoMap (55)'!$A:$B,2,0)*VLOOKUP(A3,'[58]geoMap (55)'!$A:$C,3,0)</f>
        <v>#DIV/0!</v>
      </c>
      <c r="BF3" s="4" t="e">
        <f>BE3/VLOOKUP(A3,'[59]geoMap (56)'!$A:$B,2,0)*VLOOKUP(A3,'[59]geoMap (56)'!$A:$C,3,0)</f>
        <v>#DIV/0!</v>
      </c>
      <c r="BG3" s="1" t="e">
        <f>BF3/VLOOKUP(A3,'[60]geoMap (57)'!$A:$B,2,0)*VLOOKUP(A3,'[60]geoMap (57)'!$A:$C,3,0)</f>
        <v>#DIV/0!</v>
      </c>
      <c r="BH3" s="4" t="e">
        <f>BG3/VLOOKUP(A3,'[61]geoMap (58)'!$A:$B,2,0)*VLOOKUP(A3,'[61]geoMap (58)'!$A:$C,3,0)</f>
        <v>#DIV/0!</v>
      </c>
      <c r="BI3" s="1" t="e">
        <f>BH3/VLOOKUP(A3,'[62]geoMap (59)'!$A:$B,2,0)*VLOOKUP(A3,'[62]geoMap (59)'!$A:$C,3,0)</f>
        <v>#DIV/0!</v>
      </c>
      <c r="BJ3" s="4" t="e">
        <f>BI3/VLOOKUP(A3,'[63]geoMap (60)'!$A:$B,2,0)*VLOOKUP(A3,'[63]geoMap (60)'!$A:$C,3,0)</f>
        <v>#DIV/0!</v>
      </c>
      <c r="BK3" s="1" t="e">
        <f>BJ3/VLOOKUP(A3,'[64]geoMap (61)'!$A:$B,2,0)*VLOOKUP(A3,'[64]geoMap (61)'!$A:$C,3,0)</f>
        <v>#DIV/0!</v>
      </c>
      <c r="BL3" s="4" t="e">
        <f>BK3/VLOOKUP(A3,'[65]geoMap (62)'!$A:$B,2,0)*VLOOKUP(A3,'[65]geoMap (62)'!$A:$C,3,0)</f>
        <v>#DIV/0!</v>
      </c>
      <c r="BM3" s="1" t="e">
        <f>BL3/VLOOKUP(A3,'[66]geoMap (63)'!$A:$B,2,0)*VLOOKUP(A3,'[66]geoMap (63)'!$A:$C,3,0)</f>
        <v>#DIV/0!</v>
      </c>
      <c r="BN3" s="4" t="e">
        <f>BM3/VLOOKUP(A3,'[67]geoMap (64)'!$A:$B,2,0)*VLOOKUP(A3,'[67]geoMap (64)'!$A:$C,3,0)</f>
        <v>#DIV/0!</v>
      </c>
      <c r="BO3" s="1" t="e">
        <f>BN3/VLOOKUP(A3,'[68]geoMap (65)'!$A:$B,2,0)*VLOOKUP(A3,'[68]geoMap (65)'!$A:$C,3,0)</f>
        <v>#DIV/0!</v>
      </c>
      <c r="BP3" s="4" t="e">
        <f>BO3/VLOOKUP(A3,'[69]geoMap (66)'!$A:$B,2,0)*VLOOKUP(A3,'[69]geoMap (66)'!$A:$C,3,0)</f>
        <v>#DIV/0!</v>
      </c>
    </row>
    <row r="4" spans="1:68" x14ac:dyDescent="0.2">
      <c r="A4" s="1" t="s">
        <v>8</v>
      </c>
      <c r="B4" s="1">
        <f>VLOOKUP(A4,[3]geoMap!$A:$B,2,0)*Notes!$C$6</f>
        <v>25000</v>
      </c>
      <c r="C4" s="1">
        <f>B4/VLOOKUP(A4,'[4]geoMap (1)'!$A:$B,2,0)*VLOOKUP(A4,'[4]geoMap (1)'!$A:$C,3,0)</f>
        <v>23076.923076923078</v>
      </c>
      <c r="D4" s="1">
        <f>C4/VLOOKUP(A4,'[5]geoMap (2)'!$A:$B,2,0)*VLOOKUP(A4,'[5]geoMap (2)'!$A:$C,3,0)</f>
        <v>15384.615384615388</v>
      </c>
      <c r="E4" s="1">
        <f>D4/VLOOKUP(A4,'[6]geoMap (3)'!$A:$B,2,0)*VLOOKUP(A4,'[6]geoMap (3)'!$A:$C,3,0)</f>
        <v>20393.559928443654</v>
      </c>
      <c r="F4" s="1">
        <f>E4/VLOOKUP(A4,'[7]geoMap (4)'!$A:$B,2,0)*VLOOKUP(A4,'[7]geoMap (4)'!$A:$C,3,0)</f>
        <v>11471.377459749554</v>
      </c>
      <c r="G4" s="1">
        <f>F4/VLOOKUP(A4,'[8]geoMap (5)'!$A:$B,2,0)*VLOOKUP(A4,'[8]geoMap (5)'!$A:$C,3,0)</f>
        <v>12935.808624823967</v>
      </c>
      <c r="H4" s="1">
        <f>G4/VLOOKUP(A4,'[9]geoMap (6)'!$A:$B,2,0)*VLOOKUP(A4,'[9]geoMap (6)'!$A:$C,3,0)</f>
        <v>4311.9362082746557</v>
      </c>
      <c r="I4" s="1">
        <f>H4/VLOOKUP(A4,'[10]geoMap (7)'!$A:$B,2,0)*VLOOKUP(A4,'[10]geoMap (7)'!$A:$C,3,0)</f>
        <v>4487.9336045307646</v>
      </c>
      <c r="J4" s="1">
        <f>I4/VLOOKUP(A4,'[11]geoMap (8)'!$A:$B,2,0)*VLOOKUP(A4,'[11]geoMap (8)'!$A:$C,3,0)</f>
        <v>3118.7335217925652</v>
      </c>
      <c r="K4" s="1">
        <f>J4/VLOOKUP(A4,'[12]geoMap (9)'!$A:$B,2,0)*VLOOKUP(A4,'[12]geoMap (9)'!$A:$C,3,0)</f>
        <v>3661.1219603651853</v>
      </c>
      <c r="L4" s="1">
        <f>K4/VLOOKUP(A4,'[13]geoMap (10)'!$A:$B,2,0)*VLOOKUP(A4,'[13]geoMap (10)'!$A:$C,3,0)</f>
        <v>2150.1827386271725</v>
      </c>
      <c r="M4" s="1">
        <f>L4/VLOOKUP(A4,'[14]geoMap (11)'!$A:$B,2,0)*VLOOKUP(A4,'[14]geoMap (11)'!$A:$C,3,0)</f>
        <v>1374.7069968272087</v>
      </c>
      <c r="N4" s="1">
        <f>M4/VLOOKUP(A4,'[15]geoMap (12)'!$A:$B,2,0)*VLOOKUP(A4,'[15]geoMap (12)'!$A:$C,3,0)</f>
        <v>2791.0717814370605</v>
      </c>
      <c r="O4" s="1">
        <f>N4/VLOOKUP(A4,'[16]geoMap (13)'!$A:$B,2,0)*VLOOKUP(A4,'[16]geoMap (13)'!$A:$C,3,0)</f>
        <v>1196.1736206158832</v>
      </c>
      <c r="P4" s="1">
        <f>O4/VLOOKUP(A4,'[17]geoMap (14)'!$A:$B,2,0)*VLOOKUP(A4,'[17]geoMap (14)'!$A:$C,3,0)</f>
        <v>488.57795771634665</v>
      </c>
      <c r="Q4" s="1">
        <f>P4/VLOOKUP(A4,'[18]geoMap (15)'!$A:$B,2,0)*VLOOKUP(A4,'[18]geoMap (15)'!$A:$C,3,0)</f>
        <v>621.82649163898668</v>
      </c>
      <c r="R4" s="1">
        <f>Q4/VLOOKUP(A4,'[19]geoMap (16)'!$A:$B,2,0)*VLOOKUP(A4,'[19]geoMap (16)'!$A:$C,3,0)</f>
        <v>551.43103975532767</v>
      </c>
      <c r="S4" s="1">
        <f>R4/VLOOKUP(A4,'[20]geoMap (17)'!$A:$B,2,0)*VLOOKUP(A4,'[20]geoMap (17)'!$A:$C,3,0)</f>
        <v>469.73755238416805</v>
      </c>
      <c r="T4" s="1">
        <f>S4/VLOOKUP(A4,'[21]geoMap (18)'!$A:$B,2,0)*VLOOKUP(A4,'[21]geoMap (18)'!$A:$C,3,0)</f>
        <v>451.31647189851441</v>
      </c>
      <c r="U4" s="1">
        <f>T4/VLOOKUP(A4,'[22]geoMap (19)'!$A:$B,2,0)*VLOOKUP(A4,'[22]geoMap (19)'!$A:$C,3,0)</f>
        <v>202.76537143266592</v>
      </c>
      <c r="V4" s="1">
        <f>U4/VLOOKUP(A4,'[23]geoMap (20)'!$A:$B,2,0)*VLOOKUP(A4,'[23]geoMap (20)'!$A:$C,3,0)</f>
        <v>219.66248571872143</v>
      </c>
      <c r="W4" s="1">
        <f>V4/VLOOKUP(A4,'[24]geoMap (21)'!$A:$B,2,0)*VLOOKUP(A4,'[24]geoMap (21)'!$A:$C,3,0)</f>
        <v>194.79503450528125</v>
      </c>
      <c r="X4" s="1">
        <f>W4/VLOOKUP(A4,'[25]geoMap (22)'!$A:$B,2,0)*VLOOKUP(A4,'[25]geoMap (22)'!$A:$C,3,0)</f>
        <v>346.30228356494445</v>
      </c>
      <c r="Y4" s="1">
        <f>X4/VLOOKUP(A4,'[26]geoMap (23)'!$A:$B,2,0)*VLOOKUP(A4,'[26]geoMap (23)'!$A:$C,3,0)</f>
        <v>115.43409452164815</v>
      </c>
      <c r="Z4" s="1">
        <f>Y4/VLOOKUP(A4,'[27]geoMap (24)'!$A:$B,2,0)*VLOOKUP(A4,'[27]geoMap (24)'!$A:$C,3,0)</f>
        <v>98.332747185107678</v>
      </c>
      <c r="AA4" s="1">
        <f>Z4/VLOOKUP(A4,'[28]geoMap (25)'!$A:$B,2,0)*VLOOKUP(A4,'[28]geoMap (25)'!$A:$C,3,0)</f>
        <v>77.261444216870316</v>
      </c>
      <c r="AB4" s="1">
        <f>AA4*VLOOKUP(A4,'[29]geoMap (26)'!$A:$B,2,0)*VLOOKUP(A4,'[29]geoMap (26)'!$A:$C,3,0)</f>
        <v>18.542746612048877</v>
      </c>
      <c r="AC4" s="1">
        <f>AB4/VLOOKUP(A4,'[30]geoMap (27)'!$A:$B,2,0)*VLOOKUP(A4,'[30]geoMap (27)'!$A:$C,3,0)</f>
        <v>17.116381488045118</v>
      </c>
      <c r="AD4" s="1">
        <f>AC4/VLOOKUP(A4,'[31]geoMap (28)'!$A:$B,2,0)*VLOOKUP(A4,'[31]geoMap (28)'!$A:$C,3,0)</f>
        <v>23.636907769205163</v>
      </c>
      <c r="AE4" s="1">
        <f>AD4/VLOOKUP(A4,'[32]geoMap (29)'!$A:$B,2,0)*VLOOKUP(A4,'[32]geoMap (29)'!$A:$C,3,0)</f>
        <v>7.4642866639595242</v>
      </c>
      <c r="AF4" s="1">
        <f>AE4/VLOOKUP(A4,'[33]geoMap (30)'!$A:$B,2,0)*VLOOKUP(A4,'[33]geoMap (30)'!$A:$C,3,0)</f>
        <v>19.193879993038774</v>
      </c>
      <c r="AG4" s="1">
        <f>AF4/VLOOKUP(A4,'[34]geoMap (31)'!$A:$B,2,0)*VLOOKUP(A4,'[34]geoMap (31)'!$A:$C,3,0)</f>
        <v>15.704083630668086</v>
      </c>
      <c r="AH4" s="1">
        <f>AG4/VLOOKUP(A4,'[35]geoMap (32)'!$A:$B,2,0)*VLOOKUP(A4,'[35]geoMap (32)'!$A:$C,3,0)</f>
        <v>11.846940282784697</v>
      </c>
      <c r="AI4" s="1">
        <f>AH4/VLOOKUP(A4,'[36]geoMap (33)'!$A:$B,2,0)*VLOOKUP(A4,'[36]geoMap (33)'!$A:$C,3,0)</f>
        <v>7.2610279152551369</v>
      </c>
      <c r="AJ4" s="1">
        <f>AI4/VLOOKUP(A4,'[37]geoMap (34)'!$A:$B,2,0)*VLOOKUP(A4,'[37]geoMap (34)'!$A:$C,3,0)</f>
        <v>6.7024873063893571</v>
      </c>
      <c r="AK4" s="1">
        <f>AJ4/VLOOKUP(A4,'[38]geoMap (35)'!$A:$B,2,0)*VLOOKUP(A4,'[38]geoMap (35)'!$A:$C,3,0)</f>
        <v>5.9437151584962225</v>
      </c>
      <c r="AL4" s="1">
        <f>AK4/VLOOKUP(A4,'[39]geoMap (36)'!$A:$B,2,0)*VLOOKUP(A4,'[39]geoMap (36)'!$A:$C,3,0)</f>
        <v>5.9437151584962225</v>
      </c>
      <c r="AM4" s="1">
        <f>AL4/VLOOKUP(A4,'[40]geoMap (37)'!$A:$B,2,0)*VLOOKUP(A4,'[40]geoMap (37)'!$A:$C,3,0)</f>
        <v>6.4390247550375745</v>
      </c>
      <c r="AN4" s="1">
        <f>AM4/VLOOKUP(A4,'[41]geoMap (38)'!$A:$B,2,0)*VLOOKUP(A4,'[41]geoMap (38)'!$A:$C,3,0)</f>
        <v>5.2682929813943788</v>
      </c>
      <c r="AO4" s="1">
        <f>AN4/VLOOKUP(A4,'[42]geoMap (39)'!$A:$B,2,0)*VLOOKUP(A4,'[42]geoMap (39)'!$A:$C,3,0)</f>
        <v>2.8367731438277421</v>
      </c>
      <c r="AP4" s="1">
        <f>AO4/VLOOKUP(A4,'[43]geoMap (40)'!$A:$B,2,0)*VLOOKUP(A4,'[43]geoMap (40)'!$A:$C,3,0)</f>
        <v>3.7603737022832862</v>
      </c>
      <c r="AQ4" s="1">
        <f>AP4/VLOOKUP(A4,'[44]geoMap (41)'!$A:$B,2,0)*VLOOKUP(A4,'[44]geoMap (41)'!$A:$C,3,0)</f>
        <v>1.8521243608260962</v>
      </c>
      <c r="AR4" s="1">
        <f>AQ4/VLOOKUP(A4,'[45]geoMap (42)'!$A:$B,2,0)*VLOOKUP(A4,'[45]geoMap (42)'!$A:$C,3,0)</f>
        <v>6.5666227338379777</v>
      </c>
      <c r="AS4" s="1" t="e">
        <f>AR4/VLOOKUP(A4,'[46]geoMap (43)'!$A:$B,2,0)*VLOOKUP(A4,'[46]geoMap (43)'!$A:$C,3,0)</f>
        <v>#REF!</v>
      </c>
      <c r="AT4" s="1" t="e">
        <f>AS4/VLOOKUP(A4,'[47]geoMap (44)'!$A:$B,2,0)*VLOOKUP(A4,'[47]geoMap (44)'!$A:$C,3,0)</f>
        <v>#REF!</v>
      </c>
      <c r="AU4" s="1" t="e">
        <f>AT4/VLOOKUP(A4,'[48]geoMap (45)'!$A:$B,2,0)*VLOOKUP(A4,'[48]geoMap (45)'!$A:$C,3,0)</f>
        <v>#REF!</v>
      </c>
      <c r="AV4" s="1" t="e">
        <f>AU4/VLOOKUP(A4,'[49]geoMap (46)'!$A:$B,2,0)*VLOOKUP(A4,'[49]geoMap (46)'!$A:$C,3,0)</f>
        <v>#REF!</v>
      </c>
      <c r="AW4" s="1" t="e">
        <f>AV4/VLOOKUP(A4,'[50]geoMap (47)'!$A:$B,2,0)*VLOOKUP(A4,'[50]geoMap (47)'!$A:$C,3,0)</f>
        <v>#REF!</v>
      </c>
      <c r="AX4" s="4" t="e">
        <f>AW4/VLOOKUP(A4,'[51]geoMap (48)'!$A:$B,2,0)*VLOOKUP(A4,'[51]geoMap (48)'!$A:$C,3,0)</f>
        <v>#REF!</v>
      </c>
      <c r="AY4" s="1" t="e">
        <f>AX4/VLOOKUP(A4,'[52]geoMap (49)'!$A:$B,2,0)*VLOOKUP(A4,'[52]geoMap (49)'!$A:$C,3,0)</f>
        <v>#REF!</v>
      </c>
      <c r="AZ4" s="4" t="e">
        <f>AY4/VLOOKUP(A4,'[53]geoMap (50)'!$A:$B,2,0)*VLOOKUP(A4,'[53]geoMap (50)'!$A:$C,3,0)</f>
        <v>#REF!</v>
      </c>
      <c r="BA4" s="1" t="e">
        <f>AZ4/VLOOKUP(A4,'[54]geoMap (51)'!$A:$B,2,0)*VLOOKUP(A4,'[54]geoMap (51)'!$A:$C,3,0)</f>
        <v>#REF!</v>
      </c>
      <c r="BB4" s="4" t="e">
        <f>BA4/VLOOKUP(A4,'[55]geoMap (52)'!$A:$B,2,0)*VLOOKUP(A4,'[55]geoMap (52)'!$A:$C,3,0)</f>
        <v>#REF!</v>
      </c>
      <c r="BC4" s="1" t="e">
        <f>BB4/VLOOKUP(A4,'[56]geoMap (53)'!$A:$B,2,0)*VLOOKUP(A4,'[56]geoMap (53)'!$A:$C,3,0)</f>
        <v>#REF!</v>
      </c>
      <c r="BD4" s="4" t="e">
        <f>BC4/VLOOKUP(A4,'[57]geoMap (54)'!$A:$B,2,0)*VLOOKUP(A4,'[57]geoMap (54)'!$A:$C,3,0)</f>
        <v>#REF!</v>
      </c>
      <c r="BE4" s="1" t="e">
        <f>BD4/VLOOKUP(A4,'[58]geoMap (55)'!$A:$B,2,0)*VLOOKUP(A4,'[58]geoMap (55)'!$A:$C,3,0)</f>
        <v>#REF!</v>
      </c>
      <c r="BF4" s="4" t="e">
        <f>BE4/VLOOKUP(A4,'[59]geoMap (56)'!$A:$B,2,0)*VLOOKUP(A4,'[59]geoMap (56)'!$A:$C,3,0)</f>
        <v>#REF!</v>
      </c>
      <c r="BG4" s="1" t="e">
        <f>BF4/VLOOKUP(A4,'[60]geoMap (57)'!$A:$B,2,0)*VLOOKUP(A4,'[60]geoMap (57)'!$A:$C,3,0)</f>
        <v>#REF!</v>
      </c>
      <c r="BH4" s="4" t="e">
        <f>BG4/VLOOKUP(A4,'[61]geoMap (58)'!$A:$B,2,0)*VLOOKUP(A4,'[61]geoMap (58)'!$A:$C,3,0)</f>
        <v>#REF!</v>
      </c>
      <c r="BI4" s="1" t="e">
        <f>BH4/VLOOKUP(A4,'[62]geoMap (59)'!$A:$B,2,0)*VLOOKUP(A4,'[62]geoMap (59)'!$A:$C,3,0)</f>
        <v>#REF!</v>
      </c>
      <c r="BJ4" s="4" t="e">
        <f>BI4/VLOOKUP(A4,'[63]geoMap (60)'!$A:$B,2,0)*VLOOKUP(A4,'[63]geoMap (60)'!$A:$C,3,0)</f>
        <v>#REF!</v>
      </c>
      <c r="BK4" s="1" t="e">
        <f>BJ4/VLOOKUP(A4,'[64]geoMap (61)'!$A:$B,2,0)*VLOOKUP(A4,'[64]geoMap (61)'!$A:$C,3,0)</f>
        <v>#REF!</v>
      </c>
      <c r="BL4" s="4" t="e">
        <f>BK4/VLOOKUP(A4,'[65]geoMap (62)'!$A:$B,2,0)*VLOOKUP(A4,'[65]geoMap (62)'!$A:$C,3,0)</f>
        <v>#REF!</v>
      </c>
      <c r="BM4" s="1" t="e">
        <f>BL4/VLOOKUP(A4,'[66]geoMap (63)'!$A:$B,2,0)*VLOOKUP(A4,'[66]geoMap (63)'!$A:$C,3,0)</f>
        <v>#REF!</v>
      </c>
      <c r="BN4" s="4" t="e">
        <f>BM4/VLOOKUP(A4,'[67]geoMap (64)'!$A:$B,2,0)*VLOOKUP(A4,'[67]geoMap (64)'!$A:$C,3,0)</f>
        <v>#REF!</v>
      </c>
      <c r="BO4" s="1" t="e">
        <f>BN4/VLOOKUP(A4,'[68]geoMap (65)'!$A:$B,2,0)*VLOOKUP(A4,'[68]geoMap (65)'!$A:$C,3,0)</f>
        <v>#REF!</v>
      </c>
      <c r="BP4" s="4" t="e">
        <f>BO4/VLOOKUP(A4,'[69]geoMap (66)'!$A:$B,2,0)*VLOOKUP(A4,'[69]geoMap (66)'!$A:$C,3,0)</f>
        <v>#REF!</v>
      </c>
    </row>
    <row r="5" spans="1:68" x14ac:dyDescent="0.2">
      <c r="A5" s="1" t="s">
        <v>7</v>
      </c>
      <c r="B5" s="1">
        <f>VLOOKUP(A5,[3]geoMap!$A:$B,2,0)*Notes!$C$6</f>
        <v>25000</v>
      </c>
      <c r="C5" s="1">
        <f>B5/VLOOKUP(A5,'[4]geoMap (1)'!$A:$B,2,0)*VLOOKUP(A5,'[4]geoMap (1)'!$A:$C,3,0)</f>
        <v>3089.8876404494381</v>
      </c>
      <c r="D5" s="1">
        <f>C5/VLOOKUP(A5,'[5]geoMap (2)'!$A:$B,2,0)*VLOOKUP(A5,'[5]geoMap (2)'!$A:$C,3,0)</f>
        <v>4832.9011812157878</v>
      </c>
      <c r="E5" s="1">
        <f>D5/VLOOKUP(A5,'[6]geoMap (3)'!$A:$B,2,0)*VLOOKUP(A5,'[6]geoMap (3)'!$A:$C,3,0)</f>
        <v>2838.3705349997481</v>
      </c>
      <c r="F5" s="1">
        <f>E5/VLOOKUP(A5,'[7]geoMap (4)'!$A:$B,2,0)*VLOOKUP(A5,'[7]geoMap (4)'!$A:$C,3,0)</f>
        <v>3332.0001932605742</v>
      </c>
      <c r="G5" s="1">
        <f>F5/VLOOKUP(A5,'[8]geoMap (5)'!$A:$B,2,0)*VLOOKUP(A5,'[8]geoMap (5)'!$A:$C,3,0)</f>
        <v>2042.1936668371261</v>
      </c>
      <c r="H5" s="1">
        <f>G5/VLOOKUP(A5,'[9]geoMap (6)'!$A:$B,2,0)*VLOOKUP(A5,'[9]geoMap (6)'!$A:$C,3,0)</f>
        <v>2707.0939304585154</v>
      </c>
      <c r="I5" s="1">
        <f>H5/VLOOKUP(A5,'[10]geoMap (7)'!$A:$B,2,0)*VLOOKUP(A5,'[10]geoMap (7)'!$A:$C,3,0)</f>
        <v>1052.7587507338671</v>
      </c>
      <c r="J5" s="1">
        <f>I5/VLOOKUP(A5,'[11]geoMap (8)'!$A:$B,2,0)*VLOOKUP(A5,'[11]geoMap (8)'!$A:$C,3,0)</f>
        <v>701.83916715591158</v>
      </c>
      <c r="K5" s="1">
        <f>J5/VLOOKUP(A5,'[12]geoMap (9)'!$A:$B,2,0)*VLOOKUP(A5,'[12]geoMap (9)'!$A:$C,3,0)</f>
        <v>1145.1060095701714</v>
      </c>
      <c r="L5" s="1">
        <f>K5/VLOOKUP(A5,'[13]geoMap (10)'!$A:$B,2,0)*VLOOKUP(A5,'[13]geoMap (10)'!$A:$C,3,0)</f>
        <v>538.87341626831596</v>
      </c>
      <c r="M5" s="1">
        <f>L5/VLOOKUP(A5,'[14]geoMap (11)'!$A:$B,2,0)*VLOOKUP(A5,'[14]geoMap (11)'!$A:$C,3,0)</f>
        <v>374.47135706781279</v>
      </c>
      <c r="N5" s="1">
        <f>M5/VLOOKUP(A5,'[15]geoMap (12)'!$A:$B,2,0)*VLOOKUP(A5,'[15]geoMap (12)'!$A:$C,3,0)</f>
        <v>239.41611353515901</v>
      </c>
      <c r="O5" s="1">
        <f>N5/VLOOKUP(A5,'[16]geoMap (13)'!$A:$B,2,0)*VLOOKUP(A5,'[16]geoMap (13)'!$A:$C,3,0)</f>
        <v>269.97987270986022</v>
      </c>
      <c r="P5" s="1">
        <f>O5/VLOOKUP(A5,'[17]geoMap (14)'!$A:$B,2,0)*VLOOKUP(A5,'[17]geoMap (14)'!$A:$C,3,0)</f>
        <v>165.47153488668852</v>
      </c>
      <c r="Q5" s="1">
        <f>P5/VLOOKUP(A5,'[18]geoMap (15)'!$A:$B,2,0)*VLOOKUP(A5,'[18]geoMap (15)'!$A:$C,3,0)</f>
        <v>321.20945007416003</v>
      </c>
      <c r="R5" s="1">
        <f>Q5/VLOOKUP(A5,'[19]geoMap (16)'!$A:$B,2,0)*VLOOKUP(A5,'[19]geoMap (16)'!$A:$C,3,0)</f>
        <v>137.66119288892574</v>
      </c>
      <c r="S5" s="1">
        <f>R5/VLOOKUP(A5,'[20]geoMap (17)'!$A:$B,2,0)*VLOOKUP(A5,'[20]geoMap (17)'!$A:$C,3,0)</f>
        <v>127.07187035900837</v>
      </c>
      <c r="T5" s="1">
        <f>S5/VLOOKUP(A5,'[21]geoMap (18)'!$A:$B,2,0)*VLOOKUP(A5,'[21]geoMap (18)'!$A:$C,3,0)</f>
        <v>51.902594935369621</v>
      </c>
      <c r="U5" s="1">
        <f>T5/VLOOKUP(A5,'[22]geoMap (19)'!$A:$B,2,0)*VLOOKUP(A5,'[22]geoMap (19)'!$A:$C,3,0)</f>
        <v>74.689100028946527</v>
      </c>
      <c r="V5" s="1" t="e">
        <f>U5/VLOOKUP(A5,'[23]geoMap (20)'!$A:$B,2,0)*VLOOKUP(A5,'[23]geoMap (20)'!$A:$C,3,0)</f>
        <v>#REF!</v>
      </c>
      <c r="W5" s="1" t="e">
        <f>V5/VLOOKUP(A5,'[24]geoMap (21)'!$A:$B,2,0)*VLOOKUP(A5,'[24]geoMap (21)'!$A:$C,3,0)</f>
        <v>#REF!</v>
      </c>
      <c r="X5" s="1" t="e">
        <f>W5/VLOOKUP(A5,'[25]geoMap (22)'!$A:$B,2,0)*VLOOKUP(A5,'[25]geoMap (22)'!$A:$C,3,0)</f>
        <v>#REF!</v>
      </c>
      <c r="Y5" s="1" t="e">
        <f>X5/VLOOKUP(A5,'[26]geoMap (23)'!$A:$B,2,0)*VLOOKUP(A5,'[26]geoMap (23)'!$A:$C,3,0)</f>
        <v>#REF!</v>
      </c>
      <c r="Z5" s="1" t="e">
        <f>Y5/VLOOKUP(A5,'[27]geoMap (24)'!$A:$B,2,0)*VLOOKUP(A5,'[27]geoMap (24)'!$A:$C,3,0)</f>
        <v>#REF!</v>
      </c>
      <c r="AA5" s="1" t="e">
        <f>Z5/VLOOKUP(A5,'[28]geoMap (25)'!$A:$B,2,0)*VLOOKUP(A5,'[28]geoMap (25)'!$A:$C,3,0)</f>
        <v>#REF!</v>
      </c>
      <c r="AB5" s="1" t="e">
        <f>AA5*VLOOKUP(A5,'[29]geoMap (26)'!$A:$B,2,0)*VLOOKUP(A5,'[29]geoMap (26)'!$A:$C,3,0)</f>
        <v>#REF!</v>
      </c>
      <c r="AC5" s="1" t="e">
        <f>AB5/VLOOKUP(A5,'[30]geoMap (27)'!$A:$B,2,0)*VLOOKUP(A5,'[30]geoMap (27)'!$A:$C,3,0)</f>
        <v>#REF!</v>
      </c>
      <c r="AD5" s="1" t="e">
        <f>AC5/VLOOKUP(A5,'[31]geoMap (28)'!$A:$B,2,0)*VLOOKUP(A5,'[31]geoMap (28)'!$A:$C,3,0)</f>
        <v>#REF!</v>
      </c>
      <c r="AE5" s="1" t="e">
        <f>AD5/VLOOKUP(A5,'[32]geoMap (29)'!$A:$B,2,0)*VLOOKUP(A5,'[32]geoMap (29)'!$A:$C,3,0)</f>
        <v>#REF!</v>
      </c>
      <c r="AF5" s="1" t="e">
        <f>AE5/VLOOKUP(A5,'[33]geoMap (30)'!$A:$B,2,0)*VLOOKUP(A5,'[33]geoMap (30)'!$A:$C,3,0)</f>
        <v>#REF!</v>
      </c>
      <c r="AG5" s="1" t="e">
        <f>AF5/VLOOKUP(A5,'[34]geoMap (31)'!$A:$B,2,0)*VLOOKUP(A5,'[34]geoMap (31)'!$A:$C,3,0)</f>
        <v>#REF!</v>
      </c>
      <c r="AH5" s="1" t="e">
        <f>AG5/VLOOKUP(A5,'[35]geoMap (32)'!$A:$B,2,0)*VLOOKUP(A5,'[35]geoMap (32)'!$A:$C,3,0)</f>
        <v>#REF!</v>
      </c>
      <c r="AI5" s="1" t="e">
        <f>AH5/VLOOKUP(A5,'[36]geoMap (33)'!$A:$B,2,0)*VLOOKUP(A5,'[36]geoMap (33)'!$A:$C,3,0)</f>
        <v>#REF!</v>
      </c>
      <c r="AJ5" s="1" t="e">
        <f>AI5/VLOOKUP(A5,'[37]geoMap (34)'!$A:$B,2,0)*VLOOKUP(A5,'[37]geoMap (34)'!$A:$C,3,0)</f>
        <v>#REF!</v>
      </c>
      <c r="AK5" s="1" t="e">
        <f>AJ5/VLOOKUP(A5,'[38]geoMap (35)'!$A:$B,2,0)*VLOOKUP(A5,'[38]geoMap (35)'!$A:$C,3,0)</f>
        <v>#REF!</v>
      </c>
      <c r="AL5" s="1" t="e">
        <f>AK5/VLOOKUP(A5,'[39]geoMap (36)'!$A:$B,2,0)*VLOOKUP(A5,'[39]geoMap (36)'!$A:$C,3,0)</f>
        <v>#REF!</v>
      </c>
      <c r="AM5" s="1" t="e">
        <f>AL5/VLOOKUP(A5,'[40]geoMap (37)'!$A:$B,2,0)*VLOOKUP(A5,'[40]geoMap (37)'!$A:$C,3,0)</f>
        <v>#REF!</v>
      </c>
      <c r="AN5" s="1" t="e">
        <f>AM5/VLOOKUP(A5,'[41]geoMap (38)'!$A:$B,2,0)*VLOOKUP(A5,'[41]geoMap (38)'!$A:$C,3,0)</f>
        <v>#REF!</v>
      </c>
      <c r="AO5" s="1" t="e">
        <f>AN5/VLOOKUP(A5,'[42]geoMap (39)'!$A:$B,2,0)*VLOOKUP(A5,'[42]geoMap (39)'!$A:$C,3,0)</f>
        <v>#REF!</v>
      </c>
      <c r="AP5" s="1" t="e">
        <f>AO5/VLOOKUP(A5,'[43]geoMap (40)'!$A:$B,2,0)*VLOOKUP(A5,'[43]geoMap (40)'!$A:$C,3,0)</f>
        <v>#REF!</v>
      </c>
      <c r="AQ5" s="1" t="e">
        <f>AP5/VLOOKUP(A5,'[44]geoMap (41)'!$A:$B,2,0)*VLOOKUP(A5,'[44]geoMap (41)'!$A:$C,3,0)</f>
        <v>#REF!</v>
      </c>
      <c r="AR5" s="1" t="e">
        <f>AQ5/VLOOKUP(A5,'[45]geoMap (42)'!$A:$B,2,0)*VLOOKUP(A5,'[45]geoMap (42)'!$A:$C,3,0)</f>
        <v>#REF!</v>
      </c>
      <c r="AS5" s="1" t="e">
        <f>AR5/VLOOKUP(A5,'[46]geoMap (43)'!$A:$B,2,0)*VLOOKUP(A5,'[46]geoMap (43)'!$A:$C,3,0)</f>
        <v>#REF!</v>
      </c>
      <c r="AT5" s="1" t="e">
        <f>AS5/VLOOKUP(A5,'[47]geoMap (44)'!$A:$B,2,0)*VLOOKUP(A5,'[47]geoMap (44)'!$A:$C,3,0)</f>
        <v>#REF!</v>
      </c>
      <c r="AU5" s="1" t="e">
        <f>AT5/VLOOKUP(A5,'[48]geoMap (45)'!$A:$B,2,0)*VLOOKUP(A5,'[48]geoMap (45)'!$A:$C,3,0)</f>
        <v>#REF!</v>
      </c>
      <c r="AV5" s="1" t="e">
        <f>AU5/VLOOKUP(A5,'[49]geoMap (46)'!$A:$B,2,0)*VLOOKUP(A5,'[49]geoMap (46)'!$A:$C,3,0)</f>
        <v>#REF!</v>
      </c>
      <c r="AW5" s="1" t="e">
        <f>AV5/VLOOKUP(A5,'[50]geoMap (47)'!$A:$B,2,0)*VLOOKUP(A5,'[50]geoMap (47)'!$A:$C,3,0)</f>
        <v>#REF!</v>
      </c>
      <c r="AX5" s="4" t="e">
        <f>AW5/VLOOKUP(A5,'[51]geoMap (48)'!$A:$B,2,0)*VLOOKUP(A5,'[51]geoMap (48)'!$A:$C,3,0)</f>
        <v>#REF!</v>
      </c>
      <c r="AY5" s="1" t="e">
        <f>AX5/VLOOKUP(A5,'[52]geoMap (49)'!$A:$B,2,0)*VLOOKUP(A5,'[52]geoMap (49)'!$A:$C,3,0)</f>
        <v>#REF!</v>
      </c>
      <c r="AZ5" s="4" t="e">
        <f>AY5/VLOOKUP(A5,'[53]geoMap (50)'!$A:$B,2,0)*VLOOKUP(A5,'[53]geoMap (50)'!$A:$C,3,0)</f>
        <v>#REF!</v>
      </c>
      <c r="BA5" s="1" t="e">
        <f>AZ5/VLOOKUP(A5,'[54]geoMap (51)'!$A:$B,2,0)*VLOOKUP(A5,'[54]geoMap (51)'!$A:$C,3,0)</f>
        <v>#REF!</v>
      </c>
      <c r="BB5" s="4" t="e">
        <f>BA5/VLOOKUP(A5,'[55]geoMap (52)'!$A:$B,2,0)*VLOOKUP(A5,'[55]geoMap (52)'!$A:$C,3,0)</f>
        <v>#REF!</v>
      </c>
      <c r="BC5" s="1" t="e">
        <f>BB5/VLOOKUP(A5,'[56]geoMap (53)'!$A:$B,2,0)*VLOOKUP(A5,'[56]geoMap (53)'!$A:$C,3,0)</f>
        <v>#REF!</v>
      </c>
      <c r="BD5" s="4" t="e">
        <f>BC5/VLOOKUP(A5,'[57]geoMap (54)'!$A:$B,2,0)*VLOOKUP(A5,'[57]geoMap (54)'!$A:$C,3,0)</f>
        <v>#REF!</v>
      </c>
      <c r="BE5" s="1" t="e">
        <f>BD5/VLOOKUP(A5,'[58]geoMap (55)'!$A:$B,2,0)*VLOOKUP(A5,'[58]geoMap (55)'!$A:$C,3,0)</f>
        <v>#REF!</v>
      </c>
      <c r="BF5" s="4" t="e">
        <f>BE5/VLOOKUP(A5,'[59]geoMap (56)'!$A:$B,2,0)*VLOOKUP(A5,'[59]geoMap (56)'!$A:$C,3,0)</f>
        <v>#REF!</v>
      </c>
      <c r="BG5" s="1" t="e">
        <f>BF5/VLOOKUP(A5,'[60]geoMap (57)'!$A:$B,2,0)*VLOOKUP(A5,'[60]geoMap (57)'!$A:$C,3,0)</f>
        <v>#REF!</v>
      </c>
      <c r="BH5" s="4" t="e">
        <f>BG5/VLOOKUP(A5,'[61]geoMap (58)'!$A:$B,2,0)*VLOOKUP(A5,'[61]geoMap (58)'!$A:$C,3,0)</f>
        <v>#REF!</v>
      </c>
      <c r="BI5" s="1" t="e">
        <f>BH5/VLOOKUP(A5,'[62]geoMap (59)'!$A:$B,2,0)*VLOOKUP(A5,'[62]geoMap (59)'!$A:$C,3,0)</f>
        <v>#REF!</v>
      </c>
      <c r="BJ5" s="4" t="e">
        <f>BI5/VLOOKUP(A5,'[63]geoMap (60)'!$A:$B,2,0)*VLOOKUP(A5,'[63]geoMap (60)'!$A:$C,3,0)</f>
        <v>#REF!</v>
      </c>
      <c r="BK5" s="1" t="e">
        <f>BJ5/VLOOKUP(A5,'[64]geoMap (61)'!$A:$B,2,0)*VLOOKUP(A5,'[64]geoMap (61)'!$A:$C,3,0)</f>
        <v>#REF!</v>
      </c>
      <c r="BL5" s="4" t="e">
        <f>BK5/VLOOKUP(A5,'[65]geoMap (62)'!$A:$B,2,0)*VLOOKUP(A5,'[65]geoMap (62)'!$A:$C,3,0)</f>
        <v>#REF!</v>
      </c>
      <c r="BM5" s="1" t="e">
        <f>BL5/VLOOKUP(A5,'[66]geoMap (63)'!$A:$B,2,0)*VLOOKUP(A5,'[66]geoMap (63)'!$A:$C,3,0)</f>
        <v>#REF!</v>
      </c>
      <c r="BN5" s="4" t="e">
        <f>BM5/VLOOKUP(A5,'[67]geoMap (64)'!$A:$B,2,0)*VLOOKUP(A5,'[67]geoMap (64)'!$A:$C,3,0)</f>
        <v>#REF!</v>
      </c>
      <c r="BO5" s="1" t="e">
        <f>BN5/VLOOKUP(A5,'[68]geoMap (65)'!$A:$B,2,0)*VLOOKUP(A5,'[68]geoMap (65)'!$A:$C,3,0)</f>
        <v>#REF!</v>
      </c>
      <c r="BP5" s="4" t="e">
        <f>BO5/VLOOKUP(A5,'[69]geoMap (66)'!$A:$B,2,0)*VLOOKUP(A5,'[69]geoMap (66)'!$A:$C,3,0)</f>
        <v>#REF!</v>
      </c>
    </row>
    <row r="6" spans="1:68" x14ac:dyDescent="0.2">
      <c r="A6" s="1" t="s">
        <v>10</v>
      </c>
      <c r="B6" s="1">
        <f>VLOOKUP(A6,[3]geoMap!$A:$B,2,0)*Notes!$C$6</f>
        <v>23000</v>
      </c>
      <c r="C6" s="1" t="e">
        <f>B6/VLOOKUP(A6,'[4]geoMap (1)'!$A:$B,2,0)*VLOOKUP(A6,'[4]geoMap (1)'!$A:$C,3,0)</f>
        <v>#DIV/0!</v>
      </c>
      <c r="D6" s="1" t="e">
        <f>C6/VLOOKUP(A6,'[5]geoMap (2)'!$A:$B,2,0)*VLOOKUP(A6,'[5]geoMap (2)'!$A:$C,3,0)</f>
        <v>#DIV/0!</v>
      </c>
      <c r="E6" s="1" t="e">
        <f>D6/VLOOKUP(A6,'[6]geoMap (3)'!$A:$B,2,0)*VLOOKUP(A6,'[6]geoMap (3)'!$A:$C,3,0)</f>
        <v>#DIV/0!</v>
      </c>
      <c r="F6" s="1" t="e">
        <f>E6/VLOOKUP(A6,'[7]geoMap (4)'!$A:$B,2,0)*VLOOKUP(A6,'[7]geoMap (4)'!$A:$C,3,0)</f>
        <v>#DIV/0!</v>
      </c>
      <c r="G6" s="1" t="e">
        <f>F6/VLOOKUP(A6,'[8]geoMap (5)'!$A:$B,2,0)*VLOOKUP(A6,'[8]geoMap (5)'!$A:$C,3,0)</f>
        <v>#DIV/0!</v>
      </c>
      <c r="H6" s="1" t="e">
        <f>G6/VLOOKUP(A6,'[9]geoMap (6)'!$A:$B,2,0)*VLOOKUP(A6,'[9]geoMap (6)'!$A:$C,3,0)</f>
        <v>#DIV/0!</v>
      </c>
      <c r="I6" s="1" t="e">
        <f>H6/VLOOKUP(A6,'[10]geoMap (7)'!$A:$B,2,0)*VLOOKUP(A6,'[10]geoMap (7)'!$A:$C,3,0)</f>
        <v>#DIV/0!</v>
      </c>
      <c r="J6" s="1" t="e">
        <f>I6/VLOOKUP(A6,'[11]geoMap (8)'!$A:$B,2,0)*VLOOKUP(A6,'[11]geoMap (8)'!$A:$C,3,0)</f>
        <v>#DIV/0!</v>
      </c>
      <c r="K6" s="1" t="e">
        <f>J6/VLOOKUP(A6,'[12]geoMap (9)'!$A:$B,2,0)*VLOOKUP(A6,'[12]geoMap (9)'!$A:$C,3,0)</f>
        <v>#DIV/0!</v>
      </c>
      <c r="L6" s="1" t="e">
        <f>K6/VLOOKUP(A6,'[13]geoMap (10)'!$A:$B,2,0)*VLOOKUP(A6,'[13]geoMap (10)'!$A:$C,3,0)</f>
        <v>#DIV/0!</v>
      </c>
      <c r="M6" s="1" t="e">
        <f>L6/VLOOKUP(A6,'[14]geoMap (11)'!$A:$B,2,0)*VLOOKUP(A6,'[14]geoMap (11)'!$A:$C,3,0)</f>
        <v>#DIV/0!</v>
      </c>
      <c r="N6" s="1" t="e">
        <f>M6/VLOOKUP(A6,'[15]geoMap (12)'!$A:$B,2,0)*VLOOKUP(A6,'[15]geoMap (12)'!$A:$C,3,0)</f>
        <v>#DIV/0!</v>
      </c>
      <c r="O6" s="1" t="e">
        <f>N6/VLOOKUP(A6,'[16]geoMap (13)'!$A:$B,2,0)*VLOOKUP(A6,'[16]geoMap (13)'!$A:$C,3,0)</f>
        <v>#DIV/0!</v>
      </c>
      <c r="P6" s="1" t="e">
        <f>O6/VLOOKUP(A6,'[17]geoMap (14)'!$A:$B,2,0)*VLOOKUP(A6,'[17]geoMap (14)'!$A:$C,3,0)</f>
        <v>#DIV/0!</v>
      </c>
      <c r="Q6" s="1" t="e">
        <f>P6/VLOOKUP(A6,'[18]geoMap (15)'!$A:$B,2,0)*VLOOKUP(A6,'[18]geoMap (15)'!$A:$C,3,0)</f>
        <v>#DIV/0!</v>
      </c>
      <c r="R6" s="1" t="e">
        <f>Q6/VLOOKUP(A6,'[19]geoMap (16)'!$A:$B,2,0)*VLOOKUP(A6,'[19]geoMap (16)'!$A:$C,3,0)</f>
        <v>#DIV/0!</v>
      </c>
      <c r="S6" s="1" t="e">
        <f>R6/VLOOKUP(A6,'[20]geoMap (17)'!$A:$B,2,0)*VLOOKUP(A6,'[20]geoMap (17)'!$A:$C,3,0)</f>
        <v>#DIV/0!</v>
      </c>
      <c r="T6" s="1" t="e">
        <f>S6/VLOOKUP(A6,'[21]geoMap (18)'!$A:$B,2,0)*VLOOKUP(A6,'[21]geoMap (18)'!$A:$C,3,0)</f>
        <v>#DIV/0!</v>
      </c>
      <c r="U6" s="1" t="e">
        <f>T6/VLOOKUP(A6,'[22]geoMap (19)'!$A:$B,2,0)*VLOOKUP(A6,'[22]geoMap (19)'!$A:$C,3,0)</f>
        <v>#DIV/0!</v>
      </c>
      <c r="V6" s="1" t="e">
        <f>U6/VLOOKUP(A6,'[23]geoMap (20)'!$A:$B,2,0)*VLOOKUP(A6,'[23]geoMap (20)'!$A:$C,3,0)</f>
        <v>#DIV/0!</v>
      </c>
      <c r="W6" s="1" t="e">
        <f>V6/VLOOKUP(A6,'[24]geoMap (21)'!$A:$B,2,0)*VLOOKUP(A6,'[24]geoMap (21)'!$A:$C,3,0)</f>
        <v>#DIV/0!</v>
      </c>
      <c r="X6" s="1" t="e">
        <f>W6/VLOOKUP(A6,'[25]geoMap (22)'!$A:$B,2,0)*VLOOKUP(A6,'[25]geoMap (22)'!$A:$C,3,0)</f>
        <v>#DIV/0!</v>
      </c>
      <c r="Y6" s="1" t="e">
        <f>X6/VLOOKUP(A6,'[26]geoMap (23)'!$A:$B,2,0)*VLOOKUP(A6,'[26]geoMap (23)'!$A:$C,3,0)</f>
        <v>#DIV/0!</v>
      </c>
      <c r="Z6" s="1" t="e">
        <f>Y6/VLOOKUP(A6,'[27]geoMap (24)'!$A:$B,2,0)*VLOOKUP(A6,'[27]geoMap (24)'!$A:$C,3,0)</f>
        <v>#DIV/0!</v>
      </c>
      <c r="AA6" s="1" t="e">
        <f>Z6/VLOOKUP(A6,'[28]geoMap (25)'!$A:$B,2,0)*VLOOKUP(A6,'[28]geoMap (25)'!$A:$C,3,0)</f>
        <v>#DIV/0!</v>
      </c>
      <c r="AB6" s="1" t="e">
        <f>AA6*VLOOKUP(A6,'[29]geoMap (26)'!$A:$B,2,0)*VLOOKUP(A6,'[29]geoMap (26)'!$A:$C,3,0)</f>
        <v>#DIV/0!</v>
      </c>
      <c r="AC6" s="1" t="e">
        <f>AB6/VLOOKUP(A6,'[30]geoMap (27)'!$A:$B,2,0)*VLOOKUP(A6,'[30]geoMap (27)'!$A:$C,3,0)</f>
        <v>#DIV/0!</v>
      </c>
      <c r="AD6" s="1" t="e">
        <f>AC6/VLOOKUP(A6,'[31]geoMap (28)'!$A:$B,2,0)*VLOOKUP(A6,'[31]geoMap (28)'!$A:$C,3,0)</f>
        <v>#DIV/0!</v>
      </c>
      <c r="AE6" s="1" t="e">
        <f>AD6/VLOOKUP(A6,'[32]geoMap (29)'!$A:$B,2,0)*VLOOKUP(A6,'[32]geoMap (29)'!$A:$C,3,0)</f>
        <v>#DIV/0!</v>
      </c>
      <c r="AF6" s="1" t="e">
        <f>AE6/VLOOKUP(A6,'[33]geoMap (30)'!$A:$B,2,0)*VLOOKUP(A6,'[33]geoMap (30)'!$A:$C,3,0)</f>
        <v>#DIV/0!</v>
      </c>
      <c r="AG6" s="1" t="e">
        <f>AF6/VLOOKUP(A6,'[34]geoMap (31)'!$A:$B,2,0)*VLOOKUP(A6,'[34]geoMap (31)'!$A:$C,3,0)</f>
        <v>#DIV/0!</v>
      </c>
      <c r="AH6" s="1" t="e">
        <f>AG6/VLOOKUP(A6,'[35]geoMap (32)'!$A:$B,2,0)*VLOOKUP(A6,'[35]geoMap (32)'!$A:$C,3,0)</f>
        <v>#DIV/0!</v>
      </c>
      <c r="AI6" s="1" t="e">
        <f>AH6/VLOOKUP(A6,'[36]geoMap (33)'!$A:$B,2,0)*VLOOKUP(A6,'[36]geoMap (33)'!$A:$C,3,0)</f>
        <v>#DIV/0!</v>
      </c>
      <c r="AJ6" s="1" t="e">
        <f>AI6/VLOOKUP(A6,'[37]geoMap (34)'!$A:$B,2,0)*VLOOKUP(A6,'[37]geoMap (34)'!$A:$C,3,0)</f>
        <v>#DIV/0!</v>
      </c>
      <c r="AK6" s="1" t="e">
        <f>AJ6/VLOOKUP(A6,'[38]geoMap (35)'!$A:$B,2,0)*VLOOKUP(A6,'[38]geoMap (35)'!$A:$C,3,0)</f>
        <v>#DIV/0!</v>
      </c>
      <c r="AL6" s="1" t="e">
        <f>AK6/VLOOKUP(A6,'[39]geoMap (36)'!$A:$B,2,0)*VLOOKUP(A6,'[39]geoMap (36)'!$A:$C,3,0)</f>
        <v>#DIV/0!</v>
      </c>
      <c r="AM6" s="1" t="e">
        <f>AL6/VLOOKUP(A6,'[40]geoMap (37)'!$A:$B,2,0)*VLOOKUP(A6,'[40]geoMap (37)'!$A:$C,3,0)</f>
        <v>#DIV/0!</v>
      </c>
      <c r="AN6" s="1" t="e">
        <f>AM6/VLOOKUP(A6,'[41]geoMap (38)'!$A:$B,2,0)*VLOOKUP(A6,'[41]geoMap (38)'!$A:$C,3,0)</f>
        <v>#DIV/0!</v>
      </c>
      <c r="AO6" s="1" t="e">
        <f>AN6/VLOOKUP(A6,'[42]geoMap (39)'!$A:$B,2,0)*VLOOKUP(A6,'[42]geoMap (39)'!$A:$C,3,0)</f>
        <v>#DIV/0!</v>
      </c>
      <c r="AP6" s="1" t="e">
        <f>AO6/VLOOKUP(A6,'[43]geoMap (40)'!$A:$B,2,0)*VLOOKUP(A6,'[43]geoMap (40)'!$A:$C,3,0)</f>
        <v>#DIV/0!</v>
      </c>
      <c r="AQ6" s="1" t="e">
        <f>AP6/VLOOKUP(A6,'[44]geoMap (41)'!$A:$B,2,0)*VLOOKUP(A6,'[44]geoMap (41)'!$A:$C,3,0)</f>
        <v>#DIV/0!</v>
      </c>
      <c r="AR6" s="1" t="e">
        <f>AQ6/VLOOKUP(A6,'[45]geoMap (42)'!$A:$B,2,0)*VLOOKUP(A6,'[45]geoMap (42)'!$A:$C,3,0)</f>
        <v>#DIV/0!</v>
      </c>
      <c r="AS6" s="1" t="e">
        <f>AR6/VLOOKUP(A6,'[46]geoMap (43)'!$A:$B,2,0)*VLOOKUP(A6,'[46]geoMap (43)'!$A:$C,3,0)</f>
        <v>#DIV/0!</v>
      </c>
      <c r="AT6" s="1" t="e">
        <f>AS6/VLOOKUP(A6,'[47]geoMap (44)'!$A:$B,2,0)*VLOOKUP(A6,'[47]geoMap (44)'!$A:$C,3,0)</f>
        <v>#DIV/0!</v>
      </c>
      <c r="AU6" s="1" t="e">
        <f>AT6/VLOOKUP(A6,'[48]geoMap (45)'!$A:$B,2,0)*VLOOKUP(A6,'[48]geoMap (45)'!$A:$C,3,0)</f>
        <v>#DIV/0!</v>
      </c>
      <c r="AV6" s="1" t="e">
        <f>AU6/VLOOKUP(A6,'[49]geoMap (46)'!$A:$B,2,0)*VLOOKUP(A6,'[49]geoMap (46)'!$A:$C,3,0)</f>
        <v>#DIV/0!</v>
      </c>
      <c r="AW6" s="1" t="e">
        <f>AV6/VLOOKUP(A6,'[50]geoMap (47)'!$A:$B,2,0)*VLOOKUP(A6,'[50]geoMap (47)'!$A:$C,3,0)</f>
        <v>#DIV/0!</v>
      </c>
      <c r="AX6" s="4" t="e">
        <f>AW6/VLOOKUP(A6,'[51]geoMap (48)'!$A:$B,2,0)*VLOOKUP(A6,'[51]geoMap (48)'!$A:$C,3,0)</f>
        <v>#DIV/0!</v>
      </c>
      <c r="AY6" s="1" t="e">
        <f>AX6/VLOOKUP(A6,'[52]geoMap (49)'!$A:$B,2,0)*VLOOKUP(A6,'[52]geoMap (49)'!$A:$C,3,0)</f>
        <v>#DIV/0!</v>
      </c>
      <c r="AZ6" s="4" t="e">
        <f>AY6/VLOOKUP(A6,'[53]geoMap (50)'!$A:$B,2,0)*VLOOKUP(A6,'[53]geoMap (50)'!$A:$C,3,0)</f>
        <v>#DIV/0!</v>
      </c>
      <c r="BA6" s="1" t="e">
        <f>AZ6/VLOOKUP(A6,'[54]geoMap (51)'!$A:$B,2,0)*VLOOKUP(A6,'[54]geoMap (51)'!$A:$C,3,0)</f>
        <v>#DIV/0!</v>
      </c>
      <c r="BB6" s="4" t="e">
        <f>BA6/VLOOKUP(A6,'[55]geoMap (52)'!$A:$B,2,0)*VLOOKUP(A6,'[55]geoMap (52)'!$A:$C,3,0)</f>
        <v>#DIV/0!</v>
      </c>
      <c r="BC6" s="1" t="e">
        <f>BB6/VLOOKUP(A6,'[56]geoMap (53)'!$A:$B,2,0)*VLOOKUP(A6,'[56]geoMap (53)'!$A:$C,3,0)</f>
        <v>#DIV/0!</v>
      </c>
      <c r="BD6" s="4" t="e">
        <f>BC6/VLOOKUP(A6,'[57]geoMap (54)'!$A:$B,2,0)*VLOOKUP(A6,'[57]geoMap (54)'!$A:$C,3,0)</f>
        <v>#DIV/0!</v>
      </c>
      <c r="BE6" s="1" t="e">
        <f>BD6/VLOOKUP(A6,'[58]geoMap (55)'!$A:$B,2,0)*VLOOKUP(A6,'[58]geoMap (55)'!$A:$C,3,0)</f>
        <v>#DIV/0!</v>
      </c>
      <c r="BF6" s="4" t="e">
        <f>BE6/VLOOKUP(A6,'[59]geoMap (56)'!$A:$B,2,0)*VLOOKUP(A6,'[59]geoMap (56)'!$A:$C,3,0)</f>
        <v>#DIV/0!</v>
      </c>
      <c r="BG6" s="1" t="e">
        <f>BF6/VLOOKUP(A6,'[60]geoMap (57)'!$A:$B,2,0)*VLOOKUP(A6,'[60]geoMap (57)'!$A:$C,3,0)</f>
        <v>#DIV/0!</v>
      </c>
      <c r="BH6" s="4" t="e">
        <f>BG6/VLOOKUP(A6,'[61]geoMap (58)'!$A:$B,2,0)*VLOOKUP(A6,'[61]geoMap (58)'!$A:$C,3,0)</f>
        <v>#DIV/0!</v>
      </c>
      <c r="BI6" s="1" t="e">
        <f>BH6/VLOOKUP(A6,'[62]geoMap (59)'!$A:$B,2,0)*VLOOKUP(A6,'[62]geoMap (59)'!$A:$C,3,0)</f>
        <v>#DIV/0!</v>
      </c>
      <c r="BJ6" s="4" t="e">
        <f>BI6/VLOOKUP(A6,'[63]geoMap (60)'!$A:$B,2,0)*VLOOKUP(A6,'[63]geoMap (60)'!$A:$C,3,0)</f>
        <v>#DIV/0!</v>
      </c>
      <c r="BK6" s="1" t="e">
        <f>BJ6/VLOOKUP(A6,'[64]geoMap (61)'!$A:$B,2,0)*VLOOKUP(A6,'[64]geoMap (61)'!$A:$C,3,0)</f>
        <v>#DIV/0!</v>
      </c>
      <c r="BL6" s="4" t="e">
        <f>BK6/VLOOKUP(A6,'[65]geoMap (62)'!$A:$B,2,0)*VLOOKUP(A6,'[65]geoMap (62)'!$A:$C,3,0)</f>
        <v>#DIV/0!</v>
      </c>
      <c r="BM6" s="1" t="e">
        <f>BL6/VLOOKUP(A6,'[66]geoMap (63)'!$A:$B,2,0)*VLOOKUP(A6,'[66]geoMap (63)'!$A:$C,3,0)</f>
        <v>#DIV/0!</v>
      </c>
      <c r="BN6" s="4" t="e">
        <f>BM6/VLOOKUP(A6,'[67]geoMap (64)'!$A:$B,2,0)*VLOOKUP(A6,'[67]geoMap (64)'!$A:$C,3,0)</f>
        <v>#DIV/0!</v>
      </c>
      <c r="BO6" s="1" t="e">
        <f>BN6/VLOOKUP(A6,'[68]geoMap (65)'!$A:$B,2,0)*VLOOKUP(A6,'[68]geoMap (65)'!$A:$C,3,0)</f>
        <v>#DIV/0!</v>
      </c>
      <c r="BP6" s="4" t="e">
        <f>BO6/VLOOKUP(A6,'[69]geoMap (66)'!$A:$B,2,0)*VLOOKUP(A6,'[69]geoMap (66)'!$A:$C,3,0)</f>
        <v>#DIV/0!</v>
      </c>
    </row>
    <row r="7" spans="1:68" x14ac:dyDescent="0.2">
      <c r="A7" s="1" t="s">
        <v>11</v>
      </c>
      <c r="B7" s="1">
        <f>VLOOKUP(A7,[3]geoMap!$A:$B,2,0)*Notes!$C$6</f>
        <v>21000</v>
      </c>
      <c r="C7" s="1">
        <f>B7/VLOOKUP(A7,'[4]geoMap (1)'!$A:$B,2,0)*VLOOKUP(A7,'[4]geoMap (1)'!$A:$C,3,0)</f>
        <v>17888.888888888887</v>
      </c>
      <c r="D7" s="1">
        <f>C7/VLOOKUP(A7,'[5]geoMap (2)'!$A:$B,2,0)*VLOOKUP(A7,'[5]geoMap (2)'!$A:$C,3,0)</f>
        <v>15238.683127572016</v>
      </c>
      <c r="E7" s="1">
        <f>D7/VLOOKUP(A7,'[6]geoMap (3)'!$A:$B,2,0)*VLOOKUP(A7,'[6]geoMap (3)'!$A:$C,3,0)</f>
        <v>4812.2157244964264</v>
      </c>
      <c r="F7" s="1">
        <f>E7/VLOOKUP(A7,'[7]geoMap (4)'!$A:$B,2,0)*VLOOKUP(A7,'[7]geoMap (4)'!$A:$C,3,0)</f>
        <v>5649.1228070175439</v>
      </c>
      <c r="G7" s="1">
        <f>F7/VLOOKUP(A7,'[8]geoMap (5)'!$A:$B,2,0)*VLOOKUP(A7,'[8]geoMap (5)'!$A:$C,3,0)</f>
        <v>8473.6842105263149</v>
      </c>
      <c r="H7" s="1">
        <f>G7/VLOOKUP(A7,'[9]geoMap (6)'!$A:$B,2,0)*VLOOKUP(A7,'[9]geoMap (6)'!$A:$C,3,0)</f>
        <v>6657.8947368421041</v>
      </c>
      <c r="I7" s="1">
        <f>H7/VLOOKUP(A7,'[10]geoMap (7)'!$A:$B,2,0)*VLOOKUP(A7,'[10]geoMap (7)'!$A:$C,3,0)</f>
        <v>2853.3834586466164</v>
      </c>
      <c r="J7" s="1">
        <f>I7/VLOOKUP(A7,'[11]geoMap (8)'!$A:$B,2,0)*VLOOKUP(A7,'[11]geoMap (8)'!$A:$C,3,0)</f>
        <v>1605.0281954887216</v>
      </c>
      <c r="K7" s="1">
        <f>J7/VLOOKUP(A7,'[12]geoMap (9)'!$A:$B,2,0)*VLOOKUP(A7,'[12]geoMap (9)'!$A:$C,3,0)</f>
        <v>2407.5422932330821</v>
      </c>
      <c r="L7" s="1">
        <f>K7/VLOOKUP(A7,'[13]geoMap (10)'!$A:$B,2,0)*VLOOKUP(A7,'[13]geoMap (10)'!$A:$C,3,0)</f>
        <v>2313.1288699690394</v>
      </c>
      <c r="M7" s="1">
        <f>L7/VLOOKUP(A7,'[14]geoMap (11)'!$A:$B,2,0)*VLOOKUP(A7,'[14]geoMap (11)'!$A:$C,3,0)</f>
        <v>1607.428536758146</v>
      </c>
      <c r="N7" s="1">
        <f>M7/VLOOKUP(A7,'[15]geoMap (12)'!$A:$B,2,0)*VLOOKUP(A7,'[15]geoMap (12)'!$A:$C,3,0)</f>
        <v>1607.428536758146</v>
      </c>
      <c r="O7" s="1">
        <f>N7/VLOOKUP(A7,'[16]geoMap (13)'!$A:$B,2,0)*VLOOKUP(A7,'[16]geoMap (13)'!$A:$C,3,0)</f>
        <v>1163.9999748938299</v>
      </c>
      <c r="P7" s="1">
        <f>O7/VLOOKUP(A7,'[17]geoMap (14)'!$A:$B,2,0)*VLOOKUP(A7,'[17]geoMap (14)'!$A:$C,3,0)</f>
        <v>273.03703114793541</v>
      </c>
      <c r="Q7" s="1">
        <f>P7/VLOOKUP(A7,'[18]geoMap (15)'!$A:$B,2,0)*VLOOKUP(A7,'[18]geoMap (15)'!$A:$C,3,0)</f>
        <v>1333.0631520752138</v>
      </c>
      <c r="R7" s="1">
        <f>Q7/VLOOKUP(A7,'[19]geoMap (16)'!$A:$B,2,0)*VLOOKUP(A7,'[19]geoMap (16)'!$A:$C,3,0)</f>
        <v>1767.0837132159809</v>
      </c>
      <c r="S7" s="1">
        <f>R7/VLOOKUP(A7,'[20]geoMap (17)'!$A:$B,2,0)*VLOOKUP(A7,'[20]geoMap (17)'!$A:$C,3,0)</f>
        <v>721.76658708821753</v>
      </c>
      <c r="T7" s="1">
        <f>S7/VLOOKUP(A7,'[21]geoMap (18)'!$A:$B,2,0)*VLOOKUP(A7,'[21]geoMap (18)'!$A:$C,3,0)</f>
        <v>405.9937052371223</v>
      </c>
      <c r="U7" s="1">
        <f>T7/VLOOKUP(A7,'[22]geoMap (19)'!$A:$B,2,0)*VLOOKUP(A7,'[22]geoMap (19)'!$A:$C,3,0)</f>
        <v>345.84648964643753</v>
      </c>
      <c r="V7" s="1">
        <f>U7/VLOOKUP(A7,'[23]geoMap (20)'!$A:$B,2,0)*VLOOKUP(A7,'[23]geoMap (20)'!$A:$C,3,0)</f>
        <v>109.21468094098027</v>
      </c>
      <c r="W7" s="1">
        <f>V7/VLOOKUP(A7,'[24]geoMap (21)'!$A:$B,2,0)*VLOOKUP(A7,'[24]geoMap (21)'!$A:$C,3,0)</f>
        <v>157.16258964677647</v>
      </c>
      <c r="X7" s="1">
        <f>W7/VLOOKUP(A7,'[25]geoMap (22)'!$A:$B,2,0)*VLOOKUP(A7,'[25]geoMap (22)'!$A:$C,3,0)</f>
        <v>80.962546181672721</v>
      </c>
      <c r="Y7" s="1">
        <f>X7/VLOOKUP(A7,'[26]geoMap (23)'!$A:$B,2,0)*VLOOKUP(A7,'[26]geoMap (23)'!$A:$C,3,0)</f>
        <v>111.80542091754805</v>
      </c>
      <c r="Z7" s="1">
        <f>Y7/VLOOKUP(A7,'[27]geoMap (24)'!$A:$B,2,0)*VLOOKUP(A7,'[27]geoMap (24)'!$A:$C,3,0)</f>
        <v>136.6510700103365</v>
      </c>
      <c r="AA7" s="1">
        <f>Z7/VLOOKUP(A7,'[28]geoMap (25)'!$A:$B,2,0)*VLOOKUP(A7,'[28]geoMap (25)'!$A:$C,3,0)</f>
        <v>98.954223110933341</v>
      </c>
      <c r="AB7" s="1">
        <f>AA7*VLOOKUP(A7,'[29]geoMap (26)'!$A:$B,2,0)*VLOOKUP(A7,'[29]geoMap (26)'!$A:$C,3,0)</f>
        <v>23.937026570534773</v>
      </c>
      <c r="AC7" s="1">
        <f>AB7/VLOOKUP(A7,'[30]geoMap (27)'!$A:$B,2,0)*VLOOKUP(A7,'[30]geoMap (27)'!$A:$C,3,0)</f>
        <v>18.057756886543778</v>
      </c>
      <c r="AD7" s="1">
        <f>AC7/VLOOKUP(A7,'[31]geoMap (28)'!$A:$B,2,0)*VLOOKUP(A7,'[31]geoMap (28)'!$A:$C,3,0)</f>
        <v>36.662718527225245</v>
      </c>
      <c r="AE7" s="1">
        <f>AD7/VLOOKUP(A7,'[32]geoMap (29)'!$A:$B,2,0)*VLOOKUP(A7,'[32]geoMap (29)'!$A:$C,3,0)</f>
        <v>7.5092315055762562</v>
      </c>
      <c r="AF7" s="1">
        <f>AE7/VLOOKUP(A7,'[33]geoMap (30)'!$A:$B,2,0)*VLOOKUP(A7,'[33]geoMap (30)'!$A:$C,3,0)</f>
        <v>12.785988779764978</v>
      </c>
      <c r="AG7" s="1">
        <f>AF7/VLOOKUP(A7,'[34]geoMap (31)'!$A:$B,2,0)*VLOOKUP(A7,'[34]geoMap (31)'!$A:$C,3,0)</f>
        <v>5.4797094770421335</v>
      </c>
      <c r="AH7" s="1">
        <f>AG7/VLOOKUP(A7,'[35]geoMap (32)'!$A:$B,2,0)*VLOOKUP(A7,'[35]geoMap (32)'!$A:$C,3,0)</f>
        <v>1.9253033297715605</v>
      </c>
      <c r="AI7" s="1">
        <f>AH7/VLOOKUP(A7,'[36]geoMap (33)'!$A:$B,2,0)*VLOOKUP(A7,'[36]geoMap (33)'!$A:$C,3,0)</f>
        <v>15.577454213606261</v>
      </c>
      <c r="AJ7" s="1">
        <f>AI7/VLOOKUP(A7,'[37]geoMap (34)'!$A:$B,2,0)*VLOOKUP(A7,'[37]geoMap (34)'!$A:$C,3,0)</f>
        <v>8.0247491403426192</v>
      </c>
      <c r="AK7" s="1">
        <f>AJ7/VLOOKUP(A7,'[38]geoMap (35)'!$A:$B,2,0)*VLOOKUP(A7,'[38]geoMap (35)'!$A:$C,3,0)</f>
        <v>11.547809738541819</v>
      </c>
      <c r="AL7" s="1">
        <f>AK7/VLOOKUP(A7,'[39]geoMap (36)'!$A:$B,2,0)*VLOOKUP(A7,'[39]geoMap (36)'!$A:$C,3,0)</f>
        <v>1.0041573685688538</v>
      </c>
      <c r="AM7" s="1">
        <f>AL7/VLOOKUP(A7,'[40]geoMap (37)'!$A:$B,2,0)*VLOOKUP(A7,'[40]geoMap (37)'!$A:$C,3,0)</f>
        <v>6.7201300819607912</v>
      </c>
      <c r="AN7" s="1">
        <f>AM7/VLOOKUP(A7,'[41]geoMap (38)'!$A:$B,2,0)*VLOOKUP(A7,'[41]geoMap (38)'!$A:$C,3,0)</f>
        <v>2.2400433606535972</v>
      </c>
      <c r="AO7" s="1">
        <f>AN7/VLOOKUP(A7,'[42]geoMap (39)'!$A:$B,2,0)*VLOOKUP(A7,'[42]geoMap (39)'!$A:$C,3,0)</f>
        <v>4.7600921413888946</v>
      </c>
      <c r="AP7" s="1">
        <f>AO7/VLOOKUP(A7,'[43]geoMap (40)'!$A:$B,2,0)*VLOOKUP(A7,'[43]geoMap (40)'!$A:$C,3,0)</f>
        <v>8.4623860291358124</v>
      </c>
      <c r="AQ7" s="1">
        <f>AP7/VLOOKUP(A7,'[44]geoMap (41)'!$A:$B,2,0)*VLOOKUP(A7,'[44]geoMap (41)'!$A:$C,3,0)</f>
        <v>2.6723324302534142</v>
      </c>
      <c r="AR7" s="1">
        <f>AQ7/VLOOKUP(A7,'[45]geoMap (42)'!$A:$B,2,0)*VLOOKUP(A7,'[45]geoMap (42)'!$A:$C,3,0)</f>
        <v>2.0996897666276824</v>
      </c>
      <c r="AS7" s="1">
        <f>AR7/VLOOKUP(A7,'[46]geoMap (43)'!$A:$B,2,0)*VLOOKUP(A7,'[46]geoMap (43)'!$A:$C,3,0)</f>
        <v>1.9381751691947835</v>
      </c>
      <c r="AT7" s="1">
        <f>AS7/VLOOKUP(A7,'[47]geoMap (44)'!$A:$B,2,0)*VLOOKUP(A7,'[47]geoMap (44)'!$A:$C,3,0)</f>
        <v>0.54666479131134915</v>
      </c>
      <c r="AU7" s="1">
        <f>AT7/VLOOKUP(A7,'[48]geoMap (45)'!$A:$B,2,0)*VLOOKUP(A7,'[48]geoMap (45)'!$A:$C,3,0)</f>
        <v>0.66814585604720456</v>
      </c>
      <c r="AV7" s="1">
        <f>AU7/VLOOKUP(A7,'[49]geoMap (46)'!$A:$B,2,0)*VLOOKUP(A7,'[49]geoMap (46)'!$A:$C,3,0)</f>
        <v>0.96147818309231869</v>
      </c>
      <c r="AW7" s="1">
        <f>AV7/VLOOKUP(A7,'[50]geoMap (47)'!$A:$B,2,0)*VLOOKUP(A7,'[50]geoMap (47)'!$A:$C,3,0)</f>
        <v>0.45246032145520881</v>
      </c>
      <c r="AX7" s="4">
        <f>AW7/VLOOKUP(A7,'[51]geoMap (48)'!$A:$B,2,0)*VLOOKUP(A7,'[51]geoMap (48)'!$A:$C,3,0)</f>
        <v>0.28927791043857615</v>
      </c>
      <c r="AY7" s="1">
        <f>AX7/VLOOKUP(A7,'[52]geoMap (49)'!$A:$B,2,0)*VLOOKUP(A7,'[52]geoMap (49)'!$A:$C,3,0)</f>
        <v>0.8678337313157285</v>
      </c>
      <c r="AZ7" s="4">
        <f>AY7/VLOOKUP(A7,'[53]geoMap (50)'!$A:$B,2,0)*VLOOKUP(A7,'[53]geoMap (50)'!$A:$C,3,0)</f>
        <v>0.15314712905571681</v>
      </c>
      <c r="BA7" s="1">
        <f>AZ7/VLOOKUP(A7,'[54]geoMap (51)'!$A:$B,2,0)*VLOOKUP(A7,'[54]geoMap (51)'!$A:$C,3,0)</f>
        <v>0.41406446003953057</v>
      </c>
      <c r="BB7" s="4">
        <f>BA7/VLOOKUP(A7,'[55]geoMap (52)'!$A:$B,2,0)*VLOOKUP(A7,'[55]geoMap (52)'!$A:$C,3,0)</f>
        <v>0.23291125877223595</v>
      </c>
      <c r="BC7" s="1">
        <f>BB7/VLOOKUP(A7,'[56]geoMap (53)'!$A:$B,2,0)*VLOOKUP(A7,'[56]geoMap (53)'!$A:$C,3,0)</f>
        <v>0.10960529824575808</v>
      </c>
      <c r="BD7" s="4" t="e">
        <f>BC7/VLOOKUP(A7,'[57]geoMap (54)'!$A:$B,2,0)*VLOOKUP(A7,'[57]geoMap (54)'!$A:$C,3,0)</f>
        <v>#REF!</v>
      </c>
      <c r="BE7" s="1" t="e">
        <f>BD7/VLOOKUP(A7,'[58]geoMap (55)'!$A:$B,2,0)*VLOOKUP(A7,'[58]geoMap (55)'!$A:$C,3,0)</f>
        <v>#REF!</v>
      </c>
      <c r="BF7" s="4" t="e">
        <f>BE7/VLOOKUP(A7,'[59]geoMap (56)'!$A:$B,2,0)*VLOOKUP(A7,'[59]geoMap (56)'!$A:$C,3,0)</f>
        <v>#REF!</v>
      </c>
      <c r="BG7" s="1" t="e">
        <f>BF7/VLOOKUP(A7,'[60]geoMap (57)'!$A:$B,2,0)*VLOOKUP(A7,'[60]geoMap (57)'!$A:$C,3,0)</f>
        <v>#REF!</v>
      </c>
      <c r="BH7" s="4" t="e">
        <f>BG7/VLOOKUP(A7,'[61]geoMap (58)'!$A:$B,2,0)*VLOOKUP(A7,'[61]geoMap (58)'!$A:$C,3,0)</f>
        <v>#REF!</v>
      </c>
      <c r="BI7" s="1" t="e">
        <f>BH7/VLOOKUP(A7,'[62]geoMap (59)'!$A:$B,2,0)*VLOOKUP(A7,'[62]geoMap (59)'!$A:$C,3,0)</f>
        <v>#REF!</v>
      </c>
      <c r="BJ7" s="4" t="e">
        <f>BI7/VLOOKUP(A7,'[63]geoMap (60)'!$A:$B,2,0)*VLOOKUP(A7,'[63]geoMap (60)'!$A:$C,3,0)</f>
        <v>#REF!</v>
      </c>
      <c r="BK7" s="1" t="e">
        <f>BJ7/VLOOKUP(A7,'[64]geoMap (61)'!$A:$B,2,0)*VLOOKUP(A7,'[64]geoMap (61)'!$A:$C,3,0)</f>
        <v>#REF!</v>
      </c>
      <c r="BL7" s="4" t="e">
        <f>BK7/VLOOKUP(A7,'[65]geoMap (62)'!$A:$B,2,0)*VLOOKUP(A7,'[65]geoMap (62)'!$A:$C,3,0)</f>
        <v>#REF!</v>
      </c>
      <c r="BM7" s="1" t="e">
        <f>BL7/VLOOKUP(A7,'[66]geoMap (63)'!$A:$B,2,0)*VLOOKUP(A7,'[66]geoMap (63)'!$A:$C,3,0)</f>
        <v>#REF!</v>
      </c>
      <c r="BN7" s="4" t="e">
        <f>BM7/VLOOKUP(A7,'[67]geoMap (64)'!$A:$B,2,0)*VLOOKUP(A7,'[67]geoMap (64)'!$A:$C,3,0)</f>
        <v>#REF!</v>
      </c>
      <c r="BO7" s="1" t="e">
        <f>BN7/VLOOKUP(A7,'[68]geoMap (65)'!$A:$B,2,0)*VLOOKUP(A7,'[68]geoMap (65)'!$A:$C,3,0)</f>
        <v>#REF!</v>
      </c>
      <c r="BP7" s="4" t="e">
        <f>BO7/VLOOKUP(A7,'[69]geoMap (66)'!$A:$B,2,0)*VLOOKUP(A7,'[69]geoMap (66)'!$A:$C,3,0)</f>
        <v>#REF!</v>
      </c>
    </row>
    <row r="8" spans="1:68" x14ac:dyDescent="0.2">
      <c r="A8" s="1" t="s">
        <v>16</v>
      </c>
      <c r="B8" s="1">
        <f>VLOOKUP(A8,[3]geoMap!$A:$B,2,0)*Notes!$C$6</f>
        <v>15000</v>
      </c>
      <c r="C8" s="1">
        <f>B8/VLOOKUP(A8,'[4]geoMap (1)'!$A:$B,2,0)*VLOOKUP(A8,'[4]geoMap (1)'!$A:$C,3,0)</f>
        <v>6428.5714285714294</v>
      </c>
      <c r="D8" s="1">
        <f>C8/VLOOKUP(A8,'[5]geoMap (2)'!$A:$B,2,0)*VLOOKUP(A8,'[5]geoMap (2)'!$A:$C,3,0)</f>
        <v>7249.2401215805494</v>
      </c>
      <c r="E8" s="1">
        <f>D8/VLOOKUP(A8,'[6]geoMap (3)'!$A:$B,2,0)*VLOOKUP(A8,'[6]geoMap (3)'!$A:$C,3,0)</f>
        <v>6964.9561952440563</v>
      </c>
      <c r="F8" s="1">
        <f>E8/VLOOKUP(A8,'[7]geoMap (4)'!$A:$B,2,0)*VLOOKUP(A8,'[7]geoMap (4)'!$A:$C,3,0)</f>
        <v>4268.8441196657113</v>
      </c>
      <c r="G8" s="1">
        <f>F8/VLOOKUP(A8,'[8]geoMap (5)'!$A:$B,2,0)*VLOOKUP(A8,'[8]geoMap (5)'!$A:$C,3,0)</f>
        <v>4268.8441196657113</v>
      </c>
      <c r="H8" s="1">
        <f>G8/VLOOKUP(A8,'[9]geoMap (6)'!$A:$B,2,0)*VLOOKUP(A8,'[9]geoMap (6)'!$A:$C,3,0)</f>
        <v>3091.2319487234463</v>
      </c>
      <c r="I8" s="1">
        <f>H8/VLOOKUP(A8,'[10]geoMap (7)'!$A:$B,2,0)*VLOOKUP(A8,'[10]geoMap (7)'!$A:$C,3,0)</f>
        <v>1664.5095108510861</v>
      </c>
      <c r="J8" s="1">
        <f>I8/VLOOKUP(A8,'[11]geoMap (8)'!$A:$B,2,0)*VLOOKUP(A8,'[11]geoMap (8)'!$A:$C,3,0)</f>
        <v>857.47459649904431</v>
      </c>
      <c r="K8" s="1">
        <f>J8/VLOOKUP(A8,'[12]geoMap (9)'!$A:$B,2,0)*VLOOKUP(A8,'[12]geoMap (9)'!$A:$C,3,0)</f>
        <v>1233.9268583766736</v>
      </c>
      <c r="L8" s="1">
        <f>K8/VLOOKUP(A8,'[13]geoMap (10)'!$A:$B,2,0)*VLOOKUP(A8,'[13]geoMap (10)'!$A:$C,3,0)</f>
        <v>893.5332422727638</v>
      </c>
      <c r="M8" s="1">
        <f>L8/VLOOKUP(A8,'[14]geoMap (11)'!$A:$B,2,0)*VLOOKUP(A8,'[14]geoMap (11)'!$A:$C,3,0)</f>
        <v>702.06183321431433</v>
      </c>
      <c r="N8" s="1">
        <f>M8/VLOOKUP(A8,'[15]geoMap (12)'!$A:$B,2,0)*VLOOKUP(A8,'[15]geoMap (12)'!$A:$C,3,0)</f>
        <v>598.05267273811955</v>
      </c>
      <c r="O8" s="1">
        <f>N8/VLOOKUP(A8,'[16]geoMap (13)'!$A:$B,2,0)*VLOOKUP(A8,'[16]geoMap (13)'!$A:$C,3,0)</f>
        <v>469.89852857995106</v>
      </c>
      <c r="P8" s="1">
        <f>O8/VLOOKUP(A8,'[17]geoMap (14)'!$A:$B,2,0)*VLOOKUP(A8,'[17]geoMap (14)'!$A:$C,3,0)</f>
        <v>340.27134828203356</v>
      </c>
      <c r="Q8" s="1">
        <f>P8/VLOOKUP(A8,'[18]geoMap (15)'!$A:$B,2,0)*VLOOKUP(A8,'[18]geoMap (15)'!$A:$C,3,0)</f>
        <v>383.71024380739954</v>
      </c>
      <c r="R8" s="1">
        <f>Q8/VLOOKUP(A8,'[19]geoMap (16)'!$A:$B,2,0)*VLOOKUP(A8,'[19]geoMap (16)'!$A:$C,3,0)</f>
        <v>235.17724620453518</v>
      </c>
      <c r="S8" s="1">
        <f>R8/VLOOKUP(A8,'[20]geoMap (17)'!$A:$B,2,0)*VLOOKUP(A8,'[20]geoMap (17)'!$A:$C,3,0)</f>
        <v>276.07763684880217</v>
      </c>
      <c r="T8" s="1">
        <f>S8/VLOOKUP(A8,'[21]geoMap (18)'!$A:$B,2,0)*VLOOKUP(A8,'[21]geoMap (18)'!$A:$C,3,0)</f>
        <v>287.34611182222272</v>
      </c>
      <c r="U8" s="1">
        <f>T8/VLOOKUP(A8,'[22]geoMap (19)'!$A:$B,2,0)*VLOOKUP(A8,'[22]geoMap (19)'!$A:$C,3,0)</f>
        <v>95.782037274074241</v>
      </c>
      <c r="V8" s="1">
        <f>U8/VLOOKUP(A8,'[23]geoMap (20)'!$A:$B,2,0)*VLOOKUP(A8,'[23]geoMap (20)'!$A:$C,3,0)</f>
        <v>56.252942526043597</v>
      </c>
      <c r="W8" s="1">
        <f>V8/VLOOKUP(A8,'[24]geoMap (21)'!$A:$B,2,0)*VLOOKUP(A8,'[24]geoMap (21)'!$A:$C,3,0)</f>
        <v>84.379413789065381</v>
      </c>
      <c r="X8" s="1">
        <f>W8/VLOOKUP(A8,'[25]geoMap (22)'!$A:$B,2,0)*VLOOKUP(A8,'[25]geoMap (22)'!$A:$C,3,0)</f>
        <v>126.56912068359807</v>
      </c>
      <c r="Y8" s="1">
        <f>X8/VLOOKUP(A8,'[26]geoMap (23)'!$A:$B,2,0)*VLOOKUP(A8,'[26]geoMap (23)'!$A:$C,3,0)</f>
        <v>62.340014665055762</v>
      </c>
      <c r="Z8" s="1">
        <f>Y8/VLOOKUP(A8,'[27]geoMap (24)'!$A:$B,2,0)*VLOOKUP(A8,'[27]geoMap (24)'!$A:$C,3,0)</f>
        <v>115.77431294938928</v>
      </c>
      <c r="AA8" s="1">
        <f>Z8/VLOOKUP(A8,'[28]geoMap (25)'!$A:$B,2,0)*VLOOKUP(A8,'[28]geoMap (25)'!$A:$C,3,0)</f>
        <v>77.182875299592865</v>
      </c>
      <c r="AB8" s="1">
        <f>AA8*VLOOKUP(A8,'[29]geoMap (26)'!$A:$B,2,0)*VLOOKUP(A8,'[29]geoMap (26)'!$A:$C,3,0)</f>
        <v>17.065133728739983</v>
      </c>
      <c r="AC8" s="1">
        <f>AB8/VLOOKUP(A8,'[30]geoMap (27)'!$A:$B,2,0)*VLOOKUP(A8,'[30]geoMap (27)'!$A:$C,3,0)</f>
        <v>31.692391210517112</v>
      </c>
      <c r="AD8" s="1">
        <f>AC8/VLOOKUP(A8,'[31]geoMap (28)'!$A:$B,2,0)*VLOOKUP(A8,'[31]geoMap (28)'!$A:$C,3,0)</f>
        <v>14.914066452008051</v>
      </c>
      <c r="AE8" s="1">
        <f>AD8/VLOOKUP(A8,'[32]geoMap (29)'!$A:$B,2,0)*VLOOKUP(A8,'[32]geoMap (29)'!$A:$C,3,0)</f>
        <v>23.327129578781822</v>
      </c>
      <c r="AF8" s="1">
        <f>AE8/VLOOKUP(A8,'[33]geoMap (30)'!$A:$B,2,0)*VLOOKUP(A8,'[33]geoMap (30)'!$A:$C,3,0)</f>
        <v>34.990694368172733</v>
      </c>
      <c r="AG8" s="1">
        <f>AF8/VLOOKUP(A8,'[34]geoMap (31)'!$A:$B,2,0)*VLOOKUP(A8,'[34]geoMap (31)'!$A:$C,3,0)</f>
        <v>18.841143121323775</v>
      </c>
      <c r="AH8" s="1">
        <f>AG8/VLOOKUP(A8,'[35]geoMap (32)'!$A:$B,2,0)*VLOOKUP(A8,'[35]geoMap (32)'!$A:$C,3,0)</f>
        <v>17.391824419683481</v>
      </c>
      <c r="AI8" s="1">
        <f>AH8/VLOOKUP(A8,'[36]geoMap (33)'!$A:$B,2,0)*VLOOKUP(A8,'[36]geoMap (33)'!$A:$C,3,0)</f>
        <v>11.119363153568127</v>
      </c>
      <c r="AJ8" s="1">
        <f>AI8/VLOOKUP(A8,'[37]geoMap (34)'!$A:$B,2,0)*VLOOKUP(A8,'[37]geoMap (34)'!$A:$C,3,0)</f>
        <v>18.14211882950589</v>
      </c>
      <c r="AK8" s="1">
        <f>AJ8/VLOOKUP(A8,'[38]geoMap (35)'!$A:$B,2,0)*VLOOKUP(A8,'[38]geoMap (35)'!$A:$C,3,0)</f>
        <v>7.0552684336967353</v>
      </c>
      <c r="AL8" s="1">
        <f>AK8/VLOOKUP(A8,'[39]geoMap (36)'!$A:$B,2,0)*VLOOKUP(A8,'[39]geoMap (36)'!$A:$C,3,0)</f>
        <v>5.7724923548427833</v>
      </c>
      <c r="AM8" s="1">
        <f>AL8/VLOOKUP(A8,'[40]geoMap (37)'!$A:$B,2,0)*VLOOKUP(A8,'[40]geoMap (37)'!$A:$C,3,0)</f>
        <v>16.429401317629459</v>
      </c>
      <c r="AN8" s="1">
        <f>AM8/VLOOKUP(A8,'[41]geoMap (38)'!$A:$B,2,0)*VLOOKUP(A8,'[41]geoMap (38)'!$A:$C,3,0)</f>
        <v>6.0766278846026767</v>
      </c>
      <c r="AO8" s="1">
        <f>AN8/VLOOKUP(A8,'[42]geoMap (39)'!$A:$B,2,0)*VLOOKUP(A8,'[42]geoMap (39)'!$A:$C,3,0)</f>
        <v>8.3915337454036951</v>
      </c>
      <c r="AP8" s="1">
        <f>AO8/VLOOKUP(A8,'[43]geoMap (40)'!$A:$B,2,0)*VLOOKUP(A8,'[43]geoMap (40)'!$A:$C,3,0)</f>
        <v>3.7701093638770229</v>
      </c>
      <c r="AQ8" s="1">
        <f>AP8/VLOOKUP(A8,'[44]geoMap (41)'!$A:$B,2,0)*VLOOKUP(A8,'[44]geoMap (41)'!$A:$C,3,0)</f>
        <v>8.7969218490463863</v>
      </c>
      <c r="AR8" s="1">
        <f>AQ8/VLOOKUP(A8,'[45]geoMap (42)'!$A:$B,2,0)*VLOOKUP(A8,'[45]geoMap (42)'!$A:$C,3,0)</f>
        <v>0.97743576100515406</v>
      </c>
      <c r="AS8" s="1">
        <f>AR8/VLOOKUP(A8,'[46]geoMap (43)'!$A:$B,2,0)*VLOOKUP(A8,'[46]geoMap (43)'!$A:$C,3,0)</f>
        <v>3.0952132431829882</v>
      </c>
      <c r="AT8" s="1">
        <f>AS8/VLOOKUP(A8,'[47]geoMap (44)'!$A:$B,2,0)*VLOOKUP(A8,'[47]geoMap (44)'!$A:$C,3,0)</f>
        <v>6.889345605794392</v>
      </c>
      <c r="AU8" s="1">
        <f>AT8/VLOOKUP(A8,'[48]geoMap (45)'!$A:$B,2,0)*VLOOKUP(A8,'[48]geoMap (45)'!$A:$C,3,0)</f>
        <v>1.1215213776874593</v>
      </c>
      <c r="AV8" s="1">
        <f>AU8/VLOOKUP(A8,'[49]geoMap (46)'!$A:$B,2,0)*VLOOKUP(A8,'[49]geoMap (46)'!$A:$C,3,0)</f>
        <v>8.2244901030413686</v>
      </c>
      <c r="AW8" s="1">
        <f>AV8/VLOOKUP(A8,'[50]geoMap (47)'!$A:$B,2,0)*VLOOKUP(A8,'[50]geoMap (47)'!$A:$C,3,0)</f>
        <v>3.3592987744816858</v>
      </c>
      <c r="AX8" s="4">
        <f>AW8/VLOOKUP(A8,'[51]geoMap (48)'!$A:$B,2,0)*VLOOKUP(A8,'[51]geoMap (48)'!$A:$C,3,0)</f>
        <v>7.4771488851366552</v>
      </c>
      <c r="AY8" s="1">
        <f>AX8/VLOOKUP(A8,'[52]geoMap (49)'!$A:$B,2,0)*VLOOKUP(A8,'[52]geoMap (49)'!$A:$C,3,0)</f>
        <v>1.9875965390869588</v>
      </c>
      <c r="AZ8" s="4">
        <f>AY8/VLOOKUP(A8,'[53]geoMap (50)'!$A:$B,2,0)*VLOOKUP(A8,'[53]geoMap (50)'!$A:$C,3,0)</f>
        <v>0.81183520610594084</v>
      </c>
      <c r="BA8" s="1">
        <f>AZ8/VLOOKUP(A8,'[54]geoMap (51)'!$A:$B,2,0)*VLOOKUP(A8,'[54]geoMap (51)'!$A:$C,3,0)</f>
        <v>0.66422880499576975</v>
      </c>
      <c r="BB8" s="4">
        <f>BA8/VLOOKUP(A8,'[55]geoMap (52)'!$A:$B,2,0)*VLOOKUP(A8,'[55]geoMap (52)'!$A:$C,3,0)</f>
        <v>0.71958120541208392</v>
      </c>
      <c r="BC8" s="1">
        <f>BB8/VLOOKUP(A8,'[56]geoMap (53)'!$A:$B,2,0)*VLOOKUP(A8,'[56]geoMap (53)'!$A:$C,3,0)</f>
        <v>0.25282582892857003</v>
      </c>
      <c r="BD8" s="4">
        <f>BC8/VLOOKUP(A8,'[57]geoMap (54)'!$A:$B,2,0)*VLOOKUP(A8,'[57]geoMap (54)'!$A:$C,3,0)</f>
        <v>0.58992693416666342</v>
      </c>
      <c r="BE8" s="1">
        <f>BD8/VLOOKUP(A8,'[58]geoMap (55)'!$A:$B,2,0)*VLOOKUP(A8,'[58]geoMap (55)'!$A:$C,3,0)</f>
        <v>0.22941602995370247</v>
      </c>
      <c r="BF8" s="4">
        <f>BE8/VLOOKUP(A8,'[59]geoMap (56)'!$A:$B,2,0)*VLOOKUP(A8,'[59]geoMap (56)'!$A:$C,3,0)</f>
        <v>0.11299595505182361</v>
      </c>
      <c r="BG8" s="1">
        <f>BF8/VLOOKUP(A8,'[60]geoMap (57)'!$A:$B,2,0)*VLOOKUP(A8,'[60]geoMap (57)'!$A:$C,3,0)</f>
        <v>0.24011640448512517</v>
      </c>
      <c r="BH8" s="4">
        <f>BG8/VLOOKUP(A8,'[61]geoMap (58)'!$A:$B,2,0)*VLOOKUP(A8,'[61]geoMap (58)'!$A:$C,3,0)</f>
        <v>0.85132179771998917</v>
      </c>
      <c r="BI8" s="1">
        <f>BH8/VLOOKUP(A8,'[62]geoMap (59)'!$A:$B,2,0)*VLOOKUP(A8,'[62]geoMap (59)'!$A:$C,3,0)</f>
        <v>0.69653601631635476</v>
      </c>
      <c r="BJ8" s="4">
        <f>BI8/VLOOKUP(A8,'[63]geoMap (60)'!$A:$B,2,0)*VLOOKUP(A8,'[63]geoMap (60)'!$A:$C,3,0)</f>
        <v>0.61768288239374858</v>
      </c>
      <c r="BK8" s="1">
        <f>BJ8/VLOOKUP(A8,'[64]geoMap (61)'!$A:$B,2,0)*VLOOKUP(A8,'[64]geoMap (61)'!$A:$C,3,0)</f>
        <v>0.14488857735162003</v>
      </c>
      <c r="BL8" s="4">
        <f>BK8/VLOOKUP(A8,'[65]geoMap (62)'!$A:$B,2,0)*VLOOKUP(A8,'[65]geoMap (62)'!$A:$C,3,0)</f>
        <v>0.29416771765328914</v>
      </c>
      <c r="BM8" s="1">
        <f>BL8/VLOOKUP(A8,'[66]geoMap (63)'!$A:$B,2,0)*VLOOKUP(A8,'[66]geoMap (63)'!$A:$C,3,0)</f>
        <v>4.7887767990070329E-2</v>
      </c>
      <c r="BN8" s="4" t="e">
        <f>BM8/VLOOKUP(A8,'[67]geoMap (64)'!$A:$B,2,0)*VLOOKUP(A8,'[67]geoMap (64)'!$A:$C,3,0)</f>
        <v>#REF!</v>
      </c>
      <c r="BO8" s="1" t="e">
        <f>BN8/VLOOKUP(A8,'[68]geoMap (65)'!$A:$B,2,0)*VLOOKUP(A8,'[68]geoMap (65)'!$A:$C,3,0)</f>
        <v>#REF!</v>
      </c>
      <c r="BP8" s="4" t="e">
        <f>BO8/VLOOKUP(A8,'[69]geoMap (66)'!$A:$B,2,0)*VLOOKUP(A8,'[69]geoMap (66)'!$A:$C,3,0)</f>
        <v>#REF!</v>
      </c>
    </row>
    <row r="9" spans="1:68" x14ac:dyDescent="0.2">
      <c r="A9" s="1" t="s">
        <v>18</v>
      </c>
      <c r="B9" s="1">
        <f>VLOOKUP(A9,[3]geoMap!$A:$B,2,0)*Notes!$C$6</f>
        <v>14000</v>
      </c>
      <c r="C9" s="1">
        <f>B9/VLOOKUP(A9,'[4]geoMap (1)'!$A:$B,2,0)*VLOOKUP(A9,'[4]geoMap (1)'!$A:$C,3,0)</f>
        <v>4666.666666666667</v>
      </c>
      <c r="D9" s="1">
        <f>C9/VLOOKUP(A9,'[5]geoMap (2)'!$A:$B,2,0)*VLOOKUP(A9,'[5]geoMap (2)'!$A:$C,3,0)</f>
        <v>6999.9999999999991</v>
      </c>
      <c r="E9" s="1">
        <f>D9/VLOOKUP(A9,'[6]geoMap (3)'!$A:$B,2,0)*VLOOKUP(A9,'[6]geoMap (3)'!$A:$C,3,0)</f>
        <v>6207.5471698113188</v>
      </c>
      <c r="F9" s="1">
        <f>E9/VLOOKUP(A9,'[7]geoMap (4)'!$A:$B,2,0)*VLOOKUP(A9,'[7]geoMap (4)'!$A:$C,3,0)</f>
        <v>5504.8059807760737</v>
      </c>
      <c r="G9" s="1">
        <f>F9/VLOOKUP(A9,'[8]geoMap (5)'!$A:$B,2,0)*VLOOKUP(A9,'[8]geoMap (5)'!$A:$C,3,0)</f>
        <v>3519.4661188568343</v>
      </c>
      <c r="H9" s="1">
        <f>G9/VLOOKUP(A9,'[9]geoMap (6)'!$A:$B,2,0)*VLOOKUP(A9,'[9]geoMap (6)'!$A:$C,3,0)</f>
        <v>1813.0583036535209</v>
      </c>
      <c r="I9" s="1">
        <f>H9/VLOOKUP(A9,'[10]geoMap (7)'!$A:$B,2,0)*VLOOKUP(A9,'[10]geoMap (7)'!$A:$C,3,0)</f>
        <v>2719.5874554802813</v>
      </c>
      <c r="J9" s="1">
        <f>I9/VLOOKUP(A9,'[11]geoMap (8)'!$A:$B,2,0)*VLOOKUP(A9,'[11]geoMap (8)'!$A:$C,3,0)</f>
        <v>955.53072760117993</v>
      </c>
      <c r="K9" s="1">
        <f>J9/VLOOKUP(A9,'[12]geoMap (9)'!$A:$B,2,0)*VLOOKUP(A9,'[12]geoMap (9)'!$A:$C,3,0)</f>
        <v>1216.1300169469564</v>
      </c>
      <c r="L9" s="1">
        <f>K9/VLOOKUP(A9,'[13]geoMap (10)'!$A:$B,2,0)*VLOOKUP(A9,'[13]geoMap (10)'!$A:$C,3,0)</f>
        <v>995.015468411146</v>
      </c>
      <c r="M9" s="1">
        <f>L9/VLOOKUP(A9,'[14]geoMap (11)'!$A:$B,2,0)*VLOOKUP(A9,'[14]geoMap (11)'!$A:$C,3,0)</f>
        <v>584.37416398749838</v>
      </c>
      <c r="N9" s="1">
        <f>M9/VLOOKUP(A9,'[15]geoMap (12)'!$A:$B,2,0)*VLOOKUP(A9,'[15]geoMap (12)'!$A:$C,3,0)</f>
        <v>478.12431598977133</v>
      </c>
      <c r="O9" s="1">
        <f>N9/VLOOKUP(A9,'[16]geoMap (13)'!$A:$B,2,0)*VLOOKUP(A9,'[16]geoMap (13)'!$A:$C,3,0)</f>
        <v>423.99703493432543</v>
      </c>
      <c r="P9" s="1">
        <f>O9/VLOOKUP(A9,'[17]geoMap (14)'!$A:$B,2,0)*VLOOKUP(A9,'[17]geoMap (14)'!$A:$C,3,0)</f>
        <v>691.78463594547827</v>
      </c>
      <c r="Q9" s="1">
        <f>P9/VLOOKUP(A9,'[18]geoMap (15)'!$A:$B,2,0)*VLOOKUP(A9,'[18]geoMap (15)'!$A:$C,3,0)</f>
        <v>269.02735842324159</v>
      </c>
      <c r="R9" s="1" t="e">
        <f>Q9/VLOOKUP(A9,'[19]geoMap (16)'!$A:$B,2,0)*VLOOKUP(A9,'[19]geoMap (16)'!$A:$C,3,0)</f>
        <v>#REF!</v>
      </c>
      <c r="S9" s="1" t="e">
        <f>R9/VLOOKUP(A9,'[20]geoMap (17)'!$A:$B,2,0)*VLOOKUP(A9,'[20]geoMap (17)'!$A:$C,3,0)</f>
        <v>#REF!</v>
      </c>
      <c r="T9" s="1" t="e">
        <f>S9/VLOOKUP(A9,'[21]geoMap (18)'!$A:$B,2,0)*VLOOKUP(A9,'[21]geoMap (18)'!$A:$C,3,0)</f>
        <v>#REF!</v>
      </c>
      <c r="U9" s="1" t="e">
        <f>T9/VLOOKUP(A9,'[22]geoMap (19)'!$A:$B,2,0)*VLOOKUP(A9,'[22]geoMap (19)'!$A:$C,3,0)</f>
        <v>#REF!</v>
      </c>
      <c r="V9" s="1" t="e">
        <f>U9/VLOOKUP(A9,'[23]geoMap (20)'!$A:$B,2,0)*VLOOKUP(A9,'[23]geoMap (20)'!$A:$C,3,0)</f>
        <v>#REF!</v>
      </c>
      <c r="W9" s="1" t="e">
        <f>V9/VLOOKUP(A9,'[24]geoMap (21)'!$A:$B,2,0)*VLOOKUP(A9,'[24]geoMap (21)'!$A:$C,3,0)</f>
        <v>#REF!</v>
      </c>
      <c r="X9" s="1" t="e">
        <f>W9/VLOOKUP(A9,'[25]geoMap (22)'!$A:$B,2,0)*VLOOKUP(A9,'[25]geoMap (22)'!$A:$C,3,0)</f>
        <v>#REF!</v>
      </c>
      <c r="Y9" s="1" t="e">
        <f>X9/VLOOKUP(A9,'[26]geoMap (23)'!$A:$B,2,0)*VLOOKUP(A9,'[26]geoMap (23)'!$A:$C,3,0)</f>
        <v>#REF!</v>
      </c>
      <c r="Z9" s="1" t="e">
        <f>Y9/VLOOKUP(A9,'[27]geoMap (24)'!$A:$B,2,0)*VLOOKUP(A9,'[27]geoMap (24)'!$A:$C,3,0)</f>
        <v>#REF!</v>
      </c>
      <c r="AA9" s="1" t="e">
        <f>Z9/VLOOKUP(A9,'[28]geoMap (25)'!$A:$B,2,0)*VLOOKUP(A9,'[28]geoMap (25)'!$A:$C,3,0)</f>
        <v>#REF!</v>
      </c>
      <c r="AB9" s="1" t="e">
        <f>AA9*VLOOKUP(A9,'[29]geoMap (26)'!$A:$B,2,0)*VLOOKUP(A9,'[29]geoMap (26)'!$A:$C,3,0)</f>
        <v>#REF!</v>
      </c>
      <c r="AC9" s="1" t="e">
        <f>AB9/VLOOKUP(A9,'[30]geoMap (27)'!$A:$B,2,0)*VLOOKUP(A9,'[30]geoMap (27)'!$A:$C,3,0)</f>
        <v>#REF!</v>
      </c>
      <c r="AD9" s="1" t="e">
        <f>AC9/VLOOKUP(A9,'[31]geoMap (28)'!$A:$B,2,0)*VLOOKUP(A9,'[31]geoMap (28)'!$A:$C,3,0)</f>
        <v>#REF!</v>
      </c>
      <c r="AE9" s="1" t="e">
        <f>AD9/VLOOKUP(A9,'[32]geoMap (29)'!$A:$B,2,0)*VLOOKUP(A9,'[32]geoMap (29)'!$A:$C,3,0)</f>
        <v>#REF!</v>
      </c>
      <c r="AF9" s="1" t="e">
        <f>AE9/VLOOKUP(A9,'[33]geoMap (30)'!$A:$B,2,0)*VLOOKUP(A9,'[33]geoMap (30)'!$A:$C,3,0)</f>
        <v>#REF!</v>
      </c>
      <c r="AG9" s="1" t="e">
        <f>AF9/VLOOKUP(A9,'[34]geoMap (31)'!$A:$B,2,0)*VLOOKUP(A9,'[34]geoMap (31)'!$A:$C,3,0)</f>
        <v>#REF!</v>
      </c>
      <c r="AH9" s="1" t="e">
        <f>AG9/VLOOKUP(A9,'[35]geoMap (32)'!$A:$B,2,0)*VLOOKUP(A9,'[35]geoMap (32)'!$A:$C,3,0)</f>
        <v>#REF!</v>
      </c>
      <c r="AI9" s="1" t="e">
        <f>AH9/VLOOKUP(A9,'[36]geoMap (33)'!$A:$B,2,0)*VLOOKUP(A9,'[36]geoMap (33)'!$A:$C,3,0)</f>
        <v>#REF!</v>
      </c>
      <c r="AJ9" s="1" t="e">
        <f>AI9/VLOOKUP(A9,'[37]geoMap (34)'!$A:$B,2,0)*VLOOKUP(A9,'[37]geoMap (34)'!$A:$C,3,0)</f>
        <v>#REF!</v>
      </c>
      <c r="AK9" s="1" t="e">
        <f>AJ9/VLOOKUP(A9,'[38]geoMap (35)'!$A:$B,2,0)*VLOOKUP(A9,'[38]geoMap (35)'!$A:$C,3,0)</f>
        <v>#REF!</v>
      </c>
      <c r="AL9" s="1" t="e">
        <f>AK9/VLOOKUP(A9,'[39]geoMap (36)'!$A:$B,2,0)*VLOOKUP(A9,'[39]geoMap (36)'!$A:$C,3,0)</f>
        <v>#REF!</v>
      </c>
      <c r="AM9" s="1" t="e">
        <f>AL9/VLOOKUP(A9,'[40]geoMap (37)'!$A:$B,2,0)*VLOOKUP(A9,'[40]geoMap (37)'!$A:$C,3,0)</f>
        <v>#REF!</v>
      </c>
      <c r="AN9" s="1" t="e">
        <f>AM9/VLOOKUP(A9,'[41]geoMap (38)'!$A:$B,2,0)*VLOOKUP(A9,'[41]geoMap (38)'!$A:$C,3,0)</f>
        <v>#REF!</v>
      </c>
      <c r="AO9" s="1" t="e">
        <f>AN9/VLOOKUP(A9,'[42]geoMap (39)'!$A:$B,2,0)*VLOOKUP(A9,'[42]geoMap (39)'!$A:$C,3,0)</f>
        <v>#REF!</v>
      </c>
      <c r="AP9" s="1" t="e">
        <f>AO9/VLOOKUP(A9,'[43]geoMap (40)'!$A:$B,2,0)*VLOOKUP(A9,'[43]geoMap (40)'!$A:$C,3,0)</f>
        <v>#REF!</v>
      </c>
      <c r="AQ9" s="1" t="e">
        <f>AP9/VLOOKUP(A9,'[44]geoMap (41)'!$A:$B,2,0)*VLOOKUP(A9,'[44]geoMap (41)'!$A:$C,3,0)</f>
        <v>#REF!</v>
      </c>
      <c r="AR9" s="1" t="e">
        <f>AQ9/VLOOKUP(A9,'[45]geoMap (42)'!$A:$B,2,0)*VLOOKUP(A9,'[45]geoMap (42)'!$A:$C,3,0)</f>
        <v>#REF!</v>
      </c>
      <c r="AS9" s="1" t="e">
        <f>AR9/VLOOKUP(A9,'[46]geoMap (43)'!$A:$B,2,0)*VLOOKUP(A9,'[46]geoMap (43)'!$A:$C,3,0)</f>
        <v>#REF!</v>
      </c>
      <c r="AT9" s="1" t="e">
        <f>AS9/VLOOKUP(A9,'[47]geoMap (44)'!$A:$B,2,0)*VLOOKUP(A9,'[47]geoMap (44)'!$A:$C,3,0)</f>
        <v>#REF!</v>
      </c>
      <c r="AU9" s="1" t="e">
        <f>AT9/VLOOKUP(A9,'[48]geoMap (45)'!$A:$B,2,0)*VLOOKUP(A9,'[48]geoMap (45)'!$A:$C,3,0)</f>
        <v>#REF!</v>
      </c>
      <c r="AV9" s="1" t="e">
        <f>AU9/VLOOKUP(A9,'[49]geoMap (46)'!$A:$B,2,0)*VLOOKUP(A9,'[49]geoMap (46)'!$A:$C,3,0)</f>
        <v>#REF!</v>
      </c>
      <c r="AW9" s="1" t="e">
        <f>AV9/VLOOKUP(A9,'[50]geoMap (47)'!$A:$B,2,0)*VLOOKUP(A9,'[50]geoMap (47)'!$A:$C,3,0)</f>
        <v>#REF!</v>
      </c>
      <c r="AX9" s="4" t="e">
        <f>AW9/VLOOKUP(A9,'[51]geoMap (48)'!$A:$B,2,0)*VLOOKUP(A9,'[51]geoMap (48)'!$A:$C,3,0)</f>
        <v>#REF!</v>
      </c>
      <c r="AY9" s="1" t="e">
        <f>AX9/VLOOKUP(A9,'[52]geoMap (49)'!$A:$B,2,0)*VLOOKUP(A9,'[52]geoMap (49)'!$A:$C,3,0)</f>
        <v>#REF!</v>
      </c>
      <c r="AZ9" s="4" t="e">
        <f>AY9/VLOOKUP(A9,'[53]geoMap (50)'!$A:$B,2,0)*VLOOKUP(A9,'[53]geoMap (50)'!$A:$C,3,0)</f>
        <v>#REF!</v>
      </c>
      <c r="BA9" s="1" t="e">
        <f>AZ9/VLOOKUP(A9,'[54]geoMap (51)'!$A:$B,2,0)*VLOOKUP(A9,'[54]geoMap (51)'!$A:$C,3,0)</f>
        <v>#REF!</v>
      </c>
      <c r="BB9" s="4" t="e">
        <f>BA9/VLOOKUP(A9,'[55]geoMap (52)'!$A:$B,2,0)*VLOOKUP(A9,'[55]geoMap (52)'!$A:$C,3,0)</f>
        <v>#REF!</v>
      </c>
      <c r="BC9" s="1" t="e">
        <f>BB9/VLOOKUP(A9,'[56]geoMap (53)'!$A:$B,2,0)*VLOOKUP(A9,'[56]geoMap (53)'!$A:$C,3,0)</f>
        <v>#REF!</v>
      </c>
      <c r="BD9" s="4" t="e">
        <f>BC9/VLOOKUP(A9,'[57]geoMap (54)'!$A:$B,2,0)*VLOOKUP(A9,'[57]geoMap (54)'!$A:$C,3,0)</f>
        <v>#REF!</v>
      </c>
      <c r="BE9" s="1" t="e">
        <f>BD9/VLOOKUP(A9,'[58]geoMap (55)'!$A:$B,2,0)*VLOOKUP(A9,'[58]geoMap (55)'!$A:$C,3,0)</f>
        <v>#REF!</v>
      </c>
      <c r="BF9" s="4" t="e">
        <f>BE9/VLOOKUP(A9,'[59]geoMap (56)'!$A:$B,2,0)*VLOOKUP(A9,'[59]geoMap (56)'!$A:$C,3,0)</f>
        <v>#REF!</v>
      </c>
      <c r="BG9" s="1" t="e">
        <f>BF9/VLOOKUP(A9,'[60]geoMap (57)'!$A:$B,2,0)*VLOOKUP(A9,'[60]geoMap (57)'!$A:$C,3,0)</f>
        <v>#REF!</v>
      </c>
      <c r="BH9" s="4" t="e">
        <f>BG9/VLOOKUP(A9,'[61]geoMap (58)'!$A:$B,2,0)*VLOOKUP(A9,'[61]geoMap (58)'!$A:$C,3,0)</f>
        <v>#REF!</v>
      </c>
      <c r="BI9" s="1" t="e">
        <f>BH9/VLOOKUP(A9,'[62]geoMap (59)'!$A:$B,2,0)*VLOOKUP(A9,'[62]geoMap (59)'!$A:$C,3,0)</f>
        <v>#REF!</v>
      </c>
      <c r="BJ9" s="4" t="e">
        <f>BI9/VLOOKUP(A9,'[63]geoMap (60)'!$A:$B,2,0)*VLOOKUP(A9,'[63]geoMap (60)'!$A:$C,3,0)</f>
        <v>#REF!</v>
      </c>
      <c r="BK9" s="1" t="e">
        <f>BJ9/VLOOKUP(A9,'[64]geoMap (61)'!$A:$B,2,0)*VLOOKUP(A9,'[64]geoMap (61)'!$A:$C,3,0)</f>
        <v>#REF!</v>
      </c>
      <c r="BL9" s="4" t="e">
        <f>BK9/VLOOKUP(A9,'[65]geoMap (62)'!$A:$B,2,0)*VLOOKUP(A9,'[65]geoMap (62)'!$A:$C,3,0)</f>
        <v>#REF!</v>
      </c>
      <c r="BM9" s="1" t="e">
        <f>BL9/VLOOKUP(A9,'[66]geoMap (63)'!$A:$B,2,0)*VLOOKUP(A9,'[66]geoMap (63)'!$A:$C,3,0)</f>
        <v>#REF!</v>
      </c>
      <c r="BN9" s="4" t="e">
        <f>BM9/VLOOKUP(A9,'[67]geoMap (64)'!$A:$B,2,0)*VLOOKUP(A9,'[67]geoMap (64)'!$A:$C,3,0)</f>
        <v>#REF!</v>
      </c>
      <c r="BO9" s="1" t="e">
        <f>BN9/VLOOKUP(A9,'[68]geoMap (65)'!$A:$B,2,0)*VLOOKUP(A9,'[68]geoMap (65)'!$A:$C,3,0)</f>
        <v>#REF!</v>
      </c>
      <c r="BP9" s="4" t="e">
        <f>BO9/VLOOKUP(A9,'[69]geoMap (66)'!$A:$B,2,0)*VLOOKUP(A9,'[69]geoMap (66)'!$A:$C,3,0)</f>
        <v>#REF!</v>
      </c>
    </row>
    <row r="10" spans="1:68" x14ac:dyDescent="0.2">
      <c r="A10" s="1" t="s">
        <v>20</v>
      </c>
      <c r="B10" s="1">
        <f>VLOOKUP(A10,[3]geoMap!$A:$B,2,0)*Notes!$C$6</f>
        <v>13000</v>
      </c>
      <c r="C10" s="1">
        <f>B10/VLOOKUP(A10,'[4]geoMap (1)'!$A:$B,2,0)*VLOOKUP(A10,'[4]geoMap (1)'!$A:$C,3,0)</f>
        <v>2662.6506024096389</v>
      </c>
      <c r="D10" s="1">
        <f>C10/VLOOKUP(A10,'[5]geoMap (2)'!$A:$B,2,0)*VLOOKUP(A10,'[5]geoMap (2)'!$A:$C,3,0)</f>
        <v>2884.538152610442</v>
      </c>
      <c r="E10" s="1">
        <f>D10/VLOOKUP(A10,'[6]geoMap (3)'!$A:$B,2,0)*VLOOKUP(A10,'[6]geoMap (3)'!$A:$C,3,0)</f>
        <v>1295.9519236365754</v>
      </c>
      <c r="F10" s="1">
        <f>E10/VLOOKUP(A10,'[7]geoMap (4)'!$A:$B,2,0)*VLOOKUP(A10,'[7]geoMap (4)'!$A:$C,3,0)</f>
        <v>3503.8700157581484</v>
      </c>
      <c r="G10" s="1">
        <f>F10/VLOOKUP(A10,'[8]geoMap (5)'!$A:$B,2,0)*VLOOKUP(A10,'[8]geoMap (5)'!$A:$C,3,0)</f>
        <v>988.27103008563154</v>
      </c>
      <c r="H10" s="1">
        <f>G10/VLOOKUP(A10,'[9]geoMap (6)'!$A:$B,2,0)*VLOOKUP(A10,'[9]geoMap (6)'!$A:$C,3,0)</f>
        <v>841.86050710998245</v>
      </c>
      <c r="I10" s="1">
        <f>H10/VLOOKUP(A10,'[10]geoMap (7)'!$A:$B,2,0)*VLOOKUP(A10,'[10]geoMap (7)'!$A:$C,3,0)</f>
        <v>988.27103008563154</v>
      </c>
      <c r="J10" s="1">
        <f>I10/VLOOKUP(A10,'[11]geoMap (8)'!$A:$B,2,0)*VLOOKUP(A10,'[11]geoMap (8)'!$A:$C,3,0)</f>
        <v>509.10931852896175</v>
      </c>
      <c r="K10" s="1">
        <f>J10/VLOOKUP(A10,'[12]geoMap (9)'!$A:$B,2,0)*VLOOKUP(A10,'[12]geoMap (9)'!$A:$C,3,0)</f>
        <v>1612.1795086750456</v>
      </c>
      <c r="L10" s="1">
        <f>K10/VLOOKUP(A10,'[13]geoMap (10)'!$A:$B,2,0)*VLOOKUP(A10,'[13]geoMap (10)'!$A:$C,3,0)</f>
        <v>219.84266027386983</v>
      </c>
      <c r="M10" s="1">
        <f>L10/VLOOKUP(A10,'[14]geoMap (11)'!$A:$B,2,0)*VLOOKUP(A10,'[14]geoMap (11)'!$A:$C,3,0)</f>
        <v>247.90768073436388</v>
      </c>
      <c r="N10" s="1" t="e">
        <f>M10/VLOOKUP(A10,'[15]geoMap (12)'!$A:$B,2,0)*VLOOKUP(A10,'[15]geoMap (12)'!$A:$C,3,0)</f>
        <v>#REF!</v>
      </c>
      <c r="O10" s="1" t="e">
        <f>N10/VLOOKUP(A10,'[16]geoMap (13)'!$A:$B,2,0)*VLOOKUP(A10,'[16]geoMap (13)'!$A:$C,3,0)</f>
        <v>#REF!</v>
      </c>
      <c r="P10" s="1" t="e">
        <f>O10/VLOOKUP(A10,'[17]geoMap (14)'!$A:$B,2,0)*VLOOKUP(A10,'[17]geoMap (14)'!$A:$C,3,0)</f>
        <v>#REF!</v>
      </c>
      <c r="Q10" s="1" t="e">
        <f>P10/VLOOKUP(A10,'[18]geoMap (15)'!$A:$B,2,0)*VLOOKUP(A10,'[18]geoMap (15)'!$A:$C,3,0)</f>
        <v>#REF!</v>
      </c>
      <c r="R10" s="1" t="e">
        <f>Q10/VLOOKUP(A10,'[19]geoMap (16)'!$A:$B,2,0)*VLOOKUP(A10,'[19]geoMap (16)'!$A:$C,3,0)</f>
        <v>#REF!</v>
      </c>
      <c r="S10" s="1" t="e">
        <f>R10/VLOOKUP(A10,'[20]geoMap (17)'!$A:$B,2,0)*VLOOKUP(A10,'[20]geoMap (17)'!$A:$C,3,0)</f>
        <v>#REF!</v>
      </c>
      <c r="T10" s="1" t="e">
        <f>S10/VLOOKUP(A10,'[21]geoMap (18)'!$A:$B,2,0)*VLOOKUP(A10,'[21]geoMap (18)'!$A:$C,3,0)</f>
        <v>#REF!</v>
      </c>
      <c r="U10" s="1" t="e">
        <f>T10/VLOOKUP(A10,'[22]geoMap (19)'!$A:$B,2,0)*VLOOKUP(A10,'[22]geoMap (19)'!$A:$C,3,0)</f>
        <v>#REF!</v>
      </c>
      <c r="V10" s="1" t="e">
        <f>U10/VLOOKUP(A10,'[23]geoMap (20)'!$A:$B,2,0)*VLOOKUP(A10,'[23]geoMap (20)'!$A:$C,3,0)</f>
        <v>#REF!</v>
      </c>
      <c r="W10" s="1" t="e">
        <f>V10/VLOOKUP(A10,'[24]geoMap (21)'!$A:$B,2,0)*VLOOKUP(A10,'[24]geoMap (21)'!$A:$C,3,0)</f>
        <v>#REF!</v>
      </c>
      <c r="X10" s="1" t="e">
        <f>W10/VLOOKUP(A10,'[25]geoMap (22)'!$A:$B,2,0)*VLOOKUP(A10,'[25]geoMap (22)'!$A:$C,3,0)</f>
        <v>#REF!</v>
      </c>
      <c r="Y10" s="1" t="e">
        <f>X10/VLOOKUP(A10,'[26]geoMap (23)'!$A:$B,2,0)*VLOOKUP(A10,'[26]geoMap (23)'!$A:$C,3,0)</f>
        <v>#REF!</v>
      </c>
      <c r="Z10" s="1" t="e">
        <f>Y10/VLOOKUP(A10,'[27]geoMap (24)'!$A:$B,2,0)*VLOOKUP(A10,'[27]geoMap (24)'!$A:$C,3,0)</f>
        <v>#REF!</v>
      </c>
      <c r="AA10" s="1" t="e">
        <f>Z10/VLOOKUP(A10,'[28]geoMap (25)'!$A:$B,2,0)*VLOOKUP(A10,'[28]geoMap (25)'!$A:$C,3,0)</f>
        <v>#REF!</v>
      </c>
      <c r="AB10" s="1" t="e">
        <f>AA10*VLOOKUP(A10,'[29]geoMap (26)'!$A:$B,2,0)*VLOOKUP(A10,'[29]geoMap (26)'!$A:$C,3,0)</f>
        <v>#REF!</v>
      </c>
      <c r="AC10" s="1" t="e">
        <f>AB10/VLOOKUP(A10,'[30]geoMap (27)'!$A:$B,2,0)*VLOOKUP(A10,'[30]geoMap (27)'!$A:$C,3,0)</f>
        <v>#REF!</v>
      </c>
      <c r="AD10" s="1" t="e">
        <f>AC10/VLOOKUP(A10,'[31]geoMap (28)'!$A:$B,2,0)*VLOOKUP(A10,'[31]geoMap (28)'!$A:$C,3,0)</f>
        <v>#REF!</v>
      </c>
      <c r="AE10" s="1" t="e">
        <f>AD10/VLOOKUP(A10,'[32]geoMap (29)'!$A:$B,2,0)*VLOOKUP(A10,'[32]geoMap (29)'!$A:$C,3,0)</f>
        <v>#REF!</v>
      </c>
      <c r="AF10" s="1" t="e">
        <f>AE10/VLOOKUP(A10,'[33]geoMap (30)'!$A:$B,2,0)*VLOOKUP(A10,'[33]geoMap (30)'!$A:$C,3,0)</f>
        <v>#REF!</v>
      </c>
      <c r="AG10" s="1" t="e">
        <f>AF10/VLOOKUP(A10,'[34]geoMap (31)'!$A:$B,2,0)*VLOOKUP(A10,'[34]geoMap (31)'!$A:$C,3,0)</f>
        <v>#REF!</v>
      </c>
      <c r="AH10" s="1" t="e">
        <f>AG10/VLOOKUP(A10,'[35]geoMap (32)'!$A:$B,2,0)*VLOOKUP(A10,'[35]geoMap (32)'!$A:$C,3,0)</f>
        <v>#REF!</v>
      </c>
      <c r="AI10" s="1" t="e">
        <f>AH10/VLOOKUP(A10,'[36]geoMap (33)'!$A:$B,2,0)*VLOOKUP(A10,'[36]geoMap (33)'!$A:$C,3,0)</f>
        <v>#REF!</v>
      </c>
      <c r="AJ10" s="1" t="e">
        <f>AI10/VLOOKUP(A10,'[37]geoMap (34)'!$A:$B,2,0)*VLOOKUP(A10,'[37]geoMap (34)'!$A:$C,3,0)</f>
        <v>#REF!</v>
      </c>
      <c r="AK10" s="1" t="e">
        <f>AJ10/VLOOKUP(A10,'[38]geoMap (35)'!$A:$B,2,0)*VLOOKUP(A10,'[38]geoMap (35)'!$A:$C,3,0)</f>
        <v>#REF!</v>
      </c>
      <c r="AL10" s="1" t="e">
        <f>AK10/VLOOKUP(A10,'[39]geoMap (36)'!$A:$B,2,0)*VLOOKUP(A10,'[39]geoMap (36)'!$A:$C,3,0)</f>
        <v>#REF!</v>
      </c>
      <c r="AM10" s="1" t="e">
        <f>AL10/VLOOKUP(A10,'[40]geoMap (37)'!$A:$B,2,0)*VLOOKUP(A10,'[40]geoMap (37)'!$A:$C,3,0)</f>
        <v>#REF!</v>
      </c>
      <c r="AN10" s="1" t="e">
        <f>AM10/VLOOKUP(A10,'[41]geoMap (38)'!$A:$B,2,0)*VLOOKUP(A10,'[41]geoMap (38)'!$A:$C,3,0)</f>
        <v>#REF!</v>
      </c>
      <c r="AO10" s="1" t="e">
        <f>AN10/VLOOKUP(A10,'[42]geoMap (39)'!$A:$B,2,0)*VLOOKUP(A10,'[42]geoMap (39)'!$A:$C,3,0)</f>
        <v>#REF!</v>
      </c>
      <c r="AP10" s="1" t="e">
        <f>AO10/VLOOKUP(A10,'[43]geoMap (40)'!$A:$B,2,0)*VLOOKUP(A10,'[43]geoMap (40)'!$A:$C,3,0)</f>
        <v>#REF!</v>
      </c>
      <c r="AQ10" s="1" t="e">
        <f>AP10/VLOOKUP(A10,'[44]geoMap (41)'!$A:$B,2,0)*VLOOKUP(A10,'[44]geoMap (41)'!$A:$C,3,0)</f>
        <v>#REF!</v>
      </c>
      <c r="AR10" s="1" t="e">
        <f>AQ10/VLOOKUP(A10,'[45]geoMap (42)'!$A:$B,2,0)*VLOOKUP(A10,'[45]geoMap (42)'!$A:$C,3,0)</f>
        <v>#REF!</v>
      </c>
      <c r="AS10" s="1" t="e">
        <f>AR10/VLOOKUP(A10,'[46]geoMap (43)'!$A:$B,2,0)*VLOOKUP(A10,'[46]geoMap (43)'!$A:$C,3,0)</f>
        <v>#REF!</v>
      </c>
      <c r="AT10" s="1" t="e">
        <f>AS10/VLOOKUP(A10,'[47]geoMap (44)'!$A:$B,2,0)*VLOOKUP(A10,'[47]geoMap (44)'!$A:$C,3,0)</f>
        <v>#REF!</v>
      </c>
      <c r="AU10" s="1" t="e">
        <f>AT10/VLOOKUP(A10,'[48]geoMap (45)'!$A:$B,2,0)*VLOOKUP(A10,'[48]geoMap (45)'!$A:$C,3,0)</f>
        <v>#REF!</v>
      </c>
      <c r="AV10" s="1" t="e">
        <f>AU10/VLOOKUP(A10,'[49]geoMap (46)'!$A:$B,2,0)*VLOOKUP(A10,'[49]geoMap (46)'!$A:$C,3,0)</f>
        <v>#REF!</v>
      </c>
      <c r="AW10" s="1" t="e">
        <f>AV10/VLOOKUP(A10,'[50]geoMap (47)'!$A:$B,2,0)*VLOOKUP(A10,'[50]geoMap (47)'!$A:$C,3,0)</f>
        <v>#REF!</v>
      </c>
      <c r="AX10" s="4" t="e">
        <f>AW10/VLOOKUP(A10,'[51]geoMap (48)'!$A:$B,2,0)*VLOOKUP(A10,'[51]geoMap (48)'!$A:$C,3,0)</f>
        <v>#REF!</v>
      </c>
      <c r="AY10" s="1" t="e">
        <f>AX10/VLOOKUP(A10,'[52]geoMap (49)'!$A:$B,2,0)*VLOOKUP(A10,'[52]geoMap (49)'!$A:$C,3,0)</f>
        <v>#REF!</v>
      </c>
      <c r="AZ10" s="4" t="e">
        <f>AY10/VLOOKUP(A10,'[53]geoMap (50)'!$A:$B,2,0)*VLOOKUP(A10,'[53]geoMap (50)'!$A:$C,3,0)</f>
        <v>#REF!</v>
      </c>
      <c r="BA10" s="1" t="e">
        <f>AZ10/VLOOKUP(A10,'[54]geoMap (51)'!$A:$B,2,0)*VLOOKUP(A10,'[54]geoMap (51)'!$A:$C,3,0)</f>
        <v>#REF!</v>
      </c>
      <c r="BB10" s="4" t="e">
        <f>BA10/VLOOKUP(A10,'[55]geoMap (52)'!$A:$B,2,0)*VLOOKUP(A10,'[55]geoMap (52)'!$A:$C,3,0)</f>
        <v>#REF!</v>
      </c>
      <c r="BC10" s="1" t="e">
        <f>BB10/VLOOKUP(A10,'[56]geoMap (53)'!$A:$B,2,0)*VLOOKUP(A10,'[56]geoMap (53)'!$A:$C,3,0)</f>
        <v>#REF!</v>
      </c>
      <c r="BD10" s="4" t="e">
        <f>BC10/VLOOKUP(A10,'[57]geoMap (54)'!$A:$B,2,0)*VLOOKUP(A10,'[57]geoMap (54)'!$A:$C,3,0)</f>
        <v>#REF!</v>
      </c>
      <c r="BE10" s="1" t="e">
        <f>BD10/VLOOKUP(A10,'[58]geoMap (55)'!$A:$B,2,0)*VLOOKUP(A10,'[58]geoMap (55)'!$A:$C,3,0)</f>
        <v>#REF!</v>
      </c>
      <c r="BF10" s="4" t="e">
        <f>BE10/VLOOKUP(A10,'[59]geoMap (56)'!$A:$B,2,0)*VLOOKUP(A10,'[59]geoMap (56)'!$A:$C,3,0)</f>
        <v>#REF!</v>
      </c>
      <c r="BG10" s="1" t="e">
        <f>BF10/VLOOKUP(A10,'[60]geoMap (57)'!$A:$B,2,0)*VLOOKUP(A10,'[60]geoMap (57)'!$A:$C,3,0)</f>
        <v>#REF!</v>
      </c>
      <c r="BH10" s="4" t="e">
        <f>BG10/VLOOKUP(A10,'[61]geoMap (58)'!$A:$B,2,0)*VLOOKUP(A10,'[61]geoMap (58)'!$A:$C,3,0)</f>
        <v>#REF!</v>
      </c>
      <c r="BI10" s="1" t="e">
        <f>BH10/VLOOKUP(A10,'[62]geoMap (59)'!$A:$B,2,0)*VLOOKUP(A10,'[62]geoMap (59)'!$A:$C,3,0)</f>
        <v>#REF!</v>
      </c>
      <c r="BJ10" s="4" t="e">
        <f>BI10/VLOOKUP(A10,'[63]geoMap (60)'!$A:$B,2,0)*VLOOKUP(A10,'[63]geoMap (60)'!$A:$C,3,0)</f>
        <v>#REF!</v>
      </c>
      <c r="BK10" s="1" t="e">
        <f>BJ10/VLOOKUP(A10,'[64]geoMap (61)'!$A:$B,2,0)*VLOOKUP(A10,'[64]geoMap (61)'!$A:$C,3,0)</f>
        <v>#REF!</v>
      </c>
      <c r="BL10" s="4" t="e">
        <f>BK10/VLOOKUP(A10,'[65]geoMap (62)'!$A:$B,2,0)*VLOOKUP(A10,'[65]geoMap (62)'!$A:$C,3,0)</f>
        <v>#REF!</v>
      </c>
      <c r="BM10" s="1" t="e">
        <f>BL10/VLOOKUP(A10,'[66]geoMap (63)'!$A:$B,2,0)*VLOOKUP(A10,'[66]geoMap (63)'!$A:$C,3,0)</f>
        <v>#REF!</v>
      </c>
      <c r="BN10" s="4" t="e">
        <f>BM10/VLOOKUP(A10,'[67]geoMap (64)'!$A:$B,2,0)*VLOOKUP(A10,'[67]geoMap (64)'!$A:$C,3,0)</f>
        <v>#REF!</v>
      </c>
      <c r="BO10" s="1" t="e">
        <f>BN10/VLOOKUP(A10,'[68]geoMap (65)'!$A:$B,2,0)*VLOOKUP(A10,'[68]geoMap (65)'!$A:$C,3,0)</f>
        <v>#REF!</v>
      </c>
      <c r="BP10" s="4" t="e">
        <f>BO10/VLOOKUP(A10,'[69]geoMap (66)'!$A:$B,2,0)*VLOOKUP(A10,'[69]geoMap (66)'!$A:$C,3,0)</f>
        <v>#REF!</v>
      </c>
    </row>
    <row r="11" spans="1:68" x14ac:dyDescent="0.2">
      <c r="A11" s="1" t="s">
        <v>33</v>
      </c>
      <c r="B11" s="1">
        <f>VLOOKUP(A11,[3]geoMap!$A:$B,2,0)*Notes!$C$6</f>
        <v>11000</v>
      </c>
      <c r="C11" s="1" t="e">
        <f>B11/VLOOKUP(A11,'[4]geoMap (1)'!$A:$B,2,0)*VLOOKUP(A11,'[4]geoMap (1)'!$A:$C,3,0)</f>
        <v>#DIV/0!</v>
      </c>
      <c r="D11" s="1" t="e">
        <f>C11/VLOOKUP(A11,'[5]geoMap (2)'!$A:$B,2,0)*VLOOKUP(A11,'[5]geoMap (2)'!$A:$C,3,0)</f>
        <v>#DIV/0!</v>
      </c>
      <c r="E11" s="1" t="e">
        <f>D11/VLOOKUP(A11,'[6]geoMap (3)'!$A:$B,2,0)*VLOOKUP(A11,'[6]geoMap (3)'!$A:$C,3,0)</f>
        <v>#DIV/0!</v>
      </c>
      <c r="F11" s="1" t="e">
        <f>E11/VLOOKUP(A11,'[7]geoMap (4)'!$A:$B,2,0)*VLOOKUP(A11,'[7]geoMap (4)'!$A:$C,3,0)</f>
        <v>#DIV/0!</v>
      </c>
      <c r="G11" s="1" t="e">
        <f>F11/VLOOKUP(A11,'[8]geoMap (5)'!$A:$B,2,0)*VLOOKUP(A11,'[8]geoMap (5)'!$A:$C,3,0)</f>
        <v>#DIV/0!</v>
      </c>
      <c r="H11" s="1" t="e">
        <f>G11/VLOOKUP(A11,'[9]geoMap (6)'!$A:$B,2,0)*VLOOKUP(A11,'[9]geoMap (6)'!$A:$C,3,0)</f>
        <v>#DIV/0!</v>
      </c>
      <c r="I11" s="1" t="e">
        <f>H11/VLOOKUP(A11,'[10]geoMap (7)'!$A:$B,2,0)*VLOOKUP(A11,'[10]geoMap (7)'!$A:$C,3,0)</f>
        <v>#DIV/0!</v>
      </c>
      <c r="J11" s="1" t="e">
        <f>I11/VLOOKUP(A11,'[11]geoMap (8)'!$A:$B,2,0)*VLOOKUP(A11,'[11]geoMap (8)'!$A:$C,3,0)</f>
        <v>#DIV/0!</v>
      </c>
      <c r="K11" s="1" t="e">
        <f>J11/VLOOKUP(A11,'[12]geoMap (9)'!$A:$B,2,0)*VLOOKUP(A11,'[12]geoMap (9)'!$A:$C,3,0)</f>
        <v>#DIV/0!</v>
      </c>
      <c r="L11" s="1" t="e">
        <f>K11/VLOOKUP(A11,'[13]geoMap (10)'!$A:$B,2,0)*VLOOKUP(A11,'[13]geoMap (10)'!$A:$C,3,0)</f>
        <v>#DIV/0!</v>
      </c>
      <c r="M11" s="1" t="e">
        <f>L11/VLOOKUP(A11,'[14]geoMap (11)'!$A:$B,2,0)*VLOOKUP(A11,'[14]geoMap (11)'!$A:$C,3,0)</f>
        <v>#DIV/0!</v>
      </c>
      <c r="N11" s="1" t="e">
        <f>M11/VLOOKUP(A11,'[15]geoMap (12)'!$A:$B,2,0)*VLOOKUP(A11,'[15]geoMap (12)'!$A:$C,3,0)</f>
        <v>#DIV/0!</v>
      </c>
      <c r="O11" s="1" t="e">
        <f>N11/VLOOKUP(A11,'[16]geoMap (13)'!$A:$B,2,0)*VLOOKUP(A11,'[16]geoMap (13)'!$A:$C,3,0)</f>
        <v>#DIV/0!</v>
      </c>
      <c r="P11" s="1" t="e">
        <f>O11/VLOOKUP(A11,'[17]geoMap (14)'!$A:$B,2,0)*VLOOKUP(A11,'[17]geoMap (14)'!$A:$C,3,0)</f>
        <v>#DIV/0!</v>
      </c>
      <c r="Q11" s="1" t="e">
        <f>P11/VLOOKUP(A11,'[18]geoMap (15)'!$A:$B,2,0)*VLOOKUP(A11,'[18]geoMap (15)'!$A:$C,3,0)</f>
        <v>#DIV/0!</v>
      </c>
      <c r="R11" s="1" t="e">
        <f>Q11/VLOOKUP(A11,'[19]geoMap (16)'!$A:$B,2,0)*VLOOKUP(A11,'[19]geoMap (16)'!$A:$C,3,0)</f>
        <v>#DIV/0!</v>
      </c>
      <c r="S11" s="1" t="e">
        <f>R11/VLOOKUP(A11,'[20]geoMap (17)'!$A:$B,2,0)*VLOOKUP(A11,'[20]geoMap (17)'!$A:$C,3,0)</f>
        <v>#DIV/0!</v>
      </c>
      <c r="T11" s="1" t="e">
        <f>S11/VLOOKUP(A11,'[21]geoMap (18)'!$A:$B,2,0)*VLOOKUP(A11,'[21]geoMap (18)'!$A:$C,3,0)</f>
        <v>#DIV/0!</v>
      </c>
      <c r="U11" s="1" t="e">
        <f>T11/VLOOKUP(A11,'[22]geoMap (19)'!$A:$B,2,0)*VLOOKUP(A11,'[22]geoMap (19)'!$A:$C,3,0)</f>
        <v>#DIV/0!</v>
      </c>
      <c r="V11" s="1" t="e">
        <f>U11/VLOOKUP(A11,'[23]geoMap (20)'!$A:$B,2,0)*VLOOKUP(A11,'[23]geoMap (20)'!$A:$C,3,0)</f>
        <v>#DIV/0!</v>
      </c>
      <c r="W11" s="1" t="e">
        <f>V11/VLOOKUP(A11,'[24]geoMap (21)'!$A:$B,2,0)*VLOOKUP(A11,'[24]geoMap (21)'!$A:$C,3,0)</f>
        <v>#DIV/0!</v>
      </c>
      <c r="X11" s="1" t="e">
        <f>W11/VLOOKUP(A11,'[25]geoMap (22)'!$A:$B,2,0)*VLOOKUP(A11,'[25]geoMap (22)'!$A:$C,3,0)</f>
        <v>#DIV/0!</v>
      </c>
      <c r="Y11" s="1" t="e">
        <f>X11/VLOOKUP(A11,'[26]geoMap (23)'!$A:$B,2,0)*VLOOKUP(A11,'[26]geoMap (23)'!$A:$C,3,0)</f>
        <v>#DIV/0!</v>
      </c>
      <c r="Z11" s="1" t="e">
        <f>Y11/VLOOKUP(A11,'[27]geoMap (24)'!$A:$B,2,0)*VLOOKUP(A11,'[27]geoMap (24)'!$A:$C,3,0)</f>
        <v>#DIV/0!</v>
      </c>
      <c r="AA11" s="1" t="e">
        <f>Z11/VLOOKUP(A11,'[28]geoMap (25)'!$A:$B,2,0)*VLOOKUP(A11,'[28]geoMap (25)'!$A:$C,3,0)</f>
        <v>#DIV/0!</v>
      </c>
      <c r="AB11" s="1" t="e">
        <f>AA11*VLOOKUP(A11,'[29]geoMap (26)'!$A:$B,2,0)*VLOOKUP(A11,'[29]geoMap (26)'!$A:$C,3,0)</f>
        <v>#DIV/0!</v>
      </c>
      <c r="AC11" s="1" t="e">
        <f>AB11/VLOOKUP(A11,'[30]geoMap (27)'!$A:$B,2,0)*VLOOKUP(A11,'[30]geoMap (27)'!$A:$C,3,0)</f>
        <v>#DIV/0!</v>
      </c>
      <c r="AD11" s="1" t="e">
        <f>AC11/VLOOKUP(A11,'[31]geoMap (28)'!$A:$B,2,0)*VLOOKUP(A11,'[31]geoMap (28)'!$A:$C,3,0)</f>
        <v>#DIV/0!</v>
      </c>
      <c r="AE11" s="1" t="e">
        <f>AD11/VLOOKUP(A11,'[32]geoMap (29)'!$A:$B,2,0)*VLOOKUP(A11,'[32]geoMap (29)'!$A:$C,3,0)</f>
        <v>#DIV/0!</v>
      </c>
      <c r="AF11" s="1" t="e">
        <f>AE11/VLOOKUP(A11,'[33]geoMap (30)'!$A:$B,2,0)*VLOOKUP(A11,'[33]geoMap (30)'!$A:$C,3,0)</f>
        <v>#DIV/0!</v>
      </c>
      <c r="AG11" s="1" t="e">
        <f>AF11/VLOOKUP(A11,'[34]geoMap (31)'!$A:$B,2,0)*VLOOKUP(A11,'[34]geoMap (31)'!$A:$C,3,0)</f>
        <v>#DIV/0!</v>
      </c>
      <c r="AH11" s="1" t="e">
        <f>AG11/VLOOKUP(A11,'[35]geoMap (32)'!$A:$B,2,0)*VLOOKUP(A11,'[35]geoMap (32)'!$A:$C,3,0)</f>
        <v>#DIV/0!</v>
      </c>
      <c r="AI11" s="1" t="e">
        <f>AH11/VLOOKUP(A11,'[36]geoMap (33)'!$A:$B,2,0)*VLOOKUP(A11,'[36]geoMap (33)'!$A:$C,3,0)</f>
        <v>#DIV/0!</v>
      </c>
      <c r="AJ11" s="1" t="e">
        <f>AI11/VLOOKUP(A11,'[37]geoMap (34)'!$A:$B,2,0)*VLOOKUP(A11,'[37]geoMap (34)'!$A:$C,3,0)</f>
        <v>#DIV/0!</v>
      </c>
      <c r="AK11" s="1" t="e">
        <f>AJ11/VLOOKUP(A11,'[38]geoMap (35)'!$A:$B,2,0)*VLOOKUP(A11,'[38]geoMap (35)'!$A:$C,3,0)</f>
        <v>#DIV/0!</v>
      </c>
      <c r="AL11" s="1" t="e">
        <f>AK11/VLOOKUP(A11,'[39]geoMap (36)'!$A:$B,2,0)*VLOOKUP(A11,'[39]geoMap (36)'!$A:$C,3,0)</f>
        <v>#DIV/0!</v>
      </c>
      <c r="AM11" s="1" t="e">
        <f>AL11/VLOOKUP(A11,'[40]geoMap (37)'!$A:$B,2,0)*VLOOKUP(A11,'[40]geoMap (37)'!$A:$C,3,0)</f>
        <v>#DIV/0!</v>
      </c>
      <c r="AN11" s="1" t="e">
        <f>AM11/VLOOKUP(A11,'[41]geoMap (38)'!$A:$B,2,0)*VLOOKUP(A11,'[41]geoMap (38)'!$A:$C,3,0)</f>
        <v>#DIV/0!</v>
      </c>
      <c r="AO11" s="1" t="e">
        <f>AN11/VLOOKUP(A11,'[42]geoMap (39)'!$A:$B,2,0)*VLOOKUP(A11,'[42]geoMap (39)'!$A:$C,3,0)</f>
        <v>#DIV/0!</v>
      </c>
      <c r="AP11" s="1" t="e">
        <f>AO11/VLOOKUP(A11,'[43]geoMap (40)'!$A:$B,2,0)*VLOOKUP(A11,'[43]geoMap (40)'!$A:$C,3,0)</f>
        <v>#DIV/0!</v>
      </c>
      <c r="AQ11" s="1" t="e">
        <f>AP11/VLOOKUP(A11,'[44]geoMap (41)'!$A:$B,2,0)*VLOOKUP(A11,'[44]geoMap (41)'!$A:$C,3,0)</f>
        <v>#DIV/0!</v>
      </c>
      <c r="AR11" s="1" t="e">
        <f>AQ11/VLOOKUP(A11,'[45]geoMap (42)'!$A:$B,2,0)*VLOOKUP(A11,'[45]geoMap (42)'!$A:$C,3,0)</f>
        <v>#DIV/0!</v>
      </c>
      <c r="AS11" s="1" t="e">
        <f>AR11/VLOOKUP(A11,'[46]geoMap (43)'!$A:$B,2,0)*VLOOKUP(A11,'[46]geoMap (43)'!$A:$C,3,0)</f>
        <v>#DIV/0!</v>
      </c>
      <c r="AT11" s="1" t="e">
        <f>AS11/VLOOKUP(A11,'[47]geoMap (44)'!$A:$B,2,0)*VLOOKUP(A11,'[47]geoMap (44)'!$A:$C,3,0)</f>
        <v>#DIV/0!</v>
      </c>
      <c r="AU11" s="1" t="e">
        <f>AT11/VLOOKUP(A11,'[48]geoMap (45)'!$A:$B,2,0)*VLOOKUP(A11,'[48]geoMap (45)'!$A:$C,3,0)</f>
        <v>#DIV/0!</v>
      </c>
      <c r="AV11" s="1" t="e">
        <f>AU11/VLOOKUP(A11,'[49]geoMap (46)'!$A:$B,2,0)*VLOOKUP(A11,'[49]geoMap (46)'!$A:$C,3,0)</f>
        <v>#DIV/0!</v>
      </c>
      <c r="AW11" s="1" t="e">
        <f>AV11/VLOOKUP(A11,'[50]geoMap (47)'!$A:$B,2,0)*VLOOKUP(A11,'[50]geoMap (47)'!$A:$C,3,0)</f>
        <v>#DIV/0!</v>
      </c>
      <c r="AX11" s="4" t="e">
        <f>AW11/VLOOKUP(A11,'[51]geoMap (48)'!$A:$B,2,0)*VLOOKUP(A11,'[51]geoMap (48)'!$A:$C,3,0)</f>
        <v>#DIV/0!</v>
      </c>
      <c r="AY11" s="1" t="e">
        <f>AX11/VLOOKUP(A11,'[52]geoMap (49)'!$A:$B,2,0)*VLOOKUP(A11,'[52]geoMap (49)'!$A:$C,3,0)</f>
        <v>#DIV/0!</v>
      </c>
      <c r="AZ11" s="4" t="e">
        <f>AY11/VLOOKUP(A11,'[53]geoMap (50)'!$A:$B,2,0)*VLOOKUP(A11,'[53]geoMap (50)'!$A:$C,3,0)</f>
        <v>#DIV/0!</v>
      </c>
      <c r="BA11" s="1" t="e">
        <f>AZ11/VLOOKUP(A11,'[54]geoMap (51)'!$A:$B,2,0)*VLOOKUP(A11,'[54]geoMap (51)'!$A:$C,3,0)</f>
        <v>#DIV/0!</v>
      </c>
      <c r="BB11" s="4" t="e">
        <f>BA11/VLOOKUP(A11,'[55]geoMap (52)'!$A:$B,2,0)*VLOOKUP(A11,'[55]geoMap (52)'!$A:$C,3,0)</f>
        <v>#DIV/0!</v>
      </c>
      <c r="BC11" s="1" t="e">
        <f>BB11/VLOOKUP(A11,'[56]geoMap (53)'!$A:$B,2,0)*VLOOKUP(A11,'[56]geoMap (53)'!$A:$C,3,0)</f>
        <v>#DIV/0!</v>
      </c>
      <c r="BD11" s="4" t="e">
        <f>BC11/VLOOKUP(A11,'[57]geoMap (54)'!$A:$B,2,0)*VLOOKUP(A11,'[57]geoMap (54)'!$A:$C,3,0)</f>
        <v>#DIV/0!</v>
      </c>
      <c r="BE11" s="1" t="e">
        <f>BD11/VLOOKUP(A11,'[58]geoMap (55)'!$A:$B,2,0)*VLOOKUP(A11,'[58]geoMap (55)'!$A:$C,3,0)</f>
        <v>#DIV/0!</v>
      </c>
      <c r="BF11" s="4" t="e">
        <f>BE11/VLOOKUP(A11,'[59]geoMap (56)'!$A:$B,2,0)*VLOOKUP(A11,'[59]geoMap (56)'!$A:$C,3,0)</f>
        <v>#DIV/0!</v>
      </c>
      <c r="BG11" s="1" t="e">
        <f>BF11/VLOOKUP(A11,'[60]geoMap (57)'!$A:$B,2,0)*VLOOKUP(A11,'[60]geoMap (57)'!$A:$C,3,0)</f>
        <v>#DIV/0!</v>
      </c>
      <c r="BH11" s="4" t="e">
        <f>BG11/VLOOKUP(A11,'[61]geoMap (58)'!$A:$B,2,0)*VLOOKUP(A11,'[61]geoMap (58)'!$A:$C,3,0)</f>
        <v>#DIV/0!</v>
      </c>
      <c r="BI11" s="1" t="e">
        <f>BH11/VLOOKUP(A11,'[62]geoMap (59)'!$A:$B,2,0)*VLOOKUP(A11,'[62]geoMap (59)'!$A:$C,3,0)</f>
        <v>#DIV/0!</v>
      </c>
      <c r="BJ11" s="4" t="e">
        <f>BI11/VLOOKUP(A11,'[63]geoMap (60)'!$A:$B,2,0)*VLOOKUP(A11,'[63]geoMap (60)'!$A:$C,3,0)</f>
        <v>#DIV/0!</v>
      </c>
      <c r="BK11" s="1" t="e">
        <f>BJ11/VLOOKUP(A11,'[64]geoMap (61)'!$A:$B,2,0)*VLOOKUP(A11,'[64]geoMap (61)'!$A:$C,3,0)</f>
        <v>#DIV/0!</v>
      </c>
      <c r="BL11" s="4" t="e">
        <f>BK11/VLOOKUP(A11,'[65]geoMap (62)'!$A:$B,2,0)*VLOOKUP(A11,'[65]geoMap (62)'!$A:$C,3,0)</f>
        <v>#DIV/0!</v>
      </c>
      <c r="BM11" s="1" t="e">
        <f>BL11/VLOOKUP(A11,'[66]geoMap (63)'!$A:$B,2,0)*VLOOKUP(A11,'[66]geoMap (63)'!$A:$C,3,0)</f>
        <v>#DIV/0!</v>
      </c>
      <c r="BN11" s="4" t="e">
        <f>BM11/VLOOKUP(A11,'[67]geoMap (64)'!$A:$B,2,0)*VLOOKUP(A11,'[67]geoMap (64)'!$A:$C,3,0)</f>
        <v>#DIV/0!</v>
      </c>
      <c r="BO11" s="1" t="e">
        <f>BN11/VLOOKUP(A11,'[68]geoMap (65)'!$A:$B,2,0)*VLOOKUP(A11,'[68]geoMap (65)'!$A:$C,3,0)</f>
        <v>#DIV/0!</v>
      </c>
      <c r="BP11" s="4" t="e">
        <f>BO11/VLOOKUP(A11,'[69]geoMap (66)'!$A:$B,2,0)*VLOOKUP(A11,'[69]geoMap (66)'!$A:$C,3,0)</f>
        <v>#DIV/0!</v>
      </c>
    </row>
    <row r="12" spans="1:68" x14ac:dyDescent="0.2">
      <c r="A12" s="1" t="s">
        <v>32</v>
      </c>
      <c r="B12" s="1">
        <f>VLOOKUP(A12,[3]geoMap!$A:$B,2,0)*Notes!$C$6</f>
        <v>11000</v>
      </c>
      <c r="C12" s="1">
        <f>B12/VLOOKUP(A12,'[4]geoMap (1)'!$A:$B,2,0)*VLOOKUP(A12,'[4]geoMap (1)'!$A:$C,3,0)</f>
        <v>15829.268292682927</v>
      </c>
      <c r="D12" s="1">
        <f>C12/VLOOKUP(A12,'[5]geoMap (2)'!$A:$B,2,0)*VLOOKUP(A12,'[5]geoMap (2)'!$A:$C,3,0)</f>
        <v>8903.9634146341468</v>
      </c>
      <c r="E12" s="1">
        <f>D12/VLOOKUP(A12,'[6]geoMap (3)'!$A:$B,2,0)*VLOOKUP(A12,'[6]geoMap (3)'!$A:$C,3,0)</f>
        <v>8903.9634146341468</v>
      </c>
      <c r="F12" s="1">
        <f>E12/VLOOKUP(A12,'[7]geoMap (4)'!$A:$B,2,0)*VLOOKUP(A12,'[7]geoMap (4)'!$A:$C,3,0)</f>
        <v>5935.9756097560985</v>
      </c>
      <c r="G12" s="1">
        <f>F12/VLOOKUP(A12,'[8]geoMap (5)'!$A:$B,2,0)*VLOOKUP(A12,'[8]geoMap (5)'!$A:$C,3,0)</f>
        <v>7255.081300813009</v>
      </c>
      <c r="H12" s="1">
        <f>G12/VLOOKUP(A12,'[9]geoMap (6)'!$A:$B,2,0)*VLOOKUP(A12,'[9]geoMap (6)'!$A:$C,3,0)</f>
        <v>3259.5292800754105</v>
      </c>
      <c r="I12" s="1">
        <f>H12/VLOOKUP(A12,'[10]geoMap (7)'!$A:$B,2,0)*VLOOKUP(A12,'[10]geoMap (7)'!$A:$C,3,0)</f>
        <v>3392.5712915070599</v>
      </c>
      <c r="J12" s="1">
        <f>I12/VLOOKUP(A12,'[11]geoMap (8)'!$A:$B,2,0)*VLOOKUP(A12,'[11]geoMap (8)'!$A:$C,3,0)</f>
        <v>2357.5495415557534</v>
      </c>
      <c r="K12" s="1">
        <f>J12/VLOOKUP(A12,'[12]geoMap (9)'!$A:$B,2,0)*VLOOKUP(A12,'[12]geoMap (9)'!$A:$C,3,0)</f>
        <v>2658.5133128181906</v>
      </c>
      <c r="L12" s="1">
        <f>K12/VLOOKUP(A12,'[13]geoMap (10)'!$A:$B,2,0)*VLOOKUP(A12,'[13]geoMap (10)'!$A:$C,3,0)</f>
        <v>1629.4113852756652</v>
      </c>
      <c r="M12" s="1">
        <f>L12/VLOOKUP(A12,'[14]geoMap (11)'!$A:$B,2,0)*VLOOKUP(A12,'[14]geoMap (11)'!$A:$C,3,0)</f>
        <v>1504.072047946768</v>
      </c>
      <c r="N12" s="1">
        <f>M12/VLOOKUP(A12,'[15]geoMap (12)'!$A:$B,2,0)*VLOOKUP(A12,'[15]geoMap (12)'!$A:$C,3,0)</f>
        <v>1134.6508431879129</v>
      </c>
      <c r="O12" s="1">
        <f>N12/VLOOKUP(A12,'[16]geoMap (13)'!$A:$B,2,0)*VLOOKUP(A12,'[16]geoMap (13)'!$A:$C,3,0)</f>
        <v>891.51137679050282</v>
      </c>
      <c r="P12" s="1">
        <f>O12/VLOOKUP(A12,'[17]geoMap (14)'!$A:$B,2,0)*VLOOKUP(A12,'[17]geoMap (14)'!$A:$C,3,0)</f>
        <v>700.47322462110924</v>
      </c>
      <c r="Q12" s="1">
        <f>P12/VLOOKUP(A12,'[18]geoMap (15)'!$A:$B,2,0)*VLOOKUP(A12,'[18]geoMap (15)'!$A:$C,3,0)</f>
        <v>789.89533840252761</v>
      </c>
      <c r="R12" s="1">
        <f>Q12/VLOOKUP(A12,'[19]geoMap (16)'!$A:$B,2,0)*VLOOKUP(A12,'[19]geoMap (16)'!$A:$C,3,0)</f>
        <v>758.91905062203637</v>
      </c>
      <c r="S12" s="1">
        <f>R12/VLOOKUP(A12,'[20]geoMap (17)'!$A:$B,2,0)*VLOOKUP(A12,'[20]geoMap (17)'!$A:$C,3,0)</f>
        <v>357.13837676331116</v>
      </c>
      <c r="T12" s="1">
        <f>S12/VLOOKUP(A12,'[21]geoMap (18)'!$A:$B,2,0)*VLOOKUP(A12,'[21]geoMap (18)'!$A:$C,3,0)</f>
        <v>292.20412644270908</v>
      </c>
      <c r="U12" s="1">
        <f>T12/VLOOKUP(A12,'[22]geoMap (19)'!$A:$B,2,0)*VLOOKUP(A12,'[22]geoMap (19)'!$A:$C,3,0)</f>
        <v>259.1244140152325</v>
      </c>
      <c r="V12" s="1">
        <f>U12/VLOOKUP(A12,'[23]geoMap (20)'!$A:$B,2,0)*VLOOKUP(A12,'[23]geoMap (20)'!$A:$C,3,0)</f>
        <v>405.29716038279952</v>
      </c>
      <c r="W12" s="1">
        <f>V12/VLOOKUP(A12,'[24]geoMap (21)'!$A:$B,2,0)*VLOOKUP(A12,'[24]geoMap (21)'!$A:$C,3,0)</f>
        <v>88.967669352321849</v>
      </c>
      <c r="X12" s="1">
        <f>W12/VLOOKUP(A12,'[25]geoMap (22)'!$A:$B,2,0)*VLOOKUP(A12,'[25]geoMap (22)'!$A:$C,3,0)</f>
        <v>151.48549105935882</v>
      </c>
      <c r="Y12" s="1">
        <f>X12/VLOOKUP(A12,'[26]geoMap (23)'!$A:$B,2,0)*VLOOKUP(A12,'[26]geoMap (23)'!$A:$C,3,0)</f>
        <v>281.33019768166639</v>
      </c>
      <c r="Z12" s="1">
        <f>Y12/VLOOKUP(A12,'[27]geoMap (24)'!$A:$B,2,0)*VLOOKUP(A12,'[27]geoMap (24)'!$A:$C,3,0)</f>
        <v>120.57008472071416</v>
      </c>
      <c r="AA12" s="1">
        <f>Z12/VLOOKUP(A12,'[28]geoMap (25)'!$A:$B,2,0)*VLOOKUP(A12,'[28]geoMap (25)'!$A:$C,3,0)</f>
        <v>49.246936012686064</v>
      </c>
      <c r="AB12" s="1">
        <f>AA12*VLOOKUP(A12,'[29]geoMap (26)'!$A:$B,2,0)*VLOOKUP(A12,'[29]geoMap (26)'!$A:$C,3,0)</f>
        <v>12.188616663139801</v>
      </c>
      <c r="AC12" s="1">
        <f>AB12/VLOOKUP(A12,'[30]geoMap (27)'!$A:$B,2,0)*VLOOKUP(A12,'[30]geoMap (27)'!$A:$C,3,0)</f>
        <v>23.660255875506671</v>
      </c>
      <c r="AD12" s="1">
        <f>AC12/VLOOKUP(A12,'[31]geoMap (28)'!$A:$B,2,0)*VLOOKUP(A12,'[31]geoMap (28)'!$A:$C,3,0)</f>
        <v>13.3088939299725</v>
      </c>
      <c r="AE12" s="1">
        <f>AD12/VLOOKUP(A12,'[32]geoMap (29)'!$A:$B,2,0)*VLOOKUP(A12,'[32]geoMap (29)'!$A:$C,3,0)</f>
        <v>13.852114090379542</v>
      </c>
      <c r="AF12" s="1">
        <f>AE12/VLOOKUP(A12,'[33]geoMap (30)'!$A:$B,2,0)*VLOOKUP(A12,'[33]geoMap (30)'!$A:$C,3,0)</f>
        <v>12.283950231091291</v>
      </c>
      <c r="AG12" s="1">
        <f>AF12/VLOOKUP(A12,'[34]geoMap (31)'!$A:$B,2,0)*VLOOKUP(A12,'[34]geoMap (31)'!$A:$C,3,0)</f>
        <v>18.425925346636934</v>
      </c>
      <c r="AH12" s="1">
        <f>AG12/VLOOKUP(A12,'[35]geoMap (32)'!$A:$B,2,0)*VLOOKUP(A12,'[35]geoMap (32)'!$A:$C,3,0)</f>
        <v>4.8980307883465262</v>
      </c>
      <c r="AI12" s="1">
        <f>AH12/VLOOKUP(A12,'[36]geoMap (33)'!$A:$B,2,0)*VLOOKUP(A12,'[36]geoMap (33)'!$A:$C,3,0)</f>
        <v>11.991730550779426</v>
      </c>
      <c r="AJ12" s="1">
        <f>AI12/VLOOKUP(A12,'[37]geoMap (34)'!$A:$B,2,0)*VLOOKUP(A12,'[37]geoMap (34)'!$A:$C,3,0)</f>
        <v>12.481188940607158</v>
      </c>
      <c r="AK12" s="1">
        <f>AJ12/VLOOKUP(A12,'[38]geoMap (35)'!$A:$B,2,0)*VLOOKUP(A12,'[38]geoMap (35)'!$A:$C,3,0)</f>
        <v>9.8066484533341942</v>
      </c>
      <c r="AL12" s="1" t="e">
        <f>AK12/VLOOKUP(A12,'[39]geoMap (36)'!$A:$B,2,0)*VLOOKUP(A12,'[39]geoMap (36)'!$A:$C,3,0)</f>
        <v>#REF!</v>
      </c>
      <c r="AM12" s="1" t="e">
        <f>AL12/VLOOKUP(A12,'[40]geoMap (37)'!$A:$B,2,0)*VLOOKUP(A12,'[40]geoMap (37)'!$A:$C,3,0)</f>
        <v>#REF!</v>
      </c>
      <c r="AN12" s="1" t="e">
        <f>AM12/VLOOKUP(A12,'[41]geoMap (38)'!$A:$B,2,0)*VLOOKUP(A12,'[41]geoMap (38)'!$A:$C,3,0)</f>
        <v>#REF!</v>
      </c>
      <c r="AO12" s="1" t="e">
        <f>AN12/VLOOKUP(A12,'[42]geoMap (39)'!$A:$B,2,0)*VLOOKUP(A12,'[42]geoMap (39)'!$A:$C,3,0)</f>
        <v>#REF!</v>
      </c>
      <c r="AP12" s="1" t="e">
        <f>AO12/VLOOKUP(A12,'[43]geoMap (40)'!$A:$B,2,0)*VLOOKUP(A12,'[43]geoMap (40)'!$A:$C,3,0)</f>
        <v>#REF!</v>
      </c>
      <c r="AQ12" s="1" t="e">
        <f>AP12/VLOOKUP(A12,'[44]geoMap (41)'!$A:$B,2,0)*VLOOKUP(A12,'[44]geoMap (41)'!$A:$C,3,0)</f>
        <v>#REF!</v>
      </c>
      <c r="AR12" s="1" t="e">
        <f>AQ12/VLOOKUP(A12,'[45]geoMap (42)'!$A:$B,2,0)*VLOOKUP(A12,'[45]geoMap (42)'!$A:$C,3,0)</f>
        <v>#REF!</v>
      </c>
      <c r="AS12" s="1" t="e">
        <f>AR12/VLOOKUP(A12,'[46]geoMap (43)'!$A:$B,2,0)*VLOOKUP(A12,'[46]geoMap (43)'!$A:$C,3,0)</f>
        <v>#REF!</v>
      </c>
      <c r="AT12" s="1" t="e">
        <f>AS12/VLOOKUP(A12,'[47]geoMap (44)'!$A:$B,2,0)*VLOOKUP(A12,'[47]geoMap (44)'!$A:$C,3,0)</f>
        <v>#REF!</v>
      </c>
      <c r="AU12" s="1" t="e">
        <f>AT12/VLOOKUP(A12,'[48]geoMap (45)'!$A:$B,2,0)*VLOOKUP(A12,'[48]geoMap (45)'!$A:$C,3,0)</f>
        <v>#REF!</v>
      </c>
      <c r="AV12" s="1" t="e">
        <f>AU12/VLOOKUP(A12,'[49]geoMap (46)'!$A:$B,2,0)*VLOOKUP(A12,'[49]geoMap (46)'!$A:$C,3,0)</f>
        <v>#REF!</v>
      </c>
      <c r="AW12" s="1" t="e">
        <f>AV12/VLOOKUP(A12,'[50]geoMap (47)'!$A:$B,2,0)*VLOOKUP(A12,'[50]geoMap (47)'!$A:$C,3,0)</f>
        <v>#REF!</v>
      </c>
      <c r="AX12" s="4" t="e">
        <f>AW12/VLOOKUP(A12,'[51]geoMap (48)'!$A:$B,2,0)*VLOOKUP(A12,'[51]geoMap (48)'!$A:$C,3,0)</f>
        <v>#REF!</v>
      </c>
      <c r="AY12" s="1" t="e">
        <f>AX12/VLOOKUP(A12,'[52]geoMap (49)'!$A:$B,2,0)*VLOOKUP(A12,'[52]geoMap (49)'!$A:$C,3,0)</f>
        <v>#REF!</v>
      </c>
      <c r="AZ12" s="4" t="e">
        <f>AY12/VLOOKUP(A12,'[53]geoMap (50)'!$A:$B,2,0)*VLOOKUP(A12,'[53]geoMap (50)'!$A:$C,3,0)</f>
        <v>#REF!</v>
      </c>
      <c r="BA12" s="1" t="e">
        <f>AZ12/VLOOKUP(A12,'[54]geoMap (51)'!$A:$B,2,0)*VLOOKUP(A12,'[54]geoMap (51)'!$A:$C,3,0)</f>
        <v>#REF!</v>
      </c>
      <c r="BB12" s="4" t="e">
        <f>BA12/VLOOKUP(A12,'[55]geoMap (52)'!$A:$B,2,0)*VLOOKUP(A12,'[55]geoMap (52)'!$A:$C,3,0)</f>
        <v>#REF!</v>
      </c>
      <c r="BC12" s="1" t="e">
        <f>BB12/VLOOKUP(A12,'[56]geoMap (53)'!$A:$B,2,0)*VLOOKUP(A12,'[56]geoMap (53)'!$A:$C,3,0)</f>
        <v>#REF!</v>
      </c>
      <c r="BD12" s="4" t="e">
        <f>BC12/VLOOKUP(A12,'[57]geoMap (54)'!$A:$B,2,0)*VLOOKUP(A12,'[57]geoMap (54)'!$A:$C,3,0)</f>
        <v>#REF!</v>
      </c>
      <c r="BE12" s="1" t="e">
        <f>BD12/VLOOKUP(A12,'[58]geoMap (55)'!$A:$B,2,0)*VLOOKUP(A12,'[58]geoMap (55)'!$A:$C,3,0)</f>
        <v>#REF!</v>
      </c>
      <c r="BF12" s="4" t="e">
        <f>BE12/VLOOKUP(A12,'[59]geoMap (56)'!$A:$B,2,0)*VLOOKUP(A12,'[59]geoMap (56)'!$A:$C,3,0)</f>
        <v>#REF!</v>
      </c>
      <c r="BG12" s="1" t="e">
        <f>BF12/VLOOKUP(A12,'[60]geoMap (57)'!$A:$B,2,0)*VLOOKUP(A12,'[60]geoMap (57)'!$A:$C,3,0)</f>
        <v>#REF!</v>
      </c>
      <c r="BH12" s="4" t="e">
        <f>BG12/VLOOKUP(A12,'[61]geoMap (58)'!$A:$B,2,0)*VLOOKUP(A12,'[61]geoMap (58)'!$A:$C,3,0)</f>
        <v>#REF!</v>
      </c>
      <c r="BI12" s="1" t="e">
        <f>BH12/VLOOKUP(A12,'[62]geoMap (59)'!$A:$B,2,0)*VLOOKUP(A12,'[62]geoMap (59)'!$A:$C,3,0)</f>
        <v>#REF!</v>
      </c>
      <c r="BJ12" s="4" t="e">
        <f>BI12/VLOOKUP(A12,'[63]geoMap (60)'!$A:$B,2,0)*VLOOKUP(A12,'[63]geoMap (60)'!$A:$C,3,0)</f>
        <v>#REF!</v>
      </c>
      <c r="BK12" s="1" t="e">
        <f>BJ12/VLOOKUP(A12,'[64]geoMap (61)'!$A:$B,2,0)*VLOOKUP(A12,'[64]geoMap (61)'!$A:$C,3,0)</f>
        <v>#REF!</v>
      </c>
      <c r="BL12" s="4" t="e">
        <f>BK12/VLOOKUP(A12,'[65]geoMap (62)'!$A:$B,2,0)*VLOOKUP(A12,'[65]geoMap (62)'!$A:$C,3,0)</f>
        <v>#REF!</v>
      </c>
      <c r="BM12" s="1" t="e">
        <f>BL12/VLOOKUP(A12,'[66]geoMap (63)'!$A:$B,2,0)*VLOOKUP(A12,'[66]geoMap (63)'!$A:$C,3,0)</f>
        <v>#REF!</v>
      </c>
      <c r="BN12" s="4" t="e">
        <f>BM12/VLOOKUP(A12,'[67]geoMap (64)'!$A:$B,2,0)*VLOOKUP(A12,'[67]geoMap (64)'!$A:$C,3,0)</f>
        <v>#REF!</v>
      </c>
      <c r="BO12" s="1" t="e">
        <f>BN12/VLOOKUP(A12,'[68]geoMap (65)'!$A:$B,2,0)*VLOOKUP(A12,'[68]geoMap (65)'!$A:$C,3,0)</f>
        <v>#REF!</v>
      </c>
      <c r="BP12" s="4" t="e">
        <f>BO12/VLOOKUP(A12,'[69]geoMap (66)'!$A:$B,2,0)*VLOOKUP(A12,'[69]geoMap (66)'!$A:$C,3,0)</f>
        <v>#REF!</v>
      </c>
    </row>
    <row r="13" spans="1:68" x14ac:dyDescent="0.2">
      <c r="A13" s="1" t="s">
        <v>37</v>
      </c>
      <c r="B13" s="1">
        <f>VLOOKUP(A13,[3]geoMap!$A:$B,2,0)*Notes!$C$6</f>
        <v>10000</v>
      </c>
      <c r="C13" s="1">
        <f>B13/VLOOKUP(A13,'[4]geoMap (1)'!$A:$B,2,0)*VLOOKUP(A13,'[4]geoMap (1)'!$A:$C,3,0)</f>
        <v>5151.515151515151</v>
      </c>
      <c r="D13" s="1">
        <f>C13/VLOOKUP(A13,'[5]geoMap (2)'!$A:$B,2,0)*VLOOKUP(A13,'[5]geoMap (2)'!$A:$C,3,0)</f>
        <v>7413.1559497413145</v>
      </c>
      <c r="E13" s="1">
        <f>D13/VLOOKUP(A13,'[6]geoMap (3)'!$A:$B,2,0)*VLOOKUP(A13,'[6]geoMap (3)'!$A:$C,3,0)</f>
        <v>5368.1474118816413</v>
      </c>
      <c r="F13" s="1">
        <f>E13/VLOOKUP(A13,'[7]geoMap (4)'!$A:$B,2,0)*VLOOKUP(A13,'[7]geoMap (4)'!$A:$C,3,0)</f>
        <v>4572.8663138251013</v>
      </c>
      <c r="G13" s="1">
        <f>F13/VLOOKUP(A13,'[8]geoMap (5)'!$A:$B,2,0)*VLOOKUP(A13,'[8]geoMap (5)'!$A:$C,3,0)</f>
        <v>3048.5775425500678</v>
      </c>
      <c r="H13" s="1">
        <f>G13/VLOOKUP(A13,'[9]geoMap (6)'!$A:$B,2,0)*VLOOKUP(A13,'[9]geoMap (6)'!$A:$C,3,0)</f>
        <v>2032.3850283667123</v>
      </c>
      <c r="I13" s="1">
        <f>H13/VLOOKUP(A13,'[10]geoMap (7)'!$A:$B,2,0)*VLOOKUP(A13,'[10]geoMap (7)'!$A:$C,3,0)</f>
        <v>1876.0477184923495</v>
      </c>
      <c r="J13" s="1">
        <f>I13/VLOOKUP(A13,'[11]geoMap (8)'!$A:$B,2,0)*VLOOKUP(A13,'[11]geoMap (8)'!$A:$C,3,0)</f>
        <v>1250.6984789948999</v>
      </c>
      <c r="K13" s="1">
        <f>J13/VLOOKUP(A13,'[12]geoMap (9)'!$A:$B,2,0)*VLOOKUP(A13,'[12]geoMap (9)'!$A:$C,3,0)</f>
        <v>1023.2987555412817</v>
      </c>
      <c r="L13" s="1">
        <f>K13/VLOOKUP(A13,'[13]geoMap (10)'!$A:$B,2,0)*VLOOKUP(A13,'[13]geoMap (10)'!$A:$C,3,0)</f>
        <v>627.18310823497904</v>
      </c>
      <c r="M13" s="1" t="e">
        <f>L13/VLOOKUP(A13,'[14]geoMap (11)'!$A:$B,2,0)*VLOOKUP(A13,'[14]geoMap (11)'!$A:$C,3,0)</f>
        <v>#REF!</v>
      </c>
      <c r="N13" s="1" t="e">
        <f>M13/VLOOKUP(A13,'[15]geoMap (12)'!$A:$B,2,0)*VLOOKUP(A13,'[15]geoMap (12)'!$A:$C,3,0)</f>
        <v>#REF!</v>
      </c>
      <c r="O13" s="1" t="e">
        <f>N13/VLOOKUP(A13,'[16]geoMap (13)'!$A:$B,2,0)*VLOOKUP(A13,'[16]geoMap (13)'!$A:$C,3,0)</f>
        <v>#REF!</v>
      </c>
      <c r="P13" s="1" t="e">
        <f>O13/VLOOKUP(A13,'[17]geoMap (14)'!$A:$B,2,0)*VLOOKUP(A13,'[17]geoMap (14)'!$A:$C,3,0)</f>
        <v>#REF!</v>
      </c>
      <c r="Q13" s="1" t="e">
        <f>P13/VLOOKUP(A13,'[18]geoMap (15)'!$A:$B,2,0)*VLOOKUP(A13,'[18]geoMap (15)'!$A:$C,3,0)</f>
        <v>#REF!</v>
      </c>
      <c r="R13" s="1" t="e">
        <f>Q13/VLOOKUP(A13,'[19]geoMap (16)'!$A:$B,2,0)*VLOOKUP(A13,'[19]geoMap (16)'!$A:$C,3,0)</f>
        <v>#REF!</v>
      </c>
      <c r="S13" s="1" t="e">
        <f>R13/VLOOKUP(A13,'[20]geoMap (17)'!$A:$B,2,0)*VLOOKUP(A13,'[20]geoMap (17)'!$A:$C,3,0)</f>
        <v>#REF!</v>
      </c>
      <c r="T13" s="1" t="e">
        <f>S13/VLOOKUP(A13,'[21]geoMap (18)'!$A:$B,2,0)*VLOOKUP(A13,'[21]geoMap (18)'!$A:$C,3,0)</f>
        <v>#REF!</v>
      </c>
      <c r="U13" s="1" t="e">
        <f>T13/VLOOKUP(A13,'[22]geoMap (19)'!$A:$B,2,0)*VLOOKUP(A13,'[22]geoMap (19)'!$A:$C,3,0)</f>
        <v>#REF!</v>
      </c>
      <c r="V13" s="1" t="e">
        <f>U13/VLOOKUP(A13,'[23]geoMap (20)'!$A:$B,2,0)*VLOOKUP(A13,'[23]geoMap (20)'!$A:$C,3,0)</f>
        <v>#REF!</v>
      </c>
      <c r="W13" s="1" t="e">
        <f>V13/VLOOKUP(A13,'[24]geoMap (21)'!$A:$B,2,0)*VLOOKUP(A13,'[24]geoMap (21)'!$A:$C,3,0)</f>
        <v>#REF!</v>
      </c>
      <c r="X13" s="1" t="e">
        <f>W13/VLOOKUP(A13,'[25]geoMap (22)'!$A:$B,2,0)*VLOOKUP(A13,'[25]geoMap (22)'!$A:$C,3,0)</f>
        <v>#REF!</v>
      </c>
      <c r="Y13" s="1" t="e">
        <f>X13/VLOOKUP(A13,'[26]geoMap (23)'!$A:$B,2,0)*VLOOKUP(A13,'[26]geoMap (23)'!$A:$C,3,0)</f>
        <v>#REF!</v>
      </c>
      <c r="Z13" s="1" t="e">
        <f>Y13/VLOOKUP(A13,'[27]geoMap (24)'!$A:$B,2,0)*VLOOKUP(A13,'[27]geoMap (24)'!$A:$C,3,0)</f>
        <v>#REF!</v>
      </c>
      <c r="AA13" s="1" t="e">
        <f>Z13/VLOOKUP(A13,'[28]geoMap (25)'!$A:$B,2,0)*VLOOKUP(A13,'[28]geoMap (25)'!$A:$C,3,0)</f>
        <v>#REF!</v>
      </c>
      <c r="AB13" s="1" t="e">
        <f>AA13*VLOOKUP(A13,'[29]geoMap (26)'!$A:$B,2,0)*VLOOKUP(A13,'[29]geoMap (26)'!$A:$C,3,0)</f>
        <v>#REF!</v>
      </c>
      <c r="AC13" s="1" t="e">
        <f>AB13/VLOOKUP(A13,'[30]geoMap (27)'!$A:$B,2,0)*VLOOKUP(A13,'[30]geoMap (27)'!$A:$C,3,0)</f>
        <v>#REF!</v>
      </c>
      <c r="AD13" s="1" t="e">
        <f>AC13/VLOOKUP(A13,'[31]geoMap (28)'!$A:$B,2,0)*VLOOKUP(A13,'[31]geoMap (28)'!$A:$C,3,0)</f>
        <v>#REF!</v>
      </c>
      <c r="AE13" s="1" t="e">
        <f>AD13/VLOOKUP(A13,'[32]geoMap (29)'!$A:$B,2,0)*VLOOKUP(A13,'[32]geoMap (29)'!$A:$C,3,0)</f>
        <v>#REF!</v>
      </c>
      <c r="AF13" s="1" t="e">
        <f>AE13/VLOOKUP(A13,'[33]geoMap (30)'!$A:$B,2,0)*VLOOKUP(A13,'[33]geoMap (30)'!$A:$C,3,0)</f>
        <v>#REF!</v>
      </c>
      <c r="AG13" s="1" t="e">
        <f>AF13/VLOOKUP(A13,'[34]geoMap (31)'!$A:$B,2,0)*VLOOKUP(A13,'[34]geoMap (31)'!$A:$C,3,0)</f>
        <v>#REF!</v>
      </c>
      <c r="AH13" s="1" t="e">
        <f>AG13/VLOOKUP(A13,'[35]geoMap (32)'!$A:$B,2,0)*VLOOKUP(A13,'[35]geoMap (32)'!$A:$C,3,0)</f>
        <v>#REF!</v>
      </c>
      <c r="AI13" s="1" t="e">
        <f>AH13/VLOOKUP(A13,'[36]geoMap (33)'!$A:$B,2,0)*VLOOKUP(A13,'[36]geoMap (33)'!$A:$C,3,0)</f>
        <v>#REF!</v>
      </c>
      <c r="AJ13" s="1" t="e">
        <f>AI13/VLOOKUP(A13,'[37]geoMap (34)'!$A:$B,2,0)*VLOOKUP(A13,'[37]geoMap (34)'!$A:$C,3,0)</f>
        <v>#REF!</v>
      </c>
      <c r="AK13" s="1" t="e">
        <f>AJ13/VLOOKUP(A13,'[38]geoMap (35)'!$A:$B,2,0)*VLOOKUP(A13,'[38]geoMap (35)'!$A:$C,3,0)</f>
        <v>#REF!</v>
      </c>
      <c r="AL13" s="1" t="e">
        <f>AK13/VLOOKUP(A13,'[39]geoMap (36)'!$A:$B,2,0)*VLOOKUP(A13,'[39]geoMap (36)'!$A:$C,3,0)</f>
        <v>#REF!</v>
      </c>
      <c r="AM13" s="1" t="e">
        <f>AL13/VLOOKUP(A13,'[40]geoMap (37)'!$A:$B,2,0)*VLOOKUP(A13,'[40]geoMap (37)'!$A:$C,3,0)</f>
        <v>#REF!</v>
      </c>
      <c r="AN13" s="1" t="e">
        <f>AM13/VLOOKUP(A13,'[41]geoMap (38)'!$A:$B,2,0)*VLOOKUP(A13,'[41]geoMap (38)'!$A:$C,3,0)</f>
        <v>#REF!</v>
      </c>
      <c r="AO13" s="1" t="e">
        <f>AN13/VLOOKUP(A13,'[42]geoMap (39)'!$A:$B,2,0)*VLOOKUP(A13,'[42]geoMap (39)'!$A:$C,3,0)</f>
        <v>#REF!</v>
      </c>
      <c r="AP13" s="1" t="e">
        <f>AO13/VLOOKUP(A13,'[43]geoMap (40)'!$A:$B,2,0)*VLOOKUP(A13,'[43]geoMap (40)'!$A:$C,3,0)</f>
        <v>#REF!</v>
      </c>
      <c r="AQ13" s="1" t="e">
        <f>AP13/VLOOKUP(A13,'[44]geoMap (41)'!$A:$B,2,0)*VLOOKUP(A13,'[44]geoMap (41)'!$A:$C,3,0)</f>
        <v>#REF!</v>
      </c>
      <c r="AR13" s="1" t="e">
        <f>AQ13/VLOOKUP(A13,'[45]geoMap (42)'!$A:$B,2,0)*VLOOKUP(A13,'[45]geoMap (42)'!$A:$C,3,0)</f>
        <v>#REF!</v>
      </c>
      <c r="AS13" s="1" t="e">
        <f>AR13/VLOOKUP(A13,'[46]geoMap (43)'!$A:$B,2,0)*VLOOKUP(A13,'[46]geoMap (43)'!$A:$C,3,0)</f>
        <v>#REF!</v>
      </c>
      <c r="AT13" s="1" t="e">
        <f>AS13/VLOOKUP(A13,'[47]geoMap (44)'!$A:$B,2,0)*VLOOKUP(A13,'[47]geoMap (44)'!$A:$C,3,0)</f>
        <v>#REF!</v>
      </c>
      <c r="AU13" s="1" t="e">
        <f>AT13/VLOOKUP(A13,'[48]geoMap (45)'!$A:$B,2,0)*VLOOKUP(A13,'[48]geoMap (45)'!$A:$C,3,0)</f>
        <v>#REF!</v>
      </c>
      <c r="AV13" s="1" t="e">
        <f>AU13/VLOOKUP(A13,'[49]geoMap (46)'!$A:$B,2,0)*VLOOKUP(A13,'[49]geoMap (46)'!$A:$C,3,0)</f>
        <v>#REF!</v>
      </c>
      <c r="AW13" s="1" t="e">
        <f>AV13/VLOOKUP(A13,'[50]geoMap (47)'!$A:$B,2,0)*VLOOKUP(A13,'[50]geoMap (47)'!$A:$C,3,0)</f>
        <v>#REF!</v>
      </c>
      <c r="AX13" s="4" t="e">
        <f>AW13/VLOOKUP(A13,'[51]geoMap (48)'!$A:$B,2,0)*VLOOKUP(A13,'[51]geoMap (48)'!$A:$C,3,0)</f>
        <v>#REF!</v>
      </c>
      <c r="AY13" s="1" t="e">
        <f>AX13/VLOOKUP(A13,'[52]geoMap (49)'!$A:$B,2,0)*VLOOKUP(A13,'[52]geoMap (49)'!$A:$C,3,0)</f>
        <v>#REF!</v>
      </c>
      <c r="AZ13" s="4" t="e">
        <f>AY13/VLOOKUP(A13,'[53]geoMap (50)'!$A:$B,2,0)*VLOOKUP(A13,'[53]geoMap (50)'!$A:$C,3,0)</f>
        <v>#REF!</v>
      </c>
      <c r="BA13" s="1" t="e">
        <f>AZ13/VLOOKUP(A13,'[54]geoMap (51)'!$A:$B,2,0)*VLOOKUP(A13,'[54]geoMap (51)'!$A:$C,3,0)</f>
        <v>#REF!</v>
      </c>
      <c r="BB13" s="4" t="e">
        <f>BA13/VLOOKUP(A13,'[55]geoMap (52)'!$A:$B,2,0)*VLOOKUP(A13,'[55]geoMap (52)'!$A:$C,3,0)</f>
        <v>#REF!</v>
      </c>
      <c r="BC13" s="1" t="e">
        <f>BB13/VLOOKUP(A13,'[56]geoMap (53)'!$A:$B,2,0)*VLOOKUP(A13,'[56]geoMap (53)'!$A:$C,3,0)</f>
        <v>#REF!</v>
      </c>
      <c r="BD13" s="4" t="e">
        <f>BC13/VLOOKUP(A13,'[57]geoMap (54)'!$A:$B,2,0)*VLOOKUP(A13,'[57]geoMap (54)'!$A:$C,3,0)</f>
        <v>#REF!</v>
      </c>
      <c r="BE13" s="1" t="e">
        <f>BD13/VLOOKUP(A13,'[58]geoMap (55)'!$A:$B,2,0)*VLOOKUP(A13,'[58]geoMap (55)'!$A:$C,3,0)</f>
        <v>#REF!</v>
      </c>
      <c r="BF13" s="4" t="e">
        <f>BE13/VLOOKUP(A13,'[59]geoMap (56)'!$A:$B,2,0)*VLOOKUP(A13,'[59]geoMap (56)'!$A:$C,3,0)</f>
        <v>#REF!</v>
      </c>
      <c r="BG13" s="1" t="e">
        <f>BF13/VLOOKUP(A13,'[60]geoMap (57)'!$A:$B,2,0)*VLOOKUP(A13,'[60]geoMap (57)'!$A:$C,3,0)</f>
        <v>#REF!</v>
      </c>
      <c r="BH13" s="4" t="e">
        <f>BG13/VLOOKUP(A13,'[61]geoMap (58)'!$A:$B,2,0)*VLOOKUP(A13,'[61]geoMap (58)'!$A:$C,3,0)</f>
        <v>#REF!</v>
      </c>
      <c r="BI13" s="1" t="e">
        <f>BH13/VLOOKUP(A13,'[62]geoMap (59)'!$A:$B,2,0)*VLOOKUP(A13,'[62]geoMap (59)'!$A:$C,3,0)</f>
        <v>#REF!</v>
      </c>
      <c r="BJ13" s="4" t="e">
        <f>BI13/VLOOKUP(A13,'[63]geoMap (60)'!$A:$B,2,0)*VLOOKUP(A13,'[63]geoMap (60)'!$A:$C,3,0)</f>
        <v>#REF!</v>
      </c>
      <c r="BK13" s="1" t="e">
        <f>BJ13/VLOOKUP(A13,'[64]geoMap (61)'!$A:$B,2,0)*VLOOKUP(A13,'[64]geoMap (61)'!$A:$C,3,0)</f>
        <v>#REF!</v>
      </c>
      <c r="BL13" s="4" t="e">
        <f>BK13/VLOOKUP(A13,'[65]geoMap (62)'!$A:$B,2,0)*VLOOKUP(A13,'[65]geoMap (62)'!$A:$C,3,0)</f>
        <v>#REF!</v>
      </c>
      <c r="BM13" s="1" t="e">
        <f>BL13/VLOOKUP(A13,'[66]geoMap (63)'!$A:$B,2,0)*VLOOKUP(A13,'[66]geoMap (63)'!$A:$C,3,0)</f>
        <v>#REF!</v>
      </c>
      <c r="BN13" s="4" t="e">
        <f>BM13/VLOOKUP(A13,'[67]geoMap (64)'!$A:$B,2,0)*VLOOKUP(A13,'[67]geoMap (64)'!$A:$C,3,0)</f>
        <v>#REF!</v>
      </c>
      <c r="BO13" s="1" t="e">
        <f>BN13/VLOOKUP(A13,'[68]geoMap (65)'!$A:$B,2,0)*VLOOKUP(A13,'[68]geoMap (65)'!$A:$C,3,0)</f>
        <v>#REF!</v>
      </c>
      <c r="BP13" s="4" t="e">
        <f>BO13/VLOOKUP(A13,'[69]geoMap (66)'!$A:$B,2,0)*VLOOKUP(A13,'[69]geoMap (66)'!$A:$C,3,0)</f>
        <v>#REF!</v>
      </c>
    </row>
    <row r="14" spans="1:68" x14ac:dyDescent="0.2">
      <c r="A14" s="1" t="s">
        <v>42</v>
      </c>
      <c r="B14" s="1">
        <f>VLOOKUP(A14,[3]geoMap!$A:$B,2,0)*Notes!$C$6</f>
        <v>9000</v>
      </c>
      <c r="C14" s="1">
        <f>B14/VLOOKUP(A14,'[4]geoMap (1)'!$A:$B,2,0)*VLOOKUP(A14,'[4]geoMap (1)'!$A:$C,3,0)</f>
        <v>16000</v>
      </c>
      <c r="D14" s="1">
        <f>C14/VLOOKUP(A14,'[5]geoMap (2)'!$A:$B,2,0)*VLOOKUP(A14,'[5]geoMap (2)'!$A:$C,3,0)</f>
        <v>10666.666666666668</v>
      </c>
      <c r="E14" s="1">
        <f>D14/VLOOKUP(A14,'[6]geoMap (3)'!$A:$B,2,0)*VLOOKUP(A14,'[6]geoMap (3)'!$A:$C,3,0)</f>
        <v>5743.5897435897432</v>
      </c>
      <c r="F14" s="1">
        <f>E14/VLOOKUP(A14,'[7]geoMap (4)'!$A:$B,2,0)*VLOOKUP(A14,'[7]geoMap (4)'!$A:$C,3,0)</f>
        <v>2580.453363062059</v>
      </c>
      <c r="G14" s="1">
        <f>F14/VLOOKUP(A14,'[8]geoMap (5)'!$A:$B,2,0)*VLOOKUP(A14,'[8]geoMap (5)'!$A:$C,3,0)</f>
        <v>7741.360089186177</v>
      </c>
      <c r="H14" s="1">
        <f>G14/VLOOKUP(A14,'[9]geoMap (6)'!$A:$B,2,0)*VLOOKUP(A14,'[9]geoMap (6)'!$A:$C,3,0)</f>
        <v>3478.0023589097318</v>
      </c>
      <c r="I14" s="1">
        <f>H14/VLOOKUP(A14,'[10]geoMap (7)'!$A:$B,2,0)*VLOOKUP(A14,'[10]geoMap (7)'!$A:$C,3,0)</f>
        <v>3619.9616388652312</v>
      </c>
      <c r="J14" s="1">
        <f>I14/VLOOKUP(A14,'[11]geoMap (8)'!$A:$B,2,0)*VLOOKUP(A14,'[11]geoMap (8)'!$A:$C,3,0)</f>
        <v>1338.8899212241267</v>
      </c>
      <c r="K14" s="1">
        <f>J14/VLOOKUP(A14,'[12]geoMap (9)'!$A:$B,2,0)*VLOOKUP(A14,'[12]geoMap (9)'!$A:$C,3,0)</f>
        <v>1926.6952524932556</v>
      </c>
      <c r="L14" s="1">
        <f>K14/VLOOKUP(A14,'[13]geoMap (10)'!$A:$B,2,0)*VLOOKUP(A14,'[13]geoMap (10)'!$A:$C,3,0)</f>
        <v>948.96930346682745</v>
      </c>
      <c r="M14" s="1">
        <f>L14/VLOOKUP(A14,'[14]geoMap (11)'!$A:$B,2,0)*VLOOKUP(A14,'[14]geoMap (11)'!$A:$C,3,0)</f>
        <v>875.97166473861</v>
      </c>
      <c r="N14" s="1">
        <f>M14/VLOOKUP(A14,'[15]geoMap (12)'!$A:$B,2,0)*VLOOKUP(A14,'[15]geoMap (12)'!$A:$C,3,0)</f>
        <v>1370.1095268988515</v>
      </c>
      <c r="O14" s="1">
        <f>N14/VLOOKUP(A14,'[16]geoMap (13)'!$A:$B,2,0)*VLOOKUP(A14,'[16]geoMap (13)'!$A:$C,3,0)</f>
        <v>587.18979724236499</v>
      </c>
      <c r="P14" s="1">
        <f>O14/VLOOKUP(A14,'[17]geoMap (14)'!$A:$B,2,0)*VLOOKUP(A14,'[17]geoMap (14)'!$A:$C,3,0)</f>
        <v>185.42835702390471</v>
      </c>
      <c r="Q14" s="1">
        <f>P14/VLOOKUP(A14,'[18]geoMap (15)'!$A:$B,2,0)*VLOOKUP(A14,'[18]geoMap (15)'!$A:$C,3,0)</f>
        <v>412.72763337578789</v>
      </c>
      <c r="R14" s="1">
        <f>Q14/VLOOKUP(A14,'[19]geoMap (16)'!$A:$B,2,0)*VLOOKUP(A14,'[19]geoMap (16)'!$A:$C,3,0)</f>
        <v>447.12160282377027</v>
      </c>
      <c r="S14" s="1">
        <f>R14/VLOOKUP(A14,'[20]geoMap (17)'!$A:$B,2,0)*VLOOKUP(A14,'[20]geoMap (17)'!$A:$C,3,0)</f>
        <v>337.30226177933548</v>
      </c>
      <c r="T14" s="1">
        <f>S14/VLOOKUP(A14,'[21]geoMap (18)'!$A:$B,2,0)*VLOOKUP(A14,'[21]geoMap (18)'!$A:$C,3,0)</f>
        <v>244.25336197813951</v>
      </c>
      <c r="U14" s="1">
        <f>T14/VLOOKUP(A14,'[22]geoMap (19)'!$A:$B,2,0)*VLOOKUP(A14,'[22]geoMap (19)'!$A:$C,3,0)</f>
        <v>104.68001227634551</v>
      </c>
      <c r="V14" s="1">
        <f>U14/VLOOKUP(A14,'[23]geoMap (20)'!$A:$B,2,0)*VLOOKUP(A14,'[23]geoMap (20)'!$A:$C,3,0)</f>
        <v>29.525131667687194</v>
      </c>
      <c r="W14" s="1">
        <f>V14/VLOOKUP(A14,'[24]geoMap (21)'!$A:$B,2,0)*VLOOKUP(A14,'[24]geoMap (21)'!$A:$C,3,0)</f>
        <v>104.68001227634551</v>
      </c>
      <c r="X14" s="1">
        <f>W14/VLOOKUP(A14,'[25]geoMap (22)'!$A:$B,2,0)*VLOOKUP(A14,'[25]geoMap (22)'!$A:$C,3,0)</f>
        <v>138.76187673841147</v>
      </c>
      <c r="Y14" s="1">
        <f>X14/VLOOKUP(A14,'[26]geoMap (23)'!$A:$B,2,0)*VLOOKUP(A14,'[26]geoMap (23)'!$A:$C,3,0)</f>
        <v>246.68778086828709</v>
      </c>
      <c r="Z14" s="1">
        <f>Y14/VLOOKUP(A14,'[27]geoMap (24)'!$A:$B,2,0)*VLOOKUP(A14,'[27]geoMap (24)'!$A:$C,3,0)</f>
        <v>77.901404484722235</v>
      </c>
      <c r="AA14" s="1">
        <f>Z14/VLOOKUP(A14,'[28]geoMap (25)'!$A:$B,2,0)*VLOOKUP(A14,'[28]geoMap (25)'!$A:$C,3,0)</f>
        <v>103.26465245649226</v>
      </c>
      <c r="AB14" s="1">
        <f>AA14*VLOOKUP(A14,'[29]geoMap (26)'!$A:$B,2,0)*VLOOKUP(A14,'[29]geoMap (26)'!$A:$C,3,0)</f>
        <v>25.774857253140468</v>
      </c>
      <c r="AC14" s="1">
        <f>AB14/VLOOKUP(A14,'[30]geoMap (27)'!$A:$B,2,0)*VLOOKUP(A14,'[30]geoMap (27)'!$A:$C,3,0)</f>
        <v>30.257441123251855</v>
      </c>
      <c r="AD14" s="1">
        <f>AC14/VLOOKUP(A14,'[31]geoMap (28)'!$A:$B,2,0)*VLOOKUP(A14,'[31]geoMap (28)'!$A:$C,3,0)</f>
        <v>31.492438720119278</v>
      </c>
      <c r="AE14" s="1">
        <f>AD14/VLOOKUP(A14,'[32]geoMap (29)'!$A:$B,2,0)*VLOOKUP(A14,'[32]geoMap (29)'!$A:$C,3,0)</f>
        <v>20.994959146746186</v>
      </c>
      <c r="AF14" s="1">
        <f>AE14/VLOOKUP(A14,'[33]geoMap (30)'!$A:$B,2,0)*VLOOKUP(A14,'[33]geoMap (30)'!$A:$C,3,0)</f>
        <v>21.851896254776644</v>
      </c>
      <c r="AG14" s="1">
        <f>AF14/VLOOKUP(A14,'[34]geoMap (31)'!$A:$B,2,0)*VLOOKUP(A14,'[34]geoMap (31)'!$A:$C,3,0)</f>
        <v>19.378096678764191</v>
      </c>
      <c r="AH14" s="1">
        <f>AG14/VLOOKUP(A14,'[35]geoMap (32)'!$A:$B,2,0)*VLOOKUP(A14,'[35]geoMap (32)'!$A:$C,3,0)</f>
        <v>11.380786938321826</v>
      </c>
      <c r="AI14" s="1">
        <f>AH14/VLOOKUP(A14,'[36]geoMap (33)'!$A:$B,2,0)*VLOOKUP(A14,'[36]geoMap (33)'!$A:$C,3,0)</f>
        <v>15.086159429868465</v>
      </c>
      <c r="AJ14" s="1">
        <f>AI14/VLOOKUP(A14,'[37]geoMap (34)'!$A:$B,2,0)*VLOOKUP(A14,'[37]geoMap (34)'!$A:$C,3,0)</f>
        <v>19.200566547105321</v>
      </c>
      <c r="AK14" s="1">
        <f>AJ14/VLOOKUP(A14,'[38]geoMap (35)'!$A:$B,2,0)*VLOOKUP(A14,'[38]geoMap (35)'!$A:$C,3,0)</f>
        <v>5.1039480694836925</v>
      </c>
      <c r="AL14" s="1">
        <f>AK14/VLOOKUP(A14,'[39]geoMap (36)'!$A:$B,2,0)*VLOOKUP(A14,'[39]geoMap (36)'!$A:$C,3,0)</f>
        <v>2.4018579150511492</v>
      </c>
      <c r="AM14" s="1">
        <f>AL14/VLOOKUP(A14,'[40]geoMap (37)'!$A:$B,2,0)*VLOOKUP(A14,'[40]geoMap (37)'!$A:$C,3,0)</f>
        <v>11.726718055837964</v>
      </c>
      <c r="AN14" s="1">
        <f>AM14/VLOOKUP(A14,'[41]geoMap (38)'!$A:$B,2,0)*VLOOKUP(A14,'[41]geoMap (38)'!$A:$C,3,0)</f>
        <v>14.332655401579734</v>
      </c>
      <c r="AO14" s="1">
        <f>AN14/VLOOKUP(A14,'[42]geoMap (39)'!$A:$B,2,0)*VLOOKUP(A14,'[42]geoMap (39)'!$A:$C,3,0)</f>
        <v>5.8541831921945384</v>
      </c>
      <c r="AP14" s="1">
        <f>AO14/VLOOKUP(A14,'[43]geoMap (40)'!$A:$B,2,0)*VLOOKUP(A14,'[43]geoMap (40)'!$A:$C,3,0)</f>
        <v>7.4507786082475951</v>
      </c>
      <c r="AQ14" s="1" t="e">
        <f>AP14/VLOOKUP(A14,'[44]geoMap (41)'!$A:$B,2,0)*VLOOKUP(A14,'[44]geoMap (41)'!$A:$C,3,0)</f>
        <v>#REF!</v>
      </c>
      <c r="AR14" s="1" t="e">
        <f>AQ14/VLOOKUP(A14,'[45]geoMap (42)'!$A:$B,2,0)*VLOOKUP(A14,'[45]geoMap (42)'!$A:$C,3,0)</f>
        <v>#REF!</v>
      </c>
      <c r="AS14" s="1" t="e">
        <f>AR14/VLOOKUP(A14,'[46]geoMap (43)'!$A:$B,2,0)*VLOOKUP(A14,'[46]geoMap (43)'!$A:$C,3,0)</f>
        <v>#REF!</v>
      </c>
      <c r="AT14" s="1" t="e">
        <f>AS14/VLOOKUP(A14,'[47]geoMap (44)'!$A:$B,2,0)*VLOOKUP(A14,'[47]geoMap (44)'!$A:$C,3,0)</f>
        <v>#REF!</v>
      </c>
      <c r="AU14" s="1" t="e">
        <f>AT14/VLOOKUP(A14,'[48]geoMap (45)'!$A:$B,2,0)*VLOOKUP(A14,'[48]geoMap (45)'!$A:$C,3,0)</f>
        <v>#REF!</v>
      </c>
      <c r="AV14" s="1" t="e">
        <f>AU14/VLOOKUP(A14,'[49]geoMap (46)'!$A:$B,2,0)*VLOOKUP(A14,'[49]geoMap (46)'!$A:$C,3,0)</f>
        <v>#REF!</v>
      </c>
      <c r="AW14" s="1" t="e">
        <f>AV14/VLOOKUP(A14,'[50]geoMap (47)'!$A:$B,2,0)*VLOOKUP(A14,'[50]geoMap (47)'!$A:$C,3,0)</f>
        <v>#REF!</v>
      </c>
      <c r="AX14" s="4" t="e">
        <f>AW14/VLOOKUP(A14,'[51]geoMap (48)'!$A:$B,2,0)*VLOOKUP(A14,'[51]geoMap (48)'!$A:$C,3,0)</f>
        <v>#REF!</v>
      </c>
      <c r="AY14" s="1" t="e">
        <f>AX14/VLOOKUP(A14,'[52]geoMap (49)'!$A:$B,2,0)*VLOOKUP(A14,'[52]geoMap (49)'!$A:$C,3,0)</f>
        <v>#REF!</v>
      </c>
      <c r="AZ14" s="4" t="e">
        <f>AY14/VLOOKUP(A14,'[53]geoMap (50)'!$A:$B,2,0)*VLOOKUP(A14,'[53]geoMap (50)'!$A:$C,3,0)</f>
        <v>#REF!</v>
      </c>
      <c r="BA14" s="1" t="e">
        <f>AZ14/VLOOKUP(A14,'[54]geoMap (51)'!$A:$B,2,0)*VLOOKUP(A14,'[54]geoMap (51)'!$A:$C,3,0)</f>
        <v>#REF!</v>
      </c>
      <c r="BB14" s="4" t="e">
        <f>BA14/VLOOKUP(A14,'[55]geoMap (52)'!$A:$B,2,0)*VLOOKUP(A14,'[55]geoMap (52)'!$A:$C,3,0)</f>
        <v>#REF!</v>
      </c>
      <c r="BC14" s="1" t="e">
        <f>BB14/VLOOKUP(A14,'[56]geoMap (53)'!$A:$B,2,0)*VLOOKUP(A14,'[56]geoMap (53)'!$A:$C,3,0)</f>
        <v>#REF!</v>
      </c>
      <c r="BD14" s="4" t="e">
        <f>BC14/VLOOKUP(A14,'[57]geoMap (54)'!$A:$B,2,0)*VLOOKUP(A14,'[57]geoMap (54)'!$A:$C,3,0)</f>
        <v>#REF!</v>
      </c>
      <c r="BE14" s="1" t="e">
        <f>BD14/VLOOKUP(A14,'[58]geoMap (55)'!$A:$B,2,0)*VLOOKUP(A14,'[58]geoMap (55)'!$A:$C,3,0)</f>
        <v>#REF!</v>
      </c>
      <c r="BF14" s="4" t="e">
        <f>BE14/VLOOKUP(A14,'[59]geoMap (56)'!$A:$B,2,0)*VLOOKUP(A14,'[59]geoMap (56)'!$A:$C,3,0)</f>
        <v>#REF!</v>
      </c>
      <c r="BG14" s="1" t="e">
        <f>BF14/VLOOKUP(A14,'[60]geoMap (57)'!$A:$B,2,0)*VLOOKUP(A14,'[60]geoMap (57)'!$A:$C,3,0)</f>
        <v>#REF!</v>
      </c>
      <c r="BH14" s="4" t="e">
        <f>BG14/VLOOKUP(A14,'[61]geoMap (58)'!$A:$B,2,0)*VLOOKUP(A14,'[61]geoMap (58)'!$A:$C,3,0)</f>
        <v>#REF!</v>
      </c>
      <c r="BI14" s="1" t="e">
        <f>BH14/VLOOKUP(A14,'[62]geoMap (59)'!$A:$B,2,0)*VLOOKUP(A14,'[62]geoMap (59)'!$A:$C,3,0)</f>
        <v>#REF!</v>
      </c>
      <c r="BJ14" s="4" t="e">
        <f>BI14/VLOOKUP(A14,'[63]geoMap (60)'!$A:$B,2,0)*VLOOKUP(A14,'[63]geoMap (60)'!$A:$C,3,0)</f>
        <v>#REF!</v>
      </c>
      <c r="BK14" s="1" t="e">
        <f>BJ14/VLOOKUP(A14,'[64]geoMap (61)'!$A:$B,2,0)*VLOOKUP(A14,'[64]geoMap (61)'!$A:$C,3,0)</f>
        <v>#REF!</v>
      </c>
      <c r="BL14" s="4" t="e">
        <f>BK14/VLOOKUP(A14,'[65]geoMap (62)'!$A:$B,2,0)*VLOOKUP(A14,'[65]geoMap (62)'!$A:$C,3,0)</f>
        <v>#REF!</v>
      </c>
      <c r="BM14" s="1" t="e">
        <f>BL14/VLOOKUP(A14,'[66]geoMap (63)'!$A:$B,2,0)*VLOOKUP(A14,'[66]geoMap (63)'!$A:$C,3,0)</f>
        <v>#REF!</v>
      </c>
      <c r="BN14" s="4" t="e">
        <f>BM14/VLOOKUP(A14,'[67]geoMap (64)'!$A:$B,2,0)*VLOOKUP(A14,'[67]geoMap (64)'!$A:$C,3,0)</f>
        <v>#REF!</v>
      </c>
      <c r="BO14" s="1" t="e">
        <f>BN14/VLOOKUP(A14,'[68]geoMap (65)'!$A:$B,2,0)*VLOOKUP(A14,'[68]geoMap (65)'!$A:$C,3,0)</f>
        <v>#REF!</v>
      </c>
      <c r="BP14" s="4" t="e">
        <f>BO14/VLOOKUP(A14,'[69]geoMap (66)'!$A:$B,2,0)*VLOOKUP(A14,'[69]geoMap (66)'!$A:$C,3,0)</f>
        <v>#REF!</v>
      </c>
    </row>
    <row r="15" spans="1:68" x14ac:dyDescent="0.2">
      <c r="A15" s="1" t="s">
        <v>43</v>
      </c>
      <c r="B15" s="1">
        <f>VLOOKUP(A15,[3]geoMap!$A:$B,2,0)*Notes!$C$6</f>
        <v>9000</v>
      </c>
      <c r="C15" s="1">
        <f>B15/VLOOKUP(A15,'[4]geoMap (1)'!$A:$B,2,0)*VLOOKUP(A15,'[4]geoMap (1)'!$A:$C,3,0)</f>
        <v>4432.8358208955224</v>
      </c>
      <c r="D15" s="1">
        <f>C15/VLOOKUP(A15,'[5]geoMap (2)'!$A:$B,2,0)*VLOOKUP(A15,'[5]geoMap (2)'!$A:$C,3,0)</f>
        <v>10343.283582089553</v>
      </c>
      <c r="E15" s="1">
        <f>D15/VLOOKUP(A15,'[6]geoMap (3)'!$A:$B,2,0)*VLOOKUP(A15,'[6]geoMap (3)'!$A:$C,3,0)</f>
        <v>3825.5980372112044</v>
      </c>
      <c r="F15" s="1">
        <f>E15/VLOOKUP(A15,'[7]geoMap (4)'!$A:$B,2,0)*VLOOKUP(A15,'[7]geoMap (4)'!$A:$C,3,0)</f>
        <v>3258.842772439174</v>
      </c>
      <c r="G15" s="1">
        <f>F15/VLOOKUP(A15,'[8]geoMap (5)'!$A:$B,2,0)*VLOOKUP(A15,'[8]geoMap (5)'!$A:$C,3,0)</f>
        <v>4689.5542335100308</v>
      </c>
      <c r="H15" s="1">
        <f>G15/VLOOKUP(A15,'[9]geoMap (6)'!$A:$B,2,0)*VLOOKUP(A15,'[9]geoMap (6)'!$A:$C,3,0)</f>
        <v>3395.8841001279538</v>
      </c>
      <c r="I15" s="1">
        <f>H15/VLOOKUP(A15,'[10]geoMap (7)'!$A:$B,2,0)*VLOOKUP(A15,'[10]geoMap (7)'!$A:$C,3,0)</f>
        <v>3011.4443906795063</v>
      </c>
      <c r="J15" s="1">
        <f>I15/VLOOKUP(A15,'[11]geoMap (8)'!$A:$B,2,0)*VLOOKUP(A15,'[11]geoMap (8)'!$A:$C,3,0)</f>
        <v>2893.348532221486</v>
      </c>
      <c r="K15" s="1">
        <f>J15/VLOOKUP(A15,'[12]geoMap (9)'!$A:$B,2,0)*VLOOKUP(A15,'[12]geoMap (9)'!$A:$C,3,0)</f>
        <v>1299.9102101284939</v>
      </c>
      <c r="L15" s="1">
        <f>K15/VLOOKUP(A15,'[13]geoMap (10)'!$A:$B,2,0)*VLOOKUP(A15,'[13]geoMap (10)'!$A:$C,3,0)</f>
        <v>433.30340337616462</v>
      </c>
      <c r="M15" s="1">
        <f>L15/VLOOKUP(A15,'[14]geoMap (11)'!$A:$B,2,0)*VLOOKUP(A15,'[14]geoMap (11)'!$A:$C,3,0)</f>
        <v>508.66051700680197</v>
      </c>
      <c r="N15" s="1">
        <f>M15/VLOOKUP(A15,'[15]geoMap (12)'!$A:$B,2,0)*VLOOKUP(A15,'[15]geoMap (12)'!$A:$C,3,0)</f>
        <v>904.28536356764801</v>
      </c>
      <c r="O15" s="1">
        <f>N15/VLOOKUP(A15,'[16]geoMap (13)'!$A:$B,2,0)*VLOOKUP(A15,'[16]geoMap (13)'!$A:$C,3,0)</f>
        <v>301.42845452254932</v>
      </c>
      <c r="P15" s="1">
        <f>O15/VLOOKUP(A15,'[17]geoMap (14)'!$A:$B,2,0)*VLOOKUP(A15,'[17]geoMap (14)'!$A:$C,3,0)</f>
        <v>267.30447853886443</v>
      </c>
      <c r="Q15" s="1">
        <f>P15/VLOOKUP(A15,'[18]geoMap (15)'!$A:$B,2,0)*VLOOKUP(A15,'[18]geoMap (15)'!$A:$C,3,0)</f>
        <v>326.7054737697232</v>
      </c>
      <c r="R15" s="1" t="e">
        <f>Q15/VLOOKUP(A15,'[19]geoMap (16)'!$A:$B,2,0)*VLOOKUP(A15,'[19]geoMap (16)'!$A:$C,3,0)</f>
        <v>#REF!</v>
      </c>
      <c r="S15" s="1" t="e">
        <f>R15/VLOOKUP(A15,'[20]geoMap (17)'!$A:$B,2,0)*VLOOKUP(A15,'[20]geoMap (17)'!$A:$C,3,0)</f>
        <v>#REF!</v>
      </c>
      <c r="T15" s="1" t="e">
        <f>S15/VLOOKUP(A15,'[21]geoMap (18)'!$A:$B,2,0)*VLOOKUP(A15,'[21]geoMap (18)'!$A:$C,3,0)</f>
        <v>#REF!</v>
      </c>
      <c r="U15" s="1" t="e">
        <f>T15/VLOOKUP(A15,'[22]geoMap (19)'!$A:$B,2,0)*VLOOKUP(A15,'[22]geoMap (19)'!$A:$C,3,0)</f>
        <v>#REF!</v>
      </c>
      <c r="V15" s="1" t="e">
        <f>U15/VLOOKUP(A15,'[23]geoMap (20)'!$A:$B,2,0)*VLOOKUP(A15,'[23]geoMap (20)'!$A:$C,3,0)</f>
        <v>#REF!</v>
      </c>
      <c r="W15" s="1" t="e">
        <f>V15/VLOOKUP(A15,'[24]geoMap (21)'!$A:$B,2,0)*VLOOKUP(A15,'[24]geoMap (21)'!$A:$C,3,0)</f>
        <v>#REF!</v>
      </c>
      <c r="X15" s="1" t="e">
        <f>W15/VLOOKUP(A15,'[25]geoMap (22)'!$A:$B,2,0)*VLOOKUP(A15,'[25]geoMap (22)'!$A:$C,3,0)</f>
        <v>#REF!</v>
      </c>
      <c r="Y15" s="1" t="e">
        <f>X15/VLOOKUP(A15,'[26]geoMap (23)'!$A:$B,2,0)*VLOOKUP(A15,'[26]geoMap (23)'!$A:$C,3,0)</f>
        <v>#REF!</v>
      </c>
      <c r="Z15" s="1" t="e">
        <f>Y15/VLOOKUP(A15,'[27]geoMap (24)'!$A:$B,2,0)*VLOOKUP(A15,'[27]geoMap (24)'!$A:$C,3,0)</f>
        <v>#REF!</v>
      </c>
      <c r="AA15" s="1" t="e">
        <f>Z15/VLOOKUP(A15,'[28]geoMap (25)'!$A:$B,2,0)*VLOOKUP(A15,'[28]geoMap (25)'!$A:$C,3,0)</f>
        <v>#REF!</v>
      </c>
      <c r="AB15" s="1" t="e">
        <f>AA15*VLOOKUP(A15,'[29]geoMap (26)'!$A:$B,2,0)*VLOOKUP(A15,'[29]geoMap (26)'!$A:$C,3,0)</f>
        <v>#REF!</v>
      </c>
      <c r="AC15" s="1" t="e">
        <f>AB15/VLOOKUP(A15,'[30]geoMap (27)'!$A:$B,2,0)*VLOOKUP(A15,'[30]geoMap (27)'!$A:$C,3,0)</f>
        <v>#REF!</v>
      </c>
      <c r="AD15" s="1" t="e">
        <f>AC15/VLOOKUP(A15,'[31]geoMap (28)'!$A:$B,2,0)*VLOOKUP(A15,'[31]geoMap (28)'!$A:$C,3,0)</f>
        <v>#REF!</v>
      </c>
      <c r="AE15" s="1" t="e">
        <f>AD15/VLOOKUP(A15,'[32]geoMap (29)'!$A:$B,2,0)*VLOOKUP(A15,'[32]geoMap (29)'!$A:$C,3,0)</f>
        <v>#REF!</v>
      </c>
      <c r="AF15" s="1" t="e">
        <f>AE15/VLOOKUP(A15,'[33]geoMap (30)'!$A:$B,2,0)*VLOOKUP(A15,'[33]geoMap (30)'!$A:$C,3,0)</f>
        <v>#REF!</v>
      </c>
      <c r="AG15" s="1" t="e">
        <f>AF15/VLOOKUP(A15,'[34]geoMap (31)'!$A:$B,2,0)*VLOOKUP(A15,'[34]geoMap (31)'!$A:$C,3,0)</f>
        <v>#REF!</v>
      </c>
      <c r="AH15" s="1" t="e">
        <f>AG15/VLOOKUP(A15,'[35]geoMap (32)'!$A:$B,2,0)*VLOOKUP(A15,'[35]geoMap (32)'!$A:$C,3,0)</f>
        <v>#REF!</v>
      </c>
      <c r="AI15" s="1" t="e">
        <f>AH15/VLOOKUP(A15,'[36]geoMap (33)'!$A:$B,2,0)*VLOOKUP(A15,'[36]geoMap (33)'!$A:$C,3,0)</f>
        <v>#REF!</v>
      </c>
      <c r="AJ15" s="1" t="e">
        <f>AI15/VLOOKUP(A15,'[37]geoMap (34)'!$A:$B,2,0)*VLOOKUP(A15,'[37]geoMap (34)'!$A:$C,3,0)</f>
        <v>#REF!</v>
      </c>
      <c r="AK15" s="1" t="e">
        <f>AJ15/VLOOKUP(A15,'[38]geoMap (35)'!$A:$B,2,0)*VLOOKUP(A15,'[38]geoMap (35)'!$A:$C,3,0)</f>
        <v>#REF!</v>
      </c>
      <c r="AL15" s="1" t="e">
        <f>AK15/VLOOKUP(A15,'[39]geoMap (36)'!$A:$B,2,0)*VLOOKUP(A15,'[39]geoMap (36)'!$A:$C,3,0)</f>
        <v>#REF!</v>
      </c>
      <c r="AM15" s="1" t="e">
        <f>AL15/VLOOKUP(A15,'[40]geoMap (37)'!$A:$B,2,0)*VLOOKUP(A15,'[40]geoMap (37)'!$A:$C,3,0)</f>
        <v>#REF!</v>
      </c>
      <c r="AN15" s="1" t="e">
        <f>AM15/VLOOKUP(A15,'[41]geoMap (38)'!$A:$B,2,0)*VLOOKUP(A15,'[41]geoMap (38)'!$A:$C,3,0)</f>
        <v>#REF!</v>
      </c>
      <c r="AO15" s="1" t="e">
        <f>AN15/VLOOKUP(A15,'[42]geoMap (39)'!$A:$B,2,0)*VLOOKUP(A15,'[42]geoMap (39)'!$A:$C,3,0)</f>
        <v>#REF!</v>
      </c>
      <c r="AP15" s="1" t="e">
        <f>AO15/VLOOKUP(A15,'[43]geoMap (40)'!$A:$B,2,0)*VLOOKUP(A15,'[43]geoMap (40)'!$A:$C,3,0)</f>
        <v>#REF!</v>
      </c>
      <c r="AQ15" s="1" t="e">
        <f>AP15/VLOOKUP(A15,'[44]geoMap (41)'!$A:$B,2,0)*VLOOKUP(A15,'[44]geoMap (41)'!$A:$C,3,0)</f>
        <v>#REF!</v>
      </c>
      <c r="AR15" s="1" t="e">
        <f>AQ15/VLOOKUP(A15,'[45]geoMap (42)'!$A:$B,2,0)*VLOOKUP(A15,'[45]geoMap (42)'!$A:$C,3,0)</f>
        <v>#REF!</v>
      </c>
      <c r="AS15" s="1" t="e">
        <f>AR15/VLOOKUP(A15,'[46]geoMap (43)'!$A:$B,2,0)*VLOOKUP(A15,'[46]geoMap (43)'!$A:$C,3,0)</f>
        <v>#REF!</v>
      </c>
      <c r="AT15" s="1" t="e">
        <f>AS15/VLOOKUP(A15,'[47]geoMap (44)'!$A:$B,2,0)*VLOOKUP(A15,'[47]geoMap (44)'!$A:$C,3,0)</f>
        <v>#REF!</v>
      </c>
      <c r="AU15" s="1" t="e">
        <f>AT15/VLOOKUP(A15,'[48]geoMap (45)'!$A:$B,2,0)*VLOOKUP(A15,'[48]geoMap (45)'!$A:$C,3,0)</f>
        <v>#REF!</v>
      </c>
      <c r="AV15" s="1" t="e">
        <f>AU15/VLOOKUP(A15,'[49]geoMap (46)'!$A:$B,2,0)*VLOOKUP(A15,'[49]geoMap (46)'!$A:$C,3,0)</f>
        <v>#REF!</v>
      </c>
      <c r="AW15" s="1" t="e">
        <f>AV15/VLOOKUP(A15,'[50]geoMap (47)'!$A:$B,2,0)*VLOOKUP(A15,'[50]geoMap (47)'!$A:$C,3,0)</f>
        <v>#REF!</v>
      </c>
      <c r="AX15" s="4" t="e">
        <f>AW15/VLOOKUP(A15,'[51]geoMap (48)'!$A:$B,2,0)*VLOOKUP(A15,'[51]geoMap (48)'!$A:$C,3,0)</f>
        <v>#REF!</v>
      </c>
      <c r="AY15" s="1" t="e">
        <f>AX15/VLOOKUP(A15,'[52]geoMap (49)'!$A:$B,2,0)*VLOOKUP(A15,'[52]geoMap (49)'!$A:$C,3,0)</f>
        <v>#REF!</v>
      </c>
      <c r="AZ15" s="4" t="e">
        <f>AY15/VLOOKUP(A15,'[53]geoMap (50)'!$A:$B,2,0)*VLOOKUP(A15,'[53]geoMap (50)'!$A:$C,3,0)</f>
        <v>#REF!</v>
      </c>
      <c r="BA15" s="1" t="e">
        <f>AZ15/VLOOKUP(A15,'[54]geoMap (51)'!$A:$B,2,0)*VLOOKUP(A15,'[54]geoMap (51)'!$A:$C,3,0)</f>
        <v>#REF!</v>
      </c>
      <c r="BB15" s="4" t="e">
        <f>BA15/VLOOKUP(A15,'[55]geoMap (52)'!$A:$B,2,0)*VLOOKUP(A15,'[55]geoMap (52)'!$A:$C,3,0)</f>
        <v>#REF!</v>
      </c>
      <c r="BC15" s="1" t="e">
        <f>BB15/VLOOKUP(A15,'[56]geoMap (53)'!$A:$B,2,0)*VLOOKUP(A15,'[56]geoMap (53)'!$A:$C,3,0)</f>
        <v>#REF!</v>
      </c>
      <c r="BD15" s="4" t="e">
        <f>BC15/VLOOKUP(A15,'[57]geoMap (54)'!$A:$B,2,0)*VLOOKUP(A15,'[57]geoMap (54)'!$A:$C,3,0)</f>
        <v>#REF!</v>
      </c>
      <c r="BE15" s="1" t="e">
        <f>BD15/VLOOKUP(A15,'[58]geoMap (55)'!$A:$B,2,0)*VLOOKUP(A15,'[58]geoMap (55)'!$A:$C,3,0)</f>
        <v>#REF!</v>
      </c>
      <c r="BF15" s="4" t="e">
        <f>BE15/VLOOKUP(A15,'[59]geoMap (56)'!$A:$B,2,0)*VLOOKUP(A15,'[59]geoMap (56)'!$A:$C,3,0)</f>
        <v>#REF!</v>
      </c>
      <c r="BG15" s="1" t="e">
        <f>BF15/VLOOKUP(A15,'[60]geoMap (57)'!$A:$B,2,0)*VLOOKUP(A15,'[60]geoMap (57)'!$A:$C,3,0)</f>
        <v>#REF!</v>
      </c>
      <c r="BH15" s="4" t="e">
        <f>BG15/VLOOKUP(A15,'[61]geoMap (58)'!$A:$B,2,0)*VLOOKUP(A15,'[61]geoMap (58)'!$A:$C,3,0)</f>
        <v>#REF!</v>
      </c>
      <c r="BI15" s="1" t="e">
        <f>BH15/VLOOKUP(A15,'[62]geoMap (59)'!$A:$B,2,0)*VLOOKUP(A15,'[62]geoMap (59)'!$A:$C,3,0)</f>
        <v>#REF!</v>
      </c>
      <c r="BJ15" s="4" t="e">
        <f>BI15/VLOOKUP(A15,'[63]geoMap (60)'!$A:$B,2,0)*VLOOKUP(A15,'[63]geoMap (60)'!$A:$C,3,0)</f>
        <v>#REF!</v>
      </c>
      <c r="BK15" s="1" t="e">
        <f>BJ15/VLOOKUP(A15,'[64]geoMap (61)'!$A:$B,2,0)*VLOOKUP(A15,'[64]geoMap (61)'!$A:$C,3,0)</f>
        <v>#REF!</v>
      </c>
      <c r="BL15" s="4" t="e">
        <f>BK15/VLOOKUP(A15,'[65]geoMap (62)'!$A:$B,2,0)*VLOOKUP(A15,'[65]geoMap (62)'!$A:$C,3,0)</f>
        <v>#REF!</v>
      </c>
      <c r="BM15" s="1" t="e">
        <f>BL15/VLOOKUP(A15,'[66]geoMap (63)'!$A:$B,2,0)*VLOOKUP(A15,'[66]geoMap (63)'!$A:$C,3,0)</f>
        <v>#REF!</v>
      </c>
      <c r="BN15" s="4" t="e">
        <f>BM15/VLOOKUP(A15,'[67]geoMap (64)'!$A:$B,2,0)*VLOOKUP(A15,'[67]geoMap (64)'!$A:$C,3,0)</f>
        <v>#REF!</v>
      </c>
      <c r="BO15" s="1" t="e">
        <f>BN15/VLOOKUP(A15,'[68]geoMap (65)'!$A:$B,2,0)*VLOOKUP(A15,'[68]geoMap (65)'!$A:$C,3,0)</f>
        <v>#REF!</v>
      </c>
      <c r="BP15" s="4" t="e">
        <f>BO15/VLOOKUP(A15,'[69]geoMap (66)'!$A:$B,2,0)*VLOOKUP(A15,'[69]geoMap (66)'!$A:$C,3,0)</f>
        <v>#REF!</v>
      </c>
    </row>
    <row r="16" spans="1:68" x14ac:dyDescent="0.2">
      <c r="A16" s="1" t="s">
        <v>48</v>
      </c>
      <c r="B16" s="1">
        <f>VLOOKUP(A16,[3]geoMap!$A:$B,2,0)*Notes!$C$6</f>
        <v>8000</v>
      </c>
      <c r="C16" s="1">
        <f>B16/VLOOKUP(A16,'[4]geoMap (1)'!$A:$B,2,0)*VLOOKUP(A16,'[4]geoMap (1)'!$A:$C,3,0)</f>
        <v>9391.3043478260879</v>
      </c>
      <c r="D16" s="1">
        <f>C16/VLOOKUP(A16,'[5]geoMap (2)'!$A:$B,2,0)*VLOOKUP(A16,'[5]geoMap (2)'!$A:$C,3,0)</f>
        <v>8000.0000000000009</v>
      </c>
      <c r="E16" s="1">
        <f>D16/VLOOKUP(A16,'[6]geoMap (3)'!$A:$B,2,0)*VLOOKUP(A16,'[6]geoMap (3)'!$A:$C,3,0)</f>
        <v>5559.3220338983056</v>
      </c>
      <c r="F16" s="1">
        <f>E16/VLOOKUP(A16,'[7]geoMap (4)'!$A:$B,2,0)*VLOOKUP(A16,'[7]geoMap (4)'!$A:$C,3,0)</f>
        <v>4193.8745168004762</v>
      </c>
      <c r="G16" s="1">
        <f>F16/VLOOKUP(A16,'[8]geoMap (5)'!$A:$B,2,0)*VLOOKUP(A16,'[8]geoMap (5)'!$A:$C,3,0)</f>
        <v>4923.2439979831679</v>
      </c>
      <c r="H16" s="1">
        <f>G16/VLOOKUP(A16,'[9]geoMap (6)'!$A:$B,2,0)*VLOOKUP(A16,'[9]geoMap (6)'!$A:$C,3,0)</f>
        <v>2211.892230977945</v>
      </c>
      <c r="I16" s="1">
        <f>H16/VLOOKUP(A16,'[10]geoMap (7)'!$A:$B,2,0)*VLOOKUP(A16,'[10]geoMap (7)'!$A:$C,3,0)</f>
        <v>3459.6263099911444</v>
      </c>
      <c r="J16" s="1">
        <f>I16/VLOOKUP(A16,'[11]geoMap (8)'!$A:$B,2,0)*VLOOKUP(A16,'[11]geoMap (8)'!$A:$C,3,0)</f>
        <v>1413.0868026724393</v>
      </c>
      <c r="K16" s="1">
        <f>J16/VLOOKUP(A16,'[12]geoMap (9)'!$A:$B,2,0)*VLOOKUP(A16,'[12]geoMap (9)'!$A:$C,3,0)</f>
        <v>1470.7638150264165</v>
      </c>
      <c r="L16" s="1">
        <f>K16/VLOOKUP(A16,'[13]geoMap (10)'!$A:$B,2,0)*VLOOKUP(A16,'[13]geoMap (10)'!$A:$C,3,0)</f>
        <v>1155.6001403778985</v>
      </c>
      <c r="M16" s="1">
        <f>L16/VLOOKUP(A16,'[14]geoMap (11)'!$A:$B,2,0)*VLOOKUP(A16,'[14]geoMap (11)'!$A:$C,3,0)</f>
        <v>1303.1235625538004</v>
      </c>
      <c r="N16" s="1">
        <f>M16/VLOOKUP(A16,'[15]geoMap (12)'!$A:$B,2,0)*VLOOKUP(A16,'[15]geoMap (12)'!$A:$C,3,0)</f>
        <v>765.32653673794618</v>
      </c>
      <c r="O16" s="1">
        <f>N16/VLOOKUP(A16,'[16]geoMap (13)'!$A:$B,2,0)*VLOOKUP(A16,'[16]geoMap (13)'!$A:$C,3,0)</f>
        <v>531.83708485179318</v>
      </c>
      <c r="P16" s="1">
        <f>O16/VLOOKUP(A16,'[17]geoMap (14)'!$A:$B,2,0)*VLOOKUP(A16,'[17]geoMap (14)'!$A:$C,3,0)</f>
        <v>273.9766800751662</v>
      </c>
      <c r="Q16" s="1">
        <f>P16/VLOOKUP(A16,'[18]geoMap (15)'!$A:$B,2,0)*VLOOKUP(A16,'[18]geoMap (15)'!$A:$C,3,0)</f>
        <v>487.06965346696211</v>
      </c>
      <c r="R16" s="1">
        <f>Q16/VLOOKUP(A16,'[19]geoMap (16)'!$A:$B,2,0)*VLOOKUP(A16,'[19]geoMap (16)'!$A:$C,3,0)</f>
        <v>414.91118628667141</v>
      </c>
      <c r="S16" s="1">
        <f>R16/VLOOKUP(A16,'[20]geoMap (17)'!$A:$B,2,0)*VLOOKUP(A16,'[20]geoMap (17)'!$A:$C,3,0)</f>
        <v>382.99494118769667</v>
      </c>
      <c r="T16" s="1">
        <f>S16/VLOOKUP(A16,'[21]geoMap (18)'!$A:$B,2,0)*VLOOKUP(A16,'[21]geoMap (18)'!$A:$C,3,0)</f>
        <v>134.56579014702857</v>
      </c>
      <c r="U16" s="1">
        <f>T16/VLOOKUP(A16,'[22]geoMap (19)'!$A:$B,2,0)*VLOOKUP(A16,'[22]geoMap (19)'!$A:$C,3,0)</f>
        <v>157.96853625955526</v>
      </c>
      <c r="V16" s="1">
        <f>U16/VLOOKUP(A16,'[23]geoMap (20)'!$A:$B,2,0)*VLOOKUP(A16,'[23]geoMap (20)'!$A:$C,3,0)</f>
        <v>140.08530573960559</v>
      </c>
      <c r="W16" s="1">
        <f>V16/VLOOKUP(A16,'[24]geoMap (21)'!$A:$B,2,0)*VLOOKUP(A16,'[24]geoMap (21)'!$A:$C,3,0)</f>
        <v>62.936876491706862</v>
      </c>
      <c r="X16" s="1">
        <f>W16/VLOOKUP(A16,'[25]geoMap (22)'!$A:$B,2,0)*VLOOKUP(A16,'[25]geoMap (22)'!$A:$C,3,0)</f>
        <v>62.936876491706862</v>
      </c>
      <c r="Y16" s="1">
        <f>X16/VLOOKUP(A16,'[26]geoMap (23)'!$A:$B,2,0)*VLOOKUP(A16,'[26]geoMap (23)'!$A:$C,3,0)</f>
        <v>111.8877804297011</v>
      </c>
      <c r="Z16" s="1">
        <f>Y16/VLOOKUP(A16,'[27]geoMap (24)'!$A:$B,2,0)*VLOOKUP(A16,'[27]geoMap (24)'!$A:$C,3,0)</f>
        <v>71.534810438661353</v>
      </c>
      <c r="AA16" s="1">
        <f>Z16/VLOOKUP(A16,'[28]geoMap (25)'!$A:$B,2,0)*VLOOKUP(A16,'[28]geoMap (25)'!$A:$C,3,0)</f>
        <v>29.218443700298298</v>
      </c>
      <c r="AB16" s="1">
        <f>AA16*VLOOKUP(A16,'[29]geoMap (26)'!$A:$B,2,0)*VLOOKUP(A16,'[29]geoMap (26)'!$A:$C,3,0)</f>
        <v>7.1176128853926643</v>
      </c>
      <c r="AC16" s="1">
        <f>AB16/VLOOKUP(A16,'[30]geoMap (27)'!$A:$B,2,0)*VLOOKUP(A16,'[30]geoMap (27)'!$A:$C,3,0)</f>
        <v>11.612947339324872</v>
      </c>
      <c r="AD16" s="1">
        <f>AC16/VLOOKUP(A16,'[31]geoMap (28)'!$A:$B,2,0)*VLOOKUP(A16,'[31]geoMap (28)'!$A:$C,3,0)</f>
        <v>9.1244586237552561</v>
      </c>
      <c r="AE16" s="1">
        <f>AD16/VLOOKUP(A16,'[32]geoMap (29)'!$A:$B,2,0)*VLOOKUP(A16,'[32]geoMap (29)'!$A:$C,3,0)</f>
        <v>4.913170028175907</v>
      </c>
      <c r="AF16" s="1">
        <f>AE16/VLOOKUP(A16,'[33]geoMap (30)'!$A:$B,2,0)*VLOOKUP(A16,'[33]geoMap (30)'!$A:$C,3,0)</f>
        <v>8.0162247828133211</v>
      </c>
      <c r="AG16" s="1">
        <f>AF16/VLOOKUP(A16,'[34]geoMap (31)'!$A:$B,2,0)*VLOOKUP(A16,'[34]geoMap (31)'!$A:$C,3,0)</f>
        <v>5.3441498552088813</v>
      </c>
      <c r="AH16" s="1">
        <f>AG16/VLOOKUP(A16,'[35]geoMap (32)'!$A:$B,2,0)*VLOOKUP(A16,'[35]geoMap (32)'!$A:$C,3,0)</f>
        <v>1.7813832850696272</v>
      </c>
      <c r="AI16" s="1">
        <f>AH16/VLOOKUP(A16,'[36]geoMap (33)'!$A:$B,2,0)*VLOOKUP(A16,'[36]geoMap (33)'!$A:$C,3,0)</f>
        <v>8.6973419212222964</v>
      </c>
      <c r="AJ16" s="1">
        <f>AI16/VLOOKUP(A16,'[37]geoMap (34)'!$A:$B,2,0)*VLOOKUP(A16,'[37]geoMap (34)'!$A:$C,3,0)</f>
        <v>7.1160070264546063</v>
      </c>
      <c r="AK16" s="1">
        <f>AJ16/VLOOKUP(A16,'[38]geoMap (35)'!$A:$B,2,0)*VLOOKUP(A16,'[38]geoMap (35)'!$A:$C,3,0)</f>
        <v>7.7090076119924911</v>
      </c>
      <c r="AL16" s="1" t="e">
        <f>AK16/VLOOKUP(A16,'[39]geoMap (36)'!$A:$B,2,0)*VLOOKUP(A16,'[39]geoMap (36)'!$A:$C,3,0)</f>
        <v>#REF!</v>
      </c>
      <c r="AM16" s="1" t="e">
        <f>AL16/VLOOKUP(A16,'[40]geoMap (37)'!$A:$B,2,0)*VLOOKUP(A16,'[40]geoMap (37)'!$A:$C,3,0)</f>
        <v>#REF!</v>
      </c>
      <c r="AN16" s="1" t="e">
        <f>AM16/VLOOKUP(A16,'[41]geoMap (38)'!$A:$B,2,0)*VLOOKUP(A16,'[41]geoMap (38)'!$A:$C,3,0)</f>
        <v>#REF!</v>
      </c>
      <c r="AO16" s="1" t="e">
        <f>AN16/VLOOKUP(A16,'[42]geoMap (39)'!$A:$B,2,0)*VLOOKUP(A16,'[42]geoMap (39)'!$A:$C,3,0)</f>
        <v>#REF!</v>
      </c>
      <c r="AP16" s="1" t="e">
        <f>AO16/VLOOKUP(A16,'[43]geoMap (40)'!$A:$B,2,0)*VLOOKUP(A16,'[43]geoMap (40)'!$A:$C,3,0)</f>
        <v>#REF!</v>
      </c>
      <c r="AQ16" s="1" t="e">
        <f>AP16/VLOOKUP(A16,'[44]geoMap (41)'!$A:$B,2,0)*VLOOKUP(A16,'[44]geoMap (41)'!$A:$C,3,0)</f>
        <v>#REF!</v>
      </c>
      <c r="AR16" s="1" t="e">
        <f>AQ16/VLOOKUP(A16,'[45]geoMap (42)'!$A:$B,2,0)*VLOOKUP(A16,'[45]geoMap (42)'!$A:$C,3,0)</f>
        <v>#REF!</v>
      </c>
      <c r="AS16" s="1" t="e">
        <f>AR16/VLOOKUP(A16,'[46]geoMap (43)'!$A:$B,2,0)*VLOOKUP(A16,'[46]geoMap (43)'!$A:$C,3,0)</f>
        <v>#REF!</v>
      </c>
      <c r="AT16" s="1" t="e">
        <f>AS16/VLOOKUP(A16,'[47]geoMap (44)'!$A:$B,2,0)*VLOOKUP(A16,'[47]geoMap (44)'!$A:$C,3,0)</f>
        <v>#REF!</v>
      </c>
      <c r="AU16" s="1" t="e">
        <f>AT16/VLOOKUP(A16,'[48]geoMap (45)'!$A:$B,2,0)*VLOOKUP(A16,'[48]geoMap (45)'!$A:$C,3,0)</f>
        <v>#REF!</v>
      </c>
      <c r="AV16" s="1" t="e">
        <f>AU16/VLOOKUP(A16,'[49]geoMap (46)'!$A:$B,2,0)*VLOOKUP(A16,'[49]geoMap (46)'!$A:$C,3,0)</f>
        <v>#REF!</v>
      </c>
      <c r="AW16" s="1" t="e">
        <f>AV16/VLOOKUP(A16,'[50]geoMap (47)'!$A:$B,2,0)*VLOOKUP(A16,'[50]geoMap (47)'!$A:$C,3,0)</f>
        <v>#REF!</v>
      </c>
      <c r="AX16" s="4" t="e">
        <f>AW16/VLOOKUP(A16,'[51]geoMap (48)'!$A:$B,2,0)*VLOOKUP(A16,'[51]geoMap (48)'!$A:$C,3,0)</f>
        <v>#REF!</v>
      </c>
      <c r="AY16" s="1" t="e">
        <f>AX16/VLOOKUP(A16,'[52]geoMap (49)'!$A:$B,2,0)*VLOOKUP(A16,'[52]geoMap (49)'!$A:$C,3,0)</f>
        <v>#REF!</v>
      </c>
      <c r="AZ16" s="4" t="e">
        <f>AY16/VLOOKUP(A16,'[53]geoMap (50)'!$A:$B,2,0)*VLOOKUP(A16,'[53]geoMap (50)'!$A:$C,3,0)</f>
        <v>#REF!</v>
      </c>
      <c r="BA16" s="1" t="e">
        <f>AZ16/VLOOKUP(A16,'[54]geoMap (51)'!$A:$B,2,0)*VLOOKUP(A16,'[54]geoMap (51)'!$A:$C,3,0)</f>
        <v>#REF!</v>
      </c>
      <c r="BB16" s="4" t="e">
        <f>BA16/VLOOKUP(A16,'[55]geoMap (52)'!$A:$B,2,0)*VLOOKUP(A16,'[55]geoMap (52)'!$A:$C,3,0)</f>
        <v>#REF!</v>
      </c>
      <c r="BC16" s="1" t="e">
        <f>BB16/VLOOKUP(A16,'[56]geoMap (53)'!$A:$B,2,0)*VLOOKUP(A16,'[56]geoMap (53)'!$A:$C,3,0)</f>
        <v>#REF!</v>
      </c>
      <c r="BD16" s="4" t="e">
        <f>BC16/VLOOKUP(A16,'[57]geoMap (54)'!$A:$B,2,0)*VLOOKUP(A16,'[57]geoMap (54)'!$A:$C,3,0)</f>
        <v>#REF!</v>
      </c>
      <c r="BE16" s="1" t="e">
        <f>BD16/VLOOKUP(A16,'[58]geoMap (55)'!$A:$B,2,0)*VLOOKUP(A16,'[58]geoMap (55)'!$A:$C,3,0)</f>
        <v>#REF!</v>
      </c>
      <c r="BF16" s="4" t="e">
        <f>BE16/VLOOKUP(A16,'[59]geoMap (56)'!$A:$B,2,0)*VLOOKUP(A16,'[59]geoMap (56)'!$A:$C,3,0)</f>
        <v>#REF!</v>
      </c>
      <c r="BG16" s="1" t="e">
        <f>BF16/VLOOKUP(A16,'[60]geoMap (57)'!$A:$B,2,0)*VLOOKUP(A16,'[60]geoMap (57)'!$A:$C,3,0)</f>
        <v>#REF!</v>
      </c>
      <c r="BH16" s="4" t="e">
        <f>BG16/VLOOKUP(A16,'[61]geoMap (58)'!$A:$B,2,0)*VLOOKUP(A16,'[61]geoMap (58)'!$A:$C,3,0)</f>
        <v>#REF!</v>
      </c>
      <c r="BI16" s="1" t="e">
        <f>BH16/VLOOKUP(A16,'[62]geoMap (59)'!$A:$B,2,0)*VLOOKUP(A16,'[62]geoMap (59)'!$A:$C,3,0)</f>
        <v>#REF!</v>
      </c>
      <c r="BJ16" s="4" t="e">
        <f>BI16/VLOOKUP(A16,'[63]geoMap (60)'!$A:$B,2,0)*VLOOKUP(A16,'[63]geoMap (60)'!$A:$C,3,0)</f>
        <v>#REF!</v>
      </c>
      <c r="BK16" s="1" t="e">
        <f>BJ16/VLOOKUP(A16,'[64]geoMap (61)'!$A:$B,2,0)*VLOOKUP(A16,'[64]geoMap (61)'!$A:$C,3,0)</f>
        <v>#REF!</v>
      </c>
      <c r="BL16" s="4" t="e">
        <f>BK16/VLOOKUP(A16,'[65]geoMap (62)'!$A:$B,2,0)*VLOOKUP(A16,'[65]geoMap (62)'!$A:$C,3,0)</f>
        <v>#REF!</v>
      </c>
      <c r="BM16" s="1" t="e">
        <f>BL16/VLOOKUP(A16,'[66]geoMap (63)'!$A:$B,2,0)*VLOOKUP(A16,'[66]geoMap (63)'!$A:$C,3,0)</f>
        <v>#REF!</v>
      </c>
      <c r="BN16" s="4" t="e">
        <f>BM16/VLOOKUP(A16,'[67]geoMap (64)'!$A:$B,2,0)*VLOOKUP(A16,'[67]geoMap (64)'!$A:$C,3,0)</f>
        <v>#REF!</v>
      </c>
      <c r="BO16" s="1" t="e">
        <f>BN16/VLOOKUP(A16,'[68]geoMap (65)'!$A:$B,2,0)*VLOOKUP(A16,'[68]geoMap (65)'!$A:$C,3,0)</f>
        <v>#REF!</v>
      </c>
      <c r="BP16" s="4" t="e">
        <f>BO16/VLOOKUP(A16,'[69]geoMap (66)'!$A:$B,2,0)*VLOOKUP(A16,'[69]geoMap (66)'!$A:$C,3,0)</f>
        <v>#REF!</v>
      </c>
    </row>
    <row r="17" spans="1:68" x14ac:dyDescent="0.2">
      <c r="A17" s="1" t="s">
        <v>44</v>
      </c>
      <c r="B17" s="1">
        <f>VLOOKUP(A17,[3]geoMap!$A:$B,2,0)*Notes!$C$6</f>
        <v>8000</v>
      </c>
      <c r="C17" s="1">
        <f>B17/VLOOKUP(A17,'[4]geoMap (1)'!$A:$B,2,0)*VLOOKUP(A17,'[4]geoMap (1)'!$A:$C,3,0)</f>
        <v>3764.705882352941</v>
      </c>
      <c r="D17" s="1">
        <f>C17/VLOOKUP(A17,'[5]geoMap (2)'!$A:$B,2,0)*VLOOKUP(A17,'[5]geoMap (2)'!$A:$C,3,0)</f>
        <v>5647.0588235294108</v>
      </c>
      <c r="E17" s="1">
        <f>D17/VLOOKUP(A17,'[6]geoMap (3)'!$A:$B,2,0)*VLOOKUP(A17,'[6]geoMap (3)'!$A:$C,3,0)</f>
        <v>4620.3208556149721</v>
      </c>
      <c r="F17" s="1">
        <f>E17/VLOOKUP(A17,'[7]geoMap (4)'!$A:$B,2,0)*VLOOKUP(A17,'[7]geoMap (4)'!$A:$C,3,0)</f>
        <v>5005.3475935828874</v>
      </c>
      <c r="G17" s="1">
        <f>F17/VLOOKUP(A17,'[8]geoMap (5)'!$A:$B,2,0)*VLOOKUP(A17,'[8]geoMap (5)'!$A:$C,3,0)</f>
        <v>2939.6485867074098</v>
      </c>
      <c r="H17" s="1">
        <f>G17/VLOOKUP(A17,'[9]geoMap (6)'!$A:$B,2,0)*VLOOKUP(A17,'[9]geoMap (6)'!$A:$C,3,0)</f>
        <v>5968.377433618075</v>
      </c>
      <c r="I17" s="1">
        <f>H17/VLOOKUP(A17,'[10]geoMap (7)'!$A:$B,2,0)*VLOOKUP(A17,'[10]geoMap (7)'!$A:$C,3,0)</f>
        <v>1683.3885069179187</v>
      </c>
      <c r="J17" s="1">
        <f>I17/VLOOKUP(A17,'[11]geoMap (8)'!$A:$B,2,0)*VLOOKUP(A17,'[11]geoMap (8)'!$A:$C,3,0)</f>
        <v>867.20013992741269</v>
      </c>
      <c r="K17" s="1">
        <f>J17/VLOOKUP(A17,'[12]geoMap (9)'!$A:$B,2,0)*VLOOKUP(A17,'[12]geoMap (9)'!$A:$C,3,0)</f>
        <v>800.49243685607325</v>
      </c>
      <c r="L17" s="1">
        <f>K17/VLOOKUP(A17,'[13]geoMap (10)'!$A:$B,2,0)*VLOOKUP(A17,'[13]geoMap (10)'!$A:$C,3,0)</f>
        <v>939.70851283104264</v>
      </c>
      <c r="M17" s="1">
        <f>L17/VLOOKUP(A17,'[14]geoMap (11)'!$A:$B,2,0)*VLOOKUP(A17,'[14]geoMap (11)'!$A:$C,3,0)</f>
        <v>680.47857825696201</v>
      </c>
      <c r="N17" s="1">
        <f>M17/VLOOKUP(A17,'[15]geoMap (12)'!$A:$B,2,0)*VLOOKUP(A17,'[15]geoMap (12)'!$A:$C,3,0)</f>
        <v>435.06007462330359</v>
      </c>
      <c r="O17" s="1">
        <f>N17/VLOOKUP(A17,'[16]geoMap (13)'!$A:$B,2,0)*VLOOKUP(A17,'[16]geoMap (13)'!$A:$C,3,0)</f>
        <v>385.80799070368431</v>
      </c>
      <c r="P17" s="1">
        <f>O17/VLOOKUP(A17,'[17]geoMap (14)'!$A:$B,2,0)*VLOOKUP(A17,'[17]geoMap (14)'!$A:$C,3,0)</f>
        <v>342.13161439760682</v>
      </c>
      <c r="Q17" s="1">
        <f>P17/VLOOKUP(A17,'[18]geoMap (15)'!$A:$B,2,0)*VLOOKUP(A17,'[18]geoMap (15)'!$A:$C,3,0)</f>
        <v>401.63276472762539</v>
      </c>
      <c r="R17" s="1">
        <f>Q17/VLOOKUP(A17,'[19]geoMap (16)'!$A:$B,2,0)*VLOOKUP(A17,'[19]geoMap (16)'!$A:$C,3,0)</f>
        <v>189.00365398947076</v>
      </c>
      <c r="S17" s="1">
        <f>R17/VLOOKUP(A17,'[20]geoMap (17)'!$A:$B,2,0)*VLOOKUP(A17,'[20]geoMap (17)'!$A:$C,3,0)</f>
        <v>383.73469143316794</v>
      </c>
      <c r="T17" s="1">
        <f>S17/VLOOKUP(A17,'[21]geoMap (18)'!$A:$B,2,0)*VLOOKUP(A17,'[21]geoMap (18)'!$A:$C,3,0)</f>
        <v>90.011841200372729</v>
      </c>
      <c r="U17" s="1">
        <f>T17/VLOOKUP(A17,'[22]geoMap (19)'!$A:$B,2,0)*VLOOKUP(A17,'[22]geoMap (19)'!$A:$C,3,0)</f>
        <v>76.676753615132327</v>
      </c>
      <c r="V17" s="1">
        <f>U17/VLOOKUP(A17,'[23]geoMap (20)'!$A:$B,2,0)*VLOOKUP(A17,'[23]geoMap (20)'!$A:$C,3,0)</f>
        <v>25.558917871710776</v>
      </c>
      <c r="W17" s="1">
        <f>V17/VLOOKUP(A17,'[24]geoMap (21)'!$A:$B,2,0)*VLOOKUP(A17,'[24]geoMap (21)'!$A:$C,3,0)</f>
        <v>21.772411520346214</v>
      </c>
      <c r="X17" s="1">
        <f>W17/VLOOKUP(A17,'[25]geoMap (22)'!$A:$B,2,0)*VLOOKUP(A17,'[25]geoMap (22)'!$A:$C,3,0)</f>
        <v>55.986201052318826</v>
      </c>
      <c r="Y17" s="1">
        <f>X17/VLOOKUP(A17,'[26]geoMap (23)'!$A:$B,2,0)*VLOOKUP(A17,'[26]geoMap (23)'!$A:$C,3,0)</f>
        <v>58.271352115678773</v>
      </c>
      <c r="Z17" s="1">
        <f>Y17/VLOOKUP(A17,'[27]geoMap (24)'!$A:$B,2,0)*VLOOKUP(A17,'[27]geoMap (24)'!$A:$C,3,0)</f>
        <v>83.853896946952375</v>
      </c>
      <c r="AA17" s="1">
        <f>Z17/VLOOKUP(A17,'[28]geoMap (25)'!$A:$B,2,0)*VLOOKUP(A17,'[28]geoMap (25)'!$A:$C,3,0)</f>
        <v>32.609848812703703</v>
      </c>
      <c r="AB17" s="1">
        <f>AA17*VLOOKUP(A17,'[29]geoMap (26)'!$A:$B,2,0)*VLOOKUP(A17,'[29]geoMap (26)'!$A:$C,3,0)</f>
        <v>7.0959031016443257</v>
      </c>
      <c r="AC17" s="1">
        <f>AB17/VLOOKUP(A17,'[30]geoMap (27)'!$A:$B,2,0)*VLOOKUP(A17,'[30]geoMap (27)'!$A:$C,3,0)</f>
        <v>37.253491283632712</v>
      </c>
      <c r="AD17" s="1">
        <f>AC17/VLOOKUP(A17,'[31]geoMap (28)'!$A:$B,2,0)*VLOOKUP(A17,'[31]geoMap (28)'!$A:$C,3,0)</f>
        <v>6.0645218368704423</v>
      </c>
      <c r="AE17" s="1">
        <f>AD17/VLOOKUP(A17,'[32]geoMap (29)'!$A:$B,2,0)*VLOOKUP(A17,'[32]geoMap (29)'!$A:$C,3,0)</f>
        <v>20.302964410392352</v>
      </c>
      <c r="AF17" s="1">
        <f>AE17/VLOOKUP(A17,'[33]geoMap (30)'!$A:$B,2,0)*VLOOKUP(A17,'[33]geoMap (30)'!$A:$C,3,0)</f>
        <v>9.1216216916255508</v>
      </c>
      <c r="AG17" s="1">
        <f>AF17/VLOOKUP(A17,'[34]geoMap (31)'!$A:$B,2,0)*VLOOKUP(A17,'[34]geoMap (31)'!$A:$C,3,0)</f>
        <v>13.126236092827012</v>
      </c>
      <c r="AH17" s="1">
        <f>AG17/VLOOKUP(A17,'[35]geoMap (32)'!$A:$B,2,0)*VLOOKUP(A17,'[35]geoMap (32)'!$A:$C,3,0)</f>
        <v>13.126236092827012</v>
      </c>
      <c r="AI17" s="1">
        <f>AH17/VLOOKUP(A17,'[36]geoMap (33)'!$A:$B,2,0)*VLOOKUP(A17,'[36]geoMap (33)'!$A:$C,3,0)</f>
        <v>7.3835078022151936</v>
      </c>
      <c r="AJ17" s="1">
        <f>AI17/VLOOKUP(A17,'[37]geoMap (34)'!$A:$B,2,0)*VLOOKUP(A17,'[37]geoMap (34)'!$A:$C,3,0)</f>
        <v>13.126236092827012</v>
      </c>
      <c r="AK17" s="1">
        <f>AJ17/VLOOKUP(A17,'[38]geoMap (35)'!$A:$B,2,0)*VLOOKUP(A17,'[38]geoMap (35)'!$A:$C,3,0)</f>
        <v>4.611920789371653</v>
      </c>
      <c r="AL17" s="1">
        <f>AK17/VLOOKUP(A17,'[39]geoMap (36)'!$A:$B,2,0)*VLOOKUP(A17,'[39]geoMap (36)'!$A:$C,3,0)</f>
        <v>2.4833419635078129</v>
      </c>
      <c r="AM17" s="1">
        <f>AL17/VLOOKUP(A17,'[40]geoMap (37)'!$A:$B,2,0)*VLOOKUP(A17,'[40]geoMap (37)'!$A:$C,3,0)</f>
        <v>6.385736477591518</v>
      </c>
      <c r="AN17" s="1">
        <f>AM17/VLOOKUP(A17,'[41]geoMap (38)'!$A:$B,2,0)*VLOOKUP(A17,'[41]geoMap (38)'!$A:$C,3,0)</f>
        <v>4.4375456878178348</v>
      </c>
      <c r="AO17" s="1">
        <f>AN17/VLOOKUP(A17,'[42]geoMap (39)'!$A:$B,2,0)*VLOOKUP(A17,'[42]geoMap (39)'!$A:$C,3,0)</f>
        <v>7.5558210360141516</v>
      </c>
      <c r="AP17" s="1">
        <f>AO17/VLOOKUP(A17,'[43]geoMap (40)'!$A:$B,2,0)*VLOOKUP(A17,'[43]geoMap (40)'!$A:$C,3,0)</f>
        <v>2.2569335562120192</v>
      </c>
      <c r="AQ17" s="1">
        <f>AP17/VLOOKUP(A17,'[44]geoMap (41)'!$A:$B,2,0)*VLOOKUP(A17,'[44]geoMap (41)'!$A:$C,3,0)</f>
        <v>4.3811063149998022</v>
      </c>
      <c r="AR17" s="1">
        <f>AQ17/VLOOKUP(A17,'[45]geoMap (42)'!$A:$B,2,0)*VLOOKUP(A17,'[45]geoMap (42)'!$A:$C,3,0)</f>
        <v>1.0952765787499505</v>
      </c>
      <c r="AS17" s="1">
        <f>AR17/VLOOKUP(A17,'[46]geoMap (43)'!$A:$B,2,0)*VLOOKUP(A17,'[46]geoMap (43)'!$A:$C,3,0)</f>
        <v>2.5556453504165511</v>
      </c>
      <c r="AT17" s="1">
        <f>AS17/VLOOKUP(A17,'[47]geoMap (44)'!$A:$B,2,0)*VLOOKUP(A17,'[47]geoMap (44)'!$A:$C,3,0)</f>
        <v>4.5433695118516466</v>
      </c>
      <c r="AU17" s="1" t="e">
        <f>AT17/VLOOKUP(A17,'[48]geoMap (45)'!$A:$B,2,0)*VLOOKUP(A17,'[48]geoMap (45)'!$A:$C,3,0)</f>
        <v>#REF!</v>
      </c>
      <c r="AV17" s="1" t="e">
        <f>AU17/VLOOKUP(A17,'[49]geoMap (46)'!$A:$B,2,0)*VLOOKUP(A17,'[49]geoMap (46)'!$A:$C,3,0)</f>
        <v>#REF!</v>
      </c>
      <c r="AW17" s="1" t="e">
        <f>AV17/VLOOKUP(A17,'[50]geoMap (47)'!$A:$B,2,0)*VLOOKUP(A17,'[50]geoMap (47)'!$A:$C,3,0)</f>
        <v>#REF!</v>
      </c>
      <c r="AX17" s="4" t="e">
        <f>AW17/VLOOKUP(A17,'[51]geoMap (48)'!$A:$B,2,0)*VLOOKUP(A17,'[51]geoMap (48)'!$A:$C,3,0)</f>
        <v>#REF!</v>
      </c>
      <c r="AY17" s="1" t="e">
        <f>AX17/VLOOKUP(A17,'[52]geoMap (49)'!$A:$B,2,0)*VLOOKUP(A17,'[52]geoMap (49)'!$A:$C,3,0)</f>
        <v>#REF!</v>
      </c>
      <c r="AZ17" s="4" t="e">
        <f>AY17/VLOOKUP(A17,'[53]geoMap (50)'!$A:$B,2,0)*VLOOKUP(A17,'[53]geoMap (50)'!$A:$C,3,0)</f>
        <v>#REF!</v>
      </c>
      <c r="BA17" s="1" t="e">
        <f>AZ17/VLOOKUP(A17,'[54]geoMap (51)'!$A:$B,2,0)*VLOOKUP(A17,'[54]geoMap (51)'!$A:$C,3,0)</f>
        <v>#REF!</v>
      </c>
      <c r="BB17" s="4" t="e">
        <f>BA17/VLOOKUP(A17,'[55]geoMap (52)'!$A:$B,2,0)*VLOOKUP(A17,'[55]geoMap (52)'!$A:$C,3,0)</f>
        <v>#REF!</v>
      </c>
      <c r="BC17" s="1" t="e">
        <f>BB17/VLOOKUP(A17,'[56]geoMap (53)'!$A:$B,2,0)*VLOOKUP(A17,'[56]geoMap (53)'!$A:$C,3,0)</f>
        <v>#REF!</v>
      </c>
      <c r="BD17" s="4" t="e">
        <f>BC17/VLOOKUP(A17,'[57]geoMap (54)'!$A:$B,2,0)*VLOOKUP(A17,'[57]geoMap (54)'!$A:$C,3,0)</f>
        <v>#REF!</v>
      </c>
      <c r="BE17" s="1" t="e">
        <f>BD17/VLOOKUP(A17,'[58]geoMap (55)'!$A:$B,2,0)*VLOOKUP(A17,'[58]geoMap (55)'!$A:$C,3,0)</f>
        <v>#REF!</v>
      </c>
      <c r="BF17" s="4" t="e">
        <f>BE17/VLOOKUP(A17,'[59]geoMap (56)'!$A:$B,2,0)*VLOOKUP(A17,'[59]geoMap (56)'!$A:$C,3,0)</f>
        <v>#REF!</v>
      </c>
      <c r="BG17" s="1" t="e">
        <f>BF17/VLOOKUP(A17,'[60]geoMap (57)'!$A:$B,2,0)*VLOOKUP(A17,'[60]geoMap (57)'!$A:$C,3,0)</f>
        <v>#REF!</v>
      </c>
      <c r="BH17" s="4" t="e">
        <f>BG17/VLOOKUP(A17,'[61]geoMap (58)'!$A:$B,2,0)*VLOOKUP(A17,'[61]geoMap (58)'!$A:$C,3,0)</f>
        <v>#REF!</v>
      </c>
      <c r="BI17" s="1" t="e">
        <f>BH17/VLOOKUP(A17,'[62]geoMap (59)'!$A:$B,2,0)*VLOOKUP(A17,'[62]geoMap (59)'!$A:$C,3,0)</f>
        <v>#REF!</v>
      </c>
      <c r="BJ17" s="4" t="e">
        <f>BI17/VLOOKUP(A17,'[63]geoMap (60)'!$A:$B,2,0)*VLOOKUP(A17,'[63]geoMap (60)'!$A:$C,3,0)</f>
        <v>#REF!</v>
      </c>
      <c r="BK17" s="1" t="e">
        <f>BJ17/VLOOKUP(A17,'[64]geoMap (61)'!$A:$B,2,0)*VLOOKUP(A17,'[64]geoMap (61)'!$A:$C,3,0)</f>
        <v>#REF!</v>
      </c>
      <c r="BL17" s="4" t="e">
        <f>BK17/VLOOKUP(A17,'[65]geoMap (62)'!$A:$B,2,0)*VLOOKUP(A17,'[65]geoMap (62)'!$A:$C,3,0)</f>
        <v>#REF!</v>
      </c>
      <c r="BM17" s="1" t="e">
        <f>BL17/VLOOKUP(A17,'[66]geoMap (63)'!$A:$B,2,0)*VLOOKUP(A17,'[66]geoMap (63)'!$A:$C,3,0)</f>
        <v>#REF!</v>
      </c>
      <c r="BN17" s="4" t="e">
        <f>BM17/VLOOKUP(A17,'[67]geoMap (64)'!$A:$B,2,0)*VLOOKUP(A17,'[67]geoMap (64)'!$A:$C,3,0)</f>
        <v>#REF!</v>
      </c>
      <c r="BO17" s="1" t="e">
        <f>BN17/VLOOKUP(A17,'[68]geoMap (65)'!$A:$B,2,0)*VLOOKUP(A17,'[68]geoMap (65)'!$A:$C,3,0)</f>
        <v>#REF!</v>
      </c>
      <c r="BP17" s="4" t="e">
        <f>BO17/VLOOKUP(A17,'[69]geoMap (66)'!$A:$B,2,0)*VLOOKUP(A17,'[69]geoMap (66)'!$A:$C,3,0)</f>
        <v>#REF!</v>
      </c>
    </row>
    <row r="18" spans="1:68" x14ac:dyDescent="0.2">
      <c r="A18" s="1" t="s">
        <v>55</v>
      </c>
      <c r="B18" s="1">
        <f>VLOOKUP(A18,[3]geoMap!$A:$B,2,0)*Notes!$C$6</f>
        <v>7000</v>
      </c>
      <c r="C18" s="1">
        <f>B18/VLOOKUP(A18,'[4]geoMap (1)'!$A:$B,2,0)*VLOOKUP(A18,'[4]geoMap (1)'!$A:$C,3,0)</f>
        <v>8217.391304347826</v>
      </c>
      <c r="D18" s="1">
        <f>C18/VLOOKUP(A18,'[5]geoMap (2)'!$A:$B,2,0)*VLOOKUP(A18,'[5]geoMap (2)'!$A:$C,3,0)</f>
        <v>5710.3905674281505</v>
      </c>
      <c r="E18" s="1">
        <f>D18/VLOOKUP(A18,'[6]geoMap (3)'!$A:$B,2,0)*VLOOKUP(A18,'[6]geoMap (3)'!$A:$C,3,0)</f>
        <v>4672.1377369866686</v>
      </c>
      <c r="F18" s="1">
        <f>E18/VLOOKUP(A18,'[7]geoMap (4)'!$A:$B,2,0)*VLOOKUP(A18,'[7]geoMap (4)'!$A:$C,3,0)</f>
        <v>3524.595134919768</v>
      </c>
      <c r="G18" s="1">
        <f>F18/VLOOKUP(A18,'[8]geoMap (5)'!$A:$B,2,0)*VLOOKUP(A18,'[8]geoMap (5)'!$A:$C,3,0)</f>
        <v>4307.8384982352727</v>
      </c>
      <c r="H18" s="1">
        <f>G18/VLOOKUP(A18,'[9]geoMap (6)'!$A:$B,2,0)*VLOOKUP(A18,'[9]geoMap (6)'!$A:$C,3,0)</f>
        <v>2027.2181168165987</v>
      </c>
      <c r="I18" s="1">
        <f>H18/VLOOKUP(A18,'[10]geoMap (7)'!$A:$B,2,0)*VLOOKUP(A18,'[10]geoMap (7)'!$A:$C,3,0)</f>
        <v>1296.0902714073338</v>
      </c>
      <c r="J18" s="1">
        <f>I18/VLOOKUP(A18,'[11]geoMap (8)'!$A:$B,2,0)*VLOOKUP(A18,'[11]geoMap (8)'!$A:$C,3,0)</f>
        <v>1461.548603927419</v>
      </c>
      <c r="K18" s="1">
        <f>J18/VLOOKUP(A18,'[12]geoMap (9)'!$A:$B,2,0)*VLOOKUP(A18,'[12]geoMap (9)'!$A:$C,3,0)</f>
        <v>1349.1217882406943</v>
      </c>
      <c r="L18" s="1">
        <f>K18/VLOOKUP(A18,'[13]geoMap (10)'!$A:$B,2,0)*VLOOKUP(A18,'[13]geoMap (10)'!$A:$C,3,0)</f>
        <v>792.34136769691565</v>
      </c>
      <c r="M18" s="1">
        <f>L18/VLOOKUP(A18,'[14]geoMap (11)'!$A:$B,2,0)*VLOOKUP(A18,'[14]geoMap (11)'!$A:$C,3,0)</f>
        <v>485.62858020133541</v>
      </c>
      <c r="N18" s="1">
        <f>M18/VLOOKUP(A18,'[15]geoMap (12)'!$A:$B,2,0)*VLOOKUP(A18,'[15]geoMap (12)'!$A:$C,3,0)</f>
        <v>863.33969813570741</v>
      </c>
      <c r="O18" s="1">
        <f>N18/VLOOKUP(A18,'[16]geoMap (13)'!$A:$B,2,0)*VLOOKUP(A18,'[16]geoMap (13)'!$A:$C,3,0)</f>
        <v>464.87522207307313</v>
      </c>
      <c r="P18" s="1">
        <f>O18/VLOOKUP(A18,'[17]geoMap (14)'!$A:$B,2,0)*VLOOKUP(A18,'[17]geoMap (14)'!$A:$C,3,0)</f>
        <v>273.02195582069373</v>
      </c>
      <c r="Q18" s="1">
        <f>P18/VLOOKUP(A18,'[18]geoMap (15)'!$A:$B,2,0)*VLOOKUP(A18,'[18]geoMap (15)'!$A:$C,3,0)</f>
        <v>320.50403509385785</v>
      </c>
      <c r="R18" s="1">
        <f>Q18/VLOOKUP(A18,'[19]geoMap (16)'!$A:$B,2,0)*VLOOKUP(A18,'[19]geoMap (16)'!$A:$C,3,0)</f>
        <v>295.84987854817643</v>
      </c>
      <c r="S18" s="1">
        <f>R18/VLOOKUP(A18,'[20]geoMap (17)'!$A:$B,2,0)*VLOOKUP(A18,'[20]geoMap (17)'!$A:$C,3,0)</f>
        <v>120.84009123798755</v>
      </c>
      <c r="T18" s="1">
        <f>S18/VLOOKUP(A18,'[21]geoMap (18)'!$A:$B,2,0)*VLOOKUP(A18,'[21]geoMap (18)'!$A:$C,3,0)</f>
        <v>116.10126413061549</v>
      </c>
      <c r="U18" s="1">
        <f>T18/VLOOKUP(A18,'[22]geoMap (19)'!$A:$B,2,0)*VLOOKUP(A18,'[22]geoMap (19)'!$A:$C,3,0)</f>
        <v>116.10126413061549</v>
      </c>
      <c r="V18" s="1">
        <f>U18/VLOOKUP(A18,'[23]geoMap (20)'!$A:$B,2,0)*VLOOKUP(A18,'[23]geoMap (20)'!$A:$C,3,0)</f>
        <v>174.15189619592323</v>
      </c>
      <c r="W18" s="1">
        <f>V18/VLOOKUP(A18,'[24]geoMap (21)'!$A:$B,2,0)*VLOOKUP(A18,'[24]geoMap (21)'!$A:$C,3,0)</f>
        <v>46.293542026764399</v>
      </c>
      <c r="X18" s="1">
        <f>W18/VLOOKUP(A18,'[25]geoMap (22)'!$A:$B,2,0)*VLOOKUP(A18,'[25]geoMap (22)'!$A:$C,3,0)</f>
        <v>63.929177084579401</v>
      </c>
      <c r="Y18" s="1">
        <f>X18/VLOOKUP(A18,'[26]geoMap (23)'!$A:$B,2,0)*VLOOKUP(A18,'[26]geoMap (23)'!$A:$C,3,0)</f>
        <v>52.305690341928596</v>
      </c>
      <c r="Z18" s="1">
        <f>Y18/VLOOKUP(A18,'[27]geoMap (24)'!$A:$B,2,0)*VLOOKUP(A18,'[27]geoMap (24)'!$A:$C,3,0)</f>
        <v>41.097328125801035</v>
      </c>
      <c r="AA18" s="1">
        <f>Z18/VLOOKUP(A18,'[28]geoMap (25)'!$A:$B,2,0)*VLOOKUP(A18,'[28]geoMap (25)'!$A:$C,3,0)</f>
        <v>56.753453126106187</v>
      </c>
      <c r="AB18" s="1">
        <f>AA18*VLOOKUP(A18,'[29]geoMap (26)'!$A:$B,2,0)*VLOOKUP(A18,'[29]geoMap (26)'!$A:$C,3,0)</f>
        <v>14.165661900276104</v>
      </c>
      <c r="AC18" s="1">
        <f>AB18/VLOOKUP(A18,'[30]geoMap (27)'!$A:$B,2,0)*VLOOKUP(A18,'[30]geoMap (27)'!$A:$C,3,0)</f>
        <v>15.346133725299113</v>
      </c>
      <c r="AD18" s="1">
        <f>AC18/VLOOKUP(A18,'[31]geoMap (28)'!$A:$B,2,0)*VLOOKUP(A18,'[31]geoMap (28)'!$A:$C,3,0)</f>
        <v>12.057676498449302</v>
      </c>
      <c r="AE18" s="1">
        <f>AD18/VLOOKUP(A18,'[32]geoMap (29)'!$A:$B,2,0)*VLOOKUP(A18,'[32]geoMap (29)'!$A:$C,3,0)</f>
        <v>9.4738886773530222</v>
      </c>
      <c r="AF18" s="1">
        <f>AE18/VLOOKUP(A18,'[33]geoMap (30)'!$A:$B,2,0)*VLOOKUP(A18,'[33]geoMap (30)'!$A:$C,3,0)</f>
        <v>6.0570763674879977</v>
      </c>
      <c r="AG18" s="1">
        <f>AF18/VLOOKUP(A18,'[34]geoMap (31)'!$A:$B,2,0)*VLOOKUP(A18,'[34]geoMap (31)'!$A:$C,3,0)</f>
        <v>7.1104809531380839</v>
      </c>
      <c r="AH18" s="1">
        <f>AG18/VLOOKUP(A18,'[35]geoMap (32)'!$A:$B,2,0)*VLOOKUP(A18,'[35]geoMap (32)'!$A:$C,3,0)</f>
        <v>7.7030210325662578</v>
      </c>
      <c r="AI18" s="1">
        <f>AH18/VLOOKUP(A18,'[36]geoMap (33)'!$A:$B,2,0)*VLOOKUP(A18,'[36]geoMap (33)'!$A:$C,3,0)</f>
        <v>9.8038449505388758</v>
      </c>
      <c r="AJ18" s="1">
        <f>AI18/VLOOKUP(A18,'[37]geoMap (34)'!$A:$B,2,0)*VLOOKUP(A18,'[37]geoMap (34)'!$A:$C,3,0)</f>
        <v>7.7030210325662587</v>
      </c>
      <c r="AK18" s="1">
        <f>AJ18/VLOOKUP(A18,'[38]geoMap (35)'!$A:$B,2,0)*VLOOKUP(A18,'[38]geoMap (35)'!$A:$C,3,0)</f>
        <v>17.145433911195866</v>
      </c>
      <c r="AL18" s="1">
        <f>AK18/VLOOKUP(A18,'[39]geoMap (36)'!$A:$B,2,0)*VLOOKUP(A18,'[39]geoMap (36)'!$A:$C,3,0)</f>
        <v>1.4909072966257275</v>
      </c>
      <c r="AM18" s="1">
        <f>AL18/VLOOKUP(A18,'[40]geoMap (37)'!$A:$B,2,0)*VLOOKUP(A18,'[40]geoMap (37)'!$A:$C,3,0)</f>
        <v>3.3184710795862964</v>
      </c>
      <c r="AN18" s="1">
        <f>AM18/VLOOKUP(A18,'[41]geoMap (38)'!$A:$B,2,0)*VLOOKUP(A18,'[41]geoMap (38)'!$A:$C,3,0)</f>
        <v>4.223508646746196</v>
      </c>
      <c r="AO18" s="1">
        <f>AN18/VLOOKUP(A18,'[42]geoMap (39)'!$A:$B,2,0)*VLOOKUP(A18,'[42]geoMap (39)'!$A:$C,3,0)</f>
        <v>5.1620661238009067</v>
      </c>
      <c r="AP18" s="1">
        <f>AO18/VLOOKUP(A18,'[43]geoMap (40)'!$A:$B,2,0)*VLOOKUP(A18,'[43]geoMap (40)'!$A:$C,3,0)</f>
        <v>5.3727627002825766</v>
      </c>
      <c r="AQ18" s="1">
        <f>AP18/VLOOKUP(A18,'[44]geoMap (41)'!$A:$B,2,0)*VLOOKUP(A18,'[44]geoMap (41)'!$A:$C,3,0)</f>
        <v>0.87463578841809397</v>
      </c>
      <c r="AR18" s="1">
        <f>AQ18/VLOOKUP(A18,'[45]geoMap (42)'!$A:$B,2,0)*VLOOKUP(A18,'[45]geoMap (42)'!$A:$C,3,0)</f>
        <v>5.8533318147980129</v>
      </c>
      <c r="AS18" s="1">
        <f>AR18/VLOOKUP(A18,'[46]geoMap (43)'!$A:$B,2,0)*VLOOKUP(A18,'[46]geoMap (43)'!$A:$C,3,0)</f>
        <v>2.2762957057547832</v>
      </c>
      <c r="AT18" s="1" t="e">
        <f>AS18/VLOOKUP(A18,'[47]geoMap (44)'!$A:$B,2,0)*VLOOKUP(A18,'[47]geoMap (44)'!$A:$C,3,0)</f>
        <v>#REF!</v>
      </c>
      <c r="AU18" s="1" t="e">
        <f>AT18/VLOOKUP(A18,'[48]geoMap (45)'!$A:$B,2,0)*VLOOKUP(A18,'[48]geoMap (45)'!$A:$C,3,0)</f>
        <v>#REF!</v>
      </c>
      <c r="AV18" s="1" t="e">
        <f>AU18/VLOOKUP(A18,'[49]geoMap (46)'!$A:$B,2,0)*VLOOKUP(A18,'[49]geoMap (46)'!$A:$C,3,0)</f>
        <v>#REF!</v>
      </c>
      <c r="AW18" s="1" t="e">
        <f>AV18/VLOOKUP(A18,'[50]geoMap (47)'!$A:$B,2,0)*VLOOKUP(A18,'[50]geoMap (47)'!$A:$C,3,0)</f>
        <v>#REF!</v>
      </c>
      <c r="AX18" s="4" t="e">
        <f>AW18/VLOOKUP(A18,'[51]geoMap (48)'!$A:$B,2,0)*VLOOKUP(A18,'[51]geoMap (48)'!$A:$C,3,0)</f>
        <v>#REF!</v>
      </c>
      <c r="AY18" s="1" t="e">
        <f>AX18/VLOOKUP(A18,'[52]geoMap (49)'!$A:$B,2,0)*VLOOKUP(A18,'[52]geoMap (49)'!$A:$C,3,0)</f>
        <v>#REF!</v>
      </c>
      <c r="AZ18" s="4" t="e">
        <f>AY18/VLOOKUP(A18,'[53]geoMap (50)'!$A:$B,2,0)*VLOOKUP(A18,'[53]geoMap (50)'!$A:$C,3,0)</f>
        <v>#REF!</v>
      </c>
      <c r="BA18" s="1" t="e">
        <f>AZ18/VLOOKUP(A18,'[54]geoMap (51)'!$A:$B,2,0)*VLOOKUP(A18,'[54]geoMap (51)'!$A:$C,3,0)</f>
        <v>#REF!</v>
      </c>
      <c r="BB18" s="4" t="e">
        <f>BA18/VLOOKUP(A18,'[55]geoMap (52)'!$A:$B,2,0)*VLOOKUP(A18,'[55]geoMap (52)'!$A:$C,3,0)</f>
        <v>#REF!</v>
      </c>
      <c r="BC18" s="1" t="e">
        <f>BB18/VLOOKUP(A18,'[56]geoMap (53)'!$A:$B,2,0)*VLOOKUP(A18,'[56]geoMap (53)'!$A:$C,3,0)</f>
        <v>#REF!</v>
      </c>
      <c r="BD18" s="4" t="e">
        <f>BC18/VLOOKUP(A18,'[57]geoMap (54)'!$A:$B,2,0)*VLOOKUP(A18,'[57]geoMap (54)'!$A:$C,3,0)</f>
        <v>#REF!</v>
      </c>
      <c r="BE18" s="1" t="e">
        <f>BD18/VLOOKUP(A18,'[58]geoMap (55)'!$A:$B,2,0)*VLOOKUP(A18,'[58]geoMap (55)'!$A:$C,3,0)</f>
        <v>#REF!</v>
      </c>
      <c r="BF18" s="4" t="e">
        <f>BE18/VLOOKUP(A18,'[59]geoMap (56)'!$A:$B,2,0)*VLOOKUP(A18,'[59]geoMap (56)'!$A:$C,3,0)</f>
        <v>#REF!</v>
      </c>
      <c r="BG18" s="1" t="e">
        <f>BF18/VLOOKUP(A18,'[60]geoMap (57)'!$A:$B,2,0)*VLOOKUP(A18,'[60]geoMap (57)'!$A:$C,3,0)</f>
        <v>#REF!</v>
      </c>
      <c r="BH18" s="4" t="e">
        <f>BG18/VLOOKUP(A18,'[61]geoMap (58)'!$A:$B,2,0)*VLOOKUP(A18,'[61]geoMap (58)'!$A:$C,3,0)</f>
        <v>#REF!</v>
      </c>
      <c r="BI18" s="1" t="e">
        <f>BH18/VLOOKUP(A18,'[62]geoMap (59)'!$A:$B,2,0)*VLOOKUP(A18,'[62]geoMap (59)'!$A:$C,3,0)</f>
        <v>#REF!</v>
      </c>
      <c r="BJ18" s="4" t="e">
        <f>BI18/VLOOKUP(A18,'[63]geoMap (60)'!$A:$B,2,0)*VLOOKUP(A18,'[63]geoMap (60)'!$A:$C,3,0)</f>
        <v>#REF!</v>
      </c>
      <c r="BK18" s="1" t="e">
        <f>BJ18/VLOOKUP(A18,'[64]geoMap (61)'!$A:$B,2,0)*VLOOKUP(A18,'[64]geoMap (61)'!$A:$C,3,0)</f>
        <v>#REF!</v>
      </c>
      <c r="BL18" s="4" t="e">
        <f>BK18/VLOOKUP(A18,'[65]geoMap (62)'!$A:$B,2,0)*VLOOKUP(A18,'[65]geoMap (62)'!$A:$C,3,0)</f>
        <v>#REF!</v>
      </c>
      <c r="BM18" s="1" t="e">
        <f>BL18/VLOOKUP(A18,'[66]geoMap (63)'!$A:$B,2,0)*VLOOKUP(A18,'[66]geoMap (63)'!$A:$C,3,0)</f>
        <v>#REF!</v>
      </c>
      <c r="BN18" s="4" t="e">
        <f>BM18/VLOOKUP(A18,'[67]geoMap (64)'!$A:$B,2,0)*VLOOKUP(A18,'[67]geoMap (64)'!$A:$C,3,0)</f>
        <v>#REF!</v>
      </c>
      <c r="BO18" s="1" t="e">
        <f>BN18/VLOOKUP(A18,'[68]geoMap (65)'!$A:$B,2,0)*VLOOKUP(A18,'[68]geoMap (65)'!$A:$C,3,0)</f>
        <v>#REF!</v>
      </c>
      <c r="BP18" s="4" t="e">
        <f>BO18/VLOOKUP(A18,'[69]geoMap (66)'!$A:$B,2,0)*VLOOKUP(A18,'[69]geoMap (66)'!$A:$C,3,0)</f>
        <v>#REF!</v>
      </c>
    </row>
    <row r="19" spans="1:68" x14ac:dyDescent="0.2">
      <c r="A19" s="1" t="s">
        <v>60</v>
      </c>
      <c r="B19" s="1">
        <f>VLOOKUP(A19,[3]geoMap!$A:$B,2,0)*Notes!$C$6</f>
        <v>7000</v>
      </c>
      <c r="C19" s="1">
        <f>B19/VLOOKUP(A19,'[4]geoMap (1)'!$A:$B,2,0)*VLOOKUP(A19,'[4]geoMap (1)'!$A:$C,3,0)</f>
        <v>5962.9629629629626</v>
      </c>
      <c r="D19" s="1">
        <f>C19/VLOOKUP(A19,'[5]geoMap (2)'!$A:$B,2,0)*VLOOKUP(A19,'[5]geoMap (2)'!$A:$C,3,0)</f>
        <v>4878.7878787878781</v>
      </c>
      <c r="E19" s="1">
        <f>D19/VLOOKUP(A19,'[6]geoMap (3)'!$A:$B,2,0)*VLOOKUP(A19,'[6]geoMap (3)'!$A:$C,3,0)</f>
        <v>3390.3441191576781</v>
      </c>
      <c r="F19" s="1">
        <f>E19/VLOOKUP(A19,'[7]geoMap (4)'!$A:$B,2,0)*VLOOKUP(A19,'[7]geoMap (4)'!$A:$C,3,0)</f>
        <v>3390.3441191576781</v>
      </c>
      <c r="G19" s="1">
        <f>F19/VLOOKUP(A19,'[8]geoMap (5)'!$A:$B,2,0)*VLOOKUP(A19,'[8]geoMap (5)'!$A:$C,3,0)</f>
        <v>3672.8727957541519</v>
      </c>
      <c r="H19" s="1">
        <f>G19/VLOOKUP(A19,'[9]geoMap (6)'!$A:$B,2,0)*VLOOKUP(A19,'[9]geoMap (6)'!$A:$C,3,0)</f>
        <v>2348.2301481051136</v>
      </c>
      <c r="I19" s="1">
        <f>H19/VLOOKUP(A19,'[10]geoMap (7)'!$A:$B,2,0)*VLOOKUP(A19,'[10]geoMap (7)'!$A:$C,3,0)</f>
        <v>1055.0019505979496</v>
      </c>
      <c r="J19" s="1">
        <f>I19/VLOOKUP(A19,'[11]geoMap (8)'!$A:$B,2,0)*VLOOKUP(A19,'[11]geoMap (8)'!$A:$C,3,0)</f>
        <v>1398.490957769375</v>
      </c>
      <c r="K19" s="1">
        <f>J19/VLOOKUP(A19,'[12]geoMap (9)'!$A:$B,2,0)*VLOOKUP(A19,'[12]geoMap (9)'!$A:$C,3,0)</f>
        <v>1455.5722213517986</v>
      </c>
      <c r="L19" s="1">
        <f>K19/VLOOKUP(A19,'[13]geoMap (10)'!$A:$B,2,0)*VLOOKUP(A19,'[13]geoMap (10)'!$A:$C,3,0)</f>
        <v>623.81666629362792</v>
      </c>
      <c r="M19" s="1">
        <f>L19/VLOOKUP(A19,'[14]geoMap (11)'!$A:$B,2,0)*VLOOKUP(A19,'[14]geoMap (11)'!$A:$C,3,0)</f>
        <v>451.72931007469612</v>
      </c>
      <c r="N19" s="1">
        <f>M19/VLOOKUP(A19,'[15]geoMap (12)'!$A:$B,2,0)*VLOOKUP(A19,'[15]geoMap (12)'!$A:$C,3,0)</f>
        <v>706.55097216811441</v>
      </c>
      <c r="O19" s="1">
        <f>N19/VLOOKUP(A19,'[16]geoMap (13)'!$A:$B,2,0)*VLOOKUP(A19,'[16]geoMap (13)'!$A:$C,3,0)</f>
        <v>397.43492184456431</v>
      </c>
      <c r="P19" s="1">
        <f>O19/VLOOKUP(A19,'[17]geoMap (14)'!$A:$B,2,0)*VLOOKUP(A19,'[17]geoMap (14)'!$A:$C,3,0)</f>
        <v>264.95661456304288</v>
      </c>
      <c r="Q19" s="1">
        <f>P19/VLOOKUP(A19,'[18]geoMap (15)'!$A:$B,2,0)*VLOOKUP(A19,'[18]geoMap (15)'!$A:$C,3,0)</f>
        <v>254.56615908998234</v>
      </c>
      <c r="R19" s="1">
        <f>Q19/VLOOKUP(A19,'[19]geoMap (16)'!$A:$B,2,0)*VLOOKUP(A19,'[19]geoMap (16)'!$A:$C,3,0)</f>
        <v>192.04113755910947</v>
      </c>
      <c r="S19" s="1">
        <f>R19/VLOOKUP(A19,'[20]geoMap (17)'!$A:$B,2,0)*VLOOKUP(A19,'[20]geoMap (17)'!$A:$C,3,0)</f>
        <v>108.02313987699908</v>
      </c>
      <c r="T19" s="1">
        <f>S19/VLOOKUP(A19,'[21]geoMap (18)'!$A:$B,2,0)*VLOOKUP(A19,'[21]geoMap (18)'!$A:$C,3,0)</f>
        <v>108.02313987699908</v>
      </c>
      <c r="U19" s="1">
        <f>T19/VLOOKUP(A19,'[22]geoMap (19)'!$A:$B,2,0)*VLOOKUP(A19,'[22]geoMap (19)'!$A:$C,3,0)</f>
        <v>75.066927711134952</v>
      </c>
      <c r="V19" s="1">
        <f>U19/VLOOKUP(A19,'[23]geoMap (20)'!$A:$B,2,0)*VLOOKUP(A19,'[23]geoMap (20)'!$A:$C,3,0)</f>
        <v>159.51722138616176</v>
      </c>
      <c r="W19" s="1">
        <f>V19/VLOOKUP(A19,'[24]geoMap (21)'!$A:$B,2,0)*VLOOKUP(A19,'[24]geoMap (21)'!$A:$C,3,0)</f>
        <v>37.417619831321893</v>
      </c>
      <c r="X19" s="1">
        <f>W19/VLOOKUP(A19,'[25]geoMap (22)'!$A:$B,2,0)*VLOOKUP(A19,'[25]geoMap (22)'!$A:$C,3,0)</f>
        <v>45.73264646050454</v>
      </c>
      <c r="Y19" s="1">
        <f>X19/VLOOKUP(A19,'[26]geoMap (23)'!$A:$B,2,0)*VLOOKUP(A19,'[26]geoMap (23)'!$A:$C,3,0)</f>
        <v>51.570856646951938</v>
      </c>
      <c r="Z19" s="1">
        <f>Y19/VLOOKUP(A19,'[27]geoMap (24)'!$A:$B,2,0)*VLOOKUP(A19,'[27]geoMap (24)'!$A:$C,3,0)</f>
        <v>31.607944396518931</v>
      </c>
      <c r="AA19" s="1">
        <f>Z19/VLOOKUP(A19,'[28]geoMap (25)'!$A:$B,2,0)*VLOOKUP(A19,'[28]geoMap (25)'!$A:$C,3,0)</f>
        <v>37.104978204609182</v>
      </c>
      <c r="AB19" s="1">
        <f>AA19*VLOOKUP(A19,'[29]geoMap (26)'!$A:$B,2,0)*VLOOKUP(A19,'[29]geoMap (26)'!$A:$C,3,0)</f>
        <v>8.6491704194943999</v>
      </c>
      <c r="AC19" s="1">
        <f>AB19/VLOOKUP(A19,'[30]geoMap (27)'!$A:$B,2,0)*VLOOKUP(A19,'[30]geoMap (27)'!$A:$C,3,0)</f>
        <v>7.0765939795863266</v>
      </c>
      <c r="AD19" s="1">
        <f>AC19/VLOOKUP(A19,'[31]geoMap (28)'!$A:$B,2,0)*VLOOKUP(A19,'[31]geoMap (28)'!$A:$C,3,0)</f>
        <v>4.5243797574404381</v>
      </c>
      <c r="AE19" s="1">
        <f>AD19/VLOOKUP(A19,'[32]geoMap (29)'!$A:$B,2,0)*VLOOKUP(A19,'[32]geoMap (29)'!$A:$C,3,0)</f>
        <v>5.3112284109083401</v>
      </c>
      <c r="AF19" s="1">
        <f>AE19/VLOOKUP(A19,'[33]geoMap (30)'!$A:$B,2,0)*VLOOKUP(A19,'[33]geoMap (30)'!$A:$C,3,0)</f>
        <v>2.3862040686689645</v>
      </c>
      <c r="AG19" s="1">
        <f>AF19/VLOOKUP(A19,'[34]geoMap (31)'!$A:$B,2,0)*VLOOKUP(A19,'[34]geoMap (31)'!$A:$C,3,0)</f>
        <v>2.6908258646692578</v>
      </c>
      <c r="AH19" s="1">
        <f>AG19/VLOOKUP(A19,'[35]geoMap (32)'!$A:$B,2,0)*VLOOKUP(A19,'[35]geoMap (32)'!$A:$C,3,0)</f>
        <v>7.6585043840586566</v>
      </c>
      <c r="AI19" s="1">
        <f>AH19/VLOOKUP(A19,'[36]geoMap (33)'!$A:$B,2,0)*VLOOKUP(A19,'[36]geoMap (33)'!$A:$C,3,0)</f>
        <v>3.9452901372423383</v>
      </c>
      <c r="AJ19" s="1">
        <f>AI19/VLOOKUP(A19,'[37]geoMap (34)'!$A:$B,2,0)*VLOOKUP(A19,'[37]geoMap (34)'!$A:$C,3,0)</f>
        <v>3.0998708221189797</v>
      </c>
      <c r="AK19" s="1">
        <f>AJ19/VLOOKUP(A19,'[38]geoMap (35)'!$A:$B,2,0)*VLOOKUP(A19,'[38]geoMap (35)'!$A:$C,3,0)</f>
        <v>2.3384990412476516</v>
      </c>
      <c r="AL19" s="1">
        <f>AK19/VLOOKUP(A19,'[39]geoMap (36)'!$A:$B,2,0)*VLOOKUP(A19,'[39]geoMap (36)'!$A:$C,3,0)</f>
        <v>1.1004701370577183</v>
      </c>
      <c r="AM19" s="1">
        <f>AL19/VLOOKUP(A19,'[40]geoMap (37)'!$A:$B,2,0)*VLOOKUP(A19,'[40]geoMap (37)'!$A:$C,3,0)</f>
        <v>2.1362067366414532</v>
      </c>
      <c r="AN19" s="1">
        <f>AM19/VLOOKUP(A19,'[41]geoMap (38)'!$A:$B,2,0)*VLOOKUP(A19,'[41]geoMap (38)'!$A:$C,3,0)</f>
        <v>3.0740535966303839</v>
      </c>
      <c r="AO19" s="1">
        <f>AN19/VLOOKUP(A19,'[42]geoMap (39)'!$A:$B,2,0)*VLOOKUP(A19,'[42]geoMap (39)'!$A:$C,3,0)</f>
        <v>1.5140860998328758</v>
      </c>
      <c r="AP19" s="1">
        <f>AO19/VLOOKUP(A19,'[43]geoMap (40)'!$A:$B,2,0)*VLOOKUP(A19,'[43]geoMap (40)'!$A:$C,3,0)</f>
        <v>1.3426801262668897</v>
      </c>
      <c r="AQ19" s="1">
        <f>AP19/VLOOKUP(A19,'[44]geoMap (41)'!$A:$B,2,0)*VLOOKUP(A19,'[44]geoMap (41)'!$A:$C,3,0)</f>
        <v>0.66132006219115469</v>
      </c>
      <c r="AR19" s="1">
        <f>AQ19/VLOOKUP(A19,'[45]geoMap (42)'!$A:$B,2,0)*VLOOKUP(A19,'[45]geoMap (42)'!$A:$C,3,0)</f>
        <v>0.95165569925068594</v>
      </c>
      <c r="AS19" s="1">
        <f>AR19/VLOOKUP(A19,'[46]geoMap (43)'!$A:$B,2,0)*VLOOKUP(A19,'[46]geoMap (43)'!$A:$C,3,0)</f>
        <v>1.932149449993817</v>
      </c>
      <c r="AT19" s="1">
        <f>AS19/VLOOKUP(A19,'[47]geoMap (44)'!$A:$B,2,0)*VLOOKUP(A19,'[47]geoMap (44)'!$A:$C,3,0)</f>
        <v>0.19109170384554233</v>
      </c>
      <c r="AU19" s="1">
        <f>AT19/VLOOKUP(A19,'[48]geoMap (45)'!$A:$B,2,0)*VLOOKUP(A19,'[48]geoMap (45)'!$A:$C,3,0)</f>
        <v>0.76436681538216933</v>
      </c>
      <c r="AV19" s="1">
        <f>AU19/VLOOKUP(A19,'[49]geoMap (46)'!$A:$B,2,0)*VLOOKUP(A19,'[49]geoMap (46)'!$A:$C,3,0)</f>
        <v>0.31220616402933676</v>
      </c>
      <c r="AW19" s="1">
        <f>AV19/VLOOKUP(A19,'[50]geoMap (47)'!$A:$B,2,0)*VLOOKUP(A19,'[50]geoMap (47)'!$A:$C,3,0)</f>
        <v>0.10969405763192913</v>
      </c>
      <c r="AX19" s="4">
        <f>AW19/VLOOKUP(A19,'[51]geoMap (48)'!$A:$B,2,0)*VLOOKUP(A19,'[51]geoMap (48)'!$A:$C,3,0)</f>
        <v>0.12877128504617769</v>
      </c>
      <c r="AY19" s="1">
        <f>AX19/VLOOKUP(A19,'[52]geoMap (49)'!$A:$B,2,0)*VLOOKUP(A19,'[52]geoMap (49)'!$A:$C,3,0)</f>
        <v>0.67604924649243281</v>
      </c>
      <c r="AZ19" s="4">
        <f>AY19/VLOOKUP(A19,'[53]geoMap (50)'!$A:$B,2,0)*VLOOKUP(A19,'[53]geoMap (50)'!$A:$C,3,0)</f>
        <v>0.22534974883081094</v>
      </c>
      <c r="BA19" s="1">
        <f>AZ19/VLOOKUP(A19,'[54]geoMap (51)'!$A:$B,2,0)*VLOOKUP(A19,'[54]geoMap (51)'!$A:$C,3,0)</f>
        <v>0.21651250377862225</v>
      </c>
      <c r="BB19" s="4">
        <f>BA19/VLOOKUP(A19,'[55]geoMap (52)'!$A:$B,2,0)*VLOOKUP(A19,'[55]geoMap (52)'!$A:$C,3,0)</f>
        <v>0.20802181735593117</v>
      </c>
      <c r="BC19" s="1">
        <f>BB19/VLOOKUP(A19,'[56]geoMap (53)'!$A:$B,2,0)*VLOOKUP(A19,'[56]geoMap (53)'!$A:$C,3,0)</f>
        <v>0.13299755535871011</v>
      </c>
      <c r="BD19" s="4">
        <f>BC19/VLOOKUP(A19,'[57]geoMap (54)'!$A:$B,2,0)*VLOOKUP(A19,'[57]geoMap (54)'!$A:$C,3,0)</f>
        <v>0.11329421382408637</v>
      </c>
      <c r="BE19" s="1">
        <f>BD19/VLOOKUP(A19,'[58]geoMap (55)'!$A:$B,2,0)*VLOOKUP(A19,'[58]geoMap (55)'!$A:$C,3,0)</f>
        <v>0.24075020437618355</v>
      </c>
      <c r="BF19" s="4" t="e">
        <f>BE19/VLOOKUP(A19,'[59]geoMap (56)'!$A:$B,2,0)*VLOOKUP(A19,'[59]geoMap (56)'!$A:$C,3,0)</f>
        <v>#REF!</v>
      </c>
      <c r="BG19" s="1" t="e">
        <f>BF19/VLOOKUP(A19,'[60]geoMap (57)'!$A:$B,2,0)*VLOOKUP(A19,'[60]geoMap (57)'!$A:$C,3,0)</f>
        <v>#REF!</v>
      </c>
      <c r="BH19" s="4" t="e">
        <f>BG19/VLOOKUP(A19,'[61]geoMap (58)'!$A:$B,2,0)*VLOOKUP(A19,'[61]geoMap (58)'!$A:$C,3,0)</f>
        <v>#REF!</v>
      </c>
      <c r="BI19" s="1" t="e">
        <f>BH19/VLOOKUP(A19,'[62]geoMap (59)'!$A:$B,2,0)*VLOOKUP(A19,'[62]geoMap (59)'!$A:$C,3,0)</f>
        <v>#REF!</v>
      </c>
      <c r="BJ19" s="4" t="e">
        <f>BI19/VLOOKUP(A19,'[63]geoMap (60)'!$A:$B,2,0)*VLOOKUP(A19,'[63]geoMap (60)'!$A:$C,3,0)</f>
        <v>#REF!</v>
      </c>
      <c r="BK19" s="1" t="e">
        <f>BJ19/VLOOKUP(A19,'[64]geoMap (61)'!$A:$B,2,0)*VLOOKUP(A19,'[64]geoMap (61)'!$A:$C,3,0)</f>
        <v>#REF!</v>
      </c>
      <c r="BL19" s="4" t="e">
        <f>BK19/VLOOKUP(A19,'[65]geoMap (62)'!$A:$B,2,0)*VLOOKUP(A19,'[65]geoMap (62)'!$A:$C,3,0)</f>
        <v>#REF!</v>
      </c>
      <c r="BM19" s="1" t="e">
        <f>BL19/VLOOKUP(A19,'[66]geoMap (63)'!$A:$B,2,0)*VLOOKUP(A19,'[66]geoMap (63)'!$A:$C,3,0)</f>
        <v>#REF!</v>
      </c>
      <c r="BN19" s="4" t="e">
        <f>BM19/VLOOKUP(A19,'[67]geoMap (64)'!$A:$B,2,0)*VLOOKUP(A19,'[67]geoMap (64)'!$A:$C,3,0)</f>
        <v>#REF!</v>
      </c>
      <c r="BO19" s="1" t="e">
        <f>BN19/VLOOKUP(A19,'[68]geoMap (65)'!$A:$B,2,0)*VLOOKUP(A19,'[68]geoMap (65)'!$A:$C,3,0)</f>
        <v>#REF!</v>
      </c>
      <c r="BP19" s="4" t="e">
        <f>BO19/VLOOKUP(A19,'[69]geoMap (66)'!$A:$B,2,0)*VLOOKUP(A19,'[69]geoMap (66)'!$A:$C,3,0)</f>
        <v>#REF!</v>
      </c>
    </row>
    <row r="20" spans="1:68" x14ac:dyDescent="0.2">
      <c r="A20" s="1" t="s">
        <v>61</v>
      </c>
      <c r="B20" s="1">
        <f>VLOOKUP(A20,[3]geoMap!$A:$B,2,0)*Notes!$C$6</f>
        <v>7000</v>
      </c>
      <c r="C20" s="1">
        <f>B20/VLOOKUP(A20,'[4]geoMap (1)'!$A:$B,2,0)*VLOOKUP(A20,'[4]geoMap (1)'!$A:$C,3,0)</f>
        <v>3937.5</v>
      </c>
      <c r="D20" s="1">
        <f>C20/VLOOKUP(A20,'[5]geoMap (2)'!$A:$B,2,0)*VLOOKUP(A20,'[5]geoMap (2)'!$A:$C,3,0)</f>
        <v>7994.318181818182</v>
      </c>
      <c r="E20" s="1">
        <f>D20/VLOOKUP(A20,'[6]geoMap (3)'!$A:$B,2,0)*VLOOKUP(A20,'[6]geoMap (3)'!$A:$C,3,0)</f>
        <v>3937.5000000000005</v>
      </c>
      <c r="F20" s="1">
        <f>E20/VLOOKUP(A20,'[7]geoMap (4)'!$A:$B,2,0)*VLOOKUP(A20,'[7]geoMap (4)'!$A:$C,3,0)</f>
        <v>2970.3947368421059</v>
      </c>
      <c r="G20" s="1">
        <f>F20/VLOOKUP(A20,'[8]geoMap (5)'!$A:$B,2,0)*VLOOKUP(A20,'[8]geoMap (5)'!$A:$C,3,0)</f>
        <v>3217.9276315789484</v>
      </c>
      <c r="H20" s="1">
        <f>G20/VLOOKUP(A20,'[9]geoMap (6)'!$A:$B,2,0)*VLOOKUP(A20,'[9]geoMap (6)'!$A:$C,3,0)</f>
        <v>1972.2782258064524</v>
      </c>
      <c r="I20" s="1">
        <f>H20/VLOOKUP(A20,'[10]geoMap (7)'!$A:$B,2,0)*VLOOKUP(A20,'[10]geoMap (7)'!$A:$C,3,0)</f>
        <v>2315.2831346423568</v>
      </c>
      <c r="J20" s="1">
        <f>I20/VLOOKUP(A20,'[11]geoMap (8)'!$A:$B,2,0)*VLOOKUP(A20,'[11]geoMap (8)'!$A:$C,3,0)</f>
        <v>813.47785811758479</v>
      </c>
      <c r="K20" s="1">
        <f>J20/VLOOKUP(A20,'[12]geoMap (9)'!$A:$B,2,0)*VLOOKUP(A20,'[12]geoMap (9)'!$A:$C,3,0)</f>
        <v>846.68103599993526</v>
      </c>
      <c r="L20" s="1">
        <f>K20/VLOOKUP(A20,'[13]geoMap (10)'!$A:$B,2,0)*VLOOKUP(A20,'[13]geoMap (10)'!$A:$C,3,0)</f>
        <v>380.39292921736228</v>
      </c>
      <c r="M20" s="1">
        <f>L20/VLOOKUP(A20,'[14]geoMap (11)'!$A:$B,2,0)*VLOOKUP(A20,'[14]geoMap (11)'!$A:$C,3,0)</f>
        <v>594.97355595536146</v>
      </c>
      <c r="N20" s="1">
        <f>M20/VLOOKUP(A20,'[15]geoMap (12)'!$A:$B,2,0)*VLOOKUP(A20,'[15]geoMap (12)'!$A:$C,3,0)</f>
        <v>506.82932544345601</v>
      </c>
      <c r="O20" s="1">
        <f>N20/VLOOKUP(A20,'[16]geoMap (13)'!$A:$B,2,0)*VLOOKUP(A20,'[16]geoMap (13)'!$A:$C,3,0)</f>
        <v>249.63235432289622</v>
      </c>
      <c r="P20" s="1" t="e">
        <f>O20/VLOOKUP(A20,'[17]geoMap (14)'!$A:$B,2,0)*VLOOKUP(A20,'[17]geoMap (14)'!$A:$C,3,0)</f>
        <v>#REF!</v>
      </c>
      <c r="Q20" s="1" t="e">
        <f>P20/VLOOKUP(A20,'[18]geoMap (15)'!$A:$B,2,0)*VLOOKUP(A20,'[18]geoMap (15)'!$A:$C,3,0)</f>
        <v>#REF!</v>
      </c>
      <c r="R20" s="1" t="e">
        <f>Q20/VLOOKUP(A20,'[19]geoMap (16)'!$A:$B,2,0)*VLOOKUP(A20,'[19]geoMap (16)'!$A:$C,3,0)</f>
        <v>#REF!</v>
      </c>
      <c r="S20" s="1" t="e">
        <f>R20/VLOOKUP(A20,'[20]geoMap (17)'!$A:$B,2,0)*VLOOKUP(A20,'[20]geoMap (17)'!$A:$C,3,0)</f>
        <v>#REF!</v>
      </c>
      <c r="T20" s="1" t="e">
        <f>S20/VLOOKUP(A20,'[21]geoMap (18)'!$A:$B,2,0)*VLOOKUP(A20,'[21]geoMap (18)'!$A:$C,3,0)</f>
        <v>#REF!</v>
      </c>
      <c r="U20" s="1" t="e">
        <f>T20/VLOOKUP(A20,'[22]geoMap (19)'!$A:$B,2,0)*VLOOKUP(A20,'[22]geoMap (19)'!$A:$C,3,0)</f>
        <v>#REF!</v>
      </c>
      <c r="V20" s="1" t="e">
        <f>U20/VLOOKUP(A20,'[23]geoMap (20)'!$A:$B,2,0)*VLOOKUP(A20,'[23]geoMap (20)'!$A:$C,3,0)</f>
        <v>#REF!</v>
      </c>
      <c r="W20" s="1" t="e">
        <f>V20/VLOOKUP(A20,'[24]geoMap (21)'!$A:$B,2,0)*VLOOKUP(A20,'[24]geoMap (21)'!$A:$C,3,0)</f>
        <v>#REF!</v>
      </c>
      <c r="X20" s="1" t="e">
        <f>W20/VLOOKUP(A20,'[25]geoMap (22)'!$A:$B,2,0)*VLOOKUP(A20,'[25]geoMap (22)'!$A:$C,3,0)</f>
        <v>#REF!</v>
      </c>
      <c r="Y20" s="1" t="e">
        <f>X20/VLOOKUP(A20,'[26]geoMap (23)'!$A:$B,2,0)*VLOOKUP(A20,'[26]geoMap (23)'!$A:$C,3,0)</f>
        <v>#REF!</v>
      </c>
      <c r="Z20" s="1" t="e">
        <f>Y20/VLOOKUP(A20,'[27]geoMap (24)'!$A:$B,2,0)*VLOOKUP(A20,'[27]geoMap (24)'!$A:$C,3,0)</f>
        <v>#REF!</v>
      </c>
      <c r="AA20" s="1" t="e">
        <f>Z20/VLOOKUP(A20,'[28]geoMap (25)'!$A:$B,2,0)*VLOOKUP(A20,'[28]geoMap (25)'!$A:$C,3,0)</f>
        <v>#REF!</v>
      </c>
      <c r="AB20" s="1" t="e">
        <f>AA20*VLOOKUP(A20,'[29]geoMap (26)'!$A:$B,2,0)*VLOOKUP(A20,'[29]geoMap (26)'!$A:$C,3,0)</f>
        <v>#REF!</v>
      </c>
      <c r="AC20" s="1" t="e">
        <f>AB20/VLOOKUP(A20,'[30]geoMap (27)'!$A:$B,2,0)*VLOOKUP(A20,'[30]geoMap (27)'!$A:$C,3,0)</f>
        <v>#REF!</v>
      </c>
      <c r="AD20" s="1" t="e">
        <f>AC20/VLOOKUP(A20,'[31]geoMap (28)'!$A:$B,2,0)*VLOOKUP(A20,'[31]geoMap (28)'!$A:$C,3,0)</f>
        <v>#REF!</v>
      </c>
      <c r="AE20" s="1" t="e">
        <f>AD20/VLOOKUP(A20,'[32]geoMap (29)'!$A:$B,2,0)*VLOOKUP(A20,'[32]geoMap (29)'!$A:$C,3,0)</f>
        <v>#REF!</v>
      </c>
      <c r="AF20" s="1" t="e">
        <f>AE20/VLOOKUP(A20,'[33]geoMap (30)'!$A:$B,2,0)*VLOOKUP(A20,'[33]geoMap (30)'!$A:$C,3,0)</f>
        <v>#REF!</v>
      </c>
      <c r="AG20" s="1" t="e">
        <f>AF20/VLOOKUP(A20,'[34]geoMap (31)'!$A:$B,2,0)*VLOOKUP(A20,'[34]geoMap (31)'!$A:$C,3,0)</f>
        <v>#REF!</v>
      </c>
      <c r="AH20" s="1" t="e">
        <f>AG20/VLOOKUP(A20,'[35]geoMap (32)'!$A:$B,2,0)*VLOOKUP(A20,'[35]geoMap (32)'!$A:$C,3,0)</f>
        <v>#REF!</v>
      </c>
      <c r="AI20" s="1" t="e">
        <f>AH20/VLOOKUP(A20,'[36]geoMap (33)'!$A:$B,2,0)*VLOOKUP(A20,'[36]geoMap (33)'!$A:$C,3,0)</f>
        <v>#REF!</v>
      </c>
      <c r="AJ20" s="1" t="e">
        <f>AI20/VLOOKUP(A20,'[37]geoMap (34)'!$A:$B,2,0)*VLOOKUP(A20,'[37]geoMap (34)'!$A:$C,3,0)</f>
        <v>#REF!</v>
      </c>
      <c r="AK20" s="1" t="e">
        <f>AJ20/VLOOKUP(A20,'[38]geoMap (35)'!$A:$B,2,0)*VLOOKUP(A20,'[38]geoMap (35)'!$A:$C,3,0)</f>
        <v>#REF!</v>
      </c>
      <c r="AL20" s="1" t="e">
        <f>AK20/VLOOKUP(A20,'[39]geoMap (36)'!$A:$B,2,0)*VLOOKUP(A20,'[39]geoMap (36)'!$A:$C,3,0)</f>
        <v>#REF!</v>
      </c>
      <c r="AM20" s="1" t="e">
        <f>AL20/VLOOKUP(A20,'[40]geoMap (37)'!$A:$B,2,0)*VLOOKUP(A20,'[40]geoMap (37)'!$A:$C,3,0)</f>
        <v>#REF!</v>
      </c>
      <c r="AN20" s="1" t="e">
        <f>AM20/VLOOKUP(A20,'[41]geoMap (38)'!$A:$B,2,0)*VLOOKUP(A20,'[41]geoMap (38)'!$A:$C,3,0)</f>
        <v>#REF!</v>
      </c>
      <c r="AO20" s="1" t="e">
        <f>AN20/VLOOKUP(A20,'[42]geoMap (39)'!$A:$B,2,0)*VLOOKUP(A20,'[42]geoMap (39)'!$A:$C,3,0)</f>
        <v>#REF!</v>
      </c>
      <c r="AP20" s="1" t="e">
        <f>AO20/VLOOKUP(A20,'[43]geoMap (40)'!$A:$B,2,0)*VLOOKUP(A20,'[43]geoMap (40)'!$A:$C,3,0)</f>
        <v>#REF!</v>
      </c>
      <c r="AQ20" s="1" t="e">
        <f>AP20/VLOOKUP(A20,'[44]geoMap (41)'!$A:$B,2,0)*VLOOKUP(A20,'[44]geoMap (41)'!$A:$C,3,0)</f>
        <v>#REF!</v>
      </c>
      <c r="AR20" s="1" t="e">
        <f>AQ20/VLOOKUP(A20,'[45]geoMap (42)'!$A:$B,2,0)*VLOOKUP(A20,'[45]geoMap (42)'!$A:$C,3,0)</f>
        <v>#REF!</v>
      </c>
      <c r="AS20" s="1" t="e">
        <f>AR20/VLOOKUP(A20,'[46]geoMap (43)'!$A:$B,2,0)*VLOOKUP(A20,'[46]geoMap (43)'!$A:$C,3,0)</f>
        <v>#REF!</v>
      </c>
      <c r="AT20" s="1" t="e">
        <f>AS20/VLOOKUP(A20,'[47]geoMap (44)'!$A:$B,2,0)*VLOOKUP(A20,'[47]geoMap (44)'!$A:$C,3,0)</f>
        <v>#REF!</v>
      </c>
      <c r="AU20" s="1" t="e">
        <f>AT20/VLOOKUP(A20,'[48]geoMap (45)'!$A:$B,2,0)*VLOOKUP(A20,'[48]geoMap (45)'!$A:$C,3,0)</f>
        <v>#REF!</v>
      </c>
      <c r="AV20" s="1" t="e">
        <f>AU20/VLOOKUP(A20,'[49]geoMap (46)'!$A:$B,2,0)*VLOOKUP(A20,'[49]geoMap (46)'!$A:$C,3,0)</f>
        <v>#REF!</v>
      </c>
      <c r="AW20" s="1" t="e">
        <f>AV20/VLOOKUP(A20,'[50]geoMap (47)'!$A:$B,2,0)*VLOOKUP(A20,'[50]geoMap (47)'!$A:$C,3,0)</f>
        <v>#REF!</v>
      </c>
      <c r="AX20" s="4" t="e">
        <f>AW20/VLOOKUP(A20,'[51]geoMap (48)'!$A:$B,2,0)*VLOOKUP(A20,'[51]geoMap (48)'!$A:$C,3,0)</f>
        <v>#REF!</v>
      </c>
      <c r="AY20" s="1" t="e">
        <f>AX20/VLOOKUP(A20,'[52]geoMap (49)'!$A:$B,2,0)*VLOOKUP(A20,'[52]geoMap (49)'!$A:$C,3,0)</f>
        <v>#REF!</v>
      </c>
      <c r="AZ20" s="4" t="e">
        <f>AY20/VLOOKUP(A20,'[53]geoMap (50)'!$A:$B,2,0)*VLOOKUP(A20,'[53]geoMap (50)'!$A:$C,3,0)</f>
        <v>#REF!</v>
      </c>
      <c r="BA20" s="1" t="e">
        <f>AZ20/VLOOKUP(A20,'[54]geoMap (51)'!$A:$B,2,0)*VLOOKUP(A20,'[54]geoMap (51)'!$A:$C,3,0)</f>
        <v>#REF!</v>
      </c>
      <c r="BB20" s="4" t="e">
        <f>BA20/VLOOKUP(A20,'[55]geoMap (52)'!$A:$B,2,0)*VLOOKUP(A20,'[55]geoMap (52)'!$A:$C,3,0)</f>
        <v>#REF!</v>
      </c>
      <c r="BC20" s="1" t="e">
        <f>BB20/VLOOKUP(A20,'[56]geoMap (53)'!$A:$B,2,0)*VLOOKUP(A20,'[56]geoMap (53)'!$A:$C,3,0)</f>
        <v>#REF!</v>
      </c>
      <c r="BD20" s="4" t="e">
        <f>BC20/VLOOKUP(A20,'[57]geoMap (54)'!$A:$B,2,0)*VLOOKUP(A20,'[57]geoMap (54)'!$A:$C,3,0)</f>
        <v>#REF!</v>
      </c>
      <c r="BE20" s="1" t="e">
        <f>BD20/VLOOKUP(A20,'[58]geoMap (55)'!$A:$B,2,0)*VLOOKUP(A20,'[58]geoMap (55)'!$A:$C,3,0)</f>
        <v>#REF!</v>
      </c>
      <c r="BF20" s="4" t="e">
        <f>BE20/VLOOKUP(A20,'[59]geoMap (56)'!$A:$B,2,0)*VLOOKUP(A20,'[59]geoMap (56)'!$A:$C,3,0)</f>
        <v>#REF!</v>
      </c>
      <c r="BG20" s="1" t="e">
        <f>BF20/VLOOKUP(A20,'[60]geoMap (57)'!$A:$B,2,0)*VLOOKUP(A20,'[60]geoMap (57)'!$A:$C,3,0)</f>
        <v>#REF!</v>
      </c>
      <c r="BH20" s="4" t="e">
        <f>BG20/VLOOKUP(A20,'[61]geoMap (58)'!$A:$B,2,0)*VLOOKUP(A20,'[61]geoMap (58)'!$A:$C,3,0)</f>
        <v>#REF!</v>
      </c>
      <c r="BI20" s="1" t="e">
        <f>BH20/VLOOKUP(A20,'[62]geoMap (59)'!$A:$B,2,0)*VLOOKUP(A20,'[62]geoMap (59)'!$A:$C,3,0)</f>
        <v>#REF!</v>
      </c>
      <c r="BJ20" s="4" t="e">
        <f>BI20/VLOOKUP(A20,'[63]geoMap (60)'!$A:$B,2,0)*VLOOKUP(A20,'[63]geoMap (60)'!$A:$C,3,0)</f>
        <v>#REF!</v>
      </c>
      <c r="BK20" s="1" t="e">
        <f>BJ20/VLOOKUP(A20,'[64]geoMap (61)'!$A:$B,2,0)*VLOOKUP(A20,'[64]geoMap (61)'!$A:$C,3,0)</f>
        <v>#REF!</v>
      </c>
      <c r="BL20" s="4" t="e">
        <f>BK20/VLOOKUP(A20,'[65]geoMap (62)'!$A:$B,2,0)*VLOOKUP(A20,'[65]geoMap (62)'!$A:$C,3,0)</f>
        <v>#REF!</v>
      </c>
      <c r="BM20" s="1" t="e">
        <f>BL20/VLOOKUP(A20,'[66]geoMap (63)'!$A:$B,2,0)*VLOOKUP(A20,'[66]geoMap (63)'!$A:$C,3,0)</f>
        <v>#REF!</v>
      </c>
      <c r="BN20" s="4" t="e">
        <f>BM20/VLOOKUP(A20,'[67]geoMap (64)'!$A:$B,2,0)*VLOOKUP(A20,'[67]geoMap (64)'!$A:$C,3,0)</f>
        <v>#REF!</v>
      </c>
      <c r="BO20" s="1" t="e">
        <f>BN20/VLOOKUP(A20,'[68]geoMap (65)'!$A:$B,2,0)*VLOOKUP(A20,'[68]geoMap (65)'!$A:$C,3,0)</f>
        <v>#REF!</v>
      </c>
      <c r="BP20" s="4" t="e">
        <f>BO20/VLOOKUP(A20,'[69]geoMap (66)'!$A:$B,2,0)*VLOOKUP(A20,'[69]geoMap (66)'!$A:$C,3,0)</f>
        <v>#REF!</v>
      </c>
    </row>
    <row r="21" spans="1:68" x14ac:dyDescent="0.2">
      <c r="A21" s="1" t="s">
        <v>57</v>
      </c>
      <c r="B21" s="1">
        <f>VLOOKUP(A21,[3]geoMap!$A:$B,2,0)*Notes!$C$6</f>
        <v>7000</v>
      </c>
      <c r="C21" s="1">
        <f>B21/VLOOKUP(A21,'[4]geoMap (1)'!$A:$B,2,0)*VLOOKUP(A21,'[4]geoMap (1)'!$A:$C,3,0)</f>
        <v>2090.909090909091</v>
      </c>
      <c r="D21" s="1">
        <f>C21/VLOOKUP(A21,'[5]geoMap (2)'!$A:$B,2,0)*VLOOKUP(A21,'[5]geoMap (2)'!$A:$C,3,0)</f>
        <v>2265.151515151515</v>
      </c>
      <c r="E21" s="1">
        <f>D21/VLOOKUP(A21,'[6]geoMap (3)'!$A:$B,2,0)*VLOOKUP(A21,'[6]geoMap (3)'!$A:$C,3,0)</f>
        <v>3542.9292929292924</v>
      </c>
      <c r="F21" s="1">
        <f>E21/VLOOKUP(A21,'[7]geoMap (4)'!$A:$B,2,0)*VLOOKUP(A21,'[7]geoMap (4)'!$A:$C,3,0)</f>
        <v>3542.9292929292924</v>
      </c>
      <c r="G21" s="1">
        <f>F21/VLOOKUP(A21,'[8]geoMap (5)'!$A:$B,2,0)*VLOOKUP(A21,'[8]geoMap (5)'!$A:$C,3,0)</f>
        <v>1244.8129948129947</v>
      </c>
      <c r="H21" s="1">
        <f>G21/VLOOKUP(A21,'[9]geoMap (6)'!$A:$B,2,0)*VLOOKUP(A21,'[9]geoMap (6)'!$A:$C,3,0)</f>
        <v>1867.2194922194919</v>
      </c>
      <c r="I21" s="1">
        <f>H21/VLOOKUP(A21,'[10]geoMap (7)'!$A:$B,2,0)*VLOOKUP(A21,'[10]geoMap (7)'!$A:$C,3,0)</f>
        <v>496.34948527353583</v>
      </c>
      <c r="J21" s="1">
        <f>I21/VLOOKUP(A21,'[11]geoMap (8)'!$A:$B,2,0)*VLOOKUP(A21,'[11]geoMap (8)'!$A:$C,3,0)</f>
        <v>631.71752671177296</v>
      </c>
      <c r="K21" s="1">
        <f>J21/VLOOKUP(A21,'[12]geoMap (9)'!$A:$B,2,0)*VLOOKUP(A21,'[12]geoMap (9)'!$A:$C,3,0)</f>
        <v>1173.1896924647212</v>
      </c>
      <c r="L21" s="1">
        <f>K21/VLOOKUP(A21,'[13]geoMap (10)'!$A:$B,2,0)*VLOOKUP(A21,'[13]geoMap (10)'!$A:$C,3,0)</f>
        <v>412.20178383895615</v>
      </c>
      <c r="M21" s="1" t="e">
        <f>L21/VLOOKUP(A21,'[14]geoMap (11)'!$A:$B,2,0)*VLOOKUP(A21,'[14]geoMap (11)'!$A:$C,3,0)</f>
        <v>#REF!</v>
      </c>
      <c r="N21" s="1" t="e">
        <f>M21/VLOOKUP(A21,'[15]geoMap (12)'!$A:$B,2,0)*VLOOKUP(A21,'[15]geoMap (12)'!$A:$C,3,0)</f>
        <v>#REF!</v>
      </c>
      <c r="O21" s="1" t="e">
        <f>N21/VLOOKUP(A21,'[16]geoMap (13)'!$A:$B,2,0)*VLOOKUP(A21,'[16]geoMap (13)'!$A:$C,3,0)</f>
        <v>#REF!</v>
      </c>
      <c r="P21" s="1" t="e">
        <f>O21/VLOOKUP(A21,'[17]geoMap (14)'!$A:$B,2,0)*VLOOKUP(A21,'[17]geoMap (14)'!$A:$C,3,0)</f>
        <v>#REF!</v>
      </c>
      <c r="Q21" s="1" t="e">
        <f>P21/VLOOKUP(A21,'[18]geoMap (15)'!$A:$B,2,0)*VLOOKUP(A21,'[18]geoMap (15)'!$A:$C,3,0)</f>
        <v>#REF!</v>
      </c>
      <c r="R21" s="1" t="e">
        <f>Q21/VLOOKUP(A21,'[19]geoMap (16)'!$A:$B,2,0)*VLOOKUP(A21,'[19]geoMap (16)'!$A:$C,3,0)</f>
        <v>#REF!</v>
      </c>
      <c r="S21" s="1" t="e">
        <f>R21/VLOOKUP(A21,'[20]geoMap (17)'!$A:$B,2,0)*VLOOKUP(A21,'[20]geoMap (17)'!$A:$C,3,0)</f>
        <v>#REF!</v>
      </c>
      <c r="T21" s="1" t="e">
        <f>S21/VLOOKUP(A21,'[21]geoMap (18)'!$A:$B,2,0)*VLOOKUP(A21,'[21]geoMap (18)'!$A:$C,3,0)</f>
        <v>#REF!</v>
      </c>
      <c r="U21" s="1" t="e">
        <f>T21/VLOOKUP(A21,'[22]geoMap (19)'!$A:$B,2,0)*VLOOKUP(A21,'[22]geoMap (19)'!$A:$C,3,0)</f>
        <v>#REF!</v>
      </c>
      <c r="V21" s="1" t="e">
        <f>U21/VLOOKUP(A21,'[23]geoMap (20)'!$A:$B,2,0)*VLOOKUP(A21,'[23]geoMap (20)'!$A:$C,3,0)</f>
        <v>#REF!</v>
      </c>
      <c r="W21" s="1" t="e">
        <f>V21/VLOOKUP(A21,'[24]geoMap (21)'!$A:$B,2,0)*VLOOKUP(A21,'[24]geoMap (21)'!$A:$C,3,0)</f>
        <v>#REF!</v>
      </c>
      <c r="X21" s="1" t="e">
        <f>W21/VLOOKUP(A21,'[25]geoMap (22)'!$A:$B,2,0)*VLOOKUP(A21,'[25]geoMap (22)'!$A:$C,3,0)</f>
        <v>#REF!</v>
      </c>
      <c r="Y21" s="1" t="e">
        <f>X21/VLOOKUP(A21,'[26]geoMap (23)'!$A:$B,2,0)*VLOOKUP(A21,'[26]geoMap (23)'!$A:$C,3,0)</f>
        <v>#REF!</v>
      </c>
      <c r="Z21" s="1" t="e">
        <f>Y21/VLOOKUP(A21,'[27]geoMap (24)'!$A:$B,2,0)*VLOOKUP(A21,'[27]geoMap (24)'!$A:$C,3,0)</f>
        <v>#REF!</v>
      </c>
      <c r="AA21" s="1" t="e">
        <f>Z21/VLOOKUP(A21,'[28]geoMap (25)'!$A:$B,2,0)*VLOOKUP(A21,'[28]geoMap (25)'!$A:$C,3,0)</f>
        <v>#REF!</v>
      </c>
      <c r="AB21" s="1" t="e">
        <f>AA21*VLOOKUP(A21,'[29]geoMap (26)'!$A:$B,2,0)*VLOOKUP(A21,'[29]geoMap (26)'!$A:$C,3,0)</f>
        <v>#REF!</v>
      </c>
      <c r="AC21" s="1" t="e">
        <f>AB21/VLOOKUP(A21,'[30]geoMap (27)'!$A:$B,2,0)*VLOOKUP(A21,'[30]geoMap (27)'!$A:$C,3,0)</f>
        <v>#REF!</v>
      </c>
      <c r="AD21" s="1" t="e">
        <f>AC21/VLOOKUP(A21,'[31]geoMap (28)'!$A:$B,2,0)*VLOOKUP(A21,'[31]geoMap (28)'!$A:$C,3,0)</f>
        <v>#REF!</v>
      </c>
      <c r="AE21" s="1" t="e">
        <f>AD21/VLOOKUP(A21,'[32]geoMap (29)'!$A:$B,2,0)*VLOOKUP(A21,'[32]geoMap (29)'!$A:$C,3,0)</f>
        <v>#REF!</v>
      </c>
      <c r="AF21" s="1" t="e">
        <f>AE21/VLOOKUP(A21,'[33]geoMap (30)'!$A:$B,2,0)*VLOOKUP(A21,'[33]geoMap (30)'!$A:$C,3,0)</f>
        <v>#REF!</v>
      </c>
      <c r="AG21" s="1" t="e">
        <f>AF21/VLOOKUP(A21,'[34]geoMap (31)'!$A:$B,2,0)*VLOOKUP(A21,'[34]geoMap (31)'!$A:$C,3,0)</f>
        <v>#REF!</v>
      </c>
      <c r="AH21" s="1" t="e">
        <f>AG21/VLOOKUP(A21,'[35]geoMap (32)'!$A:$B,2,0)*VLOOKUP(A21,'[35]geoMap (32)'!$A:$C,3,0)</f>
        <v>#REF!</v>
      </c>
      <c r="AI21" s="1" t="e">
        <f>AH21/VLOOKUP(A21,'[36]geoMap (33)'!$A:$B,2,0)*VLOOKUP(A21,'[36]geoMap (33)'!$A:$C,3,0)</f>
        <v>#REF!</v>
      </c>
      <c r="AJ21" s="1" t="e">
        <f>AI21/VLOOKUP(A21,'[37]geoMap (34)'!$A:$B,2,0)*VLOOKUP(A21,'[37]geoMap (34)'!$A:$C,3,0)</f>
        <v>#REF!</v>
      </c>
      <c r="AK21" s="1" t="e">
        <f>AJ21/VLOOKUP(A21,'[38]geoMap (35)'!$A:$B,2,0)*VLOOKUP(A21,'[38]geoMap (35)'!$A:$C,3,0)</f>
        <v>#REF!</v>
      </c>
      <c r="AL21" s="1" t="e">
        <f>AK21/VLOOKUP(A21,'[39]geoMap (36)'!$A:$B,2,0)*VLOOKUP(A21,'[39]geoMap (36)'!$A:$C,3,0)</f>
        <v>#REF!</v>
      </c>
      <c r="AM21" s="1" t="e">
        <f>AL21/VLOOKUP(A21,'[40]geoMap (37)'!$A:$B,2,0)*VLOOKUP(A21,'[40]geoMap (37)'!$A:$C,3,0)</f>
        <v>#REF!</v>
      </c>
      <c r="AN21" s="1" t="e">
        <f>AM21/VLOOKUP(A21,'[41]geoMap (38)'!$A:$B,2,0)*VLOOKUP(A21,'[41]geoMap (38)'!$A:$C,3,0)</f>
        <v>#REF!</v>
      </c>
      <c r="AO21" s="1" t="e">
        <f>AN21/VLOOKUP(A21,'[42]geoMap (39)'!$A:$B,2,0)*VLOOKUP(A21,'[42]geoMap (39)'!$A:$C,3,0)</f>
        <v>#REF!</v>
      </c>
      <c r="AP21" s="1" t="e">
        <f>AO21/VLOOKUP(A21,'[43]geoMap (40)'!$A:$B,2,0)*VLOOKUP(A21,'[43]geoMap (40)'!$A:$C,3,0)</f>
        <v>#REF!</v>
      </c>
      <c r="AQ21" s="1" t="e">
        <f>AP21/VLOOKUP(A21,'[44]geoMap (41)'!$A:$B,2,0)*VLOOKUP(A21,'[44]geoMap (41)'!$A:$C,3,0)</f>
        <v>#REF!</v>
      </c>
      <c r="AR21" s="1" t="e">
        <f>AQ21/VLOOKUP(A21,'[45]geoMap (42)'!$A:$B,2,0)*VLOOKUP(A21,'[45]geoMap (42)'!$A:$C,3,0)</f>
        <v>#REF!</v>
      </c>
      <c r="AS21" s="1" t="e">
        <f>AR21/VLOOKUP(A21,'[46]geoMap (43)'!$A:$B,2,0)*VLOOKUP(A21,'[46]geoMap (43)'!$A:$C,3,0)</f>
        <v>#REF!</v>
      </c>
      <c r="AT21" s="1" t="e">
        <f>AS21/VLOOKUP(A21,'[47]geoMap (44)'!$A:$B,2,0)*VLOOKUP(A21,'[47]geoMap (44)'!$A:$C,3,0)</f>
        <v>#REF!</v>
      </c>
      <c r="AU21" s="1" t="e">
        <f>AT21/VLOOKUP(A21,'[48]geoMap (45)'!$A:$B,2,0)*VLOOKUP(A21,'[48]geoMap (45)'!$A:$C,3,0)</f>
        <v>#REF!</v>
      </c>
      <c r="AV21" s="1" t="e">
        <f>AU21/VLOOKUP(A21,'[49]geoMap (46)'!$A:$B,2,0)*VLOOKUP(A21,'[49]geoMap (46)'!$A:$C,3,0)</f>
        <v>#REF!</v>
      </c>
      <c r="AW21" s="1" t="e">
        <f>AV21/VLOOKUP(A21,'[50]geoMap (47)'!$A:$B,2,0)*VLOOKUP(A21,'[50]geoMap (47)'!$A:$C,3,0)</f>
        <v>#REF!</v>
      </c>
      <c r="AX21" s="4" t="e">
        <f>AW21/VLOOKUP(A21,'[51]geoMap (48)'!$A:$B,2,0)*VLOOKUP(A21,'[51]geoMap (48)'!$A:$C,3,0)</f>
        <v>#REF!</v>
      </c>
      <c r="AY21" s="1" t="e">
        <f>AX21/VLOOKUP(A21,'[52]geoMap (49)'!$A:$B,2,0)*VLOOKUP(A21,'[52]geoMap (49)'!$A:$C,3,0)</f>
        <v>#REF!</v>
      </c>
      <c r="AZ21" s="4" t="e">
        <f>AY21/VLOOKUP(A21,'[53]geoMap (50)'!$A:$B,2,0)*VLOOKUP(A21,'[53]geoMap (50)'!$A:$C,3,0)</f>
        <v>#REF!</v>
      </c>
      <c r="BA21" s="1" t="e">
        <f>AZ21/VLOOKUP(A21,'[54]geoMap (51)'!$A:$B,2,0)*VLOOKUP(A21,'[54]geoMap (51)'!$A:$C,3,0)</f>
        <v>#REF!</v>
      </c>
      <c r="BB21" s="4" t="e">
        <f>BA21/VLOOKUP(A21,'[55]geoMap (52)'!$A:$B,2,0)*VLOOKUP(A21,'[55]geoMap (52)'!$A:$C,3,0)</f>
        <v>#REF!</v>
      </c>
      <c r="BC21" s="1" t="e">
        <f>BB21/VLOOKUP(A21,'[56]geoMap (53)'!$A:$B,2,0)*VLOOKUP(A21,'[56]geoMap (53)'!$A:$C,3,0)</f>
        <v>#REF!</v>
      </c>
      <c r="BD21" s="4" t="e">
        <f>BC21/VLOOKUP(A21,'[57]geoMap (54)'!$A:$B,2,0)*VLOOKUP(A21,'[57]geoMap (54)'!$A:$C,3,0)</f>
        <v>#REF!</v>
      </c>
      <c r="BE21" s="1" t="e">
        <f>BD21/VLOOKUP(A21,'[58]geoMap (55)'!$A:$B,2,0)*VLOOKUP(A21,'[58]geoMap (55)'!$A:$C,3,0)</f>
        <v>#REF!</v>
      </c>
      <c r="BF21" s="4" t="e">
        <f>BE21/VLOOKUP(A21,'[59]geoMap (56)'!$A:$B,2,0)*VLOOKUP(A21,'[59]geoMap (56)'!$A:$C,3,0)</f>
        <v>#REF!</v>
      </c>
      <c r="BG21" s="1" t="e">
        <f>BF21/VLOOKUP(A21,'[60]geoMap (57)'!$A:$B,2,0)*VLOOKUP(A21,'[60]geoMap (57)'!$A:$C,3,0)</f>
        <v>#REF!</v>
      </c>
      <c r="BH21" s="4" t="e">
        <f>BG21/VLOOKUP(A21,'[61]geoMap (58)'!$A:$B,2,0)*VLOOKUP(A21,'[61]geoMap (58)'!$A:$C,3,0)</f>
        <v>#REF!</v>
      </c>
      <c r="BI21" s="1" t="e">
        <f>BH21/VLOOKUP(A21,'[62]geoMap (59)'!$A:$B,2,0)*VLOOKUP(A21,'[62]geoMap (59)'!$A:$C,3,0)</f>
        <v>#REF!</v>
      </c>
      <c r="BJ21" s="4" t="e">
        <f>BI21/VLOOKUP(A21,'[63]geoMap (60)'!$A:$B,2,0)*VLOOKUP(A21,'[63]geoMap (60)'!$A:$C,3,0)</f>
        <v>#REF!</v>
      </c>
      <c r="BK21" s="1" t="e">
        <f>BJ21/VLOOKUP(A21,'[64]geoMap (61)'!$A:$B,2,0)*VLOOKUP(A21,'[64]geoMap (61)'!$A:$C,3,0)</f>
        <v>#REF!</v>
      </c>
      <c r="BL21" s="4" t="e">
        <f>BK21/VLOOKUP(A21,'[65]geoMap (62)'!$A:$B,2,0)*VLOOKUP(A21,'[65]geoMap (62)'!$A:$C,3,0)</f>
        <v>#REF!</v>
      </c>
      <c r="BM21" s="1" t="e">
        <f>BL21/VLOOKUP(A21,'[66]geoMap (63)'!$A:$B,2,0)*VLOOKUP(A21,'[66]geoMap (63)'!$A:$C,3,0)</f>
        <v>#REF!</v>
      </c>
      <c r="BN21" s="4" t="e">
        <f>BM21/VLOOKUP(A21,'[67]geoMap (64)'!$A:$B,2,0)*VLOOKUP(A21,'[67]geoMap (64)'!$A:$C,3,0)</f>
        <v>#REF!</v>
      </c>
      <c r="BO21" s="1" t="e">
        <f>BN21/VLOOKUP(A21,'[68]geoMap (65)'!$A:$B,2,0)*VLOOKUP(A21,'[68]geoMap (65)'!$A:$C,3,0)</f>
        <v>#REF!</v>
      </c>
      <c r="BP21" s="4" t="e">
        <f>BO21/VLOOKUP(A21,'[69]geoMap (66)'!$A:$B,2,0)*VLOOKUP(A21,'[69]geoMap (66)'!$A:$C,3,0)</f>
        <v>#REF!</v>
      </c>
    </row>
    <row r="22" spans="1:68" x14ac:dyDescent="0.2">
      <c r="A22" s="1" t="s">
        <v>66</v>
      </c>
      <c r="B22" s="1">
        <f>VLOOKUP(A22,[3]geoMap!$A:$B,2,0)*Notes!$C$6</f>
        <v>6000</v>
      </c>
      <c r="C22" s="1" t="e">
        <f>B22/VLOOKUP(A22,'[4]geoMap (1)'!$A:$B,2,0)*VLOOKUP(A22,'[4]geoMap (1)'!$A:$C,3,0)</f>
        <v>#DIV/0!</v>
      </c>
      <c r="D22" s="1" t="e">
        <f>C22/VLOOKUP(A22,'[5]geoMap (2)'!$A:$B,2,0)*VLOOKUP(A22,'[5]geoMap (2)'!$A:$C,3,0)</f>
        <v>#DIV/0!</v>
      </c>
      <c r="E22" s="1" t="e">
        <f>D22/VLOOKUP(A22,'[6]geoMap (3)'!$A:$B,2,0)*VLOOKUP(A22,'[6]geoMap (3)'!$A:$C,3,0)</f>
        <v>#DIV/0!</v>
      </c>
      <c r="F22" s="1" t="e">
        <f>E22/VLOOKUP(A22,'[7]geoMap (4)'!$A:$B,2,0)*VLOOKUP(A22,'[7]geoMap (4)'!$A:$C,3,0)</f>
        <v>#DIV/0!</v>
      </c>
      <c r="G22" s="1" t="e">
        <f>F22/VLOOKUP(A22,'[8]geoMap (5)'!$A:$B,2,0)*VLOOKUP(A22,'[8]geoMap (5)'!$A:$C,3,0)</f>
        <v>#DIV/0!</v>
      </c>
      <c r="H22" s="1" t="e">
        <f>G22/VLOOKUP(A22,'[9]geoMap (6)'!$A:$B,2,0)*VLOOKUP(A22,'[9]geoMap (6)'!$A:$C,3,0)</f>
        <v>#DIV/0!</v>
      </c>
      <c r="I22" s="1" t="e">
        <f>H22/VLOOKUP(A22,'[10]geoMap (7)'!$A:$B,2,0)*VLOOKUP(A22,'[10]geoMap (7)'!$A:$C,3,0)</f>
        <v>#DIV/0!</v>
      </c>
      <c r="J22" s="1" t="e">
        <f>I22/VLOOKUP(A22,'[11]geoMap (8)'!$A:$B,2,0)*VLOOKUP(A22,'[11]geoMap (8)'!$A:$C,3,0)</f>
        <v>#DIV/0!</v>
      </c>
      <c r="K22" s="1" t="e">
        <f>J22/VLOOKUP(A22,'[12]geoMap (9)'!$A:$B,2,0)*VLOOKUP(A22,'[12]geoMap (9)'!$A:$C,3,0)</f>
        <v>#DIV/0!</v>
      </c>
      <c r="L22" s="1" t="e">
        <f>K22/VLOOKUP(A22,'[13]geoMap (10)'!$A:$B,2,0)*VLOOKUP(A22,'[13]geoMap (10)'!$A:$C,3,0)</f>
        <v>#DIV/0!</v>
      </c>
      <c r="M22" s="1" t="e">
        <f>L22/VLOOKUP(A22,'[14]geoMap (11)'!$A:$B,2,0)*VLOOKUP(A22,'[14]geoMap (11)'!$A:$C,3,0)</f>
        <v>#DIV/0!</v>
      </c>
      <c r="N22" s="1" t="e">
        <f>M22/VLOOKUP(A22,'[15]geoMap (12)'!$A:$B,2,0)*VLOOKUP(A22,'[15]geoMap (12)'!$A:$C,3,0)</f>
        <v>#DIV/0!</v>
      </c>
      <c r="O22" s="1" t="e">
        <f>N22/VLOOKUP(A22,'[16]geoMap (13)'!$A:$B,2,0)*VLOOKUP(A22,'[16]geoMap (13)'!$A:$C,3,0)</f>
        <v>#DIV/0!</v>
      </c>
      <c r="P22" s="1" t="e">
        <f>O22/VLOOKUP(A22,'[17]geoMap (14)'!$A:$B,2,0)*VLOOKUP(A22,'[17]geoMap (14)'!$A:$C,3,0)</f>
        <v>#DIV/0!</v>
      </c>
      <c r="Q22" s="1" t="e">
        <f>P22/VLOOKUP(A22,'[18]geoMap (15)'!$A:$B,2,0)*VLOOKUP(A22,'[18]geoMap (15)'!$A:$C,3,0)</f>
        <v>#DIV/0!</v>
      </c>
      <c r="R22" s="1" t="e">
        <f>Q22/VLOOKUP(A22,'[19]geoMap (16)'!$A:$B,2,0)*VLOOKUP(A22,'[19]geoMap (16)'!$A:$C,3,0)</f>
        <v>#DIV/0!</v>
      </c>
      <c r="S22" s="1" t="e">
        <f>R22/VLOOKUP(A22,'[20]geoMap (17)'!$A:$B,2,0)*VLOOKUP(A22,'[20]geoMap (17)'!$A:$C,3,0)</f>
        <v>#DIV/0!</v>
      </c>
      <c r="T22" s="1" t="e">
        <f>S22/VLOOKUP(A22,'[21]geoMap (18)'!$A:$B,2,0)*VLOOKUP(A22,'[21]geoMap (18)'!$A:$C,3,0)</f>
        <v>#DIV/0!</v>
      </c>
      <c r="U22" s="1" t="e">
        <f>T22/VLOOKUP(A22,'[22]geoMap (19)'!$A:$B,2,0)*VLOOKUP(A22,'[22]geoMap (19)'!$A:$C,3,0)</f>
        <v>#DIV/0!</v>
      </c>
      <c r="V22" s="1" t="e">
        <f>U22/VLOOKUP(A22,'[23]geoMap (20)'!$A:$B,2,0)*VLOOKUP(A22,'[23]geoMap (20)'!$A:$C,3,0)</f>
        <v>#DIV/0!</v>
      </c>
      <c r="W22" s="1" t="e">
        <f>V22/VLOOKUP(A22,'[24]geoMap (21)'!$A:$B,2,0)*VLOOKUP(A22,'[24]geoMap (21)'!$A:$C,3,0)</f>
        <v>#DIV/0!</v>
      </c>
      <c r="X22" s="1" t="e">
        <f>W22/VLOOKUP(A22,'[25]geoMap (22)'!$A:$B,2,0)*VLOOKUP(A22,'[25]geoMap (22)'!$A:$C,3,0)</f>
        <v>#DIV/0!</v>
      </c>
      <c r="Y22" s="1" t="e">
        <f>X22/VLOOKUP(A22,'[26]geoMap (23)'!$A:$B,2,0)*VLOOKUP(A22,'[26]geoMap (23)'!$A:$C,3,0)</f>
        <v>#DIV/0!</v>
      </c>
      <c r="Z22" s="1" t="e">
        <f>Y22/VLOOKUP(A22,'[27]geoMap (24)'!$A:$B,2,0)*VLOOKUP(A22,'[27]geoMap (24)'!$A:$C,3,0)</f>
        <v>#DIV/0!</v>
      </c>
      <c r="AA22" s="1" t="e">
        <f>Z22/VLOOKUP(A22,'[28]geoMap (25)'!$A:$B,2,0)*VLOOKUP(A22,'[28]geoMap (25)'!$A:$C,3,0)</f>
        <v>#DIV/0!</v>
      </c>
      <c r="AB22" s="1" t="e">
        <f>AA22*VLOOKUP(A22,'[29]geoMap (26)'!$A:$B,2,0)*VLOOKUP(A22,'[29]geoMap (26)'!$A:$C,3,0)</f>
        <v>#DIV/0!</v>
      </c>
      <c r="AC22" s="1" t="e">
        <f>AB22/VLOOKUP(A22,'[30]geoMap (27)'!$A:$B,2,0)*VLOOKUP(A22,'[30]geoMap (27)'!$A:$C,3,0)</f>
        <v>#DIV/0!</v>
      </c>
      <c r="AD22" s="1" t="e">
        <f>AC22/VLOOKUP(A22,'[31]geoMap (28)'!$A:$B,2,0)*VLOOKUP(A22,'[31]geoMap (28)'!$A:$C,3,0)</f>
        <v>#DIV/0!</v>
      </c>
      <c r="AE22" s="1" t="e">
        <f>AD22/VLOOKUP(A22,'[32]geoMap (29)'!$A:$B,2,0)*VLOOKUP(A22,'[32]geoMap (29)'!$A:$C,3,0)</f>
        <v>#DIV/0!</v>
      </c>
      <c r="AF22" s="1" t="e">
        <f>AE22/VLOOKUP(A22,'[33]geoMap (30)'!$A:$B,2,0)*VLOOKUP(A22,'[33]geoMap (30)'!$A:$C,3,0)</f>
        <v>#DIV/0!</v>
      </c>
      <c r="AG22" s="1" t="e">
        <f>AF22/VLOOKUP(A22,'[34]geoMap (31)'!$A:$B,2,0)*VLOOKUP(A22,'[34]geoMap (31)'!$A:$C,3,0)</f>
        <v>#DIV/0!</v>
      </c>
      <c r="AH22" s="1" t="e">
        <f>AG22/VLOOKUP(A22,'[35]geoMap (32)'!$A:$B,2,0)*VLOOKUP(A22,'[35]geoMap (32)'!$A:$C,3,0)</f>
        <v>#DIV/0!</v>
      </c>
      <c r="AI22" s="1" t="e">
        <f>AH22/VLOOKUP(A22,'[36]geoMap (33)'!$A:$B,2,0)*VLOOKUP(A22,'[36]geoMap (33)'!$A:$C,3,0)</f>
        <v>#DIV/0!</v>
      </c>
      <c r="AJ22" s="1" t="e">
        <f>AI22/VLOOKUP(A22,'[37]geoMap (34)'!$A:$B,2,0)*VLOOKUP(A22,'[37]geoMap (34)'!$A:$C,3,0)</f>
        <v>#DIV/0!</v>
      </c>
      <c r="AK22" s="1" t="e">
        <f>AJ22/VLOOKUP(A22,'[38]geoMap (35)'!$A:$B,2,0)*VLOOKUP(A22,'[38]geoMap (35)'!$A:$C,3,0)</f>
        <v>#DIV/0!</v>
      </c>
      <c r="AL22" s="1" t="e">
        <f>AK22/VLOOKUP(A22,'[39]geoMap (36)'!$A:$B,2,0)*VLOOKUP(A22,'[39]geoMap (36)'!$A:$C,3,0)</f>
        <v>#DIV/0!</v>
      </c>
      <c r="AM22" s="1" t="e">
        <f>AL22/VLOOKUP(A22,'[40]geoMap (37)'!$A:$B,2,0)*VLOOKUP(A22,'[40]geoMap (37)'!$A:$C,3,0)</f>
        <v>#DIV/0!</v>
      </c>
      <c r="AN22" s="1" t="e">
        <f>AM22/VLOOKUP(A22,'[41]geoMap (38)'!$A:$B,2,0)*VLOOKUP(A22,'[41]geoMap (38)'!$A:$C,3,0)</f>
        <v>#DIV/0!</v>
      </c>
      <c r="AO22" s="1" t="e">
        <f>AN22/VLOOKUP(A22,'[42]geoMap (39)'!$A:$B,2,0)*VLOOKUP(A22,'[42]geoMap (39)'!$A:$C,3,0)</f>
        <v>#DIV/0!</v>
      </c>
      <c r="AP22" s="1" t="e">
        <f>AO22/VLOOKUP(A22,'[43]geoMap (40)'!$A:$B,2,0)*VLOOKUP(A22,'[43]geoMap (40)'!$A:$C,3,0)</f>
        <v>#DIV/0!</v>
      </c>
      <c r="AQ22" s="1" t="e">
        <f>AP22/VLOOKUP(A22,'[44]geoMap (41)'!$A:$B,2,0)*VLOOKUP(A22,'[44]geoMap (41)'!$A:$C,3,0)</f>
        <v>#DIV/0!</v>
      </c>
      <c r="AR22" s="1" t="e">
        <f>AQ22/VLOOKUP(A22,'[45]geoMap (42)'!$A:$B,2,0)*VLOOKUP(A22,'[45]geoMap (42)'!$A:$C,3,0)</f>
        <v>#DIV/0!</v>
      </c>
      <c r="AS22" s="1" t="e">
        <f>AR22/VLOOKUP(A22,'[46]geoMap (43)'!$A:$B,2,0)*VLOOKUP(A22,'[46]geoMap (43)'!$A:$C,3,0)</f>
        <v>#DIV/0!</v>
      </c>
      <c r="AT22" s="1" t="e">
        <f>AS22/VLOOKUP(A22,'[47]geoMap (44)'!$A:$B,2,0)*VLOOKUP(A22,'[47]geoMap (44)'!$A:$C,3,0)</f>
        <v>#DIV/0!</v>
      </c>
      <c r="AU22" s="1" t="e">
        <f>AT22/VLOOKUP(A22,'[48]geoMap (45)'!$A:$B,2,0)*VLOOKUP(A22,'[48]geoMap (45)'!$A:$C,3,0)</f>
        <v>#DIV/0!</v>
      </c>
      <c r="AV22" s="1" t="e">
        <f>AU22/VLOOKUP(A22,'[49]geoMap (46)'!$A:$B,2,0)*VLOOKUP(A22,'[49]geoMap (46)'!$A:$C,3,0)</f>
        <v>#DIV/0!</v>
      </c>
      <c r="AW22" s="1" t="e">
        <f>AV22/VLOOKUP(A22,'[50]geoMap (47)'!$A:$B,2,0)*VLOOKUP(A22,'[50]geoMap (47)'!$A:$C,3,0)</f>
        <v>#DIV/0!</v>
      </c>
      <c r="AX22" s="4" t="e">
        <f>AW22/VLOOKUP(A22,'[51]geoMap (48)'!$A:$B,2,0)*VLOOKUP(A22,'[51]geoMap (48)'!$A:$C,3,0)</f>
        <v>#DIV/0!</v>
      </c>
      <c r="AY22" s="1" t="e">
        <f>AX22/VLOOKUP(A22,'[52]geoMap (49)'!$A:$B,2,0)*VLOOKUP(A22,'[52]geoMap (49)'!$A:$C,3,0)</f>
        <v>#DIV/0!</v>
      </c>
      <c r="AZ22" s="4" t="e">
        <f>AY22/VLOOKUP(A22,'[53]geoMap (50)'!$A:$B,2,0)*VLOOKUP(A22,'[53]geoMap (50)'!$A:$C,3,0)</f>
        <v>#DIV/0!</v>
      </c>
      <c r="BA22" s="1" t="e">
        <f>AZ22/VLOOKUP(A22,'[54]geoMap (51)'!$A:$B,2,0)*VLOOKUP(A22,'[54]geoMap (51)'!$A:$C,3,0)</f>
        <v>#DIV/0!</v>
      </c>
      <c r="BB22" s="4" t="e">
        <f>BA22/VLOOKUP(A22,'[55]geoMap (52)'!$A:$B,2,0)*VLOOKUP(A22,'[55]geoMap (52)'!$A:$C,3,0)</f>
        <v>#DIV/0!</v>
      </c>
      <c r="BC22" s="1" t="e">
        <f>BB22/VLOOKUP(A22,'[56]geoMap (53)'!$A:$B,2,0)*VLOOKUP(A22,'[56]geoMap (53)'!$A:$C,3,0)</f>
        <v>#DIV/0!</v>
      </c>
      <c r="BD22" s="4" t="e">
        <f>BC22/VLOOKUP(A22,'[57]geoMap (54)'!$A:$B,2,0)*VLOOKUP(A22,'[57]geoMap (54)'!$A:$C,3,0)</f>
        <v>#DIV/0!</v>
      </c>
      <c r="BE22" s="1" t="e">
        <f>BD22/VLOOKUP(A22,'[58]geoMap (55)'!$A:$B,2,0)*VLOOKUP(A22,'[58]geoMap (55)'!$A:$C,3,0)</f>
        <v>#DIV/0!</v>
      </c>
      <c r="BF22" s="4" t="e">
        <f>BE22/VLOOKUP(A22,'[59]geoMap (56)'!$A:$B,2,0)*VLOOKUP(A22,'[59]geoMap (56)'!$A:$C,3,0)</f>
        <v>#DIV/0!</v>
      </c>
      <c r="BG22" s="1" t="e">
        <f>BF22/VLOOKUP(A22,'[60]geoMap (57)'!$A:$B,2,0)*VLOOKUP(A22,'[60]geoMap (57)'!$A:$C,3,0)</f>
        <v>#DIV/0!</v>
      </c>
      <c r="BH22" s="4" t="e">
        <f>BG22/VLOOKUP(A22,'[61]geoMap (58)'!$A:$B,2,0)*VLOOKUP(A22,'[61]geoMap (58)'!$A:$C,3,0)</f>
        <v>#DIV/0!</v>
      </c>
      <c r="BI22" s="1" t="e">
        <f>BH22/VLOOKUP(A22,'[62]geoMap (59)'!$A:$B,2,0)*VLOOKUP(A22,'[62]geoMap (59)'!$A:$C,3,0)</f>
        <v>#DIV/0!</v>
      </c>
      <c r="BJ22" s="4" t="e">
        <f>BI22/VLOOKUP(A22,'[63]geoMap (60)'!$A:$B,2,0)*VLOOKUP(A22,'[63]geoMap (60)'!$A:$C,3,0)</f>
        <v>#DIV/0!</v>
      </c>
      <c r="BK22" s="1" t="e">
        <f>BJ22/VLOOKUP(A22,'[64]geoMap (61)'!$A:$B,2,0)*VLOOKUP(A22,'[64]geoMap (61)'!$A:$C,3,0)</f>
        <v>#DIV/0!</v>
      </c>
      <c r="BL22" s="4" t="e">
        <f>BK22/VLOOKUP(A22,'[65]geoMap (62)'!$A:$B,2,0)*VLOOKUP(A22,'[65]geoMap (62)'!$A:$C,3,0)</f>
        <v>#DIV/0!</v>
      </c>
      <c r="BM22" s="1" t="e">
        <f>BL22/VLOOKUP(A22,'[66]geoMap (63)'!$A:$B,2,0)*VLOOKUP(A22,'[66]geoMap (63)'!$A:$C,3,0)</f>
        <v>#DIV/0!</v>
      </c>
      <c r="BN22" s="4" t="e">
        <f>BM22/VLOOKUP(A22,'[67]geoMap (64)'!$A:$B,2,0)*VLOOKUP(A22,'[67]geoMap (64)'!$A:$C,3,0)</f>
        <v>#DIV/0!</v>
      </c>
      <c r="BO22" s="1" t="e">
        <f>BN22/VLOOKUP(A22,'[68]geoMap (65)'!$A:$B,2,0)*VLOOKUP(A22,'[68]geoMap (65)'!$A:$C,3,0)</f>
        <v>#DIV/0!</v>
      </c>
      <c r="BP22" s="4" t="e">
        <f>BO22/VLOOKUP(A22,'[69]geoMap (66)'!$A:$B,2,0)*VLOOKUP(A22,'[69]geoMap (66)'!$A:$C,3,0)</f>
        <v>#DIV/0!</v>
      </c>
    </row>
    <row r="23" spans="1:68" x14ac:dyDescent="0.2">
      <c r="A23" s="1" t="s">
        <v>71</v>
      </c>
      <c r="B23" s="1">
        <f>VLOOKUP(A23,[3]geoMap!$A:$B,2,0)*Notes!$C$6</f>
        <v>6000</v>
      </c>
      <c r="C23" s="1">
        <f>B23/VLOOKUP(A23,'[4]geoMap (1)'!$A:$B,2,0)*VLOOKUP(A23,'[4]geoMap (1)'!$A:$C,3,0)</f>
        <v>6500</v>
      </c>
      <c r="D23" s="1">
        <f>C23/VLOOKUP(A23,'[5]geoMap (2)'!$A:$B,2,0)*VLOOKUP(A23,'[5]geoMap (2)'!$A:$C,3,0)</f>
        <v>4903.5087719298253</v>
      </c>
      <c r="E23" s="1">
        <f>D23/VLOOKUP(A23,'[6]geoMap (3)'!$A:$B,2,0)*VLOOKUP(A23,'[6]geoMap (3)'!$A:$C,3,0)</f>
        <v>4348.3945713339954</v>
      </c>
      <c r="F23" s="1">
        <f>E23/VLOOKUP(A23,'[7]geoMap (4)'!$A:$B,2,0)*VLOOKUP(A23,'[7]geoMap (4)'!$A:$C,3,0)</f>
        <v>3557.7773765459956</v>
      </c>
      <c r="G23" s="1">
        <f>F23/VLOOKUP(A23,'[8]geoMap (5)'!$A:$B,2,0)*VLOOKUP(A23,'[8]geoMap (5)'!$A:$C,3,0)</f>
        <v>3284.1021937347646</v>
      </c>
      <c r="H23" s="1">
        <f>G23/VLOOKUP(A23,'[9]geoMap (6)'!$A:$B,2,0)*VLOOKUP(A23,'[9]geoMap (6)'!$A:$C,3,0)</f>
        <v>926.28523413031826</v>
      </c>
      <c r="I23" s="1">
        <f>H23/VLOOKUP(A23,'[10]geoMap (7)'!$A:$B,2,0)*VLOOKUP(A23,'[10]geoMap (7)'!$A:$C,3,0)</f>
        <v>1227.8664731494916</v>
      </c>
      <c r="J23" s="1">
        <f>I23/VLOOKUP(A23,'[11]geoMap (8)'!$A:$B,2,0)*VLOOKUP(A23,'[11]geoMap (8)'!$A:$C,3,0)</f>
        <v>1330.1886792452826</v>
      </c>
      <c r="K23" s="1">
        <f>J23/VLOOKUP(A23,'[12]geoMap (9)'!$A:$B,2,0)*VLOOKUP(A23,'[12]geoMap (9)'!$A:$C,3,0)</f>
        <v>924.36840422129808</v>
      </c>
      <c r="L23" s="1">
        <f>K23/VLOOKUP(A23,'[13]geoMap (10)'!$A:$B,2,0)*VLOOKUP(A23,'[13]geoMap (10)'!$A:$C,3,0)</f>
        <v>616.24560281419872</v>
      </c>
      <c r="M23" s="1">
        <f>L23/VLOOKUP(A23,'[14]geoMap (11)'!$A:$B,2,0)*VLOOKUP(A23,'[14]geoMap (11)'!$A:$C,3,0)</f>
        <v>641.39848456171717</v>
      </c>
      <c r="N23" s="1">
        <f>M23/VLOOKUP(A23,'[15]geoMap (12)'!$A:$B,2,0)*VLOOKUP(A23,'[15]geoMap (12)'!$A:$C,3,0)</f>
        <v>616.24560281419872</v>
      </c>
      <c r="O23" s="1">
        <f>N23/VLOOKUP(A23,'[16]geoMap (13)'!$A:$B,2,0)*VLOOKUP(A23,'[16]geoMap (13)'!$A:$C,3,0)</f>
        <v>377.69891785386375</v>
      </c>
      <c r="P23" s="1">
        <f>O23/VLOOKUP(A23,'[17]geoMap (14)'!$A:$B,2,0)*VLOOKUP(A23,'[17]geoMap (14)'!$A:$C,3,0)</f>
        <v>231.49288513623907</v>
      </c>
      <c r="Q23" s="1">
        <f>P23/VLOOKUP(A23,'[18]geoMap (15)'!$A:$B,2,0)*VLOOKUP(A23,'[18]geoMap (15)'!$A:$C,3,0)</f>
        <v>222.41473277795518</v>
      </c>
      <c r="R23" s="1">
        <f>Q23/VLOOKUP(A23,'[19]geoMap (16)'!$A:$B,2,0)*VLOOKUP(A23,'[19]geoMap (16)'!$A:$C,3,0)</f>
        <v>174.75443289696477</v>
      </c>
      <c r="S23" s="1">
        <f>R23/VLOOKUP(A23,'[20]geoMap (17)'!$A:$B,2,0)*VLOOKUP(A23,'[20]geoMap (17)'!$A:$C,3,0)</f>
        <v>154.97091219164798</v>
      </c>
      <c r="T23" s="1">
        <f>S23/VLOOKUP(A23,'[21]geoMap (18)'!$A:$B,2,0)*VLOOKUP(A23,'[21]geoMap (18)'!$A:$C,3,0)</f>
        <v>112.22031572498648</v>
      </c>
      <c r="U23" s="1">
        <f>T23/VLOOKUP(A23,'[22]geoMap (19)'!$A:$B,2,0)*VLOOKUP(A23,'[22]geoMap (19)'!$A:$C,3,0)</f>
        <v>103.58798374614136</v>
      </c>
      <c r="V23" s="1">
        <f>U23/VLOOKUP(A23,'[23]geoMap (20)'!$A:$B,2,0)*VLOOKUP(A23,'[23]geoMap (20)'!$A:$C,3,0)</f>
        <v>91.861042189974398</v>
      </c>
      <c r="W23" s="1">
        <f>V23/VLOOKUP(A23,'[24]geoMap (21)'!$A:$B,2,0)*VLOOKUP(A23,'[24]geoMap (21)'!$A:$C,3,0)</f>
        <v>53.950135889350044</v>
      </c>
      <c r="X23" s="1">
        <f>W23/VLOOKUP(A23,'[25]geoMap (22)'!$A:$B,2,0)*VLOOKUP(A23,'[25]geoMap (22)'!$A:$C,3,0)</f>
        <v>91.861042189974398</v>
      </c>
      <c r="Y23" s="1">
        <f>X23/VLOOKUP(A23,'[26]geoMap (23)'!$A:$B,2,0)*VLOOKUP(A23,'[26]geoMap (23)'!$A:$C,3,0)</f>
        <v>43.228725736458536</v>
      </c>
      <c r="Z23" s="1">
        <f>Y23/VLOOKUP(A23,'[27]geoMap (24)'!$A:$B,2,0)*VLOOKUP(A23,'[27]geoMap (24)'!$A:$C,3,0)</f>
        <v>44.993163521620112</v>
      </c>
      <c r="AA23" s="1">
        <f>Z23/VLOOKUP(A23,'[28]geoMap (25)'!$A:$B,2,0)*VLOOKUP(A23,'[28]geoMap (25)'!$A:$C,3,0)</f>
        <v>38.327509666565277</v>
      </c>
      <c r="AB23" s="1">
        <f>AA23*VLOOKUP(A23,'[29]geoMap (26)'!$A:$B,2,0)*VLOOKUP(A23,'[29]geoMap (26)'!$A:$C,3,0)</f>
        <v>9.5205534011748174</v>
      </c>
      <c r="AC23" s="1">
        <f>AB23/VLOOKUP(A23,'[30]geoMap (27)'!$A:$B,2,0)*VLOOKUP(A23,'[30]geoMap (27)'!$A:$C,3,0)</f>
        <v>13.700308552910103</v>
      </c>
      <c r="AD23" s="1">
        <f>AC23/VLOOKUP(A23,'[31]geoMap (28)'!$A:$B,2,0)*VLOOKUP(A23,'[31]geoMap (28)'!$A:$C,3,0)</f>
        <v>11.670633211738235</v>
      </c>
      <c r="AE23" s="1">
        <f>AD23/VLOOKUP(A23,'[32]geoMap (29)'!$A:$B,2,0)*VLOOKUP(A23,'[32]geoMap (29)'!$A:$C,3,0)</f>
        <v>11.212961321081831</v>
      </c>
      <c r="AF23" s="1">
        <f>AE23/VLOOKUP(A23,'[33]geoMap (30)'!$A:$B,2,0)*VLOOKUP(A23,'[33]geoMap (30)'!$A:$C,3,0)</f>
        <v>18.294831629133515</v>
      </c>
      <c r="AG23" s="1">
        <f>AF23/VLOOKUP(A23,'[34]geoMap (31)'!$A:$B,2,0)*VLOOKUP(A23,'[34]geoMap (31)'!$A:$C,3,0)</f>
        <v>11.212961321081831</v>
      </c>
      <c r="AH23" s="1">
        <f>AG23/VLOOKUP(A23,'[35]geoMap (32)'!$A:$B,2,0)*VLOOKUP(A23,'[35]geoMap (32)'!$A:$C,3,0)</f>
        <v>4.1472596667014994</v>
      </c>
      <c r="AI23" s="1">
        <f>AH23/VLOOKUP(A23,'[36]geoMap (33)'!$A:$B,2,0)*VLOOKUP(A23,'[36]geoMap (33)'!$A:$C,3,0)</f>
        <v>6.2208895000522482</v>
      </c>
      <c r="AJ23" s="1">
        <f>AI23/VLOOKUP(A23,'[37]geoMap (34)'!$A:$B,2,0)*VLOOKUP(A23,'[37]geoMap (34)'!$A:$C,3,0)</f>
        <v>4.1472596667014994</v>
      </c>
      <c r="AK23" s="1">
        <f>AJ23/VLOOKUP(A23,'[38]geoMap (35)'!$A:$B,2,0)*VLOOKUP(A23,'[38]geoMap (35)'!$A:$C,3,0)</f>
        <v>9.6769392223034991</v>
      </c>
      <c r="AL23" s="1" t="e">
        <f>AK23/VLOOKUP(A23,'[39]geoMap (36)'!$A:$B,2,0)*VLOOKUP(A23,'[39]geoMap (36)'!$A:$C,3,0)</f>
        <v>#REF!</v>
      </c>
      <c r="AM23" s="1" t="e">
        <f>AL23/VLOOKUP(A23,'[40]geoMap (37)'!$A:$B,2,0)*VLOOKUP(A23,'[40]geoMap (37)'!$A:$C,3,0)</f>
        <v>#REF!</v>
      </c>
      <c r="AN23" s="1" t="e">
        <f>AM23/VLOOKUP(A23,'[41]geoMap (38)'!$A:$B,2,0)*VLOOKUP(A23,'[41]geoMap (38)'!$A:$C,3,0)</f>
        <v>#REF!</v>
      </c>
      <c r="AO23" s="1" t="e">
        <f>AN23/VLOOKUP(A23,'[42]geoMap (39)'!$A:$B,2,0)*VLOOKUP(A23,'[42]geoMap (39)'!$A:$C,3,0)</f>
        <v>#REF!</v>
      </c>
      <c r="AP23" s="1" t="e">
        <f>AO23/VLOOKUP(A23,'[43]geoMap (40)'!$A:$B,2,0)*VLOOKUP(A23,'[43]geoMap (40)'!$A:$C,3,0)</f>
        <v>#REF!</v>
      </c>
      <c r="AQ23" s="1" t="e">
        <f>AP23/VLOOKUP(A23,'[44]geoMap (41)'!$A:$B,2,0)*VLOOKUP(A23,'[44]geoMap (41)'!$A:$C,3,0)</f>
        <v>#REF!</v>
      </c>
      <c r="AR23" s="1" t="e">
        <f>AQ23/VLOOKUP(A23,'[45]geoMap (42)'!$A:$B,2,0)*VLOOKUP(A23,'[45]geoMap (42)'!$A:$C,3,0)</f>
        <v>#REF!</v>
      </c>
      <c r="AS23" s="1" t="e">
        <f>AR23/VLOOKUP(A23,'[46]geoMap (43)'!$A:$B,2,0)*VLOOKUP(A23,'[46]geoMap (43)'!$A:$C,3,0)</f>
        <v>#REF!</v>
      </c>
      <c r="AT23" s="1" t="e">
        <f>AS23/VLOOKUP(A23,'[47]geoMap (44)'!$A:$B,2,0)*VLOOKUP(A23,'[47]geoMap (44)'!$A:$C,3,0)</f>
        <v>#REF!</v>
      </c>
      <c r="AU23" s="1" t="e">
        <f>AT23/VLOOKUP(A23,'[48]geoMap (45)'!$A:$B,2,0)*VLOOKUP(A23,'[48]geoMap (45)'!$A:$C,3,0)</f>
        <v>#REF!</v>
      </c>
      <c r="AV23" s="1" t="e">
        <f>AU23/VLOOKUP(A23,'[49]geoMap (46)'!$A:$B,2,0)*VLOOKUP(A23,'[49]geoMap (46)'!$A:$C,3,0)</f>
        <v>#REF!</v>
      </c>
      <c r="AW23" s="1" t="e">
        <f>AV23/VLOOKUP(A23,'[50]geoMap (47)'!$A:$B,2,0)*VLOOKUP(A23,'[50]geoMap (47)'!$A:$C,3,0)</f>
        <v>#REF!</v>
      </c>
      <c r="AX23" s="4" t="e">
        <f>AW23/VLOOKUP(A23,'[51]geoMap (48)'!$A:$B,2,0)*VLOOKUP(A23,'[51]geoMap (48)'!$A:$C,3,0)</f>
        <v>#REF!</v>
      </c>
      <c r="AY23" s="1" t="e">
        <f>AX23/VLOOKUP(A23,'[52]geoMap (49)'!$A:$B,2,0)*VLOOKUP(A23,'[52]geoMap (49)'!$A:$C,3,0)</f>
        <v>#REF!</v>
      </c>
      <c r="AZ23" s="4" t="e">
        <f>AY23/VLOOKUP(A23,'[53]geoMap (50)'!$A:$B,2,0)*VLOOKUP(A23,'[53]geoMap (50)'!$A:$C,3,0)</f>
        <v>#REF!</v>
      </c>
      <c r="BA23" s="1" t="e">
        <f>AZ23/VLOOKUP(A23,'[54]geoMap (51)'!$A:$B,2,0)*VLOOKUP(A23,'[54]geoMap (51)'!$A:$C,3,0)</f>
        <v>#REF!</v>
      </c>
      <c r="BB23" s="4" t="e">
        <f>BA23/VLOOKUP(A23,'[55]geoMap (52)'!$A:$B,2,0)*VLOOKUP(A23,'[55]geoMap (52)'!$A:$C,3,0)</f>
        <v>#REF!</v>
      </c>
      <c r="BC23" s="1" t="e">
        <f>BB23/VLOOKUP(A23,'[56]geoMap (53)'!$A:$B,2,0)*VLOOKUP(A23,'[56]geoMap (53)'!$A:$C,3,0)</f>
        <v>#REF!</v>
      </c>
      <c r="BD23" s="4" t="e">
        <f>BC23/VLOOKUP(A23,'[57]geoMap (54)'!$A:$B,2,0)*VLOOKUP(A23,'[57]geoMap (54)'!$A:$C,3,0)</f>
        <v>#REF!</v>
      </c>
      <c r="BE23" s="1" t="e">
        <f>BD23/VLOOKUP(A23,'[58]geoMap (55)'!$A:$B,2,0)*VLOOKUP(A23,'[58]geoMap (55)'!$A:$C,3,0)</f>
        <v>#REF!</v>
      </c>
      <c r="BF23" s="4" t="e">
        <f>BE23/VLOOKUP(A23,'[59]geoMap (56)'!$A:$B,2,0)*VLOOKUP(A23,'[59]geoMap (56)'!$A:$C,3,0)</f>
        <v>#REF!</v>
      </c>
      <c r="BG23" s="1" t="e">
        <f>BF23/VLOOKUP(A23,'[60]geoMap (57)'!$A:$B,2,0)*VLOOKUP(A23,'[60]geoMap (57)'!$A:$C,3,0)</f>
        <v>#REF!</v>
      </c>
      <c r="BH23" s="4" t="e">
        <f>BG23/VLOOKUP(A23,'[61]geoMap (58)'!$A:$B,2,0)*VLOOKUP(A23,'[61]geoMap (58)'!$A:$C,3,0)</f>
        <v>#REF!</v>
      </c>
      <c r="BI23" s="1" t="e">
        <f>BH23/VLOOKUP(A23,'[62]geoMap (59)'!$A:$B,2,0)*VLOOKUP(A23,'[62]geoMap (59)'!$A:$C,3,0)</f>
        <v>#REF!</v>
      </c>
      <c r="BJ23" s="4" t="e">
        <f>BI23/VLOOKUP(A23,'[63]geoMap (60)'!$A:$B,2,0)*VLOOKUP(A23,'[63]geoMap (60)'!$A:$C,3,0)</f>
        <v>#REF!</v>
      </c>
      <c r="BK23" s="1" t="e">
        <f>BJ23/VLOOKUP(A23,'[64]geoMap (61)'!$A:$B,2,0)*VLOOKUP(A23,'[64]geoMap (61)'!$A:$C,3,0)</f>
        <v>#REF!</v>
      </c>
      <c r="BL23" s="4" t="e">
        <f>BK23/VLOOKUP(A23,'[65]geoMap (62)'!$A:$B,2,0)*VLOOKUP(A23,'[65]geoMap (62)'!$A:$C,3,0)</f>
        <v>#REF!</v>
      </c>
      <c r="BM23" s="1" t="e">
        <f>BL23/VLOOKUP(A23,'[66]geoMap (63)'!$A:$B,2,0)*VLOOKUP(A23,'[66]geoMap (63)'!$A:$C,3,0)</f>
        <v>#REF!</v>
      </c>
      <c r="BN23" s="4" t="e">
        <f>BM23/VLOOKUP(A23,'[67]geoMap (64)'!$A:$B,2,0)*VLOOKUP(A23,'[67]geoMap (64)'!$A:$C,3,0)</f>
        <v>#REF!</v>
      </c>
      <c r="BO23" s="1" t="e">
        <f>BN23/VLOOKUP(A23,'[68]geoMap (65)'!$A:$B,2,0)*VLOOKUP(A23,'[68]geoMap (65)'!$A:$C,3,0)</f>
        <v>#REF!</v>
      </c>
      <c r="BP23" s="4" t="e">
        <f>BO23/VLOOKUP(A23,'[69]geoMap (66)'!$A:$B,2,0)*VLOOKUP(A23,'[69]geoMap (66)'!$A:$C,3,0)</f>
        <v>#REF!</v>
      </c>
    </row>
    <row r="24" spans="1:68" x14ac:dyDescent="0.2">
      <c r="A24" s="1" t="s">
        <v>79</v>
      </c>
      <c r="B24" s="1">
        <f>VLOOKUP(A24,[3]geoMap!$A:$B,2,0)*Notes!$C$6</f>
        <v>6000</v>
      </c>
      <c r="C24" s="1">
        <f>B24/VLOOKUP(A24,'[4]geoMap (1)'!$A:$B,2,0)*VLOOKUP(A24,'[4]geoMap (1)'!$A:$C,3,0)</f>
        <v>6244.8979591836742</v>
      </c>
      <c r="D24" s="1">
        <f>C24/VLOOKUP(A24,'[5]geoMap (2)'!$A:$B,2,0)*VLOOKUP(A24,'[5]geoMap (2)'!$A:$C,3,0)</f>
        <v>6244.8979591836742</v>
      </c>
      <c r="E24" s="1">
        <f>D24/VLOOKUP(A24,'[6]geoMap (3)'!$A:$B,2,0)*VLOOKUP(A24,'[6]geoMap (3)'!$A:$C,3,0)</f>
        <v>3992.6396788223497</v>
      </c>
      <c r="F24" s="1">
        <f>E24/VLOOKUP(A24,'[7]geoMap (4)'!$A:$B,2,0)*VLOOKUP(A24,'[7]geoMap (4)'!$A:$C,3,0)</f>
        <v>2891.2218363885981</v>
      </c>
      <c r="G24" s="1">
        <f>F24/VLOOKUP(A24,'[8]geoMap (5)'!$A:$B,2,0)*VLOOKUP(A24,'[8]geoMap (5)'!$A:$C,3,0)</f>
        <v>3533.715577808287</v>
      </c>
      <c r="H24" s="1">
        <f>G24/VLOOKUP(A24,'[9]geoMap (6)'!$A:$B,2,0)*VLOOKUP(A24,'[9]geoMap (6)'!$A:$C,3,0)</f>
        <v>2075.3567679191528</v>
      </c>
      <c r="I24" s="1">
        <f>H24/VLOOKUP(A24,'[10]geoMap (7)'!$A:$B,2,0)*VLOOKUP(A24,'[10]geoMap (7)'!$A:$C,3,0)</f>
        <v>2641.3631591698313</v>
      </c>
      <c r="J24" s="1">
        <f>I24/VLOOKUP(A24,'[11]geoMap (8)'!$A:$B,2,0)*VLOOKUP(A24,'[11]geoMap (8)'!$A:$C,3,0)</f>
        <v>1360.7022335117313</v>
      </c>
      <c r="K24" s="1">
        <f>J24/VLOOKUP(A24,'[12]geoMap (9)'!$A:$B,2,0)*VLOOKUP(A24,'[12]geoMap (9)'!$A:$C,3,0)</f>
        <v>985.33610012918484</v>
      </c>
      <c r="L24" s="1">
        <f>K24/VLOOKUP(A24,'[13]geoMap (10)'!$A:$B,2,0)*VLOOKUP(A24,'[13]geoMap (10)'!$A:$C,3,0)</f>
        <v>530.56559237725332</v>
      </c>
      <c r="M24" s="1">
        <f>L24/VLOOKUP(A24,'[14]geoMap (11)'!$A:$B,2,0)*VLOOKUP(A24,'[14]geoMap (11)'!$A:$C,3,0)</f>
        <v>732.68581804477833</v>
      </c>
      <c r="N24" s="1">
        <f>M24/VLOOKUP(A24,'[15]geoMap (12)'!$A:$B,2,0)*VLOOKUP(A24,'[15]geoMap (12)'!$A:$C,3,0)</f>
        <v>762.59136163844289</v>
      </c>
      <c r="O24" s="1">
        <f>N24/VLOOKUP(A24,'[16]geoMap (13)'!$A:$B,2,0)*VLOOKUP(A24,'[16]geoMap (13)'!$A:$C,3,0)</f>
        <v>375.60470050848676</v>
      </c>
      <c r="P24" s="1">
        <f>O24/VLOOKUP(A24,'[17]geoMap (14)'!$A:$B,2,0)*VLOOKUP(A24,'[17]geoMap (14)'!$A:$C,3,0)</f>
        <v>153.41600443304387</v>
      </c>
      <c r="Q24" s="1">
        <f>P24/VLOOKUP(A24,'[18]geoMap (15)'!$A:$B,2,0)*VLOOKUP(A24,'[18]geoMap (15)'!$A:$C,3,0)</f>
        <v>239.95836590809424</v>
      </c>
      <c r="R24" s="1">
        <f>Q24/VLOOKUP(A24,'[19]geoMap (16)'!$A:$B,2,0)*VLOOKUP(A24,'[19]geoMap (16)'!$A:$C,3,0)</f>
        <v>173.76295462310273</v>
      </c>
      <c r="S24" s="1">
        <f>R24/VLOOKUP(A24,'[20]geoMap (17)'!$A:$B,2,0)*VLOOKUP(A24,'[20]geoMap (17)'!$A:$C,3,0)</f>
        <v>131.0843341893582</v>
      </c>
      <c r="T24" s="1">
        <f>S24/VLOOKUP(A24,'[21]geoMap (18)'!$A:$B,2,0)*VLOOKUP(A24,'[21]geoMap (18)'!$A:$C,3,0)</f>
        <v>121.00092386709986</v>
      </c>
      <c r="U24" s="1">
        <f>T24/VLOOKUP(A24,'[22]geoMap (19)'!$A:$B,2,0)*VLOOKUP(A24,'[22]geoMap (19)'!$A:$C,3,0)</f>
        <v>99.000755891263523</v>
      </c>
      <c r="V24" s="1">
        <f>U24/VLOOKUP(A24,'[23]geoMap (20)'!$A:$B,2,0)*VLOOKUP(A24,'[23]geoMap (20)'!$A:$C,3,0)</f>
        <v>53.308099326064969</v>
      </c>
      <c r="W24" s="1">
        <f>V24/VLOOKUP(A24,'[24]geoMap (21)'!$A:$B,2,0)*VLOOKUP(A24,'[24]geoMap (21)'!$A:$C,3,0)</f>
        <v>29.985805870911541</v>
      </c>
      <c r="X24" s="1">
        <f>W24/VLOOKUP(A24,'[25]geoMap (22)'!$A:$B,2,0)*VLOOKUP(A24,'[25]geoMap (22)'!$A:$C,3,0)</f>
        <v>66.742600164286969</v>
      </c>
      <c r="Y24" s="1">
        <f>X24/VLOOKUP(A24,'[26]geoMap (23)'!$A:$B,2,0)*VLOOKUP(A24,'[26]geoMap (23)'!$A:$C,3,0)</f>
        <v>34.3825515997842</v>
      </c>
      <c r="Z24" s="1">
        <f>Y24/VLOOKUP(A24,'[27]geoMap (24)'!$A:$B,2,0)*VLOOKUP(A24,'[27]geoMap (24)'!$A:$C,3,0)</f>
        <v>20.19292713003199</v>
      </c>
      <c r="AA24" s="1">
        <f>Z24/VLOOKUP(A24,'[28]geoMap (25)'!$A:$B,2,0)*VLOOKUP(A24,'[28]geoMap (25)'!$A:$C,3,0)</f>
        <v>29.058114650533842</v>
      </c>
      <c r="AB24" s="1">
        <f>AA24*VLOOKUP(A24,'[29]geoMap (26)'!$A:$B,2,0)*VLOOKUP(A24,'[29]geoMap (26)'!$A:$C,3,0)</f>
        <v>6.9129254753620017</v>
      </c>
      <c r="AC24" s="1">
        <f>AB24/VLOOKUP(A24,'[30]geoMap (27)'!$A:$B,2,0)*VLOOKUP(A24,'[30]geoMap (27)'!$A:$C,3,0)</f>
        <v>3.1058070976264065</v>
      </c>
      <c r="AD24" s="1">
        <f>AC24/VLOOKUP(A24,'[31]geoMap (28)'!$A:$B,2,0)*VLOOKUP(A24,'[31]geoMap (28)'!$A:$C,3,0)</f>
        <v>6.305729561847552</v>
      </c>
      <c r="AE24" s="1">
        <f>AD24/VLOOKUP(A24,'[32]geoMap (29)'!$A:$B,2,0)*VLOOKUP(A24,'[32]geoMap (29)'!$A:$C,3,0)</f>
        <v>4.5662179585792622</v>
      </c>
      <c r="AF24" s="1">
        <f>AE24/VLOOKUP(A24,'[33]geoMap (30)'!$A:$B,2,0)*VLOOKUP(A24,'[33]geoMap (30)'!$A:$C,3,0)</f>
        <v>2.0514892277674948</v>
      </c>
      <c r="AG24" s="1">
        <f>AF24/VLOOKUP(A24,'[34]geoMap (31)'!$A:$B,2,0)*VLOOKUP(A24,'[34]geoMap (31)'!$A:$C,3,0)</f>
        <v>3.347166634778544</v>
      </c>
      <c r="AH24" s="1">
        <f>AG24/VLOOKUP(A24,'[35]geoMap (32)'!$A:$B,2,0)*VLOOKUP(A24,'[35]geoMap (32)'!$A:$C,3,0)</f>
        <v>3.0896922782571172</v>
      </c>
      <c r="AI24" s="1">
        <f>AH24/VLOOKUP(A24,'[36]geoMap (33)'!$A:$B,2,0)*VLOOKUP(A24,'[36]geoMap (33)'!$A:$C,3,0)</f>
        <v>2.3308204906150185</v>
      </c>
      <c r="AJ24" s="1">
        <f>AI24/VLOOKUP(A24,'[37]geoMap (34)'!$A:$B,2,0)*VLOOKUP(A24,'[37]geoMap (34)'!$A:$C,3,0)</f>
        <v>1.1480160625417255</v>
      </c>
      <c r="AK24" s="1">
        <f>AJ24/VLOOKUP(A24,'[38]geoMap (35)'!$A:$B,2,0)*VLOOKUP(A24,'[38]geoMap (35)'!$A:$C,3,0)</f>
        <v>9.2884935969285074</v>
      </c>
      <c r="AL24" s="1" t="e">
        <f>AK24/VLOOKUP(A24,'[39]geoMap (36)'!$A:$B,2,0)*VLOOKUP(A24,'[39]geoMap (36)'!$A:$C,3,0)</f>
        <v>#REF!</v>
      </c>
      <c r="AM24" s="1" t="e">
        <f>AL24/VLOOKUP(A24,'[40]geoMap (37)'!$A:$B,2,0)*VLOOKUP(A24,'[40]geoMap (37)'!$A:$C,3,0)</f>
        <v>#REF!</v>
      </c>
      <c r="AN24" s="1" t="e">
        <f>AM24/VLOOKUP(A24,'[41]geoMap (38)'!$A:$B,2,0)*VLOOKUP(A24,'[41]geoMap (38)'!$A:$C,3,0)</f>
        <v>#REF!</v>
      </c>
      <c r="AO24" s="1" t="e">
        <f>AN24/VLOOKUP(A24,'[42]geoMap (39)'!$A:$B,2,0)*VLOOKUP(A24,'[42]geoMap (39)'!$A:$C,3,0)</f>
        <v>#REF!</v>
      </c>
      <c r="AP24" s="1" t="e">
        <f>AO24/VLOOKUP(A24,'[43]geoMap (40)'!$A:$B,2,0)*VLOOKUP(A24,'[43]geoMap (40)'!$A:$C,3,0)</f>
        <v>#REF!</v>
      </c>
      <c r="AQ24" s="1" t="e">
        <f>AP24/VLOOKUP(A24,'[44]geoMap (41)'!$A:$B,2,0)*VLOOKUP(A24,'[44]geoMap (41)'!$A:$C,3,0)</f>
        <v>#REF!</v>
      </c>
      <c r="AR24" s="1" t="e">
        <f>AQ24/VLOOKUP(A24,'[45]geoMap (42)'!$A:$B,2,0)*VLOOKUP(A24,'[45]geoMap (42)'!$A:$C,3,0)</f>
        <v>#REF!</v>
      </c>
      <c r="AS24" s="1" t="e">
        <f>AR24/VLOOKUP(A24,'[46]geoMap (43)'!$A:$B,2,0)*VLOOKUP(A24,'[46]geoMap (43)'!$A:$C,3,0)</f>
        <v>#REF!</v>
      </c>
      <c r="AT24" s="1" t="e">
        <f>AS24/VLOOKUP(A24,'[47]geoMap (44)'!$A:$B,2,0)*VLOOKUP(A24,'[47]geoMap (44)'!$A:$C,3,0)</f>
        <v>#REF!</v>
      </c>
      <c r="AU24" s="1" t="e">
        <f>AT24/VLOOKUP(A24,'[48]geoMap (45)'!$A:$B,2,0)*VLOOKUP(A24,'[48]geoMap (45)'!$A:$C,3,0)</f>
        <v>#REF!</v>
      </c>
      <c r="AV24" s="1" t="e">
        <f>AU24/VLOOKUP(A24,'[49]geoMap (46)'!$A:$B,2,0)*VLOOKUP(A24,'[49]geoMap (46)'!$A:$C,3,0)</f>
        <v>#REF!</v>
      </c>
      <c r="AW24" s="1" t="e">
        <f>AV24/VLOOKUP(A24,'[50]geoMap (47)'!$A:$B,2,0)*VLOOKUP(A24,'[50]geoMap (47)'!$A:$C,3,0)</f>
        <v>#REF!</v>
      </c>
      <c r="AX24" s="4" t="e">
        <f>AW24/VLOOKUP(A24,'[51]geoMap (48)'!$A:$B,2,0)*VLOOKUP(A24,'[51]geoMap (48)'!$A:$C,3,0)</f>
        <v>#REF!</v>
      </c>
      <c r="AY24" s="1" t="e">
        <f>AX24/VLOOKUP(A24,'[52]geoMap (49)'!$A:$B,2,0)*VLOOKUP(A24,'[52]geoMap (49)'!$A:$C,3,0)</f>
        <v>#REF!</v>
      </c>
      <c r="AZ24" s="4" t="e">
        <f>AY24/VLOOKUP(A24,'[53]geoMap (50)'!$A:$B,2,0)*VLOOKUP(A24,'[53]geoMap (50)'!$A:$C,3,0)</f>
        <v>#REF!</v>
      </c>
      <c r="BA24" s="1" t="e">
        <f>AZ24/VLOOKUP(A24,'[54]geoMap (51)'!$A:$B,2,0)*VLOOKUP(A24,'[54]geoMap (51)'!$A:$C,3,0)</f>
        <v>#REF!</v>
      </c>
      <c r="BB24" s="4" t="e">
        <f>BA24/VLOOKUP(A24,'[55]geoMap (52)'!$A:$B,2,0)*VLOOKUP(A24,'[55]geoMap (52)'!$A:$C,3,0)</f>
        <v>#REF!</v>
      </c>
      <c r="BC24" s="1" t="e">
        <f>BB24/VLOOKUP(A24,'[56]geoMap (53)'!$A:$B,2,0)*VLOOKUP(A24,'[56]geoMap (53)'!$A:$C,3,0)</f>
        <v>#REF!</v>
      </c>
      <c r="BD24" s="4" t="e">
        <f>BC24/VLOOKUP(A24,'[57]geoMap (54)'!$A:$B,2,0)*VLOOKUP(A24,'[57]geoMap (54)'!$A:$C,3,0)</f>
        <v>#REF!</v>
      </c>
      <c r="BE24" s="1" t="e">
        <f>BD24/VLOOKUP(A24,'[58]geoMap (55)'!$A:$B,2,0)*VLOOKUP(A24,'[58]geoMap (55)'!$A:$C,3,0)</f>
        <v>#REF!</v>
      </c>
      <c r="BF24" s="4" t="e">
        <f>BE24/VLOOKUP(A24,'[59]geoMap (56)'!$A:$B,2,0)*VLOOKUP(A24,'[59]geoMap (56)'!$A:$C,3,0)</f>
        <v>#REF!</v>
      </c>
      <c r="BG24" s="1" t="e">
        <f>BF24/VLOOKUP(A24,'[60]geoMap (57)'!$A:$B,2,0)*VLOOKUP(A24,'[60]geoMap (57)'!$A:$C,3,0)</f>
        <v>#REF!</v>
      </c>
      <c r="BH24" s="4" t="e">
        <f>BG24/VLOOKUP(A24,'[61]geoMap (58)'!$A:$B,2,0)*VLOOKUP(A24,'[61]geoMap (58)'!$A:$C,3,0)</f>
        <v>#REF!</v>
      </c>
      <c r="BI24" s="1" t="e">
        <f>BH24/VLOOKUP(A24,'[62]geoMap (59)'!$A:$B,2,0)*VLOOKUP(A24,'[62]geoMap (59)'!$A:$C,3,0)</f>
        <v>#REF!</v>
      </c>
      <c r="BJ24" s="4" t="e">
        <f>BI24/VLOOKUP(A24,'[63]geoMap (60)'!$A:$B,2,0)*VLOOKUP(A24,'[63]geoMap (60)'!$A:$C,3,0)</f>
        <v>#REF!</v>
      </c>
      <c r="BK24" s="1" t="e">
        <f>BJ24/VLOOKUP(A24,'[64]geoMap (61)'!$A:$B,2,0)*VLOOKUP(A24,'[64]geoMap (61)'!$A:$C,3,0)</f>
        <v>#REF!</v>
      </c>
      <c r="BL24" s="4" t="e">
        <f>BK24/VLOOKUP(A24,'[65]geoMap (62)'!$A:$B,2,0)*VLOOKUP(A24,'[65]geoMap (62)'!$A:$C,3,0)</f>
        <v>#REF!</v>
      </c>
      <c r="BM24" s="1" t="e">
        <f>BL24/VLOOKUP(A24,'[66]geoMap (63)'!$A:$B,2,0)*VLOOKUP(A24,'[66]geoMap (63)'!$A:$C,3,0)</f>
        <v>#REF!</v>
      </c>
      <c r="BN24" s="4" t="e">
        <f>BM24/VLOOKUP(A24,'[67]geoMap (64)'!$A:$B,2,0)*VLOOKUP(A24,'[67]geoMap (64)'!$A:$C,3,0)</f>
        <v>#REF!</v>
      </c>
      <c r="BO24" s="1" t="e">
        <f>BN24/VLOOKUP(A24,'[68]geoMap (65)'!$A:$B,2,0)*VLOOKUP(A24,'[68]geoMap (65)'!$A:$C,3,0)</f>
        <v>#REF!</v>
      </c>
      <c r="BP24" s="4" t="e">
        <f>BO24/VLOOKUP(A24,'[69]geoMap (66)'!$A:$B,2,0)*VLOOKUP(A24,'[69]geoMap (66)'!$A:$C,3,0)</f>
        <v>#REF!</v>
      </c>
    </row>
    <row r="25" spans="1:68" x14ac:dyDescent="0.2">
      <c r="A25" s="1" t="s">
        <v>94</v>
      </c>
      <c r="B25" s="1">
        <f>VLOOKUP(A25,[3]geoMap!$A:$B,2,0)*Notes!$C$6</f>
        <v>6000</v>
      </c>
      <c r="C25" s="1">
        <f>B25/VLOOKUP(A25,'[4]geoMap (1)'!$A:$B,2,0)*VLOOKUP(A25,'[4]geoMap (1)'!$A:$C,3,0)</f>
        <v>5764.7058823529405</v>
      </c>
      <c r="D25" s="1">
        <f>C25/VLOOKUP(A25,'[5]geoMap (2)'!$A:$B,2,0)*VLOOKUP(A25,'[5]geoMap (2)'!$A:$C,3,0)</f>
        <v>5321.2669683257909</v>
      </c>
      <c r="E25" s="1">
        <f>D25/VLOOKUP(A25,'[6]geoMap (3)'!$A:$B,2,0)*VLOOKUP(A25,'[6]geoMap (3)'!$A:$C,3,0)</f>
        <v>4180.9954751131208</v>
      </c>
      <c r="F25" s="1">
        <f>E25/VLOOKUP(A25,'[7]geoMap (4)'!$A:$B,2,0)*VLOOKUP(A25,'[7]geoMap (4)'!$A:$C,3,0)</f>
        <v>3561.5887380593254</v>
      </c>
      <c r="G25" s="1">
        <f>F25/VLOOKUP(A25,'[8]geoMap (5)'!$A:$B,2,0)*VLOOKUP(A25,'[8]geoMap (5)'!$A:$C,3,0)</f>
        <v>4180.9954751131208</v>
      </c>
      <c r="H25" s="1">
        <f>G25/VLOOKUP(A25,'[9]geoMap (6)'!$A:$B,2,0)*VLOOKUP(A25,'[9]geoMap (6)'!$A:$C,3,0)</f>
        <v>1791.8552036199089</v>
      </c>
      <c r="I25" s="1">
        <f>H25/VLOOKUP(A25,'[10]geoMap (7)'!$A:$B,2,0)*VLOOKUP(A25,'[10]geoMap (7)'!$A:$C,3,0)</f>
        <v>629.57074721780589</v>
      </c>
      <c r="J25" s="1">
        <f>I25/VLOOKUP(A25,'[11]geoMap (8)'!$A:$B,2,0)*VLOOKUP(A25,'[11]geoMap (8)'!$A:$C,3,0)</f>
        <v>1993.640699523052</v>
      </c>
      <c r="K25" s="1">
        <f>J25/VLOOKUP(A25,'[12]geoMap (9)'!$A:$B,2,0)*VLOOKUP(A25,'[12]geoMap (9)'!$A:$C,3,0)</f>
        <v>1221.9088158367092</v>
      </c>
      <c r="L25" s="1">
        <f>K25/VLOOKUP(A25,'[13]geoMap (10)'!$A:$B,2,0)*VLOOKUP(A25,'[13]geoMap (10)'!$A:$C,3,0)</f>
        <v>960.07121244312862</v>
      </c>
      <c r="M25" s="1">
        <f>L25/VLOOKUP(A25,'[14]geoMap (11)'!$A:$B,2,0)*VLOOKUP(A25,'[14]geoMap (11)'!$A:$C,3,0)</f>
        <v>667.16813068081819</v>
      </c>
      <c r="N25" s="1">
        <f>M25/VLOOKUP(A25,'[15]geoMap (12)'!$A:$B,2,0)*VLOOKUP(A25,'[15]geoMap (12)'!$A:$C,3,0)</f>
        <v>1088.5374763739665</v>
      </c>
      <c r="O25" s="1">
        <f>N25/VLOOKUP(A25,'[16]geoMap (13)'!$A:$B,2,0)*VLOOKUP(A25,'[16]geoMap (13)'!$A:$C,3,0)</f>
        <v>466.51606130312848</v>
      </c>
      <c r="P25" s="1">
        <f>O25/VLOOKUP(A25,'[17]geoMap (14)'!$A:$B,2,0)*VLOOKUP(A25,'[17]geoMap (14)'!$A:$C,3,0)</f>
        <v>366.54833388102946</v>
      </c>
      <c r="Q25" s="1">
        <f>P25/VLOOKUP(A25,'[18]geoMap (15)'!$A:$B,2,0)*VLOOKUP(A25,'[18]geoMap (15)'!$A:$C,3,0)</f>
        <v>254.72002862918998</v>
      </c>
      <c r="R25" s="1">
        <f>Q25/VLOOKUP(A25,'[19]geoMap (16)'!$A:$B,2,0)*VLOOKUP(A25,'[19]geoMap (16)'!$A:$C,3,0)</f>
        <v>517.15884600471907</v>
      </c>
      <c r="S25" s="1">
        <f>R25/VLOOKUP(A25,'[20]geoMap (17)'!$A:$B,2,0)*VLOOKUP(A25,'[20]geoMap (17)'!$A:$C,3,0)</f>
        <v>98.506446858041727</v>
      </c>
      <c r="T25" s="1">
        <f>S25/VLOOKUP(A25,'[21]geoMap (18)'!$A:$B,2,0)*VLOOKUP(A25,'[21]geoMap (18)'!$A:$C,3,0)</f>
        <v>83.912899175368878</v>
      </c>
      <c r="U25" s="1">
        <f>T25/VLOOKUP(A25,'[22]geoMap (19)'!$A:$B,2,0)*VLOOKUP(A25,'[22]geoMap (19)'!$A:$C,3,0)</f>
        <v>74.413325683817689</v>
      </c>
      <c r="V25" s="1">
        <f>U25/VLOOKUP(A25,'[23]geoMap (20)'!$A:$B,2,0)*VLOOKUP(A25,'[23]geoMap (20)'!$A:$C,3,0)</f>
        <v>68.689223708139409</v>
      </c>
      <c r="W25" s="1">
        <f>V25/VLOOKUP(A25,'[24]geoMap (21)'!$A:$B,2,0)*VLOOKUP(A25,'[24]geoMap (21)'!$A:$C,3,0)</f>
        <v>87.422648355813806</v>
      </c>
      <c r="X25" s="1">
        <f>W25/VLOOKUP(A25,'[25]geoMap (22)'!$A:$B,2,0)*VLOOKUP(A25,'[25]geoMap (22)'!$A:$C,3,0)</f>
        <v>19.19033744395913</v>
      </c>
      <c r="Y25" s="1">
        <f>X25/VLOOKUP(A25,'[26]geoMap (23)'!$A:$B,2,0)*VLOOKUP(A25,'[26]geoMap (23)'!$A:$C,3,0)</f>
        <v>26.500942184514987</v>
      </c>
      <c r="Z25" s="1">
        <f>Y25/VLOOKUP(A25,'[27]geoMap (24)'!$A:$B,2,0)*VLOOKUP(A25,'[27]geoMap (24)'!$A:$C,3,0)</f>
        <v>32.390040447740539</v>
      </c>
      <c r="AA25" s="1">
        <f>Z25/VLOOKUP(A25,'[28]geoMap (25)'!$A:$B,2,0)*VLOOKUP(A25,'[28]geoMap (25)'!$A:$C,3,0)</f>
        <v>39.587827213905108</v>
      </c>
      <c r="AB25" s="1">
        <f>AA25*VLOOKUP(A25,'[29]geoMap (26)'!$A:$B,2,0)*VLOOKUP(A25,'[29]geoMap (26)'!$A:$C,3,0)</f>
        <v>9.8613277589837622</v>
      </c>
      <c r="AC25" s="1">
        <f>AB25/VLOOKUP(A25,'[30]geoMap (27)'!$A:$B,2,0)*VLOOKUP(A25,'[30]geoMap (27)'!$A:$C,3,0)</f>
        <v>4.6406248277570645</v>
      </c>
      <c r="AD25" s="1">
        <f>AC25/VLOOKUP(A25,'[31]geoMap (28)'!$A:$B,2,0)*VLOOKUP(A25,'[31]geoMap (28)'!$A:$C,3,0)</f>
        <v>19.783716370964331</v>
      </c>
      <c r="AE25" s="1">
        <f>AD25/VLOOKUP(A25,'[32]geoMap (29)'!$A:$B,2,0)*VLOOKUP(A25,'[32]geoMap (29)'!$A:$C,3,0)</f>
        <v>2.9561875037073144</v>
      </c>
      <c r="AF25" s="1">
        <f>AE25/VLOOKUP(A25,'[33]geoMap (30)'!$A:$B,2,0)*VLOOKUP(A25,'[33]geoMap (30)'!$A:$C,3,0)</f>
        <v>2.6215247674385616</v>
      </c>
      <c r="AG25" s="1">
        <f>AF25/VLOOKUP(A25,'[34]geoMap (31)'!$A:$B,2,0)*VLOOKUP(A25,'[34]geoMap (31)'!$A:$C,3,0)</f>
        <v>0.42675984586209148</v>
      </c>
      <c r="AH25" s="1">
        <f>AG25/VLOOKUP(A25,'[35]geoMap (32)'!$A:$B,2,0)*VLOOKUP(A25,'[35]geoMap (32)'!$A:$C,3,0)</f>
        <v>20.911232447242483</v>
      </c>
      <c r="AI25" s="1">
        <f>AH25/VLOOKUP(A25,'[36]geoMap (33)'!$A:$B,2,0)*VLOOKUP(A25,'[36]geoMap (33)'!$A:$C,3,0)</f>
        <v>3.983091894712854</v>
      </c>
      <c r="AJ25" s="1">
        <f>AI25/VLOOKUP(A25,'[37]geoMap (34)'!$A:$B,2,0)*VLOOKUP(A25,'[37]geoMap (34)'!$A:$C,3,0)</f>
        <v>3.0047886223272409</v>
      </c>
      <c r="AK25" s="1">
        <f>AJ25/VLOOKUP(A25,'[38]geoMap (35)'!$A:$B,2,0)*VLOOKUP(A25,'[38]geoMap (35)'!$A:$C,3,0)</f>
        <v>1.9210943650944656</v>
      </c>
      <c r="AL25" s="1">
        <f>AK25/VLOOKUP(A25,'[39]geoMap (36)'!$A:$B,2,0)*VLOOKUP(A25,'[39]geoMap (36)'!$A:$C,3,0)</f>
        <v>1.1282617699761148</v>
      </c>
      <c r="AM25" s="1">
        <f>AL25/VLOOKUP(A25,'[40]geoMap (37)'!$A:$B,2,0)*VLOOKUP(A25,'[40]geoMap (37)'!$A:$C,3,0)</f>
        <v>3.0504855262317174</v>
      </c>
      <c r="AN25" s="1">
        <f>AM25/VLOOKUP(A25,'[41]geoMap (38)'!$A:$B,2,0)*VLOOKUP(A25,'[41]geoMap (38)'!$A:$C,3,0)</f>
        <v>9.6598708330671048</v>
      </c>
      <c r="AO25" s="1">
        <f>AN25/VLOOKUP(A25,'[42]geoMap (39)'!$A:$B,2,0)*VLOOKUP(A25,'[42]geoMap (39)'!$A:$C,3,0)</f>
        <v>4.3399419684794243</v>
      </c>
      <c r="AP25" s="1">
        <f>AO25/VLOOKUP(A25,'[43]geoMap (40)'!$A:$B,2,0)*VLOOKUP(A25,'[43]geoMap (40)'!$A:$C,3,0)</f>
        <v>4.5170824569887884</v>
      </c>
      <c r="AQ25" s="1">
        <f>AP25/VLOOKUP(A25,'[44]geoMap (41)'!$A:$B,2,0)*VLOOKUP(A25,'[44]geoMap (41)'!$A:$C,3,0)</f>
        <v>1.2740488981250429</v>
      </c>
      <c r="AR25" s="1">
        <f>AQ25/VLOOKUP(A25,'[45]geoMap (42)'!$A:$B,2,0)*VLOOKUP(A25,'[45]geoMap (42)'!$A:$C,3,0)</f>
        <v>4.2652941372012307</v>
      </c>
      <c r="AS25" s="1">
        <f>AR25/VLOOKUP(A25,'[46]geoMap (43)'!$A:$B,2,0)*VLOOKUP(A25,'[46]geoMap (43)'!$A:$C,3,0)</f>
        <v>1.203031679723424</v>
      </c>
      <c r="AT25" s="1">
        <f>AS25/VLOOKUP(A25,'[47]geoMap (44)'!$A:$B,2,0)*VLOOKUP(A25,'[47]geoMap (44)'!$A:$C,3,0)</f>
        <v>2.4425188648930121</v>
      </c>
      <c r="AU25" s="1">
        <f>AT25/VLOOKUP(A25,'[48]geoMap (45)'!$A:$B,2,0)*VLOOKUP(A25,'[48]geoMap (45)'!$A:$C,3,0)</f>
        <v>1.1494206423025939</v>
      </c>
      <c r="AV25" s="1">
        <f>AU25/VLOOKUP(A25,'[49]geoMap (46)'!$A:$B,2,0)*VLOOKUP(A25,'[49]geoMap (46)'!$A:$C,3,0)</f>
        <v>8.6515532216324284E-2</v>
      </c>
      <c r="AW25" s="1">
        <f>AV25/VLOOKUP(A25,'[50]geoMap (47)'!$A:$B,2,0)*VLOOKUP(A25,'[50]geoMap (47)'!$A:$C,3,0)</f>
        <v>9.756006824394016E-2</v>
      </c>
      <c r="AX25" s="4">
        <f>AW25/VLOOKUP(A25,'[51]geoMap (48)'!$A:$B,2,0)*VLOOKUP(A25,'[51]geoMap (48)'!$A:$C,3,0)</f>
        <v>0.17344012132256029</v>
      </c>
      <c r="AY25" s="1">
        <f>AX25/VLOOKUP(A25,'[52]geoMap (49)'!$A:$B,2,0)*VLOOKUP(A25,'[52]geoMap (49)'!$A:$C,3,0)</f>
        <v>0.65246521830867921</v>
      </c>
      <c r="AZ25" s="4" t="e">
        <f>AY25/VLOOKUP(A25,'[53]geoMap (50)'!$A:$B,2,0)*VLOOKUP(A25,'[53]geoMap (50)'!$A:$C,3,0)</f>
        <v>#REF!</v>
      </c>
      <c r="BA25" s="1" t="e">
        <f>AZ25/VLOOKUP(A25,'[54]geoMap (51)'!$A:$B,2,0)*VLOOKUP(A25,'[54]geoMap (51)'!$A:$C,3,0)</f>
        <v>#REF!</v>
      </c>
      <c r="BB25" s="4" t="e">
        <f>BA25/VLOOKUP(A25,'[55]geoMap (52)'!$A:$B,2,0)*VLOOKUP(A25,'[55]geoMap (52)'!$A:$C,3,0)</f>
        <v>#REF!</v>
      </c>
      <c r="BC25" s="1" t="e">
        <f>BB25/VLOOKUP(A25,'[56]geoMap (53)'!$A:$B,2,0)*VLOOKUP(A25,'[56]geoMap (53)'!$A:$C,3,0)</f>
        <v>#REF!</v>
      </c>
      <c r="BD25" s="4" t="e">
        <f>BC25/VLOOKUP(A25,'[57]geoMap (54)'!$A:$B,2,0)*VLOOKUP(A25,'[57]geoMap (54)'!$A:$C,3,0)</f>
        <v>#REF!</v>
      </c>
      <c r="BE25" s="1" t="e">
        <f>BD25/VLOOKUP(A25,'[58]geoMap (55)'!$A:$B,2,0)*VLOOKUP(A25,'[58]geoMap (55)'!$A:$C,3,0)</f>
        <v>#REF!</v>
      </c>
      <c r="BF25" s="4" t="e">
        <f>BE25/VLOOKUP(A25,'[59]geoMap (56)'!$A:$B,2,0)*VLOOKUP(A25,'[59]geoMap (56)'!$A:$C,3,0)</f>
        <v>#REF!</v>
      </c>
      <c r="BG25" s="1" t="e">
        <f>BF25/VLOOKUP(A25,'[60]geoMap (57)'!$A:$B,2,0)*VLOOKUP(A25,'[60]geoMap (57)'!$A:$C,3,0)</f>
        <v>#REF!</v>
      </c>
      <c r="BH25" s="4" t="e">
        <f>BG25/VLOOKUP(A25,'[61]geoMap (58)'!$A:$B,2,0)*VLOOKUP(A25,'[61]geoMap (58)'!$A:$C,3,0)</f>
        <v>#REF!</v>
      </c>
      <c r="BI25" s="1" t="e">
        <f>BH25/VLOOKUP(A25,'[62]geoMap (59)'!$A:$B,2,0)*VLOOKUP(A25,'[62]geoMap (59)'!$A:$C,3,0)</f>
        <v>#REF!</v>
      </c>
      <c r="BJ25" s="4" t="e">
        <f>BI25/VLOOKUP(A25,'[63]geoMap (60)'!$A:$B,2,0)*VLOOKUP(A25,'[63]geoMap (60)'!$A:$C,3,0)</f>
        <v>#REF!</v>
      </c>
      <c r="BK25" s="1" t="e">
        <f>BJ25/VLOOKUP(A25,'[64]geoMap (61)'!$A:$B,2,0)*VLOOKUP(A25,'[64]geoMap (61)'!$A:$C,3,0)</f>
        <v>#REF!</v>
      </c>
      <c r="BL25" s="4" t="e">
        <f>BK25/VLOOKUP(A25,'[65]geoMap (62)'!$A:$B,2,0)*VLOOKUP(A25,'[65]geoMap (62)'!$A:$C,3,0)</f>
        <v>#REF!</v>
      </c>
      <c r="BM25" s="1" t="e">
        <f>BL25/VLOOKUP(A25,'[66]geoMap (63)'!$A:$B,2,0)*VLOOKUP(A25,'[66]geoMap (63)'!$A:$C,3,0)</f>
        <v>#REF!</v>
      </c>
      <c r="BN25" s="4" t="e">
        <f>BM25/VLOOKUP(A25,'[67]geoMap (64)'!$A:$B,2,0)*VLOOKUP(A25,'[67]geoMap (64)'!$A:$C,3,0)</f>
        <v>#REF!</v>
      </c>
      <c r="BO25" s="1" t="e">
        <f>BN25/VLOOKUP(A25,'[68]geoMap (65)'!$A:$B,2,0)*VLOOKUP(A25,'[68]geoMap (65)'!$A:$C,3,0)</f>
        <v>#REF!</v>
      </c>
      <c r="BP25" s="4" t="e">
        <f>BO25/VLOOKUP(A25,'[69]geoMap (66)'!$A:$B,2,0)*VLOOKUP(A25,'[69]geoMap (66)'!$A:$C,3,0)</f>
        <v>#REF!</v>
      </c>
    </row>
    <row r="26" spans="1:68" x14ac:dyDescent="0.2">
      <c r="A26" s="1" t="s">
        <v>78</v>
      </c>
      <c r="B26" s="1">
        <f>VLOOKUP(A26,[3]geoMap!$A:$B,2,0)*Notes!$C$6</f>
        <v>6000</v>
      </c>
      <c r="C26" s="1">
        <f>B26/VLOOKUP(A26,'[4]geoMap (1)'!$A:$B,2,0)*VLOOKUP(A26,'[4]geoMap (1)'!$A:$C,3,0)</f>
        <v>5538.4615384615372</v>
      </c>
      <c r="D26" s="1">
        <f>C26/VLOOKUP(A26,'[5]geoMap (2)'!$A:$B,2,0)*VLOOKUP(A26,'[5]geoMap (2)'!$A:$C,3,0)</f>
        <v>6245.4991816693928</v>
      </c>
      <c r="E26" s="1">
        <f>D26/VLOOKUP(A26,'[6]geoMap (3)'!$A:$B,2,0)*VLOOKUP(A26,'[6]geoMap (3)'!$A:$C,3,0)</f>
        <v>4340.0926516685613</v>
      </c>
      <c r="F26" s="1">
        <f>E26/VLOOKUP(A26,'[7]geoMap (4)'!$A:$B,2,0)*VLOOKUP(A26,'[7]geoMap (4)'!$A:$C,3,0)</f>
        <v>4340.0926516685613</v>
      </c>
      <c r="G26" s="1">
        <f>F26/VLOOKUP(A26,'[8]geoMap (5)'!$A:$B,2,0)*VLOOKUP(A26,'[8]geoMap (5)'!$A:$C,3,0)</f>
        <v>4517.239290512176</v>
      </c>
      <c r="H26" s="1">
        <f>G26/VLOOKUP(A26,'[9]geoMap (6)'!$A:$B,2,0)*VLOOKUP(A26,'[9]geoMap (6)'!$A:$C,3,0)</f>
        <v>2540.9471009130989</v>
      </c>
      <c r="I26" s="1">
        <f>H26/VLOOKUP(A26,'[10]geoMap (7)'!$A:$B,2,0)*VLOOKUP(A26,'[10]geoMap (7)'!$A:$C,3,0)</f>
        <v>2078.9567189288991</v>
      </c>
      <c r="J26" s="1">
        <f>I26/VLOOKUP(A26,'[11]geoMap (8)'!$A:$B,2,0)*VLOOKUP(A26,'[11]geoMap (8)'!$A:$C,3,0)</f>
        <v>1220.9745809582423</v>
      </c>
      <c r="K26" s="1">
        <f>J26/VLOOKUP(A26,'[12]geoMap (9)'!$A:$B,2,0)*VLOOKUP(A26,'[12]geoMap (9)'!$A:$C,3,0)</f>
        <v>1220.9745809582423</v>
      </c>
      <c r="L26" s="1">
        <f>K26/VLOOKUP(A26,'[13]geoMap (10)'!$A:$B,2,0)*VLOOKUP(A26,'[13]geoMap (10)'!$A:$C,3,0)</f>
        <v>286.40144491613091</v>
      </c>
      <c r="M26" s="1">
        <f>L26/VLOOKUP(A26,'[14]geoMap (11)'!$A:$B,2,0)*VLOOKUP(A26,'[14]geoMap (11)'!$A:$C,3,0)</f>
        <v>1503.6075858096872</v>
      </c>
      <c r="N26" s="1">
        <f>M26/VLOOKUP(A26,'[15]geoMap (12)'!$A:$B,2,0)*VLOOKUP(A26,'[15]geoMap (12)'!$A:$C,3,0)</f>
        <v>921.56593968980837</v>
      </c>
      <c r="O26" s="1">
        <f>N26/VLOOKUP(A26,'[16]geoMap (13)'!$A:$B,2,0)*VLOOKUP(A26,'[16]geoMap (13)'!$A:$C,3,0)</f>
        <v>541.23713918290332</v>
      </c>
      <c r="P26" s="1">
        <f>O26/VLOOKUP(A26,'[17]geoMap (14)'!$A:$B,2,0)*VLOOKUP(A26,'[17]geoMap (14)'!$A:$C,3,0)</f>
        <v>190.16440025345253</v>
      </c>
      <c r="Q26" s="1">
        <f>P26/VLOOKUP(A26,'[18]geoMap (15)'!$A:$B,2,0)*VLOOKUP(A26,'[18]geoMap (15)'!$A:$C,3,0)</f>
        <v>369.14265931552546</v>
      </c>
      <c r="R26" s="1">
        <f>Q26/VLOOKUP(A26,'[19]geoMap (16)'!$A:$B,2,0)*VLOOKUP(A26,'[19]geoMap (16)'!$A:$C,3,0)</f>
        <v>104.11716031976358</v>
      </c>
      <c r="S26" s="1">
        <f>R26/VLOOKUP(A26,'[20]geoMap (17)'!$A:$B,2,0)*VLOOKUP(A26,'[20]geoMap (17)'!$A:$C,3,0)</f>
        <v>221.24896567949764</v>
      </c>
      <c r="T26" s="1">
        <f>S26/VLOOKUP(A26,'[21]geoMap (18)'!$A:$B,2,0)*VLOOKUP(A26,'[21]geoMap (18)'!$A:$C,3,0)</f>
        <v>108.97337115557346</v>
      </c>
      <c r="U26" s="1">
        <f>T26/VLOOKUP(A26,'[22]geoMap (19)'!$A:$B,2,0)*VLOOKUP(A26,'[22]geoMap (19)'!$A:$C,3,0)</f>
        <v>56.137797261962085</v>
      </c>
      <c r="V26" s="1">
        <f>U26/VLOOKUP(A26,'[23]geoMap (20)'!$A:$B,2,0)*VLOOKUP(A26,'[23]geoMap (20)'!$A:$C,3,0)</f>
        <v>28.919471316768348</v>
      </c>
      <c r="W26" s="1">
        <f>V26/VLOOKUP(A26,'[24]geoMap (21)'!$A:$B,2,0)*VLOOKUP(A26,'[24]geoMap (21)'!$A:$C,3,0)</f>
        <v>61.453876548132747</v>
      </c>
      <c r="X26" s="1">
        <f>W26/VLOOKUP(A26,'[25]geoMap (22)'!$A:$B,2,0)*VLOOKUP(A26,'[25]geoMap (22)'!$A:$C,3,0)</f>
        <v>84.864877137897608</v>
      </c>
      <c r="Y26" s="1">
        <f>X26/VLOOKUP(A26,'[26]geoMap (23)'!$A:$B,2,0)*VLOOKUP(A26,'[26]geoMap (23)'!$A:$C,3,0)</f>
        <v>72.292302747097963</v>
      </c>
      <c r="Z26" s="1">
        <f>Y26/VLOOKUP(A26,'[27]geoMap (24)'!$A:$B,2,0)*VLOOKUP(A26,'[27]geoMap (24)'!$A:$C,3,0)</f>
        <v>37.241489293959553</v>
      </c>
      <c r="AA26" s="1">
        <f>Z26/VLOOKUP(A26,'[28]geoMap (25)'!$A:$B,2,0)*VLOOKUP(A26,'[28]geoMap (25)'!$A:$C,3,0)</f>
        <v>53.591411423014968</v>
      </c>
      <c r="AB26" s="1">
        <f>AA26*VLOOKUP(A26,'[29]geoMap (26)'!$A:$B,2,0)*VLOOKUP(A26,'[29]geoMap (26)'!$A:$C,3,0)</f>
        <v>12.492158002704789</v>
      </c>
      <c r="AC26" s="1">
        <f>AB26/VLOOKUP(A26,'[30]geoMap (27)'!$A:$B,2,0)*VLOOKUP(A26,'[30]geoMap (27)'!$A:$C,3,0)</f>
        <v>4.1640526675682628</v>
      </c>
      <c r="AD26" s="1">
        <f>AC26/VLOOKUP(A26,'[31]geoMap (28)'!$A:$B,2,0)*VLOOKUP(A26,'[31]geoMap (28)'!$A:$C,3,0)</f>
        <v>8.8486119185825594</v>
      </c>
      <c r="AE26" s="1">
        <f>AD26/VLOOKUP(A26,'[32]geoMap (29)'!$A:$B,2,0)*VLOOKUP(A26,'[32]geoMap (29)'!$A:$C,3,0)</f>
        <v>6.4076155272494395</v>
      </c>
      <c r="AF26" s="1">
        <f>AE26/VLOOKUP(A26,'[33]geoMap (30)'!$A:$B,2,0)*VLOOKUP(A26,'[33]geoMap (30)'!$A:$C,3,0)</f>
        <v>2.7461209402497602</v>
      </c>
      <c r="AG26" s="1">
        <f>AF26/VLOOKUP(A26,'[34]geoMap (31)'!$A:$B,2,0)*VLOOKUP(A26,'[34]geoMap (31)'!$A:$C,3,0)</f>
        <v>2.1576664530533827</v>
      </c>
      <c r="AH26" s="1">
        <f>AG26/VLOOKUP(A26,'[35]geoMap (32)'!$A:$B,2,0)*VLOOKUP(A26,'[35]geoMap (32)'!$A:$C,3,0)</f>
        <v>2.6371478870652458</v>
      </c>
      <c r="AI26" s="1">
        <f>AH26/VLOOKUP(A26,'[36]geoMap (33)'!$A:$B,2,0)*VLOOKUP(A26,'[36]geoMap (33)'!$A:$C,3,0)</f>
        <v>1.0255575116364846</v>
      </c>
      <c r="AJ26" s="1">
        <f>AI26/VLOOKUP(A26,'[37]geoMap (34)'!$A:$B,2,0)*VLOOKUP(A26,'[37]geoMap (34)'!$A:$C,3,0)</f>
        <v>1.9046068073249003</v>
      </c>
      <c r="AK26" s="1">
        <f>AJ26/VLOOKUP(A26,'[38]geoMap (35)'!$A:$B,2,0)*VLOOKUP(A26,'[38]geoMap (35)'!$A:$C,3,0)</f>
        <v>1.6889909423447229</v>
      </c>
      <c r="AL26" s="1">
        <f>AK26/VLOOKUP(A26,'[39]geoMap (36)'!$A:$B,2,0)*VLOOKUP(A26,'[39]geoMap (36)'!$A:$C,3,0)</f>
        <v>19.423395836964314</v>
      </c>
      <c r="AM26" s="1">
        <f>AL26/VLOOKUP(A26,'[40]geoMap (37)'!$A:$B,2,0)*VLOOKUP(A26,'[40]geoMap (37)'!$A:$C,3,0)</f>
        <v>3.9782858943179922</v>
      </c>
      <c r="AN26" s="1">
        <f>AM26/VLOOKUP(A26,'[41]geoMap (38)'!$A:$B,2,0)*VLOOKUP(A26,'[41]geoMap (38)'!$A:$C,3,0)</f>
        <v>4.8623494263886577</v>
      </c>
      <c r="AO26" s="1">
        <f>AN26/VLOOKUP(A26,'[42]geoMap (39)'!$A:$B,2,0)*VLOOKUP(A26,'[42]geoMap (39)'!$A:$C,3,0)</f>
        <v>1.8909136658178116</v>
      </c>
      <c r="AP26" s="1" t="e">
        <f>AO26/VLOOKUP(A26,'[43]geoMap (40)'!$A:$B,2,0)*VLOOKUP(A26,'[43]geoMap (40)'!$A:$C,3,0)</f>
        <v>#REF!</v>
      </c>
      <c r="AQ26" s="1" t="e">
        <f>AP26/VLOOKUP(A26,'[44]geoMap (41)'!$A:$B,2,0)*VLOOKUP(A26,'[44]geoMap (41)'!$A:$C,3,0)</f>
        <v>#REF!</v>
      </c>
      <c r="AR26" s="1" t="e">
        <f>AQ26/VLOOKUP(A26,'[45]geoMap (42)'!$A:$B,2,0)*VLOOKUP(A26,'[45]geoMap (42)'!$A:$C,3,0)</f>
        <v>#REF!</v>
      </c>
      <c r="AS26" s="1" t="e">
        <f>AR26/VLOOKUP(A26,'[46]geoMap (43)'!$A:$B,2,0)*VLOOKUP(A26,'[46]geoMap (43)'!$A:$C,3,0)</f>
        <v>#REF!</v>
      </c>
      <c r="AT26" s="1" t="e">
        <f>AS26/VLOOKUP(A26,'[47]geoMap (44)'!$A:$B,2,0)*VLOOKUP(A26,'[47]geoMap (44)'!$A:$C,3,0)</f>
        <v>#REF!</v>
      </c>
      <c r="AU26" s="1" t="e">
        <f>AT26/VLOOKUP(A26,'[48]geoMap (45)'!$A:$B,2,0)*VLOOKUP(A26,'[48]geoMap (45)'!$A:$C,3,0)</f>
        <v>#REF!</v>
      </c>
      <c r="AV26" s="1" t="e">
        <f>AU26/VLOOKUP(A26,'[49]geoMap (46)'!$A:$B,2,0)*VLOOKUP(A26,'[49]geoMap (46)'!$A:$C,3,0)</f>
        <v>#REF!</v>
      </c>
      <c r="AW26" s="1" t="e">
        <f>AV26/VLOOKUP(A26,'[50]geoMap (47)'!$A:$B,2,0)*VLOOKUP(A26,'[50]geoMap (47)'!$A:$C,3,0)</f>
        <v>#REF!</v>
      </c>
      <c r="AX26" s="4" t="e">
        <f>AW26/VLOOKUP(A26,'[51]geoMap (48)'!$A:$B,2,0)*VLOOKUP(A26,'[51]geoMap (48)'!$A:$C,3,0)</f>
        <v>#REF!</v>
      </c>
      <c r="AY26" s="1" t="e">
        <f>AX26/VLOOKUP(A26,'[52]geoMap (49)'!$A:$B,2,0)*VLOOKUP(A26,'[52]geoMap (49)'!$A:$C,3,0)</f>
        <v>#REF!</v>
      </c>
      <c r="AZ26" s="4" t="e">
        <f>AY26/VLOOKUP(A26,'[53]geoMap (50)'!$A:$B,2,0)*VLOOKUP(A26,'[53]geoMap (50)'!$A:$C,3,0)</f>
        <v>#REF!</v>
      </c>
      <c r="BA26" s="1" t="e">
        <f>AZ26/VLOOKUP(A26,'[54]geoMap (51)'!$A:$B,2,0)*VLOOKUP(A26,'[54]geoMap (51)'!$A:$C,3,0)</f>
        <v>#REF!</v>
      </c>
      <c r="BB26" s="4" t="e">
        <f>BA26/VLOOKUP(A26,'[55]geoMap (52)'!$A:$B,2,0)*VLOOKUP(A26,'[55]geoMap (52)'!$A:$C,3,0)</f>
        <v>#REF!</v>
      </c>
      <c r="BC26" s="1" t="e">
        <f>BB26/VLOOKUP(A26,'[56]geoMap (53)'!$A:$B,2,0)*VLOOKUP(A26,'[56]geoMap (53)'!$A:$C,3,0)</f>
        <v>#REF!</v>
      </c>
      <c r="BD26" s="4" t="e">
        <f>BC26/VLOOKUP(A26,'[57]geoMap (54)'!$A:$B,2,0)*VLOOKUP(A26,'[57]geoMap (54)'!$A:$C,3,0)</f>
        <v>#REF!</v>
      </c>
      <c r="BE26" s="1" t="e">
        <f>BD26/VLOOKUP(A26,'[58]geoMap (55)'!$A:$B,2,0)*VLOOKUP(A26,'[58]geoMap (55)'!$A:$C,3,0)</f>
        <v>#REF!</v>
      </c>
      <c r="BF26" s="4" t="e">
        <f>BE26/VLOOKUP(A26,'[59]geoMap (56)'!$A:$B,2,0)*VLOOKUP(A26,'[59]geoMap (56)'!$A:$C,3,0)</f>
        <v>#REF!</v>
      </c>
      <c r="BG26" s="1" t="e">
        <f>BF26/VLOOKUP(A26,'[60]geoMap (57)'!$A:$B,2,0)*VLOOKUP(A26,'[60]geoMap (57)'!$A:$C,3,0)</f>
        <v>#REF!</v>
      </c>
      <c r="BH26" s="4" t="e">
        <f>BG26/VLOOKUP(A26,'[61]geoMap (58)'!$A:$B,2,0)*VLOOKUP(A26,'[61]geoMap (58)'!$A:$C,3,0)</f>
        <v>#REF!</v>
      </c>
      <c r="BI26" s="1" t="e">
        <f>BH26/VLOOKUP(A26,'[62]geoMap (59)'!$A:$B,2,0)*VLOOKUP(A26,'[62]geoMap (59)'!$A:$C,3,0)</f>
        <v>#REF!</v>
      </c>
      <c r="BJ26" s="4" t="e">
        <f>BI26/VLOOKUP(A26,'[63]geoMap (60)'!$A:$B,2,0)*VLOOKUP(A26,'[63]geoMap (60)'!$A:$C,3,0)</f>
        <v>#REF!</v>
      </c>
      <c r="BK26" s="1" t="e">
        <f>BJ26/VLOOKUP(A26,'[64]geoMap (61)'!$A:$B,2,0)*VLOOKUP(A26,'[64]geoMap (61)'!$A:$C,3,0)</f>
        <v>#REF!</v>
      </c>
      <c r="BL26" s="4" t="e">
        <f>BK26/VLOOKUP(A26,'[65]geoMap (62)'!$A:$B,2,0)*VLOOKUP(A26,'[65]geoMap (62)'!$A:$C,3,0)</f>
        <v>#REF!</v>
      </c>
      <c r="BM26" s="1" t="e">
        <f>BL26/VLOOKUP(A26,'[66]geoMap (63)'!$A:$B,2,0)*VLOOKUP(A26,'[66]geoMap (63)'!$A:$C,3,0)</f>
        <v>#REF!</v>
      </c>
      <c r="BN26" s="4" t="e">
        <f>BM26/VLOOKUP(A26,'[67]geoMap (64)'!$A:$B,2,0)*VLOOKUP(A26,'[67]geoMap (64)'!$A:$C,3,0)</f>
        <v>#REF!</v>
      </c>
      <c r="BO26" s="1" t="e">
        <f>BN26/VLOOKUP(A26,'[68]geoMap (65)'!$A:$B,2,0)*VLOOKUP(A26,'[68]geoMap (65)'!$A:$C,3,0)</f>
        <v>#REF!</v>
      </c>
      <c r="BP26" s="4" t="e">
        <f>BO26/VLOOKUP(A26,'[69]geoMap (66)'!$A:$B,2,0)*VLOOKUP(A26,'[69]geoMap (66)'!$A:$C,3,0)</f>
        <v>#REF!</v>
      </c>
    </row>
    <row r="27" spans="1:68" x14ac:dyDescent="0.2">
      <c r="A27" s="1" t="s">
        <v>81</v>
      </c>
      <c r="B27" s="1">
        <f>VLOOKUP(A27,[3]geoMap!$A:$B,2,0)*Notes!$C$6</f>
        <v>6000</v>
      </c>
      <c r="C27" s="1">
        <f>B27/VLOOKUP(A27,'[4]geoMap (1)'!$A:$B,2,0)*VLOOKUP(A27,'[4]geoMap (1)'!$A:$C,3,0)</f>
        <v>4909.090909090909</v>
      </c>
      <c r="D27" s="1">
        <f>C27/VLOOKUP(A27,'[5]geoMap (2)'!$A:$B,2,0)*VLOOKUP(A27,'[5]geoMap (2)'!$A:$C,3,0)</f>
        <v>4716.5775401069523</v>
      </c>
      <c r="E27" s="1">
        <f>D27/VLOOKUP(A27,'[6]geoMap (3)'!$A:$B,2,0)*VLOOKUP(A27,'[6]geoMap (3)'!$A:$C,3,0)</f>
        <v>3558.1198986771747</v>
      </c>
      <c r="F27" s="1">
        <f>E27/VLOOKUP(A27,'[7]geoMap (4)'!$A:$B,2,0)*VLOOKUP(A27,'[7]geoMap (4)'!$A:$C,3,0)</f>
        <v>3284.4183680096999</v>
      </c>
      <c r="G27" s="1">
        <f>F27/VLOOKUP(A27,'[8]geoMap (5)'!$A:$B,2,0)*VLOOKUP(A27,'[8]geoMap (5)'!$A:$C,3,0)</f>
        <v>3703.7058192449808</v>
      </c>
      <c r="H27" s="1">
        <f>G27/VLOOKUP(A27,'[9]geoMap (6)'!$A:$B,2,0)*VLOOKUP(A27,'[9]geoMap (6)'!$A:$C,3,0)</f>
        <v>2083.3345233253017</v>
      </c>
      <c r="I27" s="1">
        <f>H27/VLOOKUP(A27,'[10]geoMap (7)'!$A:$B,2,0)*VLOOKUP(A27,'[10]geoMap (7)'!$A:$C,3,0)</f>
        <v>980.3927168589654</v>
      </c>
      <c r="J27" s="1">
        <f>I27/VLOOKUP(A27,'[11]geoMap (8)'!$A:$B,2,0)*VLOOKUP(A27,'[11]geoMap (8)'!$A:$C,3,0)</f>
        <v>1299.5903456037447</v>
      </c>
      <c r="K27" s="1">
        <f>J27/VLOOKUP(A27,'[12]geoMap (9)'!$A:$B,2,0)*VLOOKUP(A27,'[12]geoMap (9)'!$A:$C,3,0)</f>
        <v>1299.5903456037447</v>
      </c>
      <c r="L27" s="1">
        <f>K27/VLOOKUP(A27,'[13]geoMap (10)'!$A:$B,2,0)*VLOOKUP(A27,'[13]geoMap (10)'!$A:$C,3,0)</f>
        <v>611.57192734293869</v>
      </c>
      <c r="M27" s="1">
        <f>L27/VLOOKUP(A27,'[14]geoMap (11)'!$A:$B,2,0)*VLOOKUP(A27,'[14]geoMap (11)'!$A:$C,3,0)</f>
        <v>442.86243014488662</v>
      </c>
      <c r="N27" s="1">
        <f>M27/VLOOKUP(A27,'[15]geoMap (12)'!$A:$B,2,0)*VLOOKUP(A27,'[15]geoMap (12)'!$A:$C,3,0)</f>
        <v>664.29364521732975</v>
      </c>
      <c r="O27" s="1">
        <f>N27/VLOOKUP(A27,'[16]geoMap (13)'!$A:$B,2,0)*VLOOKUP(A27,'[16]geoMap (13)'!$A:$C,3,0)</f>
        <v>407.14771803642788</v>
      </c>
      <c r="P27" s="1">
        <f>O27/VLOOKUP(A27,'[17]geoMap (14)'!$A:$B,2,0)*VLOOKUP(A27,'[17]geoMap (14)'!$A:$C,3,0)</f>
        <v>200.53544321197194</v>
      </c>
      <c r="Q27" s="1">
        <f>P27/VLOOKUP(A27,'[18]geoMap (15)'!$A:$B,2,0)*VLOOKUP(A27,'[18]geoMap (15)'!$A:$C,3,0)</f>
        <v>164.07445353706794</v>
      </c>
      <c r="R27" s="1">
        <f>Q27/VLOOKUP(A27,'[19]geoMap (16)'!$A:$B,2,0)*VLOOKUP(A27,'[19]geoMap (16)'!$A:$C,3,0)</f>
        <v>134.24273471214647</v>
      </c>
      <c r="S27" s="1">
        <f>R27/VLOOKUP(A27,'[20]geoMap (17)'!$A:$B,2,0)*VLOOKUP(A27,'[20]geoMap (17)'!$A:$C,3,0)</f>
        <v>85.827322193011682</v>
      </c>
      <c r="T27" s="1">
        <f>S27/VLOOKUP(A27,'[21]geoMap (18)'!$A:$B,2,0)*VLOOKUP(A27,'[21]geoMap (18)'!$A:$C,3,0)</f>
        <v>85.827322193011682</v>
      </c>
      <c r="U27" s="1">
        <f>T27/VLOOKUP(A27,'[22]geoMap (19)'!$A:$B,2,0)*VLOOKUP(A27,'[22]geoMap (19)'!$A:$C,3,0)</f>
        <v>59.642715422262349</v>
      </c>
      <c r="V27" s="1">
        <f>U27/VLOOKUP(A27,'[23]geoMap (20)'!$A:$B,2,0)*VLOOKUP(A27,'[23]geoMap (20)'!$A:$C,3,0)</f>
        <v>93.287324122000072</v>
      </c>
      <c r="W27" s="1">
        <f>V27/VLOOKUP(A27,'[24]geoMap (21)'!$A:$B,2,0)*VLOOKUP(A27,'[24]geoMap (21)'!$A:$C,3,0)</f>
        <v>38.10327323292961</v>
      </c>
      <c r="X27" s="1">
        <f>W27/VLOOKUP(A27,'[25]geoMap (22)'!$A:$B,2,0)*VLOOKUP(A27,'[25]geoMap (22)'!$A:$C,3,0)</f>
        <v>48.495075023728596</v>
      </c>
      <c r="Y27" s="1">
        <f>X27/VLOOKUP(A27,'[26]geoMap (23)'!$A:$B,2,0)*VLOOKUP(A27,'[26]geoMap (23)'!$A:$C,3,0)</f>
        <v>52.536331275705983</v>
      </c>
      <c r="Z27" s="1">
        <f>Y27/VLOOKUP(A27,'[27]geoMap (24)'!$A:$B,2,0)*VLOOKUP(A27,'[27]geoMap (24)'!$A:$C,3,0)</f>
        <v>33.588801963156286</v>
      </c>
      <c r="AA27" s="1">
        <f>Z27/VLOOKUP(A27,'[28]geoMap (25)'!$A:$B,2,0)*VLOOKUP(A27,'[28]geoMap (25)'!$A:$C,3,0)</f>
        <v>39.430332739357382</v>
      </c>
      <c r="AB27" s="1">
        <f>AA27*VLOOKUP(A27,'[29]geoMap (26)'!$A:$B,2,0)*VLOOKUP(A27,'[29]geoMap (26)'!$A:$C,3,0)</f>
        <v>8.9704006982038038</v>
      </c>
      <c r="AC27" s="1">
        <f>AB27/VLOOKUP(A27,'[30]geoMap (27)'!$A:$B,2,0)*VLOOKUP(A27,'[30]geoMap (27)'!$A:$C,3,0)</f>
        <v>5.9802671321358698</v>
      </c>
      <c r="AD27" s="1">
        <f>AC27/VLOOKUP(A27,'[31]geoMap (28)'!$A:$B,2,0)*VLOOKUP(A27,'[31]geoMap (28)'!$A:$C,3,0)</f>
        <v>4.5114295909095157</v>
      </c>
      <c r="AE27" s="1">
        <f>AD27/VLOOKUP(A27,'[32]geoMap (29)'!$A:$B,2,0)*VLOOKUP(A27,'[32]geoMap (29)'!$A:$C,3,0)</f>
        <v>4.1643965454549372</v>
      </c>
      <c r="AF27" s="1">
        <f>AE27/VLOOKUP(A27,'[33]geoMap (30)'!$A:$B,2,0)*VLOOKUP(A27,'[33]geoMap (30)'!$A:$C,3,0)</f>
        <v>1.5402562565381277</v>
      </c>
      <c r="AG27" s="1">
        <f>AF27/VLOOKUP(A27,'[34]geoMap (31)'!$A:$B,2,0)*VLOOKUP(A27,'[34]geoMap (31)'!$A:$C,3,0)</f>
        <v>2.7382333449566718</v>
      </c>
      <c r="AH27" s="1">
        <f>AG27/VLOOKUP(A27,'[35]geoMap (32)'!$A:$B,2,0)*VLOOKUP(A27,'[35]geoMap (32)'!$A:$C,3,0)</f>
        <v>31.489683467001726</v>
      </c>
      <c r="AI27" s="1">
        <f>AH27/VLOOKUP(A27,'[36]geoMap (33)'!$A:$B,2,0)*VLOOKUP(A27,'[36]geoMap (33)'!$A:$C,3,0)</f>
        <v>2.7382333449566718</v>
      </c>
      <c r="AJ27" s="1">
        <f>AI27/VLOOKUP(A27,'[37]geoMap (34)'!$A:$B,2,0)*VLOOKUP(A27,'[37]geoMap (34)'!$A:$C,3,0)</f>
        <v>2.8499979712814336</v>
      </c>
      <c r="AK27" s="1">
        <f>AJ27/VLOOKUP(A27,'[38]geoMap (35)'!$A:$B,2,0)*VLOOKUP(A27,'[38]geoMap (35)'!$A:$C,3,0)</f>
        <v>1.9805070647887928</v>
      </c>
      <c r="AL27" s="1">
        <f>AK27/VLOOKUP(A27,'[39]geoMap (36)'!$A:$B,2,0)*VLOOKUP(A27,'[39]geoMap (36)'!$A:$C,3,0)</f>
        <v>0.93200332460649071</v>
      </c>
      <c r="AM27" s="1">
        <f>AL27/VLOOKUP(A27,'[40]geoMap (37)'!$A:$B,2,0)*VLOOKUP(A27,'[40]geoMap (37)'!$A:$C,3,0)</f>
        <v>2.2818012430020977</v>
      </c>
      <c r="AN27" s="1">
        <f>AM27/VLOOKUP(A27,'[41]geoMap (38)'!$A:$B,2,0)*VLOOKUP(A27,'[41]geoMap (38)'!$A:$C,3,0)</f>
        <v>2.6786362417850711</v>
      </c>
      <c r="AO27" s="1">
        <f>AN27/VLOOKUP(A27,'[42]geoMap (39)'!$A:$B,2,0)*VLOOKUP(A27,'[42]geoMap (39)'!$A:$C,3,0)</f>
        <v>0.94114246332988982</v>
      </c>
      <c r="AP27" s="1">
        <f>AO27/VLOOKUP(A27,'[43]geoMap (40)'!$A:$B,2,0)*VLOOKUP(A27,'[43]geoMap (40)'!$A:$C,3,0)</f>
        <v>0.65401425417839798</v>
      </c>
      <c r="AQ27" s="1" t="e">
        <f>AP27/VLOOKUP(A27,'[44]geoMap (41)'!$A:$B,2,0)*VLOOKUP(A27,'[44]geoMap (41)'!$A:$C,3,0)</f>
        <v>#REF!</v>
      </c>
      <c r="AR27" s="1" t="e">
        <f>AQ27/VLOOKUP(A27,'[45]geoMap (42)'!$A:$B,2,0)*VLOOKUP(A27,'[45]geoMap (42)'!$A:$C,3,0)</f>
        <v>#REF!</v>
      </c>
      <c r="AS27" s="1" t="e">
        <f>AR27/VLOOKUP(A27,'[46]geoMap (43)'!$A:$B,2,0)*VLOOKUP(A27,'[46]geoMap (43)'!$A:$C,3,0)</f>
        <v>#REF!</v>
      </c>
      <c r="AT27" s="1" t="e">
        <f>AS27/VLOOKUP(A27,'[47]geoMap (44)'!$A:$B,2,0)*VLOOKUP(A27,'[47]geoMap (44)'!$A:$C,3,0)</f>
        <v>#REF!</v>
      </c>
      <c r="AU27" s="1" t="e">
        <f>AT27/VLOOKUP(A27,'[48]geoMap (45)'!$A:$B,2,0)*VLOOKUP(A27,'[48]geoMap (45)'!$A:$C,3,0)</f>
        <v>#REF!</v>
      </c>
      <c r="AV27" s="1" t="e">
        <f>AU27/VLOOKUP(A27,'[49]geoMap (46)'!$A:$B,2,0)*VLOOKUP(A27,'[49]geoMap (46)'!$A:$C,3,0)</f>
        <v>#REF!</v>
      </c>
      <c r="AW27" s="1" t="e">
        <f>AV27/VLOOKUP(A27,'[50]geoMap (47)'!$A:$B,2,0)*VLOOKUP(A27,'[50]geoMap (47)'!$A:$C,3,0)</f>
        <v>#REF!</v>
      </c>
      <c r="AX27" s="4" t="e">
        <f>AW27/VLOOKUP(A27,'[51]geoMap (48)'!$A:$B,2,0)*VLOOKUP(A27,'[51]geoMap (48)'!$A:$C,3,0)</f>
        <v>#REF!</v>
      </c>
      <c r="AY27" s="1" t="e">
        <f>AX27/VLOOKUP(A27,'[52]geoMap (49)'!$A:$B,2,0)*VLOOKUP(A27,'[52]geoMap (49)'!$A:$C,3,0)</f>
        <v>#REF!</v>
      </c>
      <c r="AZ27" s="4" t="e">
        <f>AY27/VLOOKUP(A27,'[53]geoMap (50)'!$A:$B,2,0)*VLOOKUP(A27,'[53]geoMap (50)'!$A:$C,3,0)</f>
        <v>#REF!</v>
      </c>
      <c r="BA27" s="1" t="e">
        <f>AZ27/VLOOKUP(A27,'[54]geoMap (51)'!$A:$B,2,0)*VLOOKUP(A27,'[54]geoMap (51)'!$A:$C,3,0)</f>
        <v>#REF!</v>
      </c>
      <c r="BB27" s="4" t="e">
        <f>BA27/VLOOKUP(A27,'[55]geoMap (52)'!$A:$B,2,0)*VLOOKUP(A27,'[55]geoMap (52)'!$A:$C,3,0)</f>
        <v>#REF!</v>
      </c>
      <c r="BC27" s="1" t="e">
        <f>BB27/VLOOKUP(A27,'[56]geoMap (53)'!$A:$B,2,0)*VLOOKUP(A27,'[56]geoMap (53)'!$A:$C,3,0)</f>
        <v>#REF!</v>
      </c>
      <c r="BD27" s="4" t="e">
        <f>BC27/VLOOKUP(A27,'[57]geoMap (54)'!$A:$B,2,0)*VLOOKUP(A27,'[57]geoMap (54)'!$A:$C,3,0)</f>
        <v>#REF!</v>
      </c>
      <c r="BE27" s="1" t="e">
        <f>BD27/VLOOKUP(A27,'[58]geoMap (55)'!$A:$B,2,0)*VLOOKUP(A27,'[58]geoMap (55)'!$A:$C,3,0)</f>
        <v>#REF!</v>
      </c>
      <c r="BF27" s="4" t="e">
        <f>BE27/VLOOKUP(A27,'[59]geoMap (56)'!$A:$B,2,0)*VLOOKUP(A27,'[59]geoMap (56)'!$A:$C,3,0)</f>
        <v>#REF!</v>
      </c>
      <c r="BG27" s="1" t="e">
        <f>BF27/VLOOKUP(A27,'[60]geoMap (57)'!$A:$B,2,0)*VLOOKUP(A27,'[60]geoMap (57)'!$A:$C,3,0)</f>
        <v>#REF!</v>
      </c>
      <c r="BH27" s="4" t="e">
        <f>BG27/VLOOKUP(A27,'[61]geoMap (58)'!$A:$B,2,0)*VLOOKUP(A27,'[61]geoMap (58)'!$A:$C,3,0)</f>
        <v>#REF!</v>
      </c>
      <c r="BI27" s="1" t="e">
        <f>BH27/VLOOKUP(A27,'[62]geoMap (59)'!$A:$B,2,0)*VLOOKUP(A27,'[62]geoMap (59)'!$A:$C,3,0)</f>
        <v>#REF!</v>
      </c>
      <c r="BJ27" s="4" t="e">
        <f>BI27/VLOOKUP(A27,'[63]geoMap (60)'!$A:$B,2,0)*VLOOKUP(A27,'[63]geoMap (60)'!$A:$C,3,0)</f>
        <v>#REF!</v>
      </c>
      <c r="BK27" s="1" t="e">
        <f>BJ27/VLOOKUP(A27,'[64]geoMap (61)'!$A:$B,2,0)*VLOOKUP(A27,'[64]geoMap (61)'!$A:$C,3,0)</f>
        <v>#REF!</v>
      </c>
      <c r="BL27" s="4" t="e">
        <f>BK27/VLOOKUP(A27,'[65]geoMap (62)'!$A:$B,2,0)*VLOOKUP(A27,'[65]geoMap (62)'!$A:$C,3,0)</f>
        <v>#REF!</v>
      </c>
      <c r="BM27" s="1" t="e">
        <f>BL27/VLOOKUP(A27,'[66]geoMap (63)'!$A:$B,2,0)*VLOOKUP(A27,'[66]geoMap (63)'!$A:$C,3,0)</f>
        <v>#REF!</v>
      </c>
      <c r="BN27" s="4" t="e">
        <f>BM27/VLOOKUP(A27,'[67]geoMap (64)'!$A:$B,2,0)*VLOOKUP(A27,'[67]geoMap (64)'!$A:$C,3,0)</f>
        <v>#REF!</v>
      </c>
      <c r="BO27" s="1" t="e">
        <f>BN27/VLOOKUP(A27,'[68]geoMap (65)'!$A:$B,2,0)*VLOOKUP(A27,'[68]geoMap (65)'!$A:$C,3,0)</f>
        <v>#REF!</v>
      </c>
      <c r="BP27" s="4" t="e">
        <f>BO27/VLOOKUP(A27,'[69]geoMap (66)'!$A:$B,2,0)*VLOOKUP(A27,'[69]geoMap (66)'!$A:$C,3,0)</f>
        <v>#REF!</v>
      </c>
    </row>
    <row r="28" spans="1:68" x14ac:dyDescent="0.2">
      <c r="A28" s="1" t="s">
        <v>73</v>
      </c>
      <c r="B28" s="1">
        <f>VLOOKUP(A28,[3]geoMap!$A:$B,2,0)*Notes!$C$6</f>
        <v>6000</v>
      </c>
      <c r="C28" s="1">
        <f>B28/VLOOKUP(A28,'[4]geoMap (1)'!$A:$B,2,0)*VLOOKUP(A28,'[4]geoMap (1)'!$A:$C,3,0)</f>
        <v>4169.4915254237285</v>
      </c>
      <c r="D28" s="1">
        <f>C28/VLOOKUP(A28,'[5]geoMap (2)'!$A:$B,2,0)*VLOOKUP(A28,'[5]geoMap (2)'!$A:$C,3,0)</f>
        <v>5527.0003941663372</v>
      </c>
      <c r="E28" s="1">
        <f>D28/VLOOKUP(A28,'[6]geoMap (3)'!$A:$B,2,0)*VLOOKUP(A28,'[6]geoMap (3)'!$A:$C,3,0)</f>
        <v>4901.3022363361861</v>
      </c>
      <c r="F28" s="1">
        <f>E28/VLOOKUP(A28,'[7]geoMap (4)'!$A:$B,2,0)*VLOOKUP(A28,'[7]geoMap (4)'!$A:$C,3,0)</f>
        <v>3133.6194625755943</v>
      </c>
      <c r="G28" s="1">
        <f>F28/VLOOKUP(A28,'[8]geoMap (5)'!$A:$B,2,0)*VLOOKUP(A28,'[8]geoMap (5)'!$A:$C,3,0)</f>
        <v>3394.7544177902273</v>
      </c>
      <c r="H28" s="1">
        <f>G28/VLOOKUP(A28,'[9]geoMap (6)'!$A:$B,2,0)*VLOOKUP(A28,'[9]geoMap (6)'!$A:$C,3,0)</f>
        <v>1255.5940997306323</v>
      </c>
      <c r="I28" s="1">
        <f>H28/VLOOKUP(A28,'[10]geoMap (7)'!$A:$B,2,0)*VLOOKUP(A28,'[10]geoMap (7)'!$A:$C,3,0)</f>
        <v>1664.3921787126983</v>
      </c>
      <c r="J28" s="1">
        <f>I28/VLOOKUP(A28,'[11]geoMap (8)'!$A:$B,2,0)*VLOOKUP(A28,'[11]geoMap (8)'!$A:$C,3,0)</f>
        <v>1205.2495087229884</v>
      </c>
      <c r="K28" s="1">
        <f>J28/VLOOKUP(A28,'[12]geoMap (9)'!$A:$B,2,0)*VLOOKUP(A28,'[12]geoMap (9)'!$A:$C,3,0)</f>
        <v>1026.6940259492123</v>
      </c>
      <c r="L28" s="1">
        <f>K28/VLOOKUP(A28,'[13]geoMap (10)'!$A:$B,2,0)*VLOOKUP(A28,'[13]geoMap (10)'!$A:$C,3,0)</f>
        <v>552.83524474188357</v>
      </c>
      <c r="M28" s="1">
        <f>L28/VLOOKUP(A28,'[14]geoMap (11)'!$A:$B,2,0)*VLOOKUP(A28,'[14]geoMap (11)'!$A:$C,3,0)</f>
        <v>368.55682982792246</v>
      </c>
      <c r="N28" s="1">
        <f>M28/VLOOKUP(A28,'[15]geoMap (12)'!$A:$B,2,0)*VLOOKUP(A28,'[15]geoMap (12)'!$A:$C,3,0)</f>
        <v>508.95943166713101</v>
      </c>
      <c r="O28" s="1">
        <f>N28/VLOOKUP(A28,'[16]geoMap (13)'!$A:$B,2,0)*VLOOKUP(A28,'[16]geoMap (13)'!$A:$C,3,0)</f>
        <v>325.40029237734603</v>
      </c>
      <c r="P28" s="1">
        <f>O28/VLOOKUP(A28,'[17]geoMap (14)'!$A:$B,2,0)*VLOOKUP(A28,'[17]geoMap (14)'!$A:$C,3,0)</f>
        <v>414.14582666207684</v>
      </c>
      <c r="Q28" s="1">
        <f>P28/VLOOKUP(A28,'[18]geoMap (15)'!$A:$B,2,0)*VLOOKUP(A28,'[18]geoMap (15)'!$A:$C,3,0)</f>
        <v>153.17722355994624</v>
      </c>
      <c r="R28" s="1">
        <f>Q28/VLOOKUP(A28,'[19]geoMap (16)'!$A:$B,2,0)*VLOOKUP(A28,'[19]geoMap (16)'!$A:$C,3,0)</f>
        <v>102.11814903996418</v>
      </c>
      <c r="S28" s="1">
        <f>R28/VLOOKUP(A28,'[20]geoMap (17)'!$A:$B,2,0)*VLOOKUP(A28,'[20]geoMap (17)'!$A:$C,3,0)</f>
        <v>77.036498398569478</v>
      </c>
      <c r="T28" s="1">
        <f>S28/VLOOKUP(A28,'[21]geoMap (18)'!$A:$B,2,0)*VLOOKUP(A28,'[21]geoMap (18)'!$A:$C,3,0)</f>
        <v>98.046452507270246</v>
      </c>
      <c r="U28" s="1">
        <f>T28/VLOOKUP(A28,'[22]geoMap (19)'!$A:$B,2,0)*VLOOKUP(A28,'[22]geoMap (19)'!$A:$C,3,0)</f>
        <v>55.151129535339507</v>
      </c>
      <c r="V28" s="1">
        <f>U28/VLOOKUP(A28,'[23]geoMap (20)'!$A:$B,2,0)*VLOOKUP(A28,'[23]geoMap (20)'!$A:$C,3,0)</f>
        <v>93.905977316929423</v>
      </c>
      <c r="W28" s="1">
        <f>V28/VLOOKUP(A28,'[24]geoMap (21)'!$A:$B,2,0)*VLOOKUP(A28,'[24]geoMap (21)'!$A:$C,3,0)</f>
        <v>23.476494329232356</v>
      </c>
      <c r="X28" s="1">
        <f>W28/VLOOKUP(A28,'[25]geoMap (22)'!$A:$B,2,0)*VLOOKUP(A28,'[25]geoMap (22)'!$A:$C,3,0)</f>
        <v>43.599203754288666</v>
      </c>
      <c r="Y28" s="1">
        <f>X28/VLOOKUP(A28,'[26]geoMap (23)'!$A:$B,2,0)*VLOOKUP(A28,'[26]geoMap (23)'!$A:$C,3,0)</f>
        <v>38.663444838708813</v>
      </c>
      <c r="Z28" s="1">
        <f>Y28/VLOOKUP(A28,'[27]geoMap (24)'!$A:$B,2,0)*VLOOKUP(A28,'[27]geoMap (24)'!$A:$C,3,0)</f>
        <v>41.885398575267885</v>
      </c>
      <c r="AA28" s="1">
        <f>Z28/VLOOKUP(A28,'[28]geoMap (25)'!$A:$B,2,0)*VLOOKUP(A28,'[28]geoMap (25)'!$A:$C,3,0)</f>
        <v>26.779189253040126</v>
      </c>
      <c r="AB28" s="1">
        <f>AA28*VLOOKUP(A28,'[29]geoMap (26)'!$A:$B,2,0)*VLOOKUP(A28,'[29]geoMap (26)'!$A:$C,3,0)</f>
        <v>6.5234105020405746</v>
      </c>
      <c r="AC28" s="1">
        <f>AB28/VLOOKUP(A28,'[30]geoMap (27)'!$A:$B,2,0)*VLOOKUP(A28,'[30]geoMap (27)'!$A:$C,3,0)</f>
        <v>5.5569793165530816</v>
      </c>
      <c r="AD28" s="1">
        <f>AC28/VLOOKUP(A28,'[31]geoMap (28)'!$A:$B,2,0)*VLOOKUP(A28,'[31]geoMap (28)'!$A:$C,3,0)</f>
        <v>3.4058905488551146</v>
      </c>
      <c r="AE28" s="1">
        <f>AD28/VLOOKUP(A28,'[32]geoMap (29)'!$A:$B,2,0)*VLOOKUP(A28,'[32]geoMap (29)'!$A:$C,3,0)</f>
        <v>2.5693560280836834</v>
      </c>
      <c r="AF28" s="1">
        <f>AE28/VLOOKUP(A28,'[33]geoMap (30)'!$A:$B,2,0)*VLOOKUP(A28,'[33]geoMap (30)'!$A:$C,3,0)</f>
        <v>1.4452627657970718</v>
      </c>
      <c r="AG28" s="1">
        <f>AF28/VLOOKUP(A28,'[34]geoMap (31)'!$A:$B,2,0)*VLOOKUP(A28,'[34]geoMap (31)'!$A:$C,3,0)</f>
        <v>1.7664322693075323</v>
      </c>
      <c r="AH28" s="1">
        <f>AG28/VLOOKUP(A28,'[35]geoMap (32)'!$A:$B,2,0)*VLOOKUP(A28,'[35]geoMap (32)'!$A:$C,3,0)</f>
        <v>2.3415497523378916</v>
      </c>
      <c r="AI28" s="1">
        <f>AH28/VLOOKUP(A28,'[36]geoMap (33)'!$A:$B,2,0)*VLOOKUP(A28,'[36]geoMap (33)'!$A:$C,3,0)</f>
        <v>1.1533006242858272</v>
      </c>
      <c r="AJ28" s="1">
        <f>AI28/VLOOKUP(A28,'[37]geoMap (34)'!$A:$B,2,0)*VLOOKUP(A28,'[37]geoMap (34)'!$A:$C,3,0)</f>
        <v>0.90616477622457847</v>
      </c>
      <c r="AK28" s="1">
        <f>AJ28/VLOOKUP(A28,'[38]geoMap (35)'!$A:$B,2,0)*VLOOKUP(A28,'[38]geoMap (35)'!$A:$C,3,0)</f>
        <v>1.8397890911226291</v>
      </c>
      <c r="AL28" s="1">
        <f>AK28/VLOOKUP(A28,'[39]geoMap (36)'!$A:$B,2,0)*VLOOKUP(A28,'[39]geoMap (36)'!$A:$C,3,0)</f>
        <v>9.658892728393802</v>
      </c>
      <c r="AM28" s="1">
        <f>AL28/VLOOKUP(A28,'[40]geoMap (37)'!$A:$B,2,0)*VLOOKUP(A28,'[40]geoMap (37)'!$A:$C,3,0)</f>
        <v>0.61652506776981719</v>
      </c>
      <c r="AN28" s="1">
        <f>AM28/VLOOKUP(A28,'[41]geoMap (38)'!$A:$B,2,0)*VLOOKUP(A28,'[41]geoMap (38)'!$A:$C,3,0)</f>
        <v>1.3722654734231414</v>
      </c>
      <c r="AO28" s="1">
        <f>AN28/VLOOKUP(A28,'[42]geoMap (39)'!$A:$B,2,0)*VLOOKUP(A28,'[42]geoMap (39)'!$A:$C,3,0)</f>
        <v>0.50755024359486056</v>
      </c>
      <c r="AP28" s="1">
        <f>AO28/VLOOKUP(A28,'[43]geoMap (40)'!$A:$B,2,0)*VLOOKUP(A28,'[43]geoMap (40)'!$A:$C,3,0)</f>
        <v>0.41526838112306769</v>
      </c>
      <c r="AQ28" s="1" t="e">
        <f>AP28/VLOOKUP(A28,'[44]geoMap (41)'!$A:$B,2,0)*VLOOKUP(A28,'[44]geoMap (41)'!$A:$C,3,0)</f>
        <v>#REF!</v>
      </c>
      <c r="AR28" s="1" t="e">
        <f>AQ28/VLOOKUP(A28,'[45]geoMap (42)'!$A:$B,2,0)*VLOOKUP(A28,'[45]geoMap (42)'!$A:$C,3,0)</f>
        <v>#REF!</v>
      </c>
      <c r="AS28" s="1" t="e">
        <f>AR28/VLOOKUP(A28,'[46]geoMap (43)'!$A:$B,2,0)*VLOOKUP(A28,'[46]geoMap (43)'!$A:$C,3,0)</f>
        <v>#REF!</v>
      </c>
      <c r="AT28" s="1" t="e">
        <f>AS28/VLOOKUP(A28,'[47]geoMap (44)'!$A:$B,2,0)*VLOOKUP(A28,'[47]geoMap (44)'!$A:$C,3,0)</f>
        <v>#REF!</v>
      </c>
      <c r="AU28" s="1" t="e">
        <f>AT28/VLOOKUP(A28,'[48]geoMap (45)'!$A:$B,2,0)*VLOOKUP(A28,'[48]geoMap (45)'!$A:$C,3,0)</f>
        <v>#REF!</v>
      </c>
      <c r="AV28" s="1" t="e">
        <f>AU28/VLOOKUP(A28,'[49]geoMap (46)'!$A:$B,2,0)*VLOOKUP(A28,'[49]geoMap (46)'!$A:$C,3,0)</f>
        <v>#REF!</v>
      </c>
      <c r="AW28" s="1" t="e">
        <f>AV28/VLOOKUP(A28,'[50]geoMap (47)'!$A:$B,2,0)*VLOOKUP(A28,'[50]geoMap (47)'!$A:$C,3,0)</f>
        <v>#REF!</v>
      </c>
      <c r="AX28" s="4" t="e">
        <f>AW28/VLOOKUP(A28,'[51]geoMap (48)'!$A:$B,2,0)*VLOOKUP(A28,'[51]geoMap (48)'!$A:$C,3,0)</f>
        <v>#REF!</v>
      </c>
      <c r="AY28" s="1" t="e">
        <f>AX28/VLOOKUP(A28,'[52]geoMap (49)'!$A:$B,2,0)*VLOOKUP(A28,'[52]geoMap (49)'!$A:$C,3,0)</f>
        <v>#REF!</v>
      </c>
      <c r="AZ28" s="4" t="e">
        <f>AY28/VLOOKUP(A28,'[53]geoMap (50)'!$A:$B,2,0)*VLOOKUP(A28,'[53]geoMap (50)'!$A:$C,3,0)</f>
        <v>#REF!</v>
      </c>
      <c r="BA28" s="1" t="e">
        <f>AZ28/VLOOKUP(A28,'[54]geoMap (51)'!$A:$B,2,0)*VLOOKUP(A28,'[54]geoMap (51)'!$A:$C,3,0)</f>
        <v>#REF!</v>
      </c>
      <c r="BB28" s="4" t="e">
        <f>BA28/VLOOKUP(A28,'[55]geoMap (52)'!$A:$B,2,0)*VLOOKUP(A28,'[55]geoMap (52)'!$A:$C,3,0)</f>
        <v>#REF!</v>
      </c>
      <c r="BC28" s="1" t="e">
        <f>BB28/VLOOKUP(A28,'[56]geoMap (53)'!$A:$B,2,0)*VLOOKUP(A28,'[56]geoMap (53)'!$A:$C,3,0)</f>
        <v>#REF!</v>
      </c>
      <c r="BD28" s="4" t="e">
        <f>BC28/VLOOKUP(A28,'[57]geoMap (54)'!$A:$B,2,0)*VLOOKUP(A28,'[57]geoMap (54)'!$A:$C,3,0)</f>
        <v>#REF!</v>
      </c>
      <c r="BE28" s="1" t="e">
        <f>BD28/VLOOKUP(A28,'[58]geoMap (55)'!$A:$B,2,0)*VLOOKUP(A28,'[58]geoMap (55)'!$A:$C,3,0)</f>
        <v>#REF!</v>
      </c>
      <c r="BF28" s="4" t="e">
        <f>BE28/VLOOKUP(A28,'[59]geoMap (56)'!$A:$B,2,0)*VLOOKUP(A28,'[59]geoMap (56)'!$A:$C,3,0)</f>
        <v>#REF!</v>
      </c>
      <c r="BG28" s="1" t="e">
        <f>BF28/VLOOKUP(A28,'[60]geoMap (57)'!$A:$B,2,0)*VLOOKUP(A28,'[60]geoMap (57)'!$A:$C,3,0)</f>
        <v>#REF!</v>
      </c>
      <c r="BH28" s="4" t="e">
        <f>BG28/VLOOKUP(A28,'[61]geoMap (58)'!$A:$B,2,0)*VLOOKUP(A28,'[61]geoMap (58)'!$A:$C,3,0)</f>
        <v>#REF!</v>
      </c>
      <c r="BI28" s="1" t="e">
        <f>BH28/VLOOKUP(A28,'[62]geoMap (59)'!$A:$B,2,0)*VLOOKUP(A28,'[62]geoMap (59)'!$A:$C,3,0)</f>
        <v>#REF!</v>
      </c>
      <c r="BJ28" s="4" t="e">
        <f>BI28/VLOOKUP(A28,'[63]geoMap (60)'!$A:$B,2,0)*VLOOKUP(A28,'[63]geoMap (60)'!$A:$C,3,0)</f>
        <v>#REF!</v>
      </c>
      <c r="BK28" s="1" t="e">
        <f>BJ28/VLOOKUP(A28,'[64]geoMap (61)'!$A:$B,2,0)*VLOOKUP(A28,'[64]geoMap (61)'!$A:$C,3,0)</f>
        <v>#REF!</v>
      </c>
      <c r="BL28" s="4" t="e">
        <f>BK28/VLOOKUP(A28,'[65]geoMap (62)'!$A:$B,2,0)*VLOOKUP(A28,'[65]geoMap (62)'!$A:$C,3,0)</f>
        <v>#REF!</v>
      </c>
      <c r="BM28" s="1" t="e">
        <f>BL28/VLOOKUP(A28,'[66]geoMap (63)'!$A:$B,2,0)*VLOOKUP(A28,'[66]geoMap (63)'!$A:$C,3,0)</f>
        <v>#REF!</v>
      </c>
      <c r="BN28" s="4" t="e">
        <f>BM28/VLOOKUP(A28,'[67]geoMap (64)'!$A:$B,2,0)*VLOOKUP(A28,'[67]geoMap (64)'!$A:$C,3,0)</f>
        <v>#REF!</v>
      </c>
      <c r="BO28" s="1" t="e">
        <f>BN28/VLOOKUP(A28,'[68]geoMap (65)'!$A:$B,2,0)*VLOOKUP(A28,'[68]geoMap (65)'!$A:$C,3,0)</f>
        <v>#REF!</v>
      </c>
      <c r="BP28" s="4" t="e">
        <f>BO28/VLOOKUP(A28,'[69]geoMap (66)'!$A:$B,2,0)*VLOOKUP(A28,'[69]geoMap (66)'!$A:$C,3,0)</f>
        <v>#REF!</v>
      </c>
    </row>
    <row r="29" spans="1:68" x14ac:dyDescent="0.2">
      <c r="A29" s="1" t="s">
        <v>85</v>
      </c>
      <c r="B29" s="1">
        <f>VLOOKUP(A29,[3]geoMap!$A:$B,2,0)*Notes!$C$6</f>
        <v>6000</v>
      </c>
      <c r="C29" s="1">
        <f>B29/VLOOKUP(A29,'[4]geoMap (1)'!$A:$B,2,0)*VLOOKUP(A29,'[4]geoMap (1)'!$A:$C,3,0)</f>
        <v>3836.0655737704924</v>
      </c>
      <c r="D29" s="1">
        <f>C29/VLOOKUP(A29,'[5]geoMap (2)'!$A:$B,2,0)*VLOOKUP(A29,'[5]geoMap (2)'!$A:$C,3,0)</f>
        <v>4882.2652757079004</v>
      </c>
      <c r="E29" s="1">
        <f>D29/VLOOKUP(A29,'[6]geoMap (3)'!$A:$B,2,0)*VLOOKUP(A29,'[6]geoMap (3)'!$A:$C,3,0)</f>
        <v>3392.7606153224392</v>
      </c>
      <c r="F29" s="1">
        <f>E29/VLOOKUP(A29,'[7]geoMap (4)'!$A:$B,2,0)*VLOOKUP(A29,'[7]geoMap (4)'!$A:$C,3,0)</f>
        <v>2890.1294130524484</v>
      </c>
      <c r="G29" s="1">
        <f>F29/VLOOKUP(A29,'[8]geoMap (5)'!$A:$B,2,0)*VLOOKUP(A29,'[8]geoMap (5)'!$A:$C,3,0)</f>
        <v>2364.6513379520034</v>
      </c>
      <c r="H29" s="1">
        <f>G29/VLOOKUP(A29,'[9]geoMap (6)'!$A:$B,2,0)*VLOOKUP(A29,'[9]geoMap (6)'!$A:$C,3,0)</f>
        <v>3009.5562483025501</v>
      </c>
      <c r="I29" s="1">
        <f>H29/VLOOKUP(A29,'[10]geoMap (7)'!$A:$B,2,0)*VLOOKUP(A29,'[10]geoMap (7)'!$A:$C,3,0)</f>
        <v>1416.2617639070822</v>
      </c>
      <c r="J29" s="1">
        <f>I29/VLOOKUP(A29,'[11]geoMap (8)'!$A:$B,2,0)*VLOOKUP(A29,'[11]geoMap (8)'!$A:$C,3,0)</f>
        <v>796.6472421977337</v>
      </c>
      <c r="K29" s="1">
        <f>J29/VLOOKUP(A29,'[12]geoMap (9)'!$A:$B,2,0)*VLOOKUP(A29,'[12]geoMap (9)'!$A:$C,3,0)</f>
        <v>796.6472421977337</v>
      </c>
      <c r="L29" s="1">
        <f>K29/VLOOKUP(A29,'[13]geoMap (10)'!$A:$B,2,0)*VLOOKUP(A29,'[13]geoMap (10)'!$A:$C,3,0)</f>
        <v>309.80726085467427</v>
      </c>
      <c r="M29" s="1">
        <f>L29/VLOOKUP(A29,'[14]geoMap (11)'!$A:$B,2,0)*VLOOKUP(A29,'[14]geoMap (11)'!$A:$C,3,0)</f>
        <v>464.7108912820114</v>
      </c>
      <c r="N29" s="1">
        <f>M29/VLOOKUP(A29,'[15]geoMap (12)'!$A:$B,2,0)*VLOOKUP(A29,'[15]geoMap (12)'!$A:$C,3,0)</f>
        <v>545.53017672236126</v>
      </c>
      <c r="O29" s="1">
        <f>N29/VLOOKUP(A29,'[16]geoMap (13)'!$A:$B,2,0)*VLOOKUP(A29,'[16]geoMap (13)'!$A:$C,3,0)</f>
        <v>281.0306970993982</v>
      </c>
      <c r="P29" s="1">
        <f>O29/VLOOKUP(A29,'[17]geoMap (14)'!$A:$B,2,0)*VLOOKUP(A29,'[17]geoMap (14)'!$A:$C,3,0)</f>
        <v>545.53017672236115</v>
      </c>
      <c r="Q29" s="1">
        <f>P29/VLOOKUP(A29,'[18]geoMap (15)'!$A:$B,2,0)*VLOOKUP(A29,'[18]geoMap (15)'!$A:$C,3,0)</f>
        <v>181.84339224078704</v>
      </c>
      <c r="R29" s="1">
        <f>Q29/VLOOKUP(A29,'[19]geoMap (16)'!$A:$B,2,0)*VLOOKUP(A29,'[19]geoMap (16)'!$A:$C,3,0)</f>
        <v>74.274061619476385</v>
      </c>
      <c r="S29" s="1">
        <f>R29/VLOOKUP(A29,'[20]geoMap (17)'!$A:$B,2,0)*VLOOKUP(A29,'[20]geoMap (17)'!$A:$C,3,0)</f>
        <v>90.779408646026695</v>
      </c>
      <c r="T29" s="1">
        <f>S29/VLOOKUP(A29,'[21]geoMap (18)'!$A:$B,2,0)*VLOOKUP(A29,'[21]geoMap (18)'!$A:$C,3,0)</f>
        <v>77.330607365133844</v>
      </c>
      <c r="U29" s="1">
        <f>T29/VLOOKUP(A29,'[22]geoMap (19)'!$A:$B,2,0)*VLOOKUP(A29,'[22]geoMap (19)'!$A:$C,3,0)</f>
        <v>27.170213398560538</v>
      </c>
      <c r="V29" s="1">
        <f>U29/VLOOKUP(A29,'[23]geoMap (20)'!$A:$B,2,0)*VLOOKUP(A29,'[23]geoMap (20)'!$A:$C,3,0)</f>
        <v>60.475636274215383</v>
      </c>
      <c r="W29" s="1">
        <f>V29/VLOOKUP(A29,'[24]geoMap (21)'!$A:$B,2,0)*VLOOKUP(A29,'[24]geoMap (21)'!$A:$C,3,0)</f>
        <v>32.56380414765443</v>
      </c>
      <c r="X29" s="1">
        <f>W29/VLOOKUP(A29,'[25]geoMap (22)'!$A:$B,2,0)*VLOOKUP(A29,'[25]geoMap (22)'!$A:$C,3,0)</f>
        <v>31.286792220295432</v>
      </c>
      <c r="Y29" s="1">
        <f>X29/VLOOKUP(A29,'[26]geoMap (23)'!$A:$B,2,0)*VLOOKUP(A29,'[26]geoMap (23)'!$A:$C,3,0)</f>
        <v>23.602316938117607</v>
      </c>
      <c r="Z29" s="1">
        <f>Y29/VLOOKUP(A29,'[27]geoMap (24)'!$A:$B,2,0)*VLOOKUP(A29,'[27]geoMap (24)'!$A:$C,3,0)</f>
        <v>13.86167820175161</v>
      </c>
      <c r="AA29" s="1">
        <f>Z29/VLOOKUP(A29,'[28]geoMap (25)'!$A:$B,2,0)*VLOOKUP(A29,'[28]geoMap (25)'!$A:$C,3,0)</f>
        <v>19.947293022032806</v>
      </c>
      <c r="AB29" s="1">
        <f>AA29*VLOOKUP(A29,'[29]geoMap (26)'!$A:$B,2,0)*VLOOKUP(A29,'[29]geoMap (26)'!$A:$C,3,0)</f>
        <v>4.2667259774128174</v>
      </c>
      <c r="AC29" s="1">
        <f>AB29/VLOOKUP(A29,'[30]geoMap (27)'!$A:$B,2,0)*VLOOKUP(A29,'[30]geoMap (27)'!$A:$C,3,0)</f>
        <v>1.5781041286321382</v>
      </c>
      <c r="AD29" s="1">
        <f>AC29/VLOOKUP(A29,'[31]geoMap (28)'!$A:$B,2,0)*VLOOKUP(A29,'[31]geoMap (28)'!$A:$C,3,0)</f>
        <v>2.3671561929482072</v>
      </c>
      <c r="AE29" s="1">
        <f>AD29/VLOOKUP(A29,'[32]geoMap (29)'!$A:$B,2,0)*VLOOKUP(A29,'[32]geoMap (29)'!$A:$C,3,0)</f>
        <v>2.6693463452394681</v>
      </c>
      <c r="AF29" s="1">
        <f>AE29/VLOOKUP(A29,'[33]geoMap (30)'!$A:$B,2,0)*VLOOKUP(A29,'[33]geoMap (30)'!$A:$C,3,0)</f>
        <v>1.0380791342597933</v>
      </c>
      <c r="AG29" s="1">
        <f>AF29/VLOOKUP(A29,'[34]geoMap (31)'!$A:$B,2,0)*VLOOKUP(A29,'[34]geoMap (31)'!$A:$C,3,0)</f>
        <v>0.95822689316288612</v>
      </c>
      <c r="AH29" s="1">
        <f>AG29/VLOOKUP(A29,'[35]geoMap (32)'!$A:$B,2,0)*VLOOKUP(A29,'[35]geoMap (32)'!$A:$C,3,0)</f>
        <v>0.72287291940358089</v>
      </c>
      <c r="AI29" s="1">
        <f>AH29/VLOOKUP(A29,'[36]geoMap (33)'!$A:$B,2,0)*VLOOKUP(A29,'[36]geoMap (33)'!$A:$C,3,0)</f>
        <v>0.72287291940358089</v>
      </c>
      <c r="AJ29" s="1">
        <f>AI29/VLOOKUP(A29,'[37]geoMap (34)'!$A:$B,2,0)*VLOOKUP(A29,'[37]geoMap (34)'!$A:$C,3,0)</f>
        <v>0.44305114415058189</v>
      </c>
      <c r="AK29" s="1">
        <f>AJ29/VLOOKUP(A29,'[38]geoMap (35)'!$A:$B,2,0)*VLOOKUP(A29,'[38]geoMap (35)'!$A:$C,3,0)</f>
        <v>0.4611348643199934</v>
      </c>
      <c r="AL29" s="1" t="e">
        <f>AK29/VLOOKUP(A29,'[39]geoMap (36)'!$A:$B,2,0)*VLOOKUP(A29,'[39]geoMap (36)'!$A:$C,3,0)</f>
        <v>#REF!</v>
      </c>
      <c r="AM29" s="1" t="e">
        <f>AL29/VLOOKUP(A29,'[40]geoMap (37)'!$A:$B,2,0)*VLOOKUP(A29,'[40]geoMap (37)'!$A:$C,3,0)</f>
        <v>#REF!</v>
      </c>
      <c r="AN29" s="1" t="e">
        <f>AM29/VLOOKUP(A29,'[41]geoMap (38)'!$A:$B,2,0)*VLOOKUP(A29,'[41]geoMap (38)'!$A:$C,3,0)</f>
        <v>#REF!</v>
      </c>
      <c r="AO29" s="1" t="e">
        <f>AN29/VLOOKUP(A29,'[42]geoMap (39)'!$A:$B,2,0)*VLOOKUP(A29,'[42]geoMap (39)'!$A:$C,3,0)</f>
        <v>#REF!</v>
      </c>
      <c r="AP29" s="1" t="e">
        <f>AO29/VLOOKUP(A29,'[43]geoMap (40)'!$A:$B,2,0)*VLOOKUP(A29,'[43]geoMap (40)'!$A:$C,3,0)</f>
        <v>#REF!</v>
      </c>
      <c r="AQ29" s="1" t="e">
        <f>AP29/VLOOKUP(A29,'[44]geoMap (41)'!$A:$B,2,0)*VLOOKUP(A29,'[44]geoMap (41)'!$A:$C,3,0)</f>
        <v>#REF!</v>
      </c>
      <c r="AR29" s="1" t="e">
        <f>AQ29/VLOOKUP(A29,'[45]geoMap (42)'!$A:$B,2,0)*VLOOKUP(A29,'[45]geoMap (42)'!$A:$C,3,0)</f>
        <v>#REF!</v>
      </c>
      <c r="AS29" s="1" t="e">
        <f>AR29/VLOOKUP(A29,'[46]geoMap (43)'!$A:$B,2,0)*VLOOKUP(A29,'[46]geoMap (43)'!$A:$C,3,0)</f>
        <v>#REF!</v>
      </c>
      <c r="AT29" s="1" t="e">
        <f>AS29/VLOOKUP(A29,'[47]geoMap (44)'!$A:$B,2,0)*VLOOKUP(A29,'[47]geoMap (44)'!$A:$C,3,0)</f>
        <v>#REF!</v>
      </c>
      <c r="AU29" s="1" t="e">
        <f>AT29/VLOOKUP(A29,'[48]geoMap (45)'!$A:$B,2,0)*VLOOKUP(A29,'[48]geoMap (45)'!$A:$C,3,0)</f>
        <v>#REF!</v>
      </c>
      <c r="AV29" s="1" t="e">
        <f>AU29/VLOOKUP(A29,'[49]geoMap (46)'!$A:$B,2,0)*VLOOKUP(A29,'[49]geoMap (46)'!$A:$C,3,0)</f>
        <v>#REF!</v>
      </c>
      <c r="AW29" s="1" t="e">
        <f>AV29/VLOOKUP(A29,'[50]geoMap (47)'!$A:$B,2,0)*VLOOKUP(A29,'[50]geoMap (47)'!$A:$C,3,0)</f>
        <v>#REF!</v>
      </c>
      <c r="AX29" s="4" t="e">
        <f>AW29/VLOOKUP(A29,'[51]geoMap (48)'!$A:$B,2,0)*VLOOKUP(A29,'[51]geoMap (48)'!$A:$C,3,0)</f>
        <v>#REF!</v>
      </c>
      <c r="AY29" s="1" t="e">
        <f>AX29/VLOOKUP(A29,'[52]geoMap (49)'!$A:$B,2,0)*VLOOKUP(A29,'[52]geoMap (49)'!$A:$C,3,0)</f>
        <v>#REF!</v>
      </c>
      <c r="AZ29" s="4" t="e">
        <f>AY29/VLOOKUP(A29,'[53]geoMap (50)'!$A:$B,2,0)*VLOOKUP(A29,'[53]geoMap (50)'!$A:$C,3,0)</f>
        <v>#REF!</v>
      </c>
      <c r="BA29" s="1" t="e">
        <f>AZ29/VLOOKUP(A29,'[54]geoMap (51)'!$A:$B,2,0)*VLOOKUP(A29,'[54]geoMap (51)'!$A:$C,3,0)</f>
        <v>#REF!</v>
      </c>
      <c r="BB29" s="4" t="e">
        <f>BA29/VLOOKUP(A29,'[55]geoMap (52)'!$A:$B,2,0)*VLOOKUP(A29,'[55]geoMap (52)'!$A:$C,3,0)</f>
        <v>#REF!</v>
      </c>
      <c r="BC29" s="1" t="e">
        <f>BB29/VLOOKUP(A29,'[56]geoMap (53)'!$A:$B,2,0)*VLOOKUP(A29,'[56]geoMap (53)'!$A:$C,3,0)</f>
        <v>#REF!</v>
      </c>
      <c r="BD29" s="4" t="e">
        <f>BC29/VLOOKUP(A29,'[57]geoMap (54)'!$A:$B,2,0)*VLOOKUP(A29,'[57]geoMap (54)'!$A:$C,3,0)</f>
        <v>#REF!</v>
      </c>
      <c r="BE29" s="1" t="e">
        <f>BD29/VLOOKUP(A29,'[58]geoMap (55)'!$A:$B,2,0)*VLOOKUP(A29,'[58]geoMap (55)'!$A:$C,3,0)</f>
        <v>#REF!</v>
      </c>
      <c r="BF29" s="4" t="e">
        <f>BE29/VLOOKUP(A29,'[59]geoMap (56)'!$A:$B,2,0)*VLOOKUP(A29,'[59]geoMap (56)'!$A:$C,3,0)</f>
        <v>#REF!</v>
      </c>
      <c r="BG29" s="1" t="e">
        <f>BF29/VLOOKUP(A29,'[60]geoMap (57)'!$A:$B,2,0)*VLOOKUP(A29,'[60]geoMap (57)'!$A:$C,3,0)</f>
        <v>#REF!</v>
      </c>
      <c r="BH29" s="4" t="e">
        <f>BG29/VLOOKUP(A29,'[61]geoMap (58)'!$A:$B,2,0)*VLOOKUP(A29,'[61]geoMap (58)'!$A:$C,3,0)</f>
        <v>#REF!</v>
      </c>
      <c r="BI29" s="1" t="e">
        <f>BH29/VLOOKUP(A29,'[62]geoMap (59)'!$A:$B,2,0)*VLOOKUP(A29,'[62]geoMap (59)'!$A:$C,3,0)</f>
        <v>#REF!</v>
      </c>
      <c r="BJ29" s="4" t="e">
        <f>BI29/VLOOKUP(A29,'[63]geoMap (60)'!$A:$B,2,0)*VLOOKUP(A29,'[63]geoMap (60)'!$A:$C,3,0)</f>
        <v>#REF!</v>
      </c>
      <c r="BK29" s="1" t="e">
        <f>BJ29/VLOOKUP(A29,'[64]geoMap (61)'!$A:$B,2,0)*VLOOKUP(A29,'[64]geoMap (61)'!$A:$C,3,0)</f>
        <v>#REF!</v>
      </c>
      <c r="BL29" s="4" t="e">
        <f>BK29/VLOOKUP(A29,'[65]geoMap (62)'!$A:$B,2,0)*VLOOKUP(A29,'[65]geoMap (62)'!$A:$C,3,0)</f>
        <v>#REF!</v>
      </c>
      <c r="BM29" s="1" t="e">
        <f>BL29/VLOOKUP(A29,'[66]geoMap (63)'!$A:$B,2,0)*VLOOKUP(A29,'[66]geoMap (63)'!$A:$C,3,0)</f>
        <v>#REF!</v>
      </c>
      <c r="BN29" s="4" t="e">
        <f>BM29/VLOOKUP(A29,'[67]geoMap (64)'!$A:$B,2,0)*VLOOKUP(A29,'[67]geoMap (64)'!$A:$C,3,0)</f>
        <v>#REF!</v>
      </c>
      <c r="BO29" s="1" t="e">
        <f>BN29/VLOOKUP(A29,'[68]geoMap (65)'!$A:$B,2,0)*VLOOKUP(A29,'[68]geoMap (65)'!$A:$C,3,0)</f>
        <v>#REF!</v>
      </c>
      <c r="BP29" s="4" t="e">
        <f>BO29/VLOOKUP(A29,'[69]geoMap (66)'!$A:$B,2,0)*VLOOKUP(A29,'[69]geoMap (66)'!$A:$C,3,0)</f>
        <v>#REF!</v>
      </c>
    </row>
    <row r="30" spans="1:68" x14ac:dyDescent="0.2">
      <c r="A30" s="1" t="s">
        <v>70</v>
      </c>
      <c r="B30" s="1">
        <f>VLOOKUP(A30,[3]geoMap!$A:$B,2,0)*Notes!$C$6</f>
        <v>6000</v>
      </c>
      <c r="C30" s="1">
        <f>B30/VLOOKUP(A30,'[4]geoMap (1)'!$A:$B,2,0)*VLOOKUP(A30,'[4]geoMap (1)'!$A:$C,3,0)</f>
        <v>3375</v>
      </c>
      <c r="D30" s="1">
        <f>C30/VLOOKUP(A30,'[5]geoMap (2)'!$A:$B,2,0)*VLOOKUP(A30,'[5]geoMap (2)'!$A:$C,3,0)</f>
        <v>3115.3846153846152</v>
      </c>
      <c r="E30" s="1" t="e">
        <f>D30/VLOOKUP(A30,'[6]geoMap (3)'!$A:$B,2,0)*VLOOKUP(A30,'[6]geoMap (3)'!$A:$C,3,0)</f>
        <v>#REF!</v>
      </c>
      <c r="F30" s="1" t="e">
        <f>E30/VLOOKUP(A30,'[7]geoMap (4)'!$A:$B,2,0)*VLOOKUP(A30,'[7]geoMap (4)'!$A:$C,3,0)</f>
        <v>#REF!</v>
      </c>
      <c r="G30" s="1" t="e">
        <f>F30/VLOOKUP(A30,'[8]geoMap (5)'!$A:$B,2,0)*VLOOKUP(A30,'[8]geoMap (5)'!$A:$C,3,0)</f>
        <v>#REF!</v>
      </c>
      <c r="H30" s="1" t="e">
        <f>G30/VLOOKUP(A30,'[9]geoMap (6)'!$A:$B,2,0)*VLOOKUP(A30,'[9]geoMap (6)'!$A:$C,3,0)</f>
        <v>#REF!</v>
      </c>
      <c r="I30" s="1" t="e">
        <f>H30/VLOOKUP(A30,'[10]geoMap (7)'!$A:$B,2,0)*VLOOKUP(A30,'[10]geoMap (7)'!$A:$C,3,0)</f>
        <v>#REF!</v>
      </c>
      <c r="J30" s="1" t="e">
        <f>I30/VLOOKUP(A30,'[11]geoMap (8)'!$A:$B,2,0)*VLOOKUP(A30,'[11]geoMap (8)'!$A:$C,3,0)</f>
        <v>#REF!</v>
      </c>
      <c r="K30" s="1" t="e">
        <f>J30/VLOOKUP(A30,'[12]geoMap (9)'!$A:$B,2,0)*VLOOKUP(A30,'[12]geoMap (9)'!$A:$C,3,0)</f>
        <v>#REF!</v>
      </c>
      <c r="L30" s="1" t="e">
        <f>K30/VLOOKUP(A30,'[13]geoMap (10)'!$A:$B,2,0)*VLOOKUP(A30,'[13]geoMap (10)'!$A:$C,3,0)</f>
        <v>#REF!</v>
      </c>
      <c r="M30" s="1" t="e">
        <f>L30/VLOOKUP(A30,'[14]geoMap (11)'!$A:$B,2,0)*VLOOKUP(A30,'[14]geoMap (11)'!$A:$C,3,0)</f>
        <v>#REF!</v>
      </c>
      <c r="N30" s="1" t="e">
        <f>M30/VLOOKUP(A30,'[15]geoMap (12)'!$A:$B,2,0)*VLOOKUP(A30,'[15]geoMap (12)'!$A:$C,3,0)</f>
        <v>#REF!</v>
      </c>
      <c r="O30" s="1" t="e">
        <f>N30/VLOOKUP(A30,'[16]geoMap (13)'!$A:$B,2,0)*VLOOKUP(A30,'[16]geoMap (13)'!$A:$C,3,0)</f>
        <v>#REF!</v>
      </c>
      <c r="P30" s="1" t="e">
        <f>O30/VLOOKUP(A30,'[17]geoMap (14)'!$A:$B,2,0)*VLOOKUP(A30,'[17]geoMap (14)'!$A:$C,3,0)</f>
        <v>#REF!</v>
      </c>
      <c r="Q30" s="1" t="e">
        <f>P30/VLOOKUP(A30,'[18]geoMap (15)'!$A:$B,2,0)*VLOOKUP(A30,'[18]geoMap (15)'!$A:$C,3,0)</f>
        <v>#REF!</v>
      </c>
      <c r="R30" s="1" t="e">
        <f>Q30/VLOOKUP(A30,'[19]geoMap (16)'!$A:$B,2,0)*VLOOKUP(A30,'[19]geoMap (16)'!$A:$C,3,0)</f>
        <v>#REF!</v>
      </c>
      <c r="S30" s="1" t="e">
        <f>R30/VLOOKUP(A30,'[20]geoMap (17)'!$A:$B,2,0)*VLOOKUP(A30,'[20]geoMap (17)'!$A:$C,3,0)</f>
        <v>#REF!</v>
      </c>
      <c r="T30" s="1" t="e">
        <f>S30/VLOOKUP(A30,'[21]geoMap (18)'!$A:$B,2,0)*VLOOKUP(A30,'[21]geoMap (18)'!$A:$C,3,0)</f>
        <v>#REF!</v>
      </c>
      <c r="U30" s="1" t="e">
        <f>T30/VLOOKUP(A30,'[22]geoMap (19)'!$A:$B,2,0)*VLOOKUP(A30,'[22]geoMap (19)'!$A:$C,3,0)</f>
        <v>#REF!</v>
      </c>
      <c r="V30" s="1" t="e">
        <f>U30/VLOOKUP(A30,'[23]geoMap (20)'!$A:$B,2,0)*VLOOKUP(A30,'[23]geoMap (20)'!$A:$C,3,0)</f>
        <v>#REF!</v>
      </c>
      <c r="W30" s="1" t="e">
        <f>V30/VLOOKUP(A30,'[24]geoMap (21)'!$A:$B,2,0)*VLOOKUP(A30,'[24]geoMap (21)'!$A:$C,3,0)</f>
        <v>#REF!</v>
      </c>
      <c r="X30" s="1" t="e">
        <f>W30/VLOOKUP(A30,'[25]geoMap (22)'!$A:$B,2,0)*VLOOKUP(A30,'[25]geoMap (22)'!$A:$C,3,0)</f>
        <v>#REF!</v>
      </c>
      <c r="Y30" s="1" t="e">
        <f>X30/VLOOKUP(A30,'[26]geoMap (23)'!$A:$B,2,0)*VLOOKUP(A30,'[26]geoMap (23)'!$A:$C,3,0)</f>
        <v>#REF!</v>
      </c>
      <c r="Z30" s="1" t="e">
        <f>Y30/VLOOKUP(A30,'[27]geoMap (24)'!$A:$B,2,0)*VLOOKUP(A30,'[27]geoMap (24)'!$A:$C,3,0)</f>
        <v>#REF!</v>
      </c>
      <c r="AA30" s="1" t="e">
        <f>Z30/VLOOKUP(A30,'[28]geoMap (25)'!$A:$B,2,0)*VLOOKUP(A30,'[28]geoMap (25)'!$A:$C,3,0)</f>
        <v>#REF!</v>
      </c>
      <c r="AB30" s="1" t="e">
        <f>AA30*VLOOKUP(A30,'[29]geoMap (26)'!$A:$B,2,0)*VLOOKUP(A30,'[29]geoMap (26)'!$A:$C,3,0)</f>
        <v>#REF!</v>
      </c>
      <c r="AC30" s="1" t="e">
        <f>AB30/VLOOKUP(A30,'[30]geoMap (27)'!$A:$B,2,0)*VLOOKUP(A30,'[30]geoMap (27)'!$A:$C,3,0)</f>
        <v>#REF!</v>
      </c>
      <c r="AD30" s="1" t="e">
        <f>AC30/VLOOKUP(A30,'[31]geoMap (28)'!$A:$B,2,0)*VLOOKUP(A30,'[31]geoMap (28)'!$A:$C,3,0)</f>
        <v>#REF!</v>
      </c>
      <c r="AE30" s="1" t="e">
        <f>AD30/VLOOKUP(A30,'[32]geoMap (29)'!$A:$B,2,0)*VLOOKUP(A30,'[32]geoMap (29)'!$A:$C,3,0)</f>
        <v>#REF!</v>
      </c>
      <c r="AF30" s="1" t="e">
        <f>AE30/VLOOKUP(A30,'[33]geoMap (30)'!$A:$B,2,0)*VLOOKUP(A30,'[33]geoMap (30)'!$A:$C,3,0)</f>
        <v>#REF!</v>
      </c>
      <c r="AG30" s="1" t="e">
        <f>AF30/VLOOKUP(A30,'[34]geoMap (31)'!$A:$B,2,0)*VLOOKUP(A30,'[34]geoMap (31)'!$A:$C,3,0)</f>
        <v>#REF!</v>
      </c>
      <c r="AH30" s="1" t="e">
        <f>AG30/VLOOKUP(A30,'[35]geoMap (32)'!$A:$B,2,0)*VLOOKUP(A30,'[35]geoMap (32)'!$A:$C,3,0)</f>
        <v>#REF!</v>
      </c>
      <c r="AI30" s="1" t="e">
        <f>AH30/VLOOKUP(A30,'[36]geoMap (33)'!$A:$B,2,0)*VLOOKUP(A30,'[36]geoMap (33)'!$A:$C,3,0)</f>
        <v>#REF!</v>
      </c>
      <c r="AJ30" s="1" t="e">
        <f>AI30/VLOOKUP(A30,'[37]geoMap (34)'!$A:$B,2,0)*VLOOKUP(A30,'[37]geoMap (34)'!$A:$C,3,0)</f>
        <v>#REF!</v>
      </c>
      <c r="AK30" s="1" t="e">
        <f>AJ30/VLOOKUP(A30,'[38]geoMap (35)'!$A:$B,2,0)*VLOOKUP(A30,'[38]geoMap (35)'!$A:$C,3,0)</f>
        <v>#REF!</v>
      </c>
      <c r="AL30" s="1" t="e">
        <f>AK30/VLOOKUP(A30,'[39]geoMap (36)'!$A:$B,2,0)*VLOOKUP(A30,'[39]geoMap (36)'!$A:$C,3,0)</f>
        <v>#REF!</v>
      </c>
      <c r="AM30" s="1" t="e">
        <f>AL30/VLOOKUP(A30,'[40]geoMap (37)'!$A:$B,2,0)*VLOOKUP(A30,'[40]geoMap (37)'!$A:$C,3,0)</f>
        <v>#REF!</v>
      </c>
      <c r="AN30" s="1" t="e">
        <f>AM30/VLOOKUP(A30,'[41]geoMap (38)'!$A:$B,2,0)*VLOOKUP(A30,'[41]geoMap (38)'!$A:$C,3,0)</f>
        <v>#REF!</v>
      </c>
      <c r="AO30" s="1" t="e">
        <f>AN30/VLOOKUP(A30,'[42]geoMap (39)'!$A:$B,2,0)*VLOOKUP(A30,'[42]geoMap (39)'!$A:$C,3,0)</f>
        <v>#REF!</v>
      </c>
      <c r="AP30" s="1" t="e">
        <f>AO30/VLOOKUP(A30,'[43]geoMap (40)'!$A:$B,2,0)*VLOOKUP(A30,'[43]geoMap (40)'!$A:$C,3,0)</f>
        <v>#REF!</v>
      </c>
      <c r="AQ30" s="1" t="e">
        <f>AP30/VLOOKUP(A30,'[44]geoMap (41)'!$A:$B,2,0)*VLOOKUP(A30,'[44]geoMap (41)'!$A:$C,3,0)</f>
        <v>#REF!</v>
      </c>
      <c r="AR30" s="1" t="e">
        <f>AQ30/VLOOKUP(A30,'[45]geoMap (42)'!$A:$B,2,0)*VLOOKUP(A30,'[45]geoMap (42)'!$A:$C,3,0)</f>
        <v>#REF!</v>
      </c>
      <c r="AS30" s="1" t="e">
        <f>AR30/VLOOKUP(A30,'[46]geoMap (43)'!$A:$B,2,0)*VLOOKUP(A30,'[46]geoMap (43)'!$A:$C,3,0)</f>
        <v>#REF!</v>
      </c>
      <c r="AT30" s="1" t="e">
        <f>AS30/VLOOKUP(A30,'[47]geoMap (44)'!$A:$B,2,0)*VLOOKUP(A30,'[47]geoMap (44)'!$A:$C,3,0)</f>
        <v>#REF!</v>
      </c>
      <c r="AU30" s="1" t="e">
        <f>AT30/VLOOKUP(A30,'[48]geoMap (45)'!$A:$B,2,0)*VLOOKUP(A30,'[48]geoMap (45)'!$A:$C,3,0)</f>
        <v>#REF!</v>
      </c>
      <c r="AV30" s="1" t="e">
        <f>AU30/VLOOKUP(A30,'[49]geoMap (46)'!$A:$B,2,0)*VLOOKUP(A30,'[49]geoMap (46)'!$A:$C,3,0)</f>
        <v>#REF!</v>
      </c>
      <c r="AW30" s="1" t="e">
        <f>AV30/VLOOKUP(A30,'[50]geoMap (47)'!$A:$B,2,0)*VLOOKUP(A30,'[50]geoMap (47)'!$A:$C,3,0)</f>
        <v>#REF!</v>
      </c>
      <c r="AX30" s="4" t="e">
        <f>AW30/VLOOKUP(A30,'[51]geoMap (48)'!$A:$B,2,0)*VLOOKUP(A30,'[51]geoMap (48)'!$A:$C,3,0)</f>
        <v>#REF!</v>
      </c>
      <c r="AY30" s="1" t="e">
        <f>AX30/VLOOKUP(A30,'[52]geoMap (49)'!$A:$B,2,0)*VLOOKUP(A30,'[52]geoMap (49)'!$A:$C,3,0)</f>
        <v>#REF!</v>
      </c>
      <c r="AZ30" s="4" t="e">
        <f>AY30/VLOOKUP(A30,'[53]geoMap (50)'!$A:$B,2,0)*VLOOKUP(A30,'[53]geoMap (50)'!$A:$C,3,0)</f>
        <v>#REF!</v>
      </c>
      <c r="BA30" s="1" t="e">
        <f>AZ30/VLOOKUP(A30,'[54]geoMap (51)'!$A:$B,2,0)*VLOOKUP(A30,'[54]geoMap (51)'!$A:$C,3,0)</f>
        <v>#REF!</v>
      </c>
      <c r="BB30" s="4" t="e">
        <f>BA30/VLOOKUP(A30,'[55]geoMap (52)'!$A:$B,2,0)*VLOOKUP(A30,'[55]geoMap (52)'!$A:$C,3,0)</f>
        <v>#REF!</v>
      </c>
      <c r="BC30" s="1" t="e">
        <f>BB30/VLOOKUP(A30,'[56]geoMap (53)'!$A:$B,2,0)*VLOOKUP(A30,'[56]geoMap (53)'!$A:$C,3,0)</f>
        <v>#REF!</v>
      </c>
      <c r="BD30" s="4" t="e">
        <f>BC30/VLOOKUP(A30,'[57]geoMap (54)'!$A:$B,2,0)*VLOOKUP(A30,'[57]geoMap (54)'!$A:$C,3,0)</f>
        <v>#REF!</v>
      </c>
      <c r="BE30" s="1" t="e">
        <f>BD30/VLOOKUP(A30,'[58]geoMap (55)'!$A:$B,2,0)*VLOOKUP(A30,'[58]geoMap (55)'!$A:$C,3,0)</f>
        <v>#REF!</v>
      </c>
      <c r="BF30" s="4" t="e">
        <f>BE30/VLOOKUP(A30,'[59]geoMap (56)'!$A:$B,2,0)*VLOOKUP(A30,'[59]geoMap (56)'!$A:$C,3,0)</f>
        <v>#REF!</v>
      </c>
      <c r="BG30" s="1" t="e">
        <f>BF30/VLOOKUP(A30,'[60]geoMap (57)'!$A:$B,2,0)*VLOOKUP(A30,'[60]geoMap (57)'!$A:$C,3,0)</f>
        <v>#REF!</v>
      </c>
      <c r="BH30" s="4" t="e">
        <f>BG30/VLOOKUP(A30,'[61]geoMap (58)'!$A:$B,2,0)*VLOOKUP(A30,'[61]geoMap (58)'!$A:$C,3,0)</f>
        <v>#REF!</v>
      </c>
      <c r="BI30" s="1" t="e">
        <f>BH30/VLOOKUP(A30,'[62]geoMap (59)'!$A:$B,2,0)*VLOOKUP(A30,'[62]geoMap (59)'!$A:$C,3,0)</f>
        <v>#REF!</v>
      </c>
      <c r="BJ30" s="4" t="e">
        <f>BI30/VLOOKUP(A30,'[63]geoMap (60)'!$A:$B,2,0)*VLOOKUP(A30,'[63]geoMap (60)'!$A:$C,3,0)</f>
        <v>#REF!</v>
      </c>
      <c r="BK30" s="1" t="e">
        <f>BJ30/VLOOKUP(A30,'[64]geoMap (61)'!$A:$B,2,0)*VLOOKUP(A30,'[64]geoMap (61)'!$A:$C,3,0)</f>
        <v>#REF!</v>
      </c>
      <c r="BL30" s="4" t="e">
        <f>BK30/VLOOKUP(A30,'[65]geoMap (62)'!$A:$B,2,0)*VLOOKUP(A30,'[65]geoMap (62)'!$A:$C,3,0)</f>
        <v>#REF!</v>
      </c>
      <c r="BM30" s="1" t="e">
        <f>BL30/VLOOKUP(A30,'[66]geoMap (63)'!$A:$B,2,0)*VLOOKUP(A30,'[66]geoMap (63)'!$A:$C,3,0)</f>
        <v>#REF!</v>
      </c>
      <c r="BN30" s="4" t="e">
        <f>BM30/VLOOKUP(A30,'[67]geoMap (64)'!$A:$B,2,0)*VLOOKUP(A30,'[67]geoMap (64)'!$A:$C,3,0)</f>
        <v>#REF!</v>
      </c>
      <c r="BO30" s="1" t="e">
        <f>BN30/VLOOKUP(A30,'[68]geoMap (65)'!$A:$B,2,0)*VLOOKUP(A30,'[68]geoMap (65)'!$A:$C,3,0)</f>
        <v>#REF!</v>
      </c>
      <c r="BP30" s="4" t="e">
        <f>BO30/VLOOKUP(A30,'[69]geoMap (66)'!$A:$B,2,0)*VLOOKUP(A30,'[69]geoMap (66)'!$A:$C,3,0)</f>
        <v>#REF!</v>
      </c>
    </row>
    <row r="31" spans="1:68" x14ac:dyDescent="0.2">
      <c r="A31" s="1" t="s">
        <v>67</v>
      </c>
      <c r="B31" s="1">
        <f>VLOOKUP(A31,[3]geoMap!$A:$B,2,0)*Notes!$C$6</f>
        <v>6000</v>
      </c>
      <c r="C31" s="1">
        <f>B31/VLOOKUP(A31,'[4]geoMap (1)'!$A:$B,2,0)*VLOOKUP(A31,'[4]geoMap (1)'!$A:$C,3,0)</f>
        <v>3230.7692307692305</v>
      </c>
      <c r="D31" s="1">
        <f>C31/VLOOKUP(A31,'[5]geoMap (2)'!$A:$B,2,0)*VLOOKUP(A31,'[5]geoMap (2)'!$A:$C,3,0)</f>
        <v>4282.647584973166</v>
      </c>
      <c r="E31" s="1">
        <f>D31/VLOOKUP(A31,'[6]geoMap (3)'!$A:$B,2,0)*VLOOKUP(A31,'[6]geoMap (3)'!$A:$C,3,0)</f>
        <v>2738.0861608844834</v>
      </c>
      <c r="F31" s="1">
        <f>E31/VLOOKUP(A31,'[7]geoMap (4)'!$A:$B,2,0)*VLOOKUP(A31,'[7]geoMap (4)'!$A:$C,3,0)</f>
        <v>2738.0861608844834</v>
      </c>
      <c r="G31" s="1">
        <f>F31/VLOOKUP(A31,'[8]geoMap (5)'!$A:$B,2,0)*VLOOKUP(A31,'[8]geoMap (5)'!$A:$C,3,0)</f>
        <v>2630.71023300666</v>
      </c>
      <c r="H31" s="1">
        <f>G31/VLOOKUP(A31,'[9]geoMap (6)'!$A:$B,2,0)*VLOOKUP(A31,'[9]geoMap (6)'!$A:$C,3,0)</f>
        <v>1612.370787971824</v>
      </c>
      <c r="I31" s="1">
        <f>H31/VLOOKUP(A31,'[10]geoMap (7)'!$A:$B,2,0)*VLOOKUP(A31,'[10]geoMap (7)'!$A:$C,3,0)</f>
        <v>830.61525440972764</v>
      </c>
      <c r="J31" s="1">
        <f>I31/VLOOKUP(A31,'[11]geoMap (8)'!$A:$B,2,0)*VLOOKUP(A31,'[11]geoMap (8)'!$A:$C,3,0)</f>
        <v>766.72177330128693</v>
      </c>
      <c r="K31" s="1">
        <f>J31/VLOOKUP(A31,'[12]geoMap (9)'!$A:$B,2,0)*VLOOKUP(A31,'[12]geoMap (9)'!$A:$C,3,0)</f>
        <v>766.72177330128693</v>
      </c>
      <c r="L31" s="1">
        <f>K31/VLOOKUP(A31,'[13]geoMap (10)'!$A:$B,2,0)*VLOOKUP(A31,'[13]geoMap (10)'!$A:$C,3,0)</f>
        <v>216.25485913626042</v>
      </c>
      <c r="M31" s="1">
        <f>L31/VLOOKUP(A31,'[14]geoMap (11)'!$A:$B,2,0)*VLOOKUP(A31,'[14]geoMap (11)'!$A:$C,3,0)</f>
        <v>243.86186243025114</v>
      </c>
      <c r="N31" s="1">
        <f>M31/VLOOKUP(A31,'[15]geoMap (12)'!$A:$B,2,0)*VLOOKUP(A31,'[15]geoMap (12)'!$A:$C,3,0)</f>
        <v>495.11347826747954</v>
      </c>
      <c r="O31" s="1">
        <f>N31/VLOOKUP(A31,'[16]geoMap (13)'!$A:$B,2,0)*VLOOKUP(A31,'[16]geoMap (13)'!$A:$C,3,0)</f>
        <v>290.78093168090066</v>
      </c>
      <c r="P31" s="1">
        <f>O31/VLOOKUP(A31,'[17]geoMap (14)'!$A:$B,2,0)*VLOOKUP(A31,'[17]geoMap (14)'!$A:$C,3,0)</f>
        <v>82.015134576664281</v>
      </c>
      <c r="Q31" s="1">
        <f>P31/VLOOKUP(A31,'[18]geoMap (15)'!$A:$B,2,0)*VLOOKUP(A31,'[18]geoMap (15)'!$A:$C,3,0)</f>
        <v>123.02270186499641</v>
      </c>
      <c r="R31" s="1">
        <f>Q31/VLOOKUP(A31,'[19]geoMap (16)'!$A:$B,2,0)*VLOOKUP(A31,'[19]geoMap (16)'!$A:$C,3,0)</f>
        <v>92.806599652541152</v>
      </c>
      <c r="S31" s="1">
        <f>R31/VLOOKUP(A31,'[20]geoMap (17)'!$A:$B,2,0)*VLOOKUP(A31,'[20]geoMap (17)'!$A:$C,3,0)</f>
        <v>104.6542506720145</v>
      </c>
      <c r="T31" s="1">
        <f>S31/VLOOKUP(A31,'[21]geoMap (18)'!$A:$B,2,0)*VLOOKUP(A31,'[21]geoMap (18)'!$A:$C,3,0)</f>
        <v>69.76950044800968</v>
      </c>
      <c r="U31" s="1">
        <f>T31/VLOOKUP(A31,'[22]geoMap (19)'!$A:$B,2,0)*VLOOKUP(A31,'[22]geoMap (19)'!$A:$C,3,0)</f>
        <v>28.497401591440571</v>
      </c>
      <c r="V31" s="1">
        <f>U31/VLOOKUP(A31,'[23]geoMap (20)'!$A:$B,2,0)*VLOOKUP(A31,'[23]geoMap (20)'!$A:$C,3,0)</f>
        <v>21.498039797051661</v>
      </c>
      <c r="W31" s="1">
        <f>V31/VLOOKUP(A31,'[24]geoMap (21)'!$A:$B,2,0)*VLOOKUP(A31,'[24]geoMap (21)'!$A:$C,3,0)</f>
        <v>30.936203610391413</v>
      </c>
      <c r="X31" s="1">
        <f>W31/VLOOKUP(A31,'[25]geoMap (22)'!$A:$B,2,0)*VLOOKUP(A31,'[25]geoMap (22)'!$A:$C,3,0)</f>
        <v>18.168881485467974</v>
      </c>
      <c r="Y31" s="1">
        <f>X31/VLOOKUP(A31,'[26]geoMap (23)'!$A:$B,2,0)*VLOOKUP(A31,'[26]geoMap (23)'!$A:$C,3,0)</f>
        <v>22.206410704460858</v>
      </c>
      <c r="Z31" s="1">
        <f>Y31/VLOOKUP(A31,'[27]geoMap (24)'!$A:$B,2,0)*VLOOKUP(A31,'[27]geoMap (24)'!$A:$C,3,0)</f>
        <v>13.04186025500082</v>
      </c>
      <c r="AA31" s="1">
        <f>Z31/VLOOKUP(A31,'[28]geoMap (25)'!$A:$B,2,0)*VLOOKUP(A31,'[28]geoMap (25)'!$A:$C,3,0)</f>
        <v>26.478928396516817</v>
      </c>
      <c r="AB31" s="1">
        <f>AA31*VLOOKUP(A31,'[29]geoMap (26)'!$A:$B,2,0)*VLOOKUP(A31,'[29]geoMap (26)'!$A:$C,3,0)</f>
        <v>6.6197320991292044</v>
      </c>
      <c r="AC31" s="1">
        <f>AB31/VLOOKUP(A31,'[30]geoMap (27)'!$A:$B,2,0)*VLOOKUP(A31,'[30]geoMap (27)'!$A:$C,3,0)</f>
        <v>1.8671039253954167</v>
      </c>
      <c r="AD31" s="1">
        <f>AC31/VLOOKUP(A31,'[31]geoMap (28)'!$A:$B,2,0)*VLOOKUP(A31,'[31]geoMap (28)'!$A:$C,3,0)</f>
        <v>5.9124957637521538</v>
      </c>
      <c r="AE31" s="1">
        <f>AD31/VLOOKUP(A31,'[32]geoMap (29)'!$A:$B,2,0)*VLOOKUP(A31,'[32]geoMap (29)'!$A:$C,3,0)</f>
        <v>8.5082256112530992</v>
      </c>
      <c r="AF31" s="1">
        <f>AE31/VLOOKUP(A31,'[33]geoMap (30)'!$A:$B,2,0)*VLOOKUP(A31,'[33]geoMap (30)'!$A:$C,3,0)</f>
        <v>3.475190742624505</v>
      </c>
      <c r="AG31" s="1" t="e">
        <f>AF31/VLOOKUP(A31,'[34]geoMap (31)'!$A:$B,2,0)*VLOOKUP(A31,'[34]geoMap (31)'!$A:$C,3,0)</f>
        <v>#REF!</v>
      </c>
      <c r="AH31" s="1" t="e">
        <f>AG31/VLOOKUP(A31,'[35]geoMap (32)'!$A:$B,2,0)*VLOOKUP(A31,'[35]geoMap (32)'!$A:$C,3,0)</f>
        <v>#REF!</v>
      </c>
      <c r="AI31" s="1" t="e">
        <f>AH31/VLOOKUP(A31,'[36]geoMap (33)'!$A:$B,2,0)*VLOOKUP(A31,'[36]geoMap (33)'!$A:$C,3,0)</f>
        <v>#REF!</v>
      </c>
      <c r="AJ31" s="1" t="e">
        <f>AI31/VLOOKUP(A31,'[37]geoMap (34)'!$A:$B,2,0)*VLOOKUP(A31,'[37]geoMap (34)'!$A:$C,3,0)</f>
        <v>#REF!</v>
      </c>
      <c r="AK31" s="1" t="e">
        <f>AJ31/VLOOKUP(A31,'[38]geoMap (35)'!$A:$B,2,0)*VLOOKUP(A31,'[38]geoMap (35)'!$A:$C,3,0)</f>
        <v>#REF!</v>
      </c>
      <c r="AL31" s="1" t="e">
        <f>AK31/VLOOKUP(A31,'[39]geoMap (36)'!$A:$B,2,0)*VLOOKUP(A31,'[39]geoMap (36)'!$A:$C,3,0)</f>
        <v>#REF!</v>
      </c>
      <c r="AM31" s="1" t="e">
        <f>AL31/VLOOKUP(A31,'[40]geoMap (37)'!$A:$B,2,0)*VLOOKUP(A31,'[40]geoMap (37)'!$A:$C,3,0)</f>
        <v>#REF!</v>
      </c>
      <c r="AN31" s="1" t="e">
        <f>AM31/VLOOKUP(A31,'[41]geoMap (38)'!$A:$B,2,0)*VLOOKUP(A31,'[41]geoMap (38)'!$A:$C,3,0)</f>
        <v>#REF!</v>
      </c>
      <c r="AO31" s="1" t="e">
        <f>AN31/VLOOKUP(A31,'[42]geoMap (39)'!$A:$B,2,0)*VLOOKUP(A31,'[42]geoMap (39)'!$A:$C,3,0)</f>
        <v>#REF!</v>
      </c>
      <c r="AP31" s="1" t="e">
        <f>AO31/VLOOKUP(A31,'[43]geoMap (40)'!$A:$B,2,0)*VLOOKUP(A31,'[43]geoMap (40)'!$A:$C,3,0)</f>
        <v>#REF!</v>
      </c>
      <c r="AQ31" s="1" t="e">
        <f>AP31/VLOOKUP(A31,'[44]geoMap (41)'!$A:$B,2,0)*VLOOKUP(A31,'[44]geoMap (41)'!$A:$C,3,0)</f>
        <v>#REF!</v>
      </c>
      <c r="AR31" s="1" t="e">
        <f>AQ31/VLOOKUP(A31,'[45]geoMap (42)'!$A:$B,2,0)*VLOOKUP(A31,'[45]geoMap (42)'!$A:$C,3,0)</f>
        <v>#REF!</v>
      </c>
      <c r="AS31" s="1" t="e">
        <f>AR31/VLOOKUP(A31,'[46]geoMap (43)'!$A:$B,2,0)*VLOOKUP(A31,'[46]geoMap (43)'!$A:$C,3,0)</f>
        <v>#REF!</v>
      </c>
      <c r="AT31" s="1" t="e">
        <f>AS31/VLOOKUP(A31,'[47]geoMap (44)'!$A:$B,2,0)*VLOOKUP(A31,'[47]geoMap (44)'!$A:$C,3,0)</f>
        <v>#REF!</v>
      </c>
      <c r="AU31" s="1" t="e">
        <f>AT31/VLOOKUP(A31,'[48]geoMap (45)'!$A:$B,2,0)*VLOOKUP(A31,'[48]geoMap (45)'!$A:$C,3,0)</f>
        <v>#REF!</v>
      </c>
      <c r="AV31" s="1" t="e">
        <f>AU31/VLOOKUP(A31,'[49]geoMap (46)'!$A:$B,2,0)*VLOOKUP(A31,'[49]geoMap (46)'!$A:$C,3,0)</f>
        <v>#REF!</v>
      </c>
      <c r="AW31" s="1" t="e">
        <f>AV31/VLOOKUP(A31,'[50]geoMap (47)'!$A:$B,2,0)*VLOOKUP(A31,'[50]geoMap (47)'!$A:$C,3,0)</f>
        <v>#REF!</v>
      </c>
      <c r="AX31" s="4" t="e">
        <f>AW31/VLOOKUP(A31,'[51]geoMap (48)'!$A:$B,2,0)*VLOOKUP(A31,'[51]geoMap (48)'!$A:$C,3,0)</f>
        <v>#REF!</v>
      </c>
      <c r="AY31" s="1" t="e">
        <f>AX31/VLOOKUP(A31,'[52]geoMap (49)'!$A:$B,2,0)*VLOOKUP(A31,'[52]geoMap (49)'!$A:$C,3,0)</f>
        <v>#REF!</v>
      </c>
      <c r="AZ31" s="4" t="e">
        <f>AY31/VLOOKUP(A31,'[53]geoMap (50)'!$A:$B,2,0)*VLOOKUP(A31,'[53]geoMap (50)'!$A:$C,3,0)</f>
        <v>#REF!</v>
      </c>
      <c r="BA31" s="1" t="e">
        <f>AZ31/VLOOKUP(A31,'[54]geoMap (51)'!$A:$B,2,0)*VLOOKUP(A31,'[54]geoMap (51)'!$A:$C,3,0)</f>
        <v>#REF!</v>
      </c>
      <c r="BB31" s="4" t="e">
        <f>BA31/VLOOKUP(A31,'[55]geoMap (52)'!$A:$B,2,0)*VLOOKUP(A31,'[55]geoMap (52)'!$A:$C,3,0)</f>
        <v>#REF!</v>
      </c>
      <c r="BC31" s="1" t="e">
        <f>BB31/VLOOKUP(A31,'[56]geoMap (53)'!$A:$B,2,0)*VLOOKUP(A31,'[56]geoMap (53)'!$A:$C,3,0)</f>
        <v>#REF!</v>
      </c>
      <c r="BD31" s="4" t="e">
        <f>BC31/VLOOKUP(A31,'[57]geoMap (54)'!$A:$B,2,0)*VLOOKUP(A31,'[57]geoMap (54)'!$A:$C,3,0)</f>
        <v>#REF!</v>
      </c>
      <c r="BE31" s="1" t="e">
        <f>BD31/VLOOKUP(A31,'[58]geoMap (55)'!$A:$B,2,0)*VLOOKUP(A31,'[58]geoMap (55)'!$A:$C,3,0)</f>
        <v>#REF!</v>
      </c>
      <c r="BF31" s="4" t="e">
        <f>BE31/VLOOKUP(A31,'[59]geoMap (56)'!$A:$B,2,0)*VLOOKUP(A31,'[59]geoMap (56)'!$A:$C,3,0)</f>
        <v>#REF!</v>
      </c>
      <c r="BG31" s="1" t="e">
        <f>BF31/VLOOKUP(A31,'[60]geoMap (57)'!$A:$B,2,0)*VLOOKUP(A31,'[60]geoMap (57)'!$A:$C,3,0)</f>
        <v>#REF!</v>
      </c>
      <c r="BH31" s="4" t="e">
        <f>BG31/VLOOKUP(A31,'[61]geoMap (58)'!$A:$B,2,0)*VLOOKUP(A31,'[61]geoMap (58)'!$A:$C,3,0)</f>
        <v>#REF!</v>
      </c>
      <c r="BI31" s="1" t="e">
        <f>BH31/VLOOKUP(A31,'[62]geoMap (59)'!$A:$B,2,0)*VLOOKUP(A31,'[62]geoMap (59)'!$A:$C,3,0)</f>
        <v>#REF!</v>
      </c>
      <c r="BJ31" s="4" t="e">
        <f>BI31/VLOOKUP(A31,'[63]geoMap (60)'!$A:$B,2,0)*VLOOKUP(A31,'[63]geoMap (60)'!$A:$C,3,0)</f>
        <v>#REF!</v>
      </c>
      <c r="BK31" s="1" t="e">
        <f>BJ31/VLOOKUP(A31,'[64]geoMap (61)'!$A:$B,2,0)*VLOOKUP(A31,'[64]geoMap (61)'!$A:$C,3,0)</f>
        <v>#REF!</v>
      </c>
      <c r="BL31" s="4" t="e">
        <f>BK31/VLOOKUP(A31,'[65]geoMap (62)'!$A:$B,2,0)*VLOOKUP(A31,'[65]geoMap (62)'!$A:$C,3,0)</f>
        <v>#REF!</v>
      </c>
      <c r="BM31" s="1" t="e">
        <f>BL31/VLOOKUP(A31,'[66]geoMap (63)'!$A:$B,2,0)*VLOOKUP(A31,'[66]geoMap (63)'!$A:$C,3,0)</f>
        <v>#REF!</v>
      </c>
      <c r="BN31" s="4" t="e">
        <f>BM31/VLOOKUP(A31,'[67]geoMap (64)'!$A:$B,2,0)*VLOOKUP(A31,'[67]geoMap (64)'!$A:$C,3,0)</f>
        <v>#REF!</v>
      </c>
      <c r="BO31" s="1" t="e">
        <f>BN31/VLOOKUP(A31,'[68]geoMap (65)'!$A:$B,2,0)*VLOOKUP(A31,'[68]geoMap (65)'!$A:$C,3,0)</f>
        <v>#REF!</v>
      </c>
      <c r="BP31" s="4" t="e">
        <f>BO31/VLOOKUP(A31,'[69]geoMap (66)'!$A:$B,2,0)*VLOOKUP(A31,'[69]geoMap (66)'!$A:$C,3,0)</f>
        <v>#REF!</v>
      </c>
    </row>
    <row r="32" spans="1:68" x14ac:dyDescent="0.2">
      <c r="A32" s="1" t="s">
        <v>77</v>
      </c>
      <c r="B32" s="1">
        <f>VLOOKUP(A32,[3]geoMap!$A:$B,2,0)*Notes!$C$6</f>
        <v>6000</v>
      </c>
      <c r="C32" s="1">
        <f>B32/VLOOKUP(A32,'[4]geoMap (1)'!$A:$B,2,0)*VLOOKUP(A32,'[4]geoMap (1)'!$A:$C,3,0)</f>
        <v>3230.7692307692305</v>
      </c>
      <c r="D32" s="1">
        <f>C32/VLOOKUP(A32,'[5]geoMap (2)'!$A:$B,2,0)*VLOOKUP(A32,'[5]geoMap (2)'!$A:$C,3,0)</f>
        <v>5271.2550607287449</v>
      </c>
      <c r="E32" s="1">
        <f>D32/VLOOKUP(A32,'[6]geoMap (3)'!$A:$B,2,0)*VLOOKUP(A32,'[6]geoMap (3)'!$A:$C,3,0)</f>
        <v>3370.1466781708368</v>
      </c>
      <c r="F32" s="1">
        <f>E32/VLOOKUP(A32,'[7]geoMap (4)'!$A:$B,2,0)*VLOOKUP(A32,'[7]geoMap (4)'!$A:$C,3,0)</f>
        <v>2647.9723899913715</v>
      </c>
      <c r="G32" s="1">
        <f>F32/VLOOKUP(A32,'[8]geoMap (5)'!$A:$B,2,0)*VLOOKUP(A32,'[8]geoMap (5)'!$A:$C,3,0)</f>
        <v>2868.6367558239863</v>
      </c>
      <c r="H32" s="1">
        <f>G32/VLOOKUP(A32,'[9]geoMap (6)'!$A:$B,2,0)*VLOOKUP(A32,'[9]geoMap (6)'!$A:$C,3,0)</f>
        <v>3802.6115135341211</v>
      </c>
      <c r="I32" s="1">
        <f>H32/VLOOKUP(A32,'[10]geoMap (7)'!$A:$B,2,0)*VLOOKUP(A32,'[10]geoMap (7)'!$A:$C,3,0)</f>
        <v>1478.7933663743804</v>
      </c>
      <c r="J32" s="1">
        <f>I32/VLOOKUP(A32,'[11]geoMap (8)'!$A:$B,2,0)*VLOOKUP(A32,'[11]geoMap (8)'!$A:$C,3,0)</f>
        <v>1027.6360681584677</v>
      </c>
      <c r="K32" s="1">
        <f>J32/VLOOKUP(A32,'[12]geoMap (9)'!$A:$B,2,0)*VLOOKUP(A32,'[12]geoMap (9)'!$A:$C,3,0)</f>
        <v>1027.6360681584677</v>
      </c>
      <c r="L32" s="1">
        <f>K32/VLOOKUP(A32,'[13]geoMap (10)'!$A:$B,2,0)*VLOOKUP(A32,'[13]geoMap (10)'!$A:$C,3,0)</f>
        <v>195.74020345875576</v>
      </c>
      <c r="M32" s="1">
        <f>L32/VLOOKUP(A32,'[14]geoMap (11)'!$A:$B,2,0)*VLOOKUP(A32,'[14]geoMap (11)'!$A:$C,3,0)</f>
        <v>456.72714140376343</v>
      </c>
      <c r="N32" s="1">
        <f>M32/VLOOKUP(A32,'[15]geoMap (12)'!$A:$B,2,0)*VLOOKUP(A32,'[15]geoMap (12)'!$A:$C,3,0)</f>
        <v>456.72714140376343</v>
      </c>
      <c r="O32" s="1">
        <f>N32/VLOOKUP(A32,'[16]geoMap (13)'!$A:$B,2,0)*VLOOKUP(A32,'[16]geoMap (13)'!$A:$C,3,0)</f>
        <v>268.23657511014676</v>
      </c>
      <c r="P32" s="1">
        <f>O32/VLOOKUP(A32,'[17]geoMap (14)'!$A:$B,2,0)*VLOOKUP(A32,'[17]geoMap (14)'!$A:$C,3,0)</f>
        <v>597.04269943871373</v>
      </c>
      <c r="Q32" s="1">
        <f>P32/VLOOKUP(A32,'[18]geoMap (15)'!$A:$B,2,0)*VLOOKUP(A32,'[18]geoMap (15)'!$A:$C,3,0)</f>
        <v>149.26067485967843</v>
      </c>
      <c r="R32" s="1">
        <f>Q32/VLOOKUP(A32,'[19]geoMap (16)'!$A:$B,2,0)*VLOOKUP(A32,'[19]geoMap (16)'!$A:$C,3,0)</f>
        <v>80.371132616749918</v>
      </c>
      <c r="S32" s="1">
        <f>R32/VLOOKUP(A32,'[20]geoMap (17)'!$A:$B,2,0)*VLOOKUP(A32,'[20]geoMap (17)'!$A:$C,3,0)</f>
        <v>115.65602010703037</v>
      </c>
      <c r="T32" s="1">
        <f>S32/VLOOKUP(A32,'[21]geoMap (18)'!$A:$B,2,0)*VLOOKUP(A32,'[21]geoMap (18)'!$A:$C,3,0)</f>
        <v>98.521794905988841</v>
      </c>
      <c r="U32" s="1">
        <f>T32/VLOOKUP(A32,'[22]geoMap (19)'!$A:$B,2,0)*VLOOKUP(A32,'[22]geoMap (19)'!$A:$C,3,0)</f>
        <v>23.110050656960343</v>
      </c>
      <c r="V32" s="1">
        <f>U32/VLOOKUP(A32,'[23]geoMap (20)'!$A:$B,2,0)*VLOOKUP(A32,'[23]geoMap (20)'!$A:$C,3,0)</f>
        <v>33.255926555138053</v>
      </c>
      <c r="W32" s="1">
        <f>V32/VLOOKUP(A32,'[24]geoMap (21)'!$A:$B,2,0)*VLOOKUP(A32,'[24]geoMap (21)'!$A:$C,3,0)</f>
        <v>24.081877850272384</v>
      </c>
      <c r="X32" s="1">
        <f>W32/VLOOKUP(A32,'[25]geoMap (22)'!$A:$B,2,0)*VLOOKUP(A32,'[25]geoMap (22)'!$A:$C,3,0)</f>
        <v>46.747174650528748</v>
      </c>
      <c r="Y32" s="1">
        <f>X32/VLOOKUP(A32,'[26]geoMap (23)'!$A:$B,2,0)*VLOOKUP(A32,'[26]geoMap (23)'!$A:$C,3,0)</f>
        <v>48.655222595448294</v>
      </c>
      <c r="Z32" s="1">
        <f>Y32/VLOOKUP(A32,'[27]geoMap (24)'!$A:$B,2,0)*VLOOKUP(A32,'[27]geoMap (24)'!$A:$C,3,0)</f>
        <v>12.933666765878659</v>
      </c>
      <c r="AA32" s="1">
        <f>Z32/VLOOKUP(A32,'[28]geoMap (25)'!$A:$B,2,0)*VLOOKUP(A32,'[28]geoMap (25)'!$A:$C,3,0)</f>
        <v>17.860777914784816</v>
      </c>
      <c r="AB32" s="1">
        <f>AA32*VLOOKUP(A32,'[29]geoMap (26)'!$A:$B,2,0)*VLOOKUP(A32,'[29]geoMap (26)'!$A:$C,3,0)</f>
        <v>4.0079585640777129</v>
      </c>
      <c r="AC32" s="1">
        <f>AB32/VLOOKUP(A32,'[30]geoMap (27)'!$A:$B,2,0)*VLOOKUP(A32,'[30]geoMap (27)'!$A:$C,3,0)</f>
        <v>2.6719723760518086</v>
      </c>
      <c r="AD32" s="1">
        <f>AC32/VLOOKUP(A32,'[31]geoMap (28)'!$A:$B,2,0)*VLOOKUP(A32,'[31]geoMap (28)'!$A:$C,3,0)</f>
        <v>2.3694849372534907</v>
      </c>
      <c r="AE32" s="1">
        <f>AD32/VLOOKUP(A32,'[32]geoMap (29)'!$A:$B,2,0)*VLOOKUP(A32,'[32]geoMap (29)'!$A:$C,3,0)</f>
        <v>4.0345284066748626</v>
      </c>
      <c r="AF32" s="1">
        <f>AE32/VLOOKUP(A32,'[33]geoMap (30)'!$A:$B,2,0)*VLOOKUP(A32,'[33]geoMap (30)'!$A:$C,3,0)</f>
        <v>1.2051188747210628</v>
      </c>
      <c r="AG32" s="1">
        <f>AF32/VLOOKUP(A32,'[34]geoMap (31)'!$A:$B,2,0)*VLOOKUP(A32,'[34]geoMap (31)'!$A:$C,3,0)</f>
        <v>1.807678312081594</v>
      </c>
      <c r="AH32" s="1">
        <f>AG32/VLOOKUP(A32,'[35]geoMap (32)'!$A:$B,2,0)*VLOOKUP(A32,'[35]geoMap (32)'!$A:$C,3,0)</f>
        <v>1.603035484298772</v>
      </c>
      <c r="AI32" s="1">
        <f>AH32/VLOOKUP(A32,'[36]geoMap (33)'!$A:$B,2,0)*VLOOKUP(A32,'[36]geoMap (33)'!$A:$C,3,0)</f>
        <v>0.75436963967001036</v>
      </c>
      <c r="AJ32" s="1">
        <f>AI32/VLOOKUP(A32,'[37]geoMap (34)'!$A:$B,2,0)*VLOOKUP(A32,'[37]geoMap (34)'!$A:$C,3,0)</f>
        <v>0.85067214686192671</v>
      </c>
      <c r="AK32" s="1">
        <f>AJ32/VLOOKUP(A32,'[38]geoMap (35)'!$A:$B,2,0)*VLOOKUP(A32,'[38]geoMap (35)'!$A:$C,3,0)</f>
        <v>0.45805423292565278</v>
      </c>
      <c r="AL32" s="1" t="e">
        <f>AK32/VLOOKUP(A32,'[39]geoMap (36)'!$A:$B,2,0)*VLOOKUP(A32,'[39]geoMap (36)'!$A:$C,3,0)</f>
        <v>#REF!</v>
      </c>
      <c r="AM32" s="1" t="e">
        <f>AL32/VLOOKUP(A32,'[40]geoMap (37)'!$A:$B,2,0)*VLOOKUP(A32,'[40]geoMap (37)'!$A:$C,3,0)</f>
        <v>#REF!</v>
      </c>
      <c r="AN32" s="1" t="e">
        <f>AM32/VLOOKUP(A32,'[41]geoMap (38)'!$A:$B,2,0)*VLOOKUP(A32,'[41]geoMap (38)'!$A:$C,3,0)</f>
        <v>#REF!</v>
      </c>
      <c r="AO32" s="1" t="e">
        <f>AN32/VLOOKUP(A32,'[42]geoMap (39)'!$A:$B,2,0)*VLOOKUP(A32,'[42]geoMap (39)'!$A:$C,3,0)</f>
        <v>#REF!</v>
      </c>
      <c r="AP32" s="1" t="e">
        <f>AO32/VLOOKUP(A32,'[43]geoMap (40)'!$A:$B,2,0)*VLOOKUP(A32,'[43]geoMap (40)'!$A:$C,3,0)</f>
        <v>#REF!</v>
      </c>
      <c r="AQ32" s="1" t="e">
        <f>AP32/VLOOKUP(A32,'[44]geoMap (41)'!$A:$B,2,0)*VLOOKUP(A32,'[44]geoMap (41)'!$A:$C,3,0)</f>
        <v>#REF!</v>
      </c>
      <c r="AR32" s="1" t="e">
        <f>AQ32/VLOOKUP(A32,'[45]geoMap (42)'!$A:$B,2,0)*VLOOKUP(A32,'[45]geoMap (42)'!$A:$C,3,0)</f>
        <v>#REF!</v>
      </c>
      <c r="AS32" s="1" t="e">
        <f>AR32/VLOOKUP(A32,'[46]geoMap (43)'!$A:$B,2,0)*VLOOKUP(A32,'[46]geoMap (43)'!$A:$C,3,0)</f>
        <v>#REF!</v>
      </c>
      <c r="AT32" s="1" t="e">
        <f>AS32/VLOOKUP(A32,'[47]geoMap (44)'!$A:$B,2,0)*VLOOKUP(A32,'[47]geoMap (44)'!$A:$C,3,0)</f>
        <v>#REF!</v>
      </c>
      <c r="AU32" s="1" t="e">
        <f>AT32/VLOOKUP(A32,'[48]geoMap (45)'!$A:$B,2,0)*VLOOKUP(A32,'[48]geoMap (45)'!$A:$C,3,0)</f>
        <v>#REF!</v>
      </c>
      <c r="AV32" s="1" t="e">
        <f>AU32/VLOOKUP(A32,'[49]geoMap (46)'!$A:$B,2,0)*VLOOKUP(A32,'[49]geoMap (46)'!$A:$C,3,0)</f>
        <v>#REF!</v>
      </c>
      <c r="AW32" s="1" t="e">
        <f>AV32/VLOOKUP(A32,'[50]geoMap (47)'!$A:$B,2,0)*VLOOKUP(A32,'[50]geoMap (47)'!$A:$C,3,0)</f>
        <v>#REF!</v>
      </c>
      <c r="AX32" s="4" t="e">
        <f>AW32/VLOOKUP(A32,'[51]geoMap (48)'!$A:$B,2,0)*VLOOKUP(A32,'[51]geoMap (48)'!$A:$C,3,0)</f>
        <v>#REF!</v>
      </c>
      <c r="AY32" s="1" t="e">
        <f>AX32/VLOOKUP(A32,'[52]geoMap (49)'!$A:$B,2,0)*VLOOKUP(A32,'[52]geoMap (49)'!$A:$C,3,0)</f>
        <v>#REF!</v>
      </c>
      <c r="AZ32" s="4" t="e">
        <f>AY32/VLOOKUP(A32,'[53]geoMap (50)'!$A:$B,2,0)*VLOOKUP(A32,'[53]geoMap (50)'!$A:$C,3,0)</f>
        <v>#REF!</v>
      </c>
      <c r="BA32" s="1" t="e">
        <f>AZ32/VLOOKUP(A32,'[54]geoMap (51)'!$A:$B,2,0)*VLOOKUP(A32,'[54]geoMap (51)'!$A:$C,3,0)</f>
        <v>#REF!</v>
      </c>
      <c r="BB32" s="4" t="e">
        <f>BA32/VLOOKUP(A32,'[55]geoMap (52)'!$A:$B,2,0)*VLOOKUP(A32,'[55]geoMap (52)'!$A:$C,3,0)</f>
        <v>#REF!</v>
      </c>
      <c r="BC32" s="1" t="e">
        <f>BB32/VLOOKUP(A32,'[56]geoMap (53)'!$A:$B,2,0)*VLOOKUP(A32,'[56]geoMap (53)'!$A:$C,3,0)</f>
        <v>#REF!</v>
      </c>
      <c r="BD32" s="4" t="e">
        <f>BC32/VLOOKUP(A32,'[57]geoMap (54)'!$A:$B,2,0)*VLOOKUP(A32,'[57]geoMap (54)'!$A:$C,3,0)</f>
        <v>#REF!</v>
      </c>
      <c r="BE32" s="1" t="e">
        <f>BD32/VLOOKUP(A32,'[58]geoMap (55)'!$A:$B,2,0)*VLOOKUP(A32,'[58]geoMap (55)'!$A:$C,3,0)</f>
        <v>#REF!</v>
      </c>
      <c r="BF32" s="4" t="e">
        <f>BE32/VLOOKUP(A32,'[59]geoMap (56)'!$A:$B,2,0)*VLOOKUP(A32,'[59]geoMap (56)'!$A:$C,3,0)</f>
        <v>#REF!</v>
      </c>
      <c r="BG32" s="1" t="e">
        <f>BF32/VLOOKUP(A32,'[60]geoMap (57)'!$A:$B,2,0)*VLOOKUP(A32,'[60]geoMap (57)'!$A:$C,3,0)</f>
        <v>#REF!</v>
      </c>
      <c r="BH32" s="4" t="e">
        <f>BG32/VLOOKUP(A32,'[61]geoMap (58)'!$A:$B,2,0)*VLOOKUP(A32,'[61]geoMap (58)'!$A:$C,3,0)</f>
        <v>#REF!</v>
      </c>
      <c r="BI32" s="1" t="e">
        <f>BH32/VLOOKUP(A32,'[62]geoMap (59)'!$A:$B,2,0)*VLOOKUP(A32,'[62]geoMap (59)'!$A:$C,3,0)</f>
        <v>#REF!</v>
      </c>
      <c r="BJ32" s="4" t="e">
        <f>BI32/VLOOKUP(A32,'[63]geoMap (60)'!$A:$B,2,0)*VLOOKUP(A32,'[63]geoMap (60)'!$A:$C,3,0)</f>
        <v>#REF!</v>
      </c>
      <c r="BK32" s="1" t="e">
        <f>BJ32/VLOOKUP(A32,'[64]geoMap (61)'!$A:$B,2,0)*VLOOKUP(A32,'[64]geoMap (61)'!$A:$C,3,0)</f>
        <v>#REF!</v>
      </c>
      <c r="BL32" s="4" t="e">
        <f>BK32/VLOOKUP(A32,'[65]geoMap (62)'!$A:$B,2,0)*VLOOKUP(A32,'[65]geoMap (62)'!$A:$C,3,0)</f>
        <v>#REF!</v>
      </c>
      <c r="BM32" s="1" t="e">
        <f>BL32/VLOOKUP(A32,'[66]geoMap (63)'!$A:$B,2,0)*VLOOKUP(A32,'[66]geoMap (63)'!$A:$C,3,0)</f>
        <v>#REF!</v>
      </c>
      <c r="BN32" s="4" t="e">
        <f>BM32/VLOOKUP(A32,'[67]geoMap (64)'!$A:$B,2,0)*VLOOKUP(A32,'[67]geoMap (64)'!$A:$C,3,0)</f>
        <v>#REF!</v>
      </c>
      <c r="BO32" s="1" t="e">
        <f>BN32/VLOOKUP(A32,'[68]geoMap (65)'!$A:$B,2,0)*VLOOKUP(A32,'[68]geoMap (65)'!$A:$C,3,0)</f>
        <v>#REF!</v>
      </c>
      <c r="BP32" s="4" t="e">
        <f>BO32/VLOOKUP(A32,'[69]geoMap (66)'!$A:$B,2,0)*VLOOKUP(A32,'[69]geoMap (66)'!$A:$C,3,0)</f>
        <v>#REF!</v>
      </c>
    </row>
    <row r="33" spans="1:68" x14ac:dyDescent="0.2">
      <c r="A33" s="1" t="s">
        <v>93</v>
      </c>
      <c r="B33" s="1">
        <f>VLOOKUP(A33,[3]geoMap!$A:$B,2,0)*Notes!$C$6</f>
        <v>6000</v>
      </c>
      <c r="C33" s="1">
        <f>B33/VLOOKUP(A33,'[4]geoMap (1)'!$A:$B,2,0)*VLOOKUP(A33,'[4]geoMap (1)'!$A:$C,3,0)</f>
        <v>2823.5294117647054</v>
      </c>
      <c r="D33" s="1">
        <f>C33/VLOOKUP(A33,'[5]geoMap (2)'!$A:$B,2,0)*VLOOKUP(A33,'[5]geoMap (2)'!$A:$C,3,0)</f>
        <v>5732.6203208556144</v>
      </c>
      <c r="E33" s="1">
        <f>D33/VLOOKUP(A33,'[6]geoMap (3)'!$A:$B,2,0)*VLOOKUP(A33,'[6]geoMap (3)'!$A:$C,3,0)</f>
        <v>4324.6083122244108</v>
      </c>
      <c r="F33" s="1">
        <f>E33/VLOOKUP(A33,'[7]geoMap (4)'!$A:$B,2,0)*VLOOKUP(A33,'[7]geoMap (4)'!$A:$C,3,0)</f>
        <v>4155.0158293920813</v>
      </c>
      <c r="G33" s="1">
        <f>F33/VLOOKUP(A33,'[8]geoMap (5)'!$A:$B,2,0)*VLOOKUP(A33,'[8]geoMap (5)'!$A:$C,3,0)</f>
        <v>2770.0105529280545</v>
      </c>
      <c r="H33" s="1">
        <f>G33/VLOOKUP(A33,'[9]geoMap (6)'!$A:$B,2,0)*VLOOKUP(A33,'[9]geoMap (6)'!$A:$C,3,0)</f>
        <v>2005.8697107410051</v>
      </c>
      <c r="I33" s="1">
        <f>H33/VLOOKUP(A33,'[10]geoMap (7)'!$A:$B,2,0)*VLOOKUP(A33,'[10]geoMap (7)'!$A:$C,3,0)</f>
        <v>1452.5263422607277</v>
      </c>
      <c r="J33" s="1">
        <f>I33/VLOOKUP(A33,'[11]geoMap (8)'!$A:$B,2,0)*VLOOKUP(A33,'[11]geoMap (8)'!$A:$C,3,0)</f>
        <v>1573.5702041157883</v>
      </c>
      <c r="K33" s="1">
        <f>J33/VLOOKUP(A33,'[12]geoMap (9)'!$A:$B,2,0)*VLOOKUP(A33,'[12]geoMap (9)'!$A:$C,3,0)</f>
        <v>1511.861568660267</v>
      </c>
      <c r="L33" s="1">
        <f>K33/VLOOKUP(A33,'[13]geoMap (10)'!$A:$B,2,0)*VLOOKUP(A33,'[13]geoMap (10)'!$A:$C,3,0)</f>
        <v>814.07930620168224</v>
      </c>
      <c r="M33" s="1">
        <f>L33/VLOOKUP(A33,'[14]geoMap (11)'!$A:$B,2,0)*VLOOKUP(A33,'[14]geoMap (11)'!$A:$C,3,0)</f>
        <v>666.06488689228536</v>
      </c>
      <c r="N33" s="1">
        <f>M33/VLOOKUP(A33,'[15]geoMap (12)'!$A:$B,2,0)*VLOOKUP(A33,'[15]geoMap (12)'!$A:$C,3,0)</f>
        <v>343.1243356717834</v>
      </c>
      <c r="O33" s="1">
        <f>N33/VLOOKUP(A33,'[16]geoMap (13)'!$A:$B,2,0)*VLOOKUP(A33,'[16]geoMap (13)'!$A:$C,3,0)</f>
        <v>357.12941059716235</v>
      </c>
      <c r="P33" s="1">
        <f>O33/VLOOKUP(A33,'[17]geoMap (14)'!$A:$B,2,0)*VLOOKUP(A33,'[17]geoMap (14)'!$A:$C,3,0)</f>
        <v>316.69966600125719</v>
      </c>
      <c r="Q33" s="1">
        <f>P33/VLOOKUP(A33,'[18]geoMap (15)'!$A:$B,2,0)*VLOOKUP(A33,'[18]geoMap (15)'!$A:$C,3,0)</f>
        <v>220.07942891612788</v>
      </c>
      <c r="R33" s="1">
        <f>Q33/VLOOKUP(A33,'[19]geoMap (16)'!$A:$B,2,0)*VLOOKUP(A33,'[19]geoMap (16)'!$A:$C,3,0)</f>
        <v>69.498767026145643</v>
      </c>
      <c r="S33" s="1">
        <f>R33/VLOOKUP(A33,'[20]geoMap (17)'!$A:$B,2,0)*VLOOKUP(A33,'[20]geoMap (17)'!$A:$C,3,0)</f>
        <v>178.71111521008876</v>
      </c>
      <c r="T33" s="1">
        <f>S33/VLOOKUP(A33,'[21]geoMap (18)'!$A:$B,2,0)*VLOOKUP(A33,'[21]geoMap (18)'!$A:$C,3,0)</f>
        <v>53.381242205610931</v>
      </c>
      <c r="U33" s="1">
        <f>T33/VLOOKUP(A33,'[22]geoMap (19)'!$A:$B,2,0)*VLOOKUP(A33,'[22]geoMap (19)'!$A:$C,3,0)</f>
        <v>53.381242205610931</v>
      </c>
      <c r="V33" s="1">
        <f>U33/VLOOKUP(A33,'[23]geoMap (20)'!$A:$B,2,0)*VLOOKUP(A33,'[23]geoMap (20)'!$A:$C,3,0)</f>
        <v>65.243740473524468</v>
      </c>
      <c r="W33" s="1">
        <f>V33/VLOOKUP(A33,'[24]geoMap (21)'!$A:$B,2,0)*VLOOKUP(A33,'[24]geoMap (21)'!$A:$C,3,0)</f>
        <v>62.6851624157392</v>
      </c>
      <c r="X33" s="1">
        <f>W33/VLOOKUP(A33,'[25]geoMap (22)'!$A:$B,2,0)*VLOOKUP(A33,'[25]geoMap (22)'!$A:$C,3,0)</f>
        <v>60.22692075237687</v>
      </c>
      <c r="Y33" s="1">
        <f>X33/VLOOKUP(A33,'[26]geoMap (23)'!$A:$B,2,0)*VLOOKUP(A33,'[26]geoMap (23)'!$A:$C,3,0)</f>
        <v>29.66400574370801</v>
      </c>
      <c r="Z33" s="1">
        <f>Y33/VLOOKUP(A33,'[27]geoMap (24)'!$A:$B,2,0)*VLOOKUP(A33,'[27]geoMap (24)'!$A:$C,3,0)</f>
        <v>23.307433084342005</v>
      </c>
      <c r="AA33" s="1">
        <f>Z33/VLOOKUP(A33,'[28]geoMap (25)'!$A:$B,2,0)*VLOOKUP(A33,'[28]geoMap (25)'!$A:$C,3,0)</f>
        <v>29.66400574370801</v>
      </c>
      <c r="AB33" s="1">
        <f>AA33*VLOOKUP(A33,'[29]geoMap (26)'!$A:$B,2,0)*VLOOKUP(A33,'[29]geoMap (26)'!$A:$C,3,0)</f>
        <v>7.4041358336295193</v>
      </c>
      <c r="AC33" s="1">
        <f>AB33/VLOOKUP(A33,'[30]geoMap (27)'!$A:$B,2,0)*VLOOKUP(A33,'[30]geoMap (27)'!$A:$C,3,0)</f>
        <v>6.3072268212399605</v>
      </c>
      <c r="AD33" s="1">
        <f>AC33/VLOOKUP(A33,'[31]geoMap (28)'!$A:$B,2,0)*VLOOKUP(A33,'[31]geoMap (28)'!$A:$C,3,0)</f>
        <v>5.1604583082872395</v>
      </c>
      <c r="AE33" s="1">
        <f>AD33/VLOOKUP(A33,'[32]geoMap (29)'!$A:$B,2,0)*VLOOKUP(A33,'[32]geoMap (29)'!$A:$C,3,0)</f>
        <v>4.763499976880528</v>
      </c>
      <c r="AF33" s="1">
        <f>AE33/VLOOKUP(A33,'[33]geoMap (30)'!$A:$B,2,0)*VLOOKUP(A33,'[33]geoMap (30)'!$A:$C,3,0)</f>
        <v>1.3435512755304053</v>
      </c>
      <c r="AG33" s="1">
        <f>AF33/VLOOKUP(A33,'[34]geoMap (31)'!$A:$B,2,0)*VLOOKUP(A33,'[34]geoMap (31)'!$A:$C,3,0)</f>
        <v>6.5596915217072729</v>
      </c>
      <c r="AH33" s="1">
        <f>AG33/VLOOKUP(A33,'[35]geoMap (32)'!$A:$B,2,0)*VLOOKUP(A33,'[35]geoMap (32)'!$A:$C,3,0)</f>
        <v>7.1063324818495461</v>
      </c>
      <c r="AI33" s="1">
        <f>AH33/VLOOKUP(A33,'[36]geoMap (33)'!$A:$B,2,0)*VLOOKUP(A33,'[36]geoMap (33)'!$A:$C,3,0)</f>
        <v>1.7765831204623865</v>
      </c>
      <c r="AJ33" s="1">
        <f>AI33/VLOOKUP(A33,'[37]geoMap (34)'!$A:$B,2,0)*VLOOKUP(A33,'[37]geoMap (34)'!$A:$C,3,0)</f>
        <v>2.7787582140565532</v>
      </c>
      <c r="AK33" s="1">
        <f>AJ33/VLOOKUP(A33,'[38]geoMap (35)'!$A:$B,2,0)*VLOOKUP(A33,'[38]geoMap (35)'!$A:$C,3,0)</f>
        <v>4.1681373210848296</v>
      </c>
      <c r="AL33" s="1">
        <f>AK33/VLOOKUP(A33,'[39]geoMap (36)'!$A:$B,2,0)*VLOOKUP(A33,'[39]geoMap (36)'!$A:$C,3,0)</f>
        <v>0.79393091830187235</v>
      </c>
      <c r="AM33" s="1">
        <f>AL33/VLOOKUP(A33,'[40]geoMap (37)'!$A:$B,2,0)*VLOOKUP(A33,'[40]geoMap (37)'!$A:$C,3,0)</f>
        <v>1.4114327436477732</v>
      </c>
      <c r="AN33" s="1">
        <f>AM33/VLOOKUP(A33,'[41]geoMap (38)'!$A:$B,2,0)*VLOOKUP(A33,'[41]geoMap (38)'!$A:$C,3,0)</f>
        <v>0.57650069810965376</v>
      </c>
      <c r="AO33" s="1">
        <f>AN33/VLOOKUP(A33,'[42]geoMap (39)'!$A:$B,2,0)*VLOOKUP(A33,'[42]geoMap (39)'!$A:$C,3,0)</f>
        <v>1.28317897321181</v>
      </c>
      <c r="AP33" s="1">
        <f>AO33/VLOOKUP(A33,'[43]geoMap (40)'!$A:$B,2,0)*VLOOKUP(A33,'[43]geoMap (40)'!$A:$C,3,0)</f>
        <v>1.8465258394999218</v>
      </c>
      <c r="AQ33" s="1">
        <f>AP33/VLOOKUP(A33,'[44]geoMap (41)'!$A:$B,2,0)*VLOOKUP(A33,'[44]geoMap (41)'!$A:$C,3,0)</f>
        <v>1.2310172263332815</v>
      </c>
      <c r="AR33" s="1">
        <f>AQ33/VLOOKUP(A33,'[45]geoMap (42)'!$A:$B,2,0)*VLOOKUP(A33,'[45]geoMap (42)'!$A:$C,3,0)</f>
        <v>0.25213605840561193</v>
      </c>
      <c r="AS33" s="1">
        <f>AR33/VLOOKUP(A33,'[46]geoMap (43)'!$A:$B,2,0)*VLOOKUP(A33,'[46]geoMap (43)'!$A:$C,3,0)</f>
        <v>0.71761801238520317</v>
      </c>
      <c r="AT33" s="1">
        <f>AS33/VLOOKUP(A33,'[47]geoMap (44)'!$A:$B,2,0)*VLOOKUP(A33,'[47]geoMap (44)'!$A:$C,3,0)</f>
        <v>0.80922882247693129</v>
      </c>
      <c r="AU33" s="1">
        <f>AT33/VLOOKUP(A33,'[48]geoMap (45)'!$A:$B,2,0)*VLOOKUP(A33,'[48]geoMap (45)'!$A:$C,3,0)</f>
        <v>0.34681235249011338</v>
      </c>
      <c r="AV33" s="1">
        <f>AU33/VLOOKUP(A33,'[49]geoMap (46)'!$A:$B,2,0)*VLOOKUP(A33,'[49]geoMap (46)'!$A:$C,3,0)</f>
        <v>0.44139753953287164</v>
      </c>
      <c r="AW33" s="1">
        <f>AV33/VLOOKUP(A33,'[50]geoMap (47)'!$A:$B,2,0)*VLOOKUP(A33,'[50]geoMap (47)'!$A:$C,3,0)</f>
        <v>0.49774616160089791</v>
      </c>
      <c r="AX33" s="4">
        <f>AW33/VLOOKUP(A33,'[51]geoMap (48)'!$A:$B,2,0)*VLOOKUP(A33,'[51]geoMap (48)'!$A:$C,3,0)</f>
        <v>0.34589140043452227</v>
      </c>
      <c r="AY33" s="1">
        <f>AX33/VLOOKUP(A33,'[52]geoMap (49)'!$A:$B,2,0)*VLOOKUP(A33,'[52]geoMap (49)'!$A:$C,3,0)</f>
        <v>9.7559112943070375E-2</v>
      </c>
      <c r="AZ33" s="4">
        <f>AY33/VLOOKUP(A33,'[53]geoMap (50)'!$A:$B,2,0)*VLOOKUP(A33,'[53]geoMap (50)'!$A:$C,3,0)</f>
        <v>0.3902364517722815</v>
      </c>
      <c r="BA33" s="1" t="e">
        <f>AZ33/VLOOKUP(A33,'[54]geoMap (51)'!$A:$B,2,0)*VLOOKUP(A33,'[54]geoMap (51)'!$A:$C,3,0)</f>
        <v>#REF!</v>
      </c>
      <c r="BB33" s="4" t="e">
        <f>BA33/VLOOKUP(A33,'[55]geoMap (52)'!$A:$B,2,0)*VLOOKUP(A33,'[55]geoMap (52)'!$A:$C,3,0)</f>
        <v>#REF!</v>
      </c>
      <c r="BC33" s="1" t="e">
        <f>BB33/VLOOKUP(A33,'[56]geoMap (53)'!$A:$B,2,0)*VLOOKUP(A33,'[56]geoMap (53)'!$A:$C,3,0)</f>
        <v>#REF!</v>
      </c>
      <c r="BD33" s="4" t="e">
        <f>BC33/VLOOKUP(A33,'[57]geoMap (54)'!$A:$B,2,0)*VLOOKUP(A33,'[57]geoMap (54)'!$A:$C,3,0)</f>
        <v>#REF!</v>
      </c>
      <c r="BE33" s="1" t="e">
        <f>BD33/VLOOKUP(A33,'[58]geoMap (55)'!$A:$B,2,0)*VLOOKUP(A33,'[58]geoMap (55)'!$A:$C,3,0)</f>
        <v>#REF!</v>
      </c>
      <c r="BF33" s="4" t="e">
        <f>BE33/VLOOKUP(A33,'[59]geoMap (56)'!$A:$B,2,0)*VLOOKUP(A33,'[59]geoMap (56)'!$A:$C,3,0)</f>
        <v>#REF!</v>
      </c>
      <c r="BG33" s="1" t="e">
        <f>BF33/VLOOKUP(A33,'[60]geoMap (57)'!$A:$B,2,0)*VLOOKUP(A33,'[60]geoMap (57)'!$A:$C,3,0)</f>
        <v>#REF!</v>
      </c>
      <c r="BH33" s="4" t="e">
        <f>BG33/VLOOKUP(A33,'[61]geoMap (58)'!$A:$B,2,0)*VLOOKUP(A33,'[61]geoMap (58)'!$A:$C,3,0)</f>
        <v>#REF!</v>
      </c>
      <c r="BI33" s="1" t="e">
        <f>BH33/VLOOKUP(A33,'[62]geoMap (59)'!$A:$B,2,0)*VLOOKUP(A33,'[62]geoMap (59)'!$A:$C,3,0)</f>
        <v>#REF!</v>
      </c>
      <c r="BJ33" s="4" t="e">
        <f>BI33/VLOOKUP(A33,'[63]geoMap (60)'!$A:$B,2,0)*VLOOKUP(A33,'[63]geoMap (60)'!$A:$C,3,0)</f>
        <v>#REF!</v>
      </c>
      <c r="BK33" s="1" t="e">
        <f>BJ33/VLOOKUP(A33,'[64]geoMap (61)'!$A:$B,2,0)*VLOOKUP(A33,'[64]geoMap (61)'!$A:$C,3,0)</f>
        <v>#REF!</v>
      </c>
      <c r="BL33" s="4" t="e">
        <f>BK33/VLOOKUP(A33,'[65]geoMap (62)'!$A:$B,2,0)*VLOOKUP(A33,'[65]geoMap (62)'!$A:$C,3,0)</f>
        <v>#REF!</v>
      </c>
      <c r="BM33" s="1" t="e">
        <f>BL33/VLOOKUP(A33,'[66]geoMap (63)'!$A:$B,2,0)*VLOOKUP(A33,'[66]geoMap (63)'!$A:$C,3,0)</f>
        <v>#REF!</v>
      </c>
      <c r="BN33" s="4" t="e">
        <f>BM33/VLOOKUP(A33,'[67]geoMap (64)'!$A:$B,2,0)*VLOOKUP(A33,'[67]geoMap (64)'!$A:$C,3,0)</f>
        <v>#REF!</v>
      </c>
      <c r="BO33" s="1" t="e">
        <f>BN33/VLOOKUP(A33,'[68]geoMap (65)'!$A:$B,2,0)*VLOOKUP(A33,'[68]geoMap (65)'!$A:$C,3,0)</f>
        <v>#REF!</v>
      </c>
      <c r="BP33" s="4" t="e">
        <f>BO33/VLOOKUP(A33,'[69]geoMap (66)'!$A:$B,2,0)*VLOOKUP(A33,'[69]geoMap (66)'!$A:$C,3,0)</f>
        <v>#REF!</v>
      </c>
    </row>
    <row r="34" spans="1:68" x14ac:dyDescent="0.2">
      <c r="A34" s="1" t="s">
        <v>68</v>
      </c>
      <c r="B34" s="1">
        <f>VLOOKUP(A34,[3]geoMap!$A:$B,2,0)*Notes!$C$6</f>
        <v>6000</v>
      </c>
      <c r="C34" s="1">
        <f>B34/VLOOKUP(A34,'[4]geoMap (1)'!$A:$B,2,0)*VLOOKUP(A34,'[4]geoMap (1)'!$A:$C,3,0)</f>
        <v>2695.6521739130435</v>
      </c>
      <c r="D34" s="1">
        <f>C34/VLOOKUP(A34,'[5]geoMap (2)'!$A:$B,2,0)*VLOOKUP(A34,'[5]geoMap (2)'!$A:$C,3,0)</f>
        <v>6599.7001499250382</v>
      </c>
      <c r="E34" s="1">
        <f>D34/VLOOKUP(A34,'[6]geoMap (3)'!$A:$B,2,0)*VLOOKUP(A34,'[6]geoMap (3)'!$A:$C,3,0)</f>
        <v>2965.0826760532782</v>
      </c>
      <c r="F34" s="1">
        <f>E34/VLOOKUP(A34,'[7]geoMap (4)'!$A:$B,2,0)*VLOOKUP(A34,'[7]geoMap (4)'!$A:$C,3,0)</f>
        <v>2329.7078168990042</v>
      </c>
      <c r="G34" s="1">
        <f>F34/VLOOKUP(A34,'[8]geoMap (5)'!$A:$B,2,0)*VLOOKUP(A34,'[8]geoMap (5)'!$A:$C,3,0)</f>
        <v>3494.5617253485057</v>
      </c>
      <c r="H34" s="1">
        <f>G34/VLOOKUP(A34,'[9]geoMap (6)'!$A:$B,2,0)*VLOOKUP(A34,'[9]geoMap (6)'!$A:$C,3,0)</f>
        <v>2428.4242498184531</v>
      </c>
      <c r="I34" s="1">
        <f>H34/VLOOKUP(A34,'[10]geoMap (7)'!$A:$B,2,0)*VLOOKUP(A34,'[10]geoMap (7)'!$A:$C,3,0)</f>
        <v>1758.5141119375007</v>
      </c>
      <c r="J34" s="1">
        <f>I34/VLOOKUP(A34,'[11]geoMap (8)'!$A:$B,2,0)*VLOOKUP(A34,'[11]geoMap (8)'!$A:$C,3,0)</f>
        <v>1222.0182811769073</v>
      </c>
      <c r="K34" s="1">
        <f>J34/VLOOKUP(A34,'[12]geoMap (9)'!$A:$B,2,0)*VLOOKUP(A34,'[12]geoMap (9)'!$A:$C,3,0)</f>
        <v>748.97894652778189</v>
      </c>
      <c r="L34" s="1">
        <f>K34/VLOOKUP(A34,'[13]geoMap (10)'!$A:$B,2,0)*VLOOKUP(A34,'[13]geoMap (10)'!$A:$C,3,0)</f>
        <v>249.65964884259395</v>
      </c>
      <c r="M34" s="1">
        <f>L34/VLOOKUP(A34,'[14]geoMap (11)'!$A:$B,2,0)*VLOOKUP(A34,'[14]geoMap (11)'!$A:$C,3,0)</f>
        <v>611.23569199393694</v>
      </c>
      <c r="N34" s="1">
        <f>M34/VLOOKUP(A34,'[15]geoMap (12)'!$A:$B,2,0)*VLOOKUP(A34,'[15]geoMap (12)'!$A:$C,3,0)</f>
        <v>689.26578033358862</v>
      </c>
      <c r="O34" s="1">
        <f>N34/VLOOKUP(A34,'[16]geoMap (13)'!$A:$B,2,0)*VLOOKUP(A34,'[16]geoMap (13)'!$A:$C,3,0)</f>
        <v>309.67013319335143</v>
      </c>
      <c r="P34" s="1">
        <f>O34/VLOOKUP(A34,'[17]geoMap (14)'!$A:$B,2,0)*VLOOKUP(A34,'[17]geoMap (14)'!$A:$C,3,0)</f>
        <v>322.30973046654941</v>
      </c>
      <c r="Q34" s="1">
        <f>P34/VLOOKUP(A34,'[18]geoMap (15)'!$A:$B,2,0)*VLOOKUP(A34,'[18]geoMap (15)'!$A:$C,3,0)</f>
        <v>151.67516727837616</v>
      </c>
      <c r="R34" s="1" t="e">
        <f>Q34/VLOOKUP(A34,'[19]geoMap (16)'!$A:$B,2,0)*VLOOKUP(A34,'[19]geoMap (16)'!$A:$C,3,0)</f>
        <v>#REF!</v>
      </c>
      <c r="S34" s="1" t="e">
        <f>R34/VLOOKUP(A34,'[20]geoMap (17)'!$A:$B,2,0)*VLOOKUP(A34,'[20]geoMap (17)'!$A:$C,3,0)</f>
        <v>#REF!</v>
      </c>
      <c r="T34" s="1" t="e">
        <f>S34/VLOOKUP(A34,'[21]geoMap (18)'!$A:$B,2,0)*VLOOKUP(A34,'[21]geoMap (18)'!$A:$C,3,0)</f>
        <v>#REF!</v>
      </c>
      <c r="U34" s="1" t="e">
        <f>T34/VLOOKUP(A34,'[22]geoMap (19)'!$A:$B,2,0)*VLOOKUP(A34,'[22]geoMap (19)'!$A:$C,3,0)</f>
        <v>#REF!</v>
      </c>
      <c r="V34" s="1" t="e">
        <f>U34/VLOOKUP(A34,'[23]geoMap (20)'!$A:$B,2,0)*VLOOKUP(A34,'[23]geoMap (20)'!$A:$C,3,0)</f>
        <v>#REF!</v>
      </c>
      <c r="W34" s="1" t="e">
        <f>V34/VLOOKUP(A34,'[24]geoMap (21)'!$A:$B,2,0)*VLOOKUP(A34,'[24]geoMap (21)'!$A:$C,3,0)</f>
        <v>#REF!</v>
      </c>
      <c r="X34" s="1" t="e">
        <f>W34/VLOOKUP(A34,'[25]geoMap (22)'!$A:$B,2,0)*VLOOKUP(A34,'[25]geoMap (22)'!$A:$C,3,0)</f>
        <v>#REF!</v>
      </c>
      <c r="Y34" s="1" t="e">
        <f>X34/VLOOKUP(A34,'[26]geoMap (23)'!$A:$B,2,0)*VLOOKUP(A34,'[26]geoMap (23)'!$A:$C,3,0)</f>
        <v>#REF!</v>
      </c>
      <c r="Z34" s="1" t="e">
        <f>Y34/VLOOKUP(A34,'[27]geoMap (24)'!$A:$B,2,0)*VLOOKUP(A34,'[27]geoMap (24)'!$A:$C,3,0)</f>
        <v>#REF!</v>
      </c>
      <c r="AA34" s="1" t="e">
        <f>Z34/VLOOKUP(A34,'[28]geoMap (25)'!$A:$B,2,0)*VLOOKUP(A34,'[28]geoMap (25)'!$A:$C,3,0)</f>
        <v>#REF!</v>
      </c>
      <c r="AB34" s="1" t="e">
        <f>AA34*VLOOKUP(A34,'[29]geoMap (26)'!$A:$B,2,0)*VLOOKUP(A34,'[29]geoMap (26)'!$A:$C,3,0)</f>
        <v>#REF!</v>
      </c>
      <c r="AC34" s="1" t="e">
        <f>AB34/VLOOKUP(A34,'[30]geoMap (27)'!$A:$B,2,0)*VLOOKUP(A34,'[30]geoMap (27)'!$A:$C,3,0)</f>
        <v>#REF!</v>
      </c>
      <c r="AD34" s="1" t="e">
        <f>AC34/VLOOKUP(A34,'[31]geoMap (28)'!$A:$B,2,0)*VLOOKUP(A34,'[31]geoMap (28)'!$A:$C,3,0)</f>
        <v>#REF!</v>
      </c>
      <c r="AE34" s="1" t="e">
        <f>AD34/VLOOKUP(A34,'[32]geoMap (29)'!$A:$B,2,0)*VLOOKUP(A34,'[32]geoMap (29)'!$A:$C,3,0)</f>
        <v>#REF!</v>
      </c>
      <c r="AF34" s="1" t="e">
        <f>AE34/VLOOKUP(A34,'[33]geoMap (30)'!$A:$B,2,0)*VLOOKUP(A34,'[33]geoMap (30)'!$A:$C,3,0)</f>
        <v>#REF!</v>
      </c>
      <c r="AG34" s="1" t="e">
        <f>AF34/VLOOKUP(A34,'[34]geoMap (31)'!$A:$B,2,0)*VLOOKUP(A34,'[34]geoMap (31)'!$A:$C,3,0)</f>
        <v>#REF!</v>
      </c>
      <c r="AH34" s="1" t="e">
        <f>AG34/VLOOKUP(A34,'[35]geoMap (32)'!$A:$B,2,0)*VLOOKUP(A34,'[35]geoMap (32)'!$A:$C,3,0)</f>
        <v>#REF!</v>
      </c>
      <c r="AI34" s="1" t="e">
        <f>AH34/VLOOKUP(A34,'[36]geoMap (33)'!$A:$B,2,0)*VLOOKUP(A34,'[36]geoMap (33)'!$A:$C,3,0)</f>
        <v>#REF!</v>
      </c>
      <c r="AJ34" s="1" t="e">
        <f>AI34/VLOOKUP(A34,'[37]geoMap (34)'!$A:$B,2,0)*VLOOKUP(A34,'[37]geoMap (34)'!$A:$C,3,0)</f>
        <v>#REF!</v>
      </c>
      <c r="AK34" s="1" t="e">
        <f>AJ34/VLOOKUP(A34,'[38]geoMap (35)'!$A:$B,2,0)*VLOOKUP(A34,'[38]geoMap (35)'!$A:$C,3,0)</f>
        <v>#REF!</v>
      </c>
      <c r="AL34" s="1" t="e">
        <f>AK34/VLOOKUP(A34,'[39]geoMap (36)'!$A:$B,2,0)*VLOOKUP(A34,'[39]geoMap (36)'!$A:$C,3,0)</f>
        <v>#REF!</v>
      </c>
      <c r="AM34" s="1" t="e">
        <f>AL34/VLOOKUP(A34,'[40]geoMap (37)'!$A:$B,2,0)*VLOOKUP(A34,'[40]geoMap (37)'!$A:$C,3,0)</f>
        <v>#REF!</v>
      </c>
      <c r="AN34" s="1" t="e">
        <f>AM34/VLOOKUP(A34,'[41]geoMap (38)'!$A:$B,2,0)*VLOOKUP(A34,'[41]geoMap (38)'!$A:$C,3,0)</f>
        <v>#REF!</v>
      </c>
      <c r="AO34" s="1" t="e">
        <f>AN34/VLOOKUP(A34,'[42]geoMap (39)'!$A:$B,2,0)*VLOOKUP(A34,'[42]geoMap (39)'!$A:$C,3,0)</f>
        <v>#REF!</v>
      </c>
      <c r="AP34" s="1" t="e">
        <f>AO34/VLOOKUP(A34,'[43]geoMap (40)'!$A:$B,2,0)*VLOOKUP(A34,'[43]geoMap (40)'!$A:$C,3,0)</f>
        <v>#REF!</v>
      </c>
      <c r="AQ34" s="1" t="e">
        <f>AP34/VLOOKUP(A34,'[44]geoMap (41)'!$A:$B,2,0)*VLOOKUP(A34,'[44]geoMap (41)'!$A:$C,3,0)</f>
        <v>#REF!</v>
      </c>
      <c r="AR34" s="1" t="e">
        <f>AQ34/VLOOKUP(A34,'[45]geoMap (42)'!$A:$B,2,0)*VLOOKUP(A34,'[45]geoMap (42)'!$A:$C,3,0)</f>
        <v>#REF!</v>
      </c>
      <c r="AS34" s="1" t="e">
        <f>AR34/VLOOKUP(A34,'[46]geoMap (43)'!$A:$B,2,0)*VLOOKUP(A34,'[46]geoMap (43)'!$A:$C,3,0)</f>
        <v>#REF!</v>
      </c>
      <c r="AT34" s="1" t="e">
        <f>AS34/VLOOKUP(A34,'[47]geoMap (44)'!$A:$B,2,0)*VLOOKUP(A34,'[47]geoMap (44)'!$A:$C,3,0)</f>
        <v>#REF!</v>
      </c>
      <c r="AU34" s="1" t="e">
        <f>AT34/VLOOKUP(A34,'[48]geoMap (45)'!$A:$B,2,0)*VLOOKUP(A34,'[48]geoMap (45)'!$A:$C,3,0)</f>
        <v>#REF!</v>
      </c>
      <c r="AV34" s="1" t="e">
        <f>AU34/VLOOKUP(A34,'[49]geoMap (46)'!$A:$B,2,0)*VLOOKUP(A34,'[49]geoMap (46)'!$A:$C,3,0)</f>
        <v>#REF!</v>
      </c>
      <c r="AW34" s="1" t="e">
        <f>AV34/VLOOKUP(A34,'[50]geoMap (47)'!$A:$B,2,0)*VLOOKUP(A34,'[50]geoMap (47)'!$A:$C,3,0)</f>
        <v>#REF!</v>
      </c>
      <c r="AX34" s="4" t="e">
        <f>AW34/VLOOKUP(A34,'[51]geoMap (48)'!$A:$B,2,0)*VLOOKUP(A34,'[51]geoMap (48)'!$A:$C,3,0)</f>
        <v>#REF!</v>
      </c>
      <c r="AY34" s="1" t="e">
        <f>AX34/VLOOKUP(A34,'[52]geoMap (49)'!$A:$B,2,0)*VLOOKUP(A34,'[52]geoMap (49)'!$A:$C,3,0)</f>
        <v>#REF!</v>
      </c>
      <c r="AZ34" s="4" t="e">
        <f>AY34/VLOOKUP(A34,'[53]geoMap (50)'!$A:$B,2,0)*VLOOKUP(A34,'[53]geoMap (50)'!$A:$C,3,0)</f>
        <v>#REF!</v>
      </c>
      <c r="BA34" s="1" t="e">
        <f>AZ34/VLOOKUP(A34,'[54]geoMap (51)'!$A:$B,2,0)*VLOOKUP(A34,'[54]geoMap (51)'!$A:$C,3,0)</f>
        <v>#REF!</v>
      </c>
      <c r="BB34" s="4" t="e">
        <f>BA34/VLOOKUP(A34,'[55]geoMap (52)'!$A:$B,2,0)*VLOOKUP(A34,'[55]geoMap (52)'!$A:$C,3,0)</f>
        <v>#REF!</v>
      </c>
      <c r="BC34" s="1" t="e">
        <f>BB34/VLOOKUP(A34,'[56]geoMap (53)'!$A:$B,2,0)*VLOOKUP(A34,'[56]geoMap (53)'!$A:$C,3,0)</f>
        <v>#REF!</v>
      </c>
      <c r="BD34" s="4" t="e">
        <f>BC34/VLOOKUP(A34,'[57]geoMap (54)'!$A:$B,2,0)*VLOOKUP(A34,'[57]geoMap (54)'!$A:$C,3,0)</f>
        <v>#REF!</v>
      </c>
      <c r="BE34" s="1" t="e">
        <f>BD34/VLOOKUP(A34,'[58]geoMap (55)'!$A:$B,2,0)*VLOOKUP(A34,'[58]geoMap (55)'!$A:$C,3,0)</f>
        <v>#REF!</v>
      </c>
      <c r="BF34" s="4" t="e">
        <f>BE34/VLOOKUP(A34,'[59]geoMap (56)'!$A:$B,2,0)*VLOOKUP(A34,'[59]geoMap (56)'!$A:$C,3,0)</f>
        <v>#REF!</v>
      </c>
      <c r="BG34" s="1" t="e">
        <f>BF34/VLOOKUP(A34,'[60]geoMap (57)'!$A:$B,2,0)*VLOOKUP(A34,'[60]geoMap (57)'!$A:$C,3,0)</f>
        <v>#REF!</v>
      </c>
      <c r="BH34" s="4" t="e">
        <f>BG34/VLOOKUP(A34,'[61]geoMap (58)'!$A:$B,2,0)*VLOOKUP(A34,'[61]geoMap (58)'!$A:$C,3,0)</f>
        <v>#REF!</v>
      </c>
      <c r="BI34" s="1" t="e">
        <f>BH34/VLOOKUP(A34,'[62]geoMap (59)'!$A:$B,2,0)*VLOOKUP(A34,'[62]geoMap (59)'!$A:$C,3,0)</f>
        <v>#REF!</v>
      </c>
      <c r="BJ34" s="4" t="e">
        <f>BI34/VLOOKUP(A34,'[63]geoMap (60)'!$A:$B,2,0)*VLOOKUP(A34,'[63]geoMap (60)'!$A:$C,3,0)</f>
        <v>#REF!</v>
      </c>
      <c r="BK34" s="1" t="e">
        <f>BJ34/VLOOKUP(A34,'[64]geoMap (61)'!$A:$B,2,0)*VLOOKUP(A34,'[64]geoMap (61)'!$A:$C,3,0)</f>
        <v>#REF!</v>
      </c>
      <c r="BL34" s="4" t="e">
        <f>BK34/VLOOKUP(A34,'[65]geoMap (62)'!$A:$B,2,0)*VLOOKUP(A34,'[65]geoMap (62)'!$A:$C,3,0)</f>
        <v>#REF!</v>
      </c>
      <c r="BM34" s="1" t="e">
        <f>BL34/VLOOKUP(A34,'[66]geoMap (63)'!$A:$B,2,0)*VLOOKUP(A34,'[66]geoMap (63)'!$A:$C,3,0)</f>
        <v>#REF!</v>
      </c>
      <c r="BN34" s="4" t="e">
        <f>BM34/VLOOKUP(A34,'[67]geoMap (64)'!$A:$B,2,0)*VLOOKUP(A34,'[67]geoMap (64)'!$A:$C,3,0)</f>
        <v>#REF!</v>
      </c>
      <c r="BO34" s="1" t="e">
        <f>BN34/VLOOKUP(A34,'[68]geoMap (65)'!$A:$B,2,0)*VLOOKUP(A34,'[68]geoMap (65)'!$A:$C,3,0)</f>
        <v>#REF!</v>
      </c>
      <c r="BP34" s="4" t="e">
        <f>BO34/VLOOKUP(A34,'[69]geoMap (66)'!$A:$B,2,0)*VLOOKUP(A34,'[69]geoMap (66)'!$A:$C,3,0)</f>
        <v>#REF!</v>
      </c>
    </row>
    <row r="35" spans="1:68" x14ac:dyDescent="0.2">
      <c r="A35" s="1" t="s">
        <v>95</v>
      </c>
      <c r="B35" s="1">
        <f>VLOOKUP(A35,[3]geoMap!$A:$B,2,0)*Notes!$C$6</f>
        <v>6000</v>
      </c>
      <c r="C35" s="1">
        <f>B35/VLOOKUP(A35,'[4]geoMap (1)'!$A:$B,2,0)*VLOOKUP(A35,'[4]geoMap (1)'!$A:$C,3,0)</f>
        <v>1894.7368421052631</v>
      </c>
      <c r="D35" s="1">
        <f>C35/VLOOKUP(A35,'[5]geoMap (2)'!$A:$B,2,0)*VLOOKUP(A35,'[5]geoMap (2)'!$A:$C,3,0)</f>
        <v>3846.8899521531098</v>
      </c>
      <c r="E35" s="1">
        <f>D35/VLOOKUP(A35,'[6]geoMap (3)'!$A:$B,2,0)*VLOOKUP(A35,'[6]geoMap (3)'!$A:$C,3,0)</f>
        <v>2902.0397884663812</v>
      </c>
      <c r="F35" s="1">
        <f>E35/VLOOKUP(A35,'[7]geoMap (4)'!$A:$B,2,0)*VLOOKUP(A35,'[7]geoMap (4)'!$A:$C,3,0)</f>
        <v>2374.3961905634028</v>
      </c>
      <c r="G35" s="1">
        <f>F35/VLOOKUP(A35,'[8]geoMap (5)'!$A:$B,2,0)*VLOOKUP(A35,'[8]geoMap (5)'!$A:$C,3,0)</f>
        <v>1865.5970068712447</v>
      </c>
      <c r="H35" s="1">
        <f>G35/VLOOKUP(A35,'[9]geoMap (6)'!$A:$B,2,0)*VLOOKUP(A35,'[9]geoMap (6)'!$A:$C,3,0)</f>
        <v>1792.4363399351175</v>
      </c>
      <c r="I35" s="1">
        <f>H35/VLOOKUP(A35,'[10]geoMap (7)'!$A:$B,2,0)*VLOOKUP(A35,'[10]geoMap (7)'!$A:$C,3,0)</f>
        <v>1941.8060349297109</v>
      </c>
      <c r="J35" s="1">
        <f>I35/VLOOKUP(A35,'[11]geoMap (8)'!$A:$B,2,0)*VLOOKUP(A35,'[11]geoMap (8)'!$A:$C,3,0)</f>
        <v>580.01998445952404</v>
      </c>
      <c r="K35" s="1">
        <f>J35/VLOOKUP(A35,'[12]geoMap (9)'!$A:$B,2,0)*VLOOKUP(A35,'[12]geoMap (9)'!$A:$C,3,0)</f>
        <v>514.35734470938928</v>
      </c>
      <c r="L35" s="1">
        <f>K35/VLOOKUP(A35,'[13]geoMap (10)'!$A:$B,2,0)*VLOOKUP(A35,'[13]geoMap (10)'!$A:$C,3,0)</f>
        <v>120.65172283306663</v>
      </c>
      <c r="M35" s="1">
        <f>L35/VLOOKUP(A35,'[14]geoMap (11)'!$A:$B,2,0)*VLOOKUP(A35,'[14]geoMap (11)'!$A:$C,3,0)</f>
        <v>256.3849110202666</v>
      </c>
      <c r="N35" s="1">
        <f>M35/VLOOKUP(A35,'[15]geoMap (12)'!$A:$B,2,0)*VLOOKUP(A35,'[15]geoMap (12)'!$A:$C,3,0)</f>
        <v>277.7503202719555</v>
      </c>
      <c r="O35" s="1">
        <f>N35/VLOOKUP(A35,'[16]geoMap (13)'!$A:$B,2,0)*VLOOKUP(A35,'[16]geoMap (13)'!$A:$C,3,0)</f>
        <v>201.12954226589883</v>
      </c>
      <c r="P35" s="1">
        <f>O35/VLOOKUP(A35,'[17]geoMap (14)'!$A:$B,2,0)*VLOOKUP(A35,'[17]geoMap (14)'!$A:$C,3,0)</f>
        <v>314.5872327748674</v>
      </c>
      <c r="Q35" s="1">
        <f>P35/VLOOKUP(A35,'[18]geoMap (15)'!$A:$B,2,0)*VLOOKUP(A35,'[18]geoMap (15)'!$A:$C,3,0)</f>
        <v>88.729732321116444</v>
      </c>
      <c r="R35" s="1">
        <f>Q35/VLOOKUP(A35,'[19]geoMap (16)'!$A:$B,2,0)*VLOOKUP(A35,'[19]geoMap (16)'!$A:$C,3,0)</f>
        <v>122.53153511011318</v>
      </c>
      <c r="S35" s="1">
        <f>R35/VLOOKUP(A35,'[20]geoMap (17)'!$A:$B,2,0)*VLOOKUP(A35,'[20]geoMap (17)'!$A:$C,3,0)</f>
        <v>71.962965064669646</v>
      </c>
      <c r="T35" s="1">
        <f>S35/VLOOKUP(A35,'[21]geoMap (18)'!$A:$B,2,0)*VLOOKUP(A35,'[21]geoMap (18)'!$A:$C,3,0)</f>
        <v>61.301785055088956</v>
      </c>
      <c r="U35" s="1">
        <f>T35/VLOOKUP(A35,'[22]geoMap (19)'!$A:$B,2,0)*VLOOKUP(A35,'[22]geoMap (19)'!$A:$C,3,0)</f>
        <v>21.538465019355581</v>
      </c>
      <c r="V35" s="1">
        <f>U35/VLOOKUP(A35,'[23]geoMap (20)'!$A:$B,2,0)*VLOOKUP(A35,'[23]geoMap (20)'!$A:$C,3,0)</f>
        <v>12.649574693907246</v>
      </c>
      <c r="W35" s="1">
        <f>V35/VLOOKUP(A35,'[24]geoMap (21)'!$A:$B,2,0)*VLOOKUP(A35,'[24]geoMap (21)'!$A:$C,3,0)</f>
        <v>34.200701950193661</v>
      </c>
      <c r="X35" s="1">
        <f>W35/VLOOKUP(A35,'[25]geoMap (22)'!$A:$B,2,0)*VLOOKUP(A35,'[25]geoMap (22)'!$A:$C,3,0)</f>
        <v>43.528166118428302</v>
      </c>
      <c r="Y35" s="1">
        <f>X35/VLOOKUP(A35,'[26]geoMap (23)'!$A:$B,2,0)*VLOOKUP(A35,'[26]geoMap (23)'!$A:$C,3,0)</f>
        <v>15.29367998755589</v>
      </c>
      <c r="Z35" s="1">
        <f>Y35/VLOOKUP(A35,'[27]geoMap (24)'!$A:$B,2,0)*VLOOKUP(A35,'[27]geoMap (24)'!$A:$C,3,0)</f>
        <v>18.692275540346088</v>
      </c>
      <c r="AA35" s="1">
        <f>Z35/VLOOKUP(A35,'[28]geoMap (25)'!$A:$B,2,0)*VLOOKUP(A35,'[28]geoMap (25)'!$A:$C,3,0)</f>
        <v>16.576168875401244</v>
      </c>
      <c r="AB35" s="1">
        <f>AA35*VLOOKUP(A35,'[29]geoMap (26)'!$A:$B,2,0)*VLOOKUP(A35,'[29]geoMap (26)'!$A:$C,3,0)</f>
        <v>4.1423846019627701</v>
      </c>
      <c r="AC35" s="1">
        <f>AB35/VLOOKUP(A35,'[30]geoMap (27)'!$A:$B,2,0)*VLOOKUP(A35,'[30]geoMap (27)'!$A:$C,3,0)</f>
        <v>8.0410995214571415</v>
      </c>
      <c r="AD35" s="1">
        <f>AC35/VLOOKUP(A35,'[31]geoMap (28)'!$A:$B,2,0)*VLOOKUP(A35,'[31]geoMap (28)'!$A:$C,3,0)</f>
        <v>4.1423846019627701</v>
      </c>
      <c r="AE35" s="1">
        <f>AD35/VLOOKUP(A35,'[32]geoMap (29)'!$A:$B,2,0)*VLOOKUP(A35,'[32]geoMap (29)'!$A:$C,3,0)</f>
        <v>7.0532494573960678</v>
      </c>
      <c r="AF35" s="1">
        <f>AE35/VLOOKUP(A35,'[33]geoMap (30)'!$A:$B,2,0)*VLOOKUP(A35,'[33]geoMap (30)'!$A:$C,3,0)</f>
        <v>3.0228211960268863</v>
      </c>
      <c r="AG35" s="1">
        <f>AF35/VLOOKUP(A35,'[34]geoMap (31)'!$A:$B,2,0)*VLOOKUP(A35,'[34]geoMap (31)'!$A:$C,3,0)</f>
        <v>2.2803738847220369</v>
      </c>
      <c r="AH35" s="1">
        <f>AG35/VLOOKUP(A35,'[35]geoMap (32)'!$A:$B,2,0)*VLOOKUP(A35,'[35]geoMap (32)'!$A:$C,3,0)</f>
        <v>4.4266081291663069</v>
      </c>
      <c r="AI35" s="1">
        <f>AH35/VLOOKUP(A35,'[36]geoMap (33)'!$A:$B,2,0)*VLOOKUP(A35,'[36]geoMap (33)'!$A:$C,3,0)</f>
        <v>2.4899670726560474</v>
      </c>
      <c r="AJ35" s="1">
        <f>AI35/VLOOKUP(A35,'[37]geoMap (34)'!$A:$B,2,0)*VLOOKUP(A35,'[37]geoMap (34)'!$A:$C,3,0)</f>
        <v>1.9564026999440369</v>
      </c>
      <c r="AK35" s="1">
        <f>AJ35/VLOOKUP(A35,'[38]geoMap (35)'!$A:$B,2,0)*VLOOKUP(A35,'[38]geoMap (35)'!$A:$C,3,0)</f>
        <v>1.8059101845637262</v>
      </c>
      <c r="AL35" s="1">
        <f>AK35/VLOOKUP(A35,'[39]geoMap (36)'!$A:$B,2,0)*VLOOKUP(A35,'[39]geoMap (36)'!$A:$C,3,0)</f>
        <v>0.73762528665278959</v>
      </c>
      <c r="AM35" s="1">
        <f>AL35/VLOOKUP(A35,'[40]geoMap (37)'!$A:$B,2,0)*VLOOKUP(A35,'[40]geoMap (37)'!$A:$C,3,0)</f>
        <v>3.8725327549271453</v>
      </c>
      <c r="AN35" s="1">
        <f>AM35/VLOOKUP(A35,'[41]geoMap (38)'!$A:$B,2,0)*VLOOKUP(A35,'[41]geoMap (38)'!$A:$C,3,0)</f>
        <v>1.99494111617459</v>
      </c>
      <c r="AO35" s="1">
        <f>AN35/VLOOKUP(A35,'[42]geoMap (39)'!$A:$B,2,0)*VLOOKUP(A35,'[42]geoMap (39)'!$A:$C,3,0)</f>
        <v>2.3418873972484322</v>
      </c>
      <c r="AP35" s="1">
        <f>AO35/VLOOKUP(A35,'[43]geoMap (40)'!$A:$B,2,0)*VLOOKUP(A35,'[43]geoMap (40)'!$A:$C,3,0)</f>
        <v>1.1534669270029592</v>
      </c>
      <c r="AQ35" s="1">
        <f>AP35/VLOOKUP(A35,'[44]geoMap (41)'!$A:$B,2,0)*VLOOKUP(A35,'[44]geoMap (41)'!$A:$C,3,0)</f>
        <v>0.64882514643916456</v>
      </c>
      <c r="AR35" s="1">
        <f>AQ35/VLOOKUP(A35,'[45]geoMap (42)'!$A:$B,2,0)*VLOOKUP(A35,'[45]geoMap (42)'!$A:$C,3,0)</f>
        <v>0.53085693799568012</v>
      </c>
      <c r="AS35" s="1">
        <f>AR35/VLOOKUP(A35,'[46]geoMap (43)'!$A:$B,2,0)*VLOOKUP(A35,'[46]geoMap (43)'!$A:$C,3,0)</f>
        <v>0.41710187985374864</v>
      </c>
      <c r="AT35" s="1" t="e">
        <f>AS35/VLOOKUP(A35,'[47]geoMap (44)'!$A:$B,2,0)*VLOOKUP(A35,'[47]geoMap (44)'!$A:$C,3,0)</f>
        <v>#REF!</v>
      </c>
      <c r="AU35" s="1" t="e">
        <f>AT35/VLOOKUP(A35,'[48]geoMap (45)'!$A:$B,2,0)*VLOOKUP(A35,'[48]geoMap (45)'!$A:$C,3,0)</f>
        <v>#REF!</v>
      </c>
      <c r="AV35" s="1" t="e">
        <f>AU35/VLOOKUP(A35,'[49]geoMap (46)'!$A:$B,2,0)*VLOOKUP(A35,'[49]geoMap (46)'!$A:$C,3,0)</f>
        <v>#REF!</v>
      </c>
      <c r="AW35" s="1" t="e">
        <f>AV35/VLOOKUP(A35,'[50]geoMap (47)'!$A:$B,2,0)*VLOOKUP(A35,'[50]geoMap (47)'!$A:$C,3,0)</f>
        <v>#REF!</v>
      </c>
      <c r="AX35" s="4" t="e">
        <f>AW35/VLOOKUP(A35,'[51]geoMap (48)'!$A:$B,2,0)*VLOOKUP(A35,'[51]geoMap (48)'!$A:$C,3,0)</f>
        <v>#REF!</v>
      </c>
      <c r="AY35" s="1" t="e">
        <f>AX35/VLOOKUP(A35,'[52]geoMap (49)'!$A:$B,2,0)*VLOOKUP(A35,'[52]geoMap (49)'!$A:$C,3,0)</f>
        <v>#REF!</v>
      </c>
      <c r="AZ35" s="4" t="e">
        <f>AY35/VLOOKUP(A35,'[53]geoMap (50)'!$A:$B,2,0)*VLOOKUP(A35,'[53]geoMap (50)'!$A:$C,3,0)</f>
        <v>#REF!</v>
      </c>
      <c r="BA35" s="1" t="e">
        <f>AZ35/VLOOKUP(A35,'[54]geoMap (51)'!$A:$B,2,0)*VLOOKUP(A35,'[54]geoMap (51)'!$A:$C,3,0)</f>
        <v>#REF!</v>
      </c>
      <c r="BB35" s="4" t="e">
        <f>BA35/VLOOKUP(A35,'[55]geoMap (52)'!$A:$B,2,0)*VLOOKUP(A35,'[55]geoMap (52)'!$A:$C,3,0)</f>
        <v>#REF!</v>
      </c>
      <c r="BC35" s="1" t="e">
        <f>BB35/VLOOKUP(A35,'[56]geoMap (53)'!$A:$B,2,0)*VLOOKUP(A35,'[56]geoMap (53)'!$A:$C,3,0)</f>
        <v>#REF!</v>
      </c>
      <c r="BD35" s="4" t="e">
        <f>BC35/VLOOKUP(A35,'[57]geoMap (54)'!$A:$B,2,0)*VLOOKUP(A35,'[57]geoMap (54)'!$A:$C,3,0)</f>
        <v>#REF!</v>
      </c>
      <c r="BE35" s="1" t="e">
        <f>BD35/VLOOKUP(A35,'[58]geoMap (55)'!$A:$B,2,0)*VLOOKUP(A35,'[58]geoMap (55)'!$A:$C,3,0)</f>
        <v>#REF!</v>
      </c>
      <c r="BF35" s="4" t="e">
        <f>BE35/VLOOKUP(A35,'[59]geoMap (56)'!$A:$B,2,0)*VLOOKUP(A35,'[59]geoMap (56)'!$A:$C,3,0)</f>
        <v>#REF!</v>
      </c>
      <c r="BG35" s="1" t="e">
        <f>BF35/VLOOKUP(A35,'[60]geoMap (57)'!$A:$B,2,0)*VLOOKUP(A35,'[60]geoMap (57)'!$A:$C,3,0)</f>
        <v>#REF!</v>
      </c>
      <c r="BH35" s="4" t="e">
        <f>BG35/VLOOKUP(A35,'[61]geoMap (58)'!$A:$B,2,0)*VLOOKUP(A35,'[61]geoMap (58)'!$A:$C,3,0)</f>
        <v>#REF!</v>
      </c>
      <c r="BI35" s="1" t="e">
        <f>BH35/VLOOKUP(A35,'[62]geoMap (59)'!$A:$B,2,0)*VLOOKUP(A35,'[62]geoMap (59)'!$A:$C,3,0)</f>
        <v>#REF!</v>
      </c>
      <c r="BJ35" s="4" t="e">
        <f>BI35/VLOOKUP(A35,'[63]geoMap (60)'!$A:$B,2,0)*VLOOKUP(A35,'[63]geoMap (60)'!$A:$C,3,0)</f>
        <v>#REF!</v>
      </c>
      <c r="BK35" s="1" t="e">
        <f>BJ35/VLOOKUP(A35,'[64]geoMap (61)'!$A:$B,2,0)*VLOOKUP(A35,'[64]geoMap (61)'!$A:$C,3,0)</f>
        <v>#REF!</v>
      </c>
      <c r="BL35" s="4" t="e">
        <f>BK35/VLOOKUP(A35,'[65]geoMap (62)'!$A:$B,2,0)*VLOOKUP(A35,'[65]geoMap (62)'!$A:$C,3,0)</f>
        <v>#REF!</v>
      </c>
      <c r="BM35" s="1" t="e">
        <f>BL35/VLOOKUP(A35,'[66]geoMap (63)'!$A:$B,2,0)*VLOOKUP(A35,'[66]geoMap (63)'!$A:$C,3,0)</f>
        <v>#REF!</v>
      </c>
      <c r="BN35" s="4" t="e">
        <f>BM35/VLOOKUP(A35,'[67]geoMap (64)'!$A:$B,2,0)*VLOOKUP(A35,'[67]geoMap (64)'!$A:$C,3,0)</f>
        <v>#REF!</v>
      </c>
      <c r="BO35" s="1" t="e">
        <f>BN35/VLOOKUP(A35,'[68]geoMap (65)'!$A:$B,2,0)*VLOOKUP(A35,'[68]geoMap (65)'!$A:$C,3,0)</f>
        <v>#REF!</v>
      </c>
      <c r="BP35" s="4" t="e">
        <f>BO35/VLOOKUP(A35,'[69]geoMap (66)'!$A:$B,2,0)*VLOOKUP(A35,'[69]geoMap (66)'!$A:$C,3,0)</f>
        <v>#REF!</v>
      </c>
    </row>
    <row r="36" spans="1:68" x14ac:dyDescent="0.2">
      <c r="A36" s="1" t="s">
        <v>102</v>
      </c>
      <c r="B36" s="1">
        <f>VLOOKUP(A36,[3]geoMap!$A:$B,2,0)*Notes!$C$6</f>
        <v>5000</v>
      </c>
      <c r="C36" s="1" t="e">
        <f>B36/VLOOKUP(A36,'[4]geoMap (1)'!$A:$B,2,0)*VLOOKUP(A36,'[4]geoMap (1)'!$A:$C,3,0)</f>
        <v>#DIV/0!</v>
      </c>
      <c r="D36" s="1" t="e">
        <f>C36/VLOOKUP(A36,'[5]geoMap (2)'!$A:$B,2,0)*VLOOKUP(A36,'[5]geoMap (2)'!$A:$C,3,0)</f>
        <v>#DIV/0!</v>
      </c>
      <c r="E36" s="1" t="e">
        <f>D36/VLOOKUP(A36,'[6]geoMap (3)'!$A:$B,2,0)*VLOOKUP(A36,'[6]geoMap (3)'!$A:$C,3,0)</f>
        <v>#DIV/0!</v>
      </c>
      <c r="F36" s="1" t="e">
        <f>E36/VLOOKUP(A36,'[7]geoMap (4)'!$A:$B,2,0)*VLOOKUP(A36,'[7]geoMap (4)'!$A:$C,3,0)</f>
        <v>#DIV/0!</v>
      </c>
      <c r="G36" s="1" t="e">
        <f>F36/VLOOKUP(A36,'[8]geoMap (5)'!$A:$B,2,0)*VLOOKUP(A36,'[8]geoMap (5)'!$A:$C,3,0)</f>
        <v>#DIV/0!</v>
      </c>
      <c r="H36" s="1" t="e">
        <f>G36/VLOOKUP(A36,'[9]geoMap (6)'!$A:$B,2,0)*VLOOKUP(A36,'[9]geoMap (6)'!$A:$C,3,0)</f>
        <v>#DIV/0!</v>
      </c>
      <c r="I36" s="1" t="e">
        <f>H36/VLOOKUP(A36,'[10]geoMap (7)'!$A:$B,2,0)*VLOOKUP(A36,'[10]geoMap (7)'!$A:$C,3,0)</f>
        <v>#DIV/0!</v>
      </c>
      <c r="J36" s="1" t="e">
        <f>I36/VLOOKUP(A36,'[11]geoMap (8)'!$A:$B,2,0)*VLOOKUP(A36,'[11]geoMap (8)'!$A:$C,3,0)</f>
        <v>#DIV/0!</v>
      </c>
      <c r="K36" s="1" t="e">
        <f>J36/VLOOKUP(A36,'[12]geoMap (9)'!$A:$B,2,0)*VLOOKUP(A36,'[12]geoMap (9)'!$A:$C,3,0)</f>
        <v>#DIV/0!</v>
      </c>
      <c r="L36" s="1" t="e">
        <f>K36/VLOOKUP(A36,'[13]geoMap (10)'!$A:$B,2,0)*VLOOKUP(A36,'[13]geoMap (10)'!$A:$C,3,0)</f>
        <v>#DIV/0!</v>
      </c>
      <c r="M36" s="1" t="e">
        <f>L36/VLOOKUP(A36,'[14]geoMap (11)'!$A:$B,2,0)*VLOOKUP(A36,'[14]geoMap (11)'!$A:$C,3,0)</f>
        <v>#DIV/0!</v>
      </c>
      <c r="N36" s="1" t="e">
        <f>M36/VLOOKUP(A36,'[15]geoMap (12)'!$A:$B,2,0)*VLOOKUP(A36,'[15]geoMap (12)'!$A:$C,3,0)</f>
        <v>#DIV/0!</v>
      </c>
      <c r="O36" s="1" t="e">
        <f>N36/VLOOKUP(A36,'[16]geoMap (13)'!$A:$B,2,0)*VLOOKUP(A36,'[16]geoMap (13)'!$A:$C,3,0)</f>
        <v>#DIV/0!</v>
      </c>
      <c r="P36" s="1" t="e">
        <f>O36/VLOOKUP(A36,'[17]geoMap (14)'!$A:$B,2,0)*VLOOKUP(A36,'[17]geoMap (14)'!$A:$C,3,0)</f>
        <v>#DIV/0!</v>
      </c>
      <c r="Q36" s="1" t="e">
        <f>P36/VLOOKUP(A36,'[18]geoMap (15)'!$A:$B,2,0)*VLOOKUP(A36,'[18]geoMap (15)'!$A:$C,3,0)</f>
        <v>#DIV/0!</v>
      </c>
      <c r="R36" s="1" t="e">
        <f>Q36/VLOOKUP(A36,'[19]geoMap (16)'!$A:$B,2,0)*VLOOKUP(A36,'[19]geoMap (16)'!$A:$C,3,0)</f>
        <v>#DIV/0!</v>
      </c>
      <c r="S36" s="1" t="e">
        <f>R36/VLOOKUP(A36,'[20]geoMap (17)'!$A:$B,2,0)*VLOOKUP(A36,'[20]geoMap (17)'!$A:$C,3,0)</f>
        <v>#DIV/0!</v>
      </c>
      <c r="T36" s="1" t="e">
        <f>S36/VLOOKUP(A36,'[21]geoMap (18)'!$A:$B,2,0)*VLOOKUP(A36,'[21]geoMap (18)'!$A:$C,3,0)</f>
        <v>#DIV/0!</v>
      </c>
      <c r="U36" s="1" t="e">
        <f>T36/VLOOKUP(A36,'[22]geoMap (19)'!$A:$B,2,0)*VLOOKUP(A36,'[22]geoMap (19)'!$A:$C,3,0)</f>
        <v>#DIV/0!</v>
      </c>
      <c r="V36" s="1" t="e">
        <f>U36/VLOOKUP(A36,'[23]geoMap (20)'!$A:$B,2,0)*VLOOKUP(A36,'[23]geoMap (20)'!$A:$C,3,0)</f>
        <v>#DIV/0!</v>
      </c>
      <c r="W36" s="1" t="e">
        <f>V36/VLOOKUP(A36,'[24]geoMap (21)'!$A:$B,2,0)*VLOOKUP(A36,'[24]geoMap (21)'!$A:$C,3,0)</f>
        <v>#DIV/0!</v>
      </c>
      <c r="X36" s="1" t="e">
        <f>W36/VLOOKUP(A36,'[25]geoMap (22)'!$A:$B,2,0)*VLOOKUP(A36,'[25]geoMap (22)'!$A:$C,3,0)</f>
        <v>#DIV/0!</v>
      </c>
      <c r="Y36" s="1" t="e">
        <f>X36/VLOOKUP(A36,'[26]geoMap (23)'!$A:$B,2,0)*VLOOKUP(A36,'[26]geoMap (23)'!$A:$C,3,0)</f>
        <v>#DIV/0!</v>
      </c>
      <c r="Z36" s="1" t="e">
        <f>Y36/VLOOKUP(A36,'[27]geoMap (24)'!$A:$B,2,0)*VLOOKUP(A36,'[27]geoMap (24)'!$A:$C,3,0)</f>
        <v>#DIV/0!</v>
      </c>
      <c r="AA36" s="1" t="e">
        <f>Z36/VLOOKUP(A36,'[28]geoMap (25)'!$A:$B,2,0)*VLOOKUP(A36,'[28]geoMap (25)'!$A:$C,3,0)</f>
        <v>#DIV/0!</v>
      </c>
      <c r="AB36" s="1" t="e">
        <f>AA36*VLOOKUP(A36,'[29]geoMap (26)'!$A:$B,2,0)*VLOOKUP(A36,'[29]geoMap (26)'!$A:$C,3,0)</f>
        <v>#DIV/0!</v>
      </c>
      <c r="AC36" s="1" t="e">
        <f>AB36/VLOOKUP(A36,'[30]geoMap (27)'!$A:$B,2,0)*VLOOKUP(A36,'[30]geoMap (27)'!$A:$C,3,0)</f>
        <v>#DIV/0!</v>
      </c>
      <c r="AD36" s="1" t="e">
        <f>AC36/VLOOKUP(A36,'[31]geoMap (28)'!$A:$B,2,0)*VLOOKUP(A36,'[31]geoMap (28)'!$A:$C,3,0)</f>
        <v>#DIV/0!</v>
      </c>
      <c r="AE36" s="1" t="e">
        <f>AD36/VLOOKUP(A36,'[32]geoMap (29)'!$A:$B,2,0)*VLOOKUP(A36,'[32]geoMap (29)'!$A:$C,3,0)</f>
        <v>#DIV/0!</v>
      </c>
      <c r="AF36" s="1" t="e">
        <f>AE36/VLOOKUP(A36,'[33]geoMap (30)'!$A:$B,2,0)*VLOOKUP(A36,'[33]geoMap (30)'!$A:$C,3,0)</f>
        <v>#DIV/0!</v>
      </c>
      <c r="AG36" s="1" t="e">
        <f>AF36/VLOOKUP(A36,'[34]geoMap (31)'!$A:$B,2,0)*VLOOKUP(A36,'[34]geoMap (31)'!$A:$C,3,0)</f>
        <v>#DIV/0!</v>
      </c>
      <c r="AH36" s="1" t="e">
        <f>AG36/VLOOKUP(A36,'[35]geoMap (32)'!$A:$B,2,0)*VLOOKUP(A36,'[35]geoMap (32)'!$A:$C,3,0)</f>
        <v>#DIV/0!</v>
      </c>
      <c r="AI36" s="1" t="e">
        <f>AH36/VLOOKUP(A36,'[36]geoMap (33)'!$A:$B,2,0)*VLOOKUP(A36,'[36]geoMap (33)'!$A:$C,3,0)</f>
        <v>#DIV/0!</v>
      </c>
      <c r="AJ36" s="1" t="e">
        <f>AI36/VLOOKUP(A36,'[37]geoMap (34)'!$A:$B,2,0)*VLOOKUP(A36,'[37]geoMap (34)'!$A:$C,3,0)</f>
        <v>#DIV/0!</v>
      </c>
      <c r="AK36" s="1" t="e">
        <f>AJ36/VLOOKUP(A36,'[38]geoMap (35)'!$A:$B,2,0)*VLOOKUP(A36,'[38]geoMap (35)'!$A:$C,3,0)</f>
        <v>#DIV/0!</v>
      </c>
      <c r="AL36" s="1" t="e">
        <f>AK36/VLOOKUP(A36,'[39]geoMap (36)'!$A:$B,2,0)*VLOOKUP(A36,'[39]geoMap (36)'!$A:$C,3,0)</f>
        <v>#DIV/0!</v>
      </c>
      <c r="AM36" s="1" t="e">
        <f>AL36/VLOOKUP(A36,'[40]geoMap (37)'!$A:$B,2,0)*VLOOKUP(A36,'[40]geoMap (37)'!$A:$C,3,0)</f>
        <v>#DIV/0!</v>
      </c>
      <c r="AN36" s="1" t="e">
        <f>AM36/VLOOKUP(A36,'[41]geoMap (38)'!$A:$B,2,0)*VLOOKUP(A36,'[41]geoMap (38)'!$A:$C,3,0)</f>
        <v>#DIV/0!</v>
      </c>
      <c r="AO36" s="1" t="e">
        <f>AN36/VLOOKUP(A36,'[42]geoMap (39)'!$A:$B,2,0)*VLOOKUP(A36,'[42]geoMap (39)'!$A:$C,3,0)</f>
        <v>#DIV/0!</v>
      </c>
      <c r="AP36" s="1" t="e">
        <f>AO36/VLOOKUP(A36,'[43]geoMap (40)'!$A:$B,2,0)*VLOOKUP(A36,'[43]geoMap (40)'!$A:$C,3,0)</f>
        <v>#DIV/0!</v>
      </c>
      <c r="AQ36" s="1" t="e">
        <f>AP36/VLOOKUP(A36,'[44]geoMap (41)'!$A:$B,2,0)*VLOOKUP(A36,'[44]geoMap (41)'!$A:$C,3,0)</f>
        <v>#DIV/0!</v>
      </c>
      <c r="AR36" s="1" t="e">
        <f>AQ36/VLOOKUP(A36,'[45]geoMap (42)'!$A:$B,2,0)*VLOOKUP(A36,'[45]geoMap (42)'!$A:$C,3,0)</f>
        <v>#DIV/0!</v>
      </c>
      <c r="AS36" s="1" t="e">
        <f>AR36/VLOOKUP(A36,'[46]geoMap (43)'!$A:$B,2,0)*VLOOKUP(A36,'[46]geoMap (43)'!$A:$C,3,0)</f>
        <v>#DIV/0!</v>
      </c>
      <c r="AT36" s="1" t="e">
        <f>AS36/VLOOKUP(A36,'[47]geoMap (44)'!$A:$B,2,0)*VLOOKUP(A36,'[47]geoMap (44)'!$A:$C,3,0)</f>
        <v>#DIV/0!</v>
      </c>
      <c r="AU36" s="1" t="e">
        <f>AT36/VLOOKUP(A36,'[48]geoMap (45)'!$A:$B,2,0)*VLOOKUP(A36,'[48]geoMap (45)'!$A:$C,3,0)</f>
        <v>#DIV/0!</v>
      </c>
      <c r="AV36" s="1" t="e">
        <f>AU36/VLOOKUP(A36,'[49]geoMap (46)'!$A:$B,2,0)*VLOOKUP(A36,'[49]geoMap (46)'!$A:$C,3,0)</f>
        <v>#DIV/0!</v>
      </c>
      <c r="AW36" s="1" t="e">
        <f>AV36/VLOOKUP(A36,'[50]geoMap (47)'!$A:$B,2,0)*VLOOKUP(A36,'[50]geoMap (47)'!$A:$C,3,0)</f>
        <v>#DIV/0!</v>
      </c>
      <c r="AX36" s="4" t="e">
        <f>AW36/VLOOKUP(A36,'[51]geoMap (48)'!$A:$B,2,0)*VLOOKUP(A36,'[51]geoMap (48)'!$A:$C,3,0)</f>
        <v>#DIV/0!</v>
      </c>
      <c r="AY36" s="1" t="e">
        <f>AX36/VLOOKUP(A36,'[52]geoMap (49)'!$A:$B,2,0)*VLOOKUP(A36,'[52]geoMap (49)'!$A:$C,3,0)</f>
        <v>#DIV/0!</v>
      </c>
      <c r="AZ36" s="4" t="e">
        <f>AY36/VLOOKUP(A36,'[53]geoMap (50)'!$A:$B,2,0)*VLOOKUP(A36,'[53]geoMap (50)'!$A:$C,3,0)</f>
        <v>#DIV/0!</v>
      </c>
      <c r="BA36" s="1" t="e">
        <f>AZ36/VLOOKUP(A36,'[54]geoMap (51)'!$A:$B,2,0)*VLOOKUP(A36,'[54]geoMap (51)'!$A:$C,3,0)</f>
        <v>#DIV/0!</v>
      </c>
      <c r="BB36" s="4" t="e">
        <f>BA36/VLOOKUP(A36,'[55]geoMap (52)'!$A:$B,2,0)*VLOOKUP(A36,'[55]geoMap (52)'!$A:$C,3,0)</f>
        <v>#DIV/0!</v>
      </c>
      <c r="BC36" s="1" t="e">
        <f>BB36/VLOOKUP(A36,'[56]geoMap (53)'!$A:$B,2,0)*VLOOKUP(A36,'[56]geoMap (53)'!$A:$C,3,0)</f>
        <v>#DIV/0!</v>
      </c>
      <c r="BD36" s="4" t="e">
        <f>BC36/VLOOKUP(A36,'[57]geoMap (54)'!$A:$B,2,0)*VLOOKUP(A36,'[57]geoMap (54)'!$A:$C,3,0)</f>
        <v>#DIV/0!</v>
      </c>
      <c r="BE36" s="1" t="e">
        <f>BD36/VLOOKUP(A36,'[58]geoMap (55)'!$A:$B,2,0)*VLOOKUP(A36,'[58]geoMap (55)'!$A:$C,3,0)</f>
        <v>#DIV/0!</v>
      </c>
      <c r="BF36" s="4" t="e">
        <f>BE36/VLOOKUP(A36,'[59]geoMap (56)'!$A:$B,2,0)*VLOOKUP(A36,'[59]geoMap (56)'!$A:$C,3,0)</f>
        <v>#DIV/0!</v>
      </c>
      <c r="BG36" s="1" t="e">
        <f>BF36/VLOOKUP(A36,'[60]geoMap (57)'!$A:$B,2,0)*VLOOKUP(A36,'[60]geoMap (57)'!$A:$C,3,0)</f>
        <v>#DIV/0!</v>
      </c>
      <c r="BH36" s="4" t="e">
        <f>BG36/VLOOKUP(A36,'[61]geoMap (58)'!$A:$B,2,0)*VLOOKUP(A36,'[61]geoMap (58)'!$A:$C,3,0)</f>
        <v>#DIV/0!</v>
      </c>
      <c r="BI36" s="1" t="e">
        <f>BH36/VLOOKUP(A36,'[62]geoMap (59)'!$A:$B,2,0)*VLOOKUP(A36,'[62]geoMap (59)'!$A:$C,3,0)</f>
        <v>#DIV/0!</v>
      </c>
      <c r="BJ36" s="4" t="e">
        <f>BI36/VLOOKUP(A36,'[63]geoMap (60)'!$A:$B,2,0)*VLOOKUP(A36,'[63]geoMap (60)'!$A:$C,3,0)</f>
        <v>#DIV/0!</v>
      </c>
      <c r="BK36" s="1" t="e">
        <f>BJ36/VLOOKUP(A36,'[64]geoMap (61)'!$A:$B,2,0)*VLOOKUP(A36,'[64]geoMap (61)'!$A:$C,3,0)</f>
        <v>#DIV/0!</v>
      </c>
      <c r="BL36" s="4" t="e">
        <f>BK36/VLOOKUP(A36,'[65]geoMap (62)'!$A:$B,2,0)*VLOOKUP(A36,'[65]geoMap (62)'!$A:$C,3,0)</f>
        <v>#DIV/0!</v>
      </c>
      <c r="BM36" s="1" t="e">
        <f>BL36/VLOOKUP(A36,'[66]geoMap (63)'!$A:$B,2,0)*VLOOKUP(A36,'[66]geoMap (63)'!$A:$C,3,0)</f>
        <v>#DIV/0!</v>
      </c>
      <c r="BN36" s="4" t="e">
        <f>BM36/VLOOKUP(A36,'[67]geoMap (64)'!$A:$B,2,0)*VLOOKUP(A36,'[67]geoMap (64)'!$A:$C,3,0)</f>
        <v>#DIV/0!</v>
      </c>
      <c r="BO36" s="1" t="e">
        <f>BN36/VLOOKUP(A36,'[68]geoMap (65)'!$A:$B,2,0)*VLOOKUP(A36,'[68]geoMap (65)'!$A:$C,3,0)</f>
        <v>#DIV/0!</v>
      </c>
      <c r="BP36" s="4" t="e">
        <f>BO36/VLOOKUP(A36,'[69]geoMap (66)'!$A:$B,2,0)*VLOOKUP(A36,'[69]geoMap (66)'!$A:$C,3,0)</f>
        <v>#DIV/0!</v>
      </c>
    </row>
    <row r="37" spans="1:68" x14ac:dyDescent="0.2">
      <c r="A37" s="1" t="s">
        <v>106</v>
      </c>
      <c r="B37" s="1">
        <f>VLOOKUP(A37,[3]geoMap!$A:$B,2,0)*Notes!$C$6</f>
        <v>5000</v>
      </c>
      <c r="C37" s="1" t="e">
        <f>B37/VLOOKUP(A37,'[4]geoMap (1)'!$A:$B,2,0)*VLOOKUP(A37,'[4]geoMap (1)'!$A:$C,3,0)</f>
        <v>#DIV/0!</v>
      </c>
      <c r="D37" s="1" t="e">
        <f>C37/VLOOKUP(A37,'[5]geoMap (2)'!$A:$B,2,0)*VLOOKUP(A37,'[5]geoMap (2)'!$A:$C,3,0)</f>
        <v>#DIV/0!</v>
      </c>
      <c r="E37" s="1" t="e">
        <f>D37/VLOOKUP(A37,'[6]geoMap (3)'!$A:$B,2,0)*VLOOKUP(A37,'[6]geoMap (3)'!$A:$C,3,0)</f>
        <v>#DIV/0!</v>
      </c>
      <c r="F37" s="1" t="e">
        <f>E37/VLOOKUP(A37,'[7]geoMap (4)'!$A:$B,2,0)*VLOOKUP(A37,'[7]geoMap (4)'!$A:$C,3,0)</f>
        <v>#DIV/0!</v>
      </c>
      <c r="G37" s="1" t="e">
        <f>F37/VLOOKUP(A37,'[8]geoMap (5)'!$A:$B,2,0)*VLOOKUP(A37,'[8]geoMap (5)'!$A:$C,3,0)</f>
        <v>#DIV/0!</v>
      </c>
      <c r="H37" s="1" t="e">
        <f>G37/VLOOKUP(A37,'[9]geoMap (6)'!$A:$B,2,0)*VLOOKUP(A37,'[9]geoMap (6)'!$A:$C,3,0)</f>
        <v>#DIV/0!</v>
      </c>
      <c r="I37" s="1" t="e">
        <f>H37/VLOOKUP(A37,'[10]geoMap (7)'!$A:$B,2,0)*VLOOKUP(A37,'[10]geoMap (7)'!$A:$C,3,0)</f>
        <v>#DIV/0!</v>
      </c>
      <c r="J37" s="1" t="e">
        <f>I37/VLOOKUP(A37,'[11]geoMap (8)'!$A:$B,2,0)*VLOOKUP(A37,'[11]geoMap (8)'!$A:$C,3,0)</f>
        <v>#DIV/0!</v>
      </c>
      <c r="K37" s="1" t="e">
        <f>J37/VLOOKUP(A37,'[12]geoMap (9)'!$A:$B,2,0)*VLOOKUP(A37,'[12]geoMap (9)'!$A:$C,3,0)</f>
        <v>#DIV/0!</v>
      </c>
      <c r="L37" s="1" t="e">
        <f>K37/VLOOKUP(A37,'[13]geoMap (10)'!$A:$B,2,0)*VLOOKUP(A37,'[13]geoMap (10)'!$A:$C,3,0)</f>
        <v>#DIV/0!</v>
      </c>
      <c r="M37" s="1" t="e">
        <f>L37/VLOOKUP(A37,'[14]geoMap (11)'!$A:$B,2,0)*VLOOKUP(A37,'[14]geoMap (11)'!$A:$C,3,0)</f>
        <v>#DIV/0!</v>
      </c>
      <c r="N37" s="1" t="e">
        <f>M37/VLOOKUP(A37,'[15]geoMap (12)'!$A:$B,2,0)*VLOOKUP(A37,'[15]geoMap (12)'!$A:$C,3,0)</f>
        <v>#DIV/0!</v>
      </c>
      <c r="O37" s="1" t="e">
        <f>N37/VLOOKUP(A37,'[16]geoMap (13)'!$A:$B,2,0)*VLOOKUP(A37,'[16]geoMap (13)'!$A:$C,3,0)</f>
        <v>#DIV/0!</v>
      </c>
      <c r="P37" s="1" t="e">
        <f>O37/VLOOKUP(A37,'[17]geoMap (14)'!$A:$B,2,0)*VLOOKUP(A37,'[17]geoMap (14)'!$A:$C,3,0)</f>
        <v>#DIV/0!</v>
      </c>
      <c r="Q37" s="1" t="e">
        <f>P37/VLOOKUP(A37,'[18]geoMap (15)'!$A:$B,2,0)*VLOOKUP(A37,'[18]geoMap (15)'!$A:$C,3,0)</f>
        <v>#DIV/0!</v>
      </c>
      <c r="R37" s="1" t="e">
        <f>Q37/VLOOKUP(A37,'[19]geoMap (16)'!$A:$B,2,0)*VLOOKUP(A37,'[19]geoMap (16)'!$A:$C,3,0)</f>
        <v>#DIV/0!</v>
      </c>
      <c r="S37" s="1" t="e">
        <f>R37/VLOOKUP(A37,'[20]geoMap (17)'!$A:$B,2,0)*VLOOKUP(A37,'[20]geoMap (17)'!$A:$C,3,0)</f>
        <v>#DIV/0!</v>
      </c>
      <c r="T37" s="1" t="e">
        <f>S37/VLOOKUP(A37,'[21]geoMap (18)'!$A:$B,2,0)*VLOOKUP(A37,'[21]geoMap (18)'!$A:$C,3,0)</f>
        <v>#DIV/0!</v>
      </c>
      <c r="U37" s="1" t="e">
        <f>T37/VLOOKUP(A37,'[22]geoMap (19)'!$A:$B,2,0)*VLOOKUP(A37,'[22]geoMap (19)'!$A:$C,3,0)</f>
        <v>#DIV/0!</v>
      </c>
      <c r="V37" s="1" t="e">
        <f>U37/VLOOKUP(A37,'[23]geoMap (20)'!$A:$B,2,0)*VLOOKUP(A37,'[23]geoMap (20)'!$A:$C,3,0)</f>
        <v>#DIV/0!</v>
      </c>
      <c r="W37" s="1" t="e">
        <f>V37/VLOOKUP(A37,'[24]geoMap (21)'!$A:$B,2,0)*VLOOKUP(A37,'[24]geoMap (21)'!$A:$C,3,0)</f>
        <v>#DIV/0!</v>
      </c>
      <c r="X37" s="1" t="e">
        <f>W37/VLOOKUP(A37,'[25]geoMap (22)'!$A:$B,2,0)*VLOOKUP(A37,'[25]geoMap (22)'!$A:$C,3,0)</f>
        <v>#DIV/0!</v>
      </c>
      <c r="Y37" s="1" t="e">
        <f>X37/VLOOKUP(A37,'[26]geoMap (23)'!$A:$B,2,0)*VLOOKUP(A37,'[26]geoMap (23)'!$A:$C,3,0)</f>
        <v>#DIV/0!</v>
      </c>
      <c r="Z37" s="1" t="e">
        <f>Y37/VLOOKUP(A37,'[27]geoMap (24)'!$A:$B,2,0)*VLOOKUP(A37,'[27]geoMap (24)'!$A:$C,3,0)</f>
        <v>#DIV/0!</v>
      </c>
      <c r="AA37" s="1" t="e">
        <f>Z37/VLOOKUP(A37,'[28]geoMap (25)'!$A:$B,2,0)*VLOOKUP(A37,'[28]geoMap (25)'!$A:$C,3,0)</f>
        <v>#DIV/0!</v>
      </c>
      <c r="AB37" s="1" t="e">
        <f>AA37*VLOOKUP(A37,'[29]geoMap (26)'!$A:$B,2,0)*VLOOKUP(A37,'[29]geoMap (26)'!$A:$C,3,0)</f>
        <v>#DIV/0!</v>
      </c>
      <c r="AC37" s="1" t="e">
        <f>AB37/VLOOKUP(A37,'[30]geoMap (27)'!$A:$B,2,0)*VLOOKUP(A37,'[30]geoMap (27)'!$A:$C,3,0)</f>
        <v>#DIV/0!</v>
      </c>
      <c r="AD37" s="1" t="e">
        <f>AC37/VLOOKUP(A37,'[31]geoMap (28)'!$A:$B,2,0)*VLOOKUP(A37,'[31]geoMap (28)'!$A:$C,3,0)</f>
        <v>#DIV/0!</v>
      </c>
      <c r="AE37" s="1" t="e">
        <f>AD37/VLOOKUP(A37,'[32]geoMap (29)'!$A:$B,2,0)*VLOOKUP(A37,'[32]geoMap (29)'!$A:$C,3,0)</f>
        <v>#DIV/0!</v>
      </c>
      <c r="AF37" s="1" t="e">
        <f>AE37/VLOOKUP(A37,'[33]geoMap (30)'!$A:$B,2,0)*VLOOKUP(A37,'[33]geoMap (30)'!$A:$C,3,0)</f>
        <v>#DIV/0!</v>
      </c>
      <c r="AG37" s="1" t="e">
        <f>AF37/VLOOKUP(A37,'[34]geoMap (31)'!$A:$B,2,0)*VLOOKUP(A37,'[34]geoMap (31)'!$A:$C,3,0)</f>
        <v>#DIV/0!</v>
      </c>
      <c r="AH37" s="1" t="e">
        <f>AG37/VLOOKUP(A37,'[35]geoMap (32)'!$A:$B,2,0)*VLOOKUP(A37,'[35]geoMap (32)'!$A:$C,3,0)</f>
        <v>#DIV/0!</v>
      </c>
      <c r="AI37" s="1" t="e">
        <f>AH37/VLOOKUP(A37,'[36]geoMap (33)'!$A:$B,2,0)*VLOOKUP(A37,'[36]geoMap (33)'!$A:$C,3,0)</f>
        <v>#DIV/0!</v>
      </c>
      <c r="AJ37" s="1" t="e">
        <f>AI37/VLOOKUP(A37,'[37]geoMap (34)'!$A:$B,2,0)*VLOOKUP(A37,'[37]geoMap (34)'!$A:$C,3,0)</f>
        <v>#DIV/0!</v>
      </c>
      <c r="AK37" s="1" t="e">
        <f>AJ37/VLOOKUP(A37,'[38]geoMap (35)'!$A:$B,2,0)*VLOOKUP(A37,'[38]geoMap (35)'!$A:$C,3,0)</f>
        <v>#DIV/0!</v>
      </c>
      <c r="AL37" s="1" t="e">
        <f>AK37/VLOOKUP(A37,'[39]geoMap (36)'!$A:$B,2,0)*VLOOKUP(A37,'[39]geoMap (36)'!$A:$C,3,0)</f>
        <v>#DIV/0!</v>
      </c>
      <c r="AM37" s="1" t="e">
        <f>AL37/VLOOKUP(A37,'[40]geoMap (37)'!$A:$B,2,0)*VLOOKUP(A37,'[40]geoMap (37)'!$A:$C,3,0)</f>
        <v>#DIV/0!</v>
      </c>
      <c r="AN37" s="1" t="e">
        <f>AM37/VLOOKUP(A37,'[41]geoMap (38)'!$A:$B,2,0)*VLOOKUP(A37,'[41]geoMap (38)'!$A:$C,3,0)</f>
        <v>#DIV/0!</v>
      </c>
      <c r="AO37" s="1" t="e">
        <f>AN37/VLOOKUP(A37,'[42]geoMap (39)'!$A:$B,2,0)*VLOOKUP(A37,'[42]geoMap (39)'!$A:$C,3,0)</f>
        <v>#DIV/0!</v>
      </c>
      <c r="AP37" s="1" t="e">
        <f>AO37/VLOOKUP(A37,'[43]geoMap (40)'!$A:$B,2,0)*VLOOKUP(A37,'[43]geoMap (40)'!$A:$C,3,0)</f>
        <v>#DIV/0!</v>
      </c>
      <c r="AQ37" s="1" t="e">
        <f>AP37/VLOOKUP(A37,'[44]geoMap (41)'!$A:$B,2,0)*VLOOKUP(A37,'[44]geoMap (41)'!$A:$C,3,0)</f>
        <v>#DIV/0!</v>
      </c>
      <c r="AR37" s="1" t="e">
        <f>AQ37/VLOOKUP(A37,'[45]geoMap (42)'!$A:$B,2,0)*VLOOKUP(A37,'[45]geoMap (42)'!$A:$C,3,0)</f>
        <v>#DIV/0!</v>
      </c>
      <c r="AS37" s="1" t="e">
        <f>AR37/VLOOKUP(A37,'[46]geoMap (43)'!$A:$B,2,0)*VLOOKUP(A37,'[46]geoMap (43)'!$A:$C,3,0)</f>
        <v>#DIV/0!</v>
      </c>
      <c r="AT37" s="1" t="e">
        <f>AS37/VLOOKUP(A37,'[47]geoMap (44)'!$A:$B,2,0)*VLOOKUP(A37,'[47]geoMap (44)'!$A:$C,3,0)</f>
        <v>#DIV/0!</v>
      </c>
      <c r="AU37" s="1" t="e">
        <f>AT37/VLOOKUP(A37,'[48]geoMap (45)'!$A:$B,2,0)*VLOOKUP(A37,'[48]geoMap (45)'!$A:$C,3,0)</f>
        <v>#DIV/0!</v>
      </c>
      <c r="AV37" s="1" t="e">
        <f>AU37/VLOOKUP(A37,'[49]geoMap (46)'!$A:$B,2,0)*VLOOKUP(A37,'[49]geoMap (46)'!$A:$C,3,0)</f>
        <v>#DIV/0!</v>
      </c>
      <c r="AW37" s="1" t="e">
        <f>AV37/VLOOKUP(A37,'[50]geoMap (47)'!$A:$B,2,0)*VLOOKUP(A37,'[50]geoMap (47)'!$A:$C,3,0)</f>
        <v>#DIV/0!</v>
      </c>
      <c r="AX37" s="4" t="e">
        <f>AW37/VLOOKUP(A37,'[51]geoMap (48)'!$A:$B,2,0)*VLOOKUP(A37,'[51]geoMap (48)'!$A:$C,3,0)</f>
        <v>#DIV/0!</v>
      </c>
      <c r="AY37" s="1" t="e">
        <f>AX37/VLOOKUP(A37,'[52]geoMap (49)'!$A:$B,2,0)*VLOOKUP(A37,'[52]geoMap (49)'!$A:$C,3,0)</f>
        <v>#DIV/0!</v>
      </c>
      <c r="AZ37" s="4" t="e">
        <f>AY37/VLOOKUP(A37,'[53]geoMap (50)'!$A:$B,2,0)*VLOOKUP(A37,'[53]geoMap (50)'!$A:$C,3,0)</f>
        <v>#DIV/0!</v>
      </c>
      <c r="BA37" s="1" t="e">
        <f>AZ37/VLOOKUP(A37,'[54]geoMap (51)'!$A:$B,2,0)*VLOOKUP(A37,'[54]geoMap (51)'!$A:$C,3,0)</f>
        <v>#DIV/0!</v>
      </c>
      <c r="BB37" s="4" t="e">
        <f>BA37/VLOOKUP(A37,'[55]geoMap (52)'!$A:$B,2,0)*VLOOKUP(A37,'[55]geoMap (52)'!$A:$C,3,0)</f>
        <v>#DIV/0!</v>
      </c>
      <c r="BC37" s="1" t="e">
        <f>BB37/VLOOKUP(A37,'[56]geoMap (53)'!$A:$B,2,0)*VLOOKUP(A37,'[56]geoMap (53)'!$A:$C,3,0)</f>
        <v>#DIV/0!</v>
      </c>
      <c r="BD37" s="4" t="e">
        <f>BC37/VLOOKUP(A37,'[57]geoMap (54)'!$A:$B,2,0)*VLOOKUP(A37,'[57]geoMap (54)'!$A:$C,3,0)</f>
        <v>#DIV/0!</v>
      </c>
      <c r="BE37" s="1" t="e">
        <f>BD37/VLOOKUP(A37,'[58]geoMap (55)'!$A:$B,2,0)*VLOOKUP(A37,'[58]geoMap (55)'!$A:$C,3,0)</f>
        <v>#DIV/0!</v>
      </c>
      <c r="BF37" s="4" t="e">
        <f>BE37/VLOOKUP(A37,'[59]geoMap (56)'!$A:$B,2,0)*VLOOKUP(A37,'[59]geoMap (56)'!$A:$C,3,0)</f>
        <v>#DIV/0!</v>
      </c>
      <c r="BG37" s="1" t="e">
        <f>BF37/VLOOKUP(A37,'[60]geoMap (57)'!$A:$B,2,0)*VLOOKUP(A37,'[60]geoMap (57)'!$A:$C,3,0)</f>
        <v>#DIV/0!</v>
      </c>
      <c r="BH37" s="4" t="e">
        <f>BG37/VLOOKUP(A37,'[61]geoMap (58)'!$A:$B,2,0)*VLOOKUP(A37,'[61]geoMap (58)'!$A:$C,3,0)</f>
        <v>#DIV/0!</v>
      </c>
      <c r="BI37" s="1" t="e">
        <f>BH37/VLOOKUP(A37,'[62]geoMap (59)'!$A:$B,2,0)*VLOOKUP(A37,'[62]geoMap (59)'!$A:$C,3,0)</f>
        <v>#DIV/0!</v>
      </c>
      <c r="BJ37" s="4" t="e">
        <f>BI37/VLOOKUP(A37,'[63]geoMap (60)'!$A:$B,2,0)*VLOOKUP(A37,'[63]geoMap (60)'!$A:$C,3,0)</f>
        <v>#DIV/0!</v>
      </c>
      <c r="BK37" s="1" t="e">
        <f>BJ37/VLOOKUP(A37,'[64]geoMap (61)'!$A:$B,2,0)*VLOOKUP(A37,'[64]geoMap (61)'!$A:$C,3,0)</f>
        <v>#DIV/0!</v>
      </c>
      <c r="BL37" s="4" t="e">
        <f>BK37/VLOOKUP(A37,'[65]geoMap (62)'!$A:$B,2,0)*VLOOKUP(A37,'[65]geoMap (62)'!$A:$C,3,0)</f>
        <v>#DIV/0!</v>
      </c>
      <c r="BM37" s="1" t="e">
        <f>BL37/VLOOKUP(A37,'[66]geoMap (63)'!$A:$B,2,0)*VLOOKUP(A37,'[66]geoMap (63)'!$A:$C,3,0)</f>
        <v>#DIV/0!</v>
      </c>
      <c r="BN37" s="4" t="e">
        <f>BM37/VLOOKUP(A37,'[67]geoMap (64)'!$A:$B,2,0)*VLOOKUP(A37,'[67]geoMap (64)'!$A:$C,3,0)</f>
        <v>#DIV/0!</v>
      </c>
      <c r="BO37" s="1" t="e">
        <f>BN37/VLOOKUP(A37,'[68]geoMap (65)'!$A:$B,2,0)*VLOOKUP(A37,'[68]geoMap (65)'!$A:$C,3,0)</f>
        <v>#DIV/0!</v>
      </c>
      <c r="BP37" s="4" t="e">
        <f>BO37/VLOOKUP(A37,'[69]geoMap (66)'!$A:$B,2,0)*VLOOKUP(A37,'[69]geoMap (66)'!$A:$C,3,0)</f>
        <v>#DIV/0!</v>
      </c>
    </row>
    <row r="38" spans="1:68" x14ac:dyDescent="0.2">
      <c r="A38" s="1" t="s">
        <v>108</v>
      </c>
      <c r="B38" s="1">
        <f>VLOOKUP(A38,[3]geoMap!$A:$B,2,0)*Notes!$C$6</f>
        <v>5000</v>
      </c>
      <c r="C38" s="1">
        <f>B38/VLOOKUP(A38,'[4]geoMap (1)'!$A:$B,2,0)*VLOOKUP(A38,'[4]geoMap (1)'!$A:$C,3,0)</f>
        <v>8513.5135135135133</v>
      </c>
      <c r="D38" s="1">
        <f>C38/VLOOKUP(A38,'[5]geoMap (2)'!$A:$B,2,0)*VLOOKUP(A38,'[5]geoMap (2)'!$A:$C,3,0)</f>
        <v>5675.6756756756768</v>
      </c>
      <c r="E38" s="1">
        <f>D38/VLOOKUP(A38,'[6]geoMap (3)'!$A:$B,2,0)*VLOOKUP(A38,'[6]geoMap (3)'!$A:$C,3,0)</f>
        <v>4281.6500711237568</v>
      </c>
      <c r="F38" s="1">
        <f>E38/VLOOKUP(A38,'[7]geoMap (4)'!$A:$B,2,0)*VLOOKUP(A38,'[7]geoMap (4)'!$A:$C,3,0)</f>
        <v>3647.3315420683853</v>
      </c>
      <c r="G38" s="1">
        <f>F38/VLOOKUP(A38,'[8]geoMap (5)'!$A:$B,2,0)*VLOOKUP(A38,'[8]geoMap (5)'!$A:$C,3,0)</f>
        <v>3951.2758372407511</v>
      </c>
      <c r="H38" s="1">
        <f>G38/VLOOKUP(A38,'[9]geoMap (6)'!$A:$B,2,0)*VLOOKUP(A38,'[9]geoMap (6)'!$A:$C,3,0)</f>
        <v>2980.7870351114443</v>
      </c>
      <c r="I38" s="1">
        <f>H38/VLOOKUP(A38,'[10]geoMap (7)'!$A:$B,2,0)*VLOOKUP(A38,'[10]geoMap (7)'!$A:$C,3,0)</f>
        <v>1339.1941751949969</v>
      </c>
      <c r="J38" s="1">
        <f>I38/VLOOKUP(A38,'[11]geoMap (8)'!$A:$B,2,0)*VLOOKUP(A38,'[11]geoMap (8)'!$A:$C,3,0)</f>
        <v>1010.2692900593836</v>
      </c>
      <c r="K38" s="1">
        <f>J38/VLOOKUP(A38,'[12]geoMap (9)'!$A:$B,2,0)*VLOOKUP(A38,'[12]geoMap (9)'!$A:$C,3,0)</f>
        <v>1185.9682970262329</v>
      </c>
      <c r="L38" s="1">
        <f>K38/VLOOKUP(A38,'[13]geoMap (10)'!$A:$B,2,0)*VLOOKUP(A38,'[13]geoMap (10)'!$A:$C,3,0)</f>
        <v>758.24202596759164</v>
      </c>
      <c r="M38" s="1">
        <f>L38/VLOOKUP(A38,'[14]geoMap (11)'!$A:$B,2,0)*VLOOKUP(A38,'[14]geoMap (11)'!$A:$C,3,0)</f>
        <v>2158.0734585231453</v>
      </c>
      <c r="N38" s="1">
        <f>M38/VLOOKUP(A38,'[15]geoMap (12)'!$A:$B,2,0)*VLOOKUP(A38,'[15]geoMap (12)'!$A:$C,3,0)</f>
        <v>539.51836463078632</v>
      </c>
      <c r="O38" s="1">
        <f>N38/VLOOKUP(A38,'[16]geoMap (13)'!$A:$B,2,0)*VLOOKUP(A38,'[16]geoMap (13)'!$A:$C,3,0)</f>
        <v>459.58971801881802</v>
      </c>
      <c r="P38" s="1">
        <f>O38/VLOOKUP(A38,'[17]geoMap (14)'!$A:$B,2,0)*VLOOKUP(A38,'[17]geoMap (14)'!$A:$C,3,0)</f>
        <v>145.13359516383727</v>
      </c>
      <c r="Q38" s="1">
        <f>P38/VLOOKUP(A38,'[18]geoMap (15)'!$A:$B,2,0)*VLOOKUP(A38,'[18]geoMap (15)'!$A:$C,3,0)</f>
        <v>485.88203598328124</v>
      </c>
      <c r="R38" s="1">
        <f>Q38/VLOOKUP(A38,'[19]geoMap (16)'!$A:$B,2,0)*VLOOKUP(A38,'[19]geoMap (16)'!$A:$C,3,0)</f>
        <v>526.37220564855477</v>
      </c>
      <c r="S38" s="1">
        <f>R38/VLOOKUP(A38,'[20]geoMap (17)'!$A:$B,2,0)*VLOOKUP(A38,'[20]geoMap (17)'!$A:$C,3,0)</f>
        <v>526.37220564855477</v>
      </c>
      <c r="T38" s="1">
        <f>S38/VLOOKUP(A38,'[21]geoMap (18)'!$A:$B,2,0)*VLOOKUP(A38,'[21]geoMap (18)'!$A:$C,3,0)</f>
        <v>85.688498593950797</v>
      </c>
      <c r="U38" s="1">
        <f>T38/VLOOKUP(A38,'[22]geoMap (19)'!$A:$B,2,0)*VLOOKUP(A38,'[22]geoMap (19)'!$A:$C,3,0)</f>
        <v>92.829206810113376</v>
      </c>
      <c r="V38" s="1">
        <f>U38/VLOOKUP(A38,'[23]geoMap (20)'!$A:$B,2,0)*VLOOKUP(A38,'[23]geoMap (20)'!$A:$C,3,0)</f>
        <v>79.07673172713362</v>
      </c>
      <c r="W38" s="1">
        <f>V38/VLOOKUP(A38,'[24]geoMap (21)'!$A:$B,2,0)*VLOOKUP(A38,'[24]geoMap (21)'!$A:$C,3,0)</f>
        <v>59.654376566083265</v>
      </c>
      <c r="X38" s="1">
        <f>W38/VLOOKUP(A38,'[25]geoMap (22)'!$A:$B,2,0)*VLOOKUP(A38,'[25]geoMap (22)'!$A:$C,3,0)</f>
        <v>18.838224178763134</v>
      </c>
      <c r="Y38" s="1">
        <f>X38/VLOOKUP(A38,'[26]geoMap (23)'!$A:$B,2,0)*VLOOKUP(A38,'[26]geoMap (23)'!$A:$C,3,0)</f>
        <v>48.441147888248047</v>
      </c>
      <c r="Z38" s="1">
        <f>Y38/VLOOKUP(A38,'[27]geoMap (24)'!$A:$B,2,0)*VLOOKUP(A38,'[27]geoMap (24)'!$A:$C,3,0)</f>
        <v>59.205847418969839</v>
      </c>
      <c r="AA38" s="1">
        <f>Z38/VLOOKUP(A38,'[28]geoMap (25)'!$A:$B,2,0)*VLOOKUP(A38,'[28]geoMap (25)'!$A:$C,3,0)</f>
        <v>44.66406033360883</v>
      </c>
      <c r="AB38" s="1">
        <f>AA38*VLOOKUP(A38,'[29]geoMap (26)'!$A:$B,2,0)*VLOOKUP(A38,'[29]geoMap (26)'!$A:$C,3,0)</f>
        <v>11.161548677368847</v>
      </c>
      <c r="AC38" s="1">
        <f>AB38/VLOOKUP(A38,'[30]geoMap (27)'!$A:$B,2,0)*VLOOKUP(A38,'[30]geoMap (27)'!$A:$C,3,0)</f>
        <v>12.586427231926573</v>
      </c>
      <c r="AD38" s="1">
        <f>AC38/VLOOKUP(A38,'[31]geoMap (28)'!$A:$B,2,0)*VLOOKUP(A38,'[31]geoMap (28)'!$A:$C,3,0)</f>
        <v>8.7465002798133806</v>
      </c>
      <c r="AE38" s="1">
        <f>AD38/VLOOKUP(A38,'[32]geoMap (29)'!$A:$B,2,0)*VLOOKUP(A38,'[32]geoMap (29)'!$A:$C,3,0)</f>
        <v>5.3607582360146528</v>
      </c>
      <c r="AF38" s="1">
        <f>AE38/VLOOKUP(A38,'[33]geoMap (30)'!$A:$B,2,0)*VLOOKUP(A38,'[33]geoMap (30)'!$A:$C,3,0)</f>
        <v>5.1505324228376077</v>
      </c>
      <c r="AG38" s="1">
        <f>AF38/VLOOKUP(A38,'[34]geoMap (31)'!$A:$B,2,0)*VLOOKUP(A38,'[34]geoMap (31)'!$A:$C,3,0)</f>
        <v>3.2929633523060113</v>
      </c>
      <c r="AH38" s="1">
        <f>AG38/VLOOKUP(A38,'[35]geoMap (32)'!$A:$B,2,0)*VLOOKUP(A38,'[35]geoMap (32)'!$A:$C,3,0)</f>
        <v>4.0247329861517915</v>
      </c>
      <c r="AI38" s="1">
        <f>AH38/VLOOKUP(A38,'[36]geoMap (33)'!$A:$B,2,0)*VLOOKUP(A38,'[36]geoMap (33)'!$A:$C,3,0)</f>
        <v>8.5525575955725568</v>
      </c>
      <c r="AJ38" s="1">
        <f>AI38/VLOOKUP(A38,'[37]geoMap (34)'!$A:$B,2,0)*VLOOKUP(A38,'[37]geoMap (34)'!$A:$C,3,0)</f>
        <v>3.3259946205004396</v>
      </c>
      <c r="AK38" s="1">
        <f>AJ38/VLOOKUP(A38,'[38]geoMap (35)'!$A:$B,2,0)*VLOOKUP(A38,'[38]geoMap (35)'!$A:$C,3,0)</f>
        <v>8.9925039739456309</v>
      </c>
      <c r="AL38" s="1">
        <f>AK38/VLOOKUP(A38,'[39]geoMap (36)'!$A:$B,2,0)*VLOOKUP(A38,'[39]geoMap (36)'!$A:$C,3,0)</f>
        <v>1.4638959957585913</v>
      </c>
      <c r="AM38" s="1">
        <f>AL38/VLOOKUP(A38,'[40]geoMap (37)'!$A:$B,2,0)*VLOOKUP(A38,'[40]geoMap (37)'!$A:$C,3,0)</f>
        <v>2.8416804623549128</v>
      </c>
      <c r="AN38" s="1">
        <f>AM38/VLOOKUP(A38,'[41]geoMap (38)'!$A:$B,2,0)*VLOOKUP(A38,'[41]geoMap (38)'!$A:$C,3,0)</f>
        <v>6.3250307065319022</v>
      </c>
      <c r="AO38" s="1">
        <f>AN38/VLOOKUP(A38,'[42]geoMap (39)'!$A:$B,2,0)*VLOOKUP(A38,'[42]geoMap (39)'!$A:$C,3,0)</f>
        <v>2.976485038367954</v>
      </c>
      <c r="AP38" s="1">
        <f>AO38/VLOOKUP(A38,'[43]geoMap (40)'!$A:$B,2,0)*VLOOKUP(A38,'[43]geoMap (40)'!$A:$C,3,0)</f>
        <v>6.0431665930500875</v>
      </c>
      <c r="AQ38" s="1">
        <f>AP38/VLOOKUP(A38,'[44]geoMap (41)'!$A:$B,2,0)*VLOOKUP(A38,'[44]geoMap (41)'!$A:$C,3,0)</f>
        <v>5.3590345259123415</v>
      </c>
      <c r="AR38" s="1">
        <f>AQ38/VLOOKUP(A38,'[45]geoMap (42)'!$A:$B,2,0)*VLOOKUP(A38,'[45]geoMap (42)'!$A:$C,3,0)</f>
        <v>1.2570574813868454</v>
      </c>
      <c r="AS38" s="1">
        <f>AR38/VLOOKUP(A38,'[46]geoMap (43)'!$A:$B,2,0)*VLOOKUP(A38,'[46]geoMap (43)'!$A:$C,3,0)</f>
        <v>0.64757506616898097</v>
      </c>
      <c r="AT38" s="1" t="e">
        <f>AS38/VLOOKUP(A38,'[47]geoMap (44)'!$A:$B,2,0)*VLOOKUP(A38,'[47]geoMap (44)'!$A:$C,3,0)</f>
        <v>#REF!</v>
      </c>
      <c r="AU38" s="1" t="e">
        <f>AT38/VLOOKUP(A38,'[48]geoMap (45)'!$A:$B,2,0)*VLOOKUP(A38,'[48]geoMap (45)'!$A:$C,3,0)</f>
        <v>#REF!</v>
      </c>
      <c r="AV38" s="1" t="e">
        <f>AU38/VLOOKUP(A38,'[49]geoMap (46)'!$A:$B,2,0)*VLOOKUP(A38,'[49]geoMap (46)'!$A:$C,3,0)</f>
        <v>#REF!</v>
      </c>
      <c r="AW38" s="1" t="e">
        <f>AV38/VLOOKUP(A38,'[50]geoMap (47)'!$A:$B,2,0)*VLOOKUP(A38,'[50]geoMap (47)'!$A:$C,3,0)</f>
        <v>#REF!</v>
      </c>
      <c r="AX38" s="4" t="e">
        <f>AW38/VLOOKUP(A38,'[51]geoMap (48)'!$A:$B,2,0)*VLOOKUP(A38,'[51]geoMap (48)'!$A:$C,3,0)</f>
        <v>#REF!</v>
      </c>
      <c r="AY38" s="1" t="e">
        <f>AX38/VLOOKUP(A38,'[52]geoMap (49)'!$A:$B,2,0)*VLOOKUP(A38,'[52]geoMap (49)'!$A:$C,3,0)</f>
        <v>#REF!</v>
      </c>
      <c r="AZ38" s="4" t="e">
        <f>AY38/VLOOKUP(A38,'[53]geoMap (50)'!$A:$B,2,0)*VLOOKUP(A38,'[53]geoMap (50)'!$A:$C,3,0)</f>
        <v>#REF!</v>
      </c>
      <c r="BA38" s="1" t="e">
        <f>AZ38/VLOOKUP(A38,'[54]geoMap (51)'!$A:$B,2,0)*VLOOKUP(A38,'[54]geoMap (51)'!$A:$C,3,0)</f>
        <v>#REF!</v>
      </c>
      <c r="BB38" s="4" t="e">
        <f>BA38/VLOOKUP(A38,'[55]geoMap (52)'!$A:$B,2,0)*VLOOKUP(A38,'[55]geoMap (52)'!$A:$C,3,0)</f>
        <v>#REF!</v>
      </c>
      <c r="BC38" s="1" t="e">
        <f>BB38/VLOOKUP(A38,'[56]geoMap (53)'!$A:$B,2,0)*VLOOKUP(A38,'[56]geoMap (53)'!$A:$C,3,0)</f>
        <v>#REF!</v>
      </c>
      <c r="BD38" s="4" t="e">
        <f>BC38/VLOOKUP(A38,'[57]geoMap (54)'!$A:$B,2,0)*VLOOKUP(A38,'[57]geoMap (54)'!$A:$C,3,0)</f>
        <v>#REF!</v>
      </c>
      <c r="BE38" s="1" t="e">
        <f>BD38/VLOOKUP(A38,'[58]geoMap (55)'!$A:$B,2,0)*VLOOKUP(A38,'[58]geoMap (55)'!$A:$C,3,0)</f>
        <v>#REF!</v>
      </c>
      <c r="BF38" s="4" t="e">
        <f>BE38/VLOOKUP(A38,'[59]geoMap (56)'!$A:$B,2,0)*VLOOKUP(A38,'[59]geoMap (56)'!$A:$C,3,0)</f>
        <v>#REF!</v>
      </c>
      <c r="BG38" s="1" t="e">
        <f>BF38/VLOOKUP(A38,'[60]geoMap (57)'!$A:$B,2,0)*VLOOKUP(A38,'[60]geoMap (57)'!$A:$C,3,0)</f>
        <v>#REF!</v>
      </c>
      <c r="BH38" s="4" t="e">
        <f>BG38/VLOOKUP(A38,'[61]geoMap (58)'!$A:$B,2,0)*VLOOKUP(A38,'[61]geoMap (58)'!$A:$C,3,0)</f>
        <v>#REF!</v>
      </c>
      <c r="BI38" s="1" t="e">
        <f>BH38/VLOOKUP(A38,'[62]geoMap (59)'!$A:$B,2,0)*VLOOKUP(A38,'[62]geoMap (59)'!$A:$C,3,0)</f>
        <v>#REF!</v>
      </c>
      <c r="BJ38" s="4" t="e">
        <f>BI38/VLOOKUP(A38,'[63]geoMap (60)'!$A:$B,2,0)*VLOOKUP(A38,'[63]geoMap (60)'!$A:$C,3,0)</f>
        <v>#REF!</v>
      </c>
      <c r="BK38" s="1" t="e">
        <f>BJ38/VLOOKUP(A38,'[64]geoMap (61)'!$A:$B,2,0)*VLOOKUP(A38,'[64]geoMap (61)'!$A:$C,3,0)</f>
        <v>#REF!</v>
      </c>
      <c r="BL38" s="4" t="e">
        <f>BK38/VLOOKUP(A38,'[65]geoMap (62)'!$A:$B,2,0)*VLOOKUP(A38,'[65]geoMap (62)'!$A:$C,3,0)</f>
        <v>#REF!</v>
      </c>
      <c r="BM38" s="1" t="e">
        <f>BL38/VLOOKUP(A38,'[66]geoMap (63)'!$A:$B,2,0)*VLOOKUP(A38,'[66]geoMap (63)'!$A:$C,3,0)</f>
        <v>#REF!</v>
      </c>
      <c r="BN38" s="4" t="e">
        <f>BM38/VLOOKUP(A38,'[67]geoMap (64)'!$A:$B,2,0)*VLOOKUP(A38,'[67]geoMap (64)'!$A:$C,3,0)</f>
        <v>#REF!</v>
      </c>
      <c r="BO38" s="1" t="e">
        <f>BN38/VLOOKUP(A38,'[68]geoMap (65)'!$A:$B,2,0)*VLOOKUP(A38,'[68]geoMap (65)'!$A:$C,3,0)</f>
        <v>#REF!</v>
      </c>
      <c r="BP38" s="4" t="e">
        <f>BO38/VLOOKUP(A38,'[69]geoMap (66)'!$A:$B,2,0)*VLOOKUP(A38,'[69]geoMap (66)'!$A:$C,3,0)</f>
        <v>#REF!</v>
      </c>
    </row>
    <row r="39" spans="1:68" x14ac:dyDescent="0.2">
      <c r="A39" s="1" t="s">
        <v>112</v>
      </c>
      <c r="B39" s="1">
        <f>VLOOKUP(A39,[3]geoMap!$A:$B,2,0)*Notes!$C$6</f>
        <v>5000</v>
      </c>
      <c r="C39" s="1">
        <f>B39/VLOOKUP(A39,'[4]geoMap (1)'!$A:$B,2,0)*VLOOKUP(A39,'[4]geoMap (1)'!$A:$C,3,0)</f>
        <v>6904.7619047619046</v>
      </c>
      <c r="D39" s="1">
        <f>C39/VLOOKUP(A39,'[5]geoMap (2)'!$A:$B,2,0)*VLOOKUP(A39,'[5]geoMap (2)'!$A:$C,3,0)</f>
        <v>6633.986928104574</v>
      </c>
      <c r="E39" s="1">
        <f>D39/VLOOKUP(A39,'[6]geoMap (3)'!$A:$B,2,0)*VLOOKUP(A39,'[6]geoMap (3)'!$A:$C,3,0)</f>
        <v>3267.486098917178</v>
      </c>
      <c r="F39" s="1">
        <f>E39/VLOOKUP(A39,'[7]geoMap (4)'!$A:$B,2,0)*VLOOKUP(A39,'[7]geoMap (4)'!$A:$C,3,0)</f>
        <v>2783.4140842627812</v>
      </c>
      <c r="G39" s="1">
        <f>F39/VLOOKUP(A39,'[8]geoMap (5)'!$A:$B,2,0)*VLOOKUP(A39,'[8]geoMap (5)'!$A:$C,3,0)</f>
        <v>3689.6419256506629</v>
      </c>
      <c r="H39" s="1">
        <f>G39/VLOOKUP(A39,'[9]geoMap (6)'!$A:$B,2,0)*VLOOKUP(A39,'[9]geoMap (6)'!$A:$C,3,0)</f>
        <v>1817.2863215891325</v>
      </c>
      <c r="I39" s="1">
        <f>H39/VLOOKUP(A39,'[10]geoMap (7)'!$A:$B,2,0)*VLOOKUP(A39,'[10]geoMap (7)'!$A:$C,3,0)</f>
        <v>2725.9294823836985</v>
      </c>
      <c r="J39" s="1">
        <f>I39/VLOOKUP(A39,'[11]geoMap (8)'!$A:$B,2,0)*VLOOKUP(A39,'[11]geoMap (8)'!$A:$C,3,0)</f>
        <v>1224.6929558535458</v>
      </c>
      <c r="K39" s="1">
        <f>J39/VLOOKUP(A39,'[12]geoMap (9)'!$A:$B,2,0)*VLOOKUP(A39,'[12]geoMap (9)'!$A:$C,3,0)</f>
        <v>1043.2569623937611</v>
      </c>
      <c r="L39" s="1">
        <f>K39/VLOOKUP(A39,'[13]geoMap (10)'!$A:$B,2,0)*VLOOKUP(A39,'[13]geoMap (10)'!$A:$C,3,0)</f>
        <v>561.75374898125597</v>
      </c>
      <c r="M39" s="1">
        <f>L39/VLOOKUP(A39,'[14]geoMap (11)'!$A:$B,2,0)*VLOOKUP(A39,'[14]geoMap (11)'!$A:$C,3,0)</f>
        <v>584.68247342947052</v>
      </c>
      <c r="N39" s="1">
        <f>M39/VLOOKUP(A39,'[15]geoMap (12)'!$A:$B,2,0)*VLOOKUP(A39,'[15]geoMap (12)'!$A:$C,3,0)</f>
        <v>608.54706418169394</v>
      </c>
      <c r="O39" s="1">
        <f>N39/VLOOKUP(A39,'[16]geoMap (13)'!$A:$B,2,0)*VLOOKUP(A39,'[16]geoMap (13)'!$A:$C,3,0)</f>
        <v>327.6791884055275</v>
      </c>
      <c r="P39" s="1">
        <f>O39/VLOOKUP(A39,'[17]geoMap (14)'!$A:$B,2,0)*VLOOKUP(A39,'[17]geoMap (14)'!$A:$C,3,0)</f>
        <v>209.49980898058314</v>
      </c>
      <c r="Q39" s="1">
        <f>P39/VLOOKUP(A39,'[18]geoMap (15)'!$A:$B,2,0)*VLOOKUP(A39,'[18]geoMap (15)'!$A:$C,3,0)</f>
        <v>218.05082159203553</v>
      </c>
      <c r="R39" s="1">
        <f>Q39/VLOOKUP(A39,'[19]geoMap (16)'!$A:$B,2,0)*VLOOKUP(A39,'[19]geoMap (16)'!$A:$C,3,0)</f>
        <v>107.39816585876376</v>
      </c>
      <c r="S39" s="1">
        <f>R39/VLOOKUP(A39,'[20]geoMap (17)'!$A:$B,2,0)*VLOOKUP(A39,'[20]geoMap (17)'!$A:$C,3,0)</f>
        <v>131.26442493848904</v>
      </c>
      <c r="T39" s="1">
        <f>S39/VLOOKUP(A39,'[21]geoMap (18)'!$A:$B,2,0)*VLOOKUP(A39,'[21]geoMap (18)'!$A:$C,3,0)</f>
        <v>91.21765122844154</v>
      </c>
      <c r="U39" s="1">
        <f>T39/VLOOKUP(A39,'[22]geoMap (19)'!$A:$B,2,0)*VLOOKUP(A39,'[22]geoMap (19)'!$A:$C,3,0)</f>
        <v>77.703925120524275</v>
      </c>
      <c r="V39" s="1">
        <f>U39/VLOOKUP(A39,'[23]geoMap (20)'!$A:$B,2,0)*VLOOKUP(A39,'[23]geoMap (20)'!$A:$C,3,0)</f>
        <v>63.5759387349744</v>
      </c>
      <c r="W39" s="1">
        <f>V39/VLOOKUP(A39,'[24]geoMap (21)'!$A:$B,2,0)*VLOOKUP(A39,'[24]geoMap (21)'!$A:$C,3,0)</f>
        <v>28.563102909916037</v>
      </c>
      <c r="X39" s="1">
        <f>W39/VLOOKUP(A39,'[25]geoMap (22)'!$A:$B,2,0)*VLOOKUP(A39,'[25]geoMap (22)'!$A:$C,3,0)</f>
        <v>55.446023295719364</v>
      </c>
      <c r="Y39" s="1">
        <f>X39/VLOOKUP(A39,'[26]geoMap (23)'!$A:$B,2,0)*VLOOKUP(A39,'[26]geoMap (23)'!$A:$C,3,0)</f>
        <v>40.150568593451951</v>
      </c>
      <c r="Z39" s="1">
        <f>Y39/VLOOKUP(A39,'[27]geoMap (24)'!$A:$B,2,0)*VLOOKUP(A39,'[27]geoMap (24)'!$A:$C,3,0)</f>
        <v>40.150568593451951</v>
      </c>
      <c r="AA39" s="1">
        <f>Z39/VLOOKUP(A39,'[28]geoMap (25)'!$A:$B,2,0)*VLOOKUP(A39,'[28]geoMap (25)'!$A:$C,3,0)</f>
        <v>26.767045728967972</v>
      </c>
      <c r="AB39" s="1">
        <f>AA39*VLOOKUP(A39,'[29]geoMap (26)'!$A:$B,2,0)*VLOOKUP(A39,'[29]geoMap (26)'!$A:$C,3,0)</f>
        <v>5.5113347155945043</v>
      </c>
      <c r="AC39" s="1">
        <f>AB39/VLOOKUP(A39,'[30]geoMap (27)'!$A:$B,2,0)*VLOOKUP(A39,'[30]geoMap (27)'!$A:$C,3,0)</f>
        <v>2.5935692779268256</v>
      </c>
      <c r="AD39" s="1">
        <f>AC39/VLOOKUP(A39,'[31]geoMap (28)'!$A:$B,2,0)*VLOOKUP(A39,'[31]geoMap (28)'!$A:$C,3,0)</f>
        <v>5.5113347155945043</v>
      </c>
      <c r="AE39" s="1">
        <f>AD39/VLOOKUP(A39,'[32]geoMap (29)'!$A:$B,2,0)*VLOOKUP(A39,'[32]geoMap (29)'!$A:$C,3,0)</f>
        <v>3.377914825686954</v>
      </c>
      <c r="AF39" s="1">
        <f>AE39/VLOOKUP(A39,'[33]geoMap (30)'!$A:$B,2,0)*VLOOKUP(A39,'[33]geoMap (30)'!$A:$C,3,0)</f>
        <v>2.2519432171246363</v>
      </c>
      <c r="AG39" s="1">
        <f>AF39/VLOOKUP(A39,'[34]geoMap (31)'!$A:$B,2,0)*VLOOKUP(A39,'[34]geoMap (31)'!$A:$C,3,0)</f>
        <v>1.9970062491482621</v>
      </c>
      <c r="AH39" s="1">
        <f>AG39/VLOOKUP(A39,'[35]geoMap (32)'!$A:$B,2,0)*VLOOKUP(A39,'[35]geoMap (32)'!$A:$C,3,0)</f>
        <v>1.9970062491482621</v>
      </c>
      <c r="AI39" s="1">
        <f>AH39/VLOOKUP(A39,'[36]geoMap (33)'!$A:$B,2,0)*VLOOKUP(A39,'[36]geoMap (33)'!$A:$C,3,0)</f>
        <v>2.2519432171246363</v>
      </c>
      <c r="AJ39" s="1">
        <f>AI39/VLOOKUP(A39,'[37]geoMap (34)'!$A:$B,2,0)*VLOOKUP(A39,'[37]geoMap (34)'!$A:$C,3,0)</f>
        <v>1.3802232621086481</v>
      </c>
      <c r="AK39" s="1">
        <f>AJ39/VLOOKUP(A39,'[38]geoMap (35)'!$A:$B,2,0)*VLOOKUP(A39,'[38]geoMap (35)'!$A:$C,3,0)</f>
        <v>2.2519432171246363</v>
      </c>
      <c r="AL39" s="1" t="e">
        <f>AK39/VLOOKUP(A39,'[39]geoMap (36)'!$A:$B,2,0)*VLOOKUP(A39,'[39]geoMap (36)'!$A:$C,3,0)</f>
        <v>#REF!</v>
      </c>
      <c r="AM39" s="1" t="e">
        <f>AL39/VLOOKUP(A39,'[40]geoMap (37)'!$A:$B,2,0)*VLOOKUP(A39,'[40]geoMap (37)'!$A:$C,3,0)</f>
        <v>#REF!</v>
      </c>
      <c r="AN39" s="1" t="e">
        <f>AM39/VLOOKUP(A39,'[41]geoMap (38)'!$A:$B,2,0)*VLOOKUP(A39,'[41]geoMap (38)'!$A:$C,3,0)</f>
        <v>#REF!</v>
      </c>
      <c r="AO39" s="1" t="e">
        <f>AN39/VLOOKUP(A39,'[42]geoMap (39)'!$A:$B,2,0)*VLOOKUP(A39,'[42]geoMap (39)'!$A:$C,3,0)</f>
        <v>#REF!</v>
      </c>
      <c r="AP39" s="1" t="e">
        <f>AO39/VLOOKUP(A39,'[43]geoMap (40)'!$A:$B,2,0)*VLOOKUP(A39,'[43]geoMap (40)'!$A:$C,3,0)</f>
        <v>#REF!</v>
      </c>
      <c r="AQ39" s="1" t="e">
        <f>AP39/VLOOKUP(A39,'[44]geoMap (41)'!$A:$B,2,0)*VLOOKUP(A39,'[44]geoMap (41)'!$A:$C,3,0)</f>
        <v>#REF!</v>
      </c>
      <c r="AR39" s="1" t="e">
        <f>AQ39/VLOOKUP(A39,'[45]geoMap (42)'!$A:$B,2,0)*VLOOKUP(A39,'[45]geoMap (42)'!$A:$C,3,0)</f>
        <v>#REF!</v>
      </c>
      <c r="AS39" s="1" t="e">
        <f>AR39/VLOOKUP(A39,'[46]geoMap (43)'!$A:$B,2,0)*VLOOKUP(A39,'[46]geoMap (43)'!$A:$C,3,0)</f>
        <v>#REF!</v>
      </c>
      <c r="AT39" s="1" t="e">
        <f>AS39/VLOOKUP(A39,'[47]geoMap (44)'!$A:$B,2,0)*VLOOKUP(A39,'[47]geoMap (44)'!$A:$C,3,0)</f>
        <v>#REF!</v>
      </c>
      <c r="AU39" s="1" t="e">
        <f>AT39/VLOOKUP(A39,'[48]geoMap (45)'!$A:$B,2,0)*VLOOKUP(A39,'[48]geoMap (45)'!$A:$C,3,0)</f>
        <v>#REF!</v>
      </c>
      <c r="AV39" s="1" t="e">
        <f>AU39/VLOOKUP(A39,'[49]geoMap (46)'!$A:$B,2,0)*VLOOKUP(A39,'[49]geoMap (46)'!$A:$C,3,0)</f>
        <v>#REF!</v>
      </c>
      <c r="AW39" s="1" t="e">
        <f>AV39/VLOOKUP(A39,'[50]geoMap (47)'!$A:$B,2,0)*VLOOKUP(A39,'[50]geoMap (47)'!$A:$C,3,0)</f>
        <v>#REF!</v>
      </c>
      <c r="AX39" s="4" t="e">
        <f>AW39/VLOOKUP(A39,'[51]geoMap (48)'!$A:$B,2,0)*VLOOKUP(A39,'[51]geoMap (48)'!$A:$C,3,0)</f>
        <v>#REF!</v>
      </c>
      <c r="AY39" s="1" t="e">
        <f>AX39/VLOOKUP(A39,'[52]geoMap (49)'!$A:$B,2,0)*VLOOKUP(A39,'[52]geoMap (49)'!$A:$C,3,0)</f>
        <v>#REF!</v>
      </c>
      <c r="AZ39" s="4" t="e">
        <f>AY39/VLOOKUP(A39,'[53]geoMap (50)'!$A:$B,2,0)*VLOOKUP(A39,'[53]geoMap (50)'!$A:$C,3,0)</f>
        <v>#REF!</v>
      </c>
      <c r="BA39" s="1" t="e">
        <f>AZ39/VLOOKUP(A39,'[54]geoMap (51)'!$A:$B,2,0)*VLOOKUP(A39,'[54]geoMap (51)'!$A:$C,3,0)</f>
        <v>#REF!</v>
      </c>
      <c r="BB39" s="4" t="e">
        <f>BA39/VLOOKUP(A39,'[55]geoMap (52)'!$A:$B,2,0)*VLOOKUP(A39,'[55]geoMap (52)'!$A:$C,3,0)</f>
        <v>#REF!</v>
      </c>
      <c r="BC39" s="1" t="e">
        <f>BB39/VLOOKUP(A39,'[56]geoMap (53)'!$A:$B,2,0)*VLOOKUP(A39,'[56]geoMap (53)'!$A:$C,3,0)</f>
        <v>#REF!</v>
      </c>
      <c r="BD39" s="4" t="e">
        <f>BC39/VLOOKUP(A39,'[57]geoMap (54)'!$A:$B,2,0)*VLOOKUP(A39,'[57]geoMap (54)'!$A:$C,3,0)</f>
        <v>#REF!</v>
      </c>
      <c r="BE39" s="1" t="e">
        <f>BD39/VLOOKUP(A39,'[58]geoMap (55)'!$A:$B,2,0)*VLOOKUP(A39,'[58]geoMap (55)'!$A:$C,3,0)</f>
        <v>#REF!</v>
      </c>
      <c r="BF39" s="4" t="e">
        <f>BE39/VLOOKUP(A39,'[59]geoMap (56)'!$A:$B,2,0)*VLOOKUP(A39,'[59]geoMap (56)'!$A:$C,3,0)</f>
        <v>#REF!</v>
      </c>
      <c r="BG39" s="1" t="e">
        <f>BF39/VLOOKUP(A39,'[60]geoMap (57)'!$A:$B,2,0)*VLOOKUP(A39,'[60]geoMap (57)'!$A:$C,3,0)</f>
        <v>#REF!</v>
      </c>
      <c r="BH39" s="4" t="e">
        <f>BG39/VLOOKUP(A39,'[61]geoMap (58)'!$A:$B,2,0)*VLOOKUP(A39,'[61]geoMap (58)'!$A:$C,3,0)</f>
        <v>#REF!</v>
      </c>
      <c r="BI39" s="1" t="e">
        <f>BH39/VLOOKUP(A39,'[62]geoMap (59)'!$A:$B,2,0)*VLOOKUP(A39,'[62]geoMap (59)'!$A:$C,3,0)</f>
        <v>#REF!</v>
      </c>
      <c r="BJ39" s="4" t="e">
        <f>BI39/VLOOKUP(A39,'[63]geoMap (60)'!$A:$B,2,0)*VLOOKUP(A39,'[63]geoMap (60)'!$A:$C,3,0)</f>
        <v>#REF!</v>
      </c>
      <c r="BK39" s="1" t="e">
        <f>BJ39/VLOOKUP(A39,'[64]geoMap (61)'!$A:$B,2,0)*VLOOKUP(A39,'[64]geoMap (61)'!$A:$C,3,0)</f>
        <v>#REF!</v>
      </c>
      <c r="BL39" s="4" t="e">
        <f>BK39/VLOOKUP(A39,'[65]geoMap (62)'!$A:$B,2,0)*VLOOKUP(A39,'[65]geoMap (62)'!$A:$C,3,0)</f>
        <v>#REF!</v>
      </c>
      <c r="BM39" s="1" t="e">
        <f>BL39/VLOOKUP(A39,'[66]geoMap (63)'!$A:$B,2,0)*VLOOKUP(A39,'[66]geoMap (63)'!$A:$C,3,0)</f>
        <v>#REF!</v>
      </c>
      <c r="BN39" s="4" t="e">
        <f>BM39/VLOOKUP(A39,'[67]geoMap (64)'!$A:$B,2,0)*VLOOKUP(A39,'[67]geoMap (64)'!$A:$C,3,0)</f>
        <v>#REF!</v>
      </c>
      <c r="BO39" s="1" t="e">
        <f>BN39/VLOOKUP(A39,'[68]geoMap (65)'!$A:$B,2,0)*VLOOKUP(A39,'[68]geoMap (65)'!$A:$C,3,0)</f>
        <v>#REF!</v>
      </c>
      <c r="BP39" s="4" t="e">
        <f>BO39/VLOOKUP(A39,'[69]geoMap (66)'!$A:$B,2,0)*VLOOKUP(A39,'[69]geoMap (66)'!$A:$C,3,0)</f>
        <v>#REF!</v>
      </c>
    </row>
    <row r="40" spans="1:68" x14ac:dyDescent="0.2">
      <c r="A40" s="1" t="s">
        <v>117</v>
      </c>
      <c r="B40" s="1">
        <f>VLOOKUP(A40,[3]geoMap!$A:$B,2,0)*Notes!$C$6</f>
        <v>5000</v>
      </c>
      <c r="C40" s="1">
        <f>B40/VLOOKUP(A40,'[4]geoMap (1)'!$A:$B,2,0)*VLOOKUP(A40,'[4]geoMap (1)'!$A:$C,3,0)</f>
        <v>6904.7619047619046</v>
      </c>
      <c r="D40" s="1">
        <f>C40/VLOOKUP(A40,'[5]geoMap (2)'!$A:$B,2,0)*VLOOKUP(A40,'[5]geoMap (2)'!$A:$C,3,0)</f>
        <v>5649.3506493506493</v>
      </c>
      <c r="E40" s="1">
        <f>D40/VLOOKUP(A40,'[6]geoMap (3)'!$A:$B,2,0)*VLOOKUP(A40,'[6]geoMap (3)'!$A:$C,3,0)</f>
        <v>3766.2337662337663</v>
      </c>
      <c r="F40" s="1">
        <f>E40/VLOOKUP(A40,'[7]geoMap (4)'!$A:$B,2,0)*VLOOKUP(A40,'[7]geoMap (4)'!$A:$C,3,0)</f>
        <v>2727.2727272727275</v>
      </c>
      <c r="G40" s="1">
        <f>F40/VLOOKUP(A40,'[8]geoMap (5)'!$A:$B,2,0)*VLOOKUP(A40,'[8]geoMap (5)'!$A:$C,3,0)</f>
        <v>3766.2337662337663</v>
      </c>
      <c r="H40" s="1">
        <f>G40/VLOOKUP(A40,'[9]geoMap (6)'!$A:$B,2,0)*VLOOKUP(A40,'[9]geoMap (6)'!$A:$C,3,0)</f>
        <v>1692.0760399021269</v>
      </c>
      <c r="I40" s="1">
        <f>H40/VLOOKUP(A40,'[10]geoMap (7)'!$A:$B,2,0)*VLOOKUP(A40,'[10]geoMap (7)'!$A:$C,3,0)</f>
        <v>2646.5804726674291</v>
      </c>
      <c r="J40" s="1">
        <f>I40/VLOOKUP(A40,'[11]geoMap (8)'!$A:$B,2,0)*VLOOKUP(A40,'[11]geoMap (8)'!$A:$C,3,0)</f>
        <v>1134.2487740003269</v>
      </c>
      <c r="K40" s="1">
        <f>J40/VLOOKUP(A40,'[12]geoMap (9)'!$A:$B,2,0)*VLOOKUP(A40,'[12]geoMap (9)'!$A:$C,3,0)</f>
        <v>1005.8432524153842</v>
      </c>
      <c r="L40" s="1">
        <f>K40/VLOOKUP(A40,'[13]geoMap (10)'!$A:$B,2,0)*VLOOKUP(A40,'[13]geoMap (10)'!$A:$C,3,0)</f>
        <v>495.41533327921906</v>
      </c>
      <c r="M40" s="1">
        <f>L40/VLOOKUP(A40,'[14]geoMap (11)'!$A:$B,2,0)*VLOOKUP(A40,'[14]geoMap (11)'!$A:$C,3,0)</f>
        <v>630.52860599173334</v>
      </c>
      <c r="N40" s="1">
        <f>M40/VLOOKUP(A40,'[15]geoMap (12)'!$A:$B,2,0)*VLOOKUP(A40,'[15]geoMap (12)'!$A:$C,3,0)</f>
        <v>630.52860599173334</v>
      </c>
      <c r="O40" s="1">
        <f>N40/VLOOKUP(A40,'[16]geoMap (13)'!$A:$B,2,0)*VLOOKUP(A40,'[16]geoMap (13)'!$A:$C,3,0)</f>
        <v>354.67234087035001</v>
      </c>
      <c r="P40" s="1">
        <f>O40/VLOOKUP(A40,'[17]geoMap (14)'!$A:$B,2,0)*VLOOKUP(A40,'[17]geoMap (14)'!$A:$C,3,0)</f>
        <v>118.22411362345001</v>
      </c>
      <c r="Q40" s="1">
        <f>P40/VLOOKUP(A40,'[18]geoMap (15)'!$A:$B,2,0)*VLOOKUP(A40,'[18]geoMap (15)'!$A:$C,3,0)</f>
        <v>229.4938676219912</v>
      </c>
      <c r="R40" s="1">
        <f>Q40/VLOOKUP(A40,'[19]geoMap (16)'!$A:$B,2,0)*VLOOKUP(A40,'[19]geoMap (16)'!$A:$C,3,0)</f>
        <v>146.72558749602715</v>
      </c>
      <c r="S40" s="1">
        <f>R40/VLOOKUP(A40,'[20]geoMap (17)'!$A:$B,2,0)*VLOOKUP(A40,'[20]geoMap (17)'!$A:$C,3,0)</f>
        <v>110.68772390051171</v>
      </c>
      <c r="T40" s="1">
        <f>S40/VLOOKUP(A40,'[21]geoMap (18)'!$A:$B,2,0)*VLOOKUP(A40,'[21]geoMap (18)'!$A:$C,3,0)</f>
        <v>83.501265398631645</v>
      </c>
      <c r="U40" s="1">
        <f>T40/VLOOKUP(A40,'[22]geoMap (19)'!$A:$B,2,0)*VLOOKUP(A40,'[22]geoMap (19)'!$A:$C,3,0)</f>
        <v>80.226705971234324</v>
      </c>
      <c r="V40" s="1">
        <f>U40/VLOOKUP(A40,'[23]geoMap (20)'!$A:$B,2,0)*VLOOKUP(A40,'[23]geoMap (20)'!$A:$C,3,0)</f>
        <v>98.054862853730839</v>
      </c>
      <c r="W40" s="1">
        <f>V40/VLOOKUP(A40,'[24]geoMap (21)'!$A:$B,2,0)*VLOOKUP(A40,'[24]geoMap (21)'!$A:$C,3,0)</f>
        <v>50.513111167073461</v>
      </c>
      <c r="X40" s="1">
        <f>W40/VLOOKUP(A40,'[25]geoMap (22)'!$A:$B,2,0)*VLOOKUP(A40,'[25]geoMap (22)'!$A:$C,3,0)</f>
        <v>33.675407444715646</v>
      </c>
      <c r="Y40" s="1">
        <f>X40/VLOOKUP(A40,'[26]geoMap (23)'!$A:$B,2,0)*VLOOKUP(A40,'[26]geoMap (23)'!$A:$C,3,0)</f>
        <v>48.459732664346909</v>
      </c>
      <c r="Z40" s="1">
        <f>Y40/VLOOKUP(A40,'[27]geoMap (24)'!$A:$B,2,0)*VLOOKUP(A40,'[27]geoMap (24)'!$A:$C,3,0)</f>
        <v>26.093702203879101</v>
      </c>
      <c r="AA40" s="1">
        <f>Z40/VLOOKUP(A40,'[28]geoMap (25)'!$A:$B,2,0)*VLOOKUP(A40,'[28]geoMap (25)'!$A:$C,3,0)</f>
        <v>23.139698180798444</v>
      </c>
      <c r="AB40" s="1">
        <f>AA40*VLOOKUP(A40,'[29]geoMap (26)'!$A:$B,2,0)*VLOOKUP(A40,'[29]geoMap (26)'!$A:$C,3,0)</f>
        <v>5.3938636459441174</v>
      </c>
      <c r="AC40" s="1">
        <f>AB40/VLOOKUP(A40,'[30]geoMap (27)'!$A:$B,2,0)*VLOOKUP(A40,'[30]geoMap (27)'!$A:$C,3,0)</f>
        <v>3.0340483008435659</v>
      </c>
      <c r="AD40" s="1">
        <f>AC40/VLOOKUP(A40,'[31]geoMap (28)'!$A:$B,2,0)*VLOOKUP(A40,'[31]geoMap (28)'!$A:$C,3,0)</f>
        <v>4.9502893329552915</v>
      </c>
      <c r="AE40" s="1">
        <f>AD40/VLOOKUP(A40,'[32]geoMap (29)'!$A:$B,2,0)*VLOOKUP(A40,'[32]geoMap (29)'!$A:$C,3,0)</f>
        <v>3.8895130473220143</v>
      </c>
      <c r="AF40" s="1">
        <f>AE40/VLOOKUP(A40,'[33]geoMap (30)'!$A:$B,2,0)*VLOOKUP(A40,'[33]geoMap (30)'!$A:$C,3,0)</f>
        <v>1.6669341631380061</v>
      </c>
      <c r="AG40" s="1">
        <f>AF40/VLOOKUP(A40,'[34]geoMap (31)'!$A:$B,2,0)*VLOOKUP(A40,'[34]geoMap (31)'!$A:$C,3,0)</f>
        <v>2.1215525712665535</v>
      </c>
      <c r="AH40" s="1">
        <f>AG40/VLOOKUP(A40,'[35]geoMap (32)'!$A:$B,2,0)*VLOOKUP(A40,'[35]geoMap (32)'!$A:$C,3,0)</f>
        <v>1.6669341631380064</v>
      </c>
      <c r="AI40" s="1">
        <f>AH40/VLOOKUP(A40,'[36]geoMap (33)'!$A:$B,2,0)*VLOOKUP(A40,'[36]geoMap (33)'!$A:$C,3,0)</f>
        <v>2.2096569139271245</v>
      </c>
      <c r="AJ40" s="1">
        <f>AI40/VLOOKUP(A40,'[37]geoMap (34)'!$A:$B,2,0)*VLOOKUP(A40,'[37]geoMap (34)'!$A:$C,3,0)</f>
        <v>1.297735012941327</v>
      </c>
      <c r="AK40" s="1">
        <f>AJ40/VLOOKUP(A40,'[38]geoMap (35)'!$A:$B,2,0)*VLOOKUP(A40,'[38]geoMap (35)'!$A:$C,3,0)</f>
        <v>14.923952648825262</v>
      </c>
      <c r="AL40" s="1" t="e">
        <f>AK40/VLOOKUP(A40,'[39]geoMap (36)'!$A:$B,2,0)*VLOOKUP(A40,'[39]geoMap (36)'!$A:$C,3,0)</f>
        <v>#REF!</v>
      </c>
      <c r="AM40" s="1" t="e">
        <f>AL40/VLOOKUP(A40,'[40]geoMap (37)'!$A:$B,2,0)*VLOOKUP(A40,'[40]geoMap (37)'!$A:$C,3,0)</f>
        <v>#REF!</v>
      </c>
      <c r="AN40" s="1" t="e">
        <f>AM40/VLOOKUP(A40,'[41]geoMap (38)'!$A:$B,2,0)*VLOOKUP(A40,'[41]geoMap (38)'!$A:$C,3,0)</f>
        <v>#REF!</v>
      </c>
      <c r="AO40" s="1" t="e">
        <f>AN40/VLOOKUP(A40,'[42]geoMap (39)'!$A:$B,2,0)*VLOOKUP(A40,'[42]geoMap (39)'!$A:$C,3,0)</f>
        <v>#REF!</v>
      </c>
      <c r="AP40" s="1" t="e">
        <f>AO40/VLOOKUP(A40,'[43]geoMap (40)'!$A:$B,2,0)*VLOOKUP(A40,'[43]geoMap (40)'!$A:$C,3,0)</f>
        <v>#REF!</v>
      </c>
      <c r="AQ40" s="1" t="e">
        <f>AP40/VLOOKUP(A40,'[44]geoMap (41)'!$A:$B,2,0)*VLOOKUP(A40,'[44]geoMap (41)'!$A:$C,3,0)</f>
        <v>#REF!</v>
      </c>
      <c r="AR40" s="1" t="e">
        <f>AQ40/VLOOKUP(A40,'[45]geoMap (42)'!$A:$B,2,0)*VLOOKUP(A40,'[45]geoMap (42)'!$A:$C,3,0)</f>
        <v>#REF!</v>
      </c>
      <c r="AS40" s="1" t="e">
        <f>AR40/VLOOKUP(A40,'[46]geoMap (43)'!$A:$B,2,0)*VLOOKUP(A40,'[46]geoMap (43)'!$A:$C,3,0)</f>
        <v>#REF!</v>
      </c>
      <c r="AT40" s="1" t="e">
        <f>AS40/VLOOKUP(A40,'[47]geoMap (44)'!$A:$B,2,0)*VLOOKUP(A40,'[47]geoMap (44)'!$A:$C,3,0)</f>
        <v>#REF!</v>
      </c>
      <c r="AU40" s="1" t="e">
        <f>AT40/VLOOKUP(A40,'[48]geoMap (45)'!$A:$B,2,0)*VLOOKUP(A40,'[48]geoMap (45)'!$A:$C,3,0)</f>
        <v>#REF!</v>
      </c>
      <c r="AV40" s="1" t="e">
        <f>AU40/VLOOKUP(A40,'[49]geoMap (46)'!$A:$B,2,0)*VLOOKUP(A40,'[49]geoMap (46)'!$A:$C,3,0)</f>
        <v>#REF!</v>
      </c>
      <c r="AW40" s="1" t="e">
        <f>AV40/VLOOKUP(A40,'[50]geoMap (47)'!$A:$B,2,0)*VLOOKUP(A40,'[50]geoMap (47)'!$A:$C,3,0)</f>
        <v>#REF!</v>
      </c>
      <c r="AX40" s="4" t="e">
        <f>AW40/VLOOKUP(A40,'[51]geoMap (48)'!$A:$B,2,0)*VLOOKUP(A40,'[51]geoMap (48)'!$A:$C,3,0)</f>
        <v>#REF!</v>
      </c>
      <c r="AY40" s="1" t="e">
        <f>AX40/VLOOKUP(A40,'[52]geoMap (49)'!$A:$B,2,0)*VLOOKUP(A40,'[52]geoMap (49)'!$A:$C,3,0)</f>
        <v>#REF!</v>
      </c>
      <c r="AZ40" s="4" t="e">
        <f>AY40/VLOOKUP(A40,'[53]geoMap (50)'!$A:$B,2,0)*VLOOKUP(A40,'[53]geoMap (50)'!$A:$C,3,0)</f>
        <v>#REF!</v>
      </c>
      <c r="BA40" s="1" t="e">
        <f>AZ40/VLOOKUP(A40,'[54]geoMap (51)'!$A:$B,2,0)*VLOOKUP(A40,'[54]geoMap (51)'!$A:$C,3,0)</f>
        <v>#REF!</v>
      </c>
      <c r="BB40" s="4" t="e">
        <f>BA40/VLOOKUP(A40,'[55]geoMap (52)'!$A:$B,2,0)*VLOOKUP(A40,'[55]geoMap (52)'!$A:$C,3,0)</f>
        <v>#REF!</v>
      </c>
      <c r="BC40" s="1" t="e">
        <f>BB40/VLOOKUP(A40,'[56]geoMap (53)'!$A:$B,2,0)*VLOOKUP(A40,'[56]geoMap (53)'!$A:$C,3,0)</f>
        <v>#REF!</v>
      </c>
      <c r="BD40" s="4" t="e">
        <f>BC40/VLOOKUP(A40,'[57]geoMap (54)'!$A:$B,2,0)*VLOOKUP(A40,'[57]geoMap (54)'!$A:$C,3,0)</f>
        <v>#REF!</v>
      </c>
      <c r="BE40" s="1" t="e">
        <f>BD40/VLOOKUP(A40,'[58]geoMap (55)'!$A:$B,2,0)*VLOOKUP(A40,'[58]geoMap (55)'!$A:$C,3,0)</f>
        <v>#REF!</v>
      </c>
      <c r="BF40" s="4" t="e">
        <f>BE40/VLOOKUP(A40,'[59]geoMap (56)'!$A:$B,2,0)*VLOOKUP(A40,'[59]geoMap (56)'!$A:$C,3,0)</f>
        <v>#REF!</v>
      </c>
      <c r="BG40" s="1" t="e">
        <f>BF40/VLOOKUP(A40,'[60]geoMap (57)'!$A:$B,2,0)*VLOOKUP(A40,'[60]geoMap (57)'!$A:$C,3,0)</f>
        <v>#REF!</v>
      </c>
      <c r="BH40" s="4" t="e">
        <f>BG40/VLOOKUP(A40,'[61]geoMap (58)'!$A:$B,2,0)*VLOOKUP(A40,'[61]geoMap (58)'!$A:$C,3,0)</f>
        <v>#REF!</v>
      </c>
      <c r="BI40" s="1" t="e">
        <f>BH40/VLOOKUP(A40,'[62]geoMap (59)'!$A:$B,2,0)*VLOOKUP(A40,'[62]geoMap (59)'!$A:$C,3,0)</f>
        <v>#REF!</v>
      </c>
      <c r="BJ40" s="4" t="e">
        <f>BI40/VLOOKUP(A40,'[63]geoMap (60)'!$A:$B,2,0)*VLOOKUP(A40,'[63]geoMap (60)'!$A:$C,3,0)</f>
        <v>#REF!</v>
      </c>
      <c r="BK40" s="1" t="e">
        <f>BJ40/VLOOKUP(A40,'[64]geoMap (61)'!$A:$B,2,0)*VLOOKUP(A40,'[64]geoMap (61)'!$A:$C,3,0)</f>
        <v>#REF!</v>
      </c>
      <c r="BL40" s="4" t="e">
        <f>BK40/VLOOKUP(A40,'[65]geoMap (62)'!$A:$B,2,0)*VLOOKUP(A40,'[65]geoMap (62)'!$A:$C,3,0)</f>
        <v>#REF!</v>
      </c>
      <c r="BM40" s="1" t="e">
        <f>BL40/VLOOKUP(A40,'[66]geoMap (63)'!$A:$B,2,0)*VLOOKUP(A40,'[66]geoMap (63)'!$A:$C,3,0)</f>
        <v>#REF!</v>
      </c>
      <c r="BN40" s="4" t="e">
        <f>BM40/VLOOKUP(A40,'[67]geoMap (64)'!$A:$B,2,0)*VLOOKUP(A40,'[67]geoMap (64)'!$A:$C,3,0)</f>
        <v>#REF!</v>
      </c>
      <c r="BO40" s="1" t="e">
        <f>BN40/VLOOKUP(A40,'[68]geoMap (65)'!$A:$B,2,0)*VLOOKUP(A40,'[68]geoMap (65)'!$A:$C,3,0)</f>
        <v>#REF!</v>
      </c>
      <c r="BP40" s="4" t="e">
        <f>BO40/VLOOKUP(A40,'[69]geoMap (66)'!$A:$B,2,0)*VLOOKUP(A40,'[69]geoMap (66)'!$A:$C,3,0)</f>
        <v>#REF!</v>
      </c>
    </row>
    <row r="41" spans="1:68" x14ac:dyDescent="0.2">
      <c r="A41" s="1" t="s">
        <v>99</v>
      </c>
      <c r="B41" s="1">
        <f>VLOOKUP(A41,[3]geoMap!$A:$B,2,0)*Notes!$C$6</f>
        <v>5000</v>
      </c>
      <c r="C41" s="1">
        <f>B41/VLOOKUP(A41,'[4]geoMap (1)'!$A:$B,2,0)*VLOOKUP(A41,'[4]geoMap (1)'!$A:$C,3,0)</f>
        <v>6363.6363636363649</v>
      </c>
      <c r="D41" s="1">
        <f>C41/VLOOKUP(A41,'[5]geoMap (2)'!$A:$B,2,0)*VLOOKUP(A41,'[5]geoMap (2)'!$A:$C,3,0)</f>
        <v>4242.4242424242429</v>
      </c>
      <c r="E41" s="1">
        <f>D41/VLOOKUP(A41,'[6]geoMap (3)'!$A:$B,2,0)*VLOOKUP(A41,'[6]geoMap (3)'!$A:$C,3,0)</f>
        <v>4076.0546642899585</v>
      </c>
      <c r="F41" s="1">
        <f>E41/VLOOKUP(A41,'[7]geoMap (4)'!$A:$B,2,0)*VLOOKUP(A41,'[7]geoMap (4)'!$A:$C,3,0)</f>
        <v>3202.6143790849674</v>
      </c>
      <c r="G41" s="1">
        <f>F41/VLOOKUP(A41,'[8]geoMap (5)'!$A:$B,2,0)*VLOOKUP(A41,'[8]geoMap (5)'!$A:$C,3,0)</f>
        <v>3469.4989106753819</v>
      </c>
      <c r="H41" s="1">
        <f>G41/VLOOKUP(A41,'[9]geoMap (6)'!$A:$B,2,0)*VLOOKUP(A41,'[9]geoMap (6)'!$A:$C,3,0)</f>
        <v>1558.7603801585051</v>
      </c>
      <c r="I41" s="1">
        <f>H41/VLOOKUP(A41,'[10]geoMap (7)'!$A:$B,2,0)*VLOOKUP(A41,'[10]geoMap (7)'!$A:$C,3,0)</f>
        <v>1327.8329164313191</v>
      </c>
      <c r="J41" s="1">
        <f>I41/VLOOKUP(A41,'[11]geoMap (8)'!$A:$B,2,0)*VLOOKUP(A41,'[11]geoMap (8)'!$A:$C,3,0)</f>
        <v>1275.7610373555808</v>
      </c>
      <c r="K41" s="1">
        <f>J41/VLOOKUP(A41,'[12]geoMap (9)'!$A:$B,2,0)*VLOOKUP(A41,'[12]geoMap (9)'!$A:$C,3,0)</f>
        <v>749.25648225645227</v>
      </c>
      <c r="L41" s="1">
        <f>K41/VLOOKUP(A41,'[13]geoMap (10)'!$A:$B,2,0)*VLOOKUP(A41,'[13]geoMap (10)'!$A:$C,3,0)</f>
        <v>664.43499369911797</v>
      </c>
      <c r="M41" s="1">
        <f>L41/VLOOKUP(A41,'[14]geoMap (11)'!$A:$B,2,0)*VLOOKUP(A41,'[14]geoMap (11)'!$A:$C,3,0)</f>
        <v>691.55478936030659</v>
      </c>
      <c r="N41" s="1">
        <f>M41/VLOOKUP(A41,'[15]geoMap (12)'!$A:$B,2,0)*VLOOKUP(A41,'[15]geoMap (12)'!$A:$C,3,0)</f>
        <v>521.69922706128398</v>
      </c>
      <c r="O41" s="1">
        <f>N41/VLOOKUP(A41,'[16]geoMap (13)'!$A:$B,2,0)*VLOOKUP(A41,'[16]geoMap (13)'!$A:$C,3,0)</f>
        <v>306.39478414710328</v>
      </c>
      <c r="P41" s="1">
        <f>O41/VLOOKUP(A41,'[17]geoMap (14)'!$A:$B,2,0)*VLOOKUP(A41,'[17]geoMap (14)'!$A:$C,3,0)</f>
        <v>172.34706608274558</v>
      </c>
      <c r="Q41" s="1">
        <f>P41/VLOOKUP(A41,'[18]geoMap (15)'!$A:$B,2,0)*VLOOKUP(A41,'[18]geoMap (15)'!$A:$C,3,0)</f>
        <v>269.56848797557643</v>
      </c>
      <c r="R41" s="1">
        <f>Q41/VLOOKUP(A41,'[19]geoMap (16)'!$A:$B,2,0)*VLOOKUP(A41,'[19]geoMap (16)'!$A:$C,3,0)</f>
        <v>179.71232531705095</v>
      </c>
      <c r="S41" s="1">
        <f>R41/VLOOKUP(A41,'[20]geoMap (17)'!$A:$B,2,0)*VLOOKUP(A41,'[20]geoMap (17)'!$A:$C,3,0)</f>
        <v>228.7247776762467</v>
      </c>
      <c r="T41" s="1">
        <f>S41/VLOOKUP(A41,'[21]geoMap (18)'!$A:$B,2,0)*VLOOKUP(A41,'[21]geoMap (18)'!$A:$C,3,0)</f>
        <v>140.18615405963507</v>
      </c>
      <c r="U41" s="1">
        <f>T41/VLOOKUP(A41,'[22]geoMap (19)'!$A:$B,2,0)*VLOOKUP(A41,'[22]geoMap (19)'!$A:$C,3,0)</f>
        <v>119.41783493968914</v>
      </c>
      <c r="V41" s="1">
        <f>U41/VLOOKUP(A41,'[23]geoMap (20)'!$A:$B,2,0)*VLOOKUP(A41,'[23]geoMap (20)'!$A:$C,3,0)</f>
        <v>53.651491059860348</v>
      </c>
      <c r="W41" s="1">
        <f>V41/VLOOKUP(A41,'[24]geoMap (21)'!$A:$B,2,0)*VLOOKUP(A41,'[24]geoMap (21)'!$A:$C,3,0)</f>
        <v>68.283715894367717</v>
      </c>
      <c r="X41" s="1">
        <f>W41/VLOOKUP(A41,'[25]geoMap (22)'!$A:$B,2,0)*VLOOKUP(A41,'[25]geoMap (22)'!$A:$C,3,0)</f>
        <v>98.261932628480366</v>
      </c>
      <c r="Y41" s="1">
        <f>X41/VLOOKUP(A41,'[26]geoMap (23)'!$A:$B,2,0)*VLOOKUP(A41,'[26]geoMap (23)'!$A:$C,3,0)</f>
        <v>60.225055481971843</v>
      </c>
      <c r="Z41" s="1">
        <f>Y41/VLOOKUP(A41,'[27]geoMap (24)'!$A:$B,2,0)*VLOOKUP(A41,'[27]geoMap (24)'!$A:$C,3,0)</f>
        <v>57.86328860032588</v>
      </c>
      <c r="AA41" s="1">
        <f>Z41/VLOOKUP(A41,'[28]geoMap (25)'!$A:$B,2,0)*VLOOKUP(A41,'[28]geoMap (25)'!$A:$C,3,0)</f>
        <v>36.994561564142778</v>
      </c>
      <c r="AB41" s="1">
        <f>AA41*VLOOKUP(A41,'[29]geoMap (26)'!$A:$B,2,0)*VLOOKUP(A41,'[29]geoMap (26)'!$A:$C,3,0)</f>
        <v>9.1894490925330654</v>
      </c>
      <c r="AC41" s="1">
        <f>AB41/VLOOKUP(A41,'[30]geoMap (27)'!$A:$B,2,0)*VLOOKUP(A41,'[30]geoMap (27)'!$A:$C,3,0)</f>
        <v>8.8290785398847103</v>
      </c>
      <c r="AD41" s="1">
        <f>AC41/VLOOKUP(A41,'[31]geoMap (28)'!$A:$B,2,0)*VLOOKUP(A41,'[31]geoMap (28)'!$A:$C,3,0)</f>
        <v>8.4828401657715826</v>
      </c>
      <c r="AE41" s="1">
        <f>AD41/VLOOKUP(A41,'[32]geoMap (29)'!$A:$B,2,0)*VLOOKUP(A41,'[32]geoMap (29)'!$A:$C,3,0)</f>
        <v>6.9405055901767492</v>
      </c>
      <c r="AF41" s="1">
        <f>AE41/VLOOKUP(A41,'[33]geoMap (30)'!$A:$B,2,0)*VLOOKUP(A41,'[33]geoMap (30)'!$A:$C,3,0)</f>
        <v>7.8265275804120789</v>
      </c>
      <c r="AG41" s="1">
        <f>AF41/VLOOKUP(A41,'[34]geoMap (31)'!$A:$B,2,0)*VLOOKUP(A41,'[34]geoMap (31)'!$A:$C,3,0)</f>
        <v>7.8265275804120789</v>
      </c>
      <c r="AH41" s="1">
        <f>AG41/VLOOKUP(A41,'[35]geoMap (32)'!$A:$B,2,0)*VLOOKUP(A41,'[35]geoMap (32)'!$A:$C,3,0)</f>
        <v>3.0436496146046976</v>
      </c>
      <c r="AI41" s="1">
        <f>AH41/VLOOKUP(A41,'[36]geoMap (33)'!$A:$B,2,0)*VLOOKUP(A41,'[36]geoMap (33)'!$A:$C,3,0)</f>
        <v>5.4109326481861295</v>
      </c>
      <c r="AJ41" s="1">
        <f>AI41/VLOOKUP(A41,'[37]geoMap (34)'!$A:$B,2,0)*VLOOKUP(A41,'[37]geoMap (34)'!$A:$C,3,0)</f>
        <v>3.6072884321240863</v>
      </c>
      <c r="AK41" s="1">
        <f>AJ41/VLOOKUP(A41,'[38]geoMap (35)'!$A:$B,2,0)*VLOOKUP(A41,'[38]geoMap (35)'!$A:$C,3,0)</f>
        <v>3.7545246946597635</v>
      </c>
      <c r="AL41" s="1">
        <f>AK41/VLOOKUP(A41,'[39]geoMap (36)'!$A:$B,2,0)*VLOOKUP(A41,'[39]geoMap (36)'!$A:$C,3,0)</f>
        <v>0.99803820997284842</v>
      </c>
      <c r="AM41" s="1">
        <f>AL41/VLOOKUP(A41,'[40]geoMap (37)'!$A:$B,2,0)*VLOOKUP(A41,'[40]geoMap (37)'!$A:$C,3,0)</f>
        <v>2.5663839685016101</v>
      </c>
      <c r="AN41" s="1">
        <f>AM41/VLOOKUP(A41,'[41]geoMap (38)'!$A:$B,2,0)*VLOOKUP(A41,'[41]geoMap (38)'!$A:$C,3,0)</f>
        <v>0.7665822243576238</v>
      </c>
      <c r="AO41" s="1">
        <f>AN41/VLOOKUP(A41,'[42]geoMap (39)'!$A:$B,2,0)*VLOOKUP(A41,'[42]geoMap (39)'!$A:$C,3,0)</f>
        <v>1.556394213089721</v>
      </c>
      <c r="AP41" s="1">
        <f>AO41/VLOOKUP(A41,'[43]geoMap (40)'!$A:$B,2,0)*VLOOKUP(A41,'[43]geoMap (40)'!$A:$C,3,0)</f>
        <v>2.2396892334705742</v>
      </c>
      <c r="AQ41" s="1">
        <f>AP41/VLOOKUP(A41,'[44]geoMap (41)'!$A:$B,2,0)*VLOOKUP(A41,'[44]geoMap (41)'!$A:$C,3,0)</f>
        <v>1.4931261556470496</v>
      </c>
      <c r="AR41" s="1">
        <f>AQ41/VLOOKUP(A41,'[45]geoMap (42)'!$A:$B,2,0)*VLOOKUP(A41,'[45]geoMap (42)'!$A:$C,3,0)</f>
        <v>1.6175533352843039</v>
      </c>
      <c r="AS41" s="1">
        <f>AR41/VLOOKUP(A41,'[46]geoMap (43)'!$A:$B,2,0)*VLOOKUP(A41,'[46]geoMap (43)'!$A:$C,3,0)</f>
        <v>1.4931261556470496</v>
      </c>
      <c r="AT41" s="1">
        <f>AS41/VLOOKUP(A41,'[47]geoMap (44)'!$A:$B,2,0)*VLOOKUP(A41,'[47]geoMap (44)'!$A:$C,3,0)</f>
        <v>0.70264760265743509</v>
      </c>
      <c r="AU41" s="1">
        <f>AT41/VLOOKUP(A41,'[48]geoMap (45)'!$A:$B,2,0)*VLOOKUP(A41,'[48]geoMap (45)'!$A:$C,3,0)</f>
        <v>0.93141658956915807</v>
      </c>
      <c r="AV41" s="1">
        <f>AU41/VLOOKUP(A41,'[49]geoMap (46)'!$A:$B,2,0)*VLOOKUP(A41,'[49]geoMap (46)'!$A:$C,3,0)</f>
        <v>0.45875742471316738</v>
      </c>
      <c r="AW41" s="1">
        <f>AV41/VLOOKUP(A41,'[50]geoMap (47)'!$A:$B,2,0)*VLOOKUP(A41,'[50]geoMap (47)'!$A:$C,3,0)</f>
        <v>0.29330392727563159</v>
      </c>
      <c r="AX41" s="4">
        <f>AW41/VLOOKUP(A41,'[51]geoMap (48)'!$A:$B,2,0)*VLOOKUP(A41,'[51]geoMap (48)'!$A:$C,3,0)</f>
        <v>0.30527551614402471</v>
      </c>
      <c r="AY41" s="1">
        <f>AX41/VLOOKUP(A41,'[52]geoMap (49)'!$A:$B,2,0)*VLOOKUP(A41,'[52]geoMap (49)'!$A:$C,3,0)</f>
        <v>0.49808110528761929</v>
      </c>
      <c r="AZ41" s="4">
        <f>AY41/VLOOKUP(A41,'[53]geoMap (50)'!$A:$B,2,0)*VLOOKUP(A41,'[53]geoMap (50)'!$A:$C,3,0)</f>
        <v>0.47854851292339895</v>
      </c>
      <c r="BA41" s="1">
        <f>AZ41/VLOOKUP(A41,'[54]geoMap (51)'!$A:$B,2,0)*VLOOKUP(A41,'[54]geoMap (51)'!$A:$C,3,0)</f>
        <v>0.40765243693474723</v>
      </c>
      <c r="BB41" s="4">
        <f>BA41/VLOOKUP(A41,'[55]geoMap (52)'!$A:$B,2,0)*VLOOKUP(A41,'[55]geoMap (52)'!$A:$C,3,0)</f>
        <v>0.29519659226309281</v>
      </c>
      <c r="BC41" s="1">
        <f>BB41/VLOOKUP(A41,'[56]geoMap (53)'!$A:$B,2,0)*VLOOKUP(A41,'[56]geoMap (53)'!$A:$C,3,0)</f>
        <v>0.33288126361582804</v>
      </c>
      <c r="BD41" s="4">
        <f>BC41/VLOOKUP(A41,'[57]geoMap (54)'!$A:$B,2,0)*VLOOKUP(A41,'[57]geoMap (54)'!$A:$C,3,0)</f>
        <v>0.17148428731724477</v>
      </c>
      <c r="BE41" s="1">
        <f>BD41/VLOOKUP(A41,'[58]geoMap (55)'!$A:$B,2,0)*VLOOKUP(A41,'[58]geoMap (55)'!$A:$C,3,0)</f>
        <v>0.17848364598325475</v>
      </c>
      <c r="BF41" s="4">
        <f>BE41/VLOOKUP(A41,'[59]geoMap (56)'!$A:$B,2,0)*VLOOKUP(A41,'[59]geoMap (56)'!$A:$C,3,0)</f>
        <v>0.17148428731724477</v>
      </c>
      <c r="BG41" s="1">
        <f>BF41/VLOOKUP(A41,'[60]geoMap (57)'!$A:$B,2,0)*VLOOKUP(A41,'[60]geoMap (57)'!$A:$C,3,0)</f>
        <v>0.15829318829284131</v>
      </c>
      <c r="BH41" s="4">
        <f>BG41/VLOOKUP(A41,'[61]geoMap (58)'!$A:$B,2,0)*VLOOKUP(A41,'[61]geoMap (58)'!$A:$C,3,0)</f>
        <v>6.1558462113882738E-2</v>
      </c>
      <c r="BI41" s="1">
        <f>BH41/VLOOKUP(A41,'[62]geoMap (59)'!$A:$B,2,0)*VLOOKUP(A41,'[62]geoMap (59)'!$A:$C,3,0)</f>
        <v>2.8968688053591873E-2</v>
      </c>
      <c r="BJ41" s="4">
        <f>BI41/VLOOKUP(A41,'[63]geoMap (60)'!$A:$B,2,0)*VLOOKUP(A41,'[63]geoMap (60)'!$A:$C,3,0)</f>
        <v>3.5406174287723406E-2</v>
      </c>
      <c r="BK41" s="1">
        <f>BJ41/VLOOKUP(A41,'[64]geoMap (61)'!$A:$B,2,0)*VLOOKUP(A41,'[64]geoMap (61)'!$A:$C,3,0)</f>
        <v>6.5754323677200618E-2</v>
      </c>
      <c r="BL41" s="4">
        <f>BK41/VLOOKUP(A41,'[65]geoMap (62)'!$A:$B,2,0)*VLOOKUP(A41,'[65]geoMap (62)'!$A:$C,3,0)</f>
        <v>3.5406174287723406E-2</v>
      </c>
      <c r="BM41" s="1">
        <f>BL41/VLOOKUP(A41,'[66]geoMap (63)'!$A:$B,2,0)*VLOOKUP(A41,'[66]geoMap (63)'!$A:$C,3,0)</f>
        <v>0.11853371391976968</v>
      </c>
      <c r="BN41" s="4">
        <f>BM41/VLOOKUP(A41,'[67]geoMap (64)'!$A:$B,2,0)*VLOOKUP(A41,'[67]geoMap (64)'!$A:$C,3,0)</f>
        <v>1.7711934263873633E-2</v>
      </c>
      <c r="BO41" s="1">
        <f>BN41/VLOOKUP(A41,'[68]geoMap (65)'!$A:$B,2,0)*VLOOKUP(A41,'[68]geoMap (65)'!$A:$C,3,0)</f>
        <v>1.7711934263873633E-2</v>
      </c>
      <c r="BP41" s="4" t="e">
        <f>BO41/VLOOKUP(A41,'[69]geoMap (66)'!$A:$B,2,0)*VLOOKUP(A41,'[69]geoMap (66)'!$A:$C,3,0)</f>
        <v>#REF!</v>
      </c>
    </row>
    <row r="42" spans="1:68" x14ac:dyDescent="0.2">
      <c r="A42" s="1" t="s">
        <v>97</v>
      </c>
      <c r="B42" s="1">
        <f>VLOOKUP(A42,[3]geoMap!$A:$B,2,0)*Notes!$C$6</f>
        <v>5000</v>
      </c>
      <c r="C42" s="1">
        <f>B42/VLOOKUP(A42,'[4]geoMap (1)'!$A:$B,2,0)*VLOOKUP(A42,'[4]geoMap (1)'!$A:$C,3,0)</f>
        <v>6111.1111111111113</v>
      </c>
      <c r="D42" s="1">
        <f>C42/VLOOKUP(A42,'[5]geoMap (2)'!$A:$B,2,0)*VLOOKUP(A42,'[5]geoMap (2)'!$A:$C,3,0)</f>
        <v>5205.7613168724283</v>
      </c>
      <c r="E42" s="1">
        <f>D42/VLOOKUP(A42,'[6]geoMap (3)'!$A:$B,2,0)*VLOOKUP(A42,'[6]geoMap (3)'!$A:$C,3,0)</f>
        <v>4090.241034685479</v>
      </c>
      <c r="F42" s="1">
        <f>E42/VLOOKUP(A42,'[7]geoMap (4)'!$A:$B,2,0)*VLOOKUP(A42,'[7]geoMap (4)'!$A:$C,3,0)</f>
        <v>3627.194879815424</v>
      </c>
      <c r="G42" s="1">
        <f>F42/VLOOKUP(A42,'[8]geoMap (5)'!$A:$B,2,0)*VLOOKUP(A42,'[8]geoMap (5)'!$A:$C,3,0)</f>
        <v>3348.1798890603909</v>
      </c>
      <c r="H42" s="1">
        <f>G42/VLOOKUP(A42,'[9]geoMap (6)'!$A:$B,2,0)*VLOOKUP(A42,'[9]geoMap (6)'!$A:$C,3,0)</f>
        <v>1724.8199428492924</v>
      </c>
      <c r="I42" s="1">
        <f>H42/VLOOKUP(A42,'[10]geoMap (7)'!$A:$B,2,0)*VLOOKUP(A42,'[10]geoMap (7)'!$A:$C,3,0)</f>
        <v>1657.1799450904966</v>
      </c>
      <c r="J42" s="1">
        <f>I42/VLOOKUP(A42,'[11]geoMap (8)'!$A:$B,2,0)*VLOOKUP(A42,'[11]geoMap (8)'!$A:$C,3,0)</f>
        <v>1411.6718050770896</v>
      </c>
      <c r="K42" s="1">
        <f>J42/VLOOKUP(A42,'[12]geoMap (9)'!$A:$B,2,0)*VLOOKUP(A42,'[12]geoMap (9)'!$A:$C,3,0)</f>
        <v>829.07709187067167</v>
      </c>
      <c r="L42" s="1">
        <f>K42/VLOOKUP(A42,'[13]geoMap (10)'!$A:$B,2,0)*VLOOKUP(A42,'[13]geoMap (10)'!$A:$C,3,0)</f>
        <v>735.21930788531245</v>
      </c>
      <c r="M42" s="1">
        <f>L42/VLOOKUP(A42,'[14]geoMap (11)'!$A:$B,2,0)*VLOOKUP(A42,'[14]geoMap (11)'!$A:$C,3,0)</f>
        <v>765.22825922757011</v>
      </c>
      <c r="N42" s="1">
        <f>M42/VLOOKUP(A42,'[15]geoMap (12)'!$A:$B,2,0)*VLOOKUP(A42,'[15]geoMap (12)'!$A:$C,3,0)</f>
        <v>601.2507751073764</v>
      </c>
      <c r="O42" s="1">
        <f>N42/VLOOKUP(A42,'[16]geoMap (13)'!$A:$B,2,0)*VLOOKUP(A42,'[16]geoMap (13)'!$A:$C,3,0)</f>
        <v>323.75041736551032</v>
      </c>
      <c r="P42" s="1">
        <f>O42/VLOOKUP(A42,'[17]geoMap (14)'!$A:$B,2,0)*VLOOKUP(A42,'[17]geoMap (14)'!$A:$C,3,0)</f>
        <v>190.13913400831555</v>
      </c>
      <c r="Q42" s="1">
        <f>P42/VLOOKUP(A42,'[18]geoMap (15)'!$A:$B,2,0)*VLOOKUP(A42,'[18]geoMap (15)'!$A:$C,3,0)</f>
        <v>297.39710703864739</v>
      </c>
      <c r="R42" s="1">
        <f>Q42/VLOOKUP(A42,'[19]geoMap (16)'!$A:$B,2,0)*VLOOKUP(A42,'[19]geoMap (16)'!$A:$C,3,0)</f>
        <v>198.26473802576493</v>
      </c>
      <c r="S42" s="1">
        <f>R42/VLOOKUP(A42,'[20]geoMap (17)'!$A:$B,2,0)*VLOOKUP(A42,'[20]geoMap (17)'!$A:$C,3,0)</f>
        <v>155.77943702024388</v>
      </c>
      <c r="T42" s="1">
        <f>S42/VLOOKUP(A42,'[21]geoMap (18)'!$A:$B,2,0)*VLOOKUP(A42,'[21]geoMap (18)'!$A:$C,3,0)</f>
        <v>117.51782091000855</v>
      </c>
      <c r="U42" s="1">
        <f>T42/VLOOKUP(A42,'[22]geoMap (19)'!$A:$B,2,0)*VLOOKUP(A42,'[22]geoMap (19)'!$A:$C,3,0)</f>
        <v>104.2139166560453</v>
      </c>
      <c r="V42" s="1">
        <f>U42/VLOOKUP(A42,'[23]geoMap (20)'!$A:$B,2,0)*VLOOKUP(A42,'[23]geoMap (20)'!$A:$C,3,0)</f>
        <v>75.465249992308671</v>
      </c>
      <c r="W42" s="1">
        <f>V42/VLOOKUP(A42,'[24]geoMap (21)'!$A:$B,2,0)*VLOOKUP(A42,'[24]geoMap (21)'!$A:$C,3,0)</f>
        <v>160.36365623365595</v>
      </c>
      <c r="X42" s="1">
        <f>W42/VLOOKUP(A42,'[25]geoMap (22)'!$A:$B,2,0)*VLOOKUP(A42,'[25]geoMap (22)'!$A:$C,3,0)</f>
        <v>78.985084413591736</v>
      </c>
      <c r="Y42" s="1">
        <f>X42/VLOOKUP(A42,'[26]geoMap (23)'!$A:$B,2,0)*VLOOKUP(A42,'[26]geoMap (23)'!$A:$C,3,0)</f>
        <v>48.410213027685259</v>
      </c>
      <c r="Z42" s="1">
        <f>Y42/VLOOKUP(A42,'[27]geoMap (24)'!$A:$B,2,0)*VLOOKUP(A42,'[27]geoMap (24)'!$A:$C,3,0)</f>
        <v>42.929811552852961</v>
      </c>
      <c r="AA42" s="1">
        <f>Z42/VLOOKUP(A42,'[28]geoMap (25)'!$A:$B,2,0)*VLOOKUP(A42,'[28]geoMap (25)'!$A:$C,3,0)</f>
        <v>35.124391270516057</v>
      </c>
      <c r="AB42" s="1">
        <f>AA42*VLOOKUP(A42,'[29]geoMap (26)'!$A:$B,2,0)*VLOOKUP(A42,'[29]geoMap (26)'!$A:$C,3,0)</f>
        <v>8.6932868394527247</v>
      </c>
      <c r="AC42" s="1">
        <f>AB42/VLOOKUP(A42,'[30]geoMap (27)'!$A:$B,2,0)*VLOOKUP(A42,'[30]geoMap (27)'!$A:$C,3,0)</f>
        <v>6.8304396595699979</v>
      </c>
      <c r="AD42" s="1">
        <f>AC42/VLOOKUP(A42,'[31]geoMap (28)'!$A:$B,2,0)*VLOOKUP(A42,'[31]geoMap (28)'!$A:$C,3,0)</f>
        <v>7.7024106799406367</v>
      </c>
      <c r="AE42" s="1">
        <f>AD42/VLOOKUP(A42,'[32]geoMap (29)'!$A:$B,2,0)*VLOOKUP(A42,'[32]geoMap (29)'!$A:$C,3,0)</f>
        <v>6.5613128014309119</v>
      </c>
      <c r="AF42" s="1">
        <f>AE42/VLOOKUP(A42,'[33]geoMap (30)'!$A:$B,2,0)*VLOOKUP(A42,'[33]geoMap (30)'!$A:$C,3,0)</f>
        <v>4.949762288798758</v>
      </c>
      <c r="AG42" s="1">
        <f>AF42/VLOOKUP(A42,'[34]geoMap (31)'!$A:$B,2,0)*VLOOKUP(A42,'[34]geoMap (31)'!$A:$C,3,0)</f>
        <v>6.0497094640873712</v>
      </c>
      <c r="AH42" s="1">
        <f>AG42/VLOOKUP(A42,'[35]geoMap (32)'!$A:$B,2,0)*VLOOKUP(A42,'[35]geoMap (32)'!$A:$C,3,0)</f>
        <v>3.1165169966510704</v>
      </c>
      <c r="AI42" s="1">
        <f>AH42/VLOOKUP(A42,'[36]geoMap (33)'!$A:$B,2,0)*VLOOKUP(A42,'[36]geoMap (33)'!$A:$C,3,0)</f>
        <v>4.4847439707905643</v>
      </c>
      <c r="AJ42" s="1">
        <f>AI42/VLOOKUP(A42,'[37]geoMap (34)'!$A:$B,2,0)*VLOOKUP(A42,'[37]geoMap (34)'!$A:$C,3,0)</f>
        <v>3.3832279077893737</v>
      </c>
      <c r="AK42" s="1">
        <f>AJ42/VLOOKUP(A42,'[38]geoMap (35)'!$A:$B,2,0)*VLOOKUP(A42,'[38]geoMap (35)'!$A:$C,3,0)</f>
        <v>3.8151293428263151</v>
      </c>
      <c r="AL42" s="1">
        <f>AK42/VLOOKUP(A42,'[39]geoMap (36)'!$A:$B,2,0)*VLOOKUP(A42,'[39]geoMap (36)'!$A:$C,3,0)</f>
        <v>0.67325811932229085</v>
      </c>
      <c r="AM42" s="1">
        <f>AL42/VLOOKUP(A42,'[40]geoMap (37)'!$A:$B,2,0)*VLOOKUP(A42,'[40]geoMap (37)'!$A:$C,3,0)</f>
        <v>2.0197743579668725</v>
      </c>
      <c r="AN42" s="1">
        <f>AM42/VLOOKUP(A42,'[41]geoMap (38)'!$A:$B,2,0)*VLOOKUP(A42,'[41]geoMap (38)'!$A:$C,3,0)</f>
        <v>0.86561758198580252</v>
      </c>
      <c r="AO42" s="1">
        <f>AN42/VLOOKUP(A42,'[42]geoMap (39)'!$A:$B,2,0)*VLOOKUP(A42,'[42]geoMap (39)'!$A:$C,3,0)</f>
        <v>2.0197743579668725</v>
      </c>
      <c r="AP42" s="1">
        <f>AO42/VLOOKUP(A42,'[43]geoMap (40)'!$A:$B,2,0)*VLOOKUP(A42,'[43]geoMap (40)'!$A:$C,3,0)</f>
        <v>2.0197743579668725</v>
      </c>
      <c r="AQ42" s="1">
        <f>AP42/VLOOKUP(A42,'[44]geoMap (41)'!$A:$B,2,0)*VLOOKUP(A42,'[44]geoMap (41)'!$A:$C,3,0)</f>
        <v>1.5236894279399216</v>
      </c>
      <c r="AR42" s="1">
        <f>AQ42/VLOOKUP(A42,'[45]geoMap (42)'!$A:$B,2,0)*VLOOKUP(A42,'[45]geoMap (42)'!$A:$C,3,0)</f>
        <v>1.4639369013540422</v>
      </c>
      <c r="AS42" s="1">
        <f>AR42/VLOOKUP(A42,'[46]geoMap (43)'!$A:$B,2,0)*VLOOKUP(A42,'[46]geoMap (43)'!$A:$C,3,0)</f>
        <v>1.4065276111048639</v>
      </c>
      <c r="AT42" s="1">
        <f>AS42/VLOOKUP(A42,'[47]geoMap (44)'!$A:$B,2,0)*VLOOKUP(A42,'[47]geoMap (44)'!$A:$C,3,0)</f>
        <v>0.66189534640228886</v>
      </c>
      <c r="AU42" s="1">
        <f>AT42/VLOOKUP(A42,'[48]geoMap (45)'!$A:$B,2,0)*VLOOKUP(A42,'[48]geoMap (45)'!$A:$C,3,0)</f>
        <v>1.2848556724279725</v>
      </c>
      <c r="AV42" s="1">
        <f>AU42/VLOOKUP(A42,'[49]geoMap (46)'!$A:$B,2,0)*VLOOKUP(A42,'[49]geoMap (46)'!$A:$C,3,0)</f>
        <v>0.60463796349551646</v>
      </c>
      <c r="AW42" s="1">
        <f>AV42/VLOOKUP(A42,'[50]geoMap (47)'!$A:$B,2,0)*VLOOKUP(A42,'[50]geoMap (47)'!$A:$C,3,0)</f>
        <v>0.37058455827144554</v>
      </c>
      <c r="AX42" s="4">
        <f>AW42/VLOOKUP(A42,'[51]geoMap (48)'!$A:$B,2,0)*VLOOKUP(A42,'[51]geoMap (48)'!$A:$C,3,0)</f>
        <v>0.22713247119862789</v>
      </c>
      <c r="AY42" s="1">
        <f>AX42/VLOOKUP(A42,'[52]geoMap (49)'!$A:$B,2,0)*VLOOKUP(A42,'[52]geoMap (49)'!$A:$C,3,0)</f>
        <v>0.76040001227366727</v>
      </c>
      <c r="AZ42" s="4">
        <f>AY42/VLOOKUP(A42,'[53]geoMap (50)'!$A:$B,2,0)*VLOOKUP(A42,'[53]geoMap (50)'!$A:$C,3,0)</f>
        <v>0.55063449164644873</v>
      </c>
      <c r="BA42" s="1">
        <f>AZ42/VLOOKUP(A42,'[54]geoMap (51)'!$A:$B,2,0)*VLOOKUP(A42,'[54]geoMap (51)'!$A:$C,3,0)</f>
        <v>0.19346617274064415</v>
      </c>
      <c r="BB42" s="4">
        <f>BA42/VLOOKUP(A42,'[55]geoMap (52)'!$A:$B,2,0)*VLOOKUP(A42,'[55]geoMap (52)'!$A:$C,3,0)</f>
        <v>0.34393986265003407</v>
      </c>
      <c r="BC42" s="1">
        <f>BB42/VLOOKUP(A42,'[56]geoMap (53)'!$A:$B,2,0)*VLOOKUP(A42,'[56]geoMap (53)'!$A:$C,3,0)</f>
        <v>0.27023846351074104</v>
      </c>
      <c r="BD42" s="4">
        <f>BC42/VLOOKUP(A42,'[57]geoMap (54)'!$A:$B,2,0)*VLOOKUP(A42,'[57]geoMap (54)'!$A:$C,3,0)</f>
        <v>0.4226806736962872</v>
      </c>
      <c r="BE42" s="1">
        <f>BD42/VLOOKUP(A42,'[58]geoMap (55)'!$A:$B,2,0)*VLOOKUP(A42,'[58]geoMap (55)'!$A:$C,3,0)</f>
        <v>0.27023846351074104</v>
      </c>
      <c r="BF42" s="4" t="e">
        <f>BE42/VLOOKUP(A42,'[59]geoMap (56)'!$A:$B,2,0)*VLOOKUP(A42,'[59]geoMap (56)'!$A:$C,3,0)</f>
        <v>#REF!</v>
      </c>
      <c r="BG42" s="1" t="e">
        <f>BF42/VLOOKUP(A42,'[60]geoMap (57)'!$A:$B,2,0)*VLOOKUP(A42,'[60]geoMap (57)'!$A:$C,3,0)</f>
        <v>#REF!</v>
      </c>
      <c r="BH42" s="4" t="e">
        <f>BG42/VLOOKUP(A42,'[61]geoMap (58)'!$A:$B,2,0)*VLOOKUP(A42,'[61]geoMap (58)'!$A:$C,3,0)</f>
        <v>#REF!</v>
      </c>
      <c r="BI42" s="1" t="e">
        <f>BH42/VLOOKUP(A42,'[62]geoMap (59)'!$A:$B,2,0)*VLOOKUP(A42,'[62]geoMap (59)'!$A:$C,3,0)</f>
        <v>#REF!</v>
      </c>
      <c r="BJ42" s="4" t="e">
        <f>BI42/VLOOKUP(A42,'[63]geoMap (60)'!$A:$B,2,0)*VLOOKUP(A42,'[63]geoMap (60)'!$A:$C,3,0)</f>
        <v>#REF!</v>
      </c>
      <c r="BK42" s="1" t="e">
        <f>BJ42/VLOOKUP(A42,'[64]geoMap (61)'!$A:$B,2,0)*VLOOKUP(A42,'[64]geoMap (61)'!$A:$C,3,0)</f>
        <v>#REF!</v>
      </c>
      <c r="BL42" s="4" t="e">
        <f>BK42/VLOOKUP(A42,'[65]geoMap (62)'!$A:$B,2,0)*VLOOKUP(A42,'[65]geoMap (62)'!$A:$C,3,0)</f>
        <v>#REF!</v>
      </c>
      <c r="BM42" s="1" t="e">
        <f>BL42/VLOOKUP(A42,'[66]geoMap (63)'!$A:$B,2,0)*VLOOKUP(A42,'[66]geoMap (63)'!$A:$C,3,0)</f>
        <v>#REF!</v>
      </c>
      <c r="BN42" s="4" t="e">
        <f>BM42/VLOOKUP(A42,'[67]geoMap (64)'!$A:$B,2,0)*VLOOKUP(A42,'[67]geoMap (64)'!$A:$C,3,0)</f>
        <v>#REF!</v>
      </c>
      <c r="BO42" s="1" t="e">
        <f>BN42/VLOOKUP(A42,'[68]geoMap (65)'!$A:$B,2,0)*VLOOKUP(A42,'[68]geoMap (65)'!$A:$C,3,0)</f>
        <v>#REF!</v>
      </c>
      <c r="BP42" s="4" t="e">
        <f>BO42/VLOOKUP(A42,'[69]geoMap (66)'!$A:$B,2,0)*VLOOKUP(A42,'[69]geoMap (66)'!$A:$C,3,0)</f>
        <v>#REF!</v>
      </c>
    </row>
    <row r="43" spans="1:68" x14ac:dyDescent="0.2">
      <c r="A43" s="1" t="s">
        <v>125</v>
      </c>
      <c r="B43" s="1">
        <f>VLOOKUP(A43,[3]geoMap!$A:$B,2,0)*Notes!$C$6</f>
        <v>5000</v>
      </c>
      <c r="C43" s="1">
        <f>B43/VLOOKUP(A43,'[4]geoMap (1)'!$A:$B,2,0)*VLOOKUP(A43,'[4]geoMap (1)'!$A:$C,3,0)</f>
        <v>5869.5652173913049</v>
      </c>
      <c r="D43" s="1">
        <f>C43/VLOOKUP(A43,'[5]geoMap (2)'!$A:$B,2,0)*VLOOKUP(A43,'[5]geoMap (2)'!$A:$C,3,0)</f>
        <v>5639.3861892583127</v>
      </c>
      <c r="E43" s="1">
        <f>D43/VLOOKUP(A43,'[6]geoMap (3)'!$A:$B,2,0)*VLOOKUP(A43,'[6]geoMap (3)'!$A:$C,3,0)</f>
        <v>5000.9651112290694</v>
      </c>
      <c r="F43" s="1">
        <f>E43/VLOOKUP(A43,'[7]geoMap (4)'!$A:$B,2,0)*VLOOKUP(A43,'[7]geoMap (4)'!$A:$C,3,0)</f>
        <v>3475.2469417015568</v>
      </c>
      <c r="G43" s="1">
        <f>F43/VLOOKUP(A43,'[8]geoMap (5)'!$A:$B,2,0)*VLOOKUP(A43,'[8]geoMap (5)'!$A:$C,3,0)</f>
        <v>3918.8954874506921</v>
      </c>
      <c r="H43" s="1">
        <f>G43/VLOOKUP(A43,'[9]geoMap (6)'!$A:$B,2,0)*VLOOKUP(A43,'[9]geoMap (6)'!$A:$C,3,0)</f>
        <v>1170.5791715761807</v>
      </c>
      <c r="I43" s="1">
        <f>H43/VLOOKUP(A43,'[10]geoMap (7)'!$A:$B,2,0)*VLOOKUP(A43,'[10]geoMap (7)'!$A:$C,3,0)</f>
        <v>1755.868757364271</v>
      </c>
      <c r="J43" s="1">
        <f>I43/VLOOKUP(A43,'[11]geoMap (8)'!$A:$B,2,0)*VLOOKUP(A43,'[11]geoMap (8)'!$A:$C,3,0)</f>
        <v>1170.5791715761807</v>
      </c>
      <c r="K43" s="1">
        <f>J43/VLOOKUP(A43,'[12]geoMap (9)'!$A:$B,2,0)*VLOOKUP(A43,'[12]geoMap (9)'!$A:$C,3,0)</f>
        <v>957.74659492596595</v>
      </c>
      <c r="L43" s="1">
        <f>K43/VLOOKUP(A43,'[13]geoMap (10)'!$A:$B,2,0)*VLOOKUP(A43,'[13]geoMap (10)'!$A:$C,3,0)</f>
        <v>471.72593481428174</v>
      </c>
      <c r="M43" s="1">
        <f>L43/VLOOKUP(A43,'[14]geoMap (11)'!$A:$B,2,0)*VLOOKUP(A43,'[14]geoMap (11)'!$A:$C,3,0)</f>
        <v>553.76522782546124</v>
      </c>
      <c r="N43" s="1">
        <f>M43/VLOOKUP(A43,'[15]geoMap (12)'!$A:$B,2,0)*VLOOKUP(A43,'[15]geoMap (12)'!$A:$C,3,0)</f>
        <v>599.91233014424972</v>
      </c>
      <c r="O43" s="1">
        <f>N43/VLOOKUP(A43,'[16]geoMap (13)'!$A:$B,2,0)*VLOOKUP(A43,'[16]geoMap (13)'!$A:$C,3,0)</f>
        <v>323.02971623151905</v>
      </c>
      <c r="P43" s="1">
        <f>O43/VLOOKUP(A43,'[17]geoMap (14)'!$A:$B,2,0)*VLOOKUP(A43,'[17]geoMap (14)'!$A:$C,3,0)</f>
        <v>379.20879731526151</v>
      </c>
      <c r="Q43" s="1">
        <f>P43/VLOOKUP(A43,'[18]geoMap (15)'!$A:$B,2,0)*VLOOKUP(A43,'[18]geoMap (15)'!$A:$C,3,0)</f>
        <v>242.44496877533112</v>
      </c>
      <c r="R43" s="1">
        <f>Q43/VLOOKUP(A43,'[19]geoMap (16)'!$A:$B,2,0)*VLOOKUP(A43,'[19]geoMap (16)'!$A:$C,3,0)</f>
        <v>148.5953034429449</v>
      </c>
      <c r="S43" s="1">
        <f>R43/VLOOKUP(A43,'[20]geoMap (17)'!$A:$B,2,0)*VLOOKUP(A43,'[20]geoMap (17)'!$A:$C,3,0)</f>
        <v>222.89295516441734</v>
      </c>
      <c r="T43" s="1">
        <f>S43/VLOOKUP(A43,'[21]geoMap (18)'!$A:$B,2,0)*VLOOKUP(A43,'[21]geoMap (18)'!$A:$C,3,0)</f>
        <v>100.14031318981071</v>
      </c>
      <c r="U43" s="1">
        <f>T43/VLOOKUP(A43,'[22]geoMap (19)'!$A:$B,2,0)*VLOOKUP(A43,'[22]geoMap (19)'!$A:$C,3,0)</f>
        <v>138.28900392878623</v>
      </c>
      <c r="V43" s="1">
        <f>U43/VLOOKUP(A43,'[23]geoMap (20)'!$A:$B,2,0)*VLOOKUP(A43,'[23]geoMap (20)'!$A:$C,3,0)</f>
        <v>138.28900392878623</v>
      </c>
      <c r="W43" s="1">
        <f>V43/VLOOKUP(A43,'[24]geoMap (21)'!$A:$B,2,0)*VLOOKUP(A43,'[24]geoMap (21)'!$A:$C,3,0)</f>
        <v>34.572250982196557</v>
      </c>
      <c r="X43" s="1">
        <f>W43/VLOOKUP(A43,'[25]geoMap (22)'!$A:$B,2,0)*VLOOKUP(A43,'[25]geoMap (22)'!$A:$C,3,0)</f>
        <v>38.985729830987616</v>
      </c>
      <c r="Y43" s="1">
        <f>X43/VLOOKUP(A43,'[26]geoMap (23)'!$A:$B,2,0)*VLOOKUP(A43,'[26]geoMap (23)'!$A:$C,3,0)</f>
        <v>37.456877680752804</v>
      </c>
      <c r="Z43" s="1">
        <f>Y43/VLOOKUP(A43,'[27]geoMap (24)'!$A:$B,2,0)*VLOOKUP(A43,'[27]geoMap (24)'!$A:$C,3,0)</f>
        <v>40.578284154148868</v>
      </c>
      <c r="AA43" s="1">
        <f>Z43/VLOOKUP(A43,'[28]geoMap (25)'!$A:$B,2,0)*VLOOKUP(A43,'[28]geoMap (25)'!$A:$C,3,0)</f>
        <v>27.052189436099248</v>
      </c>
      <c r="AB43" s="1">
        <f>AA43*VLOOKUP(A43,'[29]geoMap (26)'!$A:$B,2,0)*VLOOKUP(A43,'[29]geoMap (26)'!$A:$C,3,0)</f>
        <v>6.7197638559270541</v>
      </c>
      <c r="AC43" s="1">
        <f>AB43/VLOOKUP(A43,'[30]geoMap (27)'!$A:$B,2,0)*VLOOKUP(A43,'[30]geoMap (27)'!$A:$C,3,0)</f>
        <v>5.7242432846786011</v>
      </c>
      <c r="AD43" s="1">
        <f>AC43/VLOOKUP(A43,'[31]geoMap (28)'!$A:$B,2,0)*VLOOKUP(A43,'[31]geoMap (28)'!$A:$C,3,0)</f>
        <v>6.7197638559270541</v>
      </c>
      <c r="AE43" s="1">
        <f>AD43/VLOOKUP(A43,'[32]geoMap (29)'!$A:$B,2,0)*VLOOKUP(A43,'[32]geoMap (29)'!$A:$C,3,0)</f>
        <v>6.7197638559270541</v>
      </c>
      <c r="AF43" s="1">
        <f>AE43/VLOOKUP(A43,'[33]geoMap (30)'!$A:$B,2,0)*VLOOKUP(A43,'[33]geoMap (30)'!$A:$C,3,0)</f>
        <v>2.7446922791814727</v>
      </c>
      <c r="AG43" s="1">
        <f>AF43/VLOOKUP(A43,'[34]geoMap (31)'!$A:$B,2,0)*VLOOKUP(A43,'[34]geoMap (31)'!$A:$C,3,0)</f>
        <v>2.8567205354745941</v>
      </c>
      <c r="AH43" s="1">
        <f>AG43/VLOOKUP(A43,'[35]geoMap (32)'!$A:$B,2,0)*VLOOKUP(A43,'[35]geoMap (32)'!$A:$C,3,0)</f>
        <v>5.0786142852881673</v>
      </c>
      <c r="AI43" s="1">
        <f>AH43/VLOOKUP(A43,'[36]geoMap (33)'!$A:$B,2,0)*VLOOKUP(A43,'[36]geoMap (33)'!$A:$C,3,0)</f>
        <v>4.8794529407670622</v>
      </c>
      <c r="AJ43" s="1">
        <f>AI43/VLOOKUP(A43,'[37]geoMap (34)'!$A:$B,2,0)*VLOOKUP(A43,'[37]geoMap (34)'!$A:$C,3,0)</f>
        <v>2.2962131485962645</v>
      </c>
      <c r="AK43" s="1">
        <f>AJ43/VLOOKUP(A43,'[38]geoMap (35)'!$A:$B,2,0)*VLOOKUP(A43,'[38]geoMap (35)'!$A:$C,3,0)</f>
        <v>14.105309341377053</v>
      </c>
      <c r="AL43" s="1" t="e">
        <f>AK43/VLOOKUP(A43,'[39]geoMap (36)'!$A:$B,2,0)*VLOOKUP(A43,'[39]geoMap (36)'!$A:$C,3,0)</f>
        <v>#REF!</v>
      </c>
      <c r="AM43" s="1" t="e">
        <f>AL43/VLOOKUP(A43,'[40]geoMap (37)'!$A:$B,2,0)*VLOOKUP(A43,'[40]geoMap (37)'!$A:$C,3,0)</f>
        <v>#REF!</v>
      </c>
      <c r="AN43" s="1" t="e">
        <f>AM43/VLOOKUP(A43,'[41]geoMap (38)'!$A:$B,2,0)*VLOOKUP(A43,'[41]geoMap (38)'!$A:$C,3,0)</f>
        <v>#REF!</v>
      </c>
      <c r="AO43" s="1" t="e">
        <f>AN43/VLOOKUP(A43,'[42]geoMap (39)'!$A:$B,2,0)*VLOOKUP(A43,'[42]geoMap (39)'!$A:$C,3,0)</f>
        <v>#REF!</v>
      </c>
      <c r="AP43" s="1" t="e">
        <f>AO43/VLOOKUP(A43,'[43]geoMap (40)'!$A:$B,2,0)*VLOOKUP(A43,'[43]geoMap (40)'!$A:$C,3,0)</f>
        <v>#REF!</v>
      </c>
      <c r="AQ43" s="1" t="e">
        <f>AP43/VLOOKUP(A43,'[44]geoMap (41)'!$A:$B,2,0)*VLOOKUP(A43,'[44]geoMap (41)'!$A:$C,3,0)</f>
        <v>#REF!</v>
      </c>
      <c r="AR43" s="1" t="e">
        <f>AQ43/VLOOKUP(A43,'[45]geoMap (42)'!$A:$B,2,0)*VLOOKUP(A43,'[45]geoMap (42)'!$A:$C,3,0)</f>
        <v>#REF!</v>
      </c>
      <c r="AS43" s="1" t="e">
        <f>AR43/VLOOKUP(A43,'[46]geoMap (43)'!$A:$B,2,0)*VLOOKUP(A43,'[46]geoMap (43)'!$A:$C,3,0)</f>
        <v>#REF!</v>
      </c>
      <c r="AT43" s="1" t="e">
        <f>AS43/VLOOKUP(A43,'[47]geoMap (44)'!$A:$B,2,0)*VLOOKUP(A43,'[47]geoMap (44)'!$A:$C,3,0)</f>
        <v>#REF!</v>
      </c>
      <c r="AU43" s="1" t="e">
        <f>AT43/VLOOKUP(A43,'[48]geoMap (45)'!$A:$B,2,0)*VLOOKUP(A43,'[48]geoMap (45)'!$A:$C,3,0)</f>
        <v>#REF!</v>
      </c>
      <c r="AV43" s="1" t="e">
        <f>AU43/VLOOKUP(A43,'[49]geoMap (46)'!$A:$B,2,0)*VLOOKUP(A43,'[49]geoMap (46)'!$A:$C,3,0)</f>
        <v>#REF!</v>
      </c>
      <c r="AW43" s="1" t="e">
        <f>AV43/VLOOKUP(A43,'[50]geoMap (47)'!$A:$B,2,0)*VLOOKUP(A43,'[50]geoMap (47)'!$A:$C,3,0)</f>
        <v>#REF!</v>
      </c>
      <c r="AX43" s="4" t="e">
        <f>AW43/VLOOKUP(A43,'[51]geoMap (48)'!$A:$B,2,0)*VLOOKUP(A43,'[51]geoMap (48)'!$A:$C,3,0)</f>
        <v>#REF!</v>
      </c>
      <c r="AY43" s="1" t="e">
        <f>AX43/VLOOKUP(A43,'[52]geoMap (49)'!$A:$B,2,0)*VLOOKUP(A43,'[52]geoMap (49)'!$A:$C,3,0)</f>
        <v>#REF!</v>
      </c>
      <c r="AZ43" s="4" t="e">
        <f>AY43/VLOOKUP(A43,'[53]geoMap (50)'!$A:$B,2,0)*VLOOKUP(A43,'[53]geoMap (50)'!$A:$C,3,0)</f>
        <v>#REF!</v>
      </c>
      <c r="BA43" s="1" t="e">
        <f>AZ43/VLOOKUP(A43,'[54]geoMap (51)'!$A:$B,2,0)*VLOOKUP(A43,'[54]geoMap (51)'!$A:$C,3,0)</f>
        <v>#REF!</v>
      </c>
      <c r="BB43" s="4" t="e">
        <f>BA43/VLOOKUP(A43,'[55]geoMap (52)'!$A:$B,2,0)*VLOOKUP(A43,'[55]geoMap (52)'!$A:$C,3,0)</f>
        <v>#REF!</v>
      </c>
      <c r="BC43" s="1" t="e">
        <f>BB43/VLOOKUP(A43,'[56]geoMap (53)'!$A:$B,2,0)*VLOOKUP(A43,'[56]geoMap (53)'!$A:$C,3,0)</f>
        <v>#REF!</v>
      </c>
      <c r="BD43" s="4" t="e">
        <f>BC43/VLOOKUP(A43,'[57]geoMap (54)'!$A:$B,2,0)*VLOOKUP(A43,'[57]geoMap (54)'!$A:$C,3,0)</f>
        <v>#REF!</v>
      </c>
      <c r="BE43" s="1" t="e">
        <f>BD43/VLOOKUP(A43,'[58]geoMap (55)'!$A:$B,2,0)*VLOOKUP(A43,'[58]geoMap (55)'!$A:$C,3,0)</f>
        <v>#REF!</v>
      </c>
      <c r="BF43" s="4" t="e">
        <f>BE43/VLOOKUP(A43,'[59]geoMap (56)'!$A:$B,2,0)*VLOOKUP(A43,'[59]geoMap (56)'!$A:$C,3,0)</f>
        <v>#REF!</v>
      </c>
      <c r="BG43" s="1" t="e">
        <f>BF43/VLOOKUP(A43,'[60]geoMap (57)'!$A:$B,2,0)*VLOOKUP(A43,'[60]geoMap (57)'!$A:$C,3,0)</f>
        <v>#REF!</v>
      </c>
      <c r="BH43" s="4" t="e">
        <f>BG43/VLOOKUP(A43,'[61]geoMap (58)'!$A:$B,2,0)*VLOOKUP(A43,'[61]geoMap (58)'!$A:$C,3,0)</f>
        <v>#REF!</v>
      </c>
      <c r="BI43" s="1" t="e">
        <f>BH43/VLOOKUP(A43,'[62]geoMap (59)'!$A:$B,2,0)*VLOOKUP(A43,'[62]geoMap (59)'!$A:$C,3,0)</f>
        <v>#REF!</v>
      </c>
      <c r="BJ43" s="4" t="e">
        <f>BI43/VLOOKUP(A43,'[63]geoMap (60)'!$A:$B,2,0)*VLOOKUP(A43,'[63]geoMap (60)'!$A:$C,3,0)</f>
        <v>#REF!</v>
      </c>
      <c r="BK43" s="1" t="e">
        <f>BJ43/VLOOKUP(A43,'[64]geoMap (61)'!$A:$B,2,0)*VLOOKUP(A43,'[64]geoMap (61)'!$A:$C,3,0)</f>
        <v>#REF!</v>
      </c>
      <c r="BL43" s="4" t="e">
        <f>BK43/VLOOKUP(A43,'[65]geoMap (62)'!$A:$B,2,0)*VLOOKUP(A43,'[65]geoMap (62)'!$A:$C,3,0)</f>
        <v>#REF!</v>
      </c>
      <c r="BM43" s="1" t="e">
        <f>BL43/VLOOKUP(A43,'[66]geoMap (63)'!$A:$B,2,0)*VLOOKUP(A43,'[66]geoMap (63)'!$A:$C,3,0)</f>
        <v>#REF!</v>
      </c>
      <c r="BN43" s="4" t="e">
        <f>BM43/VLOOKUP(A43,'[67]geoMap (64)'!$A:$B,2,0)*VLOOKUP(A43,'[67]geoMap (64)'!$A:$C,3,0)</f>
        <v>#REF!</v>
      </c>
      <c r="BO43" s="1" t="e">
        <f>BN43/VLOOKUP(A43,'[68]geoMap (65)'!$A:$B,2,0)*VLOOKUP(A43,'[68]geoMap (65)'!$A:$C,3,0)</f>
        <v>#REF!</v>
      </c>
      <c r="BP43" s="4" t="e">
        <f>BO43/VLOOKUP(A43,'[69]geoMap (66)'!$A:$B,2,0)*VLOOKUP(A43,'[69]geoMap (66)'!$A:$C,3,0)</f>
        <v>#REF!</v>
      </c>
    </row>
    <row r="44" spans="1:68" x14ac:dyDescent="0.2">
      <c r="A44" s="1" t="s">
        <v>120</v>
      </c>
      <c r="B44" s="1">
        <f>VLOOKUP(A44,[3]geoMap!$A:$B,2,0)*Notes!$C$6</f>
        <v>5000</v>
      </c>
      <c r="C44" s="1">
        <f>B44/VLOOKUP(A44,'[4]geoMap (1)'!$A:$B,2,0)*VLOOKUP(A44,'[4]geoMap (1)'!$A:$C,3,0)</f>
        <v>4803.9215686274511</v>
      </c>
      <c r="D44" s="1">
        <f>C44/VLOOKUP(A44,'[5]geoMap (2)'!$A:$B,2,0)*VLOOKUP(A44,'[5]geoMap (2)'!$A:$C,3,0)</f>
        <v>4615.5324875048063</v>
      </c>
      <c r="E44" s="1">
        <f>D44/VLOOKUP(A44,'[6]geoMap (3)'!$A:$B,2,0)*VLOOKUP(A44,'[6]geoMap (3)'!$A:$C,3,0)</f>
        <v>3626.4898116109189</v>
      </c>
      <c r="F44" s="1">
        <f>E44/VLOOKUP(A44,'[7]geoMap (4)'!$A:$B,2,0)*VLOOKUP(A44,'[7]geoMap (4)'!$A:$C,3,0)</f>
        <v>3089.2320617426344</v>
      </c>
      <c r="G44" s="1">
        <f>F44/VLOOKUP(A44,'[8]geoMap (5)'!$A:$B,2,0)*VLOOKUP(A44,'[8]geoMap (5)'!$A:$C,3,0)</f>
        <v>3089.2320617426344</v>
      </c>
      <c r="H44" s="1">
        <f>G44/VLOOKUP(A44,'[9]geoMap (6)'!$A:$B,2,0)*VLOOKUP(A44,'[9]geoMap (6)'!$A:$C,3,0)</f>
        <v>1029.7440205808782</v>
      </c>
      <c r="I44" s="1">
        <f>H44/VLOOKUP(A44,'[10]geoMap (7)'!$A:$B,2,0)*VLOOKUP(A44,'[10]geoMap (7)'!$A:$C,3,0)</f>
        <v>1208.8299372036397</v>
      </c>
      <c r="J44" s="1">
        <f>I44/VLOOKUP(A44,'[11]geoMap (8)'!$A:$B,2,0)*VLOOKUP(A44,'[11]geoMap (8)'!$A:$C,3,0)</f>
        <v>1208.8299372036397</v>
      </c>
      <c r="K44" s="1">
        <f>J44/VLOOKUP(A44,'[12]geoMap (9)'!$A:$B,2,0)*VLOOKUP(A44,'[12]geoMap (9)'!$A:$C,3,0)</f>
        <v>805.88662480242647</v>
      </c>
      <c r="L44" s="1">
        <f>K44/VLOOKUP(A44,'[13]geoMap (10)'!$A:$B,2,0)*VLOOKUP(A44,'[13]geoMap (10)'!$A:$C,3,0)</f>
        <v>433.93895181669114</v>
      </c>
      <c r="M44" s="1">
        <f>L44/VLOOKUP(A44,'[14]geoMap (11)'!$A:$B,2,0)*VLOOKUP(A44,'[14]geoMap (11)'!$A:$C,3,0)</f>
        <v>400.55903244617645</v>
      </c>
      <c r="N44" s="1">
        <f>M44/VLOOKUP(A44,'[15]geoMap (12)'!$A:$B,2,0)*VLOOKUP(A44,'[15]geoMap (12)'!$A:$C,3,0)</f>
        <v>553.15294956852938</v>
      </c>
      <c r="O44" s="1">
        <f>N44/VLOOKUP(A44,'[16]geoMap (13)'!$A:$B,2,0)*VLOOKUP(A44,'[16]geoMap (13)'!$A:$C,3,0)</f>
        <v>339.02922715490513</v>
      </c>
      <c r="P44" s="1">
        <f>O44/VLOOKUP(A44,'[17]geoMap (14)'!$A:$B,2,0)*VLOOKUP(A44,'[17]geoMap (14)'!$A:$C,3,0)</f>
        <v>487.87132688144885</v>
      </c>
      <c r="Q44" s="1">
        <f>P44/VLOOKUP(A44,'[18]geoMap (15)'!$A:$B,2,0)*VLOOKUP(A44,'[18]geoMap (15)'!$A:$C,3,0)</f>
        <v>154.06462954151013</v>
      </c>
      <c r="R44" s="1">
        <f>Q44/VLOOKUP(A44,'[19]geoMap (16)'!$A:$B,2,0)*VLOOKUP(A44,'[19]geoMap (16)'!$A:$C,3,0)</f>
        <v>126.05287871578102</v>
      </c>
      <c r="S44" s="1">
        <f>R44/VLOOKUP(A44,'[20]geoMap (17)'!$A:$B,2,0)*VLOOKUP(A44,'[20]geoMap (17)'!$A:$C,3,0)</f>
        <v>80.591184752712451</v>
      </c>
      <c r="T44" s="1">
        <f>S44/VLOOKUP(A44,'[21]geoMap (18)'!$A:$B,2,0)*VLOOKUP(A44,'[21]geoMap (18)'!$A:$C,3,0)</f>
        <v>68.651749974532819</v>
      </c>
      <c r="U44" s="1">
        <f>T44/VLOOKUP(A44,'[22]geoMap (19)'!$A:$B,2,0)*VLOOKUP(A44,'[22]geoMap (19)'!$A:$C,3,0)</f>
        <v>83.907694413317898</v>
      </c>
      <c r="V44" s="1">
        <f>U44/VLOOKUP(A44,'[23]geoMap (20)'!$A:$B,2,0)*VLOOKUP(A44,'[23]geoMap (20)'!$A:$C,3,0)</f>
        <v>53.645902985563907</v>
      </c>
      <c r="W44" s="1">
        <f>V44/VLOOKUP(A44,'[24]geoMap (21)'!$A:$B,2,0)*VLOOKUP(A44,'[24]geoMap (21)'!$A:$C,3,0)</f>
        <v>27.635768204684439</v>
      </c>
      <c r="X44" s="1">
        <f>W44/VLOOKUP(A44,'[25]geoMap (22)'!$A:$B,2,0)*VLOOKUP(A44,'[25]geoMap (22)'!$A:$C,3,0)</f>
        <v>31.163738613793093</v>
      </c>
      <c r="Y44" s="1">
        <f>X44/VLOOKUP(A44,'[26]geoMap (23)'!$A:$B,2,0)*VLOOKUP(A44,'[26]geoMap (23)'!$A:$C,3,0)</f>
        <v>23.509487024440407</v>
      </c>
      <c r="Z44" s="1">
        <f>Y44/VLOOKUP(A44,'[27]geoMap (24)'!$A:$B,2,0)*VLOOKUP(A44,'[27]geoMap (24)'!$A:$C,3,0)</f>
        <v>20.026600057856641</v>
      </c>
      <c r="AA44" s="1">
        <f>Z44/VLOOKUP(A44,'[28]geoMap (25)'!$A:$B,2,0)*VLOOKUP(A44,'[28]geoMap (25)'!$A:$C,3,0)</f>
        <v>44.575335612648651</v>
      </c>
      <c r="AB44" s="1">
        <f>AA44*VLOOKUP(A44,'[29]geoMap (26)'!$A:$B,2,0)*VLOOKUP(A44,'[29]geoMap (26)'!$A:$C,3,0)</f>
        <v>10.782773684699707</v>
      </c>
      <c r="AC44" s="1">
        <f>AB44/VLOOKUP(A44,'[30]geoMap (27)'!$A:$B,2,0)*VLOOKUP(A44,'[30]geoMap (27)'!$A:$C,3,0)</f>
        <v>7.4931139164862373</v>
      </c>
      <c r="AD44" s="1">
        <f>AC44/VLOOKUP(A44,'[31]geoMap (28)'!$A:$B,2,0)*VLOOKUP(A44,'[31]geoMap (28)'!$A:$C,3,0)</f>
        <v>8.1175400761934249</v>
      </c>
      <c r="AE44" s="1">
        <f>AD44/VLOOKUP(A44,'[32]geoMap (29)'!$A:$B,2,0)*VLOOKUP(A44,'[32]geoMap (29)'!$A:$C,3,0)</f>
        <v>7.1985732751149225</v>
      </c>
      <c r="AF44" s="1">
        <f>AE44/VLOOKUP(A44,'[33]geoMap (30)'!$A:$B,2,0)*VLOOKUP(A44,'[33]geoMap (30)'!$A:$C,3,0)</f>
        <v>4.2277335107817802</v>
      </c>
      <c r="AG44" s="1">
        <f>AF44/VLOOKUP(A44,'[34]geoMap (31)'!$A:$B,2,0)*VLOOKUP(A44,'[34]geoMap (31)'!$A:$C,3,0)</f>
        <v>5.1672298465110647</v>
      </c>
      <c r="AH44" s="1">
        <f>AG44/VLOOKUP(A44,'[35]geoMap (32)'!$A:$B,2,0)*VLOOKUP(A44,'[35]geoMap (32)'!$A:$C,3,0)</f>
        <v>4.5822604299249061</v>
      </c>
      <c r="AI44" s="1">
        <f>AH44/VLOOKUP(A44,'[36]geoMap (33)'!$A:$B,2,0)*VLOOKUP(A44,'[36]geoMap (33)'!$A:$C,3,0)</f>
        <v>4.5822604299249061</v>
      </c>
      <c r="AJ44" s="1">
        <f>AI44/VLOOKUP(A44,'[37]geoMap (34)'!$A:$B,2,0)*VLOOKUP(A44,'[37]geoMap (34)'!$A:$C,3,0)</f>
        <v>8.146240764310944</v>
      </c>
      <c r="AK44" s="1">
        <f>AJ44/VLOOKUP(A44,'[38]geoMap (35)'!$A:$B,2,0)*VLOOKUP(A44,'[38]geoMap (35)'!$A:$C,3,0)</f>
        <v>1.6685071444974224</v>
      </c>
      <c r="AL44" s="1">
        <f>AK44/VLOOKUP(A44,'[39]geoMap (36)'!$A:$B,2,0)*VLOOKUP(A44,'[39]geoMap (36)'!$A:$C,3,0)</f>
        <v>1.0667504694327783</v>
      </c>
      <c r="AM44" s="1">
        <f>AL44/VLOOKUP(A44,'[40]geoMap (37)'!$A:$B,2,0)*VLOOKUP(A44,'[40]geoMap (37)'!$A:$C,3,0)</f>
        <v>2.7430726356842867</v>
      </c>
      <c r="AN44" s="1">
        <f>AM44/VLOOKUP(A44,'[41]geoMap (38)'!$A:$B,2,0)*VLOOKUP(A44,'[41]geoMap (38)'!$A:$C,3,0)</f>
        <v>1.8287150904561913</v>
      </c>
      <c r="AO44" s="1">
        <f>AN44/VLOOKUP(A44,'[42]geoMap (39)'!$A:$B,2,0)*VLOOKUP(A44,'[42]geoMap (39)'!$A:$C,3,0)</f>
        <v>3.5498587050031949</v>
      </c>
      <c r="AP44" s="1">
        <f>AO44/VLOOKUP(A44,'[43]geoMap (40)'!$A:$B,2,0)*VLOOKUP(A44,'[43]geoMap (40)'!$A:$C,3,0)</f>
        <v>2.2695817950020425</v>
      </c>
      <c r="AQ44" s="1" t="e">
        <f>AP44/VLOOKUP(A44,'[44]geoMap (41)'!$A:$B,2,0)*VLOOKUP(A44,'[44]geoMap (41)'!$A:$C,3,0)</f>
        <v>#REF!</v>
      </c>
      <c r="AR44" s="1" t="e">
        <f>AQ44/VLOOKUP(A44,'[45]geoMap (42)'!$A:$B,2,0)*VLOOKUP(A44,'[45]geoMap (42)'!$A:$C,3,0)</f>
        <v>#REF!</v>
      </c>
      <c r="AS44" s="1" t="e">
        <f>AR44/VLOOKUP(A44,'[46]geoMap (43)'!$A:$B,2,0)*VLOOKUP(A44,'[46]geoMap (43)'!$A:$C,3,0)</f>
        <v>#REF!</v>
      </c>
      <c r="AT44" s="1" t="e">
        <f>AS44/VLOOKUP(A44,'[47]geoMap (44)'!$A:$B,2,0)*VLOOKUP(A44,'[47]geoMap (44)'!$A:$C,3,0)</f>
        <v>#REF!</v>
      </c>
      <c r="AU44" s="1" t="e">
        <f>AT44/VLOOKUP(A44,'[48]geoMap (45)'!$A:$B,2,0)*VLOOKUP(A44,'[48]geoMap (45)'!$A:$C,3,0)</f>
        <v>#REF!</v>
      </c>
      <c r="AV44" s="1" t="e">
        <f>AU44/VLOOKUP(A44,'[49]geoMap (46)'!$A:$B,2,0)*VLOOKUP(A44,'[49]geoMap (46)'!$A:$C,3,0)</f>
        <v>#REF!</v>
      </c>
      <c r="AW44" s="1" t="e">
        <f>AV44/VLOOKUP(A44,'[50]geoMap (47)'!$A:$B,2,0)*VLOOKUP(A44,'[50]geoMap (47)'!$A:$C,3,0)</f>
        <v>#REF!</v>
      </c>
      <c r="AX44" s="4" t="e">
        <f>AW44/VLOOKUP(A44,'[51]geoMap (48)'!$A:$B,2,0)*VLOOKUP(A44,'[51]geoMap (48)'!$A:$C,3,0)</f>
        <v>#REF!</v>
      </c>
      <c r="AY44" s="1" t="e">
        <f>AX44/VLOOKUP(A44,'[52]geoMap (49)'!$A:$B,2,0)*VLOOKUP(A44,'[52]geoMap (49)'!$A:$C,3,0)</f>
        <v>#REF!</v>
      </c>
      <c r="AZ44" s="4" t="e">
        <f>AY44/VLOOKUP(A44,'[53]geoMap (50)'!$A:$B,2,0)*VLOOKUP(A44,'[53]geoMap (50)'!$A:$C,3,0)</f>
        <v>#REF!</v>
      </c>
      <c r="BA44" s="1" t="e">
        <f>AZ44/VLOOKUP(A44,'[54]geoMap (51)'!$A:$B,2,0)*VLOOKUP(A44,'[54]geoMap (51)'!$A:$C,3,0)</f>
        <v>#REF!</v>
      </c>
      <c r="BB44" s="4" t="e">
        <f>BA44/VLOOKUP(A44,'[55]geoMap (52)'!$A:$B,2,0)*VLOOKUP(A44,'[55]geoMap (52)'!$A:$C,3,0)</f>
        <v>#REF!</v>
      </c>
      <c r="BC44" s="1" t="e">
        <f>BB44/VLOOKUP(A44,'[56]geoMap (53)'!$A:$B,2,0)*VLOOKUP(A44,'[56]geoMap (53)'!$A:$C,3,0)</f>
        <v>#REF!</v>
      </c>
      <c r="BD44" s="4" t="e">
        <f>BC44/VLOOKUP(A44,'[57]geoMap (54)'!$A:$B,2,0)*VLOOKUP(A44,'[57]geoMap (54)'!$A:$C,3,0)</f>
        <v>#REF!</v>
      </c>
      <c r="BE44" s="1" t="e">
        <f>BD44/VLOOKUP(A44,'[58]geoMap (55)'!$A:$B,2,0)*VLOOKUP(A44,'[58]geoMap (55)'!$A:$C,3,0)</f>
        <v>#REF!</v>
      </c>
      <c r="BF44" s="4" t="e">
        <f>BE44/VLOOKUP(A44,'[59]geoMap (56)'!$A:$B,2,0)*VLOOKUP(A44,'[59]geoMap (56)'!$A:$C,3,0)</f>
        <v>#REF!</v>
      </c>
      <c r="BG44" s="1" t="e">
        <f>BF44/VLOOKUP(A44,'[60]geoMap (57)'!$A:$B,2,0)*VLOOKUP(A44,'[60]geoMap (57)'!$A:$C,3,0)</f>
        <v>#REF!</v>
      </c>
      <c r="BH44" s="4" t="e">
        <f>BG44/VLOOKUP(A44,'[61]geoMap (58)'!$A:$B,2,0)*VLOOKUP(A44,'[61]geoMap (58)'!$A:$C,3,0)</f>
        <v>#REF!</v>
      </c>
      <c r="BI44" s="1" t="e">
        <f>BH44/VLOOKUP(A44,'[62]geoMap (59)'!$A:$B,2,0)*VLOOKUP(A44,'[62]geoMap (59)'!$A:$C,3,0)</f>
        <v>#REF!</v>
      </c>
      <c r="BJ44" s="4" t="e">
        <f>BI44/VLOOKUP(A44,'[63]geoMap (60)'!$A:$B,2,0)*VLOOKUP(A44,'[63]geoMap (60)'!$A:$C,3,0)</f>
        <v>#REF!</v>
      </c>
      <c r="BK44" s="1" t="e">
        <f>BJ44/VLOOKUP(A44,'[64]geoMap (61)'!$A:$B,2,0)*VLOOKUP(A44,'[64]geoMap (61)'!$A:$C,3,0)</f>
        <v>#REF!</v>
      </c>
      <c r="BL44" s="4" t="e">
        <f>BK44/VLOOKUP(A44,'[65]geoMap (62)'!$A:$B,2,0)*VLOOKUP(A44,'[65]geoMap (62)'!$A:$C,3,0)</f>
        <v>#REF!</v>
      </c>
      <c r="BM44" s="1" t="e">
        <f>BL44/VLOOKUP(A44,'[66]geoMap (63)'!$A:$B,2,0)*VLOOKUP(A44,'[66]geoMap (63)'!$A:$C,3,0)</f>
        <v>#REF!</v>
      </c>
      <c r="BN44" s="4" t="e">
        <f>BM44/VLOOKUP(A44,'[67]geoMap (64)'!$A:$B,2,0)*VLOOKUP(A44,'[67]geoMap (64)'!$A:$C,3,0)</f>
        <v>#REF!</v>
      </c>
      <c r="BO44" s="1" t="e">
        <f>BN44/VLOOKUP(A44,'[68]geoMap (65)'!$A:$B,2,0)*VLOOKUP(A44,'[68]geoMap (65)'!$A:$C,3,0)</f>
        <v>#REF!</v>
      </c>
      <c r="BP44" s="4" t="e">
        <f>BO44/VLOOKUP(A44,'[69]geoMap (66)'!$A:$B,2,0)*VLOOKUP(A44,'[69]geoMap (66)'!$A:$C,3,0)</f>
        <v>#REF!</v>
      </c>
    </row>
    <row r="45" spans="1:68" x14ac:dyDescent="0.2">
      <c r="A45" s="1" t="s">
        <v>123</v>
      </c>
      <c r="B45" s="1">
        <f>VLOOKUP(A45,[3]geoMap!$A:$B,2,0)*Notes!$C$6</f>
        <v>5000</v>
      </c>
      <c r="C45" s="1">
        <f>B45/VLOOKUP(A45,'[4]geoMap (1)'!$A:$B,2,0)*VLOOKUP(A45,'[4]geoMap (1)'!$A:$C,3,0)</f>
        <v>4090.9090909090905</v>
      </c>
      <c r="D45" s="1">
        <f>C45/VLOOKUP(A45,'[5]geoMap (2)'!$A:$B,2,0)*VLOOKUP(A45,'[5]geoMap (2)'!$A:$C,3,0)</f>
        <v>3930.481283422459</v>
      </c>
      <c r="E45" s="1">
        <f>D45/VLOOKUP(A45,'[6]geoMap (3)'!$A:$B,2,0)*VLOOKUP(A45,'[6]geoMap (3)'!$A:$C,3,0)</f>
        <v>3088.2352941176459</v>
      </c>
      <c r="F45" s="1">
        <f>E45/VLOOKUP(A45,'[7]geoMap (4)'!$A:$B,2,0)*VLOOKUP(A45,'[7]geoMap (4)'!$A:$C,3,0)</f>
        <v>2426.4705882352932</v>
      </c>
      <c r="G45" s="1">
        <f>F45/VLOOKUP(A45,'[8]geoMap (5)'!$A:$B,2,0)*VLOOKUP(A45,'[8]geoMap (5)'!$A:$C,3,0)</f>
        <v>2628.6764705882347</v>
      </c>
      <c r="H45" s="1">
        <f>G45/VLOOKUP(A45,'[9]geoMap (6)'!$A:$B,2,0)*VLOOKUP(A45,'[9]geoMap (6)'!$A:$C,3,0)</f>
        <v>1752.4509803921567</v>
      </c>
      <c r="I45" s="1">
        <f>H45/VLOOKUP(A45,'[10]geoMap (7)'!$A:$B,2,0)*VLOOKUP(A45,'[10]geoMap (7)'!$A:$C,3,0)</f>
        <v>1554.0603033666293</v>
      </c>
      <c r="J45" s="1">
        <f>I45/VLOOKUP(A45,'[11]geoMap (8)'!$A:$B,2,0)*VLOOKUP(A45,'[11]geoMap (8)'!$A:$C,3,0)</f>
        <v>912.70208292960763</v>
      </c>
      <c r="K45" s="1">
        <f>J45/VLOOKUP(A45,'[12]geoMap (9)'!$A:$B,2,0)*VLOOKUP(A45,'[12]geoMap (9)'!$A:$C,3,0)</f>
        <v>746.75624966967894</v>
      </c>
      <c r="L45" s="1">
        <f>K45/VLOOKUP(A45,'[13]geoMap (10)'!$A:$B,2,0)*VLOOKUP(A45,'[13]geoMap (10)'!$A:$C,3,0)</f>
        <v>335.49918463420357</v>
      </c>
      <c r="M45" s="1">
        <f>L45/VLOOKUP(A45,'[14]geoMap (11)'!$A:$B,2,0)*VLOOKUP(A45,'[14]geoMap (11)'!$A:$C,3,0)</f>
        <v>524.75513494067741</v>
      </c>
      <c r="N45" s="1">
        <f>M45/VLOOKUP(A45,'[15]geoMap (12)'!$A:$B,2,0)*VLOOKUP(A45,'[15]geoMap (12)'!$A:$C,3,0)</f>
        <v>504.17650219790568</v>
      </c>
      <c r="O45" s="1">
        <f>N45/VLOOKUP(A45,'[16]geoMap (13)'!$A:$B,2,0)*VLOOKUP(A45,'[16]geoMap (13)'!$A:$C,3,0)</f>
        <v>336.11766813193714</v>
      </c>
      <c r="P45" s="1">
        <f>O45/VLOOKUP(A45,'[17]geoMap (14)'!$A:$B,2,0)*VLOOKUP(A45,'[17]geoMap (14)'!$A:$C,3,0)</f>
        <v>310.26246289101886</v>
      </c>
      <c r="Q45" s="1">
        <f>P45/VLOOKUP(A45,'[18]geoMap (15)'!$A:$B,2,0)*VLOOKUP(A45,'[18]geoMap (15)'!$A:$C,3,0)</f>
        <v>485.28231375261925</v>
      </c>
      <c r="R45" s="1">
        <f>Q45/VLOOKUP(A45,'[19]geoMap (16)'!$A:$B,2,0)*VLOOKUP(A45,'[19]geoMap (16)'!$A:$C,3,0)</f>
        <v>121.32057843815481</v>
      </c>
      <c r="S45" s="1">
        <f>R45/VLOOKUP(A45,'[20]geoMap (17)'!$A:$B,2,0)*VLOOKUP(A45,'[20]geoMap (17)'!$A:$C,3,0)</f>
        <v>121.32057843815481</v>
      </c>
      <c r="T45" s="1">
        <f>S45/VLOOKUP(A45,'[21]geoMap (18)'!$A:$B,2,0)*VLOOKUP(A45,'[21]geoMap (18)'!$A:$C,3,0)</f>
        <v>91.522541628783472</v>
      </c>
      <c r="U45" s="1" t="e">
        <f>T45/VLOOKUP(A45,'[22]geoMap (19)'!$A:$B,2,0)*VLOOKUP(A45,'[22]geoMap (19)'!$A:$C,3,0)</f>
        <v>#REF!</v>
      </c>
      <c r="V45" s="1" t="e">
        <f>U45/VLOOKUP(A45,'[23]geoMap (20)'!$A:$B,2,0)*VLOOKUP(A45,'[23]geoMap (20)'!$A:$C,3,0)</f>
        <v>#REF!</v>
      </c>
      <c r="W45" s="1" t="e">
        <f>V45/VLOOKUP(A45,'[24]geoMap (21)'!$A:$B,2,0)*VLOOKUP(A45,'[24]geoMap (21)'!$A:$C,3,0)</f>
        <v>#REF!</v>
      </c>
      <c r="X45" s="1" t="e">
        <f>W45/VLOOKUP(A45,'[25]geoMap (22)'!$A:$B,2,0)*VLOOKUP(A45,'[25]geoMap (22)'!$A:$C,3,0)</f>
        <v>#REF!</v>
      </c>
      <c r="Y45" s="1" t="e">
        <f>X45/VLOOKUP(A45,'[26]geoMap (23)'!$A:$B,2,0)*VLOOKUP(A45,'[26]geoMap (23)'!$A:$C,3,0)</f>
        <v>#REF!</v>
      </c>
      <c r="Z45" s="1" t="e">
        <f>Y45/VLOOKUP(A45,'[27]geoMap (24)'!$A:$B,2,0)*VLOOKUP(A45,'[27]geoMap (24)'!$A:$C,3,0)</f>
        <v>#REF!</v>
      </c>
      <c r="AA45" s="1" t="e">
        <f>Z45/VLOOKUP(A45,'[28]geoMap (25)'!$A:$B,2,0)*VLOOKUP(A45,'[28]geoMap (25)'!$A:$C,3,0)</f>
        <v>#REF!</v>
      </c>
      <c r="AB45" s="1" t="e">
        <f>AA45*VLOOKUP(A45,'[29]geoMap (26)'!$A:$B,2,0)*VLOOKUP(A45,'[29]geoMap (26)'!$A:$C,3,0)</f>
        <v>#REF!</v>
      </c>
      <c r="AC45" s="1" t="e">
        <f>AB45/VLOOKUP(A45,'[30]geoMap (27)'!$A:$B,2,0)*VLOOKUP(A45,'[30]geoMap (27)'!$A:$C,3,0)</f>
        <v>#REF!</v>
      </c>
      <c r="AD45" s="1" t="e">
        <f>AC45/VLOOKUP(A45,'[31]geoMap (28)'!$A:$B,2,0)*VLOOKUP(A45,'[31]geoMap (28)'!$A:$C,3,0)</f>
        <v>#REF!</v>
      </c>
      <c r="AE45" s="1" t="e">
        <f>AD45/VLOOKUP(A45,'[32]geoMap (29)'!$A:$B,2,0)*VLOOKUP(A45,'[32]geoMap (29)'!$A:$C,3,0)</f>
        <v>#REF!</v>
      </c>
      <c r="AF45" s="1" t="e">
        <f>AE45/VLOOKUP(A45,'[33]geoMap (30)'!$A:$B,2,0)*VLOOKUP(A45,'[33]geoMap (30)'!$A:$C,3,0)</f>
        <v>#REF!</v>
      </c>
      <c r="AG45" s="1" t="e">
        <f>AF45/VLOOKUP(A45,'[34]geoMap (31)'!$A:$B,2,0)*VLOOKUP(A45,'[34]geoMap (31)'!$A:$C,3,0)</f>
        <v>#REF!</v>
      </c>
      <c r="AH45" s="1" t="e">
        <f>AG45/VLOOKUP(A45,'[35]geoMap (32)'!$A:$B,2,0)*VLOOKUP(A45,'[35]geoMap (32)'!$A:$C,3,0)</f>
        <v>#REF!</v>
      </c>
      <c r="AI45" s="1" t="e">
        <f>AH45/VLOOKUP(A45,'[36]geoMap (33)'!$A:$B,2,0)*VLOOKUP(A45,'[36]geoMap (33)'!$A:$C,3,0)</f>
        <v>#REF!</v>
      </c>
      <c r="AJ45" s="1" t="e">
        <f>AI45/VLOOKUP(A45,'[37]geoMap (34)'!$A:$B,2,0)*VLOOKUP(A45,'[37]geoMap (34)'!$A:$C,3,0)</f>
        <v>#REF!</v>
      </c>
      <c r="AK45" s="1" t="e">
        <f>AJ45/VLOOKUP(A45,'[38]geoMap (35)'!$A:$B,2,0)*VLOOKUP(A45,'[38]geoMap (35)'!$A:$C,3,0)</f>
        <v>#REF!</v>
      </c>
      <c r="AL45" s="1" t="e">
        <f>AK45/VLOOKUP(A45,'[39]geoMap (36)'!$A:$B,2,0)*VLOOKUP(A45,'[39]geoMap (36)'!$A:$C,3,0)</f>
        <v>#REF!</v>
      </c>
      <c r="AM45" s="1" t="e">
        <f>AL45/VLOOKUP(A45,'[40]geoMap (37)'!$A:$B,2,0)*VLOOKUP(A45,'[40]geoMap (37)'!$A:$C,3,0)</f>
        <v>#REF!</v>
      </c>
      <c r="AN45" s="1" t="e">
        <f>AM45/VLOOKUP(A45,'[41]geoMap (38)'!$A:$B,2,0)*VLOOKUP(A45,'[41]geoMap (38)'!$A:$C,3,0)</f>
        <v>#REF!</v>
      </c>
      <c r="AO45" s="1" t="e">
        <f>AN45/VLOOKUP(A45,'[42]geoMap (39)'!$A:$B,2,0)*VLOOKUP(A45,'[42]geoMap (39)'!$A:$C,3,0)</f>
        <v>#REF!</v>
      </c>
      <c r="AP45" s="1" t="e">
        <f>AO45/VLOOKUP(A45,'[43]geoMap (40)'!$A:$B,2,0)*VLOOKUP(A45,'[43]geoMap (40)'!$A:$C,3,0)</f>
        <v>#REF!</v>
      </c>
      <c r="AQ45" s="1" t="e">
        <f>AP45/VLOOKUP(A45,'[44]geoMap (41)'!$A:$B,2,0)*VLOOKUP(A45,'[44]geoMap (41)'!$A:$C,3,0)</f>
        <v>#REF!</v>
      </c>
      <c r="AR45" s="1" t="e">
        <f>AQ45/VLOOKUP(A45,'[45]geoMap (42)'!$A:$B,2,0)*VLOOKUP(A45,'[45]geoMap (42)'!$A:$C,3,0)</f>
        <v>#REF!</v>
      </c>
      <c r="AS45" s="1" t="e">
        <f>AR45/VLOOKUP(A45,'[46]geoMap (43)'!$A:$B,2,0)*VLOOKUP(A45,'[46]geoMap (43)'!$A:$C,3,0)</f>
        <v>#REF!</v>
      </c>
      <c r="AT45" s="1" t="e">
        <f>AS45/VLOOKUP(A45,'[47]geoMap (44)'!$A:$B,2,0)*VLOOKUP(A45,'[47]geoMap (44)'!$A:$C,3,0)</f>
        <v>#REF!</v>
      </c>
      <c r="AU45" s="1" t="e">
        <f>AT45/VLOOKUP(A45,'[48]geoMap (45)'!$A:$B,2,0)*VLOOKUP(A45,'[48]geoMap (45)'!$A:$C,3,0)</f>
        <v>#REF!</v>
      </c>
      <c r="AV45" s="1" t="e">
        <f>AU45/VLOOKUP(A45,'[49]geoMap (46)'!$A:$B,2,0)*VLOOKUP(A45,'[49]geoMap (46)'!$A:$C,3,0)</f>
        <v>#REF!</v>
      </c>
      <c r="AW45" s="1" t="e">
        <f>AV45/VLOOKUP(A45,'[50]geoMap (47)'!$A:$B,2,0)*VLOOKUP(A45,'[50]geoMap (47)'!$A:$C,3,0)</f>
        <v>#REF!</v>
      </c>
      <c r="AX45" s="4" t="e">
        <f>AW45/VLOOKUP(A45,'[51]geoMap (48)'!$A:$B,2,0)*VLOOKUP(A45,'[51]geoMap (48)'!$A:$C,3,0)</f>
        <v>#REF!</v>
      </c>
      <c r="AY45" s="1" t="e">
        <f>AX45/VLOOKUP(A45,'[52]geoMap (49)'!$A:$B,2,0)*VLOOKUP(A45,'[52]geoMap (49)'!$A:$C,3,0)</f>
        <v>#REF!</v>
      </c>
      <c r="AZ45" s="4" t="e">
        <f>AY45/VLOOKUP(A45,'[53]geoMap (50)'!$A:$B,2,0)*VLOOKUP(A45,'[53]geoMap (50)'!$A:$C,3,0)</f>
        <v>#REF!</v>
      </c>
      <c r="BA45" s="1" t="e">
        <f>AZ45/VLOOKUP(A45,'[54]geoMap (51)'!$A:$B,2,0)*VLOOKUP(A45,'[54]geoMap (51)'!$A:$C,3,0)</f>
        <v>#REF!</v>
      </c>
      <c r="BB45" s="4" t="e">
        <f>BA45/VLOOKUP(A45,'[55]geoMap (52)'!$A:$B,2,0)*VLOOKUP(A45,'[55]geoMap (52)'!$A:$C,3,0)</f>
        <v>#REF!</v>
      </c>
      <c r="BC45" s="1" t="e">
        <f>BB45/VLOOKUP(A45,'[56]geoMap (53)'!$A:$B,2,0)*VLOOKUP(A45,'[56]geoMap (53)'!$A:$C,3,0)</f>
        <v>#REF!</v>
      </c>
      <c r="BD45" s="4" t="e">
        <f>BC45/VLOOKUP(A45,'[57]geoMap (54)'!$A:$B,2,0)*VLOOKUP(A45,'[57]geoMap (54)'!$A:$C,3,0)</f>
        <v>#REF!</v>
      </c>
      <c r="BE45" s="1" t="e">
        <f>BD45/VLOOKUP(A45,'[58]geoMap (55)'!$A:$B,2,0)*VLOOKUP(A45,'[58]geoMap (55)'!$A:$C,3,0)</f>
        <v>#REF!</v>
      </c>
      <c r="BF45" s="4" t="e">
        <f>BE45/VLOOKUP(A45,'[59]geoMap (56)'!$A:$B,2,0)*VLOOKUP(A45,'[59]geoMap (56)'!$A:$C,3,0)</f>
        <v>#REF!</v>
      </c>
      <c r="BG45" s="1" t="e">
        <f>BF45/VLOOKUP(A45,'[60]geoMap (57)'!$A:$B,2,0)*VLOOKUP(A45,'[60]geoMap (57)'!$A:$C,3,0)</f>
        <v>#REF!</v>
      </c>
      <c r="BH45" s="4" t="e">
        <f>BG45/VLOOKUP(A45,'[61]geoMap (58)'!$A:$B,2,0)*VLOOKUP(A45,'[61]geoMap (58)'!$A:$C,3,0)</f>
        <v>#REF!</v>
      </c>
      <c r="BI45" s="1" t="e">
        <f>BH45/VLOOKUP(A45,'[62]geoMap (59)'!$A:$B,2,0)*VLOOKUP(A45,'[62]geoMap (59)'!$A:$C,3,0)</f>
        <v>#REF!</v>
      </c>
      <c r="BJ45" s="4" t="e">
        <f>BI45/VLOOKUP(A45,'[63]geoMap (60)'!$A:$B,2,0)*VLOOKUP(A45,'[63]geoMap (60)'!$A:$C,3,0)</f>
        <v>#REF!</v>
      </c>
      <c r="BK45" s="1" t="e">
        <f>BJ45/VLOOKUP(A45,'[64]geoMap (61)'!$A:$B,2,0)*VLOOKUP(A45,'[64]geoMap (61)'!$A:$C,3,0)</f>
        <v>#REF!</v>
      </c>
      <c r="BL45" s="4" t="e">
        <f>BK45/VLOOKUP(A45,'[65]geoMap (62)'!$A:$B,2,0)*VLOOKUP(A45,'[65]geoMap (62)'!$A:$C,3,0)</f>
        <v>#REF!</v>
      </c>
      <c r="BM45" s="1" t="e">
        <f>BL45/VLOOKUP(A45,'[66]geoMap (63)'!$A:$B,2,0)*VLOOKUP(A45,'[66]geoMap (63)'!$A:$C,3,0)</f>
        <v>#REF!</v>
      </c>
      <c r="BN45" s="4" t="e">
        <f>BM45/VLOOKUP(A45,'[67]geoMap (64)'!$A:$B,2,0)*VLOOKUP(A45,'[67]geoMap (64)'!$A:$C,3,0)</f>
        <v>#REF!</v>
      </c>
      <c r="BO45" s="1" t="e">
        <f>BN45/VLOOKUP(A45,'[68]geoMap (65)'!$A:$B,2,0)*VLOOKUP(A45,'[68]geoMap (65)'!$A:$C,3,0)</f>
        <v>#REF!</v>
      </c>
      <c r="BP45" s="4" t="e">
        <f>BO45/VLOOKUP(A45,'[69]geoMap (66)'!$A:$B,2,0)*VLOOKUP(A45,'[69]geoMap (66)'!$A:$C,3,0)</f>
        <v>#REF!</v>
      </c>
    </row>
    <row r="46" spans="1:68" x14ac:dyDescent="0.2">
      <c r="A46" s="1" t="s">
        <v>126</v>
      </c>
      <c r="B46" s="1">
        <f>VLOOKUP(A46,[3]geoMap!$A:$B,2,0)*Notes!$C$6</f>
        <v>5000</v>
      </c>
      <c r="C46" s="1">
        <f>B46/VLOOKUP(A46,'[4]geoMap (1)'!$A:$B,2,0)*VLOOKUP(A46,'[4]geoMap (1)'!$A:$C,3,0)</f>
        <v>3771.9298245614041</v>
      </c>
      <c r="D46" s="1">
        <f>C46/VLOOKUP(A46,'[5]geoMap (2)'!$A:$B,2,0)*VLOOKUP(A46,'[5]geoMap (2)'!$A:$C,3,0)</f>
        <v>3925.8861439312573</v>
      </c>
      <c r="E46" s="1">
        <f>D46/VLOOKUP(A46,'[6]geoMap (3)'!$A:$B,2,0)*VLOOKUP(A46,'[6]geoMap (3)'!$A:$C,3,0)</f>
        <v>5421.4618178098308</v>
      </c>
      <c r="F46" s="1">
        <f>E46/VLOOKUP(A46,'[7]geoMap (4)'!$A:$B,2,0)*VLOOKUP(A46,'[7]geoMap (4)'!$A:$C,3,0)</f>
        <v>5208.8554720133661</v>
      </c>
      <c r="G46" s="1">
        <f>F46/VLOOKUP(A46,'[8]geoMap (5)'!$A:$B,2,0)*VLOOKUP(A46,'[8]geoMap (5)'!$A:$C,3,0)</f>
        <v>3059.1690867380084</v>
      </c>
      <c r="H46" s="1">
        <f>G46/VLOOKUP(A46,'[9]geoMap (6)'!$A:$B,2,0)*VLOOKUP(A46,'[9]geoMap (6)'!$A:$C,3,0)</f>
        <v>1249.5197678225668</v>
      </c>
      <c r="I46" s="1">
        <f>H46/VLOOKUP(A46,'[10]geoMap (7)'!$A:$B,2,0)*VLOOKUP(A46,'[10]geoMap (7)'!$A:$C,3,0)</f>
        <v>1108.0646997671818</v>
      </c>
      <c r="J46" s="1">
        <f>I46/VLOOKUP(A46,'[11]geoMap (8)'!$A:$B,2,0)*VLOOKUP(A46,'[11]geoMap (8)'!$A:$C,3,0)</f>
        <v>1064.6111821292532</v>
      </c>
      <c r="K46" s="1">
        <f>J46/VLOOKUP(A46,'[12]geoMap (9)'!$A:$B,2,0)*VLOOKUP(A46,'[12]geoMap (9)'!$A:$C,3,0)</f>
        <v>982.71801427315677</v>
      </c>
      <c r="L46" s="1">
        <f>K46/VLOOKUP(A46,'[13]geoMap (10)'!$A:$B,2,0)*VLOOKUP(A46,'[13]geoMap (10)'!$A:$C,3,0)</f>
        <v>602.31104100612833</v>
      </c>
      <c r="M46" s="1">
        <f>L46/VLOOKUP(A46,'[14]geoMap (11)'!$A:$B,2,0)*VLOOKUP(A46,'[14]geoMap (11)'!$A:$C,3,0)</f>
        <v>534.12488542052893</v>
      </c>
      <c r="N46" s="1">
        <f>M46/VLOOKUP(A46,'[15]geoMap (12)'!$A:$B,2,0)*VLOOKUP(A46,'[15]geoMap (12)'!$A:$C,3,0)</f>
        <v>327.36686525774354</v>
      </c>
      <c r="O46" s="1">
        <f>N46/VLOOKUP(A46,'[16]geoMap (13)'!$A:$B,2,0)*VLOOKUP(A46,'[16]geoMap (13)'!$A:$C,3,0)</f>
        <v>302.1847986994556</v>
      </c>
      <c r="P46" s="1">
        <f>O46/VLOOKUP(A46,'[17]geoMap (14)'!$A:$B,2,0)*VLOOKUP(A46,'[17]geoMap (14)'!$A:$C,3,0)</f>
        <v>453.27719804918337</v>
      </c>
      <c r="Q46" s="1">
        <f>P46/VLOOKUP(A46,'[18]geoMap (15)'!$A:$B,2,0)*VLOOKUP(A46,'[18]geoMap (15)'!$A:$C,3,0)</f>
        <v>223.25593336750822</v>
      </c>
      <c r="R46" s="1">
        <f>Q46/VLOOKUP(A46,'[19]geoMap (16)'!$A:$B,2,0)*VLOOKUP(A46,'[19]geoMap (16)'!$A:$C,3,0)</f>
        <v>100.3033903535182</v>
      </c>
      <c r="S46" s="1">
        <f>R46/VLOOKUP(A46,'[20]geoMap (17)'!$A:$B,2,0)*VLOOKUP(A46,'[20]geoMap (17)'!$A:$C,3,0)</f>
        <v>122.59303265430003</v>
      </c>
      <c r="T46" s="1">
        <f>S46/VLOOKUP(A46,'[21]geoMap (18)'!$A:$B,2,0)*VLOOKUP(A46,'[21]geoMap (18)'!$A:$C,3,0)</f>
        <v>47.675068254450018</v>
      </c>
      <c r="U46" s="1">
        <f>T46/VLOOKUP(A46,'[22]geoMap (19)'!$A:$B,2,0)*VLOOKUP(A46,'[22]geoMap (19)'!$A:$C,3,0)</f>
        <v>77.785637678313179</v>
      </c>
      <c r="V46" s="1">
        <f>U46/VLOOKUP(A46,'[23]geoMap (20)'!$A:$B,2,0)*VLOOKUP(A46,'[23]geoMap (20)'!$A:$C,3,0)</f>
        <v>91.313574665845906</v>
      </c>
      <c r="W46" s="1">
        <f>V46/VLOOKUP(A46,'[24]geoMap (21)'!$A:$B,2,0)*VLOOKUP(A46,'[24]geoMap (21)'!$A:$C,3,0)</f>
        <v>22.828393666461476</v>
      </c>
      <c r="X46" s="1">
        <f>W46/VLOOKUP(A46,'[25]geoMap (22)'!$A:$B,2,0)*VLOOKUP(A46,'[25]geoMap (22)'!$A:$C,3,0)</f>
        <v>44.313940646660505</v>
      </c>
      <c r="Y46" s="1">
        <f>X46/VLOOKUP(A46,'[26]geoMap (23)'!$A:$B,2,0)*VLOOKUP(A46,'[26]geoMap (23)'!$A:$C,3,0)</f>
        <v>28.331863692127207</v>
      </c>
      <c r="Z46" s="1">
        <f>Y46/VLOOKUP(A46,'[27]geoMap (24)'!$A:$B,2,0)*VLOOKUP(A46,'[27]geoMap (24)'!$A:$C,3,0)</f>
        <v>25.124482896792049</v>
      </c>
      <c r="AA46" s="1">
        <f>Z46/VLOOKUP(A46,'[28]geoMap (25)'!$A:$B,2,0)*VLOOKUP(A46,'[28]geoMap (25)'!$A:$C,3,0)</f>
        <v>18.953557273018564</v>
      </c>
      <c r="AB46" s="1">
        <f>AA46*VLOOKUP(A46,'[29]geoMap (26)'!$A:$B,2,0)*VLOOKUP(A46,'[29]geoMap (26)'!$A:$C,3,0)</f>
        <v>4.6170865517073212</v>
      </c>
      <c r="AC46" s="1">
        <f>AB46/VLOOKUP(A46,'[30]geoMap (27)'!$A:$B,2,0)*VLOOKUP(A46,'[30]geoMap (27)'!$A:$C,3,0)</f>
        <v>3.7776162695787168</v>
      </c>
      <c r="AD46" s="1">
        <f>AC46/VLOOKUP(A46,'[31]geoMap (28)'!$A:$B,2,0)*VLOOKUP(A46,'[31]geoMap (28)'!$A:$C,3,0)</f>
        <v>3.0907769478371319</v>
      </c>
      <c r="AE46" s="1">
        <f>AD46/VLOOKUP(A46,'[32]geoMap (29)'!$A:$B,2,0)*VLOOKUP(A46,'[32]geoMap (29)'!$A:$C,3,0)</f>
        <v>2.3316387501227487</v>
      </c>
      <c r="AF46" s="1">
        <f>AE46/VLOOKUP(A46,'[33]geoMap (30)'!$A:$B,2,0)*VLOOKUP(A46,'[33]geoMap (30)'!$A:$C,3,0)</f>
        <v>1.8320018750964453</v>
      </c>
      <c r="AG46" s="1">
        <f>AF46/VLOOKUP(A46,'[34]geoMap (31)'!$A:$B,2,0)*VLOOKUP(A46,'[34]geoMap (31)'!$A:$C,3,0)</f>
        <v>6.4952793753419424</v>
      </c>
      <c r="AH46" s="1">
        <f>AG46/VLOOKUP(A46,'[35]geoMap (32)'!$A:$B,2,0)*VLOOKUP(A46,'[35]geoMap (32)'!$A:$C,3,0)</f>
        <v>2.402363604578527</v>
      </c>
      <c r="AI46" s="1">
        <f>AH46/VLOOKUP(A46,'[36]geoMap (33)'!$A:$B,2,0)*VLOOKUP(A46,'[36]geoMap (33)'!$A:$C,3,0)</f>
        <v>1.9655702219278857</v>
      </c>
      <c r="AJ46" s="1">
        <f>AI46/VLOOKUP(A46,'[37]geoMap (34)'!$A:$B,2,0)*VLOOKUP(A46,'[37]geoMap (34)'!$A:$C,3,0)</f>
        <v>1.3659047304922596</v>
      </c>
      <c r="AK46" s="1">
        <f>AJ46/VLOOKUP(A46,'[38]geoMap (35)'!$A:$B,2,0)*VLOOKUP(A46,'[38]geoMap (35)'!$A:$C,3,0)</f>
        <v>3.6930016787383315</v>
      </c>
      <c r="AL46" s="1" t="e">
        <f>AK46/VLOOKUP(A46,'[39]geoMap (36)'!$A:$B,2,0)*VLOOKUP(A46,'[39]geoMap (36)'!$A:$C,3,0)</f>
        <v>#REF!</v>
      </c>
      <c r="AM46" s="1" t="e">
        <f>AL46/VLOOKUP(A46,'[40]geoMap (37)'!$A:$B,2,0)*VLOOKUP(A46,'[40]geoMap (37)'!$A:$C,3,0)</f>
        <v>#REF!</v>
      </c>
      <c r="AN46" s="1" t="e">
        <f>AM46/VLOOKUP(A46,'[41]geoMap (38)'!$A:$B,2,0)*VLOOKUP(A46,'[41]geoMap (38)'!$A:$C,3,0)</f>
        <v>#REF!</v>
      </c>
      <c r="AO46" s="1" t="e">
        <f>AN46/VLOOKUP(A46,'[42]geoMap (39)'!$A:$B,2,0)*VLOOKUP(A46,'[42]geoMap (39)'!$A:$C,3,0)</f>
        <v>#REF!</v>
      </c>
      <c r="AP46" s="1" t="e">
        <f>AO46/VLOOKUP(A46,'[43]geoMap (40)'!$A:$B,2,0)*VLOOKUP(A46,'[43]geoMap (40)'!$A:$C,3,0)</f>
        <v>#REF!</v>
      </c>
      <c r="AQ46" s="1" t="e">
        <f>AP46/VLOOKUP(A46,'[44]geoMap (41)'!$A:$B,2,0)*VLOOKUP(A46,'[44]geoMap (41)'!$A:$C,3,0)</f>
        <v>#REF!</v>
      </c>
      <c r="AR46" s="1" t="e">
        <f>AQ46/VLOOKUP(A46,'[45]geoMap (42)'!$A:$B,2,0)*VLOOKUP(A46,'[45]geoMap (42)'!$A:$C,3,0)</f>
        <v>#REF!</v>
      </c>
      <c r="AS46" s="1" t="e">
        <f>AR46/VLOOKUP(A46,'[46]geoMap (43)'!$A:$B,2,0)*VLOOKUP(A46,'[46]geoMap (43)'!$A:$C,3,0)</f>
        <v>#REF!</v>
      </c>
      <c r="AT46" s="1" t="e">
        <f>AS46/VLOOKUP(A46,'[47]geoMap (44)'!$A:$B,2,0)*VLOOKUP(A46,'[47]geoMap (44)'!$A:$C,3,0)</f>
        <v>#REF!</v>
      </c>
      <c r="AU46" s="1" t="e">
        <f>AT46/VLOOKUP(A46,'[48]geoMap (45)'!$A:$B,2,0)*VLOOKUP(A46,'[48]geoMap (45)'!$A:$C,3,0)</f>
        <v>#REF!</v>
      </c>
      <c r="AV46" s="1" t="e">
        <f>AU46/VLOOKUP(A46,'[49]geoMap (46)'!$A:$B,2,0)*VLOOKUP(A46,'[49]geoMap (46)'!$A:$C,3,0)</f>
        <v>#REF!</v>
      </c>
      <c r="AW46" s="1" t="e">
        <f>AV46/VLOOKUP(A46,'[50]geoMap (47)'!$A:$B,2,0)*VLOOKUP(A46,'[50]geoMap (47)'!$A:$C,3,0)</f>
        <v>#REF!</v>
      </c>
      <c r="AX46" s="4" t="e">
        <f>AW46/VLOOKUP(A46,'[51]geoMap (48)'!$A:$B,2,0)*VLOOKUP(A46,'[51]geoMap (48)'!$A:$C,3,0)</f>
        <v>#REF!</v>
      </c>
      <c r="AY46" s="1" t="e">
        <f>AX46/VLOOKUP(A46,'[52]geoMap (49)'!$A:$B,2,0)*VLOOKUP(A46,'[52]geoMap (49)'!$A:$C,3,0)</f>
        <v>#REF!</v>
      </c>
      <c r="AZ46" s="4" t="e">
        <f>AY46/VLOOKUP(A46,'[53]geoMap (50)'!$A:$B,2,0)*VLOOKUP(A46,'[53]geoMap (50)'!$A:$C,3,0)</f>
        <v>#REF!</v>
      </c>
      <c r="BA46" s="1" t="e">
        <f>AZ46/VLOOKUP(A46,'[54]geoMap (51)'!$A:$B,2,0)*VLOOKUP(A46,'[54]geoMap (51)'!$A:$C,3,0)</f>
        <v>#REF!</v>
      </c>
      <c r="BB46" s="4" t="e">
        <f>BA46/VLOOKUP(A46,'[55]geoMap (52)'!$A:$B,2,0)*VLOOKUP(A46,'[55]geoMap (52)'!$A:$C,3,0)</f>
        <v>#REF!</v>
      </c>
      <c r="BC46" s="1" t="e">
        <f>BB46/VLOOKUP(A46,'[56]geoMap (53)'!$A:$B,2,0)*VLOOKUP(A46,'[56]geoMap (53)'!$A:$C,3,0)</f>
        <v>#REF!</v>
      </c>
      <c r="BD46" s="4" t="e">
        <f>BC46/VLOOKUP(A46,'[57]geoMap (54)'!$A:$B,2,0)*VLOOKUP(A46,'[57]geoMap (54)'!$A:$C,3,0)</f>
        <v>#REF!</v>
      </c>
      <c r="BE46" s="1" t="e">
        <f>BD46/VLOOKUP(A46,'[58]geoMap (55)'!$A:$B,2,0)*VLOOKUP(A46,'[58]geoMap (55)'!$A:$C,3,0)</f>
        <v>#REF!</v>
      </c>
      <c r="BF46" s="4" t="e">
        <f>BE46/VLOOKUP(A46,'[59]geoMap (56)'!$A:$B,2,0)*VLOOKUP(A46,'[59]geoMap (56)'!$A:$C,3,0)</f>
        <v>#REF!</v>
      </c>
      <c r="BG46" s="1" t="e">
        <f>BF46/VLOOKUP(A46,'[60]geoMap (57)'!$A:$B,2,0)*VLOOKUP(A46,'[60]geoMap (57)'!$A:$C,3,0)</f>
        <v>#REF!</v>
      </c>
      <c r="BH46" s="4" t="e">
        <f>BG46/VLOOKUP(A46,'[61]geoMap (58)'!$A:$B,2,0)*VLOOKUP(A46,'[61]geoMap (58)'!$A:$C,3,0)</f>
        <v>#REF!</v>
      </c>
      <c r="BI46" s="1" t="e">
        <f>BH46/VLOOKUP(A46,'[62]geoMap (59)'!$A:$B,2,0)*VLOOKUP(A46,'[62]geoMap (59)'!$A:$C,3,0)</f>
        <v>#REF!</v>
      </c>
      <c r="BJ46" s="4" t="e">
        <f>BI46/VLOOKUP(A46,'[63]geoMap (60)'!$A:$B,2,0)*VLOOKUP(A46,'[63]geoMap (60)'!$A:$C,3,0)</f>
        <v>#REF!</v>
      </c>
      <c r="BK46" s="1" t="e">
        <f>BJ46/VLOOKUP(A46,'[64]geoMap (61)'!$A:$B,2,0)*VLOOKUP(A46,'[64]geoMap (61)'!$A:$C,3,0)</f>
        <v>#REF!</v>
      </c>
      <c r="BL46" s="4" t="e">
        <f>BK46/VLOOKUP(A46,'[65]geoMap (62)'!$A:$B,2,0)*VLOOKUP(A46,'[65]geoMap (62)'!$A:$C,3,0)</f>
        <v>#REF!</v>
      </c>
      <c r="BM46" s="1" t="e">
        <f>BL46/VLOOKUP(A46,'[66]geoMap (63)'!$A:$B,2,0)*VLOOKUP(A46,'[66]geoMap (63)'!$A:$C,3,0)</f>
        <v>#REF!</v>
      </c>
      <c r="BN46" s="4" t="e">
        <f>BM46/VLOOKUP(A46,'[67]geoMap (64)'!$A:$B,2,0)*VLOOKUP(A46,'[67]geoMap (64)'!$A:$C,3,0)</f>
        <v>#REF!</v>
      </c>
      <c r="BO46" s="1" t="e">
        <f>BN46/VLOOKUP(A46,'[68]geoMap (65)'!$A:$B,2,0)*VLOOKUP(A46,'[68]geoMap (65)'!$A:$C,3,0)</f>
        <v>#REF!</v>
      </c>
      <c r="BP46" s="4" t="e">
        <f>BO46/VLOOKUP(A46,'[69]geoMap (66)'!$A:$B,2,0)*VLOOKUP(A46,'[69]geoMap (66)'!$A:$C,3,0)</f>
        <v>#REF!</v>
      </c>
    </row>
    <row r="47" spans="1:68" x14ac:dyDescent="0.2">
      <c r="A47" s="1" t="s">
        <v>122</v>
      </c>
      <c r="B47" s="1">
        <f>VLOOKUP(A47,[3]geoMap!$A:$B,2,0)*Notes!$C$6</f>
        <v>5000</v>
      </c>
      <c r="C47" s="1">
        <f>B47/VLOOKUP(A47,'[4]geoMap (1)'!$A:$B,2,0)*VLOOKUP(A47,'[4]geoMap (1)'!$A:$C,3,0)</f>
        <v>3620.6896551724139</v>
      </c>
      <c r="D47" s="1">
        <f>C47/VLOOKUP(A47,'[5]geoMap (2)'!$A:$B,2,0)*VLOOKUP(A47,'[5]geoMap (2)'!$A:$C,3,0)</f>
        <v>4608.1504702194361</v>
      </c>
      <c r="E47" s="1">
        <f>D47/VLOOKUP(A47,'[6]geoMap (3)'!$A:$B,2,0)*VLOOKUP(A47,'[6]geoMap (3)'!$A:$C,3,0)</f>
        <v>2824.3502881990094</v>
      </c>
      <c r="F47" s="1">
        <f>E47/VLOOKUP(A47,'[7]geoMap (4)'!$A:$B,2,0)*VLOOKUP(A47,'[7]geoMap (4)'!$A:$C,3,0)</f>
        <v>2939.6298917989693</v>
      </c>
      <c r="G47" s="1">
        <f>F47/VLOOKUP(A47,'[8]geoMap (5)'!$A:$B,2,0)*VLOOKUP(A47,'[8]geoMap (5)'!$A:$C,3,0)</f>
        <v>3059.6147853417847</v>
      </c>
      <c r="H47" s="1">
        <f>G47/VLOOKUP(A47,'[9]geoMap (6)'!$A:$B,2,0)*VLOOKUP(A47,'[9]geoMap (6)'!$A:$C,3,0)</f>
        <v>1875.247771661094</v>
      </c>
      <c r="I47" s="1">
        <f>H47/VLOOKUP(A47,'[10]geoMap (7)'!$A:$B,2,0)*VLOOKUP(A47,'[10]geoMap (7)'!$A:$C,3,0)</f>
        <v>1250.1651811073962</v>
      </c>
      <c r="J47" s="1">
        <f>I47/VLOOKUP(A47,'[11]geoMap (8)'!$A:$B,2,0)*VLOOKUP(A47,'[11]geoMap (8)'!$A:$C,3,0)</f>
        <v>868.75885466785155</v>
      </c>
      <c r="K47" s="1">
        <f>J47/VLOOKUP(A47,'[12]geoMap (9)'!$A:$B,2,0)*VLOOKUP(A47,'[12]geoMap (9)'!$A:$C,3,0)</f>
        <v>1019.8473511318257</v>
      </c>
      <c r="L47" s="1" t="e">
        <f>K47/VLOOKUP(A47,'[13]geoMap (10)'!$A:$B,2,0)*VLOOKUP(A47,'[13]geoMap (10)'!$A:$C,3,0)</f>
        <v>#REF!</v>
      </c>
      <c r="M47" s="1" t="e">
        <f>L47/VLOOKUP(A47,'[14]geoMap (11)'!$A:$B,2,0)*VLOOKUP(A47,'[14]geoMap (11)'!$A:$C,3,0)</f>
        <v>#REF!</v>
      </c>
      <c r="N47" s="1" t="e">
        <f>M47/VLOOKUP(A47,'[15]geoMap (12)'!$A:$B,2,0)*VLOOKUP(A47,'[15]geoMap (12)'!$A:$C,3,0)</f>
        <v>#REF!</v>
      </c>
      <c r="O47" s="1" t="e">
        <f>N47/VLOOKUP(A47,'[16]geoMap (13)'!$A:$B,2,0)*VLOOKUP(A47,'[16]geoMap (13)'!$A:$C,3,0)</f>
        <v>#REF!</v>
      </c>
      <c r="P47" s="1" t="e">
        <f>O47/VLOOKUP(A47,'[17]geoMap (14)'!$A:$B,2,0)*VLOOKUP(A47,'[17]geoMap (14)'!$A:$C,3,0)</f>
        <v>#REF!</v>
      </c>
      <c r="Q47" s="1" t="e">
        <f>P47/VLOOKUP(A47,'[18]geoMap (15)'!$A:$B,2,0)*VLOOKUP(A47,'[18]geoMap (15)'!$A:$C,3,0)</f>
        <v>#REF!</v>
      </c>
      <c r="R47" s="1" t="e">
        <f>Q47/VLOOKUP(A47,'[19]geoMap (16)'!$A:$B,2,0)*VLOOKUP(A47,'[19]geoMap (16)'!$A:$C,3,0)</f>
        <v>#REF!</v>
      </c>
      <c r="S47" s="1" t="e">
        <f>R47/VLOOKUP(A47,'[20]geoMap (17)'!$A:$B,2,0)*VLOOKUP(A47,'[20]geoMap (17)'!$A:$C,3,0)</f>
        <v>#REF!</v>
      </c>
      <c r="T47" s="1" t="e">
        <f>S47/VLOOKUP(A47,'[21]geoMap (18)'!$A:$B,2,0)*VLOOKUP(A47,'[21]geoMap (18)'!$A:$C,3,0)</f>
        <v>#REF!</v>
      </c>
      <c r="U47" s="1" t="e">
        <f>T47/VLOOKUP(A47,'[22]geoMap (19)'!$A:$B,2,0)*VLOOKUP(A47,'[22]geoMap (19)'!$A:$C,3,0)</f>
        <v>#REF!</v>
      </c>
      <c r="V47" s="1" t="e">
        <f>U47/VLOOKUP(A47,'[23]geoMap (20)'!$A:$B,2,0)*VLOOKUP(A47,'[23]geoMap (20)'!$A:$C,3,0)</f>
        <v>#REF!</v>
      </c>
      <c r="W47" s="1" t="e">
        <f>V47/VLOOKUP(A47,'[24]geoMap (21)'!$A:$B,2,0)*VLOOKUP(A47,'[24]geoMap (21)'!$A:$C,3,0)</f>
        <v>#REF!</v>
      </c>
      <c r="X47" s="1" t="e">
        <f>W47/VLOOKUP(A47,'[25]geoMap (22)'!$A:$B,2,0)*VLOOKUP(A47,'[25]geoMap (22)'!$A:$C,3,0)</f>
        <v>#REF!</v>
      </c>
      <c r="Y47" s="1" t="e">
        <f>X47/VLOOKUP(A47,'[26]geoMap (23)'!$A:$B,2,0)*VLOOKUP(A47,'[26]geoMap (23)'!$A:$C,3,0)</f>
        <v>#REF!</v>
      </c>
      <c r="Z47" s="1" t="e">
        <f>Y47/VLOOKUP(A47,'[27]geoMap (24)'!$A:$B,2,0)*VLOOKUP(A47,'[27]geoMap (24)'!$A:$C,3,0)</f>
        <v>#REF!</v>
      </c>
      <c r="AA47" s="1" t="e">
        <f>Z47/VLOOKUP(A47,'[28]geoMap (25)'!$A:$B,2,0)*VLOOKUP(A47,'[28]geoMap (25)'!$A:$C,3,0)</f>
        <v>#REF!</v>
      </c>
      <c r="AB47" s="1" t="e">
        <f>AA47*VLOOKUP(A47,'[29]geoMap (26)'!$A:$B,2,0)*VLOOKUP(A47,'[29]geoMap (26)'!$A:$C,3,0)</f>
        <v>#REF!</v>
      </c>
      <c r="AC47" s="1" t="e">
        <f>AB47/VLOOKUP(A47,'[30]geoMap (27)'!$A:$B,2,0)*VLOOKUP(A47,'[30]geoMap (27)'!$A:$C,3,0)</f>
        <v>#REF!</v>
      </c>
      <c r="AD47" s="1" t="e">
        <f>AC47/VLOOKUP(A47,'[31]geoMap (28)'!$A:$B,2,0)*VLOOKUP(A47,'[31]geoMap (28)'!$A:$C,3,0)</f>
        <v>#REF!</v>
      </c>
      <c r="AE47" s="1" t="e">
        <f>AD47/VLOOKUP(A47,'[32]geoMap (29)'!$A:$B,2,0)*VLOOKUP(A47,'[32]geoMap (29)'!$A:$C,3,0)</f>
        <v>#REF!</v>
      </c>
      <c r="AF47" s="1" t="e">
        <f>AE47/VLOOKUP(A47,'[33]geoMap (30)'!$A:$B,2,0)*VLOOKUP(A47,'[33]geoMap (30)'!$A:$C,3,0)</f>
        <v>#REF!</v>
      </c>
      <c r="AG47" s="1" t="e">
        <f>AF47/VLOOKUP(A47,'[34]geoMap (31)'!$A:$B,2,0)*VLOOKUP(A47,'[34]geoMap (31)'!$A:$C,3,0)</f>
        <v>#REF!</v>
      </c>
      <c r="AH47" s="1" t="e">
        <f>AG47/VLOOKUP(A47,'[35]geoMap (32)'!$A:$B,2,0)*VLOOKUP(A47,'[35]geoMap (32)'!$A:$C,3,0)</f>
        <v>#REF!</v>
      </c>
      <c r="AI47" s="1" t="e">
        <f>AH47/VLOOKUP(A47,'[36]geoMap (33)'!$A:$B,2,0)*VLOOKUP(A47,'[36]geoMap (33)'!$A:$C,3,0)</f>
        <v>#REF!</v>
      </c>
      <c r="AJ47" s="1" t="e">
        <f>AI47/VLOOKUP(A47,'[37]geoMap (34)'!$A:$B,2,0)*VLOOKUP(A47,'[37]geoMap (34)'!$A:$C,3,0)</f>
        <v>#REF!</v>
      </c>
      <c r="AK47" s="1" t="e">
        <f>AJ47/VLOOKUP(A47,'[38]geoMap (35)'!$A:$B,2,0)*VLOOKUP(A47,'[38]geoMap (35)'!$A:$C,3,0)</f>
        <v>#REF!</v>
      </c>
      <c r="AL47" s="1" t="e">
        <f>AK47/VLOOKUP(A47,'[39]geoMap (36)'!$A:$B,2,0)*VLOOKUP(A47,'[39]geoMap (36)'!$A:$C,3,0)</f>
        <v>#REF!</v>
      </c>
      <c r="AM47" s="1" t="e">
        <f>AL47/VLOOKUP(A47,'[40]geoMap (37)'!$A:$B,2,0)*VLOOKUP(A47,'[40]geoMap (37)'!$A:$C,3,0)</f>
        <v>#REF!</v>
      </c>
      <c r="AN47" s="1" t="e">
        <f>AM47/VLOOKUP(A47,'[41]geoMap (38)'!$A:$B,2,0)*VLOOKUP(A47,'[41]geoMap (38)'!$A:$C,3,0)</f>
        <v>#REF!</v>
      </c>
      <c r="AO47" s="1" t="e">
        <f>AN47/VLOOKUP(A47,'[42]geoMap (39)'!$A:$B,2,0)*VLOOKUP(A47,'[42]geoMap (39)'!$A:$C,3,0)</f>
        <v>#REF!</v>
      </c>
      <c r="AP47" s="1" t="e">
        <f>AO47/VLOOKUP(A47,'[43]geoMap (40)'!$A:$B,2,0)*VLOOKUP(A47,'[43]geoMap (40)'!$A:$C,3,0)</f>
        <v>#REF!</v>
      </c>
      <c r="AQ47" s="1" t="e">
        <f>AP47/VLOOKUP(A47,'[44]geoMap (41)'!$A:$B,2,0)*VLOOKUP(A47,'[44]geoMap (41)'!$A:$C,3,0)</f>
        <v>#REF!</v>
      </c>
      <c r="AR47" s="1" t="e">
        <f>AQ47/VLOOKUP(A47,'[45]geoMap (42)'!$A:$B,2,0)*VLOOKUP(A47,'[45]geoMap (42)'!$A:$C,3,0)</f>
        <v>#REF!</v>
      </c>
      <c r="AS47" s="1" t="e">
        <f>AR47/VLOOKUP(A47,'[46]geoMap (43)'!$A:$B,2,0)*VLOOKUP(A47,'[46]geoMap (43)'!$A:$C,3,0)</f>
        <v>#REF!</v>
      </c>
      <c r="AT47" s="1" t="e">
        <f>AS47/VLOOKUP(A47,'[47]geoMap (44)'!$A:$B,2,0)*VLOOKUP(A47,'[47]geoMap (44)'!$A:$C,3,0)</f>
        <v>#REF!</v>
      </c>
      <c r="AU47" s="1" t="e">
        <f>AT47/VLOOKUP(A47,'[48]geoMap (45)'!$A:$B,2,0)*VLOOKUP(A47,'[48]geoMap (45)'!$A:$C,3,0)</f>
        <v>#REF!</v>
      </c>
      <c r="AV47" s="1" t="e">
        <f>AU47/VLOOKUP(A47,'[49]geoMap (46)'!$A:$B,2,0)*VLOOKUP(A47,'[49]geoMap (46)'!$A:$C,3,0)</f>
        <v>#REF!</v>
      </c>
      <c r="AW47" s="1" t="e">
        <f>AV47/VLOOKUP(A47,'[50]geoMap (47)'!$A:$B,2,0)*VLOOKUP(A47,'[50]geoMap (47)'!$A:$C,3,0)</f>
        <v>#REF!</v>
      </c>
      <c r="AX47" s="4" t="e">
        <f>AW47/VLOOKUP(A47,'[51]geoMap (48)'!$A:$B,2,0)*VLOOKUP(A47,'[51]geoMap (48)'!$A:$C,3,0)</f>
        <v>#REF!</v>
      </c>
      <c r="AY47" s="1" t="e">
        <f>AX47/VLOOKUP(A47,'[52]geoMap (49)'!$A:$B,2,0)*VLOOKUP(A47,'[52]geoMap (49)'!$A:$C,3,0)</f>
        <v>#REF!</v>
      </c>
      <c r="AZ47" s="4" t="e">
        <f>AY47/VLOOKUP(A47,'[53]geoMap (50)'!$A:$B,2,0)*VLOOKUP(A47,'[53]geoMap (50)'!$A:$C,3,0)</f>
        <v>#REF!</v>
      </c>
      <c r="BA47" s="1" t="e">
        <f>AZ47/VLOOKUP(A47,'[54]geoMap (51)'!$A:$B,2,0)*VLOOKUP(A47,'[54]geoMap (51)'!$A:$C,3,0)</f>
        <v>#REF!</v>
      </c>
      <c r="BB47" s="4" t="e">
        <f>BA47/VLOOKUP(A47,'[55]geoMap (52)'!$A:$B,2,0)*VLOOKUP(A47,'[55]geoMap (52)'!$A:$C,3,0)</f>
        <v>#REF!</v>
      </c>
      <c r="BC47" s="1" t="e">
        <f>BB47/VLOOKUP(A47,'[56]geoMap (53)'!$A:$B,2,0)*VLOOKUP(A47,'[56]geoMap (53)'!$A:$C,3,0)</f>
        <v>#REF!</v>
      </c>
      <c r="BD47" s="4" t="e">
        <f>BC47/VLOOKUP(A47,'[57]geoMap (54)'!$A:$B,2,0)*VLOOKUP(A47,'[57]geoMap (54)'!$A:$C,3,0)</f>
        <v>#REF!</v>
      </c>
      <c r="BE47" s="1" t="e">
        <f>BD47/VLOOKUP(A47,'[58]geoMap (55)'!$A:$B,2,0)*VLOOKUP(A47,'[58]geoMap (55)'!$A:$C,3,0)</f>
        <v>#REF!</v>
      </c>
      <c r="BF47" s="4" t="e">
        <f>BE47/VLOOKUP(A47,'[59]geoMap (56)'!$A:$B,2,0)*VLOOKUP(A47,'[59]geoMap (56)'!$A:$C,3,0)</f>
        <v>#REF!</v>
      </c>
      <c r="BG47" s="1" t="e">
        <f>BF47/VLOOKUP(A47,'[60]geoMap (57)'!$A:$B,2,0)*VLOOKUP(A47,'[60]geoMap (57)'!$A:$C,3,0)</f>
        <v>#REF!</v>
      </c>
      <c r="BH47" s="4" t="e">
        <f>BG47/VLOOKUP(A47,'[61]geoMap (58)'!$A:$B,2,0)*VLOOKUP(A47,'[61]geoMap (58)'!$A:$C,3,0)</f>
        <v>#REF!</v>
      </c>
      <c r="BI47" s="1" t="e">
        <f>BH47/VLOOKUP(A47,'[62]geoMap (59)'!$A:$B,2,0)*VLOOKUP(A47,'[62]geoMap (59)'!$A:$C,3,0)</f>
        <v>#REF!</v>
      </c>
      <c r="BJ47" s="4" t="e">
        <f>BI47/VLOOKUP(A47,'[63]geoMap (60)'!$A:$B,2,0)*VLOOKUP(A47,'[63]geoMap (60)'!$A:$C,3,0)</f>
        <v>#REF!</v>
      </c>
      <c r="BK47" s="1" t="e">
        <f>BJ47/VLOOKUP(A47,'[64]geoMap (61)'!$A:$B,2,0)*VLOOKUP(A47,'[64]geoMap (61)'!$A:$C,3,0)</f>
        <v>#REF!</v>
      </c>
      <c r="BL47" s="4" t="e">
        <f>BK47/VLOOKUP(A47,'[65]geoMap (62)'!$A:$B,2,0)*VLOOKUP(A47,'[65]geoMap (62)'!$A:$C,3,0)</f>
        <v>#REF!</v>
      </c>
      <c r="BM47" s="1" t="e">
        <f>BL47/VLOOKUP(A47,'[66]geoMap (63)'!$A:$B,2,0)*VLOOKUP(A47,'[66]geoMap (63)'!$A:$C,3,0)</f>
        <v>#REF!</v>
      </c>
      <c r="BN47" s="4" t="e">
        <f>BM47/VLOOKUP(A47,'[67]geoMap (64)'!$A:$B,2,0)*VLOOKUP(A47,'[67]geoMap (64)'!$A:$C,3,0)</f>
        <v>#REF!</v>
      </c>
      <c r="BO47" s="1" t="e">
        <f>BN47/VLOOKUP(A47,'[68]geoMap (65)'!$A:$B,2,0)*VLOOKUP(A47,'[68]geoMap (65)'!$A:$C,3,0)</f>
        <v>#REF!</v>
      </c>
      <c r="BP47" s="4" t="e">
        <f>BO47/VLOOKUP(A47,'[69]geoMap (66)'!$A:$B,2,0)*VLOOKUP(A47,'[69]geoMap (66)'!$A:$C,3,0)</f>
        <v>#REF!</v>
      </c>
    </row>
    <row r="48" spans="1:68" x14ac:dyDescent="0.2">
      <c r="A48" s="1" t="s">
        <v>98</v>
      </c>
      <c r="B48" s="1">
        <f>VLOOKUP(A48,[3]geoMap!$A:$B,2,0)*Notes!$C$6</f>
        <v>5000</v>
      </c>
      <c r="C48" s="1">
        <f>B48/VLOOKUP(A48,'[4]geoMap (1)'!$A:$B,2,0)*VLOOKUP(A48,'[4]geoMap (1)'!$A:$C,3,0)</f>
        <v>3196.7213114754099</v>
      </c>
      <c r="D48" s="1">
        <f>C48/VLOOKUP(A48,'[5]geoMap (2)'!$A:$B,2,0)*VLOOKUP(A48,'[5]geoMap (2)'!$A:$C,3,0)</f>
        <v>7115.2829190904285</v>
      </c>
      <c r="E48" s="1">
        <f>D48/VLOOKUP(A48,'[6]geoMap (3)'!$A:$B,2,0)*VLOOKUP(A48,'[6]geoMap (3)'!$A:$C,3,0)</f>
        <v>2125.3442485594787</v>
      </c>
      <c r="F48" s="1">
        <f>E48/VLOOKUP(A48,'[7]geoMap (4)'!$A:$B,2,0)*VLOOKUP(A48,'[7]geoMap (4)'!$A:$C,3,0)</f>
        <v>2302.4562692727686</v>
      </c>
      <c r="G48" s="1">
        <f>F48/VLOOKUP(A48,'[8]geoMap (5)'!$A:$B,2,0)*VLOOKUP(A48,'[8]geoMap (5)'!$A:$C,3,0)</f>
        <v>2702.883446537598</v>
      </c>
      <c r="H48" s="1">
        <f>G48/VLOOKUP(A48,'[9]geoMap (6)'!$A:$B,2,0)*VLOOKUP(A48,'[9]geoMap (6)'!$A:$C,3,0)</f>
        <v>2039.017336861697</v>
      </c>
      <c r="I48" s="1">
        <f>H48/VLOOKUP(A48,'[10]geoMap (7)'!$A:$B,2,0)*VLOOKUP(A48,'[10]geoMap (7)'!$A:$C,3,0)</f>
        <v>1959.0558726710422</v>
      </c>
      <c r="J48" s="1">
        <f>I48/VLOOKUP(A48,'[11]geoMap (8)'!$A:$B,2,0)*VLOOKUP(A48,'[11]geoMap (8)'!$A:$C,3,0)</f>
        <v>1959.0558726710422</v>
      </c>
      <c r="K48" s="1">
        <f>J48/VLOOKUP(A48,'[12]geoMap (9)'!$A:$B,2,0)*VLOOKUP(A48,'[12]geoMap (9)'!$A:$C,3,0)</f>
        <v>1054.8762391305611</v>
      </c>
      <c r="L48" s="1">
        <f>K48/VLOOKUP(A48,'[13]geoMap (10)'!$A:$B,2,0)*VLOOKUP(A48,'[13]geoMap (10)'!$A:$C,3,0)</f>
        <v>315.09290259744034</v>
      </c>
      <c r="M48" s="1">
        <f>L48/VLOOKUP(A48,'[14]geoMap (11)'!$A:$B,2,0)*VLOOKUP(A48,'[14]geoMap (11)'!$A:$C,3,0)</f>
        <v>341.35064448056039</v>
      </c>
      <c r="N48" s="1">
        <f>M48/VLOOKUP(A48,'[15]geoMap (12)'!$A:$B,2,0)*VLOOKUP(A48,'[15]geoMap (12)'!$A:$C,3,0)</f>
        <v>581.21866492635957</v>
      </c>
      <c r="O48" s="1">
        <f>N48/VLOOKUP(A48,'[16]geoMap (13)'!$A:$B,2,0)*VLOOKUP(A48,'[16]geoMap (13)'!$A:$C,3,0)</f>
        <v>204.21196335250474</v>
      </c>
      <c r="P48" s="1">
        <f>O48/VLOOKUP(A48,'[17]geoMap (14)'!$A:$B,2,0)*VLOOKUP(A48,'[17]geoMap (14)'!$A:$C,3,0)</f>
        <v>167.08251547023116</v>
      </c>
      <c r="Q48" s="1">
        <f>P48/VLOOKUP(A48,'[18]geoMap (15)'!$A:$B,2,0)*VLOOKUP(A48,'[18]geoMap (15)'!$A:$C,3,0)</f>
        <v>212.65047423483966</v>
      </c>
      <c r="R48" s="1">
        <f>Q48/VLOOKUP(A48,'[19]geoMap (16)'!$A:$B,2,0)*VLOOKUP(A48,'[19]geoMap (16)'!$A:$C,3,0)</f>
        <v>34.617519061485531</v>
      </c>
      <c r="S48" s="1">
        <f>R48/VLOOKUP(A48,'[20]geoMap (17)'!$A:$B,2,0)*VLOOKUP(A48,'[20]geoMap (17)'!$A:$C,3,0)</f>
        <v>181.74197507279902</v>
      </c>
      <c r="T48" s="1">
        <f>S48/VLOOKUP(A48,'[21]geoMap (18)'!$A:$B,2,0)*VLOOKUP(A48,'[21]geoMap (18)'!$A:$C,3,0)</f>
        <v>81.652191699373489</v>
      </c>
      <c r="U48" s="1">
        <f>T48/VLOOKUP(A48,'[22]geoMap (19)'!$A:$B,2,0)*VLOOKUP(A48,'[22]geoMap (19)'!$A:$C,3,0)</f>
        <v>16.723942878184936</v>
      </c>
      <c r="V48" s="1">
        <f>U48/VLOOKUP(A48,'[23]geoMap (20)'!$A:$B,2,0)*VLOOKUP(A48,'[23]geoMap (20)'!$A:$C,3,0)</f>
        <v>18.117604784700347</v>
      </c>
      <c r="W48" s="1">
        <f>V48/VLOOKUP(A48,'[24]geoMap (21)'!$A:$B,2,0)*VLOOKUP(A48,'[24]geoMap (21)'!$A:$C,3,0)</f>
        <v>32.209075172800617</v>
      </c>
      <c r="X48" s="1">
        <f>W48/VLOOKUP(A48,'[25]geoMap (22)'!$A:$B,2,0)*VLOOKUP(A48,'[25]geoMap (22)'!$A:$C,3,0)</f>
        <v>21.472716781867078</v>
      </c>
      <c r="Y48" s="1">
        <f>X48/VLOOKUP(A48,'[26]geoMap (23)'!$A:$B,2,0)*VLOOKUP(A48,'[26]geoMap (23)'!$A:$C,3,0)</f>
        <v>35.034432644098914</v>
      </c>
      <c r="Z48" s="1">
        <f>Y48/VLOOKUP(A48,'[27]geoMap (24)'!$A:$B,2,0)*VLOOKUP(A48,'[27]geoMap (24)'!$A:$C,3,0)</f>
        <v>15.014756847470963</v>
      </c>
      <c r="AA48" s="1">
        <f>Z48/VLOOKUP(A48,'[28]geoMap (25)'!$A:$B,2,0)*VLOOKUP(A48,'[28]geoMap (25)'!$A:$C,3,0)</f>
        <v>18.35136948024229</v>
      </c>
      <c r="AB48" s="1">
        <f>AA48*VLOOKUP(A48,'[29]geoMap (26)'!$A:$B,2,0)*VLOOKUP(A48,'[29]geoMap (26)'!$A:$C,3,0)</f>
        <v>4.2777042258444782</v>
      </c>
      <c r="AC48" s="1">
        <f>AB48/VLOOKUP(A48,'[30]geoMap (27)'!$A:$B,2,0)*VLOOKUP(A48,'[30]geoMap (27)'!$A:$C,3,0)</f>
        <v>2.6218187190659705</v>
      </c>
      <c r="AD48" s="1">
        <f>AC48/VLOOKUP(A48,'[31]geoMap (28)'!$A:$B,2,0)*VLOOKUP(A48,'[31]geoMap (28)'!$A:$C,3,0)</f>
        <v>4.6610110561172808</v>
      </c>
      <c r="AE48" s="1">
        <f>AD48/VLOOKUP(A48,'[32]geoMap (29)'!$A:$B,2,0)*VLOOKUP(A48,'[32]geoMap (29)'!$A:$C,3,0)</f>
        <v>3.516201323035844</v>
      </c>
      <c r="AF48" s="1">
        <f>AE48/VLOOKUP(A48,'[33]geoMap (30)'!$A:$B,2,0)*VLOOKUP(A48,'[33]geoMap (30)'!$A:$C,3,0)</f>
        <v>2.3441342153572293</v>
      </c>
      <c r="AG48" s="1">
        <f>AF48/VLOOKUP(A48,'[34]geoMap (31)'!$A:$B,2,0)*VLOOKUP(A48,'[34]geoMap (31)'!$A:$C,3,0)</f>
        <v>1.2075842927597848</v>
      </c>
      <c r="AH48" s="1">
        <f>AG48/VLOOKUP(A48,'[35]geoMap (32)'!$A:$B,2,0)*VLOOKUP(A48,'[35]geoMap (32)'!$A:$C,3,0)</f>
        <v>3.8240169270726523</v>
      </c>
      <c r="AI48" s="1">
        <f>AH48/VLOOKUP(A48,'[36]geoMap (33)'!$A:$B,2,0)*VLOOKUP(A48,'[36]geoMap (33)'!$A:$C,3,0)</f>
        <v>1.6388643973168511</v>
      </c>
      <c r="AJ48" s="1">
        <f>AI48/VLOOKUP(A48,'[37]geoMap (34)'!$A:$B,2,0)*VLOOKUP(A48,'[37]geoMap (34)'!$A:$C,3,0)</f>
        <v>0.80720186733516541</v>
      </c>
      <c r="AK48" s="1">
        <f>AJ48/VLOOKUP(A48,'[38]geoMap (35)'!$A:$B,2,0)*VLOOKUP(A48,'[38]geoMap (35)'!$A:$C,3,0)</f>
        <v>0.49473662836671434</v>
      </c>
      <c r="AL48" s="1" t="e">
        <f>AK48/VLOOKUP(A48,'[39]geoMap (36)'!$A:$B,2,0)*VLOOKUP(A48,'[39]geoMap (36)'!$A:$C,3,0)</f>
        <v>#REF!</v>
      </c>
      <c r="AM48" s="1" t="e">
        <f>AL48/VLOOKUP(A48,'[40]geoMap (37)'!$A:$B,2,0)*VLOOKUP(A48,'[40]geoMap (37)'!$A:$C,3,0)</f>
        <v>#REF!</v>
      </c>
      <c r="AN48" s="1" t="e">
        <f>AM48/VLOOKUP(A48,'[41]geoMap (38)'!$A:$B,2,0)*VLOOKUP(A48,'[41]geoMap (38)'!$A:$C,3,0)</f>
        <v>#REF!</v>
      </c>
      <c r="AO48" s="1" t="e">
        <f>AN48/VLOOKUP(A48,'[42]geoMap (39)'!$A:$B,2,0)*VLOOKUP(A48,'[42]geoMap (39)'!$A:$C,3,0)</f>
        <v>#REF!</v>
      </c>
      <c r="AP48" s="1" t="e">
        <f>AO48/VLOOKUP(A48,'[43]geoMap (40)'!$A:$B,2,0)*VLOOKUP(A48,'[43]geoMap (40)'!$A:$C,3,0)</f>
        <v>#REF!</v>
      </c>
      <c r="AQ48" s="1" t="e">
        <f>AP48/VLOOKUP(A48,'[44]geoMap (41)'!$A:$B,2,0)*VLOOKUP(A48,'[44]geoMap (41)'!$A:$C,3,0)</f>
        <v>#REF!</v>
      </c>
      <c r="AR48" s="1" t="e">
        <f>AQ48/VLOOKUP(A48,'[45]geoMap (42)'!$A:$B,2,0)*VLOOKUP(A48,'[45]geoMap (42)'!$A:$C,3,0)</f>
        <v>#REF!</v>
      </c>
      <c r="AS48" s="1" t="e">
        <f>AR48/VLOOKUP(A48,'[46]geoMap (43)'!$A:$B,2,0)*VLOOKUP(A48,'[46]geoMap (43)'!$A:$C,3,0)</f>
        <v>#REF!</v>
      </c>
      <c r="AT48" s="1" t="e">
        <f>AS48/VLOOKUP(A48,'[47]geoMap (44)'!$A:$B,2,0)*VLOOKUP(A48,'[47]geoMap (44)'!$A:$C,3,0)</f>
        <v>#REF!</v>
      </c>
      <c r="AU48" s="1" t="e">
        <f>AT48/VLOOKUP(A48,'[48]geoMap (45)'!$A:$B,2,0)*VLOOKUP(A48,'[48]geoMap (45)'!$A:$C,3,0)</f>
        <v>#REF!</v>
      </c>
      <c r="AV48" s="1" t="e">
        <f>AU48/VLOOKUP(A48,'[49]geoMap (46)'!$A:$B,2,0)*VLOOKUP(A48,'[49]geoMap (46)'!$A:$C,3,0)</f>
        <v>#REF!</v>
      </c>
      <c r="AW48" s="1" t="e">
        <f>AV48/VLOOKUP(A48,'[50]geoMap (47)'!$A:$B,2,0)*VLOOKUP(A48,'[50]geoMap (47)'!$A:$C,3,0)</f>
        <v>#REF!</v>
      </c>
      <c r="AX48" s="4" t="e">
        <f>AW48/VLOOKUP(A48,'[51]geoMap (48)'!$A:$B,2,0)*VLOOKUP(A48,'[51]geoMap (48)'!$A:$C,3,0)</f>
        <v>#REF!</v>
      </c>
      <c r="AY48" s="1" t="e">
        <f>AX48/VLOOKUP(A48,'[52]geoMap (49)'!$A:$B,2,0)*VLOOKUP(A48,'[52]geoMap (49)'!$A:$C,3,0)</f>
        <v>#REF!</v>
      </c>
      <c r="AZ48" s="4" t="e">
        <f>AY48/VLOOKUP(A48,'[53]geoMap (50)'!$A:$B,2,0)*VLOOKUP(A48,'[53]geoMap (50)'!$A:$C,3,0)</f>
        <v>#REF!</v>
      </c>
      <c r="BA48" s="1" t="e">
        <f>AZ48/VLOOKUP(A48,'[54]geoMap (51)'!$A:$B,2,0)*VLOOKUP(A48,'[54]geoMap (51)'!$A:$C,3,0)</f>
        <v>#REF!</v>
      </c>
      <c r="BB48" s="4" t="e">
        <f>BA48/VLOOKUP(A48,'[55]geoMap (52)'!$A:$B,2,0)*VLOOKUP(A48,'[55]geoMap (52)'!$A:$C,3,0)</f>
        <v>#REF!</v>
      </c>
      <c r="BC48" s="1" t="e">
        <f>BB48/VLOOKUP(A48,'[56]geoMap (53)'!$A:$B,2,0)*VLOOKUP(A48,'[56]geoMap (53)'!$A:$C,3,0)</f>
        <v>#REF!</v>
      </c>
      <c r="BD48" s="4" t="e">
        <f>BC48/VLOOKUP(A48,'[57]geoMap (54)'!$A:$B,2,0)*VLOOKUP(A48,'[57]geoMap (54)'!$A:$C,3,0)</f>
        <v>#REF!</v>
      </c>
      <c r="BE48" s="1" t="e">
        <f>BD48/VLOOKUP(A48,'[58]geoMap (55)'!$A:$B,2,0)*VLOOKUP(A48,'[58]geoMap (55)'!$A:$C,3,0)</f>
        <v>#REF!</v>
      </c>
      <c r="BF48" s="4" t="e">
        <f>BE48/VLOOKUP(A48,'[59]geoMap (56)'!$A:$B,2,0)*VLOOKUP(A48,'[59]geoMap (56)'!$A:$C,3,0)</f>
        <v>#REF!</v>
      </c>
      <c r="BG48" s="1" t="e">
        <f>BF48/VLOOKUP(A48,'[60]geoMap (57)'!$A:$B,2,0)*VLOOKUP(A48,'[60]geoMap (57)'!$A:$C,3,0)</f>
        <v>#REF!</v>
      </c>
      <c r="BH48" s="4" t="e">
        <f>BG48/VLOOKUP(A48,'[61]geoMap (58)'!$A:$B,2,0)*VLOOKUP(A48,'[61]geoMap (58)'!$A:$C,3,0)</f>
        <v>#REF!</v>
      </c>
      <c r="BI48" s="1" t="e">
        <f>BH48/VLOOKUP(A48,'[62]geoMap (59)'!$A:$B,2,0)*VLOOKUP(A48,'[62]geoMap (59)'!$A:$C,3,0)</f>
        <v>#REF!</v>
      </c>
      <c r="BJ48" s="4" t="e">
        <f>BI48/VLOOKUP(A48,'[63]geoMap (60)'!$A:$B,2,0)*VLOOKUP(A48,'[63]geoMap (60)'!$A:$C,3,0)</f>
        <v>#REF!</v>
      </c>
      <c r="BK48" s="1" t="e">
        <f>BJ48/VLOOKUP(A48,'[64]geoMap (61)'!$A:$B,2,0)*VLOOKUP(A48,'[64]geoMap (61)'!$A:$C,3,0)</f>
        <v>#REF!</v>
      </c>
      <c r="BL48" s="4" t="e">
        <f>BK48/VLOOKUP(A48,'[65]geoMap (62)'!$A:$B,2,0)*VLOOKUP(A48,'[65]geoMap (62)'!$A:$C,3,0)</f>
        <v>#REF!</v>
      </c>
      <c r="BM48" s="1" t="e">
        <f>BL48/VLOOKUP(A48,'[66]geoMap (63)'!$A:$B,2,0)*VLOOKUP(A48,'[66]geoMap (63)'!$A:$C,3,0)</f>
        <v>#REF!</v>
      </c>
      <c r="BN48" s="4" t="e">
        <f>BM48/VLOOKUP(A48,'[67]geoMap (64)'!$A:$B,2,0)*VLOOKUP(A48,'[67]geoMap (64)'!$A:$C,3,0)</f>
        <v>#REF!</v>
      </c>
      <c r="BO48" s="1" t="e">
        <f>BN48/VLOOKUP(A48,'[68]geoMap (65)'!$A:$B,2,0)*VLOOKUP(A48,'[68]geoMap (65)'!$A:$C,3,0)</f>
        <v>#REF!</v>
      </c>
      <c r="BP48" s="4" t="e">
        <f>BO48/VLOOKUP(A48,'[69]geoMap (66)'!$A:$B,2,0)*VLOOKUP(A48,'[69]geoMap (66)'!$A:$C,3,0)</f>
        <v>#REF!</v>
      </c>
    </row>
    <row r="49" spans="1:68" x14ac:dyDescent="0.2">
      <c r="A49" s="1" t="s">
        <v>113</v>
      </c>
      <c r="B49" s="1">
        <f>VLOOKUP(A49,[3]geoMap!$A:$B,2,0)*Notes!$C$6</f>
        <v>5000</v>
      </c>
      <c r="C49" s="1">
        <f>B49/VLOOKUP(A49,'[4]geoMap (1)'!$A:$B,2,0)*VLOOKUP(A49,'[4]geoMap (1)'!$A:$C,3,0)</f>
        <v>3064.516129032258</v>
      </c>
      <c r="D49" s="1">
        <f>C49/VLOOKUP(A49,'[5]geoMap (2)'!$A:$B,2,0)*VLOOKUP(A49,'[5]geoMap (2)'!$A:$C,3,0)</f>
        <v>3745.5197132616486</v>
      </c>
      <c r="E49" s="1">
        <f>D49/VLOOKUP(A49,'[6]geoMap (3)'!$A:$B,2,0)*VLOOKUP(A49,'[6]geoMap (3)'!$A:$C,3,0)</f>
        <v>2602.8187837919932</v>
      </c>
      <c r="F49" s="1">
        <f>E49/VLOOKUP(A49,'[7]geoMap (4)'!$A:$B,2,0)*VLOOKUP(A49,'[7]geoMap (4)'!$A:$C,3,0)</f>
        <v>2308.1600535513899</v>
      </c>
      <c r="G49" s="1">
        <f>F49/VLOOKUP(A49,'[8]geoMap (5)'!$A:$B,2,0)*VLOOKUP(A49,'[8]geoMap (5)'!$A:$C,3,0)</f>
        <v>1966.210415988221</v>
      </c>
      <c r="H49" s="1">
        <f>G49/VLOOKUP(A49,'[9]geoMap (6)'!$A:$B,2,0)*VLOOKUP(A49,'[9]geoMap (6)'!$A:$C,3,0)</f>
        <v>883.36989703818631</v>
      </c>
      <c r="I49" s="1">
        <f>H49/VLOOKUP(A49,'[10]geoMap (7)'!$A:$B,2,0)*VLOOKUP(A49,'[10]geoMap (7)'!$A:$C,3,0)</f>
        <v>722.75718848578879</v>
      </c>
      <c r="J49" s="1">
        <f>I49/VLOOKUP(A49,'[11]geoMap (8)'!$A:$B,2,0)*VLOOKUP(A49,'[11]geoMap (8)'!$A:$C,3,0)</f>
        <v>1040.0652224551595</v>
      </c>
      <c r="K49" s="1">
        <f>J49/VLOOKUP(A49,'[12]geoMap (9)'!$A:$B,2,0)*VLOOKUP(A49,'[12]geoMap (9)'!$A:$C,3,0)</f>
        <v>784.6106064135414</v>
      </c>
      <c r="L49" s="1">
        <f>K49/VLOOKUP(A49,'[13]geoMap (10)'!$A:$B,2,0)*VLOOKUP(A49,'[13]geoMap (10)'!$A:$C,3,0)</f>
        <v>369.2285206651959</v>
      </c>
      <c r="M49" s="1">
        <f>L49/VLOOKUP(A49,'[14]geoMap (11)'!$A:$B,2,0)*VLOOKUP(A49,'[14]geoMap (11)'!$A:$C,3,0)</f>
        <v>181.85882361121588</v>
      </c>
      <c r="N49" s="1">
        <f>M49/VLOOKUP(A49,'[15]geoMap (12)'!$A:$B,2,0)*VLOOKUP(A49,'[15]geoMap (12)'!$A:$C,3,0)</f>
        <v>323.30457530882825</v>
      </c>
      <c r="O49" s="1">
        <f>N49/VLOOKUP(A49,'[16]geoMap (13)'!$A:$B,2,0)*VLOOKUP(A49,'[16]geoMap (13)'!$A:$C,3,0)</f>
        <v>286.7040573493382</v>
      </c>
      <c r="P49" s="1">
        <f>O49/VLOOKUP(A49,'[17]geoMap (14)'!$A:$B,2,0)*VLOOKUP(A49,'[17]geoMap (14)'!$A:$C,3,0)</f>
        <v>216.2855169477464</v>
      </c>
      <c r="Q49" s="1">
        <f>P49/VLOOKUP(A49,'[18]geoMap (15)'!$A:$B,2,0)*VLOOKUP(A49,'[18]geoMap (15)'!$A:$C,3,0)</f>
        <v>116.46143220263266</v>
      </c>
      <c r="R49" s="1">
        <f>Q49/VLOOKUP(A49,'[19]geoMap (16)'!$A:$B,2,0)*VLOOKUP(A49,'[19]geoMap (16)'!$A:$C,3,0)</f>
        <v>84.334140560527104</v>
      </c>
      <c r="S49" s="1">
        <f>R49/VLOOKUP(A49,'[20]geoMap (17)'!$A:$B,2,0)*VLOOKUP(A49,'[20]geoMap (17)'!$A:$C,3,0)</f>
        <v>45.410691071053051</v>
      </c>
      <c r="T49" s="1">
        <f>S49/VLOOKUP(A49,'[21]geoMap (18)'!$A:$B,2,0)*VLOOKUP(A49,'[21]geoMap (18)'!$A:$C,3,0)</f>
        <v>51.207800569485357</v>
      </c>
      <c r="U49" s="1">
        <f>T49/VLOOKUP(A49,'[22]geoMap (19)'!$A:$B,2,0)*VLOOKUP(A49,'[22]geoMap (19)'!$A:$C,3,0)</f>
        <v>35.585081751676263</v>
      </c>
      <c r="V49" s="1">
        <f>U49/VLOOKUP(A49,'[23]geoMap (20)'!$A:$B,2,0)*VLOOKUP(A49,'[23]geoMap (20)'!$A:$C,3,0)</f>
        <v>69.076923400312751</v>
      </c>
      <c r="W49" s="1">
        <f>V49/VLOOKUP(A49,'[24]geoMap (21)'!$A:$B,2,0)*VLOOKUP(A49,'[24]geoMap (21)'!$A:$C,3,0)</f>
        <v>16.203228945752372</v>
      </c>
      <c r="X49" s="1">
        <f>W49/VLOOKUP(A49,'[25]geoMap (22)'!$A:$B,2,0)*VLOOKUP(A49,'[25]geoMap (22)'!$A:$C,3,0)</f>
        <v>14.956826719156034</v>
      </c>
      <c r="Y49" s="1">
        <f>X49/VLOOKUP(A49,'[26]geoMap (23)'!$A:$B,2,0)*VLOOKUP(A49,'[26]geoMap (23)'!$A:$C,3,0)</f>
        <v>13.263601052836481</v>
      </c>
      <c r="Z49" s="1">
        <f>Y49/VLOOKUP(A49,'[27]geoMap (24)'!$A:$B,2,0)*VLOOKUP(A49,'[27]geoMap (24)'!$A:$C,3,0)</f>
        <v>18.316401453917045</v>
      </c>
      <c r="AA49" s="1">
        <f>Z49/VLOOKUP(A49,'[28]geoMap (25)'!$A:$B,2,0)*VLOOKUP(A49,'[28]geoMap (25)'!$A:$C,3,0)</f>
        <v>12.728346773060997</v>
      </c>
      <c r="AB49" s="1">
        <f>AA49*VLOOKUP(A49,'[29]geoMap (26)'!$A:$B,2,0)*VLOOKUP(A49,'[29]geoMap (26)'!$A:$C,3,0)</f>
        <v>2.9987984997331707</v>
      </c>
      <c r="AC49" s="1">
        <f>AB49/VLOOKUP(A49,'[30]geoMap (27)'!$A:$B,2,0)*VLOOKUP(A49,'[30]geoMap (27)'!$A:$C,3,0)</f>
        <v>4.4981977495997558</v>
      </c>
      <c r="AD49" s="1">
        <f>AC49/VLOOKUP(A49,'[31]geoMap (28)'!$A:$B,2,0)*VLOOKUP(A49,'[31]geoMap (28)'!$A:$C,3,0)</f>
        <v>1.9277990355427526</v>
      </c>
      <c r="AE49" s="1">
        <f>AD49/VLOOKUP(A49,'[32]geoMap (29)'!$A:$B,2,0)*VLOOKUP(A49,'[32]geoMap (29)'!$A:$C,3,0)</f>
        <v>2.1739010400801253</v>
      </c>
      <c r="AF49" s="1">
        <f>AE49/VLOOKUP(A49,'[33]geoMap (30)'!$A:$B,2,0)*VLOOKUP(A49,'[33]geoMap (30)'!$A:$C,3,0)</f>
        <v>2.4514203217924817</v>
      </c>
      <c r="AG49" s="1">
        <f>AF49/VLOOKUP(A49,'[34]geoMap (31)'!$A:$B,2,0)*VLOOKUP(A49,'[34]geoMap (31)'!$A:$C,3,0)</f>
        <v>0.81714010726416053</v>
      </c>
      <c r="AH49" s="1">
        <f>AG49/VLOOKUP(A49,'[35]geoMap (32)'!$A:$B,2,0)*VLOOKUP(A49,'[35]geoMap (32)'!$A:$C,3,0)</f>
        <v>0.85049276470351398</v>
      </c>
      <c r="AI49" s="1">
        <f>AH49/VLOOKUP(A49,'[36]geoMap (33)'!$A:$B,2,0)*VLOOKUP(A49,'[36]geoMap (33)'!$A:$C,3,0)</f>
        <v>0.8852067550995758</v>
      </c>
      <c r="AJ49" s="1">
        <f>AI49/VLOOKUP(A49,'[37]geoMap (34)'!$A:$B,2,0)*VLOOKUP(A49,'[37]geoMap (34)'!$A:$C,3,0)</f>
        <v>0.85049276470351398</v>
      </c>
      <c r="AK49" s="1">
        <f>AJ49/VLOOKUP(A49,'[38]geoMap (35)'!$A:$B,2,0)*VLOOKUP(A49,'[38]geoMap (35)'!$A:$C,3,0)</f>
        <v>1.2238798321343249</v>
      </c>
      <c r="AL49" s="1">
        <f>AK49/VLOOKUP(A49,'[39]geoMap (36)'!$A:$B,2,0)*VLOOKUP(A49,'[39]geoMap (36)'!$A:$C,3,0)</f>
        <v>11.014918489208924</v>
      </c>
      <c r="AM49" s="1">
        <f>AL49/VLOOKUP(A49,'[40]geoMap (37)'!$A:$B,2,0)*VLOOKUP(A49,'[40]geoMap (37)'!$A:$C,3,0)</f>
        <v>0.82907988628454277</v>
      </c>
      <c r="AN49" s="1">
        <f>AM49/VLOOKUP(A49,'[41]geoMap (38)'!$A:$B,2,0)*VLOOKUP(A49,'[41]geoMap (38)'!$A:$C,3,0)</f>
        <v>1.6093903674935242</v>
      </c>
      <c r="AO49" s="1">
        <f>AN49/VLOOKUP(A49,'[42]geoMap (39)'!$A:$B,2,0)*VLOOKUP(A49,'[42]geoMap (39)'!$A:$C,3,0)</f>
        <v>0.65735662897622815</v>
      </c>
      <c r="AP49" s="1">
        <f>AO49/VLOOKUP(A49,'[43]geoMap (40)'!$A:$B,2,0)*VLOOKUP(A49,'[43]geoMap (40)'!$A:$C,3,0)</f>
        <v>0.87137971748011633</v>
      </c>
      <c r="AQ49" s="1">
        <f>AP49/VLOOKUP(A49,'[44]geoMap (41)'!$A:$B,2,0)*VLOOKUP(A49,'[44]geoMap (41)'!$A:$C,3,0)</f>
        <v>0.53407143974587767</v>
      </c>
      <c r="AR49" s="1">
        <f>AQ49/VLOOKUP(A49,'[45]geoMap (42)'!$A:$B,2,0)*VLOOKUP(A49,'[45]geoMap (42)'!$A:$C,3,0)</f>
        <v>0.65275398191162826</v>
      </c>
      <c r="AS49" s="1">
        <f>AR49/VLOOKUP(A49,'[46]geoMap (43)'!$A:$B,2,0)*VLOOKUP(A49,'[46]geoMap (43)'!$A:$C,3,0)</f>
        <v>0.79781042233643462</v>
      </c>
      <c r="AT49" s="1">
        <f>AS49/VLOOKUP(A49,'[47]geoMap (44)'!$A:$B,2,0)*VLOOKUP(A49,'[47]geoMap (44)'!$A:$C,3,0)</f>
        <v>0.26593680744547821</v>
      </c>
      <c r="AU49" s="1">
        <f>AT49/VLOOKUP(A49,'[48]geoMap (45)'!$A:$B,2,0)*VLOOKUP(A49,'[48]geoMap (45)'!$A:$C,3,0)</f>
        <v>0.47277654656973911</v>
      </c>
      <c r="AV49" s="1">
        <f>AU49/VLOOKUP(A49,'[49]geoMap (46)'!$A:$B,2,0)*VLOOKUP(A49,'[49]geoMap (46)'!$A:$C,3,0)</f>
        <v>0.11819413664243478</v>
      </c>
      <c r="AW49" s="1">
        <f>AV49/VLOOKUP(A49,'[50]geoMap (47)'!$A:$B,2,0)*VLOOKUP(A49,'[50]geoMap (47)'!$A:$C,3,0)</f>
        <v>0.35458240992730433</v>
      </c>
      <c r="AX49" s="4" t="e">
        <f>AW49/VLOOKUP(A49,'[51]geoMap (48)'!$A:$B,2,0)*VLOOKUP(A49,'[51]geoMap (48)'!$A:$C,3,0)</f>
        <v>#REF!</v>
      </c>
      <c r="AY49" s="1" t="e">
        <f>AX49/VLOOKUP(A49,'[52]geoMap (49)'!$A:$B,2,0)*VLOOKUP(A49,'[52]geoMap (49)'!$A:$C,3,0)</f>
        <v>#REF!</v>
      </c>
      <c r="AZ49" s="4" t="e">
        <f>AY49/VLOOKUP(A49,'[53]geoMap (50)'!$A:$B,2,0)*VLOOKUP(A49,'[53]geoMap (50)'!$A:$C,3,0)</f>
        <v>#REF!</v>
      </c>
      <c r="BA49" s="1" t="e">
        <f>AZ49/VLOOKUP(A49,'[54]geoMap (51)'!$A:$B,2,0)*VLOOKUP(A49,'[54]geoMap (51)'!$A:$C,3,0)</f>
        <v>#REF!</v>
      </c>
      <c r="BB49" s="4" t="e">
        <f>BA49/VLOOKUP(A49,'[55]geoMap (52)'!$A:$B,2,0)*VLOOKUP(A49,'[55]geoMap (52)'!$A:$C,3,0)</f>
        <v>#REF!</v>
      </c>
      <c r="BC49" s="1" t="e">
        <f>BB49/VLOOKUP(A49,'[56]geoMap (53)'!$A:$B,2,0)*VLOOKUP(A49,'[56]geoMap (53)'!$A:$C,3,0)</f>
        <v>#REF!</v>
      </c>
      <c r="BD49" s="4" t="e">
        <f>BC49/VLOOKUP(A49,'[57]geoMap (54)'!$A:$B,2,0)*VLOOKUP(A49,'[57]geoMap (54)'!$A:$C,3,0)</f>
        <v>#REF!</v>
      </c>
      <c r="BE49" s="1" t="e">
        <f>BD49/VLOOKUP(A49,'[58]geoMap (55)'!$A:$B,2,0)*VLOOKUP(A49,'[58]geoMap (55)'!$A:$C,3,0)</f>
        <v>#REF!</v>
      </c>
      <c r="BF49" s="4" t="e">
        <f>BE49/VLOOKUP(A49,'[59]geoMap (56)'!$A:$B,2,0)*VLOOKUP(A49,'[59]geoMap (56)'!$A:$C,3,0)</f>
        <v>#REF!</v>
      </c>
      <c r="BG49" s="1" t="e">
        <f>BF49/VLOOKUP(A49,'[60]geoMap (57)'!$A:$B,2,0)*VLOOKUP(A49,'[60]geoMap (57)'!$A:$C,3,0)</f>
        <v>#REF!</v>
      </c>
      <c r="BH49" s="4" t="e">
        <f>BG49/VLOOKUP(A49,'[61]geoMap (58)'!$A:$B,2,0)*VLOOKUP(A49,'[61]geoMap (58)'!$A:$C,3,0)</f>
        <v>#REF!</v>
      </c>
      <c r="BI49" s="1" t="e">
        <f>BH49/VLOOKUP(A49,'[62]geoMap (59)'!$A:$B,2,0)*VLOOKUP(A49,'[62]geoMap (59)'!$A:$C,3,0)</f>
        <v>#REF!</v>
      </c>
      <c r="BJ49" s="4" t="e">
        <f>BI49/VLOOKUP(A49,'[63]geoMap (60)'!$A:$B,2,0)*VLOOKUP(A49,'[63]geoMap (60)'!$A:$C,3,0)</f>
        <v>#REF!</v>
      </c>
      <c r="BK49" s="1" t="e">
        <f>BJ49/VLOOKUP(A49,'[64]geoMap (61)'!$A:$B,2,0)*VLOOKUP(A49,'[64]geoMap (61)'!$A:$C,3,0)</f>
        <v>#REF!</v>
      </c>
      <c r="BL49" s="4" t="e">
        <f>BK49/VLOOKUP(A49,'[65]geoMap (62)'!$A:$B,2,0)*VLOOKUP(A49,'[65]geoMap (62)'!$A:$C,3,0)</f>
        <v>#REF!</v>
      </c>
      <c r="BM49" s="1" t="e">
        <f>BL49/VLOOKUP(A49,'[66]geoMap (63)'!$A:$B,2,0)*VLOOKUP(A49,'[66]geoMap (63)'!$A:$C,3,0)</f>
        <v>#REF!</v>
      </c>
      <c r="BN49" s="4" t="e">
        <f>BM49/VLOOKUP(A49,'[67]geoMap (64)'!$A:$B,2,0)*VLOOKUP(A49,'[67]geoMap (64)'!$A:$C,3,0)</f>
        <v>#REF!</v>
      </c>
      <c r="BO49" s="1" t="e">
        <f>BN49/VLOOKUP(A49,'[68]geoMap (65)'!$A:$B,2,0)*VLOOKUP(A49,'[68]geoMap (65)'!$A:$C,3,0)</f>
        <v>#REF!</v>
      </c>
      <c r="BP49" s="4" t="e">
        <f>BO49/VLOOKUP(A49,'[69]geoMap (66)'!$A:$B,2,0)*VLOOKUP(A49,'[69]geoMap (66)'!$A:$C,3,0)</f>
        <v>#REF!</v>
      </c>
    </row>
    <row r="50" spans="1:68" x14ac:dyDescent="0.2">
      <c r="A50" s="1" t="s">
        <v>110</v>
      </c>
      <c r="B50" s="1">
        <f>VLOOKUP(A50,[3]geoMap!$A:$B,2,0)*Notes!$C$6</f>
        <v>5000</v>
      </c>
      <c r="C50" s="1">
        <f>B50/VLOOKUP(A50,'[4]geoMap (1)'!$A:$B,2,0)*VLOOKUP(A50,'[4]geoMap (1)'!$A:$C,3,0)</f>
        <v>2692.3076923076924</v>
      </c>
      <c r="D50" s="1">
        <f>C50/VLOOKUP(A50,'[5]geoMap (2)'!$A:$B,2,0)*VLOOKUP(A50,'[5]geoMap (2)'!$A:$C,3,0)</f>
        <v>3160.5351170568561</v>
      </c>
      <c r="E50" s="1">
        <f>D50/VLOOKUP(A50,'[6]geoMap (3)'!$A:$B,2,0)*VLOOKUP(A50,'[6]geoMap (3)'!$A:$C,3,0)</f>
        <v>2917.4170311294051</v>
      </c>
      <c r="F50" s="1">
        <f>E50/VLOOKUP(A50,'[7]geoMap (4)'!$A:$B,2,0)*VLOOKUP(A50,'[7]geoMap (4)'!$A:$C,3,0)</f>
        <v>2485.2071005917155</v>
      </c>
      <c r="G50" s="1" t="e">
        <f>F50/VLOOKUP(A50,'[8]geoMap (5)'!$A:$B,2,0)*VLOOKUP(A50,'[8]geoMap (5)'!$A:$C,3,0)</f>
        <v>#REF!</v>
      </c>
      <c r="H50" s="1" t="e">
        <f>G50/VLOOKUP(A50,'[9]geoMap (6)'!$A:$B,2,0)*VLOOKUP(A50,'[9]geoMap (6)'!$A:$C,3,0)</f>
        <v>#REF!</v>
      </c>
      <c r="I50" s="1" t="e">
        <f>H50/VLOOKUP(A50,'[10]geoMap (7)'!$A:$B,2,0)*VLOOKUP(A50,'[10]geoMap (7)'!$A:$C,3,0)</f>
        <v>#REF!</v>
      </c>
      <c r="J50" s="1" t="e">
        <f>I50/VLOOKUP(A50,'[11]geoMap (8)'!$A:$B,2,0)*VLOOKUP(A50,'[11]geoMap (8)'!$A:$C,3,0)</f>
        <v>#REF!</v>
      </c>
      <c r="K50" s="1" t="e">
        <f>J50/VLOOKUP(A50,'[12]geoMap (9)'!$A:$B,2,0)*VLOOKUP(A50,'[12]geoMap (9)'!$A:$C,3,0)</f>
        <v>#REF!</v>
      </c>
      <c r="L50" s="1" t="e">
        <f>K50/VLOOKUP(A50,'[13]geoMap (10)'!$A:$B,2,0)*VLOOKUP(A50,'[13]geoMap (10)'!$A:$C,3,0)</f>
        <v>#REF!</v>
      </c>
      <c r="M50" s="1" t="e">
        <f>L50/VLOOKUP(A50,'[14]geoMap (11)'!$A:$B,2,0)*VLOOKUP(A50,'[14]geoMap (11)'!$A:$C,3,0)</f>
        <v>#REF!</v>
      </c>
      <c r="N50" s="1" t="e">
        <f>M50/VLOOKUP(A50,'[15]geoMap (12)'!$A:$B,2,0)*VLOOKUP(A50,'[15]geoMap (12)'!$A:$C,3,0)</f>
        <v>#REF!</v>
      </c>
      <c r="O50" s="1" t="e">
        <f>N50/VLOOKUP(A50,'[16]geoMap (13)'!$A:$B,2,0)*VLOOKUP(A50,'[16]geoMap (13)'!$A:$C,3,0)</f>
        <v>#REF!</v>
      </c>
      <c r="P50" s="1" t="e">
        <f>O50/VLOOKUP(A50,'[17]geoMap (14)'!$A:$B,2,0)*VLOOKUP(A50,'[17]geoMap (14)'!$A:$C,3,0)</f>
        <v>#REF!</v>
      </c>
      <c r="Q50" s="1" t="e">
        <f>P50/VLOOKUP(A50,'[18]geoMap (15)'!$A:$B,2,0)*VLOOKUP(A50,'[18]geoMap (15)'!$A:$C,3,0)</f>
        <v>#REF!</v>
      </c>
      <c r="R50" s="1" t="e">
        <f>Q50/VLOOKUP(A50,'[19]geoMap (16)'!$A:$B,2,0)*VLOOKUP(A50,'[19]geoMap (16)'!$A:$C,3,0)</f>
        <v>#REF!</v>
      </c>
      <c r="S50" s="1" t="e">
        <f>R50/VLOOKUP(A50,'[20]geoMap (17)'!$A:$B,2,0)*VLOOKUP(A50,'[20]geoMap (17)'!$A:$C,3,0)</f>
        <v>#REF!</v>
      </c>
      <c r="T50" s="1" t="e">
        <f>S50/VLOOKUP(A50,'[21]geoMap (18)'!$A:$B,2,0)*VLOOKUP(A50,'[21]geoMap (18)'!$A:$C,3,0)</f>
        <v>#REF!</v>
      </c>
      <c r="U50" s="1" t="e">
        <f>T50/VLOOKUP(A50,'[22]geoMap (19)'!$A:$B,2,0)*VLOOKUP(A50,'[22]geoMap (19)'!$A:$C,3,0)</f>
        <v>#REF!</v>
      </c>
      <c r="V50" s="1" t="e">
        <f>U50/VLOOKUP(A50,'[23]geoMap (20)'!$A:$B,2,0)*VLOOKUP(A50,'[23]geoMap (20)'!$A:$C,3,0)</f>
        <v>#REF!</v>
      </c>
      <c r="W50" s="1" t="e">
        <f>V50/VLOOKUP(A50,'[24]geoMap (21)'!$A:$B,2,0)*VLOOKUP(A50,'[24]geoMap (21)'!$A:$C,3,0)</f>
        <v>#REF!</v>
      </c>
      <c r="X50" s="1" t="e">
        <f>W50/VLOOKUP(A50,'[25]geoMap (22)'!$A:$B,2,0)*VLOOKUP(A50,'[25]geoMap (22)'!$A:$C,3,0)</f>
        <v>#REF!</v>
      </c>
      <c r="Y50" s="1" t="e">
        <f>X50/VLOOKUP(A50,'[26]geoMap (23)'!$A:$B,2,0)*VLOOKUP(A50,'[26]geoMap (23)'!$A:$C,3,0)</f>
        <v>#REF!</v>
      </c>
      <c r="Z50" s="1" t="e">
        <f>Y50/VLOOKUP(A50,'[27]geoMap (24)'!$A:$B,2,0)*VLOOKUP(A50,'[27]geoMap (24)'!$A:$C,3,0)</f>
        <v>#REF!</v>
      </c>
      <c r="AA50" s="1" t="e">
        <f>Z50/VLOOKUP(A50,'[28]geoMap (25)'!$A:$B,2,0)*VLOOKUP(A50,'[28]geoMap (25)'!$A:$C,3,0)</f>
        <v>#REF!</v>
      </c>
      <c r="AB50" s="1" t="e">
        <f>AA50*VLOOKUP(A50,'[29]geoMap (26)'!$A:$B,2,0)*VLOOKUP(A50,'[29]geoMap (26)'!$A:$C,3,0)</f>
        <v>#REF!</v>
      </c>
      <c r="AC50" s="1" t="e">
        <f>AB50/VLOOKUP(A50,'[30]geoMap (27)'!$A:$B,2,0)*VLOOKUP(A50,'[30]geoMap (27)'!$A:$C,3,0)</f>
        <v>#REF!</v>
      </c>
      <c r="AD50" s="1" t="e">
        <f>AC50/VLOOKUP(A50,'[31]geoMap (28)'!$A:$B,2,0)*VLOOKUP(A50,'[31]geoMap (28)'!$A:$C,3,0)</f>
        <v>#REF!</v>
      </c>
      <c r="AE50" s="1" t="e">
        <f>AD50/VLOOKUP(A50,'[32]geoMap (29)'!$A:$B,2,0)*VLOOKUP(A50,'[32]geoMap (29)'!$A:$C,3,0)</f>
        <v>#REF!</v>
      </c>
      <c r="AF50" s="1" t="e">
        <f>AE50/VLOOKUP(A50,'[33]geoMap (30)'!$A:$B,2,0)*VLOOKUP(A50,'[33]geoMap (30)'!$A:$C,3,0)</f>
        <v>#REF!</v>
      </c>
      <c r="AG50" s="1" t="e">
        <f>AF50/VLOOKUP(A50,'[34]geoMap (31)'!$A:$B,2,0)*VLOOKUP(A50,'[34]geoMap (31)'!$A:$C,3,0)</f>
        <v>#REF!</v>
      </c>
      <c r="AH50" s="1" t="e">
        <f>AG50/VLOOKUP(A50,'[35]geoMap (32)'!$A:$B,2,0)*VLOOKUP(A50,'[35]geoMap (32)'!$A:$C,3,0)</f>
        <v>#REF!</v>
      </c>
      <c r="AI50" s="1" t="e">
        <f>AH50/VLOOKUP(A50,'[36]geoMap (33)'!$A:$B,2,0)*VLOOKUP(A50,'[36]geoMap (33)'!$A:$C,3,0)</f>
        <v>#REF!</v>
      </c>
      <c r="AJ50" s="1" t="e">
        <f>AI50/VLOOKUP(A50,'[37]geoMap (34)'!$A:$B,2,0)*VLOOKUP(A50,'[37]geoMap (34)'!$A:$C,3,0)</f>
        <v>#REF!</v>
      </c>
      <c r="AK50" s="1" t="e">
        <f>AJ50/VLOOKUP(A50,'[38]geoMap (35)'!$A:$B,2,0)*VLOOKUP(A50,'[38]geoMap (35)'!$A:$C,3,0)</f>
        <v>#REF!</v>
      </c>
      <c r="AL50" s="1" t="e">
        <f>AK50/VLOOKUP(A50,'[39]geoMap (36)'!$A:$B,2,0)*VLOOKUP(A50,'[39]geoMap (36)'!$A:$C,3,0)</f>
        <v>#REF!</v>
      </c>
      <c r="AM50" s="1" t="e">
        <f>AL50/VLOOKUP(A50,'[40]geoMap (37)'!$A:$B,2,0)*VLOOKUP(A50,'[40]geoMap (37)'!$A:$C,3,0)</f>
        <v>#REF!</v>
      </c>
      <c r="AN50" s="1" t="e">
        <f>AM50/VLOOKUP(A50,'[41]geoMap (38)'!$A:$B,2,0)*VLOOKUP(A50,'[41]geoMap (38)'!$A:$C,3,0)</f>
        <v>#REF!</v>
      </c>
      <c r="AO50" s="1" t="e">
        <f>AN50/VLOOKUP(A50,'[42]geoMap (39)'!$A:$B,2,0)*VLOOKUP(A50,'[42]geoMap (39)'!$A:$C,3,0)</f>
        <v>#REF!</v>
      </c>
      <c r="AP50" s="1" t="e">
        <f>AO50/VLOOKUP(A50,'[43]geoMap (40)'!$A:$B,2,0)*VLOOKUP(A50,'[43]geoMap (40)'!$A:$C,3,0)</f>
        <v>#REF!</v>
      </c>
      <c r="AQ50" s="1" t="e">
        <f>AP50/VLOOKUP(A50,'[44]geoMap (41)'!$A:$B,2,0)*VLOOKUP(A50,'[44]geoMap (41)'!$A:$C,3,0)</f>
        <v>#REF!</v>
      </c>
      <c r="AR50" s="1" t="e">
        <f>AQ50/VLOOKUP(A50,'[45]geoMap (42)'!$A:$B,2,0)*VLOOKUP(A50,'[45]geoMap (42)'!$A:$C,3,0)</f>
        <v>#REF!</v>
      </c>
      <c r="AS50" s="1" t="e">
        <f>AR50/VLOOKUP(A50,'[46]geoMap (43)'!$A:$B,2,0)*VLOOKUP(A50,'[46]geoMap (43)'!$A:$C,3,0)</f>
        <v>#REF!</v>
      </c>
      <c r="AT50" s="1" t="e">
        <f>AS50/VLOOKUP(A50,'[47]geoMap (44)'!$A:$B,2,0)*VLOOKUP(A50,'[47]geoMap (44)'!$A:$C,3,0)</f>
        <v>#REF!</v>
      </c>
      <c r="AU50" s="1" t="e">
        <f>AT50/VLOOKUP(A50,'[48]geoMap (45)'!$A:$B,2,0)*VLOOKUP(A50,'[48]geoMap (45)'!$A:$C,3,0)</f>
        <v>#REF!</v>
      </c>
      <c r="AV50" s="1" t="e">
        <f>AU50/VLOOKUP(A50,'[49]geoMap (46)'!$A:$B,2,0)*VLOOKUP(A50,'[49]geoMap (46)'!$A:$C,3,0)</f>
        <v>#REF!</v>
      </c>
      <c r="AW50" s="1" t="e">
        <f>AV50/VLOOKUP(A50,'[50]geoMap (47)'!$A:$B,2,0)*VLOOKUP(A50,'[50]geoMap (47)'!$A:$C,3,0)</f>
        <v>#REF!</v>
      </c>
      <c r="AX50" s="4" t="e">
        <f>AW50/VLOOKUP(A50,'[51]geoMap (48)'!$A:$B,2,0)*VLOOKUP(A50,'[51]geoMap (48)'!$A:$C,3,0)</f>
        <v>#REF!</v>
      </c>
      <c r="AY50" s="1" t="e">
        <f>AX50/VLOOKUP(A50,'[52]geoMap (49)'!$A:$B,2,0)*VLOOKUP(A50,'[52]geoMap (49)'!$A:$C,3,0)</f>
        <v>#REF!</v>
      </c>
      <c r="AZ50" s="4" t="e">
        <f>AY50/VLOOKUP(A50,'[53]geoMap (50)'!$A:$B,2,0)*VLOOKUP(A50,'[53]geoMap (50)'!$A:$C,3,0)</f>
        <v>#REF!</v>
      </c>
      <c r="BA50" s="1" t="e">
        <f>AZ50/VLOOKUP(A50,'[54]geoMap (51)'!$A:$B,2,0)*VLOOKUP(A50,'[54]geoMap (51)'!$A:$C,3,0)</f>
        <v>#REF!</v>
      </c>
      <c r="BB50" s="4" t="e">
        <f>BA50/VLOOKUP(A50,'[55]geoMap (52)'!$A:$B,2,0)*VLOOKUP(A50,'[55]geoMap (52)'!$A:$C,3,0)</f>
        <v>#REF!</v>
      </c>
      <c r="BC50" s="1" t="e">
        <f>BB50/VLOOKUP(A50,'[56]geoMap (53)'!$A:$B,2,0)*VLOOKUP(A50,'[56]geoMap (53)'!$A:$C,3,0)</f>
        <v>#REF!</v>
      </c>
      <c r="BD50" s="4" t="e">
        <f>BC50/VLOOKUP(A50,'[57]geoMap (54)'!$A:$B,2,0)*VLOOKUP(A50,'[57]geoMap (54)'!$A:$C,3,0)</f>
        <v>#REF!</v>
      </c>
      <c r="BE50" s="1" t="e">
        <f>BD50/VLOOKUP(A50,'[58]geoMap (55)'!$A:$B,2,0)*VLOOKUP(A50,'[58]geoMap (55)'!$A:$C,3,0)</f>
        <v>#REF!</v>
      </c>
      <c r="BF50" s="4" t="e">
        <f>BE50/VLOOKUP(A50,'[59]geoMap (56)'!$A:$B,2,0)*VLOOKUP(A50,'[59]geoMap (56)'!$A:$C,3,0)</f>
        <v>#REF!</v>
      </c>
      <c r="BG50" s="1" t="e">
        <f>BF50/VLOOKUP(A50,'[60]geoMap (57)'!$A:$B,2,0)*VLOOKUP(A50,'[60]geoMap (57)'!$A:$C,3,0)</f>
        <v>#REF!</v>
      </c>
      <c r="BH50" s="4" t="e">
        <f>BG50/VLOOKUP(A50,'[61]geoMap (58)'!$A:$B,2,0)*VLOOKUP(A50,'[61]geoMap (58)'!$A:$C,3,0)</f>
        <v>#REF!</v>
      </c>
      <c r="BI50" s="1" t="e">
        <f>BH50/VLOOKUP(A50,'[62]geoMap (59)'!$A:$B,2,0)*VLOOKUP(A50,'[62]geoMap (59)'!$A:$C,3,0)</f>
        <v>#REF!</v>
      </c>
      <c r="BJ50" s="4" t="e">
        <f>BI50/VLOOKUP(A50,'[63]geoMap (60)'!$A:$B,2,0)*VLOOKUP(A50,'[63]geoMap (60)'!$A:$C,3,0)</f>
        <v>#REF!</v>
      </c>
      <c r="BK50" s="1" t="e">
        <f>BJ50/VLOOKUP(A50,'[64]geoMap (61)'!$A:$B,2,0)*VLOOKUP(A50,'[64]geoMap (61)'!$A:$C,3,0)</f>
        <v>#REF!</v>
      </c>
      <c r="BL50" s="4" t="e">
        <f>BK50/VLOOKUP(A50,'[65]geoMap (62)'!$A:$B,2,0)*VLOOKUP(A50,'[65]geoMap (62)'!$A:$C,3,0)</f>
        <v>#REF!</v>
      </c>
      <c r="BM50" s="1" t="e">
        <f>BL50/VLOOKUP(A50,'[66]geoMap (63)'!$A:$B,2,0)*VLOOKUP(A50,'[66]geoMap (63)'!$A:$C,3,0)</f>
        <v>#REF!</v>
      </c>
      <c r="BN50" s="4" t="e">
        <f>BM50/VLOOKUP(A50,'[67]geoMap (64)'!$A:$B,2,0)*VLOOKUP(A50,'[67]geoMap (64)'!$A:$C,3,0)</f>
        <v>#REF!</v>
      </c>
      <c r="BO50" s="1" t="e">
        <f>BN50/VLOOKUP(A50,'[68]geoMap (65)'!$A:$B,2,0)*VLOOKUP(A50,'[68]geoMap (65)'!$A:$C,3,0)</f>
        <v>#REF!</v>
      </c>
      <c r="BP50" s="4" t="e">
        <f>BO50/VLOOKUP(A50,'[69]geoMap (66)'!$A:$B,2,0)*VLOOKUP(A50,'[69]geoMap (66)'!$A:$C,3,0)</f>
        <v>#REF!</v>
      </c>
    </row>
    <row r="51" spans="1:68" x14ac:dyDescent="0.2">
      <c r="A51" s="1" t="s">
        <v>101</v>
      </c>
      <c r="B51" s="1">
        <f>VLOOKUP(A51,[3]geoMap!$A:$B,2,0)*Notes!$C$6</f>
        <v>5000</v>
      </c>
      <c r="C51" s="1">
        <f>B51/VLOOKUP(A51,'[4]geoMap (1)'!$A:$B,2,0)*VLOOKUP(A51,'[4]geoMap (1)'!$A:$C,3,0)</f>
        <v>2142.8571428571427</v>
      </c>
      <c r="D51" s="1">
        <f>C51/VLOOKUP(A51,'[5]geoMap (2)'!$A:$B,2,0)*VLOOKUP(A51,'[5]geoMap (2)'!$A:$C,3,0)</f>
        <v>3214.2857142857133</v>
      </c>
      <c r="E51" s="1">
        <f>D51/VLOOKUP(A51,'[6]geoMap (3)'!$A:$B,2,0)*VLOOKUP(A51,'[6]geoMap (3)'!$A:$C,3,0)</f>
        <v>3345.4810495626812</v>
      </c>
      <c r="F51" s="1">
        <f>E51/VLOOKUP(A51,'[7]geoMap (4)'!$A:$B,2,0)*VLOOKUP(A51,'[7]geoMap (4)'!$A:$C,3,0)</f>
        <v>4434.7074377923909</v>
      </c>
      <c r="G51" s="1">
        <f>F51/VLOOKUP(A51,'[8]geoMap (5)'!$A:$B,2,0)*VLOOKUP(A51,'[8]geoMap (5)'!$A:$C,3,0)</f>
        <v>1250.8149183517</v>
      </c>
      <c r="H51" s="1">
        <f>G51/VLOOKUP(A51,'[9]geoMap (6)'!$A:$B,2,0)*VLOOKUP(A51,'[9]geoMap (6)'!$A:$C,3,0)</f>
        <v>1065.5090045218185</v>
      </c>
      <c r="I51" s="1">
        <f>H51/VLOOKUP(A51,'[10]geoMap (7)'!$A:$B,2,0)*VLOOKUP(A51,'[10]geoMap (7)'!$A:$C,3,0)</f>
        <v>653.05390599724365</v>
      </c>
      <c r="J51" s="1">
        <f>I51/VLOOKUP(A51,'[11]geoMap (8)'!$A:$B,2,0)*VLOOKUP(A51,'[11]geoMap (8)'!$A:$C,3,0)</f>
        <v>679.70916746651892</v>
      </c>
      <c r="K51" s="1">
        <f>J51/VLOOKUP(A51,'[12]geoMap (9)'!$A:$B,2,0)*VLOOKUP(A51,'[12]geoMap (9)'!$A:$C,3,0)</f>
        <v>766.48055054735119</v>
      </c>
      <c r="L51" s="1">
        <f>K51/VLOOKUP(A51,'[13]geoMap (10)'!$A:$B,2,0)*VLOOKUP(A51,'[13]geoMap (10)'!$A:$C,3,0)</f>
        <v>377.52027116511323</v>
      </c>
      <c r="M51" s="1">
        <f>L51/VLOOKUP(A51,'[14]geoMap (11)'!$A:$B,2,0)*VLOOKUP(A51,'[14]geoMap (11)'!$A:$C,3,0)</f>
        <v>125.84009038837108</v>
      </c>
      <c r="N51" s="1">
        <f>M51/VLOOKUP(A51,'[15]geoMap (12)'!$A:$B,2,0)*VLOOKUP(A51,'[15]geoMap (12)'!$A:$C,3,0)</f>
        <v>205.31804221260543</v>
      </c>
      <c r="O51" s="1">
        <f>N51/VLOOKUP(A51,'[16]geoMap (13)'!$A:$B,2,0)*VLOOKUP(A51,'[16]geoMap (13)'!$A:$C,3,0)</f>
        <v>295.45767050106633</v>
      </c>
      <c r="P51" s="1">
        <f>O51/VLOOKUP(A51,'[17]geoMap (14)'!$A:$B,2,0)*VLOOKUP(A51,'[17]geoMap (14)'!$A:$C,3,0)</f>
        <v>232.1453125365521</v>
      </c>
      <c r="Q51" s="1">
        <f>P51/VLOOKUP(A51,'[18]geoMap (15)'!$A:$B,2,0)*VLOOKUP(A51,'[18]geoMap (15)'!$A:$C,3,0)</f>
        <v>130.58173830181053</v>
      </c>
      <c r="R51" s="1">
        <f>Q51/VLOOKUP(A51,'[19]geoMap (16)'!$A:$B,2,0)*VLOOKUP(A51,'[19]geoMap (16)'!$A:$C,3,0)</f>
        <v>43.527246100603513</v>
      </c>
      <c r="S51" s="1">
        <f>R51/VLOOKUP(A51,'[20]geoMap (17)'!$A:$B,2,0)*VLOOKUP(A51,'[20]geoMap (17)'!$A:$C,3,0)</f>
        <v>32.836343549578089</v>
      </c>
      <c r="T51" s="1">
        <f>S51/VLOOKUP(A51,'[21]geoMap (18)'!$A:$B,2,0)*VLOOKUP(A51,'[21]geoMap (18)'!$A:$C,3,0)</f>
        <v>32.836343549578089</v>
      </c>
      <c r="U51" s="1">
        <f>T51/VLOOKUP(A51,'[22]geoMap (19)'!$A:$B,2,0)*VLOOKUP(A51,'[22]geoMap (19)'!$A:$C,3,0)</f>
        <v>40.133308782817664</v>
      </c>
      <c r="V51" s="1">
        <f>U51/VLOOKUP(A51,'[23]geoMap (20)'!$A:$B,2,0)*VLOOKUP(A51,'[23]geoMap (20)'!$A:$C,3,0)</f>
        <v>134.35933809899825</v>
      </c>
      <c r="W51" s="1">
        <f>V51/VLOOKUP(A51,'[24]geoMap (21)'!$A:$B,2,0)*VLOOKUP(A51,'[24]geoMap (21)'!$A:$C,3,0)</f>
        <v>54.879166265788015</v>
      </c>
      <c r="X51" s="1">
        <f>W51/VLOOKUP(A51,'[25]geoMap (22)'!$A:$B,2,0)*VLOOKUP(A51,'[25]geoMap (22)'!$A:$C,3,0)</f>
        <v>10.453174526816765</v>
      </c>
      <c r="Y51" s="1">
        <f>X51/VLOOKUP(A51,'[26]geoMap (23)'!$A:$B,2,0)*VLOOKUP(A51,'[26]geoMap (23)'!$A:$C,3,0)</f>
        <v>17.79864851863395</v>
      </c>
      <c r="Z51" s="1">
        <f>Y51/VLOOKUP(A51,'[27]geoMap (24)'!$A:$B,2,0)*VLOOKUP(A51,'[27]geoMap (24)'!$A:$C,3,0)</f>
        <v>19.281869228520112</v>
      </c>
      <c r="AA51" s="1">
        <f>Z51/VLOOKUP(A51,'[28]geoMap (25)'!$A:$B,2,0)*VLOOKUP(A51,'[28]geoMap (25)'!$A:$C,3,0)</f>
        <v>4.2326054404068536</v>
      </c>
      <c r="AB51" s="1">
        <f>AA51*VLOOKUP(A51,'[29]geoMap (26)'!$A:$B,2,0)*VLOOKUP(A51,'[29]geoMap (26)'!$A:$C,3,0)</f>
        <v>0.88884714248543917</v>
      </c>
      <c r="AC51" s="1">
        <f>AB51/VLOOKUP(A51,'[30]geoMap (27)'!$A:$B,2,0)*VLOOKUP(A51,'[30]geoMap (27)'!$A:$C,3,0)</f>
        <v>1.7254091589423231</v>
      </c>
      <c r="AD51" s="1">
        <f>AC51/VLOOKUP(A51,'[31]geoMap (28)'!$A:$B,2,0)*VLOOKUP(A51,'[31]geoMap (28)'!$A:$C,3,0)</f>
        <v>0.40472560518400164</v>
      </c>
      <c r="AE51" s="1">
        <f>AD51/VLOOKUP(A51,'[32]geoMap (29)'!$A:$B,2,0)*VLOOKUP(A51,'[32]geoMap (29)'!$A:$C,3,0)</f>
        <v>1.4349362365614604</v>
      </c>
      <c r="AF51" s="1">
        <f>AE51/VLOOKUP(A51,'[33]geoMap (30)'!$A:$B,2,0)*VLOOKUP(A51,'[33]geoMap (30)'!$A:$C,3,0)</f>
        <v>0.73920957641044927</v>
      </c>
      <c r="AG51" s="1">
        <f>AF51/VLOOKUP(A51,'[34]geoMap (31)'!$A:$B,2,0)*VLOOKUP(A51,'[34]geoMap (31)'!$A:$C,3,0)</f>
        <v>0.38080493330235266</v>
      </c>
      <c r="AH51" s="1">
        <f>AG51/VLOOKUP(A51,'[35]geoMap (32)'!$A:$B,2,0)*VLOOKUP(A51,'[35]geoMap (32)'!$A:$C,3,0)</f>
        <v>1.2058822887907834</v>
      </c>
      <c r="AI51" s="1">
        <f>AH51/VLOOKUP(A51,'[36]geoMap (33)'!$A:$B,2,0)*VLOOKUP(A51,'[36]geoMap (33)'!$A:$C,3,0)</f>
        <v>0.21280275684543237</v>
      </c>
      <c r="AJ51" s="1">
        <f>AI51/VLOOKUP(A51,'[37]geoMap (34)'!$A:$B,2,0)*VLOOKUP(A51,'[37]geoMap (34)'!$A:$C,3,0)</f>
        <v>0.10481329814775027</v>
      </c>
      <c r="AK51" s="1" t="e">
        <f>AJ51/VLOOKUP(A51,'[38]geoMap (35)'!$A:$B,2,0)*VLOOKUP(A51,'[38]geoMap (35)'!$A:$C,3,0)</f>
        <v>#REF!</v>
      </c>
      <c r="AL51" s="1" t="e">
        <f>AK51/VLOOKUP(A51,'[39]geoMap (36)'!$A:$B,2,0)*VLOOKUP(A51,'[39]geoMap (36)'!$A:$C,3,0)</f>
        <v>#REF!</v>
      </c>
      <c r="AM51" s="1" t="e">
        <f>AL51/VLOOKUP(A51,'[40]geoMap (37)'!$A:$B,2,0)*VLOOKUP(A51,'[40]geoMap (37)'!$A:$C,3,0)</f>
        <v>#REF!</v>
      </c>
      <c r="AN51" s="1" t="e">
        <f>AM51/VLOOKUP(A51,'[41]geoMap (38)'!$A:$B,2,0)*VLOOKUP(A51,'[41]geoMap (38)'!$A:$C,3,0)</f>
        <v>#REF!</v>
      </c>
      <c r="AO51" s="1" t="e">
        <f>AN51/VLOOKUP(A51,'[42]geoMap (39)'!$A:$B,2,0)*VLOOKUP(A51,'[42]geoMap (39)'!$A:$C,3,0)</f>
        <v>#REF!</v>
      </c>
      <c r="AP51" s="1" t="e">
        <f>AO51/VLOOKUP(A51,'[43]geoMap (40)'!$A:$B,2,0)*VLOOKUP(A51,'[43]geoMap (40)'!$A:$C,3,0)</f>
        <v>#REF!</v>
      </c>
      <c r="AQ51" s="1" t="e">
        <f>AP51/VLOOKUP(A51,'[44]geoMap (41)'!$A:$B,2,0)*VLOOKUP(A51,'[44]geoMap (41)'!$A:$C,3,0)</f>
        <v>#REF!</v>
      </c>
      <c r="AR51" s="1" t="e">
        <f>AQ51/VLOOKUP(A51,'[45]geoMap (42)'!$A:$B,2,0)*VLOOKUP(A51,'[45]geoMap (42)'!$A:$C,3,0)</f>
        <v>#REF!</v>
      </c>
      <c r="AS51" s="1" t="e">
        <f>AR51/VLOOKUP(A51,'[46]geoMap (43)'!$A:$B,2,0)*VLOOKUP(A51,'[46]geoMap (43)'!$A:$C,3,0)</f>
        <v>#REF!</v>
      </c>
      <c r="AT51" s="1" t="e">
        <f>AS51/VLOOKUP(A51,'[47]geoMap (44)'!$A:$B,2,0)*VLOOKUP(A51,'[47]geoMap (44)'!$A:$C,3,0)</f>
        <v>#REF!</v>
      </c>
      <c r="AU51" s="1" t="e">
        <f>AT51/VLOOKUP(A51,'[48]geoMap (45)'!$A:$B,2,0)*VLOOKUP(A51,'[48]geoMap (45)'!$A:$C,3,0)</f>
        <v>#REF!</v>
      </c>
      <c r="AV51" s="1" t="e">
        <f>AU51/VLOOKUP(A51,'[49]geoMap (46)'!$A:$B,2,0)*VLOOKUP(A51,'[49]geoMap (46)'!$A:$C,3,0)</f>
        <v>#REF!</v>
      </c>
      <c r="AW51" s="1" t="e">
        <f>AV51/VLOOKUP(A51,'[50]geoMap (47)'!$A:$B,2,0)*VLOOKUP(A51,'[50]geoMap (47)'!$A:$C,3,0)</f>
        <v>#REF!</v>
      </c>
      <c r="AX51" s="4" t="e">
        <f>AW51/VLOOKUP(A51,'[51]geoMap (48)'!$A:$B,2,0)*VLOOKUP(A51,'[51]geoMap (48)'!$A:$C,3,0)</f>
        <v>#REF!</v>
      </c>
      <c r="AY51" s="1" t="e">
        <f>AX51/VLOOKUP(A51,'[52]geoMap (49)'!$A:$B,2,0)*VLOOKUP(A51,'[52]geoMap (49)'!$A:$C,3,0)</f>
        <v>#REF!</v>
      </c>
      <c r="AZ51" s="4" t="e">
        <f>AY51/VLOOKUP(A51,'[53]geoMap (50)'!$A:$B,2,0)*VLOOKUP(A51,'[53]geoMap (50)'!$A:$C,3,0)</f>
        <v>#REF!</v>
      </c>
      <c r="BA51" s="1" t="e">
        <f>AZ51/VLOOKUP(A51,'[54]geoMap (51)'!$A:$B,2,0)*VLOOKUP(A51,'[54]geoMap (51)'!$A:$C,3,0)</f>
        <v>#REF!</v>
      </c>
      <c r="BB51" s="4" t="e">
        <f>BA51/VLOOKUP(A51,'[55]geoMap (52)'!$A:$B,2,0)*VLOOKUP(A51,'[55]geoMap (52)'!$A:$C,3,0)</f>
        <v>#REF!</v>
      </c>
      <c r="BC51" s="1" t="e">
        <f>BB51/VLOOKUP(A51,'[56]geoMap (53)'!$A:$B,2,0)*VLOOKUP(A51,'[56]geoMap (53)'!$A:$C,3,0)</f>
        <v>#REF!</v>
      </c>
      <c r="BD51" s="4" t="e">
        <f>BC51/VLOOKUP(A51,'[57]geoMap (54)'!$A:$B,2,0)*VLOOKUP(A51,'[57]geoMap (54)'!$A:$C,3,0)</f>
        <v>#REF!</v>
      </c>
      <c r="BE51" s="1" t="e">
        <f>BD51/VLOOKUP(A51,'[58]geoMap (55)'!$A:$B,2,0)*VLOOKUP(A51,'[58]geoMap (55)'!$A:$C,3,0)</f>
        <v>#REF!</v>
      </c>
      <c r="BF51" s="4" t="e">
        <f>BE51/VLOOKUP(A51,'[59]geoMap (56)'!$A:$B,2,0)*VLOOKUP(A51,'[59]geoMap (56)'!$A:$C,3,0)</f>
        <v>#REF!</v>
      </c>
      <c r="BG51" s="1" t="e">
        <f>BF51/VLOOKUP(A51,'[60]geoMap (57)'!$A:$B,2,0)*VLOOKUP(A51,'[60]geoMap (57)'!$A:$C,3,0)</f>
        <v>#REF!</v>
      </c>
      <c r="BH51" s="4" t="e">
        <f>BG51/VLOOKUP(A51,'[61]geoMap (58)'!$A:$B,2,0)*VLOOKUP(A51,'[61]geoMap (58)'!$A:$C,3,0)</f>
        <v>#REF!</v>
      </c>
      <c r="BI51" s="1" t="e">
        <f>BH51/VLOOKUP(A51,'[62]geoMap (59)'!$A:$B,2,0)*VLOOKUP(A51,'[62]geoMap (59)'!$A:$C,3,0)</f>
        <v>#REF!</v>
      </c>
      <c r="BJ51" s="4" t="e">
        <f>BI51/VLOOKUP(A51,'[63]geoMap (60)'!$A:$B,2,0)*VLOOKUP(A51,'[63]geoMap (60)'!$A:$C,3,0)</f>
        <v>#REF!</v>
      </c>
      <c r="BK51" s="1" t="e">
        <f>BJ51/VLOOKUP(A51,'[64]geoMap (61)'!$A:$B,2,0)*VLOOKUP(A51,'[64]geoMap (61)'!$A:$C,3,0)</f>
        <v>#REF!</v>
      </c>
      <c r="BL51" s="4" t="e">
        <f>BK51/VLOOKUP(A51,'[65]geoMap (62)'!$A:$B,2,0)*VLOOKUP(A51,'[65]geoMap (62)'!$A:$C,3,0)</f>
        <v>#REF!</v>
      </c>
      <c r="BM51" s="1" t="e">
        <f>BL51/VLOOKUP(A51,'[66]geoMap (63)'!$A:$B,2,0)*VLOOKUP(A51,'[66]geoMap (63)'!$A:$C,3,0)</f>
        <v>#REF!</v>
      </c>
      <c r="BN51" s="4" t="e">
        <f>BM51/VLOOKUP(A51,'[67]geoMap (64)'!$A:$B,2,0)*VLOOKUP(A51,'[67]geoMap (64)'!$A:$C,3,0)</f>
        <v>#REF!</v>
      </c>
      <c r="BO51" s="1" t="e">
        <f>BN51/VLOOKUP(A51,'[68]geoMap (65)'!$A:$B,2,0)*VLOOKUP(A51,'[68]geoMap (65)'!$A:$C,3,0)</f>
        <v>#REF!</v>
      </c>
      <c r="BP51" s="4" t="e">
        <f>BO51/VLOOKUP(A51,'[69]geoMap (66)'!$A:$B,2,0)*VLOOKUP(A51,'[69]geoMap (66)'!$A:$C,3,0)</f>
        <v>#REF!</v>
      </c>
    </row>
    <row r="52" spans="1:68" x14ac:dyDescent="0.2">
      <c r="A52" s="1" t="s">
        <v>115</v>
      </c>
      <c r="B52" s="1">
        <f>VLOOKUP(A52,[3]geoMap!$A:$B,2,0)*Notes!$C$6</f>
        <v>5000</v>
      </c>
      <c r="C52" s="1">
        <f>B52/VLOOKUP(A52,'[4]geoMap (1)'!$A:$B,2,0)*VLOOKUP(A52,'[4]geoMap (1)'!$A:$C,3,0)</f>
        <v>1666.6666666666667</v>
      </c>
      <c r="D52" s="1">
        <f>C52/VLOOKUP(A52,'[5]geoMap (2)'!$A:$B,2,0)*VLOOKUP(A52,'[5]geoMap (2)'!$A:$C,3,0)</f>
        <v>2837.8378378378379</v>
      </c>
      <c r="E52" s="1">
        <f>D52/VLOOKUP(A52,'[6]geoMap (3)'!$A:$B,2,0)*VLOOKUP(A52,'[6]geoMap (3)'!$A:$C,3,0)</f>
        <v>5045.0450450450453</v>
      </c>
      <c r="F52" s="1">
        <f>E52/VLOOKUP(A52,'[7]geoMap (4)'!$A:$B,2,0)*VLOOKUP(A52,'[7]geoMap (4)'!$A:$C,3,0)</f>
        <v>3363.363363363364</v>
      </c>
      <c r="G52" s="1">
        <f>F52/VLOOKUP(A52,'[8]geoMap (5)'!$A:$B,2,0)*VLOOKUP(A52,'[8]geoMap (5)'!$A:$C,3,0)</f>
        <v>1181.7222628033439</v>
      </c>
      <c r="H52" s="1">
        <f>G52/VLOOKUP(A52,'[9]geoMap (6)'!$A:$B,2,0)*VLOOKUP(A52,'[9]geoMap (6)'!$A:$C,3,0)</f>
        <v>1444.327210092976</v>
      </c>
      <c r="I52" s="1">
        <f>H52/VLOOKUP(A52,'[10]geoMap (7)'!$A:$B,2,0)*VLOOKUP(A52,'[10]geoMap (7)'!$A:$C,3,0)</f>
        <v>456.10332950304502</v>
      </c>
      <c r="J52" s="1">
        <f>I52/VLOOKUP(A52,'[11]geoMap (8)'!$A:$B,2,0)*VLOOKUP(A52,'[11]geoMap (8)'!$A:$C,3,0)</f>
        <v>969.21957519397074</v>
      </c>
      <c r="K52" s="1">
        <f>J52/VLOOKUP(A52,'[12]geoMap (9)'!$A:$B,2,0)*VLOOKUP(A52,'[12]geoMap (9)'!$A:$C,3,0)</f>
        <v>859.49660441729475</v>
      </c>
      <c r="L52" s="1">
        <f>K52/VLOOKUP(A52,'[13]geoMap (10)'!$A:$B,2,0)*VLOOKUP(A52,'[13]geoMap (10)'!$A:$C,3,0)</f>
        <v>334.24867949561468</v>
      </c>
      <c r="M52" s="1">
        <f>L52/VLOOKUP(A52,'[14]geoMap (11)'!$A:$B,2,0)*VLOOKUP(A52,'[14]geoMap (11)'!$A:$C,3,0)</f>
        <v>123.62622392303558</v>
      </c>
      <c r="N52" s="1">
        <f>M52/VLOOKUP(A52,'[15]geoMap (12)'!$A:$B,2,0)*VLOOKUP(A52,'[15]geoMap (12)'!$A:$C,3,0)</f>
        <v>139.40829506214652</v>
      </c>
      <c r="O52" s="1">
        <f>N52/VLOOKUP(A52,'[16]geoMap (13)'!$A:$B,2,0)*VLOOKUP(A52,'[16]geoMap (13)'!$A:$C,3,0)</f>
        <v>258.90111940112928</v>
      </c>
      <c r="P52" s="1">
        <f>O52/VLOOKUP(A52,'[17]geoMap (14)'!$A:$B,2,0)*VLOOKUP(A52,'[17]geoMap (14)'!$A:$C,3,0)</f>
        <v>303.92740103610828</v>
      </c>
      <c r="Q52" s="1">
        <f>P52/VLOOKUP(A52,'[18]geoMap (15)'!$A:$B,2,0)*VLOOKUP(A52,'[18]geoMap (15)'!$A:$C,3,0)</f>
        <v>149.69558558494884</v>
      </c>
      <c r="R52" s="1">
        <f>Q52/VLOOKUP(A52,'[19]geoMap (16)'!$A:$B,2,0)*VLOOKUP(A52,'[19]geoMap (16)'!$A:$C,3,0)</f>
        <v>52.595746286603649</v>
      </c>
      <c r="S52" s="1">
        <f>R52/VLOOKUP(A52,'[20]geoMap (17)'!$A:$B,2,0)*VLOOKUP(A52,'[20]geoMap (17)'!$A:$C,3,0)</f>
        <v>33.626788609467908</v>
      </c>
      <c r="T52" s="1">
        <f>S52/VLOOKUP(A52,'[21]geoMap (18)'!$A:$B,2,0)*VLOOKUP(A52,'[21]geoMap (18)'!$A:$C,3,0)</f>
        <v>19.74906632619544</v>
      </c>
      <c r="U52" s="1">
        <f>T52/VLOOKUP(A52,'[22]geoMap (19)'!$A:$B,2,0)*VLOOKUP(A52,'[22]geoMap (19)'!$A:$C,3,0)</f>
        <v>53.395623770824706</v>
      </c>
      <c r="V52" s="1">
        <f>U52/VLOOKUP(A52,'[23]geoMap (20)'!$A:$B,2,0)*VLOOKUP(A52,'[23]geoMap (20)'!$A:$C,3,0)</f>
        <v>328.00168887792313</v>
      </c>
      <c r="W52" s="1">
        <f>V52/VLOOKUP(A52,'[24]geoMap (21)'!$A:$B,2,0)*VLOOKUP(A52,'[24]geoMap (21)'!$A:$C,3,0)</f>
        <v>44.727503028807696</v>
      </c>
      <c r="X52" s="1" t="e">
        <f>W52/VLOOKUP(A52,'[25]geoMap (22)'!$A:$B,2,0)*VLOOKUP(A52,'[25]geoMap (22)'!$A:$C,3,0)</f>
        <v>#REF!</v>
      </c>
      <c r="Y52" s="1" t="e">
        <f>X52/VLOOKUP(A52,'[26]geoMap (23)'!$A:$B,2,0)*VLOOKUP(A52,'[26]geoMap (23)'!$A:$C,3,0)</f>
        <v>#REF!</v>
      </c>
      <c r="Z52" s="1" t="e">
        <f>Y52/VLOOKUP(A52,'[27]geoMap (24)'!$A:$B,2,0)*VLOOKUP(A52,'[27]geoMap (24)'!$A:$C,3,0)</f>
        <v>#REF!</v>
      </c>
      <c r="AA52" s="1" t="e">
        <f>Z52/VLOOKUP(A52,'[28]geoMap (25)'!$A:$B,2,0)*VLOOKUP(A52,'[28]geoMap (25)'!$A:$C,3,0)</f>
        <v>#REF!</v>
      </c>
      <c r="AB52" s="1" t="e">
        <f>AA52*VLOOKUP(A52,'[29]geoMap (26)'!$A:$B,2,0)*VLOOKUP(A52,'[29]geoMap (26)'!$A:$C,3,0)</f>
        <v>#REF!</v>
      </c>
      <c r="AC52" s="1" t="e">
        <f>AB52/VLOOKUP(A52,'[30]geoMap (27)'!$A:$B,2,0)*VLOOKUP(A52,'[30]geoMap (27)'!$A:$C,3,0)</f>
        <v>#REF!</v>
      </c>
      <c r="AD52" s="1" t="e">
        <f>AC52/VLOOKUP(A52,'[31]geoMap (28)'!$A:$B,2,0)*VLOOKUP(A52,'[31]geoMap (28)'!$A:$C,3,0)</f>
        <v>#REF!</v>
      </c>
      <c r="AE52" s="1" t="e">
        <f>AD52/VLOOKUP(A52,'[32]geoMap (29)'!$A:$B,2,0)*VLOOKUP(A52,'[32]geoMap (29)'!$A:$C,3,0)</f>
        <v>#REF!</v>
      </c>
      <c r="AF52" s="1" t="e">
        <f>AE52/VLOOKUP(A52,'[33]geoMap (30)'!$A:$B,2,0)*VLOOKUP(A52,'[33]geoMap (30)'!$A:$C,3,0)</f>
        <v>#REF!</v>
      </c>
      <c r="AG52" s="1" t="e">
        <f>AF52/VLOOKUP(A52,'[34]geoMap (31)'!$A:$B,2,0)*VLOOKUP(A52,'[34]geoMap (31)'!$A:$C,3,0)</f>
        <v>#REF!</v>
      </c>
      <c r="AH52" s="1" t="e">
        <f>AG52/VLOOKUP(A52,'[35]geoMap (32)'!$A:$B,2,0)*VLOOKUP(A52,'[35]geoMap (32)'!$A:$C,3,0)</f>
        <v>#REF!</v>
      </c>
      <c r="AI52" s="1" t="e">
        <f>AH52/VLOOKUP(A52,'[36]geoMap (33)'!$A:$B,2,0)*VLOOKUP(A52,'[36]geoMap (33)'!$A:$C,3,0)</f>
        <v>#REF!</v>
      </c>
      <c r="AJ52" s="1" t="e">
        <f>AI52/VLOOKUP(A52,'[37]geoMap (34)'!$A:$B,2,0)*VLOOKUP(A52,'[37]geoMap (34)'!$A:$C,3,0)</f>
        <v>#REF!</v>
      </c>
      <c r="AK52" s="1" t="e">
        <f>AJ52/VLOOKUP(A52,'[38]geoMap (35)'!$A:$B,2,0)*VLOOKUP(A52,'[38]geoMap (35)'!$A:$C,3,0)</f>
        <v>#REF!</v>
      </c>
      <c r="AL52" s="1" t="e">
        <f>AK52/VLOOKUP(A52,'[39]geoMap (36)'!$A:$B,2,0)*VLOOKUP(A52,'[39]geoMap (36)'!$A:$C,3,0)</f>
        <v>#REF!</v>
      </c>
      <c r="AM52" s="1" t="e">
        <f>AL52/VLOOKUP(A52,'[40]geoMap (37)'!$A:$B,2,0)*VLOOKUP(A52,'[40]geoMap (37)'!$A:$C,3,0)</f>
        <v>#REF!</v>
      </c>
      <c r="AN52" s="1" t="e">
        <f>AM52/VLOOKUP(A52,'[41]geoMap (38)'!$A:$B,2,0)*VLOOKUP(A52,'[41]geoMap (38)'!$A:$C,3,0)</f>
        <v>#REF!</v>
      </c>
      <c r="AO52" s="1" t="e">
        <f>AN52/VLOOKUP(A52,'[42]geoMap (39)'!$A:$B,2,0)*VLOOKUP(A52,'[42]geoMap (39)'!$A:$C,3,0)</f>
        <v>#REF!</v>
      </c>
      <c r="AP52" s="1" t="e">
        <f>AO52/VLOOKUP(A52,'[43]geoMap (40)'!$A:$B,2,0)*VLOOKUP(A52,'[43]geoMap (40)'!$A:$C,3,0)</f>
        <v>#REF!</v>
      </c>
      <c r="AQ52" s="1" t="e">
        <f>AP52/VLOOKUP(A52,'[44]geoMap (41)'!$A:$B,2,0)*VLOOKUP(A52,'[44]geoMap (41)'!$A:$C,3,0)</f>
        <v>#REF!</v>
      </c>
      <c r="AR52" s="1" t="e">
        <f>AQ52/VLOOKUP(A52,'[45]geoMap (42)'!$A:$B,2,0)*VLOOKUP(A52,'[45]geoMap (42)'!$A:$C,3,0)</f>
        <v>#REF!</v>
      </c>
      <c r="AS52" s="1" t="e">
        <f>AR52/VLOOKUP(A52,'[46]geoMap (43)'!$A:$B,2,0)*VLOOKUP(A52,'[46]geoMap (43)'!$A:$C,3,0)</f>
        <v>#REF!</v>
      </c>
      <c r="AT52" s="1" t="e">
        <f>AS52/VLOOKUP(A52,'[47]geoMap (44)'!$A:$B,2,0)*VLOOKUP(A52,'[47]geoMap (44)'!$A:$C,3,0)</f>
        <v>#REF!</v>
      </c>
      <c r="AU52" s="1" t="e">
        <f>AT52/VLOOKUP(A52,'[48]geoMap (45)'!$A:$B,2,0)*VLOOKUP(A52,'[48]geoMap (45)'!$A:$C,3,0)</f>
        <v>#REF!</v>
      </c>
      <c r="AV52" s="1" t="e">
        <f>AU52/VLOOKUP(A52,'[49]geoMap (46)'!$A:$B,2,0)*VLOOKUP(A52,'[49]geoMap (46)'!$A:$C,3,0)</f>
        <v>#REF!</v>
      </c>
      <c r="AW52" s="1" t="e">
        <f>AV52/VLOOKUP(A52,'[50]geoMap (47)'!$A:$B,2,0)*VLOOKUP(A52,'[50]geoMap (47)'!$A:$C,3,0)</f>
        <v>#REF!</v>
      </c>
      <c r="AX52" s="4" t="e">
        <f>AW52/VLOOKUP(A52,'[51]geoMap (48)'!$A:$B,2,0)*VLOOKUP(A52,'[51]geoMap (48)'!$A:$C,3,0)</f>
        <v>#REF!</v>
      </c>
      <c r="AY52" s="1" t="e">
        <f>AX52/VLOOKUP(A52,'[52]geoMap (49)'!$A:$B,2,0)*VLOOKUP(A52,'[52]geoMap (49)'!$A:$C,3,0)</f>
        <v>#REF!</v>
      </c>
      <c r="AZ52" s="4" t="e">
        <f>AY52/VLOOKUP(A52,'[53]geoMap (50)'!$A:$B,2,0)*VLOOKUP(A52,'[53]geoMap (50)'!$A:$C,3,0)</f>
        <v>#REF!</v>
      </c>
      <c r="BA52" s="1" t="e">
        <f>AZ52/VLOOKUP(A52,'[54]geoMap (51)'!$A:$B,2,0)*VLOOKUP(A52,'[54]geoMap (51)'!$A:$C,3,0)</f>
        <v>#REF!</v>
      </c>
      <c r="BB52" s="4" t="e">
        <f>BA52/VLOOKUP(A52,'[55]geoMap (52)'!$A:$B,2,0)*VLOOKUP(A52,'[55]geoMap (52)'!$A:$C,3,0)</f>
        <v>#REF!</v>
      </c>
      <c r="BC52" s="1" t="e">
        <f>BB52/VLOOKUP(A52,'[56]geoMap (53)'!$A:$B,2,0)*VLOOKUP(A52,'[56]geoMap (53)'!$A:$C,3,0)</f>
        <v>#REF!</v>
      </c>
      <c r="BD52" s="4" t="e">
        <f>BC52/VLOOKUP(A52,'[57]geoMap (54)'!$A:$B,2,0)*VLOOKUP(A52,'[57]geoMap (54)'!$A:$C,3,0)</f>
        <v>#REF!</v>
      </c>
      <c r="BE52" s="1" t="e">
        <f>BD52/VLOOKUP(A52,'[58]geoMap (55)'!$A:$B,2,0)*VLOOKUP(A52,'[58]geoMap (55)'!$A:$C,3,0)</f>
        <v>#REF!</v>
      </c>
      <c r="BF52" s="4" t="e">
        <f>BE52/VLOOKUP(A52,'[59]geoMap (56)'!$A:$B,2,0)*VLOOKUP(A52,'[59]geoMap (56)'!$A:$C,3,0)</f>
        <v>#REF!</v>
      </c>
      <c r="BG52" s="1" t="e">
        <f>BF52/VLOOKUP(A52,'[60]geoMap (57)'!$A:$B,2,0)*VLOOKUP(A52,'[60]geoMap (57)'!$A:$C,3,0)</f>
        <v>#REF!</v>
      </c>
      <c r="BH52" s="4" t="e">
        <f>BG52/VLOOKUP(A52,'[61]geoMap (58)'!$A:$B,2,0)*VLOOKUP(A52,'[61]geoMap (58)'!$A:$C,3,0)</f>
        <v>#REF!</v>
      </c>
      <c r="BI52" s="1" t="e">
        <f>BH52/VLOOKUP(A52,'[62]geoMap (59)'!$A:$B,2,0)*VLOOKUP(A52,'[62]geoMap (59)'!$A:$C,3,0)</f>
        <v>#REF!</v>
      </c>
      <c r="BJ52" s="4" t="e">
        <f>BI52/VLOOKUP(A52,'[63]geoMap (60)'!$A:$B,2,0)*VLOOKUP(A52,'[63]geoMap (60)'!$A:$C,3,0)</f>
        <v>#REF!</v>
      </c>
      <c r="BK52" s="1" t="e">
        <f>BJ52/VLOOKUP(A52,'[64]geoMap (61)'!$A:$B,2,0)*VLOOKUP(A52,'[64]geoMap (61)'!$A:$C,3,0)</f>
        <v>#REF!</v>
      </c>
      <c r="BL52" s="4" t="e">
        <f>BK52/VLOOKUP(A52,'[65]geoMap (62)'!$A:$B,2,0)*VLOOKUP(A52,'[65]geoMap (62)'!$A:$C,3,0)</f>
        <v>#REF!</v>
      </c>
      <c r="BM52" s="1" t="e">
        <f>BL52/VLOOKUP(A52,'[66]geoMap (63)'!$A:$B,2,0)*VLOOKUP(A52,'[66]geoMap (63)'!$A:$C,3,0)</f>
        <v>#REF!</v>
      </c>
      <c r="BN52" s="4" t="e">
        <f>BM52/VLOOKUP(A52,'[67]geoMap (64)'!$A:$B,2,0)*VLOOKUP(A52,'[67]geoMap (64)'!$A:$C,3,0)</f>
        <v>#REF!</v>
      </c>
      <c r="BO52" s="1" t="e">
        <f>BN52/VLOOKUP(A52,'[68]geoMap (65)'!$A:$B,2,0)*VLOOKUP(A52,'[68]geoMap (65)'!$A:$C,3,0)</f>
        <v>#REF!</v>
      </c>
      <c r="BP52" s="4" t="e">
        <f>BO52/VLOOKUP(A52,'[69]geoMap (66)'!$A:$B,2,0)*VLOOKUP(A52,'[69]geoMap (66)'!$A:$C,3,0)</f>
        <v>#REF!</v>
      </c>
    </row>
    <row r="53" spans="1:68" x14ac:dyDescent="0.2">
      <c r="A53" s="1" t="s">
        <v>111</v>
      </c>
      <c r="B53" s="1">
        <f>VLOOKUP(A53,[3]geoMap!$A:$B,2,0)*Notes!$C$6</f>
        <v>5000</v>
      </c>
      <c r="C53" s="1">
        <f>B53/VLOOKUP(A53,'[4]geoMap (1)'!$A:$B,2,0)*VLOOKUP(A53,'[4]geoMap (1)'!$A:$C,3,0)</f>
        <v>1578.9473684210525</v>
      </c>
      <c r="D53" s="1">
        <f>C53/VLOOKUP(A53,'[5]geoMap (2)'!$A:$B,2,0)*VLOOKUP(A53,'[5]geoMap (2)'!$A:$C,3,0)</f>
        <v>2688.4779516358458</v>
      </c>
      <c r="E53" s="1">
        <f>D53/VLOOKUP(A53,'[6]geoMap (3)'!$A:$B,2,0)*VLOOKUP(A53,'[6]geoMap (3)'!$A:$C,3,0)</f>
        <v>3421.699211172895</v>
      </c>
      <c r="F53" s="1">
        <f>E53/VLOOKUP(A53,'[7]geoMap (4)'!$A:$B,2,0)*VLOOKUP(A53,'[7]geoMap (4)'!$A:$C,3,0)</f>
        <v>3158.4915795442103</v>
      </c>
      <c r="G53" s="1">
        <f>F53/VLOOKUP(A53,'[8]geoMap (5)'!$A:$B,2,0)*VLOOKUP(A53,'[8]geoMap (5)'!$A:$C,3,0)</f>
        <v>1290.0881099546775</v>
      </c>
      <c r="H53" s="1">
        <f>G53/VLOOKUP(A53,'[9]geoMap (6)'!$A:$B,2,0)*VLOOKUP(A53,'[9]geoMap (6)'!$A:$C,3,0)</f>
        <v>1576.7743566112727</v>
      </c>
      <c r="I53" s="1">
        <f>H53/VLOOKUP(A53,'[10]geoMap (7)'!$A:$B,2,0)*VLOOKUP(A53,'[10]geoMap (7)'!$A:$C,3,0)</f>
        <v>525.59145220375751</v>
      </c>
      <c r="J53" s="1">
        <f>I53/VLOOKUP(A53,'[11]geoMap (8)'!$A:$B,2,0)*VLOOKUP(A53,'[11]geoMap (8)'!$A:$C,3,0)</f>
        <v>696.71425059567855</v>
      </c>
      <c r="K53" s="1">
        <f>J53/VLOOKUP(A53,'[12]geoMap (9)'!$A:$B,2,0)*VLOOKUP(A53,'[12]geoMap (9)'!$A:$C,3,0)</f>
        <v>1352.4453099798466</v>
      </c>
      <c r="L53" s="1">
        <f>K53/VLOOKUP(A53,'[13]geoMap (10)'!$A:$B,2,0)*VLOOKUP(A53,'[13]geoMap (10)'!$A:$C,3,0)</f>
        <v>381.45893358405925</v>
      </c>
      <c r="M53" s="1">
        <f>L53/VLOOKUP(A53,'[14]geoMap (11)'!$A:$B,2,0)*VLOOKUP(A53,'[14]geoMap (11)'!$A:$C,3,0)</f>
        <v>141.08755077766577</v>
      </c>
      <c r="N53" s="1">
        <f>M53/VLOOKUP(A53,'[15]geoMap (12)'!$A:$B,2,0)*VLOOKUP(A53,'[15]geoMap (12)'!$A:$C,3,0)</f>
        <v>187.02303242620809</v>
      </c>
      <c r="O53" s="1">
        <f>N53/VLOOKUP(A53,'[16]geoMap (13)'!$A:$B,2,0)*VLOOKUP(A53,'[16]geoMap (13)'!$A:$C,3,0)</f>
        <v>269.13070519868972</v>
      </c>
      <c r="P53" s="1">
        <f>O53/VLOOKUP(A53,'[17]geoMap (14)'!$A:$B,2,0)*VLOOKUP(A53,'[17]geoMap (14)'!$A:$C,3,0)</f>
        <v>478.45458701989287</v>
      </c>
      <c r="Q53" s="1">
        <f>P53/VLOOKUP(A53,'[18]geoMap (15)'!$A:$B,2,0)*VLOOKUP(A53,'[18]geoMap (15)'!$A:$C,3,0)</f>
        <v>112.2300883133082</v>
      </c>
      <c r="R53" s="1">
        <f>Q53/VLOOKUP(A53,'[19]geoMap (16)'!$A:$B,2,0)*VLOOKUP(A53,'[19]geoMap (16)'!$A:$C,3,0)</f>
        <v>31.654640293497181</v>
      </c>
      <c r="S53" s="1">
        <f>R53/VLOOKUP(A53,'[20]geoMap (17)'!$A:$B,2,0)*VLOOKUP(A53,'[20]geoMap (17)'!$A:$C,3,0)</f>
        <v>37.159795127148868</v>
      </c>
      <c r="T53" s="1">
        <f>S53/VLOOKUP(A53,'[21]geoMap (18)'!$A:$B,2,0)*VLOOKUP(A53,'[21]geoMap (18)'!$A:$C,3,0)</f>
        <v>30.40346874039453</v>
      </c>
      <c r="U53" s="1">
        <f>T53/VLOOKUP(A53,'[22]geoMap (19)'!$A:$B,2,0)*VLOOKUP(A53,'[22]geoMap (19)'!$A:$C,3,0)</f>
        <v>22.935950102402895</v>
      </c>
      <c r="V53" s="1">
        <f>U53/VLOOKUP(A53,'[23]geoMap (20)'!$A:$B,2,0)*VLOOKUP(A53,'[23]geoMap (20)'!$A:$C,3,0)</f>
        <v>76.785572081957511</v>
      </c>
      <c r="W53" s="1">
        <f>V53/VLOOKUP(A53,'[24]geoMap (21)'!$A:$B,2,0)*VLOOKUP(A53,'[24]geoMap (21)'!$A:$C,3,0)</f>
        <v>101.78552578305995</v>
      </c>
      <c r="X53" s="1">
        <f>W53/VLOOKUP(A53,'[25]geoMap (22)'!$A:$B,2,0)*VLOOKUP(A53,'[25]geoMap (22)'!$A:$C,3,0)</f>
        <v>10.066700352170763</v>
      </c>
      <c r="Y53" s="1">
        <f>X53/VLOOKUP(A53,'[26]geoMap (23)'!$A:$B,2,0)*VLOOKUP(A53,'[26]geoMap (23)'!$A:$C,3,0)</f>
        <v>21.391738248362874</v>
      </c>
      <c r="Z53" s="1">
        <f>Y53/VLOOKUP(A53,'[27]geoMap (24)'!$A:$B,2,0)*VLOOKUP(A53,'[27]geoMap (24)'!$A:$C,3,0)</f>
        <v>12.563401828403594</v>
      </c>
      <c r="AA53" s="1">
        <f>Z53/VLOOKUP(A53,'[28]geoMap (25)'!$A:$B,2,0)*VLOOKUP(A53,'[28]geoMap (25)'!$A:$C,3,0)</f>
        <v>5.3843150693158259</v>
      </c>
      <c r="AB53" s="1">
        <f>AA53*VLOOKUP(A53,'[29]geoMap (26)'!$A:$B,2,0)*VLOOKUP(A53,'[29]geoMap (26)'!$A:$C,3,0)</f>
        <v>0.89325786999949552</v>
      </c>
      <c r="AC53" s="1">
        <f>AB53/VLOOKUP(A53,'[30]geoMap (27)'!$A:$B,2,0)*VLOOKUP(A53,'[30]geoMap (27)'!$A:$C,3,0)</f>
        <v>1.0072907895738994</v>
      </c>
      <c r="AD53" s="1">
        <f>AC53/VLOOKUP(A53,'[31]geoMap (28)'!$A:$B,2,0)*VLOOKUP(A53,'[31]geoMap (28)'!$A:$C,3,0)</f>
        <v>0.22111261234549012</v>
      </c>
      <c r="AE53" s="1">
        <f>AD53/VLOOKUP(A53,'[32]geoMap (29)'!$A:$B,2,0)*VLOOKUP(A53,'[32]geoMap (29)'!$A:$C,3,0)</f>
        <v>1.0072907895738994</v>
      </c>
      <c r="AF53" s="1">
        <f>AE53/VLOOKUP(A53,'[33]geoMap (30)'!$A:$B,2,0)*VLOOKUP(A53,'[33]geoMap (30)'!$A:$C,3,0)</f>
        <v>0.35391298012055922</v>
      </c>
      <c r="AG53" s="1">
        <f>AF53/VLOOKUP(A53,'[34]geoMap (31)'!$A:$B,2,0)*VLOOKUP(A53,'[34]geoMap (31)'!$A:$C,3,0)</f>
        <v>0.35391298012055922</v>
      </c>
      <c r="AH53" s="1">
        <f>AG53/VLOOKUP(A53,'[35]geoMap (32)'!$A:$B,2,0)*VLOOKUP(A53,'[35]geoMap (32)'!$A:$C,3,0)</f>
        <v>1.184839107360133</v>
      </c>
      <c r="AI53" s="1">
        <f>AH53/VLOOKUP(A53,'[36]geoMap (33)'!$A:$B,2,0)*VLOOKUP(A53,'[36]geoMap (33)'!$A:$C,3,0)</f>
        <v>0.20908925424002348</v>
      </c>
      <c r="AJ53" s="1">
        <f>AI53/VLOOKUP(A53,'[37]geoMap (34)'!$A:$B,2,0)*VLOOKUP(A53,'[37]geoMap (34)'!$A:$C,3,0)</f>
        <v>0.12815147840517568</v>
      </c>
      <c r="AK53" s="1">
        <f>AJ53/VLOOKUP(A53,'[38]geoMap (35)'!$A:$B,2,0)*VLOOKUP(A53,'[38]geoMap (35)'!$A:$C,3,0)</f>
        <v>0.51260591362070274</v>
      </c>
      <c r="AL53" s="1">
        <f>AK53/VLOOKUP(A53,'[39]geoMap (36)'!$A:$B,2,0)*VLOOKUP(A53,'[39]geoMap (36)'!$A:$C,3,0)</f>
        <v>3.7591100332184868</v>
      </c>
      <c r="AM53" s="1">
        <f>AL53/VLOOKUP(A53,'[40]geoMap (37)'!$A:$B,2,0)*VLOOKUP(A53,'[40]geoMap (37)'!$A:$C,3,0)</f>
        <v>0.32687913332334667</v>
      </c>
      <c r="AN53" s="1">
        <f>AM53/VLOOKUP(A53,'[41]geoMap (38)'!$A:$B,2,0)*VLOOKUP(A53,'[41]geoMap (38)'!$A:$C,3,0)</f>
        <v>0.43330489766118041</v>
      </c>
      <c r="AO53" s="1">
        <f>AN53/VLOOKUP(A53,'[42]geoMap (39)'!$A:$B,2,0)*VLOOKUP(A53,'[42]geoMap (39)'!$A:$C,3,0)</f>
        <v>0.25448065418196308</v>
      </c>
      <c r="AP53" s="1">
        <f>AO53/VLOOKUP(A53,'[43]geoMap (40)'!$A:$B,2,0)*VLOOKUP(A53,'[43]geoMap (40)'!$A:$C,3,0)</f>
        <v>0.11975560196798263</v>
      </c>
      <c r="AQ53" s="1">
        <f>AP53/VLOOKUP(A53,'[44]geoMap (41)'!$A:$B,2,0)*VLOOKUP(A53,'[44]geoMap (41)'!$A:$C,3,0)</f>
        <v>0.17963340295197394</v>
      </c>
      <c r="AR53" s="1">
        <f>AQ53/VLOOKUP(A53,'[45]geoMap (42)'!$A:$B,2,0)*VLOOKUP(A53,'[45]geoMap (42)'!$A:$C,3,0)</f>
        <v>0.19460285319797177</v>
      </c>
      <c r="AS53" s="1">
        <f>AR53/VLOOKUP(A53,'[46]geoMap (43)'!$A:$B,2,0)*VLOOKUP(A53,'[46]geoMap (43)'!$A:$C,3,0)</f>
        <v>0.36140529879623329</v>
      </c>
      <c r="AT53" s="1">
        <f>AS53/VLOOKUP(A53,'[47]geoMap (44)'!$A:$B,2,0)*VLOOKUP(A53,'[47]geoMap (44)'!$A:$C,3,0)</f>
        <v>0.13367045297942876</v>
      </c>
      <c r="AU53" s="1">
        <f>AT53/VLOOKUP(A53,'[48]geoMap (45)'!$A:$B,2,0)*VLOOKUP(A53,'[48]geoMap (45)'!$A:$C,3,0)</f>
        <v>0.15691748828019897</v>
      </c>
      <c r="AV53" s="1" t="e">
        <f>AU53/VLOOKUP(A53,'[49]geoMap (46)'!$A:$B,2,0)*VLOOKUP(A53,'[49]geoMap (46)'!$A:$C,3,0)</f>
        <v>#REF!</v>
      </c>
      <c r="AW53" s="1" t="e">
        <f>AV53/VLOOKUP(A53,'[50]geoMap (47)'!$A:$B,2,0)*VLOOKUP(A53,'[50]geoMap (47)'!$A:$C,3,0)</f>
        <v>#REF!</v>
      </c>
      <c r="AX53" s="4" t="e">
        <f>AW53/VLOOKUP(A53,'[51]geoMap (48)'!$A:$B,2,0)*VLOOKUP(A53,'[51]geoMap (48)'!$A:$C,3,0)</f>
        <v>#REF!</v>
      </c>
      <c r="AY53" s="1" t="e">
        <f>AX53/VLOOKUP(A53,'[52]geoMap (49)'!$A:$B,2,0)*VLOOKUP(A53,'[52]geoMap (49)'!$A:$C,3,0)</f>
        <v>#REF!</v>
      </c>
      <c r="AZ53" s="4" t="e">
        <f>AY53/VLOOKUP(A53,'[53]geoMap (50)'!$A:$B,2,0)*VLOOKUP(A53,'[53]geoMap (50)'!$A:$C,3,0)</f>
        <v>#REF!</v>
      </c>
      <c r="BA53" s="1" t="e">
        <f>AZ53/VLOOKUP(A53,'[54]geoMap (51)'!$A:$B,2,0)*VLOOKUP(A53,'[54]geoMap (51)'!$A:$C,3,0)</f>
        <v>#REF!</v>
      </c>
      <c r="BB53" s="4" t="e">
        <f>BA53/VLOOKUP(A53,'[55]geoMap (52)'!$A:$B,2,0)*VLOOKUP(A53,'[55]geoMap (52)'!$A:$C,3,0)</f>
        <v>#REF!</v>
      </c>
      <c r="BC53" s="1" t="e">
        <f>BB53/VLOOKUP(A53,'[56]geoMap (53)'!$A:$B,2,0)*VLOOKUP(A53,'[56]geoMap (53)'!$A:$C,3,0)</f>
        <v>#REF!</v>
      </c>
      <c r="BD53" s="4" t="e">
        <f>BC53/VLOOKUP(A53,'[57]geoMap (54)'!$A:$B,2,0)*VLOOKUP(A53,'[57]geoMap (54)'!$A:$C,3,0)</f>
        <v>#REF!</v>
      </c>
      <c r="BE53" s="1" t="e">
        <f>BD53/VLOOKUP(A53,'[58]geoMap (55)'!$A:$B,2,0)*VLOOKUP(A53,'[58]geoMap (55)'!$A:$C,3,0)</f>
        <v>#REF!</v>
      </c>
      <c r="BF53" s="4" t="e">
        <f>BE53/VLOOKUP(A53,'[59]geoMap (56)'!$A:$B,2,0)*VLOOKUP(A53,'[59]geoMap (56)'!$A:$C,3,0)</f>
        <v>#REF!</v>
      </c>
      <c r="BG53" s="1" t="e">
        <f>BF53/VLOOKUP(A53,'[60]geoMap (57)'!$A:$B,2,0)*VLOOKUP(A53,'[60]geoMap (57)'!$A:$C,3,0)</f>
        <v>#REF!</v>
      </c>
      <c r="BH53" s="4" t="e">
        <f>BG53/VLOOKUP(A53,'[61]geoMap (58)'!$A:$B,2,0)*VLOOKUP(A53,'[61]geoMap (58)'!$A:$C,3,0)</f>
        <v>#REF!</v>
      </c>
      <c r="BI53" s="1" t="e">
        <f>BH53/VLOOKUP(A53,'[62]geoMap (59)'!$A:$B,2,0)*VLOOKUP(A53,'[62]geoMap (59)'!$A:$C,3,0)</f>
        <v>#REF!</v>
      </c>
      <c r="BJ53" s="4" t="e">
        <f>BI53/VLOOKUP(A53,'[63]geoMap (60)'!$A:$B,2,0)*VLOOKUP(A53,'[63]geoMap (60)'!$A:$C,3,0)</f>
        <v>#REF!</v>
      </c>
      <c r="BK53" s="1" t="e">
        <f>BJ53/VLOOKUP(A53,'[64]geoMap (61)'!$A:$B,2,0)*VLOOKUP(A53,'[64]geoMap (61)'!$A:$C,3,0)</f>
        <v>#REF!</v>
      </c>
      <c r="BL53" s="4" t="e">
        <f>BK53/VLOOKUP(A53,'[65]geoMap (62)'!$A:$B,2,0)*VLOOKUP(A53,'[65]geoMap (62)'!$A:$C,3,0)</f>
        <v>#REF!</v>
      </c>
      <c r="BM53" s="1" t="e">
        <f>BL53/VLOOKUP(A53,'[66]geoMap (63)'!$A:$B,2,0)*VLOOKUP(A53,'[66]geoMap (63)'!$A:$C,3,0)</f>
        <v>#REF!</v>
      </c>
      <c r="BN53" s="4" t="e">
        <f>BM53/VLOOKUP(A53,'[67]geoMap (64)'!$A:$B,2,0)*VLOOKUP(A53,'[67]geoMap (64)'!$A:$C,3,0)</f>
        <v>#REF!</v>
      </c>
      <c r="BO53" s="1" t="e">
        <f>BN53/VLOOKUP(A53,'[68]geoMap (65)'!$A:$B,2,0)*VLOOKUP(A53,'[68]geoMap (65)'!$A:$C,3,0)</f>
        <v>#REF!</v>
      </c>
      <c r="BP53" s="4" t="e">
        <f>BO53/VLOOKUP(A53,'[69]geoMap (66)'!$A:$B,2,0)*VLOOKUP(A53,'[69]geoMap (66)'!$A:$C,3,0)</f>
        <v>#REF!</v>
      </c>
    </row>
    <row r="54" spans="1:68" x14ac:dyDescent="0.2">
      <c r="A54" s="1" t="s">
        <v>127</v>
      </c>
      <c r="B54" s="1">
        <f>VLOOKUP(A54,[3]geoMap!$A:$B,2,0)*Notes!$C$6</f>
        <v>4000</v>
      </c>
      <c r="C54" s="1">
        <f>B54/VLOOKUP(A54,'[4]geoMap (1)'!$A:$B,2,0)*VLOOKUP(A54,'[4]geoMap (1)'!$A:$C,3,0)</f>
        <v>5756.0975609756097</v>
      </c>
      <c r="D54" s="1">
        <f>C54/VLOOKUP(A54,'[5]geoMap (2)'!$A:$B,2,0)*VLOOKUP(A54,'[5]geoMap (2)'!$A:$C,3,0)</f>
        <v>5104.4638748274265</v>
      </c>
      <c r="E54" s="1">
        <f>D54/VLOOKUP(A54,'[6]geoMap (3)'!$A:$B,2,0)*VLOOKUP(A54,'[6]geoMap (3)'!$A:$C,3,0)</f>
        <v>3696.3359093577919</v>
      </c>
      <c r="F54" s="1">
        <f>E54/VLOOKUP(A54,'[7]geoMap (4)'!$A:$B,2,0)*VLOOKUP(A54,'[7]geoMap (4)'!$A:$C,3,0)</f>
        <v>2904.2639287811221</v>
      </c>
      <c r="G54" s="1">
        <f>F54/VLOOKUP(A54,'[8]geoMap (5)'!$A:$B,2,0)*VLOOKUP(A54,'[8]geoMap (5)'!$A:$C,3,0)</f>
        <v>3275.0210260723293</v>
      </c>
      <c r="H54" s="1">
        <f>G54/VLOOKUP(A54,'[9]geoMap (6)'!$A:$B,2,0)*VLOOKUP(A54,'[9]geoMap (6)'!$A:$C,3,0)</f>
        <v>1091.673675357443</v>
      </c>
      <c r="I54" s="1">
        <f>H54/VLOOKUP(A54,'[10]geoMap (7)'!$A:$B,2,0)*VLOOKUP(A54,'[10]geoMap (7)'!$A:$C,3,0)</f>
        <v>1281.5299667239549</v>
      </c>
      <c r="J54" s="1">
        <f>I54/VLOOKUP(A54,'[11]geoMap (8)'!$A:$B,2,0)*VLOOKUP(A54,'[11]geoMap (8)'!$A:$C,3,0)</f>
        <v>1231.2738895975251</v>
      </c>
      <c r="K54" s="1">
        <f>J54/VLOOKUP(A54,'[12]geoMap (9)'!$A:$B,2,0)*VLOOKUP(A54,'[12]geoMap (9)'!$A:$C,3,0)</f>
        <v>855.63100802539884</v>
      </c>
      <c r="L54" s="1">
        <f>K54/VLOOKUP(A54,'[13]geoMap (10)'!$A:$B,2,0)*VLOOKUP(A54,'[13]geoMap (10)'!$A:$C,3,0)</f>
        <v>481.29244201428679</v>
      </c>
      <c r="M54" s="1">
        <f>L54/VLOOKUP(A54,'[14]geoMap (11)'!$A:$B,2,0)*VLOOKUP(A54,'[14]geoMap (11)'!$A:$C,3,0)</f>
        <v>612.55401710909223</v>
      </c>
      <c r="N54" s="1">
        <f>M54/VLOOKUP(A54,'[15]geoMap (12)'!$A:$B,2,0)*VLOOKUP(A54,'[15]geoMap (12)'!$A:$C,3,0)</f>
        <v>588.53229094795142</v>
      </c>
      <c r="O54" s="1">
        <f>N54/VLOOKUP(A54,'[16]geoMap (13)'!$A:$B,2,0)*VLOOKUP(A54,'[16]geoMap (13)'!$A:$C,3,0)</f>
        <v>316.9020028181277</v>
      </c>
      <c r="P54" s="1">
        <f>O54/VLOOKUP(A54,'[17]geoMap (14)'!$A:$B,2,0)*VLOOKUP(A54,'[17]geoMap (14)'!$A:$C,3,0)</f>
        <v>248.99443078567177</v>
      </c>
      <c r="Q54" s="1">
        <f>P54/VLOOKUP(A54,'[18]geoMap (15)'!$A:$B,2,0)*VLOOKUP(A54,'[18]geoMap (15)'!$A:$C,3,0)</f>
        <v>203.72271609736779</v>
      </c>
      <c r="R54" s="1">
        <f>Q54/VLOOKUP(A54,'[19]geoMap (16)'!$A:$B,2,0)*VLOOKUP(A54,'[19]geoMap (16)'!$A:$C,3,0)</f>
        <v>141.57002305071322</v>
      </c>
      <c r="S54" s="1">
        <f>R54/VLOOKUP(A54,'[20]geoMap (17)'!$A:$B,2,0)*VLOOKUP(A54,'[20]geoMap (17)'!$A:$C,3,0)</f>
        <v>83.144299252006164</v>
      </c>
      <c r="T54" s="1">
        <f>S54/VLOOKUP(A54,'[21]geoMap (18)'!$A:$B,2,0)*VLOOKUP(A54,'[21]geoMap (18)'!$A:$C,3,0)</f>
        <v>70.826625288745987</v>
      </c>
      <c r="U54" s="1">
        <f>T54/VLOOKUP(A54,'[22]geoMap (19)'!$A:$B,2,0)*VLOOKUP(A54,'[22]geoMap (19)'!$A:$C,3,0)</f>
        <v>137.48697850168338</v>
      </c>
      <c r="V54" s="1">
        <f>U54/VLOOKUP(A54,'[23]geoMap (20)'!$A:$B,2,0)*VLOOKUP(A54,'[23]geoMap (20)'!$A:$C,3,0)</f>
        <v>117.11853724217472</v>
      </c>
      <c r="W54" s="1">
        <f>V54/VLOOKUP(A54,'[24]geoMap (21)'!$A:$B,2,0)*VLOOKUP(A54,'[24]geoMap (21)'!$A:$C,3,0)</f>
        <v>34.983459176234007</v>
      </c>
      <c r="X54" s="1">
        <f>W54/VLOOKUP(A54,'[25]geoMap (22)'!$A:$B,2,0)*VLOOKUP(A54,'[25]geoMap (22)'!$A:$C,3,0)</f>
        <v>48.31049124337077</v>
      </c>
      <c r="Y54" s="1">
        <f>X54/VLOOKUP(A54,'[26]geoMap (23)'!$A:$B,2,0)*VLOOKUP(A54,'[26]geoMap (23)'!$A:$C,3,0)</f>
        <v>33.571697304715279</v>
      </c>
      <c r="Z54" s="1">
        <f>Y54/VLOOKUP(A54,'[27]geoMap (24)'!$A:$B,2,0)*VLOOKUP(A54,'[27]geoMap (24)'!$A:$C,3,0)</f>
        <v>33.571697304715279</v>
      </c>
      <c r="AA54" s="1">
        <f>Z54/VLOOKUP(A54,'[28]geoMap (25)'!$A:$B,2,0)*VLOOKUP(A54,'[28]geoMap (25)'!$A:$C,3,0)</f>
        <v>25.326017264960651</v>
      </c>
      <c r="AB54" s="1">
        <f>AA54*VLOOKUP(A54,'[29]geoMap (26)'!$A:$B,2,0)*VLOOKUP(A54,'[29]geoMap (26)'!$A:$C,3,0)</f>
        <v>5.7616689277785476</v>
      </c>
      <c r="AC54" s="1">
        <f>AB54/VLOOKUP(A54,'[30]geoMap (27)'!$A:$B,2,0)*VLOOKUP(A54,'[30]geoMap (27)'!$A:$C,3,0)</f>
        <v>3.683689970219072</v>
      </c>
      <c r="AD54" s="1">
        <f>AC54/VLOOKUP(A54,'[31]geoMap (28)'!$A:$B,2,0)*VLOOKUP(A54,'[31]geoMap (28)'!$A:$C,3,0)</f>
        <v>4.6883326893697275</v>
      </c>
      <c r="AE54" s="1">
        <f>AD54/VLOOKUP(A54,'[32]geoMap (29)'!$A:$B,2,0)*VLOOKUP(A54,'[32]geoMap (29)'!$A:$C,3,0)</f>
        <v>8.7069035659723522</v>
      </c>
      <c r="AF54" s="1">
        <f>AE54/VLOOKUP(A54,'[33]geoMap (30)'!$A:$B,2,0)*VLOOKUP(A54,'[33]geoMap (30)'!$A:$C,3,0)</f>
        <v>2.176725891493088</v>
      </c>
      <c r="AG54" s="1">
        <f>AF54/VLOOKUP(A54,'[34]geoMap (31)'!$A:$B,2,0)*VLOOKUP(A54,'[34]geoMap (31)'!$A:$C,3,0)</f>
        <v>2.5552869161005818</v>
      </c>
      <c r="AH54" s="1">
        <f>AG54/VLOOKUP(A54,'[35]geoMap (32)'!$A:$B,2,0)*VLOOKUP(A54,'[35]geoMap (32)'!$A:$C,3,0)</f>
        <v>2.2660091520137229</v>
      </c>
      <c r="AI54" s="1">
        <f>AH54/VLOOKUP(A54,'[36]geoMap (33)'!$A:$B,2,0)*VLOOKUP(A54,'[36]geoMap (33)'!$A:$C,3,0)</f>
        <v>2.5552869161005818</v>
      </c>
      <c r="AJ54" s="1">
        <f>AI54/VLOOKUP(A54,'[37]geoMap (34)'!$A:$B,2,0)*VLOOKUP(A54,'[37]geoMap (34)'!$A:$C,3,0)</f>
        <v>5.4299846967137366</v>
      </c>
      <c r="AK54" s="1">
        <f>AJ54/VLOOKUP(A54,'[38]geoMap (35)'!$A:$B,2,0)*VLOOKUP(A54,'[38]geoMap (35)'!$A:$C,3,0)</f>
        <v>4.8152694480291629</v>
      </c>
      <c r="AL54" s="1">
        <f>AK54/VLOOKUP(A54,'[39]geoMap (36)'!$A:$B,2,0)*VLOOKUP(A54,'[39]geoMap (36)'!$A:$C,3,0)</f>
        <v>0.59514566211596398</v>
      </c>
      <c r="AM54" s="1">
        <f>AL54/VLOOKUP(A54,'[40]geoMap (37)'!$A:$B,2,0)*VLOOKUP(A54,'[40]geoMap (37)'!$A:$C,3,0)</f>
        <v>1.0133561273866414</v>
      </c>
      <c r="AN54" s="1">
        <f>AM54/VLOOKUP(A54,'[41]geoMap (38)'!$A:$B,2,0)*VLOOKUP(A54,'[41]geoMap (38)'!$A:$C,3,0)</f>
        <v>1.289725980310271</v>
      </c>
      <c r="AO54" s="1">
        <f>AN54/VLOOKUP(A54,'[42]geoMap (39)'!$A:$B,2,0)*VLOOKUP(A54,'[42]geoMap (39)'!$A:$C,3,0)</f>
        <v>0.85981732020684731</v>
      </c>
      <c r="AP54" s="1">
        <f>AO54/VLOOKUP(A54,'[43]geoMap (40)'!$A:$B,2,0)*VLOOKUP(A54,'[43]geoMap (40)'!$A:$C,3,0)</f>
        <v>0.70348689835105682</v>
      </c>
      <c r="AQ54" s="1">
        <f>AP54/VLOOKUP(A54,'[44]geoMap (41)'!$A:$B,2,0)*VLOOKUP(A54,'[44]geoMap (41)'!$A:$C,3,0)</f>
        <v>0.3624023415747869</v>
      </c>
      <c r="AR54" s="1">
        <f>AQ54/VLOOKUP(A54,'[45]geoMap (42)'!$A:$B,2,0)*VLOOKUP(A54,'[45]geoMap (42)'!$A:$C,3,0)</f>
        <v>0.70348689835105693</v>
      </c>
      <c r="AS54" s="1">
        <f>AR54/VLOOKUP(A54,'[46]geoMap (43)'!$A:$B,2,0)*VLOOKUP(A54,'[46]geoMap (43)'!$A:$C,3,0)</f>
        <v>0.55273970584725896</v>
      </c>
      <c r="AT54" s="1">
        <f>AS54/VLOOKUP(A54,'[47]geoMap (44)'!$A:$B,2,0)*VLOOKUP(A54,'[47]geoMap (44)'!$A:$C,3,0)</f>
        <v>0.23688844536311099</v>
      </c>
      <c r="AU54" s="1">
        <f>AT54/VLOOKUP(A54,'[48]geoMap (45)'!$A:$B,2,0)*VLOOKUP(A54,'[48]geoMap (45)'!$A:$C,3,0)</f>
        <v>0.52726783000176314</v>
      </c>
      <c r="AV54" s="1">
        <f>AU54/VLOOKUP(A54,'[49]geoMap (46)'!$A:$B,2,0)*VLOOKUP(A54,'[49]geoMap (46)'!$A:$C,3,0)</f>
        <v>0.22597192714361278</v>
      </c>
      <c r="AW54" s="1">
        <f>AV54/VLOOKUP(A54,'[50]geoMap (47)'!$A:$B,2,0)*VLOOKUP(A54,'[50]geoMap (47)'!$A:$C,3,0)</f>
        <v>0.32517911467007687</v>
      </c>
      <c r="AX54" s="4">
        <f>AW54/VLOOKUP(A54,'[51]geoMap (48)'!$A:$B,2,0)*VLOOKUP(A54,'[51]geoMap (48)'!$A:$C,3,0)</f>
        <v>0.2660556392755174</v>
      </c>
      <c r="AY54" s="1">
        <f>AX54/VLOOKUP(A54,'[52]geoMap (49)'!$A:$B,2,0)*VLOOKUP(A54,'[52]geoMap (49)'!$A:$C,3,0)</f>
        <v>0.22663998901247775</v>
      </c>
      <c r="AZ54" s="4">
        <f>AY54/VLOOKUP(A54,'[53]geoMap (50)'!$A:$B,2,0)*VLOOKUP(A54,'[53]geoMap (50)'!$A:$C,3,0)</f>
        <v>0.22663998901247775</v>
      </c>
      <c r="BA54" s="1" t="e">
        <f>AZ54/VLOOKUP(A54,'[54]geoMap (51)'!$A:$B,2,0)*VLOOKUP(A54,'[54]geoMap (51)'!$A:$C,3,0)</f>
        <v>#REF!</v>
      </c>
      <c r="BB54" s="4" t="e">
        <f>BA54/VLOOKUP(A54,'[55]geoMap (52)'!$A:$B,2,0)*VLOOKUP(A54,'[55]geoMap (52)'!$A:$C,3,0)</f>
        <v>#REF!</v>
      </c>
      <c r="BC54" s="1" t="e">
        <f>BB54/VLOOKUP(A54,'[56]geoMap (53)'!$A:$B,2,0)*VLOOKUP(A54,'[56]geoMap (53)'!$A:$C,3,0)</f>
        <v>#REF!</v>
      </c>
      <c r="BD54" s="4" t="e">
        <f>BC54/VLOOKUP(A54,'[57]geoMap (54)'!$A:$B,2,0)*VLOOKUP(A54,'[57]geoMap (54)'!$A:$C,3,0)</f>
        <v>#REF!</v>
      </c>
      <c r="BE54" s="1" t="e">
        <f>BD54/VLOOKUP(A54,'[58]geoMap (55)'!$A:$B,2,0)*VLOOKUP(A54,'[58]geoMap (55)'!$A:$C,3,0)</f>
        <v>#REF!</v>
      </c>
      <c r="BF54" s="4" t="e">
        <f>BE54/VLOOKUP(A54,'[59]geoMap (56)'!$A:$B,2,0)*VLOOKUP(A54,'[59]geoMap (56)'!$A:$C,3,0)</f>
        <v>#REF!</v>
      </c>
      <c r="BG54" s="1" t="e">
        <f>BF54/VLOOKUP(A54,'[60]geoMap (57)'!$A:$B,2,0)*VLOOKUP(A54,'[60]geoMap (57)'!$A:$C,3,0)</f>
        <v>#REF!</v>
      </c>
      <c r="BH54" s="4" t="e">
        <f>BG54/VLOOKUP(A54,'[61]geoMap (58)'!$A:$B,2,0)*VLOOKUP(A54,'[61]geoMap (58)'!$A:$C,3,0)</f>
        <v>#REF!</v>
      </c>
      <c r="BI54" s="1" t="e">
        <f>BH54/VLOOKUP(A54,'[62]geoMap (59)'!$A:$B,2,0)*VLOOKUP(A54,'[62]geoMap (59)'!$A:$C,3,0)</f>
        <v>#REF!</v>
      </c>
      <c r="BJ54" s="4" t="e">
        <f>BI54/VLOOKUP(A54,'[63]geoMap (60)'!$A:$B,2,0)*VLOOKUP(A54,'[63]geoMap (60)'!$A:$C,3,0)</f>
        <v>#REF!</v>
      </c>
      <c r="BK54" s="1" t="e">
        <f>BJ54/VLOOKUP(A54,'[64]geoMap (61)'!$A:$B,2,0)*VLOOKUP(A54,'[64]geoMap (61)'!$A:$C,3,0)</f>
        <v>#REF!</v>
      </c>
      <c r="BL54" s="4" t="e">
        <f>BK54/VLOOKUP(A54,'[65]geoMap (62)'!$A:$B,2,0)*VLOOKUP(A54,'[65]geoMap (62)'!$A:$C,3,0)</f>
        <v>#REF!</v>
      </c>
      <c r="BM54" s="1" t="e">
        <f>BL54/VLOOKUP(A54,'[66]geoMap (63)'!$A:$B,2,0)*VLOOKUP(A54,'[66]geoMap (63)'!$A:$C,3,0)</f>
        <v>#REF!</v>
      </c>
      <c r="BN54" s="4" t="e">
        <f>BM54/VLOOKUP(A54,'[67]geoMap (64)'!$A:$B,2,0)*VLOOKUP(A54,'[67]geoMap (64)'!$A:$C,3,0)</f>
        <v>#REF!</v>
      </c>
      <c r="BO54" s="1" t="e">
        <f>BN54/VLOOKUP(A54,'[68]geoMap (65)'!$A:$B,2,0)*VLOOKUP(A54,'[68]geoMap (65)'!$A:$C,3,0)</f>
        <v>#REF!</v>
      </c>
      <c r="BP54" s="4" t="e">
        <f>BO54/VLOOKUP(A54,'[69]geoMap (66)'!$A:$B,2,0)*VLOOKUP(A54,'[69]geoMap (66)'!$A:$C,3,0)</f>
        <v>#REF!</v>
      </c>
    </row>
    <row r="55" spans="1:68" x14ac:dyDescent="0.2">
      <c r="A55" s="1" t="s">
        <v>133</v>
      </c>
      <c r="B55" s="1">
        <f>VLOOKUP(A55,[3]geoMap!$A:$B,2,0)*Notes!$C$6</f>
        <v>4000</v>
      </c>
      <c r="C55" s="1">
        <f>B55/VLOOKUP(A55,'[4]geoMap (1)'!$A:$B,2,0)*VLOOKUP(A55,'[4]geoMap (1)'!$A:$C,3,0)</f>
        <v>5756.0975609756097</v>
      </c>
      <c r="D55" s="1">
        <f>C55/VLOOKUP(A55,'[5]geoMap (2)'!$A:$B,2,0)*VLOOKUP(A55,'[5]geoMap (2)'!$A:$C,3,0)</f>
        <v>6235.7723577235774</v>
      </c>
      <c r="E55" s="1">
        <f>D55/VLOOKUP(A55,'[6]geoMap (3)'!$A:$B,2,0)*VLOOKUP(A55,'[6]geoMap (3)'!$A:$C,3,0)</f>
        <v>5756.0975609756097</v>
      </c>
      <c r="F55" s="1">
        <f>E55/VLOOKUP(A55,'[7]geoMap (4)'!$A:$B,2,0)*VLOOKUP(A55,'[7]geoMap (4)'!$A:$C,3,0)</f>
        <v>4522.6480836236924</v>
      </c>
      <c r="G55" s="1">
        <f>F55/VLOOKUP(A55,'[8]geoMap (5)'!$A:$B,2,0)*VLOOKUP(A55,'[8]geoMap (5)'!$A:$C,3,0)</f>
        <v>4010.6501873644061</v>
      </c>
      <c r="H55" s="1">
        <f>G55/VLOOKUP(A55,'[9]geoMap (6)'!$A:$B,2,0)*VLOOKUP(A55,'[9]geoMap (6)'!$A:$C,3,0)</f>
        <v>1266.521111799286</v>
      </c>
      <c r="I55" s="1">
        <f>H55/VLOOKUP(A55,'[10]geoMap (7)'!$A:$B,2,0)*VLOOKUP(A55,'[10]geoMap (7)'!$A:$C,3,0)</f>
        <v>2571.4216512288535</v>
      </c>
      <c r="J55" s="1">
        <f>I55/VLOOKUP(A55,'[11]geoMap (8)'!$A:$B,2,0)*VLOOKUP(A55,'[11]geoMap (8)'!$A:$C,3,0)</f>
        <v>1786.9201305149659</v>
      </c>
      <c r="K55" s="1">
        <f>J55/VLOOKUP(A55,'[12]geoMap (9)'!$A:$B,2,0)*VLOOKUP(A55,'[12]geoMap (9)'!$A:$C,3,0)</f>
        <v>1191.2800870099773</v>
      </c>
      <c r="L55" s="1">
        <f>K55/VLOOKUP(A55,'[13]geoMap (10)'!$A:$B,2,0)*VLOOKUP(A55,'[13]geoMap (10)'!$A:$C,3,0)</f>
        <v>794.18672467331817</v>
      </c>
      <c r="M55" s="1">
        <f>L55/VLOOKUP(A55,'[14]geoMap (11)'!$A:$B,2,0)*VLOOKUP(A55,'[14]geoMap (11)'!$A:$C,3,0)</f>
        <v>895.57226399331626</v>
      </c>
      <c r="N55" s="1">
        <f>M55/VLOOKUP(A55,'[15]geoMap (12)'!$A:$B,2,0)*VLOOKUP(A55,'[15]geoMap (12)'!$A:$C,3,0)</f>
        <v>703.66392170903407</v>
      </c>
      <c r="O55" s="1">
        <f>N55/VLOOKUP(A55,'[16]geoMap (13)'!$A:$B,2,0)*VLOOKUP(A55,'[16]geoMap (13)'!$A:$C,3,0)</f>
        <v>378.89595784332602</v>
      </c>
      <c r="P55" s="1">
        <f>O55/VLOOKUP(A55,'[17]geoMap (14)'!$A:$B,2,0)*VLOOKUP(A55,'[17]geoMap (14)'!$A:$C,3,0)</f>
        <v>263.30058087417569</v>
      </c>
      <c r="Q55" s="1">
        <f>P55/VLOOKUP(A55,'[18]geoMap (15)'!$A:$B,2,0)*VLOOKUP(A55,'[18]geoMap (15)'!$A:$C,3,0)</f>
        <v>274.04754335883592</v>
      </c>
      <c r="R55" s="1">
        <f>Q55/VLOOKUP(A55,'[19]geoMap (16)'!$A:$B,2,0)*VLOOKUP(A55,'[19]geoMap (16)'!$A:$C,3,0)</f>
        <v>167.96462334896395</v>
      </c>
      <c r="S55" s="1">
        <f>R55/VLOOKUP(A55,'[20]geoMap (17)'!$A:$B,2,0)*VLOOKUP(A55,'[20]geoMap (17)'!$A:$C,3,0)</f>
        <v>411.22373302677386</v>
      </c>
      <c r="T55" s="1">
        <f>S55/VLOOKUP(A55,'[21]geoMap (18)'!$A:$B,2,0)*VLOOKUP(A55,'[21]geoMap (18)'!$A:$C,3,0)</f>
        <v>109.31263789319304</v>
      </c>
      <c r="U55" s="1">
        <f>T55/VLOOKUP(A55,'[22]geoMap (19)'!$A:$B,2,0)*VLOOKUP(A55,'[22]geoMap (19)'!$A:$C,3,0)</f>
        <v>105.0258677797345</v>
      </c>
      <c r="V55" s="1">
        <f>U55/VLOOKUP(A55,'[23]geoMap (20)'!$A:$B,2,0)*VLOOKUP(A55,'[23]geoMap (20)'!$A:$C,3,0)</f>
        <v>139.22033635918294</v>
      </c>
      <c r="W55" s="1">
        <f>V55/VLOOKUP(A55,'[24]geoMap (21)'!$A:$B,2,0)*VLOOKUP(A55,'[24]geoMap (21)'!$A:$C,3,0)</f>
        <v>51.492453173944376</v>
      </c>
      <c r="X55" s="1">
        <f>W55/VLOOKUP(A55,'[25]geoMap (22)'!$A:$B,2,0)*VLOOKUP(A55,'[25]geoMap (22)'!$A:$C,3,0)</f>
        <v>104.54528371679615</v>
      </c>
      <c r="Y55" s="1">
        <f>X55/VLOOKUP(A55,'[26]geoMap (23)'!$A:$B,2,0)*VLOOKUP(A55,'[26]geoMap (23)'!$A:$C,3,0)</f>
        <v>82.142722920339821</v>
      </c>
      <c r="Z55" s="1">
        <f>Y55/VLOOKUP(A55,'[27]geoMap (24)'!$A:$B,2,0)*VLOOKUP(A55,'[27]geoMap (24)'!$A:$C,3,0)</f>
        <v>52.517478588413987</v>
      </c>
      <c r="AA55" s="1">
        <f>Z55/VLOOKUP(A55,'[28]geoMap (25)'!$A:$B,2,0)*VLOOKUP(A55,'[28]geoMap (25)'!$A:$C,3,0)</f>
        <v>38.029898288161853</v>
      </c>
      <c r="AB55" s="1">
        <f>AA55*VLOOKUP(A55,'[29]geoMap (26)'!$A:$B,2,0)*VLOOKUP(A55,'[29]geoMap (26)'!$A:$C,3,0)</f>
        <v>9.32112807042847</v>
      </c>
      <c r="AC55" s="1">
        <f>AB55/VLOOKUP(A55,'[30]geoMap (27)'!$A:$B,2,0)*VLOOKUP(A55,'[30]geoMap (27)'!$A:$C,3,0)</f>
        <v>5.2431345396160136</v>
      </c>
      <c r="AD55" s="1">
        <f>AC55/VLOOKUP(A55,'[31]geoMap (28)'!$A:$B,2,0)*VLOOKUP(A55,'[31]geoMap (28)'!$A:$C,3,0)</f>
        <v>6.154984024766625</v>
      </c>
      <c r="AE55" s="1">
        <f>AD55/VLOOKUP(A55,'[32]geoMap (29)'!$A:$B,2,0)*VLOOKUP(A55,'[32]geoMap (29)'!$A:$C,3,0)</f>
        <v>4.8360588766023476</v>
      </c>
      <c r="AF55" s="1">
        <f>AE55/VLOOKUP(A55,'[33]geoMap (30)'!$A:$B,2,0)*VLOOKUP(A55,'[33]geoMap (30)'!$A:$C,3,0)</f>
        <v>3.2240392510682323</v>
      </c>
      <c r="AG55" s="1">
        <f>AF55/VLOOKUP(A55,'[34]geoMap (31)'!$A:$B,2,0)*VLOOKUP(A55,'[34]geoMap (31)'!$A:$C,3,0)</f>
        <v>4.8360588766023476</v>
      </c>
      <c r="AH55" s="1">
        <f>AG55/VLOOKUP(A55,'[35]geoMap (32)'!$A:$B,2,0)*VLOOKUP(A55,'[35]geoMap (32)'!$A:$C,3,0)</f>
        <v>2.7202831180888203</v>
      </c>
      <c r="AI55" s="1">
        <f>AH55/VLOOKUP(A55,'[36]geoMap (33)'!$A:$B,2,0)*VLOOKUP(A55,'[36]geoMap (33)'!$A:$C,3,0)</f>
        <v>1.6672702981834706</v>
      </c>
      <c r="AJ55" s="1">
        <f>AI55/VLOOKUP(A55,'[37]geoMap (34)'!$A:$B,2,0)*VLOOKUP(A55,'[37]geoMap (34)'!$A:$C,3,0)</f>
        <v>1.7353221470889184</v>
      </c>
      <c r="AK55" s="1">
        <f>AJ55/VLOOKUP(A55,'[38]geoMap (35)'!$A:$B,2,0)*VLOOKUP(A55,'[38]geoMap (35)'!$A:$C,3,0)</f>
        <v>1.879932326012995</v>
      </c>
      <c r="AL55" s="1" t="e">
        <f>AK55/VLOOKUP(A55,'[39]geoMap (36)'!$A:$B,2,0)*VLOOKUP(A55,'[39]geoMap (36)'!$A:$C,3,0)</f>
        <v>#REF!</v>
      </c>
      <c r="AM55" s="1" t="e">
        <f>AL55/VLOOKUP(A55,'[40]geoMap (37)'!$A:$B,2,0)*VLOOKUP(A55,'[40]geoMap (37)'!$A:$C,3,0)</f>
        <v>#REF!</v>
      </c>
      <c r="AN55" s="1" t="e">
        <f>AM55/VLOOKUP(A55,'[41]geoMap (38)'!$A:$B,2,0)*VLOOKUP(A55,'[41]geoMap (38)'!$A:$C,3,0)</f>
        <v>#REF!</v>
      </c>
      <c r="AO55" s="1" t="e">
        <f>AN55/VLOOKUP(A55,'[42]geoMap (39)'!$A:$B,2,0)*VLOOKUP(A55,'[42]geoMap (39)'!$A:$C,3,0)</f>
        <v>#REF!</v>
      </c>
      <c r="AP55" s="1" t="e">
        <f>AO55/VLOOKUP(A55,'[43]geoMap (40)'!$A:$B,2,0)*VLOOKUP(A55,'[43]geoMap (40)'!$A:$C,3,0)</f>
        <v>#REF!</v>
      </c>
      <c r="AQ55" s="1" t="e">
        <f>AP55/VLOOKUP(A55,'[44]geoMap (41)'!$A:$B,2,0)*VLOOKUP(A55,'[44]geoMap (41)'!$A:$C,3,0)</f>
        <v>#REF!</v>
      </c>
      <c r="AR55" s="1" t="e">
        <f>AQ55/VLOOKUP(A55,'[45]geoMap (42)'!$A:$B,2,0)*VLOOKUP(A55,'[45]geoMap (42)'!$A:$C,3,0)</f>
        <v>#REF!</v>
      </c>
      <c r="AS55" s="1" t="e">
        <f>AR55/VLOOKUP(A55,'[46]geoMap (43)'!$A:$B,2,0)*VLOOKUP(A55,'[46]geoMap (43)'!$A:$C,3,0)</f>
        <v>#REF!</v>
      </c>
      <c r="AT55" s="1" t="e">
        <f>AS55/VLOOKUP(A55,'[47]geoMap (44)'!$A:$B,2,0)*VLOOKUP(A55,'[47]geoMap (44)'!$A:$C,3,0)</f>
        <v>#REF!</v>
      </c>
      <c r="AU55" s="1" t="e">
        <f>AT55/VLOOKUP(A55,'[48]geoMap (45)'!$A:$B,2,0)*VLOOKUP(A55,'[48]geoMap (45)'!$A:$C,3,0)</f>
        <v>#REF!</v>
      </c>
      <c r="AV55" s="1" t="e">
        <f>AU55/VLOOKUP(A55,'[49]geoMap (46)'!$A:$B,2,0)*VLOOKUP(A55,'[49]geoMap (46)'!$A:$C,3,0)</f>
        <v>#REF!</v>
      </c>
      <c r="AW55" s="1" t="e">
        <f>AV55/VLOOKUP(A55,'[50]geoMap (47)'!$A:$B,2,0)*VLOOKUP(A55,'[50]geoMap (47)'!$A:$C,3,0)</f>
        <v>#REF!</v>
      </c>
      <c r="AX55" s="4" t="e">
        <f>AW55/VLOOKUP(A55,'[51]geoMap (48)'!$A:$B,2,0)*VLOOKUP(A55,'[51]geoMap (48)'!$A:$C,3,0)</f>
        <v>#REF!</v>
      </c>
      <c r="AY55" s="1" t="e">
        <f>AX55/VLOOKUP(A55,'[52]geoMap (49)'!$A:$B,2,0)*VLOOKUP(A55,'[52]geoMap (49)'!$A:$C,3,0)</f>
        <v>#REF!</v>
      </c>
      <c r="AZ55" s="4" t="e">
        <f>AY55/VLOOKUP(A55,'[53]geoMap (50)'!$A:$B,2,0)*VLOOKUP(A55,'[53]geoMap (50)'!$A:$C,3,0)</f>
        <v>#REF!</v>
      </c>
      <c r="BA55" s="1" t="e">
        <f>AZ55/VLOOKUP(A55,'[54]geoMap (51)'!$A:$B,2,0)*VLOOKUP(A55,'[54]geoMap (51)'!$A:$C,3,0)</f>
        <v>#REF!</v>
      </c>
      <c r="BB55" s="4" t="e">
        <f>BA55/VLOOKUP(A55,'[55]geoMap (52)'!$A:$B,2,0)*VLOOKUP(A55,'[55]geoMap (52)'!$A:$C,3,0)</f>
        <v>#REF!</v>
      </c>
      <c r="BC55" s="1" t="e">
        <f>BB55/VLOOKUP(A55,'[56]geoMap (53)'!$A:$B,2,0)*VLOOKUP(A55,'[56]geoMap (53)'!$A:$C,3,0)</f>
        <v>#REF!</v>
      </c>
      <c r="BD55" s="4" t="e">
        <f>BC55/VLOOKUP(A55,'[57]geoMap (54)'!$A:$B,2,0)*VLOOKUP(A55,'[57]geoMap (54)'!$A:$C,3,0)</f>
        <v>#REF!</v>
      </c>
      <c r="BE55" s="1" t="e">
        <f>BD55/VLOOKUP(A55,'[58]geoMap (55)'!$A:$B,2,0)*VLOOKUP(A55,'[58]geoMap (55)'!$A:$C,3,0)</f>
        <v>#REF!</v>
      </c>
      <c r="BF55" s="4" t="e">
        <f>BE55/VLOOKUP(A55,'[59]geoMap (56)'!$A:$B,2,0)*VLOOKUP(A55,'[59]geoMap (56)'!$A:$C,3,0)</f>
        <v>#REF!</v>
      </c>
      <c r="BG55" s="1" t="e">
        <f>BF55/VLOOKUP(A55,'[60]geoMap (57)'!$A:$B,2,0)*VLOOKUP(A55,'[60]geoMap (57)'!$A:$C,3,0)</f>
        <v>#REF!</v>
      </c>
      <c r="BH55" s="4" t="e">
        <f>BG55/VLOOKUP(A55,'[61]geoMap (58)'!$A:$B,2,0)*VLOOKUP(A55,'[61]geoMap (58)'!$A:$C,3,0)</f>
        <v>#REF!</v>
      </c>
      <c r="BI55" s="1" t="e">
        <f>BH55/VLOOKUP(A55,'[62]geoMap (59)'!$A:$B,2,0)*VLOOKUP(A55,'[62]geoMap (59)'!$A:$C,3,0)</f>
        <v>#REF!</v>
      </c>
      <c r="BJ55" s="4" t="e">
        <f>BI55/VLOOKUP(A55,'[63]geoMap (60)'!$A:$B,2,0)*VLOOKUP(A55,'[63]geoMap (60)'!$A:$C,3,0)</f>
        <v>#REF!</v>
      </c>
      <c r="BK55" s="1" t="e">
        <f>BJ55/VLOOKUP(A55,'[64]geoMap (61)'!$A:$B,2,0)*VLOOKUP(A55,'[64]geoMap (61)'!$A:$C,3,0)</f>
        <v>#REF!</v>
      </c>
      <c r="BL55" s="4" t="e">
        <f>BK55/VLOOKUP(A55,'[65]geoMap (62)'!$A:$B,2,0)*VLOOKUP(A55,'[65]geoMap (62)'!$A:$C,3,0)</f>
        <v>#REF!</v>
      </c>
      <c r="BM55" s="1" t="e">
        <f>BL55/VLOOKUP(A55,'[66]geoMap (63)'!$A:$B,2,0)*VLOOKUP(A55,'[66]geoMap (63)'!$A:$C,3,0)</f>
        <v>#REF!</v>
      </c>
      <c r="BN55" s="4" t="e">
        <f>BM55/VLOOKUP(A55,'[67]geoMap (64)'!$A:$B,2,0)*VLOOKUP(A55,'[67]geoMap (64)'!$A:$C,3,0)</f>
        <v>#REF!</v>
      </c>
      <c r="BO55" s="1" t="e">
        <f>BN55/VLOOKUP(A55,'[68]geoMap (65)'!$A:$B,2,0)*VLOOKUP(A55,'[68]geoMap (65)'!$A:$C,3,0)</f>
        <v>#REF!</v>
      </c>
      <c r="BP55" s="4" t="e">
        <f>BO55/VLOOKUP(A55,'[69]geoMap (66)'!$A:$B,2,0)*VLOOKUP(A55,'[69]geoMap (66)'!$A:$C,3,0)</f>
        <v>#REF!</v>
      </c>
    </row>
    <row r="56" spans="1:68" x14ac:dyDescent="0.2">
      <c r="A56" s="1" t="s">
        <v>145</v>
      </c>
      <c r="B56" s="1">
        <f>VLOOKUP(A56,[3]geoMap!$A:$B,2,0)*Notes!$C$6</f>
        <v>4000</v>
      </c>
      <c r="C56" s="1">
        <f>B56/VLOOKUP(A56,'[4]geoMap (1)'!$A:$B,2,0)*VLOOKUP(A56,'[4]geoMap (1)'!$A:$C,3,0)</f>
        <v>5756.0975609756097</v>
      </c>
      <c r="D56" s="1">
        <f>C56/VLOOKUP(A56,'[5]geoMap (2)'!$A:$B,2,0)*VLOOKUP(A56,'[5]geoMap (2)'!$A:$C,3,0)</f>
        <v>4903.3423667570005</v>
      </c>
      <c r="E56" s="1">
        <f>D56/VLOOKUP(A56,'[6]geoMap (3)'!$A:$B,2,0)*VLOOKUP(A56,'[6]geoMap (3)'!$A:$C,3,0)</f>
        <v>4711.0544308057451</v>
      </c>
      <c r="F56" s="1">
        <f>E56/VLOOKUP(A56,'[7]geoMap (4)'!$A:$B,2,0)*VLOOKUP(A56,'[7]geoMap (4)'!$A:$C,3,0)</f>
        <v>3854.4990797501546</v>
      </c>
      <c r="G56" s="1">
        <f>F56/VLOOKUP(A56,'[8]geoMap (5)'!$A:$B,2,0)*VLOOKUP(A56,'[8]geoMap (5)'!$A:$C,3,0)</f>
        <v>3557.9991505386038</v>
      </c>
      <c r="H56" s="1">
        <f>G56/VLOOKUP(A56,'[9]geoMap (6)'!$A:$B,2,0)*VLOOKUP(A56,'[9]geoMap (6)'!$A:$C,3,0)</f>
        <v>1003.5382219467856</v>
      </c>
      <c r="I56" s="1">
        <f>H56/VLOOKUP(A56,'[10]geoMap (7)'!$A:$B,2,0)*VLOOKUP(A56,'[10]geoMap (7)'!$A:$C,3,0)</f>
        <v>1784.067950127619</v>
      </c>
      <c r="J56" s="1">
        <f>I56/VLOOKUP(A56,'[11]geoMap (8)'!$A:$B,2,0)*VLOOKUP(A56,'[11]geoMap (8)'!$A:$C,3,0)</f>
        <v>1519.7615871457494</v>
      </c>
      <c r="K56" s="1">
        <f>J56/VLOOKUP(A56,'[12]geoMap (9)'!$A:$B,2,0)*VLOOKUP(A56,'[12]geoMap (9)'!$A:$C,3,0)</f>
        <v>892.5583924506783</v>
      </c>
      <c r="L56" s="1">
        <f>K56/VLOOKUP(A56,'[13]geoMap (10)'!$A:$B,2,0)*VLOOKUP(A56,'[13]geoMap (10)'!$A:$C,3,0)</f>
        <v>646.3353876366981</v>
      </c>
      <c r="M56" s="1">
        <f>L56/VLOOKUP(A56,'[14]geoMap (11)'!$A:$B,2,0)*VLOOKUP(A56,'[14]geoMap (11)'!$A:$C,3,0)</f>
        <v>789.96547377818661</v>
      </c>
      <c r="N56" s="1">
        <f>M56/VLOOKUP(A56,'[15]geoMap (12)'!$A:$B,2,0)*VLOOKUP(A56,'[15]geoMap (12)'!$A:$C,3,0)</f>
        <v>595.93886618354429</v>
      </c>
      <c r="O56" s="1">
        <f>N56/VLOOKUP(A56,'[16]geoMap (13)'!$A:$B,2,0)*VLOOKUP(A56,'[16]geoMap (13)'!$A:$C,3,0)</f>
        <v>414.12700870381894</v>
      </c>
      <c r="P56" s="1">
        <f>O56/VLOOKUP(A56,'[17]geoMap (14)'!$A:$B,2,0)*VLOOKUP(A56,'[17]geoMap (14)'!$A:$C,3,0)</f>
        <v>466.99428641068954</v>
      </c>
      <c r="Q56" s="1">
        <f>P56/VLOOKUP(A56,'[18]geoMap (15)'!$A:$B,2,0)*VLOOKUP(A56,'[18]geoMap (15)'!$A:$C,3,0)</f>
        <v>262.68428610601285</v>
      </c>
      <c r="R56" s="1">
        <f>Q56/VLOOKUP(A56,'[19]geoMap (16)'!$A:$B,2,0)*VLOOKUP(A56,'[19]geoMap (16)'!$A:$C,3,0)</f>
        <v>167.94569111695904</v>
      </c>
      <c r="S56" s="1">
        <f>R56/VLOOKUP(A56,'[20]geoMap (17)'!$A:$B,2,0)*VLOOKUP(A56,'[20]geoMap (17)'!$A:$C,3,0)</f>
        <v>311.89914064578113</v>
      </c>
      <c r="T56" s="1">
        <f>S56/VLOOKUP(A56,'[21]geoMap (18)'!$A:$B,2,0)*VLOOKUP(A56,'[21]geoMap (18)'!$A:$C,3,0)</f>
        <v>93.164678374713844</v>
      </c>
      <c r="U56" s="1">
        <f>T56/VLOOKUP(A56,'[22]geoMap (19)'!$A:$B,2,0)*VLOOKUP(A56,'[22]geoMap (19)'!$A:$C,3,0)</f>
        <v>113.86794023576137</v>
      </c>
      <c r="V56" s="1">
        <f>U56/VLOOKUP(A56,'[23]geoMap (20)'!$A:$B,2,0)*VLOOKUP(A56,'[23]geoMap (20)'!$A:$C,3,0)</f>
        <v>139.17192695481947</v>
      </c>
      <c r="W56" s="1">
        <f>V56/VLOOKUP(A56,'[24]geoMap (21)'!$A:$B,2,0)*VLOOKUP(A56,'[24]geoMap (21)'!$A:$C,3,0)</f>
        <v>109.34937117878671</v>
      </c>
      <c r="X56" s="1">
        <f>W56/VLOOKUP(A56,'[25]geoMap (22)'!$A:$B,2,0)*VLOOKUP(A56,'[25]geoMap (22)'!$A:$C,3,0)</f>
        <v>82.491630889260165</v>
      </c>
      <c r="Y56" s="1">
        <f>X56/VLOOKUP(A56,'[26]geoMap (23)'!$A:$B,2,0)*VLOOKUP(A56,'[26]geoMap (23)'!$A:$C,3,0)</f>
        <v>62.230528565582233</v>
      </c>
      <c r="Z56" s="1">
        <f>Y56/VLOOKUP(A56,'[27]geoMap (24)'!$A:$B,2,0)*VLOOKUP(A56,'[27]geoMap (24)'!$A:$C,3,0)</f>
        <v>46.945837338948003</v>
      </c>
      <c r="AA56" s="1">
        <f>Z56/VLOOKUP(A56,'[28]geoMap (25)'!$A:$B,2,0)*VLOOKUP(A56,'[28]geoMap (25)'!$A:$C,3,0)</f>
        <v>288.38157222496625</v>
      </c>
      <c r="AB56" s="1">
        <f>AA56*VLOOKUP(A56,'[29]geoMap (26)'!$A:$B,2,0)*VLOOKUP(A56,'[29]geoMap (26)'!$A:$C,3,0)</f>
        <v>30.453094026956435</v>
      </c>
      <c r="AC56" s="1">
        <f>AB56/VLOOKUP(A56,'[30]geoMap (27)'!$A:$B,2,0)*VLOOKUP(A56,'[30]geoMap (27)'!$A:$C,3,0)</f>
        <v>23.927431021180052</v>
      </c>
      <c r="AD56" s="1">
        <f>AC56/VLOOKUP(A56,'[31]geoMap (28)'!$A:$B,2,0)*VLOOKUP(A56,'[31]geoMap (28)'!$A:$C,3,0)</f>
        <v>33.042642838772451</v>
      </c>
      <c r="AE56" s="1">
        <f>AD56/VLOOKUP(A56,'[32]geoMap (29)'!$A:$B,2,0)*VLOOKUP(A56,'[32]geoMap (29)'!$A:$C,3,0)</f>
        <v>28.147436492287643</v>
      </c>
      <c r="AF56" s="1">
        <f>AE56/VLOOKUP(A56,'[33]geoMap (30)'!$A:$B,2,0)*VLOOKUP(A56,'[33]geoMap (30)'!$A:$C,3,0)</f>
        <v>23.977445900837623</v>
      </c>
      <c r="AG56" s="1">
        <f>AF56/VLOOKUP(A56,'[34]geoMap (31)'!$A:$B,2,0)*VLOOKUP(A56,'[34]geoMap (31)'!$A:$C,3,0)</f>
        <v>25.975566392574095</v>
      </c>
      <c r="AH56" s="1">
        <f>AG56/VLOOKUP(A56,'[35]geoMap (32)'!$A:$B,2,0)*VLOOKUP(A56,'[35]geoMap (32)'!$A:$C,3,0)</f>
        <v>15.920508434158316</v>
      </c>
      <c r="AI56" s="1">
        <f>AH56/VLOOKUP(A56,'[36]geoMap (33)'!$A:$B,2,0)*VLOOKUP(A56,'[36]geoMap (33)'!$A:$C,3,0)</f>
        <v>14.118186724630958</v>
      </c>
      <c r="AJ56" s="1">
        <f>AI56/VLOOKUP(A56,'[37]geoMap (34)'!$A:$B,2,0)*VLOOKUP(A56,'[37]geoMap (34)'!$A:$C,3,0)</f>
        <v>15.294702285016873</v>
      </c>
      <c r="AK56" s="1">
        <f>AJ56/VLOOKUP(A56,'[38]geoMap (35)'!$A:$B,2,0)*VLOOKUP(A56,'[38]geoMap (35)'!$A:$C,3,0)</f>
        <v>29.68971620032687</v>
      </c>
      <c r="AL56" s="1">
        <f>AK56/VLOOKUP(A56,'[39]geoMap (36)'!$A:$B,2,0)*VLOOKUP(A56,'[39]geoMap (36)'!$A:$C,3,0)</f>
        <v>2.2347098215299797</v>
      </c>
      <c r="AM56" s="1">
        <f>AL56/VLOOKUP(A56,'[40]geoMap (37)'!$A:$B,2,0)*VLOOKUP(A56,'[40]geoMap (37)'!$A:$C,3,0)</f>
        <v>7.0765811015116027</v>
      </c>
      <c r="AN56" s="1">
        <f>AM56/VLOOKUP(A56,'[41]geoMap (38)'!$A:$B,2,0)*VLOOKUP(A56,'[41]geoMap (38)'!$A:$C,3,0)</f>
        <v>3.1793335383602859</v>
      </c>
      <c r="AO56" s="1">
        <f>AN56/VLOOKUP(A56,'[42]geoMap (39)'!$A:$B,2,0)*VLOOKUP(A56,'[42]geoMap (39)'!$A:$C,3,0)</f>
        <v>5.6521485126405082</v>
      </c>
      <c r="AP56" s="1">
        <f>AO56/VLOOKUP(A56,'[43]geoMap (40)'!$A:$B,2,0)*VLOOKUP(A56,'[43]geoMap (40)'!$A:$C,3,0)</f>
        <v>6.1231608886938851</v>
      </c>
      <c r="AQ56" s="1">
        <f>AP56/VLOOKUP(A56,'[44]geoMap (41)'!$A:$B,2,0)*VLOOKUP(A56,'[44]geoMap (41)'!$A:$C,3,0)</f>
        <v>6.1231608886938851</v>
      </c>
      <c r="AR56" s="1">
        <f>AQ56/VLOOKUP(A56,'[45]geoMap (42)'!$A:$B,2,0)*VLOOKUP(A56,'[45]geoMap (42)'!$A:$C,3,0)</f>
        <v>7.793113858337672</v>
      </c>
      <c r="AS56" s="1">
        <f>AR56/VLOOKUP(A56,'[46]geoMap (43)'!$A:$B,2,0)*VLOOKUP(A56,'[46]geoMap (43)'!$A:$C,3,0)</f>
        <v>4.3836265453149403</v>
      </c>
      <c r="AT56" s="1">
        <f>AS56/VLOOKUP(A56,'[47]geoMap (44)'!$A:$B,2,0)*VLOOKUP(A56,'[47]geoMap (44)'!$A:$C,3,0)</f>
        <v>1.9694554044168575</v>
      </c>
      <c r="AU56" s="1">
        <f>AT56/VLOOKUP(A56,'[48]geoMap (45)'!$A:$B,2,0)*VLOOKUP(A56,'[48]geoMap (45)'!$A:$C,3,0)</f>
        <v>3.8230604909268413</v>
      </c>
      <c r="AV56" s="1">
        <f>AU56/VLOOKUP(A56,'[49]geoMap (46)'!$A:$B,2,0)*VLOOKUP(A56,'[49]geoMap (46)'!$A:$C,3,0)</f>
        <v>2.5487069939512281</v>
      </c>
      <c r="AW56" s="1">
        <f>AV56/VLOOKUP(A56,'[50]geoMap (47)'!$A:$B,2,0)*VLOOKUP(A56,'[50]geoMap (47)'!$A:$C,3,0)</f>
        <v>2.17112077262512</v>
      </c>
      <c r="AX56" s="4">
        <f>AW56/VLOOKUP(A56,'[51]geoMap (48)'!$A:$B,2,0)*VLOOKUP(A56,'[51]geoMap (48)'!$A:$C,3,0)</f>
        <v>1.3306869251573317</v>
      </c>
      <c r="AY56" s="1">
        <f>AX56/VLOOKUP(A56,'[52]geoMap (49)'!$A:$B,2,0)*VLOOKUP(A56,'[52]geoMap (49)'!$A:$C,3,0)</f>
        <v>2.0813308316563393</v>
      </c>
      <c r="AZ56" s="4">
        <f>AY56/VLOOKUP(A56,'[53]geoMap (50)'!$A:$B,2,0)*VLOOKUP(A56,'[53]geoMap (50)'!$A:$C,3,0)</f>
        <v>3.3958555674392907</v>
      </c>
      <c r="BA56" s="1">
        <f>AZ56/VLOOKUP(A56,'[54]geoMap (51)'!$A:$B,2,0)*VLOOKUP(A56,'[54]geoMap (51)'!$A:$C,3,0)</f>
        <v>1.131951855813097</v>
      </c>
      <c r="BB56" s="4">
        <f>BA56/VLOOKUP(A56,'[55]geoMap (52)'!$A:$B,2,0)*VLOOKUP(A56,'[55]geoMap (52)'!$A:$C,3,0)</f>
        <v>0.18427123234166695</v>
      </c>
      <c r="BC56" s="1" t="e">
        <f>BB56/VLOOKUP(A56,'[56]geoMap (53)'!$A:$B,2,0)*VLOOKUP(A56,'[56]geoMap (53)'!$A:$C,3,0)</f>
        <v>#REF!</v>
      </c>
      <c r="BD56" s="4" t="e">
        <f>BC56/VLOOKUP(A56,'[57]geoMap (54)'!$A:$B,2,0)*VLOOKUP(A56,'[57]geoMap (54)'!$A:$C,3,0)</f>
        <v>#REF!</v>
      </c>
      <c r="BE56" s="1" t="e">
        <f>BD56/VLOOKUP(A56,'[58]geoMap (55)'!$A:$B,2,0)*VLOOKUP(A56,'[58]geoMap (55)'!$A:$C,3,0)</f>
        <v>#REF!</v>
      </c>
      <c r="BF56" s="4" t="e">
        <f>BE56/VLOOKUP(A56,'[59]geoMap (56)'!$A:$B,2,0)*VLOOKUP(A56,'[59]geoMap (56)'!$A:$C,3,0)</f>
        <v>#REF!</v>
      </c>
      <c r="BG56" s="1" t="e">
        <f>BF56/VLOOKUP(A56,'[60]geoMap (57)'!$A:$B,2,0)*VLOOKUP(A56,'[60]geoMap (57)'!$A:$C,3,0)</f>
        <v>#REF!</v>
      </c>
      <c r="BH56" s="4" t="e">
        <f>BG56/VLOOKUP(A56,'[61]geoMap (58)'!$A:$B,2,0)*VLOOKUP(A56,'[61]geoMap (58)'!$A:$C,3,0)</f>
        <v>#REF!</v>
      </c>
      <c r="BI56" s="1" t="e">
        <f>BH56/VLOOKUP(A56,'[62]geoMap (59)'!$A:$B,2,0)*VLOOKUP(A56,'[62]geoMap (59)'!$A:$C,3,0)</f>
        <v>#REF!</v>
      </c>
      <c r="BJ56" s="4" t="e">
        <f>BI56/VLOOKUP(A56,'[63]geoMap (60)'!$A:$B,2,0)*VLOOKUP(A56,'[63]geoMap (60)'!$A:$C,3,0)</f>
        <v>#REF!</v>
      </c>
      <c r="BK56" s="1" t="e">
        <f>BJ56/VLOOKUP(A56,'[64]geoMap (61)'!$A:$B,2,0)*VLOOKUP(A56,'[64]geoMap (61)'!$A:$C,3,0)</f>
        <v>#REF!</v>
      </c>
      <c r="BL56" s="4" t="e">
        <f>BK56/VLOOKUP(A56,'[65]geoMap (62)'!$A:$B,2,0)*VLOOKUP(A56,'[65]geoMap (62)'!$A:$C,3,0)</f>
        <v>#REF!</v>
      </c>
      <c r="BM56" s="1" t="e">
        <f>BL56/VLOOKUP(A56,'[66]geoMap (63)'!$A:$B,2,0)*VLOOKUP(A56,'[66]geoMap (63)'!$A:$C,3,0)</f>
        <v>#REF!</v>
      </c>
      <c r="BN56" s="4" t="e">
        <f>BM56/VLOOKUP(A56,'[67]geoMap (64)'!$A:$B,2,0)*VLOOKUP(A56,'[67]geoMap (64)'!$A:$C,3,0)</f>
        <v>#REF!</v>
      </c>
      <c r="BO56" s="1" t="e">
        <f>BN56/VLOOKUP(A56,'[68]geoMap (65)'!$A:$B,2,0)*VLOOKUP(A56,'[68]geoMap (65)'!$A:$C,3,0)</f>
        <v>#REF!</v>
      </c>
      <c r="BP56" s="4" t="e">
        <f>BO56/VLOOKUP(A56,'[69]geoMap (66)'!$A:$B,2,0)*VLOOKUP(A56,'[69]geoMap (66)'!$A:$C,3,0)</f>
        <v>#REF!</v>
      </c>
    </row>
    <row r="57" spans="1:68" x14ac:dyDescent="0.2">
      <c r="A57" s="1" t="s">
        <v>142</v>
      </c>
      <c r="B57" s="1">
        <f>VLOOKUP(A57,[3]geoMap!$A:$B,2,0)*Notes!$C$6</f>
        <v>4000</v>
      </c>
      <c r="C57" s="1">
        <f>B57/VLOOKUP(A57,'[4]geoMap (1)'!$A:$B,2,0)*VLOOKUP(A57,'[4]geoMap (1)'!$A:$C,3,0)</f>
        <v>4695.652173913044</v>
      </c>
      <c r="D57" s="1">
        <f>C57/VLOOKUP(A57,'[5]geoMap (2)'!$A:$B,2,0)*VLOOKUP(A57,'[5]geoMap (2)'!$A:$C,3,0)</f>
        <v>4164.0689089417556</v>
      </c>
      <c r="E57" s="1">
        <f>D57/VLOOKUP(A57,'[6]geoMap (3)'!$A:$B,2,0)*VLOOKUP(A57,'[6]geoMap (3)'!$A:$C,3,0)</f>
        <v>2662.2735647332538</v>
      </c>
      <c r="F57" s="1">
        <f>E57/VLOOKUP(A57,'[7]geoMap (4)'!$A:$B,2,0)*VLOOKUP(A57,'[7]geoMap (4)'!$A:$C,3,0)</f>
        <v>2091.7863722904135</v>
      </c>
      <c r="G57" s="1">
        <f>F57/VLOOKUP(A57,'[8]geoMap (5)'!$A:$B,2,0)*VLOOKUP(A57,'[8]geoMap (5)'!$A:$C,3,0)</f>
        <v>1854.9803678801777</v>
      </c>
      <c r="H57" s="1">
        <f>G57/VLOOKUP(A57,'[9]geoMap (6)'!$A:$B,2,0)*VLOOKUP(A57,'[9]geoMap (6)'!$A:$C,3,0)</f>
        <v>1089.4329144693106</v>
      </c>
      <c r="I57" s="1">
        <f>H57/VLOOKUP(A57,'[10]geoMap (7)'!$A:$B,2,0)*VLOOKUP(A57,'[10]geoMap (7)'!$A:$C,3,0)</f>
        <v>1180.2189906750864</v>
      </c>
      <c r="J57" s="1">
        <f>I57/VLOOKUP(A57,'[11]geoMap (8)'!$A:$B,2,0)*VLOOKUP(A57,'[11]geoMap (8)'!$A:$C,3,0)</f>
        <v>927.31492124471072</v>
      </c>
      <c r="K57" s="1">
        <f>J57/VLOOKUP(A57,'[12]geoMap (9)'!$A:$B,2,0)*VLOOKUP(A57,'[12]geoMap (9)'!$A:$C,3,0)</f>
        <v>758.7122082911269</v>
      </c>
      <c r="L57" s="1">
        <f>K57/VLOOKUP(A57,'[13]geoMap (10)'!$A:$B,2,0)*VLOOKUP(A57,'[13]geoMap (10)'!$A:$C,3,0)</f>
        <v>426.77561716375885</v>
      </c>
      <c r="M57" s="1">
        <f>L57/VLOOKUP(A57,'[14]geoMap (11)'!$A:$B,2,0)*VLOOKUP(A57,'[14]geoMap (11)'!$A:$C,3,0)</f>
        <v>142.25853905458629</v>
      </c>
      <c r="N57" s="1">
        <f>M57/VLOOKUP(A57,'[15]geoMap (12)'!$A:$B,2,0)*VLOOKUP(A57,'[15]geoMap (12)'!$A:$C,3,0)</f>
        <v>476.25684813926711</v>
      </c>
      <c r="O57" s="1">
        <f>N57/VLOOKUP(A57,'[16]geoMap (13)'!$A:$B,2,0)*VLOOKUP(A57,'[16]geoMap (13)'!$A:$C,3,0)</f>
        <v>256.445995151913</v>
      </c>
      <c r="P57" s="1">
        <f>O57/VLOOKUP(A57,'[17]geoMap (14)'!$A:$B,2,0)*VLOOKUP(A57,'[17]geoMap (14)'!$A:$C,3,0)</f>
        <v>170.96399676794204</v>
      </c>
      <c r="Q57" s="1">
        <f>P57/VLOOKUP(A57,'[18]geoMap (15)'!$A:$B,2,0)*VLOOKUP(A57,'[18]geoMap (15)'!$A:$C,3,0)</f>
        <v>134.32885460338301</v>
      </c>
      <c r="R57" s="1">
        <f>Q57/VLOOKUP(A57,'[19]geoMap (16)'!$A:$B,2,0)*VLOOKUP(A57,'[19]geoMap (16)'!$A:$C,3,0)</f>
        <v>145.52292582033161</v>
      </c>
      <c r="S57" s="1">
        <f>R57/VLOOKUP(A57,'[20]geoMap (17)'!$A:$B,2,0)*VLOOKUP(A57,'[20]geoMap (17)'!$A:$C,3,0)</f>
        <v>71.675470926431984</v>
      </c>
      <c r="T57" s="1">
        <f>S57/VLOOKUP(A57,'[21]geoMap (18)'!$A:$B,2,0)*VLOOKUP(A57,'[21]geoMap (18)'!$A:$C,3,0)</f>
        <v>61.056882641034647</v>
      </c>
      <c r="U57" s="1">
        <f>T57/VLOOKUP(A57,'[22]geoMap (19)'!$A:$B,2,0)*VLOOKUP(A57,'[22]geoMap (19)'!$A:$C,3,0)</f>
        <v>40.704588427356441</v>
      </c>
      <c r="V57" s="1">
        <f>U57/VLOOKUP(A57,'[23]geoMap (20)'!$A:$B,2,0)*VLOOKUP(A57,'[23]geoMap (20)'!$A:$C,3,0)</f>
        <v>75.594235650804833</v>
      </c>
      <c r="W57" s="1">
        <f>V57/VLOOKUP(A57,'[24]geoMap (21)'!$A:$B,2,0)*VLOOKUP(A57,'[24]geoMap (21)'!$A:$C,3,0)</f>
        <v>26.560136850282777</v>
      </c>
      <c r="X57" s="1">
        <f>W57/VLOOKUP(A57,'[25]geoMap (22)'!$A:$B,2,0)*VLOOKUP(A57,'[25]geoMap (22)'!$A:$C,3,0)</f>
        <v>24.517049400261026</v>
      </c>
      <c r="Y57" s="1">
        <f>X57/VLOOKUP(A57,'[26]geoMap (23)'!$A:$B,2,0)*VLOOKUP(A57,'[26]geoMap (23)'!$A:$C,3,0)</f>
        <v>17.753725427775226</v>
      </c>
      <c r="Z57" s="1">
        <f>Y57/VLOOKUP(A57,'[27]geoMap (24)'!$A:$B,2,0)*VLOOKUP(A57,'[27]geoMap (24)'!$A:$C,3,0)</f>
        <v>32.971204365868282</v>
      </c>
      <c r="AA57" s="1">
        <f>Z57/VLOOKUP(A57,'[28]geoMap (25)'!$A:$B,2,0)*VLOOKUP(A57,'[28]geoMap (25)'!$A:$C,3,0)</f>
        <v>131.88481746347313</v>
      </c>
      <c r="AB57" s="1">
        <f>AA57*VLOOKUP(A57,'[29]geoMap (26)'!$A:$B,2,0)*VLOOKUP(A57,'[29]geoMap (26)'!$A:$C,3,0)</f>
        <v>24.728403274401209</v>
      </c>
      <c r="AC57" s="1">
        <f>AB57/VLOOKUP(A57,'[30]geoMap (27)'!$A:$B,2,0)*VLOOKUP(A57,'[30]geoMap (27)'!$A:$C,3,0)</f>
        <v>11.109862340673008</v>
      </c>
      <c r="AD57" s="1">
        <f>AC57/VLOOKUP(A57,'[31]geoMap (28)'!$A:$B,2,0)*VLOOKUP(A57,'[31]geoMap (28)'!$A:$C,3,0)</f>
        <v>12.528142639482329</v>
      </c>
      <c r="AE57" s="1">
        <f>AD57/VLOOKUP(A57,'[32]geoMap (29)'!$A:$B,2,0)*VLOOKUP(A57,'[32]geoMap (29)'!$A:$C,3,0)</f>
        <v>20.440653780208013</v>
      </c>
      <c r="AF57" s="1">
        <f>AE57/VLOOKUP(A57,'[33]geoMap (30)'!$A:$B,2,0)*VLOOKUP(A57,'[33]geoMap (30)'!$A:$C,3,0)</f>
        <v>11.497867751367007</v>
      </c>
      <c r="AG57" s="1">
        <f>AF57/VLOOKUP(A57,'[34]geoMap (31)'!$A:$B,2,0)*VLOOKUP(A57,'[34]geoMap (31)'!$A:$C,3,0)</f>
        <v>8.3260421647830061</v>
      </c>
      <c r="AH57" s="1">
        <f>AG57/VLOOKUP(A57,'[35]geoMap (32)'!$A:$B,2,0)*VLOOKUP(A57,'[35]geoMap (32)'!$A:$C,3,0)</f>
        <v>3.4007777856155941</v>
      </c>
      <c r="AI57" s="1">
        <f>AH57/VLOOKUP(A57,'[36]geoMap (33)'!$A:$B,2,0)*VLOOKUP(A57,'[36]geoMap (33)'!$A:$C,3,0)</f>
        <v>8.7448571630115275</v>
      </c>
      <c r="AJ57" s="1">
        <f>AI57/VLOOKUP(A57,'[37]geoMap (34)'!$A:$B,2,0)*VLOOKUP(A57,'[37]geoMap (34)'!$A:$C,3,0)</f>
        <v>6.0769346387029257</v>
      </c>
      <c r="AK57" s="1">
        <f>AJ57/VLOOKUP(A57,'[38]geoMap (35)'!$A:$B,2,0)*VLOOKUP(A57,'[38]geoMap (35)'!$A:$C,3,0)</f>
        <v>6.5833458585948366</v>
      </c>
      <c r="AL57" s="1">
        <f>AK57/VLOOKUP(A57,'[39]geoMap (36)'!$A:$B,2,0)*VLOOKUP(A57,'[39]geoMap (36)'!$A:$C,3,0)</f>
        <v>2.3130674638306181</v>
      </c>
      <c r="AM57" s="1">
        <f>AL57/VLOOKUP(A57,'[40]geoMap (37)'!$A:$B,2,0)*VLOOKUP(A57,'[40]geoMap (37)'!$A:$C,3,0)</f>
        <v>3.1942360214803776</v>
      </c>
      <c r="AN57" s="1">
        <f>AM57/VLOOKUP(A57,'[41]geoMap (38)'!$A:$B,2,0)*VLOOKUP(A57,'[41]geoMap (38)'!$A:$C,3,0)</f>
        <v>3.3246130019489648</v>
      </c>
      <c r="AO57" s="1">
        <f>AN57/VLOOKUP(A57,'[42]geoMap (39)'!$A:$B,2,0)*VLOOKUP(A57,'[42]geoMap (39)'!$A:$C,3,0)</f>
        <v>2.83207774240097</v>
      </c>
      <c r="AP57" s="1">
        <f>AO57/VLOOKUP(A57,'[43]geoMap (40)'!$A:$B,2,0)*VLOOKUP(A57,'[43]geoMap (40)'!$A:$C,3,0)</f>
        <v>4.6207584218121092</v>
      </c>
      <c r="AQ57" s="1">
        <f>AP57/VLOOKUP(A57,'[44]geoMap (41)'!$A:$B,2,0)*VLOOKUP(A57,'[44]geoMap (41)'!$A:$C,3,0)</f>
        <v>0.51341760242356771</v>
      </c>
      <c r="AR57" s="1">
        <f>AQ57/VLOOKUP(A57,'[45]geoMap (42)'!$A:$B,2,0)*VLOOKUP(A57,'[45]geoMap (42)'!$A:$C,3,0)</f>
        <v>3.76506241777283</v>
      </c>
      <c r="AS57" s="1">
        <f>AR57/VLOOKUP(A57,'[46]geoMap (43)'!$A:$B,2,0)*VLOOKUP(A57,'[46]geoMap (43)'!$A:$C,3,0)</f>
        <v>1.2550208059242767</v>
      </c>
      <c r="AT57" s="1">
        <f>AS57/VLOOKUP(A57,'[47]geoMap (44)'!$A:$B,2,0)*VLOOKUP(A57,'[47]geoMap (44)'!$A:$C,3,0)</f>
        <v>1.3062461449415941</v>
      </c>
      <c r="AU57" s="1">
        <f>AT57/VLOOKUP(A57,'[48]geoMap (45)'!$A:$B,2,0)*VLOOKUP(A57,'[48]geoMap (45)'!$A:$C,3,0)</f>
        <v>4.3730849200218582</v>
      </c>
      <c r="AV57" s="1">
        <f>AU57/VLOOKUP(A57,'[49]geoMap (46)'!$A:$B,2,0)*VLOOKUP(A57,'[49]geoMap (46)'!$A:$C,3,0)</f>
        <v>0.23016236421167677</v>
      </c>
      <c r="AW57" s="1">
        <f>AV57/VLOOKUP(A57,'[50]geoMap (47)'!$A:$B,2,0)*VLOOKUP(A57,'[50]geoMap (47)'!$A:$C,3,0)</f>
        <v>0.11336355252216916</v>
      </c>
      <c r="AX57" s="4">
        <f>AW57/VLOOKUP(A57,'[51]geoMap (48)'!$A:$B,2,0)*VLOOKUP(A57,'[51]geoMap (48)'!$A:$C,3,0)</f>
        <v>0.17004532878325374</v>
      </c>
      <c r="AY57" s="1">
        <f>AX57/VLOOKUP(A57,'[52]geoMap (49)'!$A:$B,2,0)*VLOOKUP(A57,'[52]geoMap (49)'!$A:$C,3,0)</f>
        <v>2.2591736538346567</v>
      </c>
      <c r="AZ57" s="4" t="e">
        <f>AY57/VLOOKUP(A57,'[53]geoMap (50)'!$A:$B,2,0)*VLOOKUP(A57,'[53]geoMap (50)'!$A:$C,3,0)</f>
        <v>#REF!</v>
      </c>
      <c r="BA57" s="1" t="e">
        <f>AZ57/VLOOKUP(A57,'[54]geoMap (51)'!$A:$B,2,0)*VLOOKUP(A57,'[54]geoMap (51)'!$A:$C,3,0)</f>
        <v>#REF!</v>
      </c>
      <c r="BB57" s="4" t="e">
        <f>BA57/VLOOKUP(A57,'[55]geoMap (52)'!$A:$B,2,0)*VLOOKUP(A57,'[55]geoMap (52)'!$A:$C,3,0)</f>
        <v>#REF!</v>
      </c>
      <c r="BC57" s="1" t="e">
        <f>BB57/VLOOKUP(A57,'[56]geoMap (53)'!$A:$B,2,0)*VLOOKUP(A57,'[56]geoMap (53)'!$A:$C,3,0)</f>
        <v>#REF!</v>
      </c>
      <c r="BD57" s="4" t="e">
        <f>BC57/VLOOKUP(A57,'[57]geoMap (54)'!$A:$B,2,0)*VLOOKUP(A57,'[57]geoMap (54)'!$A:$C,3,0)</f>
        <v>#REF!</v>
      </c>
      <c r="BE57" s="1" t="e">
        <f>BD57/VLOOKUP(A57,'[58]geoMap (55)'!$A:$B,2,0)*VLOOKUP(A57,'[58]geoMap (55)'!$A:$C,3,0)</f>
        <v>#REF!</v>
      </c>
      <c r="BF57" s="4" t="e">
        <f>BE57/VLOOKUP(A57,'[59]geoMap (56)'!$A:$B,2,0)*VLOOKUP(A57,'[59]geoMap (56)'!$A:$C,3,0)</f>
        <v>#REF!</v>
      </c>
      <c r="BG57" s="1" t="e">
        <f>BF57/VLOOKUP(A57,'[60]geoMap (57)'!$A:$B,2,0)*VLOOKUP(A57,'[60]geoMap (57)'!$A:$C,3,0)</f>
        <v>#REF!</v>
      </c>
      <c r="BH57" s="4" t="e">
        <f>BG57/VLOOKUP(A57,'[61]geoMap (58)'!$A:$B,2,0)*VLOOKUP(A57,'[61]geoMap (58)'!$A:$C,3,0)</f>
        <v>#REF!</v>
      </c>
      <c r="BI57" s="1" t="e">
        <f>BH57/VLOOKUP(A57,'[62]geoMap (59)'!$A:$B,2,0)*VLOOKUP(A57,'[62]geoMap (59)'!$A:$C,3,0)</f>
        <v>#REF!</v>
      </c>
      <c r="BJ57" s="4" t="e">
        <f>BI57/VLOOKUP(A57,'[63]geoMap (60)'!$A:$B,2,0)*VLOOKUP(A57,'[63]geoMap (60)'!$A:$C,3,0)</f>
        <v>#REF!</v>
      </c>
      <c r="BK57" s="1" t="e">
        <f>BJ57/VLOOKUP(A57,'[64]geoMap (61)'!$A:$B,2,0)*VLOOKUP(A57,'[64]geoMap (61)'!$A:$C,3,0)</f>
        <v>#REF!</v>
      </c>
      <c r="BL57" s="4" t="e">
        <f>BK57/VLOOKUP(A57,'[65]geoMap (62)'!$A:$B,2,0)*VLOOKUP(A57,'[65]geoMap (62)'!$A:$C,3,0)</f>
        <v>#REF!</v>
      </c>
      <c r="BM57" s="1" t="e">
        <f>BL57/VLOOKUP(A57,'[66]geoMap (63)'!$A:$B,2,0)*VLOOKUP(A57,'[66]geoMap (63)'!$A:$C,3,0)</f>
        <v>#REF!</v>
      </c>
      <c r="BN57" s="4" t="e">
        <f>BM57/VLOOKUP(A57,'[67]geoMap (64)'!$A:$B,2,0)*VLOOKUP(A57,'[67]geoMap (64)'!$A:$C,3,0)</f>
        <v>#REF!</v>
      </c>
      <c r="BO57" s="1" t="e">
        <f>BN57/VLOOKUP(A57,'[68]geoMap (65)'!$A:$B,2,0)*VLOOKUP(A57,'[68]geoMap (65)'!$A:$C,3,0)</f>
        <v>#REF!</v>
      </c>
      <c r="BP57" s="4" t="e">
        <f>BO57/VLOOKUP(A57,'[69]geoMap (66)'!$A:$B,2,0)*VLOOKUP(A57,'[69]geoMap (66)'!$A:$C,3,0)</f>
        <v>#REF!</v>
      </c>
    </row>
    <row r="58" spans="1:68" x14ac:dyDescent="0.2">
      <c r="A58" s="1" t="s">
        <v>128</v>
      </c>
      <c r="B58" s="1">
        <f>VLOOKUP(A58,[3]geoMap!$A:$B,2,0)*Notes!$C$6</f>
        <v>4000</v>
      </c>
      <c r="C58" s="1">
        <f>B58/VLOOKUP(A58,'[4]geoMap (1)'!$A:$B,2,0)*VLOOKUP(A58,'[4]geoMap (1)'!$A:$C,3,0)</f>
        <v>4510.6382978723414</v>
      </c>
      <c r="D58" s="1">
        <f>C58/VLOOKUP(A58,'[5]geoMap (2)'!$A:$B,2,0)*VLOOKUP(A58,'[5]geoMap (2)'!$A:$C,3,0)</f>
        <v>4886.5248226950371</v>
      </c>
      <c r="E58" s="1">
        <f>D58/VLOOKUP(A58,'[6]geoMap (3)'!$A:$B,2,0)*VLOOKUP(A58,'[6]geoMap (3)'!$A:$C,3,0)</f>
        <v>2631.2056737588659</v>
      </c>
      <c r="F58" s="1">
        <f>E58/VLOOKUP(A58,'[7]geoMap (4)'!$A:$B,2,0)*VLOOKUP(A58,'[7]geoMap (4)'!$A:$C,3,0)</f>
        <v>2528.0211375330277</v>
      </c>
      <c r="G58" s="1">
        <f>F58/VLOOKUP(A58,'[8]geoMap (5)'!$A:$B,2,0)*VLOOKUP(A58,'[8]geoMap (5)'!$A:$C,3,0)</f>
        <v>3217.481447769308</v>
      </c>
      <c r="H58" s="1">
        <f>G58/VLOOKUP(A58,'[9]geoMap (6)'!$A:$B,2,0)*VLOOKUP(A58,'[9]geoMap (6)'!$A:$C,3,0)</f>
        <v>2427.2228465628114</v>
      </c>
      <c r="I58" s="1">
        <f>H58/VLOOKUP(A58,'[10]geoMap (7)'!$A:$B,2,0)*VLOOKUP(A58,'[10]geoMap (7)'!$A:$C,3,0)</f>
        <v>1090.4914238180747</v>
      </c>
      <c r="J58" s="1">
        <f>I58/VLOOKUP(A58,'[11]geoMap (8)'!$A:$B,2,0)*VLOOKUP(A58,'[11]geoMap (8)'!$A:$C,3,0)</f>
        <v>1938.6514201210218</v>
      </c>
      <c r="K58" s="1">
        <f>J58/VLOOKUP(A58,'[12]geoMap (9)'!$A:$B,2,0)*VLOOKUP(A58,'[12]geoMap (9)'!$A:$C,3,0)</f>
        <v>912.30655064518669</v>
      </c>
      <c r="L58" s="1">
        <f>K58/VLOOKUP(A58,'[13]geoMap (10)'!$A:$B,2,0)*VLOOKUP(A58,'[13]geoMap (10)'!$A:$C,3,0)</f>
        <v>354.78588080646153</v>
      </c>
      <c r="M58" s="1">
        <f>L58/VLOOKUP(A58,'[14]geoMap (11)'!$A:$B,2,0)*VLOOKUP(A58,'[14]geoMap (11)'!$A:$C,3,0)</f>
        <v>369.26693716590893</v>
      </c>
      <c r="N58" s="1">
        <f>M58/VLOOKUP(A58,'[15]geoMap (12)'!$A:$B,2,0)*VLOOKUP(A58,'[15]geoMap (12)'!$A:$C,3,0)</f>
        <v>553.90040574886336</v>
      </c>
      <c r="O58" s="1">
        <f>N58/VLOOKUP(A58,'[16]geoMap (13)'!$A:$B,2,0)*VLOOKUP(A58,'[16]geoMap (13)'!$A:$C,3,0)</f>
        <v>311.56897823373561</v>
      </c>
      <c r="P58" s="1">
        <f>O58/VLOOKUP(A58,'[17]geoMap (14)'!$A:$B,2,0)*VLOOKUP(A58,'[17]geoMap (14)'!$A:$C,3,0)</f>
        <v>287.60213375421745</v>
      </c>
      <c r="Q58" s="1">
        <f>P58/VLOOKUP(A58,'[18]geoMap (15)'!$A:$B,2,0)*VLOOKUP(A58,'[18]geoMap (15)'!$A:$C,3,0)</f>
        <v>351.51371903293244</v>
      </c>
      <c r="R58" s="1">
        <f>Q58/VLOOKUP(A58,'[19]geoMap (16)'!$A:$B,2,0)*VLOOKUP(A58,'[19]geoMap (16)'!$A:$C,3,0)</f>
        <v>47.933688959036246</v>
      </c>
      <c r="S58" s="1">
        <f>R58/VLOOKUP(A58,'[20]geoMap (17)'!$A:$B,2,0)*VLOOKUP(A58,'[20]geoMap (17)'!$A:$C,3,0)</f>
        <v>204.34888450957558</v>
      </c>
      <c r="T58" s="1">
        <f>S58/VLOOKUP(A58,'[21]geoMap (18)'!$A:$B,2,0)*VLOOKUP(A58,'[21]geoMap (18)'!$A:$C,3,0)</f>
        <v>68.116294836525199</v>
      </c>
      <c r="U58" s="1">
        <f>T58/VLOOKUP(A58,'[22]geoMap (19)'!$A:$B,2,0)*VLOOKUP(A58,'[22]geoMap (19)'!$A:$C,3,0)</f>
        <v>29.192697787082231</v>
      </c>
      <c r="V58" s="1">
        <f>U58/VLOOKUP(A58,'[23]geoMap (20)'!$A:$B,2,0)*VLOOKUP(A58,'[23]geoMap (20)'!$A:$C,3,0)</f>
        <v>16.420892505233752</v>
      </c>
      <c r="W58" s="1">
        <f>V58/VLOOKUP(A58,'[24]geoMap (21)'!$A:$B,2,0)*VLOOKUP(A58,'[24]geoMap (21)'!$A:$C,3,0)</f>
        <v>31.875850157218462</v>
      </c>
      <c r="X58" s="1">
        <f>W58/VLOOKUP(A58,'[25]geoMap (22)'!$A:$B,2,0)*VLOOKUP(A58,'[25]geoMap (22)'!$A:$C,3,0)</f>
        <v>12.396163950029402</v>
      </c>
      <c r="Y58" s="1">
        <f>X58/VLOOKUP(A58,'[26]geoMap (23)'!$A:$B,2,0)*VLOOKUP(A58,'[26]geoMap (23)'!$A:$C,3,0)</f>
        <v>43.950035822831516</v>
      </c>
      <c r="Z58" s="1">
        <f>Y58/VLOOKUP(A58,'[27]geoMap (24)'!$A:$B,2,0)*VLOOKUP(A58,'[27]geoMap (24)'!$A:$C,3,0)</f>
        <v>13.878958680894163</v>
      </c>
      <c r="AA58" s="1">
        <f>Z58/VLOOKUP(A58,'[28]geoMap (25)'!$A:$B,2,0)*VLOOKUP(A58,'[28]geoMap (25)'!$A:$C,3,0)</f>
        <v>18.397689414208543</v>
      </c>
      <c r="AB58" s="1">
        <f>AA58*VLOOKUP(A58,'[29]geoMap (26)'!$A:$B,2,0)*VLOOKUP(A58,'[29]geoMap (26)'!$A:$C,3,0)</f>
        <v>4.1284415045483973</v>
      </c>
      <c r="AC58" s="1">
        <f>AB58/VLOOKUP(A58,'[30]geoMap (27)'!$A:$B,2,0)*VLOOKUP(A58,'[30]geoMap (27)'!$A:$C,3,0)</f>
        <v>1.942796002140422</v>
      </c>
      <c r="AD58" s="1">
        <f>AC58/VLOOKUP(A58,'[31]geoMap (28)'!$A:$B,2,0)*VLOOKUP(A58,'[31]geoMap (28)'!$A:$C,3,0)</f>
        <v>2.9141940032106324</v>
      </c>
      <c r="AE58" s="1">
        <f>AD58/VLOOKUP(A58,'[32]geoMap (29)'!$A:$B,2,0)*VLOOKUP(A58,'[32]geoMap (29)'!$A:$C,3,0)</f>
        <v>2.584285248130183</v>
      </c>
      <c r="AF58" s="1">
        <f>AE58/VLOOKUP(A58,'[33]geoMap (30)'!$A:$B,2,0)*VLOOKUP(A58,'[33]geoMap (30)'!$A:$C,3,0)</f>
        <v>1.7228568320867887</v>
      </c>
      <c r="AG58" s="1">
        <f>AF58/VLOOKUP(A58,'[34]geoMap (31)'!$A:$B,2,0)*VLOOKUP(A58,'[34]geoMap (31)'!$A:$C,3,0)</f>
        <v>0.70370208634530806</v>
      </c>
      <c r="AH58" s="1">
        <f>AG58/VLOOKUP(A58,'[35]geoMap (32)'!$A:$B,2,0)*VLOOKUP(A58,'[35]geoMap (32)'!$A:$C,3,0)</f>
        <v>2.6472602295847305</v>
      </c>
      <c r="AI58" s="1">
        <f>AH58/VLOOKUP(A58,'[36]geoMap (33)'!$A:$B,2,0)*VLOOKUP(A58,'[36]geoMap (33)'!$A:$C,3,0)</f>
        <v>1.6225143342616091</v>
      </c>
      <c r="AJ58" s="1">
        <f>AI58/VLOOKUP(A58,'[37]geoMap (34)'!$A:$B,2,0)*VLOOKUP(A58,'[37]geoMap (34)'!$A:$C,3,0)</f>
        <v>0.51237294766156072</v>
      </c>
      <c r="AK58" s="1">
        <f>AJ58/VLOOKUP(A58,'[38]geoMap (35)'!$A:$B,2,0)*VLOOKUP(A58,'[38]geoMap (35)'!$A:$C,3,0)</f>
        <v>0.386526960516616</v>
      </c>
      <c r="AL58" s="1">
        <f>AK58/VLOOKUP(A58,'[39]geoMap (36)'!$A:$B,2,0)*VLOOKUP(A58,'[39]geoMap (36)'!$A:$C,3,0)</f>
        <v>0.1818950402431134</v>
      </c>
      <c r="AM58" s="1">
        <f>AL58/VLOOKUP(A58,'[40]geoMap (37)'!$A:$B,2,0)*VLOOKUP(A58,'[40]geoMap (37)'!$A:$C,3,0)</f>
        <v>1.217297577011605</v>
      </c>
      <c r="AN58" s="1">
        <f>AM58/VLOOKUP(A58,'[41]geoMap (38)'!$A:$B,2,0)*VLOOKUP(A58,'[41]geoMap (38)'!$A:$C,3,0)</f>
        <v>2.1640845813539644</v>
      </c>
      <c r="AO58" s="1">
        <f>AN58/VLOOKUP(A58,'[42]geoMap (39)'!$A:$B,2,0)*VLOOKUP(A58,'[42]geoMap (39)'!$A:$C,3,0)</f>
        <v>0.35229283882506401</v>
      </c>
      <c r="AP58" s="1">
        <f>AO58/VLOOKUP(A58,'[43]geoMap (40)'!$A:$B,2,0)*VLOOKUP(A58,'[43]geoMap (40)'!$A:$C,3,0)</f>
        <v>0.36667213836894419</v>
      </c>
      <c r="AQ58" s="1">
        <f>AP58/VLOOKUP(A58,'[44]geoMap (41)'!$A:$B,2,0)*VLOOKUP(A58,'[44]geoMap (41)'!$A:$C,3,0)</f>
        <v>0.62433364100658062</v>
      </c>
      <c r="AR58" s="1">
        <f>AQ58/VLOOKUP(A58,'[45]geoMap (42)'!$A:$B,2,0)*VLOOKUP(A58,'[45]geoMap (42)'!$A:$C,3,0)</f>
        <v>0.16596210710301509</v>
      </c>
      <c r="AS58" s="1">
        <f>AR58/VLOOKUP(A58,'[46]geoMap (43)'!$A:$B,2,0)*VLOOKUP(A58,'[46]geoMap (43)'!$A:$C,3,0)</f>
        <v>0.17273607065824023</v>
      </c>
      <c r="AT58" s="1">
        <f>AS58/VLOOKUP(A58,'[47]geoMap (44)'!$A:$B,2,0)*VLOOKUP(A58,'[47]geoMap (44)'!$A:$C,3,0)</f>
        <v>0.44417846740690342</v>
      </c>
      <c r="AU58" s="1">
        <f>AT58/VLOOKUP(A58,'[48]geoMap (45)'!$A:$B,2,0)*VLOOKUP(A58,'[48]geoMap (45)'!$A:$C,3,0)</f>
        <v>0.34899736724828123</v>
      </c>
      <c r="AV58" s="1">
        <f>AU58/VLOOKUP(A58,'[49]geoMap (46)'!$A:$B,2,0)*VLOOKUP(A58,'[49]geoMap (46)'!$A:$C,3,0)</f>
        <v>0.10424596684039569</v>
      </c>
      <c r="AW58" s="1">
        <f>AV58/VLOOKUP(A58,'[50]geoMap (47)'!$A:$B,2,0)*VLOOKUP(A58,'[50]geoMap (47)'!$A:$C,3,0)</f>
        <v>5.1345028443776981E-2</v>
      </c>
      <c r="AX58" s="4" t="e">
        <f>AW58/VLOOKUP(A58,'[51]geoMap (48)'!$A:$B,2,0)*VLOOKUP(A58,'[51]geoMap (48)'!$A:$C,3,0)</f>
        <v>#REF!</v>
      </c>
      <c r="AY58" s="1" t="e">
        <f>AX58/VLOOKUP(A58,'[52]geoMap (49)'!$A:$B,2,0)*VLOOKUP(A58,'[52]geoMap (49)'!$A:$C,3,0)</f>
        <v>#REF!</v>
      </c>
      <c r="AZ58" s="4" t="e">
        <f>AY58/VLOOKUP(A58,'[53]geoMap (50)'!$A:$B,2,0)*VLOOKUP(A58,'[53]geoMap (50)'!$A:$C,3,0)</f>
        <v>#REF!</v>
      </c>
      <c r="BA58" s="1" t="e">
        <f>AZ58/VLOOKUP(A58,'[54]geoMap (51)'!$A:$B,2,0)*VLOOKUP(A58,'[54]geoMap (51)'!$A:$C,3,0)</f>
        <v>#REF!</v>
      </c>
      <c r="BB58" s="4" t="e">
        <f>BA58/VLOOKUP(A58,'[55]geoMap (52)'!$A:$B,2,0)*VLOOKUP(A58,'[55]geoMap (52)'!$A:$C,3,0)</f>
        <v>#REF!</v>
      </c>
      <c r="BC58" s="1" t="e">
        <f>BB58/VLOOKUP(A58,'[56]geoMap (53)'!$A:$B,2,0)*VLOOKUP(A58,'[56]geoMap (53)'!$A:$C,3,0)</f>
        <v>#REF!</v>
      </c>
      <c r="BD58" s="4" t="e">
        <f>BC58/VLOOKUP(A58,'[57]geoMap (54)'!$A:$B,2,0)*VLOOKUP(A58,'[57]geoMap (54)'!$A:$C,3,0)</f>
        <v>#REF!</v>
      </c>
      <c r="BE58" s="1" t="e">
        <f>BD58/VLOOKUP(A58,'[58]geoMap (55)'!$A:$B,2,0)*VLOOKUP(A58,'[58]geoMap (55)'!$A:$C,3,0)</f>
        <v>#REF!</v>
      </c>
      <c r="BF58" s="4" t="e">
        <f>BE58/VLOOKUP(A58,'[59]geoMap (56)'!$A:$B,2,0)*VLOOKUP(A58,'[59]geoMap (56)'!$A:$C,3,0)</f>
        <v>#REF!</v>
      </c>
      <c r="BG58" s="1" t="e">
        <f>BF58/VLOOKUP(A58,'[60]geoMap (57)'!$A:$B,2,0)*VLOOKUP(A58,'[60]geoMap (57)'!$A:$C,3,0)</f>
        <v>#REF!</v>
      </c>
      <c r="BH58" s="4" t="e">
        <f>BG58/VLOOKUP(A58,'[61]geoMap (58)'!$A:$B,2,0)*VLOOKUP(A58,'[61]geoMap (58)'!$A:$C,3,0)</f>
        <v>#REF!</v>
      </c>
      <c r="BI58" s="1" t="e">
        <f>BH58/VLOOKUP(A58,'[62]geoMap (59)'!$A:$B,2,0)*VLOOKUP(A58,'[62]geoMap (59)'!$A:$C,3,0)</f>
        <v>#REF!</v>
      </c>
      <c r="BJ58" s="4" t="e">
        <f>BI58/VLOOKUP(A58,'[63]geoMap (60)'!$A:$B,2,0)*VLOOKUP(A58,'[63]geoMap (60)'!$A:$C,3,0)</f>
        <v>#REF!</v>
      </c>
      <c r="BK58" s="1" t="e">
        <f>BJ58/VLOOKUP(A58,'[64]geoMap (61)'!$A:$B,2,0)*VLOOKUP(A58,'[64]geoMap (61)'!$A:$C,3,0)</f>
        <v>#REF!</v>
      </c>
      <c r="BL58" s="4" t="e">
        <f>BK58/VLOOKUP(A58,'[65]geoMap (62)'!$A:$B,2,0)*VLOOKUP(A58,'[65]geoMap (62)'!$A:$C,3,0)</f>
        <v>#REF!</v>
      </c>
      <c r="BM58" s="1" t="e">
        <f>BL58/VLOOKUP(A58,'[66]geoMap (63)'!$A:$B,2,0)*VLOOKUP(A58,'[66]geoMap (63)'!$A:$C,3,0)</f>
        <v>#REF!</v>
      </c>
      <c r="BN58" s="4" t="e">
        <f>BM58/VLOOKUP(A58,'[67]geoMap (64)'!$A:$B,2,0)*VLOOKUP(A58,'[67]geoMap (64)'!$A:$C,3,0)</f>
        <v>#REF!</v>
      </c>
      <c r="BO58" s="1" t="e">
        <f>BN58/VLOOKUP(A58,'[68]geoMap (65)'!$A:$B,2,0)*VLOOKUP(A58,'[68]geoMap (65)'!$A:$C,3,0)</f>
        <v>#REF!</v>
      </c>
      <c r="BP58" s="4" t="e">
        <f>BO58/VLOOKUP(A58,'[69]geoMap (66)'!$A:$B,2,0)*VLOOKUP(A58,'[69]geoMap (66)'!$A:$C,3,0)</f>
        <v>#REF!</v>
      </c>
    </row>
    <row r="59" spans="1:68" x14ac:dyDescent="0.2">
      <c r="A59" s="1" t="s">
        <v>154</v>
      </c>
      <c r="B59" s="1">
        <f>VLOOKUP(A59,[3]geoMap!$A:$B,2,0)*Notes!$C$6</f>
        <v>4000</v>
      </c>
      <c r="C59" s="1">
        <f>B59/VLOOKUP(A59,'[4]geoMap (1)'!$A:$B,2,0)*VLOOKUP(A59,'[4]geoMap (1)'!$A:$C,3,0)</f>
        <v>3692.3076923076924</v>
      </c>
      <c r="D59" s="1">
        <f>C59/VLOOKUP(A59,'[5]geoMap (2)'!$A:$B,2,0)*VLOOKUP(A59,'[5]geoMap (2)'!$A:$C,3,0)</f>
        <v>3145.299145299145</v>
      </c>
      <c r="E59" s="1">
        <f>D59/VLOOKUP(A59,'[6]geoMap (3)'!$A:$B,2,0)*VLOOKUP(A59,'[6]geoMap (3)'!$A:$C,3,0)</f>
        <v>2573.4265734265728</v>
      </c>
      <c r="F59" s="1">
        <f>E59/VLOOKUP(A59,'[7]geoMap (4)'!$A:$B,2,0)*VLOOKUP(A59,'[7]geoMap (4)'!$A:$C,3,0)</f>
        <v>2021.9780219780214</v>
      </c>
      <c r="G59" s="1">
        <f>F59/VLOOKUP(A59,'[8]geoMap (5)'!$A:$B,2,0)*VLOOKUP(A59,'[8]geoMap (5)'!$A:$C,3,0)</f>
        <v>1588.6970172684453</v>
      </c>
      <c r="H59" s="1">
        <f>G59/VLOOKUP(A59,'[9]geoMap (6)'!$A:$B,2,0)*VLOOKUP(A59,'[9]geoMap (6)'!$A:$C,3,0)</f>
        <v>1198.4907323253185</v>
      </c>
      <c r="I59" s="1">
        <f>H59/VLOOKUP(A59,'[10]geoMap (7)'!$A:$B,2,0)*VLOOKUP(A59,'[10]geoMap (7)'!$A:$C,3,0)</f>
        <v>798.99382155021249</v>
      </c>
      <c r="J59" s="1">
        <f>I59/VLOOKUP(A59,'[11]geoMap (8)'!$A:$B,2,0)*VLOOKUP(A59,'[11]geoMap (8)'!$A:$C,3,0)</f>
        <v>767.66073050902764</v>
      </c>
      <c r="K59" s="1">
        <f>J59/VLOOKUP(A59,'[12]geoMap (9)'!$A:$B,2,0)*VLOOKUP(A59,'[12]geoMap (9)'!$A:$C,3,0)</f>
        <v>490.799483440198</v>
      </c>
      <c r="L59" s="1">
        <f>K59/VLOOKUP(A59,'[13]geoMap (10)'!$A:$B,2,0)*VLOOKUP(A59,'[13]geoMap (10)'!$A:$C,3,0)</f>
        <v>252.83609752979896</v>
      </c>
      <c r="M59" s="1">
        <f>L59/VLOOKUP(A59,'[14]geoMap (11)'!$A:$B,2,0)*VLOOKUP(A59,'[14]geoMap (11)'!$A:$C,3,0)</f>
        <v>490.799483440198</v>
      </c>
      <c r="N59" s="1">
        <f>M59/VLOOKUP(A59,'[15]geoMap (12)'!$A:$B,2,0)*VLOOKUP(A59,'[15]geoMap (12)'!$A:$C,3,0)</f>
        <v>276.0747094351114</v>
      </c>
      <c r="O59" s="1">
        <f>N59/VLOOKUP(A59,'[16]geoMap (13)'!$A:$B,2,0)*VLOOKUP(A59,'[16]geoMap (13)'!$A:$C,3,0)</f>
        <v>254.83819332471822</v>
      </c>
      <c r="P59" s="1">
        <f>O59/VLOOKUP(A59,'[17]geoMap (14)'!$A:$B,2,0)*VLOOKUP(A59,'[17]geoMap (14)'!$A:$C,3,0)</f>
        <v>244.84453868453321</v>
      </c>
      <c r="Q59" s="1">
        <f>P59/VLOOKUP(A59,'[18]geoMap (15)'!$A:$B,2,0)*VLOOKUP(A59,'[18]geoMap (15)'!$A:$C,3,0)</f>
        <v>235.24279206945349</v>
      </c>
      <c r="R59" s="1">
        <f>Q59/VLOOKUP(A59,'[19]geoMap (16)'!$A:$B,2,0)*VLOOKUP(A59,'[19]geoMap (16)'!$A:$C,3,0)</f>
        <v>115.86585281032784</v>
      </c>
      <c r="S59" s="1">
        <f>R59/VLOOKUP(A59,'[20]geoMap (17)'!$A:$B,2,0)*VLOOKUP(A59,'[20]geoMap (17)'!$A:$C,3,0)</f>
        <v>130.65723827547609</v>
      </c>
      <c r="T59" s="1">
        <f>S59/VLOOKUP(A59,'[21]geoMap (18)'!$A:$B,2,0)*VLOOKUP(A59,'[21]geoMap (18)'!$A:$C,3,0)</f>
        <v>73.494696529955291</v>
      </c>
      <c r="U59" s="1">
        <f>T59/VLOOKUP(A59,'[22]geoMap (19)'!$A:$B,2,0)*VLOOKUP(A59,'[22]geoMap (19)'!$A:$C,3,0)</f>
        <v>51.072585724206213</v>
      </c>
      <c r="V59" s="1">
        <f>U59/VLOOKUP(A59,'[23]geoMap (20)'!$A:$B,2,0)*VLOOKUP(A59,'[23]geoMap (20)'!$A:$C,3,0)</f>
        <v>20.860633605661693</v>
      </c>
      <c r="W59" s="1">
        <f>V59/VLOOKUP(A59,'[24]geoMap (21)'!$A:$B,2,0)*VLOOKUP(A59,'[24]geoMap (21)'!$A:$C,3,0)</f>
        <v>28.807541645913766</v>
      </c>
      <c r="X59" s="1">
        <f>W59/VLOOKUP(A59,'[25]geoMap (22)'!$A:$B,2,0)*VLOOKUP(A59,'[25]geoMap (22)'!$A:$C,3,0)</f>
        <v>25.546310516187674</v>
      </c>
      <c r="Y59" s="1">
        <f>X59/VLOOKUP(A59,'[26]geoMap (23)'!$A:$B,2,0)*VLOOKUP(A59,'[26]geoMap (23)'!$A:$C,3,0)</f>
        <v>43.497771959995234</v>
      </c>
      <c r="Z59" s="1">
        <f>Y59/VLOOKUP(A59,'[27]geoMap (24)'!$A:$B,2,0)*VLOOKUP(A59,'[27]geoMap (24)'!$A:$C,3,0)</f>
        <v>45.273191223668505</v>
      </c>
      <c r="AA59" s="1">
        <f>Z59/VLOOKUP(A59,'[28]geoMap (25)'!$A:$B,2,0)*VLOOKUP(A59,'[28]geoMap (25)'!$A:$C,3,0)</f>
        <v>30.182127482445676</v>
      </c>
      <c r="AB59" s="1">
        <f>AA59*VLOOKUP(A59,'[29]geoMap (26)'!$A:$B,2,0)*VLOOKUP(A59,'[29]geoMap (26)'!$A:$C,3,0)</f>
        <v>7.5183679558772178</v>
      </c>
      <c r="AC59" s="1">
        <f>AB59/VLOOKUP(A59,'[30]geoMap (27)'!$A:$B,2,0)*VLOOKUP(A59,'[30]geoMap (27)'!$A:$C,3,0)</f>
        <v>7.223529996823209</v>
      </c>
      <c r="AD59" s="1">
        <f>AC59/VLOOKUP(A59,'[31]geoMap (28)'!$A:$B,2,0)*VLOOKUP(A59,'[31]geoMap (28)'!$A:$C,3,0)</f>
        <v>6.1533774047012519</v>
      </c>
      <c r="AE59" s="1">
        <f>AD59/VLOOKUP(A59,'[32]geoMap (29)'!$A:$B,2,0)*VLOOKUP(A59,'[32]geoMap (29)'!$A:$C,3,0)</f>
        <v>9.2300661070518775</v>
      </c>
      <c r="AF59" s="1">
        <f>AE59/VLOOKUP(A59,'[33]geoMap (30)'!$A:$B,2,0)*VLOOKUP(A59,'[33]geoMap (30)'!$A:$C,3,0)</f>
        <v>4.7548825399964221</v>
      </c>
      <c r="AG59" s="1">
        <f>AF59/VLOOKUP(A59,'[34]geoMap (31)'!$A:$B,2,0)*VLOOKUP(A59,'[34]geoMap (31)'!$A:$C,3,0)</f>
        <v>2.6746214287479875</v>
      </c>
      <c r="AH59" s="1">
        <f>AG59/VLOOKUP(A59,'[35]geoMap (32)'!$A:$B,2,0)*VLOOKUP(A59,'[35]geoMap (32)'!$A:$C,3,0)</f>
        <v>3.6935248301757921</v>
      </c>
      <c r="AI59" s="1">
        <f>AH59/VLOOKUP(A59,'[36]geoMap (33)'!$A:$B,2,0)*VLOOKUP(A59,'[36]geoMap (33)'!$A:$C,3,0)</f>
        <v>4.7008497838600993</v>
      </c>
      <c r="AJ59" s="1">
        <f>AI59/VLOOKUP(A59,'[37]geoMap (34)'!$A:$B,2,0)*VLOOKUP(A59,'[37]geoMap (34)'!$A:$C,3,0)</f>
        <v>2.0146499073686139</v>
      </c>
      <c r="AK59" s="1">
        <f>AJ59/VLOOKUP(A59,'[38]geoMap (35)'!$A:$B,2,0)*VLOOKUP(A59,'[38]geoMap (35)'!$A:$C,3,0)</f>
        <v>4.2811310531583047</v>
      </c>
      <c r="AL59" s="1">
        <f>AK59/VLOOKUP(A59,'[39]geoMap (36)'!$A:$B,2,0)*VLOOKUP(A59,'[39]geoMap (36)'!$A:$C,3,0)</f>
        <v>19.502930353276721</v>
      </c>
      <c r="AM59" s="1">
        <f>AL59/VLOOKUP(A59,'[40]geoMap (37)'!$A:$B,2,0)*VLOOKUP(A59,'[40]geoMap (37)'!$A:$C,3,0)</f>
        <v>4.8757325883191802</v>
      </c>
      <c r="AN59" s="1">
        <f>AM59/VLOOKUP(A59,'[41]geoMap (38)'!$A:$B,2,0)*VLOOKUP(A59,'[41]geoMap (38)'!$A:$C,3,0)</f>
        <v>2.9883522315504654</v>
      </c>
      <c r="AO59" s="1">
        <f>AN59/VLOOKUP(A59,'[42]geoMap (39)'!$A:$B,2,0)*VLOOKUP(A59,'[42]geoMap (39)'!$A:$C,3,0)</f>
        <v>2.0766515507384589</v>
      </c>
      <c r="AP59" s="1" t="e">
        <f>AO59/VLOOKUP(A59,'[43]geoMap (40)'!$A:$B,2,0)*VLOOKUP(A59,'[43]geoMap (40)'!$A:$C,3,0)</f>
        <v>#REF!</v>
      </c>
      <c r="AQ59" s="1" t="e">
        <f>AP59/VLOOKUP(A59,'[44]geoMap (41)'!$A:$B,2,0)*VLOOKUP(A59,'[44]geoMap (41)'!$A:$C,3,0)</f>
        <v>#REF!</v>
      </c>
      <c r="AR59" s="1" t="e">
        <f>AQ59/VLOOKUP(A59,'[45]geoMap (42)'!$A:$B,2,0)*VLOOKUP(A59,'[45]geoMap (42)'!$A:$C,3,0)</f>
        <v>#REF!</v>
      </c>
      <c r="AS59" s="1" t="e">
        <f>AR59/VLOOKUP(A59,'[46]geoMap (43)'!$A:$B,2,0)*VLOOKUP(A59,'[46]geoMap (43)'!$A:$C,3,0)</f>
        <v>#REF!</v>
      </c>
      <c r="AT59" s="1" t="e">
        <f>AS59/VLOOKUP(A59,'[47]geoMap (44)'!$A:$B,2,0)*VLOOKUP(A59,'[47]geoMap (44)'!$A:$C,3,0)</f>
        <v>#REF!</v>
      </c>
      <c r="AU59" s="1" t="e">
        <f>AT59/VLOOKUP(A59,'[48]geoMap (45)'!$A:$B,2,0)*VLOOKUP(A59,'[48]geoMap (45)'!$A:$C,3,0)</f>
        <v>#REF!</v>
      </c>
      <c r="AV59" s="1" t="e">
        <f>AU59/VLOOKUP(A59,'[49]geoMap (46)'!$A:$B,2,0)*VLOOKUP(A59,'[49]geoMap (46)'!$A:$C,3,0)</f>
        <v>#REF!</v>
      </c>
      <c r="AW59" s="1" t="e">
        <f>AV59/VLOOKUP(A59,'[50]geoMap (47)'!$A:$B,2,0)*VLOOKUP(A59,'[50]geoMap (47)'!$A:$C,3,0)</f>
        <v>#REF!</v>
      </c>
      <c r="AX59" s="4" t="e">
        <f>AW59/VLOOKUP(A59,'[51]geoMap (48)'!$A:$B,2,0)*VLOOKUP(A59,'[51]geoMap (48)'!$A:$C,3,0)</f>
        <v>#REF!</v>
      </c>
      <c r="AY59" s="1" t="e">
        <f>AX59/VLOOKUP(A59,'[52]geoMap (49)'!$A:$B,2,0)*VLOOKUP(A59,'[52]geoMap (49)'!$A:$C,3,0)</f>
        <v>#REF!</v>
      </c>
      <c r="AZ59" s="4" t="e">
        <f>AY59/VLOOKUP(A59,'[53]geoMap (50)'!$A:$B,2,0)*VLOOKUP(A59,'[53]geoMap (50)'!$A:$C,3,0)</f>
        <v>#REF!</v>
      </c>
      <c r="BA59" s="1" t="e">
        <f>AZ59/VLOOKUP(A59,'[54]geoMap (51)'!$A:$B,2,0)*VLOOKUP(A59,'[54]geoMap (51)'!$A:$C,3,0)</f>
        <v>#REF!</v>
      </c>
      <c r="BB59" s="4" t="e">
        <f>BA59/VLOOKUP(A59,'[55]geoMap (52)'!$A:$B,2,0)*VLOOKUP(A59,'[55]geoMap (52)'!$A:$C,3,0)</f>
        <v>#REF!</v>
      </c>
      <c r="BC59" s="1" t="e">
        <f>BB59/VLOOKUP(A59,'[56]geoMap (53)'!$A:$B,2,0)*VLOOKUP(A59,'[56]geoMap (53)'!$A:$C,3,0)</f>
        <v>#REF!</v>
      </c>
      <c r="BD59" s="4" t="e">
        <f>BC59/VLOOKUP(A59,'[57]geoMap (54)'!$A:$B,2,0)*VLOOKUP(A59,'[57]geoMap (54)'!$A:$C,3,0)</f>
        <v>#REF!</v>
      </c>
      <c r="BE59" s="1" t="e">
        <f>BD59/VLOOKUP(A59,'[58]geoMap (55)'!$A:$B,2,0)*VLOOKUP(A59,'[58]geoMap (55)'!$A:$C,3,0)</f>
        <v>#REF!</v>
      </c>
      <c r="BF59" s="4" t="e">
        <f>BE59/VLOOKUP(A59,'[59]geoMap (56)'!$A:$B,2,0)*VLOOKUP(A59,'[59]geoMap (56)'!$A:$C,3,0)</f>
        <v>#REF!</v>
      </c>
      <c r="BG59" s="1" t="e">
        <f>BF59/VLOOKUP(A59,'[60]geoMap (57)'!$A:$B,2,0)*VLOOKUP(A59,'[60]geoMap (57)'!$A:$C,3,0)</f>
        <v>#REF!</v>
      </c>
      <c r="BH59" s="4" t="e">
        <f>BG59/VLOOKUP(A59,'[61]geoMap (58)'!$A:$B,2,0)*VLOOKUP(A59,'[61]geoMap (58)'!$A:$C,3,0)</f>
        <v>#REF!</v>
      </c>
      <c r="BI59" s="1" t="e">
        <f>BH59/VLOOKUP(A59,'[62]geoMap (59)'!$A:$B,2,0)*VLOOKUP(A59,'[62]geoMap (59)'!$A:$C,3,0)</f>
        <v>#REF!</v>
      </c>
      <c r="BJ59" s="4" t="e">
        <f>BI59/VLOOKUP(A59,'[63]geoMap (60)'!$A:$B,2,0)*VLOOKUP(A59,'[63]geoMap (60)'!$A:$C,3,0)</f>
        <v>#REF!</v>
      </c>
      <c r="BK59" s="1" t="e">
        <f>BJ59/VLOOKUP(A59,'[64]geoMap (61)'!$A:$B,2,0)*VLOOKUP(A59,'[64]geoMap (61)'!$A:$C,3,0)</f>
        <v>#REF!</v>
      </c>
      <c r="BL59" s="4" t="e">
        <f>BK59/VLOOKUP(A59,'[65]geoMap (62)'!$A:$B,2,0)*VLOOKUP(A59,'[65]geoMap (62)'!$A:$C,3,0)</f>
        <v>#REF!</v>
      </c>
      <c r="BM59" s="1" t="e">
        <f>BL59/VLOOKUP(A59,'[66]geoMap (63)'!$A:$B,2,0)*VLOOKUP(A59,'[66]geoMap (63)'!$A:$C,3,0)</f>
        <v>#REF!</v>
      </c>
      <c r="BN59" s="4" t="e">
        <f>BM59/VLOOKUP(A59,'[67]geoMap (64)'!$A:$B,2,0)*VLOOKUP(A59,'[67]geoMap (64)'!$A:$C,3,0)</f>
        <v>#REF!</v>
      </c>
      <c r="BO59" s="1" t="e">
        <f>BN59/VLOOKUP(A59,'[68]geoMap (65)'!$A:$B,2,0)*VLOOKUP(A59,'[68]geoMap (65)'!$A:$C,3,0)</f>
        <v>#REF!</v>
      </c>
      <c r="BP59" s="4" t="e">
        <f>BO59/VLOOKUP(A59,'[69]geoMap (66)'!$A:$B,2,0)*VLOOKUP(A59,'[69]geoMap (66)'!$A:$C,3,0)</f>
        <v>#REF!</v>
      </c>
    </row>
    <row r="60" spans="1:68" x14ac:dyDescent="0.2">
      <c r="A60" s="1" t="s">
        <v>147</v>
      </c>
      <c r="B60" s="1">
        <f>VLOOKUP(A60,[3]geoMap!$A:$B,2,0)*Notes!$C$6</f>
        <v>4000</v>
      </c>
      <c r="C60" s="1">
        <f>B60/VLOOKUP(A60,'[4]geoMap (1)'!$A:$B,2,0)*VLOOKUP(A60,'[4]geoMap (1)'!$A:$C,3,0)</f>
        <v>3407.4074074074074</v>
      </c>
      <c r="D60" s="1">
        <f>C60/VLOOKUP(A60,'[5]geoMap (2)'!$A:$B,2,0)*VLOOKUP(A60,'[5]geoMap (2)'!$A:$C,3,0)</f>
        <v>3691.3580246913584</v>
      </c>
      <c r="E60" s="1">
        <f>D60/VLOOKUP(A60,'[6]geoMap (3)'!$A:$B,2,0)*VLOOKUP(A60,'[6]geoMap (3)'!$A:$C,3,0)</f>
        <v>4893.1955211024979</v>
      </c>
      <c r="F60" s="1">
        <f>E60/VLOOKUP(A60,'[7]geoMap (4)'!$A:$B,2,0)*VLOOKUP(A60,'[7]geoMap (4)'!$A:$C,3,0)</f>
        <v>3543.3484807983605</v>
      </c>
      <c r="G60" s="1">
        <f>F60/VLOOKUP(A60,'[8]geoMap (5)'!$A:$B,2,0)*VLOOKUP(A60,'[8]geoMap (5)'!$A:$C,3,0)</f>
        <v>2265.419520510427</v>
      </c>
      <c r="H60" s="1">
        <f>G60/VLOOKUP(A60,'[9]geoMap (6)'!$A:$B,2,0)*VLOOKUP(A60,'[9]geoMap (6)'!$A:$C,3,0)</f>
        <v>1115.8036444305087</v>
      </c>
      <c r="I60" s="1">
        <f>H60/VLOOKUP(A60,'[10]geoMap (7)'!$A:$B,2,0)*VLOOKUP(A60,'[10]geoMap (7)'!$A:$C,3,0)</f>
        <v>950.49940081117416</v>
      </c>
      <c r="J60" s="1">
        <f>I60/VLOOKUP(A60,'[11]geoMap (8)'!$A:$B,2,0)*VLOOKUP(A60,'[11]geoMap (8)'!$A:$C,3,0)</f>
        <v>1209.7265101233127</v>
      </c>
      <c r="K60" s="1">
        <f>J60/VLOOKUP(A60,'[12]geoMap (9)'!$A:$B,2,0)*VLOOKUP(A60,'[12]geoMap (9)'!$A:$C,3,0)</f>
        <v>773.43170319359342</v>
      </c>
      <c r="L60" s="1">
        <f>K60/VLOOKUP(A60,'[13]geoMap (10)'!$A:$B,2,0)*VLOOKUP(A60,'[13]geoMap (10)'!$A:$C,3,0)</f>
        <v>435.0553330463963</v>
      </c>
      <c r="M60" s="1">
        <f>L60/VLOOKUP(A60,'[14]geoMap (11)'!$A:$B,2,0)*VLOOKUP(A60,'[14]geoMap (11)'!$A:$C,3,0)</f>
        <v>490.59431173317034</v>
      </c>
      <c r="N60" s="1">
        <f>M60/VLOOKUP(A60,'[15]geoMap (12)'!$A:$B,2,0)*VLOOKUP(A60,'[15]geoMap (12)'!$A:$C,3,0)</f>
        <v>275.95930034990829</v>
      </c>
      <c r="O60" s="1">
        <f>N60/VLOOKUP(A60,'[16]geoMap (13)'!$A:$B,2,0)*VLOOKUP(A60,'[16]geoMap (13)'!$A:$C,3,0)</f>
        <v>397.11216391816072</v>
      </c>
      <c r="P60" s="1">
        <f>O60/VLOOKUP(A60,'[17]geoMap (14)'!$A:$B,2,0)*VLOOKUP(A60,'[17]geoMap (14)'!$A:$C,3,0)</f>
        <v>287.56398076832329</v>
      </c>
      <c r="Q60" s="1">
        <f>P60/VLOOKUP(A60,'[18]geoMap (15)'!$A:$B,2,0)*VLOOKUP(A60,'[18]geoMap (15)'!$A:$C,3,0)</f>
        <v>191.70932051221553</v>
      </c>
      <c r="R60" s="1">
        <f>Q60/VLOOKUP(A60,'[19]geoMap (16)'!$A:$B,2,0)*VLOOKUP(A60,'[19]geoMap (16)'!$A:$C,3,0)</f>
        <v>133.221731203404</v>
      </c>
      <c r="S60" s="1">
        <f>R60/VLOOKUP(A60,'[20]geoMap (17)'!$A:$B,2,0)*VLOOKUP(A60,'[20]geoMap (17)'!$A:$C,3,0)</f>
        <v>156.3907279344308</v>
      </c>
      <c r="T60" s="1">
        <f>S60/VLOOKUP(A60,'[21]geoMap (18)'!$A:$B,2,0)*VLOOKUP(A60,'[21]geoMap (18)'!$A:$C,3,0)</f>
        <v>52.130242644810266</v>
      </c>
      <c r="U60" s="1">
        <f>T60/VLOOKUP(A60,'[22]geoMap (19)'!$A:$B,2,0)*VLOOKUP(A60,'[22]geoMap (19)'!$A:$C,3,0)</f>
        <v>37.749486053138469</v>
      </c>
      <c r="V60" s="1">
        <f>U60/VLOOKUP(A60,'[23]geoMap (20)'!$A:$B,2,0)*VLOOKUP(A60,'[23]geoMap (20)'!$A:$C,3,0)</f>
        <v>119.54003916827182</v>
      </c>
      <c r="W60" s="1">
        <f>V60/VLOOKUP(A60,'[24]geoMap (21)'!$A:$B,2,0)*VLOOKUP(A60,'[24]geoMap (21)'!$A:$C,3,0)</f>
        <v>28.040256101199564</v>
      </c>
      <c r="X60" s="1">
        <f>W60/VLOOKUP(A60,'[25]geoMap (22)'!$A:$B,2,0)*VLOOKUP(A60,'[25]geoMap (22)'!$A:$C,3,0)</f>
        <v>38.722258425466059</v>
      </c>
      <c r="Y60" s="1">
        <f>X60/VLOOKUP(A60,'[26]geoMap (23)'!$A:$B,2,0)*VLOOKUP(A60,'[26]geoMap (23)'!$A:$C,3,0)</f>
        <v>32.985627547619231</v>
      </c>
      <c r="Z60" s="1">
        <f>Y60/VLOOKUP(A60,'[27]geoMap (24)'!$A:$B,2,0)*VLOOKUP(A60,'[27]geoMap (24)'!$A:$C,3,0)</f>
        <v>56.164717175675989</v>
      </c>
      <c r="AA60" s="1">
        <f>Z60/VLOOKUP(A60,'[28]geoMap (25)'!$A:$B,2,0)*VLOOKUP(A60,'[28]geoMap (25)'!$A:$C,3,0)</f>
        <v>19.733549277940213</v>
      </c>
      <c r="AB60" s="1">
        <f>AA60*VLOOKUP(A60,'[29]geoMap (26)'!$A:$B,2,0)*VLOOKUP(A60,'[29]geoMap (26)'!$A:$C,3,0)</f>
        <v>4.8623465420844694</v>
      </c>
      <c r="AC60" s="1">
        <f>AB60/VLOOKUP(A60,'[30]geoMap (27)'!$A:$B,2,0)*VLOOKUP(A60,'[30]geoMap (27)'!$A:$C,3,0)</f>
        <v>9.4386726993404402</v>
      </c>
      <c r="AD60" s="1">
        <f>AC60/VLOOKUP(A60,'[31]geoMap (28)'!$A:$B,2,0)*VLOOKUP(A60,'[31]geoMap (28)'!$A:$C,3,0)</f>
        <v>6.2924484662269613</v>
      </c>
      <c r="AE60" s="1">
        <f>AD60/VLOOKUP(A60,'[32]geoMap (29)'!$A:$B,2,0)*VLOOKUP(A60,'[32]geoMap (29)'!$A:$C,3,0)</f>
        <v>2.961152219400923</v>
      </c>
      <c r="AF60" s="1">
        <f>AE60/VLOOKUP(A60,'[33]geoMap (30)'!$A:$B,2,0)*VLOOKUP(A60,'[33]geoMap (30)'!$A:$C,3,0)</f>
        <v>5.0419618870880578</v>
      </c>
      <c r="AG60" s="1">
        <f>AF60/VLOOKUP(A60,'[34]geoMap (31)'!$A:$B,2,0)*VLOOKUP(A60,'[34]geoMap (31)'!$A:$C,3,0)</f>
        <v>6.6835308735818435</v>
      </c>
      <c r="AH60" s="1">
        <f>AG60/VLOOKUP(A60,'[35]geoMap (32)'!$A:$B,2,0)*VLOOKUP(A60,'[35]geoMap (32)'!$A:$C,3,0)</f>
        <v>6.1694131140755468</v>
      </c>
      <c r="AI60" s="1" t="e">
        <f>AH60/VLOOKUP(A60,'[36]geoMap (33)'!$A:$B,2,0)*VLOOKUP(A60,'[36]geoMap (33)'!$A:$C,3,0)</f>
        <v>#REF!</v>
      </c>
      <c r="AJ60" s="1" t="e">
        <f>AI60/VLOOKUP(A60,'[37]geoMap (34)'!$A:$B,2,0)*VLOOKUP(A60,'[37]geoMap (34)'!$A:$C,3,0)</f>
        <v>#REF!</v>
      </c>
      <c r="AK60" s="1" t="e">
        <f>AJ60/VLOOKUP(A60,'[38]geoMap (35)'!$A:$B,2,0)*VLOOKUP(A60,'[38]geoMap (35)'!$A:$C,3,0)</f>
        <v>#REF!</v>
      </c>
      <c r="AL60" s="1" t="e">
        <f>AK60/VLOOKUP(A60,'[39]geoMap (36)'!$A:$B,2,0)*VLOOKUP(A60,'[39]geoMap (36)'!$A:$C,3,0)</f>
        <v>#REF!</v>
      </c>
      <c r="AM60" s="1" t="e">
        <f>AL60/VLOOKUP(A60,'[40]geoMap (37)'!$A:$B,2,0)*VLOOKUP(A60,'[40]geoMap (37)'!$A:$C,3,0)</f>
        <v>#REF!</v>
      </c>
      <c r="AN60" s="1" t="e">
        <f>AM60/VLOOKUP(A60,'[41]geoMap (38)'!$A:$B,2,0)*VLOOKUP(A60,'[41]geoMap (38)'!$A:$C,3,0)</f>
        <v>#REF!</v>
      </c>
      <c r="AO60" s="1" t="e">
        <f>AN60/VLOOKUP(A60,'[42]geoMap (39)'!$A:$B,2,0)*VLOOKUP(A60,'[42]geoMap (39)'!$A:$C,3,0)</f>
        <v>#REF!</v>
      </c>
      <c r="AP60" s="1" t="e">
        <f>AO60/VLOOKUP(A60,'[43]geoMap (40)'!$A:$B,2,0)*VLOOKUP(A60,'[43]geoMap (40)'!$A:$C,3,0)</f>
        <v>#REF!</v>
      </c>
      <c r="AQ60" s="1" t="e">
        <f>AP60/VLOOKUP(A60,'[44]geoMap (41)'!$A:$B,2,0)*VLOOKUP(A60,'[44]geoMap (41)'!$A:$C,3,0)</f>
        <v>#REF!</v>
      </c>
      <c r="AR60" s="1" t="e">
        <f>AQ60/VLOOKUP(A60,'[45]geoMap (42)'!$A:$B,2,0)*VLOOKUP(A60,'[45]geoMap (42)'!$A:$C,3,0)</f>
        <v>#REF!</v>
      </c>
      <c r="AS60" s="1" t="e">
        <f>AR60/VLOOKUP(A60,'[46]geoMap (43)'!$A:$B,2,0)*VLOOKUP(A60,'[46]geoMap (43)'!$A:$C,3,0)</f>
        <v>#REF!</v>
      </c>
      <c r="AT60" s="1" t="e">
        <f>AS60/VLOOKUP(A60,'[47]geoMap (44)'!$A:$B,2,0)*VLOOKUP(A60,'[47]geoMap (44)'!$A:$C,3,0)</f>
        <v>#REF!</v>
      </c>
      <c r="AU60" s="1" t="e">
        <f>AT60/VLOOKUP(A60,'[48]geoMap (45)'!$A:$B,2,0)*VLOOKUP(A60,'[48]geoMap (45)'!$A:$C,3,0)</f>
        <v>#REF!</v>
      </c>
      <c r="AV60" s="1" t="e">
        <f>AU60/VLOOKUP(A60,'[49]geoMap (46)'!$A:$B,2,0)*VLOOKUP(A60,'[49]geoMap (46)'!$A:$C,3,0)</f>
        <v>#REF!</v>
      </c>
      <c r="AW60" s="1" t="e">
        <f>AV60/VLOOKUP(A60,'[50]geoMap (47)'!$A:$B,2,0)*VLOOKUP(A60,'[50]geoMap (47)'!$A:$C,3,0)</f>
        <v>#REF!</v>
      </c>
      <c r="AX60" s="4" t="e">
        <f>AW60/VLOOKUP(A60,'[51]geoMap (48)'!$A:$B,2,0)*VLOOKUP(A60,'[51]geoMap (48)'!$A:$C,3,0)</f>
        <v>#REF!</v>
      </c>
      <c r="AY60" s="1" t="e">
        <f>AX60/VLOOKUP(A60,'[52]geoMap (49)'!$A:$B,2,0)*VLOOKUP(A60,'[52]geoMap (49)'!$A:$C,3,0)</f>
        <v>#REF!</v>
      </c>
      <c r="AZ60" s="4" t="e">
        <f>AY60/VLOOKUP(A60,'[53]geoMap (50)'!$A:$B,2,0)*VLOOKUP(A60,'[53]geoMap (50)'!$A:$C,3,0)</f>
        <v>#REF!</v>
      </c>
      <c r="BA60" s="1" t="e">
        <f>AZ60/VLOOKUP(A60,'[54]geoMap (51)'!$A:$B,2,0)*VLOOKUP(A60,'[54]geoMap (51)'!$A:$C,3,0)</f>
        <v>#REF!</v>
      </c>
      <c r="BB60" s="4" t="e">
        <f>BA60/VLOOKUP(A60,'[55]geoMap (52)'!$A:$B,2,0)*VLOOKUP(A60,'[55]geoMap (52)'!$A:$C,3,0)</f>
        <v>#REF!</v>
      </c>
      <c r="BC60" s="1" t="e">
        <f>BB60/VLOOKUP(A60,'[56]geoMap (53)'!$A:$B,2,0)*VLOOKUP(A60,'[56]geoMap (53)'!$A:$C,3,0)</f>
        <v>#REF!</v>
      </c>
      <c r="BD60" s="4" t="e">
        <f>BC60/VLOOKUP(A60,'[57]geoMap (54)'!$A:$B,2,0)*VLOOKUP(A60,'[57]geoMap (54)'!$A:$C,3,0)</f>
        <v>#REF!</v>
      </c>
      <c r="BE60" s="1" t="e">
        <f>BD60/VLOOKUP(A60,'[58]geoMap (55)'!$A:$B,2,0)*VLOOKUP(A60,'[58]geoMap (55)'!$A:$C,3,0)</f>
        <v>#REF!</v>
      </c>
      <c r="BF60" s="4" t="e">
        <f>BE60/VLOOKUP(A60,'[59]geoMap (56)'!$A:$B,2,0)*VLOOKUP(A60,'[59]geoMap (56)'!$A:$C,3,0)</f>
        <v>#REF!</v>
      </c>
      <c r="BG60" s="1" t="e">
        <f>BF60/VLOOKUP(A60,'[60]geoMap (57)'!$A:$B,2,0)*VLOOKUP(A60,'[60]geoMap (57)'!$A:$C,3,0)</f>
        <v>#REF!</v>
      </c>
      <c r="BH60" s="4" t="e">
        <f>BG60/VLOOKUP(A60,'[61]geoMap (58)'!$A:$B,2,0)*VLOOKUP(A60,'[61]geoMap (58)'!$A:$C,3,0)</f>
        <v>#REF!</v>
      </c>
      <c r="BI60" s="1" t="e">
        <f>BH60/VLOOKUP(A60,'[62]geoMap (59)'!$A:$B,2,0)*VLOOKUP(A60,'[62]geoMap (59)'!$A:$C,3,0)</f>
        <v>#REF!</v>
      </c>
      <c r="BJ60" s="4" t="e">
        <f>BI60/VLOOKUP(A60,'[63]geoMap (60)'!$A:$B,2,0)*VLOOKUP(A60,'[63]geoMap (60)'!$A:$C,3,0)</f>
        <v>#REF!</v>
      </c>
      <c r="BK60" s="1" t="e">
        <f>BJ60/VLOOKUP(A60,'[64]geoMap (61)'!$A:$B,2,0)*VLOOKUP(A60,'[64]geoMap (61)'!$A:$C,3,0)</f>
        <v>#REF!</v>
      </c>
      <c r="BL60" s="4" t="e">
        <f>BK60/VLOOKUP(A60,'[65]geoMap (62)'!$A:$B,2,0)*VLOOKUP(A60,'[65]geoMap (62)'!$A:$C,3,0)</f>
        <v>#REF!</v>
      </c>
      <c r="BM60" s="1" t="e">
        <f>BL60/VLOOKUP(A60,'[66]geoMap (63)'!$A:$B,2,0)*VLOOKUP(A60,'[66]geoMap (63)'!$A:$C,3,0)</f>
        <v>#REF!</v>
      </c>
      <c r="BN60" s="4" t="e">
        <f>BM60/VLOOKUP(A60,'[67]geoMap (64)'!$A:$B,2,0)*VLOOKUP(A60,'[67]geoMap (64)'!$A:$C,3,0)</f>
        <v>#REF!</v>
      </c>
      <c r="BO60" s="1" t="e">
        <f>BN60/VLOOKUP(A60,'[68]geoMap (65)'!$A:$B,2,0)*VLOOKUP(A60,'[68]geoMap (65)'!$A:$C,3,0)</f>
        <v>#REF!</v>
      </c>
      <c r="BP60" s="4" t="e">
        <f>BO60/VLOOKUP(A60,'[69]geoMap (66)'!$A:$B,2,0)*VLOOKUP(A60,'[69]geoMap (66)'!$A:$C,3,0)</f>
        <v>#REF!</v>
      </c>
    </row>
    <row r="61" spans="1:68" x14ac:dyDescent="0.2">
      <c r="A61" s="1" t="s">
        <v>150</v>
      </c>
      <c r="B61" s="1">
        <f>VLOOKUP(A61,[3]geoMap!$A:$B,2,0)*Notes!$C$6</f>
        <v>4000</v>
      </c>
      <c r="C61" s="1">
        <f>B61/VLOOKUP(A61,'[4]geoMap (1)'!$A:$B,2,0)*VLOOKUP(A61,'[4]geoMap (1)'!$A:$C,3,0)</f>
        <v>2779.6610169491528</v>
      </c>
      <c r="D61" s="1">
        <f>C61/VLOOKUP(A61,'[5]geoMap (2)'!$A:$B,2,0)*VLOOKUP(A61,'[5]geoMap (2)'!$A:$C,3,0)</f>
        <v>3537.7503852080126</v>
      </c>
      <c r="E61" s="1">
        <f>D61/VLOOKUP(A61,'[6]geoMap (3)'!$A:$B,2,0)*VLOOKUP(A61,'[6]geoMap (3)'!$A:$C,3,0)</f>
        <v>3989.3780939579719</v>
      </c>
      <c r="F61" s="1">
        <f>E61/VLOOKUP(A61,'[7]geoMap (4)'!$A:$B,2,0)*VLOOKUP(A61,'[7]geoMap (4)'!$A:$C,3,0)</f>
        <v>3832.9318941949141</v>
      </c>
      <c r="G61" s="1">
        <f>F61/VLOOKUP(A61,'[8]geoMap (5)'!$A:$B,2,0)*VLOOKUP(A61,'[8]geoMap (5)'!$A:$C,3,0)</f>
        <v>2156.0241904846389</v>
      </c>
      <c r="H61" s="1">
        <f>G61/VLOOKUP(A61,'[9]geoMap (6)'!$A:$B,2,0)*VLOOKUP(A61,'[9]geoMap (6)'!$A:$C,3,0)</f>
        <v>1764.0197922147042</v>
      </c>
      <c r="I61" s="1">
        <f>H61/VLOOKUP(A61,'[10]geoMap (7)'!$A:$B,2,0)*VLOOKUP(A61,'[10]geoMap (7)'!$A:$C,3,0)</f>
        <v>1127.8159327274341</v>
      </c>
      <c r="J61" s="1">
        <f>I61/VLOOKUP(A61,'[11]geoMap (8)'!$A:$B,2,0)*VLOOKUP(A61,'[11]geoMap (8)'!$A:$C,3,0)</f>
        <v>1041.06086097917</v>
      </c>
      <c r="K61" s="1">
        <f>J61/VLOOKUP(A61,'[12]geoMap (9)'!$A:$B,2,0)*VLOOKUP(A61,'[12]geoMap (9)'!$A:$C,3,0)</f>
        <v>886.82962231558929</v>
      </c>
      <c r="L61" s="1">
        <f>K61/VLOOKUP(A61,'[13]geoMap (10)'!$A:$B,2,0)*VLOOKUP(A61,'[13]geoMap (10)'!$A:$C,3,0)</f>
        <v>566.98943066078664</v>
      </c>
      <c r="M61" s="1">
        <f>L61/VLOOKUP(A61,'[14]geoMap (11)'!$A:$B,2,0)*VLOOKUP(A61,'[14]geoMap (11)'!$A:$C,3,0)</f>
        <v>566.98943066078664</v>
      </c>
      <c r="N61" s="1">
        <f>M61/VLOOKUP(A61,'[15]geoMap (12)'!$A:$B,2,0)*VLOOKUP(A61,'[15]geoMap (12)'!$A:$C,3,0)</f>
        <v>254.73438189107807</v>
      </c>
      <c r="O61" s="1">
        <f>N61/VLOOKUP(A61,'[16]geoMap (13)'!$A:$B,2,0)*VLOOKUP(A61,'[16]geoMap (13)'!$A:$C,3,0)</f>
        <v>324.20739513409939</v>
      </c>
      <c r="P61" s="1">
        <f>O61/VLOOKUP(A61,'[17]geoMap (14)'!$A:$B,2,0)*VLOOKUP(A61,'[17]geoMap (14)'!$A:$C,3,0)</f>
        <v>311.49337963864451</v>
      </c>
      <c r="Q61" s="1">
        <f>P61/VLOOKUP(A61,'[18]geoMap (15)'!$A:$B,2,0)*VLOOKUP(A61,'[18]geoMap (15)'!$A:$C,3,0)</f>
        <v>254.85821970434549</v>
      </c>
      <c r="R61" s="1">
        <f>Q61/VLOOKUP(A61,'[19]geoMap (16)'!$A:$B,2,0)*VLOOKUP(A61,'[19]geoMap (16)'!$A:$C,3,0)</f>
        <v>156.2034249800827</v>
      </c>
      <c r="S61" s="1">
        <f>R61/VLOOKUP(A61,'[20]geoMap (17)'!$A:$B,2,0)*VLOOKUP(A61,'[20]geoMap (17)'!$A:$C,3,0)</f>
        <v>150.07780047105985</v>
      </c>
      <c r="T61" s="1">
        <f>S61/VLOOKUP(A61,'[21]geoMap (18)'!$A:$B,2,0)*VLOOKUP(A61,'[21]geoMap (18)'!$A:$C,3,0)</f>
        <v>42.329636030298929</v>
      </c>
      <c r="U61" s="1">
        <f>T61/VLOOKUP(A61,'[22]geoMap (19)'!$A:$B,2,0)*VLOOKUP(A61,'[22]geoMap (19)'!$A:$C,3,0)</f>
        <v>69.064142996803511</v>
      </c>
      <c r="V61" s="1">
        <f>U61/VLOOKUP(A61,'[23]geoMap (20)'!$A:$B,2,0)*VLOOKUP(A61,'[23]geoMap (20)'!$A:$C,3,0)</f>
        <v>91.550143042274414</v>
      </c>
      <c r="W61" s="1">
        <f>V61/VLOOKUP(A61,'[24]geoMap (21)'!$A:$B,2,0)*VLOOKUP(A61,'[24]geoMap (21)'!$A:$C,3,0)</f>
        <v>25.821835217051756</v>
      </c>
      <c r="X61" s="1">
        <f>W61/VLOOKUP(A61,'[25]geoMap (22)'!$A:$B,2,0)*VLOOKUP(A61,'[25]geoMap (22)'!$A:$C,3,0)</f>
        <v>37.158250678196431</v>
      </c>
      <c r="Y61" s="1">
        <f>X61/VLOOKUP(A61,'[26]geoMap (23)'!$A:$B,2,0)*VLOOKUP(A61,'[26]geoMap (23)'!$A:$C,3,0)</f>
        <v>63.269453857469607</v>
      </c>
      <c r="Z61" s="1">
        <f>Y61/VLOOKUP(A61,'[27]geoMap (24)'!$A:$B,2,0)*VLOOKUP(A61,'[27]geoMap (24)'!$A:$C,3,0)</f>
        <v>31.162566825320852</v>
      </c>
      <c r="AA61" s="1">
        <f>Z61/VLOOKUP(A61,'[28]geoMap (25)'!$A:$B,2,0)*VLOOKUP(A61,'[28]geoMap (25)'!$A:$C,3,0)</f>
        <v>17.528943839242977</v>
      </c>
      <c r="AB61" s="1">
        <f>AA61*VLOOKUP(A61,'[29]geoMap (26)'!$A:$B,2,0)*VLOOKUP(A61,'[29]geoMap (26)'!$A:$C,3,0)</f>
        <v>4.3804830654268203</v>
      </c>
      <c r="AC61" s="1">
        <f>AB61/VLOOKUP(A61,'[30]geoMap (27)'!$A:$B,2,0)*VLOOKUP(A61,'[30]geoMap (27)'!$A:$C,3,0)</f>
        <v>7.4586603546456667</v>
      </c>
      <c r="AD61" s="1">
        <f>AC61/VLOOKUP(A61,'[31]geoMap (28)'!$A:$B,2,0)*VLOOKUP(A61,'[31]geoMap (28)'!$A:$C,3,0)</f>
        <v>4.1954964494881875</v>
      </c>
      <c r="AE61" s="1">
        <f>AD61/VLOOKUP(A61,'[32]geoMap (29)'!$A:$B,2,0)*VLOOKUP(A61,'[32]geoMap (29)'!$A:$C,3,0)</f>
        <v>4.3667412025285213</v>
      </c>
      <c r="AF61" s="1">
        <f>AE61/VLOOKUP(A61,'[33]geoMap (30)'!$A:$B,2,0)*VLOOKUP(A61,'[33]geoMap (30)'!$A:$C,3,0)</f>
        <v>4.030838033103251</v>
      </c>
      <c r="AG61" s="1">
        <f>AF61/VLOOKUP(A61,'[34]geoMap (31)'!$A:$B,2,0)*VLOOKUP(A61,'[34]geoMap (31)'!$A:$C,3,0)</f>
        <v>7.1659342810724471</v>
      </c>
      <c r="AH61" s="1">
        <f>AG61/VLOOKUP(A61,'[35]geoMap (32)'!$A:$B,2,0)*VLOOKUP(A61,'[35]geoMap (32)'!$A:$C,3,0)</f>
        <v>4.3920242367863391</v>
      </c>
      <c r="AI61" s="1">
        <f>AH61/VLOOKUP(A61,'[36]geoMap (33)'!$A:$B,2,0)*VLOOKUP(A61,'[36]geoMap (33)'!$A:$C,3,0)</f>
        <v>1.7939253924901948</v>
      </c>
      <c r="AJ61" s="1">
        <f>AI61/VLOOKUP(A61,'[37]geoMap (34)'!$A:$B,2,0)*VLOOKUP(A61,'[37]geoMap (34)'!$A:$C,3,0)</f>
        <v>5.6807637428856168</v>
      </c>
      <c r="AK61" s="1">
        <f>AJ61/VLOOKUP(A61,'[38]geoMap (35)'!$A:$B,2,0)*VLOOKUP(A61,'[38]geoMap (35)'!$A:$C,3,0)</f>
        <v>4.2854884376154656</v>
      </c>
      <c r="AL61" s="1">
        <f>AK61/VLOOKUP(A61,'[39]geoMap (36)'!$A:$B,2,0)*VLOOKUP(A61,'[39]geoMap (36)'!$A:$C,3,0)</f>
        <v>0.87775064384895085</v>
      </c>
      <c r="AM61" s="1">
        <f>AL61/VLOOKUP(A61,'[40]geoMap (37)'!$A:$B,2,0)*VLOOKUP(A61,'[40]geoMap (37)'!$A:$C,3,0)</f>
        <v>1.0304029297357249</v>
      </c>
      <c r="AN61" s="1">
        <f>AM61/VLOOKUP(A61,'[41]geoMap (38)'!$A:$B,2,0)*VLOOKUP(A61,'[41]geoMap (38)'!$A:$C,3,0)</f>
        <v>0.84305694251104757</v>
      </c>
      <c r="AO61" s="1">
        <f>AN61/VLOOKUP(A61,'[42]geoMap (39)'!$A:$B,2,0)*VLOOKUP(A61,'[42]geoMap (39)'!$A:$C,3,0)</f>
        <v>3.5940848601786768</v>
      </c>
      <c r="AP61" s="1">
        <f>AO61/VLOOKUP(A61,'[43]geoMap (40)'!$A:$B,2,0)*VLOOKUP(A61,'[43]geoMap (40)'!$A:$C,3,0)</f>
        <v>1.0735578153780465</v>
      </c>
      <c r="AQ61" s="1">
        <f>AP61/VLOOKUP(A61,'[44]geoMap (41)'!$A:$B,2,0)*VLOOKUP(A61,'[44]geoMap (41)'!$A:$C,3,0)</f>
        <v>2.7605772395435477</v>
      </c>
      <c r="AR61" s="1">
        <f>AQ61/VLOOKUP(A61,'[45]geoMap (42)'!$A:$B,2,0)*VLOOKUP(A61,'[45]geoMap (42)'!$A:$C,3,0)</f>
        <v>8.7418279252212354</v>
      </c>
      <c r="AS61" s="1">
        <f>AR61/VLOOKUP(A61,'[46]geoMap (43)'!$A:$B,2,0)*VLOOKUP(A61,'[46]geoMap (43)'!$A:$C,3,0)</f>
        <v>1.4230882668964804</v>
      </c>
      <c r="AT61" s="1">
        <f>AS61/VLOOKUP(A61,'[47]geoMap (44)'!$A:$B,2,0)*VLOOKUP(A61,'[47]geoMap (44)'!$A:$C,3,0)</f>
        <v>0.58126140478870325</v>
      </c>
      <c r="AU61" s="1">
        <f>AT61/VLOOKUP(A61,'[48]geoMap (45)'!$A:$B,2,0)*VLOOKUP(A61,'[48]geoMap (45)'!$A:$C,3,0)</f>
        <v>0.32695954019364559</v>
      </c>
      <c r="AV61" s="1">
        <f>AU61/VLOOKUP(A61,'[49]geoMap (46)'!$A:$B,2,0)*VLOOKUP(A61,'[49]geoMap (46)'!$A:$C,3,0)</f>
        <v>0.84075310335508857</v>
      </c>
      <c r="AW61" s="1">
        <f>AV61/VLOOKUP(A61,'[50]geoMap (47)'!$A:$B,2,0)*VLOOKUP(A61,'[50]geoMap (47)'!$A:$C,3,0)</f>
        <v>1.0275871263228862</v>
      </c>
      <c r="AX61" s="4">
        <f>AW61/VLOOKUP(A61,'[51]geoMap (48)'!$A:$B,2,0)*VLOOKUP(A61,'[51]geoMap (48)'!$A:$C,3,0)</f>
        <v>0.50612500251724246</v>
      </c>
      <c r="AY61" s="1">
        <f>AX61/VLOOKUP(A61,'[52]geoMap (49)'!$A:$B,2,0)*VLOOKUP(A61,'[52]geoMap (49)'!$A:$C,3,0)</f>
        <v>0.33741666834482831</v>
      </c>
      <c r="AZ61" s="4">
        <f>AY61/VLOOKUP(A61,'[53]geoMap (50)'!$A:$B,2,0)*VLOOKUP(A61,'[53]geoMap (50)'!$A:$C,3,0)</f>
        <v>3.036750015103455</v>
      </c>
      <c r="BA61" s="1" t="e">
        <f>AZ61/VLOOKUP(A61,'[54]geoMap (51)'!$A:$B,2,0)*VLOOKUP(A61,'[54]geoMap (51)'!$A:$C,3,0)</f>
        <v>#REF!</v>
      </c>
      <c r="BB61" s="4" t="e">
        <f>BA61/VLOOKUP(A61,'[55]geoMap (52)'!$A:$B,2,0)*VLOOKUP(A61,'[55]geoMap (52)'!$A:$C,3,0)</f>
        <v>#REF!</v>
      </c>
      <c r="BC61" s="1" t="e">
        <f>BB61/VLOOKUP(A61,'[56]geoMap (53)'!$A:$B,2,0)*VLOOKUP(A61,'[56]geoMap (53)'!$A:$C,3,0)</f>
        <v>#REF!</v>
      </c>
      <c r="BD61" s="4" t="e">
        <f>BC61/VLOOKUP(A61,'[57]geoMap (54)'!$A:$B,2,0)*VLOOKUP(A61,'[57]geoMap (54)'!$A:$C,3,0)</f>
        <v>#REF!</v>
      </c>
      <c r="BE61" s="1" t="e">
        <f>BD61/VLOOKUP(A61,'[58]geoMap (55)'!$A:$B,2,0)*VLOOKUP(A61,'[58]geoMap (55)'!$A:$C,3,0)</f>
        <v>#REF!</v>
      </c>
      <c r="BF61" s="4" t="e">
        <f>BE61/VLOOKUP(A61,'[59]geoMap (56)'!$A:$B,2,0)*VLOOKUP(A61,'[59]geoMap (56)'!$A:$C,3,0)</f>
        <v>#REF!</v>
      </c>
      <c r="BG61" s="1" t="e">
        <f>BF61/VLOOKUP(A61,'[60]geoMap (57)'!$A:$B,2,0)*VLOOKUP(A61,'[60]geoMap (57)'!$A:$C,3,0)</f>
        <v>#REF!</v>
      </c>
      <c r="BH61" s="4" t="e">
        <f>BG61/VLOOKUP(A61,'[61]geoMap (58)'!$A:$B,2,0)*VLOOKUP(A61,'[61]geoMap (58)'!$A:$C,3,0)</f>
        <v>#REF!</v>
      </c>
      <c r="BI61" s="1" t="e">
        <f>BH61/VLOOKUP(A61,'[62]geoMap (59)'!$A:$B,2,0)*VLOOKUP(A61,'[62]geoMap (59)'!$A:$C,3,0)</f>
        <v>#REF!</v>
      </c>
      <c r="BJ61" s="4" t="e">
        <f>BI61/VLOOKUP(A61,'[63]geoMap (60)'!$A:$B,2,0)*VLOOKUP(A61,'[63]geoMap (60)'!$A:$C,3,0)</f>
        <v>#REF!</v>
      </c>
      <c r="BK61" s="1" t="e">
        <f>BJ61/VLOOKUP(A61,'[64]geoMap (61)'!$A:$B,2,0)*VLOOKUP(A61,'[64]geoMap (61)'!$A:$C,3,0)</f>
        <v>#REF!</v>
      </c>
      <c r="BL61" s="4" t="e">
        <f>BK61/VLOOKUP(A61,'[65]geoMap (62)'!$A:$B,2,0)*VLOOKUP(A61,'[65]geoMap (62)'!$A:$C,3,0)</f>
        <v>#REF!</v>
      </c>
      <c r="BM61" s="1" t="e">
        <f>BL61/VLOOKUP(A61,'[66]geoMap (63)'!$A:$B,2,0)*VLOOKUP(A61,'[66]geoMap (63)'!$A:$C,3,0)</f>
        <v>#REF!</v>
      </c>
      <c r="BN61" s="4" t="e">
        <f>BM61/VLOOKUP(A61,'[67]geoMap (64)'!$A:$B,2,0)*VLOOKUP(A61,'[67]geoMap (64)'!$A:$C,3,0)</f>
        <v>#REF!</v>
      </c>
      <c r="BO61" s="1" t="e">
        <f>BN61/VLOOKUP(A61,'[68]geoMap (65)'!$A:$B,2,0)*VLOOKUP(A61,'[68]geoMap (65)'!$A:$C,3,0)</f>
        <v>#REF!</v>
      </c>
      <c r="BP61" s="4" t="e">
        <f>BO61/VLOOKUP(A61,'[69]geoMap (66)'!$A:$B,2,0)*VLOOKUP(A61,'[69]geoMap (66)'!$A:$C,3,0)</f>
        <v>#REF!</v>
      </c>
    </row>
    <row r="62" spans="1:68" x14ac:dyDescent="0.2">
      <c r="A62" s="1" t="s">
        <v>153</v>
      </c>
      <c r="B62" s="1">
        <f>VLOOKUP(A62,[3]geoMap!$A:$B,2,0)*Notes!$C$6</f>
        <v>4000</v>
      </c>
      <c r="C62" s="1">
        <f>B62/VLOOKUP(A62,'[4]geoMap (1)'!$A:$B,2,0)*VLOOKUP(A62,'[4]geoMap (1)'!$A:$C,3,0)</f>
        <v>2779.6610169491528</v>
      </c>
      <c r="D62" s="1">
        <f>C62/VLOOKUP(A62,'[5]geoMap (2)'!$A:$B,2,0)*VLOOKUP(A62,'[5]geoMap (2)'!$A:$C,3,0)</f>
        <v>2367.8593848085375</v>
      </c>
      <c r="E62" s="1">
        <f>D62/VLOOKUP(A62,'[6]geoMap (3)'!$A:$B,2,0)*VLOOKUP(A62,'[6]geoMap (3)'!$A:$C,3,0)</f>
        <v>2894.0503592104346</v>
      </c>
      <c r="F62" s="1">
        <f>E62/VLOOKUP(A62,'[7]geoMap (4)'!$A:$B,2,0)*VLOOKUP(A62,'[7]geoMap (4)'!$A:$C,3,0)</f>
        <v>1929.36690614029</v>
      </c>
      <c r="G62" s="1">
        <f>F62/VLOOKUP(A62,'[8]geoMap (5)'!$A:$B,2,0)*VLOOKUP(A62,'[8]geoMap (5)'!$A:$C,3,0)</f>
        <v>1929.36690614029</v>
      </c>
      <c r="H62" s="1">
        <f>G62/VLOOKUP(A62,'[9]geoMap (6)'!$A:$B,2,0)*VLOOKUP(A62,'[9]geoMap (6)'!$A:$C,3,0)</f>
        <v>2455.5578805421874</v>
      </c>
      <c r="I62" s="1">
        <f>H62/VLOOKUP(A62,'[10]geoMap (7)'!$A:$B,2,0)*VLOOKUP(A62,'[10]geoMap (7)'!$A:$C,3,0)</f>
        <v>818.5192935140625</v>
      </c>
      <c r="J62" s="1">
        <f>I62/VLOOKUP(A62,'[11]geoMap (8)'!$A:$B,2,0)*VLOOKUP(A62,'[11]geoMap (8)'!$A:$C,3,0)</f>
        <v>568.8015429504502</v>
      </c>
      <c r="K62" s="1">
        <f>J62/VLOOKUP(A62,'[12]geoMap (9)'!$A:$B,2,0)*VLOOKUP(A62,'[12]geoMap (9)'!$A:$C,3,0)</f>
        <v>695.20188582832805</v>
      </c>
      <c r="L62" s="1">
        <f>K62/VLOOKUP(A62,'[13]geoMap (10)'!$A:$B,2,0)*VLOOKUP(A62,'[13]geoMap (10)'!$A:$C,3,0)</f>
        <v>163.0720472930646</v>
      </c>
      <c r="M62" s="1">
        <f>L62/VLOOKUP(A62,'[14]geoMap (11)'!$A:$B,2,0)*VLOOKUP(A62,'[14]geoMap (11)'!$A:$C,3,0)</f>
        <v>578.16453131177457</v>
      </c>
      <c r="N62" s="1">
        <f>M62/VLOOKUP(A62,'[15]geoMap (12)'!$A:$B,2,0)*VLOOKUP(A62,'[15]geoMap (12)'!$A:$C,3,0)</f>
        <v>182.57827304582352</v>
      </c>
      <c r="O62" s="1">
        <f>N62/VLOOKUP(A62,'[16]geoMap (13)'!$A:$B,2,0)*VLOOKUP(A62,'[16]geoMap (13)'!$A:$C,3,0)</f>
        <v>197.79312913297551</v>
      </c>
      <c r="P62" s="1">
        <f>O62/VLOOKUP(A62,'[17]geoMap (14)'!$A:$B,2,0)*VLOOKUP(A62,'[17]geoMap (14)'!$A:$C,3,0)</f>
        <v>62.460988147255414</v>
      </c>
      <c r="Q62" s="1">
        <f>P62/VLOOKUP(A62,'[18]geoMap (15)'!$A:$B,2,0)*VLOOKUP(A62,'[18]geoMap (15)'!$A:$C,3,0)</f>
        <v>327.9201877730909</v>
      </c>
      <c r="R62" s="1">
        <f>Q62/VLOOKUP(A62,'[19]geoMap (16)'!$A:$B,2,0)*VLOOKUP(A62,'[19]geoMap (16)'!$A:$C,3,0)</f>
        <v>176.57240880089509</v>
      </c>
      <c r="S62" s="1">
        <f>R62/VLOOKUP(A62,'[20]geoMap (17)'!$A:$B,2,0)*VLOOKUP(A62,'[20]geoMap (17)'!$A:$C,3,0)</f>
        <v>313.90650453492464</v>
      </c>
      <c r="T62" s="1">
        <f>S62/VLOOKUP(A62,'[21]geoMap (18)'!$A:$B,2,0)*VLOOKUP(A62,'[21]geoMap (18)'!$A:$C,3,0)</f>
        <v>23.627371309080349</v>
      </c>
      <c r="U62" s="1">
        <f>T62/VLOOKUP(A62,'[22]geoMap (19)'!$A:$B,2,0)*VLOOKUP(A62,'[22]geoMap (19)'!$A:$C,3,0)</f>
        <v>45.864897247038328</v>
      </c>
      <c r="V62" s="1">
        <f>U62/VLOOKUP(A62,'[23]geoMap (20)'!$A:$B,2,0)*VLOOKUP(A62,'[23]geoMap (20)'!$A:$C,3,0)</f>
        <v>10.067904273740121</v>
      </c>
      <c r="W62" s="1">
        <f>V62/VLOOKUP(A62,'[24]geoMap (21)'!$A:$B,2,0)*VLOOKUP(A62,'[24]geoMap (21)'!$A:$C,3,0)</f>
        <v>9.67308449829933</v>
      </c>
      <c r="X62" s="1">
        <f>W62/VLOOKUP(A62,'[25]geoMap (22)'!$A:$B,2,0)*VLOOKUP(A62,'[25]geoMap (22)'!$A:$C,3,0)</f>
        <v>18.777164026110462</v>
      </c>
      <c r="Y62" s="1">
        <f>X62/VLOOKUP(A62,'[26]geoMap (23)'!$A:$B,2,0)*VLOOKUP(A62,'[26]geoMap (23)'!$A:$C,3,0)</f>
        <v>15.995361948168171</v>
      </c>
      <c r="Z62" s="1">
        <f>Y62/VLOOKUP(A62,'[27]geoMap (24)'!$A:$B,2,0)*VLOOKUP(A62,'[27]geoMap (24)'!$A:$C,3,0)</f>
        <v>33.990144139857364</v>
      </c>
      <c r="AA62" s="1">
        <f>Z62/VLOOKUP(A62,'[28]geoMap (25)'!$A:$B,2,0)*VLOOKUP(A62,'[28]geoMap (25)'!$A:$C,3,0)</f>
        <v>9.0353547713544877</v>
      </c>
      <c r="AB62" s="1">
        <f>AA62*VLOOKUP(A62,'[29]geoMap (26)'!$A:$B,2,0)*VLOOKUP(A62,'[29]geoMap (26)'!$A:$C,3,0)</f>
        <v>2.2010124223019529</v>
      </c>
      <c r="AC62" s="1">
        <f>AB62/VLOOKUP(A62,'[30]geoMap (27)'!$A:$B,2,0)*VLOOKUP(A62,'[30]geoMap (27)'!$A:$C,3,0)</f>
        <v>3.7476698001357578</v>
      </c>
      <c r="AD62" s="1">
        <f>AC62/VLOOKUP(A62,'[31]geoMap (28)'!$A:$B,2,0)*VLOOKUP(A62,'[31]geoMap (28)'!$A:$C,3,0)</f>
        <v>1.8458672149922388</v>
      </c>
      <c r="AE62" s="1">
        <f>AD62/VLOOKUP(A62,'[32]geoMap (29)'!$A:$B,2,0)*VLOOKUP(A62,'[32]geoMap (29)'!$A:$C,3,0)</f>
        <v>2.7688008224883576</v>
      </c>
      <c r="AF62" s="1">
        <f>AE62/VLOOKUP(A62,'[33]geoMap (30)'!$A:$B,2,0)*VLOOKUP(A62,'[33]geoMap (30)'!$A:$C,3,0)</f>
        <v>1.7702169192958352</v>
      </c>
      <c r="AG62" s="1">
        <f>AF62/VLOOKUP(A62,'[34]geoMap (31)'!$A:$B,2,0)*VLOOKUP(A62,'[34]geoMap (31)'!$A:$C,3,0)</f>
        <v>1.7702169192958352</v>
      </c>
      <c r="AH62" s="1">
        <f>AG62/VLOOKUP(A62,'[35]geoMap (32)'!$A:$B,2,0)*VLOOKUP(A62,'[35]geoMap (32)'!$A:$C,3,0)</f>
        <v>2.0780807313472849</v>
      </c>
      <c r="AI62" s="1">
        <f>AH62/VLOOKUP(A62,'[36]geoMap (33)'!$A:$B,2,0)*VLOOKUP(A62,'[36]geoMap (33)'!$A:$C,3,0)</f>
        <v>1.6327777174871521</v>
      </c>
      <c r="AJ62" s="1">
        <f>AI62/VLOOKUP(A62,'[37]geoMap (34)'!$A:$B,2,0)*VLOOKUP(A62,'[37]geoMap (34)'!$A:$C,3,0)</f>
        <v>2.7801350324781238</v>
      </c>
      <c r="AK62" s="1">
        <f>AJ62/VLOOKUP(A62,'[38]geoMap (35)'!$A:$B,2,0)*VLOOKUP(A62,'[38]geoMap (35)'!$A:$C,3,0)</f>
        <v>0.69503375811953094</v>
      </c>
      <c r="AL62" s="1">
        <f>AK62/VLOOKUP(A62,'[39]geoMap (36)'!$A:$B,2,0)*VLOOKUP(A62,'[39]geoMap (36)'!$A:$C,3,0)</f>
        <v>0.16303260992927268</v>
      </c>
      <c r="AM62" s="1" t="e">
        <f>AL62/VLOOKUP(A62,'[40]geoMap (37)'!$A:$B,2,0)*VLOOKUP(A62,'[40]geoMap (37)'!$A:$C,3,0)</f>
        <v>#REF!</v>
      </c>
      <c r="AN62" s="1" t="e">
        <f>AM62/VLOOKUP(A62,'[41]geoMap (38)'!$A:$B,2,0)*VLOOKUP(A62,'[41]geoMap (38)'!$A:$C,3,0)</f>
        <v>#REF!</v>
      </c>
      <c r="AO62" s="1" t="e">
        <f>AN62/VLOOKUP(A62,'[42]geoMap (39)'!$A:$B,2,0)*VLOOKUP(A62,'[42]geoMap (39)'!$A:$C,3,0)</f>
        <v>#REF!</v>
      </c>
      <c r="AP62" s="1" t="e">
        <f>AO62/VLOOKUP(A62,'[43]geoMap (40)'!$A:$B,2,0)*VLOOKUP(A62,'[43]geoMap (40)'!$A:$C,3,0)</f>
        <v>#REF!</v>
      </c>
      <c r="AQ62" s="1" t="e">
        <f>AP62/VLOOKUP(A62,'[44]geoMap (41)'!$A:$B,2,0)*VLOOKUP(A62,'[44]geoMap (41)'!$A:$C,3,0)</f>
        <v>#REF!</v>
      </c>
      <c r="AR62" s="1" t="e">
        <f>AQ62/VLOOKUP(A62,'[45]geoMap (42)'!$A:$B,2,0)*VLOOKUP(A62,'[45]geoMap (42)'!$A:$C,3,0)</f>
        <v>#REF!</v>
      </c>
      <c r="AS62" s="1" t="e">
        <f>AR62/VLOOKUP(A62,'[46]geoMap (43)'!$A:$B,2,0)*VLOOKUP(A62,'[46]geoMap (43)'!$A:$C,3,0)</f>
        <v>#REF!</v>
      </c>
      <c r="AT62" s="1" t="e">
        <f>AS62/VLOOKUP(A62,'[47]geoMap (44)'!$A:$B,2,0)*VLOOKUP(A62,'[47]geoMap (44)'!$A:$C,3,0)</f>
        <v>#REF!</v>
      </c>
      <c r="AU62" s="1" t="e">
        <f>AT62/VLOOKUP(A62,'[48]geoMap (45)'!$A:$B,2,0)*VLOOKUP(A62,'[48]geoMap (45)'!$A:$C,3,0)</f>
        <v>#REF!</v>
      </c>
      <c r="AV62" s="1" t="e">
        <f>AU62/VLOOKUP(A62,'[49]geoMap (46)'!$A:$B,2,0)*VLOOKUP(A62,'[49]geoMap (46)'!$A:$C,3,0)</f>
        <v>#REF!</v>
      </c>
      <c r="AW62" s="1" t="e">
        <f>AV62/VLOOKUP(A62,'[50]geoMap (47)'!$A:$B,2,0)*VLOOKUP(A62,'[50]geoMap (47)'!$A:$C,3,0)</f>
        <v>#REF!</v>
      </c>
      <c r="AX62" s="4" t="e">
        <f>AW62/VLOOKUP(A62,'[51]geoMap (48)'!$A:$B,2,0)*VLOOKUP(A62,'[51]geoMap (48)'!$A:$C,3,0)</f>
        <v>#REF!</v>
      </c>
      <c r="AY62" s="1" t="e">
        <f>AX62/VLOOKUP(A62,'[52]geoMap (49)'!$A:$B,2,0)*VLOOKUP(A62,'[52]geoMap (49)'!$A:$C,3,0)</f>
        <v>#REF!</v>
      </c>
      <c r="AZ62" s="4" t="e">
        <f>AY62/VLOOKUP(A62,'[53]geoMap (50)'!$A:$B,2,0)*VLOOKUP(A62,'[53]geoMap (50)'!$A:$C,3,0)</f>
        <v>#REF!</v>
      </c>
      <c r="BA62" s="1" t="e">
        <f>AZ62/VLOOKUP(A62,'[54]geoMap (51)'!$A:$B,2,0)*VLOOKUP(A62,'[54]geoMap (51)'!$A:$C,3,0)</f>
        <v>#REF!</v>
      </c>
      <c r="BB62" s="4" t="e">
        <f>BA62/VLOOKUP(A62,'[55]geoMap (52)'!$A:$B,2,0)*VLOOKUP(A62,'[55]geoMap (52)'!$A:$C,3,0)</f>
        <v>#REF!</v>
      </c>
      <c r="BC62" s="1" t="e">
        <f>BB62/VLOOKUP(A62,'[56]geoMap (53)'!$A:$B,2,0)*VLOOKUP(A62,'[56]geoMap (53)'!$A:$C,3,0)</f>
        <v>#REF!</v>
      </c>
      <c r="BD62" s="4" t="e">
        <f>BC62/VLOOKUP(A62,'[57]geoMap (54)'!$A:$B,2,0)*VLOOKUP(A62,'[57]geoMap (54)'!$A:$C,3,0)</f>
        <v>#REF!</v>
      </c>
      <c r="BE62" s="1" t="e">
        <f>BD62/VLOOKUP(A62,'[58]geoMap (55)'!$A:$B,2,0)*VLOOKUP(A62,'[58]geoMap (55)'!$A:$C,3,0)</f>
        <v>#REF!</v>
      </c>
      <c r="BF62" s="4" t="e">
        <f>BE62/VLOOKUP(A62,'[59]geoMap (56)'!$A:$B,2,0)*VLOOKUP(A62,'[59]geoMap (56)'!$A:$C,3,0)</f>
        <v>#REF!</v>
      </c>
      <c r="BG62" s="1" t="e">
        <f>BF62/VLOOKUP(A62,'[60]geoMap (57)'!$A:$B,2,0)*VLOOKUP(A62,'[60]geoMap (57)'!$A:$C,3,0)</f>
        <v>#REF!</v>
      </c>
      <c r="BH62" s="4" t="e">
        <f>BG62/VLOOKUP(A62,'[61]geoMap (58)'!$A:$B,2,0)*VLOOKUP(A62,'[61]geoMap (58)'!$A:$C,3,0)</f>
        <v>#REF!</v>
      </c>
      <c r="BI62" s="1" t="e">
        <f>BH62/VLOOKUP(A62,'[62]geoMap (59)'!$A:$B,2,0)*VLOOKUP(A62,'[62]geoMap (59)'!$A:$C,3,0)</f>
        <v>#REF!</v>
      </c>
      <c r="BJ62" s="4" t="e">
        <f>BI62/VLOOKUP(A62,'[63]geoMap (60)'!$A:$B,2,0)*VLOOKUP(A62,'[63]geoMap (60)'!$A:$C,3,0)</f>
        <v>#REF!</v>
      </c>
      <c r="BK62" s="1" t="e">
        <f>BJ62/VLOOKUP(A62,'[64]geoMap (61)'!$A:$B,2,0)*VLOOKUP(A62,'[64]geoMap (61)'!$A:$C,3,0)</f>
        <v>#REF!</v>
      </c>
      <c r="BL62" s="4" t="e">
        <f>BK62/VLOOKUP(A62,'[65]geoMap (62)'!$A:$B,2,0)*VLOOKUP(A62,'[65]geoMap (62)'!$A:$C,3,0)</f>
        <v>#REF!</v>
      </c>
      <c r="BM62" s="1" t="e">
        <f>BL62/VLOOKUP(A62,'[66]geoMap (63)'!$A:$B,2,0)*VLOOKUP(A62,'[66]geoMap (63)'!$A:$C,3,0)</f>
        <v>#REF!</v>
      </c>
      <c r="BN62" s="4" t="e">
        <f>BM62/VLOOKUP(A62,'[67]geoMap (64)'!$A:$B,2,0)*VLOOKUP(A62,'[67]geoMap (64)'!$A:$C,3,0)</f>
        <v>#REF!</v>
      </c>
      <c r="BO62" s="1" t="e">
        <f>BN62/VLOOKUP(A62,'[68]geoMap (65)'!$A:$B,2,0)*VLOOKUP(A62,'[68]geoMap (65)'!$A:$C,3,0)</f>
        <v>#REF!</v>
      </c>
      <c r="BP62" s="4" t="e">
        <f>BO62/VLOOKUP(A62,'[69]geoMap (66)'!$A:$B,2,0)*VLOOKUP(A62,'[69]geoMap (66)'!$A:$C,3,0)</f>
        <v>#REF!</v>
      </c>
    </row>
    <row r="63" spans="1:68" x14ac:dyDescent="0.2">
      <c r="A63" s="1" t="s">
        <v>129</v>
      </c>
      <c r="B63" s="1">
        <f>VLOOKUP(A63,[3]geoMap!$A:$B,2,0)*Notes!$C$6</f>
        <v>4000</v>
      </c>
      <c r="C63" s="1">
        <f>B63/VLOOKUP(A63,'[4]geoMap (1)'!$A:$B,2,0)*VLOOKUP(A63,'[4]geoMap (1)'!$A:$C,3,0)</f>
        <v>2557.377049180328</v>
      </c>
      <c r="D63" s="1">
        <f>C63/VLOOKUP(A63,'[5]geoMap (2)'!$A:$B,2,0)*VLOOKUP(A63,'[5]geoMap (2)'!$A:$C,3,0)</f>
        <v>2883.8507150331361</v>
      </c>
      <c r="E63" s="1">
        <f>D63/VLOOKUP(A63,'[6]geoMap (3)'!$A:$B,2,0)*VLOOKUP(A63,'[6]geoMap (3)'!$A:$C,3,0)</f>
        <v>1922.5671433554244</v>
      </c>
      <c r="F63" s="1">
        <f>E63/VLOOKUP(A63,'[7]geoMap (4)'!$A:$B,2,0)*VLOOKUP(A63,'[7]geoMap (4)'!$A:$C,3,0)</f>
        <v>2256.9266465476721</v>
      </c>
      <c r="G63" s="1">
        <f>F63/VLOOKUP(A63,'[8]geoMap (5)'!$A:$B,2,0)*VLOOKUP(A63,'[8]geoMap (5)'!$A:$C,3,0)</f>
        <v>1922.5671433554244</v>
      </c>
      <c r="H63" s="1">
        <f>G63/VLOOKUP(A63,'[9]geoMap (6)'!$A:$B,2,0)*VLOOKUP(A63,'[9]geoMap (6)'!$A:$C,3,0)</f>
        <v>2001.0392716556457</v>
      </c>
      <c r="I63" s="1">
        <f>H63/VLOOKUP(A63,'[10]geoMap (7)'!$A:$B,2,0)*VLOOKUP(A63,'[10]geoMap (7)'!$A:$C,3,0)</f>
        <v>667.01309055188187</v>
      </c>
      <c r="J63" s="1">
        <f>I63/VLOOKUP(A63,'[11]geoMap (8)'!$A:$B,2,0)*VLOOKUP(A63,'[11]geoMap (8)'!$A:$C,3,0)</f>
        <v>2509.2397215999367</v>
      </c>
      <c r="K63" s="1">
        <f>J63/VLOOKUP(A63,'[12]geoMap (9)'!$A:$B,2,0)*VLOOKUP(A63,'[12]geoMap (9)'!$A:$C,3,0)</f>
        <v>588.58709519010858</v>
      </c>
      <c r="L63" s="1">
        <f>K63/VLOOKUP(A63,'[13]geoMap (10)'!$A:$B,2,0)*VLOOKUP(A63,'[13]geoMap (10)'!$A:$C,3,0)</f>
        <v>289.90110658617289</v>
      </c>
      <c r="M63" s="1">
        <f>L63/VLOOKUP(A63,'[14]geoMap (11)'!$A:$B,2,0)*VLOOKUP(A63,'[14]geoMap (11)'!$A:$C,3,0)</f>
        <v>209.92838752791832</v>
      </c>
      <c r="N63" s="1">
        <f>M63/VLOOKUP(A63,'[15]geoMap (12)'!$A:$B,2,0)*VLOOKUP(A63,'[15]geoMap (12)'!$A:$C,3,0)</f>
        <v>186.16290969456904</v>
      </c>
      <c r="O63" s="1">
        <f>N63/VLOOKUP(A63,'[16]geoMap (13)'!$A:$B,2,0)*VLOOKUP(A63,'[16]geoMap (13)'!$A:$C,3,0)</f>
        <v>193.76139580455143</v>
      </c>
      <c r="P63" s="1">
        <f>O63/VLOOKUP(A63,'[17]geoMap (14)'!$A:$B,2,0)*VLOOKUP(A63,'[17]geoMap (14)'!$A:$C,3,0)</f>
        <v>227.4590298575169</v>
      </c>
      <c r="Q63" s="1">
        <f>P63/VLOOKUP(A63,'[18]geoMap (15)'!$A:$B,2,0)*VLOOKUP(A63,'[18]geoMap (15)'!$A:$C,3,0)</f>
        <v>158.06474956200327</v>
      </c>
      <c r="R63" s="1" t="e">
        <f>Q63/VLOOKUP(A63,'[19]geoMap (16)'!$A:$B,2,0)*VLOOKUP(A63,'[19]geoMap (16)'!$A:$C,3,0)</f>
        <v>#REF!</v>
      </c>
      <c r="S63" s="1" t="e">
        <f>R63/VLOOKUP(A63,'[20]geoMap (17)'!$A:$B,2,0)*VLOOKUP(A63,'[20]geoMap (17)'!$A:$C,3,0)</f>
        <v>#REF!</v>
      </c>
      <c r="T63" s="1" t="e">
        <f>S63/VLOOKUP(A63,'[21]geoMap (18)'!$A:$B,2,0)*VLOOKUP(A63,'[21]geoMap (18)'!$A:$C,3,0)</f>
        <v>#REF!</v>
      </c>
      <c r="U63" s="1" t="e">
        <f>T63/VLOOKUP(A63,'[22]geoMap (19)'!$A:$B,2,0)*VLOOKUP(A63,'[22]geoMap (19)'!$A:$C,3,0)</f>
        <v>#REF!</v>
      </c>
      <c r="V63" s="1" t="e">
        <f>U63/VLOOKUP(A63,'[23]geoMap (20)'!$A:$B,2,0)*VLOOKUP(A63,'[23]geoMap (20)'!$A:$C,3,0)</f>
        <v>#REF!</v>
      </c>
      <c r="W63" s="1" t="e">
        <f>V63/VLOOKUP(A63,'[24]geoMap (21)'!$A:$B,2,0)*VLOOKUP(A63,'[24]geoMap (21)'!$A:$C,3,0)</f>
        <v>#REF!</v>
      </c>
      <c r="X63" s="1" t="e">
        <f>W63/VLOOKUP(A63,'[25]geoMap (22)'!$A:$B,2,0)*VLOOKUP(A63,'[25]geoMap (22)'!$A:$C,3,0)</f>
        <v>#REF!</v>
      </c>
      <c r="Y63" s="1" t="e">
        <f>X63/VLOOKUP(A63,'[26]geoMap (23)'!$A:$B,2,0)*VLOOKUP(A63,'[26]geoMap (23)'!$A:$C,3,0)</f>
        <v>#REF!</v>
      </c>
      <c r="Z63" s="1" t="e">
        <f>Y63/VLOOKUP(A63,'[27]geoMap (24)'!$A:$B,2,0)*VLOOKUP(A63,'[27]geoMap (24)'!$A:$C,3,0)</f>
        <v>#REF!</v>
      </c>
      <c r="AA63" s="1" t="e">
        <f>Z63/VLOOKUP(A63,'[28]geoMap (25)'!$A:$B,2,0)*VLOOKUP(A63,'[28]geoMap (25)'!$A:$C,3,0)</f>
        <v>#REF!</v>
      </c>
      <c r="AB63" s="1" t="e">
        <f>AA63*VLOOKUP(A63,'[29]geoMap (26)'!$A:$B,2,0)*VLOOKUP(A63,'[29]geoMap (26)'!$A:$C,3,0)</f>
        <v>#REF!</v>
      </c>
      <c r="AC63" s="1" t="e">
        <f>AB63/VLOOKUP(A63,'[30]geoMap (27)'!$A:$B,2,0)*VLOOKUP(A63,'[30]geoMap (27)'!$A:$C,3,0)</f>
        <v>#REF!</v>
      </c>
      <c r="AD63" s="1" t="e">
        <f>AC63/VLOOKUP(A63,'[31]geoMap (28)'!$A:$B,2,0)*VLOOKUP(A63,'[31]geoMap (28)'!$A:$C,3,0)</f>
        <v>#REF!</v>
      </c>
      <c r="AE63" s="1" t="e">
        <f>AD63/VLOOKUP(A63,'[32]geoMap (29)'!$A:$B,2,0)*VLOOKUP(A63,'[32]geoMap (29)'!$A:$C,3,0)</f>
        <v>#REF!</v>
      </c>
      <c r="AF63" s="1" t="e">
        <f>AE63/VLOOKUP(A63,'[33]geoMap (30)'!$A:$B,2,0)*VLOOKUP(A63,'[33]geoMap (30)'!$A:$C,3,0)</f>
        <v>#REF!</v>
      </c>
      <c r="AG63" s="1" t="e">
        <f>AF63/VLOOKUP(A63,'[34]geoMap (31)'!$A:$B,2,0)*VLOOKUP(A63,'[34]geoMap (31)'!$A:$C,3,0)</f>
        <v>#REF!</v>
      </c>
      <c r="AH63" s="1" t="e">
        <f>AG63/VLOOKUP(A63,'[35]geoMap (32)'!$A:$B,2,0)*VLOOKUP(A63,'[35]geoMap (32)'!$A:$C,3,0)</f>
        <v>#REF!</v>
      </c>
      <c r="AI63" s="1" t="e">
        <f>AH63/VLOOKUP(A63,'[36]geoMap (33)'!$A:$B,2,0)*VLOOKUP(A63,'[36]geoMap (33)'!$A:$C,3,0)</f>
        <v>#REF!</v>
      </c>
      <c r="AJ63" s="1" t="e">
        <f>AI63/VLOOKUP(A63,'[37]geoMap (34)'!$A:$B,2,0)*VLOOKUP(A63,'[37]geoMap (34)'!$A:$C,3,0)</f>
        <v>#REF!</v>
      </c>
      <c r="AK63" s="1" t="e">
        <f>AJ63/VLOOKUP(A63,'[38]geoMap (35)'!$A:$B,2,0)*VLOOKUP(A63,'[38]geoMap (35)'!$A:$C,3,0)</f>
        <v>#REF!</v>
      </c>
      <c r="AL63" s="1" t="e">
        <f>AK63/VLOOKUP(A63,'[39]geoMap (36)'!$A:$B,2,0)*VLOOKUP(A63,'[39]geoMap (36)'!$A:$C,3,0)</f>
        <v>#REF!</v>
      </c>
      <c r="AM63" s="1" t="e">
        <f>AL63/VLOOKUP(A63,'[40]geoMap (37)'!$A:$B,2,0)*VLOOKUP(A63,'[40]geoMap (37)'!$A:$C,3,0)</f>
        <v>#REF!</v>
      </c>
      <c r="AN63" s="1" t="e">
        <f>AM63/VLOOKUP(A63,'[41]geoMap (38)'!$A:$B,2,0)*VLOOKUP(A63,'[41]geoMap (38)'!$A:$C,3,0)</f>
        <v>#REF!</v>
      </c>
      <c r="AO63" s="1" t="e">
        <f>AN63/VLOOKUP(A63,'[42]geoMap (39)'!$A:$B,2,0)*VLOOKUP(A63,'[42]geoMap (39)'!$A:$C,3,0)</f>
        <v>#REF!</v>
      </c>
      <c r="AP63" s="1" t="e">
        <f>AO63/VLOOKUP(A63,'[43]geoMap (40)'!$A:$B,2,0)*VLOOKUP(A63,'[43]geoMap (40)'!$A:$C,3,0)</f>
        <v>#REF!</v>
      </c>
      <c r="AQ63" s="1" t="e">
        <f>AP63/VLOOKUP(A63,'[44]geoMap (41)'!$A:$B,2,0)*VLOOKUP(A63,'[44]geoMap (41)'!$A:$C,3,0)</f>
        <v>#REF!</v>
      </c>
      <c r="AR63" s="1" t="e">
        <f>AQ63/VLOOKUP(A63,'[45]geoMap (42)'!$A:$B,2,0)*VLOOKUP(A63,'[45]geoMap (42)'!$A:$C,3,0)</f>
        <v>#REF!</v>
      </c>
      <c r="AS63" s="1" t="e">
        <f>AR63/VLOOKUP(A63,'[46]geoMap (43)'!$A:$B,2,0)*VLOOKUP(A63,'[46]geoMap (43)'!$A:$C,3,0)</f>
        <v>#REF!</v>
      </c>
      <c r="AT63" s="1" t="e">
        <f>AS63/VLOOKUP(A63,'[47]geoMap (44)'!$A:$B,2,0)*VLOOKUP(A63,'[47]geoMap (44)'!$A:$C,3,0)</f>
        <v>#REF!</v>
      </c>
      <c r="AU63" s="1" t="e">
        <f>AT63/VLOOKUP(A63,'[48]geoMap (45)'!$A:$B,2,0)*VLOOKUP(A63,'[48]geoMap (45)'!$A:$C,3,0)</f>
        <v>#REF!</v>
      </c>
      <c r="AV63" s="1" t="e">
        <f>AU63/VLOOKUP(A63,'[49]geoMap (46)'!$A:$B,2,0)*VLOOKUP(A63,'[49]geoMap (46)'!$A:$C,3,0)</f>
        <v>#REF!</v>
      </c>
      <c r="AW63" s="1" t="e">
        <f>AV63/VLOOKUP(A63,'[50]geoMap (47)'!$A:$B,2,0)*VLOOKUP(A63,'[50]geoMap (47)'!$A:$C,3,0)</f>
        <v>#REF!</v>
      </c>
      <c r="AX63" s="4" t="e">
        <f>AW63/VLOOKUP(A63,'[51]geoMap (48)'!$A:$B,2,0)*VLOOKUP(A63,'[51]geoMap (48)'!$A:$C,3,0)</f>
        <v>#REF!</v>
      </c>
      <c r="AY63" s="1" t="e">
        <f>AX63/VLOOKUP(A63,'[52]geoMap (49)'!$A:$B,2,0)*VLOOKUP(A63,'[52]geoMap (49)'!$A:$C,3,0)</f>
        <v>#REF!</v>
      </c>
      <c r="AZ63" s="4" t="e">
        <f>AY63/VLOOKUP(A63,'[53]geoMap (50)'!$A:$B,2,0)*VLOOKUP(A63,'[53]geoMap (50)'!$A:$C,3,0)</f>
        <v>#REF!</v>
      </c>
      <c r="BA63" s="1" t="e">
        <f>AZ63/VLOOKUP(A63,'[54]geoMap (51)'!$A:$B,2,0)*VLOOKUP(A63,'[54]geoMap (51)'!$A:$C,3,0)</f>
        <v>#REF!</v>
      </c>
      <c r="BB63" s="4" t="e">
        <f>BA63/VLOOKUP(A63,'[55]geoMap (52)'!$A:$B,2,0)*VLOOKUP(A63,'[55]geoMap (52)'!$A:$C,3,0)</f>
        <v>#REF!</v>
      </c>
      <c r="BC63" s="1" t="e">
        <f>BB63/VLOOKUP(A63,'[56]geoMap (53)'!$A:$B,2,0)*VLOOKUP(A63,'[56]geoMap (53)'!$A:$C,3,0)</f>
        <v>#REF!</v>
      </c>
      <c r="BD63" s="4" t="e">
        <f>BC63/VLOOKUP(A63,'[57]geoMap (54)'!$A:$B,2,0)*VLOOKUP(A63,'[57]geoMap (54)'!$A:$C,3,0)</f>
        <v>#REF!</v>
      </c>
      <c r="BE63" s="1" t="e">
        <f>BD63/VLOOKUP(A63,'[58]geoMap (55)'!$A:$B,2,0)*VLOOKUP(A63,'[58]geoMap (55)'!$A:$C,3,0)</f>
        <v>#REF!</v>
      </c>
      <c r="BF63" s="4" t="e">
        <f>BE63/VLOOKUP(A63,'[59]geoMap (56)'!$A:$B,2,0)*VLOOKUP(A63,'[59]geoMap (56)'!$A:$C,3,0)</f>
        <v>#REF!</v>
      </c>
      <c r="BG63" s="1" t="e">
        <f>BF63/VLOOKUP(A63,'[60]geoMap (57)'!$A:$B,2,0)*VLOOKUP(A63,'[60]geoMap (57)'!$A:$C,3,0)</f>
        <v>#REF!</v>
      </c>
      <c r="BH63" s="4" t="e">
        <f>BG63/VLOOKUP(A63,'[61]geoMap (58)'!$A:$B,2,0)*VLOOKUP(A63,'[61]geoMap (58)'!$A:$C,3,0)</f>
        <v>#REF!</v>
      </c>
      <c r="BI63" s="1" t="e">
        <f>BH63/VLOOKUP(A63,'[62]geoMap (59)'!$A:$B,2,0)*VLOOKUP(A63,'[62]geoMap (59)'!$A:$C,3,0)</f>
        <v>#REF!</v>
      </c>
      <c r="BJ63" s="4" t="e">
        <f>BI63/VLOOKUP(A63,'[63]geoMap (60)'!$A:$B,2,0)*VLOOKUP(A63,'[63]geoMap (60)'!$A:$C,3,0)</f>
        <v>#REF!</v>
      </c>
      <c r="BK63" s="1" t="e">
        <f>BJ63/VLOOKUP(A63,'[64]geoMap (61)'!$A:$B,2,0)*VLOOKUP(A63,'[64]geoMap (61)'!$A:$C,3,0)</f>
        <v>#REF!</v>
      </c>
      <c r="BL63" s="4" t="e">
        <f>BK63/VLOOKUP(A63,'[65]geoMap (62)'!$A:$B,2,0)*VLOOKUP(A63,'[65]geoMap (62)'!$A:$C,3,0)</f>
        <v>#REF!</v>
      </c>
      <c r="BM63" s="1" t="e">
        <f>BL63/VLOOKUP(A63,'[66]geoMap (63)'!$A:$B,2,0)*VLOOKUP(A63,'[66]geoMap (63)'!$A:$C,3,0)</f>
        <v>#REF!</v>
      </c>
      <c r="BN63" s="4" t="e">
        <f>BM63/VLOOKUP(A63,'[67]geoMap (64)'!$A:$B,2,0)*VLOOKUP(A63,'[67]geoMap (64)'!$A:$C,3,0)</f>
        <v>#REF!</v>
      </c>
      <c r="BO63" s="1" t="e">
        <f>BN63/VLOOKUP(A63,'[68]geoMap (65)'!$A:$B,2,0)*VLOOKUP(A63,'[68]geoMap (65)'!$A:$C,3,0)</f>
        <v>#REF!</v>
      </c>
      <c r="BP63" s="4" t="e">
        <f>BO63/VLOOKUP(A63,'[69]geoMap (66)'!$A:$B,2,0)*VLOOKUP(A63,'[69]geoMap (66)'!$A:$C,3,0)</f>
        <v>#REF!</v>
      </c>
    </row>
    <row r="64" spans="1:68" x14ac:dyDescent="0.2">
      <c r="A64" s="1" t="s">
        <v>144</v>
      </c>
      <c r="B64" s="1">
        <f>VLOOKUP(A64,[3]geoMap!$A:$B,2,0)*Notes!$C$6</f>
        <v>4000</v>
      </c>
      <c r="C64" s="1">
        <f>B64/VLOOKUP(A64,'[4]geoMap (1)'!$A:$B,2,0)*VLOOKUP(A64,'[4]geoMap (1)'!$A:$C,3,0)</f>
        <v>1970.1492537313434</v>
      </c>
      <c r="D64" s="1">
        <f>C64/VLOOKUP(A64,'[5]geoMap (2)'!$A:$B,2,0)*VLOOKUP(A64,'[5]geoMap (2)'!$A:$C,3,0)</f>
        <v>2507.4626865671644</v>
      </c>
      <c r="E64" s="1">
        <f>D64/VLOOKUP(A64,'[6]geoMap (3)'!$A:$B,2,0)*VLOOKUP(A64,'[6]geoMap (3)'!$A:$C,3,0)</f>
        <v>2135.9867330016586</v>
      </c>
      <c r="F64" s="1">
        <f>E64/VLOOKUP(A64,'[7]geoMap (4)'!$A:$B,2,0)*VLOOKUP(A64,'[7]geoMap (4)'!$A:$C,3,0)</f>
        <v>1611.3584126152866</v>
      </c>
      <c r="G64" s="1">
        <f>F64/VLOOKUP(A64,'[8]geoMap (5)'!$A:$B,2,0)*VLOOKUP(A64,'[8]geoMap (5)'!$A:$C,3,0)</f>
        <v>1166.845747066242</v>
      </c>
      <c r="H64" s="1">
        <f>G64/VLOOKUP(A64,'[9]geoMap (6)'!$A:$B,2,0)*VLOOKUP(A64,'[9]geoMap (6)'!$A:$C,3,0)</f>
        <v>628.3015561125917</v>
      </c>
      <c r="I64" s="1">
        <f>H64/VLOOKUP(A64,'[10]geoMap (7)'!$A:$B,2,0)*VLOOKUP(A64,'[10]geoMap (7)'!$A:$C,3,0)</f>
        <v>832.86485345157496</v>
      </c>
      <c r="J64" s="1">
        <f>I64/VLOOKUP(A64,'[11]geoMap (8)'!$A:$B,2,0)*VLOOKUP(A64,'[11]geoMap (8)'!$A:$C,3,0)</f>
        <v>939.18802623262729</v>
      </c>
      <c r="K64" s="1">
        <f>J64/VLOOKUP(A64,'[12]geoMap (9)'!$A:$B,2,0)*VLOOKUP(A64,'[12]geoMap (9)'!$A:$C,3,0)</f>
        <v>832.86485345157496</v>
      </c>
      <c r="L64" s="1">
        <f>K64/VLOOKUP(A64,'[13]geoMap (10)'!$A:$B,2,0)*VLOOKUP(A64,'[13]geoMap (10)'!$A:$C,3,0)</f>
        <v>208.21621336289374</v>
      </c>
      <c r="M64" s="1">
        <f>L64/VLOOKUP(A64,'[14]geoMap (11)'!$A:$B,2,0)*VLOOKUP(A64,'[14]geoMap (11)'!$A:$C,3,0)</f>
        <v>127.61638883532198</v>
      </c>
      <c r="N64" s="1">
        <f>M64/VLOOKUP(A64,'[15]geoMap (12)'!$A:$B,2,0)*VLOOKUP(A64,'[15]geoMap (12)'!$A:$C,3,0)</f>
        <v>199.60512099883695</v>
      </c>
      <c r="O64" s="1">
        <f>N64/VLOOKUP(A64,'[16]geoMap (13)'!$A:$B,2,0)*VLOOKUP(A64,'[16]geoMap (13)'!$A:$C,3,0)</f>
        <v>254.04288127124704</v>
      </c>
      <c r="P64" s="1">
        <f>O64/VLOOKUP(A64,'[17]geoMap (14)'!$A:$B,2,0)*VLOOKUP(A64,'[17]geoMap (14)'!$A:$C,3,0)</f>
        <v>565.45028411987244</v>
      </c>
      <c r="Q64" s="1">
        <f>P64/VLOOKUP(A64,'[18]geoMap (15)'!$A:$B,2,0)*VLOOKUP(A64,'[18]geoMap (15)'!$A:$C,3,0)</f>
        <v>84.492571190325762</v>
      </c>
      <c r="R64" s="1">
        <f>Q64/VLOOKUP(A64,'[19]geoMap (16)'!$A:$B,2,0)*VLOOKUP(A64,'[19]geoMap (16)'!$A:$C,3,0)</f>
        <v>41.615744019115674</v>
      </c>
      <c r="S64" s="1">
        <f>R64/VLOOKUP(A64,'[20]geoMap (17)'!$A:$B,2,0)*VLOOKUP(A64,'[20]geoMap (17)'!$A:$C,3,0)</f>
        <v>41.615744019115674</v>
      </c>
      <c r="T64" s="1">
        <f>S64/VLOOKUP(A64,'[21]geoMap (18)'!$A:$B,2,0)*VLOOKUP(A64,'[21]geoMap (18)'!$A:$C,3,0)</f>
        <v>26.606787159762483</v>
      </c>
      <c r="U64" s="1">
        <f>T64/VLOOKUP(A64,'[22]geoMap (19)'!$A:$B,2,0)*VLOOKUP(A64,'[22]geoMap (19)'!$A:$C,3,0)</f>
        <v>20.905332768384806</v>
      </c>
      <c r="V64" s="1">
        <f>U64/VLOOKUP(A64,'[23]geoMap (20)'!$A:$B,2,0)*VLOOKUP(A64,'[23]geoMap (20)'!$A:$C,3,0)</f>
        <v>153.30577363482192</v>
      </c>
      <c r="W64" s="1">
        <f>V64/VLOOKUP(A64,'[24]geoMap (21)'!$A:$B,2,0)*VLOOKUP(A64,'[24]geoMap (21)'!$A:$C,3,0)</f>
        <v>11.539144252083371</v>
      </c>
      <c r="X64" s="1">
        <f>W64/VLOOKUP(A64,'[25]geoMap (22)'!$A:$B,2,0)*VLOOKUP(A64,'[25]geoMap (22)'!$A:$C,3,0)</f>
        <v>8.3559320446120964</v>
      </c>
      <c r="Y64" s="1">
        <f>X64/VLOOKUP(A64,'[26]geoMap (23)'!$A:$B,2,0)*VLOOKUP(A64,'[26]geoMap (23)'!$A:$C,3,0)</f>
        <v>12.533898066918145</v>
      </c>
      <c r="Z64" s="1">
        <f>Y64/VLOOKUP(A64,'[27]geoMap (24)'!$A:$B,2,0)*VLOOKUP(A64,'[27]geoMap (24)'!$A:$C,3,0)</f>
        <v>11.569752061770593</v>
      </c>
      <c r="AA64" s="1">
        <f>Z64/VLOOKUP(A64,'[28]geoMap (25)'!$A:$B,2,0)*VLOOKUP(A64,'[28]geoMap (25)'!$A:$C,3,0)</f>
        <v>4.7256733773429183</v>
      </c>
      <c r="AB64" s="1">
        <f>AA64*VLOOKUP(A64,'[29]geoMap (26)'!$A:$B,2,0)*VLOOKUP(A64,'[29]geoMap (26)'!$A:$C,3,0)</f>
        <v>0.8369167551274308</v>
      </c>
      <c r="AC64" s="1">
        <f>AB64/VLOOKUP(A64,'[30]geoMap (27)'!$A:$B,2,0)*VLOOKUP(A64,'[30]geoMap (27)'!$A:$C,3,0)</f>
        <v>0.55794450341828727</v>
      </c>
      <c r="AD64" s="1">
        <f>AC64/VLOOKUP(A64,'[31]geoMap (28)'!$A:$B,2,0)*VLOOKUP(A64,'[31]geoMap (28)'!$A:$C,3,0)</f>
        <v>0.35671861693956075</v>
      </c>
      <c r="AE64" s="1">
        <f>AD64/VLOOKUP(A64,'[32]geoMap (29)'!$A:$B,2,0)*VLOOKUP(A64,'[32]geoMap (29)'!$A:$C,3,0)</f>
        <v>0.58201458553296748</v>
      </c>
      <c r="AF64" s="1">
        <f>AE64/VLOOKUP(A64,'[33]geoMap (30)'!$A:$B,2,0)*VLOOKUP(A64,'[33]geoMap (30)'!$A:$C,3,0)</f>
        <v>0.34181808991618723</v>
      </c>
      <c r="AG64" s="1">
        <f>AF64/VLOOKUP(A64,'[34]geoMap (31)'!$A:$B,2,0)*VLOOKUP(A64,'[34]geoMap (31)'!$A:$C,3,0)</f>
        <v>0.31552439069186511</v>
      </c>
      <c r="AH64" s="1">
        <f>AG64/VLOOKUP(A64,'[35]geoMap (32)'!$A:$B,2,0)*VLOOKUP(A64,'[35]geoMap (32)'!$A:$C,3,0)</f>
        <v>0.30315088517453703</v>
      </c>
      <c r="AI64" s="1">
        <f>AH64/VLOOKUP(A64,'[36]geoMap (33)'!$A:$B,2,0)*VLOOKUP(A64,'[36]geoMap (33)'!$A:$C,3,0)</f>
        <v>0.15616863781718573</v>
      </c>
      <c r="AJ64" s="1">
        <f>AI64/VLOOKUP(A64,'[37]geoMap (34)'!$A:$B,2,0)*VLOOKUP(A64,'[37]geoMap (34)'!$A:$C,3,0)</f>
        <v>8.7844858772166967E-2</v>
      </c>
      <c r="AK64" s="1">
        <f>AJ64/VLOOKUP(A64,'[38]geoMap (35)'!$A:$B,2,0)*VLOOKUP(A64,'[38]geoMap (35)'!$A:$C,3,0)</f>
        <v>0.35137943508866787</v>
      </c>
      <c r="AL64" s="1">
        <f>AK64/VLOOKUP(A64,'[39]geoMap (36)'!$A:$B,2,0)*VLOOKUP(A64,'[39]geoMap (36)'!$A:$C,3,0)</f>
        <v>4.6683267804637296</v>
      </c>
      <c r="AM64" s="1">
        <f>AL64/VLOOKUP(A64,'[40]geoMap (37)'!$A:$B,2,0)*VLOOKUP(A64,'[40]geoMap (37)'!$A:$C,3,0)</f>
        <v>0.29797830513598272</v>
      </c>
      <c r="AN64" s="1">
        <f>AM64/VLOOKUP(A64,'[41]geoMap (38)'!$A:$B,2,0)*VLOOKUP(A64,'[41]geoMap (38)'!$A:$C,3,0)</f>
        <v>0.19865220342398848</v>
      </c>
      <c r="AO64" s="1">
        <f>AN64/VLOOKUP(A64,'[42]geoMap (39)'!$A:$B,2,0)*VLOOKUP(A64,'[42]geoMap (39)'!$A:$C,3,0)</f>
        <v>6.6217401141329499E-2</v>
      </c>
      <c r="AP64" s="1">
        <f>AO64/VLOOKUP(A64,'[43]geoMap (40)'!$A:$B,2,0)*VLOOKUP(A64,'[43]geoMap (40)'!$A:$C,3,0)</f>
        <v>0.10803891765164288</v>
      </c>
      <c r="AQ64" s="1" t="e">
        <f>AP64/VLOOKUP(A64,'[44]geoMap (41)'!$A:$B,2,0)*VLOOKUP(A64,'[44]geoMap (41)'!$A:$C,3,0)</f>
        <v>#REF!</v>
      </c>
      <c r="AR64" s="1" t="e">
        <f>AQ64/VLOOKUP(A64,'[45]geoMap (42)'!$A:$B,2,0)*VLOOKUP(A64,'[45]geoMap (42)'!$A:$C,3,0)</f>
        <v>#REF!</v>
      </c>
      <c r="AS64" s="1" t="e">
        <f>AR64/VLOOKUP(A64,'[46]geoMap (43)'!$A:$B,2,0)*VLOOKUP(A64,'[46]geoMap (43)'!$A:$C,3,0)</f>
        <v>#REF!</v>
      </c>
      <c r="AT64" s="1" t="e">
        <f>AS64/VLOOKUP(A64,'[47]geoMap (44)'!$A:$B,2,0)*VLOOKUP(A64,'[47]geoMap (44)'!$A:$C,3,0)</f>
        <v>#REF!</v>
      </c>
      <c r="AU64" s="1" t="e">
        <f>AT64/VLOOKUP(A64,'[48]geoMap (45)'!$A:$B,2,0)*VLOOKUP(A64,'[48]geoMap (45)'!$A:$C,3,0)</f>
        <v>#REF!</v>
      </c>
      <c r="AV64" s="1" t="e">
        <f>AU64/VLOOKUP(A64,'[49]geoMap (46)'!$A:$B,2,0)*VLOOKUP(A64,'[49]geoMap (46)'!$A:$C,3,0)</f>
        <v>#REF!</v>
      </c>
      <c r="AW64" s="1" t="e">
        <f>AV64/VLOOKUP(A64,'[50]geoMap (47)'!$A:$B,2,0)*VLOOKUP(A64,'[50]geoMap (47)'!$A:$C,3,0)</f>
        <v>#REF!</v>
      </c>
      <c r="AX64" s="4" t="e">
        <f>AW64/VLOOKUP(A64,'[51]geoMap (48)'!$A:$B,2,0)*VLOOKUP(A64,'[51]geoMap (48)'!$A:$C,3,0)</f>
        <v>#REF!</v>
      </c>
      <c r="AY64" s="1" t="e">
        <f>AX64/VLOOKUP(A64,'[52]geoMap (49)'!$A:$B,2,0)*VLOOKUP(A64,'[52]geoMap (49)'!$A:$C,3,0)</f>
        <v>#REF!</v>
      </c>
      <c r="AZ64" s="4" t="e">
        <f>AY64/VLOOKUP(A64,'[53]geoMap (50)'!$A:$B,2,0)*VLOOKUP(A64,'[53]geoMap (50)'!$A:$C,3,0)</f>
        <v>#REF!</v>
      </c>
      <c r="BA64" s="1" t="e">
        <f>AZ64/VLOOKUP(A64,'[54]geoMap (51)'!$A:$B,2,0)*VLOOKUP(A64,'[54]geoMap (51)'!$A:$C,3,0)</f>
        <v>#REF!</v>
      </c>
      <c r="BB64" s="4" t="e">
        <f>BA64/VLOOKUP(A64,'[55]geoMap (52)'!$A:$B,2,0)*VLOOKUP(A64,'[55]geoMap (52)'!$A:$C,3,0)</f>
        <v>#REF!</v>
      </c>
      <c r="BC64" s="1" t="e">
        <f>BB64/VLOOKUP(A64,'[56]geoMap (53)'!$A:$B,2,0)*VLOOKUP(A64,'[56]geoMap (53)'!$A:$C,3,0)</f>
        <v>#REF!</v>
      </c>
      <c r="BD64" s="4" t="e">
        <f>BC64/VLOOKUP(A64,'[57]geoMap (54)'!$A:$B,2,0)*VLOOKUP(A64,'[57]geoMap (54)'!$A:$C,3,0)</f>
        <v>#REF!</v>
      </c>
      <c r="BE64" s="1" t="e">
        <f>BD64/VLOOKUP(A64,'[58]geoMap (55)'!$A:$B,2,0)*VLOOKUP(A64,'[58]geoMap (55)'!$A:$C,3,0)</f>
        <v>#REF!</v>
      </c>
      <c r="BF64" s="4" t="e">
        <f>BE64/VLOOKUP(A64,'[59]geoMap (56)'!$A:$B,2,0)*VLOOKUP(A64,'[59]geoMap (56)'!$A:$C,3,0)</f>
        <v>#REF!</v>
      </c>
      <c r="BG64" s="1" t="e">
        <f>BF64/VLOOKUP(A64,'[60]geoMap (57)'!$A:$B,2,0)*VLOOKUP(A64,'[60]geoMap (57)'!$A:$C,3,0)</f>
        <v>#REF!</v>
      </c>
      <c r="BH64" s="4" t="e">
        <f>BG64/VLOOKUP(A64,'[61]geoMap (58)'!$A:$B,2,0)*VLOOKUP(A64,'[61]geoMap (58)'!$A:$C,3,0)</f>
        <v>#REF!</v>
      </c>
      <c r="BI64" s="1" t="e">
        <f>BH64/VLOOKUP(A64,'[62]geoMap (59)'!$A:$B,2,0)*VLOOKUP(A64,'[62]geoMap (59)'!$A:$C,3,0)</f>
        <v>#REF!</v>
      </c>
      <c r="BJ64" s="4" t="e">
        <f>BI64/VLOOKUP(A64,'[63]geoMap (60)'!$A:$B,2,0)*VLOOKUP(A64,'[63]geoMap (60)'!$A:$C,3,0)</f>
        <v>#REF!</v>
      </c>
      <c r="BK64" s="1" t="e">
        <f>BJ64/VLOOKUP(A64,'[64]geoMap (61)'!$A:$B,2,0)*VLOOKUP(A64,'[64]geoMap (61)'!$A:$C,3,0)</f>
        <v>#REF!</v>
      </c>
      <c r="BL64" s="4" t="e">
        <f>BK64/VLOOKUP(A64,'[65]geoMap (62)'!$A:$B,2,0)*VLOOKUP(A64,'[65]geoMap (62)'!$A:$C,3,0)</f>
        <v>#REF!</v>
      </c>
      <c r="BM64" s="1" t="e">
        <f>BL64/VLOOKUP(A64,'[66]geoMap (63)'!$A:$B,2,0)*VLOOKUP(A64,'[66]geoMap (63)'!$A:$C,3,0)</f>
        <v>#REF!</v>
      </c>
      <c r="BN64" s="4" t="e">
        <f>BM64/VLOOKUP(A64,'[67]geoMap (64)'!$A:$B,2,0)*VLOOKUP(A64,'[67]geoMap (64)'!$A:$C,3,0)</f>
        <v>#REF!</v>
      </c>
      <c r="BO64" s="1" t="e">
        <f>BN64/VLOOKUP(A64,'[68]geoMap (65)'!$A:$B,2,0)*VLOOKUP(A64,'[68]geoMap (65)'!$A:$C,3,0)</f>
        <v>#REF!</v>
      </c>
      <c r="BP64" s="4" t="e">
        <f>BO64/VLOOKUP(A64,'[69]geoMap (66)'!$A:$B,2,0)*VLOOKUP(A64,'[69]geoMap (66)'!$A:$C,3,0)</f>
        <v>#REF!</v>
      </c>
    </row>
    <row r="65" spans="1:68" x14ac:dyDescent="0.2">
      <c r="A65" s="1" t="s">
        <v>134</v>
      </c>
      <c r="B65" s="1">
        <f>VLOOKUP(A65,[3]geoMap!$A:$B,2,0)*Notes!$C$6</f>
        <v>4000</v>
      </c>
      <c r="C65" s="1">
        <f>B65/VLOOKUP(A65,'[4]geoMap (1)'!$A:$B,2,0)*VLOOKUP(A65,'[4]geoMap (1)'!$A:$C,3,0)</f>
        <v>1797.1014492753625</v>
      </c>
      <c r="D65" s="1" t="e">
        <f>C65/VLOOKUP(A65,'[5]geoMap (2)'!$A:$B,2,0)*VLOOKUP(A65,'[5]geoMap (2)'!$A:$C,3,0)</f>
        <v>#REF!</v>
      </c>
      <c r="E65" s="1" t="e">
        <f>D65/VLOOKUP(A65,'[6]geoMap (3)'!$A:$B,2,0)*VLOOKUP(A65,'[6]geoMap (3)'!$A:$C,3,0)</f>
        <v>#REF!</v>
      </c>
      <c r="F65" s="1" t="e">
        <f>E65/VLOOKUP(A65,'[7]geoMap (4)'!$A:$B,2,0)*VLOOKUP(A65,'[7]geoMap (4)'!$A:$C,3,0)</f>
        <v>#REF!</v>
      </c>
      <c r="G65" s="1" t="e">
        <f>F65/VLOOKUP(A65,'[8]geoMap (5)'!$A:$B,2,0)*VLOOKUP(A65,'[8]geoMap (5)'!$A:$C,3,0)</f>
        <v>#REF!</v>
      </c>
      <c r="H65" s="1" t="e">
        <f>G65/VLOOKUP(A65,'[9]geoMap (6)'!$A:$B,2,0)*VLOOKUP(A65,'[9]geoMap (6)'!$A:$C,3,0)</f>
        <v>#REF!</v>
      </c>
      <c r="I65" s="1" t="e">
        <f>H65/VLOOKUP(A65,'[10]geoMap (7)'!$A:$B,2,0)*VLOOKUP(A65,'[10]geoMap (7)'!$A:$C,3,0)</f>
        <v>#REF!</v>
      </c>
      <c r="J65" s="1" t="e">
        <f>I65/VLOOKUP(A65,'[11]geoMap (8)'!$A:$B,2,0)*VLOOKUP(A65,'[11]geoMap (8)'!$A:$C,3,0)</f>
        <v>#REF!</v>
      </c>
      <c r="K65" s="1" t="e">
        <f>J65/VLOOKUP(A65,'[12]geoMap (9)'!$A:$B,2,0)*VLOOKUP(A65,'[12]geoMap (9)'!$A:$C,3,0)</f>
        <v>#REF!</v>
      </c>
      <c r="L65" s="1" t="e">
        <f>K65/VLOOKUP(A65,'[13]geoMap (10)'!$A:$B,2,0)*VLOOKUP(A65,'[13]geoMap (10)'!$A:$C,3,0)</f>
        <v>#REF!</v>
      </c>
      <c r="M65" s="1" t="e">
        <f>L65/VLOOKUP(A65,'[14]geoMap (11)'!$A:$B,2,0)*VLOOKUP(A65,'[14]geoMap (11)'!$A:$C,3,0)</f>
        <v>#REF!</v>
      </c>
      <c r="N65" s="1" t="e">
        <f>M65/VLOOKUP(A65,'[15]geoMap (12)'!$A:$B,2,0)*VLOOKUP(A65,'[15]geoMap (12)'!$A:$C,3,0)</f>
        <v>#REF!</v>
      </c>
      <c r="O65" s="1" t="e">
        <f>N65/VLOOKUP(A65,'[16]geoMap (13)'!$A:$B,2,0)*VLOOKUP(A65,'[16]geoMap (13)'!$A:$C,3,0)</f>
        <v>#REF!</v>
      </c>
      <c r="P65" s="1" t="e">
        <f>O65/VLOOKUP(A65,'[17]geoMap (14)'!$A:$B,2,0)*VLOOKUP(A65,'[17]geoMap (14)'!$A:$C,3,0)</f>
        <v>#REF!</v>
      </c>
      <c r="Q65" s="1" t="e">
        <f>P65/VLOOKUP(A65,'[18]geoMap (15)'!$A:$B,2,0)*VLOOKUP(A65,'[18]geoMap (15)'!$A:$C,3,0)</f>
        <v>#REF!</v>
      </c>
      <c r="R65" s="1" t="e">
        <f>Q65/VLOOKUP(A65,'[19]geoMap (16)'!$A:$B,2,0)*VLOOKUP(A65,'[19]geoMap (16)'!$A:$C,3,0)</f>
        <v>#REF!</v>
      </c>
      <c r="S65" s="1" t="e">
        <f>R65/VLOOKUP(A65,'[20]geoMap (17)'!$A:$B,2,0)*VLOOKUP(A65,'[20]geoMap (17)'!$A:$C,3,0)</f>
        <v>#REF!</v>
      </c>
      <c r="T65" s="1" t="e">
        <f>S65/VLOOKUP(A65,'[21]geoMap (18)'!$A:$B,2,0)*VLOOKUP(A65,'[21]geoMap (18)'!$A:$C,3,0)</f>
        <v>#REF!</v>
      </c>
      <c r="U65" s="1" t="e">
        <f>T65/VLOOKUP(A65,'[22]geoMap (19)'!$A:$B,2,0)*VLOOKUP(A65,'[22]geoMap (19)'!$A:$C,3,0)</f>
        <v>#REF!</v>
      </c>
      <c r="V65" s="1" t="e">
        <f>U65/VLOOKUP(A65,'[23]geoMap (20)'!$A:$B,2,0)*VLOOKUP(A65,'[23]geoMap (20)'!$A:$C,3,0)</f>
        <v>#REF!</v>
      </c>
      <c r="W65" s="1" t="e">
        <f>V65/VLOOKUP(A65,'[24]geoMap (21)'!$A:$B,2,0)*VLOOKUP(A65,'[24]geoMap (21)'!$A:$C,3,0)</f>
        <v>#REF!</v>
      </c>
      <c r="X65" s="1" t="e">
        <f>W65/VLOOKUP(A65,'[25]geoMap (22)'!$A:$B,2,0)*VLOOKUP(A65,'[25]geoMap (22)'!$A:$C,3,0)</f>
        <v>#REF!</v>
      </c>
      <c r="Y65" s="1" t="e">
        <f>X65/VLOOKUP(A65,'[26]geoMap (23)'!$A:$B,2,0)*VLOOKUP(A65,'[26]geoMap (23)'!$A:$C,3,0)</f>
        <v>#REF!</v>
      </c>
      <c r="Z65" s="1" t="e">
        <f>Y65/VLOOKUP(A65,'[27]geoMap (24)'!$A:$B,2,0)*VLOOKUP(A65,'[27]geoMap (24)'!$A:$C,3,0)</f>
        <v>#REF!</v>
      </c>
      <c r="AA65" s="1" t="e">
        <f>Z65/VLOOKUP(A65,'[28]geoMap (25)'!$A:$B,2,0)*VLOOKUP(A65,'[28]geoMap (25)'!$A:$C,3,0)</f>
        <v>#REF!</v>
      </c>
      <c r="AB65" s="1" t="e">
        <f>AA65*VLOOKUP(A65,'[29]geoMap (26)'!$A:$B,2,0)*VLOOKUP(A65,'[29]geoMap (26)'!$A:$C,3,0)</f>
        <v>#REF!</v>
      </c>
      <c r="AC65" s="1" t="e">
        <f>AB65/VLOOKUP(A65,'[30]geoMap (27)'!$A:$B,2,0)*VLOOKUP(A65,'[30]geoMap (27)'!$A:$C,3,0)</f>
        <v>#REF!</v>
      </c>
      <c r="AD65" s="1" t="e">
        <f>AC65/VLOOKUP(A65,'[31]geoMap (28)'!$A:$B,2,0)*VLOOKUP(A65,'[31]geoMap (28)'!$A:$C,3,0)</f>
        <v>#REF!</v>
      </c>
      <c r="AE65" s="1" t="e">
        <f>AD65/VLOOKUP(A65,'[32]geoMap (29)'!$A:$B,2,0)*VLOOKUP(A65,'[32]geoMap (29)'!$A:$C,3,0)</f>
        <v>#REF!</v>
      </c>
      <c r="AF65" s="1" t="e">
        <f>AE65/VLOOKUP(A65,'[33]geoMap (30)'!$A:$B,2,0)*VLOOKUP(A65,'[33]geoMap (30)'!$A:$C,3,0)</f>
        <v>#REF!</v>
      </c>
      <c r="AG65" s="1" t="e">
        <f>AF65/VLOOKUP(A65,'[34]geoMap (31)'!$A:$B,2,0)*VLOOKUP(A65,'[34]geoMap (31)'!$A:$C,3,0)</f>
        <v>#REF!</v>
      </c>
      <c r="AH65" s="1" t="e">
        <f>AG65/VLOOKUP(A65,'[35]geoMap (32)'!$A:$B,2,0)*VLOOKUP(A65,'[35]geoMap (32)'!$A:$C,3,0)</f>
        <v>#REF!</v>
      </c>
      <c r="AI65" s="1" t="e">
        <f>AH65/VLOOKUP(A65,'[36]geoMap (33)'!$A:$B,2,0)*VLOOKUP(A65,'[36]geoMap (33)'!$A:$C,3,0)</f>
        <v>#REF!</v>
      </c>
      <c r="AJ65" s="1" t="e">
        <f>AI65/VLOOKUP(A65,'[37]geoMap (34)'!$A:$B,2,0)*VLOOKUP(A65,'[37]geoMap (34)'!$A:$C,3,0)</f>
        <v>#REF!</v>
      </c>
      <c r="AK65" s="1" t="e">
        <f>AJ65/VLOOKUP(A65,'[38]geoMap (35)'!$A:$B,2,0)*VLOOKUP(A65,'[38]geoMap (35)'!$A:$C,3,0)</f>
        <v>#REF!</v>
      </c>
      <c r="AL65" s="1" t="e">
        <f>AK65/VLOOKUP(A65,'[39]geoMap (36)'!$A:$B,2,0)*VLOOKUP(A65,'[39]geoMap (36)'!$A:$C,3,0)</f>
        <v>#REF!</v>
      </c>
      <c r="AM65" s="1" t="e">
        <f>AL65/VLOOKUP(A65,'[40]geoMap (37)'!$A:$B,2,0)*VLOOKUP(A65,'[40]geoMap (37)'!$A:$C,3,0)</f>
        <v>#REF!</v>
      </c>
      <c r="AN65" s="1" t="e">
        <f>AM65/VLOOKUP(A65,'[41]geoMap (38)'!$A:$B,2,0)*VLOOKUP(A65,'[41]geoMap (38)'!$A:$C,3,0)</f>
        <v>#REF!</v>
      </c>
      <c r="AO65" s="1" t="e">
        <f>AN65/VLOOKUP(A65,'[42]geoMap (39)'!$A:$B,2,0)*VLOOKUP(A65,'[42]geoMap (39)'!$A:$C,3,0)</f>
        <v>#REF!</v>
      </c>
      <c r="AP65" s="1" t="e">
        <f>AO65/VLOOKUP(A65,'[43]geoMap (40)'!$A:$B,2,0)*VLOOKUP(A65,'[43]geoMap (40)'!$A:$C,3,0)</f>
        <v>#REF!</v>
      </c>
      <c r="AQ65" s="1" t="e">
        <f>AP65/VLOOKUP(A65,'[44]geoMap (41)'!$A:$B,2,0)*VLOOKUP(A65,'[44]geoMap (41)'!$A:$C,3,0)</f>
        <v>#REF!</v>
      </c>
      <c r="AR65" s="1" t="e">
        <f>AQ65/VLOOKUP(A65,'[45]geoMap (42)'!$A:$B,2,0)*VLOOKUP(A65,'[45]geoMap (42)'!$A:$C,3,0)</f>
        <v>#REF!</v>
      </c>
      <c r="AS65" s="1" t="e">
        <f>AR65/VLOOKUP(A65,'[46]geoMap (43)'!$A:$B,2,0)*VLOOKUP(A65,'[46]geoMap (43)'!$A:$C,3,0)</f>
        <v>#REF!</v>
      </c>
      <c r="AT65" s="1" t="e">
        <f>AS65/VLOOKUP(A65,'[47]geoMap (44)'!$A:$B,2,0)*VLOOKUP(A65,'[47]geoMap (44)'!$A:$C,3,0)</f>
        <v>#REF!</v>
      </c>
      <c r="AU65" s="1" t="e">
        <f>AT65/VLOOKUP(A65,'[48]geoMap (45)'!$A:$B,2,0)*VLOOKUP(A65,'[48]geoMap (45)'!$A:$C,3,0)</f>
        <v>#REF!</v>
      </c>
      <c r="AV65" s="1" t="e">
        <f>AU65/VLOOKUP(A65,'[49]geoMap (46)'!$A:$B,2,0)*VLOOKUP(A65,'[49]geoMap (46)'!$A:$C,3,0)</f>
        <v>#REF!</v>
      </c>
      <c r="AW65" s="1" t="e">
        <f>AV65/VLOOKUP(A65,'[50]geoMap (47)'!$A:$B,2,0)*VLOOKUP(A65,'[50]geoMap (47)'!$A:$C,3,0)</f>
        <v>#REF!</v>
      </c>
      <c r="AX65" s="4" t="e">
        <f>AW65/VLOOKUP(A65,'[51]geoMap (48)'!$A:$B,2,0)*VLOOKUP(A65,'[51]geoMap (48)'!$A:$C,3,0)</f>
        <v>#REF!</v>
      </c>
      <c r="AY65" s="1" t="e">
        <f>AX65/VLOOKUP(A65,'[52]geoMap (49)'!$A:$B,2,0)*VLOOKUP(A65,'[52]geoMap (49)'!$A:$C,3,0)</f>
        <v>#REF!</v>
      </c>
      <c r="AZ65" s="4" t="e">
        <f>AY65/VLOOKUP(A65,'[53]geoMap (50)'!$A:$B,2,0)*VLOOKUP(A65,'[53]geoMap (50)'!$A:$C,3,0)</f>
        <v>#REF!</v>
      </c>
      <c r="BA65" s="1" t="e">
        <f>AZ65/VLOOKUP(A65,'[54]geoMap (51)'!$A:$B,2,0)*VLOOKUP(A65,'[54]geoMap (51)'!$A:$C,3,0)</f>
        <v>#REF!</v>
      </c>
      <c r="BB65" s="4" t="e">
        <f>BA65/VLOOKUP(A65,'[55]geoMap (52)'!$A:$B,2,0)*VLOOKUP(A65,'[55]geoMap (52)'!$A:$C,3,0)</f>
        <v>#REF!</v>
      </c>
      <c r="BC65" s="1" t="e">
        <f>BB65/VLOOKUP(A65,'[56]geoMap (53)'!$A:$B,2,0)*VLOOKUP(A65,'[56]geoMap (53)'!$A:$C,3,0)</f>
        <v>#REF!</v>
      </c>
      <c r="BD65" s="4" t="e">
        <f>BC65/VLOOKUP(A65,'[57]geoMap (54)'!$A:$B,2,0)*VLOOKUP(A65,'[57]geoMap (54)'!$A:$C,3,0)</f>
        <v>#REF!</v>
      </c>
      <c r="BE65" s="1" t="e">
        <f>BD65/VLOOKUP(A65,'[58]geoMap (55)'!$A:$B,2,0)*VLOOKUP(A65,'[58]geoMap (55)'!$A:$C,3,0)</f>
        <v>#REF!</v>
      </c>
      <c r="BF65" s="4" t="e">
        <f>BE65/VLOOKUP(A65,'[59]geoMap (56)'!$A:$B,2,0)*VLOOKUP(A65,'[59]geoMap (56)'!$A:$C,3,0)</f>
        <v>#REF!</v>
      </c>
      <c r="BG65" s="1" t="e">
        <f>BF65/VLOOKUP(A65,'[60]geoMap (57)'!$A:$B,2,0)*VLOOKUP(A65,'[60]geoMap (57)'!$A:$C,3,0)</f>
        <v>#REF!</v>
      </c>
      <c r="BH65" s="4" t="e">
        <f>BG65/VLOOKUP(A65,'[61]geoMap (58)'!$A:$B,2,0)*VLOOKUP(A65,'[61]geoMap (58)'!$A:$C,3,0)</f>
        <v>#REF!</v>
      </c>
      <c r="BI65" s="1" t="e">
        <f>BH65/VLOOKUP(A65,'[62]geoMap (59)'!$A:$B,2,0)*VLOOKUP(A65,'[62]geoMap (59)'!$A:$C,3,0)</f>
        <v>#REF!</v>
      </c>
      <c r="BJ65" s="4" t="e">
        <f>BI65/VLOOKUP(A65,'[63]geoMap (60)'!$A:$B,2,0)*VLOOKUP(A65,'[63]geoMap (60)'!$A:$C,3,0)</f>
        <v>#REF!</v>
      </c>
      <c r="BK65" s="1" t="e">
        <f>BJ65/VLOOKUP(A65,'[64]geoMap (61)'!$A:$B,2,0)*VLOOKUP(A65,'[64]geoMap (61)'!$A:$C,3,0)</f>
        <v>#REF!</v>
      </c>
      <c r="BL65" s="4" t="e">
        <f>BK65/VLOOKUP(A65,'[65]geoMap (62)'!$A:$B,2,0)*VLOOKUP(A65,'[65]geoMap (62)'!$A:$C,3,0)</f>
        <v>#REF!</v>
      </c>
      <c r="BM65" s="1" t="e">
        <f>BL65/VLOOKUP(A65,'[66]geoMap (63)'!$A:$B,2,0)*VLOOKUP(A65,'[66]geoMap (63)'!$A:$C,3,0)</f>
        <v>#REF!</v>
      </c>
      <c r="BN65" s="4" t="e">
        <f>BM65/VLOOKUP(A65,'[67]geoMap (64)'!$A:$B,2,0)*VLOOKUP(A65,'[67]geoMap (64)'!$A:$C,3,0)</f>
        <v>#REF!</v>
      </c>
      <c r="BO65" s="1" t="e">
        <f>BN65/VLOOKUP(A65,'[68]geoMap (65)'!$A:$B,2,0)*VLOOKUP(A65,'[68]geoMap (65)'!$A:$C,3,0)</f>
        <v>#REF!</v>
      </c>
      <c r="BP65" s="4" t="e">
        <f>BO65/VLOOKUP(A65,'[69]geoMap (66)'!$A:$B,2,0)*VLOOKUP(A65,'[69]geoMap (66)'!$A:$C,3,0)</f>
        <v>#REF!</v>
      </c>
    </row>
    <row r="66" spans="1:68" x14ac:dyDescent="0.2">
      <c r="A66" s="1" t="s">
        <v>151</v>
      </c>
      <c r="B66" s="1">
        <f>VLOOKUP(A66,[3]geoMap!$A:$B,2,0)*Notes!$C$6</f>
        <v>4000</v>
      </c>
      <c r="C66" s="1">
        <f>B66/VLOOKUP(A66,'[4]geoMap (1)'!$A:$B,2,0)*VLOOKUP(A66,'[4]geoMap (1)'!$A:$C,3,0)</f>
        <v>1194.8051948051948</v>
      </c>
      <c r="D66" s="1">
        <f>C66/VLOOKUP(A66,'[5]geoMap (2)'!$A:$B,2,0)*VLOOKUP(A66,'[5]geoMap (2)'!$A:$C,3,0)</f>
        <v>2034.3980343980343</v>
      </c>
      <c r="E66" s="1">
        <f>D66/VLOOKUP(A66,'[6]geoMap (3)'!$A:$B,2,0)*VLOOKUP(A66,'[6]geoMap (3)'!$A:$C,3,0)</f>
        <v>1598.4555984555982</v>
      </c>
      <c r="F66" s="1">
        <f>E66/VLOOKUP(A66,'[7]geoMap (4)'!$A:$B,2,0)*VLOOKUP(A66,'[7]geoMap (4)'!$A:$C,3,0)</f>
        <v>3396.7181467181463</v>
      </c>
      <c r="G66" s="1">
        <f>F66/VLOOKUP(A66,'[8]geoMap (5)'!$A:$B,2,0)*VLOOKUP(A66,'[8]geoMap (5)'!$A:$C,3,0)</f>
        <v>958.04870804870779</v>
      </c>
      <c r="H66" s="1">
        <f>G66/VLOOKUP(A66,'[9]geoMap (6)'!$A:$B,2,0)*VLOOKUP(A66,'[9]geoMap (6)'!$A:$C,3,0)</f>
        <v>1124.6658746658743</v>
      </c>
      <c r="I66" s="1">
        <f>H66/VLOOKUP(A66,'[10]geoMap (7)'!$A:$B,2,0)*VLOOKUP(A66,'[10]geoMap (7)'!$A:$C,3,0)</f>
        <v>689.31134253714879</v>
      </c>
      <c r="J66" s="1">
        <f>I66/VLOOKUP(A66,'[11]geoMap (8)'!$A:$B,2,0)*VLOOKUP(A66,'[11]geoMap (8)'!$A:$C,3,0)</f>
        <v>746.75395441524449</v>
      </c>
      <c r="K66" s="1">
        <f>J66/VLOOKUP(A66,'[12]geoMap (9)'!$A:$B,2,0)*VLOOKUP(A66,'[12]geoMap (9)'!$A:$C,3,0)</f>
        <v>989.88314887602178</v>
      </c>
      <c r="L66" s="1">
        <f>K66/VLOOKUP(A66,'[13]geoMap (10)'!$A:$B,2,0)*VLOOKUP(A66,'[13]geoMap (10)'!$A:$C,3,0)</f>
        <v>63.184030779320544</v>
      </c>
      <c r="M66" s="1">
        <f>L66/VLOOKUP(A66,'[14]geoMap (11)'!$A:$B,2,0)*VLOOKUP(A66,'[14]geoMap (11)'!$A:$C,3,0)</f>
        <v>211.52914652207312</v>
      </c>
      <c r="N66" s="1">
        <f>M66/VLOOKUP(A66,'[15]geoMap (12)'!$A:$B,2,0)*VLOOKUP(A66,'[15]geoMap (12)'!$A:$C,3,0)</f>
        <v>95.034833944699514</v>
      </c>
      <c r="O66" s="1">
        <f>N66/VLOOKUP(A66,'[16]geoMap (13)'!$A:$B,2,0)*VLOOKUP(A66,'[16]geoMap (13)'!$A:$C,3,0)</f>
        <v>221.74794587096551</v>
      </c>
      <c r="P66" s="1">
        <f>O66/VLOOKUP(A66,'[17]geoMap (14)'!$A:$B,2,0)*VLOOKUP(A66,'[17]geoMap (14)'!$A:$C,3,0)</f>
        <v>86.235312283153277</v>
      </c>
      <c r="Q66" s="1">
        <f>P66/VLOOKUP(A66,'[18]geoMap (15)'!$A:$B,2,0)*VLOOKUP(A66,'[18]geoMap (15)'!$A:$C,3,0)</f>
        <v>211.12783352082357</v>
      </c>
      <c r="R66" s="1">
        <f>Q66/VLOOKUP(A66,'[19]geoMap (16)'!$A:$B,2,0)*VLOOKUP(A66,'[19]geoMap (16)'!$A:$C,3,0)</f>
        <v>40.214825432537822</v>
      </c>
      <c r="S66" s="1">
        <f>R66/VLOOKUP(A66,'[20]geoMap (17)'!$A:$B,2,0)*VLOOKUP(A66,'[20]geoMap (17)'!$A:$C,3,0)</f>
        <v>38.637773454791244</v>
      </c>
      <c r="T66" s="1">
        <f>S66/VLOOKUP(A66,'[21]geoMap (18)'!$A:$B,2,0)*VLOOKUP(A66,'[21]geoMap (18)'!$A:$C,3,0)</f>
        <v>16.559045766339107</v>
      </c>
      <c r="U66" s="1">
        <f>T66/VLOOKUP(A66,'[22]geoMap (19)'!$A:$B,2,0)*VLOOKUP(A66,'[22]geoMap (19)'!$A:$C,3,0)</f>
        <v>70.593826688077257</v>
      </c>
      <c r="V66" s="1">
        <f>U66/VLOOKUP(A66,'[23]geoMap (20)'!$A:$B,2,0)*VLOOKUP(A66,'[23]geoMap (20)'!$A:$C,3,0)</f>
        <v>27.453154823141158</v>
      </c>
      <c r="W66" s="1">
        <f>V66/VLOOKUP(A66,'[24]geoMap (21)'!$A:$B,2,0)*VLOOKUP(A66,'[24]geoMap (21)'!$A:$C,3,0)</f>
        <v>9.6457030459685154</v>
      </c>
      <c r="X66" s="1">
        <f>W66/VLOOKUP(A66,'[25]geoMap (22)'!$A:$B,2,0)*VLOOKUP(A66,'[25]geoMap (22)'!$A:$C,3,0)</f>
        <v>15.086868866771267</v>
      </c>
      <c r="Y66" s="1">
        <f>X66/VLOOKUP(A66,'[26]geoMap (23)'!$A:$B,2,0)*VLOOKUP(A66,'[26]geoMap (23)'!$A:$C,3,0)</f>
        <v>22.6303033001569</v>
      </c>
      <c r="Z66" s="1">
        <f>Y66/VLOOKUP(A66,'[27]geoMap (24)'!$A:$B,2,0)*VLOOKUP(A66,'[27]geoMap (24)'!$A:$C,3,0)</f>
        <v>45.946373366985227</v>
      </c>
      <c r="AA66" s="1">
        <f>Z66/VLOOKUP(A66,'[28]geoMap (25)'!$A:$B,2,0)*VLOOKUP(A66,'[28]geoMap (25)'!$A:$C,3,0)</f>
        <v>19.691302871565096</v>
      </c>
      <c r="AB66" s="1">
        <f>AA66*VLOOKUP(A66,'[29]geoMap (26)'!$A:$B,2,0)*VLOOKUP(A66,'[29]geoMap (26)'!$A:$C,3,0)</f>
        <v>4.7968013795132567</v>
      </c>
      <c r="AC66" s="1">
        <f>AB66/VLOOKUP(A66,'[30]geoMap (27)'!$A:$B,2,0)*VLOOKUP(A66,'[30]geoMap (27)'!$A:$C,3,0)</f>
        <v>6.3585506658664093</v>
      </c>
      <c r="AD66" s="1">
        <f>AC66/VLOOKUP(A66,'[31]geoMap (28)'!$A:$B,2,0)*VLOOKUP(A66,'[31]geoMap (28)'!$A:$C,3,0)</f>
        <v>2.7250931425141758</v>
      </c>
      <c r="AE66" s="1">
        <f>AD66/VLOOKUP(A66,'[32]geoMap (29)'!$A:$B,2,0)*VLOOKUP(A66,'[32]geoMap (29)'!$A:$C,3,0)</f>
        <v>7.7560343286941915</v>
      </c>
      <c r="AF66" s="1">
        <f>AE66/VLOOKUP(A66,'[33]geoMap (30)'!$A:$B,2,0)*VLOOKUP(A66,'[33]geoMap (30)'!$A:$C,3,0)</f>
        <v>1.8193166943850572</v>
      </c>
      <c r="AG66" s="1">
        <f>AF66/VLOOKUP(A66,'[34]geoMap (31)'!$A:$B,2,0)*VLOOKUP(A66,'[34]geoMap (31)'!$A:$C,3,0)</f>
        <v>3.0977554526015836</v>
      </c>
      <c r="AH66" s="1">
        <f>AG66/VLOOKUP(A66,'[35]geoMap (32)'!$A:$B,2,0)*VLOOKUP(A66,'[35]geoMap (32)'!$A:$C,3,0)</f>
        <v>1.9805321746141273</v>
      </c>
      <c r="AI66" s="1">
        <f>AH66/VLOOKUP(A66,'[36]geoMap (33)'!$A:$B,2,0)*VLOOKUP(A66,'[36]geoMap (33)'!$A:$C,3,0)</f>
        <v>0.97548599645173439</v>
      </c>
      <c r="AJ66" s="1">
        <f>AI66/VLOOKUP(A66,'[37]geoMap (34)'!$A:$B,2,0)*VLOOKUP(A66,'[37]geoMap (34)'!$A:$C,3,0)</f>
        <v>1.6609626426070072</v>
      </c>
      <c r="AK66" s="1">
        <f>AJ66/VLOOKUP(A66,'[38]geoMap (35)'!$A:$B,2,0)*VLOOKUP(A66,'[38]geoMap (35)'!$A:$C,3,0)</f>
        <v>3.372257486505136</v>
      </c>
      <c r="AL66" s="1">
        <f>AK66/VLOOKUP(A66,'[39]geoMap (36)'!$A:$B,2,0)*VLOOKUP(A66,'[39]geoMap (36)'!$A:$C,3,0)</f>
        <v>0.37469527627834842</v>
      </c>
      <c r="AM66" s="1">
        <f>AL66/VLOOKUP(A66,'[40]geoMap (37)'!$A:$B,2,0)*VLOOKUP(A66,'[40]geoMap (37)'!$A:$C,3,0)</f>
        <v>2.5075760797089472</v>
      </c>
      <c r="AN66" s="1">
        <f>AM66/VLOOKUP(A66,'[41]geoMap (38)'!$A:$B,2,0)*VLOOKUP(A66,'[41]geoMap (38)'!$A:$C,3,0)</f>
        <v>2.4092397628576157</v>
      </c>
      <c r="AO66" s="1">
        <f>AN66/VLOOKUP(A66,'[42]geoMap (39)'!$A:$B,2,0)*VLOOKUP(A66,'[42]geoMap (39)'!$A:$C,3,0)</f>
        <v>2.8282379824850272</v>
      </c>
      <c r="AP66" s="1">
        <f>AO66/VLOOKUP(A66,'[43]geoMap (40)'!$A:$B,2,0)*VLOOKUP(A66,'[43]geoMap (40)'!$A:$C,3,0)</f>
        <v>0.21287812771392678</v>
      </c>
      <c r="AQ66" s="1">
        <f>AP66/VLOOKUP(A66,'[44]geoMap (41)'!$A:$B,2,0)*VLOOKUP(A66,'[44]geoMap (41)'!$A:$C,3,0)</f>
        <v>0.6058839019550224</v>
      </c>
      <c r="AR66" s="1">
        <f>AQ66/VLOOKUP(A66,'[45]geoMap (42)'!$A:$B,2,0)*VLOOKUP(A66,'[45]geoMap (42)'!$A:$C,3,0)</f>
        <v>0.24747370643233307</v>
      </c>
      <c r="AS66" s="1">
        <f>AR66/VLOOKUP(A66,'[46]geoMap (43)'!$A:$B,2,0)*VLOOKUP(A66,'[46]geoMap (43)'!$A:$C,3,0)</f>
        <v>0.50244661608988839</v>
      </c>
      <c r="AT66" s="1">
        <f>AS66/VLOOKUP(A66,'[47]geoMap (44)'!$A:$B,2,0)*VLOOKUP(A66,'[47]geoMap (44)'!$A:$C,3,0)</f>
        <v>0.46379687639066614</v>
      </c>
      <c r="AU66" s="1">
        <f>AT66/VLOOKUP(A66,'[48]geoMap (45)'!$A:$B,2,0)*VLOOKUP(A66,'[48]geoMap (45)'!$A:$C,3,0)</f>
        <v>0.13853672931149766</v>
      </c>
      <c r="AV66" s="1">
        <f>AU66/VLOOKUP(A66,'[49]geoMap (46)'!$A:$B,2,0)*VLOOKUP(A66,'[49]geoMap (46)'!$A:$C,3,0)</f>
        <v>1.1208880826112084</v>
      </c>
      <c r="AW66" s="1">
        <f>AV66/VLOOKUP(A66,'[50]geoMap (47)'!$A:$B,2,0)*VLOOKUP(A66,'[50]geoMap (47)'!$A:$C,3,0)</f>
        <v>0.60355512140603529</v>
      </c>
      <c r="AX66" s="4">
        <f>AW66/VLOOKUP(A66,'[51]geoMap (48)'!$A:$B,2,0)*VLOOKUP(A66,'[51]geoMap (48)'!$A:$C,3,0)</f>
        <v>0.45531351263964071</v>
      </c>
      <c r="AY66" s="1">
        <f>AX66/VLOOKUP(A66,'[52]geoMap (49)'!$A:$B,2,0)*VLOOKUP(A66,'[52]geoMap (49)'!$A:$C,3,0)</f>
        <v>7.4120804383197333E-2</v>
      </c>
      <c r="AZ66" s="4">
        <f>AY66/VLOOKUP(A66,'[53]geoMap (50)'!$A:$B,2,0)*VLOOKUP(A66,'[53]geoMap (50)'!$A:$C,3,0)</f>
        <v>0.6670872394487759</v>
      </c>
      <c r="BA66" s="1" t="e">
        <f>AZ66/VLOOKUP(A66,'[54]geoMap (51)'!$A:$B,2,0)*VLOOKUP(A66,'[54]geoMap (51)'!$A:$C,3,0)</f>
        <v>#REF!</v>
      </c>
      <c r="BB66" s="4" t="e">
        <f>BA66/VLOOKUP(A66,'[55]geoMap (52)'!$A:$B,2,0)*VLOOKUP(A66,'[55]geoMap (52)'!$A:$C,3,0)</f>
        <v>#REF!</v>
      </c>
      <c r="BC66" s="1" t="e">
        <f>BB66/VLOOKUP(A66,'[56]geoMap (53)'!$A:$B,2,0)*VLOOKUP(A66,'[56]geoMap (53)'!$A:$C,3,0)</f>
        <v>#REF!</v>
      </c>
      <c r="BD66" s="4" t="e">
        <f>BC66/VLOOKUP(A66,'[57]geoMap (54)'!$A:$B,2,0)*VLOOKUP(A66,'[57]geoMap (54)'!$A:$C,3,0)</f>
        <v>#REF!</v>
      </c>
      <c r="BE66" s="1" t="e">
        <f>BD66/VLOOKUP(A66,'[58]geoMap (55)'!$A:$B,2,0)*VLOOKUP(A66,'[58]geoMap (55)'!$A:$C,3,0)</f>
        <v>#REF!</v>
      </c>
      <c r="BF66" s="4" t="e">
        <f>BE66/VLOOKUP(A66,'[59]geoMap (56)'!$A:$B,2,0)*VLOOKUP(A66,'[59]geoMap (56)'!$A:$C,3,0)</f>
        <v>#REF!</v>
      </c>
      <c r="BG66" s="1" t="e">
        <f>BF66/VLOOKUP(A66,'[60]geoMap (57)'!$A:$B,2,0)*VLOOKUP(A66,'[60]geoMap (57)'!$A:$C,3,0)</f>
        <v>#REF!</v>
      </c>
      <c r="BH66" s="4" t="e">
        <f>BG66/VLOOKUP(A66,'[61]geoMap (58)'!$A:$B,2,0)*VLOOKUP(A66,'[61]geoMap (58)'!$A:$C,3,0)</f>
        <v>#REF!</v>
      </c>
      <c r="BI66" s="1" t="e">
        <f>BH66/VLOOKUP(A66,'[62]geoMap (59)'!$A:$B,2,0)*VLOOKUP(A66,'[62]geoMap (59)'!$A:$C,3,0)</f>
        <v>#REF!</v>
      </c>
      <c r="BJ66" s="4" t="e">
        <f>BI66/VLOOKUP(A66,'[63]geoMap (60)'!$A:$B,2,0)*VLOOKUP(A66,'[63]geoMap (60)'!$A:$C,3,0)</f>
        <v>#REF!</v>
      </c>
      <c r="BK66" s="1" t="e">
        <f>BJ66/VLOOKUP(A66,'[64]geoMap (61)'!$A:$B,2,0)*VLOOKUP(A66,'[64]geoMap (61)'!$A:$C,3,0)</f>
        <v>#REF!</v>
      </c>
      <c r="BL66" s="4" t="e">
        <f>BK66/VLOOKUP(A66,'[65]geoMap (62)'!$A:$B,2,0)*VLOOKUP(A66,'[65]geoMap (62)'!$A:$C,3,0)</f>
        <v>#REF!</v>
      </c>
      <c r="BM66" s="1" t="e">
        <f>BL66/VLOOKUP(A66,'[66]geoMap (63)'!$A:$B,2,0)*VLOOKUP(A66,'[66]geoMap (63)'!$A:$C,3,0)</f>
        <v>#REF!</v>
      </c>
      <c r="BN66" s="4" t="e">
        <f>BM66/VLOOKUP(A66,'[67]geoMap (64)'!$A:$B,2,0)*VLOOKUP(A66,'[67]geoMap (64)'!$A:$C,3,0)</f>
        <v>#REF!</v>
      </c>
      <c r="BO66" s="1" t="e">
        <f>BN66/VLOOKUP(A66,'[68]geoMap (65)'!$A:$B,2,0)*VLOOKUP(A66,'[68]geoMap (65)'!$A:$C,3,0)</f>
        <v>#REF!</v>
      </c>
      <c r="BP66" s="4" t="e">
        <f>BO66/VLOOKUP(A66,'[69]geoMap (66)'!$A:$B,2,0)*VLOOKUP(A66,'[69]geoMap (66)'!$A:$C,3,0)</f>
        <v>#REF!</v>
      </c>
    </row>
    <row r="67" spans="1:68" x14ac:dyDescent="0.2">
      <c r="A67" s="1" t="s">
        <v>170</v>
      </c>
      <c r="B67" s="1">
        <f>VLOOKUP(A67,[3]geoMap!$A:$B,2,0)*Notes!$C$6</f>
        <v>3000</v>
      </c>
      <c r="C67" s="1" t="e">
        <f>B67/VLOOKUP(A67,'[4]geoMap (1)'!$A:$B,2,0)*VLOOKUP(A67,'[4]geoMap (1)'!$A:$C,3,0)</f>
        <v>#DIV/0!</v>
      </c>
      <c r="D67" s="1" t="e">
        <f>C67/VLOOKUP(A67,'[5]geoMap (2)'!$A:$B,2,0)*VLOOKUP(A67,'[5]geoMap (2)'!$A:$C,3,0)</f>
        <v>#DIV/0!</v>
      </c>
      <c r="E67" s="1" t="e">
        <f>D67/VLOOKUP(A67,'[6]geoMap (3)'!$A:$B,2,0)*VLOOKUP(A67,'[6]geoMap (3)'!$A:$C,3,0)</f>
        <v>#DIV/0!</v>
      </c>
      <c r="F67" s="1" t="e">
        <f>E67/VLOOKUP(A67,'[7]geoMap (4)'!$A:$B,2,0)*VLOOKUP(A67,'[7]geoMap (4)'!$A:$C,3,0)</f>
        <v>#DIV/0!</v>
      </c>
      <c r="G67" s="1" t="e">
        <f>F67/VLOOKUP(A67,'[8]geoMap (5)'!$A:$B,2,0)*VLOOKUP(A67,'[8]geoMap (5)'!$A:$C,3,0)</f>
        <v>#DIV/0!</v>
      </c>
      <c r="H67" s="1" t="e">
        <f>G67/VLOOKUP(A67,'[9]geoMap (6)'!$A:$B,2,0)*VLOOKUP(A67,'[9]geoMap (6)'!$A:$C,3,0)</f>
        <v>#DIV/0!</v>
      </c>
      <c r="I67" s="1" t="e">
        <f>H67/VLOOKUP(A67,'[10]geoMap (7)'!$A:$B,2,0)*VLOOKUP(A67,'[10]geoMap (7)'!$A:$C,3,0)</f>
        <v>#DIV/0!</v>
      </c>
      <c r="J67" s="1" t="e">
        <f>I67/VLOOKUP(A67,'[11]geoMap (8)'!$A:$B,2,0)*VLOOKUP(A67,'[11]geoMap (8)'!$A:$C,3,0)</f>
        <v>#DIV/0!</v>
      </c>
      <c r="K67" s="1" t="e">
        <f>J67/VLOOKUP(A67,'[12]geoMap (9)'!$A:$B,2,0)*VLOOKUP(A67,'[12]geoMap (9)'!$A:$C,3,0)</f>
        <v>#DIV/0!</v>
      </c>
      <c r="L67" s="1" t="e">
        <f>K67/VLOOKUP(A67,'[13]geoMap (10)'!$A:$B,2,0)*VLOOKUP(A67,'[13]geoMap (10)'!$A:$C,3,0)</f>
        <v>#DIV/0!</v>
      </c>
      <c r="M67" s="1" t="e">
        <f>L67/VLOOKUP(A67,'[14]geoMap (11)'!$A:$B,2,0)*VLOOKUP(A67,'[14]geoMap (11)'!$A:$C,3,0)</f>
        <v>#DIV/0!</v>
      </c>
      <c r="N67" s="1" t="e">
        <f>M67/VLOOKUP(A67,'[15]geoMap (12)'!$A:$B,2,0)*VLOOKUP(A67,'[15]geoMap (12)'!$A:$C,3,0)</f>
        <v>#DIV/0!</v>
      </c>
      <c r="O67" s="1" t="e">
        <f>N67/VLOOKUP(A67,'[16]geoMap (13)'!$A:$B,2,0)*VLOOKUP(A67,'[16]geoMap (13)'!$A:$C,3,0)</f>
        <v>#DIV/0!</v>
      </c>
      <c r="P67" s="1" t="e">
        <f>O67/VLOOKUP(A67,'[17]geoMap (14)'!$A:$B,2,0)*VLOOKUP(A67,'[17]geoMap (14)'!$A:$C,3,0)</f>
        <v>#DIV/0!</v>
      </c>
      <c r="Q67" s="1" t="e">
        <f>P67/VLOOKUP(A67,'[18]geoMap (15)'!$A:$B,2,0)*VLOOKUP(A67,'[18]geoMap (15)'!$A:$C,3,0)</f>
        <v>#DIV/0!</v>
      </c>
      <c r="R67" s="1" t="e">
        <f>Q67/VLOOKUP(A67,'[19]geoMap (16)'!$A:$B,2,0)*VLOOKUP(A67,'[19]geoMap (16)'!$A:$C,3,0)</f>
        <v>#DIV/0!</v>
      </c>
      <c r="S67" s="1" t="e">
        <f>R67/VLOOKUP(A67,'[20]geoMap (17)'!$A:$B,2,0)*VLOOKUP(A67,'[20]geoMap (17)'!$A:$C,3,0)</f>
        <v>#DIV/0!</v>
      </c>
      <c r="T67" s="1" t="e">
        <f>S67/VLOOKUP(A67,'[21]geoMap (18)'!$A:$B,2,0)*VLOOKUP(A67,'[21]geoMap (18)'!$A:$C,3,0)</f>
        <v>#DIV/0!</v>
      </c>
      <c r="U67" s="1" t="e">
        <f>T67/VLOOKUP(A67,'[22]geoMap (19)'!$A:$B,2,0)*VLOOKUP(A67,'[22]geoMap (19)'!$A:$C,3,0)</f>
        <v>#DIV/0!</v>
      </c>
      <c r="V67" s="1" t="e">
        <f>U67/VLOOKUP(A67,'[23]geoMap (20)'!$A:$B,2,0)*VLOOKUP(A67,'[23]geoMap (20)'!$A:$C,3,0)</f>
        <v>#DIV/0!</v>
      </c>
      <c r="W67" s="1" t="e">
        <f>V67/VLOOKUP(A67,'[24]geoMap (21)'!$A:$B,2,0)*VLOOKUP(A67,'[24]geoMap (21)'!$A:$C,3,0)</f>
        <v>#DIV/0!</v>
      </c>
      <c r="X67" s="1" t="e">
        <f>W67/VLOOKUP(A67,'[25]geoMap (22)'!$A:$B,2,0)*VLOOKUP(A67,'[25]geoMap (22)'!$A:$C,3,0)</f>
        <v>#DIV/0!</v>
      </c>
      <c r="Y67" s="1" t="e">
        <f>X67/VLOOKUP(A67,'[26]geoMap (23)'!$A:$B,2,0)*VLOOKUP(A67,'[26]geoMap (23)'!$A:$C,3,0)</f>
        <v>#DIV/0!</v>
      </c>
      <c r="Z67" s="1" t="e">
        <f>Y67/VLOOKUP(A67,'[27]geoMap (24)'!$A:$B,2,0)*VLOOKUP(A67,'[27]geoMap (24)'!$A:$C,3,0)</f>
        <v>#DIV/0!</v>
      </c>
      <c r="AA67" s="1" t="e">
        <f>Z67/VLOOKUP(A67,'[28]geoMap (25)'!$A:$B,2,0)*VLOOKUP(A67,'[28]geoMap (25)'!$A:$C,3,0)</f>
        <v>#DIV/0!</v>
      </c>
      <c r="AB67" s="1" t="e">
        <f>AA67*VLOOKUP(A67,'[29]geoMap (26)'!$A:$B,2,0)*VLOOKUP(A67,'[29]geoMap (26)'!$A:$C,3,0)</f>
        <v>#DIV/0!</v>
      </c>
      <c r="AC67" s="1" t="e">
        <f>AB67/VLOOKUP(A67,'[30]geoMap (27)'!$A:$B,2,0)*VLOOKUP(A67,'[30]geoMap (27)'!$A:$C,3,0)</f>
        <v>#DIV/0!</v>
      </c>
      <c r="AD67" s="1" t="e">
        <f>AC67/VLOOKUP(A67,'[31]geoMap (28)'!$A:$B,2,0)*VLOOKUP(A67,'[31]geoMap (28)'!$A:$C,3,0)</f>
        <v>#DIV/0!</v>
      </c>
      <c r="AE67" s="1" t="e">
        <f>AD67/VLOOKUP(A67,'[32]geoMap (29)'!$A:$B,2,0)*VLOOKUP(A67,'[32]geoMap (29)'!$A:$C,3,0)</f>
        <v>#DIV/0!</v>
      </c>
      <c r="AF67" s="1" t="e">
        <f>AE67/VLOOKUP(A67,'[33]geoMap (30)'!$A:$B,2,0)*VLOOKUP(A67,'[33]geoMap (30)'!$A:$C,3,0)</f>
        <v>#DIV/0!</v>
      </c>
      <c r="AG67" s="1" t="e">
        <f>AF67/VLOOKUP(A67,'[34]geoMap (31)'!$A:$B,2,0)*VLOOKUP(A67,'[34]geoMap (31)'!$A:$C,3,0)</f>
        <v>#DIV/0!</v>
      </c>
      <c r="AH67" s="1" t="e">
        <f>AG67/VLOOKUP(A67,'[35]geoMap (32)'!$A:$B,2,0)*VLOOKUP(A67,'[35]geoMap (32)'!$A:$C,3,0)</f>
        <v>#DIV/0!</v>
      </c>
      <c r="AI67" s="1" t="e">
        <f>AH67/VLOOKUP(A67,'[36]geoMap (33)'!$A:$B,2,0)*VLOOKUP(A67,'[36]geoMap (33)'!$A:$C,3,0)</f>
        <v>#DIV/0!</v>
      </c>
      <c r="AJ67" s="1" t="e">
        <f>AI67/VLOOKUP(A67,'[37]geoMap (34)'!$A:$B,2,0)*VLOOKUP(A67,'[37]geoMap (34)'!$A:$C,3,0)</f>
        <v>#DIV/0!</v>
      </c>
      <c r="AK67" s="1" t="e">
        <f>AJ67/VLOOKUP(A67,'[38]geoMap (35)'!$A:$B,2,0)*VLOOKUP(A67,'[38]geoMap (35)'!$A:$C,3,0)</f>
        <v>#DIV/0!</v>
      </c>
      <c r="AL67" s="1" t="e">
        <f>AK67/VLOOKUP(A67,'[39]geoMap (36)'!$A:$B,2,0)*VLOOKUP(A67,'[39]geoMap (36)'!$A:$C,3,0)</f>
        <v>#DIV/0!</v>
      </c>
      <c r="AM67" s="1" t="e">
        <f>AL67/VLOOKUP(A67,'[40]geoMap (37)'!$A:$B,2,0)*VLOOKUP(A67,'[40]geoMap (37)'!$A:$C,3,0)</f>
        <v>#DIV/0!</v>
      </c>
      <c r="AN67" s="1" t="e">
        <f>AM67/VLOOKUP(A67,'[41]geoMap (38)'!$A:$B,2,0)*VLOOKUP(A67,'[41]geoMap (38)'!$A:$C,3,0)</f>
        <v>#DIV/0!</v>
      </c>
      <c r="AO67" s="1" t="e">
        <f>AN67/VLOOKUP(A67,'[42]geoMap (39)'!$A:$B,2,0)*VLOOKUP(A67,'[42]geoMap (39)'!$A:$C,3,0)</f>
        <v>#DIV/0!</v>
      </c>
      <c r="AP67" s="1" t="e">
        <f>AO67/VLOOKUP(A67,'[43]geoMap (40)'!$A:$B,2,0)*VLOOKUP(A67,'[43]geoMap (40)'!$A:$C,3,0)</f>
        <v>#DIV/0!</v>
      </c>
      <c r="AQ67" s="1" t="e">
        <f>AP67/VLOOKUP(A67,'[44]geoMap (41)'!$A:$B,2,0)*VLOOKUP(A67,'[44]geoMap (41)'!$A:$C,3,0)</f>
        <v>#DIV/0!</v>
      </c>
      <c r="AR67" s="1" t="e">
        <f>AQ67/VLOOKUP(A67,'[45]geoMap (42)'!$A:$B,2,0)*VLOOKUP(A67,'[45]geoMap (42)'!$A:$C,3,0)</f>
        <v>#DIV/0!</v>
      </c>
      <c r="AS67" s="1" t="e">
        <f>AR67/VLOOKUP(A67,'[46]geoMap (43)'!$A:$B,2,0)*VLOOKUP(A67,'[46]geoMap (43)'!$A:$C,3,0)</f>
        <v>#DIV/0!</v>
      </c>
      <c r="AT67" s="1" t="e">
        <f>AS67/VLOOKUP(A67,'[47]geoMap (44)'!$A:$B,2,0)*VLOOKUP(A67,'[47]geoMap (44)'!$A:$C,3,0)</f>
        <v>#DIV/0!</v>
      </c>
      <c r="AU67" s="1" t="e">
        <f>AT67/VLOOKUP(A67,'[48]geoMap (45)'!$A:$B,2,0)*VLOOKUP(A67,'[48]geoMap (45)'!$A:$C,3,0)</f>
        <v>#DIV/0!</v>
      </c>
      <c r="AV67" s="1" t="e">
        <f>AU67/VLOOKUP(A67,'[49]geoMap (46)'!$A:$B,2,0)*VLOOKUP(A67,'[49]geoMap (46)'!$A:$C,3,0)</f>
        <v>#DIV/0!</v>
      </c>
      <c r="AW67" s="1" t="e">
        <f>AV67/VLOOKUP(A67,'[50]geoMap (47)'!$A:$B,2,0)*VLOOKUP(A67,'[50]geoMap (47)'!$A:$C,3,0)</f>
        <v>#DIV/0!</v>
      </c>
      <c r="AX67" s="4" t="e">
        <f>AW67/VLOOKUP(A67,'[51]geoMap (48)'!$A:$B,2,0)*VLOOKUP(A67,'[51]geoMap (48)'!$A:$C,3,0)</f>
        <v>#DIV/0!</v>
      </c>
      <c r="AY67" s="1" t="e">
        <f>AX67/VLOOKUP(A67,'[52]geoMap (49)'!$A:$B,2,0)*VLOOKUP(A67,'[52]geoMap (49)'!$A:$C,3,0)</f>
        <v>#DIV/0!</v>
      </c>
      <c r="AZ67" s="4" t="e">
        <f>AY67/VLOOKUP(A67,'[53]geoMap (50)'!$A:$B,2,0)*VLOOKUP(A67,'[53]geoMap (50)'!$A:$C,3,0)</f>
        <v>#DIV/0!</v>
      </c>
      <c r="BA67" s="1" t="e">
        <f>AZ67/VLOOKUP(A67,'[54]geoMap (51)'!$A:$B,2,0)*VLOOKUP(A67,'[54]geoMap (51)'!$A:$C,3,0)</f>
        <v>#DIV/0!</v>
      </c>
      <c r="BB67" s="4" t="e">
        <f>BA67/VLOOKUP(A67,'[55]geoMap (52)'!$A:$B,2,0)*VLOOKUP(A67,'[55]geoMap (52)'!$A:$C,3,0)</f>
        <v>#DIV/0!</v>
      </c>
      <c r="BC67" s="1" t="e">
        <f>BB67/VLOOKUP(A67,'[56]geoMap (53)'!$A:$B,2,0)*VLOOKUP(A67,'[56]geoMap (53)'!$A:$C,3,0)</f>
        <v>#DIV/0!</v>
      </c>
      <c r="BD67" s="4" t="e">
        <f>BC67/VLOOKUP(A67,'[57]geoMap (54)'!$A:$B,2,0)*VLOOKUP(A67,'[57]geoMap (54)'!$A:$C,3,0)</f>
        <v>#DIV/0!</v>
      </c>
      <c r="BE67" s="1" t="e">
        <f>BD67/VLOOKUP(A67,'[58]geoMap (55)'!$A:$B,2,0)*VLOOKUP(A67,'[58]geoMap (55)'!$A:$C,3,0)</f>
        <v>#DIV/0!</v>
      </c>
      <c r="BF67" s="4" t="e">
        <f>BE67/VLOOKUP(A67,'[59]geoMap (56)'!$A:$B,2,0)*VLOOKUP(A67,'[59]geoMap (56)'!$A:$C,3,0)</f>
        <v>#DIV/0!</v>
      </c>
      <c r="BG67" s="1" t="e">
        <f>BF67/VLOOKUP(A67,'[60]geoMap (57)'!$A:$B,2,0)*VLOOKUP(A67,'[60]geoMap (57)'!$A:$C,3,0)</f>
        <v>#DIV/0!</v>
      </c>
      <c r="BH67" s="4" t="e">
        <f>BG67/VLOOKUP(A67,'[61]geoMap (58)'!$A:$B,2,0)*VLOOKUP(A67,'[61]geoMap (58)'!$A:$C,3,0)</f>
        <v>#DIV/0!</v>
      </c>
      <c r="BI67" s="1" t="e">
        <f>BH67/VLOOKUP(A67,'[62]geoMap (59)'!$A:$B,2,0)*VLOOKUP(A67,'[62]geoMap (59)'!$A:$C,3,0)</f>
        <v>#DIV/0!</v>
      </c>
      <c r="BJ67" s="4" t="e">
        <f>BI67/VLOOKUP(A67,'[63]geoMap (60)'!$A:$B,2,0)*VLOOKUP(A67,'[63]geoMap (60)'!$A:$C,3,0)</f>
        <v>#DIV/0!</v>
      </c>
      <c r="BK67" s="1" t="e">
        <f>BJ67/VLOOKUP(A67,'[64]geoMap (61)'!$A:$B,2,0)*VLOOKUP(A67,'[64]geoMap (61)'!$A:$C,3,0)</f>
        <v>#DIV/0!</v>
      </c>
      <c r="BL67" s="4" t="e">
        <f>BK67/VLOOKUP(A67,'[65]geoMap (62)'!$A:$B,2,0)*VLOOKUP(A67,'[65]geoMap (62)'!$A:$C,3,0)</f>
        <v>#DIV/0!</v>
      </c>
      <c r="BM67" s="1" t="e">
        <f>BL67/VLOOKUP(A67,'[66]geoMap (63)'!$A:$B,2,0)*VLOOKUP(A67,'[66]geoMap (63)'!$A:$C,3,0)</f>
        <v>#DIV/0!</v>
      </c>
      <c r="BN67" s="4" t="e">
        <f>BM67/VLOOKUP(A67,'[67]geoMap (64)'!$A:$B,2,0)*VLOOKUP(A67,'[67]geoMap (64)'!$A:$C,3,0)</f>
        <v>#DIV/0!</v>
      </c>
      <c r="BO67" s="1" t="e">
        <f>BN67/VLOOKUP(A67,'[68]geoMap (65)'!$A:$B,2,0)*VLOOKUP(A67,'[68]geoMap (65)'!$A:$C,3,0)</f>
        <v>#DIV/0!</v>
      </c>
      <c r="BP67" s="4" t="e">
        <f>BO67/VLOOKUP(A67,'[69]geoMap (66)'!$A:$B,2,0)*VLOOKUP(A67,'[69]geoMap (66)'!$A:$C,3,0)</f>
        <v>#DIV/0!</v>
      </c>
    </row>
    <row r="68" spans="1:68" x14ac:dyDescent="0.2">
      <c r="A68" s="1" t="s">
        <v>162</v>
      </c>
      <c r="B68" s="1">
        <f>VLOOKUP(A68,[3]geoMap!$A:$B,2,0)*Notes!$C$6</f>
        <v>3000</v>
      </c>
      <c r="C68" s="1">
        <f>B68/VLOOKUP(A68,'[4]geoMap (1)'!$A:$B,2,0)*VLOOKUP(A68,'[4]geoMap (1)'!$A:$C,3,0)</f>
        <v>4894.7368421052633</v>
      </c>
      <c r="D68" s="1">
        <f>C68/VLOOKUP(A68,'[5]geoMap (2)'!$A:$B,2,0)*VLOOKUP(A68,'[5]geoMap (2)'!$A:$C,3,0)</f>
        <v>3845.8646616541355</v>
      </c>
      <c r="E68" s="1">
        <f>D68/VLOOKUP(A68,'[6]geoMap (3)'!$A:$B,2,0)*VLOOKUP(A68,'[6]geoMap (3)'!$A:$C,3,0)</f>
        <v>3695.0464396284833</v>
      </c>
      <c r="F68" s="1">
        <f>E68/VLOOKUP(A68,'[7]geoMap (4)'!$A:$B,2,0)*VLOOKUP(A68,'[7]geoMap (4)'!$A:$C,3,0)</f>
        <v>2903.2507739938078</v>
      </c>
      <c r="G68" s="1">
        <f>F68/VLOOKUP(A68,'[8]geoMap (5)'!$A:$B,2,0)*VLOOKUP(A68,'[8]geoMap (5)'!$A:$C,3,0)</f>
        <v>2679.9237913788998</v>
      </c>
      <c r="H68" s="1">
        <f>G68/VLOOKUP(A68,'[9]geoMap (6)'!$A:$B,2,0)*VLOOKUP(A68,'[9]geoMap (6)'!$A:$C,3,0)</f>
        <v>941.59484561961347</v>
      </c>
      <c r="I68" s="1">
        <f>H68/VLOOKUP(A68,'[10]geoMap (7)'!$A:$B,2,0)*VLOOKUP(A68,'[10]geoMap (7)'!$A:$C,3,0)</f>
        <v>1248.16060930972</v>
      </c>
      <c r="J68" s="1">
        <f>I68/VLOOKUP(A68,'[11]geoMap (8)'!$A:$B,2,0)*VLOOKUP(A68,'[11]geoMap (8)'!$A:$C,3,0)</f>
        <v>1352.1739934188633</v>
      </c>
      <c r="K68" s="1">
        <f>J68/VLOOKUP(A68,'[12]geoMap (9)'!$A:$B,2,0)*VLOOKUP(A68,'[12]geoMap (9)'!$A:$C,3,0)</f>
        <v>728.09368876400333</v>
      </c>
      <c r="L68" s="1">
        <f>K68/VLOOKUP(A68,'[13]geoMap (10)'!$A:$B,2,0)*VLOOKUP(A68,'[13]geoMap (10)'!$A:$C,3,0)</f>
        <v>549.26365994477442</v>
      </c>
      <c r="M68" s="1">
        <f>L68/VLOOKUP(A68,'[14]geoMap (11)'!$A:$B,2,0)*VLOOKUP(A68,'[14]geoMap (11)'!$A:$C,3,0)</f>
        <v>671.32225104361316</v>
      </c>
      <c r="N68" s="1">
        <f>M68/VLOOKUP(A68,'[15]geoMap (12)'!$A:$B,2,0)*VLOOKUP(A68,'[15]geoMap (12)'!$A:$C,3,0)</f>
        <v>486.12990592813372</v>
      </c>
      <c r="O68" s="1">
        <f>N68/VLOOKUP(A68,'[16]geoMap (13)'!$A:$B,2,0)*VLOOKUP(A68,'[16]geoMap (13)'!$A:$C,3,0)</f>
        <v>337.81908717039801</v>
      </c>
      <c r="P68" s="1">
        <f>O68/VLOOKUP(A68,'[17]geoMap (14)'!$A:$B,2,0)*VLOOKUP(A68,'[17]geoMap (14)'!$A:$C,3,0)</f>
        <v>365.97067776793119</v>
      </c>
      <c r="Q68" s="1">
        <f>P68/VLOOKUP(A68,'[18]geoMap (15)'!$A:$B,2,0)*VLOOKUP(A68,'[18]geoMap (15)'!$A:$C,3,0)</f>
        <v>233.98125299916913</v>
      </c>
      <c r="R68" s="1">
        <f>Q68/VLOOKUP(A68,'[19]geoMap (16)'!$A:$B,2,0)*VLOOKUP(A68,'[19]geoMap (16)'!$A:$C,3,0)</f>
        <v>143.40786474142624</v>
      </c>
      <c r="S68" s="1">
        <f>R68/VLOOKUP(A68,'[20]geoMap (17)'!$A:$B,2,0)*VLOOKUP(A68,'[20]geoMap (17)'!$A:$C,3,0)</f>
        <v>198.03943226196955</v>
      </c>
      <c r="T68" s="1">
        <f>S68/VLOOKUP(A68,'[21]geoMap (18)'!$A:$B,2,0)*VLOOKUP(A68,'[21]geoMap (18)'!$A:$C,3,0)</f>
        <v>73.247461247577789</v>
      </c>
      <c r="U68" s="1">
        <f>T68/VLOOKUP(A68,'[22]geoMap (19)'!$A:$B,2,0)*VLOOKUP(A68,'[22]geoMap (19)'!$A:$C,3,0)</f>
        <v>93.224041587826292</v>
      </c>
      <c r="V68" s="1">
        <f>U68/VLOOKUP(A68,'[23]geoMap (20)'!$A:$B,2,0)*VLOOKUP(A68,'[23]geoMap (20)'!$A:$C,3,0)</f>
        <v>38.077425437281157</v>
      </c>
      <c r="W68" s="1">
        <f>V68/VLOOKUP(A68,'[24]geoMap (21)'!$A:$B,2,0)*VLOOKUP(A68,'[24]geoMap (21)'!$A:$C,3,0)</f>
        <v>36.584193067191698</v>
      </c>
      <c r="X68" s="1">
        <f>W68/VLOOKUP(A68,'[25]geoMap (22)'!$A:$B,2,0)*VLOOKUP(A68,'[25]geoMap (22)'!$A:$C,3,0)</f>
        <v>71.016374777489773</v>
      </c>
      <c r="Y68" s="1">
        <f>X68/VLOOKUP(A68,'[26]geoMap (23)'!$A:$B,2,0)*VLOOKUP(A68,'[26]geoMap (23)'!$A:$C,3,0)</f>
        <v>58.104306636127987</v>
      </c>
      <c r="Z68" s="1">
        <f>Y68/VLOOKUP(A68,'[27]geoMap (24)'!$A:$B,2,0)*VLOOKUP(A68,'[27]geoMap (24)'!$A:$C,3,0)</f>
        <v>40.377569018326227</v>
      </c>
      <c r="AA68" s="1">
        <f>Z68/VLOOKUP(A68,'[28]geoMap (25)'!$A:$B,2,0)*VLOOKUP(A68,'[28]geoMap (25)'!$A:$C,3,0)</f>
        <v>38.794134939176175</v>
      </c>
      <c r="AB68" s="1">
        <f>AA68*VLOOKUP(A68,'[29]geoMap (26)'!$A:$B,2,0)*VLOOKUP(A68,'[29]geoMap (26)'!$A:$C,3,0)</f>
        <v>9.663619013348784</v>
      </c>
      <c r="AC68" s="1">
        <f>AB68/VLOOKUP(A68,'[30]geoMap (27)'!$A:$B,2,0)*VLOOKUP(A68,'[30]geoMap (27)'!$A:$C,3,0)</f>
        <v>8.9202637046296456</v>
      </c>
      <c r="AD68" s="1">
        <f>AC68/VLOOKUP(A68,'[31]geoMap (28)'!$A:$B,2,0)*VLOOKUP(A68,'[31]geoMap (28)'!$A:$C,3,0)</f>
        <v>8.9202637046296456</v>
      </c>
      <c r="AE68" s="1">
        <f>AD68/VLOOKUP(A68,'[32]geoMap (29)'!$A:$B,2,0)*VLOOKUP(A68,'[32]geoMap (29)'!$A:$C,3,0)</f>
        <v>7.2983975765151641</v>
      </c>
      <c r="AF68" s="1">
        <f>AE68/VLOOKUP(A68,'[33]geoMap (30)'!$A:$B,2,0)*VLOOKUP(A68,'[33]geoMap (30)'!$A:$C,3,0)</f>
        <v>4.8655983843434427</v>
      </c>
      <c r="AG68" s="1">
        <f>AF68/VLOOKUP(A68,'[34]geoMap (31)'!$A:$B,2,0)*VLOOKUP(A68,'[34]geoMap (31)'!$A:$C,3,0)</f>
        <v>9.0361112852092518</v>
      </c>
      <c r="AH68" s="1">
        <f>AG68/VLOOKUP(A68,'[35]geoMap (32)'!$A:$B,2,0)*VLOOKUP(A68,'[35]geoMap (32)'!$A:$C,3,0)</f>
        <v>4.2522876636278832</v>
      </c>
      <c r="AI68" s="1">
        <f>AH68/VLOOKUP(A68,'[36]geoMap (33)'!$A:$B,2,0)*VLOOKUP(A68,'[36]geoMap (33)'!$A:$C,3,0)</f>
        <v>3.9251886125795843</v>
      </c>
      <c r="AJ68" s="1">
        <f>AI68/VLOOKUP(A68,'[37]geoMap (34)'!$A:$B,2,0)*VLOOKUP(A68,'[37]geoMap (34)'!$A:$C,3,0)</f>
        <v>3.6232510269965394</v>
      </c>
      <c r="AK68" s="1">
        <f>AJ68/VLOOKUP(A68,'[38]geoMap (35)'!$A:$B,2,0)*VLOOKUP(A68,'[38]geoMap (35)'!$A:$C,3,0)</f>
        <v>5.0035371325190301</v>
      </c>
      <c r="AL68" s="1">
        <f>AK68/VLOOKUP(A68,'[39]geoMap (36)'!$A:$B,2,0)*VLOOKUP(A68,'[39]geoMap (36)'!$A:$C,3,0)</f>
        <v>0.61841470177201496</v>
      </c>
      <c r="AM68" s="1">
        <f>AL68/VLOOKUP(A68,'[40]geoMap (37)'!$A:$B,2,0)*VLOOKUP(A68,'[40]geoMap (37)'!$A:$C,3,0)</f>
        <v>2.0703448711497892</v>
      </c>
      <c r="AN68" s="1">
        <f>AM68/VLOOKUP(A68,'[41]geoMap (38)'!$A:$B,2,0)*VLOOKUP(A68,'[41]geoMap (38)'!$A:$C,3,0)</f>
        <v>0.69011495704992976</v>
      </c>
      <c r="AO68" s="1">
        <f>AN68/VLOOKUP(A68,'[42]geoMap (39)'!$A:$B,2,0)*VLOOKUP(A68,'[42]geoMap (39)'!$A:$C,3,0)</f>
        <v>2.3103848562106344</v>
      </c>
      <c r="AP68" s="1">
        <f>AO68/VLOOKUP(A68,'[43]geoMap (40)'!$A:$B,2,0)*VLOOKUP(A68,'[43]geoMap (40)'!$A:$C,3,0)</f>
        <v>2.2197815285161</v>
      </c>
      <c r="AQ68" s="1">
        <f>AP68/VLOOKUP(A68,'[44]geoMap (41)'!$A:$B,2,0)*VLOOKUP(A68,'[44]geoMap (41)'!$A:$C,3,0)</f>
        <v>1.8161848869677182</v>
      </c>
      <c r="AR68" s="1">
        <f>AQ68/VLOOKUP(A68,'[45]geoMap (42)'!$A:$B,2,0)*VLOOKUP(A68,'[45]geoMap (42)'!$A:$C,3,0)</f>
        <v>2.4075008966781377</v>
      </c>
      <c r="AS68" s="1">
        <f>AR68/VLOOKUP(A68,'[46]geoMap (43)'!$A:$B,2,0)*VLOOKUP(A68,'[46]geoMap (43)'!$A:$C,3,0)</f>
        <v>1.1857840237369932</v>
      </c>
      <c r="AT68" s="1">
        <f>AS68/VLOOKUP(A68,'[47]geoMap (44)'!$A:$B,2,0)*VLOOKUP(A68,'[47]geoMap (44)'!$A:$C,3,0)</f>
        <v>0.63849908970453473</v>
      </c>
      <c r="AU68" s="1">
        <f>AT68/VLOOKUP(A68,'[48]geoMap (45)'!$A:$B,2,0)*VLOOKUP(A68,'[48]geoMap (45)'!$A:$C,3,0)</f>
        <v>1.6418548020973749</v>
      </c>
      <c r="AV68" s="1">
        <f>AU68/VLOOKUP(A68,'[49]geoMap (46)'!$A:$B,2,0)*VLOOKUP(A68,'[49]geoMap (46)'!$A:$C,3,0)</f>
        <v>0.38512643505987798</v>
      </c>
      <c r="AW68" s="1">
        <f>AV68/VLOOKUP(A68,'[50]geoMap (47)'!$A:$B,2,0)*VLOOKUP(A68,'[50]geoMap (47)'!$A:$C,3,0)</f>
        <v>3.1160229745753765</v>
      </c>
      <c r="AX68" s="4">
        <f>AW68/VLOOKUP(A68,'[51]geoMap (48)'!$A:$B,2,0)*VLOOKUP(A68,'[51]geoMap (48)'!$A:$C,3,0)</f>
        <v>0.12983429060730736</v>
      </c>
      <c r="AY68" s="1">
        <f>AX68/VLOOKUP(A68,'[52]geoMap (49)'!$A:$B,2,0)*VLOOKUP(A68,'[52]geoMap (49)'!$A:$C,3,0)</f>
        <v>0.73572764677474178</v>
      </c>
      <c r="AZ68" s="4">
        <f>AY68/VLOOKUP(A68,'[53]geoMap (50)'!$A:$B,2,0)*VLOOKUP(A68,'[53]geoMap (50)'!$A:$C,3,0)</f>
        <v>0.86368028099643601</v>
      </c>
      <c r="BA68" s="1">
        <f>AZ68/VLOOKUP(A68,'[54]geoMap (51)'!$A:$B,2,0)*VLOOKUP(A68,'[54]geoMap (51)'!$A:$C,3,0)</f>
        <v>0.24360213053745627</v>
      </c>
      <c r="BB68" s="4">
        <f>BA68/VLOOKUP(A68,'[55]geoMap (52)'!$A:$B,2,0)*VLOOKUP(A68,'[55]geoMap (52)'!$A:$C,3,0)</f>
        <v>0.12549200664050777</v>
      </c>
      <c r="BC68" s="1">
        <f>BB68/VLOOKUP(A68,'[56]geoMap (53)'!$A:$B,2,0)*VLOOKUP(A68,'[56]geoMap (53)'!$A:$C,3,0)</f>
        <v>0.11128536437931821</v>
      </c>
      <c r="BD68" s="4">
        <f>BC68/VLOOKUP(A68,'[57]geoMap (54)'!$A:$B,2,0)*VLOOKUP(A68,'[57]geoMap (54)'!$A:$C,3,0)</f>
        <v>0.15367978890477277</v>
      </c>
      <c r="BE68" s="1">
        <f>BD68/VLOOKUP(A68,'[58]geoMap (55)'!$A:$B,2,0)*VLOOKUP(A68,'[58]geoMap (55)'!$A:$C,3,0)</f>
        <v>0.22114896452150229</v>
      </c>
      <c r="BF68" s="4" t="e">
        <f>BE68/VLOOKUP(A68,'[59]geoMap (56)'!$A:$B,2,0)*VLOOKUP(A68,'[59]geoMap (56)'!$A:$C,3,0)</f>
        <v>#REF!</v>
      </c>
      <c r="BG68" s="1" t="e">
        <f>BF68/VLOOKUP(A68,'[60]geoMap (57)'!$A:$B,2,0)*VLOOKUP(A68,'[60]geoMap (57)'!$A:$C,3,0)</f>
        <v>#REF!</v>
      </c>
      <c r="BH68" s="4" t="e">
        <f>BG68/VLOOKUP(A68,'[61]geoMap (58)'!$A:$B,2,0)*VLOOKUP(A68,'[61]geoMap (58)'!$A:$C,3,0)</f>
        <v>#REF!</v>
      </c>
      <c r="BI68" s="1" t="e">
        <f>BH68/VLOOKUP(A68,'[62]geoMap (59)'!$A:$B,2,0)*VLOOKUP(A68,'[62]geoMap (59)'!$A:$C,3,0)</f>
        <v>#REF!</v>
      </c>
      <c r="BJ68" s="4" t="e">
        <f>BI68/VLOOKUP(A68,'[63]geoMap (60)'!$A:$B,2,0)*VLOOKUP(A68,'[63]geoMap (60)'!$A:$C,3,0)</f>
        <v>#REF!</v>
      </c>
      <c r="BK68" s="1" t="e">
        <f>BJ68/VLOOKUP(A68,'[64]geoMap (61)'!$A:$B,2,0)*VLOOKUP(A68,'[64]geoMap (61)'!$A:$C,3,0)</f>
        <v>#REF!</v>
      </c>
      <c r="BL68" s="4" t="e">
        <f>BK68/VLOOKUP(A68,'[65]geoMap (62)'!$A:$B,2,0)*VLOOKUP(A68,'[65]geoMap (62)'!$A:$C,3,0)</f>
        <v>#REF!</v>
      </c>
      <c r="BM68" s="1" t="e">
        <f>BL68/VLOOKUP(A68,'[66]geoMap (63)'!$A:$B,2,0)*VLOOKUP(A68,'[66]geoMap (63)'!$A:$C,3,0)</f>
        <v>#REF!</v>
      </c>
      <c r="BN68" s="4" t="e">
        <f>BM68/VLOOKUP(A68,'[67]geoMap (64)'!$A:$B,2,0)*VLOOKUP(A68,'[67]geoMap (64)'!$A:$C,3,0)</f>
        <v>#REF!</v>
      </c>
      <c r="BO68" s="1" t="e">
        <f>BN68/VLOOKUP(A68,'[68]geoMap (65)'!$A:$B,2,0)*VLOOKUP(A68,'[68]geoMap (65)'!$A:$C,3,0)</f>
        <v>#REF!</v>
      </c>
      <c r="BP68" s="4" t="e">
        <f>BO68/VLOOKUP(A68,'[69]geoMap (66)'!$A:$B,2,0)*VLOOKUP(A68,'[69]geoMap (66)'!$A:$C,3,0)</f>
        <v>#REF!</v>
      </c>
    </row>
    <row r="69" spans="1:68" x14ac:dyDescent="0.2">
      <c r="A69" s="1" t="s">
        <v>159</v>
      </c>
      <c r="B69" s="1">
        <f>VLOOKUP(A69,[3]geoMap!$A:$B,2,0)*Notes!$C$6</f>
        <v>3000</v>
      </c>
      <c r="C69" s="1">
        <f>B69/VLOOKUP(A69,'[4]geoMap (1)'!$A:$B,2,0)*VLOOKUP(A69,'[4]geoMap (1)'!$A:$C,3,0)</f>
        <v>2660.3773584905657</v>
      </c>
      <c r="D69" s="1">
        <f>C69/VLOOKUP(A69,'[5]geoMap (2)'!$A:$B,2,0)*VLOOKUP(A69,'[5]geoMap (2)'!$A:$C,3,0)</f>
        <v>2556.0488346281909</v>
      </c>
      <c r="E69" s="1">
        <f>D69/VLOOKUP(A69,'[6]geoMap (3)'!$A:$B,2,0)*VLOOKUP(A69,'[6]geoMap (3)'!$A:$C,3,0)</f>
        <v>3124.0596867677891</v>
      </c>
      <c r="F69" s="1">
        <f>E69/VLOOKUP(A69,'[7]geoMap (4)'!$A:$B,2,0)*VLOOKUP(A69,'[7]geoMap (4)'!$A:$C,3,0)</f>
        <v>1997.3496358023572</v>
      </c>
      <c r="G69" s="1">
        <f>F69/VLOOKUP(A69,'[8]geoMap (5)'!$A:$B,2,0)*VLOOKUP(A69,'[8]geoMap (5)'!$A:$C,3,0)</f>
        <v>1276.9940294474086</v>
      </c>
      <c r="H69" s="1">
        <f>G69/VLOOKUP(A69,'[9]geoMap (6)'!$A:$B,2,0)*VLOOKUP(A69,'[9]geoMap (6)'!$A:$C,3,0)</f>
        <v>547.28315547746081</v>
      </c>
      <c r="I69" s="1">
        <f>H69/VLOOKUP(A69,'[10]geoMap (7)'!$A:$B,2,0)*VLOOKUP(A69,'[10]geoMap (7)'!$A:$C,3,0)</f>
        <v>617.14909021926439</v>
      </c>
      <c r="J69" s="1">
        <f>I69/VLOOKUP(A69,'[11]geoMap (8)'!$A:$B,2,0)*VLOOKUP(A69,'[11]geoMap (8)'!$A:$C,3,0)</f>
        <v>592.94716511262652</v>
      </c>
      <c r="K69" s="1">
        <f>J69/VLOOKUP(A69,'[12]geoMap (9)'!$A:$B,2,0)*VLOOKUP(A69,'[12]geoMap (9)'!$A:$C,3,0)</f>
        <v>525.82107094893297</v>
      </c>
      <c r="L69" s="1">
        <f>K69/VLOOKUP(A69,'[13]geoMap (10)'!$A:$B,2,0)*VLOOKUP(A69,'[13]geoMap (10)'!$A:$C,3,0)</f>
        <v>308.81554960492889</v>
      </c>
      <c r="M69" s="1">
        <f>L69/VLOOKUP(A69,'[14]geoMap (11)'!$A:$B,2,0)*VLOOKUP(A69,'[14]geoMap (11)'!$A:$C,3,0)</f>
        <v>138.74321793844632</v>
      </c>
      <c r="N69" s="1">
        <f>M69/VLOOKUP(A69,'[15]geoMap (12)'!$A:$B,2,0)*VLOOKUP(A69,'[15]geoMap (12)'!$A:$C,3,0)</f>
        <v>183.91542843003347</v>
      </c>
      <c r="O69" s="1">
        <f>N69/VLOOKUP(A69,'[16]geoMap (13)'!$A:$B,2,0)*VLOOKUP(A69,'[16]geoMap (13)'!$A:$C,3,0)</f>
        <v>176.7030586876792</v>
      </c>
      <c r="P69" s="1">
        <f>O69/VLOOKUP(A69,'[17]geoMap (14)'!$A:$B,2,0)*VLOOKUP(A69,'[17]geoMap (14)'!$A:$C,3,0)</f>
        <v>626.49266261995353</v>
      </c>
      <c r="Q69" s="1">
        <f>P69/VLOOKUP(A69,'[18]geoMap (15)'!$A:$B,2,0)*VLOOKUP(A69,'[18]geoMap (15)'!$A:$C,3,0)</f>
        <v>110.55752869763886</v>
      </c>
      <c r="R69" s="1">
        <f>Q69/VLOOKUP(A69,'[19]geoMap (16)'!$A:$B,2,0)*VLOOKUP(A69,'[19]geoMap (16)'!$A:$C,3,0)</f>
        <v>62.188609892421859</v>
      </c>
      <c r="S69" s="1">
        <f>R69/VLOOKUP(A69,'[20]geoMap (17)'!$A:$B,2,0)*VLOOKUP(A69,'[20]geoMap (17)'!$A:$C,3,0)</f>
        <v>38.115599611484363</v>
      </c>
      <c r="T69" s="1">
        <f>S69/VLOOKUP(A69,'[21]geoMap (18)'!$A:$B,2,0)*VLOOKUP(A69,'[21]geoMap (18)'!$A:$C,3,0)</f>
        <v>28.753873391119786</v>
      </c>
      <c r="U69" s="1">
        <f>T69/VLOOKUP(A69,'[22]geoMap (19)'!$A:$B,2,0)*VLOOKUP(A69,'[22]geoMap (19)'!$A:$C,3,0)</f>
        <v>48.959297936230989</v>
      </c>
      <c r="V69" s="1">
        <f>U69/VLOOKUP(A69,'[23]geoMap (20)'!$A:$B,2,0)*VLOOKUP(A69,'[23]geoMap (20)'!$A:$C,3,0)</f>
        <v>132.37143516092081</v>
      </c>
      <c r="W69" s="1">
        <f>V69/VLOOKUP(A69,'[24]geoMap (21)'!$A:$B,2,0)*VLOOKUP(A69,'[24]geoMap (21)'!$A:$C,3,0)</f>
        <v>81.130879614757916</v>
      </c>
      <c r="X69" s="1" t="e">
        <f>W69/VLOOKUP(A69,'[25]geoMap (22)'!$A:$B,2,0)*VLOOKUP(A69,'[25]geoMap (22)'!$A:$C,3,0)</f>
        <v>#REF!</v>
      </c>
      <c r="Y69" s="1" t="e">
        <f>X69/VLOOKUP(A69,'[26]geoMap (23)'!$A:$B,2,0)*VLOOKUP(A69,'[26]geoMap (23)'!$A:$C,3,0)</f>
        <v>#REF!</v>
      </c>
      <c r="Z69" s="1" t="e">
        <f>Y69/VLOOKUP(A69,'[27]geoMap (24)'!$A:$B,2,0)*VLOOKUP(A69,'[27]geoMap (24)'!$A:$C,3,0)</f>
        <v>#REF!</v>
      </c>
      <c r="AA69" s="1" t="e">
        <f>Z69/VLOOKUP(A69,'[28]geoMap (25)'!$A:$B,2,0)*VLOOKUP(A69,'[28]geoMap (25)'!$A:$C,3,0)</f>
        <v>#REF!</v>
      </c>
      <c r="AB69" s="1" t="e">
        <f>AA69*VLOOKUP(A69,'[29]geoMap (26)'!$A:$B,2,0)*VLOOKUP(A69,'[29]geoMap (26)'!$A:$C,3,0)</f>
        <v>#REF!</v>
      </c>
      <c r="AC69" s="1" t="e">
        <f>AB69/VLOOKUP(A69,'[30]geoMap (27)'!$A:$B,2,0)*VLOOKUP(A69,'[30]geoMap (27)'!$A:$C,3,0)</f>
        <v>#REF!</v>
      </c>
      <c r="AD69" s="1" t="e">
        <f>AC69/VLOOKUP(A69,'[31]geoMap (28)'!$A:$B,2,0)*VLOOKUP(A69,'[31]geoMap (28)'!$A:$C,3,0)</f>
        <v>#REF!</v>
      </c>
      <c r="AE69" s="1" t="e">
        <f>AD69/VLOOKUP(A69,'[32]geoMap (29)'!$A:$B,2,0)*VLOOKUP(A69,'[32]geoMap (29)'!$A:$C,3,0)</f>
        <v>#REF!</v>
      </c>
      <c r="AF69" s="1" t="e">
        <f>AE69/VLOOKUP(A69,'[33]geoMap (30)'!$A:$B,2,0)*VLOOKUP(A69,'[33]geoMap (30)'!$A:$C,3,0)</f>
        <v>#REF!</v>
      </c>
      <c r="AG69" s="1" t="e">
        <f>AF69/VLOOKUP(A69,'[34]geoMap (31)'!$A:$B,2,0)*VLOOKUP(A69,'[34]geoMap (31)'!$A:$C,3,0)</f>
        <v>#REF!</v>
      </c>
      <c r="AH69" s="1" t="e">
        <f>AG69/VLOOKUP(A69,'[35]geoMap (32)'!$A:$B,2,0)*VLOOKUP(A69,'[35]geoMap (32)'!$A:$C,3,0)</f>
        <v>#REF!</v>
      </c>
      <c r="AI69" s="1" t="e">
        <f>AH69/VLOOKUP(A69,'[36]geoMap (33)'!$A:$B,2,0)*VLOOKUP(A69,'[36]geoMap (33)'!$A:$C,3,0)</f>
        <v>#REF!</v>
      </c>
      <c r="AJ69" s="1" t="e">
        <f>AI69/VLOOKUP(A69,'[37]geoMap (34)'!$A:$B,2,0)*VLOOKUP(A69,'[37]geoMap (34)'!$A:$C,3,0)</f>
        <v>#REF!</v>
      </c>
      <c r="AK69" s="1" t="e">
        <f>AJ69/VLOOKUP(A69,'[38]geoMap (35)'!$A:$B,2,0)*VLOOKUP(A69,'[38]geoMap (35)'!$A:$C,3,0)</f>
        <v>#REF!</v>
      </c>
      <c r="AL69" s="1" t="e">
        <f>AK69/VLOOKUP(A69,'[39]geoMap (36)'!$A:$B,2,0)*VLOOKUP(A69,'[39]geoMap (36)'!$A:$C,3,0)</f>
        <v>#REF!</v>
      </c>
      <c r="AM69" s="1" t="e">
        <f>AL69/VLOOKUP(A69,'[40]geoMap (37)'!$A:$B,2,0)*VLOOKUP(A69,'[40]geoMap (37)'!$A:$C,3,0)</f>
        <v>#REF!</v>
      </c>
      <c r="AN69" s="1" t="e">
        <f>AM69/VLOOKUP(A69,'[41]geoMap (38)'!$A:$B,2,0)*VLOOKUP(A69,'[41]geoMap (38)'!$A:$C,3,0)</f>
        <v>#REF!</v>
      </c>
      <c r="AO69" s="1" t="e">
        <f>AN69/VLOOKUP(A69,'[42]geoMap (39)'!$A:$B,2,0)*VLOOKUP(A69,'[42]geoMap (39)'!$A:$C,3,0)</f>
        <v>#REF!</v>
      </c>
      <c r="AP69" s="1" t="e">
        <f>AO69/VLOOKUP(A69,'[43]geoMap (40)'!$A:$B,2,0)*VLOOKUP(A69,'[43]geoMap (40)'!$A:$C,3,0)</f>
        <v>#REF!</v>
      </c>
      <c r="AQ69" s="1" t="e">
        <f>AP69/VLOOKUP(A69,'[44]geoMap (41)'!$A:$B,2,0)*VLOOKUP(A69,'[44]geoMap (41)'!$A:$C,3,0)</f>
        <v>#REF!</v>
      </c>
      <c r="AR69" s="1" t="e">
        <f>AQ69/VLOOKUP(A69,'[45]geoMap (42)'!$A:$B,2,0)*VLOOKUP(A69,'[45]geoMap (42)'!$A:$C,3,0)</f>
        <v>#REF!</v>
      </c>
      <c r="AS69" s="1" t="e">
        <f>AR69/VLOOKUP(A69,'[46]geoMap (43)'!$A:$B,2,0)*VLOOKUP(A69,'[46]geoMap (43)'!$A:$C,3,0)</f>
        <v>#REF!</v>
      </c>
      <c r="AT69" s="1" t="e">
        <f>AS69/VLOOKUP(A69,'[47]geoMap (44)'!$A:$B,2,0)*VLOOKUP(A69,'[47]geoMap (44)'!$A:$C,3,0)</f>
        <v>#REF!</v>
      </c>
      <c r="AU69" s="1" t="e">
        <f>AT69/VLOOKUP(A69,'[48]geoMap (45)'!$A:$B,2,0)*VLOOKUP(A69,'[48]geoMap (45)'!$A:$C,3,0)</f>
        <v>#REF!</v>
      </c>
      <c r="AV69" s="1" t="e">
        <f>AU69/VLOOKUP(A69,'[49]geoMap (46)'!$A:$B,2,0)*VLOOKUP(A69,'[49]geoMap (46)'!$A:$C,3,0)</f>
        <v>#REF!</v>
      </c>
      <c r="AW69" s="1" t="e">
        <f>AV69/VLOOKUP(A69,'[50]geoMap (47)'!$A:$B,2,0)*VLOOKUP(A69,'[50]geoMap (47)'!$A:$C,3,0)</f>
        <v>#REF!</v>
      </c>
      <c r="AX69" s="4" t="e">
        <f>AW69/VLOOKUP(A69,'[51]geoMap (48)'!$A:$B,2,0)*VLOOKUP(A69,'[51]geoMap (48)'!$A:$C,3,0)</f>
        <v>#REF!</v>
      </c>
      <c r="AY69" s="1" t="e">
        <f>AX69/VLOOKUP(A69,'[52]geoMap (49)'!$A:$B,2,0)*VLOOKUP(A69,'[52]geoMap (49)'!$A:$C,3,0)</f>
        <v>#REF!</v>
      </c>
      <c r="AZ69" s="4" t="e">
        <f>AY69/VLOOKUP(A69,'[53]geoMap (50)'!$A:$B,2,0)*VLOOKUP(A69,'[53]geoMap (50)'!$A:$C,3,0)</f>
        <v>#REF!</v>
      </c>
      <c r="BA69" s="1" t="e">
        <f>AZ69/VLOOKUP(A69,'[54]geoMap (51)'!$A:$B,2,0)*VLOOKUP(A69,'[54]geoMap (51)'!$A:$C,3,0)</f>
        <v>#REF!</v>
      </c>
      <c r="BB69" s="4" t="e">
        <f>BA69/VLOOKUP(A69,'[55]geoMap (52)'!$A:$B,2,0)*VLOOKUP(A69,'[55]geoMap (52)'!$A:$C,3,0)</f>
        <v>#REF!</v>
      </c>
      <c r="BC69" s="1" t="e">
        <f>BB69/VLOOKUP(A69,'[56]geoMap (53)'!$A:$B,2,0)*VLOOKUP(A69,'[56]geoMap (53)'!$A:$C,3,0)</f>
        <v>#REF!</v>
      </c>
      <c r="BD69" s="4" t="e">
        <f>BC69/VLOOKUP(A69,'[57]geoMap (54)'!$A:$B,2,0)*VLOOKUP(A69,'[57]geoMap (54)'!$A:$C,3,0)</f>
        <v>#REF!</v>
      </c>
      <c r="BE69" s="1" t="e">
        <f>BD69/VLOOKUP(A69,'[58]geoMap (55)'!$A:$B,2,0)*VLOOKUP(A69,'[58]geoMap (55)'!$A:$C,3,0)</f>
        <v>#REF!</v>
      </c>
      <c r="BF69" s="4" t="e">
        <f>BE69/VLOOKUP(A69,'[59]geoMap (56)'!$A:$B,2,0)*VLOOKUP(A69,'[59]geoMap (56)'!$A:$C,3,0)</f>
        <v>#REF!</v>
      </c>
      <c r="BG69" s="1" t="e">
        <f>BF69/VLOOKUP(A69,'[60]geoMap (57)'!$A:$B,2,0)*VLOOKUP(A69,'[60]geoMap (57)'!$A:$C,3,0)</f>
        <v>#REF!</v>
      </c>
      <c r="BH69" s="4" t="e">
        <f>BG69/VLOOKUP(A69,'[61]geoMap (58)'!$A:$B,2,0)*VLOOKUP(A69,'[61]geoMap (58)'!$A:$C,3,0)</f>
        <v>#REF!</v>
      </c>
      <c r="BI69" s="1" t="e">
        <f>BH69/VLOOKUP(A69,'[62]geoMap (59)'!$A:$B,2,0)*VLOOKUP(A69,'[62]geoMap (59)'!$A:$C,3,0)</f>
        <v>#REF!</v>
      </c>
      <c r="BJ69" s="4" t="e">
        <f>BI69/VLOOKUP(A69,'[63]geoMap (60)'!$A:$B,2,0)*VLOOKUP(A69,'[63]geoMap (60)'!$A:$C,3,0)</f>
        <v>#REF!</v>
      </c>
      <c r="BK69" s="1" t="e">
        <f>BJ69/VLOOKUP(A69,'[64]geoMap (61)'!$A:$B,2,0)*VLOOKUP(A69,'[64]geoMap (61)'!$A:$C,3,0)</f>
        <v>#REF!</v>
      </c>
      <c r="BL69" s="4" t="e">
        <f>BK69/VLOOKUP(A69,'[65]geoMap (62)'!$A:$B,2,0)*VLOOKUP(A69,'[65]geoMap (62)'!$A:$C,3,0)</f>
        <v>#REF!</v>
      </c>
      <c r="BM69" s="1" t="e">
        <f>BL69/VLOOKUP(A69,'[66]geoMap (63)'!$A:$B,2,0)*VLOOKUP(A69,'[66]geoMap (63)'!$A:$C,3,0)</f>
        <v>#REF!</v>
      </c>
      <c r="BN69" s="4" t="e">
        <f>BM69/VLOOKUP(A69,'[67]geoMap (64)'!$A:$B,2,0)*VLOOKUP(A69,'[67]geoMap (64)'!$A:$C,3,0)</f>
        <v>#REF!</v>
      </c>
      <c r="BO69" s="1" t="e">
        <f>BN69/VLOOKUP(A69,'[68]geoMap (65)'!$A:$B,2,0)*VLOOKUP(A69,'[68]geoMap (65)'!$A:$C,3,0)</f>
        <v>#REF!</v>
      </c>
      <c r="BP69" s="4" t="e">
        <f>BO69/VLOOKUP(A69,'[69]geoMap (66)'!$A:$B,2,0)*VLOOKUP(A69,'[69]geoMap (66)'!$A:$C,3,0)</f>
        <v>#REF!</v>
      </c>
    </row>
    <row r="70" spans="1:68" x14ac:dyDescent="0.2">
      <c r="A70" s="1" t="s">
        <v>168</v>
      </c>
      <c r="B70" s="1">
        <f>VLOOKUP(A70,[3]geoMap!$A:$B,2,0)*Notes!$C$6</f>
        <v>3000</v>
      </c>
      <c r="C70" s="1">
        <f>B70/VLOOKUP(A70,'[4]geoMap (1)'!$A:$B,2,0)*VLOOKUP(A70,'[4]geoMap (1)'!$A:$C,3,0)</f>
        <v>2084.7457627118642</v>
      </c>
      <c r="D70" s="1">
        <f>C70/VLOOKUP(A70,'[5]geoMap (2)'!$A:$B,2,0)*VLOOKUP(A70,'[5]geoMap (2)'!$A:$C,3,0)</f>
        <v>2258.4745762711868</v>
      </c>
      <c r="E70" s="1">
        <f>D70/VLOOKUP(A70,'[6]geoMap (3)'!$A:$B,2,0)*VLOOKUP(A70,'[6]geoMap (3)'!$A:$C,3,0)</f>
        <v>2002.7982091461467</v>
      </c>
      <c r="F70" s="1">
        <f>E70/VLOOKUP(A70,'[7]geoMap (4)'!$A:$B,2,0)*VLOOKUP(A70,'[7]geoMap (4)'!$A:$C,3,0)</f>
        <v>1924.2571029051214</v>
      </c>
      <c r="G70" s="1">
        <f>F70/VLOOKUP(A70,'[8]geoMap (5)'!$A:$B,2,0)*VLOOKUP(A70,'[8]geoMap (5)'!$A:$C,3,0)</f>
        <v>1082.3946203841306</v>
      </c>
      <c r="H70" s="1">
        <f>G70/VLOOKUP(A70,'[9]geoMap (6)'!$A:$B,2,0)*VLOOKUP(A70,'[9]geoMap (6)'!$A:$C,3,0)</f>
        <v>1434.8021712068705</v>
      </c>
      <c r="I70" s="1">
        <f>H70/VLOOKUP(A70,'[10]geoMap (7)'!$A:$B,2,0)*VLOOKUP(A70,'[10]geoMap (7)'!$A:$C,3,0)</f>
        <v>586.04595725351044</v>
      </c>
      <c r="J70" s="1">
        <f>I70/VLOOKUP(A70,'[11]geoMap (8)'!$A:$B,2,0)*VLOOKUP(A70,'[11]geoMap (8)'!$A:$C,3,0)</f>
        <v>359.18945767150637</v>
      </c>
      <c r="K70" s="1">
        <f>J70/VLOOKUP(A70,'[12]geoMap (9)'!$A:$B,2,0)*VLOOKUP(A70,'[12]geoMap (9)'!$A:$C,3,0)</f>
        <v>538.78418650725951</v>
      </c>
      <c r="L70" s="1">
        <f>K70/VLOOKUP(A70,'[13]geoMap (10)'!$A:$B,2,0)*VLOOKUP(A70,'[13]geoMap (10)'!$A:$C,3,0)</f>
        <v>209.52718364171207</v>
      </c>
      <c r="M70" s="1">
        <f>L70/VLOOKUP(A70,'[14]geoMap (11)'!$A:$B,2,0)*VLOOKUP(A70,'[14]geoMap (11)'!$A:$C,3,0)</f>
        <v>209.52718364171207</v>
      </c>
      <c r="N70" s="1">
        <f>M70/VLOOKUP(A70,'[15]geoMap (12)'!$A:$B,2,0)*VLOOKUP(A70,'[15]geoMap (12)'!$A:$C,3,0)</f>
        <v>151.72658125779151</v>
      </c>
      <c r="O70" s="1">
        <f>N70/VLOOKUP(A70,'[16]geoMap (13)'!$A:$B,2,0)*VLOOKUP(A70,'[16]geoMap (13)'!$A:$C,3,0)</f>
        <v>134.54998715313587</v>
      </c>
      <c r="P70" s="1">
        <f>O70/VLOOKUP(A70,'[17]geoMap (14)'!$A:$B,2,0)*VLOOKUP(A70,'[17]geoMap (14)'!$A:$C,3,0)</f>
        <v>72.44999308245778</v>
      </c>
      <c r="Q70" s="1">
        <f>P70/VLOOKUP(A70,'[18]geoMap (15)'!$A:$B,2,0)*VLOOKUP(A70,'[18]geoMap (15)'!$A:$C,3,0)</f>
        <v>147.0954405007476</v>
      </c>
      <c r="R70" s="1">
        <f>Q70/VLOOKUP(A70,'[19]geoMap (16)'!$A:$B,2,0)*VLOOKUP(A70,'[19]geoMap (16)'!$A:$C,3,0)</f>
        <v>135.78040661607469</v>
      </c>
      <c r="S70" s="1">
        <f>R70/VLOOKUP(A70,'[20]geoMap (17)'!$A:$B,2,0)*VLOOKUP(A70,'[20]geoMap (17)'!$A:$C,3,0)</f>
        <v>63.896661936976315</v>
      </c>
      <c r="T70" s="1">
        <f>S70/VLOOKUP(A70,'[21]geoMap (18)'!$A:$B,2,0)*VLOOKUP(A70,'[21]geoMap (18)'!$A:$C,3,0)</f>
        <v>44.402765074847949</v>
      </c>
      <c r="U70" s="1">
        <f>T70/VLOOKUP(A70,'[22]geoMap (19)'!$A:$B,2,0)*VLOOKUP(A70,'[22]geoMap (19)'!$A:$C,3,0)</f>
        <v>33.496822775762489</v>
      </c>
      <c r="V70" s="1">
        <f>U70/VLOOKUP(A70,'[23]geoMap (20)'!$A:$B,2,0)*VLOOKUP(A70,'[23]geoMap (20)'!$A:$C,3,0)</f>
        <v>19.672737185765271</v>
      </c>
      <c r="W70" s="1">
        <f>V70/VLOOKUP(A70,'[24]geoMap (21)'!$A:$B,2,0)*VLOOKUP(A70,'[24]geoMap (21)'!$A:$C,3,0)</f>
        <v>13.670885162989427</v>
      </c>
      <c r="X70" s="1">
        <f>W70/VLOOKUP(A70,'[25]geoMap (22)'!$A:$B,2,0)*VLOOKUP(A70,'[25]geoMap (22)'!$A:$C,3,0)</f>
        <v>12.123237786047225</v>
      </c>
      <c r="Y70" s="1">
        <f>X70/VLOOKUP(A70,'[26]geoMap (23)'!$A:$B,2,0)*VLOOKUP(A70,'[26]geoMap (23)'!$A:$C,3,0)</f>
        <v>10.327202558484673</v>
      </c>
      <c r="Z70" s="1">
        <f>Y70/VLOOKUP(A70,'[27]geoMap (24)'!$A:$B,2,0)*VLOOKUP(A70,'[27]geoMap (24)'!$A:$C,3,0)</f>
        <v>12.123237786047225</v>
      </c>
      <c r="AA70" s="1">
        <f>Z70/VLOOKUP(A70,'[28]geoMap (25)'!$A:$B,2,0)*VLOOKUP(A70,'[28]geoMap (25)'!$A:$C,3,0)</f>
        <v>9.5254011176085331</v>
      </c>
      <c r="AB70" s="1">
        <f>AA70*VLOOKUP(A70,'[29]geoMap (26)'!$A:$B,2,0)*VLOOKUP(A70,'[29]geoMap (26)'!$A:$C,3,0)</f>
        <v>2.3803977392903723</v>
      </c>
      <c r="AC70" s="1">
        <f>AB70/VLOOKUP(A70,'[30]geoMap (27)'!$A:$B,2,0)*VLOOKUP(A70,'[30]geoMap (27)'!$A:$C,3,0)</f>
        <v>4.8329287434077255</v>
      </c>
      <c r="AD70" s="1">
        <f>AC70/VLOOKUP(A70,'[31]geoMap (28)'!$A:$B,2,0)*VLOOKUP(A70,'[31]geoMap (28)'!$A:$C,3,0)</f>
        <v>0.85286977824842214</v>
      </c>
      <c r="AE70" s="1">
        <f>AD70/VLOOKUP(A70,'[32]geoMap (29)'!$A:$B,2,0)*VLOOKUP(A70,'[32]geoMap (29)'!$A:$C,3,0)</f>
        <v>1.9900294825796516</v>
      </c>
      <c r="AF70" s="1">
        <f>AE70/VLOOKUP(A70,'[33]geoMap (30)'!$A:$B,2,0)*VLOOKUP(A70,'[33]geoMap (30)'!$A:$C,3,0)</f>
        <v>1.6952102999752587</v>
      </c>
      <c r="AG70" s="1">
        <f>AF70/VLOOKUP(A70,'[34]geoMap (31)'!$A:$B,2,0)*VLOOKUP(A70,'[34]geoMap (31)'!$A:$C,3,0)</f>
        <v>2.4394489682570795</v>
      </c>
      <c r="AH70" s="1">
        <f>AG70/VLOOKUP(A70,'[35]geoMap (32)'!$A:$B,2,0)*VLOOKUP(A70,'[35]geoMap (32)'!$A:$C,3,0)</f>
        <v>2.5390183139002254</v>
      </c>
      <c r="AI70" s="1">
        <f>AH70/VLOOKUP(A70,'[36]geoMap (33)'!$A:$B,2,0)*VLOOKUP(A70,'[36]geoMap (33)'!$A:$C,3,0)</f>
        <v>0.93908896541515186</v>
      </c>
      <c r="AJ70" s="1">
        <f>AI70/VLOOKUP(A70,'[37]geoMap (34)'!$A:$B,2,0)*VLOOKUP(A70,'[37]geoMap (34)'!$A:$C,3,0)</f>
        <v>3.143906536389856</v>
      </c>
      <c r="AK70" s="1">
        <f>AJ70/VLOOKUP(A70,'[38]geoMap (35)'!$A:$B,2,0)*VLOOKUP(A70,'[38]geoMap (35)'!$A:$C,3,0)</f>
        <v>0.9928125904389018</v>
      </c>
      <c r="AL70" s="1" t="e">
        <f>AK70/VLOOKUP(A70,'[39]geoMap (36)'!$A:$B,2,0)*VLOOKUP(A70,'[39]geoMap (36)'!$A:$C,3,0)</f>
        <v>#REF!</v>
      </c>
      <c r="AM70" s="1" t="e">
        <f>AL70/VLOOKUP(A70,'[40]geoMap (37)'!$A:$B,2,0)*VLOOKUP(A70,'[40]geoMap (37)'!$A:$C,3,0)</f>
        <v>#REF!</v>
      </c>
      <c r="AN70" s="1" t="e">
        <f>AM70/VLOOKUP(A70,'[41]geoMap (38)'!$A:$B,2,0)*VLOOKUP(A70,'[41]geoMap (38)'!$A:$C,3,0)</f>
        <v>#REF!</v>
      </c>
      <c r="AO70" s="1" t="e">
        <f>AN70/VLOOKUP(A70,'[42]geoMap (39)'!$A:$B,2,0)*VLOOKUP(A70,'[42]geoMap (39)'!$A:$C,3,0)</f>
        <v>#REF!</v>
      </c>
      <c r="AP70" s="1" t="e">
        <f>AO70/VLOOKUP(A70,'[43]geoMap (40)'!$A:$B,2,0)*VLOOKUP(A70,'[43]geoMap (40)'!$A:$C,3,0)</f>
        <v>#REF!</v>
      </c>
      <c r="AQ70" s="1" t="e">
        <f>AP70/VLOOKUP(A70,'[44]geoMap (41)'!$A:$B,2,0)*VLOOKUP(A70,'[44]geoMap (41)'!$A:$C,3,0)</f>
        <v>#REF!</v>
      </c>
      <c r="AR70" s="1" t="e">
        <f>AQ70/VLOOKUP(A70,'[45]geoMap (42)'!$A:$B,2,0)*VLOOKUP(A70,'[45]geoMap (42)'!$A:$C,3,0)</f>
        <v>#REF!</v>
      </c>
      <c r="AS70" s="1" t="e">
        <f>AR70/VLOOKUP(A70,'[46]geoMap (43)'!$A:$B,2,0)*VLOOKUP(A70,'[46]geoMap (43)'!$A:$C,3,0)</f>
        <v>#REF!</v>
      </c>
      <c r="AT70" s="1" t="e">
        <f>AS70/VLOOKUP(A70,'[47]geoMap (44)'!$A:$B,2,0)*VLOOKUP(A70,'[47]geoMap (44)'!$A:$C,3,0)</f>
        <v>#REF!</v>
      </c>
      <c r="AU70" s="1" t="e">
        <f>AT70/VLOOKUP(A70,'[48]geoMap (45)'!$A:$B,2,0)*VLOOKUP(A70,'[48]geoMap (45)'!$A:$C,3,0)</f>
        <v>#REF!</v>
      </c>
      <c r="AV70" s="1" t="e">
        <f>AU70/VLOOKUP(A70,'[49]geoMap (46)'!$A:$B,2,0)*VLOOKUP(A70,'[49]geoMap (46)'!$A:$C,3,0)</f>
        <v>#REF!</v>
      </c>
      <c r="AW70" s="1" t="e">
        <f>AV70/VLOOKUP(A70,'[50]geoMap (47)'!$A:$B,2,0)*VLOOKUP(A70,'[50]geoMap (47)'!$A:$C,3,0)</f>
        <v>#REF!</v>
      </c>
      <c r="AX70" s="4" t="e">
        <f>AW70/VLOOKUP(A70,'[51]geoMap (48)'!$A:$B,2,0)*VLOOKUP(A70,'[51]geoMap (48)'!$A:$C,3,0)</f>
        <v>#REF!</v>
      </c>
      <c r="AY70" s="1" t="e">
        <f>AX70/VLOOKUP(A70,'[52]geoMap (49)'!$A:$B,2,0)*VLOOKUP(A70,'[52]geoMap (49)'!$A:$C,3,0)</f>
        <v>#REF!</v>
      </c>
      <c r="AZ70" s="4" t="e">
        <f>AY70/VLOOKUP(A70,'[53]geoMap (50)'!$A:$B,2,0)*VLOOKUP(A70,'[53]geoMap (50)'!$A:$C,3,0)</f>
        <v>#REF!</v>
      </c>
      <c r="BA70" s="1" t="e">
        <f>AZ70/VLOOKUP(A70,'[54]geoMap (51)'!$A:$B,2,0)*VLOOKUP(A70,'[54]geoMap (51)'!$A:$C,3,0)</f>
        <v>#REF!</v>
      </c>
      <c r="BB70" s="4" t="e">
        <f>BA70/VLOOKUP(A70,'[55]geoMap (52)'!$A:$B,2,0)*VLOOKUP(A70,'[55]geoMap (52)'!$A:$C,3,0)</f>
        <v>#REF!</v>
      </c>
      <c r="BC70" s="1" t="e">
        <f>BB70/VLOOKUP(A70,'[56]geoMap (53)'!$A:$B,2,0)*VLOOKUP(A70,'[56]geoMap (53)'!$A:$C,3,0)</f>
        <v>#REF!</v>
      </c>
      <c r="BD70" s="4" t="e">
        <f>BC70/VLOOKUP(A70,'[57]geoMap (54)'!$A:$B,2,0)*VLOOKUP(A70,'[57]geoMap (54)'!$A:$C,3,0)</f>
        <v>#REF!</v>
      </c>
      <c r="BE70" s="1" t="e">
        <f>BD70/VLOOKUP(A70,'[58]geoMap (55)'!$A:$B,2,0)*VLOOKUP(A70,'[58]geoMap (55)'!$A:$C,3,0)</f>
        <v>#REF!</v>
      </c>
      <c r="BF70" s="4" t="e">
        <f>BE70/VLOOKUP(A70,'[59]geoMap (56)'!$A:$B,2,0)*VLOOKUP(A70,'[59]geoMap (56)'!$A:$C,3,0)</f>
        <v>#REF!</v>
      </c>
      <c r="BG70" s="1" t="e">
        <f>BF70/VLOOKUP(A70,'[60]geoMap (57)'!$A:$B,2,0)*VLOOKUP(A70,'[60]geoMap (57)'!$A:$C,3,0)</f>
        <v>#REF!</v>
      </c>
      <c r="BH70" s="4" t="e">
        <f>BG70/VLOOKUP(A70,'[61]geoMap (58)'!$A:$B,2,0)*VLOOKUP(A70,'[61]geoMap (58)'!$A:$C,3,0)</f>
        <v>#REF!</v>
      </c>
      <c r="BI70" s="1" t="e">
        <f>BH70/VLOOKUP(A70,'[62]geoMap (59)'!$A:$B,2,0)*VLOOKUP(A70,'[62]geoMap (59)'!$A:$C,3,0)</f>
        <v>#REF!</v>
      </c>
      <c r="BJ70" s="4" t="e">
        <f>BI70/VLOOKUP(A70,'[63]geoMap (60)'!$A:$B,2,0)*VLOOKUP(A70,'[63]geoMap (60)'!$A:$C,3,0)</f>
        <v>#REF!</v>
      </c>
      <c r="BK70" s="1" t="e">
        <f>BJ70/VLOOKUP(A70,'[64]geoMap (61)'!$A:$B,2,0)*VLOOKUP(A70,'[64]geoMap (61)'!$A:$C,3,0)</f>
        <v>#REF!</v>
      </c>
      <c r="BL70" s="4" t="e">
        <f>BK70/VLOOKUP(A70,'[65]geoMap (62)'!$A:$B,2,0)*VLOOKUP(A70,'[65]geoMap (62)'!$A:$C,3,0)</f>
        <v>#REF!</v>
      </c>
      <c r="BM70" s="1" t="e">
        <f>BL70/VLOOKUP(A70,'[66]geoMap (63)'!$A:$B,2,0)*VLOOKUP(A70,'[66]geoMap (63)'!$A:$C,3,0)</f>
        <v>#REF!</v>
      </c>
      <c r="BN70" s="4" t="e">
        <f>BM70/VLOOKUP(A70,'[67]geoMap (64)'!$A:$B,2,0)*VLOOKUP(A70,'[67]geoMap (64)'!$A:$C,3,0)</f>
        <v>#REF!</v>
      </c>
      <c r="BO70" s="1" t="e">
        <f>BN70/VLOOKUP(A70,'[68]geoMap (65)'!$A:$B,2,0)*VLOOKUP(A70,'[68]geoMap (65)'!$A:$C,3,0)</f>
        <v>#REF!</v>
      </c>
      <c r="BP70" s="4" t="e">
        <f>BO70/VLOOKUP(A70,'[69]geoMap (66)'!$A:$B,2,0)*VLOOKUP(A70,'[69]geoMap (66)'!$A:$C,3,0)</f>
        <v>#REF!</v>
      </c>
    </row>
    <row r="71" spans="1:68" x14ac:dyDescent="0.2">
      <c r="A71" s="1" t="s">
        <v>161</v>
      </c>
      <c r="B71" s="1">
        <f>VLOOKUP(A71,[3]geoMap!$A:$B,2,0)*Notes!$C$6</f>
        <v>3000</v>
      </c>
      <c r="C71" s="1">
        <f>B71/VLOOKUP(A71,'[4]geoMap (1)'!$A:$B,2,0)*VLOOKUP(A71,'[4]geoMap (1)'!$A:$C,3,0)</f>
        <v>1838.7096774193549</v>
      </c>
      <c r="D71" s="1">
        <f>C71/VLOOKUP(A71,'[5]geoMap (2)'!$A:$B,2,0)*VLOOKUP(A71,'[5]geoMap (2)'!$A:$C,3,0)</f>
        <v>2158.4852734922861</v>
      </c>
      <c r="E71" s="1">
        <f>D71/VLOOKUP(A71,'[6]geoMap (3)'!$A:$B,2,0)*VLOOKUP(A71,'[6]geoMap (3)'!$A:$C,3,0)</f>
        <v>1695.9527148867962</v>
      </c>
      <c r="F71" s="1">
        <f>E71/VLOOKUP(A71,'[7]geoMap (4)'!$A:$B,2,0)*VLOOKUP(A71,'[7]geoMap (4)'!$A:$C,3,0)</f>
        <v>2158.4852734922865</v>
      </c>
      <c r="G71" s="1">
        <f>F71/VLOOKUP(A71,'[8]geoMap (5)'!$A:$B,2,0)*VLOOKUP(A71,'[8]geoMap (5)'!$A:$C,3,0)</f>
        <v>1499.9643425963347</v>
      </c>
      <c r="H71" s="1">
        <f>G71/VLOOKUP(A71,'[9]geoMap (6)'!$A:$B,2,0)*VLOOKUP(A71,'[9]geoMap (6)'!$A:$C,3,0)</f>
        <v>880.93143930260919</v>
      </c>
      <c r="I71" s="1">
        <f>H71/VLOOKUP(A71,'[10]geoMap (7)'!$A:$B,2,0)*VLOOKUP(A71,'[10]geoMap (7)'!$A:$C,3,0)</f>
        <v>377.54204541540395</v>
      </c>
      <c r="J71" s="1">
        <f>I71/VLOOKUP(A71,'[11]geoMap (8)'!$A:$B,2,0)*VLOOKUP(A71,'[11]geoMap (8)'!$A:$C,3,0)</f>
        <v>701.14951291432169</v>
      </c>
      <c r="K71" s="1">
        <f>J71/VLOOKUP(A71,'[12]geoMap (9)'!$A:$B,2,0)*VLOOKUP(A71,'[12]geoMap (9)'!$A:$C,3,0)</f>
        <v>429.73679823781009</v>
      </c>
      <c r="L71" s="1">
        <f>K71/VLOOKUP(A71,'[13]geoMap (10)'!$A:$B,2,0)*VLOOKUP(A71,'[13]geoMap (10)'!$A:$C,3,0)</f>
        <v>221.37956272856886</v>
      </c>
      <c r="M71" s="1">
        <f>L71/VLOOKUP(A71,'[14]geoMap (11)'!$A:$B,2,0)*VLOOKUP(A71,'[14]geoMap (11)'!$A:$C,3,0)</f>
        <v>204.35036559560203</v>
      </c>
      <c r="N71" s="1">
        <f>M71/VLOOKUP(A71,'[15]geoMap (12)'!$A:$B,2,0)*VLOOKUP(A71,'[15]geoMap (12)'!$A:$C,3,0)</f>
        <v>196.3366257683235</v>
      </c>
      <c r="O71" s="1">
        <f>N71/VLOOKUP(A71,'[16]geoMap (13)'!$A:$B,2,0)*VLOOKUP(A71,'[16]geoMap (13)'!$A:$C,3,0)</f>
        <v>204.35036559560203</v>
      </c>
      <c r="P71" s="1">
        <f>O71/VLOOKUP(A71,'[17]geoMap (14)'!$A:$B,2,0)*VLOOKUP(A71,'[17]geoMap (14)'!$A:$C,3,0)</f>
        <v>75.581642069606247</v>
      </c>
      <c r="Q71" s="1">
        <f>P71/VLOOKUP(A71,'[18]geoMap (15)'!$A:$B,2,0)*VLOOKUP(A71,'[18]geoMap (15)'!$A:$C,3,0)</f>
        <v>104.37464857231339</v>
      </c>
      <c r="R71" s="1">
        <f>Q71/VLOOKUP(A71,'[19]geoMap (16)'!$A:$B,2,0)*VLOOKUP(A71,'[19]geoMap (16)'!$A:$C,3,0)</f>
        <v>58.710739821926275</v>
      </c>
      <c r="S71" s="1">
        <f>R71/VLOOKUP(A71,'[20]geoMap (17)'!$A:$B,2,0)*VLOOKUP(A71,'[20]geoMap (17)'!$A:$C,3,0)</f>
        <v>42.514673664153506</v>
      </c>
      <c r="T71" s="1">
        <f>S71/VLOOKUP(A71,'[21]geoMap (18)'!$A:$B,2,0)*VLOOKUP(A71,'[21]geoMap (18)'!$A:$C,3,0)</f>
        <v>33.404386450406321</v>
      </c>
      <c r="U71" s="1">
        <f>T71/VLOOKUP(A71,'[22]geoMap (19)'!$A:$B,2,0)*VLOOKUP(A71,'[22]geoMap (19)'!$A:$C,3,0)</f>
        <v>25.199800304692491</v>
      </c>
      <c r="V71" s="1">
        <f>U71/VLOOKUP(A71,'[23]geoMap (20)'!$A:$B,2,0)*VLOOKUP(A71,'[23]geoMap (20)'!$A:$C,3,0)</f>
        <v>26.228363582435041</v>
      </c>
      <c r="W71" s="1">
        <f>V71/VLOOKUP(A71,'[24]geoMap (21)'!$A:$B,2,0)*VLOOKUP(A71,'[24]geoMap (21)'!$A:$C,3,0)</f>
        <v>10.712993575924171</v>
      </c>
      <c r="X71" s="1">
        <f>W71/VLOOKUP(A71,'[25]geoMap (22)'!$A:$B,2,0)*VLOOKUP(A71,'[25]geoMap (22)'!$A:$C,3,0)</f>
        <v>9.1258834165279978</v>
      </c>
      <c r="Y71" s="1">
        <f>X71/VLOOKUP(A71,'[26]geoMap (23)'!$A:$B,2,0)*VLOOKUP(A71,'[26]geoMap (23)'!$A:$C,3,0)</f>
        <v>16.948069202123428</v>
      </c>
      <c r="Z71" s="1">
        <f>Y71/VLOOKUP(A71,'[27]geoMap (24)'!$A:$B,2,0)*VLOOKUP(A71,'[27]geoMap (24)'!$A:$C,3,0)</f>
        <v>11.298712801415618</v>
      </c>
      <c r="AA71" s="1">
        <f>Z71/VLOOKUP(A71,'[28]geoMap (25)'!$A:$B,2,0)*VLOOKUP(A71,'[28]geoMap (25)'!$A:$C,3,0)</f>
        <v>10.855626024889515</v>
      </c>
      <c r="AB71" s="1">
        <f>AA71*VLOOKUP(A71,'[29]geoMap (26)'!$A:$B,2,0)*VLOOKUP(A71,'[29]geoMap (26)'!$A:$C,3,0)</f>
        <v>2.55758549146397</v>
      </c>
      <c r="AC71" s="1">
        <f>AB71/VLOOKUP(A71,'[30]geoMap (27)'!$A:$B,2,0)*VLOOKUP(A71,'[30]geoMap (27)'!$A:$C,3,0)</f>
        <v>1.5675523979940462</v>
      </c>
      <c r="AD71" s="1">
        <f>AC71/VLOOKUP(A71,'[31]geoMap (28)'!$A:$B,2,0)*VLOOKUP(A71,'[31]geoMap (28)'!$A:$C,3,0)</f>
        <v>1.0450349319960308</v>
      </c>
      <c r="AE71" s="1">
        <f>AD71/VLOOKUP(A71,'[32]geoMap (29)'!$A:$B,2,0)*VLOOKUP(A71,'[32]geoMap (29)'!$A:$C,3,0)</f>
        <v>1.4431434775183283</v>
      </c>
      <c r="AF71" s="1">
        <f>AE71/VLOOKUP(A71,'[33]geoMap (30)'!$A:$B,2,0)*VLOOKUP(A71,'[33]geoMap (30)'!$A:$C,3,0)</f>
        <v>0.77707725712525355</v>
      </c>
      <c r="AG71" s="1">
        <f>AF71/VLOOKUP(A71,'[34]geoMap (31)'!$A:$B,2,0)*VLOOKUP(A71,'[34]geoMap (31)'!$A:$C,3,0)</f>
        <v>0.61056070202698487</v>
      </c>
      <c r="AH71" s="1">
        <f>AG71/VLOOKUP(A71,'[35]geoMap (32)'!$A:$B,2,0)*VLOOKUP(A71,'[35]geoMap (32)'!$A:$C,3,0)</f>
        <v>0.37421462382299076</v>
      </c>
      <c r="AI71" s="1">
        <f>AH71/VLOOKUP(A71,'[36]geoMap (33)'!$A:$B,2,0)*VLOOKUP(A71,'[36]geoMap (33)'!$A:$C,3,0)</f>
        <v>0.66527044235198363</v>
      </c>
      <c r="AJ71" s="1">
        <f>AI71/VLOOKUP(A71,'[37]geoMap (34)'!$A:$B,2,0)*VLOOKUP(A71,'[37]geoMap (34)'!$A:$C,3,0)</f>
        <v>0.29888961902770278</v>
      </c>
      <c r="AK71" s="1">
        <f>AJ71/VLOOKUP(A71,'[38]geoMap (35)'!$A:$B,2,0)*VLOOKUP(A71,'[38]geoMap (35)'!$A:$C,3,0)</f>
        <v>0.69740911106463976</v>
      </c>
      <c r="AL71" s="1">
        <f>AK71/VLOOKUP(A71,'[39]geoMap (36)'!$A:$B,2,0)*VLOOKUP(A71,'[39]geoMap (36)'!$A:$C,3,0)</f>
        <v>0.27121465430291547</v>
      </c>
      <c r="AM71" s="1">
        <f>AL71/VLOOKUP(A71,'[40]geoMap (37)'!$A:$B,2,0)*VLOOKUP(A71,'[40]geoMap (37)'!$A:$C,3,0)</f>
        <v>0.46179792489415339</v>
      </c>
      <c r="AN71" s="1">
        <f>AM71/VLOOKUP(A71,'[41]geoMap (38)'!$A:$B,2,0)*VLOOKUP(A71,'[41]geoMap (38)'!$A:$C,3,0)</f>
        <v>0.66453847728670856</v>
      </c>
      <c r="AO71" s="1">
        <f>AN71/VLOOKUP(A71,'[42]geoMap (39)'!$A:$B,2,0)*VLOOKUP(A71,'[42]geoMap (39)'!$A:$C,3,0)</f>
        <v>0.20985425598527638</v>
      </c>
      <c r="AP71" s="1">
        <f>AO71/VLOOKUP(A71,'[43]geoMap (40)'!$A:$B,2,0)*VLOOKUP(A71,'[43]geoMap (40)'!$A:$C,3,0)</f>
        <v>0.18609717040203752</v>
      </c>
      <c r="AQ71" s="1">
        <f>AP71/VLOOKUP(A71,'[44]geoMap (41)'!$A:$B,2,0)*VLOOKUP(A71,'[44]geoMap (41)'!$A:$C,3,0)</f>
        <v>8.3608873658886432E-2</v>
      </c>
      <c r="AR71" s="1">
        <f>AQ71/VLOOKUP(A71,'[45]geoMap (42)'!$A:$B,2,0)*VLOOKUP(A71,'[45]geoMap (42)'!$A:$C,3,0)</f>
        <v>0.29643146115423374</v>
      </c>
      <c r="AS71" s="1">
        <f>AR71/VLOOKUP(A71,'[46]geoMap (43)'!$A:$B,2,0)*VLOOKUP(A71,'[46]geoMap (43)'!$A:$C,3,0)</f>
        <v>0.18168379877194973</v>
      </c>
      <c r="AT71" s="1">
        <f>AS71/VLOOKUP(A71,'[47]geoMap (44)'!$A:$B,2,0)*VLOOKUP(A71,'[47]geoMap (44)'!$A:$C,3,0)</f>
        <v>7.7864485187978449E-2</v>
      </c>
      <c r="AU71" s="1">
        <f>AT71/VLOOKUP(A71,'[48]geoMap (45)'!$A:$B,2,0)*VLOOKUP(A71,'[48]geoMap (45)'!$A:$C,3,0)</f>
        <v>0.26067675475975394</v>
      </c>
      <c r="AV71" s="1">
        <f>AU71/VLOOKUP(A71,'[49]geoMap (46)'!$A:$B,2,0)*VLOOKUP(A71,'[49]geoMap (46)'!$A:$C,3,0)</f>
        <v>7.7864485187978449E-2</v>
      </c>
      <c r="AW71" s="1">
        <f>AV71/VLOOKUP(A71,'[50]geoMap (47)'!$A:$B,2,0)*VLOOKUP(A71,'[50]geoMap (47)'!$A:$C,3,0)</f>
        <v>8.1042627440548992E-2</v>
      </c>
      <c r="AX71" s="4" t="e">
        <f>AW71/VLOOKUP(A71,'[51]geoMap (48)'!$A:$B,2,0)*VLOOKUP(A71,'[51]geoMap (48)'!$A:$C,3,0)</f>
        <v>#REF!</v>
      </c>
      <c r="AY71" s="1" t="e">
        <f>AX71/VLOOKUP(A71,'[52]geoMap (49)'!$A:$B,2,0)*VLOOKUP(A71,'[52]geoMap (49)'!$A:$C,3,0)</f>
        <v>#REF!</v>
      </c>
      <c r="AZ71" s="4" t="e">
        <f>AY71/VLOOKUP(A71,'[53]geoMap (50)'!$A:$B,2,0)*VLOOKUP(A71,'[53]geoMap (50)'!$A:$C,3,0)</f>
        <v>#REF!</v>
      </c>
      <c r="BA71" s="1" t="e">
        <f>AZ71/VLOOKUP(A71,'[54]geoMap (51)'!$A:$B,2,0)*VLOOKUP(A71,'[54]geoMap (51)'!$A:$C,3,0)</f>
        <v>#REF!</v>
      </c>
      <c r="BB71" s="4" t="e">
        <f>BA71/VLOOKUP(A71,'[55]geoMap (52)'!$A:$B,2,0)*VLOOKUP(A71,'[55]geoMap (52)'!$A:$C,3,0)</f>
        <v>#REF!</v>
      </c>
      <c r="BC71" s="1" t="e">
        <f>BB71/VLOOKUP(A71,'[56]geoMap (53)'!$A:$B,2,0)*VLOOKUP(A71,'[56]geoMap (53)'!$A:$C,3,0)</f>
        <v>#REF!</v>
      </c>
      <c r="BD71" s="4" t="e">
        <f>BC71/VLOOKUP(A71,'[57]geoMap (54)'!$A:$B,2,0)*VLOOKUP(A71,'[57]geoMap (54)'!$A:$C,3,0)</f>
        <v>#REF!</v>
      </c>
      <c r="BE71" s="1" t="e">
        <f>BD71/VLOOKUP(A71,'[58]geoMap (55)'!$A:$B,2,0)*VLOOKUP(A71,'[58]geoMap (55)'!$A:$C,3,0)</f>
        <v>#REF!</v>
      </c>
      <c r="BF71" s="4" t="e">
        <f>BE71/VLOOKUP(A71,'[59]geoMap (56)'!$A:$B,2,0)*VLOOKUP(A71,'[59]geoMap (56)'!$A:$C,3,0)</f>
        <v>#REF!</v>
      </c>
      <c r="BG71" s="1" t="e">
        <f>BF71/VLOOKUP(A71,'[60]geoMap (57)'!$A:$B,2,0)*VLOOKUP(A71,'[60]geoMap (57)'!$A:$C,3,0)</f>
        <v>#REF!</v>
      </c>
      <c r="BH71" s="4" t="e">
        <f>BG71/VLOOKUP(A71,'[61]geoMap (58)'!$A:$B,2,0)*VLOOKUP(A71,'[61]geoMap (58)'!$A:$C,3,0)</f>
        <v>#REF!</v>
      </c>
      <c r="BI71" s="1" t="e">
        <f>BH71/VLOOKUP(A71,'[62]geoMap (59)'!$A:$B,2,0)*VLOOKUP(A71,'[62]geoMap (59)'!$A:$C,3,0)</f>
        <v>#REF!</v>
      </c>
      <c r="BJ71" s="4" t="e">
        <f>BI71/VLOOKUP(A71,'[63]geoMap (60)'!$A:$B,2,0)*VLOOKUP(A71,'[63]geoMap (60)'!$A:$C,3,0)</f>
        <v>#REF!</v>
      </c>
      <c r="BK71" s="1" t="e">
        <f>BJ71/VLOOKUP(A71,'[64]geoMap (61)'!$A:$B,2,0)*VLOOKUP(A71,'[64]geoMap (61)'!$A:$C,3,0)</f>
        <v>#REF!</v>
      </c>
      <c r="BL71" s="4" t="e">
        <f>BK71/VLOOKUP(A71,'[65]geoMap (62)'!$A:$B,2,0)*VLOOKUP(A71,'[65]geoMap (62)'!$A:$C,3,0)</f>
        <v>#REF!</v>
      </c>
      <c r="BM71" s="1" t="e">
        <f>BL71/VLOOKUP(A71,'[66]geoMap (63)'!$A:$B,2,0)*VLOOKUP(A71,'[66]geoMap (63)'!$A:$C,3,0)</f>
        <v>#REF!</v>
      </c>
      <c r="BN71" s="4" t="e">
        <f>BM71/VLOOKUP(A71,'[67]geoMap (64)'!$A:$B,2,0)*VLOOKUP(A71,'[67]geoMap (64)'!$A:$C,3,0)</f>
        <v>#REF!</v>
      </c>
      <c r="BO71" s="1" t="e">
        <f>BN71/VLOOKUP(A71,'[68]geoMap (65)'!$A:$B,2,0)*VLOOKUP(A71,'[68]geoMap (65)'!$A:$C,3,0)</f>
        <v>#REF!</v>
      </c>
      <c r="BP71" s="4" t="e">
        <f>BO71/VLOOKUP(A71,'[69]geoMap (66)'!$A:$B,2,0)*VLOOKUP(A71,'[69]geoMap (66)'!$A:$C,3,0)</f>
        <v>#REF!</v>
      </c>
    </row>
    <row r="72" spans="1:68" x14ac:dyDescent="0.2">
      <c r="A72" s="1" t="s">
        <v>177</v>
      </c>
      <c r="B72" s="1">
        <f>VLOOKUP(A72,[3]geoMap!$A:$B,2,0)*Notes!$C$6</f>
        <v>3000</v>
      </c>
      <c r="C72" s="1">
        <f>B72/VLOOKUP(A72,'[4]geoMap (1)'!$A:$B,2,0)*VLOOKUP(A72,'[4]geoMap (1)'!$A:$C,3,0)</f>
        <v>1687.5</v>
      </c>
      <c r="D72" s="1">
        <f>C72/VLOOKUP(A72,'[5]geoMap (2)'!$A:$B,2,0)*VLOOKUP(A72,'[5]geoMap (2)'!$A:$C,3,0)</f>
        <v>2639.4230769230771</v>
      </c>
      <c r="E72" s="1">
        <f>D72/VLOOKUP(A72,'[6]geoMap (3)'!$A:$B,2,0)*VLOOKUP(A72,'[6]geoMap (3)'!$A:$C,3,0)</f>
        <v>2073.8324175824177</v>
      </c>
      <c r="F72" s="1">
        <f>E72/VLOOKUP(A72,'[7]geoMap (4)'!$A:$B,2,0)*VLOOKUP(A72,'[7]geoMap (4)'!$A:$C,3,0)</f>
        <v>1564.4700694042801</v>
      </c>
      <c r="G72" s="1">
        <f>F72/VLOOKUP(A72,'[8]geoMap (5)'!$A:$B,2,0)*VLOOKUP(A72,'[8]geoMap (5)'!$A:$C,3,0)</f>
        <v>1280.0209658762292</v>
      </c>
      <c r="H72" s="1">
        <f>G72/VLOOKUP(A72,'[9]geoMap (6)'!$A:$B,2,0)*VLOOKUP(A72,'[9]geoMap (6)'!$A:$C,3,0)</f>
        <v>689.24205854873867</v>
      </c>
      <c r="I72" s="1">
        <f>H72/VLOOKUP(A72,'[10]geoMap (7)'!$A:$B,2,0)*VLOOKUP(A72,'[10]geoMap (7)'!$A:$C,3,0)</f>
        <v>991.83613303355071</v>
      </c>
      <c r="J72" s="1">
        <f>I72/VLOOKUP(A72,'[11]geoMap (8)'!$A:$B,2,0)*VLOOKUP(A72,'[11]geoMap (8)'!$A:$C,3,0)</f>
        <v>748.22725825338034</v>
      </c>
      <c r="K72" s="1">
        <f>J72/VLOOKUP(A72,'[12]geoMap (9)'!$A:$B,2,0)*VLOOKUP(A72,'[12]geoMap (9)'!$A:$C,3,0)</f>
        <v>718.88501283167921</v>
      </c>
      <c r="L72" s="1">
        <f>K72/VLOOKUP(A72,'[13]geoMap (10)'!$A:$B,2,0)*VLOOKUP(A72,'[13]geoMap (10)'!$A:$C,3,0)</f>
        <v>265.88897734870329</v>
      </c>
      <c r="M72" s="1">
        <f>L72/VLOOKUP(A72,'[14]geoMap (11)'!$A:$B,2,0)*VLOOKUP(A72,'[14]geoMap (11)'!$A:$C,3,0)</f>
        <v>136.97310954327139</v>
      </c>
      <c r="N72" s="1">
        <f>M72/VLOOKUP(A72,'[15]geoMap (12)'!$A:$B,2,0)*VLOOKUP(A72,'[15]geoMap (12)'!$A:$C,3,0)</f>
        <v>233.22448381692158</v>
      </c>
      <c r="O72" s="1">
        <f>N72/VLOOKUP(A72,'[16]geoMap (13)'!$A:$B,2,0)*VLOOKUP(A72,'[16]geoMap (13)'!$A:$C,3,0)</f>
        <v>349.83672572538234</v>
      </c>
      <c r="P72" s="1">
        <f>O72/VLOOKUP(A72,'[17]geoMap (14)'!$A:$B,2,0)*VLOOKUP(A72,'[17]geoMap (14)'!$A:$C,3,0)</f>
        <v>157.17302170270801</v>
      </c>
      <c r="Q72" s="1">
        <f>P72/VLOOKUP(A72,'[18]geoMap (15)'!$A:$B,2,0)*VLOOKUP(A72,'[18]geoMap (15)'!$A:$C,3,0)</f>
        <v>70.613966272231139</v>
      </c>
      <c r="R72" s="1">
        <f>Q72/VLOOKUP(A72,'[19]geoMap (16)'!$A:$B,2,0)*VLOOKUP(A72,'[19]geoMap (16)'!$A:$C,3,0)</f>
        <v>39.720356028130013</v>
      </c>
      <c r="S72" s="1">
        <f>R72/VLOOKUP(A72,'[20]geoMap (17)'!$A:$B,2,0)*VLOOKUP(A72,'[20]geoMap (17)'!$A:$C,3,0)</f>
        <v>35.223711949473781</v>
      </c>
      <c r="T72" s="1">
        <f>S72/VLOOKUP(A72,'[21]geoMap (18)'!$A:$B,2,0)*VLOOKUP(A72,'[21]geoMap (18)'!$A:$C,3,0)</f>
        <v>36.66141447802373</v>
      </c>
      <c r="U72" s="1">
        <f>T72/VLOOKUP(A72,'[22]geoMap (19)'!$A:$B,2,0)*VLOOKUP(A72,'[22]geoMap (19)'!$A:$C,3,0)</f>
        <v>16.4710702727353</v>
      </c>
      <c r="V72" s="1">
        <f>U72/VLOOKUP(A72,'[23]geoMap (20)'!$A:$B,2,0)*VLOOKUP(A72,'[23]geoMap (20)'!$A:$C,3,0)</f>
        <v>52.158389196995117</v>
      </c>
      <c r="W72" s="1">
        <f>V72/VLOOKUP(A72,'[24]geoMap (21)'!$A:$B,2,0)*VLOOKUP(A72,'[24]geoMap (21)'!$A:$C,3,0)</f>
        <v>92.726025239102441</v>
      </c>
      <c r="X72" s="1">
        <f>W72/VLOOKUP(A72,'[25]geoMap (22)'!$A:$B,2,0)*VLOOKUP(A72,'[25]geoMap (22)'!$A:$C,3,0)</f>
        <v>15.094934341249237</v>
      </c>
      <c r="Y72" s="1">
        <f>X72/VLOOKUP(A72,'[26]geoMap (23)'!$A:$B,2,0)*VLOOKUP(A72,'[26]geoMap (23)'!$A:$C,3,0)</f>
        <v>13.933785545768524</v>
      </c>
      <c r="Z72" s="1">
        <f>Y72/VLOOKUP(A72,'[27]geoMap (24)'!$A:$B,2,0)*VLOOKUP(A72,'[27]geoMap (24)'!$A:$C,3,0)</f>
        <v>10.511452253825379</v>
      </c>
      <c r="AA72" s="1">
        <f>Z72/VLOOKUP(A72,'[28]geoMap (25)'!$A:$B,2,0)*VLOOKUP(A72,'[28]geoMap (25)'!$A:$C,3,0)</f>
        <v>10.511452253825379</v>
      </c>
      <c r="AB72" s="1">
        <f>AA72*VLOOKUP(A72,'[29]geoMap (26)'!$A:$B,2,0)*VLOOKUP(A72,'[29]geoMap (26)'!$A:$C,3,0)</f>
        <v>2.4502195203666957</v>
      </c>
      <c r="AC72" s="1">
        <f>AB72/VLOOKUP(A72,'[30]geoMap (27)'!$A:$B,2,0)*VLOOKUP(A72,'[30]geoMap (27)'!$A:$C,3,0)</f>
        <v>1.5017474479666846</v>
      </c>
      <c r="AD72" s="1">
        <f>AC72/VLOOKUP(A72,'[31]geoMap (28)'!$A:$B,2,0)*VLOOKUP(A72,'[31]geoMap (28)'!$A:$C,3,0)</f>
        <v>1.6934598881326446</v>
      </c>
      <c r="AE72" s="1">
        <f>AD72/VLOOKUP(A72,'[32]geoMap (29)'!$A:$B,2,0)*VLOOKUP(A72,'[32]geoMap (29)'!$A:$C,3,0)</f>
        <v>1.8345815454770316</v>
      </c>
      <c r="AF72" s="1">
        <f>AE72/VLOOKUP(A72,'[33]geoMap (30)'!$A:$B,2,0)*VLOOKUP(A72,'[33]geoMap (30)'!$A:$C,3,0)</f>
        <v>1.0319521193308301</v>
      </c>
      <c r="AG72" s="1">
        <f>AF72/VLOOKUP(A72,'[34]geoMap (31)'!$A:$B,2,0)*VLOOKUP(A72,'[34]geoMap (31)'!$A:$C,3,0)</f>
        <v>0.74727567261887706</v>
      </c>
      <c r="AH72" s="1">
        <f>AG72/VLOOKUP(A72,'[35]geoMap (32)'!$A:$B,2,0)*VLOOKUP(A72,'[35]geoMap (32)'!$A:$C,3,0)</f>
        <v>1.8295369915841473</v>
      </c>
      <c r="AI72" s="1" t="e">
        <f>AH72/VLOOKUP(A72,'[36]geoMap (33)'!$A:$B,2,0)*VLOOKUP(A72,'[36]geoMap (33)'!$A:$C,3,0)</f>
        <v>#REF!</v>
      </c>
      <c r="AJ72" s="1" t="e">
        <f>AI72/VLOOKUP(A72,'[37]geoMap (34)'!$A:$B,2,0)*VLOOKUP(A72,'[37]geoMap (34)'!$A:$C,3,0)</f>
        <v>#REF!</v>
      </c>
      <c r="AK72" s="1" t="e">
        <f>AJ72/VLOOKUP(A72,'[38]geoMap (35)'!$A:$B,2,0)*VLOOKUP(A72,'[38]geoMap (35)'!$A:$C,3,0)</f>
        <v>#REF!</v>
      </c>
      <c r="AL72" s="1" t="e">
        <f>AK72/VLOOKUP(A72,'[39]geoMap (36)'!$A:$B,2,0)*VLOOKUP(A72,'[39]geoMap (36)'!$A:$C,3,0)</f>
        <v>#REF!</v>
      </c>
      <c r="AM72" s="1" t="e">
        <f>AL72/VLOOKUP(A72,'[40]geoMap (37)'!$A:$B,2,0)*VLOOKUP(A72,'[40]geoMap (37)'!$A:$C,3,0)</f>
        <v>#REF!</v>
      </c>
      <c r="AN72" s="1" t="e">
        <f>AM72/VLOOKUP(A72,'[41]geoMap (38)'!$A:$B,2,0)*VLOOKUP(A72,'[41]geoMap (38)'!$A:$C,3,0)</f>
        <v>#REF!</v>
      </c>
      <c r="AO72" s="1" t="e">
        <f>AN72/VLOOKUP(A72,'[42]geoMap (39)'!$A:$B,2,0)*VLOOKUP(A72,'[42]geoMap (39)'!$A:$C,3,0)</f>
        <v>#REF!</v>
      </c>
      <c r="AP72" s="1" t="e">
        <f>AO72/VLOOKUP(A72,'[43]geoMap (40)'!$A:$B,2,0)*VLOOKUP(A72,'[43]geoMap (40)'!$A:$C,3,0)</f>
        <v>#REF!</v>
      </c>
      <c r="AQ72" s="1" t="e">
        <f>AP72/VLOOKUP(A72,'[44]geoMap (41)'!$A:$B,2,0)*VLOOKUP(A72,'[44]geoMap (41)'!$A:$C,3,0)</f>
        <v>#REF!</v>
      </c>
      <c r="AR72" s="1" t="e">
        <f>AQ72/VLOOKUP(A72,'[45]geoMap (42)'!$A:$B,2,0)*VLOOKUP(A72,'[45]geoMap (42)'!$A:$C,3,0)</f>
        <v>#REF!</v>
      </c>
      <c r="AS72" s="1" t="e">
        <f>AR72/VLOOKUP(A72,'[46]geoMap (43)'!$A:$B,2,0)*VLOOKUP(A72,'[46]geoMap (43)'!$A:$C,3,0)</f>
        <v>#REF!</v>
      </c>
      <c r="AT72" s="1" t="e">
        <f>AS72/VLOOKUP(A72,'[47]geoMap (44)'!$A:$B,2,0)*VLOOKUP(A72,'[47]geoMap (44)'!$A:$C,3,0)</f>
        <v>#REF!</v>
      </c>
      <c r="AU72" s="1" t="e">
        <f>AT72/VLOOKUP(A72,'[48]geoMap (45)'!$A:$B,2,0)*VLOOKUP(A72,'[48]geoMap (45)'!$A:$C,3,0)</f>
        <v>#REF!</v>
      </c>
      <c r="AV72" s="1" t="e">
        <f>AU72/VLOOKUP(A72,'[49]geoMap (46)'!$A:$B,2,0)*VLOOKUP(A72,'[49]geoMap (46)'!$A:$C,3,0)</f>
        <v>#REF!</v>
      </c>
      <c r="AW72" s="1" t="e">
        <f>AV72/VLOOKUP(A72,'[50]geoMap (47)'!$A:$B,2,0)*VLOOKUP(A72,'[50]geoMap (47)'!$A:$C,3,0)</f>
        <v>#REF!</v>
      </c>
      <c r="AX72" s="4" t="e">
        <f>AW72/VLOOKUP(A72,'[51]geoMap (48)'!$A:$B,2,0)*VLOOKUP(A72,'[51]geoMap (48)'!$A:$C,3,0)</f>
        <v>#REF!</v>
      </c>
      <c r="AY72" s="1" t="e">
        <f>AX72/VLOOKUP(A72,'[52]geoMap (49)'!$A:$B,2,0)*VLOOKUP(A72,'[52]geoMap (49)'!$A:$C,3,0)</f>
        <v>#REF!</v>
      </c>
      <c r="AZ72" s="4" t="e">
        <f>AY72/VLOOKUP(A72,'[53]geoMap (50)'!$A:$B,2,0)*VLOOKUP(A72,'[53]geoMap (50)'!$A:$C,3,0)</f>
        <v>#REF!</v>
      </c>
      <c r="BA72" s="1" t="e">
        <f>AZ72/VLOOKUP(A72,'[54]geoMap (51)'!$A:$B,2,0)*VLOOKUP(A72,'[54]geoMap (51)'!$A:$C,3,0)</f>
        <v>#REF!</v>
      </c>
      <c r="BB72" s="4" t="e">
        <f>BA72/VLOOKUP(A72,'[55]geoMap (52)'!$A:$B,2,0)*VLOOKUP(A72,'[55]geoMap (52)'!$A:$C,3,0)</f>
        <v>#REF!</v>
      </c>
      <c r="BC72" s="1" t="e">
        <f>BB72/VLOOKUP(A72,'[56]geoMap (53)'!$A:$B,2,0)*VLOOKUP(A72,'[56]geoMap (53)'!$A:$C,3,0)</f>
        <v>#REF!</v>
      </c>
      <c r="BD72" s="4" t="e">
        <f>BC72/VLOOKUP(A72,'[57]geoMap (54)'!$A:$B,2,0)*VLOOKUP(A72,'[57]geoMap (54)'!$A:$C,3,0)</f>
        <v>#REF!</v>
      </c>
      <c r="BE72" s="1" t="e">
        <f>BD72/VLOOKUP(A72,'[58]geoMap (55)'!$A:$B,2,0)*VLOOKUP(A72,'[58]geoMap (55)'!$A:$C,3,0)</f>
        <v>#REF!</v>
      </c>
      <c r="BF72" s="4" t="e">
        <f>BE72/VLOOKUP(A72,'[59]geoMap (56)'!$A:$B,2,0)*VLOOKUP(A72,'[59]geoMap (56)'!$A:$C,3,0)</f>
        <v>#REF!</v>
      </c>
      <c r="BG72" s="1" t="e">
        <f>BF72/VLOOKUP(A72,'[60]geoMap (57)'!$A:$B,2,0)*VLOOKUP(A72,'[60]geoMap (57)'!$A:$C,3,0)</f>
        <v>#REF!</v>
      </c>
      <c r="BH72" s="4" t="e">
        <f>BG72/VLOOKUP(A72,'[61]geoMap (58)'!$A:$B,2,0)*VLOOKUP(A72,'[61]geoMap (58)'!$A:$C,3,0)</f>
        <v>#REF!</v>
      </c>
      <c r="BI72" s="1" t="e">
        <f>BH72/VLOOKUP(A72,'[62]geoMap (59)'!$A:$B,2,0)*VLOOKUP(A72,'[62]geoMap (59)'!$A:$C,3,0)</f>
        <v>#REF!</v>
      </c>
      <c r="BJ72" s="4" t="e">
        <f>BI72/VLOOKUP(A72,'[63]geoMap (60)'!$A:$B,2,0)*VLOOKUP(A72,'[63]geoMap (60)'!$A:$C,3,0)</f>
        <v>#REF!</v>
      </c>
      <c r="BK72" s="1" t="e">
        <f>BJ72/VLOOKUP(A72,'[64]geoMap (61)'!$A:$B,2,0)*VLOOKUP(A72,'[64]geoMap (61)'!$A:$C,3,0)</f>
        <v>#REF!</v>
      </c>
      <c r="BL72" s="4" t="e">
        <f>BK72/VLOOKUP(A72,'[65]geoMap (62)'!$A:$B,2,0)*VLOOKUP(A72,'[65]geoMap (62)'!$A:$C,3,0)</f>
        <v>#REF!</v>
      </c>
      <c r="BM72" s="1" t="e">
        <f>BL72/VLOOKUP(A72,'[66]geoMap (63)'!$A:$B,2,0)*VLOOKUP(A72,'[66]geoMap (63)'!$A:$C,3,0)</f>
        <v>#REF!</v>
      </c>
      <c r="BN72" s="4" t="e">
        <f>BM72/VLOOKUP(A72,'[67]geoMap (64)'!$A:$B,2,0)*VLOOKUP(A72,'[67]geoMap (64)'!$A:$C,3,0)</f>
        <v>#REF!</v>
      </c>
      <c r="BO72" s="1" t="e">
        <f>BN72/VLOOKUP(A72,'[68]geoMap (65)'!$A:$B,2,0)*VLOOKUP(A72,'[68]geoMap (65)'!$A:$C,3,0)</f>
        <v>#REF!</v>
      </c>
      <c r="BP72" s="4" t="e">
        <f>BO72/VLOOKUP(A72,'[69]geoMap (66)'!$A:$B,2,0)*VLOOKUP(A72,'[69]geoMap (66)'!$A:$C,3,0)</f>
        <v>#REF!</v>
      </c>
    </row>
    <row r="73" spans="1:68" x14ac:dyDescent="0.2">
      <c r="A73" s="1" t="s">
        <v>178</v>
      </c>
      <c r="B73" s="1">
        <f>VLOOKUP(A73,[3]geoMap!$A:$B,2,0)*Notes!$C$6</f>
        <v>3000</v>
      </c>
      <c r="C73" s="1">
        <f>B73/VLOOKUP(A73,'[4]geoMap (1)'!$A:$B,2,0)*VLOOKUP(A73,'[4]geoMap (1)'!$A:$C,3,0)</f>
        <v>1615.3846153846152</v>
      </c>
      <c r="D73" s="1">
        <f>C73/VLOOKUP(A73,'[5]geoMap (2)'!$A:$B,2,0)*VLOOKUP(A73,'[5]geoMap (2)'!$A:$C,3,0)</f>
        <v>1615.3846153846152</v>
      </c>
      <c r="E73" s="1">
        <f>D73/VLOOKUP(A73,'[6]geoMap (3)'!$A:$B,2,0)*VLOOKUP(A73,'[6]geoMap (3)'!$A:$C,3,0)</f>
        <v>1974.3589743589744</v>
      </c>
      <c r="F73" s="1">
        <f>E73/VLOOKUP(A73,'[7]geoMap (4)'!$A:$B,2,0)*VLOOKUP(A73,'[7]geoMap (4)'!$A:$C,3,0)</f>
        <v>1159.5441595441596</v>
      </c>
      <c r="G73" s="1">
        <f>F73/VLOOKUP(A73,'[8]geoMap (5)'!$A:$B,2,0)*VLOOKUP(A73,'[8]geoMap (5)'!$A:$C,3,0)</f>
        <v>874.74383965612049</v>
      </c>
      <c r="H73" s="1">
        <f>G73/VLOOKUP(A73,'[9]geoMap (6)'!$A:$B,2,0)*VLOOKUP(A73,'[9]geoMap (6)'!$A:$C,3,0)</f>
        <v>775.71623516674833</v>
      </c>
      <c r="I73" s="1">
        <f>H73/VLOOKUP(A73,'[10]geoMap (7)'!$A:$B,2,0)*VLOOKUP(A73,'[10]geoMap (7)'!$A:$C,3,0)</f>
        <v>495.94972412300302</v>
      </c>
      <c r="J73" s="1">
        <f>I73/VLOOKUP(A73,'[11]geoMap (8)'!$A:$B,2,0)*VLOOKUP(A73,'[11]geoMap (8)'!$A:$C,3,0)</f>
        <v>303.9691857528083</v>
      </c>
      <c r="K73" s="1">
        <f>J73/VLOOKUP(A73,'[12]geoMap (9)'!$A:$B,2,0)*VLOOKUP(A73,'[12]geoMap (9)'!$A:$C,3,0)</f>
        <v>258.93671378942929</v>
      </c>
      <c r="L73" s="1">
        <f>K73/VLOOKUP(A73,'[13]geoMap (10)'!$A:$B,2,0)*VLOOKUP(A73,'[13]geoMap (10)'!$A:$C,3,0)</f>
        <v>220.57571915395826</v>
      </c>
      <c r="M73" s="1">
        <f>L73/VLOOKUP(A73,'[14]geoMap (11)'!$A:$B,2,0)*VLOOKUP(A73,'[14]geoMap (11)'!$A:$C,3,0)</f>
        <v>147.05047943597216</v>
      </c>
      <c r="N73" s="1">
        <f>M73/VLOOKUP(A73,'[15]geoMap (12)'!$A:$B,2,0)*VLOOKUP(A73,'[15]geoMap (12)'!$A:$C,3,0)</f>
        <v>106.48482993639364</v>
      </c>
      <c r="O73" s="1">
        <f>N73/VLOOKUP(A73,'[16]geoMap (13)'!$A:$B,2,0)*VLOOKUP(A73,'[16]geoMap (13)'!$A:$C,3,0)</f>
        <v>125.00393079489689</v>
      </c>
      <c r="P73" s="1">
        <f>O73/VLOOKUP(A73,'[17]geoMap (14)'!$A:$B,2,0)*VLOOKUP(A73,'[17]geoMap (14)'!$A:$C,3,0)</f>
        <v>64.395964348886281</v>
      </c>
      <c r="Q73" s="1">
        <f>P73/VLOOKUP(A73,'[18]geoMap (15)'!$A:$B,2,0)*VLOOKUP(A73,'[18]geoMap (15)'!$A:$C,3,0)</f>
        <v>109.64718253999555</v>
      </c>
      <c r="R73" s="1">
        <f>Q73/VLOOKUP(A73,'[19]geoMap (16)'!$A:$B,2,0)*VLOOKUP(A73,'[19]geoMap (16)'!$A:$C,3,0)</f>
        <v>82.716295600347522</v>
      </c>
      <c r="S73" s="1">
        <f>R73/VLOOKUP(A73,'[20]geoMap (17)'!$A:$B,2,0)*VLOOKUP(A73,'[20]geoMap (17)'!$A:$C,3,0)</f>
        <v>62.400012470437616</v>
      </c>
      <c r="T73" s="1">
        <f>S73/VLOOKUP(A73,'[21]geoMap (18)'!$A:$B,2,0)*VLOOKUP(A73,'[21]geoMap (18)'!$A:$C,3,0)</f>
        <v>21.924328705829435</v>
      </c>
      <c r="U73" s="1">
        <f>T73/VLOOKUP(A73,'[22]geoMap (19)'!$A:$B,2,0)*VLOOKUP(A73,'[22]geoMap (19)'!$A:$C,3,0)</f>
        <v>21.924328705829435</v>
      </c>
      <c r="V73" s="1">
        <f>U73/VLOOKUP(A73,'[23]geoMap (20)'!$A:$B,2,0)*VLOOKUP(A73,'[23]geoMap (20)'!$A:$C,3,0)</f>
        <v>12.332434897029056</v>
      </c>
      <c r="W73" s="1">
        <f>V73/VLOOKUP(A73,'[24]geoMap (21)'!$A:$B,2,0)*VLOOKUP(A73,'[24]geoMap (21)'!$A:$C,3,0)</f>
        <v>41.286847263966841</v>
      </c>
      <c r="X73" s="1">
        <f>W73/VLOOKUP(A73,'[25]geoMap (22)'!$A:$B,2,0)*VLOOKUP(A73,'[25]geoMap (22)'!$A:$C,3,0)</f>
        <v>10.32171181599171</v>
      </c>
      <c r="Y73" s="1">
        <f>X73/VLOOKUP(A73,'[26]geoMap (23)'!$A:$B,2,0)*VLOOKUP(A73,'[26]geoMap (23)'!$A:$C,3,0)</f>
        <v>27.906850465459065</v>
      </c>
      <c r="Z73" s="1">
        <f>Y73/VLOOKUP(A73,'[27]geoMap (24)'!$A:$B,2,0)*VLOOKUP(A73,'[27]geoMap (24)'!$A:$C,3,0)</f>
        <v>14.376256300388004</v>
      </c>
      <c r="AA73" s="1">
        <f>Z73/VLOOKUP(A73,'[28]geoMap (25)'!$A:$B,2,0)*VLOOKUP(A73,'[28]geoMap (25)'!$A:$C,3,0)</f>
        <v>8.8112538615281313</v>
      </c>
      <c r="AB73" s="1">
        <f>AA73*VLOOKUP(A73,'[29]geoMap (26)'!$A:$B,2,0)*VLOOKUP(A73,'[29]geoMap (26)'!$A:$C,3,0)</f>
        <v>2.1147009267667518</v>
      </c>
      <c r="AC73" s="1">
        <f>AB73/VLOOKUP(A73,'[30]geoMap (27)'!$A:$B,2,0)*VLOOKUP(A73,'[30]geoMap (27)'!$A:$C,3,0)</f>
        <v>1.4098006178445015</v>
      </c>
      <c r="AD73" s="1">
        <f>AC73/VLOOKUP(A73,'[31]geoMap (28)'!$A:$B,2,0)*VLOOKUP(A73,'[31]geoMap (28)'!$A:$C,3,0)</f>
        <v>1.0208901025770529</v>
      </c>
      <c r="AE73" s="1">
        <f>AD73/VLOOKUP(A73,'[32]geoMap (29)'!$A:$B,2,0)*VLOOKUP(A73,'[32]geoMap (29)'!$A:$C,3,0)</f>
        <v>1.4690857573669787</v>
      </c>
      <c r="AF73" s="1">
        <f>AE73/VLOOKUP(A73,'[33]geoMap (30)'!$A:$B,2,0)*VLOOKUP(A73,'[33]geoMap (30)'!$A:$C,3,0)</f>
        <v>0.75680175379511028</v>
      </c>
      <c r="AG73" s="1">
        <f>AF73/VLOOKUP(A73,'[34]geoMap (31)'!$A:$B,2,0)*VLOOKUP(A73,'[34]geoMap (31)'!$A:$C,3,0)</f>
        <v>0.54802885619645925</v>
      </c>
      <c r="AH73" s="1">
        <f>AG73/VLOOKUP(A73,'[35]geoMap (32)'!$A:$B,2,0)*VLOOKUP(A73,'[35]geoMap (32)'!$A:$C,3,0)</f>
        <v>1.481707648234871</v>
      </c>
      <c r="AI73" s="1">
        <f>AH73/VLOOKUP(A73,'[36]geoMap (33)'!$A:$B,2,0)*VLOOKUP(A73,'[36]geoMap (33)'!$A:$C,3,0)</f>
        <v>0.72979630435448861</v>
      </c>
      <c r="AJ73" s="1">
        <f>AI73/VLOOKUP(A73,'[37]geoMap (34)'!$A:$B,2,0)*VLOOKUP(A73,'[37]geoMap (34)'!$A:$C,3,0)</f>
        <v>0.50714658438193272</v>
      </c>
      <c r="AK73" s="1">
        <f>AJ73/VLOOKUP(A73,'[38]geoMap (35)'!$A:$B,2,0)*VLOOKUP(A73,'[38]geoMap (35)'!$A:$C,3,0)</f>
        <v>0.36724407834553746</v>
      </c>
      <c r="AL73" s="1">
        <f>AK73/VLOOKUP(A73,'[39]geoMap (36)'!$A:$B,2,0)*VLOOKUP(A73,'[39]geoMap (36)'!$A:$C,3,0)</f>
        <v>0.21568303013944262</v>
      </c>
      <c r="AM73" s="1">
        <f>AL73/VLOOKUP(A73,'[40]geoMap (37)'!$A:$B,2,0)*VLOOKUP(A73,'[40]geoMap (37)'!$A:$C,3,0)</f>
        <v>0.33735038047451277</v>
      </c>
      <c r="AN73" s="1">
        <f>AM73/VLOOKUP(A73,'[41]geoMap (38)'!$A:$B,2,0)*VLOOKUP(A73,'[41]geoMap (38)'!$A:$C,3,0)</f>
        <v>0.11245012682483758</v>
      </c>
      <c r="AO73" s="1">
        <f>AN73/VLOOKUP(A73,'[42]geoMap (39)'!$A:$B,2,0)*VLOOKUP(A73,'[42]geoMap (39)'!$A:$C,3,0)</f>
        <v>0.51227279997981567</v>
      </c>
      <c r="AP73" s="1">
        <f>AO73/VLOOKUP(A73,'[43]geoMap (40)'!$A:$B,2,0)*VLOOKUP(A73,'[43]geoMap (40)'!$A:$C,3,0)</f>
        <v>0.26389810908051109</v>
      </c>
      <c r="AQ73" s="1">
        <f>AP73/VLOOKUP(A73,'[44]geoMap (41)'!$A:$B,2,0)*VLOOKUP(A73,'[44]geoMap (41)'!$A:$C,3,0)</f>
        <v>8.3336244972792975E-2</v>
      </c>
      <c r="AR73" s="1">
        <f>AQ73/VLOOKUP(A73,'[45]geoMap (42)'!$A:$B,2,0)*VLOOKUP(A73,'[45]geoMap (42)'!$A:$C,3,0)</f>
        <v>0.19445123826985025</v>
      </c>
      <c r="AS73" s="1">
        <f>AR73/VLOOKUP(A73,'[46]geoMap (43)'!$A:$B,2,0)*VLOOKUP(A73,'[46]geoMap (43)'!$A:$C,3,0)</f>
        <v>0.18682569951416986</v>
      </c>
      <c r="AT73" s="1">
        <f>AS73/VLOOKUP(A73,'[47]geoMap (44)'!$A:$B,2,0)*VLOOKUP(A73,'[47]geoMap (44)'!$A:$C,3,0)</f>
        <v>3.0413485967423003E-2</v>
      </c>
      <c r="AU73" s="1">
        <f>AT73/VLOOKUP(A73,'[48]geoMap (45)'!$A:$B,2,0)*VLOOKUP(A73,'[48]geoMap (45)'!$A:$C,3,0)</f>
        <v>9.1240457902269007E-2</v>
      </c>
      <c r="AV73" s="1">
        <f>AU73/VLOOKUP(A73,'[49]geoMap (46)'!$A:$B,2,0)*VLOOKUP(A73,'[49]geoMap (46)'!$A:$C,3,0)</f>
        <v>4.4939330011565332E-2</v>
      </c>
      <c r="AW73" s="1">
        <f>AV73/VLOOKUP(A73,'[50]geoMap (47)'!$A:$B,2,0)*VLOOKUP(A73,'[50]geoMap (47)'!$A:$C,3,0)</f>
        <v>8.3458755735764195E-2</v>
      </c>
      <c r="AX73" s="4">
        <f>AW73/VLOOKUP(A73,'[51]geoMap (48)'!$A:$B,2,0)*VLOOKUP(A73,'[51]geoMap (48)'!$A:$C,3,0)</f>
        <v>2.2185238866468962E-2</v>
      </c>
      <c r="AY73" s="1">
        <f>AX73/VLOOKUP(A73,'[52]geoMap (49)'!$A:$B,2,0)*VLOOKUP(A73,'[52]geoMap (49)'!$A:$C,3,0)</f>
        <v>2.2185238866468962E-2</v>
      </c>
      <c r="AZ73" s="4" t="e">
        <f>AY73/VLOOKUP(A73,'[53]geoMap (50)'!$A:$B,2,0)*VLOOKUP(A73,'[53]geoMap (50)'!$A:$C,3,0)</f>
        <v>#REF!</v>
      </c>
      <c r="BA73" s="1" t="e">
        <f>AZ73/VLOOKUP(A73,'[54]geoMap (51)'!$A:$B,2,0)*VLOOKUP(A73,'[54]geoMap (51)'!$A:$C,3,0)</f>
        <v>#REF!</v>
      </c>
      <c r="BB73" s="4" t="e">
        <f>BA73/VLOOKUP(A73,'[55]geoMap (52)'!$A:$B,2,0)*VLOOKUP(A73,'[55]geoMap (52)'!$A:$C,3,0)</f>
        <v>#REF!</v>
      </c>
      <c r="BC73" s="1" t="e">
        <f>BB73/VLOOKUP(A73,'[56]geoMap (53)'!$A:$B,2,0)*VLOOKUP(A73,'[56]geoMap (53)'!$A:$C,3,0)</f>
        <v>#REF!</v>
      </c>
      <c r="BD73" s="4" t="e">
        <f>BC73/VLOOKUP(A73,'[57]geoMap (54)'!$A:$B,2,0)*VLOOKUP(A73,'[57]geoMap (54)'!$A:$C,3,0)</f>
        <v>#REF!</v>
      </c>
      <c r="BE73" s="1" t="e">
        <f>BD73/VLOOKUP(A73,'[58]geoMap (55)'!$A:$B,2,0)*VLOOKUP(A73,'[58]geoMap (55)'!$A:$C,3,0)</f>
        <v>#REF!</v>
      </c>
      <c r="BF73" s="4" t="e">
        <f>BE73/VLOOKUP(A73,'[59]geoMap (56)'!$A:$B,2,0)*VLOOKUP(A73,'[59]geoMap (56)'!$A:$C,3,0)</f>
        <v>#REF!</v>
      </c>
      <c r="BG73" s="1" t="e">
        <f>BF73/VLOOKUP(A73,'[60]geoMap (57)'!$A:$B,2,0)*VLOOKUP(A73,'[60]geoMap (57)'!$A:$C,3,0)</f>
        <v>#REF!</v>
      </c>
      <c r="BH73" s="4" t="e">
        <f>BG73/VLOOKUP(A73,'[61]geoMap (58)'!$A:$B,2,0)*VLOOKUP(A73,'[61]geoMap (58)'!$A:$C,3,0)</f>
        <v>#REF!</v>
      </c>
      <c r="BI73" s="1" t="e">
        <f>BH73/VLOOKUP(A73,'[62]geoMap (59)'!$A:$B,2,0)*VLOOKUP(A73,'[62]geoMap (59)'!$A:$C,3,0)</f>
        <v>#REF!</v>
      </c>
      <c r="BJ73" s="4" t="e">
        <f>BI73/VLOOKUP(A73,'[63]geoMap (60)'!$A:$B,2,0)*VLOOKUP(A73,'[63]geoMap (60)'!$A:$C,3,0)</f>
        <v>#REF!</v>
      </c>
      <c r="BK73" s="1" t="e">
        <f>BJ73/VLOOKUP(A73,'[64]geoMap (61)'!$A:$B,2,0)*VLOOKUP(A73,'[64]geoMap (61)'!$A:$C,3,0)</f>
        <v>#REF!</v>
      </c>
      <c r="BL73" s="4" t="e">
        <f>BK73/VLOOKUP(A73,'[65]geoMap (62)'!$A:$B,2,0)*VLOOKUP(A73,'[65]geoMap (62)'!$A:$C,3,0)</f>
        <v>#REF!</v>
      </c>
      <c r="BM73" s="1" t="e">
        <f>BL73/VLOOKUP(A73,'[66]geoMap (63)'!$A:$B,2,0)*VLOOKUP(A73,'[66]geoMap (63)'!$A:$C,3,0)</f>
        <v>#REF!</v>
      </c>
      <c r="BN73" s="4" t="e">
        <f>BM73/VLOOKUP(A73,'[67]geoMap (64)'!$A:$B,2,0)*VLOOKUP(A73,'[67]geoMap (64)'!$A:$C,3,0)</f>
        <v>#REF!</v>
      </c>
      <c r="BO73" s="1" t="e">
        <f>BN73/VLOOKUP(A73,'[68]geoMap (65)'!$A:$B,2,0)*VLOOKUP(A73,'[68]geoMap (65)'!$A:$C,3,0)</f>
        <v>#REF!</v>
      </c>
      <c r="BP73" s="4" t="e">
        <f>BO73/VLOOKUP(A73,'[69]geoMap (66)'!$A:$B,2,0)*VLOOKUP(A73,'[69]geoMap (66)'!$A:$C,3,0)</f>
        <v>#REF!</v>
      </c>
    </row>
    <row r="74" spans="1:68" x14ac:dyDescent="0.2">
      <c r="A74" s="1" t="s">
        <v>184</v>
      </c>
      <c r="B74" s="1">
        <f>VLOOKUP(A74,[3]geoMap!$A:$B,2,0)*Notes!$C$6</f>
        <v>3000</v>
      </c>
      <c r="C74" s="1">
        <f>B74/VLOOKUP(A74,'[4]geoMap (1)'!$A:$B,2,0)*VLOOKUP(A74,'[4]geoMap (1)'!$A:$C,3,0)</f>
        <v>1545.4545454545455</v>
      </c>
      <c r="D74" s="1">
        <f>C74/VLOOKUP(A74,'[5]geoMap (2)'!$A:$B,2,0)*VLOOKUP(A74,'[5]geoMap (2)'!$A:$C,3,0)</f>
        <v>1316.4983164983166</v>
      </c>
      <c r="E74" s="1">
        <f>D74/VLOOKUP(A74,'[6]geoMap (3)'!$A:$B,2,0)*VLOOKUP(A74,'[6]geoMap (3)'!$A:$C,3,0)</f>
        <v>2340.4414515525632</v>
      </c>
      <c r="F74" s="1">
        <f>E74/VLOOKUP(A74,'[7]geoMap (4)'!$A:$B,2,0)*VLOOKUP(A74,'[7]geoMap (4)'!$A:$C,3,0)</f>
        <v>2160.4074937408277</v>
      </c>
      <c r="G74" s="1">
        <f>F74/VLOOKUP(A74,'[8]geoMap (5)'!$A:$B,2,0)*VLOOKUP(A74,'[8]geoMap (5)'!$A:$C,3,0)</f>
        <v>799.05482645208701</v>
      </c>
      <c r="H74" s="1">
        <f>G74/VLOOKUP(A74,'[9]geoMap (6)'!$A:$B,2,0)*VLOOKUP(A74,'[9]geoMap (6)'!$A:$C,3,0)</f>
        <v>767.71934306180913</v>
      </c>
      <c r="I74" s="1">
        <f>H74/VLOOKUP(A74,'[10]geoMap (7)'!$A:$B,2,0)*VLOOKUP(A74,'[10]geoMap (7)'!$A:$C,3,0)</f>
        <v>283.9509898995733</v>
      </c>
      <c r="J74" s="1">
        <f>I74/VLOOKUP(A74,'[11]geoMap (8)'!$A:$B,2,0)*VLOOKUP(A74,'[11]geoMap (8)'!$A:$C,3,0)</f>
        <v>307.61357239120446</v>
      </c>
      <c r="K74" s="1">
        <f>J74/VLOOKUP(A74,'[12]geoMap (9)'!$A:$B,2,0)*VLOOKUP(A74,'[12]geoMap (9)'!$A:$C,3,0)</f>
        <v>501.89582863828093</v>
      </c>
      <c r="L74" s="1">
        <f>K74/VLOOKUP(A74,'[13]geoMap (10)'!$A:$B,2,0)*VLOOKUP(A74,'[13]geoMap (10)'!$A:$C,3,0)</f>
        <v>176.34177762966627</v>
      </c>
      <c r="M74" s="1">
        <f>L74/VLOOKUP(A74,'[14]geoMap (11)'!$A:$B,2,0)*VLOOKUP(A74,'[14]geoMap (11)'!$A:$C,3,0)</f>
        <v>264.51266644449936</v>
      </c>
      <c r="N74" s="1">
        <f>M74/VLOOKUP(A74,'[15]geoMap (12)'!$A:$B,2,0)*VLOOKUP(A74,'[15]geoMap (12)'!$A:$C,3,0)</f>
        <v>124.47654891505853</v>
      </c>
      <c r="O74" s="1" t="e">
        <f>N74/VLOOKUP(A74,'[16]geoMap (13)'!$A:$B,2,0)*VLOOKUP(A74,'[16]geoMap (13)'!$A:$C,3,0)</f>
        <v>#REF!</v>
      </c>
      <c r="P74" s="1" t="e">
        <f>O74/VLOOKUP(A74,'[17]geoMap (14)'!$A:$B,2,0)*VLOOKUP(A74,'[17]geoMap (14)'!$A:$C,3,0)</f>
        <v>#REF!</v>
      </c>
      <c r="Q74" s="1" t="e">
        <f>P74/VLOOKUP(A74,'[18]geoMap (15)'!$A:$B,2,0)*VLOOKUP(A74,'[18]geoMap (15)'!$A:$C,3,0)</f>
        <v>#REF!</v>
      </c>
      <c r="R74" s="1" t="e">
        <f>Q74/VLOOKUP(A74,'[19]geoMap (16)'!$A:$B,2,0)*VLOOKUP(A74,'[19]geoMap (16)'!$A:$C,3,0)</f>
        <v>#REF!</v>
      </c>
      <c r="S74" s="1" t="e">
        <f>R74/VLOOKUP(A74,'[20]geoMap (17)'!$A:$B,2,0)*VLOOKUP(A74,'[20]geoMap (17)'!$A:$C,3,0)</f>
        <v>#REF!</v>
      </c>
      <c r="T74" s="1" t="e">
        <f>S74/VLOOKUP(A74,'[21]geoMap (18)'!$A:$B,2,0)*VLOOKUP(A74,'[21]geoMap (18)'!$A:$C,3,0)</f>
        <v>#REF!</v>
      </c>
      <c r="U74" s="1" t="e">
        <f>T74/VLOOKUP(A74,'[22]geoMap (19)'!$A:$B,2,0)*VLOOKUP(A74,'[22]geoMap (19)'!$A:$C,3,0)</f>
        <v>#REF!</v>
      </c>
      <c r="V74" s="1" t="e">
        <f>U74/VLOOKUP(A74,'[23]geoMap (20)'!$A:$B,2,0)*VLOOKUP(A74,'[23]geoMap (20)'!$A:$C,3,0)</f>
        <v>#REF!</v>
      </c>
      <c r="W74" s="1" t="e">
        <f>V74/VLOOKUP(A74,'[24]geoMap (21)'!$A:$B,2,0)*VLOOKUP(A74,'[24]geoMap (21)'!$A:$C,3,0)</f>
        <v>#REF!</v>
      </c>
      <c r="X74" s="1" t="e">
        <f>W74/VLOOKUP(A74,'[25]geoMap (22)'!$A:$B,2,0)*VLOOKUP(A74,'[25]geoMap (22)'!$A:$C,3,0)</f>
        <v>#REF!</v>
      </c>
      <c r="Y74" s="1" t="e">
        <f>X74/VLOOKUP(A74,'[26]geoMap (23)'!$A:$B,2,0)*VLOOKUP(A74,'[26]geoMap (23)'!$A:$C,3,0)</f>
        <v>#REF!</v>
      </c>
      <c r="Z74" s="1" t="e">
        <f>Y74/VLOOKUP(A74,'[27]geoMap (24)'!$A:$B,2,0)*VLOOKUP(A74,'[27]geoMap (24)'!$A:$C,3,0)</f>
        <v>#REF!</v>
      </c>
      <c r="AA74" s="1" t="e">
        <f>Z74/VLOOKUP(A74,'[28]geoMap (25)'!$A:$B,2,0)*VLOOKUP(A74,'[28]geoMap (25)'!$A:$C,3,0)</f>
        <v>#REF!</v>
      </c>
      <c r="AB74" s="1" t="e">
        <f>AA74*VLOOKUP(A74,'[29]geoMap (26)'!$A:$B,2,0)*VLOOKUP(A74,'[29]geoMap (26)'!$A:$C,3,0)</f>
        <v>#REF!</v>
      </c>
      <c r="AC74" s="1" t="e">
        <f>AB74/VLOOKUP(A74,'[30]geoMap (27)'!$A:$B,2,0)*VLOOKUP(A74,'[30]geoMap (27)'!$A:$C,3,0)</f>
        <v>#REF!</v>
      </c>
      <c r="AD74" s="1" t="e">
        <f>AC74/VLOOKUP(A74,'[31]geoMap (28)'!$A:$B,2,0)*VLOOKUP(A74,'[31]geoMap (28)'!$A:$C,3,0)</f>
        <v>#REF!</v>
      </c>
      <c r="AE74" s="1" t="e">
        <f>AD74/VLOOKUP(A74,'[32]geoMap (29)'!$A:$B,2,0)*VLOOKUP(A74,'[32]geoMap (29)'!$A:$C,3,0)</f>
        <v>#REF!</v>
      </c>
      <c r="AF74" s="1" t="e">
        <f>AE74/VLOOKUP(A74,'[33]geoMap (30)'!$A:$B,2,0)*VLOOKUP(A74,'[33]geoMap (30)'!$A:$C,3,0)</f>
        <v>#REF!</v>
      </c>
      <c r="AG74" s="1" t="e">
        <f>AF74/VLOOKUP(A74,'[34]geoMap (31)'!$A:$B,2,0)*VLOOKUP(A74,'[34]geoMap (31)'!$A:$C,3,0)</f>
        <v>#REF!</v>
      </c>
      <c r="AH74" s="1" t="e">
        <f>AG74/VLOOKUP(A74,'[35]geoMap (32)'!$A:$B,2,0)*VLOOKUP(A74,'[35]geoMap (32)'!$A:$C,3,0)</f>
        <v>#REF!</v>
      </c>
      <c r="AI74" s="1" t="e">
        <f>AH74/VLOOKUP(A74,'[36]geoMap (33)'!$A:$B,2,0)*VLOOKUP(A74,'[36]geoMap (33)'!$A:$C,3,0)</f>
        <v>#REF!</v>
      </c>
      <c r="AJ74" s="1" t="e">
        <f>AI74/VLOOKUP(A74,'[37]geoMap (34)'!$A:$B,2,0)*VLOOKUP(A74,'[37]geoMap (34)'!$A:$C,3,0)</f>
        <v>#REF!</v>
      </c>
      <c r="AK74" s="1" t="e">
        <f>AJ74/VLOOKUP(A74,'[38]geoMap (35)'!$A:$B,2,0)*VLOOKUP(A74,'[38]geoMap (35)'!$A:$C,3,0)</f>
        <v>#REF!</v>
      </c>
      <c r="AL74" s="1" t="e">
        <f>AK74/VLOOKUP(A74,'[39]geoMap (36)'!$A:$B,2,0)*VLOOKUP(A74,'[39]geoMap (36)'!$A:$C,3,0)</f>
        <v>#REF!</v>
      </c>
      <c r="AM74" s="1" t="e">
        <f>AL74/VLOOKUP(A74,'[40]geoMap (37)'!$A:$B,2,0)*VLOOKUP(A74,'[40]geoMap (37)'!$A:$C,3,0)</f>
        <v>#REF!</v>
      </c>
      <c r="AN74" s="1" t="e">
        <f>AM74/VLOOKUP(A74,'[41]geoMap (38)'!$A:$B,2,0)*VLOOKUP(A74,'[41]geoMap (38)'!$A:$C,3,0)</f>
        <v>#REF!</v>
      </c>
      <c r="AO74" s="1" t="e">
        <f>AN74/VLOOKUP(A74,'[42]geoMap (39)'!$A:$B,2,0)*VLOOKUP(A74,'[42]geoMap (39)'!$A:$C,3,0)</f>
        <v>#REF!</v>
      </c>
      <c r="AP74" s="1" t="e">
        <f>AO74/VLOOKUP(A74,'[43]geoMap (40)'!$A:$B,2,0)*VLOOKUP(A74,'[43]geoMap (40)'!$A:$C,3,0)</f>
        <v>#REF!</v>
      </c>
      <c r="AQ74" s="1" t="e">
        <f>AP74/VLOOKUP(A74,'[44]geoMap (41)'!$A:$B,2,0)*VLOOKUP(A74,'[44]geoMap (41)'!$A:$C,3,0)</f>
        <v>#REF!</v>
      </c>
      <c r="AR74" s="1" t="e">
        <f>AQ74/VLOOKUP(A74,'[45]geoMap (42)'!$A:$B,2,0)*VLOOKUP(A74,'[45]geoMap (42)'!$A:$C,3,0)</f>
        <v>#REF!</v>
      </c>
      <c r="AS74" s="1" t="e">
        <f>AR74/VLOOKUP(A74,'[46]geoMap (43)'!$A:$B,2,0)*VLOOKUP(A74,'[46]geoMap (43)'!$A:$C,3,0)</f>
        <v>#REF!</v>
      </c>
      <c r="AT74" s="1" t="e">
        <f>AS74/VLOOKUP(A74,'[47]geoMap (44)'!$A:$B,2,0)*VLOOKUP(A74,'[47]geoMap (44)'!$A:$C,3,0)</f>
        <v>#REF!</v>
      </c>
      <c r="AU74" s="1" t="e">
        <f>AT74/VLOOKUP(A74,'[48]geoMap (45)'!$A:$B,2,0)*VLOOKUP(A74,'[48]geoMap (45)'!$A:$C,3,0)</f>
        <v>#REF!</v>
      </c>
      <c r="AV74" s="1" t="e">
        <f>AU74/VLOOKUP(A74,'[49]geoMap (46)'!$A:$B,2,0)*VLOOKUP(A74,'[49]geoMap (46)'!$A:$C,3,0)</f>
        <v>#REF!</v>
      </c>
      <c r="AW74" s="1" t="e">
        <f>AV74/VLOOKUP(A74,'[50]geoMap (47)'!$A:$B,2,0)*VLOOKUP(A74,'[50]geoMap (47)'!$A:$C,3,0)</f>
        <v>#REF!</v>
      </c>
      <c r="AX74" s="4" t="e">
        <f>AW74/VLOOKUP(A74,'[51]geoMap (48)'!$A:$B,2,0)*VLOOKUP(A74,'[51]geoMap (48)'!$A:$C,3,0)</f>
        <v>#REF!</v>
      </c>
      <c r="AY74" s="1" t="e">
        <f>AX74/VLOOKUP(A74,'[52]geoMap (49)'!$A:$B,2,0)*VLOOKUP(A74,'[52]geoMap (49)'!$A:$C,3,0)</f>
        <v>#REF!</v>
      </c>
      <c r="AZ74" s="4" t="e">
        <f>AY74/VLOOKUP(A74,'[53]geoMap (50)'!$A:$B,2,0)*VLOOKUP(A74,'[53]geoMap (50)'!$A:$C,3,0)</f>
        <v>#REF!</v>
      </c>
      <c r="BA74" s="1" t="e">
        <f>AZ74/VLOOKUP(A74,'[54]geoMap (51)'!$A:$B,2,0)*VLOOKUP(A74,'[54]geoMap (51)'!$A:$C,3,0)</f>
        <v>#REF!</v>
      </c>
      <c r="BB74" s="4" t="e">
        <f>BA74/VLOOKUP(A74,'[55]geoMap (52)'!$A:$B,2,0)*VLOOKUP(A74,'[55]geoMap (52)'!$A:$C,3,0)</f>
        <v>#REF!</v>
      </c>
      <c r="BC74" s="1" t="e">
        <f>BB74/VLOOKUP(A74,'[56]geoMap (53)'!$A:$B,2,0)*VLOOKUP(A74,'[56]geoMap (53)'!$A:$C,3,0)</f>
        <v>#REF!</v>
      </c>
      <c r="BD74" s="4" t="e">
        <f>BC74/VLOOKUP(A74,'[57]geoMap (54)'!$A:$B,2,0)*VLOOKUP(A74,'[57]geoMap (54)'!$A:$C,3,0)</f>
        <v>#REF!</v>
      </c>
      <c r="BE74" s="1" t="e">
        <f>BD74/VLOOKUP(A74,'[58]geoMap (55)'!$A:$B,2,0)*VLOOKUP(A74,'[58]geoMap (55)'!$A:$C,3,0)</f>
        <v>#REF!</v>
      </c>
      <c r="BF74" s="4" t="e">
        <f>BE74/VLOOKUP(A74,'[59]geoMap (56)'!$A:$B,2,0)*VLOOKUP(A74,'[59]geoMap (56)'!$A:$C,3,0)</f>
        <v>#REF!</v>
      </c>
      <c r="BG74" s="1" t="e">
        <f>BF74/VLOOKUP(A74,'[60]geoMap (57)'!$A:$B,2,0)*VLOOKUP(A74,'[60]geoMap (57)'!$A:$C,3,0)</f>
        <v>#REF!</v>
      </c>
      <c r="BH74" s="4" t="e">
        <f>BG74/VLOOKUP(A74,'[61]geoMap (58)'!$A:$B,2,0)*VLOOKUP(A74,'[61]geoMap (58)'!$A:$C,3,0)</f>
        <v>#REF!</v>
      </c>
      <c r="BI74" s="1" t="e">
        <f>BH74/VLOOKUP(A74,'[62]geoMap (59)'!$A:$B,2,0)*VLOOKUP(A74,'[62]geoMap (59)'!$A:$C,3,0)</f>
        <v>#REF!</v>
      </c>
      <c r="BJ74" s="4" t="e">
        <f>BI74/VLOOKUP(A74,'[63]geoMap (60)'!$A:$B,2,0)*VLOOKUP(A74,'[63]geoMap (60)'!$A:$C,3,0)</f>
        <v>#REF!</v>
      </c>
      <c r="BK74" s="1" t="e">
        <f>BJ74/VLOOKUP(A74,'[64]geoMap (61)'!$A:$B,2,0)*VLOOKUP(A74,'[64]geoMap (61)'!$A:$C,3,0)</f>
        <v>#REF!</v>
      </c>
      <c r="BL74" s="4" t="e">
        <f>BK74/VLOOKUP(A74,'[65]geoMap (62)'!$A:$B,2,0)*VLOOKUP(A74,'[65]geoMap (62)'!$A:$C,3,0)</f>
        <v>#REF!</v>
      </c>
      <c r="BM74" s="1" t="e">
        <f>BL74/VLOOKUP(A74,'[66]geoMap (63)'!$A:$B,2,0)*VLOOKUP(A74,'[66]geoMap (63)'!$A:$C,3,0)</f>
        <v>#REF!</v>
      </c>
      <c r="BN74" s="4" t="e">
        <f>BM74/VLOOKUP(A74,'[67]geoMap (64)'!$A:$B,2,0)*VLOOKUP(A74,'[67]geoMap (64)'!$A:$C,3,0)</f>
        <v>#REF!</v>
      </c>
      <c r="BO74" s="1" t="e">
        <f>BN74/VLOOKUP(A74,'[68]geoMap (65)'!$A:$B,2,0)*VLOOKUP(A74,'[68]geoMap (65)'!$A:$C,3,0)</f>
        <v>#REF!</v>
      </c>
      <c r="BP74" s="4" t="e">
        <f>BO74/VLOOKUP(A74,'[69]geoMap (66)'!$A:$B,2,0)*VLOOKUP(A74,'[69]geoMap (66)'!$A:$C,3,0)</f>
        <v>#REF!</v>
      </c>
    </row>
    <row r="75" spans="1:68" x14ac:dyDescent="0.2">
      <c r="A75" s="1" t="s">
        <v>189</v>
      </c>
      <c r="B75" s="1">
        <f>VLOOKUP(A75,[3]geoMap!$A:$B,2,0)*Notes!$C$6</f>
        <v>2000</v>
      </c>
      <c r="C75" s="1">
        <f>B75/VLOOKUP(A75,'[4]geoMap (1)'!$A:$B,2,0)*VLOOKUP(A75,'[4]geoMap (1)'!$A:$C,3,0)</f>
        <v>1571.4285714285713</v>
      </c>
      <c r="D75" s="1">
        <f>C75/VLOOKUP(A75,'[5]geoMap (2)'!$A:$B,2,0)*VLOOKUP(A75,'[5]geoMap (2)'!$A:$C,3,0)</f>
        <v>1920.6349206349205</v>
      </c>
      <c r="E75" s="1">
        <f>D75/VLOOKUP(A75,'[6]geoMap (3)'!$A:$B,2,0)*VLOOKUP(A75,'[6]geoMap (3)'!$A:$C,3,0)</f>
        <v>1845.3159041394333</v>
      </c>
      <c r="F75" s="1">
        <f>E75/VLOOKUP(A75,'[7]geoMap (4)'!$A:$B,2,0)*VLOOKUP(A75,'[7]geoMap (4)'!$A:$C,3,0)</f>
        <v>1999.0922294843863</v>
      </c>
      <c r="G75" s="1">
        <f>F75/VLOOKUP(A75,'[8]geoMap (5)'!$A:$B,2,0)*VLOOKUP(A75,'[8]geoMap (5)'!$A:$C,3,0)</f>
        <v>984.62751601469768</v>
      </c>
      <c r="H75" s="1">
        <f>G75/VLOOKUP(A75,'[9]geoMap (6)'!$A:$B,2,0)*VLOOKUP(A75,'[9]geoMap (6)'!$A:$C,3,0)</f>
        <v>656.4183440097986</v>
      </c>
      <c r="I75" s="1">
        <f>H75/VLOOKUP(A75,'[10]geoMap (7)'!$A:$B,2,0)*VLOOKUP(A75,'[10]geoMap (7)'!$A:$C,3,0)</f>
        <v>802.28908712308726</v>
      </c>
      <c r="J75" s="1">
        <f>I75/VLOOKUP(A75,'[11]geoMap (8)'!$A:$B,2,0)*VLOOKUP(A75,'[11]geoMap (8)'!$A:$C,3,0)</f>
        <v>835.03558047504998</v>
      </c>
      <c r="K75" s="1">
        <f>J75/VLOOKUP(A75,'[12]geoMap (9)'!$A:$B,2,0)*VLOOKUP(A75,'[12]geoMap (9)'!$A:$C,3,0)</f>
        <v>375.16091296705144</v>
      </c>
      <c r="L75" s="1">
        <f>K75/VLOOKUP(A75,'[13]geoMap (10)'!$A:$B,2,0)*VLOOKUP(A75,'[13]geoMap (10)'!$A:$C,3,0)</f>
        <v>176.54631198449479</v>
      </c>
      <c r="M75" s="1">
        <f>L75/VLOOKUP(A75,'[14]geoMap (11)'!$A:$B,2,0)*VLOOKUP(A75,'[14]geoMap (11)'!$A:$C,3,0)</f>
        <v>243.80204988334992</v>
      </c>
      <c r="N75" s="1">
        <f>M75/VLOOKUP(A75,'[15]geoMap (12)'!$A:$B,2,0)*VLOOKUP(A75,'[15]geoMap (12)'!$A:$C,3,0)</f>
        <v>125.59499539445298</v>
      </c>
      <c r="O75" s="1">
        <f>N75/VLOOKUP(A75,'[16]geoMap (13)'!$A:$B,2,0)*VLOOKUP(A75,'[16]geoMap (13)'!$A:$C,3,0)</f>
        <v>180.73426166518843</v>
      </c>
      <c r="P75" s="1">
        <f>O75/VLOOKUP(A75,'[17]geoMap (14)'!$A:$B,2,0)*VLOOKUP(A75,'[17]geoMap (14)'!$A:$C,3,0)</f>
        <v>101.66302218666848</v>
      </c>
      <c r="Q75" s="1">
        <f>P75/VLOOKUP(A75,'[18]geoMap (15)'!$A:$B,2,0)*VLOOKUP(A75,'[18]geoMap (15)'!$A:$C,3,0)</f>
        <v>97.676237002877571</v>
      </c>
      <c r="R75" s="1">
        <f>Q75/VLOOKUP(A75,'[19]geoMap (16)'!$A:$B,2,0)*VLOOKUP(A75,'[19]geoMap (16)'!$A:$C,3,0)</f>
        <v>62.448741690364358</v>
      </c>
      <c r="S75" s="1">
        <f>R75/VLOOKUP(A75,'[20]geoMap (17)'!$A:$B,2,0)*VLOOKUP(A75,'[20]geoMap (17)'!$A:$C,3,0)</f>
        <v>79.48021669682737</v>
      </c>
      <c r="T75" s="1">
        <f>S75/VLOOKUP(A75,'[21]geoMap (18)'!$A:$B,2,0)*VLOOKUP(A75,'[21]geoMap (18)'!$A:$C,3,0)</f>
        <v>17.446876835888936</v>
      </c>
      <c r="U75" s="1">
        <f>T75/VLOOKUP(A75,'[22]geoMap (19)'!$A:$B,2,0)*VLOOKUP(A75,'[22]geoMap (19)'!$A:$C,3,0)</f>
        <v>40.709379283740851</v>
      </c>
      <c r="V75" s="1">
        <f>U75/VLOOKUP(A75,'[23]geoMap (20)'!$A:$B,2,0)*VLOOKUP(A75,'[23]geoMap (20)'!$A:$C,3,0)</f>
        <v>58.581789700992928</v>
      </c>
      <c r="W75" s="1">
        <f>V75/VLOOKUP(A75,'[24]geoMap (21)'!$A:$B,2,0)*VLOOKUP(A75,'[24]geoMap (21)'!$A:$C,3,0)</f>
        <v>6.509087744554769</v>
      </c>
      <c r="X75" s="1">
        <f>W75/VLOOKUP(A75,'[25]geoMap (22)'!$A:$B,2,0)*VLOOKUP(A75,'[25]geoMap (22)'!$A:$C,3,0)</f>
        <v>12.088305811316001</v>
      </c>
      <c r="Y75" s="1">
        <f>X75/VLOOKUP(A75,'[26]geoMap (23)'!$A:$B,2,0)*VLOOKUP(A75,'[26]geoMap (23)'!$A:$C,3,0)</f>
        <v>14.190619865457915</v>
      </c>
      <c r="Z75" s="1">
        <f>Y75/VLOOKUP(A75,'[27]geoMap (24)'!$A:$B,2,0)*VLOOKUP(A75,'[27]geoMap (24)'!$A:$C,3,0)</f>
        <v>18.810821682118629</v>
      </c>
      <c r="AA75" s="1">
        <f>Z75/VLOOKUP(A75,'[28]geoMap (25)'!$A:$B,2,0)*VLOOKUP(A75,'[28]geoMap (25)'!$A:$C,3,0)</f>
        <v>6.9574271974959316</v>
      </c>
      <c r="AB75" s="1">
        <f>AA75*VLOOKUP(A75,'[29]geoMap (26)'!$A:$B,2,0)*VLOOKUP(A75,'[29]geoMap (26)'!$A:$C,3,0)</f>
        <v>1.5612466631180872</v>
      </c>
      <c r="AC75" s="1">
        <f>AB75/VLOOKUP(A75,'[30]geoMap (27)'!$A:$B,2,0)*VLOOKUP(A75,'[30]geoMap (27)'!$A:$C,3,0)</f>
        <v>1.8327678219212329</v>
      </c>
      <c r="AD75" s="1">
        <f>AC75/VLOOKUP(A75,'[31]geoMap (28)'!$A:$B,2,0)*VLOOKUP(A75,'[31]geoMap (28)'!$A:$C,3,0)</f>
        <v>1.123309310209788</v>
      </c>
      <c r="AE75" s="1">
        <f>AD75/VLOOKUP(A75,'[32]geoMap (29)'!$A:$B,2,0)*VLOOKUP(A75,'[32]geoMap (29)'!$A:$C,3,0)</f>
        <v>0.91907125380800825</v>
      </c>
      <c r="AF75" s="1">
        <f>AE75/VLOOKUP(A75,'[33]geoMap (30)'!$A:$B,2,0)*VLOOKUP(A75,'[33]geoMap (30)'!$A:$C,3,0)</f>
        <v>1.0363994989749881</v>
      </c>
      <c r="AG75" s="1">
        <f>AF75/VLOOKUP(A75,'[34]geoMap (31)'!$A:$B,2,0)*VLOOKUP(A75,'[34]geoMap (31)'!$A:$C,3,0)</f>
        <v>0.81431389205177618</v>
      </c>
      <c r="AH75" s="1">
        <f>AG75/VLOOKUP(A75,'[35]geoMap (32)'!$A:$B,2,0)*VLOOKUP(A75,'[35]geoMap (32)'!$A:$C,3,0)</f>
        <v>0.88217338305609083</v>
      </c>
      <c r="AI75" s="1">
        <f>AH75/VLOOKUP(A75,'[36]geoMap (33)'!$A:$B,2,0)*VLOOKUP(A75,'[36]geoMap (33)'!$A:$C,3,0)</f>
        <v>0.63881520841992789</v>
      </c>
      <c r="AJ75" s="1">
        <f>AI75/VLOOKUP(A75,'[37]geoMap (34)'!$A:$B,2,0)*VLOOKUP(A75,'[37]geoMap (34)'!$A:$C,3,0)</f>
        <v>0.81303753798899925</v>
      </c>
      <c r="AK75" s="1">
        <f>AJ75/VLOOKUP(A75,'[38]geoMap (35)'!$A:$B,2,0)*VLOOKUP(A75,'[38]geoMap (35)'!$A:$C,3,0)</f>
        <v>0.66521253108190836</v>
      </c>
      <c r="AL75" s="1" t="e">
        <f>AK75/VLOOKUP(A75,'[39]geoMap (36)'!$A:$B,2,0)*VLOOKUP(A75,'[39]geoMap (36)'!$A:$C,3,0)</f>
        <v>#REF!</v>
      </c>
      <c r="AM75" s="1" t="e">
        <f>AL75/VLOOKUP(A75,'[40]geoMap (37)'!$A:$B,2,0)*VLOOKUP(A75,'[40]geoMap (37)'!$A:$C,3,0)</f>
        <v>#REF!</v>
      </c>
      <c r="AN75" s="1" t="e">
        <f>AM75/VLOOKUP(A75,'[41]geoMap (38)'!$A:$B,2,0)*VLOOKUP(A75,'[41]geoMap (38)'!$A:$C,3,0)</f>
        <v>#REF!</v>
      </c>
      <c r="AO75" s="1" t="e">
        <f>AN75/VLOOKUP(A75,'[42]geoMap (39)'!$A:$B,2,0)*VLOOKUP(A75,'[42]geoMap (39)'!$A:$C,3,0)</f>
        <v>#REF!</v>
      </c>
      <c r="AP75" s="1" t="e">
        <f>AO75/VLOOKUP(A75,'[43]geoMap (40)'!$A:$B,2,0)*VLOOKUP(A75,'[43]geoMap (40)'!$A:$C,3,0)</f>
        <v>#REF!</v>
      </c>
      <c r="AQ75" s="1" t="e">
        <f>AP75/VLOOKUP(A75,'[44]geoMap (41)'!$A:$B,2,0)*VLOOKUP(A75,'[44]geoMap (41)'!$A:$C,3,0)</f>
        <v>#REF!</v>
      </c>
      <c r="AR75" s="1" t="e">
        <f>AQ75/VLOOKUP(A75,'[45]geoMap (42)'!$A:$B,2,0)*VLOOKUP(A75,'[45]geoMap (42)'!$A:$C,3,0)</f>
        <v>#REF!</v>
      </c>
      <c r="AS75" s="1" t="e">
        <f>AR75/VLOOKUP(A75,'[46]geoMap (43)'!$A:$B,2,0)*VLOOKUP(A75,'[46]geoMap (43)'!$A:$C,3,0)</f>
        <v>#REF!</v>
      </c>
      <c r="AT75" s="1" t="e">
        <f>AS75/VLOOKUP(A75,'[47]geoMap (44)'!$A:$B,2,0)*VLOOKUP(A75,'[47]geoMap (44)'!$A:$C,3,0)</f>
        <v>#REF!</v>
      </c>
      <c r="AU75" s="1" t="e">
        <f>AT75/VLOOKUP(A75,'[48]geoMap (45)'!$A:$B,2,0)*VLOOKUP(A75,'[48]geoMap (45)'!$A:$C,3,0)</f>
        <v>#REF!</v>
      </c>
      <c r="AV75" s="1" t="e">
        <f>AU75/VLOOKUP(A75,'[49]geoMap (46)'!$A:$B,2,0)*VLOOKUP(A75,'[49]geoMap (46)'!$A:$C,3,0)</f>
        <v>#REF!</v>
      </c>
      <c r="AW75" s="1" t="e">
        <f>AV75/VLOOKUP(A75,'[50]geoMap (47)'!$A:$B,2,0)*VLOOKUP(A75,'[50]geoMap (47)'!$A:$C,3,0)</f>
        <v>#REF!</v>
      </c>
      <c r="AX75" s="4" t="e">
        <f>AW75/VLOOKUP(A75,'[51]geoMap (48)'!$A:$B,2,0)*VLOOKUP(A75,'[51]geoMap (48)'!$A:$C,3,0)</f>
        <v>#REF!</v>
      </c>
      <c r="AY75" s="1" t="e">
        <f>AX75/VLOOKUP(A75,'[52]geoMap (49)'!$A:$B,2,0)*VLOOKUP(A75,'[52]geoMap (49)'!$A:$C,3,0)</f>
        <v>#REF!</v>
      </c>
      <c r="AZ75" s="4" t="e">
        <f>AY75/VLOOKUP(A75,'[53]geoMap (50)'!$A:$B,2,0)*VLOOKUP(A75,'[53]geoMap (50)'!$A:$C,3,0)</f>
        <v>#REF!</v>
      </c>
      <c r="BA75" s="1" t="e">
        <f>AZ75/VLOOKUP(A75,'[54]geoMap (51)'!$A:$B,2,0)*VLOOKUP(A75,'[54]geoMap (51)'!$A:$C,3,0)</f>
        <v>#REF!</v>
      </c>
      <c r="BB75" s="4" t="e">
        <f>BA75/VLOOKUP(A75,'[55]geoMap (52)'!$A:$B,2,0)*VLOOKUP(A75,'[55]geoMap (52)'!$A:$C,3,0)</f>
        <v>#REF!</v>
      </c>
      <c r="BC75" s="1" t="e">
        <f>BB75/VLOOKUP(A75,'[56]geoMap (53)'!$A:$B,2,0)*VLOOKUP(A75,'[56]geoMap (53)'!$A:$C,3,0)</f>
        <v>#REF!</v>
      </c>
      <c r="BD75" s="4" t="e">
        <f>BC75/VLOOKUP(A75,'[57]geoMap (54)'!$A:$B,2,0)*VLOOKUP(A75,'[57]geoMap (54)'!$A:$C,3,0)</f>
        <v>#REF!</v>
      </c>
      <c r="BE75" s="1" t="e">
        <f>BD75/VLOOKUP(A75,'[58]geoMap (55)'!$A:$B,2,0)*VLOOKUP(A75,'[58]geoMap (55)'!$A:$C,3,0)</f>
        <v>#REF!</v>
      </c>
      <c r="BF75" s="4" t="e">
        <f>BE75/VLOOKUP(A75,'[59]geoMap (56)'!$A:$B,2,0)*VLOOKUP(A75,'[59]geoMap (56)'!$A:$C,3,0)</f>
        <v>#REF!</v>
      </c>
      <c r="BG75" s="1" t="e">
        <f>BF75/VLOOKUP(A75,'[60]geoMap (57)'!$A:$B,2,0)*VLOOKUP(A75,'[60]geoMap (57)'!$A:$C,3,0)</f>
        <v>#REF!</v>
      </c>
      <c r="BH75" s="4" t="e">
        <f>BG75/VLOOKUP(A75,'[61]geoMap (58)'!$A:$B,2,0)*VLOOKUP(A75,'[61]geoMap (58)'!$A:$C,3,0)</f>
        <v>#REF!</v>
      </c>
      <c r="BI75" s="1" t="e">
        <f>BH75/VLOOKUP(A75,'[62]geoMap (59)'!$A:$B,2,0)*VLOOKUP(A75,'[62]geoMap (59)'!$A:$C,3,0)</f>
        <v>#REF!</v>
      </c>
      <c r="BJ75" s="4" t="e">
        <f>BI75/VLOOKUP(A75,'[63]geoMap (60)'!$A:$B,2,0)*VLOOKUP(A75,'[63]geoMap (60)'!$A:$C,3,0)</f>
        <v>#REF!</v>
      </c>
      <c r="BK75" s="1" t="e">
        <f>BJ75/VLOOKUP(A75,'[64]geoMap (61)'!$A:$B,2,0)*VLOOKUP(A75,'[64]geoMap (61)'!$A:$C,3,0)</f>
        <v>#REF!</v>
      </c>
      <c r="BL75" s="4" t="e">
        <f>BK75/VLOOKUP(A75,'[65]geoMap (62)'!$A:$B,2,0)*VLOOKUP(A75,'[65]geoMap (62)'!$A:$C,3,0)</f>
        <v>#REF!</v>
      </c>
      <c r="BM75" s="1" t="e">
        <f>BL75/VLOOKUP(A75,'[66]geoMap (63)'!$A:$B,2,0)*VLOOKUP(A75,'[66]geoMap (63)'!$A:$C,3,0)</f>
        <v>#REF!</v>
      </c>
      <c r="BN75" s="4" t="e">
        <f>BM75/VLOOKUP(A75,'[67]geoMap (64)'!$A:$B,2,0)*VLOOKUP(A75,'[67]geoMap (64)'!$A:$C,3,0)</f>
        <v>#REF!</v>
      </c>
      <c r="BO75" s="1" t="e">
        <f>BN75/VLOOKUP(A75,'[68]geoMap (65)'!$A:$B,2,0)*VLOOKUP(A75,'[68]geoMap (65)'!$A:$C,3,0)</f>
        <v>#REF!</v>
      </c>
      <c r="BP75" s="4" t="e">
        <f>BO75/VLOOKUP(A75,'[69]geoMap (66)'!$A:$B,2,0)*VLOOKUP(A75,'[69]geoMap (66)'!$A:$C,3,0)</f>
        <v>#REF!</v>
      </c>
    </row>
    <row r="76" spans="1:68" x14ac:dyDescent="0.2">
      <c r="A76" s="1" t="s">
        <v>5</v>
      </c>
      <c r="B76" s="1" t="e">
        <f>VLOOKUP(A76,[3]geoMap!$A:$B,2,0)*Notes!$C$6</f>
        <v>#REF!</v>
      </c>
      <c r="C76" s="1" t="e">
        <f>B76/VLOOKUP(A76,'[4]geoMap (1)'!$A:$B,2,0)*VLOOKUP(A76,'[4]geoMap (1)'!$A:$C,3,0)</f>
        <v>#REF!</v>
      </c>
      <c r="D76" s="1" t="e">
        <f>C76/VLOOKUP(A76,'[5]geoMap (2)'!$A:$B,2,0)*VLOOKUP(A76,'[5]geoMap (2)'!$A:$C,3,0)</f>
        <v>#REF!</v>
      </c>
      <c r="E76" s="1" t="e">
        <f>D76/VLOOKUP(A76,'[6]geoMap (3)'!$A:$B,2,0)*VLOOKUP(A76,'[6]geoMap (3)'!$A:$C,3,0)</f>
        <v>#REF!</v>
      </c>
      <c r="F76" s="1" t="e">
        <f>E76/VLOOKUP(A76,'[7]geoMap (4)'!$A:$B,2,0)*VLOOKUP(A76,'[7]geoMap (4)'!$A:$C,3,0)</f>
        <v>#REF!</v>
      </c>
      <c r="G76" s="1" t="e">
        <f>F76/VLOOKUP(A76,'[8]geoMap (5)'!$A:$B,2,0)*VLOOKUP(A76,'[8]geoMap (5)'!$A:$C,3,0)</f>
        <v>#REF!</v>
      </c>
      <c r="H76" s="1" t="e">
        <f>G76/VLOOKUP(A76,'[9]geoMap (6)'!$A:$B,2,0)*VLOOKUP(A76,'[9]geoMap (6)'!$A:$C,3,0)</f>
        <v>#REF!</v>
      </c>
      <c r="I76" s="1" t="e">
        <f>H76/VLOOKUP(A76,'[10]geoMap (7)'!$A:$B,2,0)*VLOOKUP(A76,'[10]geoMap (7)'!$A:$C,3,0)</f>
        <v>#REF!</v>
      </c>
      <c r="J76" s="1" t="e">
        <f>I76/VLOOKUP(A76,'[11]geoMap (8)'!$A:$B,2,0)*VLOOKUP(A76,'[11]geoMap (8)'!$A:$C,3,0)</f>
        <v>#REF!</v>
      </c>
      <c r="K76" s="1" t="e">
        <f>J76/VLOOKUP(A76,'[12]geoMap (9)'!$A:$B,2,0)*VLOOKUP(A76,'[12]geoMap (9)'!$A:$C,3,0)</f>
        <v>#REF!</v>
      </c>
      <c r="L76" s="1" t="e">
        <f>K76/VLOOKUP(A76,'[13]geoMap (10)'!$A:$B,2,0)*VLOOKUP(A76,'[13]geoMap (10)'!$A:$C,3,0)</f>
        <v>#REF!</v>
      </c>
      <c r="M76" s="1" t="e">
        <f>L76/VLOOKUP(A76,'[14]geoMap (11)'!$A:$B,2,0)*VLOOKUP(A76,'[14]geoMap (11)'!$A:$C,3,0)</f>
        <v>#REF!</v>
      </c>
      <c r="N76" s="1" t="e">
        <f>M76/VLOOKUP(A76,'[15]geoMap (12)'!$A:$B,2,0)*VLOOKUP(A76,'[15]geoMap (12)'!$A:$C,3,0)</f>
        <v>#REF!</v>
      </c>
      <c r="O76" s="1" t="e">
        <f>N76/VLOOKUP(A76,'[16]geoMap (13)'!$A:$B,2,0)*VLOOKUP(A76,'[16]geoMap (13)'!$A:$C,3,0)</f>
        <v>#REF!</v>
      </c>
      <c r="P76" s="1" t="e">
        <f>O76/VLOOKUP(A76,'[17]geoMap (14)'!$A:$B,2,0)*VLOOKUP(A76,'[17]geoMap (14)'!$A:$C,3,0)</f>
        <v>#REF!</v>
      </c>
      <c r="Q76" s="1" t="e">
        <f>P76/VLOOKUP(A76,'[18]geoMap (15)'!$A:$B,2,0)*VLOOKUP(A76,'[18]geoMap (15)'!$A:$C,3,0)</f>
        <v>#REF!</v>
      </c>
      <c r="R76" s="1" t="e">
        <f>Q76/VLOOKUP(A76,'[19]geoMap (16)'!$A:$B,2,0)*VLOOKUP(A76,'[19]geoMap (16)'!$A:$C,3,0)</f>
        <v>#REF!</v>
      </c>
      <c r="S76" s="1" t="e">
        <f>R76/VLOOKUP(A76,'[20]geoMap (17)'!$A:$B,2,0)*VLOOKUP(A76,'[20]geoMap (17)'!$A:$C,3,0)</f>
        <v>#REF!</v>
      </c>
      <c r="T76" s="1" t="e">
        <f>S76/VLOOKUP(A76,'[21]geoMap (18)'!$A:$B,2,0)*VLOOKUP(A76,'[21]geoMap (18)'!$A:$C,3,0)</f>
        <v>#REF!</v>
      </c>
      <c r="U76" s="1" t="e">
        <f>T76/VLOOKUP(A76,'[22]geoMap (19)'!$A:$B,2,0)*VLOOKUP(A76,'[22]geoMap (19)'!$A:$C,3,0)</f>
        <v>#REF!</v>
      </c>
      <c r="V76" s="1" t="e">
        <f>U76/VLOOKUP(A76,'[23]geoMap (20)'!$A:$B,2,0)*VLOOKUP(A76,'[23]geoMap (20)'!$A:$C,3,0)</f>
        <v>#REF!</v>
      </c>
      <c r="W76" s="1" t="e">
        <f>V76/VLOOKUP(A76,'[24]geoMap (21)'!$A:$B,2,0)*VLOOKUP(A76,'[24]geoMap (21)'!$A:$C,3,0)</f>
        <v>#REF!</v>
      </c>
      <c r="X76" s="1" t="e">
        <f>W76/VLOOKUP(A76,'[25]geoMap (22)'!$A:$B,2,0)*VLOOKUP(A76,'[25]geoMap (22)'!$A:$C,3,0)</f>
        <v>#REF!</v>
      </c>
      <c r="Y76" s="1" t="e">
        <f>X76/VLOOKUP(A76,'[26]geoMap (23)'!$A:$B,2,0)*VLOOKUP(A76,'[26]geoMap (23)'!$A:$C,3,0)</f>
        <v>#REF!</v>
      </c>
      <c r="Z76" s="1" t="e">
        <f>Y76/VLOOKUP(A76,'[27]geoMap (24)'!$A:$B,2,0)*VLOOKUP(A76,'[27]geoMap (24)'!$A:$C,3,0)</f>
        <v>#REF!</v>
      </c>
      <c r="AA76" s="1" t="e">
        <f>Z76/VLOOKUP(A76,'[28]geoMap (25)'!$A:$B,2,0)*VLOOKUP(A76,'[28]geoMap (25)'!$A:$C,3,0)</f>
        <v>#REF!</v>
      </c>
      <c r="AB76" s="1" t="e">
        <f>AA76*VLOOKUP(A76,'[29]geoMap (26)'!$A:$B,2,0)*VLOOKUP(A76,'[29]geoMap (26)'!$A:$C,3,0)</f>
        <v>#REF!</v>
      </c>
      <c r="AC76" s="1" t="e">
        <f>AB76/VLOOKUP(A76,'[30]geoMap (27)'!$A:$B,2,0)*VLOOKUP(A76,'[30]geoMap (27)'!$A:$C,3,0)</f>
        <v>#REF!</v>
      </c>
      <c r="AD76" s="1" t="e">
        <f>AC76/VLOOKUP(A76,'[31]geoMap (28)'!$A:$B,2,0)*VLOOKUP(A76,'[31]geoMap (28)'!$A:$C,3,0)</f>
        <v>#REF!</v>
      </c>
      <c r="AE76" s="1" t="e">
        <f>AD76/VLOOKUP(A76,'[32]geoMap (29)'!$A:$B,2,0)*VLOOKUP(A76,'[32]geoMap (29)'!$A:$C,3,0)</f>
        <v>#REF!</v>
      </c>
      <c r="AF76" s="1" t="e">
        <f>AE76/VLOOKUP(A76,'[33]geoMap (30)'!$A:$B,2,0)*VLOOKUP(A76,'[33]geoMap (30)'!$A:$C,3,0)</f>
        <v>#REF!</v>
      </c>
      <c r="AG76" s="1" t="e">
        <f>AF76/VLOOKUP(A76,'[34]geoMap (31)'!$A:$B,2,0)*VLOOKUP(A76,'[34]geoMap (31)'!$A:$C,3,0)</f>
        <v>#REF!</v>
      </c>
      <c r="AH76" s="1" t="e">
        <f>AG76/VLOOKUP(A76,'[35]geoMap (32)'!$A:$B,2,0)*VLOOKUP(A76,'[35]geoMap (32)'!$A:$C,3,0)</f>
        <v>#REF!</v>
      </c>
      <c r="AI76" s="1" t="e">
        <f>AH76/VLOOKUP(A76,'[36]geoMap (33)'!$A:$B,2,0)*VLOOKUP(A76,'[36]geoMap (33)'!$A:$C,3,0)</f>
        <v>#REF!</v>
      </c>
      <c r="AJ76" s="1" t="e">
        <f>AI76/VLOOKUP(A76,'[37]geoMap (34)'!$A:$B,2,0)*VLOOKUP(A76,'[37]geoMap (34)'!$A:$C,3,0)</f>
        <v>#REF!</v>
      </c>
      <c r="AK76" s="1" t="e">
        <f>AJ76/VLOOKUP(A76,'[38]geoMap (35)'!$A:$B,2,0)*VLOOKUP(A76,'[38]geoMap (35)'!$A:$C,3,0)</f>
        <v>#REF!</v>
      </c>
      <c r="AL76" s="1" t="e">
        <f>AK76/VLOOKUP(A76,'[39]geoMap (36)'!$A:$B,2,0)*VLOOKUP(A76,'[39]geoMap (36)'!$A:$C,3,0)</f>
        <v>#REF!</v>
      </c>
      <c r="AM76" s="1" t="e">
        <f>AL76/VLOOKUP(A76,'[40]geoMap (37)'!$A:$B,2,0)*VLOOKUP(A76,'[40]geoMap (37)'!$A:$C,3,0)</f>
        <v>#REF!</v>
      </c>
      <c r="AN76" s="1" t="e">
        <f>AM76/VLOOKUP(A76,'[41]geoMap (38)'!$A:$B,2,0)*VLOOKUP(A76,'[41]geoMap (38)'!$A:$C,3,0)</f>
        <v>#REF!</v>
      </c>
      <c r="AO76" s="1" t="e">
        <f>AN76/VLOOKUP(A76,'[42]geoMap (39)'!$A:$B,2,0)*VLOOKUP(A76,'[42]geoMap (39)'!$A:$C,3,0)</f>
        <v>#REF!</v>
      </c>
      <c r="AP76" s="1" t="e">
        <f>AO76/VLOOKUP(A76,'[43]geoMap (40)'!$A:$B,2,0)*VLOOKUP(A76,'[43]geoMap (40)'!$A:$C,3,0)</f>
        <v>#REF!</v>
      </c>
      <c r="AQ76" s="1" t="e">
        <f>AP76/VLOOKUP(A76,'[44]geoMap (41)'!$A:$B,2,0)*VLOOKUP(A76,'[44]geoMap (41)'!$A:$C,3,0)</f>
        <v>#REF!</v>
      </c>
      <c r="AR76" s="1" t="e">
        <f>AQ76/VLOOKUP(A76,'[45]geoMap (42)'!$A:$B,2,0)*VLOOKUP(A76,'[45]geoMap (42)'!$A:$C,3,0)</f>
        <v>#REF!</v>
      </c>
      <c r="AS76" s="1" t="e">
        <f>AR76/VLOOKUP(A76,'[46]geoMap (43)'!$A:$B,2,0)*VLOOKUP(A76,'[46]geoMap (43)'!$A:$C,3,0)</f>
        <v>#REF!</v>
      </c>
      <c r="AT76" s="1" t="e">
        <f>AS76/VLOOKUP(A76,'[47]geoMap (44)'!$A:$B,2,0)*VLOOKUP(A76,'[47]geoMap (44)'!$A:$C,3,0)</f>
        <v>#REF!</v>
      </c>
      <c r="AU76" s="1" t="e">
        <f>AT76/VLOOKUP(A76,'[48]geoMap (45)'!$A:$B,2,0)*VLOOKUP(A76,'[48]geoMap (45)'!$A:$C,3,0)</f>
        <v>#REF!</v>
      </c>
      <c r="AV76" s="1" t="e">
        <f>AU76/VLOOKUP(A76,'[49]geoMap (46)'!$A:$B,2,0)*VLOOKUP(A76,'[49]geoMap (46)'!$A:$C,3,0)</f>
        <v>#REF!</v>
      </c>
      <c r="AW76" s="1" t="e">
        <f>AV76/VLOOKUP(A76,'[50]geoMap (47)'!$A:$B,2,0)*VLOOKUP(A76,'[50]geoMap (47)'!$A:$C,3,0)</f>
        <v>#REF!</v>
      </c>
      <c r="AX76" s="4" t="e">
        <f>AW76/VLOOKUP(A76,'[51]geoMap (48)'!$A:$B,2,0)*VLOOKUP(A76,'[51]geoMap (48)'!$A:$C,3,0)</f>
        <v>#REF!</v>
      </c>
      <c r="AY76" s="1" t="e">
        <f>AX76/VLOOKUP(A76,'[52]geoMap (49)'!$A:$B,2,0)*VLOOKUP(A76,'[52]geoMap (49)'!$A:$C,3,0)</f>
        <v>#REF!</v>
      </c>
      <c r="AZ76" s="4" t="e">
        <f>AY76/VLOOKUP(A76,'[53]geoMap (50)'!$A:$B,2,0)*VLOOKUP(A76,'[53]geoMap (50)'!$A:$C,3,0)</f>
        <v>#REF!</v>
      </c>
      <c r="BA76" s="1" t="e">
        <f>AZ76/VLOOKUP(A76,'[54]geoMap (51)'!$A:$B,2,0)*VLOOKUP(A76,'[54]geoMap (51)'!$A:$C,3,0)</f>
        <v>#REF!</v>
      </c>
      <c r="BB76" s="4" t="e">
        <f>BA76/VLOOKUP(A76,'[55]geoMap (52)'!$A:$B,2,0)*VLOOKUP(A76,'[55]geoMap (52)'!$A:$C,3,0)</f>
        <v>#REF!</v>
      </c>
      <c r="BC76" s="1" t="e">
        <f>BB76/VLOOKUP(A76,'[56]geoMap (53)'!$A:$B,2,0)*VLOOKUP(A76,'[56]geoMap (53)'!$A:$C,3,0)</f>
        <v>#REF!</v>
      </c>
      <c r="BD76" s="4" t="e">
        <f>BC76/VLOOKUP(A76,'[57]geoMap (54)'!$A:$B,2,0)*VLOOKUP(A76,'[57]geoMap (54)'!$A:$C,3,0)</f>
        <v>#REF!</v>
      </c>
      <c r="BE76" s="1" t="e">
        <f>BD76/VLOOKUP(A76,'[58]geoMap (55)'!$A:$B,2,0)*VLOOKUP(A76,'[58]geoMap (55)'!$A:$C,3,0)</f>
        <v>#REF!</v>
      </c>
      <c r="BF76" s="4" t="e">
        <f>BE76/VLOOKUP(A76,'[59]geoMap (56)'!$A:$B,2,0)*VLOOKUP(A76,'[59]geoMap (56)'!$A:$C,3,0)</f>
        <v>#REF!</v>
      </c>
      <c r="BG76" s="1" t="e">
        <f>BF76/VLOOKUP(A76,'[60]geoMap (57)'!$A:$B,2,0)*VLOOKUP(A76,'[60]geoMap (57)'!$A:$C,3,0)</f>
        <v>#REF!</v>
      </c>
      <c r="BH76" s="4" t="e">
        <f>BG76/VLOOKUP(A76,'[61]geoMap (58)'!$A:$B,2,0)*VLOOKUP(A76,'[61]geoMap (58)'!$A:$C,3,0)</f>
        <v>#REF!</v>
      </c>
      <c r="BI76" s="1" t="e">
        <f>BH76/VLOOKUP(A76,'[62]geoMap (59)'!$A:$B,2,0)*VLOOKUP(A76,'[62]geoMap (59)'!$A:$C,3,0)</f>
        <v>#REF!</v>
      </c>
      <c r="BJ76" s="4" t="e">
        <f>BI76/VLOOKUP(A76,'[63]geoMap (60)'!$A:$B,2,0)*VLOOKUP(A76,'[63]geoMap (60)'!$A:$C,3,0)</f>
        <v>#REF!</v>
      </c>
      <c r="BK76" s="1" t="e">
        <f>BJ76/VLOOKUP(A76,'[64]geoMap (61)'!$A:$B,2,0)*VLOOKUP(A76,'[64]geoMap (61)'!$A:$C,3,0)</f>
        <v>#REF!</v>
      </c>
      <c r="BL76" s="4" t="e">
        <f>BK76/VLOOKUP(A76,'[65]geoMap (62)'!$A:$B,2,0)*VLOOKUP(A76,'[65]geoMap (62)'!$A:$C,3,0)</f>
        <v>#REF!</v>
      </c>
      <c r="BM76" s="1" t="e">
        <f>BL76/VLOOKUP(A76,'[66]geoMap (63)'!$A:$B,2,0)*VLOOKUP(A76,'[66]geoMap (63)'!$A:$C,3,0)</f>
        <v>#REF!</v>
      </c>
      <c r="BN76" s="4" t="e">
        <f>BM76/VLOOKUP(A76,'[67]geoMap (64)'!$A:$B,2,0)*VLOOKUP(A76,'[67]geoMap (64)'!$A:$C,3,0)</f>
        <v>#REF!</v>
      </c>
      <c r="BO76" s="1" t="e">
        <f>BN76/VLOOKUP(A76,'[68]geoMap (65)'!$A:$B,2,0)*VLOOKUP(A76,'[68]geoMap (65)'!$A:$C,3,0)</f>
        <v>#REF!</v>
      </c>
      <c r="BP76" s="4" t="e">
        <f>BO76/VLOOKUP(A76,'[69]geoMap (66)'!$A:$B,2,0)*VLOOKUP(A76,'[69]geoMap (66)'!$A:$C,3,0)</f>
        <v>#REF!</v>
      </c>
    </row>
    <row r="77" spans="1:68" x14ac:dyDescent="0.2">
      <c r="A77" s="1" t="s">
        <v>6</v>
      </c>
      <c r="B77" s="1" t="e">
        <f>VLOOKUP(A77,[3]geoMap!$A:$B,2,0)*Notes!$C$6</f>
        <v>#REF!</v>
      </c>
      <c r="C77" s="1" t="e">
        <f>B77/VLOOKUP(A77,'[4]geoMap (1)'!$A:$B,2,0)*VLOOKUP(A77,'[4]geoMap (1)'!$A:$C,3,0)</f>
        <v>#REF!</v>
      </c>
      <c r="D77" s="1" t="e">
        <f>C77/VLOOKUP(A77,'[5]geoMap (2)'!$A:$B,2,0)*VLOOKUP(A77,'[5]geoMap (2)'!$A:$C,3,0)</f>
        <v>#REF!</v>
      </c>
      <c r="E77" s="1" t="e">
        <f>D77/VLOOKUP(A77,'[6]geoMap (3)'!$A:$B,2,0)*VLOOKUP(A77,'[6]geoMap (3)'!$A:$C,3,0)</f>
        <v>#REF!</v>
      </c>
      <c r="F77" s="1" t="e">
        <f>E77/VLOOKUP(A77,'[7]geoMap (4)'!$A:$B,2,0)*VLOOKUP(A77,'[7]geoMap (4)'!$A:$C,3,0)</f>
        <v>#REF!</v>
      </c>
      <c r="G77" s="1" t="e">
        <f>F77/VLOOKUP(A77,'[8]geoMap (5)'!$A:$B,2,0)*VLOOKUP(A77,'[8]geoMap (5)'!$A:$C,3,0)</f>
        <v>#REF!</v>
      </c>
      <c r="H77" s="1" t="e">
        <f>G77/VLOOKUP(A77,'[9]geoMap (6)'!$A:$B,2,0)*VLOOKUP(A77,'[9]geoMap (6)'!$A:$C,3,0)</f>
        <v>#REF!</v>
      </c>
      <c r="I77" s="1" t="e">
        <f>H77/VLOOKUP(A77,'[10]geoMap (7)'!$A:$B,2,0)*VLOOKUP(A77,'[10]geoMap (7)'!$A:$C,3,0)</f>
        <v>#REF!</v>
      </c>
      <c r="J77" s="1" t="e">
        <f>I77/VLOOKUP(A77,'[11]geoMap (8)'!$A:$B,2,0)*VLOOKUP(A77,'[11]geoMap (8)'!$A:$C,3,0)</f>
        <v>#REF!</v>
      </c>
      <c r="K77" s="1" t="e">
        <f>J77/VLOOKUP(A77,'[12]geoMap (9)'!$A:$B,2,0)*VLOOKUP(A77,'[12]geoMap (9)'!$A:$C,3,0)</f>
        <v>#REF!</v>
      </c>
      <c r="L77" s="1" t="e">
        <f>K77/VLOOKUP(A77,'[13]geoMap (10)'!$A:$B,2,0)*VLOOKUP(A77,'[13]geoMap (10)'!$A:$C,3,0)</f>
        <v>#REF!</v>
      </c>
      <c r="M77" s="1" t="e">
        <f>L77/VLOOKUP(A77,'[14]geoMap (11)'!$A:$B,2,0)*VLOOKUP(A77,'[14]geoMap (11)'!$A:$C,3,0)</f>
        <v>#REF!</v>
      </c>
      <c r="N77" s="1" t="e">
        <f>M77/VLOOKUP(A77,'[15]geoMap (12)'!$A:$B,2,0)*VLOOKUP(A77,'[15]geoMap (12)'!$A:$C,3,0)</f>
        <v>#REF!</v>
      </c>
      <c r="O77" s="1" t="e">
        <f>N77/VLOOKUP(A77,'[16]geoMap (13)'!$A:$B,2,0)*VLOOKUP(A77,'[16]geoMap (13)'!$A:$C,3,0)</f>
        <v>#REF!</v>
      </c>
      <c r="P77" s="1" t="e">
        <f>O77/VLOOKUP(A77,'[17]geoMap (14)'!$A:$B,2,0)*VLOOKUP(A77,'[17]geoMap (14)'!$A:$C,3,0)</f>
        <v>#REF!</v>
      </c>
      <c r="Q77" s="1" t="e">
        <f>P77/VLOOKUP(A77,'[18]geoMap (15)'!$A:$B,2,0)*VLOOKUP(A77,'[18]geoMap (15)'!$A:$C,3,0)</f>
        <v>#REF!</v>
      </c>
      <c r="R77" s="1" t="e">
        <f>Q77/VLOOKUP(A77,'[19]geoMap (16)'!$A:$B,2,0)*VLOOKUP(A77,'[19]geoMap (16)'!$A:$C,3,0)</f>
        <v>#REF!</v>
      </c>
      <c r="S77" s="1" t="e">
        <f>R77/VLOOKUP(A77,'[20]geoMap (17)'!$A:$B,2,0)*VLOOKUP(A77,'[20]geoMap (17)'!$A:$C,3,0)</f>
        <v>#REF!</v>
      </c>
      <c r="T77" s="1" t="e">
        <f>S77/VLOOKUP(A77,'[21]geoMap (18)'!$A:$B,2,0)*VLOOKUP(A77,'[21]geoMap (18)'!$A:$C,3,0)</f>
        <v>#REF!</v>
      </c>
      <c r="U77" s="1" t="e">
        <f>T77/VLOOKUP(A77,'[22]geoMap (19)'!$A:$B,2,0)*VLOOKUP(A77,'[22]geoMap (19)'!$A:$C,3,0)</f>
        <v>#REF!</v>
      </c>
      <c r="V77" s="1" t="e">
        <f>U77/VLOOKUP(A77,'[23]geoMap (20)'!$A:$B,2,0)*VLOOKUP(A77,'[23]geoMap (20)'!$A:$C,3,0)</f>
        <v>#REF!</v>
      </c>
      <c r="W77" s="1" t="e">
        <f>V77/VLOOKUP(A77,'[24]geoMap (21)'!$A:$B,2,0)*VLOOKUP(A77,'[24]geoMap (21)'!$A:$C,3,0)</f>
        <v>#REF!</v>
      </c>
      <c r="X77" s="1" t="e">
        <f>W77/VLOOKUP(A77,'[25]geoMap (22)'!$A:$B,2,0)*VLOOKUP(A77,'[25]geoMap (22)'!$A:$C,3,0)</f>
        <v>#REF!</v>
      </c>
      <c r="Y77" s="1" t="e">
        <f>X77/VLOOKUP(A77,'[26]geoMap (23)'!$A:$B,2,0)*VLOOKUP(A77,'[26]geoMap (23)'!$A:$C,3,0)</f>
        <v>#REF!</v>
      </c>
      <c r="Z77" s="1" t="e">
        <f>Y77/VLOOKUP(A77,'[27]geoMap (24)'!$A:$B,2,0)*VLOOKUP(A77,'[27]geoMap (24)'!$A:$C,3,0)</f>
        <v>#REF!</v>
      </c>
      <c r="AA77" s="1" t="e">
        <f>Z77/VLOOKUP(A77,'[28]geoMap (25)'!$A:$B,2,0)*VLOOKUP(A77,'[28]geoMap (25)'!$A:$C,3,0)</f>
        <v>#REF!</v>
      </c>
      <c r="AB77" s="1" t="e">
        <f>AA77*VLOOKUP(A77,'[29]geoMap (26)'!$A:$B,2,0)*VLOOKUP(A77,'[29]geoMap (26)'!$A:$C,3,0)</f>
        <v>#REF!</v>
      </c>
      <c r="AC77" s="1" t="e">
        <f>AB77/VLOOKUP(A77,'[30]geoMap (27)'!$A:$B,2,0)*VLOOKUP(A77,'[30]geoMap (27)'!$A:$C,3,0)</f>
        <v>#REF!</v>
      </c>
      <c r="AD77" s="1" t="e">
        <f>AC77/VLOOKUP(A77,'[31]geoMap (28)'!$A:$B,2,0)*VLOOKUP(A77,'[31]geoMap (28)'!$A:$C,3,0)</f>
        <v>#REF!</v>
      </c>
      <c r="AE77" s="1" t="e">
        <f>AD77/VLOOKUP(A77,'[32]geoMap (29)'!$A:$B,2,0)*VLOOKUP(A77,'[32]geoMap (29)'!$A:$C,3,0)</f>
        <v>#REF!</v>
      </c>
      <c r="AF77" s="1" t="e">
        <f>AE77/VLOOKUP(A77,'[33]geoMap (30)'!$A:$B,2,0)*VLOOKUP(A77,'[33]geoMap (30)'!$A:$C,3,0)</f>
        <v>#REF!</v>
      </c>
      <c r="AG77" s="1" t="e">
        <f>AF77/VLOOKUP(A77,'[34]geoMap (31)'!$A:$B,2,0)*VLOOKUP(A77,'[34]geoMap (31)'!$A:$C,3,0)</f>
        <v>#REF!</v>
      </c>
      <c r="AH77" s="1" t="e">
        <f>AG77/VLOOKUP(A77,'[35]geoMap (32)'!$A:$B,2,0)*VLOOKUP(A77,'[35]geoMap (32)'!$A:$C,3,0)</f>
        <v>#REF!</v>
      </c>
      <c r="AI77" s="1" t="e">
        <f>AH77/VLOOKUP(A77,'[36]geoMap (33)'!$A:$B,2,0)*VLOOKUP(A77,'[36]geoMap (33)'!$A:$C,3,0)</f>
        <v>#REF!</v>
      </c>
      <c r="AJ77" s="1" t="e">
        <f>AI77/VLOOKUP(A77,'[37]geoMap (34)'!$A:$B,2,0)*VLOOKUP(A77,'[37]geoMap (34)'!$A:$C,3,0)</f>
        <v>#REF!</v>
      </c>
      <c r="AK77" s="1" t="e">
        <f>AJ77/VLOOKUP(A77,'[38]geoMap (35)'!$A:$B,2,0)*VLOOKUP(A77,'[38]geoMap (35)'!$A:$C,3,0)</f>
        <v>#REF!</v>
      </c>
      <c r="AL77" s="1" t="e">
        <f>AK77/VLOOKUP(A77,'[39]geoMap (36)'!$A:$B,2,0)*VLOOKUP(A77,'[39]geoMap (36)'!$A:$C,3,0)</f>
        <v>#REF!</v>
      </c>
      <c r="AM77" s="1" t="e">
        <f>AL77/VLOOKUP(A77,'[40]geoMap (37)'!$A:$B,2,0)*VLOOKUP(A77,'[40]geoMap (37)'!$A:$C,3,0)</f>
        <v>#REF!</v>
      </c>
      <c r="AN77" s="1" t="e">
        <f>AM77/VLOOKUP(A77,'[41]geoMap (38)'!$A:$B,2,0)*VLOOKUP(A77,'[41]geoMap (38)'!$A:$C,3,0)</f>
        <v>#REF!</v>
      </c>
      <c r="AO77" s="1" t="e">
        <f>AN77/VLOOKUP(A77,'[42]geoMap (39)'!$A:$B,2,0)*VLOOKUP(A77,'[42]geoMap (39)'!$A:$C,3,0)</f>
        <v>#REF!</v>
      </c>
      <c r="AP77" s="1" t="e">
        <f>AO77/VLOOKUP(A77,'[43]geoMap (40)'!$A:$B,2,0)*VLOOKUP(A77,'[43]geoMap (40)'!$A:$C,3,0)</f>
        <v>#REF!</v>
      </c>
      <c r="AQ77" s="1" t="e">
        <f>AP77/VLOOKUP(A77,'[44]geoMap (41)'!$A:$B,2,0)*VLOOKUP(A77,'[44]geoMap (41)'!$A:$C,3,0)</f>
        <v>#REF!</v>
      </c>
      <c r="AR77" s="1" t="e">
        <f>AQ77/VLOOKUP(A77,'[45]geoMap (42)'!$A:$B,2,0)*VLOOKUP(A77,'[45]geoMap (42)'!$A:$C,3,0)</f>
        <v>#REF!</v>
      </c>
      <c r="AS77" s="1" t="e">
        <f>AR77/VLOOKUP(A77,'[46]geoMap (43)'!$A:$B,2,0)*VLOOKUP(A77,'[46]geoMap (43)'!$A:$C,3,0)</f>
        <v>#REF!</v>
      </c>
      <c r="AT77" s="1" t="e">
        <f>AS77/VLOOKUP(A77,'[47]geoMap (44)'!$A:$B,2,0)*VLOOKUP(A77,'[47]geoMap (44)'!$A:$C,3,0)</f>
        <v>#REF!</v>
      </c>
      <c r="AU77" s="1" t="e">
        <f>AT77/VLOOKUP(A77,'[48]geoMap (45)'!$A:$B,2,0)*VLOOKUP(A77,'[48]geoMap (45)'!$A:$C,3,0)</f>
        <v>#REF!</v>
      </c>
      <c r="AV77" s="1" t="e">
        <f>AU77/VLOOKUP(A77,'[49]geoMap (46)'!$A:$B,2,0)*VLOOKUP(A77,'[49]geoMap (46)'!$A:$C,3,0)</f>
        <v>#REF!</v>
      </c>
      <c r="AW77" s="1" t="e">
        <f>AV77/VLOOKUP(A77,'[50]geoMap (47)'!$A:$B,2,0)*VLOOKUP(A77,'[50]geoMap (47)'!$A:$C,3,0)</f>
        <v>#REF!</v>
      </c>
      <c r="AX77" s="4" t="e">
        <f>AW77/VLOOKUP(A77,'[51]geoMap (48)'!$A:$B,2,0)*VLOOKUP(A77,'[51]geoMap (48)'!$A:$C,3,0)</f>
        <v>#REF!</v>
      </c>
      <c r="AY77" s="1" t="e">
        <f>AX77/VLOOKUP(A77,'[52]geoMap (49)'!$A:$B,2,0)*VLOOKUP(A77,'[52]geoMap (49)'!$A:$C,3,0)</f>
        <v>#REF!</v>
      </c>
      <c r="AZ77" s="4" t="e">
        <f>AY77/VLOOKUP(A77,'[53]geoMap (50)'!$A:$B,2,0)*VLOOKUP(A77,'[53]geoMap (50)'!$A:$C,3,0)</f>
        <v>#REF!</v>
      </c>
      <c r="BA77" s="1" t="e">
        <f>AZ77/VLOOKUP(A77,'[54]geoMap (51)'!$A:$B,2,0)*VLOOKUP(A77,'[54]geoMap (51)'!$A:$C,3,0)</f>
        <v>#REF!</v>
      </c>
      <c r="BB77" s="4" t="e">
        <f>BA77/VLOOKUP(A77,'[55]geoMap (52)'!$A:$B,2,0)*VLOOKUP(A77,'[55]geoMap (52)'!$A:$C,3,0)</f>
        <v>#REF!</v>
      </c>
      <c r="BC77" s="1" t="e">
        <f>BB77/VLOOKUP(A77,'[56]geoMap (53)'!$A:$B,2,0)*VLOOKUP(A77,'[56]geoMap (53)'!$A:$C,3,0)</f>
        <v>#REF!</v>
      </c>
      <c r="BD77" s="4" t="e">
        <f>BC77/VLOOKUP(A77,'[57]geoMap (54)'!$A:$B,2,0)*VLOOKUP(A77,'[57]geoMap (54)'!$A:$C,3,0)</f>
        <v>#REF!</v>
      </c>
      <c r="BE77" s="1" t="e">
        <f>BD77/VLOOKUP(A77,'[58]geoMap (55)'!$A:$B,2,0)*VLOOKUP(A77,'[58]geoMap (55)'!$A:$C,3,0)</f>
        <v>#REF!</v>
      </c>
      <c r="BF77" s="4" t="e">
        <f>BE77/VLOOKUP(A77,'[59]geoMap (56)'!$A:$B,2,0)*VLOOKUP(A77,'[59]geoMap (56)'!$A:$C,3,0)</f>
        <v>#REF!</v>
      </c>
      <c r="BG77" s="1" t="e">
        <f>BF77/VLOOKUP(A77,'[60]geoMap (57)'!$A:$B,2,0)*VLOOKUP(A77,'[60]geoMap (57)'!$A:$C,3,0)</f>
        <v>#REF!</v>
      </c>
      <c r="BH77" s="4" t="e">
        <f>BG77/VLOOKUP(A77,'[61]geoMap (58)'!$A:$B,2,0)*VLOOKUP(A77,'[61]geoMap (58)'!$A:$C,3,0)</f>
        <v>#REF!</v>
      </c>
      <c r="BI77" s="1" t="e">
        <f>BH77/VLOOKUP(A77,'[62]geoMap (59)'!$A:$B,2,0)*VLOOKUP(A77,'[62]geoMap (59)'!$A:$C,3,0)</f>
        <v>#REF!</v>
      </c>
      <c r="BJ77" s="4" t="e">
        <f>BI77/VLOOKUP(A77,'[63]geoMap (60)'!$A:$B,2,0)*VLOOKUP(A77,'[63]geoMap (60)'!$A:$C,3,0)</f>
        <v>#REF!</v>
      </c>
      <c r="BK77" s="1" t="e">
        <f>BJ77/VLOOKUP(A77,'[64]geoMap (61)'!$A:$B,2,0)*VLOOKUP(A77,'[64]geoMap (61)'!$A:$C,3,0)</f>
        <v>#REF!</v>
      </c>
      <c r="BL77" s="4" t="e">
        <f>BK77/VLOOKUP(A77,'[65]geoMap (62)'!$A:$B,2,0)*VLOOKUP(A77,'[65]geoMap (62)'!$A:$C,3,0)</f>
        <v>#REF!</v>
      </c>
      <c r="BM77" s="1" t="e">
        <f>BL77/VLOOKUP(A77,'[66]geoMap (63)'!$A:$B,2,0)*VLOOKUP(A77,'[66]geoMap (63)'!$A:$C,3,0)</f>
        <v>#REF!</v>
      </c>
      <c r="BN77" s="4" t="e">
        <f>BM77/VLOOKUP(A77,'[67]geoMap (64)'!$A:$B,2,0)*VLOOKUP(A77,'[67]geoMap (64)'!$A:$C,3,0)</f>
        <v>#REF!</v>
      </c>
      <c r="BO77" s="1" t="e">
        <f>BN77/VLOOKUP(A77,'[68]geoMap (65)'!$A:$B,2,0)*VLOOKUP(A77,'[68]geoMap (65)'!$A:$C,3,0)</f>
        <v>#REF!</v>
      </c>
      <c r="BP77" s="4" t="e">
        <f>BO77/VLOOKUP(A77,'[69]geoMap (66)'!$A:$B,2,0)*VLOOKUP(A77,'[69]geoMap (66)'!$A:$C,3,0)</f>
        <v>#REF!</v>
      </c>
    </row>
    <row r="78" spans="1:68" x14ac:dyDescent="0.2">
      <c r="A78" s="1" t="s">
        <v>12</v>
      </c>
      <c r="B78" s="1" t="e">
        <f>VLOOKUP(A78,[3]geoMap!$A:$B,2,0)*Notes!$C$6</f>
        <v>#REF!</v>
      </c>
      <c r="C78" s="1" t="e">
        <f>B78/VLOOKUP(A78,'[4]geoMap (1)'!$A:$B,2,0)*VLOOKUP(A78,'[4]geoMap (1)'!$A:$C,3,0)</f>
        <v>#REF!</v>
      </c>
      <c r="D78" s="1" t="e">
        <f>C78/VLOOKUP(A78,'[5]geoMap (2)'!$A:$B,2,0)*VLOOKUP(A78,'[5]geoMap (2)'!$A:$C,3,0)</f>
        <v>#REF!</v>
      </c>
      <c r="E78" s="1" t="e">
        <f>D78/VLOOKUP(A78,'[6]geoMap (3)'!$A:$B,2,0)*VLOOKUP(A78,'[6]geoMap (3)'!$A:$C,3,0)</f>
        <v>#REF!</v>
      </c>
      <c r="F78" s="1" t="e">
        <f>E78/VLOOKUP(A78,'[7]geoMap (4)'!$A:$B,2,0)*VLOOKUP(A78,'[7]geoMap (4)'!$A:$C,3,0)</f>
        <v>#REF!</v>
      </c>
      <c r="G78" s="1" t="e">
        <f>F78/VLOOKUP(A78,'[8]geoMap (5)'!$A:$B,2,0)*VLOOKUP(A78,'[8]geoMap (5)'!$A:$C,3,0)</f>
        <v>#REF!</v>
      </c>
      <c r="H78" s="1" t="e">
        <f>G78/VLOOKUP(A78,'[9]geoMap (6)'!$A:$B,2,0)*VLOOKUP(A78,'[9]geoMap (6)'!$A:$C,3,0)</f>
        <v>#REF!</v>
      </c>
      <c r="I78" s="1" t="e">
        <f>H78/VLOOKUP(A78,'[10]geoMap (7)'!$A:$B,2,0)*VLOOKUP(A78,'[10]geoMap (7)'!$A:$C,3,0)</f>
        <v>#REF!</v>
      </c>
      <c r="J78" s="1" t="e">
        <f>I78/VLOOKUP(A78,'[11]geoMap (8)'!$A:$B,2,0)*VLOOKUP(A78,'[11]geoMap (8)'!$A:$C,3,0)</f>
        <v>#REF!</v>
      </c>
      <c r="K78" s="1" t="e">
        <f>J78/VLOOKUP(A78,'[12]geoMap (9)'!$A:$B,2,0)*VLOOKUP(A78,'[12]geoMap (9)'!$A:$C,3,0)</f>
        <v>#REF!</v>
      </c>
      <c r="L78" s="1" t="e">
        <f>K78/VLOOKUP(A78,'[13]geoMap (10)'!$A:$B,2,0)*VLOOKUP(A78,'[13]geoMap (10)'!$A:$C,3,0)</f>
        <v>#REF!</v>
      </c>
      <c r="M78" s="1" t="e">
        <f>L78/VLOOKUP(A78,'[14]geoMap (11)'!$A:$B,2,0)*VLOOKUP(A78,'[14]geoMap (11)'!$A:$C,3,0)</f>
        <v>#REF!</v>
      </c>
      <c r="N78" s="1" t="e">
        <f>M78/VLOOKUP(A78,'[15]geoMap (12)'!$A:$B,2,0)*VLOOKUP(A78,'[15]geoMap (12)'!$A:$C,3,0)</f>
        <v>#REF!</v>
      </c>
      <c r="O78" s="1" t="e">
        <f>N78/VLOOKUP(A78,'[16]geoMap (13)'!$A:$B,2,0)*VLOOKUP(A78,'[16]geoMap (13)'!$A:$C,3,0)</f>
        <v>#REF!</v>
      </c>
      <c r="P78" s="1" t="e">
        <f>O78/VLOOKUP(A78,'[17]geoMap (14)'!$A:$B,2,0)*VLOOKUP(A78,'[17]geoMap (14)'!$A:$C,3,0)</f>
        <v>#REF!</v>
      </c>
      <c r="Q78" s="1" t="e">
        <f>P78/VLOOKUP(A78,'[18]geoMap (15)'!$A:$B,2,0)*VLOOKUP(A78,'[18]geoMap (15)'!$A:$C,3,0)</f>
        <v>#REF!</v>
      </c>
      <c r="R78" s="1" t="e">
        <f>Q78/VLOOKUP(A78,'[19]geoMap (16)'!$A:$B,2,0)*VLOOKUP(A78,'[19]geoMap (16)'!$A:$C,3,0)</f>
        <v>#REF!</v>
      </c>
      <c r="S78" s="1" t="e">
        <f>R78/VLOOKUP(A78,'[20]geoMap (17)'!$A:$B,2,0)*VLOOKUP(A78,'[20]geoMap (17)'!$A:$C,3,0)</f>
        <v>#REF!</v>
      </c>
      <c r="T78" s="1" t="e">
        <f>S78/VLOOKUP(A78,'[21]geoMap (18)'!$A:$B,2,0)*VLOOKUP(A78,'[21]geoMap (18)'!$A:$C,3,0)</f>
        <v>#REF!</v>
      </c>
      <c r="U78" s="1" t="e">
        <f>T78/VLOOKUP(A78,'[22]geoMap (19)'!$A:$B,2,0)*VLOOKUP(A78,'[22]geoMap (19)'!$A:$C,3,0)</f>
        <v>#REF!</v>
      </c>
      <c r="V78" s="1" t="e">
        <f>U78/VLOOKUP(A78,'[23]geoMap (20)'!$A:$B,2,0)*VLOOKUP(A78,'[23]geoMap (20)'!$A:$C,3,0)</f>
        <v>#REF!</v>
      </c>
      <c r="W78" s="1" t="e">
        <f>V78/VLOOKUP(A78,'[24]geoMap (21)'!$A:$B,2,0)*VLOOKUP(A78,'[24]geoMap (21)'!$A:$C,3,0)</f>
        <v>#REF!</v>
      </c>
      <c r="X78" s="1" t="e">
        <f>W78/VLOOKUP(A78,'[25]geoMap (22)'!$A:$B,2,0)*VLOOKUP(A78,'[25]geoMap (22)'!$A:$C,3,0)</f>
        <v>#REF!</v>
      </c>
      <c r="Y78" s="1" t="e">
        <f>X78/VLOOKUP(A78,'[26]geoMap (23)'!$A:$B,2,0)*VLOOKUP(A78,'[26]geoMap (23)'!$A:$C,3,0)</f>
        <v>#REF!</v>
      </c>
      <c r="Z78" s="1" t="e">
        <f>Y78/VLOOKUP(A78,'[27]geoMap (24)'!$A:$B,2,0)*VLOOKUP(A78,'[27]geoMap (24)'!$A:$C,3,0)</f>
        <v>#REF!</v>
      </c>
      <c r="AA78" s="1" t="e">
        <f>Z78/VLOOKUP(A78,'[28]geoMap (25)'!$A:$B,2,0)*VLOOKUP(A78,'[28]geoMap (25)'!$A:$C,3,0)</f>
        <v>#REF!</v>
      </c>
      <c r="AB78" s="1" t="e">
        <f>AA78*VLOOKUP(A78,'[29]geoMap (26)'!$A:$B,2,0)*VLOOKUP(A78,'[29]geoMap (26)'!$A:$C,3,0)</f>
        <v>#REF!</v>
      </c>
      <c r="AC78" s="1" t="e">
        <f>AB78/VLOOKUP(A78,'[30]geoMap (27)'!$A:$B,2,0)*VLOOKUP(A78,'[30]geoMap (27)'!$A:$C,3,0)</f>
        <v>#REF!</v>
      </c>
      <c r="AD78" s="1" t="e">
        <f>AC78/VLOOKUP(A78,'[31]geoMap (28)'!$A:$B,2,0)*VLOOKUP(A78,'[31]geoMap (28)'!$A:$C,3,0)</f>
        <v>#REF!</v>
      </c>
      <c r="AE78" s="1" t="e">
        <f>AD78/VLOOKUP(A78,'[32]geoMap (29)'!$A:$B,2,0)*VLOOKUP(A78,'[32]geoMap (29)'!$A:$C,3,0)</f>
        <v>#REF!</v>
      </c>
      <c r="AF78" s="1" t="e">
        <f>AE78/VLOOKUP(A78,'[33]geoMap (30)'!$A:$B,2,0)*VLOOKUP(A78,'[33]geoMap (30)'!$A:$C,3,0)</f>
        <v>#REF!</v>
      </c>
      <c r="AG78" s="1" t="e">
        <f>AF78/VLOOKUP(A78,'[34]geoMap (31)'!$A:$B,2,0)*VLOOKUP(A78,'[34]geoMap (31)'!$A:$C,3,0)</f>
        <v>#REF!</v>
      </c>
      <c r="AH78" s="1" t="e">
        <f>AG78/VLOOKUP(A78,'[35]geoMap (32)'!$A:$B,2,0)*VLOOKUP(A78,'[35]geoMap (32)'!$A:$C,3,0)</f>
        <v>#REF!</v>
      </c>
      <c r="AI78" s="1" t="e">
        <f>AH78/VLOOKUP(A78,'[36]geoMap (33)'!$A:$B,2,0)*VLOOKUP(A78,'[36]geoMap (33)'!$A:$C,3,0)</f>
        <v>#REF!</v>
      </c>
      <c r="AJ78" s="1" t="e">
        <f>AI78/VLOOKUP(A78,'[37]geoMap (34)'!$A:$B,2,0)*VLOOKUP(A78,'[37]geoMap (34)'!$A:$C,3,0)</f>
        <v>#REF!</v>
      </c>
      <c r="AK78" s="1" t="e">
        <f>AJ78/VLOOKUP(A78,'[38]geoMap (35)'!$A:$B,2,0)*VLOOKUP(A78,'[38]geoMap (35)'!$A:$C,3,0)</f>
        <v>#REF!</v>
      </c>
      <c r="AL78" s="1" t="e">
        <f>AK78/VLOOKUP(A78,'[39]geoMap (36)'!$A:$B,2,0)*VLOOKUP(A78,'[39]geoMap (36)'!$A:$C,3,0)</f>
        <v>#REF!</v>
      </c>
      <c r="AM78" s="1" t="e">
        <f>AL78/VLOOKUP(A78,'[40]geoMap (37)'!$A:$B,2,0)*VLOOKUP(A78,'[40]geoMap (37)'!$A:$C,3,0)</f>
        <v>#REF!</v>
      </c>
      <c r="AN78" s="1" t="e">
        <f>AM78/VLOOKUP(A78,'[41]geoMap (38)'!$A:$B,2,0)*VLOOKUP(A78,'[41]geoMap (38)'!$A:$C,3,0)</f>
        <v>#REF!</v>
      </c>
      <c r="AO78" s="1" t="e">
        <f>AN78/VLOOKUP(A78,'[42]geoMap (39)'!$A:$B,2,0)*VLOOKUP(A78,'[42]geoMap (39)'!$A:$C,3,0)</f>
        <v>#REF!</v>
      </c>
      <c r="AP78" s="1" t="e">
        <f>AO78/VLOOKUP(A78,'[43]geoMap (40)'!$A:$B,2,0)*VLOOKUP(A78,'[43]geoMap (40)'!$A:$C,3,0)</f>
        <v>#REF!</v>
      </c>
      <c r="AQ78" s="1" t="e">
        <f>AP78/VLOOKUP(A78,'[44]geoMap (41)'!$A:$B,2,0)*VLOOKUP(A78,'[44]geoMap (41)'!$A:$C,3,0)</f>
        <v>#REF!</v>
      </c>
      <c r="AR78" s="1" t="e">
        <f>AQ78/VLOOKUP(A78,'[45]geoMap (42)'!$A:$B,2,0)*VLOOKUP(A78,'[45]geoMap (42)'!$A:$C,3,0)</f>
        <v>#REF!</v>
      </c>
      <c r="AS78" s="1" t="e">
        <f>AR78/VLOOKUP(A78,'[46]geoMap (43)'!$A:$B,2,0)*VLOOKUP(A78,'[46]geoMap (43)'!$A:$C,3,0)</f>
        <v>#REF!</v>
      </c>
      <c r="AT78" s="1" t="e">
        <f>AS78/VLOOKUP(A78,'[47]geoMap (44)'!$A:$B,2,0)*VLOOKUP(A78,'[47]geoMap (44)'!$A:$C,3,0)</f>
        <v>#REF!</v>
      </c>
      <c r="AU78" s="1" t="e">
        <f>AT78/VLOOKUP(A78,'[48]geoMap (45)'!$A:$B,2,0)*VLOOKUP(A78,'[48]geoMap (45)'!$A:$C,3,0)</f>
        <v>#REF!</v>
      </c>
      <c r="AV78" s="1" t="e">
        <f>AU78/VLOOKUP(A78,'[49]geoMap (46)'!$A:$B,2,0)*VLOOKUP(A78,'[49]geoMap (46)'!$A:$C,3,0)</f>
        <v>#REF!</v>
      </c>
      <c r="AW78" s="1" t="e">
        <f>AV78/VLOOKUP(A78,'[50]geoMap (47)'!$A:$B,2,0)*VLOOKUP(A78,'[50]geoMap (47)'!$A:$C,3,0)</f>
        <v>#REF!</v>
      </c>
      <c r="AX78" s="4" t="e">
        <f>AW78/VLOOKUP(A78,'[51]geoMap (48)'!$A:$B,2,0)*VLOOKUP(A78,'[51]geoMap (48)'!$A:$C,3,0)</f>
        <v>#REF!</v>
      </c>
      <c r="AY78" s="1" t="e">
        <f>AX78/VLOOKUP(A78,'[52]geoMap (49)'!$A:$B,2,0)*VLOOKUP(A78,'[52]geoMap (49)'!$A:$C,3,0)</f>
        <v>#REF!</v>
      </c>
      <c r="AZ78" s="4" t="e">
        <f>AY78/VLOOKUP(A78,'[53]geoMap (50)'!$A:$B,2,0)*VLOOKUP(A78,'[53]geoMap (50)'!$A:$C,3,0)</f>
        <v>#REF!</v>
      </c>
      <c r="BA78" s="1" t="e">
        <f>AZ78/VLOOKUP(A78,'[54]geoMap (51)'!$A:$B,2,0)*VLOOKUP(A78,'[54]geoMap (51)'!$A:$C,3,0)</f>
        <v>#REF!</v>
      </c>
      <c r="BB78" s="4" t="e">
        <f>BA78/VLOOKUP(A78,'[55]geoMap (52)'!$A:$B,2,0)*VLOOKUP(A78,'[55]geoMap (52)'!$A:$C,3,0)</f>
        <v>#REF!</v>
      </c>
      <c r="BC78" s="1" t="e">
        <f>BB78/VLOOKUP(A78,'[56]geoMap (53)'!$A:$B,2,0)*VLOOKUP(A78,'[56]geoMap (53)'!$A:$C,3,0)</f>
        <v>#REF!</v>
      </c>
      <c r="BD78" s="4" t="e">
        <f>BC78/VLOOKUP(A78,'[57]geoMap (54)'!$A:$B,2,0)*VLOOKUP(A78,'[57]geoMap (54)'!$A:$C,3,0)</f>
        <v>#REF!</v>
      </c>
      <c r="BE78" s="1" t="e">
        <f>BD78/VLOOKUP(A78,'[58]geoMap (55)'!$A:$B,2,0)*VLOOKUP(A78,'[58]geoMap (55)'!$A:$C,3,0)</f>
        <v>#REF!</v>
      </c>
      <c r="BF78" s="4" t="e">
        <f>BE78/VLOOKUP(A78,'[59]geoMap (56)'!$A:$B,2,0)*VLOOKUP(A78,'[59]geoMap (56)'!$A:$C,3,0)</f>
        <v>#REF!</v>
      </c>
      <c r="BG78" s="1" t="e">
        <f>BF78/VLOOKUP(A78,'[60]geoMap (57)'!$A:$B,2,0)*VLOOKUP(A78,'[60]geoMap (57)'!$A:$C,3,0)</f>
        <v>#REF!</v>
      </c>
      <c r="BH78" s="4" t="e">
        <f>BG78/VLOOKUP(A78,'[61]geoMap (58)'!$A:$B,2,0)*VLOOKUP(A78,'[61]geoMap (58)'!$A:$C,3,0)</f>
        <v>#REF!</v>
      </c>
      <c r="BI78" s="1" t="e">
        <f>BH78/VLOOKUP(A78,'[62]geoMap (59)'!$A:$B,2,0)*VLOOKUP(A78,'[62]geoMap (59)'!$A:$C,3,0)</f>
        <v>#REF!</v>
      </c>
      <c r="BJ78" s="4" t="e">
        <f>BI78/VLOOKUP(A78,'[63]geoMap (60)'!$A:$B,2,0)*VLOOKUP(A78,'[63]geoMap (60)'!$A:$C,3,0)</f>
        <v>#REF!</v>
      </c>
      <c r="BK78" s="1" t="e">
        <f>BJ78/VLOOKUP(A78,'[64]geoMap (61)'!$A:$B,2,0)*VLOOKUP(A78,'[64]geoMap (61)'!$A:$C,3,0)</f>
        <v>#REF!</v>
      </c>
      <c r="BL78" s="4" t="e">
        <f>BK78/VLOOKUP(A78,'[65]geoMap (62)'!$A:$B,2,0)*VLOOKUP(A78,'[65]geoMap (62)'!$A:$C,3,0)</f>
        <v>#REF!</v>
      </c>
      <c r="BM78" s="1" t="e">
        <f>BL78/VLOOKUP(A78,'[66]geoMap (63)'!$A:$B,2,0)*VLOOKUP(A78,'[66]geoMap (63)'!$A:$C,3,0)</f>
        <v>#REF!</v>
      </c>
      <c r="BN78" s="4" t="e">
        <f>BM78/VLOOKUP(A78,'[67]geoMap (64)'!$A:$B,2,0)*VLOOKUP(A78,'[67]geoMap (64)'!$A:$C,3,0)</f>
        <v>#REF!</v>
      </c>
      <c r="BO78" s="1" t="e">
        <f>BN78/VLOOKUP(A78,'[68]geoMap (65)'!$A:$B,2,0)*VLOOKUP(A78,'[68]geoMap (65)'!$A:$C,3,0)</f>
        <v>#REF!</v>
      </c>
      <c r="BP78" s="4" t="e">
        <f>BO78/VLOOKUP(A78,'[69]geoMap (66)'!$A:$B,2,0)*VLOOKUP(A78,'[69]geoMap (66)'!$A:$C,3,0)</f>
        <v>#REF!</v>
      </c>
    </row>
    <row r="79" spans="1:68" x14ac:dyDescent="0.2">
      <c r="A79" s="1" t="s">
        <v>13</v>
      </c>
      <c r="B79" s="1" t="e">
        <f>VLOOKUP(A79,[3]geoMap!$A:$B,2,0)*Notes!$C$6</f>
        <v>#REF!</v>
      </c>
      <c r="C79" s="1" t="e">
        <f>B79/VLOOKUP(A79,'[4]geoMap (1)'!$A:$B,2,0)*VLOOKUP(A79,'[4]geoMap (1)'!$A:$C,3,0)</f>
        <v>#REF!</v>
      </c>
      <c r="D79" s="1" t="e">
        <f>C79/VLOOKUP(A79,'[5]geoMap (2)'!$A:$B,2,0)*VLOOKUP(A79,'[5]geoMap (2)'!$A:$C,3,0)</f>
        <v>#REF!</v>
      </c>
      <c r="E79" s="1" t="e">
        <f>D79/VLOOKUP(A79,'[6]geoMap (3)'!$A:$B,2,0)*VLOOKUP(A79,'[6]geoMap (3)'!$A:$C,3,0)</f>
        <v>#REF!</v>
      </c>
      <c r="F79" s="1" t="e">
        <f>E79/VLOOKUP(A79,'[7]geoMap (4)'!$A:$B,2,0)*VLOOKUP(A79,'[7]geoMap (4)'!$A:$C,3,0)</f>
        <v>#REF!</v>
      </c>
      <c r="G79" s="1" t="e">
        <f>F79/VLOOKUP(A79,'[8]geoMap (5)'!$A:$B,2,0)*VLOOKUP(A79,'[8]geoMap (5)'!$A:$C,3,0)</f>
        <v>#REF!</v>
      </c>
      <c r="H79" s="1" t="e">
        <f>G79/VLOOKUP(A79,'[9]geoMap (6)'!$A:$B,2,0)*VLOOKUP(A79,'[9]geoMap (6)'!$A:$C,3,0)</f>
        <v>#REF!</v>
      </c>
      <c r="I79" s="1" t="e">
        <f>H79/VLOOKUP(A79,'[10]geoMap (7)'!$A:$B,2,0)*VLOOKUP(A79,'[10]geoMap (7)'!$A:$C,3,0)</f>
        <v>#REF!</v>
      </c>
      <c r="J79" s="1" t="e">
        <f>I79/VLOOKUP(A79,'[11]geoMap (8)'!$A:$B,2,0)*VLOOKUP(A79,'[11]geoMap (8)'!$A:$C,3,0)</f>
        <v>#REF!</v>
      </c>
      <c r="K79" s="1" t="e">
        <f>J79/VLOOKUP(A79,'[12]geoMap (9)'!$A:$B,2,0)*VLOOKUP(A79,'[12]geoMap (9)'!$A:$C,3,0)</f>
        <v>#REF!</v>
      </c>
      <c r="L79" s="1" t="e">
        <f>K79/VLOOKUP(A79,'[13]geoMap (10)'!$A:$B,2,0)*VLOOKUP(A79,'[13]geoMap (10)'!$A:$C,3,0)</f>
        <v>#REF!</v>
      </c>
      <c r="M79" s="1" t="e">
        <f>L79/VLOOKUP(A79,'[14]geoMap (11)'!$A:$B,2,0)*VLOOKUP(A79,'[14]geoMap (11)'!$A:$C,3,0)</f>
        <v>#REF!</v>
      </c>
      <c r="N79" s="1" t="e">
        <f>M79/VLOOKUP(A79,'[15]geoMap (12)'!$A:$B,2,0)*VLOOKUP(A79,'[15]geoMap (12)'!$A:$C,3,0)</f>
        <v>#REF!</v>
      </c>
      <c r="O79" s="1" t="e">
        <f>N79/VLOOKUP(A79,'[16]geoMap (13)'!$A:$B,2,0)*VLOOKUP(A79,'[16]geoMap (13)'!$A:$C,3,0)</f>
        <v>#REF!</v>
      </c>
      <c r="P79" s="1" t="e">
        <f>O79/VLOOKUP(A79,'[17]geoMap (14)'!$A:$B,2,0)*VLOOKUP(A79,'[17]geoMap (14)'!$A:$C,3,0)</f>
        <v>#REF!</v>
      </c>
      <c r="Q79" s="1" t="e">
        <f>P79/VLOOKUP(A79,'[18]geoMap (15)'!$A:$B,2,0)*VLOOKUP(A79,'[18]geoMap (15)'!$A:$C,3,0)</f>
        <v>#REF!</v>
      </c>
      <c r="R79" s="1" t="e">
        <f>Q79/VLOOKUP(A79,'[19]geoMap (16)'!$A:$B,2,0)*VLOOKUP(A79,'[19]geoMap (16)'!$A:$C,3,0)</f>
        <v>#REF!</v>
      </c>
      <c r="S79" s="1" t="e">
        <f>R79/VLOOKUP(A79,'[20]geoMap (17)'!$A:$B,2,0)*VLOOKUP(A79,'[20]geoMap (17)'!$A:$C,3,0)</f>
        <v>#REF!</v>
      </c>
      <c r="T79" s="1" t="e">
        <f>S79/VLOOKUP(A79,'[21]geoMap (18)'!$A:$B,2,0)*VLOOKUP(A79,'[21]geoMap (18)'!$A:$C,3,0)</f>
        <v>#REF!</v>
      </c>
      <c r="U79" s="1" t="e">
        <f>T79/VLOOKUP(A79,'[22]geoMap (19)'!$A:$B,2,0)*VLOOKUP(A79,'[22]geoMap (19)'!$A:$C,3,0)</f>
        <v>#REF!</v>
      </c>
      <c r="V79" s="1" t="e">
        <f>U79/VLOOKUP(A79,'[23]geoMap (20)'!$A:$B,2,0)*VLOOKUP(A79,'[23]geoMap (20)'!$A:$C,3,0)</f>
        <v>#REF!</v>
      </c>
      <c r="W79" s="1" t="e">
        <f>V79/VLOOKUP(A79,'[24]geoMap (21)'!$A:$B,2,0)*VLOOKUP(A79,'[24]geoMap (21)'!$A:$C,3,0)</f>
        <v>#REF!</v>
      </c>
      <c r="X79" s="1" t="e">
        <f>W79/VLOOKUP(A79,'[25]geoMap (22)'!$A:$B,2,0)*VLOOKUP(A79,'[25]geoMap (22)'!$A:$C,3,0)</f>
        <v>#REF!</v>
      </c>
      <c r="Y79" s="1" t="e">
        <f>X79/VLOOKUP(A79,'[26]geoMap (23)'!$A:$B,2,0)*VLOOKUP(A79,'[26]geoMap (23)'!$A:$C,3,0)</f>
        <v>#REF!</v>
      </c>
      <c r="Z79" s="1" t="e">
        <f>Y79/VLOOKUP(A79,'[27]geoMap (24)'!$A:$B,2,0)*VLOOKUP(A79,'[27]geoMap (24)'!$A:$C,3,0)</f>
        <v>#REF!</v>
      </c>
      <c r="AA79" s="1" t="e">
        <f>Z79/VLOOKUP(A79,'[28]geoMap (25)'!$A:$B,2,0)*VLOOKUP(A79,'[28]geoMap (25)'!$A:$C,3,0)</f>
        <v>#REF!</v>
      </c>
      <c r="AB79" s="1" t="e">
        <f>AA79*VLOOKUP(A79,'[29]geoMap (26)'!$A:$B,2,0)*VLOOKUP(A79,'[29]geoMap (26)'!$A:$C,3,0)</f>
        <v>#REF!</v>
      </c>
      <c r="AC79" s="1" t="e">
        <f>AB79/VLOOKUP(A79,'[30]geoMap (27)'!$A:$B,2,0)*VLOOKUP(A79,'[30]geoMap (27)'!$A:$C,3,0)</f>
        <v>#REF!</v>
      </c>
      <c r="AD79" s="1" t="e">
        <f>AC79/VLOOKUP(A79,'[31]geoMap (28)'!$A:$B,2,0)*VLOOKUP(A79,'[31]geoMap (28)'!$A:$C,3,0)</f>
        <v>#REF!</v>
      </c>
      <c r="AE79" s="1" t="e">
        <f>AD79/VLOOKUP(A79,'[32]geoMap (29)'!$A:$B,2,0)*VLOOKUP(A79,'[32]geoMap (29)'!$A:$C,3,0)</f>
        <v>#REF!</v>
      </c>
      <c r="AF79" s="1" t="e">
        <f>AE79/VLOOKUP(A79,'[33]geoMap (30)'!$A:$B,2,0)*VLOOKUP(A79,'[33]geoMap (30)'!$A:$C,3,0)</f>
        <v>#REF!</v>
      </c>
      <c r="AG79" s="1" t="e">
        <f>AF79/VLOOKUP(A79,'[34]geoMap (31)'!$A:$B,2,0)*VLOOKUP(A79,'[34]geoMap (31)'!$A:$C,3,0)</f>
        <v>#REF!</v>
      </c>
      <c r="AH79" s="1" t="e">
        <f>AG79/VLOOKUP(A79,'[35]geoMap (32)'!$A:$B,2,0)*VLOOKUP(A79,'[35]geoMap (32)'!$A:$C,3,0)</f>
        <v>#REF!</v>
      </c>
      <c r="AI79" s="1" t="e">
        <f>AH79/VLOOKUP(A79,'[36]geoMap (33)'!$A:$B,2,0)*VLOOKUP(A79,'[36]geoMap (33)'!$A:$C,3,0)</f>
        <v>#REF!</v>
      </c>
      <c r="AJ79" s="1" t="e">
        <f>AI79/VLOOKUP(A79,'[37]geoMap (34)'!$A:$B,2,0)*VLOOKUP(A79,'[37]geoMap (34)'!$A:$C,3,0)</f>
        <v>#REF!</v>
      </c>
      <c r="AK79" s="1" t="e">
        <f>AJ79/VLOOKUP(A79,'[38]geoMap (35)'!$A:$B,2,0)*VLOOKUP(A79,'[38]geoMap (35)'!$A:$C,3,0)</f>
        <v>#REF!</v>
      </c>
      <c r="AL79" s="1" t="e">
        <f>AK79/VLOOKUP(A79,'[39]geoMap (36)'!$A:$B,2,0)*VLOOKUP(A79,'[39]geoMap (36)'!$A:$C,3,0)</f>
        <v>#REF!</v>
      </c>
      <c r="AM79" s="1" t="e">
        <f>AL79/VLOOKUP(A79,'[40]geoMap (37)'!$A:$B,2,0)*VLOOKUP(A79,'[40]geoMap (37)'!$A:$C,3,0)</f>
        <v>#REF!</v>
      </c>
      <c r="AN79" s="1" t="e">
        <f>AM79/VLOOKUP(A79,'[41]geoMap (38)'!$A:$B,2,0)*VLOOKUP(A79,'[41]geoMap (38)'!$A:$C,3,0)</f>
        <v>#REF!</v>
      </c>
      <c r="AO79" s="1" t="e">
        <f>AN79/VLOOKUP(A79,'[42]geoMap (39)'!$A:$B,2,0)*VLOOKUP(A79,'[42]geoMap (39)'!$A:$C,3,0)</f>
        <v>#REF!</v>
      </c>
      <c r="AP79" s="1" t="e">
        <f>AO79/VLOOKUP(A79,'[43]geoMap (40)'!$A:$B,2,0)*VLOOKUP(A79,'[43]geoMap (40)'!$A:$C,3,0)</f>
        <v>#REF!</v>
      </c>
      <c r="AQ79" s="1" t="e">
        <f>AP79/VLOOKUP(A79,'[44]geoMap (41)'!$A:$B,2,0)*VLOOKUP(A79,'[44]geoMap (41)'!$A:$C,3,0)</f>
        <v>#REF!</v>
      </c>
      <c r="AR79" s="1" t="e">
        <f>AQ79/VLOOKUP(A79,'[45]geoMap (42)'!$A:$B,2,0)*VLOOKUP(A79,'[45]geoMap (42)'!$A:$C,3,0)</f>
        <v>#REF!</v>
      </c>
      <c r="AS79" s="1" t="e">
        <f>AR79/VLOOKUP(A79,'[46]geoMap (43)'!$A:$B,2,0)*VLOOKUP(A79,'[46]geoMap (43)'!$A:$C,3,0)</f>
        <v>#REF!</v>
      </c>
      <c r="AT79" s="1" t="e">
        <f>AS79/VLOOKUP(A79,'[47]geoMap (44)'!$A:$B,2,0)*VLOOKUP(A79,'[47]geoMap (44)'!$A:$C,3,0)</f>
        <v>#REF!</v>
      </c>
      <c r="AU79" s="1" t="e">
        <f>AT79/VLOOKUP(A79,'[48]geoMap (45)'!$A:$B,2,0)*VLOOKUP(A79,'[48]geoMap (45)'!$A:$C,3,0)</f>
        <v>#REF!</v>
      </c>
      <c r="AV79" s="1" t="e">
        <f>AU79/VLOOKUP(A79,'[49]geoMap (46)'!$A:$B,2,0)*VLOOKUP(A79,'[49]geoMap (46)'!$A:$C,3,0)</f>
        <v>#REF!</v>
      </c>
      <c r="AW79" s="1" t="e">
        <f>AV79/VLOOKUP(A79,'[50]geoMap (47)'!$A:$B,2,0)*VLOOKUP(A79,'[50]geoMap (47)'!$A:$C,3,0)</f>
        <v>#REF!</v>
      </c>
      <c r="AX79" s="4" t="e">
        <f>AW79/VLOOKUP(A79,'[51]geoMap (48)'!$A:$B,2,0)*VLOOKUP(A79,'[51]geoMap (48)'!$A:$C,3,0)</f>
        <v>#REF!</v>
      </c>
      <c r="AY79" s="1" t="e">
        <f>AX79/VLOOKUP(A79,'[52]geoMap (49)'!$A:$B,2,0)*VLOOKUP(A79,'[52]geoMap (49)'!$A:$C,3,0)</f>
        <v>#REF!</v>
      </c>
      <c r="AZ79" s="4" t="e">
        <f>AY79/VLOOKUP(A79,'[53]geoMap (50)'!$A:$B,2,0)*VLOOKUP(A79,'[53]geoMap (50)'!$A:$C,3,0)</f>
        <v>#REF!</v>
      </c>
      <c r="BA79" s="1" t="e">
        <f>AZ79/VLOOKUP(A79,'[54]geoMap (51)'!$A:$B,2,0)*VLOOKUP(A79,'[54]geoMap (51)'!$A:$C,3,0)</f>
        <v>#REF!</v>
      </c>
      <c r="BB79" s="4" t="e">
        <f>BA79/VLOOKUP(A79,'[55]geoMap (52)'!$A:$B,2,0)*VLOOKUP(A79,'[55]geoMap (52)'!$A:$C,3,0)</f>
        <v>#REF!</v>
      </c>
      <c r="BC79" s="1" t="e">
        <f>BB79/VLOOKUP(A79,'[56]geoMap (53)'!$A:$B,2,0)*VLOOKUP(A79,'[56]geoMap (53)'!$A:$C,3,0)</f>
        <v>#REF!</v>
      </c>
      <c r="BD79" s="4" t="e">
        <f>BC79/VLOOKUP(A79,'[57]geoMap (54)'!$A:$B,2,0)*VLOOKUP(A79,'[57]geoMap (54)'!$A:$C,3,0)</f>
        <v>#REF!</v>
      </c>
      <c r="BE79" s="1" t="e">
        <f>BD79/VLOOKUP(A79,'[58]geoMap (55)'!$A:$B,2,0)*VLOOKUP(A79,'[58]geoMap (55)'!$A:$C,3,0)</f>
        <v>#REF!</v>
      </c>
      <c r="BF79" s="4" t="e">
        <f>BE79/VLOOKUP(A79,'[59]geoMap (56)'!$A:$B,2,0)*VLOOKUP(A79,'[59]geoMap (56)'!$A:$C,3,0)</f>
        <v>#REF!</v>
      </c>
      <c r="BG79" s="1" t="e">
        <f>BF79/VLOOKUP(A79,'[60]geoMap (57)'!$A:$B,2,0)*VLOOKUP(A79,'[60]geoMap (57)'!$A:$C,3,0)</f>
        <v>#REF!</v>
      </c>
      <c r="BH79" s="4" t="e">
        <f>BG79/VLOOKUP(A79,'[61]geoMap (58)'!$A:$B,2,0)*VLOOKUP(A79,'[61]geoMap (58)'!$A:$C,3,0)</f>
        <v>#REF!</v>
      </c>
      <c r="BI79" s="1" t="e">
        <f>BH79/VLOOKUP(A79,'[62]geoMap (59)'!$A:$B,2,0)*VLOOKUP(A79,'[62]geoMap (59)'!$A:$C,3,0)</f>
        <v>#REF!</v>
      </c>
      <c r="BJ79" s="4" t="e">
        <f>BI79/VLOOKUP(A79,'[63]geoMap (60)'!$A:$B,2,0)*VLOOKUP(A79,'[63]geoMap (60)'!$A:$C,3,0)</f>
        <v>#REF!</v>
      </c>
      <c r="BK79" s="1" t="e">
        <f>BJ79/VLOOKUP(A79,'[64]geoMap (61)'!$A:$B,2,0)*VLOOKUP(A79,'[64]geoMap (61)'!$A:$C,3,0)</f>
        <v>#REF!</v>
      </c>
      <c r="BL79" s="4" t="e">
        <f>BK79/VLOOKUP(A79,'[65]geoMap (62)'!$A:$B,2,0)*VLOOKUP(A79,'[65]geoMap (62)'!$A:$C,3,0)</f>
        <v>#REF!</v>
      </c>
      <c r="BM79" s="1" t="e">
        <f>BL79/VLOOKUP(A79,'[66]geoMap (63)'!$A:$B,2,0)*VLOOKUP(A79,'[66]geoMap (63)'!$A:$C,3,0)</f>
        <v>#REF!</v>
      </c>
      <c r="BN79" s="4" t="e">
        <f>BM79/VLOOKUP(A79,'[67]geoMap (64)'!$A:$B,2,0)*VLOOKUP(A79,'[67]geoMap (64)'!$A:$C,3,0)</f>
        <v>#REF!</v>
      </c>
      <c r="BO79" s="1" t="e">
        <f>BN79/VLOOKUP(A79,'[68]geoMap (65)'!$A:$B,2,0)*VLOOKUP(A79,'[68]geoMap (65)'!$A:$C,3,0)</f>
        <v>#REF!</v>
      </c>
      <c r="BP79" s="4" t="e">
        <f>BO79/VLOOKUP(A79,'[69]geoMap (66)'!$A:$B,2,0)*VLOOKUP(A79,'[69]geoMap (66)'!$A:$C,3,0)</f>
        <v>#REF!</v>
      </c>
    </row>
    <row r="80" spans="1:68" x14ac:dyDescent="0.2">
      <c r="A80" s="1" t="s">
        <v>14</v>
      </c>
      <c r="B80" s="1" t="e">
        <f>VLOOKUP(A80,[3]geoMap!$A:$B,2,0)*Notes!$C$6</f>
        <v>#REF!</v>
      </c>
      <c r="C80" s="1" t="e">
        <f>B80/VLOOKUP(A80,'[4]geoMap (1)'!$A:$B,2,0)*VLOOKUP(A80,'[4]geoMap (1)'!$A:$C,3,0)</f>
        <v>#REF!</v>
      </c>
      <c r="D80" s="1" t="e">
        <f>C80/VLOOKUP(A80,'[5]geoMap (2)'!$A:$B,2,0)*VLOOKUP(A80,'[5]geoMap (2)'!$A:$C,3,0)</f>
        <v>#REF!</v>
      </c>
      <c r="E80" s="1" t="e">
        <f>D80/VLOOKUP(A80,'[6]geoMap (3)'!$A:$B,2,0)*VLOOKUP(A80,'[6]geoMap (3)'!$A:$C,3,0)</f>
        <v>#REF!</v>
      </c>
      <c r="F80" s="1" t="e">
        <f>E80/VLOOKUP(A80,'[7]geoMap (4)'!$A:$B,2,0)*VLOOKUP(A80,'[7]geoMap (4)'!$A:$C,3,0)</f>
        <v>#REF!</v>
      </c>
      <c r="G80" s="1" t="e">
        <f>F80/VLOOKUP(A80,'[8]geoMap (5)'!$A:$B,2,0)*VLOOKUP(A80,'[8]geoMap (5)'!$A:$C,3,0)</f>
        <v>#REF!</v>
      </c>
      <c r="H80" s="1" t="e">
        <f>G80/VLOOKUP(A80,'[9]geoMap (6)'!$A:$B,2,0)*VLOOKUP(A80,'[9]geoMap (6)'!$A:$C,3,0)</f>
        <v>#REF!</v>
      </c>
      <c r="I80" s="1" t="e">
        <f>H80/VLOOKUP(A80,'[10]geoMap (7)'!$A:$B,2,0)*VLOOKUP(A80,'[10]geoMap (7)'!$A:$C,3,0)</f>
        <v>#REF!</v>
      </c>
      <c r="J80" s="1" t="e">
        <f>I80/VLOOKUP(A80,'[11]geoMap (8)'!$A:$B,2,0)*VLOOKUP(A80,'[11]geoMap (8)'!$A:$C,3,0)</f>
        <v>#REF!</v>
      </c>
      <c r="K80" s="1" t="e">
        <f>J80/VLOOKUP(A80,'[12]geoMap (9)'!$A:$B,2,0)*VLOOKUP(A80,'[12]geoMap (9)'!$A:$C,3,0)</f>
        <v>#REF!</v>
      </c>
      <c r="L80" s="1" t="e">
        <f>K80/VLOOKUP(A80,'[13]geoMap (10)'!$A:$B,2,0)*VLOOKUP(A80,'[13]geoMap (10)'!$A:$C,3,0)</f>
        <v>#REF!</v>
      </c>
      <c r="M80" s="1" t="e">
        <f>L80/VLOOKUP(A80,'[14]geoMap (11)'!$A:$B,2,0)*VLOOKUP(A80,'[14]geoMap (11)'!$A:$C,3,0)</f>
        <v>#REF!</v>
      </c>
      <c r="N80" s="1" t="e">
        <f>M80/VLOOKUP(A80,'[15]geoMap (12)'!$A:$B,2,0)*VLOOKUP(A80,'[15]geoMap (12)'!$A:$C,3,0)</f>
        <v>#REF!</v>
      </c>
      <c r="O80" s="1" t="e">
        <f>N80/VLOOKUP(A80,'[16]geoMap (13)'!$A:$B,2,0)*VLOOKUP(A80,'[16]geoMap (13)'!$A:$C,3,0)</f>
        <v>#REF!</v>
      </c>
      <c r="P80" s="1" t="e">
        <f>O80/VLOOKUP(A80,'[17]geoMap (14)'!$A:$B,2,0)*VLOOKUP(A80,'[17]geoMap (14)'!$A:$C,3,0)</f>
        <v>#REF!</v>
      </c>
      <c r="Q80" s="1" t="e">
        <f>P80/VLOOKUP(A80,'[18]geoMap (15)'!$A:$B,2,0)*VLOOKUP(A80,'[18]geoMap (15)'!$A:$C,3,0)</f>
        <v>#REF!</v>
      </c>
      <c r="R80" s="1" t="e">
        <f>Q80/VLOOKUP(A80,'[19]geoMap (16)'!$A:$B,2,0)*VLOOKUP(A80,'[19]geoMap (16)'!$A:$C,3,0)</f>
        <v>#REF!</v>
      </c>
      <c r="S80" s="1" t="e">
        <f>R80/VLOOKUP(A80,'[20]geoMap (17)'!$A:$B,2,0)*VLOOKUP(A80,'[20]geoMap (17)'!$A:$C,3,0)</f>
        <v>#REF!</v>
      </c>
      <c r="T80" s="1" t="e">
        <f>S80/VLOOKUP(A80,'[21]geoMap (18)'!$A:$B,2,0)*VLOOKUP(A80,'[21]geoMap (18)'!$A:$C,3,0)</f>
        <v>#REF!</v>
      </c>
      <c r="U80" s="1" t="e">
        <f>T80/VLOOKUP(A80,'[22]geoMap (19)'!$A:$B,2,0)*VLOOKUP(A80,'[22]geoMap (19)'!$A:$C,3,0)</f>
        <v>#REF!</v>
      </c>
      <c r="V80" s="1" t="e">
        <f>U80/VLOOKUP(A80,'[23]geoMap (20)'!$A:$B,2,0)*VLOOKUP(A80,'[23]geoMap (20)'!$A:$C,3,0)</f>
        <v>#REF!</v>
      </c>
      <c r="W80" s="1" t="e">
        <f>V80/VLOOKUP(A80,'[24]geoMap (21)'!$A:$B,2,0)*VLOOKUP(A80,'[24]geoMap (21)'!$A:$C,3,0)</f>
        <v>#REF!</v>
      </c>
      <c r="X80" s="1" t="e">
        <f>W80/VLOOKUP(A80,'[25]geoMap (22)'!$A:$B,2,0)*VLOOKUP(A80,'[25]geoMap (22)'!$A:$C,3,0)</f>
        <v>#REF!</v>
      </c>
      <c r="Y80" s="1" t="e">
        <f>X80/VLOOKUP(A80,'[26]geoMap (23)'!$A:$B,2,0)*VLOOKUP(A80,'[26]geoMap (23)'!$A:$C,3,0)</f>
        <v>#REF!</v>
      </c>
      <c r="Z80" s="1" t="e">
        <f>Y80/VLOOKUP(A80,'[27]geoMap (24)'!$A:$B,2,0)*VLOOKUP(A80,'[27]geoMap (24)'!$A:$C,3,0)</f>
        <v>#REF!</v>
      </c>
      <c r="AA80" s="1" t="e">
        <f>Z80/VLOOKUP(A80,'[28]geoMap (25)'!$A:$B,2,0)*VLOOKUP(A80,'[28]geoMap (25)'!$A:$C,3,0)</f>
        <v>#REF!</v>
      </c>
      <c r="AB80" s="1" t="e">
        <f>AA80*VLOOKUP(A80,'[29]geoMap (26)'!$A:$B,2,0)*VLOOKUP(A80,'[29]geoMap (26)'!$A:$C,3,0)</f>
        <v>#REF!</v>
      </c>
      <c r="AC80" s="1" t="e">
        <f>AB80/VLOOKUP(A80,'[30]geoMap (27)'!$A:$B,2,0)*VLOOKUP(A80,'[30]geoMap (27)'!$A:$C,3,0)</f>
        <v>#REF!</v>
      </c>
      <c r="AD80" s="1" t="e">
        <f>AC80/VLOOKUP(A80,'[31]geoMap (28)'!$A:$B,2,0)*VLOOKUP(A80,'[31]geoMap (28)'!$A:$C,3,0)</f>
        <v>#REF!</v>
      </c>
      <c r="AE80" s="1" t="e">
        <f>AD80/VLOOKUP(A80,'[32]geoMap (29)'!$A:$B,2,0)*VLOOKUP(A80,'[32]geoMap (29)'!$A:$C,3,0)</f>
        <v>#REF!</v>
      </c>
      <c r="AF80" s="1" t="e">
        <f>AE80/VLOOKUP(A80,'[33]geoMap (30)'!$A:$B,2,0)*VLOOKUP(A80,'[33]geoMap (30)'!$A:$C,3,0)</f>
        <v>#REF!</v>
      </c>
      <c r="AG80" s="1" t="e">
        <f>AF80/VLOOKUP(A80,'[34]geoMap (31)'!$A:$B,2,0)*VLOOKUP(A80,'[34]geoMap (31)'!$A:$C,3,0)</f>
        <v>#REF!</v>
      </c>
      <c r="AH80" s="1" t="e">
        <f>AG80/VLOOKUP(A80,'[35]geoMap (32)'!$A:$B,2,0)*VLOOKUP(A80,'[35]geoMap (32)'!$A:$C,3,0)</f>
        <v>#REF!</v>
      </c>
      <c r="AI80" s="1" t="e">
        <f>AH80/VLOOKUP(A80,'[36]geoMap (33)'!$A:$B,2,0)*VLOOKUP(A80,'[36]geoMap (33)'!$A:$C,3,0)</f>
        <v>#REF!</v>
      </c>
      <c r="AJ80" s="1" t="e">
        <f>AI80/VLOOKUP(A80,'[37]geoMap (34)'!$A:$B,2,0)*VLOOKUP(A80,'[37]geoMap (34)'!$A:$C,3,0)</f>
        <v>#REF!</v>
      </c>
      <c r="AK80" s="1" t="e">
        <f>AJ80/VLOOKUP(A80,'[38]geoMap (35)'!$A:$B,2,0)*VLOOKUP(A80,'[38]geoMap (35)'!$A:$C,3,0)</f>
        <v>#REF!</v>
      </c>
      <c r="AL80" s="1" t="e">
        <f>AK80/VLOOKUP(A80,'[39]geoMap (36)'!$A:$B,2,0)*VLOOKUP(A80,'[39]geoMap (36)'!$A:$C,3,0)</f>
        <v>#REF!</v>
      </c>
      <c r="AM80" s="1" t="e">
        <f>AL80/VLOOKUP(A80,'[40]geoMap (37)'!$A:$B,2,0)*VLOOKUP(A80,'[40]geoMap (37)'!$A:$C,3,0)</f>
        <v>#REF!</v>
      </c>
      <c r="AN80" s="1" t="e">
        <f>AM80/VLOOKUP(A80,'[41]geoMap (38)'!$A:$B,2,0)*VLOOKUP(A80,'[41]geoMap (38)'!$A:$C,3,0)</f>
        <v>#REF!</v>
      </c>
      <c r="AO80" s="1" t="e">
        <f>AN80/VLOOKUP(A80,'[42]geoMap (39)'!$A:$B,2,0)*VLOOKUP(A80,'[42]geoMap (39)'!$A:$C,3,0)</f>
        <v>#REF!</v>
      </c>
      <c r="AP80" s="1" t="e">
        <f>AO80/VLOOKUP(A80,'[43]geoMap (40)'!$A:$B,2,0)*VLOOKUP(A80,'[43]geoMap (40)'!$A:$C,3,0)</f>
        <v>#REF!</v>
      </c>
      <c r="AQ80" s="1" t="e">
        <f>AP80/VLOOKUP(A80,'[44]geoMap (41)'!$A:$B,2,0)*VLOOKUP(A80,'[44]geoMap (41)'!$A:$C,3,0)</f>
        <v>#REF!</v>
      </c>
      <c r="AR80" s="1" t="e">
        <f>AQ80/VLOOKUP(A80,'[45]geoMap (42)'!$A:$B,2,0)*VLOOKUP(A80,'[45]geoMap (42)'!$A:$C,3,0)</f>
        <v>#REF!</v>
      </c>
      <c r="AS80" s="1" t="e">
        <f>AR80/VLOOKUP(A80,'[46]geoMap (43)'!$A:$B,2,0)*VLOOKUP(A80,'[46]geoMap (43)'!$A:$C,3,0)</f>
        <v>#REF!</v>
      </c>
      <c r="AT80" s="1" t="e">
        <f>AS80/VLOOKUP(A80,'[47]geoMap (44)'!$A:$B,2,0)*VLOOKUP(A80,'[47]geoMap (44)'!$A:$C,3,0)</f>
        <v>#REF!</v>
      </c>
      <c r="AU80" s="1" t="e">
        <f>AT80/VLOOKUP(A80,'[48]geoMap (45)'!$A:$B,2,0)*VLOOKUP(A80,'[48]geoMap (45)'!$A:$C,3,0)</f>
        <v>#REF!</v>
      </c>
      <c r="AV80" s="1" t="e">
        <f>AU80/VLOOKUP(A80,'[49]geoMap (46)'!$A:$B,2,0)*VLOOKUP(A80,'[49]geoMap (46)'!$A:$C,3,0)</f>
        <v>#REF!</v>
      </c>
      <c r="AW80" s="1" t="e">
        <f>AV80/VLOOKUP(A80,'[50]geoMap (47)'!$A:$B,2,0)*VLOOKUP(A80,'[50]geoMap (47)'!$A:$C,3,0)</f>
        <v>#REF!</v>
      </c>
      <c r="AX80" s="4" t="e">
        <f>AW80/VLOOKUP(A80,'[51]geoMap (48)'!$A:$B,2,0)*VLOOKUP(A80,'[51]geoMap (48)'!$A:$C,3,0)</f>
        <v>#REF!</v>
      </c>
      <c r="AY80" s="1" t="e">
        <f>AX80/VLOOKUP(A80,'[52]geoMap (49)'!$A:$B,2,0)*VLOOKUP(A80,'[52]geoMap (49)'!$A:$C,3,0)</f>
        <v>#REF!</v>
      </c>
      <c r="AZ80" s="4" t="e">
        <f>AY80/VLOOKUP(A80,'[53]geoMap (50)'!$A:$B,2,0)*VLOOKUP(A80,'[53]geoMap (50)'!$A:$C,3,0)</f>
        <v>#REF!</v>
      </c>
      <c r="BA80" s="1" t="e">
        <f>AZ80/VLOOKUP(A80,'[54]geoMap (51)'!$A:$B,2,0)*VLOOKUP(A80,'[54]geoMap (51)'!$A:$C,3,0)</f>
        <v>#REF!</v>
      </c>
      <c r="BB80" s="4" t="e">
        <f>BA80/VLOOKUP(A80,'[55]geoMap (52)'!$A:$B,2,0)*VLOOKUP(A80,'[55]geoMap (52)'!$A:$C,3,0)</f>
        <v>#REF!</v>
      </c>
      <c r="BC80" s="1" t="e">
        <f>BB80/VLOOKUP(A80,'[56]geoMap (53)'!$A:$B,2,0)*VLOOKUP(A80,'[56]geoMap (53)'!$A:$C,3,0)</f>
        <v>#REF!</v>
      </c>
      <c r="BD80" s="4" t="e">
        <f>BC80/VLOOKUP(A80,'[57]geoMap (54)'!$A:$B,2,0)*VLOOKUP(A80,'[57]geoMap (54)'!$A:$C,3,0)</f>
        <v>#REF!</v>
      </c>
      <c r="BE80" s="1" t="e">
        <f>BD80/VLOOKUP(A80,'[58]geoMap (55)'!$A:$B,2,0)*VLOOKUP(A80,'[58]geoMap (55)'!$A:$C,3,0)</f>
        <v>#REF!</v>
      </c>
      <c r="BF80" s="4" t="e">
        <f>BE80/VLOOKUP(A80,'[59]geoMap (56)'!$A:$B,2,0)*VLOOKUP(A80,'[59]geoMap (56)'!$A:$C,3,0)</f>
        <v>#REF!</v>
      </c>
      <c r="BG80" s="1" t="e">
        <f>BF80/VLOOKUP(A80,'[60]geoMap (57)'!$A:$B,2,0)*VLOOKUP(A80,'[60]geoMap (57)'!$A:$C,3,0)</f>
        <v>#REF!</v>
      </c>
      <c r="BH80" s="4" t="e">
        <f>BG80/VLOOKUP(A80,'[61]geoMap (58)'!$A:$B,2,0)*VLOOKUP(A80,'[61]geoMap (58)'!$A:$C,3,0)</f>
        <v>#REF!</v>
      </c>
      <c r="BI80" s="1" t="e">
        <f>BH80/VLOOKUP(A80,'[62]geoMap (59)'!$A:$B,2,0)*VLOOKUP(A80,'[62]geoMap (59)'!$A:$C,3,0)</f>
        <v>#REF!</v>
      </c>
      <c r="BJ80" s="4" t="e">
        <f>BI80/VLOOKUP(A80,'[63]geoMap (60)'!$A:$B,2,0)*VLOOKUP(A80,'[63]geoMap (60)'!$A:$C,3,0)</f>
        <v>#REF!</v>
      </c>
      <c r="BK80" s="1" t="e">
        <f>BJ80/VLOOKUP(A80,'[64]geoMap (61)'!$A:$B,2,0)*VLOOKUP(A80,'[64]geoMap (61)'!$A:$C,3,0)</f>
        <v>#REF!</v>
      </c>
      <c r="BL80" s="4" t="e">
        <f>BK80/VLOOKUP(A80,'[65]geoMap (62)'!$A:$B,2,0)*VLOOKUP(A80,'[65]geoMap (62)'!$A:$C,3,0)</f>
        <v>#REF!</v>
      </c>
      <c r="BM80" s="1" t="e">
        <f>BL80/VLOOKUP(A80,'[66]geoMap (63)'!$A:$B,2,0)*VLOOKUP(A80,'[66]geoMap (63)'!$A:$C,3,0)</f>
        <v>#REF!</v>
      </c>
      <c r="BN80" s="4" t="e">
        <f>BM80/VLOOKUP(A80,'[67]geoMap (64)'!$A:$B,2,0)*VLOOKUP(A80,'[67]geoMap (64)'!$A:$C,3,0)</f>
        <v>#REF!</v>
      </c>
      <c r="BO80" s="1" t="e">
        <f>BN80/VLOOKUP(A80,'[68]geoMap (65)'!$A:$B,2,0)*VLOOKUP(A80,'[68]geoMap (65)'!$A:$C,3,0)</f>
        <v>#REF!</v>
      </c>
      <c r="BP80" s="4" t="e">
        <f>BO80/VLOOKUP(A80,'[69]geoMap (66)'!$A:$B,2,0)*VLOOKUP(A80,'[69]geoMap (66)'!$A:$C,3,0)</f>
        <v>#REF!</v>
      </c>
    </row>
    <row r="81" spans="1:68" x14ac:dyDescent="0.2">
      <c r="A81" s="1" t="s">
        <v>15</v>
      </c>
      <c r="B81" s="1" t="e">
        <f>VLOOKUP(A81,[3]geoMap!$A:$B,2,0)*Notes!$C$6</f>
        <v>#REF!</v>
      </c>
      <c r="C81" s="1" t="e">
        <f>B81/VLOOKUP(A81,'[4]geoMap (1)'!$A:$B,2,0)*VLOOKUP(A81,'[4]geoMap (1)'!$A:$C,3,0)</f>
        <v>#REF!</v>
      </c>
      <c r="D81" s="1" t="e">
        <f>C81/VLOOKUP(A81,'[5]geoMap (2)'!$A:$B,2,0)*VLOOKUP(A81,'[5]geoMap (2)'!$A:$C,3,0)</f>
        <v>#REF!</v>
      </c>
      <c r="E81" s="1" t="e">
        <f>D81/VLOOKUP(A81,'[6]geoMap (3)'!$A:$B,2,0)*VLOOKUP(A81,'[6]geoMap (3)'!$A:$C,3,0)</f>
        <v>#REF!</v>
      </c>
      <c r="F81" s="1" t="e">
        <f>E81/VLOOKUP(A81,'[7]geoMap (4)'!$A:$B,2,0)*VLOOKUP(A81,'[7]geoMap (4)'!$A:$C,3,0)</f>
        <v>#REF!</v>
      </c>
      <c r="G81" s="1" t="e">
        <f>F81/VLOOKUP(A81,'[8]geoMap (5)'!$A:$B,2,0)*VLOOKUP(A81,'[8]geoMap (5)'!$A:$C,3,0)</f>
        <v>#REF!</v>
      </c>
      <c r="H81" s="1" t="e">
        <f>G81/VLOOKUP(A81,'[9]geoMap (6)'!$A:$B,2,0)*VLOOKUP(A81,'[9]geoMap (6)'!$A:$C,3,0)</f>
        <v>#REF!</v>
      </c>
      <c r="I81" s="1" t="e">
        <f>H81/VLOOKUP(A81,'[10]geoMap (7)'!$A:$B,2,0)*VLOOKUP(A81,'[10]geoMap (7)'!$A:$C,3,0)</f>
        <v>#REF!</v>
      </c>
      <c r="J81" s="1" t="e">
        <f>I81/VLOOKUP(A81,'[11]geoMap (8)'!$A:$B,2,0)*VLOOKUP(A81,'[11]geoMap (8)'!$A:$C,3,0)</f>
        <v>#REF!</v>
      </c>
      <c r="K81" s="1" t="e">
        <f>J81/VLOOKUP(A81,'[12]geoMap (9)'!$A:$B,2,0)*VLOOKUP(A81,'[12]geoMap (9)'!$A:$C,3,0)</f>
        <v>#REF!</v>
      </c>
      <c r="L81" s="1" t="e">
        <f>K81/VLOOKUP(A81,'[13]geoMap (10)'!$A:$B,2,0)*VLOOKUP(A81,'[13]geoMap (10)'!$A:$C,3,0)</f>
        <v>#REF!</v>
      </c>
      <c r="M81" s="1" t="e">
        <f>L81/VLOOKUP(A81,'[14]geoMap (11)'!$A:$B,2,0)*VLOOKUP(A81,'[14]geoMap (11)'!$A:$C,3,0)</f>
        <v>#REF!</v>
      </c>
      <c r="N81" s="1" t="e">
        <f>M81/VLOOKUP(A81,'[15]geoMap (12)'!$A:$B,2,0)*VLOOKUP(A81,'[15]geoMap (12)'!$A:$C,3,0)</f>
        <v>#REF!</v>
      </c>
      <c r="O81" s="1" t="e">
        <f>N81/VLOOKUP(A81,'[16]geoMap (13)'!$A:$B,2,0)*VLOOKUP(A81,'[16]geoMap (13)'!$A:$C,3,0)</f>
        <v>#REF!</v>
      </c>
      <c r="P81" s="1" t="e">
        <f>O81/VLOOKUP(A81,'[17]geoMap (14)'!$A:$B,2,0)*VLOOKUP(A81,'[17]geoMap (14)'!$A:$C,3,0)</f>
        <v>#REF!</v>
      </c>
      <c r="Q81" s="1" t="e">
        <f>P81/VLOOKUP(A81,'[18]geoMap (15)'!$A:$B,2,0)*VLOOKUP(A81,'[18]geoMap (15)'!$A:$C,3,0)</f>
        <v>#REF!</v>
      </c>
      <c r="R81" s="1" t="e">
        <f>Q81/VLOOKUP(A81,'[19]geoMap (16)'!$A:$B,2,0)*VLOOKUP(A81,'[19]geoMap (16)'!$A:$C,3,0)</f>
        <v>#REF!</v>
      </c>
      <c r="S81" s="1" t="e">
        <f>R81/VLOOKUP(A81,'[20]geoMap (17)'!$A:$B,2,0)*VLOOKUP(A81,'[20]geoMap (17)'!$A:$C,3,0)</f>
        <v>#REF!</v>
      </c>
      <c r="T81" s="1" t="e">
        <f>S81/VLOOKUP(A81,'[21]geoMap (18)'!$A:$B,2,0)*VLOOKUP(A81,'[21]geoMap (18)'!$A:$C,3,0)</f>
        <v>#REF!</v>
      </c>
      <c r="U81" s="1" t="e">
        <f>T81/VLOOKUP(A81,'[22]geoMap (19)'!$A:$B,2,0)*VLOOKUP(A81,'[22]geoMap (19)'!$A:$C,3,0)</f>
        <v>#REF!</v>
      </c>
      <c r="V81" s="1" t="e">
        <f>U81/VLOOKUP(A81,'[23]geoMap (20)'!$A:$B,2,0)*VLOOKUP(A81,'[23]geoMap (20)'!$A:$C,3,0)</f>
        <v>#REF!</v>
      </c>
      <c r="W81" s="1" t="e">
        <f>V81/VLOOKUP(A81,'[24]geoMap (21)'!$A:$B,2,0)*VLOOKUP(A81,'[24]geoMap (21)'!$A:$C,3,0)</f>
        <v>#REF!</v>
      </c>
      <c r="X81" s="1" t="e">
        <f>W81/VLOOKUP(A81,'[25]geoMap (22)'!$A:$B,2,0)*VLOOKUP(A81,'[25]geoMap (22)'!$A:$C,3,0)</f>
        <v>#REF!</v>
      </c>
      <c r="Y81" s="1" t="e">
        <f>X81/VLOOKUP(A81,'[26]geoMap (23)'!$A:$B,2,0)*VLOOKUP(A81,'[26]geoMap (23)'!$A:$C,3,0)</f>
        <v>#REF!</v>
      </c>
      <c r="Z81" s="1" t="e">
        <f>Y81/VLOOKUP(A81,'[27]geoMap (24)'!$A:$B,2,0)*VLOOKUP(A81,'[27]geoMap (24)'!$A:$C,3,0)</f>
        <v>#REF!</v>
      </c>
      <c r="AA81" s="1" t="e">
        <f>Z81/VLOOKUP(A81,'[28]geoMap (25)'!$A:$B,2,0)*VLOOKUP(A81,'[28]geoMap (25)'!$A:$C,3,0)</f>
        <v>#REF!</v>
      </c>
      <c r="AB81" s="1" t="e">
        <f>AA81*VLOOKUP(A81,'[29]geoMap (26)'!$A:$B,2,0)*VLOOKUP(A81,'[29]geoMap (26)'!$A:$C,3,0)</f>
        <v>#REF!</v>
      </c>
      <c r="AC81" s="1" t="e">
        <f>AB81/VLOOKUP(A81,'[30]geoMap (27)'!$A:$B,2,0)*VLOOKUP(A81,'[30]geoMap (27)'!$A:$C,3,0)</f>
        <v>#REF!</v>
      </c>
      <c r="AD81" s="1" t="e">
        <f>AC81/VLOOKUP(A81,'[31]geoMap (28)'!$A:$B,2,0)*VLOOKUP(A81,'[31]geoMap (28)'!$A:$C,3,0)</f>
        <v>#REF!</v>
      </c>
      <c r="AE81" s="1" t="e">
        <f>AD81/VLOOKUP(A81,'[32]geoMap (29)'!$A:$B,2,0)*VLOOKUP(A81,'[32]geoMap (29)'!$A:$C,3,0)</f>
        <v>#REF!</v>
      </c>
      <c r="AF81" s="1" t="e">
        <f>AE81/VLOOKUP(A81,'[33]geoMap (30)'!$A:$B,2,0)*VLOOKUP(A81,'[33]geoMap (30)'!$A:$C,3,0)</f>
        <v>#REF!</v>
      </c>
      <c r="AG81" s="1" t="e">
        <f>AF81/VLOOKUP(A81,'[34]geoMap (31)'!$A:$B,2,0)*VLOOKUP(A81,'[34]geoMap (31)'!$A:$C,3,0)</f>
        <v>#REF!</v>
      </c>
      <c r="AH81" s="1" t="e">
        <f>AG81/VLOOKUP(A81,'[35]geoMap (32)'!$A:$B,2,0)*VLOOKUP(A81,'[35]geoMap (32)'!$A:$C,3,0)</f>
        <v>#REF!</v>
      </c>
      <c r="AI81" s="1" t="e">
        <f>AH81/VLOOKUP(A81,'[36]geoMap (33)'!$A:$B,2,0)*VLOOKUP(A81,'[36]geoMap (33)'!$A:$C,3,0)</f>
        <v>#REF!</v>
      </c>
      <c r="AJ81" s="1" t="e">
        <f>AI81/VLOOKUP(A81,'[37]geoMap (34)'!$A:$B,2,0)*VLOOKUP(A81,'[37]geoMap (34)'!$A:$C,3,0)</f>
        <v>#REF!</v>
      </c>
      <c r="AK81" s="1" t="e">
        <f>AJ81/VLOOKUP(A81,'[38]geoMap (35)'!$A:$B,2,0)*VLOOKUP(A81,'[38]geoMap (35)'!$A:$C,3,0)</f>
        <v>#REF!</v>
      </c>
      <c r="AL81" s="1" t="e">
        <f>AK81/VLOOKUP(A81,'[39]geoMap (36)'!$A:$B,2,0)*VLOOKUP(A81,'[39]geoMap (36)'!$A:$C,3,0)</f>
        <v>#REF!</v>
      </c>
      <c r="AM81" s="1" t="e">
        <f>AL81/VLOOKUP(A81,'[40]geoMap (37)'!$A:$B,2,0)*VLOOKUP(A81,'[40]geoMap (37)'!$A:$C,3,0)</f>
        <v>#REF!</v>
      </c>
      <c r="AN81" s="1" t="e">
        <f>AM81/VLOOKUP(A81,'[41]geoMap (38)'!$A:$B,2,0)*VLOOKUP(A81,'[41]geoMap (38)'!$A:$C,3,0)</f>
        <v>#REF!</v>
      </c>
      <c r="AO81" s="1" t="e">
        <f>AN81/VLOOKUP(A81,'[42]geoMap (39)'!$A:$B,2,0)*VLOOKUP(A81,'[42]geoMap (39)'!$A:$C,3,0)</f>
        <v>#REF!</v>
      </c>
      <c r="AP81" s="1" t="e">
        <f>AO81/VLOOKUP(A81,'[43]geoMap (40)'!$A:$B,2,0)*VLOOKUP(A81,'[43]geoMap (40)'!$A:$C,3,0)</f>
        <v>#REF!</v>
      </c>
      <c r="AQ81" s="1" t="e">
        <f>AP81/VLOOKUP(A81,'[44]geoMap (41)'!$A:$B,2,0)*VLOOKUP(A81,'[44]geoMap (41)'!$A:$C,3,0)</f>
        <v>#REF!</v>
      </c>
      <c r="AR81" s="1" t="e">
        <f>AQ81/VLOOKUP(A81,'[45]geoMap (42)'!$A:$B,2,0)*VLOOKUP(A81,'[45]geoMap (42)'!$A:$C,3,0)</f>
        <v>#REF!</v>
      </c>
      <c r="AS81" s="1" t="e">
        <f>AR81/VLOOKUP(A81,'[46]geoMap (43)'!$A:$B,2,0)*VLOOKUP(A81,'[46]geoMap (43)'!$A:$C,3,0)</f>
        <v>#REF!</v>
      </c>
      <c r="AT81" s="1" t="e">
        <f>AS81/VLOOKUP(A81,'[47]geoMap (44)'!$A:$B,2,0)*VLOOKUP(A81,'[47]geoMap (44)'!$A:$C,3,0)</f>
        <v>#REF!</v>
      </c>
      <c r="AU81" s="1" t="e">
        <f>AT81/VLOOKUP(A81,'[48]geoMap (45)'!$A:$B,2,0)*VLOOKUP(A81,'[48]geoMap (45)'!$A:$C,3,0)</f>
        <v>#REF!</v>
      </c>
      <c r="AV81" s="1" t="e">
        <f>AU81/VLOOKUP(A81,'[49]geoMap (46)'!$A:$B,2,0)*VLOOKUP(A81,'[49]geoMap (46)'!$A:$C,3,0)</f>
        <v>#REF!</v>
      </c>
      <c r="AW81" s="1" t="e">
        <f>AV81/VLOOKUP(A81,'[50]geoMap (47)'!$A:$B,2,0)*VLOOKUP(A81,'[50]geoMap (47)'!$A:$C,3,0)</f>
        <v>#REF!</v>
      </c>
      <c r="AX81" s="4" t="e">
        <f>AW81/VLOOKUP(A81,'[51]geoMap (48)'!$A:$B,2,0)*VLOOKUP(A81,'[51]geoMap (48)'!$A:$C,3,0)</f>
        <v>#REF!</v>
      </c>
      <c r="AY81" s="1" t="e">
        <f>AX81/VLOOKUP(A81,'[52]geoMap (49)'!$A:$B,2,0)*VLOOKUP(A81,'[52]geoMap (49)'!$A:$C,3,0)</f>
        <v>#REF!</v>
      </c>
      <c r="AZ81" s="4" t="e">
        <f>AY81/VLOOKUP(A81,'[53]geoMap (50)'!$A:$B,2,0)*VLOOKUP(A81,'[53]geoMap (50)'!$A:$C,3,0)</f>
        <v>#REF!</v>
      </c>
      <c r="BA81" s="1" t="e">
        <f>AZ81/VLOOKUP(A81,'[54]geoMap (51)'!$A:$B,2,0)*VLOOKUP(A81,'[54]geoMap (51)'!$A:$C,3,0)</f>
        <v>#REF!</v>
      </c>
      <c r="BB81" s="4" t="e">
        <f>BA81/VLOOKUP(A81,'[55]geoMap (52)'!$A:$B,2,0)*VLOOKUP(A81,'[55]geoMap (52)'!$A:$C,3,0)</f>
        <v>#REF!</v>
      </c>
      <c r="BC81" s="1" t="e">
        <f>BB81/VLOOKUP(A81,'[56]geoMap (53)'!$A:$B,2,0)*VLOOKUP(A81,'[56]geoMap (53)'!$A:$C,3,0)</f>
        <v>#REF!</v>
      </c>
      <c r="BD81" s="4" t="e">
        <f>BC81/VLOOKUP(A81,'[57]geoMap (54)'!$A:$B,2,0)*VLOOKUP(A81,'[57]geoMap (54)'!$A:$C,3,0)</f>
        <v>#REF!</v>
      </c>
      <c r="BE81" s="1" t="e">
        <f>BD81/VLOOKUP(A81,'[58]geoMap (55)'!$A:$B,2,0)*VLOOKUP(A81,'[58]geoMap (55)'!$A:$C,3,0)</f>
        <v>#REF!</v>
      </c>
      <c r="BF81" s="4" t="e">
        <f>BE81/VLOOKUP(A81,'[59]geoMap (56)'!$A:$B,2,0)*VLOOKUP(A81,'[59]geoMap (56)'!$A:$C,3,0)</f>
        <v>#REF!</v>
      </c>
      <c r="BG81" s="1" t="e">
        <f>BF81/VLOOKUP(A81,'[60]geoMap (57)'!$A:$B,2,0)*VLOOKUP(A81,'[60]geoMap (57)'!$A:$C,3,0)</f>
        <v>#REF!</v>
      </c>
      <c r="BH81" s="4" t="e">
        <f>BG81/VLOOKUP(A81,'[61]geoMap (58)'!$A:$B,2,0)*VLOOKUP(A81,'[61]geoMap (58)'!$A:$C,3,0)</f>
        <v>#REF!</v>
      </c>
      <c r="BI81" s="1" t="e">
        <f>BH81/VLOOKUP(A81,'[62]geoMap (59)'!$A:$B,2,0)*VLOOKUP(A81,'[62]geoMap (59)'!$A:$C,3,0)</f>
        <v>#REF!</v>
      </c>
      <c r="BJ81" s="4" t="e">
        <f>BI81/VLOOKUP(A81,'[63]geoMap (60)'!$A:$B,2,0)*VLOOKUP(A81,'[63]geoMap (60)'!$A:$C,3,0)</f>
        <v>#REF!</v>
      </c>
      <c r="BK81" s="1" t="e">
        <f>BJ81/VLOOKUP(A81,'[64]geoMap (61)'!$A:$B,2,0)*VLOOKUP(A81,'[64]geoMap (61)'!$A:$C,3,0)</f>
        <v>#REF!</v>
      </c>
      <c r="BL81" s="4" t="e">
        <f>BK81/VLOOKUP(A81,'[65]geoMap (62)'!$A:$B,2,0)*VLOOKUP(A81,'[65]geoMap (62)'!$A:$C,3,0)</f>
        <v>#REF!</v>
      </c>
      <c r="BM81" s="1" t="e">
        <f>BL81/VLOOKUP(A81,'[66]geoMap (63)'!$A:$B,2,0)*VLOOKUP(A81,'[66]geoMap (63)'!$A:$C,3,0)</f>
        <v>#REF!</v>
      </c>
      <c r="BN81" s="4" t="e">
        <f>BM81/VLOOKUP(A81,'[67]geoMap (64)'!$A:$B,2,0)*VLOOKUP(A81,'[67]geoMap (64)'!$A:$C,3,0)</f>
        <v>#REF!</v>
      </c>
      <c r="BO81" s="1" t="e">
        <f>BN81/VLOOKUP(A81,'[68]geoMap (65)'!$A:$B,2,0)*VLOOKUP(A81,'[68]geoMap (65)'!$A:$C,3,0)</f>
        <v>#REF!</v>
      </c>
      <c r="BP81" s="4" t="e">
        <f>BO81/VLOOKUP(A81,'[69]geoMap (66)'!$A:$B,2,0)*VLOOKUP(A81,'[69]geoMap (66)'!$A:$C,3,0)</f>
        <v>#REF!</v>
      </c>
    </row>
    <row r="82" spans="1:68" x14ac:dyDescent="0.2">
      <c r="A82" s="1" t="s">
        <v>17</v>
      </c>
      <c r="B82" s="1" t="e">
        <f>VLOOKUP(A82,[3]geoMap!$A:$B,2,0)*Notes!$C$6</f>
        <v>#REF!</v>
      </c>
      <c r="C82" s="1" t="e">
        <f>B82/VLOOKUP(A82,'[4]geoMap (1)'!$A:$B,2,0)*VLOOKUP(A82,'[4]geoMap (1)'!$A:$C,3,0)</f>
        <v>#REF!</v>
      </c>
      <c r="D82" s="1" t="e">
        <f>C82/VLOOKUP(A82,'[5]geoMap (2)'!$A:$B,2,0)*VLOOKUP(A82,'[5]geoMap (2)'!$A:$C,3,0)</f>
        <v>#REF!</v>
      </c>
      <c r="E82" s="1" t="e">
        <f>D82/VLOOKUP(A82,'[6]geoMap (3)'!$A:$B,2,0)*VLOOKUP(A82,'[6]geoMap (3)'!$A:$C,3,0)</f>
        <v>#REF!</v>
      </c>
      <c r="F82" s="1" t="e">
        <f>E82/VLOOKUP(A82,'[7]geoMap (4)'!$A:$B,2,0)*VLOOKUP(A82,'[7]geoMap (4)'!$A:$C,3,0)</f>
        <v>#REF!</v>
      </c>
      <c r="G82" s="1" t="e">
        <f>F82/VLOOKUP(A82,'[8]geoMap (5)'!$A:$B,2,0)*VLOOKUP(A82,'[8]geoMap (5)'!$A:$C,3,0)</f>
        <v>#REF!</v>
      </c>
      <c r="H82" s="1" t="e">
        <f>G82/VLOOKUP(A82,'[9]geoMap (6)'!$A:$B,2,0)*VLOOKUP(A82,'[9]geoMap (6)'!$A:$C,3,0)</f>
        <v>#REF!</v>
      </c>
      <c r="I82" s="1" t="e">
        <f>H82/VLOOKUP(A82,'[10]geoMap (7)'!$A:$B,2,0)*VLOOKUP(A82,'[10]geoMap (7)'!$A:$C,3,0)</f>
        <v>#REF!</v>
      </c>
      <c r="J82" s="1" t="e">
        <f>I82/VLOOKUP(A82,'[11]geoMap (8)'!$A:$B,2,0)*VLOOKUP(A82,'[11]geoMap (8)'!$A:$C,3,0)</f>
        <v>#REF!</v>
      </c>
      <c r="K82" s="1" t="e">
        <f>J82/VLOOKUP(A82,'[12]geoMap (9)'!$A:$B,2,0)*VLOOKUP(A82,'[12]geoMap (9)'!$A:$C,3,0)</f>
        <v>#REF!</v>
      </c>
      <c r="L82" s="1" t="e">
        <f>K82/VLOOKUP(A82,'[13]geoMap (10)'!$A:$B,2,0)*VLOOKUP(A82,'[13]geoMap (10)'!$A:$C,3,0)</f>
        <v>#REF!</v>
      </c>
      <c r="M82" s="1" t="e">
        <f>L82/VLOOKUP(A82,'[14]geoMap (11)'!$A:$B,2,0)*VLOOKUP(A82,'[14]geoMap (11)'!$A:$C,3,0)</f>
        <v>#REF!</v>
      </c>
      <c r="N82" s="1" t="e">
        <f>M82/VLOOKUP(A82,'[15]geoMap (12)'!$A:$B,2,0)*VLOOKUP(A82,'[15]geoMap (12)'!$A:$C,3,0)</f>
        <v>#REF!</v>
      </c>
      <c r="O82" s="1" t="e">
        <f>N82/VLOOKUP(A82,'[16]geoMap (13)'!$A:$B,2,0)*VLOOKUP(A82,'[16]geoMap (13)'!$A:$C,3,0)</f>
        <v>#REF!</v>
      </c>
      <c r="P82" s="1" t="e">
        <f>O82/VLOOKUP(A82,'[17]geoMap (14)'!$A:$B,2,0)*VLOOKUP(A82,'[17]geoMap (14)'!$A:$C,3,0)</f>
        <v>#REF!</v>
      </c>
      <c r="Q82" s="1" t="e">
        <f>P82/VLOOKUP(A82,'[18]geoMap (15)'!$A:$B,2,0)*VLOOKUP(A82,'[18]geoMap (15)'!$A:$C,3,0)</f>
        <v>#REF!</v>
      </c>
      <c r="R82" s="1" t="e">
        <f>Q82/VLOOKUP(A82,'[19]geoMap (16)'!$A:$B,2,0)*VLOOKUP(A82,'[19]geoMap (16)'!$A:$C,3,0)</f>
        <v>#REF!</v>
      </c>
      <c r="S82" s="1" t="e">
        <f>R82/VLOOKUP(A82,'[20]geoMap (17)'!$A:$B,2,0)*VLOOKUP(A82,'[20]geoMap (17)'!$A:$C,3,0)</f>
        <v>#REF!</v>
      </c>
      <c r="T82" s="1" t="e">
        <f>S82/VLOOKUP(A82,'[21]geoMap (18)'!$A:$B,2,0)*VLOOKUP(A82,'[21]geoMap (18)'!$A:$C,3,0)</f>
        <v>#REF!</v>
      </c>
      <c r="U82" s="1" t="e">
        <f>T82/VLOOKUP(A82,'[22]geoMap (19)'!$A:$B,2,0)*VLOOKUP(A82,'[22]geoMap (19)'!$A:$C,3,0)</f>
        <v>#REF!</v>
      </c>
      <c r="V82" s="1" t="e">
        <f>U82/VLOOKUP(A82,'[23]geoMap (20)'!$A:$B,2,0)*VLOOKUP(A82,'[23]geoMap (20)'!$A:$C,3,0)</f>
        <v>#REF!</v>
      </c>
      <c r="W82" s="1" t="e">
        <f>V82/VLOOKUP(A82,'[24]geoMap (21)'!$A:$B,2,0)*VLOOKUP(A82,'[24]geoMap (21)'!$A:$C,3,0)</f>
        <v>#REF!</v>
      </c>
      <c r="X82" s="1" t="e">
        <f>W82/VLOOKUP(A82,'[25]geoMap (22)'!$A:$B,2,0)*VLOOKUP(A82,'[25]geoMap (22)'!$A:$C,3,0)</f>
        <v>#REF!</v>
      </c>
      <c r="Y82" s="1" t="e">
        <f>X82/VLOOKUP(A82,'[26]geoMap (23)'!$A:$B,2,0)*VLOOKUP(A82,'[26]geoMap (23)'!$A:$C,3,0)</f>
        <v>#REF!</v>
      </c>
      <c r="Z82" s="1" t="e">
        <f>Y82/VLOOKUP(A82,'[27]geoMap (24)'!$A:$B,2,0)*VLOOKUP(A82,'[27]geoMap (24)'!$A:$C,3,0)</f>
        <v>#REF!</v>
      </c>
      <c r="AA82" s="1" t="e">
        <f>Z82/VLOOKUP(A82,'[28]geoMap (25)'!$A:$B,2,0)*VLOOKUP(A82,'[28]geoMap (25)'!$A:$C,3,0)</f>
        <v>#REF!</v>
      </c>
      <c r="AB82" s="1" t="e">
        <f>AA82*VLOOKUP(A82,'[29]geoMap (26)'!$A:$B,2,0)*VLOOKUP(A82,'[29]geoMap (26)'!$A:$C,3,0)</f>
        <v>#REF!</v>
      </c>
      <c r="AC82" s="1" t="e">
        <f>AB82/VLOOKUP(A82,'[30]geoMap (27)'!$A:$B,2,0)*VLOOKUP(A82,'[30]geoMap (27)'!$A:$C,3,0)</f>
        <v>#REF!</v>
      </c>
      <c r="AD82" s="1" t="e">
        <f>AC82/VLOOKUP(A82,'[31]geoMap (28)'!$A:$B,2,0)*VLOOKUP(A82,'[31]geoMap (28)'!$A:$C,3,0)</f>
        <v>#REF!</v>
      </c>
      <c r="AE82" s="1" t="e">
        <f>AD82/VLOOKUP(A82,'[32]geoMap (29)'!$A:$B,2,0)*VLOOKUP(A82,'[32]geoMap (29)'!$A:$C,3,0)</f>
        <v>#REF!</v>
      </c>
      <c r="AF82" s="1" t="e">
        <f>AE82/VLOOKUP(A82,'[33]geoMap (30)'!$A:$B,2,0)*VLOOKUP(A82,'[33]geoMap (30)'!$A:$C,3,0)</f>
        <v>#REF!</v>
      </c>
      <c r="AG82" s="1" t="e">
        <f>AF82/VLOOKUP(A82,'[34]geoMap (31)'!$A:$B,2,0)*VLOOKUP(A82,'[34]geoMap (31)'!$A:$C,3,0)</f>
        <v>#REF!</v>
      </c>
      <c r="AH82" s="1" t="e">
        <f>AG82/VLOOKUP(A82,'[35]geoMap (32)'!$A:$B,2,0)*VLOOKUP(A82,'[35]geoMap (32)'!$A:$C,3,0)</f>
        <v>#REF!</v>
      </c>
      <c r="AI82" s="1" t="e">
        <f>AH82/VLOOKUP(A82,'[36]geoMap (33)'!$A:$B,2,0)*VLOOKUP(A82,'[36]geoMap (33)'!$A:$C,3,0)</f>
        <v>#REF!</v>
      </c>
      <c r="AJ82" s="1" t="e">
        <f>AI82/VLOOKUP(A82,'[37]geoMap (34)'!$A:$B,2,0)*VLOOKUP(A82,'[37]geoMap (34)'!$A:$C,3,0)</f>
        <v>#REF!</v>
      </c>
      <c r="AK82" s="1" t="e">
        <f>AJ82/VLOOKUP(A82,'[38]geoMap (35)'!$A:$B,2,0)*VLOOKUP(A82,'[38]geoMap (35)'!$A:$C,3,0)</f>
        <v>#REF!</v>
      </c>
      <c r="AL82" s="1" t="e">
        <f>AK82/VLOOKUP(A82,'[39]geoMap (36)'!$A:$B,2,0)*VLOOKUP(A82,'[39]geoMap (36)'!$A:$C,3,0)</f>
        <v>#REF!</v>
      </c>
      <c r="AM82" s="1" t="e">
        <f>AL82/VLOOKUP(A82,'[40]geoMap (37)'!$A:$B,2,0)*VLOOKUP(A82,'[40]geoMap (37)'!$A:$C,3,0)</f>
        <v>#REF!</v>
      </c>
      <c r="AN82" s="1" t="e">
        <f>AM82/VLOOKUP(A82,'[41]geoMap (38)'!$A:$B,2,0)*VLOOKUP(A82,'[41]geoMap (38)'!$A:$C,3,0)</f>
        <v>#REF!</v>
      </c>
      <c r="AO82" s="1" t="e">
        <f>AN82/VLOOKUP(A82,'[42]geoMap (39)'!$A:$B,2,0)*VLOOKUP(A82,'[42]geoMap (39)'!$A:$C,3,0)</f>
        <v>#REF!</v>
      </c>
      <c r="AP82" s="1" t="e">
        <f>AO82/VLOOKUP(A82,'[43]geoMap (40)'!$A:$B,2,0)*VLOOKUP(A82,'[43]geoMap (40)'!$A:$C,3,0)</f>
        <v>#REF!</v>
      </c>
      <c r="AQ82" s="1" t="e">
        <f>AP82/VLOOKUP(A82,'[44]geoMap (41)'!$A:$B,2,0)*VLOOKUP(A82,'[44]geoMap (41)'!$A:$C,3,0)</f>
        <v>#REF!</v>
      </c>
      <c r="AR82" s="1" t="e">
        <f>AQ82/VLOOKUP(A82,'[45]geoMap (42)'!$A:$B,2,0)*VLOOKUP(A82,'[45]geoMap (42)'!$A:$C,3,0)</f>
        <v>#REF!</v>
      </c>
      <c r="AS82" s="1" t="e">
        <f>AR82/VLOOKUP(A82,'[46]geoMap (43)'!$A:$B,2,0)*VLOOKUP(A82,'[46]geoMap (43)'!$A:$C,3,0)</f>
        <v>#REF!</v>
      </c>
      <c r="AT82" s="1" t="e">
        <f>AS82/VLOOKUP(A82,'[47]geoMap (44)'!$A:$B,2,0)*VLOOKUP(A82,'[47]geoMap (44)'!$A:$C,3,0)</f>
        <v>#REF!</v>
      </c>
      <c r="AU82" s="1" t="e">
        <f>AT82/VLOOKUP(A82,'[48]geoMap (45)'!$A:$B,2,0)*VLOOKUP(A82,'[48]geoMap (45)'!$A:$C,3,0)</f>
        <v>#REF!</v>
      </c>
      <c r="AV82" s="1" t="e">
        <f>AU82/VLOOKUP(A82,'[49]geoMap (46)'!$A:$B,2,0)*VLOOKUP(A82,'[49]geoMap (46)'!$A:$C,3,0)</f>
        <v>#REF!</v>
      </c>
      <c r="AW82" s="1" t="e">
        <f>AV82/VLOOKUP(A82,'[50]geoMap (47)'!$A:$B,2,0)*VLOOKUP(A82,'[50]geoMap (47)'!$A:$C,3,0)</f>
        <v>#REF!</v>
      </c>
      <c r="AX82" s="4" t="e">
        <f>AW82/VLOOKUP(A82,'[51]geoMap (48)'!$A:$B,2,0)*VLOOKUP(A82,'[51]geoMap (48)'!$A:$C,3,0)</f>
        <v>#REF!</v>
      </c>
      <c r="AY82" s="1" t="e">
        <f>AX82/VLOOKUP(A82,'[52]geoMap (49)'!$A:$B,2,0)*VLOOKUP(A82,'[52]geoMap (49)'!$A:$C,3,0)</f>
        <v>#REF!</v>
      </c>
      <c r="AZ82" s="4" t="e">
        <f>AY82/VLOOKUP(A82,'[53]geoMap (50)'!$A:$B,2,0)*VLOOKUP(A82,'[53]geoMap (50)'!$A:$C,3,0)</f>
        <v>#REF!</v>
      </c>
      <c r="BA82" s="1" t="e">
        <f>AZ82/VLOOKUP(A82,'[54]geoMap (51)'!$A:$B,2,0)*VLOOKUP(A82,'[54]geoMap (51)'!$A:$C,3,0)</f>
        <v>#REF!</v>
      </c>
      <c r="BB82" s="4" t="e">
        <f>BA82/VLOOKUP(A82,'[55]geoMap (52)'!$A:$B,2,0)*VLOOKUP(A82,'[55]geoMap (52)'!$A:$C,3,0)</f>
        <v>#REF!</v>
      </c>
      <c r="BC82" s="1" t="e">
        <f>BB82/VLOOKUP(A82,'[56]geoMap (53)'!$A:$B,2,0)*VLOOKUP(A82,'[56]geoMap (53)'!$A:$C,3,0)</f>
        <v>#REF!</v>
      </c>
      <c r="BD82" s="4" t="e">
        <f>BC82/VLOOKUP(A82,'[57]geoMap (54)'!$A:$B,2,0)*VLOOKUP(A82,'[57]geoMap (54)'!$A:$C,3,0)</f>
        <v>#REF!</v>
      </c>
      <c r="BE82" s="1" t="e">
        <f>BD82/VLOOKUP(A82,'[58]geoMap (55)'!$A:$B,2,0)*VLOOKUP(A82,'[58]geoMap (55)'!$A:$C,3,0)</f>
        <v>#REF!</v>
      </c>
      <c r="BF82" s="4" t="e">
        <f>BE82/VLOOKUP(A82,'[59]geoMap (56)'!$A:$B,2,0)*VLOOKUP(A82,'[59]geoMap (56)'!$A:$C,3,0)</f>
        <v>#REF!</v>
      </c>
      <c r="BG82" s="1" t="e">
        <f>BF82/VLOOKUP(A82,'[60]geoMap (57)'!$A:$B,2,0)*VLOOKUP(A82,'[60]geoMap (57)'!$A:$C,3,0)</f>
        <v>#REF!</v>
      </c>
      <c r="BH82" s="4" t="e">
        <f>BG82/VLOOKUP(A82,'[61]geoMap (58)'!$A:$B,2,0)*VLOOKUP(A82,'[61]geoMap (58)'!$A:$C,3,0)</f>
        <v>#REF!</v>
      </c>
      <c r="BI82" s="1" t="e">
        <f>BH82/VLOOKUP(A82,'[62]geoMap (59)'!$A:$B,2,0)*VLOOKUP(A82,'[62]geoMap (59)'!$A:$C,3,0)</f>
        <v>#REF!</v>
      </c>
      <c r="BJ82" s="4" t="e">
        <f>BI82/VLOOKUP(A82,'[63]geoMap (60)'!$A:$B,2,0)*VLOOKUP(A82,'[63]geoMap (60)'!$A:$C,3,0)</f>
        <v>#REF!</v>
      </c>
      <c r="BK82" s="1" t="e">
        <f>BJ82/VLOOKUP(A82,'[64]geoMap (61)'!$A:$B,2,0)*VLOOKUP(A82,'[64]geoMap (61)'!$A:$C,3,0)</f>
        <v>#REF!</v>
      </c>
      <c r="BL82" s="4" t="e">
        <f>BK82/VLOOKUP(A82,'[65]geoMap (62)'!$A:$B,2,0)*VLOOKUP(A82,'[65]geoMap (62)'!$A:$C,3,0)</f>
        <v>#REF!</v>
      </c>
      <c r="BM82" s="1" t="e">
        <f>BL82/VLOOKUP(A82,'[66]geoMap (63)'!$A:$B,2,0)*VLOOKUP(A82,'[66]geoMap (63)'!$A:$C,3,0)</f>
        <v>#REF!</v>
      </c>
      <c r="BN82" s="4" t="e">
        <f>BM82/VLOOKUP(A82,'[67]geoMap (64)'!$A:$B,2,0)*VLOOKUP(A82,'[67]geoMap (64)'!$A:$C,3,0)</f>
        <v>#REF!</v>
      </c>
      <c r="BO82" s="1" t="e">
        <f>BN82/VLOOKUP(A82,'[68]geoMap (65)'!$A:$B,2,0)*VLOOKUP(A82,'[68]geoMap (65)'!$A:$C,3,0)</f>
        <v>#REF!</v>
      </c>
      <c r="BP82" s="4" t="e">
        <f>BO82/VLOOKUP(A82,'[69]geoMap (66)'!$A:$B,2,0)*VLOOKUP(A82,'[69]geoMap (66)'!$A:$C,3,0)</f>
        <v>#REF!</v>
      </c>
    </row>
    <row r="83" spans="1:68" x14ac:dyDescent="0.2">
      <c r="A83" s="1" t="s">
        <v>19</v>
      </c>
      <c r="B83" s="1" t="e">
        <f>VLOOKUP(A83,[3]geoMap!$A:$B,2,0)*Notes!$C$6</f>
        <v>#REF!</v>
      </c>
      <c r="C83" s="1" t="e">
        <f>B83/VLOOKUP(A83,'[4]geoMap (1)'!$A:$B,2,0)*VLOOKUP(A83,'[4]geoMap (1)'!$A:$C,3,0)</f>
        <v>#REF!</v>
      </c>
      <c r="D83" s="1" t="e">
        <f>C83/VLOOKUP(A83,'[5]geoMap (2)'!$A:$B,2,0)*VLOOKUP(A83,'[5]geoMap (2)'!$A:$C,3,0)</f>
        <v>#REF!</v>
      </c>
      <c r="E83" s="1" t="e">
        <f>D83/VLOOKUP(A83,'[6]geoMap (3)'!$A:$B,2,0)*VLOOKUP(A83,'[6]geoMap (3)'!$A:$C,3,0)</f>
        <v>#REF!</v>
      </c>
      <c r="F83" s="1" t="e">
        <f>E83/VLOOKUP(A83,'[7]geoMap (4)'!$A:$B,2,0)*VLOOKUP(A83,'[7]geoMap (4)'!$A:$C,3,0)</f>
        <v>#REF!</v>
      </c>
      <c r="G83" s="1" t="e">
        <f>F83/VLOOKUP(A83,'[8]geoMap (5)'!$A:$B,2,0)*VLOOKUP(A83,'[8]geoMap (5)'!$A:$C,3,0)</f>
        <v>#REF!</v>
      </c>
      <c r="H83" s="1" t="e">
        <f>G83/VLOOKUP(A83,'[9]geoMap (6)'!$A:$B,2,0)*VLOOKUP(A83,'[9]geoMap (6)'!$A:$C,3,0)</f>
        <v>#REF!</v>
      </c>
      <c r="I83" s="1" t="e">
        <f>H83/VLOOKUP(A83,'[10]geoMap (7)'!$A:$B,2,0)*VLOOKUP(A83,'[10]geoMap (7)'!$A:$C,3,0)</f>
        <v>#REF!</v>
      </c>
      <c r="J83" s="1" t="e">
        <f>I83/VLOOKUP(A83,'[11]geoMap (8)'!$A:$B,2,0)*VLOOKUP(A83,'[11]geoMap (8)'!$A:$C,3,0)</f>
        <v>#REF!</v>
      </c>
      <c r="K83" s="1" t="e">
        <f>J83/VLOOKUP(A83,'[12]geoMap (9)'!$A:$B,2,0)*VLOOKUP(A83,'[12]geoMap (9)'!$A:$C,3,0)</f>
        <v>#REF!</v>
      </c>
      <c r="L83" s="1" t="e">
        <f>K83/VLOOKUP(A83,'[13]geoMap (10)'!$A:$B,2,0)*VLOOKUP(A83,'[13]geoMap (10)'!$A:$C,3,0)</f>
        <v>#REF!</v>
      </c>
      <c r="M83" s="1" t="e">
        <f>L83/VLOOKUP(A83,'[14]geoMap (11)'!$A:$B,2,0)*VLOOKUP(A83,'[14]geoMap (11)'!$A:$C,3,0)</f>
        <v>#REF!</v>
      </c>
      <c r="N83" s="1" t="e">
        <f>M83/VLOOKUP(A83,'[15]geoMap (12)'!$A:$B,2,0)*VLOOKUP(A83,'[15]geoMap (12)'!$A:$C,3,0)</f>
        <v>#REF!</v>
      </c>
      <c r="O83" s="1" t="e">
        <f>N83/VLOOKUP(A83,'[16]geoMap (13)'!$A:$B,2,0)*VLOOKUP(A83,'[16]geoMap (13)'!$A:$C,3,0)</f>
        <v>#REF!</v>
      </c>
      <c r="P83" s="1" t="e">
        <f>O83/VLOOKUP(A83,'[17]geoMap (14)'!$A:$B,2,0)*VLOOKUP(A83,'[17]geoMap (14)'!$A:$C,3,0)</f>
        <v>#REF!</v>
      </c>
      <c r="Q83" s="1" t="e">
        <f>P83/VLOOKUP(A83,'[18]geoMap (15)'!$A:$B,2,0)*VLOOKUP(A83,'[18]geoMap (15)'!$A:$C,3,0)</f>
        <v>#REF!</v>
      </c>
      <c r="R83" s="1" t="e">
        <f>Q83/VLOOKUP(A83,'[19]geoMap (16)'!$A:$B,2,0)*VLOOKUP(A83,'[19]geoMap (16)'!$A:$C,3,0)</f>
        <v>#REF!</v>
      </c>
      <c r="S83" s="1" t="e">
        <f>R83/VLOOKUP(A83,'[20]geoMap (17)'!$A:$B,2,0)*VLOOKUP(A83,'[20]geoMap (17)'!$A:$C,3,0)</f>
        <v>#REF!</v>
      </c>
      <c r="T83" s="1" t="e">
        <f>S83/VLOOKUP(A83,'[21]geoMap (18)'!$A:$B,2,0)*VLOOKUP(A83,'[21]geoMap (18)'!$A:$C,3,0)</f>
        <v>#REF!</v>
      </c>
      <c r="U83" s="1" t="e">
        <f>T83/VLOOKUP(A83,'[22]geoMap (19)'!$A:$B,2,0)*VLOOKUP(A83,'[22]geoMap (19)'!$A:$C,3,0)</f>
        <v>#REF!</v>
      </c>
      <c r="V83" s="1" t="e">
        <f>U83/VLOOKUP(A83,'[23]geoMap (20)'!$A:$B,2,0)*VLOOKUP(A83,'[23]geoMap (20)'!$A:$C,3,0)</f>
        <v>#REF!</v>
      </c>
      <c r="W83" s="1" t="e">
        <f>V83/VLOOKUP(A83,'[24]geoMap (21)'!$A:$B,2,0)*VLOOKUP(A83,'[24]geoMap (21)'!$A:$C,3,0)</f>
        <v>#REF!</v>
      </c>
      <c r="X83" s="1" t="e">
        <f>W83/VLOOKUP(A83,'[25]geoMap (22)'!$A:$B,2,0)*VLOOKUP(A83,'[25]geoMap (22)'!$A:$C,3,0)</f>
        <v>#REF!</v>
      </c>
      <c r="Y83" s="1" t="e">
        <f>X83/VLOOKUP(A83,'[26]geoMap (23)'!$A:$B,2,0)*VLOOKUP(A83,'[26]geoMap (23)'!$A:$C,3,0)</f>
        <v>#REF!</v>
      </c>
      <c r="Z83" s="1" t="e">
        <f>Y83/VLOOKUP(A83,'[27]geoMap (24)'!$A:$B,2,0)*VLOOKUP(A83,'[27]geoMap (24)'!$A:$C,3,0)</f>
        <v>#REF!</v>
      </c>
      <c r="AA83" s="1" t="e">
        <f>Z83/VLOOKUP(A83,'[28]geoMap (25)'!$A:$B,2,0)*VLOOKUP(A83,'[28]geoMap (25)'!$A:$C,3,0)</f>
        <v>#REF!</v>
      </c>
      <c r="AB83" s="1" t="e">
        <f>AA83*VLOOKUP(A83,'[29]geoMap (26)'!$A:$B,2,0)*VLOOKUP(A83,'[29]geoMap (26)'!$A:$C,3,0)</f>
        <v>#REF!</v>
      </c>
      <c r="AC83" s="1" t="e">
        <f>AB83/VLOOKUP(A83,'[30]geoMap (27)'!$A:$B,2,0)*VLOOKUP(A83,'[30]geoMap (27)'!$A:$C,3,0)</f>
        <v>#REF!</v>
      </c>
      <c r="AD83" s="1" t="e">
        <f>AC83/VLOOKUP(A83,'[31]geoMap (28)'!$A:$B,2,0)*VLOOKUP(A83,'[31]geoMap (28)'!$A:$C,3,0)</f>
        <v>#REF!</v>
      </c>
      <c r="AE83" s="1" t="e">
        <f>AD83/VLOOKUP(A83,'[32]geoMap (29)'!$A:$B,2,0)*VLOOKUP(A83,'[32]geoMap (29)'!$A:$C,3,0)</f>
        <v>#REF!</v>
      </c>
      <c r="AF83" s="1" t="e">
        <f>AE83/VLOOKUP(A83,'[33]geoMap (30)'!$A:$B,2,0)*VLOOKUP(A83,'[33]geoMap (30)'!$A:$C,3,0)</f>
        <v>#REF!</v>
      </c>
      <c r="AG83" s="1" t="e">
        <f>AF83/VLOOKUP(A83,'[34]geoMap (31)'!$A:$B,2,0)*VLOOKUP(A83,'[34]geoMap (31)'!$A:$C,3,0)</f>
        <v>#REF!</v>
      </c>
      <c r="AH83" s="1" t="e">
        <f>AG83/VLOOKUP(A83,'[35]geoMap (32)'!$A:$B,2,0)*VLOOKUP(A83,'[35]geoMap (32)'!$A:$C,3,0)</f>
        <v>#REF!</v>
      </c>
      <c r="AI83" s="1" t="e">
        <f>AH83/VLOOKUP(A83,'[36]geoMap (33)'!$A:$B,2,0)*VLOOKUP(A83,'[36]geoMap (33)'!$A:$C,3,0)</f>
        <v>#REF!</v>
      </c>
      <c r="AJ83" s="1" t="e">
        <f>AI83/VLOOKUP(A83,'[37]geoMap (34)'!$A:$B,2,0)*VLOOKUP(A83,'[37]geoMap (34)'!$A:$C,3,0)</f>
        <v>#REF!</v>
      </c>
      <c r="AK83" s="1" t="e">
        <f>AJ83/VLOOKUP(A83,'[38]geoMap (35)'!$A:$B,2,0)*VLOOKUP(A83,'[38]geoMap (35)'!$A:$C,3,0)</f>
        <v>#REF!</v>
      </c>
      <c r="AL83" s="1" t="e">
        <f>AK83/VLOOKUP(A83,'[39]geoMap (36)'!$A:$B,2,0)*VLOOKUP(A83,'[39]geoMap (36)'!$A:$C,3,0)</f>
        <v>#REF!</v>
      </c>
      <c r="AM83" s="1" t="e">
        <f>AL83/VLOOKUP(A83,'[40]geoMap (37)'!$A:$B,2,0)*VLOOKUP(A83,'[40]geoMap (37)'!$A:$C,3,0)</f>
        <v>#REF!</v>
      </c>
      <c r="AN83" s="1" t="e">
        <f>AM83/VLOOKUP(A83,'[41]geoMap (38)'!$A:$B,2,0)*VLOOKUP(A83,'[41]geoMap (38)'!$A:$C,3,0)</f>
        <v>#REF!</v>
      </c>
      <c r="AO83" s="1" t="e">
        <f>AN83/VLOOKUP(A83,'[42]geoMap (39)'!$A:$B,2,0)*VLOOKUP(A83,'[42]geoMap (39)'!$A:$C,3,0)</f>
        <v>#REF!</v>
      </c>
      <c r="AP83" s="1" t="e">
        <f>AO83/VLOOKUP(A83,'[43]geoMap (40)'!$A:$B,2,0)*VLOOKUP(A83,'[43]geoMap (40)'!$A:$C,3,0)</f>
        <v>#REF!</v>
      </c>
      <c r="AQ83" s="1" t="e">
        <f>AP83/VLOOKUP(A83,'[44]geoMap (41)'!$A:$B,2,0)*VLOOKUP(A83,'[44]geoMap (41)'!$A:$C,3,0)</f>
        <v>#REF!</v>
      </c>
      <c r="AR83" s="1" t="e">
        <f>AQ83/VLOOKUP(A83,'[45]geoMap (42)'!$A:$B,2,0)*VLOOKUP(A83,'[45]geoMap (42)'!$A:$C,3,0)</f>
        <v>#REF!</v>
      </c>
      <c r="AS83" s="1" t="e">
        <f>AR83/VLOOKUP(A83,'[46]geoMap (43)'!$A:$B,2,0)*VLOOKUP(A83,'[46]geoMap (43)'!$A:$C,3,0)</f>
        <v>#REF!</v>
      </c>
      <c r="AT83" s="1" t="e">
        <f>AS83/VLOOKUP(A83,'[47]geoMap (44)'!$A:$B,2,0)*VLOOKUP(A83,'[47]geoMap (44)'!$A:$C,3,0)</f>
        <v>#REF!</v>
      </c>
      <c r="AU83" s="1" t="e">
        <f>AT83/VLOOKUP(A83,'[48]geoMap (45)'!$A:$B,2,0)*VLOOKUP(A83,'[48]geoMap (45)'!$A:$C,3,0)</f>
        <v>#REF!</v>
      </c>
      <c r="AV83" s="1" t="e">
        <f>AU83/VLOOKUP(A83,'[49]geoMap (46)'!$A:$B,2,0)*VLOOKUP(A83,'[49]geoMap (46)'!$A:$C,3,0)</f>
        <v>#REF!</v>
      </c>
      <c r="AW83" s="1" t="e">
        <f>AV83/VLOOKUP(A83,'[50]geoMap (47)'!$A:$B,2,0)*VLOOKUP(A83,'[50]geoMap (47)'!$A:$C,3,0)</f>
        <v>#REF!</v>
      </c>
      <c r="AX83" s="4" t="e">
        <f>AW83/VLOOKUP(A83,'[51]geoMap (48)'!$A:$B,2,0)*VLOOKUP(A83,'[51]geoMap (48)'!$A:$C,3,0)</f>
        <v>#REF!</v>
      </c>
      <c r="AY83" s="1" t="e">
        <f>AX83/VLOOKUP(A83,'[52]geoMap (49)'!$A:$B,2,0)*VLOOKUP(A83,'[52]geoMap (49)'!$A:$C,3,0)</f>
        <v>#REF!</v>
      </c>
      <c r="AZ83" s="4" t="e">
        <f>AY83/VLOOKUP(A83,'[53]geoMap (50)'!$A:$B,2,0)*VLOOKUP(A83,'[53]geoMap (50)'!$A:$C,3,0)</f>
        <v>#REF!</v>
      </c>
      <c r="BA83" s="1" t="e">
        <f>AZ83/VLOOKUP(A83,'[54]geoMap (51)'!$A:$B,2,0)*VLOOKUP(A83,'[54]geoMap (51)'!$A:$C,3,0)</f>
        <v>#REF!</v>
      </c>
      <c r="BB83" s="4" t="e">
        <f>BA83/VLOOKUP(A83,'[55]geoMap (52)'!$A:$B,2,0)*VLOOKUP(A83,'[55]geoMap (52)'!$A:$C,3,0)</f>
        <v>#REF!</v>
      </c>
      <c r="BC83" s="1" t="e">
        <f>BB83/VLOOKUP(A83,'[56]geoMap (53)'!$A:$B,2,0)*VLOOKUP(A83,'[56]geoMap (53)'!$A:$C,3,0)</f>
        <v>#REF!</v>
      </c>
      <c r="BD83" s="4" t="e">
        <f>BC83/VLOOKUP(A83,'[57]geoMap (54)'!$A:$B,2,0)*VLOOKUP(A83,'[57]geoMap (54)'!$A:$C,3,0)</f>
        <v>#REF!</v>
      </c>
      <c r="BE83" s="1" t="e">
        <f>BD83/VLOOKUP(A83,'[58]geoMap (55)'!$A:$B,2,0)*VLOOKUP(A83,'[58]geoMap (55)'!$A:$C,3,0)</f>
        <v>#REF!</v>
      </c>
      <c r="BF83" s="4" t="e">
        <f>BE83/VLOOKUP(A83,'[59]geoMap (56)'!$A:$B,2,0)*VLOOKUP(A83,'[59]geoMap (56)'!$A:$C,3,0)</f>
        <v>#REF!</v>
      </c>
      <c r="BG83" s="1" t="e">
        <f>BF83/VLOOKUP(A83,'[60]geoMap (57)'!$A:$B,2,0)*VLOOKUP(A83,'[60]geoMap (57)'!$A:$C,3,0)</f>
        <v>#REF!</v>
      </c>
      <c r="BH83" s="4" t="e">
        <f>BG83/VLOOKUP(A83,'[61]geoMap (58)'!$A:$B,2,0)*VLOOKUP(A83,'[61]geoMap (58)'!$A:$C,3,0)</f>
        <v>#REF!</v>
      </c>
      <c r="BI83" s="1" t="e">
        <f>BH83/VLOOKUP(A83,'[62]geoMap (59)'!$A:$B,2,0)*VLOOKUP(A83,'[62]geoMap (59)'!$A:$C,3,0)</f>
        <v>#REF!</v>
      </c>
      <c r="BJ83" s="4" t="e">
        <f>BI83/VLOOKUP(A83,'[63]geoMap (60)'!$A:$B,2,0)*VLOOKUP(A83,'[63]geoMap (60)'!$A:$C,3,0)</f>
        <v>#REF!</v>
      </c>
      <c r="BK83" s="1" t="e">
        <f>BJ83/VLOOKUP(A83,'[64]geoMap (61)'!$A:$B,2,0)*VLOOKUP(A83,'[64]geoMap (61)'!$A:$C,3,0)</f>
        <v>#REF!</v>
      </c>
      <c r="BL83" s="4" t="e">
        <f>BK83/VLOOKUP(A83,'[65]geoMap (62)'!$A:$B,2,0)*VLOOKUP(A83,'[65]geoMap (62)'!$A:$C,3,0)</f>
        <v>#REF!</v>
      </c>
      <c r="BM83" s="1" t="e">
        <f>BL83/VLOOKUP(A83,'[66]geoMap (63)'!$A:$B,2,0)*VLOOKUP(A83,'[66]geoMap (63)'!$A:$C,3,0)</f>
        <v>#REF!</v>
      </c>
      <c r="BN83" s="4" t="e">
        <f>BM83/VLOOKUP(A83,'[67]geoMap (64)'!$A:$B,2,0)*VLOOKUP(A83,'[67]geoMap (64)'!$A:$C,3,0)</f>
        <v>#REF!</v>
      </c>
      <c r="BO83" s="1" t="e">
        <f>BN83/VLOOKUP(A83,'[68]geoMap (65)'!$A:$B,2,0)*VLOOKUP(A83,'[68]geoMap (65)'!$A:$C,3,0)</f>
        <v>#REF!</v>
      </c>
      <c r="BP83" s="4" t="e">
        <f>BO83/VLOOKUP(A83,'[69]geoMap (66)'!$A:$B,2,0)*VLOOKUP(A83,'[69]geoMap (66)'!$A:$C,3,0)</f>
        <v>#REF!</v>
      </c>
    </row>
    <row r="84" spans="1:68" x14ac:dyDescent="0.2">
      <c r="A84" s="1" t="s">
        <v>21</v>
      </c>
      <c r="B84" s="1" t="e">
        <f>VLOOKUP(A84,[3]geoMap!$A:$B,2,0)*Notes!$C$6</f>
        <v>#REF!</v>
      </c>
      <c r="C84" s="1" t="e">
        <f>B84/VLOOKUP(A84,'[4]geoMap (1)'!$A:$B,2,0)*VLOOKUP(A84,'[4]geoMap (1)'!$A:$C,3,0)</f>
        <v>#REF!</v>
      </c>
      <c r="D84" s="1" t="e">
        <f>C84/VLOOKUP(A84,'[5]geoMap (2)'!$A:$B,2,0)*VLOOKUP(A84,'[5]geoMap (2)'!$A:$C,3,0)</f>
        <v>#REF!</v>
      </c>
      <c r="E84" s="1" t="e">
        <f>D84/VLOOKUP(A84,'[6]geoMap (3)'!$A:$B,2,0)*VLOOKUP(A84,'[6]geoMap (3)'!$A:$C,3,0)</f>
        <v>#REF!</v>
      </c>
      <c r="F84" s="1" t="e">
        <f>E84/VLOOKUP(A84,'[7]geoMap (4)'!$A:$B,2,0)*VLOOKUP(A84,'[7]geoMap (4)'!$A:$C,3,0)</f>
        <v>#REF!</v>
      </c>
      <c r="G84" s="1" t="e">
        <f>F84/VLOOKUP(A84,'[8]geoMap (5)'!$A:$B,2,0)*VLOOKUP(A84,'[8]geoMap (5)'!$A:$C,3,0)</f>
        <v>#REF!</v>
      </c>
      <c r="H84" s="1" t="e">
        <f>G84/VLOOKUP(A84,'[9]geoMap (6)'!$A:$B,2,0)*VLOOKUP(A84,'[9]geoMap (6)'!$A:$C,3,0)</f>
        <v>#REF!</v>
      </c>
      <c r="I84" s="1" t="e">
        <f>H84/VLOOKUP(A84,'[10]geoMap (7)'!$A:$B,2,0)*VLOOKUP(A84,'[10]geoMap (7)'!$A:$C,3,0)</f>
        <v>#REF!</v>
      </c>
      <c r="J84" s="1" t="e">
        <f>I84/VLOOKUP(A84,'[11]geoMap (8)'!$A:$B,2,0)*VLOOKUP(A84,'[11]geoMap (8)'!$A:$C,3,0)</f>
        <v>#REF!</v>
      </c>
      <c r="K84" s="1" t="e">
        <f>J84/VLOOKUP(A84,'[12]geoMap (9)'!$A:$B,2,0)*VLOOKUP(A84,'[12]geoMap (9)'!$A:$C,3,0)</f>
        <v>#REF!</v>
      </c>
      <c r="L84" s="1" t="e">
        <f>K84/VLOOKUP(A84,'[13]geoMap (10)'!$A:$B,2,0)*VLOOKUP(A84,'[13]geoMap (10)'!$A:$C,3,0)</f>
        <v>#REF!</v>
      </c>
      <c r="M84" s="1" t="e">
        <f>L84/VLOOKUP(A84,'[14]geoMap (11)'!$A:$B,2,0)*VLOOKUP(A84,'[14]geoMap (11)'!$A:$C,3,0)</f>
        <v>#REF!</v>
      </c>
      <c r="N84" s="1" t="e">
        <f>M84/VLOOKUP(A84,'[15]geoMap (12)'!$A:$B,2,0)*VLOOKUP(A84,'[15]geoMap (12)'!$A:$C,3,0)</f>
        <v>#REF!</v>
      </c>
      <c r="O84" s="1" t="e">
        <f>N84/VLOOKUP(A84,'[16]geoMap (13)'!$A:$B,2,0)*VLOOKUP(A84,'[16]geoMap (13)'!$A:$C,3,0)</f>
        <v>#REF!</v>
      </c>
      <c r="P84" s="1" t="e">
        <f>O84/VLOOKUP(A84,'[17]geoMap (14)'!$A:$B,2,0)*VLOOKUP(A84,'[17]geoMap (14)'!$A:$C,3,0)</f>
        <v>#REF!</v>
      </c>
      <c r="Q84" s="1" t="e">
        <f>P84/VLOOKUP(A84,'[18]geoMap (15)'!$A:$B,2,0)*VLOOKUP(A84,'[18]geoMap (15)'!$A:$C,3,0)</f>
        <v>#REF!</v>
      </c>
      <c r="R84" s="1" t="e">
        <f>Q84/VLOOKUP(A84,'[19]geoMap (16)'!$A:$B,2,0)*VLOOKUP(A84,'[19]geoMap (16)'!$A:$C,3,0)</f>
        <v>#REF!</v>
      </c>
      <c r="S84" s="1" t="e">
        <f>R84/VLOOKUP(A84,'[20]geoMap (17)'!$A:$B,2,0)*VLOOKUP(A84,'[20]geoMap (17)'!$A:$C,3,0)</f>
        <v>#REF!</v>
      </c>
      <c r="T84" s="1" t="e">
        <f>S84/VLOOKUP(A84,'[21]geoMap (18)'!$A:$B,2,0)*VLOOKUP(A84,'[21]geoMap (18)'!$A:$C,3,0)</f>
        <v>#REF!</v>
      </c>
      <c r="U84" s="1" t="e">
        <f>T84/VLOOKUP(A84,'[22]geoMap (19)'!$A:$B,2,0)*VLOOKUP(A84,'[22]geoMap (19)'!$A:$C,3,0)</f>
        <v>#REF!</v>
      </c>
      <c r="V84" s="1" t="e">
        <f>U84/VLOOKUP(A84,'[23]geoMap (20)'!$A:$B,2,0)*VLOOKUP(A84,'[23]geoMap (20)'!$A:$C,3,0)</f>
        <v>#REF!</v>
      </c>
      <c r="W84" s="1" t="e">
        <f>V84/VLOOKUP(A84,'[24]geoMap (21)'!$A:$B,2,0)*VLOOKUP(A84,'[24]geoMap (21)'!$A:$C,3,0)</f>
        <v>#REF!</v>
      </c>
      <c r="X84" s="1" t="e">
        <f>W84/VLOOKUP(A84,'[25]geoMap (22)'!$A:$B,2,0)*VLOOKUP(A84,'[25]geoMap (22)'!$A:$C,3,0)</f>
        <v>#REF!</v>
      </c>
      <c r="Y84" s="1" t="e">
        <f>X84/VLOOKUP(A84,'[26]geoMap (23)'!$A:$B,2,0)*VLOOKUP(A84,'[26]geoMap (23)'!$A:$C,3,0)</f>
        <v>#REF!</v>
      </c>
      <c r="Z84" s="1" t="e">
        <f>Y84/VLOOKUP(A84,'[27]geoMap (24)'!$A:$B,2,0)*VLOOKUP(A84,'[27]geoMap (24)'!$A:$C,3,0)</f>
        <v>#REF!</v>
      </c>
      <c r="AA84" s="1" t="e">
        <f>Z84/VLOOKUP(A84,'[28]geoMap (25)'!$A:$B,2,0)*VLOOKUP(A84,'[28]geoMap (25)'!$A:$C,3,0)</f>
        <v>#REF!</v>
      </c>
      <c r="AB84" s="1" t="e">
        <f>AA84*VLOOKUP(A84,'[29]geoMap (26)'!$A:$B,2,0)*VLOOKUP(A84,'[29]geoMap (26)'!$A:$C,3,0)</f>
        <v>#REF!</v>
      </c>
      <c r="AC84" s="1" t="e">
        <f>AB84/VLOOKUP(A84,'[30]geoMap (27)'!$A:$B,2,0)*VLOOKUP(A84,'[30]geoMap (27)'!$A:$C,3,0)</f>
        <v>#REF!</v>
      </c>
      <c r="AD84" s="1" t="e">
        <f>AC84/VLOOKUP(A84,'[31]geoMap (28)'!$A:$B,2,0)*VLOOKUP(A84,'[31]geoMap (28)'!$A:$C,3,0)</f>
        <v>#REF!</v>
      </c>
      <c r="AE84" s="1" t="e">
        <f>AD84/VLOOKUP(A84,'[32]geoMap (29)'!$A:$B,2,0)*VLOOKUP(A84,'[32]geoMap (29)'!$A:$C,3,0)</f>
        <v>#REF!</v>
      </c>
      <c r="AF84" s="1" t="e">
        <f>AE84/VLOOKUP(A84,'[33]geoMap (30)'!$A:$B,2,0)*VLOOKUP(A84,'[33]geoMap (30)'!$A:$C,3,0)</f>
        <v>#REF!</v>
      </c>
      <c r="AG84" s="1" t="e">
        <f>AF84/VLOOKUP(A84,'[34]geoMap (31)'!$A:$B,2,0)*VLOOKUP(A84,'[34]geoMap (31)'!$A:$C,3,0)</f>
        <v>#REF!</v>
      </c>
      <c r="AH84" s="1" t="e">
        <f>AG84/VLOOKUP(A84,'[35]geoMap (32)'!$A:$B,2,0)*VLOOKUP(A84,'[35]geoMap (32)'!$A:$C,3,0)</f>
        <v>#REF!</v>
      </c>
      <c r="AI84" s="1" t="e">
        <f>AH84/VLOOKUP(A84,'[36]geoMap (33)'!$A:$B,2,0)*VLOOKUP(A84,'[36]geoMap (33)'!$A:$C,3,0)</f>
        <v>#REF!</v>
      </c>
      <c r="AJ84" s="1" t="e">
        <f>AI84/VLOOKUP(A84,'[37]geoMap (34)'!$A:$B,2,0)*VLOOKUP(A84,'[37]geoMap (34)'!$A:$C,3,0)</f>
        <v>#REF!</v>
      </c>
      <c r="AK84" s="1" t="e">
        <f>AJ84/VLOOKUP(A84,'[38]geoMap (35)'!$A:$B,2,0)*VLOOKUP(A84,'[38]geoMap (35)'!$A:$C,3,0)</f>
        <v>#REF!</v>
      </c>
      <c r="AL84" s="1" t="e">
        <f>AK84/VLOOKUP(A84,'[39]geoMap (36)'!$A:$B,2,0)*VLOOKUP(A84,'[39]geoMap (36)'!$A:$C,3,0)</f>
        <v>#REF!</v>
      </c>
      <c r="AM84" s="1" t="e">
        <f>AL84/VLOOKUP(A84,'[40]geoMap (37)'!$A:$B,2,0)*VLOOKUP(A84,'[40]geoMap (37)'!$A:$C,3,0)</f>
        <v>#REF!</v>
      </c>
      <c r="AN84" s="1" t="e">
        <f>AM84/VLOOKUP(A84,'[41]geoMap (38)'!$A:$B,2,0)*VLOOKUP(A84,'[41]geoMap (38)'!$A:$C,3,0)</f>
        <v>#REF!</v>
      </c>
      <c r="AO84" s="1" t="e">
        <f>AN84/VLOOKUP(A84,'[42]geoMap (39)'!$A:$B,2,0)*VLOOKUP(A84,'[42]geoMap (39)'!$A:$C,3,0)</f>
        <v>#REF!</v>
      </c>
      <c r="AP84" s="1" t="e">
        <f>AO84/VLOOKUP(A84,'[43]geoMap (40)'!$A:$B,2,0)*VLOOKUP(A84,'[43]geoMap (40)'!$A:$C,3,0)</f>
        <v>#REF!</v>
      </c>
      <c r="AQ84" s="1" t="e">
        <f>AP84/VLOOKUP(A84,'[44]geoMap (41)'!$A:$B,2,0)*VLOOKUP(A84,'[44]geoMap (41)'!$A:$C,3,0)</f>
        <v>#REF!</v>
      </c>
      <c r="AR84" s="1" t="e">
        <f>AQ84/VLOOKUP(A84,'[45]geoMap (42)'!$A:$B,2,0)*VLOOKUP(A84,'[45]geoMap (42)'!$A:$C,3,0)</f>
        <v>#REF!</v>
      </c>
      <c r="AS84" s="1" t="e">
        <f>AR84/VLOOKUP(A84,'[46]geoMap (43)'!$A:$B,2,0)*VLOOKUP(A84,'[46]geoMap (43)'!$A:$C,3,0)</f>
        <v>#REF!</v>
      </c>
      <c r="AT84" s="1" t="e">
        <f>AS84/VLOOKUP(A84,'[47]geoMap (44)'!$A:$B,2,0)*VLOOKUP(A84,'[47]geoMap (44)'!$A:$C,3,0)</f>
        <v>#REF!</v>
      </c>
      <c r="AU84" s="1" t="e">
        <f>AT84/VLOOKUP(A84,'[48]geoMap (45)'!$A:$B,2,0)*VLOOKUP(A84,'[48]geoMap (45)'!$A:$C,3,0)</f>
        <v>#REF!</v>
      </c>
      <c r="AV84" s="1" t="e">
        <f>AU84/VLOOKUP(A84,'[49]geoMap (46)'!$A:$B,2,0)*VLOOKUP(A84,'[49]geoMap (46)'!$A:$C,3,0)</f>
        <v>#REF!</v>
      </c>
      <c r="AW84" s="1" t="e">
        <f>AV84/VLOOKUP(A84,'[50]geoMap (47)'!$A:$B,2,0)*VLOOKUP(A84,'[50]geoMap (47)'!$A:$C,3,0)</f>
        <v>#REF!</v>
      </c>
      <c r="AX84" s="4" t="e">
        <f>AW84/VLOOKUP(A84,'[51]geoMap (48)'!$A:$B,2,0)*VLOOKUP(A84,'[51]geoMap (48)'!$A:$C,3,0)</f>
        <v>#REF!</v>
      </c>
      <c r="AY84" s="1" t="e">
        <f>AX84/VLOOKUP(A84,'[52]geoMap (49)'!$A:$B,2,0)*VLOOKUP(A84,'[52]geoMap (49)'!$A:$C,3,0)</f>
        <v>#REF!</v>
      </c>
      <c r="AZ84" s="4" t="e">
        <f>AY84/VLOOKUP(A84,'[53]geoMap (50)'!$A:$B,2,0)*VLOOKUP(A84,'[53]geoMap (50)'!$A:$C,3,0)</f>
        <v>#REF!</v>
      </c>
      <c r="BA84" s="1" t="e">
        <f>AZ84/VLOOKUP(A84,'[54]geoMap (51)'!$A:$B,2,0)*VLOOKUP(A84,'[54]geoMap (51)'!$A:$C,3,0)</f>
        <v>#REF!</v>
      </c>
      <c r="BB84" s="4" t="e">
        <f>BA84/VLOOKUP(A84,'[55]geoMap (52)'!$A:$B,2,0)*VLOOKUP(A84,'[55]geoMap (52)'!$A:$C,3,0)</f>
        <v>#REF!</v>
      </c>
      <c r="BC84" s="1" t="e">
        <f>BB84/VLOOKUP(A84,'[56]geoMap (53)'!$A:$B,2,0)*VLOOKUP(A84,'[56]geoMap (53)'!$A:$C,3,0)</f>
        <v>#REF!</v>
      </c>
      <c r="BD84" s="4" t="e">
        <f>BC84/VLOOKUP(A84,'[57]geoMap (54)'!$A:$B,2,0)*VLOOKUP(A84,'[57]geoMap (54)'!$A:$C,3,0)</f>
        <v>#REF!</v>
      </c>
      <c r="BE84" s="1" t="e">
        <f>BD84/VLOOKUP(A84,'[58]geoMap (55)'!$A:$B,2,0)*VLOOKUP(A84,'[58]geoMap (55)'!$A:$C,3,0)</f>
        <v>#REF!</v>
      </c>
      <c r="BF84" s="4" t="e">
        <f>BE84/VLOOKUP(A84,'[59]geoMap (56)'!$A:$B,2,0)*VLOOKUP(A84,'[59]geoMap (56)'!$A:$C,3,0)</f>
        <v>#REF!</v>
      </c>
      <c r="BG84" s="1" t="e">
        <f>BF84/VLOOKUP(A84,'[60]geoMap (57)'!$A:$B,2,0)*VLOOKUP(A84,'[60]geoMap (57)'!$A:$C,3,0)</f>
        <v>#REF!</v>
      </c>
      <c r="BH84" s="4" t="e">
        <f>BG84/VLOOKUP(A84,'[61]geoMap (58)'!$A:$B,2,0)*VLOOKUP(A84,'[61]geoMap (58)'!$A:$C,3,0)</f>
        <v>#REF!</v>
      </c>
      <c r="BI84" s="1" t="e">
        <f>BH84/VLOOKUP(A84,'[62]geoMap (59)'!$A:$B,2,0)*VLOOKUP(A84,'[62]geoMap (59)'!$A:$C,3,0)</f>
        <v>#REF!</v>
      </c>
      <c r="BJ84" s="4" t="e">
        <f>BI84/VLOOKUP(A84,'[63]geoMap (60)'!$A:$B,2,0)*VLOOKUP(A84,'[63]geoMap (60)'!$A:$C,3,0)</f>
        <v>#REF!</v>
      </c>
      <c r="BK84" s="1" t="e">
        <f>BJ84/VLOOKUP(A84,'[64]geoMap (61)'!$A:$B,2,0)*VLOOKUP(A84,'[64]geoMap (61)'!$A:$C,3,0)</f>
        <v>#REF!</v>
      </c>
      <c r="BL84" s="4" t="e">
        <f>BK84/VLOOKUP(A84,'[65]geoMap (62)'!$A:$B,2,0)*VLOOKUP(A84,'[65]geoMap (62)'!$A:$C,3,0)</f>
        <v>#REF!</v>
      </c>
      <c r="BM84" s="1" t="e">
        <f>BL84/VLOOKUP(A84,'[66]geoMap (63)'!$A:$B,2,0)*VLOOKUP(A84,'[66]geoMap (63)'!$A:$C,3,0)</f>
        <v>#REF!</v>
      </c>
      <c r="BN84" s="4" t="e">
        <f>BM84/VLOOKUP(A84,'[67]geoMap (64)'!$A:$B,2,0)*VLOOKUP(A84,'[67]geoMap (64)'!$A:$C,3,0)</f>
        <v>#REF!</v>
      </c>
      <c r="BO84" s="1" t="e">
        <f>BN84/VLOOKUP(A84,'[68]geoMap (65)'!$A:$B,2,0)*VLOOKUP(A84,'[68]geoMap (65)'!$A:$C,3,0)</f>
        <v>#REF!</v>
      </c>
      <c r="BP84" s="4" t="e">
        <f>BO84/VLOOKUP(A84,'[69]geoMap (66)'!$A:$B,2,0)*VLOOKUP(A84,'[69]geoMap (66)'!$A:$C,3,0)</f>
        <v>#REF!</v>
      </c>
    </row>
    <row r="85" spans="1:68" x14ac:dyDescent="0.2">
      <c r="A85" s="1" t="s">
        <v>22</v>
      </c>
      <c r="B85" s="1" t="e">
        <f>VLOOKUP(A85,[3]geoMap!$A:$B,2,0)*Notes!$C$6</f>
        <v>#REF!</v>
      </c>
      <c r="C85" s="1" t="e">
        <f>B85/VLOOKUP(A85,'[4]geoMap (1)'!$A:$B,2,0)*VLOOKUP(A85,'[4]geoMap (1)'!$A:$C,3,0)</f>
        <v>#REF!</v>
      </c>
      <c r="D85" s="1" t="e">
        <f>C85/VLOOKUP(A85,'[5]geoMap (2)'!$A:$B,2,0)*VLOOKUP(A85,'[5]geoMap (2)'!$A:$C,3,0)</f>
        <v>#REF!</v>
      </c>
      <c r="E85" s="1" t="e">
        <f>D85/VLOOKUP(A85,'[6]geoMap (3)'!$A:$B,2,0)*VLOOKUP(A85,'[6]geoMap (3)'!$A:$C,3,0)</f>
        <v>#REF!</v>
      </c>
      <c r="F85" s="1" t="e">
        <f>E85/VLOOKUP(A85,'[7]geoMap (4)'!$A:$B,2,0)*VLOOKUP(A85,'[7]geoMap (4)'!$A:$C,3,0)</f>
        <v>#REF!</v>
      </c>
      <c r="G85" s="1" t="e">
        <f>F85/VLOOKUP(A85,'[8]geoMap (5)'!$A:$B,2,0)*VLOOKUP(A85,'[8]geoMap (5)'!$A:$C,3,0)</f>
        <v>#REF!</v>
      </c>
      <c r="H85" s="1" t="e">
        <f>G85/VLOOKUP(A85,'[9]geoMap (6)'!$A:$B,2,0)*VLOOKUP(A85,'[9]geoMap (6)'!$A:$C,3,0)</f>
        <v>#REF!</v>
      </c>
      <c r="I85" s="1" t="e">
        <f>H85/VLOOKUP(A85,'[10]geoMap (7)'!$A:$B,2,0)*VLOOKUP(A85,'[10]geoMap (7)'!$A:$C,3,0)</f>
        <v>#REF!</v>
      </c>
      <c r="J85" s="1" t="e">
        <f>I85/VLOOKUP(A85,'[11]geoMap (8)'!$A:$B,2,0)*VLOOKUP(A85,'[11]geoMap (8)'!$A:$C,3,0)</f>
        <v>#REF!</v>
      </c>
      <c r="K85" s="1" t="e">
        <f>J85/VLOOKUP(A85,'[12]geoMap (9)'!$A:$B,2,0)*VLOOKUP(A85,'[12]geoMap (9)'!$A:$C,3,0)</f>
        <v>#REF!</v>
      </c>
      <c r="L85" s="1" t="e">
        <f>K85/VLOOKUP(A85,'[13]geoMap (10)'!$A:$B,2,0)*VLOOKUP(A85,'[13]geoMap (10)'!$A:$C,3,0)</f>
        <v>#REF!</v>
      </c>
      <c r="M85" s="1" t="e">
        <f>L85/VLOOKUP(A85,'[14]geoMap (11)'!$A:$B,2,0)*VLOOKUP(A85,'[14]geoMap (11)'!$A:$C,3,0)</f>
        <v>#REF!</v>
      </c>
      <c r="N85" s="1" t="e">
        <f>M85/VLOOKUP(A85,'[15]geoMap (12)'!$A:$B,2,0)*VLOOKUP(A85,'[15]geoMap (12)'!$A:$C,3,0)</f>
        <v>#REF!</v>
      </c>
      <c r="O85" s="1" t="e">
        <f>N85/VLOOKUP(A85,'[16]geoMap (13)'!$A:$B,2,0)*VLOOKUP(A85,'[16]geoMap (13)'!$A:$C,3,0)</f>
        <v>#REF!</v>
      </c>
      <c r="P85" s="1" t="e">
        <f>O85/VLOOKUP(A85,'[17]geoMap (14)'!$A:$B,2,0)*VLOOKUP(A85,'[17]geoMap (14)'!$A:$C,3,0)</f>
        <v>#REF!</v>
      </c>
      <c r="Q85" s="1" t="e">
        <f>P85/VLOOKUP(A85,'[18]geoMap (15)'!$A:$B,2,0)*VLOOKUP(A85,'[18]geoMap (15)'!$A:$C,3,0)</f>
        <v>#REF!</v>
      </c>
      <c r="R85" s="1" t="e">
        <f>Q85/VLOOKUP(A85,'[19]geoMap (16)'!$A:$B,2,0)*VLOOKUP(A85,'[19]geoMap (16)'!$A:$C,3,0)</f>
        <v>#REF!</v>
      </c>
      <c r="S85" s="1" t="e">
        <f>R85/VLOOKUP(A85,'[20]geoMap (17)'!$A:$B,2,0)*VLOOKUP(A85,'[20]geoMap (17)'!$A:$C,3,0)</f>
        <v>#REF!</v>
      </c>
      <c r="T85" s="1" t="e">
        <f>S85/VLOOKUP(A85,'[21]geoMap (18)'!$A:$B,2,0)*VLOOKUP(A85,'[21]geoMap (18)'!$A:$C,3,0)</f>
        <v>#REF!</v>
      </c>
      <c r="U85" s="1" t="e">
        <f>T85/VLOOKUP(A85,'[22]geoMap (19)'!$A:$B,2,0)*VLOOKUP(A85,'[22]geoMap (19)'!$A:$C,3,0)</f>
        <v>#REF!</v>
      </c>
      <c r="V85" s="1" t="e">
        <f>U85/VLOOKUP(A85,'[23]geoMap (20)'!$A:$B,2,0)*VLOOKUP(A85,'[23]geoMap (20)'!$A:$C,3,0)</f>
        <v>#REF!</v>
      </c>
      <c r="W85" s="1" t="e">
        <f>V85/VLOOKUP(A85,'[24]geoMap (21)'!$A:$B,2,0)*VLOOKUP(A85,'[24]geoMap (21)'!$A:$C,3,0)</f>
        <v>#REF!</v>
      </c>
      <c r="X85" s="1" t="e">
        <f>W85/VLOOKUP(A85,'[25]geoMap (22)'!$A:$B,2,0)*VLOOKUP(A85,'[25]geoMap (22)'!$A:$C,3,0)</f>
        <v>#REF!</v>
      </c>
      <c r="Y85" s="1" t="e">
        <f>X85/VLOOKUP(A85,'[26]geoMap (23)'!$A:$B,2,0)*VLOOKUP(A85,'[26]geoMap (23)'!$A:$C,3,0)</f>
        <v>#REF!</v>
      </c>
      <c r="Z85" s="1" t="e">
        <f>Y85/VLOOKUP(A85,'[27]geoMap (24)'!$A:$B,2,0)*VLOOKUP(A85,'[27]geoMap (24)'!$A:$C,3,0)</f>
        <v>#REF!</v>
      </c>
      <c r="AA85" s="1" t="e">
        <f>Z85/VLOOKUP(A85,'[28]geoMap (25)'!$A:$B,2,0)*VLOOKUP(A85,'[28]geoMap (25)'!$A:$C,3,0)</f>
        <v>#REF!</v>
      </c>
      <c r="AB85" s="1" t="e">
        <f>AA85*VLOOKUP(A85,'[29]geoMap (26)'!$A:$B,2,0)*VLOOKUP(A85,'[29]geoMap (26)'!$A:$C,3,0)</f>
        <v>#REF!</v>
      </c>
      <c r="AC85" s="1" t="e">
        <f>AB85/VLOOKUP(A85,'[30]geoMap (27)'!$A:$B,2,0)*VLOOKUP(A85,'[30]geoMap (27)'!$A:$C,3,0)</f>
        <v>#REF!</v>
      </c>
      <c r="AD85" s="1" t="e">
        <f>AC85/VLOOKUP(A85,'[31]geoMap (28)'!$A:$B,2,0)*VLOOKUP(A85,'[31]geoMap (28)'!$A:$C,3,0)</f>
        <v>#REF!</v>
      </c>
      <c r="AE85" s="1" t="e">
        <f>AD85/VLOOKUP(A85,'[32]geoMap (29)'!$A:$B,2,0)*VLOOKUP(A85,'[32]geoMap (29)'!$A:$C,3,0)</f>
        <v>#REF!</v>
      </c>
      <c r="AF85" s="1" t="e">
        <f>AE85/VLOOKUP(A85,'[33]geoMap (30)'!$A:$B,2,0)*VLOOKUP(A85,'[33]geoMap (30)'!$A:$C,3,0)</f>
        <v>#REF!</v>
      </c>
      <c r="AG85" s="1" t="e">
        <f>AF85/VLOOKUP(A85,'[34]geoMap (31)'!$A:$B,2,0)*VLOOKUP(A85,'[34]geoMap (31)'!$A:$C,3,0)</f>
        <v>#REF!</v>
      </c>
      <c r="AH85" s="1" t="e">
        <f>AG85/VLOOKUP(A85,'[35]geoMap (32)'!$A:$B,2,0)*VLOOKUP(A85,'[35]geoMap (32)'!$A:$C,3,0)</f>
        <v>#REF!</v>
      </c>
      <c r="AI85" s="1" t="e">
        <f>AH85/VLOOKUP(A85,'[36]geoMap (33)'!$A:$B,2,0)*VLOOKUP(A85,'[36]geoMap (33)'!$A:$C,3,0)</f>
        <v>#REF!</v>
      </c>
      <c r="AJ85" s="1" t="e">
        <f>AI85/VLOOKUP(A85,'[37]geoMap (34)'!$A:$B,2,0)*VLOOKUP(A85,'[37]geoMap (34)'!$A:$C,3,0)</f>
        <v>#REF!</v>
      </c>
      <c r="AK85" s="1" t="e">
        <f>AJ85/VLOOKUP(A85,'[38]geoMap (35)'!$A:$B,2,0)*VLOOKUP(A85,'[38]geoMap (35)'!$A:$C,3,0)</f>
        <v>#REF!</v>
      </c>
      <c r="AL85" s="1" t="e">
        <f>AK85/VLOOKUP(A85,'[39]geoMap (36)'!$A:$B,2,0)*VLOOKUP(A85,'[39]geoMap (36)'!$A:$C,3,0)</f>
        <v>#REF!</v>
      </c>
      <c r="AM85" s="1" t="e">
        <f>AL85/VLOOKUP(A85,'[40]geoMap (37)'!$A:$B,2,0)*VLOOKUP(A85,'[40]geoMap (37)'!$A:$C,3,0)</f>
        <v>#REF!</v>
      </c>
      <c r="AN85" s="1" t="e">
        <f>AM85/VLOOKUP(A85,'[41]geoMap (38)'!$A:$B,2,0)*VLOOKUP(A85,'[41]geoMap (38)'!$A:$C,3,0)</f>
        <v>#REF!</v>
      </c>
      <c r="AO85" s="1" t="e">
        <f>AN85/VLOOKUP(A85,'[42]geoMap (39)'!$A:$B,2,0)*VLOOKUP(A85,'[42]geoMap (39)'!$A:$C,3,0)</f>
        <v>#REF!</v>
      </c>
      <c r="AP85" s="1" t="e">
        <f>AO85/VLOOKUP(A85,'[43]geoMap (40)'!$A:$B,2,0)*VLOOKUP(A85,'[43]geoMap (40)'!$A:$C,3,0)</f>
        <v>#REF!</v>
      </c>
      <c r="AQ85" s="1" t="e">
        <f>AP85/VLOOKUP(A85,'[44]geoMap (41)'!$A:$B,2,0)*VLOOKUP(A85,'[44]geoMap (41)'!$A:$C,3,0)</f>
        <v>#REF!</v>
      </c>
      <c r="AR85" s="1" t="e">
        <f>AQ85/VLOOKUP(A85,'[45]geoMap (42)'!$A:$B,2,0)*VLOOKUP(A85,'[45]geoMap (42)'!$A:$C,3,0)</f>
        <v>#REF!</v>
      </c>
      <c r="AS85" s="1" t="e">
        <f>AR85/VLOOKUP(A85,'[46]geoMap (43)'!$A:$B,2,0)*VLOOKUP(A85,'[46]geoMap (43)'!$A:$C,3,0)</f>
        <v>#REF!</v>
      </c>
      <c r="AT85" s="1" t="e">
        <f>AS85/VLOOKUP(A85,'[47]geoMap (44)'!$A:$B,2,0)*VLOOKUP(A85,'[47]geoMap (44)'!$A:$C,3,0)</f>
        <v>#REF!</v>
      </c>
      <c r="AU85" s="1" t="e">
        <f>AT85/VLOOKUP(A85,'[48]geoMap (45)'!$A:$B,2,0)*VLOOKUP(A85,'[48]geoMap (45)'!$A:$C,3,0)</f>
        <v>#REF!</v>
      </c>
      <c r="AV85" s="1" t="e">
        <f>AU85/VLOOKUP(A85,'[49]geoMap (46)'!$A:$B,2,0)*VLOOKUP(A85,'[49]geoMap (46)'!$A:$C,3,0)</f>
        <v>#REF!</v>
      </c>
      <c r="AW85" s="1" t="e">
        <f>AV85/VLOOKUP(A85,'[50]geoMap (47)'!$A:$B,2,0)*VLOOKUP(A85,'[50]geoMap (47)'!$A:$C,3,0)</f>
        <v>#REF!</v>
      </c>
      <c r="AX85" s="4" t="e">
        <f>AW85/VLOOKUP(A85,'[51]geoMap (48)'!$A:$B,2,0)*VLOOKUP(A85,'[51]geoMap (48)'!$A:$C,3,0)</f>
        <v>#REF!</v>
      </c>
      <c r="AY85" s="1" t="e">
        <f>AX85/VLOOKUP(A85,'[52]geoMap (49)'!$A:$B,2,0)*VLOOKUP(A85,'[52]geoMap (49)'!$A:$C,3,0)</f>
        <v>#REF!</v>
      </c>
      <c r="AZ85" s="4" t="e">
        <f>AY85/VLOOKUP(A85,'[53]geoMap (50)'!$A:$B,2,0)*VLOOKUP(A85,'[53]geoMap (50)'!$A:$C,3,0)</f>
        <v>#REF!</v>
      </c>
      <c r="BA85" s="1" t="e">
        <f>AZ85/VLOOKUP(A85,'[54]geoMap (51)'!$A:$B,2,0)*VLOOKUP(A85,'[54]geoMap (51)'!$A:$C,3,0)</f>
        <v>#REF!</v>
      </c>
      <c r="BB85" s="4" t="e">
        <f>BA85/VLOOKUP(A85,'[55]geoMap (52)'!$A:$B,2,0)*VLOOKUP(A85,'[55]geoMap (52)'!$A:$C,3,0)</f>
        <v>#REF!</v>
      </c>
      <c r="BC85" s="1" t="e">
        <f>BB85/VLOOKUP(A85,'[56]geoMap (53)'!$A:$B,2,0)*VLOOKUP(A85,'[56]geoMap (53)'!$A:$C,3,0)</f>
        <v>#REF!</v>
      </c>
      <c r="BD85" s="4" t="e">
        <f>BC85/VLOOKUP(A85,'[57]geoMap (54)'!$A:$B,2,0)*VLOOKUP(A85,'[57]geoMap (54)'!$A:$C,3,0)</f>
        <v>#REF!</v>
      </c>
      <c r="BE85" s="1" t="e">
        <f>BD85/VLOOKUP(A85,'[58]geoMap (55)'!$A:$B,2,0)*VLOOKUP(A85,'[58]geoMap (55)'!$A:$C,3,0)</f>
        <v>#REF!</v>
      </c>
      <c r="BF85" s="4" t="e">
        <f>BE85/VLOOKUP(A85,'[59]geoMap (56)'!$A:$B,2,0)*VLOOKUP(A85,'[59]geoMap (56)'!$A:$C,3,0)</f>
        <v>#REF!</v>
      </c>
      <c r="BG85" s="1" t="e">
        <f>BF85/VLOOKUP(A85,'[60]geoMap (57)'!$A:$B,2,0)*VLOOKUP(A85,'[60]geoMap (57)'!$A:$C,3,0)</f>
        <v>#REF!</v>
      </c>
      <c r="BH85" s="4" t="e">
        <f>BG85/VLOOKUP(A85,'[61]geoMap (58)'!$A:$B,2,0)*VLOOKUP(A85,'[61]geoMap (58)'!$A:$C,3,0)</f>
        <v>#REF!</v>
      </c>
      <c r="BI85" s="1" t="e">
        <f>BH85/VLOOKUP(A85,'[62]geoMap (59)'!$A:$B,2,0)*VLOOKUP(A85,'[62]geoMap (59)'!$A:$C,3,0)</f>
        <v>#REF!</v>
      </c>
      <c r="BJ85" s="4" t="e">
        <f>BI85/VLOOKUP(A85,'[63]geoMap (60)'!$A:$B,2,0)*VLOOKUP(A85,'[63]geoMap (60)'!$A:$C,3,0)</f>
        <v>#REF!</v>
      </c>
      <c r="BK85" s="1" t="e">
        <f>BJ85/VLOOKUP(A85,'[64]geoMap (61)'!$A:$B,2,0)*VLOOKUP(A85,'[64]geoMap (61)'!$A:$C,3,0)</f>
        <v>#REF!</v>
      </c>
      <c r="BL85" s="4" t="e">
        <f>BK85/VLOOKUP(A85,'[65]geoMap (62)'!$A:$B,2,0)*VLOOKUP(A85,'[65]geoMap (62)'!$A:$C,3,0)</f>
        <v>#REF!</v>
      </c>
      <c r="BM85" s="1" t="e">
        <f>BL85/VLOOKUP(A85,'[66]geoMap (63)'!$A:$B,2,0)*VLOOKUP(A85,'[66]geoMap (63)'!$A:$C,3,0)</f>
        <v>#REF!</v>
      </c>
      <c r="BN85" s="4" t="e">
        <f>BM85/VLOOKUP(A85,'[67]geoMap (64)'!$A:$B,2,0)*VLOOKUP(A85,'[67]geoMap (64)'!$A:$C,3,0)</f>
        <v>#REF!</v>
      </c>
      <c r="BO85" s="1" t="e">
        <f>BN85/VLOOKUP(A85,'[68]geoMap (65)'!$A:$B,2,0)*VLOOKUP(A85,'[68]geoMap (65)'!$A:$C,3,0)</f>
        <v>#REF!</v>
      </c>
      <c r="BP85" s="4" t="e">
        <f>BO85/VLOOKUP(A85,'[69]geoMap (66)'!$A:$B,2,0)*VLOOKUP(A85,'[69]geoMap (66)'!$A:$C,3,0)</f>
        <v>#REF!</v>
      </c>
    </row>
    <row r="86" spans="1:68" x14ac:dyDescent="0.2">
      <c r="A86" s="1" t="s">
        <v>23</v>
      </c>
      <c r="B86" s="1" t="e">
        <f>VLOOKUP(A86,[3]geoMap!$A:$B,2,0)*Notes!$C$6</f>
        <v>#REF!</v>
      </c>
      <c r="C86" s="1" t="e">
        <f>B86/VLOOKUP(A86,'[4]geoMap (1)'!$A:$B,2,0)*VLOOKUP(A86,'[4]geoMap (1)'!$A:$C,3,0)</f>
        <v>#REF!</v>
      </c>
      <c r="D86" s="1" t="e">
        <f>C86/VLOOKUP(A86,'[5]geoMap (2)'!$A:$B,2,0)*VLOOKUP(A86,'[5]geoMap (2)'!$A:$C,3,0)</f>
        <v>#REF!</v>
      </c>
      <c r="E86" s="1" t="e">
        <f>D86/VLOOKUP(A86,'[6]geoMap (3)'!$A:$B,2,0)*VLOOKUP(A86,'[6]geoMap (3)'!$A:$C,3,0)</f>
        <v>#REF!</v>
      </c>
      <c r="F86" s="1" t="e">
        <f>E86/VLOOKUP(A86,'[7]geoMap (4)'!$A:$B,2,0)*VLOOKUP(A86,'[7]geoMap (4)'!$A:$C,3,0)</f>
        <v>#REF!</v>
      </c>
      <c r="G86" s="1" t="e">
        <f>F86/VLOOKUP(A86,'[8]geoMap (5)'!$A:$B,2,0)*VLOOKUP(A86,'[8]geoMap (5)'!$A:$C,3,0)</f>
        <v>#REF!</v>
      </c>
      <c r="H86" s="1" t="e">
        <f>G86/VLOOKUP(A86,'[9]geoMap (6)'!$A:$B,2,0)*VLOOKUP(A86,'[9]geoMap (6)'!$A:$C,3,0)</f>
        <v>#REF!</v>
      </c>
      <c r="I86" s="1" t="e">
        <f>H86/VLOOKUP(A86,'[10]geoMap (7)'!$A:$B,2,0)*VLOOKUP(A86,'[10]geoMap (7)'!$A:$C,3,0)</f>
        <v>#REF!</v>
      </c>
      <c r="J86" s="1" t="e">
        <f>I86/VLOOKUP(A86,'[11]geoMap (8)'!$A:$B,2,0)*VLOOKUP(A86,'[11]geoMap (8)'!$A:$C,3,0)</f>
        <v>#REF!</v>
      </c>
      <c r="K86" s="1" t="e">
        <f>J86/VLOOKUP(A86,'[12]geoMap (9)'!$A:$B,2,0)*VLOOKUP(A86,'[12]geoMap (9)'!$A:$C,3,0)</f>
        <v>#REF!</v>
      </c>
      <c r="L86" s="1" t="e">
        <f>K86/VLOOKUP(A86,'[13]geoMap (10)'!$A:$B,2,0)*VLOOKUP(A86,'[13]geoMap (10)'!$A:$C,3,0)</f>
        <v>#REF!</v>
      </c>
      <c r="M86" s="1" t="e">
        <f>L86/VLOOKUP(A86,'[14]geoMap (11)'!$A:$B,2,0)*VLOOKUP(A86,'[14]geoMap (11)'!$A:$C,3,0)</f>
        <v>#REF!</v>
      </c>
      <c r="N86" s="1" t="e">
        <f>M86/VLOOKUP(A86,'[15]geoMap (12)'!$A:$B,2,0)*VLOOKUP(A86,'[15]geoMap (12)'!$A:$C,3,0)</f>
        <v>#REF!</v>
      </c>
      <c r="O86" s="1" t="e">
        <f>N86/VLOOKUP(A86,'[16]geoMap (13)'!$A:$B,2,0)*VLOOKUP(A86,'[16]geoMap (13)'!$A:$C,3,0)</f>
        <v>#REF!</v>
      </c>
      <c r="P86" s="1" t="e">
        <f>O86/VLOOKUP(A86,'[17]geoMap (14)'!$A:$B,2,0)*VLOOKUP(A86,'[17]geoMap (14)'!$A:$C,3,0)</f>
        <v>#REF!</v>
      </c>
      <c r="Q86" s="1" t="e">
        <f>P86/VLOOKUP(A86,'[18]geoMap (15)'!$A:$B,2,0)*VLOOKUP(A86,'[18]geoMap (15)'!$A:$C,3,0)</f>
        <v>#REF!</v>
      </c>
      <c r="R86" s="1" t="e">
        <f>Q86/VLOOKUP(A86,'[19]geoMap (16)'!$A:$B,2,0)*VLOOKUP(A86,'[19]geoMap (16)'!$A:$C,3,0)</f>
        <v>#REF!</v>
      </c>
      <c r="S86" s="1" t="e">
        <f>R86/VLOOKUP(A86,'[20]geoMap (17)'!$A:$B,2,0)*VLOOKUP(A86,'[20]geoMap (17)'!$A:$C,3,0)</f>
        <v>#REF!</v>
      </c>
      <c r="T86" s="1" t="e">
        <f>S86/VLOOKUP(A86,'[21]geoMap (18)'!$A:$B,2,0)*VLOOKUP(A86,'[21]geoMap (18)'!$A:$C,3,0)</f>
        <v>#REF!</v>
      </c>
      <c r="U86" s="1" t="e">
        <f>T86/VLOOKUP(A86,'[22]geoMap (19)'!$A:$B,2,0)*VLOOKUP(A86,'[22]geoMap (19)'!$A:$C,3,0)</f>
        <v>#REF!</v>
      </c>
      <c r="V86" s="1" t="e">
        <f>U86/VLOOKUP(A86,'[23]geoMap (20)'!$A:$B,2,0)*VLOOKUP(A86,'[23]geoMap (20)'!$A:$C,3,0)</f>
        <v>#REF!</v>
      </c>
      <c r="W86" s="1" t="e">
        <f>V86/VLOOKUP(A86,'[24]geoMap (21)'!$A:$B,2,0)*VLOOKUP(A86,'[24]geoMap (21)'!$A:$C,3,0)</f>
        <v>#REF!</v>
      </c>
      <c r="X86" s="1" t="e">
        <f>W86/VLOOKUP(A86,'[25]geoMap (22)'!$A:$B,2,0)*VLOOKUP(A86,'[25]geoMap (22)'!$A:$C,3,0)</f>
        <v>#REF!</v>
      </c>
      <c r="Y86" s="1" t="e">
        <f>X86/VLOOKUP(A86,'[26]geoMap (23)'!$A:$B,2,0)*VLOOKUP(A86,'[26]geoMap (23)'!$A:$C,3,0)</f>
        <v>#REF!</v>
      </c>
      <c r="Z86" s="1" t="e">
        <f>Y86/VLOOKUP(A86,'[27]geoMap (24)'!$A:$B,2,0)*VLOOKUP(A86,'[27]geoMap (24)'!$A:$C,3,0)</f>
        <v>#REF!</v>
      </c>
      <c r="AA86" s="1" t="e">
        <f>Z86/VLOOKUP(A86,'[28]geoMap (25)'!$A:$B,2,0)*VLOOKUP(A86,'[28]geoMap (25)'!$A:$C,3,0)</f>
        <v>#REF!</v>
      </c>
      <c r="AB86" s="1" t="e">
        <f>AA86*VLOOKUP(A86,'[29]geoMap (26)'!$A:$B,2,0)*VLOOKUP(A86,'[29]geoMap (26)'!$A:$C,3,0)</f>
        <v>#REF!</v>
      </c>
      <c r="AC86" s="1" t="e">
        <f>AB86/VLOOKUP(A86,'[30]geoMap (27)'!$A:$B,2,0)*VLOOKUP(A86,'[30]geoMap (27)'!$A:$C,3,0)</f>
        <v>#REF!</v>
      </c>
      <c r="AD86" s="1" t="e">
        <f>AC86/VLOOKUP(A86,'[31]geoMap (28)'!$A:$B,2,0)*VLOOKUP(A86,'[31]geoMap (28)'!$A:$C,3,0)</f>
        <v>#REF!</v>
      </c>
      <c r="AE86" s="1" t="e">
        <f>AD86/VLOOKUP(A86,'[32]geoMap (29)'!$A:$B,2,0)*VLOOKUP(A86,'[32]geoMap (29)'!$A:$C,3,0)</f>
        <v>#REF!</v>
      </c>
      <c r="AF86" s="1" t="e">
        <f>AE86/VLOOKUP(A86,'[33]geoMap (30)'!$A:$B,2,0)*VLOOKUP(A86,'[33]geoMap (30)'!$A:$C,3,0)</f>
        <v>#REF!</v>
      </c>
      <c r="AG86" s="1" t="e">
        <f>AF86/VLOOKUP(A86,'[34]geoMap (31)'!$A:$B,2,0)*VLOOKUP(A86,'[34]geoMap (31)'!$A:$C,3,0)</f>
        <v>#REF!</v>
      </c>
      <c r="AH86" s="1" t="e">
        <f>AG86/VLOOKUP(A86,'[35]geoMap (32)'!$A:$B,2,0)*VLOOKUP(A86,'[35]geoMap (32)'!$A:$C,3,0)</f>
        <v>#REF!</v>
      </c>
      <c r="AI86" s="1" t="e">
        <f>AH86/VLOOKUP(A86,'[36]geoMap (33)'!$A:$B,2,0)*VLOOKUP(A86,'[36]geoMap (33)'!$A:$C,3,0)</f>
        <v>#REF!</v>
      </c>
      <c r="AJ86" s="1" t="e">
        <f>AI86/VLOOKUP(A86,'[37]geoMap (34)'!$A:$B,2,0)*VLOOKUP(A86,'[37]geoMap (34)'!$A:$C,3,0)</f>
        <v>#REF!</v>
      </c>
      <c r="AK86" s="1" t="e">
        <f>AJ86/VLOOKUP(A86,'[38]geoMap (35)'!$A:$B,2,0)*VLOOKUP(A86,'[38]geoMap (35)'!$A:$C,3,0)</f>
        <v>#REF!</v>
      </c>
      <c r="AL86" s="1" t="e">
        <f>AK86/VLOOKUP(A86,'[39]geoMap (36)'!$A:$B,2,0)*VLOOKUP(A86,'[39]geoMap (36)'!$A:$C,3,0)</f>
        <v>#REF!</v>
      </c>
      <c r="AM86" s="1" t="e">
        <f>AL86/VLOOKUP(A86,'[40]geoMap (37)'!$A:$B,2,0)*VLOOKUP(A86,'[40]geoMap (37)'!$A:$C,3,0)</f>
        <v>#REF!</v>
      </c>
      <c r="AN86" s="1" t="e">
        <f>AM86/VLOOKUP(A86,'[41]geoMap (38)'!$A:$B,2,0)*VLOOKUP(A86,'[41]geoMap (38)'!$A:$C,3,0)</f>
        <v>#REF!</v>
      </c>
      <c r="AO86" s="1" t="e">
        <f>AN86/VLOOKUP(A86,'[42]geoMap (39)'!$A:$B,2,0)*VLOOKUP(A86,'[42]geoMap (39)'!$A:$C,3,0)</f>
        <v>#REF!</v>
      </c>
      <c r="AP86" s="1" t="e">
        <f>AO86/VLOOKUP(A86,'[43]geoMap (40)'!$A:$B,2,0)*VLOOKUP(A86,'[43]geoMap (40)'!$A:$C,3,0)</f>
        <v>#REF!</v>
      </c>
      <c r="AQ86" s="1" t="e">
        <f>AP86/VLOOKUP(A86,'[44]geoMap (41)'!$A:$B,2,0)*VLOOKUP(A86,'[44]geoMap (41)'!$A:$C,3,0)</f>
        <v>#REF!</v>
      </c>
      <c r="AR86" s="1" t="e">
        <f>AQ86/VLOOKUP(A86,'[45]geoMap (42)'!$A:$B,2,0)*VLOOKUP(A86,'[45]geoMap (42)'!$A:$C,3,0)</f>
        <v>#REF!</v>
      </c>
      <c r="AS86" s="1" t="e">
        <f>AR86/VLOOKUP(A86,'[46]geoMap (43)'!$A:$B,2,0)*VLOOKUP(A86,'[46]geoMap (43)'!$A:$C,3,0)</f>
        <v>#REF!</v>
      </c>
      <c r="AT86" s="1" t="e">
        <f>AS86/VLOOKUP(A86,'[47]geoMap (44)'!$A:$B,2,0)*VLOOKUP(A86,'[47]geoMap (44)'!$A:$C,3,0)</f>
        <v>#REF!</v>
      </c>
      <c r="AU86" s="1" t="e">
        <f>AT86/VLOOKUP(A86,'[48]geoMap (45)'!$A:$B,2,0)*VLOOKUP(A86,'[48]geoMap (45)'!$A:$C,3,0)</f>
        <v>#REF!</v>
      </c>
      <c r="AV86" s="1" t="e">
        <f>AU86/VLOOKUP(A86,'[49]geoMap (46)'!$A:$B,2,0)*VLOOKUP(A86,'[49]geoMap (46)'!$A:$C,3,0)</f>
        <v>#REF!</v>
      </c>
      <c r="AW86" s="1" t="e">
        <f>AV86/VLOOKUP(A86,'[50]geoMap (47)'!$A:$B,2,0)*VLOOKUP(A86,'[50]geoMap (47)'!$A:$C,3,0)</f>
        <v>#REF!</v>
      </c>
      <c r="AX86" s="4" t="e">
        <f>AW86/VLOOKUP(A86,'[51]geoMap (48)'!$A:$B,2,0)*VLOOKUP(A86,'[51]geoMap (48)'!$A:$C,3,0)</f>
        <v>#REF!</v>
      </c>
      <c r="AY86" s="1" t="e">
        <f>AX86/VLOOKUP(A86,'[52]geoMap (49)'!$A:$B,2,0)*VLOOKUP(A86,'[52]geoMap (49)'!$A:$C,3,0)</f>
        <v>#REF!</v>
      </c>
      <c r="AZ86" s="4" t="e">
        <f>AY86/VLOOKUP(A86,'[53]geoMap (50)'!$A:$B,2,0)*VLOOKUP(A86,'[53]geoMap (50)'!$A:$C,3,0)</f>
        <v>#REF!</v>
      </c>
      <c r="BA86" s="1" t="e">
        <f>AZ86/VLOOKUP(A86,'[54]geoMap (51)'!$A:$B,2,0)*VLOOKUP(A86,'[54]geoMap (51)'!$A:$C,3,0)</f>
        <v>#REF!</v>
      </c>
      <c r="BB86" s="4" t="e">
        <f>BA86/VLOOKUP(A86,'[55]geoMap (52)'!$A:$B,2,0)*VLOOKUP(A86,'[55]geoMap (52)'!$A:$C,3,0)</f>
        <v>#REF!</v>
      </c>
      <c r="BC86" s="1" t="e">
        <f>BB86/VLOOKUP(A86,'[56]geoMap (53)'!$A:$B,2,0)*VLOOKUP(A86,'[56]geoMap (53)'!$A:$C,3,0)</f>
        <v>#REF!</v>
      </c>
      <c r="BD86" s="4" t="e">
        <f>BC86/VLOOKUP(A86,'[57]geoMap (54)'!$A:$B,2,0)*VLOOKUP(A86,'[57]geoMap (54)'!$A:$C,3,0)</f>
        <v>#REF!</v>
      </c>
      <c r="BE86" s="1" t="e">
        <f>BD86/VLOOKUP(A86,'[58]geoMap (55)'!$A:$B,2,0)*VLOOKUP(A86,'[58]geoMap (55)'!$A:$C,3,0)</f>
        <v>#REF!</v>
      </c>
      <c r="BF86" s="4" t="e">
        <f>BE86/VLOOKUP(A86,'[59]geoMap (56)'!$A:$B,2,0)*VLOOKUP(A86,'[59]geoMap (56)'!$A:$C,3,0)</f>
        <v>#REF!</v>
      </c>
      <c r="BG86" s="1" t="e">
        <f>BF86/VLOOKUP(A86,'[60]geoMap (57)'!$A:$B,2,0)*VLOOKUP(A86,'[60]geoMap (57)'!$A:$C,3,0)</f>
        <v>#REF!</v>
      </c>
      <c r="BH86" s="4" t="e">
        <f>BG86/VLOOKUP(A86,'[61]geoMap (58)'!$A:$B,2,0)*VLOOKUP(A86,'[61]geoMap (58)'!$A:$C,3,0)</f>
        <v>#REF!</v>
      </c>
      <c r="BI86" s="1" t="e">
        <f>BH86/VLOOKUP(A86,'[62]geoMap (59)'!$A:$B,2,0)*VLOOKUP(A86,'[62]geoMap (59)'!$A:$C,3,0)</f>
        <v>#REF!</v>
      </c>
      <c r="BJ86" s="4" t="e">
        <f>BI86/VLOOKUP(A86,'[63]geoMap (60)'!$A:$B,2,0)*VLOOKUP(A86,'[63]geoMap (60)'!$A:$C,3,0)</f>
        <v>#REF!</v>
      </c>
      <c r="BK86" s="1" t="e">
        <f>BJ86/VLOOKUP(A86,'[64]geoMap (61)'!$A:$B,2,0)*VLOOKUP(A86,'[64]geoMap (61)'!$A:$C,3,0)</f>
        <v>#REF!</v>
      </c>
      <c r="BL86" s="4" t="e">
        <f>BK86/VLOOKUP(A86,'[65]geoMap (62)'!$A:$B,2,0)*VLOOKUP(A86,'[65]geoMap (62)'!$A:$C,3,0)</f>
        <v>#REF!</v>
      </c>
      <c r="BM86" s="1" t="e">
        <f>BL86/VLOOKUP(A86,'[66]geoMap (63)'!$A:$B,2,0)*VLOOKUP(A86,'[66]geoMap (63)'!$A:$C,3,0)</f>
        <v>#REF!</v>
      </c>
      <c r="BN86" s="4" t="e">
        <f>BM86/VLOOKUP(A86,'[67]geoMap (64)'!$A:$B,2,0)*VLOOKUP(A86,'[67]geoMap (64)'!$A:$C,3,0)</f>
        <v>#REF!</v>
      </c>
      <c r="BO86" s="1" t="e">
        <f>BN86/VLOOKUP(A86,'[68]geoMap (65)'!$A:$B,2,0)*VLOOKUP(A86,'[68]geoMap (65)'!$A:$C,3,0)</f>
        <v>#REF!</v>
      </c>
      <c r="BP86" s="4" t="e">
        <f>BO86/VLOOKUP(A86,'[69]geoMap (66)'!$A:$B,2,0)*VLOOKUP(A86,'[69]geoMap (66)'!$A:$C,3,0)</f>
        <v>#REF!</v>
      </c>
    </row>
    <row r="87" spans="1:68" x14ac:dyDescent="0.2">
      <c r="A87" s="1" t="s">
        <v>24</v>
      </c>
      <c r="B87" s="1" t="e">
        <f>VLOOKUP(A87,[3]geoMap!$A:$B,2,0)*Notes!$C$6</f>
        <v>#REF!</v>
      </c>
      <c r="C87" s="1" t="e">
        <f>B87/VLOOKUP(A87,'[4]geoMap (1)'!$A:$B,2,0)*VLOOKUP(A87,'[4]geoMap (1)'!$A:$C,3,0)</f>
        <v>#REF!</v>
      </c>
      <c r="D87" s="1" t="e">
        <f>C87/VLOOKUP(A87,'[5]geoMap (2)'!$A:$B,2,0)*VLOOKUP(A87,'[5]geoMap (2)'!$A:$C,3,0)</f>
        <v>#REF!</v>
      </c>
      <c r="E87" s="1" t="e">
        <f>D87/VLOOKUP(A87,'[6]geoMap (3)'!$A:$B,2,0)*VLOOKUP(A87,'[6]geoMap (3)'!$A:$C,3,0)</f>
        <v>#REF!</v>
      </c>
      <c r="F87" s="1" t="e">
        <f>E87/VLOOKUP(A87,'[7]geoMap (4)'!$A:$B,2,0)*VLOOKUP(A87,'[7]geoMap (4)'!$A:$C,3,0)</f>
        <v>#REF!</v>
      </c>
      <c r="G87" s="1" t="e">
        <f>F87/VLOOKUP(A87,'[8]geoMap (5)'!$A:$B,2,0)*VLOOKUP(A87,'[8]geoMap (5)'!$A:$C,3,0)</f>
        <v>#REF!</v>
      </c>
      <c r="H87" s="1" t="e">
        <f>G87/VLOOKUP(A87,'[9]geoMap (6)'!$A:$B,2,0)*VLOOKUP(A87,'[9]geoMap (6)'!$A:$C,3,0)</f>
        <v>#REF!</v>
      </c>
      <c r="I87" s="1" t="e">
        <f>H87/VLOOKUP(A87,'[10]geoMap (7)'!$A:$B,2,0)*VLOOKUP(A87,'[10]geoMap (7)'!$A:$C,3,0)</f>
        <v>#REF!</v>
      </c>
      <c r="J87" s="1" t="e">
        <f>I87/VLOOKUP(A87,'[11]geoMap (8)'!$A:$B,2,0)*VLOOKUP(A87,'[11]geoMap (8)'!$A:$C,3,0)</f>
        <v>#REF!</v>
      </c>
      <c r="K87" s="1" t="e">
        <f>J87/VLOOKUP(A87,'[12]geoMap (9)'!$A:$B,2,0)*VLOOKUP(A87,'[12]geoMap (9)'!$A:$C,3,0)</f>
        <v>#REF!</v>
      </c>
      <c r="L87" s="1" t="e">
        <f>K87/VLOOKUP(A87,'[13]geoMap (10)'!$A:$B,2,0)*VLOOKUP(A87,'[13]geoMap (10)'!$A:$C,3,0)</f>
        <v>#REF!</v>
      </c>
      <c r="M87" s="1" t="e">
        <f>L87/VLOOKUP(A87,'[14]geoMap (11)'!$A:$B,2,0)*VLOOKUP(A87,'[14]geoMap (11)'!$A:$C,3,0)</f>
        <v>#REF!</v>
      </c>
      <c r="N87" s="1" t="e">
        <f>M87/VLOOKUP(A87,'[15]geoMap (12)'!$A:$B,2,0)*VLOOKUP(A87,'[15]geoMap (12)'!$A:$C,3,0)</f>
        <v>#REF!</v>
      </c>
      <c r="O87" s="1" t="e">
        <f>N87/VLOOKUP(A87,'[16]geoMap (13)'!$A:$B,2,0)*VLOOKUP(A87,'[16]geoMap (13)'!$A:$C,3,0)</f>
        <v>#REF!</v>
      </c>
      <c r="P87" s="1" t="e">
        <f>O87/VLOOKUP(A87,'[17]geoMap (14)'!$A:$B,2,0)*VLOOKUP(A87,'[17]geoMap (14)'!$A:$C,3,0)</f>
        <v>#REF!</v>
      </c>
      <c r="Q87" s="1" t="e">
        <f>P87/VLOOKUP(A87,'[18]geoMap (15)'!$A:$B,2,0)*VLOOKUP(A87,'[18]geoMap (15)'!$A:$C,3,0)</f>
        <v>#REF!</v>
      </c>
      <c r="R87" s="1" t="e">
        <f>Q87/VLOOKUP(A87,'[19]geoMap (16)'!$A:$B,2,0)*VLOOKUP(A87,'[19]geoMap (16)'!$A:$C,3,0)</f>
        <v>#REF!</v>
      </c>
      <c r="S87" s="1" t="e">
        <f>R87/VLOOKUP(A87,'[20]geoMap (17)'!$A:$B,2,0)*VLOOKUP(A87,'[20]geoMap (17)'!$A:$C,3,0)</f>
        <v>#REF!</v>
      </c>
      <c r="T87" s="1" t="e">
        <f>S87/VLOOKUP(A87,'[21]geoMap (18)'!$A:$B,2,0)*VLOOKUP(A87,'[21]geoMap (18)'!$A:$C,3,0)</f>
        <v>#REF!</v>
      </c>
      <c r="U87" s="1" t="e">
        <f>T87/VLOOKUP(A87,'[22]geoMap (19)'!$A:$B,2,0)*VLOOKUP(A87,'[22]geoMap (19)'!$A:$C,3,0)</f>
        <v>#REF!</v>
      </c>
      <c r="V87" s="1" t="e">
        <f>U87/VLOOKUP(A87,'[23]geoMap (20)'!$A:$B,2,0)*VLOOKUP(A87,'[23]geoMap (20)'!$A:$C,3,0)</f>
        <v>#REF!</v>
      </c>
      <c r="W87" s="1" t="e">
        <f>V87/VLOOKUP(A87,'[24]geoMap (21)'!$A:$B,2,0)*VLOOKUP(A87,'[24]geoMap (21)'!$A:$C,3,0)</f>
        <v>#REF!</v>
      </c>
      <c r="X87" s="1" t="e">
        <f>W87/VLOOKUP(A87,'[25]geoMap (22)'!$A:$B,2,0)*VLOOKUP(A87,'[25]geoMap (22)'!$A:$C,3,0)</f>
        <v>#REF!</v>
      </c>
      <c r="Y87" s="1" t="e">
        <f>X87/VLOOKUP(A87,'[26]geoMap (23)'!$A:$B,2,0)*VLOOKUP(A87,'[26]geoMap (23)'!$A:$C,3,0)</f>
        <v>#REF!</v>
      </c>
      <c r="Z87" s="1" t="e">
        <f>Y87/VLOOKUP(A87,'[27]geoMap (24)'!$A:$B,2,0)*VLOOKUP(A87,'[27]geoMap (24)'!$A:$C,3,0)</f>
        <v>#REF!</v>
      </c>
      <c r="AA87" s="1" t="e">
        <f>Z87/VLOOKUP(A87,'[28]geoMap (25)'!$A:$B,2,0)*VLOOKUP(A87,'[28]geoMap (25)'!$A:$C,3,0)</f>
        <v>#REF!</v>
      </c>
      <c r="AB87" s="1" t="e">
        <f>AA87*VLOOKUP(A87,'[29]geoMap (26)'!$A:$B,2,0)*VLOOKUP(A87,'[29]geoMap (26)'!$A:$C,3,0)</f>
        <v>#REF!</v>
      </c>
      <c r="AC87" s="1" t="e">
        <f>AB87/VLOOKUP(A87,'[30]geoMap (27)'!$A:$B,2,0)*VLOOKUP(A87,'[30]geoMap (27)'!$A:$C,3,0)</f>
        <v>#REF!</v>
      </c>
      <c r="AD87" s="1" t="e">
        <f>AC87/VLOOKUP(A87,'[31]geoMap (28)'!$A:$B,2,0)*VLOOKUP(A87,'[31]geoMap (28)'!$A:$C,3,0)</f>
        <v>#REF!</v>
      </c>
      <c r="AE87" s="1" t="e">
        <f>AD87/VLOOKUP(A87,'[32]geoMap (29)'!$A:$B,2,0)*VLOOKUP(A87,'[32]geoMap (29)'!$A:$C,3,0)</f>
        <v>#REF!</v>
      </c>
      <c r="AF87" s="1" t="e">
        <f>AE87/VLOOKUP(A87,'[33]geoMap (30)'!$A:$B,2,0)*VLOOKUP(A87,'[33]geoMap (30)'!$A:$C,3,0)</f>
        <v>#REF!</v>
      </c>
      <c r="AG87" s="1" t="e">
        <f>AF87/VLOOKUP(A87,'[34]geoMap (31)'!$A:$B,2,0)*VLOOKUP(A87,'[34]geoMap (31)'!$A:$C,3,0)</f>
        <v>#REF!</v>
      </c>
      <c r="AH87" s="1" t="e">
        <f>AG87/VLOOKUP(A87,'[35]geoMap (32)'!$A:$B,2,0)*VLOOKUP(A87,'[35]geoMap (32)'!$A:$C,3,0)</f>
        <v>#REF!</v>
      </c>
      <c r="AI87" s="1" t="e">
        <f>AH87/VLOOKUP(A87,'[36]geoMap (33)'!$A:$B,2,0)*VLOOKUP(A87,'[36]geoMap (33)'!$A:$C,3,0)</f>
        <v>#REF!</v>
      </c>
      <c r="AJ87" s="1" t="e">
        <f>AI87/VLOOKUP(A87,'[37]geoMap (34)'!$A:$B,2,0)*VLOOKUP(A87,'[37]geoMap (34)'!$A:$C,3,0)</f>
        <v>#REF!</v>
      </c>
      <c r="AK87" s="1" t="e">
        <f>AJ87/VLOOKUP(A87,'[38]geoMap (35)'!$A:$B,2,0)*VLOOKUP(A87,'[38]geoMap (35)'!$A:$C,3,0)</f>
        <v>#REF!</v>
      </c>
      <c r="AL87" s="1" t="e">
        <f>AK87/VLOOKUP(A87,'[39]geoMap (36)'!$A:$B,2,0)*VLOOKUP(A87,'[39]geoMap (36)'!$A:$C,3,0)</f>
        <v>#REF!</v>
      </c>
      <c r="AM87" s="1" t="e">
        <f>AL87/VLOOKUP(A87,'[40]geoMap (37)'!$A:$B,2,0)*VLOOKUP(A87,'[40]geoMap (37)'!$A:$C,3,0)</f>
        <v>#REF!</v>
      </c>
      <c r="AN87" s="1" t="e">
        <f>AM87/VLOOKUP(A87,'[41]geoMap (38)'!$A:$B,2,0)*VLOOKUP(A87,'[41]geoMap (38)'!$A:$C,3,0)</f>
        <v>#REF!</v>
      </c>
      <c r="AO87" s="1" t="e">
        <f>AN87/VLOOKUP(A87,'[42]geoMap (39)'!$A:$B,2,0)*VLOOKUP(A87,'[42]geoMap (39)'!$A:$C,3,0)</f>
        <v>#REF!</v>
      </c>
      <c r="AP87" s="1" t="e">
        <f>AO87/VLOOKUP(A87,'[43]geoMap (40)'!$A:$B,2,0)*VLOOKUP(A87,'[43]geoMap (40)'!$A:$C,3,0)</f>
        <v>#REF!</v>
      </c>
      <c r="AQ87" s="1" t="e">
        <f>AP87/VLOOKUP(A87,'[44]geoMap (41)'!$A:$B,2,0)*VLOOKUP(A87,'[44]geoMap (41)'!$A:$C,3,0)</f>
        <v>#REF!</v>
      </c>
      <c r="AR87" s="1" t="e">
        <f>AQ87/VLOOKUP(A87,'[45]geoMap (42)'!$A:$B,2,0)*VLOOKUP(A87,'[45]geoMap (42)'!$A:$C,3,0)</f>
        <v>#REF!</v>
      </c>
      <c r="AS87" s="1" t="e">
        <f>AR87/VLOOKUP(A87,'[46]geoMap (43)'!$A:$B,2,0)*VLOOKUP(A87,'[46]geoMap (43)'!$A:$C,3,0)</f>
        <v>#REF!</v>
      </c>
      <c r="AT87" s="1" t="e">
        <f>AS87/VLOOKUP(A87,'[47]geoMap (44)'!$A:$B,2,0)*VLOOKUP(A87,'[47]geoMap (44)'!$A:$C,3,0)</f>
        <v>#REF!</v>
      </c>
      <c r="AU87" s="1" t="e">
        <f>AT87/VLOOKUP(A87,'[48]geoMap (45)'!$A:$B,2,0)*VLOOKUP(A87,'[48]geoMap (45)'!$A:$C,3,0)</f>
        <v>#REF!</v>
      </c>
      <c r="AV87" s="1" t="e">
        <f>AU87/VLOOKUP(A87,'[49]geoMap (46)'!$A:$B,2,0)*VLOOKUP(A87,'[49]geoMap (46)'!$A:$C,3,0)</f>
        <v>#REF!</v>
      </c>
      <c r="AW87" s="1" t="e">
        <f>AV87/VLOOKUP(A87,'[50]geoMap (47)'!$A:$B,2,0)*VLOOKUP(A87,'[50]geoMap (47)'!$A:$C,3,0)</f>
        <v>#REF!</v>
      </c>
      <c r="AX87" s="4" t="e">
        <f>AW87/VLOOKUP(A87,'[51]geoMap (48)'!$A:$B,2,0)*VLOOKUP(A87,'[51]geoMap (48)'!$A:$C,3,0)</f>
        <v>#REF!</v>
      </c>
      <c r="AY87" s="1" t="e">
        <f>AX87/VLOOKUP(A87,'[52]geoMap (49)'!$A:$B,2,0)*VLOOKUP(A87,'[52]geoMap (49)'!$A:$C,3,0)</f>
        <v>#REF!</v>
      </c>
      <c r="AZ87" s="4" t="e">
        <f>AY87/VLOOKUP(A87,'[53]geoMap (50)'!$A:$B,2,0)*VLOOKUP(A87,'[53]geoMap (50)'!$A:$C,3,0)</f>
        <v>#REF!</v>
      </c>
      <c r="BA87" s="1" t="e">
        <f>AZ87/VLOOKUP(A87,'[54]geoMap (51)'!$A:$B,2,0)*VLOOKUP(A87,'[54]geoMap (51)'!$A:$C,3,0)</f>
        <v>#REF!</v>
      </c>
      <c r="BB87" s="4" t="e">
        <f>BA87/VLOOKUP(A87,'[55]geoMap (52)'!$A:$B,2,0)*VLOOKUP(A87,'[55]geoMap (52)'!$A:$C,3,0)</f>
        <v>#REF!</v>
      </c>
      <c r="BC87" s="1" t="e">
        <f>BB87/VLOOKUP(A87,'[56]geoMap (53)'!$A:$B,2,0)*VLOOKUP(A87,'[56]geoMap (53)'!$A:$C,3,0)</f>
        <v>#REF!</v>
      </c>
      <c r="BD87" s="4" t="e">
        <f>BC87/VLOOKUP(A87,'[57]geoMap (54)'!$A:$B,2,0)*VLOOKUP(A87,'[57]geoMap (54)'!$A:$C,3,0)</f>
        <v>#REF!</v>
      </c>
      <c r="BE87" s="1" t="e">
        <f>BD87/VLOOKUP(A87,'[58]geoMap (55)'!$A:$B,2,0)*VLOOKUP(A87,'[58]geoMap (55)'!$A:$C,3,0)</f>
        <v>#REF!</v>
      </c>
      <c r="BF87" s="4" t="e">
        <f>BE87/VLOOKUP(A87,'[59]geoMap (56)'!$A:$B,2,0)*VLOOKUP(A87,'[59]geoMap (56)'!$A:$C,3,0)</f>
        <v>#REF!</v>
      </c>
      <c r="BG87" s="1" t="e">
        <f>BF87/VLOOKUP(A87,'[60]geoMap (57)'!$A:$B,2,0)*VLOOKUP(A87,'[60]geoMap (57)'!$A:$C,3,0)</f>
        <v>#REF!</v>
      </c>
      <c r="BH87" s="4" t="e">
        <f>BG87/VLOOKUP(A87,'[61]geoMap (58)'!$A:$B,2,0)*VLOOKUP(A87,'[61]geoMap (58)'!$A:$C,3,0)</f>
        <v>#REF!</v>
      </c>
      <c r="BI87" s="1" t="e">
        <f>BH87/VLOOKUP(A87,'[62]geoMap (59)'!$A:$B,2,0)*VLOOKUP(A87,'[62]geoMap (59)'!$A:$C,3,0)</f>
        <v>#REF!</v>
      </c>
      <c r="BJ87" s="4" t="e">
        <f>BI87/VLOOKUP(A87,'[63]geoMap (60)'!$A:$B,2,0)*VLOOKUP(A87,'[63]geoMap (60)'!$A:$C,3,0)</f>
        <v>#REF!</v>
      </c>
      <c r="BK87" s="1" t="e">
        <f>BJ87/VLOOKUP(A87,'[64]geoMap (61)'!$A:$B,2,0)*VLOOKUP(A87,'[64]geoMap (61)'!$A:$C,3,0)</f>
        <v>#REF!</v>
      </c>
      <c r="BL87" s="4" t="e">
        <f>BK87/VLOOKUP(A87,'[65]geoMap (62)'!$A:$B,2,0)*VLOOKUP(A87,'[65]geoMap (62)'!$A:$C,3,0)</f>
        <v>#REF!</v>
      </c>
      <c r="BM87" s="1" t="e">
        <f>BL87/VLOOKUP(A87,'[66]geoMap (63)'!$A:$B,2,0)*VLOOKUP(A87,'[66]geoMap (63)'!$A:$C,3,0)</f>
        <v>#REF!</v>
      </c>
      <c r="BN87" s="4" t="e">
        <f>BM87/VLOOKUP(A87,'[67]geoMap (64)'!$A:$B,2,0)*VLOOKUP(A87,'[67]geoMap (64)'!$A:$C,3,0)</f>
        <v>#REF!</v>
      </c>
      <c r="BO87" s="1" t="e">
        <f>BN87/VLOOKUP(A87,'[68]geoMap (65)'!$A:$B,2,0)*VLOOKUP(A87,'[68]geoMap (65)'!$A:$C,3,0)</f>
        <v>#REF!</v>
      </c>
      <c r="BP87" s="4" t="e">
        <f>BO87/VLOOKUP(A87,'[69]geoMap (66)'!$A:$B,2,0)*VLOOKUP(A87,'[69]geoMap (66)'!$A:$C,3,0)</f>
        <v>#REF!</v>
      </c>
    </row>
    <row r="88" spans="1:68" x14ac:dyDescent="0.2">
      <c r="A88" s="1" t="s">
        <v>25</v>
      </c>
      <c r="B88" s="1" t="e">
        <f>VLOOKUP(A88,[3]geoMap!$A:$B,2,0)*Notes!$C$6</f>
        <v>#REF!</v>
      </c>
      <c r="C88" s="1" t="e">
        <f>B88/VLOOKUP(A88,'[4]geoMap (1)'!$A:$B,2,0)*VLOOKUP(A88,'[4]geoMap (1)'!$A:$C,3,0)</f>
        <v>#REF!</v>
      </c>
      <c r="D88" s="1" t="e">
        <f>C88/VLOOKUP(A88,'[5]geoMap (2)'!$A:$B,2,0)*VLOOKUP(A88,'[5]geoMap (2)'!$A:$C,3,0)</f>
        <v>#REF!</v>
      </c>
      <c r="E88" s="1" t="e">
        <f>D88/VLOOKUP(A88,'[6]geoMap (3)'!$A:$B,2,0)*VLOOKUP(A88,'[6]geoMap (3)'!$A:$C,3,0)</f>
        <v>#REF!</v>
      </c>
      <c r="F88" s="1" t="e">
        <f>E88/VLOOKUP(A88,'[7]geoMap (4)'!$A:$B,2,0)*VLOOKUP(A88,'[7]geoMap (4)'!$A:$C,3,0)</f>
        <v>#REF!</v>
      </c>
      <c r="G88" s="1" t="e">
        <f>F88/VLOOKUP(A88,'[8]geoMap (5)'!$A:$B,2,0)*VLOOKUP(A88,'[8]geoMap (5)'!$A:$C,3,0)</f>
        <v>#REF!</v>
      </c>
      <c r="H88" s="1" t="e">
        <f>G88/VLOOKUP(A88,'[9]geoMap (6)'!$A:$B,2,0)*VLOOKUP(A88,'[9]geoMap (6)'!$A:$C,3,0)</f>
        <v>#REF!</v>
      </c>
      <c r="I88" s="1" t="e">
        <f>H88/VLOOKUP(A88,'[10]geoMap (7)'!$A:$B,2,0)*VLOOKUP(A88,'[10]geoMap (7)'!$A:$C,3,0)</f>
        <v>#REF!</v>
      </c>
      <c r="J88" s="1" t="e">
        <f>I88/VLOOKUP(A88,'[11]geoMap (8)'!$A:$B,2,0)*VLOOKUP(A88,'[11]geoMap (8)'!$A:$C,3,0)</f>
        <v>#REF!</v>
      </c>
      <c r="K88" s="1" t="e">
        <f>J88/VLOOKUP(A88,'[12]geoMap (9)'!$A:$B,2,0)*VLOOKUP(A88,'[12]geoMap (9)'!$A:$C,3,0)</f>
        <v>#REF!</v>
      </c>
      <c r="L88" s="1" t="e">
        <f>K88/VLOOKUP(A88,'[13]geoMap (10)'!$A:$B,2,0)*VLOOKUP(A88,'[13]geoMap (10)'!$A:$C,3,0)</f>
        <v>#REF!</v>
      </c>
      <c r="M88" s="1" t="e">
        <f>L88/VLOOKUP(A88,'[14]geoMap (11)'!$A:$B,2,0)*VLOOKUP(A88,'[14]geoMap (11)'!$A:$C,3,0)</f>
        <v>#REF!</v>
      </c>
      <c r="N88" s="1" t="e">
        <f>M88/VLOOKUP(A88,'[15]geoMap (12)'!$A:$B,2,0)*VLOOKUP(A88,'[15]geoMap (12)'!$A:$C,3,0)</f>
        <v>#REF!</v>
      </c>
      <c r="O88" s="1" t="e">
        <f>N88/VLOOKUP(A88,'[16]geoMap (13)'!$A:$B,2,0)*VLOOKUP(A88,'[16]geoMap (13)'!$A:$C,3,0)</f>
        <v>#REF!</v>
      </c>
      <c r="P88" s="1" t="e">
        <f>O88/VLOOKUP(A88,'[17]geoMap (14)'!$A:$B,2,0)*VLOOKUP(A88,'[17]geoMap (14)'!$A:$C,3,0)</f>
        <v>#REF!</v>
      </c>
      <c r="Q88" s="1" t="e">
        <f>P88/VLOOKUP(A88,'[18]geoMap (15)'!$A:$B,2,0)*VLOOKUP(A88,'[18]geoMap (15)'!$A:$C,3,0)</f>
        <v>#REF!</v>
      </c>
      <c r="R88" s="1" t="e">
        <f>Q88/VLOOKUP(A88,'[19]geoMap (16)'!$A:$B,2,0)*VLOOKUP(A88,'[19]geoMap (16)'!$A:$C,3,0)</f>
        <v>#REF!</v>
      </c>
      <c r="S88" s="1" t="e">
        <f>R88/VLOOKUP(A88,'[20]geoMap (17)'!$A:$B,2,0)*VLOOKUP(A88,'[20]geoMap (17)'!$A:$C,3,0)</f>
        <v>#REF!</v>
      </c>
      <c r="T88" s="1" t="e">
        <f>S88/VLOOKUP(A88,'[21]geoMap (18)'!$A:$B,2,0)*VLOOKUP(A88,'[21]geoMap (18)'!$A:$C,3,0)</f>
        <v>#REF!</v>
      </c>
      <c r="U88" s="1" t="e">
        <f>T88/VLOOKUP(A88,'[22]geoMap (19)'!$A:$B,2,0)*VLOOKUP(A88,'[22]geoMap (19)'!$A:$C,3,0)</f>
        <v>#REF!</v>
      </c>
      <c r="V88" s="1" t="e">
        <f>U88/VLOOKUP(A88,'[23]geoMap (20)'!$A:$B,2,0)*VLOOKUP(A88,'[23]geoMap (20)'!$A:$C,3,0)</f>
        <v>#REF!</v>
      </c>
      <c r="W88" s="1" t="e">
        <f>V88/VLOOKUP(A88,'[24]geoMap (21)'!$A:$B,2,0)*VLOOKUP(A88,'[24]geoMap (21)'!$A:$C,3,0)</f>
        <v>#REF!</v>
      </c>
      <c r="X88" s="1" t="e">
        <f>W88/VLOOKUP(A88,'[25]geoMap (22)'!$A:$B,2,0)*VLOOKUP(A88,'[25]geoMap (22)'!$A:$C,3,0)</f>
        <v>#REF!</v>
      </c>
      <c r="Y88" s="1" t="e">
        <f>X88/VLOOKUP(A88,'[26]geoMap (23)'!$A:$B,2,0)*VLOOKUP(A88,'[26]geoMap (23)'!$A:$C,3,0)</f>
        <v>#REF!</v>
      </c>
      <c r="Z88" s="1" t="e">
        <f>Y88/VLOOKUP(A88,'[27]geoMap (24)'!$A:$B,2,0)*VLOOKUP(A88,'[27]geoMap (24)'!$A:$C,3,0)</f>
        <v>#REF!</v>
      </c>
      <c r="AA88" s="1" t="e">
        <f>Z88/VLOOKUP(A88,'[28]geoMap (25)'!$A:$B,2,0)*VLOOKUP(A88,'[28]geoMap (25)'!$A:$C,3,0)</f>
        <v>#REF!</v>
      </c>
      <c r="AB88" s="1" t="e">
        <f>AA88*VLOOKUP(A88,'[29]geoMap (26)'!$A:$B,2,0)*VLOOKUP(A88,'[29]geoMap (26)'!$A:$C,3,0)</f>
        <v>#REF!</v>
      </c>
      <c r="AC88" s="1" t="e">
        <f>AB88/VLOOKUP(A88,'[30]geoMap (27)'!$A:$B,2,0)*VLOOKUP(A88,'[30]geoMap (27)'!$A:$C,3,0)</f>
        <v>#REF!</v>
      </c>
      <c r="AD88" s="1" t="e">
        <f>AC88/VLOOKUP(A88,'[31]geoMap (28)'!$A:$B,2,0)*VLOOKUP(A88,'[31]geoMap (28)'!$A:$C,3,0)</f>
        <v>#REF!</v>
      </c>
      <c r="AE88" s="1" t="e">
        <f>AD88/VLOOKUP(A88,'[32]geoMap (29)'!$A:$B,2,0)*VLOOKUP(A88,'[32]geoMap (29)'!$A:$C,3,0)</f>
        <v>#REF!</v>
      </c>
      <c r="AF88" s="1" t="e">
        <f>AE88/VLOOKUP(A88,'[33]geoMap (30)'!$A:$B,2,0)*VLOOKUP(A88,'[33]geoMap (30)'!$A:$C,3,0)</f>
        <v>#REF!</v>
      </c>
      <c r="AG88" s="1" t="e">
        <f>AF88/VLOOKUP(A88,'[34]geoMap (31)'!$A:$B,2,0)*VLOOKUP(A88,'[34]geoMap (31)'!$A:$C,3,0)</f>
        <v>#REF!</v>
      </c>
      <c r="AH88" s="1" t="e">
        <f>AG88/VLOOKUP(A88,'[35]geoMap (32)'!$A:$B,2,0)*VLOOKUP(A88,'[35]geoMap (32)'!$A:$C,3,0)</f>
        <v>#REF!</v>
      </c>
      <c r="AI88" s="1" t="e">
        <f>AH88/VLOOKUP(A88,'[36]geoMap (33)'!$A:$B,2,0)*VLOOKUP(A88,'[36]geoMap (33)'!$A:$C,3,0)</f>
        <v>#REF!</v>
      </c>
      <c r="AJ88" s="1" t="e">
        <f>AI88/VLOOKUP(A88,'[37]geoMap (34)'!$A:$B,2,0)*VLOOKUP(A88,'[37]geoMap (34)'!$A:$C,3,0)</f>
        <v>#REF!</v>
      </c>
      <c r="AK88" s="1" t="e">
        <f>AJ88/VLOOKUP(A88,'[38]geoMap (35)'!$A:$B,2,0)*VLOOKUP(A88,'[38]geoMap (35)'!$A:$C,3,0)</f>
        <v>#REF!</v>
      </c>
      <c r="AL88" s="1" t="e">
        <f>AK88/VLOOKUP(A88,'[39]geoMap (36)'!$A:$B,2,0)*VLOOKUP(A88,'[39]geoMap (36)'!$A:$C,3,0)</f>
        <v>#REF!</v>
      </c>
      <c r="AM88" s="1" t="e">
        <f>AL88/VLOOKUP(A88,'[40]geoMap (37)'!$A:$B,2,0)*VLOOKUP(A88,'[40]geoMap (37)'!$A:$C,3,0)</f>
        <v>#REF!</v>
      </c>
      <c r="AN88" s="1" t="e">
        <f>AM88/VLOOKUP(A88,'[41]geoMap (38)'!$A:$B,2,0)*VLOOKUP(A88,'[41]geoMap (38)'!$A:$C,3,0)</f>
        <v>#REF!</v>
      </c>
      <c r="AO88" s="1" t="e">
        <f>AN88/VLOOKUP(A88,'[42]geoMap (39)'!$A:$B,2,0)*VLOOKUP(A88,'[42]geoMap (39)'!$A:$C,3,0)</f>
        <v>#REF!</v>
      </c>
      <c r="AP88" s="1" t="e">
        <f>AO88/VLOOKUP(A88,'[43]geoMap (40)'!$A:$B,2,0)*VLOOKUP(A88,'[43]geoMap (40)'!$A:$C,3,0)</f>
        <v>#REF!</v>
      </c>
      <c r="AQ88" s="1" t="e">
        <f>AP88/VLOOKUP(A88,'[44]geoMap (41)'!$A:$B,2,0)*VLOOKUP(A88,'[44]geoMap (41)'!$A:$C,3,0)</f>
        <v>#REF!</v>
      </c>
      <c r="AR88" s="1" t="e">
        <f>AQ88/VLOOKUP(A88,'[45]geoMap (42)'!$A:$B,2,0)*VLOOKUP(A88,'[45]geoMap (42)'!$A:$C,3,0)</f>
        <v>#REF!</v>
      </c>
      <c r="AS88" s="1" t="e">
        <f>AR88/VLOOKUP(A88,'[46]geoMap (43)'!$A:$B,2,0)*VLOOKUP(A88,'[46]geoMap (43)'!$A:$C,3,0)</f>
        <v>#REF!</v>
      </c>
      <c r="AT88" s="1" t="e">
        <f>AS88/VLOOKUP(A88,'[47]geoMap (44)'!$A:$B,2,0)*VLOOKUP(A88,'[47]geoMap (44)'!$A:$C,3,0)</f>
        <v>#REF!</v>
      </c>
      <c r="AU88" s="1" t="e">
        <f>AT88/VLOOKUP(A88,'[48]geoMap (45)'!$A:$B,2,0)*VLOOKUP(A88,'[48]geoMap (45)'!$A:$C,3,0)</f>
        <v>#REF!</v>
      </c>
      <c r="AV88" s="1" t="e">
        <f>AU88/VLOOKUP(A88,'[49]geoMap (46)'!$A:$B,2,0)*VLOOKUP(A88,'[49]geoMap (46)'!$A:$C,3,0)</f>
        <v>#REF!</v>
      </c>
      <c r="AW88" s="1" t="e">
        <f>AV88/VLOOKUP(A88,'[50]geoMap (47)'!$A:$B,2,0)*VLOOKUP(A88,'[50]geoMap (47)'!$A:$C,3,0)</f>
        <v>#REF!</v>
      </c>
      <c r="AX88" s="4" t="e">
        <f>AW88/VLOOKUP(A88,'[51]geoMap (48)'!$A:$B,2,0)*VLOOKUP(A88,'[51]geoMap (48)'!$A:$C,3,0)</f>
        <v>#REF!</v>
      </c>
      <c r="AY88" s="1" t="e">
        <f>AX88/VLOOKUP(A88,'[52]geoMap (49)'!$A:$B,2,0)*VLOOKUP(A88,'[52]geoMap (49)'!$A:$C,3,0)</f>
        <v>#REF!</v>
      </c>
      <c r="AZ88" s="4" t="e">
        <f>AY88/VLOOKUP(A88,'[53]geoMap (50)'!$A:$B,2,0)*VLOOKUP(A88,'[53]geoMap (50)'!$A:$C,3,0)</f>
        <v>#REF!</v>
      </c>
      <c r="BA88" s="1" t="e">
        <f>AZ88/VLOOKUP(A88,'[54]geoMap (51)'!$A:$B,2,0)*VLOOKUP(A88,'[54]geoMap (51)'!$A:$C,3,0)</f>
        <v>#REF!</v>
      </c>
      <c r="BB88" s="4" t="e">
        <f>BA88/VLOOKUP(A88,'[55]geoMap (52)'!$A:$B,2,0)*VLOOKUP(A88,'[55]geoMap (52)'!$A:$C,3,0)</f>
        <v>#REF!</v>
      </c>
      <c r="BC88" s="1" t="e">
        <f>BB88/VLOOKUP(A88,'[56]geoMap (53)'!$A:$B,2,0)*VLOOKUP(A88,'[56]geoMap (53)'!$A:$C,3,0)</f>
        <v>#REF!</v>
      </c>
      <c r="BD88" s="4" t="e">
        <f>BC88/VLOOKUP(A88,'[57]geoMap (54)'!$A:$B,2,0)*VLOOKUP(A88,'[57]geoMap (54)'!$A:$C,3,0)</f>
        <v>#REF!</v>
      </c>
      <c r="BE88" s="1" t="e">
        <f>BD88/VLOOKUP(A88,'[58]geoMap (55)'!$A:$B,2,0)*VLOOKUP(A88,'[58]geoMap (55)'!$A:$C,3,0)</f>
        <v>#REF!</v>
      </c>
      <c r="BF88" s="4" t="e">
        <f>BE88/VLOOKUP(A88,'[59]geoMap (56)'!$A:$B,2,0)*VLOOKUP(A88,'[59]geoMap (56)'!$A:$C,3,0)</f>
        <v>#REF!</v>
      </c>
      <c r="BG88" s="1" t="e">
        <f>BF88/VLOOKUP(A88,'[60]geoMap (57)'!$A:$B,2,0)*VLOOKUP(A88,'[60]geoMap (57)'!$A:$C,3,0)</f>
        <v>#REF!</v>
      </c>
      <c r="BH88" s="4" t="e">
        <f>BG88/VLOOKUP(A88,'[61]geoMap (58)'!$A:$B,2,0)*VLOOKUP(A88,'[61]geoMap (58)'!$A:$C,3,0)</f>
        <v>#REF!</v>
      </c>
      <c r="BI88" s="1" t="e">
        <f>BH88/VLOOKUP(A88,'[62]geoMap (59)'!$A:$B,2,0)*VLOOKUP(A88,'[62]geoMap (59)'!$A:$C,3,0)</f>
        <v>#REF!</v>
      </c>
      <c r="BJ88" s="4" t="e">
        <f>BI88/VLOOKUP(A88,'[63]geoMap (60)'!$A:$B,2,0)*VLOOKUP(A88,'[63]geoMap (60)'!$A:$C,3,0)</f>
        <v>#REF!</v>
      </c>
      <c r="BK88" s="1" t="e">
        <f>BJ88/VLOOKUP(A88,'[64]geoMap (61)'!$A:$B,2,0)*VLOOKUP(A88,'[64]geoMap (61)'!$A:$C,3,0)</f>
        <v>#REF!</v>
      </c>
      <c r="BL88" s="4" t="e">
        <f>BK88/VLOOKUP(A88,'[65]geoMap (62)'!$A:$B,2,0)*VLOOKUP(A88,'[65]geoMap (62)'!$A:$C,3,0)</f>
        <v>#REF!</v>
      </c>
      <c r="BM88" s="1" t="e">
        <f>BL88/VLOOKUP(A88,'[66]geoMap (63)'!$A:$B,2,0)*VLOOKUP(A88,'[66]geoMap (63)'!$A:$C,3,0)</f>
        <v>#REF!</v>
      </c>
      <c r="BN88" s="4" t="e">
        <f>BM88/VLOOKUP(A88,'[67]geoMap (64)'!$A:$B,2,0)*VLOOKUP(A88,'[67]geoMap (64)'!$A:$C,3,0)</f>
        <v>#REF!</v>
      </c>
      <c r="BO88" s="1" t="e">
        <f>BN88/VLOOKUP(A88,'[68]geoMap (65)'!$A:$B,2,0)*VLOOKUP(A88,'[68]geoMap (65)'!$A:$C,3,0)</f>
        <v>#REF!</v>
      </c>
      <c r="BP88" s="4" t="e">
        <f>BO88/VLOOKUP(A88,'[69]geoMap (66)'!$A:$B,2,0)*VLOOKUP(A88,'[69]geoMap (66)'!$A:$C,3,0)</f>
        <v>#REF!</v>
      </c>
    </row>
    <row r="89" spans="1:68" x14ac:dyDescent="0.2">
      <c r="A89" s="1" t="s">
        <v>26</v>
      </c>
      <c r="B89" s="1" t="e">
        <f>VLOOKUP(A89,[3]geoMap!$A:$B,2,0)*Notes!$C$6</f>
        <v>#REF!</v>
      </c>
      <c r="C89" s="1" t="e">
        <f>B89/VLOOKUP(A89,'[4]geoMap (1)'!$A:$B,2,0)*VLOOKUP(A89,'[4]geoMap (1)'!$A:$C,3,0)</f>
        <v>#REF!</v>
      </c>
      <c r="D89" s="1" t="e">
        <f>C89/VLOOKUP(A89,'[5]geoMap (2)'!$A:$B,2,0)*VLOOKUP(A89,'[5]geoMap (2)'!$A:$C,3,0)</f>
        <v>#REF!</v>
      </c>
      <c r="E89" s="1" t="e">
        <f>D89/VLOOKUP(A89,'[6]geoMap (3)'!$A:$B,2,0)*VLOOKUP(A89,'[6]geoMap (3)'!$A:$C,3,0)</f>
        <v>#REF!</v>
      </c>
      <c r="F89" s="1" t="e">
        <f>E89/VLOOKUP(A89,'[7]geoMap (4)'!$A:$B,2,0)*VLOOKUP(A89,'[7]geoMap (4)'!$A:$C,3,0)</f>
        <v>#REF!</v>
      </c>
      <c r="G89" s="1" t="e">
        <f>F89/VLOOKUP(A89,'[8]geoMap (5)'!$A:$B,2,0)*VLOOKUP(A89,'[8]geoMap (5)'!$A:$C,3,0)</f>
        <v>#REF!</v>
      </c>
      <c r="H89" s="1" t="e">
        <f>G89/VLOOKUP(A89,'[9]geoMap (6)'!$A:$B,2,0)*VLOOKUP(A89,'[9]geoMap (6)'!$A:$C,3,0)</f>
        <v>#REF!</v>
      </c>
      <c r="I89" s="1" t="e">
        <f>H89/VLOOKUP(A89,'[10]geoMap (7)'!$A:$B,2,0)*VLOOKUP(A89,'[10]geoMap (7)'!$A:$C,3,0)</f>
        <v>#REF!</v>
      </c>
      <c r="J89" s="1" t="e">
        <f>I89/VLOOKUP(A89,'[11]geoMap (8)'!$A:$B,2,0)*VLOOKUP(A89,'[11]geoMap (8)'!$A:$C,3,0)</f>
        <v>#REF!</v>
      </c>
      <c r="K89" s="1" t="e">
        <f>J89/VLOOKUP(A89,'[12]geoMap (9)'!$A:$B,2,0)*VLOOKUP(A89,'[12]geoMap (9)'!$A:$C,3,0)</f>
        <v>#REF!</v>
      </c>
      <c r="L89" s="1" t="e">
        <f>K89/VLOOKUP(A89,'[13]geoMap (10)'!$A:$B,2,0)*VLOOKUP(A89,'[13]geoMap (10)'!$A:$C,3,0)</f>
        <v>#REF!</v>
      </c>
      <c r="M89" s="1" t="e">
        <f>L89/VLOOKUP(A89,'[14]geoMap (11)'!$A:$B,2,0)*VLOOKUP(A89,'[14]geoMap (11)'!$A:$C,3,0)</f>
        <v>#REF!</v>
      </c>
      <c r="N89" s="1" t="e">
        <f>M89/VLOOKUP(A89,'[15]geoMap (12)'!$A:$B,2,0)*VLOOKUP(A89,'[15]geoMap (12)'!$A:$C,3,0)</f>
        <v>#REF!</v>
      </c>
      <c r="O89" s="1" t="e">
        <f>N89/VLOOKUP(A89,'[16]geoMap (13)'!$A:$B,2,0)*VLOOKUP(A89,'[16]geoMap (13)'!$A:$C,3,0)</f>
        <v>#REF!</v>
      </c>
      <c r="P89" s="1" t="e">
        <f>O89/VLOOKUP(A89,'[17]geoMap (14)'!$A:$B,2,0)*VLOOKUP(A89,'[17]geoMap (14)'!$A:$C,3,0)</f>
        <v>#REF!</v>
      </c>
      <c r="Q89" s="1" t="e">
        <f>P89/VLOOKUP(A89,'[18]geoMap (15)'!$A:$B,2,0)*VLOOKUP(A89,'[18]geoMap (15)'!$A:$C,3,0)</f>
        <v>#REF!</v>
      </c>
      <c r="R89" s="1" t="e">
        <f>Q89/VLOOKUP(A89,'[19]geoMap (16)'!$A:$B,2,0)*VLOOKUP(A89,'[19]geoMap (16)'!$A:$C,3,0)</f>
        <v>#REF!</v>
      </c>
      <c r="S89" s="1" t="e">
        <f>R89/VLOOKUP(A89,'[20]geoMap (17)'!$A:$B,2,0)*VLOOKUP(A89,'[20]geoMap (17)'!$A:$C,3,0)</f>
        <v>#REF!</v>
      </c>
      <c r="T89" s="1" t="e">
        <f>S89/VLOOKUP(A89,'[21]geoMap (18)'!$A:$B,2,0)*VLOOKUP(A89,'[21]geoMap (18)'!$A:$C,3,0)</f>
        <v>#REF!</v>
      </c>
      <c r="U89" s="1" t="e">
        <f>T89/VLOOKUP(A89,'[22]geoMap (19)'!$A:$B,2,0)*VLOOKUP(A89,'[22]geoMap (19)'!$A:$C,3,0)</f>
        <v>#REF!</v>
      </c>
      <c r="V89" s="1" t="e">
        <f>U89/VLOOKUP(A89,'[23]geoMap (20)'!$A:$B,2,0)*VLOOKUP(A89,'[23]geoMap (20)'!$A:$C,3,0)</f>
        <v>#REF!</v>
      </c>
      <c r="W89" s="1" t="e">
        <f>V89/VLOOKUP(A89,'[24]geoMap (21)'!$A:$B,2,0)*VLOOKUP(A89,'[24]geoMap (21)'!$A:$C,3,0)</f>
        <v>#REF!</v>
      </c>
      <c r="X89" s="1" t="e">
        <f>W89/VLOOKUP(A89,'[25]geoMap (22)'!$A:$B,2,0)*VLOOKUP(A89,'[25]geoMap (22)'!$A:$C,3,0)</f>
        <v>#REF!</v>
      </c>
      <c r="Y89" s="1" t="e">
        <f>X89/VLOOKUP(A89,'[26]geoMap (23)'!$A:$B,2,0)*VLOOKUP(A89,'[26]geoMap (23)'!$A:$C,3,0)</f>
        <v>#REF!</v>
      </c>
      <c r="Z89" s="1" t="e">
        <f>Y89/VLOOKUP(A89,'[27]geoMap (24)'!$A:$B,2,0)*VLOOKUP(A89,'[27]geoMap (24)'!$A:$C,3,0)</f>
        <v>#REF!</v>
      </c>
      <c r="AA89" s="1" t="e">
        <f>Z89/VLOOKUP(A89,'[28]geoMap (25)'!$A:$B,2,0)*VLOOKUP(A89,'[28]geoMap (25)'!$A:$C,3,0)</f>
        <v>#REF!</v>
      </c>
      <c r="AB89" s="1" t="e">
        <f>AA89*VLOOKUP(A89,'[29]geoMap (26)'!$A:$B,2,0)*VLOOKUP(A89,'[29]geoMap (26)'!$A:$C,3,0)</f>
        <v>#REF!</v>
      </c>
      <c r="AC89" s="1" t="e">
        <f>AB89/VLOOKUP(A89,'[30]geoMap (27)'!$A:$B,2,0)*VLOOKUP(A89,'[30]geoMap (27)'!$A:$C,3,0)</f>
        <v>#REF!</v>
      </c>
      <c r="AD89" s="1" t="e">
        <f>AC89/VLOOKUP(A89,'[31]geoMap (28)'!$A:$B,2,0)*VLOOKUP(A89,'[31]geoMap (28)'!$A:$C,3,0)</f>
        <v>#REF!</v>
      </c>
      <c r="AE89" s="1" t="e">
        <f>AD89/VLOOKUP(A89,'[32]geoMap (29)'!$A:$B,2,0)*VLOOKUP(A89,'[32]geoMap (29)'!$A:$C,3,0)</f>
        <v>#REF!</v>
      </c>
      <c r="AF89" s="1" t="e">
        <f>AE89/VLOOKUP(A89,'[33]geoMap (30)'!$A:$B,2,0)*VLOOKUP(A89,'[33]geoMap (30)'!$A:$C,3,0)</f>
        <v>#REF!</v>
      </c>
      <c r="AG89" s="1" t="e">
        <f>AF89/VLOOKUP(A89,'[34]geoMap (31)'!$A:$B,2,0)*VLOOKUP(A89,'[34]geoMap (31)'!$A:$C,3,0)</f>
        <v>#REF!</v>
      </c>
      <c r="AH89" s="1" t="e">
        <f>AG89/VLOOKUP(A89,'[35]geoMap (32)'!$A:$B,2,0)*VLOOKUP(A89,'[35]geoMap (32)'!$A:$C,3,0)</f>
        <v>#REF!</v>
      </c>
      <c r="AI89" s="1" t="e">
        <f>AH89/VLOOKUP(A89,'[36]geoMap (33)'!$A:$B,2,0)*VLOOKUP(A89,'[36]geoMap (33)'!$A:$C,3,0)</f>
        <v>#REF!</v>
      </c>
      <c r="AJ89" s="1" t="e">
        <f>AI89/VLOOKUP(A89,'[37]geoMap (34)'!$A:$B,2,0)*VLOOKUP(A89,'[37]geoMap (34)'!$A:$C,3,0)</f>
        <v>#REF!</v>
      </c>
      <c r="AK89" s="1" t="e">
        <f>AJ89/VLOOKUP(A89,'[38]geoMap (35)'!$A:$B,2,0)*VLOOKUP(A89,'[38]geoMap (35)'!$A:$C,3,0)</f>
        <v>#REF!</v>
      </c>
      <c r="AL89" s="1" t="e">
        <f>AK89/VLOOKUP(A89,'[39]geoMap (36)'!$A:$B,2,0)*VLOOKUP(A89,'[39]geoMap (36)'!$A:$C,3,0)</f>
        <v>#REF!</v>
      </c>
      <c r="AM89" s="1" t="e">
        <f>AL89/VLOOKUP(A89,'[40]geoMap (37)'!$A:$B,2,0)*VLOOKUP(A89,'[40]geoMap (37)'!$A:$C,3,0)</f>
        <v>#REF!</v>
      </c>
      <c r="AN89" s="1" t="e">
        <f>AM89/VLOOKUP(A89,'[41]geoMap (38)'!$A:$B,2,0)*VLOOKUP(A89,'[41]geoMap (38)'!$A:$C,3,0)</f>
        <v>#REF!</v>
      </c>
      <c r="AO89" s="1" t="e">
        <f>AN89/VLOOKUP(A89,'[42]geoMap (39)'!$A:$B,2,0)*VLOOKUP(A89,'[42]geoMap (39)'!$A:$C,3,0)</f>
        <v>#REF!</v>
      </c>
      <c r="AP89" s="1" t="e">
        <f>AO89/VLOOKUP(A89,'[43]geoMap (40)'!$A:$B,2,0)*VLOOKUP(A89,'[43]geoMap (40)'!$A:$C,3,0)</f>
        <v>#REF!</v>
      </c>
      <c r="AQ89" s="1" t="e">
        <f>AP89/VLOOKUP(A89,'[44]geoMap (41)'!$A:$B,2,0)*VLOOKUP(A89,'[44]geoMap (41)'!$A:$C,3,0)</f>
        <v>#REF!</v>
      </c>
      <c r="AR89" s="1" t="e">
        <f>AQ89/VLOOKUP(A89,'[45]geoMap (42)'!$A:$B,2,0)*VLOOKUP(A89,'[45]geoMap (42)'!$A:$C,3,0)</f>
        <v>#REF!</v>
      </c>
      <c r="AS89" s="1" t="e">
        <f>AR89/VLOOKUP(A89,'[46]geoMap (43)'!$A:$B,2,0)*VLOOKUP(A89,'[46]geoMap (43)'!$A:$C,3,0)</f>
        <v>#REF!</v>
      </c>
      <c r="AT89" s="1" t="e">
        <f>AS89/VLOOKUP(A89,'[47]geoMap (44)'!$A:$B,2,0)*VLOOKUP(A89,'[47]geoMap (44)'!$A:$C,3,0)</f>
        <v>#REF!</v>
      </c>
      <c r="AU89" s="1" t="e">
        <f>AT89/VLOOKUP(A89,'[48]geoMap (45)'!$A:$B,2,0)*VLOOKUP(A89,'[48]geoMap (45)'!$A:$C,3,0)</f>
        <v>#REF!</v>
      </c>
      <c r="AV89" s="1" t="e">
        <f>AU89/VLOOKUP(A89,'[49]geoMap (46)'!$A:$B,2,0)*VLOOKUP(A89,'[49]geoMap (46)'!$A:$C,3,0)</f>
        <v>#REF!</v>
      </c>
      <c r="AW89" s="1" t="e">
        <f>AV89/VLOOKUP(A89,'[50]geoMap (47)'!$A:$B,2,0)*VLOOKUP(A89,'[50]geoMap (47)'!$A:$C,3,0)</f>
        <v>#REF!</v>
      </c>
      <c r="AX89" s="4" t="e">
        <f>AW89/VLOOKUP(A89,'[51]geoMap (48)'!$A:$B,2,0)*VLOOKUP(A89,'[51]geoMap (48)'!$A:$C,3,0)</f>
        <v>#REF!</v>
      </c>
      <c r="AY89" s="1" t="e">
        <f>AX89/VLOOKUP(A89,'[52]geoMap (49)'!$A:$B,2,0)*VLOOKUP(A89,'[52]geoMap (49)'!$A:$C,3,0)</f>
        <v>#REF!</v>
      </c>
      <c r="AZ89" s="4" t="e">
        <f>AY89/VLOOKUP(A89,'[53]geoMap (50)'!$A:$B,2,0)*VLOOKUP(A89,'[53]geoMap (50)'!$A:$C,3,0)</f>
        <v>#REF!</v>
      </c>
      <c r="BA89" s="1" t="e">
        <f>AZ89/VLOOKUP(A89,'[54]geoMap (51)'!$A:$B,2,0)*VLOOKUP(A89,'[54]geoMap (51)'!$A:$C,3,0)</f>
        <v>#REF!</v>
      </c>
      <c r="BB89" s="4" t="e">
        <f>BA89/VLOOKUP(A89,'[55]geoMap (52)'!$A:$B,2,0)*VLOOKUP(A89,'[55]geoMap (52)'!$A:$C,3,0)</f>
        <v>#REF!</v>
      </c>
      <c r="BC89" s="1" t="e">
        <f>BB89/VLOOKUP(A89,'[56]geoMap (53)'!$A:$B,2,0)*VLOOKUP(A89,'[56]geoMap (53)'!$A:$C,3,0)</f>
        <v>#REF!</v>
      </c>
      <c r="BD89" s="4" t="e">
        <f>BC89/VLOOKUP(A89,'[57]geoMap (54)'!$A:$B,2,0)*VLOOKUP(A89,'[57]geoMap (54)'!$A:$C,3,0)</f>
        <v>#REF!</v>
      </c>
      <c r="BE89" s="1" t="e">
        <f>BD89/VLOOKUP(A89,'[58]geoMap (55)'!$A:$B,2,0)*VLOOKUP(A89,'[58]geoMap (55)'!$A:$C,3,0)</f>
        <v>#REF!</v>
      </c>
      <c r="BF89" s="4" t="e">
        <f>BE89/VLOOKUP(A89,'[59]geoMap (56)'!$A:$B,2,0)*VLOOKUP(A89,'[59]geoMap (56)'!$A:$C,3,0)</f>
        <v>#REF!</v>
      </c>
      <c r="BG89" s="1" t="e">
        <f>BF89/VLOOKUP(A89,'[60]geoMap (57)'!$A:$B,2,0)*VLOOKUP(A89,'[60]geoMap (57)'!$A:$C,3,0)</f>
        <v>#REF!</v>
      </c>
      <c r="BH89" s="4" t="e">
        <f>BG89/VLOOKUP(A89,'[61]geoMap (58)'!$A:$B,2,0)*VLOOKUP(A89,'[61]geoMap (58)'!$A:$C,3,0)</f>
        <v>#REF!</v>
      </c>
      <c r="BI89" s="1" t="e">
        <f>BH89/VLOOKUP(A89,'[62]geoMap (59)'!$A:$B,2,0)*VLOOKUP(A89,'[62]geoMap (59)'!$A:$C,3,0)</f>
        <v>#REF!</v>
      </c>
      <c r="BJ89" s="4" t="e">
        <f>BI89/VLOOKUP(A89,'[63]geoMap (60)'!$A:$B,2,0)*VLOOKUP(A89,'[63]geoMap (60)'!$A:$C,3,0)</f>
        <v>#REF!</v>
      </c>
      <c r="BK89" s="1" t="e">
        <f>BJ89/VLOOKUP(A89,'[64]geoMap (61)'!$A:$B,2,0)*VLOOKUP(A89,'[64]geoMap (61)'!$A:$C,3,0)</f>
        <v>#REF!</v>
      </c>
      <c r="BL89" s="4" t="e">
        <f>BK89/VLOOKUP(A89,'[65]geoMap (62)'!$A:$B,2,0)*VLOOKUP(A89,'[65]geoMap (62)'!$A:$C,3,0)</f>
        <v>#REF!</v>
      </c>
      <c r="BM89" s="1" t="e">
        <f>BL89/VLOOKUP(A89,'[66]geoMap (63)'!$A:$B,2,0)*VLOOKUP(A89,'[66]geoMap (63)'!$A:$C,3,0)</f>
        <v>#REF!</v>
      </c>
      <c r="BN89" s="4" t="e">
        <f>BM89/VLOOKUP(A89,'[67]geoMap (64)'!$A:$B,2,0)*VLOOKUP(A89,'[67]geoMap (64)'!$A:$C,3,0)</f>
        <v>#REF!</v>
      </c>
      <c r="BO89" s="1" t="e">
        <f>BN89/VLOOKUP(A89,'[68]geoMap (65)'!$A:$B,2,0)*VLOOKUP(A89,'[68]geoMap (65)'!$A:$C,3,0)</f>
        <v>#REF!</v>
      </c>
      <c r="BP89" s="4" t="e">
        <f>BO89/VLOOKUP(A89,'[69]geoMap (66)'!$A:$B,2,0)*VLOOKUP(A89,'[69]geoMap (66)'!$A:$C,3,0)</f>
        <v>#REF!</v>
      </c>
    </row>
    <row r="90" spans="1:68" x14ac:dyDescent="0.2">
      <c r="A90" s="1" t="s">
        <v>27</v>
      </c>
      <c r="B90" s="1" t="e">
        <f>VLOOKUP(A90,[3]geoMap!$A:$B,2,0)*Notes!$C$6</f>
        <v>#REF!</v>
      </c>
      <c r="C90" s="1" t="e">
        <f>B90/VLOOKUP(A90,'[4]geoMap (1)'!$A:$B,2,0)*VLOOKUP(A90,'[4]geoMap (1)'!$A:$C,3,0)</f>
        <v>#REF!</v>
      </c>
      <c r="D90" s="1" t="e">
        <f>C90/VLOOKUP(A90,'[5]geoMap (2)'!$A:$B,2,0)*VLOOKUP(A90,'[5]geoMap (2)'!$A:$C,3,0)</f>
        <v>#REF!</v>
      </c>
      <c r="E90" s="1" t="e">
        <f>D90/VLOOKUP(A90,'[6]geoMap (3)'!$A:$B,2,0)*VLOOKUP(A90,'[6]geoMap (3)'!$A:$C,3,0)</f>
        <v>#REF!</v>
      </c>
      <c r="F90" s="1" t="e">
        <f>E90/VLOOKUP(A90,'[7]geoMap (4)'!$A:$B,2,0)*VLOOKUP(A90,'[7]geoMap (4)'!$A:$C,3,0)</f>
        <v>#REF!</v>
      </c>
      <c r="G90" s="1" t="e">
        <f>F90/VLOOKUP(A90,'[8]geoMap (5)'!$A:$B,2,0)*VLOOKUP(A90,'[8]geoMap (5)'!$A:$C,3,0)</f>
        <v>#REF!</v>
      </c>
      <c r="H90" s="1" t="e">
        <f>G90/VLOOKUP(A90,'[9]geoMap (6)'!$A:$B,2,0)*VLOOKUP(A90,'[9]geoMap (6)'!$A:$C,3,0)</f>
        <v>#REF!</v>
      </c>
      <c r="I90" s="1" t="e">
        <f>H90/VLOOKUP(A90,'[10]geoMap (7)'!$A:$B,2,0)*VLOOKUP(A90,'[10]geoMap (7)'!$A:$C,3,0)</f>
        <v>#REF!</v>
      </c>
      <c r="J90" s="1" t="e">
        <f>I90/VLOOKUP(A90,'[11]geoMap (8)'!$A:$B,2,0)*VLOOKUP(A90,'[11]geoMap (8)'!$A:$C,3,0)</f>
        <v>#REF!</v>
      </c>
      <c r="K90" s="1" t="e">
        <f>J90/VLOOKUP(A90,'[12]geoMap (9)'!$A:$B,2,0)*VLOOKUP(A90,'[12]geoMap (9)'!$A:$C,3,0)</f>
        <v>#REF!</v>
      </c>
      <c r="L90" s="1" t="e">
        <f>K90/VLOOKUP(A90,'[13]geoMap (10)'!$A:$B,2,0)*VLOOKUP(A90,'[13]geoMap (10)'!$A:$C,3,0)</f>
        <v>#REF!</v>
      </c>
      <c r="M90" s="1" t="e">
        <f>L90/VLOOKUP(A90,'[14]geoMap (11)'!$A:$B,2,0)*VLOOKUP(A90,'[14]geoMap (11)'!$A:$C,3,0)</f>
        <v>#REF!</v>
      </c>
      <c r="N90" s="1" t="e">
        <f>M90/VLOOKUP(A90,'[15]geoMap (12)'!$A:$B,2,0)*VLOOKUP(A90,'[15]geoMap (12)'!$A:$C,3,0)</f>
        <v>#REF!</v>
      </c>
      <c r="O90" s="1" t="e">
        <f>N90/VLOOKUP(A90,'[16]geoMap (13)'!$A:$B,2,0)*VLOOKUP(A90,'[16]geoMap (13)'!$A:$C,3,0)</f>
        <v>#REF!</v>
      </c>
      <c r="P90" s="1" t="e">
        <f>O90/VLOOKUP(A90,'[17]geoMap (14)'!$A:$B,2,0)*VLOOKUP(A90,'[17]geoMap (14)'!$A:$C,3,0)</f>
        <v>#REF!</v>
      </c>
      <c r="Q90" s="1" t="e">
        <f>P90/VLOOKUP(A90,'[18]geoMap (15)'!$A:$B,2,0)*VLOOKUP(A90,'[18]geoMap (15)'!$A:$C,3,0)</f>
        <v>#REF!</v>
      </c>
      <c r="R90" s="1" t="e">
        <f>Q90/VLOOKUP(A90,'[19]geoMap (16)'!$A:$B,2,0)*VLOOKUP(A90,'[19]geoMap (16)'!$A:$C,3,0)</f>
        <v>#REF!</v>
      </c>
      <c r="S90" s="1" t="e">
        <f>R90/VLOOKUP(A90,'[20]geoMap (17)'!$A:$B,2,0)*VLOOKUP(A90,'[20]geoMap (17)'!$A:$C,3,0)</f>
        <v>#REF!</v>
      </c>
      <c r="T90" s="1" t="e">
        <f>S90/VLOOKUP(A90,'[21]geoMap (18)'!$A:$B,2,0)*VLOOKUP(A90,'[21]geoMap (18)'!$A:$C,3,0)</f>
        <v>#REF!</v>
      </c>
      <c r="U90" s="1" t="e">
        <f>T90/VLOOKUP(A90,'[22]geoMap (19)'!$A:$B,2,0)*VLOOKUP(A90,'[22]geoMap (19)'!$A:$C,3,0)</f>
        <v>#REF!</v>
      </c>
      <c r="V90" s="1" t="e">
        <f>U90/VLOOKUP(A90,'[23]geoMap (20)'!$A:$B,2,0)*VLOOKUP(A90,'[23]geoMap (20)'!$A:$C,3,0)</f>
        <v>#REF!</v>
      </c>
      <c r="W90" s="1" t="e">
        <f>V90/VLOOKUP(A90,'[24]geoMap (21)'!$A:$B,2,0)*VLOOKUP(A90,'[24]geoMap (21)'!$A:$C,3,0)</f>
        <v>#REF!</v>
      </c>
      <c r="X90" s="1" t="e">
        <f>W90/VLOOKUP(A90,'[25]geoMap (22)'!$A:$B,2,0)*VLOOKUP(A90,'[25]geoMap (22)'!$A:$C,3,0)</f>
        <v>#REF!</v>
      </c>
      <c r="Y90" s="1" t="e">
        <f>X90/VLOOKUP(A90,'[26]geoMap (23)'!$A:$B,2,0)*VLOOKUP(A90,'[26]geoMap (23)'!$A:$C,3,0)</f>
        <v>#REF!</v>
      </c>
      <c r="Z90" s="1" t="e">
        <f>Y90/VLOOKUP(A90,'[27]geoMap (24)'!$A:$B,2,0)*VLOOKUP(A90,'[27]geoMap (24)'!$A:$C,3,0)</f>
        <v>#REF!</v>
      </c>
      <c r="AA90" s="1" t="e">
        <f>Z90/VLOOKUP(A90,'[28]geoMap (25)'!$A:$B,2,0)*VLOOKUP(A90,'[28]geoMap (25)'!$A:$C,3,0)</f>
        <v>#REF!</v>
      </c>
      <c r="AB90" s="1" t="e">
        <f>AA90*VLOOKUP(A90,'[29]geoMap (26)'!$A:$B,2,0)*VLOOKUP(A90,'[29]geoMap (26)'!$A:$C,3,0)</f>
        <v>#REF!</v>
      </c>
      <c r="AC90" s="1" t="e">
        <f>AB90/VLOOKUP(A90,'[30]geoMap (27)'!$A:$B,2,0)*VLOOKUP(A90,'[30]geoMap (27)'!$A:$C,3,0)</f>
        <v>#REF!</v>
      </c>
      <c r="AD90" s="1" t="e">
        <f>AC90/VLOOKUP(A90,'[31]geoMap (28)'!$A:$B,2,0)*VLOOKUP(A90,'[31]geoMap (28)'!$A:$C,3,0)</f>
        <v>#REF!</v>
      </c>
      <c r="AE90" s="1" t="e">
        <f>AD90/VLOOKUP(A90,'[32]geoMap (29)'!$A:$B,2,0)*VLOOKUP(A90,'[32]geoMap (29)'!$A:$C,3,0)</f>
        <v>#REF!</v>
      </c>
      <c r="AF90" s="1" t="e">
        <f>AE90/VLOOKUP(A90,'[33]geoMap (30)'!$A:$B,2,0)*VLOOKUP(A90,'[33]geoMap (30)'!$A:$C,3,0)</f>
        <v>#REF!</v>
      </c>
      <c r="AG90" s="1" t="e">
        <f>AF90/VLOOKUP(A90,'[34]geoMap (31)'!$A:$B,2,0)*VLOOKUP(A90,'[34]geoMap (31)'!$A:$C,3,0)</f>
        <v>#REF!</v>
      </c>
      <c r="AH90" s="1" t="e">
        <f>AG90/VLOOKUP(A90,'[35]geoMap (32)'!$A:$B,2,0)*VLOOKUP(A90,'[35]geoMap (32)'!$A:$C,3,0)</f>
        <v>#REF!</v>
      </c>
      <c r="AI90" s="1" t="e">
        <f>AH90/VLOOKUP(A90,'[36]geoMap (33)'!$A:$B,2,0)*VLOOKUP(A90,'[36]geoMap (33)'!$A:$C,3,0)</f>
        <v>#REF!</v>
      </c>
      <c r="AJ90" s="1" t="e">
        <f>AI90/VLOOKUP(A90,'[37]geoMap (34)'!$A:$B,2,0)*VLOOKUP(A90,'[37]geoMap (34)'!$A:$C,3,0)</f>
        <v>#REF!</v>
      </c>
      <c r="AK90" s="1" t="e">
        <f>AJ90/VLOOKUP(A90,'[38]geoMap (35)'!$A:$B,2,0)*VLOOKUP(A90,'[38]geoMap (35)'!$A:$C,3,0)</f>
        <v>#REF!</v>
      </c>
      <c r="AL90" s="1" t="e">
        <f>AK90/VLOOKUP(A90,'[39]geoMap (36)'!$A:$B,2,0)*VLOOKUP(A90,'[39]geoMap (36)'!$A:$C,3,0)</f>
        <v>#REF!</v>
      </c>
      <c r="AM90" s="1" t="e">
        <f>AL90/VLOOKUP(A90,'[40]geoMap (37)'!$A:$B,2,0)*VLOOKUP(A90,'[40]geoMap (37)'!$A:$C,3,0)</f>
        <v>#REF!</v>
      </c>
      <c r="AN90" s="1" t="e">
        <f>AM90/VLOOKUP(A90,'[41]geoMap (38)'!$A:$B,2,0)*VLOOKUP(A90,'[41]geoMap (38)'!$A:$C,3,0)</f>
        <v>#REF!</v>
      </c>
      <c r="AO90" s="1" t="e">
        <f>AN90/VLOOKUP(A90,'[42]geoMap (39)'!$A:$B,2,0)*VLOOKUP(A90,'[42]geoMap (39)'!$A:$C,3,0)</f>
        <v>#REF!</v>
      </c>
      <c r="AP90" s="1" t="e">
        <f>AO90/VLOOKUP(A90,'[43]geoMap (40)'!$A:$B,2,0)*VLOOKUP(A90,'[43]geoMap (40)'!$A:$C,3,0)</f>
        <v>#REF!</v>
      </c>
      <c r="AQ90" s="1" t="e">
        <f>AP90/VLOOKUP(A90,'[44]geoMap (41)'!$A:$B,2,0)*VLOOKUP(A90,'[44]geoMap (41)'!$A:$C,3,0)</f>
        <v>#REF!</v>
      </c>
      <c r="AR90" s="1" t="e">
        <f>AQ90/VLOOKUP(A90,'[45]geoMap (42)'!$A:$B,2,0)*VLOOKUP(A90,'[45]geoMap (42)'!$A:$C,3,0)</f>
        <v>#REF!</v>
      </c>
      <c r="AS90" s="1" t="e">
        <f>AR90/VLOOKUP(A90,'[46]geoMap (43)'!$A:$B,2,0)*VLOOKUP(A90,'[46]geoMap (43)'!$A:$C,3,0)</f>
        <v>#REF!</v>
      </c>
      <c r="AT90" s="1" t="e">
        <f>AS90/VLOOKUP(A90,'[47]geoMap (44)'!$A:$B,2,0)*VLOOKUP(A90,'[47]geoMap (44)'!$A:$C,3,0)</f>
        <v>#REF!</v>
      </c>
      <c r="AU90" s="1" t="e">
        <f>AT90/VLOOKUP(A90,'[48]geoMap (45)'!$A:$B,2,0)*VLOOKUP(A90,'[48]geoMap (45)'!$A:$C,3,0)</f>
        <v>#REF!</v>
      </c>
      <c r="AV90" s="1" t="e">
        <f>AU90/VLOOKUP(A90,'[49]geoMap (46)'!$A:$B,2,0)*VLOOKUP(A90,'[49]geoMap (46)'!$A:$C,3,0)</f>
        <v>#REF!</v>
      </c>
      <c r="AW90" s="1" t="e">
        <f>AV90/VLOOKUP(A90,'[50]geoMap (47)'!$A:$B,2,0)*VLOOKUP(A90,'[50]geoMap (47)'!$A:$C,3,0)</f>
        <v>#REF!</v>
      </c>
      <c r="AX90" s="4" t="e">
        <f>AW90/VLOOKUP(A90,'[51]geoMap (48)'!$A:$B,2,0)*VLOOKUP(A90,'[51]geoMap (48)'!$A:$C,3,0)</f>
        <v>#REF!</v>
      </c>
      <c r="AY90" s="1" t="e">
        <f>AX90/VLOOKUP(A90,'[52]geoMap (49)'!$A:$B,2,0)*VLOOKUP(A90,'[52]geoMap (49)'!$A:$C,3,0)</f>
        <v>#REF!</v>
      </c>
      <c r="AZ90" s="4" t="e">
        <f>AY90/VLOOKUP(A90,'[53]geoMap (50)'!$A:$B,2,0)*VLOOKUP(A90,'[53]geoMap (50)'!$A:$C,3,0)</f>
        <v>#REF!</v>
      </c>
      <c r="BA90" s="1" t="e">
        <f>AZ90/VLOOKUP(A90,'[54]geoMap (51)'!$A:$B,2,0)*VLOOKUP(A90,'[54]geoMap (51)'!$A:$C,3,0)</f>
        <v>#REF!</v>
      </c>
      <c r="BB90" s="4" t="e">
        <f>BA90/VLOOKUP(A90,'[55]geoMap (52)'!$A:$B,2,0)*VLOOKUP(A90,'[55]geoMap (52)'!$A:$C,3,0)</f>
        <v>#REF!</v>
      </c>
      <c r="BC90" s="1" t="e">
        <f>BB90/VLOOKUP(A90,'[56]geoMap (53)'!$A:$B,2,0)*VLOOKUP(A90,'[56]geoMap (53)'!$A:$C,3,0)</f>
        <v>#REF!</v>
      </c>
      <c r="BD90" s="4" t="e">
        <f>BC90/VLOOKUP(A90,'[57]geoMap (54)'!$A:$B,2,0)*VLOOKUP(A90,'[57]geoMap (54)'!$A:$C,3,0)</f>
        <v>#REF!</v>
      </c>
      <c r="BE90" s="1" t="e">
        <f>BD90/VLOOKUP(A90,'[58]geoMap (55)'!$A:$B,2,0)*VLOOKUP(A90,'[58]geoMap (55)'!$A:$C,3,0)</f>
        <v>#REF!</v>
      </c>
      <c r="BF90" s="4" t="e">
        <f>BE90/VLOOKUP(A90,'[59]geoMap (56)'!$A:$B,2,0)*VLOOKUP(A90,'[59]geoMap (56)'!$A:$C,3,0)</f>
        <v>#REF!</v>
      </c>
      <c r="BG90" s="1" t="e">
        <f>BF90/VLOOKUP(A90,'[60]geoMap (57)'!$A:$B,2,0)*VLOOKUP(A90,'[60]geoMap (57)'!$A:$C,3,0)</f>
        <v>#REF!</v>
      </c>
      <c r="BH90" s="4" t="e">
        <f>BG90/VLOOKUP(A90,'[61]geoMap (58)'!$A:$B,2,0)*VLOOKUP(A90,'[61]geoMap (58)'!$A:$C,3,0)</f>
        <v>#REF!</v>
      </c>
      <c r="BI90" s="1" t="e">
        <f>BH90/VLOOKUP(A90,'[62]geoMap (59)'!$A:$B,2,0)*VLOOKUP(A90,'[62]geoMap (59)'!$A:$C,3,0)</f>
        <v>#REF!</v>
      </c>
      <c r="BJ90" s="4" t="e">
        <f>BI90/VLOOKUP(A90,'[63]geoMap (60)'!$A:$B,2,0)*VLOOKUP(A90,'[63]geoMap (60)'!$A:$C,3,0)</f>
        <v>#REF!</v>
      </c>
      <c r="BK90" s="1" t="e">
        <f>BJ90/VLOOKUP(A90,'[64]geoMap (61)'!$A:$B,2,0)*VLOOKUP(A90,'[64]geoMap (61)'!$A:$C,3,0)</f>
        <v>#REF!</v>
      </c>
      <c r="BL90" s="4" t="e">
        <f>BK90/VLOOKUP(A90,'[65]geoMap (62)'!$A:$B,2,0)*VLOOKUP(A90,'[65]geoMap (62)'!$A:$C,3,0)</f>
        <v>#REF!</v>
      </c>
      <c r="BM90" s="1" t="e">
        <f>BL90/VLOOKUP(A90,'[66]geoMap (63)'!$A:$B,2,0)*VLOOKUP(A90,'[66]geoMap (63)'!$A:$C,3,0)</f>
        <v>#REF!</v>
      </c>
      <c r="BN90" s="4" t="e">
        <f>BM90/VLOOKUP(A90,'[67]geoMap (64)'!$A:$B,2,0)*VLOOKUP(A90,'[67]geoMap (64)'!$A:$C,3,0)</f>
        <v>#REF!</v>
      </c>
      <c r="BO90" s="1" t="e">
        <f>BN90/VLOOKUP(A90,'[68]geoMap (65)'!$A:$B,2,0)*VLOOKUP(A90,'[68]geoMap (65)'!$A:$C,3,0)</f>
        <v>#REF!</v>
      </c>
      <c r="BP90" s="4" t="e">
        <f>BO90/VLOOKUP(A90,'[69]geoMap (66)'!$A:$B,2,0)*VLOOKUP(A90,'[69]geoMap (66)'!$A:$C,3,0)</f>
        <v>#REF!</v>
      </c>
    </row>
    <row r="91" spans="1:68" x14ac:dyDescent="0.2">
      <c r="A91" s="1" t="s">
        <v>28</v>
      </c>
      <c r="B91" s="1" t="e">
        <f>VLOOKUP(A91,[3]geoMap!$A:$B,2,0)*Notes!$C$6</f>
        <v>#REF!</v>
      </c>
      <c r="C91" s="1" t="e">
        <f>B91/VLOOKUP(A91,'[4]geoMap (1)'!$A:$B,2,0)*VLOOKUP(A91,'[4]geoMap (1)'!$A:$C,3,0)</f>
        <v>#REF!</v>
      </c>
      <c r="D91" s="1" t="e">
        <f>C91/VLOOKUP(A91,'[5]geoMap (2)'!$A:$B,2,0)*VLOOKUP(A91,'[5]geoMap (2)'!$A:$C,3,0)</f>
        <v>#REF!</v>
      </c>
      <c r="E91" s="1" t="e">
        <f>D91/VLOOKUP(A91,'[6]geoMap (3)'!$A:$B,2,0)*VLOOKUP(A91,'[6]geoMap (3)'!$A:$C,3,0)</f>
        <v>#REF!</v>
      </c>
      <c r="F91" s="1" t="e">
        <f>E91/VLOOKUP(A91,'[7]geoMap (4)'!$A:$B,2,0)*VLOOKUP(A91,'[7]geoMap (4)'!$A:$C,3,0)</f>
        <v>#REF!</v>
      </c>
      <c r="G91" s="1" t="e">
        <f>F91/VLOOKUP(A91,'[8]geoMap (5)'!$A:$B,2,0)*VLOOKUP(A91,'[8]geoMap (5)'!$A:$C,3,0)</f>
        <v>#REF!</v>
      </c>
      <c r="H91" s="1" t="e">
        <f>G91/VLOOKUP(A91,'[9]geoMap (6)'!$A:$B,2,0)*VLOOKUP(A91,'[9]geoMap (6)'!$A:$C,3,0)</f>
        <v>#REF!</v>
      </c>
      <c r="I91" s="1" t="e">
        <f>H91/VLOOKUP(A91,'[10]geoMap (7)'!$A:$B,2,0)*VLOOKUP(A91,'[10]geoMap (7)'!$A:$C,3,0)</f>
        <v>#REF!</v>
      </c>
      <c r="J91" s="1" t="e">
        <f>I91/VLOOKUP(A91,'[11]geoMap (8)'!$A:$B,2,0)*VLOOKUP(A91,'[11]geoMap (8)'!$A:$C,3,0)</f>
        <v>#REF!</v>
      </c>
      <c r="K91" s="1" t="e">
        <f>J91/VLOOKUP(A91,'[12]geoMap (9)'!$A:$B,2,0)*VLOOKUP(A91,'[12]geoMap (9)'!$A:$C,3,0)</f>
        <v>#REF!</v>
      </c>
      <c r="L91" s="1" t="e">
        <f>K91/VLOOKUP(A91,'[13]geoMap (10)'!$A:$B,2,0)*VLOOKUP(A91,'[13]geoMap (10)'!$A:$C,3,0)</f>
        <v>#REF!</v>
      </c>
      <c r="M91" s="1" t="e">
        <f>L91/VLOOKUP(A91,'[14]geoMap (11)'!$A:$B,2,0)*VLOOKUP(A91,'[14]geoMap (11)'!$A:$C,3,0)</f>
        <v>#REF!</v>
      </c>
      <c r="N91" s="1" t="e">
        <f>M91/VLOOKUP(A91,'[15]geoMap (12)'!$A:$B,2,0)*VLOOKUP(A91,'[15]geoMap (12)'!$A:$C,3,0)</f>
        <v>#REF!</v>
      </c>
      <c r="O91" s="1" t="e">
        <f>N91/VLOOKUP(A91,'[16]geoMap (13)'!$A:$B,2,0)*VLOOKUP(A91,'[16]geoMap (13)'!$A:$C,3,0)</f>
        <v>#REF!</v>
      </c>
      <c r="P91" s="1" t="e">
        <f>O91/VLOOKUP(A91,'[17]geoMap (14)'!$A:$B,2,0)*VLOOKUP(A91,'[17]geoMap (14)'!$A:$C,3,0)</f>
        <v>#REF!</v>
      </c>
      <c r="Q91" s="1" t="e">
        <f>P91/VLOOKUP(A91,'[18]geoMap (15)'!$A:$B,2,0)*VLOOKUP(A91,'[18]geoMap (15)'!$A:$C,3,0)</f>
        <v>#REF!</v>
      </c>
      <c r="R91" s="1" t="e">
        <f>Q91/VLOOKUP(A91,'[19]geoMap (16)'!$A:$B,2,0)*VLOOKUP(A91,'[19]geoMap (16)'!$A:$C,3,0)</f>
        <v>#REF!</v>
      </c>
      <c r="S91" s="1" t="e">
        <f>R91/VLOOKUP(A91,'[20]geoMap (17)'!$A:$B,2,0)*VLOOKUP(A91,'[20]geoMap (17)'!$A:$C,3,0)</f>
        <v>#REF!</v>
      </c>
      <c r="T91" s="1" t="e">
        <f>S91/VLOOKUP(A91,'[21]geoMap (18)'!$A:$B,2,0)*VLOOKUP(A91,'[21]geoMap (18)'!$A:$C,3,0)</f>
        <v>#REF!</v>
      </c>
      <c r="U91" s="1" t="e">
        <f>T91/VLOOKUP(A91,'[22]geoMap (19)'!$A:$B,2,0)*VLOOKUP(A91,'[22]geoMap (19)'!$A:$C,3,0)</f>
        <v>#REF!</v>
      </c>
      <c r="V91" s="1" t="e">
        <f>U91/VLOOKUP(A91,'[23]geoMap (20)'!$A:$B,2,0)*VLOOKUP(A91,'[23]geoMap (20)'!$A:$C,3,0)</f>
        <v>#REF!</v>
      </c>
      <c r="W91" s="1" t="e">
        <f>V91/VLOOKUP(A91,'[24]geoMap (21)'!$A:$B,2,0)*VLOOKUP(A91,'[24]geoMap (21)'!$A:$C,3,0)</f>
        <v>#REF!</v>
      </c>
      <c r="X91" s="1" t="e">
        <f>W91/VLOOKUP(A91,'[25]geoMap (22)'!$A:$B,2,0)*VLOOKUP(A91,'[25]geoMap (22)'!$A:$C,3,0)</f>
        <v>#REF!</v>
      </c>
      <c r="Y91" s="1" t="e">
        <f>X91/VLOOKUP(A91,'[26]geoMap (23)'!$A:$B,2,0)*VLOOKUP(A91,'[26]geoMap (23)'!$A:$C,3,0)</f>
        <v>#REF!</v>
      </c>
      <c r="Z91" s="1" t="e">
        <f>Y91/VLOOKUP(A91,'[27]geoMap (24)'!$A:$B,2,0)*VLOOKUP(A91,'[27]geoMap (24)'!$A:$C,3,0)</f>
        <v>#REF!</v>
      </c>
      <c r="AA91" s="1" t="e">
        <f>Z91/VLOOKUP(A91,'[28]geoMap (25)'!$A:$B,2,0)*VLOOKUP(A91,'[28]geoMap (25)'!$A:$C,3,0)</f>
        <v>#REF!</v>
      </c>
      <c r="AB91" s="1" t="e">
        <f>AA91*VLOOKUP(A91,'[29]geoMap (26)'!$A:$B,2,0)*VLOOKUP(A91,'[29]geoMap (26)'!$A:$C,3,0)</f>
        <v>#REF!</v>
      </c>
      <c r="AC91" s="1" t="e">
        <f>AB91/VLOOKUP(A91,'[30]geoMap (27)'!$A:$B,2,0)*VLOOKUP(A91,'[30]geoMap (27)'!$A:$C,3,0)</f>
        <v>#REF!</v>
      </c>
      <c r="AD91" s="1" t="e">
        <f>AC91/VLOOKUP(A91,'[31]geoMap (28)'!$A:$B,2,0)*VLOOKUP(A91,'[31]geoMap (28)'!$A:$C,3,0)</f>
        <v>#REF!</v>
      </c>
      <c r="AE91" s="1" t="e">
        <f>AD91/VLOOKUP(A91,'[32]geoMap (29)'!$A:$B,2,0)*VLOOKUP(A91,'[32]geoMap (29)'!$A:$C,3,0)</f>
        <v>#REF!</v>
      </c>
      <c r="AF91" s="1" t="e">
        <f>AE91/VLOOKUP(A91,'[33]geoMap (30)'!$A:$B,2,0)*VLOOKUP(A91,'[33]geoMap (30)'!$A:$C,3,0)</f>
        <v>#REF!</v>
      </c>
      <c r="AG91" s="1" t="e">
        <f>AF91/VLOOKUP(A91,'[34]geoMap (31)'!$A:$B,2,0)*VLOOKUP(A91,'[34]geoMap (31)'!$A:$C,3,0)</f>
        <v>#REF!</v>
      </c>
      <c r="AH91" s="1" t="e">
        <f>AG91/VLOOKUP(A91,'[35]geoMap (32)'!$A:$B,2,0)*VLOOKUP(A91,'[35]geoMap (32)'!$A:$C,3,0)</f>
        <v>#REF!</v>
      </c>
      <c r="AI91" s="1" t="e">
        <f>AH91/VLOOKUP(A91,'[36]geoMap (33)'!$A:$B,2,0)*VLOOKUP(A91,'[36]geoMap (33)'!$A:$C,3,0)</f>
        <v>#REF!</v>
      </c>
      <c r="AJ91" s="1" t="e">
        <f>AI91/VLOOKUP(A91,'[37]geoMap (34)'!$A:$B,2,0)*VLOOKUP(A91,'[37]geoMap (34)'!$A:$C,3,0)</f>
        <v>#REF!</v>
      </c>
      <c r="AK91" s="1" t="e">
        <f>AJ91/VLOOKUP(A91,'[38]geoMap (35)'!$A:$B,2,0)*VLOOKUP(A91,'[38]geoMap (35)'!$A:$C,3,0)</f>
        <v>#REF!</v>
      </c>
      <c r="AL91" s="1" t="e">
        <f>AK91/VLOOKUP(A91,'[39]geoMap (36)'!$A:$B,2,0)*VLOOKUP(A91,'[39]geoMap (36)'!$A:$C,3,0)</f>
        <v>#REF!</v>
      </c>
      <c r="AM91" s="1" t="e">
        <f>AL91/VLOOKUP(A91,'[40]geoMap (37)'!$A:$B,2,0)*VLOOKUP(A91,'[40]geoMap (37)'!$A:$C,3,0)</f>
        <v>#REF!</v>
      </c>
      <c r="AN91" s="1" t="e">
        <f>AM91/VLOOKUP(A91,'[41]geoMap (38)'!$A:$B,2,0)*VLOOKUP(A91,'[41]geoMap (38)'!$A:$C,3,0)</f>
        <v>#REF!</v>
      </c>
      <c r="AO91" s="1" t="e">
        <f>AN91/VLOOKUP(A91,'[42]geoMap (39)'!$A:$B,2,0)*VLOOKUP(A91,'[42]geoMap (39)'!$A:$C,3,0)</f>
        <v>#REF!</v>
      </c>
      <c r="AP91" s="1" t="e">
        <f>AO91/VLOOKUP(A91,'[43]geoMap (40)'!$A:$B,2,0)*VLOOKUP(A91,'[43]geoMap (40)'!$A:$C,3,0)</f>
        <v>#REF!</v>
      </c>
      <c r="AQ91" s="1" t="e">
        <f>AP91/VLOOKUP(A91,'[44]geoMap (41)'!$A:$B,2,0)*VLOOKUP(A91,'[44]geoMap (41)'!$A:$C,3,0)</f>
        <v>#REF!</v>
      </c>
      <c r="AR91" s="1" t="e">
        <f>AQ91/VLOOKUP(A91,'[45]geoMap (42)'!$A:$B,2,0)*VLOOKUP(A91,'[45]geoMap (42)'!$A:$C,3,0)</f>
        <v>#REF!</v>
      </c>
      <c r="AS91" s="1" t="e">
        <f>AR91/VLOOKUP(A91,'[46]geoMap (43)'!$A:$B,2,0)*VLOOKUP(A91,'[46]geoMap (43)'!$A:$C,3,0)</f>
        <v>#REF!</v>
      </c>
      <c r="AT91" s="1" t="e">
        <f>AS91/VLOOKUP(A91,'[47]geoMap (44)'!$A:$B,2,0)*VLOOKUP(A91,'[47]geoMap (44)'!$A:$C,3,0)</f>
        <v>#REF!</v>
      </c>
      <c r="AU91" s="1" t="e">
        <f>AT91/VLOOKUP(A91,'[48]geoMap (45)'!$A:$B,2,0)*VLOOKUP(A91,'[48]geoMap (45)'!$A:$C,3,0)</f>
        <v>#REF!</v>
      </c>
      <c r="AV91" s="1" t="e">
        <f>AU91/VLOOKUP(A91,'[49]geoMap (46)'!$A:$B,2,0)*VLOOKUP(A91,'[49]geoMap (46)'!$A:$C,3,0)</f>
        <v>#REF!</v>
      </c>
      <c r="AW91" s="1" t="e">
        <f>AV91/VLOOKUP(A91,'[50]geoMap (47)'!$A:$B,2,0)*VLOOKUP(A91,'[50]geoMap (47)'!$A:$C,3,0)</f>
        <v>#REF!</v>
      </c>
      <c r="AX91" s="4" t="e">
        <f>AW91/VLOOKUP(A91,'[51]geoMap (48)'!$A:$B,2,0)*VLOOKUP(A91,'[51]geoMap (48)'!$A:$C,3,0)</f>
        <v>#REF!</v>
      </c>
      <c r="AY91" s="1" t="e">
        <f>AX91/VLOOKUP(A91,'[52]geoMap (49)'!$A:$B,2,0)*VLOOKUP(A91,'[52]geoMap (49)'!$A:$C,3,0)</f>
        <v>#REF!</v>
      </c>
      <c r="AZ91" s="4" t="e">
        <f>AY91/VLOOKUP(A91,'[53]geoMap (50)'!$A:$B,2,0)*VLOOKUP(A91,'[53]geoMap (50)'!$A:$C,3,0)</f>
        <v>#REF!</v>
      </c>
      <c r="BA91" s="1" t="e">
        <f>AZ91/VLOOKUP(A91,'[54]geoMap (51)'!$A:$B,2,0)*VLOOKUP(A91,'[54]geoMap (51)'!$A:$C,3,0)</f>
        <v>#REF!</v>
      </c>
      <c r="BB91" s="4" t="e">
        <f>BA91/VLOOKUP(A91,'[55]geoMap (52)'!$A:$B,2,0)*VLOOKUP(A91,'[55]geoMap (52)'!$A:$C,3,0)</f>
        <v>#REF!</v>
      </c>
      <c r="BC91" s="1" t="e">
        <f>BB91/VLOOKUP(A91,'[56]geoMap (53)'!$A:$B,2,0)*VLOOKUP(A91,'[56]geoMap (53)'!$A:$C,3,0)</f>
        <v>#REF!</v>
      </c>
      <c r="BD91" s="4" t="e">
        <f>BC91/VLOOKUP(A91,'[57]geoMap (54)'!$A:$B,2,0)*VLOOKUP(A91,'[57]geoMap (54)'!$A:$C,3,0)</f>
        <v>#REF!</v>
      </c>
      <c r="BE91" s="1" t="e">
        <f>BD91/VLOOKUP(A91,'[58]geoMap (55)'!$A:$B,2,0)*VLOOKUP(A91,'[58]geoMap (55)'!$A:$C,3,0)</f>
        <v>#REF!</v>
      </c>
      <c r="BF91" s="4" t="e">
        <f>BE91/VLOOKUP(A91,'[59]geoMap (56)'!$A:$B,2,0)*VLOOKUP(A91,'[59]geoMap (56)'!$A:$C,3,0)</f>
        <v>#REF!</v>
      </c>
      <c r="BG91" s="1" t="e">
        <f>BF91/VLOOKUP(A91,'[60]geoMap (57)'!$A:$B,2,0)*VLOOKUP(A91,'[60]geoMap (57)'!$A:$C,3,0)</f>
        <v>#REF!</v>
      </c>
      <c r="BH91" s="4" t="e">
        <f>BG91/VLOOKUP(A91,'[61]geoMap (58)'!$A:$B,2,0)*VLOOKUP(A91,'[61]geoMap (58)'!$A:$C,3,0)</f>
        <v>#REF!</v>
      </c>
      <c r="BI91" s="1" t="e">
        <f>BH91/VLOOKUP(A91,'[62]geoMap (59)'!$A:$B,2,0)*VLOOKUP(A91,'[62]geoMap (59)'!$A:$C,3,0)</f>
        <v>#REF!</v>
      </c>
      <c r="BJ91" s="4" t="e">
        <f>BI91/VLOOKUP(A91,'[63]geoMap (60)'!$A:$B,2,0)*VLOOKUP(A91,'[63]geoMap (60)'!$A:$C,3,0)</f>
        <v>#REF!</v>
      </c>
      <c r="BK91" s="1" t="e">
        <f>BJ91/VLOOKUP(A91,'[64]geoMap (61)'!$A:$B,2,0)*VLOOKUP(A91,'[64]geoMap (61)'!$A:$C,3,0)</f>
        <v>#REF!</v>
      </c>
      <c r="BL91" s="4" t="e">
        <f>BK91/VLOOKUP(A91,'[65]geoMap (62)'!$A:$B,2,0)*VLOOKUP(A91,'[65]geoMap (62)'!$A:$C,3,0)</f>
        <v>#REF!</v>
      </c>
      <c r="BM91" s="1" t="e">
        <f>BL91/VLOOKUP(A91,'[66]geoMap (63)'!$A:$B,2,0)*VLOOKUP(A91,'[66]geoMap (63)'!$A:$C,3,0)</f>
        <v>#REF!</v>
      </c>
      <c r="BN91" s="4" t="e">
        <f>BM91/VLOOKUP(A91,'[67]geoMap (64)'!$A:$B,2,0)*VLOOKUP(A91,'[67]geoMap (64)'!$A:$C,3,0)</f>
        <v>#REF!</v>
      </c>
      <c r="BO91" s="1" t="e">
        <f>BN91/VLOOKUP(A91,'[68]geoMap (65)'!$A:$B,2,0)*VLOOKUP(A91,'[68]geoMap (65)'!$A:$C,3,0)</f>
        <v>#REF!</v>
      </c>
      <c r="BP91" s="4" t="e">
        <f>BO91/VLOOKUP(A91,'[69]geoMap (66)'!$A:$B,2,0)*VLOOKUP(A91,'[69]geoMap (66)'!$A:$C,3,0)</f>
        <v>#REF!</v>
      </c>
    </row>
    <row r="92" spans="1:68" x14ac:dyDescent="0.2">
      <c r="A92" s="1" t="s">
        <v>29</v>
      </c>
      <c r="B92" s="1" t="e">
        <f>VLOOKUP(A92,[3]geoMap!$A:$B,2,0)*Notes!$C$6</f>
        <v>#REF!</v>
      </c>
      <c r="C92" s="1" t="e">
        <f>B92/VLOOKUP(A92,'[4]geoMap (1)'!$A:$B,2,0)*VLOOKUP(A92,'[4]geoMap (1)'!$A:$C,3,0)</f>
        <v>#REF!</v>
      </c>
      <c r="D92" s="1" t="e">
        <f>C92/VLOOKUP(A92,'[5]geoMap (2)'!$A:$B,2,0)*VLOOKUP(A92,'[5]geoMap (2)'!$A:$C,3,0)</f>
        <v>#REF!</v>
      </c>
      <c r="E92" s="1" t="e">
        <f>D92/VLOOKUP(A92,'[6]geoMap (3)'!$A:$B,2,0)*VLOOKUP(A92,'[6]geoMap (3)'!$A:$C,3,0)</f>
        <v>#REF!</v>
      </c>
      <c r="F92" s="1" t="e">
        <f>E92/VLOOKUP(A92,'[7]geoMap (4)'!$A:$B,2,0)*VLOOKUP(A92,'[7]geoMap (4)'!$A:$C,3,0)</f>
        <v>#REF!</v>
      </c>
      <c r="G92" s="1" t="e">
        <f>F92/VLOOKUP(A92,'[8]geoMap (5)'!$A:$B,2,0)*VLOOKUP(A92,'[8]geoMap (5)'!$A:$C,3,0)</f>
        <v>#REF!</v>
      </c>
      <c r="H92" s="1" t="e">
        <f>G92/VLOOKUP(A92,'[9]geoMap (6)'!$A:$B,2,0)*VLOOKUP(A92,'[9]geoMap (6)'!$A:$C,3,0)</f>
        <v>#REF!</v>
      </c>
      <c r="I92" s="1" t="e">
        <f>H92/VLOOKUP(A92,'[10]geoMap (7)'!$A:$B,2,0)*VLOOKUP(A92,'[10]geoMap (7)'!$A:$C,3,0)</f>
        <v>#REF!</v>
      </c>
      <c r="J92" s="1" t="e">
        <f>I92/VLOOKUP(A92,'[11]geoMap (8)'!$A:$B,2,0)*VLOOKUP(A92,'[11]geoMap (8)'!$A:$C,3,0)</f>
        <v>#REF!</v>
      </c>
      <c r="K92" s="1" t="e">
        <f>J92/VLOOKUP(A92,'[12]geoMap (9)'!$A:$B,2,0)*VLOOKUP(A92,'[12]geoMap (9)'!$A:$C,3,0)</f>
        <v>#REF!</v>
      </c>
      <c r="L92" s="1" t="e">
        <f>K92/VLOOKUP(A92,'[13]geoMap (10)'!$A:$B,2,0)*VLOOKUP(A92,'[13]geoMap (10)'!$A:$C,3,0)</f>
        <v>#REF!</v>
      </c>
      <c r="M92" s="1" t="e">
        <f>L92/VLOOKUP(A92,'[14]geoMap (11)'!$A:$B,2,0)*VLOOKUP(A92,'[14]geoMap (11)'!$A:$C,3,0)</f>
        <v>#REF!</v>
      </c>
      <c r="N92" s="1" t="e">
        <f>M92/VLOOKUP(A92,'[15]geoMap (12)'!$A:$B,2,0)*VLOOKUP(A92,'[15]geoMap (12)'!$A:$C,3,0)</f>
        <v>#REF!</v>
      </c>
      <c r="O92" s="1" t="e">
        <f>N92/VLOOKUP(A92,'[16]geoMap (13)'!$A:$B,2,0)*VLOOKUP(A92,'[16]geoMap (13)'!$A:$C,3,0)</f>
        <v>#REF!</v>
      </c>
      <c r="P92" s="1" t="e">
        <f>O92/VLOOKUP(A92,'[17]geoMap (14)'!$A:$B,2,0)*VLOOKUP(A92,'[17]geoMap (14)'!$A:$C,3,0)</f>
        <v>#REF!</v>
      </c>
      <c r="Q92" s="1" t="e">
        <f>P92/VLOOKUP(A92,'[18]geoMap (15)'!$A:$B,2,0)*VLOOKUP(A92,'[18]geoMap (15)'!$A:$C,3,0)</f>
        <v>#REF!</v>
      </c>
      <c r="R92" s="1" t="e">
        <f>Q92/VLOOKUP(A92,'[19]geoMap (16)'!$A:$B,2,0)*VLOOKUP(A92,'[19]geoMap (16)'!$A:$C,3,0)</f>
        <v>#REF!</v>
      </c>
      <c r="S92" s="1" t="e">
        <f>R92/VLOOKUP(A92,'[20]geoMap (17)'!$A:$B,2,0)*VLOOKUP(A92,'[20]geoMap (17)'!$A:$C,3,0)</f>
        <v>#REF!</v>
      </c>
      <c r="T92" s="1" t="e">
        <f>S92/VLOOKUP(A92,'[21]geoMap (18)'!$A:$B,2,0)*VLOOKUP(A92,'[21]geoMap (18)'!$A:$C,3,0)</f>
        <v>#REF!</v>
      </c>
      <c r="U92" s="1" t="e">
        <f>T92/VLOOKUP(A92,'[22]geoMap (19)'!$A:$B,2,0)*VLOOKUP(A92,'[22]geoMap (19)'!$A:$C,3,0)</f>
        <v>#REF!</v>
      </c>
      <c r="V92" s="1" t="e">
        <f>U92/VLOOKUP(A92,'[23]geoMap (20)'!$A:$B,2,0)*VLOOKUP(A92,'[23]geoMap (20)'!$A:$C,3,0)</f>
        <v>#REF!</v>
      </c>
      <c r="W92" s="1" t="e">
        <f>V92/VLOOKUP(A92,'[24]geoMap (21)'!$A:$B,2,0)*VLOOKUP(A92,'[24]geoMap (21)'!$A:$C,3,0)</f>
        <v>#REF!</v>
      </c>
      <c r="X92" s="1" t="e">
        <f>W92/VLOOKUP(A92,'[25]geoMap (22)'!$A:$B,2,0)*VLOOKUP(A92,'[25]geoMap (22)'!$A:$C,3,0)</f>
        <v>#REF!</v>
      </c>
      <c r="Y92" s="1" t="e">
        <f>X92/VLOOKUP(A92,'[26]geoMap (23)'!$A:$B,2,0)*VLOOKUP(A92,'[26]geoMap (23)'!$A:$C,3,0)</f>
        <v>#REF!</v>
      </c>
      <c r="Z92" s="1" t="e">
        <f>Y92/VLOOKUP(A92,'[27]geoMap (24)'!$A:$B,2,0)*VLOOKUP(A92,'[27]geoMap (24)'!$A:$C,3,0)</f>
        <v>#REF!</v>
      </c>
      <c r="AA92" s="1" t="e">
        <f>Z92/VLOOKUP(A92,'[28]geoMap (25)'!$A:$B,2,0)*VLOOKUP(A92,'[28]geoMap (25)'!$A:$C,3,0)</f>
        <v>#REF!</v>
      </c>
      <c r="AB92" s="1" t="e">
        <f>AA92*VLOOKUP(A92,'[29]geoMap (26)'!$A:$B,2,0)*VLOOKUP(A92,'[29]geoMap (26)'!$A:$C,3,0)</f>
        <v>#REF!</v>
      </c>
      <c r="AC92" s="1" t="e">
        <f>AB92/VLOOKUP(A92,'[30]geoMap (27)'!$A:$B,2,0)*VLOOKUP(A92,'[30]geoMap (27)'!$A:$C,3,0)</f>
        <v>#REF!</v>
      </c>
      <c r="AD92" s="1" t="e">
        <f>AC92/VLOOKUP(A92,'[31]geoMap (28)'!$A:$B,2,0)*VLOOKUP(A92,'[31]geoMap (28)'!$A:$C,3,0)</f>
        <v>#REF!</v>
      </c>
      <c r="AE92" s="1" t="e">
        <f>AD92/VLOOKUP(A92,'[32]geoMap (29)'!$A:$B,2,0)*VLOOKUP(A92,'[32]geoMap (29)'!$A:$C,3,0)</f>
        <v>#REF!</v>
      </c>
      <c r="AF92" s="1" t="e">
        <f>AE92/VLOOKUP(A92,'[33]geoMap (30)'!$A:$B,2,0)*VLOOKUP(A92,'[33]geoMap (30)'!$A:$C,3,0)</f>
        <v>#REF!</v>
      </c>
      <c r="AG92" s="1" t="e">
        <f>AF92/VLOOKUP(A92,'[34]geoMap (31)'!$A:$B,2,0)*VLOOKUP(A92,'[34]geoMap (31)'!$A:$C,3,0)</f>
        <v>#REF!</v>
      </c>
      <c r="AH92" s="1" t="e">
        <f>AG92/VLOOKUP(A92,'[35]geoMap (32)'!$A:$B,2,0)*VLOOKUP(A92,'[35]geoMap (32)'!$A:$C,3,0)</f>
        <v>#REF!</v>
      </c>
      <c r="AI92" s="1" t="e">
        <f>AH92/VLOOKUP(A92,'[36]geoMap (33)'!$A:$B,2,0)*VLOOKUP(A92,'[36]geoMap (33)'!$A:$C,3,0)</f>
        <v>#REF!</v>
      </c>
      <c r="AJ92" s="1" t="e">
        <f>AI92/VLOOKUP(A92,'[37]geoMap (34)'!$A:$B,2,0)*VLOOKUP(A92,'[37]geoMap (34)'!$A:$C,3,0)</f>
        <v>#REF!</v>
      </c>
      <c r="AK92" s="1" t="e">
        <f>AJ92/VLOOKUP(A92,'[38]geoMap (35)'!$A:$B,2,0)*VLOOKUP(A92,'[38]geoMap (35)'!$A:$C,3,0)</f>
        <v>#REF!</v>
      </c>
      <c r="AL92" s="1" t="e">
        <f>AK92/VLOOKUP(A92,'[39]geoMap (36)'!$A:$B,2,0)*VLOOKUP(A92,'[39]geoMap (36)'!$A:$C,3,0)</f>
        <v>#REF!</v>
      </c>
      <c r="AM92" s="1" t="e">
        <f>AL92/VLOOKUP(A92,'[40]geoMap (37)'!$A:$B,2,0)*VLOOKUP(A92,'[40]geoMap (37)'!$A:$C,3,0)</f>
        <v>#REF!</v>
      </c>
      <c r="AN92" s="1" t="e">
        <f>AM92/VLOOKUP(A92,'[41]geoMap (38)'!$A:$B,2,0)*VLOOKUP(A92,'[41]geoMap (38)'!$A:$C,3,0)</f>
        <v>#REF!</v>
      </c>
      <c r="AO92" s="1" t="e">
        <f>AN92/VLOOKUP(A92,'[42]geoMap (39)'!$A:$B,2,0)*VLOOKUP(A92,'[42]geoMap (39)'!$A:$C,3,0)</f>
        <v>#REF!</v>
      </c>
      <c r="AP92" s="1" t="e">
        <f>AO92/VLOOKUP(A92,'[43]geoMap (40)'!$A:$B,2,0)*VLOOKUP(A92,'[43]geoMap (40)'!$A:$C,3,0)</f>
        <v>#REF!</v>
      </c>
      <c r="AQ92" s="1" t="e">
        <f>AP92/VLOOKUP(A92,'[44]geoMap (41)'!$A:$B,2,0)*VLOOKUP(A92,'[44]geoMap (41)'!$A:$C,3,0)</f>
        <v>#REF!</v>
      </c>
      <c r="AR92" s="1" t="e">
        <f>AQ92/VLOOKUP(A92,'[45]geoMap (42)'!$A:$B,2,0)*VLOOKUP(A92,'[45]geoMap (42)'!$A:$C,3,0)</f>
        <v>#REF!</v>
      </c>
      <c r="AS92" s="1" t="e">
        <f>AR92/VLOOKUP(A92,'[46]geoMap (43)'!$A:$B,2,0)*VLOOKUP(A92,'[46]geoMap (43)'!$A:$C,3,0)</f>
        <v>#REF!</v>
      </c>
      <c r="AT92" s="1" t="e">
        <f>AS92/VLOOKUP(A92,'[47]geoMap (44)'!$A:$B,2,0)*VLOOKUP(A92,'[47]geoMap (44)'!$A:$C,3,0)</f>
        <v>#REF!</v>
      </c>
      <c r="AU92" s="1" t="e">
        <f>AT92/VLOOKUP(A92,'[48]geoMap (45)'!$A:$B,2,0)*VLOOKUP(A92,'[48]geoMap (45)'!$A:$C,3,0)</f>
        <v>#REF!</v>
      </c>
      <c r="AV92" s="1" t="e">
        <f>AU92/VLOOKUP(A92,'[49]geoMap (46)'!$A:$B,2,0)*VLOOKUP(A92,'[49]geoMap (46)'!$A:$C,3,0)</f>
        <v>#REF!</v>
      </c>
      <c r="AW92" s="1" t="e">
        <f>AV92/VLOOKUP(A92,'[50]geoMap (47)'!$A:$B,2,0)*VLOOKUP(A92,'[50]geoMap (47)'!$A:$C,3,0)</f>
        <v>#REF!</v>
      </c>
      <c r="AX92" s="4" t="e">
        <f>AW92/VLOOKUP(A92,'[51]geoMap (48)'!$A:$B,2,0)*VLOOKUP(A92,'[51]geoMap (48)'!$A:$C,3,0)</f>
        <v>#REF!</v>
      </c>
      <c r="AY92" s="1" t="e">
        <f>AX92/VLOOKUP(A92,'[52]geoMap (49)'!$A:$B,2,0)*VLOOKUP(A92,'[52]geoMap (49)'!$A:$C,3,0)</f>
        <v>#REF!</v>
      </c>
      <c r="AZ92" s="4" t="e">
        <f>AY92/VLOOKUP(A92,'[53]geoMap (50)'!$A:$B,2,0)*VLOOKUP(A92,'[53]geoMap (50)'!$A:$C,3,0)</f>
        <v>#REF!</v>
      </c>
      <c r="BA92" s="1" t="e">
        <f>AZ92/VLOOKUP(A92,'[54]geoMap (51)'!$A:$B,2,0)*VLOOKUP(A92,'[54]geoMap (51)'!$A:$C,3,0)</f>
        <v>#REF!</v>
      </c>
      <c r="BB92" s="4" t="e">
        <f>BA92/VLOOKUP(A92,'[55]geoMap (52)'!$A:$B,2,0)*VLOOKUP(A92,'[55]geoMap (52)'!$A:$C,3,0)</f>
        <v>#REF!</v>
      </c>
      <c r="BC92" s="1" t="e">
        <f>BB92/VLOOKUP(A92,'[56]geoMap (53)'!$A:$B,2,0)*VLOOKUP(A92,'[56]geoMap (53)'!$A:$C,3,0)</f>
        <v>#REF!</v>
      </c>
      <c r="BD92" s="4" t="e">
        <f>BC92/VLOOKUP(A92,'[57]geoMap (54)'!$A:$B,2,0)*VLOOKUP(A92,'[57]geoMap (54)'!$A:$C,3,0)</f>
        <v>#REF!</v>
      </c>
      <c r="BE92" s="1" t="e">
        <f>BD92/VLOOKUP(A92,'[58]geoMap (55)'!$A:$B,2,0)*VLOOKUP(A92,'[58]geoMap (55)'!$A:$C,3,0)</f>
        <v>#REF!</v>
      </c>
      <c r="BF92" s="4" t="e">
        <f>BE92/VLOOKUP(A92,'[59]geoMap (56)'!$A:$B,2,0)*VLOOKUP(A92,'[59]geoMap (56)'!$A:$C,3,0)</f>
        <v>#REF!</v>
      </c>
      <c r="BG92" s="1" t="e">
        <f>BF92/VLOOKUP(A92,'[60]geoMap (57)'!$A:$B,2,0)*VLOOKUP(A92,'[60]geoMap (57)'!$A:$C,3,0)</f>
        <v>#REF!</v>
      </c>
      <c r="BH92" s="4" t="e">
        <f>BG92/VLOOKUP(A92,'[61]geoMap (58)'!$A:$B,2,0)*VLOOKUP(A92,'[61]geoMap (58)'!$A:$C,3,0)</f>
        <v>#REF!</v>
      </c>
      <c r="BI92" s="1" t="e">
        <f>BH92/VLOOKUP(A92,'[62]geoMap (59)'!$A:$B,2,0)*VLOOKUP(A92,'[62]geoMap (59)'!$A:$C,3,0)</f>
        <v>#REF!</v>
      </c>
      <c r="BJ92" s="4" t="e">
        <f>BI92/VLOOKUP(A92,'[63]geoMap (60)'!$A:$B,2,0)*VLOOKUP(A92,'[63]geoMap (60)'!$A:$C,3,0)</f>
        <v>#REF!</v>
      </c>
      <c r="BK92" s="1" t="e">
        <f>BJ92/VLOOKUP(A92,'[64]geoMap (61)'!$A:$B,2,0)*VLOOKUP(A92,'[64]geoMap (61)'!$A:$C,3,0)</f>
        <v>#REF!</v>
      </c>
      <c r="BL92" s="4" t="e">
        <f>BK92/VLOOKUP(A92,'[65]geoMap (62)'!$A:$B,2,0)*VLOOKUP(A92,'[65]geoMap (62)'!$A:$C,3,0)</f>
        <v>#REF!</v>
      </c>
      <c r="BM92" s="1" t="e">
        <f>BL92/VLOOKUP(A92,'[66]geoMap (63)'!$A:$B,2,0)*VLOOKUP(A92,'[66]geoMap (63)'!$A:$C,3,0)</f>
        <v>#REF!</v>
      </c>
      <c r="BN92" s="4" t="e">
        <f>BM92/VLOOKUP(A92,'[67]geoMap (64)'!$A:$B,2,0)*VLOOKUP(A92,'[67]geoMap (64)'!$A:$C,3,0)</f>
        <v>#REF!</v>
      </c>
      <c r="BO92" s="1" t="e">
        <f>BN92/VLOOKUP(A92,'[68]geoMap (65)'!$A:$B,2,0)*VLOOKUP(A92,'[68]geoMap (65)'!$A:$C,3,0)</f>
        <v>#REF!</v>
      </c>
      <c r="BP92" s="4" t="e">
        <f>BO92/VLOOKUP(A92,'[69]geoMap (66)'!$A:$B,2,0)*VLOOKUP(A92,'[69]geoMap (66)'!$A:$C,3,0)</f>
        <v>#REF!</v>
      </c>
    </row>
    <row r="93" spans="1:68" x14ac:dyDescent="0.2">
      <c r="A93" s="1" t="s">
        <v>30</v>
      </c>
      <c r="B93" s="1" t="e">
        <f>VLOOKUP(A93,[3]geoMap!$A:$B,2,0)*Notes!$C$6</f>
        <v>#REF!</v>
      </c>
      <c r="C93" s="1" t="e">
        <f>B93/VLOOKUP(A93,'[4]geoMap (1)'!$A:$B,2,0)*VLOOKUP(A93,'[4]geoMap (1)'!$A:$C,3,0)</f>
        <v>#REF!</v>
      </c>
      <c r="D93" s="1" t="e">
        <f>C93/VLOOKUP(A93,'[5]geoMap (2)'!$A:$B,2,0)*VLOOKUP(A93,'[5]geoMap (2)'!$A:$C,3,0)</f>
        <v>#REF!</v>
      </c>
      <c r="E93" s="1" t="e">
        <f>D93/VLOOKUP(A93,'[6]geoMap (3)'!$A:$B,2,0)*VLOOKUP(A93,'[6]geoMap (3)'!$A:$C,3,0)</f>
        <v>#REF!</v>
      </c>
      <c r="F93" s="1" t="e">
        <f>E93/VLOOKUP(A93,'[7]geoMap (4)'!$A:$B,2,0)*VLOOKUP(A93,'[7]geoMap (4)'!$A:$C,3,0)</f>
        <v>#REF!</v>
      </c>
      <c r="G93" s="1" t="e">
        <f>F93/VLOOKUP(A93,'[8]geoMap (5)'!$A:$B,2,0)*VLOOKUP(A93,'[8]geoMap (5)'!$A:$C,3,0)</f>
        <v>#REF!</v>
      </c>
      <c r="H93" s="1" t="e">
        <f>G93/VLOOKUP(A93,'[9]geoMap (6)'!$A:$B,2,0)*VLOOKUP(A93,'[9]geoMap (6)'!$A:$C,3,0)</f>
        <v>#REF!</v>
      </c>
      <c r="I93" s="1" t="e">
        <f>H93/VLOOKUP(A93,'[10]geoMap (7)'!$A:$B,2,0)*VLOOKUP(A93,'[10]geoMap (7)'!$A:$C,3,0)</f>
        <v>#REF!</v>
      </c>
      <c r="J93" s="1" t="e">
        <f>I93/VLOOKUP(A93,'[11]geoMap (8)'!$A:$B,2,0)*VLOOKUP(A93,'[11]geoMap (8)'!$A:$C,3,0)</f>
        <v>#REF!</v>
      </c>
      <c r="K93" s="1" t="e">
        <f>J93/VLOOKUP(A93,'[12]geoMap (9)'!$A:$B,2,0)*VLOOKUP(A93,'[12]geoMap (9)'!$A:$C,3,0)</f>
        <v>#REF!</v>
      </c>
      <c r="L93" s="1" t="e">
        <f>K93/VLOOKUP(A93,'[13]geoMap (10)'!$A:$B,2,0)*VLOOKUP(A93,'[13]geoMap (10)'!$A:$C,3,0)</f>
        <v>#REF!</v>
      </c>
      <c r="M93" s="1" t="e">
        <f>L93/VLOOKUP(A93,'[14]geoMap (11)'!$A:$B,2,0)*VLOOKUP(A93,'[14]geoMap (11)'!$A:$C,3,0)</f>
        <v>#REF!</v>
      </c>
      <c r="N93" s="1" t="e">
        <f>M93/VLOOKUP(A93,'[15]geoMap (12)'!$A:$B,2,0)*VLOOKUP(A93,'[15]geoMap (12)'!$A:$C,3,0)</f>
        <v>#REF!</v>
      </c>
      <c r="O93" s="1" t="e">
        <f>N93/VLOOKUP(A93,'[16]geoMap (13)'!$A:$B,2,0)*VLOOKUP(A93,'[16]geoMap (13)'!$A:$C,3,0)</f>
        <v>#REF!</v>
      </c>
      <c r="P93" s="1" t="e">
        <f>O93/VLOOKUP(A93,'[17]geoMap (14)'!$A:$B,2,0)*VLOOKUP(A93,'[17]geoMap (14)'!$A:$C,3,0)</f>
        <v>#REF!</v>
      </c>
      <c r="Q93" s="1" t="e">
        <f>P93/VLOOKUP(A93,'[18]geoMap (15)'!$A:$B,2,0)*VLOOKUP(A93,'[18]geoMap (15)'!$A:$C,3,0)</f>
        <v>#REF!</v>
      </c>
      <c r="R93" s="1" t="e">
        <f>Q93/VLOOKUP(A93,'[19]geoMap (16)'!$A:$B,2,0)*VLOOKUP(A93,'[19]geoMap (16)'!$A:$C,3,0)</f>
        <v>#REF!</v>
      </c>
      <c r="S93" s="1" t="e">
        <f>R93/VLOOKUP(A93,'[20]geoMap (17)'!$A:$B,2,0)*VLOOKUP(A93,'[20]geoMap (17)'!$A:$C,3,0)</f>
        <v>#REF!</v>
      </c>
      <c r="T93" s="1" t="e">
        <f>S93/VLOOKUP(A93,'[21]geoMap (18)'!$A:$B,2,0)*VLOOKUP(A93,'[21]geoMap (18)'!$A:$C,3,0)</f>
        <v>#REF!</v>
      </c>
      <c r="U93" s="1" t="e">
        <f>T93/VLOOKUP(A93,'[22]geoMap (19)'!$A:$B,2,0)*VLOOKUP(A93,'[22]geoMap (19)'!$A:$C,3,0)</f>
        <v>#REF!</v>
      </c>
      <c r="V93" s="1" t="e">
        <f>U93/VLOOKUP(A93,'[23]geoMap (20)'!$A:$B,2,0)*VLOOKUP(A93,'[23]geoMap (20)'!$A:$C,3,0)</f>
        <v>#REF!</v>
      </c>
      <c r="W93" s="1" t="e">
        <f>V93/VLOOKUP(A93,'[24]geoMap (21)'!$A:$B,2,0)*VLOOKUP(A93,'[24]geoMap (21)'!$A:$C,3,0)</f>
        <v>#REF!</v>
      </c>
      <c r="X93" s="1" t="e">
        <f>W93/VLOOKUP(A93,'[25]geoMap (22)'!$A:$B,2,0)*VLOOKUP(A93,'[25]geoMap (22)'!$A:$C,3,0)</f>
        <v>#REF!</v>
      </c>
      <c r="Y93" s="1" t="e">
        <f>X93/VLOOKUP(A93,'[26]geoMap (23)'!$A:$B,2,0)*VLOOKUP(A93,'[26]geoMap (23)'!$A:$C,3,0)</f>
        <v>#REF!</v>
      </c>
      <c r="Z93" s="1" t="e">
        <f>Y93/VLOOKUP(A93,'[27]geoMap (24)'!$A:$B,2,0)*VLOOKUP(A93,'[27]geoMap (24)'!$A:$C,3,0)</f>
        <v>#REF!</v>
      </c>
      <c r="AA93" s="1" t="e">
        <f>Z93/VLOOKUP(A93,'[28]geoMap (25)'!$A:$B,2,0)*VLOOKUP(A93,'[28]geoMap (25)'!$A:$C,3,0)</f>
        <v>#REF!</v>
      </c>
      <c r="AB93" s="1" t="e">
        <f>AA93*VLOOKUP(A93,'[29]geoMap (26)'!$A:$B,2,0)*VLOOKUP(A93,'[29]geoMap (26)'!$A:$C,3,0)</f>
        <v>#REF!</v>
      </c>
      <c r="AC93" s="1" t="e">
        <f>AB93/VLOOKUP(A93,'[30]geoMap (27)'!$A:$B,2,0)*VLOOKUP(A93,'[30]geoMap (27)'!$A:$C,3,0)</f>
        <v>#REF!</v>
      </c>
      <c r="AD93" s="1" t="e">
        <f>AC93/VLOOKUP(A93,'[31]geoMap (28)'!$A:$B,2,0)*VLOOKUP(A93,'[31]geoMap (28)'!$A:$C,3,0)</f>
        <v>#REF!</v>
      </c>
      <c r="AE93" s="1" t="e">
        <f>AD93/VLOOKUP(A93,'[32]geoMap (29)'!$A:$B,2,0)*VLOOKUP(A93,'[32]geoMap (29)'!$A:$C,3,0)</f>
        <v>#REF!</v>
      </c>
      <c r="AF93" s="1" t="e">
        <f>AE93/VLOOKUP(A93,'[33]geoMap (30)'!$A:$B,2,0)*VLOOKUP(A93,'[33]geoMap (30)'!$A:$C,3,0)</f>
        <v>#REF!</v>
      </c>
      <c r="AG93" s="1" t="e">
        <f>AF93/VLOOKUP(A93,'[34]geoMap (31)'!$A:$B,2,0)*VLOOKUP(A93,'[34]geoMap (31)'!$A:$C,3,0)</f>
        <v>#REF!</v>
      </c>
      <c r="AH93" s="1" t="e">
        <f>AG93/VLOOKUP(A93,'[35]geoMap (32)'!$A:$B,2,0)*VLOOKUP(A93,'[35]geoMap (32)'!$A:$C,3,0)</f>
        <v>#REF!</v>
      </c>
      <c r="AI93" s="1" t="e">
        <f>AH93/VLOOKUP(A93,'[36]geoMap (33)'!$A:$B,2,0)*VLOOKUP(A93,'[36]geoMap (33)'!$A:$C,3,0)</f>
        <v>#REF!</v>
      </c>
      <c r="AJ93" s="1" t="e">
        <f>AI93/VLOOKUP(A93,'[37]geoMap (34)'!$A:$B,2,0)*VLOOKUP(A93,'[37]geoMap (34)'!$A:$C,3,0)</f>
        <v>#REF!</v>
      </c>
      <c r="AK93" s="1" t="e">
        <f>AJ93/VLOOKUP(A93,'[38]geoMap (35)'!$A:$B,2,0)*VLOOKUP(A93,'[38]geoMap (35)'!$A:$C,3,0)</f>
        <v>#REF!</v>
      </c>
      <c r="AL93" s="1" t="e">
        <f>AK93/VLOOKUP(A93,'[39]geoMap (36)'!$A:$B,2,0)*VLOOKUP(A93,'[39]geoMap (36)'!$A:$C,3,0)</f>
        <v>#REF!</v>
      </c>
      <c r="AM93" s="1" t="e">
        <f>AL93/VLOOKUP(A93,'[40]geoMap (37)'!$A:$B,2,0)*VLOOKUP(A93,'[40]geoMap (37)'!$A:$C,3,0)</f>
        <v>#REF!</v>
      </c>
      <c r="AN93" s="1" t="e">
        <f>AM93/VLOOKUP(A93,'[41]geoMap (38)'!$A:$B,2,0)*VLOOKUP(A93,'[41]geoMap (38)'!$A:$C,3,0)</f>
        <v>#REF!</v>
      </c>
      <c r="AO93" s="1" t="e">
        <f>AN93/VLOOKUP(A93,'[42]geoMap (39)'!$A:$B,2,0)*VLOOKUP(A93,'[42]geoMap (39)'!$A:$C,3,0)</f>
        <v>#REF!</v>
      </c>
      <c r="AP93" s="1" t="e">
        <f>AO93/VLOOKUP(A93,'[43]geoMap (40)'!$A:$B,2,0)*VLOOKUP(A93,'[43]geoMap (40)'!$A:$C,3,0)</f>
        <v>#REF!</v>
      </c>
      <c r="AQ93" s="1" t="e">
        <f>AP93/VLOOKUP(A93,'[44]geoMap (41)'!$A:$B,2,0)*VLOOKUP(A93,'[44]geoMap (41)'!$A:$C,3,0)</f>
        <v>#REF!</v>
      </c>
      <c r="AR93" s="1" t="e">
        <f>AQ93/VLOOKUP(A93,'[45]geoMap (42)'!$A:$B,2,0)*VLOOKUP(A93,'[45]geoMap (42)'!$A:$C,3,0)</f>
        <v>#REF!</v>
      </c>
      <c r="AS93" s="1" t="e">
        <f>AR93/VLOOKUP(A93,'[46]geoMap (43)'!$A:$B,2,0)*VLOOKUP(A93,'[46]geoMap (43)'!$A:$C,3,0)</f>
        <v>#REF!</v>
      </c>
      <c r="AT93" s="1" t="e">
        <f>AS93/VLOOKUP(A93,'[47]geoMap (44)'!$A:$B,2,0)*VLOOKUP(A93,'[47]geoMap (44)'!$A:$C,3,0)</f>
        <v>#REF!</v>
      </c>
      <c r="AU93" s="1" t="e">
        <f>AT93/VLOOKUP(A93,'[48]geoMap (45)'!$A:$B,2,0)*VLOOKUP(A93,'[48]geoMap (45)'!$A:$C,3,0)</f>
        <v>#REF!</v>
      </c>
      <c r="AV93" s="1" t="e">
        <f>AU93/VLOOKUP(A93,'[49]geoMap (46)'!$A:$B,2,0)*VLOOKUP(A93,'[49]geoMap (46)'!$A:$C,3,0)</f>
        <v>#REF!</v>
      </c>
      <c r="AW93" s="1" t="e">
        <f>AV93/VLOOKUP(A93,'[50]geoMap (47)'!$A:$B,2,0)*VLOOKUP(A93,'[50]geoMap (47)'!$A:$C,3,0)</f>
        <v>#REF!</v>
      </c>
      <c r="AX93" s="4" t="e">
        <f>AW93/VLOOKUP(A93,'[51]geoMap (48)'!$A:$B,2,0)*VLOOKUP(A93,'[51]geoMap (48)'!$A:$C,3,0)</f>
        <v>#REF!</v>
      </c>
      <c r="AY93" s="1" t="e">
        <f>AX93/VLOOKUP(A93,'[52]geoMap (49)'!$A:$B,2,0)*VLOOKUP(A93,'[52]geoMap (49)'!$A:$C,3,0)</f>
        <v>#REF!</v>
      </c>
      <c r="AZ93" s="4" t="e">
        <f>AY93/VLOOKUP(A93,'[53]geoMap (50)'!$A:$B,2,0)*VLOOKUP(A93,'[53]geoMap (50)'!$A:$C,3,0)</f>
        <v>#REF!</v>
      </c>
      <c r="BA93" s="1" t="e">
        <f>AZ93/VLOOKUP(A93,'[54]geoMap (51)'!$A:$B,2,0)*VLOOKUP(A93,'[54]geoMap (51)'!$A:$C,3,0)</f>
        <v>#REF!</v>
      </c>
      <c r="BB93" s="4" t="e">
        <f>BA93/VLOOKUP(A93,'[55]geoMap (52)'!$A:$B,2,0)*VLOOKUP(A93,'[55]geoMap (52)'!$A:$C,3,0)</f>
        <v>#REF!</v>
      </c>
      <c r="BC93" s="1" t="e">
        <f>BB93/VLOOKUP(A93,'[56]geoMap (53)'!$A:$B,2,0)*VLOOKUP(A93,'[56]geoMap (53)'!$A:$C,3,0)</f>
        <v>#REF!</v>
      </c>
      <c r="BD93" s="4" t="e">
        <f>BC93/VLOOKUP(A93,'[57]geoMap (54)'!$A:$B,2,0)*VLOOKUP(A93,'[57]geoMap (54)'!$A:$C,3,0)</f>
        <v>#REF!</v>
      </c>
      <c r="BE93" s="1" t="e">
        <f>BD93/VLOOKUP(A93,'[58]geoMap (55)'!$A:$B,2,0)*VLOOKUP(A93,'[58]geoMap (55)'!$A:$C,3,0)</f>
        <v>#REF!</v>
      </c>
      <c r="BF93" s="4" t="e">
        <f>BE93/VLOOKUP(A93,'[59]geoMap (56)'!$A:$B,2,0)*VLOOKUP(A93,'[59]geoMap (56)'!$A:$C,3,0)</f>
        <v>#REF!</v>
      </c>
      <c r="BG93" s="1" t="e">
        <f>BF93/VLOOKUP(A93,'[60]geoMap (57)'!$A:$B,2,0)*VLOOKUP(A93,'[60]geoMap (57)'!$A:$C,3,0)</f>
        <v>#REF!</v>
      </c>
      <c r="BH93" s="4" t="e">
        <f>BG93/VLOOKUP(A93,'[61]geoMap (58)'!$A:$B,2,0)*VLOOKUP(A93,'[61]geoMap (58)'!$A:$C,3,0)</f>
        <v>#REF!</v>
      </c>
      <c r="BI93" s="1" t="e">
        <f>BH93/VLOOKUP(A93,'[62]geoMap (59)'!$A:$B,2,0)*VLOOKUP(A93,'[62]geoMap (59)'!$A:$C,3,0)</f>
        <v>#REF!</v>
      </c>
      <c r="BJ93" s="4" t="e">
        <f>BI93/VLOOKUP(A93,'[63]geoMap (60)'!$A:$B,2,0)*VLOOKUP(A93,'[63]geoMap (60)'!$A:$C,3,0)</f>
        <v>#REF!</v>
      </c>
      <c r="BK93" s="1" t="e">
        <f>BJ93/VLOOKUP(A93,'[64]geoMap (61)'!$A:$B,2,0)*VLOOKUP(A93,'[64]geoMap (61)'!$A:$C,3,0)</f>
        <v>#REF!</v>
      </c>
      <c r="BL93" s="4" t="e">
        <f>BK93/VLOOKUP(A93,'[65]geoMap (62)'!$A:$B,2,0)*VLOOKUP(A93,'[65]geoMap (62)'!$A:$C,3,0)</f>
        <v>#REF!</v>
      </c>
      <c r="BM93" s="1" t="e">
        <f>BL93/VLOOKUP(A93,'[66]geoMap (63)'!$A:$B,2,0)*VLOOKUP(A93,'[66]geoMap (63)'!$A:$C,3,0)</f>
        <v>#REF!</v>
      </c>
      <c r="BN93" s="4" t="e">
        <f>BM93/VLOOKUP(A93,'[67]geoMap (64)'!$A:$B,2,0)*VLOOKUP(A93,'[67]geoMap (64)'!$A:$C,3,0)</f>
        <v>#REF!</v>
      </c>
      <c r="BO93" s="1" t="e">
        <f>BN93/VLOOKUP(A93,'[68]geoMap (65)'!$A:$B,2,0)*VLOOKUP(A93,'[68]geoMap (65)'!$A:$C,3,0)</f>
        <v>#REF!</v>
      </c>
      <c r="BP93" s="4" t="e">
        <f>BO93/VLOOKUP(A93,'[69]geoMap (66)'!$A:$B,2,0)*VLOOKUP(A93,'[69]geoMap (66)'!$A:$C,3,0)</f>
        <v>#REF!</v>
      </c>
    </row>
    <row r="94" spans="1:68" x14ac:dyDescent="0.2">
      <c r="A94" s="1" t="s">
        <v>31</v>
      </c>
      <c r="B94" s="1" t="e">
        <f>VLOOKUP(A94,[3]geoMap!$A:$B,2,0)*Notes!$C$6</f>
        <v>#REF!</v>
      </c>
      <c r="C94" s="1" t="e">
        <f>B94/VLOOKUP(A94,'[4]geoMap (1)'!$A:$B,2,0)*VLOOKUP(A94,'[4]geoMap (1)'!$A:$C,3,0)</f>
        <v>#REF!</v>
      </c>
      <c r="D94" s="1" t="e">
        <f>C94/VLOOKUP(A94,'[5]geoMap (2)'!$A:$B,2,0)*VLOOKUP(A94,'[5]geoMap (2)'!$A:$C,3,0)</f>
        <v>#REF!</v>
      </c>
      <c r="E94" s="1" t="e">
        <f>D94/VLOOKUP(A94,'[6]geoMap (3)'!$A:$B,2,0)*VLOOKUP(A94,'[6]geoMap (3)'!$A:$C,3,0)</f>
        <v>#REF!</v>
      </c>
      <c r="F94" s="1" t="e">
        <f>E94/VLOOKUP(A94,'[7]geoMap (4)'!$A:$B,2,0)*VLOOKUP(A94,'[7]geoMap (4)'!$A:$C,3,0)</f>
        <v>#REF!</v>
      </c>
      <c r="G94" s="1" t="e">
        <f>F94/VLOOKUP(A94,'[8]geoMap (5)'!$A:$B,2,0)*VLOOKUP(A94,'[8]geoMap (5)'!$A:$C,3,0)</f>
        <v>#REF!</v>
      </c>
      <c r="H94" s="1" t="e">
        <f>G94/VLOOKUP(A94,'[9]geoMap (6)'!$A:$B,2,0)*VLOOKUP(A94,'[9]geoMap (6)'!$A:$C,3,0)</f>
        <v>#REF!</v>
      </c>
      <c r="I94" s="1" t="e">
        <f>H94/VLOOKUP(A94,'[10]geoMap (7)'!$A:$B,2,0)*VLOOKUP(A94,'[10]geoMap (7)'!$A:$C,3,0)</f>
        <v>#REF!</v>
      </c>
      <c r="J94" s="1" t="e">
        <f>I94/VLOOKUP(A94,'[11]geoMap (8)'!$A:$B,2,0)*VLOOKUP(A94,'[11]geoMap (8)'!$A:$C,3,0)</f>
        <v>#REF!</v>
      </c>
      <c r="K94" s="1" t="e">
        <f>J94/VLOOKUP(A94,'[12]geoMap (9)'!$A:$B,2,0)*VLOOKUP(A94,'[12]geoMap (9)'!$A:$C,3,0)</f>
        <v>#REF!</v>
      </c>
      <c r="L94" s="1" t="e">
        <f>K94/VLOOKUP(A94,'[13]geoMap (10)'!$A:$B,2,0)*VLOOKUP(A94,'[13]geoMap (10)'!$A:$C,3,0)</f>
        <v>#REF!</v>
      </c>
      <c r="M94" s="1" t="e">
        <f>L94/VLOOKUP(A94,'[14]geoMap (11)'!$A:$B,2,0)*VLOOKUP(A94,'[14]geoMap (11)'!$A:$C,3,0)</f>
        <v>#REF!</v>
      </c>
      <c r="N94" s="1" t="e">
        <f>M94/VLOOKUP(A94,'[15]geoMap (12)'!$A:$B,2,0)*VLOOKUP(A94,'[15]geoMap (12)'!$A:$C,3,0)</f>
        <v>#REF!</v>
      </c>
      <c r="O94" s="1" t="e">
        <f>N94/VLOOKUP(A94,'[16]geoMap (13)'!$A:$B,2,0)*VLOOKUP(A94,'[16]geoMap (13)'!$A:$C,3,0)</f>
        <v>#REF!</v>
      </c>
      <c r="P94" s="1" t="e">
        <f>O94/VLOOKUP(A94,'[17]geoMap (14)'!$A:$B,2,0)*VLOOKUP(A94,'[17]geoMap (14)'!$A:$C,3,0)</f>
        <v>#REF!</v>
      </c>
      <c r="Q94" s="1" t="e">
        <f>P94/VLOOKUP(A94,'[18]geoMap (15)'!$A:$B,2,0)*VLOOKUP(A94,'[18]geoMap (15)'!$A:$C,3,0)</f>
        <v>#REF!</v>
      </c>
      <c r="R94" s="1" t="e">
        <f>Q94/VLOOKUP(A94,'[19]geoMap (16)'!$A:$B,2,0)*VLOOKUP(A94,'[19]geoMap (16)'!$A:$C,3,0)</f>
        <v>#REF!</v>
      </c>
      <c r="S94" s="1" t="e">
        <f>R94/VLOOKUP(A94,'[20]geoMap (17)'!$A:$B,2,0)*VLOOKUP(A94,'[20]geoMap (17)'!$A:$C,3,0)</f>
        <v>#REF!</v>
      </c>
      <c r="T94" s="1" t="e">
        <f>S94/VLOOKUP(A94,'[21]geoMap (18)'!$A:$B,2,0)*VLOOKUP(A94,'[21]geoMap (18)'!$A:$C,3,0)</f>
        <v>#REF!</v>
      </c>
      <c r="U94" s="1" t="e">
        <f>T94/VLOOKUP(A94,'[22]geoMap (19)'!$A:$B,2,0)*VLOOKUP(A94,'[22]geoMap (19)'!$A:$C,3,0)</f>
        <v>#REF!</v>
      </c>
      <c r="V94" s="1" t="e">
        <f>U94/VLOOKUP(A94,'[23]geoMap (20)'!$A:$B,2,0)*VLOOKUP(A94,'[23]geoMap (20)'!$A:$C,3,0)</f>
        <v>#REF!</v>
      </c>
      <c r="W94" s="1" t="e">
        <f>V94/VLOOKUP(A94,'[24]geoMap (21)'!$A:$B,2,0)*VLOOKUP(A94,'[24]geoMap (21)'!$A:$C,3,0)</f>
        <v>#REF!</v>
      </c>
      <c r="X94" s="1" t="e">
        <f>W94/VLOOKUP(A94,'[25]geoMap (22)'!$A:$B,2,0)*VLOOKUP(A94,'[25]geoMap (22)'!$A:$C,3,0)</f>
        <v>#REF!</v>
      </c>
      <c r="Y94" s="1" t="e">
        <f>X94/VLOOKUP(A94,'[26]geoMap (23)'!$A:$B,2,0)*VLOOKUP(A94,'[26]geoMap (23)'!$A:$C,3,0)</f>
        <v>#REF!</v>
      </c>
      <c r="Z94" s="1" t="e">
        <f>Y94/VLOOKUP(A94,'[27]geoMap (24)'!$A:$B,2,0)*VLOOKUP(A94,'[27]geoMap (24)'!$A:$C,3,0)</f>
        <v>#REF!</v>
      </c>
      <c r="AA94" s="1" t="e">
        <f>Z94/VLOOKUP(A94,'[28]geoMap (25)'!$A:$B,2,0)*VLOOKUP(A94,'[28]geoMap (25)'!$A:$C,3,0)</f>
        <v>#REF!</v>
      </c>
      <c r="AB94" s="1" t="e">
        <f>AA94*VLOOKUP(A94,'[29]geoMap (26)'!$A:$B,2,0)*VLOOKUP(A94,'[29]geoMap (26)'!$A:$C,3,0)</f>
        <v>#REF!</v>
      </c>
      <c r="AC94" s="1" t="e">
        <f>AB94/VLOOKUP(A94,'[30]geoMap (27)'!$A:$B,2,0)*VLOOKUP(A94,'[30]geoMap (27)'!$A:$C,3,0)</f>
        <v>#REF!</v>
      </c>
      <c r="AD94" s="1" t="e">
        <f>AC94/VLOOKUP(A94,'[31]geoMap (28)'!$A:$B,2,0)*VLOOKUP(A94,'[31]geoMap (28)'!$A:$C,3,0)</f>
        <v>#REF!</v>
      </c>
      <c r="AE94" s="1" t="e">
        <f>AD94/VLOOKUP(A94,'[32]geoMap (29)'!$A:$B,2,0)*VLOOKUP(A94,'[32]geoMap (29)'!$A:$C,3,0)</f>
        <v>#REF!</v>
      </c>
      <c r="AF94" s="1" t="e">
        <f>AE94/VLOOKUP(A94,'[33]geoMap (30)'!$A:$B,2,0)*VLOOKUP(A94,'[33]geoMap (30)'!$A:$C,3,0)</f>
        <v>#REF!</v>
      </c>
      <c r="AG94" s="1" t="e">
        <f>AF94/VLOOKUP(A94,'[34]geoMap (31)'!$A:$B,2,0)*VLOOKUP(A94,'[34]geoMap (31)'!$A:$C,3,0)</f>
        <v>#REF!</v>
      </c>
      <c r="AH94" s="1" t="e">
        <f>AG94/VLOOKUP(A94,'[35]geoMap (32)'!$A:$B,2,0)*VLOOKUP(A94,'[35]geoMap (32)'!$A:$C,3,0)</f>
        <v>#REF!</v>
      </c>
      <c r="AI94" s="1" t="e">
        <f>AH94/VLOOKUP(A94,'[36]geoMap (33)'!$A:$B,2,0)*VLOOKUP(A94,'[36]geoMap (33)'!$A:$C,3,0)</f>
        <v>#REF!</v>
      </c>
      <c r="AJ94" s="1" t="e">
        <f>AI94/VLOOKUP(A94,'[37]geoMap (34)'!$A:$B,2,0)*VLOOKUP(A94,'[37]geoMap (34)'!$A:$C,3,0)</f>
        <v>#REF!</v>
      </c>
      <c r="AK94" s="1" t="e">
        <f>AJ94/VLOOKUP(A94,'[38]geoMap (35)'!$A:$B,2,0)*VLOOKUP(A94,'[38]geoMap (35)'!$A:$C,3,0)</f>
        <v>#REF!</v>
      </c>
      <c r="AL94" s="1" t="e">
        <f>AK94/VLOOKUP(A94,'[39]geoMap (36)'!$A:$B,2,0)*VLOOKUP(A94,'[39]geoMap (36)'!$A:$C,3,0)</f>
        <v>#REF!</v>
      </c>
      <c r="AM94" s="1" t="e">
        <f>AL94/VLOOKUP(A94,'[40]geoMap (37)'!$A:$B,2,0)*VLOOKUP(A94,'[40]geoMap (37)'!$A:$C,3,0)</f>
        <v>#REF!</v>
      </c>
      <c r="AN94" s="1" t="e">
        <f>AM94/VLOOKUP(A94,'[41]geoMap (38)'!$A:$B,2,0)*VLOOKUP(A94,'[41]geoMap (38)'!$A:$C,3,0)</f>
        <v>#REF!</v>
      </c>
      <c r="AO94" s="1" t="e">
        <f>AN94/VLOOKUP(A94,'[42]geoMap (39)'!$A:$B,2,0)*VLOOKUP(A94,'[42]geoMap (39)'!$A:$C,3,0)</f>
        <v>#REF!</v>
      </c>
      <c r="AP94" s="1" t="e">
        <f>AO94/VLOOKUP(A94,'[43]geoMap (40)'!$A:$B,2,0)*VLOOKUP(A94,'[43]geoMap (40)'!$A:$C,3,0)</f>
        <v>#REF!</v>
      </c>
      <c r="AQ94" s="1" t="e">
        <f>AP94/VLOOKUP(A94,'[44]geoMap (41)'!$A:$B,2,0)*VLOOKUP(A94,'[44]geoMap (41)'!$A:$C,3,0)</f>
        <v>#REF!</v>
      </c>
      <c r="AR94" s="1" t="e">
        <f>AQ94/VLOOKUP(A94,'[45]geoMap (42)'!$A:$B,2,0)*VLOOKUP(A94,'[45]geoMap (42)'!$A:$C,3,0)</f>
        <v>#REF!</v>
      </c>
      <c r="AS94" s="1" t="e">
        <f>AR94/VLOOKUP(A94,'[46]geoMap (43)'!$A:$B,2,0)*VLOOKUP(A94,'[46]geoMap (43)'!$A:$C,3,0)</f>
        <v>#REF!</v>
      </c>
      <c r="AT94" s="1" t="e">
        <f>AS94/VLOOKUP(A94,'[47]geoMap (44)'!$A:$B,2,0)*VLOOKUP(A94,'[47]geoMap (44)'!$A:$C,3,0)</f>
        <v>#REF!</v>
      </c>
      <c r="AU94" s="1" t="e">
        <f>AT94/VLOOKUP(A94,'[48]geoMap (45)'!$A:$B,2,0)*VLOOKUP(A94,'[48]geoMap (45)'!$A:$C,3,0)</f>
        <v>#REF!</v>
      </c>
      <c r="AV94" s="1" t="e">
        <f>AU94/VLOOKUP(A94,'[49]geoMap (46)'!$A:$B,2,0)*VLOOKUP(A94,'[49]geoMap (46)'!$A:$C,3,0)</f>
        <v>#REF!</v>
      </c>
      <c r="AW94" s="1" t="e">
        <f>AV94/VLOOKUP(A94,'[50]geoMap (47)'!$A:$B,2,0)*VLOOKUP(A94,'[50]geoMap (47)'!$A:$C,3,0)</f>
        <v>#REF!</v>
      </c>
      <c r="AX94" s="4" t="e">
        <f>AW94/VLOOKUP(A94,'[51]geoMap (48)'!$A:$B,2,0)*VLOOKUP(A94,'[51]geoMap (48)'!$A:$C,3,0)</f>
        <v>#REF!</v>
      </c>
      <c r="AY94" s="1" t="e">
        <f>AX94/VLOOKUP(A94,'[52]geoMap (49)'!$A:$B,2,0)*VLOOKUP(A94,'[52]geoMap (49)'!$A:$C,3,0)</f>
        <v>#REF!</v>
      </c>
      <c r="AZ94" s="4" t="e">
        <f>AY94/VLOOKUP(A94,'[53]geoMap (50)'!$A:$B,2,0)*VLOOKUP(A94,'[53]geoMap (50)'!$A:$C,3,0)</f>
        <v>#REF!</v>
      </c>
      <c r="BA94" s="1" t="e">
        <f>AZ94/VLOOKUP(A94,'[54]geoMap (51)'!$A:$B,2,0)*VLOOKUP(A94,'[54]geoMap (51)'!$A:$C,3,0)</f>
        <v>#REF!</v>
      </c>
      <c r="BB94" s="4" t="e">
        <f>BA94/VLOOKUP(A94,'[55]geoMap (52)'!$A:$B,2,0)*VLOOKUP(A94,'[55]geoMap (52)'!$A:$C,3,0)</f>
        <v>#REF!</v>
      </c>
      <c r="BC94" s="1" t="e">
        <f>BB94/VLOOKUP(A94,'[56]geoMap (53)'!$A:$B,2,0)*VLOOKUP(A94,'[56]geoMap (53)'!$A:$C,3,0)</f>
        <v>#REF!</v>
      </c>
      <c r="BD94" s="4" t="e">
        <f>BC94/VLOOKUP(A94,'[57]geoMap (54)'!$A:$B,2,0)*VLOOKUP(A94,'[57]geoMap (54)'!$A:$C,3,0)</f>
        <v>#REF!</v>
      </c>
      <c r="BE94" s="1" t="e">
        <f>BD94/VLOOKUP(A94,'[58]geoMap (55)'!$A:$B,2,0)*VLOOKUP(A94,'[58]geoMap (55)'!$A:$C,3,0)</f>
        <v>#REF!</v>
      </c>
      <c r="BF94" s="4" t="e">
        <f>BE94/VLOOKUP(A94,'[59]geoMap (56)'!$A:$B,2,0)*VLOOKUP(A94,'[59]geoMap (56)'!$A:$C,3,0)</f>
        <v>#REF!</v>
      </c>
      <c r="BG94" s="1" t="e">
        <f>BF94/VLOOKUP(A94,'[60]geoMap (57)'!$A:$B,2,0)*VLOOKUP(A94,'[60]geoMap (57)'!$A:$C,3,0)</f>
        <v>#REF!</v>
      </c>
      <c r="BH94" s="4" t="e">
        <f>BG94/VLOOKUP(A94,'[61]geoMap (58)'!$A:$B,2,0)*VLOOKUP(A94,'[61]geoMap (58)'!$A:$C,3,0)</f>
        <v>#REF!</v>
      </c>
      <c r="BI94" s="1" t="e">
        <f>BH94/VLOOKUP(A94,'[62]geoMap (59)'!$A:$B,2,0)*VLOOKUP(A94,'[62]geoMap (59)'!$A:$C,3,0)</f>
        <v>#REF!</v>
      </c>
      <c r="BJ94" s="4" t="e">
        <f>BI94/VLOOKUP(A94,'[63]geoMap (60)'!$A:$B,2,0)*VLOOKUP(A94,'[63]geoMap (60)'!$A:$C,3,0)</f>
        <v>#REF!</v>
      </c>
      <c r="BK94" s="1" t="e">
        <f>BJ94/VLOOKUP(A94,'[64]geoMap (61)'!$A:$B,2,0)*VLOOKUP(A94,'[64]geoMap (61)'!$A:$C,3,0)</f>
        <v>#REF!</v>
      </c>
      <c r="BL94" s="4" t="e">
        <f>BK94/VLOOKUP(A94,'[65]geoMap (62)'!$A:$B,2,0)*VLOOKUP(A94,'[65]geoMap (62)'!$A:$C,3,0)</f>
        <v>#REF!</v>
      </c>
      <c r="BM94" s="1" t="e">
        <f>BL94/VLOOKUP(A94,'[66]geoMap (63)'!$A:$B,2,0)*VLOOKUP(A94,'[66]geoMap (63)'!$A:$C,3,0)</f>
        <v>#REF!</v>
      </c>
      <c r="BN94" s="4" t="e">
        <f>BM94/VLOOKUP(A94,'[67]geoMap (64)'!$A:$B,2,0)*VLOOKUP(A94,'[67]geoMap (64)'!$A:$C,3,0)</f>
        <v>#REF!</v>
      </c>
      <c r="BO94" s="1" t="e">
        <f>BN94/VLOOKUP(A94,'[68]geoMap (65)'!$A:$B,2,0)*VLOOKUP(A94,'[68]geoMap (65)'!$A:$C,3,0)</f>
        <v>#REF!</v>
      </c>
      <c r="BP94" s="4" t="e">
        <f>BO94/VLOOKUP(A94,'[69]geoMap (66)'!$A:$B,2,0)*VLOOKUP(A94,'[69]geoMap (66)'!$A:$C,3,0)</f>
        <v>#REF!</v>
      </c>
    </row>
    <row r="95" spans="1:68" x14ac:dyDescent="0.2">
      <c r="A95" s="1" t="s">
        <v>34</v>
      </c>
      <c r="B95" s="1" t="e">
        <f>VLOOKUP(A95,[3]geoMap!$A:$B,2,0)*Notes!$C$6</f>
        <v>#REF!</v>
      </c>
      <c r="C95" s="1" t="e">
        <f>B95/VLOOKUP(A95,'[4]geoMap (1)'!$A:$B,2,0)*VLOOKUP(A95,'[4]geoMap (1)'!$A:$C,3,0)</f>
        <v>#REF!</v>
      </c>
      <c r="D95" s="1" t="e">
        <f>C95/VLOOKUP(A95,'[5]geoMap (2)'!$A:$B,2,0)*VLOOKUP(A95,'[5]geoMap (2)'!$A:$C,3,0)</f>
        <v>#REF!</v>
      </c>
      <c r="E95" s="1" t="e">
        <f>D95/VLOOKUP(A95,'[6]geoMap (3)'!$A:$B,2,0)*VLOOKUP(A95,'[6]geoMap (3)'!$A:$C,3,0)</f>
        <v>#REF!</v>
      </c>
      <c r="F95" s="1" t="e">
        <f>E95/VLOOKUP(A95,'[7]geoMap (4)'!$A:$B,2,0)*VLOOKUP(A95,'[7]geoMap (4)'!$A:$C,3,0)</f>
        <v>#REF!</v>
      </c>
      <c r="G95" s="1" t="e">
        <f>F95/VLOOKUP(A95,'[8]geoMap (5)'!$A:$B,2,0)*VLOOKUP(A95,'[8]geoMap (5)'!$A:$C,3,0)</f>
        <v>#REF!</v>
      </c>
      <c r="H95" s="1" t="e">
        <f>G95/VLOOKUP(A95,'[9]geoMap (6)'!$A:$B,2,0)*VLOOKUP(A95,'[9]geoMap (6)'!$A:$C,3,0)</f>
        <v>#REF!</v>
      </c>
      <c r="I95" s="1" t="e">
        <f>H95/VLOOKUP(A95,'[10]geoMap (7)'!$A:$B,2,0)*VLOOKUP(A95,'[10]geoMap (7)'!$A:$C,3,0)</f>
        <v>#REF!</v>
      </c>
      <c r="J95" s="1" t="e">
        <f>I95/VLOOKUP(A95,'[11]geoMap (8)'!$A:$B,2,0)*VLOOKUP(A95,'[11]geoMap (8)'!$A:$C,3,0)</f>
        <v>#REF!</v>
      </c>
      <c r="K95" s="1" t="e">
        <f>J95/VLOOKUP(A95,'[12]geoMap (9)'!$A:$B,2,0)*VLOOKUP(A95,'[12]geoMap (9)'!$A:$C,3,0)</f>
        <v>#REF!</v>
      </c>
      <c r="L95" s="1" t="e">
        <f>K95/VLOOKUP(A95,'[13]geoMap (10)'!$A:$B,2,0)*VLOOKUP(A95,'[13]geoMap (10)'!$A:$C,3,0)</f>
        <v>#REF!</v>
      </c>
      <c r="M95" s="1" t="e">
        <f>L95/VLOOKUP(A95,'[14]geoMap (11)'!$A:$B,2,0)*VLOOKUP(A95,'[14]geoMap (11)'!$A:$C,3,0)</f>
        <v>#REF!</v>
      </c>
      <c r="N95" s="1" t="e">
        <f>M95/VLOOKUP(A95,'[15]geoMap (12)'!$A:$B,2,0)*VLOOKUP(A95,'[15]geoMap (12)'!$A:$C,3,0)</f>
        <v>#REF!</v>
      </c>
      <c r="O95" s="1" t="e">
        <f>N95/VLOOKUP(A95,'[16]geoMap (13)'!$A:$B,2,0)*VLOOKUP(A95,'[16]geoMap (13)'!$A:$C,3,0)</f>
        <v>#REF!</v>
      </c>
      <c r="P95" s="1" t="e">
        <f>O95/VLOOKUP(A95,'[17]geoMap (14)'!$A:$B,2,0)*VLOOKUP(A95,'[17]geoMap (14)'!$A:$C,3,0)</f>
        <v>#REF!</v>
      </c>
      <c r="Q95" s="1" t="e">
        <f>P95/VLOOKUP(A95,'[18]geoMap (15)'!$A:$B,2,0)*VLOOKUP(A95,'[18]geoMap (15)'!$A:$C,3,0)</f>
        <v>#REF!</v>
      </c>
      <c r="R95" s="1" t="e">
        <f>Q95/VLOOKUP(A95,'[19]geoMap (16)'!$A:$B,2,0)*VLOOKUP(A95,'[19]geoMap (16)'!$A:$C,3,0)</f>
        <v>#REF!</v>
      </c>
      <c r="S95" s="1" t="e">
        <f>R95/VLOOKUP(A95,'[20]geoMap (17)'!$A:$B,2,0)*VLOOKUP(A95,'[20]geoMap (17)'!$A:$C,3,0)</f>
        <v>#REF!</v>
      </c>
      <c r="T95" s="1" t="e">
        <f>S95/VLOOKUP(A95,'[21]geoMap (18)'!$A:$B,2,0)*VLOOKUP(A95,'[21]geoMap (18)'!$A:$C,3,0)</f>
        <v>#REF!</v>
      </c>
      <c r="U95" s="1" t="e">
        <f>T95/VLOOKUP(A95,'[22]geoMap (19)'!$A:$B,2,0)*VLOOKUP(A95,'[22]geoMap (19)'!$A:$C,3,0)</f>
        <v>#REF!</v>
      </c>
      <c r="V95" s="1" t="e">
        <f>U95/VLOOKUP(A95,'[23]geoMap (20)'!$A:$B,2,0)*VLOOKUP(A95,'[23]geoMap (20)'!$A:$C,3,0)</f>
        <v>#REF!</v>
      </c>
      <c r="W95" s="1" t="e">
        <f>V95/VLOOKUP(A95,'[24]geoMap (21)'!$A:$B,2,0)*VLOOKUP(A95,'[24]geoMap (21)'!$A:$C,3,0)</f>
        <v>#REF!</v>
      </c>
      <c r="X95" s="1" t="e">
        <f>W95/VLOOKUP(A95,'[25]geoMap (22)'!$A:$B,2,0)*VLOOKUP(A95,'[25]geoMap (22)'!$A:$C,3,0)</f>
        <v>#REF!</v>
      </c>
      <c r="Y95" s="1" t="e">
        <f>X95/VLOOKUP(A95,'[26]geoMap (23)'!$A:$B,2,0)*VLOOKUP(A95,'[26]geoMap (23)'!$A:$C,3,0)</f>
        <v>#REF!</v>
      </c>
      <c r="Z95" s="1" t="e">
        <f>Y95/VLOOKUP(A95,'[27]geoMap (24)'!$A:$B,2,0)*VLOOKUP(A95,'[27]geoMap (24)'!$A:$C,3,0)</f>
        <v>#REF!</v>
      </c>
      <c r="AA95" s="1" t="e">
        <f>Z95/VLOOKUP(A95,'[28]geoMap (25)'!$A:$B,2,0)*VLOOKUP(A95,'[28]geoMap (25)'!$A:$C,3,0)</f>
        <v>#REF!</v>
      </c>
      <c r="AB95" s="1" t="e">
        <f>AA95*VLOOKUP(A95,'[29]geoMap (26)'!$A:$B,2,0)*VLOOKUP(A95,'[29]geoMap (26)'!$A:$C,3,0)</f>
        <v>#REF!</v>
      </c>
      <c r="AC95" s="1" t="e">
        <f>AB95/VLOOKUP(A95,'[30]geoMap (27)'!$A:$B,2,0)*VLOOKUP(A95,'[30]geoMap (27)'!$A:$C,3,0)</f>
        <v>#REF!</v>
      </c>
      <c r="AD95" s="1" t="e">
        <f>AC95/VLOOKUP(A95,'[31]geoMap (28)'!$A:$B,2,0)*VLOOKUP(A95,'[31]geoMap (28)'!$A:$C,3,0)</f>
        <v>#REF!</v>
      </c>
      <c r="AE95" s="1" t="e">
        <f>AD95/VLOOKUP(A95,'[32]geoMap (29)'!$A:$B,2,0)*VLOOKUP(A95,'[32]geoMap (29)'!$A:$C,3,0)</f>
        <v>#REF!</v>
      </c>
      <c r="AF95" s="1" t="e">
        <f>AE95/VLOOKUP(A95,'[33]geoMap (30)'!$A:$B,2,0)*VLOOKUP(A95,'[33]geoMap (30)'!$A:$C,3,0)</f>
        <v>#REF!</v>
      </c>
      <c r="AG95" s="1" t="e">
        <f>AF95/VLOOKUP(A95,'[34]geoMap (31)'!$A:$B,2,0)*VLOOKUP(A95,'[34]geoMap (31)'!$A:$C,3,0)</f>
        <v>#REF!</v>
      </c>
      <c r="AH95" s="1" t="e">
        <f>AG95/VLOOKUP(A95,'[35]geoMap (32)'!$A:$B,2,0)*VLOOKUP(A95,'[35]geoMap (32)'!$A:$C,3,0)</f>
        <v>#REF!</v>
      </c>
      <c r="AI95" s="1" t="e">
        <f>AH95/VLOOKUP(A95,'[36]geoMap (33)'!$A:$B,2,0)*VLOOKUP(A95,'[36]geoMap (33)'!$A:$C,3,0)</f>
        <v>#REF!</v>
      </c>
      <c r="AJ95" s="1" t="e">
        <f>AI95/VLOOKUP(A95,'[37]geoMap (34)'!$A:$B,2,0)*VLOOKUP(A95,'[37]geoMap (34)'!$A:$C,3,0)</f>
        <v>#REF!</v>
      </c>
      <c r="AK95" s="1" t="e">
        <f>AJ95/VLOOKUP(A95,'[38]geoMap (35)'!$A:$B,2,0)*VLOOKUP(A95,'[38]geoMap (35)'!$A:$C,3,0)</f>
        <v>#REF!</v>
      </c>
      <c r="AL95" s="1" t="e">
        <f>AK95/VLOOKUP(A95,'[39]geoMap (36)'!$A:$B,2,0)*VLOOKUP(A95,'[39]geoMap (36)'!$A:$C,3,0)</f>
        <v>#REF!</v>
      </c>
      <c r="AM95" s="1" t="e">
        <f>AL95/VLOOKUP(A95,'[40]geoMap (37)'!$A:$B,2,0)*VLOOKUP(A95,'[40]geoMap (37)'!$A:$C,3,0)</f>
        <v>#REF!</v>
      </c>
      <c r="AN95" s="1" t="e">
        <f>AM95/VLOOKUP(A95,'[41]geoMap (38)'!$A:$B,2,0)*VLOOKUP(A95,'[41]geoMap (38)'!$A:$C,3,0)</f>
        <v>#REF!</v>
      </c>
      <c r="AO95" s="1" t="e">
        <f>AN95/VLOOKUP(A95,'[42]geoMap (39)'!$A:$B,2,0)*VLOOKUP(A95,'[42]geoMap (39)'!$A:$C,3,0)</f>
        <v>#REF!</v>
      </c>
      <c r="AP95" s="1" t="e">
        <f>AO95/VLOOKUP(A95,'[43]geoMap (40)'!$A:$B,2,0)*VLOOKUP(A95,'[43]geoMap (40)'!$A:$C,3,0)</f>
        <v>#REF!</v>
      </c>
      <c r="AQ95" s="1" t="e">
        <f>AP95/VLOOKUP(A95,'[44]geoMap (41)'!$A:$B,2,0)*VLOOKUP(A95,'[44]geoMap (41)'!$A:$C,3,0)</f>
        <v>#REF!</v>
      </c>
      <c r="AR95" s="1" t="e">
        <f>AQ95/VLOOKUP(A95,'[45]geoMap (42)'!$A:$B,2,0)*VLOOKUP(A95,'[45]geoMap (42)'!$A:$C,3,0)</f>
        <v>#REF!</v>
      </c>
      <c r="AS95" s="1" t="e">
        <f>AR95/VLOOKUP(A95,'[46]geoMap (43)'!$A:$B,2,0)*VLOOKUP(A95,'[46]geoMap (43)'!$A:$C,3,0)</f>
        <v>#REF!</v>
      </c>
      <c r="AT95" s="1" t="e">
        <f>AS95/VLOOKUP(A95,'[47]geoMap (44)'!$A:$B,2,0)*VLOOKUP(A95,'[47]geoMap (44)'!$A:$C,3,0)</f>
        <v>#REF!</v>
      </c>
      <c r="AU95" s="1" t="e">
        <f>AT95/VLOOKUP(A95,'[48]geoMap (45)'!$A:$B,2,0)*VLOOKUP(A95,'[48]geoMap (45)'!$A:$C,3,0)</f>
        <v>#REF!</v>
      </c>
      <c r="AV95" s="1" t="e">
        <f>AU95/VLOOKUP(A95,'[49]geoMap (46)'!$A:$B,2,0)*VLOOKUP(A95,'[49]geoMap (46)'!$A:$C,3,0)</f>
        <v>#REF!</v>
      </c>
      <c r="AW95" s="1" t="e">
        <f>AV95/VLOOKUP(A95,'[50]geoMap (47)'!$A:$B,2,0)*VLOOKUP(A95,'[50]geoMap (47)'!$A:$C,3,0)</f>
        <v>#REF!</v>
      </c>
      <c r="AX95" s="4" t="e">
        <f>AW95/VLOOKUP(A95,'[51]geoMap (48)'!$A:$B,2,0)*VLOOKUP(A95,'[51]geoMap (48)'!$A:$C,3,0)</f>
        <v>#REF!</v>
      </c>
      <c r="AY95" s="1" t="e">
        <f>AX95/VLOOKUP(A95,'[52]geoMap (49)'!$A:$B,2,0)*VLOOKUP(A95,'[52]geoMap (49)'!$A:$C,3,0)</f>
        <v>#REF!</v>
      </c>
      <c r="AZ95" s="4" t="e">
        <f>AY95/VLOOKUP(A95,'[53]geoMap (50)'!$A:$B,2,0)*VLOOKUP(A95,'[53]geoMap (50)'!$A:$C,3,0)</f>
        <v>#REF!</v>
      </c>
      <c r="BA95" s="1" t="e">
        <f>AZ95/VLOOKUP(A95,'[54]geoMap (51)'!$A:$B,2,0)*VLOOKUP(A95,'[54]geoMap (51)'!$A:$C,3,0)</f>
        <v>#REF!</v>
      </c>
      <c r="BB95" s="4" t="e">
        <f>BA95/VLOOKUP(A95,'[55]geoMap (52)'!$A:$B,2,0)*VLOOKUP(A95,'[55]geoMap (52)'!$A:$C,3,0)</f>
        <v>#REF!</v>
      </c>
      <c r="BC95" s="1" t="e">
        <f>BB95/VLOOKUP(A95,'[56]geoMap (53)'!$A:$B,2,0)*VLOOKUP(A95,'[56]geoMap (53)'!$A:$C,3,0)</f>
        <v>#REF!</v>
      </c>
      <c r="BD95" s="4" t="e">
        <f>BC95/VLOOKUP(A95,'[57]geoMap (54)'!$A:$B,2,0)*VLOOKUP(A95,'[57]geoMap (54)'!$A:$C,3,0)</f>
        <v>#REF!</v>
      </c>
      <c r="BE95" s="1" t="e">
        <f>BD95/VLOOKUP(A95,'[58]geoMap (55)'!$A:$B,2,0)*VLOOKUP(A95,'[58]geoMap (55)'!$A:$C,3,0)</f>
        <v>#REF!</v>
      </c>
      <c r="BF95" s="4" t="e">
        <f>BE95/VLOOKUP(A95,'[59]geoMap (56)'!$A:$B,2,0)*VLOOKUP(A95,'[59]geoMap (56)'!$A:$C,3,0)</f>
        <v>#REF!</v>
      </c>
      <c r="BG95" s="1" t="e">
        <f>BF95/VLOOKUP(A95,'[60]geoMap (57)'!$A:$B,2,0)*VLOOKUP(A95,'[60]geoMap (57)'!$A:$C,3,0)</f>
        <v>#REF!</v>
      </c>
      <c r="BH95" s="4" t="e">
        <f>BG95/VLOOKUP(A95,'[61]geoMap (58)'!$A:$B,2,0)*VLOOKUP(A95,'[61]geoMap (58)'!$A:$C,3,0)</f>
        <v>#REF!</v>
      </c>
      <c r="BI95" s="1" t="e">
        <f>BH95/VLOOKUP(A95,'[62]geoMap (59)'!$A:$B,2,0)*VLOOKUP(A95,'[62]geoMap (59)'!$A:$C,3,0)</f>
        <v>#REF!</v>
      </c>
      <c r="BJ95" s="4" t="e">
        <f>BI95/VLOOKUP(A95,'[63]geoMap (60)'!$A:$B,2,0)*VLOOKUP(A95,'[63]geoMap (60)'!$A:$C,3,0)</f>
        <v>#REF!</v>
      </c>
      <c r="BK95" s="1" t="e">
        <f>BJ95/VLOOKUP(A95,'[64]geoMap (61)'!$A:$B,2,0)*VLOOKUP(A95,'[64]geoMap (61)'!$A:$C,3,0)</f>
        <v>#REF!</v>
      </c>
      <c r="BL95" s="4" t="e">
        <f>BK95/VLOOKUP(A95,'[65]geoMap (62)'!$A:$B,2,0)*VLOOKUP(A95,'[65]geoMap (62)'!$A:$C,3,0)</f>
        <v>#REF!</v>
      </c>
      <c r="BM95" s="1" t="e">
        <f>BL95/VLOOKUP(A95,'[66]geoMap (63)'!$A:$B,2,0)*VLOOKUP(A95,'[66]geoMap (63)'!$A:$C,3,0)</f>
        <v>#REF!</v>
      </c>
      <c r="BN95" s="4" t="e">
        <f>BM95/VLOOKUP(A95,'[67]geoMap (64)'!$A:$B,2,0)*VLOOKUP(A95,'[67]geoMap (64)'!$A:$C,3,0)</f>
        <v>#REF!</v>
      </c>
      <c r="BO95" s="1" t="e">
        <f>BN95/VLOOKUP(A95,'[68]geoMap (65)'!$A:$B,2,0)*VLOOKUP(A95,'[68]geoMap (65)'!$A:$C,3,0)</f>
        <v>#REF!</v>
      </c>
      <c r="BP95" s="4" t="e">
        <f>BO95/VLOOKUP(A95,'[69]geoMap (66)'!$A:$B,2,0)*VLOOKUP(A95,'[69]geoMap (66)'!$A:$C,3,0)</f>
        <v>#REF!</v>
      </c>
    </row>
    <row r="96" spans="1:68" x14ac:dyDescent="0.2">
      <c r="A96" s="1" t="s">
        <v>35</v>
      </c>
      <c r="B96" s="1" t="e">
        <f>VLOOKUP(A96,[3]geoMap!$A:$B,2,0)*Notes!$C$6</f>
        <v>#REF!</v>
      </c>
      <c r="C96" s="1" t="e">
        <f>B96/VLOOKUP(A96,'[4]geoMap (1)'!$A:$B,2,0)*VLOOKUP(A96,'[4]geoMap (1)'!$A:$C,3,0)</f>
        <v>#REF!</v>
      </c>
      <c r="D96" s="1" t="e">
        <f>C96/VLOOKUP(A96,'[5]geoMap (2)'!$A:$B,2,0)*VLOOKUP(A96,'[5]geoMap (2)'!$A:$C,3,0)</f>
        <v>#REF!</v>
      </c>
      <c r="E96" s="1" t="e">
        <f>D96/VLOOKUP(A96,'[6]geoMap (3)'!$A:$B,2,0)*VLOOKUP(A96,'[6]geoMap (3)'!$A:$C,3,0)</f>
        <v>#REF!</v>
      </c>
      <c r="F96" s="1" t="e">
        <f>E96/VLOOKUP(A96,'[7]geoMap (4)'!$A:$B,2,0)*VLOOKUP(A96,'[7]geoMap (4)'!$A:$C,3,0)</f>
        <v>#REF!</v>
      </c>
      <c r="G96" s="1" t="e">
        <f>F96/VLOOKUP(A96,'[8]geoMap (5)'!$A:$B,2,0)*VLOOKUP(A96,'[8]geoMap (5)'!$A:$C,3,0)</f>
        <v>#REF!</v>
      </c>
      <c r="H96" s="1" t="e">
        <f>G96/VLOOKUP(A96,'[9]geoMap (6)'!$A:$B,2,0)*VLOOKUP(A96,'[9]geoMap (6)'!$A:$C,3,0)</f>
        <v>#REF!</v>
      </c>
      <c r="I96" s="1" t="e">
        <f>H96/VLOOKUP(A96,'[10]geoMap (7)'!$A:$B,2,0)*VLOOKUP(A96,'[10]geoMap (7)'!$A:$C,3,0)</f>
        <v>#REF!</v>
      </c>
      <c r="J96" s="1" t="e">
        <f>I96/VLOOKUP(A96,'[11]geoMap (8)'!$A:$B,2,0)*VLOOKUP(A96,'[11]geoMap (8)'!$A:$C,3,0)</f>
        <v>#REF!</v>
      </c>
      <c r="K96" s="1" t="e">
        <f>J96/VLOOKUP(A96,'[12]geoMap (9)'!$A:$B,2,0)*VLOOKUP(A96,'[12]geoMap (9)'!$A:$C,3,0)</f>
        <v>#REF!</v>
      </c>
      <c r="L96" s="1" t="e">
        <f>K96/VLOOKUP(A96,'[13]geoMap (10)'!$A:$B,2,0)*VLOOKUP(A96,'[13]geoMap (10)'!$A:$C,3,0)</f>
        <v>#REF!</v>
      </c>
      <c r="M96" s="1" t="e">
        <f>L96/VLOOKUP(A96,'[14]geoMap (11)'!$A:$B,2,0)*VLOOKUP(A96,'[14]geoMap (11)'!$A:$C,3,0)</f>
        <v>#REF!</v>
      </c>
      <c r="N96" s="1" t="e">
        <f>M96/VLOOKUP(A96,'[15]geoMap (12)'!$A:$B,2,0)*VLOOKUP(A96,'[15]geoMap (12)'!$A:$C,3,0)</f>
        <v>#REF!</v>
      </c>
      <c r="O96" s="1" t="e">
        <f>N96/VLOOKUP(A96,'[16]geoMap (13)'!$A:$B,2,0)*VLOOKUP(A96,'[16]geoMap (13)'!$A:$C,3,0)</f>
        <v>#REF!</v>
      </c>
      <c r="P96" s="1" t="e">
        <f>O96/VLOOKUP(A96,'[17]geoMap (14)'!$A:$B,2,0)*VLOOKUP(A96,'[17]geoMap (14)'!$A:$C,3,0)</f>
        <v>#REF!</v>
      </c>
      <c r="Q96" s="1" t="e">
        <f>P96/VLOOKUP(A96,'[18]geoMap (15)'!$A:$B,2,0)*VLOOKUP(A96,'[18]geoMap (15)'!$A:$C,3,0)</f>
        <v>#REF!</v>
      </c>
      <c r="R96" s="1" t="e">
        <f>Q96/VLOOKUP(A96,'[19]geoMap (16)'!$A:$B,2,0)*VLOOKUP(A96,'[19]geoMap (16)'!$A:$C,3,0)</f>
        <v>#REF!</v>
      </c>
      <c r="S96" s="1" t="e">
        <f>R96/VLOOKUP(A96,'[20]geoMap (17)'!$A:$B,2,0)*VLOOKUP(A96,'[20]geoMap (17)'!$A:$C,3,0)</f>
        <v>#REF!</v>
      </c>
      <c r="T96" s="1" t="e">
        <f>S96/VLOOKUP(A96,'[21]geoMap (18)'!$A:$B,2,0)*VLOOKUP(A96,'[21]geoMap (18)'!$A:$C,3,0)</f>
        <v>#REF!</v>
      </c>
      <c r="U96" s="1" t="e">
        <f>T96/VLOOKUP(A96,'[22]geoMap (19)'!$A:$B,2,0)*VLOOKUP(A96,'[22]geoMap (19)'!$A:$C,3,0)</f>
        <v>#REF!</v>
      </c>
      <c r="V96" s="1" t="e">
        <f>U96/VLOOKUP(A96,'[23]geoMap (20)'!$A:$B,2,0)*VLOOKUP(A96,'[23]geoMap (20)'!$A:$C,3,0)</f>
        <v>#REF!</v>
      </c>
      <c r="W96" s="1" t="e">
        <f>V96/VLOOKUP(A96,'[24]geoMap (21)'!$A:$B,2,0)*VLOOKUP(A96,'[24]geoMap (21)'!$A:$C,3,0)</f>
        <v>#REF!</v>
      </c>
      <c r="X96" s="1" t="e">
        <f>W96/VLOOKUP(A96,'[25]geoMap (22)'!$A:$B,2,0)*VLOOKUP(A96,'[25]geoMap (22)'!$A:$C,3,0)</f>
        <v>#REF!</v>
      </c>
      <c r="Y96" s="1" t="e">
        <f>X96/VLOOKUP(A96,'[26]geoMap (23)'!$A:$B,2,0)*VLOOKUP(A96,'[26]geoMap (23)'!$A:$C,3,0)</f>
        <v>#REF!</v>
      </c>
      <c r="Z96" s="1" t="e">
        <f>Y96/VLOOKUP(A96,'[27]geoMap (24)'!$A:$B,2,0)*VLOOKUP(A96,'[27]geoMap (24)'!$A:$C,3,0)</f>
        <v>#REF!</v>
      </c>
      <c r="AA96" s="1" t="e">
        <f>Z96/VLOOKUP(A96,'[28]geoMap (25)'!$A:$B,2,0)*VLOOKUP(A96,'[28]geoMap (25)'!$A:$C,3,0)</f>
        <v>#REF!</v>
      </c>
      <c r="AB96" s="1" t="e">
        <f>AA96*VLOOKUP(A96,'[29]geoMap (26)'!$A:$B,2,0)*VLOOKUP(A96,'[29]geoMap (26)'!$A:$C,3,0)</f>
        <v>#REF!</v>
      </c>
      <c r="AC96" s="1" t="e">
        <f>AB96/VLOOKUP(A96,'[30]geoMap (27)'!$A:$B,2,0)*VLOOKUP(A96,'[30]geoMap (27)'!$A:$C,3,0)</f>
        <v>#REF!</v>
      </c>
      <c r="AD96" s="1" t="e">
        <f>AC96/VLOOKUP(A96,'[31]geoMap (28)'!$A:$B,2,0)*VLOOKUP(A96,'[31]geoMap (28)'!$A:$C,3,0)</f>
        <v>#REF!</v>
      </c>
      <c r="AE96" s="1" t="e">
        <f>AD96/VLOOKUP(A96,'[32]geoMap (29)'!$A:$B,2,0)*VLOOKUP(A96,'[32]geoMap (29)'!$A:$C,3,0)</f>
        <v>#REF!</v>
      </c>
      <c r="AF96" s="1" t="e">
        <f>AE96/VLOOKUP(A96,'[33]geoMap (30)'!$A:$B,2,0)*VLOOKUP(A96,'[33]geoMap (30)'!$A:$C,3,0)</f>
        <v>#REF!</v>
      </c>
      <c r="AG96" s="1" t="e">
        <f>AF96/VLOOKUP(A96,'[34]geoMap (31)'!$A:$B,2,0)*VLOOKUP(A96,'[34]geoMap (31)'!$A:$C,3,0)</f>
        <v>#REF!</v>
      </c>
      <c r="AH96" s="1" t="e">
        <f>AG96/VLOOKUP(A96,'[35]geoMap (32)'!$A:$B,2,0)*VLOOKUP(A96,'[35]geoMap (32)'!$A:$C,3,0)</f>
        <v>#REF!</v>
      </c>
      <c r="AI96" s="1" t="e">
        <f>AH96/VLOOKUP(A96,'[36]geoMap (33)'!$A:$B,2,0)*VLOOKUP(A96,'[36]geoMap (33)'!$A:$C,3,0)</f>
        <v>#REF!</v>
      </c>
      <c r="AJ96" s="1" t="e">
        <f>AI96/VLOOKUP(A96,'[37]geoMap (34)'!$A:$B,2,0)*VLOOKUP(A96,'[37]geoMap (34)'!$A:$C,3,0)</f>
        <v>#REF!</v>
      </c>
      <c r="AK96" s="1" t="e">
        <f>AJ96/VLOOKUP(A96,'[38]geoMap (35)'!$A:$B,2,0)*VLOOKUP(A96,'[38]geoMap (35)'!$A:$C,3,0)</f>
        <v>#REF!</v>
      </c>
      <c r="AL96" s="1" t="e">
        <f>AK96/VLOOKUP(A96,'[39]geoMap (36)'!$A:$B,2,0)*VLOOKUP(A96,'[39]geoMap (36)'!$A:$C,3,0)</f>
        <v>#REF!</v>
      </c>
      <c r="AM96" s="1" t="e">
        <f>AL96/VLOOKUP(A96,'[40]geoMap (37)'!$A:$B,2,0)*VLOOKUP(A96,'[40]geoMap (37)'!$A:$C,3,0)</f>
        <v>#REF!</v>
      </c>
      <c r="AN96" s="1" t="e">
        <f>AM96/VLOOKUP(A96,'[41]geoMap (38)'!$A:$B,2,0)*VLOOKUP(A96,'[41]geoMap (38)'!$A:$C,3,0)</f>
        <v>#REF!</v>
      </c>
      <c r="AO96" s="1" t="e">
        <f>AN96/VLOOKUP(A96,'[42]geoMap (39)'!$A:$B,2,0)*VLOOKUP(A96,'[42]geoMap (39)'!$A:$C,3,0)</f>
        <v>#REF!</v>
      </c>
      <c r="AP96" s="1" t="e">
        <f>AO96/VLOOKUP(A96,'[43]geoMap (40)'!$A:$B,2,0)*VLOOKUP(A96,'[43]geoMap (40)'!$A:$C,3,0)</f>
        <v>#REF!</v>
      </c>
      <c r="AQ96" s="1" t="e">
        <f>AP96/VLOOKUP(A96,'[44]geoMap (41)'!$A:$B,2,0)*VLOOKUP(A96,'[44]geoMap (41)'!$A:$C,3,0)</f>
        <v>#REF!</v>
      </c>
      <c r="AR96" s="1" t="e">
        <f>AQ96/VLOOKUP(A96,'[45]geoMap (42)'!$A:$B,2,0)*VLOOKUP(A96,'[45]geoMap (42)'!$A:$C,3,0)</f>
        <v>#REF!</v>
      </c>
      <c r="AS96" s="1" t="e">
        <f>AR96/VLOOKUP(A96,'[46]geoMap (43)'!$A:$B,2,0)*VLOOKUP(A96,'[46]geoMap (43)'!$A:$C,3,0)</f>
        <v>#REF!</v>
      </c>
      <c r="AT96" s="1" t="e">
        <f>AS96/VLOOKUP(A96,'[47]geoMap (44)'!$A:$B,2,0)*VLOOKUP(A96,'[47]geoMap (44)'!$A:$C,3,0)</f>
        <v>#REF!</v>
      </c>
      <c r="AU96" s="1" t="e">
        <f>AT96/VLOOKUP(A96,'[48]geoMap (45)'!$A:$B,2,0)*VLOOKUP(A96,'[48]geoMap (45)'!$A:$C,3,0)</f>
        <v>#REF!</v>
      </c>
      <c r="AV96" s="1" t="e">
        <f>AU96/VLOOKUP(A96,'[49]geoMap (46)'!$A:$B,2,0)*VLOOKUP(A96,'[49]geoMap (46)'!$A:$C,3,0)</f>
        <v>#REF!</v>
      </c>
      <c r="AW96" s="1" t="e">
        <f>AV96/VLOOKUP(A96,'[50]geoMap (47)'!$A:$B,2,0)*VLOOKUP(A96,'[50]geoMap (47)'!$A:$C,3,0)</f>
        <v>#REF!</v>
      </c>
      <c r="AX96" s="4" t="e">
        <f>AW96/VLOOKUP(A96,'[51]geoMap (48)'!$A:$B,2,0)*VLOOKUP(A96,'[51]geoMap (48)'!$A:$C,3,0)</f>
        <v>#REF!</v>
      </c>
      <c r="AY96" s="1" t="e">
        <f>AX96/VLOOKUP(A96,'[52]geoMap (49)'!$A:$B,2,0)*VLOOKUP(A96,'[52]geoMap (49)'!$A:$C,3,0)</f>
        <v>#REF!</v>
      </c>
      <c r="AZ96" s="4" t="e">
        <f>AY96/VLOOKUP(A96,'[53]geoMap (50)'!$A:$B,2,0)*VLOOKUP(A96,'[53]geoMap (50)'!$A:$C,3,0)</f>
        <v>#REF!</v>
      </c>
      <c r="BA96" s="1" t="e">
        <f>AZ96/VLOOKUP(A96,'[54]geoMap (51)'!$A:$B,2,0)*VLOOKUP(A96,'[54]geoMap (51)'!$A:$C,3,0)</f>
        <v>#REF!</v>
      </c>
      <c r="BB96" s="4" t="e">
        <f>BA96/VLOOKUP(A96,'[55]geoMap (52)'!$A:$B,2,0)*VLOOKUP(A96,'[55]geoMap (52)'!$A:$C,3,0)</f>
        <v>#REF!</v>
      </c>
      <c r="BC96" s="1" t="e">
        <f>BB96/VLOOKUP(A96,'[56]geoMap (53)'!$A:$B,2,0)*VLOOKUP(A96,'[56]geoMap (53)'!$A:$C,3,0)</f>
        <v>#REF!</v>
      </c>
      <c r="BD96" s="4" t="e">
        <f>BC96/VLOOKUP(A96,'[57]geoMap (54)'!$A:$B,2,0)*VLOOKUP(A96,'[57]geoMap (54)'!$A:$C,3,0)</f>
        <v>#REF!</v>
      </c>
      <c r="BE96" s="1" t="e">
        <f>BD96/VLOOKUP(A96,'[58]geoMap (55)'!$A:$B,2,0)*VLOOKUP(A96,'[58]geoMap (55)'!$A:$C,3,0)</f>
        <v>#REF!</v>
      </c>
      <c r="BF96" s="4" t="e">
        <f>BE96/VLOOKUP(A96,'[59]geoMap (56)'!$A:$B,2,0)*VLOOKUP(A96,'[59]geoMap (56)'!$A:$C,3,0)</f>
        <v>#REF!</v>
      </c>
      <c r="BG96" s="1" t="e">
        <f>BF96/VLOOKUP(A96,'[60]geoMap (57)'!$A:$B,2,0)*VLOOKUP(A96,'[60]geoMap (57)'!$A:$C,3,0)</f>
        <v>#REF!</v>
      </c>
      <c r="BH96" s="4" t="e">
        <f>BG96/VLOOKUP(A96,'[61]geoMap (58)'!$A:$B,2,0)*VLOOKUP(A96,'[61]geoMap (58)'!$A:$C,3,0)</f>
        <v>#REF!</v>
      </c>
      <c r="BI96" s="1" t="e">
        <f>BH96/VLOOKUP(A96,'[62]geoMap (59)'!$A:$B,2,0)*VLOOKUP(A96,'[62]geoMap (59)'!$A:$C,3,0)</f>
        <v>#REF!</v>
      </c>
      <c r="BJ96" s="4" t="e">
        <f>BI96/VLOOKUP(A96,'[63]geoMap (60)'!$A:$B,2,0)*VLOOKUP(A96,'[63]geoMap (60)'!$A:$C,3,0)</f>
        <v>#REF!</v>
      </c>
      <c r="BK96" s="1" t="e">
        <f>BJ96/VLOOKUP(A96,'[64]geoMap (61)'!$A:$B,2,0)*VLOOKUP(A96,'[64]geoMap (61)'!$A:$C,3,0)</f>
        <v>#REF!</v>
      </c>
      <c r="BL96" s="4" t="e">
        <f>BK96/VLOOKUP(A96,'[65]geoMap (62)'!$A:$B,2,0)*VLOOKUP(A96,'[65]geoMap (62)'!$A:$C,3,0)</f>
        <v>#REF!</v>
      </c>
      <c r="BM96" s="1" t="e">
        <f>BL96/VLOOKUP(A96,'[66]geoMap (63)'!$A:$B,2,0)*VLOOKUP(A96,'[66]geoMap (63)'!$A:$C,3,0)</f>
        <v>#REF!</v>
      </c>
      <c r="BN96" s="4" t="e">
        <f>BM96/VLOOKUP(A96,'[67]geoMap (64)'!$A:$B,2,0)*VLOOKUP(A96,'[67]geoMap (64)'!$A:$C,3,0)</f>
        <v>#REF!</v>
      </c>
      <c r="BO96" s="1" t="e">
        <f>BN96/VLOOKUP(A96,'[68]geoMap (65)'!$A:$B,2,0)*VLOOKUP(A96,'[68]geoMap (65)'!$A:$C,3,0)</f>
        <v>#REF!</v>
      </c>
      <c r="BP96" s="4" t="e">
        <f>BO96/VLOOKUP(A96,'[69]geoMap (66)'!$A:$B,2,0)*VLOOKUP(A96,'[69]geoMap (66)'!$A:$C,3,0)</f>
        <v>#REF!</v>
      </c>
    </row>
    <row r="97" spans="1:68" x14ac:dyDescent="0.2">
      <c r="A97" s="1" t="s">
        <v>36</v>
      </c>
      <c r="B97" s="1" t="e">
        <f>VLOOKUP(A97,[3]geoMap!$A:$B,2,0)*Notes!$C$6</f>
        <v>#REF!</v>
      </c>
      <c r="C97" s="1" t="e">
        <f>B97/VLOOKUP(A97,'[4]geoMap (1)'!$A:$B,2,0)*VLOOKUP(A97,'[4]geoMap (1)'!$A:$C,3,0)</f>
        <v>#REF!</v>
      </c>
      <c r="D97" s="1" t="e">
        <f>C97/VLOOKUP(A97,'[5]geoMap (2)'!$A:$B,2,0)*VLOOKUP(A97,'[5]geoMap (2)'!$A:$C,3,0)</f>
        <v>#REF!</v>
      </c>
      <c r="E97" s="1" t="e">
        <f>D97/VLOOKUP(A97,'[6]geoMap (3)'!$A:$B,2,0)*VLOOKUP(A97,'[6]geoMap (3)'!$A:$C,3,0)</f>
        <v>#REF!</v>
      </c>
      <c r="F97" s="1" t="e">
        <f>E97/VLOOKUP(A97,'[7]geoMap (4)'!$A:$B,2,0)*VLOOKUP(A97,'[7]geoMap (4)'!$A:$C,3,0)</f>
        <v>#REF!</v>
      </c>
      <c r="G97" s="1" t="e">
        <f>F97/VLOOKUP(A97,'[8]geoMap (5)'!$A:$B,2,0)*VLOOKUP(A97,'[8]geoMap (5)'!$A:$C,3,0)</f>
        <v>#REF!</v>
      </c>
      <c r="H97" s="1" t="e">
        <f>G97/VLOOKUP(A97,'[9]geoMap (6)'!$A:$B,2,0)*VLOOKUP(A97,'[9]geoMap (6)'!$A:$C,3,0)</f>
        <v>#REF!</v>
      </c>
      <c r="I97" s="1" t="e">
        <f>H97/VLOOKUP(A97,'[10]geoMap (7)'!$A:$B,2,0)*VLOOKUP(A97,'[10]geoMap (7)'!$A:$C,3,0)</f>
        <v>#REF!</v>
      </c>
      <c r="J97" s="1" t="e">
        <f>I97/VLOOKUP(A97,'[11]geoMap (8)'!$A:$B,2,0)*VLOOKUP(A97,'[11]geoMap (8)'!$A:$C,3,0)</f>
        <v>#REF!</v>
      </c>
      <c r="K97" s="1" t="e">
        <f>J97/VLOOKUP(A97,'[12]geoMap (9)'!$A:$B,2,0)*VLOOKUP(A97,'[12]geoMap (9)'!$A:$C,3,0)</f>
        <v>#REF!</v>
      </c>
      <c r="L97" s="1" t="e">
        <f>K97/VLOOKUP(A97,'[13]geoMap (10)'!$A:$B,2,0)*VLOOKUP(A97,'[13]geoMap (10)'!$A:$C,3,0)</f>
        <v>#REF!</v>
      </c>
      <c r="M97" s="1" t="e">
        <f>L97/VLOOKUP(A97,'[14]geoMap (11)'!$A:$B,2,0)*VLOOKUP(A97,'[14]geoMap (11)'!$A:$C,3,0)</f>
        <v>#REF!</v>
      </c>
      <c r="N97" s="1" t="e">
        <f>M97/VLOOKUP(A97,'[15]geoMap (12)'!$A:$B,2,0)*VLOOKUP(A97,'[15]geoMap (12)'!$A:$C,3,0)</f>
        <v>#REF!</v>
      </c>
      <c r="O97" s="1" t="e">
        <f>N97/VLOOKUP(A97,'[16]geoMap (13)'!$A:$B,2,0)*VLOOKUP(A97,'[16]geoMap (13)'!$A:$C,3,0)</f>
        <v>#REF!</v>
      </c>
      <c r="P97" s="1" t="e">
        <f>O97/VLOOKUP(A97,'[17]geoMap (14)'!$A:$B,2,0)*VLOOKUP(A97,'[17]geoMap (14)'!$A:$C,3,0)</f>
        <v>#REF!</v>
      </c>
      <c r="Q97" s="1" t="e">
        <f>P97/VLOOKUP(A97,'[18]geoMap (15)'!$A:$B,2,0)*VLOOKUP(A97,'[18]geoMap (15)'!$A:$C,3,0)</f>
        <v>#REF!</v>
      </c>
      <c r="R97" s="1" t="e">
        <f>Q97/VLOOKUP(A97,'[19]geoMap (16)'!$A:$B,2,0)*VLOOKUP(A97,'[19]geoMap (16)'!$A:$C,3,0)</f>
        <v>#REF!</v>
      </c>
      <c r="S97" s="1" t="e">
        <f>R97/VLOOKUP(A97,'[20]geoMap (17)'!$A:$B,2,0)*VLOOKUP(A97,'[20]geoMap (17)'!$A:$C,3,0)</f>
        <v>#REF!</v>
      </c>
      <c r="T97" s="1" t="e">
        <f>S97/VLOOKUP(A97,'[21]geoMap (18)'!$A:$B,2,0)*VLOOKUP(A97,'[21]geoMap (18)'!$A:$C,3,0)</f>
        <v>#REF!</v>
      </c>
      <c r="U97" s="1" t="e">
        <f>T97/VLOOKUP(A97,'[22]geoMap (19)'!$A:$B,2,0)*VLOOKUP(A97,'[22]geoMap (19)'!$A:$C,3,0)</f>
        <v>#REF!</v>
      </c>
      <c r="V97" s="1" t="e">
        <f>U97/VLOOKUP(A97,'[23]geoMap (20)'!$A:$B,2,0)*VLOOKUP(A97,'[23]geoMap (20)'!$A:$C,3,0)</f>
        <v>#REF!</v>
      </c>
      <c r="W97" s="1" t="e">
        <f>V97/VLOOKUP(A97,'[24]geoMap (21)'!$A:$B,2,0)*VLOOKUP(A97,'[24]geoMap (21)'!$A:$C,3,0)</f>
        <v>#REF!</v>
      </c>
      <c r="X97" s="1" t="e">
        <f>W97/VLOOKUP(A97,'[25]geoMap (22)'!$A:$B,2,0)*VLOOKUP(A97,'[25]geoMap (22)'!$A:$C,3,0)</f>
        <v>#REF!</v>
      </c>
      <c r="Y97" s="1" t="e">
        <f>X97/VLOOKUP(A97,'[26]geoMap (23)'!$A:$B,2,0)*VLOOKUP(A97,'[26]geoMap (23)'!$A:$C,3,0)</f>
        <v>#REF!</v>
      </c>
      <c r="Z97" s="1" t="e">
        <f>Y97/VLOOKUP(A97,'[27]geoMap (24)'!$A:$B,2,0)*VLOOKUP(A97,'[27]geoMap (24)'!$A:$C,3,0)</f>
        <v>#REF!</v>
      </c>
      <c r="AA97" s="1" t="e">
        <f>Z97/VLOOKUP(A97,'[28]geoMap (25)'!$A:$B,2,0)*VLOOKUP(A97,'[28]geoMap (25)'!$A:$C,3,0)</f>
        <v>#REF!</v>
      </c>
      <c r="AB97" s="1" t="e">
        <f>AA97*VLOOKUP(A97,'[29]geoMap (26)'!$A:$B,2,0)*VLOOKUP(A97,'[29]geoMap (26)'!$A:$C,3,0)</f>
        <v>#REF!</v>
      </c>
      <c r="AC97" s="1" t="e">
        <f>AB97/VLOOKUP(A97,'[30]geoMap (27)'!$A:$B,2,0)*VLOOKUP(A97,'[30]geoMap (27)'!$A:$C,3,0)</f>
        <v>#REF!</v>
      </c>
      <c r="AD97" s="1" t="e">
        <f>AC97/VLOOKUP(A97,'[31]geoMap (28)'!$A:$B,2,0)*VLOOKUP(A97,'[31]geoMap (28)'!$A:$C,3,0)</f>
        <v>#REF!</v>
      </c>
      <c r="AE97" s="1" t="e">
        <f>AD97/VLOOKUP(A97,'[32]geoMap (29)'!$A:$B,2,0)*VLOOKUP(A97,'[32]geoMap (29)'!$A:$C,3,0)</f>
        <v>#REF!</v>
      </c>
      <c r="AF97" s="1" t="e">
        <f>AE97/VLOOKUP(A97,'[33]geoMap (30)'!$A:$B,2,0)*VLOOKUP(A97,'[33]geoMap (30)'!$A:$C,3,0)</f>
        <v>#REF!</v>
      </c>
      <c r="AG97" s="1" t="e">
        <f>AF97/VLOOKUP(A97,'[34]geoMap (31)'!$A:$B,2,0)*VLOOKUP(A97,'[34]geoMap (31)'!$A:$C,3,0)</f>
        <v>#REF!</v>
      </c>
      <c r="AH97" s="1" t="e">
        <f>AG97/VLOOKUP(A97,'[35]geoMap (32)'!$A:$B,2,0)*VLOOKUP(A97,'[35]geoMap (32)'!$A:$C,3,0)</f>
        <v>#REF!</v>
      </c>
      <c r="AI97" s="1" t="e">
        <f>AH97/VLOOKUP(A97,'[36]geoMap (33)'!$A:$B,2,0)*VLOOKUP(A97,'[36]geoMap (33)'!$A:$C,3,0)</f>
        <v>#REF!</v>
      </c>
      <c r="AJ97" s="1" t="e">
        <f>AI97/VLOOKUP(A97,'[37]geoMap (34)'!$A:$B,2,0)*VLOOKUP(A97,'[37]geoMap (34)'!$A:$C,3,0)</f>
        <v>#REF!</v>
      </c>
      <c r="AK97" s="1" t="e">
        <f>AJ97/VLOOKUP(A97,'[38]geoMap (35)'!$A:$B,2,0)*VLOOKUP(A97,'[38]geoMap (35)'!$A:$C,3,0)</f>
        <v>#REF!</v>
      </c>
      <c r="AL97" s="1" t="e">
        <f>AK97/VLOOKUP(A97,'[39]geoMap (36)'!$A:$B,2,0)*VLOOKUP(A97,'[39]geoMap (36)'!$A:$C,3,0)</f>
        <v>#REF!</v>
      </c>
      <c r="AM97" s="1" t="e">
        <f>AL97/VLOOKUP(A97,'[40]geoMap (37)'!$A:$B,2,0)*VLOOKUP(A97,'[40]geoMap (37)'!$A:$C,3,0)</f>
        <v>#REF!</v>
      </c>
      <c r="AN97" s="1" t="e">
        <f>AM97/VLOOKUP(A97,'[41]geoMap (38)'!$A:$B,2,0)*VLOOKUP(A97,'[41]geoMap (38)'!$A:$C,3,0)</f>
        <v>#REF!</v>
      </c>
      <c r="AO97" s="1" t="e">
        <f>AN97/VLOOKUP(A97,'[42]geoMap (39)'!$A:$B,2,0)*VLOOKUP(A97,'[42]geoMap (39)'!$A:$C,3,0)</f>
        <v>#REF!</v>
      </c>
      <c r="AP97" s="1" t="e">
        <f>AO97/VLOOKUP(A97,'[43]geoMap (40)'!$A:$B,2,0)*VLOOKUP(A97,'[43]geoMap (40)'!$A:$C,3,0)</f>
        <v>#REF!</v>
      </c>
      <c r="AQ97" s="1" t="e">
        <f>AP97/VLOOKUP(A97,'[44]geoMap (41)'!$A:$B,2,0)*VLOOKUP(A97,'[44]geoMap (41)'!$A:$C,3,0)</f>
        <v>#REF!</v>
      </c>
      <c r="AR97" s="1" t="e">
        <f>AQ97/VLOOKUP(A97,'[45]geoMap (42)'!$A:$B,2,0)*VLOOKUP(A97,'[45]geoMap (42)'!$A:$C,3,0)</f>
        <v>#REF!</v>
      </c>
      <c r="AS97" s="1" t="e">
        <f>AR97/VLOOKUP(A97,'[46]geoMap (43)'!$A:$B,2,0)*VLOOKUP(A97,'[46]geoMap (43)'!$A:$C,3,0)</f>
        <v>#REF!</v>
      </c>
      <c r="AT97" s="1" t="e">
        <f>AS97/VLOOKUP(A97,'[47]geoMap (44)'!$A:$B,2,0)*VLOOKUP(A97,'[47]geoMap (44)'!$A:$C,3,0)</f>
        <v>#REF!</v>
      </c>
      <c r="AU97" s="1" t="e">
        <f>AT97/VLOOKUP(A97,'[48]geoMap (45)'!$A:$B,2,0)*VLOOKUP(A97,'[48]geoMap (45)'!$A:$C,3,0)</f>
        <v>#REF!</v>
      </c>
      <c r="AV97" s="1" t="e">
        <f>AU97/VLOOKUP(A97,'[49]geoMap (46)'!$A:$B,2,0)*VLOOKUP(A97,'[49]geoMap (46)'!$A:$C,3,0)</f>
        <v>#REF!</v>
      </c>
      <c r="AW97" s="1" t="e">
        <f>AV97/VLOOKUP(A97,'[50]geoMap (47)'!$A:$B,2,0)*VLOOKUP(A97,'[50]geoMap (47)'!$A:$C,3,0)</f>
        <v>#REF!</v>
      </c>
      <c r="AX97" s="4" t="e">
        <f>AW97/VLOOKUP(A97,'[51]geoMap (48)'!$A:$B,2,0)*VLOOKUP(A97,'[51]geoMap (48)'!$A:$C,3,0)</f>
        <v>#REF!</v>
      </c>
      <c r="AY97" s="1" t="e">
        <f>AX97/VLOOKUP(A97,'[52]geoMap (49)'!$A:$B,2,0)*VLOOKUP(A97,'[52]geoMap (49)'!$A:$C,3,0)</f>
        <v>#REF!</v>
      </c>
      <c r="AZ97" s="4" t="e">
        <f>AY97/VLOOKUP(A97,'[53]geoMap (50)'!$A:$B,2,0)*VLOOKUP(A97,'[53]geoMap (50)'!$A:$C,3,0)</f>
        <v>#REF!</v>
      </c>
      <c r="BA97" s="1" t="e">
        <f>AZ97/VLOOKUP(A97,'[54]geoMap (51)'!$A:$B,2,0)*VLOOKUP(A97,'[54]geoMap (51)'!$A:$C,3,0)</f>
        <v>#REF!</v>
      </c>
      <c r="BB97" s="4" t="e">
        <f>BA97/VLOOKUP(A97,'[55]geoMap (52)'!$A:$B,2,0)*VLOOKUP(A97,'[55]geoMap (52)'!$A:$C,3,0)</f>
        <v>#REF!</v>
      </c>
      <c r="BC97" s="1" t="e">
        <f>BB97/VLOOKUP(A97,'[56]geoMap (53)'!$A:$B,2,0)*VLOOKUP(A97,'[56]geoMap (53)'!$A:$C,3,0)</f>
        <v>#REF!</v>
      </c>
      <c r="BD97" s="4" t="e">
        <f>BC97/VLOOKUP(A97,'[57]geoMap (54)'!$A:$B,2,0)*VLOOKUP(A97,'[57]geoMap (54)'!$A:$C,3,0)</f>
        <v>#REF!</v>
      </c>
      <c r="BE97" s="1" t="e">
        <f>BD97/VLOOKUP(A97,'[58]geoMap (55)'!$A:$B,2,0)*VLOOKUP(A97,'[58]geoMap (55)'!$A:$C,3,0)</f>
        <v>#REF!</v>
      </c>
      <c r="BF97" s="4" t="e">
        <f>BE97/VLOOKUP(A97,'[59]geoMap (56)'!$A:$B,2,0)*VLOOKUP(A97,'[59]geoMap (56)'!$A:$C,3,0)</f>
        <v>#REF!</v>
      </c>
      <c r="BG97" s="1" t="e">
        <f>BF97/VLOOKUP(A97,'[60]geoMap (57)'!$A:$B,2,0)*VLOOKUP(A97,'[60]geoMap (57)'!$A:$C,3,0)</f>
        <v>#REF!</v>
      </c>
      <c r="BH97" s="4" t="e">
        <f>BG97/VLOOKUP(A97,'[61]geoMap (58)'!$A:$B,2,0)*VLOOKUP(A97,'[61]geoMap (58)'!$A:$C,3,0)</f>
        <v>#REF!</v>
      </c>
      <c r="BI97" s="1" t="e">
        <f>BH97/VLOOKUP(A97,'[62]geoMap (59)'!$A:$B,2,0)*VLOOKUP(A97,'[62]geoMap (59)'!$A:$C,3,0)</f>
        <v>#REF!</v>
      </c>
      <c r="BJ97" s="4" t="e">
        <f>BI97/VLOOKUP(A97,'[63]geoMap (60)'!$A:$B,2,0)*VLOOKUP(A97,'[63]geoMap (60)'!$A:$C,3,0)</f>
        <v>#REF!</v>
      </c>
      <c r="BK97" s="1" t="e">
        <f>BJ97/VLOOKUP(A97,'[64]geoMap (61)'!$A:$B,2,0)*VLOOKUP(A97,'[64]geoMap (61)'!$A:$C,3,0)</f>
        <v>#REF!</v>
      </c>
      <c r="BL97" s="4" t="e">
        <f>BK97/VLOOKUP(A97,'[65]geoMap (62)'!$A:$B,2,0)*VLOOKUP(A97,'[65]geoMap (62)'!$A:$C,3,0)</f>
        <v>#REF!</v>
      </c>
      <c r="BM97" s="1" t="e">
        <f>BL97/VLOOKUP(A97,'[66]geoMap (63)'!$A:$B,2,0)*VLOOKUP(A97,'[66]geoMap (63)'!$A:$C,3,0)</f>
        <v>#REF!</v>
      </c>
      <c r="BN97" s="4" t="e">
        <f>BM97/VLOOKUP(A97,'[67]geoMap (64)'!$A:$B,2,0)*VLOOKUP(A97,'[67]geoMap (64)'!$A:$C,3,0)</f>
        <v>#REF!</v>
      </c>
      <c r="BO97" s="1" t="e">
        <f>BN97/VLOOKUP(A97,'[68]geoMap (65)'!$A:$B,2,0)*VLOOKUP(A97,'[68]geoMap (65)'!$A:$C,3,0)</f>
        <v>#REF!</v>
      </c>
      <c r="BP97" s="4" t="e">
        <f>BO97/VLOOKUP(A97,'[69]geoMap (66)'!$A:$B,2,0)*VLOOKUP(A97,'[69]geoMap (66)'!$A:$C,3,0)</f>
        <v>#REF!</v>
      </c>
    </row>
    <row r="98" spans="1:68" x14ac:dyDescent="0.2">
      <c r="A98" s="1" t="s">
        <v>38</v>
      </c>
      <c r="B98" s="1" t="e">
        <f>VLOOKUP(A98,[3]geoMap!$A:$B,2,0)*Notes!$C$6</f>
        <v>#REF!</v>
      </c>
      <c r="C98" s="1" t="e">
        <f>B98/VLOOKUP(A98,'[4]geoMap (1)'!$A:$B,2,0)*VLOOKUP(A98,'[4]geoMap (1)'!$A:$C,3,0)</f>
        <v>#REF!</v>
      </c>
      <c r="D98" s="1" t="e">
        <f>C98/VLOOKUP(A98,'[5]geoMap (2)'!$A:$B,2,0)*VLOOKUP(A98,'[5]geoMap (2)'!$A:$C,3,0)</f>
        <v>#REF!</v>
      </c>
      <c r="E98" s="1" t="e">
        <f>D98/VLOOKUP(A98,'[6]geoMap (3)'!$A:$B,2,0)*VLOOKUP(A98,'[6]geoMap (3)'!$A:$C,3,0)</f>
        <v>#REF!</v>
      </c>
      <c r="F98" s="1" t="e">
        <f>E98/VLOOKUP(A98,'[7]geoMap (4)'!$A:$B,2,0)*VLOOKUP(A98,'[7]geoMap (4)'!$A:$C,3,0)</f>
        <v>#REF!</v>
      </c>
      <c r="G98" s="1" t="e">
        <f>F98/VLOOKUP(A98,'[8]geoMap (5)'!$A:$B,2,0)*VLOOKUP(A98,'[8]geoMap (5)'!$A:$C,3,0)</f>
        <v>#REF!</v>
      </c>
      <c r="H98" s="1" t="e">
        <f>G98/VLOOKUP(A98,'[9]geoMap (6)'!$A:$B,2,0)*VLOOKUP(A98,'[9]geoMap (6)'!$A:$C,3,0)</f>
        <v>#REF!</v>
      </c>
      <c r="I98" s="1" t="e">
        <f>H98/VLOOKUP(A98,'[10]geoMap (7)'!$A:$B,2,0)*VLOOKUP(A98,'[10]geoMap (7)'!$A:$C,3,0)</f>
        <v>#REF!</v>
      </c>
      <c r="J98" s="1" t="e">
        <f>I98/VLOOKUP(A98,'[11]geoMap (8)'!$A:$B,2,0)*VLOOKUP(A98,'[11]geoMap (8)'!$A:$C,3,0)</f>
        <v>#REF!</v>
      </c>
      <c r="K98" s="1" t="e">
        <f>J98/VLOOKUP(A98,'[12]geoMap (9)'!$A:$B,2,0)*VLOOKUP(A98,'[12]geoMap (9)'!$A:$C,3,0)</f>
        <v>#REF!</v>
      </c>
      <c r="L98" s="1" t="e">
        <f>K98/VLOOKUP(A98,'[13]geoMap (10)'!$A:$B,2,0)*VLOOKUP(A98,'[13]geoMap (10)'!$A:$C,3,0)</f>
        <v>#REF!</v>
      </c>
      <c r="M98" s="1" t="e">
        <f>L98/VLOOKUP(A98,'[14]geoMap (11)'!$A:$B,2,0)*VLOOKUP(A98,'[14]geoMap (11)'!$A:$C,3,0)</f>
        <v>#REF!</v>
      </c>
      <c r="N98" s="1" t="e">
        <f>M98/VLOOKUP(A98,'[15]geoMap (12)'!$A:$B,2,0)*VLOOKUP(A98,'[15]geoMap (12)'!$A:$C,3,0)</f>
        <v>#REF!</v>
      </c>
      <c r="O98" s="1" t="e">
        <f>N98/VLOOKUP(A98,'[16]geoMap (13)'!$A:$B,2,0)*VLOOKUP(A98,'[16]geoMap (13)'!$A:$C,3,0)</f>
        <v>#REF!</v>
      </c>
      <c r="P98" s="1" t="e">
        <f>O98/VLOOKUP(A98,'[17]geoMap (14)'!$A:$B,2,0)*VLOOKUP(A98,'[17]geoMap (14)'!$A:$C,3,0)</f>
        <v>#REF!</v>
      </c>
      <c r="Q98" s="1" t="e">
        <f>P98/VLOOKUP(A98,'[18]geoMap (15)'!$A:$B,2,0)*VLOOKUP(A98,'[18]geoMap (15)'!$A:$C,3,0)</f>
        <v>#REF!</v>
      </c>
      <c r="R98" s="1" t="e">
        <f>Q98/VLOOKUP(A98,'[19]geoMap (16)'!$A:$B,2,0)*VLOOKUP(A98,'[19]geoMap (16)'!$A:$C,3,0)</f>
        <v>#REF!</v>
      </c>
      <c r="S98" s="1" t="e">
        <f>R98/VLOOKUP(A98,'[20]geoMap (17)'!$A:$B,2,0)*VLOOKUP(A98,'[20]geoMap (17)'!$A:$C,3,0)</f>
        <v>#REF!</v>
      </c>
      <c r="T98" s="1" t="e">
        <f>S98/VLOOKUP(A98,'[21]geoMap (18)'!$A:$B,2,0)*VLOOKUP(A98,'[21]geoMap (18)'!$A:$C,3,0)</f>
        <v>#REF!</v>
      </c>
      <c r="U98" s="1" t="e">
        <f>T98/VLOOKUP(A98,'[22]geoMap (19)'!$A:$B,2,0)*VLOOKUP(A98,'[22]geoMap (19)'!$A:$C,3,0)</f>
        <v>#REF!</v>
      </c>
      <c r="V98" s="1" t="e">
        <f>U98/VLOOKUP(A98,'[23]geoMap (20)'!$A:$B,2,0)*VLOOKUP(A98,'[23]geoMap (20)'!$A:$C,3,0)</f>
        <v>#REF!</v>
      </c>
      <c r="W98" s="1" t="e">
        <f>V98/VLOOKUP(A98,'[24]geoMap (21)'!$A:$B,2,0)*VLOOKUP(A98,'[24]geoMap (21)'!$A:$C,3,0)</f>
        <v>#REF!</v>
      </c>
      <c r="X98" s="1" t="e">
        <f>W98/VLOOKUP(A98,'[25]geoMap (22)'!$A:$B,2,0)*VLOOKUP(A98,'[25]geoMap (22)'!$A:$C,3,0)</f>
        <v>#REF!</v>
      </c>
      <c r="Y98" s="1" t="e">
        <f>X98/VLOOKUP(A98,'[26]geoMap (23)'!$A:$B,2,0)*VLOOKUP(A98,'[26]geoMap (23)'!$A:$C,3,0)</f>
        <v>#REF!</v>
      </c>
      <c r="Z98" s="1" t="e">
        <f>Y98/VLOOKUP(A98,'[27]geoMap (24)'!$A:$B,2,0)*VLOOKUP(A98,'[27]geoMap (24)'!$A:$C,3,0)</f>
        <v>#REF!</v>
      </c>
      <c r="AA98" s="1" t="e">
        <f>Z98/VLOOKUP(A98,'[28]geoMap (25)'!$A:$B,2,0)*VLOOKUP(A98,'[28]geoMap (25)'!$A:$C,3,0)</f>
        <v>#REF!</v>
      </c>
      <c r="AB98" s="1" t="e">
        <f>AA98*VLOOKUP(A98,'[29]geoMap (26)'!$A:$B,2,0)*VLOOKUP(A98,'[29]geoMap (26)'!$A:$C,3,0)</f>
        <v>#REF!</v>
      </c>
      <c r="AC98" s="1" t="e">
        <f>AB98/VLOOKUP(A98,'[30]geoMap (27)'!$A:$B,2,0)*VLOOKUP(A98,'[30]geoMap (27)'!$A:$C,3,0)</f>
        <v>#REF!</v>
      </c>
      <c r="AD98" s="1" t="e">
        <f>AC98/VLOOKUP(A98,'[31]geoMap (28)'!$A:$B,2,0)*VLOOKUP(A98,'[31]geoMap (28)'!$A:$C,3,0)</f>
        <v>#REF!</v>
      </c>
      <c r="AE98" s="1" t="e">
        <f>AD98/VLOOKUP(A98,'[32]geoMap (29)'!$A:$B,2,0)*VLOOKUP(A98,'[32]geoMap (29)'!$A:$C,3,0)</f>
        <v>#REF!</v>
      </c>
      <c r="AF98" s="1" t="e">
        <f>AE98/VLOOKUP(A98,'[33]geoMap (30)'!$A:$B,2,0)*VLOOKUP(A98,'[33]geoMap (30)'!$A:$C,3,0)</f>
        <v>#REF!</v>
      </c>
      <c r="AG98" s="1" t="e">
        <f>AF98/VLOOKUP(A98,'[34]geoMap (31)'!$A:$B,2,0)*VLOOKUP(A98,'[34]geoMap (31)'!$A:$C,3,0)</f>
        <v>#REF!</v>
      </c>
      <c r="AH98" s="1" t="e">
        <f>AG98/VLOOKUP(A98,'[35]geoMap (32)'!$A:$B,2,0)*VLOOKUP(A98,'[35]geoMap (32)'!$A:$C,3,0)</f>
        <v>#REF!</v>
      </c>
      <c r="AI98" s="1" t="e">
        <f>AH98/VLOOKUP(A98,'[36]geoMap (33)'!$A:$B,2,0)*VLOOKUP(A98,'[36]geoMap (33)'!$A:$C,3,0)</f>
        <v>#REF!</v>
      </c>
      <c r="AJ98" s="1" t="e">
        <f>AI98/VLOOKUP(A98,'[37]geoMap (34)'!$A:$B,2,0)*VLOOKUP(A98,'[37]geoMap (34)'!$A:$C,3,0)</f>
        <v>#REF!</v>
      </c>
      <c r="AK98" s="1" t="e">
        <f>AJ98/VLOOKUP(A98,'[38]geoMap (35)'!$A:$B,2,0)*VLOOKUP(A98,'[38]geoMap (35)'!$A:$C,3,0)</f>
        <v>#REF!</v>
      </c>
      <c r="AL98" s="1" t="e">
        <f>AK98/VLOOKUP(A98,'[39]geoMap (36)'!$A:$B,2,0)*VLOOKUP(A98,'[39]geoMap (36)'!$A:$C,3,0)</f>
        <v>#REF!</v>
      </c>
      <c r="AM98" s="1" t="e">
        <f>AL98/VLOOKUP(A98,'[40]geoMap (37)'!$A:$B,2,0)*VLOOKUP(A98,'[40]geoMap (37)'!$A:$C,3,0)</f>
        <v>#REF!</v>
      </c>
      <c r="AN98" s="1" t="e">
        <f>AM98/VLOOKUP(A98,'[41]geoMap (38)'!$A:$B,2,0)*VLOOKUP(A98,'[41]geoMap (38)'!$A:$C,3,0)</f>
        <v>#REF!</v>
      </c>
      <c r="AO98" s="1" t="e">
        <f>AN98/VLOOKUP(A98,'[42]geoMap (39)'!$A:$B,2,0)*VLOOKUP(A98,'[42]geoMap (39)'!$A:$C,3,0)</f>
        <v>#REF!</v>
      </c>
      <c r="AP98" s="1" t="e">
        <f>AO98/VLOOKUP(A98,'[43]geoMap (40)'!$A:$B,2,0)*VLOOKUP(A98,'[43]geoMap (40)'!$A:$C,3,0)</f>
        <v>#REF!</v>
      </c>
      <c r="AQ98" s="1" t="e">
        <f>AP98/VLOOKUP(A98,'[44]geoMap (41)'!$A:$B,2,0)*VLOOKUP(A98,'[44]geoMap (41)'!$A:$C,3,0)</f>
        <v>#REF!</v>
      </c>
      <c r="AR98" s="1" t="e">
        <f>AQ98/VLOOKUP(A98,'[45]geoMap (42)'!$A:$B,2,0)*VLOOKUP(A98,'[45]geoMap (42)'!$A:$C,3,0)</f>
        <v>#REF!</v>
      </c>
      <c r="AS98" s="1" t="e">
        <f>AR98/VLOOKUP(A98,'[46]geoMap (43)'!$A:$B,2,0)*VLOOKUP(A98,'[46]geoMap (43)'!$A:$C,3,0)</f>
        <v>#REF!</v>
      </c>
      <c r="AT98" s="1" t="e">
        <f>AS98/VLOOKUP(A98,'[47]geoMap (44)'!$A:$B,2,0)*VLOOKUP(A98,'[47]geoMap (44)'!$A:$C,3,0)</f>
        <v>#REF!</v>
      </c>
      <c r="AU98" s="1" t="e">
        <f>AT98/VLOOKUP(A98,'[48]geoMap (45)'!$A:$B,2,0)*VLOOKUP(A98,'[48]geoMap (45)'!$A:$C,3,0)</f>
        <v>#REF!</v>
      </c>
      <c r="AV98" s="1" t="e">
        <f>AU98/VLOOKUP(A98,'[49]geoMap (46)'!$A:$B,2,0)*VLOOKUP(A98,'[49]geoMap (46)'!$A:$C,3,0)</f>
        <v>#REF!</v>
      </c>
      <c r="AW98" s="1" t="e">
        <f>AV98/VLOOKUP(A98,'[50]geoMap (47)'!$A:$B,2,0)*VLOOKUP(A98,'[50]geoMap (47)'!$A:$C,3,0)</f>
        <v>#REF!</v>
      </c>
      <c r="AX98" s="4" t="e">
        <f>AW98/VLOOKUP(A98,'[51]geoMap (48)'!$A:$B,2,0)*VLOOKUP(A98,'[51]geoMap (48)'!$A:$C,3,0)</f>
        <v>#REF!</v>
      </c>
      <c r="AY98" s="1" t="e">
        <f>AX98/VLOOKUP(A98,'[52]geoMap (49)'!$A:$B,2,0)*VLOOKUP(A98,'[52]geoMap (49)'!$A:$C,3,0)</f>
        <v>#REF!</v>
      </c>
      <c r="AZ98" s="4" t="e">
        <f>AY98/VLOOKUP(A98,'[53]geoMap (50)'!$A:$B,2,0)*VLOOKUP(A98,'[53]geoMap (50)'!$A:$C,3,0)</f>
        <v>#REF!</v>
      </c>
      <c r="BA98" s="1" t="e">
        <f>AZ98/VLOOKUP(A98,'[54]geoMap (51)'!$A:$B,2,0)*VLOOKUP(A98,'[54]geoMap (51)'!$A:$C,3,0)</f>
        <v>#REF!</v>
      </c>
      <c r="BB98" s="4" t="e">
        <f>BA98/VLOOKUP(A98,'[55]geoMap (52)'!$A:$B,2,0)*VLOOKUP(A98,'[55]geoMap (52)'!$A:$C,3,0)</f>
        <v>#REF!</v>
      </c>
      <c r="BC98" s="1" t="e">
        <f>BB98/VLOOKUP(A98,'[56]geoMap (53)'!$A:$B,2,0)*VLOOKUP(A98,'[56]geoMap (53)'!$A:$C,3,0)</f>
        <v>#REF!</v>
      </c>
      <c r="BD98" s="4" t="e">
        <f>BC98/VLOOKUP(A98,'[57]geoMap (54)'!$A:$B,2,0)*VLOOKUP(A98,'[57]geoMap (54)'!$A:$C,3,0)</f>
        <v>#REF!</v>
      </c>
      <c r="BE98" s="1" t="e">
        <f>BD98/VLOOKUP(A98,'[58]geoMap (55)'!$A:$B,2,0)*VLOOKUP(A98,'[58]geoMap (55)'!$A:$C,3,0)</f>
        <v>#REF!</v>
      </c>
      <c r="BF98" s="4" t="e">
        <f>BE98/VLOOKUP(A98,'[59]geoMap (56)'!$A:$B,2,0)*VLOOKUP(A98,'[59]geoMap (56)'!$A:$C,3,0)</f>
        <v>#REF!</v>
      </c>
      <c r="BG98" s="1" t="e">
        <f>BF98/VLOOKUP(A98,'[60]geoMap (57)'!$A:$B,2,0)*VLOOKUP(A98,'[60]geoMap (57)'!$A:$C,3,0)</f>
        <v>#REF!</v>
      </c>
      <c r="BH98" s="4" t="e">
        <f>BG98/VLOOKUP(A98,'[61]geoMap (58)'!$A:$B,2,0)*VLOOKUP(A98,'[61]geoMap (58)'!$A:$C,3,0)</f>
        <v>#REF!</v>
      </c>
      <c r="BI98" s="1" t="e">
        <f>BH98/VLOOKUP(A98,'[62]geoMap (59)'!$A:$B,2,0)*VLOOKUP(A98,'[62]geoMap (59)'!$A:$C,3,0)</f>
        <v>#REF!</v>
      </c>
      <c r="BJ98" s="4" t="e">
        <f>BI98/VLOOKUP(A98,'[63]geoMap (60)'!$A:$B,2,0)*VLOOKUP(A98,'[63]geoMap (60)'!$A:$C,3,0)</f>
        <v>#REF!</v>
      </c>
      <c r="BK98" s="1" t="e">
        <f>BJ98/VLOOKUP(A98,'[64]geoMap (61)'!$A:$B,2,0)*VLOOKUP(A98,'[64]geoMap (61)'!$A:$C,3,0)</f>
        <v>#REF!</v>
      </c>
      <c r="BL98" s="4" t="e">
        <f>BK98/VLOOKUP(A98,'[65]geoMap (62)'!$A:$B,2,0)*VLOOKUP(A98,'[65]geoMap (62)'!$A:$C,3,0)</f>
        <v>#REF!</v>
      </c>
      <c r="BM98" s="1" t="e">
        <f>BL98/VLOOKUP(A98,'[66]geoMap (63)'!$A:$B,2,0)*VLOOKUP(A98,'[66]geoMap (63)'!$A:$C,3,0)</f>
        <v>#REF!</v>
      </c>
      <c r="BN98" s="4" t="e">
        <f>BM98/VLOOKUP(A98,'[67]geoMap (64)'!$A:$B,2,0)*VLOOKUP(A98,'[67]geoMap (64)'!$A:$C,3,0)</f>
        <v>#REF!</v>
      </c>
      <c r="BO98" s="1" t="e">
        <f>BN98/VLOOKUP(A98,'[68]geoMap (65)'!$A:$B,2,0)*VLOOKUP(A98,'[68]geoMap (65)'!$A:$C,3,0)</f>
        <v>#REF!</v>
      </c>
      <c r="BP98" s="4" t="e">
        <f>BO98/VLOOKUP(A98,'[69]geoMap (66)'!$A:$B,2,0)*VLOOKUP(A98,'[69]geoMap (66)'!$A:$C,3,0)</f>
        <v>#REF!</v>
      </c>
    </row>
    <row r="99" spans="1:68" x14ac:dyDescent="0.2">
      <c r="A99" s="1" t="s">
        <v>39</v>
      </c>
      <c r="B99" s="1" t="e">
        <f>VLOOKUP(A99,[3]geoMap!$A:$B,2,0)*Notes!$C$6</f>
        <v>#REF!</v>
      </c>
      <c r="C99" s="1" t="e">
        <f>B99/VLOOKUP(A99,'[4]geoMap (1)'!$A:$B,2,0)*VLOOKUP(A99,'[4]geoMap (1)'!$A:$C,3,0)</f>
        <v>#REF!</v>
      </c>
      <c r="D99" s="1" t="e">
        <f>C99/VLOOKUP(A99,'[5]geoMap (2)'!$A:$B,2,0)*VLOOKUP(A99,'[5]geoMap (2)'!$A:$C,3,0)</f>
        <v>#REF!</v>
      </c>
      <c r="E99" s="1" t="e">
        <f>D99/VLOOKUP(A99,'[6]geoMap (3)'!$A:$B,2,0)*VLOOKUP(A99,'[6]geoMap (3)'!$A:$C,3,0)</f>
        <v>#REF!</v>
      </c>
      <c r="F99" s="1" t="e">
        <f>E99/VLOOKUP(A99,'[7]geoMap (4)'!$A:$B,2,0)*VLOOKUP(A99,'[7]geoMap (4)'!$A:$C,3,0)</f>
        <v>#REF!</v>
      </c>
      <c r="G99" s="1" t="e">
        <f>F99/VLOOKUP(A99,'[8]geoMap (5)'!$A:$B,2,0)*VLOOKUP(A99,'[8]geoMap (5)'!$A:$C,3,0)</f>
        <v>#REF!</v>
      </c>
      <c r="H99" s="1" t="e">
        <f>G99/VLOOKUP(A99,'[9]geoMap (6)'!$A:$B,2,0)*VLOOKUP(A99,'[9]geoMap (6)'!$A:$C,3,0)</f>
        <v>#REF!</v>
      </c>
      <c r="I99" s="1" t="e">
        <f>H99/VLOOKUP(A99,'[10]geoMap (7)'!$A:$B,2,0)*VLOOKUP(A99,'[10]geoMap (7)'!$A:$C,3,0)</f>
        <v>#REF!</v>
      </c>
      <c r="J99" s="1" t="e">
        <f>I99/VLOOKUP(A99,'[11]geoMap (8)'!$A:$B,2,0)*VLOOKUP(A99,'[11]geoMap (8)'!$A:$C,3,0)</f>
        <v>#REF!</v>
      </c>
      <c r="K99" s="1" t="e">
        <f>J99/VLOOKUP(A99,'[12]geoMap (9)'!$A:$B,2,0)*VLOOKUP(A99,'[12]geoMap (9)'!$A:$C,3,0)</f>
        <v>#REF!</v>
      </c>
      <c r="L99" s="1" t="e">
        <f>K99/VLOOKUP(A99,'[13]geoMap (10)'!$A:$B,2,0)*VLOOKUP(A99,'[13]geoMap (10)'!$A:$C,3,0)</f>
        <v>#REF!</v>
      </c>
      <c r="M99" s="1" t="e">
        <f>L99/VLOOKUP(A99,'[14]geoMap (11)'!$A:$B,2,0)*VLOOKUP(A99,'[14]geoMap (11)'!$A:$C,3,0)</f>
        <v>#REF!</v>
      </c>
      <c r="N99" s="1" t="e">
        <f>M99/VLOOKUP(A99,'[15]geoMap (12)'!$A:$B,2,0)*VLOOKUP(A99,'[15]geoMap (12)'!$A:$C,3,0)</f>
        <v>#REF!</v>
      </c>
      <c r="O99" s="1" t="e">
        <f>N99/VLOOKUP(A99,'[16]geoMap (13)'!$A:$B,2,0)*VLOOKUP(A99,'[16]geoMap (13)'!$A:$C,3,0)</f>
        <v>#REF!</v>
      </c>
      <c r="P99" s="1" t="e">
        <f>O99/VLOOKUP(A99,'[17]geoMap (14)'!$A:$B,2,0)*VLOOKUP(A99,'[17]geoMap (14)'!$A:$C,3,0)</f>
        <v>#REF!</v>
      </c>
      <c r="Q99" s="1" t="e">
        <f>P99/VLOOKUP(A99,'[18]geoMap (15)'!$A:$B,2,0)*VLOOKUP(A99,'[18]geoMap (15)'!$A:$C,3,0)</f>
        <v>#REF!</v>
      </c>
      <c r="R99" s="1" t="e">
        <f>Q99/VLOOKUP(A99,'[19]geoMap (16)'!$A:$B,2,0)*VLOOKUP(A99,'[19]geoMap (16)'!$A:$C,3,0)</f>
        <v>#REF!</v>
      </c>
      <c r="S99" s="1" t="e">
        <f>R99/VLOOKUP(A99,'[20]geoMap (17)'!$A:$B,2,0)*VLOOKUP(A99,'[20]geoMap (17)'!$A:$C,3,0)</f>
        <v>#REF!</v>
      </c>
      <c r="T99" s="1" t="e">
        <f>S99/VLOOKUP(A99,'[21]geoMap (18)'!$A:$B,2,0)*VLOOKUP(A99,'[21]geoMap (18)'!$A:$C,3,0)</f>
        <v>#REF!</v>
      </c>
      <c r="U99" s="1" t="e">
        <f>T99/VLOOKUP(A99,'[22]geoMap (19)'!$A:$B,2,0)*VLOOKUP(A99,'[22]geoMap (19)'!$A:$C,3,0)</f>
        <v>#REF!</v>
      </c>
      <c r="V99" s="1" t="e">
        <f>U99/VLOOKUP(A99,'[23]geoMap (20)'!$A:$B,2,0)*VLOOKUP(A99,'[23]geoMap (20)'!$A:$C,3,0)</f>
        <v>#REF!</v>
      </c>
      <c r="W99" s="1" t="e">
        <f>V99/VLOOKUP(A99,'[24]geoMap (21)'!$A:$B,2,0)*VLOOKUP(A99,'[24]geoMap (21)'!$A:$C,3,0)</f>
        <v>#REF!</v>
      </c>
      <c r="X99" s="1" t="e">
        <f>W99/VLOOKUP(A99,'[25]geoMap (22)'!$A:$B,2,0)*VLOOKUP(A99,'[25]geoMap (22)'!$A:$C,3,0)</f>
        <v>#REF!</v>
      </c>
      <c r="Y99" s="1" t="e">
        <f>X99/VLOOKUP(A99,'[26]geoMap (23)'!$A:$B,2,0)*VLOOKUP(A99,'[26]geoMap (23)'!$A:$C,3,0)</f>
        <v>#REF!</v>
      </c>
      <c r="Z99" s="1" t="e">
        <f>Y99/VLOOKUP(A99,'[27]geoMap (24)'!$A:$B,2,0)*VLOOKUP(A99,'[27]geoMap (24)'!$A:$C,3,0)</f>
        <v>#REF!</v>
      </c>
      <c r="AA99" s="1" t="e">
        <f>Z99/VLOOKUP(A99,'[28]geoMap (25)'!$A:$B,2,0)*VLOOKUP(A99,'[28]geoMap (25)'!$A:$C,3,0)</f>
        <v>#REF!</v>
      </c>
      <c r="AB99" s="1" t="e">
        <f>AA99*VLOOKUP(A99,'[29]geoMap (26)'!$A:$B,2,0)*VLOOKUP(A99,'[29]geoMap (26)'!$A:$C,3,0)</f>
        <v>#REF!</v>
      </c>
      <c r="AC99" s="1" t="e">
        <f>AB99/VLOOKUP(A99,'[30]geoMap (27)'!$A:$B,2,0)*VLOOKUP(A99,'[30]geoMap (27)'!$A:$C,3,0)</f>
        <v>#REF!</v>
      </c>
      <c r="AD99" s="1" t="e">
        <f>AC99/VLOOKUP(A99,'[31]geoMap (28)'!$A:$B,2,0)*VLOOKUP(A99,'[31]geoMap (28)'!$A:$C,3,0)</f>
        <v>#REF!</v>
      </c>
      <c r="AE99" s="1" t="e">
        <f>AD99/VLOOKUP(A99,'[32]geoMap (29)'!$A:$B,2,0)*VLOOKUP(A99,'[32]geoMap (29)'!$A:$C,3,0)</f>
        <v>#REF!</v>
      </c>
      <c r="AF99" s="1" t="e">
        <f>AE99/VLOOKUP(A99,'[33]geoMap (30)'!$A:$B,2,0)*VLOOKUP(A99,'[33]geoMap (30)'!$A:$C,3,0)</f>
        <v>#REF!</v>
      </c>
      <c r="AG99" s="1" t="e">
        <f>AF99/VLOOKUP(A99,'[34]geoMap (31)'!$A:$B,2,0)*VLOOKUP(A99,'[34]geoMap (31)'!$A:$C,3,0)</f>
        <v>#REF!</v>
      </c>
      <c r="AH99" s="1" t="e">
        <f>AG99/VLOOKUP(A99,'[35]geoMap (32)'!$A:$B,2,0)*VLOOKUP(A99,'[35]geoMap (32)'!$A:$C,3,0)</f>
        <v>#REF!</v>
      </c>
      <c r="AI99" s="1" t="e">
        <f>AH99/VLOOKUP(A99,'[36]geoMap (33)'!$A:$B,2,0)*VLOOKUP(A99,'[36]geoMap (33)'!$A:$C,3,0)</f>
        <v>#REF!</v>
      </c>
      <c r="AJ99" s="1" t="e">
        <f>AI99/VLOOKUP(A99,'[37]geoMap (34)'!$A:$B,2,0)*VLOOKUP(A99,'[37]geoMap (34)'!$A:$C,3,0)</f>
        <v>#REF!</v>
      </c>
      <c r="AK99" s="1" t="e">
        <f>AJ99/VLOOKUP(A99,'[38]geoMap (35)'!$A:$B,2,0)*VLOOKUP(A99,'[38]geoMap (35)'!$A:$C,3,0)</f>
        <v>#REF!</v>
      </c>
      <c r="AL99" s="1" t="e">
        <f>AK99/VLOOKUP(A99,'[39]geoMap (36)'!$A:$B,2,0)*VLOOKUP(A99,'[39]geoMap (36)'!$A:$C,3,0)</f>
        <v>#REF!</v>
      </c>
      <c r="AM99" s="1" t="e">
        <f>AL99/VLOOKUP(A99,'[40]geoMap (37)'!$A:$B,2,0)*VLOOKUP(A99,'[40]geoMap (37)'!$A:$C,3,0)</f>
        <v>#REF!</v>
      </c>
      <c r="AN99" s="1" t="e">
        <f>AM99/VLOOKUP(A99,'[41]geoMap (38)'!$A:$B,2,0)*VLOOKUP(A99,'[41]geoMap (38)'!$A:$C,3,0)</f>
        <v>#REF!</v>
      </c>
      <c r="AO99" s="1" t="e">
        <f>AN99/VLOOKUP(A99,'[42]geoMap (39)'!$A:$B,2,0)*VLOOKUP(A99,'[42]geoMap (39)'!$A:$C,3,0)</f>
        <v>#REF!</v>
      </c>
      <c r="AP99" s="1" t="e">
        <f>AO99/VLOOKUP(A99,'[43]geoMap (40)'!$A:$B,2,0)*VLOOKUP(A99,'[43]geoMap (40)'!$A:$C,3,0)</f>
        <v>#REF!</v>
      </c>
      <c r="AQ99" s="1" t="e">
        <f>AP99/VLOOKUP(A99,'[44]geoMap (41)'!$A:$B,2,0)*VLOOKUP(A99,'[44]geoMap (41)'!$A:$C,3,0)</f>
        <v>#REF!</v>
      </c>
      <c r="AR99" s="1" t="e">
        <f>AQ99/VLOOKUP(A99,'[45]geoMap (42)'!$A:$B,2,0)*VLOOKUP(A99,'[45]geoMap (42)'!$A:$C,3,0)</f>
        <v>#REF!</v>
      </c>
      <c r="AS99" s="1" t="e">
        <f>AR99/VLOOKUP(A99,'[46]geoMap (43)'!$A:$B,2,0)*VLOOKUP(A99,'[46]geoMap (43)'!$A:$C,3,0)</f>
        <v>#REF!</v>
      </c>
      <c r="AT99" s="1" t="e">
        <f>AS99/VLOOKUP(A99,'[47]geoMap (44)'!$A:$B,2,0)*VLOOKUP(A99,'[47]geoMap (44)'!$A:$C,3,0)</f>
        <v>#REF!</v>
      </c>
      <c r="AU99" s="1" t="e">
        <f>AT99/VLOOKUP(A99,'[48]geoMap (45)'!$A:$B,2,0)*VLOOKUP(A99,'[48]geoMap (45)'!$A:$C,3,0)</f>
        <v>#REF!</v>
      </c>
      <c r="AV99" s="1" t="e">
        <f>AU99/VLOOKUP(A99,'[49]geoMap (46)'!$A:$B,2,0)*VLOOKUP(A99,'[49]geoMap (46)'!$A:$C,3,0)</f>
        <v>#REF!</v>
      </c>
      <c r="AW99" s="1" t="e">
        <f>AV99/VLOOKUP(A99,'[50]geoMap (47)'!$A:$B,2,0)*VLOOKUP(A99,'[50]geoMap (47)'!$A:$C,3,0)</f>
        <v>#REF!</v>
      </c>
      <c r="AX99" s="4" t="e">
        <f>AW99/VLOOKUP(A99,'[51]geoMap (48)'!$A:$B,2,0)*VLOOKUP(A99,'[51]geoMap (48)'!$A:$C,3,0)</f>
        <v>#REF!</v>
      </c>
      <c r="AY99" s="1" t="e">
        <f>AX99/VLOOKUP(A99,'[52]geoMap (49)'!$A:$B,2,0)*VLOOKUP(A99,'[52]geoMap (49)'!$A:$C,3,0)</f>
        <v>#REF!</v>
      </c>
      <c r="AZ99" s="4" t="e">
        <f>AY99/VLOOKUP(A99,'[53]geoMap (50)'!$A:$B,2,0)*VLOOKUP(A99,'[53]geoMap (50)'!$A:$C,3,0)</f>
        <v>#REF!</v>
      </c>
      <c r="BA99" s="1" t="e">
        <f>AZ99/VLOOKUP(A99,'[54]geoMap (51)'!$A:$B,2,0)*VLOOKUP(A99,'[54]geoMap (51)'!$A:$C,3,0)</f>
        <v>#REF!</v>
      </c>
      <c r="BB99" s="4" t="e">
        <f>BA99/VLOOKUP(A99,'[55]geoMap (52)'!$A:$B,2,0)*VLOOKUP(A99,'[55]geoMap (52)'!$A:$C,3,0)</f>
        <v>#REF!</v>
      </c>
      <c r="BC99" s="1" t="e">
        <f>BB99/VLOOKUP(A99,'[56]geoMap (53)'!$A:$B,2,0)*VLOOKUP(A99,'[56]geoMap (53)'!$A:$C,3,0)</f>
        <v>#REF!</v>
      </c>
      <c r="BD99" s="4" t="e">
        <f>BC99/VLOOKUP(A99,'[57]geoMap (54)'!$A:$B,2,0)*VLOOKUP(A99,'[57]geoMap (54)'!$A:$C,3,0)</f>
        <v>#REF!</v>
      </c>
      <c r="BE99" s="1" t="e">
        <f>BD99/VLOOKUP(A99,'[58]geoMap (55)'!$A:$B,2,0)*VLOOKUP(A99,'[58]geoMap (55)'!$A:$C,3,0)</f>
        <v>#REF!</v>
      </c>
      <c r="BF99" s="4" t="e">
        <f>BE99/VLOOKUP(A99,'[59]geoMap (56)'!$A:$B,2,0)*VLOOKUP(A99,'[59]geoMap (56)'!$A:$C,3,0)</f>
        <v>#REF!</v>
      </c>
      <c r="BG99" s="1" t="e">
        <f>BF99/VLOOKUP(A99,'[60]geoMap (57)'!$A:$B,2,0)*VLOOKUP(A99,'[60]geoMap (57)'!$A:$C,3,0)</f>
        <v>#REF!</v>
      </c>
      <c r="BH99" s="4" t="e">
        <f>BG99/VLOOKUP(A99,'[61]geoMap (58)'!$A:$B,2,0)*VLOOKUP(A99,'[61]geoMap (58)'!$A:$C,3,0)</f>
        <v>#REF!</v>
      </c>
      <c r="BI99" s="1" t="e">
        <f>BH99/VLOOKUP(A99,'[62]geoMap (59)'!$A:$B,2,0)*VLOOKUP(A99,'[62]geoMap (59)'!$A:$C,3,0)</f>
        <v>#REF!</v>
      </c>
      <c r="BJ99" s="4" t="e">
        <f>BI99/VLOOKUP(A99,'[63]geoMap (60)'!$A:$B,2,0)*VLOOKUP(A99,'[63]geoMap (60)'!$A:$C,3,0)</f>
        <v>#REF!</v>
      </c>
      <c r="BK99" s="1" t="e">
        <f>BJ99/VLOOKUP(A99,'[64]geoMap (61)'!$A:$B,2,0)*VLOOKUP(A99,'[64]geoMap (61)'!$A:$C,3,0)</f>
        <v>#REF!</v>
      </c>
      <c r="BL99" s="4" t="e">
        <f>BK99/VLOOKUP(A99,'[65]geoMap (62)'!$A:$B,2,0)*VLOOKUP(A99,'[65]geoMap (62)'!$A:$C,3,0)</f>
        <v>#REF!</v>
      </c>
      <c r="BM99" s="1" t="e">
        <f>BL99/VLOOKUP(A99,'[66]geoMap (63)'!$A:$B,2,0)*VLOOKUP(A99,'[66]geoMap (63)'!$A:$C,3,0)</f>
        <v>#REF!</v>
      </c>
      <c r="BN99" s="4" t="e">
        <f>BM99/VLOOKUP(A99,'[67]geoMap (64)'!$A:$B,2,0)*VLOOKUP(A99,'[67]geoMap (64)'!$A:$C,3,0)</f>
        <v>#REF!</v>
      </c>
      <c r="BO99" s="1" t="e">
        <f>BN99/VLOOKUP(A99,'[68]geoMap (65)'!$A:$B,2,0)*VLOOKUP(A99,'[68]geoMap (65)'!$A:$C,3,0)</f>
        <v>#REF!</v>
      </c>
      <c r="BP99" s="4" t="e">
        <f>BO99/VLOOKUP(A99,'[69]geoMap (66)'!$A:$B,2,0)*VLOOKUP(A99,'[69]geoMap (66)'!$A:$C,3,0)</f>
        <v>#REF!</v>
      </c>
    </row>
    <row r="100" spans="1:68" x14ac:dyDescent="0.2">
      <c r="A100" s="1" t="s">
        <v>40</v>
      </c>
      <c r="B100" s="1" t="e">
        <f>VLOOKUP(A100,[3]geoMap!$A:$B,2,0)*Notes!$C$6</f>
        <v>#REF!</v>
      </c>
      <c r="C100" s="1" t="e">
        <f>B100/VLOOKUP(A100,'[4]geoMap (1)'!$A:$B,2,0)*VLOOKUP(A100,'[4]geoMap (1)'!$A:$C,3,0)</f>
        <v>#REF!</v>
      </c>
      <c r="D100" s="1" t="e">
        <f>C100/VLOOKUP(A100,'[5]geoMap (2)'!$A:$B,2,0)*VLOOKUP(A100,'[5]geoMap (2)'!$A:$C,3,0)</f>
        <v>#REF!</v>
      </c>
      <c r="E100" s="1" t="e">
        <f>D100/VLOOKUP(A100,'[6]geoMap (3)'!$A:$B,2,0)*VLOOKUP(A100,'[6]geoMap (3)'!$A:$C,3,0)</f>
        <v>#REF!</v>
      </c>
      <c r="F100" s="1" t="e">
        <f>E100/VLOOKUP(A100,'[7]geoMap (4)'!$A:$B,2,0)*VLOOKUP(A100,'[7]geoMap (4)'!$A:$C,3,0)</f>
        <v>#REF!</v>
      </c>
      <c r="G100" s="1" t="e">
        <f>F100/VLOOKUP(A100,'[8]geoMap (5)'!$A:$B,2,0)*VLOOKUP(A100,'[8]geoMap (5)'!$A:$C,3,0)</f>
        <v>#REF!</v>
      </c>
      <c r="H100" s="1" t="e">
        <f>G100/VLOOKUP(A100,'[9]geoMap (6)'!$A:$B,2,0)*VLOOKUP(A100,'[9]geoMap (6)'!$A:$C,3,0)</f>
        <v>#REF!</v>
      </c>
      <c r="I100" s="1" t="e">
        <f>H100/VLOOKUP(A100,'[10]geoMap (7)'!$A:$B,2,0)*VLOOKUP(A100,'[10]geoMap (7)'!$A:$C,3,0)</f>
        <v>#REF!</v>
      </c>
      <c r="J100" s="1" t="e">
        <f>I100/VLOOKUP(A100,'[11]geoMap (8)'!$A:$B,2,0)*VLOOKUP(A100,'[11]geoMap (8)'!$A:$C,3,0)</f>
        <v>#REF!</v>
      </c>
      <c r="K100" s="1" t="e">
        <f>J100/VLOOKUP(A100,'[12]geoMap (9)'!$A:$B,2,0)*VLOOKUP(A100,'[12]geoMap (9)'!$A:$C,3,0)</f>
        <v>#REF!</v>
      </c>
      <c r="L100" s="1" t="e">
        <f>K100/VLOOKUP(A100,'[13]geoMap (10)'!$A:$B,2,0)*VLOOKUP(A100,'[13]geoMap (10)'!$A:$C,3,0)</f>
        <v>#REF!</v>
      </c>
      <c r="M100" s="1" t="e">
        <f>L100/VLOOKUP(A100,'[14]geoMap (11)'!$A:$B,2,0)*VLOOKUP(A100,'[14]geoMap (11)'!$A:$C,3,0)</f>
        <v>#REF!</v>
      </c>
      <c r="N100" s="1" t="e">
        <f>M100/VLOOKUP(A100,'[15]geoMap (12)'!$A:$B,2,0)*VLOOKUP(A100,'[15]geoMap (12)'!$A:$C,3,0)</f>
        <v>#REF!</v>
      </c>
      <c r="O100" s="1" t="e">
        <f>N100/VLOOKUP(A100,'[16]geoMap (13)'!$A:$B,2,0)*VLOOKUP(A100,'[16]geoMap (13)'!$A:$C,3,0)</f>
        <v>#REF!</v>
      </c>
      <c r="P100" s="1" t="e">
        <f>O100/VLOOKUP(A100,'[17]geoMap (14)'!$A:$B,2,0)*VLOOKUP(A100,'[17]geoMap (14)'!$A:$C,3,0)</f>
        <v>#REF!</v>
      </c>
      <c r="Q100" s="1" t="e">
        <f>P100/VLOOKUP(A100,'[18]geoMap (15)'!$A:$B,2,0)*VLOOKUP(A100,'[18]geoMap (15)'!$A:$C,3,0)</f>
        <v>#REF!</v>
      </c>
      <c r="R100" s="1" t="e">
        <f>Q100/VLOOKUP(A100,'[19]geoMap (16)'!$A:$B,2,0)*VLOOKUP(A100,'[19]geoMap (16)'!$A:$C,3,0)</f>
        <v>#REF!</v>
      </c>
      <c r="S100" s="1" t="e">
        <f>R100/VLOOKUP(A100,'[20]geoMap (17)'!$A:$B,2,0)*VLOOKUP(A100,'[20]geoMap (17)'!$A:$C,3,0)</f>
        <v>#REF!</v>
      </c>
      <c r="T100" s="1" t="e">
        <f>S100/VLOOKUP(A100,'[21]geoMap (18)'!$A:$B,2,0)*VLOOKUP(A100,'[21]geoMap (18)'!$A:$C,3,0)</f>
        <v>#REF!</v>
      </c>
      <c r="U100" s="1" t="e">
        <f>T100/VLOOKUP(A100,'[22]geoMap (19)'!$A:$B,2,0)*VLOOKUP(A100,'[22]geoMap (19)'!$A:$C,3,0)</f>
        <v>#REF!</v>
      </c>
      <c r="V100" s="1" t="e">
        <f>U100/VLOOKUP(A100,'[23]geoMap (20)'!$A:$B,2,0)*VLOOKUP(A100,'[23]geoMap (20)'!$A:$C,3,0)</f>
        <v>#REF!</v>
      </c>
      <c r="W100" s="1" t="e">
        <f>V100/VLOOKUP(A100,'[24]geoMap (21)'!$A:$B,2,0)*VLOOKUP(A100,'[24]geoMap (21)'!$A:$C,3,0)</f>
        <v>#REF!</v>
      </c>
      <c r="X100" s="1" t="e">
        <f>W100/VLOOKUP(A100,'[25]geoMap (22)'!$A:$B,2,0)*VLOOKUP(A100,'[25]geoMap (22)'!$A:$C,3,0)</f>
        <v>#REF!</v>
      </c>
      <c r="Y100" s="1" t="e">
        <f>X100/VLOOKUP(A100,'[26]geoMap (23)'!$A:$B,2,0)*VLOOKUP(A100,'[26]geoMap (23)'!$A:$C,3,0)</f>
        <v>#REF!</v>
      </c>
      <c r="Z100" s="1" t="e">
        <f>Y100/VLOOKUP(A100,'[27]geoMap (24)'!$A:$B,2,0)*VLOOKUP(A100,'[27]geoMap (24)'!$A:$C,3,0)</f>
        <v>#REF!</v>
      </c>
      <c r="AA100" s="1" t="e">
        <f>Z100/VLOOKUP(A100,'[28]geoMap (25)'!$A:$B,2,0)*VLOOKUP(A100,'[28]geoMap (25)'!$A:$C,3,0)</f>
        <v>#REF!</v>
      </c>
      <c r="AB100" s="1" t="e">
        <f>AA100*VLOOKUP(A100,'[29]geoMap (26)'!$A:$B,2,0)*VLOOKUP(A100,'[29]geoMap (26)'!$A:$C,3,0)</f>
        <v>#REF!</v>
      </c>
      <c r="AC100" s="1" t="e">
        <f>AB100/VLOOKUP(A100,'[30]geoMap (27)'!$A:$B,2,0)*VLOOKUP(A100,'[30]geoMap (27)'!$A:$C,3,0)</f>
        <v>#REF!</v>
      </c>
      <c r="AD100" s="1" t="e">
        <f>AC100/VLOOKUP(A100,'[31]geoMap (28)'!$A:$B,2,0)*VLOOKUP(A100,'[31]geoMap (28)'!$A:$C,3,0)</f>
        <v>#REF!</v>
      </c>
      <c r="AE100" s="1" t="e">
        <f>AD100/VLOOKUP(A100,'[32]geoMap (29)'!$A:$B,2,0)*VLOOKUP(A100,'[32]geoMap (29)'!$A:$C,3,0)</f>
        <v>#REF!</v>
      </c>
      <c r="AF100" s="1" t="e">
        <f>AE100/VLOOKUP(A100,'[33]geoMap (30)'!$A:$B,2,0)*VLOOKUP(A100,'[33]geoMap (30)'!$A:$C,3,0)</f>
        <v>#REF!</v>
      </c>
      <c r="AG100" s="1" t="e">
        <f>AF100/VLOOKUP(A100,'[34]geoMap (31)'!$A:$B,2,0)*VLOOKUP(A100,'[34]geoMap (31)'!$A:$C,3,0)</f>
        <v>#REF!</v>
      </c>
      <c r="AH100" s="1" t="e">
        <f>AG100/VLOOKUP(A100,'[35]geoMap (32)'!$A:$B,2,0)*VLOOKUP(A100,'[35]geoMap (32)'!$A:$C,3,0)</f>
        <v>#REF!</v>
      </c>
      <c r="AI100" s="1" t="e">
        <f>AH100/VLOOKUP(A100,'[36]geoMap (33)'!$A:$B,2,0)*VLOOKUP(A100,'[36]geoMap (33)'!$A:$C,3,0)</f>
        <v>#REF!</v>
      </c>
      <c r="AJ100" s="1" t="e">
        <f>AI100/VLOOKUP(A100,'[37]geoMap (34)'!$A:$B,2,0)*VLOOKUP(A100,'[37]geoMap (34)'!$A:$C,3,0)</f>
        <v>#REF!</v>
      </c>
      <c r="AK100" s="1" t="e">
        <f>AJ100/VLOOKUP(A100,'[38]geoMap (35)'!$A:$B,2,0)*VLOOKUP(A100,'[38]geoMap (35)'!$A:$C,3,0)</f>
        <v>#REF!</v>
      </c>
      <c r="AL100" s="1" t="e">
        <f>AK100/VLOOKUP(A100,'[39]geoMap (36)'!$A:$B,2,0)*VLOOKUP(A100,'[39]geoMap (36)'!$A:$C,3,0)</f>
        <v>#REF!</v>
      </c>
      <c r="AM100" s="1" t="e">
        <f>AL100/VLOOKUP(A100,'[40]geoMap (37)'!$A:$B,2,0)*VLOOKUP(A100,'[40]geoMap (37)'!$A:$C,3,0)</f>
        <v>#REF!</v>
      </c>
      <c r="AN100" s="1" t="e">
        <f>AM100/VLOOKUP(A100,'[41]geoMap (38)'!$A:$B,2,0)*VLOOKUP(A100,'[41]geoMap (38)'!$A:$C,3,0)</f>
        <v>#REF!</v>
      </c>
      <c r="AO100" s="1" t="e">
        <f>AN100/VLOOKUP(A100,'[42]geoMap (39)'!$A:$B,2,0)*VLOOKUP(A100,'[42]geoMap (39)'!$A:$C,3,0)</f>
        <v>#REF!</v>
      </c>
      <c r="AP100" s="1" t="e">
        <f>AO100/VLOOKUP(A100,'[43]geoMap (40)'!$A:$B,2,0)*VLOOKUP(A100,'[43]geoMap (40)'!$A:$C,3,0)</f>
        <v>#REF!</v>
      </c>
      <c r="AQ100" s="1" t="e">
        <f>AP100/VLOOKUP(A100,'[44]geoMap (41)'!$A:$B,2,0)*VLOOKUP(A100,'[44]geoMap (41)'!$A:$C,3,0)</f>
        <v>#REF!</v>
      </c>
      <c r="AR100" s="1" t="e">
        <f>AQ100/VLOOKUP(A100,'[45]geoMap (42)'!$A:$B,2,0)*VLOOKUP(A100,'[45]geoMap (42)'!$A:$C,3,0)</f>
        <v>#REF!</v>
      </c>
      <c r="AS100" s="1" t="e">
        <f>AR100/VLOOKUP(A100,'[46]geoMap (43)'!$A:$B,2,0)*VLOOKUP(A100,'[46]geoMap (43)'!$A:$C,3,0)</f>
        <v>#REF!</v>
      </c>
      <c r="AT100" s="1" t="e">
        <f>AS100/VLOOKUP(A100,'[47]geoMap (44)'!$A:$B,2,0)*VLOOKUP(A100,'[47]geoMap (44)'!$A:$C,3,0)</f>
        <v>#REF!</v>
      </c>
      <c r="AU100" s="1" t="e">
        <f>AT100/VLOOKUP(A100,'[48]geoMap (45)'!$A:$B,2,0)*VLOOKUP(A100,'[48]geoMap (45)'!$A:$C,3,0)</f>
        <v>#REF!</v>
      </c>
      <c r="AV100" s="1" t="e">
        <f>AU100/VLOOKUP(A100,'[49]geoMap (46)'!$A:$B,2,0)*VLOOKUP(A100,'[49]geoMap (46)'!$A:$C,3,0)</f>
        <v>#REF!</v>
      </c>
      <c r="AW100" s="1" t="e">
        <f>AV100/VLOOKUP(A100,'[50]geoMap (47)'!$A:$B,2,0)*VLOOKUP(A100,'[50]geoMap (47)'!$A:$C,3,0)</f>
        <v>#REF!</v>
      </c>
      <c r="AX100" s="4" t="e">
        <f>AW100/VLOOKUP(A100,'[51]geoMap (48)'!$A:$B,2,0)*VLOOKUP(A100,'[51]geoMap (48)'!$A:$C,3,0)</f>
        <v>#REF!</v>
      </c>
      <c r="AY100" s="1" t="e">
        <f>AX100/VLOOKUP(A100,'[52]geoMap (49)'!$A:$B,2,0)*VLOOKUP(A100,'[52]geoMap (49)'!$A:$C,3,0)</f>
        <v>#REF!</v>
      </c>
      <c r="AZ100" s="4" t="e">
        <f>AY100/VLOOKUP(A100,'[53]geoMap (50)'!$A:$B,2,0)*VLOOKUP(A100,'[53]geoMap (50)'!$A:$C,3,0)</f>
        <v>#REF!</v>
      </c>
      <c r="BA100" s="1" t="e">
        <f>AZ100/VLOOKUP(A100,'[54]geoMap (51)'!$A:$B,2,0)*VLOOKUP(A100,'[54]geoMap (51)'!$A:$C,3,0)</f>
        <v>#REF!</v>
      </c>
      <c r="BB100" s="4" t="e">
        <f>BA100/VLOOKUP(A100,'[55]geoMap (52)'!$A:$B,2,0)*VLOOKUP(A100,'[55]geoMap (52)'!$A:$C,3,0)</f>
        <v>#REF!</v>
      </c>
      <c r="BC100" s="1" t="e">
        <f>BB100/VLOOKUP(A100,'[56]geoMap (53)'!$A:$B,2,0)*VLOOKUP(A100,'[56]geoMap (53)'!$A:$C,3,0)</f>
        <v>#REF!</v>
      </c>
      <c r="BD100" s="4" t="e">
        <f>BC100/VLOOKUP(A100,'[57]geoMap (54)'!$A:$B,2,0)*VLOOKUP(A100,'[57]geoMap (54)'!$A:$C,3,0)</f>
        <v>#REF!</v>
      </c>
      <c r="BE100" s="1" t="e">
        <f>BD100/VLOOKUP(A100,'[58]geoMap (55)'!$A:$B,2,0)*VLOOKUP(A100,'[58]geoMap (55)'!$A:$C,3,0)</f>
        <v>#REF!</v>
      </c>
      <c r="BF100" s="4" t="e">
        <f>BE100/VLOOKUP(A100,'[59]geoMap (56)'!$A:$B,2,0)*VLOOKUP(A100,'[59]geoMap (56)'!$A:$C,3,0)</f>
        <v>#REF!</v>
      </c>
      <c r="BG100" s="1" t="e">
        <f>BF100/VLOOKUP(A100,'[60]geoMap (57)'!$A:$B,2,0)*VLOOKUP(A100,'[60]geoMap (57)'!$A:$C,3,0)</f>
        <v>#REF!</v>
      </c>
      <c r="BH100" s="4" t="e">
        <f>BG100/VLOOKUP(A100,'[61]geoMap (58)'!$A:$B,2,0)*VLOOKUP(A100,'[61]geoMap (58)'!$A:$C,3,0)</f>
        <v>#REF!</v>
      </c>
      <c r="BI100" s="1" t="e">
        <f>BH100/VLOOKUP(A100,'[62]geoMap (59)'!$A:$B,2,0)*VLOOKUP(A100,'[62]geoMap (59)'!$A:$C,3,0)</f>
        <v>#REF!</v>
      </c>
      <c r="BJ100" s="4" t="e">
        <f>BI100/VLOOKUP(A100,'[63]geoMap (60)'!$A:$B,2,0)*VLOOKUP(A100,'[63]geoMap (60)'!$A:$C,3,0)</f>
        <v>#REF!</v>
      </c>
      <c r="BK100" s="1" t="e">
        <f>BJ100/VLOOKUP(A100,'[64]geoMap (61)'!$A:$B,2,0)*VLOOKUP(A100,'[64]geoMap (61)'!$A:$C,3,0)</f>
        <v>#REF!</v>
      </c>
      <c r="BL100" s="4" t="e">
        <f>BK100/VLOOKUP(A100,'[65]geoMap (62)'!$A:$B,2,0)*VLOOKUP(A100,'[65]geoMap (62)'!$A:$C,3,0)</f>
        <v>#REF!</v>
      </c>
      <c r="BM100" s="1" t="e">
        <f>BL100/VLOOKUP(A100,'[66]geoMap (63)'!$A:$B,2,0)*VLOOKUP(A100,'[66]geoMap (63)'!$A:$C,3,0)</f>
        <v>#REF!</v>
      </c>
      <c r="BN100" s="4" t="e">
        <f>BM100/VLOOKUP(A100,'[67]geoMap (64)'!$A:$B,2,0)*VLOOKUP(A100,'[67]geoMap (64)'!$A:$C,3,0)</f>
        <v>#REF!</v>
      </c>
      <c r="BO100" s="1" t="e">
        <f>BN100/VLOOKUP(A100,'[68]geoMap (65)'!$A:$B,2,0)*VLOOKUP(A100,'[68]geoMap (65)'!$A:$C,3,0)</f>
        <v>#REF!</v>
      </c>
      <c r="BP100" s="4" t="e">
        <f>BO100/VLOOKUP(A100,'[69]geoMap (66)'!$A:$B,2,0)*VLOOKUP(A100,'[69]geoMap (66)'!$A:$C,3,0)</f>
        <v>#REF!</v>
      </c>
    </row>
    <row r="101" spans="1:68" x14ac:dyDescent="0.2">
      <c r="A101" s="1" t="s">
        <v>41</v>
      </c>
      <c r="B101" s="1" t="e">
        <f>VLOOKUP(A101,[3]geoMap!$A:$B,2,0)*Notes!$C$6</f>
        <v>#REF!</v>
      </c>
      <c r="C101" s="1" t="e">
        <f>B101/VLOOKUP(A101,'[4]geoMap (1)'!$A:$B,2,0)*VLOOKUP(A101,'[4]geoMap (1)'!$A:$C,3,0)</f>
        <v>#REF!</v>
      </c>
      <c r="D101" s="1" t="e">
        <f>C101/VLOOKUP(A101,'[5]geoMap (2)'!$A:$B,2,0)*VLOOKUP(A101,'[5]geoMap (2)'!$A:$C,3,0)</f>
        <v>#REF!</v>
      </c>
      <c r="E101" s="1" t="e">
        <f>D101/VLOOKUP(A101,'[6]geoMap (3)'!$A:$B,2,0)*VLOOKUP(A101,'[6]geoMap (3)'!$A:$C,3,0)</f>
        <v>#REF!</v>
      </c>
      <c r="F101" s="1" t="e">
        <f>E101/VLOOKUP(A101,'[7]geoMap (4)'!$A:$B,2,0)*VLOOKUP(A101,'[7]geoMap (4)'!$A:$C,3,0)</f>
        <v>#REF!</v>
      </c>
      <c r="G101" s="1" t="e">
        <f>F101/VLOOKUP(A101,'[8]geoMap (5)'!$A:$B,2,0)*VLOOKUP(A101,'[8]geoMap (5)'!$A:$C,3,0)</f>
        <v>#REF!</v>
      </c>
      <c r="H101" s="1" t="e">
        <f>G101/VLOOKUP(A101,'[9]geoMap (6)'!$A:$B,2,0)*VLOOKUP(A101,'[9]geoMap (6)'!$A:$C,3,0)</f>
        <v>#REF!</v>
      </c>
      <c r="I101" s="1" t="e">
        <f>H101/VLOOKUP(A101,'[10]geoMap (7)'!$A:$B,2,0)*VLOOKUP(A101,'[10]geoMap (7)'!$A:$C,3,0)</f>
        <v>#REF!</v>
      </c>
      <c r="J101" s="1" t="e">
        <f>I101/VLOOKUP(A101,'[11]geoMap (8)'!$A:$B,2,0)*VLOOKUP(A101,'[11]geoMap (8)'!$A:$C,3,0)</f>
        <v>#REF!</v>
      </c>
      <c r="K101" s="1" t="e">
        <f>J101/VLOOKUP(A101,'[12]geoMap (9)'!$A:$B,2,0)*VLOOKUP(A101,'[12]geoMap (9)'!$A:$C,3,0)</f>
        <v>#REF!</v>
      </c>
      <c r="L101" s="1" t="e">
        <f>K101/VLOOKUP(A101,'[13]geoMap (10)'!$A:$B,2,0)*VLOOKUP(A101,'[13]geoMap (10)'!$A:$C,3,0)</f>
        <v>#REF!</v>
      </c>
      <c r="M101" s="1" t="e">
        <f>L101/VLOOKUP(A101,'[14]geoMap (11)'!$A:$B,2,0)*VLOOKUP(A101,'[14]geoMap (11)'!$A:$C,3,0)</f>
        <v>#REF!</v>
      </c>
      <c r="N101" s="1" t="e">
        <f>M101/VLOOKUP(A101,'[15]geoMap (12)'!$A:$B,2,0)*VLOOKUP(A101,'[15]geoMap (12)'!$A:$C,3,0)</f>
        <v>#REF!</v>
      </c>
      <c r="O101" s="1" t="e">
        <f>N101/VLOOKUP(A101,'[16]geoMap (13)'!$A:$B,2,0)*VLOOKUP(A101,'[16]geoMap (13)'!$A:$C,3,0)</f>
        <v>#REF!</v>
      </c>
      <c r="P101" s="1" t="e">
        <f>O101/VLOOKUP(A101,'[17]geoMap (14)'!$A:$B,2,0)*VLOOKUP(A101,'[17]geoMap (14)'!$A:$C,3,0)</f>
        <v>#REF!</v>
      </c>
      <c r="Q101" s="1" t="e">
        <f>P101/VLOOKUP(A101,'[18]geoMap (15)'!$A:$B,2,0)*VLOOKUP(A101,'[18]geoMap (15)'!$A:$C,3,0)</f>
        <v>#REF!</v>
      </c>
      <c r="R101" s="1" t="e">
        <f>Q101/VLOOKUP(A101,'[19]geoMap (16)'!$A:$B,2,0)*VLOOKUP(A101,'[19]geoMap (16)'!$A:$C,3,0)</f>
        <v>#REF!</v>
      </c>
      <c r="S101" s="1" t="e">
        <f>R101/VLOOKUP(A101,'[20]geoMap (17)'!$A:$B,2,0)*VLOOKUP(A101,'[20]geoMap (17)'!$A:$C,3,0)</f>
        <v>#REF!</v>
      </c>
      <c r="T101" s="1" t="e">
        <f>S101/VLOOKUP(A101,'[21]geoMap (18)'!$A:$B,2,0)*VLOOKUP(A101,'[21]geoMap (18)'!$A:$C,3,0)</f>
        <v>#REF!</v>
      </c>
      <c r="U101" s="1" t="e">
        <f>T101/VLOOKUP(A101,'[22]geoMap (19)'!$A:$B,2,0)*VLOOKUP(A101,'[22]geoMap (19)'!$A:$C,3,0)</f>
        <v>#REF!</v>
      </c>
      <c r="V101" s="1" t="e">
        <f>U101/VLOOKUP(A101,'[23]geoMap (20)'!$A:$B,2,0)*VLOOKUP(A101,'[23]geoMap (20)'!$A:$C,3,0)</f>
        <v>#REF!</v>
      </c>
      <c r="W101" s="1" t="e">
        <f>V101/VLOOKUP(A101,'[24]geoMap (21)'!$A:$B,2,0)*VLOOKUP(A101,'[24]geoMap (21)'!$A:$C,3,0)</f>
        <v>#REF!</v>
      </c>
      <c r="X101" s="1" t="e">
        <f>W101/VLOOKUP(A101,'[25]geoMap (22)'!$A:$B,2,0)*VLOOKUP(A101,'[25]geoMap (22)'!$A:$C,3,0)</f>
        <v>#REF!</v>
      </c>
      <c r="Y101" s="1" t="e">
        <f>X101/VLOOKUP(A101,'[26]geoMap (23)'!$A:$B,2,0)*VLOOKUP(A101,'[26]geoMap (23)'!$A:$C,3,0)</f>
        <v>#REF!</v>
      </c>
      <c r="Z101" s="1" t="e">
        <f>Y101/VLOOKUP(A101,'[27]geoMap (24)'!$A:$B,2,0)*VLOOKUP(A101,'[27]geoMap (24)'!$A:$C,3,0)</f>
        <v>#REF!</v>
      </c>
      <c r="AA101" s="1" t="e">
        <f>Z101/VLOOKUP(A101,'[28]geoMap (25)'!$A:$B,2,0)*VLOOKUP(A101,'[28]geoMap (25)'!$A:$C,3,0)</f>
        <v>#REF!</v>
      </c>
      <c r="AB101" s="1" t="e">
        <f>AA101*VLOOKUP(A101,'[29]geoMap (26)'!$A:$B,2,0)*VLOOKUP(A101,'[29]geoMap (26)'!$A:$C,3,0)</f>
        <v>#REF!</v>
      </c>
      <c r="AC101" s="1" t="e">
        <f>AB101/VLOOKUP(A101,'[30]geoMap (27)'!$A:$B,2,0)*VLOOKUP(A101,'[30]geoMap (27)'!$A:$C,3,0)</f>
        <v>#REF!</v>
      </c>
      <c r="AD101" s="1" t="e">
        <f>AC101/VLOOKUP(A101,'[31]geoMap (28)'!$A:$B,2,0)*VLOOKUP(A101,'[31]geoMap (28)'!$A:$C,3,0)</f>
        <v>#REF!</v>
      </c>
      <c r="AE101" s="1" t="e">
        <f>AD101/VLOOKUP(A101,'[32]geoMap (29)'!$A:$B,2,0)*VLOOKUP(A101,'[32]geoMap (29)'!$A:$C,3,0)</f>
        <v>#REF!</v>
      </c>
      <c r="AF101" s="1" t="e">
        <f>AE101/VLOOKUP(A101,'[33]geoMap (30)'!$A:$B,2,0)*VLOOKUP(A101,'[33]geoMap (30)'!$A:$C,3,0)</f>
        <v>#REF!</v>
      </c>
      <c r="AG101" s="1" t="e">
        <f>AF101/VLOOKUP(A101,'[34]geoMap (31)'!$A:$B,2,0)*VLOOKUP(A101,'[34]geoMap (31)'!$A:$C,3,0)</f>
        <v>#REF!</v>
      </c>
      <c r="AH101" s="1" t="e">
        <f>AG101/VLOOKUP(A101,'[35]geoMap (32)'!$A:$B,2,0)*VLOOKUP(A101,'[35]geoMap (32)'!$A:$C,3,0)</f>
        <v>#REF!</v>
      </c>
      <c r="AI101" s="1" t="e">
        <f>AH101/VLOOKUP(A101,'[36]geoMap (33)'!$A:$B,2,0)*VLOOKUP(A101,'[36]geoMap (33)'!$A:$C,3,0)</f>
        <v>#REF!</v>
      </c>
      <c r="AJ101" s="1" t="e">
        <f>AI101/VLOOKUP(A101,'[37]geoMap (34)'!$A:$B,2,0)*VLOOKUP(A101,'[37]geoMap (34)'!$A:$C,3,0)</f>
        <v>#REF!</v>
      </c>
      <c r="AK101" s="1" t="e">
        <f>AJ101/VLOOKUP(A101,'[38]geoMap (35)'!$A:$B,2,0)*VLOOKUP(A101,'[38]geoMap (35)'!$A:$C,3,0)</f>
        <v>#REF!</v>
      </c>
      <c r="AL101" s="1" t="e">
        <f>AK101/VLOOKUP(A101,'[39]geoMap (36)'!$A:$B,2,0)*VLOOKUP(A101,'[39]geoMap (36)'!$A:$C,3,0)</f>
        <v>#REF!</v>
      </c>
      <c r="AM101" s="1" t="e">
        <f>AL101/VLOOKUP(A101,'[40]geoMap (37)'!$A:$B,2,0)*VLOOKUP(A101,'[40]geoMap (37)'!$A:$C,3,0)</f>
        <v>#REF!</v>
      </c>
      <c r="AN101" s="1" t="e">
        <f>AM101/VLOOKUP(A101,'[41]geoMap (38)'!$A:$B,2,0)*VLOOKUP(A101,'[41]geoMap (38)'!$A:$C,3,0)</f>
        <v>#REF!</v>
      </c>
      <c r="AO101" s="1" t="e">
        <f>AN101/VLOOKUP(A101,'[42]geoMap (39)'!$A:$B,2,0)*VLOOKUP(A101,'[42]geoMap (39)'!$A:$C,3,0)</f>
        <v>#REF!</v>
      </c>
      <c r="AP101" s="1" t="e">
        <f>AO101/VLOOKUP(A101,'[43]geoMap (40)'!$A:$B,2,0)*VLOOKUP(A101,'[43]geoMap (40)'!$A:$C,3,0)</f>
        <v>#REF!</v>
      </c>
      <c r="AQ101" s="1" t="e">
        <f>AP101/VLOOKUP(A101,'[44]geoMap (41)'!$A:$B,2,0)*VLOOKUP(A101,'[44]geoMap (41)'!$A:$C,3,0)</f>
        <v>#REF!</v>
      </c>
      <c r="AR101" s="1" t="e">
        <f>AQ101/VLOOKUP(A101,'[45]geoMap (42)'!$A:$B,2,0)*VLOOKUP(A101,'[45]geoMap (42)'!$A:$C,3,0)</f>
        <v>#REF!</v>
      </c>
      <c r="AS101" s="1" t="e">
        <f>AR101/VLOOKUP(A101,'[46]geoMap (43)'!$A:$B,2,0)*VLOOKUP(A101,'[46]geoMap (43)'!$A:$C,3,0)</f>
        <v>#REF!</v>
      </c>
      <c r="AT101" s="1" t="e">
        <f>AS101/VLOOKUP(A101,'[47]geoMap (44)'!$A:$B,2,0)*VLOOKUP(A101,'[47]geoMap (44)'!$A:$C,3,0)</f>
        <v>#REF!</v>
      </c>
      <c r="AU101" s="1" t="e">
        <f>AT101/VLOOKUP(A101,'[48]geoMap (45)'!$A:$B,2,0)*VLOOKUP(A101,'[48]geoMap (45)'!$A:$C,3,0)</f>
        <v>#REF!</v>
      </c>
      <c r="AV101" s="1" t="e">
        <f>AU101/VLOOKUP(A101,'[49]geoMap (46)'!$A:$B,2,0)*VLOOKUP(A101,'[49]geoMap (46)'!$A:$C,3,0)</f>
        <v>#REF!</v>
      </c>
      <c r="AW101" s="1" t="e">
        <f>AV101/VLOOKUP(A101,'[50]geoMap (47)'!$A:$B,2,0)*VLOOKUP(A101,'[50]geoMap (47)'!$A:$C,3,0)</f>
        <v>#REF!</v>
      </c>
      <c r="AX101" s="4" t="e">
        <f>AW101/VLOOKUP(A101,'[51]geoMap (48)'!$A:$B,2,0)*VLOOKUP(A101,'[51]geoMap (48)'!$A:$C,3,0)</f>
        <v>#REF!</v>
      </c>
      <c r="AY101" s="1" t="e">
        <f>AX101/VLOOKUP(A101,'[52]geoMap (49)'!$A:$B,2,0)*VLOOKUP(A101,'[52]geoMap (49)'!$A:$C,3,0)</f>
        <v>#REF!</v>
      </c>
      <c r="AZ101" s="4" t="e">
        <f>AY101/VLOOKUP(A101,'[53]geoMap (50)'!$A:$B,2,0)*VLOOKUP(A101,'[53]geoMap (50)'!$A:$C,3,0)</f>
        <v>#REF!</v>
      </c>
      <c r="BA101" s="1" t="e">
        <f>AZ101/VLOOKUP(A101,'[54]geoMap (51)'!$A:$B,2,0)*VLOOKUP(A101,'[54]geoMap (51)'!$A:$C,3,0)</f>
        <v>#REF!</v>
      </c>
      <c r="BB101" s="4" t="e">
        <f>BA101/VLOOKUP(A101,'[55]geoMap (52)'!$A:$B,2,0)*VLOOKUP(A101,'[55]geoMap (52)'!$A:$C,3,0)</f>
        <v>#REF!</v>
      </c>
      <c r="BC101" s="1" t="e">
        <f>BB101/VLOOKUP(A101,'[56]geoMap (53)'!$A:$B,2,0)*VLOOKUP(A101,'[56]geoMap (53)'!$A:$C,3,0)</f>
        <v>#REF!</v>
      </c>
      <c r="BD101" s="4" t="e">
        <f>BC101/VLOOKUP(A101,'[57]geoMap (54)'!$A:$B,2,0)*VLOOKUP(A101,'[57]geoMap (54)'!$A:$C,3,0)</f>
        <v>#REF!</v>
      </c>
      <c r="BE101" s="1" t="e">
        <f>BD101/VLOOKUP(A101,'[58]geoMap (55)'!$A:$B,2,0)*VLOOKUP(A101,'[58]geoMap (55)'!$A:$C,3,0)</f>
        <v>#REF!</v>
      </c>
      <c r="BF101" s="4" t="e">
        <f>BE101/VLOOKUP(A101,'[59]geoMap (56)'!$A:$B,2,0)*VLOOKUP(A101,'[59]geoMap (56)'!$A:$C,3,0)</f>
        <v>#REF!</v>
      </c>
      <c r="BG101" s="1" t="e">
        <f>BF101/VLOOKUP(A101,'[60]geoMap (57)'!$A:$B,2,0)*VLOOKUP(A101,'[60]geoMap (57)'!$A:$C,3,0)</f>
        <v>#REF!</v>
      </c>
      <c r="BH101" s="4" t="e">
        <f>BG101/VLOOKUP(A101,'[61]geoMap (58)'!$A:$B,2,0)*VLOOKUP(A101,'[61]geoMap (58)'!$A:$C,3,0)</f>
        <v>#REF!</v>
      </c>
      <c r="BI101" s="1" t="e">
        <f>BH101/VLOOKUP(A101,'[62]geoMap (59)'!$A:$B,2,0)*VLOOKUP(A101,'[62]geoMap (59)'!$A:$C,3,0)</f>
        <v>#REF!</v>
      </c>
      <c r="BJ101" s="4" t="e">
        <f>BI101/VLOOKUP(A101,'[63]geoMap (60)'!$A:$B,2,0)*VLOOKUP(A101,'[63]geoMap (60)'!$A:$C,3,0)</f>
        <v>#REF!</v>
      </c>
      <c r="BK101" s="1" t="e">
        <f>BJ101/VLOOKUP(A101,'[64]geoMap (61)'!$A:$B,2,0)*VLOOKUP(A101,'[64]geoMap (61)'!$A:$C,3,0)</f>
        <v>#REF!</v>
      </c>
      <c r="BL101" s="4" t="e">
        <f>BK101/VLOOKUP(A101,'[65]geoMap (62)'!$A:$B,2,0)*VLOOKUP(A101,'[65]geoMap (62)'!$A:$C,3,0)</f>
        <v>#REF!</v>
      </c>
      <c r="BM101" s="1" t="e">
        <f>BL101/VLOOKUP(A101,'[66]geoMap (63)'!$A:$B,2,0)*VLOOKUP(A101,'[66]geoMap (63)'!$A:$C,3,0)</f>
        <v>#REF!</v>
      </c>
      <c r="BN101" s="4" t="e">
        <f>BM101/VLOOKUP(A101,'[67]geoMap (64)'!$A:$B,2,0)*VLOOKUP(A101,'[67]geoMap (64)'!$A:$C,3,0)</f>
        <v>#REF!</v>
      </c>
      <c r="BO101" s="1" t="e">
        <f>BN101/VLOOKUP(A101,'[68]geoMap (65)'!$A:$B,2,0)*VLOOKUP(A101,'[68]geoMap (65)'!$A:$C,3,0)</f>
        <v>#REF!</v>
      </c>
      <c r="BP101" s="4" t="e">
        <f>BO101/VLOOKUP(A101,'[69]geoMap (66)'!$A:$B,2,0)*VLOOKUP(A101,'[69]geoMap (66)'!$A:$C,3,0)</f>
        <v>#REF!</v>
      </c>
    </row>
    <row r="102" spans="1:68" x14ac:dyDescent="0.2">
      <c r="A102" s="1" t="s">
        <v>45</v>
      </c>
      <c r="B102" s="1" t="e">
        <f>VLOOKUP(A102,[3]geoMap!$A:$B,2,0)*Notes!$C$6</f>
        <v>#REF!</v>
      </c>
      <c r="C102" s="1" t="e">
        <f>B102/VLOOKUP(A102,'[4]geoMap (1)'!$A:$B,2,0)*VLOOKUP(A102,'[4]geoMap (1)'!$A:$C,3,0)</f>
        <v>#REF!</v>
      </c>
      <c r="D102" s="1" t="e">
        <f>C102/VLOOKUP(A102,'[5]geoMap (2)'!$A:$B,2,0)*VLOOKUP(A102,'[5]geoMap (2)'!$A:$C,3,0)</f>
        <v>#REF!</v>
      </c>
      <c r="E102" s="1" t="e">
        <f>D102/VLOOKUP(A102,'[6]geoMap (3)'!$A:$B,2,0)*VLOOKUP(A102,'[6]geoMap (3)'!$A:$C,3,0)</f>
        <v>#REF!</v>
      </c>
      <c r="F102" s="1" t="e">
        <f>E102/VLOOKUP(A102,'[7]geoMap (4)'!$A:$B,2,0)*VLOOKUP(A102,'[7]geoMap (4)'!$A:$C,3,0)</f>
        <v>#REF!</v>
      </c>
      <c r="G102" s="1" t="e">
        <f>F102/VLOOKUP(A102,'[8]geoMap (5)'!$A:$B,2,0)*VLOOKUP(A102,'[8]geoMap (5)'!$A:$C,3,0)</f>
        <v>#REF!</v>
      </c>
      <c r="H102" s="1" t="e">
        <f>G102/VLOOKUP(A102,'[9]geoMap (6)'!$A:$B,2,0)*VLOOKUP(A102,'[9]geoMap (6)'!$A:$C,3,0)</f>
        <v>#REF!</v>
      </c>
      <c r="I102" s="1" t="e">
        <f>H102/VLOOKUP(A102,'[10]geoMap (7)'!$A:$B,2,0)*VLOOKUP(A102,'[10]geoMap (7)'!$A:$C,3,0)</f>
        <v>#REF!</v>
      </c>
      <c r="J102" s="1" t="e">
        <f>I102/VLOOKUP(A102,'[11]geoMap (8)'!$A:$B,2,0)*VLOOKUP(A102,'[11]geoMap (8)'!$A:$C,3,0)</f>
        <v>#REF!</v>
      </c>
      <c r="K102" s="1" t="e">
        <f>J102/VLOOKUP(A102,'[12]geoMap (9)'!$A:$B,2,0)*VLOOKUP(A102,'[12]geoMap (9)'!$A:$C,3,0)</f>
        <v>#REF!</v>
      </c>
      <c r="L102" s="1" t="e">
        <f>K102/VLOOKUP(A102,'[13]geoMap (10)'!$A:$B,2,0)*VLOOKUP(A102,'[13]geoMap (10)'!$A:$C,3,0)</f>
        <v>#REF!</v>
      </c>
      <c r="M102" s="1" t="e">
        <f>L102/VLOOKUP(A102,'[14]geoMap (11)'!$A:$B,2,0)*VLOOKUP(A102,'[14]geoMap (11)'!$A:$C,3,0)</f>
        <v>#REF!</v>
      </c>
      <c r="N102" s="1" t="e">
        <f>M102/VLOOKUP(A102,'[15]geoMap (12)'!$A:$B,2,0)*VLOOKUP(A102,'[15]geoMap (12)'!$A:$C,3,0)</f>
        <v>#REF!</v>
      </c>
      <c r="O102" s="1" t="e">
        <f>N102/VLOOKUP(A102,'[16]geoMap (13)'!$A:$B,2,0)*VLOOKUP(A102,'[16]geoMap (13)'!$A:$C,3,0)</f>
        <v>#REF!</v>
      </c>
      <c r="P102" s="1" t="e">
        <f>O102/VLOOKUP(A102,'[17]geoMap (14)'!$A:$B,2,0)*VLOOKUP(A102,'[17]geoMap (14)'!$A:$C,3,0)</f>
        <v>#REF!</v>
      </c>
      <c r="Q102" s="1" t="e">
        <f>P102/VLOOKUP(A102,'[18]geoMap (15)'!$A:$B,2,0)*VLOOKUP(A102,'[18]geoMap (15)'!$A:$C,3,0)</f>
        <v>#REF!</v>
      </c>
      <c r="R102" s="1" t="e">
        <f>Q102/VLOOKUP(A102,'[19]geoMap (16)'!$A:$B,2,0)*VLOOKUP(A102,'[19]geoMap (16)'!$A:$C,3,0)</f>
        <v>#REF!</v>
      </c>
      <c r="S102" s="1" t="e">
        <f>R102/VLOOKUP(A102,'[20]geoMap (17)'!$A:$B,2,0)*VLOOKUP(A102,'[20]geoMap (17)'!$A:$C,3,0)</f>
        <v>#REF!</v>
      </c>
      <c r="T102" s="1" t="e">
        <f>S102/VLOOKUP(A102,'[21]geoMap (18)'!$A:$B,2,0)*VLOOKUP(A102,'[21]geoMap (18)'!$A:$C,3,0)</f>
        <v>#REF!</v>
      </c>
      <c r="U102" s="1" t="e">
        <f>T102/VLOOKUP(A102,'[22]geoMap (19)'!$A:$B,2,0)*VLOOKUP(A102,'[22]geoMap (19)'!$A:$C,3,0)</f>
        <v>#REF!</v>
      </c>
      <c r="V102" s="1" t="e">
        <f>U102/VLOOKUP(A102,'[23]geoMap (20)'!$A:$B,2,0)*VLOOKUP(A102,'[23]geoMap (20)'!$A:$C,3,0)</f>
        <v>#REF!</v>
      </c>
      <c r="W102" s="1" t="e">
        <f>V102/VLOOKUP(A102,'[24]geoMap (21)'!$A:$B,2,0)*VLOOKUP(A102,'[24]geoMap (21)'!$A:$C,3,0)</f>
        <v>#REF!</v>
      </c>
      <c r="X102" s="1" t="e">
        <f>W102/VLOOKUP(A102,'[25]geoMap (22)'!$A:$B,2,0)*VLOOKUP(A102,'[25]geoMap (22)'!$A:$C,3,0)</f>
        <v>#REF!</v>
      </c>
      <c r="Y102" s="1" t="e">
        <f>X102/VLOOKUP(A102,'[26]geoMap (23)'!$A:$B,2,0)*VLOOKUP(A102,'[26]geoMap (23)'!$A:$C,3,0)</f>
        <v>#REF!</v>
      </c>
      <c r="Z102" s="1" t="e">
        <f>Y102/VLOOKUP(A102,'[27]geoMap (24)'!$A:$B,2,0)*VLOOKUP(A102,'[27]geoMap (24)'!$A:$C,3,0)</f>
        <v>#REF!</v>
      </c>
      <c r="AA102" s="1" t="e">
        <f>Z102/VLOOKUP(A102,'[28]geoMap (25)'!$A:$B,2,0)*VLOOKUP(A102,'[28]geoMap (25)'!$A:$C,3,0)</f>
        <v>#REF!</v>
      </c>
      <c r="AB102" s="1" t="e">
        <f>AA102*VLOOKUP(A102,'[29]geoMap (26)'!$A:$B,2,0)*VLOOKUP(A102,'[29]geoMap (26)'!$A:$C,3,0)</f>
        <v>#REF!</v>
      </c>
      <c r="AC102" s="1" t="e">
        <f>AB102/VLOOKUP(A102,'[30]geoMap (27)'!$A:$B,2,0)*VLOOKUP(A102,'[30]geoMap (27)'!$A:$C,3,0)</f>
        <v>#REF!</v>
      </c>
      <c r="AD102" s="1" t="e">
        <f>AC102/VLOOKUP(A102,'[31]geoMap (28)'!$A:$B,2,0)*VLOOKUP(A102,'[31]geoMap (28)'!$A:$C,3,0)</f>
        <v>#REF!</v>
      </c>
      <c r="AE102" s="1" t="e">
        <f>AD102/VLOOKUP(A102,'[32]geoMap (29)'!$A:$B,2,0)*VLOOKUP(A102,'[32]geoMap (29)'!$A:$C,3,0)</f>
        <v>#REF!</v>
      </c>
      <c r="AF102" s="1" t="e">
        <f>AE102/VLOOKUP(A102,'[33]geoMap (30)'!$A:$B,2,0)*VLOOKUP(A102,'[33]geoMap (30)'!$A:$C,3,0)</f>
        <v>#REF!</v>
      </c>
      <c r="AG102" s="1" t="e">
        <f>AF102/VLOOKUP(A102,'[34]geoMap (31)'!$A:$B,2,0)*VLOOKUP(A102,'[34]geoMap (31)'!$A:$C,3,0)</f>
        <v>#REF!</v>
      </c>
      <c r="AH102" s="1" t="e">
        <f>AG102/VLOOKUP(A102,'[35]geoMap (32)'!$A:$B,2,0)*VLOOKUP(A102,'[35]geoMap (32)'!$A:$C,3,0)</f>
        <v>#REF!</v>
      </c>
      <c r="AI102" s="1" t="e">
        <f>AH102/VLOOKUP(A102,'[36]geoMap (33)'!$A:$B,2,0)*VLOOKUP(A102,'[36]geoMap (33)'!$A:$C,3,0)</f>
        <v>#REF!</v>
      </c>
      <c r="AJ102" s="1" t="e">
        <f>AI102/VLOOKUP(A102,'[37]geoMap (34)'!$A:$B,2,0)*VLOOKUP(A102,'[37]geoMap (34)'!$A:$C,3,0)</f>
        <v>#REF!</v>
      </c>
      <c r="AK102" s="1" t="e">
        <f>AJ102/VLOOKUP(A102,'[38]geoMap (35)'!$A:$B,2,0)*VLOOKUP(A102,'[38]geoMap (35)'!$A:$C,3,0)</f>
        <v>#REF!</v>
      </c>
      <c r="AL102" s="1" t="e">
        <f>AK102/VLOOKUP(A102,'[39]geoMap (36)'!$A:$B,2,0)*VLOOKUP(A102,'[39]geoMap (36)'!$A:$C,3,0)</f>
        <v>#REF!</v>
      </c>
      <c r="AM102" s="1" t="e">
        <f>AL102/VLOOKUP(A102,'[40]geoMap (37)'!$A:$B,2,0)*VLOOKUP(A102,'[40]geoMap (37)'!$A:$C,3,0)</f>
        <v>#REF!</v>
      </c>
      <c r="AN102" s="1" t="e">
        <f>AM102/VLOOKUP(A102,'[41]geoMap (38)'!$A:$B,2,0)*VLOOKUP(A102,'[41]geoMap (38)'!$A:$C,3,0)</f>
        <v>#REF!</v>
      </c>
      <c r="AO102" s="1" t="e">
        <f>AN102/VLOOKUP(A102,'[42]geoMap (39)'!$A:$B,2,0)*VLOOKUP(A102,'[42]geoMap (39)'!$A:$C,3,0)</f>
        <v>#REF!</v>
      </c>
      <c r="AP102" s="1" t="e">
        <f>AO102/VLOOKUP(A102,'[43]geoMap (40)'!$A:$B,2,0)*VLOOKUP(A102,'[43]geoMap (40)'!$A:$C,3,0)</f>
        <v>#REF!</v>
      </c>
      <c r="AQ102" s="1" t="e">
        <f>AP102/VLOOKUP(A102,'[44]geoMap (41)'!$A:$B,2,0)*VLOOKUP(A102,'[44]geoMap (41)'!$A:$C,3,0)</f>
        <v>#REF!</v>
      </c>
      <c r="AR102" s="1" t="e">
        <f>AQ102/VLOOKUP(A102,'[45]geoMap (42)'!$A:$B,2,0)*VLOOKUP(A102,'[45]geoMap (42)'!$A:$C,3,0)</f>
        <v>#REF!</v>
      </c>
      <c r="AS102" s="1" t="e">
        <f>AR102/VLOOKUP(A102,'[46]geoMap (43)'!$A:$B,2,0)*VLOOKUP(A102,'[46]geoMap (43)'!$A:$C,3,0)</f>
        <v>#REF!</v>
      </c>
      <c r="AT102" s="1" t="e">
        <f>AS102/VLOOKUP(A102,'[47]geoMap (44)'!$A:$B,2,0)*VLOOKUP(A102,'[47]geoMap (44)'!$A:$C,3,0)</f>
        <v>#REF!</v>
      </c>
      <c r="AU102" s="1" t="e">
        <f>AT102/VLOOKUP(A102,'[48]geoMap (45)'!$A:$B,2,0)*VLOOKUP(A102,'[48]geoMap (45)'!$A:$C,3,0)</f>
        <v>#REF!</v>
      </c>
      <c r="AV102" s="1" t="e">
        <f>AU102/VLOOKUP(A102,'[49]geoMap (46)'!$A:$B,2,0)*VLOOKUP(A102,'[49]geoMap (46)'!$A:$C,3,0)</f>
        <v>#REF!</v>
      </c>
      <c r="AW102" s="1" t="e">
        <f>AV102/VLOOKUP(A102,'[50]geoMap (47)'!$A:$B,2,0)*VLOOKUP(A102,'[50]geoMap (47)'!$A:$C,3,0)</f>
        <v>#REF!</v>
      </c>
      <c r="AX102" s="4" t="e">
        <f>AW102/VLOOKUP(A102,'[51]geoMap (48)'!$A:$B,2,0)*VLOOKUP(A102,'[51]geoMap (48)'!$A:$C,3,0)</f>
        <v>#REF!</v>
      </c>
      <c r="AY102" s="1" t="e">
        <f>AX102/VLOOKUP(A102,'[52]geoMap (49)'!$A:$B,2,0)*VLOOKUP(A102,'[52]geoMap (49)'!$A:$C,3,0)</f>
        <v>#REF!</v>
      </c>
      <c r="AZ102" s="4" t="e">
        <f>AY102/VLOOKUP(A102,'[53]geoMap (50)'!$A:$B,2,0)*VLOOKUP(A102,'[53]geoMap (50)'!$A:$C,3,0)</f>
        <v>#REF!</v>
      </c>
      <c r="BA102" s="1" t="e">
        <f>AZ102/VLOOKUP(A102,'[54]geoMap (51)'!$A:$B,2,0)*VLOOKUP(A102,'[54]geoMap (51)'!$A:$C,3,0)</f>
        <v>#REF!</v>
      </c>
      <c r="BB102" s="4" t="e">
        <f>BA102/VLOOKUP(A102,'[55]geoMap (52)'!$A:$B,2,0)*VLOOKUP(A102,'[55]geoMap (52)'!$A:$C,3,0)</f>
        <v>#REF!</v>
      </c>
      <c r="BC102" s="1" t="e">
        <f>BB102/VLOOKUP(A102,'[56]geoMap (53)'!$A:$B,2,0)*VLOOKUP(A102,'[56]geoMap (53)'!$A:$C,3,0)</f>
        <v>#REF!</v>
      </c>
      <c r="BD102" s="4" t="e">
        <f>BC102/VLOOKUP(A102,'[57]geoMap (54)'!$A:$B,2,0)*VLOOKUP(A102,'[57]geoMap (54)'!$A:$C,3,0)</f>
        <v>#REF!</v>
      </c>
      <c r="BE102" s="1" t="e">
        <f>BD102/VLOOKUP(A102,'[58]geoMap (55)'!$A:$B,2,0)*VLOOKUP(A102,'[58]geoMap (55)'!$A:$C,3,0)</f>
        <v>#REF!</v>
      </c>
      <c r="BF102" s="4" t="e">
        <f>BE102/VLOOKUP(A102,'[59]geoMap (56)'!$A:$B,2,0)*VLOOKUP(A102,'[59]geoMap (56)'!$A:$C,3,0)</f>
        <v>#REF!</v>
      </c>
      <c r="BG102" s="1" t="e">
        <f>BF102/VLOOKUP(A102,'[60]geoMap (57)'!$A:$B,2,0)*VLOOKUP(A102,'[60]geoMap (57)'!$A:$C,3,0)</f>
        <v>#REF!</v>
      </c>
      <c r="BH102" s="4" t="e">
        <f>BG102/VLOOKUP(A102,'[61]geoMap (58)'!$A:$B,2,0)*VLOOKUP(A102,'[61]geoMap (58)'!$A:$C,3,0)</f>
        <v>#REF!</v>
      </c>
      <c r="BI102" s="1" t="e">
        <f>BH102/VLOOKUP(A102,'[62]geoMap (59)'!$A:$B,2,0)*VLOOKUP(A102,'[62]geoMap (59)'!$A:$C,3,0)</f>
        <v>#REF!</v>
      </c>
      <c r="BJ102" s="4" t="e">
        <f>BI102/VLOOKUP(A102,'[63]geoMap (60)'!$A:$B,2,0)*VLOOKUP(A102,'[63]geoMap (60)'!$A:$C,3,0)</f>
        <v>#REF!</v>
      </c>
      <c r="BK102" s="1" t="e">
        <f>BJ102/VLOOKUP(A102,'[64]geoMap (61)'!$A:$B,2,0)*VLOOKUP(A102,'[64]geoMap (61)'!$A:$C,3,0)</f>
        <v>#REF!</v>
      </c>
      <c r="BL102" s="4" t="e">
        <f>BK102/VLOOKUP(A102,'[65]geoMap (62)'!$A:$B,2,0)*VLOOKUP(A102,'[65]geoMap (62)'!$A:$C,3,0)</f>
        <v>#REF!</v>
      </c>
      <c r="BM102" s="1" t="e">
        <f>BL102/VLOOKUP(A102,'[66]geoMap (63)'!$A:$B,2,0)*VLOOKUP(A102,'[66]geoMap (63)'!$A:$C,3,0)</f>
        <v>#REF!</v>
      </c>
      <c r="BN102" s="4" t="e">
        <f>BM102/VLOOKUP(A102,'[67]geoMap (64)'!$A:$B,2,0)*VLOOKUP(A102,'[67]geoMap (64)'!$A:$C,3,0)</f>
        <v>#REF!</v>
      </c>
      <c r="BO102" s="1" t="e">
        <f>BN102/VLOOKUP(A102,'[68]geoMap (65)'!$A:$B,2,0)*VLOOKUP(A102,'[68]geoMap (65)'!$A:$C,3,0)</f>
        <v>#REF!</v>
      </c>
      <c r="BP102" s="4" t="e">
        <f>BO102/VLOOKUP(A102,'[69]geoMap (66)'!$A:$B,2,0)*VLOOKUP(A102,'[69]geoMap (66)'!$A:$C,3,0)</f>
        <v>#REF!</v>
      </c>
    </row>
    <row r="103" spans="1:68" x14ac:dyDescent="0.2">
      <c r="A103" s="1" t="s">
        <v>46</v>
      </c>
      <c r="B103" s="1" t="e">
        <f>VLOOKUP(A103,[3]geoMap!$A:$B,2,0)*Notes!$C$6</f>
        <v>#REF!</v>
      </c>
      <c r="C103" s="1" t="e">
        <f>B103/VLOOKUP(A103,'[4]geoMap (1)'!$A:$B,2,0)*VLOOKUP(A103,'[4]geoMap (1)'!$A:$C,3,0)</f>
        <v>#REF!</v>
      </c>
      <c r="D103" s="1" t="e">
        <f>C103/VLOOKUP(A103,'[5]geoMap (2)'!$A:$B,2,0)*VLOOKUP(A103,'[5]geoMap (2)'!$A:$C,3,0)</f>
        <v>#REF!</v>
      </c>
      <c r="E103" s="1" t="e">
        <f>D103/VLOOKUP(A103,'[6]geoMap (3)'!$A:$B,2,0)*VLOOKUP(A103,'[6]geoMap (3)'!$A:$C,3,0)</f>
        <v>#REF!</v>
      </c>
      <c r="F103" s="1" t="e">
        <f>E103/VLOOKUP(A103,'[7]geoMap (4)'!$A:$B,2,0)*VLOOKUP(A103,'[7]geoMap (4)'!$A:$C,3,0)</f>
        <v>#REF!</v>
      </c>
      <c r="G103" s="1" t="e">
        <f>F103/VLOOKUP(A103,'[8]geoMap (5)'!$A:$B,2,0)*VLOOKUP(A103,'[8]geoMap (5)'!$A:$C,3,0)</f>
        <v>#REF!</v>
      </c>
      <c r="H103" s="1" t="e">
        <f>G103/VLOOKUP(A103,'[9]geoMap (6)'!$A:$B,2,0)*VLOOKUP(A103,'[9]geoMap (6)'!$A:$C,3,0)</f>
        <v>#REF!</v>
      </c>
      <c r="I103" s="1" t="e">
        <f>H103/VLOOKUP(A103,'[10]geoMap (7)'!$A:$B,2,0)*VLOOKUP(A103,'[10]geoMap (7)'!$A:$C,3,0)</f>
        <v>#REF!</v>
      </c>
      <c r="J103" s="1" t="e">
        <f>I103/VLOOKUP(A103,'[11]geoMap (8)'!$A:$B,2,0)*VLOOKUP(A103,'[11]geoMap (8)'!$A:$C,3,0)</f>
        <v>#REF!</v>
      </c>
      <c r="K103" s="1" t="e">
        <f>J103/VLOOKUP(A103,'[12]geoMap (9)'!$A:$B,2,0)*VLOOKUP(A103,'[12]geoMap (9)'!$A:$C,3,0)</f>
        <v>#REF!</v>
      </c>
      <c r="L103" s="1" t="e">
        <f>K103/VLOOKUP(A103,'[13]geoMap (10)'!$A:$B,2,0)*VLOOKUP(A103,'[13]geoMap (10)'!$A:$C,3,0)</f>
        <v>#REF!</v>
      </c>
      <c r="M103" s="1" t="e">
        <f>L103/VLOOKUP(A103,'[14]geoMap (11)'!$A:$B,2,0)*VLOOKUP(A103,'[14]geoMap (11)'!$A:$C,3,0)</f>
        <v>#REF!</v>
      </c>
      <c r="N103" s="1" t="e">
        <f>M103/VLOOKUP(A103,'[15]geoMap (12)'!$A:$B,2,0)*VLOOKUP(A103,'[15]geoMap (12)'!$A:$C,3,0)</f>
        <v>#REF!</v>
      </c>
      <c r="O103" s="1" t="e">
        <f>N103/VLOOKUP(A103,'[16]geoMap (13)'!$A:$B,2,0)*VLOOKUP(A103,'[16]geoMap (13)'!$A:$C,3,0)</f>
        <v>#REF!</v>
      </c>
      <c r="P103" s="1" t="e">
        <f>O103/VLOOKUP(A103,'[17]geoMap (14)'!$A:$B,2,0)*VLOOKUP(A103,'[17]geoMap (14)'!$A:$C,3,0)</f>
        <v>#REF!</v>
      </c>
      <c r="Q103" s="1" t="e">
        <f>P103/VLOOKUP(A103,'[18]geoMap (15)'!$A:$B,2,0)*VLOOKUP(A103,'[18]geoMap (15)'!$A:$C,3,0)</f>
        <v>#REF!</v>
      </c>
      <c r="R103" s="1" t="e">
        <f>Q103/VLOOKUP(A103,'[19]geoMap (16)'!$A:$B,2,0)*VLOOKUP(A103,'[19]geoMap (16)'!$A:$C,3,0)</f>
        <v>#REF!</v>
      </c>
      <c r="S103" s="1" t="e">
        <f>R103/VLOOKUP(A103,'[20]geoMap (17)'!$A:$B,2,0)*VLOOKUP(A103,'[20]geoMap (17)'!$A:$C,3,0)</f>
        <v>#REF!</v>
      </c>
      <c r="T103" s="1" t="e">
        <f>S103/VLOOKUP(A103,'[21]geoMap (18)'!$A:$B,2,0)*VLOOKUP(A103,'[21]geoMap (18)'!$A:$C,3,0)</f>
        <v>#REF!</v>
      </c>
      <c r="U103" s="1" t="e">
        <f>T103/VLOOKUP(A103,'[22]geoMap (19)'!$A:$B,2,0)*VLOOKUP(A103,'[22]geoMap (19)'!$A:$C,3,0)</f>
        <v>#REF!</v>
      </c>
      <c r="V103" s="1" t="e">
        <f>U103/VLOOKUP(A103,'[23]geoMap (20)'!$A:$B,2,0)*VLOOKUP(A103,'[23]geoMap (20)'!$A:$C,3,0)</f>
        <v>#REF!</v>
      </c>
      <c r="W103" s="1" t="e">
        <f>V103/VLOOKUP(A103,'[24]geoMap (21)'!$A:$B,2,0)*VLOOKUP(A103,'[24]geoMap (21)'!$A:$C,3,0)</f>
        <v>#REF!</v>
      </c>
      <c r="X103" s="1" t="e">
        <f>W103/VLOOKUP(A103,'[25]geoMap (22)'!$A:$B,2,0)*VLOOKUP(A103,'[25]geoMap (22)'!$A:$C,3,0)</f>
        <v>#REF!</v>
      </c>
      <c r="Y103" s="1" t="e">
        <f>X103/VLOOKUP(A103,'[26]geoMap (23)'!$A:$B,2,0)*VLOOKUP(A103,'[26]geoMap (23)'!$A:$C,3,0)</f>
        <v>#REF!</v>
      </c>
      <c r="Z103" s="1" t="e">
        <f>Y103/VLOOKUP(A103,'[27]geoMap (24)'!$A:$B,2,0)*VLOOKUP(A103,'[27]geoMap (24)'!$A:$C,3,0)</f>
        <v>#REF!</v>
      </c>
      <c r="AA103" s="1" t="e">
        <f>Z103/VLOOKUP(A103,'[28]geoMap (25)'!$A:$B,2,0)*VLOOKUP(A103,'[28]geoMap (25)'!$A:$C,3,0)</f>
        <v>#REF!</v>
      </c>
      <c r="AB103" s="1" t="e">
        <f>AA103*VLOOKUP(A103,'[29]geoMap (26)'!$A:$B,2,0)*VLOOKUP(A103,'[29]geoMap (26)'!$A:$C,3,0)</f>
        <v>#REF!</v>
      </c>
      <c r="AC103" s="1" t="e">
        <f>AB103/VLOOKUP(A103,'[30]geoMap (27)'!$A:$B,2,0)*VLOOKUP(A103,'[30]geoMap (27)'!$A:$C,3,0)</f>
        <v>#REF!</v>
      </c>
      <c r="AD103" s="1" t="e">
        <f>AC103/VLOOKUP(A103,'[31]geoMap (28)'!$A:$B,2,0)*VLOOKUP(A103,'[31]geoMap (28)'!$A:$C,3,0)</f>
        <v>#REF!</v>
      </c>
      <c r="AE103" s="1" t="e">
        <f>AD103/VLOOKUP(A103,'[32]geoMap (29)'!$A:$B,2,0)*VLOOKUP(A103,'[32]geoMap (29)'!$A:$C,3,0)</f>
        <v>#REF!</v>
      </c>
      <c r="AF103" s="1" t="e">
        <f>AE103/VLOOKUP(A103,'[33]geoMap (30)'!$A:$B,2,0)*VLOOKUP(A103,'[33]geoMap (30)'!$A:$C,3,0)</f>
        <v>#REF!</v>
      </c>
      <c r="AG103" s="1" t="e">
        <f>AF103/VLOOKUP(A103,'[34]geoMap (31)'!$A:$B,2,0)*VLOOKUP(A103,'[34]geoMap (31)'!$A:$C,3,0)</f>
        <v>#REF!</v>
      </c>
      <c r="AH103" s="1" t="e">
        <f>AG103/VLOOKUP(A103,'[35]geoMap (32)'!$A:$B,2,0)*VLOOKUP(A103,'[35]geoMap (32)'!$A:$C,3,0)</f>
        <v>#REF!</v>
      </c>
      <c r="AI103" s="1" t="e">
        <f>AH103/VLOOKUP(A103,'[36]geoMap (33)'!$A:$B,2,0)*VLOOKUP(A103,'[36]geoMap (33)'!$A:$C,3,0)</f>
        <v>#REF!</v>
      </c>
      <c r="AJ103" s="1" t="e">
        <f>AI103/VLOOKUP(A103,'[37]geoMap (34)'!$A:$B,2,0)*VLOOKUP(A103,'[37]geoMap (34)'!$A:$C,3,0)</f>
        <v>#REF!</v>
      </c>
      <c r="AK103" s="1" t="e">
        <f>AJ103/VLOOKUP(A103,'[38]geoMap (35)'!$A:$B,2,0)*VLOOKUP(A103,'[38]geoMap (35)'!$A:$C,3,0)</f>
        <v>#REF!</v>
      </c>
      <c r="AL103" s="1" t="e">
        <f>AK103/VLOOKUP(A103,'[39]geoMap (36)'!$A:$B,2,0)*VLOOKUP(A103,'[39]geoMap (36)'!$A:$C,3,0)</f>
        <v>#REF!</v>
      </c>
      <c r="AM103" s="1" t="e">
        <f>AL103/VLOOKUP(A103,'[40]geoMap (37)'!$A:$B,2,0)*VLOOKUP(A103,'[40]geoMap (37)'!$A:$C,3,0)</f>
        <v>#REF!</v>
      </c>
      <c r="AN103" s="1" t="e">
        <f>AM103/VLOOKUP(A103,'[41]geoMap (38)'!$A:$B,2,0)*VLOOKUP(A103,'[41]geoMap (38)'!$A:$C,3,0)</f>
        <v>#REF!</v>
      </c>
      <c r="AO103" s="1" t="e">
        <f>AN103/VLOOKUP(A103,'[42]geoMap (39)'!$A:$B,2,0)*VLOOKUP(A103,'[42]geoMap (39)'!$A:$C,3,0)</f>
        <v>#REF!</v>
      </c>
      <c r="AP103" s="1" t="e">
        <f>AO103/VLOOKUP(A103,'[43]geoMap (40)'!$A:$B,2,0)*VLOOKUP(A103,'[43]geoMap (40)'!$A:$C,3,0)</f>
        <v>#REF!</v>
      </c>
      <c r="AQ103" s="1" t="e">
        <f>AP103/VLOOKUP(A103,'[44]geoMap (41)'!$A:$B,2,0)*VLOOKUP(A103,'[44]geoMap (41)'!$A:$C,3,0)</f>
        <v>#REF!</v>
      </c>
      <c r="AR103" s="1" t="e">
        <f>AQ103/VLOOKUP(A103,'[45]geoMap (42)'!$A:$B,2,0)*VLOOKUP(A103,'[45]geoMap (42)'!$A:$C,3,0)</f>
        <v>#REF!</v>
      </c>
      <c r="AS103" s="1" t="e">
        <f>AR103/VLOOKUP(A103,'[46]geoMap (43)'!$A:$B,2,0)*VLOOKUP(A103,'[46]geoMap (43)'!$A:$C,3,0)</f>
        <v>#REF!</v>
      </c>
      <c r="AT103" s="1" t="e">
        <f>AS103/VLOOKUP(A103,'[47]geoMap (44)'!$A:$B,2,0)*VLOOKUP(A103,'[47]geoMap (44)'!$A:$C,3,0)</f>
        <v>#REF!</v>
      </c>
      <c r="AU103" s="1" t="e">
        <f>AT103/VLOOKUP(A103,'[48]geoMap (45)'!$A:$B,2,0)*VLOOKUP(A103,'[48]geoMap (45)'!$A:$C,3,0)</f>
        <v>#REF!</v>
      </c>
      <c r="AV103" s="1" t="e">
        <f>AU103/VLOOKUP(A103,'[49]geoMap (46)'!$A:$B,2,0)*VLOOKUP(A103,'[49]geoMap (46)'!$A:$C,3,0)</f>
        <v>#REF!</v>
      </c>
      <c r="AW103" s="1" t="e">
        <f>AV103/VLOOKUP(A103,'[50]geoMap (47)'!$A:$B,2,0)*VLOOKUP(A103,'[50]geoMap (47)'!$A:$C,3,0)</f>
        <v>#REF!</v>
      </c>
      <c r="AX103" s="4" t="e">
        <f>AW103/VLOOKUP(A103,'[51]geoMap (48)'!$A:$B,2,0)*VLOOKUP(A103,'[51]geoMap (48)'!$A:$C,3,0)</f>
        <v>#REF!</v>
      </c>
      <c r="AY103" s="1" t="e">
        <f>AX103/VLOOKUP(A103,'[52]geoMap (49)'!$A:$B,2,0)*VLOOKUP(A103,'[52]geoMap (49)'!$A:$C,3,0)</f>
        <v>#REF!</v>
      </c>
      <c r="AZ103" s="4" t="e">
        <f>AY103/VLOOKUP(A103,'[53]geoMap (50)'!$A:$B,2,0)*VLOOKUP(A103,'[53]geoMap (50)'!$A:$C,3,0)</f>
        <v>#REF!</v>
      </c>
      <c r="BA103" s="1" t="e">
        <f>AZ103/VLOOKUP(A103,'[54]geoMap (51)'!$A:$B,2,0)*VLOOKUP(A103,'[54]geoMap (51)'!$A:$C,3,0)</f>
        <v>#REF!</v>
      </c>
      <c r="BB103" s="4" t="e">
        <f>BA103/VLOOKUP(A103,'[55]geoMap (52)'!$A:$B,2,0)*VLOOKUP(A103,'[55]geoMap (52)'!$A:$C,3,0)</f>
        <v>#REF!</v>
      </c>
      <c r="BC103" s="1" t="e">
        <f>BB103/VLOOKUP(A103,'[56]geoMap (53)'!$A:$B,2,0)*VLOOKUP(A103,'[56]geoMap (53)'!$A:$C,3,0)</f>
        <v>#REF!</v>
      </c>
      <c r="BD103" s="4" t="e">
        <f>BC103/VLOOKUP(A103,'[57]geoMap (54)'!$A:$B,2,0)*VLOOKUP(A103,'[57]geoMap (54)'!$A:$C,3,0)</f>
        <v>#REF!</v>
      </c>
      <c r="BE103" s="1" t="e">
        <f>BD103/VLOOKUP(A103,'[58]geoMap (55)'!$A:$B,2,0)*VLOOKUP(A103,'[58]geoMap (55)'!$A:$C,3,0)</f>
        <v>#REF!</v>
      </c>
      <c r="BF103" s="4" t="e">
        <f>BE103/VLOOKUP(A103,'[59]geoMap (56)'!$A:$B,2,0)*VLOOKUP(A103,'[59]geoMap (56)'!$A:$C,3,0)</f>
        <v>#REF!</v>
      </c>
      <c r="BG103" s="1" t="e">
        <f>BF103/VLOOKUP(A103,'[60]geoMap (57)'!$A:$B,2,0)*VLOOKUP(A103,'[60]geoMap (57)'!$A:$C,3,0)</f>
        <v>#REF!</v>
      </c>
      <c r="BH103" s="4" t="e">
        <f>BG103/VLOOKUP(A103,'[61]geoMap (58)'!$A:$B,2,0)*VLOOKUP(A103,'[61]geoMap (58)'!$A:$C,3,0)</f>
        <v>#REF!</v>
      </c>
      <c r="BI103" s="1" t="e">
        <f>BH103/VLOOKUP(A103,'[62]geoMap (59)'!$A:$B,2,0)*VLOOKUP(A103,'[62]geoMap (59)'!$A:$C,3,0)</f>
        <v>#REF!</v>
      </c>
      <c r="BJ103" s="4" t="e">
        <f>BI103/VLOOKUP(A103,'[63]geoMap (60)'!$A:$B,2,0)*VLOOKUP(A103,'[63]geoMap (60)'!$A:$C,3,0)</f>
        <v>#REF!</v>
      </c>
      <c r="BK103" s="1" t="e">
        <f>BJ103/VLOOKUP(A103,'[64]geoMap (61)'!$A:$B,2,0)*VLOOKUP(A103,'[64]geoMap (61)'!$A:$C,3,0)</f>
        <v>#REF!</v>
      </c>
      <c r="BL103" s="4" t="e">
        <f>BK103/VLOOKUP(A103,'[65]geoMap (62)'!$A:$B,2,0)*VLOOKUP(A103,'[65]geoMap (62)'!$A:$C,3,0)</f>
        <v>#REF!</v>
      </c>
      <c r="BM103" s="1" t="e">
        <f>BL103/VLOOKUP(A103,'[66]geoMap (63)'!$A:$B,2,0)*VLOOKUP(A103,'[66]geoMap (63)'!$A:$C,3,0)</f>
        <v>#REF!</v>
      </c>
      <c r="BN103" s="4" t="e">
        <f>BM103/VLOOKUP(A103,'[67]geoMap (64)'!$A:$B,2,0)*VLOOKUP(A103,'[67]geoMap (64)'!$A:$C,3,0)</f>
        <v>#REF!</v>
      </c>
      <c r="BO103" s="1" t="e">
        <f>BN103/VLOOKUP(A103,'[68]geoMap (65)'!$A:$B,2,0)*VLOOKUP(A103,'[68]geoMap (65)'!$A:$C,3,0)</f>
        <v>#REF!</v>
      </c>
      <c r="BP103" s="4" t="e">
        <f>BO103/VLOOKUP(A103,'[69]geoMap (66)'!$A:$B,2,0)*VLOOKUP(A103,'[69]geoMap (66)'!$A:$C,3,0)</f>
        <v>#REF!</v>
      </c>
    </row>
    <row r="104" spans="1:68" x14ac:dyDescent="0.2">
      <c r="A104" s="1" t="s">
        <v>47</v>
      </c>
      <c r="B104" s="1" t="e">
        <f>VLOOKUP(A104,[3]geoMap!$A:$B,2,0)*Notes!$C$6</f>
        <v>#REF!</v>
      </c>
      <c r="C104" s="1" t="e">
        <f>B104/VLOOKUP(A104,'[4]geoMap (1)'!$A:$B,2,0)*VLOOKUP(A104,'[4]geoMap (1)'!$A:$C,3,0)</f>
        <v>#REF!</v>
      </c>
      <c r="D104" s="1" t="e">
        <f>C104/VLOOKUP(A104,'[5]geoMap (2)'!$A:$B,2,0)*VLOOKUP(A104,'[5]geoMap (2)'!$A:$C,3,0)</f>
        <v>#REF!</v>
      </c>
      <c r="E104" s="1" t="e">
        <f>D104/VLOOKUP(A104,'[6]geoMap (3)'!$A:$B,2,0)*VLOOKUP(A104,'[6]geoMap (3)'!$A:$C,3,0)</f>
        <v>#REF!</v>
      </c>
      <c r="F104" s="1" t="e">
        <f>E104/VLOOKUP(A104,'[7]geoMap (4)'!$A:$B,2,0)*VLOOKUP(A104,'[7]geoMap (4)'!$A:$C,3,0)</f>
        <v>#REF!</v>
      </c>
      <c r="G104" s="1" t="e">
        <f>F104/VLOOKUP(A104,'[8]geoMap (5)'!$A:$B,2,0)*VLOOKUP(A104,'[8]geoMap (5)'!$A:$C,3,0)</f>
        <v>#REF!</v>
      </c>
      <c r="H104" s="1" t="e">
        <f>G104/VLOOKUP(A104,'[9]geoMap (6)'!$A:$B,2,0)*VLOOKUP(A104,'[9]geoMap (6)'!$A:$C,3,0)</f>
        <v>#REF!</v>
      </c>
      <c r="I104" s="1" t="e">
        <f>H104/VLOOKUP(A104,'[10]geoMap (7)'!$A:$B,2,0)*VLOOKUP(A104,'[10]geoMap (7)'!$A:$C,3,0)</f>
        <v>#REF!</v>
      </c>
      <c r="J104" s="1" t="e">
        <f>I104/VLOOKUP(A104,'[11]geoMap (8)'!$A:$B,2,0)*VLOOKUP(A104,'[11]geoMap (8)'!$A:$C,3,0)</f>
        <v>#REF!</v>
      </c>
      <c r="K104" s="1" t="e">
        <f>J104/VLOOKUP(A104,'[12]geoMap (9)'!$A:$B,2,0)*VLOOKUP(A104,'[12]geoMap (9)'!$A:$C,3,0)</f>
        <v>#REF!</v>
      </c>
      <c r="L104" s="1" t="e">
        <f>K104/VLOOKUP(A104,'[13]geoMap (10)'!$A:$B,2,0)*VLOOKUP(A104,'[13]geoMap (10)'!$A:$C,3,0)</f>
        <v>#REF!</v>
      </c>
      <c r="M104" s="1" t="e">
        <f>L104/VLOOKUP(A104,'[14]geoMap (11)'!$A:$B,2,0)*VLOOKUP(A104,'[14]geoMap (11)'!$A:$C,3,0)</f>
        <v>#REF!</v>
      </c>
      <c r="N104" s="1" t="e">
        <f>M104/VLOOKUP(A104,'[15]geoMap (12)'!$A:$B,2,0)*VLOOKUP(A104,'[15]geoMap (12)'!$A:$C,3,0)</f>
        <v>#REF!</v>
      </c>
      <c r="O104" s="1" t="e">
        <f>N104/VLOOKUP(A104,'[16]geoMap (13)'!$A:$B,2,0)*VLOOKUP(A104,'[16]geoMap (13)'!$A:$C,3,0)</f>
        <v>#REF!</v>
      </c>
      <c r="P104" s="1" t="e">
        <f>O104/VLOOKUP(A104,'[17]geoMap (14)'!$A:$B,2,0)*VLOOKUP(A104,'[17]geoMap (14)'!$A:$C,3,0)</f>
        <v>#REF!</v>
      </c>
      <c r="Q104" s="1" t="e">
        <f>P104/VLOOKUP(A104,'[18]geoMap (15)'!$A:$B,2,0)*VLOOKUP(A104,'[18]geoMap (15)'!$A:$C,3,0)</f>
        <v>#REF!</v>
      </c>
      <c r="R104" s="1" t="e">
        <f>Q104/VLOOKUP(A104,'[19]geoMap (16)'!$A:$B,2,0)*VLOOKUP(A104,'[19]geoMap (16)'!$A:$C,3,0)</f>
        <v>#REF!</v>
      </c>
      <c r="S104" s="1" t="e">
        <f>R104/VLOOKUP(A104,'[20]geoMap (17)'!$A:$B,2,0)*VLOOKUP(A104,'[20]geoMap (17)'!$A:$C,3,0)</f>
        <v>#REF!</v>
      </c>
      <c r="T104" s="1" t="e">
        <f>S104/VLOOKUP(A104,'[21]geoMap (18)'!$A:$B,2,0)*VLOOKUP(A104,'[21]geoMap (18)'!$A:$C,3,0)</f>
        <v>#REF!</v>
      </c>
      <c r="U104" s="1" t="e">
        <f>T104/VLOOKUP(A104,'[22]geoMap (19)'!$A:$B,2,0)*VLOOKUP(A104,'[22]geoMap (19)'!$A:$C,3,0)</f>
        <v>#REF!</v>
      </c>
      <c r="V104" s="1" t="e">
        <f>U104/VLOOKUP(A104,'[23]geoMap (20)'!$A:$B,2,0)*VLOOKUP(A104,'[23]geoMap (20)'!$A:$C,3,0)</f>
        <v>#REF!</v>
      </c>
      <c r="W104" s="1" t="e">
        <f>V104/VLOOKUP(A104,'[24]geoMap (21)'!$A:$B,2,0)*VLOOKUP(A104,'[24]geoMap (21)'!$A:$C,3,0)</f>
        <v>#REF!</v>
      </c>
      <c r="X104" s="1" t="e">
        <f>W104/VLOOKUP(A104,'[25]geoMap (22)'!$A:$B,2,0)*VLOOKUP(A104,'[25]geoMap (22)'!$A:$C,3,0)</f>
        <v>#REF!</v>
      </c>
      <c r="Y104" s="1" t="e">
        <f>X104/VLOOKUP(A104,'[26]geoMap (23)'!$A:$B,2,0)*VLOOKUP(A104,'[26]geoMap (23)'!$A:$C,3,0)</f>
        <v>#REF!</v>
      </c>
      <c r="Z104" s="1" t="e">
        <f>Y104/VLOOKUP(A104,'[27]geoMap (24)'!$A:$B,2,0)*VLOOKUP(A104,'[27]geoMap (24)'!$A:$C,3,0)</f>
        <v>#REF!</v>
      </c>
      <c r="AA104" s="1" t="e">
        <f>Z104/VLOOKUP(A104,'[28]geoMap (25)'!$A:$B,2,0)*VLOOKUP(A104,'[28]geoMap (25)'!$A:$C,3,0)</f>
        <v>#REF!</v>
      </c>
      <c r="AB104" s="1" t="e">
        <f>AA104*VLOOKUP(A104,'[29]geoMap (26)'!$A:$B,2,0)*VLOOKUP(A104,'[29]geoMap (26)'!$A:$C,3,0)</f>
        <v>#REF!</v>
      </c>
      <c r="AC104" s="1" t="e">
        <f>AB104/VLOOKUP(A104,'[30]geoMap (27)'!$A:$B,2,0)*VLOOKUP(A104,'[30]geoMap (27)'!$A:$C,3,0)</f>
        <v>#REF!</v>
      </c>
      <c r="AD104" s="1" t="e">
        <f>AC104/VLOOKUP(A104,'[31]geoMap (28)'!$A:$B,2,0)*VLOOKUP(A104,'[31]geoMap (28)'!$A:$C,3,0)</f>
        <v>#REF!</v>
      </c>
      <c r="AE104" s="1" t="e">
        <f>AD104/VLOOKUP(A104,'[32]geoMap (29)'!$A:$B,2,0)*VLOOKUP(A104,'[32]geoMap (29)'!$A:$C,3,0)</f>
        <v>#REF!</v>
      </c>
      <c r="AF104" s="1" t="e">
        <f>AE104/VLOOKUP(A104,'[33]geoMap (30)'!$A:$B,2,0)*VLOOKUP(A104,'[33]geoMap (30)'!$A:$C,3,0)</f>
        <v>#REF!</v>
      </c>
      <c r="AG104" s="1" t="e">
        <f>AF104/VLOOKUP(A104,'[34]geoMap (31)'!$A:$B,2,0)*VLOOKUP(A104,'[34]geoMap (31)'!$A:$C,3,0)</f>
        <v>#REF!</v>
      </c>
      <c r="AH104" s="1" t="e">
        <f>AG104/VLOOKUP(A104,'[35]geoMap (32)'!$A:$B,2,0)*VLOOKUP(A104,'[35]geoMap (32)'!$A:$C,3,0)</f>
        <v>#REF!</v>
      </c>
      <c r="AI104" s="1" t="e">
        <f>AH104/VLOOKUP(A104,'[36]geoMap (33)'!$A:$B,2,0)*VLOOKUP(A104,'[36]geoMap (33)'!$A:$C,3,0)</f>
        <v>#REF!</v>
      </c>
      <c r="AJ104" s="1" t="e">
        <f>AI104/VLOOKUP(A104,'[37]geoMap (34)'!$A:$B,2,0)*VLOOKUP(A104,'[37]geoMap (34)'!$A:$C,3,0)</f>
        <v>#REF!</v>
      </c>
      <c r="AK104" s="1" t="e">
        <f>AJ104/VLOOKUP(A104,'[38]geoMap (35)'!$A:$B,2,0)*VLOOKUP(A104,'[38]geoMap (35)'!$A:$C,3,0)</f>
        <v>#REF!</v>
      </c>
      <c r="AL104" s="1" t="e">
        <f>AK104/VLOOKUP(A104,'[39]geoMap (36)'!$A:$B,2,0)*VLOOKUP(A104,'[39]geoMap (36)'!$A:$C,3,0)</f>
        <v>#REF!</v>
      </c>
      <c r="AM104" s="1" t="e">
        <f>AL104/VLOOKUP(A104,'[40]geoMap (37)'!$A:$B,2,0)*VLOOKUP(A104,'[40]geoMap (37)'!$A:$C,3,0)</f>
        <v>#REF!</v>
      </c>
      <c r="AN104" s="1" t="e">
        <f>AM104/VLOOKUP(A104,'[41]geoMap (38)'!$A:$B,2,0)*VLOOKUP(A104,'[41]geoMap (38)'!$A:$C,3,0)</f>
        <v>#REF!</v>
      </c>
      <c r="AO104" s="1" t="e">
        <f>AN104/VLOOKUP(A104,'[42]geoMap (39)'!$A:$B,2,0)*VLOOKUP(A104,'[42]geoMap (39)'!$A:$C,3,0)</f>
        <v>#REF!</v>
      </c>
      <c r="AP104" s="1" t="e">
        <f>AO104/VLOOKUP(A104,'[43]geoMap (40)'!$A:$B,2,0)*VLOOKUP(A104,'[43]geoMap (40)'!$A:$C,3,0)</f>
        <v>#REF!</v>
      </c>
      <c r="AQ104" s="1" t="e">
        <f>AP104/VLOOKUP(A104,'[44]geoMap (41)'!$A:$B,2,0)*VLOOKUP(A104,'[44]geoMap (41)'!$A:$C,3,0)</f>
        <v>#REF!</v>
      </c>
      <c r="AR104" s="1" t="e">
        <f>AQ104/VLOOKUP(A104,'[45]geoMap (42)'!$A:$B,2,0)*VLOOKUP(A104,'[45]geoMap (42)'!$A:$C,3,0)</f>
        <v>#REF!</v>
      </c>
      <c r="AS104" s="1" t="e">
        <f>AR104/VLOOKUP(A104,'[46]geoMap (43)'!$A:$B,2,0)*VLOOKUP(A104,'[46]geoMap (43)'!$A:$C,3,0)</f>
        <v>#REF!</v>
      </c>
      <c r="AT104" s="1" t="e">
        <f>AS104/VLOOKUP(A104,'[47]geoMap (44)'!$A:$B,2,0)*VLOOKUP(A104,'[47]geoMap (44)'!$A:$C,3,0)</f>
        <v>#REF!</v>
      </c>
      <c r="AU104" s="1" t="e">
        <f>AT104/VLOOKUP(A104,'[48]geoMap (45)'!$A:$B,2,0)*VLOOKUP(A104,'[48]geoMap (45)'!$A:$C,3,0)</f>
        <v>#REF!</v>
      </c>
      <c r="AV104" s="1" t="e">
        <f>AU104/VLOOKUP(A104,'[49]geoMap (46)'!$A:$B,2,0)*VLOOKUP(A104,'[49]geoMap (46)'!$A:$C,3,0)</f>
        <v>#REF!</v>
      </c>
      <c r="AW104" s="1" t="e">
        <f>AV104/VLOOKUP(A104,'[50]geoMap (47)'!$A:$B,2,0)*VLOOKUP(A104,'[50]geoMap (47)'!$A:$C,3,0)</f>
        <v>#REF!</v>
      </c>
      <c r="AX104" s="4" t="e">
        <f>AW104/VLOOKUP(A104,'[51]geoMap (48)'!$A:$B,2,0)*VLOOKUP(A104,'[51]geoMap (48)'!$A:$C,3,0)</f>
        <v>#REF!</v>
      </c>
      <c r="AY104" s="1" t="e">
        <f>AX104/VLOOKUP(A104,'[52]geoMap (49)'!$A:$B,2,0)*VLOOKUP(A104,'[52]geoMap (49)'!$A:$C,3,0)</f>
        <v>#REF!</v>
      </c>
      <c r="AZ104" s="4" t="e">
        <f>AY104/VLOOKUP(A104,'[53]geoMap (50)'!$A:$B,2,0)*VLOOKUP(A104,'[53]geoMap (50)'!$A:$C,3,0)</f>
        <v>#REF!</v>
      </c>
      <c r="BA104" s="1" t="e">
        <f>AZ104/VLOOKUP(A104,'[54]geoMap (51)'!$A:$B,2,0)*VLOOKUP(A104,'[54]geoMap (51)'!$A:$C,3,0)</f>
        <v>#REF!</v>
      </c>
      <c r="BB104" s="4" t="e">
        <f>BA104/VLOOKUP(A104,'[55]geoMap (52)'!$A:$B,2,0)*VLOOKUP(A104,'[55]geoMap (52)'!$A:$C,3,0)</f>
        <v>#REF!</v>
      </c>
      <c r="BC104" s="1" t="e">
        <f>BB104/VLOOKUP(A104,'[56]geoMap (53)'!$A:$B,2,0)*VLOOKUP(A104,'[56]geoMap (53)'!$A:$C,3,0)</f>
        <v>#REF!</v>
      </c>
      <c r="BD104" s="4" t="e">
        <f>BC104/VLOOKUP(A104,'[57]geoMap (54)'!$A:$B,2,0)*VLOOKUP(A104,'[57]geoMap (54)'!$A:$C,3,0)</f>
        <v>#REF!</v>
      </c>
      <c r="BE104" s="1" t="e">
        <f>BD104/VLOOKUP(A104,'[58]geoMap (55)'!$A:$B,2,0)*VLOOKUP(A104,'[58]geoMap (55)'!$A:$C,3,0)</f>
        <v>#REF!</v>
      </c>
      <c r="BF104" s="4" t="e">
        <f>BE104/VLOOKUP(A104,'[59]geoMap (56)'!$A:$B,2,0)*VLOOKUP(A104,'[59]geoMap (56)'!$A:$C,3,0)</f>
        <v>#REF!</v>
      </c>
      <c r="BG104" s="1" t="e">
        <f>BF104/VLOOKUP(A104,'[60]geoMap (57)'!$A:$B,2,0)*VLOOKUP(A104,'[60]geoMap (57)'!$A:$C,3,0)</f>
        <v>#REF!</v>
      </c>
      <c r="BH104" s="4" t="e">
        <f>BG104/VLOOKUP(A104,'[61]geoMap (58)'!$A:$B,2,0)*VLOOKUP(A104,'[61]geoMap (58)'!$A:$C,3,0)</f>
        <v>#REF!</v>
      </c>
      <c r="BI104" s="1" t="e">
        <f>BH104/VLOOKUP(A104,'[62]geoMap (59)'!$A:$B,2,0)*VLOOKUP(A104,'[62]geoMap (59)'!$A:$C,3,0)</f>
        <v>#REF!</v>
      </c>
      <c r="BJ104" s="4" t="e">
        <f>BI104/VLOOKUP(A104,'[63]geoMap (60)'!$A:$B,2,0)*VLOOKUP(A104,'[63]geoMap (60)'!$A:$C,3,0)</f>
        <v>#REF!</v>
      </c>
      <c r="BK104" s="1" t="e">
        <f>BJ104/VLOOKUP(A104,'[64]geoMap (61)'!$A:$B,2,0)*VLOOKUP(A104,'[64]geoMap (61)'!$A:$C,3,0)</f>
        <v>#REF!</v>
      </c>
      <c r="BL104" s="4" t="e">
        <f>BK104/VLOOKUP(A104,'[65]geoMap (62)'!$A:$B,2,0)*VLOOKUP(A104,'[65]geoMap (62)'!$A:$C,3,0)</f>
        <v>#REF!</v>
      </c>
      <c r="BM104" s="1" t="e">
        <f>BL104/VLOOKUP(A104,'[66]geoMap (63)'!$A:$B,2,0)*VLOOKUP(A104,'[66]geoMap (63)'!$A:$C,3,0)</f>
        <v>#REF!</v>
      </c>
      <c r="BN104" s="4" t="e">
        <f>BM104/VLOOKUP(A104,'[67]geoMap (64)'!$A:$B,2,0)*VLOOKUP(A104,'[67]geoMap (64)'!$A:$C,3,0)</f>
        <v>#REF!</v>
      </c>
      <c r="BO104" s="1" t="e">
        <f>BN104/VLOOKUP(A104,'[68]geoMap (65)'!$A:$B,2,0)*VLOOKUP(A104,'[68]geoMap (65)'!$A:$C,3,0)</f>
        <v>#REF!</v>
      </c>
      <c r="BP104" s="4" t="e">
        <f>BO104/VLOOKUP(A104,'[69]geoMap (66)'!$A:$B,2,0)*VLOOKUP(A104,'[69]geoMap (66)'!$A:$C,3,0)</f>
        <v>#REF!</v>
      </c>
    </row>
    <row r="105" spans="1:68" x14ac:dyDescent="0.2">
      <c r="A105" s="1" t="s">
        <v>49</v>
      </c>
      <c r="B105" s="1" t="e">
        <f>VLOOKUP(A105,[3]geoMap!$A:$B,2,0)*Notes!$C$6</f>
        <v>#REF!</v>
      </c>
      <c r="C105" s="1" t="e">
        <f>B105/VLOOKUP(A105,'[4]geoMap (1)'!$A:$B,2,0)*VLOOKUP(A105,'[4]geoMap (1)'!$A:$C,3,0)</f>
        <v>#REF!</v>
      </c>
      <c r="D105" s="1" t="e">
        <f>C105/VLOOKUP(A105,'[5]geoMap (2)'!$A:$B,2,0)*VLOOKUP(A105,'[5]geoMap (2)'!$A:$C,3,0)</f>
        <v>#REF!</v>
      </c>
      <c r="E105" s="1" t="e">
        <f>D105/VLOOKUP(A105,'[6]geoMap (3)'!$A:$B,2,0)*VLOOKUP(A105,'[6]geoMap (3)'!$A:$C,3,0)</f>
        <v>#REF!</v>
      </c>
      <c r="F105" s="1" t="e">
        <f>E105/VLOOKUP(A105,'[7]geoMap (4)'!$A:$B,2,0)*VLOOKUP(A105,'[7]geoMap (4)'!$A:$C,3,0)</f>
        <v>#REF!</v>
      </c>
      <c r="G105" s="1" t="e">
        <f>F105/VLOOKUP(A105,'[8]geoMap (5)'!$A:$B,2,0)*VLOOKUP(A105,'[8]geoMap (5)'!$A:$C,3,0)</f>
        <v>#REF!</v>
      </c>
      <c r="H105" s="1" t="e">
        <f>G105/VLOOKUP(A105,'[9]geoMap (6)'!$A:$B,2,0)*VLOOKUP(A105,'[9]geoMap (6)'!$A:$C,3,0)</f>
        <v>#REF!</v>
      </c>
      <c r="I105" s="1" t="e">
        <f>H105/VLOOKUP(A105,'[10]geoMap (7)'!$A:$B,2,0)*VLOOKUP(A105,'[10]geoMap (7)'!$A:$C,3,0)</f>
        <v>#REF!</v>
      </c>
      <c r="J105" s="1" t="e">
        <f>I105/VLOOKUP(A105,'[11]geoMap (8)'!$A:$B,2,0)*VLOOKUP(A105,'[11]geoMap (8)'!$A:$C,3,0)</f>
        <v>#REF!</v>
      </c>
      <c r="K105" s="1" t="e">
        <f>J105/VLOOKUP(A105,'[12]geoMap (9)'!$A:$B,2,0)*VLOOKUP(A105,'[12]geoMap (9)'!$A:$C,3,0)</f>
        <v>#REF!</v>
      </c>
      <c r="L105" s="1" t="e">
        <f>K105/VLOOKUP(A105,'[13]geoMap (10)'!$A:$B,2,0)*VLOOKUP(A105,'[13]geoMap (10)'!$A:$C,3,0)</f>
        <v>#REF!</v>
      </c>
      <c r="M105" s="1" t="e">
        <f>L105/VLOOKUP(A105,'[14]geoMap (11)'!$A:$B,2,0)*VLOOKUP(A105,'[14]geoMap (11)'!$A:$C,3,0)</f>
        <v>#REF!</v>
      </c>
      <c r="N105" s="1" t="e">
        <f>M105/VLOOKUP(A105,'[15]geoMap (12)'!$A:$B,2,0)*VLOOKUP(A105,'[15]geoMap (12)'!$A:$C,3,0)</f>
        <v>#REF!</v>
      </c>
      <c r="O105" s="1" t="e">
        <f>N105/VLOOKUP(A105,'[16]geoMap (13)'!$A:$B,2,0)*VLOOKUP(A105,'[16]geoMap (13)'!$A:$C,3,0)</f>
        <v>#REF!</v>
      </c>
      <c r="P105" s="1" t="e">
        <f>O105/VLOOKUP(A105,'[17]geoMap (14)'!$A:$B,2,0)*VLOOKUP(A105,'[17]geoMap (14)'!$A:$C,3,0)</f>
        <v>#REF!</v>
      </c>
      <c r="Q105" s="1" t="e">
        <f>P105/VLOOKUP(A105,'[18]geoMap (15)'!$A:$B,2,0)*VLOOKUP(A105,'[18]geoMap (15)'!$A:$C,3,0)</f>
        <v>#REF!</v>
      </c>
      <c r="R105" s="1" t="e">
        <f>Q105/VLOOKUP(A105,'[19]geoMap (16)'!$A:$B,2,0)*VLOOKUP(A105,'[19]geoMap (16)'!$A:$C,3,0)</f>
        <v>#REF!</v>
      </c>
      <c r="S105" s="1" t="e">
        <f>R105/VLOOKUP(A105,'[20]geoMap (17)'!$A:$B,2,0)*VLOOKUP(A105,'[20]geoMap (17)'!$A:$C,3,0)</f>
        <v>#REF!</v>
      </c>
      <c r="T105" s="1" t="e">
        <f>S105/VLOOKUP(A105,'[21]geoMap (18)'!$A:$B,2,0)*VLOOKUP(A105,'[21]geoMap (18)'!$A:$C,3,0)</f>
        <v>#REF!</v>
      </c>
      <c r="U105" s="1" t="e">
        <f>T105/VLOOKUP(A105,'[22]geoMap (19)'!$A:$B,2,0)*VLOOKUP(A105,'[22]geoMap (19)'!$A:$C,3,0)</f>
        <v>#REF!</v>
      </c>
      <c r="V105" s="1" t="e">
        <f>U105/VLOOKUP(A105,'[23]geoMap (20)'!$A:$B,2,0)*VLOOKUP(A105,'[23]geoMap (20)'!$A:$C,3,0)</f>
        <v>#REF!</v>
      </c>
      <c r="W105" s="1" t="e">
        <f>V105/VLOOKUP(A105,'[24]geoMap (21)'!$A:$B,2,0)*VLOOKUP(A105,'[24]geoMap (21)'!$A:$C,3,0)</f>
        <v>#REF!</v>
      </c>
      <c r="X105" s="1" t="e">
        <f>W105/VLOOKUP(A105,'[25]geoMap (22)'!$A:$B,2,0)*VLOOKUP(A105,'[25]geoMap (22)'!$A:$C,3,0)</f>
        <v>#REF!</v>
      </c>
      <c r="Y105" s="1" t="e">
        <f>X105/VLOOKUP(A105,'[26]geoMap (23)'!$A:$B,2,0)*VLOOKUP(A105,'[26]geoMap (23)'!$A:$C,3,0)</f>
        <v>#REF!</v>
      </c>
      <c r="Z105" s="1" t="e">
        <f>Y105/VLOOKUP(A105,'[27]geoMap (24)'!$A:$B,2,0)*VLOOKUP(A105,'[27]geoMap (24)'!$A:$C,3,0)</f>
        <v>#REF!</v>
      </c>
      <c r="AA105" s="1" t="e">
        <f>Z105/VLOOKUP(A105,'[28]geoMap (25)'!$A:$B,2,0)*VLOOKUP(A105,'[28]geoMap (25)'!$A:$C,3,0)</f>
        <v>#REF!</v>
      </c>
      <c r="AB105" s="1" t="e">
        <f>AA105*VLOOKUP(A105,'[29]geoMap (26)'!$A:$B,2,0)*VLOOKUP(A105,'[29]geoMap (26)'!$A:$C,3,0)</f>
        <v>#REF!</v>
      </c>
      <c r="AC105" s="1" t="e">
        <f>AB105/VLOOKUP(A105,'[30]geoMap (27)'!$A:$B,2,0)*VLOOKUP(A105,'[30]geoMap (27)'!$A:$C,3,0)</f>
        <v>#REF!</v>
      </c>
      <c r="AD105" s="1" t="e">
        <f>AC105/VLOOKUP(A105,'[31]geoMap (28)'!$A:$B,2,0)*VLOOKUP(A105,'[31]geoMap (28)'!$A:$C,3,0)</f>
        <v>#REF!</v>
      </c>
      <c r="AE105" s="1" t="e">
        <f>AD105/VLOOKUP(A105,'[32]geoMap (29)'!$A:$B,2,0)*VLOOKUP(A105,'[32]geoMap (29)'!$A:$C,3,0)</f>
        <v>#REF!</v>
      </c>
      <c r="AF105" s="1" t="e">
        <f>AE105/VLOOKUP(A105,'[33]geoMap (30)'!$A:$B,2,0)*VLOOKUP(A105,'[33]geoMap (30)'!$A:$C,3,0)</f>
        <v>#REF!</v>
      </c>
      <c r="AG105" s="1" t="e">
        <f>AF105/VLOOKUP(A105,'[34]geoMap (31)'!$A:$B,2,0)*VLOOKUP(A105,'[34]geoMap (31)'!$A:$C,3,0)</f>
        <v>#REF!</v>
      </c>
      <c r="AH105" s="1" t="e">
        <f>AG105/VLOOKUP(A105,'[35]geoMap (32)'!$A:$B,2,0)*VLOOKUP(A105,'[35]geoMap (32)'!$A:$C,3,0)</f>
        <v>#REF!</v>
      </c>
      <c r="AI105" s="1" t="e">
        <f>AH105/VLOOKUP(A105,'[36]geoMap (33)'!$A:$B,2,0)*VLOOKUP(A105,'[36]geoMap (33)'!$A:$C,3,0)</f>
        <v>#REF!</v>
      </c>
      <c r="AJ105" s="1" t="e">
        <f>AI105/VLOOKUP(A105,'[37]geoMap (34)'!$A:$B,2,0)*VLOOKUP(A105,'[37]geoMap (34)'!$A:$C,3,0)</f>
        <v>#REF!</v>
      </c>
      <c r="AK105" s="1" t="e">
        <f>AJ105/VLOOKUP(A105,'[38]geoMap (35)'!$A:$B,2,0)*VLOOKUP(A105,'[38]geoMap (35)'!$A:$C,3,0)</f>
        <v>#REF!</v>
      </c>
      <c r="AL105" s="1" t="e">
        <f>AK105/VLOOKUP(A105,'[39]geoMap (36)'!$A:$B,2,0)*VLOOKUP(A105,'[39]geoMap (36)'!$A:$C,3,0)</f>
        <v>#REF!</v>
      </c>
      <c r="AM105" s="1" t="e">
        <f>AL105/VLOOKUP(A105,'[40]geoMap (37)'!$A:$B,2,0)*VLOOKUP(A105,'[40]geoMap (37)'!$A:$C,3,0)</f>
        <v>#REF!</v>
      </c>
      <c r="AN105" s="1" t="e">
        <f>AM105/VLOOKUP(A105,'[41]geoMap (38)'!$A:$B,2,0)*VLOOKUP(A105,'[41]geoMap (38)'!$A:$C,3,0)</f>
        <v>#REF!</v>
      </c>
      <c r="AO105" s="1" t="e">
        <f>AN105/VLOOKUP(A105,'[42]geoMap (39)'!$A:$B,2,0)*VLOOKUP(A105,'[42]geoMap (39)'!$A:$C,3,0)</f>
        <v>#REF!</v>
      </c>
      <c r="AP105" s="1" t="e">
        <f>AO105/VLOOKUP(A105,'[43]geoMap (40)'!$A:$B,2,0)*VLOOKUP(A105,'[43]geoMap (40)'!$A:$C,3,0)</f>
        <v>#REF!</v>
      </c>
      <c r="AQ105" s="1" t="e">
        <f>AP105/VLOOKUP(A105,'[44]geoMap (41)'!$A:$B,2,0)*VLOOKUP(A105,'[44]geoMap (41)'!$A:$C,3,0)</f>
        <v>#REF!</v>
      </c>
      <c r="AR105" s="1" t="e">
        <f>AQ105/VLOOKUP(A105,'[45]geoMap (42)'!$A:$B,2,0)*VLOOKUP(A105,'[45]geoMap (42)'!$A:$C,3,0)</f>
        <v>#REF!</v>
      </c>
      <c r="AS105" s="1" t="e">
        <f>AR105/VLOOKUP(A105,'[46]geoMap (43)'!$A:$B,2,0)*VLOOKUP(A105,'[46]geoMap (43)'!$A:$C,3,0)</f>
        <v>#REF!</v>
      </c>
      <c r="AT105" s="1" t="e">
        <f>AS105/VLOOKUP(A105,'[47]geoMap (44)'!$A:$B,2,0)*VLOOKUP(A105,'[47]geoMap (44)'!$A:$C,3,0)</f>
        <v>#REF!</v>
      </c>
      <c r="AU105" s="1" t="e">
        <f>AT105/VLOOKUP(A105,'[48]geoMap (45)'!$A:$B,2,0)*VLOOKUP(A105,'[48]geoMap (45)'!$A:$C,3,0)</f>
        <v>#REF!</v>
      </c>
      <c r="AV105" s="1" t="e">
        <f>AU105/VLOOKUP(A105,'[49]geoMap (46)'!$A:$B,2,0)*VLOOKUP(A105,'[49]geoMap (46)'!$A:$C,3,0)</f>
        <v>#REF!</v>
      </c>
      <c r="AW105" s="1" t="e">
        <f>AV105/VLOOKUP(A105,'[50]geoMap (47)'!$A:$B,2,0)*VLOOKUP(A105,'[50]geoMap (47)'!$A:$C,3,0)</f>
        <v>#REF!</v>
      </c>
      <c r="AX105" s="4" t="e">
        <f>AW105/VLOOKUP(A105,'[51]geoMap (48)'!$A:$B,2,0)*VLOOKUP(A105,'[51]geoMap (48)'!$A:$C,3,0)</f>
        <v>#REF!</v>
      </c>
      <c r="AY105" s="1" t="e">
        <f>AX105/VLOOKUP(A105,'[52]geoMap (49)'!$A:$B,2,0)*VLOOKUP(A105,'[52]geoMap (49)'!$A:$C,3,0)</f>
        <v>#REF!</v>
      </c>
      <c r="AZ105" s="4" t="e">
        <f>AY105/VLOOKUP(A105,'[53]geoMap (50)'!$A:$B,2,0)*VLOOKUP(A105,'[53]geoMap (50)'!$A:$C,3,0)</f>
        <v>#REF!</v>
      </c>
      <c r="BA105" s="1" t="e">
        <f>AZ105/VLOOKUP(A105,'[54]geoMap (51)'!$A:$B,2,0)*VLOOKUP(A105,'[54]geoMap (51)'!$A:$C,3,0)</f>
        <v>#REF!</v>
      </c>
      <c r="BB105" s="4" t="e">
        <f>BA105/VLOOKUP(A105,'[55]geoMap (52)'!$A:$B,2,0)*VLOOKUP(A105,'[55]geoMap (52)'!$A:$C,3,0)</f>
        <v>#REF!</v>
      </c>
      <c r="BC105" s="1" t="e">
        <f>BB105/VLOOKUP(A105,'[56]geoMap (53)'!$A:$B,2,0)*VLOOKUP(A105,'[56]geoMap (53)'!$A:$C,3,0)</f>
        <v>#REF!</v>
      </c>
      <c r="BD105" s="4" t="e">
        <f>BC105/VLOOKUP(A105,'[57]geoMap (54)'!$A:$B,2,0)*VLOOKUP(A105,'[57]geoMap (54)'!$A:$C,3,0)</f>
        <v>#REF!</v>
      </c>
      <c r="BE105" s="1" t="e">
        <f>BD105/VLOOKUP(A105,'[58]geoMap (55)'!$A:$B,2,0)*VLOOKUP(A105,'[58]geoMap (55)'!$A:$C,3,0)</f>
        <v>#REF!</v>
      </c>
      <c r="BF105" s="4" t="e">
        <f>BE105/VLOOKUP(A105,'[59]geoMap (56)'!$A:$B,2,0)*VLOOKUP(A105,'[59]geoMap (56)'!$A:$C,3,0)</f>
        <v>#REF!</v>
      </c>
      <c r="BG105" s="1" t="e">
        <f>BF105/VLOOKUP(A105,'[60]geoMap (57)'!$A:$B,2,0)*VLOOKUP(A105,'[60]geoMap (57)'!$A:$C,3,0)</f>
        <v>#REF!</v>
      </c>
      <c r="BH105" s="4" t="e">
        <f>BG105/VLOOKUP(A105,'[61]geoMap (58)'!$A:$B,2,0)*VLOOKUP(A105,'[61]geoMap (58)'!$A:$C,3,0)</f>
        <v>#REF!</v>
      </c>
      <c r="BI105" s="1" t="e">
        <f>BH105/VLOOKUP(A105,'[62]geoMap (59)'!$A:$B,2,0)*VLOOKUP(A105,'[62]geoMap (59)'!$A:$C,3,0)</f>
        <v>#REF!</v>
      </c>
      <c r="BJ105" s="4" t="e">
        <f>BI105/VLOOKUP(A105,'[63]geoMap (60)'!$A:$B,2,0)*VLOOKUP(A105,'[63]geoMap (60)'!$A:$C,3,0)</f>
        <v>#REF!</v>
      </c>
      <c r="BK105" s="1" t="e">
        <f>BJ105/VLOOKUP(A105,'[64]geoMap (61)'!$A:$B,2,0)*VLOOKUP(A105,'[64]geoMap (61)'!$A:$C,3,0)</f>
        <v>#REF!</v>
      </c>
      <c r="BL105" s="4" t="e">
        <f>BK105/VLOOKUP(A105,'[65]geoMap (62)'!$A:$B,2,0)*VLOOKUP(A105,'[65]geoMap (62)'!$A:$C,3,0)</f>
        <v>#REF!</v>
      </c>
      <c r="BM105" s="1" t="e">
        <f>BL105/VLOOKUP(A105,'[66]geoMap (63)'!$A:$B,2,0)*VLOOKUP(A105,'[66]geoMap (63)'!$A:$C,3,0)</f>
        <v>#REF!</v>
      </c>
      <c r="BN105" s="4" t="e">
        <f>BM105/VLOOKUP(A105,'[67]geoMap (64)'!$A:$B,2,0)*VLOOKUP(A105,'[67]geoMap (64)'!$A:$C,3,0)</f>
        <v>#REF!</v>
      </c>
      <c r="BO105" s="1" t="e">
        <f>BN105/VLOOKUP(A105,'[68]geoMap (65)'!$A:$B,2,0)*VLOOKUP(A105,'[68]geoMap (65)'!$A:$C,3,0)</f>
        <v>#REF!</v>
      </c>
      <c r="BP105" s="4" t="e">
        <f>BO105/VLOOKUP(A105,'[69]geoMap (66)'!$A:$B,2,0)*VLOOKUP(A105,'[69]geoMap (66)'!$A:$C,3,0)</f>
        <v>#REF!</v>
      </c>
    </row>
    <row r="106" spans="1:68" x14ac:dyDescent="0.2">
      <c r="A106" s="1" t="s">
        <v>50</v>
      </c>
      <c r="B106" s="1" t="e">
        <f>VLOOKUP(A106,[3]geoMap!$A:$B,2,0)*Notes!$C$6</f>
        <v>#REF!</v>
      </c>
      <c r="C106" s="1" t="e">
        <f>B106/VLOOKUP(A106,'[4]geoMap (1)'!$A:$B,2,0)*VLOOKUP(A106,'[4]geoMap (1)'!$A:$C,3,0)</f>
        <v>#REF!</v>
      </c>
      <c r="D106" s="1" t="e">
        <f>C106/VLOOKUP(A106,'[5]geoMap (2)'!$A:$B,2,0)*VLOOKUP(A106,'[5]geoMap (2)'!$A:$C,3,0)</f>
        <v>#REF!</v>
      </c>
      <c r="E106" s="1" t="e">
        <f>D106/VLOOKUP(A106,'[6]geoMap (3)'!$A:$B,2,0)*VLOOKUP(A106,'[6]geoMap (3)'!$A:$C,3,0)</f>
        <v>#REF!</v>
      </c>
      <c r="F106" s="1" t="e">
        <f>E106/VLOOKUP(A106,'[7]geoMap (4)'!$A:$B,2,0)*VLOOKUP(A106,'[7]geoMap (4)'!$A:$C,3,0)</f>
        <v>#REF!</v>
      </c>
      <c r="G106" s="1" t="e">
        <f>F106/VLOOKUP(A106,'[8]geoMap (5)'!$A:$B,2,0)*VLOOKUP(A106,'[8]geoMap (5)'!$A:$C,3,0)</f>
        <v>#REF!</v>
      </c>
      <c r="H106" s="1" t="e">
        <f>G106/VLOOKUP(A106,'[9]geoMap (6)'!$A:$B,2,0)*VLOOKUP(A106,'[9]geoMap (6)'!$A:$C,3,0)</f>
        <v>#REF!</v>
      </c>
      <c r="I106" s="1" t="e">
        <f>H106/VLOOKUP(A106,'[10]geoMap (7)'!$A:$B,2,0)*VLOOKUP(A106,'[10]geoMap (7)'!$A:$C,3,0)</f>
        <v>#REF!</v>
      </c>
      <c r="J106" s="1" t="e">
        <f>I106/VLOOKUP(A106,'[11]geoMap (8)'!$A:$B,2,0)*VLOOKUP(A106,'[11]geoMap (8)'!$A:$C,3,0)</f>
        <v>#REF!</v>
      </c>
      <c r="K106" s="1" t="e">
        <f>J106/VLOOKUP(A106,'[12]geoMap (9)'!$A:$B,2,0)*VLOOKUP(A106,'[12]geoMap (9)'!$A:$C,3,0)</f>
        <v>#REF!</v>
      </c>
      <c r="L106" s="1" t="e">
        <f>K106/VLOOKUP(A106,'[13]geoMap (10)'!$A:$B,2,0)*VLOOKUP(A106,'[13]geoMap (10)'!$A:$C,3,0)</f>
        <v>#REF!</v>
      </c>
      <c r="M106" s="1" t="e">
        <f>L106/VLOOKUP(A106,'[14]geoMap (11)'!$A:$B,2,0)*VLOOKUP(A106,'[14]geoMap (11)'!$A:$C,3,0)</f>
        <v>#REF!</v>
      </c>
      <c r="N106" s="1" t="e">
        <f>M106/VLOOKUP(A106,'[15]geoMap (12)'!$A:$B,2,0)*VLOOKUP(A106,'[15]geoMap (12)'!$A:$C,3,0)</f>
        <v>#REF!</v>
      </c>
      <c r="O106" s="1" t="e">
        <f>N106/VLOOKUP(A106,'[16]geoMap (13)'!$A:$B,2,0)*VLOOKUP(A106,'[16]geoMap (13)'!$A:$C,3,0)</f>
        <v>#REF!</v>
      </c>
      <c r="P106" s="1" t="e">
        <f>O106/VLOOKUP(A106,'[17]geoMap (14)'!$A:$B,2,0)*VLOOKUP(A106,'[17]geoMap (14)'!$A:$C,3,0)</f>
        <v>#REF!</v>
      </c>
      <c r="Q106" s="1" t="e">
        <f>P106/VLOOKUP(A106,'[18]geoMap (15)'!$A:$B,2,0)*VLOOKUP(A106,'[18]geoMap (15)'!$A:$C,3,0)</f>
        <v>#REF!</v>
      </c>
      <c r="R106" s="1" t="e">
        <f>Q106/VLOOKUP(A106,'[19]geoMap (16)'!$A:$B,2,0)*VLOOKUP(A106,'[19]geoMap (16)'!$A:$C,3,0)</f>
        <v>#REF!</v>
      </c>
      <c r="S106" s="1" t="e">
        <f>R106/VLOOKUP(A106,'[20]geoMap (17)'!$A:$B,2,0)*VLOOKUP(A106,'[20]geoMap (17)'!$A:$C,3,0)</f>
        <v>#REF!</v>
      </c>
      <c r="T106" s="1" t="e">
        <f>S106/VLOOKUP(A106,'[21]geoMap (18)'!$A:$B,2,0)*VLOOKUP(A106,'[21]geoMap (18)'!$A:$C,3,0)</f>
        <v>#REF!</v>
      </c>
      <c r="U106" s="1" t="e">
        <f>T106/VLOOKUP(A106,'[22]geoMap (19)'!$A:$B,2,0)*VLOOKUP(A106,'[22]geoMap (19)'!$A:$C,3,0)</f>
        <v>#REF!</v>
      </c>
      <c r="V106" s="1" t="e">
        <f>U106/VLOOKUP(A106,'[23]geoMap (20)'!$A:$B,2,0)*VLOOKUP(A106,'[23]geoMap (20)'!$A:$C,3,0)</f>
        <v>#REF!</v>
      </c>
      <c r="W106" s="1" t="e">
        <f>V106/VLOOKUP(A106,'[24]geoMap (21)'!$A:$B,2,0)*VLOOKUP(A106,'[24]geoMap (21)'!$A:$C,3,0)</f>
        <v>#REF!</v>
      </c>
      <c r="X106" s="1" t="e">
        <f>W106/VLOOKUP(A106,'[25]geoMap (22)'!$A:$B,2,0)*VLOOKUP(A106,'[25]geoMap (22)'!$A:$C,3,0)</f>
        <v>#REF!</v>
      </c>
      <c r="Y106" s="1" t="e">
        <f>X106/VLOOKUP(A106,'[26]geoMap (23)'!$A:$B,2,0)*VLOOKUP(A106,'[26]geoMap (23)'!$A:$C,3,0)</f>
        <v>#REF!</v>
      </c>
      <c r="Z106" s="1" t="e">
        <f>Y106/VLOOKUP(A106,'[27]geoMap (24)'!$A:$B,2,0)*VLOOKUP(A106,'[27]geoMap (24)'!$A:$C,3,0)</f>
        <v>#REF!</v>
      </c>
      <c r="AA106" s="1" t="e">
        <f>Z106/VLOOKUP(A106,'[28]geoMap (25)'!$A:$B,2,0)*VLOOKUP(A106,'[28]geoMap (25)'!$A:$C,3,0)</f>
        <v>#REF!</v>
      </c>
      <c r="AB106" s="1" t="e">
        <f>AA106*VLOOKUP(A106,'[29]geoMap (26)'!$A:$B,2,0)*VLOOKUP(A106,'[29]geoMap (26)'!$A:$C,3,0)</f>
        <v>#REF!</v>
      </c>
      <c r="AC106" s="1" t="e">
        <f>AB106/VLOOKUP(A106,'[30]geoMap (27)'!$A:$B,2,0)*VLOOKUP(A106,'[30]geoMap (27)'!$A:$C,3,0)</f>
        <v>#REF!</v>
      </c>
      <c r="AD106" s="1" t="e">
        <f>AC106/VLOOKUP(A106,'[31]geoMap (28)'!$A:$B,2,0)*VLOOKUP(A106,'[31]geoMap (28)'!$A:$C,3,0)</f>
        <v>#REF!</v>
      </c>
      <c r="AE106" s="1" t="e">
        <f>AD106/VLOOKUP(A106,'[32]geoMap (29)'!$A:$B,2,0)*VLOOKUP(A106,'[32]geoMap (29)'!$A:$C,3,0)</f>
        <v>#REF!</v>
      </c>
      <c r="AF106" s="1" t="e">
        <f>AE106/VLOOKUP(A106,'[33]geoMap (30)'!$A:$B,2,0)*VLOOKUP(A106,'[33]geoMap (30)'!$A:$C,3,0)</f>
        <v>#REF!</v>
      </c>
      <c r="AG106" s="1" t="e">
        <f>AF106/VLOOKUP(A106,'[34]geoMap (31)'!$A:$B,2,0)*VLOOKUP(A106,'[34]geoMap (31)'!$A:$C,3,0)</f>
        <v>#REF!</v>
      </c>
      <c r="AH106" s="1" t="e">
        <f>AG106/VLOOKUP(A106,'[35]geoMap (32)'!$A:$B,2,0)*VLOOKUP(A106,'[35]geoMap (32)'!$A:$C,3,0)</f>
        <v>#REF!</v>
      </c>
      <c r="AI106" s="1" t="e">
        <f>AH106/VLOOKUP(A106,'[36]geoMap (33)'!$A:$B,2,0)*VLOOKUP(A106,'[36]geoMap (33)'!$A:$C,3,0)</f>
        <v>#REF!</v>
      </c>
      <c r="AJ106" s="1" t="e">
        <f>AI106/VLOOKUP(A106,'[37]geoMap (34)'!$A:$B,2,0)*VLOOKUP(A106,'[37]geoMap (34)'!$A:$C,3,0)</f>
        <v>#REF!</v>
      </c>
      <c r="AK106" s="1" t="e">
        <f>AJ106/VLOOKUP(A106,'[38]geoMap (35)'!$A:$B,2,0)*VLOOKUP(A106,'[38]geoMap (35)'!$A:$C,3,0)</f>
        <v>#REF!</v>
      </c>
      <c r="AL106" s="1" t="e">
        <f>AK106/VLOOKUP(A106,'[39]geoMap (36)'!$A:$B,2,0)*VLOOKUP(A106,'[39]geoMap (36)'!$A:$C,3,0)</f>
        <v>#REF!</v>
      </c>
      <c r="AM106" s="1" t="e">
        <f>AL106/VLOOKUP(A106,'[40]geoMap (37)'!$A:$B,2,0)*VLOOKUP(A106,'[40]geoMap (37)'!$A:$C,3,0)</f>
        <v>#REF!</v>
      </c>
      <c r="AN106" s="1" t="e">
        <f>AM106/VLOOKUP(A106,'[41]geoMap (38)'!$A:$B,2,0)*VLOOKUP(A106,'[41]geoMap (38)'!$A:$C,3,0)</f>
        <v>#REF!</v>
      </c>
      <c r="AO106" s="1" t="e">
        <f>AN106/VLOOKUP(A106,'[42]geoMap (39)'!$A:$B,2,0)*VLOOKUP(A106,'[42]geoMap (39)'!$A:$C,3,0)</f>
        <v>#REF!</v>
      </c>
      <c r="AP106" s="1" t="e">
        <f>AO106/VLOOKUP(A106,'[43]geoMap (40)'!$A:$B,2,0)*VLOOKUP(A106,'[43]geoMap (40)'!$A:$C,3,0)</f>
        <v>#REF!</v>
      </c>
      <c r="AQ106" s="1" t="e">
        <f>AP106/VLOOKUP(A106,'[44]geoMap (41)'!$A:$B,2,0)*VLOOKUP(A106,'[44]geoMap (41)'!$A:$C,3,0)</f>
        <v>#REF!</v>
      </c>
      <c r="AR106" s="1" t="e">
        <f>AQ106/VLOOKUP(A106,'[45]geoMap (42)'!$A:$B,2,0)*VLOOKUP(A106,'[45]geoMap (42)'!$A:$C,3,0)</f>
        <v>#REF!</v>
      </c>
      <c r="AS106" s="1" t="e">
        <f>AR106/VLOOKUP(A106,'[46]geoMap (43)'!$A:$B,2,0)*VLOOKUP(A106,'[46]geoMap (43)'!$A:$C,3,0)</f>
        <v>#REF!</v>
      </c>
      <c r="AT106" s="1" t="e">
        <f>AS106/VLOOKUP(A106,'[47]geoMap (44)'!$A:$B,2,0)*VLOOKUP(A106,'[47]geoMap (44)'!$A:$C,3,0)</f>
        <v>#REF!</v>
      </c>
      <c r="AU106" s="1" t="e">
        <f>AT106/VLOOKUP(A106,'[48]geoMap (45)'!$A:$B,2,0)*VLOOKUP(A106,'[48]geoMap (45)'!$A:$C,3,0)</f>
        <v>#REF!</v>
      </c>
      <c r="AV106" s="1" t="e">
        <f>AU106/VLOOKUP(A106,'[49]geoMap (46)'!$A:$B,2,0)*VLOOKUP(A106,'[49]geoMap (46)'!$A:$C,3,0)</f>
        <v>#REF!</v>
      </c>
      <c r="AW106" s="1" t="e">
        <f>AV106/VLOOKUP(A106,'[50]geoMap (47)'!$A:$B,2,0)*VLOOKUP(A106,'[50]geoMap (47)'!$A:$C,3,0)</f>
        <v>#REF!</v>
      </c>
      <c r="AX106" s="4" t="e">
        <f>AW106/VLOOKUP(A106,'[51]geoMap (48)'!$A:$B,2,0)*VLOOKUP(A106,'[51]geoMap (48)'!$A:$C,3,0)</f>
        <v>#REF!</v>
      </c>
      <c r="AY106" s="1" t="e">
        <f>AX106/VLOOKUP(A106,'[52]geoMap (49)'!$A:$B,2,0)*VLOOKUP(A106,'[52]geoMap (49)'!$A:$C,3,0)</f>
        <v>#REF!</v>
      </c>
      <c r="AZ106" s="4" t="e">
        <f>AY106/VLOOKUP(A106,'[53]geoMap (50)'!$A:$B,2,0)*VLOOKUP(A106,'[53]geoMap (50)'!$A:$C,3,0)</f>
        <v>#REF!</v>
      </c>
      <c r="BA106" s="1" t="e">
        <f>AZ106/VLOOKUP(A106,'[54]geoMap (51)'!$A:$B,2,0)*VLOOKUP(A106,'[54]geoMap (51)'!$A:$C,3,0)</f>
        <v>#REF!</v>
      </c>
      <c r="BB106" s="4" t="e">
        <f>BA106/VLOOKUP(A106,'[55]geoMap (52)'!$A:$B,2,0)*VLOOKUP(A106,'[55]geoMap (52)'!$A:$C,3,0)</f>
        <v>#REF!</v>
      </c>
      <c r="BC106" s="1" t="e">
        <f>BB106/VLOOKUP(A106,'[56]geoMap (53)'!$A:$B,2,0)*VLOOKUP(A106,'[56]geoMap (53)'!$A:$C,3,0)</f>
        <v>#REF!</v>
      </c>
      <c r="BD106" s="4" t="e">
        <f>BC106/VLOOKUP(A106,'[57]geoMap (54)'!$A:$B,2,0)*VLOOKUP(A106,'[57]geoMap (54)'!$A:$C,3,0)</f>
        <v>#REF!</v>
      </c>
      <c r="BE106" s="1" t="e">
        <f>BD106/VLOOKUP(A106,'[58]geoMap (55)'!$A:$B,2,0)*VLOOKUP(A106,'[58]geoMap (55)'!$A:$C,3,0)</f>
        <v>#REF!</v>
      </c>
      <c r="BF106" s="4" t="e">
        <f>BE106/VLOOKUP(A106,'[59]geoMap (56)'!$A:$B,2,0)*VLOOKUP(A106,'[59]geoMap (56)'!$A:$C,3,0)</f>
        <v>#REF!</v>
      </c>
      <c r="BG106" s="1" t="e">
        <f>BF106/VLOOKUP(A106,'[60]geoMap (57)'!$A:$B,2,0)*VLOOKUP(A106,'[60]geoMap (57)'!$A:$C,3,0)</f>
        <v>#REF!</v>
      </c>
      <c r="BH106" s="4" t="e">
        <f>BG106/VLOOKUP(A106,'[61]geoMap (58)'!$A:$B,2,0)*VLOOKUP(A106,'[61]geoMap (58)'!$A:$C,3,0)</f>
        <v>#REF!</v>
      </c>
      <c r="BI106" s="1" t="e">
        <f>BH106/VLOOKUP(A106,'[62]geoMap (59)'!$A:$B,2,0)*VLOOKUP(A106,'[62]geoMap (59)'!$A:$C,3,0)</f>
        <v>#REF!</v>
      </c>
      <c r="BJ106" s="4" t="e">
        <f>BI106/VLOOKUP(A106,'[63]geoMap (60)'!$A:$B,2,0)*VLOOKUP(A106,'[63]geoMap (60)'!$A:$C,3,0)</f>
        <v>#REF!</v>
      </c>
      <c r="BK106" s="1" t="e">
        <f>BJ106/VLOOKUP(A106,'[64]geoMap (61)'!$A:$B,2,0)*VLOOKUP(A106,'[64]geoMap (61)'!$A:$C,3,0)</f>
        <v>#REF!</v>
      </c>
      <c r="BL106" s="4" t="e">
        <f>BK106/VLOOKUP(A106,'[65]geoMap (62)'!$A:$B,2,0)*VLOOKUP(A106,'[65]geoMap (62)'!$A:$C,3,0)</f>
        <v>#REF!</v>
      </c>
      <c r="BM106" s="1" t="e">
        <f>BL106/VLOOKUP(A106,'[66]geoMap (63)'!$A:$B,2,0)*VLOOKUP(A106,'[66]geoMap (63)'!$A:$C,3,0)</f>
        <v>#REF!</v>
      </c>
      <c r="BN106" s="4" t="e">
        <f>BM106/VLOOKUP(A106,'[67]geoMap (64)'!$A:$B,2,0)*VLOOKUP(A106,'[67]geoMap (64)'!$A:$C,3,0)</f>
        <v>#REF!</v>
      </c>
      <c r="BO106" s="1" t="e">
        <f>BN106/VLOOKUP(A106,'[68]geoMap (65)'!$A:$B,2,0)*VLOOKUP(A106,'[68]geoMap (65)'!$A:$C,3,0)</f>
        <v>#REF!</v>
      </c>
      <c r="BP106" s="4" t="e">
        <f>BO106/VLOOKUP(A106,'[69]geoMap (66)'!$A:$B,2,0)*VLOOKUP(A106,'[69]geoMap (66)'!$A:$C,3,0)</f>
        <v>#REF!</v>
      </c>
    </row>
    <row r="107" spans="1:68" x14ac:dyDescent="0.2">
      <c r="A107" s="1" t="s">
        <v>51</v>
      </c>
      <c r="B107" s="1" t="e">
        <f>VLOOKUP(A107,[3]geoMap!$A:$B,2,0)*Notes!$C$6</f>
        <v>#REF!</v>
      </c>
      <c r="C107" s="1" t="e">
        <f>B107/VLOOKUP(A107,'[4]geoMap (1)'!$A:$B,2,0)*VLOOKUP(A107,'[4]geoMap (1)'!$A:$C,3,0)</f>
        <v>#REF!</v>
      </c>
      <c r="D107" s="1" t="e">
        <f>C107/VLOOKUP(A107,'[5]geoMap (2)'!$A:$B,2,0)*VLOOKUP(A107,'[5]geoMap (2)'!$A:$C,3,0)</f>
        <v>#REF!</v>
      </c>
      <c r="E107" s="1" t="e">
        <f>D107/VLOOKUP(A107,'[6]geoMap (3)'!$A:$B,2,0)*VLOOKUP(A107,'[6]geoMap (3)'!$A:$C,3,0)</f>
        <v>#REF!</v>
      </c>
      <c r="F107" s="1" t="e">
        <f>E107/VLOOKUP(A107,'[7]geoMap (4)'!$A:$B,2,0)*VLOOKUP(A107,'[7]geoMap (4)'!$A:$C,3,0)</f>
        <v>#REF!</v>
      </c>
      <c r="G107" s="1" t="e">
        <f>F107/VLOOKUP(A107,'[8]geoMap (5)'!$A:$B,2,0)*VLOOKUP(A107,'[8]geoMap (5)'!$A:$C,3,0)</f>
        <v>#REF!</v>
      </c>
      <c r="H107" s="1" t="e">
        <f>G107/VLOOKUP(A107,'[9]geoMap (6)'!$A:$B,2,0)*VLOOKUP(A107,'[9]geoMap (6)'!$A:$C,3,0)</f>
        <v>#REF!</v>
      </c>
      <c r="I107" s="1" t="e">
        <f>H107/VLOOKUP(A107,'[10]geoMap (7)'!$A:$B,2,0)*VLOOKUP(A107,'[10]geoMap (7)'!$A:$C,3,0)</f>
        <v>#REF!</v>
      </c>
      <c r="J107" s="1" t="e">
        <f>I107/VLOOKUP(A107,'[11]geoMap (8)'!$A:$B,2,0)*VLOOKUP(A107,'[11]geoMap (8)'!$A:$C,3,0)</f>
        <v>#REF!</v>
      </c>
      <c r="K107" s="1" t="e">
        <f>J107/VLOOKUP(A107,'[12]geoMap (9)'!$A:$B,2,0)*VLOOKUP(A107,'[12]geoMap (9)'!$A:$C,3,0)</f>
        <v>#REF!</v>
      </c>
      <c r="L107" s="1" t="e">
        <f>K107/VLOOKUP(A107,'[13]geoMap (10)'!$A:$B,2,0)*VLOOKUP(A107,'[13]geoMap (10)'!$A:$C,3,0)</f>
        <v>#REF!</v>
      </c>
      <c r="M107" s="1" t="e">
        <f>L107/VLOOKUP(A107,'[14]geoMap (11)'!$A:$B,2,0)*VLOOKUP(A107,'[14]geoMap (11)'!$A:$C,3,0)</f>
        <v>#REF!</v>
      </c>
      <c r="N107" s="1" t="e">
        <f>M107/VLOOKUP(A107,'[15]geoMap (12)'!$A:$B,2,0)*VLOOKUP(A107,'[15]geoMap (12)'!$A:$C,3,0)</f>
        <v>#REF!</v>
      </c>
      <c r="O107" s="1" t="e">
        <f>N107/VLOOKUP(A107,'[16]geoMap (13)'!$A:$B,2,0)*VLOOKUP(A107,'[16]geoMap (13)'!$A:$C,3,0)</f>
        <v>#REF!</v>
      </c>
      <c r="P107" s="1" t="e">
        <f>O107/VLOOKUP(A107,'[17]geoMap (14)'!$A:$B,2,0)*VLOOKUP(A107,'[17]geoMap (14)'!$A:$C,3,0)</f>
        <v>#REF!</v>
      </c>
      <c r="Q107" s="1" t="e">
        <f>P107/VLOOKUP(A107,'[18]geoMap (15)'!$A:$B,2,0)*VLOOKUP(A107,'[18]geoMap (15)'!$A:$C,3,0)</f>
        <v>#REF!</v>
      </c>
      <c r="R107" s="1" t="e">
        <f>Q107/VLOOKUP(A107,'[19]geoMap (16)'!$A:$B,2,0)*VLOOKUP(A107,'[19]geoMap (16)'!$A:$C,3,0)</f>
        <v>#REF!</v>
      </c>
      <c r="S107" s="1" t="e">
        <f>R107/VLOOKUP(A107,'[20]geoMap (17)'!$A:$B,2,0)*VLOOKUP(A107,'[20]geoMap (17)'!$A:$C,3,0)</f>
        <v>#REF!</v>
      </c>
      <c r="T107" s="1" t="e">
        <f>S107/VLOOKUP(A107,'[21]geoMap (18)'!$A:$B,2,0)*VLOOKUP(A107,'[21]geoMap (18)'!$A:$C,3,0)</f>
        <v>#REF!</v>
      </c>
      <c r="U107" s="1" t="e">
        <f>T107/VLOOKUP(A107,'[22]geoMap (19)'!$A:$B,2,0)*VLOOKUP(A107,'[22]geoMap (19)'!$A:$C,3,0)</f>
        <v>#REF!</v>
      </c>
      <c r="V107" s="1" t="e">
        <f>U107/VLOOKUP(A107,'[23]geoMap (20)'!$A:$B,2,0)*VLOOKUP(A107,'[23]geoMap (20)'!$A:$C,3,0)</f>
        <v>#REF!</v>
      </c>
      <c r="W107" s="1" t="e">
        <f>V107/VLOOKUP(A107,'[24]geoMap (21)'!$A:$B,2,0)*VLOOKUP(A107,'[24]geoMap (21)'!$A:$C,3,0)</f>
        <v>#REF!</v>
      </c>
      <c r="X107" s="1" t="e">
        <f>W107/VLOOKUP(A107,'[25]geoMap (22)'!$A:$B,2,0)*VLOOKUP(A107,'[25]geoMap (22)'!$A:$C,3,0)</f>
        <v>#REF!</v>
      </c>
      <c r="Y107" s="1" t="e">
        <f>X107/VLOOKUP(A107,'[26]geoMap (23)'!$A:$B,2,0)*VLOOKUP(A107,'[26]geoMap (23)'!$A:$C,3,0)</f>
        <v>#REF!</v>
      </c>
      <c r="Z107" s="1" t="e">
        <f>Y107/VLOOKUP(A107,'[27]geoMap (24)'!$A:$B,2,0)*VLOOKUP(A107,'[27]geoMap (24)'!$A:$C,3,0)</f>
        <v>#REF!</v>
      </c>
      <c r="AA107" s="1" t="e">
        <f>Z107/VLOOKUP(A107,'[28]geoMap (25)'!$A:$B,2,0)*VLOOKUP(A107,'[28]geoMap (25)'!$A:$C,3,0)</f>
        <v>#REF!</v>
      </c>
      <c r="AB107" s="1" t="e">
        <f>AA107*VLOOKUP(A107,'[29]geoMap (26)'!$A:$B,2,0)*VLOOKUP(A107,'[29]geoMap (26)'!$A:$C,3,0)</f>
        <v>#REF!</v>
      </c>
      <c r="AC107" s="1" t="e">
        <f>AB107/VLOOKUP(A107,'[30]geoMap (27)'!$A:$B,2,0)*VLOOKUP(A107,'[30]geoMap (27)'!$A:$C,3,0)</f>
        <v>#REF!</v>
      </c>
      <c r="AD107" s="1" t="e">
        <f>AC107/VLOOKUP(A107,'[31]geoMap (28)'!$A:$B,2,0)*VLOOKUP(A107,'[31]geoMap (28)'!$A:$C,3,0)</f>
        <v>#REF!</v>
      </c>
      <c r="AE107" s="1" t="e">
        <f>AD107/VLOOKUP(A107,'[32]geoMap (29)'!$A:$B,2,0)*VLOOKUP(A107,'[32]geoMap (29)'!$A:$C,3,0)</f>
        <v>#REF!</v>
      </c>
      <c r="AF107" s="1" t="e">
        <f>AE107/VLOOKUP(A107,'[33]geoMap (30)'!$A:$B,2,0)*VLOOKUP(A107,'[33]geoMap (30)'!$A:$C,3,0)</f>
        <v>#REF!</v>
      </c>
      <c r="AG107" s="1" t="e">
        <f>AF107/VLOOKUP(A107,'[34]geoMap (31)'!$A:$B,2,0)*VLOOKUP(A107,'[34]geoMap (31)'!$A:$C,3,0)</f>
        <v>#REF!</v>
      </c>
      <c r="AH107" s="1" t="e">
        <f>AG107/VLOOKUP(A107,'[35]geoMap (32)'!$A:$B,2,0)*VLOOKUP(A107,'[35]geoMap (32)'!$A:$C,3,0)</f>
        <v>#REF!</v>
      </c>
      <c r="AI107" s="1" t="e">
        <f>AH107/VLOOKUP(A107,'[36]geoMap (33)'!$A:$B,2,0)*VLOOKUP(A107,'[36]geoMap (33)'!$A:$C,3,0)</f>
        <v>#REF!</v>
      </c>
      <c r="AJ107" s="1" t="e">
        <f>AI107/VLOOKUP(A107,'[37]geoMap (34)'!$A:$B,2,0)*VLOOKUP(A107,'[37]geoMap (34)'!$A:$C,3,0)</f>
        <v>#REF!</v>
      </c>
      <c r="AK107" s="1" t="e">
        <f>AJ107/VLOOKUP(A107,'[38]geoMap (35)'!$A:$B,2,0)*VLOOKUP(A107,'[38]geoMap (35)'!$A:$C,3,0)</f>
        <v>#REF!</v>
      </c>
      <c r="AL107" s="1" t="e">
        <f>AK107/VLOOKUP(A107,'[39]geoMap (36)'!$A:$B,2,0)*VLOOKUP(A107,'[39]geoMap (36)'!$A:$C,3,0)</f>
        <v>#REF!</v>
      </c>
      <c r="AM107" s="1" t="e">
        <f>AL107/VLOOKUP(A107,'[40]geoMap (37)'!$A:$B,2,0)*VLOOKUP(A107,'[40]geoMap (37)'!$A:$C,3,0)</f>
        <v>#REF!</v>
      </c>
      <c r="AN107" s="1" t="e">
        <f>AM107/VLOOKUP(A107,'[41]geoMap (38)'!$A:$B,2,0)*VLOOKUP(A107,'[41]geoMap (38)'!$A:$C,3,0)</f>
        <v>#REF!</v>
      </c>
      <c r="AO107" s="1" t="e">
        <f>AN107/VLOOKUP(A107,'[42]geoMap (39)'!$A:$B,2,0)*VLOOKUP(A107,'[42]geoMap (39)'!$A:$C,3,0)</f>
        <v>#REF!</v>
      </c>
      <c r="AP107" s="1" t="e">
        <f>AO107/VLOOKUP(A107,'[43]geoMap (40)'!$A:$B,2,0)*VLOOKUP(A107,'[43]geoMap (40)'!$A:$C,3,0)</f>
        <v>#REF!</v>
      </c>
      <c r="AQ107" s="1" t="e">
        <f>AP107/VLOOKUP(A107,'[44]geoMap (41)'!$A:$B,2,0)*VLOOKUP(A107,'[44]geoMap (41)'!$A:$C,3,0)</f>
        <v>#REF!</v>
      </c>
      <c r="AR107" s="1" t="e">
        <f>AQ107/VLOOKUP(A107,'[45]geoMap (42)'!$A:$B,2,0)*VLOOKUP(A107,'[45]geoMap (42)'!$A:$C,3,0)</f>
        <v>#REF!</v>
      </c>
      <c r="AS107" s="1" t="e">
        <f>AR107/VLOOKUP(A107,'[46]geoMap (43)'!$A:$B,2,0)*VLOOKUP(A107,'[46]geoMap (43)'!$A:$C,3,0)</f>
        <v>#REF!</v>
      </c>
      <c r="AT107" s="1" t="e">
        <f>AS107/VLOOKUP(A107,'[47]geoMap (44)'!$A:$B,2,0)*VLOOKUP(A107,'[47]geoMap (44)'!$A:$C,3,0)</f>
        <v>#REF!</v>
      </c>
      <c r="AU107" s="1" t="e">
        <f>AT107/VLOOKUP(A107,'[48]geoMap (45)'!$A:$B,2,0)*VLOOKUP(A107,'[48]geoMap (45)'!$A:$C,3,0)</f>
        <v>#REF!</v>
      </c>
      <c r="AV107" s="1" t="e">
        <f>AU107/VLOOKUP(A107,'[49]geoMap (46)'!$A:$B,2,0)*VLOOKUP(A107,'[49]geoMap (46)'!$A:$C,3,0)</f>
        <v>#REF!</v>
      </c>
      <c r="AW107" s="1" t="e">
        <f>AV107/VLOOKUP(A107,'[50]geoMap (47)'!$A:$B,2,0)*VLOOKUP(A107,'[50]geoMap (47)'!$A:$C,3,0)</f>
        <v>#REF!</v>
      </c>
      <c r="AX107" s="4" t="e">
        <f>AW107/VLOOKUP(A107,'[51]geoMap (48)'!$A:$B,2,0)*VLOOKUP(A107,'[51]geoMap (48)'!$A:$C,3,0)</f>
        <v>#REF!</v>
      </c>
      <c r="AY107" s="1" t="e">
        <f>AX107/VLOOKUP(A107,'[52]geoMap (49)'!$A:$B,2,0)*VLOOKUP(A107,'[52]geoMap (49)'!$A:$C,3,0)</f>
        <v>#REF!</v>
      </c>
      <c r="AZ107" s="4" t="e">
        <f>AY107/VLOOKUP(A107,'[53]geoMap (50)'!$A:$B,2,0)*VLOOKUP(A107,'[53]geoMap (50)'!$A:$C,3,0)</f>
        <v>#REF!</v>
      </c>
      <c r="BA107" s="1" t="e">
        <f>AZ107/VLOOKUP(A107,'[54]geoMap (51)'!$A:$B,2,0)*VLOOKUP(A107,'[54]geoMap (51)'!$A:$C,3,0)</f>
        <v>#REF!</v>
      </c>
      <c r="BB107" s="4" t="e">
        <f>BA107/VLOOKUP(A107,'[55]geoMap (52)'!$A:$B,2,0)*VLOOKUP(A107,'[55]geoMap (52)'!$A:$C,3,0)</f>
        <v>#REF!</v>
      </c>
      <c r="BC107" s="1" t="e">
        <f>BB107/VLOOKUP(A107,'[56]geoMap (53)'!$A:$B,2,0)*VLOOKUP(A107,'[56]geoMap (53)'!$A:$C,3,0)</f>
        <v>#REF!</v>
      </c>
      <c r="BD107" s="4" t="e">
        <f>BC107/VLOOKUP(A107,'[57]geoMap (54)'!$A:$B,2,0)*VLOOKUP(A107,'[57]geoMap (54)'!$A:$C,3,0)</f>
        <v>#REF!</v>
      </c>
      <c r="BE107" s="1" t="e">
        <f>BD107/VLOOKUP(A107,'[58]geoMap (55)'!$A:$B,2,0)*VLOOKUP(A107,'[58]geoMap (55)'!$A:$C,3,0)</f>
        <v>#REF!</v>
      </c>
      <c r="BF107" s="4" t="e">
        <f>BE107/VLOOKUP(A107,'[59]geoMap (56)'!$A:$B,2,0)*VLOOKUP(A107,'[59]geoMap (56)'!$A:$C,3,0)</f>
        <v>#REF!</v>
      </c>
      <c r="BG107" s="1" t="e">
        <f>BF107/VLOOKUP(A107,'[60]geoMap (57)'!$A:$B,2,0)*VLOOKUP(A107,'[60]geoMap (57)'!$A:$C,3,0)</f>
        <v>#REF!</v>
      </c>
      <c r="BH107" s="4" t="e">
        <f>BG107/VLOOKUP(A107,'[61]geoMap (58)'!$A:$B,2,0)*VLOOKUP(A107,'[61]geoMap (58)'!$A:$C,3,0)</f>
        <v>#REF!</v>
      </c>
      <c r="BI107" s="1" t="e">
        <f>BH107/VLOOKUP(A107,'[62]geoMap (59)'!$A:$B,2,0)*VLOOKUP(A107,'[62]geoMap (59)'!$A:$C,3,0)</f>
        <v>#REF!</v>
      </c>
      <c r="BJ107" s="4" t="e">
        <f>BI107/VLOOKUP(A107,'[63]geoMap (60)'!$A:$B,2,0)*VLOOKUP(A107,'[63]geoMap (60)'!$A:$C,3,0)</f>
        <v>#REF!</v>
      </c>
      <c r="BK107" s="1" t="e">
        <f>BJ107/VLOOKUP(A107,'[64]geoMap (61)'!$A:$B,2,0)*VLOOKUP(A107,'[64]geoMap (61)'!$A:$C,3,0)</f>
        <v>#REF!</v>
      </c>
      <c r="BL107" s="4" t="e">
        <f>BK107/VLOOKUP(A107,'[65]geoMap (62)'!$A:$B,2,0)*VLOOKUP(A107,'[65]geoMap (62)'!$A:$C,3,0)</f>
        <v>#REF!</v>
      </c>
      <c r="BM107" s="1" t="e">
        <f>BL107/VLOOKUP(A107,'[66]geoMap (63)'!$A:$B,2,0)*VLOOKUP(A107,'[66]geoMap (63)'!$A:$C,3,0)</f>
        <v>#REF!</v>
      </c>
      <c r="BN107" s="4" t="e">
        <f>BM107/VLOOKUP(A107,'[67]geoMap (64)'!$A:$B,2,0)*VLOOKUP(A107,'[67]geoMap (64)'!$A:$C,3,0)</f>
        <v>#REF!</v>
      </c>
      <c r="BO107" s="1" t="e">
        <f>BN107/VLOOKUP(A107,'[68]geoMap (65)'!$A:$B,2,0)*VLOOKUP(A107,'[68]geoMap (65)'!$A:$C,3,0)</f>
        <v>#REF!</v>
      </c>
      <c r="BP107" s="4" t="e">
        <f>BO107/VLOOKUP(A107,'[69]geoMap (66)'!$A:$B,2,0)*VLOOKUP(A107,'[69]geoMap (66)'!$A:$C,3,0)</f>
        <v>#REF!</v>
      </c>
    </row>
    <row r="108" spans="1:68" x14ac:dyDescent="0.2">
      <c r="A108" s="1" t="s">
        <v>52</v>
      </c>
      <c r="B108" s="1" t="e">
        <f>VLOOKUP(A108,[3]geoMap!$A:$B,2,0)*Notes!$C$6</f>
        <v>#REF!</v>
      </c>
      <c r="C108" s="1" t="e">
        <f>B108/VLOOKUP(A108,'[4]geoMap (1)'!$A:$B,2,0)*VLOOKUP(A108,'[4]geoMap (1)'!$A:$C,3,0)</f>
        <v>#REF!</v>
      </c>
      <c r="D108" s="1" t="e">
        <f>C108/VLOOKUP(A108,'[5]geoMap (2)'!$A:$B,2,0)*VLOOKUP(A108,'[5]geoMap (2)'!$A:$C,3,0)</f>
        <v>#REF!</v>
      </c>
      <c r="E108" s="1" t="e">
        <f>D108/VLOOKUP(A108,'[6]geoMap (3)'!$A:$B,2,0)*VLOOKUP(A108,'[6]geoMap (3)'!$A:$C,3,0)</f>
        <v>#REF!</v>
      </c>
      <c r="F108" s="1" t="e">
        <f>E108/VLOOKUP(A108,'[7]geoMap (4)'!$A:$B,2,0)*VLOOKUP(A108,'[7]geoMap (4)'!$A:$C,3,0)</f>
        <v>#REF!</v>
      </c>
      <c r="G108" s="1" t="e">
        <f>F108/VLOOKUP(A108,'[8]geoMap (5)'!$A:$B,2,0)*VLOOKUP(A108,'[8]geoMap (5)'!$A:$C,3,0)</f>
        <v>#REF!</v>
      </c>
      <c r="H108" s="1" t="e">
        <f>G108/VLOOKUP(A108,'[9]geoMap (6)'!$A:$B,2,0)*VLOOKUP(A108,'[9]geoMap (6)'!$A:$C,3,0)</f>
        <v>#REF!</v>
      </c>
      <c r="I108" s="1" t="e">
        <f>H108/VLOOKUP(A108,'[10]geoMap (7)'!$A:$B,2,0)*VLOOKUP(A108,'[10]geoMap (7)'!$A:$C,3,0)</f>
        <v>#REF!</v>
      </c>
      <c r="J108" s="1" t="e">
        <f>I108/VLOOKUP(A108,'[11]geoMap (8)'!$A:$B,2,0)*VLOOKUP(A108,'[11]geoMap (8)'!$A:$C,3,0)</f>
        <v>#REF!</v>
      </c>
      <c r="K108" s="1" t="e">
        <f>J108/VLOOKUP(A108,'[12]geoMap (9)'!$A:$B,2,0)*VLOOKUP(A108,'[12]geoMap (9)'!$A:$C,3,0)</f>
        <v>#REF!</v>
      </c>
      <c r="L108" s="1" t="e">
        <f>K108/VLOOKUP(A108,'[13]geoMap (10)'!$A:$B,2,0)*VLOOKUP(A108,'[13]geoMap (10)'!$A:$C,3,0)</f>
        <v>#REF!</v>
      </c>
      <c r="M108" s="1" t="e">
        <f>L108/VLOOKUP(A108,'[14]geoMap (11)'!$A:$B,2,0)*VLOOKUP(A108,'[14]geoMap (11)'!$A:$C,3,0)</f>
        <v>#REF!</v>
      </c>
      <c r="N108" s="1" t="e">
        <f>M108/VLOOKUP(A108,'[15]geoMap (12)'!$A:$B,2,0)*VLOOKUP(A108,'[15]geoMap (12)'!$A:$C,3,0)</f>
        <v>#REF!</v>
      </c>
      <c r="O108" s="1" t="e">
        <f>N108/VLOOKUP(A108,'[16]geoMap (13)'!$A:$B,2,0)*VLOOKUP(A108,'[16]geoMap (13)'!$A:$C,3,0)</f>
        <v>#REF!</v>
      </c>
      <c r="P108" s="1" t="e">
        <f>O108/VLOOKUP(A108,'[17]geoMap (14)'!$A:$B,2,0)*VLOOKUP(A108,'[17]geoMap (14)'!$A:$C,3,0)</f>
        <v>#REF!</v>
      </c>
      <c r="Q108" s="1" t="e">
        <f>P108/VLOOKUP(A108,'[18]geoMap (15)'!$A:$B,2,0)*VLOOKUP(A108,'[18]geoMap (15)'!$A:$C,3,0)</f>
        <v>#REF!</v>
      </c>
      <c r="R108" s="1" t="e">
        <f>Q108/VLOOKUP(A108,'[19]geoMap (16)'!$A:$B,2,0)*VLOOKUP(A108,'[19]geoMap (16)'!$A:$C,3,0)</f>
        <v>#REF!</v>
      </c>
      <c r="S108" s="1" t="e">
        <f>R108/VLOOKUP(A108,'[20]geoMap (17)'!$A:$B,2,0)*VLOOKUP(A108,'[20]geoMap (17)'!$A:$C,3,0)</f>
        <v>#REF!</v>
      </c>
      <c r="T108" s="1" t="e">
        <f>S108/VLOOKUP(A108,'[21]geoMap (18)'!$A:$B,2,0)*VLOOKUP(A108,'[21]geoMap (18)'!$A:$C,3,0)</f>
        <v>#REF!</v>
      </c>
      <c r="U108" s="1" t="e">
        <f>T108/VLOOKUP(A108,'[22]geoMap (19)'!$A:$B,2,0)*VLOOKUP(A108,'[22]geoMap (19)'!$A:$C,3,0)</f>
        <v>#REF!</v>
      </c>
      <c r="V108" s="1" t="e">
        <f>U108/VLOOKUP(A108,'[23]geoMap (20)'!$A:$B,2,0)*VLOOKUP(A108,'[23]geoMap (20)'!$A:$C,3,0)</f>
        <v>#REF!</v>
      </c>
      <c r="W108" s="1" t="e">
        <f>V108/VLOOKUP(A108,'[24]geoMap (21)'!$A:$B,2,0)*VLOOKUP(A108,'[24]geoMap (21)'!$A:$C,3,0)</f>
        <v>#REF!</v>
      </c>
      <c r="X108" s="1" t="e">
        <f>W108/VLOOKUP(A108,'[25]geoMap (22)'!$A:$B,2,0)*VLOOKUP(A108,'[25]geoMap (22)'!$A:$C,3,0)</f>
        <v>#REF!</v>
      </c>
      <c r="Y108" s="1" t="e">
        <f>X108/VLOOKUP(A108,'[26]geoMap (23)'!$A:$B,2,0)*VLOOKUP(A108,'[26]geoMap (23)'!$A:$C,3,0)</f>
        <v>#REF!</v>
      </c>
      <c r="Z108" s="1" t="e">
        <f>Y108/VLOOKUP(A108,'[27]geoMap (24)'!$A:$B,2,0)*VLOOKUP(A108,'[27]geoMap (24)'!$A:$C,3,0)</f>
        <v>#REF!</v>
      </c>
      <c r="AA108" s="1" t="e">
        <f>Z108/VLOOKUP(A108,'[28]geoMap (25)'!$A:$B,2,0)*VLOOKUP(A108,'[28]geoMap (25)'!$A:$C,3,0)</f>
        <v>#REF!</v>
      </c>
      <c r="AB108" s="1" t="e">
        <f>AA108*VLOOKUP(A108,'[29]geoMap (26)'!$A:$B,2,0)*VLOOKUP(A108,'[29]geoMap (26)'!$A:$C,3,0)</f>
        <v>#REF!</v>
      </c>
      <c r="AC108" s="1" t="e">
        <f>AB108/VLOOKUP(A108,'[30]geoMap (27)'!$A:$B,2,0)*VLOOKUP(A108,'[30]geoMap (27)'!$A:$C,3,0)</f>
        <v>#REF!</v>
      </c>
      <c r="AD108" s="1" t="e">
        <f>AC108/VLOOKUP(A108,'[31]geoMap (28)'!$A:$B,2,0)*VLOOKUP(A108,'[31]geoMap (28)'!$A:$C,3,0)</f>
        <v>#REF!</v>
      </c>
      <c r="AE108" s="1" t="e">
        <f>AD108/VLOOKUP(A108,'[32]geoMap (29)'!$A:$B,2,0)*VLOOKUP(A108,'[32]geoMap (29)'!$A:$C,3,0)</f>
        <v>#REF!</v>
      </c>
      <c r="AF108" s="1" t="e">
        <f>AE108/VLOOKUP(A108,'[33]geoMap (30)'!$A:$B,2,0)*VLOOKUP(A108,'[33]geoMap (30)'!$A:$C,3,0)</f>
        <v>#REF!</v>
      </c>
      <c r="AG108" s="1" t="e">
        <f>AF108/VLOOKUP(A108,'[34]geoMap (31)'!$A:$B,2,0)*VLOOKUP(A108,'[34]geoMap (31)'!$A:$C,3,0)</f>
        <v>#REF!</v>
      </c>
      <c r="AH108" s="1" t="e">
        <f>AG108/VLOOKUP(A108,'[35]geoMap (32)'!$A:$B,2,0)*VLOOKUP(A108,'[35]geoMap (32)'!$A:$C,3,0)</f>
        <v>#REF!</v>
      </c>
      <c r="AI108" s="1" t="e">
        <f>AH108/VLOOKUP(A108,'[36]geoMap (33)'!$A:$B,2,0)*VLOOKUP(A108,'[36]geoMap (33)'!$A:$C,3,0)</f>
        <v>#REF!</v>
      </c>
      <c r="AJ108" s="1" t="e">
        <f>AI108/VLOOKUP(A108,'[37]geoMap (34)'!$A:$B,2,0)*VLOOKUP(A108,'[37]geoMap (34)'!$A:$C,3,0)</f>
        <v>#REF!</v>
      </c>
      <c r="AK108" s="1" t="e">
        <f>AJ108/VLOOKUP(A108,'[38]geoMap (35)'!$A:$B,2,0)*VLOOKUP(A108,'[38]geoMap (35)'!$A:$C,3,0)</f>
        <v>#REF!</v>
      </c>
      <c r="AL108" s="1" t="e">
        <f>AK108/VLOOKUP(A108,'[39]geoMap (36)'!$A:$B,2,0)*VLOOKUP(A108,'[39]geoMap (36)'!$A:$C,3,0)</f>
        <v>#REF!</v>
      </c>
      <c r="AM108" s="1" t="e">
        <f>AL108/VLOOKUP(A108,'[40]geoMap (37)'!$A:$B,2,0)*VLOOKUP(A108,'[40]geoMap (37)'!$A:$C,3,0)</f>
        <v>#REF!</v>
      </c>
      <c r="AN108" s="1" t="e">
        <f>AM108/VLOOKUP(A108,'[41]geoMap (38)'!$A:$B,2,0)*VLOOKUP(A108,'[41]geoMap (38)'!$A:$C,3,0)</f>
        <v>#REF!</v>
      </c>
      <c r="AO108" s="1" t="e">
        <f>AN108/VLOOKUP(A108,'[42]geoMap (39)'!$A:$B,2,0)*VLOOKUP(A108,'[42]geoMap (39)'!$A:$C,3,0)</f>
        <v>#REF!</v>
      </c>
      <c r="AP108" s="1" t="e">
        <f>AO108/VLOOKUP(A108,'[43]geoMap (40)'!$A:$B,2,0)*VLOOKUP(A108,'[43]geoMap (40)'!$A:$C,3,0)</f>
        <v>#REF!</v>
      </c>
      <c r="AQ108" s="1" t="e">
        <f>AP108/VLOOKUP(A108,'[44]geoMap (41)'!$A:$B,2,0)*VLOOKUP(A108,'[44]geoMap (41)'!$A:$C,3,0)</f>
        <v>#REF!</v>
      </c>
      <c r="AR108" s="1" t="e">
        <f>AQ108/VLOOKUP(A108,'[45]geoMap (42)'!$A:$B,2,0)*VLOOKUP(A108,'[45]geoMap (42)'!$A:$C,3,0)</f>
        <v>#REF!</v>
      </c>
      <c r="AS108" s="1" t="e">
        <f>AR108/VLOOKUP(A108,'[46]geoMap (43)'!$A:$B,2,0)*VLOOKUP(A108,'[46]geoMap (43)'!$A:$C,3,0)</f>
        <v>#REF!</v>
      </c>
      <c r="AT108" s="1" t="e">
        <f>AS108/VLOOKUP(A108,'[47]geoMap (44)'!$A:$B,2,0)*VLOOKUP(A108,'[47]geoMap (44)'!$A:$C,3,0)</f>
        <v>#REF!</v>
      </c>
      <c r="AU108" s="1" t="e">
        <f>AT108/VLOOKUP(A108,'[48]geoMap (45)'!$A:$B,2,0)*VLOOKUP(A108,'[48]geoMap (45)'!$A:$C,3,0)</f>
        <v>#REF!</v>
      </c>
      <c r="AV108" s="1" t="e">
        <f>AU108/VLOOKUP(A108,'[49]geoMap (46)'!$A:$B,2,0)*VLOOKUP(A108,'[49]geoMap (46)'!$A:$C,3,0)</f>
        <v>#REF!</v>
      </c>
      <c r="AW108" s="1" t="e">
        <f>AV108/VLOOKUP(A108,'[50]geoMap (47)'!$A:$B,2,0)*VLOOKUP(A108,'[50]geoMap (47)'!$A:$C,3,0)</f>
        <v>#REF!</v>
      </c>
      <c r="AX108" s="4" t="e">
        <f>AW108/VLOOKUP(A108,'[51]geoMap (48)'!$A:$B,2,0)*VLOOKUP(A108,'[51]geoMap (48)'!$A:$C,3,0)</f>
        <v>#REF!</v>
      </c>
      <c r="AY108" s="1" t="e">
        <f>AX108/VLOOKUP(A108,'[52]geoMap (49)'!$A:$B,2,0)*VLOOKUP(A108,'[52]geoMap (49)'!$A:$C,3,0)</f>
        <v>#REF!</v>
      </c>
      <c r="AZ108" s="4" t="e">
        <f>AY108/VLOOKUP(A108,'[53]geoMap (50)'!$A:$B,2,0)*VLOOKUP(A108,'[53]geoMap (50)'!$A:$C,3,0)</f>
        <v>#REF!</v>
      </c>
      <c r="BA108" s="1" t="e">
        <f>AZ108/VLOOKUP(A108,'[54]geoMap (51)'!$A:$B,2,0)*VLOOKUP(A108,'[54]geoMap (51)'!$A:$C,3,0)</f>
        <v>#REF!</v>
      </c>
      <c r="BB108" s="4" t="e">
        <f>BA108/VLOOKUP(A108,'[55]geoMap (52)'!$A:$B,2,0)*VLOOKUP(A108,'[55]geoMap (52)'!$A:$C,3,0)</f>
        <v>#REF!</v>
      </c>
      <c r="BC108" s="1" t="e">
        <f>BB108/VLOOKUP(A108,'[56]geoMap (53)'!$A:$B,2,0)*VLOOKUP(A108,'[56]geoMap (53)'!$A:$C,3,0)</f>
        <v>#REF!</v>
      </c>
      <c r="BD108" s="4" t="e">
        <f>BC108/VLOOKUP(A108,'[57]geoMap (54)'!$A:$B,2,0)*VLOOKUP(A108,'[57]geoMap (54)'!$A:$C,3,0)</f>
        <v>#REF!</v>
      </c>
      <c r="BE108" s="1" t="e">
        <f>BD108/VLOOKUP(A108,'[58]geoMap (55)'!$A:$B,2,0)*VLOOKUP(A108,'[58]geoMap (55)'!$A:$C,3,0)</f>
        <v>#REF!</v>
      </c>
      <c r="BF108" s="4" t="e">
        <f>BE108/VLOOKUP(A108,'[59]geoMap (56)'!$A:$B,2,0)*VLOOKUP(A108,'[59]geoMap (56)'!$A:$C,3,0)</f>
        <v>#REF!</v>
      </c>
      <c r="BG108" s="1" t="e">
        <f>BF108/VLOOKUP(A108,'[60]geoMap (57)'!$A:$B,2,0)*VLOOKUP(A108,'[60]geoMap (57)'!$A:$C,3,0)</f>
        <v>#REF!</v>
      </c>
      <c r="BH108" s="4" t="e">
        <f>BG108/VLOOKUP(A108,'[61]geoMap (58)'!$A:$B,2,0)*VLOOKUP(A108,'[61]geoMap (58)'!$A:$C,3,0)</f>
        <v>#REF!</v>
      </c>
      <c r="BI108" s="1" t="e">
        <f>BH108/VLOOKUP(A108,'[62]geoMap (59)'!$A:$B,2,0)*VLOOKUP(A108,'[62]geoMap (59)'!$A:$C,3,0)</f>
        <v>#REF!</v>
      </c>
      <c r="BJ108" s="4" t="e">
        <f>BI108/VLOOKUP(A108,'[63]geoMap (60)'!$A:$B,2,0)*VLOOKUP(A108,'[63]geoMap (60)'!$A:$C,3,0)</f>
        <v>#REF!</v>
      </c>
      <c r="BK108" s="1" t="e">
        <f>BJ108/VLOOKUP(A108,'[64]geoMap (61)'!$A:$B,2,0)*VLOOKUP(A108,'[64]geoMap (61)'!$A:$C,3,0)</f>
        <v>#REF!</v>
      </c>
      <c r="BL108" s="4" t="e">
        <f>BK108/VLOOKUP(A108,'[65]geoMap (62)'!$A:$B,2,0)*VLOOKUP(A108,'[65]geoMap (62)'!$A:$C,3,0)</f>
        <v>#REF!</v>
      </c>
      <c r="BM108" s="1" t="e">
        <f>BL108/VLOOKUP(A108,'[66]geoMap (63)'!$A:$B,2,0)*VLOOKUP(A108,'[66]geoMap (63)'!$A:$C,3,0)</f>
        <v>#REF!</v>
      </c>
      <c r="BN108" s="4" t="e">
        <f>BM108/VLOOKUP(A108,'[67]geoMap (64)'!$A:$B,2,0)*VLOOKUP(A108,'[67]geoMap (64)'!$A:$C,3,0)</f>
        <v>#REF!</v>
      </c>
      <c r="BO108" s="1" t="e">
        <f>BN108/VLOOKUP(A108,'[68]geoMap (65)'!$A:$B,2,0)*VLOOKUP(A108,'[68]geoMap (65)'!$A:$C,3,0)</f>
        <v>#REF!</v>
      </c>
      <c r="BP108" s="4" t="e">
        <f>BO108/VLOOKUP(A108,'[69]geoMap (66)'!$A:$B,2,0)*VLOOKUP(A108,'[69]geoMap (66)'!$A:$C,3,0)</f>
        <v>#REF!</v>
      </c>
    </row>
    <row r="109" spans="1:68" x14ac:dyDescent="0.2">
      <c r="A109" s="1" t="s">
        <v>53</v>
      </c>
      <c r="B109" s="1" t="e">
        <f>VLOOKUP(A109,[3]geoMap!$A:$B,2,0)*Notes!$C$6</f>
        <v>#REF!</v>
      </c>
      <c r="C109" s="1" t="e">
        <f>B109/VLOOKUP(A109,'[4]geoMap (1)'!$A:$B,2,0)*VLOOKUP(A109,'[4]geoMap (1)'!$A:$C,3,0)</f>
        <v>#REF!</v>
      </c>
      <c r="D109" s="1" t="e">
        <f>C109/VLOOKUP(A109,'[5]geoMap (2)'!$A:$B,2,0)*VLOOKUP(A109,'[5]geoMap (2)'!$A:$C,3,0)</f>
        <v>#REF!</v>
      </c>
      <c r="E109" s="1" t="e">
        <f>D109/VLOOKUP(A109,'[6]geoMap (3)'!$A:$B,2,0)*VLOOKUP(A109,'[6]geoMap (3)'!$A:$C,3,0)</f>
        <v>#REF!</v>
      </c>
      <c r="F109" s="1" t="e">
        <f>E109/VLOOKUP(A109,'[7]geoMap (4)'!$A:$B,2,0)*VLOOKUP(A109,'[7]geoMap (4)'!$A:$C,3,0)</f>
        <v>#REF!</v>
      </c>
      <c r="G109" s="1" t="e">
        <f>F109/VLOOKUP(A109,'[8]geoMap (5)'!$A:$B,2,0)*VLOOKUP(A109,'[8]geoMap (5)'!$A:$C,3,0)</f>
        <v>#REF!</v>
      </c>
      <c r="H109" s="1" t="e">
        <f>G109/VLOOKUP(A109,'[9]geoMap (6)'!$A:$B,2,0)*VLOOKUP(A109,'[9]geoMap (6)'!$A:$C,3,0)</f>
        <v>#REF!</v>
      </c>
      <c r="I109" s="1" t="e">
        <f>H109/VLOOKUP(A109,'[10]geoMap (7)'!$A:$B,2,0)*VLOOKUP(A109,'[10]geoMap (7)'!$A:$C,3,0)</f>
        <v>#REF!</v>
      </c>
      <c r="J109" s="1" t="e">
        <f>I109/VLOOKUP(A109,'[11]geoMap (8)'!$A:$B,2,0)*VLOOKUP(A109,'[11]geoMap (8)'!$A:$C,3,0)</f>
        <v>#REF!</v>
      </c>
      <c r="K109" s="1" t="e">
        <f>J109/VLOOKUP(A109,'[12]geoMap (9)'!$A:$B,2,0)*VLOOKUP(A109,'[12]geoMap (9)'!$A:$C,3,0)</f>
        <v>#REF!</v>
      </c>
      <c r="L109" s="1" t="e">
        <f>K109/VLOOKUP(A109,'[13]geoMap (10)'!$A:$B,2,0)*VLOOKUP(A109,'[13]geoMap (10)'!$A:$C,3,0)</f>
        <v>#REF!</v>
      </c>
      <c r="M109" s="1" t="e">
        <f>L109/VLOOKUP(A109,'[14]geoMap (11)'!$A:$B,2,0)*VLOOKUP(A109,'[14]geoMap (11)'!$A:$C,3,0)</f>
        <v>#REF!</v>
      </c>
      <c r="N109" s="1" t="e">
        <f>M109/VLOOKUP(A109,'[15]geoMap (12)'!$A:$B,2,0)*VLOOKUP(A109,'[15]geoMap (12)'!$A:$C,3,0)</f>
        <v>#REF!</v>
      </c>
      <c r="O109" s="1" t="e">
        <f>N109/VLOOKUP(A109,'[16]geoMap (13)'!$A:$B,2,0)*VLOOKUP(A109,'[16]geoMap (13)'!$A:$C,3,0)</f>
        <v>#REF!</v>
      </c>
      <c r="P109" s="1" t="e">
        <f>O109/VLOOKUP(A109,'[17]geoMap (14)'!$A:$B,2,0)*VLOOKUP(A109,'[17]geoMap (14)'!$A:$C,3,0)</f>
        <v>#REF!</v>
      </c>
      <c r="Q109" s="1" t="e">
        <f>P109/VLOOKUP(A109,'[18]geoMap (15)'!$A:$B,2,0)*VLOOKUP(A109,'[18]geoMap (15)'!$A:$C,3,0)</f>
        <v>#REF!</v>
      </c>
      <c r="R109" s="1" t="e">
        <f>Q109/VLOOKUP(A109,'[19]geoMap (16)'!$A:$B,2,0)*VLOOKUP(A109,'[19]geoMap (16)'!$A:$C,3,0)</f>
        <v>#REF!</v>
      </c>
      <c r="S109" s="1" t="e">
        <f>R109/VLOOKUP(A109,'[20]geoMap (17)'!$A:$B,2,0)*VLOOKUP(A109,'[20]geoMap (17)'!$A:$C,3,0)</f>
        <v>#REF!</v>
      </c>
      <c r="T109" s="1" t="e">
        <f>S109/VLOOKUP(A109,'[21]geoMap (18)'!$A:$B,2,0)*VLOOKUP(A109,'[21]geoMap (18)'!$A:$C,3,0)</f>
        <v>#REF!</v>
      </c>
      <c r="U109" s="1" t="e">
        <f>T109/VLOOKUP(A109,'[22]geoMap (19)'!$A:$B,2,0)*VLOOKUP(A109,'[22]geoMap (19)'!$A:$C,3,0)</f>
        <v>#REF!</v>
      </c>
      <c r="V109" s="1" t="e">
        <f>U109/VLOOKUP(A109,'[23]geoMap (20)'!$A:$B,2,0)*VLOOKUP(A109,'[23]geoMap (20)'!$A:$C,3,0)</f>
        <v>#REF!</v>
      </c>
      <c r="W109" s="1" t="e">
        <f>V109/VLOOKUP(A109,'[24]geoMap (21)'!$A:$B,2,0)*VLOOKUP(A109,'[24]geoMap (21)'!$A:$C,3,0)</f>
        <v>#REF!</v>
      </c>
      <c r="X109" s="1" t="e">
        <f>W109/VLOOKUP(A109,'[25]geoMap (22)'!$A:$B,2,0)*VLOOKUP(A109,'[25]geoMap (22)'!$A:$C,3,0)</f>
        <v>#REF!</v>
      </c>
      <c r="Y109" s="1" t="e">
        <f>X109/VLOOKUP(A109,'[26]geoMap (23)'!$A:$B,2,0)*VLOOKUP(A109,'[26]geoMap (23)'!$A:$C,3,0)</f>
        <v>#REF!</v>
      </c>
      <c r="Z109" s="1" t="e">
        <f>Y109/VLOOKUP(A109,'[27]geoMap (24)'!$A:$B,2,0)*VLOOKUP(A109,'[27]geoMap (24)'!$A:$C,3,0)</f>
        <v>#REF!</v>
      </c>
      <c r="AA109" s="1" t="e">
        <f>Z109/VLOOKUP(A109,'[28]geoMap (25)'!$A:$B,2,0)*VLOOKUP(A109,'[28]geoMap (25)'!$A:$C,3,0)</f>
        <v>#REF!</v>
      </c>
      <c r="AB109" s="1" t="e">
        <f>AA109*VLOOKUP(A109,'[29]geoMap (26)'!$A:$B,2,0)*VLOOKUP(A109,'[29]geoMap (26)'!$A:$C,3,0)</f>
        <v>#REF!</v>
      </c>
      <c r="AC109" s="1" t="e">
        <f>AB109/VLOOKUP(A109,'[30]geoMap (27)'!$A:$B,2,0)*VLOOKUP(A109,'[30]geoMap (27)'!$A:$C,3,0)</f>
        <v>#REF!</v>
      </c>
      <c r="AD109" s="1" t="e">
        <f>AC109/VLOOKUP(A109,'[31]geoMap (28)'!$A:$B,2,0)*VLOOKUP(A109,'[31]geoMap (28)'!$A:$C,3,0)</f>
        <v>#REF!</v>
      </c>
      <c r="AE109" s="1" t="e">
        <f>AD109/VLOOKUP(A109,'[32]geoMap (29)'!$A:$B,2,0)*VLOOKUP(A109,'[32]geoMap (29)'!$A:$C,3,0)</f>
        <v>#REF!</v>
      </c>
      <c r="AF109" s="1" t="e">
        <f>AE109/VLOOKUP(A109,'[33]geoMap (30)'!$A:$B,2,0)*VLOOKUP(A109,'[33]geoMap (30)'!$A:$C,3,0)</f>
        <v>#REF!</v>
      </c>
      <c r="AG109" s="1" t="e">
        <f>AF109/VLOOKUP(A109,'[34]geoMap (31)'!$A:$B,2,0)*VLOOKUP(A109,'[34]geoMap (31)'!$A:$C,3,0)</f>
        <v>#REF!</v>
      </c>
      <c r="AH109" s="1" t="e">
        <f>AG109/VLOOKUP(A109,'[35]geoMap (32)'!$A:$B,2,0)*VLOOKUP(A109,'[35]geoMap (32)'!$A:$C,3,0)</f>
        <v>#REF!</v>
      </c>
      <c r="AI109" s="1" t="e">
        <f>AH109/VLOOKUP(A109,'[36]geoMap (33)'!$A:$B,2,0)*VLOOKUP(A109,'[36]geoMap (33)'!$A:$C,3,0)</f>
        <v>#REF!</v>
      </c>
      <c r="AJ109" s="1" t="e">
        <f>AI109/VLOOKUP(A109,'[37]geoMap (34)'!$A:$B,2,0)*VLOOKUP(A109,'[37]geoMap (34)'!$A:$C,3,0)</f>
        <v>#REF!</v>
      </c>
      <c r="AK109" s="1" t="e">
        <f>AJ109/VLOOKUP(A109,'[38]geoMap (35)'!$A:$B,2,0)*VLOOKUP(A109,'[38]geoMap (35)'!$A:$C,3,0)</f>
        <v>#REF!</v>
      </c>
      <c r="AL109" s="1" t="e">
        <f>AK109/VLOOKUP(A109,'[39]geoMap (36)'!$A:$B,2,0)*VLOOKUP(A109,'[39]geoMap (36)'!$A:$C,3,0)</f>
        <v>#REF!</v>
      </c>
      <c r="AM109" s="1" t="e">
        <f>AL109/VLOOKUP(A109,'[40]geoMap (37)'!$A:$B,2,0)*VLOOKUP(A109,'[40]geoMap (37)'!$A:$C,3,0)</f>
        <v>#REF!</v>
      </c>
      <c r="AN109" s="1" t="e">
        <f>AM109/VLOOKUP(A109,'[41]geoMap (38)'!$A:$B,2,0)*VLOOKUP(A109,'[41]geoMap (38)'!$A:$C,3,0)</f>
        <v>#REF!</v>
      </c>
      <c r="AO109" s="1" t="e">
        <f>AN109/VLOOKUP(A109,'[42]geoMap (39)'!$A:$B,2,0)*VLOOKUP(A109,'[42]geoMap (39)'!$A:$C,3,0)</f>
        <v>#REF!</v>
      </c>
      <c r="AP109" s="1" t="e">
        <f>AO109/VLOOKUP(A109,'[43]geoMap (40)'!$A:$B,2,0)*VLOOKUP(A109,'[43]geoMap (40)'!$A:$C,3,0)</f>
        <v>#REF!</v>
      </c>
      <c r="AQ109" s="1" t="e">
        <f>AP109/VLOOKUP(A109,'[44]geoMap (41)'!$A:$B,2,0)*VLOOKUP(A109,'[44]geoMap (41)'!$A:$C,3,0)</f>
        <v>#REF!</v>
      </c>
      <c r="AR109" s="1" t="e">
        <f>AQ109/VLOOKUP(A109,'[45]geoMap (42)'!$A:$B,2,0)*VLOOKUP(A109,'[45]geoMap (42)'!$A:$C,3,0)</f>
        <v>#REF!</v>
      </c>
      <c r="AS109" s="1" t="e">
        <f>AR109/VLOOKUP(A109,'[46]geoMap (43)'!$A:$B,2,0)*VLOOKUP(A109,'[46]geoMap (43)'!$A:$C,3,0)</f>
        <v>#REF!</v>
      </c>
      <c r="AT109" s="1" t="e">
        <f>AS109/VLOOKUP(A109,'[47]geoMap (44)'!$A:$B,2,0)*VLOOKUP(A109,'[47]geoMap (44)'!$A:$C,3,0)</f>
        <v>#REF!</v>
      </c>
      <c r="AU109" s="1" t="e">
        <f>AT109/VLOOKUP(A109,'[48]geoMap (45)'!$A:$B,2,0)*VLOOKUP(A109,'[48]geoMap (45)'!$A:$C,3,0)</f>
        <v>#REF!</v>
      </c>
      <c r="AV109" s="1" t="e">
        <f>AU109/VLOOKUP(A109,'[49]geoMap (46)'!$A:$B,2,0)*VLOOKUP(A109,'[49]geoMap (46)'!$A:$C,3,0)</f>
        <v>#REF!</v>
      </c>
      <c r="AW109" s="1" t="e">
        <f>AV109/VLOOKUP(A109,'[50]geoMap (47)'!$A:$B,2,0)*VLOOKUP(A109,'[50]geoMap (47)'!$A:$C,3,0)</f>
        <v>#REF!</v>
      </c>
      <c r="AX109" s="4" t="e">
        <f>AW109/VLOOKUP(A109,'[51]geoMap (48)'!$A:$B,2,0)*VLOOKUP(A109,'[51]geoMap (48)'!$A:$C,3,0)</f>
        <v>#REF!</v>
      </c>
      <c r="AY109" s="1" t="e">
        <f>AX109/VLOOKUP(A109,'[52]geoMap (49)'!$A:$B,2,0)*VLOOKUP(A109,'[52]geoMap (49)'!$A:$C,3,0)</f>
        <v>#REF!</v>
      </c>
      <c r="AZ109" s="4" t="e">
        <f>AY109/VLOOKUP(A109,'[53]geoMap (50)'!$A:$B,2,0)*VLOOKUP(A109,'[53]geoMap (50)'!$A:$C,3,0)</f>
        <v>#REF!</v>
      </c>
      <c r="BA109" s="1" t="e">
        <f>AZ109/VLOOKUP(A109,'[54]geoMap (51)'!$A:$B,2,0)*VLOOKUP(A109,'[54]geoMap (51)'!$A:$C,3,0)</f>
        <v>#REF!</v>
      </c>
      <c r="BB109" s="4" t="e">
        <f>BA109/VLOOKUP(A109,'[55]geoMap (52)'!$A:$B,2,0)*VLOOKUP(A109,'[55]geoMap (52)'!$A:$C,3,0)</f>
        <v>#REF!</v>
      </c>
      <c r="BC109" s="1" t="e">
        <f>BB109/VLOOKUP(A109,'[56]geoMap (53)'!$A:$B,2,0)*VLOOKUP(A109,'[56]geoMap (53)'!$A:$C,3,0)</f>
        <v>#REF!</v>
      </c>
      <c r="BD109" s="4" t="e">
        <f>BC109/VLOOKUP(A109,'[57]geoMap (54)'!$A:$B,2,0)*VLOOKUP(A109,'[57]geoMap (54)'!$A:$C,3,0)</f>
        <v>#REF!</v>
      </c>
      <c r="BE109" s="1" t="e">
        <f>BD109/VLOOKUP(A109,'[58]geoMap (55)'!$A:$B,2,0)*VLOOKUP(A109,'[58]geoMap (55)'!$A:$C,3,0)</f>
        <v>#REF!</v>
      </c>
      <c r="BF109" s="4" t="e">
        <f>BE109/VLOOKUP(A109,'[59]geoMap (56)'!$A:$B,2,0)*VLOOKUP(A109,'[59]geoMap (56)'!$A:$C,3,0)</f>
        <v>#REF!</v>
      </c>
      <c r="BG109" s="1" t="e">
        <f>BF109/VLOOKUP(A109,'[60]geoMap (57)'!$A:$B,2,0)*VLOOKUP(A109,'[60]geoMap (57)'!$A:$C,3,0)</f>
        <v>#REF!</v>
      </c>
      <c r="BH109" s="4" t="e">
        <f>BG109/VLOOKUP(A109,'[61]geoMap (58)'!$A:$B,2,0)*VLOOKUP(A109,'[61]geoMap (58)'!$A:$C,3,0)</f>
        <v>#REF!</v>
      </c>
      <c r="BI109" s="1" t="e">
        <f>BH109/VLOOKUP(A109,'[62]geoMap (59)'!$A:$B,2,0)*VLOOKUP(A109,'[62]geoMap (59)'!$A:$C,3,0)</f>
        <v>#REF!</v>
      </c>
      <c r="BJ109" s="4" t="e">
        <f>BI109/VLOOKUP(A109,'[63]geoMap (60)'!$A:$B,2,0)*VLOOKUP(A109,'[63]geoMap (60)'!$A:$C,3,0)</f>
        <v>#REF!</v>
      </c>
      <c r="BK109" s="1" t="e">
        <f>BJ109/VLOOKUP(A109,'[64]geoMap (61)'!$A:$B,2,0)*VLOOKUP(A109,'[64]geoMap (61)'!$A:$C,3,0)</f>
        <v>#REF!</v>
      </c>
      <c r="BL109" s="4" t="e">
        <f>BK109/VLOOKUP(A109,'[65]geoMap (62)'!$A:$B,2,0)*VLOOKUP(A109,'[65]geoMap (62)'!$A:$C,3,0)</f>
        <v>#REF!</v>
      </c>
      <c r="BM109" s="1" t="e">
        <f>BL109/VLOOKUP(A109,'[66]geoMap (63)'!$A:$B,2,0)*VLOOKUP(A109,'[66]geoMap (63)'!$A:$C,3,0)</f>
        <v>#REF!</v>
      </c>
      <c r="BN109" s="4" t="e">
        <f>BM109/VLOOKUP(A109,'[67]geoMap (64)'!$A:$B,2,0)*VLOOKUP(A109,'[67]geoMap (64)'!$A:$C,3,0)</f>
        <v>#REF!</v>
      </c>
      <c r="BO109" s="1" t="e">
        <f>BN109/VLOOKUP(A109,'[68]geoMap (65)'!$A:$B,2,0)*VLOOKUP(A109,'[68]geoMap (65)'!$A:$C,3,0)</f>
        <v>#REF!</v>
      </c>
      <c r="BP109" s="4" t="e">
        <f>BO109/VLOOKUP(A109,'[69]geoMap (66)'!$A:$B,2,0)*VLOOKUP(A109,'[69]geoMap (66)'!$A:$C,3,0)</f>
        <v>#REF!</v>
      </c>
    </row>
    <row r="110" spans="1:68" x14ac:dyDescent="0.2">
      <c r="A110" s="1" t="s">
        <v>54</v>
      </c>
      <c r="B110" s="1" t="e">
        <f>VLOOKUP(A110,[3]geoMap!$A:$B,2,0)*Notes!$C$6</f>
        <v>#REF!</v>
      </c>
      <c r="C110" s="1" t="e">
        <f>B110/VLOOKUP(A110,'[4]geoMap (1)'!$A:$B,2,0)*VLOOKUP(A110,'[4]geoMap (1)'!$A:$C,3,0)</f>
        <v>#REF!</v>
      </c>
      <c r="D110" s="1" t="e">
        <f>C110/VLOOKUP(A110,'[5]geoMap (2)'!$A:$B,2,0)*VLOOKUP(A110,'[5]geoMap (2)'!$A:$C,3,0)</f>
        <v>#REF!</v>
      </c>
      <c r="E110" s="1" t="e">
        <f>D110/VLOOKUP(A110,'[6]geoMap (3)'!$A:$B,2,0)*VLOOKUP(A110,'[6]geoMap (3)'!$A:$C,3,0)</f>
        <v>#REF!</v>
      </c>
      <c r="F110" s="1" t="e">
        <f>E110/VLOOKUP(A110,'[7]geoMap (4)'!$A:$B,2,0)*VLOOKUP(A110,'[7]geoMap (4)'!$A:$C,3,0)</f>
        <v>#REF!</v>
      </c>
      <c r="G110" s="1" t="e">
        <f>F110/VLOOKUP(A110,'[8]geoMap (5)'!$A:$B,2,0)*VLOOKUP(A110,'[8]geoMap (5)'!$A:$C,3,0)</f>
        <v>#REF!</v>
      </c>
      <c r="H110" s="1" t="e">
        <f>G110/VLOOKUP(A110,'[9]geoMap (6)'!$A:$B,2,0)*VLOOKUP(A110,'[9]geoMap (6)'!$A:$C,3,0)</f>
        <v>#REF!</v>
      </c>
      <c r="I110" s="1" t="e">
        <f>H110/VLOOKUP(A110,'[10]geoMap (7)'!$A:$B,2,0)*VLOOKUP(A110,'[10]geoMap (7)'!$A:$C,3,0)</f>
        <v>#REF!</v>
      </c>
      <c r="J110" s="1" t="e">
        <f>I110/VLOOKUP(A110,'[11]geoMap (8)'!$A:$B,2,0)*VLOOKUP(A110,'[11]geoMap (8)'!$A:$C,3,0)</f>
        <v>#REF!</v>
      </c>
      <c r="K110" s="1" t="e">
        <f>J110/VLOOKUP(A110,'[12]geoMap (9)'!$A:$B,2,0)*VLOOKUP(A110,'[12]geoMap (9)'!$A:$C,3,0)</f>
        <v>#REF!</v>
      </c>
      <c r="L110" s="1" t="e">
        <f>K110/VLOOKUP(A110,'[13]geoMap (10)'!$A:$B,2,0)*VLOOKUP(A110,'[13]geoMap (10)'!$A:$C,3,0)</f>
        <v>#REF!</v>
      </c>
      <c r="M110" s="1" t="e">
        <f>L110/VLOOKUP(A110,'[14]geoMap (11)'!$A:$B,2,0)*VLOOKUP(A110,'[14]geoMap (11)'!$A:$C,3,0)</f>
        <v>#REF!</v>
      </c>
      <c r="N110" s="1" t="e">
        <f>M110/VLOOKUP(A110,'[15]geoMap (12)'!$A:$B,2,0)*VLOOKUP(A110,'[15]geoMap (12)'!$A:$C,3,0)</f>
        <v>#REF!</v>
      </c>
      <c r="O110" s="1" t="e">
        <f>N110/VLOOKUP(A110,'[16]geoMap (13)'!$A:$B,2,0)*VLOOKUP(A110,'[16]geoMap (13)'!$A:$C,3,0)</f>
        <v>#REF!</v>
      </c>
      <c r="P110" s="1" t="e">
        <f>O110/VLOOKUP(A110,'[17]geoMap (14)'!$A:$B,2,0)*VLOOKUP(A110,'[17]geoMap (14)'!$A:$C,3,0)</f>
        <v>#REF!</v>
      </c>
      <c r="Q110" s="1" t="e">
        <f>P110/VLOOKUP(A110,'[18]geoMap (15)'!$A:$B,2,0)*VLOOKUP(A110,'[18]geoMap (15)'!$A:$C,3,0)</f>
        <v>#REF!</v>
      </c>
      <c r="R110" s="1" t="e">
        <f>Q110/VLOOKUP(A110,'[19]geoMap (16)'!$A:$B,2,0)*VLOOKUP(A110,'[19]geoMap (16)'!$A:$C,3,0)</f>
        <v>#REF!</v>
      </c>
      <c r="S110" s="1" t="e">
        <f>R110/VLOOKUP(A110,'[20]geoMap (17)'!$A:$B,2,0)*VLOOKUP(A110,'[20]geoMap (17)'!$A:$C,3,0)</f>
        <v>#REF!</v>
      </c>
      <c r="T110" s="1" t="e">
        <f>S110/VLOOKUP(A110,'[21]geoMap (18)'!$A:$B,2,0)*VLOOKUP(A110,'[21]geoMap (18)'!$A:$C,3,0)</f>
        <v>#REF!</v>
      </c>
      <c r="U110" s="1" t="e">
        <f>T110/VLOOKUP(A110,'[22]geoMap (19)'!$A:$B,2,0)*VLOOKUP(A110,'[22]geoMap (19)'!$A:$C,3,0)</f>
        <v>#REF!</v>
      </c>
      <c r="V110" s="1" t="e">
        <f>U110/VLOOKUP(A110,'[23]geoMap (20)'!$A:$B,2,0)*VLOOKUP(A110,'[23]geoMap (20)'!$A:$C,3,0)</f>
        <v>#REF!</v>
      </c>
      <c r="W110" s="1" t="e">
        <f>V110/VLOOKUP(A110,'[24]geoMap (21)'!$A:$B,2,0)*VLOOKUP(A110,'[24]geoMap (21)'!$A:$C,3,0)</f>
        <v>#REF!</v>
      </c>
      <c r="X110" s="1" t="e">
        <f>W110/VLOOKUP(A110,'[25]geoMap (22)'!$A:$B,2,0)*VLOOKUP(A110,'[25]geoMap (22)'!$A:$C,3,0)</f>
        <v>#REF!</v>
      </c>
      <c r="Y110" s="1" t="e">
        <f>X110/VLOOKUP(A110,'[26]geoMap (23)'!$A:$B,2,0)*VLOOKUP(A110,'[26]geoMap (23)'!$A:$C,3,0)</f>
        <v>#REF!</v>
      </c>
      <c r="Z110" s="1" t="e">
        <f>Y110/VLOOKUP(A110,'[27]geoMap (24)'!$A:$B,2,0)*VLOOKUP(A110,'[27]geoMap (24)'!$A:$C,3,0)</f>
        <v>#REF!</v>
      </c>
      <c r="AA110" s="1" t="e">
        <f>Z110/VLOOKUP(A110,'[28]geoMap (25)'!$A:$B,2,0)*VLOOKUP(A110,'[28]geoMap (25)'!$A:$C,3,0)</f>
        <v>#REF!</v>
      </c>
      <c r="AB110" s="1" t="e">
        <f>AA110*VLOOKUP(A110,'[29]geoMap (26)'!$A:$B,2,0)*VLOOKUP(A110,'[29]geoMap (26)'!$A:$C,3,0)</f>
        <v>#REF!</v>
      </c>
      <c r="AC110" s="1" t="e">
        <f>AB110/VLOOKUP(A110,'[30]geoMap (27)'!$A:$B,2,0)*VLOOKUP(A110,'[30]geoMap (27)'!$A:$C,3,0)</f>
        <v>#REF!</v>
      </c>
      <c r="AD110" s="1" t="e">
        <f>AC110/VLOOKUP(A110,'[31]geoMap (28)'!$A:$B,2,0)*VLOOKUP(A110,'[31]geoMap (28)'!$A:$C,3,0)</f>
        <v>#REF!</v>
      </c>
      <c r="AE110" s="1" t="e">
        <f>AD110/VLOOKUP(A110,'[32]geoMap (29)'!$A:$B,2,0)*VLOOKUP(A110,'[32]geoMap (29)'!$A:$C,3,0)</f>
        <v>#REF!</v>
      </c>
      <c r="AF110" s="1" t="e">
        <f>AE110/VLOOKUP(A110,'[33]geoMap (30)'!$A:$B,2,0)*VLOOKUP(A110,'[33]geoMap (30)'!$A:$C,3,0)</f>
        <v>#REF!</v>
      </c>
      <c r="AG110" s="1" t="e">
        <f>AF110/VLOOKUP(A110,'[34]geoMap (31)'!$A:$B,2,0)*VLOOKUP(A110,'[34]geoMap (31)'!$A:$C,3,0)</f>
        <v>#REF!</v>
      </c>
      <c r="AH110" s="1" t="e">
        <f>AG110/VLOOKUP(A110,'[35]geoMap (32)'!$A:$B,2,0)*VLOOKUP(A110,'[35]geoMap (32)'!$A:$C,3,0)</f>
        <v>#REF!</v>
      </c>
      <c r="AI110" s="1" t="e">
        <f>AH110/VLOOKUP(A110,'[36]geoMap (33)'!$A:$B,2,0)*VLOOKUP(A110,'[36]geoMap (33)'!$A:$C,3,0)</f>
        <v>#REF!</v>
      </c>
      <c r="AJ110" s="1" t="e">
        <f>AI110/VLOOKUP(A110,'[37]geoMap (34)'!$A:$B,2,0)*VLOOKUP(A110,'[37]geoMap (34)'!$A:$C,3,0)</f>
        <v>#REF!</v>
      </c>
      <c r="AK110" s="1" t="e">
        <f>AJ110/VLOOKUP(A110,'[38]geoMap (35)'!$A:$B,2,0)*VLOOKUP(A110,'[38]geoMap (35)'!$A:$C,3,0)</f>
        <v>#REF!</v>
      </c>
      <c r="AL110" s="1" t="e">
        <f>AK110/VLOOKUP(A110,'[39]geoMap (36)'!$A:$B,2,0)*VLOOKUP(A110,'[39]geoMap (36)'!$A:$C,3,0)</f>
        <v>#REF!</v>
      </c>
      <c r="AM110" s="1" t="e">
        <f>AL110/VLOOKUP(A110,'[40]geoMap (37)'!$A:$B,2,0)*VLOOKUP(A110,'[40]geoMap (37)'!$A:$C,3,0)</f>
        <v>#REF!</v>
      </c>
      <c r="AN110" s="1" t="e">
        <f>AM110/VLOOKUP(A110,'[41]geoMap (38)'!$A:$B,2,0)*VLOOKUP(A110,'[41]geoMap (38)'!$A:$C,3,0)</f>
        <v>#REF!</v>
      </c>
      <c r="AO110" s="1" t="e">
        <f>AN110/VLOOKUP(A110,'[42]geoMap (39)'!$A:$B,2,0)*VLOOKUP(A110,'[42]geoMap (39)'!$A:$C,3,0)</f>
        <v>#REF!</v>
      </c>
      <c r="AP110" s="1" t="e">
        <f>AO110/VLOOKUP(A110,'[43]geoMap (40)'!$A:$B,2,0)*VLOOKUP(A110,'[43]geoMap (40)'!$A:$C,3,0)</f>
        <v>#REF!</v>
      </c>
      <c r="AQ110" s="1" t="e">
        <f>AP110/VLOOKUP(A110,'[44]geoMap (41)'!$A:$B,2,0)*VLOOKUP(A110,'[44]geoMap (41)'!$A:$C,3,0)</f>
        <v>#REF!</v>
      </c>
      <c r="AR110" s="1" t="e">
        <f>AQ110/VLOOKUP(A110,'[45]geoMap (42)'!$A:$B,2,0)*VLOOKUP(A110,'[45]geoMap (42)'!$A:$C,3,0)</f>
        <v>#REF!</v>
      </c>
      <c r="AS110" s="1" t="e">
        <f>AR110/VLOOKUP(A110,'[46]geoMap (43)'!$A:$B,2,0)*VLOOKUP(A110,'[46]geoMap (43)'!$A:$C,3,0)</f>
        <v>#REF!</v>
      </c>
      <c r="AT110" s="1" t="e">
        <f>AS110/VLOOKUP(A110,'[47]geoMap (44)'!$A:$B,2,0)*VLOOKUP(A110,'[47]geoMap (44)'!$A:$C,3,0)</f>
        <v>#REF!</v>
      </c>
      <c r="AU110" s="1" t="e">
        <f>AT110/VLOOKUP(A110,'[48]geoMap (45)'!$A:$B,2,0)*VLOOKUP(A110,'[48]geoMap (45)'!$A:$C,3,0)</f>
        <v>#REF!</v>
      </c>
      <c r="AV110" s="1" t="e">
        <f>AU110/VLOOKUP(A110,'[49]geoMap (46)'!$A:$B,2,0)*VLOOKUP(A110,'[49]geoMap (46)'!$A:$C,3,0)</f>
        <v>#REF!</v>
      </c>
      <c r="AW110" s="1" t="e">
        <f>AV110/VLOOKUP(A110,'[50]geoMap (47)'!$A:$B,2,0)*VLOOKUP(A110,'[50]geoMap (47)'!$A:$C,3,0)</f>
        <v>#REF!</v>
      </c>
      <c r="AX110" s="4" t="e">
        <f>AW110/VLOOKUP(A110,'[51]geoMap (48)'!$A:$B,2,0)*VLOOKUP(A110,'[51]geoMap (48)'!$A:$C,3,0)</f>
        <v>#REF!</v>
      </c>
      <c r="AY110" s="1" t="e">
        <f>AX110/VLOOKUP(A110,'[52]geoMap (49)'!$A:$B,2,0)*VLOOKUP(A110,'[52]geoMap (49)'!$A:$C,3,0)</f>
        <v>#REF!</v>
      </c>
      <c r="AZ110" s="4" t="e">
        <f>AY110/VLOOKUP(A110,'[53]geoMap (50)'!$A:$B,2,0)*VLOOKUP(A110,'[53]geoMap (50)'!$A:$C,3,0)</f>
        <v>#REF!</v>
      </c>
      <c r="BA110" s="1" t="e">
        <f>AZ110/VLOOKUP(A110,'[54]geoMap (51)'!$A:$B,2,0)*VLOOKUP(A110,'[54]geoMap (51)'!$A:$C,3,0)</f>
        <v>#REF!</v>
      </c>
      <c r="BB110" s="4" t="e">
        <f>BA110/VLOOKUP(A110,'[55]geoMap (52)'!$A:$B,2,0)*VLOOKUP(A110,'[55]geoMap (52)'!$A:$C,3,0)</f>
        <v>#REF!</v>
      </c>
      <c r="BC110" s="1" t="e">
        <f>BB110/VLOOKUP(A110,'[56]geoMap (53)'!$A:$B,2,0)*VLOOKUP(A110,'[56]geoMap (53)'!$A:$C,3,0)</f>
        <v>#REF!</v>
      </c>
      <c r="BD110" s="4" t="e">
        <f>BC110/VLOOKUP(A110,'[57]geoMap (54)'!$A:$B,2,0)*VLOOKUP(A110,'[57]geoMap (54)'!$A:$C,3,0)</f>
        <v>#REF!</v>
      </c>
      <c r="BE110" s="1" t="e">
        <f>BD110/VLOOKUP(A110,'[58]geoMap (55)'!$A:$B,2,0)*VLOOKUP(A110,'[58]geoMap (55)'!$A:$C,3,0)</f>
        <v>#REF!</v>
      </c>
      <c r="BF110" s="4" t="e">
        <f>BE110/VLOOKUP(A110,'[59]geoMap (56)'!$A:$B,2,0)*VLOOKUP(A110,'[59]geoMap (56)'!$A:$C,3,0)</f>
        <v>#REF!</v>
      </c>
      <c r="BG110" s="1" t="e">
        <f>BF110/VLOOKUP(A110,'[60]geoMap (57)'!$A:$B,2,0)*VLOOKUP(A110,'[60]geoMap (57)'!$A:$C,3,0)</f>
        <v>#REF!</v>
      </c>
      <c r="BH110" s="4" t="e">
        <f>BG110/VLOOKUP(A110,'[61]geoMap (58)'!$A:$B,2,0)*VLOOKUP(A110,'[61]geoMap (58)'!$A:$C,3,0)</f>
        <v>#REF!</v>
      </c>
      <c r="BI110" s="1" t="e">
        <f>BH110/VLOOKUP(A110,'[62]geoMap (59)'!$A:$B,2,0)*VLOOKUP(A110,'[62]geoMap (59)'!$A:$C,3,0)</f>
        <v>#REF!</v>
      </c>
      <c r="BJ110" s="4" t="e">
        <f>BI110/VLOOKUP(A110,'[63]geoMap (60)'!$A:$B,2,0)*VLOOKUP(A110,'[63]geoMap (60)'!$A:$C,3,0)</f>
        <v>#REF!</v>
      </c>
      <c r="BK110" s="1" t="e">
        <f>BJ110/VLOOKUP(A110,'[64]geoMap (61)'!$A:$B,2,0)*VLOOKUP(A110,'[64]geoMap (61)'!$A:$C,3,0)</f>
        <v>#REF!</v>
      </c>
      <c r="BL110" s="4" t="e">
        <f>BK110/VLOOKUP(A110,'[65]geoMap (62)'!$A:$B,2,0)*VLOOKUP(A110,'[65]geoMap (62)'!$A:$C,3,0)</f>
        <v>#REF!</v>
      </c>
      <c r="BM110" s="1" t="e">
        <f>BL110/VLOOKUP(A110,'[66]geoMap (63)'!$A:$B,2,0)*VLOOKUP(A110,'[66]geoMap (63)'!$A:$C,3,0)</f>
        <v>#REF!</v>
      </c>
      <c r="BN110" s="4" t="e">
        <f>BM110/VLOOKUP(A110,'[67]geoMap (64)'!$A:$B,2,0)*VLOOKUP(A110,'[67]geoMap (64)'!$A:$C,3,0)</f>
        <v>#REF!</v>
      </c>
      <c r="BO110" s="1" t="e">
        <f>BN110/VLOOKUP(A110,'[68]geoMap (65)'!$A:$B,2,0)*VLOOKUP(A110,'[68]geoMap (65)'!$A:$C,3,0)</f>
        <v>#REF!</v>
      </c>
      <c r="BP110" s="4" t="e">
        <f>BO110/VLOOKUP(A110,'[69]geoMap (66)'!$A:$B,2,0)*VLOOKUP(A110,'[69]geoMap (66)'!$A:$C,3,0)</f>
        <v>#REF!</v>
      </c>
    </row>
    <row r="111" spans="1:68" x14ac:dyDescent="0.2">
      <c r="A111" s="1" t="s">
        <v>56</v>
      </c>
      <c r="B111" s="1" t="e">
        <f>VLOOKUP(A111,[3]geoMap!$A:$B,2,0)*Notes!$C$6</f>
        <v>#REF!</v>
      </c>
      <c r="C111" s="1" t="e">
        <f>B111/VLOOKUP(A111,'[4]geoMap (1)'!$A:$B,2,0)*VLOOKUP(A111,'[4]geoMap (1)'!$A:$C,3,0)</f>
        <v>#REF!</v>
      </c>
      <c r="D111" s="1" t="e">
        <f>C111/VLOOKUP(A111,'[5]geoMap (2)'!$A:$B,2,0)*VLOOKUP(A111,'[5]geoMap (2)'!$A:$C,3,0)</f>
        <v>#REF!</v>
      </c>
      <c r="E111" s="1" t="e">
        <f>D111/VLOOKUP(A111,'[6]geoMap (3)'!$A:$B,2,0)*VLOOKUP(A111,'[6]geoMap (3)'!$A:$C,3,0)</f>
        <v>#REF!</v>
      </c>
      <c r="F111" s="1" t="e">
        <f>E111/VLOOKUP(A111,'[7]geoMap (4)'!$A:$B,2,0)*VLOOKUP(A111,'[7]geoMap (4)'!$A:$C,3,0)</f>
        <v>#REF!</v>
      </c>
      <c r="G111" s="1" t="e">
        <f>F111/VLOOKUP(A111,'[8]geoMap (5)'!$A:$B,2,0)*VLOOKUP(A111,'[8]geoMap (5)'!$A:$C,3,0)</f>
        <v>#REF!</v>
      </c>
      <c r="H111" s="1" t="e">
        <f>G111/VLOOKUP(A111,'[9]geoMap (6)'!$A:$B,2,0)*VLOOKUP(A111,'[9]geoMap (6)'!$A:$C,3,0)</f>
        <v>#REF!</v>
      </c>
      <c r="I111" s="1" t="e">
        <f>H111/VLOOKUP(A111,'[10]geoMap (7)'!$A:$B,2,0)*VLOOKUP(A111,'[10]geoMap (7)'!$A:$C,3,0)</f>
        <v>#REF!</v>
      </c>
      <c r="J111" s="1" t="e">
        <f>I111/VLOOKUP(A111,'[11]geoMap (8)'!$A:$B,2,0)*VLOOKUP(A111,'[11]geoMap (8)'!$A:$C,3,0)</f>
        <v>#REF!</v>
      </c>
      <c r="K111" s="1" t="e">
        <f>J111/VLOOKUP(A111,'[12]geoMap (9)'!$A:$B,2,0)*VLOOKUP(A111,'[12]geoMap (9)'!$A:$C,3,0)</f>
        <v>#REF!</v>
      </c>
      <c r="L111" s="1" t="e">
        <f>K111/VLOOKUP(A111,'[13]geoMap (10)'!$A:$B,2,0)*VLOOKUP(A111,'[13]geoMap (10)'!$A:$C,3,0)</f>
        <v>#REF!</v>
      </c>
      <c r="M111" s="1" t="e">
        <f>L111/VLOOKUP(A111,'[14]geoMap (11)'!$A:$B,2,0)*VLOOKUP(A111,'[14]geoMap (11)'!$A:$C,3,0)</f>
        <v>#REF!</v>
      </c>
      <c r="N111" s="1" t="e">
        <f>M111/VLOOKUP(A111,'[15]geoMap (12)'!$A:$B,2,0)*VLOOKUP(A111,'[15]geoMap (12)'!$A:$C,3,0)</f>
        <v>#REF!</v>
      </c>
      <c r="O111" s="1" t="e">
        <f>N111/VLOOKUP(A111,'[16]geoMap (13)'!$A:$B,2,0)*VLOOKUP(A111,'[16]geoMap (13)'!$A:$C,3,0)</f>
        <v>#REF!</v>
      </c>
      <c r="P111" s="1" t="e">
        <f>O111/VLOOKUP(A111,'[17]geoMap (14)'!$A:$B,2,0)*VLOOKUP(A111,'[17]geoMap (14)'!$A:$C,3,0)</f>
        <v>#REF!</v>
      </c>
      <c r="Q111" s="1" t="e">
        <f>P111/VLOOKUP(A111,'[18]geoMap (15)'!$A:$B,2,0)*VLOOKUP(A111,'[18]geoMap (15)'!$A:$C,3,0)</f>
        <v>#REF!</v>
      </c>
      <c r="R111" s="1" t="e">
        <f>Q111/VLOOKUP(A111,'[19]geoMap (16)'!$A:$B,2,0)*VLOOKUP(A111,'[19]geoMap (16)'!$A:$C,3,0)</f>
        <v>#REF!</v>
      </c>
      <c r="S111" s="1" t="e">
        <f>R111/VLOOKUP(A111,'[20]geoMap (17)'!$A:$B,2,0)*VLOOKUP(A111,'[20]geoMap (17)'!$A:$C,3,0)</f>
        <v>#REF!</v>
      </c>
      <c r="T111" s="1" t="e">
        <f>S111/VLOOKUP(A111,'[21]geoMap (18)'!$A:$B,2,0)*VLOOKUP(A111,'[21]geoMap (18)'!$A:$C,3,0)</f>
        <v>#REF!</v>
      </c>
      <c r="U111" s="1" t="e">
        <f>T111/VLOOKUP(A111,'[22]geoMap (19)'!$A:$B,2,0)*VLOOKUP(A111,'[22]geoMap (19)'!$A:$C,3,0)</f>
        <v>#REF!</v>
      </c>
      <c r="V111" s="1" t="e">
        <f>U111/VLOOKUP(A111,'[23]geoMap (20)'!$A:$B,2,0)*VLOOKUP(A111,'[23]geoMap (20)'!$A:$C,3,0)</f>
        <v>#REF!</v>
      </c>
      <c r="W111" s="1" t="e">
        <f>V111/VLOOKUP(A111,'[24]geoMap (21)'!$A:$B,2,0)*VLOOKUP(A111,'[24]geoMap (21)'!$A:$C,3,0)</f>
        <v>#REF!</v>
      </c>
      <c r="X111" s="1" t="e">
        <f>W111/VLOOKUP(A111,'[25]geoMap (22)'!$A:$B,2,0)*VLOOKUP(A111,'[25]geoMap (22)'!$A:$C,3,0)</f>
        <v>#REF!</v>
      </c>
      <c r="Y111" s="1" t="e">
        <f>X111/VLOOKUP(A111,'[26]geoMap (23)'!$A:$B,2,0)*VLOOKUP(A111,'[26]geoMap (23)'!$A:$C,3,0)</f>
        <v>#REF!</v>
      </c>
      <c r="Z111" s="1" t="e">
        <f>Y111/VLOOKUP(A111,'[27]geoMap (24)'!$A:$B,2,0)*VLOOKUP(A111,'[27]geoMap (24)'!$A:$C,3,0)</f>
        <v>#REF!</v>
      </c>
      <c r="AA111" s="1" t="e">
        <f>Z111/VLOOKUP(A111,'[28]geoMap (25)'!$A:$B,2,0)*VLOOKUP(A111,'[28]geoMap (25)'!$A:$C,3,0)</f>
        <v>#REF!</v>
      </c>
      <c r="AB111" s="1" t="e">
        <f>AA111*VLOOKUP(A111,'[29]geoMap (26)'!$A:$B,2,0)*VLOOKUP(A111,'[29]geoMap (26)'!$A:$C,3,0)</f>
        <v>#REF!</v>
      </c>
      <c r="AC111" s="1" t="e">
        <f>AB111/VLOOKUP(A111,'[30]geoMap (27)'!$A:$B,2,0)*VLOOKUP(A111,'[30]geoMap (27)'!$A:$C,3,0)</f>
        <v>#REF!</v>
      </c>
      <c r="AD111" s="1" t="e">
        <f>AC111/VLOOKUP(A111,'[31]geoMap (28)'!$A:$B,2,0)*VLOOKUP(A111,'[31]geoMap (28)'!$A:$C,3,0)</f>
        <v>#REF!</v>
      </c>
      <c r="AE111" s="1" t="e">
        <f>AD111/VLOOKUP(A111,'[32]geoMap (29)'!$A:$B,2,0)*VLOOKUP(A111,'[32]geoMap (29)'!$A:$C,3,0)</f>
        <v>#REF!</v>
      </c>
      <c r="AF111" s="1" t="e">
        <f>AE111/VLOOKUP(A111,'[33]geoMap (30)'!$A:$B,2,0)*VLOOKUP(A111,'[33]geoMap (30)'!$A:$C,3,0)</f>
        <v>#REF!</v>
      </c>
      <c r="AG111" s="1" t="e">
        <f>AF111/VLOOKUP(A111,'[34]geoMap (31)'!$A:$B,2,0)*VLOOKUP(A111,'[34]geoMap (31)'!$A:$C,3,0)</f>
        <v>#REF!</v>
      </c>
      <c r="AH111" s="1" t="e">
        <f>AG111/VLOOKUP(A111,'[35]geoMap (32)'!$A:$B,2,0)*VLOOKUP(A111,'[35]geoMap (32)'!$A:$C,3,0)</f>
        <v>#REF!</v>
      </c>
      <c r="AI111" s="1" t="e">
        <f>AH111/VLOOKUP(A111,'[36]geoMap (33)'!$A:$B,2,0)*VLOOKUP(A111,'[36]geoMap (33)'!$A:$C,3,0)</f>
        <v>#REF!</v>
      </c>
      <c r="AJ111" s="1" t="e">
        <f>AI111/VLOOKUP(A111,'[37]geoMap (34)'!$A:$B,2,0)*VLOOKUP(A111,'[37]geoMap (34)'!$A:$C,3,0)</f>
        <v>#REF!</v>
      </c>
      <c r="AK111" s="1" t="e">
        <f>AJ111/VLOOKUP(A111,'[38]geoMap (35)'!$A:$B,2,0)*VLOOKUP(A111,'[38]geoMap (35)'!$A:$C,3,0)</f>
        <v>#REF!</v>
      </c>
      <c r="AL111" s="1" t="e">
        <f>AK111/VLOOKUP(A111,'[39]geoMap (36)'!$A:$B,2,0)*VLOOKUP(A111,'[39]geoMap (36)'!$A:$C,3,0)</f>
        <v>#REF!</v>
      </c>
      <c r="AM111" s="1" t="e">
        <f>AL111/VLOOKUP(A111,'[40]geoMap (37)'!$A:$B,2,0)*VLOOKUP(A111,'[40]geoMap (37)'!$A:$C,3,0)</f>
        <v>#REF!</v>
      </c>
      <c r="AN111" s="1" t="e">
        <f>AM111/VLOOKUP(A111,'[41]geoMap (38)'!$A:$B,2,0)*VLOOKUP(A111,'[41]geoMap (38)'!$A:$C,3,0)</f>
        <v>#REF!</v>
      </c>
      <c r="AO111" s="1" t="e">
        <f>AN111/VLOOKUP(A111,'[42]geoMap (39)'!$A:$B,2,0)*VLOOKUP(A111,'[42]geoMap (39)'!$A:$C,3,0)</f>
        <v>#REF!</v>
      </c>
      <c r="AP111" s="1" t="e">
        <f>AO111/VLOOKUP(A111,'[43]geoMap (40)'!$A:$B,2,0)*VLOOKUP(A111,'[43]geoMap (40)'!$A:$C,3,0)</f>
        <v>#REF!</v>
      </c>
      <c r="AQ111" s="1" t="e">
        <f>AP111/VLOOKUP(A111,'[44]geoMap (41)'!$A:$B,2,0)*VLOOKUP(A111,'[44]geoMap (41)'!$A:$C,3,0)</f>
        <v>#REF!</v>
      </c>
      <c r="AR111" s="1" t="e">
        <f>AQ111/VLOOKUP(A111,'[45]geoMap (42)'!$A:$B,2,0)*VLOOKUP(A111,'[45]geoMap (42)'!$A:$C,3,0)</f>
        <v>#REF!</v>
      </c>
      <c r="AS111" s="1" t="e">
        <f>AR111/VLOOKUP(A111,'[46]geoMap (43)'!$A:$B,2,0)*VLOOKUP(A111,'[46]geoMap (43)'!$A:$C,3,0)</f>
        <v>#REF!</v>
      </c>
      <c r="AT111" s="1" t="e">
        <f>AS111/VLOOKUP(A111,'[47]geoMap (44)'!$A:$B,2,0)*VLOOKUP(A111,'[47]geoMap (44)'!$A:$C,3,0)</f>
        <v>#REF!</v>
      </c>
      <c r="AU111" s="1" t="e">
        <f>AT111/VLOOKUP(A111,'[48]geoMap (45)'!$A:$B,2,0)*VLOOKUP(A111,'[48]geoMap (45)'!$A:$C,3,0)</f>
        <v>#REF!</v>
      </c>
      <c r="AV111" s="1" t="e">
        <f>AU111/VLOOKUP(A111,'[49]geoMap (46)'!$A:$B,2,0)*VLOOKUP(A111,'[49]geoMap (46)'!$A:$C,3,0)</f>
        <v>#REF!</v>
      </c>
      <c r="AW111" s="1" t="e">
        <f>AV111/VLOOKUP(A111,'[50]geoMap (47)'!$A:$B,2,0)*VLOOKUP(A111,'[50]geoMap (47)'!$A:$C,3,0)</f>
        <v>#REF!</v>
      </c>
      <c r="AX111" s="4" t="e">
        <f>AW111/VLOOKUP(A111,'[51]geoMap (48)'!$A:$B,2,0)*VLOOKUP(A111,'[51]geoMap (48)'!$A:$C,3,0)</f>
        <v>#REF!</v>
      </c>
      <c r="AY111" s="1" t="e">
        <f>AX111/VLOOKUP(A111,'[52]geoMap (49)'!$A:$B,2,0)*VLOOKUP(A111,'[52]geoMap (49)'!$A:$C,3,0)</f>
        <v>#REF!</v>
      </c>
      <c r="AZ111" s="4" t="e">
        <f>AY111/VLOOKUP(A111,'[53]geoMap (50)'!$A:$B,2,0)*VLOOKUP(A111,'[53]geoMap (50)'!$A:$C,3,0)</f>
        <v>#REF!</v>
      </c>
      <c r="BA111" s="1" t="e">
        <f>AZ111/VLOOKUP(A111,'[54]geoMap (51)'!$A:$B,2,0)*VLOOKUP(A111,'[54]geoMap (51)'!$A:$C,3,0)</f>
        <v>#REF!</v>
      </c>
      <c r="BB111" s="4" t="e">
        <f>BA111/VLOOKUP(A111,'[55]geoMap (52)'!$A:$B,2,0)*VLOOKUP(A111,'[55]geoMap (52)'!$A:$C,3,0)</f>
        <v>#REF!</v>
      </c>
      <c r="BC111" s="1" t="e">
        <f>BB111/VLOOKUP(A111,'[56]geoMap (53)'!$A:$B,2,0)*VLOOKUP(A111,'[56]geoMap (53)'!$A:$C,3,0)</f>
        <v>#REF!</v>
      </c>
      <c r="BD111" s="4" t="e">
        <f>BC111/VLOOKUP(A111,'[57]geoMap (54)'!$A:$B,2,0)*VLOOKUP(A111,'[57]geoMap (54)'!$A:$C,3,0)</f>
        <v>#REF!</v>
      </c>
      <c r="BE111" s="1" t="e">
        <f>BD111/VLOOKUP(A111,'[58]geoMap (55)'!$A:$B,2,0)*VLOOKUP(A111,'[58]geoMap (55)'!$A:$C,3,0)</f>
        <v>#REF!</v>
      </c>
      <c r="BF111" s="4" t="e">
        <f>BE111/VLOOKUP(A111,'[59]geoMap (56)'!$A:$B,2,0)*VLOOKUP(A111,'[59]geoMap (56)'!$A:$C,3,0)</f>
        <v>#REF!</v>
      </c>
      <c r="BG111" s="1" t="e">
        <f>BF111/VLOOKUP(A111,'[60]geoMap (57)'!$A:$B,2,0)*VLOOKUP(A111,'[60]geoMap (57)'!$A:$C,3,0)</f>
        <v>#REF!</v>
      </c>
      <c r="BH111" s="4" t="e">
        <f>BG111/VLOOKUP(A111,'[61]geoMap (58)'!$A:$B,2,0)*VLOOKUP(A111,'[61]geoMap (58)'!$A:$C,3,0)</f>
        <v>#REF!</v>
      </c>
      <c r="BI111" s="1" t="e">
        <f>BH111/VLOOKUP(A111,'[62]geoMap (59)'!$A:$B,2,0)*VLOOKUP(A111,'[62]geoMap (59)'!$A:$C,3,0)</f>
        <v>#REF!</v>
      </c>
      <c r="BJ111" s="4" t="e">
        <f>BI111/VLOOKUP(A111,'[63]geoMap (60)'!$A:$B,2,0)*VLOOKUP(A111,'[63]geoMap (60)'!$A:$C,3,0)</f>
        <v>#REF!</v>
      </c>
      <c r="BK111" s="1" t="e">
        <f>BJ111/VLOOKUP(A111,'[64]geoMap (61)'!$A:$B,2,0)*VLOOKUP(A111,'[64]geoMap (61)'!$A:$C,3,0)</f>
        <v>#REF!</v>
      </c>
      <c r="BL111" s="4" t="e">
        <f>BK111/VLOOKUP(A111,'[65]geoMap (62)'!$A:$B,2,0)*VLOOKUP(A111,'[65]geoMap (62)'!$A:$C,3,0)</f>
        <v>#REF!</v>
      </c>
      <c r="BM111" s="1" t="e">
        <f>BL111/VLOOKUP(A111,'[66]geoMap (63)'!$A:$B,2,0)*VLOOKUP(A111,'[66]geoMap (63)'!$A:$C,3,0)</f>
        <v>#REF!</v>
      </c>
      <c r="BN111" s="4" t="e">
        <f>BM111/VLOOKUP(A111,'[67]geoMap (64)'!$A:$B,2,0)*VLOOKUP(A111,'[67]geoMap (64)'!$A:$C,3,0)</f>
        <v>#REF!</v>
      </c>
      <c r="BO111" s="1" t="e">
        <f>BN111/VLOOKUP(A111,'[68]geoMap (65)'!$A:$B,2,0)*VLOOKUP(A111,'[68]geoMap (65)'!$A:$C,3,0)</f>
        <v>#REF!</v>
      </c>
      <c r="BP111" s="4" t="e">
        <f>BO111/VLOOKUP(A111,'[69]geoMap (66)'!$A:$B,2,0)*VLOOKUP(A111,'[69]geoMap (66)'!$A:$C,3,0)</f>
        <v>#REF!</v>
      </c>
    </row>
    <row r="112" spans="1:68" x14ac:dyDescent="0.2">
      <c r="A112" s="1" t="s">
        <v>58</v>
      </c>
      <c r="B112" s="1" t="e">
        <f>VLOOKUP(A112,[3]geoMap!$A:$B,2,0)*Notes!$C$6</f>
        <v>#REF!</v>
      </c>
      <c r="C112" s="1" t="e">
        <f>B112/VLOOKUP(A112,'[4]geoMap (1)'!$A:$B,2,0)*VLOOKUP(A112,'[4]geoMap (1)'!$A:$C,3,0)</f>
        <v>#REF!</v>
      </c>
      <c r="D112" s="1" t="e">
        <f>C112/VLOOKUP(A112,'[5]geoMap (2)'!$A:$B,2,0)*VLOOKUP(A112,'[5]geoMap (2)'!$A:$C,3,0)</f>
        <v>#REF!</v>
      </c>
      <c r="E112" s="1" t="e">
        <f>D112/VLOOKUP(A112,'[6]geoMap (3)'!$A:$B,2,0)*VLOOKUP(A112,'[6]geoMap (3)'!$A:$C,3,0)</f>
        <v>#REF!</v>
      </c>
      <c r="F112" s="1" t="e">
        <f>E112/VLOOKUP(A112,'[7]geoMap (4)'!$A:$B,2,0)*VLOOKUP(A112,'[7]geoMap (4)'!$A:$C,3,0)</f>
        <v>#REF!</v>
      </c>
      <c r="G112" s="1" t="e">
        <f>F112/VLOOKUP(A112,'[8]geoMap (5)'!$A:$B,2,0)*VLOOKUP(A112,'[8]geoMap (5)'!$A:$C,3,0)</f>
        <v>#REF!</v>
      </c>
      <c r="H112" s="1" t="e">
        <f>G112/VLOOKUP(A112,'[9]geoMap (6)'!$A:$B,2,0)*VLOOKUP(A112,'[9]geoMap (6)'!$A:$C,3,0)</f>
        <v>#REF!</v>
      </c>
      <c r="I112" s="1" t="e">
        <f>H112/VLOOKUP(A112,'[10]geoMap (7)'!$A:$B,2,0)*VLOOKUP(A112,'[10]geoMap (7)'!$A:$C,3,0)</f>
        <v>#REF!</v>
      </c>
      <c r="J112" s="1" t="e">
        <f>I112/VLOOKUP(A112,'[11]geoMap (8)'!$A:$B,2,0)*VLOOKUP(A112,'[11]geoMap (8)'!$A:$C,3,0)</f>
        <v>#REF!</v>
      </c>
      <c r="K112" s="1" t="e">
        <f>J112/VLOOKUP(A112,'[12]geoMap (9)'!$A:$B,2,0)*VLOOKUP(A112,'[12]geoMap (9)'!$A:$C,3,0)</f>
        <v>#REF!</v>
      </c>
      <c r="L112" s="1" t="e">
        <f>K112/VLOOKUP(A112,'[13]geoMap (10)'!$A:$B,2,0)*VLOOKUP(A112,'[13]geoMap (10)'!$A:$C,3,0)</f>
        <v>#REF!</v>
      </c>
      <c r="M112" s="1" t="e">
        <f>L112/VLOOKUP(A112,'[14]geoMap (11)'!$A:$B,2,0)*VLOOKUP(A112,'[14]geoMap (11)'!$A:$C,3,0)</f>
        <v>#REF!</v>
      </c>
      <c r="N112" s="1" t="e">
        <f>M112/VLOOKUP(A112,'[15]geoMap (12)'!$A:$B,2,0)*VLOOKUP(A112,'[15]geoMap (12)'!$A:$C,3,0)</f>
        <v>#REF!</v>
      </c>
      <c r="O112" s="1" t="e">
        <f>N112/VLOOKUP(A112,'[16]geoMap (13)'!$A:$B,2,0)*VLOOKUP(A112,'[16]geoMap (13)'!$A:$C,3,0)</f>
        <v>#REF!</v>
      </c>
      <c r="P112" s="1" t="e">
        <f>O112/VLOOKUP(A112,'[17]geoMap (14)'!$A:$B,2,0)*VLOOKUP(A112,'[17]geoMap (14)'!$A:$C,3,0)</f>
        <v>#REF!</v>
      </c>
      <c r="Q112" s="1" t="e">
        <f>P112/VLOOKUP(A112,'[18]geoMap (15)'!$A:$B,2,0)*VLOOKUP(A112,'[18]geoMap (15)'!$A:$C,3,0)</f>
        <v>#REF!</v>
      </c>
      <c r="R112" s="1" t="e">
        <f>Q112/VLOOKUP(A112,'[19]geoMap (16)'!$A:$B,2,0)*VLOOKUP(A112,'[19]geoMap (16)'!$A:$C,3,0)</f>
        <v>#REF!</v>
      </c>
      <c r="S112" s="1" t="e">
        <f>R112/VLOOKUP(A112,'[20]geoMap (17)'!$A:$B,2,0)*VLOOKUP(A112,'[20]geoMap (17)'!$A:$C,3,0)</f>
        <v>#REF!</v>
      </c>
      <c r="T112" s="1" t="e">
        <f>S112/VLOOKUP(A112,'[21]geoMap (18)'!$A:$B,2,0)*VLOOKUP(A112,'[21]geoMap (18)'!$A:$C,3,0)</f>
        <v>#REF!</v>
      </c>
      <c r="U112" s="1" t="e">
        <f>T112/VLOOKUP(A112,'[22]geoMap (19)'!$A:$B,2,0)*VLOOKUP(A112,'[22]geoMap (19)'!$A:$C,3,0)</f>
        <v>#REF!</v>
      </c>
      <c r="V112" s="1" t="e">
        <f>U112/VLOOKUP(A112,'[23]geoMap (20)'!$A:$B,2,0)*VLOOKUP(A112,'[23]geoMap (20)'!$A:$C,3,0)</f>
        <v>#REF!</v>
      </c>
      <c r="W112" s="1" t="e">
        <f>V112/VLOOKUP(A112,'[24]geoMap (21)'!$A:$B,2,0)*VLOOKUP(A112,'[24]geoMap (21)'!$A:$C,3,0)</f>
        <v>#REF!</v>
      </c>
      <c r="X112" s="1" t="e">
        <f>W112/VLOOKUP(A112,'[25]geoMap (22)'!$A:$B,2,0)*VLOOKUP(A112,'[25]geoMap (22)'!$A:$C,3,0)</f>
        <v>#REF!</v>
      </c>
      <c r="Y112" s="1" t="e">
        <f>X112/VLOOKUP(A112,'[26]geoMap (23)'!$A:$B,2,0)*VLOOKUP(A112,'[26]geoMap (23)'!$A:$C,3,0)</f>
        <v>#REF!</v>
      </c>
      <c r="Z112" s="1" t="e">
        <f>Y112/VLOOKUP(A112,'[27]geoMap (24)'!$A:$B,2,0)*VLOOKUP(A112,'[27]geoMap (24)'!$A:$C,3,0)</f>
        <v>#REF!</v>
      </c>
      <c r="AA112" s="1" t="e">
        <f>Z112/VLOOKUP(A112,'[28]geoMap (25)'!$A:$B,2,0)*VLOOKUP(A112,'[28]geoMap (25)'!$A:$C,3,0)</f>
        <v>#REF!</v>
      </c>
      <c r="AB112" s="1" t="e">
        <f>AA112*VLOOKUP(A112,'[29]geoMap (26)'!$A:$B,2,0)*VLOOKUP(A112,'[29]geoMap (26)'!$A:$C,3,0)</f>
        <v>#REF!</v>
      </c>
      <c r="AC112" s="1" t="e">
        <f>AB112/VLOOKUP(A112,'[30]geoMap (27)'!$A:$B,2,0)*VLOOKUP(A112,'[30]geoMap (27)'!$A:$C,3,0)</f>
        <v>#REF!</v>
      </c>
      <c r="AD112" s="1" t="e">
        <f>AC112/VLOOKUP(A112,'[31]geoMap (28)'!$A:$B,2,0)*VLOOKUP(A112,'[31]geoMap (28)'!$A:$C,3,0)</f>
        <v>#REF!</v>
      </c>
      <c r="AE112" s="1" t="e">
        <f>AD112/VLOOKUP(A112,'[32]geoMap (29)'!$A:$B,2,0)*VLOOKUP(A112,'[32]geoMap (29)'!$A:$C,3,0)</f>
        <v>#REF!</v>
      </c>
      <c r="AF112" s="1" t="e">
        <f>AE112/VLOOKUP(A112,'[33]geoMap (30)'!$A:$B,2,0)*VLOOKUP(A112,'[33]geoMap (30)'!$A:$C,3,0)</f>
        <v>#REF!</v>
      </c>
      <c r="AG112" s="1" t="e">
        <f>AF112/VLOOKUP(A112,'[34]geoMap (31)'!$A:$B,2,0)*VLOOKUP(A112,'[34]geoMap (31)'!$A:$C,3,0)</f>
        <v>#REF!</v>
      </c>
      <c r="AH112" s="1" t="e">
        <f>AG112/VLOOKUP(A112,'[35]geoMap (32)'!$A:$B,2,0)*VLOOKUP(A112,'[35]geoMap (32)'!$A:$C,3,0)</f>
        <v>#REF!</v>
      </c>
      <c r="AI112" s="1" t="e">
        <f>AH112/VLOOKUP(A112,'[36]geoMap (33)'!$A:$B,2,0)*VLOOKUP(A112,'[36]geoMap (33)'!$A:$C,3,0)</f>
        <v>#REF!</v>
      </c>
      <c r="AJ112" s="1" t="e">
        <f>AI112/VLOOKUP(A112,'[37]geoMap (34)'!$A:$B,2,0)*VLOOKUP(A112,'[37]geoMap (34)'!$A:$C,3,0)</f>
        <v>#REF!</v>
      </c>
      <c r="AK112" s="1" t="e">
        <f>AJ112/VLOOKUP(A112,'[38]geoMap (35)'!$A:$B,2,0)*VLOOKUP(A112,'[38]geoMap (35)'!$A:$C,3,0)</f>
        <v>#REF!</v>
      </c>
      <c r="AL112" s="1" t="e">
        <f>AK112/VLOOKUP(A112,'[39]geoMap (36)'!$A:$B,2,0)*VLOOKUP(A112,'[39]geoMap (36)'!$A:$C,3,0)</f>
        <v>#REF!</v>
      </c>
      <c r="AM112" s="1" t="e">
        <f>AL112/VLOOKUP(A112,'[40]geoMap (37)'!$A:$B,2,0)*VLOOKUP(A112,'[40]geoMap (37)'!$A:$C,3,0)</f>
        <v>#REF!</v>
      </c>
      <c r="AN112" s="1" t="e">
        <f>AM112/VLOOKUP(A112,'[41]geoMap (38)'!$A:$B,2,0)*VLOOKUP(A112,'[41]geoMap (38)'!$A:$C,3,0)</f>
        <v>#REF!</v>
      </c>
      <c r="AO112" s="1" t="e">
        <f>AN112/VLOOKUP(A112,'[42]geoMap (39)'!$A:$B,2,0)*VLOOKUP(A112,'[42]geoMap (39)'!$A:$C,3,0)</f>
        <v>#REF!</v>
      </c>
      <c r="AP112" s="1" t="e">
        <f>AO112/VLOOKUP(A112,'[43]geoMap (40)'!$A:$B,2,0)*VLOOKUP(A112,'[43]geoMap (40)'!$A:$C,3,0)</f>
        <v>#REF!</v>
      </c>
      <c r="AQ112" s="1" t="e">
        <f>AP112/VLOOKUP(A112,'[44]geoMap (41)'!$A:$B,2,0)*VLOOKUP(A112,'[44]geoMap (41)'!$A:$C,3,0)</f>
        <v>#REF!</v>
      </c>
      <c r="AR112" s="1" t="e">
        <f>AQ112/VLOOKUP(A112,'[45]geoMap (42)'!$A:$B,2,0)*VLOOKUP(A112,'[45]geoMap (42)'!$A:$C,3,0)</f>
        <v>#REF!</v>
      </c>
      <c r="AS112" s="1" t="e">
        <f>AR112/VLOOKUP(A112,'[46]geoMap (43)'!$A:$B,2,0)*VLOOKUP(A112,'[46]geoMap (43)'!$A:$C,3,0)</f>
        <v>#REF!</v>
      </c>
      <c r="AT112" s="1" t="e">
        <f>AS112/VLOOKUP(A112,'[47]geoMap (44)'!$A:$B,2,0)*VLOOKUP(A112,'[47]geoMap (44)'!$A:$C,3,0)</f>
        <v>#REF!</v>
      </c>
      <c r="AU112" s="1" t="e">
        <f>AT112/VLOOKUP(A112,'[48]geoMap (45)'!$A:$B,2,0)*VLOOKUP(A112,'[48]geoMap (45)'!$A:$C,3,0)</f>
        <v>#REF!</v>
      </c>
      <c r="AV112" s="1" t="e">
        <f>AU112/VLOOKUP(A112,'[49]geoMap (46)'!$A:$B,2,0)*VLOOKUP(A112,'[49]geoMap (46)'!$A:$C,3,0)</f>
        <v>#REF!</v>
      </c>
      <c r="AW112" s="1" t="e">
        <f>AV112/VLOOKUP(A112,'[50]geoMap (47)'!$A:$B,2,0)*VLOOKUP(A112,'[50]geoMap (47)'!$A:$C,3,0)</f>
        <v>#REF!</v>
      </c>
      <c r="AX112" s="4" t="e">
        <f>AW112/VLOOKUP(A112,'[51]geoMap (48)'!$A:$B,2,0)*VLOOKUP(A112,'[51]geoMap (48)'!$A:$C,3,0)</f>
        <v>#REF!</v>
      </c>
      <c r="AY112" s="1" t="e">
        <f>AX112/VLOOKUP(A112,'[52]geoMap (49)'!$A:$B,2,0)*VLOOKUP(A112,'[52]geoMap (49)'!$A:$C,3,0)</f>
        <v>#REF!</v>
      </c>
      <c r="AZ112" s="4" t="e">
        <f>AY112/VLOOKUP(A112,'[53]geoMap (50)'!$A:$B,2,0)*VLOOKUP(A112,'[53]geoMap (50)'!$A:$C,3,0)</f>
        <v>#REF!</v>
      </c>
      <c r="BA112" s="1" t="e">
        <f>AZ112/VLOOKUP(A112,'[54]geoMap (51)'!$A:$B,2,0)*VLOOKUP(A112,'[54]geoMap (51)'!$A:$C,3,0)</f>
        <v>#REF!</v>
      </c>
      <c r="BB112" s="4" t="e">
        <f>BA112/VLOOKUP(A112,'[55]geoMap (52)'!$A:$B,2,0)*VLOOKUP(A112,'[55]geoMap (52)'!$A:$C,3,0)</f>
        <v>#REF!</v>
      </c>
      <c r="BC112" s="1" t="e">
        <f>BB112/VLOOKUP(A112,'[56]geoMap (53)'!$A:$B,2,0)*VLOOKUP(A112,'[56]geoMap (53)'!$A:$C,3,0)</f>
        <v>#REF!</v>
      </c>
      <c r="BD112" s="4" t="e">
        <f>BC112/VLOOKUP(A112,'[57]geoMap (54)'!$A:$B,2,0)*VLOOKUP(A112,'[57]geoMap (54)'!$A:$C,3,0)</f>
        <v>#REF!</v>
      </c>
      <c r="BE112" s="1" t="e">
        <f>BD112/VLOOKUP(A112,'[58]geoMap (55)'!$A:$B,2,0)*VLOOKUP(A112,'[58]geoMap (55)'!$A:$C,3,0)</f>
        <v>#REF!</v>
      </c>
      <c r="BF112" s="4" t="e">
        <f>BE112/VLOOKUP(A112,'[59]geoMap (56)'!$A:$B,2,0)*VLOOKUP(A112,'[59]geoMap (56)'!$A:$C,3,0)</f>
        <v>#REF!</v>
      </c>
      <c r="BG112" s="1" t="e">
        <f>BF112/VLOOKUP(A112,'[60]geoMap (57)'!$A:$B,2,0)*VLOOKUP(A112,'[60]geoMap (57)'!$A:$C,3,0)</f>
        <v>#REF!</v>
      </c>
      <c r="BH112" s="4" t="e">
        <f>BG112/VLOOKUP(A112,'[61]geoMap (58)'!$A:$B,2,0)*VLOOKUP(A112,'[61]geoMap (58)'!$A:$C,3,0)</f>
        <v>#REF!</v>
      </c>
      <c r="BI112" s="1" t="e">
        <f>BH112/VLOOKUP(A112,'[62]geoMap (59)'!$A:$B,2,0)*VLOOKUP(A112,'[62]geoMap (59)'!$A:$C,3,0)</f>
        <v>#REF!</v>
      </c>
      <c r="BJ112" s="4" t="e">
        <f>BI112/VLOOKUP(A112,'[63]geoMap (60)'!$A:$B,2,0)*VLOOKUP(A112,'[63]geoMap (60)'!$A:$C,3,0)</f>
        <v>#REF!</v>
      </c>
      <c r="BK112" s="1" t="e">
        <f>BJ112/VLOOKUP(A112,'[64]geoMap (61)'!$A:$B,2,0)*VLOOKUP(A112,'[64]geoMap (61)'!$A:$C,3,0)</f>
        <v>#REF!</v>
      </c>
      <c r="BL112" s="4" t="e">
        <f>BK112/VLOOKUP(A112,'[65]geoMap (62)'!$A:$B,2,0)*VLOOKUP(A112,'[65]geoMap (62)'!$A:$C,3,0)</f>
        <v>#REF!</v>
      </c>
      <c r="BM112" s="1" t="e">
        <f>BL112/VLOOKUP(A112,'[66]geoMap (63)'!$A:$B,2,0)*VLOOKUP(A112,'[66]geoMap (63)'!$A:$C,3,0)</f>
        <v>#REF!</v>
      </c>
      <c r="BN112" s="4" t="e">
        <f>BM112/VLOOKUP(A112,'[67]geoMap (64)'!$A:$B,2,0)*VLOOKUP(A112,'[67]geoMap (64)'!$A:$C,3,0)</f>
        <v>#REF!</v>
      </c>
      <c r="BO112" s="1" t="e">
        <f>BN112/VLOOKUP(A112,'[68]geoMap (65)'!$A:$B,2,0)*VLOOKUP(A112,'[68]geoMap (65)'!$A:$C,3,0)</f>
        <v>#REF!</v>
      </c>
      <c r="BP112" s="4" t="e">
        <f>BO112/VLOOKUP(A112,'[69]geoMap (66)'!$A:$B,2,0)*VLOOKUP(A112,'[69]geoMap (66)'!$A:$C,3,0)</f>
        <v>#REF!</v>
      </c>
    </row>
    <row r="113" spans="1:68" x14ac:dyDescent="0.2">
      <c r="A113" s="1" t="s">
        <v>59</v>
      </c>
      <c r="B113" s="1" t="e">
        <f>VLOOKUP(A113,[3]geoMap!$A:$B,2,0)*Notes!$C$6</f>
        <v>#REF!</v>
      </c>
      <c r="C113" s="1" t="e">
        <f>B113/VLOOKUP(A113,'[4]geoMap (1)'!$A:$B,2,0)*VLOOKUP(A113,'[4]geoMap (1)'!$A:$C,3,0)</f>
        <v>#REF!</v>
      </c>
      <c r="D113" s="1" t="e">
        <f>C113/VLOOKUP(A113,'[5]geoMap (2)'!$A:$B,2,0)*VLOOKUP(A113,'[5]geoMap (2)'!$A:$C,3,0)</f>
        <v>#REF!</v>
      </c>
      <c r="E113" s="1" t="e">
        <f>D113/VLOOKUP(A113,'[6]geoMap (3)'!$A:$B,2,0)*VLOOKUP(A113,'[6]geoMap (3)'!$A:$C,3,0)</f>
        <v>#REF!</v>
      </c>
      <c r="F113" s="1" t="e">
        <f>E113/VLOOKUP(A113,'[7]geoMap (4)'!$A:$B,2,0)*VLOOKUP(A113,'[7]geoMap (4)'!$A:$C,3,0)</f>
        <v>#REF!</v>
      </c>
      <c r="G113" s="1" t="e">
        <f>F113/VLOOKUP(A113,'[8]geoMap (5)'!$A:$B,2,0)*VLOOKUP(A113,'[8]geoMap (5)'!$A:$C,3,0)</f>
        <v>#REF!</v>
      </c>
      <c r="H113" s="1" t="e">
        <f>G113/VLOOKUP(A113,'[9]geoMap (6)'!$A:$B,2,0)*VLOOKUP(A113,'[9]geoMap (6)'!$A:$C,3,0)</f>
        <v>#REF!</v>
      </c>
      <c r="I113" s="1" t="e">
        <f>H113/VLOOKUP(A113,'[10]geoMap (7)'!$A:$B,2,0)*VLOOKUP(A113,'[10]geoMap (7)'!$A:$C,3,0)</f>
        <v>#REF!</v>
      </c>
      <c r="J113" s="1" t="e">
        <f>I113/VLOOKUP(A113,'[11]geoMap (8)'!$A:$B,2,0)*VLOOKUP(A113,'[11]geoMap (8)'!$A:$C,3,0)</f>
        <v>#REF!</v>
      </c>
      <c r="K113" s="1" t="e">
        <f>J113/VLOOKUP(A113,'[12]geoMap (9)'!$A:$B,2,0)*VLOOKUP(A113,'[12]geoMap (9)'!$A:$C,3,0)</f>
        <v>#REF!</v>
      </c>
      <c r="L113" s="1" t="e">
        <f>K113/VLOOKUP(A113,'[13]geoMap (10)'!$A:$B,2,0)*VLOOKUP(A113,'[13]geoMap (10)'!$A:$C,3,0)</f>
        <v>#REF!</v>
      </c>
      <c r="M113" s="1" t="e">
        <f>L113/VLOOKUP(A113,'[14]geoMap (11)'!$A:$B,2,0)*VLOOKUP(A113,'[14]geoMap (11)'!$A:$C,3,0)</f>
        <v>#REF!</v>
      </c>
      <c r="N113" s="1" t="e">
        <f>M113/VLOOKUP(A113,'[15]geoMap (12)'!$A:$B,2,0)*VLOOKUP(A113,'[15]geoMap (12)'!$A:$C,3,0)</f>
        <v>#REF!</v>
      </c>
      <c r="O113" s="1" t="e">
        <f>N113/VLOOKUP(A113,'[16]geoMap (13)'!$A:$B,2,0)*VLOOKUP(A113,'[16]geoMap (13)'!$A:$C,3,0)</f>
        <v>#REF!</v>
      </c>
      <c r="P113" s="1" t="e">
        <f>O113/VLOOKUP(A113,'[17]geoMap (14)'!$A:$B,2,0)*VLOOKUP(A113,'[17]geoMap (14)'!$A:$C,3,0)</f>
        <v>#REF!</v>
      </c>
      <c r="Q113" s="1" t="e">
        <f>P113/VLOOKUP(A113,'[18]geoMap (15)'!$A:$B,2,0)*VLOOKUP(A113,'[18]geoMap (15)'!$A:$C,3,0)</f>
        <v>#REF!</v>
      </c>
      <c r="R113" s="1" t="e">
        <f>Q113/VLOOKUP(A113,'[19]geoMap (16)'!$A:$B,2,0)*VLOOKUP(A113,'[19]geoMap (16)'!$A:$C,3,0)</f>
        <v>#REF!</v>
      </c>
      <c r="S113" s="1" t="e">
        <f>R113/VLOOKUP(A113,'[20]geoMap (17)'!$A:$B,2,0)*VLOOKUP(A113,'[20]geoMap (17)'!$A:$C,3,0)</f>
        <v>#REF!</v>
      </c>
      <c r="T113" s="1" t="e">
        <f>S113/VLOOKUP(A113,'[21]geoMap (18)'!$A:$B,2,0)*VLOOKUP(A113,'[21]geoMap (18)'!$A:$C,3,0)</f>
        <v>#REF!</v>
      </c>
      <c r="U113" s="1" t="e">
        <f>T113/VLOOKUP(A113,'[22]geoMap (19)'!$A:$B,2,0)*VLOOKUP(A113,'[22]geoMap (19)'!$A:$C,3,0)</f>
        <v>#REF!</v>
      </c>
      <c r="V113" s="1" t="e">
        <f>U113/VLOOKUP(A113,'[23]geoMap (20)'!$A:$B,2,0)*VLOOKUP(A113,'[23]geoMap (20)'!$A:$C,3,0)</f>
        <v>#REF!</v>
      </c>
      <c r="W113" s="1" t="e">
        <f>V113/VLOOKUP(A113,'[24]geoMap (21)'!$A:$B,2,0)*VLOOKUP(A113,'[24]geoMap (21)'!$A:$C,3,0)</f>
        <v>#REF!</v>
      </c>
      <c r="X113" s="1" t="e">
        <f>W113/VLOOKUP(A113,'[25]geoMap (22)'!$A:$B,2,0)*VLOOKUP(A113,'[25]geoMap (22)'!$A:$C,3,0)</f>
        <v>#REF!</v>
      </c>
      <c r="Y113" s="1" t="e">
        <f>X113/VLOOKUP(A113,'[26]geoMap (23)'!$A:$B,2,0)*VLOOKUP(A113,'[26]geoMap (23)'!$A:$C,3,0)</f>
        <v>#REF!</v>
      </c>
      <c r="Z113" s="1" t="e">
        <f>Y113/VLOOKUP(A113,'[27]geoMap (24)'!$A:$B,2,0)*VLOOKUP(A113,'[27]geoMap (24)'!$A:$C,3,0)</f>
        <v>#REF!</v>
      </c>
      <c r="AA113" s="1" t="e">
        <f>Z113/VLOOKUP(A113,'[28]geoMap (25)'!$A:$B,2,0)*VLOOKUP(A113,'[28]geoMap (25)'!$A:$C,3,0)</f>
        <v>#REF!</v>
      </c>
      <c r="AB113" s="1" t="e">
        <f>AA113*VLOOKUP(A113,'[29]geoMap (26)'!$A:$B,2,0)*VLOOKUP(A113,'[29]geoMap (26)'!$A:$C,3,0)</f>
        <v>#REF!</v>
      </c>
      <c r="AC113" s="1" t="e">
        <f>AB113/VLOOKUP(A113,'[30]geoMap (27)'!$A:$B,2,0)*VLOOKUP(A113,'[30]geoMap (27)'!$A:$C,3,0)</f>
        <v>#REF!</v>
      </c>
      <c r="AD113" s="1" t="e">
        <f>AC113/VLOOKUP(A113,'[31]geoMap (28)'!$A:$B,2,0)*VLOOKUP(A113,'[31]geoMap (28)'!$A:$C,3,0)</f>
        <v>#REF!</v>
      </c>
      <c r="AE113" s="1" t="e">
        <f>AD113/VLOOKUP(A113,'[32]geoMap (29)'!$A:$B,2,0)*VLOOKUP(A113,'[32]geoMap (29)'!$A:$C,3,0)</f>
        <v>#REF!</v>
      </c>
      <c r="AF113" s="1" t="e">
        <f>AE113/VLOOKUP(A113,'[33]geoMap (30)'!$A:$B,2,0)*VLOOKUP(A113,'[33]geoMap (30)'!$A:$C,3,0)</f>
        <v>#REF!</v>
      </c>
      <c r="AG113" s="1" t="e">
        <f>AF113/VLOOKUP(A113,'[34]geoMap (31)'!$A:$B,2,0)*VLOOKUP(A113,'[34]geoMap (31)'!$A:$C,3,0)</f>
        <v>#REF!</v>
      </c>
      <c r="AH113" s="1" t="e">
        <f>AG113/VLOOKUP(A113,'[35]geoMap (32)'!$A:$B,2,0)*VLOOKUP(A113,'[35]geoMap (32)'!$A:$C,3,0)</f>
        <v>#REF!</v>
      </c>
      <c r="AI113" s="1" t="e">
        <f>AH113/VLOOKUP(A113,'[36]geoMap (33)'!$A:$B,2,0)*VLOOKUP(A113,'[36]geoMap (33)'!$A:$C,3,0)</f>
        <v>#REF!</v>
      </c>
      <c r="AJ113" s="1" t="e">
        <f>AI113/VLOOKUP(A113,'[37]geoMap (34)'!$A:$B,2,0)*VLOOKUP(A113,'[37]geoMap (34)'!$A:$C,3,0)</f>
        <v>#REF!</v>
      </c>
      <c r="AK113" s="1" t="e">
        <f>AJ113/VLOOKUP(A113,'[38]geoMap (35)'!$A:$B,2,0)*VLOOKUP(A113,'[38]geoMap (35)'!$A:$C,3,0)</f>
        <v>#REF!</v>
      </c>
      <c r="AL113" s="1" t="e">
        <f>AK113/VLOOKUP(A113,'[39]geoMap (36)'!$A:$B,2,0)*VLOOKUP(A113,'[39]geoMap (36)'!$A:$C,3,0)</f>
        <v>#REF!</v>
      </c>
      <c r="AM113" s="1" t="e">
        <f>AL113/VLOOKUP(A113,'[40]geoMap (37)'!$A:$B,2,0)*VLOOKUP(A113,'[40]geoMap (37)'!$A:$C,3,0)</f>
        <v>#REF!</v>
      </c>
      <c r="AN113" s="1" t="e">
        <f>AM113/VLOOKUP(A113,'[41]geoMap (38)'!$A:$B,2,0)*VLOOKUP(A113,'[41]geoMap (38)'!$A:$C,3,0)</f>
        <v>#REF!</v>
      </c>
      <c r="AO113" s="1" t="e">
        <f>AN113/VLOOKUP(A113,'[42]geoMap (39)'!$A:$B,2,0)*VLOOKUP(A113,'[42]geoMap (39)'!$A:$C,3,0)</f>
        <v>#REF!</v>
      </c>
      <c r="AP113" s="1" t="e">
        <f>AO113/VLOOKUP(A113,'[43]geoMap (40)'!$A:$B,2,0)*VLOOKUP(A113,'[43]geoMap (40)'!$A:$C,3,0)</f>
        <v>#REF!</v>
      </c>
      <c r="AQ113" s="1" t="e">
        <f>AP113/VLOOKUP(A113,'[44]geoMap (41)'!$A:$B,2,0)*VLOOKUP(A113,'[44]geoMap (41)'!$A:$C,3,0)</f>
        <v>#REF!</v>
      </c>
      <c r="AR113" s="1" t="e">
        <f>AQ113/VLOOKUP(A113,'[45]geoMap (42)'!$A:$B,2,0)*VLOOKUP(A113,'[45]geoMap (42)'!$A:$C,3,0)</f>
        <v>#REF!</v>
      </c>
      <c r="AS113" s="1" t="e">
        <f>AR113/VLOOKUP(A113,'[46]geoMap (43)'!$A:$B,2,0)*VLOOKUP(A113,'[46]geoMap (43)'!$A:$C,3,0)</f>
        <v>#REF!</v>
      </c>
      <c r="AT113" s="1" t="e">
        <f>AS113/VLOOKUP(A113,'[47]geoMap (44)'!$A:$B,2,0)*VLOOKUP(A113,'[47]geoMap (44)'!$A:$C,3,0)</f>
        <v>#REF!</v>
      </c>
      <c r="AU113" s="1" t="e">
        <f>AT113/VLOOKUP(A113,'[48]geoMap (45)'!$A:$B,2,0)*VLOOKUP(A113,'[48]geoMap (45)'!$A:$C,3,0)</f>
        <v>#REF!</v>
      </c>
      <c r="AV113" s="1" t="e">
        <f>AU113/VLOOKUP(A113,'[49]geoMap (46)'!$A:$B,2,0)*VLOOKUP(A113,'[49]geoMap (46)'!$A:$C,3,0)</f>
        <v>#REF!</v>
      </c>
      <c r="AW113" s="1" t="e">
        <f>AV113/VLOOKUP(A113,'[50]geoMap (47)'!$A:$B,2,0)*VLOOKUP(A113,'[50]geoMap (47)'!$A:$C,3,0)</f>
        <v>#REF!</v>
      </c>
      <c r="AX113" s="4" t="e">
        <f>AW113/VLOOKUP(A113,'[51]geoMap (48)'!$A:$B,2,0)*VLOOKUP(A113,'[51]geoMap (48)'!$A:$C,3,0)</f>
        <v>#REF!</v>
      </c>
      <c r="AY113" s="1" t="e">
        <f>AX113/VLOOKUP(A113,'[52]geoMap (49)'!$A:$B,2,0)*VLOOKUP(A113,'[52]geoMap (49)'!$A:$C,3,0)</f>
        <v>#REF!</v>
      </c>
      <c r="AZ113" s="4" t="e">
        <f>AY113/VLOOKUP(A113,'[53]geoMap (50)'!$A:$B,2,0)*VLOOKUP(A113,'[53]geoMap (50)'!$A:$C,3,0)</f>
        <v>#REF!</v>
      </c>
      <c r="BA113" s="1" t="e">
        <f>AZ113/VLOOKUP(A113,'[54]geoMap (51)'!$A:$B,2,0)*VLOOKUP(A113,'[54]geoMap (51)'!$A:$C,3,0)</f>
        <v>#REF!</v>
      </c>
      <c r="BB113" s="4" t="e">
        <f>BA113/VLOOKUP(A113,'[55]geoMap (52)'!$A:$B,2,0)*VLOOKUP(A113,'[55]geoMap (52)'!$A:$C,3,0)</f>
        <v>#REF!</v>
      </c>
      <c r="BC113" s="1" t="e">
        <f>BB113/VLOOKUP(A113,'[56]geoMap (53)'!$A:$B,2,0)*VLOOKUP(A113,'[56]geoMap (53)'!$A:$C,3,0)</f>
        <v>#REF!</v>
      </c>
      <c r="BD113" s="4" t="e">
        <f>BC113/VLOOKUP(A113,'[57]geoMap (54)'!$A:$B,2,0)*VLOOKUP(A113,'[57]geoMap (54)'!$A:$C,3,0)</f>
        <v>#REF!</v>
      </c>
      <c r="BE113" s="1" t="e">
        <f>BD113/VLOOKUP(A113,'[58]geoMap (55)'!$A:$B,2,0)*VLOOKUP(A113,'[58]geoMap (55)'!$A:$C,3,0)</f>
        <v>#REF!</v>
      </c>
      <c r="BF113" s="4" t="e">
        <f>BE113/VLOOKUP(A113,'[59]geoMap (56)'!$A:$B,2,0)*VLOOKUP(A113,'[59]geoMap (56)'!$A:$C,3,0)</f>
        <v>#REF!</v>
      </c>
      <c r="BG113" s="1" t="e">
        <f>BF113/VLOOKUP(A113,'[60]geoMap (57)'!$A:$B,2,0)*VLOOKUP(A113,'[60]geoMap (57)'!$A:$C,3,0)</f>
        <v>#REF!</v>
      </c>
      <c r="BH113" s="4" t="e">
        <f>BG113/VLOOKUP(A113,'[61]geoMap (58)'!$A:$B,2,0)*VLOOKUP(A113,'[61]geoMap (58)'!$A:$C,3,0)</f>
        <v>#REF!</v>
      </c>
      <c r="BI113" s="1" t="e">
        <f>BH113/VLOOKUP(A113,'[62]geoMap (59)'!$A:$B,2,0)*VLOOKUP(A113,'[62]geoMap (59)'!$A:$C,3,0)</f>
        <v>#REF!</v>
      </c>
      <c r="BJ113" s="4" t="e">
        <f>BI113/VLOOKUP(A113,'[63]geoMap (60)'!$A:$B,2,0)*VLOOKUP(A113,'[63]geoMap (60)'!$A:$C,3,0)</f>
        <v>#REF!</v>
      </c>
      <c r="BK113" s="1" t="e">
        <f>BJ113/VLOOKUP(A113,'[64]geoMap (61)'!$A:$B,2,0)*VLOOKUP(A113,'[64]geoMap (61)'!$A:$C,3,0)</f>
        <v>#REF!</v>
      </c>
      <c r="BL113" s="4" t="e">
        <f>BK113/VLOOKUP(A113,'[65]geoMap (62)'!$A:$B,2,0)*VLOOKUP(A113,'[65]geoMap (62)'!$A:$C,3,0)</f>
        <v>#REF!</v>
      </c>
      <c r="BM113" s="1" t="e">
        <f>BL113/VLOOKUP(A113,'[66]geoMap (63)'!$A:$B,2,0)*VLOOKUP(A113,'[66]geoMap (63)'!$A:$C,3,0)</f>
        <v>#REF!</v>
      </c>
      <c r="BN113" s="4" t="e">
        <f>BM113/VLOOKUP(A113,'[67]geoMap (64)'!$A:$B,2,0)*VLOOKUP(A113,'[67]geoMap (64)'!$A:$C,3,0)</f>
        <v>#REF!</v>
      </c>
      <c r="BO113" s="1" t="e">
        <f>BN113/VLOOKUP(A113,'[68]geoMap (65)'!$A:$B,2,0)*VLOOKUP(A113,'[68]geoMap (65)'!$A:$C,3,0)</f>
        <v>#REF!</v>
      </c>
      <c r="BP113" s="4" t="e">
        <f>BO113/VLOOKUP(A113,'[69]geoMap (66)'!$A:$B,2,0)*VLOOKUP(A113,'[69]geoMap (66)'!$A:$C,3,0)</f>
        <v>#REF!</v>
      </c>
    </row>
    <row r="114" spans="1:68" x14ac:dyDescent="0.2">
      <c r="A114" s="1" t="s">
        <v>62</v>
      </c>
      <c r="B114" s="1" t="e">
        <f>VLOOKUP(A114,[3]geoMap!$A:$B,2,0)*Notes!$C$6</f>
        <v>#REF!</v>
      </c>
      <c r="C114" s="1" t="e">
        <f>B114/VLOOKUP(A114,'[4]geoMap (1)'!$A:$B,2,0)*VLOOKUP(A114,'[4]geoMap (1)'!$A:$C,3,0)</f>
        <v>#REF!</v>
      </c>
      <c r="D114" s="1" t="e">
        <f>C114/VLOOKUP(A114,'[5]geoMap (2)'!$A:$B,2,0)*VLOOKUP(A114,'[5]geoMap (2)'!$A:$C,3,0)</f>
        <v>#REF!</v>
      </c>
      <c r="E114" s="1" t="e">
        <f>D114/VLOOKUP(A114,'[6]geoMap (3)'!$A:$B,2,0)*VLOOKUP(A114,'[6]geoMap (3)'!$A:$C,3,0)</f>
        <v>#REF!</v>
      </c>
      <c r="F114" s="1" t="e">
        <f>E114/VLOOKUP(A114,'[7]geoMap (4)'!$A:$B,2,0)*VLOOKUP(A114,'[7]geoMap (4)'!$A:$C,3,0)</f>
        <v>#REF!</v>
      </c>
      <c r="G114" s="1" t="e">
        <f>F114/VLOOKUP(A114,'[8]geoMap (5)'!$A:$B,2,0)*VLOOKUP(A114,'[8]geoMap (5)'!$A:$C,3,0)</f>
        <v>#REF!</v>
      </c>
      <c r="H114" s="1" t="e">
        <f>G114/VLOOKUP(A114,'[9]geoMap (6)'!$A:$B,2,0)*VLOOKUP(A114,'[9]geoMap (6)'!$A:$C,3,0)</f>
        <v>#REF!</v>
      </c>
      <c r="I114" s="1" t="e">
        <f>H114/VLOOKUP(A114,'[10]geoMap (7)'!$A:$B,2,0)*VLOOKUP(A114,'[10]geoMap (7)'!$A:$C,3,0)</f>
        <v>#REF!</v>
      </c>
      <c r="J114" s="1" t="e">
        <f>I114/VLOOKUP(A114,'[11]geoMap (8)'!$A:$B,2,0)*VLOOKUP(A114,'[11]geoMap (8)'!$A:$C,3,0)</f>
        <v>#REF!</v>
      </c>
      <c r="K114" s="1" t="e">
        <f>J114/VLOOKUP(A114,'[12]geoMap (9)'!$A:$B,2,0)*VLOOKUP(A114,'[12]geoMap (9)'!$A:$C,3,0)</f>
        <v>#REF!</v>
      </c>
      <c r="L114" s="1" t="e">
        <f>K114/VLOOKUP(A114,'[13]geoMap (10)'!$A:$B,2,0)*VLOOKUP(A114,'[13]geoMap (10)'!$A:$C,3,0)</f>
        <v>#REF!</v>
      </c>
      <c r="M114" s="1" t="e">
        <f>L114/VLOOKUP(A114,'[14]geoMap (11)'!$A:$B,2,0)*VLOOKUP(A114,'[14]geoMap (11)'!$A:$C,3,0)</f>
        <v>#REF!</v>
      </c>
      <c r="N114" s="1" t="e">
        <f>M114/VLOOKUP(A114,'[15]geoMap (12)'!$A:$B,2,0)*VLOOKUP(A114,'[15]geoMap (12)'!$A:$C,3,0)</f>
        <v>#REF!</v>
      </c>
      <c r="O114" s="1" t="e">
        <f>N114/VLOOKUP(A114,'[16]geoMap (13)'!$A:$B,2,0)*VLOOKUP(A114,'[16]geoMap (13)'!$A:$C,3,0)</f>
        <v>#REF!</v>
      </c>
      <c r="P114" s="1" t="e">
        <f>O114/VLOOKUP(A114,'[17]geoMap (14)'!$A:$B,2,0)*VLOOKUP(A114,'[17]geoMap (14)'!$A:$C,3,0)</f>
        <v>#REF!</v>
      </c>
      <c r="Q114" s="1" t="e">
        <f>P114/VLOOKUP(A114,'[18]geoMap (15)'!$A:$B,2,0)*VLOOKUP(A114,'[18]geoMap (15)'!$A:$C,3,0)</f>
        <v>#REF!</v>
      </c>
      <c r="R114" s="1" t="e">
        <f>Q114/VLOOKUP(A114,'[19]geoMap (16)'!$A:$B,2,0)*VLOOKUP(A114,'[19]geoMap (16)'!$A:$C,3,0)</f>
        <v>#REF!</v>
      </c>
      <c r="S114" s="1" t="e">
        <f>R114/VLOOKUP(A114,'[20]geoMap (17)'!$A:$B,2,0)*VLOOKUP(A114,'[20]geoMap (17)'!$A:$C,3,0)</f>
        <v>#REF!</v>
      </c>
      <c r="T114" s="1" t="e">
        <f>S114/VLOOKUP(A114,'[21]geoMap (18)'!$A:$B,2,0)*VLOOKUP(A114,'[21]geoMap (18)'!$A:$C,3,0)</f>
        <v>#REF!</v>
      </c>
      <c r="U114" s="1" t="e">
        <f>T114/VLOOKUP(A114,'[22]geoMap (19)'!$A:$B,2,0)*VLOOKUP(A114,'[22]geoMap (19)'!$A:$C,3,0)</f>
        <v>#REF!</v>
      </c>
      <c r="V114" s="1" t="e">
        <f>U114/VLOOKUP(A114,'[23]geoMap (20)'!$A:$B,2,0)*VLOOKUP(A114,'[23]geoMap (20)'!$A:$C,3,0)</f>
        <v>#REF!</v>
      </c>
      <c r="W114" s="1" t="e">
        <f>V114/VLOOKUP(A114,'[24]geoMap (21)'!$A:$B,2,0)*VLOOKUP(A114,'[24]geoMap (21)'!$A:$C,3,0)</f>
        <v>#REF!</v>
      </c>
      <c r="X114" s="1" t="e">
        <f>W114/VLOOKUP(A114,'[25]geoMap (22)'!$A:$B,2,0)*VLOOKUP(A114,'[25]geoMap (22)'!$A:$C,3,0)</f>
        <v>#REF!</v>
      </c>
      <c r="Y114" s="1" t="e">
        <f>X114/VLOOKUP(A114,'[26]geoMap (23)'!$A:$B,2,0)*VLOOKUP(A114,'[26]geoMap (23)'!$A:$C,3,0)</f>
        <v>#REF!</v>
      </c>
      <c r="Z114" s="1" t="e">
        <f>Y114/VLOOKUP(A114,'[27]geoMap (24)'!$A:$B,2,0)*VLOOKUP(A114,'[27]geoMap (24)'!$A:$C,3,0)</f>
        <v>#REF!</v>
      </c>
      <c r="AA114" s="1" t="e">
        <f>Z114/VLOOKUP(A114,'[28]geoMap (25)'!$A:$B,2,0)*VLOOKUP(A114,'[28]geoMap (25)'!$A:$C,3,0)</f>
        <v>#REF!</v>
      </c>
      <c r="AB114" s="1" t="e">
        <f>AA114*VLOOKUP(A114,'[29]geoMap (26)'!$A:$B,2,0)*VLOOKUP(A114,'[29]geoMap (26)'!$A:$C,3,0)</f>
        <v>#REF!</v>
      </c>
      <c r="AC114" s="1" t="e">
        <f>AB114/VLOOKUP(A114,'[30]geoMap (27)'!$A:$B,2,0)*VLOOKUP(A114,'[30]geoMap (27)'!$A:$C,3,0)</f>
        <v>#REF!</v>
      </c>
      <c r="AD114" s="1" t="e">
        <f>AC114/VLOOKUP(A114,'[31]geoMap (28)'!$A:$B,2,0)*VLOOKUP(A114,'[31]geoMap (28)'!$A:$C,3,0)</f>
        <v>#REF!</v>
      </c>
      <c r="AE114" s="1" t="e">
        <f>AD114/VLOOKUP(A114,'[32]geoMap (29)'!$A:$B,2,0)*VLOOKUP(A114,'[32]geoMap (29)'!$A:$C,3,0)</f>
        <v>#REF!</v>
      </c>
      <c r="AF114" s="1" t="e">
        <f>AE114/VLOOKUP(A114,'[33]geoMap (30)'!$A:$B,2,0)*VLOOKUP(A114,'[33]geoMap (30)'!$A:$C,3,0)</f>
        <v>#REF!</v>
      </c>
      <c r="AG114" s="1" t="e">
        <f>AF114/VLOOKUP(A114,'[34]geoMap (31)'!$A:$B,2,0)*VLOOKUP(A114,'[34]geoMap (31)'!$A:$C,3,0)</f>
        <v>#REF!</v>
      </c>
      <c r="AH114" s="1" t="e">
        <f>AG114/VLOOKUP(A114,'[35]geoMap (32)'!$A:$B,2,0)*VLOOKUP(A114,'[35]geoMap (32)'!$A:$C,3,0)</f>
        <v>#REF!</v>
      </c>
      <c r="AI114" s="1" t="e">
        <f>AH114/VLOOKUP(A114,'[36]geoMap (33)'!$A:$B,2,0)*VLOOKUP(A114,'[36]geoMap (33)'!$A:$C,3,0)</f>
        <v>#REF!</v>
      </c>
      <c r="AJ114" s="1" t="e">
        <f>AI114/VLOOKUP(A114,'[37]geoMap (34)'!$A:$B,2,0)*VLOOKUP(A114,'[37]geoMap (34)'!$A:$C,3,0)</f>
        <v>#REF!</v>
      </c>
      <c r="AK114" s="1" t="e">
        <f>AJ114/VLOOKUP(A114,'[38]geoMap (35)'!$A:$B,2,0)*VLOOKUP(A114,'[38]geoMap (35)'!$A:$C,3,0)</f>
        <v>#REF!</v>
      </c>
      <c r="AL114" s="1" t="e">
        <f>AK114/VLOOKUP(A114,'[39]geoMap (36)'!$A:$B,2,0)*VLOOKUP(A114,'[39]geoMap (36)'!$A:$C,3,0)</f>
        <v>#REF!</v>
      </c>
      <c r="AM114" s="1" t="e">
        <f>AL114/VLOOKUP(A114,'[40]geoMap (37)'!$A:$B,2,0)*VLOOKUP(A114,'[40]geoMap (37)'!$A:$C,3,0)</f>
        <v>#REF!</v>
      </c>
      <c r="AN114" s="1" t="e">
        <f>AM114/VLOOKUP(A114,'[41]geoMap (38)'!$A:$B,2,0)*VLOOKUP(A114,'[41]geoMap (38)'!$A:$C,3,0)</f>
        <v>#REF!</v>
      </c>
      <c r="AO114" s="1" t="e">
        <f>AN114/VLOOKUP(A114,'[42]geoMap (39)'!$A:$B,2,0)*VLOOKUP(A114,'[42]geoMap (39)'!$A:$C,3,0)</f>
        <v>#REF!</v>
      </c>
      <c r="AP114" s="1" t="e">
        <f>AO114/VLOOKUP(A114,'[43]geoMap (40)'!$A:$B,2,0)*VLOOKUP(A114,'[43]geoMap (40)'!$A:$C,3,0)</f>
        <v>#REF!</v>
      </c>
      <c r="AQ114" s="1" t="e">
        <f>AP114/VLOOKUP(A114,'[44]geoMap (41)'!$A:$B,2,0)*VLOOKUP(A114,'[44]geoMap (41)'!$A:$C,3,0)</f>
        <v>#REF!</v>
      </c>
      <c r="AR114" s="1" t="e">
        <f>AQ114/VLOOKUP(A114,'[45]geoMap (42)'!$A:$B,2,0)*VLOOKUP(A114,'[45]geoMap (42)'!$A:$C,3,0)</f>
        <v>#REF!</v>
      </c>
      <c r="AS114" s="1" t="e">
        <f>AR114/VLOOKUP(A114,'[46]geoMap (43)'!$A:$B,2,0)*VLOOKUP(A114,'[46]geoMap (43)'!$A:$C,3,0)</f>
        <v>#REF!</v>
      </c>
      <c r="AT114" s="1" t="e">
        <f>AS114/VLOOKUP(A114,'[47]geoMap (44)'!$A:$B,2,0)*VLOOKUP(A114,'[47]geoMap (44)'!$A:$C,3,0)</f>
        <v>#REF!</v>
      </c>
      <c r="AU114" s="1" t="e">
        <f>AT114/VLOOKUP(A114,'[48]geoMap (45)'!$A:$B,2,0)*VLOOKUP(A114,'[48]geoMap (45)'!$A:$C,3,0)</f>
        <v>#REF!</v>
      </c>
      <c r="AV114" s="1" t="e">
        <f>AU114/VLOOKUP(A114,'[49]geoMap (46)'!$A:$B,2,0)*VLOOKUP(A114,'[49]geoMap (46)'!$A:$C,3,0)</f>
        <v>#REF!</v>
      </c>
      <c r="AW114" s="1" t="e">
        <f>AV114/VLOOKUP(A114,'[50]geoMap (47)'!$A:$B,2,0)*VLOOKUP(A114,'[50]geoMap (47)'!$A:$C,3,0)</f>
        <v>#REF!</v>
      </c>
      <c r="AX114" s="4" t="e">
        <f>AW114/VLOOKUP(A114,'[51]geoMap (48)'!$A:$B,2,0)*VLOOKUP(A114,'[51]geoMap (48)'!$A:$C,3,0)</f>
        <v>#REF!</v>
      </c>
      <c r="AY114" s="1" t="e">
        <f>AX114/VLOOKUP(A114,'[52]geoMap (49)'!$A:$B,2,0)*VLOOKUP(A114,'[52]geoMap (49)'!$A:$C,3,0)</f>
        <v>#REF!</v>
      </c>
      <c r="AZ114" s="4" t="e">
        <f>AY114/VLOOKUP(A114,'[53]geoMap (50)'!$A:$B,2,0)*VLOOKUP(A114,'[53]geoMap (50)'!$A:$C,3,0)</f>
        <v>#REF!</v>
      </c>
      <c r="BA114" s="1" t="e">
        <f>AZ114/VLOOKUP(A114,'[54]geoMap (51)'!$A:$B,2,0)*VLOOKUP(A114,'[54]geoMap (51)'!$A:$C,3,0)</f>
        <v>#REF!</v>
      </c>
      <c r="BB114" s="4" t="e">
        <f>BA114/VLOOKUP(A114,'[55]geoMap (52)'!$A:$B,2,0)*VLOOKUP(A114,'[55]geoMap (52)'!$A:$C,3,0)</f>
        <v>#REF!</v>
      </c>
      <c r="BC114" s="1" t="e">
        <f>BB114/VLOOKUP(A114,'[56]geoMap (53)'!$A:$B,2,0)*VLOOKUP(A114,'[56]geoMap (53)'!$A:$C,3,0)</f>
        <v>#REF!</v>
      </c>
      <c r="BD114" s="4" t="e">
        <f>BC114/VLOOKUP(A114,'[57]geoMap (54)'!$A:$B,2,0)*VLOOKUP(A114,'[57]geoMap (54)'!$A:$C,3,0)</f>
        <v>#REF!</v>
      </c>
      <c r="BE114" s="1" t="e">
        <f>BD114/VLOOKUP(A114,'[58]geoMap (55)'!$A:$B,2,0)*VLOOKUP(A114,'[58]geoMap (55)'!$A:$C,3,0)</f>
        <v>#REF!</v>
      </c>
      <c r="BF114" s="4" t="e">
        <f>BE114/VLOOKUP(A114,'[59]geoMap (56)'!$A:$B,2,0)*VLOOKUP(A114,'[59]geoMap (56)'!$A:$C,3,0)</f>
        <v>#REF!</v>
      </c>
      <c r="BG114" s="1" t="e">
        <f>BF114/VLOOKUP(A114,'[60]geoMap (57)'!$A:$B,2,0)*VLOOKUP(A114,'[60]geoMap (57)'!$A:$C,3,0)</f>
        <v>#REF!</v>
      </c>
      <c r="BH114" s="4" t="e">
        <f>BG114/VLOOKUP(A114,'[61]geoMap (58)'!$A:$B,2,0)*VLOOKUP(A114,'[61]geoMap (58)'!$A:$C,3,0)</f>
        <v>#REF!</v>
      </c>
      <c r="BI114" s="1" t="e">
        <f>BH114/VLOOKUP(A114,'[62]geoMap (59)'!$A:$B,2,0)*VLOOKUP(A114,'[62]geoMap (59)'!$A:$C,3,0)</f>
        <v>#REF!</v>
      </c>
      <c r="BJ114" s="4" t="e">
        <f>BI114/VLOOKUP(A114,'[63]geoMap (60)'!$A:$B,2,0)*VLOOKUP(A114,'[63]geoMap (60)'!$A:$C,3,0)</f>
        <v>#REF!</v>
      </c>
      <c r="BK114" s="1" t="e">
        <f>BJ114/VLOOKUP(A114,'[64]geoMap (61)'!$A:$B,2,0)*VLOOKUP(A114,'[64]geoMap (61)'!$A:$C,3,0)</f>
        <v>#REF!</v>
      </c>
      <c r="BL114" s="4" t="e">
        <f>BK114/VLOOKUP(A114,'[65]geoMap (62)'!$A:$B,2,0)*VLOOKUP(A114,'[65]geoMap (62)'!$A:$C,3,0)</f>
        <v>#REF!</v>
      </c>
      <c r="BM114" s="1" t="e">
        <f>BL114/VLOOKUP(A114,'[66]geoMap (63)'!$A:$B,2,0)*VLOOKUP(A114,'[66]geoMap (63)'!$A:$C,3,0)</f>
        <v>#REF!</v>
      </c>
      <c r="BN114" s="4" t="e">
        <f>BM114/VLOOKUP(A114,'[67]geoMap (64)'!$A:$B,2,0)*VLOOKUP(A114,'[67]geoMap (64)'!$A:$C,3,0)</f>
        <v>#REF!</v>
      </c>
      <c r="BO114" s="1" t="e">
        <f>BN114/VLOOKUP(A114,'[68]geoMap (65)'!$A:$B,2,0)*VLOOKUP(A114,'[68]geoMap (65)'!$A:$C,3,0)</f>
        <v>#REF!</v>
      </c>
      <c r="BP114" s="4" t="e">
        <f>BO114/VLOOKUP(A114,'[69]geoMap (66)'!$A:$B,2,0)*VLOOKUP(A114,'[69]geoMap (66)'!$A:$C,3,0)</f>
        <v>#REF!</v>
      </c>
    </row>
    <row r="115" spans="1:68" x14ac:dyDescent="0.2">
      <c r="A115" s="1" t="s">
        <v>63</v>
      </c>
      <c r="B115" s="1" t="e">
        <f>VLOOKUP(A115,[3]geoMap!$A:$B,2,0)*Notes!$C$6</f>
        <v>#REF!</v>
      </c>
      <c r="C115" s="1" t="e">
        <f>B115/VLOOKUP(A115,'[4]geoMap (1)'!$A:$B,2,0)*VLOOKUP(A115,'[4]geoMap (1)'!$A:$C,3,0)</f>
        <v>#REF!</v>
      </c>
      <c r="D115" s="1" t="e">
        <f>C115/VLOOKUP(A115,'[5]geoMap (2)'!$A:$B,2,0)*VLOOKUP(A115,'[5]geoMap (2)'!$A:$C,3,0)</f>
        <v>#REF!</v>
      </c>
      <c r="E115" s="1" t="e">
        <f>D115/VLOOKUP(A115,'[6]geoMap (3)'!$A:$B,2,0)*VLOOKUP(A115,'[6]geoMap (3)'!$A:$C,3,0)</f>
        <v>#REF!</v>
      </c>
      <c r="F115" s="1" t="e">
        <f>E115/VLOOKUP(A115,'[7]geoMap (4)'!$A:$B,2,0)*VLOOKUP(A115,'[7]geoMap (4)'!$A:$C,3,0)</f>
        <v>#REF!</v>
      </c>
      <c r="G115" s="1" t="e">
        <f>F115/VLOOKUP(A115,'[8]geoMap (5)'!$A:$B,2,0)*VLOOKUP(A115,'[8]geoMap (5)'!$A:$C,3,0)</f>
        <v>#REF!</v>
      </c>
      <c r="H115" s="1" t="e">
        <f>G115/VLOOKUP(A115,'[9]geoMap (6)'!$A:$B,2,0)*VLOOKUP(A115,'[9]geoMap (6)'!$A:$C,3,0)</f>
        <v>#REF!</v>
      </c>
      <c r="I115" s="1" t="e">
        <f>H115/VLOOKUP(A115,'[10]geoMap (7)'!$A:$B,2,0)*VLOOKUP(A115,'[10]geoMap (7)'!$A:$C,3,0)</f>
        <v>#REF!</v>
      </c>
      <c r="J115" s="1" t="e">
        <f>I115/VLOOKUP(A115,'[11]geoMap (8)'!$A:$B,2,0)*VLOOKUP(A115,'[11]geoMap (8)'!$A:$C,3,0)</f>
        <v>#REF!</v>
      </c>
      <c r="K115" s="1" t="e">
        <f>J115/VLOOKUP(A115,'[12]geoMap (9)'!$A:$B,2,0)*VLOOKUP(A115,'[12]geoMap (9)'!$A:$C,3,0)</f>
        <v>#REF!</v>
      </c>
      <c r="L115" s="1" t="e">
        <f>K115/VLOOKUP(A115,'[13]geoMap (10)'!$A:$B,2,0)*VLOOKUP(A115,'[13]geoMap (10)'!$A:$C,3,0)</f>
        <v>#REF!</v>
      </c>
      <c r="M115" s="1" t="e">
        <f>L115/VLOOKUP(A115,'[14]geoMap (11)'!$A:$B,2,0)*VLOOKUP(A115,'[14]geoMap (11)'!$A:$C,3,0)</f>
        <v>#REF!</v>
      </c>
      <c r="N115" s="1" t="e">
        <f>M115/VLOOKUP(A115,'[15]geoMap (12)'!$A:$B,2,0)*VLOOKUP(A115,'[15]geoMap (12)'!$A:$C,3,0)</f>
        <v>#REF!</v>
      </c>
      <c r="O115" s="1" t="e">
        <f>N115/VLOOKUP(A115,'[16]geoMap (13)'!$A:$B,2,0)*VLOOKUP(A115,'[16]geoMap (13)'!$A:$C,3,0)</f>
        <v>#REF!</v>
      </c>
      <c r="P115" s="1" t="e">
        <f>O115/VLOOKUP(A115,'[17]geoMap (14)'!$A:$B,2,0)*VLOOKUP(A115,'[17]geoMap (14)'!$A:$C,3,0)</f>
        <v>#REF!</v>
      </c>
      <c r="Q115" s="1" t="e">
        <f>P115/VLOOKUP(A115,'[18]geoMap (15)'!$A:$B,2,0)*VLOOKUP(A115,'[18]geoMap (15)'!$A:$C,3,0)</f>
        <v>#REF!</v>
      </c>
      <c r="R115" s="1" t="e">
        <f>Q115/VLOOKUP(A115,'[19]geoMap (16)'!$A:$B,2,0)*VLOOKUP(A115,'[19]geoMap (16)'!$A:$C,3,0)</f>
        <v>#REF!</v>
      </c>
      <c r="S115" s="1" t="e">
        <f>R115/VLOOKUP(A115,'[20]geoMap (17)'!$A:$B,2,0)*VLOOKUP(A115,'[20]geoMap (17)'!$A:$C,3,0)</f>
        <v>#REF!</v>
      </c>
      <c r="T115" s="1" t="e">
        <f>S115/VLOOKUP(A115,'[21]geoMap (18)'!$A:$B,2,0)*VLOOKUP(A115,'[21]geoMap (18)'!$A:$C,3,0)</f>
        <v>#REF!</v>
      </c>
      <c r="U115" s="1" t="e">
        <f>T115/VLOOKUP(A115,'[22]geoMap (19)'!$A:$B,2,0)*VLOOKUP(A115,'[22]geoMap (19)'!$A:$C,3,0)</f>
        <v>#REF!</v>
      </c>
      <c r="V115" s="1" t="e">
        <f>U115/VLOOKUP(A115,'[23]geoMap (20)'!$A:$B,2,0)*VLOOKUP(A115,'[23]geoMap (20)'!$A:$C,3,0)</f>
        <v>#REF!</v>
      </c>
      <c r="W115" s="1" t="e">
        <f>V115/VLOOKUP(A115,'[24]geoMap (21)'!$A:$B,2,0)*VLOOKUP(A115,'[24]geoMap (21)'!$A:$C,3,0)</f>
        <v>#REF!</v>
      </c>
      <c r="X115" s="1" t="e">
        <f>W115/VLOOKUP(A115,'[25]geoMap (22)'!$A:$B,2,0)*VLOOKUP(A115,'[25]geoMap (22)'!$A:$C,3,0)</f>
        <v>#REF!</v>
      </c>
      <c r="Y115" s="1" t="e">
        <f>X115/VLOOKUP(A115,'[26]geoMap (23)'!$A:$B,2,0)*VLOOKUP(A115,'[26]geoMap (23)'!$A:$C,3,0)</f>
        <v>#REF!</v>
      </c>
      <c r="Z115" s="1" t="e">
        <f>Y115/VLOOKUP(A115,'[27]geoMap (24)'!$A:$B,2,0)*VLOOKUP(A115,'[27]geoMap (24)'!$A:$C,3,0)</f>
        <v>#REF!</v>
      </c>
      <c r="AA115" s="1" t="e">
        <f>Z115/VLOOKUP(A115,'[28]geoMap (25)'!$A:$B,2,0)*VLOOKUP(A115,'[28]geoMap (25)'!$A:$C,3,0)</f>
        <v>#REF!</v>
      </c>
      <c r="AB115" s="1" t="e">
        <f>AA115*VLOOKUP(A115,'[29]geoMap (26)'!$A:$B,2,0)*VLOOKUP(A115,'[29]geoMap (26)'!$A:$C,3,0)</f>
        <v>#REF!</v>
      </c>
      <c r="AC115" s="1" t="e">
        <f>AB115/VLOOKUP(A115,'[30]geoMap (27)'!$A:$B,2,0)*VLOOKUP(A115,'[30]geoMap (27)'!$A:$C,3,0)</f>
        <v>#REF!</v>
      </c>
      <c r="AD115" s="1" t="e">
        <f>AC115/VLOOKUP(A115,'[31]geoMap (28)'!$A:$B,2,0)*VLOOKUP(A115,'[31]geoMap (28)'!$A:$C,3,0)</f>
        <v>#REF!</v>
      </c>
      <c r="AE115" s="1" t="e">
        <f>AD115/VLOOKUP(A115,'[32]geoMap (29)'!$A:$B,2,0)*VLOOKUP(A115,'[32]geoMap (29)'!$A:$C,3,0)</f>
        <v>#REF!</v>
      </c>
      <c r="AF115" s="1" t="e">
        <f>AE115/VLOOKUP(A115,'[33]geoMap (30)'!$A:$B,2,0)*VLOOKUP(A115,'[33]geoMap (30)'!$A:$C,3,0)</f>
        <v>#REF!</v>
      </c>
      <c r="AG115" s="1" t="e">
        <f>AF115/VLOOKUP(A115,'[34]geoMap (31)'!$A:$B,2,0)*VLOOKUP(A115,'[34]geoMap (31)'!$A:$C,3,0)</f>
        <v>#REF!</v>
      </c>
      <c r="AH115" s="1" t="e">
        <f>AG115/VLOOKUP(A115,'[35]geoMap (32)'!$A:$B,2,0)*VLOOKUP(A115,'[35]geoMap (32)'!$A:$C,3,0)</f>
        <v>#REF!</v>
      </c>
      <c r="AI115" s="1" t="e">
        <f>AH115/VLOOKUP(A115,'[36]geoMap (33)'!$A:$B,2,0)*VLOOKUP(A115,'[36]geoMap (33)'!$A:$C,3,0)</f>
        <v>#REF!</v>
      </c>
      <c r="AJ115" s="1" t="e">
        <f>AI115/VLOOKUP(A115,'[37]geoMap (34)'!$A:$B,2,0)*VLOOKUP(A115,'[37]geoMap (34)'!$A:$C,3,0)</f>
        <v>#REF!</v>
      </c>
      <c r="AK115" s="1" t="e">
        <f>AJ115/VLOOKUP(A115,'[38]geoMap (35)'!$A:$B,2,0)*VLOOKUP(A115,'[38]geoMap (35)'!$A:$C,3,0)</f>
        <v>#REF!</v>
      </c>
      <c r="AL115" s="1" t="e">
        <f>AK115/VLOOKUP(A115,'[39]geoMap (36)'!$A:$B,2,0)*VLOOKUP(A115,'[39]geoMap (36)'!$A:$C,3,0)</f>
        <v>#REF!</v>
      </c>
      <c r="AM115" s="1" t="e">
        <f>AL115/VLOOKUP(A115,'[40]geoMap (37)'!$A:$B,2,0)*VLOOKUP(A115,'[40]geoMap (37)'!$A:$C,3,0)</f>
        <v>#REF!</v>
      </c>
      <c r="AN115" s="1" t="e">
        <f>AM115/VLOOKUP(A115,'[41]geoMap (38)'!$A:$B,2,0)*VLOOKUP(A115,'[41]geoMap (38)'!$A:$C,3,0)</f>
        <v>#REF!</v>
      </c>
      <c r="AO115" s="1" t="e">
        <f>AN115/VLOOKUP(A115,'[42]geoMap (39)'!$A:$B,2,0)*VLOOKUP(A115,'[42]geoMap (39)'!$A:$C,3,0)</f>
        <v>#REF!</v>
      </c>
      <c r="AP115" s="1" t="e">
        <f>AO115/VLOOKUP(A115,'[43]geoMap (40)'!$A:$B,2,0)*VLOOKUP(A115,'[43]geoMap (40)'!$A:$C,3,0)</f>
        <v>#REF!</v>
      </c>
      <c r="AQ115" s="1" t="e">
        <f>AP115/VLOOKUP(A115,'[44]geoMap (41)'!$A:$B,2,0)*VLOOKUP(A115,'[44]geoMap (41)'!$A:$C,3,0)</f>
        <v>#REF!</v>
      </c>
      <c r="AR115" s="1" t="e">
        <f>AQ115/VLOOKUP(A115,'[45]geoMap (42)'!$A:$B,2,0)*VLOOKUP(A115,'[45]geoMap (42)'!$A:$C,3,0)</f>
        <v>#REF!</v>
      </c>
      <c r="AS115" s="1" t="e">
        <f>AR115/VLOOKUP(A115,'[46]geoMap (43)'!$A:$B,2,0)*VLOOKUP(A115,'[46]geoMap (43)'!$A:$C,3,0)</f>
        <v>#REF!</v>
      </c>
      <c r="AT115" s="1" t="e">
        <f>AS115/VLOOKUP(A115,'[47]geoMap (44)'!$A:$B,2,0)*VLOOKUP(A115,'[47]geoMap (44)'!$A:$C,3,0)</f>
        <v>#REF!</v>
      </c>
      <c r="AU115" s="1" t="e">
        <f>AT115/VLOOKUP(A115,'[48]geoMap (45)'!$A:$B,2,0)*VLOOKUP(A115,'[48]geoMap (45)'!$A:$C,3,0)</f>
        <v>#REF!</v>
      </c>
      <c r="AV115" s="1" t="e">
        <f>AU115/VLOOKUP(A115,'[49]geoMap (46)'!$A:$B,2,0)*VLOOKUP(A115,'[49]geoMap (46)'!$A:$C,3,0)</f>
        <v>#REF!</v>
      </c>
      <c r="AW115" s="1" t="e">
        <f>AV115/VLOOKUP(A115,'[50]geoMap (47)'!$A:$B,2,0)*VLOOKUP(A115,'[50]geoMap (47)'!$A:$C,3,0)</f>
        <v>#REF!</v>
      </c>
      <c r="AX115" s="4" t="e">
        <f>AW115/VLOOKUP(A115,'[51]geoMap (48)'!$A:$B,2,0)*VLOOKUP(A115,'[51]geoMap (48)'!$A:$C,3,0)</f>
        <v>#REF!</v>
      </c>
      <c r="AY115" s="1" t="e">
        <f>AX115/VLOOKUP(A115,'[52]geoMap (49)'!$A:$B,2,0)*VLOOKUP(A115,'[52]geoMap (49)'!$A:$C,3,0)</f>
        <v>#REF!</v>
      </c>
      <c r="AZ115" s="4" t="e">
        <f>AY115/VLOOKUP(A115,'[53]geoMap (50)'!$A:$B,2,0)*VLOOKUP(A115,'[53]geoMap (50)'!$A:$C,3,0)</f>
        <v>#REF!</v>
      </c>
      <c r="BA115" s="1" t="e">
        <f>AZ115/VLOOKUP(A115,'[54]geoMap (51)'!$A:$B,2,0)*VLOOKUP(A115,'[54]geoMap (51)'!$A:$C,3,0)</f>
        <v>#REF!</v>
      </c>
      <c r="BB115" s="4" t="e">
        <f>BA115/VLOOKUP(A115,'[55]geoMap (52)'!$A:$B,2,0)*VLOOKUP(A115,'[55]geoMap (52)'!$A:$C,3,0)</f>
        <v>#REF!</v>
      </c>
      <c r="BC115" s="1" t="e">
        <f>BB115/VLOOKUP(A115,'[56]geoMap (53)'!$A:$B,2,0)*VLOOKUP(A115,'[56]geoMap (53)'!$A:$C,3,0)</f>
        <v>#REF!</v>
      </c>
      <c r="BD115" s="4" t="e">
        <f>BC115/VLOOKUP(A115,'[57]geoMap (54)'!$A:$B,2,0)*VLOOKUP(A115,'[57]geoMap (54)'!$A:$C,3,0)</f>
        <v>#REF!</v>
      </c>
      <c r="BE115" s="1" t="e">
        <f>BD115/VLOOKUP(A115,'[58]geoMap (55)'!$A:$B,2,0)*VLOOKUP(A115,'[58]geoMap (55)'!$A:$C,3,0)</f>
        <v>#REF!</v>
      </c>
      <c r="BF115" s="4" t="e">
        <f>BE115/VLOOKUP(A115,'[59]geoMap (56)'!$A:$B,2,0)*VLOOKUP(A115,'[59]geoMap (56)'!$A:$C,3,0)</f>
        <v>#REF!</v>
      </c>
      <c r="BG115" s="1" t="e">
        <f>BF115/VLOOKUP(A115,'[60]geoMap (57)'!$A:$B,2,0)*VLOOKUP(A115,'[60]geoMap (57)'!$A:$C,3,0)</f>
        <v>#REF!</v>
      </c>
      <c r="BH115" s="4" t="e">
        <f>BG115/VLOOKUP(A115,'[61]geoMap (58)'!$A:$B,2,0)*VLOOKUP(A115,'[61]geoMap (58)'!$A:$C,3,0)</f>
        <v>#REF!</v>
      </c>
      <c r="BI115" s="1" t="e">
        <f>BH115/VLOOKUP(A115,'[62]geoMap (59)'!$A:$B,2,0)*VLOOKUP(A115,'[62]geoMap (59)'!$A:$C,3,0)</f>
        <v>#REF!</v>
      </c>
      <c r="BJ115" s="4" t="e">
        <f>BI115/VLOOKUP(A115,'[63]geoMap (60)'!$A:$B,2,0)*VLOOKUP(A115,'[63]geoMap (60)'!$A:$C,3,0)</f>
        <v>#REF!</v>
      </c>
      <c r="BK115" s="1" t="e">
        <f>BJ115/VLOOKUP(A115,'[64]geoMap (61)'!$A:$B,2,0)*VLOOKUP(A115,'[64]geoMap (61)'!$A:$C,3,0)</f>
        <v>#REF!</v>
      </c>
      <c r="BL115" s="4" t="e">
        <f>BK115/VLOOKUP(A115,'[65]geoMap (62)'!$A:$B,2,0)*VLOOKUP(A115,'[65]geoMap (62)'!$A:$C,3,0)</f>
        <v>#REF!</v>
      </c>
      <c r="BM115" s="1" t="e">
        <f>BL115/VLOOKUP(A115,'[66]geoMap (63)'!$A:$B,2,0)*VLOOKUP(A115,'[66]geoMap (63)'!$A:$C,3,0)</f>
        <v>#REF!</v>
      </c>
      <c r="BN115" s="4" t="e">
        <f>BM115/VLOOKUP(A115,'[67]geoMap (64)'!$A:$B,2,0)*VLOOKUP(A115,'[67]geoMap (64)'!$A:$C,3,0)</f>
        <v>#REF!</v>
      </c>
      <c r="BO115" s="1" t="e">
        <f>BN115/VLOOKUP(A115,'[68]geoMap (65)'!$A:$B,2,0)*VLOOKUP(A115,'[68]geoMap (65)'!$A:$C,3,0)</f>
        <v>#REF!</v>
      </c>
      <c r="BP115" s="4" t="e">
        <f>BO115/VLOOKUP(A115,'[69]geoMap (66)'!$A:$B,2,0)*VLOOKUP(A115,'[69]geoMap (66)'!$A:$C,3,0)</f>
        <v>#REF!</v>
      </c>
    </row>
    <row r="116" spans="1:68" x14ac:dyDescent="0.2">
      <c r="A116" s="1" t="s">
        <v>64</v>
      </c>
      <c r="B116" s="1" t="e">
        <f>VLOOKUP(A116,[3]geoMap!$A:$B,2,0)*Notes!$C$6</f>
        <v>#REF!</v>
      </c>
      <c r="C116" s="1" t="e">
        <f>B116/VLOOKUP(A116,'[4]geoMap (1)'!$A:$B,2,0)*VLOOKUP(A116,'[4]geoMap (1)'!$A:$C,3,0)</f>
        <v>#REF!</v>
      </c>
      <c r="D116" s="1" t="e">
        <f>C116/VLOOKUP(A116,'[5]geoMap (2)'!$A:$B,2,0)*VLOOKUP(A116,'[5]geoMap (2)'!$A:$C,3,0)</f>
        <v>#REF!</v>
      </c>
      <c r="E116" s="1" t="e">
        <f>D116/VLOOKUP(A116,'[6]geoMap (3)'!$A:$B,2,0)*VLOOKUP(A116,'[6]geoMap (3)'!$A:$C,3,0)</f>
        <v>#REF!</v>
      </c>
      <c r="F116" s="1" t="e">
        <f>E116/VLOOKUP(A116,'[7]geoMap (4)'!$A:$B,2,0)*VLOOKUP(A116,'[7]geoMap (4)'!$A:$C,3,0)</f>
        <v>#REF!</v>
      </c>
      <c r="G116" s="1" t="e">
        <f>F116/VLOOKUP(A116,'[8]geoMap (5)'!$A:$B,2,0)*VLOOKUP(A116,'[8]geoMap (5)'!$A:$C,3,0)</f>
        <v>#REF!</v>
      </c>
      <c r="H116" s="1" t="e">
        <f>G116/VLOOKUP(A116,'[9]geoMap (6)'!$A:$B,2,0)*VLOOKUP(A116,'[9]geoMap (6)'!$A:$C,3,0)</f>
        <v>#REF!</v>
      </c>
      <c r="I116" s="1" t="e">
        <f>H116/VLOOKUP(A116,'[10]geoMap (7)'!$A:$B,2,0)*VLOOKUP(A116,'[10]geoMap (7)'!$A:$C,3,0)</f>
        <v>#REF!</v>
      </c>
      <c r="J116" s="1" t="e">
        <f>I116/VLOOKUP(A116,'[11]geoMap (8)'!$A:$B,2,0)*VLOOKUP(A116,'[11]geoMap (8)'!$A:$C,3,0)</f>
        <v>#REF!</v>
      </c>
      <c r="K116" s="1" t="e">
        <f>J116/VLOOKUP(A116,'[12]geoMap (9)'!$A:$B,2,0)*VLOOKUP(A116,'[12]geoMap (9)'!$A:$C,3,0)</f>
        <v>#REF!</v>
      </c>
      <c r="L116" s="1" t="e">
        <f>K116/VLOOKUP(A116,'[13]geoMap (10)'!$A:$B,2,0)*VLOOKUP(A116,'[13]geoMap (10)'!$A:$C,3,0)</f>
        <v>#REF!</v>
      </c>
      <c r="M116" s="1" t="e">
        <f>L116/VLOOKUP(A116,'[14]geoMap (11)'!$A:$B,2,0)*VLOOKUP(A116,'[14]geoMap (11)'!$A:$C,3,0)</f>
        <v>#REF!</v>
      </c>
      <c r="N116" s="1" t="e">
        <f>M116/VLOOKUP(A116,'[15]geoMap (12)'!$A:$B,2,0)*VLOOKUP(A116,'[15]geoMap (12)'!$A:$C,3,0)</f>
        <v>#REF!</v>
      </c>
      <c r="O116" s="1" t="e">
        <f>N116/VLOOKUP(A116,'[16]geoMap (13)'!$A:$B,2,0)*VLOOKUP(A116,'[16]geoMap (13)'!$A:$C,3,0)</f>
        <v>#REF!</v>
      </c>
      <c r="P116" s="1" t="e">
        <f>O116/VLOOKUP(A116,'[17]geoMap (14)'!$A:$B,2,0)*VLOOKUP(A116,'[17]geoMap (14)'!$A:$C,3,0)</f>
        <v>#REF!</v>
      </c>
      <c r="Q116" s="1" t="e">
        <f>P116/VLOOKUP(A116,'[18]geoMap (15)'!$A:$B,2,0)*VLOOKUP(A116,'[18]geoMap (15)'!$A:$C,3,0)</f>
        <v>#REF!</v>
      </c>
      <c r="R116" s="1" t="e">
        <f>Q116/VLOOKUP(A116,'[19]geoMap (16)'!$A:$B,2,0)*VLOOKUP(A116,'[19]geoMap (16)'!$A:$C,3,0)</f>
        <v>#REF!</v>
      </c>
      <c r="S116" s="1" t="e">
        <f>R116/VLOOKUP(A116,'[20]geoMap (17)'!$A:$B,2,0)*VLOOKUP(A116,'[20]geoMap (17)'!$A:$C,3,0)</f>
        <v>#REF!</v>
      </c>
      <c r="T116" s="1" t="e">
        <f>S116/VLOOKUP(A116,'[21]geoMap (18)'!$A:$B,2,0)*VLOOKUP(A116,'[21]geoMap (18)'!$A:$C,3,0)</f>
        <v>#REF!</v>
      </c>
      <c r="U116" s="1" t="e">
        <f>T116/VLOOKUP(A116,'[22]geoMap (19)'!$A:$B,2,0)*VLOOKUP(A116,'[22]geoMap (19)'!$A:$C,3,0)</f>
        <v>#REF!</v>
      </c>
      <c r="V116" s="1" t="e">
        <f>U116/VLOOKUP(A116,'[23]geoMap (20)'!$A:$B,2,0)*VLOOKUP(A116,'[23]geoMap (20)'!$A:$C,3,0)</f>
        <v>#REF!</v>
      </c>
      <c r="W116" s="1" t="e">
        <f>V116/VLOOKUP(A116,'[24]geoMap (21)'!$A:$B,2,0)*VLOOKUP(A116,'[24]geoMap (21)'!$A:$C,3,0)</f>
        <v>#REF!</v>
      </c>
      <c r="X116" s="1" t="e">
        <f>W116/VLOOKUP(A116,'[25]geoMap (22)'!$A:$B,2,0)*VLOOKUP(A116,'[25]geoMap (22)'!$A:$C,3,0)</f>
        <v>#REF!</v>
      </c>
      <c r="Y116" s="1" t="e">
        <f>X116/VLOOKUP(A116,'[26]geoMap (23)'!$A:$B,2,0)*VLOOKUP(A116,'[26]geoMap (23)'!$A:$C,3,0)</f>
        <v>#REF!</v>
      </c>
      <c r="Z116" s="1" t="e">
        <f>Y116/VLOOKUP(A116,'[27]geoMap (24)'!$A:$B,2,0)*VLOOKUP(A116,'[27]geoMap (24)'!$A:$C,3,0)</f>
        <v>#REF!</v>
      </c>
      <c r="AA116" s="1" t="e">
        <f>Z116/VLOOKUP(A116,'[28]geoMap (25)'!$A:$B,2,0)*VLOOKUP(A116,'[28]geoMap (25)'!$A:$C,3,0)</f>
        <v>#REF!</v>
      </c>
      <c r="AB116" s="1" t="e">
        <f>AA116*VLOOKUP(A116,'[29]geoMap (26)'!$A:$B,2,0)*VLOOKUP(A116,'[29]geoMap (26)'!$A:$C,3,0)</f>
        <v>#REF!</v>
      </c>
      <c r="AC116" s="1" t="e">
        <f>AB116/VLOOKUP(A116,'[30]geoMap (27)'!$A:$B,2,0)*VLOOKUP(A116,'[30]geoMap (27)'!$A:$C,3,0)</f>
        <v>#REF!</v>
      </c>
      <c r="AD116" s="1" t="e">
        <f>AC116/VLOOKUP(A116,'[31]geoMap (28)'!$A:$B,2,0)*VLOOKUP(A116,'[31]geoMap (28)'!$A:$C,3,0)</f>
        <v>#REF!</v>
      </c>
      <c r="AE116" s="1" t="e">
        <f>AD116/VLOOKUP(A116,'[32]geoMap (29)'!$A:$B,2,0)*VLOOKUP(A116,'[32]geoMap (29)'!$A:$C,3,0)</f>
        <v>#REF!</v>
      </c>
      <c r="AF116" s="1" t="e">
        <f>AE116/VLOOKUP(A116,'[33]geoMap (30)'!$A:$B,2,0)*VLOOKUP(A116,'[33]geoMap (30)'!$A:$C,3,0)</f>
        <v>#REF!</v>
      </c>
      <c r="AG116" s="1" t="e">
        <f>AF116/VLOOKUP(A116,'[34]geoMap (31)'!$A:$B,2,0)*VLOOKUP(A116,'[34]geoMap (31)'!$A:$C,3,0)</f>
        <v>#REF!</v>
      </c>
      <c r="AH116" s="1" t="e">
        <f>AG116/VLOOKUP(A116,'[35]geoMap (32)'!$A:$B,2,0)*VLOOKUP(A116,'[35]geoMap (32)'!$A:$C,3,0)</f>
        <v>#REF!</v>
      </c>
      <c r="AI116" s="1" t="e">
        <f>AH116/VLOOKUP(A116,'[36]geoMap (33)'!$A:$B,2,0)*VLOOKUP(A116,'[36]geoMap (33)'!$A:$C,3,0)</f>
        <v>#REF!</v>
      </c>
      <c r="AJ116" s="1" t="e">
        <f>AI116/VLOOKUP(A116,'[37]geoMap (34)'!$A:$B,2,0)*VLOOKUP(A116,'[37]geoMap (34)'!$A:$C,3,0)</f>
        <v>#REF!</v>
      </c>
      <c r="AK116" s="1" t="e">
        <f>AJ116/VLOOKUP(A116,'[38]geoMap (35)'!$A:$B,2,0)*VLOOKUP(A116,'[38]geoMap (35)'!$A:$C,3,0)</f>
        <v>#REF!</v>
      </c>
      <c r="AL116" s="1" t="e">
        <f>AK116/VLOOKUP(A116,'[39]geoMap (36)'!$A:$B,2,0)*VLOOKUP(A116,'[39]geoMap (36)'!$A:$C,3,0)</f>
        <v>#REF!</v>
      </c>
      <c r="AM116" s="1" t="e">
        <f>AL116/VLOOKUP(A116,'[40]geoMap (37)'!$A:$B,2,0)*VLOOKUP(A116,'[40]geoMap (37)'!$A:$C,3,0)</f>
        <v>#REF!</v>
      </c>
      <c r="AN116" s="1" t="e">
        <f>AM116/VLOOKUP(A116,'[41]geoMap (38)'!$A:$B,2,0)*VLOOKUP(A116,'[41]geoMap (38)'!$A:$C,3,0)</f>
        <v>#REF!</v>
      </c>
      <c r="AO116" s="1" t="e">
        <f>AN116/VLOOKUP(A116,'[42]geoMap (39)'!$A:$B,2,0)*VLOOKUP(A116,'[42]geoMap (39)'!$A:$C,3,0)</f>
        <v>#REF!</v>
      </c>
      <c r="AP116" s="1" t="e">
        <f>AO116/VLOOKUP(A116,'[43]geoMap (40)'!$A:$B,2,0)*VLOOKUP(A116,'[43]geoMap (40)'!$A:$C,3,0)</f>
        <v>#REF!</v>
      </c>
      <c r="AQ116" s="1" t="e">
        <f>AP116/VLOOKUP(A116,'[44]geoMap (41)'!$A:$B,2,0)*VLOOKUP(A116,'[44]geoMap (41)'!$A:$C,3,0)</f>
        <v>#REF!</v>
      </c>
      <c r="AR116" s="1" t="e">
        <f>AQ116/VLOOKUP(A116,'[45]geoMap (42)'!$A:$B,2,0)*VLOOKUP(A116,'[45]geoMap (42)'!$A:$C,3,0)</f>
        <v>#REF!</v>
      </c>
      <c r="AS116" s="1" t="e">
        <f>AR116/VLOOKUP(A116,'[46]geoMap (43)'!$A:$B,2,0)*VLOOKUP(A116,'[46]geoMap (43)'!$A:$C,3,0)</f>
        <v>#REF!</v>
      </c>
      <c r="AT116" s="1" t="e">
        <f>AS116/VLOOKUP(A116,'[47]geoMap (44)'!$A:$B,2,0)*VLOOKUP(A116,'[47]geoMap (44)'!$A:$C,3,0)</f>
        <v>#REF!</v>
      </c>
      <c r="AU116" s="1" t="e">
        <f>AT116/VLOOKUP(A116,'[48]geoMap (45)'!$A:$B,2,0)*VLOOKUP(A116,'[48]geoMap (45)'!$A:$C,3,0)</f>
        <v>#REF!</v>
      </c>
      <c r="AV116" s="1" t="e">
        <f>AU116/VLOOKUP(A116,'[49]geoMap (46)'!$A:$B,2,0)*VLOOKUP(A116,'[49]geoMap (46)'!$A:$C,3,0)</f>
        <v>#REF!</v>
      </c>
      <c r="AW116" s="1" t="e">
        <f>AV116/VLOOKUP(A116,'[50]geoMap (47)'!$A:$B,2,0)*VLOOKUP(A116,'[50]geoMap (47)'!$A:$C,3,0)</f>
        <v>#REF!</v>
      </c>
      <c r="AX116" s="4" t="e">
        <f>AW116/VLOOKUP(A116,'[51]geoMap (48)'!$A:$B,2,0)*VLOOKUP(A116,'[51]geoMap (48)'!$A:$C,3,0)</f>
        <v>#REF!</v>
      </c>
      <c r="AY116" s="1" t="e">
        <f>AX116/VLOOKUP(A116,'[52]geoMap (49)'!$A:$B,2,0)*VLOOKUP(A116,'[52]geoMap (49)'!$A:$C,3,0)</f>
        <v>#REF!</v>
      </c>
      <c r="AZ116" s="4" t="e">
        <f>AY116/VLOOKUP(A116,'[53]geoMap (50)'!$A:$B,2,0)*VLOOKUP(A116,'[53]geoMap (50)'!$A:$C,3,0)</f>
        <v>#REF!</v>
      </c>
      <c r="BA116" s="1" t="e">
        <f>AZ116/VLOOKUP(A116,'[54]geoMap (51)'!$A:$B,2,0)*VLOOKUP(A116,'[54]geoMap (51)'!$A:$C,3,0)</f>
        <v>#REF!</v>
      </c>
      <c r="BB116" s="4" t="e">
        <f>BA116/VLOOKUP(A116,'[55]geoMap (52)'!$A:$B,2,0)*VLOOKUP(A116,'[55]geoMap (52)'!$A:$C,3,0)</f>
        <v>#REF!</v>
      </c>
      <c r="BC116" s="1" t="e">
        <f>BB116/VLOOKUP(A116,'[56]geoMap (53)'!$A:$B,2,0)*VLOOKUP(A116,'[56]geoMap (53)'!$A:$C,3,0)</f>
        <v>#REF!</v>
      </c>
      <c r="BD116" s="4" t="e">
        <f>BC116/VLOOKUP(A116,'[57]geoMap (54)'!$A:$B,2,0)*VLOOKUP(A116,'[57]geoMap (54)'!$A:$C,3,0)</f>
        <v>#REF!</v>
      </c>
      <c r="BE116" s="1" t="e">
        <f>BD116/VLOOKUP(A116,'[58]geoMap (55)'!$A:$B,2,0)*VLOOKUP(A116,'[58]geoMap (55)'!$A:$C,3,0)</f>
        <v>#REF!</v>
      </c>
      <c r="BF116" s="4" t="e">
        <f>BE116/VLOOKUP(A116,'[59]geoMap (56)'!$A:$B,2,0)*VLOOKUP(A116,'[59]geoMap (56)'!$A:$C,3,0)</f>
        <v>#REF!</v>
      </c>
      <c r="BG116" s="1" t="e">
        <f>BF116/VLOOKUP(A116,'[60]geoMap (57)'!$A:$B,2,0)*VLOOKUP(A116,'[60]geoMap (57)'!$A:$C,3,0)</f>
        <v>#REF!</v>
      </c>
      <c r="BH116" s="4" t="e">
        <f>BG116/VLOOKUP(A116,'[61]geoMap (58)'!$A:$B,2,0)*VLOOKUP(A116,'[61]geoMap (58)'!$A:$C,3,0)</f>
        <v>#REF!</v>
      </c>
      <c r="BI116" s="1" t="e">
        <f>BH116/VLOOKUP(A116,'[62]geoMap (59)'!$A:$B,2,0)*VLOOKUP(A116,'[62]geoMap (59)'!$A:$C,3,0)</f>
        <v>#REF!</v>
      </c>
      <c r="BJ116" s="4" t="e">
        <f>BI116/VLOOKUP(A116,'[63]geoMap (60)'!$A:$B,2,0)*VLOOKUP(A116,'[63]geoMap (60)'!$A:$C,3,0)</f>
        <v>#REF!</v>
      </c>
      <c r="BK116" s="1" t="e">
        <f>BJ116/VLOOKUP(A116,'[64]geoMap (61)'!$A:$B,2,0)*VLOOKUP(A116,'[64]geoMap (61)'!$A:$C,3,0)</f>
        <v>#REF!</v>
      </c>
      <c r="BL116" s="4" t="e">
        <f>BK116/VLOOKUP(A116,'[65]geoMap (62)'!$A:$B,2,0)*VLOOKUP(A116,'[65]geoMap (62)'!$A:$C,3,0)</f>
        <v>#REF!</v>
      </c>
      <c r="BM116" s="1" t="e">
        <f>BL116/VLOOKUP(A116,'[66]geoMap (63)'!$A:$B,2,0)*VLOOKUP(A116,'[66]geoMap (63)'!$A:$C,3,0)</f>
        <v>#REF!</v>
      </c>
      <c r="BN116" s="4" t="e">
        <f>BM116/VLOOKUP(A116,'[67]geoMap (64)'!$A:$B,2,0)*VLOOKUP(A116,'[67]geoMap (64)'!$A:$C,3,0)</f>
        <v>#REF!</v>
      </c>
      <c r="BO116" s="1" t="e">
        <f>BN116/VLOOKUP(A116,'[68]geoMap (65)'!$A:$B,2,0)*VLOOKUP(A116,'[68]geoMap (65)'!$A:$C,3,0)</f>
        <v>#REF!</v>
      </c>
      <c r="BP116" s="4" t="e">
        <f>BO116/VLOOKUP(A116,'[69]geoMap (66)'!$A:$B,2,0)*VLOOKUP(A116,'[69]geoMap (66)'!$A:$C,3,0)</f>
        <v>#REF!</v>
      </c>
    </row>
    <row r="117" spans="1:68" x14ac:dyDescent="0.2">
      <c r="A117" s="1" t="s">
        <v>65</v>
      </c>
      <c r="B117" s="1" t="e">
        <f>VLOOKUP(A117,[3]geoMap!$A:$B,2,0)*Notes!$C$6</f>
        <v>#REF!</v>
      </c>
      <c r="C117" s="1" t="e">
        <f>B117/VLOOKUP(A117,'[4]geoMap (1)'!$A:$B,2,0)*VLOOKUP(A117,'[4]geoMap (1)'!$A:$C,3,0)</f>
        <v>#REF!</v>
      </c>
      <c r="D117" s="1" t="e">
        <f>C117/VLOOKUP(A117,'[5]geoMap (2)'!$A:$B,2,0)*VLOOKUP(A117,'[5]geoMap (2)'!$A:$C,3,0)</f>
        <v>#REF!</v>
      </c>
      <c r="E117" s="1" t="e">
        <f>D117/VLOOKUP(A117,'[6]geoMap (3)'!$A:$B,2,0)*VLOOKUP(A117,'[6]geoMap (3)'!$A:$C,3,0)</f>
        <v>#REF!</v>
      </c>
      <c r="F117" s="1" t="e">
        <f>E117/VLOOKUP(A117,'[7]geoMap (4)'!$A:$B,2,0)*VLOOKUP(A117,'[7]geoMap (4)'!$A:$C,3,0)</f>
        <v>#REF!</v>
      </c>
      <c r="G117" s="1" t="e">
        <f>F117/VLOOKUP(A117,'[8]geoMap (5)'!$A:$B,2,0)*VLOOKUP(A117,'[8]geoMap (5)'!$A:$C,3,0)</f>
        <v>#REF!</v>
      </c>
      <c r="H117" s="1" t="e">
        <f>G117/VLOOKUP(A117,'[9]geoMap (6)'!$A:$B,2,0)*VLOOKUP(A117,'[9]geoMap (6)'!$A:$C,3,0)</f>
        <v>#REF!</v>
      </c>
      <c r="I117" s="1" t="e">
        <f>H117/VLOOKUP(A117,'[10]geoMap (7)'!$A:$B,2,0)*VLOOKUP(A117,'[10]geoMap (7)'!$A:$C,3,0)</f>
        <v>#REF!</v>
      </c>
      <c r="J117" s="1" t="e">
        <f>I117/VLOOKUP(A117,'[11]geoMap (8)'!$A:$B,2,0)*VLOOKUP(A117,'[11]geoMap (8)'!$A:$C,3,0)</f>
        <v>#REF!</v>
      </c>
      <c r="K117" s="1" t="e">
        <f>J117/VLOOKUP(A117,'[12]geoMap (9)'!$A:$B,2,0)*VLOOKUP(A117,'[12]geoMap (9)'!$A:$C,3,0)</f>
        <v>#REF!</v>
      </c>
      <c r="L117" s="1" t="e">
        <f>K117/VLOOKUP(A117,'[13]geoMap (10)'!$A:$B,2,0)*VLOOKUP(A117,'[13]geoMap (10)'!$A:$C,3,0)</f>
        <v>#REF!</v>
      </c>
      <c r="M117" s="1" t="e">
        <f>L117/VLOOKUP(A117,'[14]geoMap (11)'!$A:$B,2,0)*VLOOKUP(A117,'[14]geoMap (11)'!$A:$C,3,0)</f>
        <v>#REF!</v>
      </c>
      <c r="N117" s="1" t="e">
        <f>M117/VLOOKUP(A117,'[15]geoMap (12)'!$A:$B,2,0)*VLOOKUP(A117,'[15]geoMap (12)'!$A:$C,3,0)</f>
        <v>#REF!</v>
      </c>
      <c r="O117" s="1" t="e">
        <f>N117/VLOOKUP(A117,'[16]geoMap (13)'!$A:$B,2,0)*VLOOKUP(A117,'[16]geoMap (13)'!$A:$C,3,0)</f>
        <v>#REF!</v>
      </c>
      <c r="P117" s="1" t="e">
        <f>O117/VLOOKUP(A117,'[17]geoMap (14)'!$A:$B,2,0)*VLOOKUP(A117,'[17]geoMap (14)'!$A:$C,3,0)</f>
        <v>#REF!</v>
      </c>
      <c r="Q117" s="1" t="e">
        <f>P117/VLOOKUP(A117,'[18]geoMap (15)'!$A:$B,2,0)*VLOOKUP(A117,'[18]geoMap (15)'!$A:$C,3,0)</f>
        <v>#REF!</v>
      </c>
      <c r="R117" s="1" t="e">
        <f>Q117/VLOOKUP(A117,'[19]geoMap (16)'!$A:$B,2,0)*VLOOKUP(A117,'[19]geoMap (16)'!$A:$C,3,0)</f>
        <v>#REF!</v>
      </c>
      <c r="S117" s="1" t="e">
        <f>R117/VLOOKUP(A117,'[20]geoMap (17)'!$A:$B,2,0)*VLOOKUP(A117,'[20]geoMap (17)'!$A:$C,3,0)</f>
        <v>#REF!</v>
      </c>
      <c r="T117" s="1" t="e">
        <f>S117/VLOOKUP(A117,'[21]geoMap (18)'!$A:$B,2,0)*VLOOKUP(A117,'[21]geoMap (18)'!$A:$C,3,0)</f>
        <v>#REF!</v>
      </c>
      <c r="U117" s="1" t="e">
        <f>T117/VLOOKUP(A117,'[22]geoMap (19)'!$A:$B,2,0)*VLOOKUP(A117,'[22]geoMap (19)'!$A:$C,3,0)</f>
        <v>#REF!</v>
      </c>
      <c r="V117" s="1" t="e">
        <f>U117/VLOOKUP(A117,'[23]geoMap (20)'!$A:$B,2,0)*VLOOKUP(A117,'[23]geoMap (20)'!$A:$C,3,0)</f>
        <v>#REF!</v>
      </c>
      <c r="W117" s="1" t="e">
        <f>V117/VLOOKUP(A117,'[24]geoMap (21)'!$A:$B,2,0)*VLOOKUP(A117,'[24]geoMap (21)'!$A:$C,3,0)</f>
        <v>#REF!</v>
      </c>
      <c r="X117" s="1" t="e">
        <f>W117/VLOOKUP(A117,'[25]geoMap (22)'!$A:$B,2,0)*VLOOKUP(A117,'[25]geoMap (22)'!$A:$C,3,0)</f>
        <v>#REF!</v>
      </c>
      <c r="Y117" s="1" t="e">
        <f>X117/VLOOKUP(A117,'[26]geoMap (23)'!$A:$B,2,0)*VLOOKUP(A117,'[26]geoMap (23)'!$A:$C,3,0)</f>
        <v>#REF!</v>
      </c>
      <c r="Z117" s="1" t="e">
        <f>Y117/VLOOKUP(A117,'[27]geoMap (24)'!$A:$B,2,0)*VLOOKUP(A117,'[27]geoMap (24)'!$A:$C,3,0)</f>
        <v>#REF!</v>
      </c>
      <c r="AA117" s="1" t="e">
        <f>Z117/VLOOKUP(A117,'[28]geoMap (25)'!$A:$B,2,0)*VLOOKUP(A117,'[28]geoMap (25)'!$A:$C,3,0)</f>
        <v>#REF!</v>
      </c>
      <c r="AB117" s="1" t="e">
        <f>AA117*VLOOKUP(A117,'[29]geoMap (26)'!$A:$B,2,0)*VLOOKUP(A117,'[29]geoMap (26)'!$A:$C,3,0)</f>
        <v>#REF!</v>
      </c>
      <c r="AC117" s="1" t="e">
        <f>AB117/VLOOKUP(A117,'[30]geoMap (27)'!$A:$B,2,0)*VLOOKUP(A117,'[30]geoMap (27)'!$A:$C,3,0)</f>
        <v>#REF!</v>
      </c>
      <c r="AD117" s="1" t="e">
        <f>AC117/VLOOKUP(A117,'[31]geoMap (28)'!$A:$B,2,0)*VLOOKUP(A117,'[31]geoMap (28)'!$A:$C,3,0)</f>
        <v>#REF!</v>
      </c>
      <c r="AE117" s="1" t="e">
        <f>AD117/VLOOKUP(A117,'[32]geoMap (29)'!$A:$B,2,0)*VLOOKUP(A117,'[32]geoMap (29)'!$A:$C,3,0)</f>
        <v>#REF!</v>
      </c>
      <c r="AF117" s="1" t="e">
        <f>AE117/VLOOKUP(A117,'[33]geoMap (30)'!$A:$B,2,0)*VLOOKUP(A117,'[33]geoMap (30)'!$A:$C,3,0)</f>
        <v>#REF!</v>
      </c>
      <c r="AG117" s="1" t="e">
        <f>AF117/VLOOKUP(A117,'[34]geoMap (31)'!$A:$B,2,0)*VLOOKUP(A117,'[34]geoMap (31)'!$A:$C,3,0)</f>
        <v>#REF!</v>
      </c>
      <c r="AH117" s="1" t="e">
        <f>AG117/VLOOKUP(A117,'[35]geoMap (32)'!$A:$B,2,0)*VLOOKUP(A117,'[35]geoMap (32)'!$A:$C,3,0)</f>
        <v>#REF!</v>
      </c>
      <c r="AI117" s="1" t="e">
        <f>AH117/VLOOKUP(A117,'[36]geoMap (33)'!$A:$B,2,0)*VLOOKUP(A117,'[36]geoMap (33)'!$A:$C,3,0)</f>
        <v>#REF!</v>
      </c>
      <c r="AJ117" s="1" t="e">
        <f>AI117/VLOOKUP(A117,'[37]geoMap (34)'!$A:$B,2,0)*VLOOKUP(A117,'[37]geoMap (34)'!$A:$C,3,0)</f>
        <v>#REF!</v>
      </c>
      <c r="AK117" s="1" t="e">
        <f>AJ117/VLOOKUP(A117,'[38]geoMap (35)'!$A:$B,2,0)*VLOOKUP(A117,'[38]geoMap (35)'!$A:$C,3,0)</f>
        <v>#REF!</v>
      </c>
      <c r="AL117" s="1" t="e">
        <f>AK117/VLOOKUP(A117,'[39]geoMap (36)'!$A:$B,2,0)*VLOOKUP(A117,'[39]geoMap (36)'!$A:$C,3,0)</f>
        <v>#REF!</v>
      </c>
      <c r="AM117" s="1" t="e">
        <f>AL117/VLOOKUP(A117,'[40]geoMap (37)'!$A:$B,2,0)*VLOOKUP(A117,'[40]geoMap (37)'!$A:$C,3,0)</f>
        <v>#REF!</v>
      </c>
      <c r="AN117" s="1" t="e">
        <f>AM117/VLOOKUP(A117,'[41]geoMap (38)'!$A:$B,2,0)*VLOOKUP(A117,'[41]geoMap (38)'!$A:$C,3,0)</f>
        <v>#REF!</v>
      </c>
      <c r="AO117" s="1" t="e">
        <f>AN117/VLOOKUP(A117,'[42]geoMap (39)'!$A:$B,2,0)*VLOOKUP(A117,'[42]geoMap (39)'!$A:$C,3,0)</f>
        <v>#REF!</v>
      </c>
      <c r="AP117" s="1" t="e">
        <f>AO117/VLOOKUP(A117,'[43]geoMap (40)'!$A:$B,2,0)*VLOOKUP(A117,'[43]geoMap (40)'!$A:$C,3,0)</f>
        <v>#REF!</v>
      </c>
      <c r="AQ117" s="1" t="e">
        <f>AP117/VLOOKUP(A117,'[44]geoMap (41)'!$A:$B,2,0)*VLOOKUP(A117,'[44]geoMap (41)'!$A:$C,3,0)</f>
        <v>#REF!</v>
      </c>
      <c r="AR117" s="1" t="e">
        <f>AQ117/VLOOKUP(A117,'[45]geoMap (42)'!$A:$B,2,0)*VLOOKUP(A117,'[45]geoMap (42)'!$A:$C,3,0)</f>
        <v>#REF!</v>
      </c>
      <c r="AS117" s="1" t="e">
        <f>AR117/VLOOKUP(A117,'[46]geoMap (43)'!$A:$B,2,0)*VLOOKUP(A117,'[46]geoMap (43)'!$A:$C,3,0)</f>
        <v>#REF!</v>
      </c>
      <c r="AT117" s="1" t="e">
        <f>AS117/VLOOKUP(A117,'[47]geoMap (44)'!$A:$B,2,0)*VLOOKUP(A117,'[47]geoMap (44)'!$A:$C,3,0)</f>
        <v>#REF!</v>
      </c>
      <c r="AU117" s="1" t="e">
        <f>AT117/VLOOKUP(A117,'[48]geoMap (45)'!$A:$B,2,0)*VLOOKUP(A117,'[48]geoMap (45)'!$A:$C,3,0)</f>
        <v>#REF!</v>
      </c>
      <c r="AV117" s="1" t="e">
        <f>AU117/VLOOKUP(A117,'[49]geoMap (46)'!$A:$B,2,0)*VLOOKUP(A117,'[49]geoMap (46)'!$A:$C,3,0)</f>
        <v>#REF!</v>
      </c>
      <c r="AW117" s="1" t="e">
        <f>AV117/VLOOKUP(A117,'[50]geoMap (47)'!$A:$B,2,0)*VLOOKUP(A117,'[50]geoMap (47)'!$A:$C,3,0)</f>
        <v>#REF!</v>
      </c>
      <c r="AX117" s="4" t="e">
        <f>AW117/VLOOKUP(A117,'[51]geoMap (48)'!$A:$B,2,0)*VLOOKUP(A117,'[51]geoMap (48)'!$A:$C,3,0)</f>
        <v>#REF!</v>
      </c>
      <c r="AY117" s="1" t="e">
        <f>AX117/VLOOKUP(A117,'[52]geoMap (49)'!$A:$B,2,0)*VLOOKUP(A117,'[52]geoMap (49)'!$A:$C,3,0)</f>
        <v>#REF!</v>
      </c>
      <c r="AZ117" s="4" t="e">
        <f>AY117/VLOOKUP(A117,'[53]geoMap (50)'!$A:$B,2,0)*VLOOKUP(A117,'[53]geoMap (50)'!$A:$C,3,0)</f>
        <v>#REF!</v>
      </c>
      <c r="BA117" s="1" t="e">
        <f>AZ117/VLOOKUP(A117,'[54]geoMap (51)'!$A:$B,2,0)*VLOOKUP(A117,'[54]geoMap (51)'!$A:$C,3,0)</f>
        <v>#REF!</v>
      </c>
      <c r="BB117" s="4" t="e">
        <f>BA117/VLOOKUP(A117,'[55]geoMap (52)'!$A:$B,2,0)*VLOOKUP(A117,'[55]geoMap (52)'!$A:$C,3,0)</f>
        <v>#REF!</v>
      </c>
      <c r="BC117" s="1" t="e">
        <f>BB117/VLOOKUP(A117,'[56]geoMap (53)'!$A:$B,2,0)*VLOOKUP(A117,'[56]geoMap (53)'!$A:$C,3,0)</f>
        <v>#REF!</v>
      </c>
      <c r="BD117" s="4" t="e">
        <f>BC117/VLOOKUP(A117,'[57]geoMap (54)'!$A:$B,2,0)*VLOOKUP(A117,'[57]geoMap (54)'!$A:$C,3,0)</f>
        <v>#REF!</v>
      </c>
      <c r="BE117" s="1" t="e">
        <f>BD117/VLOOKUP(A117,'[58]geoMap (55)'!$A:$B,2,0)*VLOOKUP(A117,'[58]geoMap (55)'!$A:$C,3,0)</f>
        <v>#REF!</v>
      </c>
      <c r="BF117" s="4" t="e">
        <f>BE117/VLOOKUP(A117,'[59]geoMap (56)'!$A:$B,2,0)*VLOOKUP(A117,'[59]geoMap (56)'!$A:$C,3,0)</f>
        <v>#REF!</v>
      </c>
      <c r="BG117" s="1" t="e">
        <f>BF117/VLOOKUP(A117,'[60]geoMap (57)'!$A:$B,2,0)*VLOOKUP(A117,'[60]geoMap (57)'!$A:$C,3,0)</f>
        <v>#REF!</v>
      </c>
      <c r="BH117" s="4" t="e">
        <f>BG117/VLOOKUP(A117,'[61]geoMap (58)'!$A:$B,2,0)*VLOOKUP(A117,'[61]geoMap (58)'!$A:$C,3,0)</f>
        <v>#REF!</v>
      </c>
      <c r="BI117" s="1" t="e">
        <f>BH117/VLOOKUP(A117,'[62]geoMap (59)'!$A:$B,2,0)*VLOOKUP(A117,'[62]geoMap (59)'!$A:$C,3,0)</f>
        <v>#REF!</v>
      </c>
      <c r="BJ117" s="4" t="e">
        <f>BI117/VLOOKUP(A117,'[63]geoMap (60)'!$A:$B,2,0)*VLOOKUP(A117,'[63]geoMap (60)'!$A:$C,3,0)</f>
        <v>#REF!</v>
      </c>
      <c r="BK117" s="1" t="e">
        <f>BJ117/VLOOKUP(A117,'[64]geoMap (61)'!$A:$B,2,0)*VLOOKUP(A117,'[64]geoMap (61)'!$A:$C,3,0)</f>
        <v>#REF!</v>
      </c>
      <c r="BL117" s="4" t="e">
        <f>BK117/VLOOKUP(A117,'[65]geoMap (62)'!$A:$B,2,0)*VLOOKUP(A117,'[65]geoMap (62)'!$A:$C,3,0)</f>
        <v>#REF!</v>
      </c>
      <c r="BM117" s="1" t="e">
        <f>BL117/VLOOKUP(A117,'[66]geoMap (63)'!$A:$B,2,0)*VLOOKUP(A117,'[66]geoMap (63)'!$A:$C,3,0)</f>
        <v>#REF!</v>
      </c>
      <c r="BN117" s="4" t="e">
        <f>BM117/VLOOKUP(A117,'[67]geoMap (64)'!$A:$B,2,0)*VLOOKUP(A117,'[67]geoMap (64)'!$A:$C,3,0)</f>
        <v>#REF!</v>
      </c>
      <c r="BO117" s="1" t="e">
        <f>BN117/VLOOKUP(A117,'[68]geoMap (65)'!$A:$B,2,0)*VLOOKUP(A117,'[68]geoMap (65)'!$A:$C,3,0)</f>
        <v>#REF!</v>
      </c>
      <c r="BP117" s="4" t="e">
        <f>BO117/VLOOKUP(A117,'[69]geoMap (66)'!$A:$B,2,0)*VLOOKUP(A117,'[69]geoMap (66)'!$A:$C,3,0)</f>
        <v>#REF!</v>
      </c>
    </row>
    <row r="118" spans="1:68" x14ac:dyDescent="0.2">
      <c r="A118" s="1" t="s">
        <v>69</v>
      </c>
      <c r="B118" s="1" t="e">
        <f>VLOOKUP(A118,[3]geoMap!$A:$B,2,0)*Notes!$C$6</f>
        <v>#REF!</v>
      </c>
      <c r="C118" s="1" t="e">
        <f>B118/VLOOKUP(A118,'[4]geoMap (1)'!$A:$B,2,0)*VLOOKUP(A118,'[4]geoMap (1)'!$A:$C,3,0)</f>
        <v>#REF!</v>
      </c>
      <c r="D118" s="1" t="e">
        <f>C118/VLOOKUP(A118,'[5]geoMap (2)'!$A:$B,2,0)*VLOOKUP(A118,'[5]geoMap (2)'!$A:$C,3,0)</f>
        <v>#REF!</v>
      </c>
      <c r="E118" s="1" t="e">
        <f>D118/VLOOKUP(A118,'[6]geoMap (3)'!$A:$B,2,0)*VLOOKUP(A118,'[6]geoMap (3)'!$A:$C,3,0)</f>
        <v>#REF!</v>
      </c>
      <c r="F118" s="1" t="e">
        <f>E118/VLOOKUP(A118,'[7]geoMap (4)'!$A:$B,2,0)*VLOOKUP(A118,'[7]geoMap (4)'!$A:$C,3,0)</f>
        <v>#REF!</v>
      </c>
      <c r="G118" s="1" t="e">
        <f>F118/VLOOKUP(A118,'[8]geoMap (5)'!$A:$B,2,0)*VLOOKUP(A118,'[8]geoMap (5)'!$A:$C,3,0)</f>
        <v>#REF!</v>
      </c>
      <c r="H118" s="1" t="e">
        <f>G118/VLOOKUP(A118,'[9]geoMap (6)'!$A:$B,2,0)*VLOOKUP(A118,'[9]geoMap (6)'!$A:$C,3,0)</f>
        <v>#REF!</v>
      </c>
      <c r="I118" s="1" t="e">
        <f>H118/VLOOKUP(A118,'[10]geoMap (7)'!$A:$B,2,0)*VLOOKUP(A118,'[10]geoMap (7)'!$A:$C,3,0)</f>
        <v>#REF!</v>
      </c>
      <c r="J118" s="1" t="e">
        <f>I118/VLOOKUP(A118,'[11]geoMap (8)'!$A:$B,2,0)*VLOOKUP(A118,'[11]geoMap (8)'!$A:$C,3,0)</f>
        <v>#REF!</v>
      </c>
      <c r="K118" s="1" t="e">
        <f>J118/VLOOKUP(A118,'[12]geoMap (9)'!$A:$B,2,0)*VLOOKUP(A118,'[12]geoMap (9)'!$A:$C,3,0)</f>
        <v>#REF!</v>
      </c>
      <c r="L118" s="1" t="e">
        <f>K118/VLOOKUP(A118,'[13]geoMap (10)'!$A:$B,2,0)*VLOOKUP(A118,'[13]geoMap (10)'!$A:$C,3,0)</f>
        <v>#REF!</v>
      </c>
      <c r="M118" s="1" t="e">
        <f>L118/VLOOKUP(A118,'[14]geoMap (11)'!$A:$B,2,0)*VLOOKUP(A118,'[14]geoMap (11)'!$A:$C,3,0)</f>
        <v>#REF!</v>
      </c>
      <c r="N118" s="1" t="e">
        <f>M118/VLOOKUP(A118,'[15]geoMap (12)'!$A:$B,2,0)*VLOOKUP(A118,'[15]geoMap (12)'!$A:$C,3,0)</f>
        <v>#REF!</v>
      </c>
      <c r="O118" s="1" t="e">
        <f>N118/VLOOKUP(A118,'[16]geoMap (13)'!$A:$B,2,0)*VLOOKUP(A118,'[16]geoMap (13)'!$A:$C,3,0)</f>
        <v>#REF!</v>
      </c>
      <c r="P118" s="1" t="e">
        <f>O118/VLOOKUP(A118,'[17]geoMap (14)'!$A:$B,2,0)*VLOOKUP(A118,'[17]geoMap (14)'!$A:$C,3,0)</f>
        <v>#REF!</v>
      </c>
      <c r="Q118" s="1" t="e">
        <f>P118/VLOOKUP(A118,'[18]geoMap (15)'!$A:$B,2,0)*VLOOKUP(A118,'[18]geoMap (15)'!$A:$C,3,0)</f>
        <v>#REF!</v>
      </c>
      <c r="R118" s="1" t="e">
        <f>Q118/VLOOKUP(A118,'[19]geoMap (16)'!$A:$B,2,0)*VLOOKUP(A118,'[19]geoMap (16)'!$A:$C,3,0)</f>
        <v>#REF!</v>
      </c>
      <c r="S118" s="1" t="e">
        <f>R118/VLOOKUP(A118,'[20]geoMap (17)'!$A:$B,2,0)*VLOOKUP(A118,'[20]geoMap (17)'!$A:$C,3,0)</f>
        <v>#REF!</v>
      </c>
      <c r="T118" s="1" t="e">
        <f>S118/VLOOKUP(A118,'[21]geoMap (18)'!$A:$B,2,0)*VLOOKUP(A118,'[21]geoMap (18)'!$A:$C,3,0)</f>
        <v>#REF!</v>
      </c>
      <c r="U118" s="1" t="e">
        <f>T118/VLOOKUP(A118,'[22]geoMap (19)'!$A:$B,2,0)*VLOOKUP(A118,'[22]geoMap (19)'!$A:$C,3,0)</f>
        <v>#REF!</v>
      </c>
      <c r="V118" s="1" t="e">
        <f>U118/VLOOKUP(A118,'[23]geoMap (20)'!$A:$B,2,0)*VLOOKUP(A118,'[23]geoMap (20)'!$A:$C,3,0)</f>
        <v>#REF!</v>
      </c>
      <c r="W118" s="1" t="e">
        <f>V118/VLOOKUP(A118,'[24]geoMap (21)'!$A:$B,2,0)*VLOOKUP(A118,'[24]geoMap (21)'!$A:$C,3,0)</f>
        <v>#REF!</v>
      </c>
      <c r="X118" s="1" t="e">
        <f>W118/VLOOKUP(A118,'[25]geoMap (22)'!$A:$B,2,0)*VLOOKUP(A118,'[25]geoMap (22)'!$A:$C,3,0)</f>
        <v>#REF!</v>
      </c>
      <c r="Y118" s="1" t="e">
        <f>X118/VLOOKUP(A118,'[26]geoMap (23)'!$A:$B,2,0)*VLOOKUP(A118,'[26]geoMap (23)'!$A:$C,3,0)</f>
        <v>#REF!</v>
      </c>
      <c r="Z118" s="1" t="e">
        <f>Y118/VLOOKUP(A118,'[27]geoMap (24)'!$A:$B,2,0)*VLOOKUP(A118,'[27]geoMap (24)'!$A:$C,3,0)</f>
        <v>#REF!</v>
      </c>
      <c r="AA118" s="1" t="e">
        <f>Z118/VLOOKUP(A118,'[28]geoMap (25)'!$A:$B,2,0)*VLOOKUP(A118,'[28]geoMap (25)'!$A:$C,3,0)</f>
        <v>#REF!</v>
      </c>
      <c r="AB118" s="1" t="e">
        <f>AA118*VLOOKUP(A118,'[29]geoMap (26)'!$A:$B,2,0)*VLOOKUP(A118,'[29]geoMap (26)'!$A:$C,3,0)</f>
        <v>#REF!</v>
      </c>
      <c r="AC118" s="1" t="e">
        <f>AB118/VLOOKUP(A118,'[30]geoMap (27)'!$A:$B,2,0)*VLOOKUP(A118,'[30]geoMap (27)'!$A:$C,3,0)</f>
        <v>#REF!</v>
      </c>
      <c r="AD118" s="1" t="e">
        <f>AC118/VLOOKUP(A118,'[31]geoMap (28)'!$A:$B,2,0)*VLOOKUP(A118,'[31]geoMap (28)'!$A:$C,3,0)</f>
        <v>#REF!</v>
      </c>
      <c r="AE118" s="1" t="e">
        <f>AD118/VLOOKUP(A118,'[32]geoMap (29)'!$A:$B,2,0)*VLOOKUP(A118,'[32]geoMap (29)'!$A:$C,3,0)</f>
        <v>#REF!</v>
      </c>
      <c r="AF118" s="1" t="e">
        <f>AE118/VLOOKUP(A118,'[33]geoMap (30)'!$A:$B,2,0)*VLOOKUP(A118,'[33]geoMap (30)'!$A:$C,3,0)</f>
        <v>#REF!</v>
      </c>
      <c r="AG118" s="1" t="e">
        <f>AF118/VLOOKUP(A118,'[34]geoMap (31)'!$A:$B,2,0)*VLOOKUP(A118,'[34]geoMap (31)'!$A:$C,3,0)</f>
        <v>#REF!</v>
      </c>
      <c r="AH118" s="1" t="e">
        <f>AG118/VLOOKUP(A118,'[35]geoMap (32)'!$A:$B,2,0)*VLOOKUP(A118,'[35]geoMap (32)'!$A:$C,3,0)</f>
        <v>#REF!</v>
      </c>
      <c r="AI118" s="1" t="e">
        <f>AH118/VLOOKUP(A118,'[36]geoMap (33)'!$A:$B,2,0)*VLOOKUP(A118,'[36]geoMap (33)'!$A:$C,3,0)</f>
        <v>#REF!</v>
      </c>
      <c r="AJ118" s="1" t="e">
        <f>AI118/VLOOKUP(A118,'[37]geoMap (34)'!$A:$B,2,0)*VLOOKUP(A118,'[37]geoMap (34)'!$A:$C,3,0)</f>
        <v>#REF!</v>
      </c>
      <c r="AK118" s="1" t="e">
        <f>AJ118/VLOOKUP(A118,'[38]geoMap (35)'!$A:$B,2,0)*VLOOKUP(A118,'[38]geoMap (35)'!$A:$C,3,0)</f>
        <v>#REF!</v>
      </c>
      <c r="AL118" s="1" t="e">
        <f>AK118/VLOOKUP(A118,'[39]geoMap (36)'!$A:$B,2,0)*VLOOKUP(A118,'[39]geoMap (36)'!$A:$C,3,0)</f>
        <v>#REF!</v>
      </c>
      <c r="AM118" s="1" t="e">
        <f>AL118/VLOOKUP(A118,'[40]geoMap (37)'!$A:$B,2,0)*VLOOKUP(A118,'[40]geoMap (37)'!$A:$C,3,0)</f>
        <v>#REF!</v>
      </c>
      <c r="AN118" s="1" t="e">
        <f>AM118/VLOOKUP(A118,'[41]geoMap (38)'!$A:$B,2,0)*VLOOKUP(A118,'[41]geoMap (38)'!$A:$C,3,0)</f>
        <v>#REF!</v>
      </c>
      <c r="AO118" s="1" t="e">
        <f>AN118/VLOOKUP(A118,'[42]geoMap (39)'!$A:$B,2,0)*VLOOKUP(A118,'[42]geoMap (39)'!$A:$C,3,0)</f>
        <v>#REF!</v>
      </c>
      <c r="AP118" s="1" t="e">
        <f>AO118/VLOOKUP(A118,'[43]geoMap (40)'!$A:$B,2,0)*VLOOKUP(A118,'[43]geoMap (40)'!$A:$C,3,0)</f>
        <v>#REF!</v>
      </c>
      <c r="AQ118" s="1" t="e">
        <f>AP118/VLOOKUP(A118,'[44]geoMap (41)'!$A:$B,2,0)*VLOOKUP(A118,'[44]geoMap (41)'!$A:$C,3,0)</f>
        <v>#REF!</v>
      </c>
      <c r="AR118" s="1" t="e">
        <f>AQ118/VLOOKUP(A118,'[45]geoMap (42)'!$A:$B,2,0)*VLOOKUP(A118,'[45]geoMap (42)'!$A:$C,3,0)</f>
        <v>#REF!</v>
      </c>
      <c r="AS118" s="1" t="e">
        <f>AR118/VLOOKUP(A118,'[46]geoMap (43)'!$A:$B,2,0)*VLOOKUP(A118,'[46]geoMap (43)'!$A:$C,3,0)</f>
        <v>#REF!</v>
      </c>
      <c r="AT118" s="1" t="e">
        <f>AS118/VLOOKUP(A118,'[47]geoMap (44)'!$A:$B,2,0)*VLOOKUP(A118,'[47]geoMap (44)'!$A:$C,3,0)</f>
        <v>#REF!</v>
      </c>
      <c r="AU118" s="1" t="e">
        <f>AT118/VLOOKUP(A118,'[48]geoMap (45)'!$A:$B,2,0)*VLOOKUP(A118,'[48]geoMap (45)'!$A:$C,3,0)</f>
        <v>#REF!</v>
      </c>
      <c r="AV118" s="1" t="e">
        <f>AU118/VLOOKUP(A118,'[49]geoMap (46)'!$A:$B,2,0)*VLOOKUP(A118,'[49]geoMap (46)'!$A:$C,3,0)</f>
        <v>#REF!</v>
      </c>
      <c r="AW118" s="1" t="e">
        <f>AV118/VLOOKUP(A118,'[50]geoMap (47)'!$A:$B,2,0)*VLOOKUP(A118,'[50]geoMap (47)'!$A:$C,3,0)</f>
        <v>#REF!</v>
      </c>
      <c r="AX118" s="4" t="e">
        <f>AW118/VLOOKUP(A118,'[51]geoMap (48)'!$A:$B,2,0)*VLOOKUP(A118,'[51]geoMap (48)'!$A:$C,3,0)</f>
        <v>#REF!</v>
      </c>
      <c r="AY118" s="1" t="e">
        <f>AX118/VLOOKUP(A118,'[52]geoMap (49)'!$A:$B,2,0)*VLOOKUP(A118,'[52]geoMap (49)'!$A:$C,3,0)</f>
        <v>#REF!</v>
      </c>
      <c r="AZ118" s="4" t="e">
        <f>AY118/VLOOKUP(A118,'[53]geoMap (50)'!$A:$B,2,0)*VLOOKUP(A118,'[53]geoMap (50)'!$A:$C,3,0)</f>
        <v>#REF!</v>
      </c>
      <c r="BA118" s="1" t="e">
        <f>AZ118/VLOOKUP(A118,'[54]geoMap (51)'!$A:$B,2,0)*VLOOKUP(A118,'[54]geoMap (51)'!$A:$C,3,0)</f>
        <v>#REF!</v>
      </c>
      <c r="BB118" s="4" t="e">
        <f>BA118/VLOOKUP(A118,'[55]geoMap (52)'!$A:$B,2,0)*VLOOKUP(A118,'[55]geoMap (52)'!$A:$C,3,0)</f>
        <v>#REF!</v>
      </c>
      <c r="BC118" s="1" t="e">
        <f>BB118/VLOOKUP(A118,'[56]geoMap (53)'!$A:$B,2,0)*VLOOKUP(A118,'[56]geoMap (53)'!$A:$C,3,0)</f>
        <v>#REF!</v>
      </c>
      <c r="BD118" s="4" t="e">
        <f>BC118/VLOOKUP(A118,'[57]geoMap (54)'!$A:$B,2,0)*VLOOKUP(A118,'[57]geoMap (54)'!$A:$C,3,0)</f>
        <v>#REF!</v>
      </c>
      <c r="BE118" s="1" t="e">
        <f>BD118/VLOOKUP(A118,'[58]geoMap (55)'!$A:$B,2,0)*VLOOKUP(A118,'[58]geoMap (55)'!$A:$C,3,0)</f>
        <v>#REF!</v>
      </c>
      <c r="BF118" s="4" t="e">
        <f>BE118/VLOOKUP(A118,'[59]geoMap (56)'!$A:$B,2,0)*VLOOKUP(A118,'[59]geoMap (56)'!$A:$C,3,0)</f>
        <v>#REF!</v>
      </c>
      <c r="BG118" s="1" t="e">
        <f>BF118/VLOOKUP(A118,'[60]geoMap (57)'!$A:$B,2,0)*VLOOKUP(A118,'[60]geoMap (57)'!$A:$C,3,0)</f>
        <v>#REF!</v>
      </c>
      <c r="BH118" s="4" t="e">
        <f>BG118/VLOOKUP(A118,'[61]geoMap (58)'!$A:$B,2,0)*VLOOKUP(A118,'[61]geoMap (58)'!$A:$C,3,0)</f>
        <v>#REF!</v>
      </c>
      <c r="BI118" s="1" t="e">
        <f>BH118/VLOOKUP(A118,'[62]geoMap (59)'!$A:$B,2,0)*VLOOKUP(A118,'[62]geoMap (59)'!$A:$C,3,0)</f>
        <v>#REF!</v>
      </c>
      <c r="BJ118" s="4" t="e">
        <f>BI118/VLOOKUP(A118,'[63]geoMap (60)'!$A:$B,2,0)*VLOOKUP(A118,'[63]geoMap (60)'!$A:$C,3,0)</f>
        <v>#REF!</v>
      </c>
      <c r="BK118" s="1" t="e">
        <f>BJ118/VLOOKUP(A118,'[64]geoMap (61)'!$A:$B,2,0)*VLOOKUP(A118,'[64]geoMap (61)'!$A:$C,3,0)</f>
        <v>#REF!</v>
      </c>
      <c r="BL118" s="4" t="e">
        <f>BK118/VLOOKUP(A118,'[65]geoMap (62)'!$A:$B,2,0)*VLOOKUP(A118,'[65]geoMap (62)'!$A:$C,3,0)</f>
        <v>#REF!</v>
      </c>
      <c r="BM118" s="1" t="e">
        <f>BL118/VLOOKUP(A118,'[66]geoMap (63)'!$A:$B,2,0)*VLOOKUP(A118,'[66]geoMap (63)'!$A:$C,3,0)</f>
        <v>#REF!</v>
      </c>
      <c r="BN118" s="4" t="e">
        <f>BM118/VLOOKUP(A118,'[67]geoMap (64)'!$A:$B,2,0)*VLOOKUP(A118,'[67]geoMap (64)'!$A:$C,3,0)</f>
        <v>#REF!</v>
      </c>
      <c r="BO118" s="1" t="e">
        <f>BN118/VLOOKUP(A118,'[68]geoMap (65)'!$A:$B,2,0)*VLOOKUP(A118,'[68]geoMap (65)'!$A:$C,3,0)</f>
        <v>#REF!</v>
      </c>
      <c r="BP118" s="4" t="e">
        <f>BO118/VLOOKUP(A118,'[69]geoMap (66)'!$A:$B,2,0)*VLOOKUP(A118,'[69]geoMap (66)'!$A:$C,3,0)</f>
        <v>#REF!</v>
      </c>
    </row>
    <row r="119" spans="1:68" x14ac:dyDescent="0.2">
      <c r="A119" s="1" t="s">
        <v>72</v>
      </c>
      <c r="B119" s="1" t="e">
        <f>VLOOKUP(A119,[3]geoMap!$A:$B,2,0)*Notes!$C$6</f>
        <v>#REF!</v>
      </c>
      <c r="C119" s="1" t="e">
        <f>B119/VLOOKUP(A119,'[4]geoMap (1)'!$A:$B,2,0)*VLOOKUP(A119,'[4]geoMap (1)'!$A:$C,3,0)</f>
        <v>#REF!</v>
      </c>
      <c r="D119" s="1" t="e">
        <f>C119/VLOOKUP(A119,'[5]geoMap (2)'!$A:$B,2,0)*VLOOKUP(A119,'[5]geoMap (2)'!$A:$C,3,0)</f>
        <v>#REF!</v>
      </c>
      <c r="E119" s="1" t="e">
        <f>D119/VLOOKUP(A119,'[6]geoMap (3)'!$A:$B,2,0)*VLOOKUP(A119,'[6]geoMap (3)'!$A:$C,3,0)</f>
        <v>#REF!</v>
      </c>
      <c r="F119" s="1" t="e">
        <f>E119/VLOOKUP(A119,'[7]geoMap (4)'!$A:$B,2,0)*VLOOKUP(A119,'[7]geoMap (4)'!$A:$C,3,0)</f>
        <v>#REF!</v>
      </c>
      <c r="G119" s="1" t="e">
        <f>F119/VLOOKUP(A119,'[8]geoMap (5)'!$A:$B,2,0)*VLOOKUP(A119,'[8]geoMap (5)'!$A:$C,3,0)</f>
        <v>#REF!</v>
      </c>
      <c r="H119" s="1" t="e">
        <f>G119/VLOOKUP(A119,'[9]geoMap (6)'!$A:$B,2,0)*VLOOKUP(A119,'[9]geoMap (6)'!$A:$C,3,0)</f>
        <v>#REF!</v>
      </c>
      <c r="I119" s="1" t="e">
        <f>H119/VLOOKUP(A119,'[10]geoMap (7)'!$A:$B,2,0)*VLOOKUP(A119,'[10]geoMap (7)'!$A:$C,3,0)</f>
        <v>#REF!</v>
      </c>
      <c r="J119" s="1" t="e">
        <f>I119/VLOOKUP(A119,'[11]geoMap (8)'!$A:$B,2,0)*VLOOKUP(A119,'[11]geoMap (8)'!$A:$C,3,0)</f>
        <v>#REF!</v>
      </c>
      <c r="K119" s="1" t="e">
        <f>J119/VLOOKUP(A119,'[12]geoMap (9)'!$A:$B,2,0)*VLOOKUP(A119,'[12]geoMap (9)'!$A:$C,3,0)</f>
        <v>#REF!</v>
      </c>
      <c r="L119" s="1" t="e">
        <f>K119/VLOOKUP(A119,'[13]geoMap (10)'!$A:$B,2,0)*VLOOKUP(A119,'[13]geoMap (10)'!$A:$C,3,0)</f>
        <v>#REF!</v>
      </c>
      <c r="M119" s="1" t="e">
        <f>L119/VLOOKUP(A119,'[14]geoMap (11)'!$A:$B,2,0)*VLOOKUP(A119,'[14]geoMap (11)'!$A:$C,3,0)</f>
        <v>#REF!</v>
      </c>
      <c r="N119" s="1" t="e">
        <f>M119/VLOOKUP(A119,'[15]geoMap (12)'!$A:$B,2,0)*VLOOKUP(A119,'[15]geoMap (12)'!$A:$C,3,0)</f>
        <v>#REF!</v>
      </c>
      <c r="O119" s="1" t="e">
        <f>N119/VLOOKUP(A119,'[16]geoMap (13)'!$A:$B,2,0)*VLOOKUP(A119,'[16]geoMap (13)'!$A:$C,3,0)</f>
        <v>#REF!</v>
      </c>
      <c r="P119" s="1" t="e">
        <f>O119/VLOOKUP(A119,'[17]geoMap (14)'!$A:$B,2,0)*VLOOKUP(A119,'[17]geoMap (14)'!$A:$C,3,0)</f>
        <v>#REF!</v>
      </c>
      <c r="Q119" s="1" t="e">
        <f>P119/VLOOKUP(A119,'[18]geoMap (15)'!$A:$B,2,0)*VLOOKUP(A119,'[18]geoMap (15)'!$A:$C,3,0)</f>
        <v>#REF!</v>
      </c>
      <c r="R119" s="1" t="e">
        <f>Q119/VLOOKUP(A119,'[19]geoMap (16)'!$A:$B,2,0)*VLOOKUP(A119,'[19]geoMap (16)'!$A:$C,3,0)</f>
        <v>#REF!</v>
      </c>
      <c r="S119" s="1" t="e">
        <f>R119/VLOOKUP(A119,'[20]geoMap (17)'!$A:$B,2,0)*VLOOKUP(A119,'[20]geoMap (17)'!$A:$C,3,0)</f>
        <v>#REF!</v>
      </c>
      <c r="T119" s="1" t="e">
        <f>S119/VLOOKUP(A119,'[21]geoMap (18)'!$A:$B,2,0)*VLOOKUP(A119,'[21]geoMap (18)'!$A:$C,3,0)</f>
        <v>#REF!</v>
      </c>
      <c r="U119" s="1" t="e">
        <f>T119/VLOOKUP(A119,'[22]geoMap (19)'!$A:$B,2,0)*VLOOKUP(A119,'[22]geoMap (19)'!$A:$C,3,0)</f>
        <v>#REF!</v>
      </c>
      <c r="V119" s="1" t="e">
        <f>U119/VLOOKUP(A119,'[23]geoMap (20)'!$A:$B,2,0)*VLOOKUP(A119,'[23]geoMap (20)'!$A:$C,3,0)</f>
        <v>#REF!</v>
      </c>
      <c r="W119" s="1" t="e">
        <f>V119/VLOOKUP(A119,'[24]geoMap (21)'!$A:$B,2,0)*VLOOKUP(A119,'[24]geoMap (21)'!$A:$C,3,0)</f>
        <v>#REF!</v>
      </c>
      <c r="X119" s="1" t="e">
        <f>W119/VLOOKUP(A119,'[25]geoMap (22)'!$A:$B,2,0)*VLOOKUP(A119,'[25]geoMap (22)'!$A:$C,3,0)</f>
        <v>#REF!</v>
      </c>
      <c r="Y119" s="1" t="e">
        <f>X119/VLOOKUP(A119,'[26]geoMap (23)'!$A:$B,2,0)*VLOOKUP(A119,'[26]geoMap (23)'!$A:$C,3,0)</f>
        <v>#REF!</v>
      </c>
      <c r="Z119" s="1" t="e">
        <f>Y119/VLOOKUP(A119,'[27]geoMap (24)'!$A:$B,2,0)*VLOOKUP(A119,'[27]geoMap (24)'!$A:$C,3,0)</f>
        <v>#REF!</v>
      </c>
      <c r="AA119" s="1" t="e">
        <f>Z119/VLOOKUP(A119,'[28]geoMap (25)'!$A:$B,2,0)*VLOOKUP(A119,'[28]geoMap (25)'!$A:$C,3,0)</f>
        <v>#REF!</v>
      </c>
      <c r="AB119" s="1" t="e">
        <f>AA119*VLOOKUP(A119,'[29]geoMap (26)'!$A:$B,2,0)*VLOOKUP(A119,'[29]geoMap (26)'!$A:$C,3,0)</f>
        <v>#REF!</v>
      </c>
      <c r="AC119" s="1" t="e">
        <f>AB119/VLOOKUP(A119,'[30]geoMap (27)'!$A:$B,2,0)*VLOOKUP(A119,'[30]geoMap (27)'!$A:$C,3,0)</f>
        <v>#REF!</v>
      </c>
      <c r="AD119" s="1" t="e">
        <f>AC119/VLOOKUP(A119,'[31]geoMap (28)'!$A:$B,2,0)*VLOOKUP(A119,'[31]geoMap (28)'!$A:$C,3,0)</f>
        <v>#REF!</v>
      </c>
      <c r="AE119" s="1" t="e">
        <f>AD119/VLOOKUP(A119,'[32]geoMap (29)'!$A:$B,2,0)*VLOOKUP(A119,'[32]geoMap (29)'!$A:$C,3,0)</f>
        <v>#REF!</v>
      </c>
      <c r="AF119" s="1" t="e">
        <f>AE119/VLOOKUP(A119,'[33]geoMap (30)'!$A:$B,2,0)*VLOOKUP(A119,'[33]geoMap (30)'!$A:$C,3,0)</f>
        <v>#REF!</v>
      </c>
      <c r="AG119" s="1" t="e">
        <f>AF119/VLOOKUP(A119,'[34]geoMap (31)'!$A:$B,2,0)*VLOOKUP(A119,'[34]geoMap (31)'!$A:$C,3,0)</f>
        <v>#REF!</v>
      </c>
      <c r="AH119" s="1" t="e">
        <f>AG119/VLOOKUP(A119,'[35]geoMap (32)'!$A:$B,2,0)*VLOOKUP(A119,'[35]geoMap (32)'!$A:$C,3,0)</f>
        <v>#REF!</v>
      </c>
      <c r="AI119" s="1" t="e">
        <f>AH119/VLOOKUP(A119,'[36]geoMap (33)'!$A:$B,2,0)*VLOOKUP(A119,'[36]geoMap (33)'!$A:$C,3,0)</f>
        <v>#REF!</v>
      </c>
      <c r="AJ119" s="1" t="e">
        <f>AI119/VLOOKUP(A119,'[37]geoMap (34)'!$A:$B,2,0)*VLOOKUP(A119,'[37]geoMap (34)'!$A:$C,3,0)</f>
        <v>#REF!</v>
      </c>
      <c r="AK119" s="1" t="e">
        <f>AJ119/VLOOKUP(A119,'[38]geoMap (35)'!$A:$B,2,0)*VLOOKUP(A119,'[38]geoMap (35)'!$A:$C,3,0)</f>
        <v>#REF!</v>
      </c>
      <c r="AL119" s="1" t="e">
        <f>AK119/VLOOKUP(A119,'[39]geoMap (36)'!$A:$B,2,0)*VLOOKUP(A119,'[39]geoMap (36)'!$A:$C,3,0)</f>
        <v>#REF!</v>
      </c>
      <c r="AM119" s="1" t="e">
        <f>AL119/VLOOKUP(A119,'[40]geoMap (37)'!$A:$B,2,0)*VLOOKUP(A119,'[40]geoMap (37)'!$A:$C,3,0)</f>
        <v>#REF!</v>
      </c>
      <c r="AN119" s="1" t="e">
        <f>AM119/VLOOKUP(A119,'[41]geoMap (38)'!$A:$B,2,0)*VLOOKUP(A119,'[41]geoMap (38)'!$A:$C,3,0)</f>
        <v>#REF!</v>
      </c>
      <c r="AO119" s="1" t="e">
        <f>AN119/VLOOKUP(A119,'[42]geoMap (39)'!$A:$B,2,0)*VLOOKUP(A119,'[42]geoMap (39)'!$A:$C,3,0)</f>
        <v>#REF!</v>
      </c>
      <c r="AP119" s="1" t="e">
        <f>AO119/VLOOKUP(A119,'[43]geoMap (40)'!$A:$B,2,0)*VLOOKUP(A119,'[43]geoMap (40)'!$A:$C,3,0)</f>
        <v>#REF!</v>
      </c>
      <c r="AQ119" s="1" t="e">
        <f>AP119/VLOOKUP(A119,'[44]geoMap (41)'!$A:$B,2,0)*VLOOKUP(A119,'[44]geoMap (41)'!$A:$C,3,0)</f>
        <v>#REF!</v>
      </c>
      <c r="AR119" s="1" t="e">
        <f>AQ119/VLOOKUP(A119,'[45]geoMap (42)'!$A:$B,2,0)*VLOOKUP(A119,'[45]geoMap (42)'!$A:$C,3,0)</f>
        <v>#REF!</v>
      </c>
      <c r="AS119" s="1" t="e">
        <f>AR119/VLOOKUP(A119,'[46]geoMap (43)'!$A:$B,2,0)*VLOOKUP(A119,'[46]geoMap (43)'!$A:$C,3,0)</f>
        <v>#REF!</v>
      </c>
      <c r="AT119" s="1" t="e">
        <f>AS119/VLOOKUP(A119,'[47]geoMap (44)'!$A:$B,2,0)*VLOOKUP(A119,'[47]geoMap (44)'!$A:$C,3,0)</f>
        <v>#REF!</v>
      </c>
      <c r="AU119" s="1" t="e">
        <f>AT119/VLOOKUP(A119,'[48]geoMap (45)'!$A:$B,2,0)*VLOOKUP(A119,'[48]geoMap (45)'!$A:$C,3,0)</f>
        <v>#REF!</v>
      </c>
      <c r="AV119" s="1" t="e">
        <f>AU119/VLOOKUP(A119,'[49]geoMap (46)'!$A:$B,2,0)*VLOOKUP(A119,'[49]geoMap (46)'!$A:$C,3,0)</f>
        <v>#REF!</v>
      </c>
      <c r="AW119" s="1" t="e">
        <f>AV119/VLOOKUP(A119,'[50]geoMap (47)'!$A:$B,2,0)*VLOOKUP(A119,'[50]geoMap (47)'!$A:$C,3,0)</f>
        <v>#REF!</v>
      </c>
      <c r="AX119" s="4" t="e">
        <f>AW119/VLOOKUP(A119,'[51]geoMap (48)'!$A:$B,2,0)*VLOOKUP(A119,'[51]geoMap (48)'!$A:$C,3,0)</f>
        <v>#REF!</v>
      </c>
      <c r="AY119" s="1" t="e">
        <f>AX119/VLOOKUP(A119,'[52]geoMap (49)'!$A:$B,2,0)*VLOOKUP(A119,'[52]geoMap (49)'!$A:$C,3,0)</f>
        <v>#REF!</v>
      </c>
      <c r="AZ119" s="4" t="e">
        <f>AY119/VLOOKUP(A119,'[53]geoMap (50)'!$A:$B,2,0)*VLOOKUP(A119,'[53]geoMap (50)'!$A:$C,3,0)</f>
        <v>#REF!</v>
      </c>
      <c r="BA119" s="1" t="e">
        <f>AZ119/VLOOKUP(A119,'[54]geoMap (51)'!$A:$B,2,0)*VLOOKUP(A119,'[54]geoMap (51)'!$A:$C,3,0)</f>
        <v>#REF!</v>
      </c>
      <c r="BB119" s="4" t="e">
        <f>BA119/VLOOKUP(A119,'[55]geoMap (52)'!$A:$B,2,0)*VLOOKUP(A119,'[55]geoMap (52)'!$A:$C,3,0)</f>
        <v>#REF!</v>
      </c>
      <c r="BC119" s="1" t="e">
        <f>BB119/VLOOKUP(A119,'[56]geoMap (53)'!$A:$B,2,0)*VLOOKUP(A119,'[56]geoMap (53)'!$A:$C,3,0)</f>
        <v>#REF!</v>
      </c>
      <c r="BD119" s="4" t="e">
        <f>BC119/VLOOKUP(A119,'[57]geoMap (54)'!$A:$B,2,0)*VLOOKUP(A119,'[57]geoMap (54)'!$A:$C,3,0)</f>
        <v>#REF!</v>
      </c>
      <c r="BE119" s="1" t="e">
        <f>BD119/VLOOKUP(A119,'[58]geoMap (55)'!$A:$B,2,0)*VLOOKUP(A119,'[58]geoMap (55)'!$A:$C,3,0)</f>
        <v>#REF!</v>
      </c>
      <c r="BF119" s="4" t="e">
        <f>BE119/VLOOKUP(A119,'[59]geoMap (56)'!$A:$B,2,0)*VLOOKUP(A119,'[59]geoMap (56)'!$A:$C,3,0)</f>
        <v>#REF!</v>
      </c>
      <c r="BG119" s="1" t="e">
        <f>BF119/VLOOKUP(A119,'[60]geoMap (57)'!$A:$B,2,0)*VLOOKUP(A119,'[60]geoMap (57)'!$A:$C,3,0)</f>
        <v>#REF!</v>
      </c>
      <c r="BH119" s="4" t="e">
        <f>BG119/VLOOKUP(A119,'[61]geoMap (58)'!$A:$B,2,0)*VLOOKUP(A119,'[61]geoMap (58)'!$A:$C,3,0)</f>
        <v>#REF!</v>
      </c>
      <c r="BI119" s="1" t="e">
        <f>BH119/VLOOKUP(A119,'[62]geoMap (59)'!$A:$B,2,0)*VLOOKUP(A119,'[62]geoMap (59)'!$A:$C,3,0)</f>
        <v>#REF!</v>
      </c>
      <c r="BJ119" s="4" t="e">
        <f>BI119/VLOOKUP(A119,'[63]geoMap (60)'!$A:$B,2,0)*VLOOKUP(A119,'[63]geoMap (60)'!$A:$C,3,0)</f>
        <v>#REF!</v>
      </c>
      <c r="BK119" s="1" t="e">
        <f>BJ119/VLOOKUP(A119,'[64]geoMap (61)'!$A:$B,2,0)*VLOOKUP(A119,'[64]geoMap (61)'!$A:$C,3,0)</f>
        <v>#REF!</v>
      </c>
      <c r="BL119" s="4" t="e">
        <f>BK119/VLOOKUP(A119,'[65]geoMap (62)'!$A:$B,2,0)*VLOOKUP(A119,'[65]geoMap (62)'!$A:$C,3,0)</f>
        <v>#REF!</v>
      </c>
      <c r="BM119" s="1" t="e">
        <f>BL119/VLOOKUP(A119,'[66]geoMap (63)'!$A:$B,2,0)*VLOOKUP(A119,'[66]geoMap (63)'!$A:$C,3,0)</f>
        <v>#REF!</v>
      </c>
      <c r="BN119" s="4" t="e">
        <f>BM119/VLOOKUP(A119,'[67]geoMap (64)'!$A:$B,2,0)*VLOOKUP(A119,'[67]geoMap (64)'!$A:$C,3,0)</f>
        <v>#REF!</v>
      </c>
      <c r="BO119" s="1" t="e">
        <f>BN119/VLOOKUP(A119,'[68]geoMap (65)'!$A:$B,2,0)*VLOOKUP(A119,'[68]geoMap (65)'!$A:$C,3,0)</f>
        <v>#REF!</v>
      </c>
      <c r="BP119" s="4" t="e">
        <f>BO119/VLOOKUP(A119,'[69]geoMap (66)'!$A:$B,2,0)*VLOOKUP(A119,'[69]geoMap (66)'!$A:$C,3,0)</f>
        <v>#REF!</v>
      </c>
    </row>
    <row r="120" spans="1:68" x14ac:dyDescent="0.2">
      <c r="A120" s="1" t="s">
        <v>74</v>
      </c>
      <c r="B120" s="1" t="e">
        <f>VLOOKUP(A120,[3]geoMap!$A:$B,2,0)*Notes!$C$6</f>
        <v>#REF!</v>
      </c>
      <c r="C120" s="1" t="e">
        <f>B120/VLOOKUP(A120,'[4]geoMap (1)'!$A:$B,2,0)*VLOOKUP(A120,'[4]geoMap (1)'!$A:$C,3,0)</f>
        <v>#REF!</v>
      </c>
      <c r="D120" s="1" t="e">
        <f>C120/VLOOKUP(A120,'[5]geoMap (2)'!$A:$B,2,0)*VLOOKUP(A120,'[5]geoMap (2)'!$A:$C,3,0)</f>
        <v>#REF!</v>
      </c>
      <c r="E120" s="1" t="e">
        <f>D120/VLOOKUP(A120,'[6]geoMap (3)'!$A:$B,2,0)*VLOOKUP(A120,'[6]geoMap (3)'!$A:$C,3,0)</f>
        <v>#REF!</v>
      </c>
      <c r="F120" s="1" t="e">
        <f>E120/VLOOKUP(A120,'[7]geoMap (4)'!$A:$B,2,0)*VLOOKUP(A120,'[7]geoMap (4)'!$A:$C,3,0)</f>
        <v>#REF!</v>
      </c>
      <c r="G120" s="1" t="e">
        <f>F120/VLOOKUP(A120,'[8]geoMap (5)'!$A:$B,2,0)*VLOOKUP(A120,'[8]geoMap (5)'!$A:$C,3,0)</f>
        <v>#REF!</v>
      </c>
      <c r="H120" s="1" t="e">
        <f>G120/VLOOKUP(A120,'[9]geoMap (6)'!$A:$B,2,0)*VLOOKUP(A120,'[9]geoMap (6)'!$A:$C,3,0)</f>
        <v>#REF!</v>
      </c>
      <c r="I120" s="1" t="e">
        <f>H120/VLOOKUP(A120,'[10]geoMap (7)'!$A:$B,2,0)*VLOOKUP(A120,'[10]geoMap (7)'!$A:$C,3,0)</f>
        <v>#REF!</v>
      </c>
      <c r="J120" s="1" t="e">
        <f>I120/VLOOKUP(A120,'[11]geoMap (8)'!$A:$B,2,0)*VLOOKUP(A120,'[11]geoMap (8)'!$A:$C,3,0)</f>
        <v>#REF!</v>
      </c>
      <c r="K120" s="1" t="e">
        <f>J120/VLOOKUP(A120,'[12]geoMap (9)'!$A:$B,2,0)*VLOOKUP(A120,'[12]geoMap (9)'!$A:$C,3,0)</f>
        <v>#REF!</v>
      </c>
      <c r="L120" s="1" t="e">
        <f>K120/VLOOKUP(A120,'[13]geoMap (10)'!$A:$B,2,0)*VLOOKUP(A120,'[13]geoMap (10)'!$A:$C,3,0)</f>
        <v>#REF!</v>
      </c>
      <c r="M120" s="1" t="e">
        <f>L120/VLOOKUP(A120,'[14]geoMap (11)'!$A:$B,2,0)*VLOOKUP(A120,'[14]geoMap (11)'!$A:$C,3,0)</f>
        <v>#REF!</v>
      </c>
      <c r="N120" s="1" t="e">
        <f>M120/VLOOKUP(A120,'[15]geoMap (12)'!$A:$B,2,0)*VLOOKUP(A120,'[15]geoMap (12)'!$A:$C,3,0)</f>
        <v>#REF!</v>
      </c>
      <c r="O120" s="1" t="e">
        <f>N120/VLOOKUP(A120,'[16]geoMap (13)'!$A:$B,2,0)*VLOOKUP(A120,'[16]geoMap (13)'!$A:$C,3,0)</f>
        <v>#REF!</v>
      </c>
      <c r="P120" s="1" t="e">
        <f>O120/VLOOKUP(A120,'[17]geoMap (14)'!$A:$B,2,0)*VLOOKUP(A120,'[17]geoMap (14)'!$A:$C,3,0)</f>
        <v>#REF!</v>
      </c>
      <c r="Q120" s="1" t="e">
        <f>P120/VLOOKUP(A120,'[18]geoMap (15)'!$A:$B,2,0)*VLOOKUP(A120,'[18]geoMap (15)'!$A:$C,3,0)</f>
        <v>#REF!</v>
      </c>
      <c r="R120" s="1" t="e">
        <f>Q120/VLOOKUP(A120,'[19]geoMap (16)'!$A:$B,2,0)*VLOOKUP(A120,'[19]geoMap (16)'!$A:$C,3,0)</f>
        <v>#REF!</v>
      </c>
      <c r="S120" s="1" t="e">
        <f>R120/VLOOKUP(A120,'[20]geoMap (17)'!$A:$B,2,0)*VLOOKUP(A120,'[20]geoMap (17)'!$A:$C,3,0)</f>
        <v>#REF!</v>
      </c>
      <c r="T120" s="1" t="e">
        <f>S120/VLOOKUP(A120,'[21]geoMap (18)'!$A:$B,2,0)*VLOOKUP(A120,'[21]geoMap (18)'!$A:$C,3,0)</f>
        <v>#REF!</v>
      </c>
      <c r="U120" s="1" t="e">
        <f>T120/VLOOKUP(A120,'[22]geoMap (19)'!$A:$B,2,0)*VLOOKUP(A120,'[22]geoMap (19)'!$A:$C,3,0)</f>
        <v>#REF!</v>
      </c>
      <c r="V120" s="1" t="e">
        <f>U120/VLOOKUP(A120,'[23]geoMap (20)'!$A:$B,2,0)*VLOOKUP(A120,'[23]geoMap (20)'!$A:$C,3,0)</f>
        <v>#REF!</v>
      </c>
      <c r="W120" s="1" t="e">
        <f>V120/VLOOKUP(A120,'[24]geoMap (21)'!$A:$B,2,0)*VLOOKUP(A120,'[24]geoMap (21)'!$A:$C,3,0)</f>
        <v>#REF!</v>
      </c>
      <c r="X120" s="1" t="e">
        <f>W120/VLOOKUP(A120,'[25]geoMap (22)'!$A:$B,2,0)*VLOOKUP(A120,'[25]geoMap (22)'!$A:$C,3,0)</f>
        <v>#REF!</v>
      </c>
      <c r="Y120" s="1" t="e">
        <f>X120/VLOOKUP(A120,'[26]geoMap (23)'!$A:$B,2,0)*VLOOKUP(A120,'[26]geoMap (23)'!$A:$C,3,0)</f>
        <v>#REF!</v>
      </c>
      <c r="Z120" s="1" t="e">
        <f>Y120/VLOOKUP(A120,'[27]geoMap (24)'!$A:$B,2,0)*VLOOKUP(A120,'[27]geoMap (24)'!$A:$C,3,0)</f>
        <v>#REF!</v>
      </c>
      <c r="AA120" s="1" t="e">
        <f>Z120/VLOOKUP(A120,'[28]geoMap (25)'!$A:$B,2,0)*VLOOKUP(A120,'[28]geoMap (25)'!$A:$C,3,0)</f>
        <v>#REF!</v>
      </c>
      <c r="AB120" s="1" t="e">
        <f>AA120*VLOOKUP(A120,'[29]geoMap (26)'!$A:$B,2,0)*VLOOKUP(A120,'[29]geoMap (26)'!$A:$C,3,0)</f>
        <v>#REF!</v>
      </c>
      <c r="AC120" s="1" t="e">
        <f>AB120/VLOOKUP(A120,'[30]geoMap (27)'!$A:$B,2,0)*VLOOKUP(A120,'[30]geoMap (27)'!$A:$C,3,0)</f>
        <v>#REF!</v>
      </c>
      <c r="AD120" s="1" t="e">
        <f>AC120/VLOOKUP(A120,'[31]geoMap (28)'!$A:$B,2,0)*VLOOKUP(A120,'[31]geoMap (28)'!$A:$C,3,0)</f>
        <v>#REF!</v>
      </c>
      <c r="AE120" s="1" t="e">
        <f>AD120/VLOOKUP(A120,'[32]geoMap (29)'!$A:$B,2,0)*VLOOKUP(A120,'[32]geoMap (29)'!$A:$C,3,0)</f>
        <v>#REF!</v>
      </c>
      <c r="AF120" s="1" t="e">
        <f>AE120/VLOOKUP(A120,'[33]geoMap (30)'!$A:$B,2,0)*VLOOKUP(A120,'[33]geoMap (30)'!$A:$C,3,0)</f>
        <v>#REF!</v>
      </c>
      <c r="AG120" s="1" t="e">
        <f>AF120/VLOOKUP(A120,'[34]geoMap (31)'!$A:$B,2,0)*VLOOKUP(A120,'[34]geoMap (31)'!$A:$C,3,0)</f>
        <v>#REF!</v>
      </c>
      <c r="AH120" s="1" t="e">
        <f>AG120/VLOOKUP(A120,'[35]geoMap (32)'!$A:$B,2,0)*VLOOKUP(A120,'[35]geoMap (32)'!$A:$C,3,0)</f>
        <v>#REF!</v>
      </c>
      <c r="AI120" s="1" t="e">
        <f>AH120/VLOOKUP(A120,'[36]geoMap (33)'!$A:$B,2,0)*VLOOKUP(A120,'[36]geoMap (33)'!$A:$C,3,0)</f>
        <v>#REF!</v>
      </c>
      <c r="AJ120" s="1" t="e">
        <f>AI120/VLOOKUP(A120,'[37]geoMap (34)'!$A:$B,2,0)*VLOOKUP(A120,'[37]geoMap (34)'!$A:$C,3,0)</f>
        <v>#REF!</v>
      </c>
      <c r="AK120" s="1" t="e">
        <f>AJ120/VLOOKUP(A120,'[38]geoMap (35)'!$A:$B,2,0)*VLOOKUP(A120,'[38]geoMap (35)'!$A:$C,3,0)</f>
        <v>#REF!</v>
      </c>
      <c r="AL120" s="1" t="e">
        <f>AK120/VLOOKUP(A120,'[39]geoMap (36)'!$A:$B,2,0)*VLOOKUP(A120,'[39]geoMap (36)'!$A:$C,3,0)</f>
        <v>#REF!</v>
      </c>
      <c r="AM120" s="1" t="e">
        <f>AL120/VLOOKUP(A120,'[40]geoMap (37)'!$A:$B,2,0)*VLOOKUP(A120,'[40]geoMap (37)'!$A:$C,3,0)</f>
        <v>#REF!</v>
      </c>
      <c r="AN120" s="1" t="e">
        <f>AM120/VLOOKUP(A120,'[41]geoMap (38)'!$A:$B,2,0)*VLOOKUP(A120,'[41]geoMap (38)'!$A:$C,3,0)</f>
        <v>#REF!</v>
      </c>
      <c r="AO120" s="1" t="e">
        <f>AN120/VLOOKUP(A120,'[42]geoMap (39)'!$A:$B,2,0)*VLOOKUP(A120,'[42]geoMap (39)'!$A:$C,3,0)</f>
        <v>#REF!</v>
      </c>
      <c r="AP120" s="1" t="e">
        <f>AO120/VLOOKUP(A120,'[43]geoMap (40)'!$A:$B,2,0)*VLOOKUP(A120,'[43]geoMap (40)'!$A:$C,3,0)</f>
        <v>#REF!</v>
      </c>
      <c r="AQ120" s="1" t="e">
        <f>AP120/VLOOKUP(A120,'[44]geoMap (41)'!$A:$B,2,0)*VLOOKUP(A120,'[44]geoMap (41)'!$A:$C,3,0)</f>
        <v>#REF!</v>
      </c>
      <c r="AR120" s="1" t="e">
        <f>AQ120/VLOOKUP(A120,'[45]geoMap (42)'!$A:$B,2,0)*VLOOKUP(A120,'[45]geoMap (42)'!$A:$C,3,0)</f>
        <v>#REF!</v>
      </c>
      <c r="AS120" s="1" t="e">
        <f>AR120/VLOOKUP(A120,'[46]geoMap (43)'!$A:$B,2,0)*VLOOKUP(A120,'[46]geoMap (43)'!$A:$C,3,0)</f>
        <v>#REF!</v>
      </c>
      <c r="AT120" s="1" t="e">
        <f>AS120/VLOOKUP(A120,'[47]geoMap (44)'!$A:$B,2,0)*VLOOKUP(A120,'[47]geoMap (44)'!$A:$C,3,0)</f>
        <v>#REF!</v>
      </c>
      <c r="AU120" s="1" t="e">
        <f>AT120/VLOOKUP(A120,'[48]geoMap (45)'!$A:$B,2,0)*VLOOKUP(A120,'[48]geoMap (45)'!$A:$C,3,0)</f>
        <v>#REF!</v>
      </c>
      <c r="AV120" s="1" t="e">
        <f>AU120/VLOOKUP(A120,'[49]geoMap (46)'!$A:$B,2,0)*VLOOKUP(A120,'[49]geoMap (46)'!$A:$C,3,0)</f>
        <v>#REF!</v>
      </c>
      <c r="AW120" s="1" t="e">
        <f>AV120/VLOOKUP(A120,'[50]geoMap (47)'!$A:$B,2,0)*VLOOKUP(A120,'[50]geoMap (47)'!$A:$C,3,0)</f>
        <v>#REF!</v>
      </c>
      <c r="AX120" s="4" t="e">
        <f>AW120/VLOOKUP(A120,'[51]geoMap (48)'!$A:$B,2,0)*VLOOKUP(A120,'[51]geoMap (48)'!$A:$C,3,0)</f>
        <v>#REF!</v>
      </c>
      <c r="AY120" s="1" t="e">
        <f>AX120/VLOOKUP(A120,'[52]geoMap (49)'!$A:$B,2,0)*VLOOKUP(A120,'[52]geoMap (49)'!$A:$C,3,0)</f>
        <v>#REF!</v>
      </c>
      <c r="AZ120" s="4" t="e">
        <f>AY120/VLOOKUP(A120,'[53]geoMap (50)'!$A:$B,2,0)*VLOOKUP(A120,'[53]geoMap (50)'!$A:$C,3,0)</f>
        <v>#REF!</v>
      </c>
      <c r="BA120" s="1" t="e">
        <f>AZ120/VLOOKUP(A120,'[54]geoMap (51)'!$A:$B,2,0)*VLOOKUP(A120,'[54]geoMap (51)'!$A:$C,3,0)</f>
        <v>#REF!</v>
      </c>
      <c r="BB120" s="4" t="e">
        <f>BA120/VLOOKUP(A120,'[55]geoMap (52)'!$A:$B,2,0)*VLOOKUP(A120,'[55]geoMap (52)'!$A:$C,3,0)</f>
        <v>#REF!</v>
      </c>
      <c r="BC120" s="1" t="e">
        <f>BB120/VLOOKUP(A120,'[56]geoMap (53)'!$A:$B,2,0)*VLOOKUP(A120,'[56]geoMap (53)'!$A:$C,3,0)</f>
        <v>#REF!</v>
      </c>
      <c r="BD120" s="4" t="e">
        <f>BC120/VLOOKUP(A120,'[57]geoMap (54)'!$A:$B,2,0)*VLOOKUP(A120,'[57]geoMap (54)'!$A:$C,3,0)</f>
        <v>#REF!</v>
      </c>
      <c r="BE120" s="1" t="e">
        <f>BD120/VLOOKUP(A120,'[58]geoMap (55)'!$A:$B,2,0)*VLOOKUP(A120,'[58]geoMap (55)'!$A:$C,3,0)</f>
        <v>#REF!</v>
      </c>
      <c r="BF120" s="4" t="e">
        <f>BE120/VLOOKUP(A120,'[59]geoMap (56)'!$A:$B,2,0)*VLOOKUP(A120,'[59]geoMap (56)'!$A:$C,3,0)</f>
        <v>#REF!</v>
      </c>
      <c r="BG120" s="1" t="e">
        <f>BF120/VLOOKUP(A120,'[60]geoMap (57)'!$A:$B,2,0)*VLOOKUP(A120,'[60]geoMap (57)'!$A:$C,3,0)</f>
        <v>#REF!</v>
      </c>
      <c r="BH120" s="4" t="e">
        <f>BG120/VLOOKUP(A120,'[61]geoMap (58)'!$A:$B,2,0)*VLOOKUP(A120,'[61]geoMap (58)'!$A:$C,3,0)</f>
        <v>#REF!</v>
      </c>
      <c r="BI120" s="1" t="e">
        <f>BH120/VLOOKUP(A120,'[62]geoMap (59)'!$A:$B,2,0)*VLOOKUP(A120,'[62]geoMap (59)'!$A:$C,3,0)</f>
        <v>#REF!</v>
      </c>
      <c r="BJ120" s="4" t="e">
        <f>BI120/VLOOKUP(A120,'[63]geoMap (60)'!$A:$B,2,0)*VLOOKUP(A120,'[63]geoMap (60)'!$A:$C,3,0)</f>
        <v>#REF!</v>
      </c>
      <c r="BK120" s="1" t="e">
        <f>BJ120/VLOOKUP(A120,'[64]geoMap (61)'!$A:$B,2,0)*VLOOKUP(A120,'[64]geoMap (61)'!$A:$C,3,0)</f>
        <v>#REF!</v>
      </c>
      <c r="BL120" s="4" t="e">
        <f>BK120/VLOOKUP(A120,'[65]geoMap (62)'!$A:$B,2,0)*VLOOKUP(A120,'[65]geoMap (62)'!$A:$C,3,0)</f>
        <v>#REF!</v>
      </c>
      <c r="BM120" s="1" t="e">
        <f>BL120/VLOOKUP(A120,'[66]geoMap (63)'!$A:$B,2,0)*VLOOKUP(A120,'[66]geoMap (63)'!$A:$C,3,0)</f>
        <v>#REF!</v>
      </c>
      <c r="BN120" s="4" t="e">
        <f>BM120/VLOOKUP(A120,'[67]geoMap (64)'!$A:$B,2,0)*VLOOKUP(A120,'[67]geoMap (64)'!$A:$C,3,0)</f>
        <v>#REF!</v>
      </c>
      <c r="BO120" s="1" t="e">
        <f>BN120/VLOOKUP(A120,'[68]geoMap (65)'!$A:$B,2,0)*VLOOKUP(A120,'[68]geoMap (65)'!$A:$C,3,0)</f>
        <v>#REF!</v>
      </c>
      <c r="BP120" s="4" t="e">
        <f>BO120/VLOOKUP(A120,'[69]geoMap (66)'!$A:$B,2,0)*VLOOKUP(A120,'[69]geoMap (66)'!$A:$C,3,0)</f>
        <v>#REF!</v>
      </c>
    </row>
    <row r="121" spans="1:68" x14ac:dyDescent="0.2">
      <c r="A121" s="1" t="s">
        <v>75</v>
      </c>
      <c r="B121" s="1" t="e">
        <f>VLOOKUP(A121,[3]geoMap!$A:$B,2,0)*Notes!$C$6</f>
        <v>#REF!</v>
      </c>
      <c r="C121" s="1" t="e">
        <f>B121/VLOOKUP(A121,'[4]geoMap (1)'!$A:$B,2,0)*VLOOKUP(A121,'[4]geoMap (1)'!$A:$C,3,0)</f>
        <v>#REF!</v>
      </c>
      <c r="D121" s="1" t="e">
        <f>C121/VLOOKUP(A121,'[5]geoMap (2)'!$A:$B,2,0)*VLOOKUP(A121,'[5]geoMap (2)'!$A:$C,3,0)</f>
        <v>#REF!</v>
      </c>
      <c r="E121" s="1" t="e">
        <f>D121/VLOOKUP(A121,'[6]geoMap (3)'!$A:$B,2,0)*VLOOKUP(A121,'[6]geoMap (3)'!$A:$C,3,0)</f>
        <v>#REF!</v>
      </c>
      <c r="F121" s="1" t="e">
        <f>E121/VLOOKUP(A121,'[7]geoMap (4)'!$A:$B,2,0)*VLOOKUP(A121,'[7]geoMap (4)'!$A:$C,3,0)</f>
        <v>#REF!</v>
      </c>
      <c r="G121" s="1" t="e">
        <f>F121/VLOOKUP(A121,'[8]geoMap (5)'!$A:$B,2,0)*VLOOKUP(A121,'[8]geoMap (5)'!$A:$C,3,0)</f>
        <v>#REF!</v>
      </c>
      <c r="H121" s="1" t="e">
        <f>G121/VLOOKUP(A121,'[9]geoMap (6)'!$A:$B,2,0)*VLOOKUP(A121,'[9]geoMap (6)'!$A:$C,3,0)</f>
        <v>#REF!</v>
      </c>
      <c r="I121" s="1" t="e">
        <f>H121/VLOOKUP(A121,'[10]geoMap (7)'!$A:$B,2,0)*VLOOKUP(A121,'[10]geoMap (7)'!$A:$C,3,0)</f>
        <v>#REF!</v>
      </c>
      <c r="J121" s="1" t="e">
        <f>I121/VLOOKUP(A121,'[11]geoMap (8)'!$A:$B,2,0)*VLOOKUP(A121,'[11]geoMap (8)'!$A:$C,3,0)</f>
        <v>#REF!</v>
      </c>
      <c r="K121" s="1" t="e">
        <f>J121/VLOOKUP(A121,'[12]geoMap (9)'!$A:$B,2,0)*VLOOKUP(A121,'[12]geoMap (9)'!$A:$C,3,0)</f>
        <v>#REF!</v>
      </c>
      <c r="L121" s="1" t="e">
        <f>K121/VLOOKUP(A121,'[13]geoMap (10)'!$A:$B,2,0)*VLOOKUP(A121,'[13]geoMap (10)'!$A:$C,3,0)</f>
        <v>#REF!</v>
      </c>
      <c r="M121" s="1" t="e">
        <f>L121/VLOOKUP(A121,'[14]geoMap (11)'!$A:$B,2,0)*VLOOKUP(A121,'[14]geoMap (11)'!$A:$C,3,0)</f>
        <v>#REF!</v>
      </c>
      <c r="N121" s="1" t="e">
        <f>M121/VLOOKUP(A121,'[15]geoMap (12)'!$A:$B,2,0)*VLOOKUP(A121,'[15]geoMap (12)'!$A:$C,3,0)</f>
        <v>#REF!</v>
      </c>
      <c r="O121" s="1" t="e">
        <f>N121/VLOOKUP(A121,'[16]geoMap (13)'!$A:$B,2,0)*VLOOKUP(A121,'[16]geoMap (13)'!$A:$C,3,0)</f>
        <v>#REF!</v>
      </c>
      <c r="P121" s="1" t="e">
        <f>O121/VLOOKUP(A121,'[17]geoMap (14)'!$A:$B,2,0)*VLOOKUP(A121,'[17]geoMap (14)'!$A:$C,3,0)</f>
        <v>#REF!</v>
      </c>
      <c r="Q121" s="1" t="e">
        <f>P121/VLOOKUP(A121,'[18]geoMap (15)'!$A:$B,2,0)*VLOOKUP(A121,'[18]geoMap (15)'!$A:$C,3,0)</f>
        <v>#REF!</v>
      </c>
      <c r="R121" s="1" t="e">
        <f>Q121/VLOOKUP(A121,'[19]geoMap (16)'!$A:$B,2,0)*VLOOKUP(A121,'[19]geoMap (16)'!$A:$C,3,0)</f>
        <v>#REF!</v>
      </c>
      <c r="S121" s="1" t="e">
        <f>R121/VLOOKUP(A121,'[20]geoMap (17)'!$A:$B,2,0)*VLOOKUP(A121,'[20]geoMap (17)'!$A:$C,3,0)</f>
        <v>#REF!</v>
      </c>
      <c r="T121" s="1" t="e">
        <f>S121/VLOOKUP(A121,'[21]geoMap (18)'!$A:$B,2,0)*VLOOKUP(A121,'[21]geoMap (18)'!$A:$C,3,0)</f>
        <v>#REF!</v>
      </c>
      <c r="U121" s="1" t="e">
        <f>T121/VLOOKUP(A121,'[22]geoMap (19)'!$A:$B,2,0)*VLOOKUP(A121,'[22]geoMap (19)'!$A:$C,3,0)</f>
        <v>#REF!</v>
      </c>
      <c r="V121" s="1" t="e">
        <f>U121/VLOOKUP(A121,'[23]geoMap (20)'!$A:$B,2,0)*VLOOKUP(A121,'[23]geoMap (20)'!$A:$C,3,0)</f>
        <v>#REF!</v>
      </c>
      <c r="W121" s="1" t="e">
        <f>V121/VLOOKUP(A121,'[24]geoMap (21)'!$A:$B,2,0)*VLOOKUP(A121,'[24]geoMap (21)'!$A:$C,3,0)</f>
        <v>#REF!</v>
      </c>
      <c r="X121" s="1" t="e">
        <f>W121/VLOOKUP(A121,'[25]geoMap (22)'!$A:$B,2,0)*VLOOKUP(A121,'[25]geoMap (22)'!$A:$C,3,0)</f>
        <v>#REF!</v>
      </c>
      <c r="Y121" s="1" t="e">
        <f>X121/VLOOKUP(A121,'[26]geoMap (23)'!$A:$B,2,0)*VLOOKUP(A121,'[26]geoMap (23)'!$A:$C,3,0)</f>
        <v>#REF!</v>
      </c>
      <c r="Z121" s="1" t="e">
        <f>Y121/VLOOKUP(A121,'[27]geoMap (24)'!$A:$B,2,0)*VLOOKUP(A121,'[27]geoMap (24)'!$A:$C,3,0)</f>
        <v>#REF!</v>
      </c>
      <c r="AA121" s="1" t="e">
        <f>Z121/VLOOKUP(A121,'[28]geoMap (25)'!$A:$B,2,0)*VLOOKUP(A121,'[28]geoMap (25)'!$A:$C,3,0)</f>
        <v>#REF!</v>
      </c>
      <c r="AB121" s="1" t="e">
        <f>AA121*VLOOKUP(A121,'[29]geoMap (26)'!$A:$B,2,0)*VLOOKUP(A121,'[29]geoMap (26)'!$A:$C,3,0)</f>
        <v>#REF!</v>
      </c>
      <c r="AC121" s="1" t="e">
        <f>AB121/VLOOKUP(A121,'[30]geoMap (27)'!$A:$B,2,0)*VLOOKUP(A121,'[30]geoMap (27)'!$A:$C,3,0)</f>
        <v>#REF!</v>
      </c>
      <c r="AD121" s="1" t="e">
        <f>AC121/VLOOKUP(A121,'[31]geoMap (28)'!$A:$B,2,0)*VLOOKUP(A121,'[31]geoMap (28)'!$A:$C,3,0)</f>
        <v>#REF!</v>
      </c>
      <c r="AE121" s="1" t="e">
        <f>AD121/VLOOKUP(A121,'[32]geoMap (29)'!$A:$B,2,0)*VLOOKUP(A121,'[32]geoMap (29)'!$A:$C,3,0)</f>
        <v>#REF!</v>
      </c>
      <c r="AF121" s="1" t="e">
        <f>AE121/VLOOKUP(A121,'[33]geoMap (30)'!$A:$B,2,0)*VLOOKUP(A121,'[33]geoMap (30)'!$A:$C,3,0)</f>
        <v>#REF!</v>
      </c>
      <c r="AG121" s="1" t="e">
        <f>AF121/VLOOKUP(A121,'[34]geoMap (31)'!$A:$B,2,0)*VLOOKUP(A121,'[34]geoMap (31)'!$A:$C,3,0)</f>
        <v>#REF!</v>
      </c>
      <c r="AH121" s="1" t="e">
        <f>AG121/VLOOKUP(A121,'[35]geoMap (32)'!$A:$B,2,0)*VLOOKUP(A121,'[35]geoMap (32)'!$A:$C,3,0)</f>
        <v>#REF!</v>
      </c>
      <c r="AI121" s="1" t="e">
        <f>AH121/VLOOKUP(A121,'[36]geoMap (33)'!$A:$B,2,0)*VLOOKUP(A121,'[36]geoMap (33)'!$A:$C,3,0)</f>
        <v>#REF!</v>
      </c>
      <c r="AJ121" s="1" t="e">
        <f>AI121/VLOOKUP(A121,'[37]geoMap (34)'!$A:$B,2,0)*VLOOKUP(A121,'[37]geoMap (34)'!$A:$C,3,0)</f>
        <v>#REF!</v>
      </c>
      <c r="AK121" s="1" t="e">
        <f>AJ121/VLOOKUP(A121,'[38]geoMap (35)'!$A:$B,2,0)*VLOOKUP(A121,'[38]geoMap (35)'!$A:$C,3,0)</f>
        <v>#REF!</v>
      </c>
      <c r="AL121" s="1" t="e">
        <f>AK121/VLOOKUP(A121,'[39]geoMap (36)'!$A:$B,2,0)*VLOOKUP(A121,'[39]geoMap (36)'!$A:$C,3,0)</f>
        <v>#REF!</v>
      </c>
      <c r="AM121" s="1" t="e">
        <f>AL121/VLOOKUP(A121,'[40]geoMap (37)'!$A:$B,2,0)*VLOOKUP(A121,'[40]geoMap (37)'!$A:$C,3,0)</f>
        <v>#REF!</v>
      </c>
      <c r="AN121" s="1" t="e">
        <f>AM121/VLOOKUP(A121,'[41]geoMap (38)'!$A:$B,2,0)*VLOOKUP(A121,'[41]geoMap (38)'!$A:$C,3,0)</f>
        <v>#REF!</v>
      </c>
      <c r="AO121" s="1" t="e">
        <f>AN121/VLOOKUP(A121,'[42]geoMap (39)'!$A:$B,2,0)*VLOOKUP(A121,'[42]geoMap (39)'!$A:$C,3,0)</f>
        <v>#REF!</v>
      </c>
      <c r="AP121" s="1" t="e">
        <f>AO121/VLOOKUP(A121,'[43]geoMap (40)'!$A:$B,2,0)*VLOOKUP(A121,'[43]geoMap (40)'!$A:$C,3,0)</f>
        <v>#REF!</v>
      </c>
      <c r="AQ121" s="1" t="e">
        <f>AP121/VLOOKUP(A121,'[44]geoMap (41)'!$A:$B,2,0)*VLOOKUP(A121,'[44]geoMap (41)'!$A:$C,3,0)</f>
        <v>#REF!</v>
      </c>
      <c r="AR121" s="1" t="e">
        <f>AQ121/VLOOKUP(A121,'[45]geoMap (42)'!$A:$B,2,0)*VLOOKUP(A121,'[45]geoMap (42)'!$A:$C,3,0)</f>
        <v>#REF!</v>
      </c>
      <c r="AS121" s="1" t="e">
        <f>AR121/VLOOKUP(A121,'[46]geoMap (43)'!$A:$B,2,0)*VLOOKUP(A121,'[46]geoMap (43)'!$A:$C,3,0)</f>
        <v>#REF!</v>
      </c>
      <c r="AT121" s="1" t="e">
        <f>AS121/VLOOKUP(A121,'[47]geoMap (44)'!$A:$B,2,0)*VLOOKUP(A121,'[47]geoMap (44)'!$A:$C,3,0)</f>
        <v>#REF!</v>
      </c>
      <c r="AU121" s="1" t="e">
        <f>AT121/VLOOKUP(A121,'[48]geoMap (45)'!$A:$B,2,0)*VLOOKUP(A121,'[48]geoMap (45)'!$A:$C,3,0)</f>
        <v>#REF!</v>
      </c>
      <c r="AV121" s="1" t="e">
        <f>AU121/VLOOKUP(A121,'[49]geoMap (46)'!$A:$B,2,0)*VLOOKUP(A121,'[49]geoMap (46)'!$A:$C,3,0)</f>
        <v>#REF!</v>
      </c>
      <c r="AW121" s="1" t="e">
        <f>AV121/VLOOKUP(A121,'[50]geoMap (47)'!$A:$B,2,0)*VLOOKUP(A121,'[50]geoMap (47)'!$A:$C,3,0)</f>
        <v>#REF!</v>
      </c>
      <c r="AX121" s="4" t="e">
        <f>AW121/VLOOKUP(A121,'[51]geoMap (48)'!$A:$B,2,0)*VLOOKUP(A121,'[51]geoMap (48)'!$A:$C,3,0)</f>
        <v>#REF!</v>
      </c>
      <c r="AY121" s="1" t="e">
        <f>AX121/VLOOKUP(A121,'[52]geoMap (49)'!$A:$B,2,0)*VLOOKUP(A121,'[52]geoMap (49)'!$A:$C,3,0)</f>
        <v>#REF!</v>
      </c>
      <c r="AZ121" s="4" t="e">
        <f>AY121/VLOOKUP(A121,'[53]geoMap (50)'!$A:$B,2,0)*VLOOKUP(A121,'[53]geoMap (50)'!$A:$C,3,0)</f>
        <v>#REF!</v>
      </c>
      <c r="BA121" s="1" t="e">
        <f>AZ121/VLOOKUP(A121,'[54]geoMap (51)'!$A:$B,2,0)*VLOOKUP(A121,'[54]geoMap (51)'!$A:$C,3,0)</f>
        <v>#REF!</v>
      </c>
      <c r="BB121" s="4" t="e">
        <f>BA121/VLOOKUP(A121,'[55]geoMap (52)'!$A:$B,2,0)*VLOOKUP(A121,'[55]geoMap (52)'!$A:$C,3,0)</f>
        <v>#REF!</v>
      </c>
      <c r="BC121" s="1" t="e">
        <f>BB121/VLOOKUP(A121,'[56]geoMap (53)'!$A:$B,2,0)*VLOOKUP(A121,'[56]geoMap (53)'!$A:$C,3,0)</f>
        <v>#REF!</v>
      </c>
      <c r="BD121" s="4" t="e">
        <f>BC121/VLOOKUP(A121,'[57]geoMap (54)'!$A:$B,2,0)*VLOOKUP(A121,'[57]geoMap (54)'!$A:$C,3,0)</f>
        <v>#REF!</v>
      </c>
      <c r="BE121" s="1" t="e">
        <f>BD121/VLOOKUP(A121,'[58]geoMap (55)'!$A:$B,2,0)*VLOOKUP(A121,'[58]geoMap (55)'!$A:$C,3,0)</f>
        <v>#REF!</v>
      </c>
      <c r="BF121" s="4" t="e">
        <f>BE121/VLOOKUP(A121,'[59]geoMap (56)'!$A:$B,2,0)*VLOOKUP(A121,'[59]geoMap (56)'!$A:$C,3,0)</f>
        <v>#REF!</v>
      </c>
      <c r="BG121" s="1" t="e">
        <f>BF121/VLOOKUP(A121,'[60]geoMap (57)'!$A:$B,2,0)*VLOOKUP(A121,'[60]geoMap (57)'!$A:$C,3,0)</f>
        <v>#REF!</v>
      </c>
      <c r="BH121" s="4" t="e">
        <f>BG121/VLOOKUP(A121,'[61]geoMap (58)'!$A:$B,2,0)*VLOOKUP(A121,'[61]geoMap (58)'!$A:$C,3,0)</f>
        <v>#REF!</v>
      </c>
      <c r="BI121" s="1" t="e">
        <f>BH121/VLOOKUP(A121,'[62]geoMap (59)'!$A:$B,2,0)*VLOOKUP(A121,'[62]geoMap (59)'!$A:$C,3,0)</f>
        <v>#REF!</v>
      </c>
      <c r="BJ121" s="4" t="e">
        <f>BI121/VLOOKUP(A121,'[63]geoMap (60)'!$A:$B,2,0)*VLOOKUP(A121,'[63]geoMap (60)'!$A:$C,3,0)</f>
        <v>#REF!</v>
      </c>
      <c r="BK121" s="1" t="e">
        <f>BJ121/VLOOKUP(A121,'[64]geoMap (61)'!$A:$B,2,0)*VLOOKUP(A121,'[64]geoMap (61)'!$A:$C,3,0)</f>
        <v>#REF!</v>
      </c>
      <c r="BL121" s="4" t="e">
        <f>BK121/VLOOKUP(A121,'[65]geoMap (62)'!$A:$B,2,0)*VLOOKUP(A121,'[65]geoMap (62)'!$A:$C,3,0)</f>
        <v>#REF!</v>
      </c>
      <c r="BM121" s="1" t="e">
        <f>BL121/VLOOKUP(A121,'[66]geoMap (63)'!$A:$B,2,0)*VLOOKUP(A121,'[66]geoMap (63)'!$A:$C,3,0)</f>
        <v>#REF!</v>
      </c>
      <c r="BN121" s="4" t="e">
        <f>BM121/VLOOKUP(A121,'[67]geoMap (64)'!$A:$B,2,0)*VLOOKUP(A121,'[67]geoMap (64)'!$A:$C,3,0)</f>
        <v>#REF!</v>
      </c>
      <c r="BO121" s="1" t="e">
        <f>BN121/VLOOKUP(A121,'[68]geoMap (65)'!$A:$B,2,0)*VLOOKUP(A121,'[68]geoMap (65)'!$A:$C,3,0)</f>
        <v>#REF!</v>
      </c>
      <c r="BP121" s="4" t="e">
        <f>BO121/VLOOKUP(A121,'[69]geoMap (66)'!$A:$B,2,0)*VLOOKUP(A121,'[69]geoMap (66)'!$A:$C,3,0)</f>
        <v>#REF!</v>
      </c>
    </row>
    <row r="122" spans="1:68" x14ac:dyDescent="0.2">
      <c r="A122" s="1" t="s">
        <v>76</v>
      </c>
      <c r="B122" s="1" t="e">
        <f>VLOOKUP(A122,[3]geoMap!$A:$B,2,0)*Notes!$C$6</f>
        <v>#REF!</v>
      </c>
      <c r="C122" s="1" t="e">
        <f>B122/VLOOKUP(A122,'[4]geoMap (1)'!$A:$B,2,0)*VLOOKUP(A122,'[4]geoMap (1)'!$A:$C,3,0)</f>
        <v>#REF!</v>
      </c>
      <c r="D122" s="1" t="e">
        <f>C122/VLOOKUP(A122,'[5]geoMap (2)'!$A:$B,2,0)*VLOOKUP(A122,'[5]geoMap (2)'!$A:$C,3,0)</f>
        <v>#REF!</v>
      </c>
      <c r="E122" s="1" t="e">
        <f>D122/VLOOKUP(A122,'[6]geoMap (3)'!$A:$B,2,0)*VLOOKUP(A122,'[6]geoMap (3)'!$A:$C,3,0)</f>
        <v>#REF!</v>
      </c>
      <c r="F122" s="1" t="e">
        <f>E122/VLOOKUP(A122,'[7]geoMap (4)'!$A:$B,2,0)*VLOOKUP(A122,'[7]geoMap (4)'!$A:$C,3,0)</f>
        <v>#REF!</v>
      </c>
      <c r="G122" s="1" t="e">
        <f>F122/VLOOKUP(A122,'[8]geoMap (5)'!$A:$B,2,0)*VLOOKUP(A122,'[8]geoMap (5)'!$A:$C,3,0)</f>
        <v>#REF!</v>
      </c>
      <c r="H122" s="1" t="e">
        <f>G122/VLOOKUP(A122,'[9]geoMap (6)'!$A:$B,2,0)*VLOOKUP(A122,'[9]geoMap (6)'!$A:$C,3,0)</f>
        <v>#REF!</v>
      </c>
      <c r="I122" s="1" t="e">
        <f>H122/VLOOKUP(A122,'[10]geoMap (7)'!$A:$B,2,0)*VLOOKUP(A122,'[10]geoMap (7)'!$A:$C,3,0)</f>
        <v>#REF!</v>
      </c>
      <c r="J122" s="1" t="e">
        <f>I122/VLOOKUP(A122,'[11]geoMap (8)'!$A:$B,2,0)*VLOOKUP(A122,'[11]geoMap (8)'!$A:$C,3,0)</f>
        <v>#REF!</v>
      </c>
      <c r="K122" s="1" t="e">
        <f>J122/VLOOKUP(A122,'[12]geoMap (9)'!$A:$B,2,0)*VLOOKUP(A122,'[12]geoMap (9)'!$A:$C,3,0)</f>
        <v>#REF!</v>
      </c>
      <c r="L122" s="1" t="e">
        <f>K122/VLOOKUP(A122,'[13]geoMap (10)'!$A:$B,2,0)*VLOOKUP(A122,'[13]geoMap (10)'!$A:$C,3,0)</f>
        <v>#REF!</v>
      </c>
      <c r="M122" s="1" t="e">
        <f>L122/VLOOKUP(A122,'[14]geoMap (11)'!$A:$B,2,0)*VLOOKUP(A122,'[14]geoMap (11)'!$A:$C,3,0)</f>
        <v>#REF!</v>
      </c>
      <c r="N122" s="1" t="e">
        <f>M122/VLOOKUP(A122,'[15]geoMap (12)'!$A:$B,2,0)*VLOOKUP(A122,'[15]geoMap (12)'!$A:$C,3,0)</f>
        <v>#REF!</v>
      </c>
      <c r="O122" s="1" t="e">
        <f>N122/VLOOKUP(A122,'[16]geoMap (13)'!$A:$B,2,0)*VLOOKUP(A122,'[16]geoMap (13)'!$A:$C,3,0)</f>
        <v>#REF!</v>
      </c>
      <c r="P122" s="1" t="e">
        <f>O122/VLOOKUP(A122,'[17]geoMap (14)'!$A:$B,2,0)*VLOOKUP(A122,'[17]geoMap (14)'!$A:$C,3,0)</f>
        <v>#REF!</v>
      </c>
      <c r="Q122" s="1" t="e">
        <f>P122/VLOOKUP(A122,'[18]geoMap (15)'!$A:$B,2,0)*VLOOKUP(A122,'[18]geoMap (15)'!$A:$C,3,0)</f>
        <v>#REF!</v>
      </c>
      <c r="R122" s="1" t="e">
        <f>Q122/VLOOKUP(A122,'[19]geoMap (16)'!$A:$B,2,0)*VLOOKUP(A122,'[19]geoMap (16)'!$A:$C,3,0)</f>
        <v>#REF!</v>
      </c>
      <c r="S122" s="1" t="e">
        <f>R122/VLOOKUP(A122,'[20]geoMap (17)'!$A:$B,2,0)*VLOOKUP(A122,'[20]geoMap (17)'!$A:$C,3,0)</f>
        <v>#REF!</v>
      </c>
      <c r="T122" s="1" t="e">
        <f>S122/VLOOKUP(A122,'[21]geoMap (18)'!$A:$B,2,0)*VLOOKUP(A122,'[21]geoMap (18)'!$A:$C,3,0)</f>
        <v>#REF!</v>
      </c>
      <c r="U122" s="1" t="e">
        <f>T122/VLOOKUP(A122,'[22]geoMap (19)'!$A:$B,2,0)*VLOOKUP(A122,'[22]geoMap (19)'!$A:$C,3,0)</f>
        <v>#REF!</v>
      </c>
      <c r="V122" s="1" t="e">
        <f>U122/VLOOKUP(A122,'[23]geoMap (20)'!$A:$B,2,0)*VLOOKUP(A122,'[23]geoMap (20)'!$A:$C,3,0)</f>
        <v>#REF!</v>
      </c>
      <c r="W122" s="1" t="e">
        <f>V122/VLOOKUP(A122,'[24]geoMap (21)'!$A:$B,2,0)*VLOOKUP(A122,'[24]geoMap (21)'!$A:$C,3,0)</f>
        <v>#REF!</v>
      </c>
      <c r="X122" s="1" t="e">
        <f>W122/VLOOKUP(A122,'[25]geoMap (22)'!$A:$B,2,0)*VLOOKUP(A122,'[25]geoMap (22)'!$A:$C,3,0)</f>
        <v>#REF!</v>
      </c>
      <c r="Y122" s="1" t="e">
        <f>X122/VLOOKUP(A122,'[26]geoMap (23)'!$A:$B,2,0)*VLOOKUP(A122,'[26]geoMap (23)'!$A:$C,3,0)</f>
        <v>#REF!</v>
      </c>
      <c r="Z122" s="1" t="e">
        <f>Y122/VLOOKUP(A122,'[27]geoMap (24)'!$A:$B,2,0)*VLOOKUP(A122,'[27]geoMap (24)'!$A:$C,3,0)</f>
        <v>#REF!</v>
      </c>
      <c r="AA122" s="1" t="e">
        <f>Z122/VLOOKUP(A122,'[28]geoMap (25)'!$A:$B,2,0)*VLOOKUP(A122,'[28]geoMap (25)'!$A:$C,3,0)</f>
        <v>#REF!</v>
      </c>
      <c r="AB122" s="1" t="e">
        <f>AA122*VLOOKUP(A122,'[29]geoMap (26)'!$A:$B,2,0)*VLOOKUP(A122,'[29]geoMap (26)'!$A:$C,3,0)</f>
        <v>#REF!</v>
      </c>
      <c r="AC122" s="1" t="e">
        <f>AB122/VLOOKUP(A122,'[30]geoMap (27)'!$A:$B,2,0)*VLOOKUP(A122,'[30]geoMap (27)'!$A:$C,3,0)</f>
        <v>#REF!</v>
      </c>
      <c r="AD122" s="1" t="e">
        <f>AC122/VLOOKUP(A122,'[31]geoMap (28)'!$A:$B,2,0)*VLOOKUP(A122,'[31]geoMap (28)'!$A:$C,3,0)</f>
        <v>#REF!</v>
      </c>
      <c r="AE122" s="1" t="e">
        <f>AD122/VLOOKUP(A122,'[32]geoMap (29)'!$A:$B,2,0)*VLOOKUP(A122,'[32]geoMap (29)'!$A:$C,3,0)</f>
        <v>#REF!</v>
      </c>
      <c r="AF122" s="1" t="e">
        <f>AE122/VLOOKUP(A122,'[33]geoMap (30)'!$A:$B,2,0)*VLOOKUP(A122,'[33]geoMap (30)'!$A:$C,3,0)</f>
        <v>#REF!</v>
      </c>
      <c r="AG122" s="1" t="e">
        <f>AF122/VLOOKUP(A122,'[34]geoMap (31)'!$A:$B,2,0)*VLOOKUP(A122,'[34]geoMap (31)'!$A:$C,3,0)</f>
        <v>#REF!</v>
      </c>
      <c r="AH122" s="1" t="e">
        <f>AG122/VLOOKUP(A122,'[35]geoMap (32)'!$A:$B,2,0)*VLOOKUP(A122,'[35]geoMap (32)'!$A:$C,3,0)</f>
        <v>#REF!</v>
      </c>
      <c r="AI122" s="1" t="e">
        <f>AH122/VLOOKUP(A122,'[36]geoMap (33)'!$A:$B,2,0)*VLOOKUP(A122,'[36]geoMap (33)'!$A:$C,3,0)</f>
        <v>#REF!</v>
      </c>
      <c r="AJ122" s="1" t="e">
        <f>AI122/VLOOKUP(A122,'[37]geoMap (34)'!$A:$B,2,0)*VLOOKUP(A122,'[37]geoMap (34)'!$A:$C,3,0)</f>
        <v>#REF!</v>
      </c>
      <c r="AK122" s="1" t="e">
        <f>AJ122/VLOOKUP(A122,'[38]geoMap (35)'!$A:$B,2,0)*VLOOKUP(A122,'[38]geoMap (35)'!$A:$C,3,0)</f>
        <v>#REF!</v>
      </c>
      <c r="AL122" s="1" t="e">
        <f>AK122/VLOOKUP(A122,'[39]geoMap (36)'!$A:$B,2,0)*VLOOKUP(A122,'[39]geoMap (36)'!$A:$C,3,0)</f>
        <v>#REF!</v>
      </c>
      <c r="AM122" s="1" t="e">
        <f>AL122/VLOOKUP(A122,'[40]geoMap (37)'!$A:$B,2,0)*VLOOKUP(A122,'[40]geoMap (37)'!$A:$C,3,0)</f>
        <v>#REF!</v>
      </c>
      <c r="AN122" s="1" t="e">
        <f>AM122/VLOOKUP(A122,'[41]geoMap (38)'!$A:$B,2,0)*VLOOKUP(A122,'[41]geoMap (38)'!$A:$C,3,0)</f>
        <v>#REF!</v>
      </c>
      <c r="AO122" s="1" t="e">
        <f>AN122/VLOOKUP(A122,'[42]geoMap (39)'!$A:$B,2,0)*VLOOKUP(A122,'[42]geoMap (39)'!$A:$C,3,0)</f>
        <v>#REF!</v>
      </c>
      <c r="AP122" s="1" t="e">
        <f>AO122/VLOOKUP(A122,'[43]geoMap (40)'!$A:$B,2,0)*VLOOKUP(A122,'[43]geoMap (40)'!$A:$C,3,0)</f>
        <v>#REF!</v>
      </c>
      <c r="AQ122" s="1" t="e">
        <f>AP122/VLOOKUP(A122,'[44]geoMap (41)'!$A:$B,2,0)*VLOOKUP(A122,'[44]geoMap (41)'!$A:$C,3,0)</f>
        <v>#REF!</v>
      </c>
      <c r="AR122" s="1" t="e">
        <f>AQ122/VLOOKUP(A122,'[45]geoMap (42)'!$A:$B,2,0)*VLOOKUP(A122,'[45]geoMap (42)'!$A:$C,3,0)</f>
        <v>#REF!</v>
      </c>
      <c r="AS122" s="1" t="e">
        <f>AR122/VLOOKUP(A122,'[46]geoMap (43)'!$A:$B,2,0)*VLOOKUP(A122,'[46]geoMap (43)'!$A:$C,3,0)</f>
        <v>#REF!</v>
      </c>
      <c r="AT122" s="1" t="e">
        <f>AS122/VLOOKUP(A122,'[47]geoMap (44)'!$A:$B,2,0)*VLOOKUP(A122,'[47]geoMap (44)'!$A:$C,3,0)</f>
        <v>#REF!</v>
      </c>
      <c r="AU122" s="1" t="e">
        <f>AT122/VLOOKUP(A122,'[48]geoMap (45)'!$A:$B,2,0)*VLOOKUP(A122,'[48]geoMap (45)'!$A:$C,3,0)</f>
        <v>#REF!</v>
      </c>
      <c r="AV122" s="1" t="e">
        <f>AU122/VLOOKUP(A122,'[49]geoMap (46)'!$A:$B,2,0)*VLOOKUP(A122,'[49]geoMap (46)'!$A:$C,3,0)</f>
        <v>#REF!</v>
      </c>
      <c r="AW122" s="1" t="e">
        <f>AV122/VLOOKUP(A122,'[50]geoMap (47)'!$A:$B,2,0)*VLOOKUP(A122,'[50]geoMap (47)'!$A:$C,3,0)</f>
        <v>#REF!</v>
      </c>
      <c r="AX122" s="4" t="e">
        <f>AW122/VLOOKUP(A122,'[51]geoMap (48)'!$A:$B,2,0)*VLOOKUP(A122,'[51]geoMap (48)'!$A:$C,3,0)</f>
        <v>#REF!</v>
      </c>
      <c r="AY122" s="1" t="e">
        <f>AX122/VLOOKUP(A122,'[52]geoMap (49)'!$A:$B,2,0)*VLOOKUP(A122,'[52]geoMap (49)'!$A:$C,3,0)</f>
        <v>#REF!</v>
      </c>
      <c r="AZ122" s="4" t="e">
        <f>AY122/VLOOKUP(A122,'[53]geoMap (50)'!$A:$B,2,0)*VLOOKUP(A122,'[53]geoMap (50)'!$A:$C,3,0)</f>
        <v>#REF!</v>
      </c>
      <c r="BA122" s="1" t="e">
        <f>AZ122/VLOOKUP(A122,'[54]geoMap (51)'!$A:$B,2,0)*VLOOKUP(A122,'[54]geoMap (51)'!$A:$C,3,0)</f>
        <v>#REF!</v>
      </c>
      <c r="BB122" s="4" t="e">
        <f>BA122/VLOOKUP(A122,'[55]geoMap (52)'!$A:$B,2,0)*VLOOKUP(A122,'[55]geoMap (52)'!$A:$C,3,0)</f>
        <v>#REF!</v>
      </c>
      <c r="BC122" s="1" t="e">
        <f>BB122/VLOOKUP(A122,'[56]geoMap (53)'!$A:$B,2,0)*VLOOKUP(A122,'[56]geoMap (53)'!$A:$C,3,0)</f>
        <v>#REF!</v>
      </c>
      <c r="BD122" s="4" t="e">
        <f>BC122/VLOOKUP(A122,'[57]geoMap (54)'!$A:$B,2,0)*VLOOKUP(A122,'[57]geoMap (54)'!$A:$C,3,0)</f>
        <v>#REF!</v>
      </c>
      <c r="BE122" s="1" t="e">
        <f>BD122/VLOOKUP(A122,'[58]geoMap (55)'!$A:$B,2,0)*VLOOKUP(A122,'[58]geoMap (55)'!$A:$C,3,0)</f>
        <v>#REF!</v>
      </c>
      <c r="BF122" s="4" t="e">
        <f>BE122/VLOOKUP(A122,'[59]geoMap (56)'!$A:$B,2,0)*VLOOKUP(A122,'[59]geoMap (56)'!$A:$C,3,0)</f>
        <v>#REF!</v>
      </c>
      <c r="BG122" s="1" t="e">
        <f>BF122/VLOOKUP(A122,'[60]geoMap (57)'!$A:$B,2,0)*VLOOKUP(A122,'[60]geoMap (57)'!$A:$C,3,0)</f>
        <v>#REF!</v>
      </c>
      <c r="BH122" s="4" t="e">
        <f>BG122/VLOOKUP(A122,'[61]geoMap (58)'!$A:$B,2,0)*VLOOKUP(A122,'[61]geoMap (58)'!$A:$C,3,0)</f>
        <v>#REF!</v>
      </c>
      <c r="BI122" s="1" t="e">
        <f>BH122/VLOOKUP(A122,'[62]geoMap (59)'!$A:$B,2,0)*VLOOKUP(A122,'[62]geoMap (59)'!$A:$C,3,0)</f>
        <v>#REF!</v>
      </c>
      <c r="BJ122" s="4" t="e">
        <f>BI122/VLOOKUP(A122,'[63]geoMap (60)'!$A:$B,2,0)*VLOOKUP(A122,'[63]geoMap (60)'!$A:$C,3,0)</f>
        <v>#REF!</v>
      </c>
      <c r="BK122" s="1" t="e">
        <f>BJ122/VLOOKUP(A122,'[64]geoMap (61)'!$A:$B,2,0)*VLOOKUP(A122,'[64]geoMap (61)'!$A:$C,3,0)</f>
        <v>#REF!</v>
      </c>
      <c r="BL122" s="4" t="e">
        <f>BK122/VLOOKUP(A122,'[65]geoMap (62)'!$A:$B,2,0)*VLOOKUP(A122,'[65]geoMap (62)'!$A:$C,3,0)</f>
        <v>#REF!</v>
      </c>
      <c r="BM122" s="1" t="e">
        <f>BL122/VLOOKUP(A122,'[66]geoMap (63)'!$A:$B,2,0)*VLOOKUP(A122,'[66]geoMap (63)'!$A:$C,3,0)</f>
        <v>#REF!</v>
      </c>
      <c r="BN122" s="4" t="e">
        <f>BM122/VLOOKUP(A122,'[67]geoMap (64)'!$A:$B,2,0)*VLOOKUP(A122,'[67]geoMap (64)'!$A:$C,3,0)</f>
        <v>#REF!</v>
      </c>
      <c r="BO122" s="1" t="e">
        <f>BN122/VLOOKUP(A122,'[68]geoMap (65)'!$A:$B,2,0)*VLOOKUP(A122,'[68]geoMap (65)'!$A:$C,3,0)</f>
        <v>#REF!</v>
      </c>
      <c r="BP122" s="4" t="e">
        <f>BO122/VLOOKUP(A122,'[69]geoMap (66)'!$A:$B,2,0)*VLOOKUP(A122,'[69]geoMap (66)'!$A:$C,3,0)</f>
        <v>#REF!</v>
      </c>
    </row>
    <row r="123" spans="1:68" x14ac:dyDescent="0.2">
      <c r="A123" s="1" t="s">
        <v>80</v>
      </c>
      <c r="B123" s="1" t="e">
        <f>VLOOKUP(A123,[3]geoMap!$A:$B,2,0)*Notes!$C$6</f>
        <v>#REF!</v>
      </c>
      <c r="C123" s="1" t="e">
        <f>B123/VLOOKUP(A123,'[4]geoMap (1)'!$A:$B,2,0)*VLOOKUP(A123,'[4]geoMap (1)'!$A:$C,3,0)</f>
        <v>#REF!</v>
      </c>
      <c r="D123" s="1" t="e">
        <f>C123/VLOOKUP(A123,'[5]geoMap (2)'!$A:$B,2,0)*VLOOKUP(A123,'[5]geoMap (2)'!$A:$C,3,0)</f>
        <v>#REF!</v>
      </c>
      <c r="E123" s="1" t="e">
        <f>D123/VLOOKUP(A123,'[6]geoMap (3)'!$A:$B,2,0)*VLOOKUP(A123,'[6]geoMap (3)'!$A:$C,3,0)</f>
        <v>#REF!</v>
      </c>
      <c r="F123" s="1" t="e">
        <f>E123/VLOOKUP(A123,'[7]geoMap (4)'!$A:$B,2,0)*VLOOKUP(A123,'[7]geoMap (4)'!$A:$C,3,0)</f>
        <v>#REF!</v>
      </c>
      <c r="G123" s="1" t="e">
        <f>F123/VLOOKUP(A123,'[8]geoMap (5)'!$A:$B,2,0)*VLOOKUP(A123,'[8]geoMap (5)'!$A:$C,3,0)</f>
        <v>#REF!</v>
      </c>
      <c r="H123" s="1" t="e">
        <f>G123/VLOOKUP(A123,'[9]geoMap (6)'!$A:$B,2,0)*VLOOKUP(A123,'[9]geoMap (6)'!$A:$C,3,0)</f>
        <v>#REF!</v>
      </c>
      <c r="I123" s="1" t="e">
        <f>H123/VLOOKUP(A123,'[10]geoMap (7)'!$A:$B,2,0)*VLOOKUP(A123,'[10]geoMap (7)'!$A:$C,3,0)</f>
        <v>#REF!</v>
      </c>
      <c r="J123" s="1" t="e">
        <f>I123/VLOOKUP(A123,'[11]geoMap (8)'!$A:$B,2,0)*VLOOKUP(A123,'[11]geoMap (8)'!$A:$C,3,0)</f>
        <v>#REF!</v>
      </c>
      <c r="K123" s="1" t="e">
        <f>J123/VLOOKUP(A123,'[12]geoMap (9)'!$A:$B,2,0)*VLOOKUP(A123,'[12]geoMap (9)'!$A:$C,3,0)</f>
        <v>#REF!</v>
      </c>
      <c r="L123" s="1" t="e">
        <f>K123/VLOOKUP(A123,'[13]geoMap (10)'!$A:$B,2,0)*VLOOKUP(A123,'[13]geoMap (10)'!$A:$C,3,0)</f>
        <v>#REF!</v>
      </c>
      <c r="M123" s="1" t="e">
        <f>L123/VLOOKUP(A123,'[14]geoMap (11)'!$A:$B,2,0)*VLOOKUP(A123,'[14]geoMap (11)'!$A:$C,3,0)</f>
        <v>#REF!</v>
      </c>
      <c r="N123" s="1" t="e">
        <f>M123/VLOOKUP(A123,'[15]geoMap (12)'!$A:$B,2,0)*VLOOKUP(A123,'[15]geoMap (12)'!$A:$C,3,0)</f>
        <v>#REF!</v>
      </c>
      <c r="O123" s="1" t="e">
        <f>N123/VLOOKUP(A123,'[16]geoMap (13)'!$A:$B,2,0)*VLOOKUP(A123,'[16]geoMap (13)'!$A:$C,3,0)</f>
        <v>#REF!</v>
      </c>
      <c r="P123" s="1" t="e">
        <f>O123/VLOOKUP(A123,'[17]geoMap (14)'!$A:$B,2,0)*VLOOKUP(A123,'[17]geoMap (14)'!$A:$C,3,0)</f>
        <v>#REF!</v>
      </c>
      <c r="Q123" s="1" t="e">
        <f>P123/VLOOKUP(A123,'[18]geoMap (15)'!$A:$B,2,0)*VLOOKUP(A123,'[18]geoMap (15)'!$A:$C,3,0)</f>
        <v>#REF!</v>
      </c>
      <c r="R123" s="1" t="e">
        <f>Q123/VLOOKUP(A123,'[19]geoMap (16)'!$A:$B,2,0)*VLOOKUP(A123,'[19]geoMap (16)'!$A:$C,3,0)</f>
        <v>#REF!</v>
      </c>
      <c r="S123" s="1" t="e">
        <f>R123/VLOOKUP(A123,'[20]geoMap (17)'!$A:$B,2,0)*VLOOKUP(A123,'[20]geoMap (17)'!$A:$C,3,0)</f>
        <v>#REF!</v>
      </c>
      <c r="T123" s="1" t="e">
        <f>S123/VLOOKUP(A123,'[21]geoMap (18)'!$A:$B,2,0)*VLOOKUP(A123,'[21]geoMap (18)'!$A:$C,3,0)</f>
        <v>#REF!</v>
      </c>
      <c r="U123" s="1" t="e">
        <f>T123/VLOOKUP(A123,'[22]geoMap (19)'!$A:$B,2,0)*VLOOKUP(A123,'[22]geoMap (19)'!$A:$C,3,0)</f>
        <v>#REF!</v>
      </c>
      <c r="V123" s="1" t="e">
        <f>U123/VLOOKUP(A123,'[23]geoMap (20)'!$A:$B,2,0)*VLOOKUP(A123,'[23]geoMap (20)'!$A:$C,3,0)</f>
        <v>#REF!</v>
      </c>
      <c r="W123" s="1" t="e">
        <f>V123/VLOOKUP(A123,'[24]geoMap (21)'!$A:$B,2,0)*VLOOKUP(A123,'[24]geoMap (21)'!$A:$C,3,0)</f>
        <v>#REF!</v>
      </c>
      <c r="X123" s="1" t="e">
        <f>W123/VLOOKUP(A123,'[25]geoMap (22)'!$A:$B,2,0)*VLOOKUP(A123,'[25]geoMap (22)'!$A:$C,3,0)</f>
        <v>#REF!</v>
      </c>
      <c r="Y123" s="1" t="e">
        <f>X123/VLOOKUP(A123,'[26]geoMap (23)'!$A:$B,2,0)*VLOOKUP(A123,'[26]geoMap (23)'!$A:$C,3,0)</f>
        <v>#REF!</v>
      </c>
      <c r="Z123" s="1" t="e">
        <f>Y123/VLOOKUP(A123,'[27]geoMap (24)'!$A:$B,2,0)*VLOOKUP(A123,'[27]geoMap (24)'!$A:$C,3,0)</f>
        <v>#REF!</v>
      </c>
      <c r="AA123" s="1" t="e">
        <f>Z123/VLOOKUP(A123,'[28]geoMap (25)'!$A:$B,2,0)*VLOOKUP(A123,'[28]geoMap (25)'!$A:$C,3,0)</f>
        <v>#REF!</v>
      </c>
      <c r="AB123" s="1" t="e">
        <f>AA123*VLOOKUP(A123,'[29]geoMap (26)'!$A:$B,2,0)*VLOOKUP(A123,'[29]geoMap (26)'!$A:$C,3,0)</f>
        <v>#REF!</v>
      </c>
      <c r="AC123" s="1" t="e">
        <f>AB123/VLOOKUP(A123,'[30]geoMap (27)'!$A:$B,2,0)*VLOOKUP(A123,'[30]geoMap (27)'!$A:$C,3,0)</f>
        <v>#REF!</v>
      </c>
      <c r="AD123" s="1" t="e">
        <f>AC123/VLOOKUP(A123,'[31]geoMap (28)'!$A:$B,2,0)*VLOOKUP(A123,'[31]geoMap (28)'!$A:$C,3,0)</f>
        <v>#REF!</v>
      </c>
      <c r="AE123" s="1" t="e">
        <f>AD123/VLOOKUP(A123,'[32]geoMap (29)'!$A:$B,2,0)*VLOOKUP(A123,'[32]geoMap (29)'!$A:$C,3,0)</f>
        <v>#REF!</v>
      </c>
      <c r="AF123" s="1" t="e">
        <f>AE123/VLOOKUP(A123,'[33]geoMap (30)'!$A:$B,2,0)*VLOOKUP(A123,'[33]geoMap (30)'!$A:$C,3,0)</f>
        <v>#REF!</v>
      </c>
      <c r="AG123" s="1" t="e">
        <f>AF123/VLOOKUP(A123,'[34]geoMap (31)'!$A:$B,2,0)*VLOOKUP(A123,'[34]geoMap (31)'!$A:$C,3,0)</f>
        <v>#REF!</v>
      </c>
      <c r="AH123" s="1" t="e">
        <f>AG123/VLOOKUP(A123,'[35]geoMap (32)'!$A:$B,2,0)*VLOOKUP(A123,'[35]geoMap (32)'!$A:$C,3,0)</f>
        <v>#REF!</v>
      </c>
      <c r="AI123" s="1" t="e">
        <f>AH123/VLOOKUP(A123,'[36]geoMap (33)'!$A:$B,2,0)*VLOOKUP(A123,'[36]geoMap (33)'!$A:$C,3,0)</f>
        <v>#REF!</v>
      </c>
      <c r="AJ123" s="1" t="e">
        <f>AI123/VLOOKUP(A123,'[37]geoMap (34)'!$A:$B,2,0)*VLOOKUP(A123,'[37]geoMap (34)'!$A:$C,3,0)</f>
        <v>#REF!</v>
      </c>
      <c r="AK123" s="1" t="e">
        <f>AJ123/VLOOKUP(A123,'[38]geoMap (35)'!$A:$B,2,0)*VLOOKUP(A123,'[38]geoMap (35)'!$A:$C,3,0)</f>
        <v>#REF!</v>
      </c>
      <c r="AL123" s="1" t="e">
        <f>AK123/VLOOKUP(A123,'[39]geoMap (36)'!$A:$B,2,0)*VLOOKUP(A123,'[39]geoMap (36)'!$A:$C,3,0)</f>
        <v>#REF!</v>
      </c>
      <c r="AM123" s="1" t="e">
        <f>AL123/VLOOKUP(A123,'[40]geoMap (37)'!$A:$B,2,0)*VLOOKUP(A123,'[40]geoMap (37)'!$A:$C,3,0)</f>
        <v>#REF!</v>
      </c>
      <c r="AN123" s="1" t="e">
        <f>AM123/VLOOKUP(A123,'[41]geoMap (38)'!$A:$B,2,0)*VLOOKUP(A123,'[41]geoMap (38)'!$A:$C,3,0)</f>
        <v>#REF!</v>
      </c>
      <c r="AO123" s="1" t="e">
        <f>AN123/VLOOKUP(A123,'[42]geoMap (39)'!$A:$B,2,0)*VLOOKUP(A123,'[42]geoMap (39)'!$A:$C,3,0)</f>
        <v>#REF!</v>
      </c>
      <c r="AP123" s="1" t="e">
        <f>AO123/VLOOKUP(A123,'[43]geoMap (40)'!$A:$B,2,0)*VLOOKUP(A123,'[43]geoMap (40)'!$A:$C,3,0)</f>
        <v>#REF!</v>
      </c>
      <c r="AQ123" s="1" t="e">
        <f>AP123/VLOOKUP(A123,'[44]geoMap (41)'!$A:$B,2,0)*VLOOKUP(A123,'[44]geoMap (41)'!$A:$C,3,0)</f>
        <v>#REF!</v>
      </c>
      <c r="AR123" s="1" t="e">
        <f>AQ123/VLOOKUP(A123,'[45]geoMap (42)'!$A:$B,2,0)*VLOOKUP(A123,'[45]geoMap (42)'!$A:$C,3,0)</f>
        <v>#REF!</v>
      </c>
      <c r="AS123" s="1" t="e">
        <f>AR123/VLOOKUP(A123,'[46]geoMap (43)'!$A:$B,2,0)*VLOOKUP(A123,'[46]geoMap (43)'!$A:$C,3,0)</f>
        <v>#REF!</v>
      </c>
      <c r="AT123" s="1" t="e">
        <f>AS123/VLOOKUP(A123,'[47]geoMap (44)'!$A:$B,2,0)*VLOOKUP(A123,'[47]geoMap (44)'!$A:$C,3,0)</f>
        <v>#REF!</v>
      </c>
      <c r="AU123" s="1" t="e">
        <f>AT123/VLOOKUP(A123,'[48]geoMap (45)'!$A:$B,2,0)*VLOOKUP(A123,'[48]geoMap (45)'!$A:$C,3,0)</f>
        <v>#REF!</v>
      </c>
      <c r="AV123" s="1" t="e">
        <f>AU123/VLOOKUP(A123,'[49]geoMap (46)'!$A:$B,2,0)*VLOOKUP(A123,'[49]geoMap (46)'!$A:$C,3,0)</f>
        <v>#REF!</v>
      </c>
      <c r="AW123" s="1" t="e">
        <f>AV123/VLOOKUP(A123,'[50]geoMap (47)'!$A:$B,2,0)*VLOOKUP(A123,'[50]geoMap (47)'!$A:$C,3,0)</f>
        <v>#REF!</v>
      </c>
      <c r="AX123" s="4" t="e">
        <f>AW123/VLOOKUP(A123,'[51]geoMap (48)'!$A:$B,2,0)*VLOOKUP(A123,'[51]geoMap (48)'!$A:$C,3,0)</f>
        <v>#REF!</v>
      </c>
      <c r="AY123" s="1" t="e">
        <f>AX123/VLOOKUP(A123,'[52]geoMap (49)'!$A:$B,2,0)*VLOOKUP(A123,'[52]geoMap (49)'!$A:$C,3,0)</f>
        <v>#REF!</v>
      </c>
      <c r="AZ123" s="4" t="e">
        <f>AY123/VLOOKUP(A123,'[53]geoMap (50)'!$A:$B,2,0)*VLOOKUP(A123,'[53]geoMap (50)'!$A:$C,3,0)</f>
        <v>#REF!</v>
      </c>
      <c r="BA123" s="1" t="e">
        <f>AZ123/VLOOKUP(A123,'[54]geoMap (51)'!$A:$B,2,0)*VLOOKUP(A123,'[54]geoMap (51)'!$A:$C,3,0)</f>
        <v>#REF!</v>
      </c>
      <c r="BB123" s="4" t="e">
        <f>BA123/VLOOKUP(A123,'[55]geoMap (52)'!$A:$B,2,0)*VLOOKUP(A123,'[55]geoMap (52)'!$A:$C,3,0)</f>
        <v>#REF!</v>
      </c>
      <c r="BC123" s="1" t="e">
        <f>BB123/VLOOKUP(A123,'[56]geoMap (53)'!$A:$B,2,0)*VLOOKUP(A123,'[56]geoMap (53)'!$A:$C,3,0)</f>
        <v>#REF!</v>
      </c>
      <c r="BD123" s="4" t="e">
        <f>BC123/VLOOKUP(A123,'[57]geoMap (54)'!$A:$B,2,0)*VLOOKUP(A123,'[57]geoMap (54)'!$A:$C,3,0)</f>
        <v>#REF!</v>
      </c>
      <c r="BE123" s="1" t="e">
        <f>BD123/VLOOKUP(A123,'[58]geoMap (55)'!$A:$B,2,0)*VLOOKUP(A123,'[58]geoMap (55)'!$A:$C,3,0)</f>
        <v>#REF!</v>
      </c>
      <c r="BF123" s="4" t="e">
        <f>BE123/VLOOKUP(A123,'[59]geoMap (56)'!$A:$B,2,0)*VLOOKUP(A123,'[59]geoMap (56)'!$A:$C,3,0)</f>
        <v>#REF!</v>
      </c>
      <c r="BG123" s="1" t="e">
        <f>BF123/VLOOKUP(A123,'[60]geoMap (57)'!$A:$B,2,0)*VLOOKUP(A123,'[60]geoMap (57)'!$A:$C,3,0)</f>
        <v>#REF!</v>
      </c>
      <c r="BH123" s="4" t="e">
        <f>BG123/VLOOKUP(A123,'[61]geoMap (58)'!$A:$B,2,0)*VLOOKUP(A123,'[61]geoMap (58)'!$A:$C,3,0)</f>
        <v>#REF!</v>
      </c>
      <c r="BI123" s="1" t="e">
        <f>BH123/VLOOKUP(A123,'[62]geoMap (59)'!$A:$B,2,0)*VLOOKUP(A123,'[62]geoMap (59)'!$A:$C,3,0)</f>
        <v>#REF!</v>
      </c>
      <c r="BJ123" s="4" t="e">
        <f>BI123/VLOOKUP(A123,'[63]geoMap (60)'!$A:$B,2,0)*VLOOKUP(A123,'[63]geoMap (60)'!$A:$C,3,0)</f>
        <v>#REF!</v>
      </c>
      <c r="BK123" s="1" t="e">
        <f>BJ123/VLOOKUP(A123,'[64]geoMap (61)'!$A:$B,2,0)*VLOOKUP(A123,'[64]geoMap (61)'!$A:$C,3,0)</f>
        <v>#REF!</v>
      </c>
      <c r="BL123" s="4" t="e">
        <f>BK123/VLOOKUP(A123,'[65]geoMap (62)'!$A:$B,2,0)*VLOOKUP(A123,'[65]geoMap (62)'!$A:$C,3,0)</f>
        <v>#REF!</v>
      </c>
      <c r="BM123" s="1" t="e">
        <f>BL123/VLOOKUP(A123,'[66]geoMap (63)'!$A:$B,2,0)*VLOOKUP(A123,'[66]geoMap (63)'!$A:$C,3,0)</f>
        <v>#REF!</v>
      </c>
      <c r="BN123" s="4" t="e">
        <f>BM123/VLOOKUP(A123,'[67]geoMap (64)'!$A:$B,2,0)*VLOOKUP(A123,'[67]geoMap (64)'!$A:$C,3,0)</f>
        <v>#REF!</v>
      </c>
      <c r="BO123" s="1" t="e">
        <f>BN123/VLOOKUP(A123,'[68]geoMap (65)'!$A:$B,2,0)*VLOOKUP(A123,'[68]geoMap (65)'!$A:$C,3,0)</f>
        <v>#REF!</v>
      </c>
      <c r="BP123" s="4" t="e">
        <f>BO123/VLOOKUP(A123,'[69]geoMap (66)'!$A:$B,2,0)*VLOOKUP(A123,'[69]geoMap (66)'!$A:$C,3,0)</f>
        <v>#REF!</v>
      </c>
    </row>
    <row r="124" spans="1:68" x14ac:dyDescent="0.2">
      <c r="A124" s="1" t="s">
        <v>82</v>
      </c>
      <c r="B124" s="1" t="e">
        <f>VLOOKUP(A124,[3]geoMap!$A:$B,2,0)*Notes!$C$6</f>
        <v>#REF!</v>
      </c>
      <c r="C124" s="1" t="e">
        <f>B124/VLOOKUP(A124,'[4]geoMap (1)'!$A:$B,2,0)*VLOOKUP(A124,'[4]geoMap (1)'!$A:$C,3,0)</f>
        <v>#REF!</v>
      </c>
      <c r="D124" s="1" t="e">
        <f>C124/VLOOKUP(A124,'[5]geoMap (2)'!$A:$B,2,0)*VLOOKUP(A124,'[5]geoMap (2)'!$A:$C,3,0)</f>
        <v>#REF!</v>
      </c>
      <c r="E124" s="1" t="e">
        <f>D124/VLOOKUP(A124,'[6]geoMap (3)'!$A:$B,2,0)*VLOOKUP(A124,'[6]geoMap (3)'!$A:$C,3,0)</f>
        <v>#REF!</v>
      </c>
      <c r="F124" s="1" t="e">
        <f>E124/VLOOKUP(A124,'[7]geoMap (4)'!$A:$B,2,0)*VLOOKUP(A124,'[7]geoMap (4)'!$A:$C,3,0)</f>
        <v>#REF!</v>
      </c>
      <c r="G124" s="1" t="e">
        <f>F124/VLOOKUP(A124,'[8]geoMap (5)'!$A:$B,2,0)*VLOOKUP(A124,'[8]geoMap (5)'!$A:$C,3,0)</f>
        <v>#REF!</v>
      </c>
      <c r="H124" s="1" t="e">
        <f>G124/VLOOKUP(A124,'[9]geoMap (6)'!$A:$B,2,0)*VLOOKUP(A124,'[9]geoMap (6)'!$A:$C,3,0)</f>
        <v>#REF!</v>
      </c>
      <c r="I124" s="1" t="e">
        <f>H124/VLOOKUP(A124,'[10]geoMap (7)'!$A:$B,2,0)*VLOOKUP(A124,'[10]geoMap (7)'!$A:$C,3,0)</f>
        <v>#REF!</v>
      </c>
      <c r="J124" s="1" t="e">
        <f>I124/VLOOKUP(A124,'[11]geoMap (8)'!$A:$B,2,0)*VLOOKUP(A124,'[11]geoMap (8)'!$A:$C,3,0)</f>
        <v>#REF!</v>
      </c>
      <c r="K124" s="1" t="e">
        <f>J124/VLOOKUP(A124,'[12]geoMap (9)'!$A:$B,2,0)*VLOOKUP(A124,'[12]geoMap (9)'!$A:$C,3,0)</f>
        <v>#REF!</v>
      </c>
      <c r="L124" s="1" t="e">
        <f>K124/VLOOKUP(A124,'[13]geoMap (10)'!$A:$B,2,0)*VLOOKUP(A124,'[13]geoMap (10)'!$A:$C,3,0)</f>
        <v>#REF!</v>
      </c>
      <c r="M124" s="1" t="e">
        <f>L124/VLOOKUP(A124,'[14]geoMap (11)'!$A:$B,2,0)*VLOOKUP(A124,'[14]geoMap (11)'!$A:$C,3,0)</f>
        <v>#REF!</v>
      </c>
      <c r="N124" s="1" t="e">
        <f>M124/VLOOKUP(A124,'[15]geoMap (12)'!$A:$B,2,0)*VLOOKUP(A124,'[15]geoMap (12)'!$A:$C,3,0)</f>
        <v>#REF!</v>
      </c>
      <c r="O124" s="1" t="e">
        <f>N124/VLOOKUP(A124,'[16]geoMap (13)'!$A:$B,2,0)*VLOOKUP(A124,'[16]geoMap (13)'!$A:$C,3,0)</f>
        <v>#REF!</v>
      </c>
      <c r="P124" s="1" t="e">
        <f>O124/VLOOKUP(A124,'[17]geoMap (14)'!$A:$B,2,0)*VLOOKUP(A124,'[17]geoMap (14)'!$A:$C,3,0)</f>
        <v>#REF!</v>
      </c>
      <c r="Q124" s="1" t="e">
        <f>P124/VLOOKUP(A124,'[18]geoMap (15)'!$A:$B,2,0)*VLOOKUP(A124,'[18]geoMap (15)'!$A:$C,3,0)</f>
        <v>#REF!</v>
      </c>
      <c r="R124" s="1" t="e">
        <f>Q124/VLOOKUP(A124,'[19]geoMap (16)'!$A:$B,2,0)*VLOOKUP(A124,'[19]geoMap (16)'!$A:$C,3,0)</f>
        <v>#REF!</v>
      </c>
      <c r="S124" s="1" t="e">
        <f>R124/VLOOKUP(A124,'[20]geoMap (17)'!$A:$B,2,0)*VLOOKUP(A124,'[20]geoMap (17)'!$A:$C,3,0)</f>
        <v>#REF!</v>
      </c>
      <c r="T124" s="1" t="e">
        <f>S124/VLOOKUP(A124,'[21]geoMap (18)'!$A:$B,2,0)*VLOOKUP(A124,'[21]geoMap (18)'!$A:$C,3,0)</f>
        <v>#REF!</v>
      </c>
      <c r="U124" s="1" t="e">
        <f>T124/VLOOKUP(A124,'[22]geoMap (19)'!$A:$B,2,0)*VLOOKUP(A124,'[22]geoMap (19)'!$A:$C,3,0)</f>
        <v>#REF!</v>
      </c>
      <c r="V124" s="1" t="e">
        <f>U124/VLOOKUP(A124,'[23]geoMap (20)'!$A:$B,2,0)*VLOOKUP(A124,'[23]geoMap (20)'!$A:$C,3,0)</f>
        <v>#REF!</v>
      </c>
      <c r="W124" s="1" t="e">
        <f>V124/VLOOKUP(A124,'[24]geoMap (21)'!$A:$B,2,0)*VLOOKUP(A124,'[24]geoMap (21)'!$A:$C,3,0)</f>
        <v>#REF!</v>
      </c>
      <c r="X124" s="1" t="e">
        <f>W124/VLOOKUP(A124,'[25]geoMap (22)'!$A:$B,2,0)*VLOOKUP(A124,'[25]geoMap (22)'!$A:$C,3,0)</f>
        <v>#REF!</v>
      </c>
      <c r="Y124" s="1" t="e">
        <f>X124/VLOOKUP(A124,'[26]geoMap (23)'!$A:$B,2,0)*VLOOKUP(A124,'[26]geoMap (23)'!$A:$C,3,0)</f>
        <v>#REF!</v>
      </c>
      <c r="Z124" s="1" t="e">
        <f>Y124/VLOOKUP(A124,'[27]geoMap (24)'!$A:$B,2,0)*VLOOKUP(A124,'[27]geoMap (24)'!$A:$C,3,0)</f>
        <v>#REF!</v>
      </c>
      <c r="AA124" s="1" t="e">
        <f>Z124/VLOOKUP(A124,'[28]geoMap (25)'!$A:$B,2,0)*VLOOKUP(A124,'[28]geoMap (25)'!$A:$C,3,0)</f>
        <v>#REF!</v>
      </c>
      <c r="AB124" s="1" t="e">
        <f>AA124*VLOOKUP(A124,'[29]geoMap (26)'!$A:$B,2,0)*VLOOKUP(A124,'[29]geoMap (26)'!$A:$C,3,0)</f>
        <v>#REF!</v>
      </c>
      <c r="AC124" s="1" t="e">
        <f>AB124/VLOOKUP(A124,'[30]geoMap (27)'!$A:$B,2,0)*VLOOKUP(A124,'[30]geoMap (27)'!$A:$C,3,0)</f>
        <v>#REF!</v>
      </c>
      <c r="AD124" s="1" t="e">
        <f>AC124/VLOOKUP(A124,'[31]geoMap (28)'!$A:$B,2,0)*VLOOKUP(A124,'[31]geoMap (28)'!$A:$C,3,0)</f>
        <v>#REF!</v>
      </c>
      <c r="AE124" s="1" t="e">
        <f>AD124/VLOOKUP(A124,'[32]geoMap (29)'!$A:$B,2,0)*VLOOKUP(A124,'[32]geoMap (29)'!$A:$C,3,0)</f>
        <v>#REF!</v>
      </c>
      <c r="AF124" s="1" t="e">
        <f>AE124/VLOOKUP(A124,'[33]geoMap (30)'!$A:$B,2,0)*VLOOKUP(A124,'[33]geoMap (30)'!$A:$C,3,0)</f>
        <v>#REF!</v>
      </c>
      <c r="AG124" s="1" t="e">
        <f>AF124/VLOOKUP(A124,'[34]geoMap (31)'!$A:$B,2,0)*VLOOKUP(A124,'[34]geoMap (31)'!$A:$C,3,0)</f>
        <v>#REF!</v>
      </c>
      <c r="AH124" s="1" t="e">
        <f>AG124/VLOOKUP(A124,'[35]geoMap (32)'!$A:$B,2,0)*VLOOKUP(A124,'[35]geoMap (32)'!$A:$C,3,0)</f>
        <v>#REF!</v>
      </c>
      <c r="AI124" s="1" t="e">
        <f>AH124/VLOOKUP(A124,'[36]geoMap (33)'!$A:$B,2,0)*VLOOKUP(A124,'[36]geoMap (33)'!$A:$C,3,0)</f>
        <v>#REF!</v>
      </c>
      <c r="AJ124" s="1" t="e">
        <f>AI124/VLOOKUP(A124,'[37]geoMap (34)'!$A:$B,2,0)*VLOOKUP(A124,'[37]geoMap (34)'!$A:$C,3,0)</f>
        <v>#REF!</v>
      </c>
      <c r="AK124" s="1" t="e">
        <f>AJ124/VLOOKUP(A124,'[38]geoMap (35)'!$A:$B,2,0)*VLOOKUP(A124,'[38]geoMap (35)'!$A:$C,3,0)</f>
        <v>#REF!</v>
      </c>
      <c r="AL124" s="1" t="e">
        <f>AK124/VLOOKUP(A124,'[39]geoMap (36)'!$A:$B,2,0)*VLOOKUP(A124,'[39]geoMap (36)'!$A:$C,3,0)</f>
        <v>#REF!</v>
      </c>
      <c r="AM124" s="1" t="e">
        <f>AL124/VLOOKUP(A124,'[40]geoMap (37)'!$A:$B,2,0)*VLOOKUP(A124,'[40]geoMap (37)'!$A:$C,3,0)</f>
        <v>#REF!</v>
      </c>
      <c r="AN124" s="1" t="e">
        <f>AM124/VLOOKUP(A124,'[41]geoMap (38)'!$A:$B,2,0)*VLOOKUP(A124,'[41]geoMap (38)'!$A:$C,3,0)</f>
        <v>#REF!</v>
      </c>
      <c r="AO124" s="1" t="e">
        <f>AN124/VLOOKUP(A124,'[42]geoMap (39)'!$A:$B,2,0)*VLOOKUP(A124,'[42]geoMap (39)'!$A:$C,3,0)</f>
        <v>#REF!</v>
      </c>
      <c r="AP124" s="1" t="e">
        <f>AO124/VLOOKUP(A124,'[43]geoMap (40)'!$A:$B,2,0)*VLOOKUP(A124,'[43]geoMap (40)'!$A:$C,3,0)</f>
        <v>#REF!</v>
      </c>
      <c r="AQ124" s="1" t="e">
        <f>AP124/VLOOKUP(A124,'[44]geoMap (41)'!$A:$B,2,0)*VLOOKUP(A124,'[44]geoMap (41)'!$A:$C,3,0)</f>
        <v>#REF!</v>
      </c>
      <c r="AR124" s="1" t="e">
        <f>AQ124/VLOOKUP(A124,'[45]geoMap (42)'!$A:$B,2,0)*VLOOKUP(A124,'[45]geoMap (42)'!$A:$C,3,0)</f>
        <v>#REF!</v>
      </c>
      <c r="AS124" s="1" t="e">
        <f>AR124/VLOOKUP(A124,'[46]geoMap (43)'!$A:$B,2,0)*VLOOKUP(A124,'[46]geoMap (43)'!$A:$C,3,0)</f>
        <v>#REF!</v>
      </c>
      <c r="AT124" s="1" t="e">
        <f>AS124/VLOOKUP(A124,'[47]geoMap (44)'!$A:$B,2,0)*VLOOKUP(A124,'[47]geoMap (44)'!$A:$C,3,0)</f>
        <v>#REF!</v>
      </c>
      <c r="AU124" s="1" t="e">
        <f>AT124/VLOOKUP(A124,'[48]geoMap (45)'!$A:$B,2,0)*VLOOKUP(A124,'[48]geoMap (45)'!$A:$C,3,0)</f>
        <v>#REF!</v>
      </c>
      <c r="AV124" s="1" t="e">
        <f>AU124/VLOOKUP(A124,'[49]geoMap (46)'!$A:$B,2,0)*VLOOKUP(A124,'[49]geoMap (46)'!$A:$C,3,0)</f>
        <v>#REF!</v>
      </c>
      <c r="AW124" s="1" t="e">
        <f>AV124/VLOOKUP(A124,'[50]geoMap (47)'!$A:$B,2,0)*VLOOKUP(A124,'[50]geoMap (47)'!$A:$C,3,0)</f>
        <v>#REF!</v>
      </c>
      <c r="AX124" s="4" t="e">
        <f>AW124/VLOOKUP(A124,'[51]geoMap (48)'!$A:$B,2,0)*VLOOKUP(A124,'[51]geoMap (48)'!$A:$C,3,0)</f>
        <v>#REF!</v>
      </c>
      <c r="AY124" s="1" t="e">
        <f>AX124/VLOOKUP(A124,'[52]geoMap (49)'!$A:$B,2,0)*VLOOKUP(A124,'[52]geoMap (49)'!$A:$C,3,0)</f>
        <v>#REF!</v>
      </c>
      <c r="AZ124" s="4" t="e">
        <f>AY124/VLOOKUP(A124,'[53]geoMap (50)'!$A:$B,2,0)*VLOOKUP(A124,'[53]geoMap (50)'!$A:$C,3,0)</f>
        <v>#REF!</v>
      </c>
      <c r="BA124" s="1" t="e">
        <f>AZ124/VLOOKUP(A124,'[54]geoMap (51)'!$A:$B,2,0)*VLOOKUP(A124,'[54]geoMap (51)'!$A:$C,3,0)</f>
        <v>#REF!</v>
      </c>
      <c r="BB124" s="4" t="e">
        <f>BA124/VLOOKUP(A124,'[55]geoMap (52)'!$A:$B,2,0)*VLOOKUP(A124,'[55]geoMap (52)'!$A:$C,3,0)</f>
        <v>#REF!</v>
      </c>
      <c r="BC124" s="1" t="e">
        <f>BB124/VLOOKUP(A124,'[56]geoMap (53)'!$A:$B,2,0)*VLOOKUP(A124,'[56]geoMap (53)'!$A:$C,3,0)</f>
        <v>#REF!</v>
      </c>
      <c r="BD124" s="4" t="e">
        <f>BC124/VLOOKUP(A124,'[57]geoMap (54)'!$A:$B,2,0)*VLOOKUP(A124,'[57]geoMap (54)'!$A:$C,3,0)</f>
        <v>#REF!</v>
      </c>
      <c r="BE124" s="1" t="e">
        <f>BD124/VLOOKUP(A124,'[58]geoMap (55)'!$A:$B,2,0)*VLOOKUP(A124,'[58]geoMap (55)'!$A:$C,3,0)</f>
        <v>#REF!</v>
      </c>
      <c r="BF124" s="4" t="e">
        <f>BE124/VLOOKUP(A124,'[59]geoMap (56)'!$A:$B,2,0)*VLOOKUP(A124,'[59]geoMap (56)'!$A:$C,3,0)</f>
        <v>#REF!</v>
      </c>
      <c r="BG124" s="1" t="e">
        <f>BF124/VLOOKUP(A124,'[60]geoMap (57)'!$A:$B,2,0)*VLOOKUP(A124,'[60]geoMap (57)'!$A:$C,3,0)</f>
        <v>#REF!</v>
      </c>
      <c r="BH124" s="4" t="e">
        <f>BG124/VLOOKUP(A124,'[61]geoMap (58)'!$A:$B,2,0)*VLOOKUP(A124,'[61]geoMap (58)'!$A:$C,3,0)</f>
        <v>#REF!</v>
      </c>
      <c r="BI124" s="1" t="e">
        <f>BH124/VLOOKUP(A124,'[62]geoMap (59)'!$A:$B,2,0)*VLOOKUP(A124,'[62]geoMap (59)'!$A:$C,3,0)</f>
        <v>#REF!</v>
      </c>
      <c r="BJ124" s="4" t="e">
        <f>BI124/VLOOKUP(A124,'[63]geoMap (60)'!$A:$B,2,0)*VLOOKUP(A124,'[63]geoMap (60)'!$A:$C,3,0)</f>
        <v>#REF!</v>
      </c>
      <c r="BK124" s="1" t="e">
        <f>BJ124/VLOOKUP(A124,'[64]geoMap (61)'!$A:$B,2,0)*VLOOKUP(A124,'[64]geoMap (61)'!$A:$C,3,0)</f>
        <v>#REF!</v>
      </c>
      <c r="BL124" s="4" t="e">
        <f>BK124/VLOOKUP(A124,'[65]geoMap (62)'!$A:$B,2,0)*VLOOKUP(A124,'[65]geoMap (62)'!$A:$C,3,0)</f>
        <v>#REF!</v>
      </c>
      <c r="BM124" s="1" t="e">
        <f>BL124/VLOOKUP(A124,'[66]geoMap (63)'!$A:$B,2,0)*VLOOKUP(A124,'[66]geoMap (63)'!$A:$C,3,0)</f>
        <v>#REF!</v>
      </c>
      <c r="BN124" s="4" t="e">
        <f>BM124/VLOOKUP(A124,'[67]geoMap (64)'!$A:$B,2,0)*VLOOKUP(A124,'[67]geoMap (64)'!$A:$C,3,0)</f>
        <v>#REF!</v>
      </c>
      <c r="BO124" s="1" t="e">
        <f>BN124/VLOOKUP(A124,'[68]geoMap (65)'!$A:$B,2,0)*VLOOKUP(A124,'[68]geoMap (65)'!$A:$C,3,0)</f>
        <v>#REF!</v>
      </c>
      <c r="BP124" s="4" t="e">
        <f>BO124/VLOOKUP(A124,'[69]geoMap (66)'!$A:$B,2,0)*VLOOKUP(A124,'[69]geoMap (66)'!$A:$C,3,0)</f>
        <v>#REF!</v>
      </c>
    </row>
    <row r="125" spans="1:68" x14ac:dyDescent="0.2">
      <c r="A125" s="1" t="s">
        <v>83</v>
      </c>
      <c r="B125" s="1" t="e">
        <f>VLOOKUP(A125,[3]geoMap!$A:$B,2,0)*Notes!$C$6</f>
        <v>#REF!</v>
      </c>
      <c r="C125" s="1" t="e">
        <f>B125/VLOOKUP(A125,'[4]geoMap (1)'!$A:$B,2,0)*VLOOKUP(A125,'[4]geoMap (1)'!$A:$C,3,0)</f>
        <v>#REF!</v>
      </c>
      <c r="D125" s="1" t="e">
        <f>C125/VLOOKUP(A125,'[5]geoMap (2)'!$A:$B,2,0)*VLOOKUP(A125,'[5]geoMap (2)'!$A:$C,3,0)</f>
        <v>#REF!</v>
      </c>
      <c r="E125" s="1" t="e">
        <f>D125/VLOOKUP(A125,'[6]geoMap (3)'!$A:$B,2,0)*VLOOKUP(A125,'[6]geoMap (3)'!$A:$C,3,0)</f>
        <v>#REF!</v>
      </c>
      <c r="F125" s="1" t="e">
        <f>E125/VLOOKUP(A125,'[7]geoMap (4)'!$A:$B,2,0)*VLOOKUP(A125,'[7]geoMap (4)'!$A:$C,3,0)</f>
        <v>#REF!</v>
      </c>
      <c r="G125" s="1" t="e">
        <f>F125/VLOOKUP(A125,'[8]geoMap (5)'!$A:$B,2,0)*VLOOKUP(A125,'[8]geoMap (5)'!$A:$C,3,0)</f>
        <v>#REF!</v>
      </c>
      <c r="H125" s="1" t="e">
        <f>G125/VLOOKUP(A125,'[9]geoMap (6)'!$A:$B,2,0)*VLOOKUP(A125,'[9]geoMap (6)'!$A:$C,3,0)</f>
        <v>#REF!</v>
      </c>
      <c r="I125" s="1" t="e">
        <f>H125/VLOOKUP(A125,'[10]geoMap (7)'!$A:$B,2,0)*VLOOKUP(A125,'[10]geoMap (7)'!$A:$C,3,0)</f>
        <v>#REF!</v>
      </c>
      <c r="J125" s="1" t="e">
        <f>I125/VLOOKUP(A125,'[11]geoMap (8)'!$A:$B,2,0)*VLOOKUP(A125,'[11]geoMap (8)'!$A:$C,3,0)</f>
        <v>#REF!</v>
      </c>
      <c r="K125" s="1" t="e">
        <f>J125/VLOOKUP(A125,'[12]geoMap (9)'!$A:$B,2,0)*VLOOKUP(A125,'[12]geoMap (9)'!$A:$C,3,0)</f>
        <v>#REF!</v>
      </c>
      <c r="L125" s="1" t="e">
        <f>K125/VLOOKUP(A125,'[13]geoMap (10)'!$A:$B,2,0)*VLOOKUP(A125,'[13]geoMap (10)'!$A:$C,3,0)</f>
        <v>#REF!</v>
      </c>
      <c r="M125" s="1" t="e">
        <f>L125/VLOOKUP(A125,'[14]geoMap (11)'!$A:$B,2,0)*VLOOKUP(A125,'[14]geoMap (11)'!$A:$C,3,0)</f>
        <v>#REF!</v>
      </c>
      <c r="N125" s="1" t="e">
        <f>M125/VLOOKUP(A125,'[15]geoMap (12)'!$A:$B,2,0)*VLOOKUP(A125,'[15]geoMap (12)'!$A:$C,3,0)</f>
        <v>#REF!</v>
      </c>
      <c r="O125" s="1" t="e">
        <f>N125/VLOOKUP(A125,'[16]geoMap (13)'!$A:$B,2,0)*VLOOKUP(A125,'[16]geoMap (13)'!$A:$C,3,0)</f>
        <v>#REF!</v>
      </c>
      <c r="P125" s="1" t="e">
        <f>O125/VLOOKUP(A125,'[17]geoMap (14)'!$A:$B,2,0)*VLOOKUP(A125,'[17]geoMap (14)'!$A:$C,3,0)</f>
        <v>#REF!</v>
      </c>
      <c r="Q125" s="1" t="e">
        <f>P125/VLOOKUP(A125,'[18]geoMap (15)'!$A:$B,2,0)*VLOOKUP(A125,'[18]geoMap (15)'!$A:$C,3,0)</f>
        <v>#REF!</v>
      </c>
      <c r="R125" s="1" t="e">
        <f>Q125/VLOOKUP(A125,'[19]geoMap (16)'!$A:$B,2,0)*VLOOKUP(A125,'[19]geoMap (16)'!$A:$C,3,0)</f>
        <v>#REF!</v>
      </c>
      <c r="S125" s="1" t="e">
        <f>R125/VLOOKUP(A125,'[20]geoMap (17)'!$A:$B,2,0)*VLOOKUP(A125,'[20]geoMap (17)'!$A:$C,3,0)</f>
        <v>#REF!</v>
      </c>
      <c r="T125" s="1" t="e">
        <f>S125/VLOOKUP(A125,'[21]geoMap (18)'!$A:$B,2,0)*VLOOKUP(A125,'[21]geoMap (18)'!$A:$C,3,0)</f>
        <v>#REF!</v>
      </c>
      <c r="U125" s="1" t="e">
        <f>T125/VLOOKUP(A125,'[22]geoMap (19)'!$A:$B,2,0)*VLOOKUP(A125,'[22]geoMap (19)'!$A:$C,3,0)</f>
        <v>#REF!</v>
      </c>
      <c r="V125" s="1" t="e">
        <f>U125/VLOOKUP(A125,'[23]geoMap (20)'!$A:$B,2,0)*VLOOKUP(A125,'[23]geoMap (20)'!$A:$C,3,0)</f>
        <v>#REF!</v>
      </c>
      <c r="W125" s="1" t="e">
        <f>V125/VLOOKUP(A125,'[24]geoMap (21)'!$A:$B,2,0)*VLOOKUP(A125,'[24]geoMap (21)'!$A:$C,3,0)</f>
        <v>#REF!</v>
      </c>
      <c r="X125" s="1" t="e">
        <f>W125/VLOOKUP(A125,'[25]geoMap (22)'!$A:$B,2,0)*VLOOKUP(A125,'[25]geoMap (22)'!$A:$C,3,0)</f>
        <v>#REF!</v>
      </c>
      <c r="Y125" s="1" t="e">
        <f>X125/VLOOKUP(A125,'[26]geoMap (23)'!$A:$B,2,0)*VLOOKUP(A125,'[26]geoMap (23)'!$A:$C,3,0)</f>
        <v>#REF!</v>
      </c>
      <c r="Z125" s="1" t="e">
        <f>Y125/VLOOKUP(A125,'[27]geoMap (24)'!$A:$B,2,0)*VLOOKUP(A125,'[27]geoMap (24)'!$A:$C,3,0)</f>
        <v>#REF!</v>
      </c>
      <c r="AA125" s="1" t="e">
        <f>Z125/VLOOKUP(A125,'[28]geoMap (25)'!$A:$B,2,0)*VLOOKUP(A125,'[28]geoMap (25)'!$A:$C,3,0)</f>
        <v>#REF!</v>
      </c>
      <c r="AB125" s="1" t="e">
        <f>AA125*VLOOKUP(A125,'[29]geoMap (26)'!$A:$B,2,0)*VLOOKUP(A125,'[29]geoMap (26)'!$A:$C,3,0)</f>
        <v>#REF!</v>
      </c>
      <c r="AC125" s="1" t="e">
        <f>AB125/VLOOKUP(A125,'[30]geoMap (27)'!$A:$B,2,0)*VLOOKUP(A125,'[30]geoMap (27)'!$A:$C,3,0)</f>
        <v>#REF!</v>
      </c>
      <c r="AD125" s="1" t="e">
        <f>AC125/VLOOKUP(A125,'[31]geoMap (28)'!$A:$B,2,0)*VLOOKUP(A125,'[31]geoMap (28)'!$A:$C,3,0)</f>
        <v>#REF!</v>
      </c>
      <c r="AE125" s="1" t="e">
        <f>AD125/VLOOKUP(A125,'[32]geoMap (29)'!$A:$B,2,0)*VLOOKUP(A125,'[32]geoMap (29)'!$A:$C,3,0)</f>
        <v>#REF!</v>
      </c>
      <c r="AF125" s="1" t="e">
        <f>AE125/VLOOKUP(A125,'[33]geoMap (30)'!$A:$B,2,0)*VLOOKUP(A125,'[33]geoMap (30)'!$A:$C,3,0)</f>
        <v>#REF!</v>
      </c>
      <c r="AG125" s="1" t="e">
        <f>AF125/VLOOKUP(A125,'[34]geoMap (31)'!$A:$B,2,0)*VLOOKUP(A125,'[34]geoMap (31)'!$A:$C,3,0)</f>
        <v>#REF!</v>
      </c>
      <c r="AH125" s="1" t="e">
        <f>AG125/VLOOKUP(A125,'[35]geoMap (32)'!$A:$B,2,0)*VLOOKUP(A125,'[35]geoMap (32)'!$A:$C,3,0)</f>
        <v>#REF!</v>
      </c>
      <c r="AI125" s="1" t="e">
        <f>AH125/VLOOKUP(A125,'[36]geoMap (33)'!$A:$B,2,0)*VLOOKUP(A125,'[36]geoMap (33)'!$A:$C,3,0)</f>
        <v>#REF!</v>
      </c>
      <c r="AJ125" s="1" t="e">
        <f>AI125/VLOOKUP(A125,'[37]geoMap (34)'!$A:$B,2,0)*VLOOKUP(A125,'[37]geoMap (34)'!$A:$C,3,0)</f>
        <v>#REF!</v>
      </c>
      <c r="AK125" s="1" t="e">
        <f>AJ125/VLOOKUP(A125,'[38]geoMap (35)'!$A:$B,2,0)*VLOOKUP(A125,'[38]geoMap (35)'!$A:$C,3,0)</f>
        <v>#REF!</v>
      </c>
      <c r="AL125" s="1" t="e">
        <f>AK125/VLOOKUP(A125,'[39]geoMap (36)'!$A:$B,2,0)*VLOOKUP(A125,'[39]geoMap (36)'!$A:$C,3,0)</f>
        <v>#REF!</v>
      </c>
      <c r="AM125" s="1" t="e">
        <f>AL125/VLOOKUP(A125,'[40]geoMap (37)'!$A:$B,2,0)*VLOOKUP(A125,'[40]geoMap (37)'!$A:$C,3,0)</f>
        <v>#REF!</v>
      </c>
      <c r="AN125" s="1" t="e">
        <f>AM125/VLOOKUP(A125,'[41]geoMap (38)'!$A:$B,2,0)*VLOOKUP(A125,'[41]geoMap (38)'!$A:$C,3,0)</f>
        <v>#REF!</v>
      </c>
      <c r="AO125" s="1" t="e">
        <f>AN125/VLOOKUP(A125,'[42]geoMap (39)'!$A:$B,2,0)*VLOOKUP(A125,'[42]geoMap (39)'!$A:$C,3,0)</f>
        <v>#REF!</v>
      </c>
      <c r="AP125" s="1" t="e">
        <f>AO125/VLOOKUP(A125,'[43]geoMap (40)'!$A:$B,2,0)*VLOOKUP(A125,'[43]geoMap (40)'!$A:$C,3,0)</f>
        <v>#REF!</v>
      </c>
      <c r="AQ125" s="1" t="e">
        <f>AP125/VLOOKUP(A125,'[44]geoMap (41)'!$A:$B,2,0)*VLOOKUP(A125,'[44]geoMap (41)'!$A:$C,3,0)</f>
        <v>#REF!</v>
      </c>
      <c r="AR125" s="1" t="e">
        <f>AQ125/VLOOKUP(A125,'[45]geoMap (42)'!$A:$B,2,0)*VLOOKUP(A125,'[45]geoMap (42)'!$A:$C,3,0)</f>
        <v>#REF!</v>
      </c>
      <c r="AS125" s="1" t="e">
        <f>AR125/VLOOKUP(A125,'[46]geoMap (43)'!$A:$B,2,0)*VLOOKUP(A125,'[46]geoMap (43)'!$A:$C,3,0)</f>
        <v>#REF!</v>
      </c>
      <c r="AT125" s="1" t="e">
        <f>AS125/VLOOKUP(A125,'[47]geoMap (44)'!$A:$B,2,0)*VLOOKUP(A125,'[47]geoMap (44)'!$A:$C,3,0)</f>
        <v>#REF!</v>
      </c>
      <c r="AU125" s="1" t="e">
        <f>AT125/VLOOKUP(A125,'[48]geoMap (45)'!$A:$B,2,0)*VLOOKUP(A125,'[48]geoMap (45)'!$A:$C,3,0)</f>
        <v>#REF!</v>
      </c>
      <c r="AV125" s="1" t="e">
        <f>AU125/VLOOKUP(A125,'[49]geoMap (46)'!$A:$B,2,0)*VLOOKUP(A125,'[49]geoMap (46)'!$A:$C,3,0)</f>
        <v>#REF!</v>
      </c>
      <c r="AW125" s="1" t="e">
        <f>AV125/VLOOKUP(A125,'[50]geoMap (47)'!$A:$B,2,0)*VLOOKUP(A125,'[50]geoMap (47)'!$A:$C,3,0)</f>
        <v>#REF!</v>
      </c>
      <c r="AX125" s="4" t="e">
        <f>AW125/VLOOKUP(A125,'[51]geoMap (48)'!$A:$B,2,0)*VLOOKUP(A125,'[51]geoMap (48)'!$A:$C,3,0)</f>
        <v>#REF!</v>
      </c>
      <c r="AY125" s="1" t="e">
        <f>AX125/VLOOKUP(A125,'[52]geoMap (49)'!$A:$B,2,0)*VLOOKUP(A125,'[52]geoMap (49)'!$A:$C,3,0)</f>
        <v>#REF!</v>
      </c>
      <c r="AZ125" s="4" t="e">
        <f>AY125/VLOOKUP(A125,'[53]geoMap (50)'!$A:$B,2,0)*VLOOKUP(A125,'[53]geoMap (50)'!$A:$C,3,0)</f>
        <v>#REF!</v>
      </c>
      <c r="BA125" s="1" t="e">
        <f>AZ125/VLOOKUP(A125,'[54]geoMap (51)'!$A:$B,2,0)*VLOOKUP(A125,'[54]geoMap (51)'!$A:$C,3,0)</f>
        <v>#REF!</v>
      </c>
      <c r="BB125" s="4" t="e">
        <f>BA125/VLOOKUP(A125,'[55]geoMap (52)'!$A:$B,2,0)*VLOOKUP(A125,'[55]geoMap (52)'!$A:$C,3,0)</f>
        <v>#REF!</v>
      </c>
      <c r="BC125" s="1" t="e">
        <f>BB125/VLOOKUP(A125,'[56]geoMap (53)'!$A:$B,2,0)*VLOOKUP(A125,'[56]geoMap (53)'!$A:$C,3,0)</f>
        <v>#REF!</v>
      </c>
      <c r="BD125" s="4" t="e">
        <f>BC125/VLOOKUP(A125,'[57]geoMap (54)'!$A:$B,2,0)*VLOOKUP(A125,'[57]geoMap (54)'!$A:$C,3,0)</f>
        <v>#REF!</v>
      </c>
      <c r="BE125" s="1" t="e">
        <f>BD125/VLOOKUP(A125,'[58]geoMap (55)'!$A:$B,2,0)*VLOOKUP(A125,'[58]geoMap (55)'!$A:$C,3,0)</f>
        <v>#REF!</v>
      </c>
      <c r="BF125" s="4" t="e">
        <f>BE125/VLOOKUP(A125,'[59]geoMap (56)'!$A:$B,2,0)*VLOOKUP(A125,'[59]geoMap (56)'!$A:$C,3,0)</f>
        <v>#REF!</v>
      </c>
      <c r="BG125" s="1" t="e">
        <f>BF125/VLOOKUP(A125,'[60]geoMap (57)'!$A:$B,2,0)*VLOOKUP(A125,'[60]geoMap (57)'!$A:$C,3,0)</f>
        <v>#REF!</v>
      </c>
      <c r="BH125" s="4" t="e">
        <f>BG125/VLOOKUP(A125,'[61]geoMap (58)'!$A:$B,2,0)*VLOOKUP(A125,'[61]geoMap (58)'!$A:$C,3,0)</f>
        <v>#REF!</v>
      </c>
      <c r="BI125" s="1" t="e">
        <f>BH125/VLOOKUP(A125,'[62]geoMap (59)'!$A:$B,2,0)*VLOOKUP(A125,'[62]geoMap (59)'!$A:$C,3,0)</f>
        <v>#REF!</v>
      </c>
      <c r="BJ125" s="4" t="e">
        <f>BI125/VLOOKUP(A125,'[63]geoMap (60)'!$A:$B,2,0)*VLOOKUP(A125,'[63]geoMap (60)'!$A:$C,3,0)</f>
        <v>#REF!</v>
      </c>
      <c r="BK125" s="1" t="e">
        <f>BJ125/VLOOKUP(A125,'[64]geoMap (61)'!$A:$B,2,0)*VLOOKUP(A125,'[64]geoMap (61)'!$A:$C,3,0)</f>
        <v>#REF!</v>
      </c>
      <c r="BL125" s="4" t="e">
        <f>BK125/VLOOKUP(A125,'[65]geoMap (62)'!$A:$B,2,0)*VLOOKUP(A125,'[65]geoMap (62)'!$A:$C,3,0)</f>
        <v>#REF!</v>
      </c>
      <c r="BM125" s="1" t="e">
        <f>BL125/VLOOKUP(A125,'[66]geoMap (63)'!$A:$B,2,0)*VLOOKUP(A125,'[66]geoMap (63)'!$A:$C,3,0)</f>
        <v>#REF!</v>
      </c>
      <c r="BN125" s="4" t="e">
        <f>BM125/VLOOKUP(A125,'[67]geoMap (64)'!$A:$B,2,0)*VLOOKUP(A125,'[67]geoMap (64)'!$A:$C,3,0)</f>
        <v>#REF!</v>
      </c>
      <c r="BO125" s="1" t="e">
        <f>BN125/VLOOKUP(A125,'[68]geoMap (65)'!$A:$B,2,0)*VLOOKUP(A125,'[68]geoMap (65)'!$A:$C,3,0)</f>
        <v>#REF!</v>
      </c>
      <c r="BP125" s="4" t="e">
        <f>BO125/VLOOKUP(A125,'[69]geoMap (66)'!$A:$B,2,0)*VLOOKUP(A125,'[69]geoMap (66)'!$A:$C,3,0)</f>
        <v>#REF!</v>
      </c>
    </row>
    <row r="126" spans="1:68" x14ac:dyDescent="0.2">
      <c r="A126" s="1" t="s">
        <v>84</v>
      </c>
      <c r="B126" s="1" t="e">
        <f>VLOOKUP(A126,[3]geoMap!$A:$B,2,0)*Notes!$C$6</f>
        <v>#REF!</v>
      </c>
      <c r="C126" s="1" t="e">
        <f>B126/VLOOKUP(A126,'[4]geoMap (1)'!$A:$B,2,0)*VLOOKUP(A126,'[4]geoMap (1)'!$A:$C,3,0)</f>
        <v>#REF!</v>
      </c>
      <c r="D126" s="1" t="e">
        <f>C126/VLOOKUP(A126,'[5]geoMap (2)'!$A:$B,2,0)*VLOOKUP(A126,'[5]geoMap (2)'!$A:$C,3,0)</f>
        <v>#REF!</v>
      </c>
      <c r="E126" s="1" t="e">
        <f>D126/VLOOKUP(A126,'[6]geoMap (3)'!$A:$B,2,0)*VLOOKUP(A126,'[6]geoMap (3)'!$A:$C,3,0)</f>
        <v>#REF!</v>
      </c>
      <c r="F126" s="1" t="e">
        <f>E126/VLOOKUP(A126,'[7]geoMap (4)'!$A:$B,2,0)*VLOOKUP(A126,'[7]geoMap (4)'!$A:$C,3,0)</f>
        <v>#REF!</v>
      </c>
      <c r="G126" s="1" t="e">
        <f>F126/VLOOKUP(A126,'[8]geoMap (5)'!$A:$B,2,0)*VLOOKUP(A126,'[8]geoMap (5)'!$A:$C,3,0)</f>
        <v>#REF!</v>
      </c>
      <c r="H126" s="1" t="e">
        <f>G126/VLOOKUP(A126,'[9]geoMap (6)'!$A:$B,2,0)*VLOOKUP(A126,'[9]geoMap (6)'!$A:$C,3,0)</f>
        <v>#REF!</v>
      </c>
      <c r="I126" s="1" t="e">
        <f>H126/VLOOKUP(A126,'[10]geoMap (7)'!$A:$B,2,0)*VLOOKUP(A126,'[10]geoMap (7)'!$A:$C,3,0)</f>
        <v>#REF!</v>
      </c>
      <c r="J126" s="1" t="e">
        <f>I126/VLOOKUP(A126,'[11]geoMap (8)'!$A:$B,2,0)*VLOOKUP(A126,'[11]geoMap (8)'!$A:$C,3,0)</f>
        <v>#REF!</v>
      </c>
      <c r="K126" s="1" t="e">
        <f>J126/VLOOKUP(A126,'[12]geoMap (9)'!$A:$B,2,0)*VLOOKUP(A126,'[12]geoMap (9)'!$A:$C,3,0)</f>
        <v>#REF!</v>
      </c>
      <c r="L126" s="1" t="e">
        <f>K126/VLOOKUP(A126,'[13]geoMap (10)'!$A:$B,2,0)*VLOOKUP(A126,'[13]geoMap (10)'!$A:$C,3,0)</f>
        <v>#REF!</v>
      </c>
      <c r="M126" s="1" t="e">
        <f>L126/VLOOKUP(A126,'[14]geoMap (11)'!$A:$B,2,0)*VLOOKUP(A126,'[14]geoMap (11)'!$A:$C,3,0)</f>
        <v>#REF!</v>
      </c>
      <c r="N126" s="1" t="e">
        <f>M126/VLOOKUP(A126,'[15]geoMap (12)'!$A:$B,2,0)*VLOOKUP(A126,'[15]geoMap (12)'!$A:$C,3,0)</f>
        <v>#REF!</v>
      </c>
      <c r="O126" s="1" t="e">
        <f>N126/VLOOKUP(A126,'[16]geoMap (13)'!$A:$B,2,0)*VLOOKUP(A126,'[16]geoMap (13)'!$A:$C,3,0)</f>
        <v>#REF!</v>
      </c>
      <c r="P126" s="1" t="e">
        <f>O126/VLOOKUP(A126,'[17]geoMap (14)'!$A:$B,2,0)*VLOOKUP(A126,'[17]geoMap (14)'!$A:$C,3,0)</f>
        <v>#REF!</v>
      </c>
      <c r="Q126" s="1" t="e">
        <f>P126/VLOOKUP(A126,'[18]geoMap (15)'!$A:$B,2,0)*VLOOKUP(A126,'[18]geoMap (15)'!$A:$C,3,0)</f>
        <v>#REF!</v>
      </c>
      <c r="R126" s="1" t="e">
        <f>Q126/VLOOKUP(A126,'[19]geoMap (16)'!$A:$B,2,0)*VLOOKUP(A126,'[19]geoMap (16)'!$A:$C,3,0)</f>
        <v>#REF!</v>
      </c>
      <c r="S126" s="1" t="e">
        <f>R126/VLOOKUP(A126,'[20]geoMap (17)'!$A:$B,2,0)*VLOOKUP(A126,'[20]geoMap (17)'!$A:$C,3,0)</f>
        <v>#REF!</v>
      </c>
      <c r="T126" s="1" t="e">
        <f>S126/VLOOKUP(A126,'[21]geoMap (18)'!$A:$B,2,0)*VLOOKUP(A126,'[21]geoMap (18)'!$A:$C,3,0)</f>
        <v>#REF!</v>
      </c>
      <c r="U126" s="1" t="e">
        <f>T126/VLOOKUP(A126,'[22]geoMap (19)'!$A:$B,2,0)*VLOOKUP(A126,'[22]geoMap (19)'!$A:$C,3,0)</f>
        <v>#REF!</v>
      </c>
      <c r="V126" s="1" t="e">
        <f>U126/VLOOKUP(A126,'[23]geoMap (20)'!$A:$B,2,0)*VLOOKUP(A126,'[23]geoMap (20)'!$A:$C,3,0)</f>
        <v>#REF!</v>
      </c>
      <c r="W126" s="1" t="e">
        <f>V126/VLOOKUP(A126,'[24]geoMap (21)'!$A:$B,2,0)*VLOOKUP(A126,'[24]geoMap (21)'!$A:$C,3,0)</f>
        <v>#REF!</v>
      </c>
      <c r="X126" s="1" t="e">
        <f>W126/VLOOKUP(A126,'[25]geoMap (22)'!$A:$B,2,0)*VLOOKUP(A126,'[25]geoMap (22)'!$A:$C,3,0)</f>
        <v>#REF!</v>
      </c>
      <c r="Y126" s="1" t="e">
        <f>X126/VLOOKUP(A126,'[26]geoMap (23)'!$A:$B,2,0)*VLOOKUP(A126,'[26]geoMap (23)'!$A:$C,3,0)</f>
        <v>#REF!</v>
      </c>
      <c r="Z126" s="1" t="e">
        <f>Y126/VLOOKUP(A126,'[27]geoMap (24)'!$A:$B,2,0)*VLOOKUP(A126,'[27]geoMap (24)'!$A:$C,3,0)</f>
        <v>#REF!</v>
      </c>
      <c r="AA126" s="1" t="e">
        <f>Z126/VLOOKUP(A126,'[28]geoMap (25)'!$A:$B,2,0)*VLOOKUP(A126,'[28]geoMap (25)'!$A:$C,3,0)</f>
        <v>#REF!</v>
      </c>
      <c r="AB126" s="1" t="e">
        <f>AA126*VLOOKUP(A126,'[29]geoMap (26)'!$A:$B,2,0)*VLOOKUP(A126,'[29]geoMap (26)'!$A:$C,3,0)</f>
        <v>#REF!</v>
      </c>
      <c r="AC126" s="1" t="e">
        <f>AB126/VLOOKUP(A126,'[30]geoMap (27)'!$A:$B,2,0)*VLOOKUP(A126,'[30]geoMap (27)'!$A:$C,3,0)</f>
        <v>#REF!</v>
      </c>
      <c r="AD126" s="1" t="e">
        <f>AC126/VLOOKUP(A126,'[31]geoMap (28)'!$A:$B,2,0)*VLOOKUP(A126,'[31]geoMap (28)'!$A:$C,3,0)</f>
        <v>#REF!</v>
      </c>
      <c r="AE126" s="1" t="e">
        <f>AD126/VLOOKUP(A126,'[32]geoMap (29)'!$A:$B,2,0)*VLOOKUP(A126,'[32]geoMap (29)'!$A:$C,3,0)</f>
        <v>#REF!</v>
      </c>
      <c r="AF126" s="1" t="e">
        <f>AE126/VLOOKUP(A126,'[33]geoMap (30)'!$A:$B,2,0)*VLOOKUP(A126,'[33]geoMap (30)'!$A:$C,3,0)</f>
        <v>#REF!</v>
      </c>
      <c r="AG126" s="1" t="e">
        <f>AF126/VLOOKUP(A126,'[34]geoMap (31)'!$A:$B,2,0)*VLOOKUP(A126,'[34]geoMap (31)'!$A:$C,3,0)</f>
        <v>#REF!</v>
      </c>
      <c r="AH126" s="1" t="e">
        <f>AG126/VLOOKUP(A126,'[35]geoMap (32)'!$A:$B,2,0)*VLOOKUP(A126,'[35]geoMap (32)'!$A:$C,3,0)</f>
        <v>#REF!</v>
      </c>
      <c r="AI126" s="1" t="e">
        <f>AH126/VLOOKUP(A126,'[36]geoMap (33)'!$A:$B,2,0)*VLOOKUP(A126,'[36]geoMap (33)'!$A:$C,3,0)</f>
        <v>#REF!</v>
      </c>
      <c r="AJ126" s="1" t="e">
        <f>AI126/VLOOKUP(A126,'[37]geoMap (34)'!$A:$B,2,0)*VLOOKUP(A126,'[37]geoMap (34)'!$A:$C,3,0)</f>
        <v>#REF!</v>
      </c>
      <c r="AK126" s="1" t="e">
        <f>AJ126/VLOOKUP(A126,'[38]geoMap (35)'!$A:$B,2,0)*VLOOKUP(A126,'[38]geoMap (35)'!$A:$C,3,0)</f>
        <v>#REF!</v>
      </c>
      <c r="AL126" s="1" t="e">
        <f>AK126/VLOOKUP(A126,'[39]geoMap (36)'!$A:$B,2,0)*VLOOKUP(A126,'[39]geoMap (36)'!$A:$C,3,0)</f>
        <v>#REF!</v>
      </c>
      <c r="AM126" s="1" t="e">
        <f>AL126/VLOOKUP(A126,'[40]geoMap (37)'!$A:$B,2,0)*VLOOKUP(A126,'[40]geoMap (37)'!$A:$C,3,0)</f>
        <v>#REF!</v>
      </c>
      <c r="AN126" s="1" t="e">
        <f>AM126/VLOOKUP(A126,'[41]geoMap (38)'!$A:$B,2,0)*VLOOKUP(A126,'[41]geoMap (38)'!$A:$C,3,0)</f>
        <v>#REF!</v>
      </c>
      <c r="AO126" s="1" t="e">
        <f>AN126/VLOOKUP(A126,'[42]geoMap (39)'!$A:$B,2,0)*VLOOKUP(A126,'[42]geoMap (39)'!$A:$C,3,0)</f>
        <v>#REF!</v>
      </c>
      <c r="AP126" s="1" t="e">
        <f>AO126/VLOOKUP(A126,'[43]geoMap (40)'!$A:$B,2,0)*VLOOKUP(A126,'[43]geoMap (40)'!$A:$C,3,0)</f>
        <v>#REF!</v>
      </c>
      <c r="AQ126" s="1" t="e">
        <f>AP126/VLOOKUP(A126,'[44]geoMap (41)'!$A:$B,2,0)*VLOOKUP(A126,'[44]geoMap (41)'!$A:$C,3,0)</f>
        <v>#REF!</v>
      </c>
      <c r="AR126" s="1" t="e">
        <f>AQ126/VLOOKUP(A126,'[45]geoMap (42)'!$A:$B,2,0)*VLOOKUP(A126,'[45]geoMap (42)'!$A:$C,3,0)</f>
        <v>#REF!</v>
      </c>
      <c r="AS126" s="1" t="e">
        <f>AR126/VLOOKUP(A126,'[46]geoMap (43)'!$A:$B,2,0)*VLOOKUP(A126,'[46]geoMap (43)'!$A:$C,3,0)</f>
        <v>#REF!</v>
      </c>
      <c r="AT126" s="1" t="e">
        <f>AS126/VLOOKUP(A126,'[47]geoMap (44)'!$A:$B,2,0)*VLOOKUP(A126,'[47]geoMap (44)'!$A:$C,3,0)</f>
        <v>#REF!</v>
      </c>
      <c r="AU126" s="1" t="e">
        <f>AT126/VLOOKUP(A126,'[48]geoMap (45)'!$A:$B,2,0)*VLOOKUP(A126,'[48]geoMap (45)'!$A:$C,3,0)</f>
        <v>#REF!</v>
      </c>
      <c r="AV126" s="1" t="e">
        <f>AU126/VLOOKUP(A126,'[49]geoMap (46)'!$A:$B,2,0)*VLOOKUP(A126,'[49]geoMap (46)'!$A:$C,3,0)</f>
        <v>#REF!</v>
      </c>
      <c r="AW126" s="1" t="e">
        <f>AV126/VLOOKUP(A126,'[50]geoMap (47)'!$A:$B,2,0)*VLOOKUP(A126,'[50]geoMap (47)'!$A:$C,3,0)</f>
        <v>#REF!</v>
      </c>
      <c r="AX126" s="4" t="e">
        <f>AW126/VLOOKUP(A126,'[51]geoMap (48)'!$A:$B,2,0)*VLOOKUP(A126,'[51]geoMap (48)'!$A:$C,3,0)</f>
        <v>#REF!</v>
      </c>
      <c r="AY126" s="1" t="e">
        <f>AX126/VLOOKUP(A126,'[52]geoMap (49)'!$A:$B,2,0)*VLOOKUP(A126,'[52]geoMap (49)'!$A:$C,3,0)</f>
        <v>#REF!</v>
      </c>
      <c r="AZ126" s="4" t="e">
        <f>AY126/VLOOKUP(A126,'[53]geoMap (50)'!$A:$B,2,0)*VLOOKUP(A126,'[53]geoMap (50)'!$A:$C,3,0)</f>
        <v>#REF!</v>
      </c>
      <c r="BA126" s="1" t="e">
        <f>AZ126/VLOOKUP(A126,'[54]geoMap (51)'!$A:$B,2,0)*VLOOKUP(A126,'[54]geoMap (51)'!$A:$C,3,0)</f>
        <v>#REF!</v>
      </c>
      <c r="BB126" s="4" t="e">
        <f>BA126/VLOOKUP(A126,'[55]geoMap (52)'!$A:$B,2,0)*VLOOKUP(A126,'[55]geoMap (52)'!$A:$C,3,0)</f>
        <v>#REF!</v>
      </c>
      <c r="BC126" s="1" t="e">
        <f>BB126/VLOOKUP(A126,'[56]geoMap (53)'!$A:$B,2,0)*VLOOKUP(A126,'[56]geoMap (53)'!$A:$C,3,0)</f>
        <v>#REF!</v>
      </c>
      <c r="BD126" s="4" t="e">
        <f>BC126/VLOOKUP(A126,'[57]geoMap (54)'!$A:$B,2,0)*VLOOKUP(A126,'[57]geoMap (54)'!$A:$C,3,0)</f>
        <v>#REF!</v>
      </c>
      <c r="BE126" s="1" t="e">
        <f>BD126/VLOOKUP(A126,'[58]geoMap (55)'!$A:$B,2,0)*VLOOKUP(A126,'[58]geoMap (55)'!$A:$C,3,0)</f>
        <v>#REF!</v>
      </c>
      <c r="BF126" s="4" t="e">
        <f>BE126/VLOOKUP(A126,'[59]geoMap (56)'!$A:$B,2,0)*VLOOKUP(A126,'[59]geoMap (56)'!$A:$C,3,0)</f>
        <v>#REF!</v>
      </c>
      <c r="BG126" s="1" t="e">
        <f>BF126/VLOOKUP(A126,'[60]geoMap (57)'!$A:$B,2,0)*VLOOKUP(A126,'[60]geoMap (57)'!$A:$C,3,0)</f>
        <v>#REF!</v>
      </c>
      <c r="BH126" s="4" t="e">
        <f>BG126/VLOOKUP(A126,'[61]geoMap (58)'!$A:$B,2,0)*VLOOKUP(A126,'[61]geoMap (58)'!$A:$C,3,0)</f>
        <v>#REF!</v>
      </c>
      <c r="BI126" s="1" t="e">
        <f>BH126/VLOOKUP(A126,'[62]geoMap (59)'!$A:$B,2,0)*VLOOKUP(A126,'[62]geoMap (59)'!$A:$C,3,0)</f>
        <v>#REF!</v>
      </c>
      <c r="BJ126" s="4" t="e">
        <f>BI126/VLOOKUP(A126,'[63]geoMap (60)'!$A:$B,2,0)*VLOOKUP(A126,'[63]geoMap (60)'!$A:$C,3,0)</f>
        <v>#REF!</v>
      </c>
      <c r="BK126" s="1" t="e">
        <f>BJ126/VLOOKUP(A126,'[64]geoMap (61)'!$A:$B,2,0)*VLOOKUP(A126,'[64]geoMap (61)'!$A:$C,3,0)</f>
        <v>#REF!</v>
      </c>
      <c r="BL126" s="4" t="e">
        <f>BK126/VLOOKUP(A126,'[65]geoMap (62)'!$A:$B,2,0)*VLOOKUP(A126,'[65]geoMap (62)'!$A:$C,3,0)</f>
        <v>#REF!</v>
      </c>
      <c r="BM126" s="1" t="e">
        <f>BL126/VLOOKUP(A126,'[66]geoMap (63)'!$A:$B,2,0)*VLOOKUP(A126,'[66]geoMap (63)'!$A:$C,3,0)</f>
        <v>#REF!</v>
      </c>
      <c r="BN126" s="4" t="e">
        <f>BM126/VLOOKUP(A126,'[67]geoMap (64)'!$A:$B,2,0)*VLOOKUP(A126,'[67]geoMap (64)'!$A:$C,3,0)</f>
        <v>#REF!</v>
      </c>
      <c r="BO126" s="1" t="e">
        <f>BN126/VLOOKUP(A126,'[68]geoMap (65)'!$A:$B,2,0)*VLOOKUP(A126,'[68]geoMap (65)'!$A:$C,3,0)</f>
        <v>#REF!</v>
      </c>
      <c r="BP126" s="4" t="e">
        <f>BO126/VLOOKUP(A126,'[69]geoMap (66)'!$A:$B,2,0)*VLOOKUP(A126,'[69]geoMap (66)'!$A:$C,3,0)</f>
        <v>#REF!</v>
      </c>
    </row>
    <row r="127" spans="1:68" x14ac:dyDescent="0.2">
      <c r="A127" s="1" t="s">
        <v>86</v>
      </c>
      <c r="B127" s="1" t="e">
        <f>VLOOKUP(A127,[3]geoMap!$A:$B,2,0)*Notes!$C$6</f>
        <v>#REF!</v>
      </c>
      <c r="C127" s="1" t="e">
        <f>B127/VLOOKUP(A127,'[4]geoMap (1)'!$A:$B,2,0)*VLOOKUP(A127,'[4]geoMap (1)'!$A:$C,3,0)</f>
        <v>#REF!</v>
      </c>
      <c r="D127" s="1" t="e">
        <f>C127/VLOOKUP(A127,'[5]geoMap (2)'!$A:$B,2,0)*VLOOKUP(A127,'[5]geoMap (2)'!$A:$C,3,0)</f>
        <v>#REF!</v>
      </c>
      <c r="E127" s="1" t="e">
        <f>D127/VLOOKUP(A127,'[6]geoMap (3)'!$A:$B,2,0)*VLOOKUP(A127,'[6]geoMap (3)'!$A:$C,3,0)</f>
        <v>#REF!</v>
      </c>
      <c r="F127" s="1" t="e">
        <f>E127/VLOOKUP(A127,'[7]geoMap (4)'!$A:$B,2,0)*VLOOKUP(A127,'[7]geoMap (4)'!$A:$C,3,0)</f>
        <v>#REF!</v>
      </c>
      <c r="G127" s="1" t="e">
        <f>F127/VLOOKUP(A127,'[8]geoMap (5)'!$A:$B,2,0)*VLOOKUP(A127,'[8]geoMap (5)'!$A:$C,3,0)</f>
        <v>#REF!</v>
      </c>
      <c r="H127" s="1" t="e">
        <f>G127/VLOOKUP(A127,'[9]geoMap (6)'!$A:$B,2,0)*VLOOKUP(A127,'[9]geoMap (6)'!$A:$C,3,0)</f>
        <v>#REF!</v>
      </c>
      <c r="I127" s="1" t="e">
        <f>H127/VLOOKUP(A127,'[10]geoMap (7)'!$A:$B,2,0)*VLOOKUP(A127,'[10]geoMap (7)'!$A:$C,3,0)</f>
        <v>#REF!</v>
      </c>
      <c r="J127" s="1" t="e">
        <f>I127/VLOOKUP(A127,'[11]geoMap (8)'!$A:$B,2,0)*VLOOKUP(A127,'[11]geoMap (8)'!$A:$C,3,0)</f>
        <v>#REF!</v>
      </c>
      <c r="K127" s="1" t="e">
        <f>J127/VLOOKUP(A127,'[12]geoMap (9)'!$A:$B,2,0)*VLOOKUP(A127,'[12]geoMap (9)'!$A:$C,3,0)</f>
        <v>#REF!</v>
      </c>
      <c r="L127" s="1" t="e">
        <f>K127/VLOOKUP(A127,'[13]geoMap (10)'!$A:$B,2,0)*VLOOKUP(A127,'[13]geoMap (10)'!$A:$C,3,0)</f>
        <v>#REF!</v>
      </c>
      <c r="M127" s="1" t="e">
        <f>L127/VLOOKUP(A127,'[14]geoMap (11)'!$A:$B,2,0)*VLOOKUP(A127,'[14]geoMap (11)'!$A:$C,3,0)</f>
        <v>#REF!</v>
      </c>
      <c r="N127" s="1" t="e">
        <f>M127/VLOOKUP(A127,'[15]geoMap (12)'!$A:$B,2,0)*VLOOKUP(A127,'[15]geoMap (12)'!$A:$C,3,0)</f>
        <v>#REF!</v>
      </c>
      <c r="O127" s="1" t="e">
        <f>N127/VLOOKUP(A127,'[16]geoMap (13)'!$A:$B,2,0)*VLOOKUP(A127,'[16]geoMap (13)'!$A:$C,3,0)</f>
        <v>#REF!</v>
      </c>
      <c r="P127" s="1" t="e">
        <f>O127/VLOOKUP(A127,'[17]geoMap (14)'!$A:$B,2,0)*VLOOKUP(A127,'[17]geoMap (14)'!$A:$C,3,0)</f>
        <v>#REF!</v>
      </c>
      <c r="Q127" s="1" t="e">
        <f>P127/VLOOKUP(A127,'[18]geoMap (15)'!$A:$B,2,0)*VLOOKUP(A127,'[18]geoMap (15)'!$A:$C,3,0)</f>
        <v>#REF!</v>
      </c>
      <c r="R127" s="1" t="e">
        <f>Q127/VLOOKUP(A127,'[19]geoMap (16)'!$A:$B,2,0)*VLOOKUP(A127,'[19]geoMap (16)'!$A:$C,3,0)</f>
        <v>#REF!</v>
      </c>
      <c r="S127" s="1" t="e">
        <f>R127/VLOOKUP(A127,'[20]geoMap (17)'!$A:$B,2,0)*VLOOKUP(A127,'[20]geoMap (17)'!$A:$C,3,0)</f>
        <v>#REF!</v>
      </c>
      <c r="T127" s="1" t="e">
        <f>S127/VLOOKUP(A127,'[21]geoMap (18)'!$A:$B,2,0)*VLOOKUP(A127,'[21]geoMap (18)'!$A:$C,3,0)</f>
        <v>#REF!</v>
      </c>
      <c r="U127" s="1" t="e">
        <f>T127/VLOOKUP(A127,'[22]geoMap (19)'!$A:$B,2,0)*VLOOKUP(A127,'[22]geoMap (19)'!$A:$C,3,0)</f>
        <v>#REF!</v>
      </c>
      <c r="V127" s="1" t="e">
        <f>U127/VLOOKUP(A127,'[23]geoMap (20)'!$A:$B,2,0)*VLOOKUP(A127,'[23]geoMap (20)'!$A:$C,3,0)</f>
        <v>#REF!</v>
      </c>
      <c r="W127" s="1" t="e">
        <f>V127/VLOOKUP(A127,'[24]geoMap (21)'!$A:$B,2,0)*VLOOKUP(A127,'[24]geoMap (21)'!$A:$C,3,0)</f>
        <v>#REF!</v>
      </c>
      <c r="X127" s="1" t="e">
        <f>W127/VLOOKUP(A127,'[25]geoMap (22)'!$A:$B,2,0)*VLOOKUP(A127,'[25]geoMap (22)'!$A:$C,3,0)</f>
        <v>#REF!</v>
      </c>
      <c r="Y127" s="1" t="e">
        <f>X127/VLOOKUP(A127,'[26]geoMap (23)'!$A:$B,2,0)*VLOOKUP(A127,'[26]geoMap (23)'!$A:$C,3,0)</f>
        <v>#REF!</v>
      </c>
      <c r="Z127" s="1" t="e">
        <f>Y127/VLOOKUP(A127,'[27]geoMap (24)'!$A:$B,2,0)*VLOOKUP(A127,'[27]geoMap (24)'!$A:$C,3,0)</f>
        <v>#REF!</v>
      </c>
      <c r="AA127" s="1" t="e">
        <f>Z127/VLOOKUP(A127,'[28]geoMap (25)'!$A:$B,2,0)*VLOOKUP(A127,'[28]geoMap (25)'!$A:$C,3,0)</f>
        <v>#REF!</v>
      </c>
      <c r="AB127" s="1" t="e">
        <f>AA127*VLOOKUP(A127,'[29]geoMap (26)'!$A:$B,2,0)*VLOOKUP(A127,'[29]geoMap (26)'!$A:$C,3,0)</f>
        <v>#REF!</v>
      </c>
      <c r="AC127" s="1" t="e">
        <f>AB127/VLOOKUP(A127,'[30]geoMap (27)'!$A:$B,2,0)*VLOOKUP(A127,'[30]geoMap (27)'!$A:$C,3,0)</f>
        <v>#REF!</v>
      </c>
      <c r="AD127" s="1" t="e">
        <f>AC127/VLOOKUP(A127,'[31]geoMap (28)'!$A:$B,2,0)*VLOOKUP(A127,'[31]geoMap (28)'!$A:$C,3,0)</f>
        <v>#REF!</v>
      </c>
      <c r="AE127" s="1" t="e">
        <f>AD127/VLOOKUP(A127,'[32]geoMap (29)'!$A:$B,2,0)*VLOOKUP(A127,'[32]geoMap (29)'!$A:$C,3,0)</f>
        <v>#REF!</v>
      </c>
      <c r="AF127" s="1" t="e">
        <f>AE127/VLOOKUP(A127,'[33]geoMap (30)'!$A:$B,2,0)*VLOOKUP(A127,'[33]geoMap (30)'!$A:$C,3,0)</f>
        <v>#REF!</v>
      </c>
      <c r="AG127" s="1" t="e">
        <f>AF127/VLOOKUP(A127,'[34]geoMap (31)'!$A:$B,2,0)*VLOOKUP(A127,'[34]geoMap (31)'!$A:$C,3,0)</f>
        <v>#REF!</v>
      </c>
      <c r="AH127" s="1" t="e">
        <f>AG127/VLOOKUP(A127,'[35]geoMap (32)'!$A:$B,2,0)*VLOOKUP(A127,'[35]geoMap (32)'!$A:$C,3,0)</f>
        <v>#REF!</v>
      </c>
      <c r="AI127" s="1" t="e">
        <f>AH127/VLOOKUP(A127,'[36]geoMap (33)'!$A:$B,2,0)*VLOOKUP(A127,'[36]geoMap (33)'!$A:$C,3,0)</f>
        <v>#REF!</v>
      </c>
      <c r="AJ127" s="1" t="e">
        <f>AI127/VLOOKUP(A127,'[37]geoMap (34)'!$A:$B,2,0)*VLOOKUP(A127,'[37]geoMap (34)'!$A:$C,3,0)</f>
        <v>#REF!</v>
      </c>
      <c r="AK127" s="1" t="e">
        <f>AJ127/VLOOKUP(A127,'[38]geoMap (35)'!$A:$B,2,0)*VLOOKUP(A127,'[38]geoMap (35)'!$A:$C,3,0)</f>
        <v>#REF!</v>
      </c>
      <c r="AL127" s="1" t="e">
        <f>AK127/VLOOKUP(A127,'[39]geoMap (36)'!$A:$B,2,0)*VLOOKUP(A127,'[39]geoMap (36)'!$A:$C,3,0)</f>
        <v>#REF!</v>
      </c>
      <c r="AM127" s="1" t="e">
        <f>AL127/VLOOKUP(A127,'[40]geoMap (37)'!$A:$B,2,0)*VLOOKUP(A127,'[40]geoMap (37)'!$A:$C,3,0)</f>
        <v>#REF!</v>
      </c>
      <c r="AN127" s="1" t="e">
        <f>AM127/VLOOKUP(A127,'[41]geoMap (38)'!$A:$B,2,0)*VLOOKUP(A127,'[41]geoMap (38)'!$A:$C,3,0)</f>
        <v>#REF!</v>
      </c>
      <c r="AO127" s="1" t="e">
        <f>AN127/VLOOKUP(A127,'[42]geoMap (39)'!$A:$B,2,0)*VLOOKUP(A127,'[42]geoMap (39)'!$A:$C,3,0)</f>
        <v>#REF!</v>
      </c>
      <c r="AP127" s="1" t="e">
        <f>AO127/VLOOKUP(A127,'[43]geoMap (40)'!$A:$B,2,0)*VLOOKUP(A127,'[43]geoMap (40)'!$A:$C,3,0)</f>
        <v>#REF!</v>
      </c>
      <c r="AQ127" s="1" t="e">
        <f>AP127/VLOOKUP(A127,'[44]geoMap (41)'!$A:$B,2,0)*VLOOKUP(A127,'[44]geoMap (41)'!$A:$C,3,0)</f>
        <v>#REF!</v>
      </c>
      <c r="AR127" s="1" t="e">
        <f>AQ127/VLOOKUP(A127,'[45]geoMap (42)'!$A:$B,2,0)*VLOOKUP(A127,'[45]geoMap (42)'!$A:$C,3,0)</f>
        <v>#REF!</v>
      </c>
      <c r="AS127" s="1" t="e">
        <f>AR127/VLOOKUP(A127,'[46]geoMap (43)'!$A:$B,2,0)*VLOOKUP(A127,'[46]geoMap (43)'!$A:$C,3,0)</f>
        <v>#REF!</v>
      </c>
      <c r="AT127" s="1" t="e">
        <f>AS127/VLOOKUP(A127,'[47]geoMap (44)'!$A:$B,2,0)*VLOOKUP(A127,'[47]geoMap (44)'!$A:$C,3,0)</f>
        <v>#REF!</v>
      </c>
      <c r="AU127" s="1" t="e">
        <f>AT127/VLOOKUP(A127,'[48]geoMap (45)'!$A:$B,2,0)*VLOOKUP(A127,'[48]geoMap (45)'!$A:$C,3,0)</f>
        <v>#REF!</v>
      </c>
      <c r="AV127" s="1" t="e">
        <f>AU127/VLOOKUP(A127,'[49]geoMap (46)'!$A:$B,2,0)*VLOOKUP(A127,'[49]geoMap (46)'!$A:$C,3,0)</f>
        <v>#REF!</v>
      </c>
      <c r="AW127" s="1" t="e">
        <f>AV127/VLOOKUP(A127,'[50]geoMap (47)'!$A:$B,2,0)*VLOOKUP(A127,'[50]geoMap (47)'!$A:$C,3,0)</f>
        <v>#REF!</v>
      </c>
      <c r="AX127" s="4" t="e">
        <f>AW127/VLOOKUP(A127,'[51]geoMap (48)'!$A:$B,2,0)*VLOOKUP(A127,'[51]geoMap (48)'!$A:$C,3,0)</f>
        <v>#REF!</v>
      </c>
      <c r="AY127" s="1" t="e">
        <f>AX127/VLOOKUP(A127,'[52]geoMap (49)'!$A:$B,2,0)*VLOOKUP(A127,'[52]geoMap (49)'!$A:$C,3,0)</f>
        <v>#REF!</v>
      </c>
      <c r="AZ127" s="4" t="e">
        <f>AY127/VLOOKUP(A127,'[53]geoMap (50)'!$A:$B,2,0)*VLOOKUP(A127,'[53]geoMap (50)'!$A:$C,3,0)</f>
        <v>#REF!</v>
      </c>
      <c r="BA127" s="1" t="e">
        <f>AZ127/VLOOKUP(A127,'[54]geoMap (51)'!$A:$B,2,0)*VLOOKUP(A127,'[54]geoMap (51)'!$A:$C,3,0)</f>
        <v>#REF!</v>
      </c>
      <c r="BB127" s="4" t="e">
        <f>BA127/VLOOKUP(A127,'[55]geoMap (52)'!$A:$B,2,0)*VLOOKUP(A127,'[55]geoMap (52)'!$A:$C,3,0)</f>
        <v>#REF!</v>
      </c>
      <c r="BC127" s="1" t="e">
        <f>BB127/VLOOKUP(A127,'[56]geoMap (53)'!$A:$B,2,0)*VLOOKUP(A127,'[56]geoMap (53)'!$A:$C,3,0)</f>
        <v>#REF!</v>
      </c>
      <c r="BD127" s="4" t="e">
        <f>BC127/VLOOKUP(A127,'[57]geoMap (54)'!$A:$B,2,0)*VLOOKUP(A127,'[57]geoMap (54)'!$A:$C,3,0)</f>
        <v>#REF!</v>
      </c>
      <c r="BE127" s="1" t="e">
        <f>BD127/VLOOKUP(A127,'[58]geoMap (55)'!$A:$B,2,0)*VLOOKUP(A127,'[58]geoMap (55)'!$A:$C,3,0)</f>
        <v>#REF!</v>
      </c>
      <c r="BF127" s="4" t="e">
        <f>BE127/VLOOKUP(A127,'[59]geoMap (56)'!$A:$B,2,0)*VLOOKUP(A127,'[59]geoMap (56)'!$A:$C,3,0)</f>
        <v>#REF!</v>
      </c>
      <c r="BG127" s="1" t="e">
        <f>BF127/VLOOKUP(A127,'[60]geoMap (57)'!$A:$B,2,0)*VLOOKUP(A127,'[60]geoMap (57)'!$A:$C,3,0)</f>
        <v>#REF!</v>
      </c>
      <c r="BH127" s="4" t="e">
        <f>BG127/VLOOKUP(A127,'[61]geoMap (58)'!$A:$B,2,0)*VLOOKUP(A127,'[61]geoMap (58)'!$A:$C,3,0)</f>
        <v>#REF!</v>
      </c>
      <c r="BI127" s="1" t="e">
        <f>BH127/VLOOKUP(A127,'[62]geoMap (59)'!$A:$B,2,0)*VLOOKUP(A127,'[62]geoMap (59)'!$A:$C,3,0)</f>
        <v>#REF!</v>
      </c>
      <c r="BJ127" s="4" t="e">
        <f>BI127/VLOOKUP(A127,'[63]geoMap (60)'!$A:$B,2,0)*VLOOKUP(A127,'[63]geoMap (60)'!$A:$C,3,0)</f>
        <v>#REF!</v>
      </c>
      <c r="BK127" s="1" t="e">
        <f>BJ127/VLOOKUP(A127,'[64]geoMap (61)'!$A:$B,2,0)*VLOOKUP(A127,'[64]geoMap (61)'!$A:$C,3,0)</f>
        <v>#REF!</v>
      </c>
      <c r="BL127" s="4" t="e">
        <f>BK127/VLOOKUP(A127,'[65]geoMap (62)'!$A:$B,2,0)*VLOOKUP(A127,'[65]geoMap (62)'!$A:$C,3,0)</f>
        <v>#REF!</v>
      </c>
      <c r="BM127" s="1" t="e">
        <f>BL127/VLOOKUP(A127,'[66]geoMap (63)'!$A:$B,2,0)*VLOOKUP(A127,'[66]geoMap (63)'!$A:$C,3,0)</f>
        <v>#REF!</v>
      </c>
      <c r="BN127" s="4" t="e">
        <f>BM127/VLOOKUP(A127,'[67]geoMap (64)'!$A:$B,2,0)*VLOOKUP(A127,'[67]geoMap (64)'!$A:$C,3,0)</f>
        <v>#REF!</v>
      </c>
      <c r="BO127" s="1" t="e">
        <f>BN127/VLOOKUP(A127,'[68]geoMap (65)'!$A:$B,2,0)*VLOOKUP(A127,'[68]geoMap (65)'!$A:$C,3,0)</f>
        <v>#REF!</v>
      </c>
      <c r="BP127" s="4" t="e">
        <f>BO127/VLOOKUP(A127,'[69]geoMap (66)'!$A:$B,2,0)*VLOOKUP(A127,'[69]geoMap (66)'!$A:$C,3,0)</f>
        <v>#REF!</v>
      </c>
    </row>
    <row r="128" spans="1:68" x14ac:dyDescent="0.2">
      <c r="A128" s="1" t="s">
        <v>87</v>
      </c>
      <c r="B128" s="1" t="e">
        <f>VLOOKUP(A128,[3]geoMap!$A:$B,2,0)*Notes!$C$6</f>
        <v>#REF!</v>
      </c>
      <c r="C128" s="1" t="e">
        <f>B128/VLOOKUP(A128,'[4]geoMap (1)'!$A:$B,2,0)*VLOOKUP(A128,'[4]geoMap (1)'!$A:$C,3,0)</f>
        <v>#REF!</v>
      </c>
      <c r="D128" s="1" t="e">
        <f>C128/VLOOKUP(A128,'[5]geoMap (2)'!$A:$B,2,0)*VLOOKUP(A128,'[5]geoMap (2)'!$A:$C,3,0)</f>
        <v>#REF!</v>
      </c>
      <c r="E128" s="1" t="e">
        <f>D128/VLOOKUP(A128,'[6]geoMap (3)'!$A:$B,2,0)*VLOOKUP(A128,'[6]geoMap (3)'!$A:$C,3,0)</f>
        <v>#REF!</v>
      </c>
      <c r="F128" s="1" t="e">
        <f>E128/VLOOKUP(A128,'[7]geoMap (4)'!$A:$B,2,0)*VLOOKUP(A128,'[7]geoMap (4)'!$A:$C,3,0)</f>
        <v>#REF!</v>
      </c>
      <c r="G128" s="1" t="e">
        <f>F128/VLOOKUP(A128,'[8]geoMap (5)'!$A:$B,2,0)*VLOOKUP(A128,'[8]geoMap (5)'!$A:$C,3,0)</f>
        <v>#REF!</v>
      </c>
      <c r="H128" s="1" t="e">
        <f>G128/VLOOKUP(A128,'[9]geoMap (6)'!$A:$B,2,0)*VLOOKUP(A128,'[9]geoMap (6)'!$A:$C,3,0)</f>
        <v>#REF!</v>
      </c>
      <c r="I128" s="1" t="e">
        <f>H128/VLOOKUP(A128,'[10]geoMap (7)'!$A:$B,2,0)*VLOOKUP(A128,'[10]geoMap (7)'!$A:$C,3,0)</f>
        <v>#REF!</v>
      </c>
      <c r="J128" s="1" t="e">
        <f>I128/VLOOKUP(A128,'[11]geoMap (8)'!$A:$B,2,0)*VLOOKUP(A128,'[11]geoMap (8)'!$A:$C,3,0)</f>
        <v>#REF!</v>
      </c>
      <c r="K128" s="1" t="e">
        <f>J128/VLOOKUP(A128,'[12]geoMap (9)'!$A:$B,2,0)*VLOOKUP(A128,'[12]geoMap (9)'!$A:$C,3,0)</f>
        <v>#REF!</v>
      </c>
      <c r="L128" s="1" t="e">
        <f>K128/VLOOKUP(A128,'[13]geoMap (10)'!$A:$B,2,0)*VLOOKUP(A128,'[13]geoMap (10)'!$A:$C,3,0)</f>
        <v>#REF!</v>
      </c>
      <c r="M128" s="1" t="e">
        <f>L128/VLOOKUP(A128,'[14]geoMap (11)'!$A:$B,2,0)*VLOOKUP(A128,'[14]geoMap (11)'!$A:$C,3,0)</f>
        <v>#REF!</v>
      </c>
      <c r="N128" s="1" t="e">
        <f>M128/VLOOKUP(A128,'[15]geoMap (12)'!$A:$B,2,0)*VLOOKUP(A128,'[15]geoMap (12)'!$A:$C,3,0)</f>
        <v>#REF!</v>
      </c>
      <c r="O128" s="1" t="e">
        <f>N128/VLOOKUP(A128,'[16]geoMap (13)'!$A:$B,2,0)*VLOOKUP(A128,'[16]geoMap (13)'!$A:$C,3,0)</f>
        <v>#REF!</v>
      </c>
      <c r="P128" s="1" t="e">
        <f>O128/VLOOKUP(A128,'[17]geoMap (14)'!$A:$B,2,0)*VLOOKUP(A128,'[17]geoMap (14)'!$A:$C,3,0)</f>
        <v>#REF!</v>
      </c>
      <c r="Q128" s="1" t="e">
        <f>P128/VLOOKUP(A128,'[18]geoMap (15)'!$A:$B,2,0)*VLOOKUP(A128,'[18]geoMap (15)'!$A:$C,3,0)</f>
        <v>#REF!</v>
      </c>
      <c r="R128" s="1" t="e">
        <f>Q128/VLOOKUP(A128,'[19]geoMap (16)'!$A:$B,2,0)*VLOOKUP(A128,'[19]geoMap (16)'!$A:$C,3,0)</f>
        <v>#REF!</v>
      </c>
      <c r="S128" s="1" t="e">
        <f>R128/VLOOKUP(A128,'[20]geoMap (17)'!$A:$B,2,0)*VLOOKUP(A128,'[20]geoMap (17)'!$A:$C,3,0)</f>
        <v>#REF!</v>
      </c>
      <c r="T128" s="1" t="e">
        <f>S128/VLOOKUP(A128,'[21]geoMap (18)'!$A:$B,2,0)*VLOOKUP(A128,'[21]geoMap (18)'!$A:$C,3,0)</f>
        <v>#REF!</v>
      </c>
      <c r="U128" s="1" t="e">
        <f>T128/VLOOKUP(A128,'[22]geoMap (19)'!$A:$B,2,0)*VLOOKUP(A128,'[22]geoMap (19)'!$A:$C,3,0)</f>
        <v>#REF!</v>
      </c>
      <c r="V128" s="1" t="e">
        <f>U128/VLOOKUP(A128,'[23]geoMap (20)'!$A:$B,2,0)*VLOOKUP(A128,'[23]geoMap (20)'!$A:$C,3,0)</f>
        <v>#REF!</v>
      </c>
      <c r="W128" s="1" t="e">
        <f>V128/VLOOKUP(A128,'[24]geoMap (21)'!$A:$B,2,0)*VLOOKUP(A128,'[24]geoMap (21)'!$A:$C,3,0)</f>
        <v>#REF!</v>
      </c>
      <c r="X128" s="1" t="e">
        <f>W128/VLOOKUP(A128,'[25]geoMap (22)'!$A:$B,2,0)*VLOOKUP(A128,'[25]geoMap (22)'!$A:$C,3,0)</f>
        <v>#REF!</v>
      </c>
      <c r="Y128" s="1" t="e">
        <f>X128/VLOOKUP(A128,'[26]geoMap (23)'!$A:$B,2,0)*VLOOKUP(A128,'[26]geoMap (23)'!$A:$C,3,0)</f>
        <v>#REF!</v>
      </c>
      <c r="Z128" s="1" t="e">
        <f>Y128/VLOOKUP(A128,'[27]geoMap (24)'!$A:$B,2,0)*VLOOKUP(A128,'[27]geoMap (24)'!$A:$C,3,0)</f>
        <v>#REF!</v>
      </c>
      <c r="AA128" s="1" t="e">
        <f>Z128/VLOOKUP(A128,'[28]geoMap (25)'!$A:$B,2,0)*VLOOKUP(A128,'[28]geoMap (25)'!$A:$C,3,0)</f>
        <v>#REF!</v>
      </c>
      <c r="AB128" s="1" t="e">
        <f>AA128*VLOOKUP(A128,'[29]geoMap (26)'!$A:$B,2,0)*VLOOKUP(A128,'[29]geoMap (26)'!$A:$C,3,0)</f>
        <v>#REF!</v>
      </c>
      <c r="AC128" s="1" t="e">
        <f>AB128/VLOOKUP(A128,'[30]geoMap (27)'!$A:$B,2,0)*VLOOKUP(A128,'[30]geoMap (27)'!$A:$C,3,0)</f>
        <v>#REF!</v>
      </c>
      <c r="AD128" s="1" t="e">
        <f>AC128/VLOOKUP(A128,'[31]geoMap (28)'!$A:$B,2,0)*VLOOKUP(A128,'[31]geoMap (28)'!$A:$C,3,0)</f>
        <v>#REF!</v>
      </c>
      <c r="AE128" s="1" t="e">
        <f>AD128/VLOOKUP(A128,'[32]geoMap (29)'!$A:$B,2,0)*VLOOKUP(A128,'[32]geoMap (29)'!$A:$C,3,0)</f>
        <v>#REF!</v>
      </c>
      <c r="AF128" s="1" t="e">
        <f>AE128/VLOOKUP(A128,'[33]geoMap (30)'!$A:$B,2,0)*VLOOKUP(A128,'[33]geoMap (30)'!$A:$C,3,0)</f>
        <v>#REF!</v>
      </c>
      <c r="AG128" s="1" t="e">
        <f>AF128/VLOOKUP(A128,'[34]geoMap (31)'!$A:$B,2,0)*VLOOKUP(A128,'[34]geoMap (31)'!$A:$C,3,0)</f>
        <v>#REF!</v>
      </c>
      <c r="AH128" s="1" t="e">
        <f>AG128/VLOOKUP(A128,'[35]geoMap (32)'!$A:$B,2,0)*VLOOKUP(A128,'[35]geoMap (32)'!$A:$C,3,0)</f>
        <v>#REF!</v>
      </c>
      <c r="AI128" s="1" t="e">
        <f>AH128/VLOOKUP(A128,'[36]geoMap (33)'!$A:$B,2,0)*VLOOKUP(A128,'[36]geoMap (33)'!$A:$C,3,0)</f>
        <v>#REF!</v>
      </c>
      <c r="AJ128" s="1" t="e">
        <f>AI128/VLOOKUP(A128,'[37]geoMap (34)'!$A:$B,2,0)*VLOOKUP(A128,'[37]geoMap (34)'!$A:$C,3,0)</f>
        <v>#REF!</v>
      </c>
      <c r="AK128" s="1" t="e">
        <f>AJ128/VLOOKUP(A128,'[38]geoMap (35)'!$A:$B,2,0)*VLOOKUP(A128,'[38]geoMap (35)'!$A:$C,3,0)</f>
        <v>#REF!</v>
      </c>
      <c r="AL128" s="1" t="e">
        <f>AK128/VLOOKUP(A128,'[39]geoMap (36)'!$A:$B,2,0)*VLOOKUP(A128,'[39]geoMap (36)'!$A:$C,3,0)</f>
        <v>#REF!</v>
      </c>
      <c r="AM128" s="1" t="e">
        <f>AL128/VLOOKUP(A128,'[40]geoMap (37)'!$A:$B,2,0)*VLOOKUP(A128,'[40]geoMap (37)'!$A:$C,3,0)</f>
        <v>#REF!</v>
      </c>
      <c r="AN128" s="1" t="e">
        <f>AM128/VLOOKUP(A128,'[41]geoMap (38)'!$A:$B,2,0)*VLOOKUP(A128,'[41]geoMap (38)'!$A:$C,3,0)</f>
        <v>#REF!</v>
      </c>
      <c r="AO128" s="1" t="e">
        <f>AN128/VLOOKUP(A128,'[42]geoMap (39)'!$A:$B,2,0)*VLOOKUP(A128,'[42]geoMap (39)'!$A:$C,3,0)</f>
        <v>#REF!</v>
      </c>
      <c r="AP128" s="1" t="e">
        <f>AO128/VLOOKUP(A128,'[43]geoMap (40)'!$A:$B,2,0)*VLOOKUP(A128,'[43]geoMap (40)'!$A:$C,3,0)</f>
        <v>#REF!</v>
      </c>
      <c r="AQ128" s="1" t="e">
        <f>AP128/VLOOKUP(A128,'[44]geoMap (41)'!$A:$B,2,0)*VLOOKUP(A128,'[44]geoMap (41)'!$A:$C,3,0)</f>
        <v>#REF!</v>
      </c>
      <c r="AR128" s="1" t="e">
        <f>AQ128/VLOOKUP(A128,'[45]geoMap (42)'!$A:$B,2,0)*VLOOKUP(A128,'[45]geoMap (42)'!$A:$C,3,0)</f>
        <v>#REF!</v>
      </c>
      <c r="AS128" s="1" t="e">
        <f>AR128/VLOOKUP(A128,'[46]geoMap (43)'!$A:$B,2,0)*VLOOKUP(A128,'[46]geoMap (43)'!$A:$C,3,0)</f>
        <v>#REF!</v>
      </c>
      <c r="AT128" s="1" t="e">
        <f>AS128/VLOOKUP(A128,'[47]geoMap (44)'!$A:$B,2,0)*VLOOKUP(A128,'[47]geoMap (44)'!$A:$C,3,0)</f>
        <v>#REF!</v>
      </c>
      <c r="AU128" s="1" t="e">
        <f>AT128/VLOOKUP(A128,'[48]geoMap (45)'!$A:$B,2,0)*VLOOKUP(A128,'[48]geoMap (45)'!$A:$C,3,0)</f>
        <v>#REF!</v>
      </c>
      <c r="AV128" s="1" t="e">
        <f>AU128/VLOOKUP(A128,'[49]geoMap (46)'!$A:$B,2,0)*VLOOKUP(A128,'[49]geoMap (46)'!$A:$C,3,0)</f>
        <v>#REF!</v>
      </c>
      <c r="AW128" s="1" t="e">
        <f>AV128/VLOOKUP(A128,'[50]geoMap (47)'!$A:$B,2,0)*VLOOKUP(A128,'[50]geoMap (47)'!$A:$C,3,0)</f>
        <v>#REF!</v>
      </c>
      <c r="AX128" s="4" t="e">
        <f>AW128/VLOOKUP(A128,'[51]geoMap (48)'!$A:$B,2,0)*VLOOKUP(A128,'[51]geoMap (48)'!$A:$C,3,0)</f>
        <v>#REF!</v>
      </c>
      <c r="AY128" s="1" t="e">
        <f>AX128/VLOOKUP(A128,'[52]geoMap (49)'!$A:$B,2,0)*VLOOKUP(A128,'[52]geoMap (49)'!$A:$C,3,0)</f>
        <v>#REF!</v>
      </c>
      <c r="AZ128" s="4" t="e">
        <f>AY128/VLOOKUP(A128,'[53]geoMap (50)'!$A:$B,2,0)*VLOOKUP(A128,'[53]geoMap (50)'!$A:$C,3,0)</f>
        <v>#REF!</v>
      </c>
      <c r="BA128" s="1" t="e">
        <f>AZ128/VLOOKUP(A128,'[54]geoMap (51)'!$A:$B,2,0)*VLOOKUP(A128,'[54]geoMap (51)'!$A:$C,3,0)</f>
        <v>#REF!</v>
      </c>
      <c r="BB128" s="4" t="e">
        <f>BA128/VLOOKUP(A128,'[55]geoMap (52)'!$A:$B,2,0)*VLOOKUP(A128,'[55]geoMap (52)'!$A:$C,3,0)</f>
        <v>#REF!</v>
      </c>
      <c r="BC128" s="1" t="e">
        <f>BB128/VLOOKUP(A128,'[56]geoMap (53)'!$A:$B,2,0)*VLOOKUP(A128,'[56]geoMap (53)'!$A:$C,3,0)</f>
        <v>#REF!</v>
      </c>
      <c r="BD128" s="4" t="e">
        <f>BC128/VLOOKUP(A128,'[57]geoMap (54)'!$A:$B,2,0)*VLOOKUP(A128,'[57]geoMap (54)'!$A:$C,3,0)</f>
        <v>#REF!</v>
      </c>
      <c r="BE128" s="1" t="e">
        <f>BD128/VLOOKUP(A128,'[58]geoMap (55)'!$A:$B,2,0)*VLOOKUP(A128,'[58]geoMap (55)'!$A:$C,3,0)</f>
        <v>#REF!</v>
      </c>
      <c r="BF128" s="4" t="e">
        <f>BE128/VLOOKUP(A128,'[59]geoMap (56)'!$A:$B,2,0)*VLOOKUP(A128,'[59]geoMap (56)'!$A:$C,3,0)</f>
        <v>#REF!</v>
      </c>
      <c r="BG128" s="1" t="e">
        <f>BF128/VLOOKUP(A128,'[60]geoMap (57)'!$A:$B,2,0)*VLOOKUP(A128,'[60]geoMap (57)'!$A:$C,3,0)</f>
        <v>#REF!</v>
      </c>
      <c r="BH128" s="4" t="e">
        <f>BG128/VLOOKUP(A128,'[61]geoMap (58)'!$A:$B,2,0)*VLOOKUP(A128,'[61]geoMap (58)'!$A:$C,3,0)</f>
        <v>#REF!</v>
      </c>
      <c r="BI128" s="1" t="e">
        <f>BH128/VLOOKUP(A128,'[62]geoMap (59)'!$A:$B,2,0)*VLOOKUP(A128,'[62]geoMap (59)'!$A:$C,3,0)</f>
        <v>#REF!</v>
      </c>
      <c r="BJ128" s="4" t="e">
        <f>BI128/VLOOKUP(A128,'[63]geoMap (60)'!$A:$B,2,0)*VLOOKUP(A128,'[63]geoMap (60)'!$A:$C,3,0)</f>
        <v>#REF!</v>
      </c>
      <c r="BK128" s="1" t="e">
        <f>BJ128/VLOOKUP(A128,'[64]geoMap (61)'!$A:$B,2,0)*VLOOKUP(A128,'[64]geoMap (61)'!$A:$C,3,0)</f>
        <v>#REF!</v>
      </c>
      <c r="BL128" s="4" t="e">
        <f>BK128/VLOOKUP(A128,'[65]geoMap (62)'!$A:$B,2,0)*VLOOKUP(A128,'[65]geoMap (62)'!$A:$C,3,0)</f>
        <v>#REF!</v>
      </c>
      <c r="BM128" s="1" t="e">
        <f>BL128/VLOOKUP(A128,'[66]geoMap (63)'!$A:$B,2,0)*VLOOKUP(A128,'[66]geoMap (63)'!$A:$C,3,0)</f>
        <v>#REF!</v>
      </c>
      <c r="BN128" s="4" t="e">
        <f>BM128/VLOOKUP(A128,'[67]geoMap (64)'!$A:$B,2,0)*VLOOKUP(A128,'[67]geoMap (64)'!$A:$C,3,0)</f>
        <v>#REF!</v>
      </c>
      <c r="BO128" s="1" t="e">
        <f>BN128/VLOOKUP(A128,'[68]geoMap (65)'!$A:$B,2,0)*VLOOKUP(A128,'[68]geoMap (65)'!$A:$C,3,0)</f>
        <v>#REF!</v>
      </c>
      <c r="BP128" s="4" t="e">
        <f>BO128/VLOOKUP(A128,'[69]geoMap (66)'!$A:$B,2,0)*VLOOKUP(A128,'[69]geoMap (66)'!$A:$C,3,0)</f>
        <v>#REF!</v>
      </c>
    </row>
    <row r="129" spans="1:68" x14ac:dyDescent="0.2">
      <c r="A129" s="1" t="s">
        <v>88</v>
      </c>
      <c r="B129" s="1" t="e">
        <f>VLOOKUP(A129,[3]geoMap!$A:$B,2,0)*Notes!$C$6</f>
        <v>#REF!</v>
      </c>
      <c r="C129" s="1" t="e">
        <f>B129/VLOOKUP(A129,'[4]geoMap (1)'!$A:$B,2,0)*VLOOKUP(A129,'[4]geoMap (1)'!$A:$C,3,0)</f>
        <v>#REF!</v>
      </c>
      <c r="D129" s="1" t="e">
        <f>C129/VLOOKUP(A129,'[5]geoMap (2)'!$A:$B,2,0)*VLOOKUP(A129,'[5]geoMap (2)'!$A:$C,3,0)</f>
        <v>#REF!</v>
      </c>
      <c r="E129" s="1" t="e">
        <f>D129/VLOOKUP(A129,'[6]geoMap (3)'!$A:$B,2,0)*VLOOKUP(A129,'[6]geoMap (3)'!$A:$C,3,0)</f>
        <v>#REF!</v>
      </c>
      <c r="F129" s="1" t="e">
        <f>E129/VLOOKUP(A129,'[7]geoMap (4)'!$A:$B,2,0)*VLOOKUP(A129,'[7]geoMap (4)'!$A:$C,3,0)</f>
        <v>#REF!</v>
      </c>
      <c r="G129" s="1" t="e">
        <f>F129/VLOOKUP(A129,'[8]geoMap (5)'!$A:$B,2,0)*VLOOKUP(A129,'[8]geoMap (5)'!$A:$C,3,0)</f>
        <v>#REF!</v>
      </c>
      <c r="H129" s="1" t="e">
        <f>G129/VLOOKUP(A129,'[9]geoMap (6)'!$A:$B,2,0)*VLOOKUP(A129,'[9]geoMap (6)'!$A:$C,3,0)</f>
        <v>#REF!</v>
      </c>
      <c r="I129" s="1" t="e">
        <f>H129/VLOOKUP(A129,'[10]geoMap (7)'!$A:$B,2,0)*VLOOKUP(A129,'[10]geoMap (7)'!$A:$C,3,0)</f>
        <v>#REF!</v>
      </c>
      <c r="J129" s="1" t="e">
        <f>I129/VLOOKUP(A129,'[11]geoMap (8)'!$A:$B,2,0)*VLOOKUP(A129,'[11]geoMap (8)'!$A:$C,3,0)</f>
        <v>#REF!</v>
      </c>
      <c r="K129" s="1" t="e">
        <f>J129/VLOOKUP(A129,'[12]geoMap (9)'!$A:$B,2,0)*VLOOKUP(A129,'[12]geoMap (9)'!$A:$C,3,0)</f>
        <v>#REF!</v>
      </c>
      <c r="L129" s="1" t="e">
        <f>K129/VLOOKUP(A129,'[13]geoMap (10)'!$A:$B,2,0)*VLOOKUP(A129,'[13]geoMap (10)'!$A:$C,3,0)</f>
        <v>#REF!</v>
      </c>
      <c r="M129" s="1" t="e">
        <f>L129/VLOOKUP(A129,'[14]geoMap (11)'!$A:$B,2,0)*VLOOKUP(A129,'[14]geoMap (11)'!$A:$C,3,0)</f>
        <v>#REF!</v>
      </c>
      <c r="N129" s="1" t="e">
        <f>M129/VLOOKUP(A129,'[15]geoMap (12)'!$A:$B,2,0)*VLOOKUP(A129,'[15]geoMap (12)'!$A:$C,3,0)</f>
        <v>#REF!</v>
      </c>
      <c r="O129" s="1" t="e">
        <f>N129/VLOOKUP(A129,'[16]geoMap (13)'!$A:$B,2,0)*VLOOKUP(A129,'[16]geoMap (13)'!$A:$C,3,0)</f>
        <v>#REF!</v>
      </c>
      <c r="P129" s="1" t="e">
        <f>O129/VLOOKUP(A129,'[17]geoMap (14)'!$A:$B,2,0)*VLOOKUP(A129,'[17]geoMap (14)'!$A:$C,3,0)</f>
        <v>#REF!</v>
      </c>
      <c r="Q129" s="1" t="e">
        <f>P129/VLOOKUP(A129,'[18]geoMap (15)'!$A:$B,2,0)*VLOOKUP(A129,'[18]geoMap (15)'!$A:$C,3,0)</f>
        <v>#REF!</v>
      </c>
      <c r="R129" s="1" t="e">
        <f>Q129/VLOOKUP(A129,'[19]geoMap (16)'!$A:$B,2,0)*VLOOKUP(A129,'[19]geoMap (16)'!$A:$C,3,0)</f>
        <v>#REF!</v>
      </c>
      <c r="S129" s="1" t="e">
        <f>R129/VLOOKUP(A129,'[20]geoMap (17)'!$A:$B,2,0)*VLOOKUP(A129,'[20]geoMap (17)'!$A:$C,3,0)</f>
        <v>#REF!</v>
      </c>
      <c r="T129" s="1" t="e">
        <f>S129/VLOOKUP(A129,'[21]geoMap (18)'!$A:$B,2,0)*VLOOKUP(A129,'[21]geoMap (18)'!$A:$C,3,0)</f>
        <v>#REF!</v>
      </c>
      <c r="U129" s="1" t="e">
        <f>T129/VLOOKUP(A129,'[22]geoMap (19)'!$A:$B,2,0)*VLOOKUP(A129,'[22]geoMap (19)'!$A:$C,3,0)</f>
        <v>#REF!</v>
      </c>
      <c r="V129" s="1" t="e">
        <f>U129/VLOOKUP(A129,'[23]geoMap (20)'!$A:$B,2,0)*VLOOKUP(A129,'[23]geoMap (20)'!$A:$C,3,0)</f>
        <v>#REF!</v>
      </c>
      <c r="W129" s="1" t="e">
        <f>V129/VLOOKUP(A129,'[24]geoMap (21)'!$A:$B,2,0)*VLOOKUP(A129,'[24]geoMap (21)'!$A:$C,3,0)</f>
        <v>#REF!</v>
      </c>
      <c r="X129" s="1" t="e">
        <f>W129/VLOOKUP(A129,'[25]geoMap (22)'!$A:$B,2,0)*VLOOKUP(A129,'[25]geoMap (22)'!$A:$C,3,0)</f>
        <v>#REF!</v>
      </c>
      <c r="Y129" s="1" t="e">
        <f>X129/VLOOKUP(A129,'[26]geoMap (23)'!$A:$B,2,0)*VLOOKUP(A129,'[26]geoMap (23)'!$A:$C,3,0)</f>
        <v>#REF!</v>
      </c>
      <c r="Z129" s="1" t="e">
        <f>Y129/VLOOKUP(A129,'[27]geoMap (24)'!$A:$B,2,0)*VLOOKUP(A129,'[27]geoMap (24)'!$A:$C,3,0)</f>
        <v>#REF!</v>
      </c>
      <c r="AA129" s="1" t="e">
        <f>Z129/VLOOKUP(A129,'[28]geoMap (25)'!$A:$B,2,0)*VLOOKUP(A129,'[28]geoMap (25)'!$A:$C,3,0)</f>
        <v>#REF!</v>
      </c>
      <c r="AB129" s="1" t="e">
        <f>AA129*VLOOKUP(A129,'[29]geoMap (26)'!$A:$B,2,0)*VLOOKUP(A129,'[29]geoMap (26)'!$A:$C,3,0)</f>
        <v>#REF!</v>
      </c>
      <c r="AC129" s="1" t="e">
        <f>AB129/VLOOKUP(A129,'[30]geoMap (27)'!$A:$B,2,0)*VLOOKUP(A129,'[30]geoMap (27)'!$A:$C,3,0)</f>
        <v>#REF!</v>
      </c>
      <c r="AD129" s="1" t="e">
        <f>AC129/VLOOKUP(A129,'[31]geoMap (28)'!$A:$B,2,0)*VLOOKUP(A129,'[31]geoMap (28)'!$A:$C,3,0)</f>
        <v>#REF!</v>
      </c>
      <c r="AE129" s="1" t="e">
        <f>AD129/VLOOKUP(A129,'[32]geoMap (29)'!$A:$B,2,0)*VLOOKUP(A129,'[32]geoMap (29)'!$A:$C,3,0)</f>
        <v>#REF!</v>
      </c>
      <c r="AF129" s="1" t="e">
        <f>AE129/VLOOKUP(A129,'[33]geoMap (30)'!$A:$B,2,0)*VLOOKUP(A129,'[33]geoMap (30)'!$A:$C,3,0)</f>
        <v>#REF!</v>
      </c>
      <c r="AG129" s="1" t="e">
        <f>AF129/VLOOKUP(A129,'[34]geoMap (31)'!$A:$B,2,0)*VLOOKUP(A129,'[34]geoMap (31)'!$A:$C,3,0)</f>
        <v>#REF!</v>
      </c>
      <c r="AH129" s="1" t="e">
        <f>AG129/VLOOKUP(A129,'[35]geoMap (32)'!$A:$B,2,0)*VLOOKUP(A129,'[35]geoMap (32)'!$A:$C,3,0)</f>
        <v>#REF!</v>
      </c>
      <c r="AI129" s="1" t="e">
        <f>AH129/VLOOKUP(A129,'[36]geoMap (33)'!$A:$B,2,0)*VLOOKUP(A129,'[36]geoMap (33)'!$A:$C,3,0)</f>
        <v>#REF!</v>
      </c>
      <c r="AJ129" s="1" t="e">
        <f>AI129/VLOOKUP(A129,'[37]geoMap (34)'!$A:$B,2,0)*VLOOKUP(A129,'[37]geoMap (34)'!$A:$C,3,0)</f>
        <v>#REF!</v>
      </c>
      <c r="AK129" s="1" t="e">
        <f>AJ129/VLOOKUP(A129,'[38]geoMap (35)'!$A:$B,2,0)*VLOOKUP(A129,'[38]geoMap (35)'!$A:$C,3,0)</f>
        <v>#REF!</v>
      </c>
      <c r="AL129" s="1" t="e">
        <f>AK129/VLOOKUP(A129,'[39]geoMap (36)'!$A:$B,2,0)*VLOOKUP(A129,'[39]geoMap (36)'!$A:$C,3,0)</f>
        <v>#REF!</v>
      </c>
      <c r="AM129" s="1" t="e">
        <f>AL129/VLOOKUP(A129,'[40]geoMap (37)'!$A:$B,2,0)*VLOOKUP(A129,'[40]geoMap (37)'!$A:$C,3,0)</f>
        <v>#REF!</v>
      </c>
      <c r="AN129" s="1" t="e">
        <f>AM129/VLOOKUP(A129,'[41]geoMap (38)'!$A:$B,2,0)*VLOOKUP(A129,'[41]geoMap (38)'!$A:$C,3,0)</f>
        <v>#REF!</v>
      </c>
      <c r="AO129" s="1" t="e">
        <f>AN129/VLOOKUP(A129,'[42]geoMap (39)'!$A:$B,2,0)*VLOOKUP(A129,'[42]geoMap (39)'!$A:$C,3,0)</f>
        <v>#REF!</v>
      </c>
      <c r="AP129" s="1" t="e">
        <f>AO129/VLOOKUP(A129,'[43]geoMap (40)'!$A:$B,2,0)*VLOOKUP(A129,'[43]geoMap (40)'!$A:$C,3,0)</f>
        <v>#REF!</v>
      </c>
      <c r="AQ129" s="1" t="e">
        <f>AP129/VLOOKUP(A129,'[44]geoMap (41)'!$A:$B,2,0)*VLOOKUP(A129,'[44]geoMap (41)'!$A:$C,3,0)</f>
        <v>#REF!</v>
      </c>
      <c r="AR129" s="1" t="e">
        <f>AQ129/VLOOKUP(A129,'[45]geoMap (42)'!$A:$B,2,0)*VLOOKUP(A129,'[45]geoMap (42)'!$A:$C,3,0)</f>
        <v>#REF!</v>
      </c>
      <c r="AS129" s="1" t="e">
        <f>AR129/VLOOKUP(A129,'[46]geoMap (43)'!$A:$B,2,0)*VLOOKUP(A129,'[46]geoMap (43)'!$A:$C,3,0)</f>
        <v>#REF!</v>
      </c>
      <c r="AT129" s="1" t="e">
        <f>AS129/VLOOKUP(A129,'[47]geoMap (44)'!$A:$B,2,0)*VLOOKUP(A129,'[47]geoMap (44)'!$A:$C,3,0)</f>
        <v>#REF!</v>
      </c>
      <c r="AU129" s="1" t="e">
        <f>AT129/VLOOKUP(A129,'[48]geoMap (45)'!$A:$B,2,0)*VLOOKUP(A129,'[48]geoMap (45)'!$A:$C,3,0)</f>
        <v>#REF!</v>
      </c>
      <c r="AV129" s="1" t="e">
        <f>AU129/VLOOKUP(A129,'[49]geoMap (46)'!$A:$B,2,0)*VLOOKUP(A129,'[49]geoMap (46)'!$A:$C,3,0)</f>
        <v>#REF!</v>
      </c>
      <c r="AW129" s="1" t="e">
        <f>AV129/VLOOKUP(A129,'[50]geoMap (47)'!$A:$B,2,0)*VLOOKUP(A129,'[50]geoMap (47)'!$A:$C,3,0)</f>
        <v>#REF!</v>
      </c>
      <c r="AX129" s="4" t="e">
        <f>AW129/VLOOKUP(A129,'[51]geoMap (48)'!$A:$B,2,0)*VLOOKUP(A129,'[51]geoMap (48)'!$A:$C,3,0)</f>
        <v>#REF!</v>
      </c>
      <c r="AY129" s="1" t="e">
        <f>AX129/VLOOKUP(A129,'[52]geoMap (49)'!$A:$B,2,0)*VLOOKUP(A129,'[52]geoMap (49)'!$A:$C,3,0)</f>
        <v>#REF!</v>
      </c>
      <c r="AZ129" s="4" t="e">
        <f>AY129/VLOOKUP(A129,'[53]geoMap (50)'!$A:$B,2,0)*VLOOKUP(A129,'[53]geoMap (50)'!$A:$C,3,0)</f>
        <v>#REF!</v>
      </c>
      <c r="BA129" s="1" t="e">
        <f>AZ129/VLOOKUP(A129,'[54]geoMap (51)'!$A:$B,2,0)*VLOOKUP(A129,'[54]geoMap (51)'!$A:$C,3,0)</f>
        <v>#REF!</v>
      </c>
      <c r="BB129" s="4" t="e">
        <f>BA129/VLOOKUP(A129,'[55]geoMap (52)'!$A:$B,2,0)*VLOOKUP(A129,'[55]geoMap (52)'!$A:$C,3,0)</f>
        <v>#REF!</v>
      </c>
      <c r="BC129" s="1" t="e">
        <f>BB129/VLOOKUP(A129,'[56]geoMap (53)'!$A:$B,2,0)*VLOOKUP(A129,'[56]geoMap (53)'!$A:$C,3,0)</f>
        <v>#REF!</v>
      </c>
      <c r="BD129" s="4" t="e">
        <f>BC129/VLOOKUP(A129,'[57]geoMap (54)'!$A:$B,2,0)*VLOOKUP(A129,'[57]geoMap (54)'!$A:$C,3,0)</f>
        <v>#REF!</v>
      </c>
      <c r="BE129" s="1" t="e">
        <f>BD129/VLOOKUP(A129,'[58]geoMap (55)'!$A:$B,2,0)*VLOOKUP(A129,'[58]geoMap (55)'!$A:$C,3,0)</f>
        <v>#REF!</v>
      </c>
      <c r="BF129" s="4" t="e">
        <f>BE129/VLOOKUP(A129,'[59]geoMap (56)'!$A:$B,2,0)*VLOOKUP(A129,'[59]geoMap (56)'!$A:$C,3,0)</f>
        <v>#REF!</v>
      </c>
      <c r="BG129" s="1" t="e">
        <f>BF129/VLOOKUP(A129,'[60]geoMap (57)'!$A:$B,2,0)*VLOOKUP(A129,'[60]geoMap (57)'!$A:$C,3,0)</f>
        <v>#REF!</v>
      </c>
      <c r="BH129" s="4" t="e">
        <f>BG129/VLOOKUP(A129,'[61]geoMap (58)'!$A:$B,2,0)*VLOOKUP(A129,'[61]geoMap (58)'!$A:$C,3,0)</f>
        <v>#REF!</v>
      </c>
      <c r="BI129" s="1" t="e">
        <f>BH129/VLOOKUP(A129,'[62]geoMap (59)'!$A:$B,2,0)*VLOOKUP(A129,'[62]geoMap (59)'!$A:$C,3,0)</f>
        <v>#REF!</v>
      </c>
      <c r="BJ129" s="4" t="e">
        <f>BI129/VLOOKUP(A129,'[63]geoMap (60)'!$A:$B,2,0)*VLOOKUP(A129,'[63]geoMap (60)'!$A:$C,3,0)</f>
        <v>#REF!</v>
      </c>
      <c r="BK129" s="1" t="e">
        <f>BJ129/VLOOKUP(A129,'[64]geoMap (61)'!$A:$B,2,0)*VLOOKUP(A129,'[64]geoMap (61)'!$A:$C,3,0)</f>
        <v>#REF!</v>
      </c>
      <c r="BL129" s="4" t="e">
        <f>BK129/VLOOKUP(A129,'[65]geoMap (62)'!$A:$B,2,0)*VLOOKUP(A129,'[65]geoMap (62)'!$A:$C,3,0)</f>
        <v>#REF!</v>
      </c>
      <c r="BM129" s="1" t="e">
        <f>BL129/VLOOKUP(A129,'[66]geoMap (63)'!$A:$B,2,0)*VLOOKUP(A129,'[66]geoMap (63)'!$A:$C,3,0)</f>
        <v>#REF!</v>
      </c>
      <c r="BN129" s="4" t="e">
        <f>BM129/VLOOKUP(A129,'[67]geoMap (64)'!$A:$B,2,0)*VLOOKUP(A129,'[67]geoMap (64)'!$A:$C,3,0)</f>
        <v>#REF!</v>
      </c>
      <c r="BO129" s="1" t="e">
        <f>BN129/VLOOKUP(A129,'[68]geoMap (65)'!$A:$B,2,0)*VLOOKUP(A129,'[68]geoMap (65)'!$A:$C,3,0)</f>
        <v>#REF!</v>
      </c>
      <c r="BP129" s="4" t="e">
        <f>BO129/VLOOKUP(A129,'[69]geoMap (66)'!$A:$B,2,0)*VLOOKUP(A129,'[69]geoMap (66)'!$A:$C,3,0)</f>
        <v>#REF!</v>
      </c>
    </row>
    <row r="130" spans="1:68" x14ac:dyDescent="0.2">
      <c r="A130" s="1" t="s">
        <v>89</v>
      </c>
      <c r="B130" s="1" t="e">
        <f>VLOOKUP(A130,[3]geoMap!$A:$B,2,0)*Notes!$C$6</f>
        <v>#REF!</v>
      </c>
      <c r="C130" s="1" t="e">
        <f>B130/VLOOKUP(A130,'[4]geoMap (1)'!$A:$B,2,0)*VLOOKUP(A130,'[4]geoMap (1)'!$A:$C,3,0)</f>
        <v>#REF!</v>
      </c>
      <c r="D130" s="1" t="e">
        <f>C130/VLOOKUP(A130,'[5]geoMap (2)'!$A:$B,2,0)*VLOOKUP(A130,'[5]geoMap (2)'!$A:$C,3,0)</f>
        <v>#REF!</v>
      </c>
      <c r="E130" s="1" t="e">
        <f>D130/VLOOKUP(A130,'[6]geoMap (3)'!$A:$B,2,0)*VLOOKUP(A130,'[6]geoMap (3)'!$A:$C,3,0)</f>
        <v>#REF!</v>
      </c>
      <c r="F130" s="1" t="e">
        <f>E130/VLOOKUP(A130,'[7]geoMap (4)'!$A:$B,2,0)*VLOOKUP(A130,'[7]geoMap (4)'!$A:$C,3,0)</f>
        <v>#REF!</v>
      </c>
      <c r="G130" s="1" t="e">
        <f>F130/VLOOKUP(A130,'[8]geoMap (5)'!$A:$B,2,0)*VLOOKUP(A130,'[8]geoMap (5)'!$A:$C,3,0)</f>
        <v>#REF!</v>
      </c>
      <c r="H130" s="1" t="e">
        <f>G130/VLOOKUP(A130,'[9]geoMap (6)'!$A:$B,2,0)*VLOOKUP(A130,'[9]geoMap (6)'!$A:$C,3,0)</f>
        <v>#REF!</v>
      </c>
      <c r="I130" s="1" t="e">
        <f>H130/VLOOKUP(A130,'[10]geoMap (7)'!$A:$B,2,0)*VLOOKUP(A130,'[10]geoMap (7)'!$A:$C,3,0)</f>
        <v>#REF!</v>
      </c>
      <c r="J130" s="1" t="e">
        <f>I130/VLOOKUP(A130,'[11]geoMap (8)'!$A:$B,2,0)*VLOOKUP(A130,'[11]geoMap (8)'!$A:$C,3,0)</f>
        <v>#REF!</v>
      </c>
      <c r="K130" s="1" t="e">
        <f>J130/VLOOKUP(A130,'[12]geoMap (9)'!$A:$B,2,0)*VLOOKUP(A130,'[12]geoMap (9)'!$A:$C,3,0)</f>
        <v>#REF!</v>
      </c>
      <c r="L130" s="1" t="e">
        <f>K130/VLOOKUP(A130,'[13]geoMap (10)'!$A:$B,2,0)*VLOOKUP(A130,'[13]geoMap (10)'!$A:$C,3,0)</f>
        <v>#REF!</v>
      </c>
      <c r="M130" s="1" t="e">
        <f>L130/VLOOKUP(A130,'[14]geoMap (11)'!$A:$B,2,0)*VLOOKUP(A130,'[14]geoMap (11)'!$A:$C,3,0)</f>
        <v>#REF!</v>
      </c>
      <c r="N130" s="1" t="e">
        <f>M130/VLOOKUP(A130,'[15]geoMap (12)'!$A:$B,2,0)*VLOOKUP(A130,'[15]geoMap (12)'!$A:$C,3,0)</f>
        <v>#REF!</v>
      </c>
      <c r="O130" s="1" t="e">
        <f>N130/VLOOKUP(A130,'[16]geoMap (13)'!$A:$B,2,0)*VLOOKUP(A130,'[16]geoMap (13)'!$A:$C,3,0)</f>
        <v>#REF!</v>
      </c>
      <c r="P130" s="1" t="e">
        <f>O130/VLOOKUP(A130,'[17]geoMap (14)'!$A:$B,2,0)*VLOOKUP(A130,'[17]geoMap (14)'!$A:$C,3,0)</f>
        <v>#REF!</v>
      </c>
      <c r="Q130" s="1" t="e">
        <f>P130/VLOOKUP(A130,'[18]geoMap (15)'!$A:$B,2,0)*VLOOKUP(A130,'[18]geoMap (15)'!$A:$C,3,0)</f>
        <v>#REF!</v>
      </c>
      <c r="R130" s="1" t="e">
        <f>Q130/VLOOKUP(A130,'[19]geoMap (16)'!$A:$B,2,0)*VLOOKUP(A130,'[19]geoMap (16)'!$A:$C,3,0)</f>
        <v>#REF!</v>
      </c>
      <c r="S130" s="1" t="e">
        <f>R130/VLOOKUP(A130,'[20]geoMap (17)'!$A:$B,2,0)*VLOOKUP(A130,'[20]geoMap (17)'!$A:$C,3,0)</f>
        <v>#REF!</v>
      </c>
      <c r="T130" s="1" t="e">
        <f>S130/VLOOKUP(A130,'[21]geoMap (18)'!$A:$B,2,0)*VLOOKUP(A130,'[21]geoMap (18)'!$A:$C,3,0)</f>
        <v>#REF!</v>
      </c>
      <c r="U130" s="1" t="e">
        <f>T130/VLOOKUP(A130,'[22]geoMap (19)'!$A:$B,2,0)*VLOOKUP(A130,'[22]geoMap (19)'!$A:$C,3,0)</f>
        <v>#REF!</v>
      </c>
      <c r="V130" s="1" t="e">
        <f>U130/VLOOKUP(A130,'[23]geoMap (20)'!$A:$B,2,0)*VLOOKUP(A130,'[23]geoMap (20)'!$A:$C,3,0)</f>
        <v>#REF!</v>
      </c>
      <c r="W130" s="1" t="e">
        <f>V130/VLOOKUP(A130,'[24]geoMap (21)'!$A:$B,2,0)*VLOOKUP(A130,'[24]geoMap (21)'!$A:$C,3,0)</f>
        <v>#REF!</v>
      </c>
      <c r="X130" s="1" t="e">
        <f>W130/VLOOKUP(A130,'[25]geoMap (22)'!$A:$B,2,0)*VLOOKUP(A130,'[25]geoMap (22)'!$A:$C,3,0)</f>
        <v>#REF!</v>
      </c>
      <c r="Y130" s="1" t="e">
        <f>X130/VLOOKUP(A130,'[26]geoMap (23)'!$A:$B,2,0)*VLOOKUP(A130,'[26]geoMap (23)'!$A:$C,3,0)</f>
        <v>#REF!</v>
      </c>
      <c r="Z130" s="1" t="e">
        <f>Y130/VLOOKUP(A130,'[27]geoMap (24)'!$A:$B,2,0)*VLOOKUP(A130,'[27]geoMap (24)'!$A:$C,3,0)</f>
        <v>#REF!</v>
      </c>
      <c r="AA130" s="1" t="e">
        <f>Z130/VLOOKUP(A130,'[28]geoMap (25)'!$A:$B,2,0)*VLOOKUP(A130,'[28]geoMap (25)'!$A:$C,3,0)</f>
        <v>#REF!</v>
      </c>
      <c r="AB130" s="1" t="e">
        <f>AA130*VLOOKUP(A130,'[29]geoMap (26)'!$A:$B,2,0)*VLOOKUP(A130,'[29]geoMap (26)'!$A:$C,3,0)</f>
        <v>#REF!</v>
      </c>
      <c r="AC130" s="1" t="e">
        <f>AB130/VLOOKUP(A130,'[30]geoMap (27)'!$A:$B,2,0)*VLOOKUP(A130,'[30]geoMap (27)'!$A:$C,3,0)</f>
        <v>#REF!</v>
      </c>
      <c r="AD130" s="1" t="e">
        <f>AC130/VLOOKUP(A130,'[31]geoMap (28)'!$A:$B,2,0)*VLOOKUP(A130,'[31]geoMap (28)'!$A:$C,3,0)</f>
        <v>#REF!</v>
      </c>
      <c r="AE130" s="1" t="e">
        <f>AD130/VLOOKUP(A130,'[32]geoMap (29)'!$A:$B,2,0)*VLOOKUP(A130,'[32]geoMap (29)'!$A:$C,3,0)</f>
        <v>#REF!</v>
      </c>
      <c r="AF130" s="1" t="e">
        <f>AE130/VLOOKUP(A130,'[33]geoMap (30)'!$A:$B,2,0)*VLOOKUP(A130,'[33]geoMap (30)'!$A:$C,3,0)</f>
        <v>#REF!</v>
      </c>
      <c r="AG130" s="1" t="e">
        <f>AF130/VLOOKUP(A130,'[34]geoMap (31)'!$A:$B,2,0)*VLOOKUP(A130,'[34]geoMap (31)'!$A:$C,3,0)</f>
        <v>#REF!</v>
      </c>
      <c r="AH130" s="1" t="e">
        <f>AG130/VLOOKUP(A130,'[35]geoMap (32)'!$A:$B,2,0)*VLOOKUP(A130,'[35]geoMap (32)'!$A:$C,3,0)</f>
        <v>#REF!</v>
      </c>
      <c r="AI130" s="1" t="e">
        <f>AH130/VLOOKUP(A130,'[36]geoMap (33)'!$A:$B,2,0)*VLOOKUP(A130,'[36]geoMap (33)'!$A:$C,3,0)</f>
        <v>#REF!</v>
      </c>
      <c r="AJ130" s="1" t="e">
        <f>AI130/VLOOKUP(A130,'[37]geoMap (34)'!$A:$B,2,0)*VLOOKUP(A130,'[37]geoMap (34)'!$A:$C,3,0)</f>
        <v>#REF!</v>
      </c>
      <c r="AK130" s="1" t="e">
        <f>AJ130/VLOOKUP(A130,'[38]geoMap (35)'!$A:$B,2,0)*VLOOKUP(A130,'[38]geoMap (35)'!$A:$C,3,0)</f>
        <v>#REF!</v>
      </c>
      <c r="AL130" s="1" t="e">
        <f>AK130/VLOOKUP(A130,'[39]geoMap (36)'!$A:$B,2,0)*VLOOKUP(A130,'[39]geoMap (36)'!$A:$C,3,0)</f>
        <v>#REF!</v>
      </c>
      <c r="AM130" s="1" t="e">
        <f>AL130/VLOOKUP(A130,'[40]geoMap (37)'!$A:$B,2,0)*VLOOKUP(A130,'[40]geoMap (37)'!$A:$C,3,0)</f>
        <v>#REF!</v>
      </c>
      <c r="AN130" s="1" t="e">
        <f>AM130/VLOOKUP(A130,'[41]geoMap (38)'!$A:$B,2,0)*VLOOKUP(A130,'[41]geoMap (38)'!$A:$C,3,0)</f>
        <v>#REF!</v>
      </c>
      <c r="AO130" s="1" t="e">
        <f>AN130/VLOOKUP(A130,'[42]geoMap (39)'!$A:$B,2,0)*VLOOKUP(A130,'[42]geoMap (39)'!$A:$C,3,0)</f>
        <v>#REF!</v>
      </c>
      <c r="AP130" s="1" t="e">
        <f>AO130/VLOOKUP(A130,'[43]geoMap (40)'!$A:$B,2,0)*VLOOKUP(A130,'[43]geoMap (40)'!$A:$C,3,0)</f>
        <v>#REF!</v>
      </c>
      <c r="AQ130" s="1" t="e">
        <f>AP130/VLOOKUP(A130,'[44]geoMap (41)'!$A:$B,2,0)*VLOOKUP(A130,'[44]geoMap (41)'!$A:$C,3,0)</f>
        <v>#REF!</v>
      </c>
      <c r="AR130" s="1" t="e">
        <f>AQ130/VLOOKUP(A130,'[45]geoMap (42)'!$A:$B,2,0)*VLOOKUP(A130,'[45]geoMap (42)'!$A:$C,3,0)</f>
        <v>#REF!</v>
      </c>
      <c r="AS130" s="1" t="e">
        <f>AR130/VLOOKUP(A130,'[46]geoMap (43)'!$A:$B,2,0)*VLOOKUP(A130,'[46]geoMap (43)'!$A:$C,3,0)</f>
        <v>#REF!</v>
      </c>
      <c r="AT130" s="1" t="e">
        <f>AS130/VLOOKUP(A130,'[47]geoMap (44)'!$A:$B,2,0)*VLOOKUP(A130,'[47]geoMap (44)'!$A:$C,3,0)</f>
        <v>#REF!</v>
      </c>
      <c r="AU130" s="1" t="e">
        <f>AT130/VLOOKUP(A130,'[48]geoMap (45)'!$A:$B,2,0)*VLOOKUP(A130,'[48]geoMap (45)'!$A:$C,3,0)</f>
        <v>#REF!</v>
      </c>
      <c r="AV130" s="1" t="e">
        <f>AU130/VLOOKUP(A130,'[49]geoMap (46)'!$A:$B,2,0)*VLOOKUP(A130,'[49]geoMap (46)'!$A:$C,3,0)</f>
        <v>#REF!</v>
      </c>
      <c r="AW130" s="1" t="e">
        <f>AV130/VLOOKUP(A130,'[50]geoMap (47)'!$A:$B,2,0)*VLOOKUP(A130,'[50]geoMap (47)'!$A:$C,3,0)</f>
        <v>#REF!</v>
      </c>
      <c r="AX130" s="4" t="e">
        <f>AW130/VLOOKUP(A130,'[51]geoMap (48)'!$A:$B,2,0)*VLOOKUP(A130,'[51]geoMap (48)'!$A:$C,3,0)</f>
        <v>#REF!</v>
      </c>
      <c r="AY130" s="1" t="e">
        <f>AX130/VLOOKUP(A130,'[52]geoMap (49)'!$A:$B,2,0)*VLOOKUP(A130,'[52]geoMap (49)'!$A:$C,3,0)</f>
        <v>#REF!</v>
      </c>
      <c r="AZ130" s="4" t="e">
        <f>AY130/VLOOKUP(A130,'[53]geoMap (50)'!$A:$B,2,0)*VLOOKUP(A130,'[53]geoMap (50)'!$A:$C,3,0)</f>
        <v>#REF!</v>
      </c>
      <c r="BA130" s="1" t="e">
        <f>AZ130/VLOOKUP(A130,'[54]geoMap (51)'!$A:$B,2,0)*VLOOKUP(A130,'[54]geoMap (51)'!$A:$C,3,0)</f>
        <v>#REF!</v>
      </c>
      <c r="BB130" s="4" t="e">
        <f>BA130/VLOOKUP(A130,'[55]geoMap (52)'!$A:$B,2,0)*VLOOKUP(A130,'[55]geoMap (52)'!$A:$C,3,0)</f>
        <v>#REF!</v>
      </c>
      <c r="BC130" s="1" t="e">
        <f>BB130/VLOOKUP(A130,'[56]geoMap (53)'!$A:$B,2,0)*VLOOKUP(A130,'[56]geoMap (53)'!$A:$C,3,0)</f>
        <v>#REF!</v>
      </c>
      <c r="BD130" s="4" t="e">
        <f>BC130/VLOOKUP(A130,'[57]geoMap (54)'!$A:$B,2,0)*VLOOKUP(A130,'[57]geoMap (54)'!$A:$C,3,0)</f>
        <v>#REF!</v>
      </c>
      <c r="BE130" s="1" t="e">
        <f>BD130/VLOOKUP(A130,'[58]geoMap (55)'!$A:$B,2,0)*VLOOKUP(A130,'[58]geoMap (55)'!$A:$C,3,0)</f>
        <v>#REF!</v>
      </c>
      <c r="BF130" s="4" t="e">
        <f>BE130/VLOOKUP(A130,'[59]geoMap (56)'!$A:$B,2,0)*VLOOKUP(A130,'[59]geoMap (56)'!$A:$C,3,0)</f>
        <v>#REF!</v>
      </c>
      <c r="BG130" s="1" t="e">
        <f>BF130/VLOOKUP(A130,'[60]geoMap (57)'!$A:$B,2,0)*VLOOKUP(A130,'[60]geoMap (57)'!$A:$C,3,0)</f>
        <v>#REF!</v>
      </c>
      <c r="BH130" s="4" t="e">
        <f>BG130/VLOOKUP(A130,'[61]geoMap (58)'!$A:$B,2,0)*VLOOKUP(A130,'[61]geoMap (58)'!$A:$C,3,0)</f>
        <v>#REF!</v>
      </c>
      <c r="BI130" s="1" t="e">
        <f>BH130/VLOOKUP(A130,'[62]geoMap (59)'!$A:$B,2,0)*VLOOKUP(A130,'[62]geoMap (59)'!$A:$C,3,0)</f>
        <v>#REF!</v>
      </c>
      <c r="BJ130" s="4" t="e">
        <f>BI130/VLOOKUP(A130,'[63]geoMap (60)'!$A:$B,2,0)*VLOOKUP(A130,'[63]geoMap (60)'!$A:$C,3,0)</f>
        <v>#REF!</v>
      </c>
      <c r="BK130" s="1" t="e">
        <f>BJ130/VLOOKUP(A130,'[64]geoMap (61)'!$A:$B,2,0)*VLOOKUP(A130,'[64]geoMap (61)'!$A:$C,3,0)</f>
        <v>#REF!</v>
      </c>
      <c r="BL130" s="4" t="e">
        <f>BK130/VLOOKUP(A130,'[65]geoMap (62)'!$A:$B,2,0)*VLOOKUP(A130,'[65]geoMap (62)'!$A:$C,3,0)</f>
        <v>#REF!</v>
      </c>
      <c r="BM130" s="1" t="e">
        <f>BL130/VLOOKUP(A130,'[66]geoMap (63)'!$A:$B,2,0)*VLOOKUP(A130,'[66]geoMap (63)'!$A:$C,3,0)</f>
        <v>#REF!</v>
      </c>
      <c r="BN130" s="4" t="e">
        <f>BM130/VLOOKUP(A130,'[67]geoMap (64)'!$A:$B,2,0)*VLOOKUP(A130,'[67]geoMap (64)'!$A:$C,3,0)</f>
        <v>#REF!</v>
      </c>
      <c r="BO130" s="1" t="e">
        <f>BN130/VLOOKUP(A130,'[68]geoMap (65)'!$A:$B,2,0)*VLOOKUP(A130,'[68]geoMap (65)'!$A:$C,3,0)</f>
        <v>#REF!</v>
      </c>
      <c r="BP130" s="4" t="e">
        <f>BO130/VLOOKUP(A130,'[69]geoMap (66)'!$A:$B,2,0)*VLOOKUP(A130,'[69]geoMap (66)'!$A:$C,3,0)</f>
        <v>#REF!</v>
      </c>
    </row>
    <row r="131" spans="1:68" x14ac:dyDescent="0.2">
      <c r="A131" s="1" t="s">
        <v>90</v>
      </c>
      <c r="B131" s="1" t="e">
        <f>VLOOKUP(A131,[3]geoMap!$A:$B,2,0)*Notes!$C$6</f>
        <v>#REF!</v>
      </c>
      <c r="C131" s="1" t="e">
        <f>B131/VLOOKUP(A131,'[4]geoMap (1)'!$A:$B,2,0)*VLOOKUP(A131,'[4]geoMap (1)'!$A:$C,3,0)</f>
        <v>#REF!</v>
      </c>
      <c r="D131" s="1" t="e">
        <f>C131/VLOOKUP(A131,'[5]geoMap (2)'!$A:$B,2,0)*VLOOKUP(A131,'[5]geoMap (2)'!$A:$C,3,0)</f>
        <v>#REF!</v>
      </c>
      <c r="E131" s="1" t="e">
        <f>D131/VLOOKUP(A131,'[6]geoMap (3)'!$A:$B,2,0)*VLOOKUP(A131,'[6]geoMap (3)'!$A:$C,3,0)</f>
        <v>#REF!</v>
      </c>
      <c r="F131" s="1" t="e">
        <f>E131/VLOOKUP(A131,'[7]geoMap (4)'!$A:$B,2,0)*VLOOKUP(A131,'[7]geoMap (4)'!$A:$C,3,0)</f>
        <v>#REF!</v>
      </c>
      <c r="G131" s="1" t="e">
        <f>F131/VLOOKUP(A131,'[8]geoMap (5)'!$A:$B,2,0)*VLOOKUP(A131,'[8]geoMap (5)'!$A:$C,3,0)</f>
        <v>#REF!</v>
      </c>
      <c r="H131" s="1" t="e">
        <f>G131/VLOOKUP(A131,'[9]geoMap (6)'!$A:$B,2,0)*VLOOKUP(A131,'[9]geoMap (6)'!$A:$C,3,0)</f>
        <v>#REF!</v>
      </c>
      <c r="I131" s="1" t="e">
        <f>H131/VLOOKUP(A131,'[10]geoMap (7)'!$A:$B,2,0)*VLOOKUP(A131,'[10]geoMap (7)'!$A:$C,3,0)</f>
        <v>#REF!</v>
      </c>
      <c r="J131" s="1" t="e">
        <f>I131/VLOOKUP(A131,'[11]geoMap (8)'!$A:$B,2,0)*VLOOKUP(A131,'[11]geoMap (8)'!$A:$C,3,0)</f>
        <v>#REF!</v>
      </c>
      <c r="K131" s="1" t="e">
        <f>J131/VLOOKUP(A131,'[12]geoMap (9)'!$A:$B,2,0)*VLOOKUP(A131,'[12]geoMap (9)'!$A:$C,3,0)</f>
        <v>#REF!</v>
      </c>
      <c r="L131" s="1" t="e">
        <f>K131/VLOOKUP(A131,'[13]geoMap (10)'!$A:$B,2,0)*VLOOKUP(A131,'[13]geoMap (10)'!$A:$C,3,0)</f>
        <v>#REF!</v>
      </c>
      <c r="M131" s="1" t="e">
        <f>L131/VLOOKUP(A131,'[14]geoMap (11)'!$A:$B,2,0)*VLOOKUP(A131,'[14]geoMap (11)'!$A:$C,3,0)</f>
        <v>#REF!</v>
      </c>
      <c r="N131" s="1" t="e">
        <f>M131/VLOOKUP(A131,'[15]geoMap (12)'!$A:$B,2,0)*VLOOKUP(A131,'[15]geoMap (12)'!$A:$C,3,0)</f>
        <v>#REF!</v>
      </c>
      <c r="O131" s="1" t="e">
        <f>N131/VLOOKUP(A131,'[16]geoMap (13)'!$A:$B,2,0)*VLOOKUP(A131,'[16]geoMap (13)'!$A:$C,3,0)</f>
        <v>#REF!</v>
      </c>
      <c r="P131" s="1" t="e">
        <f>O131/VLOOKUP(A131,'[17]geoMap (14)'!$A:$B,2,0)*VLOOKUP(A131,'[17]geoMap (14)'!$A:$C,3,0)</f>
        <v>#REF!</v>
      </c>
      <c r="Q131" s="1" t="e">
        <f>P131/VLOOKUP(A131,'[18]geoMap (15)'!$A:$B,2,0)*VLOOKUP(A131,'[18]geoMap (15)'!$A:$C,3,0)</f>
        <v>#REF!</v>
      </c>
      <c r="R131" s="1" t="e">
        <f>Q131/VLOOKUP(A131,'[19]geoMap (16)'!$A:$B,2,0)*VLOOKUP(A131,'[19]geoMap (16)'!$A:$C,3,0)</f>
        <v>#REF!</v>
      </c>
      <c r="S131" s="1" t="e">
        <f>R131/VLOOKUP(A131,'[20]geoMap (17)'!$A:$B,2,0)*VLOOKUP(A131,'[20]geoMap (17)'!$A:$C,3,0)</f>
        <v>#REF!</v>
      </c>
      <c r="T131" s="1" t="e">
        <f>S131/VLOOKUP(A131,'[21]geoMap (18)'!$A:$B,2,0)*VLOOKUP(A131,'[21]geoMap (18)'!$A:$C,3,0)</f>
        <v>#REF!</v>
      </c>
      <c r="U131" s="1" t="e">
        <f>T131/VLOOKUP(A131,'[22]geoMap (19)'!$A:$B,2,0)*VLOOKUP(A131,'[22]geoMap (19)'!$A:$C,3,0)</f>
        <v>#REF!</v>
      </c>
      <c r="V131" s="1" t="e">
        <f>U131/VLOOKUP(A131,'[23]geoMap (20)'!$A:$B,2,0)*VLOOKUP(A131,'[23]geoMap (20)'!$A:$C,3,0)</f>
        <v>#REF!</v>
      </c>
      <c r="W131" s="1" t="e">
        <f>V131/VLOOKUP(A131,'[24]geoMap (21)'!$A:$B,2,0)*VLOOKUP(A131,'[24]geoMap (21)'!$A:$C,3,0)</f>
        <v>#REF!</v>
      </c>
      <c r="X131" s="1" t="e">
        <f>W131/VLOOKUP(A131,'[25]geoMap (22)'!$A:$B,2,0)*VLOOKUP(A131,'[25]geoMap (22)'!$A:$C,3,0)</f>
        <v>#REF!</v>
      </c>
      <c r="Y131" s="1" t="e">
        <f>X131/VLOOKUP(A131,'[26]geoMap (23)'!$A:$B,2,0)*VLOOKUP(A131,'[26]geoMap (23)'!$A:$C,3,0)</f>
        <v>#REF!</v>
      </c>
      <c r="Z131" s="1" t="e">
        <f>Y131/VLOOKUP(A131,'[27]geoMap (24)'!$A:$B,2,0)*VLOOKUP(A131,'[27]geoMap (24)'!$A:$C,3,0)</f>
        <v>#REF!</v>
      </c>
      <c r="AA131" s="1" t="e">
        <f>Z131/VLOOKUP(A131,'[28]geoMap (25)'!$A:$B,2,0)*VLOOKUP(A131,'[28]geoMap (25)'!$A:$C,3,0)</f>
        <v>#REF!</v>
      </c>
      <c r="AB131" s="1" t="e">
        <f>AA131*VLOOKUP(A131,'[29]geoMap (26)'!$A:$B,2,0)*VLOOKUP(A131,'[29]geoMap (26)'!$A:$C,3,0)</f>
        <v>#REF!</v>
      </c>
      <c r="AC131" s="1" t="e">
        <f>AB131/VLOOKUP(A131,'[30]geoMap (27)'!$A:$B,2,0)*VLOOKUP(A131,'[30]geoMap (27)'!$A:$C,3,0)</f>
        <v>#REF!</v>
      </c>
      <c r="AD131" s="1" t="e">
        <f>AC131/VLOOKUP(A131,'[31]geoMap (28)'!$A:$B,2,0)*VLOOKUP(A131,'[31]geoMap (28)'!$A:$C,3,0)</f>
        <v>#REF!</v>
      </c>
      <c r="AE131" s="1" t="e">
        <f>AD131/VLOOKUP(A131,'[32]geoMap (29)'!$A:$B,2,0)*VLOOKUP(A131,'[32]geoMap (29)'!$A:$C,3,0)</f>
        <v>#REF!</v>
      </c>
      <c r="AF131" s="1" t="e">
        <f>AE131/VLOOKUP(A131,'[33]geoMap (30)'!$A:$B,2,0)*VLOOKUP(A131,'[33]geoMap (30)'!$A:$C,3,0)</f>
        <v>#REF!</v>
      </c>
      <c r="AG131" s="1" t="e">
        <f>AF131/VLOOKUP(A131,'[34]geoMap (31)'!$A:$B,2,0)*VLOOKUP(A131,'[34]geoMap (31)'!$A:$C,3,0)</f>
        <v>#REF!</v>
      </c>
      <c r="AH131" s="1" t="e">
        <f>AG131/VLOOKUP(A131,'[35]geoMap (32)'!$A:$B,2,0)*VLOOKUP(A131,'[35]geoMap (32)'!$A:$C,3,0)</f>
        <v>#REF!</v>
      </c>
      <c r="AI131" s="1" t="e">
        <f>AH131/VLOOKUP(A131,'[36]geoMap (33)'!$A:$B,2,0)*VLOOKUP(A131,'[36]geoMap (33)'!$A:$C,3,0)</f>
        <v>#REF!</v>
      </c>
      <c r="AJ131" s="1" t="e">
        <f>AI131/VLOOKUP(A131,'[37]geoMap (34)'!$A:$B,2,0)*VLOOKUP(A131,'[37]geoMap (34)'!$A:$C,3,0)</f>
        <v>#REF!</v>
      </c>
      <c r="AK131" s="1" t="e">
        <f>AJ131/VLOOKUP(A131,'[38]geoMap (35)'!$A:$B,2,0)*VLOOKUP(A131,'[38]geoMap (35)'!$A:$C,3,0)</f>
        <v>#REF!</v>
      </c>
      <c r="AL131" s="1" t="e">
        <f>AK131/VLOOKUP(A131,'[39]geoMap (36)'!$A:$B,2,0)*VLOOKUP(A131,'[39]geoMap (36)'!$A:$C,3,0)</f>
        <v>#REF!</v>
      </c>
      <c r="AM131" s="1" t="e">
        <f>AL131/VLOOKUP(A131,'[40]geoMap (37)'!$A:$B,2,0)*VLOOKUP(A131,'[40]geoMap (37)'!$A:$C,3,0)</f>
        <v>#REF!</v>
      </c>
      <c r="AN131" s="1" t="e">
        <f>AM131/VLOOKUP(A131,'[41]geoMap (38)'!$A:$B,2,0)*VLOOKUP(A131,'[41]geoMap (38)'!$A:$C,3,0)</f>
        <v>#REF!</v>
      </c>
      <c r="AO131" s="1" t="e">
        <f>AN131/VLOOKUP(A131,'[42]geoMap (39)'!$A:$B,2,0)*VLOOKUP(A131,'[42]geoMap (39)'!$A:$C,3,0)</f>
        <v>#REF!</v>
      </c>
      <c r="AP131" s="1" t="e">
        <f>AO131/VLOOKUP(A131,'[43]geoMap (40)'!$A:$B,2,0)*VLOOKUP(A131,'[43]geoMap (40)'!$A:$C,3,0)</f>
        <v>#REF!</v>
      </c>
      <c r="AQ131" s="1" t="e">
        <f>AP131/VLOOKUP(A131,'[44]geoMap (41)'!$A:$B,2,0)*VLOOKUP(A131,'[44]geoMap (41)'!$A:$C,3,0)</f>
        <v>#REF!</v>
      </c>
      <c r="AR131" s="1" t="e">
        <f>AQ131/VLOOKUP(A131,'[45]geoMap (42)'!$A:$B,2,0)*VLOOKUP(A131,'[45]geoMap (42)'!$A:$C,3,0)</f>
        <v>#REF!</v>
      </c>
      <c r="AS131" s="1" t="e">
        <f>AR131/VLOOKUP(A131,'[46]geoMap (43)'!$A:$B,2,0)*VLOOKUP(A131,'[46]geoMap (43)'!$A:$C,3,0)</f>
        <v>#REF!</v>
      </c>
      <c r="AT131" s="1" t="e">
        <f>AS131/VLOOKUP(A131,'[47]geoMap (44)'!$A:$B,2,0)*VLOOKUP(A131,'[47]geoMap (44)'!$A:$C,3,0)</f>
        <v>#REF!</v>
      </c>
      <c r="AU131" s="1" t="e">
        <f>AT131/VLOOKUP(A131,'[48]geoMap (45)'!$A:$B,2,0)*VLOOKUP(A131,'[48]geoMap (45)'!$A:$C,3,0)</f>
        <v>#REF!</v>
      </c>
      <c r="AV131" s="1" t="e">
        <f>AU131/VLOOKUP(A131,'[49]geoMap (46)'!$A:$B,2,0)*VLOOKUP(A131,'[49]geoMap (46)'!$A:$C,3,0)</f>
        <v>#REF!</v>
      </c>
      <c r="AW131" s="1" t="e">
        <f>AV131/VLOOKUP(A131,'[50]geoMap (47)'!$A:$B,2,0)*VLOOKUP(A131,'[50]geoMap (47)'!$A:$C,3,0)</f>
        <v>#REF!</v>
      </c>
      <c r="AX131" s="4" t="e">
        <f>AW131/VLOOKUP(A131,'[51]geoMap (48)'!$A:$B,2,0)*VLOOKUP(A131,'[51]geoMap (48)'!$A:$C,3,0)</f>
        <v>#REF!</v>
      </c>
      <c r="AY131" s="1" t="e">
        <f>AX131/VLOOKUP(A131,'[52]geoMap (49)'!$A:$B,2,0)*VLOOKUP(A131,'[52]geoMap (49)'!$A:$C,3,0)</f>
        <v>#REF!</v>
      </c>
      <c r="AZ131" s="4" t="e">
        <f>AY131/VLOOKUP(A131,'[53]geoMap (50)'!$A:$B,2,0)*VLOOKUP(A131,'[53]geoMap (50)'!$A:$C,3,0)</f>
        <v>#REF!</v>
      </c>
      <c r="BA131" s="1" t="e">
        <f>AZ131/VLOOKUP(A131,'[54]geoMap (51)'!$A:$B,2,0)*VLOOKUP(A131,'[54]geoMap (51)'!$A:$C,3,0)</f>
        <v>#REF!</v>
      </c>
      <c r="BB131" s="4" t="e">
        <f>BA131/VLOOKUP(A131,'[55]geoMap (52)'!$A:$B,2,0)*VLOOKUP(A131,'[55]geoMap (52)'!$A:$C,3,0)</f>
        <v>#REF!</v>
      </c>
      <c r="BC131" s="1" t="e">
        <f>BB131/VLOOKUP(A131,'[56]geoMap (53)'!$A:$B,2,0)*VLOOKUP(A131,'[56]geoMap (53)'!$A:$C,3,0)</f>
        <v>#REF!</v>
      </c>
      <c r="BD131" s="4" t="e">
        <f>BC131/VLOOKUP(A131,'[57]geoMap (54)'!$A:$B,2,0)*VLOOKUP(A131,'[57]geoMap (54)'!$A:$C,3,0)</f>
        <v>#REF!</v>
      </c>
      <c r="BE131" s="1" t="e">
        <f>BD131/VLOOKUP(A131,'[58]geoMap (55)'!$A:$B,2,0)*VLOOKUP(A131,'[58]geoMap (55)'!$A:$C,3,0)</f>
        <v>#REF!</v>
      </c>
      <c r="BF131" s="4" t="e">
        <f>BE131/VLOOKUP(A131,'[59]geoMap (56)'!$A:$B,2,0)*VLOOKUP(A131,'[59]geoMap (56)'!$A:$C,3,0)</f>
        <v>#REF!</v>
      </c>
      <c r="BG131" s="1" t="e">
        <f>BF131/VLOOKUP(A131,'[60]geoMap (57)'!$A:$B,2,0)*VLOOKUP(A131,'[60]geoMap (57)'!$A:$C,3,0)</f>
        <v>#REF!</v>
      </c>
      <c r="BH131" s="4" t="e">
        <f>BG131/VLOOKUP(A131,'[61]geoMap (58)'!$A:$B,2,0)*VLOOKUP(A131,'[61]geoMap (58)'!$A:$C,3,0)</f>
        <v>#REF!</v>
      </c>
      <c r="BI131" s="1" t="e">
        <f>BH131/VLOOKUP(A131,'[62]geoMap (59)'!$A:$B,2,0)*VLOOKUP(A131,'[62]geoMap (59)'!$A:$C,3,0)</f>
        <v>#REF!</v>
      </c>
      <c r="BJ131" s="4" t="e">
        <f>BI131/VLOOKUP(A131,'[63]geoMap (60)'!$A:$B,2,0)*VLOOKUP(A131,'[63]geoMap (60)'!$A:$C,3,0)</f>
        <v>#REF!</v>
      </c>
      <c r="BK131" s="1" t="e">
        <f>BJ131/VLOOKUP(A131,'[64]geoMap (61)'!$A:$B,2,0)*VLOOKUP(A131,'[64]geoMap (61)'!$A:$C,3,0)</f>
        <v>#REF!</v>
      </c>
      <c r="BL131" s="4" t="e">
        <f>BK131/VLOOKUP(A131,'[65]geoMap (62)'!$A:$B,2,0)*VLOOKUP(A131,'[65]geoMap (62)'!$A:$C,3,0)</f>
        <v>#REF!</v>
      </c>
      <c r="BM131" s="1" t="e">
        <f>BL131/VLOOKUP(A131,'[66]geoMap (63)'!$A:$B,2,0)*VLOOKUP(A131,'[66]geoMap (63)'!$A:$C,3,0)</f>
        <v>#REF!</v>
      </c>
      <c r="BN131" s="4" t="e">
        <f>BM131/VLOOKUP(A131,'[67]geoMap (64)'!$A:$B,2,0)*VLOOKUP(A131,'[67]geoMap (64)'!$A:$C,3,0)</f>
        <v>#REF!</v>
      </c>
      <c r="BO131" s="1" t="e">
        <f>BN131/VLOOKUP(A131,'[68]geoMap (65)'!$A:$B,2,0)*VLOOKUP(A131,'[68]geoMap (65)'!$A:$C,3,0)</f>
        <v>#REF!</v>
      </c>
      <c r="BP131" s="4" t="e">
        <f>BO131/VLOOKUP(A131,'[69]geoMap (66)'!$A:$B,2,0)*VLOOKUP(A131,'[69]geoMap (66)'!$A:$C,3,0)</f>
        <v>#REF!</v>
      </c>
    </row>
    <row r="132" spans="1:68" x14ac:dyDescent="0.2">
      <c r="A132" s="1" t="s">
        <v>91</v>
      </c>
      <c r="B132" s="1" t="e">
        <f>VLOOKUP(A132,[3]geoMap!$A:$B,2,0)*Notes!$C$6</f>
        <v>#REF!</v>
      </c>
      <c r="C132" s="1" t="e">
        <f>B132/VLOOKUP(A132,'[4]geoMap (1)'!$A:$B,2,0)*VLOOKUP(A132,'[4]geoMap (1)'!$A:$C,3,0)</f>
        <v>#REF!</v>
      </c>
      <c r="D132" s="1" t="e">
        <f>C132/VLOOKUP(A132,'[5]geoMap (2)'!$A:$B,2,0)*VLOOKUP(A132,'[5]geoMap (2)'!$A:$C,3,0)</f>
        <v>#REF!</v>
      </c>
      <c r="E132" s="1" t="e">
        <f>D132/VLOOKUP(A132,'[6]geoMap (3)'!$A:$B,2,0)*VLOOKUP(A132,'[6]geoMap (3)'!$A:$C,3,0)</f>
        <v>#REF!</v>
      </c>
      <c r="F132" s="1" t="e">
        <f>E132/VLOOKUP(A132,'[7]geoMap (4)'!$A:$B,2,0)*VLOOKUP(A132,'[7]geoMap (4)'!$A:$C,3,0)</f>
        <v>#REF!</v>
      </c>
      <c r="G132" s="1" t="e">
        <f>F132/VLOOKUP(A132,'[8]geoMap (5)'!$A:$B,2,0)*VLOOKUP(A132,'[8]geoMap (5)'!$A:$C,3,0)</f>
        <v>#REF!</v>
      </c>
      <c r="H132" s="1" t="e">
        <f>G132/VLOOKUP(A132,'[9]geoMap (6)'!$A:$B,2,0)*VLOOKUP(A132,'[9]geoMap (6)'!$A:$C,3,0)</f>
        <v>#REF!</v>
      </c>
      <c r="I132" s="1" t="e">
        <f>H132/VLOOKUP(A132,'[10]geoMap (7)'!$A:$B,2,0)*VLOOKUP(A132,'[10]geoMap (7)'!$A:$C,3,0)</f>
        <v>#REF!</v>
      </c>
      <c r="J132" s="1" t="e">
        <f>I132/VLOOKUP(A132,'[11]geoMap (8)'!$A:$B,2,0)*VLOOKUP(A132,'[11]geoMap (8)'!$A:$C,3,0)</f>
        <v>#REF!</v>
      </c>
      <c r="K132" s="1" t="e">
        <f>J132/VLOOKUP(A132,'[12]geoMap (9)'!$A:$B,2,0)*VLOOKUP(A132,'[12]geoMap (9)'!$A:$C,3,0)</f>
        <v>#REF!</v>
      </c>
      <c r="L132" s="1" t="e">
        <f>K132/VLOOKUP(A132,'[13]geoMap (10)'!$A:$B,2,0)*VLOOKUP(A132,'[13]geoMap (10)'!$A:$C,3,0)</f>
        <v>#REF!</v>
      </c>
      <c r="M132" s="1" t="e">
        <f>L132/VLOOKUP(A132,'[14]geoMap (11)'!$A:$B,2,0)*VLOOKUP(A132,'[14]geoMap (11)'!$A:$C,3,0)</f>
        <v>#REF!</v>
      </c>
      <c r="N132" s="1" t="e">
        <f>M132/VLOOKUP(A132,'[15]geoMap (12)'!$A:$B,2,0)*VLOOKUP(A132,'[15]geoMap (12)'!$A:$C,3,0)</f>
        <v>#REF!</v>
      </c>
      <c r="O132" s="1" t="e">
        <f>N132/VLOOKUP(A132,'[16]geoMap (13)'!$A:$B,2,0)*VLOOKUP(A132,'[16]geoMap (13)'!$A:$C,3,0)</f>
        <v>#REF!</v>
      </c>
      <c r="P132" s="1" t="e">
        <f>O132/VLOOKUP(A132,'[17]geoMap (14)'!$A:$B,2,0)*VLOOKUP(A132,'[17]geoMap (14)'!$A:$C,3,0)</f>
        <v>#REF!</v>
      </c>
      <c r="Q132" s="1" t="e">
        <f>P132/VLOOKUP(A132,'[18]geoMap (15)'!$A:$B,2,0)*VLOOKUP(A132,'[18]geoMap (15)'!$A:$C,3,0)</f>
        <v>#REF!</v>
      </c>
      <c r="R132" s="1" t="e">
        <f>Q132/VLOOKUP(A132,'[19]geoMap (16)'!$A:$B,2,0)*VLOOKUP(A132,'[19]geoMap (16)'!$A:$C,3,0)</f>
        <v>#REF!</v>
      </c>
      <c r="S132" s="1" t="e">
        <f>R132/VLOOKUP(A132,'[20]geoMap (17)'!$A:$B,2,0)*VLOOKUP(A132,'[20]geoMap (17)'!$A:$C,3,0)</f>
        <v>#REF!</v>
      </c>
      <c r="T132" s="1" t="e">
        <f>S132/VLOOKUP(A132,'[21]geoMap (18)'!$A:$B,2,0)*VLOOKUP(A132,'[21]geoMap (18)'!$A:$C,3,0)</f>
        <v>#REF!</v>
      </c>
      <c r="U132" s="1" t="e">
        <f>T132/VLOOKUP(A132,'[22]geoMap (19)'!$A:$B,2,0)*VLOOKUP(A132,'[22]geoMap (19)'!$A:$C,3,0)</f>
        <v>#REF!</v>
      </c>
      <c r="V132" s="1" t="e">
        <f>U132/VLOOKUP(A132,'[23]geoMap (20)'!$A:$B,2,0)*VLOOKUP(A132,'[23]geoMap (20)'!$A:$C,3,0)</f>
        <v>#REF!</v>
      </c>
      <c r="W132" s="1" t="e">
        <f>V132/VLOOKUP(A132,'[24]geoMap (21)'!$A:$B,2,0)*VLOOKUP(A132,'[24]geoMap (21)'!$A:$C,3,0)</f>
        <v>#REF!</v>
      </c>
      <c r="X132" s="1" t="e">
        <f>W132/VLOOKUP(A132,'[25]geoMap (22)'!$A:$B,2,0)*VLOOKUP(A132,'[25]geoMap (22)'!$A:$C,3,0)</f>
        <v>#REF!</v>
      </c>
      <c r="Y132" s="1" t="e">
        <f>X132/VLOOKUP(A132,'[26]geoMap (23)'!$A:$B,2,0)*VLOOKUP(A132,'[26]geoMap (23)'!$A:$C,3,0)</f>
        <v>#REF!</v>
      </c>
      <c r="Z132" s="1" t="e">
        <f>Y132/VLOOKUP(A132,'[27]geoMap (24)'!$A:$B,2,0)*VLOOKUP(A132,'[27]geoMap (24)'!$A:$C,3,0)</f>
        <v>#REF!</v>
      </c>
      <c r="AA132" s="1" t="e">
        <f>Z132/VLOOKUP(A132,'[28]geoMap (25)'!$A:$B,2,0)*VLOOKUP(A132,'[28]geoMap (25)'!$A:$C,3,0)</f>
        <v>#REF!</v>
      </c>
      <c r="AB132" s="1" t="e">
        <f>AA132*VLOOKUP(A132,'[29]geoMap (26)'!$A:$B,2,0)*VLOOKUP(A132,'[29]geoMap (26)'!$A:$C,3,0)</f>
        <v>#REF!</v>
      </c>
      <c r="AC132" s="1" t="e">
        <f>AB132/VLOOKUP(A132,'[30]geoMap (27)'!$A:$B,2,0)*VLOOKUP(A132,'[30]geoMap (27)'!$A:$C,3,0)</f>
        <v>#REF!</v>
      </c>
      <c r="AD132" s="1" t="e">
        <f>AC132/VLOOKUP(A132,'[31]geoMap (28)'!$A:$B,2,0)*VLOOKUP(A132,'[31]geoMap (28)'!$A:$C,3,0)</f>
        <v>#REF!</v>
      </c>
      <c r="AE132" s="1" t="e">
        <f>AD132/VLOOKUP(A132,'[32]geoMap (29)'!$A:$B,2,0)*VLOOKUP(A132,'[32]geoMap (29)'!$A:$C,3,0)</f>
        <v>#REF!</v>
      </c>
      <c r="AF132" s="1" t="e">
        <f>AE132/VLOOKUP(A132,'[33]geoMap (30)'!$A:$B,2,0)*VLOOKUP(A132,'[33]geoMap (30)'!$A:$C,3,0)</f>
        <v>#REF!</v>
      </c>
      <c r="AG132" s="1" t="e">
        <f>AF132/VLOOKUP(A132,'[34]geoMap (31)'!$A:$B,2,0)*VLOOKUP(A132,'[34]geoMap (31)'!$A:$C,3,0)</f>
        <v>#REF!</v>
      </c>
      <c r="AH132" s="1" t="e">
        <f>AG132/VLOOKUP(A132,'[35]geoMap (32)'!$A:$B,2,0)*VLOOKUP(A132,'[35]geoMap (32)'!$A:$C,3,0)</f>
        <v>#REF!</v>
      </c>
      <c r="AI132" s="1" t="e">
        <f>AH132/VLOOKUP(A132,'[36]geoMap (33)'!$A:$B,2,0)*VLOOKUP(A132,'[36]geoMap (33)'!$A:$C,3,0)</f>
        <v>#REF!</v>
      </c>
      <c r="AJ132" s="1" t="e">
        <f>AI132/VLOOKUP(A132,'[37]geoMap (34)'!$A:$B,2,0)*VLOOKUP(A132,'[37]geoMap (34)'!$A:$C,3,0)</f>
        <v>#REF!</v>
      </c>
      <c r="AK132" s="1" t="e">
        <f>AJ132/VLOOKUP(A132,'[38]geoMap (35)'!$A:$B,2,0)*VLOOKUP(A132,'[38]geoMap (35)'!$A:$C,3,0)</f>
        <v>#REF!</v>
      </c>
      <c r="AL132" s="1" t="e">
        <f>AK132/VLOOKUP(A132,'[39]geoMap (36)'!$A:$B,2,0)*VLOOKUP(A132,'[39]geoMap (36)'!$A:$C,3,0)</f>
        <v>#REF!</v>
      </c>
      <c r="AM132" s="1" t="e">
        <f>AL132/VLOOKUP(A132,'[40]geoMap (37)'!$A:$B,2,0)*VLOOKUP(A132,'[40]geoMap (37)'!$A:$C,3,0)</f>
        <v>#REF!</v>
      </c>
      <c r="AN132" s="1" t="e">
        <f>AM132/VLOOKUP(A132,'[41]geoMap (38)'!$A:$B,2,0)*VLOOKUP(A132,'[41]geoMap (38)'!$A:$C,3,0)</f>
        <v>#REF!</v>
      </c>
      <c r="AO132" s="1" t="e">
        <f>AN132/VLOOKUP(A132,'[42]geoMap (39)'!$A:$B,2,0)*VLOOKUP(A132,'[42]geoMap (39)'!$A:$C,3,0)</f>
        <v>#REF!</v>
      </c>
      <c r="AP132" s="1" t="e">
        <f>AO132/VLOOKUP(A132,'[43]geoMap (40)'!$A:$B,2,0)*VLOOKUP(A132,'[43]geoMap (40)'!$A:$C,3,0)</f>
        <v>#REF!</v>
      </c>
      <c r="AQ132" s="1" t="e">
        <f>AP132/VLOOKUP(A132,'[44]geoMap (41)'!$A:$B,2,0)*VLOOKUP(A132,'[44]geoMap (41)'!$A:$C,3,0)</f>
        <v>#REF!</v>
      </c>
      <c r="AR132" s="1" t="e">
        <f>AQ132/VLOOKUP(A132,'[45]geoMap (42)'!$A:$B,2,0)*VLOOKUP(A132,'[45]geoMap (42)'!$A:$C,3,0)</f>
        <v>#REF!</v>
      </c>
      <c r="AS132" s="1" t="e">
        <f>AR132/VLOOKUP(A132,'[46]geoMap (43)'!$A:$B,2,0)*VLOOKUP(A132,'[46]geoMap (43)'!$A:$C,3,0)</f>
        <v>#REF!</v>
      </c>
      <c r="AT132" s="1" t="e">
        <f>AS132/VLOOKUP(A132,'[47]geoMap (44)'!$A:$B,2,0)*VLOOKUP(A132,'[47]geoMap (44)'!$A:$C,3,0)</f>
        <v>#REF!</v>
      </c>
      <c r="AU132" s="1" t="e">
        <f>AT132/VLOOKUP(A132,'[48]geoMap (45)'!$A:$B,2,0)*VLOOKUP(A132,'[48]geoMap (45)'!$A:$C,3,0)</f>
        <v>#REF!</v>
      </c>
      <c r="AV132" s="1" t="e">
        <f>AU132/VLOOKUP(A132,'[49]geoMap (46)'!$A:$B,2,0)*VLOOKUP(A132,'[49]geoMap (46)'!$A:$C,3,0)</f>
        <v>#REF!</v>
      </c>
      <c r="AW132" s="1" t="e">
        <f>AV132/VLOOKUP(A132,'[50]geoMap (47)'!$A:$B,2,0)*VLOOKUP(A132,'[50]geoMap (47)'!$A:$C,3,0)</f>
        <v>#REF!</v>
      </c>
      <c r="AX132" s="4" t="e">
        <f>AW132/VLOOKUP(A132,'[51]geoMap (48)'!$A:$B,2,0)*VLOOKUP(A132,'[51]geoMap (48)'!$A:$C,3,0)</f>
        <v>#REF!</v>
      </c>
      <c r="AY132" s="1" t="e">
        <f>AX132/VLOOKUP(A132,'[52]geoMap (49)'!$A:$B,2,0)*VLOOKUP(A132,'[52]geoMap (49)'!$A:$C,3,0)</f>
        <v>#REF!</v>
      </c>
      <c r="AZ132" s="4" t="e">
        <f>AY132/VLOOKUP(A132,'[53]geoMap (50)'!$A:$B,2,0)*VLOOKUP(A132,'[53]geoMap (50)'!$A:$C,3,0)</f>
        <v>#REF!</v>
      </c>
      <c r="BA132" s="1" t="e">
        <f>AZ132/VLOOKUP(A132,'[54]geoMap (51)'!$A:$B,2,0)*VLOOKUP(A132,'[54]geoMap (51)'!$A:$C,3,0)</f>
        <v>#REF!</v>
      </c>
      <c r="BB132" s="4" t="e">
        <f>BA132/VLOOKUP(A132,'[55]geoMap (52)'!$A:$B,2,0)*VLOOKUP(A132,'[55]geoMap (52)'!$A:$C,3,0)</f>
        <v>#REF!</v>
      </c>
      <c r="BC132" s="1" t="e">
        <f>BB132/VLOOKUP(A132,'[56]geoMap (53)'!$A:$B,2,0)*VLOOKUP(A132,'[56]geoMap (53)'!$A:$C,3,0)</f>
        <v>#REF!</v>
      </c>
      <c r="BD132" s="4" t="e">
        <f>BC132/VLOOKUP(A132,'[57]geoMap (54)'!$A:$B,2,0)*VLOOKUP(A132,'[57]geoMap (54)'!$A:$C,3,0)</f>
        <v>#REF!</v>
      </c>
      <c r="BE132" s="1" t="e">
        <f>BD132/VLOOKUP(A132,'[58]geoMap (55)'!$A:$B,2,0)*VLOOKUP(A132,'[58]geoMap (55)'!$A:$C,3,0)</f>
        <v>#REF!</v>
      </c>
      <c r="BF132" s="4" t="e">
        <f>BE132/VLOOKUP(A132,'[59]geoMap (56)'!$A:$B,2,0)*VLOOKUP(A132,'[59]geoMap (56)'!$A:$C,3,0)</f>
        <v>#REF!</v>
      </c>
      <c r="BG132" s="1" t="e">
        <f>BF132/VLOOKUP(A132,'[60]geoMap (57)'!$A:$B,2,0)*VLOOKUP(A132,'[60]geoMap (57)'!$A:$C,3,0)</f>
        <v>#REF!</v>
      </c>
      <c r="BH132" s="4" t="e">
        <f>BG132/VLOOKUP(A132,'[61]geoMap (58)'!$A:$B,2,0)*VLOOKUP(A132,'[61]geoMap (58)'!$A:$C,3,0)</f>
        <v>#REF!</v>
      </c>
      <c r="BI132" s="1" t="e">
        <f>BH132/VLOOKUP(A132,'[62]geoMap (59)'!$A:$B,2,0)*VLOOKUP(A132,'[62]geoMap (59)'!$A:$C,3,0)</f>
        <v>#REF!</v>
      </c>
      <c r="BJ132" s="4" t="e">
        <f>BI132/VLOOKUP(A132,'[63]geoMap (60)'!$A:$B,2,0)*VLOOKUP(A132,'[63]geoMap (60)'!$A:$C,3,0)</f>
        <v>#REF!</v>
      </c>
      <c r="BK132" s="1" t="e">
        <f>BJ132/VLOOKUP(A132,'[64]geoMap (61)'!$A:$B,2,0)*VLOOKUP(A132,'[64]geoMap (61)'!$A:$C,3,0)</f>
        <v>#REF!</v>
      </c>
      <c r="BL132" s="4" t="e">
        <f>BK132/VLOOKUP(A132,'[65]geoMap (62)'!$A:$B,2,0)*VLOOKUP(A132,'[65]geoMap (62)'!$A:$C,3,0)</f>
        <v>#REF!</v>
      </c>
      <c r="BM132" s="1" t="e">
        <f>BL132/VLOOKUP(A132,'[66]geoMap (63)'!$A:$B,2,0)*VLOOKUP(A132,'[66]geoMap (63)'!$A:$C,3,0)</f>
        <v>#REF!</v>
      </c>
      <c r="BN132" s="4" t="e">
        <f>BM132/VLOOKUP(A132,'[67]geoMap (64)'!$A:$B,2,0)*VLOOKUP(A132,'[67]geoMap (64)'!$A:$C,3,0)</f>
        <v>#REF!</v>
      </c>
      <c r="BO132" s="1" t="e">
        <f>BN132/VLOOKUP(A132,'[68]geoMap (65)'!$A:$B,2,0)*VLOOKUP(A132,'[68]geoMap (65)'!$A:$C,3,0)</f>
        <v>#REF!</v>
      </c>
      <c r="BP132" s="4" t="e">
        <f>BO132/VLOOKUP(A132,'[69]geoMap (66)'!$A:$B,2,0)*VLOOKUP(A132,'[69]geoMap (66)'!$A:$C,3,0)</f>
        <v>#REF!</v>
      </c>
    </row>
    <row r="133" spans="1:68" x14ac:dyDescent="0.2">
      <c r="A133" s="1" t="s">
        <v>92</v>
      </c>
      <c r="B133" s="1" t="e">
        <f>VLOOKUP(A133,[3]geoMap!$A:$B,2,0)*Notes!$C$6</f>
        <v>#REF!</v>
      </c>
      <c r="C133" s="1" t="e">
        <f>B133/VLOOKUP(A133,'[4]geoMap (1)'!$A:$B,2,0)*VLOOKUP(A133,'[4]geoMap (1)'!$A:$C,3,0)</f>
        <v>#REF!</v>
      </c>
      <c r="D133" s="1" t="e">
        <f>C133/VLOOKUP(A133,'[5]geoMap (2)'!$A:$B,2,0)*VLOOKUP(A133,'[5]geoMap (2)'!$A:$C,3,0)</f>
        <v>#REF!</v>
      </c>
      <c r="E133" s="1" t="e">
        <f>D133/VLOOKUP(A133,'[6]geoMap (3)'!$A:$B,2,0)*VLOOKUP(A133,'[6]geoMap (3)'!$A:$C,3,0)</f>
        <v>#REF!</v>
      </c>
      <c r="F133" s="1" t="e">
        <f>E133/VLOOKUP(A133,'[7]geoMap (4)'!$A:$B,2,0)*VLOOKUP(A133,'[7]geoMap (4)'!$A:$C,3,0)</f>
        <v>#REF!</v>
      </c>
      <c r="G133" s="1" t="e">
        <f>F133/VLOOKUP(A133,'[8]geoMap (5)'!$A:$B,2,0)*VLOOKUP(A133,'[8]geoMap (5)'!$A:$C,3,0)</f>
        <v>#REF!</v>
      </c>
      <c r="H133" s="1" t="e">
        <f>G133/VLOOKUP(A133,'[9]geoMap (6)'!$A:$B,2,0)*VLOOKUP(A133,'[9]geoMap (6)'!$A:$C,3,0)</f>
        <v>#REF!</v>
      </c>
      <c r="I133" s="1" t="e">
        <f>H133/VLOOKUP(A133,'[10]geoMap (7)'!$A:$B,2,0)*VLOOKUP(A133,'[10]geoMap (7)'!$A:$C,3,0)</f>
        <v>#REF!</v>
      </c>
      <c r="J133" s="1" t="e">
        <f>I133/VLOOKUP(A133,'[11]geoMap (8)'!$A:$B,2,0)*VLOOKUP(A133,'[11]geoMap (8)'!$A:$C,3,0)</f>
        <v>#REF!</v>
      </c>
      <c r="K133" s="1" t="e">
        <f>J133/VLOOKUP(A133,'[12]geoMap (9)'!$A:$B,2,0)*VLOOKUP(A133,'[12]geoMap (9)'!$A:$C,3,0)</f>
        <v>#REF!</v>
      </c>
      <c r="L133" s="1" t="e">
        <f>K133/VLOOKUP(A133,'[13]geoMap (10)'!$A:$B,2,0)*VLOOKUP(A133,'[13]geoMap (10)'!$A:$C,3,0)</f>
        <v>#REF!</v>
      </c>
      <c r="M133" s="1" t="e">
        <f>L133/VLOOKUP(A133,'[14]geoMap (11)'!$A:$B,2,0)*VLOOKUP(A133,'[14]geoMap (11)'!$A:$C,3,0)</f>
        <v>#REF!</v>
      </c>
      <c r="N133" s="1" t="e">
        <f>M133/VLOOKUP(A133,'[15]geoMap (12)'!$A:$B,2,0)*VLOOKUP(A133,'[15]geoMap (12)'!$A:$C,3,0)</f>
        <v>#REF!</v>
      </c>
      <c r="O133" s="1" t="e">
        <f>N133/VLOOKUP(A133,'[16]geoMap (13)'!$A:$B,2,0)*VLOOKUP(A133,'[16]geoMap (13)'!$A:$C,3,0)</f>
        <v>#REF!</v>
      </c>
      <c r="P133" s="1" t="e">
        <f>O133/VLOOKUP(A133,'[17]geoMap (14)'!$A:$B,2,0)*VLOOKUP(A133,'[17]geoMap (14)'!$A:$C,3,0)</f>
        <v>#REF!</v>
      </c>
      <c r="Q133" s="1" t="e">
        <f>P133/VLOOKUP(A133,'[18]geoMap (15)'!$A:$B,2,0)*VLOOKUP(A133,'[18]geoMap (15)'!$A:$C,3,0)</f>
        <v>#REF!</v>
      </c>
      <c r="R133" s="1" t="e">
        <f>Q133/VLOOKUP(A133,'[19]geoMap (16)'!$A:$B,2,0)*VLOOKUP(A133,'[19]geoMap (16)'!$A:$C,3,0)</f>
        <v>#REF!</v>
      </c>
      <c r="S133" s="1" t="e">
        <f>R133/VLOOKUP(A133,'[20]geoMap (17)'!$A:$B,2,0)*VLOOKUP(A133,'[20]geoMap (17)'!$A:$C,3,0)</f>
        <v>#REF!</v>
      </c>
      <c r="T133" s="1" t="e">
        <f>S133/VLOOKUP(A133,'[21]geoMap (18)'!$A:$B,2,0)*VLOOKUP(A133,'[21]geoMap (18)'!$A:$C,3,0)</f>
        <v>#REF!</v>
      </c>
      <c r="U133" s="1" t="e">
        <f>T133/VLOOKUP(A133,'[22]geoMap (19)'!$A:$B,2,0)*VLOOKUP(A133,'[22]geoMap (19)'!$A:$C,3,0)</f>
        <v>#REF!</v>
      </c>
      <c r="V133" s="1" t="e">
        <f>U133/VLOOKUP(A133,'[23]geoMap (20)'!$A:$B,2,0)*VLOOKUP(A133,'[23]geoMap (20)'!$A:$C,3,0)</f>
        <v>#REF!</v>
      </c>
      <c r="W133" s="1" t="e">
        <f>V133/VLOOKUP(A133,'[24]geoMap (21)'!$A:$B,2,0)*VLOOKUP(A133,'[24]geoMap (21)'!$A:$C,3,0)</f>
        <v>#REF!</v>
      </c>
      <c r="X133" s="1" t="e">
        <f>W133/VLOOKUP(A133,'[25]geoMap (22)'!$A:$B,2,0)*VLOOKUP(A133,'[25]geoMap (22)'!$A:$C,3,0)</f>
        <v>#REF!</v>
      </c>
      <c r="Y133" s="1" t="e">
        <f>X133/VLOOKUP(A133,'[26]geoMap (23)'!$A:$B,2,0)*VLOOKUP(A133,'[26]geoMap (23)'!$A:$C,3,0)</f>
        <v>#REF!</v>
      </c>
      <c r="Z133" s="1" t="e">
        <f>Y133/VLOOKUP(A133,'[27]geoMap (24)'!$A:$B,2,0)*VLOOKUP(A133,'[27]geoMap (24)'!$A:$C,3,0)</f>
        <v>#REF!</v>
      </c>
      <c r="AA133" s="1" t="e">
        <f>Z133/VLOOKUP(A133,'[28]geoMap (25)'!$A:$B,2,0)*VLOOKUP(A133,'[28]geoMap (25)'!$A:$C,3,0)</f>
        <v>#REF!</v>
      </c>
      <c r="AB133" s="1" t="e">
        <f>AA133*VLOOKUP(A133,'[29]geoMap (26)'!$A:$B,2,0)*VLOOKUP(A133,'[29]geoMap (26)'!$A:$C,3,0)</f>
        <v>#REF!</v>
      </c>
      <c r="AC133" s="1" t="e">
        <f>AB133/VLOOKUP(A133,'[30]geoMap (27)'!$A:$B,2,0)*VLOOKUP(A133,'[30]geoMap (27)'!$A:$C,3,0)</f>
        <v>#REF!</v>
      </c>
      <c r="AD133" s="1" t="e">
        <f>AC133/VLOOKUP(A133,'[31]geoMap (28)'!$A:$B,2,0)*VLOOKUP(A133,'[31]geoMap (28)'!$A:$C,3,0)</f>
        <v>#REF!</v>
      </c>
      <c r="AE133" s="1" t="e">
        <f>AD133/VLOOKUP(A133,'[32]geoMap (29)'!$A:$B,2,0)*VLOOKUP(A133,'[32]geoMap (29)'!$A:$C,3,0)</f>
        <v>#REF!</v>
      </c>
      <c r="AF133" s="1" t="e">
        <f>AE133/VLOOKUP(A133,'[33]geoMap (30)'!$A:$B,2,0)*VLOOKUP(A133,'[33]geoMap (30)'!$A:$C,3,0)</f>
        <v>#REF!</v>
      </c>
      <c r="AG133" s="1" t="e">
        <f>AF133/VLOOKUP(A133,'[34]geoMap (31)'!$A:$B,2,0)*VLOOKUP(A133,'[34]geoMap (31)'!$A:$C,3,0)</f>
        <v>#REF!</v>
      </c>
      <c r="AH133" s="1" t="e">
        <f>AG133/VLOOKUP(A133,'[35]geoMap (32)'!$A:$B,2,0)*VLOOKUP(A133,'[35]geoMap (32)'!$A:$C,3,0)</f>
        <v>#REF!</v>
      </c>
      <c r="AI133" s="1" t="e">
        <f>AH133/VLOOKUP(A133,'[36]geoMap (33)'!$A:$B,2,0)*VLOOKUP(A133,'[36]geoMap (33)'!$A:$C,3,0)</f>
        <v>#REF!</v>
      </c>
      <c r="AJ133" s="1" t="e">
        <f>AI133/VLOOKUP(A133,'[37]geoMap (34)'!$A:$B,2,0)*VLOOKUP(A133,'[37]geoMap (34)'!$A:$C,3,0)</f>
        <v>#REF!</v>
      </c>
      <c r="AK133" s="1" t="e">
        <f>AJ133/VLOOKUP(A133,'[38]geoMap (35)'!$A:$B,2,0)*VLOOKUP(A133,'[38]geoMap (35)'!$A:$C,3,0)</f>
        <v>#REF!</v>
      </c>
      <c r="AL133" s="1" t="e">
        <f>AK133/VLOOKUP(A133,'[39]geoMap (36)'!$A:$B,2,0)*VLOOKUP(A133,'[39]geoMap (36)'!$A:$C,3,0)</f>
        <v>#REF!</v>
      </c>
      <c r="AM133" s="1" t="e">
        <f>AL133/VLOOKUP(A133,'[40]geoMap (37)'!$A:$B,2,0)*VLOOKUP(A133,'[40]geoMap (37)'!$A:$C,3,0)</f>
        <v>#REF!</v>
      </c>
      <c r="AN133" s="1" t="e">
        <f>AM133/VLOOKUP(A133,'[41]geoMap (38)'!$A:$B,2,0)*VLOOKUP(A133,'[41]geoMap (38)'!$A:$C,3,0)</f>
        <v>#REF!</v>
      </c>
      <c r="AO133" s="1" t="e">
        <f>AN133/VLOOKUP(A133,'[42]geoMap (39)'!$A:$B,2,0)*VLOOKUP(A133,'[42]geoMap (39)'!$A:$C,3,0)</f>
        <v>#REF!</v>
      </c>
      <c r="AP133" s="1" t="e">
        <f>AO133/VLOOKUP(A133,'[43]geoMap (40)'!$A:$B,2,0)*VLOOKUP(A133,'[43]geoMap (40)'!$A:$C,3,0)</f>
        <v>#REF!</v>
      </c>
      <c r="AQ133" s="1" t="e">
        <f>AP133/VLOOKUP(A133,'[44]geoMap (41)'!$A:$B,2,0)*VLOOKUP(A133,'[44]geoMap (41)'!$A:$C,3,0)</f>
        <v>#REF!</v>
      </c>
      <c r="AR133" s="1" t="e">
        <f>AQ133/VLOOKUP(A133,'[45]geoMap (42)'!$A:$B,2,0)*VLOOKUP(A133,'[45]geoMap (42)'!$A:$C,3,0)</f>
        <v>#REF!</v>
      </c>
      <c r="AS133" s="1" t="e">
        <f>AR133/VLOOKUP(A133,'[46]geoMap (43)'!$A:$B,2,0)*VLOOKUP(A133,'[46]geoMap (43)'!$A:$C,3,0)</f>
        <v>#REF!</v>
      </c>
      <c r="AT133" s="1" t="e">
        <f>AS133/VLOOKUP(A133,'[47]geoMap (44)'!$A:$B,2,0)*VLOOKUP(A133,'[47]geoMap (44)'!$A:$C,3,0)</f>
        <v>#REF!</v>
      </c>
      <c r="AU133" s="1" t="e">
        <f>AT133/VLOOKUP(A133,'[48]geoMap (45)'!$A:$B,2,0)*VLOOKUP(A133,'[48]geoMap (45)'!$A:$C,3,0)</f>
        <v>#REF!</v>
      </c>
      <c r="AV133" s="1" t="e">
        <f>AU133/VLOOKUP(A133,'[49]geoMap (46)'!$A:$B,2,0)*VLOOKUP(A133,'[49]geoMap (46)'!$A:$C,3,0)</f>
        <v>#REF!</v>
      </c>
      <c r="AW133" s="1" t="e">
        <f>AV133/VLOOKUP(A133,'[50]geoMap (47)'!$A:$B,2,0)*VLOOKUP(A133,'[50]geoMap (47)'!$A:$C,3,0)</f>
        <v>#REF!</v>
      </c>
      <c r="AX133" s="4" t="e">
        <f>AW133/VLOOKUP(A133,'[51]geoMap (48)'!$A:$B,2,0)*VLOOKUP(A133,'[51]geoMap (48)'!$A:$C,3,0)</f>
        <v>#REF!</v>
      </c>
      <c r="AY133" s="1" t="e">
        <f>AX133/VLOOKUP(A133,'[52]geoMap (49)'!$A:$B,2,0)*VLOOKUP(A133,'[52]geoMap (49)'!$A:$C,3,0)</f>
        <v>#REF!</v>
      </c>
      <c r="AZ133" s="4" t="e">
        <f>AY133/VLOOKUP(A133,'[53]geoMap (50)'!$A:$B,2,0)*VLOOKUP(A133,'[53]geoMap (50)'!$A:$C,3,0)</f>
        <v>#REF!</v>
      </c>
      <c r="BA133" s="1" t="e">
        <f>AZ133/VLOOKUP(A133,'[54]geoMap (51)'!$A:$B,2,0)*VLOOKUP(A133,'[54]geoMap (51)'!$A:$C,3,0)</f>
        <v>#REF!</v>
      </c>
      <c r="BB133" s="4" t="e">
        <f>BA133/VLOOKUP(A133,'[55]geoMap (52)'!$A:$B,2,0)*VLOOKUP(A133,'[55]geoMap (52)'!$A:$C,3,0)</f>
        <v>#REF!</v>
      </c>
      <c r="BC133" s="1" t="e">
        <f>BB133/VLOOKUP(A133,'[56]geoMap (53)'!$A:$B,2,0)*VLOOKUP(A133,'[56]geoMap (53)'!$A:$C,3,0)</f>
        <v>#REF!</v>
      </c>
      <c r="BD133" s="4" t="e">
        <f>BC133/VLOOKUP(A133,'[57]geoMap (54)'!$A:$B,2,0)*VLOOKUP(A133,'[57]geoMap (54)'!$A:$C,3,0)</f>
        <v>#REF!</v>
      </c>
      <c r="BE133" s="1" t="e">
        <f>BD133/VLOOKUP(A133,'[58]geoMap (55)'!$A:$B,2,0)*VLOOKUP(A133,'[58]geoMap (55)'!$A:$C,3,0)</f>
        <v>#REF!</v>
      </c>
      <c r="BF133" s="4" t="e">
        <f>BE133/VLOOKUP(A133,'[59]geoMap (56)'!$A:$B,2,0)*VLOOKUP(A133,'[59]geoMap (56)'!$A:$C,3,0)</f>
        <v>#REF!</v>
      </c>
      <c r="BG133" s="1" t="e">
        <f>BF133/VLOOKUP(A133,'[60]geoMap (57)'!$A:$B,2,0)*VLOOKUP(A133,'[60]geoMap (57)'!$A:$C,3,0)</f>
        <v>#REF!</v>
      </c>
      <c r="BH133" s="4" t="e">
        <f>BG133/VLOOKUP(A133,'[61]geoMap (58)'!$A:$B,2,0)*VLOOKUP(A133,'[61]geoMap (58)'!$A:$C,3,0)</f>
        <v>#REF!</v>
      </c>
      <c r="BI133" s="1" t="e">
        <f>BH133/VLOOKUP(A133,'[62]geoMap (59)'!$A:$B,2,0)*VLOOKUP(A133,'[62]geoMap (59)'!$A:$C,3,0)</f>
        <v>#REF!</v>
      </c>
      <c r="BJ133" s="4" t="e">
        <f>BI133/VLOOKUP(A133,'[63]geoMap (60)'!$A:$B,2,0)*VLOOKUP(A133,'[63]geoMap (60)'!$A:$C,3,0)</f>
        <v>#REF!</v>
      </c>
      <c r="BK133" s="1" t="e">
        <f>BJ133/VLOOKUP(A133,'[64]geoMap (61)'!$A:$B,2,0)*VLOOKUP(A133,'[64]geoMap (61)'!$A:$C,3,0)</f>
        <v>#REF!</v>
      </c>
      <c r="BL133" s="4" t="e">
        <f>BK133/VLOOKUP(A133,'[65]geoMap (62)'!$A:$B,2,0)*VLOOKUP(A133,'[65]geoMap (62)'!$A:$C,3,0)</f>
        <v>#REF!</v>
      </c>
      <c r="BM133" s="1" t="e">
        <f>BL133/VLOOKUP(A133,'[66]geoMap (63)'!$A:$B,2,0)*VLOOKUP(A133,'[66]geoMap (63)'!$A:$C,3,0)</f>
        <v>#REF!</v>
      </c>
      <c r="BN133" s="4" t="e">
        <f>BM133/VLOOKUP(A133,'[67]geoMap (64)'!$A:$B,2,0)*VLOOKUP(A133,'[67]geoMap (64)'!$A:$C,3,0)</f>
        <v>#REF!</v>
      </c>
      <c r="BO133" s="1" t="e">
        <f>BN133/VLOOKUP(A133,'[68]geoMap (65)'!$A:$B,2,0)*VLOOKUP(A133,'[68]geoMap (65)'!$A:$C,3,0)</f>
        <v>#REF!</v>
      </c>
      <c r="BP133" s="4" t="e">
        <f>BO133/VLOOKUP(A133,'[69]geoMap (66)'!$A:$B,2,0)*VLOOKUP(A133,'[69]geoMap (66)'!$A:$C,3,0)</f>
        <v>#REF!</v>
      </c>
    </row>
    <row r="134" spans="1:68" x14ac:dyDescent="0.2">
      <c r="A134" s="1" t="s">
        <v>96</v>
      </c>
      <c r="B134" s="1" t="e">
        <f>VLOOKUP(A134,[3]geoMap!$A:$B,2,0)*Notes!$C$6</f>
        <v>#REF!</v>
      </c>
      <c r="C134" s="1" t="e">
        <f>B134/VLOOKUP(A134,'[4]geoMap (1)'!$A:$B,2,0)*VLOOKUP(A134,'[4]geoMap (1)'!$A:$C,3,0)</f>
        <v>#REF!</v>
      </c>
      <c r="D134" s="1" t="e">
        <f>C134/VLOOKUP(A134,'[5]geoMap (2)'!$A:$B,2,0)*VLOOKUP(A134,'[5]geoMap (2)'!$A:$C,3,0)</f>
        <v>#REF!</v>
      </c>
      <c r="E134" s="1" t="e">
        <f>D134/VLOOKUP(A134,'[6]geoMap (3)'!$A:$B,2,0)*VLOOKUP(A134,'[6]geoMap (3)'!$A:$C,3,0)</f>
        <v>#REF!</v>
      </c>
      <c r="F134" s="1" t="e">
        <f>E134/VLOOKUP(A134,'[7]geoMap (4)'!$A:$B,2,0)*VLOOKUP(A134,'[7]geoMap (4)'!$A:$C,3,0)</f>
        <v>#REF!</v>
      </c>
      <c r="G134" s="1" t="e">
        <f>F134/VLOOKUP(A134,'[8]geoMap (5)'!$A:$B,2,0)*VLOOKUP(A134,'[8]geoMap (5)'!$A:$C,3,0)</f>
        <v>#REF!</v>
      </c>
      <c r="H134" s="1" t="e">
        <f>G134/VLOOKUP(A134,'[9]geoMap (6)'!$A:$B,2,0)*VLOOKUP(A134,'[9]geoMap (6)'!$A:$C,3,0)</f>
        <v>#REF!</v>
      </c>
      <c r="I134" s="1" t="e">
        <f>H134/VLOOKUP(A134,'[10]geoMap (7)'!$A:$B,2,0)*VLOOKUP(A134,'[10]geoMap (7)'!$A:$C,3,0)</f>
        <v>#REF!</v>
      </c>
      <c r="J134" s="1" t="e">
        <f>I134/VLOOKUP(A134,'[11]geoMap (8)'!$A:$B,2,0)*VLOOKUP(A134,'[11]geoMap (8)'!$A:$C,3,0)</f>
        <v>#REF!</v>
      </c>
      <c r="K134" s="1" t="e">
        <f>J134/VLOOKUP(A134,'[12]geoMap (9)'!$A:$B,2,0)*VLOOKUP(A134,'[12]geoMap (9)'!$A:$C,3,0)</f>
        <v>#REF!</v>
      </c>
      <c r="L134" s="1" t="e">
        <f>K134/VLOOKUP(A134,'[13]geoMap (10)'!$A:$B,2,0)*VLOOKUP(A134,'[13]geoMap (10)'!$A:$C,3,0)</f>
        <v>#REF!</v>
      </c>
      <c r="M134" s="1" t="e">
        <f>L134/VLOOKUP(A134,'[14]geoMap (11)'!$A:$B,2,0)*VLOOKUP(A134,'[14]geoMap (11)'!$A:$C,3,0)</f>
        <v>#REF!</v>
      </c>
      <c r="N134" s="1" t="e">
        <f>M134/VLOOKUP(A134,'[15]geoMap (12)'!$A:$B,2,0)*VLOOKUP(A134,'[15]geoMap (12)'!$A:$C,3,0)</f>
        <v>#REF!</v>
      </c>
      <c r="O134" s="1" t="e">
        <f>N134/VLOOKUP(A134,'[16]geoMap (13)'!$A:$B,2,0)*VLOOKUP(A134,'[16]geoMap (13)'!$A:$C,3,0)</f>
        <v>#REF!</v>
      </c>
      <c r="P134" s="1" t="e">
        <f>O134/VLOOKUP(A134,'[17]geoMap (14)'!$A:$B,2,0)*VLOOKUP(A134,'[17]geoMap (14)'!$A:$C,3,0)</f>
        <v>#REF!</v>
      </c>
      <c r="Q134" s="1" t="e">
        <f>P134/VLOOKUP(A134,'[18]geoMap (15)'!$A:$B,2,0)*VLOOKUP(A134,'[18]geoMap (15)'!$A:$C,3,0)</f>
        <v>#REF!</v>
      </c>
      <c r="R134" s="1" t="e">
        <f>Q134/VLOOKUP(A134,'[19]geoMap (16)'!$A:$B,2,0)*VLOOKUP(A134,'[19]geoMap (16)'!$A:$C,3,0)</f>
        <v>#REF!</v>
      </c>
      <c r="S134" s="1" t="e">
        <f>R134/VLOOKUP(A134,'[20]geoMap (17)'!$A:$B,2,0)*VLOOKUP(A134,'[20]geoMap (17)'!$A:$C,3,0)</f>
        <v>#REF!</v>
      </c>
      <c r="T134" s="1" t="e">
        <f>S134/VLOOKUP(A134,'[21]geoMap (18)'!$A:$B,2,0)*VLOOKUP(A134,'[21]geoMap (18)'!$A:$C,3,0)</f>
        <v>#REF!</v>
      </c>
      <c r="U134" s="1" t="e">
        <f>T134/VLOOKUP(A134,'[22]geoMap (19)'!$A:$B,2,0)*VLOOKUP(A134,'[22]geoMap (19)'!$A:$C,3,0)</f>
        <v>#REF!</v>
      </c>
      <c r="V134" s="1" t="e">
        <f>U134/VLOOKUP(A134,'[23]geoMap (20)'!$A:$B,2,0)*VLOOKUP(A134,'[23]geoMap (20)'!$A:$C,3,0)</f>
        <v>#REF!</v>
      </c>
      <c r="W134" s="1" t="e">
        <f>V134/VLOOKUP(A134,'[24]geoMap (21)'!$A:$B,2,0)*VLOOKUP(A134,'[24]geoMap (21)'!$A:$C,3,0)</f>
        <v>#REF!</v>
      </c>
      <c r="X134" s="1" t="e">
        <f>W134/VLOOKUP(A134,'[25]geoMap (22)'!$A:$B,2,0)*VLOOKUP(A134,'[25]geoMap (22)'!$A:$C,3,0)</f>
        <v>#REF!</v>
      </c>
      <c r="Y134" s="1" t="e">
        <f>X134/VLOOKUP(A134,'[26]geoMap (23)'!$A:$B,2,0)*VLOOKUP(A134,'[26]geoMap (23)'!$A:$C,3,0)</f>
        <v>#REF!</v>
      </c>
      <c r="Z134" s="1" t="e">
        <f>Y134/VLOOKUP(A134,'[27]geoMap (24)'!$A:$B,2,0)*VLOOKUP(A134,'[27]geoMap (24)'!$A:$C,3,0)</f>
        <v>#REF!</v>
      </c>
      <c r="AA134" s="1" t="e">
        <f>Z134/VLOOKUP(A134,'[28]geoMap (25)'!$A:$B,2,0)*VLOOKUP(A134,'[28]geoMap (25)'!$A:$C,3,0)</f>
        <v>#REF!</v>
      </c>
      <c r="AB134" s="1" t="e">
        <f>AA134*VLOOKUP(A134,'[29]geoMap (26)'!$A:$B,2,0)*VLOOKUP(A134,'[29]geoMap (26)'!$A:$C,3,0)</f>
        <v>#REF!</v>
      </c>
      <c r="AC134" s="1" t="e">
        <f>AB134/VLOOKUP(A134,'[30]geoMap (27)'!$A:$B,2,0)*VLOOKUP(A134,'[30]geoMap (27)'!$A:$C,3,0)</f>
        <v>#REF!</v>
      </c>
      <c r="AD134" s="1" t="e">
        <f>AC134/VLOOKUP(A134,'[31]geoMap (28)'!$A:$B,2,0)*VLOOKUP(A134,'[31]geoMap (28)'!$A:$C,3,0)</f>
        <v>#REF!</v>
      </c>
      <c r="AE134" s="1" t="e">
        <f>AD134/VLOOKUP(A134,'[32]geoMap (29)'!$A:$B,2,0)*VLOOKUP(A134,'[32]geoMap (29)'!$A:$C,3,0)</f>
        <v>#REF!</v>
      </c>
      <c r="AF134" s="1" t="e">
        <f>AE134/VLOOKUP(A134,'[33]geoMap (30)'!$A:$B,2,0)*VLOOKUP(A134,'[33]geoMap (30)'!$A:$C,3,0)</f>
        <v>#REF!</v>
      </c>
      <c r="AG134" s="1" t="e">
        <f>AF134/VLOOKUP(A134,'[34]geoMap (31)'!$A:$B,2,0)*VLOOKUP(A134,'[34]geoMap (31)'!$A:$C,3,0)</f>
        <v>#REF!</v>
      </c>
      <c r="AH134" s="1" t="e">
        <f>AG134/VLOOKUP(A134,'[35]geoMap (32)'!$A:$B,2,0)*VLOOKUP(A134,'[35]geoMap (32)'!$A:$C,3,0)</f>
        <v>#REF!</v>
      </c>
      <c r="AI134" s="1" t="e">
        <f>AH134/VLOOKUP(A134,'[36]geoMap (33)'!$A:$B,2,0)*VLOOKUP(A134,'[36]geoMap (33)'!$A:$C,3,0)</f>
        <v>#REF!</v>
      </c>
      <c r="AJ134" s="1" t="e">
        <f>AI134/VLOOKUP(A134,'[37]geoMap (34)'!$A:$B,2,0)*VLOOKUP(A134,'[37]geoMap (34)'!$A:$C,3,0)</f>
        <v>#REF!</v>
      </c>
      <c r="AK134" s="1" t="e">
        <f>AJ134/VLOOKUP(A134,'[38]geoMap (35)'!$A:$B,2,0)*VLOOKUP(A134,'[38]geoMap (35)'!$A:$C,3,0)</f>
        <v>#REF!</v>
      </c>
      <c r="AL134" s="1" t="e">
        <f>AK134/VLOOKUP(A134,'[39]geoMap (36)'!$A:$B,2,0)*VLOOKUP(A134,'[39]geoMap (36)'!$A:$C,3,0)</f>
        <v>#REF!</v>
      </c>
      <c r="AM134" s="1" t="e">
        <f>AL134/VLOOKUP(A134,'[40]geoMap (37)'!$A:$B,2,0)*VLOOKUP(A134,'[40]geoMap (37)'!$A:$C,3,0)</f>
        <v>#REF!</v>
      </c>
      <c r="AN134" s="1" t="e">
        <f>AM134/VLOOKUP(A134,'[41]geoMap (38)'!$A:$B,2,0)*VLOOKUP(A134,'[41]geoMap (38)'!$A:$C,3,0)</f>
        <v>#REF!</v>
      </c>
      <c r="AO134" s="1" t="e">
        <f>AN134/VLOOKUP(A134,'[42]geoMap (39)'!$A:$B,2,0)*VLOOKUP(A134,'[42]geoMap (39)'!$A:$C,3,0)</f>
        <v>#REF!</v>
      </c>
      <c r="AP134" s="1" t="e">
        <f>AO134/VLOOKUP(A134,'[43]geoMap (40)'!$A:$B,2,0)*VLOOKUP(A134,'[43]geoMap (40)'!$A:$C,3,0)</f>
        <v>#REF!</v>
      </c>
      <c r="AQ134" s="1" t="e">
        <f>AP134/VLOOKUP(A134,'[44]geoMap (41)'!$A:$B,2,0)*VLOOKUP(A134,'[44]geoMap (41)'!$A:$C,3,0)</f>
        <v>#REF!</v>
      </c>
      <c r="AR134" s="1" t="e">
        <f>AQ134/VLOOKUP(A134,'[45]geoMap (42)'!$A:$B,2,0)*VLOOKUP(A134,'[45]geoMap (42)'!$A:$C,3,0)</f>
        <v>#REF!</v>
      </c>
      <c r="AS134" s="1" t="e">
        <f>AR134/VLOOKUP(A134,'[46]geoMap (43)'!$A:$B,2,0)*VLOOKUP(A134,'[46]geoMap (43)'!$A:$C,3,0)</f>
        <v>#REF!</v>
      </c>
      <c r="AT134" s="1" t="e">
        <f>AS134/VLOOKUP(A134,'[47]geoMap (44)'!$A:$B,2,0)*VLOOKUP(A134,'[47]geoMap (44)'!$A:$C,3,0)</f>
        <v>#REF!</v>
      </c>
      <c r="AU134" s="1" t="e">
        <f>AT134/VLOOKUP(A134,'[48]geoMap (45)'!$A:$B,2,0)*VLOOKUP(A134,'[48]geoMap (45)'!$A:$C,3,0)</f>
        <v>#REF!</v>
      </c>
      <c r="AV134" s="1" t="e">
        <f>AU134/VLOOKUP(A134,'[49]geoMap (46)'!$A:$B,2,0)*VLOOKUP(A134,'[49]geoMap (46)'!$A:$C,3,0)</f>
        <v>#REF!</v>
      </c>
      <c r="AW134" s="1" t="e">
        <f>AV134/VLOOKUP(A134,'[50]geoMap (47)'!$A:$B,2,0)*VLOOKUP(A134,'[50]geoMap (47)'!$A:$C,3,0)</f>
        <v>#REF!</v>
      </c>
      <c r="AX134" s="4" t="e">
        <f>AW134/VLOOKUP(A134,'[51]geoMap (48)'!$A:$B,2,0)*VLOOKUP(A134,'[51]geoMap (48)'!$A:$C,3,0)</f>
        <v>#REF!</v>
      </c>
      <c r="AY134" s="1" t="e">
        <f>AX134/VLOOKUP(A134,'[52]geoMap (49)'!$A:$B,2,0)*VLOOKUP(A134,'[52]geoMap (49)'!$A:$C,3,0)</f>
        <v>#REF!</v>
      </c>
      <c r="AZ134" s="4" t="e">
        <f>AY134/VLOOKUP(A134,'[53]geoMap (50)'!$A:$B,2,0)*VLOOKUP(A134,'[53]geoMap (50)'!$A:$C,3,0)</f>
        <v>#REF!</v>
      </c>
      <c r="BA134" s="1" t="e">
        <f>AZ134/VLOOKUP(A134,'[54]geoMap (51)'!$A:$B,2,0)*VLOOKUP(A134,'[54]geoMap (51)'!$A:$C,3,0)</f>
        <v>#REF!</v>
      </c>
      <c r="BB134" s="4" t="e">
        <f>BA134/VLOOKUP(A134,'[55]geoMap (52)'!$A:$B,2,0)*VLOOKUP(A134,'[55]geoMap (52)'!$A:$C,3,0)</f>
        <v>#REF!</v>
      </c>
      <c r="BC134" s="1" t="e">
        <f>BB134/VLOOKUP(A134,'[56]geoMap (53)'!$A:$B,2,0)*VLOOKUP(A134,'[56]geoMap (53)'!$A:$C,3,0)</f>
        <v>#REF!</v>
      </c>
      <c r="BD134" s="4" t="e">
        <f>BC134/VLOOKUP(A134,'[57]geoMap (54)'!$A:$B,2,0)*VLOOKUP(A134,'[57]geoMap (54)'!$A:$C,3,0)</f>
        <v>#REF!</v>
      </c>
      <c r="BE134" s="1" t="e">
        <f>BD134/VLOOKUP(A134,'[58]geoMap (55)'!$A:$B,2,0)*VLOOKUP(A134,'[58]geoMap (55)'!$A:$C,3,0)</f>
        <v>#REF!</v>
      </c>
      <c r="BF134" s="4" t="e">
        <f>BE134/VLOOKUP(A134,'[59]geoMap (56)'!$A:$B,2,0)*VLOOKUP(A134,'[59]geoMap (56)'!$A:$C,3,0)</f>
        <v>#REF!</v>
      </c>
      <c r="BG134" s="1" t="e">
        <f>BF134/VLOOKUP(A134,'[60]geoMap (57)'!$A:$B,2,0)*VLOOKUP(A134,'[60]geoMap (57)'!$A:$C,3,0)</f>
        <v>#REF!</v>
      </c>
      <c r="BH134" s="4" t="e">
        <f>BG134/VLOOKUP(A134,'[61]geoMap (58)'!$A:$B,2,0)*VLOOKUP(A134,'[61]geoMap (58)'!$A:$C,3,0)</f>
        <v>#REF!</v>
      </c>
      <c r="BI134" s="1" t="e">
        <f>BH134/VLOOKUP(A134,'[62]geoMap (59)'!$A:$B,2,0)*VLOOKUP(A134,'[62]geoMap (59)'!$A:$C,3,0)</f>
        <v>#REF!</v>
      </c>
      <c r="BJ134" s="4" t="e">
        <f>BI134/VLOOKUP(A134,'[63]geoMap (60)'!$A:$B,2,0)*VLOOKUP(A134,'[63]geoMap (60)'!$A:$C,3,0)</f>
        <v>#REF!</v>
      </c>
      <c r="BK134" s="1" t="e">
        <f>BJ134/VLOOKUP(A134,'[64]geoMap (61)'!$A:$B,2,0)*VLOOKUP(A134,'[64]geoMap (61)'!$A:$C,3,0)</f>
        <v>#REF!</v>
      </c>
      <c r="BL134" s="4" t="e">
        <f>BK134/VLOOKUP(A134,'[65]geoMap (62)'!$A:$B,2,0)*VLOOKUP(A134,'[65]geoMap (62)'!$A:$C,3,0)</f>
        <v>#REF!</v>
      </c>
      <c r="BM134" s="1" t="e">
        <f>BL134/VLOOKUP(A134,'[66]geoMap (63)'!$A:$B,2,0)*VLOOKUP(A134,'[66]geoMap (63)'!$A:$C,3,0)</f>
        <v>#REF!</v>
      </c>
      <c r="BN134" s="4" t="e">
        <f>BM134/VLOOKUP(A134,'[67]geoMap (64)'!$A:$B,2,0)*VLOOKUP(A134,'[67]geoMap (64)'!$A:$C,3,0)</f>
        <v>#REF!</v>
      </c>
      <c r="BO134" s="1" t="e">
        <f>BN134/VLOOKUP(A134,'[68]geoMap (65)'!$A:$B,2,0)*VLOOKUP(A134,'[68]geoMap (65)'!$A:$C,3,0)</f>
        <v>#REF!</v>
      </c>
      <c r="BP134" s="4" t="e">
        <f>BO134/VLOOKUP(A134,'[69]geoMap (66)'!$A:$B,2,0)*VLOOKUP(A134,'[69]geoMap (66)'!$A:$C,3,0)</f>
        <v>#REF!</v>
      </c>
    </row>
    <row r="135" spans="1:68" x14ac:dyDescent="0.2">
      <c r="A135" s="1" t="s">
        <v>100</v>
      </c>
      <c r="B135" s="1" t="e">
        <f>VLOOKUP(A135,[3]geoMap!$A:$B,2,0)*Notes!$C$6</f>
        <v>#REF!</v>
      </c>
      <c r="C135" s="1" t="e">
        <f>B135/VLOOKUP(A135,'[4]geoMap (1)'!$A:$B,2,0)*VLOOKUP(A135,'[4]geoMap (1)'!$A:$C,3,0)</f>
        <v>#REF!</v>
      </c>
      <c r="D135" s="1" t="e">
        <f>C135/VLOOKUP(A135,'[5]geoMap (2)'!$A:$B,2,0)*VLOOKUP(A135,'[5]geoMap (2)'!$A:$C,3,0)</f>
        <v>#REF!</v>
      </c>
      <c r="E135" s="1" t="e">
        <f>D135/VLOOKUP(A135,'[6]geoMap (3)'!$A:$B,2,0)*VLOOKUP(A135,'[6]geoMap (3)'!$A:$C,3,0)</f>
        <v>#REF!</v>
      </c>
      <c r="F135" s="1" t="e">
        <f>E135/VLOOKUP(A135,'[7]geoMap (4)'!$A:$B,2,0)*VLOOKUP(A135,'[7]geoMap (4)'!$A:$C,3,0)</f>
        <v>#REF!</v>
      </c>
      <c r="G135" s="1" t="e">
        <f>F135/VLOOKUP(A135,'[8]geoMap (5)'!$A:$B,2,0)*VLOOKUP(A135,'[8]geoMap (5)'!$A:$C,3,0)</f>
        <v>#REF!</v>
      </c>
      <c r="H135" s="1" t="e">
        <f>G135/VLOOKUP(A135,'[9]geoMap (6)'!$A:$B,2,0)*VLOOKUP(A135,'[9]geoMap (6)'!$A:$C,3,0)</f>
        <v>#REF!</v>
      </c>
      <c r="I135" s="1" t="e">
        <f>H135/VLOOKUP(A135,'[10]geoMap (7)'!$A:$B,2,0)*VLOOKUP(A135,'[10]geoMap (7)'!$A:$C,3,0)</f>
        <v>#REF!</v>
      </c>
      <c r="J135" s="1" t="e">
        <f>I135/VLOOKUP(A135,'[11]geoMap (8)'!$A:$B,2,0)*VLOOKUP(A135,'[11]geoMap (8)'!$A:$C,3,0)</f>
        <v>#REF!</v>
      </c>
      <c r="K135" s="1" t="e">
        <f>J135/VLOOKUP(A135,'[12]geoMap (9)'!$A:$B,2,0)*VLOOKUP(A135,'[12]geoMap (9)'!$A:$C,3,0)</f>
        <v>#REF!</v>
      </c>
      <c r="L135" s="1" t="e">
        <f>K135/VLOOKUP(A135,'[13]geoMap (10)'!$A:$B,2,0)*VLOOKUP(A135,'[13]geoMap (10)'!$A:$C,3,0)</f>
        <v>#REF!</v>
      </c>
      <c r="M135" s="1" t="e">
        <f>L135/VLOOKUP(A135,'[14]geoMap (11)'!$A:$B,2,0)*VLOOKUP(A135,'[14]geoMap (11)'!$A:$C,3,0)</f>
        <v>#REF!</v>
      </c>
      <c r="N135" s="1" t="e">
        <f>M135/VLOOKUP(A135,'[15]geoMap (12)'!$A:$B,2,0)*VLOOKUP(A135,'[15]geoMap (12)'!$A:$C,3,0)</f>
        <v>#REF!</v>
      </c>
      <c r="O135" s="1" t="e">
        <f>N135/VLOOKUP(A135,'[16]geoMap (13)'!$A:$B,2,0)*VLOOKUP(A135,'[16]geoMap (13)'!$A:$C,3,0)</f>
        <v>#REF!</v>
      </c>
      <c r="P135" s="1" t="e">
        <f>O135/VLOOKUP(A135,'[17]geoMap (14)'!$A:$B,2,0)*VLOOKUP(A135,'[17]geoMap (14)'!$A:$C,3,0)</f>
        <v>#REF!</v>
      </c>
      <c r="Q135" s="1" t="e">
        <f>P135/VLOOKUP(A135,'[18]geoMap (15)'!$A:$B,2,0)*VLOOKUP(A135,'[18]geoMap (15)'!$A:$C,3,0)</f>
        <v>#REF!</v>
      </c>
      <c r="R135" s="1" t="e">
        <f>Q135/VLOOKUP(A135,'[19]geoMap (16)'!$A:$B,2,0)*VLOOKUP(A135,'[19]geoMap (16)'!$A:$C,3,0)</f>
        <v>#REF!</v>
      </c>
      <c r="S135" s="1" t="e">
        <f>R135/VLOOKUP(A135,'[20]geoMap (17)'!$A:$B,2,0)*VLOOKUP(A135,'[20]geoMap (17)'!$A:$C,3,0)</f>
        <v>#REF!</v>
      </c>
      <c r="T135" s="1" t="e">
        <f>S135/VLOOKUP(A135,'[21]geoMap (18)'!$A:$B,2,0)*VLOOKUP(A135,'[21]geoMap (18)'!$A:$C,3,0)</f>
        <v>#REF!</v>
      </c>
      <c r="U135" s="1" t="e">
        <f>T135/VLOOKUP(A135,'[22]geoMap (19)'!$A:$B,2,0)*VLOOKUP(A135,'[22]geoMap (19)'!$A:$C,3,0)</f>
        <v>#REF!</v>
      </c>
      <c r="V135" s="1" t="e">
        <f>U135/VLOOKUP(A135,'[23]geoMap (20)'!$A:$B,2,0)*VLOOKUP(A135,'[23]geoMap (20)'!$A:$C,3,0)</f>
        <v>#REF!</v>
      </c>
      <c r="W135" s="1" t="e">
        <f>V135/VLOOKUP(A135,'[24]geoMap (21)'!$A:$B,2,0)*VLOOKUP(A135,'[24]geoMap (21)'!$A:$C,3,0)</f>
        <v>#REF!</v>
      </c>
      <c r="X135" s="1" t="e">
        <f>W135/VLOOKUP(A135,'[25]geoMap (22)'!$A:$B,2,0)*VLOOKUP(A135,'[25]geoMap (22)'!$A:$C,3,0)</f>
        <v>#REF!</v>
      </c>
      <c r="Y135" s="1" t="e">
        <f>X135/VLOOKUP(A135,'[26]geoMap (23)'!$A:$B,2,0)*VLOOKUP(A135,'[26]geoMap (23)'!$A:$C,3,0)</f>
        <v>#REF!</v>
      </c>
      <c r="Z135" s="1" t="e">
        <f>Y135/VLOOKUP(A135,'[27]geoMap (24)'!$A:$B,2,0)*VLOOKUP(A135,'[27]geoMap (24)'!$A:$C,3,0)</f>
        <v>#REF!</v>
      </c>
      <c r="AA135" s="1" t="e">
        <f>Z135/VLOOKUP(A135,'[28]geoMap (25)'!$A:$B,2,0)*VLOOKUP(A135,'[28]geoMap (25)'!$A:$C,3,0)</f>
        <v>#REF!</v>
      </c>
      <c r="AB135" s="1" t="e">
        <f>AA135*VLOOKUP(A135,'[29]geoMap (26)'!$A:$B,2,0)*VLOOKUP(A135,'[29]geoMap (26)'!$A:$C,3,0)</f>
        <v>#REF!</v>
      </c>
      <c r="AC135" s="1" t="e">
        <f>AB135/VLOOKUP(A135,'[30]geoMap (27)'!$A:$B,2,0)*VLOOKUP(A135,'[30]geoMap (27)'!$A:$C,3,0)</f>
        <v>#REF!</v>
      </c>
      <c r="AD135" s="1" t="e">
        <f>AC135/VLOOKUP(A135,'[31]geoMap (28)'!$A:$B,2,0)*VLOOKUP(A135,'[31]geoMap (28)'!$A:$C,3,0)</f>
        <v>#REF!</v>
      </c>
      <c r="AE135" s="1" t="e">
        <f>AD135/VLOOKUP(A135,'[32]geoMap (29)'!$A:$B,2,0)*VLOOKUP(A135,'[32]geoMap (29)'!$A:$C,3,0)</f>
        <v>#REF!</v>
      </c>
      <c r="AF135" s="1" t="e">
        <f>AE135/VLOOKUP(A135,'[33]geoMap (30)'!$A:$B,2,0)*VLOOKUP(A135,'[33]geoMap (30)'!$A:$C,3,0)</f>
        <v>#REF!</v>
      </c>
      <c r="AG135" s="1" t="e">
        <f>AF135/VLOOKUP(A135,'[34]geoMap (31)'!$A:$B,2,0)*VLOOKUP(A135,'[34]geoMap (31)'!$A:$C,3,0)</f>
        <v>#REF!</v>
      </c>
      <c r="AH135" s="1" t="e">
        <f>AG135/VLOOKUP(A135,'[35]geoMap (32)'!$A:$B,2,0)*VLOOKUP(A135,'[35]geoMap (32)'!$A:$C,3,0)</f>
        <v>#REF!</v>
      </c>
      <c r="AI135" s="1" t="e">
        <f>AH135/VLOOKUP(A135,'[36]geoMap (33)'!$A:$B,2,0)*VLOOKUP(A135,'[36]geoMap (33)'!$A:$C,3,0)</f>
        <v>#REF!</v>
      </c>
      <c r="AJ135" s="1" t="e">
        <f>AI135/VLOOKUP(A135,'[37]geoMap (34)'!$A:$B,2,0)*VLOOKUP(A135,'[37]geoMap (34)'!$A:$C,3,0)</f>
        <v>#REF!</v>
      </c>
      <c r="AK135" s="1" t="e">
        <f>AJ135/VLOOKUP(A135,'[38]geoMap (35)'!$A:$B,2,0)*VLOOKUP(A135,'[38]geoMap (35)'!$A:$C,3,0)</f>
        <v>#REF!</v>
      </c>
      <c r="AL135" s="1" t="e">
        <f>AK135/VLOOKUP(A135,'[39]geoMap (36)'!$A:$B,2,0)*VLOOKUP(A135,'[39]geoMap (36)'!$A:$C,3,0)</f>
        <v>#REF!</v>
      </c>
      <c r="AM135" s="1" t="e">
        <f>AL135/VLOOKUP(A135,'[40]geoMap (37)'!$A:$B,2,0)*VLOOKUP(A135,'[40]geoMap (37)'!$A:$C,3,0)</f>
        <v>#REF!</v>
      </c>
      <c r="AN135" s="1" t="e">
        <f>AM135/VLOOKUP(A135,'[41]geoMap (38)'!$A:$B,2,0)*VLOOKUP(A135,'[41]geoMap (38)'!$A:$C,3,0)</f>
        <v>#REF!</v>
      </c>
      <c r="AO135" s="1" t="e">
        <f>AN135/VLOOKUP(A135,'[42]geoMap (39)'!$A:$B,2,0)*VLOOKUP(A135,'[42]geoMap (39)'!$A:$C,3,0)</f>
        <v>#REF!</v>
      </c>
      <c r="AP135" s="1" t="e">
        <f>AO135/VLOOKUP(A135,'[43]geoMap (40)'!$A:$B,2,0)*VLOOKUP(A135,'[43]geoMap (40)'!$A:$C,3,0)</f>
        <v>#REF!</v>
      </c>
      <c r="AQ135" s="1" t="e">
        <f>AP135/VLOOKUP(A135,'[44]geoMap (41)'!$A:$B,2,0)*VLOOKUP(A135,'[44]geoMap (41)'!$A:$C,3,0)</f>
        <v>#REF!</v>
      </c>
      <c r="AR135" s="1" t="e">
        <f>AQ135/VLOOKUP(A135,'[45]geoMap (42)'!$A:$B,2,0)*VLOOKUP(A135,'[45]geoMap (42)'!$A:$C,3,0)</f>
        <v>#REF!</v>
      </c>
      <c r="AS135" s="1" t="e">
        <f>AR135/VLOOKUP(A135,'[46]geoMap (43)'!$A:$B,2,0)*VLOOKUP(A135,'[46]geoMap (43)'!$A:$C,3,0)</f>
        <v>#REF!</v>
      </c>
      <c r="AT135" s="1" t="e">
        <f>AS135/VLOOKUP(A135,'[47]geoMap (44)'!$A:$B,2,0)*VLOOKUP(A135,'[47]geoMap (44)'!$A:$C,3,0)</f>
        <v>#REF!</v>
      </c>
      <c r="AU135" s="1" t="e">
        <f>AT135/VLOOKUP(A135,'[48]geoMap (45)'!$A:$B,2,0)*VLOOKUP(A135,'[48]geoMap (45)'!$A:$C,3,0)</f>
        <v>#REF!</v>
      </c>
      <c r="AV135" s="1" t="e">
        <f>AU135/VLOOKUP(A135,'[49]geoMap (46)'!$A:$B,2,0)*VLOOKUP(A135,'[49]geoMap (46)'!$A:$C,3,0)</f>
        <v>#REF!</v>
      </c>
      <c r="AW135" s="1" t="e">
        <f>AV135/VLOOKUP(A135,'[50]geoMap (47)'!$A:$B,2,0)*VLOOKUP(A135,'[50]geoMap (47)'!$A:$C,3,0)</f>
        <v>#REF!</v>
      </c>
      <c r="AX135" s="4" t="e">
        <f>AW135/VLOOKUP(A135,'[51]geoMap (48)'!$A:$B,2,0)*VLOOKUP(A135,'[51]geoMap (48)'!$A:$C,3,0)</f>
        <v>#REF!</v>
      </c>
      <c r="AY135" s="1" t="e">
        <f>AX135/VLOOKUP(A135,'[52]geoMap (49)'!$A:$B,2,0)*VLOOKUP(A135,'[52]geoMap (49)'!$A:$C,3,0)</f>
        <v>#REF!</v>
      </c>
      <c r="AZ135" s="4" t="e">
        <f>AY135/VLOOKUP(A135,'[53]geoMap (50)'!$A:$B,2,0)*VLOOKUP(A135,'[53]geoMap (50)'!$A:$C,3,0)</f>
        <v>#REF!</v>
      </c>
      <c r="BA135" s="1" t="e">
        <f>AZ135/VLOOKUP(A135,'[54]geoMap (51)'!$A:$B,2,0)*VLOOKUP(A135,'[54]geoMap (51)'!$A:$C,3,0)</f>
        <v>#REF!</v>
      </c>
      <c r="BB135" s="4" t="e">
        <f>BA135/VLOOKUP(A135,'[55]geoMap (52)'!$A:$B,2,0)*VLOOKUP(A135,'[55]geoMap (52)'!$A:$C,3,0)</f>
        <v>#REF!</v>
      </c>
      <c r="BC135" s="1" t="e">
        <f>BB135/VLOOKUP(A135,'[56]geoMap (53)'!$A:$B,2,0)*VLOOKUP(A135,'[56]geoMap (53)'!$A:$C,3,0)</f>
        <v>#REF!</v>
      </c>
      <c r="BD135" s="4" t="e">
        <f>BC135/VLOOKUP(A135,'[57]geoMap (54)'!$A:$B,2,0)*VLOOKUP(A135,'[57]geoMap (54)'!$A:$C,3,0)</f>
        <v>#REF!</v>
      </c>
      <c r="BE135" s="1" t="e">
        <f>BD135/VLOOKUP(A135,'[58]geoMap (55)'!$A:$B,2,0)*VLOOKUP(A135,'[58]geoMap (55)'!$A:$C,3,0)</f>
        <v>#REF!</v>
      </c>
      <c r="BF135" s="4" t="e">
        <f>BE135/VLOOKUP(A135,'[59]geoMap (56)'!$A:$B,2,0)*VLOOKUP(A135,'[59]geoMap (56)'!$A:$C,3,0)</f>
        <v>#REF!</v>
      </c>
      <c r="BG135" s="1" t="e">
        <f>BF135/VLOOKUP(A135,'[60]geoMap (57)'!$A:$B,2,0)*VLOOKUP(A135,'[60]geoMap (57)'!$A:$C,3,0)</f>
        <v>#REF!</v>
      </c>
      <c r="BH135" s="4" t="e">
        <f>BG135/VLOOKUP(A135,'[61]geoMap (58)'!$A:$B,2,0)*VLOOKUP(A135,'[61]geoMap (58)'!$A:$C,3,0)</f>
        <v>#REF!</v>
      </c>
      <c r="BI135" s="1" t="e">
        <f>BH135/VLOOKUP(A135,'[62]geoMap (59)'!$A:$B,2,0)*VLOOKUP(A135,'[62]geoMap (59)'!$A:$C,3,0)</f>
        <v>#REF!</v>
      </c>
      <c r="BJ135" s="4" t="e">
        <f>BI135/VLOOKUP(A135,'[63]geoMap (60)'!$A:$B,2,0)*VLOOKUP(A135,'[63]geoMap (60)'!$A:$C,3,0)</f>
        <v>#REF!</v>
      </c>
      <c r="BK135" s="1" t="e">
        <f>BJ135/VLOOKUP(A135,'[64]geoMap (61)'!$A:$B,2,0)*VLOOKUP(A135,'[64]geoMap (61)'!$A:$C,3,0)</f>
        <v>#REF!</v>
      </c>
      <c r="BL135" s="4" t="e">
        <f>BK135/VLOOKUP(A135,'[65]geoMap (62)'!$A:$B,2,0)*VLOOKUP(A135,'[65]geoMap (62)'!$A:$C,3,0)</f>
        <v>#REF!</v>
      </c>
      <c r="BM135" s="1" t="e">
        <f>BL135/VLOOKUP(A135,'[66]geoMap (63)'!$A:$B,2,0)*VLOOKUP(A135,'[66]geoMap (63)'!$A:$C,3,0)</f>
        <v>#REF!</v>
      </c>
      <c r="BN135" s="4" t="e">
        <f>BM135/VLOOKUP(A135,'[67]geoMap (64)'!$A:$B,2,0)*VLOOKUP(A135,'[67]geoMap (64)'!$A:$C,3,0)</f>
        <v>#REF!</v>
      </c>
      <c r="BO135" s="1" t="e">
        <f>BN135/VLOOKUP(A135,'[68]geoMap (65)'!$A:$B,2,0)*VLOOKUP(A135,'[68]geoMap (65)'!$A:$C,3,0)</f>
        <v>#REF!</v>
      </c>
      <c r="BP135" s="4" t="e">
        <f>BO135/VLOOKUP(A135,'[69]geoMap (66)'!$A:$B,2,0)*VLOOKUP(A135,'[69]geoMap (66)'!$A:$C,3,0)</f>
        <v>#REF!</v>
      </c>
    </row>
    <row r="136" spans="1:68" x14ac:dyDescent="0.2">
      <c r="A136" s="1" t="s">
        <v>103</v>
      </c>
      <c r="B136" s="1" t="e">
        <f>VLOOKUP(A136,[3]geoMap!$A:$B,2,0)*Notes!$C$6</f>
        <v>#REF!</v>
      </c>
      <c r="C136" s="1" t="e">
        <f>B136/VLOOKUP(A136,'[4]geoMap (1)'!$A:$B,2,0)*VLOOKUP(A136,'[4]geoMap (1)'!$A:$C,3,0)</f>
        <v>#REF!</v>
      </c>
      <c r="D136" s="1" t="e">
        <f>C136/VLOOKUP(A136,'[5]geoMap (2)'!$A:$B,2,0)*VLOOKUP(A136,'[5]geoMap (2)'!$A:$C,3,0)</f>
        <v>#REF!</v>
      </c>
      <c r="E136" s="1" t="e">
        <f>D136/VLOOKUP(A136,'[6]geoMap (3)'!$A:$B,2,0)*VLOOKUP(A136,'[6]geoMap (3)'!$A:$C,3,0)</f>
        <v>#REF!</v>
      </c>
      <c r="F136" s="1" t="e">
        <f>E136/VLOOKUP(A136,'[7]geoMap (4)'!$A:$B,2,0)*VLOOKUP(A136,'[7]geoMap (4)'!$A:$C,3,0)</f>
        <v>#REF!</v>
      </c>
      <c r="G136" s="1" t="e">
        <f>F136/VLOOKUP(A136,'[8]geoMap (5)'!$A:$B,2,0)*VLOOKUP(A136,'[8]geoMap (5)'!$A:$C,3,0)</f>
        <v>#REF!</v>
      </c>
      <c r="H136" s="1" t="e">
        <f>G136/VLOOKUP(A136,'[9]geoMap (6)'!$A:$B,2,0)*VLOOKUP(A136,'[9]geoMap (6)'!$A:$C,3,0)</f>
        <v>#REF!</v>
      </c>
      <c r="I136" s="1" t="e">
        <f>H136/VLOOKUP(A136,'[10]geoMap (7)'!$A:$B,2,0)*VLOOKUP(A136,'[10]geoMap (7)'!$A:$C,3,0)</f>
        <v>#REF!</v>
      </c>
      <c r="J136" s="1" t="e">
        <f>I136/VLOOKUP(A136,'[11]geoMap (8)'!$A:$B,2,0)*VLOOKUP(A136,'[11]geoMap (8)'!$A:$C,3,0)</f>
        <v>#REF!</v>
      </c>
      <c r="K136" s="1" t="e">
        <f>J136/VLOOKUP(A136,'[12]geoMap (9)'!$A:$B,2,0)*VLOOKUP(A136,'[12]geoMap (9)'!$A:$C,3,0)</f>
        <v>#REF!</v>
      </c>
      <c r="L136" s="1" t="e">
        <f>K136/VLOOKUP(A136,'[13]geoMap (10)'!$A:$B,2,0)*VLOOKUP(A136,'[13]geoMap (10)'!$A:$C,3,0)</f>
        <v>#REF!</v>
      </c>
      <c r="M136" s="1" t="e">
        <f>L136/VLOOKUP(A136,'[14]geoMap (11)'!$A:$B,2,0)*VLOOKUP(A136,'[14]geoMap (11)'!$A:$C,3,0)</f>
        <v>#REF!</v>
      </c>
      <c r="N136" s="1" t="e">
        <f>M136/VLOOKUP(A136,'[15]geoMap (12)'!$A:$B,2,0)*VLOOKUP(A136,'[15]geoMap (12)'!$A:$C,3,0)</f>
        <v>#REF!</v>
      </c>
      <c r="O136" s="1" t="e">
        <f>N136/VLOOKUP(A136,'[16]geoMap (13)'!$A:$B,2,0)*VLOOKUP(A136,'[16]geoMap (13)'!$A:$C,3,0)</f>
        <v>#REF!</v>
      </c>
      <c r="P136" s="1" t="e">
        <f>O136/VLOOKUP(A136,'[17]geoMap (14)'!$A:$B,2,0)*VLOOKUP(A136,'[17]geoMap (14)'!$A:$C,3,0)</f>
        <v>#REF!</v>
      </c>
      <c r="Q136" s="1" t="e">
        <f>P136/VLOOKUP(A136,'[18]geoMap (15)'!$A:$B,2,0)*VLOOKUP(A136,'[18]geoMap (15)'!$A:$C,3,0)</f>
        <v>#REF!</v>
      </c>
      <c r="R136" s="1" t="e">
        <f>Q136/VLOOKUP(A136,'[19]geoMap (16)'!$A:$B,2,0)*VLOOKUP(A136,'[19]geoMap (16)'!$A:$C,3,0)</f>
        <v>#REF!</v>
      </c>
      <c r="S136" s="1" t="e">
        <f>R136/VLOOKUP(A136,'[20]geoMap (17)'!$A:$B,2,0)*VLOOKUP(A136,'[20]geoMap (17)'!$A:$C,3,0)</f>
        <v>#REF!</v>
      </c>
      <c r="T136" s="1" t="e">
        <f>S136/VLOOKUP(A136,'[21]geoMap (18)'!$A:$B,2,0)*VLOOKUP(A136,'[21]geoMap (18)'!$A:$C,3,0)</f>
        <v>#REF!</v>
      </c>
      <c r="U136" s="1" t="e">
        <f>T136/VLOOKUP(A136,'[22]geoMap (19)'!$A:$B,2,0)*VLOOKUP(A136,'[22]geoMap (19)'!$A:$C,3,0)</f>
        <v>#REF!</v>
      </c>
      <c r="V136" s="1" t="e">
        <f>U136/VLOOKUP(A136,'[23]geoMap (20)'!$A:$B,2,0)*VLOOKUP(A136,'[23]geoMap (20)'!$A:$C,3,0)</f>
        <v>#REF!</v>
      </c>
      <c r="W136" s="1" t="e">
        <f>V136/VLOOKUP(A136,'[24]geoMap (21)'!$A:$B,2,0)*VLOOKUP(A136,'[24]geoMap (21)'!$A:$C,3,0)</f>
        <v>#REF!</v>
      </c>
      <c r="X136" s="1" t="e">
        <f>W136/VLOOKUP(A136,'[25]geoMap (22)'!$A:$B,2,0)*VLOOKUP(A136,'[25]geoMap (22)'!$A:$C,3,0)</f>
        <v>#REF!</v>
      </c>
      <c r="Y136" s="1" t="e">
        <f>X136/VLOOKUP(A136,'[26]geoMap (23)'!$A:$B,2,0)*VLOOKUP(A136,'[26]geoMap (23)'!$A:$C,3,0)</f>
        <v>#REF!</v>
      </c>
      <c r="Z136" s="1" t="e">
        <f>Y136/VLOOKUP(A136,'[27]geoMap (24)'!$A:$B,2,0)*VLOOKUP(A136,'[27]geoMap (24)'!$A:$C,3,0)</f>
        <v>#REF!</v>
      </c>
      <c r="AA136" s="1" t="e">
        <f>Z136/VLOOKUP(A136,'[28]geoMap (25)'!$A:$B,2,0)*VLOOKUP(A136,'[28]geoMap (25)'!$A:$C,3,0)</f>
        <v>#REF!</v>
      </c>
      <c r="AB136" s="1" t="e">
        <f>AA136*VLOOKUP(A136,'[29]geoMap (26)'!$A:$B,2,0)*VLOOKUP(A136,'[29]geoMap (26)'!$A:$C,3,0)</f>
        <v>#REF!</v>
      </c>
      <c r="AC136" s="1" t="e">
        <f>AB136/VLOOKUP(A136,'[30]geoMap (27)'!$A:$B,2,0)*VLOOKUP(A136,'[30]geoMap (27)'!$A:$C,3,0)</f>
        <v>#REF!</v>
      </c>
      <c r="AD136" s="1" t="e">
        <f>AC136/VLOOKUP(A136,'[31]geoMap (28)'!$A:$B,2,0)*VLOOKUP(A136,'[31]geoMap (28)'!$A:$C,3,0)</f>
        <v>#REF!</v>
      </c>
      <c r="AE136" s="1" t="e">
        <f>AD136/VLOOKUP(A136,'[32]geoMap (29)'!$A:$B,2,0)*VLOOKUP(A136,'[32]geoMap (29)'!$A:$C,3,0)</f>
        <v>#REF!</v>
      </c>
      <c r="AF136" s="1" t="e">
        <f>AE136/VLOOKUP(A136,'[33]geoMap (30)'!$A:$B,2,0)*VLOOKUP(A136,'[33]geoMap (30)'!$A:$C,3,0)</f>
        <v>#REF!</v>
      </c>
      <c r="AG136" s="1" t="e">
        <f>AF136/VLOOKUP(A136,'[34]geoMap (31)'!$A:$B,2,0)*VLOOKUP(A136,'[34]geoMap (31)'!$A:$C,3,0)</f>
        <v>#REF!</v>
      </c>
      <c r="AH136" s="1" t="e">
        <f>AG136/VLOOKUP(A136,'[35]geoMap (32)'!$A:$B,2,0)*VLOOKUP(A136,'[35]geoMap (32)'!$A:$C,3,0)</f>
        <v>#REF!</v>
      </c>
      <c r="AI136" s="1" t="e">
        <f>AH136/VLOOKUP(A136,'[36]geoMap (33)'!$A:$B,2,0)*VLOOKUP(A136,'[36]geoMap (33)'!$A:$C,3,0)</f>
        <v>#REF!</v>
      </c>
      <c r="AJ136" s="1" t="e">
        <f>AI136/VLOOKUP(A136,'[37]geoMap (34)'!$A:$B,2,0)*VLOOKUP(A136,'[37]geoMap (34)'!$A:$C,3,0)</f>
        <v>#REF!</v>
      </c>
      <c r="AK136" s="1" t="e">
        <f>AJ136/VLOOKUP(A136,'[38]geoMap (35)'!$A:$B,2,0)*VLOOKUP(A136,'[38]geoMap (35)'!$A:$C,3,0)</f>
        <v>#REF!</v>
      </c>
      <c r="AL136" s="1" t="e">
        <f>AK136/VLOOKUP(A136,'[39]geoMap (36)'!$A:$B,2,0)*VLOOKUP(A136,'[39]geoMap (36)'!$A:$C,3,0)</f>
        <v>#REF!</v>
      </c>
      <c r="AM136" s="1" t="e">
        <f>AL136/VLOOKUP(A136,'[40]geoMap (37)'!$A:$B,2,0)*VLOOKUP(A136,'[40]geoMap (37)'!$A:$C,3,0)</f>
        <v>#REF!</v>
      </c>
      <c r="AN136" s="1" t="e">
        <f>AM136/VLOOKUP(A136,'[41]geoMap (38)'!$A:$B,2,0)*VLOOKUP(A136,'[41]geoMap (38)'!$A:$C,3,0)</f>
        <v>#REF!</v>
      </c>
      <c r="AO136" s="1" t="e">
        <f>AN136/VLOOKUP(A136,'[42]geoMap (39)'!$A:$B,2,0)*VLOOKUP(A136,'[42]geoMap (39)'!$A:$C,3,0)</f>
        <v>#REF!</v>
      </c>
      <c r="AP136" s="1" t="e">
        <f>AO136/VLOOKUP(A136,'[43]geoMap (40)'!$A:$B,2,0)*VLOOKUP(A136,'[43]geoMap (40)'!$A:$C,3,0)</f>
        <v>#REF!</v>
      </c>
      <c r="AQ136" s="1" t="e">
        <f>AP136/VLOOKUP(A136,'[44]geoMap (41)'!$A:$B,2,0)*VLOOKUP(A136,'[44]geoMap (41)'!$A:$C,3,0)</f>
        <v>#REF!</v>
      </c>
      <c r="AR136" s="1" t="e">
        <f>AQ136/VLOOKUP(A136,'[45]geoMap (42)'!$A:$B,2,0)*VLOOKUP(A136,'[45]geoMap (42)'!$A:$C,3,0)</f>
        <v>#REF!</v>
      </c>
      <c r="AS136" s="1" t="e">
        <f>AR136/VLOOKUP(A136,'[46]geoMap (43)'!$A:$B,2,0)*VLOOKUP(A136,'[46]geoMap (43)'!$A:$C,3,0)</f>
        <v>#REF!</v>
      </c>
      <c r="AT136" s="1" t="e">
        <f>AS136/VLOOKUP(A136,'[47]geoMap (44)'!$A:$B,2,0)*VLOOKUP(A136,'[47]geoMap (44)'!$A:$C,3,0)</f>
        <v>#REF!</v>
      </c>
      <c r="AU136" s="1" t="e">
        <f>AT136/VLOOKUP(A136,'[48]geoMap (45)'!$A:$B,2,0)*VLOOKUP(A136,'[48]geoMap (45)'!$A:$C,3,0)</f>
        <v>#REF!</v>
      </c>
      <c r="AV136" s="1" t="e">
        <f>AU136/VLOOKUP(A136,'[49]geoMap (46)'!$A:$B,2,0)*VLOOKUP(A136,'[49]geoMap (46)'!$A:$C,3,0)</f>
        <v>#REF!</v>
      </c>
      <c r="AW136" s="1" t="e">
        <f>AV136/VLOOKUP(A136,'[50]geoMap (47)'!$A:$B,2,0)*VLOOKUP(A136,'[50]geoMap (47)'!$A:$C,3,0)</f>
        <v>#REF!</v>
      </c>
      <c r="AX136" s="4" t="e">
        <f>AW136/VLOOKUP(A136,'[51]geoMap (48)'!$A:$B,2,0)*VLOOKUP(A136,'[51]geoMap (48)'!$A:$C,3,0)</f>
        <v>#REF!</v>
      </c>
      <c r="AY136" s="1" t="e">
        <f>AX136/VLOOKUP(A136,'[52]geoMap (49)'!$A:$B,2,0)*VLOOKUP(A136,'[52]geoMap (49)'!$A:$C,3,0)</f>
        <v>#REF!</v>
      </c>
      <c r="AZ136" s="4" t="e">
        <f>AY136/VLOOKUP(A136,'[53]geoMap (50)'!$A:$B,2,0)*VLOOKUP(A136,'[53]geoMap (50)'!$A:$C,3,0)</f>
        <v>#REF!</v>
      </c>
      <c r="BA136" s="1" t="e">
        <f>AZ136/VLOOKUP(A136,'[54]geoMap (51)'!$A:$B,2,0)*VLOOKUP(A136,'[54]geoMap (51)'!$A:$C,3,0)</f>
        <v>#REF!</v>
      </c>
      <c r="BB136" s="4" t="e">
        <f>BA136/VLOOKUP(A136,'[55]geoMap (52)'!$A:$B,2,0)*VLOOKUP(A136,'[55]geoMap (52)'!$A:$C,3,0)</f>
        <v>#REF!</v>
      </c>
      <c r="BC136" s="1" t="e">
        <f>BB136/VLOOKUP(A136,'[56]geoMap (53)'!$A:$B,2,0)*VLOOKUP(A136,'[56]geoMap (53)'!$A:$C,3,0)</f>
        <v>#REF!</v>
      </c>
      <c r="BD136" s="4" t="e">
        <f>BC136/VLOOKUP(A136,'[57]geoMap (54)'!$A:$B,2,0)*VLOOKUP(A136,'[57]geoMap (54)'!$A:$C,3,0)</f>
        <v>#REF!</v>
      </c>
      <c r="BE136" s="1" t="e">
        <f>BD136/VLOOKUP(A136,'[58]geoMap (55)'!$A:$B,2,0)*VLOOKUP(A136,'[58]geoMap (55)'!$A:$C,3,0)</f>
        <v>#REF!</v>
      </c>
      <c r="BF136" s="4" t="e">
        <f>BE136/VLOOKUP(A136,'[59]geoMap (56)'!$A:$B,2,0)*VLOOKUP(A136,'[59]geoMap (56)'!$A:$C,3,0)</f>
        <v>#REF!</v>
      </c>
      <c r="BG136" s="1" t="e">
        <f>BF136/VLOOKUP(A136,'[60]geoMap (57)'!$A:$B,2,0)*VLOOKUP(A136,'[60]geoMap (57)'!$A:$C,3,0)</f>
        <v>#REF!</v>
      </c>
      <c r="BH136" s="4" t="e">
        <f>BG136/VLOOKUP(A136,'[61]geoMap (58)'!$A:$B,2,0)*VLOOKUP(A136,'[61]geoMap (58)'!$A:$C,3,0)</f>
        <v>#REF!</v>
      </c>
      <c r="BI136" s="1" t="e">
        <f>BH136/VLOOKUP(A136,'[62]geoMap (59)'!$A:$B,2,0)*VLOOKUP(A136,'[62]geoMap (59)'!$A:$C,3,0)</f>
        <v>#REF!</v>
      </c>
      <c r="BJ136" s="4" t="e">
        <f>BI136/VLOOKUP(A136,'[63]geoMap (60)'!$A:$B,2,0)*VLOOKUP(A136,'[63]geoMap (60)'!$A:$C,3,0)</f>
        <v>#REF!</v>
      </c>
      <c r="BK136" s="1" t="e">
        <f>BJ136/VLOOKUP(A136,'[64]geoMap (61)'!$A:$B,2,0)*VLOOKUP(A136,'[64]geoMap (61)'!$A:$C,3,0)</f>
        <v>#REF!</v>
      </c>
      <c r="BL136" s="4" t="e">
        <f>BK136/VLOOKUP(A136,'[65]geoMap (62)'!$A:$B,2,0)*VLOOKUP(A136,'[65]geoMap (62)'!$A:$C,3,0)</f>
        <v>#REF!</v>
      </c>
      <c r="BM136" s="1" t="e">
        <f>BL136/VLOOKUP(A136,'[66]geoMap (63)'!$A:$B,2,0)*VLOOKUP(A136,'[66]geoMap (63)'!$A:$C,3,0)</f>
        <v>#REF!</v>
      </c>
      <c r="BN136" s="4" t="e">
        <f>BM136/VLOOKUP(A136,'[67]geoMap (64)'!$A:$B,2,0)*VLOOKUP(A136,'[67]geoMap (64)'!$A:$C,3,0)</f>
        <v>#REF!</v>
      </c>
      <c r="BO136" s="1" t="e">
        <f>BN136/VLOOKUP(A136,'[68]geoMap (65)'!$A:$B,2,0)*VLOOKUP(A136,'[68]geoMap (65)'!$A:$C,3,0)</f>
        <v>#REF!</v>
      </c>
      <c r="BP136" s="4" t="e">
        <f>BO136/VLOOKUP(A136,'[69]geoMap (66)'!$A:$B,2,0)*VLOOKUP(A136,'[69]geoMap (66)'!$A:$C,3,0)</f>
        <v>#REF!</v>
      </c>
    </row>
    <row r="137" spans="1:68" x14ac:dyDescent="0.2">
      <c r="A137" s="1" t="s">
        <v>104</v>
      </c>
      <c r="B137" s="1" t="e">
        <f>VLOOKUP(A137,[3]geoMap!$A:$B,2,0)*Notes!$C$6</f>
        <v>#REF!</v>
      </c>
      <c r="C137" s="1" t="e">
        <f>B137/VLOOKUP(A137,'[4]geoMap (1)'!$A:$B,2,0)*VLOOKUP(A137,'[4]geoMap (1)'!$A:$C,3,0)</f>
        <v>#REF!</v>
      </c>
      <c r="D137" s="1" t="e">
        <f>C137/VLOOKUP(A137,'[5]geoMap (2)'!$A:$B,2,0)*VLOOKUP(A137,'[5]geoMap (2)'!$A:$C,3,0)</f>
        <v>#REF!</v>
      </c>
      <c r="E137" s="1" t="e">
        <f>D137/VLOOKUP(A137,'[6]geoMap (3)'!$A:$B,2,0)*VLOOKUP(A137,'[6]geoMap (3)'!$A:$C,3,0)</f>
        <v>#REF!</v>
      </c>
      <c r="F137" s="1" t="e">
        <f>E137/VLOOKUP(A137,'[7]geoMap (4)'!$A:$B,2,0)*VLOOKUP(A137,'[7]geoMap (4)'!$A:$C,3,0)</f>
        <v>#REF!</v>
      </c>
      <c r="G137" s="1" t="e">
        <f>F137/VLOOKUP(A137,'[8]geoMap (5)'!$A:$B,2,0)*VLOOKUP(A137,'[8]geoMap (5)'!$A:$C,3,0)</f>
        <v>#REF!</v>
      </c>
      <c r="H137" s="1" t="e">
        <f>G137/VLOOKUP(A137,'[9]geoMap (6)'!$A:$B,2,0)*VLOOKUP(A137,'[9]geoMap (6)'!$A:$C,3,0)</f>
        <v>#REF!</v>
      </c>
      <c r="I137" s="1" t="e">
        <f>H137/VLOOKUP(A137,'[10]geoMap (7)'!$A:$B,2,0)*VLOOKUP(A137,'[10]geoMap (7)'!$A:$C,3,0)</f>
        <v>#REF!</v>
      </c>
      <c r="J137" s="1" t="e">
        <f>I137/VLOOKUP(A137,'[11]geoMap (8)'!$A:$B,2,0)*VLOOKUP(A137,'[11]geoMap (8)'!$A:$C,3,0)</f>
        <v>#REF!</v>
      </c>
      <c r="K137" s="1" t="e">
        <f>J137/VLOOKUP(A137,'[12]geoMap (9)'!$A:$B,2,0)*VLOOKUP(A137,'[12]geoMap (9)'!$A:$C,3,0)</f>
        <v>#REF!</v>
      </c>
      <c r="L137" s="1" t="e">
        <f>K137/VLOOKUP(A137,'[13]geoMap (10)'!$A:$B,2,0)*VLOOKUP(A137,'[13]geoMap (10)'!$A:$C,3,0)</f>
        <v>#REF!</v>
      </c>
      <c r="M137" s="1" t="e">
        <f>L137/VLOOKUP(A137,'[14]geoMap (11)'!$A:$B,2,0)*VLOOKUP(A137,'[14]geoMap (11)'!$A:$C,3,0)</f>
        <v>#REF!</v>
      </c>
      <c r="N137" s="1" t="e">
        <f>M137/VLOOKUP(A137,'[15]geoMap (12)'!$A:$B,2,0)*VLOOKUP(A137,'[15]geoMap (12)'!$A:$C,3,0)</f>
        <v>#REF!</v>
      </c>
      <c r="O137" s="1" t="e">
        <f>N137/VLOOKUP(A137,'[16]geoMap (13)'!$A:$B,2,0)*VLOOKUP(A137,'[16]geoMap (13)'!$A:$C,3,0)</f>
        <v>#REF!</v>
      </c>
      <c r="P137" s="1" t="e">
        <f>O137/VLOOKUP(A137,'[17]geoMap (14)'!$A:$B,2,0)*VLOOKUP(A137,'[17]geoMap (14)'!$A:$C,3,0)</f>
        <v>#REF!</v>
      </c>
      <c r="Q137" s="1" t="e">
        <f>P137/VLOOKUP(A137,'[18]geoMap (15)'!$A:$B,2,0)*VLOOKUP(A137,'[18]geoMap (15)'!$A:$C,3,0)</f>
        <v>#REF!</v>
      </c>
      <c r="R137" s="1" t="e">
        <f>Q137/VLOOKUP(A137,'[19]geoMap (16)'!$A:$B,2,0)*VLOOKUP(A137,'[19]geoMap (16)'!$A:$C,3,0)</f>
        <v>#REF!</v>
      </c>
      <c r="S137" s="1" t="e">
        <f>R137/VLOOKUP(A137,'[20]geoMap (17)'!$A:$B,2,0)*VLOOKUP(A137,'[20]geoMap (17)'!$A:$C,3,0)</f>
        <v>#REF!</v>
      </c>
      <c r="T137" s="1" t="e">
        <f>S137/VLOOKUP(A137,'[21]geoMap (18)'!$A:$B,2,0)*VLOOKUP(A137,'[21]geoMap (18)'!$A:$C,3,0)</f>
        <v>#REF!</v>
      </c>
      <c r="U137" s="1" t="e">
        <f>T137/VLOOKUP(A137,'[22]geoMap (19)'!$A:$B,2,0)*VLOOKUP(A137,'[22]geoMap (19)'!$A:$C,3,0)</f>
        <v>#REF!</v>
      </c>
      <c r="V137" s="1" t="e">
        <f>U137/VLOOKUP(A137,'[23]geoMap (20)'!$A:$B,2,0)*VLOOKUP(A137,'[23]geoMap (20)'!$A:$C,3,0)</f>
        <v>#REF!</v>
      </c>
      <c r="W137" s="1" t="e">
        <f>V137/VLOOKUP(A137,'[24]geoMap (21)'!$A:$B,2,0)*VLOOKUP(A137,'[24]geoMap (21)'!$A:$C,3,0)</f>
        <v>#REF!</v>
      </c>
      <c r="X137" s="1" t="e">
        <f>W137/VLOOKUP(A137,'[25]geoMap (22)'!$A:$B,2,0)*VLOOKUP(A137,'[25]geoMap (22)'!$A:$C,3,0)</f>
        <v>#REF!</v>
      </c>
      <c r="Y137" s="1" t="e">
        <f>X137/VLOOKUP(A137,'[26]geoMap (23)'!$A:$B,2,0)*VLOOKUP(A137,'[26]geoMap (23)'!$A:$C,3,0)</f>
        <v>#REF!</v>
      </c>
      <c r="Z137" s="1" t="e">
        <f>Y137/VLOOKUP(A137,'[27]geoMap (24)'!$A:$B,2,0)*VLOOKUP(A137,'[27]geoMap (24)'!$A:$C,3,0)</f>
        <v>#REF!</v>
      </c>
      <c r="AA137" s="1" t="e">
        <f>Z137/VLOOKUP(A137,'[28]geoMap (25)'!$A:$B,2,0)*VLOOKUP(A137,'[28]geoMap (25)'!$A:$C,3,0)</f>
        <v>#REF!</v>
      </c>
      <c r="AB137" s="1" t="e">
        <f>AA137*VLOOKUP(A137,'[29]geoMap (26)'!$A:$B,2,0)*VLOOKUP(A137,'[29]geoMap (26)'!$A:$C,3,0)</f>
        <v>#REF!</v>
      </c>
      <c r="AC137" s="1" t="e">
        <f>AB137/VLOOKUP(A137,'[30]geoMap (27)'!$A:$B,2,0)*VLOOKUP(A137,'[30]geoMap (27)'!$A:$C,3,0)</f>
        <v>#REF!</v>
      </c>
      <c r="AD137" s="1" t="e">
        <f>AC137/VLOOKUP(A137,'[31]geoMap (28)'!$A:$B,2,0)*VLOOKUP(A137,'[31]geoMap (28)'!$A:$C,3,0)</f>
        <v>#REF!</v>
      </c>
      <c r="AE137" s="1" t="e">
        <f>AD137/VLOOKUP(A137,'[32]geoMap (29)'!$A:$B,2,0)*VLOOKUP(A137,'[32]geoMap (29)'!$A:$C,3,0)</f>
        <v>#REF!</v>
      </c>
      <c r="AF137" s="1" t="e">
        <f>AE137/VLOOKUP(A137,'[33]geoMap (30)'!$A:$B,2,0)*VLOOKUP(A137,'[33]geoMap (30)'!$A:$C,3,0)</f>
        <v>#REF!</v>
      </c>
      <c r="AG137" s="1" t="e">
        <f>AF137/VLOOKUP(A137,'[34]geoMap (31)'!$A:$B,2,0)*VLOOKUP(A137,'[34]geoMap (31)'!$A:$C,3,0)</f>
        <v>#REF!</v>
      </c>
      <c r="AH137" s="1" t="e">
        <f>AG137/VLOOKUP(A137,'[35]geoMap (32)'!$A:$B,2,0)*VLOOKUP(A137,'[35]geoMap (32)'!$A:$C,3,0)</f>
        <v>#REF!</v>
      </c>
      <c r="AI137" s="1" t="e">
        <f>AH137/VLOOKUP(A137,'[36]geoMap (33)'!$A:$B,2,0)*VLOOKUP(A137,'[36]geoMap (33)'!$A:$C,3,0)</f>
        <v>#REF!</v>
      </c>
      <c r="AJ137" s="1" t="e">
        <f>AI137/VLOOKUP(A137,'[37]geoMap (34)'!$A:$B,2,0)*VLOOKUP(A137,'[37]geoMap (34)'!$A:$C,3,0)</f>
        <v>#REF!</v>
      </c>
      <c r="AK137" s="1" t="e">
        <f>AJ137/VLOOKUP(A137,'[38]geoMap (35)'!$A:$B,2,0)*VLOOKUP(A137,'[38]geoMap (35)'!$A:$C,3,0)</f>
        <v>#REF!</v>
      </c>
      <c r="AL137" s="1" t="e">
        <f>AK137/VLOOKUP(A137,'[39]geoMap (36)'!$A:$B,2,0)*VLOOKUP(A137,'[39]geoMap (36)'!$A:$C,3,0)</f>
        <v>#REF!</v>
      </c>
      <c r="AM137" s="1" t="e">
        <f>AL137/VLOOKUP(A137,'[40]geoMap (37)'!$A:$B,2,0)*VLOOKUP(A137,'[40]geoMap (37)'!$A:$C,3,0)</f>
        <v>#REF!</v>
      </c>
      <c r="AN137" s="1" t="e">
        <f>AM137/VLOOKUP(A137,'[41]geoMap (38)'!$A:$B,2,0)*VLOOKUP(A137,'[41]geoMap (38)'!$A:$C,3,0)</f>
        <v>#REF!</v>
      </c>
      <c r="AO137" s="1" t="e">
        <f>AN137/VLOOKUP(A137,'[42]geoMap (39)'!$A:$B,2,0)*VLOOKUP(A137,'[42]geoMap (39)'!$A:$C,3,0)</f>
        <v>#REF!</v>
      </c>
      <c r="AP137" s="1" t="e">
        <f>AO137/VLOOKUP(A137,'[43]geoMap (40)'!$A:$B,2,0)*VLOOKUP(A137,'[43]geoMap (40)'!$A:$C,3,0)</f>
        <v>#REF!</v>
      </c>
      <c r="AQ137" s="1" t="e">
        <f>AP137/VLOOKUP(A137,'[44]geoMap (41)'!$A:$B,2,0)*VLOOKUP(A137,'[44]geoMap (41)'!$A:$C,3,0)</f>
        <v>#REF!</v>
      </c>
      <c r="AR137" s="1" t="e">
        <f>AQ137/VLOOKUP(A137,'[45]geoMap (42)'!$A:$B,2,0)*VLOOKUP(A137,'[45]geoMap (42)'!$A:$C,3,0)</f>
        <v>#REF!</v>
      </c>
      <c r="AS137" s="1" t="e">
        <f>AR137/VLOOKUP(A137,'[46]geoMap (43)'!$A:$B,2,0)*VLOOKUP(A137,'[46]geoMap (43)'!$A:$C,3,0)</f>
        <v>#REF!</v>
      </c>
      <c r="AT137" s="1" t="e">
        <f>AS137/VLOOKUP(A137,'[47]geoMap (44)'!$A:$B,2,0)*VLOOKUP(A137,'[47]geoMap (44)'!$A:$C,3,0)</f>
        <v>#REF!</v>
      </c>
      <c r="AU137" s="1" t="e">
        <f>AT137/VLOOKUP(A137,'[48]geoMap (45)'!$A:$B,2,0)*VLOOKUP(A137,'[48]geoMap (45)'!$A:$C,3,0)</f>
        <v>#REF!</v>
      </c>
      <c r="AV137" s="1" t="e">
        <f>AU137/VLOOKUP(A137,'[49]geoMap (46)'!$A:$B,2,0)*VLOOKUP(A137,'[49]geoMap (46)'!$A:$C,3,0)</f>
        <v>#REF!</v>
      </c>
      <c r="AW137" s="1" t="e">
        <f>AV137/VLOOKUP(A137,'[50]geoMap (47)'!$A:$B,2,0)*VLOOKUP(A137,'[50]geoMap (47)'!$A:$C,3,0)</f>
        <v>#REF!</v>
      </c>
      <c r="AX137" s="4" t="e">
        <f>AW137/VLOOKUP(A137,'[51]geoMap (48)'!$A:$B,2,0)*VLOOKUP(A137,'[51]geoMap (48)'!$A:$C,3,0)</f>
        <v>#REF!</v>
      </c>
      <c r="AY137" s="1" t="e">
        <f>AX137/VLOOKUP(A137,'[52]geoMap (49)'!$A:$B,2,0)*VLOOKUP(A137,'[52]geoMap (49)'!$A:$C,3,0)</f>
        <v>#REF!</v>
      </c>
      <c r="AZ137" s="4" t="e">
        <f>AY137/VLOOKUP(A137,'[53]geoMap (50)'!$A:$B,2,0)*VLOOKUP(A137,'[53]geoMap (50)'!$A:$C,3,0)</f>
        <v>#REF!</v>
      </c>
      <c r="BA137" s="1" t="e">
        <f>AZ137/VLOOKUP(A137,'[54]geoMap (51)'!$A:$B,2,0)*VLOOKUP(A137,'[54]geoMap (51)'!$A:$C,3,0)</f>
        <v>#REF!</v>
      </c>
      <c r="BB137" s="4" t="e">
        <f>BA137/VLOOKUP(A137,'[55]geoMap (52)'!$A:$B,2,0)*VLOOKUP(A137,'[55]geoMap (52)'!$A:$C,3,0)</f>
        <v>#REF!</v>
      </c>
      <c r="BC137" s="1" t="e">
        <f>BB137/VLOOKUP(A137,'[56]geoMap (53)'!$A:$B,2,0)*VLOOKUP(A137,'[56]geoMap (53)'!$A:$C,3,0)</f>
        <v>#REF!</v>
      </c>
      <c r="BD137" s="4" t="e">
        <f>BC137/VLOOKUP(A137,'[57]geoMap (54)'!$A:$B,2,0)*VLOOKUP(A137,'[57]geoMap (54)'!$A:$C,3,0)</f>
        <v>#REF!</v>
      </c>
      <c r="BE137" s="1" t="e">
        <f>BD137/VLOOKUP(A137,'[58]geoMap (55)'!$A:$B,2,0)*VLOOKUP(A137,'[58]geoMap (55)'!$A:$C,3,0)</f>
        <v>#REF!</v>
      </c>
      <c r="BF137" s="4" t="e">
        <f>BE137/VLOOKUP(A137,'[59]geoMap (56)'!$A:$B,2,0)*VLOOKUP(A137,'[59]geoMap (56)'!$A:$C,3,0)</f>
        <v>#REF!</v>
      </c>
      <c r="BG137" s="1" t="e">
        <f>BF137/VLOOKUP(A137,'[60]geoMap (57)'!$A:$B,2,0)*VLOOKUP(A137,'[60]geoMap (57)'!$A:$C,3,0)</f>
        <v>#REF!</v>
      </c>
      <c r="BH137" s="4" t="e">
        <f>BG137/VLOOKUP(A137,'[61]geoMap (58)'!$A:$B,2,0)*VLOOKUP(A137,'[61]geoMap (58)'!$A:$C,3,0)</f>
        <v>#REF!</v>
      </c>
      <c r="BI137" s="1" t="e">
        <f>BH137/VLOOKUP(A137,'[62]geoMap (59)'!$A:$B,2,0)*VLOOKUP(A137,'[62]geoMap (59)'!$A:$C,3,0)</f>
        <v>#REF!</v>
      </c>
      <c r="BJ137" s="4" t="e">
        <f>BI137/VLOOKUP(A137,'[63]geoMap (60)'!$A:$B,2,0)*VLOOKUP(A137,'[63]geoMap (60)'!$A:$C,3,0)</f>
        <v>#REF!</v>
      </c>
      <c r="BK137" s="1" t="e">
        <f>BJ137/VLOOKUP(A137,'[64]geoMap (61)'!$A:$B,2,0)*VLOOKUP(A137,'[64]geoMap (61)'!$A:$C,3,0)</f>
        <v>#REF!</v>
      </c>
      <c r="BL137" s="4" t="e">
        <f>BK137/VLOOKUP(A137,'[65]geoMap (62)'!$A:$B,2,0)*VLOOKUP(A137,'[65]geoMap (62)'!$A:$C,3,0)</f>
        <v>#REF!</v>
      </c>
      <c r="BM137" s="1" t="e">
        <f>BL137/VLOOKUP(A137,'[66]geoMap (63)'!$A:$B,2,0)*VLOOKUP(A137,'[66]geoMap (63)'!$A:$C,3,0)</f>
        <v>#REF!</v>
      </c>
      <c r="BN137" s="4" t="e">
        <f>BM137/VLOOKUP(A137,'[67]geoMap (64)'!$A:$B,2,0)*VLOOKUP(A137,'[67]geoMap (64)'!$A:$C,3,0)</f>
        <v>#REF!</v>
      </c>
      <c r="BO137" s="1" t="e">
        <f>BN137/VLOOKUP(A137,'[68]geoMap (65)'!$A:$B,2,0)*VLOOKUP(A137,'[68]geoMap (65)'!$A:$C,3,0)</f>
        <v>#REF!</v>
      </c>
      <c r="BP137" s="4" t="e">
        <f>BO137/VLOOKUP(A137,'[69]geoMap (66)'!$A:$B,2,0)*VLOOKUP(A137,'[69]geoMap (66)'!$A:$C,3,0)</f>
        <v>#REF!</v>
      </c>
    </row>
    <row r="138" spans="1:68" x14ac:dyDescent="0.2">
      <c r="A138" s="1" t="s">
        <v>105</v>
      </c>
      <c r="B138" s="1" t="e">
        <f>VLOOKUP(A138,[3]geoMap!$A:$B,2,0)*Notes!$C$6</f>
        <v>#REF!</v>
      </c>
      <c r="C138" s="1" t="e">
        <f>B138/VLOOKUP(A138,'[4]geoMap (1)'!$A:$B,2,0)*VLOOKUP(A138,'[4]geoMap (1)'!$A:$C,3,0)</f>
        <v>#REF!</v>
      </c>
      <c r="D138" s="1" t="e">
        <f>C138/VLOOKUP(A138,'[5]geoMap (2)'!$A:$B,2,0)*VLOOKUP(A138,'[5]geoMap (2)'!$A:$C,3,0)</f>
        <v>#REF!</v>
      </c>
      <c r="E138" s="1" t="e">
        <f>D138/VLOOKUP(A138,'[6]geoMap (3)'!$A:$B,2,0)*VLOOKUP(A138,'[6]geoMap (3)'!$A:$C,3,0)</f>
        <v>#REF!</v>
      </c>
      <c r="F138" s="1" t="e">
        <f>E138/VLOOKUP(A138,'[7]geoMap (4)'!$A:$B,2,0)*VLOOKUP(A138,'[7]geoMap (4)'!$A:$C,3,0)</f>
        <v>#REF!</v>
      </c>
      <c r="G138" s="1" t="e">
        <f>F138/VLOOKUP(A138,'[8]geoMap (5)'!$A:$B,2,0)*VLOOKUP(A138,'[8]geoMap (5)'!$A:$C,3,0)</f>
        <v>#REF!</v>
      </c>
      <c r="H138" s="1" t="e">
        <f>G138/VLOOKUP(A138,'[9]geoMap (6)'!$A:$B,2,0)*VLOOKUP(A138,'[9]geoMap (6)'!$A:$C,3,0)</f>
        <v>#REF!</v>
      </c>
      <c r="I138" s="1" t="e">
        <f>H138/VLOOKUP(A138,'[10]geoMap (7)'!$A:$B,2,0)*VLOOKUP(A138,'[10]geoMap (7)'!$A:$C,3,0)</f>
        <v>#REF!</v>
      </c>
      <c r="J138" s="1" t="e">
        <f>I138/VLOOKUP(A138,'[11]geoMap (8)'!$A:$B,2,0)*VLOOKUP(A138,'[11]geoMap (8)'!$A:$C,3,0)</f>
        <v>#REF!</v>
      </c>
      <c r="K138" s="1" t="e">
        <f>J138/VLOOKUP(A138,'[12]geoMap (9)'!$A:$B,2,0)*VLOOKUP(A138,'[12]geoMap (9)'!$A:$C,3,0)</f>
        <v>#REF!</v>
      </c>
      <c r="L138" s="1" t="e">
        <f>K138/VLOOKUP(A138,'[13]geoMap (10)'!$A:$B,2,0)*VLOOKUP(A138,'[13]geoMap (10)'!$A:$C,3,0)</f>
        <v>#REF!</v>
      </c>
      <c r="M138" s="1" t="e">
        <f>L138/VLOOKUP(A138,'[14]geoMap (11)'!$A:$B,2,0)*VLOOKUP(A138,'[14]geoMap (11)'!$A:$C,3,0)</f>
        <v>#REF!</v>
      </c>
      <c r="N138" s="1" t="e">
        <f>M138/VLOOKUP(A138,'[15]geoMap (12)'!$A:$B,2,0)*VLOOKUP(A138,'[15]geoMap (12)'!$A:$C,3,0)</f>
        <v>#REF!</v>
      </c>
      <c r="O138" s="1" t="e">
        <f>N138/VLOOKUP(A138,'[16]geoMap (13)'!$A:$B,2,0)*VLOOKUP(A138,'[16]geoMap (13)'!$A:$C,3,0)</f>
        <v>#REF!</v>
      </c>
      <c r="P138" s="1" t="e">
        <f>O138/VLOOKUP(A138,'[17]geoMap (14)'!$A:$B,2,0)*VLOOKUP(A138,'[17]geoMap (14)'!$A:$C,3,0)</f>
        <v>#REF!</v>
      </c>
      <c r="Q138" s="1" t="e">
        <f>P138/VLOOKUP(A138,'[18]geoMap (15)'!$A:$B,2,0)*VLOOKUP(A138,'[18]geoMap (15)'!$A:$C,3,0)</f>
        <v>#REF!</v>
      </c>
      <c r="R138" s="1" t="e">
        <f>Q138/VLOOKUP(A138,'[19]geoMap (16)'!$A:$B,2,0)*VLOOKUP(A138,'[19]geoMap (16)'!$A:$C,3,0)</f>
        <v>#REF!</v>
      </c>
      <c r="S138" s="1" t="e">
        <f>R138/VLOOKUP(A138,'[20]geoMap (17)'!$A:$B,2,0)*VLOOKUP(A138,'[20]geoMap (17)'!$A:$C,3,0)</f>
        <v>#REF!</v>
      </c>
      <c r="T138" s="1" t="e">
        <f>S138/VLOOKUP(A138,'[21]geoMap (18)'!$A:$B,2,0)*VLOOKUP(A138,'[21]geoMap (18)'!$A:$C,3,0)</f>
        <v>#REF!</v>
      </c>
      <c r="U138" s="1" t="e">
        <f>T138/VLOOKUP(A138,'[22]geoMap (19)'!$A:$B,2,0)*VLOOKUP(A138,'[22]geoMap (19)'!$A:$C,3,0)</f>
        <v>#REF!</v>
      </c>
      <c r="V138" s="1" t="e">
        <f>U138/VLOOKUP(A138,'[23]geoMap (20)'!$A:$B,2,0)*VLOOKUP(A138,'[23]geoMap (20)'!$A:$C,3,0)</f>
        <v>#REF!</v>
      </c>
      <c r="W138" s="1" t="e">
        <f>V138/VLOOKUP(A138,'[24]geoMap (21)'!$A:$B,2,0)*VLOOKUP(A138,'[24]geoMap (21)'!$A:$C,3,0)</f>
        <v>#REF!</v>
      </c>
      <c r="X138" s="1" t="e">
        <f>W138/VLOOKUP(A138,'[25]geoMap (22)'!$A:$B,2,0)*VLOOKUP(A138,'[25]geoMap (22)'!$A:$C,3,0)</f>
        <v>#REF!</v>
      </c>
      <c r="Y138" s="1" t="e">
        <f>X138/VLOOKUP(A138,'[26]geoMap (23)'!$A:$B,2,0)*VLOOKUP(A138,'[26]geoMap (23)'!$A:$C,3,0)</f>
        <v>#REF!</v>
      </c>
      <c r="Z138" s="1" t="e">
        <f>Y138/VLOOKUP(A138,'[27]geoMap (24)'!$A:$B,2,0)*VLOOKUP(A138,'[27]geoMap (24)'!$A:$C,3,0)</f>
        <v>#REF!</v>
      </c>
      <c r="AA138" s="1" t="e">
        <f>Z138/VLOOKUP(A138,'[28]geoMap (25)'!$A:$B,2,0)*VLOOKUP(A138,'[28]geoMap (25)'!$A:$C,3,0)</f>
        <v>#REF!</v>
      </c>
      <c r="AB138" s="1" t="e">
        <f>AA138*VLOOKUP(A138,'[29]geoMap (26)'!$A:$B,2,0)*VLOOKUP(A138,'[29]geoMap (26)'!$A:$C,3,0)</f>
        <v>#REF!</v>
      </c>
      <c r="AC138" s="1" t="e">
        <f>AB138/VLOOKUP(A138,'[30]geoMap (27)'!$A:$B,2,0)*VLOOKUP(A138,'[30]geoMap (27)'!$A:$C,3,0)</f>
        <v>#REF!</v>
      </c>
      <c r="AD138" s="1" t="e">
        <f>AC138/VLOOKUP(A138,'[31]geoMap (28)'!$A:$B,2,0)*VLOOKUP(A138,'[31]geoMap (28)'!$A:$C,3,0)</f>
        <v>#REF!</v>
      </c>
      <c r="AE138" s="1" t="e">
        <f>AD138/VLOOKUP(A138,'[32]geoMap (29)'!$A:$B,2,0)*VLOOKUP(A138,'[32]geoMap (29)'!$A:$C,3,0)</f>
        <v>#REF!</v>
      </c>
      <c r="AF138" s="1" t="e">
        <f>AE138/VLOOKUP(A138,'[33]geoMap (30)'!$A:$B,2,0)*VLOOKUP(A138,'[33]geoMap (30)'!$A:$C,3,0)</f>
        <v>#REF!</v>
      </c>
      <c r="AG138" s="1" t="e">
        <f>AF138/VLOOKUP(A138,'[34]geoMap (31)'!$A:$B,2,0)*VLOOKUP(A138,'[34]geoMap (31)'!$A:$C,3,0)</f>
        <v>#REF!</v>
      </c>
      <c r="AH138" s="1" t="e">
        <f>AG138/VLOOKUP(A138,'[35]geoMap (32)'!$A:$B,2,0)*VLOOKUP(A138,'[35]geoMap (32)'!$A:$C,3,0)</f>
        <v>#REF!</v>
      </c>
      <c r="AI138" s="1" t="e">
        <f>AH138/VLOOKUP(A138,'[36]geoMap (33)'!$A:$B,2,0)*VLOOKUP(A138,'[36]geoMap (33)'!$A:$C,3,0)</f>
        <v>#REF!</v>
      </c>
      <c r="AJ138" s="1" t="e">
        <f>AI138/VLOOKUP(A138,'[37]geoMap (34)'!$A:$B,2,0)*VLOOKUP(A138,'[37]geoMap (34)'!$A:$C,3,0)</f>
        <v>#REF!</v>
      </c>
      <c r="AK138" s="1" t="e">
        <f>AJ138/VLOOKUP(A138,'[38]geoMap (35)'!$A:$B,2,0)*VLOOKUP(A138,'[38]geoMap (35)'!$A:$C,3,0)</f>
        <v>#REF!</v>
      </c>
      <c r="AL138" s="1" t="e">
        <f>AK138/VLOOKUP(A138,'[39]geoMap (36)'!$A:$B,2,0)*VLOOKUP(A138,'[39]geoMap (36)'!$A:$C,3,0)</f>
        <v>#REF!</v>
      </c>
      <c r="AM138" s="1" t="e">
        <f>AL138/VLOOKUP(A138,'[40]geoMap (37)'!$A:$B,2,0)*VLOOKUP(A138,'[40]geoMap (37)'!$A:$C,3,0)</f>
        <v>#REF!</v>
      </c>
      <c r="AN138" s="1" t="e">
        <f>AM138/VLOOKUP(A138,'[41]geoMap (38)'!$A:$B,2,0)*VLOOKUP(A138,'[41]geoMap (38)'!$A:$C,3,0)</f>
        <v>#REF!</v>
      </c>
      <c r="AO138" s="1" t="e">
        <f>AN138/VLOOKUP(A138,'[42]geoMap (39)'!$A:$B,2,0)*VLOOKUP(A138,'[42]geoMap (39)'!$A:$C,3,0)</f>
        <v>#REF!</v>
      </c>
      <c r="AP138" s="1" t="e">
        <f>AO138/VLOOKUP(A138,'[43]geoMap (40)'!$A:$B,2,0)*VLOOKUP(A138,'[43]geoMap (40)'!$A:$C,3,0)</f>
        <v>#REF!</v>
      </c>
      <c r="AQ138" s="1" t="e">
        <f>AP138/VLOOKUP(A138,'[44]geoMap (41)'!$A:$B,2,0)*VLOOKUP(A138,'[44]geoMap (41)'!$A:$C,3,0)</f>
        <v>#REF!</v>
      </c>
      <c r="AR138" s="1" t="e">
        <f>AQ138/VLOOKUP(A138,'[45]geoMap (42)'!$A:$B,2,0)*VLOOKUP(A138,'[45]geoMap (42)'!$A:$C,3,0)</f>
        <v>#REF!</v>
      </c>
      <c r="AS138" s="1" t="e">
        <f>AR138/VLOOKUP(A138,'[46]geoMap (43)'!$A:$B,2,0)*VLOOKUP(A138,'[46]geoMap (43)'!$A:$C,3,0)</f>
        <v>#REF!</v>
      </c>
      <c r="AT138" s="1" t="e">
        <f>AS138/VLOOKUP(A138,'[47]geoMap (44)'!$A:$B,2,0)*VLOOKUP(A138,'[47]geoMap (44)'!$A:$C,3,0)</f>
        <v>#REF!</v>
      </c>
      <c r="AU138" s="1" t="e">
        <f>AT138/VLOOKUP(A138,'[48]geoMap (45)'!$A:$B,2,0)*VLOOKUP(A138,'[48]geoMap (45)'!$A:$C,3,0)</f>
        <v>#REF!</v>
      </c>
      <c r="AV138" s="1" t="e">
        <f>AU138/VLOOKUP(A138,'[49]geoMap (46)'!$A:$B,2,0)*VLOOKUP(A138,'[49]geoMap (46)'!$A:$C,3,0)</f>
        <v>#REF!</v>
      </c>
      <c r="AW138" s="1" t="e">
        <f>AV138/VLOOKUP(A138,'[50]geoMap (47)'!$A:$B,2,0)*VLOOKUP(A138,'[50]geoMap (47)'!$A:$C,3,0)</f>
        <v>#REF!</v>
      </c>
      <c r="AX138" s="4" t="e">
        <f>AW138/VLOOKUP(A138,'[51]geoMap (48)'!$A:$B,2,0)*VLOOKUP(A138,'[51]geoMap (48)'!$A:$C,3,0)</f>
        <v>#REF!</v>
      </c>
      <c r="AY138" s="1" t="e">
        <f>AX138/VLOOKUP(A138,'[52]geoMap (49)'!$A:$B,2,0)*VLOOKUP(A138,'[52]geoMap (49)'!$A:$C,3,0)</f>
        <v>#REF!</v>
      </c>
      <c r="AZ138" s="4" t="e">
        <f>AY138/VLOOKUP(A138,'[53]geoMap (50)'!$A:$B,2,0)*VLOOKUP(A138,'[53]geoMap (50)'!$A:$C,3,0)</f>
        <v>#REF!</v>
      </c>
      <c r="BA138" s="1" t="e">
        <f>AZ138/VLOOKUP(A138,'[54]geoMap (51)'!$A:$B,2,0)*VLOOKUP(A138,'[54]geoMap (51)'!$A:$C,3,0)</f>
        <v>#REF!</v>
      </c>
      <c r="BB138" s="4" t="e">
        <f>BA138/VLOOKUP(A138,'[55]geoMap (52)'!$A:$B,2,0)*VLOOKUP(A138,'[55]geoMap (52)'!$A:$C,3,0)</f>
        <v>#REF!</v>
      </c>
      <c r="BC138" s="1" t="e">
        <f>BB138/VLOOKUP(A138,'[56]geoMap (53)'!$A:$B,2,0)*VLOOKUP(A138,'[56]geoMap (53)'!$A:$C,3,0)</f>
        <v>#REF!</v>
      </c>
      <c r="BD138" s="4" t="e">
        <f>BC138/VLOOKUP(A138,'[57]geoMap (54)'!$A:$B,2,0)*VLOOKUP(A138,'[57]geoMap (54)'!$A:$C,3,0)</f>
        <v>#REF!</v>
      </c>
      <c r="BE138" s="1" t="e">
        <f>BD138/VLOOKUP(A138,'[58]geoMap (55)'!$A:$B,2,0)*VLOOKUP(A138,'[58]geoMap (55)'!$A:$C,3,0)</f>
        <v>#REF!</v>
      </c>
      <c r="BF138" s="4" t="e">
        <f>BE138/VLOOKUP(A138,'[59]geoMap (56)'!$A:$B,2,0)*VLOOKUP(A138,'[59]geoMap (56)'!$A:$C,3,0)</f>
        <v>#REF!</v>
      </c>
      <c r="BG138" s="1" t="e">
        <f>BF138/VLOOKUP(A138,'[60]geoMap (57)'!$A:$B,2,0)*VLOOKUP(A138,'[60]geoMap (57)'!$A:$C,3,0)</f>
        <v>#REF!</v>
      </c>
      <c r="BH138" s="4" t="e">
        <f>BG138/VLOOKUP(A138,'[61]geoMap (58)'!$A:$B,2,0)*VLOOKUP(A138,'[61]geoMap (58)'!$A:$C,3,0)</f>
        <v>#REF!</v>
      </c>
      <c r="BI138" s="1" t="e">
        <f>BH138/VLOOKUP(A138,'[62]geoMap (59)'!$A:$B,2,0)*VLOOKUP(A138,'[62]geoMap (59)'!$A:$C,3,0)</f>
        <v>#REF!</v>
      </c>
      <c r="BJ138" s="4" t="e">
        <f>BI138/VLOOKUP(A138,'[63]geoMap (60)'!$A:$B,2,0)*VLOOKUP(A138,'[63]geoMap (60)'!$A:$C,3,0)</f>
        <v>#REF!</v>
      </c>
      <c r="BK138" s="1" t="e">
        <f>BJ138/VLOOKUP(A138,'[64]geoMap (61)'!$A:$B,2,0)*VLOOKUP(A138,'[64]geoMap (61)'!$A:$C,3,0)</f>
        <v>#REF!</v>
      </c>
      <c r="BL138" s="4" t="e">
        <f>BK138/VLOOKUP(A138,'[65]geoMap (62)'!$A:$B,2,0)*VLOOKUP(A138,'[65]geoMap (62)'!$A:$C,3,0)</f>
        <v>#REF!</v>
      </c>
      <c r="BM138" s="1" t="e">
        <f>BL138/VLOOKUP(A138,'[66]geoMap (63)'!$A:$B,2,0)*VLOOKUP(A138,'[66]geoMap (63)'!$A:$C,3,0)</f>
        <v>#REF!</v>
      </c>
      <c r="BN138" s="4" t="e">
        <f>BM138/VLOOKUP(A138,'[67]geoMap (64)'!$A:$B,2,0)*VLOOKUP(A138,'[67]geoMap (64)'!$A:$C,3,0)</f>
        <v>#REF!</v>
      </c>
      <c r="BO138" s="1" t="e">
        <f>BN138/VLOOKUP(A138,'[68]geoMap (65)'!$A:$B,2,0)*VLOOKUP(A138,'[68]geoMap (65)'!$A:$C,3,0)</f>
        <v>#REF!</v>
      </c>
      <c r="BP138" s="4" t="e">
        <f>BO138/VLOOKUP(A138,'[69]geoMap (66)'!$A:$B,2,0)*VLOOKUP(A138,'[69]geoMap (66)'!$A:$C,3,0)</f>
        <v>#REF!</v>
      </c>
    </row>
    <row r="139" spans="1:68" x14ac:dyDescent="0.2">
      <c r="A139" s="1" t="s">
        <v>107</v>
      </c>
      <c r="B139" s="1" t="e">
        <f>VLOOKUP(A139,[3]geoMap!$A:$B,2,0)*Notes!$C$6</f>
        <v>#REF!</v>
      </c>
      <c r="C139" s="1" t="e">
        <f>B139/VLOOKUP(A139,'[4]geoMap (1)'!$A:$B,2,0)*VLOOKUP(A139,'[4]geoMap (1)'!$A:$C,3,0)</f>
        <v>#REF!</v>
      </c>
      <c r="D139" s="1" t="e">
        <f>C139/VLOOKUP(A139,'[5]geoMap (2)'!$A:$B,2,0)*VLOOKUP(A139,'[5]geoMap (2)'!$A:$C,3,0)</f>
        <v>#REF!</v>
      </c>
      <c r="E139" s="1" t="e">
        <f>D139/VLOOKUP(A139,'[6]geoMap (3)'!$A:$B,2,0)*VLOOKUP(A139,'[6]geoMap (3)'!$A:$C,3,0)</f>
        <v>#REF!</v>
      </c>
      <c r="F139" s="1" t="e">
        <f>E139/VLOOKUP(A139,'[7]geoMap (4)'!$A:$B,2,0)*VLOOKUP(A139,'[7]geoMap (4)'!$A:$C,3,0)</f>
        <v>#REF!</v>
      </c>
      <c r="G139" s="1" t="e">
        <f>F139/VLOOKUP(A139,'[8]geoMap (5)'!$A:$B,2,0)*VLOOKUP(A139,'[8]geoMap (5)'!$A:$C,3,0)</f>
        <v>#REF!</v>
      </c>
      <c r="H139" s="1" t="e">
        <f>G139/VLOOKUP(A139,'[9]geoMap (6)'!$A:$B,2,0)*VLOOKUP(A139,'[9]geoMap (6)'!$A:$C,3,0)</f>
        <v>#REF!</v>
      </c>
      <c r="I139" s="1" t="e">
        <f>H139/VLOOKUP(A139,'[10]geoMap (7)'!$A:$B,2,0)*VLOOKUP(A139,'[10]geoMap (7)'!$A:$C,3,0)</f>
        <v>#REF!</v>
      </c>
      <c r="J139" s="1" t="e">
        <f>I139/VLOOKUP(A139,'[11]geoMap (8)'!$A:$B,2,0)*VLOOKUP(A139,'[11]geoMap (8)'!$A:$C,3,0)</f>
        <v>#REF!</v>
      </c>
      <c r="K139" s="1" t="e">
        <f>J139/VLOOKUP(A139,'[12]geoMap (9)'!$A:$B,2,0)*VLOOKUP(A139,'[12]geoMap (9)'!$A:$C,3,0)</f>
        <v>#REF!</v>
      </c>
      <c r="L139" s="1" t="e">
        <f>K139/VLOOKUP(A139,'[13]geoMap (10)'!$A:$B,2,0)*VLOOKUP(A139,'[13]geoMap (10)'!$A:$C,3,0)</f>
        <v>#REF!</v>
      </c>
      <c r="M139" s="1" t="e">
        <f>L139/VLOOKUP(A139,'[14]geoMap (11)'!$A:$B,2,0)*VLOOKUP(A139,'[14]geoMap (11)'!$A:$C,3,0)</f>
        <v>#REF!</v>
      </c>
      <c r="N139" s="1" t="e">
        <f>M139/VLOOKUP(A139,'[15]geoMap (12)'!$A:$B,2,0)*VLOOKUP(A139,'[15]geoMap (12)'!$A:$C,3,0)</f>
        <v>#REF!</v>
      </c>
      <c r="O139" s="1" t="e">
        <f>N139/VLOOKUP(A139,'[16]geoMap (13)'!$A:$B,2,0)*VLOOKUP(A139,'[16]geoMap (13)'!$A:$C,3,0)</f>
        <v>#REF!</v>
      </c>
      <c r="P139" s="1" t="e">
        <f>O139/VLOOKUP(A139,'[17]geoMap (14)'!$A:$B,2,0)*VLOOKUP(A139,'[17]geoMap (14)'!$A:$C,3,0)</f>
        <v>#REF!</v>
      </c>
      <c r="Q139" s="1" t="e">
        <f>P139/VLOOKUP(A139,'[18]geoMap (15)'!$A:$B,2,0)*VLOOKUP(A139,'[18]geoMap (15)'!$A:$C,3,0)</f>
        <v>#REF!</v>
      </c>
      <c r="R139" s="1" t="e">
        <f>Q139/VLOOKUP(A139,'[19]geoMap (16)'!$A:$B,2,0)*VLOOKUP(A139,'[19]geoMap (16)'!$A:$C,3,0)</f>
        <v>#REF!</v>
      </c>
      <c r="S139" s="1" t="e">
        <f>R139/VLOOKUP(A139,'[20]geoMap (17)'!$A:$B,2,0)*VLOOKUP(A139,'[20]geoMap (17)'!$A:$C,3,0)</f>
        <v>#REF!</v>
      </c>
      <c r="T139" s="1" t="e">
        <f>S139/VLOOKUP(A139,'[21]geoMap (18)'!$A:$B,2,0)*VLOOKUP(A139,'[21]geoMap (18)'!$A:$C,3,0)</f>
        <v>#REF!</v>
      </c>
      <c r="U139" s="1" t="e">
        <f>T139/VLOOKUP(A139,'[22]geoMap (19)'!$A:$B,2,0)*VLOOKUP(A139,'[22]geoMap (19)'!$A:$C,3,0)</f>
        <v>#REF!</v>
      </c>
      <c r="V139" s="1" t="e">
        <f>U139/VLOOKUP(A139,'[23]geoMap (20)'!$A:$B,2,0)*VLOOKUP(A139,'[23]geoMap (20)'!$A:$C,3,0)</f>
        <v>#REF!</v>
      </c>
      <c r="W139" s="1" t="e">
        <f>V139/VLOOKUP(A139,'[24]geoMap (21)'!$A:$B,2,0)*VLOOKUP(A139,'[24]geoMap (21)'!$A:$C,3,0)</f>
        <v>#REF!</v>
      </c>
      <c r="X139" s="1" t="e">
        <f>W139/VLOOKUP(A139,'[25]geoMap (22)'!$A:$B,2,0)*VLOOKUP(A139,'[25]geoMap (22)'!$A:$C,3,0)</f>
        <v>#REF!</v>
      </c>
      <c r="Y139" s="1" t="e">
        <f>X139/VLOOKUP(A139,'[26]geoMap (23)'!$A:$B,2,0)*VLOOKUP(A139,'[26]geoMap (23)'!$A:$C,3,0)</f>
        <v>#REF!</v>
      </c>
      <c r="Z139" s="1" t="e">
        <f>Y139/VLOOKUP(A139,'[27]geoMap (24)'!$A:$B,2,0)*VLOOKUP(A139,'[27]geoMap (24)'!$A:$C,3,0)</f>
        <v>#REF!</v>
      </c>
      <c r="AA139" s="1" t="e">
        <f>Z139/VLOOKUP(A139,'[28]geoMap (25)'!$A:$B,2,0)*VLOOKUP(A139,'[28]geoMap (25)'!$A:$C,3,0)</f>
        <v>#REF!</v>
      </c>
      <c r="AB139" s="1" t="e">
        <f>AA139*VLOOKUP(A139,'[29]geoMap (26)'!$A:$B,2,0)*VLOOKUP(A139,'[29]geoMap (26)'!$A:$C,3,0)</f>
        <v>#REF!</v>
      </c>
      <c r="AC139" s="1" t="e">
        <f>AB139/VLOOKUP(A139,'[30]geoMap (27)'!$A:$B,2,0)*VLOOKUP(A139,'[30]geoMap (27)'!$A:$C,3,0)</f>
        <v>#REF!</v>
      </c>
      <c r="AD139" s="1" t="e">
        <f>AC139/VLOOKUP(A139,'[31]geoMap (28)'!$A:$B,2,0)*VLOOKUP(A139,'[31]geoMap (28)'!$A:$C,3,0)</f>
        <v>#REF!</v>
      </c>
      <c r="AE139" s="1" t="e">
        <f>AD139/VLOOKUP(A139,'[32]geoMap (29)'!$A:$B,2,0)*VLOOKUP(A139,'[32]geoMap (29)'!$A:$C,3,0)</f>
        <v>#REF!</v>
      </c>
      <c r="AF139" s="1" t="e">
        <f>AE139/VLOOKUP(A139,'[33]geoMap (30)'!$A:$B,2,0)*VLOOKUP(A139,'[33]geoMap (30)'!$A:$C,3,0)</f>
        <v>#REF!</v>
      </c>
      <c r="AG139" s="1" t="e">
        <f>AF139/VLOOKUP(A139,'[34]geoMap (31)'!$A:$B,2,0)*VLOOKUP(A139,'[34]geoMap (31)'!$A:$C,3,0)</f>
        <v>#REF!</v>
      </c>
      <c r="AH139" s="1" t="e">
        <f>AG139/VLOOKUP(A139,'[35]geoMap (32)'!$A:$B,2,0)*VLOOKUP(A139,'[35]geoMap (32)'!$A:$C,3,0)</f>
        <v>#REF!</v>
      </c>
      <c r="AI139" s="1" t="e">
        <f>AH139/VLOOKUP(A139,'[36]geoMap (33)'!$A:$B,2,0)*VLOOKUP(A139,'[36]geoMap (33)'!$A:$C,3,0)</f>
        <v>#REF!</v>
      </c>
      <c r="AJ139" s="1" t="e">
        <f>AI139/VLOOKUP(A139,'[37]geoMap (34)'!$A:$B,2,0)*VLOOKUP(A139,'[37]geoMap (34)'!$A:$C,3,0)</f>
        <v>#REF!</v>
      </c>
      <c r="AK139" s="1" t="e">
        <f>AJ139/VLOOKUP(A139,'[38]geoMap (35)'!$A:$B,2,0)*VLOOKUP(A139,'[38]geoMap (35)'!$A:$C,3,0)</f>
        <v>#REF!</v>
      </c>
      <c r="AL139" s="1" t="e">
        <f>AK139/VLOOKUP(A139,'[39]geoMap (36)'!$A:$B,2,0)*VLOOKUP(A139,'[39]geoMap (36)'!$A:$C,3,0)</f>
        <v>#REF!</v>
      </c>
      <c r="AM139" s="1" t="e">
        <f>AL139/VLOOKUP(A139,'[40]geoMap (37)'!$A:$B,2,0)*VLOOKUP(A139,'[40]geoMap (37)'!$A:$C,3,0)</f>
        <v>#REF!</v>
      </c>
      <c r="AN139" s="1" t="e">
        <f>AM139/VLOOKUP(A139,'[41]geoMap (38)'!$A:$B,2,0)*VLOOKUP(A139,'[41]geoMap (38)'!$A:$C,3,0)</f>
        <v>#REF!</v>
      </c>
      <c r="AO139" s="1" t="e">
        <f>AN139/VLOOKUP(A139,'[42]geoMap (39)'!$A:$B,2,0)*VLOOKUP(A139,'[42]geoMap (39)'!$A:$C,3,0)</f>
        <v>#REF!</v>
      </c>
      <c r="AP139" s="1" t="e">
        <f>AO139/VLOOKUP(A139,'[43]geoMap (40)'!$A:$B,2,0)*VLOOKUP(A139,'[43]geoMap (40)'!$A:$C,3,0)</f>
        <v>#REF!</v>
      </c>
      <c r="AQ139" s="1" t="e">
        <f>AP139/VLOOKUP(A139,'[44]geoMap (41)'!$A:$B,2,0)*VLOOKUP(A139,'[44]geoMap (41)'!$A:$C,3,0)</f>
        <v>#REF!</v>
      </c>
      <c r="AR139" s="1" t="e">
        <f>AQ139/VLOOKUP(A139,'[45]geoMap (42)'!$A:$B,2,0)*VLOOKUP(A139,'[45]geoMap (42)'!$A:$C,3,0)</f>
        <v>#REF!</v>
      </c>
      <c r="AS139" s="1" t="e">
        <f>AR139/VLOOKUP(A139,'[46]geoMap (43)'!$A:$B,2,0)*VLOOKUP(A139,'[46]geoMap (43)'!$A:$C,3,0)</f>
        <v>#REF!</v>
      </c>
      <c r="AT139" s="1" t="e">
        <f>AS139/VLOOKUP(A139,'[47]geoMap (44)'!$A:$B,2,0)*VLOOKUP(A139,'[47]geoMap (44)'!$A:$C,3,0)</f>
        <v>#REF!</v>
      </c>
      <c r="AU139" s="1" t="e">
        <f>AT139/VLOOKUP(A139,'[48]geoMap (45)'!$A:$B,2,0)*VLOOKUP(A139,'[48]geoMap (45)'!$A:$C,3,0)</f>
        <v>#REF!</v>
      </c>
      <c r="AV139" s="1" t="e">
        <f>AU139/VLOOKUP(A139,'[49]geoMap (46)'!$A:$B,2,0)*VLOOKUP(A139,'[49]geoMap (46)'!$A:$C,3,0)</f>
        <v>#REF!</v>
      </c>
      <c r="AW139" s="1" t="e">
        <f>AV139/VLOOKUP(A139,'[50]geoMap (47)'!$A:$B,2,0)*VLOOKUP(A139,'[50]geoMap (47)'!$A:$C,3,0)</f>
        <v>#REF!</v>
      </c>
      <c r="AX139" s="4" t="e">
        <f>AW139/VLOOKUP(A139,'[51]geoMap (48)'!$A:$B,2,0)*VLOOKUP(A139,'[51]geoMap (48)'!$A:$C,3,0)</f>
        <v>#REF!</v>
      </c>
      <c r="AY139" s="1" t="e">
        <f>AX139/VLOOKUP(A139,'[52]geoMap (49)'!$A:$B,2,0)*VLOOKUP(A139,'[52]geoMap (49)'!$A:$C,3,0)</f>
        <v>#REF!</v>
      </c>
      <c r="AZ139" s="4" t="e">
        <f>AY139/VLOOKUP(A139,'[53]geoMap (50)'!$A:$B,2,0)*VLOOKUP(A139,'[53]geoMap (50)'!$A:$C,3,0)</f>
        <v>#REF!</v>
      </c>
      <c r="BA139" s="1" t="e">
        <f>AZ139/VLOOKUP(A139,'[54]geoMap (51)'!$A:$B,2,0)*VLOOKUP(A139,'[54]geoMap (51)'!$A:$C,3,0)</f>
        <v>#REF!</v>
      </c>
      <c r="BB139" s="4" t="e">
        <f>BA139/VLOOKUP(A139,'[55]geoMap (52)'!$A:$B,2,0)*VLOOKUP(A139,'[55]geoMap (52)'!$A:$C,3,0)</f>
        <v>#REF!</v>
      </c>
      <c r="BC139" s="1" t="e">
        <f>BB139/VLOOKUP(A139,'[56]geoMap (53)'!$A:$B,2,0)*VLOOKUP(A139,'[56]geoMap (53)'!$A:$C,3,0)</f>
        <v>#REF!</v>
      </c>
      <c r="BD139" s="4" t="e">
        <f>BC139/VLOOKUP(A139,'[57]geoMap (54)'!$A:$B,2,0)*VLOOKUP(A139,'[57]geoMap (54)'!$A:$C,3,0)</f>
        <v>#REF!</v>
      </c>
      <c r="BE139" s="1" t="e">
        <f>BD139/VLOOKUP(A139,'[58]geoMap (55)'!$A:$B,2,0)*VLOOKUP(A139,'[58]geoMap (55)'!$A:$C,3,0)</f>
        <v>#REF!</v>
      </c>
      <c r="BF139" s="4" t="e">
        <f>BE139/VLOOKUP(A139,'[59]geoMap (56)'!$A:$B,2,0)*VLOOKUP(A139,'[59]geoMap (56)'!$A:$C,3,0)</f>
        <v>#REF!</v>
      </c>
      <c r="BG139" s="1" t="e">
        <f>BF139/VLOOKUP(A139,'[60]geoMap (57)'!$A:$B,2,0)*VLOOKUP(A139,'[60]geoMap (57)'!$A:$C,3,0)</f>
        <v>#REF!</v>
      </c>
      <c r="BH139" s="4" t="e">
        <f>BG139/VLOOKUP(A139,'[61]geoMap (58)'!$A:$B,2,0)*VLOOKUP(A139,'[61]geoMap (58)'!$A:$C,3,0)</f>
        <v>#REF!</v>
      </c>
      <c r="BI139" s="1" t="e">
        <f>BH139/VLOOKUP(A139,'[62]geoMap (59)'!$A:$B,2,0)*VLOOKUP(A139,'[62]geoMap (59)'!$A:$C,3,0)</f>
        <v>#REF!</v>
      </c>
      <c r="BJ139" s="4" t="e">
        <f>BI139/VLOOKUP(A139,'[63]geoMap (60)'!$A:$B,2,0)*VLOOKUP(A139,'[63]geoMap (60)'!$A:$C,3,0)</f>
        <v>#REF!</v>
      </c>
      <c r="BK139" s="1" t="e">
        <f>BJ139/VLOOKUP(A139,'[64]geoMap (61)'!$A:$B,2,0)*VLOOKUP(A139,'[64]geoMap (61)'!$A:$C,3,0)</f>
        <v>#REF!</v>
      </c>
      <c r="BL139" s="4" t="e">
        <f>BK139/VLOOKUP(A139,'[65]geoMap (62)'!$A:$B,2,0)*VLOOKUP(A139,'[65]geoMap (62)'!$A:$C,3,0)</f>
        <v>#REF!</v>
      </c>
      <c r="BM139" s="1" t="e">
        <f>BL139/VLOOKUP(A139,'[66]geoMap (63)'!$A:$B,2,0)*VLOOKUP(A139,'[66]geoMap (63)'!$A:$C,3,0)</f>
        <v>#REF!</v>
      </c>
      <c r="BN139" s="4" t="e">
        <f>BM139/VLOOKUP(A139,'[67]geoMap (64)'!$A:$B,2,0)*VLOOKUP(A139,'[67]geoMap (64)'!$A:$C,3,0)</f>
        <v>#REF!</v>
      </c>
      <c r="BO139" s="1" t="e">
        <f>BN139/VLOOKUP(A139,'[68]geoMap (65)'!$A:$B,2,0)*VLOOKUP(A139,'[68]geoMap (65)'!$A:$C,3,0)</f>
        <v>#REF!</v>
      </c>
      <c r="BP139" s="4" t="e">
        <f>BO139/VLOOKUP(A139,'[69]geoMap (66)'!$A:$B,2,0)*VLOOKUP(A139,'[69]geoMap (66)'!$A:$C,3,0)</f>
        <v>#REF!</v>
      </c>
    </row>
    <row r="140" spans="1:68" x14ac:dyDescent="0.2">
      <c r="A140" s="1" t="s">
        <v>109</v>
      </c>
      <c r="B140" s="1" t="e">
        <f>VLOOKUP(A140,[3]geoMap!$A:$B,2,0)*Notes!$C$6</f>
        <v>#REF!</v>
      </c>
      <c r="C140" s="1" t="e">
        <f>B140/VLOOKUP(A140,'[4]geoMap (1)'!$A:$B,2,0)*VLOOKUP(A140,'[4]geoMap (1)'!$A:$C,3,0)</f>
        <v>#REF!</v>
      </c>
      <c r="D140" s="1" t="e">
        <f>C140/VLOOKUP(A140,'[5]geoMap (2)'!$A:$B,2,0)*VLOOKUP(A140,'[5]geoMap (2)'!$A:$C,3,0)</f>
        <v>#REF!</v>
      </c>
      <c r="E140" s="1" t="e">
        <f>D140/VLOOKUP(A140,'[6]geoMap (3)'!$A:$B,2,0)*VLOOKUP(A140,'[6]geoMap (3)'!$A:$C,3,0)</f>
        <v>#REF!</v>
      </c>
      <c r="F140" s="1" t="e">
        <f>E140/VLOOKUP(A140,'[7]geoMap (4)'!$A:$B,2,0)*VLOOKUP(A140,'[7]geoMap (4)'!$A:$C,3,0)</f>
        <v>#REF!</v>
      </c>
      <c r="G140" s="1" t="e">
        <f>F140/VLOOKUP(A140,'[8]geoMap (5)'!$A:$B,2,0)*VLOOKUP(A140,'[8]geoMap (5)'!$A:$C,3,0)</f>
        <v>#REF!</v>
      </c>
      <c r="H140" s="1" t="e">
        <f>G140/VLOOKUP(A140,'[9]geoMap (6)'!$A:$B,2,0)*VLOOKUP(A140,'[9]geoMap (6)'!$A:$C,3,0)</f>
        <v>#REF!</v>
      </c>
      <c r="I140" s="1" t="e">
        <f>H140/VLOOKUP(A140,'[10]geoMap (7)'!$A:$B,2,0)*VLOOKUP(A140,'[10]geoMap (7)'!$A:$C,3,0)</f>
        <v>#REF!</v>
      </c>
      <c r="J140" s="1" t="e">
        <f>I140/VLOOKUP(A140,'[11]geoMap (8)'!$A:$B,2,0)*VLOOKUP(A140,'[11]geoMap (8)'!$A:$C,3,0)</f>
        <v>#REF!</v>
      </c>
      <c r="K140" s="1" t="e">
        <f>J140/VLOOKUP(A140,'[12]geoMap (9)'!$A:$B,2,0)*VLOOKUP(A140,'[12]geoMap (9)'!$A:$C,3,0)</f>
        <v>#REF!</v>
      </c>
      <c r="L140" s="1" t="e">
        <f>K140/VLOOKUP(A140,'[13]geoMap (10)'!$A:$B,2,0)*VLOOKUP(A140,'[13]geoMap (10)'!$A:$C,3,0)</f>
        <v>#REF!</v>
      </c>
      <c r="M140" s="1" t="e">
        <f>L140/VLOOKUP(A140,'[14]geoMap (11)'!$A:$B,2,0)*VLOOKUP(A140,'[14]geoMap (11)'!$A:$C,3,0)</f>
        <v>#REF!</v>
      </c>
      <c r="N140" s="1" t="e">
        <f>M140/VLOOKUP(A140,'[15]geoMap (12)'!$A:$B,2,0)*VLOOKUP(A140,'[15]geoMap (12)'!$A:$C,3,0)</f>
        <v>#REF!</v>
      </c>
      <c r="O140" s="1" t="e">
        <f>N140/VLOOKUP(A140,'[16]geoMap (13)'!$A:$B,2,0)*VLOOKUP(A140,'[16]geoMap (13)'!$A:$C,3,0)</f>
        <v>#REF!</v>
      </c>
      <c r="P140" s="1" t="e">
        <f>O140/VLOOKUP(A140,'[17]geoMap (14)'!$A:$B,2,0)*VLOOKUP(A140,'[17]geoMap (14)'!$A:$C,3,0)</f>
        <v>#REF!</v>
      </c>
      <c r="Q140" s="1" t="e">
        <f>P140/VLOOKUP(A140,'[18]geoMap (15)'!$A:$B,2,0)*VLOOKUP(A140,'[18]geoMap (15)'!$A:$C,3,0)</f>
        <v>#REF!</v>
      </c>
      <c r="R140" s="1" t="e">
        <f>Q140/VLOOKUP(A140,'[19]geoMap (16)'!$A:$B,2,0)*VLOOKUP(A140,'[19]geoMap (16)'!$A:$C,3,0)</f>
        <v>#REF!</v>
      </c>
      <c r="S140" s="1" t="e">
        <f>R140/VLOOKUP(A140,'[20]geoMap (17)'!$A:$B,2,0)*VLOOKUP(A140,'[20]geoMap (17)'!$A:$C,3,0)</f>
        <v>#REF!</v>
      </c>
      <c r="T140" s="1" t="e">
        <f>S140/VLOOKUP(A140,'[21]geoMap (18)'!$A:$B,2,0)*VLOOKUP(A140,'[21]geoMap (18)'!$A:$C,3,0)</f>
        <v>#REF!</v>
      </c>
      <c r="U140" s="1" t="e">
        <f>T140/VLOOKUP(A140,'[22]geoMap (19)'!$A:$B,2,0)*VLOOKUP(A140,'[22]geoMap (19)'!$A:$C,3,0)</f>
        <v>#REF!</v>
      </c>
      <c r="V140" s="1" t="e">
        <f>U140/VLOOKUP(A140,'[23]geoMap (20)'!$A:$B,2,0)*VLOOKUP(A140,'[23]geoMap (20)'!$A:$C,3,0)</f>
        <v>#REF!</v>
      </c>
      <c r="W140" s="1" t="e">
        <f>V140/VLOOKUP(A140,'[24]geoMap (21)'!$A:$B,2,0)*VLOOKUP(A140,'[24]geoMap (21)'!$A:$C,3,0)</f>
        <v>#REF!</v>
      </c>
      <c r="X140" s="1" t="e">
        <f>W140/VLOOKUP(A140,'[25]geoMap (22)'!$A:$B,2,0)*VLOOKUP(A140,'[25]geoMap (22)'!$A:$C,3,0)</f>
        <v>#REF!</v>
      </c>
      <c r="Y140" s="1" t="e">
        <f>X140/VLOOKUP(A140,'[26]geoMap (23)'!$A:$B,2,0)*VLOOKUP(A140,'[26]geoMap (23)'!$A:$C,3,0)</f>
        <v>#REF!</v>
      </c>
      <c r="Z140" s="1" t="e">
        <f>Y140/VLOOKUP(A140,'[27]geoMap (24)'!$A:$B,2,0)*VLOOKUP(A140,'[27]geoMap (24)'!$A:$C,3,0)</f>
        <v>#REF!</v>
      </c>
      <c r="AA140" s="1" t="e">
        <f>Z140/VLOOKUP(A140,'[28]geoMap (25)'!$A:$B,2,0)*VLOOKUP(A140,'[28]geoMap (25)'!$A:$C,3,0)</f>
        <v>#REF!</v>
      </c>
      <c r="AB140" s="1" t="e">
        <f>AA140*VLOOKUP(A140,'[29]geoMap (26)'!$A:$B,2,0)*VLOOKUP(A140,'[29]geoMap (26)'!$A:$C,3,0)</f>
        <v>#REF!</v>
      </c>
      <c r="AC140" s="1" t="e">
        <f>AB140/VLOOKUP(A140,'[30]geoMap (27)'!$A:$B,2,0)*VLOOKUP(A140,'[30]geoMap (27)'!$A:$C,3,0)</f>
        <v>#REF!</v>
      </c>
      <c r="AD140" s="1" t="e">
        <f>AC140/VLOOKUP(A140,'[31]geoMap (28)'!$A:$B,2,0)*VLOOKUP(A140,'[31]geoMap (28)'!$A:$C,3,0)</f>
        <v>#REF!</v>
      </c>
      <c r="AE140" s="1" t="e">
        <f>AD140/VLOOKUP(A140,'[32]geoMap (29)'!$A:$B,2,0)*VLOOKUP(A140,'[32]geoMap (29)'!$A:$C,3,0)</f>
        <v>#REF!</v>
      </c>
      <c r="AF140" s="1" t="e">
        <f>AE140/VLOOKUP(A140,'[33]geoMap (30)'!$A:$B,2,0)*VLOOKUP(A140,'[33]geoMap (30)'!$A:$C,3,0)</f>
        <v>#REF!</v>
      </c>
      <c r="AG140" s="1" t="e">
        <f>AF140/VLOOKUP(A140,'[34]geoMap (31)'!$A:$B,2,0)*VLOOKUP(A140,'[34]geoMap (31)'!$A:$C,3,0)</f>
        <v>#REF!</v>
      </c>
      <c r="AH140" s="1" t="e">
        <f>AG140/VLOOKUP(A140,'[35]geoMap (32)'!$A:$B,2,0)*VLOOKUP(A140,'[35]geoMap (32)'!$A:$C,3,0)</f>
        <v>#REF!</v>
      </c>
      <c r="AI140" s="1" t="e">
        <f>AH140/VLOOKUP(A140,'[36]geoMap (33)'!$A:$B,2,0)*VLOOKUP(A140,'[36]geoMap (33)'!$A:$C,3,0)</f>
        <v>#REF!</v>
      </c>
      <c r="AJ140" s="1" t="e">
        <f>AI140/VLOOKUP(A140,'[37]geoMap (34)'!$A:$B,2,0)*VLOOKUP(A140,'[37]geoMap (34)'!$A:$C,3,0)</f>
        <v>#REF!</v>
      </c>
      <c r="AK140" s="1" t="e">
        <f>AJ140/VLOOKUP(A140,'[38]geoMap (35)'!$A:$B,2,0)*VLOOKUP(A140,'[38]geoMap (35)'!$A:$C,3,0)</f>
        <v>#REF!</v>
      </c>
      <c r="AL140" s="1" t="e">
        <f>AK140/VLOOKUP(A140,'[39]geoMap (36)'!$A:$B,2,0)*VLOOKUP(A140,'[39]geoMap (36)'!$A:$C,3,0)</f>
        <v>#REF!</v>
      </c>
      <c r="AM140" s="1" t="e">
        <f>AL140/VLOOKUP(A140,'[40]geoMap (37)'!$A:$B,2,0)*VLOOKUP(A140,'[40]geoMap (37)'!$A:$C,3,0)</f>
        <v>#REF!</v>
      </c>
      <c r="AN140" s="1" t="e">
        <f>AM140/VLOOKUP(A140,'[41]geoMap (38)'!$A:$B,2,0)*VLOOKUP(A140,'[41]geoMap (38)'!$A:$C,3,0)</f>
        <v>#REF!</v>
      </c>
      <c r="AO140" s="1" t="e">
        <f>AN140/VLOOKUP(A140,'[42]geoMap (39)'!$A:$B,2,0)*VLOOKUP(A140,'[42]geoMap (39)'!$A:$C,3,0)</f>
        <v>#REF!</v>
      </c>
      <c r="AP140" s="1" t="e">
        <f>AO140/VLOOKUP(A140,'[43]geoMap (40)'!$A:$B,2,0)*VLOOKUP(A140,'[43]geoMap (40)'!$A:$C,3,0)</f>
        <v>#REF!</v>
      </c>
      <c r="AQ140" s="1" t="e">
        <f>AP140/VLOOKUP(A140,'[44]geoMap (41)'!$A:$B,2,0)*VLOOKUP(A140,'[44]geoMap (41)'!$A:$C,3,0)</f>
        <v>#REF!</v>
      </c>
      <c r="AR140" s="1" t="e">
        <f>AQ140/VLOOKUP(A140,'[45]geoMap (42)'!$A:$B,2,0)*VLOOKUP(A140,'[45]geoMap (42)'!$A:$C,3,0)</f>
        <v>#REF!</v>
      </c>
      <c r="AS140" s="1" t="e">
        <f>AR140/VLOOKUP(A140,'[46]geoMap (43)'!$A:$B,2,0)*VLOOKUP(A140,'[46]geoMap (43)'!$A:$C,3,0)</f>
        <v>#REF!</v>
      </c>
      <c r="AT140" s="1" t="e">
        <f>AS140/VLOOKUP(A140,'[47]geoMap (44)'!$A:$B,2,0)*VLOOKUP(A140,'[47]geoMap (44)'!$A:$C,3,0)</f>
        <v>#REF!</v>
      </c>
      <c r="AU140" s="1" t="e">
        <f>AT140/VLOOKUP(A140,'[48]geoMap (45)'!$A:$B,2,0)*VLOOKUP(A140,'[48]geoMap (45)'!$A:$C,3,0)</f>
        <v>#REF!</v>
      </c>
      <c r="AV140" s="1" t="e">
        <f>AU140/VLOOKUP(A140,'[49]geoMap (46)'!$A:$B,2,0)*VLOOKUP(A140,'[49]geoMap (46)'!$A:$C,3,0)</f>
        <v>#REF!</v>
      </c>
      <c r="AW140" s="1" t="e">
        <f>AV140/VLOOKUP(A140,'[50]geoMap (47)'!$A:$B,2,0)*VLOOKUP(A140,'[50]geoMap (47)'!$A:$C,3,0)</f>
        <v>#REF!</v>
      </c>
      <c r="AX140" s="4" t="e">
        <f>AW140/VLOOKUP(A140,'[51]geoMap (48)'!$A:$B,2,0)*VLOOKUP(A140,'[51]geoMap (48)'!$A:$C,3,0)</f>
        <v>#REF!</v>
      </c>
      <c r="AY140" s="1" t="e">
        <f>AX140/VLOOKUP(A140,'[52]geoMap (49)'!$A:$B,2,0)*VLOOKUP(A140,'[52]geoMap (49)'!$A:$C,3,0)</f>
        <v>#REF!</v>
      </c>
      <c r="AZ140" s="4" t="e">
        <f>AY140/VLOOKUP(A140,'[53]geoMap (50)'!$A:$B,2,0)*VLOOKUP(A140,'[53]geoMap (50)'!$A:$C,3,0)</f>
        <v>#REF!</v>
      </c>
      <c r="BA140" s="1" t="e">
        <f>AZ140/VLOOKUP(A140,'[54]geoMap (51)'!$A:$B,2,0)*VLOOKUP(A140,'[54]geoMap (51)'!$A:$C,3,0)</f>
        <v>#REF!</v>
      </c>
      <c r="BB140" s="4" t="e">
        <f>BA140/VLOOKUP(A140,'[55]geoMap (52)'!$A:$B,2,0)*VLOOKUP(A140,'[55]geoMap (52)'!$A:$C,3,0)</f>
        <v>#REF!</v>
      </c>
      <c r="BC140" s="1" t="e">
        <f>BB140/VLOOKUP(A140,'[56]geoMap (53)'!$A:$B,2,0)*VLOOKUP(A140,'[56]geoMap (53)'!$A:$C,3,0)</f>
        <v>#REF!</v>
      </c>
      <c r="BD140" s="4" t="e">
        <f>BC140/VLOOKUP(A140,'[57]geoMap (54)'!$A:$B,2,0)*VLOOKUP(A140,'[57]geoMap (54)'!$A:$C,3,0)</f>
        <v>#REF!</v>
      </c>
      <c r="BE140" s="1" t="e">
        <f>BD140/VLOOKUP(A140,'[58]geoMap (55)'!$A:$B,2,0)*VLOOKUP(A140,'[58]geoMap (55)'!$A:$C,3,0)</f>
        <v>#REF!</v>
      </c>
      <c r="BF140" s="4" t="e">
        <f>BE140/VLOOKUP(A140,'[59]geoMap (56)'!$A:$B,2,0)*VLOOKUP(A140,'[59]geoMap (56)'!$A:$C,3,0)</f>
        <v>#REF!</v>
      </c>
      <c r="BG140" s="1" t="e">
        <f>BF140/VLOOKUP(A140,'[60]geoMap (57)'!$A:$B,2,0)*VLOOKUP(A140,'[60]geoMap (57)'!$A:$C,3,0)</f>
        <v>#REF!</v>
      </c>
      <c r="BH140" s="4" t="e">
        <f>BG140/VLOOKUP(A140,'[61]geoMap (58)'!$A:$B,2,0)*VLOOKUP(A140,'[61]geoMap (58)'!$A:$C,3,0)</f>
        <v>#REF!</v>
      </c>
      <c r="BI140" s="1" t="e">
        <f>BH140/VLOOKUP(A140,'[62]geoMap (59)'!$A:$B,2,0)*VLOOKUP(A140,'[62]geoMap (59)'!$A:$C,3,0)</f>
        <v>#REF!</v>
      </c>
      <c r="BJ140" s="4" t="e">
        <f>BI140/VLOOKUP(A140,'[63]geoMap (60)'!$A:$B,2,0)*VLOOKUP(A140,'[63]geoMap (60)'!$A:$C,3,0)</f>
        <v>#REF!</v>
      </c>
      <c r="BK140" s="1" t="e">
        <f>BJ140/VLOOKUP(A140,'[64]geoMap (61)'!$A:$B,2,0)*VLOOKUP(A140,'[64]geoMap (61)'!$A:$C,3,0)</f>
        <v>#REF!</v>
      </c>
      <c r="BL140" s="4" t="e">
        <f>BK140/VLOOKUP(A140,'[65]geoMap (62)'!$A:$B,2,0)*VLOOKUP(A140,'[65]geoMap (62)'!$A:$C,3,0)</f>
        <v>#REF!</v>
      </c>
      <c r="BM140" s="1" t="e">
        <f>BL140/VLOOKUP(A140,'[66]geoMap (63)'!$A:$B,2,0)*VLOOKUP(A140,'[66]geoMap (63)'!$A:$C,3,0)</f>
        <v>#REF!</v>
      </c>
      <c r="BN140" s="4" t="e">
        <f>BM140/VLOOKUP(A140,'[67]geoMap (64)'!$A:$B,2,0)*VLOOKUP(A140,'[67]geoMap (64)'!$A:$C,3,0)</f>
        <v>#REF!</v>
      </c>
      <c r="BO140" s="1" t="e">
        <f>BN140/VLOOKUP(A140,'[68]geoMap (65)'!$A:$B,2,0)*VLOOKUP(A140,'[68]geoMap (65)'!$A:$C,3,0)</f>
        <v>#REF!</v>
      </c>
      <c r="BP140" s="4" t="e">
        <f>BO140/VLOOKUP(A140,'[69]geoMap (66)'!$A:$B,2,0)*VLOOKUP(A140,'[69]geoMap (66)'!$A:$C,3,0)</f>
        <v>#REF!</v>
      </c>
    </row>
    <row r="141" spans="1:68" x14ac:dyDescent="0.2">
      <c r="A141" s="1" t="s">
        <v>114</v>
      </c>
      <c r="B141" s="1" t="e">
        <f>VLOOKUP(A141,[3]geoMap!$A:$B,2,0)*Notes!$C$6</f>
        <v>#REF!</v>
      </c>
      <c r="C141" s="1" t="e">
        <f>B141/VLOOKUP(A141,'[4]geoMap (1)'!$A:$B,2,0)*VLOOKUP(A141,'[4]geoMap (1)'!$A:$C,3,0)</f>
        <v>#REF!</v>
      </c>
      <c r="D141" s="1" t="e">
        <f>C141/VLOOKUP(A141,'[5]geoMap (2)'!$A:$B,2,0)*VLOOKUP(A141,'[5]geoMap (2)'!$A:$C,3,0)</f>
        <v>#REF!</v>
      </c>
      <c r="E141" s="1" t="e">
        <f>D141/VLOOKUP(A141,'[6]geoMap (3)'!$A:$B,2,0)*VLOOKUP(A141,'[6]geoMap (3)'!$A:$C,3,0)</f>
        <v>#REF!</v>
      </c>
      <c r="F141" s="1" t="e">
        <f>E141/VLOOKUP(A141,'[7]geoMap (4)'!$A:$B,2,0)*VLOOKUP(A141,'[7]geoMap (4)'!$A:$C,3,0)</f>
        <v>#REF!</v>
      </c>
      <c r="G141" s="1" t="e">
        <f>F141/VLOOKUP(A141,'[8]geoMap (5)'!$A:$B,2,0)*VLOOKUP(A141,'[8]geoMap (5)'!$A:$C,3,0)</f>
        <v>#REF!</v>
      </c>
      <c r="H141" s="1" t="e">
        <f>G141/VLOOKUP(A141,'[9]geoMap (6)'!$A:$B,2,0)*VLOOKUP(A141,'[9]geoMap (6)'!$A:$C,3,0)</f>
        <v>#REF!</v>
      </c>
      <c r="I141" s="1" t="e">
        <f>H141/VLOOKUP(A141,'[10]geoMap (7)'!$A:$B,2,0)*VLOOKUP(A141,'[10]geoMap (7)'!$A:$C,3,0)</f>
        <v>#REF!</v>
      </c>
      <c r="J141" s="1" t="e">
        <f>I141/VLOOKUP(A141,'[11]geoMap (8)'!$A:$B,2,0)*VLOOKUP(A141,'[11]geoMap (8)'!$A:$C,3,0)</f>
        <v>#REF!</v>
      </c>
      <c r="K141" s="1" t="e">
        <f>J141/VLOOKUP(A141,'[12]geoMap (9)'!$A:$B,2,0)*VLOOKUP(A141,'[12]geoMap (9)'!$A:$C,3,0)</f>
        <v>#REF!</v>
      </c>
      <c r="L141" s="1" t="e">
        <f>K141/VLOOKUP(A141,'[13]geoMap (10)'!$A:$B,2,0)*VLOOKUP(A141,'[13]geoMap (10)'!$A:$C,3,0)</f>
        <v>#REF!</v>
      </c>
      <c r="M141" s="1" t="e">
        <f>L141/VLOOKUP(A141,'[14]geoMap (11)'!$A:$B,2,0)*VLOOKUP(A141,'[14]geoMap (11)'!$A:$C,3,0)</f>
        <v>#REF!</v>
      </c>
      <c r="N141" s="1" t="e">
        <f>M141/VLOOKUP(A141,'[15]geoMap (12)'!$A:$B,2,0)*VLOOKUP(A141,'[15]geoMap (12)'!$A:$C,3,0)</f>
        <v>#REF!</v>
      </c>
      <c r="O141" s="1" t="e">
        <f>N141/VLOOKUP(A141,'[16]geoMap (13)'!$A:$B,2,0)*VLOOKUP(A141,'[16]geoMap (13)'!$A:$C,3,0)</f>
        <v>#REF!</v>
      </c>
      <c r="P141" s="1" t="e">
        <f>O141/VLOOKUP(A141,'[17]geoMap (14)'!$A:$B,2,0)*VLOOKUP(A141,'[17]geoMap (14)'!$A:$C,3,0)</f>
        <v>#REF!</v>
      </c>
      <c r="Q141" s="1" t="e">
        <f>P141/VLOOKUP(A141,'[18]geoMap (15)'!$A:$B,2,0)*VLOOKUP(A141,'[18]geoMap (15)'!$A:$C,3,0)</f>
        <v>#REF!</v>
      </c>
      <c r="R141" s="1" t="e">
        <f>Q141/VLOOKUP(A141,'[19]geoMap (16)'!$A:$B,2,0)*VLOOKUP(A141,'[19]geoMap (16)'!$A:$C,3,0)</f>
        <v>#REF!</v>
      </c>
      <c r="S141" s="1" t="e">
        <f>R141/VLOOKUP(A141,'[20]geoMap (17)'!$A:$B,2,0)*VLOOKUP(A141,'[20]geoMap (17)'!$A:$C,3,0)</f>
        <v>#REF!</v>
      </c>
      <c r="T141" s="1" t="e">
        <f>S141/VLOOKUP(A141,'[21]geoMap (18)'!$A:$B,2,0)*VLOOKUP(A141,'[21]geoMap (18)'!$A:$C,3,0)</f>
        <v>#REF!</v>
      </c>
      <c r="U141" s="1" t="e">
        <f>T141/VLOOKUP(A141,'[22]geoMap (19)'!$A:$B,2,0)*VLOOKUP(A141,'[22]geoMap (19)'!$A:$C,3,0)</f>
        <v>#REF!</v>
      </c>
      <c r="V141" s="1" t="e">
        <f>U141/VLOOKUP(A141,'[23]geoMap (20)'!$A:$B,2,0)*VLOOKUP(A141,'[23]geoMap (20)'!$A:$C,3,0)</f>
        <v>#REF!</v>
      </c>
      <c r="W141" s="1" t="e">
        <f>V141/VLOOKUP(A141,'[24]geoMap (21)'!$A:$B,2,0)*VLOOKUP(A141,'[24]geoMap (21)'!$A:$C,3,0)</f>
        <v>#REF!</v>
      </c>
      <c r="X141" s="1" t="e">
        <f>W141/VLOOKUP(A141,'[25]geoMap (22)'!$A:$B,2,0)*VLOOKUP(A141,'[25]geoMap (22)'!$A:$C,3,0)</f>
        <v>#REF!</v>
      </c>
      <c r="Y141" s="1" t="e">
        <f>X141/VLOOKUP(A141,'[26]geoMap (23)'!$A:$B,2,0)*VLOOKUP(A141,'[26]geoMap (23)'!$A:$C,3,0)</f>
        <v>#REF!</v>
      </c>
      <c r="Z141" s="1" t="e">
        <f>Y141/VLOOKUP(A141,'[27]geoMap (24)'!$A:$B,2,0)*VLOOKUP(A141,'[27]geoMap (24)'!$A:$C,3,0)</f>
        <v>#REF!</v>
      </c>
      <c r="AA141" s="1" t="e">
        <f>Z141/VLOOKUP(A141,'[28]geoMap (25)'!$A:$B,2,0)*VLOOKUP(A141,'[28]geoMap (25)'!$A:$C,3,0)</f>
        <v>#REF!</v>
      </c>
      <c r="AB141" s="1" t="e">
        <f>AA141*VLOOKUP(A141,'[29]geoMap (26)'!$A:$B,2,0)*VLOOKUP(A141,'[29]geoMap (26)'!$A:$C,3,0)</f>
        <v>#REF!</v>
      </c>
      <c r="AC141" s="1" t="e">
        <f>AB141/VLOOKUP(A141,'[30]geoMap (27)'!$A:$B,2,0)*VLOOKUP(A141,'[30]geoMap (27)'!$A:$C,3,0)</f>
        <v>#REF!</v>
      </c>
      <c r="AD141" s="1" t="e">
        <f>AC141/VLOOKUP(A141,'[31]geoMap (28)'!$A:$B,2,0)*VLOOKUP(A141,'[31]geoMap (28)'!$A:$C,3,0)</f>
        <v>#REF!</v>
      </c>
      <c r="AE141" s="1" t="e">
        <f>AD141/VLOOKUP(A141,'[32]geoMap (29)'!$A:$B,2,0)*VLOOKUP(A141,'[32]geoMap (29)'!$A:$C,3,0)</f>
        <v>#REF!</v>
      </c>
      <c r="AF141" s="1" t="e">
        <f>AE141/VLOOKUP(A141,'[33]geoMap (30)'!$A:$B,2,0)*VLOOKUP(A141,'[33]geoMap (30)'!$A:$C,3,0)</f>
        <v>#REF!</v>
      </c>
      <c r="AG141" s="1" t="e">
        <f>AF141/VLOOKUP(A141,'[34]geoMap (31)'!$A:$B,2,0)*VLOOKUP(A141,'[34]geoMap (31)'!$A:$C,3,0)</f>
        <v>#REF!</v>
      </c>
      <c r="AH141" s="1" t="e">
        <f>AG141/VLOOKUP(A141,'[35]geoMap (32)'!$A:$B,2,0)*VLOOKUP(A141,'[35]geoMap (32)'!$A:$C,3,0)</f>
        <v>#REF!</v>
      </c>
      <c r="AI141" s="1" t="e">
        <f>AH141/VLOOKUP(A141,'[36]geoMap (33)'!$A:$B,2,0)*VLOOKUP(A141,'[36]geoMap (33)'!$A:$C,3,0)</f>
        <v>#REF!</v>
      </c>
      <c r="AJ141" s="1" t="e">
        <f>AI141/VLOOKUP(A141,'[37]geoMap (34)'!$A:$B,2,0)*VLOOKUP(A141,'[37]geoMap (34)'!$A:$C,3,0)</f>
        <v>#REF!</v>
      </c>
      <c r="AK141" s="1" t="e">
        <f>AJ141/VLOOKUP(A141,'[38]geoMap (35)'!$A:$B,2,0)*VLOOKUP(A141,'[38]geoMap (35)'!$A:$C,3,0)</f>
        <v>#REF!</v>
      </c>
      <c r="AL141" s="1" t="e">
        <f>AK141/VLOOKUP(A141,'[39]geoMap (36)'!$A:$B,2,0)*VLOOKUP(A141,'[39]geoMap (36)'!$A:$C,3,0)</f>
        <v>#REF!</v>
      </c>
      <c r="AM141" s="1" t="e">
        <f>AL141/VLOOKUP(A141,'[40]geoMap (37)'!$A:$B,2,0)*VLOOKUP(A141,'[40]geoMap (37)'!$A:$C,3,0)</f>
        <v>#REF!</v>
      </c>
      <c r="AN141" s="1" t="e">
        <f>AM141/VLOOKUP(A141,'[41]geoMap (38)'!$A:$B,2,0)*VLOOKUP(A141,'[41]geoMap (38)'!$A:$C,3,0)</f>
        <v>#REF!</v>
      </c>
      <c r="AO141" s="1" t="e">
        <f>AN141/VLOOKUP(A141,'[42]geoMap (39)'!$A:$B,2,0)*VLOOKUP(A141,'[42]geoMap (39)'!$A:$C,3,0)</f>
        <v>#REF!</v>
      </c>
      <c r="AP141" s="1" t="e">
        <f>AO141/VLOOKUP(A141,'[43]geoMap (40)'!$A:$B,2,0)*VLOOKUP(A141,'[43]geoMap (40)'!$A:$C,3,0)</f>
        <v>#REF!</v>
      </c>
      <c r="AQ141" s="1" t="e">
        <f>AP141/VLOOKUP(A141,'[44]geoMap (41)'!$A:$B,2,0)*VLOOKUP(A141,'[44]geoMap (41)'!$A:$C,3,0)</f>
        <v>#REF!</v>
      </c>
      <c r="AR141" s="1" t="e">
        <f>AQ141/VLOOKUP(A141,'[45]geoMap (42)'!$A:$B,2,0)*VLOOKUP(A141,'[45]geoMap (42)'!$A:$C,3,0)</f>
        <v>#REF!</v>
      </c>
      <c r="AS141" s="1" t="e">
        <f>AR141/VLOOKUP(A141,'[46]geoMap (43)'!$A:$B,2,0)*VLOOKUP(A141,'[46]geoMap (43)'!$A:$C,3,0)</f>
        <v>#REF!</v>
      </c>
      <c r="AT141" s="1" t="e">
        <f>AS141/VLOOKUP(A141,'[47]geoMap (44)'!$A:$B,2,0)*VLOOKUP(A141,'[47]geoMap (44)'!$A:$C,3,0)</f>
        <v>#REF!</v>
      </c>
      <c r="AU141" s="1" t="e">
        <f>AT141/VLOOKUP(A141,'[48]geoMap (45)'!$A:$B,2,0)*VLOOKUP(A141,'[48]geoMap (45)'!$A:$C,3,0)</f>
        <v>#REF!</v>
      </c>
      <c r="AV141" s="1" t="e">
        <f>AU141/VLOOKUP(A141,'[49]geoMap (46)'!$A:$B,2,0)*VLOOKUP(A141,'[49]geoMap (46)'!$A:$C,3,0)</f>
        <v>#REF!</v>
      </c>
      <c r="AW141" s="1" t="e">
        <f>AV141/VLOOKUP(A141,'[50]geoMap (47)'!$A:$B,2,0)*VLOOKUP(A141,'[50]geoMap (47)'!$A:$C,3,0)</f>
        <v>#REF!</v>
      </c>
      <c r="AX141" s="4" t="e">
        <f>AW141/VLOOKUP(A141,'[51]geoMap (48)'!$A:$B,2,0)*VLOOKUP(A141,'[51]geoMap (48)'!$A:$C,3,0)</f>
        <v>#REF!</v>
      </c>
      <c r="AY141" s="1" t="e">
        <f>AX141/VLOOKUP(A141,'[52]geoMap (49)'!$A:$B,2,0)*VLOOKUP(A141,'[52]geoMap (49)'!$A:$C,3,0)</f>
        <v>#REF!</v>
      </c>
      <c r="AZ141" s="4" t="e">
        <f>AY141/VLOOKUP(A141,'[53]geoMap (50)'!$A:$B,2,0)*VLOOKUP(A141,'[53]geoMap (50)'!$A:$C,3,0)</f>
        <v>#REF!</v>
      </c>
      <c r="BA141" s="1" t="e">
        <f>AZ141/VLOOKUP(A141,'[54]geoMap (51)'!$A:$B,2,0)*VLOOKUP(A141,'[54]geoMap (51)'!$A:$C,3,0)</f>
        <v>#REF!</v>
      </c>
      <c r="BB141" s="4" t="e">
        <f>BA141/VLOOKUP(A141,'[55]geoMap (52)'!$A:$B,2,0)*VLOOKUP(A141,'[55]geoMap (52)'!$A:$C,3,0)</f>
        <v>#REF!</v>
      </c>
      <c r="BC141" s="1" t="e">
        <f>BB141/VLOOKUP(A141,'[56]geoMap (53)'!$A:$B,2,0)*VLOOKUP(A141,'[56]geoMap (53)'!$A:$C,3,0)</f>
        <v>#REF!</v>
      </c>
      <c r="BD141" s="4" t="e">
        <f>BC141/VLOOKUP(A141,'[57]geoMap (54)'!$A:$B,2,0)*VLOOKUP(A141,'[57]geoMap (54)'!$A:$C,3,0)</f>
        <v>#REF!</v>
      </c>
      <c r="BE141" s="1" t="e">
        <f>BD141/VLOOKUP(A141,'[58]geoMap (55)'!$A:$B,2,0)*VLOOKUP(A141,'[58]geoMap (55)'!$A:$C,3,0)</f>
        <v>#REF!</v>
      </c>
      <c r="BF141" s="4" t="e">
        <f>BE141/VLOOKUP(A141,'[59]geoMap (56)'!$A:$B,2,0)*VLOOKUP(A141,'[59]geoMap (56)'!$A:$C,3,0)</f>
        <v>#REF!</v>
      </c>
      <c r="BG141" s="1" t="e">
        <f>BF141/VLOOKUP(A141,'[60]geoMap (57)'!$A:$B,2,0)*VLOOKUP(A141,'[60]geoMap (57)'!$A:$C,3,0)</f>
        <v>#REF!</v>
      </c>
      <c r="BH141" s="4" t="e">
        <f>BG141/VLOOKUP(A141,'[61]geoMap (58)'!$A:$B,2,0)*VLOOKUP(A141,'[61]geoMap (58)'!$A:$C,3,0)</f>
        <v>#REF!</v>
      </c>
      <c r="BI141" s="1" t="e">
        <f>BH141/VLOOKUP(A141,'[62]geoMap (59)'!$A:$B,2,0)*VLOOKUP(A141,'[62]geoMap (59)'!$A:$C,3,0)</f>
        <v>#REF!</v>
      </c>
      <c r="BJ141" s="4" t="e">
        <f>BI141/VLOOKUP(A141,'[63]geoMap (60)'!$A:$B,2,0)*VLOOKUP(A141,'[63]geoMap (60)'!$A:$C,3,0)</f>
        <v>#REF!</v>
      </c>
      <c r="BK141" s="1" t="e">
        <f>BJ141/VLOOKUP(A141,'[64]geoMap (61)'!$A:$B,2,0)*VLOOKUP(A141,'[64]geoMap (61)'!$A:$C,3,0)</f>
        <v>#REF!</v>
      </c>
      <c r="BL141" s="4" t="e">
        <f>BK141/VLOOKUP(A141,'[65]geoMap (62)'!$A:$B,2,0)*VLOOKUP(A141,'[65]geoMap (62)'!$A:$C,3,0)</f>
        <v>#REF!</v>
      </c>
      <c r="BM141" s="1" t="e">
        <f>BL141/VLOOKUP(A141,'[66]geoMap (63)'!$A:$B,2,0)*VLOOKUP(A141,'[66]geoMap (63)'!$A:$C,3,0)</f>
        <v>#REF!</v>
      </c>
      <c r="BN141" s="4" t="e">
        <f>BM141/VLOOKUP(A141,'[67]geoMap (64)'!$A:$B,2,0)*VLOOKUP(A141,'[67]geoMap (64)'!$A:$C,3,0)</f>
        <v>#REF!</v>
      </c>
      <c r="BO141" s="1" t="e">
        <f>BN141/VLOOKUP(A141,'[68]geoMap (65)'!$A:$B,2,0)*VLOOKUP(A141,'[68]geoMap (65)'!$A:$C,3,0)</f>
        <v>#REF!</v>
      </c>
      <c r="BP141" s="4" t="e">
        <f>BO141/VLOOKUP(A141,'[69]geoMap (66)'!$A:$B,2,0)*VLOOKUP(A141,'[69]geoMap (66)'!$A:$C,3,0)</f>
        <v>#REF!</v>
      </c>
    </row>
    <row r="142" spans="1:68" x14ac:dyDescent="0.2">
      <c r="A142" s="1" t="s">
        <v>116</v>
      </c>
      <c r="B142" s="1" t="e">
        <f>VLOOKUP(A142,[3]geoMap!$A:$B,2,0)*Notes!$C$6</f>
        <v>#REF!</v>
      </c>
      <c r="C142" s="1" t="e">
        <f>B142/VLOOKUP(A142,'[4]geoMap (1)'!$A:$B,2,0)*VLOOKUP(A142,'[4]geoMap (1)'!$A:$C,3,0)</f>
        <v>#REF!</v>
      </c>
      <c r="D142" s="1" t="e">
        <f>C142/VLOOKUP(A142,'[5]geoMap (2)'!$A:$B,2,0)*VLOOKUP(A142,'[5]geoMap (2)'!$A:$C,3,0)</f>
        <v>#REF!</v>
      </c>
      <c r="E142" s="1" t="e">
        <f>D142/VLOOKUP(A142,'[6]geoMap (3)'!$A:$B,2,0)*VLOOKUP(A142,'[6]geoMap (3)'!$A:$C,3,0)</f>
        <v>#REF!</v>
      </c>
      <c r="F142" s="1" t="e">
        <f>E142/VLOOKUP(A142,'[7]geoMap (4)'!$A:$B,2,0)*VLOOKUP(A142,'[7]geoMap (4)'!$A:$C,3,0)</f>
        <v>#REF!</v>
      </c>
      <c r="G142" s="1" t="e">
        <f>F142/VLOOKUP(A142,'[8]geoMap (5)'!$A:$B,2,0)*VLOOKUP(A142,'[8]geoMap (5)'!$A:$C,3,0)</f>
        <v>#REF!</v>
      </c>
      <c r="H142" s="1" t="e">
        <f>G142/VLOOKUP(A142,'[9]geoMap (6)'!$A:$B,2,0)*VLOOKUP(A142,'[9]geoMap (6)'!$A:$C,3,0)</f>
        <v>#REF!</v>
      </c>
      <c r="I142" s="1" t="e">
        <f>H142/VLOOKUP(A142,'[10]geoMap (7)'!$A:$B,2,0)*VLOOKUP(A142,'[10]geoMap (7)'!$A:$C,3,0)</f>
        <v>#REF!</v>
      </c>
      <c r="J142" s="1" t="e">
        <f>I142/VLOOKUP(A142,'[11]geoMap (8)'!$A:$B,2,0)*VLOOKUP(A142,'[11]geoMap (8)'!$A:$C,3,0)</f>
        <v>#REF!</v>
      </c>
      <c r="K142" s="1" t="e">
        <f>J142/VLOOKUP(A142,'[12]geoMap (9)'!$A:$B,2,0)*VLOOKUP(A142,'[12]geoMap (9)'!$A:$C,3,0)</f>
        <v>#REF!</v>
      </c>
      <c r="L142" s="1" t="e">
        <f>K142/VLOOKUP(A142,'[13]geoMap (10)'!$A:$B,2,0)*VLOOKUP(A142,'[13]geoMap (10)'!$A:$C,3,0)</f>
        <v>#REF!</v>
      </c>
      <c r="M142" s="1" t="e">
        <f>L142/VLOOKUP(A142,'[14]geoMap (11)'!$A:$B,2,0)*VLOOKUP(A142,'[14]geoMap (11)'!$A:$C,3,0)</f>
        <v>#REF!</v>
      </c>
      <c r="N142" s="1" t="e">
        <f>M142/VLOOKUP(A142,'[15]geoMap (12)'!$A:$B,2,0)*VLOOKUP(A142,'[15]geoMap (12)'!$A:$C,3,0)</f>
        <v>#REF!</v>
      </c>
      <c r="O142" s="1" t="e">
        <f>N142/VLOOKUP(A142,'[16]geoMap (13)'!$A:$B,2,0)*VLOOKUP(A142,'[16]geoMap (13)'!$A:$C,3,0)</f>
        <v>#REF!</v>
      </c>
      <c r="P142" s="1" t="e">
        <f>O142/VLOOKUP(A142,'[17]geoMap (14)'!$A:$B,2,0)*VLOOKUP(A142,'[17]geoMap (14)'!$A:$C,3,0)</f>
        <v>#REF!</v>
      </c>
      <c r="Q142" s="1" t="e">
        <f>P142/VLOOKUP(A142,'[18]geoMap (15)'!$A:$B,2,0)*VLOOKUP(A142,'[18]geoMap (15)'!$A:$C,3,0)</f>
        <v>#REF!</v>
      </c>
      <c r="R142" s="1" t="e">
        <f>Q142/VLOOKUP(A142,'[19]geoMap (16)'!$A:$B,2,0)*VLOOKUP(A142,'[19]geoMap (16)'!$A:$C,3,0)</f>
        <v>#REF!</v>
      </c>
      <c r="S142" s="1" t="e">
        <f>R142/VLOOKUP(A142,'[20]geoMap (17)'!$A:$B,2,0)*VLOOKUP(A142,'[20]geoMap (17)'!$A:$C,3,0)</f>
        <v>#REF!</v>
      </c>
      <c r="T142" s="1" t="e">
        <f>S142/VLOOKUP(A142,'[21]geoMap (18)'!$A:$B,2,0)*VLOOKUP(A142,'[21]geoMap (18)'!$A:$C,3,0)</f>
        <v>#REF!</v>
      </c>
      <c r="U142" s="1" t="e">
        <f>T142/VLOOKUP(A142,'[22]geoMap (19)'!$A:$B,2,0)*VLOOKUP(A142,'[22]geoMap (19)'!$A:$C,3,0)</f>
        <v>#REF!</v>
      </c>
      <c r="V142" s="1" t="e">
        <f>U142/VLOOKUP(A142,'[23]geoMap (20)'!$A:$B,2,0)*VLOOKUP(A142,'[23]geoMap (20)'!$A:$C,3,0)</f>
        <v>#REF!</v>
      </c>
      <c r="W142" s="1" t="e">
        <f>V142/VLOOKUP(A142,'[24]geoMap (21)'!$A:$B,2,0)*VLOOKUP(A142,'[24]geoMap (21)'!$A:$C,3,0)</f>
        <v>#REF!</v>
      </c>
      <c r="X142" s="1" t="e">
        <f>W142/VLOOKUP(A142,'[25]geoMap (22)'!$A:$B,2,0)*VLOOKUP(A142,'[25]geoMap (22)'!$A:$C,3,0)</f>
        <v>#REF!</v>
      </c>
      <c r="Y142" s="1" t="e">
        <f>X142/VLOOKUP(A142,'[26]geoMap (23)'!$A:$B,2,0)*VLOOKUP(A142,'[26]geoMap (23)'!$A:$C,3,0)</f>
        <v>#REF!</v>
      </c>
      <c r="Z142" s="1" t="e">
        <f>Y142/VLOOKUP(A142,'[27]geoMap (24)'!$A:$B,2,0)*VLOOKUP(A142,'[27]geoMap (24)'!$A:$C,3,0)</f>
        <v>#REF!</v>
      </c>
      <c r="AA142" s="1" t="e">
        <f>Z142/VLOOKUP(A142,'[28]geoMap (25)'!$A:$B,2,0)*VLOOKUP(A142,'[28]geoMap (25)'!$A:$C,3,0)</f>
        <v>#REF!</v>
      </c>
      <c r="AB142" s="1" t="e">
        <f>AA142*VLOOKUP(A142,'[29]geoMap (26)'!$A:$B,2,0)*VLOOKUP(A142,'[29]geoMap (26)'!$A:$C,3,0)</f>
        <v>#REF!</v>
      </c>
      <c r="AC142" s="1" t="e">
        <f>AB142/VLOOKUP(A142,'[30]geoMap (27)'!$A:$B,2,0)*VLOOKUP(A142,'[30]geoMap (27)'!$A:$C,3,0)</f>
        <v>#REF!</v>
      </c>
      <c r="AD142" s="1" t="e">
        <f>AC142/VLOOKUP(A142,'[31]geoMap (28)'!$A:$B,2,0)*VLOOKUP(A142,'[31]geoMap (28)'!$A:$C,3,0)</f>
        <v>#REF!</v>
      </c>
      <c r="AE142" s="1" t="e">
        <f>AD142/VLOOKUP(A142,'[32]geoMap (29)'!$A:$B,2,0)*VLOOKUP(A142,'[32]geoMap (29)'!$A:$C,3,0)</f>
        <v>#REF!</v>
      </c>
      <c r="AF142" s="1" t="e">
        <f>AE142/VLOOKUP(A142,'[33]geoMap (30)'!$A:$B,2,0)*VLOOKUP(A142,'[33]geoMap (30)'!$A:$C,3,0)</f>
        <v>#REF!</v>
      </c>
      <c r="AG142" s="1" t="e">
        <f>AF142/VLOOKUP(A142,'[34]geoMap (31)'!$A:$B,2,0)*VLOOKUP(A142,'[34]geoMap (31)'!$A:$C,3,0)</f>
        <v>#REF!</v>
      </c>
      <c r="AH142" s="1" t="e">
        <f>AG142/VLOOKUP(A142,'[35]geoMap (32)'!$A:$B,2,0)*VLOOKUP(A142,'[35]geoMap (32)'!$A:$C,3,0)</f>
        <v>#REF!</v>
      </c>
      <c r="AI142" s="1" t="e">
        <f>AH142/VLOOKUP(A142,'[36]geoMap (33)'!$A:$B,2,0)*VLOOKUP(A142,'[36]geoMap (33)'!$A:$C,3,0)</f>
        <v>#REF!</v>
      </c>
      <c r="AJ142" s="1" t="e">
        <f>AI142/VLOOKUP(A142,'[37]geoMap (34)'!$A:$B,2,0)*VLOOKUP(A142,'[37]geoMap (34)'!$A:$C,3,0)</f>
        <v>#REF!</v>
      </c>
      <c r="AK142" s="1" t="e">
        <f>AJ142/VLOOKUP(A142,'[38]geoMap (35)'!$A:$B,2,0)*VLOOKUP(A142,'[38]geoMap (35)'!$A:$C,3,0)</f>
        <v>#REF!</v>
      </c>
      <c r="AL142" s="1" t="e">
        <f>AK142/VLOOKUP(A142,'[39]geoMap (36)'!$A:$B,2,0)*VLOOKUP(A142,'[39]geoMap (36)'!$A:$C,3,0)</f>
        <v>#REF!</v>
      </c>
      <c r="AM142" s="1" t="e">
        <f>AL142/VLOOKUP(A142,'[40]geoMap (37)'!$A:$B,2,0)*VLOOKUP(A142,'[40]geoMap (37)'!$A:$C,3,0)</f>
        <v>#REF!</v>
      </c>
      <c r="AN142" s="1" t="e">
        <f>AM142/VLOOKUP(A142,'[41]geoMap (38)'!$A:$B,2,0)*VLOOKUP(A142,'[41]geoMap (38)'!$A:$C,3,0)</f>
        <v>#REF!</v>
      </c>
      <c r="AO142" s="1" t="e">
        <f>AN142/VLOOKUP(A142,'[42]geoMap (39)'!$A:$B,2,0)*VLOOKUP(A142,'[42]geoMap (39)'!$A:$C,3,0)</f>
        <v>#REF!</v>
      </c>
      <c r="AP142" s="1" t="e">
        <f>AO142/VLOOKUP(A142,'[43]geoMap (40)'!$A:$B,2,0)*VLOOKUP(A142,'[43]geoMap (40)'!$A:$C,3,0)</f>
        <v>#REF!</v>
      </c>
      <c r="AQ142" s="1" t="e">
        <f>AP142/VLOOKUP(A142,'[44]geoMap (41)'!$A:$B,2,0)*VLOOKUP(A142,'[44]geoMap (41)'!$A:$C,3,0)</f>
        <v>#REF!</v>
      </c>
      <c r="AR142" s="1" t="e">
        <f>AQ142/VLOOKUP(A142,'[45]geoMap (42)'!$A:$B,2,0)*VLOOKUP(A142,'[45]geoMap (42)'!$A:$C,3,0)</f>
        <v>#REF!</v>
      </c>
      <c r="AS142" s="1" t="e">
        <f>AR142/VLOOKUP(A142,'[46]geoMap (43)'!$A:$B,2,0)*VLOOKUP(A142,'[46]geoMap (43)'!$A:$C,3,0)</f>
        <v>#REF!</v>
      </c>
      <c r="AT142" s="1" t="e">
        <f>AS142/VLOOKUP(A142,'[47]geoMap (44)'!$A:$B,2,0)*VLOOKUP(A142,'[47]geoMap (44)'!$A:$C,3,0)</f>
        <v>#REF!</v>
      </c>
      <c r="AU142" s="1" t="e">
        <f>AT142/VLOOKUP(A142,'[48]geoMap (45)'!$A:$B,2,0)*VLOOKUP(A142,'[48]geoMap (45)'!$A:$C,3,0)</f>
        <v>#REF!</v>
      </c>
      <c r="AV142" s="1" t="e">
        <f>AU142/VLOOKUP(A142,'[49]geoMap (46)'!$A:$B,2,0)*VLOOKUP(A142,'[49]geoMap (46)'!$A:$C,3,0)</f>
        <v>#REF!</v>
      </c>
      <c r="AW142" s="1" t="e">
        <f>AV142/VLOOKUP(A142,'[50]geoMap (47)'!$A:$B,2,0)*VLOOKUP(A142,'[50]geoMap (47)'!$A:$C,3,0)</f>
        <v>#REF!</v>
      </c>
      <c r="AX142" s="4" t="e">
        <f>AW142/VLOOKUP(A142,'[51]geoMap (48)'!$A:$B,2,0)*VLOOKUP(A142,'[51]geoMap (48)'!$A:$C,3,0)</f>
        <v>#REF!</v>
      </c>
      <c r="AY142" s="1" t="e">
        <f>AX142/VLOOKUP(A142,'[52]geoMap (49)'!$A:$B,2,0)*VLOOKUP(A142,'[52]geoMap (49)'!$A:$C,3,0)</f>
        <v>#REF!</v>
      </c>
      <c r="AZ142" s="4" t="e">
        <f>AY142/VLOOKUP(A142,'[53]geoMap (50)'!$A:$B,2,0)*VLOOKUP(A142,'[53]geoMap (50)'!$A:$C,3,0)</f>
        <v>#REF!</v>
      </c>
      <c r="BA142" s="1" t="e">
        <f>AZ142/VLOOKUP(A142,'[54]geoMap (51)'!$A:$B,2,0)*VLOOKUP(A142,'[54]geoMap (51)'!$A:$C,3,0)</f>
        <v>#REF!</v>
      </c>
      <c r="BB142" s="4" t="e">
        <f>BA142/VLOOKUP(A142,'[55]geoMap (52)'!$A:$B,2,0)*VLOOKUP(A142,'[55]geoMap (52)'!$A:$C,3,0)</f>
        <v>#REF!</v>
      </c>
      <c r="BC142" s="1" t="e">
        <f>BB142/VLOOKUP(A142,'[56]geoMap (53)'!$A:$B,2,0)*VLOOKUP(A142,'[56]geoMap (53)'!$A:$C,3,0)</f>
        <v>#REF!</v>
      </c>
      <c r="BD142" s="4" t="e">
        <f>BC142/VLOOKUP(A142,'[57]geoMap (54)'!$A:$B,2,0)*VLOOKUP(A142,'[57]geoMap (54)'!$A:$C,3,0)</f>
        <v>#REF!</v>
      </c>
      <c r="BE142" s="1" t="e">
        <f>BD142/VLOOKUP(A142,'[58]geoMap (55)'!$A:$B,2,0)*VLOOKUP(A142,'[58]geoMap (55)'!$A:$C,3,0)</f>
        <v>#REF!</v>
      </c>
      <c r="BF142" s="4" t="e">
        <f>BE142/VLOOKUP(A142,'[59]geoMap (56)'!$A:$B,2,0)*VLOOKUP(A142,'[59]geoMap (56)'!$A:$C,3,0)</f>
        <v>#REF!</v>
      </c>
      <c r="BG142" s="1" t="e">
        <f>BF142/VLOOKUP(A142,'[60]geoMap (57)'!$A:$B,2,0)*VLOOKUP(A142,'[60]geoMap (57)'!$A:$C,3,0)</f>
        <v>#REF!</v>
      </c>
      <c r="BH142" s="4" t="e">
        <f>BG142/VLOOKUP(A142,'[61]geoMap (58)'!$A:$B,2,0)*VLOOKUP(A142,'[61]geoMap (58)'!$A:$C,3,0)</f>
        <v>#REF!</v>
      </c>
      <c r="BI142" s="1" t="e">
        <f>BH142/VLOOKUP(A142,'[62]geoMap (59)'!$A:$B,2,0)*VLOOKUP(A142,'[62]geoMap (59)'!$A:$C,3,0)</f>
        <v>#REF!</v>
      </c>
      <c r="BJ142" s="4" t="e">
        <f>BI142/VLOOKUP(A142,'[63]geoMap (60)'!$A:$B,2,0)*VLOOKUP(A142,'[63]geoMap (60)'!$A:$C,3,0)</f>
        <v>#REF!</v>
      </c>
      <c r="BK142" s="1" t="e">
        <f>BJ142/VLOOKUP(A142,'[64]geoMap (61)'!$A:$B,2,0)*VLOOKUP(A142,'[64]geoMap (61)'!$A:$C,3,0)</f>
        <v>#REF!</v>
      </c>
      <c r="BL142" s="4" t="e">
        <f>BK142/VLOOKUP(A142,'[65]geoMap (62)'!$A:$B,2,0)*VLOOKUP(A142,'[65]geoMap (62)'!$A:$C,3,0)</f>
        <v>#REF!</v>
      </c>
      <c r="BM142" s="1" t="e">
        <f>BL142/VLOOKUP(A142,'[66]geoMap (63)'!$A:$B,2,0)*VLOOKUP(A142,'[66]geoMap (63)'!$A:$C,3,0)</f>
        <v>#REF!</v>
      </c>
      <c r="BN142" s="4" t="e">
        <f>BM142/VLOOKUP(A142,'[67]geoMap (64)'!$A:$B,2,0)*VLOOKUP(A142,'[67]geoMap (64)'!$A:$C,3,0)</f>
        <v>#REF!</v>
      </c>
      <c r="BO142" s="1" t="e">
        <f>BN142/VLOOKUP(A142,'[68]geoMap (65)'!$A:$B,2,0)*VLOOKUP(A142,'[68]geoMap (65)'!$A:$C,3,0)</f>
        <v>#REF!</v>
      </c>
      <c r="BP142" s="4" t="e">
        <f>BO142/VLOOKUP(A142,'[69]geoMap (66)'!$A:$B,2,0)*VLOOKUP(A142,'[69]geoMap (66)'!$A:$C,3,0)</f>
        <v>#REF!</v>
      </c>
    </row>
    <row r="143" spans="1:68" x14ac:dyDescent="0.2">
      <c r="A143" s="1" t="s">
        <v>118</v>
      </c>
      <c r="B143" s="1" t="e">
        <f>VLOOKUP(A143,[3]geoMap!$A:$B,2,0)*Notes!$C$6</f>
        <v>#REF!</v>
      </c>
      <c r="C143" s="1" t="e">
        <f>B143/VLOOKUP(A143,'[4]geoMap (1)'!$A:$B,2,0)*VLOOKUP(A143,'[4]geoMap (1)'!$A:$C,3,0)</f>
        <v>#REF!</v>
      </c>
      <c r="D143" s="1" t="e">
        <f>C143/VLOOKUP(A143,'[5]geoMap (2)'!$A:$B,2,0)*VLOOKUP(A143,'[5]geoMap (2)'!$A:$C,3,0)</f>
        <v>#REF!</v>
      </c>
      <c r="E143" s="1" t="e">
        <f>D143/VLOOKUP(A143,'[6]geoMap (3)'!$A:$B,2,0)*VLOOKUP(A143,'[6]geoMap (3)'!$A:$C,3,0)</f>
        <v>#REF!</v>
      </c>
      <c r="F143" s="1" t="e">
        <f>E143/VLOOKUP(A143,'[7]geoMap (4)'!$A:$B,2,0)*VLOOKUP(A143,'[7]geoMap (4)'!$A:$C,3,0)</f>
        <v>#REF!</v>
      </c>
      <c r="G143" s="1" t="e">
        <f>F143/VLOOKUP(A143,'[8]geoMap (5)'!$A:$B,2,0)*VLOOKUP(A143,'[8]geoMap (5)'!$A:$C,3,0)</f>
        <v>#REF!</v>
      </c>
      <c r="H143" s="1" t="e">
        <f>G143/VLOOKUP(A143,'[9]geoMap (6)'!$A:$B,2,0)*VLOOKUP(A143,'[9]geoMap (6)'!$A:$C,3,0)</f>
        <v>#REF!</v>
      </c>
      <c r="I143" s="1" t="e">
        <f>H143/VLOOKUP(A143,'[10]geoMap (7)'!$A:$B,2,0)*VLOOKUP(A143,'[10]geoMap (7)'!$A:$C,3,0)</f>
        <v>#REF!</v>
      </c>
      <c r="J143" s="1" t="e">
        <f>I143/VLOOKUP(A143,'[11]geoMap (8)'!$A:$B,2,0)*VLOOKUP(A143,'[11]geoMap (8)'!$A:$C,3,0)</f>
        <v>#REF!</v>
      </c>
      <c r="K143" s="1" t="e">
        <f>J143/VLOOKUP(A143,'[12]geoMap (9)'!$A:$B,2,0)*VLOOKUP(A143,'[12]geoMap (9)'!$A:$C,3,0)</f>
        <v>#REF!</v>
      </c>
      <c r="L143" s="1" t="e">
        <f>K143/VLOOKUP(A143,'[13]geoMap (10)'!$A:$B,2,0)*VLOOKUP(A143,'[13]geoMap (10)'!$A:$C,3,0)</f>
        <v>#REF!</v>
      </c>
      <c r="M143" s="1" t="e">
        <f>L143/VLOOKUP(A143,'[14]geoMap (11)'!$A:$B,2,0)*VLOOKUP(A143,'[14]geoMap (11)'!$A:$C,3,0)</f>
        <v>#REF!</v>
      </c>
      <c r="N143" s="1" t="e">
        <f>M143/VLOOKUP(A143,'[15]geoMap (12)'!$A:$B,2,0)*VLOOKUP(A143,'[15]geoMap (12)'!$A:$C,3,0)</f>
        <v>#REF!</v>
      </c>
      <c r="O143" s="1" t="e">
        <f>N143/VLOOKUP(A143,'[16]geoMap (13)'!$A:$B,2,0)*VLOOKUP(A143,'[16]geoMap (13)'!$A:$C,3,0)</f>
        <v>#REF!</v>
      </c>
      <c r="P143" s="1" t="e">
        <f>O143/VLOOKUP(A143,'[17]geoMap (14)'!$A:$B,2,0)*VLOOKUP(A143,'[17]geoMap (14)'!$A:$C,3,0)</f>
        <v>#REF!</v>
      </c>
      <c r="Q143" s="1" t="e">
        <f>P143/VLOOKUP(A143,'[18]geoMap (15)'!$A:$B,2,0)*VLOOKUP(A143,'[18]geoMap (15)'!$A:$C,3,0)</f>
        <v>#REF!</v>
      </c>
      <c r="R143" s="1" t="e">
        <f>Q143/VLOOKUP(A143,'[19]geoMap (16)'!$A:$B,2,0)*VLOOKUP(A143,'[19]geoMap (16)'!$A:$C,3,0)</f>
        <v>#REF!</v>
      </c>
      <c r="S143" s="1" t="e">
        <f>R143/VLOOKUP(A143,'[20]geoMap (17)'!$A:$B,2,0)*VLOOKUP(A143,'[20]geoMap (17)'!$A:$C,3,0)</f>
        <v>#REF!</v>
      </c>
      <c r="T143" s="1" t="e">
        <f>S143/VLOOKUP(A143,'[21]geoMap (18)'!$A:$B,2,0)*VLOOKUP(A143,'[21]geoMap (18)'!$A:$C,3,0)</f>
        <v>#REF!</v>
      </c>
      <c r="U143" s="1" t="e">
        <f>T143/VLOOKUP(A143,'[22]geoMap (19)'!$A:$B,2,0)*VLOOKUP(A143,'[22]geoMap (19)'!$A:$C,3,0)</f>
        <v>#REF!</v>
      </c>
      <c r="V143" s="1" t="e">
        <f>U143/VLOOKUP(A143,'[23]geoMap (20)'!$A:$B,2,0)*VLOOKUP(A143,'[23]geoMap (20)'!$A:$C,3,0)</f>
        <v>#REF!</v>
      </c>
      <c r="W143" s="1" t="e">
        <f>V143/VLOOKUP(A143,'[24]geoMap (21)'!$A:$B,2,0)*VLOOKUP(A143,'[24]geoMap (21)'!$A:$C,3,0)</f>
        <v>#REF!</v>
      </c>
      <c r="X143" s="1" t="e">
        <f>W143/VLOOKUP(A143,'[25]geoMap (22)'!$A:$B,2,0)*VLOOKUP(A143,'[25]geoMap (22)'!$A:$C,3,0)</f>
        <v>#REF!</v>
      </c>
      <c r="Y143" s="1" t="e">
        <f>X143/VLOOKUP(A143,'[26]geoMap (23)'!$A:$B,2,0)*VLOOKUP(A143,'[26]geoMap (23)'!$A:$C,3,0)</f>
        <v>#REF!</v>
      </c>
      <c r="Z143" s="1" t="e">
        <f>Y143/VLOOKUP(A143,'[27]geoMap (24)'!$A:$B,2,0)*VLOOKUP(A143,'[27]geoMap (24)'!$A:$C,3,0)</f>
        <v>#REF!</v>
      </c>
      <c r="AA143" s="1" t="e">
        <f>Z143/VLOOKUP(A143,'[28]geoMap (25)'!$A:$B,2,0)*VLOOKUP(A143,'[28]geoMap (25)'!$A:$C,3,0)</f>
        <v>#REF!</v>
      </c>
      <c r="AB143" s="1" t="e">
        <f>AA143*VLOOKUP(A143,'[29]geoMap (26)'!$A:$B,2,0)*VLOOKUP(A143,'[29]geoMap (26)'!$A:$C,3,0)</f>
        <v>#REF!</v>
      </c>
      <c r="AC143" s="1" t="e">
        <f>AB143/VLOOKUP(A143,'[30]geoMap (27)'!$A:$B,2,0)*VLOOKUP(A143,'[30]geoMap (27)'!$A:$C,3,0)</f>
        <v>#REF!</v>
      </c>
      <c r="AD143" s="1" t="e">
        <f>AC143/VLOOKUP(A143,'[31]geoMap (28)'!$A:$B,2,0)*VLOOKUP(A143,'[31]geoMap (28)'!$A:$C,3,0)</f>
        <v>#REF!</v>
      </c>
      <c r="AE143" s="1" t="e">
        <f>AD143/VLOOKUP(A143,'[32]geoMap (29)'!$A:$B,2,0)*VLOOKUP(A143,'[32]geoMap (29)'!$A:$C,3,0)</f>
        <v>#REF!</v>
      </c>
      <c r="AF143" s="1" t="e">
        <f>AE143/VLOOKUP(A143,'[33]geoMap (30)'!$A:$B,2,0)*VLOOKUP(A143,'[33]geoMap (30)'!$A:$C,3,0)</f>
        <v>#REF!</v>
      </c>
      <c r="AG143" s="1" t="e">
        <f>AF143/VLOOKUP(A143,'[34]geoMap (31)'!$A:$B,2,0)*VLOOKUP(A143,'[34]geoMap (31)'!$A:$C,3,0)</f>
        <v>#REF!</v>
      </c>
      <c r="AH143" s="1" t="e">
        <f>AG143/VLOOKUP(A143,'[35]geoMap (32)'!$A:$B,2,0)*VLOOKUP(A143,'[35]geoMap (32)'!$A:$C,3,0)</f>
        <v>#REF!</v>
      </c>
      <c r="AI143" s="1" t="e">
        <f>AH143/VLOOKUP(A143,'[36]geoMap (33)'!$A:$B,2,0)*VLOOKUP(A143,'[36]geoMap (33)'!$A:$C,3,0)</f>
        <v>#REF!</v>
      </c>
      <c r="AJ143" s="1" t="e">
        <f>AI143/VLOOKUP(A143,'[37]geoMap (34)'!$A:$B,2,0)*VLOOKUP(A143,'[37]geoMap (34)'!$A:$C,3,0)</f>
        <v>#REF!</v>
      </c>
      <c r="AK143" s="1" t="e">
        <f>AJ143/VLOOKUP(A143,'[38]geoMap (35)'!$A:$B,2,0)*VLOOKUP(A143,'[38]geoMap (35)'!$A:$C,3,0)</f>
        <v>#REF!</v>
      </c>
      <c r="AL143" s="1" t="e">
        <f>AK143/VLOOKUP(A143,'[39]geoMap (36)'!$A:$B,2,0)*VLOOKUP(A143,'[39]geoMap (36)'!$A:$C,3,0)</f>
        <v>#REF!</v>
      </c>
      <c r="AM143" s="1" t="e">
        <f>AL143/VLOOKUP(A143,'[40]geoMap (37)'!$A:$B,2,0)*VLOOKUP(A143,'[40]geoMap (37)'!$A:$C,3,0)</f>
        <v>#REF!</v>
      </c>
      <c r="AN143" s="1" t="e">
        <f>AM143/VLOOKUP(A143,'[41]geoMap (38)'!$A:$B,2,0)*VLOOKUP(A143,'[41]geoMap (38)'!$A:$C,3,0)</f>
        <v>#REF!</v>
      </c>
      <c r="AO143" s="1" t="e">
        <f>AN143/VLOOKUP(A143,'[42]geoMap (39)'!$A:$B,2,0)*VLOOKUP(A143,'[42]geoMap (39)'!$A:$C,3,0)</f>
        <v>#REF!</v>
      </c>
      <c r="AP143" s="1" t="e">
        <f>AO143/VLOOKUP(A143,'[43]geoMap (40)'!$A:$B,2,0)*VLOOKUP(A143,'[43]geoMap (40)'!$A:$C,3,0)</f>
        <v>#REF!</v>
      </c>
      <c r="AQ143" s="1" t="e">
        <f>AP143/VLOOKUP(A143,'[44]geoMap (41)'!$A:$B,2,0)*VLOOKUP(A143,'[44]geoMap (41)'!$A:$C,3,0)</f>
        <v>#REF!</v>
      </c>
      <c r="AR143" s="1" t="e">
        <f>AQ143/VLOOKUP(A143,'[45]geoMap (42)'!$A:$B,2,0)*VLOOKUP(A143,'[45]geoMap (42)'!$A:$C,3,0)</f>
        <v>#REF!</v>
      </c>
      <c r="AS143" s="1" t="e">
        <f>AR143/VLOOKUP(A143,'[46]geoMap (43)'!$A:$B,2,0)*VLOOKUP(A143,'[46]geoMap (43)'!$A:$C,3,0)</f>
        <v>#REF!</v>
      </c>
      <c r="AT143" s="1" t="e">
        <f>AS143/VLOOKUP(A143,'[47]geoMap (44)'!$A:$B,2,0)*VLOOKUP(A143,'[47]geoMap (44)'!$A:$C,3,0)</f>
        <v>#REF!</v>
      </c>
      <c r="AU143" s="1" t="e">
        <f>AT143/VLOOKUP(A143,'[48]geoMap (45)'!$A:$B,2,0)*VLOOKUP(A143,'[48]geoMap (45)'!$A:$C,3,0)</f>
        <v>#REF!</v>
      </c>
      <c r="AV143" s="1" t="e">
        <f>AU143/VLOOKUP(A143,'[49]geoMap (46)'!$A:$B,2,0)*VLOOKUP(A143,'[49]geoMap (46)'!$A:$C,3,0)</f>
        <v>#REF!</v>
      </c>
      <c r="AW143" s="1" t="e">
        <f>AV143/VLOOKUP(A143,'[50]geoMap (47)'!$A:$B,2,0)*VLOOKUP(A143,'[50]geoMap (47)'!$A:$C,3,0)</f>
        <v>#REF!</v>
      </c>
      <c r="AX143" s="4" t="e">
        <f>AW143/VLOOKUP(A143,'[51]geoMap (48)'!$A:$B,2,0)*VLOOKUP(A143,'[51]geoMap (48)'!$A:$C,3,0)</f>
        <v>#REF!</v>
      </c>
      <c r="AY143" s="1" t="e">
        <f>AX143/VLOOKUP(A143,'[52]geoMap (49)'!$A:$B,2,0)*VLOOKUP(A143,'[52]geoMap (49)'!$A:$C,3,0)</f>
        <v>#REF!</v>
      </c>
      <c r="AZ143" s="4" t="e">
        <f>AY143/VLOOKUP(A143,'[53]geoMap (50)'!$A:$B,2,0)*VLOOKUP(A143,'[53]geoMap (50)'!$A:$C,3,0)</f>
        <v>#REF!</v>
      </c>
      <c r="BA143" s="1" t="e">
        <f>AZ143/VLOOKUP(A143,'[54]geoMap (51)'!$A:$B,2,0)*VLOOKUP(A143,'[54]geoMap (51)'!$A:$C,3,0)</f>
        <v>#REF!</v>
      </c>
      <c r="BB143" s="4" t="e">
        <f>BA143/VLOOKUP(A143,'[55]geoMap (52)'!$A:$B,2,0)*VLOOKUP(A143,'[55]geoMap (52)'!$A:$C,3,0)</f>
        <v>#REF!</v>
      </c>
      <c r="BC143" s="1" t="e">
        <f>BB143/VLOOKUP(A143,'[56]geoMap (53)'!$A:$B,2,0)*VLOOKUP(A143,'[56]geoMap (53)'!$A:$C,3,0)</f>
        <v>#REF!</v>
      </c>
      <c r="BD143" s="4" t="e">
        <f>BC143/VLOOKUP(A143,'[57]geoMap (54)'!$A:$B,2,0)*VLOOKUP(A143,'[57]geoMap (54)'!$A:$C,3,0)</f>
        <v>#REF!</v>
      </c>
      <c r="BE143" s="1" t="e">
        <f>BD143/VLOOKUP(A143,'[58]geoMap (55)'!$A:$B,2,0)*VLOOKUP(A143,'[58]geoMap (55)'!$A:$C,3,0)</f>
        <v>#REF!</v>
      </c>
      <c r="BF143" s="4" t="e">
        <f>BE143/VLOOKUP(A143,'[59]geoMap (56)'!$A:$B,2,0)*VLOOKUP(A143,'[59]geoMap (56)'!$A:$C,3,0)</f>
        <v>#REF!</v>
      </c>
      <c r="BG143" s="1" t="e">
        <f>BF143/VLOOKUP(A143,'[60]geoMap (57)'!$A:$B,2,0)*VLOOKUP(A143,'[60]geoMap (57)'!$A:$C,3,0)</f>
        <v>#REF!</v>
      </c>
      <c r="BH143" s="4" t="e">
        <f>BG143/VLOOKUP(A143,'[61]geoMap (58)'!$A:$B,2,0)*VLOOKUP(A143,'[61]geoMap (58)'!$A:$C,3,0)</f>
        <v>#REF!</v>
      </c>
      <c r="BI143" s="1" t="e">
        <f>BH143/VLOOKUP(A143,'[62]geoMap (59)'!$A:$B,2,0)*VLOOKUP(A143,'[62]geoMap (59)'!$A:$C,3,0)</f>
        <v>#REF!</v>
      </c>
      <c r="BJ143" s="4" t="e">
        <f>BI143/VLOOKUP(A143,'[63]geoMap (60)'!$A:$B,2,0)*VLOOKUP(A143,'[63]geoMap (60)'!$A:$C,3,0)</f>
        <v>#REF!</v>
      </c>
      <c r="BK143" s="1" t="e">
        <f>BJ143/VLOOKUP(A143,'[64]geoMap (61)'!$A:$B,2,0)*VLOOKUP(A143,'[64]geoMap (61)'!$A:$C,3,0)</f>
        <v>#REF!</v>
      </c>
      <c r="BL143" s="4" t="e">
        <f>BK143/VLOOKUP(A143,'[65]geoMap (62)'!$A:$B,2,0)*VLOOKUP(A143,'[65]geoMap (62)'!$A:$C,3,0)</f>
        <v>#REF!</v>
      </c>
      <c r="BM143" s="1" t="e">
        <f>BL143/VLOOKUP(A143,'[66]geoMap (63)'!$A:$B,2,0)*VLOOKUP(A143,'[66]geoMap (63)'!$A:$C,3,0)</f>
        <v>#REF!</v>
      </c>
      <c r="BN143" s="4" t="e">
        <f>BM143/VLOOKUP(A143,'[67]geoMap (64)'!$A:$B,2,0)*VLOOKUP(A143,'[67]geoMap (64)'!$A:$C,3,0)</f>
        <v>#REF!</v>
      </c>
      <c r="BO143" s="1" t="e">
        <f>BN143/VLOOKUP(A143,'[68]geoMap (65)'!$A:$B,2,0)*VLOOKUP(A143,'[68]geoMap (65)'!$A:$C,3,0)</f>
        <v>#REF!</v>
      </c>
      <c r="BP143" s="4" t="e">
        <f>BO143/VLOOKUP(A143,'[69]geoMap (66)'!$A:$B,2,0)*VLOOKUP(A143,'[69]geoMap (66)'!$A:$C,3,0)</f>
        <v>#REF!</v>
      </c>
    </row>
    <row r="144" spans="1:68" x14ac:dyDescent="0.2">
      <c r="A144" s="1" t="s">
        <v>119</v>
      </c>
      <c r="B144" s="1" t="e">
        <f>VLOOKUP(A144,[3]geoMap!$A:$B,2,0)*Notes!$C$6</f>
        <v>#REF!</v>
      </c>
      <c r="C144" s="1" t="e">
        <f>B144/VLOOKUP(A144,'[4]geoMap (1)'!$A:$B,2,0)*VLOOKUP(A144,'[4]geoMap (1)'!$A:$C,3,0)</f>
        <v>#REF!</v>
      </c>
      <c r="D144" s="1" t="e">
        <f>C144/VLOOKUP(A144,'[5]geoMap (2)'!$A:$B,2,0)*VLOOKUP(A144,'[5]geoMap (2)'!$A:$C,3,0)</f>
        <v>#REF!</v>
      </c>
      <c r="E144" s="1" t="e">
        <f>D144/VLOOKUP(A144,'[6]geoMap (3)'!$A:$B,2,0)*VLOOKUP(A144,'[6]geoMap (3)'!$A:$C,3,0)</f>
        <v>#REF!</v>
      </c>
      <c r="F144" s="1" t="e">
        <f>E144/VLOOKUP(A144,'[7]geoMap (4)'!$A:$B,2,0)*VLOOKUP(A144,'[7]geoMap (4)'!$A:$C,3,0)</f>
        <v>#REF!</v>
      </c>
      <c r="G144" s="1" t="e">
        <f>F144/VLOOKUP(A144,'[8]geoMap (5)'!$A:$B,2,0)*VLOOKUP(A144,'[8]geoMap (5)'!$A:$C,3,0)</f>
        <v>#REF!</v>
      </c>
      <c r="H144" s="1" t="e">
        <f>G144/VLOOKUP(A144,'[9]geoMap (6)'!$A:$B,2,0)*VLOOKUP(A144,'[9]geoMap (6)'!$A:$C,3,0)</f>
        <v>#REF!</v>
      </c>
      <c r="I144" s="1" t="e">
        <f>H144/VLOOKUP(A144,'[10]geoMap (7)'!$A:$B,2,0)*VLOOKUP(A144,'[10]geoMap (7)'!$A:$C,3,0)</f>
        <v>#REF!</v>
      </c>
      <c r="J144" s="1" t="e">
        <f>I144/VLOOKUP(A144,'[11]geoMap (8)'!$A:$B,2,0)*VLOOKUP(A144,'[11]geoMap (8)'!$A:$C,3,0)</f>
        <v>#REF!</v>
      </c>
      <c r="K144" s="1" t="e">
        <f>J144/VLOOKUP(A144,'[12]geoMap (9)'!$A:$B,2,0)*VLOOKUP(A144,'[12]geoMap (9)'!$A:$C,3,0)</f>
        <v>#REF!</v>
      </c>
      <c r="L144" s="1" t="e">
        <f>K144/VLOOKUP(A144,'[13]geoMap (10)'!$A:$B,2,0)*VLOOKUP(A144,'[13]geoMap (10)'!$A:$C,3,0)</f>
        <v>#REF!</v>
      </c>
      <c r="M144" s="1" t="e">
        <f>L144/VLOOKUP(A144,'[14]geoMap (11)'!$A:$B,2,0)*VLOOKUP(A144,'[14]geoMap (11)'!$A:$C,3,0)</f>
        <v>#REF!</v>
      </c>
      <c r="N144" s="1" t="e">
        <f>M144/VLOOKUP(A144,'[15]geoMap (12)'!$A:$B,2,0)*VLOOKUP(A144,'[15]geoMap (12)'!$A:$C,3,0)</f>
        <v>#REF!</v>
      </c>
      <c r="O144" s="1" t="e">
        <f>N144/VLOOKUP(A144,'[16]geoMap (13)'!$A:$B,2,0)*VLOOKUP(A144,'[16]geoMap (13)'!$A:$C,3,0)</f>
        <v>#REF!</v>
      </c>
      <c r="P144" s="1" t="e">
        <f>O144/VLOOKUP(A144,'[17]geoMap (14)'!$A:$B,2,0)*VLOOKUP(A144,'[17]geoMap (14)'!$A:$C,3,0)</f>
        <v>#REF!</v>
      </c>
      <c r="Q144" s="1" t="e">
        <f>P144/VLOOKUP(A144,'[18]geoMap (15)'!$A:$B,2,0)*VLOOKUP(A144,'[18]geoMap (15)'!$A:$C,3,0)</f>
        <v>#REF!</v>
      </c>
      <c r="R144" s="1" t="e">
        <f>Q144/VLOOKUP(A144,'[19]geoMap (16)'!$A:$B,2,0)*VLOOKUP(A144,'[19]geoMap (16)'!$A:$C,3,0)</f>
        <v>#REF!</v>
      </c>
      <c r="S144" s="1" t="e">
        <f>R144/VLOOKUP(A144,'[20]geoMap (17)'!$A:$B,2,0)*VLOOKUP(A144,'[20]geoMap (17)'!$A:$C,3,0)</f>
        <v>#REF!</v>
      </c>
      <c r="T144" s="1" t="e">
        <f>S144/VLOOKUP(A144,'[21]geoMap (18)'!$A:$B,2,0)*VLOOKUP(A144,'[21]geoMap (18)'!$A:$C,3,0)</f>
        <v>#REF!</v>
      </c>
      <c r="U144" s="1" t="e">
        <f>T144/VLOOKUP(A144,'[22]geoMap (19)'!$A:$B,2,0)*VLOOKUP(A144,'[22]geoMap (19)'!$A:$C,3,0)</f>
        <v>#REF!</v>
      </c>
      <c r="V144" s="1" t="e">
        <f>U144/VLOOKUP(A144,'[23]geoMap (20)'!$A:$B,2,0)*VLOOKUP(A144,'[23]geoMap (20)'!$A:$C,3,0)</f>
        <v>#REF!</v>
      </c>
      <c r="W144" s="1" t="e">
        <f>V144/VLOOKUP(A144,'[24]geoMap (21)'!$A:$B,2,0)*VLOOKUP(A144,'[24]geoMap (21)'!$A:$C,3,0)</f>
        <v>#REF!</v>
      </c>
      <c r="X144" s="1" t="e">
        <f>W144/VLOOKUP(A144,'[25]geoMap (22)'!$A:$B,2,0)*VLOOKUP(A144,'[25]geoMap (22)'!$A:$C,3,0)</f>
        <v>#REF!</v>
      </c>
      <c r="Y144" s="1" t="e">
        <f>X144/VLOOKUP(A144,'[26]geoMap (23)'!$A:$B,2,0)*VLOOKUP(A144,'[26]geoMap (23)'!$A:$C,3,0)</f>
        <v>#REF!</v>
      </c>
      <c r="Z144" s="1" t="e">
        <f>Y144/VLOOKUP(A144,'[27]geoMap (24)'!$A:$B,2,0)*VLOOKUP(A144,'[27]geoMap (24)'!$A:$C,3,0)</f>
        <v>#REF!</v>
      </c>
      <c r="AA144" s="1" t="e">
        <f>Z144/VLOOKUP(A144,'[28]geoMap (25)'!$A:$B,2,0)*VLOOKUP(A144,'[28]geoMap (25)'!$A:$C,3,0)</f>
        <v>#REF!</v>
      </c>
      <c r="AB144" s="1" t="e">
        <f>AA144*VLOOKUP(A144,'[29]geoMap (26)'!$A:$B,2,0)*VLOOKUP(A144,'[29]geoMap (26)'!$A:$C,3,0)</f>
        <v>#REF!</v>
      </c>
      <c r="AC144" s="1" t="e">
        <f>AB144/VLOOKUP(A144,'[30]geoMap (27)'!$A:$B,2,0)*VLOOKUP(A144,'[30]geoMap (27)'!$A:$C,3,0)</f>
        <v>#REF!</v>
      </c>
      <c r="AD144" s="1" t="e">
        <f>AC144/VLOOKUP(A144,'[31]geoMap (28)'!$A:$B,2,0)*VLOOKUP(A144,'[31]geoMap (28)'!$A:$C,3,0)</f>
        <v>#REF!</v>
      </c>
      <c r="AE144" s="1" t="e">
        <f>AD144/VLOOKUP(A144,'[32]geoMap (29)'!$A:$B,2,0)*VLOOKUP(A144,'[32]geoMap (29)'!$A:$C,3,0)</f>
        <v>#REF!</v>
      </c>
      <c r="AF144" s="1" t="e">
        <f>AE144/VLOOKUP(A144,'[33]geoMap (30)'!$A:$B,2,0)*VLOOKUP(A144,'[33]geoMap (30)'!$A:$C,3,0)</f>
        <v>#REF!</v>
      </c>
      <c r="AG144" s="1" t="e">
        <f>AF144/VLOOKUP(A144,'[34]geoMap (31)'!$A:$B,2,0)*VLOOKUP(A144,'[34]geoMap (31)'!$A:$C,3,0)</f>
        <v>#REF!</v>
      </c>
      <c r="AH144" s="1" t="e">
        <f>AG144/VLOOKUP(A144,'[35]geoMap (32)'!$A:$B,2,0)*VLOOKUP(A144,'[35]geoMap (32)'!$A:$C,3,0)</f>
        <v>#REF!</v>
      </c>
      <c r="AI144" s="1" t="e">
        <f>AH144/VLOOKUP(A144,'[36]geoMap (33)'!$A:$B,2,0)*VLOOKUP(A144,'[36]geoMap (33)'!$A:$C,3,0)</f>
        <v>#REF!</v>
      </c>
      <c r="AJ144" s="1" t="e">
        <f>AI144/VLOOKUP(A144,'[37]geoMap (34)'!$A:$B,2,0)*VLOOKUP(A144,'[37]geoMap (34)'!$A:$C,3,0)</f>
        <v>#REF!</v>
      </c>
      <c r="AK144" s="1" t="e">
        <f>AJ144/VLOOKUP(A144,'[38]geoMap (35)'!$A:$B,2,0)*VLOOKUP(A144,'[38]geoMap (35)'!$A:$C,3,0)</f>
        <v>#REF!</v>
      </c>
      <c r="AL144" s="1" t="e">
        <f>AK144/VLOOKUP(A144,'[39]geoMap (36)'!$A:$B,2,0)*VLOOKUP(A144,'[39]geoMap (36)'!$A:$C,3,0)</f>
        <v>#REF!</v>
      </c>
      <c r="AM144" s="1" t="e">
        <f>AL144/VLOOKUP(A144,'[40]geoMap (37)'!$A:$B,2,0)*VLOOKUP(A144,'[40]geoMap (37)'!$A:$C,3,0)</f>
        <v>#REF!</v>
      </c>
      <c r="AN144" s="1" t="e">
        <f>AM144/VLOOKUP(A144,'[41]geoMap (38)'!$A:$B,2,0)*VLOOKUP(A144,'[41]geoMap (38)'!$A:$C,3,0)</f>
        <v>#REF!</v>
      </c>
      <c r="AO144" s="1" t="e">
        <f>AN144/VLOOKUP(A144,'[42]geoMap (39)'!$A:$B,2,0)*VLOOKUP(A144,'[42]geoMap (39)'!$A:$C,3,0)</f>
        <v>#REF!</v>
      </c>
      <c r="AP144" s="1" t="e">
        <f>AO144/VLOOKUP(A144,'[43]geoMap (40)'!$A:$B,2,0)*VLOOKUP(A144,'[43]geoMap (40)'!$A:$C,3,0)</f>
        <v>#REF!</v>
      </c>
      <c r="AQ144" s="1" t="e">
        <f>AP144/VLOOKUP(A144,'[44]geoMap (41)'!$A:$B,2,0)*VLOOKUP(A144,'[44]geoMap (41)'!$A:$C,3,0)</f>
        <v>#REF!</v>
      </c>
      <c r="AR144" s="1" t="e">
        <f>AQ144/VLOOKUP(A144,'[45]geoMap (42)'!$A:$B,2,0)*VLOOKUP(A144,'[45]geoMap (42)'!$A:$C,3,0)</f>
        <v>#REF!</v>
      </c>
      <c r="AS144" s="1" t="e">
        <f>AR144/VLOOKUP(A144,'[46]geoMap (43)'!$A:$B,2,0)*VLOOKUP(A144,'[46]geoMap (43)'!$A:$C,3,0)</f>
        <v>#REF!</v>
      </c>
      <c r="AT144" s="1" t="e">
        <f>AS144/VLOOKUP(A144,'[47]geoMap (44)'!$A:$B,2,0)*VLOOKUP(A144,'[47]geoMap (44)'!$A:$C,3,0)</f>
        <v>#REF!</v>
      </c>
      <c r="AU144" s="1" t="e">
        <f>AT144/VLOOKUP(A144,'[48]geoMap (45)'!$A:$B,2,0)*VLOOKUP(A144,'[48]geoMap (45)'!$A:$C,3,0)</f>
        <v>#REF!</v>
      </c>
      <c r="AV144" s="1" t="e">
        <f>AU144/VLOOKUP(A144,'[49]geoMap (46)'!$A:$B,2,0)*VLOOKUP(A144,'[49]geoMap (46)'!$A:$C,3,0)</f>
        <v>#REF!</v>
      </c>
      <c r="AW144" s="1" t="e">
        <f>AV144/VLOOKUP(A144,'[50]geoMap (47)'!$A:$B,2,0)*VLOOKUP(A144,'[50]geoMap (47)'!$A:$C,3,0)</f>
        <v>#REF!</v>
      </c>
      <c r="AX144" s="4" t="e">
        <f>AW144/VLOOKUP(A144,'[51]geoMap (48)'!$A:$B,2,0)*VLOOKUP(A144,'[51]geoMap (48)'!$A:$C,3,0)</f>
        <v>#REF!</v>
      </c>
      <c r="AY144" s="1" t="e">
        <f>AX144/VLOOKUP(A144,'[52]geoMap (49)'!$A:$B,2,0)*VLOOKUP(A144,'[52]geoMap (49)'!$A:$C,3,0)</f>
        <v>#REF!</v>
      </c>
      <c r="AZ144" s="4" t="e">
        <f>AY144/VLOOKUP(A144,'[53]geoMap (50)'!$A:$B,2,0)*VLOOKUP(A144,'[53]geoMap (50)'!$A:$C,3,0)</f>
        <v>#REF!</v>
      </c>
      <c r="BA144" s="1" t="e">
        <f>AZ144/VLOOKUP(A144,'[54]geoMap (51)'!$A:$B,2,0)*VLOOKUP(A144,'[54]geoMap (51)'!$A:$C,3,0)</f>
        <v>#REF!</v>
      </c>
      <c r="BB144" s="4" t="e">
        <f>BA144/VLOOKUP(A144,'[55]geoMap (52)'!$A:$B,2,0)*VLOOKUP(A144,'[55]geoMap (52)'!$A:$C,3,0)</f>
        <v>#REF!</v>
      </c>
      <c r="BC144" s="1" t="e">
        <f>BB144/VLOOKUP(A144,'[56]geoMap (53)'!$A:$B,2,0)*VLOOKUP(A144,'[56]geoMap (53)'!$A:$C,3,0)</f>
        <v>#REF!</v>
      </c>
      <c r="BD144" s="4" t="e">
        <f>BC144/VLOOKUP(A144,'[57]geoMap (54)'!$A:$B,2,0)*VLOOKUP(A144,'[57]geoMap (54)'!$A:$C,3,0)</f>
        <v>#REF!</v>
      </c>
      <c r="BE144" s="1" t="e">
        <f>BD144/VLOOKUP(A144,'[58]geoMap (55)'!$A:$B,2,0)*VLOOKUP(A144,'[58]geoMap (55)'!$A:$C,3,0)</f>
        <v>#REF!</v>
      </c>
      <c r="BF144" s="4" t="e">
        <f>BE144/VLOOKUP(A144,'[59]geoMap (56)'!$A:$B,2,0)*VLOOKUP(A144,'[59]geoMap (56)'!$A:$C,3,0)</f>
        <v>#REF!</v>
      </c>
      <c r="BG144" s="1" t="e">
        <f>BF144/VLOOKUP(A144,'[60]geoMap (57)'!$A:$B,2,0)*VLOOKUP(A144,'[60]geoMap (57)'!$A:$C,3,0)</f>
        <v>#REF!</v>
      </c>
      <c r="BH144" s="4" t="e">
        <f>BG144/VLOOKUP(A144,'[61]geoMap (58)'!$A:$B,2,0)*VLOOKUP(A144,'[61]geoMap (58)'!$A:$C,3,0)</f>
        <v>#REF!</v>
      </c>
      <c r="BI144" s="1" t="e">
        <f>BH144/VLOOKUP(A144,'[62]geoMap (59)'!$A:$B,2,0)*VLOOKUP(A144,'[62]geoMap (59)'!$A:$C,3,0)</f>
        <v>#REF!</v>
      </c>
      <c r="BJ144" s="4" t="e">
        <f>BI144/VLOOKUP(A144,'[63]geoMap (60)'!$A:$B,2,0)*VLOOKUP(A144,'[63]geoMap (60)'!$A:$C,3,0)</f>
        <v>#REF!</v>
      </c>
      <c r="BK144" s="1" t="e">
        <f>BJ144/VLOOKUP(A144,'[64]geoMap (61)'!$A:$B,2,0)*VLOOKUP(A144,'[64]geoMap (61)'!$A:$C,3,0)</f>
        <v>#REF!</v>
      </c>
      <c r="BL144" s="4" t="e">
        <f>BK144/VLOOKUP(A144,'[65]geoMap (62)'!$A:$B,2,0)*VLOOKUP(A144,'[65]geoMap (62)'!$A:$C,3,0)</f>
        <v>#REF!</v>
      </c>
      <c r="BM144" s="1" t="e">
        <f>BL144/VLOOKUP(A144,'[66]geoMap (63)'!$A:$B,2,0)*VLOOKUP(A144,'[66]geoMap (63)'!$A:$C,3,0)</f>
        <v>#REF!</v>
      </c>
      <c r="BN144" s="4" t="e">
        <f>BM144/VLOOKUP(A144,'[67]geoMap (64)'!$A:$B,2,0)*VLOOKUP(A144,'[67]geoMap (64)'!$A:$C,3,0)</f>
        <v>#REF!</v>
      </c>
      <c r="BO144" s="1" t="e">
        <f>BN144/VLOOKUP(A144,'[68]geoMap (65)'!$A:$B,2,0)*VLOOKUP(A144,'[68]geoMap (65)'!$A:$C,3,0)</f>
        <v>#REF!</v>
      </c>
      <c r="BP144" s="4" t="e">
        <f>BO144/VLOOKUP(A144,'[69]geoMap (66)'!$A:$B,2,0)*VLOOKUP(A144,'[69]geoMap (66)'!$A:$C,3,0)</f>
        <v>#REF!</v>
      </c>
    </row>
    <row r="145" spans="1:68" x14ac:dyDescent="0.2">
      <c r="A145" s="1" t="s">
        <v>121</v>
      </c>
      <c r="B145" s="1" t="e">
        <f>VLOOKUP(A145,[3]geoMap!$A:$B,2,0)*Notes!$C$6</f>
        <v>#REF!</v>
      </c>
      <c r="C145" s="1" t="e">
        <f>B145/VLOOKUP(A145,'[4]geoMap (1)'!$A:$B,2,0)*VLOOKUP(A145,'[4]geoMap (1)'!$A:$C,3,0)</f>
        <v>#REF!</v>
      </c>
      <c r="D145" s="1" t="e">
        <f>C145/VLOOKUP(A145,'[5]geoMap (2)'!$A:$B,2,0)*VLOOKUP(A145,'[5]geoMap (2)'!$A:$C,3,0)</f>
        <v>#REF!</v>
      </c>
      <c r="E145" s="1" t="e">
        <f>D145/VLOOKUP(A145,'[6]geoMap (3)'!$A:$B,2,0)*VLOOKUP(A145,'[6]geoMap (3)'!$A:$C,3,0)</f>
        <v>#REF!</v>
      </c>
      <c r="F145" s="1" t="e">
        <f>E145/VLOOKUP(A145,'[7]geoMap (4)'!$A:$B,2,0)*VLOOKUP(A145,'[7]geoMap (4)'!$A:$C,3,0)</f>
        <v>#REF!</v>
      </c>
      <c r="G145" s="1" t="e">
        <f>F145/VLOOKUP(A145,'[8]geoMap (5)'!$A:$B,2,0)*VLOOKUP(A145,'[8]geoMap (5)'!$A:$C,3,0)</f>
        <v>#REF!</v>
      </c>
      <c r="H145" s="1" t="e">
        <f>G145/VLOOKUP(A145,'[9]geoMap (6)'!$A:$B,2,0)*VLOOKUP(A145,'[9]geoMap (6)'!$A:$C,3,0)</f>
        <v>#REF!</v>
      </c>
      <c r="I145" s="1" t="e">
        <f>H145/VLOOKUP(A145,'[10]geoMap (7)'!$A:$B,2,0)*VLOOKUP(A145,'[10]geoMap (7)'!$A:$C,3,0)</f>
        <v>#REF!</v>
      </c>
      <c r="J145" s="1" t="e">
        <f>I145/VLOOKUP(A145,'[11]geoMap (8)'!$A:$B,2,0)*VLOOKUP(A145,'[11]geoMap (8)'!$A:$C,3,0)</f>
        <v>#REF!</v>
      </c>
      <c r="K145" s="1" t="e">
        <f>J145/VLOOKUP(A145,'[12]geoMap (9)'!$A:$B,2,0)*VLOOKUP(A145,'[12]geoMap (9)'!$A:$C,3,0)</f>
        <v>#REF!</v>
      </c>
      <c r="L145" s="1" t="e">
        <f>K145/VLOOKUP(A145,'[13]geoMap (10)'!$A:$B,2,0)*VLOOKUP(A145,'[13]geoMap (10)'!$A:$C,3,0)</f>
        <v>#REF!</v>
      </c>
      <c r="M145" s="1" t="e">
        <f>L145/VLOOKUP(A145,'[14]geoMap (11)'!$A:$B,2,0)*VLOOKUP(A145,'[14]geoMap (11)'!$A:$C,3,0)</f>
        <v>#REF!</v>
      </c>
      <c r="N145" s="1" t="e">
        <f>M145/VLOOKUP(A145,'[15]geoMap (12)'!$A:$B,2,0)*VLOOKUP(A145,'[15]geoMap (12)'!$A:$C,3,0)</f>
        <v>#REF!</v>
      </c>
      <c r="O145" s="1" t="e">
        <f>N145/VLOOKUP(A145,'[16]geoMap (13)'!$A:$B,2,0)*VLOOKUP(A145,'[16]geoMap (13)'!$A:$C,3,0)</f>
        <v>#REF!</v>
      </c>
      <c r="P145" s="1" t="e">
        <f>O145/VLOOKUP(A145,'[17]geoMap (14)'!$A:$B,2,0)*VLOOKUP(A145,'[17]geoMap (14)'!$A:$C,3,0)</f>
        <v>#REF!</v>
      </c>
      <c r="Q145" s="1" t="e">
        <f>P145/VLOOKUP(A145,'[18]geoMap (15)'!$A:$B,2,0)*VLOOKUP(A145,'[18]geoMap (15)'!$A:$C,3,0)</f>
        <v>#REF!</v>
      </c>
      <c r="R145" s="1" t="e">
        <f>Q145/VLOOKUP(A145,'[19]geoMap (16)'!$A:$B,2,0)*VLOOKUP(A145,'[19]geoMap (16)'!$A:$C,3,0)</f>
        <v>#REF!</v>
      </c>
      <c r="S145" s="1" t="e">
        <f>R145/VLOOKUP(A145,'[20]geoMap (17)'!$A:$B,2,0)*VLOOKUP(A145,'[20]geoMap (17)'!$A:$C,3,0)</f>
        <v>#REF!</v>
      </c>
      <c r="T145" s="1" t="e">
        <f>S145/VLOOKUP(A145,'[21]geoMap (18)'!$A:$B,2,0)*VLOOKUP(A145,'[21]geoMap (18)'!$A:$C,3,0)</f>
        <v>#REF!</v>
      </c>
      <c r="U145" s="1" t="e">
        <f>T145/VLOOKUP(A145,'[22]geoMap (19)'!$A:$B,2,0)*VLOOKUP(A145,'[22]geoMap (19)'!$A:$C,3,0)</f>
        <v>#REF!</v>
      </c>
      <c r="V145" s="1" t="e">
        <f>U145/VLOOKUP(A145,'[23]geoMap (20)'!$A:$B,2,0)*VLOOKUP(A145,'[23]geoMap (20)'!$A:$C,3,0)</f>
        <v>#REF!</v>
      </c>
      <c r="W145" s="1" t="e">
        <f>V145/VLOOKUP(A145,'[24]geoMap (21)'!$A:$B,2,0)*VLOOKUP(A145,'[24]geoMap (21)'!$A:$C,3,0)</f>
        <v>#REF!</v>
      </c>
      <c r="X145" s="1" t="e">
        <f>W145/VLOOKUP(A145,'[25]geoMap (22)'!$A:$B,2,0)*VLOOKUP(A145,'[25]geoMap (22)'!$A:$C,3,0)</f>
        <v>#REF!</v>
      </c>
      <c r="Y145" s="1" t="e">
        <f>X145/VLOOKUP(A145,'[26]geoMap (23)'!$A:$B,2,0)*VLOOKUP(A145,'[26]geoMap (23)'!$A:$C,3,0)</f>
        <v>#REF!</v>
      </c>
      <c r="Z145" s="1" t="e">
        <f>Y145/VLOOKUP(A145,'[27]geoMap (24)'!$A:$B,2,0)*VLOOKUP(A145,'[27]geoMap (24)'!$A:$C,3,0)</f>
        <v>#REF!</v>
      </c>
      <c r="AA145" s="1" t="e">
        <f>Z145/VLOOKUP(A145,'[28]geoMap (25)'!$A:$B,2,0)*VLOOKUP(A145,'[28]geoMap (25)'!$A:$C,3,0)</f>
        <v>#REF!</v>
      </c>
      <c r="AB145" s="1" t="e">
        <f>AA145*VLOOKUP(A145,'[29]geoMap (26)'!$A:$B,2,0)*VLOOKUP(A145,'[29]geoMap (26)'!$A:$C,3,0)</f>
        <v>#REF!</v>
      </c>
      <c r="AC145" s="1" t="e">
        <f>AB145/VLOOKUP(A145,'[30]geoMap (27)'!$A:$B,2,0)*VLOOKUP(A145,'[30]geoMap (27)'!$A:$C,3,0)</f>
        <v>#REF!</v>
      </c>
      <c r="AD145" s="1" t="e">
        <f>AC145/VLOOKUP(A145,'[31]geoMap (28)'!$A:$B,2,0)*VLOOKUP(A145,'[31]geoMap (28)'!$A:$C,3,0)</f>
        <v>#REF!</v>
      </c>
      <c r="AE145" s="1" t="e">
        <f>AD145/VLOOKUP(A145,'[32]geoMap (29)'!$A:$B,2,0)*VLOOKUP(A145,'[32]geoMap (29)'!$A:$C,3,0)</f>
        <v>#REF!</v>
      </c>
      <c r="AF145" s="1" t="e">
        <f>AE145/VLOOKUP(A145,'[33]geoMap (30)'!$A:$B,2,0)*VLOOKUP(A145,'[33]geoMap (30)'!$A:$C,3,0)</f>
        <v>#REF!</v>
      </c>
      <c r="AG145" s="1" t="e">
        <f>AF145/VLOOKUP(A145,'[34]geoMap (31)'!$A:$B,2,0)*VLOOKUP(A145,'[34]geoMap (31)'!$A:$C,3,0)</f>
        <v>#REF!</v>
      </c>
      <c r="AH145" s="1" t="e">
        <f>AG145/VLOOKUP(A145,'[35]geoMap (32)'!$A:$B,2,0)*VLOOKUP(A145,'[35]geoMap (32)'!$A:$C,3,0)</f>
        <v>#REF!</v>
      </c>
      <c r="AI145" s="1" t="e">
        <f>AH145/VLOOKUP(A145,'[36]geoMap (33)'!$A:$B,2,0)*VLOOKUP(A145,'[36]geoMap (33)'!$A:$C,3,0)</f>
        <v>#REF!</v>
      </c>
      <c r="AJ145" s="1" t="e">
        <f>AI145/VLOOKUP(A145,'[37]geoMap (34)'!$A:$B,2,0)*VLOOKUP(A145,'[37]geoMap (34)'!$A:$C,3,0)</f>
        <v>#REF!</v>
      </c>
      <c r="AK145" s="1" t="e">
        <f>AJ145/VLOOKUP(A145,'[38]geoMap (35)'!$A:$B,2,0)*VLOOKUP(A145,'[38]geoMap (35)'!$A:$C,3,0)</f>
        <v>#REF!</v>
      </c>
      <c r="AL145" s="1" t="e">
        <f>AK145/VLOOKUP(A145,'[39]geoMap (36)'!$A:$B,2,0)*VLOOKUP(A145,'[39]geoMap (36)'!$A:$C,3,0)</f>
        <v>#REF!</v>
      </c>
      <c r="AM145" s="1" t="e">
        <f>AL145/VLOOKUP(A145,'[40]geoMap (37)'!$A:$B,2,0)*VLOOKUP(A145,'[40]geoMap (37)'!$A:$C,3,0)</f>
        <v>#REF!</v>
      </c>
      <c r="AN145" s="1" t="e">
        <f>AM145/VLOOKUP(A145,'[41]geoMap (38)'!$A:$B,2,0)*VLOOKUP(A145,'[41]geoMap (38)'!$A:$C,3,0)</f>
        <v>#REF!</v>
      </c>
      <c r="AO145" s="1" t="e">
        <f>AN145/VLOOKUP(A145,'[42]geoMap (39)'!$A:$B,2,0)*VLOOKUP(A145,'[42]geoMap (39)'!$A:$C,3,0)</f>
        <v>#REF!</v>
      </c>
      <c r="AP145" s="1" t="e">
        <f>AO145/VLOOKUP(A145,'[43]geoMap (40)'!$A:$B,2,0)*VLOOKUP(A145,'[43]geoMap (40)'!$A:$C,3,0)</f>
        <v>#REF!</v>
      </c>
      <c r="AQ145" s="1" t="e">
        <f>AP145/VLOOKUP(A145,'[44]geoMap (41)'!$A:$B,2,0)*VLOOKUP(A145,'[44]geoMap (41)'!$A:$C,3,0)</f>
        <v>#REF!</v>
      </c>
      <c r="AR145" s="1" t="e">
        <f>AQ145/VLOOKUP(A145,'[45]geoMap (42)'!$A:$B,2,0)*VLOOKUP(A145,'[45]geoMap (42)'!$A:$C,3,0)</f>
        <v>#REF!</v>
      </c>
      <c r="AS145" s="1" t="e">
        <f>AR145/VLOOKUP(A145,'[46]geoMap (43)'!$A:$B,2,0)*VLOOKUP(A145,'[46]geoMap (43)'!$A:$C,3,0)</f>
        <v>#REF!</v>
      </c>
      <c r="AT145" s="1" t="e">
        <f>AS145/VLOOKUP(A145,'[47]geoMap (44)'!$A:$B,2,0)*VLOOKUP(A145,'[47]geoMap (44)'!$A:$C,3,0)</f>
        <v>#REF!</v>
      </c>
      <c r="AU145" s="1" t="e">
        <f>AT145/VLOOKUP(A145,'[48]geoMap (45)'!$A:$B,2,0)*VLOOKUP(A145,'[48]geoMap (45)'!$A:$C,3,0)</f>
        <v>#REF!</v>
      </c>
      <c r="AV145" s="1" t="e">
        <f>AU145/VLOOKUP(A145,'[49]geoMap (46)'!$A:$B,2,0)*VLOOKUP(A145,'[49]geoMap (46)'!$A:$C,3,0)</f>
        <v>#REF!</v>
      </c>
      <c r="AW145" s="1" t="e">
        <f>AV145/VLOOKUP(A145,'[50]geoMap (47)'!$A:$B,2,0)*VLOOKUP(A145,'[50]geoMap (47)'!$A:$C,3,0)</f>
        <v>#REF!</v>
      </c>
      <c r="AX145" s="4" t="e">
        <f>AW145/VLOOKUP(A145,'[51]geoMap (48)'!$A:$B,2,0)*VLOOKUP(A145,'[51]geoMap (48)'!$A:$C,3,0)</f>
        <v>#REF!</v>
      </c>
      <c r="AY145" s="1" t="e">
        <f>AX145/VLOOKUP(A145,'[52]geoMap (49)'!$A:$B,2,0)*VLOOKUP(A145,'[52]geoMap (49)'!$A:$C,3,0)</f>
        <v>#REF!</v>
      </c>
      <c r="AZ145" s="4" t="e">
        <f>AY145/VLOOKUP(A145,'[53]geoMap (50)'!$A:$B,2,0)*VLOOKUP(A145,'[53]geoMap (50)'!$A:$C,3,0)</f>
        <v>#REF!</v>
      </c>
      <c r="BA145" s="1" t="e">
        <f>AZ145/VLOOKUP(A145,'[54]geoMap (51)'!$A:$B,2,0)*VLOOKUP(A145,'[54]geoMap (51)'!$A:$C,3,0)</f>
        <v>#REF!</v>
      </c>
      <c r="BB145" s="4" t="e">
        <f>BA145/VLOOKUP(A145,'[55]geoMap (52)'!$A:$B,2,0)*VLOOKUP(A145,'[55]geoMap (52)'!$A:$C,3,0)</f>
        <v>#REF!</v>
      </c>
      <c r="BC145" s="1" t="e">
        <f>BB145/VLOOKUP(A145,'[56]geoMap (53)'!$A:$B,2,0)*VLOOKUP(A145,'[56]geoMap (53)'!$A:$C,3,0)</f>
        <v>#REF!</v>
      </c>
      <c r="BD145" s="4" t="e">
        <f>BC145/VLOOKUP(A145,'[57]geoMap (54)'!$A:$B,2,0)*VLOOKUP(A145,'[57]geoMap (54)'!$A:$C,3,0)</f>
        <v>#REF!</v>
      </c>
      <c r="BE145" s="1" t="e">
        <f>BD145/VLOOKUP(A145,'[58]geoMap (55)'!$A:$B,2,0)*VLOOKUP(A145,'[58]geoMap (55)'!$A:$C,3,0)</f>
        <v>#REF!</v>
      </c>
      <c r="BF145" s="4" t="e">
        <f>BE145/VLOOKUP(A145,'[59]geoMap (56)'!$A:$B,2,0)*VLOOKUP(A145,'[59]geoMap (56)'!$A:$C,3,0)</f>
        <v>#REF!</v>
      </c>
      <c r="BG145" s="1" t="e">
        <f>BF145/VLOOKUP(A145,'[60]geoMap (57)'!$A:$B,2,0)*VLOOKUP(A145,'[60]geoMap (57)'!$A:$C,3,0)</f>
        <v>#REF!</v>
      </c>
      <c r="BH145" s="4" t="e">
        <f>BG145/VLOOKUP(A145,'[61]geoMap (58)'!$A:$B,2,0)*VLOOKUP(A145,'[61]geoMap (58)'!$A:$C,3,0)</f>
        <v>#REF!</v>
      </c>
      <c r="BI145" s="1" t="e">
        <f>BH145/VLOOKUP(A145,'[62]geoMap (59)'!$A:$B,2,0)*VLOOKUP(A145,'[62]geoMap (59)'!$A:$C,3,0)</f>
        <v>#REF!</v>
      </c>
      <c r="BJ145" s="4" t="e">
        <f>BI145/VLOOKUP(A145,'[63]geoMap (60)'!$A:$B,2,0)*VLOOKUP(A145,'[63]geoMap (60)'!$A:$C,3,0)</f>
        <v>#REF!</v>
      </c>
      <c r="BK145" s="1" t="e">
        <f>BJ145/VLOOKUP(A145,'[64]geoMap (61)'!$A:$B,2,0)*VLOOKUP(A145,'[64]geoMap (61)'!$A:$C,3,0)</f>
        <v>#REF!</v>
      </c>
      <c r="BL145" s="4" t="e">
        <f>BK145/VLOOKUP(A145,'[65]geoMap (62)'!$A:$B,2,0)*VLOOKUP(A145,'[65]geoMap (62)'!$A:$C,3,0)</f>
        <v>#REF!</v>
      </c>
      <c r="BM145" s="1" t="e">
        <f>BL145/VLOOKUP(A145,'[66]geoMap (63)'!$A:$B,2,0)*VLOOKUP(A145,'[66]geoMap (63)'!$A:$C,3,0)</f>
        <v>#REF!</v>
      </c>
      <c r="BN145" s="4" t="e">
        <f>BM145/VLOOKUP(A145,'[67]geoMap (64)'!$A:$B,2,0)*VLOOKUP(A145,'[67]geoMap (64)'!$A:$C,3,0)</f>
        <v>#REF!</v>
      </c>
      <c r="BO145" s="1" t="e">
        <f>BN145/VLOOKUP(A145,'[68]geoMap (65)'!$A:$B,2,0)*VLOOKUP(A145,'[68]geoMap (65)'!$A:$C,3,0)</f>
        <v>#REF!</v>
      </c>
      <c r="BP145" s="4" t="e">
        <f>BO145/VLOOKUP(A145,'[69]geoMap (66)'!$A:$B,2,0)*VLOOKUP(A145,'[69]geoMap (66)'!$A:$C,3,0)</f>
        <v>#REF!</v>
      </c>
    </row>
    <row r="146" spans="1:68" x14ac:dyDescent="0.2">
      <c r="A146" s="1" t="s">
        <v>124</v>
      </c>
      <c r="B146" s="1" t="e">
        <f>VLOOKUP(A146,[3]geoMap!$A:$B,2,0)*Notes!$C$6</f>
        <v>#REF!</v>
      </c>
      <c r="C146" s="1" t="e">
        <f>B146/VLOOKUP(A146,'[4]geoMap (1)'!$A:$B,2,0)*VLOOKUP(A146,'[4]geoMap (1)'!$A:$C,3,0)</f>
        <v>#REF!</v>
      </c>
      <c r="D146" s="1" t="e">
        <f>C146/VLOOKUP(A146,'[5]geoMap (2)'!$A:$B,2,0)*VLOOKUP(A146,'[5]geoMap (2)'!$A:$C,3,0)</f>
        <v>#REF!</v>
      </c>
      <c r="E146" s="1" t="e">
        <f>D146/VLOOKUP(A146,'[6]geoMap (3)'!$A:$B,2,0)*VLOOKUP(A146,'[6]geoMap (3)'!$A:$C,3,0)</f>
        <v>#REF!</v>
      </c>
      <c r="F146" s="1" t="e">
        <f>E146/VLOOKUP(A146,'[7]geoMap (4)'!$A:$B,2,0)*VLOOKUP(A146,'[7]geoMap (4)'!$A:$C,3,0)</f>
        <v>#REF!</v>
      </c>
      <c r="G146" s="1" t="e">
        <f>F146/VLOOKUP(A146,'[8]geoMap (5)'!$A:$B,2,0)*VLOOKUP(A146,'[8]geoMap (5)'!$A:$C,3,0)</f>
        <v>#REF!</v>
      </c>
      <c r="H146" s="1" t="e">
        <f>G146/VLOOKUP(A146,'[9]geoMap (6)'!$A:$B,2,0)*VLOOKUP(A146,'[9]geoMap (6)'!$A:$C,3,0)</f>
        <v>#REF!</v>
      </c>
      <c r="I146" s="1" t="e">
        <f>H146/VLOOKUP(A146,'[10]geoMap (7)'!$A:$B,2,0)*VLOOKUP(A146,'[10]geoMap (7)'!$A:$C,3,0)</f>
        <v>#REF!</v>
      </c>
      <c r="J146" s="1" t="e">
        <f>I146/VLOOKUP(A146,'[11]geoMap (8)'!$A:$B,2,0)*VLOOKUP(A146,'[11]geoMap (8)'!$A:$C,3,0)</f>
        <v>#REF!</v>
      </c>
      <c r="K146" s="1" t="e">
        <f>J146/VLOOKUP(A146,'[12]geoMap (9)'!$A:$B,2,0)*VLOOKUP(A146,'[12]geoMap (9)'!$A:$C,3,0)</f>
        <v>#REF!</v>
      </c>
      <c r="L146" s="1" t="e">
        <f>K146/VLOOKUP(A146,'[13]geoMap (10)'!$A:$B,2,0)*VLOOKUP(A146,'[13]geoMap (10)'!$A:$C,3,0)</f>
        <v>#REF!</v>
      </c>
      <c r="M146" s="1" t="e">
        <f>L146/VLOOKUP(A146,'[14]geoMap (11)'!$A:$B,2,0)*VLOOKUP(A146,'[14]geoMap (11)'!$A:$C,3,0)</f>
        <v>#REF!</v>
      </c>
      <c r="N146" s="1" t="e">
        <f>M146/VLOOKUP(A146,'[15]geoMap (12)'!$A:$B,2,0)*VLOOKUP(A146,'[15]geoMap (12)'!$A:$C,3,0)</f>
        <v>#REF!</v>
      </c>
      <c r="O146" s="1" t="e">
        <f>N146/VLOOKUP(A146,'[16]geoMap (13)'!$A:$B,2,0)*VLOOKUP(A146,'[16]geoMap (13)'!$A:$C,3,0)</f>
        <v>#REF!</v>
      </c>
      <c r="P146" s="1" t="e">
        <f>O146/VLOOKUP(A146,'[17]geoMap (14)'!$A:$B,2,0)*VLOOKUP(A146,'[17]geoMap (14)'!$A:$C,3,0)</f>
        <v>#REF!</v>
      </c>
      <c r="Q146" s="1" t="e">
        <f>P146/VLOOKUP(A146,'[18]geoMap (15)'!$A:$B,2,0)*VLOOKUP(A146,'[18]geoMap (15)'!$A:$C,3,0)</f>
        <v>#REF!</v>
      </c>
      <c r="R146" s="1" t="e">
        <f>Q146/VLOOKUP(A146,'[19]geoMap (16)'!$A:$B,2,0)*VLOOKUP(A146,'[19]geoMap (16)'!$A:$C,3,0)</f>
        <v>#REF!</v>
      </c>
      <c r="S146" s="1" t="e">
        <f>R146/VLOOKUP(A146,'[20]geoMap (17)'!$A:$B,2,0)*VLOOKUP(A146,'[20]geoMap (17)'!$A:$C,3,0)</f>
        <v>#REF!</v>
      </c>
      <c r="T146" s="1" t="e">
        <f>S146/VLOOKUP(A146,'[21]geoMap (18)'!$A:$B,2,0)*VLOOKUP(A146,'[21]geoMap (18)'!$A:$C,3,0)</f>
        <v>#REF!</v>
      </c>
      <c r="U146" s="1" t="e">
        <f>T146/VLOOKUP(A146,'[22]geoMap (19)'!$A:$B,2,0)*VLOOKUP(A146,'[22]geoMap (19)'!$A:$C,3,0)</f>
        <v>#REF!</v>
      </c>
      <c r="V146" s="1" t="e">
        <f>U146/VLOOKUP(A146,'[23]geoMap (20)'!$A:$B,2,0)*VLOOKUP(A146,'[23]geoMap (20)'!$A:$C,3,0)</f>
        <v>#REF!</v>
      </c>
      <c r="W146" s="1" t="e">
        <f>V146/VLOOKUP(A146,'[24]geoMap (21)'!$A:$B,2,0)*VLOOKUP(A146,'[24]geoMap (21)'!$A:$C,3,0)</f>
        <v>#REF!</v>
      </c>
      <c r="X146" s="1" t="e">
        <f>W146/VLOOKUP(A146,'[25]geoMap (22)'!$A:$B,2,0)*VLOOKUP(A146,'[25]geoMap (22)'!$A:$C,3,0)</f>
        <v>#REF!</v>
      </c>
      <c r="Y146" s="1" t="e">
        <f>X146/VLOOKUP(A146,'[26]geoMap (23)'!$A:$B,2,0)*VLOOKUP(A146,'[26]geoMap (23)'!$A:$C,3,0)</f>
        <v>#REF!</v>
      </c>
      <c r="Z146" s="1" t="e">
        <f>Y146/VLOOKUP(A146,'[27]geoMap (24)'!$A:$B,2,0)*VLOOKUP(A146,'[27]geoMap (24)'!$A:$C,3,0)</f>
        <v>#REF!</v>
      </c>
      <c r="AA146" s="1" t="e">
        <f>Z146/VLOOKUP(A146,'[28]geoMap (25)'!$A:$B,2,0)*VLOOKUP(A146,'[28]geoMap (25)'!$A:$C,3,0)</f>
        <v>#REF!</v>
      </c>
      <c r="AB146" s="1" t="e">
        <f>AA146*VLOOKUP(A146,'[29]geoMap (26)'!$A:$B,2,0)*VLOOKUP(A146,'[29]geoMap (26)'!$A:$C,3,0)</f>
        <v>#REF!</v>
      </c>
      <c r="AC146" s="1" t="e">
        <f>AB146/VLOOKUP(A146,'[30]geoMap (27)'!$A:$B,2,0)*VLOOKUP(A146,'[30]geoMap (27)'!$A:$C,3,0)</f>
        <v>#REF!</v>
      </c>
      <c r="AD146" s="1" t="e">
        <f>AC146/VLOOKUP(A146,'[31]geoMap (28)'!$A:$B,2,0)*VLOOKUP(A146,'[31]geoMap (28)'!$A:$C,3,0)</f>
        <v>#REF!</v>
      </c>
      <c r="AE146" s="1" t="e">
        <f>AD146/VLOOKUP(A146,'[32]geoMap (29)'!$A:$B,2,0)*VLOOKUP(A146,'[32]geoMap (29)'!$A:$C,3,0)</f>
        <v>#REF!</v>
      </c>
      <c r="AF146" s="1" t="e">
        <f>AE146/VLOOKUP(A146,'[33]geoMap (30)'!$A:$B,2,0)*VLOOKUP(A146,'[33]geoMap (30)'!$A:$C,3,0)</f>
        <v>#REF!</v>
      </c>
      <c r="AG146" s="1" t="e">
        <f>AF146/VLOOKUP(A146,'[34]geoMap (31)'!$A:$B,2,0)*VLOOKUP(A146,'[34]geoMap (31)'!$A:$C,3,0)</f>
        <v>#REF!</v>
      </c>
      <c r="AH146" s="1" t="e">
        <f>AG146/VLOOKUP(A146,'[35]geoMap (32)'!$A:$B,2,0)*VLOOKUP(A146,'[35]geoMap (32)'!$A:$C,3,0)</f>
        <v>#REF!</v>
      </c>
      <c r="AI146" s="1" t="e">
        <f>AH146/VLOOKUP(A146,'[36]geoMap (33)'!$A:$B,2,0)*VLOOKUP(A146,'[36]geoMap (33)'!$A:$C,3,0)</f>
        <v>#REF!</v>
      </c>
      <c r="AJ146" s="1" t="e">
        <f>AI146/VLOOKUP(A146,'[37]geoMap (34)'!$A:$B,2,0)*VLOOKUP(A146,'[37]geoMap (34)'!$A:$C,3,0)</f>
        <v>#REF!</v>
      </c>
      <c r="AK146" s="1" t="e">
        <f>AJ146/VLOOKUP(A146,'[38]geoMap (35)'!$A:$B,2,0)*VLOOKUP(A146,'[38]geoMap (35)'!$A:$C,3,0)</f>
        <v>#REF!</v>
      </c>
      <c r="AL146" s="1" t="e">
        <f>AK146/VLOOKUP(A146,'[39]geoMap (36)'!$A:$B,2,0)*VLOOKUP(A146,'[39]geoMap (36)'!$A:$C,3,0)</f>
        <v>#REF!</v>
      </c>
      <c r="AM146" s="1" t="e">
        <f>AL146/VLOOKUP(A146,'[40]geoMap (37)'!$A:$B,2,0)*VLOOKUP(A146,'[40]geoMap (37)'!$A:$C,3,0)</f>
        <v>#REF!</v>
      </c>
      <c r="AN146" s="1" t="e">
        <f>AM146/VLOOKUP(A146,'[41]geoMap (38)'!$A:$B,2,0)*VLOOKUP(A146,'[41]geoMap (38)'!$A:$C,3,0)</f>
        <v>#REF!</v>
      </c>
      <c r="AO146" s="1" t="e">
        <f>AN146/VLOOKUP(A146,'[42]geoMap (39)'!$A:$B,2,0)*VLOOKUP(A146,'[42]geoMap (39)'!$A:$C,3,0)</f>
        <v>#REF!</v>
      </c>
      <c r="AP146" s="1" t="e">
        <f>AO146/VLOOKUP(A146,'[43]geoMap (40)'!$A:$B,2,0)*VLOOKUP(A146,'[43]geoMap (40)'!$A:$C,3,0)</f>
        <v>#REF!</v>
      </c>
      <c r="AQ146" s="1" t="e">
        <f>AP146/VLOOKUP(A146,'[44]geoMap (41)'!$A:$B,2,0)*VLOOKUP(A146,'[44]geoMap (41)'!$A:$C,3,0)</f>
        <v>#REF!</v>
      </c>
      <c r="AR146" s="1" t="e">
        <f>AQ146/VLOOKUP(A146,'[45]geoMap (42)'!$A:$B,2,0)*VLOOKUP(A146,'[45]geoMap (42)'!$A:$C,3,0)</f>
        <v>#REF!</v>
      </c>
      <c r="AS146" s="1" t="e">
        <f>AR146/VLOOKUP(A146,'[46]geoMap (43)'!$A:$B,2,0)*VLOOKUP(A146,'[46]geoMap (43)'!$A:$C,3,0)</f>
        <v>#REF!</v>
      </c>
      <c r="AT146" s="1" t="e">
        <f>AS146/VLOOKUP(A146,'[47]geoMap (44)'!$A:$B,2,0)*VLOOKUP(A146,'[47]geoMap (44)'!$A:$C,3,0)</f>
        <v>#REF!</v>
      </c>
      <c r="AU146" s="1" t="e">
        <f>AT146/VLOOKUP(A146,'[48]geoMap (45)'!$A:$B,2,0)*VLOOKUP(A146,'[48]geoMap (45)'!$A:$C,3,0)</f>
        <v>#REF!</v>
      </c>
      <c r="AV146" s="1" t="e">
        <f>AU146/VLOOKUP(A146,'[49]geoMap (46)'!$A:$B,2,0)*VLOOKUP(A146,'[49]geoMap (46)'!$A:$C,3,0)</f>
        <v>#REF!</v>
      </c>
      <c r="AW146" s="1" t="e">
        <f>AV146/VLOOKUP(A146,'[50]geoMap (47)'!$A:$B,2,0)*VLOOKUP(A146,'[50]geoMap (47)'!$A:$C,3,0)</f>
        <v>#REF!</v>
      </c>
      <c r="AX146" s="4" t="e">
        <f>AW146/VLOOKUP(A146,'[51]geoMap (48)'!$A:$B,2,0)*VLOOKUP(A146,'[51]geoMap (48)'!$A:$C,3,0)</f>
        <v>#REF!</v>
      </c>
      <c r="AY146" s="1" t="e">
        <f>AX146/VLOOKUP(A146,'[52]geoMap (49)'!$A:$B,2,0)*VLOOKUP(A146,'[52]geoMap (49)'!$A:$C,3,0)</f>
        <v>#REF!</v>
      </c>
      <c r="AZ146" s="4" t="e">
        <f>AY146/VLOOKUP(A146,'[53]geoMap (50)'!$A:$B,2,0)*VLOOKUP(A146,'[53]geoMap (50)'!$A:$C,3,0)</f>
        <v>#REF!</v>
      </c>
      <c r="BA146" s="1" t="e">
        <f>AZ146/VLOOKUP(A146,'[54]geoMap (51)'!$A:$B,2,0)*VLOOKUP(A146,'[54]geoMap (51)'!$A:$C,3,0)</f>
        <v>#REF!</v>
      </c>
      <c r="BB146" s="4" t="e">
        <f>BA146/VLOOKUP(A146,'[55]geoMap (52)'!$A:$B,2,0)*VLOOKUP(A146,'[55]geoMap (52)'!$A:$C,3,0)</f>
        <v>#REF!</v>
      </c>
      <c r="BC146" s="1" t="e">
        <f>BB146/VLOOKUP(A146,'[56]geoMap (53)'!$A:$B,2,0)*VLOOKUP(A146,'[56]geoMap (53)'!$A:$C,3,0)</f>
        <v>#REF!</v>
      </c>
      <c r="BD146" s="4" t="e">
        <f>BC146/VLOOKUP(A146,'[57]geoMap (54)'!$A:$B,2,0)*VLOOKUP(A146,'[57]geoMap (54)'!$A:$C,3,0)</f>
        <v>#REF!</v>
      </c>
      <c r="BE146" s="1" t="e">
        <f>BD146/VLOOKUP(A146,'[58]geoMap (55)'!$A:$B,2,0)*VLOOKUP(A146,'[58]geoMap (55)'!$A:$C,3,0)</f>
        <v>#REF!</v>
      </c>
      <c r="BF146" s="4" t="e">
        <f>BE146/VLOOKUP(A146,'[59]geoMap (56)'!$A:$B,2,0)*VLOOKUP(A146,'[59]geoMap (56)'!$A:$C,3,0)</f>
        <v>#REF!</v>
      </c>
      <c r="BG146" s="1" t="e">
        <f>BF146/VLOOKUP(A146,'[60]geoMap (57)'!$A:$B,2,0)*VLOOKUP(A146,'[60]geoMap (57)'!$A:$C,3,0)</f>
        <v>#REF!</v>
      </c>
      <c r="BH146" s="4" t="e">
        <f>BG146/VLOOKUP(A146,'[61]geoMap (58)'!$A:$B,2,0)*VLOOKUP(A146,'[61]geoMap (58)'!$A:$C,3,0)</f>
        <v>#REF!</v>
      </c>
      <c r="BI146" s="1" t="e">
        <f>BH146/VLOOKUP(A146,'[62]geoMap (59)'!$A:$B,2,0)*VLOOKUP(A146,'[62]geoMap (59)'!$A:$C,3,0)</f>
        <v>#REF!</v>
      </c>
      <c r="BJ146" s="4" t="e">
        <f>BI146/VLOOKUP(A146,'[63]geoMap (60)'!$A:$B,2,0)*VLOOKUP(A146,'[63]geoMap (60)'!$A:$C,3,0)</f>
        <v>#REF!</v>
      </c>
      <c r="BK146" s="1" t="e">
        <f>BJ146/VLOOKUP(A146,'[64]geoMap (61)'!$A:$B,2,0)*VLOOKUP(A146,'[64]geoMap (61)'!$A:$C,3,0)</f>
        <v>#REF!</v>
      </c>
      <c r="BL146" s="4" t="e">
        <f>BK146/VLOOKUP(A146,'[65]geoMap (62)'!$A:$B,2,0)*VLOOKUP(A146,'[65]geoMap (62)'!$A:$C,3,0)</f>
        <v>#REF!</v>
      </c>
      <c r="BM146" s="1" t="e">
        <f>BL146/VLOOKUP(A146,'[66]geoMap (63)'!$A:$B,2,0)*VLOOKUP(A146,'[66]geoMap (63)'!$A:$C,3,0)</f>
        <v>#REF!</v>
      </c>
      <c r="BN146" s="4" t="e">
        <f>BM146/VLOOKUP(A146,'[67]geoMap (64)'!$A:$B,2,0)*VLOOKUP(A146,'[67]geoMap (64)'!$A:$C,3,0)</f>
        <v>#REF!</v>
      </c>
      <c r="BO146" s="1" t="e">
        <f>BN146/VLOOKUP(A146,'[68]geoMap (65)'!$A:$B,2,0)*VLOOKUP(A146,'[68]geoMap (65)'!$A:$C,3,0)</f>
        <v>#REF!</v>
      </c>
      <c r="BP146" s="4" t="e">
        <f>BO146/VLOOKUP(A146,'[69]geoMap (66)'!$A:$B,2,0)*VLOOKUP(A146,'[69]geoMap (66)'!$A:$C,3,0)</f>
        <v>#REF!</v>
      </c>
    </row>
    <row r="147" spans="1:68" x14ac:dyDescent="0.2">
      <c r="A147" s="1" t="s">
        <v>130</v>
      </c>
      <c r="B147" s="1" t="e">
        <f>VLOOKUP(A147,[3]geoMap!$A:$B,2,0)*Notes!$C$6</f>
        <v>#REF!</v>
      </c>
      <c r="C147" s="1" t="e">
        <f>B147/VLOOKUP(A147,'[4]geoMap (1)'!$A:$B,2,0)*VLOOKUP(A147,'[4]geoMap (1)'!$A:$C,3,0)</f>
        <v>#REF!</v>
      </c>
      <c r="D147" s="1" t="e">
        <f>C147/VLOOKUP(A147,'[5]geoMap (2)'!$A:$B,2,0)*VLOOKUP(A147,'[5]geoMap (2)'!$A:$C,3,0)</f>
        <v>#REF!</v>
      </c>
      <c r="E147" s="1" t="e">
        <f>D147/VLOOKUP(A147,'[6]geoMap (3)'!$A:$B,2,0)*VLOOKUP(A147,'[6]geoMap (3)'!$A:$C,3,0)</f>
        <v>#REF!</v>
      </c>
      <c r="F147" s="1" t="e">
        <f>E147/VLOOKUP(A147,'[7]geoMap (4)'!$A:$B,2,0)*VLOOKUP(A147,'[7]geoMap (4)'!$A:$C,3,0)</f>
        <v>#REF!</v>
      </c>
      <c r="G147" s="1" t="e">
        <f>F147/VLOOKUP(A147,'[8]geoMap (5)'!$A:$B,2,0)*VLOOKUP(A147,'[8]geoMap (5)'!$A:$C,3,0)</f>
        <v>#REF!</v>
      </c>
      <c r="H147" s="1" t="e">
        <f>G147/VLOOKUP(A147,'[9]geoMap (6)'!$A:$B,2,0)*VLOOKUP(A147,'[9]geoMap (6)'!$A:$C,3,0)</f>
        <v>#REF!</v>
      </c>
      <c r="I147" s="1" t="e">
        <f>H147/VLOOKUP(A147,'[10]geoMap (7)'!$A:$B,2,0)*VLOOKUP(A147,'[10]geoMap (7)'!$A:$C,3,0)</f>
        <v>#REF!</v>
      </c>
      <c r="J147" s="1" t="e">
        <f>I147/VLOOKUP(A147,'[11]geoMap (8)'!$A:$B,2,0)*VLOOKUP(A147,'[11]geoMap (8)'!$A:$C,3,0)</f>
        <v>#REF!</v>
      </c>
      <c r="K147" s="1" t="e">
        <f>J147/VLOOKUP(A147,'[12]geoMap (9)'!$A:$B,2,0)*VLOOKUP(A147,'[12]geoMap (9)'!$A:$C,3,0)</f>
        <v>#REF!</v>
      </c>
      <c r="L147" s="1" t="e">
        <f>K147/VLOOKUP(A147,'[13]geoMap (10)'!$A:$B,2,0)*VLOOKUP(A147,'[13]geoMap (10)'!$A:$C,3,0)</f>
        <v>#REF!</v>
      </c>
      <c r="M147" s="1" t="e">
        <f>L147/VLOOKUP(A147,'[14]geoMap (11)'!$A:$B,2,0)*VLOOKUP(A147,'[14]geoMap (11)'!$A:$C,3,0)</f>
        <v>#REF!</v>
      </c>
      <c r="N147" s="1" t="e">
        <f>M147/VLOOKUP(A147,'[15]geoMap (12)'!$A:$B,2,0)*VLOOKUP(A147,'[15]geoMap (12)'!$A:$C,3,0)</f>
        <v>#REF!</v>
      </c>
      <c r="O147" s="1" t="e">
        <f>N147/VLOOKUP(A147,'[16]geoMap (13)'!$A:$B,2,0)*VLOOKUP(A147,'[16]geoMap (13)'!$A:$C,3,0)</f>
        <v>#REF!</v>
      </c>
      <c r="P147" s="1" t="e">
        <f>O147/VLOOKUP(A147,'[17]geoMap (14)'!$A:$B,2,0)*VLOOKUP(A147,'[17]geoMap (14)'!$A:$C,3,0)</f>
        <v>#REF!</v>
      </c>
      <c r="Q147" s="1" t="e">
        <f>P147/VLOOKUP(A147,'[18]geoMap (15)'!$A:$B,2,0)*VLOOKUP(A147,'[18]geoMap (15)'!$A:$C,3,0)</f>
        <v>#REF!</v>
      </c>
      <c r="R147" s="1" t="e">
        <f>Q147/VLOOKUP(A147,'[19]geoMap (16)'!$A:$B,2,0)*VLOOKUP(A147,'[19]geoMap (16)'!$A:$C,3,0)</f>
        <v>#REF!</v>
      </c>
      <c r="S147" s="1" t="e">
        <f>R147/VLOOKUP(A147,'[20]geoMap (17)'!$A:$B,2,0)*VLOOKUP(A147,'[20]geoMap (17)'!$A:$C,3,0)</f>
        <v>#REF!</v>
      </c>
      <c r="T147" s="1" t="e">
        <f>S147/VLOOKUP(A147,'[21]geoMap (18)'!$A:$B,2,0)*VLOOKUP(A147,'[21]geoMap (18)'!$A:$C,3,0)</f>
        <v>#REF!</v>
      </c>
      <c r="U147" s="1" t="e">
        <f>T147/VLOOKUP(A147,'[22]geoMap (19)'!$A:$B,2,0)*VLOOKUP(A147,'[22]geoMap (19)'!$A:$C,3,0)</f>
        <v>#REF!</v>
      </c>
      <c r="V147" s="1" t="e">
        <f>U147/VLOOKUP(A147,'[23]geoMap (20)'!$A:$B,2,0)*VLOOKUP(A147,'[23]geoMap (20)'!$A:$C,3,0)</f>
        <v>#REF!</v>
      </c>
      <c r="W147" s="1" t="e">
        <f>V147/VLOOKUP(A147,'[24]geoMap (21)'!$A:$B,2,0)*VLOOKUP(A147,'[24]geoMap (21)'!$A:$C,3,0)</f>
        <v>#REF!</v>
      </c>
      <c r="X147" s="1" t="e">
        <f>W147/VLOOKUP(A147,'[25]geoMap (22)'!$A:$B,2,0)*VLOOKUP(A147,'[25]geoMap (22)'!$A:$C,3,0)</f>
        <v>#REF!</v>
      </c>
      <c r="Y147" s="1" t="e">
        <f>X147/VLOOKUP(A147,'[26]geoMap (23)'!$A:$B,2,0)*VLOOKUP(A147,'[26]geoMap (23)'!$A:$C,3,0)</f>
        <v>#REF!</v>
      </c>
      <c r="Z147" s="1" t="e">
        <f>Y147/VLOOKUP(A147,'[27]geoMap (24)'!$A:$B,2,0)*VLOOKUP(A147,'[27]geoMap (24)'!$A:$C,3,0)</f>
        <v>#REF!</v>
      </c>
      <c r="AA147" s="1" t="e">
        <f>Z147/VLOOKUP(A147,'[28]geoMap (25)'!$A:$B,2,0)*VLOOKUP(A147,'[28]geoMap (25)'!$A:$C,3,0)</f>
        <v>#REF!</v>
      </c>
      <c r="AB147" s="1" t="e">
        <f>AA147*VLOOKUP(A147,'[29]geoMap (26)'!$A:$B,2,0)*VLOOKUP(A147,'[29]geoMap (26)'!$A:$C,3,0)</f>
        <v>#REF!</v>
      </c>
      <c r="AC147" s="1" t="e">
        <f>AB147/VLOOKUP(A147,'[30]geoMap (27)'!$A:$B,2,0)*VLOOKUP(A147,'[30]geoMap (27)'!$A:$C,3,0)</f>
        <v>#REF!</v>
      </c>
      <c r="AD147" s="1" t="e">
        <f>AC147/VLOOKUP(A147,'[31]geoMap (28)'!$A:$B,2,0)*VLOOKUP(A147,'[31]geoMap (28)'!$A:$C,3,0)</f>
        <v>#REF!</v>
      </c>
      <c r="AE147" s="1" t="e">
        <f>AD147/VLOOKUP(A147,'[32]geoMap (29)'!$A:$B,2,0)*VLOOKUP(A147,'[32]geoMap (29)'!$A:$C,3,0)</f>
        <v>#REF!</v>
      </c>
      <c r="AF147" s="1" t="e">
        <f>AE147/VLOOKUP(A147,'[33]geoMap (30)'!$A:$B,2,0)*VLOOKUP(A147,'[33]geoMap (30)'!$A:$C,3,0)</f>
        <v>#REF!</v>
      </c>
      <c r="AG147" s="1" t="e">
        <f>AF147/VLOOKUP(A147,'[34]geoMap (31)'!$A:$B,2,0)*VLOOKUP(A147,'[34]geoMap (31)'!$A:$C,3,0)</f>
        <v>#REF!</v>
      </c>
      <c r="AH147" s="1" t="e">
        <f>AG147/VLOOKUP(A147,'[35]geoMap (32)'!$A:$B,2,0)*VLOOKUP(A147,'[35]geoMap (32)'!$A:$C,3,0)</f>
        <v>#REF!</v>
      </c>
      <c r="AI147" s="1" t="e">
        <f>AH147/VLOOKUP(A147,'[36]geoMap (33)'!$A:$B,2,0)*VLOOKUP(A147,'[36]geoMap (33)'!$A:$C,3,0)</f>
        <v>#REF!</v>
      </c>
      <c r="AJ147" s="1" t="e">
        <f>AI147/VLOOKUP(A147,'[37]geoMap (34)'!$A:$B,2,0)*VLOOKUP(A147,'[37]geoMap (34)'!$A:$C,3,0)</f>
        <v>#REF!</v>
      </c>
      <c r="AK147" s="1" t="e">
        <f>AJ147/VLOOKUP(A147,'[38]geoMap (35)'!$A:$B,2,0)*VLOOKUP(A147,'[38]geoMap (35)'!$A:$C,3,0)</f>
        <v>#REF!</v>
      </c>
      <c r="AL147" s="1" t="e">
        <f>AK147/VLOOKUP(A147,'[39]geoMap (36)'!$A:$B,2,0)*VLOOKUP(A147,'[39]geoMap (36)'!$A:$C,3,0)</f>
        <v>#REF!</v>
      </c>
      <c r="AM147" s="1" t="e">
        <f>AL147/VLOOKUP(A147,'[40]geoMap (37)'!$A:$B,2,0)*VLOOKUP(A147,'[40]geoMap (37)'!$A:$C,3,0)</f>
        <v>#REF!</v>
      </c>
      <c r="AN147" s="1" t="e">
        <f>AM147/VLOOKUP(A147,'[41]geoMap (38)'!$A:$B,2,0)*VLOOKUP(A147,'[41]geoMap (38)'!$A:$C,3,0)</f>
        <v>#REF!</v>
      </c>
      <c r="AO147" s="1" t="e">
        <f>AN147/VLOOKUP(A147,'[42]geoMap (39)'!$A:$B,2,0)*VLOOKUP(A147,'[42]geoMap (39)'!$A:$C,3,0)</f>
        <v>#REF!</v>
      </c>
      <c r="AP147" s="1" t="e">
        <f>AO147/VLOOKUP(A147,'[43]geoMap (40)'!$A:$B,2,0)*VLOOKUP(A147,'[43]geoMap (40)'!$A:$C,3,0)</f>
        <v>#REF!</v>
      </c>
      <c r="AQ147" s="1" t="e">
        <f>AP147/VLOOKUP(A147,'[44]geoMap (41)'!$A:$B,2,0)*VLOOKUP(A147,'[44]geoMap (41)'!$A:$C,3,0)</f>
        <v>#REF!</v>
      </c>
      <c r="AR147" s="1" t="e">
        <f>AQ147/VLOOKUP(A147,'[45]geoMap (42)'!$A:$B,2,0)*VLOOKUP(A147,'[45]geoMap (42)'!$A:$C,3,0)</f>
        <v>#REF!</v>
      </c>
      <c r="AS147" s="1" t="e">
        <f>AR147/VLOOKUP(A147,'[46]geoMap (43)'!$A:$B,2,0)*VLOOKUP(A147,'[46]geoMap (43)'!$A:$C,3,0)</f>
        <v>#REF!</v>
      </c>
      <c r="AT147" s="1" t="e">
        <f>AS147/VLOOKUP(A147,'[47]geoMap (44)'!$A:$B,2,0)*VLOOKUP(A147,'[47]geoMap (44)'!$A:$C,3,0)</f>
        <v>#REF!</v>
      </c>
      <c r="AU147" s="1" t="e">
        <f>AT147/VLOOKUP(A147,'[48]geoMap (45)'!$A:$B,2,0)*VLOOKUP(A147,'[48]geoMap (45)'!$A:$C,3,0)</f>
        <v>#REF!</v>
      </c>
      <c r="AV147" s="1" t="e">
        <f>AU147/VLOOKUP(A147,'[49]geoMap (46)'!$A:$B,2,0)*VLOOKUP(A147,'[49]geoMap (46)'!$A:$C,3,0)</f>
        <v>#REF!</v>
      </c>
      <c r="AW147" s="1" t="e">
        <f>AV147/VLOOKUP(A147,'[50]geoMap (47)'!$A:$B,2,0)*VLOOKUP(A147,'[50]geoMap (47)'!$A:$C,3,0)</f>
        <v>#REF!</v>
      </c>
      <c r="AX147" s="4" t="e">
        <f>AW147/VLOOKUP(A147,'[51]geoMap (48)'!$A:$B,2,0)*VLOOKUP(A147,'[51]geoMap (48)'!$A:$C,3,0)</f>
        <v>#REF!</v>
      </c>
      <c r="AY147" s="1" t="e">
        <f>AX147/VLOOKUP(A147,'[52]geoMap (49)'!$A:$B,2,0)*VLOOKUP(A147,'[52]geoMap (49)'!$A:$C,3,0)</f>
        <v>#REF!</v>
      </c>
      <c r="AZ147" s="4" t="e">
        <f>AY147/VLOOKUP(A147,'[53]geoMap (50)'!$A:$B,2,0)*VLOOKUP(A147,'[53]geoMap (50)'!$A:$C,3,0)</f>
        <v>#REF!</v>
      </c>
      <c r="BA147" s="1" t="e">
        <f>AZ147/VLOOKUP(A147,'[54]geoMap (51)'!$A:$B,2,0)*VLOOKUP(A147,'[54]geoMap (51)'!$A:$C,3,0)</f>
        <v>#REF!</v>
      </c>
      <c r="BB147" s="4" t="e">
        <f>BA147/VLOOKUP(A147,'[55]geoMap (52)'!$A:$B,2,0)*VLOOKUP(A147,'[55]geoMap (52)'!$A:$C,3,0)</f>
        <v>#REF!</v>
      </c>
      <c r="BC147" s="1" t="e">
        <f>BB147/VLOOKUP(A147,'[56]geoMap (53)'!$A:$B,2,0)*VLOOKUP(A147,'[56]geoMap (53)'!$A:$C,3,0)</f>
        <v>#REF!</v>
      </c>
      <c r="BD147" s="4" t="e">
        <f>BC147/VLOOKUP(A147,'[57]geoMap (54)'!$A:$B,2,0)*VLOOKUP(A147,'[57]geoMap (54)'!$A:$C,3,0)</f>
        <v>#REF!</v>
      </c>
      <c r="BE147" s="1" t="e">
        <f>BD147/VLOOKUP(A147,'[58]geoMap (55)'!$A:$B,2,0)*VLOOKUP(A147,'[58]geoMap (55)'!$A:$C,3,0)</f>
        <v>#REF!</v>
      </c>
      <c r="BF147" s="4" t="e">
        <f>BE147/VLOOKUP(A147,'[59]geoMap (56)'!$A:$B,2,0)*VLOOKUP(A147,'[59]geoMap (56)'!$A:$C,3,0)</f>
        <v>#REF!</v>
      </c>
      <c r="BG147" s="1" t="e">
        <f>BF147/VLOOKUP(A147,'[60]geoMap (57)'!$A:$B,2,0)*VLOOKUP(A147,'[60]geoMap (57)'!$A:$C,3,0)</f>
        <v>#REF!</v>
      </c>
      <c r="BH147" s="4" t="e">
        <f>BG147/VLOOKUP(A147,'[61]geoMap (58)'!$A:$B,2,0)*VLOOKUP(A147,'[61]geoMap (58)'!$A:$C,3,0)</f>
        <v>#REF!</v>
      </c>
      <c r="BI147" s="1" t="e">
        <f>BH147/VLOOKUP(A147,'[62]geoMap (59)'!$A:$B,2,0)*VLOOKUP(A147,'[62]geoMap (59)'!$A:$C,3,0)</f>
        <v>#REF!</v>
      </c>
      <c r="BJ147" s="4" t="e">
        <f>BI147/VLOOKUP(A147,'[63]geoMap (60)'!$A:$B,2,0)*VLOOKUP(A147,'[63]geoMap (60)'!$A:$C,3,0)</f>
        <v>#REF!</v>
      </c>
      <c r="BK147" s="1" t="e">
        <f>BJ147/VLOOKUP(A147,'[64]geoMap (61)'!$A:$B,2,0)*VLOOKUP(A147,'[64]geoMap (61)'!$A:$C,3,0)</f>
        <v>#REF!</v>
      </c>
      <c r="BL147" s="4" t="e">
        <f>BK147/VLOOKUP(A147,'[65]geoMap (62)'!$A:$B,2,0)*VLOOKUP(A147,'[65]geoMap (62)'!$A:$C,3,0)</f>
        <v>#REF!</v>
      </c>
      <c r="BM147" s="1" t="e">
        <f>BL147/VLOOKUP(A147,'[66]geoMap (63)'!$A:$B,2,0)*VLOOKUP(A147,'[66]geoMap (63)'!$A:$C,3,0)</f>
        <v>#REF!</v>
      </c>
      <c r="BN147" s="4" t="e">
        <f>BM147/VLOOKUP(A147,'[67]geoMap (64)'!$A:$B,2,0)*VLOOKUP(A147,'[67]geoMap (64)'!$A:$C,3,0)</f>
        <v>#REF!</v>
      </c>
      <c r="BO147" s="1" t="e">
        <f>BN147/VLOOKUP(A147,'[68]geoMap (65)'!$A:$B,2,0)*VLOOKUP(A147,'[68]geoMap (65)'!$A:$C,3,0)</f>
        <v>#REF!</v>
      </c>
      <c r="BP147" s="4" t="e">
        <f>BO147/VLOOKUP(A147,'[69]geoMap (66)'!$A:$B,2,0)*VLOOKUP(A147,'[69]geoMap (66)'!$A:$C,3,0)</f>
        <v>#REF!</v>
      </c>
    </row>
    <row r="148" spans="1:68" x14ac:dyDescent="0.2">
      <c r="A148" s="1" t="s">
        <v>131</v>
      </c>
      <c r="B148" s="1" t="e">
        <f>VLOOKUP(A148,[3]geoMap!$A:$B,2,0)*Notes!$C$6</f>
        <v>#REF!</v>
      </c>
      <c r="C148" s="1" t="e">
        <f>B148/VLOOKUP(A148,'[4]geoMap (1)'!$A:$B,2,0)*VLOOKUP(A148,'[4]geoMap (1)'!$A:$C,3,0)</f>
        <v>#REF!</v>
      </c>
      <c r="D148" s="1" t="e">
        <f>C148/VLOOKUP(A148,'[5]geoMap (2)'!$A:$B,2,0)*VLOOKUP(A148,'[5]geoMap (2)'!$A:$C,3,0)</f>
        <v>#REF!</v>
      </c>
      <c r="E148" s="1" t="e">
        <f>D148/VLOOKUP(A148,'[6]geoMap (3)'!$A:$B,2,0)*VLOOKUP(A148,'[6]geoMap (3)'!$A:$C,3,0)</f>
        <v>#REF!</v>
      </c>
      <c r="F148" s="1" t="e">
        <f>E148/VLOOKUP(A148,'[7]geoMap (4)'!$A:$B,2,0)*VLOOKUP(A148,'[7]geoMap (4)'!$A:$C,3,0)</f>
        <v>#REF!</v>
      </c>
      <c r="G148" s="1" t="e">
        <f>F148/VLOOKUP(A148,'[8]geoMap (5)'!$A:$B,2,0)*VLOOKUP(A148,'[8]geoMap (5)'!$A:$C,3,0)</f>
        <v>#REF!</v>
      </c>
      <c r="H148" s="1" t="e">
        <f>G148/VLOOKUP(A148,'[9]geoMap (6)'!$A:$B,2,0)*VLOOKUP(A148,'[9]geoMap (6)'!$A:$C,3,0)</f>
        <v>#REF!</v>
      </c>
      <c r="I148" s="1" t="e">
        <f>H148/VLOOKUP(A148,'[10]geoMap (7)'!$A:$B,2,0)*VLOOKUP(A148,'[10]geoMap (7)'!$A:$C,3,0)</f>
        <v>#REF!</v>
      </c>
      <c r="J148" s="1" t="e">
        <f>I148/VLOOKUP(A148,'[11]geoMap (8)'!$A:$B,2,0)*VLOOKUP(A148,'[11]geoMap (8)'!$A:$C,3,0)</f>
        <v>#REF!</v>
      </c>
      <c r="K148" s="1" t="e">
        <f>J148/VLOOKUP(A148,'[12]geoMap (9)'!$A:$B,2,0)*VLOOKUP(A148,'[12]geoMap (9)'!$A:$C,3,0)</f>
        <v>#REF!</v>
      </c>
      <c r="L148" s="1" t="e">
        <f>K148/VLOOKUP(A148,'[13]geoMap (10)'!$A:$B,2,0)*VLOOKUP(A148,'[13]geoMap (10)'!$A:$C,3,0)</f>
        <v>#REF!</v>
      </c>
      <c r="M148" s="1" t="e">
        <f>L148/VLOOKUP(A148,'[14]geoMap (11)'!$A:$B,2,0)*VLOOKUP(A148,'[14]geoMap (11)'!$A:$C,3,0)</f>
        <v>#REF!</v>
      </c>
      <c r="N148" s="1" t="e">
        <f>M148/VLOOKUP(A148,'[15]geoMap (12)'!$A:$B,2,0)*VLOOKUP(A148,'[15]geoMap (12)'!$A:$C,3,0)</f>
        <v>#REF!</v>
      </c>
      <c r="O148" s="1" t="e">
        <f>N148/VLOOKUP(A148,'[16]geoMap (13)'!$A:$B,2,0)*VLOOKUP(A148,'[16]geoMap (13)'!$A:$C,3,0)</f>
        <v>#REF!</v>
      </c>
      <c r="P148" s="1" t="e">
        <f>O148/VLOOKUP(A148,'[17]geoMap (14)'!$A:$B,2,0)*VLOOKUP(A148,'[17]geoMap (14)'!$A:$C,3,0)</f>
        <v>#REF!</v>
      </c>
      <c r="Q148" s="1" t="e">
        <f>P148/VLOOKUP(A148,'[18]geoMap (15)'!$A:$B,2,0)*VLOOKUP(A148,'[18]geoMap (15)'!$A:$C,3,0)</f>
        <v>#REF!</v>
      </c>
      <c r="R148" s="1" t="e">
        <f>Q148/VLOOKUP(A148,'[19]geoMap (16)'!$A:$B,2,0)*VLOOKUP(A148,'[19]geoMap (16)'!$A:$C,3,0)</f>
        <v>#REF!</v>
      </c>
      <c r="S148" s="1" t="e">
        <f>R148/VLOOKUP(A148,'[20]geoMap (17)'!$A:$B,2,0)*VLOOKUP(A148,'[20]geoMap (17)'!$A:$C,3,0)</f>
        <v>#REF!</v>
      </c>
      <c r="T148" s="1" t="e">
        <f>S148/VLOOKUP(A148,'[21]geoMap (18)'!$A:$B,2,0)*VLOOKUP(A148,'[21]geoMap (18)'!$A:$C,3,0)</f>
        <v>#REF!</v>
      </c>
      <c r="U148" s="1" t="e">
        <f>T148/VLOOKUP(A148,'[22]geoMap (19)'!$A:$B,2,0)*VLOOKUP(A148,'[22]geoMap (19)'!$A:$C,3,0)</f>
        <v>#REF!</v>
      </c>
      <c r="V148" s="1" t="e">
        <f>U148/VLOOKUP(A148,'[23]geoMap (20)'!$A:$B,2,0)*VLOOKUP(A148,'[23]geoMap (20)'!$A:$C,3,0)</f>
        <v>#REF!</v>
      </c>
      <c r="W148" s="1" t="e">
        <f>V148/VLOOKUP(A148,'[24]geoMap (21)'!$A:$B,2,0)*VLOOKUP(A148,'[24]geoMap (21)'!$A:$C,3,0)</f>
        <v>#REF!</v>
      </c>
      <c r="X148" s="1" t="e">
        <f>W148/VLOOKUP(A148,'[25]geoMap (22)'!$A:$B,2,0)*VLOOKUP(A148,'[25]geoMap (22)'!$A:$C,3,0)</f>
        <v>#REF!</v>
      </c>
      <c r="Y148" s="1" t="e">
        <f>X148/VLOOKUP(A148,'[26]geoMap (23)'!$A:$B,2,0)*VLOOKUP(A148,'[26]geoMap (23)'!$A:$C,3,0)</f>
        <v>#REF!</v>
      </c>
      <c r="Z148" s="1" t="e">
        <f>Y148/VLOOKUP(A148,'[27]geoMap (24)'!$A:$B,2,0)*VLOOKUP(A148,'[27]geoMap (24)'!$A:$C,3,0)</f>
        <v>#REF!</v>
      </c>
      <c r="AA148" s="1" t="e">
        <f>Z148/VLOOKUP(A148,'[28]geoMap (25)'!$A:$B,2,0)*VLOOKUP(A148,'[28]geoMap (25)'!$A:$C,3,0)</f>
        <v>#REF!</v>
      </c>
      <c r="AB148" s="1" t="e">
        <f>AA148*VLOOKUP(A148,'[29]geoMap (26)'!$A:$B,2,0)*VLOOKUP(A148,'[29]geoMap (26)'!$A:$C,3,0)</f>
        <v>#REF!</v>
      </c>
      <c r="AC148" s="1" t="e">
        <f>AB148/VLOOKUP(A148,'[30]geoMap (27)'!$A:$B,2,0)*VLOOKUP(A148,'[30]geoMap (27)'!$A:$C,3,0)</f>
        <v>#REF!</v>
      </c>
      <c r="AD148" s="1" t="e">
        <f>AC148/VLOOKUP(A148,'[31]geoMap (28)'!$A:$B,2,0)*VLOOKUP(A148,'[31]geoMap (28)'!$A:$C,3,0)</f>
        <v>#REF!</v>
      </c>
      <c r="AE148" s="1" t="e">
        <f>AD148/VLOOKUP(A148,'[32]geoMap (29)'!$A:$B,2,0)*VLOOKUP(A148,'[32]geoMap (29)'!$A:$C,3,0)</f>
        <v>#REF!</v>
      </c>
      <c r="AF148" s="1" t="e">
        <f>AE148/VLOOKUP(A148,'[33]geoMap (30)'!$A:$B,2,0)*VLOOKUP(A148,'[33]geoMap (30)'!$A:$C,3,0)</f>
        <v>#REF!</v>
      </c>
      <c r="AG148" s="1" t="e">
        <f>AF148/VLOOKUP(A148,'[34]geoMap (31)'!$A:$B,2,0)*VLOOKUP(A148,'[34]geoMap (31)'!$A:$C,3,0)</f>
        <v>#REF!</v>
      </c>
      <c r="AH148" s="1" t="e">
        <f>AG148/VLOOKUP(A148,'[35]geoMap (32)'!$A:$B,2,0)*VLOOKUP(A148,'[35]geoMap (32)'!$A:$C,3,0)</f>
        <v>#REF!</v>
      </c>
      <c r="AI148" s="1" t="e">
        <f>AH148/VLOOKUP(A148,'[36]geoMap (33)'!$A:$B,2,0)*VLOOKUP(A148,'[36]geoMap (33)'!$A:$C,3,0)</f>
        <v>#REF!</v>
      </c>
      <c r="AJ148" s="1" t="e">
        <f>AI148/VLOOKUP(A148,'[37]geoMap (34)'!$A:$B,2,0)*VLOOKUP(A148,'[37]geoMap (34)'!$A:$C,3,0)</f>
        <v>#REF!</v>
      </c>
      <c r="AK148" s="1" t="e">
        <f>AJ148/VLOOKUP(A148,'[38]geoMap (35)'!$A:$B,2,0)*VLOOKUP(A148,'[38]geoMap (35)'!$A:$C,3,0)</f>
        <v>#REF!</v>
      </c>
      <c r="AL148" s="1" t="e">
        <f>AK148/VLOOKUP(A148,'[39]geoMap (36)'!$A:$B,2,0)*VLOOKUP(A148,'[39]geoMap (36)'!$A:$C,3,0)</f>
        <v>#REF!</v>
      </c>
      <c r="AM148" s="1" t="e">
        <f>AL148/VLOOKUP(A148,'[40]geoMap (37)'!$A:$B,2,0)*VLOOKUP(A148,'[40]geoMap (37)'!$A:$C,3,0)</f>
        <v>#REF!</v>
      </c>
      <c r="AN148" s="1" t="e">
        <f>AM148/VLOOKUP(A148,'[41]geoMap (38)'!$A:$B,2,0)*VLOOKUP(A148,'[41]geoMap (38)'!$A:$C,3,0)</f>
        <v>#REF!</v>
      </c>
      <c r="AO148" s="1" t="e">
        <f>AN148/VLOOKUP(A148,'[42]geoMap (39)'!$A:$B,2,0)*VLOOKUP(A148,'[42]geoMap (39)'!$A:$C,3,0)</f>
        <v>#REF!</v>
      </c>
      <c r="AP148" s="1" t="e">
        <f>AO148/VLOOKUP(A148,'[43]geoMap (40)'!$A:$B,2,0)*VLOOKUP(A148,'[43]geoMap (40)'!$A:$C,3,0)</f>
        <v>#REF!</v>
      </c>
      <c r="AQ148" s="1" t="e">
        <f>AP148/VLOOKUP(A148,'[44]geoMap (41)'!$A:$B,2,0)*VLOOKUP(A148,'[44]geoMap (41)'!$A:$C,3,0)</f>
        <v>#REF!</v>
      </c>
      <c r="AR148" s="1" t="e">
        <f>AQ148/VLOOKUP(A148,'[45]geoMap (42)'!$A:$B,2,0)*VLOOKUP(A148,'[45]geoMap (42)'!$A:$C,3,0)</f>
        <v>#REF!</v>
      </c>
      <c r="AS148" s="1" t="e">
        <f>AR148/VLOOKUP(A148,'[46]geoMap (43)'!$A:$B,2,0)*VLOOKUP(A148,'[46]geoMap (43)'!$A:$C,3,0)</f>
        <v>#REF!</v>
      </c>
      <c r="AT148" s="1" t="e">
        <f>AS148/VLOOKUP(A148,'[47]geoMap (44)'!$A:$B,2,0)*VLOOKUP(A148,'[47]geoMap (44)'!$A:$C,3,0)</f>
        <v>#REF!</v>
      </c>
      <c r="AU148" s="1" t="e">
        <f>AT148/VLOOKUP(A148,'[48]geoMap (45)'!$A:$B,2,0)*VLOOKUP(A148,'[48]geoMap (45)'!$A:$C,3,0)</f>
        <v>#REF!</v>
      </c>
      <c r="AV148" s="1" t="e">
        <f>AU148/VLOOKUP(A148,'[49]geoMap (46)'!$A:$B,2,0)*VLOOKUP(A148,'[49]geoMap (46)'!$A:$C,3,0)</f>
        <v>#REF!</v>
      </c>
      <c r="AW148" s="1" t="e">
        <f>AV148/VLOOKUP(A148,'[50]geoMap (47)'!$A:$B,2,0)*VLOOKUP(A148,'[50]geoMap (47)'!$A:$C,3,0)</f>
        <v>#REF!</v>
      </c>
      <c r="AX148" s="4" t="e">
        <f>AW148/VLOOKUP(A148,'[51]geoMap (48)'!$A:$B,2,0)*VLOOKUP(A148,'[51]geoMap (48)'!$A:$C,3,0)</f>
        <v>#REF!</v>
      </c>
      <c r="AY148" s="1" t="e">
        <f>AX148/VLOOKUP(A148,'[52]geoMap (49)'!$A:$B,2,0)*VLOOKUP(A148,'[52]geoMap (49)'!$A:$C,3,0)</f>
        <v>#REF!</v>
      </c>
      <c r="AZ148" s="4" t="e">
        <f>AY148/VLOOKUP(A148,'[53]geoMap (50)'!$A:$B,2,0)*VLOOKUP(A148,'[53]geoMap (50)'!$A:$C,3,0)</f>
        <v>#REF!</v>
      </c>
      <c r="BA148" s="1" t="e">
        <f>AZ148/VLOOKUP(A148,'[54]geoMap (51)'!$A:$B,2,0)*VLOOKUP(A148,'[54]geoMap (51)'!$A:$C,3,0)</f>
        <v>#REF!</v>
      </c>
      <c r="BB148" s="4" t="e">
        <f>BA148/VLOOKUP(A148,'[55]geoMap (52)'!$A:$B,2,0)*VLOOKUP(A148,'[55]geoMap (52)'!$A:$C,3,0)</f>
        <v>#REF!</v>
      </c>
      <c r="BC148" s="1" t="e">
        <f>BB148/VLOOKUP(A148,'[56]geoMap (53)'!$A:$B,2,0)*VLOOKUP(A148,'[56]geoMap (53)'!$A:$C,3,0)</f>
        <v>#REF!</v>
      </c>
      <c r="BD148" s="4" t="e">
        <f>BC148/VLOOKUP(A148,'[57]geoMap (54)'!$A:$B,2,0)*VLOOKUP(A148,'[57]geoMap (54)'!$A:$C,3,0)</f>
        <v>#REF!</v>
      </c>
      <c r="BE148" s="1" t="e">
        <f>BD148/VLOOKUP(A148,'[58]geoMap (55)'!$A:$B,2,0)*VLOOKUP(A148,'[58]geoMap (55)'!$A:$C,3,0)</f>
        <v>#REF!</v>
      </c>
      <c r="BF148" s="4" t="e">
        <f>BE148/VLOOKUP(A148,'[59]geoMap (56)'!$A:$B,2,0)*VLOOKUP(A148,'[59]geoMap (56)'!$A:$C,3,0)</f>
        <v>#REF!</v>
      </c>
      <c r="BG148" s="1" t="e">
        <f>BF148/VLOOKUP(A148,'[60]geoMap (57)'!$A:$B,2,0)*VLOOKUP(A148,'[60]geoMap (57)'!$A:$C,3,0)</f>
        <v>#REF!</v>
      </c>
      <c r="BH148" s="4" t="e">
        <f>BG148/VLOOKUP(A148,'[61]geoMap (58)'!$A:$B,2,0)*VLOOKUP(A148,'[61]geoMap (58)'!$A:$C,3,0)</f>
        <v>#REF!</v>
      </c>
      <c r="BI148" s="1" t="e">
        <f>BH148/VLOOKUP(A148,'[62]geoMap (59)'!$A:$B,2,0)*VLOOKUP(A148,'[62]geoMap (59)'!$A:$C,3,0)</f>
        <v>#REF!</v>
      </c>
      <c r="BJ148" s="4" t="e">
        <f>BI148/VLOOKUP(A148,'[63]geoMap (60)'!$A:$B,2,0)*VLOOKUP(A148,'[63]geoMap (60)'!$A:$C,3,0)</f>
        <v>#REF!</v>
      </c>
      <c r="BK148" s="1" t="e">
        <f>BJ148/VLOOKUP(A148,'[64]geoMap (61)'!$A:$B,2,0)*VLOOKUP(A148,'[64]geoMap (61)'!$A:$C,3,0)</f>
        <v>#REF!</v>
      </c>
      <c r="BL148" s="4" t="e">
        <f>BK148/VLOOKUP(A148,'[65]geoMap (62)'!$A:$B,2,0)*VLOOKUP(A148,'[65]geoMap (62)'!$A:$C,3,0)</f>
        <v>#REF!</v>
      </c>
      <c r="BM148" s="1" t="e">
        <f>BL148/VLOOKUP(A148,'[66]geoMap (63)'!$A:$B,2,0)*VLOOKUP(A148,'[66]geoMap (63)'!$A:$C,3,0)</f>
        <v>#REF!</v>
      </c>
      <c r="BN148" s="4" t="e">
        <f>BM148/VLOOKUP(A148,'[67]geoMap (64)'!$A:$B,2,0)*VLOOKUP(A148,'[67]geoMap (64)'!$A:$C,3,0)</f>
        <v>#REF!</v>
      </c>
      <c r="BO148" s="1" t="e">
        <f>BN148/VLOOKUP(A148,'[68]geoMap (65)'!$A:$B,2,0)*VLOOKUP(A148,'[68]geoMap (65)'!$A:$C,3,0)</f>
        <v>#REF!</v>
      </c>
      <c r="BP148" s="4" t="e">
        <f>BO148/VLOOKUP(A148,'[69]geoMap (66)'!$A:$B,2,0)*VLOOKUP(A148,'[69]geoMap (66)'!$A:$C,3,0)</f>
        <v>#REF!</v>
      </c>
    </row>
    <row r="149" spans="1:68" x14ac:dyDescent="0.2">
      <c r="A149" s="1" t="s">
        <v>132</v>
      </c>
      <c r="B149" s="1" t="e">
        <f>VLOOKUP(A149,[3]geoMap!$A:$B,2,0)*Notes!$C$6</f>
        <v>#REF!</v>
      </c>
      <c r="C149" s="1" t="e">
        <f>B149/VLOOKUP(A149,'[4]geoMap (1)'!$A:$B,2,0)*VLOOKUP(A149,'[4]geoMap (1)'!$A:$C,3,0)</f>
        <v>#REF!</v>
      </c>
      <c r="D149" s="1" t="e">
        <f>C149/VLOOKUP(A149,'[5]geoMap (2)'!$A:$B,2,0)*VLOOKUP(A149,'[5]geoMap (2)'!$A:$C,3,0)</f>
        <v>#REF!</v>
      </c>
      <c r="E149" s="1" t="e">
        <f>D149/VLOOKUP(A149,'[6]geoMap (3)'!$A:$B,2,0)*VLOOKUP(A149,'[6]geoMap (3)'!$A:$C,3,0)</f>
        <v>#REF!</v>
      </c>
      <c r="F149" s="1" t="e">
        <f>E149/VLOOKUP(A149,'[7]geoMap (4)'!$A:$B,2,0)*VLOOKUP(A149,'[7]geoMap (4)'!$A:$C,3,0)</f>
        <v>#REF!</v>
      </c>
      <c r="G149" s="1" t="e">
        <f>F149/VLOOKUP(A149,'[8]geoMap (5)'!$A:$B,2,0)*VLOOKUP(A149,'[8]geoMap (5)'!$A:$C,3,0)</f>
        <v>#REF!</v>
      </c>
      <c r="H149" s="1" t="e">
        <f>G149/VLOOKUP(A149,'[9]geoMap (6)'!$A:$B,2,0)*VLOOKUP(A149,'[9]geoMap (6)'!$A:$C,3,0)</f>
        <v>#REF!</v>
      </c>
      <c r="I149" s="1" t="e">
        <f>H149/VLOOKUP(A149,'[10]geoMap (7)'!$A:$B,2,0)*VLOOKUP(A149,'[10]geoMap (7)'!$A:$C,3,0)</f>
        <v>#REF!</v>
      </c>
      <c r="J149" s="1" t="e">
        <f>I149/VLOOKUP(A149,'[11]geoMap (8)'!$A:$B,2,0)*VLOOKUP(A149,'[11]geoMap (8)'!$A:$C,3,0)</f>
        <v>#REF!</v>
      </c>
      <c r="K149" s="1" t="e">
        <f>J149/VLOOKUP(A149,'[12]geoMap (9)'!$A:$B,2,0)*VLOOKUP(A149,'[12]geoMap (9)'!$A:$C,3,0)</f>
        <v>#REF!</v>
      </c>
      <c r="L149" s="1" t="e">
        <f>K149/VLOOKUP(A149,'[13]geoMap (10)'!$A:$B,2,0)*VLOOKUP(A149,'[13]geoMap (10)'!$A:$C,3,0)</f>
        <v>#REF!</v>
      </c>
      <c r="M149" s="1" t="e">
        <f>L149/VLOOKUP(A149,'[14]geoMap (11)'!$A:$B,2,0)*VLOOKUP(A149,'[14]geoMap (11)'!$A:$C,3,0)</f>
        <v>#REF!</v>
      </c>
      <c r="N149" s="1" t="e">
        <f>M149/VLOOKUP(A149,'[15]geoMap (12)'!$A:$B,2,0)*VLOOKUP(A149,'[15]geoMap (12)'!$A:$C,3,0)</f>
        <v>#REF!</v>
      </c>
      <c r="O149" s="1" t="e">
        <f>N149/VLOOKUP(A149,'[16]geoMap (13)'!$A:$B,2,0)*VLOOKUP(A149,'[16]geoMap (13)'!$A:$C,3,0)</f>
        <v>#REF!</v>
      </c>
      <c r="P149" s="1" t="e">
        <f>O149/VLOOKUP(A149,'[17]geoMap (14)'!$A:$B,2,0)*VLOOKUP(A149,'[17]geoMap (14)'!$A:$C,3,0)</f>
        <v>#REF!</v>
      </c>
      <c r="Q149" s="1" t="e">
        <f>P149/VLOOKUP(A149,'[18]geoMap (15)'!$A:$B,2,0)*VLOOKUP(A149,'[18]geoMap (15)'!$A:$C,3,0)</f>
        <v>#REF!</v>
      </c>
      <c r="R149" s="1" t="e">
        <f>Q149/VLOOKUP(A149,'[19]geoMap (16)'!$A:$B,2,0)*VLOOKUP(A149,'[19]geoMap (16)'!$A:$C,3,0)</f>
        <v>#REF!</v>
      </c>
      <c r="S149" s="1" t="e">
        <f>R149/VLOOKUP(A149,'[20]geoMap (17)'!$A:$B,2,0)*VLOOKUP(A149,'[20]geoMap (17)'!$A:$C,3,0)</f>
        <v>#REF!</v>
      </c>
      <c r="T149" s="1" t="e">
        <f>S149/VLOOKUP(A149,'[21]geoMap (18)'!$A:$B,2,0)*VLOOKUP(A149,'[21]geoMap (18)'!$A:$C,3,0)</f>
        <v>#REF!</v>
      </c>
      <c r="U149" s="1" t="e">
        <f>T149/VLOOKUP(A149,'[22]geoMap (19)'!$A:$B,2,0)*VLOOKUP(A149,'[22]geoMap (19)'!$A:$C,3,0)</f>
        <v>#REF!</v>
      </c>
      <c r="V149" s="1" t="e">
        <f>U149/VLOOKUP(A149,'[23]geoMap (20)'!$A:$B,2,0)*VLOOKUP(A149,'[23]geoMap (20)'!$A:$C,3,0)</f>
        <v>#REF!</v>
      </c>
      <c r="W149" s="1" t="e">
        <f>V149/VLOOKUP(A149,'[24]geoMap (21)'!$A:$B,2,0)*VLOOKUP(A149,'[24]geoMap (21)'!$A:$C,3,0)</f>
        <v>#REF!</v>
      </c>
      <c r="X149" s="1" t="e">
        <f>W149/VLOOKUP(A149,'[25]geoMap (22)'!$A:$B,2,0)*VLOOKUP(A149,'[25]geoMap (22)'!$A:$C,3,0)</f>
        <v>#REF!</v>
      </c>
      <c r="Y149" s="1" t="e">
        <f>X149/VLOOKUP(A149,'[26]geoMap (23)'!$A:$B,2,0)*VLOOKUP(A149,'[26]geoMap (23)'!$A:$C,3,0)</f>
        <v>#REF!</v>
      </c>
      <c r="Z149" s="1" t="e">
        <f>Y149/VLOOKUP(A149,'[27]geoMap (24)'!$A:$B,2,0)*VLOOKUP(A149,'[27]geoMap (24)'!$A:$C,3,0)</f>
        <v>#REF!</v>
      </c>
      <c r="AA149" s="1" t="e">
        <f>Z149/VLOOKUP(A149,'[28]geoMap (25)'!$A:$B,2,0)*VLOOKUP(A149,'[28]geoMap (25)'!$A:$C,3,0)</f>
        <v>#REF!</v>
      </c>
      <c r="AB149" s="1" t="e">
        <f>AA149*VLOOKUP(A149,'[29]geoMap (26)'!$A:$B,2,0)*VLOOKUP(A149,'[29]geoMap (26)'!$A:$C,3,0)</f>
        <v>#REF!</v>
      </c>
      <c r="AC149" s="1" t="e">
        <f>AB149/VLOOKUP(A149,'[30]geoMap (27)'!$A:$B,2,0)*VLOOKUP(A149,'[30]geoMap (27)'!$A:$C,3,0)</f>
        <v>#REF!</v>
      </c>
      <c r="AD149" s="1" t="e">
        <f>AC149/VLOOKUP(A149,'[31]geoMap (28)'!$A:$B,2,0)*VLOOKUP(A149,'[31]geoMap (28)'!$A:$C,3,0)</f>
        <v>#REF!</v>
      </c>
      <c r="AE149" s="1" t="e">
        <f>AD149/VLOOKUP(A149,'[32]geoMap (29)'!$A:$B,2,0)*VLOOKUP(A149,'[32]geoMap (29)'!$A:$C,3,0)</f>
        <v>#REF!</v>
      </c>
      <c r="AF149" s="1" t="e">
        <f>AE149/VLOOKUP(A149,'[33]geoMap (30)'!$A:$B,2,0)*VLOOKUP(A149,'[33]geoMap (30)'!$A:$C,3,0)</f>
        <v>#REF!</v>
      </c>
      <c r="AG149" s="1" t="e">
        <f>AF149/VLOOKUP(A149,'[34]geoMap (31)'!$A:$B,2,0)*VLOOKUP(A149,'[34]geoMap (31)'!$A:$C,3,0)</f>
        <v>#REF!</v>
      </c>
      <c r="AH149" s="1" t="e">
        <f>AG149/VLOOKUP(A149,'[35]geoMap (32)'!$A:$B,2,0)*VLOOKUP(A149,'[35]geoMap (32)'!$A:$C,3,0)</f>
        <v>#REF!</v>
      </c>
      <c r="AI149" s="1" t="e">
        <f>AH149/VLOOKUP(A149,'[36]geoMap (33)'!$A:$B,2,0)*VLOOKUP(A149,'[36]geoMap (33)'!$A:$C,3,0)</f>
        <v>#REF!</v>
      </c>
      <c r="AJ149" s="1" t="e">
        <f>AI149/VLOOKUP(A149,'[37]geoMap (34)'!$A:$B,2,0)*VLOOKUP(A149,'[37]geoMap (34)'!$A:$C,3,0)</f>
        <v>#REF!</v>
      </c>
      <c r="AK149" s="1" t="e">
        <f>AJ149/VLOOKUP(A149,'[38]geoMap (35)'!$A:$B,2,0)*VLOOKUP(A149,'[38]geoMap (35)'!$A:$C,3,0)</f>
        <v>#REF!</v>
      </c>
      <c r="AL149" s="1" t="e">
        <f>AK149/VLOOKUP(A149,'[39]geoMap (36)'!$A:$B,2,0)*VLOOKUP(A149,'[39]geoMap (36)'!$A:$C,3,0)</f>
        <v>#REF!</v>
      </c>
      <c r="AM149" s="1" t="e">
        <f>AL149/VLOOKUP(A149,'[40]geoMap (37)'!$A:$B,2,0)*VLOOKUP(A149,'[40]geoMap (37)'!$A:$C,3,0)</f>
        <v>#REF!</v>
      </c>
      <c r="AN149" s="1" t="e">
        <f>AM149/VLOOKUP(A149,'[41]geoMap (38)'!$A:$B,2,0)*VLOOKUP(A149,'[41]geoMap (38)'!$A:$C,3,0)</f>
        <v>#REF!</v>
      </c>
      <c r="AO149" s="1" t="e">
        <f>AN149/VLOOKUP(A149,'[42]geoMap (39)'!$A:$B,2,0)*VLOOKUP(A149,'[42]geoMap (39)'!$A:$C,3,0)</f>
        <v>#REF!</v>
      </c>
      <c r="AP149" s="1" t="e">
        <f>AO149/VLOOKUP(A149,'[43]geoMap (40)'!$A:$B,2,0)*VLOOKUP(A149,'[43]geoMap (40)'!$A:$C,3,0)</f>
        <v>#REF!</v>
      </c>
      <c r="AQ149" s="1" t="e">
        <f>AP149/VLOOKUP(A149,'[44]geoMap (41)'!$A:$B,2,0)*VLOOKUP(A149,'[44]geoMap (41)'!$A:$C,3,0)</f>
        <v>#REF!</v>
      </c>
      <c r="AR149" s="1" t="e">
        <f>AQ149/VLOOKUP(A149,'[45]geoMap (42)'!$A:$B,2,0)*VLOOKUP(A149,'[45]geoMap (42)'!$A:$C,3,0)</f>
        <v>#REF!</v>
      </c>
      <c r="AS149" s="1" t="e">
        <f>AR149/VLOOKUP(A149,'[46]geoMap (43)'!$A:$B,2,0)*VLOOKUP(A149,'[46]geoMap (43)'!$A:$C,3,0)</f>
        <v>#REF!</v>
      </c>
      <c r="AT149" s="1" t="e">
        <f>AS149/VLOOKUP(A149,'[47]geoMap (44)'!$A:$B,2,0)*VLOOKUP(A149,'[47]geoMap (44)'!$A:$C,3,0)</f>
        <v>#REF!</v>
      </c>
      <c r="AU149" s="1" t="e">
        <f>AT149/VLOOKUP(A149,'[48]geoMap (45)'!$A:$B,2,0)*VLOOKUP(A149,'[48]geoMap (45)'!$A:$C,3,0)</f>
        <v>#REF!</v>
      </c>
      <c r="AV149" s="1" t="e">
        <f>AU149/VLOOKUP(A149,'[49]geoMap (46)'!$A:$B,2,0)*VLOOKUP(A149,'[49]geoMap (46)'!$A:$C,3,0)</f>
        <v>#REF!</v>
      </c>
      <c r="AW149" s="1" t="e">
        <f>AV149/VLOOKUP(A149,'[50]geoMap (47)'!$A:$B,2,0)*VLOOKUP(A149,'[50]geoMap (47)'!$A:$C,3,0)</f>
        <v>#REF!</v>
      </c>
      <c r="AX149" s="4" t="e">
        <f>AW149/VLOOKUP(A149,'[51]geoMap (48)'!$A:$B,2,0)*VLOOKUP(A149,'[51]geoMap (48)'!$A:$C,3,0)</f>
        <v>#REF!</v>
      </c>
      <c r="AY149" s="1" t="e">
        <f>AX149/VLOOKUP(A149,'[52]geoMap (49)'!$A:$B,2,0)*VLOOKUP(A149,'[52]geoMap (49)'!$A:$C,3,0)</f>
        <v>#REF!</v>
      </c>
      <c r="AZ149" s="4" t="e">
        <f>AY149/VLOOKUP(A149,'[53]geoMap (50)'!$A:$B,2,0)*VLOOKUP(A149,'[53]geoMap (50)'!$A:$C,3,0)</f>
        <v>#REF!</v>
      </c>
      <c r="BA149" s="1" t="e">
        <f>AZ149/VLOOKUP(A149,'[54]geoMap (51)'!$A:$B,2,0)*VLOOKUP(A149,'[54]geoMap (51)'!$A:$C,3,0)</f>
        <v>#REF!</v>
      </c>
      <c r="BB149" s="4" t="e">
        <f>BA149/VLOOKUP(A149,'[55]geoMap (52)'!$A:$B,2,0)*VLOOKUP(A149,'[55]geoMap (52)'!$A:$C,3,0)</f>
        <v>#REF!</v>
      </c>
      <c r="BC149" s="1" t="e">
        <f>BB149/VLOOKUP(A149,'[56]geoMap (53)'!$A:$B,2,0)*VLOOKUP(A149,'[56]geoMap (53)'!$A:$C,3,0)</f>
        <v>#REF!</v>
      </c>
      <c r="BD149" s="4" t="e">
        <f>BC149/VLOOKUP(A149,'[57]geoMap (54)'!$A:$B,2,0)*VLOOKUP(A149,'[57]geoMap (54)'!$A:$C,3,0)</f>
        <v>#REF!</v>
      </c>
      <c r="BE149" s="1" t="e">
        <f>BD149/VLOOKUP(A149,'[58]geoMap (55)'!$A:$B,2,0)*VLOOKUP(A149,'[58]geoMap (55)'!$A:$C,3,0)</f>
        <v>#REF!</v>
      </c>
      <c r="BF149" s="4" t="e">
        <f>BE149/VLOOKUP(A149,'[59]geoMap (56)'!$A:$B,2,0)*VLOOKUP(A149,'[59]geoMap (56)'!$A:$C,3,0)</f>
        <v>#REF!</v>
      </c>
      <c r="BG149" s="1" t="e">
        <f>BF149/VLOOKUP(A149,'[60]geoMap (57)'!$A:$B,2,0)*VLOOKUP(A149,'[60]geoMap (57)'!$A:$C,3,0)</f>
        <v>#REF!</v>
      </c>
      <c r="BH149" s="4" t="e">
        <f>BG149/VLOOKUP(A149,'[61]geoMap (58)'!$A:$B,2,0)*VLOOKUP(A149,'[61]geoMap (58)'!$A:$C,3,0)</f>
        <v>#REF!</v>
      </c>
      <c r="BI149" s="1" t="e">
        <f>BH149/VLOOKUP(A149,'[62]geoMap (59)'!$A:$B,2,0)*VLOOKUP(A149,'[62]geoMap (59)'!$A:$C,3,0)</f>
        <v>#REF!</v>
      </c>
      <c r="BJ149" s="4" t="e">
        <f>BI149/VLOOKUP(A149,'[63]geoMap (60)'!$A:$B,2,0)*VLOOKUP(A149,'[63]geoMap (60)'!$A:$C,3,0)</f>
        <v>#REF!</v>
      </c>
      <c r="BK149" s="1" t="e">
        <f>BJ149/VLOOKUP(A149,'[64]geoMap (61)'!$A:$B,2,0)*VLOOKUP(A149,'[64]geoMap (61)'!$A:$C,3,0)</f>
        <v>#REF!</v>
      </c>
      <c r="BL149" s="4" t="e">
        <f>BK149/VLOOKUP(A149,'[65]geoMap (62)'!$A:$B,2,0)*VLOOKUP(A149,'[65]geoMap (62)'!$A:$C,3,0)</f>
        <v>#REF!</v>
      </c>
      <c r="BM149" s="1" t="e">
        <f>BL149/VLOOKUP(A149,'[66]geoMap (63)'!$A:$B,2,0)*VLOOKUP(A149,'[66]geoMap (63)'!$A:$C,3,0)</f>
        <v>#REF!</v>
      </c>
      <c r="BN149" s="4" t="e">
        <f>BM149/VLOOKUP(A149,'[67]geoMap (64)'!$A:$B,2,0)*VLOOKUP(A149,'[67]geoMap (64)'!$A:$C,3,0)</f>
        <v>#REF!</v>
      </c>
      <c r="BO149" s="1" t="e">
        <f>BN149/VLOOKUP(A149,'[68]geoMap (65)'!$A:$B,2,0)*VLOOKUP(A149,'[68]geoMap (65)'!$A:$C,3,0)</f>
        <v>#REF!</v>
      </c>
      <c r="BP149" s="4" t="e">
        <f>BO149/VLOOKUP(A149,'[69]geoMap (66)'!$A:$B,2,0)*VLOOKUP(A149,'[69]geoMap (66)'!$A:$C,3,0)</f>
        <v>#REF!</v>
      </c>
    </row>
    <row r="150" spans="1:68" x14ac:dyDescent="0.2">
      <c r="A150" s="1" t="s">
        <v>135</v>
      </c>
      <c r="B150" s="1" t="e">
        <f>VLOOKUP(A150,[3]geoMap!$A:$B,2,0)*Notes!$C$6</f>
        <v>#REF!</v>
      </c>
      <c r="C150" s="1" t="e">
        <f>B150/VLOOKUP(A150,'[4]geoMap (1)'!$A:$B,2,0)*VLOOKUP(A150,'[4]geoMap (1)'!$A:$C,3,0)</f>
        <v>#REF!</v>
      </c>
      <c r="D150" s="1" t="e">
        <f>C150/VLOOKUP(A150,'[5]geoMap (2)'!$A:$B,2,0)*VLOOKUP(A150,'[5]geoMap (2)'!$A:$C,3,0)</f>
        <v>#REF!</v>
      </c>
      <c r="E150" s="1" t="e">
        <f>D150/VLOOKUP(A150,'[6]geoMap (3)'!$A:$B,2,0)*VLOOKUP(A150,'[6]geoMap (3)'!$A:$C,3,0)</f>
        <v>#REF!</v>
      </c>
      <c r="F150" s="1" t="e">
        <f>E150/VLOOKUP(A150,'[7]geoMap (4)'!$A:$B,2,0)*VLOOKUP(A150,'[7]geoMap (4)'!$A:$C,3,0)</f>
        <v>#REF!</v>
      </c>
      <c r="G150" s="1" t="e">
        <f>F150/VLOOKUP(A150,'[8]geoMap (5)'!$A:$B,2,0)*VLOOKUP(A150,'[8]geoMap (5)'!$A:$C,3,0)</f>
        <v>#REF!</v>
      </c>
      <c r="H150" s="1" t="e">
        <f>G150/VLOOKUP(A150,'[9]geoMap (6)'!$A:$B,2,0)*VLOOKUP(A150,'[9]geoMap (6)'!$A:$C,3,0)</f>
        <v>#REF!</v>
      </c>
      <c r="I150" s="1" t="e">
        <f>H150/VLOOKUP(A150,'[10]geoMap (7)'!$A:$B,2,0)*VLOOKUP(A150,'[10]geoMap (7)'!$A:$C,3,0)</f>
        <v>#REF!</v>
      </c>
      <c r="J150" s="1" t="e">
        <f>I150/VLOOKUP(A150,'[11]geoMap (8)'!$A:$B,2,0)*VLOOKUP(A150,'[11]geoMap (8)'!$A:$C,3,0)</f>
        <v>#REF!</v>
      </c>
      <c r="K150" s="1" t="e">
        <f>J150/VLOOKUP(A150,'[12]geoMap (9)'!$A:$B,2,0)*VLOOKUP(A150,'[12]geoMap (9)'!$A:$C,3,0)</f>
        <v>#REF!</v>
      </c>
      <c r="L150" s="1" t="e">
        <f>K150/VLOOKUP(A150,'[13]geoMap (10)'!$A:$B,2,0)*VLOOKUP(A150,'[13]geoMap (10)'!$A:$C,3,0)</f>
        <v>#REF!</v>
      </c>
      <c r="M150" s="1" t="e">
        <f>L150/VLOOKUP(A150,'[14]geoMap (11)'!$A:$B,2,0)*VLOOKUP(A150,'[14]geoMap (11)'!$A:$C,3,0)</f>
        <v>#REF!</v>
      </c>
      <c r="N150" s="1" t="e">
        <f>M150/VLOOKUP(A150,'[15]geoMap (12)'!$A:$B,2,0)*VLOOKUP(A150,'[15]geoMap (12)'!$A:$C,3,0)</f>
        <v>#REF!</v>
      </c>
      <c r="O150" s="1" t="e">
        <f>N150/VLOOKUP(A150,'[16]geoMap (13)'!$A:$B,2,0)*VLOOKUP(A150,'[16]geoMap (13)'!$A:$C,3,0)</f>
        <v>#REF!</v>
      </c>
      <c r="P150" s="1" t="e">
        <f>O150/VLOOKUP(A150,'[17]geoMap (14)'!$A:$B,2,0)*VLOOKUP(A150,'[17]geoMap (14)'!$A:$C,3,0)</f>
        <v>#REF!</v>
      </c>
      <c r="Q150" s="1" t="e">
        <f>P150/VLOOKUP(A150,'[18]geoMap (15)'!$A:$B,2,0)*VLOOKUP(A150,'[18]geoMap (15)'!$A:$C,3,0)</f>
        <v>#REF!</v>
      </c>
      <c r="R150" s="1" t="e">
        <f>Q150/VLOOKUP(A150,'[19]geoMap (16)'!$A:$B,2,0)*VLOOKUP(A150,'[19]geoMap (16)'!$A:$C,3,0)</f>
        <v>#REF!</v>
      </c>
      <c r="S150" s="1" t="e">
        <f>R150/VLOOKUP(A150,'[20]geoMap (17)'!$A:$B,2,0)*VLOOKUP(A150,'[20]geoMap (17)'!$A:$C,3,0)</f>
        <v>#REF!</v>
      </c>
      <c r="T150" s="1" t="e">
        <f>S150/VLOOKUP(A150,'[21]geoMap (18)'!$A:$B,2,0)*VLOOKUP(A150,'[21]geoMap (18)'!$A:$C,3,0)</f>
        <v>#REF!</v>
      </c>
      <c r="U150" s="1" t="e">
        <f>T150/VLOOKUP(A150,'[22]geoMap (19)'!$A:$B,2,0)*VLOOKUP(A150,'[22]geoMap (19)'!$A:$C,3,0)</f>
        <v>#REF!</v>
      </c>
      <c r="V150" s="1" t="e">
        <f>U150/VLOOKUP(A150,'[23]geoMap (20)'!$A:$B,2,0)*VLOOKUP(A150,'[23]geoMap (20)'!$A:$C,3,0)</f>
        <v>#REF!</v>
      </c>
      <c r="W150" s="1" t="e">
        <f>V150/VLOOKUP(A150,'[24]geoMap (21)'!$A:$B,2,0)*VLOOKUP(A150,'[24]geoMap (21)'!$A:$C,3,0)</f>
        <v>#REF!</v>
      </c>
      <c r="X150" s="1" t="e">
        <f>W150/VLOOKUP(A150,'[25]geoMap (22)'!$A:$B,2,0)*VLOOKUP(A150,'[25]geoMap (22)'!$A:$C,3,0)</f>
        <v>#REF!</v>
      </c>
      <c r="Y150" s="1" t="e">
        <f>X150/VLOOKUP(A150,'[26]geoMap (23)'!$A:$B,2,0)*VLOOKUP(A150,'[26]geoMap (23)'!$A:$C,3,0)</f>
        <v>#REF!</v>
      </c>
      <c r="Z150" s="1" t="e">
        <f>Y150/VLOOKUP(A150,'[27]geoMap (24)'!$A:$B,2,0)*VLOOKUP(A150,'[27]geoMap (24)'!$A:$C,3,0)</f>
        <v>#REF!</v>
      </c>
      <c r="AA150" s="1" t="e">
        <f>Z150/VLOOKUP(A150,'[28]geoMap (25)'!$A:$B,2,0)*VLOOKUP(A150,'[28]geoMap (25)'!$A:$C,3,0)</f>
        <v>#REF!</v>
      </c>
      <c r="AB150" s="1" t="e">
        <f>AA150*VLOOKUP(A150,'[29]geoMap (26)'!$A:$B,2,0)*VLOOKUP(A150,'[29]geoMap (26)'!$A:$C,3,0)</f>
        <v>#REF!</v>
      </c>
      <c r="AC150" s="1" t="e">
        <f>AB150/VLOOKUP(A150,'[30]geoMap (27)'!$A:$B,2,0)*VLOOKUP(A150,'[30]geoMap (27)'!$A:$C,3,0)</f>
        <v>#REF!</v>
      </c>
      <c r="AD150" s="1" t="e">
        <f>AC150/VLOOKUP(A150,'[31]geoMap (28)'!$A:$B,2,0)*VLOOKUP(A150,'[31]geoMap (28)'!$A:$C,3,0)</f>
        <v>#REF!</v>
      </c>
      <c r="AE150" s="1" t="e">
        <f>AD150/VLOOKUP(A150,'[32]geoMap (29)'!$A:$B,2,0)*VLOOKUP(A150,'[32]geoMap (29)'!$A:$C,3,0)</f>
        <v>#REF!</v>
      </c>
      <c r="AF150" s="1" t="e">
        <f>AE150/VLOOKUP(A150,'[33]geoMap (30)'!$A:$B,2,0)*VLOOKUP(A150,'[33]geoMap (30)'!$A:$C,3,0)</f>
        <v>#REF!</v>
      </c>
      <c r="AG150" s="1" t="e">
        <f>AF150/VLOOKUP(A150,'[34]geoMap (31)'!$A:$B,2,0)*VLOOKUP(A150,'[34]geoMap (31)'!$A:$C,3,0)</f>
        <v>#REF!</v>
      </c>
      <c r="AH150" s="1" t="e">
        <f>AG150/VLOOKUP(A150,'[35]geoMap (32)'!$A:$B,2,0)*VLOOKUP(A150,'[35]geoMap (32)'!$A:$C,3,0)</f>
        <v>#REF!</v>
      </c>
      <c r="AI150" s="1" t="e">
        <f>AH150/VLOOKUP(A150,'[36]geoMap (33)'!$A:$B,2,0)*VLOOKUP(A150,'[36]geoMap (33)'!$A:$C,3,0)</f>
        <v>#REF!</v>
      </c>
      <c r="AJ150" s="1" t="e">
        <f>AI150/VLOOKUP(A150,'[37]geoMap (34)'!$A:$B,2,0)*VLOOKUP(A150,'[37]geoMap (34)'!$A:$C,3,0)</f>
        <v>#REF!</v>
      </c>
      <c r="AK150" s="1" t="e">
        <f>AJ150/VLOOKUP(A150,'[38]geoMap (35)'!$A:$B,2,0)*VLOOKUP(A150,'[38]geoMap (35)'!$A:$C,3,0)</f>
        <v>#REF!</v>
      </c>
      <c r="AL150" s="1" t="e">
        <f>AK150/VLOOKUP(A150,'[39]geoMap (36)'!$A:$B,2,0)*VLOOKUP(A150,'[39]geoMap (36)'!$A:$C,3,0)</f>
        <v>#REF!</v>
      </c>
      <c r="AM150" s="1" t="e">
        <f>AL150/VLOOKUP(A150,'[40]geoMap (37)'!$A:$B,2,0)*VLOOKUP(A150,'[40]geoMap (37)'!$A:$C,3,0)</f>
        <v>#REF!</v>
      </c>
      <c r="AN150" s="1" t="e">
        <f>AM150/VLOOKUP(A150,'[41]geoMap (38)'!$A:$B,2,0)*VLOOKUP(A150,'[41]geoMap (38)'!$A:$C,3,0)</f>
        <v>#REF!</v>
      </c>
      <c r="AO150" s="1" t="e">
        <f>AN150/VLOOKUP(A150,'[42]geoMap (39)'!$A:$B,2,0)*VLOOKUP(A150,'[42]geoMap (39)'!$A:$C,3,0)</f>
        <v>#REF!</v>
      </c>
      <c r="AP150" s="1" t="e">
        <f>AO150/VLOOKUP(A150,'[43]geoMap (40)'!$A:$B,2,0)*VLOOKUP(A150,'[43]geoMap (40)'!$A:$C,3,0)</f>
        <v>#REF!</v>
      </c>
      <c r="AQ150" s="1" t="e">
        <f>AP150/VLOOKUP(A150,'[44]geoMap (41)'!$A:$B,2,0)*VLOOKUP(A150,'[44]geoMap (41)'!$A:$C,3,0)</f>
        <v>#REF!</v>
      </c>
      <c r="AR150" s="1" t="e">
        <f>AQ150/VLOOKUP(A150,'[45]geoMap (42)'!$A:$B,2,0)*VLOOKUP(A150,'[45]geoMap (42)'!$A:$C,3,0)</f>
        <v>#REF!</v>
      </c>
      <c r="AS150" s="1" t="e">
        <f>AR150/VLOOKUP(A150,'[46]geoMap (43)'!$A:$B,2,0)*VLOOKUP(A150,'[46]geoMap (43)'!$A:$C,3,0)</f>
        <v>#REF!</v>
      </c>
      <c r="AT150" s="1" t="e">
        <f>AS150/VLOOKUP(A150,'[47]geoMap (44)'!$A:$B,2,0)*VLOOKUP(A150,'[47]geoMap (44)'!$A:$C,3,0)</f>
        <v>#REF!</v>
      </c>
      <c r="AU150" s="1" t="e">
        <f>AT150/VLOOKUP(A150,'[48]geoMap (45)'!$A:$B,2,0)*VLOOKUP(A150,'[48]geoMap (45)'!$A:$C,3,0)</f>
        <v>#REF!</v>
      </c>
      <c r="AV150" s="1" t="e">
        <f>AU150/VLOOKUP(A150,'[49]geoMap (46)'!$A:$B,2,0)*VLOOKUP(A150,'[49]geoMap (46)'!$A:$C,3,0)</f>
        <v>#REF!</v>
      </c>
      <c r="AW150" s="1" t="e">
        <f>AV150/VLOOKUP(A150,'[50]geoMap (47)'!$A:$B,2,0)*VLOOKUP(A150,'[50]geoMap (47)'!$A:$C,3,0)</f>
        <v>#REF!</v>
      </c>
      <c r="AX150" s="4" t="e">
        <f>AW150/VLOOKUP(A150,'[51]geoMap (48)'!$A:$B,2,0)*VLOOKUP(A150,'[51]geoMap (48)'!$A:$C,3,0)</f>
        <v>#REF!</v>
      </c>
      <c r="AY150" s="1" t="e">
        <f>AX150/VLOOKUP(A150,'[52]geoMap (49)'!$A:$B,2,0)*VLOOKUP(A150,'[52]geoMap (49)'!$A:$C,3,0)</f>
        <v>#REF!</v>
      </c>
      <c r="AZ150" s="4" t="e">
        <f>AY150/VLOOKUP(A150,'[53]geoMap (50)'!$A:$B,2,0)*VLOOKUP(A150,'[53]geoMap (50)'!$A:$C,3,0)</f>
        <v>#REF!</v>
      </c>
      <c r="BA150" s="1" t="e">
        <f>AZ150/VLOOKUP(A150,'[54]geoMap (51)'!$A:$B,2,0)*VLOOKUP(A150,'[54]geoMap (51)'!$A:$C,3,0)</f>
        <v>#REF!</v>
      </c>
      <c r="BB150" s="4" t="e">
        <f>BA150/VLOOKUP(A150,'[55]geoMap (52)'!$A:$B,2,0)*VLOOKUP(A150,'[55]geoMap (52)'!$A:$C,3,0)</f>
        <v>#REF!</v>
      </c>
      <c r="BC150" s="1" t="e">
        <f>BB150/VLOOKUP(A150,'[56]geoMap (53)'!$A:$B,2,0)*VLOOKUP(A150,'[56]geoMap (53)'!$A:$C,3,0)</f>
        <v>#REF!</v>
      </c>
      <c r="BD150" s="4" t="e">
        <f>BC150/VLOOKUP(A150,'[57]geoMap (54)'!$A:$B,2,0)*VLOOKUP(A150,'[57]geoMap (54)'!$A:$C,3,0)</f>
        <v>#REF!</v>
      </c>
      <c r="BE150" s="1" t="e">
        <f>BD150/VLOOKUP(A150,'[58]geoMap (55)'!$A:$B,2,0)*VLOOKUP(A150,'[58]geoMap (55)'!$A:$C,3,0)</f>
        <v>#REF!</v>
      </c>
      <c r="BF150" s="4" t="e">
        <f>BE150/VLOOKUP(A150,'[59]geoMap (56)'!$A:$B,2,0)*VLOOKUP(A150,'[59]geoMap (56)'!$A:$C,3,0)</f>
        <v>#REF!</v>
      </c>
      <c r="BG150" s="1" t="e">
        <f>BF150/VLOOKUP(A150,'[60]geoMap (57)'!$A:$B,2,0)*VLOOKUP(A150,'[60]geoMap (57)'!$A:$C,3,0)</f>
        <v>#REF!</v>
      </c>
      <c r="BH150" s="4" t="e">
        <f>BG150/VLOOKUP(A150,'[61]geoMap (58)'!$A:$B,2,0)*VLOOKUP(A150,'[61]geoMap (58)'!$A:$C,3,0)</f>
        <v>#REF!</v>
      </c>
      <c r="BI150" s="1" t="e">
        <f>BH150/VLOOKUP(A150,'[62]geoMap (59)'!$A:$B,2,0)*VLOOKUP(A150,'[62]geoMap (59)'!$A:$C,3,0)</f>
        <v>#REF!</v>
      </c>
      <c r="BJ150" s="4" t="e">
        <f>BI150/VLOOKUP(A150,'[63]geoMap (60)'!$A:$B,2,0)*VLOOKUP(A150,'[63]geoMap (60)'!$A:$C,3,0)</f>
        <v>#REF!</v>
      </c>
      <c r="BK150" s="1" t="e">
        <f>BJ150/VLOOKUP(A150,'[64]geoMap (61)'!$A:$B,2,0)*VLOOKUP(A150,'[64]geoMap (61)'!$A:$C,3,0)</f>
        <v>#REF!</v>
      </c>
      <c r="BL150" s="4" t="e">
        <f>BK150/VLOOKUP(A150,'[65]geoMap (62)'!$A:$B,2,0)*VLOOKUP(A150,'[65]geoMap (62)'!$A:$C,3,0)</f>
        <v>#REF!</v>
      </c>
      <c r="BM150" s="1" t="e">
        <f>BL150/VLOOKUP(A150,'[66]geoMap (63)'!$A:$B,2,0)*VLOOKUP(A150,'[66]geoMap (63)'!$A:$C,3,0)</f>
        <v>#REF!</v>
      </c>
      <c r="BN150" s="4" t="e">
        <f>BM150/VLOOKUP(A150,'[67]geoMap (64)'!$A:$B,2,0)*VLOOKUP(A150,'[67]geoMap (64)'!$A:$C,3,0)</f>
        <v>#REF!</v>
      </c>
      <c r="BO150" s="1" t="e">
        <f>BN150/VLOOKUP(A150,'[68]geoMap (65)'!$A:$B,2,0)*VLOOKUP(A150,'[68]geoMap (65)'!$A:$C,3,0)</f>
        <v>#REF!</v>
      </c>
      <c r="BP150" s="4" t="e">
        <f>BO150/VLOOKUP(A150,'[69]geoMap (66)'!$A:$B,2,0)*VLOOKUP(A150,'[69]geoMap (66)'!$A:$C,3,0)</f>
        <v>#REF!</v>
      </c>
    </row>
    <row r="151" spans="1:68" x14ac:dyDescent="0.2">
      <c r="A151" s="1" t="s">
        <v>136</v>
      </c>
      <c r="B151" s="1" t="e">
        <f>VLOOKUP(A151,[3]geoMap!$A:$B,2,0)*Notes!$C$6</f>
        <v>#REF!</v>
      </c>
      <c r="C151" s="1" t="e">
        <f>B151/VLOOKUP(A151,'[4]geoMap (1)'!$A:$B,2,0)*VLOOKUP(A151,'[4]geoMap (1)'!$A:$C,3,0)</f>
        <v>#REF!</v>
      </c>
      <c r="D151" s="1" t="e">
        <f>C151/VLOOKUP(A151,'[5]geoMap (2)'!$A:$B,2,0)*VLOOKUP(A151,'[5]geoMap (2)'!$A:$C,3,0)</f>
        <v>#REF!</v>
      </c>
      <c r="E151" s="1" t="e">
        <f>D151/VLOOKUP(A151,'[6]geoMap (3)'!$A:$B,2,0)*VLOOKUP(A151,'[6]geoMap (3)'!$A:$C,3,0)</f>
        <v>#REF!</v>
      </c>
      <c r="F151" s="1" t="e">
        <f>E151/VLOOKUP(A151,'[7]geoMap (4)'!$A:$B,2,0)*VLOOKUP(A151,'[7]geoMap (4)'!$A:$C,3,0)</f>
        <v>#REF!</v>
      </c>
      <c r="G151" s="1" t="e">
        <f>F151/VLOOKUP(A151,'[8]geoMap (5)'!$A:$B,2,0)*VLOOKUP(A151,'[8]geoMap (5)'!$A:$C,3,0)</f>
        <v>#REF!</v>
      </c>
      <c r="H151" s="1" t="e">
        <f>G151/VLOOKUP(A151,'[9]geoMap (6)'!$A:$B,2,0)*VLOOKUP(A151,'[9]geoMap (6)'!$A:$C,3,0)</f>
        <v>#REF!</v>
      </c>
      <c r="I151" s="1" t="e">
        <f>H151/VLOOKUP(A151,'[10]geoMap (7)'!$A:$B,2,0)*VLOOKUP(A151,'[10]geoMap (7)'!$A:$C,3,0)</f>
        <v>#REF!</v>
      </c>
      <c r="J151" s="1" t="e">
        <f>I151/VLOOKUP(A151,'[11]geoMap (8)'!$A:$B,2,0)*VLOOKUP(A151,'[11]geoMap (8)'!$A:$C,3,0)</f>
        <v>#REF!</v>
      </c>
      <c r="K151" s="1" t="e">
        <f>J151/VLOOKUP(A151,'[12]geoMap (9)'!$A:$B,2,0)*VLOOKUP(A151,'[12]geoMap (9)'!$A:$C,3,0)</f>
        <v>#REF!</v>
      </c>
      <c r="L151" s="1" t="e">
        <f>K151/VLOOKUP(A151,'[13]geoMap (10)'!$A:$B,2,0)*VLOOKUP(A151,'[13]geoMap (10)'!$A:$C,3,0)</f>
        <v>#REF!</v>
      </c>
      <c r="M151" s="1" t="e">
        <f>L151/VLOOKUP(A151,'[14]geoMap (11)'!$A:$B,2,0)*VLOOKUP(A151,'[14]geoMap (11)'!$A:$C,3,0)</f>
        <v>#REF!</v>
      </c>
      <c r="N151" s="1" t="e">
        <f>M151/VLOOKUP(A151,'[15]geoMap (12)'!$A:$B,2,0)*VLOOKUP(A151,'[15]geoMap (12)'!$A:$C,3,0)</f>
        <v>#REF!</v>
      </c>
      <c r="O151" s="1" t="e">
        <f>N151/VLOOKUP(A151,'[16]geoMap (13)'!$A:$B,2,0)*VLOOKUP(A151,'[16]geoMap (13)'!$A:$C,3,0)</f>
        <v>#REF!</v>
      </c>
      <c r="P151" s="1" t="e">
        <f>O151/VLOOKUP(A151,'[17]geoMap (14)'!$A:$B,2,0)*VLOOKUP(A151,'[17]geoMap (14)'!$A:$C,3,0)</f>
        <v>#REF!</v>
      </c>
      <c r="Q151" s="1" t="e">
        <f>P151/VLOOKUP(A151,'[18]geoMap (15)'!$A:$B,2,0)*VLOOKUP(A151,'[18]geoMap (15)'!$A:$C,3,0)</f>
        <v>#REF!</v>
      </c>
      <c r="R151" s="1" t="e">
        <f>Q151/VLOOKUP(A151,'[19]geoMap (16)'!$A:$B,2,0)*VLOOKUP(A151,'[19]geoMap (16)'!$A:$C,3,0)</f>
        <v>#REF!</v>
      </c>
      <c r="S151" s="1" t="e">
        <f>R151/VLOOKUP(A151,'[20]geoMap (17)'!$A:$B,2,0)*VLOOKUP(A151,'[20]geoMap (17)'!$A:$C,3,0)</f>
        <v>#REF!</v>
      </c>
      <c r="T151" s="1" t="e">
        <f>S151/VLOOKUP(A151,'[21]geoMap (18)'!$A:$B,2,0)*VLOOKUP(A151,'[21]geoMap (18)'!$A:$C,3,0)</f>
        <v>#REF!</v>
      </c>
      <c r="U151" s="1" t="e">
        <f>T151/VLOOKUP(A151,'[22]geoMap (19)'!$A:$B,2,0)*VLOOKUP(A151,'[22]geoMap (19)'!$A:$C,3,0)</f>
        <v>#REF!</v>
      </c>
      <c r="V151" s="1" t="e">
        <f>U151/VLOOKUP(A151,'[23]geoMap (20)'!$A:$B,2,0)*VLOOKUP(A151,'[23]geoMap (20)'!$A:$C,3,0)</f>
        <v>#REF!</v>
      </c>
      <c r="W151" s="1" t="e">
        <f>V151/VLOOKUP(A151,'[24]geoMap (21)'!$A:$B,2,0)*VLOOKUP(A151,'[24]geoMap (21)'!$A:$C,3,0)</f>
        <v>#REF!</v>
      </c>
      <c r="X151" s="1" t="e">
        <f>W151/VLOOKUP(A151,'[25]geoMap (22)'!$A:$B,2,0)*VLOOKUP(A151,'[25]geoMap (22)'!$A:$C,3,0)</f>
        <v>#REF!</v>
      </c>
      <c r="Y151" s="1" t="e">
        <f>X151/VLOOKUP(A151,'[26]geoMap (23)'!$A:$B,2,0)*VLOOKUP(A151,'[26]geoMap (23)'!$A:$C,3,0)</f>
        <v>#REF!</v>
      </c>
      <c r="Z151" s="1" t="e">
        <f>Y151/VLOOKUP(A151,'[27]geoMap (24)'!$A:$B,2,0)*VLOOKUP(A151,'[27]geoMap (24)'!$A:$C,3,0)</f>
        <v>#REF!</v>
      </c>
      <c r="AA151" s="1" t="e">
        <f>Z151/VLOOKUP(A151,'[28]geoMap (25)'!$A:$B,2,0)*VLOOKUP(A151,'[28]geoMap (25)'!$A:$C,3,0)</f>
        <v>#REF!</v>
      </c>
      <c r="AB151" s="1" t="e">
        <f>AA151*VLOOKUP(A151,'[29]geoMap (26)'!$A:$B,2,0)*VLOOKUP(A151,'[29]geoMap (26)'!$A:$C,3,0)</f>
        <v>#REF!</v>
      </c>
      <c r="AC151" s="1" t="e">
        <f>AB151/VLOOKUP(A151,'[30]geoMap (27)'!$A:$B,2,0)*VLOOKUP(A151,'[30]geoMap (27)'!$A:$C,3,0)</f>
        <v>#REF!</v>
      </c>
      <c r="AD151" s="1" t="e">
        <f>AC151/VLOOKUP(A151,'[31]geoMap (28)'!$A:$B,2,0)*VLOOKUP(A151,'[31]geoMap (28)'!$A:$C,3,0)</f>
        <v>#REF!</v>
      </c>
      <c r="AE151" s="1" t="e">
        <f>AD151/VLOOKUP(A151,'[32]geoMap (29)'!$A:$B,2,0)*VLOOKUP(A151,'[32]geoMap (29)'!$A:$C,3,0)</f>
        <v>#REF!</v>
      </c>
      <c r="AF151" s="1" t="e">
        <f>AE151/VLOOKUP(A151,'[33]geoMap (30)'!$A:$B,2,0)*VLOOKUP(A151,'[33]geoMap (30)'!$A:$C,3,0)</f>
        <v>#REF!</v>
      </c>
      <c r="AG151" s="1" t="e">
        <f>AF151/VLOOKUP(A151,'[34]geoMap (31)'!$A:$B,2,0)*VLOOKUP(A151,'[34]geoMap (31)'!$A:$C,3,0)</f>
        <v>#REF!</v>
      </c>
      <c r="AH151" s="1" t="e">
        <f>AG151/VLOOKUP(A151,'[35]geoMap (32)'!$A:$B,2,0)*VLOOKUP(A151,'[35]geoMap (32)'!$A:$C,3,0)</f>
        <v>#REF!</v>
      </c>
      <c r="AI151" s="1" t="e">
        <f>AH151/VLOOKUP(A151,'[36]geoMap (33)'!$A:$B,2,0)*VLOOKUP(A151,'[36]geoMap (33)'!$A:$C,3,0)</f>
        <v>#REF!</v>
      </c>
      <c r="AJ151" s="1" t="e">
        <f>AI151/VLOOKUP(A151,'[37]geoMap (34)'!$A:$B,2,0)*VLOOKUP(A151,'[37]geoMap (34)'!$A:$C,3,0)</f>
        <v>#REF!</v>
      </c>
      <c r="AK151" s="1" t="e">
        <f>AJ151/VLOOKUP(A151,'[38]geoMap (35)'!$A:$B,2,0)*VLOOKUP(A151,'[38]geoMap (35)'!$A:$C,3,0)</f>
        <v>#REF!</v>
      </c>
      <c r="AL151" s="1" t="e">
        <f>AK151/VLOOKUP(A151,'[39]geoMap (36)'!$A:$B,2,0)*VLOOKUP(A151,'[39]geoMap (36)'!$A:$C,3,0)</f>
        <v>#REF!</v>
      </c>
      <c r="AM151" s="1" t="e">
        <f>AL151/VLOOKUP(A151,'[40]geoMap (37)'!$A:$B,2,0)*VLOOKUP(A151,'[40]geoMap (37)'!$A:$C,3,0)</f>
        <v>#REF!</v>
      </c>
      <c r="AN151" s="1" t="e">
        <f>AM151/VLOOKUP(A151,'[41]geoMap (38)'!$A:$B,2,0)*VLOOKUP(A151,'[41]geoMap (38)'!$A:$C,3,0)</f>
        <v>#REF!</v>
      </c>
      <c r="AO151" s="1" t="e">
        <f>AN151/VLOOKUP(A151,'[42]geoMap (39)'!$A:$B,2,0)*VLOOKUP(A151,'[42]geoMap (39)'!$A:$C,3,0)</f>
        <v>#REF!</v>
      </c>
      <c r="AP151" s="1" t="e">
        <f>AO151/VLOOKUP(A151,'[43]geoMap (40)'!$A:$B,2,0)*VLOOKUP(A151,'[43]geoMap (40)'!$A:$C,3,0)</f>
        <v>#REF!</v>
      </c>
      <c r="AQ151" s="1" t="e">
        <f>AP151/VLOOKUP(A151,'[44]geoMap (41)'!$A:$B,2,0)*VLOOKUP(A151,'[44]geoMap (41)'!$A:$C,3,0)</f>
        <v>#REF!</v>
      </c>
      <c r="AR151" s="1" t="e">
        <f>AQ151/VLOOKUP(A151,'[45]geoMap (42)'!$A:$B,2,0)*VLOOKUP(A151,'[45]geoMap (42)'!$A:$C,3,0)</f>
        <v>#REF!</v>
      </c>
      <c r="AS151" s="1" t="e">
        <f>AR151/VLOOKUP(A151,'[46]geoMap (43)'!$A:$B,2,0)*VLOOKUP(A151,'[46]geoMap (43)'!$A:$C,3,0)</f>
        <v>#REF!</v>
      </c>
      <c r="AT151" s="1" t="e">
        <f>AS151/VLOOKUP(A151,'[47]geoMap (44)'!$A:$B,2,0)*VLOOKUP(A151,'[47]geoMap (44)'!$A:$C,3,0)</f>
        <v>#REF!</v>
      </c>
      <c r="AU151" s="1" t="e">
        <f>AT151/VLOOKUP(A151,'[48]geoMap (45)'!$A:$B,2,0)*VLOOKUP(A151,'[48]geoMap (45)'!$A:$C,3,0)</f>
        <v>#REF!</v>
      </c>
      <c r="AV151" s="1" t="e">
        <f>AU151/VLOOKUP(A151,'[49]geoMap (46)'!$A:$B,2,0)*VLOOKUP(A151,'[49]geoMap (46)'!$A:$C,3,0)</f>
        <v>#REF!</v>
      </c>
      <c r="AW151" s="1" t="e">
        <f>AV151/VLOOKUP(A151,'[50]geoMap (47)'!$A:$B,2,0)*VLOOKUP(A151,'[50]geoMap (47)'!$A:$C,3,0)</f>
        <v>#REF!</v>
      </c>
      <c r="AX151" s="4" t="e">
        <f>AW151/VLOOKUP(A151,'[51]geoMap (48)'!$A:$B,2,0)*VLOOKUP(A151,'[51]geoMap (48)'!$A:$C,3,0)</f>
        <v>#REF!</v>
      </c>
      <c r="AY151" s="1" t="e">
        <f>AX151/VLOOKUP(A151,'[52]geoMap (49)'!$A:$B,2,0)*VLOOKUP(A151,'[52]geoMap (49)'!$A:$C,3,0)</f>
        <v>#REF!</v>
      </c>
      <c r="AZ151" s="4" t="e">
        <f>AY151/VLOOKUP(A151,'[53]geoMap (50)'!$A:$B,2,0)*VLOOKUP(A151,'[53]geoMap (50)'!$A:$C,3,0)</f>
        <v>#REF!</v>
      </c>
      <c r="BA151" s="1" t="e">
        <f>AZ151/VLOOKUP(A151,'[54]geoMap (51)'!$A:$B,2,0)*VLOOKUP(A151,'[54]geoMap (51)'!$A:$C,3,0)</f>
        <v>#REF!</v>
      </c>
      <c r="BB151" s="4" t="e">
        <f>BA151/VLOOKUP(A151,'[55]geoMap (52)'!$A:$B,2,0)*VLOOKUP(A151,'[55]geoMap (52)'!$A:$C,3,0)</f>
        <v>#REF!</v>
      </c>
      <c r="BC151" s="1" t="e">
        <f>BB151/VLOOKUP(A151,'[56]geoMap (53)'!$A:$B,2,0)*VLOOKUP(A151,'[56]geoMap (53)'!$A:$C,3,0)</f>
        <v>#REF!</v>
      </c>
      <c r="BD151" s="4" t="e">
        <f>BC151/VLOOKUP(A151,'[57]geoMap (54)'!$A:$B,2,0)*VLOOKUP(A151,'[57]geoMap (54)'!$A:$C,3,0)</f>
        <v>#REF!</v>
      </c>
      <c r="BE151" s="1" t="e">
        <f>BD151/VLOOKUP(A151,'[58]geoMap (55)'!$A:$B,2,0)*VLOOKUP(A151,'[58]geoMap (55)'!$A:$C,3,0)</f>
        <v>#REF!</v>
      </c>
      <c r="BF151" s="4" t="e">
        <f>BE151/VLOOKUP(A151,'[59]geoMap (56)'!$A:$B,2,0)*VLOOKUP(A151,'[59]geoMap (56)'!$A:$C,3,0)</f>
        <v>#REF!</v>
      </c>
      <c r="BG151" s="1" t="e">
        <f>BF151/VLOOKUP(A151,'[60]geoMap (57)'!$A:$B,2,0)*VLOOKUP(A151,'[60]geoMap (57)'!$A:$C,3,0)</f>
        <v>#REF!</v>
      </c>
      <c r="BH151" s="4" t="e">
        <f>BG151/VLOOKUP(A151,'[61]geoMap (58)'!$A:$B,2,0)*VLOOKUP(A151,'[61]geoMap (58)'!$A:$C,3,0)</f>
        <v>#REF!</v>
      </c>
      <c r="BI151" s="1" t="e">
        <f>BH151/VLOOKUP(A151,'[62]geoMap (59)'!$A:$B,2,0)*VLOOKUP(A151,'[62]geoMap (59)'!$A:$C,3,0)</f>
        <v>#REF!</v>
      </c>
      <c r="BJ151" s="4" t="e">
        <f>BI151/VLOOKUP(A151,'[63]geoMap (60)'!$A:$B,2,0)*VLOOKUP(A151,'[63]geoMap (60)'!$A:$C,3,0)</f>
        <v>#REF!</v>
      </c>
      <c r="BK151" s="1" t="e">
        <f>BJ151/VLOOKUP(A151,'[64]geoMap (61)'!$A:$B,2,0)*VLOOKUP(A151,'[64]geoMap (61)'!$A:$C,3,0)</f>
        <v>#REF!</v>
      </c>
      <c r="BL151" s="4" t="e">
        <f>BK151/VLOOKUP(A151,'[65]geoMap (62)'!$A:$B,2,0)*VLOOKUP(A151,'[65]geoMap (62)'!$A:$C,3,0)</f>
        <v>#REF!</v>
      </c>
      <c r="BM151" s="1" t="e">
        <f>BL151/VLOOKUP(A151,'[66]geoMap (63)'!$A:$B,2,0)*VLOOKUP(A151,'[66]geoMap (63)'!$A:$C,3,0)</f>
        <v>#REF!</v>
      </c>
      <c r="BN151" s="4" t="e">
        <f>BM151/VLOOKUP(A151,'[67]geoMap (64)'!$A:$B,2,0)*VLOOKUP(A151,'[67]geoMap (64)'!$A:$C,3,0)</f>
        <v>#REF!</v>
      </c>
      <c r="BO151" s="1" t="e">
        <f>BN151/VLOOKUP(A151,'[68]geoMap (65)'!$A:$B,2,0)*VLOOKUP(A151,'[68]geoMap (65)'!$A:$C,3,0)</f>
        <v>#REF!</v>
      </c>
      <c r="BP151" s="4" t="e">
        <f>BO151/VLOOKUP(A151,'[69]geoMap (66)'!$A:$B,2,0)*VLOOKUP(A151,'[69]geoMap (66)'!$A:$C,3,0)</f>
        <v>#REF!</v>
      </c>
    </row>
    <row r="152" spans="1:68" x14ac:dyDescent="0.2">
      <c r="A152" s="1" t="s">
        <v>137</v>
      </c>
      <c r="B152" s="1" t="e">
        <f>VLOOKUP(A152,[3]geoMap!$A:$B,2,0)*Notes!$C$6</f>
        <v>#REF!</v>
      </c>
      <c r="C152" s="1" t="e">
        <f>B152/VLOOKUP(A152,'[4]geoMap (1)'!$A:$B,2,0)*VLOOKUP(A152,'[4]geoMap (1)'!$A:$C,3,0)</f>
        <v>#REF!</v>
      </c>
      <c r="D152" s="1" t="e">
        <f>C152/VLOOKUP(A152,'[5]geoMap (2)'!$A:$B,2,0)*VLOOKUP(A152,'[5]geoMap (2)'!$A:$C,3,0)</f>
        <v>#REF!</v>
      </c>
      <c r="E152" s="1" t="e">
        <f>D152/VLOOKUP(A152,'[6]geoMap (3)'!$A:$B,2,0)*VLOOKUP(A152,'[6]geoMap (3)'!$A:$C,3,0)</f>
        <v>#REF!</v>
      </c>
      <c r="F152" s="1" t="e">
        <f>E152/VLOOKUP(A152,'[7]geoMap (4)'!$A:$B,2,0)*VLOOKUP(A152,'[7]geoMap (4)'!$A:$C,3,0)</f>
        <v>#REF!</v>
      </c>
      <c r="G152" s="1" t="e">
        <f>F152/VLOOKUP(A152,'[8]geoMap (5)'!$A:$B,2,0)*VLOOKUP(A152,'[8]geoMap (5)'!$A:$C,3,0)</f>
        <v>#REF!</v>
      </c>
      <c r="H152" s="1" t="e">
        <f>G152/VLOOKUP(A152,'[9]geoMap (6)'!$A:$B,2,0)*VLOOKUP(A152,'[9]geoMap (6)'!$A:$C,3,0)</f>
        <v>#REF!</v>
      </c>
      <c r="I152" s="1" t="e">
        <f>H152/VLOOKUP(A152,'[10]geoMap (7)'!$A:$B,2,0)*VLOOKUP(A152,'[10]geoMap (7)'!$A:$C,3,0)</f>
        <v>#REF!</v>
      </c>
      <c r="J152" s="1" t="e">
        <f>I152/VLOOKUP(A152,'[11]geoMap (8)'!$A:$B,2,0)*VLOOKUP(A152,'[11]geoMap (8)'!$A:$C,3,0)</f>
        <v>#REF!</v>
      </c>
      <c r="K152" s="1" t="e">
        <f>J152/VLOOKUP(A152,'[12]geoMap (9)'!$A:$B,2,0)*VLOOKUP(A152,'[12]geoMap (9)'!$A:$C,3,0)</f>
        <v>#REF!</v>
      </c>
      <c r="L152" s="1" t="e">
        <f>K152/VLOOKUP(A152,'[13]geoMap (10)'!$A:$B,2,0)*VLOOKUP(A152,'[13]geoMap (10)'!$A:$C,3,0)</f>
        <v>#REF!</v>
      </c>
      <c r="M152" s="1" t="e">
        <f>L152/VLOOKUP(A152,'[14]geoMap (11)'!$A:$B,2,0)*VLOOKUP(A152,'[14]geoMap (11)'!$A:$C,3,0)</f>
        <v>#REF!</v>
      </c>
      <c r="N152" s="1" t="e">
        <f>M152/VLOOKUP(A152,'[15]geoMap (12)'!$A:$B,2,0)*VLOOKUP(A152,'[15]geoMap (12)'!$A:$C,3,0)</f>
        <v>#REF!</v>
      </c>
      <c r="O152" s="1" t="e">
        <f>N152/VLOOKUP(A152,'[16]geoMap (13)'!$A:$B,2,0)*VLOOKUP(A152,'[16]geoMap (13)'!$A:$C,3,0)</f>
        <v>#REF!</v>
      </c>
      <c r="P152" s="1" t="e">
        <f>O152/VLOOKUP(A152,'[17]geoMap (14)'!$A:$B,2,0)*VLOOKUP(A152,'[17]geoMap (14)'!$A:$C,3,0)</f>
        <v>#REF!</v>
      </c>
      <c r="Q152" s="1" t="e">
        <f>P152/VLOOKUP(A152,'[18]geoMap (15)'!$A:$B,2,0)*VLOOKUP(A152,'[18]geoMap (15)'!$A:$C,3,0)</f>
        <v>#REF!</v>
      </c>
      <c r="R152" s="1" t="e">
        <f>Q152/VLOOKUP(A152,'[19]geoMap (16)'!$A:$B,2,0)*VLOOKUP(A152,'[19]geoMap (16)'!$A:$C,3,0)</f>
        <v>#REF!</v>
      </c>
      <c r="S152" s="1" t="e">
        <f>R152/VLOOKUP(A152,'[20]geoMap (17)'!$A:$B,2,0)*VLOOKUP(A152,'[20]geoMap (17)'!$A:$C,3,0)</f>
        <v>#REF!</v>
      </c>
      <c r="T152" s="1" t="e">
        <f>S152/VLOOKUP(A152,'[21]geoMap (18)'!$A:$B,2,0)*VLOOKUP(A152,'[21]geoMap (18)'!$A:$C,3,0)</f>
        <v>#REF!</v>
      </c>
      <c r="U152" s="1" t="e">
        <f>T152/VLOOKUP(A152,'[22]geoMap (19)'!$A:$B,2,0)*VLOOKUP(A152,'[22]geoMap (19)'!$A:$C,3,0)</f>
        <v>#REF!</v>
      </c>
      <c r="V152" s="1" t="e">
        <f>U152/VLOOKUP(A152,'[23]geoMap (20)'!$A:$B,2,0)*VLOOKUP(A152,'[23]geoMap (20)'!$A:$C,3,0)</f>
        <v>#REF!</v>
      </c>
      <c r="W152" s="1" t="e">
        <f>V152/VLOOKUP(A152,'[24]geoMap (21)'!$A:$B,2,0)*VLOOKUP(A152,'[24]geoMap (21)'!$A:$C,3,0)</f>
        <v>#REF!</v>
      </c>
      <c r="X152" s="1" t="e">
        <f>W152/VLOOKUP(A152,'[25]geoMap (22)'!$A:$B,2,0)*VLOOKUP(A152,'[25]geoMap (22)'!$A:$C,3,0)</f>
        <v>#REF!</v>
      </c>
      <c r="Y152" s="1" t="e">
        <f>X152/VLOOKUP(A152,'[26]geoMap (23)'!$A:$B,2,0)*VLOOKUP(A152,'[26]geoMap (23)'!$A:$C,3,0)</f>
        <v>#REF!</v>
      </c>
      <c r="Z152" s="1" t="e">
        <f>Y152/VLOOKUP(A152,'[27]geoMap (24)'!$A:$B,2,0)*VLOOKUP(A152,'[27]geoMap (24)'!$A:$C,3,0)</f>
        <v>#REF!</v>
      </c>
      <c r="AA152" s="1" t="e">
        <f>Z152/VLOOKUP(A152,'[28]geoMap (25)'!$A:$B,2,0)*VLOOKUP(A152,'[28]geoMap (25)'!$A:$C,3,0)</f>
        <v>#REF!</v>
      </c>
      <c r="AB152" s="1" t="e">
        <f>AA152*VLOOKUP(A152,'[29]geoMap (26)'!$A:$B,2,0)*VLOOKUP(A152,'[29]geoMap (26)'!$A:$C,3,0)</f>
        <v>#REF!</v>
      </c>
      <c r="AC152" s="1" t="e">
        <f>AB152/VLOOKUP(A152,'[30]geoMap (27)'!$A:$B,2,0)*VLOOKUP(A152,'[30]geoMap (27)'!$A:$C,3,0)</f>
        <v>#REF!</v>
      </c>
      <c r="AD152" s="1" t="e">
        <f>AC152/VLOOKUP(A152,'[31]geoMap (28)'!$A:$B,2,0)*VLOOKUP(A152,'[31]geoMap (28)'!$A:$C,3,0)</f>
        <v>#REF!</v>
      </c>
      <c r="AE152" s="1" t="e">
        <f>AD152/VLOOKUP(A152,'[32]geoMap (29)'!$A:$B,2,0)*VLOOKUP(A152,'[32]geoMap (29)'!$A:$C,3,0)</f>
        <v>#REF!</v>
      </c>
      <c r="AF152" s="1" t="e">
        <f>AE152/VLOOKUP(A152,'[33]geoMap (30)'!$A:$B,2,0)*VLOOKUP(A152,'[33]geoMap (30)'!$A:$C,3,0)</f>
        <v>#REF!</v>
      </c>
      <c r="AG152" s="1" t="e">
        <f>AF152/VLOOKUP(A152,'[34]geoMap (31)'!$A:$B,2,0)*VLOOKUP(A152,'[34]geoMap (31)'!$A:$C,3,0)</f>
        <v>#REF!</v>
      </c>
      <c r="AH152" s="1" t="e">
        <f>AG152/VLOOKUP(A152,'[35]geoMap (32)'!$A:$B,2,0)*VLOOKUP(A152,'[35]geoMap (32)'!$A:$C,3,0)</f>
        <v>#REF!</v>
      </c>
      <c r="AI152" s="1" t="e">
        <f>AH152/VLOOKUP(A152,'[36]geoMap (33)'!$A:$B,2,0)*VLOOKUP(A152,'[36]geoMap (33)'!$A:$C,3,0)</f>
        <v>#REF!</v>
      </c>
      <c r="AJ152" s="1" t="e">
        <f>AI152/VLOOKUP(A152,'[37]geoMap (34)'!$A:$B,2,0)*VLOOKUP(A152,'[37]geoMap (34)'!$A:$C,3,0)</f>
        <v>#REF!</v>
      </c>
      <c r="AK152" s="1" t="e">
        <f>AJ152/VLOOKUP(A152,'[38]geoMap (35)'!$A:$B,2,0)*VLOOKUP(A152,'[38]geoMap (35)'!$A:$C,3,0)</f>
        <v>#REF!</v>
      </c>
      <c r="AL152" s="1" t="e">
        <f>AK152/VLOOKUP(A152,'[39]geoMap (36)'!$A:$B,2,0)*VLOOKUP(A152,'[39]geoMap (36)'!$A:$C,3,0)</f>
        <v>#REF!</v>
      </c>
      <c r="AM152" s="1" t="e">
        <f>AL152/VLOOKUP(A152,'[40]geoMap (37)'!$A:$B,2,0)*VLOOKUP(A152,'[40]geoMap (37)'!$A:$C,3,0)</f>
        <v>#REF!</v>
      </c>
      <c r="AN152" s="1" t="e">
        <f>AM152/VLOOKUP(A152,'[41]geoMap (38)'!$A:$B,2,0)*VLOOKUP(A152,'[41]geoMap (38)'!$A:$C,3,0)</f>
        <v>#REF!</v>
      </c>
      <c r="AO152" s="1" t="e">
        <f>AN152/VLOOKUP(A152,'[42]geoMap (39)'!$A:$B,2,0)*VLOOKUP(A152,'[42]geoMap (39)'!$A:$C,3,0)</f>
        <v>#REF!</v>
      </c>
      <c r="AP152" s="1" t="e">
        <f>AO152/VLOOKUP(A152,'[43]geoMap (40)'!$A:$B,2,0)*VLOOKUP(A152,'[43]geoMap (40)'!$A:$C,3,0)</f>
        <v>#REF!</v>
      </c>
      <c r="AQ152" s="1" t="e">
        <f>AP152/VLOOKUP(A152,'[44]geoMap (41)'!$A:$B,2,0)*VLOOKUP(A152,'[44]geoMap (41)'!$A:$C,3,0)</f>
        <v>#REF!</v>
      </c>
      <c r="AR152" s="1" t="e">
        <f>AQ152/VLOOKUP(A152,'[45]geoMap (42)'!$A:$B,2,0)*VLOOKUP(A152,'[45]geoMap (42)'!$A:$C,3,0)</f>
        <v>#REF!</v>
      </c>
      <c r="AS152" s="1" t="e">
        <f>AR152/VLOOKUP(A152,'[46]geoMap (43)'!$A:$B,2,0)*VLOOKUP(A152,'[46]geoMap (43)'!$A:$C,3,0)</f>
        <v>#REF!</v>
      </c>
      <c r="AT152" s="1" t="e">
        <f>AS152/VLOOKUP(A152,'[47]geoMap (44)'!$A:$B,2,0)*VLOOKUP(A152,'[47]geoMap (44)'!$A:$C,3,0)</f>
        <v>#REF!</v>
      </c>
      <c r="AU152" s="1" t="e">
        <f>AT152/VLOOKUP(A152,'[48]geoMap (45)'!$A:$B,2,0)*VLOOKUP(A152,'[48]geoMap (45)'!$A:$C,3,0)</f>
        <v>#REF!</v>
      </c>
      <c r="AV152" s="1" t="e">
        <f>AU152/VLOOKUP(A152,'[49]geoMap (46)'!$A:$B,2,0)*VLOOKUP(A152,'[49]geoMap (46)'!$A:$C,3,0)</f>
        <v>#REF!</v>
      </c>
      <c r="AW152" s="1" t="e">
        <f>AV152/VLOOKUP(A152,'[50]geoMap (47)'!$A:$B,2,0)*VLOOKUP(A152,'[50]geoMap (47)'!$A:$C,3,0)</f>
        <v>#REF!</v>
      </c>
      <c r="AX152" s="4" t="e">
        <f>AW152/VLOOKUP(A152,'[51]geoMap (48)'!$A:$B,2,0)*VLOOKUP(A152,'[51]geoMap (48)'!$A:$C,3,0)</f>
        <v>#REF!</v>
      </c>
      <c r="AY152" s="1" t="e">
        <f>AX152/VLOOKUP(A152,'[52]geoMap (49)'!$A:$B,2,0)*VLOOKUP(A152,'[52]geoMap (49)'!$A:$C,3,0)</f>
        <v>#REF!</v>
      </c>
      <c r="AZ152" s="4" t="e">
        <f>AY152/VLOOKUP(A152,'[53]geoMap (50)'!$A:$B,2,0)*VLOOKUP(A152,'[53]geoMap (50)'!$A:$C,3,0)</f>
        <v>#REF!</v>
      </c>
      <c r="BA152" s="1" t="e">
        <f>AZ152/VLOOKUP(A152,'[54]geoMap (51)'!$A:$B,2,0)*VLOOKUP(A152,'[54]geoMap (51)'!$A:$C,3,0)</f>
        <v>#REF!</v>
      </c>
      <c r="BB152" s="4" t="e">
        <f>BA152/VLOOKUP(A152,'[55]geoMap (52)'!$A:$B,2,0)*VLOOKUP(A152,'[55]geoMap (52)'!$A:$C,3,0)</f>
        <v>#REF!</v>
      </c>
      <c r="BC152" s="1" t="e">
        <f>BB152/VLOOKUP(A152,'[56]geoMap (53)'!$A:$B,2,0)*VLOOKUP(A152,'[56]geoMap (53)'!$A:$C,3,0)</f>
        <v>#REF!</v>
      </c>
      <c r="BD152" s="4" t="e">
        <f>BC152/VLOOKUP(A152,'[57]geoMap (54)'!$A:$B,2,0)*VLOOKUP(A152,'[57]geoMap (54)'!$A:$C,3,0)</f>
        <v>#REF!</v>
      </c>
      <c r="BE152" s="1" t="e">
        <f>BD152/VLOOKUP(A152,'[58]geoMap (55)'!$A:$B,2,0)*VLOOKUP(A152,'[58]geoMap (55)'!$A:$C,3,0)</f>
        <v>#REF!</v>
      </c>
      <c r="BF152" s="4" t="e">
        <f>BE152/VLOOKUP(A152,'[59]geoMap (56)'!$A:$B,2,0)*VLOOKUP(A152,'[59]geoMap (56)'!$A:$C,3,0)</f>
        <v>#REF!</v>
      </c>
      <c r="BG152" s="1" t="e">
        <f>BF152/VLOOKUP(A152,'[60]geoMap (57)'!$A:$B,2,0)*VLOOKUP(A152,'[60]geoMap (57)'!$A:$C,3,0)</f>
        <v>#REF!</v>
      </c>
      <c r="BH152" s="4" t="e">
        <f>BG152/VLOOKUP(A152,'[61]geoMap (58)'!$A:$B,2,0)*VLOOKUP(A152,'[61]geoMap (58)'!$A:$C,3,0)</f>
        <v>#REF!</v>
      </c>
      <c r="BI152" s="1" t="e">
        <f>BH152/VLOOKUP(A152,'[62]geoMap (59)'!$A:$B,2,0)*VLOOKUP(A152,'[62]geoMap (59)'!$A:$C,3,0)</f>
        <v>#REF!</v>
      </c>
      <c r="BJ152" s="4" t="e">
        <f>BI152/VLOOKUP(A152,'[63]geoMap (60)'!$A:$B,2,0)*VLOOKUP(A152,'[63]geoMap (60)'!$A:$C,3,0)</f>
        <v>#REF!</v>
      </c>
      <c r="BK152" s="1" t="e">
        <f>BJ152/VLOOKUP(A152,'[64]geoMap (61)'!$A:$B,2,0)*VLOOKUP(A152,'[64]geoMap (61)'!$A:$C,3,0)</f>
        <v>#REF!</v>
      </c>
      <c r="BL152" s="4" t="e">
        <f>BK152/VLOOKUP(A152,'[65]geoMap (62)'!$A:$B,2,0)*VLOOKUP(A152,'[65]geoMap (62)'!$A:$C,3,0)</f>
        <v>#REF!</v>
      </c>
      <c r="BM152" s="1" t="e">
        <f>BL152/VLOOKUP(A152,'[66]geoMap (63)'!$A:$B,2,0)*VLOOKUP(A152,'[66]geoMap (63)'!$A:$C,3,0)</f>
        <v>#REF!</v>
      </c>
      <c r="BN152" s="4" t="e">
        <f>BM152/VLOOKUP(A152,'[67]geoMap (64)'!$A:$B,2,0)*VLOOKUP(A152,'[67]geoMap (64)'!$A:$C,3,0)</f>
        <v>#REF!</v>
      </c>
      <c r="BO152" s="1" t="e">
        <f>BN152/VLOOKUP(A152,'[68]geoMap (65)'!$A:$B,2,0)*VLOOKUP(A152,'[68]geoMap (65)'!$A:$C,3,0)</f>
        <v>#REF!</v>
      </c>
      <c r="BP152" s="4" t="e">
        <f>BO152/VLOOKUP(A152,'[69]geoMap (66)'!$A:$B,2,0)*VLOOKUP(A152,'[69]geoMap (66)'!$A:$C,3,0)</f>
        <v>#REF!</v>
      </c>
    </row>
    <row r="153" spans="1:68" x14ac:dyDescent="0.2">
      <c r="A153" s="1" t="s">
        <v>138</v>
      </c>
      <c r="B153" s="1" t="e">
        <f>VLOOKUP(A153,[3]geoMap!$A:$B,2,0)*Notes!$C$6</f>
        <v>#REF!</v>
      </c>
      <c r="C153" s="1" t="e">
        <f>B153/VLOOKUP(A153,'[4]geoMap (1)'!$A:$B,2,0)*VLOOKUP(A153,'[4]geoMap (1)'!$A:$C,3,0)</f>
        <v>#REF!</v>
      </c>
      <c r="D153" s="1" t="e">
        <f>C153/VLOOKUP(A153,'[5]geoMap (2)'!$A:$B,2,0)*VLOOKUP(A153,'[5]geoMap (2)'!$A:$C,3,0)</f>
        <v>#REF!</v>
      </c>
      <c r="E153" s="1" t="e">
        <f>D153/VLOOKUP(A153,'[6]geoMap (3)'!$A:$B,2,0)*VLOOKUP(A153,'[6]geoMap (3)'!$A:$C,3,0)</f>
        <v>#REF!</v>
      </c>
      <c r="F153" s="1" t="e">
        <f>E153/VLOOKUP(A153,'[7]geoMap (4)'!$A:$B,2,0)*VLOOKUP(A153,'[7]geoMap (4)'!$A:$C,3,0)</f>
        <v>#REF!</v>
      </c>
      <c r="G153" s="1" t="e">
        <f>F153/VLOOKUP(A153,'[8]geoMap (5)'!$A:$B,2,0)*VLOOKUP(A153,'[8]geoMap (5)'!$A:$C,3,0)</f>
        <v>#REF!</v>
      </c>
      <c r="H153" s="1" t="e">
        <f>G153/VLOOKUP(A153,'[9]geoMap (6)'!$A:$B,2,0)*VLOOKUP(A153,'[9]geoMap (6)'!$A:$C,3,0)</f>
        <v>#REF!</v>
      </c>
      <c r="I153" s="1" t="e">
        <f>H153/VLOOKUP(A153,'[10]geoMap (7)'!$A:$B,2,0)*VLOOKUP(A153,'[10]geoMap (7)'!$A:$C,3,0)</f>
        <v>#REF!</v>
      </c>
      <c r="J153" s="1" t="e">
        <f>I153/VLOOKUP(A153,'[11]geoMap (8)'!$A:$B,2,0)*VLOOKUP(A153,'[11]geoMap (8)'!$A:$C,3,0)</f>
        <v>#REF!</v>
      </c>
      <c r="K153" s="1" t="e">
        <f>J153/VLOOKUP(A153,'[12]geoMap (9)'!$A:$B,2,0)*VLOOKUP(A153,'[12]geoMap (9)'!$A:$C,3,0)</f>
        <v>#REF!</v>
      </c>
      <c r="L153" s="1" t="e">
        <f>K153/VLOOKUP(A153,'[13]geoMap (10)'!$A:$B,2,0)*VLOOKUP(A153,'[13]geoMap (10)'!$A:$C,3,0)</f>
        <v>#REF!</v>
      </c>
      <c r="M153" s="1" t="e">
        <f>L153/VLOOKUP(A153,'[14]geoMap (11)'!$A:$B,2,0)*VLOOKUP(A153,'[14]geoMap (11)'!$A:$C,3,0)</f>
        <v>#REF!</v>
      </c>
      <c r="N153" s="1" t="e">
        <f>M153/VLOOKUP(A153,'[15]geoMap (12)'!$A:$B,2,0)*VLOOKUP(A153,'[15]geoMap (12)'!$A:$C,3,0)</f>
        <v>#REF!</v>
      </c>
      <c r="O153" s="1" t="e">
        <f>N153/VLOOKUP(A153,'[16]geoMap (13)'!$A:$B,2,0)*VLOOKUP(A153,'[16]geoMap (13)'!$A:$C,3,0)</f>
        <v>#REF!</v>
      </c>
      <c r="P153" s="1" t="e">
        <f>O153/VLOOKUP(A153,'[17]geoMap (14)'!$A:$B,2,0)*VLOOKUP(A153,'[17]geoMap (14)'!$A:$C,3,0)</f>
        <v>#REF!</v>
      </c>
      <c r="Q153" s="1" t="e">
        <f>P153/VLOOKUP(A153,'[18]geoMap (15)'!$A:$B,2,0)*VLOOKUP(A153,'[18]geoMap (15)'!$A:$C,3,0)</f>
        <v>#REF!</v>
      </c>
      <c r="R153" s="1" t="e">
        <f>Q153/VLOOKUP(A153,'[19]geoMap (16)'!$A:$B,2,0)*VLOOKUP(A153,'[19]geoMap (16)'!$A:$C,3,0)</f>
        <v>#REF!</v>
      </c>
      <c r="S153" s="1" t="e">
        <f>R153/VLOOKUP(A153,'[20]geoMap (17)'!$A:$B,2,0)*VLOOKUP(A153,'[20]geoMap (17)'!$A:$C,3,0)</f>
        <v>#REF!</v>
      </c>
      <c r="T153" s="1" t="e">
        <f>S153/VLOOKUP(A153,'[21]geoMap (18)'!$A:$B,2,0)*VLOOKUP(A153,'[21]geoMap (18)'!$A:$C,3,0)</f>
        <v>#REF!</v>
      </c>
      <c r="U153" s="1" t="e">
        <f>T153/VLOOKUP(A153,'[22]geoMap (19)'!$A:$B,2,0)*VLOOKUP(A153,'[22]geoMap (19)'!$A:$C,3,0)</f>
        <v>#REF!</v>
      </c>
      <c r="V153" s="1" t="e">
        <f>U153/VLOOKUP(A153,'[23]geoMap (20)'!$A:$B,2,0)*VLOOKUP(A153,'[23]geoMap (20)'!$A:$C,3,0)</f>
        <v>#REF!</v>
      </c>
      <c r="W153" s="1" t="e">
        <f>V153/VLOOKUP(A153,'[24]geoMap (21)'!$A:$B,2,0)*VLOOKUP(A153,'[24]geoMap (21)'!$A:$C,3,0)</f>
        <v>#REF!</v>
      </c>
      <c r="X153" s="1" t="e">
        <f>W153/VLOOKUP(A153,'[25]geoMap (22)'!$A:$B,2,0)*VLOOKUP(A153,'[25]geoMap (22)'!$A:$C,3,0)</f>
        <v>#REF!</v>
      </c>
      <c r="Y153" s="1" t="e">
        <f>X153/VLOOKUP(A153,'[26]geoMap (23)'!$A:$B,2,0)*VLOOKUP(A153,'[26]geoMap (23)'!$A:$C,3,0)</f>
        <v>#REF!</v>
      </c>
      <c r="Z153" s="1" t="e">
        <f>Y153/VLOOKUP(A153,'[27]geoMap (24)'!$A:$B,2,0)*VLOOKUP(A153,'[27]geoMap (24)'!$A:$C,3,0)</f>
        <v>#REF!</v>
      </c>
      <c r="AA153" s="1" t="e">
        <f>Z153/VLOOKUP(A153,'[28]geoMap (25)'!$A:$B,2,0)*VLOOKUP(A153,'[28]geoMap (25)'!$A:$C,3,0)</f>
        <v>#REF!</v>
      </c>
      <c r="AB153" s="1" t="e">
        <f>AA153*VLOOKUP(A153,'[29]geoMap (26)'!$A:$B,2,0)*VLOOKUP(A153,'[29]geoMap (26)'!$A:$C,3,0)</f>
        <v>#REF!</v>
      </c>
      <c r="AC153" s="1" t="e">
        <f>AB153/VLOOKUP(A153,'[30]geoMap (27)'!$A:$B,2,0)*VLOOKUP(A153,'[30]geoMap (27)'!$A:$C,3,0)</f>
        <v>#REF!</v>
      </c>
      <c r="AD153" s="1" t="e">
        <f>AC153/VLOOKUP(A153,'[31]geoMap (28)'!$A:$B,2,0)*VLOOKUP(A153,'[31]geoMap (28)'!$A:$C,3,0)</f>
        <v>#REF!</v>
      </c>
      <c r="AE153" s="1" t="e">
        <f>AD153/VLOOKUP(A153,'[32]geoMap (29)'!$A:$B,2,0)*VLOOKUP(A153,'[32]geoMap (29)'!$A:$C,3,0)</f>
        <v>#REF!</v>
      </c>
      <c r="AF153" s="1" t="e">
        <f>AE153/VLOOKUP(A153,'[33]geoMap (30)'!$A:$B,2,0)*VLOOKUP(A153,'[33]geoMap (30)'!$A:$C,3,0)</f>
        <v>#REF!</v>
      </c>
      <c r="AG153" s="1" t="e">
        <f>AF153/VLOOKUP(A153,'[34]geoMap (31)'!$A:$B,2,0)*VLOOKUP(A153,'[34]geoMap (31)'!$A:$C,3,0)</f>
        <v>#REF!</v>
      </c>
      <c r="AH153" s="1" t="e">
        <f>AG153/VLOOKUP(A153,'[35]geoMap (32)'!$A:$B,2,0)*VLOOKUP(A153,'[35]geoMap (32)'!$A:$C,3,0)</f>
        <v>#REF!</v>
      </c>
      <c r="AI153" s="1" t="e">
        <f>AH153/VLOOKUP(A153,'[36]geoMap (33)'!$A:$B,2,0)*VLOOKUP(A153,'[36]geoMap (33)'!$A:$C,3,0)</f>
        <v>#REF!</v>
      </c>
      <c r="AJ153" s="1" t="e">
        <f>AI153/VLOOKUP(A153,'[37]geoMap (34)'!$A:$B,2,0)*VLOOKUP(A153,'[37]geoMap (34)'!$A:$C,3,0)</f>
        <v>#REF!</v>
      </c>
      <c r="AK153" s="1" t="e">
        <f>AJ153/VLOOKUP(A153,'[38]geoMap (35)'!$A:$B,2,0)*VLOOKUP(A153,'[38]geoMap (35)'!$A:$C,3,0)</f>
        <v>#REF!</v>
      </c>
      <c r="AL153" s="1" t="e">
        <f>AK153/VLOOKUP(A153,'[39]geoMap (36)'!$A:$B,2,0)*VLOOKUP(A153,'[39]geoMap (36)'!$A:$C,3,0)</f>
        <v>#REF!</v>
      </c>
      <c r="AM153" s="1" t="e">
        <f>AL153/VLOOKUP(A153,'[40]geoMap (37)'!$A:$B,2,0)*VLOOKUP(A153,'[40]geoMap (37)'!$A:$C,3,0)</f>
        <v>#REF!</v>
      </c>
      <c r="AN153" s="1" t="e">
        <f>AM153/VLOOKUP(A153,'[41]geoMap (38)'!$A:$B,2,0)*VLOOKUP(A153,'[41]geoMap (38)'!$A:$C,3,0)</f>
        <v>#REF!</v>
      </c>
      <c r="AO153" s="1" t="e">
        <f>AN153/VLOOKUP(A153,'[42]geoMap (39)'!$A:$B,2,0)*VLOOKUP(A153,'[42]geoMap (39)'!$A:$C,3,0)</f>
        <v>#REF!</v>
      </c>
      <c r="AP153" s="1" t="e">
        <f>AO153/VLOOKUP(A153,'[43]geoMap (40)'!$A:$B,2,0)*VLOOKUP(A153,'[43]geoMap (40)'!$A:$C,3,0)</f>
        <v>#REF!</v>
      </c>
      <c r="AQ153" s="1" t="e">
        <f>AP153/VLOOKUP(A153,'[44]geoMap (41)'!$A:$B,2,0)*VLOOKUP(A153,'[44]geoMap (41)'!$A:$C,3,0)</f>
        <v>#REF!</v>
      </c>
      <c r="AR153" s="1" t="e">
        <f>AQ153/VLOOKUP(A153,'[45]geoMap (42)'!$A:$B,2,0)*VLOOKUP(A153,'[45]geoMap (42)'!$A:$C,3,0)</f>
        <v>#REF!</v>
      </c>
      <c r="AS153" s="1" t="e">
        <f>AR153/VLOOKUP(A153,'[46]geoMap (43)'!$A:$B,2,0)*VLOOKUP(A153,'[46]geoMap (43)'!$A:$C,3,0)</f>
        <v>#REF!</v>
      </c>
      <c r="AT153" s="1" t="e">
        <f>AS153/VLOOKUP(A153,'[47]geoMap (44)'!$A:$B,2,0)*VLOOKUP(A153,'[47]geoMap (44)'!$A:$C,3,0)</f>
        <v>#REF!</v>
      </c>
      <c r="AU153" s="1" t="e">
        <f>AT153/VLOOKUP(A153,'[48]geoMap (45)'!$A:$B,2,0)*VLOOKUP(A153,'[48]geoMap (45)'!$A:$C,3,0)</f>
        <v>#REF!</v>
      </c>
      <c r="AV153" s="1" t="e">
        <f>AU153/VLOOKUP(A153,'[49]geoMap (46)'!$A:$B,2,0)*VLOOKUP(A153,'[49]geoMap (46)'!$A:$C,3,0)</f>
        <v>#REF!</v>
      </c>
      <c r="AW153" s="1" t="e">
        <f>AV153/VLOOKUP(A153,'[50]geoMap (47)'!$A:$B,2,0)*VLOOKUP(A153,'[50]geoMap (47)'!$A:$C,3,0)</f>
        <v>#REF!</v>
      </c>
      <c r="AX153" s="4" t="e">
        <f>AW153/VLOOKUP(A153,'[51]geoMap (48)'!$A:$B,2,0)*VLOOKUP(A153,'[51]geoMap (48)'!$A:$C,3,0)</f>
        <v>#REF!</v>
      </c>
      <c r="AY153" s="1" t="e">
        <f>AX153/VLOOKUP(A153,'[52]geoMap (49)'!$A:$B,2,0)*VLOOKUP(A153,'[52]geoMap (49)'!$A:$C,3,0)</f>
        <v>#REF!</v>
      </c>
      <c r="AZ153" s="4" t="e">
        <f>AY153/VLOOKUP(A153,'[53]geoMap (50)'!$A:$B,2,0)*VLOOKUP(A153,'[53]geoMap (50)'!$A:$C,3,0)</f>
        <v>#REF!</v>
      </c>
      <c r="BA153" s="1" t="e">
        <f>AZ153/VLOOKUP(A153,'[54]geoMap (51)'!$A:$B,2,0)*VLOOKUP(A153,'[54]geoMap (51)'!$A:$C,3,0)</f>
        <v>#REF!</v>
      </c>
      <c r="BB153" s="4" t="e">
        <f>BA153/VLOOKUP(A153,'[55]geoMap (52)'!$A:$B,2,0)*VLOOKUP(A153,'[55]geoMap (52)'!$A:$C,3,0)</f>
        <v>#REF!</v>
      </c>
      <c r="BC153" s="1" t="e">
        <f>BB153/VLOOKUP(A153,'[56]geoMap (53)'!$A:$B,2,0)*VLOOKUP(A153,'[56]geoMap (53)'!$A:$C,3,0)</f>
        <v>#REF!</v>
      </c>
      <c r="BD153" s="4" t="e">
        <f>BC153/VLOOKUP(A153,'[57]geoMap (54)'!$A:$B,2,0)*VLOOKUP(A153,'[57]geoMap (54)'!$A:$C,3,0)</f>
        <v>#REF!</v>
      </c>
      <c r="BE153" s="1" t="e">
        <f>BD153/VLOOKUP(A153,'[58]geoMap (55)'!$A:$B,2,0)*VLOOKUP(A153,'[58]geoMap (55)'!$A:$C,3,0)</f>
        <v>#REF!</v>
      </c>
      <c r="BF153" s="4" t="e">
        <f>BE153/VLOOKUP(A153,'[59]geoMap (56)'!$A:$B,2,0)*VLOOKUP(A153,'[59]geoMap (56)'!$A:$C,3,0)</f>
        <v>#REF!</v>
      </c>
      <c r="BG153" s="1" t="e">
        <f>BF153/VLOOKUP(A153,'[60]geoMap (57)'!$A:$B,2,0)*VLOOKUP(A153,'[60]geoMap (57)'!$A:$C,3,0)</f>
        <v>#REF!</v>
      </c>
      <c r="BH153" s="4" t="e">
        <f>BG153/VLOOKUP(A153,'[61]geoMap (58)'!$A:$B,2,0)*VLOOKUP(A153,'[61]geoMap (58)'!$A:$C,3,0)</f>
        <v>#REF!</v>
      </c>
      <c r="BI153" s="1" t="e">
        <f>BH153/VLOOKUP(A153,'[62]geoMap (59)'!$A:$B,2,0)*VLOOKUP(A153,'[62]geoMap (59)'!$A:$C,3,0)</f>
        <v>#REF!</v>
      </c>
      <c r="BJ153" s="4" t="e">
        <f>BI153/VLOOKUP(A153,'[63]geoMap (60)'!$A:$B,2,0)*VLOOKUP(A153,'[63]geoMap (60)'!$A:$C,3,0)</f>
        <v>#REF!</v>
      </c>
      <c r="BK153" s="1" t="e">
        <f>BJ153/VLOOKUP(A153,'[64]geoMap (61)'!$A:$B,2,0)*VLOOKUP(A153,'[64]geoMap (61)'!$A:$C,3,0)</f>
        <v>#REF!</v>
      </c>
      <c r="BL153" s="4" t="e">
        <f>BK153/VLOOKUP(A153,'[65]geoMap (62)'!$A:$B,2,0)*VLOOKUP(A153,'[65]geoMap (62)'!$A:$C,3,0)</f>
        <v>#REF!</v>
      </c>
      <c r="BM153" s="1" t="e">
        <f>BL153/VLOOKUP(A153,'[66]geoMap (63)'!$A:$B,2,0)*VLOOKUP(A153,'[66]geoMap (63)'!$A:$C,3,0)</f>
        <v>#REF!</v>
      </c>
      <c r="BN153" s="4" t="e">
        <f>BM153/VLOOKUP(A153,'[67]geoMap (64)'!$A:$B,2,0)*VLOOKUP(A153,'[67]geoMap (64)'!$A:$C,3,0)</f>
        <v>#REF!</v>
      </c>
      <c r="BO153" s="1" t="e">
        <f>BN153/VLOOKUP(A153,'[68]geoMap (65)'!$A:$B,2,0)*VLOOKUP(A153,'[68]geoMap (65)'!$A:$C,3,0)</f>
        <v>#REF!</v>
      </c>
      <c r="BP153" s="4" t="e">
        <f>BO153/VLOOKUP(A153,'[69]geoMap (66)'!$A:$B,2,0)*VLOOKUP(A153,'[69]geoMap (66)'!$A:$C,3,0)</f>
        <v>#REF!</v>
      </c>
    </row>
    <row r="154" spans="1:68" x14ac:dyDescent="0.2">
      <c r="A154" s="1" t="s">
        <v>139</v>
      </c>
      <c r="B154" s="1" t="e">
        <f>VLOOKUP(A154,[3]geoMap!$A:$B,2,0)*Notes!$C$6</f>
        <v>#REF!</v>
      </c>
      <c r="C154" s="1" t="e">
        <f>B154/VLOOKUP(A154,'[4]geoMap (1)'!$A:$B,2,0)*VLOOKUP(A154,'[4]geoMap (1)'!$A:$C,3,0)</f>
        <v>#REF!</v>
      </c>
      <c r="D154" s="1" t="e">
        <f>C154/VLOOKUP(A154,'[5]geoMap (2)'!$A:$B,2,0)*VLOOKUP(A154,'[5]geoMap (2)'!$A:$C,3,0)</f>
        <v>#REF!</v>
      </c>
      <c r="E154" s="1" t="e">
        <f>D154/VLOOKUP(A154,'[6]geoMap (3)'!$A:$B,2,0)*VLOOKUP(A154,'[6]geoMap (3)'!$A:$C,3,0)</f>
        <v>#REF!</v>
      </c>
      <c r="F154" s="1" t="e">
        <f>E154/VLOOKUP(A154,'[7]geoMap (4)'!$A:$B,2,0)*VLOOKUP(A154,'[7]geoMap (4)'!$A:$C,3,0)</f>
        <v>#REF!</v>
      </c>
      <c r="G154" s="1" t="e">
        <f>F154/VLOOKUP(A154,'[8]geoMap (5)'!$A:$B,2,0)*VLOOKUP(A154,'[8]geoMap (5)'!$A:$C,3,0)</f>
        <v>#REF!</v>
      </c>
      <c r="H154" s="1" t="e">
        <f>G154/VLOOKUP(A154,'[9]geoMap (6)'!$A:$B,2,0)*VLOOKUP(A154,'[9]geoMap (6)'!$A:$C,3,0)</f>
        <v>#REF!</v>
      </c>
      <c r="I154" s="1" t="e">
        <f>H154/VLOOKUP(A154,'[10]geoMap (7)'!$A:$B,2,0)*VLOOKUP(A154,'[10]geoMap (7)'!$A:$C,3,0)</f>
        <v>#REF!</v>
      </c>
      <c r="J154" s="1" t="e">
        <f>I154/VLOOKUP(A154,'[11]geoMap (8)'!$A:$B,2,0)*VLOOKUP(A154,'[11]geoMap (8)'!$A:$C,3,0)</f>
        <v>#REF!</v>
      </c>
      <c r="K154" s="1" t="e">
        <f>J154/VLOOKUP(A154,'[12]geoMap (9)'!$A:$B,2,0)*VLOOKUP(A154,'[12]geoMap (9)'!$A:$C,3,0)</f>
        <v>#REF!</v>
      </c>
      <c r="L154" s="1" t="e">
        <f>K154/VLOOKUP(A154,'[13]geoMap (10)'!$A:$B,2,0)*VLOOKUP(A154,'[13]geoMap (10)'!$A:$C,3,0)</f>
        <v>#REF!</v>
      </c>
      <c r="M154" s="1" t="e">
        <f>L154/VLOOKUP(A154,'[14]geoMap (11)'!$A:$B,2,0)*VLOOKUP(A154,'[14]geoMap (11)'!$A:$C,3,0)</f>
        <v>#REF!</v>
      </c>
      <c r="N154" s="1" t="e">
        <f>M154/VLOOKUP(A154,'[15]geoMap (12)'!$A:$B,2,0)*VLOOKUP(A154,'[15]geoMap (12)'!$A:$C,3,0)</f>
        <v>#REF!</v>
      </c>
      <c r="O154" s="1" t="e">
        <f>N154/VLOOKUP(A154,'[16]geoMap (13)'!$A:$B,2,0)*VLOOKUP(A154,'[16]geoMap (13)'!$A:$C,3,0)</f>
        <v>#REF!</v>
      </c>
      <c r="P154" s="1" t="e">
        <f>O154/VLOOKUP(A154,'[17]geoMap (14)'!$A:$B,2,0)*VLOOKUP(A154,'[17]geoMap (14)'!$A:$C,3,0)</f>
        <v>#REF!</v>
      </c>
      <c r="Q154" s="1" t="e">
        <f>P154/VLOOKUP(A154,'[18]geoMap (15)'!$A:$B,2,0)*VLOOKUP(A154,'[18]geoMap (15)'!$A:$C,3,0)</f>
        <v>#REF!</v>
      </c>
      <c r="R154" s="1" t="e">
        <f>Q154/VLOOKUP(A154,'[19]geoMap (16)'!$A:$B,2,0)*VLOOKUP(A154,'[19]geoMap (16)'!$A:$C,3,0)</f>
        <v>#REF!</v>
      </c>
      <c r="S154" s="1" t="e">
        <f>R154/VLOOKUP(A154,'[20]geoMap (17)'!$A:$B,2,0)*VLOOKUP(A154,'[20]geoMap (17)'!$A:$C,3,0)</f>
        <v>#REF!</v>
      </c>
      <c r="T154" s="1" t="e">
        <f>S154/VLOOKUP(A154,'[21]geoMap (18)'!$A:$B,2,0)*VLOOKUP(A154,'[21]geoMap (18)'!$A:$C,3,0)</f>
        <v>#REF!</v>
      </c>
      <c r="U154" s="1" t="e">
        <f>T154/VLOOKUP(A154,'[22]geoMap (19)'!$A:$B,2,0)*VLOOKUP(A154,'[22]geoMap (19)'!$A:$C,3,0)</f>
        <v>#REF!</v>
      </c>
      <c r="V154" s="1" t="e">
        <f>U154/VLOOKUP(A154,'[23]geoMap (20)'!$A:$B,2,0)*VLOOKUP(A154,'[23]geoMap (20)'!$A:$C,3,0)</f>
        <v>#REF!</v>
      </c>
      <c r="W154" s="1" t="e">
        <f>V154/VLOOKUP(A154,'[24]geoMap (21)'!$A:$B,2,0)*VLOOKUP(A154,'[24]geoMap (21)'!$A:$C,3,0)</f>
        <v>#REF!</v>
      </c>
      <c r="X154" s="1" t="e">
        <f>W154/VLOOKUP(A154,'[25]geoMap (22)'!$A:$B,2,0)*VLOOKUP(A154,'[25]geoMap (22)'!$A:$C,3,0)</f>
        <v>#REF!</v>
      </c>
      <c r="Y154" s="1" t="e">
        <f>X154/VLOOKUP(A154,'[26]geoMap (23)'!$A:$B,2,0)*VLOOKUP(A154,'[26]geoMap (23)'!$A:$C,3,0)</f>
        <v>#REF!</v>
      </c>
      <c r="Z154" s="1" t="e">
        <f>Y154/VLOOKUP(A154,'[27]geoMap (24)'!$A:$B,2,0)*VLOOKUP(A154,'[27]geoMap (24)'!$A:$C,3,0)</f>
        <v>#REF!</v>
      </c>
      <c r="AA154" s="1" t="e">
        <f>Z154/VLOOKUP(A154,'[28]geoMap (25)'!$A:$B,2,0)*VLOOKUP(A154,'[28]geoMap (25)'!$A:$C,3,0)</f>
        <v>#REF!</v>
      </c>
      <c r="AB154" s="1" t="e">
        <f>AA154*VLOOKUP(A154,'[29]geoMap (26)'!$A:$B,2,0)*VLOOKUP(A154,'[29]geoMap (26)'!$A:$C,3,0)</f>
        <v>#REF!</v>
      </c>
      <c r="AC154" s="1" t="e">
        <f>AB154/VLOOKUP(A154,'[30]geoMap (27)'!$A:$B,2,0)*VLOOKUP(A154,'[30]geoMap (27)'!$A:$C,3,0)</f>
        <v>#REF!</v>
      </c>
      <c r="AD154" s="1" t="e">
        <f>AC154/VLOOKUP(A154,'[31]geoMap (28)'!$A:$B,2,0)*VLOOKUP(A154,'[31]geoMap (28)'!$A:$C,3,0)</f>
        <v>#REF!</v>
      </c>
      <c r="AE154" s="1" t="e">
        <f>AD154/VLOOKUP(A154,'[32]geoMap (29)'!$A:$B,2,0)*VLOOKUP(A154,'[32]geoMap (29)'!$A:$C,3,0)</f>
        <v>#REF!</v>
      </c>
      <c r="AF154" s="1" t="e">
        <f>AE154/VLOOKUP(A154,'[33]geoMap (30)'!$A:$B,2,0)*VLOOKUP(A154,'[33]geoMap (30)'!$A:$C,3,0)</f>
        <v>#REF!</v>
      </c>
      <c r="AG154" s="1" t="e">
        <f>AF154/VLOOKUP(A154,'[34]geoMap (31)'!$A:$B,2,0)*VLOOKUP(A154,'[34]geoMap (31)'!$A:$C,3,0)</f>
        <v>#REF!</v>
      </c>
      <c r="AH154" s="1" t="e">
        <f>AG154/VLOOKUP(A154,'[35]geoMap (32)'!$A:$B,2,0)*VLOOKUP(A154,'[35]geoMap (32)'!$A:$C,3,0)</f>
        <v>#REF!</v>
      </c>
      <c r="AI154" s="1" t="e">
        <f>AH154/VLOOKUP(A154,'[36]geoMap (33)'!$A:$B,2,0)*VLOOKUP(A154,'[36]geoMap (33)'!$A:$C,3,0)</f>
        <v>#REF!</v>
      </c>
      <c r="AJ154" s="1" t="e">
        <f>AI154/VLOOKUP(A154,'[37]geoMap (34)'!$A:$B,2,0)*VLOOKUP(A154,'[37]geoMap (34)'!$A:$C,3,0)</f>
        <v>#REF!</v>
      </c>
      <c r="AK154" s="1" t="e">
        <f>AJ154/VLOOKUP(A154,'[38]geoMap (35)'!$A:$B,2,0)*VLOOKUP(A154,'[38]geoMap (35)'!$A:$C,3,0)</f>
        <v>#REF!</v>
      </c>
      <c r="AL154" s="1" t="e">
        <f>AK154/VLOOKUP(A154,'[39]geoMap (36)'!$A:$B,2,0)*VLOOKUP(A154,'[39]geoMap (36)'!$A:$C,3,0)</f>
        <v>#REF!</v>
      </c>
      <c r="AM154" s="1" t="e">
        <f>AL154/VLOOKUP(A154,'[40]geoMap (37)'!$A:$B,2,0)*VLOOKUP(A154,'[40]geoMap (37)'!$A:$C,3,0)</f>
        <v>#REF!</v>
      </c>
      <c r="AN154" s="1" t="e">
        <f>AM154/VLOOKUP(A154,'[41]geoMap (38)'!$A:$B,2,0)*VLOOKUP(A154,'[41]geoMap (38)'!$A:$C,3,0)</f>
        <v>#REF!</v>
      </c>
      <c r="AO154" s="1" t="e">
        <f>AN154/VLOOKUP(A154,'[42]geoMap (39)'!$A:$B,2,0)*VLOOKUP(A154,'[42]geoMap (39)'!$A:$C,3,0)</f>
        <v>#REF!</v>
      </c>
      <c r="AP154" s="1" t="e">
        <f>AO154/VLOOKUP(A154,'[43]geoMap (40)'!$A:$B,2,0)*VLOOKUP(A154,'[43]geoMap (40)'!$A:$C,3,0)</f>
        <v>#REF!</v>
      </c>
      <c r="AQ154" s="1" t="e">
        <f>AP154/VLOOKUP(A154,'[44]geoMap (41)'!$A:$B,2,0)*VLOOKUP(A154,'[44]geoMap (41)'!$A:$C,3,0)</f>
        <v>#REF!</v>
      </c>
      <c r="AR154" s="1" t="e">
        <f>AQ154/VLOOKUP(A154,'[45]geoMap (42)'!$A:$B,2,0)*VLOOKUP(A154,'[45]geoMap (42)'!$A:$C,3,0)</f>
        <v>#REF!</v>
      </c>
      <c r="AS154" s="1" t="e">
        <f>AR154/VLOOKUP(A154,'[46]geoMap (43)'!$A:$B,2,0)*VLOOKUP(A154,'[46]geoMap (43)'!$A:$C,3,0)</f>
        <v>#REF!</v>
      </c>
      <c r="AT154" s="1" t="e">
        <f>AS154/VLOOKUP(A154,'[47]geoMap (44)'!$A:$B,2,0)*VLOOKUP(A154,'[47]geoMap (44)'!$A:$C,3,0)</f>
        <v>#REF!</v>
      </c>
      <c r="AU154" s="1" t="e">
        <f>AT154/VLOOKUP(A154,'[48]geoMap (45)'!$A:$B,2,0)*VLOOKUP(A154,'[48]geoMap (45)'!$A:$C,3,0)</f>
        <v>#REF!</v>
      </c>
      <c r="AV154" s="1" t="e">
        <f>AU154/VLOOKUP(A154,'[49]geoMap (46)'!$A:$B,2,0)*VLOOKUP(A154,'[49]geoMap (46)'!$A:$C,3,0)</f>
        <v>#REF!</v>
      </c>
      <c r="AW154" s="1" t="e">
        <f>AV154/VLOOKUP(A154,'[50]geoMap (47)'!$A:$B,2,0)*VLOOKUP(A154,'[50]geoMap (47)'!$A:$C,3,0)</f>
        <v>#REF!</v>
      </c>
      <c r="AX154" s="4" t="e">
        <f>AW154/VLOOKUP(A154,'[51]geoMap (48)'!$A:$B,2,0)*VLOOKUP(A154,'[51]geoMap (48)'!$A:$C,3,0)</f>
        <v>#REF!</v>
      </c>
      <c r="AY154" s="1" t="e">
        <f>AX154/VLOOKUP(A154,'[52]geoMap (49)'!$A:$B,2,0)*VLOOKUP(A154,'[52]geoMap (49)'!$A:$C,3,0)</f>
        <v>#REF!</v>
      </c>
      <c r="AZ154" s="4" t="e">
        <f>AY154/VLOOKUP(A154,'[53]geoMap (50)'!$A:$B,2,0)*VLOOKUP(A154,'[53]geoMap (50)'!$A:$C,3,0)</f>
        <v>#REF!</v>
      </c>
      <c r="BA154" s="1" t="e">
        <f>AZ154/VLOOKUP(A154,'[54]geoMap (51)'!$A:$B,2,0)*VLOOKUP(A154,'[54]geoMap (51)'!$A:$C,3,0)</f>
        <v>#REF!</v>
      </c>
      <c r="BB154" s="4" t="e">
        <f>BA154/VLOOKUP(A154,'[55]geoMap (52)'!$A:$B,2,0)*VLOOKUP(A154,'[55]geoMap (52)'!$A:$C,3,0)</f>
        <v>#REF!</v>
      </c>
      <c r="BC154" s="1" t="e">
        <f>BB154/VLOOKUP(A154,'[56]geoMap (53)'!$A:$B,2,0)*VLOOKUP(A154,'[56]geoMap (53)'!$A:$C,3,0)</f>
        <v>#REF!</v>
      </c>
      <c r="BD154" s="4" t="e">
        <f>BC154/VLOOKUP(A154,'[57]geoMap (54)'!$A:$B,2,0)*VLOOKUP(A154,'[57]geoMap (54)'!$A:$C,3,0)</f>
        <v>#REF!</v>
      </c>
      <c r="BE154" s="1" t="e">
        <f>BD154/VLOOKUP(A154,'[58]geoMap (55)'!$A:$B,2,0)*VLOOKUP(A154,'[58]geoMap (55)'!$A:$C,3,0)</f>
        <v>#REF!</v>
      </c>
      <c r="BF154" s="4" t="e">
        <f>BE154/VLOOKUP(A154,'[59]geoMap (56)'!$A:$B,2,0)*VLOOKUP(A154,'[59]geoMap (56)'!$A:$C,3,0)</f>
        <v>#REF!</v>
      </c>
      <c r="BG154" s="1" t="e">
        <f>BF154/VLOOKUP(A154,'[60]geoMap (57)'!$A:$B,2,0)*VLOOKUP(A154,'[60]geoMap (57)'!$A:$C,3,0)</f>
        <v>#REF!</v>
      </c>
      <c r="BH154" s="4" t="e">
        <f>BG154/VLOOKUP(A154,'[61]geoMap (58)'!$A:$B,2,0)*VLOOKUP(A154,'[61]geoMap (58)'!$A:$C,3,0)</f>
        <v>#REF!</v>
      </c>
      <c r="BI154" s="1" t="e">
        <f>BH154/VLOOKUP(A154,'[62]geoMap (59)'!$A:$B,2,0)*VLOOKUP(A154,'[62]geoMap (59)'!$A:$C,3,0)</f>
        <v>#REF!</v>
      </c>
      <c r="BJ154" s="4" t="e">
        <f>BI154/VLOOKUP(A154,'[63]geoMap (60)'!$A:$B,2,0)*VLOOKUP(A154,'[63]geoMap (60)'!$A:$C,3,0)</f>
        <v>#REF!</v>
      </c>
      <c r="BK154" s="1" t="e">
        <f>BJ154/VLOOKUP(A154,'[64]geoMap (61)'!$A:$B,2,0)*VLOOKUP(A154,'[64]geoMap (61)'!$A:$C,3,0)</f>
        <v>#REF!</v>
      </c>
      <c r="BL154" s="4" t="e">
        <f>BK154/VLOOKUP(A154,'[65]geoMap (62)'!$A:$B,2,0)*VLOOKUP(A154,'[65]geoMap (62)'!$A:$C,3,0)</f>
        <v>#REF!</v>
      </c>
      <c r="BM154" s="1" t="e">
        <f>BL154/VLOOKUP(A154,'[66]geoMap (63)'!$A:$B,2,0)*VLOOKUP(A154,'[66]geoMap (63)'!$A:$C,3,0)</f>
        <v>#REF!</v>
      </c>
      <c r="BN154" s="4" t="e">
        <f>BM154/VLOOKUP(A154,'[67]geoMap (64)'!$A:$B,2,0)*VLOOKUP(A154,'[67]geoMap (64)'!$A:$C,3,0)</f>
        <v>#REF!</v>
      </c>
      <c r="BO154" s="1" t="e">
        <f>BN154/VLOOKUP(A154,'[68]geoMap (65)'!$A:$B,2,0)*VLOOKUP(A154,'[68]geoMap (65)'!$A:$C,3,0)</f>
        <v>#REF!</v>
      </c>
      <c r="BP154" s="4" t="e">
        <f>BO154/VLOOKUP(A154,'[69]geoMap (66)'!$A:$B,2,0)*VLOOKUP(A154,'[69]geoMap (66)'!$A:$C,3,0)</f>
        <v>#REF!</v>
      </c>
    </row>
    <row r="155" spans="1:68" x14ac:dyDescent="0.2">
      <c r="A155" s="1" t="s">
        <v>140</v>
      </c>
      <c r="B155" s="1" t="e">
        <f>VLOOKUP(A155,[3]geoMap!$A:$B,2,0)*Notes!$C$6</f>
        <v>#REF!</v>
      </c>
      <c r="C155" s="1" t="e">
        <f>B155/VLOOKUP(A155,'[4]geoMap (1)'!$A:$B,2,0)*VLOOKUP(A155,'[4]geoMap (1)'!$A:$C,3,0)</f>
        <v>#REF!</v>
      </c>
      <c r="D155" s="1" t="e">
        <f>C155/VLOOKUP(A155,'[5]geoMap (2)'!$A:$B,2,0)*VLOOKUP(A155,'[5]geoMap (2)'!$A:$C,3,0)</f>
        <v>#REF!</v>
      </c>
      <c r="E155" s="1" t="e">
        <f>D155/VLOOKUP(A155,'[6]geoMap (3)'!$A:$B,2,0)*VLOOKUP(A155,'[6]geoMap (3)'!$A:$C,3,0)</f>
        <v>#REF!</v>
      </c>
      <c r="F155" s="1" t="e">
        <f>E155/VLOOKUP(A155,'[7]geoMap (4)'!$A:$B,2,0)*VLOOKUP(A155,'[7]geoMap (4)'!$A:$C,3,0)</f>
        <v>#REF!</v>
      </c>
      <c r="G155" s="1" t="e">
        <f>F155/VLOOKUP(A155,'[8]geoMap (5)'!$A:$B,2,0)*VLOOKUP(A155,'[8]geoMap (5)'!$A:$C,3,0)</f>
        <v>#REF!</v>
      </c>
      <c r="H155" s="1" t="e">
        <f>G155/VLOOKUP(A155,'[9]geoMap (6)'!$A:$B,2,0)*VLOOKUP(A155,'[9]geoMap (6)'!$A:$C,3,0)</f>
        <v>#REF!</v>
      </c>
      <c r="I155" s="1" t="e">
        <f>H155/VLOOKUP(A155,'[10]geoMap (7)'!$A:$B,2,0)*VLOOKUP(A155,'[10]geoMap (7)'!$A:$C,3,0)</f>
        <v>#REF!</v>
      </c>
      <c r="J155" s="1" t="e">
        <f>I155/VLOOKUP(A155,'[11]geoMap (8)'!$A:$B,2,0)*VLOOKUP(A155,'[11]geoMap (8)'!$A:$C,3,0)</f>
        <v>#REF!</v>
      </c>
      <c r="K155" s="1" t="e">
        <f>J155/VLOOKUP(A155,'[12]geoMap (9)'!$A:$B,2,0)*VLOOKUP(A155,'[12]geoMap (9)'!$A:$C,3,0)</f>
        <v>#REF!</v>
      </c>
      <c r="L155" s="1" t="e">
        <f>K155/VLOOKUP(A155,'[13]geoMap (10)'!$A:$B,2,0)*VLOOKUP(A155,'[13]geoMap (10)'!$A:$C,3,0)</f>
        <v>#REF!</v>
      </c>
      <c r="M155" s="1" t="e">
        <f>L155/VLOOKUP(A155,'[14]geoMap (11)'!$A:$B,2,0)*VLOOKUP(A155,'[14]geoMap (11)'!$A:$C,3,0)</f>
        <v>#REF!</v>
      </c>
      <c r="N155" s="1" t="e">
        <f>M155/VLOOKUP(A155,'[15]geoMap (12)'!$A:$B,2,0)*VLOOKUP(A155,'[15]geoMap (12)'!$A:$C,3,0)</f>
        <v>#REF!</v>
      </c>
      <c r="O155" s="1" t="e">
        <f>N155/VLOOKUP(A155,'[16]geoMap (13)'!$A:$B,2,0)*VLOOKUP(A155,'[16]geoMap (13)'!$A:$C,3,0)</f>
        <v>#REF!</v>
      </c>
      <c r="P155" s="1" t="e">
        <f>O155/VLOOKUP(A155,'[17]geoMap (14)'!$A:$B,2,0)*VLOOKUP(A155,'[17]geoMap (14)'!$A:$C,3,0)</f>
        <v>#REF!</v>
      </c>
      <c r="Q155" s="1" t="e">
        <f>P155/VLOOKUP(A155,'[18]geoMap (15)'!$A:$B,2,0)*VLOOKUP(A155,'[18]geoMap (15)'!$A:$C,3,0)</f>
        <v>#REF!</v>
      </c>
      <c r="R155" s="1" t="e">
        <f>Q155/VLOOKUP(A155,'[19]geoMap (16)'!$A:$B,2,0)*VLOOKUP(A155,'[19]geoMap (16)'!$A:$C,3,0)</f>
        <v>#REF!</v>
      </c>
      <c r="S155" s="1" t="e">
        <f>R155/VLOOKUP(A155,'[20]geoMap (17)'!$A:$B,2,0)*VLOOKUP(A155,'[20]geoMap (17)'!$A:$C,3,0)</f>
        <v>#REF!</v>
      </c>
      <c r="T155" s="1" t="e">
        <f>S155/VLOOKUP(A155,'[21]geoMap (18)'!$A:$B,2,0)*VLOOKUP(A155,'[21]geoMap (18)'!$A:$C,3,0)</f>
        <v>#REF!</v>
      </c>
      <c r="U155" s="1" t="e">
        <f>T155/VLOOKUP(A155,'[22]geoMap (19)'!$A:$B,2,0)*VLOOKUP(A155,'[22]geoMap (19)'!$A:$C,3,0)</f>
        <v>#REF!</v>
      </c>
      <c r="V155" s="1" t="e">
        <f>U155/VLOOKUP(A155,'[23]geoMap (20)'!$A:$B,2,0)*VLOOKUP(A155,'[23]geoMap (20)'!$A:$C,3,0)</f>
        <v>#REF!</v>
      </c>
      <c r="W155" s="1" t="e">
        <f>V155/VLOOKUP(A155,'[24]geoMap (21)'!$A:$B,2,0)*VLOOKUP(A155,'[24]geoMap (21)'!$A:$C,3,0)</f>
        <v>#REF!</v>
      </c>
      <c r="X155" s="1" t="e">
        <f>W155/VLOOKUP(A155,'[25]geoMap (22)'!$A:$B,2,0)*VLOOKUP(A155,'[25]geoMap (22)'!$A:$C,3,0)</f>
        <v>#REF!</v>
      </c>
      <c r="Y155" s="1" t="e">
        <f>X155/VLOOKUP(A155,'[26]geoMap (23)'!$A:$B,2,0)*VLOOKUP(A155,'[26]geoMap (23)'!$A:$C,3,0)</f>
        <v>#REF!</v>
      </c>
      <c r="Z155" s="1" t="e">
        <f>Y155/VLOOKUP(A155,'[27]geoMap (24)'!$A:$B,2,0)*VLOOKUP(A155,'[27]geoMap (24)'!$A:$C,3,0)</f>
        <v>#REF!</v>
      </c>
      <c r="AA155" s="1" t="e">
        <f>Z155/VLOOKUP(A155,'[28]geoMap (25)'!$A:$B,2,0)*VLOOKUP(A155,'[28]geoMap (25)'!$A:$C,3,0)</f>
        <v>#REF!</v>
      </c>
      <c r="AB155" s="1" t="e">
        <f>AA155*VLOOKUP(A155,'[29]geoMap (26)'!$A:$B,2,0)*VLOOKUP(A155,'[29]geoMap (26)'!$A:$C,3,0)</f>
        <v>#REF!</v>
      </c>
      <c r="AC155" s="1" t="e">
        <f>AB155/VLOOKUP(A155,'[30]geoMap (27)'!$A:$B,2,0)*VLOOKUP(A155,'[30]geoMap (27)'!$A:$C,3,0)</f>
        <v>#REF!</v>
      </c>
      <c r="AD155" s="1" t="e">
        <f>AC155/VLOOKUP(A155,'[31]geoMap (28)'!$A:$B,2,0)*VLOOKUP(A155,'[31]geoMap (28)'!$A:$C,3,0)</f>
        <v>#REF!</v>
      </c>
      <c r="AE155" s="1" t="e">
        <f>AD155/VLOOKUP(A155,'[32]geoMap (29)'!$A:$B,2,0)*VLOOKUP(A155,'[32]geoMap (29)'!$A:$C,3,0)</f>
        <v>#REF!</v>
      </c>
      <c r="AF155" s="1" t="e">
        <f>AE155/VLOOKUP(A155,'[33]geoMap (30)'!$A:$B,2,0)*VLOOKUP(A155,'[33]geoMap (30)'!$A:$C,3,0)</f>
        <v>#REF!</v>
      </c>
      <c r="AG155" s="1" t="e">
        <f>AF155/VLOOKUP(A155,'[34]geoMap (31)'!$A:$B,2,0)*VLOOKUP(A155,'[34]geoMap (31)'!$A:$C,3,0)</f>
        <v>#REF!</v>
      </c>
      <c r="AH155" s="1" t="e">
        <f>AG155/VLOOKUP(A155,'[35]geoMap (32)'!$A:$B,2,0)*VLOOKUP(A155,'[35]geoMap (32)'!$A:$C,3,0)</f>
        <v>#REF!</v>
      </c>
      <c r="AI155" s="1" t="e">
        <f>AH155/VLOOKUP(A155,'[36]geoMap (33)'!$A:$B,2,0)*VLOOKUP(A155,'[36]geoMap (33)'!$A:$C,3,0)</f>
        <v>#REF!</v>
      </c>
      <c r="AJ155" s="1" t="e">
        <f>AI155/VLOOKUP(A155,'[37]geoMap (34)'!$A:$B,2,0)*VLOOKUP(A155,'[37]geoMap (34)'!$A:$C,3,0)</f>
        <v>#REF!</v>
      </c>
      <c r="AK155" s="1" t="e">
        <f>AJ155/VLOOKUP(A155,'[38]geoMap (35)'!$A:$B,2,0)*VLOOKUP(A155,'[38]geoMap (35)'!$A:$C,3,0)</f>
        <v>#REF!</v>
      </c>
      <c r="AL155" s="1" t="e">
        <f>AK155/VLOOKUP(A155,'[39]geoMap (36)'!$A:$B,2,0)*VLOOKUP(A155,'[39]geoMap (36)'!$A:$C,3,0)</f>
        <v>#REF!</v>
      </c>
      <c r="AM155" s="1" t="e">
        <f>AL155/VLOOKUP(A155,'[40]geoMap (37)'!$A:$B,2,0)*VLOOKUP(A155,'[40]geoMap (37)'!$A:$C,3,0)</f>
        <v>#REF!</v>
      </c>
      <c r="AN155" s="1" t="e">
        <f>AM155/VLOOKUP(A155,'[41]geoMap (38)'!$A:$B,2,0)*VLOOKUP(A155,'[41]geoMap (38)'!$A:$C,3,0)</f>
        <v>#REF!</v>
      </c>
      <c r="AO155" s="1" t="e">
        <f>AN155/VLOOKUP(A155,'[42]geoMap (39)'!$A:$B,2,0)*VLOOKUP(A155,'[42]geoMap (39)'!$A:$C,3,0)</f>
        <v>#REF!</v>
      </c>
      <c r="AP155" s="1" t="e">
        <f>AO155/VLOOKUP(A155,'[43]geoMap (40)'!$A:$B,2,0)*VLOOKUP(A155,'[43]geoMap (40)'!$A:$C,3,0)</f>
        <v>#REF!</v>
      </c>
      <c r="AQ155" s="1" t="e">
        <f>AP155/VLOOKUP(A155,'[44]geoMap (41)'!$A:$B,2,0)*VLOOKUP(A155,'[44]geoMap (41)'!$A:$C,3,0)</f>
        <v>#REF!</v>
      </c>
      <c r="AR155" s="1" t="e">
        <f>AQ155/VLOOKUP(A155,'[45]geoMap (42)'!$A:$B,2,0)*VLOOKUP(A155,'[45]geoMap (42)'!$A:$C,3,0)</f>
        <v>#REF!</v>
      </c>
      <c r="AS155" s="1" t="e">
        <f>AR155/VLOOKUP(A155,'[46]geoMap (43)'!$A:$B,2,0)*VLOOKUP(A155,'[46]geoMap (43)'!$A:$C,3,0)</f>
        <v>#REF!</v>
      </c>
      <c r="AT155" s="1" t="e">
        <f>AS155/VLOOKUP(A155,'[47]geoMap (44)'!$A:$B,2,0)*VLOOKUP(A155,'[47]geoMap (44)'!$A:$C,3,0)</f>
        <v>#REF!</v>
      </c>
      <c r="AU155" s="1" t="e">
        <f>AT155/VLOOKUP(A155,'[48]geoMap (45)'!$A:$B,2,0)*VLOOKUP(A155,'[48]geoMap (45)'!$A:$C,3,0)</f>
        <v>#REF!</v>
      </c>
      <c r="AV155" s="1" t="e">
        <f>AU155/VLOOKUP(A155,'[49]geoMap (46)'!$A:$B,2,0)*VLOOKUP(A155,'[49]geoMap (46)'!$A:$C,3,0)</f>
        <v>#REF!</v>
      </c>
      <c r="AW155" s="1" t="e">
        <f>AV155/VLOOKUP(A155,'[50]geoMap (47)'!$A:$B,2,0)*VLOOKUP(A155,'[50]geoMap (47)'!$A:$C,3,0)</f>
        <v>#REF!</v>
      </c>
      <c r="AX155" s="4" t="e">
        <f>AW155/VLOOKUP(A155,'[51]geoMap (48)'!$A:$B,2,0)*VLOOKUP(A155,'[51]geoMap (48)'!$A:$C,3,0)</f>
        <v>#REF!</v>
      </c>
      <c r="AY155" s="1" t="e">
        <f>AX155/VLOOKUP(A155,'[52]geoMap (49)'!$A:$B,2,0)*VLOOKUP(A155,'[52]geoMap (49)'!$A:$C,3,0)</f>
        <v>#REF!</v>
      </c>
      <c r="AZ155" s="4" t="e">
        <f>AY155/VLOOKUP(A155,'[53]geoMap (50)'!$A:$B,2,0)*VLOOKUP(A155,'[53]geoMap (50)'!$A:$C,3,0)</f>
        <v>#REF!</v>
      </c>
      <c r="BA155" s="1" t="e">
        <f>AZ155/VLOOKUP(A155,'[54]geoMap (51)'!$A:$B,2,0)*VLOOKUP(A155,'[54]geoMap (51)'!$A:$C,3,0)</f>
        <v>#REF!</v>
      </c>
      <c r="BB155" s="4" t="e">
        <f>BA155/VLOOKUP(A155,'[55]geoMap (52)'!$A:$B,2,0)*VLOOKUP(A155,'[55]geoMap (52)'!$A:$C,3,0)</f>
        <v>#REF!</v>
      </c>
      <c r="BC155" s="1" t="e">
        <f>BB155/VLOOKUP(A155,'[56]geoMap (53)'!$A:$B,2,0)*VLOOKUP(A155,'[56]geoMap (53)'!$A:$C,3,0)</f>
        <v>#REF!</v>
      </c>
      <c r="BD155" s="4" t="e">
        <f>BC155/VLOOKUP(A155,'[57]geoMap (54)'!$A:$B,2,0)*VLOOKUP(A155,'[57]geoMap (54)'!$A:$C,3,0)</f>
        <v>#REF!</v>
      </c>
      <c r="BE155" s="1" t="e">
        <f>BD155/VLOOKUP(A155,'[58]geoMap (55)'!$A:$B,2,0)*VLOOKUP(A155,'[58]geoMap (55)'!$A:$C,3,0)</f>
        <v>#REF!</v>
      </c>
      <c r="BF155" s="4" t="e">
        <f>BE155/VLOOKUP(A155,'[59]geoMap (56)'!$A:$B,2,0)*VLOOKUP(A155,'[59]geoMap (56)'!$A:$C,3,0)</f>
        <v>#REF!</v>
      </c>
      <c r="BG155" s="1" t="e">
        <f>BF155/VLOOKUP(A155,'[60]geoMap (57)'!$A:$B,2,0)*VLOOKUP(A155,'[60]geoMap (57)'!$A:$C,3,0)</f>
        <v>#REF!</v>
      </c>
      <c r="BH155" s="4" t="e">
        <f>BG155/VLOOKUP(A155,'[61]geoMap (58)'!$A:$B,2,0)*VLOOKUP(A155,'[61]geoMap (58)'!$A:$C,3,0)</f>
        <v>#REF!</v>
      </c>
      <c r="BI155" s="1" t="e">
        <f>BH155/VLOOKUP(A155,'[62]geoMap (59)'!$A:$B,2,0)*VLOOKUP(A155,'[62]geoMap (59)'!$A:$C,3,0)</f>
        <v>#REF!</v>
      </c>
      <c r="BJ155" s="4" t="e">
        <f>BI155/VLOOKUP(A155,'[63]geoMap (60)'!$A:$B,2,0)*VLOOKUP(A155,'[63]geoMap (60)'!$A:$C,3,0)</f>
        <v>#REF!</v>
      </c>
      <c r="BK155" s="1" t="e">
        <f>BJ155/VLOOKUP(A155,'[64]geoMap (61)'!$A:$B,2,0)*VLOOKUP(A155,'[64]geoMap (61)'!$A:$C,3,0)</f>
        <v>#REF!</v>
      </c>
      <c r="BL155" s="4" t="e">
        <f>BK155/VLOOKUP(A155,'[65]geoMap (62)'!$A:$B,2,0)*VLOOKUP(A155,'[65]geoMap (62)'!$A:$C,3,0)</f>
        <v>#REF!</v>
      </c>
      <c r="BM155" s="1" t="e">
        <f>BL155/VLOOKUP(A155,'[66]geoMap (63)'!$A:$B,2,0)*VLOOKUP(A155,'[66]geoMap (63)'!$A:$C,3,0)</f>
        <v>#REF!</v>
      </c>
      <c r="BN155" s="4" t="e">
        <f>BM155/VLOOKUP(A155,'[67]geoMap (64)'!$A:$B,2,0)*VLOOKUP(A155,'[67]geoMap (64)'!$A:$C,3,0)</f>
        <v>#REF!</v>
      </c>
      <c r="BO155" s="1" t="e">
        <f>BN155/VLOOKUP(A155,'[68]geoMap (65)'!$A:$B,2,0)*VLOOKUP(A155,'[68]geoMap (65)'!$A:$C,3,0)</f>
        <v>#REF!</v>
      </c>
      <c r="BP155" s="4" t="e">
        <f>BO155/VLOOKUP(A155,'[69]geoMap (66)'!$A:$B,2,0)*VLOOKUP(A155,'[69]geoMap (66)'!$A:$C,3,0)</f>
        <v>#REF!</v>
      </c>
    </row>
    <row r="156" spans="1:68" x14ac:dyDescent="0.2">
      <c r="A156" s="1" t="s">
        <v>141</v>
      </c>
      <c r="B156" s="1" t="e">
        <f>VLOOKUP(A156,[3]geoMap!$A:$B,2,0)*Notes!$C$6</f>
        <v>#REF!</v>
      </c>
      <c r="C156" s="1" t="e">
        <f>B156/VLOOKUP(A156,'[4]geoMap (1)'!$A:$B,2,0)*VLOOKUP(A156,'[4]geoMap (1)'!$A:$C,3,0)</f>
        <v>#REF!</v>
      </c>
      <c r="D156" s="1" t="e">
        <f>C156/VLOOKUP(A156,'[5]geoMap (2)'!$A:$B,2,0)*VLOOKUP(A156,'[5]geoMap (2)'!$A:$C,3,0)</f>
        <v>#REF!</v>
      </c>
      <c r="E156" s="1" t="e">
        <f>D156/VLOOKUP(A156,'[6]geoMap (3)'!$A:$B,2,0)*VLOOKUP(A156,'[6]geoMap (3)'!$A:$C,3,0)</f>
        <v>#REF!</v>
      </c>
      <c r="F156" s="1" t="e">
        <f>E156/VLOOKUP(A156,'[7]geoMap (4)'!$A:$B,2,0)*VLOOKUP(A156,'[7]geoMap (4)'!$A:$C,3,0)</f>
        <v>#REF!</v>
      </c>
      <c r="G156" s="1" t="e">
        <f>F156/VLOOKUP(A156,'[8]geoMap (5)'!$A:$B,2,0)*VLOOKUP(A156,'[8]geoMap (5)'!$A:$C,3,0)</f>
        <v>#REF!</v>
      </c>
      <c r="H156" s="1" t="e">
        <f>G156/VLOOKUP(A156,'[9]geoMap (6)'!$A:$B,2,0)*VLOOKUP(A156,'[9]geoMap (6)'!$A:$C,3,0)</f>
        <v>#REF!</v>
      </c>
      <c r="I156" s="1" t="e">
        <f>H156/VLOOKUP(A156,'[10]geoMap (7)'!$A:$B,2,0)*VLOOKUP(A156,'[10]geoMap (7)'!$A:$C,3,0)</f>
        <v>#REF!</v>
      </c>
      <c r="J156" s="1" t="e">
        <f>I156/VLOOKUP(A156,'[11]geoMap (8)'!$A:$B,2,0)*VLOOKUP(A156,'[11]geoMap (8)'!$A:$C,3,0)</f>
        <v>#REF!</v>
      </c>
      <c r="K156" s="1" t="e">
        <f>J156/VLOOKUP(A156,'[12]geoMap (9)'!$A:$B,2,0)*VLOOKUP(A156,'[12]geoMap (9)'!$A:$C,3,0)</f>
        <v>#REF!</v>
      </c>
      <c r="L156" s="1" t="e">
        <f>K156/VLOOKUP(A156,'[13]geoMap (10)'!$A:$B,2,0)*VLOOKUP(A156,'[13]geoMap (10)'!$A:$C,3,0)</f>
        <v>#REF!</v>
      </c>
      <c r="M156" s="1" t="e">
        <f>L156/VLOOKUP(A156,'[14]geoMap (11)'!$A:$B,2,0)*VLOOKUP(A156,'[14]geoMap (11)'!$A:$C,3,0)</f>
        <v>#REF!</v>
      </c>
      <c r="N156" s="1" t="e">
        <f>M156/VLOOKUP(A156,'[15]geoMap (12)'!$A:$B,2,0)*VLOOKUP(A156,'[15]geoMap (12)'!$A:$C,3,0)</f>
        <v>#REF!</v>
      </c>
      <c r="O156" s="1" t="e">
        <f>N156/VLOOKUP(A156,'[16]geoMap (13)'!$A:$B,2,0)*VLOOKUP(A156,'[16]geoMap (13)'!$A:$C,3,0)</f>
        <v>#REF!</v>
      </c>
      <c r="P156" s="1" t="e">
        <f>O156/VLOOKUP(A156,'[17]geoMap (14)'!$A:$B,2,0)*VLOOKUP(A156,'[17]geoMap (14)'!$A:$C,3,0)</f>
        <v>#REF!</v>
      </c>
      <c r="Q156" s="1" t="e">
        <f>P156/VLOOKUP(A156,'[18]geoMap (15)'!$A:$B,2,0)*VLOOKUP(A156,'[18]geoMap (15)'!$A:$C,3,0)</f>
        <v>#REF!</v>
      </c>
      <c r="R156" s="1" t="e">
        <f>Q156/VLOOKUP(A156,'[19]geoMap (16)'!$A:$B,2,0)*VLOOKUP(A156,'[19]geoMap (16)'!$A:$C,3,0)</f>
        <v>#REF!</v>
      </c>
      <c r="S156" s="1" t="e">
        <f>R156/VLOOKUP(A156,'[20]geoMap (17)'!$A:$B,2,0)*VLOOKUP(A156,'[20]geoMap (17)'!$A:$C,3,0)</f>
        <v>#REF!</v>
      </c>
      <c r="T156" s="1" t="e">
        <f>S156/VLOOKUP(A156,'[21]geoMap (18)'!$A:$B,2,0)*VLOOKUP(A156,'[21]geoMap (18)'!$A:$C,3,0)</f>
        <v>#REF!</v>
      </c>
      <c r="U156" s="1" t="e">
        <f>T156/VLOOKUP(A156,'[22]geoMap (19)'!$A:$B,2,0)*VLOOKUP(A156,'[22]geoMap (19)'!$A:$C,3,0)</f>
        <v>#REF!</v>
      </c>
      <c r="V156" s="1" t="e">
        <f>U156/VLOOKUP(A156,'[23]geoMap (20)'!$A:$B,2,0)*VLOOKUP(A156,'[23]geoMap (20)'!$A:$C,3,0)</f>
        <v>#REF!</v>
      </c>
      <c r="W156" s="1" t="e">
        <f>V156/VLOOKUP(A156,'[24]geoMap (21)'!$A:$B,2,0)*VLOOKUP(A156,'[24]geoMap (21)'!$A:$C,3,0)</f>
        <v>#REF!</v>
      </c>
      <c r="X156" s="1" t="e">
        <f>W156/VLOOKUP(A156,'[25]geoMap (22)'!$A:$B,2,0)*VLOOKUP(A156,'[25]geoMap (22)'!$A:$C,3,0)</f>
        <v>#REF!</v>
      </c>
      <c r="Y156" s="1" t="e">
        <f>X156/VLOOKUP(A156,'[26]geoMap (23)'!$A:$B,2,0)*VLOOKUP(A156,'[26]geoMap (23)'!$A:$C,3,0)</f>
        <v>#REF!</v>
      </c>
      <c r="Z156" s="1" t="e">
        <f>Y156/VLOOKUP(A156,'[27]geoMap (24)'!$A:$B,2,0)*VLOOKUP(A156,'[27]geoMap (24)'!$A:$C,3,0)</f>
        <v>#REF!</v>
      </c>
      <c r="AA156" s="1" t="e">
        <f>Z156/VLOOKUP(A156,'[28]geoMap (25)'!$A:$B,2,0)*VLOOKUP(A156,'[28]geoMap (25)'!$A:$C,3,0)</f>
        <v>#REF!</v>
      </c>
      <c r="AB156" s="1" t="e">
        <f>AA156*VLOOKUP(A156,'[29]geoMap (26)'!$A:$B,2,0)*VLOOKUP(A156,'[29]geoMap (26)'!$A:$C,3,0)</f>
        <v>#REF!</v>
      </c>
      <c r="AC156" s="1" t="e">
        <f>AB156/VLOOKUP(A156,'[30]geoMap (27)'!$A:$B,2,0)*VLOOKUP(A156,'[30]geoMap (27)'!$A:$C,3,0)</f>
        <v>#REF!</v>
      </c>
      <c r="AD156" s="1" t="e">
        <f>AC156/VLOOKUP(A156,'[31]geoMap (28)'!$A:$B,2,0)*VLOOKUP(A156,'[31]geoMap (28)'!$A:$C,3,0)</f>
        <v>#REF!</v>
      </c>
      <c r="AE156" s="1" t="e">
        <f>AD156/VLOOKUP(A156,'[32]geoMap (29)'!$A:$B,2,0)*VLOOKUP(A156,'[32]geoMap (29)'!$A:$C,3,0)</f>
        <v>#REF!</v>
      </c>
      <c r="AF156" s="1" t="e">
        <f>AE156/VLOOKUP(A156,'[33]geoMap (30)'!$A:$B,2,0)*VLOOKUP(A156,'[33]geoMap (30)'!$A:$C,3,0)</f>
        <v>#REF!</v>
      </c>
      <c r="AG156" s="1" t="e">
        <f>AF156/VLOOKUP(A156,'[34]geoMap (31)'!$A:$B,2,0)*VLOOKUP(A156,'[34]geoMap (31)'!$A:$C,3,0)</f>
        <v>#REF!</v>
      </c>
      <c r="AH156" s="1" t="e">
        <f>AG156/VLOOKUP(A156,'[35]geoMap (32)'!$A:$B,2,0)*VLOOKUP(A156,'[35]geoMap (32)'!$A:$C,3,0)</f>
        <v>#REF!</v>
      </c>
      <c r="AI156" s="1" t="e">
        <f>AH156/VLOOKUP(A156,'[36]geoMap (33)'!$A:$B,2,0)*VLOOKUP(A156,'[36]geoMap (33)'!$A:$C,3,0)</f>
        <v>#REF!</v>
      </c>
      <c r="AJ156" s="1" t="e">
        <f>AI156/VLOOKUP(A156,'[37]geoMap (34)'!$A:$B,2,0)*VLOOKUP(A156,'[37]geoMap (34)'!$A:$C,3,0)</f>
        <v>#REF!</v>
      </c>
      <c r="AK156" s="1" t="e">
        <f>AJ156/VLOOKUP(A156,'[38]geoMap (35)'!$A:$B,2,0)*VLOOKUP(A156,'[38]geoMap (35)'!$A:$C,3,0)</f>
        <v>#REF!</v>
      </c>
      <c r="AL156" s="1" t="e">
        <f>AK156/VLOOKUP(A156,'[39]geoMap (36)'!$A:$B,2,0)*VLOOKUP(A156,'[39]geoMap (36)'!$A:$C,3,0)</f>
        <v>#REF!</v>
      </c>
      <c r="AM156" s="1" t="e">
        <f>AL156/VLOOKUP(A156,'[40]geoMap (37)'!$A:$B,2,0)*VLOOKUP(A156,'[40]geoMap (37)'!$A:$C,3,0)</f>
        <v>#REF!</v>
      </c>
      <c r="AN156" s="1" t="e">
        <f>AM156/VLOOKUP(A156,'[41]geoMap (38)'!$A:$B,2,0)*VLOOKUP(A156,'[41]geoMap (38)'!$A:$C,3,0)</f>
        <v>#REF!</v>
      </c>
      <c r="AO156" s="1" t="e">
        <f>AN156/VLOOKUP(A156,'[42]geoMap (39)'!$A:$B,2,0)*VLOOKUP(A156,'[42]geoMap (39)'!$A:$C,3,0)</f>
        <v>#REF!</v>
      </c>
      <c r="AP156" s="1" t="e">
        <f>AO156/VLOOKUP(A156,'[43]geoMap (40)'!$A:$B,2,0)*VLOOKUP(A156,'[43]geoMap (40)'!$A:$C,3,0)</f>
        <v>#REF!</v>
      </c>
      <c r="AQ156" s="1" t="e">
        <f>AP156/VLOOKUP(A156,'[44]geoMap (41)'!$A:$B,2,0)*VLOOKUP(A156,'[44]geoMap (41)'!$A:$C,3,0)</f>
        <v>#REF!</v>
      </c>
      <c r="AR156" s="1" t="e">
        <f>AQ156/VLOOKUP(A156,'[45]geoMap (42)'!$A:$B,2,0)*VLOOKUP(A156,'[45]geoMap (42)'!$A:$C,3,0)</f>
        <v>#REF!</v>
      </c>
      <c r="AS156" s="1" t="e">
        <f>AR156/VLOOKUP(A156,'[46]geoMap (43)'!$A:$B,2,0)*VLOOKUP(A156,'[46]geoMap (43)'!$A:$C,3,0)</f>
        <v>#REF!</v>
      </c>
      <c r="AT156" s="1" t="e">
        <f>AS156/VLOOKUP(A156,'[47]geoMap (44)'!$A:$B,2,0)*VLOOKUP(A156,'[47]geoMap (44)'!$A:$C,3,0)</f>
        <v>#REF!</v>
      </c>
      <c r="AU156" s="1" t="e">
        <f>AT156/VLOOKUP(A156,'[48]geoMap (45)'!$A:$B,2,0)*VLOOKUP(A156,'[48]geoMap (45)'!$A:$C,3,0)</f>
        <v>#REF!</v>
      </c>
      <c r="AV156" s="1" t="e">
        <f>AU156/VLOOKUP(A156,'[49]geoMap (46)'!$A:$B,2,0)*VLOOKUP(A156,'[49]geoMap (46)'!$A:$C,3,0)</f>
        <v>#REF!</v>
      </c>
      <c r="AW156" s="1" t="e">
        <f>AV156/VLOOKUP(A156,'[50]geoMap (47)'!$A:$B,2,0)*VLOOKUP(A156,'[50]geoMap (47)'!$A:$C,3,0)</f>
        <v>#REF!</v>
      </c>
      <c r="AX156" s="4" t="e">
        <f>AW156/VLOOKUP(A156,'[51]geoMap (48)'!$A:$B,2,0)*VLOOKUP(A156,'[51]geoMap (48)'!$A:$C,3,0)</f>
        <v>#REF!</v>
      </c>
      <c r="AY156" s="1" t="e">
        <f>AX156/VLOOKUP(A156,'[52]geoMap (49)'!$A:$B,2,0)*VLOOKUP(A156,'[52]geoMap (49)'!$A:$C,3,0)</f>
        <v>#REF!</v>
      </c>
      <c r="AZ156" s="4" t="e">
        <f>AY156/VLOOKUP(A156,'[53]geoMap (50)'!$A:$B,2,0)*VLOOKUP(A156,'[53]geoMap (50)'!$A:$C,3,0)</f>
        <v>#REF!</v>
      </c>
      <c r="BA156" s="1" t="e">
        <f>AZ156/VLOOKUP(A156,'[54]geoMap (51)'!$A:$B,2,0)*VLOOKUP(A156,'[54]geoMap (51)'!$A:$C,3,0)</f>
        <v>#REF!</v>
      </c>
      <c r="BB156" s="4" t="e">
        <f>BA156/VLOOKUP(A156,'[55]geoMap (52)'!$A:$B,2,0)*VLOOKUP(A156,'[55]geoMap (52)'!$A:$C,3,0)</f>
        <v>#REF!</v>
      </c>
      <c r="BC156" s="1" t="e">
        <f>BB156/VLOOKUP(A156,'[56]geoMap (53)'!$A:$B,2,0)*VLOOKUP(A156,'[56]geoMap (53)'!$A:$C,3,0)</f>
        <v>#REF!</v>
      </c>
      <c r="BD156" s="4" t="e">
        <f>BC156/VLOOKUP(A156,'[57]geoMap (54)'!$A:$B,2,0)*VLOOKUP(A156,'[57]geoMap (54)'!$A:$C,3,0)</f>
        <v>#REF!</v>
      </c>
      <c r="BE156" s="1" t="e">
        <f>BD156/VLOOKUP(A156,'[58]geoMap (55)'!$A:$B,2,0)*VLOOKUP(A156,'[58]geoMap (55)'!$A:$C,3,0)</f>
        <v>#REF!</v>
      </c>
      <c r="BF156" s="4" t="e">
        <f>BE156/VLOOKUP(A156,'[59]geoMap (56)'!$A:$B,2,0)*VLOOKUP(A156,'[59]geoMap (56)'!$A:$C,3,0)</f>
        <v>#REF!</v>
      </c>
      <c r="BG156" s="1" t="e">
        <f>BF156/VLOOKUP(A156,'[60]geoMap (57)'!$A:$B,2,0)*VLOOKUP(A156,'[60]geoMap (57)'!$A:$C,3,0)</f>
        <v>#REF!</v>
      </c>
      <c r="BH156" s="4" t="e">
        <f>BG156/VLOOKUP(A156,'[61]geoMap (58)'!$A:$B,2,0)*VLOOKUP(A156,'[61]geoMap (58)'!$A:$C,3,0)</f>
        <v>#REF!</v>
      </c>
      <c r="BI156" s="1" t="e">
        <f>BH156/VLOOKUP(A156,'[62]geoMap (59)'!$A:$B,2,0)*VLOOKUP(A156,'[62]geoMap (59)'!$A:$C,3,0)</f>
        <v>#REF!</v>
      </c>
      <c r="BJ156" s="4" t="e">
        <f>BI156/VLOOKUP(A156,'[63]geoMap (60)'!$A:$B,2,0)*VLOOKUP(A156,'[63]geoMap (60)'!$A:$C,3,0)</f>
        <v>#REF!</v>
      </c>
      <c r="BK156" s="1" t="e">
        <f>BJ156/VLOOKUP(A156,'[64]geoMap (61)'!$A:$B,2,0)*VLOOKUP(A156,'[64]geoMap (61)'!$A:$C,3,0)</f>
        <v>#REF!</v>
      </c>
      <c r="BL156" s="4" t="e">
        <f>BK156/VLOOKUP(A156,'[65]geoMap (62)'!$A:$B,2,0)*VLOOKUP(A156,'[65]geoMap (62)'!$A:$C,3,0)</f>
        <v>#REF!</v>
      </c>
      <c r="BM156" s="1" t="e">
        <f>BL156/VLOOKUP(A156,'[66]geoMap (63)'!$A:$B,2,0)*VLOOKUP(A156,'[66]geoMap (63)'!$A:$C,3,0)</f>
        <v>#REF!</v>
      </c>
      <c r="BN156" s="4" t="e">
        <f>BM156/VLOOKUP(A156,'[67]geoMap (64)'!$A:$B,2,0)*VLOOKUP(A156,'[67]geoMap (64)'!$A:$C,3,0)</f>
        <v>#REF!</v>
      </c>
      <c r="BO156" s="1" t="e">
        <f>BN156/VLOOKUP(A156,'[68]geoMap (65)'!$A:$B,2,0)*VLOOKUP(A156,'[68]geoMap (65)'!$A:$C,3,0)</f>
        <v>#REF!</v>
      </c>
      <c r="BP156" s="4" t="e">
        <f>BO156/VLOOKUP(A156,'[69]geoMap (66)'!$A:$B,2,0)*VLOOKUP(A156,'[69]geoMap (66)'!$A:$C,3,0)</f>
        <v>#REF!</v>
      </c>
    </row>
    <row r="157" spans="1:68" x14ac:dyDescent="0.2">
      <c r="A157" s="1" t="s">
        <v>143</v>
      </c>
      <c r="B157" s="1" t="e">
        <f>VLOOKUP(A157,[3]geoMap!$A:$B,2,0)*Notes!$C$6</f>
        <v>#REF!</v>
      </c>
      <c r="C157" s="1" t="e">
        <f>B157/VLOOKUP(A157,'[4]geoMap (1)'!$A:$B,2,0)*VLOOKUP(A157,'[4]geoMap (1)'!$A:$C,3,0)</f>
        <v>#REF!</v>
      </c>
      <c r="D157" s="1" t="e">
        <f>C157/VLOOKUP(A157,'[5]geoMap (2)'!$A:$B,2,0)*VLOOKUP(A157,'[5]geoMap (2)'!$A:$C,3,0)</f>
        <v>#REF!</v>
      </c>
      <c r="E157" s="1" t="e">
        <f>D157/VLOOKUP(A157,'[6]geoMap (3)'!$A:$B,2,0)*VLOOKUP(A157,'[6]geoMap (3)'!$A:$C,3,0)</f>
        <v>#REF!</v>
      </c>
      <c r="F157" s="1" t="e">
        <f>E157/VLOOKUP(A157,'[7]geoMap (4)'!$A:$B,2,0)*VLOOKUP(A157,'[7]geoMap (4)'!$A:$C,3,0)</f>
        <v>#REF!</v>
      </c>
      <c r="G157" s="1" t="e">
        <f>F157/VLOOKUP(A157,'[8]geoMap (5)'!$A:$B,2,0)*VLOOKUP(A157,'[8]geoMap (5)'!$A:$C,3,0)</f>
        <v>#REF!</v>
      </c>
      <c r="H157" s="1" t="e">
        <f>G157/VLOOKUP(A157,'[9]geoMap (6)'!$A:$B,2,0)*VLOOKUP(A157,'[9]geoMap (6)'!$A:$C,3,0)</f>
        <v>#REF!</v>
      </c>
      <c r="I157" s="1" t="e">
        <f>H157/VLOOKUP(A157,'[10]geoMap (7)'!$A:$B,2,0)*VLOOKUP(A157,'[10]geoMap (7)'!$A:$C,3,0)</f>
        <v>#REF!</v>
      </c>
      <c r="J157" s="1" t="e">
        <f>I157/VLOOKUP(A157,'[11]geoMap (8)'!$A:$B,2,0)*VLOOKUP(A157,'[11]geoMap (8)'!$A:$C,3,0)</f>
        <v>#REF!</v>
      </c>
      <c r="K157" s="1" t="e">
        <f>J157/VLOOKUP(A157,'[12]geoMap (9)'!$A:$B,2,0)*VLOOKUP(A157,'[12]geoMap (9)'!$A:$C,3,0)</f>
        <v>#REF!</v>
      </c>
      <c r="L157" s="1" t="e">
        <f>K157/VLOOKUP(A157,'[13]geoMap (10)'!$A:$B,2,0)*VLOOKUP(A157,'[13]geoMap (10)'!$A:$C,3,0)</f>
        <v>#REF!</v>
      </c>
      <c r="M157" s="1" t="e">
        <f>L157/VLOOKUP(A157,'[14]geoMap (11)'!$A:$B,2,0)*VLOOKUP(A157,'[14]geoMap (11)'!$A:$C,3,0)</f>
        <v>#REF!</v>
      </c>
      <c r="N157" s="1" t="e">
        <f>M157/VLOOKUP(A157,'[15]geoMap (12)'!$A:$B,2,0)*VLOOKUP(A157,'[15]geoMap (12)'!$A:$C,3,0)</f>
        <v>#REF!</v>
      </c>
      <c r="O157" s="1" t="e">
        <f>N157/VLOOKUP(A157,'[16]geoMap (13)'!$A:$B,2,0)*VLOOKUP(A157,'[16]geoMap (13)'!$A:$C,3,0)</f>
        <v>#REF!</v>
      </c>
      <c r="P157" s="1" t="e">
        <f>O157/VLOOKUP(A157,'[17]geoMap (14)'!$A:$B,2,0)*VLOOKUP(A157,'[17]geoMap (14)'!$A:$C,3,0)</f>
        <v>#REF!</v>
      </c>
      <c r="Q157" s="1" t="e">
        <f>P157/VLOOKUP(A157,'[18]geoMap (15)'!$A:$B,2,0)*VLOOKUP(A157,'[18]geoMap (15)'!$A:$C,3,0)</f>
        <v>#REF!</v>
      </c>
      <c r="R157" s="1" t="e">
        <f>Q157/VLOOKUP(A157,'[19]geoMap (16)'!$A:$B,2,0)*VLOOKUP(A157,'[19]geoMap (16)'!$A:$C,3,0)</f>
        <v>#REF!</v>
      </c>
      <c r="S157" s="1" t="e">
        <f>R157/VLOOKUP(A157,'[20]geoMap (17)'!$A:$B,2,0)*VLOOKUP(A157,'[20]geoMap (17)'!$A:$C,3,0)</f>
        <v>#REF!</v>
      </c>
      <c r="T157" s="1" t="e">
        <f>S157/VLOOKUP(A157,'[21]geoMap (18)'!$A:$B,2,0)*VLOOKUP(A157,'[21]geoMap (18)'!$A:$C,3,0)</f>
        <v>#REF!</v>
      </c>
      <c r="U157" s="1" t="e">
        <f>T157/VLOOKUP(A157,'[22]geoMap (19)'!$A:$B,2,0)*VLOOKUP(A157,'[22]geoMap (19)'!$A:$C,3,0)</f>
        <v>#REF!</v>
      </c>
      <c r="V157" s="1" t="e">
        <f>U157/VLOOKUP(A157,'[23]geoMap (20)'!$A:$B,2,0)*VLOOKUP(A157,'[23]geoMap (20)'!$A:$C,3,0)</f>
        <v>#REF!</v>
      </c>
      <c r="W157" s="1" t="e">
        <f>V157/VLOOKUP(A157,'[24]geoMap (21)'!$A:$B,2,0)*VLOOKUP(A157,'[24]geoMap (21)'!$A:$C,3,0)</f>
        <v>#REF!</v>
      </c>
      <c r="X157" s="1" t="e">
        <f>W157/VLOOKUP(A157,'[25]geoMap (22)'!$A:$B,2,0)*VLOOKUP(A157,'[25]geoMap (22)'!$A:$C,3,0)</f>
        <v>#REF!</v>
      </c>
      <c r="Y157" s="1" t="e">
        <f>X157/VLOOKUP(A157,'[26]geoMap (23)'!$A:$B,2,0)*VLOOKUP(A157,'[26]geoMap (23)'!$A:$C,3,0)</f>
        <v>#REF!</v>
      </c>
      <c r="Z157" s="1" t="e">
        <f>Y157/VLOOKUP(A157,'[27]geoMap (24)'!$A:$B,2,0)*VLOOKUP(A157,'[27]geoMap (24)'!$A:$C,3,0)</f>
        <v>#REF!</v>
      </c>
      <c r="AA157" s="1" t="e">
        <f>Z157/VLOOKUP(A157,'[28]geoMap (25)'!$A:$B,2,0)*VLOOKUP(A157,'[28]geoMap (25)'!$A:$C,3,0)</f>
        <v>#REF!</v>
      </c>
      <c r="AB157" s="1" t="e">
        <f>AA157*VLOOKUP(A157,'[29]geoMap (26)'!$A:$B,2,0)*VLOOKUP(A157,'[29]geoMap (26)'!$A:$C,3,0)</f>
        <v>#REF!</v>
      </c>
      <c r="AC157" s="1" t="e">
        <f>AB157/VLOOKUP(A157,'[30]geoMap (27)'!$A:$B,2,0)*VLOOKUP(A157,'[30]geoMap (27)'!$A:$C,3,0)</f>
        <v>#REF!</v>
      </c>
      <c r="AD157" s="1" t="e">
        <f>AC157/VLOOKUP(A157,'[31]geoMap (28)'!$A:$B,2,0)*VLOOKUP(A157,'[31]geoMap (28)'!$A:$C,3,0)</f>
        <v>#REF!</v>
      </c>
      <c r="AE157" s="1" t="e">
        <f>AD157/VLOOKUP(A157,'[32]geoMap (29)'!$A:$B,2,0)*VLOOKUP(A157,'[32]geoMap (29)'!$A:$C,3,0)</f>
        <v>#REF!</v>
      </c>
      <c r="AF157" s="1" t="e">
        <f>AE157/VLOOKUP(A157,'[33]geoMap (30)'!$A:$B,2,0)*VLOOKUP(A157,'[33]geoMap (30)'!$A:$C,3,0)</f>
        <v>#REF!</v>
      </c>
      <c r="AG157" s="1" t="e">
        <f>AF157/VLOOKUP(A157,'[34]geoMap (31)'!$A:$B,2,0)*VLOOKUP(A157,'[34]geoMap (31)'!$A:$C,3,0)</f>
        <v>#REF!</v>
      </c>
      <c r="AH157" s="1" t="e">
        <f>AG157/VLOOKUP(A157,'[35]geoMap (32)'!$A:$B,2,0)*VLOOKUP(A157,'[35]geoMap (32)'!$A:$C,3,0)</f>
        <v>#REF!</v>
      </c>
      <c r="AI157" s="1" t="e">
        <f>AH157/VLOOKUP(A157,'[36]geoMap (33)'!$A:$B,2,0)*VLOOKUP(A157,'[36]geoMap (33)'!$A:$C,3,0)</f>
        <v>#REF!</v>
      </c>
      <c r="AJ157" s="1" t="e">
        <f>AI157/VLOOKUP(A157,'[37]geoMap (34)'!$A:$B,2,0)*VLOOKUP(A157,'[37]geoMap (34)'!$A:$C,3,0)</f>
        <v>#REF!</v>
      </c>
      <c r="AK157" s="1" t="e">
        <f>AJ157/VLOOKUP(A157,'[38]geoMap (35)'!$A:$B,2,0)*VLOOKUP(A157,'[38]geoMap (35)'!$A:$C,3,0)</f>
        <v>#REF!</v>
      </c>
      <c r="AL157" s="1" t="e">
        <f>AK157/VLOOKUP(A157,'[39]geoMap (36)'!$A:$B,2,0)*VLOOKUP(A157,'[39]geoMap (36)'!$A:$C,3,0)</f>
        <v>#REF!</v>
      </c>
      <c r="AM157" s="1" t="e">
        <f>AL157/VLOOKUP(A157,'[40]geoMap (37)'!$A:$B,2,0)*VLOOKUP(A157,'[40]geoMap (37)'!$A:$C,3,0)</f>
        <v>#REF!</v>
      </c>
      <c r="AN157" s="1" t="e">
        <f>AM157/VLOOKUP(A157,'[41]geoMap (38)'!$A:$B,2,0)*VLOOKUP(A157,'[41]geoMap (38)'!$A:$C,3,0)</f>
        <v>#REF!</v>
      </c>
      <c r="AO157" s="1" t="e">
        <f>AN157/VLOOKUP(A157,'[42]geoMap (39)'!$A:$B,2,0)*VLOOKUP(A157,'[42]geoMap (39)'!$A:$C,3,0)</f>
        <v>#REF!</v>
      </c>
      <c r="AP157" s="1" t="e">
        <f>AO157/VLOOKUP(A157,'[43]geoMap (40)'!$A:$B,2,0)*VLOOKUP(A157,'[43]geoMap (40)'!$A:$C,3,0)</f>
        <v>#REF!</v>
      </c>
      <c r="AQ157" s="1" t="e">
        <f>AP157/VLOOKUP(A157,'[44]geoMap (41)'!$A:$B,2,0)*VLOOKUP(A157,'[44]geoMap (41)'!$A:$C,3,0)</f>
        <v>#REF!</v>
      </c>
      <c r="AR157" s="1" t="e">
        <f>AQ157/VLOOKUP(A157,'[45]geoMap (42)'!$A:$B,2,0)*VLOOKUP(A157,'[45]geoMap (42)'!$A:$C,3,0)</f>
        <v>#REF!</v>
      </c>
      <c r="AS157" s="1" t="e">
        <f>AR157/VLOOKUP(A157,'[46]geoMap (43)'!$A:$B,2,0)*VLOOKUP(A157,'[46]geoMap (43)'!$A:$C,3,0)</f>
        <v>#REF!</v>
      </c>
      <c r="AT157" s="1" t="e">
        <f>AS157/VLOOKUP(A157,'[47]geoMap (44)'!$A:$B,2,0)*VLOOKUP(A157,'[47]geoMap (44)'!$A:$C,3,0)</f>
        <v>#REF!</v>
      </c>
      <c r="AU157" s="1" t="e">
        <f>AT157/VLOOKUP(A157,'[48]geoMap (45)'!$A:$B,2,0)*VLOOKUP(A157,'[48]geoMap (45)'!$A:$C,3,0)</f>
        <v>#REF!</v>
      </c>
      <c r="AV157" s="1" t="e">
        <f>AU157/VLOOKUP(A157,'[49]geoMap (46)'!$A:$B,2,0)*VLOOKUP(A157,'[49]geoMap (46)'!$A:$C,3,0)</f>
        <v>#REF!</v>
      </c>
      <c r="AW157" s="1" t="e">
        <f>AV157/VLOOKUP(A157,'[50]geoMap (47)'!$A:$B,2,0)*VLOOKUP(A157,'[50]geoMap (47)'!$A:$C,3,0)</f>
        <v>#REF!</v>
      </c>
      <c r="AX157" s="4" t="e">
        <f>AW157/VLOOKUP(A157,'[51]geoMap (48)'!$A:$B,2,0)*VLOOKUP(A157,'[51]geoMap (48)'!$A:$C,3,0)</f>
        <v>#REF!</v>
      </c>
      <c r="AY157" s="1" t="e">
        <f>AX157/VLOOKUP(A157,'[52]geoMap (49)'!$A:$B,2,0)*VLOOKUP(A157,'[52]geoMap (49)'!$A:$C,3,0)</f>
        <v>#REF!</v>
      </c>
      <c r="AZ157" s="4" t="e">
        <f>AY157/VLOOKUP(A157,'[53]geoMap (50)'!$A:$B,2,0)*VLOOKUP(A157,'[53]geoMap (50)'!$A:$C,3,0)</f>
        <v>#REF!</v>
      </c>
      <c r="BA157" s="1" t="e">
        <f>AZ157/VLOOKUP(A157,'[54]geoMap (51)'!$A:$B,2,0)*VLOOKUP(A157,'[54]geoMap (51)'!$A:$C,3,0)</f>
        <v>#REF!</v>
      </c>
      <c r="BB157" s="4" t="e">
        <f>BA157/VLOOKUP(A157,'[55]geoMap (52)'!$A:$B,2,0)*VLOOKUP(A157,'[55]geoMap (52)'!$A:$C,3,0)</f>
        <v>#REF!</v>
      </c>
      <c r="BC157" s="1" t="e">
        <f>BB157/VLOOKUP(A157,'[56]geoMap (53)'!$A:$B,2,0)*VLOOKUP(A157,'[56]geoMap (53)'!$A:$C,3,0)</f>
        <v>#REF!</v>
      </c>
      <c r="BD157" s="4" t="e">
        <f>BC157/VLOOKUP(A157,'[57]geoMap (54)'!$A:$B,2,0)*VLOOKUP(A157,'[57]geoMap (54)'!$A:$C,3,0)</f>
        <v>#REF!</v>
      </c>
      <c r="BE157" s="1" t="e">
        <f>BD157/VLOOKUP(A157,'[58]geoMap (55)'!$A:$B,2,0)*VLOOKUP(A157,'[58]geoMap (55)'!$A:$C,3,0)</f>
        <v>#REF!</v>
      </c>
      <c r="BF157" s="4" t="e">
        <f>BE157/VLOOKUP(A157,'[59]geoMap (56)'!$A:$B,2,0)*VLOOKUP(A157,'[59]geoMap (56)'!$A:$C,3,0)</f>
        <v>#REF!</v>
      </c>
      <c r="BG157" s="1" t="e">
        <f>BF157/VLOOKUP(A157,'[60]geoMap (57)'!$A:$B,2,0)*VLOOKUP(A157,'[60]geoMap (57)'!$A:$C,3,0)</f>
        <v>#REF!</v>
      </c>
      <c r="BH157" s="4" t="e">
        <f>BG157/VLOOKUP(A157,'[61]geoMap (58)'!$A:$B,2,0)*VLOOKUP(A157,'[61]geoMap (58)'!$A:$C,3,0)</f>
        <v>#REF!</v>
      </c>
      <c r="BI157" s="1" t="e">
        <f>BH157/VLOOKUP(A157,'[62]geoMap (59)'!$A:$B,2,0)*VLOOKUP(A157,'[62]geoMap (59)'!$A:$C,3,0)</f>
        <v>#REF!</v>
      </c>
      <c r="BJ157" s="4" t="e">
        <f>BI157/VLOOKUP(A157,'[63]geoMap (60)'!$A:$B,2,0)*VLOOKUP(A157,'[63]geoMap (60)'!$A:$C,3,0)</f>
        <v>#REF!</v>
      </c>
      <c r="BK157" s="1" t="e">
        <f>BJ157/VLOOKUP(A157,'[64]geoMap (61)'!$A:$B,2,0)*VLOOKUP(A157,'[64]geoMap (61)'!$A:$C,3,0)</f>
        <v>#REF!</v>
      </c>
      <c r="BL157" s="4" t="e">
        <f>BK157/VLOOKUP(A157,'[65]geoMap (62)'!$A:$B,2,0)*VLOOKUP(A157,'[65]geoMap (62)'!$A:$C,3,0)</f>
        <v>#REF!</v>
      </c>
      <c r="BM157" s="1" t="e">
        <f>BL157/VLOOKUP(A157,'[66]geoMap (63)'!$A:$B,2,0)*VLOOKUP(A157,'[66]geoMap (63)'!$A:$C,3,0)</f>
        <v>#REF!</v>
      </c>
      <c r="BN157" s="4" t="e">
        <f>BM157/VLOOKUP(A157,'[67]geoMap (64)'!$A:$B,2,0)*VLOOKUP(A157,'[67]geoMap (64)'!$A:$C,3,0)</f>
        <v>#REF!</v>
      </c>
      <c r="BO157" s="1" t="e">
        <f>BN157/VLOOKUP(A157,'[68]geoMap (65)'!$A:$B,2,0)*VLOOKUP(A157,'[68]geoMap (65)'!$A:$C,3,0)</f>
        <v>#REF!</v>
      </c>
      <c r="BP157" s="4" t="e">
        <f>BO157/VLOOKUP(A157,'[69]geoMap (66)'!$A:$B,2,0)*VLOOKUP(A157,'[69]geoMap (66)'!$A:$C,3,0)</f>
        <v>#REF!</v>
      </c>
    </row>
    <row r="158" spans="1:68" x14ac:dyDescent="0.2">
      <c r="A158" s="1" t="s">
        <v>146</v>
      </c>
      <c r="B158" s="1" t="e">
        <f>VLOOKUP(A158,[3]geoMap!$A:$B,2,0)*Notes!$C$6</f>
        <v>#REF!</v>
      </c>
      <c r="C158" s="1" t="e">
        <f>B158/VLOOKUP(A158,'[4]geoMap (1)'!$A:$B,2,0)*VLOOKUP(A158,'[4]geoMap (1)'!$A:$C,3,0)</f>
        <v>#REF!</v>
      </c>
      <c r="D158" s="1" t="e">
        <f>C158/VLOOKUP(A158,'[5]geoMap (2)'!$A:$B,2,0)*VLOOKUP(A158,'[5]geoMap (2)'!$A:$C,3,0)</f>
        <v>#REF!</v>
      </c>
      <c r="E158" s="1" t="e">
        <f>D158/VLOOKUP(A158,'[6]geoMap (3)'!$A:$B,2,0)*VLOOKUP(A158,'[6]geoMap (3)'!$A:$C,3,0)</f>
        <v>#REF!</v>
      </c>
      <c r="F158" s="1" t="e">
        <f>E158/VLOOKUP(A158,'[7]geoMap (4)'!$A:$B,2,0)*VLOOKUP(A158,'[7]geoMap (4)'!$A:$C,3,0)</f>
        <v>#REF!</v>
      </c>
      <c r="G158" s="1" t="e">
        <f>F158/VLOOKUP(A158,'[8]geoMap (5)'!$A:$B,2,0)*VLOOKUP(A158,'[8]geoMap (5)'!$A:$C,3,0)</f>
        <v>#REF!</v>
      </c>
      <c r="H158" s="1" t="e">
        <f>G158/VLOOKUP(A158,'[9]geoMap (6)'!$A:$B,2,0)*VLOOKUP(A158,'[9]geoMap (6)'!$A:$C,3,0)</f>
        <v>#REF!</v>
      </c>
      <c r="I158" s="1" t="e">
        <f>H158/VLOOKUP(A158,'[10]geoMap (7)'!$A:$B,2,0)*VLOOKUP(A158,'[10]geoMap (7)'!$A:$C,3,0)</f>
        <v>#REF!</v>
      </c>
      <c r="J158" s="1" t="e">
        <f>I158/VLOOKUP(A158,'[11]geoMap (8)'!$A:$B,2,0)*VLOOKUP(A158,'[11]geoMap (8)'!$A:$C,3,0)</f>
        <v>#REF!</v>
      </c>
      <c r="K158" s="1" t="e">
        <f>J158/VLOOKUP(A158,'[12]geoMap (9)'!$A:$B,2,0)*VLOOKUP(A158,'[12]geoMap (9)'!$A:$C,3,0)</f>
        <v>#REF!</v>
      </c>
      <c r="L158" s="1" t="e">
        <f>K158/VLOOKUP(A158,'[13]geoMap (10)'!$A:$B,2,0)*VLOOKUP(A158,'[13]geoMap (10)'!$A:$C,3,0)</f>
        <v>#REF!</v>
      </c>
      <c r="M158" s="1" t="e">
        <f>L158/VLOOKUP(A158,'[14]geoMap (11)'!$A:$B,2,0)*VLOOKUP(A158,'[14]geoMap (11)'!$A:$C,3,0)</f>
        <v>#REF!</v>
      </c>
      <c r="N158" s="1" t="e">
        <f>M158/VLOOKUP(A158,'[15]geoMap (12)'!$A:$B,2,0)*VLOOKUP(A158,'[15]geoMap (12)'!$A:$C,3,0)</f>
        <v>#REF!</v>
      </c>
      <c r="O158" s="1" t="e">
        <f>N158/VLOOKUP(A158,'[16]geoMap (13)'!$A:$B,2,0)*VLOOKUP(A158,'[16]geoMap (13)'!$A:$C,3,0)</f>
        <v>#REF!</v>
      </c>
      <c r="P158" s="1" t="e">
        <f>O158/VLOOKUP(A158,'[17]geoMap (14)'!$A:$B,2,0)*VLOOKUP(A158,'[17]geoMap (14)'!$A:$C,3,0)</f>
        <v>#REF!</v>
      </c>
      <c r="Q158" s="1" t="e">
        <f>P158/VLOOKUP(A158,'[18]geoMap (15)'!$A:$B,2,0)*VLOOKUP(A158,'[18]geoMap (15)'!$A:$C,3,0)</f>
        <v>#REF!</v>
      </c>
      <c r="R158" s="1" t="e">
        <f>Q158/VLOOKUP(A158,'[19]geoMap (16)'!$A:$B,2,0)*VLOOKUP(A158,'[19]geoMap (16)'!$A:$C,3,0)</f>
        <v>#REF!</v>
      </c>
      <c r="S158" s="1" t="e">
        <f>R158/VLOOKUP(A158,'[20]geoMap (17)'!$A:$B,2,0)*VLOOKUP(A158,'[20]geoMap (17)'!$A:$C,3,0)</f>
        <v>#REF!</v>
      </c>
      <c r="T158" s="1" t="e">
        <f>S158/VLOOKUP(A158,'[21]geoMap (18)'!$A:$B,2,0)*VLOOKUP(A158,'[21]geoMap (18)'!$A:$C,3,0)</f>
        <v>#REF!</v>
      </c>
      <c r="U158" s="1" t="e">
        <f>T158/VLOOKUP(A158,'[22]geoMap (19)'!$A:$B,2,0)*VLOOKUP(A158,'[22]geoMap (19)'!$A:$C,3,0)</f>
        <v>#REF!</v>
      </c>
      <c r="V158" s="1" t="e">
        <f>U158/VLOOKUP(A158,'[23]geoMap (20)'!$A:$B,2,0)*VLOOKUP(A158,'[23]geoMap (20)'!$A:$C,3,0)</f>
        <v>#REF!</v>
      </c>
      <c r="W158" s="1" t="e">
        <f>V158/VLOOKUP(A158,'[24]geoMap (21)'!$A:$B,2,0)*VLOOKUP(A158,'[24]geoMap (21)'!$A:$C,3,0)</f>
        <v>#REF!</v>
      </c>
      <c r="X158" s="1" t="e">
        <f>W158/VLOOKUP(A158,'[25]geoMap (22)'!$A:$B,2,0)*VLOOKUP(A158,'[25]geoMap (22)'!$A:$C,3,0)</f>
        <v>#REF!</v>
      </c>
      <c r="Y158" s="1" t="e">
        <f>X158/VLOOKUP(A158,'[26]geoMap (23)'!$A:$B,2,0)*VLOOKUP(A158,'[26]geoMap (23)'!$A:$C,3,0)</f>
        <v>#REF!</v>
      </c>
      <c r="Z158" s="1" t="e">
        <f>Y158/VLOOKUP(A158,'[27]geoMap (24)'!$A:$B,2,0)*VLOOKUP(A158,'[27]geoMap (24)'!$A:$C,3,0)</f>
        <v>#REF!</v>
      </c>
      <c r="AA158" s="1" t="e">
        <f>Z158/VLOOKUP(A158,'[28]geoMap (25)'!$A:$B,2,0)*VLOOKUP(A158,'[28]geoMap (25)'!$A:$C,3,0)</f>
        <v>#REF!</v>
      </c>
      <c r="AB158" s="1" t="e">
        <f>AA158*VLOOKUP(A158,'[29]geoMap (26)'!$A:$B,2,0)*VLOOKUP(A158,'[29]geoMap (26)'!$A:$C,3,0)</f>
        <v>#REF!</v>
      </c>
      <c r="AC158" s="1" t="e">
        <f>AB158/VLOOKUP(A158,'[30]geoMap (27)'!$A:$B,2,0)*VLOOKUP(A158,'[30]geoMap (27)'!$A:$C,3,0)</f>
        <v>#REF!</v>
      </c>
      <c r="AD158" s="1" t="e">
        <f>AC158/VLOOKUP(A158,'[31]geoMap (28)'!$A:$B,2,0)*VLOOKUP(A158,'[31]geoMap (28)'!$A:$C,3,0)</f>
        <v>#REF!</v>
      </c>
      <c r="AE158" s="1" t="e">
        <f>AD158/VLOOKUP(A158,'[32]geoMap (29)'!$A:$B,2,0)*VLOOKUP(A158,'[32]geoMap (29)'!$A:$C,3,0)</f>
        <v>#REF!</v>
      </c>
      <c r="AF158" s="1" t="e">
        <f>AE158/VLOOKUP(A158,'[33]geoMap (30)'!$A:$B,2,0)*VLOOKUP(A158,'[33]geoMap (30)'!$A:$C,3,0)</f>
        <v>#REF!</v>
      </c>
      <c r="AG158" s="1" t="e">
        <f>AF158/VLOOKUP(A158,'[34]geoMap (31)'!$A:$B,2,0)*VLOOKUP(A158,'[34]geoMap (31)'!$A:$C,3,0)</f>
        <v>#REF!</v>
      </c>
      <c r="AH158" s="1" t="e">
        <f>AG158/VLOOKUP(A158,'[35]geoMap (32)'!$A:$B,2,0)*VLOOKUP(A158,'[35]geoMap (32)'!$A:$C,3,0)</f>
        <v>#REF!</v>
      </c>
      <c r="AI158" s="1" t="e">
        <f>AH158/VLOOKUP(A158,'[36]geoMap (33)'!$A:$B,2,0)*VLOOKUP(A158,'[36]geoMap (33)'!$A:$C,3,0)</f>
        <v>#REF!</v>
      </c>
      <c r="AJ158" s="1" t="e">
        <f>AI158/VLOOKUP(A158,'[37]geoMap (34)'!$A:$B,2,0)*VLOOKUP(A158,'[37]geoMap (34)'!$A:$C,3,0)</f>
        <v>#REF!</v>
      </c>
      <c r="AK158" s="1" t="e">
        <f>AJ158/VLOOKUP(A158,'[38]geoMap (35)'!$A:$B,2,0)*VLOOKUP(A158,'[38]geoMap (35)'!$A:$C,3,0)</f>
        <v>#REF!</v>
      </c>
      <c r="AL158" s="1" t="e">
        <f>AK158/VLOOKUP(A158,'[39]geoMap (36)'!$A:$B,2,0)*VLOOKUP(A158,'[39]geoMap (36)'!$A:$C,3,0)</f>
        <v>#REF!</v>
      </c>
      <c r="AM158" s="1" t="e">
        <f>AL158/VLOOKUP(A158,'[40]geoMap (37)'!$A:$B,2,0)*VLOOKUP(A158,'[40]geoMap (37)'!$A:$C,3,0)</f>
        <v>#REF!</v>
      </c>
      <c r="AN158" s="1" t="e">
        <f>AM158/VLOOKUP(A158,'[41]geoMap (38)'!$A:$B,2,0)*VLOOKUP(A158,'[41]geoMap (38)'!$A:$C,3,0)</f>
        <v>#REF!</v>
      </c>
      <c r="AO158" s="1" t="e">
        <f>AN158/VLOOKUP(A158,'[42]geoMap (39)'!$A:$B,2,0)*VLOOKUP(A158,'[42]geoMap (39)'!$A:$C,3,0)</f>
        <v>#REF!</v>
      </c>
      <c r="AP158" s="1" t="e">
        <f>AO158/VLOOKUP(A158,'[43]geoMap (40)'!$A:$B,2,0)*VLOOKUP(A158,'[43]geoMap (40)'!$A:$C,3,0)</f>
        <v>#REF!</v>
      </c>
      <c r="AQ158" s="1" t="e">
        <f>AP158/VLOOKUP(A158,'[44]geoMap (41)'!$A:$B,2,0)*VLOOKUP(A158,'[44]geoMap (41)'!$A:$C,3,0)</f>
        <v>#REF!</v>
      </c>
      <c r="AR158" s="1" t="e">
        <f>AQ158/VLOOKUP(A158,'[45]geoMap (42)'!$A:$B,2,0)*VLOOKUP(A158,'[45]geoMap (42)'!$A:$C,3,0)</f>
        <v>#REF!</v>
      </c>
      <c r="AS158" s="1" t="e">
        <f>AR158/VLOOKUP(A158,'[46]geoMap (43)'!$A:$B,2,0)*VLOOKUP(A158,'[46]geoMap (43)'!$A:$C,3,0)</f>
        <v>#REF!</v>
      </c>
      <c r="AT158" s="1" t="e">
        <f>AS158/VLOOKUP(A158,'[47]geoMap (44)'!$A:$B,2,0)*VLOOKUP(A158,'[47]geoMap (44)'!$A:$C,3,0)</f>
        <v>#REF!</v>
      </c>
      <c r="AU158" s="1" t="e">
        <f>AT158/VLOOKUP(A158,'[48]geoMap (45)'!$A:$B,2,0)*VLOOKUP(A158,'[48]geoMap (45)'!$A:$C,3,0)</f>
        <v>#REF!</v>
      </c>
      <c r="AV158" s="1" t="e">
        <f>AU158/VLOOKUP(A158,'[49]geoMap (46)'!$A:$B,2,0)*VLOOKUP(A158,'[49]geoMap (46)'!$A:$C,3,0)</f>
        <v>#REF!</v>
      </c>
      <c r="AW158" s="1" t="e">
        <f>AV158/VLOOKUP(A158,'[50]geoMap (47)'!$A:$B,2,0)*VLOOKUP(A158,'[50]geoMap (47)'!$A:$C,3,0)</f>
        <v>#REF!</v>
      </c>
      <c r="AX158" s="4" t="e">
        <f>AW158/VLOOKUP(A158,'[51]geoMap (48)'!$A:$B,2,0)*VLOOKUP(A158,'[51]geoMap (48)'!$A:$C,3,0)</f>
        <v>#REF!</v>
      </c>
      <c r="AY158" s="1" t="e">
        <f>AX158/VLOOKUP(A158,'[52]geoMap (49)'!$A:$B,2,0)*VLOOKUP(A158,'[52]geoMap (49)'!$A:$C,3,0)</f>
        <v>#REF!</v>
      </c>
      <c r="AZ158" s="4" t="e">
        <f>AY158/VLOOKUP(A158,'[53]geoMap (50)'!$A:$B,2,0)*VLOOKUP(A158,'[53]geoMap (50)'!$A:$C,3,0)</f>
        <v>#REF!</v>
      </c>
      <c r="BA158" s="1" t="e">
        <f>AZ158/VLOOKUP(A158,'[54]geoMap (51)'!$A:$B,2,0)*VLOOKUP(A158,'[54]geoMap (51)'!$A:$C,3,0)</f>
        <v>#REF!</v>
      </c>
      <c r="BB158" s="4" t="e">
        <f>BA158/VLOOKUP(A158,'[55]geoMap (52)'!$A:$B,2,0)*VLOOKUP(A158,'[55]geoMap (52)'!$A:$C,3,0)</f>
        <v>#REF!</v>
      </c>
      <c r="BC158" s="1" t="e">
        <f>BB158/VLOOKUP(A158,'[56]geoMap (53)'!$A:$B,2,0)*VLOOKUP(A158,'[56]geoMap (53)'!$A:$C,3,0)</f>
        <v>#REF!</v>
      </c>
      <c r="BD158" s="4" t="e">
        <f>BC158/VLOOKUP(A158,'[57]geoMap (54)'!$A:$B,2,0)*VLOOKUP(A158,'[57]geoMap (54)'!$A:$C,3,0)</f>
        <v>#REF!</v>
      </c>
      <c r="BE158" s="1" t="e">
        <f>BD158/VLOOKUP(A158,'[58]geoMap (55)'!$A:$B,2,0)*VLOOKUP(A158,'[58]geoMap (55)'!$A:$C,3,0)</f>
        <v>#REF!</v>
      </c>
      <c r="BF158" s="4" t="e">
        <f>BE158/VLOOKUP(A158,'[59]geoMap (56)'!$A:$B,2,0)*VLOOKUP(A158,'[59]geoMap (56)'!$A:$C,3,0)</f>
        <v>#REF!</v>
      </c>
      <c r="BG158" s="1" t="e">
        <f>BF158/VLOOKUP(A158,'[60]geoMap (57)'!$A:$B,2,0)*VLOOKUP(A158,'[60]geoMap (57)'!$A:$C,3,0)</f>
        <v>#REF!</v>
      </c>
      <c r="BH158" s="4" t="e">
        <f>BG158/VLOOKUP(A158,'[61]geoMap (58)'!$A:$B,2,0)*VLOOKUP(A158,'[61]geoMap (58)'!$A:$C,3,0)</f>
        <v>#REF!</v>
      </c>
      <c r="BI158" s="1" t="e">
        <f>BH158/VLOOKUP(A158,'[62]geoMap (59)'!$A:$B,2,0)*VLOOKUP(A158,'[62]geoMap (59)'!$A:$C,3,0)</f>
        <v>#REF!</v>
      </c>
      <c r="BJ158" s="4" t="e">
        <f>BI158/VLOOKUP(A158,'[63]geoMap (60)'!$A:$B,2,0)*VLOOKUP(A158,'[63]geoMap (60)'!$A:$C,3,0)</f>
        <v>#REF!</v>
      </c>
      <c r="BK158" s="1" t="e">
        <f>BJ158/VLOOKUP(A158,'[64]geoMap (61)'!$A:$B,2,0)*VLOOKUP(A158,'[64]geoMap (61)'!$A:$C,3,0)</f>
        <v>#REF!</v>
      </c>
      <c r="BL158" s="4" t="e">
        <f>BK158/VLOOKUP(A158,'[65]geoMap (62)'!$A:$B,2,0)*VLOOKUP(A158,'[65]geoMap (62)'!$A:$C,3,0)</f>
        <v>#REF!</v>
      </c>
      <c r="BM158" s="1" t="e">
        <f>BL158/VLOOKUP(A158,'[66]geoMap (63)'!$A:$B,2,0)*VLOOKUP(A158,'[66]geoMap (63)'!$A:$C,3,0)</f>
        <v>#REF!</v>
      </c>
      <c r="BN158" s="4" t="e">
        <f>BM158/VLOOKUP(A158,'[67]geoMap (64)'!$A:$B,2,0)*VLOOKUP(A158,'[67]geoMap (64)'!$A:$C,3,0)</f>
        <v>#REF!</v>
      </c>
      <c r="BO158" s="1" t="e">
        <f>BN158/VLOOKUP(A158,'[68]geoMap (65)'!$A:$B,2,0)*VLOOKUP(A158,'[68]geoMap (65)'!$A:$C,3,0)</f>
        <v>#REF!</v>
      </c>
      <c r="BP158" s="4" t="e">
        <f>BO158/VLOOKUP(A158,'[69]geoMap (66)'!$A:$B,2,0)*VLOOKUP(A158,'[69]geoMap (66)'!$A:$C,3,0)</f>
        <v>#REF!</v>
      </c>
    </row>
    <row r="159" spans="1:68" x14ac:dyDescent="0.2">
      <c r="A159" s="1" t="s">
        <v>148</v>
      </c>
      <c r="B159" s="1" t="e">
        <f>VLOOKUP(A159,[3]geoMap!$A:$B,2,0)*Notes!$C$6</f>
        <v>#REF!</v>
      </c>
      <c r="C159" s="1" t="e">
        <f>B159/VLOOKUP(A159,'[4]geoMap (1)'!$A:$B,2,0)*VLOOKUP(A159,'[4]geoMap (1)'!$A:$C,3,0)</f>
        <v>#REF!</v>
      </c>
      <c r="D159" s="1" t="e">
        <f>C159/VLOOKUP(A159,'[5]geoMap (2)'!$A:$B,2,0)*VLOOKUP(A159,'[5]geoMap (2)'!$A:$C,3,0)</f>
        <v>#REF!</v>
      </c>
      <c r="E159" s="1" t="e">
        <f>D159/VLOOKUP(A159,'[6]geoMap (3)'!$A:$B,2,0)*VLOOKUP(A159,'[6]geoMap (3)'!$A:$C,3,0)</f>
        <v>#REF!</v>
      </c>
      <c r="F159" s="1" t="e">
        <f>E159/VLOOKUP(A159,'[7]geoMap (4)'!$A:$B,2,0)*VLOOKUP(A159,'[7]geoMap (4)'!$A:$C,3,0)</f>
        <v>#REF!</v>
      </c>
      <c r="G159" s="1" t="e">
        <f>F159/VLOOKUP(A159,'[8]geoMap (5)'!$A:$B,2,0)*VLOOKUP(A159,'[8]geoMap (5)'!$A:$C,3,0)</f>
        <v>#REF!</v>
      </c>
      <c r="H159" s="1" t="e">
        <f>G159/VLOOKUP(A159,'[9]geoMap (6)'!$A:$B,2,0)*VLOOKUP(A159,'[9]geoMap (6)'!$A:$C,3,0)</f>
        <v>#REF!</v>
      </c>
      <c r="I159" s="1" t="e">
        <f>H159/VLOOKUP(A159,'[10]geoMap (7)'!$A:$B,2,0)*VLOOKUP(A159,'[10]geoMap (7)'!$A:$C,3,0)</f>
        <v>#REF!</v>
      </c>
      <c r="J159" s="1" t="e">
        <f>I159/VLOOKUP(A159,'[11]geoMap (8)'!$A:$B,2,0)*VLOOKUP(A159,'[11]geoMap (8)'!$A:$C,3,0)</f>
        <v>#REF!</v>
      </c>
      <c r="K159" s="1" t="e">
        <f>J159/VLOOKUP(A159,'[12]geoMap (9)'!$A:$B,2,0)*VLOOKUP(A159,'[12]geoMap (9)'!$A:$C,3,0)</f>
        <v>#REF!</v>
      </c>
      <c r="L159" s="1" t="e">
        <f>K159/VLOOKUP(A159,'[13]geoMap (10)'!$A:$B,2,0)*VLOOKUP(A159,'[13]geoMap (10)'!$A:$C,3,0)</f>
        <v>#REF!</v>
      </c>
      <c r="M159" s="1" t="e">
        <f>L159/VLOOKUP(A159,'[14]geoMap (11)'!$A:$B,2,0)*VLOOKUP(A159,'[14]geoMap (11)'!$A:$C,3,0)</f>
        <v>#REF!</v>
      </c>
      <c r="N159" s="1" t="e">
        <f>M159/VLOOKUP(A159,'[15]geoMap (12)'!$A:$B,2,0)*VLOOKUP(A159,'[15]geoMap (12)'!$A:$C,3,0)</f>
        <v>#REF!</v>
      </c>
      <c r="O159" s="1" t="e">
        <f>N159/VLOOKUP(A159,'[16]geoMap (13)'!$A:$B,2,0)*VLOOKUP(A159,'[16]geoMap (13)'!$A:$C,3,0)</f>
        <v>#REF!</v>
      </c>
      <c r="P159" s="1" t="e">
        <f>O159/VLOOKUP(A159,'[17]geoMap (14)'!$A:$B,2,0)*VLOOKUP(A159,'[17]geoMap (14)'!$A:$C,3,0)</f>
        <v>#REF!</v>
      </c>
      <c r="Q159" s="1" t="e">
        <f>P159/VLOOKUP(A159,'[18]geoMap (15)'!$A:$B,2,0)*VLOOKUP(A159,'[18]geoMap (15)'!$A:$C,3,0)</f>
        <v>#REF!</v>
      </c>
      <c r="R159" s="1" t="e">
        <f>Q159/VLOOKUP(A159,'[19]geoMap (16)'!$A:$B,2,0)*VLOOKUP(A159,'[19]geoMap (16)'!$A:$C,3,0)</f>
        <v>#REF!</v>
      </c>
      <c r="S159" s="1" t="e">
        <f>R159/VLOOKUP(A159,'[20]geoMap (17)'!$A:$B,2,0)*VLOOKUP(A159,'[20]geoMap (17)'!$A:$C,3,0)</f>
        <v>#REF!</v>
      </c>
      <c r="T159" s="1" t="e">
        <f>S159/VLOOKUP(A159,'[21]geoMap (18)'!$A:$B,2,0)*VLOOKUP(A159,'[21]geoMap (18)'!$A:$C,3,0)</f>
        <v>#REF!</v>
      </c>
      <c r="U159" s="1" t="e">
        <f>T159/VLOOKUP(A159,'[22]geoMap (19)'!$A:$B,2,0)*VLOOKUP(A159,'[22]geoMap (19)'!$A:$C,3,0)</f>
        <v>#REF!</v>
      </c>
      <c r="V159" s="1" t="e">
        <f>U159/VLOOKUP(A159,'[23]geoMap (20)'!$A:$B,2,0)*VLOOKUP(A159,'[23]geoMap (20)'!$A:$C,3,0)</f>
        <v>#REF!</v>
      </c>
      <c r="W159" s="1" t="e">
        <f>V159/VLOOKUP(A159,'[24]geoMap (21)'!$A:$B,2,0)*VLOOKUP(A159,'[24]geoMap (21)'!$A:$C,3,0)</f>
        <v>#REF!</v>
      </c>
      <c r="X159" s="1" t="e">
        <f>W159/VLOOKUP(A159,'[25]geoMap (22)'!$A:$B,2,0)*VLOOKUP(A159,'[25]geoMap (22)'!$A:$C,3,0)</f>
        <v>#REF!</v>
      </c>
      <c r="Y159" s="1" t="e">
        <f>X159/VLOOKUP(A159,'[26]geoMap (23)'!$A:$B,2,0)*VLOOKUP(A159,'[26]geoMap (23)'!$A:$C,3,0)</f>
        <v>#REF!</v>
      </c>
      <c r="Z159" s="1" t="e">
        <f>Y159/VLOOKUP(A159,'[27]geoMap (24)'!$A:$B,2,0)*VLOOKUP(A159,'[27]geoMap (24)'!$A:$C,3,0)</f>
        <v>#REF!</v>
      </c>
      <c r="AA159" s="1" t="e">
        <f>Z159/VLOOKUP(A159,'[28]geoMap (25)'!$A:$B,2,0)*VLOOKUP(A159,'[28]geoMap (25)'!$A:$C,3,0)</f>
        <v>#REF!</v>
      </c>
      <c r="AB159" s="1" t="e">
        <f>AA159*VLOOKUP(A159,'[29]geoMap (26)'!$A:$B,2,0)*VLOOKUP(A159,'[29]geoMap (26)'!$A:$C,3,0)</f>
        <v>#REF!</v>
      </c>
      <c r="AC159" s="1" t="e">
        <f>AB159/VLOOKUP(A159,'[30]geoMap (27)'!$A:$B,2,0)*VLOOKUP(A159,'[30]geoMap (27)'!$A:$C,3,0)</f>
        <v>#REF!</v>
      </c>
      <c r="AD159" s="1" t="e">
        <f>AC159/VLOOKUP(A159,'[31]geoMap (28)'!$A:$B,2,0)*VLOOKUP(A159,'[31]geoMap (28)'!$A:$C,3,0)</f>
        <v>#REF!</v>
      </c>
      <c r="AE159" s="1" t="e">
        <f>AD159/VLOOKUP(A159,'[32]geoMap (29)'!$A:$B,2,0)*VLOOKUP(A159,'[32]geoMap (29)'!$A:$C,3,0)</f>
        <v>#REF!</v>
      </c>
      <c r="AF159" s="1" t="e">
        <f>AE159/VLOOKUP(A159,'[33]geoMap (30)'!$A:$B,2,0)*VLOOKUP(A159,'[33]geoMap (30)'!$A:$C,3,0)</f>
        <v>#REF!</v>
      </c>
      <c r="AG159" s="1" t="e">
        <f>AF159/VLOOKUP(A159,'[34]geoMap (31)'!$A:$B,2,0)*VLOOKUP(A159,'[34]geoMap (31)'!$A:$C,3,0)</f>
        <v>#REF!</v>
      </c>
      <c r="AH159" s="1" t="e">
        <f>AG159/VLOOKUP(A159,'[35]geoMap (32)'!$A:$B,2,0)*VLOOKUP(A159,'[35]geoMap (32)'!$A:$C,3,0)</f>
        <v>#REF!</v>
      </c>
      <c r="AI159" s="1" t="e">
        <f>AH159/VLOOKUP(A159,'[36]geoMap (33)'!$A:$B,2,0)*VLOOKUP(A159,'[36]geoMap (33)'!$A:$C,3,0)</f>
        <v>#REF!</v>
      </c>
      <c r="AJ159" s="1" t="e">
        <f>AI159/VLOOKUP(A159,'[37]geoMap (34)'!$A:$B,2,0)*VLOOKUP(A159,'[37]geoMap (34)'!$A:$C,3,0)</f>
        <v>#REF!</v>
      </c>
      <c r="AK159" s="1" t="e">
        <f>AJ159/VLOOKUP(A159,'[38]geoMap (35)'!$A:$B,2,0)*VLOOKUP(A159,'[38]geoMap (35)'!$A:$C,3,0)</f>
        <v>#REF!</v>
      </c>
      <c r="AL159" s="1" t="e">
        <f>AK159/VLOOKUP(A159,'[39]geoMap (36)'!$A:$B,2,0)*VLOOKUP(A159,'[39]geoMap (36)'!$A:$C,3,0)</f>
        <v>#REF!</v>
      </c>
      <c r="AM159" s="1" t="e">
        <f>AL159/VLOOKUP(A159,'[40]geoMap (37)'!$A:$B,2,0)*VLOOKUP(A159,'[40]geoMap (37)'!$A:$C,3,0)</f>
        <v>#REF!</v>
      </c>
      <c r="AN159" s="1" t="e">
        <f>AM159/VLOOKUP(A159,'[41]geoMap (38)'!$A:$B,2,0)*VLOOKUP(A159,'[41]geoMap (38)'!$A:$C,3,0)</f>
        <v>#REF!</v>
      </c>
      <c r="AO159" s="1" t="e">
        <f>AN159/VLOOKUP(A159,'[42]geoMap (39)'!$A:$B,2,0)*VLOOKUP(A159,'[42]geoMap (39)'!$A:$C,3,0)</f>
        <v>#REF!</v>
      </c>
      <c r="AP159" s="1" t="e">
        <f>AO159/VLOOKUP(A159,'[43]geoMap (40)'!$A:$B,2,0)*VLOOKUP(A159,'[43]geoMap (40)'!$A:$C,3,0)</f>
        <v>#REF!</v>
      </c>
      <c r="AQ159" s="1" t="e">
        <f>AP159/VLOOKUP(A159,'[44]geoMap (41)'!$A:$B,2,0)*VLOOKUP(A159,'[44]geoMap (41)'!$A:$C,3,0)</f>
        <v>#REF!</v>
      </c>
      <c r="AR159" s="1" t="e">
        <f>AQ159/VLOOKUP(A159,'[45]geoMap (42)'!$A:$B,2,0)*VLOOKUP(A159,'[45]geoMap (42)'!$A:$C,3,0)</f>
        <v>#REF!</v>
      </c>
      <c r="AS159" s="1" t="e">
        <f>AR159/VLOOKUP(A159,'[46]geoMap (43)'!$A:$B,2,0)*VLOOKUP(A159,'[46]geoMap (43)'!$A:$C,3,0)</f>
        <v>#REF!</v>
      </c>
      <c r="AT159" s="1" t="e">
        <f>AS159/VLOOKUP(A159,'[47]geoMap (44)'!$A:$B,2,0)*VLOOKUP(A159,'[47]geoMap (44)'!$A:$C,3,0)</f>
        <v>#REF!</v>
      </c>
      <c r="AU159" s="1" t="e">
        <f>AT159/VLOOKUP(A159,'[48]geoMap (45)'!$A:$B,2,0)*VLOOKUP(A159,'[48]geoMap (45)'!$A:$C,3,0)</f>
        <v>#REF!</v>
      </c>
      <c r="AV159" s="1" t="e">
        <f>AU159/VLOOKUP(A159,'[49]geoMap (46)'!$A:$B,2,0)*VLOOKUP(A159,'[49]geoMap (46)'!$A:$C,3,0)</f>
        <v>#REF!</v>
      </c>
      <c r="AW159" s="1" t="e">
        <f>AV159/VLOOKUP(A159,'[50]geoMap (47)'!$A:$B,2,0)*VLOOKUP(A159,'[50]geoMap (47)'!$A:$C,3,0)</f>
        <v>#REF!</v>
      </c>
      <c r="AX159" s="4" t="e">
        <f>AW159/VLOOKUP(A159,'[51]geoMap (48)'!$A:$B,2,0)*VLOOKUP(A159,'[51]geoMap (48)'!$A:$C,3,0)</f>
        <v>#REF!</v>
      </c>
      <c r="AY159" s="1" t="e">
        <f>AX159/VLOOKUP(A159,'[52]geoMap (49)'!$A:$B,2,0)*VLOOKUP(A159,'[52]geoMap (49)'!$A:$C,3,0)</f>
        <v>#REF!</v>
      </c>
      <c r="AZ159" s="4" t="e">
        <f>AY159/VLOOKUP(A159,'[53]geoMap (50)'!$A:$B,2,0)*VLOOKUP(A159,'[53]geoMap (50)'!$A:$C,3,0)</f>
        <v>#REF!</v>
      </c>
      <c r="BA159" s="1" t="e">
        <f>AZ159/VLOOKUP(A159,'[54]geoMap (51)'!$A:$B,2,0)*VLOOKUP(A159,'[54]geoMap (51)'!$A:$C,3,0)</f>
        <v>#REF!</v>
      </c>
      <c r="BB159" s="4" t="e">
        <f>BA159/VLOOKUP(A159,'[55]geoMap (52)'!$A:$B,2,0)*VLOOKUP(A159,'[55]geoMap (52)'!$A:$C,3,0)</f>
        <v>#REF!</v>
      </c>
      <c r="BC159" s="1" t="e">
        <f>BB159/VLOOKUP(A159,'[56]geoMap (53)'!$A:$B,2,0)*VLOOKUP(A159,'[56]geoMap (53)'!$A:$C,3,0)</f>
        <v>#REF!</v>
      </c>
      <c r="BD159" s="4" t="e">
        <f>BC159/VLOOKUP(A159,'[57]geoMap (54)'!$A:$B,2,0)*VLOOKUP(A159,'[57]geoMap (54)'!$A:$C,3,0)</f>
        <v>#REF!</v>
      </c>
      <c r="BE159" s="1" t="e">
        <f>BD159/VLOOKUP(A159,'[58]geoMap (55)'!$A:$B,2,0)*VLOOKUP(A159,'[58]geoMap (55)'!$A:$C,3,0)</f>
        <v>#REF!</v>
      </c>
      <c r="BF159" s="4" t="e">
        <f>BE159/VLOOKUP(A159,'[59]geoMap (56)'!$A:$B,2,0)*VLOOKUP(A159,'[59]geoMap (56)'!$A:$C,3,0)</f>
        <v>#REF!</v>
      </c>
      <c r="BG159" s="1" t="e">
        <f>BF159/VLOOKUP(A159,'[60]geoMap (57)'!$A:$B,2,0)*VLOOKUP(A159,'[60]geoMap (57)'!$A:$C,3,0)</f>
        <v>#REF!</v>
      </c>
      <c r="BH159" s="4" t="e">
        <f>BG159/VLOOKUP(A159,'[61]geoMap (58)'!$A:$B,2,0)*VLOOKUP(A159,'[61]geoMap (58)'!$A:$C,3,0)</f>
        <v>#REF!</v>
      </c>
      <c r="BI159" s="1" t="e">
        <f>BH159/VLOOKUP(A159,'[62]geoMap (59)'!$A:$B,2,0)*VLOOKUP(A159,'[62]geoMap (59)'!$A:$C,3,0)</f>
        <v>#REF!</v>
      </c>
      <c r="BJ159" s="4" t="e">
        <f>BI159/VLOOKUP(A159,'[63]geoMap (60)'!$A:$B,2,0)*VLOOKUP(A159,'[63]geoMap (60)'!$A:$C,3,0)</f>
        <v>#REF!</v>
      </c>
      <c r="BK159" s="1" t="e">
        <f>BJ159/VLOOKUP(A159,'[64]geoMap (61)'!$A:$B,2,0)*VLOOKUP(A159,'[64]geoMap (61)'!$A:$C,3,0)</f>
        <v>#REF!</v>
      </c>
      <c r="BL159" s="4" t="e">
        <f>BK159/VLOOKUP(A159,'[65]geoMap (62)'!$A:$B,2,0)*VLOOKUP(A159,'[65]geoMap (62)'!$A:$C,3,0)</f>
        <v>#REF!</v>
      </c>
      <c r="BM159" s="1" t="e">
        <f>BL159/VLOOKUP(A159,'[66]geoMap (63)'!$A:$B,2,0)*VLOOKUP(A159,'[66]geoMap (63)'!$A:$C,3,0)</f>
        <v>#REF!</v>
      </c>
      <c r="BN159" s="4" t="e">
        <f>BM159/VLOOKUP(A159,'[67]geoMap (64)'!$A:$B,2,0)*VLOOKUP(A159,'[67]geoMap (64)'!$A:$C,3,0)</f>
        <v>#REF!</v>
      </c>
      <c r="BO159" s="1" t="e">
        <f>BN159/VLOOKUP(A159,'[68]geoMap (65)'!$A:$B,2,0)*VLOOKUP(A159,'[68]geoMap (65)'!$A:$C,3,0)</f>
        <v>#REF!</v>
      </c>
      <c r="BP159" s="4" t="e">
        <f>BO159/VLOOKUP(A159,'[69]geoMap (66)'!$A:$B,2,0)*VLOOKUP(A159,'[69]geoMap (66)'!$A:$C,3,0)</f>
        <v>#REF!</v>
      </c>
    </row>
    <row r="160" spans="1:68" x14ac:dyDescent="0.2">
      <c r="A160" s="1" t="s">
        <v>149</v>
      </c>
      <c r="B160" s="1" t="e">
        <f>VLOOKUP(A160,[3]geoMap!$A:$B,2,0)*Notes!$C$6</f>
        <v>#REF!</v>
      </c>
      <c r="C160" s="1" t="e">
        <f>B160/VLOOKUP(A160,'[4]geoMap (1)'!$A:$B,2,0)*VLOOKUP(A160,'[4]geoMap (1)'!$A:$C,3,0)</f>
        <v>#REF!</v>
      </c>
      <c r="D160" s="1" t="e">
        <f>C160/VLOOKUP(A160,'[5]geoMap (2)'!$A:$B,2,0)*VLOOKUP(A160,'[5]geoMap (2)'!$A:$C,3,0)</f>
        <v>#REF!</v>
      </c>
      <c r="E160" s="1" t="e">
        <f>D160/VLOOKUP(A160,'[6]geoMap (3)'!$A:$B,2,0)*VLOOKUP(A160,'[6]geoMap (3)'!$A:$C,3,0)</f>
        <v>#REF!</v>
      </c>
      <c r="F160" s="1" t="e">
        <f>E160/VLOOKUP(A160,'[7]geoMap (4)'!$A:$B,2,0)*VLOOKUP(A160,'[7]geoMap (4)'!$A:$C,3,0)</f>
        <v>#REF!</v>
      </c>
      <c r="G160" s="1" t="e">
        <f>F160/VLOOKUP(A160,'[8]geoMap (5)'!$A:$B,2,0)*VLOOKUP(A160,'[8]geoMap (5)'!$A:$C,3,0)</f>
        <v>#REF!</v>
      </c>
      <c r="H160" s="1" t="e">
        <f>G160/VLOOKUP(A160,'[9]geoMap (6)'!$A:$B,2,0)*VLOOKUP(A160,'[9]geoMap (6)'!$A:$C,3,0)</f>
        <v>#REF!</v>
      </c>
      <c r="I160" s="1" t="e">
        <f>H160/VLOOKUP(A160,'[10]geoMap (7)'!$A:$B,2,0)*VLOOKUP(A160,'[10]geoMap (7)'!$A:$C,3,0)</f>
        <v>#REF!</v>
      </c>
      <c r="J160" s="1" t="e">
        <f>I160/VLOOKUP(A160,'[11]geoMap (8)'!$A:$B,2,0)*VLOOKUP(A160,'[11]geoMap (8)'!$A:$C,3,0)</f>
        <v>#REF!</v>
      </c>
      <c r="K160" s="1" t="e">
        <f>J160/VLOOKUP(A160,'[12]geoMap (9)'!$A:$B,2,0)*VLOOKUP(A160,'[12]geoMap (9)'!$A:$C,3,0)</f>
        <v>#REF!</v>
      </c>
      <c r="L160" s="1" t="e">
        <f>K160/VLOOKUP(A160,'[13]geoMap (10)'!$A:$B,2,0)*VLOOKUP(A160,'[13]geoMap (10)'!$A:$C,3,0)</f>
        <v>#REF!</v>
      </c>
      <c r="M160" s="1" t="e">
        <f>L160/VLOOKUP(A160,'[14]geoMap (11)'!$A:$B,2,0)*VLOOKUP(A160,'[14]geoMap (11)'!$A:$C,3,0)</f>
        <v>#REF!</v>
      </c>
      <c r="N160" s="1" t="e">
        <f>M160/VLOOKUP(A160,'[15]geoMap (12)'!$A:$B,2,0)*VLOOKUP(A160,'[15]geoMap (12)'!$A:$C,3,0)</f>
        <v>#REF!</v>
      </c>
      <c r="O160" s="1" t="e">
        <f>N160/VLOOKUP(A160,'[16]geoMap (13)'!$A:$B,2,0)*VLOOKUP(A160,'[16]geoMap (13)'!$A:$C,3,0)</f>
        <v>#REF!</v>
      </c>
      <c r="P160" s="1" t="e">
        <f>O160/VLOOKUP(A160,'[17]geoMap (14)'!$A:$B,2,0)*VLOOKUP(A160,'[17]geoMap (14)'!$A:$C,3,0)</f>
        <v>#REF!</v>
      </c>
      <c r="Q160" s="1" t="e">
        <f>P160/VLOOKUP(A160,'[18]geoMap (15)'!$A:$B,2,0)*VLOOKUP(A160,'[18]geoMap (15)'!$A:$C,3,0)</f>
        <v>#REF!</v>
      </c>
      <c r="R160" s="1" t="e">
        <f>Q160/VLOOKUP(A160,'[19]geoMap (16)'!$A:$B,2,0)*VLOOKUP(A160,'[19]geoMap (16)'!$A:$C,3,0)</f>
        <v>#REF!</v>
      </c>
      <c r="S160" s="1" t="e">
        <f>R160/VLOOKUP(A160,'[20]geoMap (17)'!$A:$B,2,0)*VLOOKUP(A160,'[20]geoMap (17)'!$A:$C,3,0)</f>
        <v>#REF!</v>
      </c>
      <c r="T160" s="1" t="e">
        <f>S160/VLOOKUP(A160,'[21]geoMap (18)'!$A:$B,2,0)*VLOOKUP(A160,'[21]geoMap (18)'!$A:$C,3,0)</f>
        <v>#REF!</v>
      </c>
      <c r="U160" s="1" t="e">
        <f>T160/VLOOKUP(A160,'[22]geoMap (19)'!$A:$B,2,0)*VLOOKUP(A160,'[22]geoMap (19)'!$A:$C,3,0)</f>
        <v>#REF!</v>
      </c>
      <c r="V160" s="1" t="e">
        <f>U160/VLOOKUP(A160,'[23]geoMap (20)'!$A:$B,2,0)*VLOOKUP(A160,'[23]geoMap (20)'!$A:$C,3,0)</f>
        <v>#REF!</v>
      </c>
      <c r="W160" s="1" t="e">
        <f>V160/VLOOKUP(A160,'[24]geoMap (21)'!$A:$B,2,0)*VLOOKUP(A160,'[24]geoMap (21)'!$A:$C,3,0)</f>
        <v>#REF!</v>
      </c>
      <c r="X160" s="1" t="e">
        <f>W160/VLOOKUP(A160,'[25]geoMap (22)'!$A:$B,2,0)*VLOOKUP(A160,'[25]geoMap (22)'!$A:$C,3,0)</f>
        <v>#REF!</v>
      </c>
      <c r="Y160" s="1" t="e">
        <f>X160/VLOOKUP(A160,'[26]geoMap (23)'!$A:$B,2,0)*VLOOKUP(A160,'[26]geoMap (23)'!$A:$C,3,0)</f>
        <v>#REF!</v>
      </c>
      <c r="Z160" s="1" t="e">
        <f>Y160/VLOOKUP(A160,'[27]geoMap (24)'!$A:$B,2,0)*VLOOKUP(A160,'[27]geoMap (24)'!$A:$C,3,0)</f>
        <v>#REF!</v>
      </c>
      <c r="AA160" s="1" t="e">
        <f>Z160/VLOOKUP(A160,'[28]geoMap (25)'!$A:$B,2,0)*VLOOKUP(A160,'[28]geoMap (25)'!$A:$C,3,0)</f>
        <v>#REF!</v>
      </c>
      <c r="AB160" s="1" t="e">
        <f>AA160*VLOOKUP(A160,'[29]geoMap (26)'!$A:$B,2,0)*VLOOKUP(A160,'[29]geoMap (26)'!$A:$C,3,0)</f>
        <v>#REF!</v>
      </c>
      <c r="AC160" s="1" t="e">
        <f>AB160/VLOOKUP(A160,'[30]geoMap (27)'!$A:$B,2,0)*VLOOKUP(A160,'[30]geoMap (27)'!$A:$C,3,0)</f>
        <v>#REF!</v>
      </c>
      <c r="AD160" s="1" t="e">
        <f>AC160/VLOOKUP(A160,'[31]geoMap (28)'!$A:$B,2,0)*VLOOKUP(A160,'[31]geoMap (28)'!$A:$C,3,0)</f>
        <v>#REF!</v>
      </c>
      <c r="AE160" s="1" t="e">
        <f>AD160/VLOOKUP(A160,'[32]geoMap (29)'!$A:$B,2,0)*VLOOKUP(A160,'[32]geoMap (29)'!$A:$C,3,0)</f>
        <v>#REF!</v>
      </c>
      <c r="AF160" s="1" t="e">
        <f>AE160/VLOOKUP(A160,'[33]geoMap (30)'!$A:$B,2,0)*VLOOKUP(A160,'[33]geoMap (30)'!$A:$C,3,0)</f>
        <v>#REF!</v>
      </c>
      <c r="AG160" s="1" t="e">
        <f>AF160/VLOOKUP(A160,'[34]geoMap (31)'!$A:$B,2,0)*VLOOKUP(A160,'[34]geoMap (31)'!$A:$C,3,0)</f>
        <v>#REF!</v>
      </c>
      <c r="AH160" s="1" t="e">
        <f>AG160/VLOOKUP(A160,'[35]geoMap (32)'!$A:$B,2,0)*VLOOKUP(A160,'[35]geoMap (32)'!$A:$C,3,0)</f>
        <v>#REF!</v>
      </c>
      <c r="AI160" s="1" t="e">
        <f>AH160/VLOOKUP(A160,'[36]geoMap (33)'!$A:$B,2,0)*VLOOKUP(A160,'[36]geoMap (33)'!$A:$C,3,0)</f>
        <v>#REF!</v>
      </c>
      <c r="AJ160" s="1" t="e">
        <f>AI160/VLOOKUP(A160,'[37]geoMap (34)'!$A:$B,2,0)*VLOOKUP(A160,'[37]geoMap (34)'!$A:$C,3,0)</f>
        <v>#REF!</v>
      </c>
      <c r="AK160" s="1" t="e">
        <f>AJ160/VLOOKUP(A160,'[38]geoMap (35)'!$A:$B,2,0)*VLOOKUP(A160,'[38]geoMap (35)'!$A:$C,3,0)</f>
        <v>#REF!</v>
      </c>
      <c r="AL160" s="1" t="e">
        <f>AK160/VLOOKUP(A160,'[39]geoMap (36)'!$A:$B,2,0)*VLOOKUP(A160,'[39]geoMap (36)'!$A:$C,3,0)</f>
        <v>#REF!</v>
      </c>
      <c r="AM160" s="1" t="e">
        <f>AL160/VLOOKUP(A160,'[40]geoMap (37)'!$A:$B,2,0)*VLOOKUP(A160,'[40]geoMap (37)'!$A:$C,3,0)</f>
        <v>#REF!</v>
      </c>
      <c r="AN160" s="1" t="e">
        <f>AM160/VLOOKUP(A160,'[41]geoMap (38)'!$A:$B,2,0)*VLOOKUP(A160,'[41]geoMap (38)'!$A:$C,3,0)</f>
        <v>#REF!</v>
      </c>
      <c r="AO160" s="1" t="e">
        <f>AN160/VLOOKUP(A160,'[42]geoMap (39)'!$A:$B,2,0)*VLOOKUP(A160,'[42]geoMap (39)'!$A:$C,3,0)</f>
        <v>#REF!</v>
      </c>
      <c r="AP160" s="1" t="e">
        <f>AO160/VLOOKUP(A160,'[43]geoMap (40)'!$A:$B,2,0)*VLOOKUP(A160,'[43]geoMap (40)'!$A:$C,3,0)</f>
        <v>#REF!</v>
      </c>
      <c r="AQ160" s="1" t="e">
        <f>AP160/VLOOKUP(A160,'[44]geoMap (41)'!$A:$B,2,0)*VLOOKUP(A160,'[44]geoMap (41)'!$A:$C,3,0)</f>
        <v>#REF!</v>
      </c>
      <c r="AR160" s="1" t="e">
        <f>AQ160/VLOOKUP(A160,'[45]geoMap (42)'!$A:$B,2,0)*VLOOKUP(A160,'[45]geoMap (42)'!$A:$C,3,0)</f>
        <v>#REF!</v>
      </c>
      <c r="AS160" s="1" t="e">
        <f>AR160/VLOOKUP(A160,'[46]geoMap (43)'!$A:$B,2,0)*VLOOKUP(A160,'[46]geoMap (43)'!$A:$C,3,0)</f>
        <v>#REF!</v>
      </c>
      <c r="AT160" s="1" t="e">
        <f>AS160/VLOOKUP(A160,'[47]geoMap (44)'!$A:$B,2,0)*VLOOKUP(A160,'[47]geoMap (44)'!$A:$C,3,0)</f>
        <v>#REF!</v>
      </c>
      <c r="AU160" s="1" t="e">
        <f>AT160/VLOOKUP(A160,'[48]geoMap (45)'!$A:$B,2,0)*VLOOKUP(A160,'[48]geoMap (45)'!$A:$C,3,0)</f>
        <v>#REF!</v>
      </c>
      <c r="AV160" s="1" t="e">
        <f>AU160/VLOOKUP(A160,'[49]geoMap (46)'!$A:$B,2,0)*VLOOKUP(A160,'[49]geoMap (46)'!$A:$C,3,0)</f>
        <v>#REF!</v>
      </c>
      <c r="AW160" s="1" t="e">
        <f>AV160/VLOOKUP(A160,'[50]geoMap (47)'!$A:$B,2,0)*VLOOKUP(A160,'[50]geoMap (47)'!$A:$C,3,0)</f>
        <v>#REF!</v>
      </c>
      <c r="AX160" s="4" t="e">
        <f>AW160/VLOOKUP(A160,'[51]geoMap (48)'!$A:$B,2,0)*VLOOKUP(A160,'[51]geoMap (48)'!$A:$C,3,0)</f>
        <v>#REF!</v>
      </c>
      <c r="AY160" s="1" t="e">
        <f>AX160/VLOOKUP(A160,'[52]geoMap (49)'!$A:$B,2,0)*VLOOKUP(A160,'[52]geoMap (49)'!$A:$C,3,0)</f>
        <v>#REF!</v>
      </c>
      <c r="AZ160" s="4" t="e">
        <f>AY160/VLOOKUP(A160,'[53]geoMap (50)'!$A:$B,2,0)*VLOOKUP(A160,'[53]geoMap (50)'!$A:$C,3,0)</f>
        <v>#REF!</v>
      </c>
      <c r="BA160" s="1" t="e">
        <f>AZ160/VLOOKUP(A160,'[54]geoMap (51)'!$A:$B,2,0)*VLOOKUP(A160,'[54]geoMap (51)'!$A:$C,3,0)</f>
        <v>#REF!</v>
      </c>
      <c r="BB160" s="4" t="e">
        <f>BA160/VLOOKUP(A160,'[55]geoMap (52)'!$A:$B,2,0)*VLOOKUP(A160,'[55]geoMap (52)'!$A:$C,3,0)</f>
        <v>#REF!</v>
      </c>
      <c r="BC160" s="1" t="e">
        <f>BB160/VLOOKUP(A160,'[56]geoMap (53)'!$A:$B,2,0)*VLOOKUP(A160,'[56]geoMap (53)'!$A:$C,3,0)</f>
        <v>#REF!</v>
      </c>
      <c r="BD160" s="4" t="e">
        <f>BC160/VLOOKUP(A160,'[57]geoMap (54)'!$A:$B,2,0)*VLOOKUP(A160,'[57]geoMap (54)'!$A:$C,3,0)</f>
        <v>#REF!</v>
      </c>
      <c r="BE160" s="1" t="e">
        <f>BD160/VLOOKUP(A160,'[58]geoMap (55)'!$A:$B,2,0)*VLOOKUP(A160,'[58]geoMap (55)'!$A:$C,3,0)</f>
        <v>#REF!</v>
      </c>
      <c r="BF160" s="4" t="e">
        <f>BE160/VLOOKUP(A160,'[59]geoMap (56)'!$A:$B,2,0)*VLOOKUP(A160,'[59]geoMap (56)'!$A:$C,3,0)</f>
        <v>#REF!</v>
      </c>
      <c r="BG160" s="1" t="e">
        <f>BF160/VLOOKUP(A160,'[60]geoMap (57)'!$A:$B,2,0)*VLOOKUP(A160,'[60]geoMap (57)'!$A:$C,3,0)</f>
        <v>#REF!</v>
      </c>
      <c r="BH160" s="4" t="e">
        <f>BG160/VLOOKUP(A160,'[61]geoMap (58)'!$A:$B,2,0)*VLOOKUP(A160,'[61]geoMap (58)'!$A:$C,3,0)</f>
        <v>#REF!</v>
      </c>
      <c r="BI160" s="1" t="e">
        <f>BH160/VLOOKUP(A160,'[62]geoMap (59)'!$A:$B,2,0)*VLOOKUP(A160,'[62]geoMap (59)'!$A:$C,3,0)</f>
        <v>#REF!</v>
      </c>
      <c r="BJ160" s="4" t="e">
        <f>BI160/VLOOKUP(A160,'[63]geoMap (60)'!$A:$B,2,0)*VLOOKUP(A160,'[63]geoMap (60)'!$A:$C,3,0)</f>
        <v>#REF!</v>
      </c>
      <c r="BK160" s="1" t="e">
        <f>BJ160/VLOOKUP(A160,'[64]geoMap (61)'!$A:$B,2,0)*VLOOKUP(A160,'[64]geoMap (61)'!$A:$C,3,0)</f>
        <v>#REF!</v>
      </c>
      <c r="BL160" s="4" t="e">
        <f>BK160/VLOOKUP(A160,'[65]geoMap (62)'!$A:$B,2,0)*VLOOKUP(A160,'[65]geoMap (62)'!$A:$C,3,0)</f>
        <v>#REF!</v>
      </c>
      <c r="BM160" s="1" t="e">
        <f>BL160/VLOOKUP(A160,'[66]geoMap (63)'!$A:$B,2,0)*VLOOKUP(A160,'[66]geoMap (63)'!$A:$C,3,0)</f>
        <v>#REF!</v>
      </c>
      <c r="BN160" s="4" t="e">
        <f>BM160/VLOOKUP(A160,'[67]geoMap (64)'!$A:$B,2,0)*VLOOKUP(A160,'[67]geoMap (64)'!$A:$C,3,0)</f>
        <v>#REF!</v>
      </c>
      <c r="BO160" s="1" t="e">
        <f>BN160/VLOOKUP(A160,'[68]geoMap (65)'!$A:$B,2,0)*VLOOKUP(A160,'[68]geoMap (65)'!$A:$C,3,0)</f>
        <v>#REF!</v>
      </c>
      <c r="BP160" s="4" t="e">
        <f>BO160/VLOOKUP(A160,'[69]geoMap (66)'!$A:$B,2,0)*VLOOKUP(A160,'[69]geoMap (66)'!$A:$C,3,0)</f>
        <v>#REF!</v>
      </c>
    </row>
    <row r="161" spans="1:68" x14ac:dyDescent="0.2">
      <c r="A161" s="1" t="s">
        <v>152</v>
      </c>
      <c r="B161" s="1" t="e">
        <f>VLOOKUP(A161,[3]geoMap!$A:$B,2,0)*Notes!$C$6</f>
        <v>#REF!</v>
      </c>
      <c r="C161" s="1" t="e">
        <f>B161/VLOOKUP(A161,'[4]geoMap (1)'!$A:$B,2,0)*VLOOKUP(A161,'[4]geoMap (1)'!$A:$C,3,0)</f>
        <v>#REF!</v>
      </c>
      <c r="D161" s="1" t="e">
        <f>C161/VLOOKUP(A161,'[5]geoMap (2)'!$A:$B,2,0)*VLOOKUP(A161,'[5]geoMap (2)'!$A:$C,3,0)</f>
        <v>#REF!</v>
      </c>
      <c r="E161" s="1" t="e">
        <f>D161/VLOOKUP(A161,'[6]geoMap (3)'!$A:$B,2,0)*VLOOKUP(A161,'[6]geoMap (3)'!$A:$C,3,0)</f>
        <v>#REF!</v>
      </c>
      <c r="F161" s="1" t="e">
        <f>E161/VLOOKUP(A161,'[7]geoMap (4)'!$A:$B,2,0)*VLOOKUP(A161,'[7]geoMap (4)'!$A:$C,3,0)</f>
        <v>#REF!</v>
      </c>
      <c r="G161" s="1" t="e">
        <f>F161/VLOOKUP(A161,'[8]geoMap (5)'!$A:$B,2,0)*VLOOKUP(A161,'[8]geoMap (5)'!$A:$C,3,0)</f>
        <v>#REF!</v>
      </c>
      <c r="H161" s="1" t="e">
        <f>G161/VLOOKUP(A161,'[9]geoMap (6)'!$A:$B,2,0)*VLOOKUP(A161,'[9]geoMap (6)'!$A:$C,3,0)</f>
        <v>#REF!</v>
      </c>
      <c r="I161" s="1" t="e">
        <f>H161/VLOOKUP(A161,'[10]geoMap (7)'!$A:$B,2,0)*VLOOKUP(A161,'[10]geoMap (7)'!$A:$C,3,0)</f>
        <v>#REF!</v>
      </c>
      <c r="J161" s="1" t="e">
        <f>I161/VLOOKUP(A161,'[11]geoMap (8)'!$A:$B,2,0)*VLOOKUP(A161,'[11]geoMap (8)'!$A:$C,3,0)</f>
        <v>#REF!</v>
      </c>
      <c r="K161" s="1" t="e">
        <f>J161/VLOOKUP(A161,'[12]geoMap (9)'!$A:$B,2,0)*VLOOKUP(A161,'[12]geoMap (9)'!$A:$C,3,0)</f>
        <v>#REF!</v>
      </c>
      <c r="L161" s="1" t="e">
        <f>K161/VLOOKUP(A161,'[13]geoMap (10)'!$A:$B,2,0)*VLOOKUP(A161,'[13]geoMap (10)'!$A:$C,3,0)</f>
        <v>#REF!</v>
      </c>
      <c r="M161" s="1" t="e">
        <f>L161/VLOOKUP(A161,'[14]geoMap (11)'!$A:$B,2,0)*VLOOKUP(A161,'[14]geoMap (11)'!$A:$C,3,0)</f>
        <v>#REF!</v>
      </c>
      <c r="N161" s="1" t="e">
        <f>M161/VLOOKUP(A161,'[15]geoMap (12)'!$A:$B,2,0)*VLOOKUP(A161,'[15]geoMap (12)'!$A:$C,3,0)</f>
        <v>#REF!</v>
      </c>
      <c r="O161" s="1" t="e">
        <f>N161/VLOOKUP(A161,'[16]geoMap (13)'!$A:$B,2,0)*VLOOKUP(A161,'[16]geoMap (13)'!$A:$C,3,0)</f>
        <v>#REF!</v>
      </c>
      <c r="P161" s="1" t="e">
        <f>O161/VLOOKUP(A161,'[17]geoMap (14)'!$A:$B,2,0)*VLOOKUP(A161,'[17]geoMap (14)'!$A:$C,3,0)</f>
        <v>#REF!</v>
      </c>
      <c r="Q161" s="1" t="e">
        <f>P161/VLOOKUP(A161,'[18]geoMap (15)'!$A:$B,2,0)*VLOOKUP(A161,'[18]geoMap (15)'!$A:$C,3,0)</f>
        <v>#REF!</v>
      </c>
      <c r="R161" s="1" t="e">
        <f>Q161/VLOOKUP(A161,'[19]geoMap (16)'!$A:$B,2,0)*VLOOKUP(A161,'[19]geoMap (16)'!$A:$C,3,0)</f>
        <v>#REF!</v>
      </c>
      <c r="S161" s="1" t="e">
        <f>R161/VLOOKUP(A161,'[20]geoMap (17)'!$A:$B,2,0)*VLOOKUP(A161,'[20]geoMap (17)'!$A:$C,3,0)</f>
        <v>#REF!</v>
      </c>
      <c r="T161" s="1" t="e">
        <f>S161/VLOOKUP(A161,'[21]geoMap (18)'!$A:$B,2,0)*VLOOKUP(A161,'[21]geoMap (18)'!$A:$C,3,0)</f>
        <v>#REF!</v>
      </c>
      <c r="U161" s="1" t="e">
        <f>T161/VLOOKUP(A161,'[22]geoMap (19)'!$A:$B,2,0)*VLOOKUP(A161,'[22]geoMap (19)'!$A:$C,3,0)</f>
        <v>#REF!</v>
      </c>
      <c r="V161" s="1" t="e">
        <f>U161/VLOOKUP(A161,'[23]geoMap (20)'!$A:$B,2,0)*VLOOKUP(A161,'[23]geoMap (20)'!$A:$C,3,0)</f>
        <v>#REF!</v>
      </c>
      <c r="W161" s="1" t="e">
        <f>V161/VLOOKUP(A161,'[24]geoMap (21)'!$A:$B,2,0)*VLOOKUP(A161,'[24]geoMap (21)'!$A:$C,3,0)</f>
        <v>#REF!</v>
      </c>
      <c r="X161" s="1" t="e">
        <f>W161/VLOOKUP(A161,'[25]geoMap (22)'!$A:$B,2,0)*VLOOKUP(A161,'[25]geoMap (22)'!$A:$C,3,0)</f>
        <v>#REF!</v>
      </c>
      <c r="Y161" s="1" t="e">
        <f>X161/VLOOKUP(A161,'[26]geoMap (23)'!$A:$B,2,0)*VLOOKUP(A161,'[26]geoMap (23)'!$A:$C,3,0)</f>
        <v>#REF!</v>
      </c>
      <c r="Z161" s="1" t="e">
        <f>Y161/VLOOKUP(A161,'[27]geoMap (24)'!$A:$B,2,0)*VLOOKUP(A161,'[27]geoMap (24)'!$A:$C,3,0)</f>
        <v>#REF!</v>
      </c>
      <c r="AA161" s="1" t="e">
        <f>Z161/VLOOKUP(A161,'[28]geoMap (25)'!$A:$B,2,0)*VLOOKUP(A161,'[28]geoMap (25)'!$A:$C,3,0)</f>
        <v>#REF!</v>
      </c>
      <c r="AB161" s="1" t="e">
        <f>AA161*VLOOKUP(A161,'[29]geoMap (26)'!$A:$B,2,0)*VLOOKUP(A161,'[29]geoMap (26)'!$A:$C,3,0)</f>
        <v>#REF!</v>
      </c>
      <c r="AC161" s="1" t="e">
        <f>AB161/VLOOKUP(A161,'[30]geoMap (27)'!$A:$B,2,0)*VLOOKUP(A161,'[30]geoMap (27)'!$A:$C,3,0)</f>
        <v>#REF!</v>
      </c>
      <c r="AD161" s="1" t="e">
        <f>AC161/VLOOKUP(A161,'[31]geoMap (28)'!$A:$B,2,0)*VLOOKUP(A161,'[31]geoMap (28)'!$A:$C,3,0)</f>
        <v>#REF!</v>
      </c>
      <c r="AE161" s="1" t="e">
        <f>AD161/VLOOKUP(A161,'[32]geoMap (29)'!$A:$B,2,0)*VLOOKUP(A161,'[32]geoMap (29)'!$A:$C,3,0)</f>
        <v>#REF!</v>
      </c>
      <c r="AF161" s="1" t="e">
        <f>AE161/VLOOKUP(A161,'[33]geoMap (30)'!$A:$B,2,0)*VLOOKUP(A161,'[33]geoMap (30)'!$A:$C,3,0)</f>
        <v>#REF!</v>
      </c>
      <c r="AG161" s="1" t="e">
        <f>AF161/VLOOKUP(A161,'[34]geoMap (31)'!$A:$B,2,0)*VLOOKUP(A161,'[34]geoMap (31)'!$A:$C,3,0)</f>
        <v>#REF!</v>
      </c>
      <c r="AH161" s="1" t="e">
        <f>AG161/VLOOKUP(A161,'[35]geoMap (32)'!$A:$B,2,0)*VLOOKUP(A161,'[35]geoMap (32)'!$A:$C,3,0)</f>
        <v>#REF!</v>
      </c>
      <c r="AI161" s="1" t="e">
        <f>AH161/VLOOKUP(A161,'[36]geoMap (33)'!$A:$B,2,0)*VLOOKUP(A161,'[36]geoMap (33)'!$A:$C,3,0)</f>
        <v>#REF!</v>
      </c>
      <c r="AJ161" s="1" t="e">
        <f>AI161/VLOOKUP(A161,'[37]geoMap (34)'!$A:$B,2,0)*VLOOKUP(A161,'[37]geoMap (34)'!$A:$C,3,0)</f>
        <v>#REF!</v>
      </c>
      <c r="AK161" s="1" t="e">
        <f>AJ161/VLOOKUP(A161,'[38]geoMap (35)'!$A:$B,2,0)*VLOOKUP(A161,'[38]geoMap (35)'!$A:$C,3,0)</f>
        <v>#REF!</v>
      </c>
      <c r="AL161" s="1" t="e">
        <f>AK161/VLOOKUP(A161,'[39]geoMap (36)'!$A:$B,2,0)*VLOOKUP(A161,'[39]geoMap (36)'!$A:$C,3,0)</f>
        <v>#REF!</v>
      </c>
      <c r="AM161" s="1" t="e">
        <f>AL161/VLOOKUP(A161,'[40]geoMap (37)'!$A:$B,2,0)*VLOOKUP(A161,'[40]geoMap (37)'!$A:$C,3,0)</f>
        <v>#REF!</v>
      </c>
      <c r="AN161" s="1" t="e">
        <f>AM161/VLOOKUP(A161,'[41]geoMap (38)'!$A:$B,2,0)*VLOOKUP(A161,'[41]geoMap (38)'!$A:$C,3,0)</f>
        <v>#REF!</v>
      </c>
      <c r="AO161" s="1" t="e">
        <f>AN161/VLOOKUP(A161,'[42]geoMap (39)'!$A:$B,2,0)*VLOOKUP(A161,'[42]geoMap (39)'!$A:$C,3,0)</f>
        <v>#REF!</v>
      </c>
      <c r="AP161" s="1" t="e">
        <f>AO161/VLOOKUP(A161,'[43]geoMap (40)'!$A:$B,2,0)*VLOOKUP(A161,'[43]geoMap (40)'!$A:$C,3,0)</f>
        <v>#REF!</v>
      </c>
      <c r="AQ161" s="1" t="e">
        <f>AP161/VLOOKUP(A161,'[44]geoMap (41)'!$A:$B,2,0)*VLOOKUP(A161,'[44]geoMap (41)'!$A:$C,3,0)</f>
        <v>#REF!</v>
      </c>
      <c r="AR161" s="1" t="e">
        <f>AQ161/VLOOKUP(A161,'[45]geoMap (42)'!$A:$B,2,0)*VLOOKUP(A161,'[45]geoMap (42)'!$A:$C,3,0)</f>
        <v>#REF!</v>
      </c>
      <c r="AS161" s="1" t="e">
        <f>AR161/VLOOKUP(A161,'[46]geoMap (43)'!$A:$B,2,0)*VLOOKUP(A161,'[46]geoMap (43)'!$A:$C,3,0)</f>
        <v>#REF!</v>
      </c>
      <c r="AT161" s="1" t="e">
        <f>AS161/VLOOKUP(A161,'[47]geoMap (44)'!$A:$B,2,0)*VLOOKUP(A161,'[47]geoMap (44)'!$A:$C,3,0)</f>
        <v>#REF!</v>
      </c>
      <c r="AU161" s="1" t="e">
        <f>AT161/VLOOKUP(A161,'[48]geoMap (45)'!$A:$B,2,0)*VLOOKUP(A161,'[48]geoMap (45)'!$A:$C,3,0)</f>
        <v>#REF!</v>
      </c>
      <c r="AV161" s="1" t="e">
        <f>AU161/VLOOKUP(A161,'[49]geoMap (46)'!$A:$B,2,0)*VLOOKUP(A161,'[49]geoMap (46)'!$A:$C,3,0)</f>
        <v>#REF!</v>
      </c>
      <c r="AW161" s="1" t="e">
        <f>AV161/VLOOKUP(A161,'[50]geoMap (47)'!$A:$B,2,0)*VLOOKUP(A161,'[50]geoMap (47)'!$A:$C,3,0)</f>
        <v>#REF!</v>
      </c>
      <c r="AX161" s="4" t="e">
        <f>AW161/VLOOKUP(A161,'[51]geoMap (48)'!$A:$B,2,0)*VLOOKUP(A161,'[51]geoMap (48)'!$A:$C,3,0)</f>
        <v>#REF!</v>
      </c>
      <c r="AY161" s="1" t="e">
        <f>AX161/VLOOKUP(A161,'[52]geoMap (49)'!$A:$B,2,0)*VLOOKUP(A161,'[52]geoMap (49)'!$A:$C,3,0)</f>
        <v>#REF!</v>
      </c>
      <c r="AZ161" s="4" t="e">
        <f>AY161/VLOOKUP(A161,'[53]geoMap (50)'!$A:$B,2,0)*VLOOKUP(A161,'[53]geoMap (50)'!$A:$C,3,0)</f>
        <v>#REF!</v>
      </c>
      <c r="BA161" s="1" t="e">
        <f>AZ161/VLOOKUP(A161,'[54]geoMap (51)'!$A:$B,2,0)*VLOOKUP(A161,'[54]geoMap (51)'!$A:$C,3,0)</f>
        <v>#REF!</v>
      </c>
      <c r="BB161" s="4" t="e">
        <f>BA161/VLOOKUP(A161,'[55]geoMap (52)'!$A:$B,2,0)*VLOOKUP(A161,'[55]geoMap (52)'!$A:$C,3,0)</f>
        <v>#REF!</v>
      </c>
      <c r="BC161" s="1" t="e">
        <f>BB161/VLOOKUP(A161,'[56]geoMap (53)'!$A:$B,2,0)*VLOOKUP(A161,'[56]geoMap (53)'!$A:$C,3,0)</f>
        <v>#REF!</v>
      </c>
      <c r="BD161" s="4" t="e">
        <f>BC161/VLOOKUP(A161,'[57]geoMap (54)'!$A:$B,2,0)*VLOOKUP(A161,'[57]geoMap (54)'!$A:$C,3,0)</f>
        <v>#REF!</v>
      </c>
      <c r="BE161" s="1" t="e">
        <f>BD161/VLOOKUP(A161,'[58]geoMap (55)'!$A:$B,2,0)*VLOOKUP(A161,'[58]geoMap (55)'!$A:$C,3,0)</f>
        <v>#REF!</v>
      </c>
      <c r="BF161" s="4" t="e">
        <f>BE161/VLOOKUP(A161,'[59]geoMap (56)'!$A:$B,2,0)*VLOOKUP(A161,'[59]geoMap (56)'!$A:$C,3,0)</f>
        <v>#REF!</v>
      </c>
      <c r="BG161" s="1" t="e">
        <f>BF161/VLOOKUP(A161,'[60]geoMap (57)'!$A:$B,2,0)*VLOOKUP(A161,'[60]geoMap (57)'!$A:$C,3,0)</f>
        <v>#REF!</v>
      </c>
      <c r="BH161" s="4" t="e">
        <f>BG161/VLOOKUP(A161,'[61]geoMap (58)'!$A:$B,2,0)*VLOOKUP(A161,'[61]geoMap (58)'!$A:$C,3,0)</f>
        <v>#REF!</v>
      </c>
      <c r="BI161" s="1" t="e">
        <f>BH161/VLOOKUP(A161,'[62]geoMap (59)'!$A:$B,2,0)*VLOOKUP(A161,'[62]geoMap (59)'!$A:$C,3,0)</f>
        <v>#REF!</v>
      </c>
      <c r="BJ161" s="4" t="e">
        <f>BI161/VLOOKUP(A161,'[63]geoMap (60)'!$A:$B,2,0)*VLOOKUP(A161,'[63]geoMap (60)'!$A:$C,3,0)</f>
        <v>#REF!</v>
      </c>
      <c r="BK161" s="1" t="e">
        <f>BJ161/VLOOKUP(A161,'[64]geoMap (61)'!$A:$B,2,0)*VLOOKUP(A161,'[64]geoMap (61)'!$A:$C,3,0)</f>
        <v>#REF!</v>
      </c>
      <c r="BL161" s="4" t="e">
        <f>BK161/VLOOKUP(A161,'[65]geoMap (62)'!$A:$B,2,0)*VLOOKUP(A161,'[65]geoMap (62)'!$A:$C,3,0)</f>
        <v>#REF!</v>
      </c>
      <c r="BM161" s="1" t="e">
        <f>BL161/VLOOKUP(A161,'[66]geoMap (63)'!$A:$B,2,0)*VLOOKUP(A161,'[66]geoMap (63)'!$A:$C,3,0)</f>
        <v>#REF!</v>
      </c>
      <c r="BN161" s="4" t="e">
        <f>BM161/VLOOKUP(A161,'[67]geoMap (64)'!$A:$B,2,0)*VLOOKUP(A161,'[67]geoMap (64)'!$A:$C,3,0)</f>
        <v>#REF!</v>
      </c>
      <c r="BO161" s="1" t="e">
        <f>BN161/VLOOKUP(A161,'[68]geoMap (65)'!$A:$B,2,0)*VLOOKUP(A161,'[68]geoMap (65)'!$A:$C,3,0)</f>
        <v>#REF!</v>
      </c>
      <c r="BP161" s="4" t="e">
        <f>BO161/VLOOKUP(A161,'[69]geoMap (66)'!$A:$B,2,0)*VLOOKUP(A161,'[69]geoMap (66)'!$A:$C,3,0)</f>
        <v>#REF!</v>
      </c>
    </row>
    <row r="162" spans="1:68" x14ac:dyDescent="0.2">
      <c r="A162" s="1" t="s">
        <v>155</v>
      </c>
      <c r="B162" s="1" t="e">
        <f>VLOOKUP(A162,[3]geoMap!$A:$B,2,0)*Notes!$C$6</f>
        <v>#REF!</v>
      </c>
      <c r="C162" s="1" t="e">
        <f>B162/VLOOKUP(A162,'[4]geoMap (1)'!$A:$B,2,0)*VLOOKUP(A162,'[4]geoMap (1)'!$A:$C,3,0)</f>
        <v>#REF!</v>
      </c>
      <c r="D162" s="1" t="e">
        <f>C162/VLOOKUP(A162,'[5]geoMap (2)'!$A:$B,2,0)*VLOOKUP(A162,'[5]geoMap (2)'!$A:$C,3,0)</f>
        <v>#REF!</v>
      </c>
      <c r="E162" s="1" t="e">
        <f>D162/VLOOKUP(A162,'[6]geoMap (3)'!$A:$B,2,0)*VLOOKUP(A162,'[6]geoMap (3)'!$A:$C,3,0)</f>
        <v>#REF!</v>
      </c>
      <c r="F162" s="1" t="e">
        <f>E162/VLOOKUP(A162,'[7]geoMap (4)'!$A:$B,2,0)*VLOOKUP(A162,'[7]geoMap (4)'!$A:$C,3,0)</f>
        <v>#REF!</v>
      </c>
      <c r="G162" s="1" t="e">
        <f>F162/VLOOKUP(A162,'[8]geoMap (5)'!$A:$B,2,0)*VLOOKUP(A162,'[8]geoMap (5)'!$A:$C,3,0)</f>
        <v>#REF!</v>
      </c>
      <c r="H162" s="1" t="e">
        <f>G162/VLOOKUP(A162,'[9]geoMap (6)'!$A:$B,2,0)*VLOOKUP(A162,'[9]geoMap (6)'!$A:$C,3,0)</f>
        <v>#REF!</v>
      </c>
      <c r="I162" s="1" t="e">
        <f>H162/VLOOKUP(A162,'[10]geoMap (7)'!$A:$B,2,0)*VLOOKUP(A162,'[10]geoMap (7)'!$A:$C,3,0)</f>
        <v>#REF!</v>
      </c>
      <c r="J162" s="1" t="e">
        <f>I162/VLOOKUP(A162,'[11]geoMap (8)'!$A:$B,2,0)*VLOOKUP(A162,'[11]geoMap (8)'!$A:$C,3,0)</f>
        <v>#REF!</v>
      </c>
      <c r="K162" s="1" t="e">
        <f>J162/VLOOKUP(A162,'[12]geoMap (9)'!$A:$B,2,0)*VLOOKUP(A162,'[12]geoMap (9)'!$A:$C,3,0)</f>
        <v>#REF!</v>
      </c>
      <c r="L162" s="1" t="e">
        <f>K162/VLOOKUP(A162,'[13]geoMap (10)'!$A:$B,2,0)*VLOOKUP(A162,'[13]geoMap (10)'!$A:$C,3,0)</f>
        <v>#REF!</v>
      </c>
      <c r="M162" s="1" t="e">
        <f>L162/VLOOKUP(A162,'[14]geoMap (11)'!$A:$B,2,0)*VLOOKUP(A162,'[14]geoMap (11)'!$A:$C,3,0)</f>
        <v>#REF!</v>
      </c>
      <c r="N162" s="1" t="e">
        <f>M162/VLOOKUP(A162,'[15]geoMap (12)'!$A:$B,2,0)*VLOOKUP(A162,'[15]geoMap (12)'!$A:$C,3,0)</f>
        <v>#REF!</v>
      </c>
      <c r="O162" s="1" t="e">
        <f>N162/VLOOKUP(A162,'[16]geoMap (13)'!$A:$B,2,0)*VLOOKUP(A162,'[16]geoMap (13)'!$A:$C,3,0)</f>
        <v>#REF!</v>
      </c>
      <c r="P162" s="1" t="e">
        <f>O162/VLOOKUP(A162,'[17]geoMap (14)'!$A:$B,2,0)*VLOOKUP(A162,'[17]geoMap (14)'!$A:$C,3,0)</f>
        <v>#REF!</v>
      </c>
      <c r="Q162" s="1" t="e">
        <f>P162/VLOOKUP(A162,'[18]geoMap (15)'!$A:$B,2,0)*VLOOKUP(A162,'[18]geoMap (15)'!$A:$C,3,0)</f>
        <v>#REF!</v>
      </c>
      <c r="R162" s="1" t="e">
        <f>Q162/VLOOKUP(A162,'[19]geoMap (16)'!$A:$B,2,0)*VLOOKUP(A162,'[19]geoMap (16)'!$A:$C,3,0)</f>
        <v>#REF!</v>
      </c>
      <c r="S162" s="1" t="e">
        <f>R162/VLOOKUP(A162,'[20]geoMap (17)'!$A:$B,2,0)*VLOOKUP(A162,'[20]geoMap (17)'!$A:$C,3,0)</f>
        <v>#REF!</v>
      </c>
      <c r="T162" s="1" t="e">
        <f>S162/VLOOKUP(A162,'[21]geoMap (18)'!$A:$B,2,0)*VLOOKUP(A162,'[21]geoMap (18)'!$A:$C,3,0)</f>
        <v>#REF!</v>
      </c>
      <c r="U162" s="1" t="e">
        <f>T162/VLOOKUP(A162,'[22]geoMap (19)'!$A:$B,2,0)*VLOOKUP(A162,'[22]geoMap (19)'!$A:$C,3,0)</f>
        <v>#REF!</v>
      </c>
      <c r="V162" s="1" t="e">
        <f>U162/VLOOKUP(A162,'[23]geoMap (20)'!$A:$B,2,0)*VLOOKUP(A162,'[23]geoMap (20)'!$A:$C,3,0)</f>
        <v>#REF!</v>
      </c>
      <c r="W162" s="1" t="e">
        <f>V162/VLOOKUP(A162,'[24]geoMap (21)'!$A:$B,2,0)*VLOOKUP(A162,'[24]geoMap (21)'!$A:$C,3,0)</f>
        <v>#REF!</v>
      </c>
      <c r="X162" s="1" t="e">
        <f>W162/VLOOKUP(A162,'[25]geoMap (22)'!$A:$B,2,0)*VLOOKUP(A162,'[25]geoMap (22)'!$A:$C,3,0)</f>
        <v>#REF!</v>
      </c>
      <c r="Y162" s="1" t="e">
        <f>X162/VLOOKUP(A162,'[26]geoMap (23)'!$A:$B,2,0)*VLOOKUP(A162,'[26]geoMap (23)'!$A:$C,3,0)</f>
        <v>#REF!</v>
      </c>
      <c r="Z162" s="1" t="e">
        <f>Y162/VLOOKUP(A162,'[27]geoMap (24)'!$A:$B,2,0)*VLOOKUP(A162,'[27]geoMap (24)'!$A:$C,3,0)</f>
        <v>#REF!</v>
      </c>
      <c r="AA162" s="1" t="e">
        <f>Z162/VLOOKUP(A162,'[28]geoMap (25)'!$A:$B,2,0)*VLOOKUP(A162,'[28]geoMap (25)'!$A:$C,3,0)</f>
        <v>#REF!</v>
      </c>
      <c r="AB162" s="1" t="e">
        <f>AA162*VLOOKUP(A162,'[29]geoMap (26)'!$A:$B,2,0)*VLOOKUP(A162,'[29]geoMap (26)'!$A:$C,3,0)</f>
        <v>#REF!</v>
      </c>
      <c r="AC162" s="1" t="e">
        <f>AB162/VLOOKUP(A162,'[30]geoMap (27)'!$A:$B,2,0)*VLOOKUP(A162,'[30]geoMap (27)'!$A:$C,3,0)</f>
        <v>#REF!</v>
      </c>
      <c r="AD162" s="1" t="e">
        <f>AC162/VLOOKUP(A162,'[31]geoMap (28)'!$A:$B,2,0)*VLOOKUP(A162,'[31]geoMap (28)'!$A:$C,3,0)</f>
        <v>#REF!</v>
      </c>
      <c r="AE162" s="1" t="e">
        <f>AD162/VLOOKUP(A162,'[32]geoMap (29)'!$A:$B,2,0)*VLOOKUP(A162,'[32]geoMap (29)'!$A:$C,3,0)</f>
        <v>#REF!</v>
      </c>
      <c r="AF162" s="1" t="e">
        <f>AE162/VLOOKUP(A162,'[33]geoMap (30)'!$A:$B,2,0)*VLOOKUP(A162,'[33]geoMap (30)'!$A:$C,3,0)</f>
        <v>#REF!</v>
      </c>
      <c r="AG162" s="1" t="e">
        <f>AF162/VLOOKUP(A162,'[34]geoMap (31)'!$A:$B,2,0)*VLOOKUP(A162,'[34]geoMap (31)'!$A:$C,3,0)</f>
        <v>#REF!</v>
      </c>
      <c r="AH162" s="1" t="e">
        <f>AG162/VLOOKUP(A162,'[35]geoMap (32)'!$A:$B,2,0)*VLOOKUP(A162,'[35]geoMap (32)'!$A:$C,3,0)</f>
        <v>#REF!</v>
      </c>
      <c r="AI162" s="1" t="e">
        <f>AH162/VLOOKUP(A162,'[36]geoMap (33)'!$A:$B,2,0)*VLOOKUP(A162,'[36]geoMap (33)'!$A:$C,3,0)</f>
        <v>#REF!</v>
      </c>
      <c r="AJ162" s="1" t="e">
        <f>AI162/VLOOKUP(A162,'[37]geoMap (34)'!$A:$B,2,0)*VLOOKUP(A162,'[37]geoMap (34)'!$A:$C,3,0)</f>
        <v>#REF!</v>
      </c>
      <c r="AK162" s="1" t="e">
        <f>AJ162/VLOOKUP(A162,'[38]geoMap (35)'!$A:$B,2,0)*VLOOKUP(A162,'[38]geoMap (35)'!$A:$C,3,0)</f>
        <v>#REF!</v>
      </c>
      <c r="AL162" s="1" t="e">
        <f>AK162/VLOOKUP(A162,'[39]geoMap (36)'!$A:$B,2,0)*VLOOKUP(A162,'[39]geoMap (36)'!$A:$C,3,0)</f>
        <v>#REF!</v>
      </c>
      <c r="AM162" s="1" t="e">
        <f>AL162/VLOOKUP(A162,'[40]geoMap (37)'!$A:$B,2,0)*VLOOKUP(A162,'[40]geoMap (37)'!$A:$C,3,0)</f>
        <v>#REF!</v>
      </c>
      <c r="AN162" s="1" t="e">
        <f>AM162/VLOOKUP(A162,'[41]geoMap (38)'!$A:$B,2,0)*VLOOKUP(A162,'[41]geoMap (38)'!$A:$C,3,0)</f>
        <v>#REF!</v>
      </c>
      <c r="AO162" s="1" t="e">
        <f>AN162/VLOOKUP(A162,'[42]geoMap (39)'!$A:$B,2,0)*VLOOKUP(A162,'[42]geoMap (39)'!$A:$C,3,0)</f>
        <v>#REF!</v>
      </c>
      <c r="AP162" s="1" t="e">
        <f>AO162/VLOOKUP(A162,'[43]geoMap (40)'!$A:$B,2,0)*VLOOKUP(A162,'[43]geoMap (40)'!$A:$C,3,0)</f>
        <v>#REF!</v>
      </c>
      <c r="AQ162" s="1" t="e">
        <f>AP162/VLOOKUP(A162,'[44]geoMap (41)'!$A:$B,2,0)*VLOOKUP(A162,'[44]geoMap (41)'!$A:$C,3,0)</f>
        <v>#REF!</v>
      </c>
      <c r="AR162" s="1" t="e">
        <f>AQ162/VLOOKUP(A162,'[45]geoMap (42)'!$A:$B,2,0)*VLOOKUP(A162,'[45]geoMap (42)'!$A:$C,3,0)</f>
        <v>#REF!</v>
      </c>
      <c r="AS162" s="1" t="e">
        <f>AR162/VLOOKUP(A162,'[46]geoMap (43)'!$A:$B,2,0)*VLOOKUP(A162,'[46]geoMap (43)'!$A:$C,3,0)</f>
        <v>#REF!</v>
      </c>
      <c r="AT162" s="1" t="e">
        <f>AS162/VLOOKUP(A162,'[47]geoMap (44)'!$A:$B,2,0)*VLOOKUP(A162,'[47]geoMap (44)'!$A:$C,3,0)</f>
        <v>#REF!</v>
      </c>
      <c r="AU162" s="1" t="e">
        <f>AT162/VLOOKUP(A162,'[48]geoMap (45)'!$A:$B,2,0)*VLOOKUP(A162,'[48]geoMap (45)'!$A:$C,3,0)</f>
        <v>#REF!</v>
      </c>
      <c r="AV162" s="1" t="e">
        <f>AU162/VLOOKUP(A162,'[49]geoMap (46)'!$A:$B,2,0)*VLOOKUP(A162,'[49]geoMap (46)'!$A:$C,3,0)</f>
        <v>#REF!</v>
      </c>
      <c r="AW162" s="1" t="e">
        <f>AV162/VLOOKUP(A162,'[50]geoMap (47)'!$A:$B,2,0)*VLOOKUP(A162,'[50]geoMap (47)'!$A:$C,3,0)</f>
        <v>#REF!</v>
      </c>
      <c r="AX162" s="4" t="e">
        <f>AW162/VLOOKUP(A162,'[51]geoMap (48)'!$A:$B,2,0)*VLOOKUP(A162,'[51]geoMap (48)'!$A:$C,3,0)</f>
        <v>#REF!</v>
      </c>
      <c r="AY162" s="1" t="e">
        <f>AX162/VLOOKUP(A162,'[52]geoMap (49)'!$A:$B,2,0)*VLOOKUP(A162,'[52]geoMap (49)'!$A:$C,3,0)</f>
        <v>#REF!</v>
      </c>
      <c r="AZ162" s="4" t="e">
        <f>AY162/VLOOKUP(A162,'[53]geoMap (50)'!$A:$B,2,0)*VLOOKUP(A162,'[53]geoMap (50)'!$A:$C,3,0)</f>
        <v>#REF!</v>
      </c>
      <c r="BA162" s="1" t="e">
        <f>AZ162/VLOOKUP(A162,'[54]geoMap (51)'!$A:$B,2,0)*VLOOKUP(A162,'[54]geoMap (51)'!$A:$C,3,0)</f>
        <v>#REF!</v>
      </c>
      <c r="BB162" s="4" t="e">
        <f>BA162/VLOOKUP(A162,'[55]geoMap (52)'!$A:$B,2,0)*VLOOKUP(A162,'[55]geoMap (52)'!$A:$C,3,0)</f>
        <v>#REF!</v>
      </c>
      <c r="BC162" s="1" t="e">
        <f>BB162/VLOOKUP(A162,'[56]geoMap (53)'!$A:$B,2,0)*VLOOKUP(A162,'[56]geoMap (53)'!$A:$C,3,0)</f>
        <v>#REF!</v>
      </c>
      <c r="BD162" s="4" t="e">
        <f>BC162/VLOOKUP(A162,'[57]geoMap (54)'!$A:$B,2,0)*VLOOKUP(A162,'[57]geoMap (54)'!$A:$C,3,0)</f>
        <v>#REF!</v>
      </c>
      <c r="BE162" s="1" t="e">
        <f>BD162/VLOOKUP(A162,'[58]geoMap (55)'!$A:$B,2,0)*VLOOKUP(A162,'[58]geoMap (55)'!$A:$C,3,0)</f>
        <v>#REF!</v>
      </c>
      <c r="BF162" s="4" t="e">
        <f>BE162/VLOOKUP(A162,'[59]geoMap (56)'!$A:$B,2,0)*VLOOKUP(A162,'[59]geoMap (56)'!$A:$C,3,0)</f>
        <v>#REF!</v>
      </c>
      <c r="BG162" s="1" t="e">
        <f>BF162/VLOOKUP(A162,'[60]geoMap (57)'!$A:$B,2,0)*VLOOKUP(A162,'[60]geoMap (57)'!$A:$C,3,0)</f>
        <v>#REF!</v>
      </c>
      <c r="BH162" s="4" t="e">
        <f>BG162/VLOOKUP(A162,'[61]geoMap (58)'!$A:$B,2,0)*VLOOKUP(A162,'[61]geoMap (58)'!$A:$C,3,0)</f>
        <v>#REF!</v>
      </c>
      <c r="BI162" s="1" t="e">
        <f>BH162/VLOOKUP(A162,'[62]geoMap (59)'!$A:$B,2,0)*VLOOKUP(A162,'[62]geoMap (59)'!$A:$C,3,0)</f>
        <v>#REF!</v>
      </c>
      <c r="BJ162" s="4" t="e">
        <f>BI162/VLOOKUP(A162,'[63]geoMap (60)'!$A:$B,2,0)*VLOOKUP(A162,'[63]geoMap (60)'!$A:$C,3,0)</f>
        <v>#REF!</v>
      </c>
      <c r="BK162" s="1" t="e">
        <f>BJ162/VLOOKUP(A162,'[64]geoMap (61)'!$A:$B,2,0)*VLOOKUP(A162,'[64]geoMap (61)'!$A:$C,3,0)</f>
        <v>#REF!</v>
      </c>
      <c r="BL162" s="4" t="e">
        <f>BK162/VLOOKUP(A162,'[65]geoMap (62)'!$A:$B,2,0)*VLOOKUP(A162,'[65]geoMap (62)'!$A:$C,3,0)</f>
        <v>#REF!</v>
      </c>
      <c r="BM162" s="1" t="e">
        <f>BL162/VLOOKUP(A162,'[66]geoMap (63)'!$A:$B,2,0)*VLOOKUP(A162,'[66]geoMap (63)'!$A:$C,3,0)</f>
        <v>#REF!</v>
      </c>
      <c r="BN162" s="4" t="e">
        <f>BM162/VLOOKUP(A162,'[67]geoMap (64)'!$A:$B,2,0)*VLOOKUP(A162,'[67]geoMap (64)'!$A:$C,3,0)</f>
        <v>#REF!</v>
      </c>
      <c r="BO162" s="1" t="e">
        <f>BN162/VLOOKUP(A162,'[68]geoMap (65)'!$A:$B,2,0)*VLOOKUP(A162,'[68]geoMap (65)'!$A:$C,3,0)</f>
        <v>#REF!</v>
      </c>
      <c r="BP162" s="4" t="e">
        <f>BO162/VLOOKUP(A162,'[69]geoMap (66)'!$A:$B,2,0)*VLOOKUP(A162,'[69]geoMap (66)'!$A:$C,3,0)</f>
        <v>#REF!</v>
      </c>
    </row>
    <row r="163" spans="1:68" x14ac:dyDescent="0.2">
      <c r="A163" s="1" t="s">
        <v>156</v>
      </c>
      <c r="B163" s="1" t="e">
        <f>VLOOKUP(A163,[3]geoMap!$A:$B,2,0)*Notes!$C$6</f>
        <v>#REF!</v>
      </c>
      <c r="C163" s="1" t="e">
        <f>B163/VLOOKUP(A163,'[4]geoMap (1)'!$A:$B,2,0)*VLOOKUP(A163,'[4]geoMap (1)'!$A:$C,3,0)</f>
        <v>#REF!</v>
      </c>
      <c r="D163" s="1" t="e">
        <f>C163/VLOOKUP(A163,'[5]geoMap (2)'!$A:$B,2,0)*VLOOKUP(A163,'[5]geoMap (2)'!$A:$C,3,0)</f>
        <v>#REF!</v>
      </c>
      <c r="E163" s="1" t="e">
        <f>D163/VLOOKUP(A163,'[6]geoMap (3)'!$A:$B,2,0)*VLOOKUP(A163,'[6]geoMap (3)'!$A:$C,3,0)</f>
        <v>#REF!</v>
      </c>
      <c r="F163" s="1" t="e">
        <f>E163/VLOOKUP(A163,'[7]geoMap (4)'!$A:$B,2,0)*VLOOKUP(A163,'[7]geoMap (4)'!$A:$C,3,0)</f>
        <v>#REF!</v>
      </c>
      <c r="G163" s="1" t="e">
        <f>F163/VLOOKUP(A163,'[8]geoMap (5)'!$A:$B,2,0)*VLOOKUP(A163,'[8]geoMap (5)'!$A:$C,3,0)</f>
        <v>#REF!</v>
      </c>
      <c r="H163" s="1" t="e">
        <f>G163/VLOOKUP(A163,'[9]geoMap (6)'!$A:$B,2,0)*VLOOKUP(A163,'[9]geoMap (6)'!$A:$C,3,0)</f>
        <v>#REF!</v>
      </c>
      <c r="I163" s="1" t="e">
        <f>H163/VLOOKUP(A163,'[10]geoMap (7)'!$A:$B,2,0)*VLOOKUP(A163,'[10]geoMap (7)'!$A:$C,3,0)</f>
        <v>#REF!</v>
      </c>
      <c r="J163" s="1" t="e">
        <f>I163/VLOOKUP(A163,'[11]geoMap (8)'!$A:$B,2,0)*VLOOKUP(A163,'[11]geoMap (8)'!$A:$C,3,0)</f>
        <v>#REF!</v>
      </c>
      <c r="K163" s="1" t="e">
        <f>J163/VLOOKUP(A163,'[12]geoMap (9)'!$A:$B,2,0)*VLOOKUP(A163,'[12]geoMap (9)'!$A:$C,3,0)</f>
        <v>#REF!</v>
      </c>
      <c r="L163" s="1" t="e">
        <f>K163/VLOOKUP(A163,'[13]geoMap (10)'!$A:$B,2,0)*VLOOKUP(A163,'[13]geoMap (10)'!$A:$C,3,0)</f>
        <v>#REF!</v>
      </c>
      <c r="M163" s="1" t="e">
        <f>L163/VLOOKUP(A163,'[14]geoMap (11)'!$A:$B,2,0)*VLOOKUP(A163,'[14]geoMap (11)'!$A:$C,3,0)</f>
        <v>#REF!</v>
      </c>
      <c r="N163" s="1" t="e">
        <f>M163/VLOOKUP(A163,'[15]geoMap (12)'!$A:$B,2,0)*VLOOKUP(A163,'[15]geoMap (12)'!$A:$C,3,0)</f>
        <v>#REF!</v>
      </c>
      <c r="O163" s="1" t="e">
        <f>N163/VLOOKUP(A163,'[16]geoMap (13)'!$A:$B,2,0)*VLOOKUP(A163,'[16]geoMap (13)'!$A:$C,3,0)</f>
        <v>#REF!</v>
      </c>
      <c r="P163" s="1" t="e">
        <f>O163/VLOOKUP(A163,'[17]geoMap (14)'!$A:$B,2,0)*VLOOKUP(A163,'[17]geoMap (14)'!$A:$C,3,0)</f>
        <v>#REF!</v>
      </c>
      <c r="Q163" s="1" t="e">
        <f>P163/VLOOKUP(A163,'[18]geoMap (15)'!$A:$B,2,0)*VLOOKUP(A163,'[18]geoMap (15)'!$A:$C,3,0)</f>
        <v>#REF!</v>
      </c>
      <c r="R163" s="1" t="e">
        <f>Q163/VLOOKUP(A163,'[19]geoMap (16)'!$A:$B,2,0)*VLOOKUP(A163,'[19]geoMap (16)'!$A:$C,3,0)</f>
        <v>#REF!</v>
      </c>
      <c r="S163" s="1" t="e">
        <f>R163/VLOOKUP(A163,'[20]geoMap (17)'!$A:$B,2,0)*VLOOKUP(A163,'[20]geoMap (17)'!$A:$C,3,0)</f>
        <v>#REF!</v>
      </c>
      <c r="T163" s="1" t="e">
        <f>S163/VLOOKUP(A163,'[21]geoMap (18)'!$A:$B,2,0)*VLOOKUP(A163,'[21]geoMap (18)'!$A:$C,3,0)</f>
        <v>#REF!</v>
      </c>
      <c r="U163" s="1" t="e">
        <f>T163/VLOOKUP(A163,'[22]geoMap (19)'!$A:$B,2,0)*VLOOKUP(A163,'[22]geoMap (19)'!$A:$C,3,0)</f>
        <v>#REF!</v>
      </c>
      <c r="V163" s="1" t="e">
        <f>U163/VLOOKUP(A163,'[23]geoMap (20)'!$A:$B,2,0)*VLOOKUP(A163,'[23]geoMap (20)'!$A:$C,3,0)</f>
        <v>#REF!</v>
      </c>
      <c r="W163" s="1" t="e">
        <f>V163/VLOOKUP(A163,'[24]geoMap (21)'!$A:$B,2,0)*VLOOKUP(A163,'[24]geoMap (21)'!$A:$C,3,0)</f>
        <v>#REF!</v>
      </c>
      <c r="X163" s="1" t="e">
        <f>W163/VLOOKUP(A163,'[25]geoMap (22)'!$A:$B,2,0)*VLOOKUP(A163,'[25]geoMap (22)'!$A:$C,3,0)</f>
        <v>#REF!</v>
      </c>
      <c r="Y163" s="1" t="e">
        <f>X163/VLOOKUP(A163,'[26]geoMap (23)'!$A:$B,2,0)*VLOOKUP(A163,'[26]geoMap (23)'!$A:$C,3,0)</f>
        <v>#REF!</v>
      </c>
      <c r="Z163" s="1" t="e">
        <f>Y163/VLOOKUP(A163,'[27]geoMap (24)'!$A:$B,2,0)*VLOOKUP(A163,'[27]geoMap (24)'!$A:$C,3,0)</f>
        <v>#REF!</v>
      </c>
      <c r="AA163" s="1" t="e">
        <f>Z163/VLOOKUP(A163,'[28]geoMap (25)'!$A:$B,2,0)*VLOOKUP(A163,'[28]geoMap (25)'!$A:$C,3,0)</f>
        <v>#REF!</v>
      </c>
      <c r="AB163" s="1" t="e">
        <f>AA163*VLOOKUP(A163,'[29]geoMap (26)'!$A:$B,2,0)*VLOOKUP(A163,'[29]geoMap (26)'!$A:$C,3,0)</f>
        <v>#REF!</v>
      </c>
      <c r="AC163" s="1" t="e">
        <f>AB163/VLOOKUP(A163,'[30]geoMap (27)'!$A:$B,2,0)*VLOOKUP(A163,'[30]geoMap (27)'!$A:$C,3,0)</f>
        <v>#REF!</v>
      </c>
      <c r="AD163" s="1" t="e">
        <f>AC163/VLOOKUP(A163,'[31]geoMap (28)'!$A:$B,2,0)*VLOOKUP(A163,'[31]geoMap (28)'!$A:$C,3,0)</f>
        <v>#REF!</v>
      </c>
      <c r="AE163" s="1" t="e">
        <f>AD163/VLOOKUP(A163,'[32]geoMap (29)'!$A:$B,2,0)*VLOOKUP(A163,'[32]geoMap (29)'!$A:$C,3,0)</f>
        <v>#REF!</v>
      </c>
      <c r="AF163" s="1" t="e">
        <f>AE163/VLOOKUP(A163,'[33]geoMap (30)'!$A:$B,2,0)*VLOOKUP(A163,'[33]geoMap (30)'!$A:$C,3,0)</f>
        <v>#REF!</v>
      </c>
      <c r="AG163" s="1" t="e">
        <f>AF163/VLOOKUP(A163,'[34]geoMap (31)'!$A:$B,2,0)*VLOOKUP(A163,'[34]geoMap (31)'!$A:$C,3,0)</f>
        <v>#REF!</v>
      </c>
      <c r="AH163" s="1" t="e">
        <f>AG163/VLOOKUP(A163,'[35]geoMap (32)'!$A:$B,2,0)*VLOOKUP(A163,'[35]geoMap (32)'!$A:$C,3,0)</f>
        <v>#REF!</v>
      </c>
      <c r="AI163" s="1" t="e">
        <f>AH163/VLOOKUP(A163,'[36]geoMap (33)'!$A:$B,2,0)*VLOOKUP(A163,'[36]geoMap (33)'!$A:$C,3,0)</f>
        <v>#REF!</v>
      </c>
      <c r="AJ163" s="1" t="e">
        <f>AI163/VLOOKUP(A163,'[37]geoMap (34)'!$A:$B,2,0)*VLOOKUP(A163,'[37]geoMap (34)'!$A:$C,3,0)</f>
        <v>#REF!</v>
      </c>
      <c r="AK163" s="1" t="e">
        <f>AJ163/VLOOKUP(A163,'[38]geoMap (35)'!$A:$B,2,0)*VLOOKUP(A163,'[38]geoMap (35)'!$A:$C,3,0)</f>
        <v>#REF!</v>
      </c>
      <c r="AL163" s="1" t="e">
        <f>AK163/VLOOKUP(A163,'[39]geoMap (36)'!$A:$B,2,0)*VLOOKUP(A163,'[39]geoMap (36)'!$A:$C,3,0)</f>
        <v>#REF!</v>
      </c>
      <c r="AM163" s="1" t="e">
        <f>AL163/VLOOKUP(A163,'[40]geoMap (37)'!$A:$B,2,0)*VLOOKUP(A163,'[40]geoMap (37)'!$A:$C,3,0)</f>
        <v>#REF!</v>
      </c>
      <c r="AN163" s="1" t="e">
        <f>AM163/VLOOKUP(A163,'[41]geoMap (38)'!$A:$B,2,0)*VLOOKUP(A163,'[41]geoMap (38)'!$A:$C,3,0)</f>
        <v>#REF!</v>
      </c>
      <c r="AO163" s="1" t="e">
        <f>AN163/VLOOKUP(A163,'[42]geoMap (39)'!$A:$B,2,0)*VLOOKUP(A163,'[42]geoMap (39)'!$A:$C,3,0)</f>
        <v>#REF!</v>
      </c>
      <c r="AP163" s="1" t="e">
        <f>AO163/VLOOKUP(A163,'[43]geoMap (40)'!$A:$B,2,0)*VLOOKUP(A163,'[43]geoMap (40)'!$A:$C,3,0)</f>
        <v>#REF!</v>
      </c>
      <c r="AQ163" s="1" t="e">
        <f>AP163/VLOOKUP(A163,'[44]geoMap (41)'!$A:$B,2,0)*VLOOKUP(A163,'[44]geoMap (41)'!$A:$C,3,0)</f>
        <v>#REF!</v>
      </c>
      <c r="AR163" s="1" t="e">
        <f>AQ163/VLOOKUP(A163,'[45]geoMap (42)'!$A:$B,2,0)*VLOOKUP(A163,'[45]geoMap (42)'!$A:$C,3,0)</f>
        <v>#REF!</v>
      </c>
      <c r="AS163" s="1" t="e">
        <f>AR163/VLOOKUP(A163,'[46]geoMap (43)'!$A:$B,2,0)*VLOOKUP(A163,'[46]geoMap (43)'!$A:$C,3,0)</f>
        <v>#REF!</v>
      </c>
      <c r="AT163" s="1" t="e">
        <f>AS163/VLOOKUP(A163,'[47]geoMap (44)'!$A:$B,2,0)*VLOOKUP(A163,'[47]geoMap (44)'!$A:$C,3,0)</f>
        <v>#REF!</v>
      </c>
      <c r="AU163" s="1" t="e">
        <f>AT163/VLOOKUP(A163,'[48]geoMap (45)'!$A:$B,2,0)*VLOOKUP(A163,'[48]geoMap (45)'!$A:$C,3,0)</f>
        <v>#REF!</v>
      </c>
      <c r="AV163" s="1" t="e">
        <f>AU163/VLOOKUP(A163,'[49]geoMap (46)'!$A:$B,2,0)*VLOOKUP(A163,'[49]geoMap (46)'!$A:$C,3,0)</f>
        <v>#REF!</v>
      </c>
      <c r="AW163" s="1" t="e">
        <f>AV163/VLOOKUP(A163,'[50]geoMap (47)'!$A:$B,2,0)*VLOOKUP(A163,'[50]geoMap (47)'!$A:$C,3,0)</f>
        <v>#REF!</v>
      </c>
      <c r="AX163" s="4" t="e">
        <f>AW163/VLOOKUP(A163,'[51]geoMap (48)'!$A:$B,2,0)*VLOOKUP(A163,'[51]geoMap (48)'!$A:$C,3,0)</f>
        <v>#REF!</v>
      </c>
      <c r="AY163" s="1" t="e">
        <f>AX163/VLOOKUP(A163,'[52]geoMap (49)'!$A:$B,2,0)*VLOOKUP(A163,'[52]geoMap (49)'!$A:$C,3,0)</f>
        <v>#REF!</v>
      </c>
      <c r="AZ163" s="4" t="e">
        <f>AY163/VLOOKUP(A163,'[53]geoMap (50)'!$A:$B,2,0)*VLOOKUP(A163,'[53]geoMap (50)'!$A:$C,3,0)</f>
        <v>#REF!</v>
      </c>
      <c r="BA163" s="1" t="e">
        <f>AZ163/VLOOKUP(A163,'[54]geoMap (51)'!$A:$B,2,0)*VLOOKUP(A163,'[54]geoMap (51)'!$A:$C,3,0)</f>
        <v>#REF!</v>
      </c>
      <c r="BB163" s="4" t="e">
        <f>BA163/VLOOKUP(A163,'[55]geoMap (52)'!$A:$B,2,0)*VLOOKUP(A163,'[55]geoMap (52)'!$A:$C,3,0)</f>
        <v>#REF!</v>
      </c>
      <c r="BC163" s="1" t="e">
        <f>BB163/VLOOKUP(A163,'[56]geoMap (53)'!$A:$B,2,0)*VLOOKUP(A163,'[56]geoMap (53)'!$A:$C,3,0)</f>
        <v>#REF!</v>
      </c>
      <c r="BD163" s="4" t="e">
        <f>BC163/VLOOKUP(A163,'[57]geoMap (54)'!$A:$B,2,0)*VLOOKUP(A163,'[57]geoMap (54)'!$A:$C,3,0)</f>
        <v>#REF!</v>
      </c>
      <c r="BE163" s="1" t="e">
        <f>BD163/VLOOKUP(A163,'[58]geoMap (55)'!$A:$B,2,0)*VLOOKUP(A163,'[58]geoMap (55)'!$A:$C,3,0)</f>
        <v>#REF!</v>
      </c>
      <c r="BF163" s="4" t="e">
        <f>BE163/VLOOKUP(A163,'[59]geoMap (56)'!$A:$B,2,0)*VLOOKUP(A163,'[59]geoMap (56)'!$A:$C,3,0)</f>
        <v>#REF!</v>
      </c>
      <c r="BG163" s="1" t="e">
        <f>BF163/VLOOKUP(A163,'[60]geoMap (57)'!$A:$B,2,0)*VLOOKUP(A163,'[60]geoMap (57)'!$A:$C,3,0)</f>
        <v>#REF!</v>
      </c>
      <c r="BH163" s="4" t="e">
        <f>BG163/VLOOKUP(A163,'[61]geoMap (58)'!$A:$B,2,0)*VLOOKUP(A163,'[61]geoMap (58)'!$A:$C,3,0)</f>
        <v>#REF!</v>
      </c>
      <c r="BI163" s="1" t="e">
        <f>BH163/VLOOKUP(A163,'[62]geoMap (59)'!$A:$B,2,0)*VLOOKUP(A163,'[62]geoMap (59)'!$A:$C,3,0)</f>
        <v>#REF!</v>
      </c>
      <c r="BJ163" s="4" t="e">
        <f>BI163/VLOOKUP(A163,'[63]geoMap (60)'!$A:$B,2,0)*VLOOKUP(A163,'[63]geoMap (60)'!$A:$C,3,0)</f>
        <v>#REF!</v>
      </c>
      <c r="BK163" s="1" t="e">
        <f>BJ163/VLOOKUP(A163,'[64]geoMap (61)'!$A:$B,2,0)*VLOOKUP(A163,'[64]geoMap (61)'!$A:$C,3,0)</f>
        <v>#REF!</v>
      </c>
      <c r="BL163" s="4" t="e">
        <f>BK163/VLOOKUP(A163,'[65]geoMap (62)'!$A:$B,2,0)*VLOOKUP(A163,'[65]geoMap (62)'!$A:$C,3,0)</f>
        <v>#REF!</v>
      </c>
      <c r="BM163" s="1" t="e">
        <f>BL163/VLOOKUP(A163,'[66]geoMap (63)'!$A:$B,2,0)*VLOOKUP(A163,'[66]geoMap (63)'!$A:$C,3,0)</f>
        <v>#REF!</v>
      </c>
      <c r="BN163" s="4" t="e">
        <f>BM163/VLOOKUP(A163,'[67]geoMap (64)'!$A:$B,2,0)*VLOOKUP(A163,'[67]geoMap (64)'!$A:$C,3,0)</f>
        <v>#REF!</v>
      </c>
      <c r="BO163" s="1" t="e">
        <f>BN163/VLOOKUP(A163,'[68]geoMap (65)'!$A:$B,2,0)*VLOOKUP(A163,'[68]geoMap (65)'!$A:$C,3,0)</f>
        <v>#REF!</v>
      </c>
      <c r="BP163" s="4" t="e">
        <f>BO163/VLOOKUP(A163,'[69]geoMap (66)'!$A:$B,2,0)*VLOOKUP(A163,'[69]geoMap (66)'!$A:$C,3,0)</f>
        <v>#REF!</v>
      </c>
    </row>
    <row r="164" spans="1:68" x14ac:dyDescent="0.2">
      <c r="A164" s="1" t="s">
        <v>157</v>
      </c>
      <c r="B164" s="1" t="e">
        <f>VLOOKUP(A164,[3]geoMap!$A:$B,2,0)*Notes!$C$6</f>
        <v>#REF!</v>
      </c>
      <c r="C164" s="1" t="e">
        <f>B164/VLOOKUP(A164,'[4]geoMap (1)'!$A:$B,2,0)*VLOOKUP(A164,'[4]geoMap (1)'!$A:$C,3,0)</f>
        <v>#REF!</v>
      </c>
      <c r="D164" s="1" t="e">
        <f>C164/VLOOKUP(A164,'[5]geoMap (2)'!$A:$B,2,0)*VLOOKUP(A164,'[5]geoMap (2)'!$A:$C,3,0)</f>
        <v>#REF!</v>
      </c>
      <c r="E164" s="1" t="e">
        <f>D164/VLOOKUP(A164,'[6]geoMap (3)'!$A:$B,2,0)*VLOOKUP(A164,'[6]geoMap (3)'!$A:$C,3,0)</f>
        <v>#REF!</v>
      </c>
      <c r="F164" s="1" t="e">
        <f>E164/VLOOKUP(A164,'[7]geoMap (4)'!$A:$B,2,0)*VLOOKUP(A164,'[7]geoMap (4)'!$A:$C,3,0)</f>
        <v>#REF!</v>
      </c>
      <c r="G164" s="1" t="e">
        <f>F164/VLOOKUP(A164,'[8]geoMap (5)'!$A:$B,2,0)*VLOOKUP(A164,'[8]geoMap (5)'!$A:$C,3,0)</f>
        <v>#REF!</v>
      </c>
      <c r="H164" s="1" t="e">
        <f>G164/VLOOKUP(A164,'[9]geoMap (6)'!$A:$B,2,0)*VLOOKUP(A164,'[9]geoMap (6)'!$A:$C,3,0)</f>
        <v>#REF!</v>
      </c>
      <c r="I164" s="1" t="e">
        <f>H164/VLOOKUP(A164,'[10]geoMap (7)'!$A:$B,2,0)*VLOOKUP(A164,'[10]geoMap (7)'!$A:$C,3,0)</f>
        <v>#REF!</v>
      </c>
      <c r="J164" s="1" t="e">
        <f>I164/VLOOKUP(A164,'[11]geoMap (8)'!$A:$B,2,0)*VLOOKUP(A164,'[11]geoMap (8)'!$A:$C,3,0)</f>
        <v>#REF!</v>
      </c>
      <c r="K164" s="1" t="e">
        <f>J164/VLOOKUP(A164,'[12]geoMap (9)'!$A:$B,2,0)*VLOOKUP(A164,'[12]geoMap (9)'!$A:$C,3,0)</f>
        <v>#REF!</v>
      </c>
      <c r="L164" s="1" t="e">
        <f>K164/VLOOKUP(A164,'[13]geoMap (10)'!$A:$B,2,0)*VLOOKUP(A164,'[13]geoMap (10)'!$A:$C,3,0)</f>
        <v>#REF!</v>
      </c>
      <c r="M164" s="1" t="e">
        <f>L164/VLOOKUP(A164,'[14]geoMap (11)'!$A:$B,2,0)*VLOOKUP(A164,'[14]geoMap (11)'!$A:$C,3,0)</f>
        <v>#REF!</v>
      </c>
      <c r="N164" s="1" t="e">
        <f>M164/VLOOKUP(A164,'[15]geoMap (12)'!$A:$B,2,0)*VLOOKUP(A164,'[15]geoMap (12)'!$A:$C,3,0)</f>
        <v>#REF!</v>
      </c>
      <c r="O164" s="1" t="e">
        <f>N164/VLOOKUP(A164,'[16]geoMap (13)'!$A:$B,2,0)*VLOOKUP(A164,'[16]geoMap (13)'!$A:$C,3,0)</f>
        <v>#REF!</v>
      </c>
      <c r="P164" s="1" t="e">
        <f>O164/VLOOKUP(A164,'[17]geoMap (14)'!$A:$B,2,0)*VLOOKUP(A164,'[17]geoMap (14)'!$A:$C,3,0)</f>
        <v>#REF!</v>
      </c>
      <c r="Q164" s="1" t="e">
        <f>P164/VLOOKUP(A164,'[18]geoMap (15)'!$A:$B,2,0)*VLOOKUP(A164,'[18]geoMap (15)'!$A:$C,3,0)</f>
        <v>#REF!</v>
      </c>
      <c r="R164" s="1" t="e">
        <f>Q164/VLOOKUP(A164,'[19]geoMap (16)'!$A:$B,2,0)*VLOOKUP(A164,'[19]geoMap (16)'!$A:$C,3,0)</f>
        <v>#REF!</v>
      </c>
      <c r="S164" s="1" t="e">
        <f>R164/VLOOKUP(A164,'[20]geoMap (17)'!$A:$B,2,0)*VLOOKUP(A164,'[20]geoMap (17)'!$A:$C,3,0)</f>
        <v>#REF!</v>
      </c>
      <c r="T164" s="1" t="e">
        <f>S164/VLOOKUP(A164,'[21]geoMap (18)'!$A:$B,2,0)*VLOOKUP(A164,'[21]geoMap (18)'!$A:$C,3,0)</f>
        <v>#REF!</v>
      </c>
      <c r="U164" s="1" t="e">
        <f>T164/VLOOKUP(A164,'[22]geoMap (19)'!$A:$B,2,0)*VLOOKUP(A164,'[22]geoMap (19)'!$A:$C,3,0)</f>
        <v>#REF!</v>
      </c>
      <c r="V164" s="1" t="e">
        <f>U164/VLOOKUP(A164,'[23]geoMap (20)'!$A:$B,2,0)*VLOOKUP(A164,'[23]geoMap (20)'!$A:$C,3,0)</f>
        <v>#REF!</v>
      </c>
      <c r="W164" s="1" t="e">
        <f>V164/VLOOKUP(A164,'[24]geoMap (21)'!$A:$B,2,0)*VLOOKUP(A164,'[24]geoMap (21)'!$A:$C,3,0)</f>
        <v>#REF!</v>
      </c>
      <c r="X164" s="1" t="e">
        <f>W164/VLOOKUP(A164,'[25]geoMap (22)'!$A:$B,2,0)*VLOOKUP(A164,'[25]geoMap (22)'!$A:$C,3,0)</f>
        <v>#REF!</v>
      </c>
      <c r="Y164" s="1" t="e">
        <f>X164/VLOOKUP(A164,'[26]geoMap (23)'!$A:$B,2,0)*VLOOKUP(A164,'[26]geoMap (23)'!$A:$C,3,0)</f>
        <v>#REF!</v>
      </c>
      <c r="Z164" s="1" t="e">
        <f>Y164/VLOOKUP(A164,'[27]geoMap (24)'!$A:$B,2,0)*VLOOKUP(A164,'[27]geoMap (24)'!$A:$C,3,0)</f>
        <v>#REF!</v>
      </c>
      <c r="AA164" s="1" t="e">
        <f>Z164/VLOOKUP(A164,'[28]geoMap (25)'!$A:$B,2,0)*VLOOKUP(A164,'[28]geoMap (25)'!$A:$C,3,0)</f>
        <v>#REF!</v>
      </c>
      <c r="AB164" s="1" t="e">
        <f>AA164*VLOOKUP(A164,'[29]geoMap (26)'!$A:$B,2,0)*VLOOKUP(A164,'[29]geoMap (26)'!$A:$C,3,0)</f>
        <v>#REF!</v>
      </c>
      <c r="AC164" s="1" t="e">
        <f>AB164/VLOOKUP(A164,'[30]geoMap (27)'!$A:$B,2,0)*VLOOKUP(A164,'[30]geoMap (27)'!$A:$C,3,0)</f>
        <v>#REF!</v>
      </c>
      <c r="AD164" s="1" t="e">
        <f>AC164/VLOOKUP(A164,'[31]geoMap (28)'!$A:$B,2,0)*VLOOKUP(A164,'[31]geoMap (28)'!$A:$C,3,0)</f>
        <v>#REF!</v>
      </c>
      <c r="AE164" s="1" t="e">
        <f>AD164/VLOOKUP(A164,'[32]geoMap (29)'!$A:$B,2,0)*VLOOKUP(A164,'[32]geoMap (29)'!$A:$C,3,0)</f>
        <v>#REF!</v>
      </c>
      <c r="AF164" s="1" t="e">
        <f>AE164/VLOOKUP(A164,'[33]geoMap (30)'!$A:$B,2,0)*VLOOKUP(A164,'[33]geoMap (30)'!$A:$C,3,0)</f>
        <v>#REF!</v>
      </c>
      <c r="AG164" s="1" t="e">
        <f>AF164/VLOOKUP(A164,'[34]geoMap (31)'!$A:$B,2,0)*VLOOKUP(A164,'[34]geoMap (31)'!$A:$C,3,0)</f>
        <v>#REF!</v>
      </c>
      <c r="AH164" s="1" t="e">
        <f>AG164/VLOOKUP(A164,'[35]geoMap (32)'!$A:$B,2,0)*VLOOKUP(A164,'[35]geoMap (32)'!$A:$C,3,0)</f>
        <v>#REF!</v>
      </c>
      <c r="AI164" s="1" t="e">
        <f>AH164/VLOOKUP(A164,'[36]geoMap (33)'!$A:$B,2,0)*VLOOKUP(A164,'[36]geoMap (33)'!$A:$C,3,0)</f>
        <v>#REF!</v>
      </c>
      <c r="AJ164" s="1" t="e">
        <f>AI164/VLOOKUP(A164,'[37]geoMap (34)'!$A:$B,2,0)*VLOOKUP(A164,'[37]geoMap (34)'!$A:$C,3,0)</f>
        <v>#REF!</v>
      </c>
      <c r="AK164" s="1" t="e">
        <f>AJ164/VLOOKUP(A164,'[38]geoMap (35)'!$A:$B,2,0)*VLOOKUP(A164,'[38]geoMap (35)'!$A:$C,3,0)</f>
        <v>#REF!</v>
      </c>
      <c r="AL164" s="1" t="e">
        <f>AK164/VLOOKUP(A164,'[39]geoMap (36)'!$A:$B,2,0)*VLOOKUP(A164,'[39]geoMap (36)'!$A:$C,3,0)</f>
        <v>#REF!</v>
      </c>
      <c r="AM164" s="1" t="e">
        <f>AL164/VLOOKUP(A164,'[40]geoMap (37)'!$A:$B,2,0)*VLOOKUP(A164,'[40]geoMap (37)'!$A:$C,3,0)</f>
        <v>#REF!</v>
      </c>
      <c r="AN164" s="1" t="e">
        <f>AM164/VLOOKUP(A164,'[41]geoMap (38)'!$A:$B,2,0)*VLOOKUP(A164,'[41]geoMap (38)'!$A:$C,3,0)</f>
        <v>#REF!</v>
      </c>
      <c r="AO164" s="1" t="e">
        <f>AN164/VLOOKUP(A164,'[42]geoMap (39)'!$A:$B,2,0)*VLOOKUP(A164,'[42]geoMap (39)'!$A:$C,3,0)</f>
        <v>#REF!</v>
      </c>
      <c r="AP164" s="1" t="e">
        <f>AO164/VLOOKUP(A164,'[43]geoMap (40)'!$A:$B,2,0)*VLOOKUP(A164,'[43]geoMap (40)'!$A:$C,3,0)</f>
        <v>#REF!</v>
      </c>
      <c r="AQ164" s="1" t="e">
        <f>AP164/VLOOKUP(A164,'[44]geoMap (41)'!$A:$B,2,0)*VLOOKUP(A164,'[44]geoMap (41)'!$A:$C,3,0)</f>
        <v>#REF!</v>
      </c>
      <c r="AR164" s="1" t="e">
        <f>AQ164/VLOOKUP(A164,'[45]geoMap (42)'!$A:$B,2,0)*VLOOKUP(A164,'[45]geoMap (42)'!$A:$C,3,0)</f>
        <v>#REF!</v>
      </c>
      <c r="AS164" s="1" t="e">
        <f>AR164/VLOOKUP(A164,'[46]geoMap (43)'!$A:$B,2,0)*VLOOKUP(A164,'[46]geoMap (43)'!$A:$C,3,0)</f>
        <v>#REF!</v>
      </c>
      <c r="AT164" s="1" t="e">
        <f>AS164/VLOOKUP(A164,'[47]geoMap (44)'!$A:$B,2,0)*VLOOKUP(A164,'[47]geoMap (44)'!$A:$C,3,0)</f>
        <v>#REF!</v>
      </c>
      <c r="AU164" s="1" t="e">
        <f>AT164/VLOOKUP(A164,'[48]geoMap (45)'!$A:$B,2,0)*VLOOKUP(A164,'[48]geoMap (45)'!$A:$C,3,0)</f>
        <v>#REF!</v>
      </c>
      <c r="AV164" s="1" t="e">
        <f>AU164/VLOOKUP(A164,'[49]geoMap (46)'!$A:$B,2,0)*VLOOKUP(A164,'[49]geoMap (46)'!$A:$C,3,0)</f>
        <v>#REF!</v>
      </c>
      <c r="AW164" s="1" t="e">
        <f>AV164/VLOOKUP(A164,'[50]geoMap (47)'!$A:$B,2,0)*VLOOKUP(A164,'[50]geoMap (47)'!$A:$C,3,0)</f>
        <v>#REF!</v>
      </c>
      <c r="AX164" s="4" t="e">
        <f>AW164/VLOOKUP(A164,'[51]geoMap (48)'!$A:$B,2,0)*VLOOKUP(A164,'[51]geoMap (48)'!$A:$C,3,0)</f>
        <v>#REF!</v>
      </c>
      <c r="AY164" s="1" t="e">
        <f>AX164/VLOOKUP(A164,'[52]geoMap (49)'!$A:$B,2,0)*VLOOKUP(A164,'[52]geoMap (49)'!$A:$C,3,0)</f>
        <v>#REF!</v>
      </c>
      <c r="AZ164" s="4" t="e">
        <f>AY164/VLOOKUP(A164,'[53]geoMap (50)'!$A:$B,2,0)*VLOOKUP(A164,'[53]geoMap (50)'!$A:$C,3,0)</f>
        <v>#REF!</v>
      </c>
      <c r="BA164" s="1" t="e">
        <f>AZ164/VLOOKUP(A164,'[54]geoMap (51)'!$A:$B,2,0)*VLOOKUP(A164,'[54]geoMap (51)'!$A:$C,3,0)</f>
        <v>#REF!</v>
      </c>
      <c r="BB164" s="4" t="e">
        <f>BA164/VLOOKUP(A164,'[55]geoMap (52)'!$A:$B,2,0)*VLOOKUP(A164,'[55]geoMap (52)'!$A:$C,3,0)</f>
        <v>#REF!</v>
      </c>
      <c r="BC164" s="1" t="e">
        <f>BB164/VLOOKUP(A164,'[56]geoMap (53)'!$A:$B,2,0)*VLOOKUP(A164,'[56]geoMap (53)'!$A:$C,3,0)</f>
        <v>#REF!</v>
      </c>
      <c r="BD164" s="4" t="e">
        <f>BC164/VLOOKUP(A164,'[57]geoMap (54)'!$A:$B,2,0)*VLOOKUP(A164,'[57]geoMap (54)'!$A:$C,3,0)</f>
        <v>#REF!</v>
      </c>
      <c r="BE164" s="1" t="e">
        <f>BD164/VLOOKUP(A164,'[58]geoMap (55)'!$A:$B,2,0)*VLOOKUP(A164,'[58]geoMap (55)'!$A:$C,3,0)</f>
        <v>#REF!</v>
      </c>
      <c r="BF164" s="4" t="e">
        <f>BE164/VLOOKUP(A164,'[59]geoMap (56)'!$A:$B,2,0)*VLOOKUP(A164,'[59]geoMap (56)'!$A:$C,3,0)</f>
        <v>#REF!</v>
      </c>
      <c r="BG164" s="1" t="e">
        <f>BF164/VLOOKUP(A164,'[60]geoMap (57)'!$A:$B,2,0)*VLOOKUP(A164,'[60]geoMap (57)'!$A:$C,3,0)</f>
        <v>#REF!</v>
      </c>
      <c r="BH164" s="4" t="e">
        <f>BG164/VLOOKUP(A164,'[61]geoMap (58)'!$A:$B,2,0)*VLOOKUP(A164,'[61]geoMap (58)'!$A:$C,3,0)</f>
        <v>#REF!</v>
      </c>
      <c r="BI164" s="1" t="e">
        <f>BH164/VLOOKUP(A164,'[62]geoMap (59)'!$A:$B,2,0)*VLOOKUP(A164,'[62]geoMap (59)'!$A:$C,3,0)</f>
        <v>#REF!</v>
      </c>
      <c r="BJ164" s="4" t="e">
        <f>BI164/VLOOKUP(A164,'[63]geoMap (60)'!$A:$B,2,0)*VLOOKUP(A164,'[63]geoMap (60)'!$A:$C,3,0)</f>
        <v>#REF!</v>
      </c>
      <c r="BK164" s="1" t="e">
        <f>BJ164/VLOOKUP(A164,'[64]geoMap (61)'!$A:$B,2,0)*VLOOKUP(A164,'[64]geoMap (61)'!$A:$C,3,0)</f>
        <v>#REF!</v>
      </c>
      <c r="BL164" s="4" t="e">
        <f>BK164/VLOOKUP(A164,'[65]geoMap (62)'!$A:$B,2,0)*VLOOKUP(A164,'[65]geoMap (62)'!$A:$C,3,0)</f>
        <v>#REF!</v>
      </c>
      <c r="BM164" s="1" t="e">
        <f>BL164/VLOOKUP(A164,'[66]geoMap (63)'!$A:$B,2,0)*VLOOKUP(A164,'[66]geoMap (63)'!$A:$C,3,0)</f>
        <v>#REF!</v>
      </c>
      <c r="BN164" s="4" t="e">
        <f>BM164/VLOOKUP(A164,'[67]geoMap (64)'!$A:$B,2,0)*VLOOKUP(A164,'[67]geoMap (64)'!$A:$C,3,0)</f>
        <v>#REF!</v>
      </c>
      <c r="BO164" s="1" t="e">
        <f>BN164/VLOOKUP(A164,'[68]geoMap (65)'!$A:$B,2,0)*VLOOKUP(A164,'[68]geoMap (65)'!$A:$C,3,0)</f>
        <v>#REF!</v>
      </c>
      <c r="BP164" s="4" t="e">
        <f>BO164/VLOOKUP(A164,'[69]geoMap (66)'!$A:$B,2,0)*VLOOKUP(A164,'[69]geoMap (66)'!$A:$C,3,0)</f>
        <v>#REF!</v>
      </c>
    </row>
    <row r="165" spans="1:68" x14ac:dyDescent="0.2">
      <c r="A165" s="1" t="s">
        <v>158</v>
      </c>
      <c r="B165" s="1" t="e">
        <f>VLOOKUP(A165,[3]geoMap!$A:$B,2,0)*Notes!$C$6</f>
        <v>#REF!</v>
      </c>
      <c r="C165" s="1" t="e">
        <f>B165/VLOOKUP(A165,'[4]geoMap (1)'!$A:$B,2,0)*VLOOKUP(A165,'[4]geoMap (1)'!$A:$C,3,0)</f>
        <v>#REF!</v>
      </c>
      <c r="D165" s="1" t="e">
        <f>C165/VLOOKUP(A165,'[5]geoMap (2)'!$A:$B,2,0)*VLOOKUP(A165,'[5]geoMap (2)'!$A:$C,3,0)</f>
        <v>#REF!</v>
      </c>
      <c r="E165" s="1" t="e">
        <f>D165/VLOOKUP(A165,'[6]geoMap (3)'!$A:$B,2,0)*VLOOKUP(A165,'[6]geoMap (3)'!$A:$C,3,0)</f>
        <v>#REF!</v>
      </c>
      <c r="F165" s="1" t="e">
        <f>E165/VLOOKUP(A165,'[7]geoMap (4)'!$A:$B,2,0)*VLOOKUP(A165,'[7]geoMap (4)'!$A:$C,3,0)</f>
        <v>#REF!</v>
      </c>
      <c r="G165" s="1" t="e">
        <f>F165/VLOOKUP(A165,'[8]geoMap (5)'!$A:$B,2,0)*VLOOKUP(A165,'[8]geoMap (5)'!$A:$C,3,0)</f>
        <v>#REF!</v>
      </c>
      <c r="H165" s="1" t="e">
        <f>G165/VLOOKUP(A165,'[9]geoMap (6)'!$A:$B,2,0)*VLOOKUP(A165,'[9]geoMap (6)'!$A:$C,3,0)</f>
        <v>#REF!</v>
      </c>
      <c r="I165" s="1" t="e">
        <f>H165/VLOOKUP(A165,'[10]geoMap (7)'!$A:$B,2,0)*VLOOKUP(A165,'[10]geoMap (7)'!$A:$C,3,0)</f>
        <v>#REF!</v>
      </c>
      <c r="J165" s="1" t="e">
        <f>I165/VLOOKUP(A165,'[11]geoMap (8)'!$A:$B,2,0)*VLOOKUP(A165,'[11]geoMap (8)'!$A:$C,3,0)</f>
        <v>#REF!</v>
      </c>
      <c r="K165" s="1" t="e">
        <f>J165/VLOOKUP(A165,'[12]geoMap (9)'!$A:$B,2,0)*VLOOKUP(A165,'[12]geoMap (9)'!$A:$C,3,0)</f>
        <v>#REF!</v>
      </c>
      <c r="L165" s="1" t="e">
        <f>K165/VLOOKUP(A165,'[13]geoMap (10)'!$A:$B,2,0)*VLOOKUP(A165,'[13]geoMap (10)'!$A:$C,3,0)</f>
        <v>#REF!</v>
      </c>
      <c r="M165" s="1" t="e">
        <f>L165/VLOOKUP(A165,'[14]geoMap (11)'!$A:$B,2,0)*VLOOKUP(A165,'[14]geoMap (11)'!$A:$C,3,0)</f>
        <v>#REF!</v>
      </c>
      <c r="N165" s="1" t="e">
        <f>M165/VLOOKUP(A165,'[15]geoMap (12)'!$A:$B,2,0)*VLOOKUP(A165,'[15]geoMap (12)'!$A:$C,3,0)</f>
        <v>#REF!</v>
      </c>
      <c r="O165" s="1" t="e">
        <f>N165/VLOOKUP(A165,'[16]geoMap (13)'!$A:$B,2,0)*VLOOKUP(A165,'[16]geoMap (13)'!$A:$C,3,0)</f>
        <v>#REF!</v>
      </c>
      <c r="P165" s="1" t="e">
        <f>O165/VLOOKUP(A165,'[17]geoMap (14)'!$A:$B,2,0)*VLOOKUP(A165,'[17]geoMap (14)'!$A:$C,3,0)</f>
        <v>#REF!</v>
      </c>
      <c r="Q165" s="1" t="e">
        <f>P165/VLOOKUP(A165,'[18]geoMap (15)'!$A:$B,2,0)*VLOOKUP(A165,'[18]geoMap (15)'!$A:$C,3,0)</f>
        <v>#REF!</v>
      </c>
      <c r="R165" s="1" t="e">
        <f>Q165/VLOOKUP(A165,'[19]geoMap (16)'!$A:$B,2,0)*VLOOKUP(A165,'[19]geoMap (16)'!$A:$C,3,0)</f>
        <v>#REF!</v>
      </c>
      <c r="S165" s="1" t="e">
        <f>R165/VLOOKUP(A165,'[20]geoMap (17)'!$A:$B,2,0)*VLOOKUP(A165,'[20]geoMap (17)'!$A:$C,3,0)</f>
        <v>#REF!</v>
      </c>
      <c r="T165" s="1" t="e">
        <f>S165/VLOOKUP(A165,'[21]geoMap (18)'!$A:$B,2,0)*VLOOKUP(A165,'[21]geoMap (18)'!$A:$C,3,0)</f>
        <v>#REF!</v>
      </c>
      <c r="U165" s="1" t="e">
        <f>T165/VLOOKUP(A165,'[22]geoMap (19)'!$A:$B,2,0)*VLOOKUP(A165,'[22]geoMap (19)'!$A:$C,3,0)</f>
        <v>#REF!</v>
      </c>
      <c r="V165" s="1" t="e">
        <f>U165/VLOOKUP(A165,'[23]geoMap (20)'!$A:$B,2,0)*VLOOKUP(A165,'[23]geoMap (20)'!$A:$C,3,0)</f>
        <v>#REF!</v>
      </c>
      <c r="W165" s="1" t="e">
        <f>V165/VLOOKUP(A165,'[24]geoMap (21)'!$A:$B,2,0)*VLOOKUP(A165,'[24]geoMap (21)'!$A:$C,3,0)</f>
        <v>#REF!</v>
      </c>
      <c r="X165" s="1" t="e">
        <f>W165/VLOOKUP(A165,'[25]geoMap (22)'!$A:$B,2,0)*VLOOKUP(A165,'[25]geoMap (22)'!$A:$C,3,0)</f>
        <v>#REF!</v>
      </c>
      <c r="Y165" s="1" t="e">
        <f>X165/VLOOKUP(A165,'[26]geoMap (23)'!$A:$B,2,0)*VLOOKUP(A165,'[26]geoMap (23)'!$A:$C,3,0)</f>
        <v>#REF!</v>
      </c>
      <c r="Z165" s="1" t="e">
        <f>Y165/VLOOKUP(A165,'[27]geoMap (24)'!$A:$B,2,0)*VLOOKUP(A165,'[27]geoMap (24)'!$A:$C,3,0)</f>
        <v>#REF!</v>
      </c>
      <c r="AA165" s="1" t="e">
        <f>Z165/VLOOKUP(A165,'[28]geoMap (25)'!$A:$B,2,0)*VLOOKUP(A165,'[28]geoMap (25)'!$A:$C,3,0)</f>
        <v>#REF!</v>
      </c>
      <c r="AB165" s="1" t="e">
        <f>AA165*VLOOKUP(A165,'[29]geoMap (26)'!$A:$B,2,0)*VLOOKUP(A165,'[29]geoMap (26)'!$A:$C,3,0)</f>
        <v>#REF!</v>
      </c>
      <c r="AC165" s="1" t="e">
        <f>AB165/VLOOKUP(A165,'[30]geoMap (27)'!$A:$B,2,0)*VLOOKUP(A165,'[30]geoMap (27)'!$A:$C,3,0)</f>
        <v>#REF!</v>
      </c>
      <c r="AD165" s="1" t="e">
        <f>AC165/VLOOKUP(A165,'[31]geoMap (28)'!$A:$B,2,0)*VLOOKUP(A165,'[31]geoMap (28)'!$A:$C,3,0)</f>
        <v>#REF!</v>
      </c>
      <c r="AE165" s="1" t="e">
        <f>AD165/VLOOKUP(A165,'[32]geoMap (29)'!$A:$B,2,0)*VLOOKUP(A165,'[32]geoMap (29)'!$A:$C,3,0)</f>
        <v>#REF!</v>
      </c>
      <c r="AF165" s="1" t="e">
        <f>AE165/VLOOKUP(A165,'[33]geoMap (30)'!$A:$B,2,0)*VLOOKUP(A165,'[33]geoMap (30)'!$A:$C,3,0)</f>
        <v>#REF!</v>
      </c>
      <c r="AG165" s="1" t="e">
        <f>AF165/VLOOKUP(A165,'[34]geoMap (31)'!$A:$B,2,0)*VLOOKUP(A165,'[34]geoMap (31)'!$A:$C,3,0)</f>
        <v>#REF!</v>
      </c>
      <c r="AH165" s="1" t="e">
        <f>AG165/VLOOKUP(A165,'[35]geoMap (32)'!$A:$B,2,0)*VLOOKUP(A165,'[35]geoMap (32)'!$A:$C,3,0)</f>
        <v>#REF!</v>
      </c>
      <c r="AI165" s="1" t="e">
        <f>AH165/VLOOKUP(A165,'[36]geoMap (33)'!$A:$B,2,0)*VLOOKUP(A165,'[36]geoMap (33)'!$A:$C,3,0)</f>
        <v>#REF!</v>
      </c>
      <c r="AJ165" s="1" t="e">
        <f>AI165/VLOOKUP(A165,'[37]geoMap (34)'!$A:$B,2,0)*VLOOKUP(A165,'[37]geoMap (34)'!$A:$C,3,0)</f>
        <v>#REF!</v>
      </c>
      <c r="AK165" s="1" t="e">
        <f>AJ165/VLOOKUP(A165,'[38]geoMap (35)'!$A:$B,2,0)*VLOOKUP(A165,'[38]geoMap (35)'!$A:$C,3,0)</f>
        <v>#REF!</v>
      </c>
      <c r="AL165" s="1" t="e">
        <f>AK165/VLOOKUP(A165,'[39]geoMap (36)'!$A:$B,2,0)*VLOOKUP(A165,'[39]geoMap (36)'!$A:$C,3,0)</f>
        <v>#REF!</v>
      </c>
      <c r="AM165" s="1" t="e">
        <f>AL165/VLOOKUP(A165,'[40]geoMap (37)'!$A:$B,2,0)*VLOOKUP(A165,'[40]geoMap (37)'!$A:$C,3,0)</f>
        <v>#REF!</v>
      </c>
      <c r="AN165" s="1" t="e">
        <f>AM165/VLOOKUP(A165,'[41]geoMap (38)'!$A:$B,2,0)*VLOOKUP(A165,'[41]geoMap (38)'!$A:$C,3,0)</f>
        <v>#REF!</v>
      </c>
      <c r="AO165" s="1" t="e">
        <f>AN165/VLOOKUP(A165,'[42]geoMap (39)'!$A:$B,2,0)*VLOOKUP(A165,'[42]geoMap (39)'!$A:$C,3,0)</f>
        <v>#REF!</v>
      </c>
      <c r="AP165" s="1" t="e">
        <f>AO165/VLOOKUP(A165,'[43]geoMap (40)'!$A:$B,2,0)*VLOOKUP(A165,'[43]geoMap (40)'!$A:$C,3,0)</f>
        <v>#REF!</v>
      </c>
      <c r="AQ165" s="1" t="e">
        <f>AP165/VLOOKUP(A165,'[44]geoMap (41)'!$A:$B,2,0)*VLOOKUP(A165,'[44]geoMap (41)'!$A:$C,3,0)</f>
        <v>#REF!</v>
      </c>
      <c r="AR165" s="1" t="e">
        <f>AQ165/VLOOKUP(A165,'[45]geoMap (42)'!$A:$B,2,0)*VLOOKUP(A165,'[45]geoMap (42)'!$A:$C,3,0)</f>
        <v>#REF!</v>
      </c>
      <c r="AS165" s="1" t="e">
        <f>AR165/VLOOKUP(A165,'[46]geoMap (43)'!$A:$B,2,0)*VLOOKUP(A165,'[46]geoMap (43)'!$A:$C,3,0)</f>
        <v>#REF!</v>
      </c>
      <c r="AT165" s="1" t="e">
        <f>AS165/VLOOKUP(A165,'[47]geoMap (44)'!$A:$B,2,0)*VLOOKUP(A165,'[47]geoMap (44)'!$A:$C,3,0)</f>
        <v>#REF!</v>
      </c>
      <c r="AU165" s="1" t="e">
        <f>AT165/VLOOKUP(A165,'[48]geoMap (45)'!$A:$B,2,0)*VLOOKUP(A165,'[48]geoMap (45)'!$A:$C,3,0)</f>
        <v>#REF!</v>
      </c>
      <c r="AV165" s="1" t="e">
        <f>AU165/VLOOKUP(A165,'[49]geoMap (46)'!$A:$B,2,0)*VLOOKUP(A165,'[49]geoMap (46)'!$A:$C,3,0)</f>
        <v>#REF!</v>
      </c>
      <c r="AW165" s="1" t="e">
        <f>AV165/VLOOKUP(A165,'[50]geoMap (47)'!$A:$B,2,0)*VLOOKUP(A165,'[50]geoMap (47)'!$A:$C,3,0)</f>
        <v>#REF!</v>
      </c>
      <c r="AX165" s="4" t="e">
        <f>AW165/VLOOKUP(A165,'[51]geoMap (48)'!$A:$B,2,0)*VLOOKUP(A165,'[51]geoMap (48)'!$A:$C,3,0)</f>
        <v>#REF!</v>
      </c>
      <c r="AY165" s="1" t="e">
        <f>AX165/VLOOKUP(A165,'[52]geoMap (49)'!$A:$B,2,0)*VLOOKUP(A165,'[52]geoMap (49)'!$A:$C,3,0)</f>
        <v>#REF!</v>
      </c>
      <c r="AZ165" s="4" t="e">
        <f>AY165/VLOOKUP(A165,'[53]geoMap (50)'!$A:$B,2,0)*VLOOKUP(A165,'[53]geoMap (50)'!$A:$C,3,0)</f>
        <v>#REF!</v>
      </c>
      <c r="BA165" s="1" t="e">
        <f>AZ165/VLOOKUP(A165,'[54]geoMap (51)'!$A:$B,2,0)*VLOOKUP(A165,'[54]geoMap (51)'!$A:$C,3,0)</f>
        <v>#REF!</v>
      </c>
      <c r="BB165" s="4" t="e">
        <f>BA165/VLOOKUP(A165,'[55]geoMap (52)'!$A:$B,2,0)*VLOOKUP(A165,'[55]geoMap (52)'!$A:$C,3,0)</f>
        <v>#REF!</v>
      </c>
      <c r="BC165" s="1" t="e">
        <f>BB165/VLOOKUP(A165,'[56]geoMap (53)'!$A:$B,2,0)*VLOOKUP(A165,'[56]geoMap (53)'!$A:$C,3,0)</f>
        <v>#REF!</v>
      </c>
      <c r="BD165" s="4" t="e">
        <f>BC165/VLOOKUP(A165,'[57]geoMap (54)'!$A:$B,2,0)*VLOOKUP(A165,'[57]geoMap (54)'!$A:$C,3,0)</f>
        <v>#REF!</v>
      </c>
      <c r="BE165" s="1" t="e">
        <f>BD165/VLOOKUP(A165,'[58]geoMap (55)'!$A:$B,2,0)*VLOOKUP(A165,'[58]geoMap (55)'!$A:$C,3,0)</f>
        <v>#REF!</v>
      </c>
      <c r="BF165" s="4" t="e">
        <f>BE165/VLOOKUP(A165,'[59]geoMap (56)'!$A:$B,2,0)*VLOOKUP(A165,'[59]geoMap (56)'!$A:$C,3,0)</f>
        <v>#REF!</v>
      </c>
      <c r="BG165" s="1" t="e">
        <f>BF165/VLOOKUP(A165,'[60]geoMap (57)'!$A:$B,2,0)*VLOOKUP(A165,'[60]geoMap (57)'!$A:$C,3,0)</f>
        <v>#REF!</v>
      </c>
      <c r="BH165" s="4" t="e">
        <f>BG165/VLOOKUP(A165,'[61]geoMap (58)'!$A:$B,2,0)*VLOOKUP(A165,'[61]geoMap (58)'!$A:$C,3,0)</f>
        <v>#REF!</v>
      </c>
      <c r="BI165" s="1" t="e">
        <f>BH165/VLOOKUP(A165,'[62]geoMap (59)'!$A:$B,2,0)*VLOOKUP(A165,'[62]geoMap (59)'!$A:$C,3,0)</f>
        <v>#REF!</v>
      </c>
      <c r="BJ165" s="4" t="e">
        <f>BI165/VLOOKUP(A165,'[63]geoMap (60)'!$A:$B,2,0)*VLOOKUP(A165,'[63]geoMap (60)'!$A:$C,3,0)</f>
        <v>#REF!</v>
      </c>
      <c r="BK165" s="1" t="e">
        <f>BJ165/VLOOKUP(A165,'[64]geoMap (61)'!$A:$B,2,0)*VLOOKUP(A165,'[64]geoMap (61)'!$A:$C,3,0)</f>
        <v>#REF!</v>
      </c>
      <c r="BL165" s="4" t="e">
        <f>BK165/VLOOKUP(A165,'[65]geoMap (62)'!$A:$B,2,0)*VLOOKUP(A165,'[65]geoMap (62)'!$A:$C,3,0)</f>
        <v>#REF!</v>
      </c>
      <c r="BM165" s="1" t="e">
        <f>BL165/VLOOKUP(A165,'[66]geoMap (63)'!$A:$B,2,0)*VLOOKUP(A165,'[66]geoMap (63)'!$A:$C,3,0)</f>
        <v>#REF!</v>
      </c>
      <c r="BN165" s="4" t="e">
        <f>BM165/VLOOKUP(A165,'[67]geoMap (64)'!$A:$B,2,0)*VLOOKUP(A165,'[67]geoMap (64)'!$A:$C,3,0)</f>
        <v>#REF!</v>
      </c>
      <c r="BO165" s="1" t="e">
        <f>BN165/VLOOKUP(A165,'[68]geoMap (65)'!$A:$B,2,0)*VLOOKUP(A165,'[68]geoMap (65)'!$A:$C,3,0)</f>
        <v>#REF!</v>
      </c>
      <c r="BP165" s="4" t="e">
        <f>BO165/VLOOKUP(A165,'[69]geoMap (66)'!$A:$B,2,0)*VLOOKUP(A165,'[69]geoMap (66)'!$A:$C,3,0)</f>
        <v>#REF!</v>
      </c>
    </row>
    <row r="166" spans="1:68" x14ac:dyDescent="0.2">
      <c r="A166" s="1" t="s">
        <v>160</v>
      </c>
      <c r="B166" s="1" t="e">
        <f>VLOOKUP(A166,[3]geoMap!$A:$B,2,0)*Notes!$C$6</f>
        <v>#REF!</v>
      </c>
      <c r="C166" s="1" t="e">
        <f>B166/VLOOKUP(A166,'[4]geoMap (1)'!$A:$B,2,0)*VLOOKUP(A166,'[4]geoMap (1)'!$A:$C,3,0)</f>
        <v>#REF!</v>
      </c>
      <c r="D166" s="1" t="e">
        <f>C166/VLOOKUP(A166,'[5]geoMap (2)'!$A:$B,2,0)*VLOOKUP(A166,'[5]geoMap (2)'!$A:$C,3,0)</f>
        <v>#REF!</v>
      </c>
      <c r="E166" s="1" t="e">
        <f>D166/VLOOKUP(A166,'[6]geoMap (3)'!$A:$B,2,0)*VLOOKUP(A166,'[6]geoMap (3)'!$A:$C,3,0)</f>
        <v>#REF!</v>
      </c>
      <c r="F166" s="1" t="e">
        <f>E166/VLOOKUP(A166,'[7]geoMap (4)'!$A:$B,2,0)*VLOOKUP(A166,'[7]geoMap (4)'!$A:$C,3,0)</f>
        <v>#REF!</v>
      </c>
      <c r="G166" s="1" t="e">
        <f>F166/VLOOKUP(A166,'[8]geoMap (5)'!$A:$B,2,0)*VLOOKUP(A166,'[8]geoMap (5)'!$A:$C,3,0)</f>
        <v>#REF!</v>
      </c>
      <c r="H166" s="1" t="e">
        <f>G166/VLOOKUP(A166,'[9]geoMap (6)'!$A:$B,2,0)*VLOOKUP(A166,'[9]geoMap (6)'!$A:$C,3,0)</f>
        <v>#REF!</v>
      </c>
      <c r="I166" s="1" t="e">
        <f>H166/VLOOKUP(A166,'[10]geoMap (7)'!$A:$B,2,0)*VLOOKUP(A166,'[10]geoMap (7)'!$A:$C,3,0)</f>
        <v>#REF!</v>
      </c>
      <c r="J166" s="1" t="e">
        <f>I166/VLOOKUP(A166,'[11]geoMap (8)'!$A:$B,2,0)*VLOOKUP(A166,'[11]geoMap (8)'!$A:$C,3,0)</f>
        <v>#REF!</v>
      </c>
      <c r="K166" s="1" t="e">
        <f>J166/VLOOKUP(A166,'[12]geoMap (9)'!$A:$B,2,0)*VLOOKUP(A166,'[12]geoMap (9)'!$A:$C,3,0)</f>
        <v>#REF!</v>
      </c>
      <c r="L166" s="1" t="e">
        <f>K166/VLOOKUP(A166,'[13]geoMap (10)'!$A:$B,2,0)*VLOOKUP(A166,'[13]geoMap (10)'!$A:$C,3,0)</f>
        <v>#REF!</v>
      </c>
      <c r="M166" s="1" t="e">
        <f>L166/VLOOKUP(A166,'[14]geoMap (11)'!$A:$B,2,0)*VLOOKUP(A166,'[14]geoMap (11)'!$A:$C,3,0)</f>
        <v>#REF!</v>
      </c>
      <c r="N166" s="1" t="e">
        <f>M166/VLOOKUP(A166,'[15]geoMap (12)'!$A:$B,2,0)*VLOOKUP(A166,'[15]geoMap (12)'!$A:$C,3,0)</f>
        <v>#REF!</v>
      </c>
      <c r="O166" s="1" t="e">
        <f>N166/VLOOKUP(A166,'[16]geoMap (13)'!$A:$B,2,0)*VLOOKUP(A166,'[16]geoMap (13)'!$A:$C,3,0)</f>
        <v>#REF!</v>
      </c>
      <c r="P166" s="1" t="e">
        <f>O166/VLOOKUP(A166,'[17]geoMap (14)'!$A:$B,2,0)*VLOOKUP(A166,'[17]geoMap (14)'!$A:$C,3,0)</f>
        <v>#REF!</v>
      </c>
      <c r="Q166" s="1" t="e">
        <f>P166/VLOOKUP(A166,'[18]geoMap (15)'!$A:$B,2,0)*VLOOKUP(A166,'[18]geoMap (15)'!$A:$C,3,0)</f>
        <v>#REF!</v>
      </c>
      <c r="R166" s="1" t="e">
        <f>Q166/VLOOKUP(A166,'[19]geoMap (16)'!$A:$B,2,0)*VLOOKUP(A166,'[19]geoMap (16)'!$A:$C,3,0)</f>
        <v>#REF!</v>
      </c>
      <c r="S166" s="1" t="e">
        <f>R166/VLOOKUP(A166,'[20]geoMap (17)'!$A:$B,2,0)*VLOOKUP(A166,'[20]geoMap (17)'!$A:$C,3,0)</f>
        <v>#REF!</v>
      </c>
      <c r="T166" s="1" t="e">
        <f>S166/VLOOKUP(A166,'[21]geoMap (18)'!$A:$B,2,0)*VLOOKUP(A166,'[21]geoMap (18)'!$A:$C,3,0)</f>
        <v>#REF!</v>
      </c>
      <c r="U166" s="1" t="e">
        <f>T166/VLOOKUP(A166,'[22]geoMap (19)'!$A:$B,2,0)*VLOOKUP(A166,'[22]geoMap (19)'!$A:$C,3,0)</f>
        <v>#REF!</v>
      </c>
      <c r="V166" s="1" t="e">
        <f>U166/VLOOKUP(A166,'[23]geoMap (20)'!$A:$B,2,0)*VLOOKUP(A166,'[23]geoMap (20)'!$A:$C,3,0)</f>
        <v>#REF!</v>
      </c>
      <c r="W166" s="1" t="e">
        <f>V166/VLOOKUP(A166,'[24]geoMap (21)'!$A:$B,2,0)*VLOOKUP(A166,'[24]geoMap (21)'!$A:$C,3,0)</f>
        <v>#REF!</v>
      </c>
      <c r="X166" s="1" t="e">
        <f>W166/VLOOKUP(A166,'[25]geoMap (22)'!$A:$B,2,0)*VLOOKUP(A166,'[25]geoMap (22)'!$A:$C,3,0)</f>
        <v>#REF!</v>
      </c>
      <c r="Y166" s="1" t="e">
        <f>X166/VLOOKUP(A166,'[26]geoMap (23)'!$A:$B,2,0)*VLOOKUP(A166,'[26]geoMap (23)'!$A:$C,3,0)</f>
        <v>#REF!</v>
      </c>
      <c r="Z166" s="1" t="e">
        <f>Y166/VLOOKUP(A166,'[27]geoMap (24)'!$A:$B,2,0)*VLOOKUP(A166,'[27]geoMap (24)'!$A:$C,3,0)</f>
        <v>#REF!</v>
      </c>
      <c r="AA166" s="1" t="e">
        <f>Z166/VLOOKUP(A166,'[28]geoMap (25)'!$A:$B,2,0)*VLOOKUP(A166,'[28]geoMap (25)'!$A:$C,3,0)</f>
        <v>#REF!</v>
      </c>
      <c r="AB166" s="1" t="e">
        <f>AA166*VLOOKUP(A166,'[29]geoMap (26)'!$A:$B,2,0)*VLOOKUP(A166,'[29]geoMap (26)'!$A:$C,3,0)</f>
        <v>#REF!</v>
      </c>
      <c r="AC166" s="1" t="e">
        <f>AB166/VLOOKUP(A166,'[30]geoMap (27)'!$A:$B,2,0)*VLOOKUP(A166,'[30]geoMap (27)'!$A:$C,3,0)</f>
        <v>#REF!</v>
      </c>
      <c r="AD166" s="1" t="e">
        <f>AC166/VLOOKUP(A166,'[31]geoMap (28)'!$A:$B,2,0)*VLOOKUP(A166,'[31]geoMap (28)'!$A:$C,3,0)</f>
        <v>#REF!</v>
      </c>
      <c r="AE166" s="1" t="e">
        <f>AD166/VLOOKUP(A166,'[32]geoMap (29)'!$A:$B,2,0)*VLOOKUP(A166,'[32]geoMap (29)'!$A:$C,3,0)</f>
        <v>#REF!</v>
      </c>
      <c r="AF166" s="1" t="e">
        <f>AE166/VLOOKUP(A166,'[33]geoMap (30)'!$A:$B,2,0)*VLOOKUP(A166,'[33]geoMap (30)'!$A:$C,3,0)</f>
        <v>#REF!</v>
      </c>
      <c r="AG166" s="1" t="e">
        <f>AF166/VLOOKUP(A166,'[34]geoMap (31)'!$A:$B,2,0)*VLOOKUP(A166,'[34]geoMap (31)'!$A:$C,3,0)</f>
        <v>#REF!</v>
      </c>
      <c r="AH166" s="1" t="e">
        <f>AG166/VLOOKUP(A166,'[35]geoMap (32)'!$A:$B,2,0)*VLOOKUP(A166,'[35]geoMap (32)'!$A:$C,3,0)</f>
        <v>#REF!</v>
      </c>
      <c r="AI166" s="1" t="e">
        <f>AH166/VLOOKUP(A166,'[36]geoMap (33)'!$A:$B,2,0)*VLOOKUP(A166,'[36]geoMap (33)'!$A:$C,3,0)</f>
        <v>#REF!</v>
      </c>
      <c r="AJ166" s="1" t="e">
        <f>AI166/VLOOKUP(A166,'[37]geoMap (34)'!$A:$B,2,0)*VLOOKUP(A166,'[37]geoMap (34)'!$A:$C,3,0)</f>
        <v>#REF!</v>
      </c>
      <c r="AK166" s="1" t="e">
        <f>AJ166/VLOOKUP(A166,'[38]geoMap (35)'!$A:$B,2,0)*VLOOKUP(A166,'[38]geoMap (35)'!$A:$C,3,0)</f>
        <v>#REF!</v>
      </c>
      <c r="AL166" s="1" t="e">
        <f>AK166/VLOOKUP(A166,'[39]geoMap (36)'!$A:$B,2,0)*VLOOKUP(A166,'[39]geoMap (36)'!$A:$C,3,0)</f>
        <v>#REF!</v>
      </c>
      <c r="AM166" s="1" t="e">
        <f>AL166/VLOOKUP(A166,'[40]geoMap (37)'!$A:$B,2,0)*VLOOKUP(A166,'[40]geoMap (37)'!$A:$C,3,0)</f>
        <v>#REF!</v>
      </c>
      <c r="AN166" s="1" t="e">
        <f>AM166/VLOOKUP(A166,'[41]geoMap (38)'!$A:$B,2,0)*VLOOKUP(A166,'[41]geoMap (38)'!$A:$C,3,0)</f>
        <v>#REF!</v>
      </c>
      <c r="AO166" s="1" t="e">
        <f>AN166/VLOOKUP(A166,'[42]geoMap (39)'!$A:$B,2,0)*VLOOKUP(A166,'[42]geoMap (39)'!$A:$C,3,0)</f>
        <v>#REF!</v>
      </c>
      <c r="AP166" s="1" t="e">
        <f>AO166/VLOOKUP(A166,'[43]geoMap (40)'!$A:$B,2,0)*VLOOKUP(A166,'[43]geoMap (40)'!$A:$C,3,0)</f>
        <v>#REF!</v>
      </c>
      <c r="AQ166" s="1" t="e">
        <f>AP166/VLOOKUP(A166,'[44]geoMap (41)'!$A:$B,2,0)*VLOOKUP(A166,'[44]geoMap (41)'!$A:$C,3,0)</f>
        <v>#REF!</v>
      </c>
      <c r="AR166" s="1" t="e">
        <f>AQ166/VLOOKUP(A166,'[45]geoMap (42)'!$A:$B,2,0)*VLOOKUP(A166,'[45]geoMap (42)'!$A:$C,3,0)</f>
        <v>#REF!</v>
      </c>
      <c r="AS166" s="1" t="e">
        <f>AR166/VLOOKUP(A166,'[46]geoMap (43)'!$A:$B,2,0)*VLOOKUP(A166,'[46]geoMap (43)'!$A:$C,3,0)</f>
        <v>#REF!</v>
      </c>
      <c r="AT166" s="1" t="e">
        <f>AS166/VLOOKUP(A166,'[47]geoMap (44)'!$A:$B,2,0)*VLOOKUP(A166,'[47]geoMap (44)'!$A:$C,3,0)</f>
        <v>#REF!</v>
      </c>
      <c r="AU166" s="1" t="e">
        <f>AT166/VLOOKUP(A166,'[48]geoMap (45)'!$A:$B,2,0)*VLOOKUP(A166,'[48]geoMap (45)'!$A:$C,3,0)</f>
        <v>#REF!</v>
      </c>
      <c r="AV166" s="1" t="e">
        <f>AU166/VLOOKUP(A166,'[49]geoMap (46)'!$A:$B,2,0)*VLOOKUP(A166,'[49]geoMap (46)'!$A:$C,3,0)</f>
        <v>#REF!</v>
      </c>
      <c r="AW166" s="1" t="e">
        <f>AV166/VLOOKUP(A166,'[50]geoMap (47)'!$A:$B,2,0)*VLOOKUP(A166,'[50]geoMap (47)'!$A:$C,3,0)</f>
        <v>#REF!</v>
      </c>
      <c r="AX166" s="4" t="e">
        <f>AW166/VLOOKUP(A166,'[51]geoMap (48)'!$A:$B,2,0)*VLOOKUP(A166,'[51]geoMap (48)'!$A:$C,3,0)</f>
        <v>#REF!</v>
      </c>
      <c r="AY166" s="1" t="e">
        <f>AX166/VLOOKUP(A166,'[52]geoMap (49)'!$A:$B,2,0)*VLOOKUP(A166,'[52]geoMap (49)'!$A:$C,3,0)</f>
        <v>#REF!</v>
      </c>
      <c r="AZ166" s="4" t="e">
        <f>AY166/VLOOKUP(A166,'[53]geoMap (50)'!$A:$B,2,0)*VLOOKUP(A166,'[53]geoMap (50)'!$A:$C,3,0)</f>
        <v>#REF!</v>
      </c>
      <c r="BA166" s="1" t="e">
        <f>AZ166/VLOOKUP(A166,'[54]geoMap (51)'!$A:$B,2,0)*VLOOKUP(A166,'[54]geoMap (51)'!$A:$C,3,0)</f>
        <v>#REF!</v>
      </c>
      <c r="BB166" s="4" t="e">
        <f>BA166/VLOOKUP(A166,'[55]geoMap (52)'!$A:$B,2,0)*VLOOKUP(A166,'[55]geoMap (52)'!$A:$C,3,0)</f>
        <v>#REF!</v>
      </c>
      <c r="BC166" s="1" t="e">
        <f>BB166/VLOOKUP(A166,'[56]geoMap (53)'!$A:$B,2,0)*VLOOKUP(A166,'[56]geoMap (53)'!$A:$C,3,0)</f>
        <v>#REF!</v>
      </c>
      <c r="BD166" s="4" t="e">
        <f>BC166/VLOOKUP(A166,'[57]geoMap (54)'!$A:$B,2,0)*VLOOKUP(A166,'[57]geoMap (54)'!$A:$C,3,0)</f>
        <v>#REF!</v>
      </c>
      <c r="BE166" s="1" t="e">
        <f>BD166/VLOOKUP(A166,'[58]geoMap (55)'!$A:$B,2,0)*VLOOKUP(A166,'[58]geoMap (55)'!$A:$C,3,0)</f>
        <v>#REF!</v>
      </c>
      <c r="BF166" s="4" t="e">
        <f>BE166/VLOOKUP(A166,'[59]geoMap (56)'!$A:$B,2,0)*VLOOKUP(A166,'[59]geoMap (56)'!$A:$C,3,0)</f>
        <v>#REF!</v>
      </c>
      <c r="BG166" s="1" t="e">
        <f>BF166/VLOOKUP(A166,'[60]geoMap (57)'!$A:$B,2,0)*VLOOKUP(A166,'[60]geoMap (57)'!$A:$C,3,0)</f>
        <v>#REF!</v>
      </c>
      <c r="BH166" s="4" t="e">
        <f>BG166/VLOOKUP(A166,'[61]geoMap (58)'!$A:$B,2,0)*VLOOKUP(A166,'[61]geoMap (58)'!$A:$C,3,0)</f>
        <v>#REF!</v>
      </c>
      <c r="BI166" s="1" t="e">
        <f>BH166/VLOOKUP(A166,'[62]geoMap (59)'!$A:$B,2,0)*VLOOKUP(A166,'[62]geoMap (59)'!$A:$C,3,0)</f>
        <v>#REF!</v>
      </c>
      <c r="BJ166" s="4" t="e">
        <f>BI166/VLOOKUP(A166,'[63]geoMap (60)'!$A:$B,2,0)*VLOOKUP(A166,'[63]geoMap (60)'!$A:$C,3,0)</f>
        <v>#REF!</v>
      </c>
      <c r="BK166" s="1" t="e">
        <f>BJ166/VLOOKUP(A166,'[64]geoMap (61)'!$A:$B,2,0)*VLOOKUP(A166,'[64]geoMap (61)'!$A:$C,3,0)</f>
        <v>#REF!</v>
      </c>
      <c r="BL166" s="4" t="e">
        <f>BK166/VLOOKUP(A166,'[65]geoMap (62)'!$A:$B,2,0)*VLOOKUP(A166,'[65]geoMap (62)'!$A:$C,3,0)</f>
        <v>#REF!</v>
      </c>
      <c r="BM166" s="1" t="e">
        <f>BL166/VLOOKUP(A166,'[66]geoMap (63)'!$A:$B,2,0)*VLOOKUP(A166,'[66]geoMap (63)'!$A:$C,3,0)</f>
        <v>#REF!</v>
      </c>
      <c r="BN166" s="4" t="e">
        <f>BM166/VLOOKUP(A166,'[67]geoMap (64)'!$A:$B,2,0)*VLOOKUP(A166,'[67]geoMap (64)'!$A:$C,3,0)</f>
        <v>#REF!</v>
      </c>
      <c r="BO166" s="1" t="e">
        <f>BN166/VLOOKUP(A166,'[68]geoMap (65)'!$A:$B,2,0)*VLOOKUP(A166,'[68]geoMap (65)'!$A:$C,3,0)</f>
        <v>#REF!</v>
      </c>
      <c r="BP166" s="4" t="e">
        <f>BO166/VLOOKUP(A166,'[69]geoMap (66)'!$A:$B,2,0)*VLOOKUP(A166,'[69]geoMap (66)'!$A:$C,3,0)</f>
        <v>#REF!</v>
      </c>
    </row>
    <row r="167" spans="1:68" x14ac:dyDescent="0.2">
      <c r="A167" s="1" t="s">
        <v>163</v>
      </c>
      <c r="B167" s="1" t="e">
        <f>VLOOKUP(A167,[3]geoMap!$A:$B,2,0)*Notes!$C$6</f>
        <v>#REF!</v>
      </c>
      <c r="C167" s="1" t="e">
        <f>B167/VLOOKUP(A167,'[4]geoMap (1)'!$A:$B,2,0)*VLOOKUP(A167,'[4]geoMap (1)'!$A:$C,3,0)</f>
        <v>#REF!</v>
      </c>
      <c r="D167" s="1" t="e">
        <f>C167/VLOOKUP(A167,'[5]geoMap (2)'!$A:$B,2,0)*VLOOKUP(A167,'[5]geoMap (2)'!$A:$C,3,0)</f>
        <v>#REF!</v>
      </c>
      <c r="E167" s="1" t="e">
        <f>D167/VLOOKUP(A167,'[6]geoMap (3)'!$A:$B,2,0)*VLOOKUP(A167,'[6]geoMap (3)'!$A:$C,3,0)</f>
        <v>#REF!</v>
      </c>
      <c r="F167" s="1" t="e">
        <f>E167/VLOOKUP(A167,'[7]geoMap (4)'!$A:$B,2,0)*VLOOKUP(A167,'[7]geoMap (4)'!$A:$C,3,0)</f>
        <v>#REF!</v>
      </c>
      <c r="G167" s="1" t="e">
        <f>F167/VLOOKUP(A167,'[8]geoMap (5)'!$A:$B,2,0)*VLOOKUP(A167,'[8]geoMap (5)'!$A:$C,3,0)</f>
        <v>#REF!</v>
      </c>
      <c r="H167" s="1" t="e">
        <f>G167/VLOOKUP(A167,'[9]geoMap (6)'!$A:$B,2,0)*VLOOKUP(A167,'[9]geoMap (6)'!$A:$C,3,0)</f>
        <v>#REF!</v>
      </c>
      <c r="I167" s="1" t="e">
        <f>H167/VLOOKUP(A167,'[10]geoMap (7)'!$A:$B,2,0)*VLOOKUP(A167,'[10]geoMap (7)'!$A:$C,3,0)</f>
        <v>#REF!</v>
      </c>
      <c r="J167" s="1" t="e">
        <f>I167/VLOOKUP(A167,'[11]geoMap (8)'!$A:$B,2,0)*VLOOKUP(A167,'[11]geoMap (8)'!$A:$C,3,0)</f>
        <v>#REF!</v>
      </c>
      <c r="K167" s="1" t="e">
        <f>J167/VLOOKUP(A167,'[12]geoMap (9)'!$A:$B,2,0)*VLOOKUP(A167,'[12]geoMap (9)'!$A:$C,3,0)</f>
        <v>#REF!</v>
      </c>
      <c r="L167" s="1" t="e">
        <f>K167/VLOOKUP(A167,'[13]geoMap (10)'!$A:$B,2,0)*VLOOKUP(A167,'[13]geoMap (10)'!$A:$C,3,0)</f>
        <v>#REF!</v>
      </c>
      <c r="M167" s="1" t="e">
        <f>L167/VLOOKUP(A167,'[14]geoMap (11)'!$A:$B,2,0)*VLOOKUP(A167,'[14]geoMap (11)'!$A:$C,3,0)</f>
        <v>#REF!</v>
      </c>
      <c r="N167" s="1" t="e">
        <f>M167/VLOOKUP(A167,'[15]geoMap (12)'!$A:$B,2,0)*VLOOKUP(A167,'[15]geoMap (12)'!$A:$C,3,0)</f>
        <v>#REF!</v>
      </c>
      <c r="O167" s="1" t="e">
        <f>N167/VLOOKUP(A167,'[16]geoMap (13)'!$A:$B,2,0)*VLOOKUP(A167,'[16]geoMap (13)'!$A:$C,3,0)</f>
        <v>#REF!</v>
      </c>
      <c r="P167" s="1" t="e">
        <f>O167/VLOOKUP(A167,'[17]geoMap (14)'!$A:$B,2,0)*VLOOKUP(A167,'[17]geoMap (14)'!$A:$C,3,0)</f>
        <v>#REF!</v>
      </c>
      <c r="Q167" s="1" t="e">
        <f>P167/VLOOKUP(A167,'[18]geoMap (15)'!$A:$B,2,0)*VLOOKUP(A167,'[18]geoMap (15)'!$A:$C,3,0)</f>
        <v>#REF!</v>
      </c>
      <c r="R167" s="1" t="e">
        <f>Q167/VLOOKUP(A167,'[19]geoMap (16)'!$A:$B,2,0)*VLOOKUP(A167,'[19]geoMap (16)'!$A:$C,3,0)</f>
        <v>#REF!</v>
      </c>
      <c r="S167" s="1" t="e">
        <f>R167/VLOOKUP(A167,'[20]geoMap (17)'!$A:$B,2,0)*VLOOKUP(A167,'[20]geoMap (17)'!$A:$C,3,0)</f>
        <v>#REF!</v>
      </c>
      <c r="T167" s="1" t="e">
        <f>S167/VLOOKUP(A167,'[21]geoMap (18)'!$A:$B,2,0)*VLOOKUP(A167,'[21]geoMap (18)'!$A:$C,3,0)</f>
        <v>#REF!</v>
      </c>
      <c r="U167" s="1" t="e">
        <f>T167/VLOOKUP(A167,'[22]geoMap (19)'!$A:$B,2,0)*VLOOKUP(A167,'[22]geoMap (19)'!$A:$C,3,0)</f>
        <v>#REF!</v>
      </c>
      <c r="V167" s="1" t="e">
        <f>U167/VLOOKUP(A167,'[23]geoMap (20)'!$A:$B,2,0)*VLOOKUP(A167,'[23]geoMap (20)'!$A:$C,3,0)</f>
        <v>#REF!</v>
      </c>
      <c r="W167" s="1" t="e">
        <f>V167/VLOOKUP(A167,'[24]geoMap (21)'!$A:$B,2,0)*VLOOKUP(A167,'[24]geoMap (21)'!$A:$C,3,0)</f>
        <v>#REF!</v>
      </c>
      <c r="X167" s="1" t="e">
        <f>W167/VLOOKUP(A167,'[25]geoMap (22)'!$A:$B,2,0)*VLOOKUP(A167,'[25]geoMap (22)'!$A:$C,3,0)</f>
        <v>#REF!</v>
      </c>
      <c r="Y167" s="1" t="e">
        <f>X167/VLOOKUP(A167,'[26]geoMap (23)'!$A:$B,2,0)*VLOOKUP(A167,'[26]geoMap (23)'!$A:$C,3,0)</f>
        <v>#REF!</v>
      </c>
      <c r="Z167" s="1" t="e">
        <f>Y167/VLOOKUP(A167,'[27]geoMap (24)'!$A:$B,2,0)*VLOOKUP(A167,'[27]geoMap (24)'!$A:$C,3,0)</f>
        <v>#REF!</v>
      </c>
      <c r="AA167" s="1" t="e">
        <f>Z167/VLOOKUP(A167,'[28]geoMap (25)'!$A:$B,2,0)*VLOOKUP(A167,'[28]geoMap (25)'!$A:$C,3,0)</f>
        <v>#REF!</v>
      </c>
      <c r="AB167" s="1" t="e">
        <f>AA167*VLOOKUP(A167,'[29]geoMap (26)'!$A:$B,2,0)*VLOOKUP(A167,'[29]geoMap (26)'!$A:$C,3,0)</f>
        <v>#REF!</v>
      </c>
      <c r="AC167" s="1" t="e">
        <f>AB167/VLOOKUP(A167,'[30]geoMap (27)'!$A:$B,2,0)*VLOOKUP(A167,'[30]geoMap (27)'!$A:$C,3,0)</f>
        <v>#REF!</v>
      </c>
      <c r="AD167" s="1" t="e">
        <f>AC167/VLOOKUP(A167,'[31]geoMap (28)'!$A:$B,2,0)*VLOOKUP(A167,'[31]geoMap (28)'!$A:$C,3,0)</f>
        <v>#REF!</v>
      </c>
      <c r="AE167" s="1" t="e">
        <f>AD167/VLOOKUP(A167,'[32]geoMap (29)'!$A:$B,2,0)*VLOOKUP(A167,'[32]geoMap (29)'!$A:$C,3,0)</f>
        <v>#REF!</v>
      </c>
      <c r="AF167" s="1" t="e">
        <f>AE167/VLOOKUP(A167,'[33]geoMap (30)'!$A:$B,2,0)*VLOOKUP(A167,'[33]geoMap (30)'!$A:$C,3,0)</f>
        <v>#REF!</v>
      </c>
      <c r="AG167" s="1" t="e">
        <f>AF167/VLOOKUP(A167,'[34]geoMap (31)'!$A:$B,2,0)*VLOOKUP(A167,'[34]geoMap (31)'!$A:$C,3,0)</f>
        <v>#REF!</v>
      </c>
      <c r="AH167" s="1" t="e">
        <f>AG167/VLOOKUP(A167,'[35]geoMap (32)'!$A:$B,2,0)*VLOOKUP(A167,'[35]geoMap (32)'!$A:$C,3,0)</f>
        <v>#REF!</v>
      </c>
      <c r="AI167" s="1" t="e">
        <f>AH167/VLOOKUP(A167,'[36]geoMap (33)'!$A:$B,2,0)*VLOOKUP(A167,'[36]geoMap (33)'!$A:$C,3,0)</f>
        <v>#REF!</v>
      </c>
      <c r="AJ167" s="1" t="e">
        <f>AI167/VLOOKUP(A167,'[37]geoMap (34)'!$A:$B,2,0)*VLOOKUP(A167,'[37]geoMap (34)'!$A:$C,3,0)</f>
        <v>#REF!</v>
      </c>
      <c r="AK167" s="1" t="e">
        <f>AJ167/VLOOKUP(A167,'[38]geoMap (35)'!$A:$B,2,0)*VLOOKUP(A167,'[38]geoMap (35)'!$A:$C,3,0)</f>
        <v>#REF!</v>
      </c>
      <c r="AL167" s="1" t="e">
        <f>AK167/VLOOKUP(A167,'[39]geoMap (36)'!$A:$B,2,0)*VLOOKUP(A167,'[39]geoMap (36)'!$A:$C,3,0)</f>
        <v>#REF!</v>
      </c>
      <c r="AM167" s="1" t="e">
        <f>AL167/VLOOKUP(A167,'[40]geoMap (37)'!$A:$B,2,0)*VLOOKUP(A167,'[40]geoMap (37)'!$A:$C,3,0)</f>
        <v>#REF!</v>
      </c>
      <c r="AN167" s="1" t="e">
        <f>AM167/VLOOKUP(A167,'[41]geoMap (38)'!$A:$B,2,0)*VLOOKUP(A167,'[41]geoMap (38)'!$A:$C,3,0)</f>
        <v>#REF!</v>
      </c>
      <c r="AO167" s="1" t="e">
        <f>AN167/VLOOKUP(A167,'[42]geoMap (39)'!$A:$B,2,0)*VLOOKUP(A167,'[42]geoMap (39)'!$A:$C,3,0)</f>
        <v>#REF!</v>
      </c>
      <c r="AP167" s="1" t="e">
        <f>AO167/VLOOKUP(A167,'[43]geoMap (40)'!$A:$B,2,0)*VLOOKUP(A167,'[43]geoMap (40)'!$A:$C,3,0)</f>
        <v>#REF!</v>
      </c>
      <c r="AQ167" s="1" t="e">
        <f>AP167/VLOOKUP(A167,'[44]geoMap (41)'!$A:$B,2,0)*VLOOKUP(A167,'[44]geoMap (41)'!$A:$C,3,0)</f>
        <v>#REF!</v>
      </c>
      <c r="AR167" s="1" t="e">
        <f>AQ167/VLOOKUP(A167,'[45]geoMap (42)'!$A:$B,2,0)*VLOOKUP(A167,'[45]geoMap (42)'!$A:$C,3,0)</f>
        <v>#REF!</v>
      </c>
      <c r="AS167" s="1" t="e">
        <f>AR167/VLOOKUP(A167,'[46]geoMap (43)'!$A:$B,2,0)*VLOOKUP(A167,'[46]geoMap (43)'!$A:$C,3,0)</f>
        <v>#REF!</v>
      </c>
      <c r="AT167" s="1" t="e">
        <f>AS167/VLOOKUP(A167,'[47]geoMap (44)'!$A:$B,2,0)*VLOOKUP(A167,'[47]geoMap (44)'!$A:$C,3,0)</f>
        <v>#REF!</v>
      </c>
      <c r="AU167" s="1" t="e">
        <f>AT167/VLOOKUP(A167,'[48]geoMap (45)'!$A:$B,2,0)*VLOOKUP(A167,'[48]geoMap (45)'!$A:$C,3,0)</f>
        <v>#REF!</v>
      </c>
      <c r="AV167" s="1" t="e">
        <f>AU167/VLOOKUP(A167,'[49]geoMap (46)'!$A:$B,2,0)*VLOOKUP(A167,'[49]geoMap (46)'!$A:$C,3,0)</f>
        <v>#REF!</v>
      </c>
      <c r="AW167" s="1" t="e">
        <f>AV167/VLOOKUP(A167,'[50]geoMap (47)'!$A:$B,2,0)*VLOOKUP(A167,'[50]geoMap (47)'!$A:$C,3,0)</f>
        <v>#REF!</v>
      </c>
      <c r="AX167" s="4" t="e">
        <f>AW167/VLOOKUP(A167,'[51]geoMap (48)'!$A:$B,2,0)*VLOOKUP(A167,'[51]geoMap (48)'!$A:$C,3,0)</f>
        <v>#REF!</v>
      </c>
      <c r="AY167" s="1" t="e">
        <f>AX167/VLOOKUP(A167,'[52]geoMap (49)'!$A:$B,2,0)*VLOOKUP(A167,'[52]geoMap (49)'!$A:$C,3,0)</f>
        <v>#REF!</v>
      </c>
      <c r="AZ167" s="4" t="e">
        <f>AY167/VLOOKUP(A167,'[53]geoMap (50)'!$A:$B,2,0)*VLOOKUP(A167,'[53]geoMap (50)'!$A:$C,3,0)</f>
        <v>#REF!</v>
      </c>
      <c r="BA167" s="1" t="e">
        <f>AZ167/VLOOKUP(A167,'[54]geoMap (51)'!$A:$B,2,0)*VLOOKUP(A167,'[54]geoMap (51)'!$A:$C,3,0)</f>
        <v>#REF!</v>
      </c>
      <c r="BB167" s="4" t="e">
        <f>BA167/VLOOKUP(A167,'[55]geoMap (52)'!$A:$B,2,0)*VLOOKUP(A167,'[55]geoMap (52)'!$A:$C,3,0)</f>
        <v>#REF!</v>
      </c>
      <c r="BC167" s="1" t="e">
        <f>BB167/VLOOKUP(A167,'[56]geoMap (53)'!$A:$B,2,0)*VLOOKUP(A167,'[56]geoMap (53)'!$A:$C,3,0)</f>
        <v>#REF!</v>
      </c>
      <c r="BD167" s="4" t="e">
        <f>BC167/VLOOKUP(A167,'[57]geoMap (54)'!$A:$B,2,0)*VLOOKUP(A167,'[57]geoMap (54)'!$A:$C,3,0)</f>
        <v>#REF!</v>
      </c>
      <c r="BE167" s="1" t="e">
        <f>BD167/VLOOKUP(A167,'[58]geoMap (55)'!$A:$B,2,0)*VLOOKUP(A167,'[58]geoMap (55)'!$A:$C,3,0)</f>
        <v>#REF!</v>
      </c>
      <c r="BF167" s="4" t="e">
        <f>BE167/VLOOKUP(A167,'[59]geoMap (56)'!$A:$B,2,0)*VLOOKUP(A167,'[59]geoMap (56)'!$A:$C,3,0)</f>
        <v>#REF!</v>
      </c>
      <c r="BG167" s="1" t="e">
        <f>BF167/VLOOKUP(A167,'[60]geoMap (57)'!$A:$B,2,0)*VLOOKUP(A167,'[60]geoMap (57)'!$A:$C,3,0)</f>
        <v>#REF!</v>
      </c>
      <c r="BH167" s="4" t="e">
        <f>BG167/VLOOKUP(A167,'[61]geoMap (58)'!$A:$B,2,0)*VLOOKUP(A167,'[61]geoMap (58)'!$A:$C,3,0)</f>
        <v>#REF!</v>
      </c>
      <c r="BI167" s="1" t="e">
        <f>BH167/VLOOKUP(A167,'[62]geoMap (59)'!$A:$B,2,0)*VLOOKUP(A167,'[62]geoMap (59)'!$A:$C,3,0)</f>
        <v>#REF!</v>
      </c>
      <c r="BJ167" s="4" t="e">
        <f>BI167/VLOOKUP(A167,'[63]geoMap (60)'!$A:$B,2,0)*VLOOKUP(A167,'[63]geoMap (60)'!$A:$C,3,0)</f>
        <v>#REF!</v>
      </c>
      <c r="BK167" s="1" t="e">
        <f>BJ167/VLOOKUP(A167,'[64]geoMap (61)'!$A:$B,2,0)*VLOOKUP(A167,'[64]geoMap (61)'!$A:$C,3,0)</f>
        <v>#REF!</v>
      </c>
      <c r="BL167" s="4" t="e">
        <f>BK167/VLOOKUP(A167,'[65]geoMap (62)'!$A:$B,2,0)*VLOOKUP(A167,'[65]geoMap (62)'!$A:$C,3,0)</f>
        <v>#REF!</v>
      </c>
      <c r="BM167" s="1" t="e">
        <f>BL167/VLOOKUP(A167,'[66]geoMap (63)'!$A:$B,2,0)*VLOOKUP(A167,'[66]geoMap (63)'!$A:$C,3,0)</f>
        <v>#REF!</v>
      </c>
      <c r="BN167" s="4" t="e">
        <f>BM167/VLOOKUP(A167,'[67]geoMap (64)'!$A:$B,2,0)*VLOOKUP(A167,'[67]geoMap (64)'!$A:$C,3,0)</f>
        <v>#REF!</v>
      </c>
      <c r="BO167" s="1" t="e">
        <f>BN167/VLOOKUP(A167,'[68]geoMap (65)'!$A:$B,2,0)*VLOOKUP(A167,'[68]geoMap (65)'!$A:$C,3,0)</f>
        <v>#REF!</v>
      </c>
      <c r="BP167" s="4" t="e">
        <f>BO167/VLOOKUP(A167,'[69]geoMap (66)'!$A:$B,2,0)*VLOOKUP(A167,'[69]geoMap (66)'!$A:$C,3,0)</f>
        <v>#REF!</v>
      </c>
    </row>
    <row r="168" spans="1:68" x14ac:dyDescent="0.2">
      <c r="A168" s="1" t="s">
        <v>164</v>
      </c>
      <c r="B168" s="1" t="e">
        <f>VLOOKUP(A168,[3]geoMap!$A:$B,2,0)*Notes!$C$6</f>
        <v>#REF!</v>
      </c>
      <c r="C168" s="1" t="e">
        <f>B168/VLOOKUP(A168,'[4]geoMap (1)'!$A:$B,2,0)*VLOOKUP(A168,'[4]geoMap (1)'!$A:$C,3,0)</f>
        <v>#REF!</v>
      </c>
      <c r="D168" s="1" t="e">
        <f>C168/VLOOKUP(A168,'[5]geoMap (2)'!$A:$B,2,0)*VLOOKUP(A168,'[5]geoMap (2)'!$A:$C,3,0)</f>
        <v>#REF!</v>
      </c>
      <c r="E168" s="1" t="e">
        <f>D168/VLOOKUP(A168,'[6]geoMap (3)'!$A:$B,2,0)*VLOOKUP(A168,'[6]geoMap (3)'!$A:$C,3,0)</f>
        <v>#REF!</v>
      </c>
      <c r="F168" s="1" t="e">
        <f>E168/VLOOKUP(A168,'[7]geoMap (4)'!$A:$B,2,0)*VLOOKUP(A168,'[7]geoMap (4)'!$A:$C,3,0)</f>
        <v>#REF!</v>
      </c>
      <c r="G168" s="1" t="e">
        <f>F168/VLOOKUP(A168,'[8]geoMap (5)'!$A:$B,2,0)*VLOOKUP(A168,'[8]geoMap (5)'!$A:$C,3,0)</f>
        <v>#REF!</v>
      </c>
      <c r="H168" s="1" t="e">
        <f>G168/VLOOKUP(A168,'[9]geoMap (6)'!$A:$B,2,0)*VLOOKUP(A168,'[9]geoMap (6)'!$A:$C,3,0)</f>
        <v>#REF!</v>
      </c>
      <c r="I168" s="1" t="e">
        <f>H168/VLOOKUP(A168,'[10]geoMap (7)'!$A:$B,2,0)*VLOOKUP(A168,'[10]geoMap (7)'!$A:$C,3,0)</f>
        <v>#REF!</v>
      </c>
      <c r="J168" s="1" t="e">
        <f>I168/VLOOKUP(A168,'[11]geoMap (8)'!$A:$B,2,0)*VLOOKUP(A168,'[11]geoMap (8)'!$A:$C,3,0)</f>
        <v>#REF!</v>
      </c>
      <c r="K168" s="1" t="e">
        <f>J168/VLOOKUP(A168,'[12]geoMap (9)'!$A:$B,2,0)*VLOOKUP(A168,'[12]geoMap (9)'!$A:$C,3,0)</f>
        <v>#REF!</v>
      </c>
      <c r="L168" s="1" t="e">
        <f>K168/VLOOKUP(A168,'[13]geoMap (10)'!$A:$B,2,0)*VLOOKUP(A168,'[13]geoMap (10)'!$A:$C,3,0)</f>
        <v>#REF!</v>
      </c>
      <c r="M168" s="1" t="e">
        <f>L168/VLOOKUP(A168,'[14]geoMap (11)'!$A:$B,2,0)*VLOOKUP(A168,'[14]geoMap (11)'!$A:$C,3,0)</f>
        <v>#REF!</v>
      </c>
      <c r="N168" s="1" t="e">
        <f>M168/VLOOKUP(A168,'[15]geoMap (12)'!$A:$B,2,0)*VLOOKUP(A168,'[15]geoMap (12)'!$A:$C,3,0)</f>
        <v>#REF!</v>
      </c>
      <c r="O168" s="1" t="e">
        <f>N168/VLOOKUP(A168,'[16]geoMap (13)'!$A:$B,2,0)*VLOOKUP(A168,'[16]geoMap (13)'!$A:$C,3,0)</f>
        <v>#REF!</v>
      </c>
      <c r="P168" s="1" t="e">
        <f>O168/VLOOKUP(A168,'[17]geoMap (14)'!$A:$B,2,0)*VLOOKUP(A168,'[17]geoMap (14)'!$A:$C,3,0)</f>
        <v>#REF!</v>
      </c>
      <c r="Q168" s="1" t="e">
        <f>P168/VLOOKUP(A168,'[18]geoMap (15)'!$A:$B,2,0)*VLOOKUP(A168,'[18]geoMap (15)'!$A:$C,3,0)</f>
        <v>#REF!</v>
      </c>
      <c r="R168" s="1" t="e">
        <f>Q168/VLOOKUP(A168,'[19]geoMap (16)'!$A:$B,2,0)*VLOOKUP(A168,'[19]geoMap (16)'!$A:$C,3,0)</f>
        <v>#REF!</v>
      </c>
      <c r="S168" s="1" t="e">
        <f>R168/VLOOKUP(A168,'[20]geoMap (17)'!$A:$B,2,0)*VLOOKUP(A168,'[20]geoMap (17)'!$A:$C,3,0)</f>
        <v>#REF!</v>
      </c>
      <c r="T168" s="1" t="e">
        <f>S168/VLOOKUP(A168,'[21]geoMap (18)'!$A:$B,2,0)*VLOOKUP(A168,'[21]geoMap (18)'!$A:$C,3,0)</f>
        <v>#REF!</v>
      </c>
      <c r="U168" s="1" t="e">
        <f>T168/VLOOKUP(A168,'[22]geoMap (19)'!$A:$B,2,0)*VLOOKUP(A168,'[22]geoMap (19)'!$A:$C,3,0)</f>
        <v>#REF!</v>
      </c>
      <c r="V168" s="1" t="e">
        <f>U168/VLOOKUP(A168,'[23]geoMap (20)'!$A:$B,2,0)*VLOOKUP(A168,'[23]geoMap (20)'!$A:$C,3,0)</f>
        <v>#REF!</v>
      </c>
      <c r="W168" s="1" t="e">
        <f>V168/VLOOKUP(A168,'[24]geoMap (21)'!$A:$B,2,0)*VLOOKUP(A168,'[24]geoMap (21)'!$A:$C,3,0)</f>
        <v>#REF!</v>
      </c>
      <c r="X168" s="1" t="e">
        <f>W168/VLOOKUP(A168,'[25]geoMap (22)'!$A:$B,2,0)*VLOOKUP(A168,'[25]geoMap (22)'!$A:$C,3,0)</f>
        <v>#REF!</v>
      </c>
      <c r="Y168" s="1" t="e">
        <f>X168/VLOOKUP(A168,'[26]geoMap (23)'!$A:$B,2,0)*VLOOKUP(A168,'[26]geoMap (23)'!$A:$C,3,0)</f>
        <v>#REF!</v>
      </c>
      <c r="Z168" s="1" t="e">
        <f>Y168/VLOOKUP(A168,'[27]geoMap (24)'!$A:$B,2,0)*VLOOKUP(A168,'[27]geoMap (24)'!$A:$C,3,0)</f>
        <v>#REF!</v>
      </c>
      <c r="AA168" s="1" t="e">
        <f>Z168/VLOOKUP(A168,'[28]geoMap (25)'!$A:$B,2,0)*VLOOKUP(A168,'[28]geoMap (25)'!$A:$C,3,0)</f>
        <v>#REF!</v>
      </c>
      <c r="AB168" s="1" t="e">
        <f>AA168*VLOOKUP(A168,'[29]geoMap (26)'!$A:$B,2,0)*VLOOKUP(A168,'[29]geoMap (26)'!$A:$C,3,0)</f>
        <v>#REF!</v>
      </c>
      <c r="AC168" s="1" t="e">
        <f>AB168/VLOOKUP(A168,'[30]geoMap (27)'!$A:$B,2,0)*VLOOKUP(A168,'[30]geoMap (27)'!$A:$C,3,0)</f>
        <v>#REF!</v>
      </c>
      <c r="AD168" s="1" t="e">
        <f>AC168/VLOOKUP(A168,'[31]geoMap (28)'!$A:$B,2,0)*VLOOKUP(A168,'[31]geoMap (28)'!$A:$C,3,0)</f>
        <v>#REF!</v>
      </c>
      <c r="AE168" s="1" t="e">
        <f>AD168/VLOOKUP(A168,'[32]geoMap (29)'!$A:$B,2,0)*VLOOKUP(A168,'[32]geoMap (29)'!$A:$C,3,0)</f>
        <v>#REF!</v>
      </c>
      <c r="AF168" s="1" t="e">
        <f>AE168/VLOOKUP(A168,'[33]geoMap (30)'!$A:$B,2,0)*VLOOKUP(A168,'[33]geoMap (30)'!$A:$C,3,0)</f>
        <v>#REF!</v>
      </c>
      <c r="AG168" s="1" t="e">
        <f>AF168/VLOOKUP(A168,'[34]geoMap (31)'!$A:$B,2,0)*VLOOKUP(A168,'[34]geoMap (31)'!$A:$C,3,0)</f>
        <v>#REF!</v>
      </c>
      <c r="AH168" s="1" t="e">
        <f>AG168/VLOOKUP(A168,'[35]geoMap (32)'!$A:$B,2,0)*VLOOKUP(A168,'[35]geoMap (32)'!$A:$C,3,0)</f>
        <v>#REF!</v>
      </c>
      <c r="AI168" s="1" t="e">
        <f>AH168/VLOOKUP(A168,'[36]geoMap (33)'!$A:$B,2,0)*VLOOKUP(A168,'[36]geoMap (33)'!$A:$C,3,0)</f>
        <v>#REF!</v>
      </c>
      <c r="AJ168" s="1" t="e">
        <f>AI168/VLOOKUP(A168,'[37]geoMap (34)'!$A:$B,2,0)*VLOOKUP(A168,'[37]geoMap (34)'!$A:$C,3,0)</f>
        <v>#REF!</v>
      </c>
      <c r="AK168" s="1" t="e">
        <f>AJ168/VLOOKUP(A168,'[38]geoMap (35)'!$A:$B,2,0)*VLOOKUP(A168,'[38]geoMap (35)'!$A:$C,3,0)</f>
        <v>#REF!</v>
      </c>
      <c r="AL168" s="1" t="e">
        <f>AK168/VLOOKUP(A168,'[39]geoMap (36)'!$A:$B,2,0)*VLOOKUP(A168,'[39]geoMap (36)'!$A:$C,3,0)</f>
        <v>#REF!</v>
      </c>
      <c r="AM168" s="1" t="e">
        <f>AL168/VLOOKUP(A168,'[40]geoMap (37)'!$A:$B,2,0)*VLOOKUP(A168,'[40]geoMap (37)'!$A:$C,3,0)</f>
        <v>#REF!</v>
      </c>
      <c r="AN168" s="1" t="e">
        <f>AM168/VLOOKUP(A168,'[41]geoMap (38)'!$A:$B,2,0)*VLOOKUP(A168,'[41]geoMap (38)'!$A:$C,3,0)</f>
        <v>#REF!</v>
      </c>
      <c r="AO168" s="1" t="e">
        <f>AN168/VLOOKUP(A168,'[42]geoMap (39)'!$A:$B,2,0)*VLOOKUP(A168,'[42]geoMap (39)'!$A:$C,3,0)</f>
        <v>#REF!</v>
      </c>
      <c r="AP168" s="1" t="e">
        <f>AO168/VLOOKUP(A168,'[43]geoMap (40)'!$A:$B,2,0)*VLOOKUP(A168,'[43]geoMap (40)'!$A:$C,3,0)</f>
        <v>#REF!</v>
      </c>
      <c r="AQ168" s="1" t="e">
        <f>AP168/VLOOKUP(A168,'[44]geoMap (41)'!$A:$B,2,0)*VLOOKUP(A168,'[44]geoMap (41)'!$A:$C,3,0)</f>
        <v>#REF!</v>
      </c>
      <c r="AR168" s="1" t="e">
        <f>AQ168/VLOOKUP(A168,'[45]geoMap (42)'!$A:$B,2,0)*VLOOKUP(A168,'[45]geoMap (42)'!$A:$C,3,0)</f>
        <v>#REF!</v>
      </c>
      <c r="AS168" s="1" t="e">
        <f>AR168/VLOOKUP(A168,'[46]geoMap (43)'!$A:$B,2,0)*VLOOKUP(A168,'[46]geoMap (43)'!$A:$C,3,0)</f>
        <v>#REF!</v>
      </c>
      <c r="AT168" s="1" t="e">
        <f>AS168/VLOOKUP(A168,'[47]geoMap (44)'!$A:$B,2,0)*VLOOKUP(A168,'[47]geoMap (44)'!$A:$C,3,0)</f>
        <v>#REF!</v>
      </c>
      <c r="AU168" s="1" t="e">
        <f>AT168/VLOOKUP(A168,'[48]geoMap (45)'!$A:$B,2,0)*VLOOKUP(A168,'[48]geoMap (45)'!$A:$C,3,0)</f>
        <v>#REF!</v>
      </c>
      <c r="AV168" s="1" t="e">
        <f>AU168/VLOOKUP(A168,'[49]geoMap (46)'!$A:$B,2,0)*VLOOKUP(A168,'[49]geoMap (46)'!$A:$C,3,0)</f>
        <v>#REF!</v>
      </c>
      <c r="AW168" s="1" t="e">
        <f>AV168/VLOOKUP(A168,'[50]geoMap (47)'!$A:$B,2,0)*VLOOKUP(A168,'[50]geoMap (47)'!$A:$C,3,0)</f>
        <v>#REF!</v>
      </c>
      <c r="AX168" s="4" t="e">
        <f>AW168/VLOOKUP(A168,'[51]geoMap (48)'!$A:$B,2,0)*VLOOKUP(A168,'[51]geoMap (48)'!$A:$C,3,0)</f>
        <v>#REF!</v>
      </c>
      <c r="AY168" s="1" t="e">
        <f>AX168/VLOOKUP(A168,'[52]geoMap (49)'!$A:$B,2,0)*VLOOKUP(A168,'[52]geoMap (49)'!$A:$C,3,0)</f>
        <v>#REF!</v>
      </c>
      <c r="AZ168" s="4" t="e">
        <f>AY168/VLOOKUP(A168,'[53]geoMap (50)'!$A:$B,2,0)*VLOOKUP(A168,'[53]geoMap (50)'!$A:$C,3,0)</f>
        <v>#REF!</v>
      </c>
      <c r="BA168" s="1" t="e">
        <f>AZ168/VLOOKUP(A168,'[54]geoMap (51)'!$A:$B,2,0)*VLOOKUP(A168,'[54]geoMap (51)'!$A:$C,3,0)</f>
        <v>#REF!</v>
      </c>
      <c r="BB168" s="4" t="e">
        <f>BA168/VLOOKUP(A168,'[55]geoMap (52)'!$A:$B,2,0)*VLOOKUP(A168,'[55]geoMap (52)'!$A:$C,3,0)</f>
        <v>#REF!</v>
      </c>
      <c r="BC168" s="1" t="e">
        <f>BB168/VLOOKUP(A168,'[56]geoMap (53)'!$A:$B,2,0)*VLOOKUP(A168,'[56]geoMap (53)'!$A:$C,3,0)</f>
        <v>#REF!</v>
      </c>
      <c r="BD168" s="4" t="e">
        <f>BC168/VLOOKUP(A168,'[57]geoMap (54)'!$A:$B,2,0)*VLOOKUP(A168,'[57]geoMap (54)'!$A:$C,3,0)</f>
        <v>#REF!</v>
      </c>
      <c r="BE168" s="1" t="e">
        <f>BD168/VLOOKUP(A168,'[58]geoMap (55)'!$A:$B,2,0)*VLOOKUP(A168,'[58]geoMap (55)'!$A:$C,3,0)</f>
        <v>#REF!</v>
      </c>
      <c r="BF168" s="4" t="e">
        <f>BE168/VLOOKUP(A168,'[59]geoMap (56)'!$A:$B,2,0)*VLOOKUP(A168,'[59]geoMap (56)'!$A:$C,3,0)</f>
        <v>#REF!</v>
      </c>
      <c r="BG168" s="1" t="e">
        <f>BF168/VLOOKUP(A168,'[60]geoMap (57)'!$A:$B,2,0)*VLOOKUP(A168,'[60]geoMap (57)'!$A:$C,3,0)</f>
        <v>#REF!</v>
      </c>
      <c r="BH168" s="4" t="e">
        <f>BG168/VLOOKUP(A168,'[61]geoMap (58)'!$A:$B,2,0)*VLOOKUP(A168,'[61]geoMap (58)'!$A:$C,3,0)</f>
        <v>#REF!</v>
      </c>
      <c r="BI168" s="1" t="e">
        <f>BH168/VLOOKUP(A168,'[62]geoMap (59)'!$A:$B,2,0)*VLOOKUP(A168,'[62]geoMap (59)'!$A:$C,3,0)</f>
        <v>#REF!</v>
      </c>
      <c r="BJ168" s="4" t="e">
        <f>BI168/VLOOKUP(A168,'[63]geoMap (60)'!$A:$B,2,0)*VLOOKUP(A168,'[63]geoMap (60)'!$A:$C,3,0)</f>
        <v>#REF!</v>
      </c>
      <c r="BK168" s="1" t="e">
        <f>BJ168/VLOOKUP(A168,'[64]geoMap (61)'!$A:$B,2,0)*VLOOKUP(A168,'[64]geoMap (61)'!$A:$C,3,0)</f>
        <v>#REF!</v>
      </c>
      <c r="BL168" s="4" t="e">
        <f>BK168/VLOOKUP(A168,'[65]geoMap (62)'!$A:$B,2,0)*VLOOKUP(A168,'[65]geoMap (62)'!$A:$C,3,0)</f>
        <v>#REF!</v>
      </c>
      <c r="BM168" s="1" t="e">
        <f>BL168/VLOOKUP(A168,'[66]geoMap (63)'!$A:$B,2,0)*VLOOKUP(A168,'[66]geoMap (63)'!$A:$C,3,0)</f>
        <v>#REF!</v>
      </c>
      <c r="BN168" s="4" t="e">
        <f>BM168/VLOOKUP(A168,'[67]geoMap (64)'!$A:$B,2,0)*VLOOKUP(A168,'[67]geoMap (64)'!$A:$C,3,0)</f>
        <v>#REF!</v>
      </c>
      <c r="BO168" s="1" t="e">
        <f>BN168/VLOOKUP(A168,'[68]geoMap (65)'!$A:$B,2,0)*VLOOKUP(A168,'[68]geoMap (65)'!$A:$C,3,0)</f>
        <v>#REF!</v>
      </c>
      <c r="BP168" s="4" t="e">
        <f>BO168/VLOOKUP(A168,'[69]geoMap (66)'!$A:$B,2,0)*VLOOKUP(A168,'[69]geoMap (66)'!$A:$C,3,0)</f>
        <v>#REF!</v>
      </c>
    </row>
    <row r="169" spans="1:68" x14ac:dyDescent="0.2">
      <c r="A169" s="1" t="s">
        <v>165</v>
      </c>
      <c r="B169" s="1" t="e">
        <f>VLOOKUP(A169,[3]geoMap!$A:$B,2,0)*Notes!$C$6</f>
        <v>#REF!</v>
      </c>
      <c r="C169" s="1" t="e">
        <f>B169/VLOOKUP(A169,'[4]geoMap (1)'!$A:$B,2,0)*VLOOKUP(A169,'[4]geoMap (1)'!$A:$C,3,0)</f>
        <v>#REF!</v>
      </c>
      <c r="D169" s="1" t="e">
        <f>C169/VLOOKUP(A169,'[5]geoMap (2)'!$A:$B,2,0)*VLOOKUP(A169,'[5]geoMap (2)'!$A:$C,3,0)</f>
        <v>#REF!</v>
      </c>
      <c r="E169" s="1" t="e">
        <f>D169/VLOOKUP(A169,'[6]geoMap (3)'!$A:$B,2,0)*VLOOKUP(A169,'[6]geoMap (3)'!$A:$C,3,0)</f>
        <v>#REF!</v>
      </c>
      <c r="F169" s="1" t="e">
        <f>E169/VLOOKUP(A169,'[7]geoMap (4)'!$A:$B,2,0)*VLOOKUP(A169,'[7]geoMap (4)'!$A:$C,3,0)</f>
        <v>#REF!</v>
      </c>
      <c r="G169" s="1" t="e">
        <f>F169/VLOOKUP(A169,'[8]geoMap (5)'!$A:$B,2,0)*VLOOKUP(A169,'[8]geoMap (5)'!$A:$C,3,0)</f>
        <v>#REF!</v>
      </c>
      <c r="H169" s="1" t="e">
        <f>G169/VLOOKUP(A169,'[9]geoMap (6)'!$A:$B,2,0)*VLOOKUP(A169,'[9]geoMap (6)'!$A:$C,3,0)</f>
        <v>#REF!</v>
      </c>
      <c r="I169" s="1" t="e">
        <f>H169/VLOOKUP(A169,'[10]geoMap (7)'!$A:$B,2,0)*VLOOKUP(A169,'[10]geoMap (7)'!$A:$C,3,0)</f>
        <v>#REF!</v>
      </c>
      <c r="J169" s="1" t="e">
        <f>I169/VLOOKUP(A169,'[11]geoMap (8)'!$A:$B,2,0)*VLOOKUP(A169,'[11]geoMap (8)'!$A:$C,3,0)</f>
        <v>#REF!</v>
      </c>
      <c r="K169" s="1" t="e">
        <f>J169/VLOOKUP(A169,'[12]geoMap (9)'!$A:$B,2,0)*VLOOKUP(A169,'[12]geoMap (9)'!$A:$C,3,0)</f>
        <v>#REF!</v>
      </c>
      <c r="L169" s="1" t="e">
        <f>K169/VLOOKUP(A169,'[13]geoMap (10)'!$A:$B,2,0)*VLOOKUP(A169,'[13]geoMap (10)'!$A:$C,3,0)</f>
        <v>#REF!</v>
      </c>
      <c r="M169" s="1" t="e">
        <f>L169/VLOOKUP(A169,'[14]geoMap (11)'!$A:$B,2,0)*VLOOKUP(A169,'[14]geoMap (11)'!$A:$C,3,0)</f>
        <v>#REF!</v>
      </c>
      <c r="N169" s="1" t="e">
        <f>M169/VLOOKUP(A169,'[15]geoMap (12)'!$A:$B,2,0)*VLOOKUP(A169,'[15]geoMap (12)'!$A:$C,3,0)</f>
        <v>#REF!</v>
      </c>
      <c r="O169" s="1" t="e">
        <f>N169/VLOOKUP(A169,'[16]geoMap (13)'!$A:$B,2,0)*VLOOKUP(A169,'[16]geoMap (13)'!$A:$C,3,0)</f>
        <v>#REF!</v>
      </c>
      <c r="P169" s="1" t="e">
        <f>O169/VLOOKUP(A169,'[17]geoMap (14)'!$A:$B,2,0)*VLOOKUP(A169,'[17]geoMap (14)'!$A:$C,3,0)</f>
        <v>#REF!</v>
      </c>
      <c r="Q169" s="1" t="e">
        <f>P169/VLOOKUP(A169,'[18]geoMap (15)'!$A:$B,2,0)*VLOOKUP(A169,'[18]geoMap (15)'!$A:$C,3,0)</f>
        <v>#REF!</v>
      </c>
      <c r="R169" s="1" t="e">
        <f>Q169/VLOOKUP(A169,'[19]geoMap (16)'!$A:$B,2,0)*VLOOKUP(A169,'[19]geoMap (16)'!$A:$C,3,0)</f>
        <v>#REF!</v>
      </c>
      <c r="S169" s="1" t="e">
        <f>R169/VLOOKUP(A169,'[20]geoMap (17)'!$A:$B,2,0)*VLOOKUP(A169,'[20]geoMap (17)'!$A:$C,3,0)</f>
        <v>#REF!</v>
      </c>
      <c r="T169" s="1" t="e">
        <f>S169/VLOOKUP(A169,'[21]geoMap (18)'!$A:$B,2,0)*VLOOKUP(A169,'[21]geoMap (18)'!$A:$C,3,0)</f>
        <v>#REF!</v>
      </c>
      <c r="U169" s="1" t="e">
        <f>T169/VLOOKUP(A169,'[22]geoMap (19)'!$A:$B,2,0)*VLOOKUP(A169,'[22]geoMap (19)'!$A:$C,3,0)</f>
        <v>#REF!</v>
      </c>
      <c r="V169" s="1" t="e">
        <f>U169/VLOOKUP(A169,'[23]geoMap (20)'!$A:$B,2,0)*VLOOKUP(A169,'[23]geoMap (20)'!$A:$C,3,0)</f>
        <v>#REF!</v>
      </c>
      <c r="W169" s="1" t="e">
        <f>V169/VLOOKUP(A169,'[24]geoMap (21)'!$A:$B,2,0)*VLOOKUP(A169,'[24]geoMap (21)'!$A:$C,3,0)</f>
        <v>#REF!</v>
      </c>
      <c r="X169" s="1" t="e">
        <f>W169/VLOOKUP(A169,'[25]geoMap (22)'!$A:$B,2,0)*VLOOKUP(A169,'[25]geoMap (22)'!$A:$C,3,0)</f>
        <v>#REF!</v>
      </c>
      <c r="Y169" s="1" t="e">
        <f>X169/VLOOKUP(A169,'[26]geoMap (23)'!$A:$B,2,0)*VLOOKUP(A169,'[26]geoMap (23)'!$A:$C,3,0)</f>
        <v>#REF!</v>
      </c>
      <c r="Z169" s="1" t="e">
        <f>Y169/VLOOKUP(A169,'[27]geoMap (24)'!$A:$B,2,0)*VLOOKUP(A169,'[27]geoMap (24)'!$A:$C,3,0)</f>
        <v>#REF!</v>
      </c>
      <c r="AA169" s="1" t="e">
        <f>Z169/VLOOKUP(A169,'[28]geoMap (25)'!$A:$B,2,0)*VLOOKUP(A169,'[28]geoMap (25)'!$A:$C,3,0)</f>
        <v>#REF!</v>
      </c>
      <c r="AB169" s="1" t="e">
        <f>AA169*VLOOKUP(A169,'[29]geoMap (26)'!$A:$B,2,0)*VLOOKUP(A169,'[29]geoMap (26)'!$A:$C,3,0)</f>
        <v>#REF!</v>
      </c>
      <c r="AC169" s="1" t="e">
        <f>AB169/VLOOKUP(A169,'[30]geoMap (27)'!$A:$B,2,0)*VLOOKUP(A169,'[30]geoMap (27)'!$A:$C,3,0)</f>
        <v>#REF!</v>
      </c>
      <c r="AD169" s="1" t="e">
        <f>AC169/VLOOKUP(A169,'[31]geoMap (28)'!$A:$B,2,0)*VLOOKUP(A169,'[31]geoMap (28)'!$A:$C,3,0)</f>
        <v>#REF!</v>
      </c>
      <c r="AE169" s="1" t="e">
        <f>AD169/VLOOKUP(A169,'[32]geoMap (29)'!$A:$B,2,0)*VLOOKUP(A169,'[32]geoMap (29)'!$A:$C,3,0)</f>
        <v>#REF!</v>
      </c>
      <c r="AF169" s="1" t="e">
        <f>AE169/VLOOKUP(A169,'[33]geoMap (30)'!$A:$B,2,0)*VLOOKUP(A169,'[33]geoMap (30)'!$A:$C,3,0)</f>
        <v>#REF!</v>
      </c>
      <c r="AG169" s="1" t="e">
        <f>AF169/VLOOKUP(A169,'[34]geoMap (31)'!$A:$B,2,0)*VLOOKUP(A169,'[34]geoMap (31)'!$A:$C,3,0)</f>
        <v>#REF!</v>
      </c>
      <c r="AH169" s="1" t="e">
        <f>AG169/VLOOKUP(A169,'[35]geoMap (32)'!$A:$B,2,0)*VLOOKUP(A169,'[35]geoMap (32)'!$A:$C,3,0)</f>
        <v>#REF!</v>
      </c>
      <c r="AI169" s="1" t="e">
        <f>AH169/VLOOKUP(A169,'[36]geoMap (33)'!$A:$B,2,0)*VLOOKUP(A169,'[36]geoMap (33)'!$A:$C,3,0)</f>
        <v>#REF!</v>
      </c>
      <c r="AJ169" s="1" t="e">
        <f>AI169/VLOOKUP(A169,'[37]geoMap (34)'!$A:$B,2,0)*VLOOKUP(A169,'[37]geoMap (34)'!$A:$C,3,0)</f>
        <v>#REF!</v>
      </c>
      <c r="AK169" s="1" t="e">
        <f>AJ169/VLOOKUP(A169,'[38]geoMap (35)'!$A:$B,2,0)*VLOOKUP(A169,'[38]geoMap (35)'!$A:$C,3,0)</f>
        <v>#REF!</v>
      </c>
      <c r="AL169" s="1" t="e">
        <f>AK169/VLOOKUP(A169,'[39]geoMap (36)'!$A:$B,2,0)*VLOOKUP(A169,'[39]geoMap (36)'!$A:$C,3,0)</f>
        <v>#REF!</v>
      </c>
      <c r="AM169" s="1" t="e">
        <f>AL169/VLOOKUP(A169,'[40]geoMap (37)'!$A:$B,2,0)*VLOOKUP(A169,'[40]geoMap (37)'!$A:$C,3,0)</f>
        <v>#REF!</v>
      </c>
      <c r="AN169" s="1" t="e">
        <f>AM169/VLOOKUP(A169,'[41]geoMap (38)'!$A:$B,2,0)*VLOOKUP(A169,'[41]geoMap (38)'!$A:$C,3,0)</f>
        <v>#REF!</v>
      </c>
      <c r="AO169" s="1" t="e">
        <f>AN169/VLOOKUP(A169,'[42]geoMap (39)'!$A:$B,2,0)*VLOOKUP(A169,'[42]geoMap (39)'!$A:$C,3,0)</f>
        <v>#REF!</v>
      </c>
      <c r="AP169" s="1" t="e">
        <f>AO169/VLOOKUP(A169,'[43]geoMap (40)'!$A:$B,2,0)*VLOOKUP(A169,'[43]geoMap (40)'!$A:$C,3,0)</f>
        <v>#REF!</v>
      </c>
      <c r="AQ169" s="1" t="e">
        <f>AP169/VLOOKUP(A169,'[44]geoMap (41)'!$A:$B,2,0)*VLOOKUP(A169,'[44]geoMap (41)'!$A:$C,3,0)</f>
        <v>#REF!</v>
      </c>
      <c r="AR169" s="1" t="e">
        <f>AQ169/VLOOKUP(A169,'[45]geoMap (42)'!$A:$B,2,0)*VLOOKUP(A169,'[45]geoMap (42)'!$A:$C,3,0)</f>
        <v>#REF!</v>
      </c>
      <c r="AS169" s="1" t="e">
        <f>AR169/VLOOKUP(A169,'[46]geoMap (43)'!$A:$B,2,0)*VLOOKUP(A169,'[46]geoMap (43)'!$A:$C,3,0)</f>
        <v>#REF!</v>
      </c>
      <c r="AT169" s="1" t="e">
        <f>AS169/VLOOKUP(A169,'[47]geoMap (44)'!$A:$B,2,0)*VLOOKUP(A169,'[47]geoMap (44)'!$A:$C,3,0)</f>
        <v>#REF!</v>
      </c>
      <c r="AU169" s="1" t="e">
        <f>AT169/VLOOKUP(A169,'[48]geoMap (45)'!$A:$B,2,0)*VLOOKUP(A169,'[48]geoMap (45)'!$A:$C,3,0)</f>
        <v>#REF!</v>
      </c>
      <c r="AV169" s="1" t="e">
        <f>AU169/VLOOKUP(A169,'[49]geoMap (46)'!$A:$B,2,0)*VLOOKUP(A169,'[49]geoMap (46)'!$A:$C,3,0)</f>
        <v>#REF!</v>
      </c>
      <c r="AW169" s="1" t="e">
        <f>AV169/VLOOKUP(A169,'[50]geoMap (47)'!$A:$B,2,0)*VLOOKUP(A169,'[50]geoMap (47)'!$A:$C,3,0)</f>
        <v>#REF!</v>
      </c>
      <c r="AX169" s="4" t="e">
        <f>AW169/VLOOKUP(A169,'[51]geoMap (48)'!$A:$B,2,0)*VLOOKUP(A169,'[51]geoMap (48)'!$A:$C,3,0)</f>
        <v>#REF!</v>
      </c>
      <c r="AY169" s="1" t="e">
        <f>AX169/VLOOKUP(A169,'[52]geoMap (49)'!$A:$B,2,0)*VLOOKUP(A169,'[52]geoMap (49)'!$A:$C,3,0)</f>
        <v>#REF!</v>
      </c>
      <c r="AZ169" s="4" t="e">
        <f>AY169/VLOOKUP(A169,'[53]geoMap (50)'!$A:$B,2,0)*VLOOKUP(A169,'[53]geoMap (50)'!$A:$C,3,0)</f>
        <v>#REF!</v>
      </c>
      <c r="BA169" s="1" t="e">
        <f>AZ169/VLOOKUP(A169,'[54]geoMap (51)'!$A:$B,2,0)*VLOOKUP(A169,'[54]geoMap (51)'!$A:$C,3,0)</f>
        <v>#REF!</v>
      </c>
      <c r="BB169" s="4" t="e">
        <f>BA169/VLOOKUP(A169,'[55]geoMap (52)'!$A:$B,2,0)*VLOOKUP(A169,'[55]geoMap (52)'!$A:$C,3,0)</f>
        <v>#REF!</v>
      </c>
      <c r="BC169" s="1" t="e">
        <f>BB169/VLOOKUP(A169,'[56]geoMap (53)'!$A:$B,2,0)*VLOOKUP(A169,'[56]geoMap (53)'!$A:$C,3,0)</f>
        <v>#REF!</v>
      </c>
      <c r="BD169" s="4" t="e">
        <f>BC169/VLOOKUP(A169,'[57]geoMap (54)'!$A:$B,2,0)*VLOOKUP(A169,'[57]geoMap (54)'!$A:$C,3,0)</f>
        <v>#REF!</v>
      </c>
      <c r="BE169" s="1" t="e">
        <f>BD169/VLOOKUP(A169,'[58]geoMap (55)'!$A:$B,2,0)*VLOOKUP(A169,'[58]geoMap (55)'!$A:$C,3,0)</f>
        <v>#REF!</v>
      </c>
      <c r="BF169" s="4" t="e">
        <f>BE169/VLOOKUP(A169,'[59]geoMap (56)'!$A:$B,2,0)*VLOOKUP(A169,'[59]geoMap (56)'!$A:$C,3,0)</f>
        <v>#REF!</v>
      </c>
      <c r="BG169" s="1" t="e">
        <f>BF169/VLOOKUP(A169,'[60]geoMap (57)'!$A:$B,2,0)*VLOOKUP(A169,'[60]geoMap (57)'!$A:$C,3,0)</f>
        <v>#REF!</v>
      </c>
      <c r="BH169" s="4" t="e">
        <f>BG169/VLOOKUP(A169,'[61]geoMap (58)'!$A:$B,2,0)*VLOOKUP(A169,'[61]geoMap (58)'!$A:$C,3,0)</f>
        <v>#REF!</v>
      </c>
      <c r="BI169" s="1" t="e">
        <f>BH169/VLOOKUP(A169,'[62]geoMap (59)'!$A:$B,2,0)*VLOOKUP(A169,'[62]geoMap (59)'!$A:$C,3,0)</f>
        <v>#REF!</v>
      </c>
      <c r="BJ169" s="4" t="e">
        <f>BI169/VLOOKUP(A169,'[63]geoMap (60)'!$A:$B,2,0)*VLOOKUP(A169,'[63]geoMap (60)'!$A:$C,3,0)</f>
        <v>#REF!</v>
      </c>
      <c r="BK169" s="1" t="e">
        <f>BJ169/VLOOKUP(A169,'[64]geoMap (61)'!$A:$B,2,0)*VLOOKUP(A169,'[64]geoMap (61)'!$A:$C,3,0)</f>
        <v>#REF!</v>
      </c>
      <c r="BL169" s="4" t="e">
        <f>BK169/VLOOKUP(A169,'[65]geoMap (62)'!$A:$B,2,0)*VLOOKUP(A169,'[65]geoMap (62)'!$A:$C,3,0)</f>
        <v>#REF!</v>
      </c>
      <c r="BM169" s="1" t="e">
        <f>BL169/VLOOKUP(A169,'[66]geoMap (63)'!$A:$B,2,0)*VLOOKUP(A169,'[66]geoMap (63)'!$A:$C,3,0)</f>
        <v>#REF!</v>
      </c>
      <c r="BN169" s="4" t="e">
        <f>BM169/VLOOKUP(A169,'[67]geoMap (64)'!$A:$B,2,0)*VLOOKUP(A169,'[67]geoMap (64)'!$A:$C,3,0)</f>
        <v>#REF!</v>
      </c>
      <c r="BO169" s="1" t="e">
        <f>BN169/VLOOKUP(A169,'[68]geoMap (65)'!$A:$B,2,0)*VLOOKUP(A169,'[68]geoMap (65)'!$A:$C,3,0)</f>
        <v>#REF!</v>
      </c>
      <c r="BP169" s="4" t="e">
        <f>BO169/VLOOKUP(A169,'[69]geoMap (66)'!$A:$B,2,0)*VLOOKUP(A169,'[69]geoMap (66)'!$A:$C,3,0)</f>
        <v>#REF!</v>
      </c>
    </row>
    <row r="170" spans="1:68" x14ac:dyDescent="0.2">
      <c r="A170" s="1" t="s">
        <v>166</v>
      </c>
      <c r="B170" s="1" t="e">
        <f>VLOOKUP(A170,[3]geoMap!$A:$B,2,0)*Notes!$C$6</f>
        <v>#REF!</v>
      </c>
      <c r="C170" s="1" t="e">
        <f>B170/VLOOKUP(A170,'[4]geoMap (1)'!$A:$B,2,0)*VLOOKUP(A170,'[4]geoMap (1)'!$A:$C,3,0)</f>
        <v>#REF!</v>
      </c>
      <c r="D170" s="1" t="e">
        <f>C170/VLOOKUP(A170,'[5]geoMap (2)'!$A:$B,2,0)*VLOOKUP(A170,'[5]geoMap (2)'!$A:$C,3,0)</f>
        <v>#REF!</v>
      </c>
      <c r="E170" s="1" t="e">
        <f>D170/VLOOKUP(A170,'[6]geoMap (3)'!$A:$B,2,0)*VLOOKUP(A170,'[6]geoMap (3)'!$A:$C,3,0)</f>
        <v>#REF!</v>
      </c>
      <c r="F170" s="1" t="e">
        <f>E170/VLOOKUP(A170,'[7]geoMap (4)'!$A:$B,2,0)*VLOOKUP(A170,'[7]geoMap (4)'!$A:$C,3,0)</f>
        <v>#REF!</v>
      </c>
      <c r="G170" s="1" t="e">
        <f>F170/VLOOKUP(A170,'[8]geoMap (5)'!$A:$B,2,0)*VLOOKUP(A170,'[8]geoMap (5)'!$A:$C,3,0)</f>
        <v>#REF!</v>
      </c>
      <c r="H170" s="1" t="e">
        <f>G170/VLOOKUP(A170,'[9]geoMap (6)'!$A:$B,2,0)*VLOOKUP(A170,'[9]geoMap (6)'!$A:$C,3,0)</f>
        <v>#REF!</v>
      </c>
      <c r="I170" s="1" t="e">
        <f>H170/VLOOKUP(A170,'[10]geoMap (7)'!$A:$B,2,0)*VLOOKUP(A170,'[10]geoMap (7)'!$A:$C,3,0)</f>
        <v>#REF!</v>
      </c>
      <c r="J170" s="1" t="e">
        <f>I170/VLOOKUP(A170,'[11]geoMap (8)'!$A:$B,2,0)*VLOOKUP(A170,'[11]geoMap (8)'!$A:$C,3,0)</f>
        <v>#REF!</v>
      </c>
      <c r="K170" s="1" t="e">
        <f>J170/VLOOKUP(A170,'[12]geoMap (9)'!$A:$B,2,0)*VLOOKUP(A170,'[12]geoMap (9)'!$A:$C,3,0)</f>
        <v>#REF!</v>
      </c>
      <c r="L170" s="1" t="e">
        <f>K170/VLOOKUP(A170,'[13]geoMap (10)'!$A:$B,2,0)*VLOOKUP(A170,'[13]geoMap (10)'!$A:$C,3,0)</f>
        <v>#REF!</v>
      </c>
      <c r="M170" s="1" t="e">
        <f>L170/VLOOKUP(A170,'[14]geoMap (11)'!$A:$B,2,0)*VLOOKUP(A170,'[14]geoMap (11)'!$A:$C,3,0)</f>
        <v>#REF!</v>
      </c>
      <c r="N170" s="1" t="e">
        <f>M170/VLOOKUP(A170,'[15]geoMap (12)'!$A:$B,2,0)*VLOOKUP(A170,'[15]geoMap (12)'!$A:$C,3,0)</f>
        <v>#REF!</v>
      </c>
      <c r="O170" s="1" t="e">
        <f>N170/VLOOKUP(A170,'[16]geoMap (13)'!$A:$B,2,0)*VLOOKUP(A170,'[16]geoMap (13)'!$A:$C,3,0)</f>
        <v>#REF!</v>
      </c>
      <c r="P170" s="1" t="e">
        <f>O170/VLOOKUP(A170,'[17]geoMap (14)'!$A:$B,2,0)*VLOOKUP(A170,'[17]geoMap (14)'!$A:$C,3,0)</f>
        <v>#REF!</v>
      </c>
      <c r="Q170" s="1" t="e">
        <f>P170/VLOOKUP(A170,'[18]geoMap (15)'!$A:$B,2,0)*VLOOKUP(A170,'[18]geoMap (15)'!$A:$C,3,0)</f>
        <v>#REF!</v>
      </c>
      <c r="R170" s="1" t="e">
        <f>Q170/VLOOKUP(A170,'[19]geoMap (16)'!$A:$B,2,0)*VLOOKUP(A170,'[19]geoMap (16)'!$A:$C,3,0)</f>
        <v>#REF!</v>
      </c>
      <c r="S170" s="1" t="e">
        <f>R170/VLOOKUP(A170,'[20]geoMap (17)'!$A:$B,2,0)*VLOOKUP(A170,'[20]geoMap (17)'!$A:$C,3,0)</f>
        <v>#REF!</v>
      </c>
      <c r="T170" s="1" t="e">
        <f>S170/VLOOKUP(A170,'[21]geoMap (18)'!$A:$B,2,0)*VLOOKUP(A170,'[21]geoMap (18)'!$A:$C,3,0)</f>
        <v>#REF!</v>
      </c>
      <c r="U170" s="1" t="e">
        <f>T170/VLOOKUP(A170,'[22]geoMap (19)'!$A:$B,2,0)*VLOOKUP(A170,'[22]geoMap (19)'!$A:$C,3,0)</f>
        <v>#REF!</v>
      </c>
      <c r="V170" s="1" t="e">
        <f>U170/VLOOKUP(A170,'[23]geoMap (20)'!$A:$B,2,0)*VLOOKUP(A170,'[23]geoMap (20)'!$A:$C,3,0)</f>
        <v>#REF!</v>
      </c>
      <c r="W170" s="1" t="e">
        <f>V170/VLOOKUP(A170,'[24]geoMap (21)'!$A:$B,2,0)*VLOOKUP(A170,'[24]geoMap (21)'!$A:$C,3,0)</f>
        <v>#REF!</v>
      </c>
      <c r="X170" s="1" t="e">
        <f>W170/VLOOKUP(A170,'[25]geoMap (22)'!$A:$B,2,0)*VLOOKUP(A170,'[25]geoMap (22)'!$A:$C,3,0)</f>
        <v>#REF!</v>
      </c>
      <c r="Y170" s="1" t="e">
        <f>X170/VLOOKUP(A170,'[26]geoMap (23)'!$A:$B,2,0)*VLOOKUP(A170,'[26]geoMap (23)'!$A:$C,3,0)</f>
        <v>#REF!</v>
      </c>
      <c r="Z170" s="1" t="e">
        <f>Y170/VLOOKUP(A170,'[27]geoMap (24)'!$A:$B,2,0)*VLOOKUP(A170,'[27]geoMap (24)'!$A:$C,3,0)</f>
        <v>#REF!</v>
      </c>
      <c r="AA170" s="1" t="e">
        <f>Z170/VLOOKUP(A170,'[28]geoMap (25)'!$A:$B,2,0)*VLOOKUP(A170,'[28]geoMap (25)'!$A:$C,3,0)</f>
        <v>#REF!</v>
      </c>
      <c r="AB170" s="1" t="e">
        <f>AA170*VLOOKUP(A170,'[29]geoMap (26)'!$A:$B,2,0)*VLOOKUP(A170,'[29]geoMap (26)'!$A:$C,3,0)</f>
        <v>#REF!</v>
      </c>
      <c r="AC170" s="1" t="e">
        <f>AB170/VLOOKUP(A170,'[30]geoMap (27)'!$A:$B,2,0)*VLOOKUP(A170,'[30]geoMap (27)'!$A:$C,3,0)</f>
        <v>#REF!</v>
      </c>
      <c r="AD170" s="1" t="e">
        <f>AC170/VLOOKUP(A170,'[31]geoMap (28)'!$A:$B,2,0)*VLOOKUP(A170,'[31]geoMap (28)'!$A:$C,3,0)</f>
        <v>#REF!</v>
      </c>
      <c r="AE170" s="1" t="e">
        <f>AD170/VLOOKUP(A170,'[32]geoMap (29)'!$A:$B,2,0)*VLOOKUP(A170,'[32]geoMap (29)'!$A:$C,3,0)</f>
        <v>#REF!</v>
      </c>
      <c r="AF170" s="1" t="e">
        <f>AE170/VLOOKUP(A170,'[33]geoMap (30)'!$A:$B,2,0)*VLOOKUP(A170,'[33]geoMap (30)'!$A:$C,3,0)</f>
        <v>#REF!</v>
      </c>
      <c r="AG170" s="1" t="e">
        <f>AF170/VLOOKUP(A170,'[34]geoMap (31)'!$A:$B,2,0)*VLOOKUP(A170,'[34]geoMap (31)'!$A:$C,3,0)</f>
        <v>#REF!</v>
      </c>
      <c r="AH170" s="1" t="e">
        <f>AG170/VLOOKUP(A170,'[35]geoMap (32)'!$A:$B,2,0)*VLOOKUP(A170,'[35]geoMap (32)'!$A:$C,3,0)</f>
        <v>#REF!</v>
      </c>
      <c r="AI170" s="1" t="e">
        <f>AH170/VLOOKUP(A170,'[36]geoMap (33)'!$A:$B,2,0)*VLOOKUP(A170,'[36]geoMap (33)'!$A:$C,3,0)</f>
        <v>#REF!</v>
      </c>
      <c r="AJ170" s="1" t="e">
        <f>AI170/VLOOKUP(A170,'[37]geoMap (34)'!$A:$B,2,0)*VLOOKUP(A170,'[37]geoMap (34)'!$A:$C,3,0)</f>
        <v>#REF!</v>
      </c>
      <c r="AK170" s="1" t="e">
        <f>AJ170/VLOOKUP(A170,'[38]geoMap (35)'!$A:$B,2,0)*VLOOKUP(A170,'[38]geoMap (35)'!$A:$C,3,0)</f>
        <v>#REF!</v>
      </c>
      <c r="AL170" s="1" t="e">
        <f>AK170/VLOOKUP(A170,'[39]geoMap (36)'!$A:$B,2,0)*VLOOKUP(A170,'[39]geoMap (36)'!$A:$C,3,0)</f>
        <v>#REF!</v>
      </c>
      <c r="AM170" s="1" t="e">
        <f>AL170/VLOOKUP(A170,'[40]geoMap (37)'!$A:$B,2,0)*VLOOKUP(A170,'[40]geoMap (37)'!$A:$C,3,0)</f>
        <v>#REF!</v>
      </c>
      <c r="AN170" s="1" t="e">
        <f>AM170/VLOOKUP(A170,'[41]geoMap (38)'!$A:$B,2,0)*VLOOKUP(A170,'[41]geoMap (38)'!$A:$C,3,0)</f>
        <v>#REF!</v>
      </c>
      <c r="AO170" s="1" t="e">
        <f>AN170/VLOOKUP(A170,'[42]geoMap (39)'!$A:$B,2,0)*VLOOKUP(A170,'[42]geoMap (39)'!$A:$C,3,0)</f>
        <v>#REF!</v>
      </c>
      <c r="AP170" s="1" t="e">
        <f>AO170/VLOOKUP(A170,'[43]geoMap (40)'!$A:$B,2,0)*VLOOKUP(A170,'[43]geoMap (40)'!$A:$C,3,0)</f>
        <v>#REF!</v>
      </c>
      <c r="AQ170" s="1" t="e">
        <f>AP170/VLOOKUP(A170,'[44]geoMap (41)'!$A:$B,2,0)*VLOOKUP(A170,'[44]geoMap (41)'!$A:$C,3,0)</f>
        <v>#REF!</v>
      </c>
      <c r="AR170" s="1" t="e">
        <f>AQ170/VLOOKUP(A170,'[45]geoMap (42)'!$A:$B,2,0)*VLOOKUP(A170,'[45]geoMap (42)'!$A:$C,3,0)</f>
        <v>#REF!</v>
      </c>
      <c r="AS170" s="1" t="e">
        <f>AR170/VLOOKUP(A170,'[46]geoMap (43)'!$A:$B,2,0)*VLOOKUP(A170,'[46]geoMap (43)'!$A:$C,3,0)</f>
        <v>#REF!</v>
      </c>
      <c r="AT170" s="1" t="e">
        <f>AS170/VLOOKUP(A170,'[47]geoMap (44)'!$A:$B,2,0)*VLOOKUP(A170,'[47]geoMap (44)'!$A:$C,3,0)</f>
        <v>#REF!</v>
      </c>
      <c r="AU170" s="1" t="e">
        <f>AT170/VLOOKUP(A170,'[48]geoMap (45)'!$A:$B,2,0)*VLOOKUP(A170,'[48]geoMap (45)'!$A:$C,3,0)</f>
        <v>#REF!</v>
      </c>
      <c r="AV170" s="1" t="e">
        <f>AU170/VLOOKUP(A170,'[49]geoMap (46)'!$A:$B,2,0)*VLOOKUP(A170,'[49]geoMap (46)'!$A:$C,3,0)</f>
        <v>#REF!</v>
      </c>
      <c r="AW170" s="1" t="e">
        <f>AV170/VLOOKUP(A170,'[50]geoMap (47)'!$A:$B,2,0)*VLOOKUP(A170,'[50]geoMap (47)'!$A:$C,3,0)</f>
        <v>#REF!</v>
      </c>
      <c r="AX170" s="4" t="e">
        <f>AW170/VLOOKUP(A170,'[51]geoMap (48)'!$A:$B,2,0)*VLOOKUP(A170,'[51]geoMap (48)'!$A:$C,3,0)</f>
        <v>#REF!</v>
      </c>
      <c r="AY170" s="1" t="e">
        <f>AX170/VLOOKUP(A170,'[52]geoMap (49)'!$A:$B,2,0)*VLOOKUP(A170,'[52]geoMap (49)'!$A:$C,3,0)</f>
        <v>#REF!</v>
      </c>
      <c r="AZ170" s="4" t="e">
        <f>AY170/VLOOKUP(A170,'[53]geoMap (50)'!$A:$B,2,0)*VLOOKUP(A170,'[53]geoMap (50)'!$A:$C,3,0)</f>
        <v>#REF!</v>
      </c>
      <c r="BA170" s="1" t="e">
        <f>AZ170/VLOOKUP(A170,'[54]geoMap (51)'!$A:$B,2,0)*VLOOKUP(A170,'[54]geoMap (51)'!$A:$C,3,0)</f>
        <v>#REF!</v>
      </c>
      <c r="BB170" s="4" t="e">
        <f>BA170/VLOOKUP(A170,'[55]geoMap (52)'!$A:$B,2,0)*VLOOKUP(A170,'[55]geoMap (52)'!$A:$C,3,0)</f>
        <v>#REF!</v>
      </c>
      <c r="BC170" s="1" t="e">
        <f>BB170/VLOOKUP(A170,'[56]geoMap (53)'!$A:$B,2,0)*VLOOKUP(A170,'[56]geoMap (53)'!$A:$C,3,0)</f>
        <v>#REF!</v>
      </c>
      <c r="BD170" s="4" t="e">
        <f>BC170/VLOOKUP(A170,'[57]geoMap (54)'!$A:$B,2,0)*VLOOKUP(A170,'[57]geoMap (54)'!$A:$C,3,0)</f>
        <v>#REF!</v>
      </c>
      <c r="BE170" s="1" t="e">
        <f>BD170/VLOOKUP(A170,'[58]geoMap (55)'!$A:$B,2,0)*VLOOKUP(A170,'[58]geoMap (55)'!$A:$C,3,0)</f>
        <v>#REF!</v>
      </c>
      <c r="BF170" s="4" t="e">
        <f>BE170/VLOOKUP(A170,'[59]geoMap (56)'!$A:$B,2,0)*VLOOKUP(A170,'[59]geoMap (56)'!$A:$C,3,0)</f>
        <v>#REF!</v>
      </c>
      <c r="BG170" s="1" t="e">
        <f>BF170/VLOOKUP(A170,'[60]geoMap (57)'!$A:$B,2,0)*VLOOKUP(A170,'[60]geoMap (57)'!$A:$C,3,0)</f>
        <v>#REF!</v>
      </c>
      <c r="BH170" s="4" t="e">
        <f>BG170/VLOOKUP(A170,'[61]geoMap (58)'!$A:$B,2,0)*VLOOKUP(A170,'[61]geoMap (58)'!$A:$C,3,0)</f>
        <v>#REF!</v>
      </c>
      <c r="BI170" s="1" t="e">
        <f>BH170/VLOOKUP(A170,'[62]geoMap (59)'!$A:$B,2,0)*VLOOKUP(A170,'[62]geoMap (59)'!$A:$C,3,0)</f>
        <v>#REF!</v>
      </c>
      <c r="BJ170" s="4" t="e">
        <f>BI170/VLOOKUP(A170,'[63]geoMap (60)'!$A:$B,2,0)*VLOOKUP(A170,'[63]geoMap (60)'!$A:$C,3,0)</f>
        <v>#REF!</v>
      </c>
      <c r="BK170" s="1" t="e">
        <f>BJ170/VLOOKUP(A170,'[64]geoMap (61)'!$A:$B,2,0)*VLOOKUP(A170,'[64]geoMap (61)'!$A:$C,3,0)</f>
        <v>#REF!</v>
      </c>
      <c r="BL170" s="4" t="e">
        <f>BK170/VLOOKUP(A170,'[65]geoMap (62)'!$A:$B,2,0)*VLOOKUP(A170,'[65]geoMap (62)'!$A:$C,3,0)</f>
        <v>#REF!</v>
      </c>
      <c r="BM170" s="1" t="e">
        <f>BL170/VLOOKUP(A170,'[66]geoMap (63)'!$A:$B,2,0)*VLOOKUP(A170,'[66]geoMap (63)'!$A:$C,3,0)</f>
        <v>#REF!</v>
      </c>
      <c r="BN170" s="4" t="e">
        <f>BM170/VLOOKUP(A170,'[67]geoMap (64)'!$A:$B,2,0)*VLOOKUP(A170,'[67]geoMap (64)'!$A:$C,3,0)</f>
        <v>#REF!</v>
      </c>
      <c r="BO170" s="1" t="e">
        <f>BN170/VLOOKUP(A170,'[68]geoMap (65)'!$A:$B,2,0)*VLOOKUP(A170,'[68]geoMap (65)'!$A:$C,3,0)</f>
        <v>#REF!</v>
      </c>
      <c r="BP170" s="4" t="e">
        <f>BO170/VLOOKUP(A170,'[69]geoMap (66)'!$A:$B,2,0)*VLOOKUP(A170,'[69]geoMap (66)'!$A:$C,3,0)</f>
        <v>#REF!</v>
      </c>
    </row>
    <row r="171" spans="1:68" x14ac:dyDescent="0.2">
      <c r="A171" s="1" t="s">
        <v>167</v>
      </c>
      <c r="B171" s="1" t="e">
        <f>VLOOKUP(A171,[3]geoMap!$A:$B,2,0)*Notes!$C$6</f>
        <v>#REF!</v>
      </c>
      <c r="C171" s="1" t="e">
        <f>B171/VLOOKUP(A171,'[4]geoMap (1)'!$A:$B,2,0)*VLOOKUP(A171,'[4]geoMap (1)'!$A:$C,3,0)</f>
        <v>#REF!</v>
      </c>
      <c r="D171" s="1" t="e">
        <f>C171/VLOOKUP(A171,'[5]geoMap (2)'!$A:$B,2,0)*VLOOKUP(A171,'[5]geoMap (2)'!$A:$C,3,0)</f>
        <v>#REF!</v>
      </c>
      <c r="E171" s="1" t="e">
        <f>D171/VLOOKUP(A171,'[6]geoMap (3)'!$A:$B,2,0)*VLOOKUP(A171,'[6]geoMap (3)'!$A:$C,3,0)</f>
        <v>#REF!</v>
      </c>
      <c r="F171" s="1" t="e">
        <f>E171/VLOOKUP(A171,'[7]geoMap (4)'!$A:$B,2,0)*VLOOKUP(A171,'[7]geoMap (4)'!$A:$C,3,0)</f>
        <v>#REF!</v>
      </c>
      <c r="G171" s="1" t="e">
        <f>F171/VLOOKUP(A171,'[8]geoMap (5)'!$A:$B,2,0)*VLOOKUP(A171,'[8]geoMap (5)'!$A:$C,3,0)</f>
        <v>#REF!</v>
      </c>
      <c r="H171" s="1" t="e">
        <f>G171/VLOOKUP(A171,'[9]geoMap (6)'!$A:$B,2,0)*VLOOKUP(A171,'[9]geoMap (6)'!$A:$C,3,0)</f>
        <v>#REF!</v>
      </c>
      <c r="I171" s="1" t="e">
        <f>H171/VLOOKUP(A171,'[10]geoMap (7)'!$A:$B,2,0)*VLOOKUP(A171,'[10]geoMap (7)'!$A:$C,3,0)</f>
        <v>#REF!</v>
      </c>
      <c r="J171" s="1" t="e">
        <f>I171/VLOOKUP(A171,'[11]geoMap (8)'!$A:$B,2,0)*VLOOKUP(A171,'[11]geoMap (8)'!$A:$C,3,0)</f>
        <v>#REF!</v>
      </c>
      <c r="K171" s="1" t="e">
        <f>J171/VLOOKUP(A171,'[12]geoMap (9)'!$A:$B,2,0)*VLOOKUP(A171,'[12]geoMap (9)'!$A:$C,3,0)</f>
        <v>#REF!</v>
      </c>
      <c r="L171" s="1" t="e">
        <f>K171/VLOOKUP(A171,'[13]geoMap (10)'!$A:$B,2,0)*VLOOKUP(A171,'[13]geoMap (10)'!$A:$C,3,0)</f>
        <v>#REF!</v>
      </c>
      <c r="M171" s="1" t="e">
        <f>L171/VLOOKUP(A171,'[14]geoMap (11)'!$A:$B,2,0)*VLOOKUP(A171,'[14]geoMap (11)'!$A:$C,3,0)</f>
        <v>#REF!</v>
      </c>
      <c r="N171" s="1" t="e">
        <f>M171/VLOOKUP(A171,'[15]geoMap (12)'!$A:$B,2,0)*VLOOKUP(A171,'[15]geoMap (12)'!$A:$C,3,0)</f>
        <v>#REF!</v>
      </c>
      <c r="O171" s="1" t="e">
        <f>N171/VLOOKUP(A171,'[16]geoMap (13)'!$A:$B,2,0)*VLOOKUP(A171,'[16]geoMap (13)'!$A:$C,3,0)</f>
        <v>#REF!</v>
      </c>
      <c r="P171" s="1" t="e">
        <f>O171/VLOOKUP(A171,'[17]geoMap (14)'!$A:$B,2,0)*VLOOKUP(A171,'[17]geoMap (14)'!$A:$C,3,0)</f>
        <v>#REF!</v>
      </c>
      <c r="Q171" s="1" t="e">
        <f>P171/VLOOKUP(A171,'[18]geoMap (15)'!$A:$B,2,0)*VLOOKUP(A171,'[18]geoMap (15)'!$A:$C,3,0)</f>
        <v>#REF!</v>
      </c>
      <c r="R171" s="1" t="e">
        <f>Q171/VLOOKUP(A171,'[19]geoMap (16)'!$A:$B,2,0)*VLOOKUP(A171,'[19]geoMap (16)'!$A:$C,3,0)</f>
        <v>#REF!</v>
      </c>
      <c r="S171" s="1" t="e">
        <f>R171/VLOOKUP(A171,'[20]geoMap (17)'!$A:$B,2,0)*VLOOKUP(A171,'[20]geoMap (17)'!$A:$C,3,0)</f>
        <v>#REF!</v>
      </c>
      <c r="T171" s="1" t="e">
        <f>S171/VLOOKUP(A171,'[21]geoMap (18)'!$A:$B,2,0)*VLOOKUP(A171,'[21]geoMap (18)'!$A:$C,3,0)</f>
        <v>#REF!</v>
      </c>
      <c r="U171" s="1" t="e">
        <f>T171/VLOOKUP(A171,'[22]geoMap (19)'!$A:$B,2,0)*VLOOKUP(A171,'[22]geoMap (19)'!$A:$C,3,0)</f>
        <v>#REF!</v>
      </c>
      <c r="V171" s="1" t="e">
        <f>U171/VLOOKUP(A171,'[23]geoMap (20)'!$A:$B,2,0)*VLOOKUP(A171,'[23]geoMap (20)'!$A:$C,3,0)</f>
        <v>#REF!</v>
      </c>
      <c r="W171" s="1" t="e">
        <f>V171/VLOOKUP(A171,'[24]geoMap (21)'!$A:$B,2,0)*VLOOKUP(A171,'[24]geoMap (21)'!$A:$C,3,0)</f>
        <v>#REF!</v>
      </c>
      <c r="X171" s="1" t="e">
        <f>W171/VLOOKUP(A171,'[25]geoMap (22)'!$A:$B,2,0)*VLOOKUP(A171,'[25]geoMap (22)'!$A:$C,3,0)</f>
        <v>#REF!</v>
      </c>
      <c r="Y171" s="1" t="e">
        <f>X171/VLOOKUP(A171,'[26]geoMap (23)'!$A:$B,2,0)*VLOOKUP(A171,'[26]geoMap (23)'!$A:$C,3,0)</f>
        <v>#REF!</v>
      </c>
      <c r="Z171" s="1" t="e">
        <f>Y171/VLOOKUP(A171,'[27]geoMap (24)'!$A:$B,2,0)*VLOOKUP(A171,'[27]geoMap (24)'!$A:$C,3,0)</f>
        <v>#REF!</v>
      </c>
      <c r="AA171" s="1" t="e">
        <f>Z171/VLOOKUP(A171,'[28]geoMap (25)'!$A:$B,2,0)*VLOOKUP(A171,'[28]geoMap (25)'!$A:$C,3,0)</f>
        <v>#REF!</v>
      </c>
      <c r="AB171" s="1" t="e">
        <f>AA171*VLOOKUP(A171,'[29]geoMap (26)'!$A:$B,2,0)*VLOOKUP(A171,'[29]geoMap (26)'!$A:$C,3,0)</f>
        <v>#REF!</v>
      </c>
      <c r="AC171" s="1" t="e">
        <f>AB171/VLOOKUP(A171,'[30]geoMap (27)'!$A:$B,2,0)*VLOOKUP(A171,'[30]geoMap (27)'!$A:$C,3,0)</f>
        <v>#REF!</v>
      </c>
      <c r="AD171" s="1" t="e">
        <f>AC171/VLOOKUP(A171,'[31]geoMap (28)'!$A:$B,2,0)*VLOOKUP(A171,'[31]geoMap (28)'!$A:$C,3,0)</f>
        <v>#REF!</v>
      </c>
      <c r="AE171" s="1" t="e">
        <f>AD171/VLOOKUP(A171,'[32]geoMap (29)'!$A:$B,2,0)*VLOOKUP(A171,'[32]geoMap (29)'!$A:$C,3,0)</f>
        <v>#REF!</v>
      </c>
      <c r="AF171" s="1" t="e">
        <f>AE171/VLOOKUP(A171,'[33]geoMap (30)'!$A:$B,2,0)*VLOOKUP(A171,'[33]geoMap (30)'!$A:$C,3,0)</f>
        <v>#REF!</v>
      </c>
      <c r="AG171" s="1" t="e">
        <f>AF171/VLOOKUP(A171,'[34]geoMap (31)'!$A:$B,2,0)*VLOOKUP(A171,'[34]geoMap (31)'!$A:$C,3,0)</f>
        <v>#REF!</v>
      </c>
      <c r="AH171" s="1" t="e">
        <f>AG171/VLOOKUP(A171,'[35]geoMap (32)'!$A:$B,2,0)*VLOOKUP(A171,'[35]geoMap (32)'!$A:$C,3,0)</f>
        <v>#REF!</v>
      </c>
      <c r="AI171" s="1" t="e">
        <f>AH171/VLOOKUP(A171,'[36]geoMap (33)'!$A:$B,2,0)*VLOOKUP(A171,'[36]geoMap (33)'!$A:$C,3,0)</f>
        <v>#REF!</v>
      </c>
      <c r="AJ171" s="1" t="e">
        <f>AI171/VLOOKUP(A171,'[37]geoMap (34)'!$A:$B,2,0)*VLOOKUP(A171,'[37]geoMap (34)'!$A:$C,3,0)</f>
        <v>#REF!</v>
      </c>
      <c r="AK171" s="1" t="e">
        <f>AJ171/VLOOKUP(A171,'[38]geoMap (35)'!$A:$B,2,0)*VLOOKUP(A171,'[38]geoMap (35)'!$A:$C,3,0)</f>
        <v>#REF!</v>
      </c>
      <c r="AL171" s="1" t="e">
        <f>AK171/VLOOKUP(A171,'[39]geoMap (36)'!$A:$B,2,0)*VLOOKUP(A171,'[39]geoMap (36)'!$A:$C,3,0)</f>
        <v>#REF!</v>
      </c>
      <c r="AM171" s="1" t="e">
        <f>AL171/VLOOKUP(A171,'[40]geoMap (37)'!$A:$B,2,0)*VLOOKUP(A171,'[40]geoMap (37)'!$A:$C,3,0)</f>
        <v>#REF!</v>
      </c>
      <c r="AN171" s="1" t="e">
        <f>AM171/VLOOKUP(A171,'[41]geoMap (38)'!$A:$B,2,0)*VLOOKUP(A171,'[41]geoMap (38)'!$A:$C,3,0)</f>
        <v>#REF!</v>
      </c>
      <c r="AO171" s="1" t="e">
        <f>AN171/VLOOKUP(A171,'[42]geoMap (39)'!$A:$B,2,0)*VLOOKUP(A171,'[42]geoMap (39)'!$A:$C,3,0)</f>
        <v>#REF!</v>
      </c>
      <c r="AP171" s="1" t="e">
        <f>AO171/VLOOKUP(A171,'[43]geoMap (40)'!$A:$B,2,0)*VLOOKUP(A171,'[43]geoMap (40)'!$A:$C,3,0)</f>
        <v>#REF!</v>
      </c>
      <c r="AQ171" s="1" t="e">
        <f>AP171/VLOOKUP(A171,'[44]geoMap (41)'!$A:$B,2,0)*VLOOKUP(A171,'[44]geoMap (41)'!$A:$C,3,0)</f>
        <v>#REF!</v>
      </c>
      <c r="AR171" s="1" t="e">
        <f>AQ171/VLOOKUP(A171,'[45]geoMap (42)'!$A:$B,2,0)*VLOOKUP(A171,'[45]geoMap (42)'!$A:$C,3,0)</f>
        <v>#REF!</v>
      </c>
      <c r="AS171" s="1" t="e">
        <f>AR171/VLOOKUP(A171,'[46]geoMap (43)'!$A:$B,2,0)*VLOOKUP(A171,'[46]geoMap (43)'!$A:$C,3,0)</f>
        <v>#REF!</v>
      </c>
      <c r="AT171" s="1" t="e">
        <f>AS171/VLOOKUP(A171,'[47]geoMap (44)'!$A:$B,2,0)*VLOOKUP(A171,'[47]geoMap (44)'!$A:$C,3,0)</f>
        <v>#REF!</v>
      </c>
      <c r="AU171" s="1" t="e">
        <f>AT171/VLOOKUP(A171,'[48]geoMap (45)'!$A:$B,2,0)*VLOOKUP(A171,'[48]geoMap (45)'!$A:$C,3,0)</f>
        <v>#REF!</v>
      </c>
      <c r="AV171" s="1" t="e">
        <f>AU171/VLOOKUP(A171,'[49]geoMap (46)'!$A:$B,2,0)*VLOOKUP(A171,'[49]geoMap (46)'!$A:$C,3,0)</f>
        <v>#REF!</v>
      </c>
      <c r="AW171" s="1" t="e">
        <f>AV171/VLOOKUP(A171,'[50]geoMap (47)'!$A:$B,2,0)*VLOOKUP(A171,'[50]geoMap (47)'!$A:$C,3,0)</f>
        <v>#REF!</v>
      </c>
      <c r="AX171" s="4" t="e">
        <f>AW171/VLOOKUP(A171,'[51]geoMap (48)'!$A:$B,2,0)*VLOOKUP(A171,'[51]geoMap (48)'!$A:$C,3,0)</f>
        <v>#REF!</v>
      </c>
      <c r="AY171" s="1" t="e">
        <f>AX171/VLOOKUP(A171,'[52]geoMap (49)'!$A:$B,2,0)*VLOOKUP(A171,'[52]geoMap (49)'!$A:$C,3,0)</f>
        <v>#REF!</v>
      </c>
      <c r="AZ171" s="4" t="e">
        <f>AY171/VLOOKUP(A171,'[53]geoMap (50)'!$A:$B,2,0)*VLOOKUP(A171,'[53]geoMap (50)'!$A:$C,3,0)</f>
        <v>#REF!</v>
      </c>
      <c r="BA171" s="1" t="e">
        <f>AZ171/VLOOKUP(A171,'[54]geoMap (51)'!$A:$B,2,0)*VLOOKUP(A171,'[54]geoMap (51)'!$A:$C,3,0)</f>
        <v>#REF!</v>
      </c>
      <c r="BB171" s="4" t="e">
        <f>BA171/VLOOKUP(A171,'[55]geoMap (52)'!$A:$B,2,0)*VLOOKUP(A171,'[55]geoMap (52)'!$A:$C,3,0)</f>
        <v>#REF!</v>
      </c>
      <c r="BC171" s="1" t="e">
        <f>BB171/VLOOKUP(A171,'[56]geoMap (53)'!$A:$B,2,0)*VLOOKUP(A171,'[56]geoMap (53)'!$A:$C,3,0)</f>
        <v>#REF!</v>
      </c>
      <c r="BD171" s="4" t="e">
        <f>BC171/VLOOKUP(A171,'[57]geoMap (54)'!$A:$B,2,0)*VLOOKUP(A171,'[57]geoMap (54)'!$A:$C,3,0)</f>
        <v>#REF!</v>
      </c>
      <c r="BE171" s="1" t="e">
        <f>BD171/VLOOKUP(A171,'[58]geoMap (55)'!$A:$B,2,0)*VLOOKUP(A171,'[58]geoMap (55)'!$A:$C,3,0)</f>
        <v>#REF!</v>
      </c>
      <c r="BF171" s="4" t="e">
        <f>BE171/VLOOKUP(A171,'[59]geoMap (56)'!$A:$B,2,0)*VLOOKUP(A171,'[59]geoMap (56)'!$A:$C,3,0)</f>
        <v>#REF!</v>
      </c>
      <c r="BG171" s="1" t="e">
        <f>BF171/VLOOKUP(A171,'[60]geoMap (57)'!$A:$B,2,0)*VLOOKUP(A171,'[60]geoMap (57)'!$A:$C,3,0)</f>
        <v>#REF!</v>
      </c>
      <c r="BH171" s="4" t="e">
        <f>BG171/VLOOKUP(A171,'[61]geoMap (58)'!$A:$B,2,0)*VLOOKUP(A171,'[61]geoMap (58)'!$A:$C,3,0)</f>
        <v>#REF!</v>
      </c>
      <c r="BI171" s="1" t="e">
        <f>BH171/VLOOKUP(A171,'[62]geoMap (59)'!$A:$B,2,0)*VLOOKUP(A171,'[62]geoMap (59)'!$A:$C,3,0)</f>
        <v>#REF!</v>
      </c>
      <c r="BJ171" s="4" t="e">
        <f>BI171/VLOOKUP(A171,'[63]geoMap (60)'!$A:$B,2,0)*VLOOKUP(A171,'[63]geoMap (60)'!$A:$C,3,0)</f>
        <v>#REF!</v>
      </c>
      <c r="BK171" s="1" t="e">
        <f>BJ171/VLOOKUP(A171,'[64]geoMap (61)'!$A:$B,2,0)*VLOOKUP(A171,'[64]geoMap (61)'!$A:$C,3,0)</f>
        <v>#REF!</v>
      </c>
      <c r="BL171" s="4" t="e">
        <f>BK171/VLOOKUP(A171,'[65]geoMap (62)'!$A:$B,2,0)*VLOOKUP(A171,'[65]geoMap (62)'!$A:$C,3,0)</f>
        <v>#REF!</v>
      </c>
      <c r="BM171" s="1" t="e">
        <f>BL171/VLOOKUP(A171,'[66]geoMap (63)'!$A:$B,2,0)*VLOOKUP(A171,'[66]geoMap (63)'!$A:$C,3,0)</f>
        <v>#REF!</v>
      </c>
      <c r="BN171" s="4" t="e">
        <f>BM171/VLOOKUP(A171,'[67]geoMap (64)'!$A:$B,2,0)*VLOOKUP(A171,'[67]geoMap (64)'!$A:$C,3,0)</f>
        <v>#REF!</v>
      </c>
      <c r="BO171" s="1" t="e">
        <f>BN171/VLOOKUP(A171,'[68]geoMap (65)'!$A:$B,2,0)*VLOOKUP(A171,'[68]geoMap (65)'!$A:$C,3,0)</f>
        <v>#REF!</v>
      </c>
      <c r="BP171" s="4" t="e">
        <f>BO171/VLOOKUP(A171,'[69]geoMap (66)'!$A:$B,2,0)*VLOOKUP(A171,'[69]geoMap (66)'!$A:$C,3,0)</f>
        <v>#REF!</v>
      </c>
    </row>
    <row r="172" spans="1:68" x14ac:dyDescent="0.2">
      <c r="A172" s="1" t="s">
        <v>169</v>
      </c>
      <c r="B172" s="1" t="e">
        <f>VLOOKUP(A172,[3]geoMap!$A:$B,2,0)*Notes!$C$6</f>
        <v>#REF!</v>
      </c>
      <c r="C172" s="1" t="e">
        <f>B172/VLOOKUP(A172,'[4]geoMap (1)'!$A:$B,2,0)*VLOOKUP(A172,'[4]geoMap (1)'!$A:$C,3,0)</f>
        <v>#REF!</v>
      </c>
      <c r="D172" s="1" t="e">
        <f>C172/VLOOKUP(A172,'[5]geoMap (2)'!$A:$B,2,0)*VLOOKUP(A172,'[5]geoMap (2)'!$A:$C,3,0)</f>
        <v>#REF!</v>
      </c>
      <c r="E172" s="1" t="e">
        <f>D172/VLOOKUP(A172,'[6]geoMap (3)'!$A:$B,2,0)*VLOOKUP(A172,'[6]geoMap (3)'!$A:$C,3,0)</f>
        <v>#REF!</v>
      </c>
      <c r="F172" s="1" t="e">
        <f>E172/VLOOKUP(A172,'[7]geoMap (4)'!$A:$B,2,0)*VLOOKUP(A172,'[7]geoMap (4)'!$A:$C,3,0)</f>
        <v>#REF!</v>
      </c>
      <c r="G172" s="1" t="e">
        <f>F172/VLOOKUP(A172,'[8]geoMap (5)'!$A:$B,2,0)*VLOOKUP(A172,'[8]geoMap (5)'!$A:$C,3,0)</f>
        <v>#REF!</v>
      </c>
      <c r="H172" s="1" t="e">
        <f>G172/VLOOKUP(A172,'[9]geoMap (6)'!$A:$B,2,0)*VLOOKUP(A172,'[9]geoMap (6)'!$A:$C,3,0)</f>
        <v>#REF!</v>
      </c>
      <c r="I172" s="1" t="e">
        <f>H172/VLOOKUP(A172,'[10]geoMap (7)'!$A:$B,2,0)*VLOOKUP(A172,'[10]geoMap (7)'!$A:$C,3,0)</f>
        <v>#REF!</v>
      </c>
      <c r="J172" s="1" t="e">
        <f>I172/VLOOKUP(A172,'[11]geoMap (8)'!$A:$B,2,0)*VLOOKUP(A172,'[11]geoMap (8)'!$A:$C,3,0)</f>
        <v>#REF!</v>
      </c>
      <c r="K172" s="1" t="e">
        <f>J172/VLOOKUP(A172,'[12]geoMap (9)'!$A:$B,2,0)*VLOOKUP(A172,'[12]geoMap (9)'!$A:$C,3,0)</f>
        <v>#REF!</v>
      </c>
      <c r="L172" s="1" t="e">
        <f>K172/VLOOKUP(A172,'[13]geoMap (10)'!$A:$B,2,0)*VLOOKUP(A172,'[13]geoMap (10)'!$A:$C,3,0)</f>
        <v>#REF!</v>
      </c>
      <c r="M172" s="1" t="e">
        <f>L172/VLOOKUP(A172,'[14]geoMap (11)'!$A:$B,2,0)*VLOOKUP(A172,'[14]geoMap (11)'!$A:$C,3,0)</f>
        <v>#REF!</v>
      </c>
      <c r="N172" s="1" t="e">
        <f>M172/VLOOKUP(A172,'[15]geoMap (12)'!$A:$B,2,0)*VLOOKUP(A172,'[15]geoMap (12)'!$A:$C,3,0)</f>
        <v>#REF!</v>
      </c>
      <c r="O172" s="1" t="e">
        <f>N172/VLOOKUP(A172,'[16]geoMap (13)'!$A:$B,2,0)*VLOOKUP(A172,'[16]geoMap (13)'!$A:$C,3,0)</f>
        <v>#REF!</v>
      </c>
      <c r="P172" s="1" t="e">
        <f>O172/VLOOKUP(A172,'[17]geoMap (14)'!$A:$B,2,0)*VLOOKUP(A172,'[17]geoMap (14)'!$A:$C,3,0)</f>
        <v>#REF!</v>
      </c>
      <c r="Q172" s="1" t="e">
        <f>P172/VLOOKUP(A172,'[18]geoMap (15)'!$A:$B,2,0)*VLOOKUP(A172,'[18]geoMap (15)'!$A:$C,3,0)</f>
        <v>#REF!</v>
      </c>
      <c r="R172" s="1" t="e">
        <f>Q172/VLOOKUP(A172,'[19]geoMap (16)'!$A:$B,2,0)*VLOOKUP(A172,'[19]geoMap (16)'!$A:$C,3,0)</f>
        <v>#REF!</v>
      </c>
      <c r="S172" s="1" t="e">
        <f>R172/VLOOKUP(A172,'[20]geoMap (17)'!$A:$B,2,0)*VLOOKUP(A172,'[20]geoMap (17)'!$A:$C,3,0)</f>
        <v>#REF!</v>
      </c>
      <c r="T172" s="1" t="e">
        <f>S172/VLOOKUP(A172,'[21]geoMap (18)'!$A:$B,2,0)*VLOOKUP(A172,'[21]geoMap (18)'!$A:$C,3,0)</f>
        <v>#REF!</v>
      </c>
      <c r="U172" s="1" t="e">
        <f>T172/VLOOKUP(A172,'[22]geoMap (19)'!$A:$B,2,0)*VLOOKUP(A172,'[22]geoMap (19)'!$A:$C,3,0)</f>
        <v>#REF!</v>
      </c>
      <c r="V172" s="1" t="e">
        <f>U172/VLOOKUP(A172,'[23]geoMap (20)'!$A:$B,2,0)*VLOOKUP(A172,'[23]geoMap (20)'!$A:$C,3,0)</f>
        <v>#REF!</v>
      </c>
      <c r="W172" s="1" t="e">
        <f>V172/VLOOKUP(A172,'[24]geoMap (21)'!$A:$B,2,0)*VLOOKUP(A172,'[24]geoMap (21)'!$A:$C,3,0)</f>
        <v>#REF!</v>
      </c>
      <c r="X172" s="1" t="e">
        <f>W172/VLOOKUP(A172,'[25]geoMap (22)'!$A:$B,2,0)*VLOOKUP(A172,'[25]geoMap (22)'!$A:$C,3,0)</f>
        <v>#REF!</v>
      </c>
      <c r="Y172" s="1" t="e">
        <f>X172/VLOOKUP(A172,'[26]geoMap (23)'!$A:$B,2,0)*VLOOKUP(A172,'[26]geoMap (23)'!$A:$C,3,0)</f>
        <v>#REF!</v>
      </c>
      <c r="Z172" s="1" t="e">
        <f>Y172/VLOOKUP(A172,'[27]geoMap (24)'!$A:$B,2,0)*VLOOKUP(A172,'[27]geoMap (24)'!$A:$C,3,0)</f>
        <v>#REF!</v>
      </c>
      <c r="AA172" s="1" t="e">
        <f>Z172/VLOOKUP(A172,'[28]geoMap (25)'!$A:$B,2,0)*VLOOKUP(A172,'[28]geoMap (25)'!$A:$C,3,0)</f>
        <v>#REF!</v>
      </c>
      <c r="AB172" s="1" t="e">
        <f>AA172*VLOOKUP(A172,'[29]geoMap (26)'!$A:$B,2,0)*VLOOKUP(A172,'[29]geoMap (26)'!$A:$C,3,0)</f>
        <v>#REF!</v>
      </c>
      <c r="AC172" s="1" t="e">
        <f>AB172/VLOOKUP(A172,'[30]geoMap (27)'!$A:$B,2,0)*VLOOKUP(A172,'[30]geoMap (27)'!$A:$C,3,0)</f>
        <v>#REF!</v>
      </c>
      <c r="AD172" s="1" t="e">
        <f>AC172/VLOOKUP(A172,'[31]geoMap (28)'!$A:$B,2,0)*VLOOKUP(A172,'[31]geoMap (28)'!$A:$C,3,0)</f>
        <v>#REF!</v>
      </c>
      <c r="AE172" s="1" t="e">
        <f>AD172/VLOOKUP(A172,'[32]geoMap (29)'!$A:$B,2,0)*VLOOKUP(A172,'[32]geoMap (29)'!$A:$C,3,0)</f>
        <v>#REF!</v>
      </c>
      <c r="AF172" s="1" t="e">
        <f>AE172/VLOOKUP(A172,'[33]geoMap (30)'!$A:$B,2,0)*VLOOKUP(A172,'[33]geoMap (30)'!$A:$C,3,0)</f>
        <v>#REF!</v>
      </c>
      <c r="AG172" s="1" t="e">
        <f>AF172/VLOOKUP(A172,'[34]geoMap (31)'!$A:$B,2,0)*VLOOKUP(A172,'[34]geoMap (31)'!$A:$C,3,0)</f>
        <v>#REF!</v>
      </c>
      <c r="AH172" s="1" t="e">
        <f>AG172/VLOOKUP(A172,'[35]geoMap (32)'!$A:$B,2,0)*VLOOKUP(A172,'[35]geoMap (32)'!$A:$C,3,0)</f>
        <v>#REF!</v>
      </c>
      <c r="AI172" s="1" t="e">
        <f>AH172/VLOOKUP(A172,'[36]geoMap (33)'!$A:$B,2,0)*VLOOKUP(A172,'[36]geoMap (33)'!$A:$C,3,0)</f>
        <v>#REF!</v>
      </c>
      <c r="AJ172" s="1" t="e">
        <f>AI172/VLOOKUP(A172,'[37]geoMap (34)'!$A:$B,2,0)*VLOOKUP(A172,'[37]geoMap (34)'!$A:$C,3,0)</f>
        <v>#REF!</v>
      </c>
      <c r="AK172" s="1" t="e">
        <f>AJ172/VLOOKUP(A172,'[38]geoMap (35)'!$A:$B,2,0)*VLOOKUP(A172,'[38]geoMap (35)'!$A:$C,3,0)</f>
        <v>#REF!</v>
      </c>
      <c r="AL172" s="1" t="e">
        <f>AK172/VLOOKUP(A172,'[39]geoMap (36)'!$A:$B,2,0)*VLOOKUP(A172,'[39]geoMap (36)'!$A:$C,3,0)</f>
        <v>#REF!</v>
      </c>
      <c r="AM172" s="1" t="e">
        <f>AL172/VLOOKUP(A172,'[40]geoMap (37)'!$A:$B,2,0)*VLOOKUP(A172,'[40]geoMap (37)'!$A:$C,3,0)</f>
        <v>#REF!</v>
      </c>
      <c r="AN172" s="1" t="e">
        <f>AM172/VLOOKUP(A172,'[41]geoMap (38)'!$A:$B,2,0)*VLOOKUP(A172,'[41]geoMap (38)'!$A:$C,3,0)</f>
        <v>#REF!</v>
      </c>
      <c r="AO172" s="1" t="e">
        <f>AN172/VLOOKUP(A172,'[42]geoMap (39)'!$A:$B,2,0)*VLOOKUP(A172,'[42]geoMap (39)'!$A:$C,3,0)</f>
        <v>#REF!</v>
      </c>
      <c r="AP172" s="1" t="e">
        <f>AO172/VLOOKUP(A172,'[43]geoMap (40)'!$A:$B,2,0)*VLOOKUP(A172,'[43]geoMap (40)'!$A:$C,3,0)</f>
        <v>#REF!</v>
      </c>
      <c r="AQ172" s="1" t="e">
        <f>AP172/VLOOKUP(A172,'[44]geoMap (41)'!$A:$B,2,0)*VLOOKUP(A172,'[44]geoMap (41)'!$A:$C,3,0)</f>
        <v>#REF!</v>
      </c>
      <c r="AR172" s="1" t="e">
        <f>AQ172/VLOOKUP(A172,'[45]geoMap (42)'!$A:$B,2,0)*VLOOKUP(A172,'[45]geoMap (42)'!$A:$C,3,0)</f>
        <v>#REF!</v>
      </c>
      <c r="AS172" s="1" t="e">
        <f>AR172/VLOOKUP(A172,'[46]geoMap (43)'!$A:$B,2,0)*VLOOKUP(A172,'[46]geoMap (43)'!$A:$C,3,0)</f>
        <v>#REF!</v>
      </c>
      <c r="AT172" s="1" t="e">
        <f>AS172/VLOOKUP(A172,'[47]geoMap (44)'!$A:$B,2,0)*VLOOKUP(A172,'[47]geoMap (44)'!$A:$C,3,0)</f>
        <v>#REF!</v>
      </c>
      <c r="AU172" s="1" t="e">
        <f>AT172/VLOOKUP(A172,'[48]geoMap (45)'!$A:$B,2,0)*VLOOKUP(A172,'[48]geoMap (45)'!$A:$C,3,0)</f>
        <v>#REF!</v>
      </c>
      <c r="AV172" s="1" t="e">
        <f>AU172/VLOOKUP(A172,'[49]geoMap (46)'!$A:$B,2,0)*VLOOKUP(A172,'[49]geoMap (46)'!$A:$C,3,0)</f>
        <v>#REF!</v>
      </c>
      <c r="AW172" s="1" t="e">
        <f>AV172/VLOOKUP(A172,'[50]geoMap (47)'!$A:$B,2,0)*VLOOKUP(A172,'[50]geoMap (47)'!$A:$C,3,0)</f>
        <v>#REF!</v>
      </c>
      <c r="AX172" s="4" t="e">
        <f>AW172/VLOOKUP(A172,'[51]geoMap (48)'!$A:$B,2,0)*VLOOKUP(A172,'[51]geoMap (48)'!$A:$C,3,0)</f>
        <v>#REF!</v>
      </c>
      <c r="AY172" s="1" t="e">
        <f>AX172/VLOOKUP(A172,'[52]geoMap (49)'!$A:$B,2,0)*VLOOKUP(A172,'[52]geoMap (49)'!$A:$C,3,0)</f>
        <v>#REF!</v>
      </c>
      <c r="AZ172" s="4" t="e">
        <f>AY172/VLOOKUP(A172,'[53]geoMap (50)'!$A:$B,2,0)*VLOOKUP(A172,'[53]geoMap (50)'!$A:$C,3,0)</f>
        <v>#REF!</v>
      </c>
      <c r="BA172" s="1" t="e">
        <f>AZ172/VLOOKUP(A172,'[54]geoMap (51)'!$A:$B,2,0)*VLOOKUP(A172,'[54]geoMap (51)'!$A:$C,3,0)</f>
        <v>#REF!</v>
      </c>
      <c r="BB172" s="4" t="e">
        <f>BA172/VLOOKUP(A172,'[55]geoMap (52)'!$A:$B,2,0)*VLOOKUP(A172,'[55]geoMap (52)'!$A:$C,3,0)</f>
        <v>#REF!</v>
      </c>
      <c r="BC172" s="1" t="e">
        <f>BB172/VLOOKUP(A172,'[56]geoMap (53)'!$A:$B,2,0)*VLOOKUP(A172,'[56]geoMap (53)'!$A:$C,3,0)</f>
        <v>#REF!</v>
      </c>
      <c r="BD172" s="4" t="e">
        <f>BC172/VLOOKUP(A172,'[57]geoMap (54)'!$A:$B,2,0)*VLOOKUP(A172,'[57]geoMap (54)'!$A:$C,3,0)</f>
        <v>#REF!</v>
      </c>
      <c r="BE172" s="1" t="e">
        <f>BD172/VLOOKUP(A172,'[58]geoMap (55)'!$A:$B,2,0)*VLOOKUP(A172,'[58]geoMap (55)'!$A:$C,3,0)</f>
        <v>#REF!</v>
      </c>
      <c r="BF172" s="4" t="e">
        <f>BE172/VLOOKUP(A172,'[59]geoMap (56)'!$A:$B,2,0)*VLOOKUP(A172,'[59]geoMap (56)'!$A:$C,3,0)</f>
        <v>#REF!</v>
      </c>
      <c r="BG172" s="1" t="e">
        <f>BF172/VLOOKUP(A172,'[60]geoMap (57)'!$A:$B,2,0)*VLOOKUP(A172,'[60]geoMap (57)'!$A:$C,3,0)</f>
        <v>#REF!</v>
      </c>
      <c r="BH172" s="4" t="e">
        <f>BG172/VLOOKUP(A172,'[61]geoMap (58)'!$A:$B,2,0)*VLOOKUP(A172,'[61]geoMap (58)'!$A:$C,3,0)</f>
        <v>#REF!</v>
      </c>
      <c r="BI172" s="1" t="e">
        <f>BH172/VLOOKUP(A172,'[62]geoMap (59)'!$A:$B,2,0)*VLOOKUP(A172,'[62]geoMap (59)'!$A:$C,3,0)</f>
        <v>#REF!</v>
      </c>
      <c r="BJ172" s="4" t="e">
        <f>BI172/VLOOKUP(A172,'[63]geoMap (60)'!$A:$B,2,0)*VLOOKUP(A172,'[63]geoMap (60)'!$A:$C,3,0)</f>
        <v>#REF!</v>
      </c>
      <c r="BK172" s="1" t="e">
        <f>BJ172/VLOOKUP(A172,'[64]geoMap (61)'!$A:$B,2,0)*VLOOKUP(A172,'[64]geoMap (61)'!$A:$C,3,0)</f>
        <v>#REF!</v>
      </c>
      <c r="BL172" s="4" t="e">
        <f>BK172/VLOOKUP(A172,'[65]geoMap (62)'!$A:$B,2,0)*VLOOKUP(A172,'[65]geoMap (62)'!$A:$C,3,0)</f>
        <v>#REF!</v>
      </c>
      <c r="BM172" s="1" t="e">
        <f>BL172/VLOOKUP(A172,'[66]geoMap (63)'!$A:$B,2,0)*VLOOKUP(A172,'[66]geoMap (63)'!$A:$C,3,0)</f>
        <v>#REF!</v>
      </c>
      <c r="BN172" s="4" t="e">
        <f>BM172/VLOOKUP(A172,'[67]geoMap (64)'!$A:$B,2,0)*VLOOKUP(A172,'[67]geoMap (64)'!$A:$C,3,0)</f>
        <v>#REF!</v>
      </c>
      <c r="BO172" s="1" t="e">
        <f>BN172/VLOOKUP(A172,'[68]geoMap (65)'!$A:$B,2,0)*VLOOKUP(A172,'[68]geoMap (65)'!$A:$C,3,0)</f>
        <v>#REF!</v>
      </c>
      <c r="BP172" s="4" t="e">
        <f>BO172/VLOOKUP(A172,'[69]geoMap (66)'!$A:$B,2,0)*VLOOKUP(A172,'[69]geoMap (66)'!$A:$C,3,0)</f>
        <v>#REF!</v>
      </c>
    </row>
    <row r="173" spans="1:68" x14ac:dyDescent="0.2">
      <c r="A173" s="1" t="s">
        <v>171</v>
      </c>
      <c r="B173" s="1" t="e">
        <f>VLOOKUP(A173,[3]geoMap!$A:$B,2,0)*Notes!$C$6</f>
        <v>#REF!</v>
      </c>
      <c r="C173" s="1" t="e">
        <f>B173/VLOOKUP(A173,'[4]geoMap (1)'!$A:$B,2,0)*VLOOKUP(A173,'[4]geoMap (1)'!$A:$C,3,0)</f>
        <v>#REF!</v>
      </c>
      <c r="D173" s="1" t="e">
        <f>C173/VLOOKUP(A173,'[5]geoMap (2)'!$A:$B,2,0)*VLOOKUP(A173,'[5]geoMap (2)'!$A:$C,3,0)</f>
        <v>#REF!</v>
      </c>
      <c r="E173" s="1" t="e">
        <f>D173/VLOOKUP(A173,'[6]geoMap (3)'!$A:$B,2,0)*VLOOKUP(A173,'[6]geoMap (3)'!$A:$C,3,0)</f>
        <v>#REF!</v>
      </c>
      <c r="F173" s="1" t="e">
        <f>E173/VLOOKUP(A173,'[7]geoMap (4)'!$A:$B,2,0)*VLOOKUP(A173,'[7]geoMap (4)'!$A:$C,3,0)</f>
        <v>#REF!</v>
      </c>
      <c r="G173" s="1" t="e">
        <f>F173/VLOOKUP(A173,'[8]geoMap (5)'!$A:$B,2,0)*VLOOKUP(A173,'[8]geoMap (5)'!$A:$C,3,0)</f>
        <v>#REF!</v>
      </c>
      <c r="H173" s="1" t="e">
        <f>G173/VLOOKUP(A173,'[9]geoMap (6)'!$A:$B,2,0)*VLOOKUP(A173,'[9]geoMap (6)'!$A:$C,3,0)</f>
        <v>#REF!</v>
      </c>
      <c r="I173" s="1" t="e">
        <f>H173/VLOOKUP(A173,'[10]geoMap (7)'!$A:$B,2,0)*VLOOKUP(A173,'[10]geoMap (7)'!$A:$C,3,0)</f>
        <v>#REF!</v>
      </c>
      <c r="J173" s="1" t="e">
        <f>I173/VLOOKUP(A173,'[11]geoMap (8)'!$A:$B,2,0)*VLOOKUP(A173,'[11]geoMap (8)'!$A:$C,3,0)</f>
        <v>#REF!</v>
      </c>
      <c r="K173" s="1" t="e">
        <f>J173/VLOOKUP(A173,'[12]geoMap (9)'!$A:$B,2,0)*VLOOKUP(A173,'[12]geoMap (9)'!$A:$C,3,0)</f>
        <v>#REF!</v>
      </c>
      <c r="L173" s="1" t="e">
        <f>K173/VLOOKUP(A173,'[13]geoMap (10)'!$A:$B,2,0)*VLOOKUP(A173,'[13]geoMap (10)'!$A:$C,3,0)</f>
        <v>#REF!</v>
      </c>
      <c r="M173" s="1" t="e">
        <f>L173/VLOOKUP(A173,'[14]geoMap (11)'!$A:$B,2,0)*VLOOKUP(A173,'[14]geoMap (11)'!$A:$C,3,0)</f>
        <v>#REF!</v>
      </c>
      <c r="N173" s="1" t="e">
        <f>M173/VLOOKUP(A173,'[15]geoMap (12)'!$A:$B,2,0)*VLOOKUP(A173,'[15]geoMap (12)'!$A:$C,3,0)</f>
        <v>#REF!</v>
      </c>
      <c r="O173" s="1" t="e">
        <f>N173/VLOOKUP(A173,'[16]geoMap (13)'!$A:$B,2,0)*VLOOKUP(A173,'[16]geoMap (13)'!$A:$C,3,0)</f>
        <v>#REF!</v>
      </c>
      <c r="P173" s="1" t="e">
        <f>O173/VLOOKUP(A173,'[17]geoMap (14)'!$A:$B,2,0)*VLOOKUP(A173,'[17]geoMap (14)'!$A:$C,3,0)</f>
        <v>#REF!</v>
      </c>
      <c r="Q173" s="1" t="e">
        <f>P173/VLOOKUP(A173,'[18]geoMap (15)'!$A:$B,2,0)*VLOOKUP(A173,'[18]geoMap (15)'!$A:$C,3,0)</f>
        <v>#REF!</v>
      </c>
      <c r="R173" s="1" t="e">
        <f>Q173/VLOOKUP(A173,'[19]geoMap (16)'!$A:$B,2,0)*VLOOKUP(A173,'[19]geoMap (16)'!$A:$C,3,0)</f>
        <v>#REF!</v>
      </c>
      <c r="S173" s="1" t="e">
        <f>R173/VLOOKUP(A173,'[20]geoMap (17)'!$A:$B,2,0)*VLOOKUP(A173,'[20]geoMap (17)'!$A:$C,3,0)</f>
        <v>#REF!</v>
      </c>
      <c r="T173" s="1" t="e">
        <f>S173/VLOOKUP(A173,'[21]geoMap (18)'!$A:$B,2,0)*VLOOKUP(A173,'[21]geoMap (18)'!$A:$C,3,0)</f>
        <v>#REF!</v>
      </c>
      <c r="U173" s="1" t="e">
        <f>T173/VLOOKUP(A173,'[22]geoMap (19)'!$A:$B,2,0)*VLOOKUP(A173,'[22]geoMap (19)'!$A:$C,3,0)</f>
        <v>#REF!</v>
      </c>
      <c r="V173" s="1" t="e">
        <f>U173/VLOOKUP(A173,'[23]geoMap (20)'!$A:$B,2,0)*VLOOKUP(A173,'[23]geoMap (20)'!$A:$C,3,0)</f>
        <v>#REF!</v>
      </c>
      <c r="W173" s="1" t="e">
        <f>V173/VLOOKUP(A173,'[24]geoMap (21)'!$A:$B,2,0)*VLOOKUP(A173,'[24]geoMap (21)'!$A:$C,3,0)</f>
        <v>#REF!</v>
      </c>
      <c r="X173" s="1" t="e">
        <f>W173/VLOOKUP(A173,'[25]geoMap (22)'!$A:$B,2,0)*VLOOKUP(A173,'[25]geoMap (22)'!$A:$C,3,0)</f>
        <v>#REF!</v>
      </c>
      <c r="Y173" s="1" t="e">
        <f>X173/VLOOKUP(A173,'[26]geoMap (23)'!$A:$B,2,0)*VLOOKUP(A173,'[26]geoMap (23)'!$A:$C,3,0)</f>
        <v>#REF!</v>
      </c>
      <c r="Z173" s="1" t="e">
        <f>Y173/VLOOKUP(A173,'[27]geoMap (24)'!$A:$B,2,0)*VLOOKUP(A173,'[27]geoMap (24)'!$A:$C,3,0)</f>
        <v>#REF!</v>
      </c>
      <c r="AA173" s="1" t="e">
        <f>Z173/VLOOKUP(A173,'[28]geoMap (25)'!$A:$B,2,0)*VLOOKUP(A173,'[28]geoMap (25)'!$A:$C,3,0)</f>
        <v>#REF!</v>
      </c>
      <c r="AB173" s="1" t="e">
        <f>AA173*VLOOKUP(A173,'[29]geoMap (26)'!$A:$B,2,0)*VLOOKUP(A173,'[29]geoMap (26)'!$A:$C,3,0)</f>
        <v>#REF!</v>
      </c>
      <c r="AC173" s="1" t="e">
        <f>AB173/VLOOKUP(A173,'[30]geoMap (27)'!$A:$B,2,0)*VLOOKUP(A173,'[30]geoMap (27)'!$A:$C,3,0)</f>
        <v>#REF!</v>
      </c>
      <c r="AD173" s="1" t="e">
        <f>AC173/VLOOKUP(A173,'[31]geoMap (28)'!$A:$B,2,0)*VLOOKUP(A173,'[31]geoMap (28)'!$A:$C,3,0)</f>
        <v>#REF!</v>
      </c>
      <c r="AE173" s="1" t="e">
        <f>AD173/VLOOKUP(A173,'[32]geoMap (29)'!$A:$B,2,0)*VLOOKUP(A173,'[32]geoMap (29)'!$A:$C,3,0)</f>
        <v>#REF!</v>
      </c>
      <c r="AF173" s="1" t="e">
        <f>AE173/VLOOKUP(A173,'[33]geoMap (30)'!$A:$B,2,0)*VLOOKUP(A173,'[33]geoMap (30)'!$A:$C,3,0)</f>
        <v>#REF!</v>
      </c>
      <c r="AG173" s="1" t="e">
        <f>AF173/VLOOKUP(A173,'[34]geoMap (31)'!$A:$B,2,0)*VLOOKUP(A173,'[34]geoMap (31)'!$A:$C,3,0)</f>
        <v>#REF!</v>
      </c>
      <c r="AH173" s="1" t="e">
        <f>AG173/VLOOKUP(A173,'[35]geoMap (32)'!$A:$B,2,0)*VLOOKUP(A173,'[35]geoMap (32)'!$A:$C,3,0)</f>
        <v>#REF!</v>
      </c>
      <c r="AI173" s="1" t="e">
        <f>AH173/VLOOKUP(A173,'[36]geoMap (33)'!$A:$B,2,0)*VLOOKUP(A173,'[36]geoMap (33)'!$A:$C,3,0)</f>
        <v>#REF!</v>
      </c>
      <c r="AJ173" s="1" t="e">
        <f>AI173/VLOOKUP(A173,'[37]geoMap (34)'!$A:$B,2,0)*VLOOKUP(A173,'[37]geoMap (34)'!$A:$C,3,0)</f>
        <v>#REF!</v>
      </c>
      <c r="AK173" s="1" t="e">
        <f>AJ173/VLOOKUP(A173,'[38]geoMap (35)'!$A:$B,2,0)*VLOOKUP(A173,'[38]geoMap (35)'!$A:$C,3,0)</f>
        <v>#REF!</v>
      </c>
      <c r="AL173" s="1" t="e">
        <f>AK173/VLOOKUP(A173,'[39]geoMap (36)'!$A:$B,2,0)*VLOOKUP(A173,'[39]geoMap (36)'!$A:$C,3,0)</f>
        <v>#REF!</v>
      </c>
      <c r="AM173" s="1" t="e">
        <f>AL173/VLOOKUP(A173,'[40]geoMap (37)'!$A:$B,2,0)*VLOOKUP(A173,'[40]geoMap (37)'!$A:$C,3,0)</f>
        <v>#REF!</v>
      </c>
      <c r="AN173" s="1" t="e">
        <f>AM173/VLOOKUP(A173,'[41]geoMap (38)'!$A:$B,2,0)*VLOOKUP(A173,'[41]geoMap (38)'!$A:$C,3,0)</f>
        <v>#REF!</v>
      </c>
      <c r="AO173" s="1" t="e">
        <f>AN173/VLOOKUP(A173,'[42]geoMap (39)'!$A:$B,2,0)*VLOOKUP(A173,'[42]geoMap (39)'!$A:$C,3,0)</f>
        <v>#REF!</v>
      </c>
      <c r="AP173" s="1" t="e">
        <f>AO173/VLOOKUP(A173,'[43]geoMap (40)'!$A:$B,2,0)*VLOOKUP(A173,'[43]geoMap (40)'!$A:$C,3,0)</f>
        <v>#REF!</v>
      </c>
      <c r="AQ173" s="1" t="e">
        <f>AP173/VLOOKUP(A173,'[44]geoMap (41)'!$A:$B,2,0)*VLOOKUP(A173,'[44]geoMap (41)'!$A:$C,3,0)</f>
        <v>#REF!</v>
      </c>
      <c r="AR173" s="1" t="e">
        <f>AQ173/VLOOKUP(A173,'[45]geoMap (42)'!$A:$B,2,0)*VLOOKUP(A173,'[45]geoMap (42)'!$A:$C,3,0)</f>
        <v>#REF!</v>
      </c>
      <c r="AS173" s="1" t="e">
        <f>AR173/VLOOKUP(A173,'[46]geoMap (43)'!$A:$B,2,0)*VLOOKUP(A173,'[46]geoMap (43)'!$A:$C,3,0)</f>
        <v>#REF!</v>
      </c>
      <c r="AT173" s="1" t="e">
        <f>AS173/VLOOKUP(A173,'[47]geoMap (44)'!$A:$B,2,0)*VLOOKUP(A173,'[47]geoMap (44)'!$A:$C,3,0)</f>
        <v>#REF!</v>
      </c>
      <c r="AU173" s="1" t="e">
        <f>AT173/VLOOKUP(A173,'[48]geoMap (45)'!$A:$B,2,0)*VLOOKUP(A173,'[48]geoMap (45)'!$A:$C,3,0)</f>
        <v>#REF!</v>
      </c>
      <c r="AV173" s="1" t="e">
        <f>AU173/VLOOKUP(A173,'[49]geoMap (46)'!$A:$B,2,0)*VLOOKUP(A173,'[49]geoMap (46)'!$A:$C,3,0)</f>
        <v>#REF!</v>
      </c>
      <c r="AW173" s="1" t="e">
        <f>AV173/VLOOKUP(A173,'[50]geoMap (47)'!$A:$B,2,0)*VLOOKUP(A173,'[50]geoMap (47)'!$A:$C,3,0)</f>
        <v>#REF!</v>
      </c>
      <c r="AX173" s="4" t="e">
        <f>AW173/VLOOKUP(A173,'[51]geoMap (48)'!$A:$B,2,0)*VLOOKUP(A173,'[51]geoMap (48)'!$A:$C,3,0)</f>
        <v>#REF!</v>
      </c>
      <c r="AY173" s="1" t="e">
        <f>AX173/VLOOKUP(A173,'[52]geoMap (49)'!$A:$B,2,0)*VLOOKUP(A173,'[52]geoMap (49)'!$A:$C,3,0)</f>
        <v>#REF!</v>
      </c>
      <c r="AZ173" s="4" t="e">
        <f>AY173/VLOOKUP(A173,'[53]geoMap (50)'!$A:$B,2,0)*VLOOKUP(A173,'[53]geoMap (50)'!$A:$C,3,0)</f>
        <v>#REF!</v>
      </c>
      <c r="BA173" s="1" t="e">
        <f>AZ173/VLOOKUP(A173,'[54]geoMap (51)'!$A:$B,2,0)*VLOOKUP(A173,'[54]geoMap (51)'!$A:$C,3,0)</f>
        <v>#REF!</v>
      </c>
      <c r="BB173" s="4" t="e">
        <f>BA173/VLOOKUP(A173,'[55]geoMap (52)'!$A:$B,2,0)*VLOOKUP(A173,'[55]geoMap (52)'!$A:$C,3,0)</f>
        <v>#REF!</v>
      </c>
      <c r="BC173" s="1" t="e">
        <f>BB173/VLOOKUP(A173,'[56]geoMap (53)'!$A:$B,2,0)*VLOOKUP(A173,'[56]geoMap (53)'!$A:$C,3,0)</f>
        <v>#REF!</v>
      </c>
      <c r="BD173" s="4" t="e">
        <f>BC173/VLOOKUP(A173,'[57]geoMap (54)'!$A:$B,2,0)*VLOOKUP(A173,'[57]geoMap (54)'!$A:$C,3,0)</f>
        <v>#REF!</v>
      </c>
      <c r="BE173" s="1" t="e">
        <f>BD173/VLOOKUP(A173,'[58]geoMap (55)'!$A:$B,2,0)*VLOOKUP(A173,'[58]geoMap (55)'!$A:$C,3,0)</f>
        <v>#REF!</v>
      </c>
      <c r="BF173" s="4" t="e">
        <f>BE173/VLOOKUP(A173,'[59]geoMap (56)'!$A:$B,2,0)*VLOOKUP(A173,'[59]geoMap (56)'!$A:$C,3,0)</f>
        <v>#REF!</v>
      </c>
      <c r="BG173" s="1" t="e">
        <f>BF173/VLOOKUP(A173,'[60]geoMap (57)'!$A:$B,2,0)*VLOOKUP(A173,'[60]geoMap (57)'!$A:$C,3,0)</f>
        <v>#REF!</v>
      </c>
      <c r="BH173" s="4" t="e">
        <f>BG173/VLOOKUP(A173,'[61]geoMap (58)'!$A:$B,2,0)*VLOOKUP(A173,'[61]geoMap (58)'!$A:$C,3,0)</f>
        <v>#REF!</v>
      </c>
      <c r="BI173" s="1" t="e">
        <f>BH173/VLOOKUP(A173,'[62]geoMap (59)'!$A:$B,2,0)*VLOOKUP(A173,'[62]geoMap (59)'!$A:$C,3,0)</f>
        <v>#REF!</v>
      </c>
      <c r="BJ173" s="4" t="e">
        <f>BI173/VLOOKUP(A173,'[63]geoMap (60)'!$A:$B,2,0)*VLOOKUP(A173,'[63]geoMap (60)'!$A:$C,3,0)</f>
        <v>#REF!</v>
      </c>
      <c r="BK173" s="1" t="e">
        <f>BJ173/VLOOKUP(A173,'[64]geoMap (61)'!$A:$B,2,0)*VLOOKUP(A173,'[64]geoMap (61)'!$A:$C,3,0)</f>
        <v>#REF!</v>
      </c>
      <c r="BL173" s="4" t="e">
        <f>BK173/VLOOKUP(A173,'[65]geoMap (62)'!$A:$B,2,0)*VLOOKUP(A173,'[65]geoMap (62)'!$A:$C,3,0)</f>
        <v>#REF!</v>
      </c>
      <c r="BM173" s="1" t="e">
        <f>BL173/VLOOKUP(A173,'[66]geoMap (63)'!$A:$B,2,0)*VLOOKUP(A173,'[66]geoMap (63)'!$A:$C,3,0)</f>
        <v>#REF!</v>
      </c>
      <c r="BN173" s="4" t="e">
        <f>BM173/VLOOKUP(A173,'[67]geoMap (64)'!$A:$B,2,0)*VLOOKUP(A173,'[67]geoMap (64)'!$A:$C,3,0)</f>
        <v>#REF!</v>
      </c>
      <c r="BO173" s="1" t="e">
        <f>BN173/VLOOKUP(A173,'[68]geoMap (65)'!$A:$B,2,0)*VLOOKUP(A173,'[68]geoMap (65)'!$A:$C,3,0)</f>
        <v>#REF!</v>
      </c>
      <c r="BP173" s="4" t="e">
        <f>BO173/VLOOKUP(A173,'[69]geoMap (66)'!$A:$B,2,0)*VLOOKUP(A173,'[69]geoMap (66)'!$A:$C,3,0)</f>
        <v>#REF!</v>
      </c>
    </row>
    <row r="174" spans="1:68" x14ac:dyDescent="0.2">
      <c r="A174" s="1" t="s">
        <v>172</v>
      </c>
      <c r="B174" s="1" t="e">
        <f>VLOOKUP(A174,[3]geoMap!$A:$B,2,0)*Notes!$C$6</f>
        <v>#REF!</v>
      </c>
      <c r="C174" s="1" t="e">
        <f>B174/VLOOKUP(A174,'[4]geoMap (1)'!$A:$B,2,0)*VLOOKUP(A174,'[4]geoMap (1)'!$A:$C,3,0)</f>
        <v>#REF!</v>
      </c>
      <c r="D174" s="1" t="e">
        <f>C174/VLOOKUP(A174,'[5]geoMap (2)'!$A:$B,2,0)*VLOOKUP(A174,'[5]geoMap (2)'!$A:$C,3,0)</f>
        <v>#REF!</v>
      </c>
      <c r="E174" s="1" t="e">
        <f>D174/VLOOKUP(A174,'[6]geoMap (3)'!$A:$B,2,0)*VLOOKUP(A174,'[6]geoMap (3)'!$A:$C,3,0)</f>
        <v>#REF!</v>
      </c>
      <c r="F174" s="1" t="e">
        <f>E174/VLOOKUP(A174,'[7]geoMap (4)'!$A:$B,2,0)*VLOOKUP(A174,'[7]geoMap (4)'!$A:$C,3,0)</f>
        <v>#REF!</v>
      </c>
      <c r="G174" s="1" t="e">
        <f>F174/VLOOKUP(A174,'[8]geoMap (5)'!$A:$B,2,0)*VLOOKUP(A174,'[8]geoMap (5)'!$A:$C,3,0)</f>
        <v>#REF!</v>
      </c>
      <c r="H174" s="1" t="e">
        <f>G174/VLOOKUP(A174,'[9]geoMap (6)'!$A:$B,2,0)*VLOOKUP(A174,'[9]geoMap (6)'!$A:$C,3,0)</f>
        <v>#REF!</v>
      </c>
      <c r="I174" s="1" t="e">
        <f>H174/VLOOKUP(A174,'[10]geoMap (7)'!$A:$B,2,0)*VLOOKUP(A174,'[10]geoMap (7)'!$A:$C,3,0)</f>
        <v>#REF!</v>
      </c>
      <c r="J174" s="1" t="e">
        <f>I174/VLOOKUP(A174,'[11]geoMap (8)'!$A:$B,2,0)*VLOOKUP(A174,'[11]geoMap (8)'!$A:$C,3,0)</f>
        <v>#REF!</v>
      </c>
      <c r="K174" s="1" t="e">
        <f>J174/VLOOKUP(A174,'[12]geoMap (9)'!$A:$B,2,0)*VLOOKUP(A174,'[12]geoMap (9)'!$A:$C,3,0)</f>
        <v>#REF!</v>
      </c>
      <c r="L174" s="1" t="e">
        <f>K174/VLOOKUP(A174,'[13]geoMap (10)'!$A:$B,2,0)*VLOOKUP(A174,'[13]geoMap (10)'!$A:$C,3,0)</f>
        <v>#REF!</v>
      </c>
      <c r="M174" s="1" t="e">
        <f>L174/VLOOKUP(A174,'[14]geoMap (11)'!$A:$B,2,0)*VLOOKUP(A174,'[14]geoMap (11)'!$A:$C,3,0)</f>
        <v>#REF!</v>
      </c>
      <c r="N174" s="1" t="e">
        <f>M174/VLOOKUP(A174,'[15]geoMap (12)'!$A:$B,2,0)*VLOOKUP(A174,'[15]geoMap (12)'!$A:$C,3,0)</f>
        <v>#REF!</v>
      </c>
      <c r="O174" s="1" t="e">
        <f>N174/VLOOKUP(A174,'[16]geoMap (13)'!$A:$B,2,0)*VLOOKUP(A174,'[16]geoMap (13)'!$A:$C,3,0)</f>
        <v>#REF!</v>
      </c>
      <c r="P174" s="1" t="e">
        <f>O174/VLOOKUP(A174,'[17]geoMap (14)'!$A:$B,2,0)*VLOOKUP(A174,'[17]geoMap (14)'!$A:$C,3,0)</f>
        <v>#REF!</v>
      </c>
      <c r="Q174" s="1" t="e">
        <f>P174/VLOOKUP(A174,'[18]geoMap (15)'!$A:$B,2,0)*VLOOKUP(A174,'[18]geoMap (15)'!$A:$C,3,0)</f>
        <v>#REF!</v>
      </c>
      <c r="R174" s="1" t="e">
        <f>Q174/VLOOKUP(A174,'[19]geoMap (16)'!$A:$B,2,0)*VLOOKUP(A174,'[19]geoMap (16)'!$A:$C,3,0)</f>
        <v>#REF!</v>
      </c>
      <c r="S174" s="1" t="e">
        <f>R174/VLOOKUP(A174,'[20]geoMap (17)'!$A:$B,2,0)*VLOOKUP(A174,'[20]geoMap (17)'!$A:$C,3,0)</f>
        <v>#REF!</v>
      </c>
      <c r="T174" s="1" t="e">
        <f>S174/VLOOKUP(A174,'[21]geoMap (18)'!$A:$B,2,0)*VLOOKUP(A174,'[21]geoMap (18)'!$A:$C,3,0)</f>
        <v>#REF!</v>
      </c>
      <c r="U174" s="1" t="e">
        <f>T174/VLOOKUP(A174,'[22]geoMap (19)'!$A:$B,2,0)*VLOOKUP(A174,'[22]geoMap (19)'!$A:$C,3,0)</f>
        <v>#REF!</v>
      </c>
      <c r="V174" s="1" t="e">
        <f>U174/VLOOKUP(A174,'[23]geoMap (20)'!$A:$B,2,0)*VLOOKUP(A174,'[23]geoMap (20)'!$A:$C,3,0)</f>
        <v>#REF!</v>
      </c>
      <c r="W174" s="1" t="e">
        <f>V174/VLOOKUP(A174,'[24]geoMap (21)'!$A:$B,2,0)*VLOOKUP(A174,'[24]geoMap (21)'!$A:$C,3,0)</f>
        <v>#REF!</v>
      </c>
      <c r="X174" s="1" t="e">
        <f>W174/VLOOKUP(A174,'[25]geoMap (22)'!$A:$B,2,0)*VLOOKUP(A174,'[25]geoMap (22)'!$A:$C,3,0)</f>
        <v>#REF!</v>
      </c>
      <c r="Y174" s="1" t="e">
        <f>X174/VLOOKUP(A174,'[26]geoMap (23)'!$A:$B,2,0)*VLOOKUP(A174,'[26]geoMap (23)'!$A:$C,3,0)</f>
        <v>#REF!</v>
      </c>
      <c r="Z174" s="1" t="e">
        <f>Y174/VLOOKUP(A174,'[27]geoMap (24)'!$A:$B,2,0)*VLOOKUP(A174,'[27]geoMap (24)'!$A:$C,3,0)</f>
        <v>#REF!</v>
      </c>
      <c r="AA174" s="1" t="e">
        <f>Z174/VLOOKUP(A174,'[28]geoMap (25)'!$A:$B,2,0)*VLOOKUP(A174,'[28]geoMap (25)'!$A:$C,3,0)</f>
        <v>#REF!</v>
      </c>
      <c r="AB174" s="1" t="e">
        <f>AA174*VLOOKUP(A174,'[29]geoMap (26)'!$A:$B,2,0)*VLOOKUP(A174,'[29]geoMap (26)'!$A:$C,3,0)</f>
        <v>#REF!</v>
      </c>
      <c r="AC174" s="1" t="e">
        <f>AB174/VLOOKUP(A174,'[30]geoMap (27)'!$A:$B,2,0)*VLOOKUP(A174,'[30]geoMap (27)'!$A:$C,3,0)</f>
        <v>#REF!</v>
      </c>
      <c r="AD174" s="1" t="e">
        <f>AC174/VLOOKUP(A174,'[31]geoMap (28)'!$A:$B,2,0)*VLOOKUP(A174,'[31]geoMap (28)'!$A:$C,3,0)</f>
        <v>#REF!</v>
      </c>
      <c r="AE174" s="1" t="e">
        <f>AD174/VLOOKUP(A174,'[32]geoMap (29)'!$A:$B,2,0)*VLOOKUP(A174,'[32]geoMap (29)'!$A:$C,3,0)</f>
        <v>#REF!</v>
      </c>
      <c r="AF174" s="1" t="e">
        <f>AE174/VLOOKUP(A174,'[33]geoMap (30)'!$A:$B,2,0)*VLOOKUP(A174,'[33]geoMap (30)'!$A:$C,3,0)</f>
        <v>#REF!</v>
      </c>
      <c r="AG174" s="1" t="e">
        <f>AF174/VLOOKUP(A174,'[34]geoMap (31)'!$A:$B,2,0)*VLOOKUP(A174,'[34]geoMap (31)'!$A:$C,3,0)</f>
        <v>#REF!</v>
      </c>
      <c r="AH174" s="1" t="e">
        <f>AG174/VLOOKUP(A174,'[35]geoMap (32)'!$A:$B,2,0)*VLOOKUP(A174,'[35]geoMap (32)'!$A:$C,3,0)</f>
        <v>#REF!</v>
      </c>
      <c r="AI174" s="1" t="e">
        <f>AH174/VLOOKUP(A174,'[36]geoMap (33)'!$A:$B,2,0)*VLOOKUP(A174,'[36]geoMap (33)'!$A:$C,3,0)</f>
        <v>#REF!</v>
      </c>
      <c r="AJ174" s="1" t="e">
        <f>AI174/VLOOKUP(A174,'[37]geoMap (34)'!$A:$B,2,0)*VLOOKUP(A174,'[37]geoMap (34)'!$A:$C,3,0)</f>
        <v>#REF!</v>
      </c>
      <c r="AK174" s="1" t="e">
        <f>AJ174/VLOOKUP(A174,'[38]geoMap (35)'!$A:$B,2,0)*VLOOKUP(A174,'[38]geoMap (35)'!$A:$C,3,0)</f>
        <v>#REF!</v>
      </c>
      <c r="AL174" s="1" t="e">
        <f>AK174/VLOOKUP(A174,'[39]geoMap (36)'!$A:$B,2,0)*VLOOKUP(A174,'[39]geoMap (36)'!$A:$C,3,0)</f>
        <v>#REF!</v>
      </c>
      <c r="AM174" s="1" t="e">
        <f>AL174/VLOOKUP(A174,'[40]geoMap (37)'!$A:$B,2,0)*VLOOKUP(A174,'[40]geoMap (37)'!$A:$C,3,0)</f>
        <v>#REF!</v>
      </c>
      <c r="AN174" s="1" t="e">
        <f>AM174/VLOOKUP(A174,'[41]geoMap (38)'!$A:$B,2,0)*VLOOKUP(A174,'[41]geoMap (38)'!$A:$C,3,0)</f>
        <v>#REF!</v>
      </c>
      <c r="AO174" s="1" t="e">
        <f>AN174/VLOOKUP(A174,'[42]geoMap (39)'!$A:$B,2,0)*VLOOKUP(A174,'[42]geoMap (39)'!$A:$C,3,0)</f>
        <v>#REF!</v>
      </c>
      <c r="AP174" s="1" t="e">
        <f>AO174/VLOOKUP(A174,'[43]geoMap (40)'!$A:$B,2,0)*VLOOKUP(A174,'[43]geoMap (40)'!$A:$C,3,0)</f>
        <v>#REF!</v>
      </c>
      <c r="AQ174" s="1" t="e">
        <f>AP174/VLOOKUP(A174,'[44]geoMap (41)'!$A:$B,2,0)*VLOOKUP(A174,'[44]geoMap (41)'!$A:$C,3,0)</f>
        <v>#REF!</v>
      </c>
      <c r="AR174" s="1" t="e">
        <f>AQ174/VLOOKUP(A174,'[45]geoMap (42)'!$A:$B,2,0)*VLOOKUP(A174,'[45]geoMap (42)'!$A:$C,3,0)</f>
        <v>#REF!</v>
      </c>
      <c r="AS174" s="1" t="e">
        <f>AR174/VLOOKUP(A174,'[46]geoMap (43)'!$A:$B,2,0)*VLOOKUP(A174,'[46]geoMap (43)'!$A:$C,3,0)</f>
        <v>#REF!</v>
      </c>
      <c r="AT174" s="1" t="e">
        <f>AS174/VLOOKUP(A174,'[47]geoMap (44)'!$A:$B,2,0)*VLOOKUP(A174,'[47]geoMap (44)'!$A:$C,3,0)</f>
        <v>#REF!</v>
      </c>
      <c r="AU174" s="1" t="e">
        <f>AT174/VLOOKUP(A174,'[48]geoMap (45)'!$A:$B,2,0)*VLOOKUP(A174,'[48]geoMap (45)'!$A:$C,3,0)</f>
        <v>#REF!</v>
      </c>
      <c r="AV174" s="1" t="e">
        <f>AU174/VLOOKUP(A174,'[49]geoMap (46)'!$A:$B,2,0)*VLOOKUP(A174,'[49]geoMap (46)'!$A:$C,3,0)</f>
        <v>#REF!</v>
      </c>
      <c r="AW174" s="1" t="e">
        <f>AV174/VLOOKUP(A174,'[50]geoMap (47)'!$A:$B,2,0)*VLOOKUP(A174,'[50]geoMap (47)'!$A:$C,3,0)</f>
        <v>#REF!</v>
      </c>
      <c r="AX174" s="4" t="e">
        <f>AW174/VLOOKUP(A174,'[51]geoMap (48)'!$A:$B,2,0)*VLOOKUP(A174,'[51]geoMap (48)'!$A:$C,3,0)</f>
        <v>#REF!</v>
      </c>
      <c r="AY174" s="1" t="e">
        <f>AX174/VLOOKUP(A174,'[52]geoMap (49)'!$A:$B,2,0)*VLOOKUP(A174,'[52]geoMap (49)'!$A:$C,3,0)</f>
        <v>#REF!</v>
      </c>
      <c r="AZ174" s="4" t="e">
        <f>AY174/VLOOKUP(A174,'[53]geoMap (50)'!$A:$B,2,0)*VLOOKUP(A174,'[53]geoMap (50)'!$A:$C,3,0)</f>
        <v>#REF!</v>
      </c>
      <c r="BA174" s="1" t="e">
        <f>AZ174/VLOOKUP(A174,'[54]geoMap (51)'!$A:$B,2,0)*VLOOKUP(A174,'[54]geoMap (51)'!$A:$C,3,0)</f>
        <v>#REF!</v>
      </c>
      <c r="BB174" s="4" t="e">
        <f>BA174/VLOOKUP(A174,'[55]geoMap (52)'!$A:$B,2,0)*VLOOKUP(A174,'[55]geoMap (52)'!$A:$C,3,0)</f>
        <v>#REF!</v>
      </c>
      <c r="BC174" s="1" t="e">
        <f>BB174/VLOOKUP(A174,'[56]geoMap (53)'!$A:$B,2,0)*VLOOKUP(A174,'[56]geoMap (53)'!$A:$C,3,0)</f>
        <v>#REF!</v>
      </c>
      <c r="BD174" s="4" t="e">
        <f>BC174/VLOOKUP(A174,'[57]geoMap (54)'!$A:$B,2,0)*VLOOKUP(A174,'[57]geoMap (54)'!$A:$C,3,0)</f>
        <v>#REF!</v>
      </c>
      <c r="BE174" s="1" t="e">
        <f>BD174/VLOOKUP(A174,'[58]geoMap (55)'!$A:$B,2,0)*VLOOKUP(A174,'[58]geoMap (55)'!$A:$C,3,0)</f>
        <v>#REF!</v>
      </c>
      <c r="BF174" s="4" t="e">
        <f>BE174/VLOOKUP(A174,'[59]geoMap (56)'!$A:$B,2,0)*VLOOKUP(A174,'[59]geoMap (56)'!$A:$C,3,0)</f>
        <v>#REF!</v>
      </c>
      <c r="BG174" s="1" t="e">
        <f>BF174/VLOOKUP(A174,'[60]geoMap (57)'!$A:$B,2,0)*VLOOKUP(A174,'[60]geoMap (57)'!$A:$C,3,0)</f>
        <v>#REF!</v>
      </c>
      <c r="BH174" s="4" t="e">
        <f>BG174/VLOOKUP(A174,'[61]geoMap (58)'!$A:$B,2,0)*VLOOKUP(A174,'[61]geoMap (58)'!$A:$C,3,0)</f>
        <v>#REF!</v>
      </c>
      <c r="BI174" s="1" t="e">
        <f>BH174/VLOOKUP(A174,'[62]geoMap (59)'!$A:$B,2,0)*VLOOKUP(A174,'[62]geoMap (59)'!$A:$C,3,0)</f>
        <v>#REF!</v>
      </c>
      <c r="BJ174" s="4" t="e">
        <f>BI174/VLOOKUP(A174,'[63]geoMap (60)'!$A:$B,2,0)*VLOOKUP(A174,'[63]geoMap (60)'!$A:$C,3,0)</f>
        <v>#REF!</v>
      </c>
      <c r="BK174" s="1" t="e">
        <f>BJ174/VLOOKUP(A174,'[64]geoMap (61)'!$A:$B,2,0)*VLOOKUP(A174,'[64]geoMap (61)'!$A:$C,3,0)</f>
        <v>#REF!</v>
      </c>
      <c r="BL174" s="4" t="e">
        <f>BK174/VLOOKUP(A174,'[65]geoMap (62)'!$A:$B,2,0)*VLOOKUP(A174,'[65]geoMap (62)'!$A:$C,3,0)</f>
        <v>#REF!</v>
      </c>
      <c r="BM174" s="1" t="e">
        <f>BL174/VLOOKUP(A174,'[66]geoMap (63)'!$A:$B,2,0)*VLOOKUP(A174,'[66]geoMap (63)'!$A:$C,3,0)</f>
        <v>#REF!</v>
      </c>
      <c r="BN174" s="4" t="e">
        <f>BM174/VLOOKUP(A174,'[67]geoMap (64)'!$A:$B,2,0)*VLOOKUP(A174,'[67]geoMap (64)'!$A:$C,3,0)</f>
        <v>#REF!</v>
      </c>
      <c r="BO174" s="1" t="e">
        <f>BN174/VLOOKUP(A174,'[68]geoMap (65)'!$A:$B,2,0)*VLOOKUP(A174,'[68]geoMap (65)'!$A:$C,3,0)</f>
        <v>#REF!</v>
      </c>
      <c r="BP174" s="4" t="e">
        <f>BO174/VLOOKUP(A174,'[69]geoMap (66)'!$A:$B,2,0)*VLOOKUP(A174,'[69]geoMap (66)'!$A:$C,3,0)</f>
        <v>#REF!</v>
      </c>
    </row>
    <row r="175" spans="1:68" x14ac:dyDescent="0.2">
      <c r="A175" s="1" t="s">
        <v>173</v>
      </c>
      <c r="B175" s="1" t="e">
        <f>VLOOKUP(A175,[3]geoMap!$A:$B,2,0)*Notes!$C$6</f>
        <v>#REF!</v>
      </c>
      <c r="C175" s="1" t="e">
        <f>B175/VLOOKUP(A175,'[4]geoMap (1)'!$A:$B,2,0)*VLOOKUP(A175,'[4]geoMap (1)'!$A:$C,3,0)</f>
        <v>#REF!</v>
      </c>
      <c r="D175" s="1" t="e">
        <f>C175/VLOOKUP(A175,'[5]geoMap (2)'!$A:$B,2,0)*VLOOKUP(A175,'[5]geoMap (2)'!$A:$C,3,0)</f>
        <v>#REF!</v>
      </c>
      <c r="E175" s="1" t="e">
        <f>D175/VLOOKUP(A175,'[6]geoMap (3)'!$A:$B,2,0)*VLOOKUP(A175,'[6]geoMap (3)'!$A:$C,3,0)</f>
        <v>#REF!</v>
      </c>
      <c r="F175" s="1" t="e">
        <f>E175/VLOOKUP(A175,'[7]geoMap (4)'!$A:$B,2,0)*VLOOKUP(A175,'[7]geoMap (4)'!$A:$C,3,0)</f>
        <v>#REF!</v>
      </c>
      <c r="G175" s="1" t="e">
        <f>F175/VLOOKUP(A175,'[8]geoMap (5)'!$A:$B,2,0)*VLOOKUP(A175,'[8]geoMap (5)'!$A:$C,3,0)</f>
        <v>#REF!</v>
      </c>
      <c r="H175" s="1" t="e">
        <f>G175/VLOOKUP(A175,'[9]geoMap (6)'!$A:$B,2,0)*VLOOKUP(A175,'[9]geoMap (6)'!$A:$C,3,0)</f>
        <v>#REF!</v>
      </c>
      <c r="I175" s="1" t="e">
        <f>H175/VLOOKUP(A175,'[10]geoMap (7)'!$A:$B,2,0)*VLOOKUP(A175,'[10]geoMap (7)'!$A:$C,3,0)</f>
        <v>#REF!</v>
      </c>
      <c r="J175" s="1" t="e">
        <f>I175/VLOOKUP(A175,'[11]geoMap (8)'!$A:$B,2,0)*VLOOKUP(A175,'[11]geoMap (8)'!$A:$C,3,0)</f>
        <v>#REF!</v>
      </c>
      <c r="K175" s="1" t="e">
        <f>J175/VLOOKUP(A175,'[12]geoMap (9)'!$A:$B,2,0)*VLOOKUP(A175,'[12]geoMap (9)'!$A:$C,3,0)</f>
        <v>#REF!</v>
      </c>
      <c r="L175" s="1" t="e">
        <f>K175/VLOOKUP(A175,'[13]geoMap (10)'!$A:$B,2,0)*VLOOKUP(A175,'[13]geoMap (10)'!$A:$C,3,0)</f>
        <v>#REF!</v>
      </c>
      <c r="M175" s="1" t="e">
        <f>L175/VLOOKUP(A175,'[14]geoMap (11)'!$A:$B,2,0)*VLOOKUP(A175,'[14]geoMap (11)'!$A:$C,3,0)</f>
        <v>#REF!</v>
      </c>
      <c r="N175" s="1" t="e">
        <f>M175/VLOOKUP(A175,'[15]geoMap (12)'!$A:$B,2,0)*VLOOKUP(A175,'[15]geoMap (12)'!$A:$C,3,0)</f>
        <v>#REF!</v>
      </c>
      <c r="O175" s="1" t="e">
        <f>N175/VLOOKUP(A175,'[16]geoMap (13)'!$A:$B,2,0)*VLOOKUP(A175,'[16]geoMap (13)'!$A:$C,3,0)</f>
        <v>#REF!</v>
      </c>
      <c r="P175" s="1" t="e">
        <f>O175/VLOOKUP(A175,'[17]geoMap (14)'!$A:$B,2,0)*VLOOKUP(A175,'[17]geoMap (14)'!$A:$C,3,0)</f>
        <v>#REF!</v>
      </c>
      <c r="Q175" s="1" t="e">
        <f>P175/VLOOKUP(A175,'[18]geoMap (15)'!$A:$B,2,0)*VLOOKUP(A175,'[18]geoMap (15)'!$A:$C,3,0)</f>
        <v>#REF!</v>
      </c>
      <c r="R175" s="1" t="e">
        <f>Q175/VLOOKUP(A175,'[19]geoMap (16)'!$A:$B,2,0)*VLOOKUP(A175,'[19]geoMap (16)'!$A:$C,3,0)</f>
        <v>#REF!</v>
      </c>
      <c r="S175" s="1" t="e">
        <f>R175/VLOOKUP(A175,'[20]geoMap (17)'!$A:$B,2,0)*VLOOKUP(A175,'[20]geoMap (17)'!$A:$C,3,0)</f>
        <v>#REF!</v>
      </c>
      <c r="T175" s="1" t="e">
        <f>S175/VLOOKUP(A175,'[21]geoMap (18)'!$A:$B,2,0)*VLOOKUP(A175,'[21]geoMap (18)'!$A:$C,3,0)</f>
        <v>#REF!</v>
      </c>
      <c r="U175" s="1" t="e">
        <f>T175/VLOOKUP(A175,'[22]geoMap (19)'!$A:$B,2,0)*VLOOKUP(A175,'[22]geoMap (19)'!$A:$C,3,0)</f>
        <v>#REF!</v>
      </c>
      <c r="V175" s="1" t="e">
        <f>U175/VLOOKUP(A175,'[23]geoMap (20)'!$A:$B,2,0)*VLOOKUP(A175,'[23]geoMap (20)'!$A:$C,3,0)</f>
        <v>#REF!</v>
      </c>
      <c r="W175" s="1" t="e">
        <f>V175/VLOOKUP(A175,'[24]geoMap (21)'!$A:$B,2,0)*VLOOKUP(A175,'[24]geoMap (21)'!$A:$C,3,0)</f>
        <v>#REF!</v>
      </c>
      <c r="X175" s="1" t="e">
        <f>W175/VLOOKUP(A175,'[25]geoMap (22)'!$A:$B,2,0)*VLOOKUP(A175,'[25]geoMap (22)'!$A:$C,3,0)</f>
        <v>#REF!</v>
      </c>
      <c r="Y175" s="1" t="e">
        <f>X175/VLOOKUP(A175,'[26]geoMap (23)'!$A:$B,2,0)*VLOOKUP(A175,'[26]geoMap (23)'!$A:$C,3,0)</f>
        <v>#REF!</v>
      </c>
      <c r="Z175" s="1" t="e">
        <f>Y175/VLOOKUP(A175,'[27]geoMap (24)'!$A:$B,2,0)*VLOOKUP(A175,'[27]geoMap (24)'!$A:$C,3,0)</f>
        <v>#REF!</v>
      </c>
      <c r="AA175" s="1" t="e">
        <f>Z175/VLOOKUP(A175,'[28]geoMap (25)'!$A:$B,2,0)*VLOOKUP(A175,'[28]geoMap (25)'!$A:$C,3,0)</f>
        <v>#REF!</v>
      </c>
      <c r="AB175" s="1" t="e">
        <f>AA175*VLOOKUP(A175,'[29]geoMap (26)'!$A:$B,2,0)*VLOOKUP(A175,'[29]geoMap (26)'!$A:$C,3,0)</f>
        <v>#REF!</v>
      </c>
      <c r="AC175" s="1" t="e">
        <f>AB175/VLOOKUP(A175,'[30]geoMap (27)'!$A:$B,2,0)*VLOOKUP(A175,'[30]geoMap (27)'!$A:$C,3,0)</f>
        <v>#REF!</v>
      </c>
      <c r="AD175" s="1" t="e">
        <f>AC175/VLOOKUP(A175,'[31]geoMap (28)'!$A:$B,2,0)*VLOOKUP(A175,'[31]geoMap (28)'!$A:$C,3,0)</f>
        <v>#REF!</v>
      </c>
      <c r="AE175" s="1" t="e">
        <f>AD175/VLOOKUP(A175,'[32]geoMap (29)'!$A:$B,2,0)*VLOOKUP(A175,'[32]geoMap (29)'!$A:$C,3,0)</f>
        <v>#REF!</v>
      </c>
      <c r="AF175" s="1" t="e">
        <f>AE175/VLOOKUP(A175,'[33]geoMap (30)'!$A:$B,2,0)*VLOOKUP(A175,'[33]geoMap (30)'!$A:$C,3,0)</f>
        <v>#REF!</v>
      </c>
      <c r="AG175" s="1" t="e">
        <f>AF175/VLOOKUP(A175,'[34]geoMap (31)'!$A:$B,2,0)*VLOOKUP(A175,'[34]geoMap (31)'!$A:$C,3,0)</f>
        <v>#REF!</v>
      </c>
      <c r="AH175" s="1" t="e">
        <f>AG175/VLOOKUP(A175,'[35]geoMap (32)'!$A:$B,2,0)*VLOOKUP(A175,'[35]geoMap (32)'!$A:$C,3,0)</f>
        <v>#REF!</v>
      </c>
      <c r="AI175" s="1" t="e">
        <f>AH175/VLOOKUP(A175,'[36]geoMap (33)'!$A:$B,2,0)*VLOOKUP(A175,'[36]geoMap (33)'!$A:$C,3,0)</f>
        <v>#REF!</v>
      </c>
      <c r="AJ175" s="1" t="e">
        <f>AI175/VLOOKUP(A175,'[37]geoMap (34)'!$A:$B,2,0)*VLOOKUP(A175,'[37]geoMap (34)'!$A:$C,3,0)</f>
        <v>#REF!</v>
      </c>
      <c r="AK175" s="1" t="e">
        <f>AJ175/VLOOKUP(A175,'[38]geoMap (35)'!$A:$B,2,0)*VLOOKUP(A175,'[38]geoMap (35)'!$A:$C,3,0)</f>
        <v>#REF!</v>
      </c>
      <c r="AL175" s="1" t="e">
        <f>AK175/VLOOKUP(A175,'[39]geoMap (36)'!$A:$B,2,0)*VLOOKUP(A175,'[39]geoMap (36)'!$A:$C,3,0)</f>
        <v>#REF!</v>
      </c>
      <c r="AM175" s="1" t="e">
        <f>AL175/VLOOKUP(A175,'[40]geoMap (37)'!$A:$B,2,0)*VLOOKUP(A175,'[40]geoMap (37)'!$A:$C,3,0)</f>
        <v>#REF!</v>
      </c>
      <c r="AN175" s="1" t="e">
        <f>AM175/VLOOKUP(A175,'[41]geoMap (38)'!$A:$B,2,0)*VLOOKUP(A175,'[41]geoMap (38)'!$A:$C,3,0)</f>
        <v>#REF!</v>
      </c>
      <c r="AO175" s="1" t="e">
        <f>AN175/VLOOKUP(A175,'[42]geoMap (39)'!$A:$B,2,0)*VLOOKUP(A175,'[42]geoMap (39)'!$A:$C,3,0)</f>
        <v>#REF!</v>
      </c>
      <c r="AP175" s="1" t="e">
        <f>AO175/VLOOKUP(A175,'[43]geoMap (40)'!$A:$B,2,0)*VLOOKUP(A175,'[43]geoMap (40)'!$A:$C,3,0)</f>
        <v>#REF!</v>
      </c>
      <c r="AQ175" s="1" t="e">
        <f>AP175/VLOOKUP(A175,'[44]geoMap (41)'!$A:$B,2,0)*VLOOKUP(A175,'[44]geoMap (41)'!$A:$C,3,0)</f>
        <v>#REF!</v>
      </c>
      <c r="AR175" s="1" t="e">
        <f>AQ175/VLOOKUP(A175,'[45]geoMap (42)'!$A:$B,2,0)*VLOOKUP(A175,'[45]geoMap (42)'!$A:$C,3,0)</f>
        <v>#REF!</v>
      </c>
      <c r="AS175" s="1" t="e">
        <f>AR175/VLOOKUP(A175,'[46]geoMap (43)'!$A:$B,2,0)*VLOOKUP(A175,'[46]geoMap (43)'!$A:$C,3,0)</f>
        <v>#REF!</v>
      </c>
      <c r="AT175" s="1" t="e">
        <f>AS175/VLOOKUP(A175,'[47]geoMap (44)'!$A:$B,2,0)*VLOOKUP(A175,'[47]geoMap (44)'!$A:$C,3,0)</f>
        <v>#REF!</v>
      </c>
      <c r="AU175" s="1" t="e">
        <f>AT175/VLOOKUP(A175,'[48]geoMap (45)'!$A:$B,2,0)*VLOOKUP(A175,'[48]geoMap (45)'!$A:$C,3,0)</f>
        <v>#REF!</v>
      </c>
      <c r="AV175" s="1" t="e">
        <f>AU175/VLOOKUP(A175,'[49]geoMap (46)'!$A:$B,2,0)*VLOOKUP(A175,'[49]geoMap (46)'!$A:$C,3,0)</f>
        <v>#REF!</v>
      </c>
      <c r="AW175" s="1" t="e">
        <f>AV175/VLOOKUP(A175,'[50]geoMap (47)'!$A:$B,2,0)*VLOOKUP(A175,'[50]geoMap (47)'!$A:$C,3,0)</f>
        <v>#REF!</v>
      </c>
      <c r="AX175" s="4" t="e">
        <f>AW175/VLOOKUP(A175,'[51]geoMap (48)'!$A:$B,2,0)*VLOOKUP(A175,'[51]geoMap (48)'!$A:$C,3,0)</f>
        <v>#REF!</v>
      </c>
      <c r="AY175" s="1" t="e">
        <f>AX175/VLOOKUP(A175,'[52]geoMap (49)'!$A:$B,2,0)*VLOOKUP(A175,'[52]geoMap (49)'!$A:$C,3,0)</f>
        <v>#REF!</v>
      </c>
      <c r="AZ175" s="4" t="e">
        <f>AY175/VLOOKUP(A175,'[53]geoMap (50)'!$A:$B,2,0)*VLOOKUP(A175,'[53]geoMap (50)'!$A:$C,3,0)</f>
        <v>#REF!</v>
      </c>
      <c r="BA175" s="1" t="e">
        <f>AZ175/VLOOKUP(A175,'[54]geoMap (51)'!$A:$B,2,0)*VLOOKUP(A175,'[54]geoMap (51)'!$A:$C,3,0)</f>
        <v>#REF!</v>
      </c>
      <c r="BB175" s="4" t="e">
        <f>BA175/VLOOKUP(A175,'[55]geoMap (52)'!$A:$B,2,0)*VLOOKUP(A175,'[55]geoMap (52)'!$A:$C,3,0)</f>
        <v>#REF!</v>
      </c>
      <c r="BC175" s="1" t="e">
        <f>BB175/VLOOKUP(A175,'[56]geoMap (53)'!$A:$B,2,0)*VLOOKUP(A175,'[56]geoMap (53)'!$A:$C,3,0)</f>
        <v>#REF!</v>
      </c>
      <c r="BD175" s="4" t="e">
        <f>BC175/VLOOKUP(A175,'[57]geoMap (54)'!$A:$B,2,0)*VLOOKUP(A175,'[57]geoMap (54)'!$A:$C,3,0)</f>
        <v>#REF!</v>
      </c>
      <c r="BE175" s="1" t="e">
        <f>BD175/VLOOKUP(A175,'[58]geoMap (55)'!$A:$B,2,0)*VLOOKUP(A175,'[58]geoMap (55)'!$A:$C,3,0)</f>
        <v>#REF!</v>
      </c>
      <c r="BF175" s="4" t="e">
        <f>BE175/VLOOKUP(A175,'[59]geoMap (56)'!$A:$B,2,0)*VLOOKUP(A175,'[59]geoMap (56)'!$A:$C,3,0)</f>
        <v>#REF!</v>
      </c>
      <c r="BG175" s="1" t="e">
        <f>BF175/VLOOKUP(A175,'[60]geoMap (57)'!$A:$B,2,0)*VLOOKUP(A175,'[60]geoMap (57)'!$A:$C,3,0)</f>
        <v>#REF!</v>
      </c>
      <c r="BH175" s="4" t="e">
        <f>BG175/VLOOKUP(A175,'[61]geoMap (58)'!$A:$B,2,0)*VLOOKUP(A175,'[61]geoMap (58)'!$A:$C,3,0)</f>
        <v>#REF!</v>
      </c>
      <c r="BI175" s="1" t="e">
        <f>BH175/VLOOKUP(A175,'[62]geoMap (59)'!$A:$B,2,0)*VLOOKUP(A175,'[62]geoMap (59)'!$A:$C,3,0)</f>
        <v>#REF!</v>
      </c>
      <c r="BJ175" s="4" t="e">
        <f>BI175/VLOOKUP(A175,'[63]geoMap (60)'!$A:$B,2,0)*VLOOKUP(A175,'[63]geoMap (60)'!$A:$C,3,0)</f>
        <v>#REF!</v>
      </c>
      <c r="BK175" s="1" t="e">
        <f>BJ175/VLOOKUP(A175,'[64]geoMap (61)'!$A:$B,2,0)*VLOOKUP(A175,'[64]geoMap (61)'!$A:$C,3,0)</f>
        <v>#REF!</v>
      </c>
      <c r="BL175" s="4" t="e">
        <f>BK175/VLOOKUP(A175,'[65]geoMap (62)'!$A:$B,2,0)*VLOOKUP(A175,'[65]geoMap (62)'!$A:$C,3,0)</f>
        <v>#REF!</v>
      </c>
      <c r="BM175" s="1" t="e">
        <f>BL175/VLOOKUP(A175,'[66]geoMap (63)'!$A:$B,2,0)*VLOOKUP(A175,'[66]geoMap (63)'!$A:$C,3,0)</f>
        <v>#REF!</v>
      </c>
      <c r="BN175" s="4" t="e">
        <f>BM175/VLOOKUP(A175,'[67]geoMap (64)'!$A:$B,2,0)*VLOOKUP(A175,'[67]geoMap (64)'!$A:$C,3,0)</f>
        <v>#REF!</v>
      </c>
      <c r="BO175" s="1" t="e">
        <f>BN175/VLOOKUP(A175,'[68]geoMap (65)'!$A:$B,2,0)*VLOOKUP(A175,'[68]geoMap (65)'!$A:$C,3,0)</f>
        <v>#REF!</v>
      </c>
      <c r="BP175" s="4" t="e">
        <f>BO175/VLOOKUP(A175,'[69]geoMap (66)'!$A:$B,2,0)*VLOOKUP(A175,'[69]geoMap (66)'!$A:$C,3,0)</f>
        <v>#REF!</v>
      </c>
    </row>
    <row r="176" spans="1:68" x14ac:dyDescent="0.2">
      <c r="A176" s="1" t="s">
        <v>174</v>
      </c>
      <c r="B176" s="1" t="e">
        <f>VLOOKUP(A176,[3]geoMap!$A:$B,2,0)*Notes!$C$6</f>
        <v>#REF!</v>
      </c>
      <c r="C176" s="1" t="e">
        <f>B176/VLOOKUP(A176,'[4]geoMap (1)'!$A:$B,2,0)*VLOOKUP(A176,'[4]geoMap (1)'!$A:$C,3,0)</f>
        <v>#REF!</v>
      </c>
      <c r="D176" s="1" t="e">
        <f>C176/VLOOKUP(A176,'[5]geoMap (2)'!$A:$B,2,0)*VLOOKUP(A176,'[5]geoMap (2)'!$A:$C,3,0)</f>
        <v>#REF!</v>
      </c>
      <c r="E176" s="1" t="e">
        <f>D176/VLOOKUP(A176,'[6]geoMap (3)'!$A:$B,2,0)*VLOOKUP(A176,'[6]geoMap (3)'!$A:$C,3,0)</f>
        <v>#REF!</v>
      </c>
      <c r="F176" s="1" t="e">
        <f>E176/VLOOKUP(A176,'[7]geoMap (4)'!$A:$B,2,0)*VLOOKUP(A176,'[7]geoMap (4)'!$A:$C,3,0)</f>
        <v>#REF!</v>
      </c>
      <c r="G176" s="1" t="e">
        <f>F176/VLOOKUP(A176,'[8]geoMap (5)'!$A:$B,2,0)*VLOOKUP(A176,'[8]geoMap (5)'!$A:$C,3,0)</f>
        <v>#REF!</v>
      </c>
      <c r="H176" s="1" t="e">
        <f>G176/VLOOKUP(A176,'[9]geoMap (6)'!$A:$B,2,0)*VLOOKUP(A176,'[9]geoMap (6)'!$A:$C,3,0)</f>
        <v>#REF!</v>
      </c>
      <c r="I176" s="1" t="e">
        <f>H176/VLOOKUP(A176,'[10]geoMap (7)'!$A:$B,2,0)*VLOOKUP(A176,'[10]geoMap (7)'!$A:$C,3,0)</f>
        <v>#REF!</v>
      </c>
      <c r="J176" s="1" t="e">
        <f>I176/VLOOKUP(A176,'[11]geoMap (8)'!$A:$B,2,0)*VLOOKUP(A176,'[11]geoMap (8)'!$A:$C,3,0)</f>
        <v>#REF!</v>
      </c>
      <c r="K176" s="1" t="e">
        <f>J176/VLOOKUP(A176,'[12]geoMap (9)'!$A:$B,2,0)*VLOOKUP(A176,'[12]geoMap (9)'!$A:$C,3,0)</f>
        <v>#REF!</v>
      </c>
      <c r="L176" s="1" t="e">
        <f>K176/VLOOKUP(A176,'[13]geoMap (10)'!$A:$B,2,0)*VLOOKUP(A176,'[13]geoMap (10)'!$A:$C,3,0)</f>
        <v>#REF!</v>
      </c>
      <c r="M176" s="1" t="e">
        <f>L176/VLOOKUP(A176,'[14]geoMap (11)'!$A:$B,2,0)*VLOOKUP(A176,'[14]geoMap (11)'!$A:$C,3,0)</f>
        <v>#REF!</v>
      </c>
      <c r="N176" s="1" t="e">
        <f>M176/VLOOKUP(A176,'[15]geoMap (12)'!$A:$B,2,0)*VLOOKUP(A176,'[15]geoMap (12)'!$A:$C,3,0)</f>
        <v>#REF!</v>
      </c>
      <c r="O176" s="1" t="e">
        <f>N176/VLOOKUP(A176,'[16]geoMap (13)'!$A:$B,2,0)*VLOOKUP(A176,'[16]geoMap (13)'!$A:$C,3,0)</f>
        <v>#REF!</v>
      </c>
      <c r="P176" s="1" t="e">
        <f>O176/VLOOKUP(A176,'[17]geoMap (14)'!$A:$B,2,0)*VLOOKUP(A176,'[17]geoMap (14)'!$A:$C,3,0)</f>
        <v>#REF!</v>
      </c>
      <c r="Q176" s="1" t="e">
        <f>P176/VLOOKUP(A176,'[18]geoMap (15)'!$A:$B,2,0)*VLOOKUP(A176,'[18]geoMap (15)'!$A:$C,3,0)</f>
        <v>#REF!</v>
      </c>
      <c r="R176" s="1" t="e">
        <f>Q176/VLOOKUP(A176,'[19]geoMap (16)'!$A:$B,2,0)*VLOOKUP(A176,'[19]geoMap (16)'!$A:$C,3,0)</f>
        <v>#REF!</v>
      </c>
      <c r="S176" s="1" t="e">
        <f>R176/VLOOKUP(A176,'[20]geoMap (17)'!$A:$B,2,0)*VLOOKUP(A176,'[20]geoMap (17)'!$A:$C,3,0)</f>
        <v>#REF!</v>
      </c>
      <c r="T176" s="1" t="e">
        <f>S176/VLOOKUP(A176,'[21]geoMap (18)'!$A:$B,2,0)*VLOOKUP(A176,'[21]geoMap (18)'!$A:$C,3,0)</f>
        <v>#REF!</v>
      </c>
      <c r="U176" s="1" t="e">
        <f>T176/VLOOKUP(A176,'[22]geoMap (19)'!$A:$B,2,0)*VLOOKUP(A176,'[22]geoMap (19)'!$A:$C,3,0)</f>
        <v>#REF!</v>
      </c>
      <c r="V176" s="1" t="e">
        <f>U176/VLOOKUP(A176,'[23]geoMap (20)'!$A:$B,2,0)*VLOOKUP(A176,'[23]geoMap (20)'!$A:$C,3,0)</f>
        <v>#REF!</v>
      </c>
      <c r="W176" s="1" t="e">
        <f>V176/VLOOKUP(A176,'[24]geoMap (21)'!$A:$B,2,0)*VLOOKUP(A176,'[24]geoMap (21)'!$A:$C,3,0)</f>
        <v>#REF!</v>
      </c>
      <c r="X176" s="1" t="e">
        <f>W176/VLOOKUP(A176,'[25]geoMap (22)'!$A:$B,2,0)*VLOOKUP(A176,'[25]geoMap (22)'!$A:$C,3,0)</f>
        <v>#REF!</v>
      </c>
      <c r="Y176" s="1" t="e">
        <f>X176/VLOOKUP(A176,'[26]geoMap (23)'!$A:$B,2,0)*VLOOKUP(A176,'[26]geoMap (23)'!$A:$C,3,0)</f>
        <v>#REF!</v>
      </c>
      <c r="Z176" s="1" t="e">
        <f>Y176/VLOOKUP(A176,'[27]geoMap (24)'!$A:$B,2,0)*VLOOKUP(A176,'[27]geoMap (24)'!$A:$C,3,0)</f>
        <v>#REF!</v>
      </c>
      <c r="AA176" s="1" t="e">
        <f>Z176/VLOOKUP(A176,'[28]geoMap (25)'!$A:$B,2,0)*VLOOKUP(A176,'[28]geoMap (25)'!$A:$C,3,0)</f>
        <v>#REF!</v>
      </c>
      <c r="AB176" s="1" t="e">
        <f>AA176*VLOOKUP(A176,'[29]geoMap (26)'!$A:$B,2,0)*VLOOKUP(A176,'[29]geoMap (26)'!$A:$C,3,0)</f>
        <v>#REF!</v>
      </c>
      <c r="AC176" s="1" t="e">
        <f>AB176/VLOOKUP(A176,'[30]geoMap (27)'!$A:$B,2,0)*VLOOKUP(A176,'[30]geoMap (27)'!$A:$C,3,0)</f>
        <v>#REF!</v>
      </c>
      <c r="AD176" s="1" t="e">
        <f>AC176/VLOOKUP(A176,'[31]geoMap (28)'!$A:$B,2,0)*VLOOKUP(A176,'[31]geoMap (28)'!$A:$C,3,0)</f>
        <v>#REF!</v>
      </c>
      <c r="AE176" s="1" t="e">
        <f>AD176/VLOOKUP(A176,'[32]geoMap (29)'!$A:$B,2,0)*VLOOKUP(A176,'[32]geoMap (29)'!$A:$C,3,0)</f>
        <v>#REF!</v>
      </c>
      <c r="AF176" s="1" t="e">
        <f>AE176/VLOOKUP(A176,'[33]geoMap (30)'!$A:$B,2,0)*VLOOKUP(A176,'[33]geoMap (30)'!$A:$C,3,0)</f>
        <v>#REF!</v>
      </c>
      <c r="AG176" s="1" t="e">
        <f>AF176/VLOOKUP(A176,'[34]geoMap (31)'!$A:$B,2,0)*VLOOKUP(A176,'[34]geoMap (31)'!$A:$C,3,0)</f>
        <v>#REF!</v>
      </c>
      <c r="AH176" s="1" t="e">
        <f>AG176/VLOOKUP(A176,'[35]geoMap (32)'!$A:$B,2,0)*VLOOKUP(A176,'[35]geoMap (32)'!$A:$C,3,0)</f>
        <v>#REF!</v>
      </c>
      <c r="AI176" s="1" t="e">
        <f>AH176/VLOOKUP(A176,'[36]geoMap (33)'!$A:$B,2,0)*VLOOKUP(A176,'[36]geoMap (33)'!$A:$C,3,0)</f>
        <v>#REF!</v>
      </c>
      <c r="AJ176" s="1" t="e">
        <f>AI176/VLOOKUP(A176,'[37]geoMap (34)'!$A:$B,2,0)*VLOOKUP(A176,'[37]geoMap (34)'!$A:$C,3,0)</f>
        <v>#REF!</v>
      </c>
      <c r="AK176" s="1" t="e">
        <f>AJ176/VLOOKUP(A176,'[38]geoMap (35)'!$A:$B,2,0)*VLOOKUP(A176,'[38]geoMap (35)'!$A:$C,3,0)</f>
        <v>#REF!</v>
      </c>
      <c r="AL176" s="1" t="e">
        <f>AK176/VLOOKUP(A176,'[39]geoMap (36)'!$A:$B,2,0)*VLOOKUP(A176,'[39]geoMap (36)'!$A:$C,3,0)</f>
        <v>#REF!</v>
      </c>
      <c r="AM176" s="1" t="e">
        <f>AL176/VLOOKUP(A176,'[40]geoMap (37)'!$A:$B,2,0)*VLOOKUP(A176,'[40]geoMap (37)'!$A:$C,3,0)</f>
        <v>#REF!</v>
      </c>
      <c r="AN176" s="1" t="e">
        <f>AM176/VLOOKUP(A176,'[41]geoMap (38)'!$A:$B,2,0)*VLOOKUP(A176,'[41]geoMap (38)'!$A:$C,3,0)</f>
        <v>#REF!</v>
      </c>
      <c r="AO176" s="1" t="e">
        <f>AN176/VLOOKUP(A176,'[42]geoMap (39)'!$A:$B,2,0)*VLOOKUP(A176,'[42]geoMap (39)'!$A:$C,3,0)</f>
        <v>#REF!</v>
      </c>
      <c r="AP176" s="1" t="e">
        <f>AO176/VLOOKUP(A176,'[43]geoMap (40)'!$A:$B,2,0)*VLOOKUP(A176,'[43]geoMap (40)'!$A:$C,3,0)</f>
        <v>#REF!</v>
      </c>
      <c r="AQ176" s="1" t="e">
        <f>AP176/VLOOKUP(A176,'[44]geoMap (41)'!$A:$B,2,0)*VLOOKUP(A176,'[44]geoMap (41)'!$A:$C,3,0)</f>
        <v>#REF!</v>
      </c>
      <c r="AR176" s="1" t="e">
        <f>AQ176/VLOOKUP(A176,'[45]geoMap (42)'!$A:$B,2,0)*VLOOKUP(A176,'[45]geoMap (42)'!$A:$C,3,0)</f>
        <v>#REF!</v>
      </c>
      <c r="AS176" s="1" t="e">
        <f>AR176/VLOOKUP(A176,'[46]geoMap (43)'!$A:$B,2,0)*VLOOKUP(A176,'[46]geoMap (43)'!$A:$C,3,0)</f>
        <v>#REF!</v>
      </c>
      <c r="AT176" s="1" t="e">
        <f>AS176/VLOOKUP(A176,'[47]geoMap (44)'!$A:$B,2,0)*VLOOKUP(A176,'[47]geoMap (44)'!$A:$C,3,0)</f>
        <v>#REF!</v>
      </c>
      <c r="AU176" s="1" t="e">
        <f>AT176/VLOOKUP(A176,'[48]geoMap (45)'!$A:$B,2,0)*VLOOKUP(A176,'[48]geoMap (45)'!$A:$C,3,0)</f>
        <v>#REF!</v>
      </c>
      <c r="AV176" s="1" t="e">
        <f>AU176/VLOOKUP(A176,'[49]geoMap (46)'!$A:$B,2,0)*VLOOKUP(A176,'[49]geoMap (46)'!$A:$C,3,0)</f>
        <v>#REF!</v>
      </c>
      <c r="AW176" s="1" t="e">
        <f>AV176/VLOOKUP(A176,'[50]geoMap (47)'!$A:$B,2,0)*VLOOKUP(A176,'[50]geoMap (47)'!$A:$C,3,0)</f>
        <v>#REF!</v>
      </c>
      <c r="AX176" s="4" t="e">
        <f>AW176/VLOOKUP(A176,'[51]geoMap (48)'!$A:$B,2,0)*VLOOKUP(A176,'[51]geoMap (48)'!$A:$C,3,0)</f>
        <v>#REF!</v>
      </c>
      <c r="AY176" s="1" t="e">
        <f>AX176/VLOOKUP(A176,'[52]geoMap (49)'!$A:$B,2,0)*VLOOKUP(A176,'[52]geoMap (49)'!$A:$C,3,0)</f>
        <v>#REF!</v>
      </c>
      <c r="AZ176" s="4" t="e">
        <f>AY176/VLOOKUP(A176,'[53]geoMap (50)'!$A:$B,2,0)*VLOOKUP(A176,'[53]geoMap (50)'!$A:$C,3,0)</f>
        <v>#REF!</v>
      </c>
      <c r="BA176" s="1" t="e">
        <f>AZ176/VLOOKUP(A176,'[54]geoMap (51)'!$A:$B,2,0)*VLOOKUP(A176,'[54]geoMap (51)'!$A:$C,3,0)</f>
        <v>#REF!</v>
      </c>
      <c r="BB176" s="4" t="e">
        <f>BA176/VLOOKUP(A176,'[55]geoMap (52)'!$A:$B,2,0)*VLOOKUP(A176,'[55]geoMap (52)'!$A:$C,3,0)</f>
        <v>#REF!</v>
      </c>
      <c r="BC176" s="1" t="e">
        <f>BB176/VLOOKUP(A176,'[56]geoMap (53)'!$A:$B,2,0)*VLOOKUP(A176,'[56]geoMap (53)'!$A:$C,3,0)</f>
        <v>#REF!</v>
      </c>
      <c r="BD176" s="4" t="e">
        <f>BC176/VLOOKUP(A176,'[57]geoMap (54)'!$A:$B,2,0)*VLOOKUP(A176,'[57]geoMap (54)'!$A:$C,3,0)</f>
        <v>#REF!</v>
      </c>
      <c r="BE176" s="1" t="e">
        <f>BD176/VLOOKUP(A176,'[58]geoMap (55)'!$A:$B,2,0)*VLOOKUP(A176,'[58]geoMap (55)'!$A:$C,3,0)</f>
        <v>#REF!</v>
      </c>
      <c r="BF176" s="4" t="e">
        <f>BE176/VLOOKUP(A176,'[59]geoMap (56)'!$A:$B,2,0)*VLOOKUP(A176,'[59]geoMap (56)'!$A:$C,3,0)</f>
        <v>#REF!</v>
      </c>
      <c r="BG176" s="1" t="e">
        <f>BF176/VLOOKUP(A176,'[60]geoMap (57)'!$A:$B,2,0)*VLOOKUP(A176,'[60]geoMap (57)'!$A:$C,3,0)</f>
        <v>#REF!</v>
      </c>
      <c r="BH176" s="4" t="e">
        <f>BG176/VLOOKUP(A176,'[61]geoMap (58)'!$A:$B,2,0)*VLOOKUP(A176,'[61]geoMap (58)'!$A:$C,3,0)</f>
        <v>#REF!</v>
      </c>
      <c r="BI176" s="1" t="e">
        <f>BH176/VLOOKUP(A176,'[62]geoMap (59)'!$A:$B,2,0)*VLOOKUP(A176,'[62]geoMap (59)'!$A:$C,3,0)</f>
        <v>#REF!</v>
      </c>
      <c r="BJ176" s="4" t="e">
        <f>BI176/VLOOKUP(A176,'[63]geoMap (60)'!$A:$B,2,0)*VLOOKUP(A176,'[63]geoMap (60)'!$A:$C,3,0)</f>
        <v>#REF!</v>
      </c>
      <c r="BK176" s="1" t="e">
        <f>BJ176/VLOOKUP(A176,'[64]geoMap (61)'!$A:$B,2,0)*VLOOKUP(A176,'[64]geoMap (61)'!$A:$C,3,0)</f>
        <v>#REF!</v>
      </c>
      <c r="BL176" s="4" t="e">
        <f>BK176/VLOOKUP(A176,'[65]geoMap (62)'!$A:$B,2,0)*VLOOKUP(A176,'[65]geoMap (62)'!$A:$C,3,0)</f>
        <v>#REF!</v>
      </c>
      <c r="BM176" s="1" t="e">
        <f>BL176/VLOOKUP(A176,'[66]geoMap (63)'!$A:$B,2,0)*VLOOKUP(A176,'[66]geoMap (63)'!$A:$C,3,0)</f>
        <v>#REF!</v>
      </c>
      <c r="BN176" s="4" t="e">
        <f>BM176/VLOOKUP(A176,'[67]geoMap (64)'!$A:$B,2,0)*VLOOKUP(A176,'[67]geoMap (64)'!$A:$C,3,0)</f>
        <v>#REF!</v>
      </c>
      <c r="BO176" s="1" t="e">
        <f>BN176/VLOOKUP(A176,'[68]geoMap (65)'!$A:$B,2,0)*VLOOKUP(A176,'[68]geoMap (65)'!$A:$C,3,0)</f>
        <v>#REF!</v>
      </c>
      <c r="BP176" s="4" t="e">
        <f>BO176/VLOOKUP(A176,'[69]geoMap (66)'!$A:$B,2,0)*VLOOKUP(A176,'[69]geoMap (66)'!$A:$C,3,0)</f>
        <v>#REF!</v>
      </c>
    </row>
    <row r="177" spans="1:68" x14ac:dyDescent="0.2">
      <c r="A177" s="1" t="s">
        <v>175</v>
      </c>
      <c r="B177" s="1" t="e">
        <f>VLOOKUP(A177,[3]geoMap!$A:$B,2,0)*Notes!$C$6</f>
        <v>#REF!</v>
      </c>
      <c r="C177" s="1" t="e">
        <f>B177/VLOOKUP(A177,'[4]geoMap (1)'!$A:$B,2,0)*VLOOKUP(A177,'[4]geoMap (1)'!$A:$C,3,0)</f>
        <v>#REF!</v>
      </c>
      <c r="D177" s="1" t="e">
        <f>C177/VLOOKUP(A177,'[5]geoMap (2)'!$A:$B,2,0)*VLOOKUP(A177,'[5]geoMap (2)'!$A:$C,3,0)</f>
        <v>#REF!</v>
      </c>
      <c r="E177" s="1" t="e">
        <f>D177/VLOOKUP(A177,'[6]geoMap (3)'!$A:$B,2,0)*VLOOKUP(A177,'[6]geoMap (3)'!$A:$C,3,0)</f>
        <v>#REF!</v>
      </c>
      <c r="F177" s="1" t="e">
        <f>E177/VLOOKUP(A177,'[7]geoMap (4)'!$A:$B,2,0)*VLOOKUP(A177,'[7]geoMap (4)'!$A:$C,3,0)</f>
        <v>#REF!</v>
      </c>
      <c r="G177" s="1" t="e">
        <f>F177/VLOOKUP(A177,'[8]geoMap (5)'!$A:$B,2,0)*VLOOKUP(A177,'[8]geoMap (5)'!$A:$C,3,0)</f>
        <v>#REF!</v>
      </c>
      <c r="H177" s="1" t="e">
        <f>G177/VLOOKUP(A177,'[9]geoMap (6)'!$A:$B,2,0)*VLOOKUP(A177,'[9]geoMap (6)'!$A:$C,3,0)</f>
        <v>#REF!</v>
      </c>
      <c r="I177" s="1" t="e">
        <f>H177/VLOOKUP(A177,'[10]geoMap (7)'!$A:$B,2,0)*VLOOKUP(A177,'[10]geoMap (7)'!$A:$C,3,0)</f>
        <v>#REF!</v>
      </c>
      <c r="J177" s="1" t="e">
        <f>I177/VLOOKUP(A177,'[11]geoMap (8)'!$A:$B,2,0)*VLOOKUP(A177,'[11]geoMap (8)'!$A:$C,3,0)</f>
        <v>#REF!</v>
      </c>
      <c r="K177" s="1" t="e">
        <f>J177/VLOOKUP(A177,'[12]geoMap (9)'!$A:$B,2,0)*VLOOKUP(A177,'[12]geoMap (9)'!$A:$C,3,0)</f>
        <v>#REF!</v>
      </c>
      <c r="L177" s="1" t="e">
        <f>K177/VLOOKUP(A177,'[13]geoMap (10)'!$A:$B,2,0)*VLOOKUP(A177,'[13]geoMap (10)'!$A:$C,3,0)</f>
        <v>#REF!</v>
      </c>
      <c r="M177" s="1" t="e">
        <f>L177/VLOOKUP(A177,'[14]geoMap (11)'!$A:$B,2,0)*VLOOKUP(A177,'[14]geoMap (11)'!$A:$C,3,0)</f>
        <v>#REF!</v>
      </c>
      <c r="N177" s="1" t="e">
        <f>M177/VLOOKUP(A177,'[15]geoMap (12)'!$A:$B,2,0)*VLOOKUP(A177,'[15]geoMap (12)'!$A:$C,3,0)</f>
        <v>#REF!</v>
      </c>
      <c r="O177" s="1" t="e">
        <f>N177/VLOOKUP(A177,'[16]geoMap (13)'!$A:$B,2,0)*VLOOKUP(A177,'[16]geoMap (13)'!$A:$C,3,0)</f>
        <v>#REF!</v>
      </c>
      <c r="P177" s="1" t="e">
        <f>O177/VLOOKUP(A177,'[17]geoMap (14)'!$A:$B,2,0)*VLOOKUP(A177,'[17]geoMap (14)'!$A:$C,3,0)</f>
        <v>#REF!</v>
      </c>
      <c r="Q177" s="1" t="e">
        <f>P177/VLOOKUP(A177,'[18]geoMap (15)'!$A:$B,2,0)*VLOOKUP(A177,'[18]geoMap (15)'!$A:$C,3,0)</f>
        <v>#REF!</v>
      </c>
      <c r="R177" s="1" t="e">
        <f>Q177/VLOOKUP(A177,'[19]geoMap (16)'!$A:$B,2,0)*VLOOKUP(A177,'[19]geoMap (16)'!$A:$C,3,0)</f>
        <v>#REF!</v>
      </c>
      <c r="S177" s="1" t="e">
        <f>R177/VLOOKUP(A177,'[20]geoMap (17)'!$A:$B,2,0)*VLOOKUP(A177,'[20]geoMap (17)'!$A:$C,3,0)</f>
        <v>#REF!</v>
      </c>
      <c r="T177" s="1" t="e">
        <f>S177/VLOOKUP(A177,'[21]geoMap (18)'!$A:$B,2,0)*VLOOKUP(A177,'[21]geoMap (18)'!$A:$C,3,0)</f>
        <v>#REF!</v>
      </c>
      <c r="U177" s="1" t="e">
        <f>T177/VLOOKUP(A177,'[22]geoMap (19)'!$A:$B,2,0)*VLOOKUP(A177,'[22]geoMap (19)'!$A:$C,3,0)</f>
        <v>#REF!</v>
      </c>
      <c r="V177" s="1" t="e">
        <f>U177/VLOOKUP(A177,'[23]geoMap (20)'!$A:$B,2,0)*VLOOKUP(A177,'[23]geoMap (20)'!$A:$C,3,0)</f>
        <v>#REF!</v>
      </c>
      <c r="W177" s="1" t="e">
        <f>V177/VLOOKUP(A177,'[24]geoMap (21)'!$A:$B,2,0)*VLOOKUP(A177,'[24]geoMap (21)'!$A:$C,3,0)</f>
        <v>#REF!</v>
      </c>
      <c r="X177" s="1" t="e">
        <f>W177/VLOOKUP(A177,'[25]geoMap (22)'!$A:$B,2,0)*VLOOKUP(A177,'[25]geoMap (22)'!$A:$C,3,0)</f>
        <v>#REF!</v>
      </c>
      <c r="Y177" s="1" t="e">
        <f>X177/VLOOKUP(A177,'[26]geoMap (23)'!$A:$B,2,0)*VLOOKUP(A177,'[26]geoMap (23)'!$A:$C,3,0)</f>
        <v>#REF!</v>
      </c>
      <c r="Z177" s="1" t="e">
        <f>Y177/VLOOKUP(A177,'[27]geoMap (24)'!$A:$B,2,0)*VLOOKUP(A177,'[27]geoMap (24)'!$A:$C,3,0)</f>
        <v>#REF!</v>
      </c>
      <c r="AA177" s="1" t="e">
        <f>Z177/VLOOKUP(A177,'[28]geoMap (25)'!$A:$B,2,0)*VLOOKUP(A177,'[28]geoMap (25)'!$A:$C,3,0)</f>
        <v>#REF!</v>
      </c>
      <c r="AB177" s="1" t="e">
        <f>AA177*VLOOKUP(A177,'[29]geoMap (26)'!$A:$B,2,0)*VLOOKUP(A177,'[29]geoMap (26)'!$A:$C,3,0)</f>
        <v>#REF!</v>
      </c>
      <c r="AC177" s="1" t="e">
        <f>AB177/VLOOKUP(A177,'[30]geoMap (27)'!$A:$B,2,0)*VLOOKUP(A177,'[30]geoMap (27)'!$A:$C,3,0)</f>
        <v>#REF!</v>
      </c>
      <c r="AD177" s="1" t="e">
        <f>AC177/VLOOKUP(A177,'[31]geoMap (28)'!$A:$B,2,0)*VLOOKUP(A177,'[31]geoMap (28)'!$A:$C,3,0)</f>
        <v>#REF!</v>
      </c>
      <c r="AE177" s="1" t="e">
        <f>AD177/VLOOKUP(A177,'[32]geoMap (29)'!$A:$B,2,0)*VLOOKUP(A177,'[32]geoMap (29)'!$A:$C,3,0)</f>
        <v>#REF!</v>
      </c>
      <c r="AF177" s="1" t="e">
        <f>AE177/VLOOKUP(A177,'[33]geoMap (30)'!$A:$B,2,0)*VLOOKUP(A177,'[33]geoMap (30)'!$A:$C,3,0)</f>
        <v>#REF!</v>
      </c>
      <c r="AG177" s="1" t="e">
        <f>AF177/VLOOKUP(A177,'[34]geoMap (31)'!$A:$B,2,0)*VLOOKUP(A177,'[34]geoMap (31)'!$A:$C,3,0)</f>
        <v>#REF!</v>
      </c>
      <c r="AH177" s="1" t="e">
        <f>AG177/VLOOKUP(A177,'[35]geoMap (32)'!$A:$B,2,0)*VLOOKUP(A177,'[35]geoMap (32)'!$A:$C,3,0)</f>
        <v>#REF!</v>
      </c>
      <c r="AI177" s="1" t="e">
        <f>AH177/VLOOKUP(A177,'[36]geoMap (33)'!$A:$B,2,0)*VLOOKUP(A177,'[36]geoMap (33)'!$A:$C,3,0)</f>
        <v>#REF!</v>
      </c>
      <c r="AJ177" s="1" t="e">
        <f>AI177/VLOOKUP(A177,'[37]geoMap (34)'!$A:$B,2,0)*VLOOKUP(A177,'[37]geoMap (34)'!$A:$C,3,0)</f>
        <v>#REF!</v>
      </c>
      <c r="AK177" s="1" t="e">
        <f>AJ177/VLOOKUP(A177,'[38]geoMap (35)'!$A:$B,2,0)*VLOOKUP(A177,'[38]geoMap (35)'!$A:$C,3,0)</f>
        <v>#REF!</v>
      </c>
      <c r="AL177" s="1" t="e">
        <f>AK177/VLOOKUP(A177,'[39]geoMap (36)'!$A:$B,2,0)*VLOOKUP(A177,'[39]geoMap (36)'!$A:$C,3,0)</f>
        <v>#REF!</v>
      </c>
      <c r="AM177" s="1" t="e">
        <f>AL177/VLOOKUP(A177,'[40]geoMap (37)'!$A:$B,2,0)*VLOOKUP(A177,'[40]geoMap (37)'!$A:$C,3,0)</f>
        <v>#REF!</v>
      </c>
      <c r="AN177" s="1" t="e">
        <f>AM177/VLOOKUP(A177,'[41]geoMap (38)'!$A:$B,2,0)*VLOOKUP(A177,'[41]geoMap (38)'!$A:$C,3,0)</f>
        <v>#REF!</v>
      </c>
      <c r="AO177" s="1" t="e">
        <f>AN177/VLOOKUP(A177,'[42]geoMap (39)'!$A:$B,2,0)*VLOOKUP(A177,'[42]geoMap (39)'!$A:$C,3,0)</f>
        <v>#REF!</v>
      </c>
      <c r="AP177" s="1" t="e">
        <f>AO177/VLOOKUP(A177,'[43]geoMap (40)'!$A:$B,2,0)*VLOOKUP(A177,'[43]geoMap (40)'!$A:$C,3,0)</f>
        <v>#REF!</v>
      </c>
      <c r="AQ177" s="1" t="e">
        <f>AP177/VLOOKUP(A177,'[44]geoMap (41)'!$A:$B,2,0)*VLOOKUP(A177,'[44]geoMap (41)'!$A:$C,3,0)</f>
        <v>#REF!</v>
      </c>
      <c r="AR177" s="1" t="e">
        <f>AQ177/VLOOKUP(A177,'[45]geoMap (42)'!$A:$B,2,0)*VLOOKUP(A177,'[45]geoMap (42)'!$A:$C,3,0)</f>
        <v>#REF!</v>
      </c>
      <c r="AS177" s="1" t="e">
        <f>AR177/VLOOKUP(A177,'[46]geoMap (43)'!$A:$B,2,0)*VLOOKUP(A177,'[46]geoMap (43)'!$A:$C,3,0)</f>
        <v>#REF!</v>
      </c>
      <c r="AT177" s="1" t="e">
        <f>AS177/VLOOKUP(A177,'[47]geoMap (44)'!$A:$B,2,0)*VLOOKUP(A177,'[47]geoMap (44)'!$A:$C,3,0)</f>
        <v>#REF!</v>
      </c>
      <c r="AU177" s="1" t="e">
        <f>AT177/VLOOKUP(A177,'[48]geoMap (45)'!$A:$B,2,0)*VLOOKUP(A177,'[48]geoMap (45)'!$A:$C,3,0)</f>
        <v>#REF!</v>
      </c>
      <c r="AV177" s="1" t="e">
        <f>AU177/VLOOKUP(A177,'[49]geoMap (46)'!$A:$B,2,0)*VLOOKUP(A177,'[49]geoMap (46)'!$A:$C,3,0)</f>
        <v>#REF!</v>
      </c>
      <c r="AW177" s="1" t="e">
        <f>AV177/VLOOKUP(A177,'[50]geoMap (47)'!$A:$B,2,0)*VLOOKUP(A177,'[50]geoMap (47)'!$A:$C,3,0)</f>
        <v>#REF!</v>
      </c>
      <c r="AX177" s="4" t="e">
        <f>AW177/VLOOKUP(A177,'[51]geoMap (48)'!$A:$B,2,0)*VLOOKUP(A177,'[51]geoMap (48)'!$A:$C,3,0)</f>
        <v>#REF!</v>
      </c>
      <c r="AY177" s="1" t="e">
        <f>AX177/VLOOKUP(A177,'[52]geoMap (49)'!$A:$B,2,0)*VLOOKUP(A177,'[52]geoMap (49)'!$A:$C,3,0)</f>
        <v>#REF!</v>
      </c>
      <c r="AZ177" s="4" t="e">
        <f>AY177/VLOOKUP(A177,'[53]geoMap (50)'!$A:$B,2,0)*VLOOKUP(A177,'[53]geoMap (50)'!$A:$C,3,0)</f>
        <v>#REF!</v>
      </c>
      <c r="BA177" s="1" t="e">
        <f>AZ177/VLOOKUP(A177,'[54]geoMap (51)'!$A:$B,2,0)*VLOOKUP(A177,'[54]geoMap (51)'!$A:$C,3,0)</f>
        <v>#REF!</v>
      </c>
      <c r="BB177" s="4" t="e">
        <f>BA177/VLOOKUP(A177,'[55]geoMap (52)'!$A:$B,2,0)*VLOOKUP(A177,'[55]geoMap (52)'!$A:$C,3,0)</f>
        <v>#REF!</v>
      </c>
      <c r="BC177" s="1" t="e">
        <f>BB177/VLOOKUP(A177,'[56]geoMap (53)'!$A:$B,2,0)*VLOOKUP(A177,'[56]geoMap (53)'!$A:$C,3,0)</f>
        <v>#REF!</v>
      </c>
      <c r="BD177" s="4" t="e">
        <f>BC177/VLOOKUP(A177,'[57]geoMap (54)'!$A:$B,2,0)*VLOOKUP(A177,'[57]geoMap (54)'!$A:$C,3,0)</f>
        <v>#REF!</v>
      </c>
      <c r="BE177" s="1" t="e">
        <f>BD177/VLOOKUP(A177,'[58]geoMap (55)'!$A:$B,2,0)*VLOOKUP(A177,'[58]geoMap (55)'!$A:$C,3,0)</f>
        <v>#REF!</v>
      </c>
      <c r="BF177" s="4" t="e">
        <f>BE177/VLOOKUP(A177,'[59]geoMap (56)'!$A:$B,2,0)*VLOOKUP(A177,'[59]geoMap (56)'!$A:$C,3,0)</f>
        <v>#REF!</v>
      </c>
      <c r="BG177" s="1" t="e">
        <f>BF177/VLOOKUP(A177,'[60]geoMap (57)'!$A:$B,2,0)*VLOOKUP(A177,'[60]geoMap (57)'!$A:$C,3,0)</f>
        <v>#REF!</v>
      </c>
      <c r="BH177" s="4" t="e">
        <f>BG177/VLOOKUP(A177,'[61]geoMap (58)'!$A:$B,2,0)*VLOOKUP(A177,'[61]geoMap (58)'!$A:$C,3,0)</f>
        <v>#REF!</v>
      </c>
      <c r="BI177" s="1" t="e">
        <f>BH177/VLOOKUP(A177,'[62]geoMap (59)'!$A:$B,2,0)*VLOOKUP(A177,'[62]geoMap (59)'!$A:$C,3,0)</f>
        <v>#REF!</v>
      </c>
      <c r="BJ177" s="4" t="e">
        <f>BI177/VLOOKUP(A177,'[63]geoMap (60)'!$A:$B,2,0)*VLOOKUP(A177,'[63]geoMap (60)'!$A:$C,3,0)</f>
        <v>#REF!</v>
      </c>
      <c r="BK177" s="1" t="e">
        <f>BJ177/VLOOKUP(A177,'[64]geoMap (61)'!$A:$B,2,0)*VLOOKUP(A177,'[64]geoMap (61)'!$A:$C,3,0)</f>
        <v>#REF!</v>
      </c>
      <c r="BL177" s="4" t="e">
        <f>BK177/VLOOKUP(A177,'[65]geoMap (62)'!$A:$B,2,0)*VLOOKUP(A177,'[65]geoMap (62)'!$A:$C,3,0)</f>
        <v>#REF!</v>
      </c>
      <c r="BM177" s="1" t="e">
        <f>BL177/VLOOKUP(A177,'[66]geoMap (63)'!$A:$B,2,0)*VLOOKUP(A177,'[66]geoMap (63)'!$A:$C,3,0)</f>
        <v>#REF!</v>
      </c>
      <c r="BN177" s="4" t="e">
        <f>BM177/VLOOKUP(A177,'[67]geoMap (64)'!$A:$B,2,0)*VLOOKUP(A177,'[67]geoMap (64)'!$A:$C,3,0)</f>
        <v>#REF!</v>
      </c>
      <c r="BO177" s="1" t="e">
        <f>BN177/VLOOKUP(A177,'[68]geoMap (65)'!$A:$B,2,0)*VLOOKUP(A177,'[68]geoMap (65)'!$A:$C,3,0)</f>
        <v>#REF!</v>
      </c>
      <c r="BP177" s="4" t="e">
        <f>BO177/VLOOKUP(A177,'[69]geoMap (66)'!$A:$B,2,0)*VLOOKUP(A177,'[69]geoMap (66)'!$A:$C,3,0)</f>
        <v>#REF!</v>
      </c>
    </row>
    <row r="178" spans="1:68" x14ac:dyDescent="0.2">
      <c r="A178" s="1" t="s">
        <v>176</v>
      </c>
      <c r="B178" s="1" t="e">
        <f>VLOOKUP(A178,[3]geoMap!$A:$B,2,0)*Notes!$C$6</f>
        <v>#REF!</v>
      </c>
      <c r="C178" s="1" t="e">
        <f>B178/VLOOKUP(A178,'[4]geoMap (1)'!$A:$B,2,0)*VLOOKUP(A178,'[4]geoMap (1)'!$A:$C,3,0)</f>
        <v>#REF!</v>
      </c>
      <c r="D178" s="1" t="e">
        <f>C178/VLOOKUP(A178,'[5]geoMap (2)'!$A:$B,2,0)*VLOOKUP(A178,'[5]geoMap (2)'!$A:$C,3,0)</f>
        <v>#REF!</v>
      </c>
      <c r="E178" s="1" t="e">
        <f>D178/VLOOKUP(A178,'[6]geoMap (3)'!$A:$B,2,0)*VLOOKUP(A178,'[6]geoMap (3)'!$A:$C,3,0)</f>
        <v>#REF!</v>
      </c>
      <c r="F178" s="1" t="e">
        <f>E178/VLOOKUP(A178,'[7]geoMap (4)'!$A:$B,2,0)*VLOOKUP(A178,'[7]geoMap (4)'!$A:$C,3,0)</f>
        <v>#REF!</v>
      </c>
      <c r="G178" s="1" t="e">
        <f>F178/VLOOKUP(A178,'[8]geoMap (5)'!$A:$B,2,0)*VLOOKUP(A178,'[8]geoMap (5)'!$A:$C,3,0)</f>
        <v>#REF!</v>
      </c>
      <c r="H178" s="1" t="e">
        <f>G178/VLOOKUP(A178,'[9]geoMap (6)'!$A:$B,2,0)*VLOOKUP(A178,'[9]geoMap (6)'!$A:$C,3,0)</f>
        <v>#REF!</v>
      </c>
      <c r="I178" s="1" t="e">
        <f>H178/VLOOKUP(A178,'[10]geoMap (7)'!$A:$B,2,0)*VLOOKUP(A178,'[10]geoMap (7)'!$A:$C,3,0)</f>
        <v>#REF!</v>
      </c>
      <c r="J178" s="1" t="e">
        <f>I178/VLOOKUP(A178,'[11]geoMap (8)'!$A:$B,2,0)*VLOOKUP(A178,'[11]geoMap (8)'!$A:$C,3,0)</f>
        <v>#REF!</v>
      </c>
      <c r="K178" s="1" t="e">
        <f>J178/VLOOKUP(A178,'[12]geoMap (9)'!$A:$B,2,0)*VLOOKUP(A178,'[12]geoMap (9)'!$A:$C,3,0)</f>
        <v>#REF!</v>
      </c>
      <c r="L178" s="1" t="e">
        <f>K178/VLOOKUP(A178,'[13]geoMap (10)'!$A:$B,2,0)*VLOOKUP(A178,'[13]geoMap (10)'!$A:$C,3,0)</f>
        <v>#REF!</v>
      </c>
      <c r="M178" s="1" t="e">
        <f>L178/VLOOKUP(A178,'[14]geoMap (11)'!$A:$B,2,0)*VLOOKUP(A178,'[14]geoMap (11)'!$A:$C,3,0)</f>
        <v>#REF!</v>
      </c>
      <c r="N178" s="1" t="e">
        <f>M178/VLOOKUP(A178,'[15]geoMap (12)'!$A:$B,2,0)*VLOOKUP(A178,'[15]geoMap (12)'!$A:$C,3,0)</f>
        <v>#REF!</v>
      </c>
      <c r="O178" s="1" t="e">
        <f>N178/VLOOKUP(A178,'[16]geoMap (13)'!$A:$B,2,0)*VLOOKUP(A178,'[16]geoMap (13)'!$A:$C,3,0)</f>
        <v>#REF!</v>
      </c>
      <c r="P178" s="1" t="e">
        <f>O178/VLOOKUP(A178,'[17]geoMap (14)'!$A:$B,2,0)*VLOOKUP(A178,'[17]geoMap (14)'!$A:$C,3,0)</f>
        <v>#REF!</v>
      </c>
      <c r="Q178" s="1" t="e">
        <f>P178/VLOOKUP(A178,'[18]geoMap (15)'!$A:$B,2,0)*VLOOKUP(A178,'[18]geoMap (15)'!$A:$C,3,0)</f>
        <v>#REF!</v>
      </c>
      <c r="R178" s="1" t="e">
        <f>Q178/VLOOKUP(A178,'[19]geoMap (16)'!$A:$B,2,0)*VLOOKUP(A178,'[19]geoMap (16)'!$A:$C,3,0)</f>
        <v>#REF!</v>
      </c>
      <c r="S178" s="1" t="e">
        <f>R178/VLOOKUP(A178,'[20]geoMap (17)'!$A:$B,2,0)*VLOOKUP(A178,'[20]geoMap (17)'!$A:$C,3,0)</f>
        <v>#REF!</v>
      </c>
      <c r="T178" s="1" t="e">
        <f>S178/VLOOKUP(A178,'[21]geoMap (18)'!$A:$B,2,0)*VLOOKUP(A178,'[21]geoMap (18)'!$A:$C,3,0)</f>
        <v>#REF!</v>
      </c>
      <c r="U178" s="1" t="e">
        <f>T178/VLOOKUP(A178,'[22]geoMap (19)'!$A:$B,2,0)*VLOOKUP(A178,'[22]geoMap (19)'!$A:$C,3,0)</f>
        <v>#REF!</v>
      </c>
      <c r="V178" s="1" t="e">
        <f>U178/VLOOKUP(A178,'[23]geoMap (20)'!$A:$B,2,0)*VLOOKUP(A178,'[23]geoMap (20)'!$A:$C,3,0)</f>
        <v>#REF!</v>
      </c>
      <c r="W178" s="1" t="e">
        <f>V178/VLOOKUP(A178,'[24]geoMap (21)'!$A:$B,2,0)*VLOOKUP(A178,'[24]geoMap (21)'!$A:$C,3,0)</f>
        <v>#REF!</v>
      </c>
      <c r="X178" s="1" t="e">
        <f>W178/VLOOKUP(A178,'[25]geoMap (22)'!$A:$B,2,0)*VLOOKUP(A178,'[25]geoMap (22)'!$A:$C,3,0)</f>
        <v>#REF!</v>
      </c>
      <c r="Y178" s="1" t="e">
        <f>X178/VLOOKUP(A178,'[26]geoMap (23)'!$A:$B,2,0)*VLOOKUP(A178,'[26]geoMap (23)'!$A:$C,3,0)</f>
        <v>#REF!</v>
      </c>
      <c r="Z178" s="1" t="e">
        <f>Y178/VLOOKUP(A178,'[27]geoMap (24)'!$A:$B,2,0)*VLOOKUP(A178,'[27]geoMap (24)'!$A:$C,3,0)</f>
        <v>#REF!</v>
      </c>
      <c r="AA178" s="1" t="e">
        <f>Z178/VLOOKUP(A178,'[28]geoMap (25)'!$A:$B,2,0)*VLOOKUP(A178,'[28]geoMap (25)'!$A:$C,3,0)</f>
        <v>#REF!</v>
      </c>
      <c r="AB178" s="1" t="e">
        <f>AA178*VLOOKUP(A178,'[29]geoMap (26)'!$A:$B,2,0)*VLOOKUP(A178,'[29]geoMap (26)'!$A:$C,3,0)</f>
        <v>#REF!</v>
      </c>
      <c r="AC178" s="1" t="e">
        <f>AB178/VLOOKUP(A178,'[30]geoMap (27)'!$A:$B,2,0)*VLOOKUP(A178,'[30]geoMap (27)'!$A:$C,3,0)</f>
        <v>#REF!</v>
      </c>
      <c r="AD178" s="1" t="e">
        <f>AC178/VLOOKUP(A178,'[31]geoMap (28)'!$A:$B,2,0)*VLOOKUP(A178,'[31]geoMap (28)'!$A:$C,3,0)</f>
        <v>#REF!</v>
      </c>
      <c r="AE178" s="1" t="e">
        <f>AD178/VLOOKUP(A178,'[32]geoMap (29)'!$A:$B,2,0)*VLOOKUP(A178,'[32]geoMap (29)'!$A:$C,3,0)</f>
        <v>#REF!</v>
      </c>
      <c r="AF178" s="1" t="e">
        <f>AE178/VLOOKUP(A178,'[33]geoMap (30)'!$A:$B,2,0)*VLOOKUP(A178,'[33]geoMap (30)'!$A:$C,3,0)</f>
        <v>#REF!</v>
      </c>
      <c r="AG178" s="1" t="e">
        <f>AF178/VLOOKUP(A178,'[34]geoMap (31)'!$A:$B,2,0)*VLOOKUP(A178,'[34]geoMap (31)'!$A:$C,3,0)</f>
        <v>#REF!</v>
      </c>
      <c r="AH178" s="1" t="e">
        <f>AG178/VLOOKUP(A178,'[35]geoMap (32)'!$A:$B,2,0)*VLOOKUP(A178,'[35]geoMap (32)'!$A:$C,3,0)</f>
        <v>#REF!</v>
      </c>
      <c r="AI178" s="1" t="e">
        <f>AH178/VLOOKUP(A178,'[36]geoMap (33)'!$A:$B,2,0)*VLOOKUP(A178,'[36]geoMap (33)'!$A:$C,3,0)</f>
        <v>#REF!</v>
      </c>
      <c r="AJ178" s="1" t="e">
        <f>AI178/VLOOKUP(A178,'[37]geoMap (34)'!$A:$B,2,0)*VLOOKUP(A178,'[37]geoMap (34)'!$A:$C,3,0)</f>
        <v>#REF!</v>
      </c>
      <c r="AK178" s="1" t="e">
        <f>AJ178/VLOOKUP(A178,'[38]geoMap (35)'!$A:$B,2,0)*VLOOKUP(A178,'[38]geoMap (35)'!$A:$C,3,0)</f>
        <v>#REF!</v>
      </c>
      <c r="AL178" s="1" t="e">
        <f>AK178/VLOOKUP(A178,'[39]geoMap (36)'!$A:$B,2,0)*VLOOKUP(A178,'[39]geoMap (36)'!$A:$C,3,0)</f>
        <v>#REF!</v>
      </c>
      <c r="AM178" s="1" t="e">
        <f>AL178/VLOOKUP(A178,'[40]geoMap (37)'!$A:$B,2,0)*VLOOKUP(A178,'[40]geoMap (37)'!$A:$C,3,0)</f>
        <v>#REF!</v>
      </c>
      <c r="AN178" s="1" t="e">
        <f>AM178/VLOOKUP(A178,'[41]geoMap (38)'!$A:$B,2,0)*VLOOKUP(A178,'[41]geoMap (38)'!$A:$C,3,0)</f>
        <v>#REF!</v>
      </c>
      <c r="AO178" s="1" t="e">
        <f>AN178/VLOOKUP(A178,'[42]geoMap (39)'!$A:$B,2,0)*VLOOKUP(A178,'[42]geoMap (39)'!$A:$C,3,0)</f>
        <v>#REF!</v>
      </c>
      <c r="AP178" s="1" t="e">
        <f>AO178/VLOOKUP(A178,'[43]geoMap (40)'!$A:$B,2,0)*VLOOKUP(A178,'[43]geoMap (40)'!$A:$C,3,0)</f>
        <v>#REF!</v>
      </c>
      <c r="AQ178" s="1" t="e">
        <f>AP178/VLOOKUP(A178,'[44]geoMap (41)'!$A:$B,2,0)*VLOOKUP(A178,'[44]geoMap (41)'!$A:$C,3,0)</f>
        <v>#REF!</v>
      </c>
      <c r="AR178" s="1" t="e">
        <f>AQ178/VLOOKUP(A178,'[45]geoMap (42)'!$A:$B,2,0)*VLOOKUP(A178,'[45]geoMap (42)'!$A:$C,3,0)</f>
        <v>#REF!</v>
      </c>
      <c r="AS178" s="1" t="e">
        <f>AR178/VLOOKUP(A178,'[46]geoMap (43)'!$A:$B,2,0)*VLOOKUP(A178,'[46]geoMap (43)'!$A:$C,3,0)</f>
        <v>#REF!</v>
      </c>
      <c r="AT178" s="1" t="e">
        <f>AS178/VLOOKUP(A178,'[47]geoMap (44)'!$A:$B,2,0)*VLOOKUP(A178,'[47]geoMap (44)'!$A:$C,3,0)</f>
        <v>#REF!</v>
      </c>
      <c r="AU178" s="1" t="e">
        <f>AT178/VLOOKUP(A178,'[48]geoMap (45)'!$A:$B,2,0)*VLOOKUP(A178,'[48]geoMap (45)'!$A:$C,3,0)</f>
        <v>#REF!</v>
      </c>
      <c r="AV178" s="1" t="e">
        <f>AU178/VLOOKUP(A178,'[49]geoMap (46)'!$A:$B,2,0)*VLOOKUP(A178,'[49]geoMap (46)'!$A:$C,3,0)</f>
        <v>#REF!</v>
      </c>
      <c r="AW178" s="1" t="e">
        <f>AV178/VLOOKUP(A178,'[50]geoMap (47)'!$A:$B,2,0)*VLOOKUP(A178,'[50]geoMap (47)'!$A:$C,3,0)</f>
        <v>#REF!</v>
      </c>
      <c r="AX178" s="4" t="e">
        <f>AW178/VLOOKUP(A178,'[51]geoMap (48)'!$A:$B,2,0)*VLOOKUP(A178,'[51]geoMap (48)'!$A:$C,3,0)</f>
        <v>#REF!</v>
      </c>
      <c r="AY178" s="1" t="e">
        <f>AX178/VLOOKUP(A178,'[52]geoMap (49)'!$A:$B,2,0)*VLOOKUP(A178,'[52]geoMap (49)'!$A:$C,3,0)</f>
        <v>#REF!</v>
      </c>
      <c r="AZ178" s="4" t="e">
        <f>AY178/VLOOKUP(A178,'[53]geoMap (50)'!$A:$B,2,0)*VLOOKUP(A178,'[53]geoMap (50)'!$A:$C,3,0)</f>
        <v>#REF!</v>
      </c>
      <c r="BA178" s="1" t="e">
        <f>AZ178/VLOOKUP(A178,'[54]geoMap (51)'!$A:$B,2,0)*VLOOKUP(A178,'[54]geoMap (51)'!$A:$C,3,0)</f>
        <v>#REF!</v>
      </c>
      <c r="BB178" s="4" t="e">
        <f>BA178/VLOOKUP(A178,'[55]geoMap (52)'!$A:$B,2,0)*VLOOKUP(A178,'[55]geoMap (52)'!$A:$C,3,0)</f>
        <v>#REF!</v>
      </c>
      <c r="BC178" s="1" t="e">
        <f>BB178/VLOOKUP(A178,'[56]geoMap (53)'!$A:$B,2,0)*VLOOKUP(A178,'[56]geoMap (53)'!$A:$C,3,0)</f>
        <v>#REF!</v>
      </c>
      <c r="BD178" s="4" t="e">
        <f>BC178/VLOOKUP(A178,'[57]geoMap (54)'!$A:$B,2,0)*VLOOKUP(A178,'[57]geoMap (54)'!$A:$C,3,0)</f>
        <v>#REF!</v>
      </c>
      <c r="BE178" s="1" t="e">
        <f>BD178/VLOOKUP(A178,'[58]geoMap (55)'!$A:$B,2,0)*VLOOKUP(A178,'[58]geoMap (55)'!$A:$C,3,0)</f>
        <v>#REF!</v>
      </c>
      <c r="BF178" s="4" t="e">
        <f>BE178/VLOOKUP(A178,'[59]geoMap (56)'!$A:$B,2,0)*VLOOKUP(A178,'[59]geoMap (56)'!$A:$C,3,0)</f>
        <v>#REF!</v>
      </c>
      <c r="BG178" s="1" t="e">
        <f>BF178/VLOOKUP(A178,'[60]geoMap (57)'!$A:$B,2,0)*VLOOKUP(A178,'[60]geoMap (57)'!$A:$C,3,0)</f>
        <v>#REF!</v>
      </c>
      <c r="BH178" s="4" t="e">
        <f>BG178/VLOOKUP(A178,'[61]geoMap (58)'!$A:$B,2,0)*VLOOKUP(A178,'[61]geoMap (58)'!$A:$C,3,0)</f>
        <v>#REF!</v>
      </c>
      <c r="BI178" s="1" t="e">
        <f>BH178/VLOOKUP(A178,'[62]geoMap (59)'!$A:$B,2,0)*VLOOKUP(A178,'[62]geoMap (59)'!$A:$C,3,0)</f>
        <v>#REF!</v>
      </c>
      <c r="BJ178" s="4" t="e">
        <f>BI178/VLOOKUP(A178,'[63]geoMap (60)'!$A:$B,2,0)*VLOOKUP(A178,'[63]geoMap (60)'!$A:$C,3,0)</f>
        <v>#REF!</v>
      </c>
      <c r="BK178" s="1" t="e">
        <f>BJ178/VLOOKUP(A178,'[64]geoMap (61)'!$A:$B,2,0)*VLOOKUP(A178,'[64]geoMap (61)'!$A:$C,3,0)</f>
        <v>#REF!</v>
      </c>
      <c r="BL178" s="4" t="e">
        <f>BK178/VLOOKUP(A178,'[65]geoMap (62)'!$A:$B,2,0)*VLOOKUP(A178,'[65]geoMap (62)'!$A:$C,3,0)</f>
        <v>#REF!</v>
      </c>
      <c r="BM178" s="1" t="e">
        <f>BL178/VLOOKUP(A178,'[66]geoMap (63)'!$A:$B,2,0)*VLOOKUP(A178,'[66]geoMap (63)'!$A:$C,3,0)</f>
        <v>#REF!</v>
      </c>
      <c r="BN178" s="4" t="e">
        <f>BM178/VLOOKUP(A178,'[67]geoMap (64)'!$A:$B,2,0)*VLOOKUP(A178,'[67]geoMap (64)'!$A:$C,3,0)</f>
        <v>#REF!</v>
      </c>
      <c r="BO178" s="1" t="e">
        <f>BN178/VLOOKUP(A178,'[68]geoMap (65)'!$A:$B,2,0)*VLOOKUP(A178,'[68]geoMap (65)'!$A:$C,3,0)</f>
        <v>#REF!</v>
      </c>
      <c r="BP178" s="4" t="e">
        <f>BO178/VLOOKUP(A178,'[69]geoMap (66)'!$A:$B,2,0)*VLOOKUP(A178,'[69]geoMap (66)'!$A:$C,3,0)</f>
        <v>#REF!</v>
      </c>
    </row>
    <row r="179" spans="1:68" x14ac:dyDescent="0.2">
      <c r="A179" s="1" t="s">
        <v>179</v>
      </c>
      <c r="B179" s="1" t="e">
        <f>VLOOKUP(A179,[3]geoMap!$A:$B,2,0)*Notes!$C$6</f>
        <v>#REF!</v>
      </c>
      <c r="C179" s="1" t="e">
        <f>B179/VLOOKUP(A179,'[4]geoMap (1)'!$A:$B,2,0)*VLOOKUP(A179,'[4]geoMap (1)'!$A:$C,3,0)</f>
        <v>#REF!</v>
      </c>
      <c r="D179" s="1" t="e">
        <f>C179/VLOOKUP(A179,'[5]geoMap (2)'!$A:$B,2,0)*VLOOKUP(A179,'[5]geoMap (2)'!$A:$C,3,0)</f>
        <v>#REF!</v>
      </c>
      <c r="E179" s="1" t="e">
        <f>D179/VLOOKUP(A179,'[6]geoMap (3)'!$A:$B,2,0)*VLOOKUP(A179,'[6]geoMap (3)'!$A:$C,3,0)</f>
        <v>#REF!</v>
      </c>
      <c r="F179" s="1" t="e">
        <f>E179/VLOOKUP(A179,'[7]geoMap (4)'!$A:$B,2,0)*VLOOKUP(A179,'[7]geoMap (4)'!$A:$C,3,0)</f>
        <v>#REF!</v>
      </c>
      <c r="G179" s="1" t="e">
        <f>F179/VLOOKUP(A179,'[8]geoMap (5)'!$A:$B,2,0)*VLOOKUP(A179,'[8]geoMap (5)'!$A:$C,3,0)</f>
        <v>#REF!</v>
      </c>
      <c r="H179" s="1" t="e">
        <f>G179/VLOOKUP(A179,'[9]geoMap (6)'!$A:$B,2,0)*VLOOKUP(A179,'[9]geoMap (6)'!$A:$C,3,0)</f>
        <v>#REF!</v>
      </c>
      <c r="I179" s="1" t="e">
        <f>H179/VLOOKUP(A179,'[10]geoMap (7)'!$A:$B,2,0)*VLOOKUP(A179,'[10]geoMap (7)'!$A:$C,3,0)</f>
        <v>#REF!</v>
      </c>
      <c r="J179" s="1" t="e">
        <f>I179/VLOOKUP(A179,'[11]geoMap (8)'!$A:$B,2,0)*VLOOKUP(A179,'[11]geoMap (8)'!$A:$C,3,0)</f>
        <v>#REF!</v>
      </c>
      <c r="K179" s="1" t="e">
        <f>J179/VLOOKUP(A179,'[12]geoMap (9)'!$A:$B,2,0)*VLOOKUP(A179,'[12]geoMap (9)'!$A:$C,3,0)</f>
        <v>#REF!</v>
      </c>
      <c r="L179" s="1" t="e">
        <f>K179/VLOOKUP(A179,'[13]geoMap (10)'!$A:$B,2,0)*VLOOKUP(A179,'[13]geoMap (10)'!$A:$C,3,0)</f>
        <v>#REF!</v>
      </c>
      <c r="M179" s="1" t="e">
        <f>L179/VLOOKUP(A179,'[14]geoMap (11)'!$A:$B,2,0)*VLOOKUP(A179,'[14]geoMap (11)'!$A:$C,3,0)</f>
        <v>#REF!</v>
      </c>
      <c r="N179" s="1" t="e">
        <f>M179/VLOOKUP(A179,'[15]geoMap (12)'!$A:$B,2,0)*VLOOKUP(A179,'[15]geoMap (12)'!$A:$C,3,0)</f>
        <v>#REF!</v>
      </c>
      <c r="O179" s="1" t="e">
        <f>N179/VLOOKUP(A179,'[16]geoMap (13)'!$A:$B,2,0)*VLOOKUP(A179,'[16]geoMap (13)'!$A:$C,3,0)</f>
        <v>#REF!</v>
      </c>
      <c r="P179" s="1" t="e">
        <f>O179/VLOOKUP(A179,'[17]geoMap (14)'!$A:$B,2,0)*VLOOKUP(A179,'[17]geoMap (14)'!$A:$C,3,0)</f>
        <v>#REF!</v>
      </c>
      <c r="Q179" s="1" t="e">
        <f>P179/VLOOKUP(A179,'[18]geoMap (15)'!$A:$B,2,0)*VLOOKUP(A179,'[18]geoMap (15)'!$A:$C,3,0)</f>
        <v>#REF!</v>
      </c>
      <c r="R179" s="1" t="e">
        <f>Q179/VLOOKUP(A179,'[19]geoMap (16)'!$A:$B,2,0)*VLOOKUP(A179,'[19]geoMap (16)'!$A:$C,3,0)</f>
        <v>#REF!</v>
      </c>
      <c r="S179" s="1" t="e">
        <f>R179/VLOOKUP(A179,'[20]geoMap (17)'!$A:$B,2,0)*VLOOKUP(A179,'[20]geoMap (17)'!$A:$C,3,0)</f>
        <v>#REF!</v>
      </c>
      <c r="T179" s="1" t="e">
        <f>S179/VLOOKUP(A179,'[21]geoMap (18)'!$A:$B,2,0)*VLOOKUP(A179,'[21]geoMap (18)'!$A:$C,3,0)</f>
        <v>#REF!</v>
      </c>
      <c r="U179" s="1" t="e">
        <f>T179/VLOOKUP(A179,'[22]geoMap (19)'!$A:$B,2,0)*VLOOKUP(A179,'[22]geoMap (19)'!$A:$C,3,0)</f>
        <v>#REF!</v>
      </c>
      <c r="V179" s="1" t="e">
        <f>U179/VLOOKUP(A179,'[23]geoMap (20)'!$A:$B,2,0)*VLOOKUP(A179,'[23]geoMap (20)'!$A:$C,3,0)</f>
        <v>#REF!</v>
      </c>
      <c r="W179" s="1" t="e">
        <f>V179/VLOOKUP(A179,'[24]geoMap (21)'!$A:$B,2,0)*VLOOKUP(A179,'[24]geoMap (21)'!$A:$C,3,0)</f>
        <v>#REF!</v>
      </c>
      <c r="X179" s="1" t="e">
        <f>W179/VLOOKUP(A179,'[25]geoMap (22)'!$A:$B,2,0)*VLOOKUP(A179,'[25]geoMap (22)'!$A:$C,3,0)</f>
        <v>#REF!</v>
      </c>
      <c r="Y179" s="1" t="e">
        <f>X179/VLOOKUP(A179,'[26]geoMap (23)'!$A:$B,2,0)*VLOOKUP(A179,'[26]geoMap (23)'!$A:$C,3,0)</f>
        <v>#REF!</v>
      </c>
      <c r="Z179" s="1" t="e">
        <f>Y179/VLOOKUP(A179,'[27]geoMap (24)'!$A:$B,2,0)*VLOOKUP(A179,'[27]geoMap (24)'!$A:$C,3,0)</f>
        <v>#REF!</v>
      </c>
      <c r="AA179" s="1" t="e">
        <f>Z179/VLOOKUP(A179,'[28]geoMap (25)'!$A:$B,2,0)*VLOOKUP(A179,'[28]geoMap (25)'!$A:$C,3,0)</f>
        <v>#REF!</v>
      </c>
      <c r="AB179" s="1" t="e">
        <f>AA179*VLOOKUP(A179,'[29]geoMap (26)'!$A:$B,2,0)*VLOOKUP(A179,'[29]geoMap (26)'!$A:$C,3,0)</f>
        <v>#REF!</v>
      </c>
      <c r="AC179" s="1" t="e">
        <f>AB179/VLOOKUP(A179,'[30]geoMap (27)'!$A:$B,2,0)*VLOOKUP(A179,'[30]geoMap (27)'!$A:$C,3,0)</f>
        <v>#REF!</v>
      </c>
      <c r="AD179" s="1" t="e">
        <f>AC179/VLOOKUP(A179,'[31]geoMap (28)'!$A:$B,2,0)*VLOOKUP(A179,'[31]geoMap (28)'!$A:$C,3,0)</f>
        <v>#REF!</v>
      </c>
      <c r="AE179" s="1" t="e">
        <f>AD179/VLOOKUP(A179,'[32]geoMap (29)'!$A:$B,2,0)*VLOOKUP(A179,'[32]geoMap (29)'!$A:$C,3,0)</f>
        <v>#REF!</v>
      </c>
      <c r="AF179" s="1" t="e">
        <f>AE179/VLOOKUP(A179,'[33]geoMap (30)'!$A:$B,2,0)*VLOOKUP(A179,'[33]geoMap (30)'!$A:$C,3,0)</f>
        <v>#REF!</v>
      </c>
      <c r="AG179" s="1" t="e">
        <f>AF179/VLOOKUP(A179,'[34]geoMap (31)'!$A:$B,2,0)*VLOOKUP(A179,'[34]geoMap (31)'!$A:$C,3,0)</f>
        <v>#REF!</v>
      </c>
      <c r="AH179" s="1" t="e">
        <f>AG179/VLOOKUP(A179,'[35]geoMap (32)'!$A:$B,2,0)*VLOOKUP(A179,'[35]geoMap (32)'!$A:$C,3,0)</f>
        <v>#REF!</v>
      </c>
      <c r="AI179" s="1" t="e">
        <f>AH179/VLOOKUP(A179,'[36]geoMap (33)'!$A:$B,2,0)*VLOOKUP(A179,'[36]geoMap (33)'!$A:$C,3,0)</f>
        <v>#REF!</v>
      </c>
      <c r="AJ179" s="1" t="e">
        <f>AI179/VLOOKUP(A179,'[37]geoMap (34)'!$A:$B,2,0)*VLOOKUP(A179,'[37]geoMap (34)'!$A:$C,3,0)</f>
        <v>#REF!</v>
      </c>
      <c r="AK179" s="1" t="e">
        <f>AJ179/VLOOKUP(A179,'[38]geoMap (35)'!$A:$B,2,0)*VLOOKUP(A179,'[38]geoMap (35)'!$A:$C,3,0)</f>
        <v>#REF!</v>
      </c>
      <c r="AL179" s="1" t="e">
        <f>AK179/VLOOKUP(A179,'[39]geoMap (36)'!$A:$B,2,0)*VLOOKUP(A179,'[39]geoMap (36)'!$A:$C,3,0)</f>
        <v>#REF!</v>
      </c>
      <c r="AM179" s="1" t="e">
        <f>AL179/VLOOKUP(A179,'[40]geoMap (37)'!$A:$B,2,0)*VLOOKUP(A179,'[40]geoMap (37)'!$A:$C,3,0)</f>
        <v>#REF!</v>
      </c>
      <c r="AN179" s="1" t="e">
        <f>AM179/VLOOKUP(A179,'[41]geoMap (38)'!$A:$B,2,0)*VLOOKUP(A179,'[41]geoMap (38)'!$A:$C,3,0)</f>
        <v>#REF!</v>
      </c>
      <c r="AO179" s="1" t="e">
        <f>AN179/VLOOKUP(A179,'[42]geoMap (39)'!$A:$B,2,0)*VLOOKUP(A179,'[42]geoMap (39)'!$A:$C,3,0)</f>
        <v>#REF!</v>
      </c>
      <c r="AP179" s="1" t="e">
        <f>AO179/VLOOKUP(A179,'[43]geoMap (40)'!$A:$B,2,0)*VLOOKUP(A179,'[43]geoMap (40)'!$A:$C,3,0)</f>
        <v>#REF!</v>
      </c>
      <c r="AQ179" s="1" t="e">
        <f>AP179/VLOOKUP(A179,'[44]geoMap (41)'!$A:$B,2,0)*VLOOKUP(A179,'[44]geoMap (41)'!$A:$C,3,0)</f>
        <v>#REF!</v>
      </c>
      <c r="AR179" s="1" t="e">
        <f>AQ179/VLOOKUP(A179,'[45]geoMap (42)'!$A:$B,2,0)*VLOOKUP(A179,'[45]geoMap (42)'!$A:$C,3,0)</f>
        <v>#REF!</v>
      </c>
      <c r="AS179" s="1" t="e">
        <f>AR179/VLOOKUP(A179,'[46]geoMap (43)'!$A:$B,2,0)*VLOOKUP(A179,'[46]geoMap (43)'!$A:$C,3,0)</f>
        <v>#REF!</v>
      </c>
      <c r="AT179" s="1" t="e">
        <f>AS179/VLOOKUP(A179,'[47]geoMap (44)'!$A:$B,2,0)*VLOOKUP(A179,'[47]geoMap (44)'!$A:$C,3,0)</f>
        <v>#REF!</v>
      </c>
      <c r="AU179" s="1" t="e">
        <f>AT179/VLOOKUP(A179,'[48]geoMap (45)'!$A:$B,2,0)*VLOOKUP(A179,'[48]geoMap (45)'!$A:$C,3,0)</f>
        <v>#REF!</v>
      </c>
      <c r="AV179" s="1" t="e">
        <f>AU179/VLOOKUP(A179,'[49]geoMap (46)'!$A:$B,2,0)*VLOOKUP(A179,'[49]geoMap (46)'!$A:$C,3,0)</f>
        <v>#REF!</v>
      </c>
      <c r="AW179" s="1" t="e">
        <f>AV179/VLOOKUP(A179,'[50]geoMap (47)'!$A:$B,2,0)*VLOOKUP(A179,'[50]geoMap (47)'!$A:$C,3,0)</f>
        <v>#REF!</v>
      </c>
      <c r="AX179" s="4" t="e">
        <f>AW179/VLOOKUP(A179,'[51]geoMap (48)'!$A:$B,2,0)*VLOOKUP(A179,'[51]geoMap (48)'!$A:$C,3,0)</f>
        <v>#REF!</v>
      </c>
      <c r="AY179" s="1" t="e">
        <f>AX179/VLOOKUP(A179,'[52]geoMap (49)'!$A:$B,2,0)*VLOOKUP(A179,'[52]geoMap (49)'!$A:$C,3,0)</f>
        <v>#REF!</v>
      </c>
      <c r="AZ179" s="4" t="e">
        <f>AY179/VLOOKUP(A179,'[53]geoMap (50)'!$A:$B,2,0)*VLOOKUP(A179,'[53]geoMap (50)'!$A:$C,3,0)</f>
        <v>#REF!</v>
      </c>
      <c r="BA179" s="1" t="e">
        <f>AZ179/VLOOKUP(A179,'[54]geoMap (51)'!$A:$B,2,0)*VLOOKUP(A179,'[54]geoMap (51)'!$A:$C,3,0)</f>
        <v>#REF!</v>
      </c>
      <c r="BB179" s="4" t="e">
        <f>BA179/VLOOKUP(A179,'[55]geoMap (52)'!$A:$B,2,0)*VLOOKUP(A179,'[55]geoMap (52)'!$A:$C,3,0)</f>
        <v>#REF!</v>
      </c>
      <c r="BC179" s="1" t="e">
        <f>BB179/VLOOKUP(A179,'[56]geoMap (53)'!$A:$B,2,0)*VLOOKUP(A179,'[56]geoMap (53)'!$A:$C,3,0)</f>
        <v>#REF!</v>
      </c>
      <c r="BD179" s="4" t="e">
        <f>BC179/VLOOKUP(A179,'[57]geoMap (54)'!$A:$B,2,0)*VLOOKUP(A179,'[57]geoMap (54)'!$A:$C,3,0)</f>
        <v>#REF!</v>
      </c>
      <c r="BE179" s="1" t="e">
        <f>BD179/VLOOKUP(A179,'[58]geoMap (55)'!$A:$B,2,0)*VLOOKUP(A179,'[58]geoMap (55)'!$A:$C,3,0)</f>
        <v>#REF!</v>
      </c>
      <c r="BF179" s="4" t="e">
        <f>BE179/VLOOKUP(A179,'[59]geoMap (56)'!$A:$B,2,0)*VLOOKUP(A179,'[59]geoMap (56)'!$A:$C,3,0)</f>
        <v>#REF!</v>
      </c>
      <c r="BG179" s="1" t="e">
        <f>BF179/VLOOKUP(A179,'[60]geoMap (57)'!$A:$B,2,0)*VLOOKUP(A179,'[60]geoMap (57)'!$A:$C,3,0)</f>
        <v>#REF!</v>
      </c>
      <c r="BH179" s="4" t="e">
        <f>BG179/VLOOKUP(A179,'[61]geoMap (58)'!$A:$B,2,0)*VLOOKUP(A179,'[61]geoMap (58)'!$A:$C,3,0)</f>
        <v>#REF!</v>
      </c>
      <c r="BI179" s="1" t="e">
        <f>BH179/VLOOKUP(A179,'[62]geoMap (59)'!$A:$B,2,0)*VLOOKUP(A179,'[62]geoMap (59)'!$A:$C,3,0)</f>
        <v>#REF!</v>
      </c>
      <c r="BJ179" s="4" t="e">
        <f>BI179/VLOOKUP(A179,'[63]geoMap (60)'!$A:$B,2,0)*VLOOKUP(A179,'[63]geoMap (60)'!$A:$C,3,0)</f>
        <v>#REF!</v>
      </c>
      <c r="BK179" s="1" t="e">
        <f>BJ179/VLOOKUP(A179,'[64]geoMap (61)'!$A:$B,2,0)*VLOOKUP(A179,'[64]geoMap (61)'!$A:$C,3,0)</f>
        <v>#REF!</v>
      </c>
      <c r="BL179" s="4" t="e">
        <f>BK179/VLOOKUP(A179,'[65]geoMap (62)'!$A:$B,2,0)*VLOOKUP(A179,'[65]geoMap (62)'!$A:$C,3,0)</f>
        <v>#REF!</v>
      </c>
      <c r="BM179" s="1" t="e">
        <f>BL179/VLOOKUP(A179,'[66]geoMap (63)'!$A:$B,2,0)*VLOOKUP(A179,'[66]geoMap (63)'!$A:$C,3,0)</f>
        <v>#REF!</v>
      </c>
      <c r="BN179" s="4" t="e">
        <f>BM179/VLOOKUP(A179,'[67]geoMap (64)'!$A:$B,2,0)*VLOOKUP(A179,'[67]geoMap (64)'!$A:$C,3,0)</f>
        <v>#REF!</v>
      </c>
      <c r="BO179" s="1" t="e">
        <f>BN179/VLOOKUP(A179,'[68]geoMap (65)'!$A:$B,2,0)*VLOOKUP(A179,'[68]geoMap (65)'!$A:$C,3,0)</f>
        <v>#REF!</v>
      </c>
      <c r="BP179" s="4" t="e">
        <f>BO179/VLOOKUP(A179,'[69]geoMap (66)'!$A:$B,2,0)*VLOOKUP(A179,'[69]geoMap (66)'!$A:$C,3,0)</f>
        <v>#REF!</v>
      </c>
    </row>
    <row r="180" spans="1:68" x14ac:dyDescent="0.2">
      <c r="A180" s="1" t="s">
        <v>180</v>
      </c>
      <c r="B180" s="1" t="e">
        <f>VLOOKUP(A180,[3]geoMap!$A:$B,2,0)*Notes!$C$6</f>
        <v>#REF!</v>
      </c>
      <c r="C180" s="1" t="e">
        <f>B180/VLOOKUP(A180,'[4]geoMap (1)'!$A:$B,2,0)*VLOOKUP(A180,'[4]geoMap (1)'!$A:$C,3,0)</f>
        <v>#REF!</v>
      </c>
      <c r="D180" s="1" t="e">
        <f>C180/VLOOKUP(A180,'[5]geoMap (2)'!$A:$B,2,0)*VLOOKUP(A180,'[5]geoMap (2)'!$A:$C,3,0)</f>
        <v>#REF!</v>
      </c>
      <c r="E180" s="1" t="e">
        <f>D180/VLOOKUP(A180,'[6]geoMap (3)'!$A:$B,2,0)*VLOOKUP(A180,'[6]geoMap (3)'!$A:$C,3,0)</f>
        <v>#REF!</v>
      </c>
      <c r="F180" s="1" t="e">
        <f>E180/VLOOKUP(A180,'[7]geoMap (4)'!$A:$B,2,0)*VLOOKUP(A180,'[7]geoMap (4)'!$A:$C,3,0)</f>
        <v>#REF!</v>
      </c>
      <c r="G180" s="1" t="e">
        <f>F180/VLOOKUP(A180,'[8]geoMap (5)'!$A:$B,2,0)*VLOOKUP(A180,'[8]geoMap (5)'!$A:$C,3,0)</f>
        <v>#REF!</v>
      </c>
      <c r="H180" s="1" t="e">
        <f>G180/VLOOKUP(A180,'[9]geoMap (6)'!$A:$B,2,0)*VLOOKUP(A180,'[9]geoMap (6)'!$A:$C,3,0)</f>
        <v>#REF!</v>
      </c>
      <c r="I180" s="1" t="e">
        <f>H180/VLOOKUP(A180,'[10]geoMap (7)'!$A:$B,2,0)*VLOOKUP(A180,'[10]geoMap (7)'!$A:$C,3,0)</f>
        <v>#REF!</v>
      </c>
      <c r="J180" s="1" t="e">
        <f>I180/VLOOKUP(A180,'[11]geoMap (8)'!$A:$B,2,0)*VLOOKUP(A180,'[11]geoMap (8)'!$A:$C,3,0)</f>
        <v>#REF!</v>
      </c>
      <c r="K180" s="1" t="e">
        <f>J180/VLOOKUP(A180,'[12]geoMap (9)'!$A:$B,2,0)*VLOOKUP(A180,'[12]geoMap (9)'!$A:$C,3,0)</f>
        <v>#REF!</v>
      </c>
      <c r="L180" s="1" t="e">
        <f>K180/VLOOKUP(A180,'[13]geoMap (10)'!$A:$B,2,0)*VLOOKUP(A180,'[13]geoMap (10)'!$A:$C,3,0)</f>
        <v>#REF!</v>
      </c>
      <c r="M180" s="1" t="e">
        <f>L180/VLOOKUP(A180,'[14]geoMap (11)'!$A:$B,2,0)*VLOOKUP(A180,'[14]geoMap (11)'!$A:$C,3,0)</f>
        <v>#REF!</v>
      </c>
      <c r="N180" s="1" t="e">
        <f>M180/VLOOKUP(A180,'[15]geoMap (12)'!$A:$B,2,0)*VLOOKUP(A180,'[15]geoMap (12)'!$A:$C,3,0)</f>
        <v>#REF!</v>
      </c>
      <c r="O180" s="1" t="e">
        <f>N180/VLOOKUP(A180,'[16]geoMap (13)'!$A:$B,2,0)*VLOOKUP(A180,'[16]geoMap (13)'!$A:$C,3,0)</f>
        <v>#REF!</v>
      </c>
      <c r="P180" s="1" t="e">
        <f>O180/VLOOKUP(A180,'[17]geoMap (14)'!$A:$B,2,0)*VLOOKUP(A180,'[17]geoMap (14)'!$A:$C,3,0)</f>
        <v>#REF!</v>
      </c>
      <c r="Q180" s="1" t="e">
        <f>P180/VLOOKUP(A180,'[18]geoMap (15)'!$A:$B,2,0)*VLOOKUP(A180,'[18]geoMap (15)'!$A:$C,3,0)</f>
        <v>#REF!</v>
      </c>
      <c r="R180" s="1" t="e">
        <f>Q180/VLOOKUP(A180,'[19]geoMap (16)'!$A:$B,2,0)*VLOOKUP(A180,'[19]geoMap (16)'!$A:$C,3,0)</f>
        <v>#REF!</v>
      </c>
      <c r="S180" s="1" t="e">
        <f>R180/VLOOKUP(A180,'[20]geoMap (17)'!$A:$B,2,0)*VLOOKUP(A180,'[20]geoMap (17)'!$A:$C,3,0)</f>
        <v>#REF!</v>
      </c>
      <c r="T180" s="1" t="e">
        <f>S180/VLOOKUP(A180,'[21]geoMap (18)'!$A:$B,2,0)*VLOOKUP(A180,'[21]geoMap (18)'!$A:$C,3,0)</f>
        <v>#REF!</v>
      </c>
      <c r="U180" s="1" t="e">
        <f>T180/VLOOKUP(A180,'[22]geoMap (19)'!$A:$B,2,0)*VLOOKUP(A180,'[22]geoMap (19)'!$A:$C,3,0)</f>
        <v>#REF!</v>
      </c>
      <c r="V180" s="1" t="e">
        <f>U180/VLOOKUP(A180,'[23]geoMap (20)'!$A:$B,2,0)*VLOOKUP(A180,'[23]geoMap (20)'!$A:$C,3,0)</f>
        <v>#REF!</v>
      </c>
      <c r="W180" s="1" t="e">
        <f>V180/VLOOKUP(A180,'[24]geoMap (21)'!$A:$B,2,0)*VLOOKUP(A180,'[24]geoMap (21)'!$A:$C,3,0)</f>
        <v>#REF!</v>
      </c>
      <c r="X180" s="1" t="e">
        <f>W180/VLOOKUP(A180,'[25]geoMap (22)'!$A:$B,2,0)*VLOOKUP(A180,'[25]geoMap (22)'!$A:$C,3,0)</f>
        <v>#REF!</v>
      </c>
      <c r="Y180" s="1" t="e">
        <f>X180/VLOOKUP(A180,'[26]geoMap (23)'!$A:$B,2,0)*VLOOKUP(A180,'[26]geoMap (23)'!$A:$C,3,0)</f>
        <v>#REF!</v>
      </c>
      <c r="Z180" s="1" t="e">
        <f>Y180/VLOOKUP(A180,'[27]geoMap (24)'!$A:$B,2,0)*VLOOKUP(A180,'[27]geoMap (24)'!$A:$C,3,0)</f>
        <v>#REF!</v>
      </c>
      <c r="AA180" s="1" t="e">
        <f>Z180/VLOOKUP(A180,'[28]geoMap (25)'!$A:$B,2,0)*VLOOKUP(A180,'[28]geoMap (25)'!$A:$C,3,0)</f>
        <v>#REF!</v>
      </c>
      <c r="AB180" s="1" t="e">
        <f>AA180*VLOOKUP(A180,'[29]geoMap (26)'!$A:$B,2,0)*VLOOKUP(A180,'[29]geoMap (26)'!$A:$C,3,0)</f>
        <v>#REF!</v>
      </c>
      <c r="AC180" s="1" t="e">
        <f>AB180/VLOOKUP(A180,'[30]geoMap (27)'!$A:$B,2,0)*VLOOKUP(A180,'[30]geoMap (27)'!$A:$C,3,0)</f>
        <v>#REF!</v>
      </c>
      <c r="AD180" s="1" t="e">
        <f>AC180/VLOOKUP(A180,'[31]geoMap (28)'!$A:$B,2,0)*VLOOKUP(A180,'[31]geoMap (28)'!$A:$C,3,0)</f>
        <v>#REF!</v>
      </c>
      <c r="AE180" s="1" t="e">
        <f>AD180/VLOOKUP(A180,'[32]geoMap (29)'!$A:$B,2,0)*VLOOKUP(A180,'[32]geoMap (29)'!$A:$C,3,0)</f>
        <v>#REF!</v>
      </c>
      <c r="AF180" s="1" t="e">
        <f>AE180/VLOOKUP(A180,'[33]geoMap (30)'!$A:$B,2,0)*VLOOKUP(A180,'[33]geoMap (30)'!$A:$C,3,0)</f>
        <v>#REF!</v>
      </c>
      <c r="AG180" s="1" t="e">
        <f>AF180/VLOOKUP(A180,'[34]geoMap (31)'!$A:$B,2,0)*VLOOKUP(A180,'[34]geoMap (31)'!$A:$C,3,0)</f>
        <v>#REF!</v>
      </c>
      <c r="AH180" s="1" t="e">
        <f>AG180/VLOOKUP(A180,'[35]geoMap (32)'!$A:$B,2,0)*VLOOKUP(A180,'[35]geoMap (32)'!$A:$C,3,0)</f>
        <v>#REF!</v>
      </c>
      <c r="AI180" s="1" t="e">
        <f>AH180/VLOOKUP(A180,'[36]geoMap (33)'!$A:$B,2,0)*VLOOKUP(A180,'[36]geoMap (33)'!$A:$C,3,0)</f>
        <v>#REF!</v>
      </c>
      <c r="AJ180" s="1" t="e">
        <f>AI180/VLOOKUP(A180,'[37]geoMap (34)'!$A:$B,2,0)*VLOOKUP(A180,'[37]geoMap (34)'!$A:$C,3,0)</f>
        <v>#REF!</v>
      </c>
      <c r="AK180" s="1" t="e">
        <f>AJ180/VLOOKUP(A180,'[38]geoMap (35)'!$A:$B,2,0)*VLOOKUP(A180,'[38]geoMap (35)'!$A:$C,3,0)</f>
        <v>#REF!</v>
      </c>
      <c r="AL180" s="1" t="e">
        <f>AK180/VLOOKUP(A180,'[39]geoMap (36)'!$A:$B,2,0)*VLOOKUP(A180,'[39]geoMap (36)'!$A:$C,3,0)</f>
        <v>#REF!</v>
      </c>
      <c r="AM180" s="1" t="e">
        <f>AL180/VLOOKUP(A180,'[40]geoMap (37)'!$A:$B,2,0)*VLOOKUP(A180,'[40]geoMap (37)'!$A:$C,3,0)</f>
        <v>#REF!</v>
      </c>
      <c r="AN180" s="1" t="e">
        <f>AM180/VLOOKUP(A180,'[41]geoMap (38)'!$A:$B,2,0)*VLOOKUP(A180,'[41]geoMap (38)'!$A:$C,3,0)</f>
        <v>#REF!</v>
      </c>
      <c r="AO180" s="1" t="e">
        <f>AN180/VLOOKUP(A180,'[42]geoMap (39)'!$A:$B,2,0)*VLOOKUP(A180,'[42]geoMap (39)'!$A:$C,3,0)</f>
        <v>#REF!</v>
      </c>
      <c r="AP180" s="1" t="e">
        <f>AO180/VLOOKUP(A180,'[43]geoMap (40)'!$A:$B,2,0)*VLOOKUP(A180,'[43]geoMap (40)'!$A:$C,3,0)</f>
        <v>#REF!</v>
      </c>
      <c r="AQ180" s="1" t="e">
        <f>AP180/VLOOKUP(A180,'[44]geoMap (41)'!$A:$B,2,0)*VLOOKUP(A180,'[44]geoMap (41)'!$A:$C,3,0)</f>
        <v>#REF!</v>
      </c>
      <c r="AR180" s="1" t="e">
        <f>AQ180/VLOOKUP(A180,'[45]geoMap (42)'!$A:$B,2,0)*VLOOKUP(A180,'[45]geoMap (42)'!$A:$C,3,0)</f>
        <v>#REF!</v>
      </c>
      <c r="AS180" s="1" t="e">
        <f>AR180/VLOOKUP(A180,'[46]geoMap (43)'!$A:$B,2,0)*VLOOKUP(A180,'[46]geoMap (43)'!$A:$C,3,0)</f>
        <v>#REF!</v>
      </c>
      <c r="AT180" s="1" t="e">
        <f>AS180/VLOOKUP(A180,'[47]geoMap (44)'!$A:$B,2,0)*VLOOKUP(A180,'[47]geoMap (44)'!$A:$C,3,0)</f>
        <v>#REF!</v>
      </c>
      <c r="AU180" s="1" t="e">
        <f>AT180/VLOOKUP(A180,'[48]geoMap (45)'!$A:$B,2,0)*VLOOKUP(A180,'[48]geoMap (45)'!$A:$C,3,0)</f>
        <v>#REF!</v>
      </c>
      <c r="AV180" s="1" t="e">
        <f>AU180/VLOOKUP(A180,'[49]geoMap (46)'!$A:$B,2,0)*VLOOKUP(A180,'[49]geoMap (46)'!$A:$C,3,0)</f>
        <v>#REF!</v>
      </c>
      <c r="AW180" s="1" t="e">
        <f>AV180/VLOOKUP(A180,'[50]geoMap (47)'!$A:$B,2,0)*VLOOKUP(A180,'[50]geoMap (47)'!$A:$C,3,0)</f>
        <v>#REF!</v>
      </c>
      <c r="AX180" s="4" t="e">
        <f>AW180/VLOOKUP(A180,'[51]geoMap (48)'!$A:$B,2,0)*VLOOKUP(A180,'[51]geoMap (48)'!$A:$C,3,0)</f>
        <v>#REF!</v>
      </c>
      <c r="AY180" s="1" t="e">
        <f>AX180/VLOOKUP(A180,'[52]geoMap (49)'!$A:$B,2,0)*VLOOKUP(A180,'[52]geoMap (49)'!$A:$C,3,0)</f>
        <v>#REF!</v>
      </c>
      <c r="AZ180" s="4" t="e">
        <f>AY180/VLOOKUP(A180,'[53]geoMap (50)'!$A:$B,2,0)*VLOOKUP(A180,'[53]geoMap (50)'!$A:$C,3,0)</f>
        <v>#REF!</v>
      </c>
      <c r="BA180" s="1" t="e">
        <f>AZ180/VLOOKUP(A180,'[54]geoMap (51)'!$A:$B,2,0)*VLOOKUP(A180,'[54]geoMap (51)'!$A:$C,3,0)</f>
        <v>#REF!</v>
      </c>
      <c r="BB180" s="4" t="e">
        <f>BA180/VLOOKUP(A180,'[55]geoMap (52)'!$A:$B,2,0)*VLOOKUP(A180,'[55]geoMap (52)'!$A:$C,3,0)</f>
        <v>#REF!</v>
      </c>
      <c r="BC180" s="1" t="e">
        <f>BB180/VLOOKUP(A180,'[56]geoMap (53)'!$A:$B,2,0)*VLOOKUP(A180,'[56]geoMap (53)'!$A:$C,3,0)</f>
        <v>#REF!</v>
      </c>
      <c r="BD180" s="4" t="e">
        <f>BC180/VLOOKUP(A180,'[57]geoMap (54)'!$A:$B,2,0)*VLOOKUP(A180,'[57]geoMap (54)'!$A:$C,3,0)</f>
        <v>#REF!</v>
      </c>
      <c r="BE180" s="1" t="e">
        <f>BD180/VLOOKUP(A180,'[58]geoMap (55)'!$A:$B,2,0)*VLOOKUP(A180,'[58]geoMap (55)'!$A:$C,3,0)</f>
        <v>#REF!</v>
      </c>
      <c r="BF180" s="4" t="e">
        <f>BE180/VLOOKUP(A180,'[59]geoMap (56)'!$A:$B,2,0)*VLOOKUP(A180,'[59]geoMap (56)'!$A:$C,3,0)</f>
        <v>#REF!</v>
      </c>
      <c r="BG180" s="1" t="e">
        <f>BF180/VLOOKUP(A180,'[60]geoMap (57)'!$A:$B,2,0)*VLOOKUP(A180,'[60]geoMap (57)'!$A:$C,3,0)</f>
        <v>#REF!</v>
      </c>
      <c r="BH180" s="4" t="e">
        <f>BG180/VLOOKUP(A180,'[61]geoMap (58)'!$A:$B,2,0)*VLOOKUP(A180,'[61]geoMap (58)'!$A:$C,3,0)</f>
        <v>#REF!</v>
      </c>
      <c r="BI180" s="1" t="e">
        <f>BH180/VLOOKUP(A180,'[62]geoMap (59)'!$A:$B,2,0)*VLOOKUP(A180,'[62]geoMap (59)'!$A:$C,3,0)</f>
        <v>#REF!</v>
      </c>
      <c r="BJ180" s="4" t="e">
        <f>BI180/VLOOKUP(A180,'[63]geoMap (60)'!$A:$B,2,0)*VLOOKUP(A180,'[63]geoMap (60)'!$A:$C,3,0)</f>
        <v>#REF!</v>
      </c>
      <c r="BK180" s="1" t="e">
        <f>BJ180/VLOOKUP(A180,'[64]geoMap (61)'!$A:$B,2,0)*VLOOKUP(A180,'[64]geoMap (61)'!$A:$C,3,0)</f>
        <v>#REF!</v>
      </c>
      <c r="BL180" s="4" t="e">
        <f>BK180/VLOOKUP(A180,'[65]geoMap (62)'!$A:$B,2,0)*VLOOKUP(A180,'[65]geoMap (62)'!$A:$C,3,0)</f>
        <v>#REF!</v>
      </c>
      <c r="BM180" s="1" t="e">
        <f>BL180/VLOOKUP(A180,'[66]geoMap (63)'!$A:$B,2,0)*VLOOKUP(A180,'[66]geoMap (63)'!$A:$C,3,0)</f>
        <v>#REF!</v>
      </c>
      <c r="BN180" s="4" t="e">
        <f>BM180/VLOOKUP(A180,'[67]geoMap (64)'!$A:$B,2,0)*VLOOKUP(A180,'[67]geoMap (64)'!$A:$C,3,0)</f>
        <v>#REF!</v>
      </c>
      <c r="BO180" s="1" t="e">
        <f>BN180/VLOOKUP(A180,'[68]geoMap (65)'!$A:$B,2,0)*VLOOKUP(A180,'[68]geoMap (65)'!$A:$C,3,0)</f>
        <v>#REF!</v>
      </c>
      <c r="BP180" s="4" t="e">
        <f>BO180/VLOOKUP(A180,'[69]geoMap (66)'!$A:$B,2,0)*VLOOKUP(A180,'[69]geoMap (66)'!$A:$C,3,0)</f>
        <v>#REF!</v>
      </c>
    </row>
    <row r="181" spans="1:68" x14ac:dyDescent="0.2">
      <c r="A181" s="1" t="s">
        <v>181</v>
      </c>
      <c r="B181" s="1" t="e">
        <f>VLOOKUP(A181,[3]geoMap!$A:$B,2,0)*Notes!$C$6</f>
        <v>#REF!</v>
      </c>
      <c r="C181" s="1" t="e">
        <f>B181/VLOOKUP(A181,'[4]geoMap (1)'!$A:$B,2,0)*VLOOKUP(A181,'[4]geoMap (1)'!$A:$C,3,0)</f>
        <v>#REF!</v>
      </c>
      <c r="D181" s="1" t="e">
        <f>C181/VLOOKUP(A181,'[5]geoMap (2)'!$A:$B,2,0)*VLOOKUP(A181,'[5]geoMap (2)'!$A:$C,3,0)</f>
        <v>#REF!</v>
      </c>
      <c r="E181" s="1" t="e">
        <f>D181/VLOOKUP(A181,'[6]geoMap (3)'!$A:$B,2,0)*VLOOKUP(A181,'[6]geoMap (3)'!$A:$C,3,0)</f>
        <v>#REF!</v>
      </c>
      <c r="F181" s="1" t="e">
        <f>E181/VLOOKUP(A181,'[7]geoMap (4)'!$A:$B,2,0)*VLOOKUP(A181,'[7]geoMap (4)'!$A:$C,3,0)</f>
        <v>#REF!</v>
      </c>
      <c r="G181" s="1" t="e">
        <f>F181/VLOOKUP(A181,'[8]geoMap (5)'!$A:$B,2,0)*VLOOKUP(A181,'[8]geoMap (5)'!$A:$C,3,0)</f>
        <v>#REF!</v>
      </c>
      <c r="H181" s="1" t="e">
        <f>G181/VLOOKUP(A181,'[9]geoMap (6)'!$A:$B,2,0)*VLOOKUP(A181,'[9]geoMap (6)'!$A:$C,3,0)</f>
        <v>#REF!</v>
      </c>
      <c r="I181" s="1" t="e">
        <f>H181/VLOOKUP(A181,'[10]geoMap (7)'!$A:$B,2,0)*VLOOKUP(A181,'[10]geoMap (7)'!$A:$C,3,0)</f>
        <v>#REF!</v>
      </c>
      <c r="J181" s="1" t="e">
        <f>I181/VLOOKUP(A181,'[11]geoMap (8)'!$A:$B,2,0)*VLOOKUP(A181,'[11]geoMap (8)'!$A:$C,3,0)</f>
        <v>#REF!</v>
      </c>
      <c r="K181" s="1" t="e">
        <f>J181/VLOOKUP(A181,'[12]geoMap (9)'!$A:$B,2,0)*VLOOKUP(A181,'[12]geoMap (9)'!$A:$C,3,0)</f>
        <v>#REF!</v>
      </c>
      <c r="L181" s="1" t="e">
        <f>K181/VLOOKUP(A181,'[13]geoMap (10)'!$A:$B,2,0)*VLOOKUP(A181,'[13]geoMap (10)'!$A:$C,3,0)</f>
        <v>#REF!</v>
      </c>
      <c r="M181" s="1" t="e">
        <f>L181/VLOOKUP(A181,'[14]geoMap (11)'!$A:$B,2,0)*VLOOKUP(A181,'[14]geoMap (11)'!$A:$C,3,0)</f>
        <v>#REF!</v>
      </c>
      <c r="N181" s="1" t="e">
        <f>M181/VLOOKUP(A181,'[15]geoMap (12)'!$A:$B,2,0)*VLOOKUP(A181,'[15]geoMap (12)'!$A:$C,3,0)</f>
        <v>#REF!</v>
      </c>
      <c r="O181" s="1" t="e">
        <f>N181/VLOOKUP(A181,'[16]geoMap (13)'!$A:$B,2,0)*VLOOKUP(A181,'[16]geoMap (13)'!$A:$C,3,0)</f>
        <v>#REF!</v>
      </c>
      <c r="P181" s="1" t="e">
        <f>O181/VLOOKUP(A181,'[17]geoMap (14)'!$A:$B,2,0)*VLOOKUP(A181,'[17]geoMap (14)'!$A:$C,3,0)</f>
        <v>#REF!</v>
      </c>
      <c r="Q181" s="1" t="e">
        <f>P181/VLOOKUP(A181,'[18]geoMap (15)'!$A:$B,2,0)*VLOOKUP(A181,'[18]geoMap (15)'!$A:$C,3,0)</f>
        <v>#REF!</v>
      </c>
      <c r="R181" s="1" t="e">
        <f>Q181/VLOOKUP(A181,'[19]geoMap (16)'!$A:$B,2,0)*VLOOKUP(A181,'[19]geoMap (16)'!$A:$C,3,0)</f>
        <v>#REF!</v>
      </c>
      <c r="S181" s="1" t="e">
        <f>R181/VLOOKUP(A181,'[20]geoMap (17)'!$A:$B,2,0)*VLOOKUP(A181,'[20]geoMap (17)'!$A:$C,3,0)</f>
        <v>#REF!</v>
      </c>
      <c r="T181" s="1" t="e">
        <f>S181/VLOOKUP(A181,'[21]geoMap (18)'!$A:$B,2,0)*VLOOKUP(A181,'[21]geoMap (18)'!$A:$C,3,0)</f>
        <v>#REF!</v>
      </c>
      <c r="U181" s="1" t="e">
        <f>T181/VLOOKUP(A181,'[22]geoMap (19)'!$A:$B,2,0)*VLOOKUP(A181,'[22]geoMap (19)'!$A:$C,3,0)</f>
        <v>#REF!</v>
      </c>
      <c r="V181" s="1" t="e">
        <f>U181/VLOOKUP(A181,'[23]geoMap (20)'!$A:$B,2,0)*VLOOKUP(A181,'[23]geoMap (20)'!$A:$C,3,0)</f>
        <v>#REF!</v>
      </c>
      <c r="W181" s="1" t="e">
        <f>V181/VLOOKUP(A181,'[24]geoMap (21)'!$A:$B,2,0)*VLOOKUP(A181,'[24]geoMap (21)'!$A:$C,3,0)</f>
        <v>#REF!</v>
      </c>
      <c r="X181" s="1" t="e">
        <f>W181/VLOOKUP(A181,'[25]geoMap (22)'!$A:$B,2,0)*VLOOKUP(A181,'[25]geoMap (22)'!$A:$C,3,0)</f>
        <v>#REF!</v>
      </c>
      <c r="Y181" s="1" t="e">
        <f>X181/VLOOKUP(A181,'[26]geoMap (23)'!$A:$B,2,0)*VLOOKUP(A181,'[26]geoMap (23)'!$A:$C,3,0)</f>
        <v>#REF!</v>
      </c>
      <c r="Z181" s="1" t="e">
        <f>Y181/VLOOKUP(A181,'[27]geoMap (24)'!$A:$B,2,0)*VLOOKUP(A181,'[27]geoMap (24)'!$A:$C,3,0)</f>
        <v>#REF!</v>
      </c>
      <c r="AA181" s="1" t="e">
        <f>Z181/VLOOKUP(A181,'[28]geoMap (25)'!$A:$B,2,0)*VLOOKUP(A181,'[28]geoMap (25)'!$A:$C,3,0)</f>
        <v>#REF!</v>
      </c>
      <c r="AB181" s="1" t="e">
        <f>AA181*VLOOKUP(A181,'[29]geoMap (26)'!$A:$B,2,0)*VLOOKUP(A181,'[29]geoMap (26)'!$A:$C,3,0)</f>
        <v>#REF!</v>
      </c>
      <c r="AC181" s="1" t="e">
        <f>AB181/VLOOKUP(A181,'[30]geoMap (27)'!$A:$B,2,0)*VLOOKUP(A181,'[30]geoMap (27)'!$A:$C,3,0)</f>
        <v>#REF!</v>
      </c>
      <c r="AD181" s="1" t="e">
        <f>AC181/VLOOKUP(A181,'[31]geoMap (28)'!$A:$B,2,0)*VLOOKUP(A181,'[31]geoMap (28)'!$A:$C,3,0)</f>
        <v>#REF!</v>
      </c>
      <c r="AE181" s="1" t="e">
        <f>AD181/VLOOKUP(A181,'[32]geoMap (29)'!$A:$B,2,0)*VLOOKUP(A181,'[32]geoMap (29)'!$A:$C,3,0)</f>
        <v>#REF!</v>
      </c>
      <c r="AF181" s="1" t="e">
        <f>AE181/VLOOKUP(A181,'[33]geoMap (30)'!$A:$B,2,0)*VLOOKUP(A181,'[33]geoMap (30)'!$A:$C,3,0)</f>
        <v>#REF!</v>
      </c>
      <c r="AG181" s="1" t="e">
        <f>AF181/VLOOKUP(A181,'[34]geoMap (31)'!$A:$B,2,0)*VLOOKUP(A181,'[34]geoMap (31)'!$A:$C,3,0)</f>
        <v>#REF!</v>
      </c>
      <c r="AH181" s="1" t="e">
        <f>AG181/VLOOKUP(A181,'[35]geoMap (32)'!$A:$B,2,0)*VLOOKUP(A181,'[35]geoMap (32)'!$A:$C,3,0)</f>
        <v>#REF!</v>
      </c>
      <c r="AI181" s="1" t="e">
        <f>AH181/VLOOKUP(A181,'[36]geoMap (33)'!$A:$B,2,0)*VLOOKUP(A181,'[36]geoMap (33)'!$A:$C,3,0)</f>
        <v>#REF!</v>
      </c>
      <c r="AJ181" s="1" t="e">
        <f>AI181/VLOOKUP(A181,'[37]geoMap (34)'!$A:$B,2,0)*VLOOKUP(A181,'[37]geoMap (34)'!$A:$C,3,0)</f>
        <v>#REF!</v>
      </c>
      <c r="AK181" s="1" t="e">
        <f>AJ181/VLOOKUP(A181,'[38]geoMap (35)'!$A:$B,2,0)*VLOOKUP(A181,'[38]geoMap (35)'!$A:$C,3,0)</f>
        <v>#REF!</v>
      </c>
      <c r="AL181" s="1" t="e">
        <f>AK181/VLOOKUP(A181,'[39]geoMap (36)'!$A:$B,2,0)*VLOOKUP(A181,'[39]geoMap (36)'!$A:$C,3,0)</f>
        <v>#REF!</v>
      </c>
      <c r="AM181" s="1" t="e">
        <f>AL181/VLOOKUP(A181,'[40]geoMap (37)'!$A:$B,2,0)*VLOOKUP(A181,'[40]geoMap (37)'!$A:$C,3,0)</f>
        <v>#REF!</v>
      </c>
      <c r="AN181" s="1" t="e">
        <f>AM181/VLOOKUP(A181,'[41]geoMap (38)'!$A:$B,2,0)*VLOOKUP(A181,'[41]geoMap (38)'!$A:$C,3,0)</f>
        <v>#REF!</v>
      </c>
      <c r="AO181" s="1" t="e">
        <f>AN181/VLOOKUP(A181,'[42]geoMap (39)'!$A:$B,2,0)*VLOOKUP(A181,'[42]geoMap (39)'!$A:$C,3,0)</f>
        <v>#REF!</v>
      </c>
      <c r="AP181" s="1" t="e">
        <f>AO181/VLOOKUP(A181,'[43]geoMap (40)'!$A:$B,2,0)*VLOOKUP(A181,'[43]geoMap (40)'!$A:$C,3,0)</f>
        <v>#REF!</v>
      </c>
      <c r="AQ181" s="1" t="e">
        <f>AP181/VLOOKUP(A181,'[44]geoMap (41)'!$A:$B,2,0)*VLOOKUP(A181,'[44]geoMap (41)'!$A:$C,3,0)</f>
        <v>#REF!</v>
      </c>
      <c r="AR181" s="1" t="e">
        <f>AQ181/VLOOKUP(A181,'[45]geoMap (42)'!$A:$B,2,0)*VLOOKUP(A181,'[45]geoMap (42)'!$A:$C,3,0)</f>
        <v>#REF!</v>
      </c>
      <c r="AS181" s="1" t="e">
        <f>AR181/VLOOKUP(A181,'[46]geoMap (43)'!$A:$B,2,0)*VLOOKUP(A181,'[46]geoMap (43)'!$A:$C,3,0)</f>
        <v>#REF!</v>
      </c>
      <c r="AT181" s="1" t="e">
        <f>AS181/VLOOKUP(A181,'[47]geoMap (44)'!$A:$B,2,0)*VLOOKUP(A181,'[47]geoMap (44)'!$A:$C,3,0)</f>
        <v>#REF!</v>
      </c>
      <c r="AU181" s="1" t="e">
        <f>AT181/VLOOKUP(A181,'[48]geoMap (45)'!$A:$B,2,0)*VLOOKUP(A181,'[48]geoMap (45)'!$A:$C,3,0)</f>
        <v>#REF!</v>
      </c>
      <c r="AV181" s="1" t="e">
        <f>AU181/VLOOKUP(A181,'[49]geoMap (46)'!$A:$B,2,0)*VLOOKUP(A181,'[49]geoMap (46)'!$A:$C,3,0)</f>
        <v>#REF!</v>
      </c>
      <c r="AW181" s="1" t="e">
        <f>AV181/VLOOKUP(A181,'[50]geoMap (47)'!$A:$B,2,0)*VLOOKUP(A181,'[50]geoMap (47)'!$A:$C,3,0)</f>
        <v>#REF!</v>
      </c>
      <c r="AX181" s="4" t="e">
        <f>AW181/VLOOKUP(A181,'[51]geoMap (48)'!$A:$B,2,0)*VLOOKUP(A181,'[51]geoMap (48)'!$A:$C,3,0)</f>
        <v>#REF!</v>
      </c>
      <c r="AY181" s="1" t="e">
        <f>AX181/VLOOKUP(A181,'[52]geoMap (49)'!$A:$B,2,0)*VLOOKUP(A181,'[52]geoMap (49)'!$A:$C,3,0)</f>
        <v>#REF!</v>
      </c>
      <c r="AZ181" s="4" t="e">
        <f>AY181/VLOOKUP(A181,'[53]geoMap (50)'!$A:$B,2,0)*VLOOKUP(A181,'[53]geoMap (50)'!$A:$C,3,0)</f>
        <v>#REF!</v>
      </c>
      <c r="BA181" s="1" t="e">
        <f>AZ181/VLOOKUP(A181,'[54]geoMap (51)'!$A:$B,2,0)*VLOOKUP(A181,'[54]geoMap (51)'!$A:$C,3,0)</f>
        <v>#REF!</v>
      </c>
      <c r="BB181" s="4" t="e">
        <f>BA181/VLOOKUP(A181,'[55]geoMap (52)'!$A:$B,2,0)*VLOOKUP(A181,'[55]geoMap (52)'!$A:$C,3,0)</f>
        <v>#REF!</v>
      </c>
      <c r="BC181" s="1" t="e">
        <f>BB181/VLOOKUP(A181,'[56]geoMap (53)'!$A:$B,2,0)*VLOOKUP(A181,'[56]geoMap (53)'!$A:$C,3,0)</f>
        <v>#REF!</v>
      </c>
      <c r="BD181" s="4" t="e">
        <f>BC181/VLOOKUP(A181,'[57]geoMap (54)'!$A:$B,2,0)*VLOOKUP(A181,'[57]geoMap (54)'!$A:$C,3,0)</f>
        <v>#REF!</v>
      </c>
      <c r="BE181" s="1" t="e">
        <f>BD181/VLOOKUP(A181,'[58]geoMap (55)'!$A:$B,2,0)*VLOOKUP(A181,'[58]geoMap (55)'!$A:$C,3,0)</f>
        <v>#REF!</v>
      </c>
      <c r="BF181" s="4" t="e">
        <f>BE181/VLOOKUP(A181,'[59]geoMap (56)'!$A:$B,2,0)*VLOOKUP(A181,'[59]geoMap (56)'!$A:$C,3,0)</f>
        <v>#REF!</v>
      </c>
      <c r="BG181" s="1" t="e">
        <f>BF181/VLOOKUP(A181,'[60]geoMap (57)'!$A:$B,2,0)*VLOOKUP(A181,'[60]geoMap (57)'!$A:$C,3,0)</f>
        <v>#REF!</v>
      </c>
      <c r="BH181" s="4" t="e">
        <f>BG181/VLOOKUP(A181,'[61]geoMap (58)'!$A:$B,2,0)*VLOOKUP(A181,'[61]geoMap (58)'!$A:$C,3,0)</f>
        <v>#REF!</v>
      </c>
      <c r="BI181" s="1" t="e">
        <f>BH181/VLOOKUP(A181,'[62]geoMap (59)'!$A:$B,2,0)*VLOOKUP(A181,'[62]geoMap (59)'!$A:$C,3,0)</f>
        <v>#REF!</v>
      </c>
      <c r="BJ181" s="4" t="e">
        <f>BI181/VLOOKUP(A181,'[63]geoMap (60)'!$A:$B,2,0)*VLOOKUP(A181,'[63]geoMap (60)'!$A:$C,3,0)</f>
        <v>#REF!</v>
      </c>
      <c r="BK181" s="1" t="e">
        <f>BJ181/VLOOKUP(A181,'[64]geoMap (61)'!$A:$B,2,0)*VLOOKUP(A181,'[64]geoMap (61)'!$A:$C,3,0)</f>
        <v>#REF!</v>
      </c>
      <c r="BL181" s="4" t="e">
        <f>BK181/VLOOKUP(A181,'[65]geoMap (62)'!$A:$B,2,0)*VLOOKUP(A181,'[65]geoMap (62)'!$A:$C,3,0)</f>
        <v>#REF!</v>
      </c>
      <c r="BM181" s="1" t="e">
        <f>BL181/VLOOKUP(A181,'[66]geoMap (63)'!$A:$B,2,0)*VLOOKUP(A181,'[66]geoMap (63)'!$A:$C,3,0)</f>
        <v>#REF!</v>
      </c>
      <c r="BN181" s="4" t="e">
        <f>BM181/VLOOKUP(A181,'[67]geoMap (64)'!$A:$B,2,0)*VLOOKUP(A181,'[67]geoMap (64)'!$A:$C,3,0)</f>
        <v>#REF!</v>
      </c>
      <c r="BO181" s="1" t="e">
        <f>BN181/VLOOKUP(A181,'[68]geoMap (65)'!$A:$B,2,0)*VLOOKUP(A181,'[68]geoMap (65)'!$A:$C,3,0)</f>
        <v>#REF!</v>
      </c>
      <c r="BP181" s="4" t="e">
        <f>BO181/VLOOKUP(A181,'[69]geoMap (66)'!$A:$B,2,0)*VLOOKUP(A181,'[69]geoMap (66)'!$A:$C,3,0)</f>
        <v>#REF!</v>
      </c>
    </row>
    <row r="182" spans="1:68" x14ac:dyDescent="0.2">
      <c r="A182" s="1" t="s">
        <v>182</v>
      </c>
      <c r="B182" s="1" t="e">
        <f>VLOOKUP(A182,[3]geoMap!$A:$B,2,0)*Notes!$C$6</f>
        <v>#REF!</v>
      </c>
      <c r="C182" s="1" t="e">
        <f>B182/VLOOKUP(A182,'[4]geoMap (1)'!$A:$B,2,0)*VLOOKUP(A182,'[4]geoMap (1)'!$A:$C,3,0)</f>
        <v>#REF!</v>
      </c>
      <c r="D182" s="1" t="e">
        <f>C182/VLOOKUP(A182,'[5]geoMap (2)'!$A:$B,2,0)*VLOOKUP(A182,'[5]geoMap (2)'!$A:$C,3,0)</f>
        <v>#REF!</v>
      </c>
      <c r="E182" s="1" t="e">
        <f>D182/VLOOKUP(A182,'[6]geoMap (3)'!$A:$B,2,0)*VLOOKUP(A182,'[6]geoMap (3)'!$A:$C,3,0)</f>
        <v>#REF!</v>
      </c>
      <c r="F182" s="1" t="e">
        <f>E182/VLOOKUP(A182,'[7]geoMap (4)'!$A:$B,2,0)*VLOOKUP(A182,'[7]geoMap (4)'!$A:$C,3,0)</f>
        <v>#REF!</v>
      </c>
      <c r="G182" s="1" t="e">
        <f>F182/VLOOKUP(A182,'[8]geoMap (5)'!$A:$B,2,0)*VLOOKUP(A182,'[8]geoMap (5)'!$A:$C,3,0)</f>
        <v>#REF!</v>
      </c>
      <c r="H182" s="1" t="e">
        <f>G182/VLOOKUP(A182,'[9]geoMap (6)'!$A:$B,2,0)*VLOOKUP(A182,'[9]geoMap (6)'!$A:$C,3,0)</f>
        <v>#REF!</v>
      </c>
      <c r="I182" s="1" t="e">
        <f>H182/VLOOKUP(A182,'[10]geoMap (7)'!$A:$B,2,0)*VLOOKUP(A182,'[10]geoMap (7)'!$A:$C,3,0)</f>
        <v>#REF!</v>
      </c>
      <c r="J182" s="1" t="e">
        <f>I182/VLOOKUP(A182,'[11]geoMap (8)'!$A:$B,2,0)*VLOOKUP(A182,'[11]geoMap (8)'!$A:$C,3,0)</f>
        <v>#REF!</v>
      </c>
      <c r="K182" s="1" t="e">
        <f>J182/VLOOKUP(A182,'[12]geoMap (9)'!$A:$B,2,0)*VLOOKUP(A182,'[12]geoMap (9)'!$A:$C,3,0)</f>
        <v>#REF!</v>
      </c>
      <c r="L182" s="1" t="e">
        <f>K182/VLOOKUP(A182,'[13]geoMap (10)'!$A:$B,2,0)*VLOOKUP(A182,'[13]geoMap (10)'!$A:$C,3,0)</f>
        <v>#REF!</v>
      </c>
      <c r="M182" s="1" t="e">
        <f>L182/VLOOKUP(A182,'[14]geoMap (11)'!$A:$B,2,0)*VLOOKUP(A182,'[14]geoMap (11)'!$A:$C,3,0)</f>
        <v>#REF!</v>
      </c>
      <c r="N182" s="1" t="e">
        <f>M182/VLOOKUP(A182,'[15]geoMap (12)'!$A:$B,2,0)*VLOOKUP(A182,'[15]geoMap (12)'!$A:$C,3,0)</f>
        <v>#REF!</v>
      </c>
      <c r="O182" s="1" t="e">
        <f>N182/VLOOKUP(A182,'[16]geoMap (13)'!$A:$B,2,0)*VLOOKUP(A182,'[16]geoMap (13)'!$A:$C,3,0)</f>
        <v>#REF!</v>
      </c>
      <c r="P182" s="1" t="e">
        <f>O182/VLOOKUP(A182,'[17]geoMap (14)'!$A:$B,2,0)*VLOOKUP(A182,'[17]geoMap (14)'!$A:$C,3,0)</f>
        <v>#REF!</v>
      </c>
      <c r="Q182" s="1" t="e">
        <f>P182/VLOOKUP(A182,'[18]geoMap (15)'!$A:$B,2,0)*VLOOKUP(A182,'[18]geoMap (15)'!$A:$C,3,0)</f>
        <v>#REF!</v>
      </c>
      <c r="R182" s="1" t="e">
        <f>Q182/VLOOKUP(A182,'[19]geoMap (16)'!$A:$B,2,0)*VLOOKUP(A182,'[19]geoMap (16)'!$A:$C,3,0)</f>
        <v>#REF!</v>
      </c>
      <c r="S182" s="1" t="e">
        <f>R182/VLOOKUP(A182,'[20]geoMap (17)'!$A:$B,2,0)*VLOOKUP(A182,'[20]geoMap (17)'!$A:$C,3,0)</f>
        <v>#REF!</v>
      </c>
      <c r="T182" s="1" t="e">
        <f>S182/VLOOKUP(A182,'[21]geoMap (18)'!$A:$B,2,0)*VLOOKUP(A182,'[21]geoMap (18)'!$A:$C,3,0)</f>
        <v>#REF!</v>
      </c>
      <c r="U182" s="1" t="e">
        <f>T182/VLOOKUP(A182,'[22]geoMap (19)'!$A:$B,2,0)*VLOOKUP(A182,'[22]geoMap (19)'!$A:$C,3,0)</f>
        <v>#REF!</v>
      </c>
      <c r="V182" s="1" t="e">
        <f>U182/VLOOKUP(A182,'[23]geoMap (20)'!$A:$B,2,0)*VLOOKUP(A182,'[23]geoMap (20)'!$A:$C,3,0)</f>
        <v>#REF!</v>
      </c>
      <c r="W182" s="1" t="e">
        <f>V182/VLOOKUP(A182,'[24]geoMap (21)'!$A:$B,2,0)*VLOOKUP(A182,'[24]geoMap (21)'!$A:$C,3,0)</f>
        <v>#REF!</v>
      </c>
      <c r="X182" s="1" t="e">
        <f>W182/VLOOKUP(A182,'[25]geoMap (22)'!$A:$B,2,0)*VLOOKUP(A182,'[25]geoMap (22)'!$A:$C,3,0)</f>
        <v>#REF!</v>
      </c>
      <c r="Y182" s="1" t="e">
        <f>X182/VLOOKUP(A182,'[26]geoMap (23)'!$A:$B,2,0)*VLOOKUP(A182,'[26]geoMap (23)'!$A:$C,3,0)</f>
        <v>#REF!</v>
      </c>
      <c r="Z182" s="1" t="e">
        <f>Y182/VLOOKUP(A182,'[27]geoMap (24)'!$A:$B,2,0)*VLOOKUP(A182,'[27]geoMap (24)'!$A:$C,3,0)</f>
        <v>#REF!</v>
      </c>
      <c r="AA182" s="1" t="e">
        <f>Z182/VLOOKUP(A182,'[28]geoMap (25)'!$A:$B,2,0)*VLOOKUP(A182,'[28]geoMap (25)'!$A:$C,3,0)</f>
        <v>#REF!</v>
      </c>
      <c r="AB182" s="1" t="e">
        <f>AA182*VLOOKUP(A182,'[29]geoMap (26)'!$A:$B,2,0)*VLOOKUP(A182,'[29]geoMap (26)'!$A:$C,3,0)</f>
        <v>#REF!</v>
      </c>
      <c r="AC182" s="1" t="e">
        <f>AB182/VLOOKUP(A182,'[30]geoMap (27)'!$A:$B,2,0)*VLOOKUP(A182,'[30]geoMap (27)'!$A:$C,3,0)</f>
        <v>#REF!</v>
      </c>
      <c r="AD182" s="1" t="e">
        <f>AC182/VLOOKUP(A182,'[31]geoMap (28)'!$A:$B,2,0)*VLOOKUP(A182,'[31]geoMap (28)'!$A:$C,3,0)</f>
        <v>#REF!</v>
      </c>
      <c r="AE182" s="1" t="e">
        <f>AD182/VLOOKUP(A182,'[32]geoMap (29)'!$A:$B,2,0)*VLOOKUP(A182,'[32]geoMap (29)'!$A:$C,3,0)</f>
        <v>#REF!</v>
      </c>
      <c r="AF182" s="1" t="e">
        <f>AE182/VLOOKUP(A182,'[33]geoMap (30)'!$A:$B,2,0)*VLOOKUP(A182,'[33]geoMap (30)'!$A:$C,3,0)</f>
        <v>#REF!</v>
      </c>
      <c r="AG182" s="1" t="e">
        <f>AF182/VLOOKUP(A182,'[34]geoMap (31)'!$A:$B,2,0)*VLOOKUP(A182,'[34]geoMap (31)'!$A:$C,3,0)</f>
        <v>#REF!</v>
      </c>
      <c r="AH182" s="1" t="e">
        <f>AG182/VLOOKUP(A182,'[35]geoMap (32)'!$A:$B,2,0)*VLOOKUP(A182,'[35]geoMap (32)'!$A:$C,3,0)</f>
        <v>#REF!</v>
      </c>
      <c r="AI182" s="1" t="e">
        <f>AH182/VLOOKUP(A182,'[36]geoMap (33)'!$A:$B,2,0)*VLOOKUP(A182,'[36]geoMap (33)'!$A:$C,3,0)</f>
        <v>#REF!</v>
      </c>
      <c r="AJ182" s="1" t="e">
        <f>AI182/VLOOKUP(A182,'[37]geoMap (34)'!$A:$B,2,0)*VLOOKUP(A182,'[37]geoMap (34)'!$A:$C,3,0)</f>
        <v>#REF!</v>
      </c>
      <c r="AK182" s="1" t="e">
        <f>AJ182/VLOOKUP(A182,'[38]geoMap (35)'!$A:$B,2,0)*VLOOKUP(A182,'[38]geoMap (35)'!$A:$C,3,0)</f>
        <v>#REF!</v>
      </c>
      <c r="AL182" s="1" t="e">
        <f>AK182/VLOOKUP(A182,'[39]geoMap (36)'!$A:$B,2,0)*VLOOKUP(A182,'[39]geoMap (36)'!$A:$C,3,0)</f>
        <v>#REF!</v>
      </c>
      <c r="AM182" s="1" t="e">
        <f>AL182/VLOOKUP(A182,'[40]geoMap (37)'!$A:$B,2,0)*VLOOKUP(A182,'[40]geoMap (37)'!$A:$C,3,0)</f>
        <v>#REF!</v>
      </c>
      <c r="AN182" s="1" t="e">
        <f>AM182/VLOOKUP(A182,'[41]geoMap (38)'!$A:$B,2,0)*VLOOKUP(A182,'[41]geoMap (38)'!$A:$C,3,0)</f>
        <v>#REF!</v>
      </c>
      <c r="AO182" s="1" t="e">
        <f>AN182/VLOOKUP(A182,'[42]geoMap (39)'!$A:$B,2,0)*VLOOKUP(A182,'[42]geoMap (39)'!$A:$C,3,0)</f>
        <v>#REF!</v>
      </c>
      <c r="AP182" s="1" t="e">
        <f>AO182/VLOOKUP(A182,'[43]geoMap (40)'!$A:$B,2,0)*VLOOKUP(A182,'[43]geoMap (40)'!$A:$C,3,0)</f>
        <v>#REF!</v>
      </c>
      <c r="AQ182" s="1" t="e">
        <f>AP182/VLOOKUP(A182,'[44]geoMap (41)'!$A:$B,2,0)*VLOOKUP(A182,'[44]geoMap (41)'!$A:$C,3,0)</f>
        <v>#REF!</v>
      </c>
      <c r="AR182" s="1" t="e">
        <f>AQ182/VLOOKUP(A182,'[45]geoMap (42)'!$A:$B,2,0)*VLOOKUP(A182,'[45]geoMap (42)'!$A:$C,3,0)</f>
        <v>#REF!</v>
      </c>
      <c r="AS182" s="1" t="e">
        <f>AR182/VLOOKUP(A182,'[46]geoMap (43)'!$A:$B,2,0)*VLOOKUP(A182,'[46]geoMap (43)'!$A:$C,3,0)</f>
        <v>#REF!</v>
      </c>
      <c r="AT182" s="1" t="e">
        <f>AS182/VLOOKUP(A182,'[47]geoMap (44)'!$A:$B,2,0)*VLOOKUP(A182,'[47]geoMap (44)'!$A:$C,3,0)</f>
        <v>#REF!</v>
      </c>
      <c r="AU182" s="1" t="e">
        <f>AT182/VLOOKUP(A182,'[48]geoMap (45)'!$A:$B,2,0)*VLOOKUP(A182,'[48]geoMap (45)'!$A:$C,3,0)</f>
        <v>#REF!</v>
      </c>
      <c r="AV182" s="1" t="e">
        <f>AU182/VLOOKUP(A182,'[49]geoMap (46)'!$A:$B,2,0)*VLOOKUP(A182,'[49]geoMap (46)'!$A:$C,3,0)</f>
        <v>#REF!</v>
      </c>
      <c r="AW182" s="1" t="e">
        <f>AV182/VLOOKUP(A182,'[50]geoMap (47)'!$A:$B,2,0)*VLOOKUP(A182,'[50]geoMap (47)'!$A:$C,3,0)</f>
        <v>#REF!</v>
      </c>
      <c r="AX182" s="4" t="e">
        <f>AW182/VLOOKUP(A182,'[51]geoMap (48)'!$A:$B,2,0)*VLOOKUP(A182,'[51]geoMap (48)'!$A:$C,3,0)</f>
        <v>#REF!</v>
      </c>
      <c r="AY182" s="1" t="e">
        <f>AX182/VLOOKUP(A182,'[52]geoMap (49)'!$A:$B,2,0)*VLOOKUP(A182,'[52]geoMap (49)'!$A:$C,3,0)</f>
        <v>#REF!</v>
      </c>
      <c r="AZ182" s="4" t="e">
        <f>AY182/VLOOKUP(A182,'[53]geoMap (50)'!$A:$B,2,0)*VLOOKUP(A182,'[53]geoMap (50)'!$A:$C,3,0)</f>
        <v>#REF!</v>
      </c>
      <c r="BA182" s="1" t="e">
        <f>AZ182/VLOOKUP(A182,'[54]geoMap (51)'!$A:$B,2,0)*VLOOKUP(A182,'[54]geoMap (51)'!$A:$C,3,0)</f>
        <v>#REF!</v>
      </c>
      <c r="BB182" s="4" t="e">
        <f>BA182/VLOOKUP(A182,'[55]geoMap (52)'!$A:$B,2,0)*VLOOKUP(A182,'[55]geoMap (52)'!$A:$C,3,0)</f>
        <v>#REF!</v>
      </c>
      <c r="BC182" s="1" t="e">
        <f>BB182/VLOOKUP(A182,'[56]geoMap (53)'!$A:$B,2,0)*VLOOKUP(A182,'[56]geoMap (53)'!$A:$C,3,0)</f>
        <v>#REF!</v>
      </c>
      <c r="BD182" s="4" t="e">
        <f>BC182/VLOOKUP(A182,'[57]geoMap (54)'!$A:$B,2,0)*VLOOKUP(A182,'[57]geoMap (54)'!$A:$C,3,0)</f>
        <v>#REF!</v>
      </c>
      <c r="BE182" s="1" t="e">
        <f>BD182/VLOOKUP(A182,'[58]geoMap (55)'!$A:$B,2,0)*VLOOKUP(A182,'[58]geoMap (55)'!$A:$C,3,0)</f>
        <v>#REF!</v>
      </c>
      <c r="BF182" s="4" t="e">
        <f>BE182/VLOOKUP(A182,'[59]geoMap (56)'!$A:$B,2,0)*VLOOKUP(A182,'[59]geoMap (56)'!$A:$C,3,0)</f>
        <v>#REF!</v>
      </c>
      <c r="BG182" s="1" t="e">
        <f>BF182/VLOOKUP(A182,'[60]geoMap (57)'!$A:$B,2,0)*VLOOKUP(A182,'[60]geoMap (57)'!$A:$C,3,0)</f>
        <v>#REF!</v>
      </c>
      <c r="BH182" s="4" t="e">
        <f>BG182/VLOOKUP(A182,'[61]geoMap (58)'!$A:$B,2,0)*VLOOKUP(A182,'[61]geoMap (58)'!$A:$C,3,0)</f>
        <v>#REF!</v>
      </c>
      <c r="BI182" s="1" t="e">
        <f>BH182/VLOOKUP(A182,'[62]geoMap (59)'!$A:$B,2,0)*VLOOKUP(A182,'[62]geoMap (59)'!$A:$C,3,0)</f>
        <v>#REF!</v>
      </c>
      <c r="BJ182" s="4" t="e">
        <f>BI182/VLOOKUP(A182,'[63]geoMap (60)'!$A:$B,2,0)*VLOOKUP(A182,'[63]geoMap (60)'!$A:$C,3,0)</f>
        <v>#REF!</v>
      </c>
      <c r="BK182" s="1" t="e">
        <f>BJ182/VLOOKUP(A182,'[64]geoMap (61)'!$A:$B,2,0)*VLOOKUP(A182,'[64]geoMap (61)'!$A:$C,3,0)</f>
        <v>#REF!</v>
      </c>
      <c r="BL182" s="4" t="e">
        <f>BK182/VLOOKUP(A182,'[65]geoMap (62)'!$A:$B,2,0)*VLOOKUP(A182,'[65]geoMap (62)'!$A:$C,3,0)</f>
        <v>#REF!</v>
      </c>
      <c r="BM182" s="1" t="e">
        <f>BL182/VLOOKUP(A182,'[66]geoMap (63)'!$A:$B,2,0)*VLOOKUP(A182,'[66]geoMap (63)'!$A:$C,3,0)</f>
        <v>#REF!</v>
      </c>
      <c r="BN182" s="4" t="e">
        <f>BM182/VLOOKUP(A182,'[67]geoMap (64)'!$A:$B,2,0)*VLOOKUP(A182,'[67]geoMap (64)'!$A:$C,3,0)</f>
        <v>#REF!</v>
      </c>
      <c r="BO182" s="1" t="e">
        <f>BN182/VLOOKUP(A182,'[68]geoMap (65)'!$A:$B,2,0)*VLOOKUP(A182,'[68]geoMap (65)'!$A:$C,3,0)</f>
        <v>#REF!</v>
      </c>
      <c r="BP182" s="4" t="e">
        <f>BO182/VLOOKUP(A182,'[69]geoMap (66)'!$A:$B,2,0)*VLOOKUP(A182,'[69]geoMap (66)'!$A:$C,3,0)</f>
        <v>#REF!</v>
      </c>
    </row>
    <row r="183" spans="1:68" x14ac:dyDescent="0.2">
      <c r="A183" s="1" t="s">
        <v>183</v>
      </c>
      <c r="B183" s="1" t="e">
        <f>VLOOKUP(A183,[3]geoMap!$A:$B,2,0)*Notes!$C$6</f>
        <v>#REF!</v>
      </c>
      <c r="C183" s="1" t="e">
        <f>B183/VLOOKUP(A183,'[4]geoMap (1)'!$A:$B,2,0)*VLOOKUP(A183,'[4]geoMap (1)'!$A:$C,3,0)</f>
        <v>#REF!</v>
      </c>
      <c r="D183" s="1" t="e">
        <f>C183/VLOOKUP(A183,'[5]geoMap (2)'!$A:$B,2,0)*VLOOKUP(A183,'[5]geoMap (2)'!$A:$C,3,0)</f>
        <v>#REF!</v>
      </c>
      <c r="E183" s="1" t="e">
        <f>D183/VLOOKUP(A183,'[6]geoMap (3)'!$A:$B,2,0)*VLOOKUP(A183,'[6]geoMap (3)'!$A:$C,3,0)</f>
        <v>#REF!</v>
      </c>
      <c r="F183" s="1" t="e">
        <f>E183/VLOOKUP(A183,'[7]geoMap (4)'!$A:$B,2,0)*VLOOKUP(A183,'[7]geoMap (4)'!$A:$C,3,0)</f>
        <v>#REF!</v>
      </c>
      <c r="G183" s="1" t="e">
        <f>F183/VLOOKUP(A183,'[8]geoMap (5)'!$A:$B,2,0)*VLOOKUP(A183,'[8]geoMap (5)'!$A:$C,3,0)</f>
        <v>#REF!</v>
      </c>
      <c r="H183" s="1" t="e">
        <f>G183/VLOOKUP(A183,'[9]geoMap (6)'!$A:$B,2,0)*VLOOKUP(A183,'[9]geoMap (6)'!$A:$C,3,0)</f>
        <v>#REF!</v>
      </c>
      <c r="I183" s="1" t="e">
        <f>H183/VLOOKUP(A183,'[10]geoMap (7)'!$A:$B,2,0)*VLOOKUP(A183,'[10]geoMap (7)'!$A:$C,3,0)</f>
        <v>#REF!</v>
      </c>
      <c r="J183" s="1" t="e">
        <f>I183/VLOOKUP(A183,'[11]geoMap (8)'!$A:$B,2,0)*VLOOKUP(A183,'[11]geoMap (8)'!$A:$C,3,0)</f>
        <v>#REF!</v>
      </c>
      <c r="K183" s="1" t="e">
        <f>J183/VLOOKUP(A183,'[12]geoMap (9)'!$A:$B,2,0)*VLOOKUP(A183,'[12]geoMap (9)'!$A:$C,3,0)</f>
        <v>#REF!</v>
      </c>
      <c r="L183" s="1" t="e">
        <f>K183/VLOOKUP(A183,'[13]geoMap (10)'!$A:$B,2,0)*VLOOKUP(A183,'[13]geoMap (10)'!$A:$C,3,0)</f>
        <v>#REF!</v>
      </c>
      <c r="M183" s="1" t="e">
        <f>L183/VLOOKUP(A183,'[14]geoMap (11)'!$A:$B,2,0)*VLOOKUP(A183,'[14]geoMap (11)'!$A:$C,3,0)</f>
        <v>#REF!</v>
      </c>
      <c r="N183" s="1" t="e">
        <f>M183/VLOOKUP(A183,'[15]geoMap (12)'!$A:$B,2,0)*VLOOKUP(A183,'[15]geoMap (12)'!$A:$C,3,0)</f>
        <v>#REF!</v>
      </c>
      <c r="O183" s="1" t="e">
        <f>N183/VLOOKUP(A183,'[16]geoMap (13)'!$A:$B,2,0)*VLOOKUP(A183,'[16]geoMap (13)'!$A:$C,3,0)</f>
        <v>#REF!</v>
      </c>
      <c r="P183" s="1" t="e">
        <f>O183/VLOOKUP(A183,'[17]geoMap (14)'!$A:$B,2,0)*VLOOKUP(A183,'[17]geoMap (14)'!$A:$C,3,0)</f>
        <v>#REF!</v>
      </c>
      <c r="Q183" s="1" t="e">
        <f>P183/VLOOKUP(A183,'[18]geoMap (15)'!$A:$B,2,0)*VLOOKUP(A183,'[18]geoMap (15)'!$A:$C,3,0)</f>
        <v>#REF!</v>
      </c>
      <c r="R183" s="1" t="e">
        <f>Q183/VLOOKUP(A183,'[19]geoMap (16)'!$A:$B,2,0)*VLOOKUP(A183,'[19]geoMap (16)'!$A:$C,3,0)</f>
        <v>#REF!</v>
      </c>
      <c r="S183" s="1" t="e">
        <f>R183/VLOOKUP(A183,'[20]geoMap (17)'!$A:$B,2,0)*VLOOKUP(A183,'[20]geoMap (17)'!$A:$C,3,0)</f>
        <v>#REF!</v>
      </c>
      <c r="T183" s="1" t="e">
        <f>S183/VLOOKUP(A183,'[21]geoMap (18)'!$A:$B,2,0)*VLOOKUP(A183,'[21]geoMap (18)'!$A:$C,3,0)</f>
        <v>#REF!</v>
      </c>
      <c r="U183" s="1" t="e">
        <f>T183/VLOOKUP(A183,'[22]geoMap (19)'!$A:$B,2,0)*VLOOKUP(A183,'[22]geoMap (19)'!$A:$C,3,0)</f>
        <v>#REF!</v>
      </c>
      <c r="V183" s="1" t="e">
        <f>U183/VLOOKUP(A183,'[23]geoMap (20)'!$A:$B,2,0)*VLOOKUP(A183,'[23]geoMap (20)'!$A:$C,3,0)</f>
        <v>#REF!</v>
      </c>
      <c r="W183" s="1" t="e">
        <f>V183/VLOOKUP(A183,'[24]geoMap (21)'!$A:$B,2,0)*VLOOKUP(A183,'[24]geoMap (21)'!$A:$C,3,0)</f>
        <v>#REF!</v>
      </c>
      <c r="X183" s="1" t="e">
        <f>W183/VLOOKUP(A183,'[25]geoMap (22)'!$A:$B,2,0)*VLOOKUP(A183,'[25]geoMap (22)'!$A:$C,3,0)</f>
        <v>#REF!</v>
      </c>
      <c r="Y183" s="1" t="e">
        <f>X183/VLOOKUP(A183,'[26]geoMap (23)'!$A:$B,2,0)*VLOOKUP(A183,'[26]geoMap (23)'!$A:$C,3,0)</f>
        <v>#REF!</v>
      </c>
      <c r="Z183" s="1" t="e">
        <f>Y183/VLOOKUP(A183,'[27]geoMap (24)'!$A:$B,2,0)*VLOOKUP(A183,'[27]geoMap (24)'!$A:$C,3,0)</f>
        <v>#REF!</v>
      </c>
      <c r="AA183" s="1" t="e">
        <f>Z183/VLOOKUP(A183,'[28]geoMap (25)'!$A:$B,2,0)*VLOOKUP(A183,'[28]geoMap (25)'!$A:$C,3,0)</f>
        <v>#REF!</v>
      </c>
      <c r="AB183" s="1" t="e">
        <f>AA183*VLOOKUP(A183,'[29]geoMap (26)'!$A:$B,2,0)*VLOOKUP(A183,'[29]geoMap (26)'!$A:$C,3,0)</f>
        <v>#REF!</v>
      </c>
      <c r="AC183" s="1" t="e">
        <f>AB183/VLOOKUP(A183,'[30]geoMap (27)'!$A:$B,2,0)*VLOOKUP(A183,'[30]geoMap (27)'!$A:$C,3,0)</f>
        <v>#REF!</v>
      </c>
      <c r="AD183" s="1" t="e">
        <f>AC183/VLOOKUP(A183,'[31]geoMap (28)'!$A:$B,2,0)*VLOOKUP(A183,'[31]geoMap (28)'!$A:$C,3,0)</f>
        <v>#REF!</v>
      </c>
      <c r="AE183" s="1" t="e">
        <f>AD183/VLOOKUP(A183,'[32]geoMap (29)'!$A:$B,2,0)*VLOOKUP(A183,'[32]geoMap (29)'!$A:$C,3,0)</f>
        <v>#REF!</v>
      </c>
      <c r="AF183" s="1" t="e">
        <f>AE183/VLOOKUP(A183,'[33]geoMap (30)'!$A:$B,2,0)*VLOOKUP(A183,'[33]geoMap (30)'!$A:$C,3,0)</f>
        <v>#REF!</v>
      </c>
      <c r="AG183" s="1" t="e">
        <f>AF183/VLOOKUP(A183,'[34]geoMap (31)'!$A:$B,2,0)*VLOOKUP(A183,'[34]geoMap (31)'!$A:$C,3,0)</f>
        <v>#REF!</v>
      </c>
      <c r="AH183" s="1" t="e">
        <f>AG183/VLOOKUP(A183,'[35]geoMap (32)'!$A:$B,2,0)*VLOOKUP(A183,'[35]geoMap (32)'!$A:$C,3,0)</f>
        <v>#REF!</v>
      </c>
      <c r="AI183" s="1" t="e">
        <f>AH183/VLOOKUP(A183,'[36]geoMap (33)'!$A:$B,2,0)*VLOOKUP(A183,'[36]geoMap (33)'!$A:$C,3,0)</f>
        <v>#REF!</v>
      </c>
      <c r="AJ183" s="1" t="e">
        <f>AI183/VLOOKUP(A183,'[37]geoMap (34)'!$A:$B,2,0)*VLOOKUP(A183,'[37]geoMap (34)'!$A:$C,3,0)</f>
        <v>#REF!</v>
      </c>
      <c r="AK183" s="1" t="e">
        <f>AJ183/VLOOKUP(A183,'[38]geoMap (35)'!$A:$B,2,0)*VLOOKUP(A183,'[38]geoMap (35)'!$A:$C,3,0)</f>
        <v>#REF!</v>
      </c>
      <c r="AL183" s="1" t="e">
        <f>AK183/VLOOKUP(A183,'[39]geoMap (36)'!$A:$B,2,0)*VLOOKUP(A183,'[39]geoMap (36)'!$A:$C,3,0)</f>
        <v>#REF!</v>
      </c>
      <c r="AM183" s="1" t="e">
        <f>AL183/VLOOKUP(A183,'[40]geoMap (37)'!$A:$B,2,0)*VLOOKUP(A183,'[40]geoMap (37)'!$A:$C,3,0)</f>
        <v>#REF!</v>
      </c>
      <c r="AN183" s="1" t="e">
        <f>AM183/VLOOKUP(A183,'[41]geoMap (38)'!$A:$B,2,0)*VLOOKUP(A183,'[41]geoMap (38)'!$A:$C,3,0)</f>
        <v>#REF!</v>
      </c>
      <c r="AO183" s="1" t="e">
        <f>AN183/VLOOKUP(A183,'[42]geoMap (39)'!$A:$B,2,0)*VLOOKUP(A183,'[42]geoMap (39)'!$A:$C,3,0)</f>
        <v>#REF!</v>
      </c>
      <c r="AP183" s="1" t="e">
        <f>AO183/VLOOKUP(A183,'[43]geoMap (40)'!$A:$B,2,0)*VLOOKUP(A183,'[43]geoMap (40)'!$A:$C,3,0)</f>
        <v>#REF!</v>
      </c>
      <c r="AQ183" s="1" t="e">
        <f>AP183/VLOOKUP(A183,'[44]geoMap (41)'!$A:$B,2,0)*VLOOKUP(A183,'[44]geoMap (41)'!$A:$C,3,0)</f>
        <v>#REF!</v>
      </c>
      <c r="AR183" s="1" t="e">
        <f>AQ183/VLOOKUP(A183,'[45]geoMap (42)'!$A:$B,2,0)*VLOOKUP(A183,'[45]geoMap (42)'!$A:$C,3,0)</f>
        <v>#REF!</v>
      </c>
      <c r="AS183" s="1" t="e">
        <f>AR183/VLOOKUP(A183,'[46]geoMap (43)'!$A:$B,2,0)*VLOOKUP(A183,'[46]geoMap (43)'!$A:$C,3,0)</f>
        <v>#REF!</v>
      </c>
      <c r="AT183" s="1" t="e">
        <f>AS183/VLOOKUP(A183,'[47]geoMap (44)'!$A:$B,2,0)*VLOOKUP(A183,'[47]geoMap (44)'!$A:$C,3,0)</f>
        <v>#REF!</v>
      </c>
      <c r="AU183" s="1" t="e">
        <f>AT183/VLOOKUP(A183,'[48]geoMap (45)'!$A:$B,2,0)*VLOOKUP(A183,'[48]geoMap (45)'!$A:$C,3,0)</f>
        <v>#REF!</v>
      </c>
      <c r="AV183" s="1" t="e">
        <f>AU183/VLOOKUP(A183,'[49]geoMap (46)'!$A:$B,2,0)*VLOOKUP(A183,'[49]geoMap (46)'!$A:$C,3,0)</f>
        <v>#REF!</v>
      </c>
      <c r="AW183" s="1" t="e">
        <f>AV183/VLOOKUP(A183,'[50]geoMap (47)'!$A:$B,2,0)*VLOOKUP(A183,'[50]geoMap (47)'!$A:$C,3,0)</f>
        <v>#REF!</v>
      </c>
      <c r="AX183" s="4" t="e">
        <f>AW183/VLOOKUP(A183,'[51]geoMap (48)'!$A:$B,2,0)*VLOOKUP(A183,'[51]geoMap (48)'!$A:$C,3,0)</f>
        <v>#REF!</v>
      </c>
      <c r="AY183" s="1" t="e">
        <f>AX183/VLOOKUP(A183,'[52]geoMap (49)'!$A:$B,2,0)*VLOOKUP(A183,'[52]geoMap (49)'!$A:$C,3,0)</f>
        <v>#REF!</v>
      </c>
      <c r="AZ183" s="4" t="e">
        <f>AY183/VLOOKUP(A183,'[53]geoMap (50)'!$A:$B,2,0)*VLOOKUP(A183,'[53]geoMap (50)'!$A:$C,3,0)</f>
        <v>#REF!</v>
      </c>
      <c r="BA183" s="1" t="e">
        <f>AZ183/VLOOKUP(A183,'[54]geoMap (51)'!$A:$B,2,0)*VLOOKUP(A183,'[54]geoMap (51)'!$A:$C,3,0)</f>
        <v>#REF!</v>
      </c>
      <c r="BB183" s="4" t="e">
        <f>BA183/VLOOKUP(A183,'[55]geoMap (52)'!$A:$B,2,0)*VLOOKUP(A183,'[55]geoMap (52)'!$A:$C,3,0)</f>
        <v>#REF!</v>
      </c>
      <c r="BC183" s="1" t="e">
        <f>BB183/VLOOKUP(A183,'[56]geoMap (53)'!$A:$B,2,0)*VLOOKUP(A183,'[56]geoMap (53)'!$A:$C,3,0)</f>
        <v>#REF!</v>
      </c>
      <c r="BD183" s="4" t="e">
        <f>BC183/VLOOKUP(A183,'[57]geoMap (54)'!$A:$B,2,0)*VLOOKUP(A183,'[57]geoMap (54)'!$A:$C,3,0)</f>
        <v>#REF!</v>
      </c>
      <c r="BE183" s="1" t="e">
        <f>BD183/VLOOKUP(A183,'[58]geoMap (55)'!$A:$B,2,0)*VLOOKUP(A183,'[58]geoMap (55)'!$A:$C,3,0)</f>
        <v>#REF!</v>
      </c>
      <c r="BF183" s="4" t="e">
        <f>BE183/VLOOKUP(A183,'[59]geoMap (56)'!$A:$B,2,0)*VLOOKUP(A183,'[59]geoMap (56)'!$A:$C,3,0)</f>
        <v>#REF!</v>
      </c>
      <c r="BG183" s="1" t="e">
        <f>BF183/VLOOKUP(A183,'[60]geoMap (57)'!$A:$B,2,0)*VLOOKUP(A183,'[60]geoMap (57)'!$A:$C,3,0)</f>
        <v>#REF!</v>
      </c>
      <c r="BH183" s="4" t="e">
        <f>BG183/VLOOKUP(A183,'[61]geoMap (58)'!$A:$B,2,0)*VLOOKUP(A183,'[61]geoMap (58)'!$A:$C,3,0)</f>
        <v>#REF!</v>
      </c>
      <c r="BI183" s="1" t="e">
        <f>BH183/VLOOKUP(A183,'[62]geoMap (59)'!$A:$B,2,0)*VLOOKUP(A183,'[62]geoMap (59)'!$A:$C,3,0)</f>
        <v>#REF!</v>
      </c>
      <c r="BJ183" s="4" t="e">
        <f>BI183/VLOOKUP(A183,'[63]geoMap (60)'!$A:$B,2,0)*VLOOKUP(A183,'[63]geoMap (60)'!$A:$C,3,0)</f>
        <v>#REF!</v>
      </c>
      <c r="BK183" s="1" t="e">
        <f>BJ183/VLOOKUP(A183,'[64]geoMap (61)'!$A:$B,2,0)*VLOOKUP(A183,'[64]geoMap (61)'!$A:$C,3,0)</f>
        <v>#REF!</v>
      </c>
      <c r="BL183" s="4" t="e">
        <f>BK183/VLOOKUP(A183,'[65]geoMap (62)'!$A:$B,2,0)*VLOOKUP(A183,'[65]geoMap (62)'!$A:$C,3,0)</f>
        <v>#REF!</v>
      </c>
      <c r="BM183" s="1" t="e">
        <f>BL183/VLOOKUP(A183,'[66]geoMap (63)'!$A:$B,2,0)*VLOOKUP(A183,'[66]geoMap (63)'!$A:$C,3,0)</f>
        <v>#REF!</v>
      </c>
      <c r="BN183" s="4" t="e">
        <f>BM183/VLOOKUP(A183,'[67]geoMap (64)'!$A:$B,2,0)*VLOOKUP(A183,'[67]geoMap (64)'!$A:$C,3,0)</f>
        <v>#REF!</v>
      </c>
      <c r="BO183" s="1" t="e">
        <f>BN183/VLOOKUP(A183,'[68]geoMap (65)'!$A:$B,2,0)*VLOOKUP(A183,'[68]geoMap (65)'!$A:$C,3,0)</f>
        <v>#REF!</v>
      </c>
      <c r="BP183" s="4" t="e">
        <f>BO183/VLOOKUP(A183,'[69]geoMap (66)'!$A:$B,2,0)*VLOOKUP(A183,'[69]geoMap (66)'!$A:$C,3,0)</f>
        <v>#REF!</v>
      </c>
    </row>
    <row r="184" spans="1:68" x14ac:dyDescent="0.2">
      <c r="A184" s="1" t="s">
        <v>185</v>
      </c>
      <c r="B184" s="1" t="e">
        <f>VLOOKUP(A184,[3]geoMap!$A:$B,2,0)*Notes!$C$6</f>
        <v>#REF!</v>
      </c>
      <c r="C184" s="1" t="e">
        <f>B184/VLOOKUP(A184,'[4]geoMap (1)'!$A:$B,2,0)*VLOOKUP(A184,'[4]geoMap (1)'!$A:$C,3,0)</f>
        <v>#REF!</v>
      </c>
      <c r="D184" s="1" t="e">
        <f>C184/VLOOKUP(A184,'[5]geoMap (2)'!$A:$B,2,0)*VLOOKUP(A184,'[5]geoMap (2)'!$A:$C,3,0)</f>
        <v>#REF!</v>
      </c>
      <c r="E184" s="1" t="e">
        <f>D184/VLOOKUP(A184,'[6]geoMap (3)'!$A:$B,2,0)*VLOOKUP(A184,'[6]geoMap (3)'!$A:$C,3,0)</f>
        <v>#REF!</v>
      </c>
      <c r="F184" s="1" t="e">
        <f>E184/VLOOKUP(A184,'[7]geoMap (4)'!$A:$B,2,0)*VLOOKUP(A184,'[7]geoMap (4)'!$A:$C,3,0)</f>
        <v>#REF!</v>
      </c>
      <c r="G184" s="1" t="e">
        <f>F184/VLOOKUP(A184,'[8]geoMap (5)'!$A:$B,2,0)*VLOOKUP(A184,'[8]geoMap (5)'!$A:$C,3,0)</f>
        <v>#REF!</v>
      </c>
      <c r="H184" s="1" t="e">
        <f>G184/VLOOKUP(A184,'[9]geoMap (6)'!$A:$B,2,0)*VLOOKUP(A184,'[9]geoMap (6)'!$A:$C,3,0)</f>
        <v>#REF!</v>
      </c>
      <c r="I184" s="1" t="e">
        <f>H184/VLOOKUP(A184,'[10]geoMap (7)'!$A:$B,2,0)*VLOOKUP(A184,'[10]geoMap (7)'!$A:$C,3,0)</f>
        <v>#REF!</v>
      </c>
      <c r="J184" s="1" t="e">
        <f>I184/VLOOKUP(A184,'[11]geoMap (8)'!$A:$B,2,0)*VLOOKUP(A184,'[11]geoMap (8)'!$A:$C,3,0)</f>
        <v>#REF!</v>
      </c>
      <c r="K184" s="1" t="e">
        <f>J184/VLOOKUP(A184,'[12]geoMap (9)'!$A:$B,2,0)*VLOOKUP(A184,'[12]geoMap (9)'!$A:$C,3,0)</f>
        <v>#REF!</v>
      </c>
      <c r="L184" s="1" t="e">
        <f>K184/VLOOKUP(A184,'[13]geoMap (10)'!$A:$B,2,0)*VLOOKUP(A184,'[13]geoMap (10)'!$A:$C,3,0)</f>
        <v>#REF!</v>
      </c>
      <c r="M184" s="1" t="e">
        <f>L184/VLOOKUP(A184,'[14]geoMap (11)'!$A:$B,2,0)*VLOOKUP(A184,'[14]geoMap (11)'!$A:$C,3,0)</f>
        <v>#REF!</v>
      </c>
      <c r="N184" s="1" t="e">
        <f>M184/VLOOKUP(A184,'[15]geoMap (12)'!$A:$B,2,0)*VLOOKUP(A184,'[15]geoMap (12)'!$A:$C,3,0)</f>
        <v>#REF!</v>
      </c>
      <c r="O184" s="1" t="e">
        <f>N184/VLOOKUP(A184,'[16]geoMap (13)'!$A:$B,2,0)*VLOOKUP(A184,'[16]geoMap (13)'!$A:$C,3,0)</f>
        <v>#REF!</v>
      </c>
      <c r="P184" s="1" t="e">
        <f>O184/VLOOKUP(A184,'[17]geoMap (14)'!$A:$B,2,0)*VLOOKUP(A184,'[17]geoMap (14)'!$A:$C,3,0)</f>
        <v>#REF!</v>
      </c>
      <c r="Q184" s="1" t="e">
        <f>P184/VLOOKUP(A184,'[18]geoMap (15)'!$A:$B,2,0)*VLOOKUP(A184,'[18]geoMap (15)'!$A:$C,3,0)</f>
        <v>#REF!</v>
      </c>
      <c r="R184" s="1" t="e">
        <f>Q184/VLOOKUP(A184,'[19]geoMap (16)'!$A:$B,2,0)*VLOOKUP(A184,'[19]geoMap (16)'!$A:$C,3,0)</f>
        <v>#REF!</v>
      </c>
      <c r="S184" s="1" t="e">
        <f>R184/VLOOKUP(A184,'[20]geoMap (17)'!$A:$B,2,0)*VLOOKUP(A184,'[20]geoMap (17)'!$A:$C,3,0)</f>
        <v>#REF!</v>
      </c>
      <c r="T184" s="1" t="e">
        <f>S184/VLOOKUP(A184,'[21]geoMap (18)'!$A:$B,2,0)*VLOOKUP(A184,'[21]geoMap (18)'!$A:$C,3,0)</f>
        <v>#REF!</v>
      </c>
      <c r="U184" s="1" t="e">
        <f>T184/VLOOKUP(A184,'[22]geoMap (19)'!$A:$B,2,0)*VLOOKUP(A184,'[22]geoMap (19)'!$A:$C,3,0)</f>
        <v>#REF!</v>
      </c>
      <c r="V184" s="1" t="e">
        <f>U184/VLOOKUP(A184,'[23]geoMap (20)'!$A:$B,2,0)*VLOOKUP(A184,'[23]geoMap (20)'!$A:$C,3,0)</f>
        <v>#REF!</v>
      </c>
      <c r="W184" s="1" t="e">
        <f>V184/VLOOKUP(A184,'[24]geoMap (21)'!$A:$B,2,0)*VLOOKUP(A184,'[24]geoMap (21)'!$A:$C,3,0)</f>
        <v>#REF!</v>
      </c>
      <c r="X184" s="1" t="e">
        <f>W184/VLOOKUP(A184,'[25]geoMap (22)'!$A:$B,2,0)*VLOOKUP(A184,'[25]geoMap (22)'!$A:$C,3,0)</f>
        <v>#REF!</v>
      </c>
      <c r="Y184" s="1" t="e">
        <f>X184/VLOOKUP(A184,'[26]geoMap (23)'!$A:$B,2,0)*VLOOKUP(A184,'[26]geoMap (23)'!$A:$C,3,0)</f>
        <v>#REF!</v>
      </c>
      <c r="Z184" s="1" t="e">
        <f>Y184/VLOOKUP(A184,'[27]geoMap (24)'!$A:$B,2,0)*VLOOKUP(A184,'[27]geoMap (24)'!$A:$C,3,0)</f>
        <v>#REF!</v>
      </c>
      <c r="AA184" s="1" t="e">
        <f>Z184/VLOOKUP(A184,'[28]geoMap (25)'!$A:$B,2,0)*VLOOKUP(A184,'[28]geoMap (25)'!$A:$C,3,0)</f>
        <v>#REF!</v>
      </c>
      <c r="AB184" s="1" t="e">
        <f>AA184*VLOOKUP(A184,'[29]geoMap (26)'!$A:$B,2,0)*VLOOKUP(A184,'[29]geoMap (26)'!$A:$C,3,0)</f>
        <v>#REF!</v>
      </c>
      <c r="AC184" s="1" t="e">
        <f>AB184/VLOOKUP(A184,'[30]geoMap (27)'!$A:$B,2,0)*VLOOKUP(A184,'[30]geoMap (27)'!$A:$C,3,0)</f>
        <v>#REF!</v>
      </c>
      <c r="AD184" s="1" t="e">
        <f>AC184/VLOOKUP(A184,'[31]geoMap (28)'!$A:$B,2,0)*VLOOKUP(A184,'[31]geoMap (28)'!$A:$C,3,0)</f>
        <v>#REF!</v>
      </c>
      <c r="AE184" s="1" t="e">
        <f>AD184/VLOOKUP(A184,'[32]geoMap (29)'!$A:$B,2,0)*VLOOKUP(A184,'[32]geoMap (29)'!$A:$C,3,0)</f>
        <v>#REF!</v>
      </c>
      <c r="AF184" s="1" t="e">
        <f>AE184/VLOOKUP(A184,'[33]geoMap (30)'!$A:$B,2,0)*VLOOKUP(A184,'[33]geoMap (30)'!$A:$C,3,0)</f>
        <v>#REF!</v>
      </c>
      <c r="AG184" s="1" t="e">
        <f>AF184/VLOOKUP(A184,'[34]geoMap (31)'!$A:$B,2,0)*VLOOKUP(A184,'[34]geoMap (31)'!$A:$C,3,0)</f>
        <v>#REF!</v>
      </c>
      <c r="AH184" s="1" t="e">
        <f>AG184/VLOOKUP(A184,'[35]geoMap (32)'!$A:$B,2,0)*VLOOKUP(A184,'[35]geoMap (32)'!$A:$C,3,0)</f>
        <v>#REF!</v>
      </c>
      <c r="AI184" s="1" t="e">
        <f>AH184/VLOOKUP(A184,'[36]geoMap (33)'!$A:$B,2,0)*VLOOKUP(A184,'[36]geoMap (33)'!$A:$C,3,0)</f>
        <v>#REF!</v>
      </c>
      <c r="AJ184" s="1" t="e">
        <f>AI184/VLOOKUP(A184,'[37]geoMap (34)'!$A:$B,2,0)*VLOOKUP(A184,'[37]geoMap (34)'!$A:$C,3,0)</f>
        <v>#REF!</v>
      </c>
      <c r="AK184" s="1" t="e">
        <f>AJ184/VLOOKUP(A184,'[38]geoMap (35)'!$A:$B,2,0)*VLOOKUP(A184,'[38]geoMap (35)'!$A:$C,3,0)</f>
        <v>#REF!</v>
      </c>
      <c r="AL184" s="1" t="e">
        <f>AK184/VLOOKUP(A184,'[39]geoMap (36)'!$A:$B,2,0)*VLOOKUP(A184,'[39]geoMap (36)'!$A:$C,3,0)</f>
        <v>#REF!</v>
      </c>
      <c r="AM184" s="1" t="e">
        <f>AL184/VLOOKUP(A184,'[40]geoMap (37)'!$A:$B,2,0)*VLOOKUP(A184,'[40]geoMap (37)'!$A:$C,3,0)</f>
        <v>#REF!</v>
      </c>
      <c r="AN184" s="1" t="e">
        <f>AM184/VLOOKUP(A184,'[41]geoMap (38)'!$A:$B,2,0)*VLOOKUP(A184,'[41]geoMap (38)'!$A:$C,3,0)</f>
        <v>#REF!</v>
      </c>
      <c r="AO184" s="1" t="e">
        <f>AN184/VLOOKUP(A184,'[42]geoMap (39)'!$A:$B,2,0)*VLOOKUP(A184,'[42]geoMap (39)'!$A:$C,3,0)</f>
        <v>#REF!</v>
      </c>
      <c r="AP184" s="1" t="e">
        <f>AO184/VLOOKUP(A184,'[43]geoMap (40)'!$A:$B,2,0)*VLOOKUP(A184,'[43]geoMap (40)'!$A:$C,3,0)</f>
        <v>#REF!</v>
      </c>
      <c r="AQ184" s="1" t="e">
        <f>AP184/VLOOKUP(A184,'[44]geoMap (41)'!$A:$B,2,0)*VLOOKUP(A184,'[44]geoMap (41)'!$A:$C,3,0)</f>
        <v>#REF!</v>
      </c>
      <c r="AR184" s="1" t="e">
        <f>AQ184/VLOOKUP(A184,'[45]geoMap (42)'!$A:$B,2,0)*VLOOKUP(A184,'[45]geoMap (42)'!$A:$C,3,0)</f>
        <v>#REF!</v>
      </c>
      <c r="AS184" s="1" t="e">
        <f>AR184/VLOOKUP(A184,'[46]geoMap (43)'!$A:$B,2,0)*VLOOKUP(A184,'[46]geoMap (43)'!$A:$C,3,0)</f>
        <v>#REF!</v>
      </c>
      <c r="AT184" s="1" t="e">
        <f>AS184/VLOOKUP(A184,'[47]geoMap (44)'!$A:$B,2,0)*VLOOKUP(A184,'[47]geoMap (44)'!$A:$C,3,0)</f>
        <v>#REF!</v>
      </c>
      <c r="AU184" s="1" t="e">
        <f>AT184/VLOOKUP(A184,'[48]geoMap (45)'!$A:$B,2,0)*VLOOKUP(A184,'[48]geoMap (45)'!$A:$C,3,0)</f>
        <v>#REF!</v>
      </c>
      <c r="AV184" s="1" t="e">
        <f>AU184/VLOOKUP(A184,'[49]geoMap (46)'!$A:$B,2,0)*VLOOKUP(A184,'[49]geoMap (46)'!$A:$C,3,0)</f>
        <v>#REF!</v>
      </c>
      <c r="AW184" s="1" t="e">
        <f>AV184/VLOOKUP(A184,'[50]geoMap (47)'!$A:$B,2,0)*VLOOKUP(A184,'[50]geoMap (47)'!$A:$C,3,0)</f>
        <v>#REF!</v>
      </c>
      <c r="AX184" s="4" t="e">
        <f>AW184/VLOOKUP(A184,'[51]geoMap (48)'!$A:$B,2,0)*VLOOKUP(A184,'[51]geoMap (48)'!$A:$C,3,0)</f>
        <v>#REF!</v>
      </c>
      <c r="AY184" s="1" t="e">
        <f>AX184/VLOOKUP(A184,'[52]geoMap (49)'!$A:$B,2,0)*VLOOKUP(A184,'[52]geoMap (49)'!$A:$C,3,0)</f>
        <v>#REF!</v>
      </c>
      <c r="AZ184" s="4" t="e">
        <f>AY184/VLOOKUP(A184,'[53]geoMap (50)'!$A:$B,2,0)*VLOOKUP(A184,'[53]geoMap (50)'!$A:$C,3,0)</f>
        <v>#REF!</v>
      </c>
      <c r="BA184" s="1" t="e">
        <f>AZ184/VLOOKUP(A184,'[54]geoMap (51)'!$A:$B,2,0)*VLOOKUP(A184,'[54]geoMap (51)'!$A:$C,3,0)</f>
        <v>#REF!</v>
      </c>
      <c r="BB184" s="4" t="e">
        <f>BA184/VLOOKUP(A184,'[55]geoMap (52)'!$A:$B,2,0)*VLOOKUP(A184,'[55]geoMap (52)'!$A:$C,3,0)</f>
        <v>#REF!</v>
      </c>
      <c r="BC184" s="1" t="e">
        <f>BB184/VLOOKUP(A184,'[56]geoMap (53)'!$A:$B,2,0)*VLOOKUP(A184,'[56]geoMap (53)'!$A:$C,3,0)</f>
        <v>#REF!</v>
      </c>
      <c r="BD184" s="4" t="e">
        <f>BC184/VLOOKUP(A184,'[57]geoMap (54)'!$A:$B,2,0)*VLOOKUP(A184,'[57]geoMap (54)'!$A:$C,3,0)</f>
        <v>#REF!</v>
      </c>
      <c r="BE184" s="1" t="e">
        <f>BD184/VLOOKUP(A184,'[58]geoMap (55)'!$A:$B,2,0)*VLOOKUP(A184,'[58]geoMap (55)'!$A:$C,3,0)</f>
        <v>#REF!</v>
      </c>
      <c r="BF184" s="4" t="e">
        <f>BE184/VLOOKUP(A184,'[59]geoMap (56)'!$A:$B,2,0)*VLOOKUP(A184,'[59]geoMap (56)'!$A:$C,3,0)</f>
        <v>#REF!</v>
      </c>
      <c r="BG184" s="1" t="e">
        <f>BF184/VLOOKUP(A184,'[60]geoMap (57)'!$A:$B,2,0)*VLOOKUP(A184,'[60]geoMap (57)'!$A:$C,3,0)</f>
        <v>#REF!</v>
      </c>
      <c r="BH184" s="4" t="e">
        <f>BG184/VLOOKUP(A184,'[61]geoMap (58)'!$A:$B,2,0)*VLOOKUP(A184,'[61]geoMap (58)'!$A:$C,3,0)</f>
        <v>#REF!</v>
      </c>
      <c r="BI184" s="1" t="e">
        <f>BH184/VLOOKUP(A184,'[62]geoMap (59)'!$A:$B,2,0)*VLOOKUP(A184,'[62]geoMap (59)'!$A:$C,3,0)</f>
        <v>#REF!</v>
      </c>
      <c r="BJ184" s="4" t="e">
        <f>BI184/VLOOKUP(A184,'[63]geoMap (60)'!$A:$B,2,0)*VLOOKUP(A184,'[63]geoMap (60)'!$A:$C,3,0)</f>
        <v>#REF!</v>
      </c>
      <c r="BK184" s="1" t="e">
        <f>BJ184/VLOOKUP(A184,'[64]geoMap (61)'!$A:$B,2,0)*VLOOKUP(A184,'[64]geoMap (61)'!$A:$C,3,0)</f>
        <v>#REF!</v>
      </c>
      <c r="BL184" s="4" t="e">
        <f>BK184/VLOOKUP(A184,'[65]geoMap (62)'!$A:$B,2,0)*VLOOKUP(A184,'[65]geoMap (62)'!$A:$C,3,0)</f>
        <v>#REF!</v>
      </c>
      <c r="BM184" s="1" t="e">
        <f>BL184/VLOOKUP(A184,'[66]geoMap (63)'!$A:$B,2,0)*VLOOKUP(A184,'[66]geoMap (63)'!$A:$C,3,0)</f>
        <v>#REF!</v>
      </c>
      <c r="BN184" s="4" t="e">
        <f>BM184/VLOOKUP(A184,'[67]geoMap (64)'!$A:$B,2,0)*VLOOKUP(A184,'[67]geoMap (64)'!$A:$C,3,0)</f>
        <v>#REF!</v>
      </c>
      <c r="BO184" s="1" t="e">
        <f>BN184/VLOOKUP(A184,'[68]geoMap (65)'!$A:$B,2,0)*VLOOKUP(A184,'[68]geoMap (65)'!$A:$C,3,0)</f>
        <v>#REF!</v>
      </c>
      <c r="BP184" s="4" t="e">
        <f>BO184/VLOOKUP(A184,'[69]geoMap (66)'!$A:$B,2,0)*VLOOKUP(A184,'[69]geoMap (66)'!$A:$C,3,0)</f>
        <v>#REF!</v>
      </c>
    </row>
    <row r="185" spans="1:68" x14ac:dyDescent="0.2">
      <c r="A185" s="1" t="s">
        <v>186</v>
      </c>
      <c r="B185" s="1" t="e">
        <f>VLOOKUP(A185,[3]geoMap!$A:$B,2,0)*Notes!$C$6</f>
        <v>#REF!</v>
      </c>
      <c r="C185" s="1" t="e">
        <f>B185/VLOOKUP(A185,'[4]geoMap (1)'!$A:$B,2,0)*VLOOKUP(A185,'[4]geoMap (1)'!$A:$C,3,0)</f>
        <v>#REF!</v>
      </c>
      <c r="D185" s="1" t="e">
        <f>C185/VLOOKUP(A185,'[5]geoMap (2)'!$A:$B,2,0)*VLOOKUP(A185,'[5]geoMap (2)'!$A:$C,3,0)</f>
        <v>#REF!</v>
      </c>
      <c r="E185" s="1" t="e">
        <f>D185/VLOOKUP(A185,'[6]geoMap (3)'!$A:$B,2,0)*VLOOKUP(A185,'[6]geoMap (3)'!$A:$C,3,0)</f>
        <v>#REF!</v>
      </c>
      <c r="F185" s="1" t="e">
        <f>E185/VLOOKUP(A185,'[7]geoMap (4)'!$A:$B,2,0)*VLOOKUP(A185,'[7]geoMap (4)'!$A:$C,3,0)</f>
        <v>#REF!</v>
      </c>
      <c r="G185" s="1" t="e">
        <f>F185/VLOOKUP(A185,'[8]geoMap (5)'!$A:$B,2,0)*VLOOKUP(A185,'[8]geoMap (5)'!$A:$C,3,0)</f>
        <v>#REF!</v>
      </c>
      <c r="H185" s="1" t="e">
        <f>G185/VLOOKUP(A185,'[9]geoMap (6)'!$A:$B,2,0)*VLOOKUP(A185,'[9]geoMap (6)'!$A:$C,3,0)</f>
        <v>#REF!</v>
      </c>
      <c r="I185" s="1" t="e">
        <f>H185/VLOOKUP(A185,'[10]geoMap (7)'!$A:$B,2,0)*VLOOKUP(A185,'[10]geoMap (7)'!$A:$C,3,0)</f>
        <v>#REF!</v>
      </c>
      <c r="J185" s="1" t="e">
        <f>I185/VLOOKUP(A185,'[11]geoMap (8)'!$A:$B,2,0)*VLOOKUP(A185,'[11]geoMap (8)'!$A:$C,3,0)</f>
        <v>#REF!</v>
      </c>
      <c r="K185" s="1" t="e">
        <f>J185/VLOOKUP(A185,'[12]geoMap (9)'!$A:$B,2,0)*VLOOKUP(A185,'[12]geoMap (9)'!$A:$C,3,0)</f>
        <v>#REF!</v>
      </c>
      <c r="L185" s="1" t="e">
        <f>K185/VLOOKUP(A185,'[13]geoMap (10)'!$A:$B,2,0)*VLOOKUP(A185,'[13]geoMap (10)'!$A:$C,3,0)</f>
        <v>#REF!</v>
      </c>
      <c r="M185" s="1" t="e">
        <f>L185/VLOOKUP(A185,'[14]geoMap (11)'!$A:$B,2,0)*VLOOKUP(A185,'[14]geoMap (11)'!$A:$C,3,0)</f>
        <v>#REF!</v>
      </c>
      <c r="N185" s="1" t="e">
        <f>M185/VLOOKUP(A185,'[15]geoMap (12)'!$A:$B,2,0)*VLOOKUP(A185,'[15]geoMap (12)'!$A:$C,3,0)</f>
        <v>#REF!</v>
      </c>
      <c r="O185" s="1" t="e">
        <f>N185/VLOOKUP(A185,'[16]geoMap (13)'!$A:$B,2,0)*VLOOKUP(A185,'[16]geoMap (13)'!$A:$C,3,0)</f>
        <v>#REF!</v>
      </c>
      <c r="P185" s="1" t="e">
        <f>O185/VLOOKUP(A185,'[17]geoMap (14)'!$A:$B,2,0)*VLOOKUP(A185,'[17]geoMap (14)'!$A:$C,3,0)</f>
        <v>#REF!</v>
      </c>
      <c r="Q185" s="1" t="e">
        <f>P185/VLOOKUP(A185,'[18]geoMap (15)'!$A:$B,2,0)*VLOOKUP(A185,'[18]geoMap (15)'!$A:$C,3,0)</f>
        <v>#REF!</v>
      </c>
      <c r="R185" s="1" t="e">
        <f>Q185/VLOOKUP(A185,'[19]geoMap (16)'!$A:$B,2,0)*VLOOKUP(A185,'[19]geoMap (16)'!$A:$C,3,0)</f>
        <v>#REF!</v>
      </c>
      <c r="S185" s="1" t="e">
        <f>R185/VLOOKUP(A185,'[20]geoMap (17)'!$A:$B,2,0)*VLOOKUP(A185,'[20]geoMap (17)'!$A:$C,3,0)</f>
        <v>#REF!</v>
      </c>
      <c r="T185" s="1" t="e">
        <f>S185/VLOOKUP(A185,'[21]geoMap (18)'!$A:$B,2,0)*VLOOKUP(A185,'[21]geoMap (18)'!$A:$C,3,0)</f>
        <v>#REF!</v>
      </c>
      <c r="U185" s="1" t="e">
        <f>T185/VLOOKUP(A185,'[22]geoMap (19)'!$A:$B,2,0)*VLOOKUP(A185,'[22]geoMap (19)'!$A:$C,3,0)</f>
        <v>#REF!</v>
      </c>
      <c r="V185" s="1" t="e">
        <f>U185/VLOOKUP(A185,'[23]geoMap (20)'!$A:$B,2,0)*VLOOKUP(A185,'[23]geoMap (20)'!$A:$C,3,0)</f>
        <v>#REF!</v>
      </c>
      <c r="W185" s="1" t="e">
        <f>V185/VLOOKUP(A185,'[24]geoMap (21)'!$A:$B,2,0)*VLOOKUP(A185,'[24]geoMap (21)'!$A:$C,3,0)</f>
        <v>#REF!</v>
      </c>
      <c r="X185" s="1" t="e">
        <f>W185/VLOOKUP(A185,'[25]geoMap (22)'!$A:$B,2,0)*VLOOKUP(A185,'[25]geoMap (22)'!$A:$C,3,0)</f>
        <v>#REF!</v>
      </c>
      <c r="Y185" s="1" t="e">
        <f>X185/VLOOKUP(A185,'[26]geoMap (23)'!$A:$B,2,0)*VLOOKUP(A185,'[26]geoMap (23)'!$A:$C,3,0)</f>
        <v>#REF!</v>
      </c>
      <c r="Z185" s="1" t="e">
        <f>Y185/VLOOKUP(A185,'[27]geoMap (24)'!$A:$B,2,0)*VLOOKUP(A185,'[27]geoMap (24)'!$A:$C,3,0)</f>
        <v>#REF!</v>
      </c>
      <c r="AA185" s="1" t="e">
        <f>Z185/VLOOKUP(A185,'[28]geoMap (25)'!$A:$B,2,0)*VLOOKUP(A185,'[28]geoMap (25)'!$A:$C,3,0)</f>
        <v>#REF!</v>
      </c>
      <c r="AB185" s="1" t="e">
        <f>AA185*VLOOKUP(A185,'[29]geoMap (26)'!$A:$B,2,0)*VLOOKUP(A185,'[29]geoMap (26)'!$A:$C,3,0)</f>
        <v>#REF!</v>
      </c>
      <c r="AC185" s="1" t="e">
        <f>AB185/VLOOKUP(A185,'[30]geoMap (27)'!$A:$B,2,0)*VLOOKUP(A185,'[30]geoMap (27)'!$A:$C,3,0)</f>
        <v>#REF!</v>
      </c>
      <c r="AD185" s="1" t="e">
        <f>AC185/VLOOKUP(A185,'[31]geoMap (28)'!$A:$B,2,0)*VLOOKUP(A185,'[31]geoMap (28)'!$A:$C,3,0)</f>
        <v>#REF!</v>
      </c>
      <c r="AE185" s="1" t="e">
        <f>AD185/VLOOKUP(A185,'[32]geoMap (29)'!$A:$B,2,0)*VLOOKUP(A185,'[32]geoMap (29)'!$A:$C,3,0)</f>
        <v>#REF!</v>
      </c>
      <c r="AF185" s="1" t="e">
        <f>AE185/VLOOKUP(A185,'[33]geoMap (30)'!$A:$B,2,0)*VLOOKUP(A185,'[33]geoMap (30)'!$A:$C,3,0)</f>
        <v>#REF!</v>
      </c>
      <c r="AG185" s="1" t="e">
        <f>AF185/VLOOKUP(A185,'[34]geoMap (31)'!$A:$B,2,0)*VLOOKUP(A185,'[34]geoMap (31)'!$A:$C,3,0)</f>
        <v>#REF!</v>
      </c>
      <c r="AH185" s="1" t="e">
        <f>AG185/VLOOKUP(A185,'[35]geoMap (32)'!$A:$B,2,0)*VLOOKUP(A185,'[35]geoMap (32)'!$A:$C,3,0)</f>
        <v>#REF!</v>
      </c>
      <c r="AI185" s="1" t="e">
        <f>AH185/VLOOKUP(A185,'[36]geoMap (33)'!$A:$B,2,0)*VLOOKUP(A185,'[36]geoMap (33)'!$A:$C,3,0)</f>
        <v>#REF!</v>
      </c>
      <c r="AJ185" s="1" t="e">
        <f>AI185/VLOOKUP(A185,'[37]geoMap (34)'!$A:$B,2,0)*VLOOKUP(A185,'[37]geoMap (34)'!$A:$C,3,0)</f>
        <v>#REF!</v>
      </c>
      <c r="AK185" s="1" t="e">
        <f>AJ185/VLOOKUP(A185,'[38]geoMap (35)'!$A:$B,2,0)*VLOOKUP(A185,'[38]geoMap (35)'!$A:$C,3,0)</f>
        <v>#REF!</v>
      </c>
      <c r="AL185" s="1" t="e">
        <f>AK185/VLOOKUP(A185,'[39]geoMap (36)'!$A:$B,2,0)*VLOOKUP(A185,'[39]geoMap (36)'!$A:$C,3,0)</f>
        <v>#REF!</v>
      </c>
      <c r="AM185" s="1" t="e">
        <f>AL185/VLOOKUP(A185,'[40]geoMap (37)'!$A:$B,2,0)*VLOOKUP(A185,'[40]geoMap (37)'!$A:$C,3,0)</f>
        <v>#REF!</v>
      </c>
      <c r="AN185" s="1" t="e">
        <f>AM185/VLOOKUP(A185,'[41]geoMap (38)'!$A:$B,2,0)*VLOOKUP(A185,'[41]geoMap (38)'!$A:$C,3,0)</f>
        <v>#REF!</v>
      </c>
      <c r="AO185" s="1" t="e">
        <f>AN185/VLOOKUP(A185,'[42]geoMap (39)'!$A:$B,2,0)*VLOOKUP(A185,'[42]geoMap (39)'!$A:$C,3,0)</f>
        <v>#REF!</v>
      </c>
      <c r="AP185" s="1" t="e">
        <f>AO185/VLOOKUP(A185,'[43]geoMap (40)'!$A:$B,2,0)*VLOOKUP(A185,'[43]geoMap (40)'!$A:$C,3,0)</f>
        <v>#REF!</v>
      </c>
      <c r="AQ185" s="1" t="e">
        <f>AP185/VLOOKUP(A185,'[44]geoMap (41)'!$A:$B,2,0)*VLOOKUP(A185,'[44]geoMap (41)'!$A:$C,3,0)</f>
        <v>#REF!</v>
      </c>
      <c r="AR185" s="1" t="e">
        <f>AQ185/VLOOKUP(A185,'[45]geoMap (42)'!$A:$B,2,0)*VLOOKUP(A185,'[45]geoMap (42)'!$A:$C,3,0)</f>
        <v>#REF!</v>
      </c>
      <c r="AS185" s="1" t="e">
        <f>AR185/VLOOKUP(A185,'[46]geoMap (43)'!$A:$B,2,0)*VLOOKUP(A185,'[46]geoMap (43)'!$A:$C,3,0)</f>
        <v>#REF!</v>
      </c>
      <c r="AT185" s="1" t="e">
        <f>AS185/VLOOKUP(A185,'[47]geoMap (44)'!$A:$B,2,0)*VLOOKUP(A185,'[47]geoMap (44)'!$A:$C,3,0)</f>
        <v>#REF!</v>
      </c>
      <c r="AU185" s="1" t="e">
        <f>AT185/VLOOKUP(A185,'[48]geoMap (45)'!$A:$B,2,0)*VLOOKUP(A185,'[48]geoMap (45)'!$A:$C,3,0)</f>
        <v>#REF!</v>
      </c>
      <c r="AV185" s="1" t="e">
        <f>AU185/VLOOKUP(A185,'[49]geoMap (46)'!$A:$B,2,0)*VLOOKUP(A185,'[49]geoMap (46)'!$A:$C,3,0)</f>
        <v>#REF!</v>
      </c>
      <c r="AW185" s="1" t="e">
        <f>AV185/VLOOKUP(A185,'[50]geoMap (47)'!$A:$B,2,0)*VLOOKUP(A185,'[50]geoMap (47)'!$A:$C,3,0)</f>
        <v>#REF!</v>
      </c>
      <c r="AX185" s="4" t="e">
        <f>AW185/VLOOKUP(A185,'[51]geoMap (48)'!$A:$B,2,0)*VLOOKUP(A185,'[51]geoMap (48)'!$A:$C,3,0)</f>
        <v>#REF!</v>
      </c>
      <c r="AY185" s="1" t="e">
        <f>AX185/VLOOKUP(A185,'[52]geoMap (49)'!$A:$B,2,0)*VLOOKUP(A185,'[52]geoMap (49)'!$A:$C,3,0)</f>
        <v>#REF!</v>
      </c>
      <c r="AZ185" s="4" t="e">
        <f>AY185/VLOOKUP(A185,'[53]geoMap (50)'!$A:$B,2,0)*VLOOKUP(A185,'[53]geoMap (50)'!$A:$C,3,0)</f>
        <v>#REF!</v>
      </c>
      <c r="BA185" s="1" t="e">
        <f>AZ185/VLOOKUP(A185,'[54]geoMap (51)'!$A:$B,2,0)*VLOOKUP(A185,'[54]geoMap (51)'!$A:$C,3,0)</f>
        <v>#REF!</v>
      </c>
      <c r="BB185" s="4" t="e">
        <f>BA185/VLOOKUP(A185,'[55]geoMap (52)'!$A:$B,2,0)*VLOOKUP(A185,'[55]geoMap (52)'!$A:$C,3,0)</f>
        <v>#REF!</v>
      </c>
      <c r="BC185" s="1" t="e">
        <f>BB185/VLOOKUP(A185,'[56]geoMap (53)'!$A:$B,2,0)*VLOOKUP(A185,'[56]geoMap (53)'!$A:$C,3,0)</f>
        <v>#REF!</v>
      </c>
      <c r="BD185" s="4" t="e">
        <f>BC185/VLOOKUP(A185,'[57]geoMap (54)'!$A:$B,2,0)*VLOOKUP(A185,'[57]geoMap (54)'!$A:$C,3,0)</f>
        <v>#REF!</v>
      </c>
      <c r="BE185" s="1" t="e">
        <f>BD185/VLOOKUP(A185,'[58]geoMap (55)'!$A:$B,2,0)*VLOOKUP(A185,'[58]geoMap (55)'!$A:$C,3,0)</f>
        <v>#REF!</v>
      </c>
      <c r="BF185" s="4" t="e">
        <f>BE185/VLOOKUP(A185,'[59]geoMap (56)'!$A:$B,2,0)*VLOOKUP(A185,'[59]geoMap (56)'!$A:$C,3,0)</f>
        <v>#REF!</v>
      </c>
      <c r="BG185" s="1" t="e">
        <f>BF185/VLOOKUP(A185,'[60]geoMap (57)'!$A:$B,2,0)*VLOOKUP(A185,'[60]geoMap (57)'!$A:$C,3,0)</f>
        <v>#REF!</v>
      </c>
      <c r="BH185" s="4" t="e">
        <f>BG185/VLOOKUP(A185,'[61]geoMap (58)'!$A:$B,2,0)*VLOOKUP(A185,'[61]geoMap (58)'!$A:$C,3,0)</f>
        <v>#REF!</v>
      </c>
      <c r="BI185" s="1" t="e">
        <f>BH185/VLOOKUP(A185,'[62]geoMap (59)'!$A:$B,2,0)*VLOOKUP(A185,'[62]geoMap (59)'!$A:$C,3,0)</f>
        <v>#REF!</v>
      </c>
      <c r="BJ185" s="4" t="e">
        <f>BI185/VLOOKUP(A185,'[63]geoMap (60)'!$A:$B,2,0)*VLOOKUP(A185,'[63]geoMap (60)'!$A:$C,3,0)</f>
        <v>#REF!</v>
      </c>
      <c r="BK185" s="1" t="e">
        <f>BJ185/VLOOKUP(A185,'[64]geoMap (61)'!$A:$B,2,0)*VLOOKUP(A185,'[64]geoMap (61)'!$A:$C,3,0)</f>
        <v>#REF!</v>
      </c>
      <c r="BL185" s="4" t="e">
        <f>BK185/VLOOKUP(A185,'[65]geoMap (62)'!$A:$B,2,0)*VLOOKUP(A185,'[65]geoMap (62)'!$A:$C,3,0)</f>
        <v>#REF!</v>
      </c>
      <c r="BM185" s="1" t="e">
        <f>BL185/VLOOKUP(A185,'[66]geoMap (63)'!$A:$B,2,0)*VLOOKUP(A185,'[66]geoMap (63)'!$A:$C,3,0)</f>
        <v>#REF!</v>
      </c>
      <c r="BN185" s="4" t="e">
        <f>BM185/VLOOKUP(A185,'[67]geoMap (64)'!$A:$B,2,0)*VLOOKUP(A185,'[67]geoMap (64)'!$A:$C,3,0)</f>
        <v>#REF!</v>
      </c>
      <c r="BO185" s="1" t="e">
        <f>BN185/VLOOKUP(A185,'[68]geoMap (65)'!$A:$B,2,0)*VLOOKUP(A185,'[68]geoMap (65)'!$A:$C,3,0)</f>
        <v>#REF!</v>
      </c>
      <c r="BP185" s="4" t="e">
        <f>BO185/VLOOKUP(A185,'[69]geoMap (66)'!$A:$B,2,0)*VLOOKUP(A185,'[69]geoMap (66)'!$A:$C,3,0)</f>
        <v>#REF!</v>
      </c>
    </row>
    <row r="186" spans="1:68" x14ac:dyDescent="0.2">
      <c r="A186" s="1" t="s">
        <v>187</v>
      </c>
      <c r="B186" s="1" t="e">
        <f>VLOOKUP(A186,[3]geoMap!$A:$B,2,0)*Notes!$C$6</f>
        <v>#REF!</v>
      </c>
      <c r="C186" s="1" t="e">
        <f>B186/VLOOKUP(A186,'[4]geoMap (1)'!$A:$B,2,0)*VLOOKUP(A186,'[4]geoMap (1)'!$A:$C,3,0)</f>
        <v>#REF!</v>
      </c>
      <c r="D186" s="1" t="e">
        <f>C186/VLOOKUP(A186,'[5]geoMap (2)'!$A:$B,2,0)*VLOOKUP(A186,'[5]geoMap (2)'!$A:$C,3,0)</f>
        <v>#REF!</v>
      </c>
      <c r="E186" s="1" t="e">
        <f>D186/VLOOKUP(A186,'[6]geoMap (3)'!$A:$B,2,0)*VLOOKUP(A186,'[6]geoMap (3)'!$A:$C,3,0)</f>
        <v>#REF!</v>
      </c>
      <c r="F186" s="1" t="e">
        <f>E186/VLOOKUP(A186,'[7]geoMap (4)'!$A:$B,2,0)*VLOOKUP(A186,'[7]geoMap (4)'!$A:$C,3,0)</f>
        <v>#REF!</v>
      </c>
      <c r="G186" s="1" t="e">
        <f>F186/VLOOKUP(A186,'[8]geoMap (5)'!$A:$B,2,0)*VLOOKUP(A186,'[8]geoMap (5)'!$A:$C,3,0)</f>
        <v>#REF!</v>
      </c>
      <c r="H186" s="1" t="e">
        <f>G186/VLOOKUP(A186,'[9]geoMap (6)'!$A:$B,2,0)*VLOOKUP(A186,'[9]geoMap (6)'!$A:$C,3,0)</f>
        <v>#REF!</v>
      </c>
      <c r="I186" s="1" t="e">
        <f>H186/VLOOKUP(A186,'[10]geoMap (7)'!$A:$B,2,0)*VLOOKUP(A186,'[10]geoMap (7)'!$A:$C,3,0)</f>
        <v>#REF!</v>
      </c>
      <c r="J186" s="1" t="e">
        <f>I186/VLOOKUP(A186,'[11]geoMap (8)'!$A:$B,2,0)*VLOOKUP(A186,'[11]geoMap (8)'!$A:$C,3,0)</f>
        <v>#REF!</v>
      </c>
      <c r="K186" s="1" t="e">
        <f>J186/VLOOKUP(A186,'[12]geoMap (9)'!$A:$B,2,0)*VLOOKUP(A186,'[12]geoMap (9)'!$A:$C,3,0)</f>
        <v>#REF!</v>
      </c>
      <c r="L186" s="1" t="e">
        <f>K186/VLOOKUP(A186,'[13]geoMap (10)'!$A:$B,2,0)*VLOOKUP(A186,'[13]geoMap (10)'!$A:$C,3,0)</f>
        <v>#REF!</v>
      </c>
      <c r="M186" s="1" t="e">
        <f>L186/VLOOKUP(A186,'[14]geoMap (11)'!$A:$B,2,0)*VLOOKUP(A186,'[14]geoMap (11)'!$A:$C,3,0)</f>
        <v>#REF!</v>
      </c>
      <c r="N186" s="1" t="e">
        <f>M186/VLOOKUP(A186,'[15]geoMap (12)'!$A:$B,2,0)*VLOOKUP(A186,'[15]geoMap (12)'!$A:$C,3,0)</f>
        <v>#REF!</v>
      </c>
      <c r="O186" s="1" t="e">
        <f>N186/VLOOKUP(A186,'[16]geoMap (13)'!$A:$B,2,0)*VLOOKUP(A186,'[16]geoMap (13)'!$A:$C,3,0)</f>
        <v>#REF!</v>
      </c>
      <c r="P186" s="1" t="e">
        <f>O186/VLOOKUP(A186,'[17]geoMap (14)'!$A:$B,2,0)*VLOOKUP(A186,'[17]geoMap (14)'!$A:$C,3,0)</f>
        <v>#REF!</v>
      </c>
      <c r="Q186" s="1" t="e">
        <f>P186/VLOOKUP(A186,'[18]geoMap (15)'!$A:$B,2,0)*VLOOKUP(A186,'[18]geoMap (15)'!$A:$C,3,0)</f>
        <v>#REF!</v>
      </c>
      <c r="R186" s="1" t="e">
        <f>Q186/VLOOKUP(A186,'[19]geoMap (16)'!$A:$B,2,0)*VLOOKUP(A186,'[19]geoMap (16)'!$A:$C,3,0)</f>
        <v>#REF!</v>
      </c>
      <c r="S186" s="1" t="e">
        <f>R186/VLOOKUP(A186,'[20]geoMap (17)'!$A:$B,2,0)*VLOOKUP(A186,'[20]geoMap (17)'!$A:$C,3,0)</f>
        <v>#REF!</v>
      </c>
      <c r="T186" s="1" t="e">
        <f>S186/VLOOKUP(A186,'[21]geoMap (18)'!$A:$B,2,0)*VLOOKUP(A186,'[21]geoMap (18)'!$A:$C,3,0)</f>
        <v>#REF!</v>
      </c>
      <c r="U186" s="1" t="e">
        <f>T186/VLOOKUP(A186,'[22]geoMap (19)'!$A:$B,2,0)*VLOOKUP(A186,'[22]geoMap (19)'!$A:$C,3,0)</f>
        <v>#REF!</v>
      </c>
      <c r="V186" s="1" t="e">
        <f>U186/VLOOKUP(A186,'[23]geoMap (20)'!$A:$B,2,0)*VLOOKUP(A186,'[23]geoMap (20)'!$A:$C,3,0)</f>
        <v>#REF!</v>
      </c>
      <c r="W186" s="1" t="e">
        <f>V186/VLOOKUP(A186,'[24]geoMap (21)'!$A:$B,2,0)*VLOOKUP(A186,'[24]geoMap (21)'!$A:$C,3,0)</f>
        <v>#REF!</v>
      </c>
      <c r="X186" s="1" t="e">
        <f>W186/VLOOKUP(A186,'[25]geoMap (22)'!$A:$B,2,0)*VLOOKUP(A186,'[25]geoMap (22)'!$A:$C,3,0)</f>
        <v>#REF!</v>
      </c>
      <c r="Y186" s="1" t="e">
        <f>X186/VLOOKUP(A186,'[26]geoMap (23)'!$A:$B,2,0)*VLOOKUP(A186,'[26]geoMap (23)'!$A:$C,3,0)</f>
        <v>#REF!</v>
      </c>
      <c r="Z186" s="1" t="e">
        <f>Y186/VLOOKUP(A186,'[27]geoMap (24)'!$A:$B,2,0)*VLOOKUP(A186,'[27]geoMap (24)'!$A:$C,3,0)</f>
        <v>#REF!</v>
      </c>
      <c r="AA186" s="1" t="e">
        <f>Z186/VLOOKUP(A186,'[28]geoMap (25)'!$A:$B,2,0)*VLOOKUP(A186,'[28]geoMap (25)'!$A:$C,3,0)</f>
        <v>#REF!</v>
      </c>
      <c r="AB186" s="1" t="e">
        <f>AA186*VLOOKUP(A186,'[29]geoMap (26)'!$A:$B,2,0)*VLOOKUP(A186,'[29]geoMap (26)'!$A:$C,3,0)</f>
        <v>#REF!</v>
      </c>
      <c r="AC186" s="1" t="e">
        <f>AB186/VLOOKUP(A186,'[30]geoMap (27)'!$A:$B,2,0)*VLOOKUP(A186,'[30]geoMap (27)'!$A:$C,3,0)</f>
        <v>#REF!</v>
      </c>
      <c r="AD186" s="1" t="e">
        <f>AC186/VLOOKUP(A186,'[31]geoMap (28)'!$A:$B,2,0)*VLOOKUP(A186,'[31]geoMap (28)'!$A:$C,3,0)</f>
        <v>#REF!</v>
      </c>
      <c r="AE186" s="1" t="e">
        <f>AD186/VLOOKUP(A186,'[32]geoMap (29)'!$A:$B,2,0)*VLOOKUP(A186,'[32]geoMap (29)'!$A:$C,3,0)</f>
        <v>#REF!</v>
      </c>
      <c r="AF186" s="1" t="e">
        <f>AE186/VLOOKUP(A186,'[33]geoMap (30)'!$A:$B,2,0)*VLOOKUP(A186,'[33]geoMap (30)'!$A:$C,3,0)</f>
        <v>#REF!</v>
      </c>
      <c r="AG186" s="1" t="e">
        <f>AF186/VLOOKUP(A186,'[34]geoMap (31)'!$A:$B,2,0)*VLOOKUP(A186,'[34]geoMap (31)'!$A:$C,3,0)</f>
        <v>#REF!</v>
      </c>
      <c r="AH186" s="1" t="e">
        <f>AG186/VLOOKUP(A186,'[35]geoMap (32)'!$A:$B,2,0)*VLOOKUP(A186,'[35]geoMap (32)'!$A:$C,3,0)</f>
        <v>#REF!</v>
      </c>
      <c r="AI186" s="1" t="e">
        <f>AH186/VLOOKUP(A186,'[36]geoMap (33)'!$A:$B,2,0)*VLOOKUP(A186,'[36]geoMap (33)'!$A:$C,3,0)</f>
        <v>#REF!</v>
      </c>
      <c r="AJ186" s="1" t="e">
        <f>AI186/VLOOKUP(A186,'[37]geoMap (34)'!$A:$B,2,0)*VLOOKUP(A186,'[37]geoMap (34)'!$A:$C,3,0)</f>
        <v>#REF!</v>
      </c>
      <c r="AK186" s="1" t="e">
        <f>AJ186/VLOOKUP(A186,'[38]geoMap (35)'!$A:$B,2,0)*VLOOKUP(A186,'[38]geoMap (35)'!$A:$C,3,0)</f>
        <v>#REF!</v>
      </c>
      <c r="AL186" s="1" t="e">
        <f>AK186/VLOOKUP(A186,'[39]geoMap (36)'!$A:$B,2,0)*VLOOKUP(A186,'[39]geoMap (36)'!$A:$C,3,0)</f>
        <v>#REF!</v>
      </c>
      <c r="AM186" s="1" t="e">
        <f>AL186/VLOOKUP(A186,'[40]geoMap (37)'!$A:$B,2,0)*VLOOKUP(A186,'[40]geoMap (37)'!$A:$C,3,0)</f>
        <v>#REF!</v>
      </c>
      <c r="AN186" s="1" t="e">
        <f>AM186/VLOOKUP(A186,'[41]geoMap (38)'!$A:$B,2,0)*VLOOKUP(A186,'[41]geoMap (38)'!$A:$C,3,0)</f>
        <v>#REF!</v>
      </c>
      <c r="AO186" s="1" t="e">
        <f>AN186/VLOOKUP(A186,'[42]geoMap (39)'!$A:$B,2,0)*VLOOKUP(A186,'[42]geoMap (39)'!$A:$C,3,0)</f>
        <v>#REF!</v>
      </c>
      <c r="AP186" s="1" t="e">
        <f>AO186/VLOOKUP(A186,'[43]geoMap (40)'!$A:$B,2,0)*VLOOKUP(A186,'[43]geoMap (40)'!$A:$C,3,0)</f>
        <v>#REF!</v>
      </c>
      <c r="AQ186" s="1" t="e">
        <f>AP186/VLOOKUP(A186,'[44]geoMap (41)'!$A:$B,2,0)*VLOOKUP(A186,'[44]geoMap (41)'!$A:$C,3,0)</f>
        <v>#REF!</v>
      </c>
      <c r="AR186" s="1" t="e">
        <f>AQ186/VLOOKUP(A186,'[45]geoMap (42)'!$A:$B,2,0)*VLOOKUP(A186,'[45]geoMap (42)'!$A:$C,3,0)</f>
        <v>#REF!</v>
      </c>
      <c r="AS186" s="1" t="e">
        <f>AR186/VLOOKUP(A186,'[46]geoMap (43)'!$A:$B,2,0)*VLOOKUP(A186,'[46]geoMap (43)'!$A:$C,3,0)</f>
        <v>#REF!</v>
      </c>
      <c r="AT186" s="1" t="e">
        <f>AS186/VLOOKUP(A186,'[47]geoMap (44)'!$A:$B,2,0)*VLOOKUP(A186,'[47]geoMap (44)'!$A:$C,3,0)</f>
        <v>#REF!</v>
      </c>
      <c r="AU186" s="1" t="e">
        <f>AT186/VLOOKUP(A186,'[48]geoMap (45)'!$A:$B,2,0)*VLOOKUP(A186,'[48]geoMap (45)'!$A:$C,3,0)</f>
        <v>#REF!</v>
      </c>
      <c r="AV186" s="1" t="e">
        <f>AU186/VLOOKUP(A186,'[49]geoMap (46)'!$A:$B,2,0)*VLOOKUP(A186,'[49]geoMap (46)'!$A:$C,3,0)</f>
        <v>#REF!</v>
      </c>
      <c r="AW186" s="1" t="e">
        <f>AV186/VLOOKUP(A186,'[50]geoMap (47)'!$A:$B,2,0)*VLOOKUP(A186,'[50]geoMap (47)'!$A:$C,3,0)</f>
        <v>#REF!</v>
      </c>
      <c r="AX186" s="4" t="e">
        <f>AW186/VLOOKUP(A186,'[51]geoMap (48)'!$A:$B,2,0)*VLOOKUP(A186,'[51]geoMap (48)'!$A:$C,3,0)</f>
        <v>#REF!</v>
      </c>
      <c r="AY186" s="1" t="e">
        <f>AX186/VLOOKUP(A186,'[52]geoMap (49)'!$A:$B,2,0)*VLOOKUP(A186,'[52]geoMap (49)'!$A:$C,3,0)</f>
        <v>#REF!</v>
      </c>
      <c r="AZ186" s="4" t="e">
        <f>AY186/VLOOKUP(A186,'[53]geoMap (50)'!$A:$B,2,0)*VLOOKUP(A186,'[53]geoMap (50)'!$A:$C,3,0)</f>
        <v>#REF!</v>
      </c>
      <c r="BA186" s="1" t="e">
        <f>AZ186/VLOOKUP(A186,'[54]geoMap (51)'!$A:$B,2,0)*VLOOKUP(A186,'[54]geoMap (51)'!$A:$C,3,0)</f>
        <v>#REF!</v>
      </c>
      <c r="BB186" s="4" t="e">
        <f>BA186/VLOOKUP(A186,'[55]geoMap (52)'!$A:$B,2,0)*VLOOKUP(A186,'[55]geoMap (52)'!$A:$C,3,0)</f>
        <v>#REF!</v>
      </c>
      <c r="BC186" s="1" t="e">
        <f>BB186/VLOOKUP(A186,'[56]geoMap (53)'!$A:$B,2,0)*VLOOKUP(A186,'[56]geoMap (53)'!$A:$C,3,0)</f>
        <v>#REF!</v>
      </c>
      <c r="BD186" s="4" t="e">
        <f>BC186/VLOOKUP(A186,'[57]geoMap (54)'!$A:$B,2,0)*VLOOKUP(A186,'[57]geoMap (54)'!$A:$C,3,0)</f>
        <v>#REF!</v>
      </c>
      <c r="BE186" s="1" t="e">
        <f>BD186/VLOOKUP(A186,'[58]geoMap (55)'!$A:$B,2,0)*VLOOKUP(A186,'[58]geoMap (55)'!$A:$C,3,0)</f>
        <v>#REF!</v>
      </c>
      <c r="BF186" s="4" t="e">
        <f>BE186/VLOOKUP(A186,'[59]geoMap (56)'!$A:$B,2,0)*VLOOKUP(A186,'[59]geoMap (56)'!$A:$C,3,0)</f>
        <v>#REF!</v>
      </c>
      <c r="BG186" s="1" t="e">
        <f>BF186/VLOOKUP(A186,'[60]geoMap (57)'!$A:$B,2,0)*VLOOKUP(A186,'[60]geoMap (57)'!$A:$C,3,0)</f>
        <v>#REF!</v>
      </c>
      <c r="BH186" s="4" t="e">
        <f>BG186/VLOOKUP(A186,'[61]geoMap (58)'!$A:$B,2,0)*VLOOKUP(A186,'[61]geoMap (58)'!$A:$C,3,0)</f>
        <v>#REF!</v>
      </c>
      <c r="BI186" s="1" t="e">
        <f>BH186/VLOOKUP(A186,'[62]geoMap (59)'!$A:$B,2,0)*VLOOKUP(A186,'[62]geoMap (59)'!$A:$C,3,0)</f>
        <v>#REF!</v>
      </c>
      <c r="BJ186" s="4" t="e">
        <f>BI186/VLOOKUP(A186,'[63]geoMap (60)'!$A:$B,2,0)*VLOOKUP(A186,'[63]geoMap (60)'!$A:$C,3,0)</f>
        <v>#REF!</v>
      </c>
      <c r="BK186" s="1" t="e">
        <f>BJ186/VLOOKUP(A186,'[64]geoMap (61)'!$A:$B,2,0)*VLOOKUP(A186,'[64]geoMap (61)'!$A:$C,3,0)</f>
        <v>#REF!</v>
      </c>
      <c r="BL186" s="4" t="e">
        <f>BK186/VLOOKUP(A186,'[65]geoMap (62)'!$A:$B,2,0)*VLOOKUP(A186,'[65]geoMap (62)'!$A:$C,3,0)</f>
        <v>#REF!</v>
      </c>
      <c r="BM186" s="1" t="e">
        <f>BL186/VLOOKUP(A186,'[66]geoMap (63)'!$A:$B,2,0)*VLOOKUP(A186,'[66]geoMap (63)'!$A:$C,3,0)</f>
        <v>#REF!</v>
      </c>
      <c r="BN186" s="4" t="e">
        <f>BM186/VLOOKUP(A186,'[67]geoMap (64)'!$A:$B,2,0)*VLOOKUP(A186,'[67]geoMap (64)'!$A:$C,3,0)</f>
        <v>#REF!</v>
      </c>
      <c r="BO186" s="1" t="e">
        <f>BN186/VLOOKUP(A186,'[68]geoMap (65)'!$A:$B,2,0)*VLOOKUP(A186,'[68]geoMap (65)'!$A:$C,3,0)</f>
        <v>#REF!</v>
      </c>
      <c r="BP186" s="4" t="e">
        <f>BO186/VLOOKUP(A186,'[69]geoMap (66)'!$A:$B,2,0)*VLOOKUP(A186,'[69]geoMap (66)'!$A:$C,3,0)</f>
        <v>#REF!</v>
      </c>
    </row>
    <row r="187" spans="1:68" x14ac:dyDescent="0.2">
      <c r="A187" s="1" t="s">
        <v>188</v>
      </c>
      <c r="B187" s="1" t="e">
        <f>VLOOKUP(A187,[3]geoMap!$A:$B,2,0)*Notes!$C$6</f>
        <v>#REF!</v>
      </c>
      <c r="C187" s="1" t="e">
        <f>B187/VLOOKUP(A187,'[4]geoMap (1)'!$A:$B,2,0)*VLOOKUP(A187,'[4]geoMap (1)'!$A:$C,3,0)</f>
        <v>#REF!</v>
      </c>
      <c r="D187" s="1" t="e">
        <f>C187/VLOOKUP(A187,'[5]geoMap (2)'!$A:$B,2,0)*VLOOKUP(A187,'[5]geoMap (2)'!$A:$C,3,0)</f>
        <v>#REF!</v>
      </c>
      <c r="E187" s="1" t="e">
        <f>D187/VLOOKUP(A187,'[6]geoMap (3)'!$A:$B,2,0)*VLOOKUP(A187,'[6]geoMap (3)'!$A:$C,3,0)</f>
        <v>#REF!</v>
      </c>
      <c r="F187" s="1" t="e">
        <f>E187/VLOOKUP(A187,'[7]geoMap (4)'!$A:$B,2,0)*VLOOKUP(A187,'[7]geoMap (4)'!$A:$C,3,0)</f>
        <v>#REF!</v>
      </c>
      <c r="G187" s="1" t="e">
        <f>F187/VLOOKUP(A187,'[8]geoMap (5)'!$A:$B,2,0)*VLOOKUP(A187,'[8]geoMap (5)'!$A:$C,3,0)</f>
        <v>#REF!</v>
      </c>
      <c r="H187" s="1" t="e">
        <f>G187/VLOOKUP(A187,'[9]geoMap (6)'!$A:$B,2,0)*VLOOKUP(A187,'[9]geoMap (6)'!$A:$C,3,0)</f>
        <v>#REF!</v>
      </c>
      <c r="I187" s="1" t="e">
        <f>H187/VLOOKUP(A187,'[10]geoMap (7)'!$A:$B,2,0)*VLOOKUP(A187,'[10]geoMap (7)'!$A:$C,3,0)</f>
        <v>#REF!</v>
      </c>
      <c r="J187" s="1" t="e">
        <f>I187/VLOOKUP(A187,'[11]geoMap (8)'!$A:$B,2,0)*VLOOKUP(A187,'[11]geoMap (8)'!$A:$C,3,0)</f>
        <v>#REF!</v>
      </c>
      <c r="K187" s="1" t="e">
        <f>J187/VLOOKUP(A187,'[12]geoMap (9)'!$A:$B,2,0)*VLOOKUP(A187,'[12]geoMap (9)'!$A:$C,3,0)</f>
        <v>#REF!</v>
      </c>
      <c r="L187" s="1" t="e">
        <f>K187/VLOOKUP(A187,'[13]geoMap (10)'!$A:$B,2,0)*VLOOKUP(A187,'[13]geoMap (10)'!$A:$C,3,0)</f>
        <v>#REF!</v>
      </c>
      <c r="M187" s="1" t="e">
        <f>L187/VLOOKUP(A187,'[14]geoMap (11)'!$A:$B,2,0)*VLOOKUP(A187,'[14]geoMap (11)'!$A:$C,3,0)</f>
        <v>#REF!</v>
      </c>
      <c r="N187" s="1" t="e">
        <f>M187/VLOOKUP(A187,'[15]geoMap (12)'!$A:$B,2,0)*VLOOKUP(A187,'[15]geoMap (12)'!$A:$C,3,0)</f>
        <v>#REF!</v>
      </c>
      <c r="O187" s="1" t="e">
        <f>N187/VLOOKUP(A187,'[16]geoMap (13)'!$A:$B,2,0)*VLOOKUP(A187,'[16]geoMap (13)'!$A:$C,3,0)</f>
        <v>#REF!</v>
      </c>
      <c r="P187" s="1" t="e">
        <f>O187/VLOOKUP(A187,'[17]geoMap (14)'!$A:$B,2,0)*VLOOKUP(A187,'[17]geoMap (14)'!$A:$C,3,0)</f>
        <v>#REF!</v>
      </c>
      <c r="Q187" s="1" t="e">
        <f>P187/VLOOKUP(A187,'[18]geoMap (15)'!$A:$B,2,0)*VLOOKUP(A187,'[18]geoMap (15)'!$A:$C,3,0)</f>
        <v>#REF!</v>
      </c>
      <c r="R187" s="1" t="e">
        <f>Q187/VLOOKUP(A187,'[19]geoMap (16)'!$A:$B,2,0)*VLOOKUP(A187,'[19]geoMap (16)'!$A:$C,3,0)</f>
        <v>#REF!</v>
      </c>
      <c r="S187" s="1" t="e">
        <f>R187/VLOOKUP(A187,'[20]geoMap (17)'!$A:$B,2,0)*VLOOKUP(A187,'[20]geoMap (17)'!$A:$C,3,0)</f>
        <v>#REF!</v>
      </c>
      <c r="T187" s="1" t="e">
        <f>S187/VLOOKUP(A187,'[21]geoMap (18)'!$A:$B,2,0)*VLOOKUP(A187,'[21]geoMap (18)'!$A:$C,3,0)</f>
        <v>#REF!</v>
      </c>
      <c r="U187" s="1" t="e">
        <f>T187/VLOOKUP(A187,'[22]geoMap (19)'!$A:$B,2,0)*VLOOKUP(A187,'[22]geoMap (19)'!$A:$C,3,0)</f>
        <v>#REF!</v>
      </c>
      <c r="V187" s="1" t="e">
        <f>U187/VLOOKUP(A187,'[23]geoMap (20)'!$A:$B,2,0)*VLOOKUP(A187,'[23]geoMap (20)'!$A:$C,3,0)</f>
        <v>#REF!</v>
      </c>
      <c r="W187" s="1" t="e">
        <f>V187/VLOOKUP(A187,'[24]geoMap (21)'!$A:$B,2,0)*VLOOKUP(A187,'[24]geoMap (21)'!$A:$C,3,0)</f>
        <v>#REF!</v>
      </c>
      <c r="X187" s="1" t="e">
        <f>W187/VLOOKUP(A187,'[25]geoMap (22)'!$A:$B,2,0)*VLOOKUP(A187,'[25]geoMap (22)'!$A:$C,3,0)</f>
        <v>#REF!</v>
      </c>
      <c r="Y187" s="1" t="e">
        <f>X187/VLOOKUP(A187,'[26]geoMap (23)'!$A:$B,2,0)*VLOOKUP(A187,'[26]geoMap (23)'!$A:$C,3,0)</f>
        <v>#REF!</v>
      </c>
      <c r="Z187" s="1" t="e">
        <f>Y187/VLOOKUP(A187,'[27]geoMap (24)'!$A:$B,2,0)*VLOOKUP(A187,'[27]geoMap (24)'!$A:$C,3,0)</f>
        <v>#REF!</v>
      </c>
      <c r="AA187" s="1" t="e">
        <f>Z187/VLOOKUP(A187,'[28]geoMap (25)'!$A:$B,2,0)*VLOOKUP(A187,'[28]geoMap (25)'!$A:$C,3,0)</f>
        <v>#REF!</v>
      </c>
      <c r="AB187" s="1" t="e">
        <f>AA187*VLOOKUP(A187,'[29]geoMap (26)'!$A:$B,2,0)*VLOOKUP(A187,'[29]geoMap (26)'!$A:$C,3,0)</f>
        <v>#REF!</v>
      </c>
      <c r="AC187" s="1" t="e">
        <f>AB187/VLOOKUP(A187,'[30]geoMap (27)'!$A:$B,2,0)*VLOOKUP(A187,'[30]geoMap (27)'!$A:$C,3,0)</f>
        <v>#REF!</v>
      </c>
      <c r="AD187" s="1" t="e">
        <f>AC187/VLOOKUP(A187,'[31]geoMap (28)'!$A:$B,2,0)*VLOOKUP(A187,'[31]geoMap (28)'!$A:$C,3,0)</f>
        <v>#REF!</v>
      </c>
      <c r="AE187" s="1" t="e">
        <f>AD187/VLOOKUP(A187,'[32]geoMap (29)'!$A:$B,2,0)*VLOOKUP(A187,'[32]geoMap (29)'!$A:$C,3,0)</f>
        <v>#REF!</v>
      </c>
      <c r="AF187" s="1" t="e">
        <f>AE187/VLOOKUP(A187,'[33]geoMap (30)'!$A:$B,2,0)*VLOOKUP(A187,'[33]geoMap (30)'!$A:$C,3,0)</f>
        <v>#REF!</v>
      </c>
      <c r="AG187" s="1" t="e">
        <f>AF187/VLOOKUP(A187,'[34]geoMap (31)'!$A:$B,2,0)*VLOOKUP(A187,'[34]geoMap (31)'!$A:$C,3,0)</f>
        <v>#REF!</v>
      </c>
      <c r="AH187" s="1" t="e">
        <f>AG187/VLOOKUP(A187,'[35]geoMap (32)'!$A:$B,2,0)*VLOOKUP(A187,'[35]geoMap (32)'!$A:$C,3,0)</f>
        <v>#REF!</v>
      </c>
      <c r="AI187" s="1" t="e">
        <f>AH187/VLOOKUP(A187,'[36]geoMap (33)'!$A:$B,2,0)*VLOOKUP(A187,'[36]geoMap (33)'!$A:$C,3,0)</f>
        <v>#REF!</v>
      </c>
      <c r="AJ187" s="1" t="e">
        <f>AI187/VLOOKUP(A187,'[37]geoMap (34)'!$A:$B,2,0)*VLOOKUP(A187,'[37]geoMap (34)'!$A:$C,3,0)</f>
        <v>#REF!</v>
      </c>
      <c r="AK187" s="1" t="e">
        <f>AJ187/VLOOKUP(A187,'[38]geoMap (35)'!$A:$B,2,0)*VLOOKUP(A187,'[38]geoMap (35)'!$A:$C,3,0)</f>
        <v>#REF!</v>
      </c>
      <c r="AL187" s="1" t="e">
        <f>AK187/VLOOKUP(A187,'[39]geoMap (36)'!$A:$B,2,0)*VLOOKUP(A187,'[39]geoMap (36)'!$A:$C,3,0)</f>
        <v>#REF!</v>
      </c>
      <c r="AM187" s="1" t="e">
        <f>AL187/VLOOKUP(A187,'[40]geoMap (37)'!$A:$B,2,0)*VLOOKUP(A187,'[40]geoMap (37)'!$A:$C,3,0)</f>
        <v>#REF!</v>
      </c>
      <c r="AN187" s="1" t="e">
        <f>AM187/VLOOKUP(A187,'[41]geoMap (38)'!$A:$B,2,0)*VLOOKUP(A187,'[41]geoMap (38)'!$A:$C,3,0)</f>
        <v>#REF!</v>
      </c>
      <c r="AO187" s="1" t="e">
        <f>AN187/VLOOKUP(A187,'[42]geoMap (39)'!$A:$B,2,0)*VLOOKUP(A187,'[42]geoMap (39)'!$A:$C,3,0)</f>
        <v>#REF!</v>
      </c>
      <c r="AP187" s="1" t="e">
        <f>AO187/VLOOKUP(A187,'[43]geoMap (40)'!$A:$B,2,0)*VLOOKUP(A187,'[43]geoMap (40)'!$A:$C,3,0)</f>
        <v>#REF!</v>
      </c>
      <c r="AQ187" s="1" t="e">
        <f>AP187/VLOOKUP(A187,'[44]geoMap (41)'!$A:$B,2,0)*VLOOKUP(A187,'[44]geoMap (41)'!$A:$C,3,0)</f>
        <v>#REF!</v>
      </c>
      <c r="AR187" s="1" t="e">
        <f>AQ187/VLOOKUP(A187,'[45]geoMap (42)'!$A:$B,2,0)*VLOOKUP(A187,'[45]geoMap (42)'!$A:$C,3,0)</f>
        <v>#REF!</v>
      </c>
      <c r="AS187" s="1" t="e">
        <f>AR187/VLOOKUP(A187,'[46]geoMap (43)'!$A:$B,2,0)*VLOOKUP(A187,'[46]geoMap (43)'!$A:$C,3,0)</f>
        <v>#REF!</v>
      </c>
      <c r="AT187" s="1" t="e">
        <f>AS187/VLOOKUP(A187,'[47]geoMap (44)'!$A:$B,2,0)*VLOOKUP(A187,'[47]geoMap (44)'!$A:$C,3,0)</f>
        <v>#REF!</v>
      </c>
      <c r="AU187" s="1" t="e">
        <f>AT187/VLOOKUP(A187,'[48]geoMap (45)'!$A:$B,2,0)*VLOOKUP(A187,'[48]geoMap (45)'!$A:$C,3,0)</f>
        <v>#REF!</v>
      </c>
      <c r="AV187" s="1" t="e">
        <f>AU187/VLOOKUP(A187,'[49]geoMap (46)'!$A:$B,2,0)*VLOOKUP(A187,'[49]geoMap (46)'!$A:$C,3,0)</f>
        <v>#REF!</v>
      </c>
      <c r="AW187" s="1" t="e">
        <f>AV187/VLOOKUP(A187,'[50]geoMap (47)'!$A:$B,2,0)*VLOOKUP(A187,'[50]geoMap (47)'!$A:$C,3,0)</f>
        <v>#REF!</v>
      </c>
      <c r="AX187" s="4" t="e">
        <f>AW187/VLOOKUP(A187,'[51]geoMap (48)'!$A:$B,2,0)*VLOOKUP(A187,'[51]geoMap (48)'!$A:$C,3,0)</f>
        <v>#REF!</v>
      </c>
      <c r="AY187" s="1" t="e">
        <f>AX187/VLOOKUP(A187,'[52]geoMap (49)'!$A:$B,2,0)*VLOOKUP(A187,'[52]geoMap (49)'!$A:$C,3,0)</f>
        <v>#REF!</v>
      </c>
      <c r="AZ187" s="4" t="e">
        <f>AY187/VLOOKUP(A187,'[53]geoMap (50)'!$A:$B,2,0)*VLOOKUP(A187,'[53]geoMap (50)'!$A:$C,3,0)</f>
        <v>#REF!</v>
      </c>
      <c r="BA187" s="1" t="e">
        <f>AZ187/VLOOKUP(A187,'[54]geoMap (51)'!$A:$B,2,0)*VLOOKUP(A187,'[54]geoMap (51)'!$A:$C,3,0)</f>
        <v>#REF!</v>
      </c>
      <c r="BB187" s="4" t="e">
        <f>BA187/VLOOKUP(A187,'[55]geoMap (52)'!$A:$B,2,0)*VLOOKUP(A187,'[55]geoMap (52)'!$A:$C,3,0)</f>
        <v>#REF!</v>
      </c>
      <c r="BC187" s="1" t="e">
        <f>BB187/VLOOKUP(A187,'[56]geoMap (53)'!$A:$B,2,0)*VLOOKUP(A187,'[56]geoMap (53)'!$A:$C,3,0)</f>
        <v>#REF!</v>
      </c>
      <c r="BD187" s="4" t="e">
        <f>BC187/VLOOKUP(A187,'[57]geoMap (54)'!$A:$B,2,0)*VLOOKUP(A187,'[57]geoMap (54)'!$A:$C,3,0)</f>
        <v>#REF!</v>
      </c>
      <c r="BE187" s="1" t="e">
        <f>BD187/VLOOKUP(A187,'[58]geoMap (55)'!$A:$B,2,0)*VLOOKUP(A187,'[58]geoMap (55)'!$A:$C,3,0)</f>
        <v>#REF!</v>
      </c>
      <c r="BF187" s="4" t="e">
        <f>BE187/VLOOKUP(A187,'[59]geoMap (56)'!$A:$B,2,0)*VLOOKUP(A187,'[59]geoMap (56)'!$A:$C,3,0)</f>
        <v>#REF!</v>
      </c>
      <c r="BG187" s="1" t="e">
        <f>BF187/VLOOKUP(A187,'[60]geoMap (57)'!$A:$B,2,0)*VLOOKUP(A187,'[60]geoMap (57)'!$A:$C,3,0)</f>
        <v>#REF!</v>
      </c>
      <c r="BH187" s="4" t="e">
        <f>BG187/VLOOKUP(A187,'[61]geoMap (58)'!$A:$B,2,0)*VLOOKUP(A187,'[61]geoMap (58)'!$A:$C,3,0)</f>
        <v>#REF!</v>
      </c>
      <c r="BI187" s="1" t="e">
        <f>BH187/VLOOKUP(A187,'[62]geoMap (59)'!$A:$B,2,0)*VLOOKUP(A187,'[62]geoMap (59)'!$A:$C,3,0)</f>
        <v>#REF!</v>
      </c>
      <c r="BJ187" s="4" t="e">
        <f>BI187/VLOOKUP(A187,'[63]geoMap (60)'!$A:$B,2,0)*VLOOKUP(A187,'[63]geoMap (60)'!$A:$C,3,0)</f>
        <v>#REF!</v>
      </c>
      <c r="BK187" s="1" t="e">
        <f>BJ187/VLOOKUP(A187,'[64]geoMap (61)'!$A:$B,2,0)*VLOOKUP(A187,'[64]geoMap (61)'!$A:$C,3,0)</f>
        <v>#REF!</v>
      </c>
      <c r="BL187" s="4" t="e">
        <f>BK187/VLOOKUP(A187,'[65]geoMap (62)'!$A:$B,2,0)*VLOOKUP(A187,'[65]geoMap (62)'!$A:$C,3,0)</f>
        <v>#REF!</v>
      </c>
      <c r="BM187" s="1" t="e">
        <f>BL187/VLOOKUP(A187,'[66]geoMap (63)'!$A:$B,2,0)*VLOOKUP(A187,'[66]geoMap (63)'!$A:$C,3,0)</f>
        <v>#REF!</v>
      </c>
      <c r="BN187" s="4" t="e">
        <f>BM187/VLOOKUP(A187,'[67]geoMap (64)'!$A:$B,2,0)*VLOOKUP(A187,'[67]geoMap (64)'!$A:$C,3,0)</f>
        <v>#REF!</v>
      </c>
      <c r="BO187" s="1" t="e">
        <f>BN187/VLOOKUP(A187,'[68]geoMap (65)'!$A:$B,2,0)*VLOOKUP(A187,'[68]geoMap (65)'!$A:$C,3,0)</f>
        <v>#REF!</v>
      </c>
      <c r="BP187" s="4" t="e">
        <f>BO187/VLOOKUP(A187,'[69]geoMap (66)'!$A:$B,2,0)*VLOOKUP(A187,'[69]geoMap (66)'!$A:$C,3,0)</f>
        <v>#REF!</v>
      </c>
    </row>
    <row r="188" spans="1:68" x14ac:dyDescent="0.2">
      <c r="A188" s="1" t="s">
        <v>190</v>
      </c>
      <c r="B188" s="1" t="e">
        <f>VLOOKUP(A188,[3]geoMap!$A:$B,2,0)*Notes!$C$6</f>
        <v>#REF!</v>
      </c>
      <c r="C188" s="1" t="e">
        <f>B188/VLOOKUP(A188,'[4]geoMap (1)'!$A:$B,2,0)*VLOOKUP(A188,'[4]geoMap (1)'!$A:$C,3,0)</f>
        <v>#REF!</v>
      </c>
      <c r="D188" s="1" t="e">
        <f>C188/VLOOKUP(A188,'[5]geoMap (2)'!$A:$B,2,0)*VLOOKUP(A188,'[5]geoMap (2)'!$A:$C,3,0)</f>
        <v>#REF!</v>
      </c>
      <c r="E188" s="1" t="e">
        <f>D188/VLOOKUP(A188,'[6]geoMap (3)'!$A:$B,2,0)*VLOOKUP(A188,'[6]geoMap (3)'!$A:$C,3,0)</f>
        <v>#REF!</v>
      </c>
      <c r="F188" s="1" t="e">
        <f>E188/VLOOKUP(A188,'[7]geoMap (4)'!$A:$B,2,0)*VLOOKUP(A188,'[7]geoMap (4)'!$A:$C,3,0)</f>
        <v>#REF!</v>
      </c>
      <c r="G188" s="1" t="e">
        <f>F188/VLOOKUP(A188,'[8]geoMap (5)'!$A:$B,2,0)*VLOOKUP(A188,'[8]geoMap (5)'!$A:$C,3,0)</f>
        <v>#REF!</v>
      </c>
      <c r="H188" s="1" t="e">
        <f>G188/VLOOKUP(A188,'[9]geoMap (6)'!$A:$B,2,0)*VLOOKUP(A188,'[9]geoMap (6)'!$A:$C,3,0)</f>
        <v>#REF!</v>
      </c>
      <c r="I188" s="1" t="e">
        <f>H188/VLOOKUP(A188,'[10]geoMap (7)'!$A:$B,2,0)*VLOOKUP(A188,'[10]geoMap (7)'!$A:$C,3,0)</f>
        <v>#REF!</v>
      </c>
      <c r="J188" s="1" t="e">
        <f>I188/VLOOKUP(A188,'[11]geoMap (8)'!$A:$B,2,0)*VLOOKUP(A188,'[11]geoMap (8)'!$A:$C,3,0)</f>
        <v>#REF!</v>
      </c>
      <c r="K188" s="1" t="e">
        <f>J188/VLOOKUP(A188,'[12]geoMap (9)'!$A:$B,2,0)*VLOOKUP(A188,'[12]geoMap (9)'!$A:$C,3,0)</f>
        <v>#REF!</v>
      </c>
      <c r="L188" s="1" t="e">
        <f>K188/VLOOKUP(A188,'[13]geoMap (10)'!$A:$B,2,0)*VLOOKUP(A188,'[13]geoMap (10)'!$A:$C,3,0)</f>
        <v>#REF!</v>
      </c>
      <c r="M188" s="1" t="e">
        <f>L188/VLOOKUP(A188,'[14]geoMap (11)'!$A:$B,2,0)*VLOOKUP(A188,'[14]geoMap (11)'!$A:$C,3,0)</f>
        <v>#REF!</v>
      </c>
      <c r="N188" s="1" t="e">
        <f>M188/VLOOKUP(A188,'[15]geoMap (12)'!$A:$B,2,0)*VLOOKUP(A188,'[15]geoMap (12)'!$A:$C,3,0)</f>
        <v>#REF!</v>
      </c>
      <c r="O188" s="1" t="e">
        <f>N188/VLOOKUP(A188,'[16]geoMap (13)'!$A:$B,2,0)*VLOOKUP(A188,'[16]geoMap (13)'!$A:$C,3,0)</f>
        <v>#REF!</v>
      </c>
      <c r="P188" s="1" t="e">
        <f>O188/VLOOKUP(A188,'[17]geoMap (14)'!$A:$B,2,0)*VLOOKUP(A188,'[17]geoMap (14)'!$A:$C,3,0)</f>
        <v>#REF!</v>
      </c>
      <c r="Q188" s="1" t="e">
        <f>P188/VLOOKUP(A188,'[18]geoMap (15)'!$A:$B,2,0)*VLOOKUP(A188,'[18]geoMap (15)'!$A:$C,3,0)</f>
        <v>#REF!</v>
      </c>
      <c r="R188" s="1" t="e">
        <f>Q188/VLOOKUP(A188,'[19]geoMap (16)'!$A:$B,2,0)*VLOOKUP(A188,'[19]geoMap (16)'!$A:$C,3,0)</f>
        <v>#REF!</v>
      </c>
      <c r="S188" s="1" t="e">
        <f>R188/VLOOKUP(A188,'[20]geoMap (17)'!$A:$B,2,0)*VLOOKUP(A188,'[20]geoMap (17)'!$A:$C,3,0)</f>
        <v>#REF!</v>
      </c>
      <c r="T188" s="1" t="e">
        <f>S188/VLOOKUP(A188,'[21]geoMap (18)'!$A:$B,2,0)*VLOOKUP(A188,'[21]geoMap (18)'!$A:$C,3,0)</f>
        <v>#REF!</v>
      </c>
      <c r="U188" s="1" t="e">
        <f>T188/VLOOKUP(A188,'[22]geoMap (19)'!$A:$B,2,0)*VLOOKUP(A188,'[22]geoMap (19)'!$A:$C,3,0)</f>
        <v>#REF!</v>
      </c>
      <c r="V188" s="1" t="e">
        <f>U188/VLOOKUP(A188,'[23]geoMap (20)'!$A:$B,2,0)*VLOOKUP(A188,'[23]geoMap (20)'!$A:$C,3,0)</f>
        <v>#REF!</v>
      </c>
      <c r="W188" s="1" t="e">
        <f>V188/VLOOKUP(A188,'[24]geoMap (21)'!$A:$B,2,0)*VLOOKUP(A188,'[24]geoMap (21)'!$A:$C,3,0)</f>
        <v>#REF!</v>
      </c>
      <c r="X188" s="1" t="e">
        <f>W188/VLOOKUP(A188,'[25]geoMap (22)'!$A:$B,2,0)*VLOOKUP(A188,'[25]geoMap (22)'!$A:$C,3,0)</f>
        <v>#REF!</v>
      </c>
      <c r="Y188" s="1" t="e">
        <f>X188/VLOOKUP(A188,'[26]geoMap (23)'!$A:$B,2,0)*VLOOKUP(A188,'[26]geoMap (23)'!$A:$C,3,0)</f>
        <v>#REF!</v>
      </c>
      <c r="Z188" s="1" t="e">
        <f>Y188/VLOOKUP(A188,'[27]geoMap (24)'!$A:$B,2,0)*VLOOKUP(A188,'[27]geoMap (24)'!$A:$C,3,0)</f>
        <v>#REF!</v>
      </c>
      <c r="AA188" s="1" t="e">
        <f>Z188/VLOOKUP(A188,'[28]geoMap (25)'!$A:$B,2,0)*VLOOKUP(A188,'[28]geoMap (25)'!$A:$C,3,0)</f>
        <v>#REF!</v>
      </c>
      <c r="AB188" s="1" t="e">
        <f>AA188*VLOOKUP(A188,'[29]geoMap (26)'!$A:$B,2,0)*VLOOKUP(A188,'[29]geoMap (26)'!$A:$C,3,0)</f>
        <v>#REF!</v>
      </c>
      <c r="AC188" s="1" t="e">
        <f>AB188/VLOOKUP(A188,'[30]geoMap (27)'!$A:$B,2,0)*VLOOKUP(A188,'[30]geoMap (27)'!$A:$C,3,0)</f>
        <v>#REF!</v>
      </c>
      <c r="AD188" s="1" t="e">
        <f>AC188/VLOOKUP(A188,'[31]geoMap (28)'!$A:$B,2,0)*VLOOKUP(A188,'[31]geoMap (28)'!$A:$C,3,0)</f>
        <v>#REF!</v>
      </c>
      <c r="AE188" s="1" t="e">
        <f>AD188/VLOOKUP(A188,'[32]geoMap (29)'!$A:$B,2,0)*VLOOKUP(A188,'[32]geoMap (29)'!$A:$C,3,0)</f>
        <v>#REF!</v>
      </c>
      <c r="AF188" s="1" t="e">
        <f>AE188/VLOOKUP(A188,'[33]geoMap (30)'!$A:$B,2,0)*VLOOKUP(A188,'[33]geoMap (30)'!$A:$C,3,0)</f>
        <v>#REF!</v>
      </c>
      <c r="AG188" s="1" t="e">
        <f>AF188/VLOOKUP(A188,'[34]geoMap (31)'!$A:$B,2,0)*VLOOKUP(A188,'[34]geoMap (31)'!$A:$C,3,0)</f>
        <v>#REF!</v>
      </c>
      <c r="AH188" s="1" t="e">
        <f>AG188/VLOOKUP(A188,'[35]geoMap (32)'!$A:$B,2,0)*VLOOKUP(A188,'[35]geoMap (32)'!$A:$C,3,0)</f>
        <v>#REF!</v>
      </c>
      <c r="AI188" s="1" t="e">
        <f>AH188/VLOOKUP(A188,'[36]geoMap (33)'!$A:$B,2,0)*VLOOKUP(A188,'[36]geoMap (33)'!$A:$C,3,0)</f>
        <v>#REF!</v>
      </c>
      <c r="AJ188" s="1" t="e">
        <f>AI188/VLOOKUP(A188,'[37]geoMap (34)'!$A:$B,2,0)*VLOOKUP(A188,'[37]geoMap (34)'!$A:$C,3,0)</f>
        <v>#REF!</v>
      </c>
      <c r="AK188" s="1" t="e">
        <f>AJ188/VLOOKUP(A188,'[38]geoMap (35)'!$A:$B,2,0)*VLOOKUP(A188,'[38]geoMap (35)'!$A:$C,3,0)</f>
        <v>#REF!</v>
      </c>
      <c r="AL188" s="1" t="e">
        <f>AK188/VLOOKUP(A188,'[39]geoMap (36)'!$A:$B,2,0)*VLOOKUP(A188,'[39]geoMap (36)'!$A:$C,3,0)</f>
        <v>#REF!</v>
      </c>
      <c r="AM188" s="1" t="e">
        <f>AL188/VLOOKUP(A188,'[40]geoMap (37)'!$A:$B,2,0)*VLOOKUP(A188,'[40]geoMap (37)'!$A:$C,3,0)</f>
        <v>#REF!</v>
      </c>
      <c r="AN188" s="1" t="e">
        <f>AM188/VLOOKUP(A188,'[41]geoMap (38)'!$A:$B,2,0)*VLOOKUP(A188,'[41]geoMap (38)'!$A:$C,3,0)</f>
        <v>#REF!</v>
      </c>
      <c r="AO188" s="1" t="e">
        <f>AN188/VLOOKUP(A188,'[42]geoMap (39)'!$A:$B,2,0)*VLOOKUP(A188,'[42]geoMap (39)'!$A:$C,3,0)</f>
        <v>#REF!</v>
      </c>
      <c r="AP188" s="1" t="e">
        <f>AO188/VLOOKUP(A188,'[43]geoMap (40)'!$A:$B,2,0)*VLOOKUP(A188,'[43]geoMap (40)'!$A:$C,3,0)</f>
        <v>#REF!</v>
      </c>
      <c r="AQ188" s="1" t="e">
        <f>AP188/VLOOKUP(A188,'[44]geoMap (41)'!$A:$B,2,0)*VLOOKUP(A188,'[44]geoMap (41)'!$A:$C,3,0)</f>
        <v>#REF!</v>
      </c>
      <c r="AR188" s="1" t="e">
        <f>AQ188/VLOOKUP(A188,'[45]geoMap (42)'!$A:$B,2,0)*VLOOKUP(A188,'[45]geoMap (42)'!$A:$C,3,0)</f>
        <v>#REF!</v>
      </c>
      <c r="AS188" s="1" t="e">
        <f>AR188/VLOOKUP(A188,'[46]geoMap (43)'!$A:$B,2,0)*VLOOKUP(A188,'[46]geoMap (43)'!$A:$C,3,0)</f>
        <v>#REF!</v>
      </c>
      <c r="AT188" s="1" t="e">
        <f>AS188/VLOOKUP(A188,'[47]geoMap (44)'!$A:$B,2,0)*VLOOKUP(A188,'[47]geoMap (44)'!$A:$C,3,0)</f>
        <v>#REF!</v>
      </c>
      <c r="AU188" s="1" t="e">
        <f>AT188/VLOOKUP(A188,'[48]geoMap (45)'!$A:$B,2,0)*VLOOKUP(A188,'[48]geoMap (45)'!$A:$C,3,0)</f>
        <v>#REF!</v>
      </c>
      <c r="AV188" s="1" t="e">
        <f>AU188/VLOOKUP(A188,'[49]geoMap (46)'!$A:$B,2,0)*VLOOKUP(A188,'[49]geoMap (46)'!$A:$C,3,0)</f>
        <v>#REF!</v>
      </c>
      <c r="AW188" s="1" t="e">
        <f>AV188/VLOOKUP(A188,'[50]geoMap (47)'!$A:$B,2,0)*VLOOKUP(A188,'[50]geoMap (47)'!$A:$C,3,0)</f>
        <v>#REF!</v>
      </c>
      <c r="AX188" s="4" t="e">
        <f>AW188/VLOOKUP(A188,'[51]geoMap (48)'!$A:$B,2,0)*VLOOKUP(A188,'[51]geoMap (48)'!$A:$C,3,0)</f>
        <v>#REF!</v>
      </c>
      <c r="AY188" s="1" t="e">
        <f>AX188/VLOOKUP(A188,'[52]geoMap (49)'!$A:$B,2,0)*VLOOKUP(A188,'[52]geoMap (49)'!$A:$C,3,0)</f>
        <v>#REF!</v>
      </c>
      <c r="AZ188" s="4" t="e">
        <f>AY188/VLOOKUP(A188,'[53]geoMap (50)'!$A:$B,2,0)*VLOOKUP(A188,'[53]geoMap (50)'!$A:$C,3,0)</f>
        <v>#REF!</v>
      </c>
      <c r="BA188" s="1" t="e">
        <f>AZ188/VLOOKUP(A188,'[54]geoMap (51)'!$A:$B,2,0)*VLOOKUP(A188,'[54]geoMap (51)'!$A:$C,3,0)</f>
        <v>#REF!</v>
      </c>
      <c r="BB188" s="4" t="e">
        <f>BA188/VLOOKUP(A188,'[55]geoMap (52)'!$A:$B,2,0)*VLOOKUP(A188,'[55]geoMap (52)'!$A:$C,3,0)</f>
        <v>#REF!</v>
      </c>
      <c r="BC188" s="1" t="e">
        <f>BB188/VLOOKUP(A188,'[56]geoMap (53)'!$A:$B,2,0)*VLOOKUP(A188,'[56]geoMap (53)'!$A:$C,3,0)</f>
        <v>#REF!</v>
      </c>
      <c r="BD188" s="4" t="e">
        <f>BC188/VLOOKUP(A188,'[57]geoMap (54)'!$A:$B,2,0)*VLOOKUP(A188,'[57]geoMap (54)'!$A:$C,3,0)</f>
        <v>#REF!</v>
      </c>
      <c r="BE188" s="1" t="e">
        <f>BD188/VLOOKUP(A188,'[58]geoMap (55)'!$A:$B,2,0)*VLOOKUP(A188,'[58]geoMap (55)'!$A:$C,3,0)</f>
        <v>#REF!</v>
      </c>
      <c r="BF188" s="4" t="e">
        <f>BE188/VLOOKUP(A188,'[59]geoMap (56)'!$A:$B,2,0)*VLOOKUP(A188,'[59]geoMap (56)'!$A:$C,3,0)</f>
        <v>#REF!</v>
      </c>
      <c r="BG188" s="1" t="e">
        <f>BF188/VLOOKUP(A188,'[60]geoMap (57)'!$A:$B,2,0)*VLOOKUP(A188,'[60]geoMap (57)'!$A:$C,3,0)</f>
        <v>#REF!</v>
      </c>
      <c r="BH188" s="4" t="e">
        <f>BG188/VLOOKUP(A188,'[61]geoMap (58)'!$A:$B,2,0)*VLOOKUP(A188,'[61]geoMap (58)'!$A:$C,3,0)</f>
        <v>#REF!</v>
      </c>
      <c r="BI188" s="1" t="e">
        <f>BH188/VLOOKUP(A188,'[62]geoMap (59)'!$A:$B,2,0)*VLOOKUP(A188,'[62]geoMap (59)'!$A:$C,3,0)</f>
        <v>#REF!</v>
      </c>
      <c r="BJ188" s="4" t="e">
        <f>BI188/VLOOKUP(A188,'[63]geoMap (60)'!$A:$B,2,0)*VLOOKUP(A188,'[63]geoMap (60)'!$A:$C,3,0)</f>
        <v>#REF!</v>
      </c>
      <c r="BK188" s="1" t="e">
        <f>BJ188/VLOOKUP(A188,'[64]geoMap (61)'!$A:$B,2,0)*VLOOKUP(A188,'[64]geoMap (61)'!$A:$C,3,0)</f>
        <v>#REF!</v>
      </c>
      <c r="BL188" s="4" t="e">
        <f>BK188/VLOOKUP(A188,'[65]geoMap (62)'!$A:$B,2,0)*VLOOKUP(A188,'[65]geoMap (62)'!$A:$C,3,0)</f>
        <v>#REF!</v>
      </c>
      <c r="BM188" s="1" t="e">
        <f>BL188/VLOOKUP(A188,'[66]geoMap (63)'!$A:$B,2,0)*VLOOKUP(A188,'[66]geoMap (63)'!$A:$C,3,0)</f>
        <v>#REF!</v>
      </c>
      <c r="BN188" s="4" t="e">
        <f>BM188/VLOOKUP(A188,'[67]geoMap (64)'!$A:$B,2,0)*VLOOKUP(A188,'[67]geoMap (64)'!$A:$C,3,0)</f>
        <v>#REF!</v>
      </c>
      <c r="BO188" s="1" t="e">
        <f>BN188/VLOOKUP(A188,'[68]geoMap (65)'!$A:$B,2,0)*VLOOKUP(A188,'[68]geoMap (65)'!$A:$C,3,0)</f>
        <v>#REF!</v>
      </c>
      <c r="BP188" s="4" t="e">
        <f>BO188/VLOOKUP(A188,'[69]geoMap (66)'!$A:$B,2,0)*VLOOKUP(A188,'[69]geoMap (66)'!$A:$C,3,0)</f>
        <v>#REF!</v>
      </c>
    </row>
    <row r="189" spans="1:68" x14ac:dyDescent="0.2">
      <c r="A189" s="1" t="s">
        <v>191</v>
      </c>
      <c r="B189" s="1" t="e">
        <f>VLOOKUP(A189,[3]geoMap!$A:$B,2,0)*Notes!$C$6</f>
        <v>#REF!</v>
      </c>
      <c r="C189" s="1" t="e">
        <f>B189/VLOOKUP(A189,'[4]geoMap (1)'!$A:$B,2,0)*VLOOKUP(A189,'[4]geoMap (1)'!$A:$C,3,0)</f>
        <v>#REF!</v>
      </c>
      <c r="D189" s="1" t="e">
        <f>C189/VLOOKUP(A189,'[5]geoMap (2)'!$A:$B,2,0)*VLOOKUP(A189,'[5]geoMap (2)'!$A:$C,3,0)</f>
        <v>#REF!</v>
      </c>
      <c r="E189" s="1" t="e">
        <f>D189/VLOOKUP(A189,'[6]geoMap (3)'!$A:$B,2,0)*VLOOKUP(A189,'[6]geoMap (3)'!$A:$C,3,0)</f>
        <v>#REF!</v>
      </c>
      <c r="F189" s="1" t="e">
        <f>E189/VLOOKUP(A189,'[7]geoMap (4)'!$A:$B,2,0)*VLOOKUP(A189,'[7]geoMap (4)'!$A:$C,3,0)</f>
        <v>#REF!</v>
      </c>
      <c r="G189" s="1" t="e">
        <f>F189/VLOOKUP(A189,'[8]geoMap (5)'!$A:$B,2,0)*VLOOKUP(A189,'[8]geoMap (5)'!$A:$C,3,0)</f>
        <v>#REF!</v>
      </c>
      <c r="H189" s="1" t="e">
        <f>G189/VLOOKUP(A189,'[9]geoMap (6)'!$A:$B,2,0)*VLOOKUP(A189,'[9]geoMap (6)'!$A:$C,3,0)</f>
        <v>#REF!</v>
      </c>
      <c r="I189" s="1" t="e">
        <f>H189/VLOOKUP(A189,'[10]geoMap (7)'!$A:$B,2,0)*VLOOKUP(A189,'[10]geoMap (7)'!$A:$C,3,0)</f>
        <v>#REF!</v>
      </c>
      <c r="J189" s="1" t="e">
        <f>I189/VLOOKUP(A189,'[11]geoMap (8)'!$A:$B,2,0)*VLOOKUP(A189,'[11]geoMap (8)'!$A:$C,3,0)</f>
        <v>#REF!</v>
      </c>
      <c r="K189" s="1" t="e">
        <f>J189/VLOOKUP(A189,'[12]geoMap (9)'!$A:$B,2,0)*VLOOKUP(A189,'[12]geoMap (9)'!$A:$C,3,0)</f>
        <v>#REF!</v>
      </c>
      <c r="L189" s="1" t="e">
        <f>K189/VLOOKUP(A189,'[13]geoMap (10)'!$A:$B,2,0)*VLOOKUP(A189,'[13]geoMap (10)'!$A:$C,3,0)</f>
        <v>#REF!</v>
      </c>
      <c r="M189" s="1" t="e">
        <f>L189/VLOOKUP(A189,'[14]geoMap (11)'!$A:$B,2,0)*VLOOKUP(A189,'[14]geoMap (11)'!$A:$C,3,0)</f>
        <v>#REF!</v>
      </c>
      <c r="N189" s="1" t="e">
        <f>M189/VLOOKUP(A189,'[15]geoMap (12)'!$A:$B,2,0)*VLOOKUP(A189,'[15]geoMap (12)'!$A:$C,3,0)</f>
        <v>#REF!</v>
      </c>
      <c r="O189" s="1" t="e">
        <f>N189/VLOOKUP(A189,'[16]geoMap (13)'!$A:$B,2,0)*VLOOKUP(A189,'[16]geoMap (13)'!$A:$C,3,0)</f>
        <v>#REF!</v>
      </c>
      <c r="P189" s="1" t="e">
        <f>O189/VLOOKUP(A189,'[17]geoMap (14)'!$A:$B,2,0)*VLOOKUP(A189,'[17]geoMap (14)'!$A:$C,3,0)</f>
        <v>#REF!</v>
      </c>
      <c r="Q189" s="1" t="e">
        <f>P189/VLOOKUP(A189,'[18]geoMap (15)'!$A:$B,2,0)*VLOOKUP(A189,'[18]geoMap (15)'!$A:$C,3,0)</f>
        <v>#REF!</v>
      </c>
      <c r="R189" s="1" t="e">
        <f>Q189/VLOOKUP(A189,'[19]geoMap (16)'!$A:$B,2,0)*VLOOKUP(A189,'[19]geoMap (16)'!$A:$C,3,0)</f>
        <v>#REF!</v>
      </c>
      <c r="S189" s="1" t="e">
        <f>R189/VLOOKUP(A189,'[20]geoMap (17)'!$A:$B,2,0)*VLOOKUP(A189,'[20]geoMap (17)'!$A:$C,3,0)</f>
        <v>#REF!</v>
      </c>
      <c r="T189" s="1" t="e">
        <f>S189/VLOOKUP(A189,'[21]geoMap (18)'!$A:$B,2,0)*VLOOKUP(A189,'[21]geoMap (18)'!$A:$C,3,0)</f>
        <v>#REF!</v>
      </c>
      <c r="U189" s="1" t="e">
        <f>T189/VLOOKUP(A189,'[22]geoMap (19)'!$A:$B,2,0)*VLOOKUP(A189,'[22]geoMap (19)'!$A:$C,3,0)</f>
        <v>#REF!</v>
      </c>
      <c r="V189" s="1" t="e">
        <f>U189/VLOOKUP(A189,'[23]geoMap (20)'!$A:$B,2,0)*VLOOKUP(A189,'[23]geoMap (20)'!$A:$C,3,0)</f>
        <v>#REF!</v>
      </c>
      <c r="W189" s="1" t="e">
        <f>V189/VLOOKUP(A189,'[24]geoMap (21)'!$A:$B,2,0)*VLOOKUP(A189,'[24]geoMap (21)'!$A:$C,3,0)</f>
        <v>#REF!</v>
      </c>
      <c r="X189" s="1" t="e">
        <f>W189/VLOOKUP(A189,'[25]geoMap (22)'!$A:$B,2,0)*VLOOKUP(A189,'[25]geoMap (22)'!$A:$C,3,0)</f>
        <v>#REF!</v>
      </c>
      <c r="Y189" s="1" t="e">
        <f>X189/VLOOKUP(A189,'[26]geoMap (23)'!$A:$B,2,0)*VLOOKUP(A189,'[26]geoMap (23)'!$A:$C,3,0)</f>
        <v>#REF!</v>
      </c>
      <c r="Z189" s="1" t="e">
        <f>Y189/VLOOKUP(A189,'[27]geoMap (24)'!$A:$B,2,0)*VLOOKUP(A189,'[27]geoMap (24)'!$A:$C,3,0)</f>
        <v>#REF!</v>
      </c>
      <c r="AA189" s="1" t="e">
        <f>Z189/VLOOKUP(A189,'[28]geoMap (25)'!$A:$B,2,0)*VLOOKUP(A189,'[28]geoMap (25)'!$A:$C,3,0)</f>
        <v>#REF!</v>
      </c>
      <c r="AB189" s="1" t="e">
        <f>AA189*VLOOKUP(A189,'[29]geoMap (26)'!$A:$B,2,0)*VLOOKUP(A189,'[29]geoMap (26)'!$A:$C,3,0)</f>
        <v>#REF!</v>
      </c>
      <c r="AC189" s="1" t="e">
        <f>AB189/VLOOKUP(A189,'[30]geoMap (27)'!$A:$B,2,0)*VLOOKUP(A189,'[30]geoMap (27)'!$A:$C,3,0)</f>
        <v>#REF!</v>
      </c>
      <c r="AD189" s="1" t="e">
        <f>AC189/VLOOKUP(A189,'[31]geoMap (28)'!$A:$B,2,0)*VLOOKUP(A189,'[31]geoMap (28)'!$A:$C,3,0)</f>
        <v>#REF!</v>
      </c>
      <c r="AE189" s="1" t="e">
        <f>AD189/VLOOKUP(A189,'[32]geoMap (29)'!$A:$B,2,0)*VLOOKUP(A189,'[32]geoMap (29)'!$A:$C,3,0)</f>
        <v>#REF!</v>
      </c>
      <c r="AF189" s="1" t="e">
        <f>AE189/VLOOKUP(A189,'[33]geoMap (30)'!$A:$B,2,0)*VLOOKUP(A189,'[33]geoMap (30)'!$A:$C,3,0)</f>
        <v>#REF!</v>
      </c>
      <c r="AG189" s="1" t="e">
        <f>AF189/VLOOKUP(A189,'[34]geoMap (31)'!$A:$B,2,0)*VLOOKUP(A189,'[34]geoMap (31)'!$A:$C,3,0)</f>
        <v>#REF!</v>
      </c>
      <c r="AH189" s="1" t="e">
        <f>AG189/VLOOKUP(A189,'[35]geoMap (32)'!$A:$B,2,0)*VLOOKUP(A189,'[35]geoMap (32)'!$A:$C,3,0)</f>
        <v>#REF!</v>
      </c>
      <c r="AI189" s="1" t="e">
        <f>AH189/VLOOKUP(A189,'[36]geoMap (33)'!$A:$B,2,0)*VLOOKUP(A189,'[36]geoMap (33)'!$A:$C,3,0)</f>
        <v>#REF!</v>
      </c>
      <c r="AJ189" s="1" t="e">
        <f>AI189/VLOOKUP(A189,'[37]geoMap (34)'!$A:$B,2,0)*VLOOKUP(A189,'[37]geoMap (34)'!$A:$C,3,0)</f>
        <v>#REF!</v>
      </c>
      <c r="AK189" s="1" t="e">
        <f>AJ189/VLOOKUP(A189,'[38]geoMap (35)'!$A:$B,2,0)*VLOOKUP(A189,'[38]geoMap (35)'!$A:$C,3,0)</f>
        <v>#REF!</v>
      </c>
      <c r="AL189" s="1" t="e">
        <f>AK189/VLOOKUP(A189,'[39]geoMap (36)'!$A:$B,2,0)*VLOOKUP(A189,'[39]geoMap (36)'!$A:$C,3,0)</f>
        <v>#REF!</v>
      </c>
      <c r="AM189" s="1" t="e">
        <f>AL189/VLOOKUP(A189,'[40]geoMap (37)'!$A:$B,2,0)*VLOOKUP(A189,'[40]geoMap (37)'!$A:$C,3,0)</f>
        <v>#REF!</v>
      </c>
      <c r="AN189" s="1" t="e">
        <f>AM189/VLOOKUP(A189,'[41]geoMap (38)'!$A:$B,2,0)*VLOOKUP(A189,'[41]geoMap (38)'!$A:$C,3,0)</f>
        <v>#REF!</v>
      </c>
      <c r="AO189" s="1" t="e">
        <f>AN189/VLOOKUP(A189,'[42]geoMap (39)'!$A:$B,2,0)*VLOOKUP(A189,'[42]geoMap (39)'!$A:$C,3,0)</f>
        <v>#REF!</v>
      </c>
      <c r="AP189" s="1" t="e">
        <f>AO189/VLOOKUP(A189,'[43]geoMap (40)'!$A:$B,2,0)*VLOOKUP(A189,'[43]geoMap (40)'!$A:$C,3,0)</f>
        <v>#REF!</v>
      </c>
      <c r="AQ189" s="1" t="e">
        <f>AP189/VLOOKUP(A189,'[44]geoMap (41)'!$A:$B,2,0)*VLOOKUP(A189,'[44]geoMap (41)'!$A:$C,3,0)</f>
        <v>#REF!</v>
      </c>
      <c r="AR189" s="1" t="e">
        <f>AQ189/VLOOKUP(A189,'[45]geoMap (42)'!$A:$B,2,0)*VLOOKUP(A189,'[45]geoMap (42)'!$A:$C,3,0)</f>
        <v>#REF!</v>
      </c>
      <c r="AS189" s="1" t="e">
        <f>AR189/VLOOKUP(A189,'[46]geoMap (43)'!$A:$B,2,0)*VLOOKUP(A189,'[46]geoMap (43)'!$A:$C,3,0)</f>
        <v>#REF!</v>
      </c>
      <c r="AT189" s="1" t="e">
        <f>AS189/VLOOKUP(A189,'[47]geoMap (44)'!$A:$B,2,0)*VLOOKUP(A189,'[47]geoMap (44)'!$A:$C,3,0)</f>
        <v>#REF!</v>
      </c>
      <c r="AU189" s="1" t="e">
        <f>AT189/VLOOKUP(A189,'[48]geoMap (45)'!$A:$B,2,0)*VLOOKUP(A189,'[48]geoMap (45)'!$A:$C,3,0)</f>
        <v>#REF!</v>
      </c>
      <c r="AV189" s="1" t="e">
        <f>AU189/VLOOKUP(A189,'[49]geoMap (46)'!$A:$B,2,0)*VLOOKUP(A189,'[49]geoMap (46)'!$A:$C,3,0)</f>
        <v>#REF!</v>
      </c>
      <c r="AW189" s="1" t="e">
        <f>AV189/VLOOKUP(A189,'[50]geoMap (47)'!$A:$B,2,0)*VLOOKUP(A189,'[50]geoMap (47)'!$A:$C,3,0)</f>
        <v>#REF!</v>
      </c>
      <c r="AX189" s="4" t="e">
        <f>AW189/VLOOKUP(A189,'[51]geoMap (48)'!$A:$B,2,0)*VLOOKUP(A189,'[51]geoMap (48)'!$A:$C,3,0)</f>
        <v>#REF!</v>
      </c>
      <c r="AY189" s="1" t="e">
        <f>AX189/VLOOKUP(A189,'[52]geoMap (49)'!$A:$B,2,0)*VLOOKUP(A189,'[52]geoMap (49)'!$A:$C,3,0)</f>
        <v>#REF!</v>
      </c>
      <c r="AZ189" s="4" t="e">
        <f>AY189/VLOOKUP(A189,'[53]geoMap (50)'!$A:$B,2,0)*VLOOKUP(A189,'[53]geoMap (50)'!$A:$C,3,0)</f>
        <v>#REF!</v>
      </c>
      <c r="BA189" s="1" t="e">
        <f>AZ189/VLOOKUP(A189,'[54]geoMap (51)'!$A:$B,2,0)*VLOOKUP(A189,'[54]geoMap (51)'!$A:$C,3,0)</f>
        <v>#REF!</v>
      </c>
      <c r="BB189" s="4" t="e">
        <f>BA189/VLOOKUP(A189,'[55]geoMap (52)'!$A:$B,2,0)*VLOOKUP(A189,'[55]geoMap (52)'!$A:$C,3,0)</f>
        <v>#REF!</v>
      </c>
      <c r="BC189" s="1" t="e">
        <f>BB189/VLOOKUP(A189,'[56]geoMap (53)'!$A:$B,2,0)*VLOOKUP(A189,'[56]geoMap (53)'!$A:$C,3,0)</f>
        <v>#REF!</v>
      </c>
      <c r="BD189" s="4" t="e">
        <f>BC189/VLOOKUP(A189,'[57]geoMap (54)'!$A:$B,2,0)*VLOOKUP(A189,'[57]geoMap (54)'!$A:$C,3,0)</f>
        <v>#REF!</v>
      </c>
      <c r="BE189" s="1" t="e">
        <f>BD189/VLOOKUP(A189,'[58]geoMap (55)'!$A:$B,2,0)*VLOOKUP(A189,'[58]geoMap (55)'!$A:$C,3,0)</f>
        <v>#REF!</v>
      </c>
      <c r="BF189" s="4" t="e">
        <f>BE189/VLOOKUP(A189,'[59]geoMap (56)'!$A:$B,2,0)*VLOOKUP(A189,'[59]geoMap (56)'!$A:$C,3,0)</f>
        <v>#REF!</v>
      </c>
      <c r="BG189" s="1" t="e">
        <f>BF189/VLOOKUP(A189,'[60]geoMap (57)'!$A:$B,2,0)*VLOOKUP(A189,'[60]geoMap (57)'!$A:$C,3,0)</f>
        <v>#REF!</v>
      </c>
      <c r="BH189" s="4" t="e">
        <f>BG189/VLOOKUP(A189,'[61]geoMap (58)'!$A:$B,2,0)*VLOOKUP(A189,'[61]geoMap (58)'!$A:$C,3,0)</f>
        <v>#REF!</v>
      </c>
      <c r="BI189" s="1" t="e">
        <f>BH189/VLOOKUP(A189,'[62]geoMap (59)'!$A:$B,2,0)*VLOOKUP(A189,'[62]geoMap (59)'!$A:$C,3,0)</f>
        <v>#REF!</v>
      </c>
      <c r="BJ189" s="4" t="e">
        <f>BI189/VLOOKUP(A189,'[63]geoMap (60)'!$A:$B,2,0)*VLOOKUP(A189,'[63]geoMap (60)'!$A:$C,3,0)</f>
        <v>#REF!</v>
      </c>
      <c r="BK189" s="1" t="e">
        <f>BJ189/VLOOKUP(A189,'[64]geoMap (61)'!$A:$B,2,0)*VLOOKUP(A189,'[64]geoMap (61)'!$A:$C,3,0)</f>
        <v>#REF!</v>
      </c>
      <c r="BL189" s="4" t="e">
        <f>BK189/VLOOKUP(A189,'[65]geoMap (62)'!$A:$B,2,0)*VLOOKUP(A189,'[65]geoMap (62)'!$A:$C,3,0)</f>
        <v>#REF!</v>
      </c>
      <c r="BM189" s="1" t="e">
        <f>BL189/VLOOKUP(A189,'[66]geoMap (63)'!$A:$B,2,0)*VLOOKUP(A189,'[66]geoMap (63)'!$A:$C,3,0)</f>
        <v>#REF!</v>
      </c>
      <c r="BN189" s="4" t="e">
        <f>BM189/VLOOKUP(A189,'[67]geoMap (64)'!$A:$B,2,0)*VLOOKUP(A189,'[67]geoMap (64)'!$A:$C,3,0)</f>
        <v>#REF!</v>
      </c>
      <c r="BO189" s="1" t="e">
        <f>BN189/VLOOKUP(A189,'[68]geoMap (65)'!$A:$B,2,0)*VLOOKUP(A189,'[68]geoMap (65)'!$A:$C,3,0)</f>
        <v>#REF!</v>
      </c>
      <c r="BP189" s="4" t="e">
        <f>BO189/VLOOKUP(A189,'[69]geoMap (66)'!$A:$B,2,0)*VLOOKUP(A189,'[69]geoMap (66)'!$A:$C,3,0)</f>
        <v>#REF!</v>
      </c>
    </row>
    <row r="190" spans="1:68" x14ac:dyDescent="0.2">
      <c r="A190" s="1" t="s">
        <v>192</v>
      </c>
      <c r="B190" s="1" t="e">
        <f>VLOOKUP(A190,[3]geoMap!$A:$B,2,0)*Notes!$C$6</f>
        <v>#REF!</v>
      </c>
      <c r="C190" s="1" t="e">
        <f>B190/VLOOKUP(A190,'[4]geoMap (1)'!$A:$B,2,0)*VLOOKUP(A190,'[4]geoMap (1)'!$A:$C,3,0)</f>
        <v>#REF!</v>
      </c>
      <c r="D190" s="1" t="e">
        <f>C190/VLOOKUP(A190,'[5]geoMap (2)'!$A:$B,2,0)*VLOOKUP(A190,'[5]geoMap (2)'!$A:$C,3,0)</f>
        <v>#REF!</v>
      </c>
      <c r="E190" s="1" t="e">
        <f>D190/VLOOKUP(A190,'[6]geoMap (3)'!$A:$B,2,0)*VLOOKUP(A190,'[6]geoMap (3)'!$A:$C,3,0)</f>
        <v>#REF!</v>
      </c>
      <c r="F190" s="1" t="e">
        <f>E190/VLOOKUP(A190,'[7]geoMap (4)'!$A:$B,2,0)*VLOOKUP(A190,'[7]geoMap (4)'!$A:$C,3,0)</f>
        <v>#REF!</v>
      </c>
      <c r="G190" s="1" t="e">
        <f>F190/VLOOKUP(A190,'[8]geoMap (5)'!$A:$B,2,0)*VLOOKUP(A190,'[8]geoMap (5)'!$A:$C,3,0)</f>
        <v>#REF!</v>
      </c>
      <c r="H190" s="1" t="e">
        <f>G190/VLOOKUP(A190,'[9]geoMap (6)'!$A:$B,2,0)*VLOOKUP(A190,'[9]geoMap (6)'!$A:$C,3,0)</f>
        <v>#REF!</v>
      </c>
      <c r="I190" s="1" t="e">
        <f>H190/VLOOKUP(A190,'[10]geoMap (7)'!$A:$B,2,0)*VLOOKUP(A190,'[10]geoMap (7)'!$A:$C,3,0)</f>
        <v>#REF!</v>
      </c>
      <c r="J190" s="1" t="e">
        <f>I190/VLOOKUP(A190,'[11]geoMap (8)'!$A:$B,2,0)*VLOOKUP(A190,'[11]geoMap (8)'!$A:$C,3,0)</f>
        <v>#REF!</v>
      </c>
      <c r="K190" s="1" t="e">
        <f>J190/VLOOKUP(A190,'[12]geoMap (9)'!$A:$B,2,0)*VLOOKUP(A190,'[12]geoMap (9)'!$A:$C,3,0)</f>
        <v>#REF!</v>
      </c>
      <c r="L190" s="1" t="e">
        <f>K190/VLOOKUP(A190,'[13]geoMap (10)'!$A:$B,2,0)*VLOOKUP(A190,'[13]geoMap (10)'!$A:$C,3,0)</f>
        <v>#REF!</v>
      </c>
      <c r="M190" s="1" t="e">
        <f>L190/VLOOKUP(A190,'[14]geoMap (11)'!$A:$B,2,0)*VLOOKUP(A190,'[14]geoMap (11)'!$A:$C,3,0)</f>
        <v>#REF!</v>
      </c>
      <c r="N190" s="1" t="e">
        <f>M190/VLOOKUP(A190,'[15]geoMap (12)'!$A:$B,2,0)*VLOOKUP(A190,'[15]geoMap (12)'!$A:$C,3,0)</f>
        <v>#REF!</v>
      </c>
      <c r="O190" s="1" t="e">
        <f>N190/VLOOKUP(A190,'[16]geoMap (13)'!$A:$B,2,0)*VLOOKUP(A190,'[16]geoMap (13)'!$A:$C,3,0)</f>
        <v>#REF!</v>
      </c>
      <c r="P190" s="1" t="e">
        <f>O190/VLOOKUP(A190,'[17]geoMap (14)'!$A:$B,2,0)*VLOOKUP(A190,'[17]geoMap (14)'!$A:$C,3,0)</f>
        <v>#REF!</v>
      </c>
      <c r="Q190" s="1" t="e">
        <f>P190/VLOOKUP(A190,'[18]geoMap (15)'!$A:$B,2,0)*VLOOKUP(A190,'[18]geoMap (15)'!$A:$C,3,0)</f>
        <v>#REF!</v>
      </c>
      <c r="R190" s="1" t="e">
        <f>Q190/VLOOKUP(A190,'[19]geoMap (16)'!$A:$B,2,0)*VLOOKUP(A190,'[19]geoMap (16)'!$A:$C,3,0)</f>
        <v>#REF!</v>
      </c>
      <c r="S190" s="1" t="e">
        <f>R190/VLOOKUP(A190,'[20]geoMap (17)'!$A:$B,2,0)*VLOOKUP(A190,'[20]geoMap (17)'!$A:$C,3,0)</f>
        <v>#REF!</v>
      </c>
      <c r="T190" s="1" t="e">
        <f>S190/VLOOKUP(A190,'[21]geoMap (18)'!$A:$B,2,0)*VLOOKUP(A190,'[21]geoMap (18)'!$A:$C,3,0)</f>
        <v>#REF!</v>
      </c>
      <c r="U190" s="1" t="e">
        <f>T190/VLOOKUP(A190,'[22]geoMap (19)'!$A:$B,2,0)*VLOOKUP(A190,'[22]geoMap (19)'!$A:$C,3,0)</f>
        <v>#REF!</v>
      </c>
      <c r="V190" s="1" t="e">
        <f>U190/VLOOKUP(A190,'[23]geoMap (20)'!$A:$B,2,0)*VLOOKUP(A190,'[23]geoMap (20)'!$A:$C,3,0)</f>
        <v>#REF!</v>
      </c>
      <c r="W190" s="1" t="e">
        <f>V190/VLOOKUP(A190,'[24]geoMap (21)'!$A:$B,2,0)*VLOOKUP(A190,'[24]geoMap (21)'!$A:$C,3,0)</f>
        <v>#REF!</v>
      </c>
      <c r="X190" s="1" t="e">
        <f>W190/VLOOKUP(A190,'[25]geoMap (22)'!$A:$B,2,0)*VLOOKUP(A190,'[25]geoMap (22)'!$A:$C,3,0)</f>
        <v>#REF!</v>
      </c>
      <c r="Y190" s="1" t="e">
        <f>X190/VLOOKUP(A190,'[26]geoMap (23)'!$A:$B,2,0)*VLOOKUP(A190,'[26]geoMap (23)'!$A:$C,3,0)</f>
        <v>#REF!</v>
      </c>
      <c r="Z190" s="1" t="e">
        <f>Y190/VLOOKUP(A190,'[27]geoMap (24)'!$A:$B,2,0)*VLOOKUP(A190,'[27]geoMap (24)'!$A:$C,3,0)</f>
        <v>#REF!</v>
      </c>
      <c r="AA190" s="1" t="e">
        <f>Z190/VLOOKUP(A190,'[28]geoMap (25)'!$A:$B,2,0)*VLOOKUP(A190,'[28]geoMap (25)'!$A:$C,3,0)</f>
        <v>#REF!</v>
      </c>
      <c r="AB190" s="1" t="e">
        <f>AA190*VLOOKUP(A190,'[29]geoMap (26)'!$A:$B,2,0)*VLOOKUP(A190,'[29]geoMap (26)'!$A:$C,3,0)</f>
        <v>#REF!</v>
      </c>
      <c r="AC190" s="1" t="e">
        <f>AB190/VLOOKUP(A190,'[30]geoMap (27)'!$A:$B,2,0)*VLOOKUP(A190,'[30]geoMap (27)'!$A:$C,3,0)</f>
        <v>#REF!</v>
      </c>
      <c r="AD190" s="1" t="e">
        <f>AC190/VLOOKUP(A190,'[31]geoMap (28)'!$A:$B,2,0)*VLOOKUP(A190,'[31]geoMap (28)'!$A:$C,3,0)</f>
        <v>#REF!</v>
      </c>
      <c r="AE190" s="1" t="e">
        <f>AD190/VLOOKUP(A190,'[32]geoMap (29)'!$A:$B,2,0)*VLOOKUP(A190,'[32]geoMap (29)'!$A:$C,3,0)</f>
        <v>#REF!</v>
      </c>
      <c r="AF190" s="1" t="e">
        <f>AE190/VLOOKUP(A190,'[33]geoMap (30)'!$A:$B,2,0)*VLOOKUP(A190,'[33]geoMap (30)'!$A:$C,3,0)</f>
        <v>#REF!</v>
      </c>
      <c r="AG190" s="1" t="e">
        <f>AF190/VLOOKUP(A190,'[34]geoMap (31)'!$A:$B,2,0)*VLOOKUP(A190,'[34]geoMap (31)'!$A:$C,3,0)</f>
        <v>#REF!</v>
      </c>
      <c r="AH190" s="1" t="e">
        <f>AG190/VLOOKUP(A190,'[35]geoMap (32)'!$A:$B,2,0)*VLOOKUP(A190,'[35]geoMap (32)'!$A:$C,3,0)</f>
        <v>#REF!</v>
      </c>
      <c r="AI190" s="1" t="e">
        <f>AH190/VLOOKUP(A190,'[36]geoMap (33)'!$A:$B,2,0)*VLOOKUP(A190,'[36]geoMap (33)'!$A:$C,3,0)</f>
        <v>#REF!</v>
      </c>
      <c r="AJ190" s="1" t="e">
        <f>AI190/VLOOKUP(A190,'[37]geoMap (34)'!$A:$B,2,0)*VLOOKUP(A190,'[37]geoMap (34)'!$A:$C,3,0)</f>
        <v>#REF!</v>
      </c>
      <c r="AK190" s="1" t="e">
        <f>AJ190/VLOOKUP(A190,'[38]geoMap (35)'!$A:$B,2,0)*VLOOKUP(A190,'[38]geoMap (35)'!$A:$C,3,0)</f>
        <v>#REF!</v>
      </c>
      <c r="AL190" s="1" t="e">
        <f>AK190/VLOOKUP(A190,'[39]geoMap (36)'!$A:$B,2,0)*VLOOKUP(A190,'[39]geoMap (36)'!$A:$C,3,0)</f>
        <v>#REF!</v>
      </c>
      <c r="AM190" s="1" t="e">
        <f>AL190/VLOOKUP(A190,'[40]geoMap (37)'!$A:$B,2,0)*VLOOKUP(A190,'[40]geoMap (37)'!$A:$C,3,0)</f>
        <v>#REF!</v>
      </c>
      <c r="AN190" s="1" t="e">
        <f>AM190/VLOOKUP(A190,'[41]geoMap (38)'!$A:$B,2,0)*VLOOKUP(A190,'[41]geoMap (38)'!$A:$C,3,0)</f>
        <v>#REF!</v>
      </c>
      <c r="AO190" s="1" t="e">
        <f>AN190/VLOOKUP(A190,'[42]geoMap (39)'!$A:$B,2,0)*VLOOKUP(A190,'[42]geoMap (39)'!$A:$C,3,0)</f>
        <v>#REF!</v>
      </c>
      <c r="AP190" s="1" t="e">
        <f>AO190/VLOOKUP(A190,'[43]geoMap (40)'!$A:$B,2,0)*VLOOKUP(A190,'[43]geoMap (40)'!$A:$C,3,0)</f>
        <v>#REF!</v>
      </c>
      <c r="AQ190" s="1" t="e">
        <f>AP190/VLOOKUP(A190,'[44]geoMap (41)'!$A:$B,2,0)*VLOOKUP(A190,'[44]geoMap (41)'!$A:$C,3,0)</f>
        <v>#REF!</v>
      </c>
      <c r="AR190" s="1" t="e">
        <f>AQ190/VLOOKUP(A190,'[45]geoMap (42)'!$A:$B,2,0)*VLOOKUP(A190,'[45]geoMap (42)'!$A:$C,3,0)</f>
        <v>#REF!</v>
      </c>
      <c r="AS190" s="1" t="e">
        <f>AR190/VLOOKUP(A190,'[46]geoMap (43)'!$A:$B,2,0)*VLOOKUP(A190,'[46]geoMap (43)'!$A:$C,3,0)</f>
        <v>#REF!</v>
      </c>
      <c r="AT190" s="1" t="e">
        <f>AS190/VLOOKUP(A190,'[47]geoMap (44)'!$A:$B,2,0)*VLOOKUP(A190,'[47]geoMap (44)'!$A:$C,3,0)</f>
        <v>#REF!</v>
      </c>
      <c r="AU190" s="1" t="e">
        <f>AT190/VLOOKUP(A190,'[48]geoMap (45)'!$A:$B,2,0)*VLOOKUP(A190,'[48]geoMap (45)'!$A:$C,3,0)</f>
        <v>#REF!</v>
      </c>
      <c r="AV190" s="1" t="e">
        <f>AU190/VLOOKUP(A190,'[49]geoMap (46)'!$A:$B,2,0)*VLOOKUP(A190,'[49]geoMap (46)'!$A:$C,3,0)</f>
        <v>#REF!</v>
      </c>
      <c r="AW190" s="1" t="e">
        <f>AV190/VLOOKUP(A190,'[50]geoMap (47)'!$A:$B,2,0)*VLOOKUP(A190,'[50]geoMap (47)'!$A:$C,3,0)</f>
        <v>#REF!</v>
      </c>
      <c r="AX190" s="4" t="e">
        <f>AW190/VLOOKUP(A190,'[51]geoMap (48)'!$A:$B,2,0)*VLOOKUP(A190,'[51]geoMap (48)'!$A:$C,3,0)</f>
        <v>#REF!</v>
      </c>
      <c r="AY190" s="1" t="e">
        <f>AX190/VLOOKUP(A190,'[52]geoMap (49)'!$A:$B,2,0)*VLOOKUP(A190,'[52]geoMap (49)'!$A:$C,3,0)</f>
        <v>#REF!</v>
      </c>
      <c r="AZ190" s="4" t="e">
        <f>AY190/VLOOKUP(A190,'[53]geoMap (50)'!$A:$B,2,0)*VLOOKUP(A190,'[53]geoMap (50)'!$A:$C,3,0)</f>
        <v>#REF!</v>
      </c>
      <c r="BA190" s="1" t="e">
        <f>AZ190/VLOOKUP(A190,'[54]geoMap (51)'!$A:$B,2,0)*VLOOKUP(A190,'[54]geoMap (51)'!$A:$C,3,0)</f>
        <v>#REF!</v>
      </c>
      <c r="BB190" s="4" t="e">
        <f>BA190/VLOOKUP(A190,'[55]geoMap (52)'!$A:$B,2,0)*VLOOKUP(A190,'[55]geoMap (52)'!$A:$C,3,0)</f>
        <v>#REF!</v>
      </c>
      <c r="BC190" s="1" t="e">
        <f>BB190/VLOOKUP(A190,'[56]geoMap (53)'!$A:$B,2,0)*VLOOKUP(A190,'[56]geoMap (53)'!$A:$C,3,0)</f>
        <v>#REF!</v>
      </c>
      <c r="BD190" s="4" t="e">
        <f>BC190/VLOOKUP(A190,'[57]geoMap (54)'!$A:$B,2,0)*VLOOKUP(A190,'[57]geoMap (54)'!$A:$C,3,0)</f>
        <v>#REF!</v>
      </c>
      <c r="BE190" s="1" t="e">
        <f>BD190/VLOOKUP(A190,'[58]geoMap (55)'!$A:$B,2,0)*VLOOKUP(A190,'[58]geoMap (55)'!$A:$C,3,0)</f>
        <v>#REF!</v>
      </c>
      <c r="BF190" s="4" t="e">
        <f>BE190/VLOOKUP(A190,'[59]geoMap (56)'!$A:$B,2,0)*VLOOKUP(A190,'[59]geoMap (56)'!$A:$C,3,0)</f>
        <v>#REF!</v>
      </c>
      <c r="BG190" s="1" t="e">
        <f>BF190/VLOOKUP(A190,'[60]geoMap (57)'!$A:$B,2,0)*VLOOKUP(A190,'[60]geoMap (57)'!$A:$C,3,0)</f>
        <v>#REF!</v>
      </c>
      <c r="BH190" s="4" t="e">
        <f>BG190/VLOOKUP(A190,'[61]geoMap (58)'!$A:$B,2,0)*VLOOKUP(A190,'[61]geoMap (58)'!$A:$C,3,0)</f>
        <v>#REF!</v>
      </c>
      <c r="BI190" s="1" t="e">
        <f>BH190/VLOOKUP(A190,'[62]geoMap (59)'!$A:$B,2,0)*VLOOKUP(A190,'[62]geoMap (59)'!$A:$C,3,0)</f>
        <v>#REF!</v>
      </c>
      <c r="BJ190" s="4" t="e">
        <f>BI190/VLOOKUP(A190,'[63]geoMap (60)'!$A:$B,2,0)*VLOOKUP(A190,'[63]geoMap (60)'!$A:$C,3,0)</f>
        <v>#REF!</v>
      </c>
      <c r="BK190" s="1" t="e">
        <f>BJ190/VLOOKUP(A190,'[64]geoMap (61)'!$A:$B,2,0)*VLOOKUP(A190,'[64]geoMap (61)'!$A:$C,3,0)</f>
        <v>#REF!</v>
      </c>
      <c r="BL190" s="4" t="e">
        <f>BK190/VLOOKUP(A190,'[65]geoMap (62)'!$A:$B,2,0)*VLOOKUP(A190,'[65]geoMap (62)'!$A:$C,3,0)</f>
        <v>#REF!</v>
      </c>
      <c r="BM190" s="1" t="e">
        <f>BL190/VLOOKUP(A190,'[66]geoMap (63)'!$A:$B,2,0)*VLOOKUP(A190,'[66]geoMap (63)'!$A:$C,3,0)</f>
        <v>#REF!</v>
      </c>
      <c r="BN190" s="4" t="e">
        <f>BM190/VLOOKUP(A190,'[67]geoMap (64)'!$A:$B,2,0)*VLOOKUP(A190,'[67]geoMap (64)'!$A:$C,3,0)</f>
        <v>#REF!</v>
      </c>
      <c r="BO190" s="1" t="e">
        <f>BN190/VLOOKUP(A190,'[68]geoMap (65)'!$A:$B,2,0)*VLOOKUP(A190,'[68]geoMap (65)'!$A:$C,3,0)</f>
        <v>#REF!</v>
      </c>
      <c r="BP190" s="4" t="e">
        <f>BO190/VLOOKUP(A190,'[69]geoMap (66)'!$A:$B,2,0)*VLOOKUP(A190,'[69]geoMap (66)'!$A:$C,3,0)</f>
        <v>#REF!</v>
      </c>
    </row>
    <row r="191" spans="1:68" x14ac:dyDescent="0.2">
      <c r="A191" s="1" t="s">
        <v>193</v>
      </c>
      <c r="B191" s="1" t="e">
        <f>VLOOKUP(A191,[3]geoMap!$A:$B,2,0)*Notes!$C$6</f>
        <v>#REF!</v>
      </c>
      <c r="C191" s="1" t="e">
        <f>B191/VLOOKUP(A191,'[4]geoMap (1)'!$A:$B,2,0)*VLOOKUP(A191,'[4]geoMap (1)'!$A:$C,3,0)</f>
        <v>#REF!</v>
      </c>
      <c r="D191" s="1" t="e">
        <f>C191/VLOOKUP(A191,'[5]geoMap (2)'!$A:$B,2,0)*VLOOKUP(A191,'[5]geoMap (2)'!$A:$C,3,0)</f>
        <v>#REF!</v>
      </c>
      <c r="E191" s="1" t="e">
        <f>D191/VLOOKUP(A191,'[6]geoMap (3)'!$A:$B,2,0)*VLOOKUP(A191,'[6]geoMap (3)'!$A:$C,3,0)</f>
        <v>#REF!</v>
      </c>
      <c r="F191" s="1" t="e">
        <f>E191/VLOOKUP(A191,'[7]geoMap (4)'!$A:$B,2,0)*VLOOKUP(A191,'[7]geoMap (4)'!$A:$C,3,0)</f>
        <v>#REF!</v>
      </c>
      <c r="G191" s="1" t="e">
        <f>F191/VLOOKUP(A191,'[8]geoMap (5)'!$A:$B,2,0)*VLOOKUP(A191,'[8]geoMap (5)'!$A:$C,3,0)</f>
        <v>#REF!</v>
      </c>
      <c r="H191" s="1" t="e">
        <f>G191/VLOOKUP(A191,'[9]geoMap (6)'!$A:$B,2,0)*VLOOKUP(A191,'[9]geoMap (6)'!$A:$C,3,0)</f>
        <v>#REF!</v>
      </c>
      <c r="I191" s="1" t="e">
        <f>H191/VLOOKUP(A191,'[10]geoMap (7)'!$A:$B,2,0)*VLOOKUP(A191,'[10]geoMap (7)'!$A:$C,3,0)</f>
        <v>#REF!</v>
      </c>
      <c r="J191" s="1" t="e">
        <f>I191/VLOOKUP(A191,'[11]geoMap (8)'!$A:$B,2,0)*VLOOKUP(A191,'[11]geoMap (8)'!$A:$C,3,0)</f>
        <v>#REF!</v>
      </c>
      <c r="K191" s="1" t="e">
        <f>J191/VLOOKUP(A191,'[12]geoMap (9)'!$A:$B,2,0)*VLOOKUP(A191,'[12]geoMap (9)'!$A:$C,3,0)</f>
        <v>#REF!</v>
      </c>
      <c r="L191" s="1" t="e">
        <f>K191/VLOOKUP(A191,'[13]geoMap (10)'!$A:$B,2,0)*VLOOKUP(A191,'[13]geoMap (10)'!$A:$C,3,0)</f>
        <v>#REF!</v>
      </c>
      <c r="M191" s="1" t="e">
        <f>L191/VLOOKUP(A191,'[14]geoMap (11)'!$A:$B,2,0)*VLOOKUP(A191,'[14]geoMap (11)'!$A:$C,3,0)</f>
        <v>#REF!</v>
      </c>
      <c r="N191" s="1" t="e">
        <f>M191/VLOOKUP(A191,'[15]geoMap (12)'!$A:$B,2,0)*VLOOKUP(A191,'[15]geoMap (12)'!$A:$C,3,0)</f>
        <v>#REF!</v>
      </c>
      <c r="O191" s="1" t="e">
        <f>N191/VLOOKUP(A191,'[16]geoMap (13)'!$A:$B,2,0)*VLOOKUP(A191,'[16]geoMap (13)'!$A:$C,3,0)</f>
        <v>#REF!</v>
      </c>
      <c r="P191" s="1" t="e">
        <f>O191/VLOOKUP(A191,'[17]geoMap (14)'!$A:$B,2,0)*VLOOKUP(A191,'[17]geoMap (14)'!$A:$C,3,0)</f>
        <v>#REF!</v>
      </c>
      <c r="Q191" s="1" t="e">
        <f>P191/VLOOKUP(A191,'[18]geoMap (15)'!$A:$B,2,0)*VLOOKUP(A191,'[18]geoMap (15)'!$A:$C,3,0)</f>
        <v>#REF!</v>
      </c>
      <c r="R191" s="1" t="e">
        <f>Q191/VLOOKUP(A191,'[19]geoMap (16)'!$A:$B,2,0)*VLOOKUP(A191,'[19]geoMap (16)'!$A:$C,3,0)</f>
        <v>#REF!</v>
      </c>
      <c r="S191" s="1" t="e">
        <f>R191/VLOOKUP(A191,'[20]geoMap (17)'!$A:$B,2,0)*VLOOKUP(A191,'[20]geoMap (17)'!$A:$C,3,0)</f>
        <v>#REF!</v>
      </c>
      <c r="T191" s="1" t="e">
        <f>S191/VLOOKUP(A191,'[21]geoMap (18)'!$A:$B,2,0)*VLOOKUP(A191,'[21]geoMap (18)'!$A:$C,3,0)</f>
        <v>#REF!</v>
      </c>
      <c r="U191" s="1" t="e">
        <f>T191/VLOOKUP(A191,'[22]geoMap (19)'!$A:$B,2,0)*VLOOKUP(A191,'[22]geoMap (19)'!$A:$C,3,0)</f>
        <v>#REF!</v>
      </c>
      <c r="V191" s="1" t="e">
        <f>U191/VLOOKUP(A191,'[23]geoMap (20)'!$A:$B,2,0)*VLOOKUP(A191,'[23]geoMap (20)'!$A:$C,3,0)</f>
        <v>#REF!</v>
      </c>
      <c r="W191" s="1" t="e">
        <f>V191/VLOOKUP(A191,'[24]geoMap (21)'!$A:$B,2,0)*VLOOKUP(A191,'[24]geoMap (21)'!$A:$C,3,0)</f>
        <v>#REF!</v>
      </c>
      <c r="X191" s="1" t="e">
        <f>W191/VLOOKUP(A191,'[25]geoMap (22)'!$A:$B,2,0)*VLOOKUP(A191,'[25]geoMap (22)'!$A:$C,3,0)</f>
        <v>#REF!</v>
      </c>
      <c r="Y191" s="1" t="e">
        <f>X191/VLOOKUP(A191,'[26]geoMap (23)'!$A:$B,2,0)*VLOOKUP(A191,'[26]geoMap (23)'!$A:$C,3,0)</f>
        <v>#REF!</v>
      </c>
      <c r="Z191" s="1" t="e">
        <f>Y191/VLOOKUP(A191,'[27]geoMap (24)'!$A:$B,2,0)*VLOOKUP(A191,'[27]geoMap (24)'!$A:$C,3,0)</f>
        <v>#REF!</v>
      </c>
      <c r="AA191" s="1" t="e">
        <f>Z191/VLOOKUP(A191,'[28]geoMap (25)'!$A:$B,2,0)*VLOOKUP(A191,'[28]geoMap (25)'!$A:$C,3,0)</f>
        <v>#REF!</v>
      </c>
      <c r="AB191" s="1" t="e">
        <f>AA191*VLOOKUP(A191,'[29]geoMap (26)'!$A:$B,2,0)*VLOOKUP(A191,'[29]geoMap (26)'!$A:$C,3,0)</f>
        <v>#REF!</v>
      </c>
      <c r="AC191" s="1" t="e">
        <f>AB191/VLOOKUP(A191,'[30]geoMap (27)'!$A:$B,2,0)*VLOOKUP(A191,'[30]geoMap (27)'!$A:$C,3,0)</f>
        <v>#REF!</v>
      </c>
      <c r="AD191" s="1" t="e">
        <f>AC191/VLOOKUP(A191,'[31]geoMap (28)'!$A:$B,2,0)*VLOOKUP(A191,'[31]geoMap (28)'!$A:$C,3,0)</f>
        <v>#REF!</v>
      </c>
      <c r="AE191" s="1" t="e">
        <f>AD191/VLOOKUP(A191,'[32]geoMap (29)'!$A:$B,2,0)*VLOOKUP(A191,'[32]geoMap (29)'!$A:$C,3,0)</f>
        <v>#REF!</v>
      </c>
      <c r="AF191" s="1" t="e">
        <f>AE191/VLOOKUP(A191,'[33]geoMap (30)'!$A:$B,2,0)*VLOOKUP(A191,'[33]geoMap (30)'!$A:$C,3,0)</f>
        <v>#REF!</v>
      </c>
      <c r="AG191" s="1" t="e">
        <f>AF191/VLOOKUP(A191,'[34]geoMap (31)'!$A:$B,2,0)*VLOOKUP(A191,'[34]geoMap (31)'!$A:$C,3,0)</f>
        <v>#REF!</v>
      </c>
      <c r="AH191" s="1" t="e">
        <f>AG191/VLOOKUP(A191,'[35]geoMap (32)'!$A:$B,2,0)*VLOOKUP(A191,'[35]geoMap (32)'!$A:$C,3,0)</f>
        <v>#REF!</v>
      </c>
      <c r="AI191" s="1" t="e">
        <f>AH191/VLOOKUP(A191,'[36]geoMap (33)'!$A:$B,2,0)*VLOOKUP(A191,'[36]geoMap (33)'!$A:$C,3,0)</f>
        <v>#REF!</v>
      </c>
      <c r="AJ191" s="1" t="e">
        <f>AI191/VLOOKUP(A191,'[37]geoMap (34)'!$A:$B,2,0)*VLOOKUP(A191,'[37]geoMap (34)'!$A:$C,3,0)</f>
        <v>#REF!</v>
      </c>
      <c r="AK191" s="1" t="e">
        <f>AJ191/VLOOKUP(A191,'[38]geoMap (35)'!$A:$B,2,0)*VLOOKUP(A191,'[38]geoMap (35)'!$A:$C,3,0)</f>
        <v>#REF!</v>
      </c>
      <c r="AL191" s="1" t="e">
        <f>AK191/VLOOKUP(A191,'[39]geoMap (36)'!$A:$B,2,0)*VLOOKUP(A191,'[39]geoMap (36)'!$A:$C,3,0)</f>
        <v>#REF!</v>
      </c>
      <c r="AM191" s="1" t="e">
        <f>AL191/VLOOKUP(A191,'[40]geoMap (37)'!$A:$B,2,0)*VLOOKUP(A191,'[40]geoMap (37)'!$A:$C,3,0)</f>
        <v>#REF!</v>
      </c>
      <c r="AN191" s="1" t="e">
        <f>AM191/VLOOKUP(A191,'[41]geoMap (38)'!$A:$B,2,0)*VLOOKUP(A191,'[41]geoMap (38)'!$A:$C,3,0)</f>
        <v>#REF!</v>
      </c>
      <c r="AO191" s="1" t="e">
        <f>AN191/VLOOKUP(A191,'[42]geoMap (39)'!$A:$B,2,0)*VLOOKUP(A191,'[42]geoMap (39)'!$A:$C,3,0)</f>
        <v>#REF!</v>
      </c>
      <c r="AP191" s="1" t="e">
        <f>AO191/VLOOKUP(A191,'[43]geoMap (40)'!$A:$B,2,0)*VLOOKUP(A191,'[43]geoMap (40)'!$A:$C,3,0)</f>
        <v>#REF!</v>
      </c>
      <c r="AQ191" s="1" t="e">
        <f>AP191/VLOOKUP(A191,'[44]geoMap (41)'!$A:$B,2,0)*VLOOKUP(A191,'[44]geoMap (41)'!$A:$C,3,0)</f>
        <v>#REF!</v>
      </c>
      <c r="AR191" s="1" t="e">
        <f>AQ191/VLOOKUP(A191,'[45]geoMap (42)'!$A:$B,2,0)*VLOOKUP(A191,'[45]geoMap (42)'!$A:$C,3,0)</f>
        <v>#REF!</v>
      </c>
      <c r="AS191" s="1" t="e">
        <f>AR191/VLOOKUP(A191,'[46]geoMap (43)'!$A:$B,2,0)*VLOOKUP(A191,'[46]geoMap (43)'!$A:$C,3,0)</f>
        <v>#REF!</v>
      </c>
      <c r="AT191" s="1" t="e">
        <f>AS191/VLOOKUP(A191,'[47]geoMap (44)'!$A:$B,2,0)*VLOOKUP(A191,'[47]geoMap (44)'!$A:$C,3,0)</f>
        <v>#REF!</v>
      </c>
      <c r="AU191" s="1" t="e">
        <f>AT191/VLOOKUP(A191,'[48]geoMap (45)'!$A:$B,2,0)*VLOOKUP(A191,'[48]geoMap (45)'!$A:$C,3,0)</f>
        <v>#REF!</v>
      </c>
      <c r="AV191" s="1" t="e">
        <f>AU191/VLOOKUP(A191,'[49]geoMap (46)'!$A:$B,2,0)*VLOOKUP(A191,'[49]geoMap (46)'!$A:$C,3,0)</f>
        <v>#REF!</v>
      </c>
      <c r="AW191" s="1" t="e">
        <f>AV191/VLOOKUP(A191,'[50]geoMap (47)'!$A:$B,2,0)*VLOOKUP(A191,'[50]geoMap (47)'!$A:$C,3,0)</f>
        <v>#REF!</v>
      </c>
      <c r="AX191" s="4" t="e">
        <f>AW191/VLOOKUP(A191,'[51]geoMap (48)'!$A:$B,2,0)*VLOOKUP(A191,'[51]geoMap (48)'!$A:$C,3,0)</f>
        <v>#REF!</v>
      </c>
      <c r="AY191" s="1" t="e">
        <f>AX191/VLOOKUP(A191,'[52]geoMap (49)'!$A:$B,2,0)*VLOOKUP(A191,'[52]geoMap (49)'!$A:$C,3,0)</f>
        <v>#REF!</v>
      </c>
      <c r="AZ191" s="4" t="e">
        <f>AY191/VLOOKUP(A191,'[53]geoMap (50)'!$A:$B,2,0)*VLOOKUP(A191,'[53]geoMap (50)'!$A:$C,3,0)</f>
        <v>#REF!</v>
      </c>
      <c r="BA191" s="1" t="e">
        <f>AZ191/VLOOKUP(A191,'[54]geoMap (51)'!$A:$B,2,0)*VLOOKUP(A191,'[54]geoMap (51)'!$A:$C,3,0)</f>
        <v>#REF!</v>
      </c>
      <c r="BB191" s="4" t="e">
        <f>BA191/VLOOKUP(A191,'[55]geoMap (52)'!$A:$B,2,0)*VLOOKUP(A191,'[55]geoMap (52)'!$A:$C,3,0)</f>
        <v>#REF!</v>
      </c>
      <c r="BC191" s="1" t="e">
        <f>BB191/VLOOKUP(A191,'[56]geoMap (53)'!$A:$B,2,0)*VLOOKUP(A191,'[56]geoMap (53)'!$A:$C,3,0)</f>
        <v>#REF!</v>
      </c>
      <c r="BD191" s="4" t="e">
        <f>BC191/VLOOKUP(A191,'[57]geoMap (54)'!$A:$B,2,0)*VLOOKUP(A191,'[57]geoMap (54)'!$A:$C,3,0)</f>
        <v>#REF!</v>
      </c>
      <c r="BE191" s="1" t="e">
        <f>BD191/VLOOKUP(A191,'[58]geoMap (55)'!$A:$B,2,0)*VLOOKUP(A191,'[58]geoMap (55)'!$A:$C,3,0)</f>
        <v>#REF!</v>
      </c>
      <c r="BF191" s="4" t="e">
        <f>BE191/VLOOKUP(A191,'[59]geoMap (56)'!$A:$B,2,0)*VLOOKUP(A191,'[59]geoMap (56)'!$A:$C,3,0)</f>
        <v>#REF!</v>
      </c>
      <c r="BG191" s="1" t="e">
        <f>BF191/VLOOKUP(A191,'[60]geoMap (57)'!$A:$B,2,0)*VLOOKUP(A191,'[60]geoMap (57)'!$A:$C,3,0)</f>
        <v>#REF!</v>
      </c>
      <c r="BH191" s="4" t="e">
        <f>BG191/VLOOKUP(A191,'[61]geoMap (58)'!$A:$B,2,0)*VLOOKUP(A191,'[61]geoMap (58)'!$A:$C,3,0)</f>
        <v>#REF!</v>
      </c>
      <c r="BI191" s="1" t="e">
        <f>BH191/VLOOKUP(A191,'[62]geoMap (59)'!$A:$B,2,0)*VLOOKUP(A191,'[62]geoMap (59)'!$A:$C,3,0)</f>
        <v>#REF!</v>
      </c>
      <c r="BJ191" s="4" t="e">
        <f>BI191/VLOOKUP(A191,'[63]geoMap (60)'!$A:$B,2,0)*VLOOKUP(A191,'[63]geoMap (60)'!$A:$C,3,0)</f>
        <v>#REF!</v>
      </c>
      <c r="BK191" s="1" t="e">
        <f>BJ191/VLOOKUP(A191,'[64]geoMap (61)'!$A:$B,2,0)*VLOOKUP(A191,'[64]geoMap (61)'!$A:$C,3,0)</f>
        <v>#REF!</v>
      </c>
      <c r="BL191" s="4" t="e">
        <f>BK191/VLOOKUP(A191,'[65]geoMap (62)'!$A:$B,2,0)*VLOOKUP(A191,'[65]geoMap (62)'!$A:$C,3,0)</f>
        <v>#REF!</v>
      </c>
      <c r="BM191" s="1" t="e">
        <f>BL191/VLOOKUP(A191,'[66]geoMap (63)'!$A:$B,2,0)*VLOOKUP(A191,'[66]geoMap (63)'!$A:$C,3,0)</f>
        <v>#REF!</v>
      </c>
      <c r="BN191" s="4" t="e">
        <f>BM191/VLOOKUP(A191,'[67]geoMap (64)'!$A:$B,2,0)*VLOOKUP(A191,'[67]geoMap (64)'!$A:$C,3,0)</f>
        <v>#REF!</v>
      </c>
      <c r="BO191" s="1" t="e">
        <f>BN191/VLOOKUP(A191,'[68]geoMap (65)'!$A:$B,2,0)*VLOOKUP(A191,'[68]geoMap (65)'!$A:$C,3,0)</f>
        <v>#REF!</v>
      </c>
      <c r="BP191" s="4" t="e">
        <f>BO191/VLOOKUP(A191,'[69]geoMap (66)'!$A:$B,2,0)*VLOOKUP(A191,'[69]geoMap (66)'!$A:$C,3,0)</f>
        <v>#REF!</v>
      </c>
    </row>
    <row r="192" spans="1:68" x14ac:dyDescent="0.2">
      <c r="A192" s="1" t="s">
        <v>194</v>
      </c>
      <c r="B192" s="1" t="e">
        <f>VLOOKUP(A192,[3]geoMap!$A:$B,2,0)*Notes!$C$6</f>
        <v>#REF!</v>
      </c>
      <c r="C192" s="1" t="e">
        <f>B192/VLOOKUP(A192,'[4]geoMap (1)'!$A:$B,2,0)*VLOOKUP(A192,'[4]geoMap (1)'!$A:$C,3,0)</f>
        <v>#REF!</v>
      </c>
      <c r="D192" s="1" t="e">
        <f>C192/VLOOKUP(A192,'[5]geoMap (2)'!$A:$B,2,0)*VLOOKUP(A192,'[5]geoMap (2)'!$A:$C,3,0)</f>
        <v>#REF!</v>
      </c>
      <c r="E192" s="1" t="e">
        <f>D192/VLOOKUP(A192,'[6]geoMap (3)'!$A:$B,2,0)*VLOOKUP(A192,'[6]geoMap (3)'!$A:$C,3,0)</f>
        <v>#REF!</v>
      </c>
      <c r="F192" s="1" t="e">
        <f>E192/VLOOKUP(A192,'[7]geoMap (4)'!$A:$B,2,0)*VLOOKUP(A192,'[7]geoMap (4)'!$A:$C,3,0)</f>
        <v>#REF!</v>
      </c>
      <c r="G192" s="1" t="e">
        <f>F192/VLOOKUP(A192,'[8]geoMap (5)'!$A:$B,2,0)*VLOOKUP(A192,'[8]geoMap (5)'!$A:$C,3,0)</f>
        <v>#REF!</v>
      </c>
      <c r="H192" s="1" t="e">
        <f>G192/VLOOKUP(A192,'[9]geoMap (6)'!$A:$B,2,0)*VLOOKUP(A192,'[9]geoMap (6)'!$A:$C,3,0)</f>
        <v>#REF!</v>
      </c>
      <c r="I192" s="1" t="e">
        <f>H192/VLOOKUP(A192,'[10]geoMap (7)'!$A:$B,2,0)*VLOOKUP(A192,'[10]geoMap (7)'!$A:$C,3,0)</f>
        <v>#REF!</v>
      </c>
      <c r="J192" s="1" t="e">
        <f>I192/VLOOKUP(A192,'[11]geoMap (8)'!$A:$B,2,0)*VLOOKUP(A192,'[11]geoMap (8)'!$A:$C,3,0)</f>
        <v>#REF!</v>
      </c>
      <c r="K192" s="1" t="e">
        <f>J192/VLOOKUP(A192,'[12]geoMap (9)'!$A:$B,2,0)*VLOOKUP(A192,'[12]geoMap (9)'!$A:$C,3,0)</f>
        <v>#REF!</v>
      </c>
      <c r="L192" s="1" t="e">
        <f>K192/VLOOKUP(A192,'[13]geoMap (10)'!$A:$B,2,0)*VLOOKUP(A192,'[13]geoMap (10)'!$A:$C,3,0)</f>
        <v>#REF!</v>
      </c>
      <c r="M192" s="1" t="e">
        <f>L192/VLOOKUP(A192,'[14]geoMap (11)'!$A:$B,2,0)*VLOOKUP(A192,'[14]geoMap (11)'!$A:$C,3,0)</f>
        <v>#REF!</v>
      </c>
      <c r="N192" s="1" t="e">
        <f>M192/VLOOKUP(A192,'[15]geoMap (12)'!$A:$B,2,0)*VLOOKUP(A192,'[15]geoMap (12)'!$A:$C,3,0)</f>
        <v>#REF!</v>
      </c>
      <c r="O192" s="1" t="e">
        <f>N192/VLOOKUP(A192,'[16]geoMap (13)'!$A:$B,2,0)*VLOOKUP(A192,'[16]geoMap (13)'!$A:$C,3,0)</f>
        <v>#REF!</v>
      </c>
      <c r="P192" s="1" t="e">
        <f>O192/VLOOKUP(A192,'[17]geoMap (14)'!$A:$B,2,0)*VLOOKUP(A192,'[17]geoMap (14)'!$A:$C,3,0)</f>
        <v>#REF!</v>
      </c>
      <c r="Q192" s="1" t="e">
        <f>P192/VLOOKUP(A192,'[18]geoMap (15)'!$A:$B,2,0)*VLOOKUP(A192,'[18]geoMap (15)'!$A:$C,3,0)</f>
        <v>#REF!</v>
      </c>
      <c r="R192" s="1" t="e">
        <f>Q192/VLOOKUP(A192,'[19]geoMap (16)'!$A:$B,2,0)*VLOOKUP(A192,'[19]geoMap (16)'!$A:$C,3,0)</f>
        <v>#REF!</v>
      </c>
      <c r="S192" s="1" t="e">
        <f>R192/VLOOKUP(A192,'[20]geoMap (17)'!$A:$B,2,0)*VLOOKUP(A192,'[20]geoMap (17)'!$A:$C,3,0)</f>
        <v>#REF!</v>
      </c>
      <c r="T192" s="1" t="e">
        <f>S192/VLOOKUP(A192,'[21]geoMap (18)'!$A:$B,2,0)*VLOOKUP(A192,'[21]geoMap (18)'!$A:$C,3,0)</f>
        <v>#REF!</v>
      </c>
      <c r="U192" s="1" t="e">
        <f>T192/VLOOKUP(A192,'[22]geoMap (19)'!$A:$B,2,0)*VLOOKUP(A192,'[22]geoMap (19)'!$A:$C,3,0)</f>
        <v>#REF!</v>
      </c>
      <c r="V192" s="1" t="e">
        <f>U192/VLOOKUP(A192,'[23]geoMap (20)'!$A:$B,2,0)*VLOOKUP(A192,'[23]geoMap (20)'!$A:$C,3,0)</f>
        <v>#REF!</v>
      </c>
      <c r="W192" s="1" t="e">
        <f>V192/VLOOKUP(A192,'[24]geoMap (21)'!$A:$B,2,0)*VLOOKUP(A192,'[24]geoMap (21)'!$A:$C,3,0)</f>
        <v>#REF!</v>
      </c>
      <c r="X192" s="1" t="e">
        <f>W192/VLOOKUP(A192,'[25]geoMap (22)'!$A:$B,2,0)*VLOOKUP(A192,'[25]geoMap (22)'!$A:$C,3,0)</f>
        <v>#REF!</v>
      </c>
      <c r="Y192" s="1" t="e">
        <f>X192/VLOOKUP(A192,'[26]geoMap (23)'!$A:$B,2,0)*VLOOKUP(A192,'[26]geoMap (23)'!$A:$C,3,0)</f>
        <v>#REF!</v>
      </c>
      <c r="Z192" s="1" t="e">
        <f>Y192/VLOOKUP(A192,'[27]geoMap (24)'!$A:$B,2,0)*VLOOKUP(A192,'[27]geoMap (24)'!$A:$C,3,0)</f>
        <v>#REF!</v>
      </c>
      <c r="AA192" s="1" t="e">
        <f>Z192/VLOOKUP(A192,'[28]geoMap (25)'!$A:$B,2,0)*VLOOKUP(A192,'[28]geoMap (25)'!$A:$C,3,0)</f>
        <v>#REF!</v>
      </c>
      <c r="AB192" s="1" t="e">
        <f>AA192*VLOOKUP(A192,'[29]geoMap (26)'!$A:$B,2,0)*VLOOKUP(A192,'[29]geoMap (26)'!$A:$C,3,0)</f>
        <v>#REF!</v>
      </c>
      <c r="AC192" s="1" t="e">
        <f>AB192/VLOOKUP(A192,'[30]geoMap (27)'!$A:$B,2,0)*VLOOKUP(A192,'[30]geoMap (27)'!$A:$C,3,0)</f>
        <v>#REF!</v>
      </c>
      <c r="AD192" s="1" t="e">
        <f>AC192/VLOOKUP(A192,'[31]geoMap (28)'!$A:$B,2,0)*VLOOKUP(A192,'[31]geoMap (28)'!$A:$C,3,0)</f>
        <v>#REF!</v>
      </c>
      <c r="AE192" s="1" t="e">
        <f>AD192/VLOOKUP(A192,'[32]geoMap (29)'!$A:$B,2,0)*VLOOKUP(A192,'[32]geoMap (29)'!$A:$C,3,0)</f>
        <v>#REF!</v>
      </c>
      <c r="AF192" s="1" t="e">
        <f>AE192/VLOOKUP(A192,'[33]geoMap (30)'!$A:$B,2,0)*VLOOKUP(A192,'[33]geoMap (30)'!$A:$C,3,0)</f>
        <v>#REF!</v>
      </c>
      <c r="AG192" s="1" t="e">
        <f>AF192/VLOOKUP(A192,'[34]geoMap (31)'!$A:$B,2,0)*VLOOKUP(A192,'[34]geoMap (31)'!$A:$C,3,0)</f>
        <v>#REF!</v>
      </c>
      <c r="AH192" s="1" t="e">
        <f>AG192/VLOOKUP(A192,'[35]geoMap (32)'!$A:$B,2,0)*VLOOKUP(A192,'[35]geoMap (32)'!$A:$C,3,0)</f>
        <v>#REF!</v>
      </c>
      <c r="AI192" s="1" t="e">
        <f>AH192/VLOOKUP(A192,'[36]geoMap (33)'!$A:$B,2,0)*VLOOKUP(A192,'[36]geoMap (33)'!$A:$C,3,0)</f>
        <v>#REF!</v>
      </c>
      <c r="AJ192" s="1" t="e">
        <f>AI192/VLOOKUP(A192,'[37]geoMap (34)'!$A:$B,2,0)*VLOOKUP(A192,'[37]geoMap (34)'!$A:$C,3,0)</f>
        <v>#REF!</v>
      </c>
      <c r="AK192" s="1" t="e">
        <f>AJ192/VLOOKUP(A192,'[38]geoMap (35)'!$A:$B,2,0)*VLOOKUP(A192,'[38]geoMap (35)'!$A:$C,3,0)</f>
        <v>#REF!</v>
      </c>
      <c r="AL192" s="1" t="e">
        <f>AK192/VLOOKUP(A192,'[39]geoMap (36)'!$A:$B,2,0)*VLOOKUP(A192,'[39]geoMap (36)'!$A:$C,3,0)</f>
        <v>#REF!</v>
      </c>
      <c r="AM192" s="1" t="e">
        <f>AL192/VLOOKUP(A192,'[40]geoMap (37)'!$A:$B,2,0)*VLOOKUP(A192,'[40]geoMap (37)'!$A:$C,3,0)</f>
        <v>#REF!</v>
      </c>
      <c r="AN192" s="1" t="e">
        <f>AM192/VLOOKUP(A192,'[41]geoMap (38)'!$A:$B,2,0)*VLOOKUP(A192,'[41]geoMap (38)'!$A:$C,3,0)</f>
        <v>#REF!</v>
      </c>
      <c r="AO192" s="1" t="e">
        <f>AN192/VLOOKUP(A192,'[42]geoMap (39)'!$A:$B,2,0)*VLOOKUP(A192,'[42]geoMap (39)'!$A:$C,3,0)</f>
        <v>#REF!</v>
      </c>
      <c r="AP192" s="1" t="e">
        <f>AO192/VLOOKUP(A192,'[43]geoMap (40)'!$A:$B,2,0)*VLOOKUP(A192,'[43]geoMap (40)'!$A:$C,3,0)</f>
        <v>#REF!</v>
      </c>
      <c r="AQ192" s="1" t="e">
        <f>AP192/VLOOKUP(A192,'[44]geoMap (41)'!$A:$B,2,0)*VLOOKUP(A192,'[44]geoMap (41)'!$A:$C,3,0)</f>
        <v>#REF!</v>
      </c>
      <c r="AR192" s="1" t="e">
        <f>AQ192/VLOOKUP(A192,'[45]geoMap (42)'!$A:$B,2,0)*VLOOKUP(A192,'[45]geoMap (42)'!$A:$C,3,0)</f>
        <v>#REF!</v>
      </c>
      <c r="AS192" s="1" t="e">
        <f>AR192/VLOOKUP(A192,'[46]geoMap (43)'!$A:$B,2,0)*VLOOKUP(A192,'[46]geoMap (43)'!$A:$C,3,0)</f>
        <v>#REF!</v>
      </c>
      <c r="AT192" s="1" t="e">
        <f>AS192/VLOOKUP(A192,'[47]geoMap (44)'!$A:$B,2,0)*VLOOKUP(A192,'[47]geoMap (44)'!$A:$C,3,0)</f>
        <v>#REF!</v>
      </c>
      <c r="AU192" s="1" t="e">
        <f>AT192/VLOOKUP(A192,'[48]geoMap (45)'!$A:$B,2,0)*VLOOKUP(A192,'[48]geoMap (45)'!$A:$C,3,0)</f>
        <v>#REF!</v>
      </c>
      <c r="AV192" s="1" t="e">
        <f>AU192/VLOOKUP(A192,'[49]geoMap (46)'!$A:$B,2,0)*VLOOKUP(A192,'[49]geoMap (46)'!$A:$C,3,0)</f>
        <v>#REF!</v>
      </c>
      <c r="AW192" s="1" t="e">
        <f>AV192/VLOOKUP(A192,'[50]geoMap (47)'!$A:$B,2,0)*VLOOKUP(A192,'[50]geoMap (47)'!$A:$C,3,0)</f>
        <v>#REF!</v>
      </c>
      <c r="AX192" s="4" t="e">
        <f>AW192/VLOOKUP(A192,'[51]geoMap (48)'!$A:$B,2,0)*VLOOKUP(A192,'[51]geoMap (48)'!$A:$C,3,0)</f>
        <v>#REF!</v>
      </c>
      <c r="AY192" s="1" t="e">
        <f>AX192/VLOOKUP(A192,'[52]geoMap (49)'!$A:$B,2,0)*VLOOKUP(A192,'[52]geoMap (49)'!$A:$C,3,0)</f>
        <v>#REF!</v>
      </c>
      <c r="AZ192" s="4" t="e">
        <f>AY192/VLOOKUP(A192,'[53]geoMap (50)'!$A:$B,2,0)*VLOOKUP(A192,'[53]geoMap (50)'!$A:$C,3,0)</f>
        <v>#REF!</v>
      </c>
      <c r="BA192" s="1" t="e">
        <f>AZ192/VLOOKUP(A192,'[54]geoMap (51)'!$A:$B,2,0)*VLOOKUP(A192,'[54]geoMap (51)'!$A:$C,3,0)</f>
        <v>#REF!</v>
      </c>
      <c r="BB192" s="4" t="e">
        <f>BA192/VLOOKUP(A192,'[55]geoMap (52)'!$A:$B,2,0)*VLOOKUP(A192,'[55]geoMap (52)'!$A:$C,3,0)</f>
        <v>#REF!</v>
      </c>
      <c r="BC192" s="1" t="e">
        <f>BB192/VLOOKUP(A192,'[56]geoMap (53)'!$A:$B,2,0)*VLOOKUP(A192,'[56]geoMap (53)'!$A:$C,3,0)</f>
        <v>#REF!</v>
      </c>
      <c r="BD192" s="4" t="e">
        <f>BC192/VLOOKUP(A192,'[57]geoMap (54)'!$A:$B,2,0)*VLOOKUP(A192,'[57]geoMap (54)'!$A:$C,3,0)</f>
        <v>#REF!</v>
      </c>
      <c r="BE192" s="1" t="e">
        <f>BD192/VLOOKUP(A192,'[58]geoMap (55)'!$A:$B,2,0)*VLOOKUP(A192,'[58]geoMap (55)'!$A:$C,3,0)</f>
        <v>#REF!</v>
      </c>
      <c r="BF192" s="4" t="e">
        <f>BE192/VLOOKUP(A192,'[59]geoMap (56)'!$A:$B,2,0)*VLOOKUP(A192,'[59]geoMap (56)'!$A:$C,3,0)</f>
        <v>#REF!</v>
      </c>
      <c r="BG192" s="1" t="e">
        <f>BF192/VLOOKUP(A192,'[60]geoMap (57)'!$A:$B,2,0)*VLOOKUP(A192,'[60]geoMap (57)'!$A:$C,3,0)</f>
        <v>#REF!</v>
      </c>
      <c r="BH192" s="4" t="e">
        <f>BG192/VLOOKUP(A192,'[61]geoMap (58)'!$A:$B,2,0)*VLOOKUP(A192,'[61]geoMap (58)'!$A:$C,3,0)</f>
        <v>#REF!</v>
      </c>
      <c r="BI192" s="1" t="e">
        <f>BH192/VLOOKUP(A192,'[62]geoMap (59)'!$A:$B,2,0)*VLOOKUP(A192,'[62]geoMap (59)'!$A:$C,3,0)</f>
        <v>#REF!</v>
      </c>
      <c r="BJ192" s="4" t="e">
        <f>BI192/VLOOKUP(A192,'[63]geoMap (60)'!$A:$B,2,0)*VLOOKUP(A192,'[63]geoMap (60)'!$A:$C,3,0)</f>
        <v>#REF!</v>
      </c>
      <c r="BK192" s="1" t="e">
        <f>BJ192/VLOOKUP(A192,'[64]geoMap (61)'!$A:$B,2,0)*VLOOKUP(A192,'[64]geoMap (61)'!$A:$C,3,0)</f>
        <v>#REF!</v>
      </c>
      <c r="BL192" s="4" t="e">
        <f>BK192/VLOOKUP(A192,'[65]geoMap (62)'!$A:$B,2,0)*VLOOKUP(A192,'[65]geoMap (62)'!$A:$C,3,0)</f>
        <v>#REF!</v>
      </c>
      <c r="BM192" s="1" t="e">
        <f>BL192/VLOOKUP(A192,'[66]geoMap (63)'!$A:$B,2,0)*VLOOKUP(A192,'[66]geoMap (63)'!$A:$C,3,0)</f>
        <v>#REF!</v>
      </c>
      <c r="BN192" s="4" t="e">
        <f>BM192/VLOOKUP(A192,'[67]geoMap (64)'!$A:$B,2,0)*VLOOKUP(A192,'[67]geoMap (64)'!$A:$C,3,0)</f>
        <v>#REF!</v>
      </c>
      <c r="BO192" s="1" t="e">
        <f>BN192/VLOOKUP(A192,'[68]geoMap (65)'!$A:$B,2,0)*VLOOKUP(A192,'[68]geoMap (65)'!$A:$C,3,0)</f>
        <v>#REF!</v>
      </c>
      <c r="BP192" s="4" t="e">
        <f>BO192/VLOOKUP(A192,'[69]geoMap (66)'!$A:$B,2,0)*VLOOKUP(A192,'[69]geoMap (66)'!$A:$C,3,0)</f>
        <v>#REF!</v>
      </c>
    </row>
    <row r="193" spans="1:68" x14ac:dyDescent="0.2">
      <c r="A193" s="1" t="s">
        <v>195</v>
      </c>
      <c r="B193" s="1" t="e">
        <f>VLOOKUP(A193,[3]geoMap!$A:$B,2,0)*Notes!$C$6</f>
        <v>#REF!</v>
      </c>
      <c r="C193" s="1" t="e">
        <f>B193/VLOOKUP(A193,'[4]geoMap (1)'!$A:$B,2,0)*VLOOKUP(A193,'[4]geoMap (1)'!$A:$C,3,0)</f>
        <v>#REF!</v>
      </c>
      <c r="D193" s="1" t="e">
        <f>C193/VLOOKUP(A193,'[5]geoMap (2)'!$A:$B,2,0)*VLOOKUP(A193,'[5]geoMap (2)'!$A:$C,3,0)</f>
        <v>#REF!</v>
      </c>
      <c r="E193" s="1" t="e">
        <f>D193/VLOOKUP(A193,'[6]geoMap (3)'!$A:$B,2,0)*VLOOKUP(A193,'[6]geoMap (3)'!$A:$C,3,0)</f>
        <v>#REF!</v>
      </c>
      <c r="F193" s="1" t="e">
        <f>E193/VLOOKUP(A193,'[7]geoMap (4)'!$A:$B,2,0)*VLOOKUP(A193,'[7]geoMap (4)'!$A:$C,3,0)</f>
        <v>#REF!</v>
      </c>
      <c r="G193" s="1" t="e">
        <f>F193/VLOOKUP(A193,'[8]geoMap (5)'!$A:$B,2,0)*VLOOKUP(A193,'[8]geoMap (5)'!$A:$C,3,0)</f>
        <v>#REF!</v>
      </c>
      <c r="H193" s="1" t="e">
        <f>G193/VLOOKUP(A193,'[9]geoMap (6)'!$A:$B,2,0)*VLOOKUP(A193,'[9]geoMap (6)'!$A:$C,3,0)</f>
        <v>#REF!</v>
      </c>
      <c r="I193" s="1" t="e">
        <f>H193/VLOOKUP(A193,'[10]geoMap (7)'!$A:$B,2,0)*VLOOKUP(A193,'[10]geoMap (7)'!$A:$C,3,0)</f>
        <v>#REF!</v>
      </c>
      <c r="J193" s="1" t="e">
        <f>I193/VLOOKUP(A193,'[11]geoMap (8)'!$A:$B,2,0)*VLOOKUP(A193,'[11]geoMap (8)'!$A:$C,3,0)</f>
        <v>#REF!</v>
      </c>
      <c r="K193" s="1" t="e">
        <f>J193/VLOOKUP(A193,'[12]geoMap (9)'!$A:$B,2,0)*VLOOKUP(A193,'[12]geoMap (9)'!$A:$C,3,0)</f>
        <v>#REF!</v>
      </c>
      <c r="L193" s="1" t="e">
        <f>K193/VLOOKUP(A193,'[13]geoMap (10)'!$A:$B,2,0)*VLOOKUP(A193,'[13]geoMap (10)'!$A:$C,3,0)</f>
        <v>#REF!</v>
      </c>
      <c r="M193" s="1" t="e">
        <f>L193/VLOOKUP(A193,'[14]geoMap (11)'!$A:$B,2,0)*VLOOKUP(A193,'[14]geoMap (11)'!$A:$C,3,0)</f>
        <v>#REF!</v>
      </c>
      <c r="N193" s="1" t="e">
        <f>M193/VLOOKUP(A193,'[15]geoMap (12)'!$A:$B,2,0)*VLOOKUP(A193,'[15]geoMap (12)'!$A:$C,3,0)</f>
        <v>#REF!</v>
      </c>
      <c r="O193" s="1" t="e">
        <f>N193/VLOOKUP(A193,'[16]geoMap (13)'!$A:$B,2,0)*VLOOKUP(A193,'[16]geoMap (13)'!$A:$C,3,0)</f>
        <v>#REF!</v>
      </c>
      <c r="P193" s="1" t="e">
        <f>O193/VLOOKUP(A193,'[17]geoMap (14)'!$A:$B,2,0)*VLOOKUP(A193,'[17]geoMap (14)'!$A:$C,3,0)</f>
        <v>#REF!</v>
      </c>
      <c r="Q193" s="1" t="e">
        <f>P193/VLOOKUP(A193,'[18]geoMap (15)'!$A:$B,2,0)*VLOOKUP(A193,'[18]geoMap (15)'!$A:$C,3,0)</f>
        <v>#REF!</v>
      </c>
      <c r="R193" s="1" t="e">
        <f>Q193/VLOOKUP(A193,'[19]geoMap (16)'!$A:$B,2,0)*VLOOKUP(A193,'[19]geoMap (16)'!$A:$C,3,0)</f>
        <v>#REF!</v>
      </c>
      <c r="S193" s="1" t="e">
        <f>R193/VLOOKUP(A193,'[20]geoMap (17)'!$A:$B,2,0)*VLOOKUP(A193,'[20]geoMap (17)'!$A:$C,3,0)</f>
        <v>#REF!</v>
      </c>
      <c r="T193" s="1" t="e">
        <f>S193/VLOOKUP(A193,'[21]geoMap (18)'!$A:$B,2,0)*VLOOKUP(A193,'[21]geoMap (18)'!$A:$C,3,0)</f>
        <v>#REF!</v>
      </c>
      <c r="U193" s="1" t="e">
        <f>T193/VLOOKUP(A193,'[22]geoMap (19)'!$A:$B,2,0)*VLOOKUP(A193,'[22]geoMap (19)'!$A:$C,3,0)</f>
        <v>#REF!</v>
      </c>
      <c r="V193" s="1" t="e">
        <f>U193/VLOOKUP(A193,'[23]geoMap (20)'!$A:$B,2,0)*VLOOKUP(A193,'[23]geoMap (20)'!$A:$C,3,0)</f>
        <v>#REF!</v>
      </c>
      <c r="W193" s="1" t="e">
        <f>V193/VLOOKUP(A193,'[24]geoMap (21)'!$A:$B,2,0)*VLOOKUP(A193,'[24]geoMap (21)'!$A:$C,3,0)</f>
        <v>#REF!</v>
      </c>
      <c r="X193" s="1" t="e">
        <f>W193/VLOOKUP(A193,'[25]geoMap (22)'!$A:$B,2,0)*VLOOKUP(A193,'[25]geoMap (22)'!$A:$C,3,0)</f>
        <v>#REF!</v>
      </c>
      <c r="Y193" s="1" t="e">
        <f>X193/VLOOKUP(A193,'[26]geoMap (23)'!$A:$B,2,0)*VLOOKUP(A193,'[26]geoMap (23)'!$A:$C,3,0)</f>
        <v>#REF!</v>
      </c>
      <c r="Z193" s="1" t="e">
        <f>Y193/VLOOKUP(A193,'[27]geoMap (24)'!$A:$B,2,0)*VLOOKUP(A193,'[27]geoMap (24)'!$A:$C,3,0)</f>
        <v>#REF!</v>
      </c>
      <c r="AA193" s="1" t="e">
        <f>Z193/VLOOKUP(A193,'[28]geoMap (25)'!$A:$B,2,0)*VLOOKUP(A193,'[28]geoMap (25)'!$A:$C,3,0)</f>
        <v>#REF!</v>
      </c>
      <c r="AB193" s="1" t="e">
        <f>AA193*VLOOKUP(A193,'[29]geoMap (26)'!$A:$B,2,0)*VLOOKUP(A193,'[29]geoMap (26)'!$A:$C,3,0)</f>
        <v>#REF!</v>
      </c>
      <c r="AC193" s="1" t="e">
        <f>AB193/VLOOKUP(A193,'[30]geoMap (27)'!$A:$B,2,0)*VLOOKUP(A193,'[30]geoMap (27)'!$A:$C,3,0)</f>
        <v>#REF!</v>
      </c>
      <c r="AD193" s="1" t="e">
        <f>AC193/VLOOKUP(A193,'[31]geoMap (28)'!$A:$B,2,0)*VLOOKUP(A193,'[31]geoMap (28)'!$A:$C,3,0)</f>
        <v>#REF!</v>
      </c>
      <c r="AE193" s="1" t="e">
        <f>AD193/VLOOKUP(A193,'[32]geoMap (29)'!$A:$B,2,0)*VLOOKUP(A193,'[32]geoMap (29)'!$A:$C,3,0)</f>
        <v>#REF!</v>
      </c>
      <c r="AF193" s="1" t="e">
        <f>AE193/VLOOKUP(A193,'[33]geoMap (30)'!$A:$B,2,0)*VLOOKUP(A193,'[33]geoMap (30)'!$A:$C,3,0)</f>
        <v>#REF!</v>
      </c>
      <c r="AG193" s="1" t="e">
        <f>AF193/VLOOKUP(A193,'[34]geoMap (31)'!$A:$B,2,0)*VLOOKUP(A193,'[34]geoMap (31)'!$A:$C,3,0)</f>
        <v>#REF!</v>
      </c>
      <c r="AH193" s="1" t="e">
        <f>AG193/VLOOKUP(A193,'[35]geoMap (32)'!$A:$B,2,0)*VLOOKUP(A193,'[35]geoMap (32)'!$A:$C,3,0)</f>
        <v>#REF!</v>
      </c>
      <c r="AI193" s="1" t="e">
        <f>AH193/VLOOKUP(A193,'[36]geoMap (33)'!$A:$B,2,0)*VLOOKUP(A193,'[36]geoMap (33)'!$A:$C,3,0)</f>
        <v>#REF!</v>
      </c>
      <c r="AJ193" s="1" t="e">
        <f>AI193/VLOOKUP(A193,'[37]geoMap (34)'!$A:$B,2,0)*VLOOKUP(A193,'[37]geoMap (34)'!$A:$C,3,0)</f>
        <v>#REF!</v>
      </c>
      <c r="AK193" s="1" t="e">
        <f>AJ193/VLOOKUP(A193,'[38]geoMap (35)'!$A:$B,2,0)*VLOOKUP(A193,'[38]geoMap (35)'!$A:$C,3,0)</f>
        <v>#REF!</v>
      </c>
      <c r="AL193" s="1" t="e">
        <f>AK193/VLOOKUP(A193,'[39]geoMap (36)'!$A:$B,2,0)*VLOOKUP(A193,'[39]geoMap (36)'!$A:$C,3,0)</f>
        <v>#REF!</v>
      </c>
      <c r="AM193" s="1" t="e">
        <f>AL193/VLOOKUP(A193,'[40]geoMap (37)'!$A:$B,2,0)*VLOOKUP(A193,'[40]geoMap (37)'!$A:$C,3,0)</f>
        <v>#REF!</v>
      </c>
      <c r="AN193" s="1" t="e">
        <f>AM193/VLOOKUP(A193,'[41]geoMap (38)'!$A:$B,2,0)*VLOOKUP(A193,'[41]geoMap (38)'!$A:$C,3,0)</f>
        <v>#REF!</v>
      </c>
      <c r="AO193" s="1" t="e">
        <f>AN193/VLOOKUP(A193,'[42]geoMap (39)'!$A:$B,2,0)*VLOOKUP(A193,'[42]geoMap (39)'!$A:$C,3,0)</f>
        <v>#REF!</v>
      </c>
      <c r="AP193" s="1" t="e">
        <f>AO193/VLOOKUP(A193,'[43]geoMap (40)'!$A:$B,2,0)*VLOOKUP(A193,'[43]geoMap (40)'!$A:$C,3,0)</f>
        <v>#REF!</v>
      </c>
      <c r="AQ193" s="1" t="e">
        <f>AP193/VLOOKUP(A193,'[44]geoMap (41)'!$A:$B,2,0)*VLOOKUP(A193,'[44]geoMap (41)'!$A:$C,3,0)</f>
        <v>#REF!</v>
      </c>
      <c r="AR193" s="1" t="e">
        <f>AQ193/VLOOKUP(A193,'[45]geoMap (42)'!$A:$B,2,0)*VLOOKUP(A193,'[45]geoMap (42)'!$A:$C,3,0)</f>
        <v>#REF!</v>
      </c>
      <c r="AS193" s="1" t="e">
        <f>AR193/VLOOKUP(A193,'[46]geoMap (43)'!$A:$B,2,0)*VLOOKUP(A193,'[46]geoMap (43)'!$A:$C,3,0)</f>
        <v>#REF!</v>
      </c>
      <c r="AT193" s="1" t="e">
        <f>AS193/VLOOKUP(A193,'[47]geoMap (44)'!$A:$B,2,0)*VLOOKUP(A193,'[47]geoMap (44)'!$A:$C,3,0)</f>
        <v>#REF!</v>
      </c>
      <c r="AU193" s="1" t="e">
        <f>AT193/VLOOKUP(A193,'[48]geoMap (45)'!$A:$B,2,0)*VLOOKUP(A193,'[48]geoMap (45)'!$A:$C,3,0)</f>
        <v>#REF!</v>
      </c>
      <c r="AV193" s="1" t="e">
        <f>AU193/VLOOKUP(A193,'[49]geoMap (46)'!$A:$B,2,0)*VLOOKUP(A193,'[49]geoMap (46)'!$A:$C,3,0)</f>
        <v>#REF!</v>
      </c>
      <c r="AW193" s="1" t="e">
        <f>AV193/VLOOKUP(A193,'[50]geoMap (47)'!$A:$B,2,0)*VLOOKUP(A193,'[50]geoMap (47)'!$A:$C,3,0)</f>
        <v>#REF!</v>
      </c>
      <c r="AX193" s="4" t="e">
        <f>AW193/VLOOKUP(A193,'[51]geoMap (48)'!$A:$B,2,0)*VLOOKUP(A193,'[51]geoMap (48)'!$A:$C,3,0)</f>
        <v>#REF!</v>
      </c>
      <c r="AY193" s="1" t="e">
        <f>AX193/VLOOKUP(A193,'[52]geoMap (49)'!$A:$B,2,0)*VLOOKUP(A193,'[52]geoMap (49)'!$A:$C,3,0)</f>
        <v>#REF!</v>
      </c>
      <c r="AZ193" s="4" t="e">
        <f>AY193/VLOOKUP(A193,'[53]geoMap (50)'!$A:$B,2,0)*VLOOKUP(A193,'[53]geoMap (50)'!$A:$C,3,0)</f>
        <v>#REF!</v>
      </c>
      <c r="BA193" s="1" t="e">
        <f>AZ193/VLOOKUP(A193,'[54]geoMap (51)'!$A:$B,2,0)*VLOOKUP(A193,'[54]geoMap (51)'!$A:$C,3,0)</f>
        <v>#REF!</v>
      </c>
      <c r="BB193" s="4" t="e">
        <f>BA193/VLOOKUP(A193,'[55]geoMap (52)'!$A:$B,2,0)*VLOOKUP(A193,'[55]geoMap (52)'!$A:$C,3,0)</f>
        <v>#REF!</v>
      </c>
      <c r="BC193" s="1" t="e">
        <f>BB193/VLOOKUP(A193,'[56]geoMap (53)'!$A:$B,2,0)*VLOOKUP(A193,'[56]geoMap (53)'!$A:$C,3,0)</f>
        <v>#REF!</v>
      </c>
      <c r="BD193" s="4" t="e">
        <f>BC193/VLOOKUP(A193,'[57]geoMap (54)'!$A:$B,2,0)*VLOOKUP(A193,'[57]geoMap (54)'!$A:$C,3,0)</f>
        <v>#REF!</v>
      </c>
      <c r="BE193" s="1" t="e">
        <f>BD193/VLOOKUP(A193,'[58]geoMap (55)'!$A:$B,2,0)*VLOOKUP(A193,'[58]geoMap (55)'!$A:$C,3,0)</f>
        <v>#REF!</v>
      </c>
      <c r="BF193" s="4" t="e">
        <f>BE193/VLOOKUP(A193,'[59]geoMap (56)'!$A:$B,2,0)*VLOOKUP(A193,'[59]geoMap (56)'!$A:$C,3,0)</f>
        <v>#REF!</v>
      </c>
      <c r="BG193" s="1" t="e">
        <f>BF193/VLOOKUP(A193,'[60]geoMap (57)'!$A:$B,2,0)*VLOOKUP(A193,'[60]geoMap (57)'!$A:$C,3,0)</f>
        <v>#REF!</v>
      </c>
      <c r="BH193" s="4" t="e">
        <f>BG193/VLOOKUP(A193,'[61]geoMap (58)'!$A:$B,2,0)*VLOOKUP(A193,'[61]geoMap (58)'!$A:$C,3,0)</f>
        <v>#REF!</v>
      </c>
      <c r="BI193" s="1" t="e">
        <f>BH193/VLOOKUP(A193,'[62]geoMap (59)'!$A:$B,2,0)*VLOOKUP(A193,'[62]geoMap (59)'!$A:$C,3,0)</f>
        <v>#REF!</v>
      </c>
      <c r="BJ193" s="4" t="e">
        <f>BI193/VLOOKUP(A193,'[63]geoMap (60)'!$A:$B,2,0)*VLOOKUP(A193,'[63]geoMap (60)'!$A:$C,3,0)</f>
        <v>#REF!</v>
      </c>
      <c r="BK193" s="1" t="e">
        <f>BJ193/VLOOKUP(A193,'[64]geoMap (61)'!$A:$B,2,0)*VLOOKUP(A193,'[64]geoMap (61)'!$A:$C,3,0)</f>
        <v>#REF!</v>
      </c>
      <c r="BL193" s="4" t="e">
        <f>BK193/VLOOKUP(A193,'[65]geoMap (62)'!$A:$B,2,0)*VLOOKUP(A193,'[65]geoMap (62)'!$A:$C,3,0)</f>
        <v>#REF!</v>
      </c>
      <c r="BM193" s="1" t="e">
        <f>BL193/VLOOKUP(A193,'[66]geoMap (63)'!$A:$B,2,0)*VLOOKUP(A193,'[66]geoMap (63)'!$A:$C,3,0)</f>
        <v>#REF!</v>
      </c>
      <c r="BN193" s="4" t="e">
        <f>BM193/VLOOKUP(A193,'[67]geoMap (64)'!$A:$B,2,0)*VLOOKUP(A193,'[67]geoMap (64)'!$A:$C,3,0)</f>
        <v>#REF!</v>
      </c>
      <c r="BO193" s="1" t="e">
        <f>BN193/VLOOKUP(A193,'[68]geoMap (65)'!$A:$B,2,0)*VLOOKUP(A193,'[68]geoMap (65)'!$A:$C,3,0)</f>
        <v>#REF!</v>
      </c>
      <c r="BP193" s="4" t="e">
        <f>BO193/VLOOKUP(A193,'[69]geoMap (66)'!$A:$B,2,0)*VLOOKUP(A193,'[69]geoMap (66)'!$A:$C,3,0)</f>
        <v>#REF!</v>
      </c>
    </row>
    <row r="194" spans="1:68" x14ac:dyDescent="0.2">
      <c r="A194" s="1" t="s">
        <v>196</v>
      </c>
      <c r="B194" s="1" t="e">
        <f>VLOOKUP(A194,[3]geoMap!$A:$B,2,0)*Notes!$C$6</f>
        <v>#REF!</v>
      </c>
      <c r="C194" s="1" t="e">
        <f>B194/VLOOKUP(A194,'[4]geoMap (1)'!$A:$B,2,0)*VLOOKUP(A194,'[4]geoMap (1)'!$A:$C,3,0)</f>
        <v>#REF!</v>
      </c>
      <c r="D194" s="1" t="e">
        <f>C194/VLOOKUP(A194,'[5]geoMap (2)'!$A:$B,2,0)*VLOOKUP(A194,'[5]geoMap (2)'!$A:$C,3,0)</f>
        <v>#REF!</v>
      </c>
      <c r="E194" s="1" t="e">
        <f>D194/VLOOKUP(A194,'[6]geoMap (3)'!$A:$B,2,0)*VLOOKUP(A194,'[6]geoMap (3)'!$A:$C,3,0)</f>
        <v>#REF!</v>
      </c>
      <c r="F194" s="1" t="e">
        <f>E194/VLOOKUP(A194,'[7]geoMap (4)'!$A:$B,2,0)*VLOOKUP(A194,'[7]geoMap (4)'!$A:$C,3,0)</f>
        <v>#REF!</v>
      </c>
      <c r="G194" s="1" t="e">
        <f>F194/VLOOKUP(A194,'[8]geoMap (5)'!$A:$B,2,0)*VLOOKUP(A194,'[8]geoMap (5)'!$A:$C,3,0)</f>
        <v>#REF!</v>
      </c>
      <c r="H194" s="1" t="e">
        <f>G194/VLOOKUP(A194,'[9]geoMap (6)'!$A:$B,2,0)*VLOOKUP(A194,'[9]geoMap (6)'!$A:$C,3,0)</f>
        <v>#REF!</v>
      </c>
      <c r="I194" s="1" t="e">
        <f>H194/VLOOKUP(A194,'[10]geoMap (7)'!$A:$B,2,0)*VLOOKUP(A194,'[10]geoMap (7)'!$A:$C,3,0)</f>
        <v>#REF!</v>
      </c>
      <c r="J194" s="1" t="e">
        <f>I194/VLOOKUP(A194,'[11]geoMap (8)'!$A:$B,2,0)*VLOOKUP(A194,'[11]geoMap (8)'!$A:$C,3,0)</f>
        <v>#REF!</v>
      </c>
      <c r="K194" s="1" t="e">
        <f>J194/VLOOKUP(A194,'[12]geoMap (9)'!$A:$B,2,0)*VLOOKUP(A194,'[12]geoMap (9)'!$A:$C,3,0)</f>
        <v>#REF!</v>
      </c>
      <c r="L194" s="1" t="e">
        <f>K194/VLOOKUP(A194,'[13]geoMap (10)'!$A:$B,2,0)*VLOOKUP(A194,'[13]geoMap (10)'!$A:$C,3,0)</f>
        <v>#REF!</v>
      </c>
      <c r="M194" s="1" t="e">
        <f>L194/VLOOKUP(A194,'[14]geoMap (11)'!$A:$B,2,0)*VLOOKUP(A194,'[14]geoMap (11)'!$A:$C,3,0)</f>
        <v>#REF!</v>
      </c>
      <c r="N194" s="1" t="e">
        <f>M194/VLOOKUP(A194,'[15]geoMap (12)'!$A:$B,2,0)*VLOOKUP(A194,'[15]geoMap (12)'!$A:$C,3,0)</f>
        <v>#REF!</v>
      </c>
      <c r="O194" s="1" t="e">
        <f>N194/VLOOKUP(A194,'[16]geoMap (13)'!$A:$B,2,0)*VLOOKUP(A194,'[16]geoMap (13)'!$A:$C,3,0)</f>
        <v>#REF!</v>
      </c>
      <c r="P194" s="1" t="e">
        <f>O194/VLOOKUP(A194,'[17]geoMap (14)'!$A:$B,2,0)*VLOOKUP(A194,'[17]geoMap (14)'!$A:$C,3,0)</f>
        <v>#REF!</v>
      </c>
      <c r="Q194" s="1" t="e">
        <f>P194/VLOOKUP(A194,'[18]geoMap (15)'!$A:$B,2,0)*VLOOKUP(A194,'[18]geoMap (15)'!$A:$C,3,0)</f>
        <v>#REF!</v>
      </c>
      <c r="R194" s="1" t="e">
        <f>Q194/VLOOKUP(A194,'[19]geoMap (16)'!$A:$B,2,0)*VLOOKUP(A194,'[19]geoMap (16)'!$A:$C,3,0)</f>
        <v>#REF!</v>
      </c>
      <c r="S194" s="1" t="e">
        <f>R194/VLOOKUP(A194,'[20]geoMap (17)'!$A:$B,2,0)*VLOOKUP(A194,'[20]geoMap (17)'!$A:$C,3,0)</f>
        <v>#REF!</v>
      </c>
      <c r="T194" s="1" t="e">
        <f>S194/VLOOKUP(A194,'[21]geoMap (18)'!$A:$B,2,0)*VLOOKUP(A194,'[21]geoMap (18)'!$A:$C,3,0)</f>
        <v>#REF!</v>
      </c>
      <c r="U194" s="1" t="e">
        <f>T194/VLOOKUP(A194,'[22]geoMap (19)'!$A:$B,2,0)*VLOOKUP(A194,'[22]geoMap (19)'!$A:$C,3,0)</f>
        <v>#REF!</v>
      </c>
      <c r="V194" s="1" t="e">
        <f>U194/VLOOKUP(A194,'[23]geoMap (20)'!$A:$B,2,0)*VLOOKUP(A194,'[23]geoMap (20)'!$A:$C,3,0)</f>
        <v>#REF!</v>
      </c>
      <c r="W194" s="1" t="e">
        <f>V194/VLOOKUP(A194,'[24]geoMap (21)'!$A:$B,2,0)*VLOOKUP(A194,'[24]geoMap (21)'!$A:$C,3,0)</f>
        <v>#REF!</v>
      </c>
      <c r="X194" s="1" t="e">
        <f>W194/VLOOKUP(A194,'[25]geoMap (22)'!$A:$B,2,0)*VLOOKUP(A194,'[25]geoMap (22)'!$A:$C,3,0)</f>
        <v>#REF!</v>
      </c>
      <c r="Y194" s="1" t="e">
        <f>X194/VLOOKUP(A194,'[26]geoMap (23)'!$A:$B,2,0)*VLOOKUP(A194,'[26]geoMap (23)'!$A:$C,3,0)</f>
        <v>#REF!</v>
      </c>
      <c r="Z194" s="1" t="e">
        <f>Y194/VLOOKUP(A194,'[27]geoMap (24)'!$A:$B,2,0)*VLOOKUP(A194,'[27]geoMap (24)'!$A:$C,3,0)</f>
        <v>#REF!</v>
      </c>
      <c r="AA194" s="1" t="e">
        <f>Z194/VLOOKUP(A194,'[28]geoMap (25)'!$A:$B,2,0)*VLOOKUP(A194,'[28]geoMap (25)'!$A:$C,3,0)</f>
        <v>#REF!</v>
      </c>
      <c r="AB194" s="1" t="e">
        <f>AA194*VLOOKUP(A194,'[29]geoMap (26)'!$A:$B,2,0)*VLOOKUP(A194,'[29]geoMap (26)'!$A:$C,3,0)</f>
        <v>#REF!</v>
      </c>
      <c r="AC194" s="1" t="e">
        <f>AB194/VLOOKUP(A194,'[30]geoMap (27)'!$A:$B,2,0)*VLOOKUP(A194,'[30]geoMap (27)'!$A:$C,3,0)</f>
        <v>#REF!</v>
      </c>
      <c r="AD194" s="1" t="e">
        <f>AC194/VLOOKUP(A194,'[31]geoMap (28)'!$A:$B,2,0)*VLOOKUP(A194,'[31]geoMap (28)'!$A:$C,3,0)</f>
        <v>#REF!</v>
      </c>
      <c r="AE194" s="1" t="e">
        <f>AD194/VLOOKUP(A194,'[32]geoMap (29)'!$A:$B,2,0)*VLOOKUP(A194,'[32]geoMap (29)'!$A:$C,3,0)</f>
        <v>#REF!</v>
      </c>
      <c r="AF194" s="1" t="e">
        <f>AE194/VLOOKUP(A194,'[33]geoMap (30)'!$A:$B,2,0)*VLOOKUP(A194,'[33]geoMap (30)'!$A:$C,3,0)</f>
        <v>#REF!</v>
      </c>
      <c r="AG194" s="1" t="e">
        <f>AF194/VLOOKUP(A194,'[34]geoMap (31)'!$A:$B,2,0)*VLOOKUP(A194,'[34]geoMap (31)'!$A:$C,3,0)</f>
        <v>#REF!</v>
      </c>
      <c r="AH194" s="1" t="e">
        <f>AG194/VLOOKUP(A194,'[35]geoMap (32)'!$A:$B,2,0)*VLOOKUP(A194,'[35]geoMap (32)'!$A:$C,3,0)</f>
        <v>#REF!</v>
      </c>
      <c r="AI194" s="1" t="e">
        <f>AH194/VLOOKUP(A194,'[36]geoMap (33)'!$A:$B,2,0)*VLOOKUP(A194,'[36]geoMap (33)'!$A:$C,3,0)</f>
        <v>#REF!</v>
      </c>
      <c r="AJ194" s="1" t="e">
        <f>AI194/VLOOKUP(A194,'[37]geoMap (34)'!$A:$B,2,0)*VLOOKUP(A194,'[37]geoMap (34)'!$A:$C,3,0)</f>
        <v>#REF!</v>
      </c>
      <c r="AK194" s="1" t="e">
        <f>AJ194/VLOOKUP(A194,'[38]geoMap (35)'!$A:$B,2,0)*VLOOKUP(A194,'[38]geoMap (35)'!$A:$C,3,0)</f>
        <v>#REF!</v>
      </c>
      <c r="AL194" s="1" t="e">
        <f>AK194/VLOOKUP(A194,'[39]geoMap (36)'!$A:$B,2,0)*VLOOKUP(A194,'[39]geoMap (36)'!$A:$C,3,0)</f>
        <v>#REF!</v>
      </c>
      <c r="AM194" s="1" t="e">
        <f>AL194/VLOOKUP(A194,'[40]geoMap (37)'!$A:$B,2,0)*VLOOKUP(A194,'[40]geoMap (37)'!$A:$C,3,0)</f>
        <v>#REF!</v>
      </c>
      <c r="AN194" s="1" t="e">
        <f>AM194/VLOOKUP(A194,'[41]geoMap (38)'!$A:$B,2,0)*VLOOKUP(A194,'[41]geoMap (38)'!$A:$C,3,0)</f>
        <v>#REF!</v>
      </c>
      <c r="AO194" s="1" t="e">
        <f>AN194/VLOOKUP(A194,'[42]geoMap (39)'!$A:$B,2,0)*VLOOKUP(A194,'[42]geoMap (39)'!$A:$C,3,0)</f>
        <v>#REF!</v>
      </c>
      <c r="AP194" s="1" t="e">
        <f>AO194/VLOOKUP(A194,'[43]geoMap (40)'!$A:$B,2,0)*VLOOKUP(A194,'[43]geoMap (40)'!$A:$C,3,0)</f>
        <v>#REF!</v>
      </c>
      <c r="AQ194" s="1" t="e">
        <f>AP194/VLOOKUP(A194,'[44]geoMap (41)'!$A:$B,2,0)*VLOOKUP(A194,'[44]geoMap (41)'!$A:$C,3,0)</f>
        <v>#REF!</v>
      </c>
      <c r="AR194" s="1" t="e">
        <f>AQ194/VLOOKUP(A194,'[45]geoMap (42)'!$A:$B,2,0)*VLOOKUP(A194,'[45]geoMap (42)'!$A:$C,3,0)</f>
        <v>#REF!</v>
      </c>
      <c r="AS194" s="1" t="e">
        <f>AR194/VLOOKUP(A194,'[46]geoMap (43)'!$A:$B,2,0)*VLOOKUP(A194,'[46]geoMap (43)'!$A:$C,3,0)</f>
        <v>#REF!</v>
      </c>
      <c r="AT194" s="1" t="e">
        <f>AS194/VLOOKUP(A194,'[47]geoMap (44)'!$A:$B,2,0)*VLOOKUP(A194,'[47]geoMap (44)'!$A:$C,3,0)</f>
        <v>#REF!</v>
      </c>
      <c r="AU194" s="1" t="e">
        <f>AT194/VLOOKUP(A194,'[48]geoMap (45)'!$A:$B,2,0)*VLOOKUP(A194,'[48]geoMap (45)'!$A:$C,3,0)</f>
        <v>#REF!</v>
      </c>
      <c r="AV194" s="1" t="e">
        <f>AU194/VLOOKUP(A194,'[49]geoMap (46)'!$A:$B,2,0)*VLOOKUP(A194,'[49]geoMap (46)'!$A:$C,3,0)</f>
        <v>#REF!</v>
      </c>
      <c r="AW194" s="1" t="e">
        <f>AV194/VLOOKUP(A194,'[50]geoMap (47)'!$A:$B,2,0)*VLOOKUP(A194,'[50]geoMap (47)'!$A:$C,3,0)</f>
        <v>#REF!</v>
      </c>
      <c r="AX194" s="4" t="e">
        <f>AW194/VLOOKUP(A194,'[51]geoMap (48)'!$A:$B,2,0)*VLOOKUP(A194,'[51]geoMap (48)'!$A:$C,3,0)</f>
        <v>#REF!</v>
      </c>
      <c r="AY194" s="1" t="e">
        <f>AX194/VLOOKUP(A194,'[52]geoMap (49)'!$A:$B,2,0)*VLOOKUP(A194,'[52]geoMap (49)'!$A:$C,3,0)</f>
        <v>#REF!</v>
      </c>
      <c r="AZ194" s="4" t="e">
        <f>AY194/VLOOKUP(A194,'[53]geoMap (50)'!$A:$B,2,0)*VLOOKUP(A194,'[53]geoMap (50)'!$A:$C,3,0)</f>
        <v>#REF!</v>
      </c>
      <c r="BA194" s="1" t="e">
        <f>AZ194/VLOOKUP(A194,'[54]geoMap (51)'!$A:$B,2,0)*VLOOKUP(A194,'[54]geoMap (51)'!$A:$C,3,0)</f>
        <v>#REF!</v>
      </c>
      <c r="BB194" s="4" t="e">
        <f>BA194/VLOOKUP(A194,'[55]geoMap (52)'!$A:$B,2,0)*VLOOKUP(A194,'[55]geoMap (52)'!$A:$C,3,0)</f>
        <v>#REF!</v>
      </c>
      <c r="BC194" s="1" t="e">
        <f>BB194/VLOOKUP(A194,'[56]geoMap (53)'!$A:$B,2,0)*VLOOKUP(A194,'[56]geoMap (53)'!$A:$C,3,0)</f>
        <v>#REF!</v>
      </c>
      <c r="BD194" s="4" t="e">
        <f>BC194/VLOOKUP(A194,'[57]geoMap (54)'!$A:$B,2,0)*VLOOKUP(A194,'[57]geoMap (54)'!$A:$C,3,0)</f>
        <v>#REF!</v>
      </c>
      <c r="BE194" s="1" t="e">
        <f>BD194/VLOOKUP(A194,'[58]geoMap (55)'!$A:$B,2,0)*VLOOKUP(A194,'[58]geoMap (55)'!$A:$C,3,0)</f>
        <v>#REF!</v>
      </c>
      <c r="BF194" s="4" t="e">
        <f>BE194/VLOOKUP(A194,'[59]geoMap (56)'!$A:$B,2,0)*VLOOKUP(A194,'[59]geoMap (56)'!$A:$C,3,0)</f>
        <v>#REF!</v>
      </c>
      <c r="BG194" s="1" t="e">
        <f>BF194/VLOOKUP(A194,'[60]geoMap (57)'!$A:$B,2,0)*VLOOKUP(A194,'[60]geoMap (57)'!$A:$C,3,0)</f>
        <v>#REF!</v>
      </c>
      <c r="BH194" s="4" t="e">
        <f>BG194/VLOOKUP(A194,'[61]geoMap (58)'!$A:$B,2,0)*VLOOKUP(A194,'[61]geoMap (58)'!$A:$C,3,0)</f>
        <v>#REF!</v>
      </c>
      <c r="BI194" s="1" t="e">
        <f>BH194/VLOOKUP(A194,'[62]geoMap (59)'!$A:$B,2,0)*VLOOKUP(A194,'[62]geoMap (59)'!$A:$C,3,0)</f>
        <v>#REF!</v>
      </c>
      <c r="BJ194" s="4" t="e">
        <f>BI194/VLOOKUP(A194,'[63]geoMap (60)'!$A:$B,2,0)*VLOOKUP(A194,'[63]geoMap (60)'!$A:$C,3,0)</f>
        <v>#REF!</v>
      </c>
      <c r="BK194" s="1" t="e">
        <f>BJ194/VLOOKUP(A194,'[64]geoMap (61)'!$A:$B,2,0)*VLOOKUP(A194,'[64]geoMap (61)'!$A:$C,3,0)</f>
        <v>#REF!</v>
      </c>
      <c r="BL194" s="4" t="e">
        <f>BK194/VLOOKUP(A194,'[65]geoMap (62)'!$A:$B,2,0)*VLOOKUP(A194,'[65]geoMap (62)'!$A:$C,3,0)</f>
        <v>#REF!</v>
      </c>
      <c r="BM194" s="1" t="e">
        <f>BL194/VLOOKUP(A194,'[66]geoMap (63)'!$A:$B,2,0)*VLOOKUP(A194,'[66]geoMap (63)'!$A:$C,3,0)</f>
        <v>#REF!</v>
      </c>
      <c r="BN194" s="4" t="e">
        <f>BM194/VLOOKUP(A194,'[67]geoMap (64)'!$A:$B,2,0)*VLOOKUP(A194,'[67]geoMap (64)'!$A:$C,3,0)</f>
        <v>#REF!</v>
      </c>
      <c r="BO194" s="1" t="e">
        <f>BN194/VLOOKUP(A194,'[68]geoMap (65)'!$A:$B,2,0)*VLOOKUP(A194,'[68]geoMap (65)'!$A:$C,3,0)</f>
        <v>#REF!</v>
      </c>
      <c r="BP194" s="4" t="e">
        <f>BO194/VLOOKUP(A194,'[69]geoMap (66)'!$A:$B,2,0)*VLOOKUP(A194,'[69]geoMap (66)'!$A:$C,3,0)</f>
        <v>#REF!</v>
      </c>
    </row>
    <row r="195" spans="1:68" x14ac:dyDescent="0.2">
      <c r="A195" s="1" t="s">
        <v>197</v>
      </c>
      <c r="B195" s="1" t="e">
        <f>VLOOKUP(A195,[3]geoMap!$A:$B,2,0)*Notes!$C$6</f>
        <v>#REF!</v>
      </c>
      <c r="C195" s="1" t="e">
        <f>B195/VLOOKUP(A195,'[4]geoMap (1)'!$A:$B,2,0)*VLOOKUP(A195,'[4]geoMap (1)'!$A:$C,3,0)</f>
        <v>#REF!</v>
      </c>
      <c r="D195" s="1" t="e">
        <f>C195/VLOOKUP(A195,'[5]geoMap (2)'!$A:$B,2,0)*VLOOKUP(A195,'[5]geoMap (2)'!$A:$C,3,0)</f>
        <v>#REF!</v>
      </c>
      <c r="E195" s="1" t="e">
        <f>D195/VLOOKUP(A195,'[6]geoMap (3)'!$A:$B,2,0)*VLOOKUP(A195,'[6]geoMap (3)'!$A:$C,3,0)</f>
        <v>#REF!</v>
      </c>
      <c r="F195" s="1" t="e">
        <f>E195/VLOOKUP(A195,'[7]geoMap (4)'!$A:$B,2,0)*VLOOKUP(A195,'[7]geoMap (4)'!$A:$C,3,0)</f>
        <v>#REF!</v>
      </c>
      <c r="G195" s="1" t="e">
        <f>F195/VLOOKUP(A195,'[8]geoMap (5)'!$A:$B,2,0)*VLOOKUP(A195,'[8]geoMap (5)'!$A:$C,3,0)</f>
        <v>#REF!</v>
      </c>
      <c r="H195" s="1" t="e">
        <f>G195/VLOOKUP(A195,'[9]geoMap (6)'!$A:$B,2,0)*VLOOKUP(A195,'[9]geoMap (6)'!$A:$C,3,0)</f>
        <v>#REF!</v>
      </c>
      <c r="I195" s="1" t="e">
        <f>H195/VLOOKUP(A195,'[10]geoMap (7)'!$A:$B,2,0)*VLOOKUP(A195,'[10]geoMap (7)'!$A:$C,3,0)</f>
        <v>#REF!</v>
      </c>
      <c r="J195" s="1" t="e">
        <f>I195/VLOOKUP(A195,'[11]geoMap (8)'!$A:$B,2,0)*VLOOKUP(A195,'[11]geoMap (8)'!$A:$C,3,0)</f>
        <v>#REF!</v>
      </c>
      <c r="K195" s="1" t="e">
        <f>J195/VLOOKUP(A195,'[12]geoMap (9)'!$A:$B,2,0)*VLOOKUP(A195,'[12]geoMap (9)'!$A:$C,3,0)</f>
        <v>#REF!</v>
      </c>
      <c r="L195" s="1" t="e">
        <f>K195/VLOOKUP(A195,'[13]geoMap (10)'!$A:$B,2,0)*VLOOKUP(A195,'[13]geoMap (10)'!$A:$C,3,0)</f>
        <v>#REF!</v>
      </c>
      <c r="M195" s="1" t="e">
        <f>L195/VLOOKUP(A195,'[14]geoMap (11)'!$A:$B,2,0)*VLOOKUP(A195,'[14]geoMap (11)'!$A:$C,3,0)</f>
        <v>#REF!</v>
      </c>
      <c r="N195" s="1" t="e">
        <f>M195/VLOOKUP(A195,'[15]geoMap (12)'!$A:$B,2,0)*VLOOKUP(A195,'[15]geoMap (12)'!$A:$C,3,0)</f>
        <v>#REF!</v>
      </c>
      <c r="O195" s="1" t="e">
        <f>N195/VLOOKUP(A195,'[16]geoMap (13)'!$A:$B,2,0)*VLOOKUP(A195,'[16]geoMap (13)'!$A:$C,3,0)</f>
        <v>#REF!</v>
      </c>
      <c r="P195" s="1" t="e">
        <f>O195/VLOOKUP(A195,'[17]geoMap (14)'!$A:$B,2,0)*VLOOKUP(A195,'[17]geoMap (14)'!$A:$C,3,0)</f>
        <v>#REF!</v>
      </c>
      <c r="Q195" s="1" t="e">
        <f>P195/VLOOKUP(A195,'[18]geoMap (15)'!$A:$B,2,0)*VLOOKUP(A195,'[18]geoMap (15)'!$A:$C,3,0)</f>
        <v>#REF!</v>
      </c>
      <c r="R195" s="1" t="e">
        <f>Q195/VLOOKUP(A195,'[19]geoMap (16)'!$A:$B,2,0)*VLOOKUP(A195,'[19]geoMap (16)'!$A:$C,3,0)</f>
        <v>#REF!</v>
      </c>
      <c r="S195" s="1" t="e">
        <f>R195/VLOOKUP(A195,'[20]geoMap (17)'!$A:$B,2,0)*VLOOKUP(A195,'[20]geoMap (17)'!$A:$C,3,0)</f>
        <v>#REF!</v>
      </c>
      <c r="T195" s="1" t="e">
        <f>S195/VLOOKUP(A195,'[21]geoMap (18)'!$A:$B,2,0)*VLOOKUP(A195,'[21]geoMap (18)'!$A:$C,3,0)</f>
        <v>#REF!</v>
      </c>
      <c r="U195" s="1" t="e">
        <f>T195/VLOOKUP(A195,'[22]geoMap (19)'!$A:$B,2,0)*VLOOKUP(A195,'[22]geoMap (19)'!$A:$C,3,0)</f>
        <v>#REF!</v>
      </c>
      <c r="V195" s="1" t="e">
        <f>U195/VLOOKUP(A195,'[23]geoMap (20)'!$A:$B,2,0)*VLOOKUP(A195,'[23]geoMap (20)'!$A:$C,3,0)</f>
        <v>#REF!</v>
      </c>
      <c r="W195" s="1" t="e">
        <f>V195/VLOOKUP(A195,'[24]geoMap (21)'!$A:$B,2,0)*VLOOKUP(A195,'[24]geoMap (21)'!$A:$C,3,0)</f>
        <v>#REF!</v>
      </c>
      <c r="X195" s="1" t="e">
        <f>W195/VLOOKUP(A195,'[25]geoMap (22)'!$A:$B,2,0)*VLOOKUP(A195,'[25]geoMap (22)'!$A:$C,3,0)</f>
        <v>#REF!</v>
      </c>
      <c r="Y195" s="1" t="e">
        <f>X195/VLOOKUP(A195,'[26]geoMap (23)'!$A:$B,2,0)*VLOOKUP(A195,'[26]geoMap (23)'!$A:$C,3,0)</f>
        <v>#REF!</v>
      </c>
      <c r="Z195" s="1" t="e">
        <f>Y195/VLOOKUP(A195,'[27]geoMap (24)'!$A:$B,2,0)*VLOOKUP(A195,'[27]geoMap (24)'!$A:$C,3,0)</f>
        <v>#REF!</v>
      </c>
      <c r="AA195" s="1" t="e">
        <f>Z195/VLOOKUP(A195,'[28]geoMap (25)'!$A:$B,2,0)*VLOOKUP(A195,'[28]geoMap (25)'!$A:$C,3,0)</f>
        <v>#REF!</v>
      </c>
      <c r="AB195" s="1" t="e">
        <f>AA195*VLOOKUP(A195,'[29]geoMap (26)'!$A:$B,2,0)*VLOOKUP(A195,'[29]geoMap (26)'!$A:$C,3,0)</f>
        <v>#REF!</v>
      </c>
      <c r="AC195" s="1" t="e">
        <f>AB195/VLOOKUP(A195,'[30]geoMap (27)'!$A:$B,2,0)*VLOOKUP(A195,'[30]geoMap (27)'!$A:$C,3,0)</f>
        <v>#REF!</v>
      </c>
      <c r="AD195" s="1" t="e">
        <f>AC195/VLOOKUP(A195,'[31]geoMap (28)'!$A:$B,2,0)*VLOOKUP(A195,'[31]geoMap (28)'!$A:$C,3,0)</f>
        <v>#REF!</v>
      </c>
      <c r="AE195" s="1" t="e">
        <f>AD195/VLOOKUP(A195,'[32]geoMap (29)'!$A:$B,2,0)*VLOOKUP(A195,'[32]geoMap (29)'!$A:$C,3,0)</f>
        <v>#REF!</v>
      </c>
      <c r="AF195" s="1" t="e">
        <f>AE195/VLOOKUP(A195,'[33]geoMap (30)'!$A:$B,2,0)*VLOOKUP(A195,'[33]geoMap (30)'!$A:$C,3,0)</f>
        <v>#REF!</v>
      </c>
      <c r="AG195" s="1" t="e">
        <f>AF195/VLOOKUP(A195,'[34]geoMap (31)'!$A:$B,2,0)*VLOOKUP(A195,'[34]geoMap (31)'!$A:$C,3,0)</f>
        <v>#REF!</v>
      </c>
      <c r="AH195" s="1" t="e">
        <f>AG195/VLOOKUP(A195,'[35]geoMap (32)'!$A:$B,2,0)*VLOOKUP(A195,'[35]geoMap (32)'!$A:$C,3,0)</f>
        <v>#REF!</v>
      </c>
      <c r="AI195" s="1" t="e">
        <f>AH195/VLOOKUP(A195,'[36]geoMap (33)'!$A:$B,2,0)*VLOOKUP(A195,'[36]geoMap (33)'!$A:$C,3,0)</f>
        <v>#REF!</v>
      </c>
      <c r="AJ195" s="1" t="e">
        <f>AI195/VLOOKUP(A195,'[37]geoMap (34)'!$A:$B,2,0)*VLOOKUP(A195,'[37]geoMap (34)'!$A:$C,3,0)</f>
        <v>#REF!</v>
      </c>
      <c r="AK195" s="1" t="e">
        <f>AJ195/VLOOKUP(A195,'[38]geoMap (35)'!$A:$B,2,0)*VLOOKUP(A195,'[38]geoMap (35)'!$A:$C,3,0)</f>
        <v>#REF!</v>
      </c>
      <c r="AL195" s="1" t="e">
        <f>AK195/VLOOKUP(A195,'[39]geoMap (36)'!$A:$B,2,0)*VLOOKUP(A195,'[39]geoMap (36)'!$A:$C,3,0)</f>
        <v>#REF!</v>
      </c>
      <c r="AM195" s="1" t="e">
        <f>AL195/VLOOKUP(A195,'[40]geoMap (37)'!$A:$B,2,0)*VLOOKUP(A195,'[40]geoMap (37)'!$A:$C,3,0)</f>
        <v>#REF!</v>
      </c>
      <c r="AN195" s="1" t="e">
        <f>AM195/VLOOKUP(A195,'[41]geoMap (38)'!$A:$B,2,0)*VLOOKUP(A195,'[41]geoMap (38)'!$A:$C,3,0)</f>
        <v>#REF!</v>
      </c>
      <c r="AO195" s="1" t="e">
        <f>AN195/VLOOKUP(A195,'[42]geoMap (39)'!$A:$B,2,0)*VLOOKUP(A195,'[42]geoMap (39)'!$A:$C,3,0)</f>
        <v>#REF!</v>
      </c>
      <c r="AP195" s="1" t="e">
        <f>AO195/VLOOKUP(A195,'[43]geoMap (40)'!$A:$B,2,0)*VLOOKUP(A195,'[43]geoMap (40)'!$A:$C,3,0)</f>
        <v>#REF!</v>
      </c>
      <c r="AQ195" s="1" t="e">
        <f>AP195/VLOOKUP(A195,'[44]geoMap (41)'!$A:$B,2,0)*VLOOKUP(A195,'[44]geoMap (41)'!$A:$C,3,0)</f>
        <v>#REF!</v>
      </c>
      <c r="AR195" s="1" t="e">
        <f>AQ195/VLOOKUP(A195,'[45]geoMap (42)'!$A:$B,2,0)*VLOOKUP(A195,'[45]geoMap (42)'!$A:$C,3,0)</f>
        <v>#REF!</v>
      </c>
      <c r="AS195" s="1" t="e">
        <f>AR195/VLOOKUP(A195,'[46]geoMap (43)'!$A:$B,2,0)*VLOOKUP(A195,'[46]geoMap (43)'!$A:$C,3,0)</f>
        <v>#REF!</v>
      </c>
      <c r="AT195" s="1" t="e">
        <f>AS195/VLOOKUP(A195,'[47]geoMap (44)'!$A:$B,2,0)*VLOOKUP(A195,'[47]geoMap (44)'!$A:$C,3,0)</f>
        <v>#REF!</v>
      </c>
      <c r="AU195" s="1" t="e">
        <f>AT195/VLOOKUP(A195,'[48]geoMap (45)'!$A:$B,2,0)*VLOOKUP(A195,'[48]geoMap (45)'!$A:$C,3,0)</f>
        <v>#REF!</v>
      </c>
      <c r="AV195" s="1" t="e">
        <f>AU195/VLOOKUP(A195,'[49]geoMap (46)'!$A:$B,2,0)*VLOOKUP(A195,'[49]geoMap (46)'!$A:$C,3,0)</f>
        <v>#REF!</v>
      </c>
      <c r="AW195" s="1" t="e">
        <f>AV195/VLOOKUP(A195,'[50]geoMap (47)'!$A:$B,2,0)*VLOOKUP(A195,'[50]geoMap (47)'!$A:$C,3,0)</f>
        <v>#REF!</v>
      </c>
      <c r="AX195" s="4" t="e">
        <f>AW195/VLOOKUP(A195,'[51]geoMap (48)'!$A:$B,2,0)*VLOOKUP(A195,'[51]geoMap (48)'!$A:$C,3,0)</f>
        <v>#REF!</v>
      </c>
      <c r="AY195" s="1" t="e">
        <f>AX195/VLOOKUP(A195,'[52]geoMap (49)'!$A:$B,2,0)*VLOOKUP(A195,'[52]geoMap (49)'!$A:$C,3,0)</f>
        <v>#REF!</v>
      </c>
      <c r="AZ195" s="4" t="e">
        <f>AY195/VLOOKUP(A195,'[53]geoMap (50)'!$A:$B,2,0)*VLOOKUP(A195,'[53]geoMap (50)'!$A:$C,3,0)</f>
        <v>#REF!</v>
      </c>
      <c r="BA195" s="1" t="e">
        <f>AZ195/VLOOKUP(A195,'[54]geoMap (51)'!$A:$B,2,0)*VLOOKUP(A195,'[54]geoMap (51)'!$A:$C,3,0)</f>
        <v>#REF!</v>
      </c>
      <c r="BB195" s="4" t="e">
        <f>BA195/VLOOKUP(A195,'[55]geoMap (52)'!$A:$B,2,0)*VLOOKUP(A195,'[55]geoMap (52)'!$A:$C,3,0)</f>
        <v>#REF!</v>
      </c>
      <c r="BC195" s="1" t="e">
        <f>BB195/VLOOKUP(A195,'[56]geoMap (53)'!$A:$B,2,0)*VLOOKUP(A195,'[56]geoMap (53)'!$A:$C,3,0)</f>
        <v>#REF!</v>
      </c>
      <c r="BD195" s="4" t="e">
        <f>BC195/VLOOKUP(A195,'[57]geoMap (54)'!$A:$B,2,0)*VLOOKUP(A195,'[57]geoMap (54)'!$A:$C,3,0)</f>
        <v>#REF!</v>
      </c>
      <c r="BE195" s="1" t="e">
        <f>BD195/VLOOKUP(A195,'[58]geoMap (55)'!$A:$B,2,0)*VLOOKUP(A195,'[58]geoMap (55)'!$A:$C,3,0)</f>
        <v>#REF!</v>
      </c>
      <c r="BF195" s="4" t="e">
        <f>BE195/VLOOKUP(A195,'[59]geoMap (56)'!$A:$B,2,0)*VLOOKUP(A195,'[59]geoMap (56)'!$A:$C,3,0)</f>
        <v>#REF!</v>
      </c>
      <c r="BG195" s="1" t="e">
        <f>BF195/VLOOKUP(A195,'[60]geoMap (57)'!$A:$B,2,0)*VLOOKUP(A195,'[60]geoMap (57)'!$A:$C,3,0)</f>
        <v>#REF!</v>
      </c>
      <c r="BH195" s="4" t="e">
        <f>BG195/VLOOKUP(A195,'[61]geoMap (58)'!$A:$B,2,0)*VLOOKUP(A195,'[61]geoMap (58)'!$A:$C,3,0)</f>
        <v>#REF!</v>
      </c>
      <c r="BI195" s="1" t="e">
        <f>BH195/VLOOKUP(A195,'[62]geoMap (59)'!$A:$B,2,0)*VLOOKUP(A195,'[62]geoMap (59)'!$A:$C,3,0)</f>
        <v>#REF!</v>
      </c>
      <c r="BJ195" s="4" t="e">
        <f>BI195/VLOOKUP(A195,'[63]geoMap (60)'!$A:$B,2,0)*VLOOKUP(A195,'[63]geoMap (60)'!$A:$C,3,0)</f>
        <v>#REF!</v>
      </c>
      <c r="BK195" s="1" t="e">
        <f>BJ195/VLOOKUP(A195,'[64]geoMap (61)'!$A:$B,2,0)*VLOOKUP(A195,'[64]geoMap (61)'!$A:$C,3,0)</f>
        <v>#REF!</v>
      </c>
      <c r="BL195" s="4" t="e">
        <f>BK195/VLOOKUP(A195,'[65]geoMap (62)'!$A:$B,2,0)*VLOOKUP(A195,'[65]geoMap (62)'!$A:$C,3,0)</f>
        <v>#REF!</v>
      </c>
      <c r="BM195" s="1" t="e">
        <f>BL195/VLOOKUP(A195,'[66]geoMap (63)'!$A:$B,2,0)*VLOOKUP(A195,'[66]geoMap (63)'!$A:$C,3,0)</f>
        <v>#REF!</v>
      </c>
      <c r="BN195" s="4" t="e">
        <f>BM195/VLOOKUP(A195,'[67]geoMap (64)'!$A:$B,2,0)*VLOOKUP(A195,'[67]geoMap (64)'!$A:$C,3,0)</f>
        <v>#REF!</v>
      </c>
      <c r="BO195" s="1" t="e">
        <f>BN195/VLOOKUP(A195,'[68]geoMap (65)'!$A:$B,2,0)*VLOOKUP(A195,'[68]geoMap (65)'!$A:$C,3,0)</f>
        <v>#REF!</v>
      </c>
      <c r="BP195" s="4" t="e">
        <f>BO195/VLOOKUP(A195,'[69]geoMap (66)'!$A:$B,2,0)*VLOOKUP(A195,'[69]geoMap (66)'!$A:$C,3,0)</f>
        <v>#REF!</v>
      </c>
    </row>
    <row r="196" spans="1:68" x14ac:dyDescent="0.2">
      <c r="A196" s="1" t="s">
        <v>198</v>
      </c>
      <c r="B196" s="1" t="e">
        <f>VLOOKUP(A196,[3]geoMap!$A:$B,2,0)*Notes!$C$6</f>
        <v>#REF!</v>
      </c>
      <c r="C196" s="1" t="e">
        <f>B196/VLOOKUP(A196,'[4]geoMap (1)'!$A:$B,2,0)*VLOOKUP(A196,'[4]geoMap (1)'!$A:$C,3,0)</f>
        <v>#REF!</v>
      </c>
      <c r="D196" s="1" t="e">
        <f>C196/VLOOKUP(A196,'[5]geoMap (2)'!$A:$B,2,0)*VLOOKUP(A196,'[5]geoMap (2)'!$A:$C,3,0)</f>
        <v>#REF!</v>
      </c>
      <c r="E196" s="1" t="e">
        <f>D196/VLOOKUP(A196,'[6]geoMap (3)'!$A:$B,2,0)*VLOOKUP(A196,'[6]geoMap (3)'!$A:$C,3,0)</f>
        <v>#REF!</v>
      </c>
      <c r="F196" s="1" t="e">
        <f>E196/VLOOKUP(A196,'[7]geoMap (4)'!$A:$B,2,0)*VLOOKUP(A196,'[7]geoMap (4)'!$A:$C,3,0)</f>
        <v>#REF!</v>
      </c>
      <c r="G196" s="1" t="e">
        <f>F196/VLOOKUP(A196,'[8]geoMap (5)'!$A:$B,2,0)*VLOOKUP(A196,'[8]geoMap (5)'!$A:$C,3,0)</f>
        <v>#REF!</v>
      </c>
      <c r="H196" s="1" t="e">
        <f>G196/VLOOKUP(A196,'[9]geoMap (6)'!$A:$B,2,0)*VLOOKUP(A196,'[9]geoMap (6)'!$A:$C,3,0)</f>
        <v>#REF!</v>
      </c>
      <c r="I196" s="1" t="e">
        <f>H196/VLOOKUP(A196,'[10]geoMap (7)'!$A:$B,2,0)*VLOOKUP(A196,'[10]geoMap (7)'!$A:$C,3,0)</f>
        <v>#REF!</v>
      </c>
      <c r="J196" s="1" t="e">
        <f>I196/VLOOKUP(A196,'[11]geoMap (8)'!$A:$B,2,0)*VLOOKUP(A196,'[11]geoMap (8)'!$A:$C,3,0)</f>
        <v>#REF!</v>
      </c>
      <c r="K196" s="1" t="e">
        <f>J196/VLOOKUP(A196,'[12]geoMap (9)'!$A:$B,2,0)*VLOOKUP(A196,'[12]geoMap (9)'!$A:$C,3,0)</f>
        <v>#REF!</v>
      </c>
      <c r="L196" s="1" t="e">
        <f>K196/VLOOKUP(A196,'[13]geoMap (10)'!$A:$B,2,0)*VLOOKUP(A196,'[13]geoMap (10)'!$A:$C,3,0)</f>
        <v>#REF!</v>
      </c>
      <c r="M196" s="1" t="e">
        <f>L196/VLOOKUP(A196,'[14]geoMap (11)'!$A:$B,2,0)*VLOOKUP(A196,'[14]geoMap (11)'!$A:$C,3,0)</f>
        <v>#REF!</v>
      </c>
      <c r="N196" s="1" t="e">
        <f>M196/VLOOKUP(A196,'[15]geoMap (12)'!$A:$B,2,0)*VLOOKUP(A196,'[15]geoMap (12)'!$A:$C,3,0)</f>
        <v>#REF!</v>
      </c>
      <c r="O196" s="1" t="e">
        <f>N196/VLOOKUP(A196,'[16]geoMap (13)'!$A:$B,2,0)*VLOOKUP(A196,'[16]geoMap (13)'!$A:$C,3,0)</f>
        <v>#REF!</v>
      </c>
      <c r="P196" s="1" t="e">
        <f>O196/VLOOKUP(A196,'[17]geoMap (14)'!$A:$B,2,0)*VLOOKUP(A196,'[17]geoMap (14)'!$A:$C,3,0)</f>
        <v>#REF!</v>
      </c>
      <c r="Q196" s="1" t="e">
        <f>P196/VLOOKUP(A196,'[18]geoMap (15)'!$A:$B,2,0)*VLOOKUP(A196,'[18]geoMap (15)'!$A:$C,3,0)</f>
        <v>#REF!</v>
      </c>
      <c r="R196" s="1" t="e">
        <f>Q196/VLOOKUP(A196,'[19]geoMap (16)'!$A:$B,2,0)*VLOOKUP(A196,'[19]geoMap (16)'!$A:$C,3,0)</f>
        <v>#REF!</v>
      </c>
      <c r="S196" s="1" t="e">
        <f>R196/VLOOKUP(A196,'[20]geoMap (17)'!$A:$B,2,0)*VLOOKUP(A196,'[20]geoMap (17)'!$A:$C,3,0)</f>
        <v>#REF!</v>
      </c>
      <c r="T196" s="1" t="e">
        <f>S196/VLOOKUP(A196,'[21]geoMap (18)'!$A:$B,2,0)*VLOOKUP(A196,'[21]geoMap (18)'!$A:$C,3,0)</f>
        <v>#REF!</v>
      </c>
      <c r="U196" s="1" t="e">
        <f>T196/VLOOKUP(A196,'[22]geoMap (19)'!$A:$B,2,0)*VLOOKUP(A196,'[22]geoMap (19)'!$A:$C,3,0)</f>
        <v>#REF!</v>
      </c>
      <c r="V196" s="1" t="e">
        <f>U196/VLOOKUP(A196,'[23]geoMap (20)'!$A:$B,2,0)*VLOOKUP(A196,'[23]geoMap (20)'!$A:$C,3,0)</f>
        <v>#REF!</v>
      </c>
      <c r="W196" s="1" t="e">
        <f>V196/VLOOKUP(A196,'[24]geoMap (21)'!$A:$B,2,0)*VLOOKUP(A196,'[24]geoMap (21)'!$A:$C,3,0)</f>
        <v>#REF!</v>
      </c>
      <c r="X196" s="1" t="e">
        <f>W196/VLOOKUP(A196,'[25]geoMap (22)'!$A:$B,2,0)*VLOOKUP(A196,'[25]geoMap (22)'!$A:$C,3,0)</f>
        <v>#REF!</v>
      </c>
      <c r="Y196" s="1" t="e">
        <f>X196/VLOOKUP(A196,'[26]geoMap (23)'!$A:$B,2,0)*VLOOKUP(A196,'[26]geoMap (23)'!$A:$C,3,0)</f>
        <v>#REF!</v>
      </c>
      <c r="Z196" s="1" t="e">
        <f>Y196/VLOOKUP(A196,'[27]geoMap (24)'!$A:$B,2,0)*VLOOKUP(A196,'[27]geoMap (24)'!$A:$C,3,0)</f>
        <v>#REF!</v>
      </c>
      <c r="AA196" s="1" t="e">
        <f>Z196/VLOOKUP(A196,'[28]geoMap (25)'!$A:$B,2,0)*VLOOKUP(A196,'[28]geoMap (25)'!$A:$C,3,0)</f>
        <v>#REF!</v>
      </c>
      <c r="AB196" s="1" t="e">
        <f>AA196*VLOOKUP(A196,'[29]geoMap (26)'!$A:$B,2,0)*VLOOKUP(A196,'[29]geoMap (26)'!$A:$C,3,0)</f>
        <v>#REF!</v>
      </c>
      <c r="AC196" s="1" t="e">
        <f>AB196/VLOOKUP(A196,'[30]geoMap (27)'!$A:$B,2,0)*VLOOKUP(A196,'[30]geoMap (27)'!$A:$C,3,0)</f>
        <v>#REF!</v>
      </c>
      <c r="AD196" s="1" t="e">
        <f>AC196/VLOOKUP(A196,'[31]geoMap (28)'!$A:$B,2,0)*VLOOKUP(A196,'[31]geoMap (28)'!$A:$C,3,0)</f>
        <v>#REF!</v>
      </c>
      <c r="AE196" s="1" t="e">
        <f>AD196/VLOOKUP(A196,'[32]geoMap (29)'!$A:$B,2,0)*VLOOKUP(A196,'[32]geoMap (29)'!$A:$C,3,0)</f>
        <v>#REF!</v>
      </c>
      <c r="AF196" s="1" t="e">
        <f>AE196/VLOOKUP(A196,'[33]geoMap (30)'!$A:$B,2,0)*VLOOKUP(A196,'[33]geoMap (30)'!$A:$C,3,0)</f>
        <v>#REF!</v>
      </c>
      <c r="AG196" s="1" t="e">
        <f>AF196/VLOOKUP(A196,'[34]geoMap (31)'!$A:$B,2,0)*VLOOKUP(A196,'[34]geoMap (31)'!$A:$C,3,0)</f>
        <v>#REF!</v>
      </c>
      <c r="AH196" s="1" t="e">
        <f>AG196/VLOOKUP(A196,'[35]geoMap (32)'!$A:$B,2,0)*VLOOKUP(A196,'[35]geoMap (32)'!$A:$C,3,0)</f>
        <v>#REF!</v>
      </c>
      <c r="AI196" s="1" t="e">
        <f>AH196/VLOOKUP(A196,'[36]geoMap (33)'!$A:$B,2,0)*VLOOKUP(A196,'[36]geoMap (33)'!$A:$C,3,0)</f>
        <v>#REF!</v>
      </c>
      <c r="AJ196" s="1" t="e">
        <f>AI196/VLOOKUP(A196,'[37]geoMap (34)'!$A:$B,2,0)*VLOOKUP(A196,'[37]geoMap (34)'!$A:$C,3,0)</f>
        <v>#REF!</v>
      </c>
      <c r="AK196" s="1" t="e">
        <f>AJ196/VLOOKUP(A196,'[38]geoMap (35)'!$A:$B,2,0)*VLOOKUP(A196,'[38]geoMap (35)'!$A:$C,3,0)</f>
        <v>#REF!</v>
      </c>
      <c r="AL196" s="1" t="e">
        <f>AK196/VLOOKUP(A196,'[39]geoMap (36)'!$A:$B,2,0)*VLOOKUP(A196,'[39]geoMap (36)'!$A:$C,3,0)</f>
        <v>#REF!</v>
      </c>
      <c r="AM196" s="1" t="e">
        <f>AL196/VLOOKUP(A196,'[40]geoMap (37)'!$A:$B,2,0)*VLOOKUP(A196,'[40]geoMap (37)'!$A:$C,3,0)</f>
        <v>#REF!</v>
      </c>
      <c r="AN196" s="1" t="e">
        <f>AM196/VLOOKUP(A196,'[41]geoMap (38)'!$A:$B,2,0)*VLOOKUP(A196,'[41]geoMap (38)'!$A:$C,3,0)</f>
        <v>#REF!</v>
      </c>
      <c r="AO196" s="1" t="e">
        <f>AN196/VLOOKUP(A196,'[42]geoMap (39)'!$A:$B,2,0)*VLOOKUP(A196,'[42]geoMap (39)'!$A:$C,3,0)</f>
        <v>#REF!</v>
      </c>
      <c r="AP196" s="1" t="e">
        <f>AO196/VLOOKUP(A196,'[43]geoMap (40)'!$A:$B,2,0)*VLOOKUP(A196,'[43]geoMap (40)'!$A:$C,3,0)</f>
        <v>#REF!</v>
      </c>
      <c r="AQ196" s="1" t="e">
        <f>AP196/VLOOKUP(A196,'[44]geoMap (41)'!$A:$B,2,0)*VLOOKUP(A196,'[44]geoMap (41)'!$A:$C,3,0)</f>
        <v>#REF!</v>
      </c>
      <c r="AR196" s="1" t="e">
        <f>AQ196/VLOOKUP(A196,'[45]geoMap (42)'!$A:$B,2,0)*VLOOKUP(A196,'[45]geoMap (42)'!$A:$C,3,0)</f>
        <v>#REF!</v>
      </c>
      <c r="AS196" s="1" t="e">
        <f>AR196/VLOOKUP(A196,'[46]geoMap (43)'!$A:$B,2,0)*VLOOKUP(A196,'[46]geoMap (43)'!$A:$C,3,0)</f>
        <v>#REF!</v>
      </c>
      <c r="AT196" s="1" t="e">
        <f>AS196/VLOOKUP(A196,'[47]geoMap (44)'!$A:$B,2,0)*VLOOKUP(A196,'[47]geoMap (44)'!$A:$C,3,0)</f>
        <v>#REF!</v>
      </c>
      <c r="AU196" s="1" t="e">
        <f>AT196/VLOOKUP(A196,'[48]geoMap (45)'!$A:$B,2,0)*VLOOKUP(A196,'[48]geoMap (45)'!$A:$C,3,0)</f>
        <v>#REF!</v>
      </c>
      <c r="AV196" s="1" t="e">
        <f>AU196/VLOOKUP(A196,'[49]geoMap (46)'!$A:$B,2,0)*VLOOKUP(A196,'[49]geoMap (46)'!$A:$C,3,0)</f>
        <v>#REF!</v>
      </c>
      <c r="AW196" s="1" t="e">
        <f>AV196/VLOOKUP(A196,'[50]geoMap (47)'!$A:$B,2,0)*VLOOKUP(A196,'[50]geoMap (47)'!$A:$C,3,0)</f>
        <v>#REF!</v>
      </c>
      <c r="AX196" s="4" t="e">
        <f>AW196/VLOOKUP(A196,'[51]geoMap (48)'!$A:$B,2,0)*VLOOKUP(A196,'[51]geoMap (48)'!$A:$C,3,0)</f>
        <v>#REF!</v>
      </c>
      <c r="AY196" s="1" t="e">
        <f>AX196/VLOOKUP(A196,'[52]geoMap (49)'!$A:$B,2,0)*VLOOKUP(A196,'[52]geoMap (49)'!$A:$C,3,0)</f>
        <v>#REF!</v>
      </c>
      <c r="AZ196" s="4" t="e">
        <f>AY196/VLOOKUP(A196,'[53]geoMap (50)'!$A:$B,2,0)*VLOOKUP(A196,'[53]geoMap (50)'!$A:$C,3,0)</f>
        <v>#REF!</v>
      </c>
      <c r="BA196" s="1" t="e">
        <f>AZ196/VLOOKUP(A196,'[54]geoMap (51)'!$A:$B,2,0)*VLOOKUP(A196,'[54]geoMap (51)'!$A:$C,3,0)</f>
        <v>#REF!</v>
      </c>
      <c r="BB196" s="4" t="e">
        <f>BA196/VLOOKUP(A196,'[55]geoMap (52)'!$A:$B,2,0)*VLOOKUP(A196,'[55]geoMap (52)'!$A:$C,3,0)</f>
        <v>#REF!</v>
      </c>
      <c r="BC196" s="1" t="e">
        <f>BB196/VLOOKUP(A196,'[56]geoMap (53)'!$A:$B,2,0)*VLOOKUP(A196,'[56]geoMap (53)'!$A:$C,3,0)</f>
        <v>#REF!</v>
      </c>
      <c r="BD196" s="4" t="e">
        <f>BC196/VLOOKUP(A196,'[57]geoMap (54)'!$A:$B,2,0)*VLOOKUP(A196,'[57]geoMap (54)'!$A:$C,3,0)</f>
        <v>#REF!</v>
      </c>
      <c r="BE196" s="1" t="e">
        <f>BD196/VLOOKUP(A196,'[58]geoMap (55)'!$A:$B,2,0)*VLOOKUP(A196,'[58]geoMap (55)'!$A:$C,3,0)</f>
        <v>#REF!</v>
      </c>
      <c r="BF196" s="4" t="e">
        <f>BE196/VLOOKUP(A196,'[59]geoMap (56)'!$A:$B,2,0)*VLOOKUP(A196,'[59]geoMap (56)'!$A:$C,3,0)</f>
        <v>#REF!</v>
      </c>
      <c r="BG196" s="1" t="e">
        <f>BF196/VLOOKUP(A196,'[60]geoMap (57)'!$A:$B,2,0)*VLOOKUP(A196,'[60]geoMap (57)'!$A:$C,3,0)</f>
        <v>#REF!</v>
      </c>
      <c r="BH196" s="4" t="e">
        <f>BG196/VLOOKUP(A196,'[61]geoMap (58)'!$A:$B,2,0)*VLOOKUP(A196,'[61]geoMap (58)'!$A:$C,3,0)</f>
        <v>#REF!</v>
      </c>
      <c r="BI196" s="1" t="e">
        <f>BH196/VLOOKUP(A196,'[62]geoMap (59)'!$A:$B,2,0)*VLOOKUP(A196,'[62]geoMap (59)'!$A:$C,3,0)</f>
        <v>#REF!</v>
      </c>
      <c r="BJ196" s="4" t="e">
        <f>BI196/VLOOKUP(A196,'[63]geoMap (60)'!$A:$B,2,0)*VLOOKUP(A196,'[63]geoMap (60)'!$A:$C,3,0)</f>
        <v>#REF!</v>
      </c>
      <c r="BK196" s="1" t="e">
        <f>BJ196/VLOOKUP(A196,'[64]geoMap (61)'!$A:$B,2,0)*VLOOKUP(A196,'[64]geoMap (61)'!$A:$C,3,0)</f>
        <v>#REF!</v>
      </c>
      <c r="BL196" s="4" t="e">
        <f>BK196/VLOOKUP(A196,'[65]geoMap (62)'!$A:$B,2,0)*VLOOKUP(A196,'[65]geoMap (62)'!$A:$C,3,0)</f>
        <v>#REF!</v>
      </c>
      <c r="BM196" s="1" t="e">
        <f>BL196/VLOOKUP(A196,'[66]geoMap (63)'!$A:$B,2,0)*VLOOKUP(A196,'[66]geoMap (63)'!$A:$C,3,0)</f>
        <v>#REF!</v>
      </c>
      <c r="BN196" s="4" t="e">
        <f>BM196/VLOOKUP(A196,'[67]geoMap (64)'!$A:$B,2,0)*VLOOKUP(A196,'[67]geoMap (64)'!$A:$C,3,0)</f>
        <v>#REF!</v>
      </c>
      <c r="BO196" s="1" t="e">
        <f>BN196/VLOOKUP(A196,'[68]geoMap (65)'!$A:$B,2,0)*VLOOKUP(A196,'[68]geoMap (65)'!$A:$C,3,0)</f>
        <v>#REF!</v>
      </c>
      <c r="BP196" s="4" t="e">
        <f>BO196/VLOOKUP(A196,'[69]geoMap (66)'!$A:$B,2,0)*VLOOKUP(A196,'[69]geoMap (66)'!$A:$C,3,0)</f>
        <v>#REF!</v>
      </c>
    </row>
    <row r="197" spans="1:68" x14ac:dyDescent="0.2">
      <c r="A197" s="1" t="s">
        <v>199</v>
      </c>
      <c r="B197" s="1" t="e">
        <f>VLOOKUP(A197,[3]geoMap!$A:$B,2,0)*Notes!$C$6</f>
        <v>#REF!</v>
      </c>
      <c r="C197" s="1" t="e">
        <f>B197/VLOOKUP(A197,'[4]geoMap (1)'!$A:$B,2,0)*VLOOKUP(A197,'[4]geoMap (1)'!$A:$C,3,0)</f>
        <v>#REF!</v>
      </c>
      <c r="D197" s="1" t="e">
        <f>C197/VLOOKUP(A197,'[5]geoMap (2)'!$A:$B,2,0)*VLOOKUP(A197,'[5]geoMap (2)'!$A:$C,3,0)</f>
        <v>#REF!</v>
      </c>
      <c r="E197" s="1" t="e">
        <f>D197/VLOOKUP(A197,'[6]geoMap (3)'!$A:$B,2,0)*VLOOKUP(A197,'[6]geoMap (3)'!$A:$C,3,0)</f>
        <v>#REF!</v>
      </c>
      <c r="F197" s="1" t="e">
        <f>E197/VLOOKUP(A197,'[7]geoMap (4)'!$A:$B,2,0)*VLOOKUP(A197,'[7]geoMap (4)'!$A:$C,3,0)</f>
        <v>#REF!</v>
      </c>
      <c r="G197" s="1" t="e">
        <f>F197/VLOOKUP(A197,'[8]geoMap (5)'!$A:$B,2,0)*VLOOKUP(A197,'[8]geoMap (5)'!$A:$C,3,0)</f>
        <v>#REF!</v>
      </c>
      <c r="H197" s="1" t="e">
        <f>G197/VLOOKUP(A197,'[9]geoMap (6)'!$A:$B,2,0)*VLOOKUP(A197,'[9]geoMap (6)'!$A:$C,3,0)</f>
        <v>#REF!</v>
      </c>
      <c r="I197" s="1" t="e">
        <f>H197/VLOOKUP(A197,'[10]geoMap (7)'!$A:$B,2,0)*VLOOKUP(A197,'[10]geoMap (7)'!$A:$C,3,0)</f>
        <v>#REF!</v>
      </c>
      <c r="J197" s="1" t="e">
        <f>I197/VLOOKUP(A197,'[11]geoMap (8)'!$A:$B,2,0)*VLOOKUP(A197,'[11]geoMap (8)'!$A:$C,3,0)</f>
        <v>#REF!</v>
      </c>
      <c r="K197" s="1" t="e">
        <f>J197/VLOOKUP(A197,'[12]geoMap (9)'!$A:$B,2,0)*VLOOKUP(A197,'[12]geoMap (9)'!$A:$C,3,0)</f>
        <v>#REF!</v>
      </c>
      <c r="L197" s="1" t="e">
        <f>K197/VLOOKUP(A197,'[13]geoMap (10)'!$A:$B,2,0)*VLOOKUP(A197,'[13]geoMap (10)'!$A:$C,3,0)</f>
        <v>#REF!</v>
      </c>
      <c r="M197" s="1" t="e">
        <f>L197/VLOOKUP(A197,'[14]geoMap (11)'!$A:$B,2,0)*VLOOKUP(A197,'[14]geoMap (11)'!$A:$C,3,0)</f>
        <v>#REF!</v>
      </c>
      <c r="N197" s="1" t="e">
        <f>M197/VLOOKUP(A197,'[15]geoMap (12)'!$A:$B,2,0)*VLOOKUP(A197,'[15]geoMap (12)'!$A:$C,3,0)</f>
        <v>#REF!</v>
      </c>
      <c r="O197" s="1" t="e">
        <f>N197/VLOOKUP(A197,'[16]geoMap (13)'!$A:$B,2,0)*VLOOKUP(A197,'[16]geoMap (13)'!$A:$C,3,0)</f>
        <v>#REF!</v>
      </c>
      <c r="P197" s="1" t="e">
        <f>O197/VLOOKUP(A197,'[17]geoMap (14)'!$A:$B,2,0)*VLOOKUP(A197,'[17]geoMap (14)'!$A:$C,3,0)</f>
        <v>#REF!</v>
      </c>
      <c r="Q197" s="1" t="e">
        <f>P197/VLOOKUP(A197,'[18]geoMap (15)'!$A:$B,2,0)*VLOOKUP(A197,'[18]geoMap (15)'!$A:$C,3,0)</f>
        <v>#REF!</v>
      </c>
      <c r="R197" s="1" t="e">
        <f>Q197/VLOOKUP(A197,'[19]geoMap (16)'!$A:$B,2,0)*VLOOKUP(A197,'[19]geoMap (16)'!$A:$C,3,0)</f>
        <v>#REF!</v>
      </c>
      <c r="S197" s="1" t="e">
        <f>R197/VLOOKUP(A197,'[20]geoMap (17)'!$A:$B,2,0)*VLOOKUP(A197,'[20]geoMap (17)'!$A:$C,3,0)</f>
        <v>#REF!</v>
      </c>
      <c r="T197" s="1" t="e">
        <f>S197/VLOOKUP(A197,'[21]geoMap (18)'!$A:$B,2,0)*VLOOKUP(A197,'[21]geoMap (18)'!$A:$C,3,0)</f>
        <v>#REF!</v>
      </c>
      <c r="U197" s="1" t="e">
        <f>T197/VLOOKUP(A197,'[22]geoMap (19)'!$A:$B,2,0)*VLOOKUP(A197,'[22]geoMap (19)'!$A:$C,3,0)</f>
        <v>#REF!</v>
      </c>
      <c r="V197" s="1" t="e">
        <f>U197/VLOOKUP(A197,'[23]geoMap (20)'!$A:$B,2,0)*VLOOKUP(A197,'[23]geoMap (20)'!$A:$C,3,0)</f>
        <v>#REF!</v>
      </c>
      <c r="W197" s="1" t="e">
        <f>V197/VLOOKUP(A197,'[24]geoMap (21)'!$A:$B,2,0)*VLOOKUP(A197,'[24]geoMap (21)'!$A:$C,3,0)</f>
        <v>#REF!</v>
      </c>
      <c r="X197" s="1" t="e">
        <f>W197/VLOOKUP(A197,'[25]geoMap (22)'!$A:$B,2,0)*VLOOKUP(A197,'[25]geoMap (22)'!$A:$C,3,0)</f>
        <v>#REF!</v>
      </c>
      <c r="Y197" s="1" t="e">
        <f>X197/VLOOKUP(A197,'[26]geoMap (23)'!$A:$B,2,0)*VLOOKUP(A197,'[26]geoMap (23)'!$A:$C,3,0)</f>
        <v>#REF!</v>
      </c>
      <c r="Z197" s="1" t="e">
        <f>Y197/VLOOKUP(A197,'[27]geoMap (24)'!$A:$B,2,0)*VLOOKUP(A197,'[27]geoMap (24)'!$A:$C,3,0)</f>
        <v>#REF!</v>
      </c>
      <c r="AA197" s="1" t="e">
        <f>Z197/VLOOKUP(A197,'[28]geoMap (25)'!$A:$B,2,0)*VLOOKUP(A197,'[28]geoMap (25)'!$A:$C,3,0)</f>
        <v>#REF!</v>
      </c>
      <c r="AB197" s="1" t="e">
        <f>AA197*VLOOKUP(A197,'[29]geoMap (26)'!$A:$B,2,0)*VLOOKUP(A197,'[29]geoMap (26)'!$A:$C,3,0)</f>
        <v>#REF!</v>
      </c>
      <c r="AC197" s="1" t="e">
        <f>AB197/VLOOKUP(A197,'[30]geoMap (27)'!$A:$B,2,0)*VLOOKUP(A197,'[30]geoMap (27)'!$A:$C,3,0)</f>
        <v>#REF!</v>
      </c>
      <c r="AD197" s="1" t="e">
        <f>AC197/VLOOKUP(A197,'[31]geoMap (28)'!$A:$B,2,0)*VLOOKUP(A197,'[31]geoMap (28)'!$A:$C,3,0)</f>
        <v>#REF!</v>
      </c>
      <c r="AE197" s="1" t="e">
        <f>AD197/VLOOKUP(A197,'[32]geoMap (29)'!$A:$B,2,0)*VLOOKUP(A197,'[32]geoMap (29)'!$A:$C,3,0)</f>
        <v>#REF!</v>
      </c>
      <c r="AF197" s="1" t="e">
        <f>AE197/VLOOKUP(A197,'[33]geoMap (30)'!$A:$B,2,0)*VLOOKUP(A197,'[33]geoMap (30)'!$A:$C,3,0)</f>
        <v>#REF!</v>
      </c>
      <c r="AG197" s="1" t="e">
        <f>AF197/VLOOKUP(A197,'[34]geoMap (31)'!$A:$B,2,0)*VLOOKUP(A197,'[34]geoMap (31)'!$A:$C,3,0)</f>
        <v>#REF!</v>
      </c>
      <c r="AH197" s="1" t="e">
        <f>AG197/VLOOKUP(A197,'[35]geoMap (32)'!$A:$B,2,0)*VLOOKUP(A197,'[35]geoMap (32)'!$A:$C,3,0)</f>
        <v>#REF!</v>
      </c>
      <c r="AI197" s="1" t="e">
        <f>AH197/VLOOKUP(A197,'[36]geoMap (33)'!$A:$B,2,0)*VLOOKUP(A197,'[36]geoMap (33)'!$A:$C,3,0)</f>
        <v>#REF!</v>
      </c>
      <c r="AJ197" s="1" t="e">
        <f>AI197/VLOOKUP(A197,'[37]geoMap (34)'!$A:$B,2,0)*VLOOKUP(A197,'[37]geoMap (34)'!$A:$C,3,0)</f>
        <v>#REF!</v>
      </c>
      <c r="AK197" s="1" t="e">
        <f>AJ197/VLOOKUP(A197,'[38]geoMap (35)'!$A:$B,2,0)*VLOOKUP(A197,'[38]geoMap (35)'!$A:$C,3,0)</f>
        <v>#REF!</v>
      </c>
      <c r="AL197" s="1" t="e">
        <f>AK197/VLOOKUP(A197,'[39]geoMap (36)'!$A:$B,2,0)*VLOOKUP(A197,'[39]geoMap (36)'!$A:$C,3,0)</f>
        <v>#REF!</v>
      </c>
      <c r="AM197" s="1" t="e">
        <f>AL197/VLOOKUP(A197,'[40]geoMap (37)'!$A:$B,2,0)*VLOOKUP(A197,'[40]geoMap (37)'!$A:$C,3,0)</f>
        <v>#REF!</v>
      </c>
      <c r="AN197" s="1" t="e">
        <f>AM197/VLOOKUP(A197,'[41]geoMap (38)'!$A:$B,2,0)*VLOOKUP(A197,'[41]geoMap (38)'!$A:$C,3,0)</f>
        <v>#REF!</v>
      </c>
      <c r="AO197" s="1" t="e">
        <f>AN197/VLOOKUP(A197,'[42]geoMap (39)'!$A:$B,2,0)*VLOOKUP(A197,'[42]geoMap (39)'!$A:$C,3,0)</f>
        <v>#REF!</v>
      </c>
      <c r="AP197" s="1" t="e">
        <f>AO197/VLOOKUP(A197,'[43]geoMap (40)'!$A:$B,2,0)*VLOOKUP(A197,'[43]geoMap (40)'!$A:$C,3,0)</f>
        <v>#REF!</v>
      </c>
      <c r="AQ197" s="1" t="e">
        <f>AP197/VLOOKUP(A197,'[44]geoMap (41)'!$A:$B,2,0)*VLOOKUP(A197,'[44]geoMap (41)'!$A:$C,3,0)</f>
        <v>#REF!</v>
      </c>
      <c r="AR197" s="1" t="e">
        <f>AQ197/VLOOKUP(A197,'[45]geoMap (42)'!$A:$B,2,0)*VLOOKUP(A197,'[45]geoMap (42)'!$A:$C,3,0)</f>
        <v>#REF!</v>
      </c>
      <c r="AS197" s="1" t="e">
        <f>AR197/VLOOKUP(A197,'[46]geoMap (43)'!$A:$B,2,0)*VLOOKUP(A197,'[46]geoMap (43)'!$A:$C,3,0)</f>
        <v>#REF!</v>
      </c>
      <c r="AT197" s="1" t="e">
        <f>AS197/VLOOKUP(A197,'[47]geoMap (44)'!$A:$B,2,0)*VLOOKUP(A197,'[47]geoMap (44)'!$A:$C,3,0)</f>
        <v>#REF!</v>
      </c>
      <c r="AU197" s="1" t="e">
        <f>AT197/VLOOKUP(A197,'[48]geoMap (45)'!$A:$B,2,0)*VLOOKUP(A197,'[48]geoMap (45)'!$A:$C,3,0)</f>
        <v>#REF!</v>
      </c>
      <c r="AV197" s="1" t="e">
        <f>AU197/VLOOKUP(A197,'[49]geoMap (46)'!$A:$B,2,0)*VLOOKUP(A197,'[49]geoMap (46)'!$A:$C,3,0)</f>
        <v>#REF!</v>
      </c>
      <c r="AW197" s="1" t="e">
        <f>AV197/VLOOKUP(A197,'[50]geoMap (47)'!$A:$B,2,0)*VLOOKUP(A197,'[50]geoMap (47)'!$A:$C,3,0)</f>
        <v>#REF!</v>
      </c>
      <c r="AX197" s="4" t="e">
        <f>AW197/VLOOKUP(A197,'[51]geoMap (48)'!$A:$B,2,0)*VLOOKUP(A197,'[51]geoMap (48)'!$A:$C,3,0)</f>
        <v>#REF!</v>
      </c>
      <c r="AY197" s="1" t="e">
        <f>AX197/VLOOKUP(A197,'[52]geoMap (49)'!$A:$B,2,0)*VLOOKUP(A197,'[52]geoMap (49)'!$A:$C,3,0)</f>
        <v>#REF!</v>
      </c>
      <c r="AZ197" s="4" t="e">
        <f>AY197/VLOOKUP(A197,'[53]geoMap (50)'!$A:$B,2,0)*VLOOKUP(A197,'[53]geoMap (50)'!$A:$C,3,0)</f>
        <v>#REF!</v>
      </c>
      <c r="BA197" s="1" t="e">
        <f>AZ197/VLOOKUP(A197,'[54]geoMap (51)'!$A:$B,2,0)*VLOOKUP(A197,'[54]geoMap (51)'!$A:$C,3,0)</f>
        <v>#REF!</v>
      </c>
      <c r="BB197" s="4" t="e">
        <f>BA197/VLOOKUP(A197,'[55]geoMap (52)'!$A:$B,2,0)*VLOOKUP(A197,'[55]geoMap (52)'!$A:$C,3,0)</f>
        <v>#REF!</v>
      </c>
      <c r="BC197" s="1" t="e">
        <f>BB197/VLOOKUP(A197,'[56]geoMap (53)'!$A:$B,2,0)*VLOOKUP(A197,'[56]geoMap (53)'!$A:$C,3,0)</f>
        <v>#REF!</v>
      </c>
      <c r="BD197" s="4" t="e">
        <f>BC197/VLOOKUP(A197,'[57]geoMap (54)'!$A:$B,2,0)*VLOOKUP(A197,'[57]geoMap (54)'!$A:$C,3,0)</f>
        <v>#REF!</v>
      </c>
      <c r="BE197" s="1" t="e">
        <f>BD197/VLOOKUP(A197,'[58]geoMap (55)'!$A:$B,2,0)*VLOOKUP(A197,'[58]geoMap (55)'!$A:$C,3,0)</f>
        <v>#REF!</v>
      </c>
      <c r="BF197" s="4" t="e">
        <f>BE197/VLOOKUP(A197,'[59]geoMap (56)'!$A:$B,2,0)*VLOOKUP(A197,'[59]geoMap (56)'!$A:$C,3,0)</f>
        <v>#REF!</v>
      </c>
      <c r="BG197" s="1" t="e">
        <f>BF197/VLOOKUP(A197,'[60]geoMap (57)'!$A:$B,2,0)*VLOOKUP(A197,'[60]geoMap (57)'!$A:$C,3,0)</f>
        <v>#REF!</v>
      </c>
      <c r="BH197" s="4" t="e">
        <f>BG197/VLOOKUP(A197,'[61]geoMap (58)'!$A:$B,2,0)*VLOOKUP(A197,'[61]geoMap (58)'!$A:$C,3,0)</f>
        <v>#REF!</v>
      </c>
      <c r="BI197" s="1" t="e">
        <f>BH197/VLOOKUP(A197,'[62]geoMap (59)'!$A:$B,2,0)*VLOOKUP(A197,'[62]geoMap (59)'!$A:$C,3,0)</f>
        <v>#REF!</v>
      </c>
      <c r="BJ197" s="4" t="e">
        <f>BI197/VLOOKUP(A197,'[63]geoMap (60)'!$A:$B,2,0)*VLOOKUP(A197,'[63]geoMap (60)'!$A:$C,3,0)</f>
        <v>#REF!</v>
      </c>
      <c r="BK197" s="1" t="e">
        <f>BJ197/VLOOKUP(A197,'[64]geoMap (61)'!$A:$B,2,0)*VLOOKUP(A197,'[64]geoMap (61)'!$A:$C,3,0)</f>
        <v>#REF!</v>
      </c>
      <c r="BL197" s="4" t="e">
        <f>BK197/VLOOKUP(A197,'[65]geoMap (62)'!$A:$B,2,0)*VLOOKUP(A197,'[65]geoMap (62)'!$A:$C,3,0)</f>
        <v>#REF!</v>
      </c>
      <c r="BM197" s="1" t="e">
        <f>BL197/VLOOKUP(A197,'[66]geoMap (63)'!$A:$B,2,0)*VLOOKUP(A197,'[66]geoMap (63)'!$A:$C,3,0)</f>
        <v>#REF!</v>
      </c>
      <c r="BN197" s="4" t="e">
        <f>BM197/VLOOKUP(A197,'[67]geoMap (64)'!$A:$B,2,0)*VLOOKUP(A197,'[67]geoMap (64)'!$A:$C,3,0)</f>
        <v>#REF!</v>
      </c>
      <c r="BO197" s="1" t="e">
        <f>BN197/VLOOKUP(A197,'[68]geoMap (65)'!$A:$B,2,0)*VLOOKUP(A197,'[68]geoMap (65)'!$A:$C,3,0)</f>
        <v>#REF!</v>
      </c>
      <c r="BP197" s="4" t="e">
        <f>BO197/VLOOKUP(A197,'[69]geoMap (66)'!$A:$B,2,0)*VLOOKUP(A197,'[69]geoMap (66)'!$A:$C,3,0)</f>
        <v>#REF!</v>
      </c>
    </row>
    <row r="198" spans="1:68" x14ac:dyDescent="0.2">
      <c r="A198" s="1" t="s">
        <v>200</v>
      </c>
      <c r="B198" s="1" t="e">
        <f>VLOOKUP(A198,[3]geoMap!$A:$B,2,0)*Notes!$C$6</f>
        <v>#REF!</v>
      </c>
      <c r="C198" s="1" t="e">
        <f>B198/VLOOKUP(A198,'[4]geoMap (1)'!$A:$B,2,0)*VLOOKUP(A198,'[4]geoMap (1)'!$A:$C,3,0)</f>
        <v>#REF!</v>
      </c>
      <c r="D198" s="1" t="e">
        <f>C198/VLOOKUP(A198,'[5]geoMap (2)'!$A:$B,2,0)*VLOOKUP(A198,'[5]geoMap (2)'!$A:$C,3,0)</f>
        <v>#REF!</v>
      </c>
      <c r="E198" s="1" t="e">
        <f>D198/VLOOKUP(A198,'[6]geoMap (3)'!$A:$B,2,0)*VLOOKUP(A198,'[6]geoMap (3)'!$A:$C,3,0)</f>
        <v>#REF!</v>
      </c>
      <c r="F198" s="1" t="e">
        <f>E198/VLOOKUP(A198,'[7]geoMap (4)'!$A:$B,2,0)*VLOOKUP(A198,'[7]geoMap (4)'!$A:$C,3,0)</f>
        <v>#REF!</v>
      </c>
      <c r="G198" s="1" t="e">
        <f>F198/VLOOKUP(A198,'[8]geoMap (5)'!$A:$B,2,0)*VLOOKUP(A198,'[8]geoMap (5)'!$A:$C,3,0)</f>
        <v>#REF!</v>
      </c>
      <c r="H198" s="1" t="e">
        <f>G198/VLOOKUP(A198,'[9]geoMap (6)'!$A:$B,2,0)*VLOOKUP(A198,'[9]geoMap (6)'!$A:$C,3,0)</f>
        <v>#REF!</v>
      </c>
      <c r="I198" s="1" t="e">
        <f>H198/VLOOKUP(A198,'[10]geoMap (7)'!$A:$B,2,0)*VLOOKUP(A198,'[10]geoMap (7)'!$A:$C,3,0)</f>
        <v>#REF!</v>
      </c>
      <c r="J198" s="1" t="e">
        <f>I198/VLOOKUP(A198,'[11]geoMap (8)'!$A:$B,2,0)*VLOOKUP(A198,'[11]geoMap (8)'!$A:$C,3,0)</f>
        <v>#REF!</v>
      </c>
      <c r="K198" s="1" t="e">
        <f>J198/VLOOKUP(A198,'[12]geoMap (9)'!$A:$B,2,0)*VLOOKUP(A198,'[12]geoMap (9)'!$A:$C,3,0)</f>
        <v>#REF!</v>
      </c>
      <c r="L198" s="1" t="e">
        <f>K198/VLOOKUP(A198,'[13]geoMap (10)'!$A:$B,2,0)*VLOOKUP(A198,'[13]geoMap (10)'!$A:$C,3,0)</f>
        <v>#REF!</v>
      </c>
      <c r="M198" s="1" t="e">
        <f>L198/VLOOKUP(A198,'[14]geoMap (11)'!$A:$B,2,0)*VLOOKUP(A198,'[14]geoMap (11)'!$A:$C,3,0)</f>
        <v>#REF!</v>
      </c>
      <c r="N198" s="1" t="e">
        <f>M198/VLOOKUP(A198,'[15]geoMap (12)'!$A:$B,2,0)*VLOOKUP(A198,'[15]geoMap (12)'!$A:$C,3,0)</f>
        <v>#REF!</v>
      </c>
      <c r="O198" s="1" t="e">
        <f>N198/VLOOKUP(A198,'[16]geoMap (13)'!$A:$B,2,0)*VLOOKUP(A198,'[16]geoMap (13)'!$A:$C,3,0)</f>
        <v>#REF!</v>
      </c>
      <c r="P198" s="1" t="e">
        <f>O198/VLOOKUP(A198,'[17]geoMap (14)'!$A:$B,2,0)*VLOOKUP(A198,'[17]geoMap (14)'!$A:$C,3,0)</f>
        <v>#REF!</v>
      </c>
      <c r="Q198" s="1" t="e">
        <f>P198/VLOOKUP(A198,'[18]geoMap (15)'!$A:$B,2,0)*VLOOKUP(A198,'[18]geoMap (15)'!$A:$C,3,0)</f>
        <v>#REF!</v>
      </c>
      <c r="R198" s="1" t="e">
        <f>Q198/VLOOKUP(A198,'[19]geoMap (16)'!$A:$B,2,0)*VLOOKUP(A198,'[19]geoMap (16)'!$A:$C,3,0)</f>
        <v>#REF!</v>
      </c>
      <c r="S198" s="1" t="e">
        <f>R198/VLOOKUP(A198,'[20]geoMap (17)'!$A:$B,2,0)*VLOOKUP(A198,'[20]geoMap (17)'!$A:$C,3,0)</f>
        <v>#REF!</v>
      </c>
      <c r="T198" s="1" t="e">
        <f>S198/VLOOKUP(A198,'[21]geoMap (18)'!$A:$B,2,0)*VLOOKUP(A198,'[21]geoMap (18)'!$A:$C,3,0)</f>
        <v>#REF!</v>
      </c>
      <c r="U198" s="1" t="e">
        <f>T198/VLOOKUP(A198,'[22]geoMap (19)'!$A:$B,2,0)*VLOOKUP(A198,'[22]geoMap (19)'!$A:$C,3,0)</f>
        <v>#REF!</v>
      </c>
      <c r="V198" s="1" t="e">
        <f>U198/VLOOKUP(A198,'[23]geoMap (20)'!$A:$B,2,0)*VLOOKUP(A198,'[23]geoMap (20)'!$A:$C,3,0)</f>
        <v>#REF!</v>
      </c>
      <c r="W198" s="1" t="e">
        <f>V198/VLOOKUP(A198,'[24]geoMap (21)'!$A:$B,2,0)*VLOOKUP(A198,'[24]geoMap (21)'!$A:$C,3,0)</f>
        <v>#REF!</v>
      </c>
      <c r="X198" s="1" t="e">
        <f>W198/VLOOKUP(A198,'[25]geoMap (22)'!$A:$B,2,0)*VLOOKUP(A198,'[25]geoMap (22)'!$A:$C,3,0)</f>
        <v>#REF!</v>
      </c>
      <c r="Y198" s="1" t="e">
        <f>X198/VLOOKUP(A198,'[26]geoMap (23)'!$A:$B,2,0)*VLOOKUP(A198,'[26]geoMap (23)'!$A:$C,3,0)</f>
        <v>#REF!</v>
      </c>
      <c r="Z198" s="1" t="e">
        <f>Y198/VLOOKUP(A198,'[27]geoMap (24)'!$A:$B,2,0)*VLOOKUP(A198,'[27]geoMap (24)'!$A:$C,3,0)</f>
        <v>#REF!</v>
      </c>
      <c r="AA198" s="1" t="e">
        <f>Z198/VLOOKUP(A198,'[28]geoMap (25)'!$A:$B,2,0)*VLOOKUP(A198,'[28]geoMap (25)'!$A:$C,3,0)</f>
        <v>#REF!</v>
      </c>
      <c r="AB198" s="1" t="e">
        <f>AA198*VLOOKUP(A198,'[29]geoMap (26)'!$A:$B,2,0)*VLOOKUP(A198,'[29]geoMap (26)'!$A:$C,3,0)</f>
        <v>#REF!</v>
      </c>
      <c r="AC198" s="1" t="e">
        <f>AB198/VLOOKUP(A198,'[30]geoMap (27)'!$A:$B,2,0)*VLOOKUP(A198,'[30]geoMap (27)'!$A:$C,3,0)</f>
        <v>#REF!</v>
      </c>
      <c r="AD198" s="1" t="e">
        <f>AC198/VLOOKUP(A198,'[31]geoMap (28)'!$A:$B,2,0)*VLOOKUP(A198,'[31]geoMap (28)'!$A:$C,3,0)</f>
        <v>#REF!</v>
      </c>
      <c r="AE198" s="1" t="e">
        <f>AD198/VLOOKUP(A198,'[32]geoMap (29)'!$A:$B,2,0)*VLOOKUP(A198,'[32]geoMap (29)'!$A:$C,3,0)</f>
        <v>#REF!</v>
      </c>
      <c r="AF198" s="1" t="e">
        <f>AE198/VLOOKUP(A198,'[33]geoMap (30)'!$A:$B,2,0)*VLOOKUP(A198,'[33]geoMap (30)'!$A:$C,3,0)</f>
        <v>#REF!</v>
      </c>
      <c r="AG198" s="1" t="e">
        <f>AF198/VLOOKUP(A198,'[34]geoMap (31)'!$A:$B,2,0)*VLOOKUP(A198,'[34]geoMap (31)'!$A:$C,3,0)</f>
        <v>#REF!</v>
      </c>
      <c r="AH198" s="1" t="e">
        <f>AG198/VLOOKUP(A198,'[35]geoMap (32)'!$A:$B,2,0)*VLOOKUP(A198,'[35]geoMap (32)'!$A:$C,3,0)</f>
        <v>#REF!</v>
      </c>
      <c r="AI198" s="1" t="e">
        <f>AH198/VLOOKUP(A198,'[36]geoMap (33)'!$A:$B,2,0)*VLOOKUP(A198,'[36]geoMap (33)'!$A:$C,3,0)</f>
        <v>#REF!</v>
      </c>
      <c r="AJ198" s="1" t="e">
        <f>AI198/VLOOKUP(A198,'[37]geoMap (34)'!$A:$B,2,0)*VLOOKUP(A198,'[37]geoMap (34)'!$A:$C,3,0)</f>
        <v>#REF!</v>
      </c>
      <c r="AK198" s="1" t="e">
        <f>AJ198/VLOOKUP(A198,'[38]geoMap (35)'!$A:$B,2,0)*VLOOKUP(A198,'[38]geoMap (35)'!$A:$C,3,0)</f>
        <v>#REF!</v>
      </c>
      <c r="AL198" s="1" t="e">
        <f>AK198/VLOOKUP(A198,'[39]geoMap (36)'!$A:$B,2,0)*VLOOKUP(A198,'[39]geoMap (36)'!$A:$C,3,0)</f>
        <v>#REF!</v>
      </c>
      <c r="AM198" s="1" t="e">
        <f>AL198/VLOOKUP(A198,'[40]geoMap (37)'!$A:$B,2,0)*VLOOKUP(A198,'[40]geoMap (37)'!$A:$C,3,0)</f>
        <v>#REF!</v>
      </c>
      <c r="AN198" s="1" t="e">
        <f>AM198/VLOOKUP(A198,'[41]geoMap (38)'!$A:$B,2,0)*VLOOKUP(A198,'[41]geoMap (38)'!$A:$C,3,0)</f>
        <v>#REF!</v>
      </c>
      <c r="AO198" s="1" t="e">
        <f>AN198/VLOOKUP(A198,'[42]geoMap (39)'!$A:$B,2,0)*VLOOKUP(A198,'[42]geoMap (39)'!$A:$C,3,0)</f>
        <v>#REF!</v>
      </c>
      <c r="AP198" s="1" t="e">
        <f>AO198/VLOOKUP(A198,'[43]geoMap (40)'!$A:$B,2,0)*VLOOKUP(A198,'[43]geoMap (40)'!$A:$C,3,0)</f>
        <v>#REF!</v>
      </c>
      <c r="AQ198" s="1" t="e">
        <f>AP198/VLOOKUP(A198,'[44]geoMap (41)'!$A:$B,2,0)*VLOOKUP(A198,'[44]geoMap (41)'!$A:$C,3,0)</f>
        <v>#REF!</v>
      </c>
      <c r="AR198" s="1" t="e">
        <f>AQ198/VLOOKUP(A198,'[45]geoMap (42)'!$A:$B,2,0)*VLOOKUP(A198,'[45]geoMap (42)'!$A:$C,3,0)</f>
        <v>#REF!</v>
      </c>
      <c r="AS198" s="1" t="e">
        <f>AR198/VLOOKUP(A198,'[46]geoMap (43)'!$A:$B,2,0)*VLOOKUP(A198,'[46]geoMap (43)'!$A:$C,3,0)</f>
        <v>#REF!</v>
      </c>
      <c r="AT198" s="1" t="e">
        <f>AS198/VLOOKUP(A198,'[47]geoMap (44)'!$A:$B,2,0)*VLOOKUP(A198,'[47]geoMap (44)'!$A:$C,3,0)</f>
        <v>#REF!</v>
      </c>
      <c r="AU198" s="1" t="e">
        <f>AT198/VLOOKUP(A198,'[48]geoMap (45)'!$A:$B,2,0)*VLOOKUP(A198,'[48]geoMap (45)'!$A:$C,3,0)</f>
        <v>#REF!</v>
      </c>
      <c r="AV198" s="1" t="e">
        <f>AU198/VLOOKUP(A198,'[49]geoMap (46)'!$A:$B,2,0)*VLOOKUP(A198,'[49]geoMap (46)'!$A:$C,3,0)</f>
        <v>#REF!</v>
      </c>
      <c r="AW198" s="1" t="e">
        <f>AV198/VLOOKUP(A198,'[50]geoMap (47)'!$A:$B,2,0)*VLOOKUP(A198,'[50]geoMap (47)'!$A:$C,3,0)</f>
        <v>#REF!</v>
      </c>
      <c r="AX198" s="4" t="e">
        <f>AW198/VLOOKUP(A198,'[51]geoMap (48)'!$A:$B,2,0)*VLOOKUP(A198,'[51]geoMap (48)'!$A:$C,3,0)</f>
        <v>#REF!</v>
      </c>
      <c r="AY198" s="1" t="e">
        <f>AX198/VLOOKUP(A198,'[52]geoMap (49)'!$A:$B,2,0)*VLOOKUP(A198,'[52]geoMap (49)'!$A:$C,3,0)</f>
        <v>#REF!</v>
      </c>
      <c r="AZ198" s="4" t="e">
        <f>AY198/VLOOKUP(A198,'[53]geoMap (50)'!$A:$B,2,0)*VLOOKUP(A198,'[53]geoMap (50)'!$A:$C,3,0)</f>
        <v>#REF!</v>
      </c>
      <c r="BA198" s="1" t="e">
        <f>AZ198/VLOOKUP(A198,'[54]geoMap (51)'!$A:$B,2,0)*VLOOKUP(A198,'[54]geoMap (51)'!$A:$C,3,0)</f>
        <v>#REF!</v>
      </c>
      <c r="BB198" s="4" t="e">
        <f>BA198/VLOOKUP(A198,'[55]geoMap (52)'!$A:$B,2,0)*VLOOKUP(A198,'[55]geoMap (52)'!$A:$C,3,0)</f>
        <v>#REF!</v>
      </c>
      <c r="BC198" s="1" t="e">
        <f>BB198/VLOOKUP(A198,'[56]geoMap (53)'!$A:$B,2,0)*VLOOKUP(A198,'[56]geoMap (53)'!$A:$C,3,0)</f>
        <v>#REF!</v>
      </c>
      <c r="BD198" s="4" t="e">
        <f>BC198/VLOOKUP(A198,'[57]geoMap (54)'!$A:$B,2,0)*VLOOKUP(A198,'[57]geoMap (54)'!$A:$C,3,0)</f>
        <v>#REF!</v>
      </c>
      <c r="BE198" s="1" t="e">
        <f>BD198/VLOOKUP(A198,'[58]geoMap (55)'!$A:$B,2,0)*VLOOKUP(A198,'[58]geoMap (55)'!$A:$C,3,0)</f>
        <v>#REF!</v>
      </c>
      <c r="BF198" s="4" t="e">
        <f>BE198/VLOOKUP(A198,'[59]geoMap (56)'!$A:$B,2,0)*VLOOKUP(A198,'[59]geoMap (56)'!$A:$C,3,0)</f>
        <v>#REF!</v>
      </c>
      <c r="BG198" s="1" t="e">
        <f>BF198/VLOOKUP(A198,'[60]geoMap (57)'!$A:$B,2,0)*VLOOKUP(A198,'[60]geoMap (57)'!$A:$C,3,0)</f>
        <v>#REF!</v>
      </c>
      <c r="BH198" s="4" t="e">
        <f>BG198/VLOOKUP(A198,'[61]geoMap (58)'!$A:$B,2,0)*VLOOKUP(A198,'[61]geoMap (58)'!$A:$C,3,0)</f>
        <v>#REF!</v>
      </c>
      <c r="BI198" s="1" t="e">
        <f>BH198/VLOOKUP(A198,'[62]geoMap (59)'!$A:$B,2,0)*VLOOKUP(A198,'[62]geoMap (59)'!$A:$C,3,0)</f>
        <v>#REF!</v>
      </c>
      <c r="BJ198" s="4" t="e">
        <f>BI198/VLOOKUP(A198,'[63]geoMap (60)'!$A:$B,2,0)*VLOOKUP(A198,'[63]geoMap (60)'!$A:$C,3,0)</f>
        <v>#REF!</v>
      </c>
      <c r="BK198" s="1" t="e">
        <f>BJ198/VLOOKUP(A198,'[64]geoMap (61)'!$A:$B,2,0)*VLOOKUP(A198,'[64]geoMap (61)'!$A:$C,3,0)</f>
        <v>#REF!</v>
      </c>
      <c r="BL198" s="4" t="e">
        <f>BK198/VLOOKUP(A198,'[65]geoMap (62)'!$A:$B,2,0)*VLOOKUP(A198,'[65]geoMap (62)'!$A:$C,3,0)</f>
        <v>#REF!</v>
      </c>
      <c r="BM198" s="1" t="e">
        <f>BL198/VLOOKUP(A198,'[66]geoMap (63)'!$A:$B,2,0)*VLOOKUP(A198,'[66]geoMap (63)'!$A:$C,3,0)</f>
        <v>#REF!</v>
      </c>
      <c r="BN198" s="4" t="e">
        <f>BM198/VLOOKUP(A198,'[67]geoMap (64)'!$A:$B,2,0)*VLOOKUP(A198,'[67]geoMap (64)'!$A:$C,3,0)</f>
        <v>#REF!</v>
      </c>
      <c r="BO198" s="1" t="e">
        <f>BN198/VLOOKUP(A198,'[68]geoMap (65)'!$A:$B,2,0)*VLOOKUP(A198,'[68]geoMap (65)'!$A:$C,3,0)</f>
        <v>#REF!</v>
      </c>
      <c r="BP198" s="4" t="e">
        <f>BO198/VLOOKUP(A198,'[69]geoMap (66)'!$A:$B,2,0)*VLOOKUP(A198,'[69]geoMap (66)'!$A:$C,3,0)</f>
        <v>#REF!</v>
      </c>
    </row>
    <row r="199" spans="1:68" x14ac:dyDescent="0.2">
      <c r="A199" s="1" t="s">
        <v>201</v>
      </c>
      <c r="B199" s="1" t="e">
        <f>VLOOKUP(A199,[3]geoMap!$A:$B,2,0)*Notes!$C$6</f>
        <v>#REF!</v>
      </c>
      <c r="C199" s="1" t="e">
        <f>B199/VLOOKUP(A199,'[4]geoMap (1)'!$A:$B,2,0)*VLOOKUP(A199,'[4]geoMap (1)'!$A:$C,3,0)</f>
        <v>#REF!</v>
      </c>
      <c r="D199" s="1" t="e">
        <f>C199/VLOOKUP(A199,'[5]geoMap (2)'!$A:$B,2,0)*VLOOKUP(A199,'[5]geoMap (2)'!$A:$C,3,0)</f>
        <v>#REF!</v>
      </c>
      <c r="E199" s="1" t="e">
        <f>D199/VLOOKUP(A199,'[6]geoMap (3)'!$A:$B,2,0)*VLOOKUP(A199,'[6]geoMap (3)'!$A:$C,3,0)</f>
        <v>#REF!</v>
      </c>
      <c r="F199" s="1" t="e">
        <f>E199/VLOOKUP(A199,'[7]geoMap (4)'!$A:$B,2,0)*VLOOKUP(A199,'[7]geoMap (4)'!$A:$C,3,0)</f>
        <v>#REF!</v>
      </c>
      <c r="G199" s="1" t="e">
        <f>F199/VLOOKUP(A199,'[8]geoMap (5)'!$A:$B,2,0)*VLOOKUP(A199,'[8]geoMap (5)'!$A:$C,3,0)</f>
        <v>#REF!</v>
      </c>
      <c r="H199" s="1" t="e">
        <f>G199/VLOOKUP(A199,'[9]geoMap (6)'!$A:$B,2,0)*VLOOKUP(A199,'[9]geoMap (6)'!$A:$C,3,0)</f>
        <v>#REF!</v>
      </c>
      <c r="I199" s="1" t="e">
        <f>H199/VLOOKUP(A199,'[10]geoMap (7)'!$A:$B,2,0)*VLOOKUP(A199,'[10]geoMap (7)'!$A:$C,3,0)</f>
        <v>#REF!</v>
      </c>
      <c r="J199" s="1" t="e">
        <f>I199/VLOOKUP(A199,'[11]geoMap (8)'!$A:$B,2,0)*VLOOKUP(A199,'[11]geoMap (8)'!$A:$C,3,0)</f>
        <v>#REF!</v>
      </c>
      <c r="K199" s="1" t="e">
        <f>J199/VLOOKUP(A199,'[12]geoMap (9)'!$A:$B,2,0)*VLOOKUP(A199,'[12]geoMap (9)'!$A:$C,3,0)</f>
        <v>#REF!</v>
      </c>
      <c r="L199" s="1" t="e">
        <f>K199/VLOOKUP(A199,'[13]geoMap (10)'!$A:$B,2,0)*VLOOKUP(A199,'[13]geoMap (10)'!$A:$C,3,0)</f>
        <v>#REF!</v>
      </c>
      <c r="M199" s="1" t="e">
        <f>L199/VLOOKUP(A199,'[14]geoMap (11)'!$A:$B,2,0)*VLOOKUP(A199,'[14]geoMap (11)'!$A:$C,3,0)</f>
        <v>#REF!</v>
      </c>
      <c r="N199" s="1" t="e">
        <f>M199/VLOOKUP(A199,'[15]geoMap (12)'!$A:$B,2,0)*VLOOKUP(A199,'[15]geoMap (12)'!$A:$C,3,0)</f>
        <v>#REF!</v>
      </c>
      <c r="O199" s="1" t="e">
        <f>N199/VLOOKUP(A199,'[16]geoMap (13)'!$A:$B,2,0)*VLOOKUP(A199,'[16]geoMap (13)'!$A:$C,3,0)</f>
        <v>#REF!</v>
      </c>
      <c r="P199" s="1" t="e">
        <f>O199/VLOOKUP(A199,'[17]geoMap (14)'!$A:$B,2,0)*VLOOKUP(A199,'[17]geoMap (14)'!$A:$C,3,0)</f>
        <v>#REF!</v>
      </c>
      <c r="Q199" s="1" t="e">
        <f>P199/VLOOKUP(A199,'[18]geoMap (15)'!$A:$B,2,0)*VLOOKUP(A199,'[18]geoMap (15)'!$A:$C,3,0)</f>
        <v>#REF!</v>
      </c>
      <c r="R199" s="1" t="e">
        <f>Q199/VLOOKUP(A199,'[19]geoMap (16)'!$A:$B,2,0)*VLOOKUP(A199,'[19]geoMap (16)'!$A:$C,3,0)</f>
        <v>#REF!</v>
      </c>
      <c r="S199" s="1" t="e">
        <f>R199/VLOOKUP(A199,'[20]geoMap (17)'!$A:$B,2,0)*VLOOKUP(A199,'[20]geoMap (17)'!$A:$C,3,0)</f>
        <v>#REF!</v>
      </c>
      <c r="T199" s="1" t="e">
        <f>S199/VLOOKUP(A199,'[21]geoMap (18)'!$A:$B,2,0)*VLOOKUP(A199,'[21]geoMap (18)'!$A:$C,3,0)</f>
        <v>#REF!</v>
      </c>
      <c r="U199" s="1" t="e">
        <f>T199/VLOOKUP(A199,'[22]geoMap (19)'!$A:$B,2,0)*VLOOKUP(A199,'[22]geoMap (19)'!$A:$C,3,0)</f>
        <v>#REF!</v>
      </c>
      <c r="V199" s="1" t="e">
        <f>U199/VLOOKUP(A199,'[23]geoMap (20)'!$A:$B,2,0)*VLOOKUP(A199,'[23]geoMap (20)'!$A:$C,3,0)</f>
        <v>#REF!</v>
      </c>
      <c r="W199" s="1" t="e">
        <f>V199/VLOOKUP(A199,'[24]geoMap (21)'!$A:$B,2,0)*VLOOKUP(A199,'[24]geoMap (21)'!$A:$C,3,0)</f>
        <v>#REF!</v>
      </c>
      <c r="X199" s="1" t="e">
        <f>W199/VLOOKUP(A199,'[25]geoMap (22)'!$A:$B,2,0)*VLOOKUP(A199,'[25]geoMap (22)'!$A:$C,3,0)</f>
        <v>#REF!</v>
      </c>
      <c r="Y199" s="1" t="e">
        <f>X199/VLOOKUP(A199,'[26]geoMap (23)'!$A:$B,2,0)*VLOOKUP(A199,'[26]geoMap (23)'!$A:$C,3,0)</f>
        <v>#REF!</v>
      </c>
      <c r="Z199" s="1" t="e">
        <f>Y199/VLOOKUP(A199,'[27]geoMap (24)'!$A:$B,2,0)*VLOOKUP(A199,'[27]geoMap (24)'!$A:$C,3,0)</f>
        <v>#REF!</v>
      </c>
      <c r="AA199" s="1" t="e">
        <f>Z199/VLOOKUP(A199,'[28]geoMap (25)'!$A:$B,2,0)*VLOOKUP(A199,'[28]geoMap (25)'!$A:$C,3,0)</f>
        <v>#REF!</v>
      </c>
      <c r="AB199" s="1" t="e">
        <f>AA199*VLOOKUP(A199,'[29]geoMap (26)'!$A:$B,2,0)*VLOOKUP(A199,'[29]geoMap (26)'!$A:$C,3,0)</f>
        <v>#REF!</v>
      </c>
      <c r="AC199" s="1" t="e">
        <f>AB199/VLOOKUP(A199,'[30]geoMap (27)'!$A:$B,2,0)*VLOOKUP(A199,'[30]geoMap (27)'!$A:$C,3,0)</f>
        <v>#REF!</v>
      </c>
      <c r="AD199" s="1" t="e">
        <f>AC199/VLOOKUP(A199,'[31]geoMap (28)'!$A:$B,2,0)*VLOOKUP(A199,'[31]geoMap (28)'!$A:$C,3,0)</f>
        <v>#REF!</v>
      </c>
      <c r="AE199" s="1" t="e">
        <f>AD199/VLOOKUP(A199,'[32]geoMap (29)'!$A:$B,2,0)*VLOOKUP(A199,'[32]geoMap (29)'!$A:$C,3,0)</f>
        <v>#REF!</v>
      </c>
      <c r="AF199" s="1" t="e">
        <f>AE199/VLOOKUP(A199,'[33]geoMap (30)'!$A:$B,2,0)*VLOOKUP(A199,'[33]geoMap (30)'!$A:$C,3,0)</f>
        <v>#REF!</v>
      </c>
      <c r="AG199" s="1" t="e">
        <f>AF199/VLOOKUP(A199,'[34]geoMap (31)'!$A:$B,2,0)*VLOOKUP(A199,'[34]geoMap (31)'!$A:$C,3,0)</f>
        <v>#REF!</v>
      </c>
      <c r="AH199" s="1" t="e">
        <f>AG199/VLOOKUP(A199,'[35]geoMap (32)'!$A:$B,2,0)*VLOOKUP(A199,'[35]geoMap (32)'!$A:$C,3,0)</f>
        <v>#REF!</v>
      </c>
      <c r="AI199" s="1" t="e">
        <f>AH199/VLOOKUP(A199,'[36]geoMap (33)'!$A:$B,2,0)*VLOOKUP(A199,'[36]geoMap (33)'!$A:$C,3,0)</f>
        <v>#REF!</v>
      </c>
      <c r="AJ199" s="1" t="e">
        <f>AI199/VLOOKUP(A199,'[37]geoMap (34)'!$A:$B,2,0)*VLOOKUP(A199,'[37]geoMap (34)'!$A:$C,3,0)</f>
        <v>#REF!</v>
      </c>
      <c r="AK199" s="1" t="e">
        <f>AJ199/VLOOKUP(A199,'[38]geoMap (35)'!$A:$B,2,0)*VLOOKUP(A199,'[38]geoMap (35)'!$A:$C,3,0)</f>
        <v>#REF!</v>
      </c>
      <c r="AL199" s="1" t="e">
        <f>AK199/VLOOKUP(A199,'[39]geoMap (36)'!$A:$B,2,0)*VLOOKUP(A199,'[39]geoMap (36)'!$A:$C,3,0)</f>
        <v>#REF!</v>
      </c>
      <c r="AM199" s="1" t="e">
        <f>AL199/VLOOKUP(A199,'[40]geoMap (37)'!$A:$B,2,0)*VLOOKUP(A199,'[40]geoMap (37)'!$A:$C,3,0)</f>
        <v>#REF!</v>
      </c>
      <c r="AN199" s="1" t="e">
        <f>AM199/VLOOKUP(A199,'[41]geoMap (38)'!$A:$B,2,0)*VLOOKUP(A199,'[41]geoMap (38)'!$A:$C,3,0)</f>
        <v>#REF!</v>
      </c>
      <c r="AO199" s="1" t="e">
        <f>AN199/VLOOKUP(A199,'[42]geoMap (39)'!$A:$B,2,0)*VLOOKUP(A199,'[42]geoMap (39)'!$A:$C,3,0)</f>
        <v>#REF!</v>
      </c>
      <c r="AP199" s="1" t="e">
        <f>AO199/VLOOKUP(A199,'[43]geoMap (40)'!$A:$B,2,0)*VLOOKUP(A199,'[43]geoMap (40)'!$A:$C,3,0)</f>
        <v>#REF!</v>
      </c>
      <c r="AQ199" s="1" t="e">
        <f>AP199/VLOOKUP(A199,'[44]geoMap (41)'!$A:$B,2,0)*VLOOKUP(A199,'[44]geoMap (41)'!$A:$C,3,0)</f>
        <v>#REF!</v>
      </c>
      <c r="AR199" s="1" t="e">
        <f>AQ199/VLOOKUP(A199,'[45]geoMap (42)'!$A:$B,2,0)*VLOOKUP(A199,'[45]geoMap (42)'!$A:$C,3,0)</f>
        <v>#REF!</v>
      </c>
      <c r="AS199" s="1" t="e">
        <f>AR199/VLOOKUP(A199,'[46]geoMap (43)'!$A:$B,2,0)*VLOOKUP(A199,'[46]geoMap (43)'!$A:$C,3,0)</f>
        <v>#REF!</v>
      </c>
      <c r="AT199" s="1" t="e">
        <f>AS199/VLOOKUP(A199,'[47]geoMap (44)'!$A:$B,2,0)*VLOOKUP(A199,'[47]geoMap (44)'!$A:$C,3,0)</f>
        <v>#REF!</v>
      </c>
      <c r="AU199" s="1" t="e">
        <f>AT199/VLOOKUP(A199,'[48]geoMap (45)'!$A:$B,2,0)*VLOOKUP(A199,'[48]geoMap (45)'!$A:$C,3,0)</f>
        <v>#REF!</v>
      </c>
      <c r="AV199" s="1" t="e">
        <f>AU199/VLOOKUP(A199,'[49]geoMap (46)'!$A:$B,2,0)*VLOOKUP(A199,'[49]geoMap (46)'!$A:$C,3,0)</f>
        <v>#REF!</v>
      </c>
      <c r="AW199" s="1" t="e">
        <f>AV199/VLOOKUP(A199,'[50]geoMap (47)'!$A:$B,2,0)*VLOOKUP(A199,'[50]geoMap (47)'!$A:$C,3,0)</f>
        <v>#REF!</v>
      </c>
      <c r="AX199" s="4" t="e">
        <f>AW199/VLOOKUP(A199,'[51]geoMap (48)'!$A:$B,2,0)*VLOOKUP(A199,'[51]geoMap (48)'!$A:$C,3,0)</f>
        <v>#REF!</v>
      </c>
      <c r="AY199" s="1" t="e">
        <f>AX199/VLOOKUP(A199,'[52]geoMap (49)'!$A:$B,2,0)*VLOOKUP(A199,'[52]geoMap (49)'!$A:$C,3,0)</f>
        <v>#REF!</v>
      </c>
      <c r="AZ199" s="4" t="e">
        <f>AY199/VLOOKUP(A199,'[53]geoMap (50)'!$A:$B,2,0)*VLOOKUP(A199,'[53]geoMap (50)'!$A:$C,3,0)</f>
        <v>#REF!</v>
      </c>
      <c r="BA199" s="1" t="e">
        <f>AZ199/VLOOKUP(A199,'[54]geoMap (51)'!$A:$B,2,0)*VLOOKUP(A199,'[54]geoMap (51)'!$A:$C,3,0)</f>
        <v>#REF!</v>
      </c>
      <c r="BB199" s="4" t="e">
        <f>BA199/VLOOKUP(A199,'[55]geoMap (52)'!$A:$B,2,0)*VLOOKUP(A199,'[55]geoMap (52)'!$A:$C,3,0)</f>
        <v>#REF!</v>
      </c>
      <c r="BC199" s="1" t="e">
        <f>BB199/VLOOKUP(A199,'[56]geoMap (53)'!$A:$B,2,0)*VLOOKUP(A199,'[56]geoMap (53)'!$A:$C,3,0)</f>
        <v>#REF!</v>
      </c>
      <c r="BD199" s="4" t="e">
        <f>BC199/VLOOKUP(A199,'[57]geoMap (54)'!$A:$B,2,0)*VLOOKUP(A199,'[57]geoMap (54)'!$A:$C,3,0)</f>
        <v>#REF!</v>
      </c>
      <c r="BE199" s="1" t="e">
        <f>BD199/VLOOKUP(A199,'[58]geoMap (55)'!$A:$B,2,0)*VLOOKUP(A199,'[58]geoMap (55)'!$A:$C,3,0)</f>
        <v>#REF!</v>
      </c>
      <c r="BF199" s="4" t="e">
        <f>BE199/VLOOKUP(A199,'[59]geoMap (56)'!$A:$B,2,0)*VLOOKUP(A199,'[59]geoMap (56)'!$A:$C,3,0)</f>
        <v>#REF!</v>
      </c>
      <c r="BG199" s="1" t="e">
        <f>BF199/VLOOKUP(A199,'[60]geoMap (57)'!$A:$B,2,0)*VLOOKUP(A199,'[60]geoMap (57)'!$A:$C,3,0)</f>
        <v>#REF!</v>
      </c>
      <c r="BH199" s="4" t="e">
        <f>BG199/VLOOKUP(A199,'[61]geoMap (58)'!$A:$B,2,0)*VLOOKUP(A199,'[61]geoMap (58)'!$A:$C,3,0)</f>
        <v>#REF!</v>
      </c>
      <c r="BI199" s="1" t="e">
        <f>BH199/VLOOKUP(A199,'[62]geoMap (59)'!$A:$B,2,0)*VLOOKUP(A199,'[62]geoMap (59)'!$A:$C,3,0)</f>
        <v>#REF!</v>
      </c>
      <c r="BJ199" s="4" t="e">
        <f>BI199/VLOOKUP(A199,'[63]geoMap (60)'!$A:$B,2,0)*VLOOKUP(A199,'[63]geoMap (60)'!$A:$C,3,0)</f>
        <v>#REF!</v>
      </c>
      <c r="BK199" s="1" t="e">
        <f>BJ199/VLOOKUP(A199,'[64]geoMap (61)'!$A:$B,2,0)*VLOOKUP(A199,'[64]geoMap (61)'!$A:$C,3,0)</f>
        <v>#REF!</v>
      </c>
      <c r="BL199" s="4" t="e">
        <f>BK199/VLOOKUP(A199,'[65]geoMap (62)'!$A:$B,2,0)*VLOOKUP(A199,'[65]geoMap (62)'!$A:$C,3,0)</f>
        <v>#REF!</v>
      </c>
      <c r="BM199" s="1" t="e">
        <f>BL199/VLOOKUP(A199,'[66]geoMap (63)'!$A:$B,2,0)*VLOOKUP(A199,'[66]geoMap (63)'!$A:$C,3,0)</f>
        <v>#REF!</v>
      </c>
      <c r="BN199" s="4" t="e">
        <f>BM199/VLOOKUP(A199,'[67]geoMap (64)'!$A:$B,2,0)*VLOOKUP(A199,'[67]geoMap (64)'!$A:$C,3,0)</f>
        <v>#REF!</v>
      </c>
      <c r="BO199" s="1" t="e">
        <f>BN199/VLOOKUP(A199,'[68]geoMap (65)'!$A:$B,2,0)*VLOOKUP(A199,'[68]geoMap (65)'!$A:$C,3,0)</f>
        <v>#REF!</v>
      </c>
      <c r="BP199" s="4" t="e">
        <f>BO199/VLOOKUP(A199,'[69]geoMap (66)'!$A:$B,2,0)*VLOOKUP(A199,'[69]geoMap (66)'!$A:$C,3,0)</f>
        <v>#REF!</v>
      </c>
    </row>
    <row r="200" spans="1:68" x14ac:dyDescent="0.2">
      <c r="A200" s="1" t="s">
        <v>202</v>
      </c>
      <c r="B200" s="1" t="e">
        <f>VLOOKUP(A200,[3]geoMap!$A:$B,2,0)*Notes!$C$6</f>
        <v>#REF!</v>
      </c>
      <c r="C200" s="1" t="e">
        <f>B200/VLOOKUP(A200,'[4]geoMap (1)'!$A:$B,2,0)*VLOOKUP(A200,'[4]geoMap (1)'!$A:$C,3,0)</f>
        <v>#REF!</v>
      </c>
      <c r="D200" s="1" t="e">
        <f>C200/VLOOKUP(A200,'[5]geoMap (2)'!$A:$B,2,0)*VLOOKUP(A200,'[5]geoMap (2)'!$A:$C,3,0)</f>
        <v>#REF!</v>
      </c>
      <c r="E200" s="1" t="e">
        <f>D200/VLOOKUP(A200,'[6]geoMap (3)'!$A:$B,2,0)*VLOOKUP(A200,'[6]geoMap (3)'!$A:$C,3,0)</f>
        <v>#REF!</v>
      </c>
      <c r="F200" s="1" t="e">
        <f>E200/VLOOKUP(A200,'[7]geoMap (4)'!$A:$B,2,0)*VLOOKUP(A200,'[7]geoMap (4)'!$A:$C,3,0)</f>
        <v>#REF!</v>
      </c>
      <c r="G200" s="1" t="e">
        <f>F200/VLOOKUP(A200,'[8]geoMap (5)'!$A:$B,2,0)*VLOOKUP(A200,'[8]geoMap (5)'!$A:$C,3,0)</f>
        <v>#REF!</v>
      </c>
      <c r="H200" s="1" t="e">
        <f>G200/VLOOKUP(A200,'[9]geoMap (6)'!$A:$B,2,0)*VLOOKUP(A200,'[9]geoMap (6)'!$A:$C,3,0)</f>
        <v>#REF!</v>
      </c>
      <c r="I200" s="1" t="e">
        <f>H200/VLOOKUP(A200,'[10]geoMap (7)'!$A:$B,2,0)*VLOOKUP(A200,'[10]geoMap (7)'!$A:$C,3,0)</f>
        <v>#REF!</v>
      </c>
      <c r="J200" s="1" t="e">
        <f>I200/VLOOKUP(A200,'[11]geoMap (8)'!$A:$B,2,0)*VLOOKUP(A200,'[11]geoMap (8)'!$A:$C,3,0)</f>
        <v>#REF!</v>
      </c>
      <c r="K200" s="1" t="e">
        <f>J200/VLOOKUP(A200,'[12]geoMap (9)'!$A:$B,2,0)*VLOOKUP(A200,'[12]geoMap (9)'!$A:$C,3,0)</f>
        <v>#REF!</v>
      </c>
      <c r="L200" s="1" t="e">
        <f>K200/VLOOKUP(A200,'[13]geoMap (10)'!$A:$B,2,0)*VLOOKUP(A200,'[13]geoMap (10)'!$A:$C,3,0)</f>
        <v>#REF!</v>
      </c>
      <c r="M200" s="1" t="e">
        <f>L200/VLOOKUP(A200,'[14]geoMap (11)'!$A:$B,2,0)*VLOOKUP(A200,'[14]geoMap (11)'!$A:$C,3,0)</f>
        <v>#REF!</v>
      </c>
      <c r="N200" s="1" t="e">
        <f>M200/VLOOKUP(A200,'[15]geoMap (12)'!$A:$B,2,0)*VLOOKUP(A200,'[15]geoMap (12)'!$A:$C,3,0)</f>
        <v>#REF!</v>
      </c>
      <c r="O200" s="1" t="e">
        <f>N200/VLOOKUP(A200,'[16]geoMap (13)'!$A:$B,2,0)*VLOOKUP(A200,'[16]geoMap (13)'!$A:$C,3,0)</f>
        <v>#REF!</v>
      </c>
      <c r="P200" s="1" t="e">
        <f>O200/VLOOKUP(A200,'[17]geoMap (14)'!$A:$B,2,0)*VLOOKUP(A200,'[17]geoMap (14)'!$A:$C,3,0)</f>
        <v>#REF!</v>
      </c>
      <c r="Q200" s="1" t="e">
        <f>P200/VLOOKUP(A200,'[18]geoMap (15)'!$A:$B,2,0)*VLOOKUP(A200,'[18]geoMap (15)'!$A:$C,3,0)</f>
        <v>#REF!</v>
      </c>
      <c r="R200" s="1" t="e">
        <f>Q200/VLOOKUP(A200,'[19]geoMap (16)'!$A:$B,2,0)*VLOOKUP(A200,'[19]geoMap (16)'!$A:$C,3,0)</f>
        <v>#REF!</v>
      </c>
      <c r="S200" s="1" t="e">
        <f>R200/VLOOKUP(A200,'[20]geoMap (17)'!$A:$B,2,0)*VLOOKUP(A200,'[20]geoMap (17)'!$A:$C,3,0)</f>
        <v>#REF!</v>
      </c>
      <c r="T200" s="1" t="e">
        <f>S200/VLOOKUP(A200,'[21]geoMap (18)'!$A:$B,2,0)*VLOOKUP(A200,'[21]geoMap (18)'!$A:$C,3,0)</f>
        <v>#REF!</v>
      </c>
      <c r="U200" s="1" t="e">
        <f>T200/VLOOKUP(A200,'[22]geoMap (19)'!$A:$B,2,0)*VLOOKUP(A200,'[22]geoMap (19)'!$A:$C,3,0)</f>
        <v>#REF!</v>
      </c>
      <c r="V200" s="1" t="e">
        <f>U200/VLOOKUP(A200,'[23]geoMap (20)'!$A:$B,2,0)*VLOOKUP(A200,'[23]geoMap (20)'!$A:$C,3,0)</f>
        <v>#REF!</v>
      </c>
      <c r="W200" s="1" t="e">
        <f>V200/VLOOKUP(A200,'[24]geoMap (21)'!$A:$B,2,0)*VLOOKUP(A200,'[24]geoMap (21)'!$A:$C,3,0)</f>
        <v>#REF!</v>
      </c>
      <c r="X200" s="1" t="e">
        <f>W200/VLOOKUP(A200,'[25]geoMap (22)'!$A:$B,2,0)*VLOOKUP(A200,'[25]geoMap (22)'!$A:$C,3,0)</f>
        <v>#REF!</v>
      </c>
      <c r="Y200" s="1" t="e">
        <f>X200/VLOOKUP(A200,'[26]geoMap (23)'!$A:$B,2,0)*VLOOKUP(A200,'[26]geoMap (23)'!$A:$C,3,0)</f>
        <v>#REF!</v>
      </c>
      <c r="Z200" s="1" t="e">
        <f>Y200/VLOOKUP(A200,'[27]geoMap (24)'!$A:$B,2,0)*VLOOKUP(A200,'[27]geoMap (24)'!$A:$C,3,0)</f>
        <v>#REF!</v>
      </c>
      <c r="AA200" s="1" t="e">
        <f>Z200/VLOOKUP(A200,'[28]geoMap (25)'!$A:$B,2,0)*VLOOKUP(A200,'[28]geoMap (25)'!$A:$C,3,0)</f>
        <v>#REF!</v>
      </c>
      <c r="AB200" s="1" t="e">
        <f>AA200*VLOOKUP(A200,'[29]geoMap (26)'!$A:$B,2,0)*VLOOKUP(A200,'[29]geoMap (26)'!$A:$C,3,0)</f>
        <v>#REF!</v>
      </c>
      <c r="AC200" s="1" t="e">
        <f>AB200/VLOOKUP(A200,'[30]geoMap (27)'!$A:$B,2,0)*VLOOKUP(A200,'[30]geoMap (27)'!$A:$C,3,0)</f>
        <v>#REF!</v>
      </c>
      <c r="AD200" s="1" t="e">
        <f>AC200/VLOOKUP(A200,'[31]geoMap (28)'!$A:$B,2,0)*VLOOKUP(A200,'[31]geoMap (28)'!$A:$C,3,0)</f>
        <v>#REF!</v>
      </c>
      <c r="AE200" s="1" t="e">
        <f>AD200/VLOOKUP(A200,'[32]geoMap (29)'!$A:$B,2,0)*VLOOKUP(A200,'[32]geoMap (29)'!$A:$C,3,0)</f>
        <v>#REF!</v>
      </c>
      <c r="AF200" s="1" t="e">
        <f>AE200/VLOOKUP(A200,'[33]geoMap (30)'!$A:$B,2,0)*VLOOKUP(A200,'[33]geoMap (30)'!$A:$C,3,0)</f>
        <v>#REF!</v>
      </c>
      <c r="AG200" s="1" t="e">
        <f>AF200/VLOOKUP(A200,'[34]geoMap (31)'!$A:$B,2,0)*VLOOKUP(A200,'[34]geoMap (31)'!$A:$C,3,0)</f>
        <v>#REF!</v>
      </c>
      <c r="AH200" s="1" t="e">
        <f>AG200/VLOOKUP(A200,'[35]geoMap (32)'!$A:$B,2,0)*VLOOKUP(A200,'[35]geoMap (32)'!$A:$C,3,0)</f>
        <v>#REF!</v>
      </c>
      <c r="AI200" s="1" t="e">
        <f>AH200/VLOOKUP(A200,'[36]geoMap (33)'!$A:$B,2,0)*VLOOKUP(A200,'[36]geoMap (33)'!$A:$C,3,0)</f>
        <v>#REF!</v>
      </c>
      <c r="AJ200" s="1" t="e">
        <f>AI200/VLOOKUP(A200,'[37]geoMap (34)'!$A:$B,2,0)*VLOOKUP(A200,'[37]geoMap (34)'!$A:$C,3,0)</f>
        <v>#REF!</v>
      </c>
      <c r="AK200" s="1" t="e">
        <f>AJ200/VLOOKUP(A200,'[38]geoMap (35)'!$A:$B,2,0)*VLOOKUP(A200,'[38]geoMap (35)'!$A:$C,3,0)</f>
        <v>#REF!</v>
      </c>
      <c r="AL200" s="1" t="e">
        <f>AK200/VLOOKUP(A200,'[39]geoMap (36)'!$A:$B,2,0)*VLOOKUP(A200,'[39]geoMap (36)'!$A:$C,3,0)</f>
        <v>#REF!</v>
      </c>
      <c r="AM200" s="1" t="e">
        <f>AL200/VLOOKUP(A200,'[40]geoMap (37)'!$A:$B,2,0)*VLOOKUP(A200,'[40]geoMap (37)'!$A:$C,3,0)</f>
        <v>#REF!</v>
      </c>
      <c r="AN200" s="1" t="e">
        <f>AM200/VLOOKUP(A200,'[41]geoMap (38)'!$A:$B,2,0)*VLOOKUP(A200,'[41]geoMap (38)'!$A:$C,3,0)</f>
        <v>#REF!</v>
      </c>
      <c r="AO200" s="1" t="e">
        <f>AN200/VLOOKUP(A200,'[42]geoMap (39)'!$A:$B,2,0)*VLOOKUP(A200,'[42]geoMap (39)'!$A:$C,3,0)</f>
        <v>#REF!</v>
      </c>
      <c r="AP200" s="1" t="e">
        <f>AO200/VLOOKUP(A200,'[43]geoMap (40)'!$A:$B,2,0)*VLOOKUP(A200,'[43]geoMap (40)'!$A:$C,3,0)</f>
        <v>#REF!</v>
      </c>
      <c r="AQ200" s="1" t="e">
        <f>AP200/VLOOKUP(A200,'[44]geoMap (41)'!$A:$B,2,0)*VLOOKUP(A200,'[44]geoMap (41)'!$A:$C,3,0)</f>
        <v>#REF!</v>
      </c>
      <c r="AR200" s="1" t="e">
        <f>AQ200/VLOOKUP(A200,'[45]geoMap (42)'!$A:$B,2,0)*VLOOKUP(A200,'[45]geoMap (42)'!$A:$C,3,0)</f>
        <v>#REF!</v>
      </c>
      <c r="AS200" s="1" t="e">
        <f>AR200/VLOOKUP(A200,'[46]geoMap (43)'!$A:$B,2,0)*VLOOKUP(A200,'[46]geoMap (43)'!$A:$C,3,0)</f>
        <v>#REF!</v>
      </c>
      <c r="AT200" s="1" t="e">
        <f>AS200/VLOOKUP(A200,'[47]geoMap (44)'!$A:$B,2,0)*VLOOKUP(A200,'[47]geoMap (44)'!$A:$C,3,0)</f>
        <v>#REF!</v>
      </c>
      <c r="AU200" s="1" t="e">
        <f>AT200/VLOOKUP(A200,'[48]geoMap (45)'!$A:$B,2,0)*VLOOKUP(A200,'[48]geoMap (45)'!$A:$C,3,0)</f>
        <v>#REF!</v>
      </c>
      <c r="AV200" s="1" t="e">
        <f>AU200/VLOOKUP(A200,'[49]geoMap (46)'!$A:$B,2,0)*VLOOKUP(A200,'[49]geoMap (46)'!$A:$C,3,0)</f>
        <v>#REF!</v>
      </c>
      <c r="AW200" s="1" t="e">
        <f>AV200/VLOOKUP(A200,'[50]geoMap (47)'!$A:$B,2,0)*VLOOKUP(A200,'[50]geoMap (47)'!$A:$C,3,0)</f>
        <v>#REF!</v>
      </c>
      <c r="AX200" s="4" t="e">
        <f>AW200/VLOOKUP(A200,'[51]geoMap (48)'!$A:$B,2,0)*VLOOKUP(A200,'[51]geoMap (48)'!$A:$C,3,0)</f>
        <v>#REF!</v>
      </c>
      <c r="AY200" s="1" t="e">
        <f>AX200/VLOOKUP(A200,'[52]geoMap (49)'!$A:$B,2,0)*VLOOKUP(A200,'[52]geoMap (49)'!$A:$C,3,0)</f>
        <v>#REF!</v>
      </c>
      <c r="AZ200" s="4" t="e">
        <f>AY200/VLOOKUP(A200,'[53]geoMap (50)'!$A:$B,2,0)*VLOOKUP(A200,'[53]geoMap (50)'!$A:$C,3,0)</f>
        <v>#REF!</v>
      </c>
      <c r="BA200" s="1" t="e">
        <f>AZ200/VLOOKUP(A200,'[54]geoMap (51)'!$A:$B,2,0)*VLOOKUP(A200,'[54]geoMap (51)'!$A:$C,3,0)</f>
        <v>#REF!</v>
      </c>
      <c r="BB200" s="4" t="e">
        <f>BA200/VLOOKUP(A200,'[55]geoMap (52)'!$A:$B,2,0)*VLOOKUP(A200,'[55]geoMap (52)'!$A:$C,3,0)</f>
        <v>#REF!</v>
      </c>
      <c r="BC200" s="1" t="e">
        <f>BB200/VLOOKUP(A200,'[56]geoMap (53)'!$A:$B,2,0)*VLOOKUP(A200,'[56]geoMap (53)'!$A:$C,3,0)</f>
        <v>#REF!</v>
      </c>
      <c r="BD200" s="4" t="e">
        <f>BC200/VLOOKUP(A200,'[57]geoMap (54)'!$A:$B,2,0)*VLOOKUP(A200,'[57]geoMap (54)'!$A:$C,3,0)</f>
        <v>#REF!</v>
      </c>
      <c r="BE200" s="1" t="e">
        <f>BD200/VLOOKUP(A200,'[58]geoMap (55)'!$A:$B,2,0)*VLOOKUP(A200,'[58]geoMap (55)'!$A:$C,3,0)</f>
        <v>#REF!</v>
      </c>
      <c r="BF200" s="4" t="e">
        <f>BE200/VLOOKUP(A200,'[59]geoMap (56)'!$A:$B,2,0)*VLOOKUP(A200,'[59]geoMap (56)'!$A:$C,3,0)</f>
        <v>#REF!</v>
      </c>
      <c r="BG200" s="1" t="e">
        <f>BF200/VLOOKUP(A200,'[60]geoMap (57)'!$A:$B,2,0)*VLOOKUP(A200,'[60]geoMap (57)'!$A:$C,3,0)</f>
        <v>#REF!</v>
      </c>
      <c r="BH200" s="4" t="e">
        <f>BG200/VLOOKUP(A200,'[61]geoMap (58)'!$A:$B,2,0)*VLOOKUP(A200,'[61]geoMap (58)'!$A:$C,3,0)</f>
        <v>#REF!</v>
      </c>
      <c r="BI200" s="1" t="e">
        <f>BH200/VLOOKUP(A200,'[62]geoMap (59)'!$A:$B,2,0)*VLOOKUP(A200,'[62]geoMap (59)'!$A:$C,3,0)</f>
        <v>#REF!</v>
      </c>
      <c r="BJ200" s="4" t="e">
        <f>BI200/VLOOKUP(A200,'[63]geoMap (60)'!$A:$B,2,0)*VLOOKUP(A200,'[63]geoMap (60)'!$A:$C,3,0)</f>
        <v>#REF!</v>
      </c>
      <c r="BK200" s="1" t="e">
        <f>BJ200/VLOOKUP(A200,'[64]geoMap (61)'!$A:$B,2,0)*VLOOKUP(A200,'[64]geoMap (61)'!$A:$C,3,0)</f>
        <v>#REF!</v>
      </c>
      <c r="BL200" s="4" t="e">
        <f>BK200/VLOOKUP(A200,'[65]geoMap (62)'!$A:$B,2,0)*VLOOKUP(A200,'[65]geoMap (62)'!$A:$C,3,0)</f>
        <v>#REF!</v>
      </c>
      <c r="BM200" s="1" t="e">
        <f>BL200/VLOOKUP(A200,'[66]geoMap (63)'!$A:$B,2,0)*VLOOKUP(A200,'[66]geoMap (63)'!$A:$C,3,0)</f>
        <v>#REF!</v>
      </c>
      <c r="BN200" s="4" t="e">
        <f>BM200/VLOOKUP(A200,'[67]geoMap (64)'!$A:$B,2,0)*VLOOKUP(A200,'[67]geoMap (64)'!$A:$C,3,0)</f>
        <v>#REF!</v>
      </c>
      <c r="BO200" s="1" t="e">
        <f>BN200/VLOOKUP(A200,'[68]geoMap (65)'!$A:$B,2,0)*VLOOKUP(A200,'[68]geoMap (65)'!$A:$C,3,0)</f>
        <v>#REF!</v>
      </c>
      <c r="BP200" s="4" t="e">
        <f>BO200/VLOOKUP(A200,'[69]geoMap (66)'!$A:$B,2,0)*VLOOKUP(A200,'[69]geoMap (66)'!$A:$C,3,0)</f>
        <v>#REF!</v>
      </c>
    </row>
    <row r="201" spans="1:68" x14ac:dyDescent="0.2">
      <c r="A201" s="1" t="s">
        <v>203</v>
      </c>
      <c r="B201" s="1" t="e">
        <f>VLOOKUP(A201,[3]geoMap!$A:$B,2,0)*Notes!$C$6</f>
        <v>#REF!</v>
      </c>
      <c r="C201" s="1" t="e">
        <f>B201/VLOOKUP(A201,'[4]geoMap (1)'!$A:$B,2,0)*VLOOKUP(A201,'[4]geoMap (1)'!$A:$C,3,0)</f>
        <v>#REF!</v>
      </c>
      <c r="D201" s="1" t="e">
        <f>C201/VLOOKUP(A201,'[5]geoMap (2)'!$A:$B,2,0)*VLOOKUP(A201,'[5]geoMap (2)'!$A:$C,3,0)</f>
        <v>#REF!</v>
      </c>
      <c r="E201" s="1" t="e">
        <f>D201/VLOOKUP(A201,'[6]geoMap (3)'!$A:$B,2,0)*VLOOKUP(A201,'[6]geoMap (3)'!$A:$C,3,0)</f>
        <v>#REF!</v>
      </c>
      <c r="F201" s="1" t="e">
        <f>E201/VLOOKUP(A201,'[7]geoMap (4)'!$A:$B,2,0)*VLOOKUP(A201,'[7]geoMap (4)'!$A:$C,3,0)</f>
        <v>#REF!</v>
      </c>
      <c r="G201" s="1" t="e">
        <f>F201/VLOOKUP(A201,'[8]geoMap (5)'!$A:$B,2,0)*VLOOKUP(A201,'[8]geoMap (5)'!$A:$C,3,0)</f>
        <v>#REF!</v>
      </c>
      <c r="H201" s="1" t="e">
        <f>G201/VLOOKUP(A201,'[9]geoMap (6)'!$A:$B,2,0)*VLOOKUP(A201,'[9]geoMap (6)'!$A:$C,3,0)</f>
        <v>#REF!</v>
      </c>
      <c r="I201" s="1" t="e">
        <f>H201/VLOOKUP(A201,'[10]geoMap (7)'!$A:$B,2,0)*VLOOKUP(A201,'[10]geoMap (7)'!$A:$C,3,0)</f>
        <v>#REF!</v>
      </c>
      <c r="J201" s="1" t="e">
        <f>I201/VLOOKUP(A201,'[11]geoMap (8)'!$A:$B,2,0)*VLOOKUP(A201,'[11]geoMap (8)'!$A:$C,3,0)</f>
        <v>#REF!</v>
      </c>
      <c r="K201" s="1" t="e">
        <f>J201/VLOOKUP(A201,'[12]geoMap (9)'!$A:$B,2,0)*VLOOKUP(A201,'[12]geoMap (9)'!$A:$C,3,0)</f>
        <v>#REF!</v>
      </c>
      <c r="L201" s="1" t="e">
        <f>K201/VLOOKUP(A201,'[13]geoMap (10)'!$A:$B,2,0)*VLOOKUP(A201,'[13]geoMap (10)'!$A:$C,3,0)</f>
        <v>#REF!</v>
      </c>
      <c r="M201" s="1" t="e">
        <f>L201/VLOOKUP(A201,'[14]geoMap (11)'!$A:$B,2,0)*VLOOKUP(A201,'[14]geoMap (11)'!$A:$C,3,0)</f>
        <v>#REF!</v>
      </c>
      <c r="N201" s="1" t="e">
        <f>M201/VLOOKUP(A201,'[15]geoMap (12)'!$A:$B,2,0)*VLOOKUP(A201,'[15]geoMap (12)'!$A:$C,3,0)</f>
        <v>#REF!</v>
      </c>
      <c r="O201" s="1" t="e">
        <f>N201/VLOOKUP(A201,'[16]geoMap (13)'!$A:$B,2,0)*VLOOKUP(A201,'[16]geoMap (13)'!$A:$C,3,0)</f>
        <v>#REF!</v>
      </c>
      <c r="P201" s="1" t="e">
        <f>O201/VLOOKUP(A201,'[17]geoMap (14)'!$A:$B,2,0)*VLOOKUP(A201,'[17]geoMap (14)'!$A:$C,3,0)</f>
        <v>#REF!</v>
      </c>
      <c r="Q201" s="1" t="e">
        <f>P201/VLOOKUP(A201,'[18]geoMap (15)'!$A:$B,2,0)*VLOOKUP(A201,'[18]geoMap (15)'!$A:$C,3,0)</f>
        <v>#REF!</v>
      </c>
      <c r="R201" s="1" t="e">
        <f>Q201/VLOOKUP(A201,'[19]geoMap (16)'!$A:$B,2,0)*VLOOKUP(A201,'[19]geoMap (16)'!$A:$C,3,0)</f>
        <v>#REF!</v>
      </c>
      <c r="S201" s="1" t="e">
        <f>R201/VLOOKUP(A201,'[20]geoMap (17)'!$A:$B,2,0)*VLOOKUP(A201,'[20]geoMap (17)'!$A:$C,3,0)</f>
        <v>#REF!</v>
      </c>
      <c r="T201" s="1" t="e">
        <f>S201/VLOOKUP(A201,'[21]geoMap (18)'!$A:$B,2,0)*VLOOKUP(A201,'[21]geoMap (18)'!$A:$C,3,0)</f>
        <v>#REF!</v>
      </c>
      <c r="U201" s="1" t="e">
        <f>T201/VLOOKUP(A201,'[22]geoMap (19)'!$A:$B,2,0)*VLOOKUP(A201,'[22]geoMap (19)'!$A:$C,3,0)</f>
        <v>#REF!</v>
      </c>
      <c r="V201" s="1" t="e">
        <f>U201/VLOOKUP(A201,'[23]geoMap (20)'!$A:$B,2,0)*VLOOKUP(A201,'[23]geoMap (20)'!$A:$C,3,0)</f>
        <v>#REF!</v>
      </c>
      <c r="W201" s="1" t="e">
        <f>V201/VLOOKUP(A201,'[24]geoMap (21)'!$A:$B,2,0)*VLOOKUP(A201,'[24]geoMap (21)'!$A:$C,3,0)</f>
        <v>#REF!</v>
      </c>
      <c r="X201" s="1" t="e">
        <f>W201/VLOOKUP(A201,'[25]geoMap (22)'!$A:$B,2,0)*VLOOKUP(A201,'[25]geoMap (22)'!$A:$C,3,0)</f>
        <v>#REF!</v>
      </c>
      <c r="Y201" s="1" t="e">
        <f>X201/VLOOKUP(A201,'[26]geoMap (23)'!$A:$B,2,0)*VLOOKUP(A201,'[26]geoMap (23)'!$A:$C,3,0)</f>
        <v>#REF!</v>
      </c>
      <c r="Z201" s="1" t="e">
        <f>Y201/VLOOKUP(A201,'[27]geoMap (24)'!$A:$B,2,0)*VLOOKUP(A201,'[27]geoMap (24)'!$A:$C,3,0)</f>
        <v>#REF!</v>
      </c>
      <c r="AA201" s="1" t="e">
        <f>Z201/VLOOKUP(A201,'[28]geoMap (25)'!$A:$B,2,0)*VLOOKUP(A201,'[28]geoMap (25)'!$A:$C,3,0)</f>
        <v>#REF!</v>
      </c>
      <c r="AB201" s="1" t="e">
        <f>AA201*VLOOKUP(A201,'[29]geoMap (26)'!$A:$B,2,0)*VLOOKUP(A201,'[29]geoMap (26)'!$A:$C,3,0)</f>
        <v>#REF!</v>
      </c>
      <c r="AC201" s="1" t="e">
        <f>AB201/VLOOKUP(A201,'[30]geoMap (27)'!$A:$B,2,0)*VLOOKUP(A201,'[30]geoMap (27)'!$A:$C,3,0)</f>
        <v>#REF!</v>
      </c>
      <c r="AD201" s="1" t="e">
        <f>AC201/VLOOKUP(A201,'[31]geoMap (28)'!$A:$B,2,0)*VLOOKUP(A201,'[31]geoMap (28)'!$A:$C,3,0)</f>
        <v>#REF!</v>
      </c>
      <c r="AE201" s="1" t="e">
        <f>AD201/VLOOKUP(A201,'[32]geoMap (29)'!$A:$B,2,0)*VLOOKUP(A201,'[32]geoMap (29)'!$A:$C,3,0)</f>
        <v>#REF!</v>
      </c>
      <c r="AF201" s="1" t="e">
        <f>AE201/VLOOKUP(A201,'[33]geoMap (30)'!$A:$B,2,0)*VLOOKUP(A201,'[33]geoMap (30)'!$A:$C,3,0)</f>
        <v>#REF!</v>
      </c>
      <c r="AG201" s="1" t="e">
        <f>AF201/VLOOKUP(A201,'[34]geoMap (31)'!$A:$B,2,0)*VLOOKUP(A201,'[34]geoMap (31)'!$A:$C,3,0)</f>
        <v>#REF!</v>
      </c>
      <c r="AH201" s="1" t="e">
        <f>AG201/VLOOKUP(A201,'[35]geoMap (32)'!$A:$B,2,0)*VLOOKUP(A201,'[35]geoMap (32)'!$A:$C,3,0)</f>
        <v>#REF!</v>
      </c>
      <c r="AI201" s="1" t="e">
        <f>AH201/VLOOKUP(A201,'[36]geoMap (33)'!$A:$B,2,0)*VLOOKUP(A201,'[36]geoMap (33)'!$A:$C,3,0)</f>
        <v>#REF!</v>
      </c>
      <c r="AJ201" s="1" t="e">
        <f>AI201/VLOOKUP(A201,'[37]geoMap (34)'!$A:$B,2,0)*VLOOKUP(A201,'[37]geoMap (34)'!$A:$C,3,0)</f>
        <v>#REF!</v>
      </c>
      <c r="AK201" s="1" t="e">
        <f>AJ201/VLOOKUP(A201,'[38]geoMap (35)'!$A:$B,2,0)*VLOOKUP(A201,'[38]geoMap (35)'!$A:$C,3,0)</f>
        <v>#REF!</v>
      </c>
      <c r="AL201" s="1" t="e">
        <f>AK201/VLOOKUP(A201,'[39]geoMap (36)'!$A:$B,2,0)*VLOOKUP(A201,'[39]geoMap (36)'!$A:$C,3,0)</f>
        <v>#REF!</v>
      </c>
      <c r="AM201" s="1" t="e">
        <f>AL201/VLOOKUP(A201,'[40]geoMap (37)'!$A:$B,2,0)*VLOOKUP(A201,'[40]geoMap (37)'!$A:$C,3,0)</f>
        <v>#REF!</v>
      </c>
      <c r="AN201" s="1" t="e">
        <f>AM201/VLOOKUP(A201,'[41]geoMap (38)'!$A:$B,2,0)*VLOOKUP(A201,'[41]geoMap (38)'!$A:$C,3,0)</f>
        <v>#REF!</v>
      </c>
      <c r="AO201" s="1" t="e">
        <f>AN201/VLOOKUP(A201,'[42]geoMap (39)'!$A:$B,2,0)*VLOOKUP(A201,'[42]geoMap (39)'!$A:$C,3,0)</f>
        <v>#REF!</v>
      </c>
      <c r="AP201" s="1" t="e">
        <f>AO201/VLOOKUP(A201,'[43]geoMap (40)'!$A:$B,2,0)*VLOOKUP(A201,'[43]geoMap (40)'!$A:$C,3,0)</f>
        <v>#REF!</v>
      </c>
      <c r="AQ201" s="1" t="e">
        <f>AP201/VLOOKUP(A201,'[44]geoMap (41)'!$A:$B,2,0)*VLOOKUP(A201,'[44]geoMap (41)'!$A:$C,3,0)</f>
        <v>#REF!</v>
      </c>
      <c r="AR201" s="1" t="e">
        <f>AQ201/VLOOKUP(A201,'[45]geoMap (42)'!$A:$B,2,0)*VLOOKUP(A201,'[45]geoMap (42)'!$A:$C,3,0)</f>
        <v>#REF!</v>
      </c>
      <c r="AS201" s="1" t="e">
        <f>AR201/VLOOKUP(A201,'[46]geoMap (43)'!$A:$B,2,0)*VLOOKUP(A201,'[46]geoMap (43)'!$A:$C,3,0)</f>
        <v>#REF!</v>
      </c>
      <c r="AT201" s="1" t="e">
        <f>AS201/VLOOKUP(A201,'[47]geoMap (44)'!$A:$B,2,0)*VLOOKUP(A201,'[47]geoMap (44)'!$A:$C,3,0)</f>
        <v>#REF!</v>
      </c>
      <c r="AU201" s="1" t="e">
        <f>AT201/VLOOKUP(A201,'[48]geoMap (45)'!$A:$B,2,0)*VLOOKUP(A201,'[48]geoMap (45)'!$A:$C,3,0)</f>
        <v>#REF!</v>
      </c>
      <c r="AV201" s="1" t="e">
        <f>AU201/VLOOKUP(A201,'[49]geoMap (46)'!$A:$B,2,0)*VLOOKUP(A201,'[49]geoMap (46)'!$A:$C,3,0)</f>
        <v>#REF!</v>
      </c>
      <c r="AW201" s="1" t="e">
        <f>AV201/VLOOKUP(A201,'[50]geoMap (47)'!$A:$B,2,0)*VLOOKUP(A201,'[50]geoMap (47)'!$A:$C,3,0)</f>
        <v>#REF!</v>
      </c>
      <c r="AX201" s="4" t="e">
        <f>AW201/VLOOKUP(A201,'[51]geoMap (48)'!$A:$B,2,0)*VLOOKUP(A201,'[51]geoMap (48)'!$A:$C,3,0)</f>
        <v>#REF!</v>
      </c>
      <c r="AY201" s="1" t="e">
        <f>AX201/VLOOKUP(A201,'[52]geoMap (49)'!$A:$B,2,0)*VLOOKUP(A201,'[52]geoMap (49)'!$A:$C,3,0)</f>
        <v>#REF!</v>
      </c>
      <c r="AZ201" s="4" t="e">
        <f>AY201/VLOOKUP(A201,'[53]geoMap (50)'!$A:$B,2,0)*VLOOKUP(A201,'[53]geoMap (50)'!$A:$C,3,0)</f>
        <v>#REF!</v>
      </c>
      <c r="BA201" s="1" t="e">
        <f>AZ201/VLOOKUP(A201,'[54]geoMap (51)'!$A:$B,2,0)*VLOOKUP(A201,'[54]geoMap (51)'!$A:$C,3,0)</f>
        <v>#REF!</v>
      </c>
      <c r="BB201" s="4" t="e">
        <f>BA201/VLOOKUP(A201,'[55]geoMap (52)'!$A:$B,2,0)*VLOOKUP(A201,'[55]geoMap (52)'!$A:$C,3,0)</f>
        <v>#REF!</v>
      </c>
      <c r="BC201" s="1" t="e">
        <f>BB201/VLOOKUP(A201,'[56]geoMap (53)'!$A:$B,2,0)*VLOOKUP(A201,'[56]geoMap (53)'!$A:$C,3,0)</f>
        <v>#REF!</v>
      </c>
      <c r="BD201" s="4" t="e">
        <f>BC201/VLOOKUP(A201,'[57]geoMap (54)'!$A:$B,2,0)*VLOOKUP(A201,'[57]geoMap (54)'!$A:$C,3,0)</f>
        <v>#REF!</v>
      </c>
      <c r="BE201" s="1" t="e">
        <f>BD201/VLOOKUP(A201,'[58]geoMap (55)'!$A:$B,2,0)*VLOOKUP(A201,'[58]geoMap (55)'!$A:$C,3,0)</f>
        <v>#REF!</v>
      </c>
      <c r="BF201" s="4" t="e">
        <f>BE201/VLOOKUP(A201,'[59]geoMap (56)'!$A:$B,2,0)*VLOOKUP(A201,'[59]geoMap (56)'!$A:$C,3,0)</f>
        <v>#REF!</v>
      </c>
      <c r="BG201" s="1" t="e">
        <f>BF201/VLOOKUP(A201,'[60]geoMap (57)'!$A:$B,2,0)*VLOOKUP(A201,'[60]geoMap (57)'!$A:$C,3,0)</f>
        <v>#REF!</v>
      </c>
      <c r="BH201" s="4" t="e">
        <f>BG201/VLOOKUP(A201,'[61]geoMap (58)'!$A:$B,2,0)*VLOOKUP(A201,'[61]geoMap (58)'!$A:$C,3,0)</f>
        <v>#REF!</v>
      </c>
      <c r="BI201" s="1" t="e">
        <f>BH201/VLOOKUP(A201,'[62]geoMap (59)'!$A:$B,2,0)*VLOOKUP(A201,'[62]geoMap (59)'!$A:$C,3,0)</f>
        <v>#REF!</v>
      </c>
      <c r="BJ201" s="4" t="e">
        <f>BI201/VLOOKUP(A201,'[63]geoMap (60)'!$A:$B,2,0)*VLOOKUP(A201,'[63]geoMap (60)'!$A:$C,3,0)</f>
        <v>#REF!</v>
      </c>
      <c r="BK201" s="1" t="e">
        <f>BJ201/VLOOKUP(A201,'[64]geoMap (61)'!$A:$B,2,0)*VLOOKUP(A201,'[64]geoMap (61)'!$A:$C,3,0)</f>
        <v>#REF!</v>
      </c>
      <c r="BL201" s="4" t="e">
        <f>BK201/VLOOKUP(A201,'[65]geoMap (62)'!$A:$B,2,0)*VLOOKUP(A201,'[65]geoMap (62)'!$A:$C,3,0)</f>
        <v>#REF!</v>
      </c>
      <c r="BM201" s="1" t="e">
        <f>BL201/VLOOKUP(A201,'[66]geoMap (63)'!$A:$B,2,0)*VLOOKUP(A201,'[66]geoMap (63)'!$A:$C,3,0)</f>
        <v>#REF!</v>
      </c>
      <c r="BN201" s="4" t="e">
        <f>BM201/VLOOKUP(A201,'[67]geoMap (64)'!$A:$B,2,0)*VLOOKUP(A201,'[67]geoMap (64)'!$A:$C,3,0)</f>
        <v>#REF!</v>
      </c>
      <c r="BO201" s="1" t="e">
        <f>BN201/VLOOKUP(A201,'[68]geoMap (65)'!$A:$B,2,0)*VLOOKUP(A201,'[68]geoMap (65)'!$A:$C,3,0)</f>
        <v>#REF!</v>
      </c>
      <c r="BP201" s="4" t="e">
        <f>BO201/VLOOKUP(A201,'[69]geoMap (66)'!$A:$B,2,0)*VLOOKUP(A201,'[69]geoMap (66)'!$A:$C,3,0)</f>
        <v>#REF!</v>
      </c>
    </row>
    <row r="202" spans="1:68" x14ac:dyDescent="0.2">
      <c r="A202" s="1" t="s">
        <v>204</v>
      </c>
      <c r="B202" s="1" t="e">
        <f>VLOOKUP(A202,[3]geoMap!$A:$B,2,0)*Notes!$C$6</f>
        <v>#REF!</v>
      </c>
      <c r="C202" s="1" t="e">
        <f>B202/VLOOKUP(A202,'[4]geoMap (1)'!$A:$B,2,0)*VLOOKUP(A202,'[4]geoMap (1)'!$A:$C,3,0)</f>
        <v>#REF!</v>
      </c>
      <c r="D202" s="1" t="e">
        <f>C202/VLOOKUP(A202,'[5]geoMap (2)'!$A:$B,2,0)*VLOOKUP(A202,'[5]geoMap (2)'!$A:$C,3,0)</f>
        <v>#REF!</v>
      </c>
      <c r="E202" s="1" t="e">
        <f>D202/VLOOKUP(A202,'[6]geoMap (3)'!$A:$B,2,0)*VLOOKUP(A202,'[6]geoMap (3)'!$A:$C,3,0)</f>
        <v>#REF!</v>
      </c>
      <c r="F202" s="1" t="e">
        <f>E202/VLOOKUP(A202,'[7]geoMap (4)'!$A:$B,2,0)*VLOOKUP(A202,'[7]geoMap (4)'!$A:$C,3,0)</f>
        <v>#REF!</v>
      </c>
      <c r="G202" s="1" t="e">
        <f>F202/VLOOKUP(A202,'[8]geoMap (5)'!$A:$B,2,0)*VLOOKUP(A202,'[8]geoMap (5)'!$A:$C,3,0)</f>
        <v>#REF!</v>
      </c>
      <c r="H202" s="1" t="e">
        <f>G202/VLOOKUP(A202,'[9]geoMap (6)'!$A:$B,2,0)*VLOOKUP(A202,'[9]geoMap (6)'!$A:$C,3,0)</f>
        <v>#REF!</v>
      </c>
      <c r="I202" s="1" t="e">
        <f>H202/VLOOKUP(A202,'[10]geoMap (7)'!$A:$B,2,0)*VLOOKUP(A202,'[10]geoMap (7)'!$A:$C,3,0)</f>
        <v>#REF!</v>
      </c>
      <c r="J202" s="1" t="e">
        <f>I202/VLOOKUP(A202,'[11]geoMap (8)'!$A:$B,2,0)*VLOOKUP(A202,'[11]geoMap (8)'!$A:$C,3,0)</f>
        <v>#REF!</v>
      </c>
      <c r="K202" s="1" t="e">
        <f>J202/VLOOKUP(A202,'[12]geoMap (9)'!$A:$B,2,0)*VLOOKUP(A202,'[12]geoMap (9)'!$A:$C,3,0)</f>
        <v>#REF!</v>
      </c>
      <c r="L202" s="1" t="e">
        <f>K202/VLOOKUP(A202,'[13]geoMap (10)'!$A:$B,2,0)*VLOOKUP(A202,'[13]geoMap (10)'!$A:$C,3,0)</f>
        <v>#REF!</v>
      </c>
      <c r="M202" s="1" t="e">
        <f>L202/VLOOKUP(A202,'[14]geoMap (11)'!$A:$B,2,0)*VLOOKUP(A202,'[14]geoMap (11)'!$A:$C,3,0)</f>
        <v>#REF!</v>
      </c>
      <c r="N202" s="1" t="e">
        <f>M202/VLOOKUP(A202,'[15]geoMap (12)'!$A:$B,2,0)*VLOOKUP(A202,'[15]geoMap (12)'!$A:$C,3,0)</f>
        <v>#REF!</v>
      </c>
      <c r="O202" s="1" t="e">
        <f>N202/VLOOKUP(A202,'[16]geoMap (13)'!$A:$B,2,0)*VLOOKUP(A202,'[16]geoMap (13)'!$A:$C,3,0)</f>
        <v>#REF!</v>
      </c>
      <c r="P202" s="1" t="e">
        <f>O202/VLOOKUP(A202,'[17]geoMap (14)'!$A:$B,2,0)*VLOOKUP(A202,'[17]geoMap (14)'!$A:$C,3,0)</f>
        <v>#REF!</v>
      </c>
      <c r="Q202" s="1" t="e">
        <f>P202/VLOOKUP(A202,'[18]geoMap (15)'!$A:$B,2,0)*VLOOKUP(A202,'[18]geoMap (15)'!$A:$C,3,0)</f>
        <v>#REF!</v>
      </c>
      <c r="R202" s="1" t="e">
        <f>Q202/VLOOKUP(A202,'[19]geoMap (16)'!$A:$B,2,0)*VLOOKUP(A202,'[19]geoMap (16)'!$A:$C,3,0)</f>
        <v>#REF!</v>
      </c>
      <c r="S202" s="1" t="e">
        <f>R202/VLOOKUP(A202,'[20]geoMap (17)'!$A:$B,2,0)*VLOOKUP(A202,'[20]geoMap (17)'!$A:$C,3,0)</f>
        <v>#REF!</v>
      </c>
      <c r="T202" s="1" t="e">
        <f>S202/VLOOKUP(A202,'[21]geoMap (18)'!$A:$B,2,0)*VLOOKUP(A202,'[21]geoMap (18)'!$A:$C,3,0)</f>
        <v>#REF!</v>
      </c>
      <c r="U202" s="1" t="e">
        <f>T202/VLOOKUP(A202,'[22]geoMap (19)'!$A:$B,2,0)*VLOOKUP(A202,'[22]geoMap (19)'!$A:$C,3,0)</f>
        <v>#REF!</v>
      </c>
      <c r="V202" s="1" t="e">
        <f>U202/VLOOKUP(A202,'[23]geoMap (20)'!$A:$B,2,0)*VLOOKUP(A202,'[23]geoMap (20)'!$A:$C,3,0)</f>
        <v>#REF!</v>
      </c>
      <c r="W202" s="1" t="e">
        <f>V202/VLOOKUP(A202,'[24]geoMap (21)'!$A:$B,2,0)*VLOOKUP(A202,'[24]geoMap (21)'!$A:$C,3,0)</f>
        <v>#REF!</v>
      </c>
      <c r="X202" s="1" t="e">
        <f>W202/VLOOKUP(A202,'[25]geoMap (22)'!$A:$B,2,0)*VLOOKUP(A202,'[25]geoMap (22)'!$A:$C,3,0)</f>
        <v>#REF!</v>
      </c>
      <c r="Y202" s="1" t="e">
        <f>X202/VLOOKUP(A202,'[26]geoMap (23)'!$A:$B,2,0)*VLOOKUP(A202,'[26]geoMap (23)'!$A:$C,3,0)</f>
        <v>#REF!</v>
      </c>
      <c r="Z202" s="1" t="e">
        <f>Y202/VLOOKUP(A202,'[27]geoMap (24)'!$A:$B,2,0)*VLOOKUP(A202,'[27]geoMap (24)'!$A:$C,3,0)</f>
        <v>#REF!</v>
      </c>
      <c r="AA202" s="1" t="e">
        <f>Z202/VLOOKUP(A202,'[28]geoMap (25)'!$A:$B,2,0)*VLOOKUP(A202,'[28]geoMap (25)'!$A:$C,3,0)</f>
        <v>#REF!</v>
      </c>
      <c r="AB202" s="1" t="e">
        <f>AA202*VLOOKUP(A202,'[29]geoMap (26)'!$A:$B,2,0)*VLOOKUP(A202,'[29]geoMap (26)'!$A:$C,3,0)</f>
        <v>#REF!</v>
      </c>
      <c r="AC202" s="1" t="e">
        <f>AB202/VLOOKUP(A202,'[30]geoMap (27)'!$A:$B,2,0)*VLOOKUP(A202,'[30]geoMap (27)'!$A:$C,3,0)</f>
        <v>#REF!</v>
      </c>
      <c r="AD202" s="1" t="e">
        <f>AC202/VLOOKUP(A202,'[31]geoMap (28)'!$A:$B,2,0)*VLOOKUP(A202,'[31]geoMap (28)'!$A:$C,3,0)</f>
        <v>#REF!</v>
      </c>
      <c r="AE202" s="1" t="e">
        <f>AD202/VLOOKUP(A202,'[32]geoMap (29)'!$A:$B,2,0)*VLOOKUP(A202,'[32]geoMap (29)'!$A:$C,3,0)</f>
        <v>#REF!</v>
      </c>
      <c r="AF202" s="1" t="e">
        <f>AE202/VLOOKUP(A202,'[33]geoMap (30)'!$A:$B,2,0)*VLOOKUP(A202,'[33]geoMap (30)'!$A:$C,3,0)</f>
        <v>#REF!</v>
      </c>
      <c r="AG202" s="1" t="e">
        <f>AF202/VLOOKUP(A202,'[34]geoMap (31)'!$A:$B,2,0)*VLOOKUP(A202,'[34]geoMap (31)'!$A:$C,3,0)</f>
        <v>#REF!</v>
      </c>
      <c r="AH202" s="1" t="e">
        <f>AG202/VLOOKUP(A202,'[35]geoMap (32)'!$A:$B,2,0)*VLOOKUP(A202,'[35]geoMap (32)'!$A:$C,3,0)</f>
        <v>#REF!</v>
      </c>
      <c r="AI202" s="1" t="e">
        <f>AH202/VLOOKUP(A202,'[36]geoMap (33)'!$A:$B,2,0)*VLOOKUP(A202,'[36]geoMap (33)'!$A:$C,3,0)</f>
        <v>#REF!</v>
      </c>
      <c r="AJ202" s="1" t="e">
        <f>AI202/VLOOKUP(A202,'[37]geoMap (34)'!$A:$B,2,0)*VLOOKUP(A202,'[37]geoMap (34)'!$A:$C,3,0)</f>
        <v>#REF!</v>
      </c>
      <c r="AK202" s="1" t="e">
        <f>AJ202/VLOOKUP(A202,'[38]geoMap (35)'!$A:$B,2,0)*VLOOKUP(A202,'[38]geoMap (35)'!$A:$C,3,0)</f>
        <v>#REF!</v>
      </c>
      <c r="AL202" s="1" t="e">
        <f>AK202/VLOOKUP(A202,'[39]geoMap (36)'!$A:$B,2,0)*VLOOKUP(A202,'[39]geoMap (36)'!$A:$C,3,0)</f>
        <v>#REF!</v>
      </c>
      <c r="AM202" s="1" t="e">
        <f>AL202/VLOOKUP(A202,'[40]geoMap (37)'!$A:$B,2,0)*VLOOKUP(A202,'[40]geoMap (37)'!$A:$C,3,0)</f>
        <v>#REF!</v>
      </c>
      <c r="AN202" s="1" t="e">
        <f>AM202/VLOOKUP(A202,'[41]geoMap (38)'!$A:$B,2,0)*VLOOKUP(A202,'[41]geoMap (38)'!$A:$C,3,0)</f>
        <v>#REF!</v>
      </c>
      <c r="AO202" s="1" t="e">
        <f>AN202/VLOOKUP(A202,'[42]geoMap (39)'!$A:$B,2,0)*VLOOKUP(A202,'[42]geoMap (39)'!$A:$C,3,0)</f>
        <v>#REF!</v>
      </c>
      <c r="AP202" s="1" t="e">
        <f>AO202/VLOOKUP(A202,'[43]geoMap (40)'!$A:$B,2,0)*VLOOKUP(A202,'[43]geoMap (40)'!$A:$C,3,0)</f>
        <v>#REF!</v>
      </c>
      <c r="AQ202" s="1" t="e">
        <f>AP202/VLOOKUP(A202,'[44]geoMap (41)'!$A:$B,2,0)*VLOOKUP(A202,'[44]geoMap (41)'!$A:$C,3,0)</f>
        <v>#REF!</v>
      </c>
      <c r="AR202" s="1" t="e">
        <f>AQ202/VLOOKUP(A202,'[45]geoMap (42)'!$A:$B,2,0)*VLOOKUP(A202,'[45]geoMap (42)'!$A:$C,3,0)</f>
        <v>#REF!</v>
      </c>
      <c r="AS202" s="1" t="e">
        <f>AR202/VLOOKUP(A202,'[46]geoMap (43)'!$A:$B,2,0)*VLOOKUP(A202,'[46]geoMap (43)'!$A:$C,3,0)</f>
        <v>#REF!</v>
      </c>
      <c r="AT202" s="1" t="e">
        <f>AS202/VLOOKUP(A202,'[47]geoMap (44)'!$A:$B,2,0)*VLOOKUP(A202,'[47]geoMap (44)'!$A:$C,3,0)</f>
        <v>#REF!</v>
      </c>
      <c r="AU202" s="1" t="e">
        <f>AT202/VLOOKUP(A202,'[48]geoMap (45)'!$A:$B,2,0)*VLOOKUP(A202,'[48]geoMap (45)'!$A:$C,3,0)</f>
        <v>#REF!</v>
      </c>
      <c r="AV202" s="1" t="e">
        <f>AU202/VLOOKUP(A202,'[49]geoMap (46)'!$A:$B,2,0)*VLOOKUP(A202,'[49]geoMap (46)'!$A:$C,3,0)</f>
        <v>#REF!</v>
      </c>
      <c r="AW202" s="1" t="e">
        <f>AV202/VLOOKUP(A202,'[50]geoMap (47)'!$A:$B,2,0)*VLOOKUP(A202,'[50]geoMap (47)'!$A:$C,3,0)</f>
        <v>#REF!</v>
      </c>
      <c r="AX202" s="4" t="e">
        <f>AW202/VLOOKUP(A202,'[51]geoMap (48)'!$A:$B,2,0)*VLOOKUP(A202,'[51]geoMap (48)'!$A:$C,3,0)</f>
        <v>#REF!</v>
      </c>
      <c r="AY202" s="1" t="e">
        <f>AX202/VLOOKUP(A202,'[52]geoMap (49)'!$A:$B,2,0)*VLOOKUP(A202,'[52]geoMap (49)'!$A:$C,3,0)</f>
        <v>#REF!</v>
      </c>
      <c r="AZ202" s="4" t="e">
        <f>AY202/VLOOKUP(A202,'[53]geoMap (50)'!$A:$B,2,0)*VLOOKUP(A202,'[53]geoMap (50)'!$A:$C,3,0)</f>
        <v>#REF!</v>
      </c>
      <c r="BA202" s="1" t="e">
        <f>AZ202/VLOOKUP(A202,'[54]geoMap (51)'!$A:$B,2,0)*VLOOKUP(A202,'[54]geoMap (51)'!$A:$C,3,0)</f>
        <v>#REF!</v>
      </c>
      <c r="BB202" s="4" t="e">
        <f>BA202/VLOOKUP(A202,'[55]geoMap (52)'!$A:$B,2,0)*VLOOKUP(A202,'[55]geoMap (52)'!$A:$C,3,0)</f>
        <v>#REF!</v>
      </c>
      <c r="BC202" s="1" t="e">
        <f>BB202/VLOOKUP(A202,'[56]geoMap (53)'!$A:$B,2,0)*VLOOKUP(A202,'[56]geoMap (53)'!$A:$C,3,0)</f>
        <v>#REF!</v>
      </c>
      <c r="BD202" s="4" t="e">
        <f>BC202/VLOOKUP(A202,'[57]geoMap (54)'!$A:$B,2,0)*VLOOKUP(A202,'[57]geoMap (54)'!$A:$C,3,0)</f>
        <v>#REF!</v>
      </c>
      <c r="BE202" s="1" t="e">
        <f>BD202/VLOOKUP(A202,'[58]geoMap (55)'!$A:$B,2,0)*VLOOKUP(A202,'[58]geoMap (55)'!$A:$C,3,0)</f>
        <v>#REF!</v>
      </c>
      <c r="BF202" s="4" t="e">
        <f>BE202/VLOOKUP(A202,'[59]geoMap (56)'!$A:$B,2,0)*VLOOKUP(A202,'[59]geoMap (56)'!$A:$C,3,0)</f>
        <v>#REF!</v>
      </c>
      <c r="BG202" s="1" t="e">
        <f>BF202/VLOOKUP(A202,'[60]geoMap (57)'!$A:$B,2,0)*VLOOKUP(A202,'[60]geoMap (57)'!$A:$C,3,0)</f>
        <v>#REF!</v>
      </c>
      <c r="BH202" s="4" t="e">
        <f>BG202/VLOOKUP(A202,'[61]geoMap (58)'!$A:$B,2,0)*VLOOKUP(A202,'[61]geoMap (58)'!$A:$C,3,0)</f>
        <v>#REF!</v>
      </c>
      <c r="BI202" s="1" t="e">
        <f>BH202/VLOOKUP(A202,'[62]geoMap (59)'!$A:$B,2,0)*VLOOKUP(A202,'[62]geoMap (59)'!$A:$C,3,0)</f>
        <v>#REF!</v>
      </c>
      <c r="BJ202" s="4" t="e">
        <f>BI202/VLOOKUP(A202,'[63]geoMap (60)'!$A:$B,2,0)*VLOOKUP(A202,'[63]geoMap (60)'!$A:$C,3,0)</f>
        <v>#REF!</v>
      </c>
      <c r="BK202" s="1" t="e">
        <f>BJ202/VLOOKUP(A202,'[64]geoMap (61)'!$A:$B,2,0)*VLOOKUP(A202,'[64]geoMap (61)'!$A:$C,3,0)</f>
        <v>#REF!</v>
      </c>
      <c r="BL202" s="4" t="e">
        <f>BK202/VLOOKUP(A202,'[65]geoMap (62)'!$A:$B,2,0)*VLOOKUP(A202,'[65]geoMap (62)'!$A:$C,3,0)</f>
        <v>#REF!</v>
      </c>
      <c r="BM202" s="1" t="e">
        <f>BL202/VLOOKUP(A202,'[66]geoMap (63)'!$A:$B,2,0)*VLOOKUP(A202,'[66]geoMap (63)'!$A:$C,3,0)</f>
        <v>#REF!</v>
      </c>
      <c r="BN202" s="4" t="e">
        <f>BM202/VLOOKUP(A202,'[67]geoMap (64)'!$A:$B,2,0)*VLOOKUP(A202,'[67]geoMap (64)'!$A:$C,3,0)</f>
        <v>#REF!</v>
      </c>
      <c r="BO202" s="1" t="e">
        <f>BN202/VLOOKUP(A202,'[68]geoMap (65)'!$A:$B,2,0)*VLOOKUP(A202,'[68]geoMap (65)'!$A:$C,3,0)</f>
        <v>#REF!</v>
      </c>
      <c r="BP202" s="4" t="e">
        <f>BO202/VLOOKUP(A202,'[69]geoMap (66)'!$A:$B,2,0)*VLOOKUP(A202,'[69]geoMap (66)'!$A:$C,3,0)</f>
        <v>#REF!</v>
      </c>
    </row>
    <row r="203" spans="1:68" x14ac:dyDescent="0.2">
      <c r="A203" s="1" t="s">
        <v>205</v>
      </c>
      <c r="B203" s="1" t="e">
        <f>VLOOKUP(A203,[3]geoMap!$A:$B,2,0)*Notes!$C$6</f>
        <v>#REF!</v>
      </c>
      <c r="C203" s="1" t="e">
        <f>B203/VLOOKUP(A203,'[4]geoMap (1)'!$A:$B,2,0)*VLOOKUP(A203,'[4]geoMap (1)'!$A:$C,3,0)</f>
        <v>#REF!</v>
      </c>
      <c r="D203" s="1" t="e">
        <f>C203/VLOOKUP(A203,'[5]geoMap (2)'!$A:$B,2,0)*VLOOKUP(A203,'[5]geoMap (2)'!$A:$C,3,0)</f>
        <v>#REF!</v>
      </c>
      <c r="E203" s="1" t="e">
        <f>D203/VLOOKUP(A203,'[6]geoMap (3)'!$A:$B,2,0)*VLOOKUP(A203,'[6]geoMap (3)'!$A:$C,3,0)</f>
        <v>#REF!</v>
      </c>
      <c r="F203" s="1" t="e">
        <f>E203/VLOOKUP(A203,'[7]geoMap (4)'!$A:$B,2,0)*VLOOKUP(A203,'[7]geoMap (4)'!$A:$C,3,0)</f>
        <v>#REF!</v>
      </c>
      <c r="G203" s="1" t="e">
        <f>F203/VLOOKUP(A203,'[8]geoMap (5)'!$A:$B,2,0)*VLOOKUP(A203,'[8]geoMap (5)'!$A:$C,3,0)</f>
        <v>#REF!</v>
      </c>
      <c r="H203" s="1" t="e">
        <f>G203/VLOOKUP(A203,'[9]geoMap (6)'!$A:$B,2,0)*VLOOKUP(A203,'[9]geoMap (6)'!$A:$C,3,0)</f>
        <v>#REF!</v>
      </c>
      <c r="I203" s="1" t="e">
        <f>H203/VLOOKUP(A203,'[10]geoMap (7)'!$A:$B,2,0)*VLOOKUP(A203,'[10]geoMap (7)'!$A:$C,3,0)</f>
        <v>#REF!</v>
      </c>
      <c r="J203" s="1" t="e">
        <f>I203/VLOOKUP(A203,'[11]geoMap (8)'!$A:$B,2,0)*VLOOKUP(A203,'[11]geoMap (8)'!$A:$C,3,0)</f>
        <v>#REF!</v>
      </c>
      <c r="K203" s="1" t="e">
        <f>J203/VLOOKUP(A203,'[12]geoMap (9)'!$A:$B,2,0)*VLOOKUP(A203,'[12]geoMap (9)'!$A:$C,3,0)</f>
        <v>#REF!</v>
      </c>
      <c r="L203" s="1" t="e">
        <f>K203/VLOOKUP(A203,'[13]geoMap (10)'!$A:$B,2,0)*VLOOKUP(A203,'[13]geoMap (10)'!$A:$C,3,0)</f>
        <v>#REF!</v>
      </c>
      <c r="M203" s="1" t="e">
        <f>L203/VLOOKUP(A203,'[14]geoMap (11)'!$A:$B,2,0)*VLOOKUP(A203,'[14]geoMap (11)'!$A:$C,3,0)</f>
        <v>#REF!</v>
      </c>
      <c r="N203" s="1" t="e">
        <f>M203/VLOOKUP(A203,'[15]geoMap (12)'!$A:$B,2,0)*VLOOKUP(A203,'[15]geoMap (12)'!$A:$C,3,0)</f>
        <v>#REF!</v>
      </c>
      <c r="O203" s="1" t="e">
        <f>N203/VLOOKUP(A203,'[16]geoMap (13)'!$A:$B,2,0)*VLOOKUP(A203,'[16]geoMap (13)'!$A:$C,3,0)</f>
        <v>#REF!</v>
      </c>
      <c r="P203" s="1" t="e">
        <f>O203/VLOOKUP(A203,'[17]geoMap (14)'!$A:$B,2,0)*VLOOKUP(A203,'[17]geoMap (14)'!$A:$C,3,0)</f>
        <v>#REF!</v>
      </c>
      <c r="Q203" s="1" t="e">
        <f>P203/VLOOKUP(A203,'[18]geoMap (15)'!$A:$B,2,0)*VLOOKUP(A203,'[18]geoMap (15)'!$A:$C,3,0)</f>
        <v>#REF!</v>
      </c>
      <c r="R203" s="1" t="e">
        <f>Q203/VLOOKUP(A203,'[19]geoMap (16)'!$A:$B,2,0)*VLOOKUP(A203,'[19]geoMap (16)'!$A:$C,3,0)</f>
        <v>#REF!</v>
      </c>
      <c r="S203" s="1" t="e">
        <f>R203/VLOOKUP(A203,'[20]geoMap (17)'!$A:$B,2,0)*VLOOKUP(A203,'[20]geoMap (17)'!$A:$C,3,0)</f>
        <v>#REF!</v>
      </c>
      <c r="T203" s="1" t="e">
        <f>S203/VLOOKUP(A203,'[21]geoMap (18)'!$A:$B,2,0)*VLOOKUP(A203,'[21]geoMap (18)'!$A:$C,3,0)</f>
        <v>#REF!</v>
      </c>
      <c r="U203" s="1" t="e">
        <f>T203/VLOOKUP(A203,'[22]geoMap (19)'!$A:$B,2,0)*VLOOKUP(A203,'[22]geoMap (19)'!$A:$C,3,0)</f>
        <v>#REF!</v>
      </c>
      <c r="V203" s="1" t="e">
        <f>U203/VLOOKUP(A203,'[23]geoMap (20)'!$A:$B,2,0)*VLOOKUP(A203,'[23]geoMap (20)'!$A:$C,3,0)</f>
        <v>#REF!</v>
      </c>
      <c r="W203" s="1" t="e">
        <f>V203/VLOOKUP(A203,'[24]geoMap (21)'!$A:$B,2,0)*VLOOKUP(A203,'[24]geoMap (21)'!$A:$C,3,0)</f>
        <v>#REF!</v>
      </c>
      <c r="X203" s="1" t="e">
        <f>W203/VLOOKUP(A203,'[25]geoMap (22)'!$A:$B,2,0)*VLOOKUP(A203,'[25]geoMap (22)'!$A:$C,3,0)</f>
        <v>#REF!</v>
      </c>
      <c r="Y203" s="1" t="e">
        <f>X203/VLOOKUP(A203,'[26]geoMap (23)'!$A:$B,2,0)*VLOOKUP(A203,'[26]geoMap (23)'!$A:$C,3,0)</f>
        <v>#REF!</v>
      </c>
      <c r="Z203" s="1" t="e">
        <f>Y203/VLOOKUP(A203,'[27]geoMap (24)'!$A:$B,2,0)*VLOOKUP(A203,'[27]geoMap (24)'!$A:$C,3,0)</f>
        <v>#REF!</v>
      </c>
      <c r="AA203" s="1" t="e">
        <f>Z203/VLOOKUP(A203,'[28]geoMap (25)'!$A:$B,2,0)*VLOOKUP(A203,'[28]geoMap (25)'!$A:$C,3,0)</f>
        <v>#REF!</v>
      </c>
      <c r="AB203" s="1" t="e">
        <f>AA203*VLOOKUP(A203,'[29]geoMap (26)'!$A:$B,2,0)*VLOOKUP(A203,'[29]geoMap (26)'!$A:$C,3,0)</f>
        <v>#REF!</v>
      </c>
      <c r="AC203" s="1" t="e">
        <f>AB203/VLOOKUP(A203,'[30]geoMap (27)'!$A:$B,2,0)*VLOOKUP(A203,'[30]geoMap (27)'!$A:$C,3,0)</f>
        <v>#REF!</v>
      </c>
      <c r="AD203" s="1" t="e">
        <f>AC203/VLOOKUP(A203,'[31]geoMap (28)'!$A:$B,2,0)*VLOOKUP(A203,'[31]geoMap (28)'!$A:$C,3,0)</f>
        <v>#REF!</v>
      </c>
      <c r="AE203" s="1" t="e">
        <f>AD203/VLOOKUP(A203,'[32]geoMap (29)'!$A:$B,2,0)*VLOOKUP(A203,'[32]geoMap (29)'!$A:$C,3,0)</f>
        <v>#REF!</v>
      </c>
      <c r="AF203" s="1" t="e">
        <f>AE203/VLOOKUP(A203,'[33]geoMap (30)'!$A:$B,2,0)*VLOOKUP(A203,'[33]geoMap (30)'!$A:$C,3,0)</f>
        <v>#REF!</v>
      </c>
      <c r="AG203" s="1" t="e">
        <f>AF203/VLOOKUP(A203,'[34]geoMap (31)'!$A:$B,2,0)*VLOOKUP(A203,'[34]geoMap (31)'!$A:$C,3,0)</f>
        <v>#REF!</v>
      </c>
      <c r="AH203" s="1" t="e">
        <f>AG203/VLOOKUP(A203,'[35]geoMap (32)'!$A:$B,2,0)*VLOOKUP(A203,'[35]geoMap (32)'!$A:$C,3,0)</f>
        <v>#REF!</v>
      </c>
      <c r="AI203" s="1" t="e">
        <f>AH203/VLOOKUP(A203,'[36]geoMap (33)'!$A:$B,2,0)*VLOOKUP(A203,'[36]geoMap (33)'!$A:$C,3,0)</f>
        <v>#REF!</v>
      </c>
      <c r="AJ203" s="1" t="e">
        <f>AI203/VLOOKUP(A203,'[37]geoMap (34)'!$A:$B,2,0)*VLOOKUP(A203,'[37]geoMap (34)'!$A:$C,3,0)</f>
        <v>#REF!</v>
      </c>
      <c r="AK203" s="1" t="e">
        <f>AJ203/VLOOKUP(A203,'[38]geoMap (35)'!$A:$B,2,0)*VLOOKUP(A203,'[38]geoMap (35)'!$A:$C,3,0)</f>
        <v>#REF!</v>
      </c>
      <c r="AL203" s="1" t="e">
        <f>AK203/VLOOKUP(A203,'[39]geoMap (36)'!$A:$B,2,0)*VLOOKUP(A203,'[39]geoMap (36)'!$A:$C,3,0)</f>
        <v>#REF!</v>
      </c>
      <c r="AM203" s="1" t="e">
        <f>AL203/VLOOKUP(A203,'[40]geoMap (37)'!$A:$B,2,0)*VLOOKUP(A203,'[40]geoMap (37)'!$A:$C,3,0)</f>
        <v>#REF!</v>
      </c>
      <c r="AN203" s="1" t="e">
        <f>AM203/VLOOKUP(A203,'[41]geoMap (38)'!$A:$B,2,0)*VLOOKUP(A203,'[41]geoMap (38)'!$A:$C,3,0)</f>
        <v>#REF!</v>
      </c>
      <c r="AO203" s="1" t="e">
        <f>AN203/VLOOKUP(A203,'[42]geoMap (39)'!$A:$B,2,0)*VLOOKUP(A203,'[42]geoMap (39)'!$A:$C,3,0)</f>
        <v>#REF!</v>
      </c>
      <c r="AP203" s="1" t="e">
        <f>AO203/VLOOKUP(A203,'[43]geoMap (40)'!$A:$B,2,0)*VLOOKUP(A203,'[43]geoMap (40)'!$A:$C,3,0)</f>
        <v>#REF!</v>
      </c>
      <c r="AQ203" s="1" t="e">
        <f>AP203/VLOOKUP(A203,'[44]geoMap (41)'!$A:$B,2,0)*VLOOKUP(A203,'[44]geoMap (41)'!$A:$C,3,0)</f>
        <v>#REF!</v>
      </c>
      <c r="AR203" s="1" t="e">
        <f>AQ203/VLOOKUP(A203,'[45]geoMap (42)'!$A:$B,2,0)*VLOOKUP(A203,'[45]geoMap (42)'!$A:$C,3,0)</f>
        <v>#REF!</v>
      </c>
      <c r="AS203" s="1" t="e">
        <f>AR203/VLOOKUP(A203,'[46]geoMap (43)'!$A:$B,2,0)*VLOOKUP(A203,'[46]geoMap (43)'!$A:$C,3,0)</f>
        <v>#REF!</v>
      </c>
      <c r="AT203" s="1" t="e">
        <f>AS203/VLOOKUP(A203,'[47]geoMap (44)'!$A:$B,2,0)*VLOOKUP(A203,'[47]geoMap (44)'!$A:$C,3,0)</f>
        <v>#REF!</v>
      </c>
      <c r="AU203" s="1" t="e">
        <f>AT203/VLOOKUP(A203,'[48]geoMap (45)'!$A:$B,2,0)*VLOOKUP(A203,'[48]geoMap (45)'!$A:$C,3,0)</f>
        <v>#REF!</v>
      </c>
      <c r="AV203" s="1" t="e">
        <f>AU203/VLOOKUP(A203,'[49]geoMap (46)'!$A:$B,2,0)*VLOOKUP(A203,'[49]geoMap (46)'!$A:$C,3,0)</f>
        <v>#REF!</v>
      </c>
      <c r="AW203" s="1" t="e">
        <f>AV203/VLOOKUP(A203,'[50]geoMap (47)'!$A:$B,2,0)*VLOOKUP(A203,'[50]geoMap (47)'!$A:$C,3,0)</f>
        <v>#REF!</v>
      </c>
      <c r="AX203" s="4" t="e">
        <f>AW203/VLOOKUP(A203,'[51]geoMap (48)'!$A:$B,2,0)*VLOOKUP(A203,'[51]geoMap (48)'!$A:$C,3,0)</f>
        <v>#REF!</v>
      </c>
      <c r="AY203" s="1" t="e">
        <f>AX203/VLOOKUP(A203,'[52]geoMap (49)'!$A:$B,2,0)*VLOOKUP(A203,'[52]geoMap (49)'!$A:$C,3,0)</f>
        <v>#REF!</v>
      </c>
      <c r="AZ203" s="4" t="e">
        <f>AY203/VLOOKUP(A203,'[53]geoMap (50)'!$A:$B,2,0)*VLOOKUP(A203,'[53]geoMap (50)'!$A:$C,3,0)</f>
        <v>#REF!</v>
      </c>
      <c r="BA203" s="1" t="e">
        <f>AZ203/VLOOKUP(A203,'[54]geoMap (51)'!$A:$B,2,0)*VLOOKUP(A203,'[54]geoMap (51)'!$A:$C,3,0)</f>
        <v>#REF!</v>
      </c>
      <c r="BB203" s="4" t="e">
        <f>BA203/VLOOKUP(A203,'[55]geoMap (52)'!$A:$B,2,0)*VLOOKUP(A203,'[55]geoMap (52)'!$A:$C,3,0)</f>
        <v>#REF!</v>
      </c>
      <c r="BC203" s="1" t="e">
        <f>BB203/VLOOKUP(A203,'[56]geoMap (53)'!$A:$B,2,0)*VLOOKUP(A203,'[56]geoMap (53)'!$A:$C,3,0)</f>
        <v>#REF!</v>
      </c>
      <c r="BD203" s="4" t="e">
        <f>BC203/VLOOKUP(A203,'[57]geoMap (54)'!$A:$B,2,0)*VLOOKUP(A203,'[57]geoMap (54)'!$A:$C,3,0)</f>
        <v>#REF!</v>
      </c>
      <c r="BE203" s="1" t="e">
        <f>BD203/VLOOKUP(A203,'[58]geoMap (55)'!$A:$B,2,0)*VLOOKUP(A203,'[58]geoMap (55)'!$A:$C,3,0)</f>
        <v>#REF!</v>
      </c>
      <c r="BF203" s="4" t="e">
        <f>BE203/VLOOKUP(A203,'[59]geoMap (56)'!$A:$B,2,0)*VLOOKUP(A203,'[59]geoMap (56)'!$A:$C,3,0)</f>
        <v>#REF!</v>
      </c>
      <c r="BG203" s="1" t="e">
        <f>BF203/VLOOKUP(A203,'[60]geoMap (57)'!$A:$B,2,0)*VLOOKUP(A203,'[60]geoMap (57)'!$A:$C,3,0)</f>
        <v>#REF!</v>
      </c>
      <c r="BH203" s="4" t="e">
        <f>BG203/VLOOKUP(A203,'[61]geoMap (58)'!$A:$B,2,0)*VLOOKUP(A203,'[61]geoMap (58)'!$A:$C,3,0)</f>
        <v>#REF!</v>
      </c>
      <c r="BI203" s="1" t="e">
        <f>BH203/VLOOKUP(A203,'[62]geoMap (59)'!$A:$B,2,0)*VLOOKUP(A203,'[62]geoMap (59)'!$A:$C,3,0)</f>
        <v>#REF!</v>
      </c>
      <c r="BJ203" s="4" t="e">
        <f>BI203/VLOOKUP(A203,'[63]geoMap (60)'!$A:$B,2,0)*VLOOKUP(A203,'[63]geoMap (60)'!$A:$C,3,0)</f>
        <v>#REF!</v>
      </c>
      <c r="BK203" s="1" t="e">
        <f>BJ203/VLOOKUP(A203,'[64]geoMap (61)'!$A:$B,2,0)*VLOOKUP(A203,'[64]geoMap (61)'!$A:$C,3,0)</f>
        <v>#REF!</v>
      </c>
      <c r="BL203" s="4" t="e">
        <f>BK203/VLOOKUP(A203,'[65]geoMap (62)'!$A:$B,2,0)*VLOOKUP(A203,'[65]geoMap (62)'!$A:$C,3,0)</f>
        <v>#REF!</v>
      </c>
      <c r="BM203" s="1" t="e">
        <f>BL203/VLOOKUP(A203,'[66]geoMap (63)'!$A:$B,2,0)*VLOOKUP(A203,'[66]geoMap (63)'!$A:$C,3,0)</f>
        <v>#REF!</v>
      </c>
      <c r="BN203" s="4" t="e">
        <f>BM203/VLOOKUP(A203,'[67]geoMap (64)'!$A:$B,2,0)*VLOOKUP(A203,'[67]geoMap (64)'!$A:$C,3,0)</f>
        <v>#REF!</v>
      </c>
      <c r="BO203" s="1" t="e">
        <f>BN203/VLOOKUP(A203,'[68]geoMap (65)'!$A:$B,2,0)*VLOOKUP(A203,'[68]geoMap (65)'!$A:$C,3,0)</f>
        <v>#REF!</v>
      </c>
      <c r="BP203" s="4" t="e">
        <f>BO203/VLOOKUP(A203,'[69]geoMap (66)'!$A:$B,2,0)*VLOOKUP(A203,'[69]geoMap (66)'!$A:$C,3,0)</f>
        <v>#REF!</v>
      </c>
    </row>
    <row r="204" spans="1:68" x14ac:dyDescent="0.2">
      <c r="A204" s="1" t="s">
        <v>206</v>
      </c>
      <c r="B204" s="1" t="e">
        <f>VLOOKUP(A204,[3]geoMap!$A:$B,2,0)*Notes!$C$6</f>
        <v>#REF!</v>
      </c>
      <c r="C204" s="1" t="e">
        <f>B204/VLOOKUP(A204,'[4]geoMap (1)'!$A:$B,2,0)*VLOOKUP(A204,'[4]geoMap (1)'!$A:$C,3,0)</f>
        <v>#REF!</v>
      </c>
      <c r="D204" s="1" t="e">
        <f>C204/VLOOKUP(A204,'[5]geoMap (2)'!$A:$B,2,0)*VLOOKUP(A204,'[5]geoMap (2)'!$A:$C,3,0)</f>
        <v>#REF!</v>
      </c>
      <c r="E204" s="1" t="e">
        <f>D204/VLOOKUP(A204,'[6]geoMap (3)'!$A:$B,2,0)*VLOOKUP(A204,'[6]geoMap (3)'!$A:$C,3,0)</f>
        <v>#REF!</v>
      </c>
      <c r="F204" s="1" t="e">
        <f>E204/VLOOKUP(A204,'[7]geoMap (4)'!$A:$B,2,0)*VLOOKUP(A204,'[7]geoMap (4)'!$A:$C,3,0)</f>
        <v>#REF!</v>
      </c>
      <c r="G204" s="1" t="e">
        <f>F204/VLOOKUP(A204,'[8]geoMap (5)'!$A:$B,2,0)*VLOOKUP(A204,'[8]geoMap (5)'!$A:$C,3,0)</f>
        <v>#REF!</v>
      </c>
      <c r="H204" s="1" t="e">
        <f>G204/VLOOKUP(A204,'[9]geoMap (6)'!$A:$B,2,0)*VLOOKUP(A204,'[9]geoMap (6)'!$A:$C,3,0)</f>
        <v>#REF!</v>
      </c>
      <c r="I204" s="1" t="e">
        <f>H204/VLOOKUP(A204,'[10]geoMap (7)'!$A:$B,2,0)*VLOOKUP(A204,'[10]geoMap (7)'!$A:$C,3,0)</f>
        <v>#REF!</v>
      </c>
      <c r="J204" s="1" t="e">
        <f>I204/VLOOKUP(A204,'[11]geoMap (8)'!$A:$B,2,0)*VLOOKUP(A204,'[11]geoMap (8)'!$A:$C,3,0)</f>
        <v>#REF!</v>
      </c>
      <c r="K204" s="1" t="e">
        <f>J204/VLOOKUP(A204,'[12]geoMap (9)'!$A:$B,2,0)*VLOOKUP(A204,'[12]geoMap (9)'!$A:$C,3,0)</f>
        <v>#REF!</v>
      </c>
      <c r="L204" s="1" t="e">
        <f>K204/VLOOKUP(A204,'[13]geoMap (10)'!$A:$B,2,0)*VLOOKUP(A204,'[13]geoMap (10)'!$A:$C,3,0)</f>
        <v>#REF!</v>
      </c>
      <c r="M204" s="1" t="e">
        <f>L204/VLOOKUP(A204,'[14]geoMap (11)'!$A:$B,2,0)*VLOOKUP(A204,'[14]geoMap (11)'!$A:$C,3,0)</f>
        <v>#REF!</v>
      </c>
      <c r="N204" s="1" t="e">
        <f>M204/VLOOKUP(A204,'[15]geoMap (12)'!$A:$B,2,0)*VLOOKUP(A204,'[15]geoMap (12)'!$A:$C,3,0)</f>
        <v>#REF!</v>
      </c>
      <c r="O204" s="1" t="e">
        <f>N204/VLOOKUP(A204,'[16]geoMap (13)'!$A:$B,2,0)*VLOOKUP(A204,'[16]geoMap (13)'!$A:$C,3,0)</f>
        <v>#REF!</v>
      </c>
      <c r="P204" s="1" t="e">
        <f>O204/VLOOKUP(A204,'[17]geoMap (14)'!$A:$B,2,0)*VLOOKUP(A204,'[17]geoMap (14)'!$A:$C,3,0)</f>
        <v>#REF!</v>
      </c>
      <c r="Q204" s="1" t="e">
        <f>P204/VLOOKUP(A204,'[18]geoMap (15)'!$A:$B,2,0)*VLOOKUP(A204,'[18]geoMap (15)'!$A:$C,3,0)</f>
        <v>#REF!</v>
      </c>
      <c r="R204" s="1" t="e">
        <f>Q204/VLOOKUP(A204,'[19]geoMap (16)'!$A:$B,2,0)*VLOOKUP(A204,'[19]geoMap (16)'!$A:$C,3,0)</f>
        <v>#REF!</v>
      </c>
      <c r="S204" s="1" t="e">
        <f>R204/VLOOKUP(A204,'[20]geoMap (17)'!$A:$B,2,0)*VLOOKUP(A204,'[20]geoMap (17)'!$A:$C,3,0)</f>
        <v>#REF!</v>
      </c>
      <c r="T204" s="1" t="e">
        <f>S204/VLOOKUP(A204,'[21]geoMap (18)'!$A:$B,2,0)*VLOOKUP(A204,'[21]geoMap (18)'!$A:$C,3,0)</f>
        <v>#REF!</v>
      </c>
      <c r="U204" s="1" t="e">
        <f>T204/VLOOKUP(A204,'[22]geoMap (19)'!$A:$B,2,0)*VLOOKUP(A204,'[22]geoMap (19)'!$A:$C,3,0)</f>
        <v>#REF!</v>
      </c>
      <c r="V204" s="1" t="e">
        <f>U204/VLOOKUP(A204,'[23]geoMap (20)'!$A:$B,2,0)*VLOOKUP(A204,'[23]geoMap (20)'!$A:$C,3,0)</f>
        <v>#REF!</v>
      </c>
      <c r="W204" s="1" t="e">
        <f>V204/VLOOKUP(A204,'[24]geoMap (21)'!$A:$B,2,0)*VLOOKUP(A204,'[24]geoMap (21)'!$A:$C,3,0)</f>
        <v>#REF!</v>
      </c>
      <c r="X204" s="1" t="e">
        <f>W204/VLOOKUP(A204,'[25]geoMap (22)'!$A:$B,2,0)*VLOOKUP(A204,'[25]geoMap (22)'!$A:$C,3,0)</f>
        <v>#REF!</v>
      </c>
      <c r="Y204" s="1" t="e">
        <f>X204/VLOOKUP(A204,'[26]geoMap (23)'!$A:$B,2,0)*VLOOKUP(A204,'[26]geoMap (23)'!$A:$C,3,0)</f>
        <v>#REF!</v>
      </c>
      <c r="Z204" s="1" t="e">
        <f>Y204/VLOOKUP(A204,'[27]geoMap (24)'!$A:$B,2,0)*VLOOKUP(A204,'[27]geoMap (24)'!$A:$C,3,0)</f>
        <v>#REF!</v>
      </c>
      <c r="AA204" s="1" t="e">
        <f>Z204/VLOOKUP(A204,'[28]geoMap (25)'!$A:$B,2,0)*VLOOKUP(A204,'[28]geoMap (25)'!$A:$C,3,0)</f>
        <v>#REF!</v>
      </c>
      <c r="AB204" s="1" t="e">
        <f>AA204*VLOOKUP(A204,'[29]geoMap (26)'!$A:$B,2,0)*VLOOKUP(A204,'[29]geoMap (26)'!$A:$C,3,0)</f>
        <v>#REF!</v>
      </c>
      <c r="AC204" s="1" t="e">
        <f>AB204/VLOOKUP(A204,'[30]geoMap (27)'!$A:$B,2,0)*VLOOKUP(A204,'[30]geoMap (27)'!$A:$C,3,0)</f>
        <v>#REF!</v>
      </c>
      <c r="AD204" s="1" t="e">
        <f>AC204/VLOOKUP(A204,'[31]geoMap (28)'!$A:$B,2,0)*VLOOKUP(A204,'[31]geoMap (28)'!$A:$C,3,0)</f>
        <v>#REF!</v>
      </c>
      <c r="AE204" s="1" t="e">
        <f>AD204/VLOOKUP(A204,'[32]geoMap (29)'!$A:$B,2,0)*VLOOKUP(A204,'[32]geoMap (29)'!$A:$C,3,0)</f>
        <v>#REF!</v>
      </c>
      <c r="AF204" s="1" t="e">
        <f>AE204/VLOOKUP(A204,'[33]geoMap (30)'!$A:$B,2,0)*VLOOKUP(A204,'[33]geoMap (30)'!$A:$C,3,0)</f>
        <v>#REF!</v>
      </c>
      <c r="AG204" s="1" t="e">
        <f>AF204/VLOOKUP(A204,'[34]geoMap (31)'!$A:$B,2,0)*VLOOKUP(A204,'[34]geoMap (31)'!$A:$C,3,0)</f>
        <v>#REF!</v>
      </c>
      <c r="AH204" s="1" t="e">
        <f>AG204/VLOOKUP(A204,'[35]geoMap (32)'!$A:$B,2,0)*VLOOKUP(A204,'[35]geoMap (32)'!$A:$C,3,0)</f>
        <v>#REF!</v>
      </c>
      <c r="AI204" s="1" t="e">
        <f>AH204/VLOOKUP(A204,'[36]geoMap (33)'!$A:$B,2,0)*VLOOKUP(A204,'[36]geoMap (33)'!$A:$C,3,0)</f>
        <v>#REF!</v>
      </c>
      <c r="AJ204" s="1" t="e">
        <f>AI204/VLOOKUP(A204,'[37]geoMap (34)'!$A:$B,2,0)*VLOOKUP(A204,'[37]geoMap (34)'!$A:$C,3,0)</f>
        <v>#REF!</v>
      </c>
      <c r="AK204" s="1" t="e">
        <f>AJ204/VLOOKUP(A204,'[38]geoMap (35)'!$A:$B,2,0)*VLOOKUP(A204,'[38]geoMap (35)'!$A:$C,3,0)</f>
        <v>#REF!</v>
      </c>
      <c r="AL204" s="1" t="e">
        <f>AK204/VLOOKUP(A204,'[39]geoMap (36)'!$A:$B,2,0)*VLOOKUP(A204,'[39]geoMap (36)'!$A:$C,3,0)</f>
        <v>#REF!</v>
      </c>
      <c r="AM204" s="1" t="e">
        <f>AL204/VLOOKUP(A204,'[40]geoMap (37)'!$A:$B,2,0)*VLOOKUP(A204,'[40]geoMap (37)'!$A:$C,3,0)</f>
        <v>#REF!</v>
      </c>
      <c r="AN204" s="1" t="e">
        <f>AM204/VLOOKUP(A204,'[41]geoMap (38)'!$A:$B,2,0)*VLOOKUP(A204,'[41]geoMap (38)'!$A:$C,3,0)</f>
        <v>#REF!</v>
      </c>
      <c r="AO204" s="1" t="e">
        <f>AN204/VLOOKUP(A204,'[42]geoMap (39)'!$A:$B,2,0)*VLOOKUP(A204,'[42]geoMap (39)'!$A:$C,3,0)</f>
        <v>#REF!</v>
      </c>
      <c r="AP204" s="1" t="e">
        <f>AO204/VLOOKUP(A204,'[43]geoMap (40)'!$A:$B,2,0)*VLOOKUP(A204,'[43]geoMap (40)'!$A:$C,3,0)</f>
        <v>#REF!</v>
      </c>
      <c r="AQ204" s="1" t="e">
        <f>AP204/VLOOKUP(A204,'[44]geoMap (41)'!$A:$B,2,0)*VLOOKUP(A204,'[44]geoMap (41)'!$A:$C,3,0)</f>
        <v>#REF!</v>
      </c>
      <c r="AR204" s="1" t="e">
        <f>AQ204/VLOOKUP(A204,'[45]geoMap (42)'!$A:$B,2,0)*VLOOKUP(A204,'[45]geoMap (42)'!$A:$C,3,0)</f>
        <v>#REF!</v>
      </c>
      <c r="AS204" s="1" t="e">
        <f>AR204/VLOOKUP(A204,'[46]geoMap (43)'!$A:$B,2,0)*VLOOKUP(A204,'[46]geoMap (43)'!$A:$C,3,0)</f>
        <v>#REF!</v>
      </c>
      <c r="AT204" s="1" t="e">
        <f>AS204/VLOOKUP(A204,'[47]geoMap (44)'!$A:$B,2,0)*VLOOKUP(A204,'[47]geoMap (44)'!$A:$C,3,0)</f>
        <v>#REF!</v>
      </c>
      <c r="AU204" s="1" t="e">
        <f>AT204/VLOOKUP(A204,'[48]geoMap (45)'!$A:$B,2,0)*VLOOKUP(A204,'[48]geoMap (45)'!$A:$C,3,0)</f>
        <v>#REF!</v>
      </c>
      <c r="AV204" s="1" t="e">
        <f>AU204/VLOOKUP(A204,'[49]geoMap (46)'!$A:$B,2,0)*VLOOKUP(A204,'[49]geoMap (46)'!$A:$C,3,0)</f>
        <v>#REF!</v>
      </c>
      <c r="AW204" s="1" t="e">
        <f>AV204/VLOOKUP(A204,'[50]geoMap (47)'!$A:$B,2,0)*VLOOKUP(A204,'[50]geoMap (47)'!$A:$C,3,0)</f>
        <v>#REF!</v>
      </c>
      <c r="AX204" s="4" t="e">
        <f>AW204/VLOOKUP(A204,'[51]geoMap (48)'!$A:$B,2,0)*VLOOKUP(A204,'[51]geoMap (48)'!$A:$C,3,0)</f>
        <v>#REF!</v>
      </c>
      <c r="AY204" s="1" t="e">
        <f>AX204/VLOOKUP(A204,'[52]geoMap (49)'!$A:$B,2,0)*VLOOKUP(A204,'[52]geoMap (49)'!$A:$C,3,0)</f>
        <v>#REF!</v>
      </c>
      <c r="AZ204" s="4" t="e">
        <f>AY204/VLOOKUP(A204,'[53]geoMap (50)'!$A:$B,2,0)*VLOOKUP(A204,'[53]geoMap (50)'!$A:$C,3,0)</f>
        <v>#REF!</v>
      </c>
      <c r="BA204" s="1" t="e">
        <f>AZ204/VLOOKUP(A204,'[54]geoMap (51)'!$A:$B,2,0)*VLOOKUP(A204,'[54]geoMap (51)'!$A:$C,3,0)</f>
        <v>#REF!</v>
      </c>
      <c r="BB204" s="4" t="e">
        <f>BA204/VLOOKUP(A204,'[55]geoMap (52)'!$A:$B,2,0)*VLOOKUP(A204,'[55]geoMap (52)'!$A:$C,3,0)</f>
        <v>#REF!</v>
      </c>
      <c r="BC204" s="1" t="e">
        <f>BB204/VLOOKUP(A204,'[56]geoMap (53)'!$A:$B,2,0)*VLOOKUP(A204,'[56]geoMap (53)'!$A:$C,3,0)</f>
        <v>#REF!</v>
      </c>
      <c r="BD204" s="4" t="e">
        <f>BC204/VLOOKUP(A204,'[57]geoMap (54)'!$A:$B,2,0)*VLOOKUP(A204,'[57]geoMap (54)'!$A:$C,3,0)</f>
        <v>#REF!</v>
      </c>
      <c r="BE204" s="1" t="e">
        <f>BD204/VLOOKUP(A204,'[58]geoMap (55)'!$A:$B,2,0)*VLOOKUP(A204,'[58]geoMap (55)'!$A:$C,3,0)</f>
        <v>#REF!</v>
      </c>
      <c r="BF204" s="4" t="e">
        <f>BE204/VLOOKUP(A204,'[59]geoMap (56)'!$A:$B,2,0)*VLOOKUP(A204,'[59]geoMap (56)'!$A:$C,3,0)</f>
        <v>#REF!</v>
      </c>
      <c r="BG204" s="1" t="e">
        <f>BF204/VLOOKUP(A204,'[60]geoMap (57)'!$A:$B,2,0)*VLOOKUP(A204,'[60]geoMap (57)'!$A:$C,3,0)</f>
        <v>#REF!</v>
      </c>
      <c r="BH204" s="4" t="e">
        <f>BG204/VLOOKUP(A204,'[61]geoMap (58)'!$A:$B,2,0)*VLOOKUP(A204,'[61]geoMap (58)'!$A:$C,3,0)</f>
        <v>#REF!</v>
      </c>
      <c r="BI204" s="1" t="e">
        <f>BH204/VLOOKUP(A204,'[62]geoMap (59)'!$A:$B,2,0)*VLOOKUP(A204,'[62]geoMap (59)'!$A:$C,3,0)</f>
        <v>#REF!</v>
      </c>
      <c r="BJ204" s="4" t="e">
        <f>BI204/VLOOKUP(A204,'[63]geoMap (60)'!$A:$B,2,0)*VLOOKUP(A204,'[63]geoMap (60)'!$A:$C,3,0)</f>
        <v>#REF!</v>
      </c>
      <c r="BK204" s="1" t="e">
        <f>BJ204/VLOOKUP(A204,'[64]geoMap (61)'!$A:$B,2,0)*VLOOKUP(A204,'[64]geoMap (61)'!$A:$C,3,0)</f>
        <v>#REF!</v>
      </c>
      <c r="BL204" s="4" t="e">
        <f>BK204/VLOOKUP(A204,'[65]geoMap (62)'!$A:$B,2,0)*VLOOKUP(A204,'[65]geoMap (62)'!$A:$C,3,0)</f>
        <v>#REF!</v>
      </c>
      <c r="BM204" s="1" t="e">
        <f>BL204/VLOOKUP(A204,'[66]geoMap (63)'!$A:$B,2,0)*VLOOKUP(A204,'[66]geoMap (63)'!$A:$C,3,0)</f>
        <v>#REF!</v>
      </c>
      <c r="BN204" s="4" t="e">
        <f>BM204/VLOOKUP(A204,'[67]geoMap (64)'!$A:$B,2,0)*VLOOKUP(A204,'[67]geoMap (64)'!$A:$C,3,0)</f>
        <v>#REF!</v>
      </c>
      <c r="BO204" s="1" t="e">
        <f>BN204/VLOOKUP(A204,'[68]geoMap (65)'!$A:$B,2,0)*VLOOKUP(A204,'[68]geoMap (65)'!$A:$C,3,0)</f>
        <v>#REF!</v>
      </c>
      <c r="BP204" s="4" t="e">
        <f>BO204/VLOOKUP(A204,'[69]geoMap (66)'!$A:$B,2,0)*VLOOKUP(A204,'[69]geoMap (66)'!$A:$C,3,0)</f>
        <v>#REF!</v>
      </c>
    </row>
    <row r="205" spans="1:68" x14ac:dyDescent="0.2">
      <c r="A205" s="1" t="s">
        <v>207</v>
      </c>
      <c r="B205" s="1" t="e">
        <f>VLOOKUP(A205,[3]geoMap!$A:$B,2,0)*Notes!$C$6</f>
        <v>#REF!</v>
      </c>
      <c r="C205" s="1" t="e">
        <f>B205/VLOOKUP(A205,'[4]geoMap (1)'!$A:$B,2,0)*VLOOKUP(A205,'[4]geoMap (1)'!$A:$C,3,0)</f>
        <v>#REF!</v>
      </c>
      <c r="D205" s="1" t="e">
        <f>C205/VLOOKUP(A205,'[5]geoMap (2)'!$A:$B,2,0)*VLOOKUP(A205,'[5]geoMap (2)'!$A:$C,3,0)</f>
        <v>#REF!</v>
      </c>
      <c r="E205" s="1" t="e">
        <f>D205/VLOOKUP(A205,'[6]geoMap (3)'!$A:$B,2,0)*VLOOKUP(A205,'[6]geoMap (3)'!$A:$C,3,0)</f>
        <v>#REF!</v>
      </c>
      <c r="F205" s="1" t="e">
        <f>E205/VLOOKUP(A205,'[7]geoMap (4)'!$A:$B,2,0)*VLOOKUP(A205,'[7]geoMap (4)'!$A:$C,3,0)</f>
        <v>#REF!</v>
      </c>
      <c r="G205" s="1" t="e">
        <f>F205/VLOOKUP(A205,'[8]geoMap (5)'!$A:$B,2,0)*VLOOKUP(A205,'[8]geoMap (5)'!$A:$C,3,0)</f>
        <v>#REF!</v>
      </c>
      <c r="H205" s="1" t="e">
        <f>G205/VLOOKUP(A205,'[9]geoMap (6)'!$A:$B,2,0)*VLOOKUP(A205,'[9]geoMap (6)'!$A:$C,3,0)</f>
        <v>#REF!</v>
      </c>
      <c r="I205" s="1" t="e">
        <f>H205/VLOOKUP(A205,'[10]geoMap (7)'!$A:$B,2,0)*VLOOKUP(A205,'[10]geoMap (7)'!$A:$C,3,0)</f>
        <v>#REF!</v>
      </c>
      <c r="J205" s="1" t="e">
        <f>I205/VLOOKUP(A205,'[11]geoMap (8)'!$A:$B,2,0)*VLOOKUP(A205,'[11]geoMap (8)'!$A:$C,3,0)</f>
        <v>#REF!</v>
      </c>
      <c r="K205" s="1" t="e">
        <f>J205/VLOOKUP(A205,'[12]geoMap (9)'!$A:$B,2,0)*VLOOKUP(A205,'[12]geoMap (9)'!$A:$C,3,0)</f>
        <v>#REF!</v>
      </c>
      <c r="L205" s="1" t="e">
        <f>K205/VLOOKUP(A205,'[13]geoMap (10)'!$A:$B,2,0)*VLOOKUP(A205,'[13]geoMap (10)'!$A:$C,3,0)</f>
        <v>#REF!</v>
      </c>
      <c r="M205" s="1" t="e">
        <f>L205/VLOOKUP(A205,'[14]geoMap (11)'!$A:$B,2,0)*VLOOKUP(A205,'[14]geoMap (11)'!$A:$C,3,0)</f>
        <v>#REF!</v>
      </c>
      <c r="N205" s="1" t="e">
        <f>M205/VLOOKUP(A205,'[15]geoMap (12)'!$A:$B,2,0)*VLOOKUP(A205,'[15]geoMap (12)'!$A:$C,3,0)</f>
        <v>#REF!</v>
      </c>
      <c r="O205" s="1" t="e">
        <f>N205/VLOOKUP(A205,'[16]geoMap (13)'!$A:$B,2,0)*VLOOKUP(A205,'[16]geoMap (13)'!$A:$C,3,0)</f>
        <v>#REF!</v>
      </c>
      <c r="P205" s="1" t="e">
        <f>O205/VLOOKUP(A205,'[17]geoMap (14)'!$A:$B,2,0)*VLOOKUP(A205,'[17]geoMap (14)'!$A:$C,3,0)</f>
        <v>#REF!</v>
      </c>
      <c r="Q205" s="1" t="e">
        <f>P205/VLOOKUP(A205,'[18]geoMap (15)'!$A:$B,2,0)*VLOOKUP(A205,'[18]geoMap (15)'!$A:$C,3,0)</f>
        <v>#REF!</v>
      </c>
      <c r="R205" s="1" t="e">
        <f>Q205/VLOOKUP(A205,'[19]geoMap (16)'!$A:$B,2,0)*VLOOKUP(A205,'[19]geoMap (16)'!$A:$C,3,0)</f>
        <v>#REF!</v>
      </c>
      <c r="S205" s="1" t="e">
        <f>R205/VLOOKUP(A205,'[20]geoMap (17)'!$A:$B,2,0)*VLOOKUP(A205,'[20]geoMap (17)'!$A:$C,3,0)</f>
        <v>#REF!</v>
      </c>
      <c r="T205" s="1" t="e">
        <f>S205/VLOOKUP(A205,'[21]geoMap (18)'!$A:$B,2,0)*VLOOKUP(A205,'[21]geoMap (18)'!$A:$C,3,0)</f>
        <v>#REF!</v>
      </c>
      <c r="U205" s="1" t="e">
        <f>T205/VLOOKUP(A205,'[22]geoMap (19)'!$A:$B,2,0)*VLOOKUP(A205,'[22]geoMap (19)'!$A:$C,3,0)</f>
        <v>#REF!</v>
      </c>
      <c r="V205" s="1" t="e">
        <f>U205/VLOOKUP(A205,'[23]geoMap (20)'!$A:$B,2,0)*VLOOKUP(A205,'[23]geoMap (20)'!$A:$C,3,0)</f>
        <v>#REF!</v>
      </c>
      <c r="W205" s="1" t="e">
        <f>V205/VLOOKUP(A205,'[24]geoMap (21)'!$A:$B,2,0)*VLOOKUP(A205,'[24]geoMap (21)'!$A:$C,3,0)</f>
        <v>#REF!</v>
      </c>
      <c r="X205" s="1" t="e">
        <f>W205/VLOOKUP(A205,'[25]geoMap (22)'!$A:$B,2,0)*VLOOKUP(A205,'[25]geoMap (22)'!$A:$C,3,0)</f>
        <v>#REF!</v>
      </c>
      <c r="Y205" s="1" t="e">
        <f>X205/VLOOKUP(A205,'[26]geoMap (23)'!$A:$B,2,0)*VLOOKUP(A205,'[26]geoMap (23)'!$A:$C,3,0)</f>
        <v>#REF!</v>
      </c>
      <c r="Z205" s="1" t="e">
        <f>Y205/VLOOKUP(A205,'[27]geoMap (24)'!$A:$B,2,0)*VLOOKUP(A205,'[27]geoMap (24)'!$A:$C,3,0)</f>
        <v>#REF!</v>
      </c>
      <c r="AA205" s="1" t="e">
        <f>Z205/VLOOKUP(A205,'[28]geoMap (25)'!$A:$B,2,0)*VLOOKUP(A205,'[28]geoMap (25)'!$A:$C,3,0)</f>
        <v>#REF!</v>
      </c>
      <c r="AB205" s="1" t="e">
        <f>AA205*VLOOKUP(A205,'[29]geoMap (26)'!$A:$B,2,0)*VLOOKUP(A205,'[29]geoMap (26)'!$A:$C,3,0)</f>
        <v>#REF!</v>
      </c>
      <c r="AC205" s="1" t="e">
        <f>AB205/VLOOKUP(A205,'[30]geoMap (27)'!$A:$B,2,0)*VLOOKUP(A205,'[30]geoMap (27)'!$A:$C,3,0)</f>
        <v>#REF!</v>
      </c>
      <c r="AD205" s="1" t="e">
        <f>AC205/VLOOKUP(A205,'[31]geoMap (28)'!$A:$B,2,0)*VLOOKUP(A205,'[31]geoMap (28)'!$A:$C,3,0)</f>
        <v>#REF!</v>
      </c>
      <c r="AE205" s="1" t="e">
        <f>AD205/VLOOKUP(A205,'[32]geoMap (29)'!$A:$B,2,0)*VLOOKUP(A205,'[32]geoMap (29)'!$A:$C,3,0)</f>
        <v>#REF!</v>
      </c>
      <c r="AF205" s="1" t="e">
        <f>AE205/VLOOKUP(A205,'[33]geoMap (30)'!$A:$B,2,0)*VLOOKUP(A205,'[33]geoMap (30)'!$A:$C,3,0)</f>
        <v>#REF!</v>
      </c>
      <c r="AG205" s="1" t="e">
        <f>AF205/VLOOKUP(A205,'[34]geoMap (31)'!$A:$B,2,0)*VLOOKUP(A205,'[34]geoMap (31)'!$A:$C,3,0)</f>
        <v>#REF!</v>
      </c>
      <c r="AH205" s="1" t="e">
        <f>AG205/VLOOKUP(A205,'[35]geoMap (32)'!$A:$B,2,0)*VLOOKUP(A205,'[35]geoMap (32)'!$A:$C,3,0)</f>
        <v>#REF!</v>
      </c>
      <c r="AI205" s="1" t="e">
        <f>AH205/VLOOKUP(A205,'[36]geoMap (33)'!$A:$B,2,0)*VLOOKUP(A205,'[36]geoMap (33)'!$A:$C,3,0)</f>
        <v>#REF!</v>
      </c>
      <c r="AJ205" s="1" t="e">
        <f>AI205/VLOOKUP(A205,'[37]geoMap (34)'!$A:$B,2,0)*VLOOKUP(A205,'[37]geoMap (34)'!$A:$C,3,0)</f>
        <v>#REF!</v>
      </c>
      <c r="AK205" s="1" t="e">
        <f>AJ205/VLOOKUP(A205,'[38]geoMap (35)'!$A:$B,2,0)*VLOOKUP(A205,'[38]geoMap (35)'!$A:$C,3,0)</f>
        <v>#REF!</v>
      </c>
      <c r="AL205" s="1" t="e">
        <f>AK205/VLOOKUP(A205,'[39]geoMap (36)'!$A:$B,2,0)*VLOOKUP(A205,'[39]geoMap (36)'!$A:$C,3,0)</f>
        <v>#REF!</v>
      </c>
      <c r="AM205" s="1" t="e">
        <f>AL205/VLOOKUP(A205,'[40]geoMap (37)'!$A:$B,2,0)*VLOOKUP(A205,'[40]geoMap (37)'!$A:$C,3,0)</f>
        <v>#REF!</v>
      </c>
      <c r="AN205" s="1" t="e">
        <f>AM205/VLOOKUP(A205,'[41]geoMap (38)'!$A:$B,2,0)*VLOOKUP(A205,'[41]geoMap (38)'!$A:$C,3,0)</f>
        <v>#REF!</v>
      </c>
      <c r="AO205" s="1" t="e">
        <f>AN205/VLOOKUP(A205,'[42]geoMap (39)'!$A:$B,2,0)*VLOOKUP(A205,'[42]geoMap (39)'!$A:$C,3,0)</f>
        <v>#REF!</v>
      </c>
      <c r="AP205" s="1" t="e">
        <f>AO205/VLOOKUP(A205,'[43]geoMap (40)'!$A:$B,2,0)*VLOOKUP(A205,'[43]geoMap (40)'!$A:$C,3,0)</f>
        <v>#REF!</v>
      </c>
      <c r="AQ205" s="1" t="e">
        <f>AP205/VLOOKUP(A205,'[44]geoMap (41)'!$A:$B,2,0)*VLOOKUP(A205,'[44]geoMap (41)'!$A:$C,3,0)</f>
        <v>#REF!</v>
      </c>
      <c r="AR205" s="1" t="e">
        <f>AQ205/VLOOKUP(A205,'[45]geoMap (42)'!$A:$B,2,0)*VLOOKUP(A205,'[45]geoMap (42)'!$A:$C,3,0)</f>
        <v>#REF!</v>
      </c>
      <c r="AS205" s="1" t="e">
        <f>AR205/VLOOKUP(A205,'[46]geoMap (43)'!$A:$B,2,0)*VLOOKUP(A205,'[46]geoMap (43)'!$A:$C,3,0)</f>
        <v>#REF!</v>
      </c>
      <c r="AT205" s="1" t="e">
        <f>AS205/VLOOKUP(A205,'[47]geoMap (44)'!$A:$B,2,0)*VLOOKUP(A205,'[47]geoMap (44)'!$A:$C,3,0)</f>
        <v>#REF!</v>
      </c>
      <c r="AU205" s="1" t="e">
        <f>AT205/VLOOKUP(A205,'[48]geoMap (45)'!$A:$B,2,0)*VLOOKUP(A205,'[48]geoMap (45)'!$A:$C,3,0)</f>
        <v>#REF!</v>
      </c>
      <c r="AV205" s="1" t="e">
        <f>AU205/VLOOKUP(A205,'[49]geoMap (46)'!$A:$B,2,0)*VLOOKUP(A205,'[49]geoMap (46)'!$A:$C,3,0)</f>
        <v>#REF!</v>
      </c>
      <c r="AW205" s="1" t="e">
        <f>AV205/VLOOKUP(A205,'[50]geoMap (47)'!$A:$B,2,0)*VLOOKUP(A205,'[50]geoMap (47)'!$A:$C,3,0)</f>
        <v>#REF!</v>
      </c>
      <c r="AX205" s="4" t="e">
        <f>AW205/VLOOKUP(A205,'[51]geoMap (48)'!$A:$B,2,0)*VLOOKUP(A205,'[51]geoMap (48)'!$A:$C,3,0)</f>
        <v>#REF!</v>
      </c>
      <c r="AY205" s="1" t="e">
        <f>AX205/VLOOKUP(A205,'[52]geoMap (49)'!$A:$B,2,0)*VLOOKUP(A205,'[52]geoMap (49)'!$A:$C,3,0)</f>
        <v>#REF!</v>
      </c>
      <c r="AZ205" s="4" t="e">
        <f>AY205/VLOOKUP(A205,'[53]geoMap (50)'!$A:$B,2,0)*VLOOKUP(A205,'[53]geoMap (50)'!$A:$C,3,0)</f>
        <v>#REF!</v>
      </c>
      <c r="BA205" s="1" t="e">
        <f>AZ205/VLOOKUP(A205,'[54]geoMap (51)'!$A:$B,2,0)*VLOOKUP(A205,'[54]geoMap (51)'!$A:$C,3,0)</f>
        <v>#REF!</v>
      </c>
      <c r="BB205" s="4" t="e">
        <f>BA205/VLOOKUP(A205,'[55]geoMap (52)'!$A:$B,2,0)*VLOOKUP(A205,'[55]geoMap (52)'!$A:$C,3,0)</f>
        <v>#REF!</v>
      </c>
      <c r="BC205" s="1" t="e">
        <f>BB205/VLOOKUP(A205,'[56]geoMap (53)'!$A:$B,2,0)*VLOOKUP(A205,'[56]geoMap (53)'!$A:$C,3,0)</f>
        <v>#REF!</v>
      </c>
      <c r="BD205" s="4" t="e">
        <f>BC205/VLOOKUP(A205,'[57]geoMap (54)'!$A:$B,2,0)*VLOOKUP(A205,'[57]geoMap (54)'!$A:$C,3,0)</f>
        <v>#REF!</v>
      </c>
      <c r="BE205" s="1" t="e">
        <f>BD205/VLOOKUP(A205,'[58]geoMap (55)'!$A:$B,2,0)*VLOOKUP(A205,'[58]geoMap (55)'!$A:$C,3,0)</f>
        <v>#REF!</v>
      </c>
      <c r="BF205" s="4" t="e">
        <f>BE205/VLOOKUP(A205,'[59]geoMap (56)'!$A:$B,2,0)*VLOOKUP(A205,'[59]geoMap (56)'!$A:$C,3,0)</f>
        <v>#REF!</v>
      </c>
      <c r="BG205" s="1" t="e">
        <f>BF205/VLOOKUP(A205,'[60]geoMap (57)'!$A:$B,2,0)*VLOOKUP(A205,'[60]geoMap (57)'!$A:$C,3,0)</f>
        <v>#REF!</v>
      </c>
      <c r="BH205" s="4" t="e">
        <f>BG205/VLOOKUP(A205,'[61]geoMap (58)'!$A:$B,2,0)*VLOOKUP(A205,'[61]geoMap (58)'!$A:$C,3,0)</f>
        <v>#REF!</v>
      </c>
      <c r="BI205" s="1" t="e">
        <f>BH205/VLOOKUP(A205,'[62]geoMap (59)'!$A:$B,2,0)*VLOOKUP(A205,'[62]geoMap (59)'!$A:$C,3,0)</f>
        <v>#REF!</v>
      </c>
      <c r="BJ205" s="4" t="e">
        <f>BI205/VLOOKUP(A205,'[63]geoMap (60)'!$A:$B,2,0)*VLOOKUP(A205,'[63]geoMap (60)'!$A:$C,3,0)</f>
        <v>#REF!</v>
      </c>
      <c r="BK205" s="1" t="e">
        <f>BJ205/VLOOKUP(A205,'[64]geoMap (61)'!$A:$B,2,0)*VLOOKUP(A205,'[64]geoMap (61)'!$A:$C,3,0)</f>
        <v>#REF!</v>
      </c>
      <c r="BL205" s="4" t="e">
        <f>BK205/VLOOKUP(A205,'[65]geoMap (62)'!$A:$B,2,0)*VLOOKUP(A205,'[65]geoMap (62)'!$A:$C,3,0)</f>
        <v>#REF!</v>
      </c>
      <c r="BM205" s="1" t="e">
        <f>BL205/VLOOKUP(A205,'[66]geoMap (63)'!$A:$B,2,0)*VLOOKUP(A205,'[66]geoMap (63)'!$A:$C,3,0)</f>
        <v>#REF!</v>
      </c>
      <c r="BN205" s="4" t="e">
        <f>BM205/VLOOKUP(A205,'[67]geoMap (64)'!$A:$B,2,0)*VLOOKUP(A205,'[67]geoMap (64)'!$A:$C,3,0)</f>
        <v>#REF!</v>
      </c>
      <c r="BO205" s="1" t="e">
        <f>BN205/VLOOKUP(A205,'[68]geoMap (65)'!$A:$B,2,0)*VLOOKUP(A205,'[68]geoMap (65)'!$A:$C,3,0)</f>
        <v>#REF!</v>
      </c>
      <c r="BP205" s="4" t="e">
        <f>BO205/VLOOKUP(A205,'[69]geoMap (66)'!$A:$B,2,0)*VLOOKUP(A205,'[69]geoMap (66)'!$A:$C,3,0)</f>
        <v>#REF!</v>
      </c>
    </row>
    <row r="206" spans="1:68" x14ac:dyDescent="0.2">
      <c r="A206" s="1" t="s">
        <v>208</v>
      </c>
      <c r="B206" s="1" t="e">
        <f>VLOOKUP(A206,[3]geoMap!$A:$B,2,0)*Notes!$C$6</f>
        <v>#REF!</v>
      </c>
      <c r="C206" s="1" t="e">
        <f>B206/VLOOKUP(A206,'[4]geoMap (1)'!$A:$B,2,0)*VLOOKUP(A206,'[4]geoMap (1)'!$A:$C,3,0)</f>
        <v>#REF!</v>
      </c>
      <c r="D206" s="1" t="e">
        <f>C206/VLOOKUP(A206,'[5]geoMap (2)'!$A:$B,2,0)*VLOOKUP(A206,'[5]geoMap (2)'!$A:$C,3,0)</f>
        <v>#REF!</v>
      </c>
      <c r="E206" s="1" t="e">
        <f>D206/VLOOKUP(A206,'[6]geoMap (3)'!$A:$B,2,0)*VLOOKUP(A206,'[6]geoMap (3)'!$A:$C,3,0)</f>
        <v>#REF!</v>
      </c>
      <c r="F206" s="1" t="e">
        <f>E206/VLOOKUP(A206,'[7]geoMap (4)'!$A:$B,2,0)*VLOOKUP(A206,'[7]geoMap (4)'!$A:$C,3,0)</f>
        <v>#REF!</v>
      </c>
      <c r="G206" s="1" t="e">
        <f>F206/VLOOKUP(A206,'[8]geoMap (5)'!$A:$B,2,0)*VLOOKUP(A206,'[8]geoMap (5)'!$A:$C,3,0)</f>
        <v>#REF!</v>
      </c>
      <c r="H206" s="1" t="e">
        <f>G206/VLOOKUP(A206,'[9]geoMap (6)'!$A:$B,2,0)*VLOOKUP(A206,'[9]geoMap (6)'!$A:$C,3,0)</f>
        <v>#REF!</v>
      </c>
      <c r="I206" s="1" t="e">
        <f>H206/VLOOKUP(A206,'[10]geoMap (7)'!$A:$B,2,0)*VLOOKUP(A206,'[10]geoMap (7)'!$A:$C,3,0)</f>
        <v>#REF!</v>
      </c>
      <c r="J206" s="1" t="e">
        <f>I206/VLOOKUP(A206,'[11]geoMap (8)'!$A:$B,2,0)*VLOOKUP(A206,'[11]geoMap (8)'!$A:$C,3,0)</f>
        <v>#REF!</v>
      </c>
      <c r="K206" s="1" t="e">
        <f>J206/VLOOKUP(A206,'[12]geoMap (9)'!$A:$B,2,0)*VLOOKUP(A206,'[12]geoMap (9)'!$A:$C,3,0)</f>
        <v>#REF!</v>
      </c>
      <c r="L206" s="1" t="e">
        <f>K206/VLOOKUP(A206,'[13]geoMap (10)'!$A:$B,2,0)*VLOOKUP(A206,'[13]geoMap (10)'!$A:$C,3,0)</f>
        <v>#REF!</v>
      </c>
      <c r="M206" s="1" t="e">
        <f>L206/VLOOKUP(A206,'[14]geoMap (11)'!$A:$B,2,0)*VLOOKUP(A206,'[14]geoMap (11)'!$A:$C,3,0)</f>
        <v>#REF!</v>
      </c>
      <c r="N206" s="1" t="e">
        <f>M206/VLOOKUP(A206,'[15]geoMap (12)'!$A:$B,2,0)*VLOOKUP(A206,'[15]geoMap (12)'!$A:$C,3,0)</f>
        <v>#REF!</v>
      </c>
      <c r="O206" s="1" t="e">
        <f>N206/VLOOKUP(A206,'[16]geoMap (13)'!$A:$B,2,0)*VLOOKUP(A206,'[16]geoMap (13)'!$A:$C,3,0)</f>
        <v>#REF!</v>
      </c>
      <c r="P206" s="1" t="e">
        <f>O206/VLOOKUP(A206,'[17]geoMap (14)'!$A:$B,2,0)*VLOOKUP(A206,'[17]geoMap (14)'!$A:$C,3,0)</f>
        <v>#REF!</v>
      </c>
      <c r="Q206" s="1" t="e">
        <f>P206/VLOOKUP(A206,'[18]geoMap (15)'!$A:$B,2,0)*VLOOKUP(A206,'[18]geoMap (15)'!$A:$C,3,0)</f>
        <v>#REF!</v>
      </c>
      <c r="R206" s="1" t="e">
        <f>Q206/VLOOKUP(A206,'[19]geoMap (16)'!$A:$B,2,0)*VLOOKUP(A206,'[19]geoMap (16)'!$A:$C,3,0)</f>
        <v>#REF!</v>
      </c>
      <c r="S206" s="1" t="e">
        <f>R206/VLOOKUP(A206,'[20]geoMap (17)'!$A:$B,2,0)*VLOOKUP(A206,'[20]geoMap (17)'!$A:$C,3,0)</f>
        <v>#REF!</v>
      </c>
      <c r="T206" s="1" t="e">
        <f>S206/VLOOKUP(A206,'[21]geoMap (18)'!$A:$B,2,0)*VLOOKUP(A206,'[21]geoMap (18)'!$A:$C,3,0)</f>
        <v>#REF!</v>
      </c>
      <c r="U206" s="1" t="e">
        <f>T206/VLOOKUP(A206,'[22]geoMap (19)'!$A:$B,2,0)*VLOOKUP(A206,'[22]geoMap (19)'!$A:$C,3,0)</f>
        <v>#REF!</v>
      </c>
      <c r="V206" s="1" t="e">
        <f>U206/VLOOKUP(A206,'[23]geoMap (20)'!$A:$B,2,0)*VLOOKUP(A206,'[23]geoMap (20)'!$A:$C,3,0)</f>
        <v>#REF!</v>
      </c>
      <c r="W206" s="1" t="e">
        <f>V206/VLOOKUP(A206,'[24]geoMap (21)'!$A:$B,2,0)*VLOOKUP(A206,'[24]geoMap (21)'!$A:$C,3,0)</f>
        <v>#REF!</v>
      </c>
      <c r="X206" s="1" t="e">
        <f>W206/VLOOKUP(A206,'[25]geoMap (22)'!$A:$B,2,0)*VLOOKUP(A206,'[25]geoMap (22)'!$A:$C,3,0)</f>
        <v>#REF!</v>
      </c>
      <c r="Y206" s="1" t="e">
        <f>X206/VLOOKUP(A206,'[26]geoMap (23)'!$A:$B,2,0)*VLOOKUP(A206,'[26]geoMap (23)'!$A:$C,3,0)</f>
        <v>#REF!</v>
      </c>
      <c r="Z206" s="1" t="e">
        <f>Y206/VLOOKUP(A206,'[27]geoMap (24)'!$A:$B,2,0)*VLOOKUP(A206,'[27]geoMap (24)'!$A:$C,3,0)</f>
        <v>#REF!</v>
      </c>
      <c r="AA206" s="1" t="e">
        <f>Z206/VLOOKUP(A206,'[28]geoMap (25)'!$A:$B,2,0)*VLOOKUP(A206,'[28]geoMap (25)'!$A:$C,3,0)</f>
        <v>#REF!</v>
      </c>
      <c r="AB206" s="1" t="e">
        <f>AA206*VLOOKUP(A206,'[29]geoMap (26)'!$A:$B,2,0)*VLOOKUP(A206,'[29]geoMap (26)'!$A:$C,3,0)</f>
        <v>#REF!</v>
      </c>
      <c r="AC206" s="1" t="e">
        <f>AB206/VLOOKUP(A206,'[30]geoMap (27)'!$A:$B,2,0)*VLOOKUP(A206,'[30]geoMap (27)'!$A:$C,3,0)</f>
        <v>#REF!</v>
      </c>
      <c r="AD206" s="1" t="e">
        <f>AC206/VLOOKUP(A206,'[31]geoMap (28)'!$A:$B,2,0)*VLOOKUP(A206,'[31]geoMap (28)'!$A:$C,3,0)</f>
        <v>#REF!</v>
      </c>
      <c r="AE206" s="1" t="e">
        <f>AD206/VLOOKUP(A206,'[32]geoMap (29)'!$A:$B,2,0)*VLOOKUP(A206,'[32]geoMap (29)'!$A:$C,3,0)</f>
        <v>#REF!</v>
      </c>
      <c r="AF206" s="1" t="e">
        <f>AE206/VLOOKUP(A206,'[33]geoMap (30)'!$A:$B,2,0)*VLOOKUP(A206,'[33]geoMap (30)'!$A:$C,3,0)</f>
        <v>#REF!</v>
      </c>
      <c r="AG206" s="1" t="e">
        <f>AF206/VLOOKUP(A206,'[34]geoMap (31)'!$A:$B,2,0)*VLOOKUP(A206,'[34]geoMap (31)'!$A:$C,3,0)</f>
        <v>#REF!</v>
      </c>
      <c r="AH206" s="1" t="e">
        <f>AG206/VLOOKUP(A206,'[35]geoMap (32)'!$A:$B,2,0)*VLOOKUP(A206,'[35]geoMap (32)'!$A:$C,3,0)</f>
        <v>#REF!</v>
      </c>
      <c r="AI206" s="1" t="e">
        <f>AH206/VLOOKUP(A206,'[36]geoMap (33)'!$A:$B,2,0)*VLOOKUP(A206,'[36]geoMap (33)'!$A:$C,3,0)</f>
        <v>#REF!</v>
      </c>
      <c r="AJ206" s="1" t="e">
        <f>AI206/VLOOKUP(A206,'[37]geoMap (34)'!$A:$B,2,0)*VLOOKUP(A206,'[37]geoMap (34)'!$A:$C,3,0)</f>
        <v>#REF!</v>
      </c>
      <c r="AK206" s="1" t="e">
        <f>AJ206/VLOOKUP(A206,'[38]geoMap (35)'!$A:$B,2,0)*VLOOKUP(A206,'[38]geoMap (35)'!$A:$C,3,0)</f>
        <v>#REF!</v>
      </c>
      <c r="AL206" s="1" t="e">
        <f>AK206/VLOOKUP(A206,'[39]geoMap (36)'!$A:$B,2,0)*VLOOKUP(A206,'[39]geoMap (36)'!$A:$C,3,0)</f>
        <v>#REF!</v>
      </c>
      <c r="AM206" s="1" t="e">
        <f>AL206/VLOOKUP(A206,'[40]geoMap (37)'!$A:$B,2,0)*VLOOKUP(A206,'[40]geoMap (37)'!$A:$C,3,0)</f>
        <v>#REF!</v>
      </c>
      <c r="AN206" s="1" t="e">
        <f>AM206/VLOOKUP(A206,'[41]geoMap (38)'!$A:$B,2,0)*VLOOKUP(A206,'[41]geoMap (38)'!$A:$C,3,0)</f>
        <v>#REF!</v>
      </c>
      <c r="AO206" s="1" t="e">
        <f>AN206/VLOOKUP(A206,'[42]geoMap (39)'!$A:$B,2,0)*VLOOKUP(A206,'[42]geoMap (39)'!$A:$C,3,0)</f>
        <v>#REF!</v>
      </c>
      <c r="AP206" s="1" t="e">
        <f>AO206/VLOOKUP(A206,'[43]geoMap (40)'!$A:$B,2,0)*VLOOKUP(A206,'[43]geoMap (40)'!$A:$C,3,0)</f>
        <v>#REF!</v>
      </c>
      <c r="AQ206" s="1" t="e">
        <f>AP206/VLOOKUP(A206,'[44]geoMap (41)'!$A:$B,2,0)*VLOOKUP(A206,'[44]geoMap (41)'!$A:$C,3,0)</f>
        <v>#REF!</v>
      </c>
      <c r="AR206" s="1" t="e">
        <f>AQ206/VLOOKUP(A206,'[45]geoMap (42)'!$A:$B,2,0)*VLOOKUP(A206,'[45]geoMap (42)'!$A:$C,3,0)</f>
        <v>#REF!</v>
      </c>
      <c r="AS206" s="1" t="e">
        <f>AR206/VLOOKUP(A206,'[46]geoMap (43)'!$A:$B,2,0)*VLOOKUP(A206,'[46]geoMap (43)'!$A:$C,3,0)</f>
        <v>#REF!</v>
      </c>
      <c r="AT206" s="1" t="e">
        <f>AS206/VLOOKUP(A206,'[47]geoMap (44)'!$A:$B,2,0)*VLOOKUP(A206,'[47]geoMap (44)'!$A:$C,3,0)</f>
        <v>#REF!</v>
      </c>
      <c r="AU206" s="1" t="e">
        <f>AT206/VLOOKUP(A206,'[48]geoMap (45)'!$A:$B,2,0)*VLOOKUP(A206,'[48]geoMap (45)'!$A:$C,3,0)</f>
        <v>#REF!</v>
      </c>
      <c r="AV206" s="1" t="e">
        <f>AU206/VLOOKUP(A206,'[49]geoMap (46)'!$A:$B,2,0)*VLOOKUP(A206,'[49]geoMap (46)'!$A:$C,3,0)</f>
        <v>#REF!</v>
      </c>
      <c r="AW206" s="1" t="e">
        <f>AV206/VLOOKUP(A206,'[50]geoMap (47)'!$A:$B,2,0)*VLOOKUP(A206,'[50]geoMap (47)'!$A:$C,3,0)</f>
        <v>#REF!</v>
      </c>
      <c r="AX206" s="4" t="e">
        <f>AW206/VLOOKUP(A206,'[51]geoMap (48)'!$A:$B,2,0)*VLOOKUP(A206,'[51]geoMap (48)'!$A:$C,3,0)</f>
        <v>#REF!</v>
      </c>
      <c r="AY206" s="1" t="e">
        <f>AX206/VLOOKUP(A206,'[52]geoMap (49)'!$A:$B,2,0)*VLOOKUP(A206,'[52]geoMap (49)'!$A:$C,3,0)</f>
        <v>#REF!</v>
      </c>
      <c r="AZ206" s="4" t="e">
        <f>AY206/VLOOKUP(A206,'[53]geoMap (50)'!$A:$B,2,0)*VLOOKUP(A206,'[53]geoMap (50)'!$A:$C,3,0)</f>
        <v>#REF!</v>
      </c>
      <c r="BA206" s="1" t="e">
        <f>AZ206/VLOOKUP(A206,'[54]geoMap (51)'!$A:$B,2,0)*VLOOKUP(A206,'[54]geoMap (51)'!$A:$C,3,0)</f>
        <v>#REF!</v>
      </c>
      <c r="BB206" s="4" t="e">
        <f>BA206/VLOOKUP(A206,'[55]geoMap (52)'!$A:$B,2,0)*VLOOKUP(A206,'[55]geoMap (52)'!$A:$C,3,0)</f>
        <v>#REF!</v>
      </c>
      <c r="BC206" s="1" t="e">
        <f>BB206/VLOOKUP(A206,'[56]geoMap (53)'!$A:$B,2,0)*VLOOKUP(A206,'[56]geoMap (53)'!$A:$C,3,0)</f>
        <v>#REF!</v>
      </c>
      <c r="BD206" s="4" t="e">
        <f>BC206/VLOOKUP(A206,'[57]geoMap (54)'!$A:$B,2,0)*VLOOKUP(A206,'[57]geoMap (54)'!$A:$C,3,0)</f>
        <v>#REF!</v>
      </c>
      <c r="BE206" s="1" t="e">
        <f>BD206/VLOOKUP(A206,'[58]geoMap (55)'!$A:$B,2,0)*VLOOKUP(A206,'[58]geoMap (55)'!$A:$C,3,0)</f>
        <v>#REF!</v>
      </c>
      <c r="BF206" s="4" t="e">
        <f>BE206/VLOOKUP(A206,'[59]geoMap (56)'!$A:$B,2,0)*VLOOKUP(A206,'[59]geoMap (56)'!$A:$C,3,0)</f>
        <v>#REF!</v>
      </c>
      <c r="BG206" s="1" t="e">
        <f>BF206/VLOOKUP(A206,'[60]geoMap (57)'!$A:$B,2,0)*VLOOKUP(A206,'[60]geoMap (57)'!$A:$C,3,0)</f>
        <v>#REF!</v>
      </c>
      <c r="BH206" s="4" t="e">
        <f>BG206/VLOOKUP(A206,'[61]geoMap (58)'!$A:$B,2,0)*VLOOKUP(A206,'[61]geoMap (58)'!$A:$C,3,0)</f>
        <v>#REF!</v>
      </c>
      <c r="BI206" s="1" t="e">
        <f>BH206/VLOOKUP(A206,'[62]geoMap (59)'!$A:$B,2,0)*VLOOKUP(A206,'[62]geoMap (59)'!$A:$C,3,0)</f>
        <v>#REF!</v>
      </c>
      <c r="BJ206" s="4" t="e">
        <f>BI206/VLOOKUP(A206,'[63]geoMap (60)'!$A:$B,2,0)*VLOOKUP(A206,'[63]geoMap (60)'!$A:$C,3,0)</f>
        <v>#REF!</v>
      </c>
      <c r="BK206" s="1" t="e">
        <f>BJ206/VLOOKUP(A206,'[64]geoMap (61)'!$A:$B,2,0)*VLOOKUP(A206,'[64]geoMap (61)'!$A:$C,3,0)</f>
        <v>#REF!</v>
      </c>
      <c r="BL206" s="4" t="e">
        <f>BK206/VLOOKUP(A206,'[65]geoMap (62)'!$A:$B,2,0)*VLOOKUP(A206,'[65]geoMap (62)'!$A:$C,3,0)</f>
        <v>#REF!</v>
      </c>
      <c r="BM206" s="1" t="e">
        <f>BL206/VLOOKUP(A206,'[66]geoMap (63)'!$A:$B,2,0)*VLOOKUP(A206,'[66]geoMap (63)'!$A:$C,3,0)</f>
        <v>#REF!</v>
      </c>
      <c r="BN206" s="4" t="e">
        <f>BM206/VLOOKUP(A206,'[67]geoMap (64)'!$A:$B,2,0)*VLOOKUP(A206,'[67]geoMap (64)'!$A:$C,3,0)</f>
        <v>#REF!</v>
      </c>
      <c r="BO206" s="1" t="e">
        <f>BN206/VLOOKUP(A206,'[68]geoMap (65)'!$A:$B,2,0)*VLOOKUP(A206,'[68]geoMap (65)'!$A:$C,3,0)</f>
        <v>#REF!</v>
      </c>
      <c r="BP206" s="4" t="e">
        <f>BO206/VLOOKUP(A206,'[69]geoMap (66)'!$A:$B,2,0)*VLOOKUP(A206,'[69]geoMap (66)'!$A:$C,3,0)</f>
        <v>#REF!</v>
      </c>
    </row>
    <row r="207" spans="1:68" x14ac:dyDescent="0.2">
      <c r="A207" s="1" t="s">
        <v>209</v>
      </c>
      <c r="B207" s="1" t="e">
        <f>VLOOKUP(A207,[3]geoMap!$A:$B,2,0)*Notes!$C$6</f>
        <v>#REF!</v>
      </c>
      <c r="C207" s="1" t="e">
        <f>B207/VLOOKUP(A207,'[4]geoMap (1)'!$A:$B,2,0)*VLOOKUP(A207,'[4]geoMap (1)'!$A:$C,3,0)</f>
        <v>#REF!</v>
      </c>
      <c r="D207" s="1" t="e">
        <f>C207/VLOOKUP(A207,'[5]geoMap (2)'!$A:$B,2,0)*VLOOKUP(A207,'[5]geoMap (2)'!$A:$C,3,0)</f>
        <v>#REF!</v>
      </c>
      <c r="E207" s="1" t="e">
        <f>D207/VLOOKUP(A207,'[6]geoMap (3)'!$A:$B,2,0)*VLOOKUP(A207,'[6]geoMap (3)'!$A:$C,3,0)</f>
        <v>#REF!</v>
      </c>
      <c r="F207" s="1" t="e">
        <f>E207/VLOOKUP(A207,'[7]geoMap (4)'!$A:$B,2,0)*VLOOKUP(A207,'[7]geoMap (4)'!$A:$C,3,0)</f>
        <v>#REF!</v>
      </c>
      <c r="G207" s="1" t="e">
        <f>F207/VLOOKUP(A207,'[8]geoMap (5)'!$A:$B,2,0)*VLOOKUP(A207,'[8]geoMap (5)'!$A:$C,3,0)</f>
        <v>#REF!</v>
      </c>
      <c r="H207" s="1" t="e">
        <f>G207/VLOOKUP(A207,'[9]geoMap (6)'!$A:$B,2,0)*VLOOKUP(A207,'[9]geoMap (6)'!$A:$C,3,0)</f>
        <v>#REF!</v>
      </c>
      <c r="I207" s="1" t="e">
        <f>H207/VLOOKUP(A207,'[10]geoMap (7)'!$A:$B,2,0)*VLOOKUP(A207,'[10]geoMap (7)'!$A:$C,3,0)</f>
        <v>#REF!</v>
      </c>
      <c r="J207" s="1" t="e">
        <f>I207/VLOOKUP(A207,'[11]geoMap (8)'!$A:$B,2,0)*VLOOKUP(A207,'[11]geoMap (8)'!$A:$C,3,0)</f>
        <v>#REF!</v>
      </c>
      <c r="K207" s="1" t="e">
        <f>J207/VLOOKUP(A207,'[12]geoMap (9)'!$A:$B,2,0)*VLOOKUP(A207,'[12]geoMap (9)'!$A:$C,3,0)</f>
        <v>#REF!</v>
      </c>
      <c r="L207" s="1" t="e">
        <f>K207/VLOOKUP(A207,'[13]geoMap (10)'!$A:$B,2,0)*VLOOKUP(A207,'[13]geoMap (10)'!$A:$C,3,0)</f>
        <v>#REF!</v>
      </c>
      <c r="M207" s="1" t="e">
        <f>L207/VLOOKUP(A207,'[14]geoMap (11)'!$A:$B,2,0)*VLOOKUP(A207,'[14]geoMap (11)'!$A:$C,3,0)</f>
        <v>#REF!</v>
      </c>
      <c r="N207" s="1" t="e">
        <f>M207/VLOOKUP(A207,'[15]geoMap (12)'!$A:$B,2,0)*VLOOKUP(A207,'[15]geoMap (12)'!$A:$C,3,0)</f>
        <v>#REF!</v>
      </c>
      <c r="O207" s="1" t="e">
        <f>N207/VLOOKUP(A207,'[16]geoMap (13)'!$A:$B,2,0)*VLOOKUP(A207,'[16]geoMap (13)'!$A:$C,3,0)</f>
        <v>#REF!</v>
      </c>
      <c r="P207" s="1" t="e">
        <f>O207/VLOOKUP(A207,'[17]geoMap (14)'!$A:$B,2,0)*VLOOKUP(A207,'[17]geoMap (14)'!$A:$C,3,0)</f>
        <v>#REF!</v>
      </c>
      <c r="Q207" s="1" t="e">
        <f>P207/VLOOKUP(A207,'[18]geoMap (15)'!$A:$B,2,0)*VLOOKUP(A207,'[18]geoMap (15)'!$A:$C,3,0)</f>
        <v>#REF!</v>
      </c>
      <c r="R207" s="1" t="e">
        <f>Q207/VLOOKUP(A207,'[19]geoMap (16)'!$A:$B,2,0)*VLOOKUP(A207,'[19]geoMap (16)'!$A:$C,3,0)</f>
        <v>#REF!</v>
      </c>
      <c r="S207" s="1" t="e">
        <f>R207/VLOOKUP(A207,'[20]geoMap (17)'!$A:$B,2,0)*VLOOKUP(A207,'[20]geoMap (17)'!$A:$C,3,0)</f>
        <v>#REF!</v>
      </c>
      <c r="T207" s="1" t="e">
        <f>S207/VLOOKUP(A207,'[21]geoMap (18)'!$A:$B,2,0)*VLOOKUP(A207,'[21]geoMap (18)'!$A:$C,3,0)</f>
        <v>#REF!</v>
      </c>
      <c r="U207" s="1" t="e">
        <f>T207/VLOOKUP(A207,'[22]geoMap (19)'!$A:$B,2,0)*VLOOKUP(A207,'[22]geoMap (19)'!$A:$C,3,0)</f>
        <v>#REF!</v>
      </c>
      <c r="V207" s="1" t="e">
        <f>U207/VLOOKUP(A207,'[23]geoMap (20)'!$A:$B,2,0)*VLOOKUP(A207,'[23]geoMap (20)'!$A:$C,3,0)</f>
        <v>#REF!</v>
      </c>
      <c r="W207" s="1" t="e">
        <f>V207/VLOOKUP(A207,'[24]geoMap (21)'!$A:$B,2,0)*VLOOKUP(A207,'[24]geoMap (21)'!$A:$C,3,0)</f>
        <v>#REF!</v>
      </c>
      <c r="X207" s="1" t="e">
        <f>W207/VLOOKUP(A207,'[25]geoMap (22)'!$A:$B,2,0)*VLOOKUP(A207,'[25]geoMap (22)'!$A:$C,3,0)</f>
        <v>#REF!</v>
      </c>
      <c r="Y207" s="1" t="e">
        <f>X207/VLOOKUP(A207,'[26]geoMap (23)'!$A:$B,2,0)*VLOOKUP(A207,'[26]geoMap (23)'!$A:$C,3,0)</f>
        <v>#REF!</v>
      </c>
      <c r="Z207" s="1" t="e">
        <f>Y207/VLOOKUP(A207,'[27]geoMap (24)'!$A:$B,2,0)*VLOOKUP(A207,'[27]geoMap (24)'!$A:$C,3,0)</f>
        <v>#REF!</v>
      </c>
      <c r="AA207" s="1" t="e">
        <f>Z207/VLOOKUP(A207,'[28]geoMap (25)'!$A:$B,2,0)*VLOOKUP(A207,'[28]geoMap (25)'!$A:$C,3,0)</f>
        <v>#REF!</v>
      </c>
      <c r="AB207" s="1" t="e">
        <f>AA207*VLOOKUP(A207,'[29]geoMap (26)'!$A:$B,2,0)*VLOOKUP(A207,'[29]geoMap (26)'!$A:$C,3,0)</f>
        <v>#REF!</v>
      </c>
      <c r="AC207" s="1" t="e">
        <f>AB207/VLOOKUP(A207,'[30]geoMap (27)'!$A:$B,2,0)*VLOOKUP(A207,'[30]geoMap (27)'!$A:$C,3,0)</f>
        <v>#REF!</v>
      </c>
      <c r="AD207" s="1" t="e">
        <f>AC207/VLOOKUP(A207,'[31]geoMap (28)'!$A:$B,2,0)*VLOOKUP(A207,'[31]geoMap (28)'!$A:$C,3,0)</f>
        <v>#REF!</v>
      </c>
      <c r="AE207" s="1" t="e">
        <f>AD207/VLOOKUP(A207,'[32]geoMap (29)'!$A:$B,2,0)*VLOOKUP(A207,'[32]geoMap (29)'!$A:$C,3,0)</f>
        <v>#REF!</v>
      </c>
      <c r="AF207" s="1" t="e">
        <f>AE207/VLOOKUP(A207,'[33]geoMap (30)'!$A:$B,2,0)*VLOOKUP(A207,'[33]geoMap (30)'!$A:$C,3,0)</f>
        <v>#REF!</v>
      </c>
      <c r="AG207" s="1" t="e">
        <f>AF207/VLOOKUP(A207,'[34]geoMap (31)'!$A:$B,2,0)*VLOOKUP(A207,'[34]geoMap (31)'!$A:$C,3,0)</f>
        <v>#REF!</v>
      </c>
      <c r="AH207" s="1" t="e">
        <f>AG207/VLOOKUP(A207,'[35]geoMap (32)'!$A:$B,2,0)*VLOOKUP(A207,'[35]geoMap (32)'!$A:$C,3,0)</f>
        <v>#REF!</v>
      </c>
      <c r="AI207" s="1" t="e">
        <f>AH207/VLOOKUP(A207,'[36]geoMap (33)'!$A:$B,2,0)*VLOOKUP(A207,'[36]geoMap (33)'!$A:$C,3,0)</f>
        <v>#REF!</v>
      </c>
      <c r="AJ207" s="1" t="e">
        <f>AI207/VLOOKUP(A207,'[37]geoMap (34)'!$A:$B,2,0)*VLOOKUP(A207,'[37]geoMap (34)'!$A:$C,3,0)</f>
        <v>#REF!</v>
      </c>
      <c r="AK207" s="1" t="e">
        <f>AJ207/VLOOKUP(A207,'[38]geoMap (35)'!$A:$B,2,0)*VLOOKUP(A207,'[38]geoMap (35)'!$A:$C,3,0)</f>
        <v>#REF!</v>
      </c>
      <c r="AL207" s="1" t="e">
        <f>AK207/VLOOKUP(A207,'[39]geoMap (36)'!$A:$B,2,0)*VLOOKUP(A207,'[39]geoMap (36)'!$A:$C,3,0)</f>
        <v>#REF!</v>
      </c>
      <c r="AM207" s="1" t="e">
        <f>AL207/VLOOKUP(A207,'[40]geoMap (37)'!$A:$B,2,0)*VLOOKUP(A207,'[40]geoMap (37)'!$A:$C,3,0)</f>
        <v>#REF!</v>
      </c>
      <c r="AN207" s="1" t="e">
        <f>AM207/VLOOKUP(A207,'[41]geoMap (38)'!$A:$B,2,0)*VLOOKUP(A207,'[41]geoMap (38)'!$A:$C,3,0)</f>
        <v>#REF!</v>
      </c>
      <c r="AO207" s="1" t="e">
        <f>AN207/VLOOKUP(A207,'[42]geoMap (39)'!$A:$B,2,0)*VLOOKUP(A207,'[42]geoMap (39)'!$A:$C,3,0)</f>
        <v>#REF!</v>
      </c>
      <c r="AP207" s="1" t="e">
        <f>AO207/VLOOKUP(A207,'[43]geoMap (40)'!$A:$B,2,0)*VLOOKUP(A207,'[43]geoMap (40)'!$A:$C,3,0)</f>
        <v>#REF!</v>
      </c>
      <c r="AQ207" s="1" t="e">
        <f>AP207/VLOOKUP(A207,'[44]geoMap (41)'!$A:$B,2,0)*VLOOKUP(A207,'[44]geoMap (41)'!$A:$C,3,0)</f>
        <v>#REF!</v>
      </c>
      <c r="AR207" s="1" t="e">
        <f>AQ207/VLOOKUP(A207,'[45]geoMap (42)'!$A:$B,2,0)*VLOOKUP(A207,'[45]geoMap (42)'!$A:$C,3,0)</f>
        <v>#REF!</v>
      </c>
      <c r="AS207" s="1" t="e">
        <f>AR207/VLOOKUP(A207,'[46]geoMap (43)'!$A:$B,2,0)*VLOOKUP(A207,'[46]geoMap (43)'!$A:$C,3,0)</f>
        <v>#REF!</v>
      </c>
      <c r="AT207" s="1" t="e">
        <f>AS207/VLOOKUP(A207,'[47]geoMap (44)'!$A:$B,2,0)*VLOOKUP(A207,'[47]geoMap (44)'!$A:$C,3,0)</f>
        <v>#REF!</v>
      </c>
      <c r="AU207" s="1" t="e">
        <f>AT207/VLOOKUP(A207,'[48]geoMap (45)'!$A:$B,2,0)*VLOOKUP(A207,'[48]geoMap (45)'!$A:$C,3,0)</f>
        <v>#REF!</v>
      </c>
      <c r="AV207" s="1" t="e">
        <f>AU207/VLOOKUP(A207,'[49]geoMap (46)'!$A:$B,2,0)*VLOOKUP(A207,'[49]geoMap (46)'!$A:$C,3,0)</f>
        <v>#REF!</v>
      </c>
      <c r="AW207" s="1" t="e">
        <f>AV207/VLOOKUP(A207,'[50]geoMap (47)'!$A:$B,2,0)*VLOOKUP(A207,'[50]geoMap (47)'!$A:$C,3,0)</f>
        <v>#REF!</v>
      </c>
      <c r="AX207" s="4" t="e">
        <f>AW207/VLOOKUP(A207,'[51]geoMap (48)'!$A:$B,2,0)*VLOOKUP(A207,'[51]geoMap (48)'!$A:$C,3,0)</f>
        <v>#REF!</v>
      </c>
      <c r="AY207" s="1" t="e">
        <f>AX207/VLOOKUP(A207,'[52]geoMap (49)'!$A:$B,2,0)*VLOOKUP(A207,'[52]geoMap (49)'!$A:$C,3,0)</f>
        <v>#REF!</v>
      </c>
      <c r="AZ207" s="4" t="e">
        <f>AY207/VLOOKUP(A207,'[53]geoMap (50)'!$A:$B,2,0)*VLOOKUP(A207,'[53]geoMap (50)'!$A:$C,3,0)</f>
        <v>#REF!</v>
      </c>
      <c r="BA207" s="1" t="e">
        <f>AZ207/VLOOKUP(A207,'[54]geoMap (51)'!$A:$B,2,0)*VLOOKUP(A207,'[54]geoMap (51)'!$A:$C,3,0)</f>
        <v>#REF!</v>
      </c>
      <c r="BB207" s="4" t="e">
        <f>BA207/VLOOKUP(A207,'[55]geoMap (52)'!$A:$B,2,0)*VLOOKUP(A207,'[55]geoMap (52)'!$A:$C,3,0)</f>
        <v>#REF!</v>
      </c>
      <c r="BC207" s="1" t="e">
        <f>BB207/VLOOKUP(A207,'[56]geoMap (53)'!$A:$B,2,0)*VLOOKUP(A207,'[56]geoMap (53)'!$A:$C,3,0)</f>
        <v>#REF!</v>
      </c>
      <c r="BD207" s="4" t="e">
        <f>BC207/VLOOKUP(A207,'[57]geoMap (54)'!$A:$B,2,0)*VLOOKUP(A207,'[57]geoMap (54)'!$A:$C,3,0)</f>
        <v>#REF!</v>
      </c>
      <c r="BE207" s="1" t="e">
        <f>BD207/VLOOKUP(A207,'[58]geoMap (55)'!$A:$B,2,0)*VLOOKUP(A207,'[58]geoMap (55)'!$A:$C,3,0)</f>
        <v>#REF!</v>
      </c>
      <c r="BF207" s="4" t="e">
        <f>BE207/VLOOKUP(A207,'[59]geoMap (56)'!$A:$B,2,0)*VLOOKUP(A207,'[59]geoMap (56)'!$A:$C,3,0)</f>
        <v>#REF!</v>
      </c>
      <c r="BG207" s="1" t="e">
        <f>BF207/VLOOKUP(A207,'[60]geoMap (57)'!$A:$B,2,0)*VLOOKUP(A207,'[60]geoMap (57)'!$A:$C,3,0)</f>
        <v>#REF!</v>
      </c>
      <c r="BH207" s="4" t="e">
        <f>BG207/VLOOKUP(A207,'[61]geoMap (58)'!$A:$B,2,0)*VLOOKUP(A207,'[61]geoMap (58)'!$A:$C,3,0)</f>
        <v>#REF!</v>
      </c>
      <c r="BI207" s="1" t="e">
        <f>BH207/VLOOKUP(A207,'[62]geoMap (59)'!$A:$B,2,0)*VLOOKUP(A207,'[62]geoMap (59)'!$A:$C,3,0)</f>
        <v>#REF!</v>
      </c>
      <c r="BJ207" s="4" t="e">
        <f>BI207/VLOOKUP(A207,'[63]geoMap (60)'!$A:$B,2,0)*VLOOKUP(A207,'[63]geoMap (60)'!$A:$C,3,0)</f>
        <v>#REF!</v>
      </c>
      <c r="BK207" s="1" t="e">
        <f>BJ207/VLOOKUP(A207,'[64]geoMap (61)'!$A:$B,2,0)*VLOOKUP(A207,'[64]geoMap (61)'!$A:$C,3,0)</f>
        <v>#REF!</v>
      </c>
      <c r="BL207" s="4" t="e">
        <f>BK207/VLOOKUP(A207,'[65]geoMap (62)'!$A:$B,2,0)*VLOOKUP(A207,'[65]geoMap (62)'!$A:$C,3,0)</f>
        <v>#REF!</v>
      </c>
      <c r="BM207" s="1" t="e">
        <f>BL207/VLOOKUP(A207,'[66]geoMap (63)'!$A:$B,2,0)*VLOOKUP(A207,'[66]geoMap (63)'!$A:$C,3,0)</f>
        <v>#REF!</v>
      </c>
      <c r="BN207" s="4" t="e">
        <f>BM207/VLOOKUP(A207,'[67]geoMap (64)'!$A:$B,2,0)*VLOOKUP(A207,'[67]geoMap (64)'!$A:$C,3,0)</f>
        <v>#REF!</v>
      </c>
      <c r="BO207" s="1" t="e">
        <f>BN207/VLOOKUP(A207,'[68]geoMap (65)'!$A:$B,2,0)*VLOOKUP(A207,'[68]geoMap (65)'!$A:$C,3,0)</f>
        <v>#REF!</v>
      </c>
      <c r="BP207" s="4" t="e">
        <f>BO207/VLOOKUP(A207,'[69]geoMap (66)'!$A:$B,2,0)*VLOOKUP(A207,'[69]geoMap (66)'!$A:$C,3,0)</f>
        <v>#REF!</v>
      </c>
    </row>
    <row r="208" spans="1:68" x14ac:dyDescent="0.2">
      <c r="A208" s="1" t="s">
        <v>210</v>
      </c>
      <c r="B208" s="1" t="e">
        <f>VLOOKUP(A208,[3]geoMap!$A:$B,2,0)*Notes!$C$6</f>
        <v>#REF!</v>
      </c>
      <c r="C208" s="1" t="e">
        <f>B208/VLOOKUP(A208,'[4]geoMap (1)'!$A:$B,2,0)*VLOOKUP(A208,'[4]geoMap (1)'!$A:$C,3,0)</f>
        <v>#REF!</v>
      </c>
      <c r="D208" s="1" t="e">
        <f>C208/VLOOKUP(A208,'[5]geoMap (2)'!$A:$B,2,0)*VLOOKUP(A208,'[5]geoMap (2)'!$A:$C,3,0)</f>
        <v>#REF!</v>
      </c>
      <c r="E208" s="1" t="e">
        <f>D208/VLOOKUP(A208,'[6]geoMap (3)'!$A:$B,2,0)*VLOOKUP(A208,'[6]geoMap (3)'!$A:$C,3,0)</f>
        <v>#REF!</v>
      </c>
      <c r="F208" s="1" t="e">
        <f>E208/VLOOKUP(A208,'[7]geoMap (4)'!$A:$B,2,0)*VLOOKUP(A208,'[7]geoMap (4)'!$A:$C,3,0)</f>
        <v>#REF!</v>
      </c>
      <c r="G208" s="1" t="e">
        <f>F208/VLOOKUP(A208,'[8]geoMap (5)'!$A:$B,2,0)*VLOOKUP(A208,'[8]geoMap (5)'!$A:$C,3,0)</f>
        <v>#REF!</v>
      </c>
      <c r="H208" s="1" t="e">
        <f>G208/VLOOKUP(A208,'[9]geoMap (6)'!$A:$B,2,0)*VLOOKUP(A208,'[9]geoMap (6)'!$A:$C,3,0)</f>
        <v>#REF!</v>
      </c>
      <c r="I208" s="1" t="e">
        <f>H208/VLOOKUP(A208,'[10]geoMap (7)'!$A:$B,2,0)*VLOOKUP(A208,'[10]geoMap (7)'!$A:$C,3,0)</f>
        <v>#REF!</v>
      </c>
      <c r="J208" s="1" t="e">
        <f>I208/VLOOKUP(A208,'[11]geoMap (8)'!$A:$B,2,0)*VLOOKUP(A208,'[11]geoMap (8)'!$A:$C,3,0)</f>
        <v>#REF!</v>
      </c>
      <c r="K208" s="1" t="e">
        <f>J208/VLOOKUP(A208,'[12]geoMap (9)'!$A:$B,2,0)*VLOOKUP(A208,'[12]geoMap (9)'!$A:$C,3,0)</f>
        <v>#REF!</v>
      </c>
      <c r="L208" s="1" t="e">
        <f>K208/VLOOKUP(A208,'[13]geoMap (10)'!$A:$B,2,0)*VLOOKUP(A208,'[13]geoMap (10)'!$A:$C,3,0)</f>
        <v>#REF!</v>
      </c>
      <c r="M208" s="1" t="e">
        <f>L208/VLOOKUP(A208,'[14]geoMap (11)'!$A:$B,2,0)*VLOOKUP(A208,'[14]geoMap (11)'!$A:$C,3,0)</f>
        <v>#REF!</v>
      </c>
      <c r="N208" s="1" t="e">
        <f>M208/VLOOKUP(A208,'[15]geoMap (12)'!$A:$B,2,0)*VLOOKUP(A208,'[15]geoMap (12)'!$A:$C,3,0)</f>
        <v>#REF!</v>
      </c>
      <c r="O208" s="1" t="e">
        <f>N208/VLOOKUP(A208,'[16]geoMap (13)'!$A:$B,2,0)*VLOOKUP(A208,'[16]geoMap (13)'!$A:$C,3,0)</f>
        <v>#REF!</v>
      </c>
      <c r="P208" s="1" t="e">
        <f>O208/VLOOKUP(A208,'[17]geoMap (14)'!$A:$B,2,0)*VLOOKUP(A208,'[17]geoMap (14)'!$A:$C,3,0)</f>
        <v>#REF!</v>
      </c>
      <c r="Q208" s="1" t="e">
        <f>P208/VLOOKUP(A208,'[18]geoMap (15)'!$A:$B,2,0)*VLOOKUP(A208,'[18]geoMap (15)'!$A:$C,3,0)</f>
        <v>#REF!</v>
      </c>
      <c r="R208" s="1" t="e">
        <f>Q208/VLOOKUP(A208,'[19]geoMap (16)'!$A:$B,2,0)*VLOOKUP(A208,'[19]geoMap (16)'!$A:$C,3,0)</f>
        <v>#REF!</v>
      </c>
      <c r="S208" s="1" t="e">
        <f>R208/VLOOKUP(A208,'[20]geoMap (17)'!$A:$B,2,0)*VLOOKUP(A208,'[20]geoMap (17)'!$A:$C,3,0)</f>
        <v>#REF!</v>
      </c>
      <c r="T208" s="1" t="e">
        <f>S208/VLOOKUP(A208,'[21]geoMap (18)'!$A:$B,2,0)*VLOOKUP(A208,'[21]geoMap (18)'!$A:$C,3,0)</f>
        <v>#REF!</v>
      </c>
      <c r="U208" s="1" t="e">
        <f>T208/VLOOKUP(A208,'[22]geoMap (19)'!$A:$B,2,0)*VLOOKUP(A208,'[22]geoMap (19)'!$A:$C,3,0)</f>
        <v>#REF!</v>
      </c>
      <c r="V208" s="1" t="e">
        <f>U208/VLOOKUP(A208,'[23]geoMap (20)'!$A:$B,2,0)*VLOOKUP(A208,'[23]geoMap (20)'!$A:$C,3,0)</f>
        <v>#REF!</v>
      </c>
      <c r="W208" s="1" t="e">
        <f>V208/VLOOKUP(A208,'[24]geoMap (21)'!$A:$B,2,0)*VLOOKUP(A208,'[24]geoMap (21)'!$A:$C,3,0)</f>
        <v>#REF!</v>
      </c>
      <c r="X208" s="1" t="e">
        <f>W208/VLOOKUP(A208,'[25]geoMap (22)'!$A:$B,2,0)*VLOOKUP(A208,'[25]geoMap (22)'!$A:$C,3,0)</f>
        <v>#REF!</v>
      </c>
      <c r="Y208" s="1" t="e">
        <f>X208/VLOOKUP(A208,'[26]geoMap (23)'!$A:$B,2,0)*VLOOKUP(A208,'[26]geoMap (23)'!$A:$C,3,0)</f>
        <v>#REF!</v>
      </c>
      <c r="Z208" s="1" t="e">
        <f>Y208/VLOOKUP(A208,'[27]geoMap (24)'!$A:$B,2,0)*VLOOKUP(A208,'[27]geoMap (24)'!$A:$C,3,0)</f>
        <v>#REF!</v>
      </c>
      <c r="AA208" s="1" t="e">
        <f>Z208/VLOOKUP(A208,'[28]geoMap (25)'!$A:$B,2,0)*VLOOKUP(A208,'[28]geoMap (25)'!$A:$C,3,0)</f>
        <v>#REF!</v>
      </c>
      <c r="AB208" s="1" t="e">
        <f>AA208*VLOOKUP(A208,'[29]geoMap (26)'!$A:$B,2,0)*VLOOKUP(A208,'[29]geoMap (26)'!$A:$C,3,0)</f>
        <v>#REF!</v>
      </c>
      <c r="AC208" s="1" t="e">
        <f>AB208/VLOOKUP(A208,'[30]geoMap (27)'!$A:$B,2,0)*VLOOKUP(A208,'[30]geoMap (27)'!$A:$C,3,0)</f>
        <v>#REF!</v>
      </c>
      <c r="AD208" s="1" t="e">
        <f>AC208/VLOOKUP(A208,'[31]geoMap (28)'!$A:$B,2,0)*VLOOKUP(A208,'[31]geoMap (28)'!$A:$C,3,0)</f>
        <v>#REF!</v>
      </c>
      <c r="AE208" s="1" t="e">
        <f>AD208/VLOOKUP(A208,'[32]geoMap (29)'!$A:$B,2,0)*VLOOKUP(A208,'[32]geoMap (29)'!$A:$C,3,0)</f>
        <v>#REF!</v>
      </c>
      <c r="AF208" s="1" t="e">
        <f>AE208/VLOOKUP(A208,'[33]geoMap (30)'!$A:$B,2,0)*VLOOKUP(A208,'[33]geoMap (30)'!$A:$C,3,0)</f>
        <v>#REF!</v>
      </c>
      <c r="AG208" s="1" t="e">
        <f>AF208/VLOOKUP(A208,'[34]geoMap (31)'!$A:$B,2,0)*VLOOKUP(A208,'[34]geoMap (31)'!$A:$C,3,0)</f>
        <v>#REF!</v>
      </c>
      <c r="AH208" s="1" t="e">
        <f>AG208/VLOOKUP(A208,'[35]geoMap (32)'!$A:$B,2,0)*VLOOKUP(A208,'[35]geoMap (32)'!$A:$C,3,0)</f>
        <v>#REF!</v>
      </c>
      <c r="AI208" s="1" t="e">
        <f>AH208/VLOOKUP(A208,'[36]geoMap (33)'!$A:$B,2,0)*VLOOKUP(A208,'[36]geoMap (33)'!$A:$C,3,0)</f>
        <v>#REF!</v>
      </c>
      <c r="AJ208" s="1" t="e">
        <f>AI208/VLOOKUP(A208,'[37]geoMap (34)'!$A:$B,2,0)*VLOOKUP(A208,'[37]geoMap (34)'!$A:$C,3,0)</f>
        <v>#REF!</v>
      </c>
      <c r="AK208" s="1" t="e">
        <f>AJ208/VLOOKUP(A208,'[38]geoMap (35)'!$A:$B,2,0)*VLOOKUP(A208,'[38]geoMap (35)'!$A:$C,3,0)</f>
        <v>#REF!</v>
      </c>
      <c r="AL208" s="1" t="e">
        <f>AK208/VLOOKUP(A208,'[39]geoMap (36)'!$A:$B,2,0)*VLOOKUP(A208,'[39]geoMap (36)'!$A:$C,3,0)</f>
        <v>#REF!</v>
      </c>
      <c r="AM208" s="1" t="e">
        <f>AL208/VLOOKUP(A208,'[40]geoMap (37)'!$A:$B,2,0)*VLOOKUP(A208,'[40]geoMap (37)'!$A:$C,3,0)</f>
        <v>#REF!</v>
      </c>
      <c r="AN208" s="1" t="e">
        <f>AM208/VLOOKUP(A208,'[41]geoMap (38)'!$A:$B,2,0)*VLOOKUP(A208,'[41]geoMap (38)'!$A:$C,3,0)</f>
        <v>#REF!</v>
      </c>
      <c r="AO208" s="1" t="e">
        <f>AN208/VLOOKUP(A208,'[42]geoMap (39)'!$A:$B,2,0)*VLOOKUP(A208,'[42]geoMap (39)'!$A:$C,3,0)</f>
        <v>#REF!</v>
      </c>
      <c r="AP208" s="1" t="e">
        <f>AO208/VLOOKUP(A208,'[43]geoMap (40)'!$A:$B,2,0)*VLOOKUP(A208,'[43]geoMap (40)'!$A:$C,3,0)</f>
        <v>#REF!</v>
      </c>
      <c r="AQ208" s="1" t="e">
        <f>AP208/VLOOKUP(A208,'[44]geoMap (41)'!$A:$B,2,0)*VLOOKUP(A208,'[44]geoMap (41)'!$A:$C,3,0)</f>
        <v>#REF!</v>
      </c>
      <c r="AR208" s="1" t="e">
        <f>AQ208/VLOOKUP(A208,'[45]geoMap (42)'!$A:$B,2,0)*VLOOKUP(A208,'[45]geoMap (42)'!$A:$C,3,0)</f>
        <v>#REF!</v>
      </c>
      <c r="AS208" s="1" t="e">
        <f>AR208/VLOOKUP(A208,'[46]geoMap (43)'!$A:$B,2,0)*VLOOKUP(A208,'[46]geoMap (43)'!$A:$C,3,0)</f>
        <v>#REF!</v>
      </c>
      <c r="AT208" s="1" t="e">
        <f>AS208/VLOOKUP(A208,'[47]geoMap (44)'!$A:$B,2,0)*VLOOKUP(A208,'[47]geoMap (44)'!$A:$C,3,0)</f>
        <v>#REF!</v>
      </c>
      <c r="AU208" s="1" t="e">
        <f>AT208/VLOOKUP(A208,'[48]geoMap (45)'!$A:$B,2,0)*VLOOKUP(A208,'[48]geoMap (45)'!$A:$C,3,0)</f>
        <v>#REF!</v>
      </c>
      <c r="AV208" s="1" t="e">
        <f>AU208/VLOOKUP(A208,'[49]geoMap (46)'!$A:$B,2,0)*VLOOKUP(A208,'[49]geoMap (46)'!$A:$C,3,0)</f>
        <v>#REF!</v>
      </c>
      <c r="AW208" s="1" t="e">
        <f>AV208/VLOOKUP(A208,'[50]geoMap (47)'!$A:$B,2,0)*VLOOKUP(A208,'[50]geoMap (47)'!$A:$C,3,0)</f>
        <v>#REF!</v>
      </c>
      <c r="AX208" s="4" t="e">
        <f>AW208/VLOOKUP(A208,'[51]geoMap (48)'!$A:$B,2,0)*VLOOKUP(A208,'[51]geoMap (48)'!$A:$C,3,0)</f>
        <v>#REF!</v>
      </c>
      <c r="AY208" s="1" t="e">
        <f>AX208/VLOOKUP(A208,'[52]geoMap (49)'!$A:$B,2,0)*VLOOKUP(A208,'[52]geoMap (49)'!$A:$C,3,0)</f>
        <v>#REF!</v>
      </c>
      <c r="AZ208" s="4" t="e">
        <f>AY208/VLOOKUP(A208,'[53]geoMap (50)'!$A:$B,2,0)*VLOOKUP(A208,'[53]geoMap (50)'!$A:$C,3,0)</f>
        <v>#REF!</v>
      </c>
      <c r="BA208" s="1" t="e">
        <f>AZ208/VLOOKUP(A208,'[54]geoMap (51)'!$A:$B,2,0)*VLOOKUP(A208,'[54]geoMap (51)'!$A:$C,3,0)</f>
        <v>#REF!</v>
      </c>
      <c r="BB208" s="4" t="e">
        <f>BA208/VLOOKUP(A208,'[55]geoMap (52)'!$A:$B,2,0)*VLOOKUP(A208,'[55]geoMap (52)'!$A:$C,3,0)</f>
        <v>#REF!</v>
      </c>
      <c r="BC208" s="1" t="e">
        <f>BB208/VLOOKUP(A208,'[56]geoMap (53)'!$A:$B,2,0)*VLOOKUP(A208,'[56]geoMap (53)'!$A:$C,3,0)</f>
        <v>#REF!</v>
      </c>
      <c r="BD208" s="4" t="e">
        <f>BC208/VLOOKUP(A208,'[57]geoMap (54)'!$A:$B,2,0)*VLOOKUP(A208,'[57]geoMap (54)'!$A:$C,3,0)</f>
        <v>#REF!</v>
      </c>
      <c r="BE208" s="1" t="e">
        <f>BD208/VLOOKUP(A208,'[58]geoMap (55)'!$A:$B,2,0)*VLOOKUP(A208,'[58]geoMap (55)'!$A:$C,3,0)</f>
        <v>#REF!</v>
      </c>
      <c r="BF208" s="4" t="e">
        <f>BE208/VLOOKUP(A208,'[59]geoMap (56)'!$A:$B,2,0)*VLOOKUP(A208,'[59]geoMap (56)'!$A:$C,3,0)</f>
        <v>#REF!</v>
      </c>
      <c r="BG208" s="1" t="e">
        <f>BF208/VLOOKUP(A208,'[60]geoMap (57)'!$A:$B,2,0)*VLOOKUP(A208,'[60]geoMap (57)'!$A:$C,3,0)</f>
        <v>#REF!</v>
      </c>
      <c r="BH208" s="4" t="e">
        <f>BG208/VLOOKUP(A208,'[61]geoMap (58)'!$A:$B,2,0)*VLOOKUP(A208,'[61]geoMap (58)'!$A:$C,3,0)</f>
        <v>#REF!</v>
      </c>
      <c r="BI208" s="1" t="e">
        <f>BH208/VLOOKUP(A208,'[62]geoMap (59)'!$A:$B,2,0)*VLOOKUP(A208,'[62]geoMap (59)'!$A:$C,3,0)</f>
        <v>#REF!</v>
      </c>
      <c r="BJ208" s="4" t="e">
        <f>BI208/VLOOKUP(A208,'[63]geoMap (60)'!$A:$B,2,0)*VLOOKUP(A208,'[63]geoMap (60)'!$A:$C,3,0)</f>
        <v>#REF!</v>
      </c>
      <c r="BK208" s="1" t="e">
        <f>BJ208/VLOOKUP(A208,'[64]geoMap (61)'!$A:$B,2,0)*VLOOKUP(A208,'[64]geoMap (61)'!$A:$C,3,0)</f>
        <v>#REF!</v>
      </c>
      <c r="BL208" s="4" t="e">
        <f>BK208/VLOOKUP(A208,'[65]geoMap (62)'!$A:$B,2,0)*VLOOKUP(A208,'[65]geoMap (62)'!$A:$C,3,0)</f>
        <v>#REF!</v>
      </c>
      <c r="BM208" s="1" t="e">
        <f>BL208/VLOOKUP(A208,'[66]geoMap (63)'!$A:$B,2,0)*VLOOKUP(A208,'[66]geoMap (63)'!$A:$C,3,0)</f>
        <v>#REF!</v>
      </c>
      <c r="BN208" s="4" t="e">
        <f>BM208/VLOOKUP(A208,'[67]geoMap (64)'!$A:$B,2,0)*VLOOKUP(A208,'[67]geoMap (64)'!$A:$C,3,0)</f>
        <v>#REF!</v>
      </c>
      <c r="BO208" s="1" t="e">
        <f>BN208/VLOOKUP(A208,'[68]geoMap (65)'!$A:$B,2,0)*VLOOKUP(A208,'[68]geoMap (65)'!$A:$C,3,0)</f>
        <v>#REF!</v>
      </c>
      <c r="BP208" s="4" t="e">
        <f>BO208/VLOOKUP(A208,'[69]geoMap (66)'!$A:$B,2,0)*VLOOKUP(A208,'[69]geoMap (66)'!$A:$C,3,0)</f>
        <v>#REF!</v>
      </c>
    </row>
    <row r="209" spans="1:68" x14ac:dyDescent="0.2">
      <c r="A209" s="1" t="s">
        <v>211</v>
      </c>
      <c r="B209" s="1" t="e">
        <f>VLOOKUP(A209,[3]geoMap!$A:$B,2,0)*Notes!$C$6</f>
        <v>#REF!</v>
      </c>
      <c r="C209" s="1" t="e">
        <f>B209/VLOOKUP(A209,'[4]geoMap (1)'!$A:$B,2,0)*VLOOKUP(A209,'[4]geoMap (1)'!$A:$C,3,0)</f>
        <v>#REF!</v>
      </c>
      <c r="D209" s="1" t="e">
        <f>C209/VLOOKUP(A209,'[5]geoMap (2)'!$A:$B,2,0)*VLOOKUP(A209,'[5]geoMap (2)'!$A:$C,3,0)</f>
        <v>#REF!</v>
      </c>
      <c r="E209" s="1" t="e">
        <f>D209/VLOOKUP(A209,'[6]geoMap (3)'!$A:$B,2,0)*VLOOKUP(A209,'[6]geoMap (3)'!$A:$C,3,0)</f>
        <v>#REF!</v>
      </c>
      <c r="F209" s="1" t="e">
        <f>E209/VLOOKUP(A209,'[7]geoMap (4)'!$A:$B,2,0)*VLOOKUP(A209,'[7]geoMap (4)'!$A:$C,3,0)</f>
        <v>#REF!</v>
      </c>
      <c r="G209" s="1" t="e">
        <f>F209/VLOOKUP(A209,'[8]geoMap (5)'!$A:$B,2,0)*VLOOKUP(A209,'[8]geoMap (5)'!$A:$C,3,0)</f>
        <v>#REF!</v>
      </c>
      <c r="H209" s="1" t="e">
        <f>G209/VLOOKUP(A209,'[9]geoMap (6)'!$A:$B,2,0)*VLOOKUP(A209,'[9]geoMap (6)'!$A:$C,3,0)</f>
        <v>#REF!</v>
      </c>
      <c r="I209" s="1" t="e">
        <f>H209/VLOOKUP(A209,'[10]geoMap (7)'!$A:$B,2,0)*VLOOKUP(A209,'[10]geoMap (7)'!$A:$C,3,0)</f>
        <v>#REF!</v>
      </c>
      <c r="J209" s="1" t="e">
        <f>I209/VLOOKUP(A209,'[11]geoMap (8)'!$A:$B,2,0)*VLOOKUP(A209,'[11]geoMap (8)'!$A:$C,3,0)</f>
        <v>#REF!</v>
      </c>
      <c r="K209" s="1" t="e">
        <f>J209/VLOOKUP(A209,'[12]geoMap (9)'!$A:$B,2,0)*VLOOKUP(A209,'[12]geoMap (9)'!$A:$C,3,0)</f>
        <v>#REF!</v>
      </c>
      <c r="L209" s="1" t="e">
        <f>K209/VLOOKUP(A209,'[13]geoMap (10)'!$A:$B,2,0)*VLOOKUP(A209,'[13]geoMap (10)'!$A:$C,3,0)</f>
        <v>#REF!</v>
      </c>
      <c r="M209" s="1" t="e">
        <f>L209/VLOOKUP(A209,'[14]geoMap (11)'!$A:$B,2,0)*VLOOKUP(A209,'[14]geoMap (11)'!$A:$C,3,0)</f>
        <v>#REF!</v>
      </c>
      <c r="N209" s="1" t="e">
        <f>M209/VLOOKUP(A209,'[15]geoMap (12)'!$A:$B,2,0)*VLOOKUP(A209,'[15]geoMap (12)'!$A:$C,3,0)</f>
        <v>#REF!</v>
      </c>
      <c r="O209" s="1" t="e">
        <f>N209/VLOOKUP(A209,'[16]geoMap (13)'!$A:$B,2,0)*VLOOKUP(A209,'[16]geoMap (13)'!$A:$C,3,0)</f>
        <v>#REF!</v>
      </c>
      <c r="P209" s="1" t="e">
        <f>O209/VLOOKUP(A209,'[17]geoMap (14)'!$A:$B,2,0)*VLOOKUP(A209,'[17]geoMap (14)'!$A:$C,3,0)</f>
        <v>#REF!</v>
      </c>
      <c r="Q209" s="1" t="e">
        <f>P209/VLOOKUP(A209,'[18]geoMap (15)'!$A:$B,2,0)*VLOOKUP(A209,'[18]geoMap (15)'!$A:$C,3,0)</f>
        <v>#REF!</v>
      </c>
      <c r="R209" s="1" t="e">
        <f>Q209/VLOOKUP(A209,'[19]geoMap (16)'!$A:$B,2,0)*VLOOKUP(A209,'[19]geoMap (16)'!$A:$C,3,0)</f>
        <v>#REF!</v>
      </c>
      <c r="S209" s="1" t="e">
        <f>R209/VLOOKUP(A209,'[20]geoMap (17)'!$A:$B,2,0)*VLOOKUP(A209,'[20]geoMap (17)'!$A:$C,3,0)</f>
        <v>#REF!</v>
      </c>
      <c r="T209" s="1" t="e">
        <f>S209/VLOOKUP(A209,'[21]geoMap (18)'!$A:$B,2,0)*VLOOKUP(A209,'[21]geoMap (18)'!$A:$C,3,0)</f>
        <v>#REF!</v>
      </c>
      <c r="U209" s="1" t="e">
        <f>T209/VLOOKUP(A209,'[22]geoMap (19)'!$A:$B,2,0)*VLOOKUP(A209,'[22]geoMap (19)'!$A:$C,3,0)</f>
        <v>#REF!</v>
      </c>
      <c r="V209" s="1" t="e">
        <f>U209/VLOOKUP(A209,'[23]geoMap (20)'!$A:$B,2,0)*VLOOKUP(A209,'[23]geoMap (20)'!$A:$C,3,0)</f>
        <v>#REF!</v>
      </c>
      <c r="W209" s="1" t="e">
        <f>V209/VLOOKUP(A209,'[24]geoMap (21)'!$A:$B,2,0)*VLOOKUP(A209,'[24]geoMap (21)'!$A:$C,3,0)</f>
        <v>#REF!</v>
      </c>
      <c r="X209" s="1" t="e">
        <f>W209/VLOOKUP(A209,'[25]geoMap (22)'!$A:$B,2,0)*VLOOKUP(A209,'[25]geoMap (22)'!$A:$C,3,0)</f>
        <v>#REF!</v>
      </c>
      <c r="Y209" s="1" t="e">
        <f>X209/VLOOKUP(A209,'[26]geoMap (23)'!$A:$B,2,0)*VLOOKUP(A209,'[26]geoMap (23)'!$A:$C,3,0)</f>
        <v>#REF!</v>
      </c>
      <c r="Z209" s="1" t="e">
        <f>Y209/VLOOKUP(A209,'[27]geoMap (24)'!$A:$B,2,0)*VLOOKUP(A209,'[27]geoMap (24)'!$A:$C,3,0)</f>
        <v>#REF!</v>
      </c>
      <c r="AA209" s="1" t="e">
        <f>Z209/VLOOKUP(A209,'[28]geoMap (25)'!$A:$B,2,0)*VLOOKUP(A209,'[28]geoMap (25)'!$A:$C,3,0)</f>
        <v>#REF!</v>
      </c>
      <c r="AB209" s="1" t="e">
        <f>AA209*VLOOKUP(A209,'[29]geoMap (26)'!$A:$B,2,0)*VLOOKUP(A209,'[29]geoMap (26)'!$A:$C,3,0)</f>
        <v>#REF!</v>
      </c>
      <c r="AC209" s="1" t="e">
        <f>AB209/VLOOKUP(A209,'[30]geoMap (27)'!$A:$B,2,0)*VLOOKUP(A209,'[30]geoMap (27)'!$A:$C,3,0)</f>
        <v>#REF!</v>
      </c>
      <c r="AD209" s="1" t="e">
        <f>AC209/VLOOKUP(A209,'[31]geoMap (28)'!$A:$B,2,0)*VLOOKUP(A209,'[31]geoMap (28)'!$A:$C,3,0)</f>
        <v>#REF!</v>
      </c>
      <c r="AE209" s="1" t="e">
        <f>AD209/VLOOKUP(A209,'[32]geoMap (29)'!$A:$B,2,0)*VLOOKUP(A209,'[32]geoMap (29)'!$A:$C,3,0)</f>
        <v>#REF!</v>
      </c>
      <c r="AF209" s="1" t="e">
        <f>AE209/VLOOKUP(A209,'[33]geoMap (30)'!$A:$B,2,0)*VLOOKUP(A209,'[33]geoMap (30)'!$A:$C,3,0)</f>
        <v>#REF!</v>
      </c>
      <c r="AG209" s="1" t="e">
        <f>AF209/VLOOKUP(A209,'[34]geoMap (31)'!$A:$B,2,0)*VLOOKUP(A209,'[34]geoMap (31)'!$A:$C,3,0)</f>
        <v>#REF!</v>
      </c>
      <c r="AH209" s="1" t="e">
        <f>AG209/VLOOKUP(A209,'[35]geoMap (32)'!$A:$B,2,0)*VLOOKUP(A209,'[35]geoMap (32)'!$A:$C,3,0)</f>
        <v>#REF!</v>
      </c>
      <c r="AI209" s="1" t="e">
        <f>AH209/VLOOKUP(A209,'[36]geoMap (33)'!$A:$B,2,0)*VLOOKUP(A209,'[36]geoMap (33)'!$A:$C,3,0)</f>
        <v>#REF!</v>
      </c>
      <c r="AJ209" s="1" t="e">
        <f>AI209/VLOOKUP(A209,'[37]geoMap (34)'!$A:$B,2,0)*VLOOKUP(A209,'[37]geoMap (34)'!$A:$C,3,0)</f>
        <v>#REF!</v>
      </c>
      <c r="AK209" s="1" t="e">
        <f>AJ209/VLOOKUP(A209,'[38]geoMap (35)'!$A:$B,2,0)*VLOOKUP(A209,'[38]geoMap (35)'!$A:$C,3,0)</f>
        <v>#REF!</v>
      </c>
      <c r="AL209" s="1" t="e">
        <f>AK209/VLOOKUP(A209,'[39]geoMap (36)'!$A:$B,2,0)*VLOOKUP(A209,'[39]geoMap (36)'!$A:$C,3,0)</f>
        <v>#REF!</v>
      </c>
      <c r="AM209" s="1" t="e">
        <f>AL209/VLOOKUP(A209,'[40]geoMap (37)'!$A:$B,2,0)*VLOOKUP(A209,'[40]geoMap (37)'!$A:$C,3,0)</f>
        <v>#REF!</v>
      </c>
      <c r="AN209" s="1" t="e">
        <f>AM209/VLOOKUP(A209,'[41]geoMap (38)'!$A:$B,2,0)*VLOOKUP(A209,'[41]geoMap (38)'!$A:$C,3,0)</f>
        <v>#REF!</v>
      </c>
      <c r="AO209" s="1" t="e">
        <f>AN209/VLOOKUP(A209,'[42]geoMap (39)'!$A:$B,2,0)*VLOOKUP(A209,'[42]geoMap (39)'!$A:$C,3,0)</f>
        <v>#REF!</v>
      </c>
      <c r="AP209" s="1" t="e">
        <f>AO209/VLOOKUP(A209,'[43]geoMap (40)'!$A:$B,2,0)*VLOOKUP(A209,'[43]geoMap (40)'!$A:$C,3,0)</f>
        <v>#REF!</v>
      </c>
      <c r="AQ209" s="1" t="e">
        <f>AP209/VLOOKUP(A209,'[44]geoMap (41)'!$A:$B,2,0)*VLOOKUP(A209,'[44]geoMap (41)'!$A:$C,3,0)</f>
        <v>#REF!</v>
      </c>
      <c r="AR209" s="1" t="e">
        <f>AQ209/VLOOKUP(A209,'[45]geoMap (42)'!$A:$B,2,0)*VLOOKUP(A209,'[45]geoMap (42)'!$A:$C,3,0)</f>
        <v>#REF!</v>
      </c>
      <c r="AS209" s="1" t="e">
        <f>AR209/VLOOKUP(A209,'[46]geoMap (43)'!$A:$B,2,0)*VLOOKUP(A209,'[46]geoMap (43)'!$A:$C,3,0)</f>
        <v>#REF!</v>
      </c>
      <c r="AT209" s="1" t="e">
        <f>AS209/VLOOKUP(A209,'[47]geoMap (44)'!$A:$B,2,0)*VLOOKUP(A209,'[47]geoMap (44)'!$A:$C,3,0)</f>
        <v>#REF!</v>
      </c>
      <c r="AU209" s="1" t="e">
        <f>AT209/VLOOKUP(A209,'[48]geoMap (45)'!$A:$B,2,0)*VLOOKUP(A209,'[48]geoMap (45)'!$A:$C,3,0)</f>
        <v>#REF!</v>
      </c>
      <c r="AV209" s="1" t="e">
        <f>AU209/VLOOKUP(A209,'[49]geoMap (46)'!$A:$B,2,0)*VLOOKUP(A209,'[49]geoMap (46)'!$A:$C,3,0)</f>
        <v>#REF!</v>
      </c>
      <c r="AW209" s="1" t="e">
        <f>AV209/VLOOKUP(A209,'[50]geoMap (47)'!$A:$B,2,0)*VLOOKUP(A209,'[50]geoMap (47)'!$A:$C,3,0)</f>
        <v>#REF!</v>
      </c>
      <c r="AX209" s="4" t="e">
        <f>AW209/VLOOKUP(A209,'[51]geoMap (48)'!$A:$B,2,0)*VLOOKUP(A209,'[51]geoMap (48)'!$A:$C,3,0)</f>
        <v>#REF!</v>
      </c>
      <c r="AY209" s="1" t="e">
        <f>AX209/VLOOKUP(A209,'[52]geoMap (49)'!$A:$B,2,0)*VLOOKUP(A209,'[52]geoMap (49)'!$A:$C,3,0)</f>
        <v>#REF!</v>
      </c>
      <c r="AZ209" s="4" t="e">
        <f>AY209/VLOOKUP(A209,'[53]geoMap (50)'!$A:$B,2,0)*VLOOKUP(A209,'[53]geoMap (50)'!$A:$C,3,0)</f>
        <v>#REF!</v>
      </c>
      <c r="BA209" s="1" t="e">
        <f>AZ209/VLOOKUP(A209,'[54]geoMap (51)'!$A:$B,2,0)*VLOOKUP(A209,'[54]geoMap (51)'!$A:$C,3,0)</f>
        <v>#REF!</v>
      </c>
      <c r="BB209" s="4" t="e">
        <f>BA209/VLOOKUP(A209,'[55]geoMap (52)'!$A:$B,2,0)*VLOOKUP(A209,'[55]geoMap (52)'!$A:$C,3,0)</f>
        <v>#REF!</v>
      </c>
      <c r="BC209" s="1" t="e">
        <f>BB209/VLOOKUP(A209,'[56]geoMap (53)'!$A:$B,2,0)*VLOOKUP(A209,'[56]geoMap (53)'!$A:$C,3,0)</f>
        <v>#REF!</v>
      </c>
      <c r="BD209" s="4" t="e">
        <f>BC209/VLOOKUP(A209,'[57]geoMap (54)'!$A:$B,2,0)*VLOOKUP(A209,'[57]geoMap (54)'!$A:$C,3,0)</f>
        <v>#REF!</v>
      </c>
      <c r="BE209" s="1" t="e">
        <f>BD209/VLOOKUP(A209,'[58]geoMap (55)'!$A:$B,2,0)*VLOOKUP(A209,'[58]geoMap (55)'!$A:$C,3,0)</f>
        <v>#REF!</v>
      </c>
      <c r="BF209" s="4" t="e">
        <f>BE209/VLOOKUP(A209,'[59]geoMap (56)'!$A:$B,2,0)*VLOOKUP(A209,'[59]geoMap (56)'!$A:$C,3,0)</f>
        <v>#REF!</v>
      </c>
      <c r="BG209" s="1" t="e">
        <f>BF209/VLOOKUP(A209,'[60]geoMap (57)'!$A:$B,2,0)*VLOOKUP(A209,'[60]geoMap (57)'!$A:$C,3,0)</f>
        <v>#REF!</v>
      </c>
      <c r="BH209" s="4" t="e">
        <f>BG209/VLOOKUP(A209,'[61]geoMap (58)'!$A:$B,2,0)*VLOOKUP(A209,'[61]geoMap (58)'!$A:$C,3,0)</f>
        <v>#REF!</v>
      </c>
      <c r="BI209" s="1" t="e">
        <f>BH209/VLOOKUP(A209,'[62]geoMap (59)'!$A:$B,2,0)*VLOOKUP(A209,'[62]geoMap (59)'!$A:$C,3,0)</f>
        <v>#REF!</v>
      </c>
      <c r="BJ209" s="4" t="e">
        <f>BI209/VLOOKUP(A209,'[63]geoMap (60)'!$A:$B,2,0)*VLOOKUP(A209,'[63]geoMap (60)'!$A:$C,3,0)</f>
        <v>#REF!</v>
      </c>
      <c r="BK209" s="1" t="e">
        <f>BJ209/VLOOKUP(A209,'[64]geoMap (61)'!$A:$B,2,0)*VLOOKUP(A209,'[64]geoMap (61)'!$A:$C,3,0)</f>
        <v>#REF!</v>
      </c>
      <c r="BL209" s="4" t="e">
        <f>BK209/VLOOKUP(A209,'[65]geoMap (62)'!$A:$B,2,0)*VLOOKUP(A209,'[65]geoMap (62)'!$A:$C,3,0)</f>
        <v>#REF!</v>
      </c>
      <c r="BM209" s="1" t="e">
        <f>BL209/VLOOKUP(A209,'[66]geoMap (63)'!$A:$B,2,0)*VLOOKUP(A209,'[66]geoMap (63)'!$A:$C,3,0)</f>
        <v>#REF!</v>
      </c>
      <c r="BN209" s="4" t="e">
        <f>BM209/VLOOKUP(A209,'[67]geoMap (64)'!$A:$B,2,0)*VLOOKUP(A209,'[67]geoMap (64)'!$A:$C,3,0)</f>
        <v>#REF!</v>
      </c>
      <c r="BO209" s="1" t="e">
        <f>BN209/VLOOKUP(A209,'[68]geoMap (65)'!$A:$B,2,0)*VLOOKUP(A209,'[68]geoMap (65)'!$A:$C,3,0)</f>
        <v>#REF!</v>
      </c>
      <c r="BP209" s="4" t="e">
        <f>BO209/VLOOKUP(A209,'[69]geoMap (66)'!$A:$B,2,0)*VLOOKUP(A209,'[69]geoMap (66)'!$A:$C,3,0)</f>
        <v>#REF!</v>
      </c>
    </row>
    <row r="210" spans="1:68" x14ac:dyDescent="0.2">
      <c r="A210" s="1" t="s">
        <v>212</v>
      </c>
      <c r="B210" s="1" t="e">
        <f>VLOOKUP(A210,[3]geoMap!$A:$B,2,0)*Notes!$C$6</f>
        <v>#REF!</v>
      </c>
      <c r="C210" s="1" t="e">
        <f>B210/VLOOKUP(A210,'[4]geoMap (1)'!$A:$B,2,0)*VLOOKUP(A210,'[4]geoMap (1)'!$A:$C,3,0)</f>
        <v>#REF!</v>
      </c>
      <c r="D210" s="1" t="e">
        <f>C210/VLOOKUP(A210,'[5]geoMap (2)'!$A:$B,2,0)*VLOOKUP(A210,'[5]geoMap (2)'!$A:$C,3,0)</f>
        <v>#REF!</v>
      </c>
      <c r="E210" s="1" t="e">
        <f>D210/VLOOKUP(A210,'[6]geoMap (3)'!$A:$B,2,0)*VLOOKUP(A210,'[6]geoMap (3)'!$A:$C,3,0)</f>
        <v>#REF!</v>
      </c>
      <c r="F210" s="1" t="e">
        <f>E210/VLOOKUP(A210,'[7]geoMap (4)'!$A:$B,2,0)*VLOOKUP(A210,'[7]geoMap (4)'!$A:$C,3,0)</f>
        <v>#REF!</v>
      </c>
      <c r="G210" s="1" t="e">
        <f>F210/VLOOKUP(A210,'[8]geoMap (5)'!$A:$B,2,0)*VLOOKUP(A210,'[8]geoMap (5)'!$A:$C,3,0)</f>
        <v>#REF!</v>
      </c>
      <c r="H210" s="1" t="e">
        <f>G210/VLOOKUP(A210,'[9]geoMap (6)'!$A:$B,2,0)*VLOOKUP(A210,'[9]geoMap (6)'!$A:$C,3,0)</f>
        <v>#REF!</v>
      </c>
      <c r="I210" s="1" t="e">
        <f>H210/VLOOKUP(A210,'[10]geoMap (7)'!$A:$B,2,0)*VLOOKUP(A210,'[10]geoMap (7)'!$A:$C,3,0)</f>
        <v>#REF!</v>
      </c>
      <c r="J210" s="1" t="e">
        <f>I210/VLOOKUP(A210,'[11]geoMap (8)'!$A:$B,2,0)*VLOOKUP(A210,'[11]geoMap (8)'!$A:$C,3,0)</f>
        <v>#REF!</v>
      </c>
      <c r="K210" s="1" t="e">
        <f>J210/VLOOKUP(A210,'[12]geoMap (9)'!$A:$B,2,0)*VLOOKUP(A210,'[12]geoMap (9)'!$A:$C,3,0)</f>
        <v>#REF!</v>
      </c>
      <c r="L210" s="1" t="e">
        <f>K210/VLOOKUP(A210,'[13]geoMap (10)'!$A:$B,2,0)*VLOOKUP(A210,'[13]geoMap (10)'!$A:$C,3,0)</f>
        <v>#REF!</v>
      </c>
      <c r="M210" s="1" t="e">
        <f>L210/VLOOKUP(A210,'[14]geoMap (11)'!$A:$B,2,0)*VLOOKUP(A210,'[14]geoMap (11)'!$A:$C,3,0)</f>
        <v>#REF!</v>
      </c>
      <c r="N210" s="1" t="e">
        <f>M210/VLOOKUP(A210,'[15]geoMap (12)'!$A:$B,2,0)*VLOOKUP(A210,'[15]geoMap (12)'!$A:$C,3,0)</f>
        <v>#REF!</v>
      </c>
      <c r="O210" s="1" t="e">
        <f>N210/VLOOKUP(A210,'[16]geoMap (13)'!$A:$B,2,0)*VLOOKUP(A210,'[16]geoMap (13)'!$A:$C,3,0)</f>
        <v>#REF!</v>
      </c>
      <c r="P210" s="1" t="e">
        <f>O210/VLOOKUP(A210,'[17]geoMap (14)'!$A:$B,2,0)*VLOOKUP(A210,'[17]geoMap (14)'!$A:$C,3,0)</f>
        <v>#REF!</v>
      </c>
      <c r="Q210" s="1" t="e">
        <f>P210/VLOOKUP(A210,'[18]geoMap (15)'!$A:$B,2,0)*VLOOKUP(A210,'[18]geoMap (15)'!$A:$C,3,0)</f>
        <v>#REF!</v>
      </c>
      <c r="R210" s="1" t="e">
        <f>Q210/VLOOKUP(A210,'[19]geoMap (16)'!$A:$B,2,0)*VLOOKUP(A210,'[19]geoMap (16)'!$A:$C,3,0)</f>
        <v>#REF!</v>
      </c>
      <c r="S210" s="1" t="e">
        <f>R210/VLOOKUP(A210,'[20]geoMap (17)'!$A:$B,2,0)*VLOOKUP(A210,'[20]geoMap (17)'!$A:$C,3,0)</f>
        <v>#REF!</v>
      </c>
      <c r="T210" s="1" t="e">
        <f>S210/VLOOKUP(A210,'[21]geoMap (18)'!$A:$B,2,0)*VLOOKUP(A210,'[21]geoMap (18)'!$A:$C,3,0)</f>
        <v>#REF!</v>
      </c>
      <c r="U210" s="1" t="e">
        <f>T210/VLOOKUP(A210,'[22]geoMap (19)'!$A:$B,2,0)*VLOOKUP(A210,'[22]geoMap (19)'!$A:$C,3,0)</f>
        <v>#REF!</v>
      </c>
      <c r="V210" s="1" t="e">
        <f>U210/VLOOKUP(A210,'[23]geoMap (20)'!$A:$B,2,0)*VLOOKUP(A210,'[23]geoMap (20)'!$A:$C,3,0)</f>
        <v>#REF!</v>
      </c>
      <c r="W210" s="1" t="e">
        <f>V210/VLOOKUP(A210,'[24]geoMap (21)'!$A:$B,2,0)*VLOOKUP(A210,'[24]geoMap (21)'!$A:$C,3,0)</f>
        <v>#REF!</v>
      </c>
      <c r="X210" s="1" t="e">
        <f>W210/VLOOKUP(A210,'[25]geoMap (22)'!$A:$B,2,0)*VLOOKUP(A210,'[25]geoMap (22)'!$A:$C,3,0)</f>
        <v>#REF!</v>
      </c>
      <c r="Y210" s="1" t="e">
        <f>X210/VLOOKUP(A210,'[26]geoMap (23)'!$A:$B,2,0)*VLOOKUP(A210,'[26]geoMap (23)'!$A:$C,3,0)</f>
        <v>#REF!</v>
      </c>
      <c r="Z210" s="1" t="e">
        <f>Y210/VLOOKUP(A210,'[27]geoMap (24)'!$A:$B,2,0)*VLOOKUP(A210,'[27]geoMap (24)'!$A:$C,3,0)</f>
        <v>#REF!</v>
      </c>
      <c r="AA210" s="1" t="e">
        <f>Z210/VLOOKUP(A210,'[28]geoMap (25)'!$A:$B,2,0)*VLOOKUP(A210,'[28]geoMap (25)'!$A:$C,3,0)</f>
        <v>#REF!</v>
      </c>
      <c r="AB210" s="1" t="e">
        <f>AA210*VLOOKUP(A210,'[29]geoMap (26)'!$A:$B,2,0)*VLOOKUP(A210,'[29]geoMap (26)'!$A:$C,3,0)</f>
        <v>#REF!</v>
      </c>
      <c r="AC210" s="1" t="e">
        <f>AB210/VLOOKUP(A210,'[30]geoMap (27)'!$A:$B,2,0)*VLOOKUP(A210,'[30]geoMap (27)'!$A:$C,3,0)</f>
        <v>#REF!</v>
      </c>
      <c r="AD210" s="1" t="e">
        <f>AC210/VLOOKUP(A210,'[31]geoMap (28)'!$A:$B,2,0)*VLOOKUP(A210,'[31]geoMap (28)'!$A:$C,3,0)</f>
        <v>#REF!</v>
      </c>
      <c r="AE210" s="1" t="e">
        <f>AD210/VLOOKUP(A210,'[32]geoMap (29)'!$A:$B,2,0)*VLOOKUP(A210,'[32]geoMap (29)'!$A:$C,3,0)</f>
        <v>#REF!</v>
      </c>
      <c r="AF210" s="1" t="e">
        <f>AE210/VLOOKUP(A210,'[33]geoMap (30)'!$A:$B,2,0)*VLOOKUP(A210,'[33]geoMap (30)'!$A:$C,3,0)</f>
        <v>#REF!</v>
      </c>
      <c r="AG210" s="1" t="e">
        <f>AF210/VLOOKUP(A210,'[34]geoMap (31)'!$A:$B,2,0)*VLOOKUP(A210,'[34]geoMap (31)'!$A:$C,3,0)</f>
        <v>#REF!</v>
      </c>
      <c r="AH210" s="1" t="e">
        <f>AG210/VLOOKUP(A210,'[35]geoMap (32)'!$A:$B,2,0)*VLOOKUP(A210,'[35]geoMap (32)'!$A:$C,3,0)</f>
        <v>#REF!</v>
      </c>
      <c r="AI210" s="1" t="e">
        <f>AH210/VLOOKUP(A210,'[36]geoMap (33)'!$A:$B,2,0)*VLOOKUP(A210,'[36]geoMap (33)'!$A:$C,3,0)</f>
        <v>#REF!</v>
      </c>
      <c r="AJ210" s="1" t="e">
        <f>AI210/VLOOKUP(A210,'[37]geoMap (34)'!$A:$B,2,0)*VLOOKUP(A210,'[37]geoMap (34)'!$A:$C,3,0)</f>
        <v>#REF!</v>
      </c>
      <c r="AK210" s="1" t="e">
        <f>AJ210/VLOOKUP(A210,'[38]geoMap (35)'!$A:$B,2,0)*VLOOKUP(A210,'[38]geoMap (35)'!$A:$C,3,0)</f>
        <v>#REF!</v>
      </c>
      <c r="AL210" s="1" t="e">
        <f>AK210/VLOOKUP(A210,'[39]geoMap (36)'!$A:$B,2,0)*VLOOKUP(A210,'[39]geoMap (36)'!$A:$C,3,0)</f>
        <v>#REF!</v>
      </c>
      <c r="AM210" s="1" t="e">
        <f>AL210/VLOOKUP(A210,'[40]geoMap (37)'!$A:$B,2,0)*VLOOKUP(A210,'[40]geoMap (37)'!$A:$C,3,0)</f>
        <v>#REF!</v>
      </c>
      <c r="AN210" s="1" t="e">
        <f>AM210/VLOOKUP(A210,'[41]geoMap (38)'!$A:$B,2,0)*VLOOKUP(A210,'[41]geoMap (38)'!$A:$C,3,0)</f>
        <v>#REF!</v>
      </c>
      <c r="AO210" s="1" t="e">
        <f>AN210/VLOOKUP(A210,'[42]geoMap (39)'!$A:$B,2,0)*VLOOKUP(A210,'[42]geoMap (39)'!$A:$C,3,0)</f>
        <v>#REF!</v>
      </c>
      <c r="AP210" s="1" t="e">
        <f>AO210/VLOOKUP(A210,'[43]geoMap (40)'!$A:$B,2,0)*VLOOKUP(A210,'[43]geoMap (40)'!$A:$C,3,0)</f>
        <v>#REF!</v>
      </c>
      <c r="AQ210" s="1" t="e">
        <f>AP210/VLOOKUP(A210,'[44]geoMap (41)'!$A:$B,2,0)*VLOOKUP(A210,'[44]geoMap (41)'!$A:$C,3,0)</f>
        <v>#REF!</v>
      </c>
      <c r="AR210" s="1" t="e">
        <f>AQ210/VLOOKUP(A210,'[45]geoMap (42)'!$A:$B,2,0)*VLOOKUP(A210,'[45]geoMap (42)'!$A:$C,3,0)</f>
        <v>#REF!</v>
      </c>
      <c r="AS210" s="1" t="e">
        <f>AR210/VLOOKUP(A210,'[46]geoMap (43)'!$A:$B,2,0)*VLOOKUP(A210,'[46]geoMap (43)'!$A:$C,3,0)</f>
        <v>#REF!</v>
      </c>
      <c r="AT210" s="1" t="e">
        <f>AS210/VLOOKUP(A210,'[47]geoMap (44)'!$A:$B,2,0)*VLOOKUP(A210,'[47]geoMap (44)'!$A:$C,3,0)</f>
        <v>#REF!</v>
      </c>
      <c r="AU210" s="1" t="e">
        <f>AT210/VLOOKUP(A210,'[48]geoMap (45)'!$A:$B,2,0)*VLOOKUP(A210,'[48]geoMap (45)'!$A:$C,3,0)</f>
        <v>#REF!</v>
      </c>
      <c r="AV210" s="1" t="e">
        <f>AU210/VLOOKUP(A210,'[49]geoMap (46)'!$A:$B,2,0)*VLOOKUP(A210,'[49]geoMap (46)'!$A:$C,3,0)</f>
        <v>#REF!</v>
      </c>
      <c r="AW210" s="1" t="e">
        <f>AV210/VLOOKUP(A210,'[50]geoMap (47)'!$A:$B,2,0)*VLOOKUP(A210,'[50]geoMap (47)'!$A:$C,3,0)</f>
        <v>#REF!</v>
      </c>
      <c r="AX210" s="4" t="e">
        <f>AW210/VLOOKUP(A210,'[51]geoMap (48)'!$A:$B,2,0)*VLOOKUP(A210,'[51]geoMap (48)'!$A:$C,3,0)</f>
        <v>#REF!</v>
      </c>
      <c r="AY210" s="1" t="e">
        <f>AX210/VLOOKUP(A210,'[52]geoMap (49)'!$A:$B,2,0)*VLOOKUP(A210,'[52]geoMap (49)'!$A:$C,3,0)</f>
        <v>#REF!</v>
      </c>
      <c r="AZ210" s="4" t="e">
        <f>AY210/VLOOKUP(A210,'[53]geoMap (50)'!$A:$B,2,0)*VLOOKUP(A210,'[53]geoMap (50)'!$A:$C,3,0)</f>
        <v>#REF!</v>
      </c>
      <c r="BA210" s="1" t="e">
        <f>AZ210/VLOOKUP(A210,'[54]geoMap (51)'!$A:$B,2,0)*VLOOKUP(A210,'[54]geoMap (51)'!$A:$C,3,0)</f>
        <v>#REF!</v>
      </c>
      <c r="BB210" s="4" t="e">
        <f>BA210/VLOOKUP(A210,'[55]geoMap (52)'!$A:$B,2,0)*VLOOKUP(A210,'[55]geoMap (52)'!$A:$C,3,0)</f>
        <v>#REF!</v>
      </c>
      <c r="BC210" s="1" t="e">
        <f>BB210/VLOOKUP(A210,'[56]geoMap (53)'!$A:$B,2,0)*VLOOKUP(A210,'[56]geoMap (53)'!$A:$C,3,0)</f>
        <v>#REF!</v>
      </c>
      <c r="BD210" s="4" t="e">
        <f>BC210/VLOOKUP(A210,'[57]geoMap (54)'!$A:$B,2,0)*VLOOKUP(A210,'[57]geoMap (54)'!$A:$C,3,0)</f>
        <v>#REF!</v>
      </c>
      <c r="BE210" s="1" t="e">
        <f>BD210/VLOOKUP(A210,'[58]geoMap (55)'!$A:$B,2,0)*VLOOKUP(A210,'[58]geoMap (55)'!$A:$C,3,0)</f>
        <v>#REF!</v>
      </c>
      <c r="BF210" s="4" t="e">
        <f>BE210/VLOOKUP(A210,'[59]geoMap (56)'!$A:$B,2,0)*VLOOKUP(A210,'[59]geoMap (56)'!$A:$C,3,0)</f>
        <v>#REF!</v>
      </c>
      <c r="BG210" s="1" t="e">
        <f>BF210/VLOOKUP(A210,'[60]geoMap (57)'!$A:$B,2,0)*VLOOKUP(A210,'[60]geoMap (57)'!$A:$C,3,0)</f>
        <v>#REF!</v>
      </c>
      <c r="BH210" s="4" t="e">
        <f>BG210/VLOOKUP(A210,'[61]geoMap (58)'!$A:$B,2,0)*VLOOKUP(A210,'[61]geoMap (58)'!$A:$C,3,0)</f>
        <v>#REF!</v>
      </c>
      <c r="BI210" s="1" t="e">
        <f>BH210/VLOOKUP(A210,'[62]geoMap (59)'!$A:$B,2,0)*VLOOKUP(A210,'[62]geoMap (59)'!$A:$C,3,0)</f>
        <v>#REF!</v>
      </c>
      <c r="BJ210" s="4" t="e">
        <f>BI210/VLOOKUP(A210,'[63]geoMap (60)'!$A:$B,2,0)*VLOOKUP(A210,'[63]geoMap (60)'!$A:$C,3,0)</f>
        <v>#REF!</v>
      </c>
      <c r="BK210" s="1" t="e">
        <f>BJ210/VLOOKUP(A210,'[64]geoMap (61)'!$A:$B,2,0)*VLOOKUP(A210,'[64]geoMap (61)'!$A:$C,3,0)</f>
        <v>#REF!</v>
      </c>
      <c r="BL210" s="4" t="e">
        <f>BK210/VLOOKUP(A210,'[65]geoMap (62)'!$A:$B,2,0)*VLOOKUP(A210,'[65]geoMap (62)'!$A:$C,3,0)</f>
        <v>#REF!</v>
      </c>
      <c r="BM210" s="1" t="e">
        <f>BL210/VLOOKUP(A210,'[66]geoMap (63)'!$A:$B,2,0)*VLOOKUP(A210,'[66]geoMap (63)'!$A:$C,3,0)</f>
        <v>#REF!</v>
      </c>
      <c r="BN210" s="4" t="e">
        <f>BM210/VLOOKUP(A210,'[67]geoMap (64)'!$A:$B,2,0)*VLOOKUP(A210,'[67]geoMap (64)'!$A:$C,3,0)</f>
        <v>#REF!</v>
      </c>
      <c r="BO210" s="1" t="e">
        <f>BN210/VLOOKUP(A210,'[68]geoMap (65)'!$A:$B,2,0)*VLOOKUP(A210,'[68]geoMap (65)'!$A:$C,3,0)</f>
        <v>#REF!</v>
      </c>
      <c r="BP210" s="4" t="e">
        <f>BO210/VLOOKUP(A210,'[69]geoMap (66)'!$A:$B,2,0)*VLOOKUP(A210,'[69]geoMap (66)'!$A:$C,3,0)</f>
        <v>#REF!</v>
      </c>
    </row>
    <row r="211" spans="1:68" x14ac:dyDescent="0.2">
      <c r="A211" s="1" t="s">
        <v>213</v>
      </c>
      <c r="B211" s="1" t="e">
        <f>VLOOKUP(A211,[3]geoMap!$A:$B,2,0)*Notes!$C$6</f>
        <v>#REF!</v>
      </c>
      <c r="C211" s="1" t="e">
        <f>B211/VLOOKUP(A211,'[4]geoMap (1)'!$A:$B,2,0)*VLOOKUP(A211,'[4]geoMap (1)'!$A:$C,3,0)</f>
        <v>#REF!</v>
      </c>
      <c r="D211" s="1" t="e">
        <f>C211/VLOOKUP(A211,'[5]geoMap (2)'!$A:$B,2,0)*VLOOKUP(A211,'[5]geoMap (2)'!$A:$C,3,0)</f>
        <v>#REF!</v>
      </c>
      <c r="E211" s="1" t="e">
        <f>D211/VLOOKUP(A211,'[6]geoMap (3)'!$A:$B,2,0)*VLOOKUP(A211,'[6]geoMap (3)'!$A:$C,3,0)</f>
        <v>#REF!</v>
      </c>
      <c r="F211" s="1" t="e">
        <f>E211/VLOOKUP(A211,'[7]geoMap (4)'!$A:$B,2,0)*VLOOKUP(A211,'[7]geoMap (4)'!$A:$C,3,0)</f>
        <v>#REF!</v>
      </c>
      <c r="G211" s="1" t="e">
        <f>F211/VLOOKUP(A211,'[8]geoMap (5)'!$A:$B,2,0)*VLOOKUP(A211,'[8]geoMap (5)'!$A:$C,3,0)</f>
        <v>#REF!</v>
      </c>
      <c r="H211" s="1" t="e">
        <f>G211/VLOOKUP(A211,'[9]geoMap (6)'!$A:$B,2,0)*VLOOKUP(A211,'[9]geoMap (6)'!$A:$C,3,0)</f>
        <v>#REF!</v>
      </c>
      <c r="I211" s="1" t="e">
        <f>H211/VLOOKUP(A211,'[10]geoMap (7)'!$A:$B,2,0)*VLOOKUP(A211,'[10]geoMap (7)'!$A:$C,3,0)</f>
        <v>#REF!</v>
      </c>
      <c r="J211" s="1" t="e">
        <f>I211/VLOOKUP(A211,'[11]geoMap (8)'!$A:$B,2,0)*VLOOKUP(A211,'[11]geoMap (8)'!$A:$C,3,0)</f>
        <v>#REF!</v>
      </c>
      <c r="K211" s="1" t="e">
        <f>J211/VLOOKUP(A211,'[12]geoMap (9)'!$A:$B,2,0)*VLOOKUP(A211,'[12]geoMap (9)'!$A:$C,3,0)</f>
        <v>#REF!</v>
      </c>
      <c r="L211" s="1" t="e">
        <f>K211/VLOOKUP(A211,'[13]geoMap (10)'!$A:$B,2,0)*VLOOKUP(A211,'[13]geoMap (10)'!$A:$C,3,0)</f>
        <v>#REF!</v>
      </c>
      <c r="M211" s="1" t="e">
        <f>L211/VLOOKUP(A211,'[14]geoMap (11)'!$A:$B,2,0)*VLOOKUP(A211,'[14]geoMap (11)'!$A:$C,3,0)</f>
        <v>#REF!</v>
      </c>
      <c r="N211" s="1" t="e">
        <f>M211/VLOOKUP(A211,'[15]geoMap (12)'!$A:$B,2,0)*VLOOKUP(A211,'[15]geoMap (12)'!$A:$C,3,0)</f>
        <v>#REF!</v>
      </c>
      <c r="O211" s="1" t="e">
        <f>N211/VLOOKUP(A211,'[16]geoMap (13)'!$A:$B,2,0)*VLOOKUP(A211,'[16]geoMap (13)'!$A:$C,3,0)</f>
        <v>#REF!</v>
      </c>
      <c r="P211" s="1" t="e">
        <f>O211/VLOOKUP(A211,'[17]geoMap (14)'!$A:$B,2,0)*VLOOKUP(A211,'[17]geoMap (14)'!$A:$C,3,0)</f>
        <v>#REF!</v>
      </c>
      <c r="Q211" s="1" t="e">
        <f>P211/VLOOKUP(A211,'[18]geoMap (15)'!$A:$B,2,0)*VLOOKUP(A211,'[18]geoMap (15)'!$A:$C,3,0)</f>
        <v>#REF!</v>
      </c>
      <c r="R211" s="1" t="e">
        <f>Q211/VLOOKUP(A211,'[19]geoMap (16)'!$A:$B,2,0)*VLOOKUP(A211,'[19]geoMap (16)'!$A:$C,3,0)</f>
        <v>#REF!</v>
      </c>
      <c r="S211" s="1" t="e">
        <f>R211/VLOOKUP(A211,'[20]geoMap (17)'!$A:$B,2,0)*VLOOKUP(A211,'[20]geoMap (17)'!$A:$C,3,0)</f>
        <v>#REF!</v>
      </c>
      <c r="T211" s="1" t="e">
        <f>S211/VLOOKUP(A211,'[21]geoMap (18)'!$A:$B,2,0)*VLOOKUP(A211,'[21]geoMap (18)'!$A:$C,3,0)</f>
        <v>#REF!</v>
      </c>
      <c r="U211" s="1" t="e">
        <f>T211/VLOOKUP(A211,'[22]geoMap (19)'!$A:$B,2,0)*VLOOKUP(A211,'[22]geoMap (19)'!$A:$C,3,0)</f>
        <v>#REF!</v>
      </c>
      <c r="V211" s="1" t="e">
        <f>U211/VLOOKUP(A211,'[23]geoMap (20)'!$A:$B,2,0)*VLOOKUP(A211,'[23]geoMap (20)'!$A:$C,3,0)</f>
        <v>#REF!</v>
      </c>
      <c r="W211" s="1" t="e">
        <f>V211/VLOOKUP(A211,'[24]geoMap (21)'!$A:$B,2,0)*VLOOKUP(A211,'[24]geoMap (21)'!$A:$C,3,0)</f>
        <v>#REF!</v>
      </c>
      <c r="X211" s="1" t="e">
        <f>W211/VLOOKUP(A211,'[25]geoMap (22)'!$A:$B,2,0)*VLOOKUP(A211,'[25]geoMap (22)'!$A:$C,3,0)</f>
        <v>#REF!</v>
      </c>
      <c r="Y211" s="1" t="e">
        <f>X211/VLOOKUP(A211,'[26]geoMap (23)'!$A:$B,2,0)*VLOOKUP(A211,'[26]geoMap (23)'!$A:$C,3,0)</f>
        <v>#REF!</v>
      </c>
      <c r="Z211" s="1" t="e">
        <f>Y211/VLOOKUP(A211,'[27]geoMap (24)'!$A:$B,2,0)*VLOOKUP(A211,'[27]geoMap (24)'!$A:$C,3,0)</f>
        <v>#REF!</v>
      </c>
      <c r="AA211" s="1" t="e">
        <f>Z211/VLOOKUP(A211,'[28]geoMap (25)'!$A:$B,2,0)*VLOOKUP(A211,'[28]geoMap (25)'!$A:$C,3,0)</f>
        <v>#REF!</v>
      </c>
      <c r="AB211" s="1" t="e">
        <f>AA211*VLOOKUP(A211,'[29]geoMap (26)'!$A:$B,2,0)*VLOOKUP(A211,'[29]geoMap (26)'!$A:$C,3,0)</f>
        <v>#REF!</v>
      </c>
      <c r="AC211" s="1" t="e">
        <f>AB211/VLOOKUP(A211,'[30]geoMap (27)'!$A:$B,2,0)*VLOOKUP(A211,'[30]geoMap (27)'!$A:$C,3,0)</f>
        <v>#REF!</v>
      </c>
      <c r="AD211" s="1" t="e">
        <f>AC211/VLOOKUP(A211,'[31]geoMap (28)'!$A:$B,2,0)*VLOOKUP(A211,'[31]geoMap (28)'!$A:$C,3,0)</f>
        <v>#REF!</v>
      </c>
      <c r="AE211" s="1" t="e">
        <f>AD211/VLOOKUP(A211,'[32]geoMap (29)'!$A:$B,2,0)*VLOOKUP(A211,'[32]geoMap (29)'!$A:$C,3,0)</f>
        <v>#REF!</v>
      </c>
      <c r="AF211" s="1" t="e">
        <f>AE211/VLOOKUP(A211,'[33]geoMap (30)'!$A:$B,2,0)*VLOOKUP(A211,'[33]geoMap (30)'!$A:$C,3,0)</f>
        <v>#REF!</v>
      </c>
      <c r="AG211" s="1" t="e">
        <f>AF211/VLOOKUP(A211,'[34]geoMap (31)'!$A:$B,2,0)*VLOOKUP(A211,'[34]geoMap (31)'!$A:$C,3,0)</f>
        <v>#REF!</v>
      </c>
      <c r="AH211" s="1" t="e">
        <f>AG211/VLOOKUP(A211,'[35]geoMap (32)'!$A:$B,2,0)*VLOOKUP(A211,'[35]geoMap (32)'!$A:$C,3,0)</f>
        <v>#REF!</v>
      </c>
      <c r="AI211" s="1" t="e">
        <f>AH211/VLOOKUP(A211,'[36]geoMap (33)'!$A:$B,2,0)*VLOOKUP(A211,'[36]geoMap (33)'!$A:$C,3,0)</f>
        <v>#REF!</v>
      </c>
      <c r="AJ211" s="1" t="e">
        <f>AI211/VLOOKUP(A211,'[37]geoMap (34)'!$A:$B,2,0)*VLOOKUP(A211,'[37]geoMap (34)'!$A:$C,3,0)</f>
        <v>#REF!</v>
      </c>
      <c r="AK211" s="1" t="e">
        <f>AJ211/VLOOKUP(A211,'[38]geoMap (35)'!$A:$B,2,0)*VLOOKUP(A211,'[38]geoMap (35)'!$A:$C,3,0)</f>
        <v>#REF!</v>
      </c>
      <c r="AL211" s="1" t="e">
        <f>AK211/VLOOKUP(A211,'[39]geoMap (36)'!$A:$B,2,0)*VLOOKUP(A211,'[39]geoMap (36)'!$A:$C,3,0)</f>
        <v>#REF!</v>
      </c>
      <c r="AM211" s="1" t="e">
        <f>AL211/VLOOKUP(A211,'[40]geoMap (37)'!$A:$B,2,0)*VLOOKUP(A211,'[40]geoMap (37)'!$A:$C,3,0)</f>
        <v>#REF!</v>
      </c>
      <c r="AN211" s="1" t="e">
        <f>AM211/VLOOKUP(A211,'[41]geoMap (38)'!$A:$B,2,0)*VLOOKUP(A211,'[41]geoMap (38)'!$A:$C,3,0)</f>
        <v>#REF!</v>
      </c>
      <c r="AO211" s="1" t="e">
        <f>AN211/VLOOKUP(A211,'[42]geoMap (39)'!$A:$B,2,0)*VLOOKUP(A211,'[42]geoMap (39)'!$A:$C,3,0)</f>
        <v>#REF!</v>
      </c>
      <c r="AP211" s="1" t="e">
        <f>AO211/VLOOKUP(A211,'[43]geoMap (40)'!$A:$B,2,0)*VLOOKUP(A211,'[43]geoMap (40)'!$A:$C,3,0)</f>
        <v>#REF!</v>
      </c>
      <c r="AQ211" s="1" t="e">
        <f>AP211/VLOOKUP(A211,'[44]geoMap (41)'!$A:$B,2,0)*VLOOKUP(A211,'[44]geoMap (41)'!$A:$C,3,0)</f>
        <v>#REF!</v>
      </c>
      <c r="AR211" s="1" t="e">
        <f>AQ211/VLOOKUP(A211,'[45]geoMap (42)'!$A:$B,2,0)*VLOOKUP(A211,'[45]geoMap (42)'!$A:$C,3,0)</f>
        <v>#REF!</v>
      </c>
      <c r="AS211" s="1" t="e">
        <f>AR211/VLOOKUP(A211,'[46]geoMap (43)'!$A:$B,2,0)*VLOOKUP(A211,'[46]geoMap (43)'!$A:$C,3,0)</f>
        <v>#REF!</v>
      </c>
      <c r="AT211" s="1" t="e">
        <f>AS211/VLOOKUP(A211,'[47]geoMap (44)'!$A:$B,2,0)*VLOOKUP(A211,'[47]geoMap (44)'!$A:$C,3,0)</f>
        <v>#REF!</v>
      </c>
      <c r="AU211" s="1" t="e">
        <f>AT211/VLOOKUP(A211,'[48]geoMap (45)'!$A:$B,2,0)*VLOOKUP(A211,'[48]geoMap (45)'!$A:$C,3,0)</f>
        <v>#REF!</v>
      </c>
      <c r="AV211" s="1" t="e">
        <f>AU211/VLOOKUP(A211,'[49]geoMap (46)'!$A:$B,2,0)*VLOOKUP(A211,'[49]geoMap (46)'!$A:$C,3,0)</f>
        <v>#REF!</v>
      </c>
      <c r="AW211" s="1" t="e">
        <f>AV211/VLOOKUP(A211,'[50]geoMap (47)'!$A:$B,2,0)*VLOOKUP(A211,'[50]geoMap (47)'!$A:$C,3,0)</f>
        <v>#REF!</v>
      </c>
      <c r="AX211" s="4" t="e">
        <f>AW211/VLOOKUP(A211,'[51]geoMap (48)'!$A:$B,2,0)*VLOOKUP(A211,'[51]geoMap (48)'!$A:$C,3,0)</f>
        <v>#REF!</v>
      </c>
      <c r="AY211" s="1" t="e">
        <f>AX211/VLOOKUP(A211,'[52]geoMap (49)'!$A:$B,2,0)*VLOOKUP(A211,'[52]geoMap (49)'!$A:$C,3,0)</f>
        <v>#REF!</v>
      </c>
      <c r="AZ211" s="4" t="e">
        <f>AY211/VLOOKUP(A211,'[53]geoMap (50)'!$A:$B,2,0)*VLOOKUP(A211,'[53]geoMap (50)'!$A:$C,3,0)</f>
        <v>#REF!</v>
      </c>
      <c r="BA211" s="1" t="e">
        <f>AZ211/VLOOKUP(A211,'[54]geoMap (51)'!$A:$B,2,0)*VLOOKUP(A211,'[54]geoMap (51)'!$A:$C,3,0)</f>
        <v>#REF!</v>
      </c>
      <c r="BB211" s="4" t="e">
        <f>BA211/VLOOKUP(A211,'[55]geoMap (52)'!$A:$B,2,0)*VLOOKUP(A211,'[55]geoMap (52)'!$A:$C,3,0)</f>
        <v>#REF!</v>
      </c>
      <c r="BC211" s="1" t="e">
        <f>BB211/VLOOKUP(A211,'[56]geoMap (53)'!$A:$B,2,0)*VLOOKUP(A211,'[56]geoMap (53)'!$A:$C,3,0)</f>
        <v>#REF!</v>
      </c>
      <c r="BD211" s="4" t="e">
        <f>BC211/VLOOKUP(A211,'[57]geoMap (54)'!$A:$B,2,0)*VLOOKUP(A211,'[57]geoMap (54)'!$A:$C,3,0)</f>
        <v>#REF!</v>
      </c>
      <c r="BE211" s="1" t="e">
        <f>BD211/VLOOKUP(A211,'[58]geoMap (55)'!$A:$B,2,0)*VLOOKUP(A211,'[58]geoMap (55)'!$A:$C,3,0)</f>
        <v>#REF!</v>
      </c>
      <c r="BF211" s="4" t="e">
        <f>BE211/VLOOKUP(A211,'[59]geoMap (56)'!$A:$B,2,0)*VLOOKUP(A211,'[59]geoMap (56)'!$A:$C,3,0)</f>
        <v>#REF!</v>
      </c>
      <c r="BG211" s="1" t="e">
        <f>BF211/VLOOKUP(A211,'[60]geoMap (57)'!$A:$B,2,0)*VLOOKUP(A211,'[60]geoMap (57)'!$A:$C,3,0)</f>
        <v>#REF!</v>
      </c>
      <c r="BH211" s="4" t="e">
        <f>BG211/VLOOKUP(A211,'[61]geoMap (58)'!$A:$B,2,0)*VLOOKUP(A211,'[61]geoMap (58)'!$A:$C,3,0)</f>
        <v>#REF!</v>
      </c>
      <c r="BI211" s="1" t="e">
        <f>BH211/VLOOKUP(A211,'[62]geoMap (59)'!$A:$B,2,0)*VLOOKUP(A211,'[62]geoMap (59)'!$A:$C,3,0)</f>
        <v>#REF!</v>
      </c>
      <c r="BJ211" s="4" t="e">
        <f>BI211/VLOOKUP(A211,'[63]geoMap (60)'!$A:$B,2,0)*VLOOKUP(A211,'[63]geoMap (60)'!$A:$C,3,0)</f>
        <v>#REF!</v>
      </c>
      <c r="BK211" s="1" t="e">
        <f>BJ211/VLOOKUP(A211,'[64]geoMap (61)'!$A:$B,2,0)*VLOOKUP(A211,'[64]geoMap (61)'!$A:$C,3,0)</f>
        <v>#REF!</v>
      </c>
      <c r="BL211" s="4" t="e">
        <f>BK211/VLOOKUP(A211,'[65]geoMap (62)'!$A:$B,2,0)*VLOOKUP(A211,'[65]geoMap (62)'!$A:$C,3,0)</f>
        <v>#REF!</v>
      </c>
      <c r="BM211" s="1" t="e">
        <f>BL211/VLOOKUP(A211,'[66]geoMap (63)'!$A:$B,2,0)*VLOOKUP(A211,'[66]geoMap (63)'!$A:$C,3,0)</f>
        <v>#REF!</v>
      </c>
      <c r="BN211" s="4" t="e">
        <f>BM211/VLOOKUP(A211,'[67]geoMap (64)'!$A:$B,2,0)*VLOOKUP(A211,'[67]geoMap (64)'!$A:$C,3,0)</f>
        <v>#REF!</v>
      </c>
      <c r="BO211" s="1" t="e">
        <f>BN211/VLOOKUP(A211,'[68]geoMap (65)'!$A:$B,2,0)*VLOOKUP(A211,'[68]geoMap (65)'!$A:$C,3,0)</f>
        <v>#REF!</v>
      </c>
      <c r="BP211" s="4" t="e">
        <f>BO211/VLOOKUP(A211,'[69]geoMap (66)'!$A:$B,2,0)*VLOOKUP(A211,'[69]geoMap (66)'!$A:$C,3,0)</f>
        <v>#REF!</v>
      </c>
    </row>
    <row r="212" spans="1:68" x14ac:dyDescent="0.2">
      <c r="A212" s="1" t="s">
        <v>214</v>
      </c>
      <c r="B212" s="1" t="e">
        <f>VLOOKUP(A212,[3]geoMap!$A:$B,2,0)*Notes!$C$6</f>
        <v>#REF!</v>
      </c>
      <c r="C212" s="1" t="e">
        <f>B212/VLOOKUP(A212,'[4]geoMap (1)'!$A:$B,2,0)*VLOOKUP(A212,'[4]geoMap (1)'!$A:$C,3,0)</f>
        <v>#REF!</v>
      </c>
      <c r="D212" s="1" t="e">
        <f>C212/VLOOKUP(A212,'[5]geoMap (2)'!$A:$B,2,0)*VLOOKUP(A212,'[5]geoMap (2)'!$A:$C,3,0)</f>
        <v>#REF!</v>
      </c>
      <c r="E212" s="1" t="e">
        <f>D212/VLOOKUP(A212,'[6]geoMap (3)'!$A:$B,2,0)*VLOOKUP(A212,'[6]geoMap (3)'!$A:$C,3,0)</f>
        <v>#REF!</v>
      </c>
      <c r="F212" s="1" t="e">
        <f>E212/VLOOKUP(A212,'[7]geoMap (4)'!$A:$B,2,0)*VLOOKUP(A212,'[7]geoMap (4)'!$A:$C,3,0)</f>
        <v>#REF!</v>
      </c>
      <c r="G212" s="1" t="e">
        <f>F212/VLOOKUP(A212,'[8]geoMap (5)'!$A:$B,2,0)*VLOOKUP(A212,'[8]geoMap (5)'!$A:$C,3,0)</f>
        <v>#REF!</v>
      </c>
      <c r="H212" s="1" t="e">
        <f>G212/VLOOKUP(A212,'[9]geoMap (6)'!$A:$B,2,0)*VLOOKUP(A212,'[9]geoMap (6)'!$A:$C,3,0)</f>
        <v>#REF!</v>
      </c>
      <c r="I212" s="1" t="e">
        <f>H212/VLOOKUP(A212,'[10]geoMap (7)'!$A:$B,2,0)*VLOOKUP(A212,'[10]geoMap (7)'!$A:$C,3,0)</f>
        <v>#REF!</v>
      </c>
      <c r="J212" s="1" t="e">
        <f>I212/VLOOKUP(A212,'[11]geoMap (8)'!$A:$B,2,0)*VLOOKUP(A212,'[11]geoMap (8)'!$A:$C,3,0)</f>
        <v>#REF!</v>
      </c>
      <c r="K212" s="1" t="e">
        <f>J212/VLOOKUP(A212,'[12]geoMap (9)'!$A:$B,2,0)*VLOOKUP(A212,'[12]geoMap (9)'!$A:$C,3,0)</f>
        <v>#REF!</v>
      </c>
      <c r="L212" s="1" t="e">
        <f>K212/VLOOKUP(A212,'[13]geoMap (10)'!$A:$B,2,0)*VLOOKUP(A212,'[13]geoMap (10)'!$A:$C,3,0)</f>
        <v>#REF!</v>
      </c>
      <c r="M212" s="1" t="e">
        <f>L212/VLOOKUP(A212,'[14]geoMap (11)'!$A:$B,2,0)*VLOOKUP(A212,'[14]geoMap (11)'!$A:$C,3,0)</f>
        <v>#REF!</v>
      </c>
      <c r="N212" s="1" t="e">
        <f>M212/VLOOKUP(A212,'[15]geoMap (12)'!$A:$B,2,0)*VLOOKUP(A212,'[15]geoMap (12)'!$A:$C,3,0)</f>
        <v>#REF!</v>
      </c>
      <c r="O212" s="1" t="e">
        <f>N212/VLOOKUP(A212,'[16]geoMap (13)'!$A:$B,2,0)*VLOOKUP(A212,'[16]geoMap (13)'!$A:$C,3,0)</f>
        <v>#REF!</v>
      </c>
      <c r="P212" s="1" t="e">
        <f>O212/VLOOKUP(A212,'[17]geoMap (14)'!$A:$B,2,0)*VLOOKUP(A212,'[17]geoMap (14)'!$A:$C,3,0)</f>
        <v>#REF!</v>
      </c>
      <c r="Q212" s="1" t="e">
        <f>P212/VLOOKUP(A212,'[18]geoMap (15)'!$A:$B,2,0)*VLOOKUP(A212,'[18]geoMap (15)'!$A:$C,3,0)</f>
        <v>#REF!</v>
      </c>
      <c r="R212" s="1" t="e">
        <f>Q212/VLOOKUP(A212,'[19]geoMap (16)'!$A:$B,2,0)*VLOOKUP(A212,'[19]geoMap (16)'!$A:$C,3,0)</f>
        <v>#REF!</v>
      </c>
      <c r="S212" s="1" t="e">
        <f>R212/VLOOKUP(A212,'[20]geoMap (17)'!$A:$B,2,0)*VLOOKUP(A212,'[20]geoMap (17)'!$A:$C,3,0)</f>
        <v>#REF!</v>
      </c>
      <c r="T212" s="1" t="e">
        <f>S212/VLOOKUP(A212,'[21]geoMap (18)'!$A:$B,2,0)*VLOOKUP(A212,'[21]geoMap (18)'!$A:$C,3,0)</f>
        <v>#REF!</v>
      </c>
      <c r="U212" s="1" t="e">
        <f>T212/VLOOKUP(A212,'[22]geoMap (19)'!$A:$B,2,0)*VLOOKUP(A212,'[22]geoMap (19)'!$A:$C,3,0)</f>
        <v>#REF!</v>
      </c>
      <c r="V212" s="1" t="e">
        <f>U212/VLOOKUP(A212,'[23]geoMap (20)'!$A:$B,2,0)*VLOOKUP(A212,'[23]geoMap (20)'!$A:$C,3,0)</f>
        <v>#REF!</v>
      </c>
      <c r="W212" s="1" t="e">
        <f>V212/VLOOKUP(A212,'[24]geoMap (21)'!$A:$B,2,0)*VLOOKUP(A212,'[24]geoMap (21)'!$A:$C,3,0)</f>
        <v>#REF!</v>
      </c>
      <c r="X212" s="1" t="e">
        <f>W212/VLOOKUP(A212,'[25]geoMap (22)'!$A:$B,2,0)*VLOOKUP(A212,'[25]geoMap (22)'!$A:$C,3,0)</f>
        <v>#REF!</v>
      </c>
      <c r="Y212" s="1" t="e">
        <f>X212/VLOOKUP(A212,'[26]geoMap (23)'!$A:$B,2,0)*VLOOKUP(A212,'[26]geoMap (23)'!$A:$C,3,0)</f>
        <v>#REF!</v>
      </c>
      <c r="Z212" s="1" t="e">
        <f>Y212/VLOOKUP(A212,'[27]geoMap (24)'!$A:$B,2,0)*VLOOKUP(A212,'[27]geoMap (24)'!$A:$C,3,0)</f>
        <v>#REF!</v>
      </c>
      <c r="AA212" s="1" t="e">
        <f>Z212/VLOOKUP(A212,'[28]geoMap (25)'!$A:$B,2,0)*VLOOKUP(A212,'[28]geoMap (25)'!$A:$C,3,0)</f>
        <v>#REF!</v>
      </c>
      <c r="AB212" s="1" t="e">
        <f>AA212*VLOOKUP(A212,'[29]geoMap (26)'!$A:$B,2,0)*VLOOKUP(A212,'[29]geoMap (26)'!$A:$C,3,0)</f>
        <v>#REF!</v>
      </c>
      <c r="AC212" s="1" t="e">
        <f>AB212/VLOOKUP(A212,'[30]geoMap (27)'!$A:$B,2,0)*VLOOKUP(A212,'[30]geoMap (27)'!$A:$C,3,0)</f>
        <v>#REF!</v>
      </c>
      <c r="AD212" s="1" t="e">
        <f>AC212/VLOOKUP(A212,'[31]geoMap (28)'!$A:$B,2,0)*VLOOKUP(A212,'[31]geoMap (28)'!$A:$C,3,0)</f>
        <v>#REF!</v>
      </c>
      <c r="AE212" s="1" t="e">
        <f>AD212/VLOOKUP(A212,'[32]geoMap (29)'!$A:$B,2,0)*VLOOKUP(A212,'[32]geoMap (29)'!$A:$C,3,0)</f>
        <v>#REF!</v>
      </c>
      <c r="AF212" s="1" t="e">
        <f>AE212/VLOOKUP(A212,'[33]geoMap (30)'!$A:$B,2,0)*VLOOKUP(A212,'[33]geoMap (30)'!$A:$C,3,0)</f>
        <v>#REF!</v>
      </c>
      <c r="AG212" s="1" t="e">
        <f>AF212/VLOOKUP(A212,'[34]geoMap (31)'!$A:$B,2,0)*VLOOKUP(A212,'[34]geoMap (31)'!$A:$C,3,0)</f>
        <v>#REF!</v>
      </c>
      <c r="AH212" s="1" t="e">
        <f>AG212/VLOOKUP(A212,'[35]geoMap (32)'!$A:$B,2,0)*VLOOKUP(A212,'[35]geoMap (32)'!$A:$C,3,0)</f>
        <v>#REF!</v>
      </c>
      <c r="AI212" s="1" t="e">
        <f>AH212/VLOOKUP(A212,'[36]geoMap (33)'!$A:$B,2,0)*VLOOKUP(A212,'[36]geoMap (33)'!$A:$C,3,0)</f>
        <v>#REF!</v>
      </c>
      <c r="AJ212" s="1" t="e">
        <f>AI212/VLOOKUP(A212,'[37]geoMap (34)'!$A:$B,2,0)*VLOOKUP(A212,'[37]geoMap (34)'!$A:$C,3,0)</f>
        <v>#REF!</v>
      </c>
      <c r="AK212" s="1" t="e">
        <f>AJ212/VLOOKUP(A212,'[38]geoMap (35)'!$A:$B,2,0)*VLOOKUP(A212,'[38]geoMap (35)'!$A:$C,3,0)</f>
        <v>#REF!</v>
      </c>
      <c r="AL212" s="1" t="e">
        <f>AK212/VLOOKUP(A212,'[39]geoMap (36)'!$A:$B,2,0)*VLOOKUP(A212,'[39]geoMap (36)'!$A:$C,3,0)</f>
        <v>#REF!</v>
      </c>
      <c r="AM212" s="1" t="e">
        <f>AL212/VLOOKUP(A212,'[40]geoMap (37)'!$A:$B,2,0)*VLOOKUP(A212,'[40]geoMap (37)'!$A:$C,3,0)</f>
        <v>#REF!</v>
      </c>
      <c r="AN212" s="1" t="e">
        <f>AM212/VLOOKUP(A212,'[41]geoMap (38)'!$A:$B,2,0)*VLOOKUP(A212,'[41]geoMap (38)'!$A:$C,3,0)</f>
        <v>#REF!</v>
      </c>
      <c r="AO212" s="1" t="e">
        <f>AN212/VLOOKUP(A212,'[42]geoMap (39)'!$A:$B,2,0)*VLOOKUP(A212,'[42]geoMap (39)'!$A:$C,3,0)</f>
        <v>#REF!</v>
      </c>
      <c r="AP212" s="1" t="e">
        <f>AO212/VLOOKUP(A212,'[43]geoMap (40)'!$A:$B,2,0)*VLOOKUP(A212,'[43]geoMap (40)'!$A:$C,3,0)</f>
        <v>#REF!</v>
      </c>
      <c r="AQ212" s="1" t="e">
        <f>AP212/VLOOKUP(A212,'[44]geoMap (41)'!$A:$B,2,0)*VLOOKUP(A212,'[44]geoMap (41)'!$A:$C,3,0)</f>
        <v>#REF!</v>
      </c>
      <c r="AR212" s="1" t="e">
        <f>AQ212/VLOOKUP(A212,'[45]geoMap (42)'!$A:$B,2,0)*VLOOKUP(A212,'[45]geoMap (42)'!$A:$C,3,0)</f>
        <v>#REF!</v>
      </c>
      <c r="AS212" s="1" t="e">
        <f>AR212/VLOOKUP(A212,'[46]geoMap (43)'!$A:$B,2,0)*VLOOKUP(A212,'[46]geoMap (43)'!$A:$C,3,0)</f>
        <v>#REF!</v>
      </c>
      <c r="AT212" s="1" t="e">
        <f>AS212/VLOOKUP(A212,'[47]geoMap (44)'!$A:$B,2,0)*VLOOKUP(A212,'[47]geoMap (44)'!$A:$C,3,0)</f>
        <v>#REF!</v>
      </c>
      <c r="AU212" s="1" t="e">
        <f>AT212/VLOOKUP(A212,'[48]geoMap (45)'!$A:$B,2,0)*VLOOKUP(A212,'[48]geoMap (45)'!$A:$C,3,0)</f>
        <v>#REF!</v>
      </c>
      <c r="AV212" s="1" t="e">
        <f>AU212/VLOOKUP(A212,'[49]geoMap (46)'!$A:$B,2,0)*VLOOKUP(A212,'[49]geoMap (46)'!$A:$C,3,0)</f>
        <v>#REF!</v>
      </c>
      <c r="AW212" s="1" t="e">
        <f>AV212/VLOOKUP(A212,'[50]geoMap (47)'!$A:$B,2,0)*VLOOKUP(A212,'[50]geoMap (47)'!$A:$C,3,0)</f>
        <v>#REF!</v>
      </c>
      <c r="AX212" s="4" t="e">
        <f>AW212/VLOOKUP(A212,'[51]geoMap (48)'!$A:$B,2,0)*VLOOKUP(A212,'[51]geoMap (48)'!$A:$C,3,0)</f>
        <v>#REF!</v>
      </c>
      <c r="AY212" s="1" t="e">
        <f>AX212/VLOOKUP(A212,'[52]geoMap (49)'!$A:$B,2,0)*VLOOKUP(A212,'[52]geoMap (49)'!$A:$C,3,0)</f>
        <v>#REF!</v>
      </c>
      <c r="AZ212" s="4" t="e">
        <f>AY212/VLOOKUP(A212,'[53]geoMap (50)'!$A:$B,2,0)*VLOOKUP(A212,'[53]geoMap (50)'!$A:$C,3,0)</f>
        <v>#REF!</v>
      </c>
      <c r="BA212" s="1" t="e">
        <f>AZ212/VLOOKUP(A212,'[54]geoMap (51)'!$A:$B,2,0)*VLOOKUP(A212,'[54]geoMap (51)'!$A:$C,3,0)</f>
        <v>#REF!</v>
      </c>
      <c r="BB212" s="4" t="e">
        <f>BA212/VLOOKUP(A212,'[55]geoMap (52)'!$A:$B,2,0)*VLOOKUP(A212,'[55]geoMap (52)'!$A:$C,3,0)</f>
        <v>#REF!</v>
      </c>
      <c r="BC212" s="1" t="e">
        <f>BB212/VLOOKUP(A212,'[56]geoMap (53)'!$A:$B,2,0)*VLOOKUP(A212,'[56]geoMap (53)'!$A:$C,3,0)</f>
        <v>#REF!</v>
      </c>
      <c r="BD212" s="4" t="e">
        <f>BC212/VLOOKUP(A212,'[57]geoMap (54)'!$A:$B,2,0)*VLOOKUP(A212,'[57]geoMap (54)'!$A:$C,3,0)</f>
        <v>#REF!</v>
      </c>
      <c r="BE212" s="1" t="e">
        <f>BD212/VLOOKUP(A212,'[58]geoMap (55)'!$A:$B,2,0)*VLOOKUP(A212,'[58]geoMap (55)'!$A:$C,3,0)</f>
        <v>#REF!</v>
      </c>
      <c r="BF212" s="4" t="e">
        <f>BE212/VLOOKUP(A212,'[59]geoMap (56)'!$A:$B,2,0)*VLOOKUP(A212,'[59]geoMap (56)'!$A:$C,3,0)</f>
        <v>#REF!</v>
      </c>
      <c r="BG212" s="1" t="e">
        <f>BF212/VLOOKUP(A212,'[60]geoMap (57)'!$A:$B,2,0)*VLOOKUP(A212,'[60]geoMap (57)'!$A:$C,3,0)</f>
        <v>#REF!</v>
      </c>
      <c r="BH212" s="4" t="e">
        <f>BG212/VLOOKUP(A212,'[61]geoMap (58)'!$A:$B,2,0)*VLOOKUP(A212,'[61]geoMap (58)'!$A:$C,3,0)</f>
        <v>#REF!</v>
      </c>
      <c r="BI212" s="1" t="e">
        <f>BH212/VLOOKUP(A212,'[62]geoMap (59)'!$A:$B,2,0)*VLOOKUP(A212,'[62]geoMap (59)'!$A:$C,3,0)</f>
        <v>#REF!</v>
      </c>
      <c r="BJ212" s="4" t="e">
        <f>BI212/VLOOKUP(A212,'[63]geoMap (60)'!$A:$B,2,0)*VLOOKUP(A212,'[63]geoMap (60)'!$A:$C,3,0)</f>
        <v>#REF!</v>
      </c>
      <c r="BK212" s="1" t="e">
        <f>BJ212/VLOOKUP(A212,'[64]geoMap (61)'!$A:$B,2,0)*VLOOKUP(A212,'[64]geoMap (61)'!$A:$C,3,0)</f>
        <v>#REF!</v>
      </c>
      <c r="BL212" s="4" t="e">
        <f>BK212/VLOOKUP(A212,'[65]geoMap (62)'!$A:$B,2,0)*VLOOKUP(A212,'[65]geoMap (62)'!$A:$C,3,0)</f>
        <v>#REF!</v>
      </c>
      <c r="BM212" s="1" t="e">
        <f>BL212/VLOOKUP(A212,'[66]geoMap (63)'!$A:$B,2,0)*VLOOKUP(A212,'[66]geoMap (63)'!$A:$C,3,0)</f>
        <v>#REF!</v>
      </c>
      <c r="BN212" s="4" t="e">
        <f>BM212/VLOOKUP(A212,'[67]geoMap (64)'!$A:$B,2,0)*VLOOKUP(A212,'[67]geoMap (64)'!$A:$C,3,0)</f>
        <v>#REF!</v>
      </c>
      <c r="BO212" s="1" t="e">
        <f>BN212/VLOOKUP(A212,'[68]geoMap (65)'!$A:$B,2,0)*VLOOKUP(A212,'[68]geoMap (65)'!$A:$C,3,0)</f>
        <v>#REF!</v>
      </c>
      <c r="BP212" s="4" t="e">
        <f>BO212/VLOOKUP(A212,'[69]geoMap (66)'!$A:$B,2,0)*VLOOKUP(A212,'[69]geoMap (66)'!$A:$C,3,0)</f>
        <v>#REF!</v>
      </c>
    </row>
    <row r="213" spans="1:68" x14ac:dyDescent="0.2">
      <c r="A213" s="1" t="s">
        <v>215</v>
      </c>
      <c r="B213" s="1" t="e">
        <f>VLOOKUP(A213,[3]geoMap!$A:$B,2,0)*Notes!$C$6</f>
        <v>#REF!</v>
      </c>
      <c r="C213" s="1" t="e">
        <f>B213/VLOOKUP(A213,'[4]geoMap (1)'!$A:$B,2,0)*VLOOKUP(A213,'[4]geoMap (1)'!$A:$C,3,0)</f>
        <v>#REF!</v>
      </c>
      <c r="D213" s="1" t="e">
        <f>C213/VLOOKUP(A213,'[5]geoMap (2)'!$A:$B,2,0)*VLOOKUP(A213,'[5]geoMap (2)'!$A:$C,3,0)</f>
        <v>#REF!</v>
      </c>
      <c r="E213" s="1" t="e">
        <f>D213/VLOOKUP(A213,'[6]geoMap (3)'!$A:$B,2,0)*VLOOKUP(A213,'[6]geoMap (3)'!$A:$C,3,0)</f>
        <v>#REF!</v>
      </c>
      <c r="F213" s="1" t="e">
        <f>E213/VLOOKUP(A213,'[7]geoMap (4)'!$A:$B,2,0)*VLOOKUP(A213,'[7]geoMap (4)'!$A:$C,3,0)</f>
        <v>#REF!</v>
      </c>
      <c r="G213" s="1" t="e">
        <f>F213/VLOOKUP(A213,'[8]geoMap (5)'!$A:$B,2,0)*VLOOKUP(A213,'[8]geoMap (5)'!$A:$C,3,0)</f>
        <v>#REF!</v>
      </c>
      <c r="H213" s="1" t="e">
        <f>G213/VLOOKUP(A213,'[9]geoMap (6)'!$A:$B,2,0)*VLOOKUP(A213,'[9]geoMap (6)'!$A:$C,3,0)</f>
        <v>#REF!</v>
      </c>
      <c r="I213" s="1" t="e">
        <f>H213/VLOOKUP(A213,'[10]geoMap (7)'!$A:$B,2,0)*VLOOKUP(A213,'[10]geoMap (7)'!$A:$C,3,0)</f>
        <v>#REF!</v>
      </c>
      <c r="J213" s="1" t="e">
        <f>I213/VLOOKUP(A213,'[11]geoMap (8)'!$A:$B,2,0)*VLOOKUP(A213,'[11]geoMap (8)'!$A:$C,3,0)</f>
        <v>#REF!</v>
      </c>
      <c r="K213" s="1" t="e">
        <f>J213/VLOOKUP(A213,'[12]geoMap (9)'!$A:$B,2,0)*VLOOKUP(A213,'[12]geoMap (9)'!$A:$C,3,0)</f>
        <v>#REF!</v>
      </c>
      <c r="L213" s="1" t="e">
        <f>K213/VLOOKUP(A213,'[13]geoMap (10)'!$A:$B,2,0)*VLOOKUP(A213,'[13]geoMap (10)'!$A:$C,3,0)</f>
        <v>#REF!</v>
      </c>
      <c r="M213" s="1" t="e">
        <f>L213/VLOOKUP(A213,'[14]geoMap (11)'!$A:$B,2,0)*VLOOKUP(A213,'[14]geoMap (11)'!$A:$C,3,0)</f>
        <v>#REF!</v>
      </c>
      <c r="N213" s="1" t="e">
        <f>M213/VLOOKUP(A213,'[15]geoMap (12)'!$A:$B,2,0)*VLOOKUP(A213,'[15]geoMap (12)'!$A:$C,3,0)</f>
        <v>#REF!</v>
      </c>
      <c r="O213" s="1" t="e">
        <f>N213/VLOOKUP(A213,'[16]geoMap (13)'!$A:$B,2,0)*VLOOKUP(A213,'[16]geoMap (13)'!$A:$C,3,0)</f>
        <v>#REF!</v>
      </c>
      <c r="P213" s="1" t="e">
        <f>O213/VLOOKUP(A213,'[17]geoMap (14)'!$A:$B,2,0)*VLOOKUP(A213,'[17]geoMap (14)'!$A:$C,3,0)</f>
        <v>#REF!</v>
      </c>
      <c r="Q213" s="1" t="e">
        <f>P213/VLOOKUP(A213,'[18]geoMap (15)'!$A:$B,2,0)*VLOOKUP(A213,'[18]geoMap (15)'!$A:$C,3,0)</f>
        <v>#REF!</v>
      </c>
      <c r="R213" s="1" t="e">
        <f>Q213/VLOOKUP(A213,'[19]geoMap (16)'!$A:$B,2,0)*VLOOKUP(A213,'[19]geoMap (16)'!$A:$C,3,0)</f>
        <v>#REF!</v>
      </c>
      <c r="S213" s="1" t="e">
        <f>R213/VLOOKUP(A213,'[20]geoMap (17)'!$A:$B,2,0)*VLOOKUP(A213,'[20]geoMap (17)'!$A:$C,3,0)</f>
        <v>#REF!</v>
      </c>
      <c r="T213" s="1" t="e">
        <f>S213/VLOOKUP(A213,'[21]geoMap (18)'!$A:$B,2,0)*VLOOKUP(A213,'[21]geoMap (18)'!$A:$C,3,0)</f>
        <v>#REF!</v>
      </c>
      <c r="U213" s="1" t="e">
        <f>T213/VLOOKUP(A213,'[22]geoMap (19)'!$A:$B,2,0)*VLOOKUP(A213,'[22]geoMap (19)'!$A:$C,3,0)</f>
        <v>#REF!</v>
      </c>
      <c r="V213" s="1" t="e">
        <f>U213/VLOOKUP(A213,'[23]geoMap (20)'!$A:$B,2,0)*VLOOKUP(A213,'[23]geoMap (20)'!$A:$C,3,0)</f>
        <v>#REF!</v>
      </c>
      <c r="W213" s="1" t="e">
        <f>V213/VLOOKUP(A213,'[24]geoMap (21)'!$A:$B,2,0)*VLOOKUP(A213,'[24]geoMap (21)'!$A:$C,3,0)</f>
        <v>#REF!</v>
      </c>
      <c r="X213" s="1" t="e">
        <f>W213/VLOOKUP(A213,'[25]geoMap (22)'!$A:$B,2,0)*VLOOKUP(A213,'[25]geoMap (22)'!$A:$C,3,0)</f>
        <v>#REF!</v>
      </c>
      <c r="Y213" s="1" t="e">
        <f>X213/VLOOKUP(A213,'[26]geoMap (23)'!$A:$B,2,0)*VLOOKUP(A213,'[26]geoMap (23)'!$A:$C,3,0)</f>
        <v>#REF!</v>
      </c>
      <c r="Z213" s="1" t="e">
        <f>Y213/VLOOKUP(A213,'[27]geoMap (24)'!$A:$B,2,0)*VLOOKUP(A213,'[27]geoMap (24)'!$A:$C,3,0)</f>
        <v>#REF!</v>
      </c>
      <c r="AA213" s="1" t="e">
        <f>Z213/VLOOKUP(A213,'[28]geoMap (25)'!$A:$B,2,0)*VLOOKUP(A213,'[28]geoMap (25)'!$A:$C,3,0)</f>
        <v>#REF!</v>
      </c>
      <c r="AB213" s="1" t="e">
        <f>AA213*VLOOKUP(A213,'[29]geoMap (26)'!$A:$B,2,0)*VLOOKUP(A213,'[29]geoMap (26)'!$A:$C,3,0)</f>
        <v>#REF!</v>
      </c>
      <c r="AC213" s="1" t="e">
        <f>AB213/VLOOKUP(A213,'[30]geoMap (27)'!$A:$B,2,0)*VLOOKUP(A213,'[30]geoMap (27)'!$A:$C,3,0)</f>
        <v>#REF!</v>
      </c>
      <c r="AD213" s="1" t="e">
        <f>AC213/VLOOKUP(A213,'[31]geoMap (28)'!$A:$B,2,0)*VLOOKUP(A213,'[31]geoMap (28)'!$A:$C,3,0)</f>
        <v>#REF!</v>
      </c>
      <c r="AE213" s="1" t="e">
        <f>AD213/VLOOKUP(A213,'[32]geoMap (29)'!$A:$B,2,0)*VLOOKUP(A213,'[32]geoMap (29)'!$A:$C,3,0)</f>
        <v>#REF!</v>
      </c>
      <c r="AF213" s="1" t="e">
        <f>AE213/VLOOKUP(A213,'[33]geoMap (30)'!$A:$B,2,0)*VLOOKUP(A213,'[33]geoMap (30)'!$A:$C,3,0)</f>
        <v>#REF!</v>
      </c>
      <c r="AG213" s="1" t="e">
        <f>AF213/VLOOKUP(A213,'[34]geoMap (31)'!$A:$B,2,0)*VLOOKUP(A213,'[34]geoMap (31)'!$A:$C,3,0)</f>
        <v>#REF!</v>
      </c>
      <c r="AH213" s="1" t="e">
        <f>AG213/VLOOKUP(A213,'[35]geoMap (32)'!$A:$B,2,0)*VLOOKUP(A213,'[35]geoMap (32)'!$A:$C,3,0)</f>
        <v>#REF!</v>
      </c>
      <c r="AI213" s="1" t="e">
        <f>AH213/VLOOKUP(A213,'[36]geoMap (33)'!$A:$B,2,0)*VLOOKUP(A213,'[36]geoMap (33)'!$A:$C,3,0)</f>
        <v>#REF!</v>
      </c>
      <c r="AJ213" s="1" t="e">
        <f>AI213/VLOOKUP(A213,'[37]geoMap (34)'!$A:$B,2,0)*VLOOKUP(A213,'[37]geoMap (34)'!$A:$C,3,0)</f>
        <v>#REF!</v>
      </c>
      <c r="AK213" s="1" t="e">
        <f>AJ213/VLOOKUP(A213,'[38]geoMap (35)'!$A:$B,2,0)*VLOOKUP(A213,'[38]geoMap (35)'!$A:$C,3,0)</f>
        <v>#REF!</v>
      </c>
      <c r="AL213" s="1" t="e">
        <f>AK213/VLOOKUP(A213,'[39]geoMap (36)'!$A:$B,2,0)*VLOOKUP(A213,'[39]geoMap (36)'!$A:$C,3,0)</f>
        <v>#REF!</v>
      </c>
      <c r="AM213" s="1" t="e">
        <f>AL213/VLOOKUP(A213,'[40]geoMap (37)'!$A:$B,2,0)*VLOOKUP(A213,'[40]geoMap (37)'!$A:$C,3,0)</f>
        <v>#REF!</v>
      </c>
      <c r="AN213" s="1" t="e">
        <f>AM213/VLOOKUP(A213,'[41]geoMap (38)'!$A:$B,2,0)*VLOOKUP(A213,'[41]geoMap (38)'!$A:$C,3,0)</f>
        <v>#REF!</v>
      </c>
      <c r="AO213" s="1" t="e">
        <f>AN213/VLOOKUP(A213,'[42]geoMap (39)'!$A:$B,2,0)*VLOOKUP(A213,'[42]geoMap (39)'!$A:$C,3,0)</f>
        <v>#REF!</v>
      </c>
      <c r="AP213" s="1" t="e">
        <f>AO213/VLOOKUP(A213,'[43]geoMap (40)'!$A:$B,2,0)*VLOOKUP(A213,'[43]geoMap (40)'!$A:$C,3,0)</f>
        <v>#REF!</v>
      </c>
      <c r="AQ213" s="1" t="e">
        <f>AP213/VLOOKUP(A213,'[44]geoMap (41)'!$A:$B,2,0)*VLOOKUP(A213,'[44]geoMap (41)'!$A:$C,3,0)</f>
        <v>#REF!</v>
      </c>
      <c r="AR213" s="1" t="e">
        <f>AQ213/VLOOKUP(A213,'[45]geoMap (42)'!$A:$B,2,0)*VLOOKUP(A213,'[45]geoMap (42)'!$A:$C,3,0)</f>
        <v>#REF!</v>
      </c>
      <c r="AS213" s="1" t="e">
        <f>AR213/VLOOKUP(A213,'[46]geoMap (43)'!$A:$B,2,0)*VLOOKUP(A213,'[46]geoMap (43)'!$A:$C,3,0)</f>
        <v>#REF!</v>
      </c>
      <c r="AT213" s="1" t="e">
        <f>AS213/VLOOKUP(A213,'[47]geoMap (44)'!$A:$B,2,0)*VLOOKUP(A213,'[47]geoMap (44)'!$A:$C,3,0)</f>
        <v>#REF!</v>
      </c>
      <c r="AU213" s="1" t="e">
        <f>AT213/VLOOKUP(A213,'[48]geoMap (45)'!$A:$B,2,0)*VLOOKUP(A213,'[48]geoMap (45)'!$A:$C,3,0)</f>
        <v>#REF!</v>
      </c>
      <c r="AV213" s="1" t="e">
        <f>AU213/VLOOKUP(A213,'[49]geoMap (46)'!$A:$B,2,0)*VLOOKUP(A213,'[49]geoMap (46)'!$A:$C,3,0)</f>
        <v>#REF!</v>
      </c>
      <c r="AW213" s="1" t="e">
        <f>AV213/VLOOKUP(A213,'[50]geoMap (47)'!$A:$B,2,0)*VLOOKUP(A213,'[50]geoMap (47)'!$A:$C,3,0)</f>
        <v>#REF!</v>
      </c>
      <c r="AX213" s="4" t="e">
        <f>AW213/VLOOKUP(A213,'[51]geoMap (48)'!$A:$B,2,0)*VLOOKUP(A213,'[51]geoMap (48)'!$A:$C,3,0)</f>
        <v>#REF!</v>
      </c>
      <c r="AY213" s="1" t="e">
        <f>AX213/VLOOKUP(A213,'[52]geoMap (49)'!$A:$B,2,0)*VLOOKUP(A213,'[52]geoMap (49)'!$A:$C,3,0)</f>
        <v>#REF!</v>
      </c>
      <c r="AZ213" s="4" t="e">
        <f>AY213/VLOOKUP(A213,'[53]geoMap (50)'!$A:$B,2,0)*VLOOKUP(A213,'[53]geoMap (50)'!$A:$C,3,0)</f>
        <v>#REF!</v>
      </c>
      <c r="BA213" s="1" t="e">
        <f>AZ213/VLOOKUP(A213,'[54]geoMap (51)'!$A:$B,2,0)*VLOOKUP(A213,'[54]geoMap (51)'!$A:$C,3,0)</f>
        <v>#REF!</v>
      </c>
      <c r="BB213" s="4" t="e">
        <f>BA213/VLOOKUP(A213,'[55]geoMap (52)'!$A:$B,2,0)*VLOOKUP(A213,'[55]geoMap (52)'!$A:$C,3,0)</f>
        <v>#REF!</v>
      </c>
      <c r="BC213" s="1" t="e">
        <f>BB213/VLOOKUP(A213,'[56]geoMap (53)'!$A:$B,2,0)*VLOOKUP(A213,'[56]geoMap (53)'!$A:$C,3,0)</f>
        <v>#REF!</v>
      </c>
      <c r="BD213" s="4" t="e">
        <f>BC213/VLOOKUP(A213,'[57]geoMap (54)'!$A:$B,2,0)*VLOOKUP(A213,'[57]geoMap (54)'!$A:$C,3,0)</f>
        <v>#REF!</v>
      </c>
      <c r="BE213" s="1" t="e">
        <f>BD213/VLOOKUP(A213,'[58]geoMap (55)'!$A:$B,2,0)*VLOOKUP(A213,'[58]geoMap (55)'!$A:$C,3,0)</f>
        <v>#REF!</v>
      </c>
      <c r="BF213" s="4" t="e">
        <f>BE213/VLOOKUP(A213,'[59]geoMap (56)'!$A:$B,2,0)*VLOOKUP(A213,'[59]geoMap (56)'!$A:$C,3,0)</f>
        <v>#REF!</v>
      </c>
      <c r="BG213" s="1" t="e">
        <f>BF213/VLOOKUP(A213,'[60]geoMap (57)'!$A:$B,2,0)*VLOOKUP(A213,'[60]geoMap (57)'!$A:$C,3,0)</f>
        <v>#REF!</v>
      </c>
      <c r="BH213" s="4" t="e">
        <f>BG213/VLOOKUP(A213,'[61]geoMap (58)'!$A:$B,2,0)*VLOOKUP(A213,'[61]geoMap (58)'!$A:$C,3,0)</f>
        <v>#REF!</v>
      </c>
      <c r="BI213" s="1" t="e">
        <f>BH213/VLOOKUP(A213,'[62]geoMap (59)'!$A:$B,2,0)*VLOOKUP(A213,'[62]geoMap (59)'!$A:$C,3,0)</f>
        <v>#REF!</v>
      </c>
      <c r="BJ213" s="4" t="e">
        <f>BI213/VLOOKUP(A213,'[63]geoMap (60)'!$A:$B,2,0)*VLOOKUP(A213,'[63]geoMap (60)'!$A:$C,3,0)</f>
        <v>#REF!</v>
      </c>
      <c r="BK213" s="1" t="e">
        <f>BJ213/VLOOKUP(A213,'[64]geoMap (61)'!$A:$B,2,0)*VLOOKUP(A213,'[64]geoMap (61)'!$A:$C,3,0)</f>
        <v>#REF!</v>
      </c>
      <c r="BL213" s="4" t="e">
        <f>BK213/VLOOKUP(A213,'[65]geoMap (62)'!$A:$B,2,0)*VLOOKUP(A213,'[65]geoMap (62)'!$A:$C,3,0)</f>
        <v>#REF!</v>
      </c>
      <c r="BM213" s="1" t="e">
        <f>BL213/VLOOKUP(A213,'[66]geoMap (63)'!$A:$B,2,0)*VLOOKUP(A213,'[66]geoMap (63)'!$A:$C,3,0)</f>
        <v>#REF!</v>
      </c>
      <c r="BN213" s="4" t="e">
        <f>BM213/VLOOKUP(A213,'[67]geoMap (64)'!$A:$B,2,0)*VLOOKUP(A213,'[67]geoMap (64)'!$A:$C,3,0)</f>
        <v>#REF!</v>
      </c>
      <c r="BO213" s="1" t="e">
        <f>BN213/VLOOKUP(A213,'[68]geoMap (65)'!$A:$B,2,0)*VLOOKUP(A213,'[68]geoMap (65)'!$A:$C,3,0)</f>
        <v>#REF!</v>
      </c>
      <c r="BP213" s="4" t="e">
        <f>BO213/VLOOKUP(A213,'[69]geoMap (66)'!$A:$B,2,0)*VLOOKUP(A213,'[69]geoMap (66)'!$A:$C,3,0)</f>
        <v>#REF!</v>
      </c>
    </row>
    <row r="214" spans="1:68" x14ac:dyDescent="0.2">
      <c r="A214" s="1" t="s">
        <v>216</v>
      </c>
      <c r="B214" s="1" t="e">
        <f>VLOOKUP(A214,[3]geoMap!$A:$B,2,0)*Notes!$C$6</f>
        <v>#REF!</v>
      </c>
      <c r="C214" s="1" t="e">
        <f>B214/VLOOKUP(A214,'[4]geoMap (1)'!$A:$B,2,0)*VLOOKUP(A214,'[4]geoMap (1)'!$A:$C,3,0)</f>
        <v>#REF!</v>
      </c>
      <c r="D214" s="1" t="e">
        <f>C214/VLOOKUP(A214,'[5]geoMap (2)'!$A:$B,2,0)*VLOOKUP(A214,'[5]geoMap (2)'!$A:$C,3,0)</f>
        <v>#REF!</v>
      </c>
      <c r="E214" s="1" t="e">
        <f>D214/VLOOKUP(A214,'[6]geoMap (3)'!$A:$B,2,0)*VLOOKUP(A214,'[6]geoMap (3)'!$A:$C,3,0)</f>
        <v>#REF!</v>
      </c>
      <c r="F214" s="1" t="e">
        <f>E214/VLOOKUP(A214,'[7]geoMap (4)'!$A:$B,2,0)*VLOOKUP(A214,'[7]geoMap (4)'!$A:$C,3,0)</f>
        <v>#REF!</v>
      </c>
      <c r="G214" s="1" t="e">
        <f>F214/VLOOKUP(A214,'[8]geoMap (5)'!$A:$B,2,0)*VLOOKUP(A214,'[8]geoMap (5)'!$A:$C,3,0)</f>
        <v>#REF!</v>
      </c>
      <c r="H214" s="1" t="e">
        <f>G214/VLOOKUP(A214,'[9]geoMap (6)'!$A:$B,2,0)*VLOOKUP(A214,'[9]geoMap (6)'!$A:$C,3,0)</f>
        <v>#REF!</v>
      </c>
      <c r="I214" s="1" t="e">
        <f>H214/VLOOKUP(A214,'[10]geoMap (7)'!$A:$B,2,0)*VLOOKUP(A214,'[10]geoMap (7)'!$A:$C,3,0)</f>
        <v>#REF!</v>
      </c>
      <c r="J214" s="1" t="e">
        <f>I214/VLOOKUP(A214,'[11]geoMap (8)'!$A:$B,2,0)*VLOOKUP(A214,'[11]geoMap (8)'!$A:$C,3,0)</f>
        <v>#REF!</v>
      </c>
      <c r="K214" s="1" t="e">
        <f>J214/VLOOKUP(A214,'[12]geoMap (9)'!$A:$B,2,0)*VLOOKUP(A214,'[12]geoMap (9)'!$A:$C,3,0)</f>
        <v>#REF!</v>
      </c>
      <c r="L214" s="1" t="e">
        <f>K214/VLOOKUP(A214,'[13]geoMap (10)'!$A:$B,2,0)*VLOOKUP(A214,'[13]geoMap (10)'!$A:$C,3,0)</f>
        <v>#REF!</v>
      </c>
      <c r="M214" s="1" t="e">
        <f>L214/VLOOKUP(A214,'[14]geoMap (11)'!$A:$B,2,0)*VLOOKUP(A214,'[14]geoMap (11)'!$A:$C,3,0)</f>
        <v>#REF!</v>
      </c>
      <c r="N214" s="1" t="e">
        <f>M214/VLOOKUP(A214,'[15]geoMap (12)'!$A:$B,2,0)*VLOOKUP(A214,'[15]geoMap (12)'!$A:$C,3,0)</f>
        <v>#REF!</v>
      </c>
      <c r="O214" s="1" t="e">
        <f>N214/VLOOKUP(A214,'[16]geoMap (13)'!$A:$B,2,0)*VLOOKUP(A214,'[16]geoMap (13)'!$A:$C,3,0)</f>
        <v>#REF!</v>
      </c>
      <c r="P214" s="1" t="e">
        <f>O214/VLOOKUP(A214,'[17]geoMap (14)'!$A:$B,2,0)*VLOOKUP(A214,'[17]geoMap (14)'!$A:$C,3,0)</f>
        <v>#REF!</v>
      </c>
      <c r="Q214" s="1" t="e">
        <f>P214/VLOOKUP(A214,'[18]geoMap (15)'!$A:$B,2,0)*VLOOKUP(A214,'[18]geoMap (15)'!$A:$C,3,0)</f>
        <v>#REF!</v>
      </c>
      <c r="R214" s="1" t="e">
        <f>Q214/VLOOKUP(A214,'[19]geoMap (16)'!$A:$B,2,0)*VLOOKUP(A214,'[19]geoMap (16)'!$A:$C,3,0)</f>
        <v>#REF!</v>
      </c>
      <c r="S214" s="1" t="e">
        <f>R214/VLOOKUP(A214,'[20]geoMap (17)'!$A:$B,2,0)*VLOOKUP(A214,'[20]geoMap (17)'!$A:$C,3,0)</f>
        <v>#REF!</v>
      </c>
      <c r="T214" s="1" t="e">
        <f>S214/VLOOKUP(A214,'[21]geoMap (18)'!$A:$B,2,0)*VLOOKUP(A214,'[21]geoMap (18)'!$A:$C,3,0)</f>
        <v>#REF!</v>
      </c>
      <c r="U214" s="1" t="e">
        <f>T214/VLOOKUP(A214,'[22]geoMap (19)'!$A:$B,2,0)*VLOOKUP(A214,'[22]geoMap (19)'!$A:$C,3,0)</f>
        <v>#REF!</v>
      </c>
      <c r="V214" s="1" t="e">
        <f>U214/VLOOKUP(A214,'[23]geoMap (20)'!$A:$B,2,0)*VLOOKUP(A214,'[23]geoMap (20)'!$A:$C,3,0)</f>
        <v>#REF!</v>
      </c>
      <c r="W214" s="1" t="e">
        <f>V214/VLOOKUP(A214,'[24]geoMap (21)'!$A:$B,2,0)*VLOOKUP(A214,'[24]geoMap (21)'!$A:$C,3,0)</f>
        <v>#REF!</v>
      </c>
      <c r="X214" s="1" t="e">
        <f>W214/VLOOKUP(A214,'[25]geoMap (22)'!$A:$B,2,0)*VLOOKUP(A214,'[25]geoMap (22)'!$A:$C,3,0)</f>
        <v>#REF!</v>
      </c>
      <c r="Y214" s="1" t="e">
        <f>X214/VLOOKUP(A214,'[26]geoMap (23)'!$A:$B,2,0)*VLOOKUP(A214,'[26]geoMap (23)'!$A:$C,3,0)</f>
        <v>#REF!</v>
      </c>
      <c r="Z214" s="1" t="e">
        <f>Y214/VLOOKUP(A214,'[27]geoMap (24)'!$A:$B,2,0)*VLOOKUP(A214,'[27]geoMap (24)'!$A:$C,3,0)</f>
        <v>#REF!</v>
      </c>
      <c r="AA214" s="1" t="e">
        <f>Z214/VLOOKUP(A214,'[28]geoMap (25)'!$A:$B,2,0)*VLOOKUP(A214,'[28]geoMap (25)'!$A:$C,3,0)</f>
        <v>#REF!</v>
      </c>
      <c r="AB214" s="1" t="e">
        <f>AA214*VLOOKUP(A214,'[29]geoMap (26)'!$A:$B,2,0)*VLOOKUP(A214,'[29]geoMap (26)'!$A:$C,3,0)</f>
        <v>#REF!</v>
      </c>
      <c r="AC214" s="1" t="e">
        <f>AB214/VLOOKUP(A214,'[30]geoMap (27)'!$A:$B,2,0)*VLOOKUP(A214,'[30]geoMap (27)'!$A:$C,3,0)</f>
        <v>#REF!</v>
      </c>
      <c r="AD214" s="1" t="e">
        <f>AC214/VLOOKUP(A214,'[31]geoMap (28)'!$A:$B,2,0)*VLOOKUP(A214,'[31]geoMap (28)'!$A:$C,3,0)</f>
        <v>#REF!</v>
      </c>
      <c r="AE214" s="1" t="e">
        <f>AD214/VLOOKUP(A214,'[32]geoMap (29)'!$A:$B,2,0)*VLOOKUP(A214,'[32]geoMap (29)'!$A:$C,3,0)</f>
        <v>#REF!</v>
      </c>
      <c r="AF214" s="1" t="e">
        <f>AE214/VLOOKUP(A214,'[33]geoMap (30)'!$A:$B,2,0)*VLOOKUP(A214,'[33]geoMap (30)'!$A:$C,3,0)</f>
        <v>#REF!</v>
      </c>
      <c r="AG214" s="1" t="e">
        <f>AF214/VLOOKUP(A214,'[34]geoMap (31)'!$A:$B,2,0)*VLOOKUP(A214,'[34]geoMap (31)'!$A:$C,3,0)</f>
        <v>#REF!</v>
      </c>
      <c r="AH214" s="1" t="e">
        <f>AG214/VLOOKUP(A214,'[35]geoMap (32)'!$A:$B,2,0)*VLOOKUP(A214,'[35]geoMap (32)'!$A:$C,3,0)</f>
        <v>#REF!</v>
      </c>
      <c r="AI214" s="1" t="e">
        <f>AH214/VLOOKUP(A214,'[36]geoMap (33)'!$A:$B,2,0)*VLOOKUP(A214,'[36]geoMap (33)'!$A:$C,3,0)</f>
        <v>#REF!</v>
      </c>
      <c r="AJ214" s="1" t="e">
        <f>AI214/VLOOKUP(A214,'[37]geoMap (34)'!$A:$B,2,0)*VLOOKUP(A214,'[37]geoMap (34)'!$A:$C,3,0)</f>
        <v>#REF!</v>
      </c>
      <c r="AK214" s="1" t="e">
        <f>AJ214/VLOOKUP(A214,'[38]geoMap (35)'!$A:$B,2,0)*VLOOKUP(A214,'[38]geoMap (35)'!$A:$C,3,0)</f>
        <v>#REF!</v>
      </c>
      <c r="AL214" s="1" t="e">
        <f>AK214/VLOOKUP(A214,'[39]geoMap (36)'!$A:$B,2,0)*VLOOKUP(A214,'[39]geoMap (36)'!$A:$C,3,0)</f>
        <v>#REF!</v>
      </c>
      <c r="AM214" s="1" t="e">
        <f>AL214/VLOOKUP(A214,'[40]geoMap (37)'!$A:$B,2,0)*VLOOKUP(A214,'[40]geoMap (37)'!$A:$C,3,0)</f>
        <v>#REF!</v>
      </c>
      <c r="AN214" s="1" t="e">
        <f>AM214/VLOOKUP(A214,'[41]geoMap (38)'!$A:$B,2,0)*VLOOKUP(A214,'[41]geoMap (38)'!$A:$C,3,0)</f>
        <v>#REF!</v>
      </c>
      <c r="AO214" s="1" t="e">
        <f>AN214/VLOOKUP(A214,'[42]geoMap (39)'!$A:$B,2,0)*VLOOKUP(A214,'[42]geoMap (39)'!$A:$C,3,0)</f>
        <v>#REF!</v>
      </c>
      <c r="AP214" s="1" t="e">
        <f>AO214/VLOOKUP(A214,'[43]geoMap (40)'!$A:$B,2,0)*VLOOKUP(A214,'[43]geoMap (40)'!$A:$C,3,0)</f>
        <v>#REF!</v>
      </c>
      <c r="AQ214" s="1" t="e">
        <f>AP214/VLOOKUP(A214,'[44]geoMap (41)'!$A:$B,2,0)*VLOOKUP(A214,'[44]geoMap (41)'!$A:$C,3,0)</f>
        <v>#REF!</v>
      </c>
      <c r="AR214" s="1" t="e">
        <f>AQ214/VLOOKUP(A214,'[45]geoMap (42)'!$A:$B,2,0)*VLOOKUP(A214,'[45]geoMap (42)'!$A:$C,3,0)</f>
        <v>#REF!</v>
      </c>
      <c r="AS214" s="1" t="e">
        <f>AR214/VLOOKUP(A214,'[46]geoMap (43)'!$A:$B,2,0)*VLOOKUP(A214,'[46]geoMap (43)'!$A:$C,3,0)</f>
        <v>#REF!</v>
      </c>
      <c r="AT214" s="1" t="e">
        <f>AS214/VLOOKUP(A214,'[47]geoMap (44)'!$A:$B,2,0)*VLOOKUP(A214,'[47]geoMap (44)'!$A:$C,3,0)</f>
        <v>#REF!</v>
      </c>
      <c r="AU214" s="1" t="e">
        <f>AT214/VLOOKUP(A214,'[48]geoMap (45)'!$A:$B,2,0)*VLOOKUP(A214,'[48]geoMap (45)'!$A:$C,3,0)</f>
        <v>#REF!</v>
      </c>
      <c r="AV214" s="1" t="e">
        <f>AU214/VLOOKUP(A214,'[49]geoMap (46)'!$A:$B,2,0)*VLOOKUP(A214,'[49]geoMap (46)'!$A:$C,3,0)</f>
        <v>#REF!</v>
      </c>
      <c r="AW214" s="1" t="e">
        <f>AV214/VLOOKUP(A214,'[50]geoMap (47)'!$A:$B,2,0)*VLOOKUP(A214,'[50]geoMap (47)'!$A:$C,3,0)</f>
        <v>#REF!</v>
      </c>
      <c r="AX214" s="4" t="e">
        <f>AW214/VLOOKUP(A214,'[51]geoMap (48)'!$A:$B,2,0)*VLOOKUP(A214,'[51]geoMap (48)'!$A:$C,3,0)</f>
        <v>#REF!</v>
      </c>
      <c r="AY214" s="1" t="e">
        <f>AX214/VLOOKUP(A214,'[52]geoMap (49)'!$A:$B,2,0)*VLOOKUP(A214,'[52]geoMap (49)'!$A:$C,3,0)</f>
        <v>#REF!</v>
      </c>
      <c r="AZ214" s="4" t="e">
        <f>AY214/VLOOKUP(A214,'[53]geoMap (50)'!$A:$B,2,0)*VLOOKUP(A214,'[53]geoMap (50)'!$A:$C,3,0)</f>
        <v>#REF!</v>
      </c>
      <c r="BA214" s="1" t="e">
        <f>AZ214/VLOOKUP(A214,'[54]geoMap (51)'!$A:$B,2,0)*VLOOKUP(A214,'[54]geoMap (51)'!$A:$C,3,0)</f>
        <v>#REF!</v>
      </c>
      <c r="BB214" s="4" t="e">
        <f>BA214/VLOOKUP(A214,'[55]geoMap (52)'!$A:$B,2,0)*VLOOKUP(A214,'[55]geoMap (52)'!$A:$C,3,0)</f>
        <v>#REF!</v>
      </c>
      <c r="BC214" s="1" t="e">
        <f>BB214/VLOOKUP(A214,'[56]geoMap (53)'!$A:$B,2,0)*VLOOKUP(A214,'[56]geoMap (53)'!$A:$C,3,0)</f>
        <v>#REF!</v>
      </c>
      <c r="BD214" s="4" t="e">
        <f>BC214/VLOOKUP(A214,'[57]geoMap (54)'!$A:$B,2,0)*VLOOKUP(A214,'[57]geoMap (54)'!$A:$C,3,0)</f>
        <v>#REF!</v>
      </c>
      <c r="BE214" s="1" t="e">
        <f>BD214/VLOOKUP(A214,'[58]geoMap (55)'!$A:$B,2,0)*VLOOKUP(A214,'[58]geoMap (55)'!$A:$C,3,0)</f>
        <v>#REF!</v>
      </c>
      <c r="BF214" s="4" t="e">
        <f>BE214/VLOOKUP(A214,'[59]geoMap (56)'!$A:$B,2,0)*VLOOKUP(A214,'[59]geoMap (56)'!$A:$C,3,0)</f>
        <v>#REF!</v>
      </c>
      <c r="BG214" s="1" t="e">
        <f>BF214/VLOOKUP(A214,'[60]geoMap (57)'!$A:$B,2,0)*VLOOKUP(A214,'[60]geoMap (57)'!$A:$C,3,0)</f>
        <v>#REF!</v>
      </c>
      <c r="BH214" s="4" t="e">
        <f>BG214/VLOOKUP(A214,'[61]geoMap (58)'!$A:$B,2,0)*VLOOKUP(A214,'[61]geoMap (58)'!$A:$C,3,0)</f>
        <v>#REF!</v>
      </c>
      <c r="BI214" s="1" t="e">
        <f>BH214/VLOOKUP(A214,'[62]geoMap (59)'!$A:$B,2,0)*VLOOKUP(A214,'[62]geoMap (59)'!$A:$C,3,0)</f>
        <v>#REF!</v>
      </c>
      <c r="BJ214" s="4" t="e">
        <f>BI214/VLOOKUP(A214,'[63]geoMap (60)'!$A:$B,2,0)*VLOOKUP(A214,'[63]geoMap (60)'!$A:$C,3,0)</f>
        <v>#REF!</v>
      </c>
      <c r="BK214" s="1" t="e">
        <f>BJ214/VLOOKUP(A214,'[64]geoMap (61)'!$A:$B,2,0)*VLOOKUP(A214,'[64]geoMap (61)'!$A:$C,3,0)</f>
        <v>#REF!</v>
      </c>
      <c r="BL214" s="4" t="e">
        <f>BK214/VLOOKUP(A214,'[65]geoMap (62)'!$A:$B,2,0)*VLOOKUP(A214,'[65]geoMap (62)'!$A:$C,3,0)</f>
        <v>#REF!</v>
      </c>
      <c r="BM214" s="1" t="e">
        <f>BL214/VLOOKUP(A214,'[66]geoMap (63)'!$A:$B,2,0)*VLOOKUP(A214,'[66]geoMap (63)'!$A:$C,3,0)</f>
        <v>#REF!</v>
      </c>
      <c r="BN214" s="4" t="e">
        <f>BM214/VLOOKUP(A214,'[67]geoMap (64)'!$A:$B,2,0)*VLOOKUP(A214,'[67]geoMap (64)'!$A:$C,3,0)</f>
        <v>#REF!</v>
      </c>
      <c r="BO214" s="1" t="e">
        <f>BN214/VLOOKUP(A214,'[68]geoMap (65)'!$A:$B,2,0)*VLOOKUP(A214,'[68]geoMap (65)'!$A:$C,3,0)</f>
        <v>#REF!</v>
      </c>
      <c r="BP214" s="4" t="e">
        <f>BO214/VLOOKUP(A214,'[69]geoMap (66)'!$A:$B,2,0)*VLOOKUP(A214,'[69]geoMap (66)'!$A:$C,3,0)</f>
        <v>#REF!</v>
      </c>
    </row>
    <row r="215" spans="1:68" x14ac:dyDescent="0.2">
      <c r="A215" s="1" t="s">
        <v>217</v>
      </c>
      <c r="B215" s="1" t="e">
        <f>VLOOKUP(A215,[3]geoMap!$A:$B,2,0)*Notes!$C$6</f>
        <v>#REF!</v>
      </c>
      <c r="C215" s="1" t="e">
        <f>B215/VLOOKUP(A215,'[4]geoMap (1)'!$A:$B,2,0)*VLOOKUP(A215,'[4]geoMap (1)'!$A:$C,3,0)</f>
        <v>#REF!</v>
      </c>
      <c r="D215" s="1" t="e">
        <f>C215/VLOOKUP(A215,'[5]geoMap (2)'!$A:$B,2,0)*VLOOKUP(A215,'[5]geoMap (2)'!$A:$C,3,0)</f>
        <v>#REF!</v>
      </c>
      <c r="E215" s="1" t="e">
        <f>D215/VLOOKUP(A215,'[6]geoMap (3)'!$A:$B,2,0)*VLOOKUP(A215,'[6]geoMap (3)'!$A:$C,3,0)</f>
        <v>#REF!</v>
      </c>
      <c r="F215" s="1" t="e">
        <f>E215/VLOOKUP(A215,'[7]geoMap (4)'!$A:$B,2,0)*VLOOKUP(A215,'[7]geoMap (4)'!$A:$C,3,0)</f>
        <v>#REF!</v>
      </c>
      <c r="G215" s="1" t="e">
        <f>F215/VLOOKUP(A215,'[8]geoMap (5)'!$A:$B,2,0)*VLOOKUP(A215,'[8]geoMap (5)'!$A:$C,3,0)</f>
        <v>#REF!</v>
      </c>
      <c r="H215" s="1" t="e">
        <f>G215/VLOOKUP(A215,'[9]geoMap (6)'!$A:$B,2,0)*VLOOKUP(A215,'[9]geoMap (6)'!$A:$C,3,0)</f>
        <v>#REF!</v>
      </c>
      <c r="I215" s="1" t="e">
        <f>H215/VLOOKUP(A215,'[10]geoMap (7)'!$A:$B,2,0)*VLOOKUP(A215,'[10]geoMap (7)'!$A:$C,3,0)</f>
        <v>#REF!</v>
      </c>
      <c r="J215" s="1" t="e">
        <f>I215/VLOOKUP(A215,'[11]geoMap (8)'!$A:$B,2,0)*VLOOKUP(A215,'[11]geoMap (8)'!$A:$C,3,0)</f>
        <v>#REF!</v>
      </c>
      <c r="K215" s="1" t="e">
        <f>J215/VLOOKUP(A215,'[12]geoMap (9)'!$A:$B,2,0)*VLOOKUP(A215,'[12]geoMap (9)'!$A:$C,3,0)</f>
        <v>#REF!</v>
      </c>
      <c r="L215" s="1" t="e">
        <f>K215/VLOOKUP(A215,'[13]geoMap (10)'!$A:$B,2,0)*VLOOKUP(A215,'[13]geoMap (10)'!$A:$C,3,0)</f>
        <v>#REF!</v>
      </c>
      <c r="M215" s="1" t="e">
        <f>L215/VLOOKUP(A215,'[14]geoMap (11)'!$A:$B,2,0)*VLOOKUP(A215,'[14]geoMap (11)'!$A:$C,3,0)</f>
        <v>#REF!</v>
      </c>
      <c r="N215" s="1" t="e">
        <f>M215/VLOOKUP(A215,'[15]geoMap (12)'!$A:$B,2,0)*VLOOKUP(A215,'[15]geoMap (12)'!$A:$C,3,0)</f>
        <v>#REF!</v>
      </c>
      <c r="O215" s="1" t="e">
        <f>N215/VLOOKUP(A215,'[16]geoMap (13)'!$A:$B,2,0)*VLOOKUP(A215,'[16]geoMap (13)'!$A:$C,3,0)</f>
        <v>#REF!</v>
      </c>
      <c r="P215" s="1" t="e">
        <f>O215/VLOOKUP(A215,'[17]geoMap (14)'!$A:$B,2,0)*VLOOKUP(A215,'[17]geoMap (14)'!$A:$C,3,0)</f>
        <v>#REF!</v>
      </c>
      <c r="Q215" s="1" t="e">
        <f>P215/VLOOKUP(A215,'[18]geoMap (15)'!$A:$B,2,0)*VLOOKUP(A215,'[18]geoMap (15)'!$A:$C,3,0)</f>
        <v>#REF!</v>
      </c>
      <c r="R215" s="1" t="e">
        <f>Q215/VLOOKUP(A215,'[19]geoMap (16)'!$A:$B,2,0)*VLOOKUP(A215,'[19]geoMap (16)'!$A:$C,3,0)</f>
        <v>#REF!</v>
      </c>
      <c r="S215" s="1" t="e">
        <f>R215/VLOOKUP(A215,'[20]geoMap (17)'!$A:$B,2,0)*VLOOKUP(A215,'[20]geoMap (17)'!$A:$C,3,0)</f>
        <v>#REF!</v>
      </c>
      <c r="T215" s="1" t="e">
        <f>S215/VLOOKUP(A215,'[21]geoMap (18)'!$A:$B,2,0)*VLOOKUP(A215,'[21]geoMap (18)'!$A:$C,3,0)</f>
        <v>#REF!</v>
      </c>
      <c r="U215" s="1" t="e">
        <f>T215/VLOOKUP(A215,'[22]geoMap (19)'!$A:$B,2,0)*VLOOKUP(A215,'[22]geoMap (19)'!$A:$C,3,0)</f>
        <v>#REF!</v>
      </c>
      <c r="V215" s="1" t="e">
        <f>U215/VLOOKUP(A215,'[23]geoMap (20)'!$A:$B,2,0)*VLOOKUP(A215,'[23]geoMap (20)'!$A:$C,3,0)</f>
        <v>#REF!</v>
      </c>
      <c r="W215" s="1" t="e">
        <f>V215/VLOOKUP(A215,'[24]geoMap (21)'!$A:$B,2,0)*VLOOKUP(A215,'[24]geoMap (21)'!$A:$C,3,0)</f>
        <v>#REF!</v>
      </c>
      <c r="X215" s="1" t="e">
        <f>W215/VLOOKUP(A215,'[25]geoMap (22)'!$A:$B,2,0)*VLOOKUP(A215,'[25]geoMap (22)'!$A:$C,3,0)</f>
        <v>#REF!</v>
      </c>
      <c r="Y215" s="1" t="e">
        <f>X215/VLOOKUP(A215,'[26]geoMap (23)'!$A:$B,2,0)*VLOOKUP(A215,'[26]geoMap (23)'!$A:$C,3,0)</f>
        <v>#REF!</v>
      </c>
      <c r="Z215" s="1" t="e">
        <f>Y215/VLOOKUP(A215,'[27]geoMap (24)'!$A:$B,2,0)*VLOOKUP(A215,'[27]geoMap (24)'!$A:$C,3,0)</f>
        <v>#REF!</v>
      </c>
      <c r="AA215" s="1" t="e">
        <f>Z215/VLOOKUP(A215,'[28]geoMap (25)'!$A:$B,2,0)*VLOOKUP(A215,'[28]geoMap (25)'!$A:$C,3,0)</f>
        <v>#REF!</v>
      </c>
      <c r="AB215" s="1" t="e">
        <f>AA215*VLOOKUP(A215,'[29]geoMap (26)'!$A:$B,2,0)*VLOOKUP(A215,'[29]geoMap (26)'!$A:$C,3,0)</f>
        <v>#REF!</v>
      </c>
      <c r="AC215" s="1" t="e">
        <f>AB215/VLOOKUP(A215,'[30]geoMap (27)'!$A:$B,2,0)*VLOOKUP(A215,'[30]geoMap (27)'!$A:$C,3,0)</f>
        <v>#REF!</v>
      </c>
      <c r="AD215" s="1" t="e">
        <f>AC215/VLOOKUP(A215,'[31]geoMap (28)'!$A:$B,2,0)*VLOOKUP(A215,'[31]geoMap (28)'!$A:$C,3,0)</f>
        <v>#REF!</v>
      </c>
      <c r="AE215" s="1" t="e">
        <f>AD215/VLOOKUP(A215,'[32]geoMap (29)'!$A:$B,2,0)*VLOOKUP(A215,'[32]geoMap (29)'!$A:$C,3,0)</f>
        <v>#REF!</v>
      </c>
      <c r="AF215" s="1" t="e">
        <f>AE215/VLOOKUP(A215,'[33]geoMap (30)'!$A:$B,2,0)*VLOOKUP(A215,'[33]geoMap (30)'!$A:$C,3,0)</f>
        <v>#REF!</v>
      </c>
      <c r="AG215" s="1" t="e">
        <f>AF215/VLOOKUP(A215,'[34]geoMap (31)'!$A:$B,2,0)*VLOOKUP(A215,'[34]geoMap (31)'!$A:$C,3,0)</f>
        <v>#REF!</v>
      </c>
      <c r="AH215" s="1" t="e">
        <f>AG215/VLOOKUP(A215,'[35]geoMap (32)'!$A:$B,2,0)*VLOOKUP(A215,'[35]geoMap (32)'!$A:$C,3,0)</f>
        <v>#REF!</v>
      </c>
      <c r="AI215" s="1" t="e">
        <f>AH215/VLOOKUP(A215,'[36]geoMap (33)'!$A:$B,2,0)*VLOOKUP(A215,'[36]geoMap (33)'!$A:$C,3,0)</f>
        <v>#REF!</v>
      </c>
      <c r="AJ215" s="1" t="e">
        <f>AI215/VLOOKUP(A215,'[37]geoMap (34)'!$A:$B,2,0)*VLOOKUP(A215,'[37]geoMap (34)'!$A:$C,3,0)</f>
        <v>#REF!</v>
      </c>
      <c r="AK215" s="1" t="e">
        <f>AJ215/VLOOKUP(A215,'[38]geoMap (35)'!$A:$B,2,0)*VLOOKUP(A215,'[38]geoMap (35)'!$A:$C,3,0)</f>
        <v>#REF!</v>
      </c>
      <c r="AL215" s="1" t="e">
        <f>AK215/VLOOKUP(A215,'[39]geoMap (36)'!$A:$B,2,0)*VLOOKUP(A215,'[39]geoMap (36)'!$A:$C,3,0)</f>
        <v>#REF!</v>
      </c>
      <c r="AM215" s="1" t="e">
        <f>AL215/VLOOKUP(A215,'[40]geoMap (37)'!$A:$B,2,0)*VLOOKUP(A215,'[40]geoMap (37)'!$A:$C,3,0)</f>
        <v>#REF!</v>
      </c>
      <c r="AN215" s="1" t="e">
        <f>AM215/VLOOKUP(A215,'[41]geoMap (38)'!$A:$B,2,0)*VLOOKUP(A215,'[41]geoMap (38)'!$A:$C,3,0)</f>
        <v>#REF!</v>
      </c>
      <c r="AO215" s="1" t="e">
        <f>AN215/VLOOKUP(A215,'[42]geoMap (39)'!$A:$B,2,0)*VLOOKUP(A215,'[42]geoMap (39)'!$A:$C,3,0)</f>
        <v>#REF!</v>
      </c>
      <c r="AP215" s="1" t="e">
        <f>AO215/VLOOKUP(A215,'[43]geoMap (40)'!$A:$B,2,0)*VLOOKUP(A215,'[43]geoMap (40)'!$A:$C,3,0)</f>
        <v>#REF!</v>
      </c>
      <c r="AQ215" s="1" t="e">
        <f>AP215/VLOOKUP(A215,'[44]geoMap (41)'!$A:$B,2,0)*VLOOKUP(A215,'[44]geoMap (41)'!$A:$C,3,0)</f>
        <v>#REF!</v>
      </c>
      <c r="AR215" s="1" t="e">
        <f>AQ215/VLOOKUP(A215,'[45]geoMap (42)'!$A:$B,2,0)*VLOOKUP(A215,'[45]geoMap (42)'!$A:$C,3,0)</f>
        <v>#REF!</v>
      </c>
      <c r="AS215" s="1" t="e">
        <f>AR215/VLOOKUP(A215,'[46]geoMap (43)'!$A:$B,2,0)*VLOOKUP(A215,'[46]geoMap (43)'!$A:$C,3,0)</f>
        <v>#REF!</v>
      </c>
      <c r="AT215" s="1" t="e">
        <f>AS215/VLOOKUP(A215,'[47]geoMap (44)'!$A:$B,2,0)*VLOOKUP(A215,'[47]geoMap (44)'!$A:$C,3,0)</f>
        <v>#REF!</v>
      </c>
      <c r="AU215" s="1" t="e">
        <f>AT215/VLOOKUP(A215,'[48]geoMap (45)'!$A:$B,2,0)*VLOOKUP(A215,'[48]geoMap (45)'!$A:$C,3,0)</f>
        <v>#REF!</v>
      </c>
      <c r="AV215" s="1" t="e">
        <f>AU215/VLOOKUP(A215,'[49]geoMap (46)'!$A:$B,2,0)*VLOOKUP(A215,'[49]geoMap (46)'!$A:$C,3,0)</f>
        <v>#REF!</v>
      </c>
      <c r="AW215" s="1" t="e">
        <f>AV215/VLOOKUP(A215,'[50]geoMap (47)'!$A:$B,2,0)*VLOOKUP(A215,'[50]geoMap (47)'!$A:$C,3,0)</f>
        <v>#REF!</v>
      </c>
      <c r="AX215" s="4" t="e">
        <f>AW215/VLOOKUP(A215,'[51]geoMap (48)'!$A:$B,2,0)*VLOOKUP(A215,'[51]geoMap (48)'!$A:$C,3,0)</f>
        <v>#REF!</v>
      </c>
      <c r="AY215" s="1" t="e">
        <f>AX215/VLOOKUP(A215,'[52]geoMap (49)'!$A:$B,2,0)*VLOOKUP(A215,'[52]geoMap (49)'!$A:$C,3,0)</f>
        <v>#REF!</v>
      </c>
      <c r="AZ215" s="4" t="e">
        <f>AY215/VLOOKUP(A215,'[53]geoMap (50)'!$A:$B,2,0)*VLOOKUP(A215,'[53]geoMap (50)'!$A:$C,3,0)</f>
        <v>#REF!</v>
      </c>
      <c r="BA215" s="1" t="e">
        <f>AZ215/VLOOKUP(A215,'[54]geoMap (51)'!$A:$B,2,0)*VLOOKUP(A215,'[54]geoMap (51)'!$A:$C,3,0)</f>
        <v>#REF!</v>
      </c>
      <c r="BB215" s="4" t="e">
        <f>BA215/VLOOKUP(A215,'[55]geoMap (52)'!$A:$B,2,0)*VLOOKUP(A215,'[55]geoMap (52)'!$A:$C,3,0)</f>
        <v>#REF!</v>
      </c>
      <c r="BC215" s="1" t="e">
        <f>BB215/VLOOKUP(A215,'[56]geoMap (53)'!$A:$B,2,0)*VLOOKUP(A215,'[56]geoMap (53)'!$A:$C,3,0)</f>
        <v>#REF!</v>
      </c>
      <c r="BD215" s="4" t="e">
        <f>BC215/VLOOKUP(A215,'[57]geoMap (54)'!$A:$B,2,0)*VLOOKUP(A215,'[57]geoMap (54)'!$A:$C,3,0)</f>
        <v>#REF!</v>
      </c>
      <c r="BE215" s="1" t="e">
        <f>BD215/VLOOKUP(A215,'[58]geoMap (55)'!$A:$B,2,0)*VLOOKUP(A215,'[58]geoMap (55)'!$A:$C,3,0)</f>
        <v>#REF!</v>
      </c>
      <c r="BF215" s="4" t="e">
        <f>BE215/VLOOKUP(A215,'[59]geoMap (56)'!$A:$B,2,0)*VLOOKUP(A215,'[59]geoMap (56)'!$A:$C,3,0)</f>
        <v>#REF!</v>
      </c>
      <c r="BG215" s="1" t="e">
        <f>BF215/VLOOKUP(A215,'[60]geoMap (57)'!$A:$B,2,0)*VLOOKUP(A215,'[60]geoMap (57)'!$A:$C,3,0)</f>
        <v>#REF!</v>
      </c>
      <c r="BH215" s="4" t="e">
        <f>BG215/VLOOKUP(A215,'[61]geoMap (58)'!$A:$B,2,0)*VLOOKUP(A215,'[61]geoMap (58)'!$A:$C,3,0)</f>
        <v>#REF!</v>
      </c>
      <c r="BI215" s="1" t="e">
        <f>BH215/VLOOKUP(A215,'[62]geoMap (59)'!$A:$B,2,0)*VLOOKUP(A215,'[62]geoMap (59)'!$A:$C,3,0)</f>
        <v>#REF!</v>
      </c>
      <c r="BJ215" s="4" t="e">
        <f>BI215/VLOOKUP(A215,'[63]geoMap (60)'!$A:$B,2,0)*VLOOKUP(A215,'[63]geoMap (60)'!$A:$C,3,0)</f>
        <v>#REF!</v>
      </c>
      <c r="BK215" s="1" t="e">
        <f>BJ215/VLOOKUP(A215,'[64]geoMap (61)'!$A:$B,2,0)*VLOOKUP(A215,'[64]geoMap (61)'!$A:$C,3,0)</f>
        <v>#REF!</v>
      </c>
      <c r="BL215" s="4" t="e">
        <f>BK215/VLOOKUP(A215,'[65]geoMap (62)'!$A:$B,2,0)*VLOOKUP(A215,'[65]geoMap (62)'!$A:$C,3,0)</f>
        <v>#REF!</v>
      </c>
      <c r="BM215" s="1" t="e">
        <f>BL215/VLOOKUP(A215,'[66]geoMap (63)'!$A:$B,2,0)*VLOOKUP(A215,'[66]geoMap (63)'!$A:$C,3,0)</f>
        <v>#REF!</v>
      </c>
      <c r="BN215" s="4" t="e">
        <f>BM215/VLOOKUP(A215,'[67]geoMap (64)'!$A:$B,2,0)*VLOOKUP(A215,'[67]geoMap (64)'!$A:$C,3,0)</f>
        <v>#REF!</v>
      </c>
      <c r="BO215" s="1" t="e">
        <f>BN215/VLOOKUP(A215,'[68]geoMap (65)'!$A:$B,2,0)*VLOOKUP(A215,'[68]geoMap (65)'!$A:$C,3,0)</f>
        <v>#REF!</v>
      </c>
      <c r="BP215" s="4" t="e">
        <f>BO215/VLOOKUP(A215,'[69]geoMap (66)'!$A:$B,2,0)*VLOOKUP(A215,'[69]geoMap (66)'!$A:$C,3,0)</f>
        <v>#REF!</v>
      </c>
    </row>
    <row r="216" spans="1:68" x14ac:dyDescent="0.2">
      <c r="A216" s="1" t="s">
        <v>218</v>
      </c>
      <c r="B216" s="1" t="e">
        <f>VLOOKUP(A216,[3]geoMap!$A:$B,2,0)*Notes!$C$6</f>
        <v>#REF!</v>
      </c>
      <c r="C216" s="1" t="e">
        <f>B216/VLOOKUP(A216,'[4]geoMap (1)'!$A:$B,2,0)*VLOOKUP(A216,'[4]geoMap (1)'!$A:$C,3,0)</f>
        <v>#REF!</v>
      </c>
      <c r="D216" s="1" t="e">
        <f>C216/VLOOKUP(A216,'[5]geoMap (2)'!$A:$B,2,0)*VLOOKUP(A216,'[5]geoMap (2)'!$A:$C,3,0)</f>
        <v>#REF!</v>
      </c>
      <c r="E216" s="1" t="e">
        <f>D216/VLOOKUP(A216,'[6]geoMap (3)'!$A:$B,2,0)*VLOOKUP(A216,'[6]geoMap (3)'!$A:$C,3,0)</f>
        <v>#REF!</v>
      </c>
      <c r="F216" s="1" t="e">
        <f>E216/VLOOKUP(A216,'[7]geoMap (4)'!$A:$B,2,0)*VLOOKUP(A216,'[7]geoMap (4)'!$A:$C,3,0)</f>
        <v>#REF!</v>
      </c>
      <c r="G216" s="1" t="e">
        <f>F216/VLOOKUP(A216,'[8]geoMap (5)'!$A:$B,2,0)*VLOOKUP(A216,'[8]geoMap (5)'!$A:$C,3,0)</f>
        <v>#REF!</v>
      </c>
      <c r="H216" s="1" t="e">
        <f>G216/VLOOKUP(A216,'[9]geoMap (6)'!$A:$B,2,0)*VLOOKUP(A216,'[9]geoMap (6)'!$A:$C,3,0)</f>
        <v>#REF!</v>
      </c>
      <c r="I216" s="1" t="e">
        <f>H216/VLOOKUP(A216,'[10]geoMap (7)'!$A:$B,2,0)*VLOOKUP(A216,'[10]geoMap (7)'!$A:$C,3,0)</f>
        <v>#REF!</v>
      </c>
      <c r="J216" s="1" t="e">
        <f>I216/VLOOKUP(A216,'[11]geoMap (8)'!$A:$B,2,0)*VLOOKUP(A216,'[11]geoMap (8)'!$A:$C,3,0)</f>
        <v>#REF!</v>
      </c>
      <c r="K216" s="1" t="e">
        <f>J216/VLOOKUP(A216,'[12]geoMap (9)'!$A:$B,2,0)*VLOOKUP(A216,'[12]geoMap (9)'!$A:$C,3,0)</f>
        <v>#REF!</v>
      </c>
      <c r="L216" s="1" t="e">
        <f>K216/VLOOKUP(A216,'[13]geoMap (10)'!$A:$B,2,0)*VLOOKUP(A216,'[13]geoMap (10)'!$A:$C,3,0)</f>
        <v>#REF!</v>
      </c>
      <c r="M216" s="1" t="e">
        <f>L216/VLOOKUP(A216,'[14]geoMap (11)'!$A:$B,2,0)*VLOOKUP(A216,'[14]geoMap (11)'!$A:$C,3,0)</f>
        <v>#REF!</v>
      </c>
      <c r="N216" s="1" t="e">
        <f>M216/VLOOKUP(A216,'[15]geoMap (12)'!$A:$B,2,0)*VLOOKUP(A216,'[15]geoMap (12)'!$A:$C,3,0)</f>
        <v>#REF!</v>
      </c>
      <c r="O216" s="1" t="e">
        <f>N216/VLOOKUP(A216,'[16]geoMap (13)'!$A:$B,2,0)*VLOOKUP(A216,'[16]geoMap (13)'!$A:$C,3,0)</f>
        <v>#REF!</v>
      </c>
      <c r="P216" s="1" t="e">
        <f>O216/VLOOKUP(A216,'[17]geoMap (14)'!$A:$B,2,0)*VLOOKUP(A216,'[17]geoMap (14)'!$A:$C,3,0)</f>
        <v>#REF!</v>
      </c>
      <c r="Q216" s="1" t="e">
        <f>P216/VLOOKUP(A216,'[18]geoMap (15)'!$A:$B,2,0)*VLOOKUP(A216,'[18]geoMap (15)'!$A:$C,3,0)</f>
        <v>#REF!</v>
      </c>
      <c r="R216" s="1" t="e">
        <f>Q216/VLOOKUP(A216,'[19]geoMap (16)'!$A:$B,2,0)*VLOOKUP(A216,'[19]geoMap (16)'!$A:$C,3,0)</f>
        <v>#REF!</v>
      </c>
      <c r="S216" s="1" t="e">
        <f>R216/VLOOKUP(A216,'[20]geoMap (17)'!$A:$B,2,0)*VLOOKUP(A216,'[20]geoMap (17)'!$A:$C,3,0)</f>
        <v>#REF!</v>
      </c>
      <c r="T216" s="1" t="e">
        <f>S216/VLOOKUP(A216,'[21]geoMap (18)'!$A:$B,2,0)*VLOOKUP(A216,'[21]geoMap (18)'!$A:$C,3,0)</f>
        <v>#REF!</v>
      </c>
      <c r="U216" s="1" t="e">
        <f>T216/VLOOKUP(A216,'[22]geoMap (19)'!$A:$B,2,0)*VLOOKUP(A216,'[22]geoMap (19)'!$A:$C,3,0)</f>
        <v>#REF!</v>
      </c>
      <c r="V216" s="1" t="e">
        <f>U216/VLOOKUP(A216,'[23]geoMap (20)'!$A:$B,2,0)*VLOOKUP(A216,'[23]geoMap (20)'!$A:$C,3,0)</f>
        <v>#REF!</v>
      </c>
      <c r="W216" s="1" t="e">
        <f>V216/VLOOKUP(A216,'[24]geoMap (21)'!$A:$B,2,0)*VLOOKUP(A216,'[24]geoMap (21)'!$A:$C,3,0)</f>
        <v>#REF!</v>
      </c>
      <c r="X216" s="1" t="e">
        <f>W216/VLOOKUP(A216,'[25]geoMap (22)'!$A:$B,2,0)*VLOOKUP(A216,'[25]geoMap (22)'!$A:$C,3,0)</f>
        <v>#REF!</v>
      </c>
      <c r="Y216" s="1" t="e">
        <f>X216/VLOOKUP(A216,'[26]geoMap (23)'!$A:$B,2,0)*VLOOKUP(A216,'[26]geoMap (23)'!$A:$C,3,0)</f>
        <v>#REF!</v>
      </c>
      <c r="Z216" s="1" t="e">
        <f>Y216/VLOOKUP(A216,'[27]geoMap (24)'!$A:$B,2,0)*VLOOKUP(A216,'[27]geoMap (24)'!$A:$C,3,0)</f>
        <v>#REF!</v>
      </c>
      <c r="AA216" s="1" t="e">
        <f>Z216/VLOOKUP(A216,'[28]geoMap (25)'!$A:$B,2,0)*VLOOKUP(A216,'[28]geoMap (25)'!$A:$C,3,0)</f>
        <v>#REF!</v>
      </c>
      <c r="AB216" s="1" t="e">
        <f>AA216*VLOOKUP(A216,'[29]geoMap (26)'!$A:$B,2,0)*VLOOKUP(A216,'[29]geoMap (26)'!$A:$C,3,0)</f>
        <v>#REF!</v>
      </c>
      <c r="AC216" s="1" t="e">
        <f>AB216/VLOOKUP(A216,'[30]geoMap (27)'!$A:$B,2,0)*VLOOKUP(A216,'[30]geoMap (27)'!$A:$C,3,0)</f>
        <v>#REF!</v>
      </c>
      <c r="AD216" s="1" t="e">
        <f>AC216/VLOOKUP(A216,'[31]geoMap (28)'!$A:$B,2,0)*VLOOKUP(A216,'[31]geoMap (28)'!$A:$C,3,0)</f>
        <v>#REF!</v>
      </c>
      <c r="AE216" s="1" t="e">
        <f>AD216/VLOOKUP(A216,'[32]geoMap (29)'!$A:$B,2,0)*VLOOKUP(A216,'[32]geoMap (29)'!$A:$C,3,0)</f>
        <v>#REF!</v>
      </c>
      <c r="AF216" s="1" t="e">
        <f>AE216/VLOOKUP(A216,'[33]geoMap (30)'!$A:$B,2,0)*VLOOKUP(A216,'[33]geoMap (30)'!$A:$C,3,0)</f>
        <v>#REF!</v>
      </c>
      <c r="AG216" s="1" t="e">
        <f>AF216/VLOOKUP(A216,'[34]geoMap (31)'!$A:$B,2,0)*VLOOKUP(A216,'[34]geoMap (31)'!$A:$C,3,0)</f>
        <v>#REF!</v>
      </c>
      <c r="AH216" s="1" t="e">
        <f>AG216/VLOOKUP(A216,'[35]geoMap (32)'!$A:$B,2,0)*VLOOKUP(A216,'[35]geoMap (32)'!$A:$C,3,0)</f>
        <v>#REF!</v>
      </c>
      <c r="AI216" s="1" t="e">
        <f>AH216/VLOOKUP(A216,'[36]geoMap (33)'!$A:$B,2,0)*VLOOKUP(A216,'[36]geoMap (33)'!$A:$C,3,0)</f>
        <v>#REF!</v>
      </c>
      <c r="AJ216" s="1" t="e">
        <f>AI216/VLOOKUP(A216,'[37]geoMap (34)'!$A:$B,2,0)*VLOOKUP(A216,'[37]geoMap (34)'!$A:$C,3,0)</f>
        <v>#REF!</v>
      </c>
      <c r="AK216" s="1" t="e">
        <f>AJ216/VLOOKUP(A216,'[38]geoMap (35)'!$A:$B,2,0)*VLOOKUP(A216,'[38]geoMap (35)'!$A:$C,3,0)</f>
        <v>#REF!</v>
      </c>
      <c r="AL216" s="1" t="e">
        <f>AK216/VLOOKUP(A216,'[39]geoMap (36)'!$A:$B,2,0)*VLOOKUP(A216,'[39]geoMap (36)'!$A:$C,3,0)</f>
        <v>#REF!</v>
      </c>
      <c r="AM216" s="1" t="e">
        <f>AL216/VLOOKUP(A216,'[40]geoMap (37)'!$A:$B,2,0)*VLOOKUP(A216,'[40]geoMap (37)'!$A:$C,3,0)</f>
        <v>#REF!</v>
      </c>
      <c r="AN216" s="1" t="e">
        <f>AM216/VLOOKUP(A216,'[41]geoMap (38)'!$A:$B,2,0)*VLOOKUP(A216,'[41]geoMap (38)'!$A:$C,3,0)</f>
        <v>#REF!</v>
      </c>
      <c r="AO216" s="1" t="e">
        <f>AN216/VLOOKUP(A216,'[42]geoMap (39)'!$A:$B,2,0)*VLOOKUP(A216,'[42]geoMap (39)'!$A:$C,3,0)</f>
        <v>#REF!</v>
      </c>
      <c r="AP216" s="1" t="e">
        <f>AO216/VLOOKUP(A216,'[43]geoMap (40)'!$A:$B,2,0)*VLOOKUP(A216,'[43]geoMap (40)'!$A:$C,3,0)</f>
        <v>#REF!</v>
      </c>
      <c r="AQ216" s="1" t="e">
        <f>AP216/VLOOKUP(A216,'[44]geoMap (41)'!$A:$B,2,0)*VLOOKUP(A216,'[44]geoMap (41)'!$A:$C,3,0)</f>
        <v>#REF!</v>
      </c>
      <c r="AR216" s="1" t="e">
        <f>AQ216/VLOOKUP(A216,'[45]geoMap (42)'!$A:$B,2,0)*VLOOKUP(A216,'[45]geoMap (42)'!$A:$C,3,0)</f>
        <v>#REF!</v>
      </c>
      <c r="AS216" s="1" t="e">
        <f>AR216/VLOOKUP(A216,'[46]geoMap (43)'!$A:$B,2,0)*VLOOKUP(A216,'[46]geoMap (43)'!$A:$C,3,0)</f>
        <v>#REF!</v>
      </c>
      <c r="AT216" s="1" t="e">
        <f>AS216/VLOOKUP(A216,'[47]geoMap (44)'!$A:$B,2,0)*VLOOKUP(A216,'[47]geoMap (44)'!$A:$C,3,0)</f>
        <v>#REF!</v>
      </c>
      <c r="AU216" s="1" t="e">
        <f>AT216/VLOOKUP(A216,'[48]geoMap (45)'!$A:$B,2,0)*VLOOKUP(A216,'[48]geoMap (45)'!$A:$C,3,0)</f>
        <v>#REF!</v>
      </c>
      <c r="AV216" s="1" t="e">
        <f>AU216/VLOOKUP(A216,'[49]geoMap (46)'!$A:$B,2,0)*VLOOKUP(A216,'[49]geoMap (46)'!$A:$C,3,0)</f>
        <v>#REF!</v>
      </c>
      <c r="AW216" s="1" t="e">
        <f>AV216/VLOOKUP(A216,'[50]geoMap (47)'!$A:$B,2,0)*VLOOKUP(A216,'[50]geoMap (47)'!$A:$C,3,0)</f>
        <v>#REF!</v>
      </c>
      <c r="AX216" s="4" t="e">
        <f>AW216/VLOOKUP(A216,'[51]geoMap (48)'!$A:$B,2,0)*VLOOKUP(A216,'[51]geoMap (48)'!$A:$C,3,0)</f>
        <v>#REF!</v>
      </c>
      <c r="AY216" s="1" t="e">
        <f>AX216/VLOOKUP(A216,'[52]geoMap (49)'!$A:$B,2,0)*VLOOKUP(A216,'[52]geoMap (49)'!$A:$C,3,0)</f>
        <v>#REF!</v>
      </c>
      <c r="AZ216" s="4" t="e">
        <f>AY216/VLOOKUP(A216,'[53]geoMap (50)'!$A:$B,2,0)*VLOOKUP(A216,'[53]geoMap (50)'!$A:$C,3,0)</f>
        <v>#REF!</v>
      </c>
      <c r="BA216" s="1" t="e">
        <f>AZ216/VLOOKUP(A216,'[54]geoMap (51)'!$A:$B,2,0)*VLOOKUP(A216,'[54]geoMap (51)'!$A:$C,3,0)</f>
        <v>#REF!</v>
      </c>
      <c r="BB216" s="4" t="e">
        <f>BA216/VLOOKUP(A216,'[55]geoMap (52)'!$A:$B,2,0)*VLOOKUP(A216,'[55]geoMap (52)'!$A:$C,3,0)</f>
        <v>#REF!</v>
      </c>
      <c r="BC216" s="1" t="e">
        <f>BB216/VLOOKUP(A216,'[56]geoMap (53)'!$A:$B,2,0)*VLOOKUP(A216,'[56]geoMap (53)'!$A:$C,3,0)</f>
        <v>#REF!</v>
      </c>
      <c r="BD216" s="4" t="e">
        <f>BC216/VLOOKUP(A216,'[57]geoMap (54)'!$A:$B,2,0)*VLOOKUP(A216,'[57]geoMap (54)'!$A:$C,3,0)</f>
        <v>#REF!</v>
      </c>
      <c r="BE216" s="1" t="e">
        <f>BD216/VLOOKUP(A216,'[58]geoMap (55)'!$A:$B,2,0)*VLOOKUP(A216,'[58]geoMap (55)'!$A:$C,3,0)</f>
        <v>#REF!</v>
      </c>
      <c r="BF216" s="4" t="e">
        <f>BE216/VLOOKUP(A216,'[59]geoMap (56)'!$A:$B,2,0)*VLOOKUP(A216,'[59]geoMap (56)'!$A:$C,3,0)</f>
        <v>#REF!</v>
      </c>
      <c r="BG216" s="1" t="e">
        <f>BF216/VLOOKUP(A216,'[60]geoMap (57)'!$A:$B,2,0)*VLOOKUP(A216,'[60]geoMap (57)'!$A:$C,3,0)</f>
        <v>#REF!</v>
      </c>
      <c r="BH216" s="4" t="e">
        <f>BG216/VLOOKUP(A216,'[61]geoMap (58)'!$A:$B,2,0)*VLOOKUP(A216,'[61]geoMap (58)'!$A:$C,3,0)</f>
        <v>#REF!</v>
      </c>
      <c r="BI216" s="1" t="e">
        <f>BH216/VLOOKUP(A216,'[62]geoMap (59)'!$A:$B,2,0)*VLOOKUP(A216,'[62]geoMap (59)'!$A:$C,3,0)</f>
        <v>#REF!</v>
      </c>
      <c r="BJ216" s="4" t="e">
        <f>BI216/VLOOKUP(A216,'[63]geoMap (60)'!$A:$B,2,0)*VLOOKUP(A216,'[63]geoMap (60)'!$A:$C,3,0)</f>
        <v>#REF!</v>
      </c>
      <c r="BK216" s="1" t="e">
        <f>BJ216/VLOOKUP(A216,'[64]geoMap (61)'!$A:$B,2,0)*VLOOKUP(A216,'[64]geoMap (61)'!$A:$C,3,0)</f>
        <v>#REF!</v>
      </c>
      <c r="BL216" s="4" t="e">
        <f>BK216/VLOOKUP(A216,'[65]geoMap (62)'!$A:$B,2,0)*VLOOKUP(A216,'[65]geoMap (62)'!$A:$C,3,0)</f>
        <v>#REF!</v>
      </c>
      <c r="BM216" s="1" t="e">
        <f>BL216/VLOOKUP(A216,'[66]geoMap (63)'!$A:$B,2,0)*VLOOKUP(A216,'[66]geoMap (63)'!$A:$C,3,0)</f>
        <v>#REF!</v>
      </c>
      <c r="BN216" s="4" t="e">
        <f>BM216/VLOOKUP(A216,'[67]geoMap (64)'!$A:$B,2,0)*VLOOKUP(A216,'[67]geoMap (64)'!$A:$C,3,0)</f>
        <v>#REF!</v>
      </c>
      <c r="BO216" s="1" t="e">
        <f>BN216/VLOOKUP(A216,'[68]geoMap (65)'!$A:$B,2,0)*VLOOKUP(A216,'[68]geoMap (65)'!$A:$C,3,0)</f>
        <v>#REF!</v>
      </c>
      <c r="BP216" s="4" t="e">
        <f>BO216/VLOOKUP(A216,'[69]geoMap (66)'!$A:$B,2,0)*VLOOKUP(A216,'[69]geoMap (66)'!$A:$C,3,0)</f>
        <v>#REF!</v>
      </c>
    </row>
    <row r="217" spans="1:68" x14ac:dyDescent="0.2">
      <c r="A217" s="1" t="s">
        <v>219</v>
      </c>
      <c r="B217" s="1" t="e">
        <f>VLOOKUP(A217,[3]geoMap!$A:$B,2,0)*Notes!$C$6</f>
        <v>#REF!</v>
      </c>
      <c r="C217" s="1" t="e">
        <f>B217/VLOOKUP(A217,'[4]geoMap (1)'!$A:$B,2,0)*VLOOKUP(A217,'[4]geoMap (1)'!$A:$C,3,0)</f>
        <v>#REF!</v>
      </c>
      <c r="D217" s="1" t="e">
        <f>C217/VLOOKUP(A217,'[5]geoMap (2)'!$A:$B,2,0)*VLOOKUP(A217,'[5]geoMap (2)'!$A:$C,3,0)</f>
        <v>#REF!</v>
      </c>
      <c r="E217" s="1" t="e">
        <f>D217/VLOOKUP(A217,'[6]geoMap (3)'!$A:$B,2,0)*VLOOKUP(A217,'[6]geoMap (3)'!$A:$C,3,0)</f>
        <v>#REF!</v>
      </c>
      <c r="F217" s="1" t="e">
        <f>E217/VLOOKUP(A217,'[7]geoMap (4)'!$A:$B,2,0)*VLOOKUP(A217,'[7]geoMap (4)'!$A:$C,3,0)</f>
        <v>#REF!</v>
      </c>
      <c r="G217" s="1" t="e">
        <f>F217/VLOOKUP(A217,'[8]geoMap (5)'!$A:$B,2,0)*VLOOKUP(A217,'[8]geoMap (5)'!$A:$C,3,0)</f>
        <v>#REF!</v>
      </c>
      <c r="H217" s="1" t="e">
        <f>G217/VLOOKUP(A217,'[9]geoMap (6)'!$A:$B,2,0)*VLOOKUP(A217,'[9]geoMap (6)'!$A:$C,3,0)</f>
        <v>#REF!</v>
      </c>
      <c r="I217" s="1" t="e">
        <f>H217/VLOOKUP(A217,'[10]geoMap (7)'!$A:$B,2,0)*VLOOKUP(A217,'[10]geoMap (7)'!$A:$C,3,0)</f>
        <v>#REF!</v>
      </c>
      <c r="J217" s="1" t="e">
        <f>I217/VLOOKUP(A217,'[11]geoMap (8)'!$A:$B,2,0)*VLOOKUP(A217,'[11]geoMap (8)'!$A:$C,3,0)</f>
        <v>#REF!</v>
      </c>
      <c r="K217" s="1" t="e">
        <f>J217/VLOOKUP(A217,'[12]geoMap (9)'!$A:$B,2,0)*VLOOKUP(A217,'[12]geoMap (9)'!$A:$C,3,0)</f>
        <v>#REF!</v>
      </c>
      <c r="L217" s="1" t="e">
        <f>K217/VLOOKUP(A217,'[13]geoMap (10)'!$A:$B,2,0)*VLOOKUP(A217,'[13]geoMap (10)'!$A:$C,3,0)</f>
        <v>#REF!</v>
      </c>
      <c r="M217" s="1" t="e">
        <f>L217/VLOOKUP(A217,'[14]geoMap (11)'!$A:$B,2,0)*VLOOKUP(A217,'[14]geoMap (11)'!$A:$C,3,0)</f>
        <v>#REF!</v>
      </c>
      <c r="N217" s="1" t="e">
        <f>M217/VLOOKUP(A217,'[15]geoMap (12)'!$A:$B,2,0)*VLOOKUP(A217,'[15]geoMap (12)'!$A:$C,3,0)</f>
        <v>#REF!</v>
      </c>
      <c r="O217" s="1" t="e">
        <f>N217/VLOOKUP(A217,'[16]geoMap (13)'!$A:$B,2,0)*VLOOKUP(A217,'[16]geoMap (13)'!$A:$C,3,0)</f>
        <v>#REF!</v>
      </c>
      <c r="P217" s="1" t="e">
        <f>O217/VLOOKUP(A217,'[17]geoMap (14)'!$A:$B,2,0)*VLOOKUP(A217,'[17]geoMap (14)'!$A:$C,3,0)</f>
        <v>#REF!</v>
      </c>
      <c r="Q217" s="1" t="e">
        <f>P217/VLOOKUP(A217,'[18]geoMap (15)'!$A:$B,2,0)*VLOOKUP(A217,'[18]geoMap (15)'!$A:$C,3,0)</f>
        <v>#REF!</v>
      </c>
      <c r="R217" s="1" t="e">
        <f>Q217/VLOOKUP(A217,'[19]geoMap (16)'!$A:$B,2,0)*VLOOKUP(A217,'[19]geoMap (16)'!$A:$C,3,0)</f>
        <v>#REF!</v>
      </c>
      <c r="S217" s="1" t="e">
        <f>R217/VLOOKUP(A217,'[20]geoMap (17)'!$A:$B,2,0)*VLOOKUP(A217,'[20]geoMap (17)'!$A:$C,3,0)</f>
        <v>#REF!</v>
      </c>
      <c r="T217" s="1" t="e">
        <f>S217/VLOOKUP(A217,'[21]geoMap (18)'!$A:$B,2,0)*VLOOKUP(A217,'[21]geoMap (18)'!$A:$C,3,0)</f>
        <v>#REF!</v>
      </c>
      <c r="U217" s="1" t="e">
        <f>T217/VLOOKUP(A217,'[22]geoMap (19)'!$A:$B,2,0)*VLOOKUP(A217,'[22]geoMap (19)'!$A:$C,3,0)</f>
        <v>#REF!</v>
      </c>
      <c r="V217" s="1" t="e">
        <f>U217/VLOOKUP(A217,'[23]geoMap (20)'!$A:$B,2,0)*VLOOKUP(A217,'[23]geoMap (20)'!$A:$C,3,0)</f>
        <v>#REF!</v>
      </c>
      <c r="W217" s="1" t="e">
        <f>V217/VLOOKUP(A217,'[24]geoMap (21)'!$A:$B,2,0)*VLOOKUP(A217,'[24]geoMap (21)'!$A:$C,3,0)</f>
        <v>#REF!</v>
      </c>
      <c r="X217" s="1" t="e">
        <f>W217/VLOOKUP(A217,'[25]geoMap (22)'!$A:$B,2,0)*VLOOKUP(A217,'[25]geoMap (22)'!$A:$C,3,0)</f>
        <v>#REF!</v>
      </c>
      <c r="Y217" s="1" t="e">
        <f>X217/VLOOKUP(A217,'[26]geoMap (23)'!$A:$B,2,0)*VLOOKUP(A217,'[26]geoMap (23)'!$A:$C,3,0)</f>
        <v>#REF!</v>
      </c>
      <c r="Z217" s="1" t="e">
        <f>Y217/VLOOKUP(A217,'[27]geoMap (24)'!$A:$B,2,0)*VLOOKUP(A217,'[27]geoMap (24)'!$A:$C,3,0)</f>
        <v>#REF!</v>
      </c>
      <c r="AA217" s="1" t="e">
        <f>Z217/VLOOKUP(A217,'[28]geoMap (25)'!$A:$B,2,0)*VLOOKUP(A217,'[28]geoMap (25)'!$A:$C,3,0)</f>
        <v>#REF!</v>
      </c>
      <c r="AB217" s="1" t="e">
        <f>AA217*VLOOKUP(A217,'[29]geoMap (26)'!$A:$B,2,0)*VLOOKUP(A217,'[29]geoMap (26)'!$A:$C,3,0)</f>
        <v>#REF!</v>
      </c>
      <c r="AC217" s="1" t="e">
        <f>AB217/VLOOKUP(A217,'[30]geoMap (27)'!$A:$B,2,0)*VLOOKUP(A217,'[30]geoMap (27)'!$A:$C,3,0)</f>
        <v>#REF!</v>
      </c>
      <c r="AD217" s="1" t="e">
        <f>AC217/VLOOKUP(A217,'[31]geoMap (28)'!$A:$B,2,0)*VLOOKUP(A217,'[31]geoMap (28)'!$A:$C,3,0)</f>
        <v>#REF!</v>
      </c>
      <c r="AE217" s="1" t="e">
        <f>AD217/VLOOKUP(A217,'[32]geoMap (29)'!$A:$B,2,0)*VLOOKUP(A217,'[32]geoMap (29)'!$A:$C,3,0)</f>
        <v>#REF!</v>
      </c>
      <c r="AF217" s="1" t="e">
        <f>AE217/VLOOKUP(A217,'[33]geoMap (30)'!$A:$B,2,0)*VLOOKUP(A217,'[33]geoMap (30)'!$A:$C,3,0)</f>
        <v>#REF!</v>
      </c>
      <c r="AG217" s="1" t="e">
        <f>AF217/VLOOKUP(A217,'[34]geoMap (31)'!$A:$B,2,0)*VLOOKUP(A217,'[34]geoMap (31)'!$A:$C,3,0)</f>
        <v>#REF!</v>
      </c>
      <c r="AH217" s="1" t="e">
        <f>AG217/VLOOKUP(A217,'[35]geoMap (32)'!$A:$B,2,0)*VLOOKUP(A217,'[35]geoMap (32)'!$A:$C,3,0)</f>
        <v>#REF!</v>
      </c>
      <c r="AI217" s="1" t="e">
        <f>AH217/VLOOKUP(A217,'[36]geoMap (33)'!$A:$B,2,0)*VLOOKUP(A217,'[36]geoMap (33)'!$A:$C,3,0)</f>
        <v>#REF!</v>
      </c>
      <c r="AJ217" s="1" t="e">
        <f>AI217/VLOOKUP(A217,'[37]geoMap (34)'!$A:$B,2,0)*VLOOKUP(A217,'[37]geoMap (34)'!$A:$C,3,0)</f>
        <v>#REF!</v>
      </c>
      <c r="AK217" s="1" t="e">
        <f>AJ217/VLOOKUP(A217,'[38]geoMap (35)'!$A:$B,2,0)*VLOOKUP(A217,'[38]geoMap (35)'!$A:$C,3,0)</f>
        <v>#REF!</v>
      </c>
      <c r="AL217" s="1" t="e">
        <f>AK217/VLOOKUP(A217,'[39]geoMap (36)'!$A:$B,2,0)*VLOOKUP(A217,'[39]geoMap (36)'!$A:$C,3,0)</f>
        <v>#REF!</v>
      </c>
      <c r="AM217" s="1" t="e">
        <f>AL217/VLOOKUP(A217,'[40]geoMap (37)'!$A:$B,2,0)*VLOOKUP(A217,'[40]geoMap (37)'!$A:$C,3,0)</f>
        <v>#REF!</v>
      </c>
      <c r="AN217" s="1" t="e">
        <f>AM217/VLOOKUP(A217,'[41]geoMap (38)'!$A:$B,2,0)*VLOOKUP(A217,'[41]geoMap (38)'!$A:$C,3,0)</f>
        <v>#REF!</v>
      </c>
      <c r="AO217" s="1" t="e">
        <f>AN217/VLOOKUP(A217,'[42]geoMap (39)'!$A:$B,2,0)*VLOOKUP(A217,'[42]geoMap (39)'!$A:$C,3,0)</f>
        <v>#REF!</v>
      </c>
      <c r="AP217" s="1" t="e">
        <f>AO217/VLOOKUP(A217,'[43]geoMap (40)'!$A:$B,2,0)*VLOOKUP(A217,'[43]geoMap (40)'!$A:$C,3,0)</f>
        <v>#REF!</v>
      </c>
      <c r="AQ217" s="1" t="e">
        <f>AP217/VLOOKUP(A217,'[44]geoMap (41)'!$A:$B,2,0)*VLOOKUP(A217,'[44]geoMap (41)'!$A:$C,3,0)</f>
        <v>#REF!</v>
      </c>
      <c r="AR217" s="1" t="e">
        <f>AQ217/VLOOKUP(A217,'[45]geoMap (42)'!$A:$B,2,0)*VLOOKUP(A217,'[45]geoMap (42)'!$A:$C,3,0)</f>
        <v>#REF!</v>
      </c>
      <c r="AS217" s="1" t="e">
        <f>AR217/VLOOKUP(A217,'[46]geoMap (43)'!$A:$B,2,0)*VLOOKUP(A217,'[46]geoMap (43)'!$A:$C,3,0)</f>
        <v>#REF!</v>
      </c>
      <c r="AT217" s="1" t="e">
        <f>AS217/VLOOKUP(A217,'[47]geoMap (44)'!$A:$B,2,0)*VLOOKUP(A217,'[47]geoMap (44)'!$A:$C,3,0)</f>
        <v>#REF!</v>
      </c>
      <c r="AU217" s="1" t="e">
        <f>AT217/VLOOKUP(A217,'[48]geoMap (45)'!$A:$B,2,0)*VLOOKUP(A217,'[48]geoMap (45)'!$A:$C,3,0)</f>
        <v>#REF!</v>
      </c>
      <c r="AV217" s="1" t="e">
        <f>AU217/VLOOKUP(A217,'[49]geoMap (46)'!$A:$B,2,0)*VLOOKUP(A217,'[49]geoMap (46)'!$A:$C,3,0)</f>
        <v>#REF!</v>
      </c>
      <c r="AW217" s="1" t="e">
        <f>AV217/VLOOKUP(A217,'[50]geoMap (47)'!$A:$B,2,0)*VLOOKUP(A217,'[50]geoMap (47)'!$A:$C,3,0)</f>
        <v>#REF!</v>
      </c>
      <c r="AX217" s="4" t="e">
        <f>AW217/VLOOKUP(A217,'[51]geoMap (48)'!$A:$B,2,0)*VLOOKUP(A217,'[51]geoMap (48)'!$A:$C,3,0)</f>
        <v>#REF!</v>
      </c>
      <c r="AY217" s="1" t="e">
        <f>AX217/VLOOKUP(A217,'[52]geoMap (49)'!$A:$B,2,0)*VLOOKUP(A217,'[52]geoMap (49)'!$A:$C,3,0)</f>
        <v>#REF!</v>
      </c>
      <c r="AZ217" s="4" t="e">
        <f>AY217/VLOOKUP(A217,'[53]geoMap (50)'!$A:$B,2,0)*VLOOKUP(A217,'[53]geoMap (50)'!$A:$C,3,0)</f>
        <v>#REF!</v>
      </c>
      <c r="BA217" s="1" t="e">
        <f>AZ217/VLOOKUP(A217,'[54]geoMap (51)'!$A:$B,2,0)*VLOOKUP(A217,'[54]geoMap (51)'!$A:$C,3,0)</f>
        <v>#REF!</v>
      </c>
      <c r="BB217" s="4" t="e">
        <f>BA217/VLOOKUP(A217,'[55]geoMap (52)'!$A:$B,2,0)*VLOOKUP(A217,'[55]geoMap (52)'!$A:$C,3,0)</f>
        <v>#REF!</v>
      </c>
      <c r="BC217" s="1" t="e">
        <f>BB217/VLOOKUP(A217,'[56]geoMap (53)'!$A:$B,2,0)*VLOOKUP(A217,'[56]geoMap (53)'!$A:$C,3,0)</f>
        <v>#REF!</v>
      </c>
      <c r="BD217" s="4" t="e">
        <f>BC217/VLOOKUP(A217,'[57]geoMap (54)'!$A:$B,2,0)*VLOOKUP(A217,'[57]geoMap (54)'!$A:$C,3,0)</f>
        <v>#REF!</v>
      </c>
      <c r="BE217" s="1" t="e">
        <f>BD217/VLOOKUP(A217,'[58]geoMap (55)'!$A:$B,2,0)*VLOOKUP(A217,'[58]geoMap (55)'!$A:$C,3,0)</f>
        <v>#REF!</v>
      </c>
      <c r="BF217" s="4" t="e">
        <f>BE217/VLOOKUP(A217,'[59]geoMap (56)'!$A:$B,2,0)*VLOOKUP(A217,'[59]geoMap (56)'!$A:$C,3,0)</f>
        <v>#REF!</v>
      </c>
      <c r="BG217" s="1" t="e">
        <f>BF217/VLOOKUP(A217,'[60]geoMap (57)'!$A:$B,2,0)*VLOOKUP(A217,'[60]geoMap (57)'!$A:$C,3,0)</f>
        <v>#REF!</v>
      </c>
      <c r="BH217" s="4" t="e">
        <f>BG217/VLOOKUP(A217,'[61]geoMap (58)'!$A:$B,2,0)*VLOOKUP(A217,'[61]geoMap (58)'!$A:$C,3,0)</f>
        <v>#REF!</v>
      </c>
      <c r="BI217" s="1" t="e">
        <f>BH217/VLOOKUP(A217,'[62]geoMap (59)'!$A:$B,2,0)*VLOOKUP(A217,'[62]geoMap (59)'!$A:$C,3,0)</f>
        <v>#REF!</v>
      </c>
      <c r="BJ217" s="4" t="e">
        <f>BI217/VLOOKUP(A217,'[63]geoMap (60)'!$A:$B,2,0)*VLOOKUP(A217,'[63]geoMap (60)'!$A:$C,3,0)</f>
        <v>#REF!</v>
      </c>
      <c r="BK217" s="1" t="e">
        <f>BJ217/VLOOKUP(A217,'[64]geoMap (61)'!$A:$B,2,0)*VLOOKUP(A217,'[64]geoMap (61)'!$A:$C,3,0)</f>
        <v>#REF!</v>
      </c>
      <c r="BL217" s="4" t="e">
        <f>BK217/VLOOKUP(A217,'[65]geoMap (62)'!$A:$B,2,0)*VLOOKUP(A217,'[65]geoMap (62)'!$A:$C,3,0)</f>
        <v>#REF!</v>
      </c>
      <c r="BM217" s="1" t="e">
        <f>BL217/VLOOKUP(A217,'[66]geoMap (63)'!$A:$B,2,0)*VLOOKUP(A217,'[66]geoMap (63)'!$A:$C,3,0)</f>
        <v>#REF!</v>
      </c>
      <c r="BN217" s="4" t="e">
        <f>BM217/VLOOKUP(A217,'[67]geoMap (64)'!$A:$B,2,0)*VLOOKUP(A217,'[67]geoMap (64)'!$A:$C,3,0)</f>
        <v>#REF!</v>
      </c>
      <c r="BO217" s="1" t="e">
        <f>BN217/VLOOKUP(A217,'[68]geoMap (65)'!$A:$B,2,0)*VLOOKUP(A217,'[68]geoMap (65)'!$A:$C,3,0)</f>
        <v>#REF!</v>
      </c>
      <c r="BP217" s="4" t="e">
        <f>BO217/VLOOKUP(A217,'[69]geoMap (66)'!$A:$B,2,0)*VLOOKUP(A217,'[69]geoMap (66)'!$A:$C,3,0)</f>
        <v>#REF!</v>
      </c>
    </row>
    <row r="218" spans="1:68" x14ac:dyDescent="0.2">
      <c r="A218" s="1" t="s">
        <v>220</v>
      </c>
      <c r="B218" s="1" t="e">
        <f>VLOOKUP(A218,[3]geoMap!$A:$B,2,0)*Notes!$C$6</f>
        <v>#REF!</v>
      </c>
      <c r="C218" s="1" t="e">
        <f>B218/VLOOKUP(A218,'[4]geoMap (1)'!$A:$B,2,0)*VLOOKUP(A218,'[4]geoMap (1)'!$A:$C,3,0)</f>
        <v>#REF!</v>
      </c>
      <c r="D218" s="1" t="e">
        <f>C218/VLOOKUP(A218,'[5]geoMap (2)'!$A:$B,2,0)*VLOOKUP(A218,'[5]geoMap (2)'!$A:$C,3,0)</f>
        <v>#REF!</v>
      </c>
      <c r="E218" s="1" t="e">
        <f>D218/VLOOKUP(A218,'[6]geoMap (3)'!$A:$B,2,0)*VLOOKUP(A218,'[6]geoMap (3)'!$A:$C,3,0)</f>
        <v>#REF!</v>
      </c>
      <c r="F218" s="1" t="e">
        <f>E218/VLOOKUP(A218,'[7]geoMap (4)'!$A:$B,2,0)*VLOOKUP(A218,'[7]geoMap (4)'!$A:$C,3,0)</f>
        <v>#REF!</v>
      </c>
      <c r="G218" s="1" t="e">
        <f>F218/VLOOKUP(A218,'[8]geoMap (5)'!$A:$B,2,0)*VLOOKUP(A218,'[8]geoMap (5)'!$A:$C,3,0)</f>
        <v>#REF!</v>
      </c>
      <c r="H218" s="1" t="e">
        <f>G218/VLOOKUP(A218,'[9]geoMap (6)'!$A:$B,2,0)*VLOOKUP(A218,'[9]geoMap (6)'!$A:$C,3,0)</f>
        <v>#REF!</v>
      </c>
      <c r="I218" s="1" t="e">
        <f>H218/VLOOKUP(A218,'[10]geoMap (7)'!$A:$B,2,0)*VLOOKUP(A218,'[10]geoMap (7)'!$A:$C,3,0)</f>
        <v>#REF!</v>
      </c>
      <c r="J218" s="1" t="e">
        <f>I218/VLOOKUP(A218,'[11]geoMap (8)'!$A:$B,2,0)*VLOOKUP(A218,'[11]geoMap (8)'!$A:$C,3,0)</f>
        <v>#REF!</v>
      </c>
      <c r="K218" s="1" t="e">
        <f>J218/VLOOKUP(A218,'[12]geoMap (9)'!$A:$B,2,0)*VLOOKUP(A218,'[12]geoMap (9)'!$A:$C,3,0)</f>
        <v>#REF!</v>
      </c>
      <c r="L218" s="1" t="e">
        <f>K218/VLOOKUP(A218,'[13]geoMap (10)'!$A:$B,2,0)*VLOOKUP(A218,'[13]geoMap (10)'!$A:$C,3,0)</f>
        <v>#REF!</v>
      </c>
      <c r="M218" s="1" t="e">
        <f>L218/VLOOKUP(A218,'[14]geoMap (11)'!$A:$B,2,0)*VLOOKUP(A218,'[14]geoMap (11)'!$A:$C,3,0)</f>
        <v>#REF!</v>
      </c>
      <c r="N218" s="1" t="e">
        <f>M218/VLOOKUP(A218,'[15]geoMap (12)'!$A:$B,2,0)*VLOOKUP(A218,'[15]geoMap (12)'!$A:$C,3,0)</f>
        <v>#REF!</v>
      </c>
      <c r="O218" s="1" t="e">
        <f>N218/VLOOKUP(A218,'[16]geoMap (13)'!$A:$B,2,0)*VLOOKUP(A218,'[16]geoMap (13)'!$A:$C,3,0)</f>
        <v>#REF!</v>
      </c>
      <c r="P218" s="1" t="e">
        <f>O218/VLOOKUP(A218,'[17]geoMap (14)'!$A:$B,2,0)*VLOOKUP(A218,'[17]geoMap (14)'!$A:$C,3,0)</f>
        <v>#REF!</v>
      </c>
      <c r="Q218" s="1" t="e">
        <f>P218/VLOOKUP(A218,'[18]geoMap (15)'!$A:$B,2,0)*VLOOKUP(A218,'[18]geoMap (15)'!$A:$C,3,0)</f>
        <v>#REF!</v>
      </c>
      <c r="R218" s="1" t="e">
        <f>Q218/VLOOKUP(A218,'[19]geoMap (16)'!$A:$B,2,0)*VLOOKUP(A218,'[19]geoMap (16)'!$A:$C,3,0)</f>
        <v>#REF!</v>
      </c>
      <c r="S218" s="1" t="e">
        <f>R218/VLOOKUP(A218,'[20]geoMap (17)'!$A:$B,2,0)*VLOOKUP(A218,'[20]geoMap (17)'!$A:$C,3,0)</f>
        <v>#REF!</v>
      </c>
      <c r="T218" s="1" t="e">
        <f>S218/VLOOKUP(A218,'[21]geoMap (18)'!$A:$B,2,0)*VLOOKUP(A218,'[21]geoMap (18)'!$A:$C,3,0)</f>
        <v>#REF!</v>
      </c>
      <c r="U218" s="1" t="e">
        <f>T218/VLOOKUP(A218,'[22]geoMap (19)'!$A:$B,2,0)*VLOOKUP(A218,'[22]geoMap (19)'!$A:$C,3,0)</f>
        <v>#REF!</v>
      </c>
      <c r="V218" s="1" t="e">
        <f>U218/VLOOKUP(A218,'[23]geoMap (20)'!$A:$B,2,0)*VLOOKUP(A218,'[23]geoMap (20)'!$A:$C,3,0)</f>
        <v>#REF!</v>
      </c>
      <c r="W218" s="1" t="e">
        <f>V218/VLOOKUP(A218,'[24]geoMap (21)'!$A:$B,2,0)*VLOOKUP(A218,'[24]geoMap (21)'!$A:$C,3,0)</f>
        <v>#REF!</v>
      </c>
      <c r="X218" s="1" t="e">
        <f>W218/VLOOKUP(A218,'[25]geoMap (22)'!$A:$B,2,0)*VLOOKUP(A218,'[25]geoMap (22)'!$A:$C,3,0)</f>
        <v>#REF!</v>
      </c>
      <c r="Y218" s="1" t="e">
        <f>X218/VLOOKUP(A218,'[26]geoMap (23)'!$A:$B,2,0)*VLOOKUP(A218,'[26]geoMap (23)'!$A:$C,3,0)</f>
        <v>#REF!</v>
      </c>
      <c r="Z218" s="1" t="e">
        <f>Y218/VLOOKUP(A218,'[27]geoMap (24)'!$A:$B,2,0)*VLOOKUP(A218,'[27]geoMap (24)'!$A:$C,3,0)</f>
        <v>#REF!</v>
      </c>
      <c r="AA218" s="1" t="e">
        <f>Z218/VLOOKUP(A218,'[28]geoMap (25)'!$A:$B,2,0)*VLOOKUP(A218,'[28]geoMap (25)'!$A:$C,3,0)</f>
        <v>#REF!</v>
      </c>
      <c r="AB218" s="1" t="e">
        <f>AA218*VLOOKUP(A218,'[29]geoMap (26)'!$A:$B,2,0)*VLOOKUP(A218,'[29]geoMap (26)'!$A:$C,3,0)</f>
        <v>#REF!</v>
      </c>
      <c r="AC218" s="1" t="e">
        <f>AB218/VLOOKUP(A218,'[30]geoMap (27)'!$A:$B,2,0)*VLOOKUP(A218,'[30]geoMap (27)'!$A:$C,3,0)</f>
        <v>#REF!</v>
      </c>
      <c r="AD218" s="1" t="e">
        <f>AC218/VLOOKUP(A218,'[31]geoMap (28)'!$A:$B,2,0)*VLOOKUP(A218,'[31]geoMap (28)'!$A:$C,3,0)</f>
        <v>#REF!</v>
      </c>
      <c r="AE218" s="1" t="e">
        <f>AD218/VLOOKUP(A218,'[32]geoMap (29)'!$A:$B,2,0)*VLOOKUP(A218,'[32]geoMap (29)'!$A:$C,3,0)</f>
        <v>#REF!</v>
      </c>
      <c r="AF218" s="1" t="e">
        <f>AE218/VLOOKUP(A218,'[33]geoMap (30)'!$A:$B,2,0)*VLOOKUP(A218,'[33]geoMap (30)'!$A:$C,3,0)</f>
        <v>#REF!</v>
      </c>
      <c r="AG218" s="1" t="e">
        <f>AF218/VLOOKUP(A218,'[34]geoMap (31)'!$A:$B,2,0)*VLOOKUP(A218,'[34]geoMap (31)'!$A:$C,3,0)</f>
        <v>#REF!</v>
      </c>
      <c r="AH218" s="1" t="e">
        <f>AG218/VLOOKUP(A218,'[35]geoMap (32)'!$A:$B,2,0)*VLOOKUP(A218,'[35]geoMap (32)'!$A:$C,3,0)</f>
        <v>#REF!</v>
      </c>
      <c r="AI218" s="1" t="e">
        <f>AH218/VLOOKUP(A218,'[36]geoMap (33)'!$A:$B,2,0)*VLOOKUP(A218,'[36]geoMap (33)'!$A:$C,3,0)</f>
        <v>#REF!</v>
      </c>
      <c r="AJ218" s="1" t="e">
        <f>AI218/VLOOKUP(A218,'[37]geoMap (34)'!$A:$B,2,0)*VLOOKUP(A218,'[37]geoMap (34)'!$A:$C,3,0)</f>
        <v>#REF!</v>
      </c>
      <c r="AK218" s="1" t="e">
        <f>AJ218/VLOOKUP(A218,'[38]geoMap (35)'!$A:$B,2,0)*VLOOKUP(A218,'[38]geoMap (35)'!$A:$C,3,0)</f>
        <v>#REF!</v>
      </c>
      <c r="AL218" s="1" t="e">
        <f>AK218/VLOOKUP(A218,'[39]geoMap (36)'!$A:$B,2,0)*VLOOKUP(A218,'[39]geoMap (36)'!$A:$C,3,0)</f>
        <v>#REF!</v>
      </c>
      <c r="AM218" s="1" t="e">
        <f>AL218/VLOOKUP(A218,'[40]geoMap (37)'!$A:$B,2,0)*VLOOKUP(A218,'[40]geoMap (37)'!$A:$C,3,0)</f>
        <v>#REF!</v>
      </c>
      <c r="AN218" s="1" t="e">
        <f>AM218/VLOOKUP(A218,'[41]geoMap (38)'!$A:$B,2,0)*VLOOKUP(A218,'[41]geoMap (38)'!$A:$C,3,0)</f>
        <v>#REF!</v>
      </c>
      <c r="AO218" s="1" t="e">
        <f>AN218/VLOOKUP(A218,'[42]geoMap (39)'!$A:$B,2,0)*VLOOKUP(A218,'[42]geoMap (39)'!$A:$C,3,0)</f>
        <v>#REF!</v>
      </c>
      <c r="AP218" s="1" t="e">
        <f>AO218/VLOOKUP(A218,'[43]geoMap (40)'!$A:$B,2,0)*VLOOKUP(A218,'[43]geoMap (40)'!$A:$C,3,0)</f>
        <v>#REF!</v>
      </c>
      <c r="AQ218" s="1" t="e">
        <f>AP218/VLOOKUP(A218,'[44]geoMap (41)'!$A:$B,2,0)*VLOOKUP(A218,'[44]geoMap (41)'!$A:$C,3,0)</f>
        <v>#REF!</v>
      </c>
      <c r="AR218" s="1" t="e">
        <f>AQ218/VLOOKUP(A218,'[45]geoMap (42)'!$A:$B,2,0)*VLOOKUP(A218,'[45]geoMap (42)'!$A:$C,3,0)</f>
        <v>#REF!</v>
      </c>
      <c r="AS218" s="1" t="e">
        <f>AR218/VLOOKUP(A218,'[46]geoMap (43)'!$A:$B,2,0)*VLOOKUP(A218,'[46]geoMap (43)'!$A:$C,3,0)</f>
        <v>#REF!</v>
      </c>
      <c r="AT218" s="1" t="e">
        <f>AS218/VLOOKUP(A218,'[47]geoMap (44)'!$A:$B,2,0)*VLOOKUP(A218,'[47]geoMap (44)'!$A:$C,3,0)</f>
        <v>#REF!</v>
      </c>
      <c r="AU218" s="1" t="e">
        <f>AT218/VLOOKUP(A218,'[48]geoMap (45)'!$A:$B,2,0)*VLOOKUP(A218,'[48]geoMap (45)'!$A:$C,3,0)</f>
        <v>#REF!</v>
      </c>
      <c r="AV218" s="1" t="e">
        <f>AU218/VLOOKUP(A218,'[49]geoMap (46)'!$A:$B,2,0)*VLOOKUP(A218,'[49]geoMap (46)'!$A:$C,3,0)</f>
        <v>#REF!</v>
      </c>
      <c r="AW218" s="1" t="e">
        <f>AV218/VLOOKUP(A218,'[50]geoMap (47)'!$A:$B,2,0)*VLOOKUP(A218,'[50]geoMap (47)'!$A:$C,3,0)</f>
        <v>#REF!</v>
      </c>
      <c r="AX218" s="4" t="e">
        <f>AW218/VLOOKUP(A218,'[51]geoMap (48)'!$A:$B,2,0)*VLOOKUP(A218,'[51]geoMap (48)'!$A:$C,3,0)</f>
        <v>#REF!</v>
      </c>
      <c r="AY218" s="1" t="e">
        <f>AX218/VLOOKUP(A218,'[52]geoMap (49)'!$A:$B,2,0)*VLOOKUP(A218,'[52]geoMap (49)'!$A:$C,3,0)</f>
        <v>#REF!</v>
      </c>
      <c r="AZ218" s="4" t="e">
        <f>AY218/VLOOKUP(A218,'[53]geoMap (50)'!$A:$B,2,0)*VLOOKUP(A218,'[53]geoMap (50)'!$A:$C,3,0)</f>
        <v>#REF!</v>
      </c>
      <c r="BA218" s="1" t="e">
        <f>AZ218/VLOOKUP(A218,'[54]geoMap (51)'!$A:$B,2,0)*VLOOKUP(A218,'[54]geoMap (51)'!$A:$C,3,0)</f>
        <v>#REF!</v>
      </c>
      <c r="BB218" s="4" t="e">
        <f>BA218/VLOOKUP(A218,'[55]geoMap (52)'!$A:$B,2,0)*VLOOKUP(A218,'[55]geoMap (52)'!$A:$C,3,0)</f>
        <v>#REF!</v>
      </c>
      <c r="BC218" s="1" t="e">
        <f>BB218/VLOOKUP(A218,'[56]geoMap (53)'!$A:$B,2,0)*VLOOKUP(A218,'[56]geoMap (53)'!$A:$C,3,0)</f>
        <v>#REF!</v>
      </c>
      <c r="BD218" s="4" t="e">
        <f>BC218/VLOOKUP(A218,'[57]geoMap (54)'!$A:$B,2,0)*VLOOKUP(A218,'[57]geoMap (54)'!$A:$C,3,0)</f>
        <v>#REF!</v>
      </c>
      <c r="BE218" s="1" t="e">
        <f>BD218/VLOOKUP(A218,'[58]geoMap (55)'!$A:$B,2,0)*VLOOKUP(A218,'[58]geoMap (55)'!$A:$C,3,0)</f>
        <v>#REF!</v>
      </c>
      <c r="BF218" s="4" t="e">
        <f>BE218/VLOOKUP(A218,'[59]geoMap (56)'!$A:$B,2,0)*VLOOKUP(A218,'[59]geoMap (56)'!$A:$C,3,0)</f>
        <v>#REF!</v>
      </c>
      <c r="BG218" s="1" t="e">
        <f>BF218/VLOOKUP(A218,'[60]geoMap (57)'!$A:$B,2,0)*VLOOKUP(A218,'[60]geoMap (57)'!$A:$C,3,0)</f>
        <v>#REF!</v>
      </c>
      <c r="BH218" s="4" t="e">
        <f>BG218/VLOOKUP(A218,'[61]geoMap (58)'!$A:$B,2,0)*VLOOKUP(A218,'[61]geoMap (58)'!$A:$C,3,0)</f>
        <v>#REF!</v>
      </c>
      <c r="BI218" s="1" t="e">
        <f>BH218/VLOOKUP(A218,'[62]geoMap (59)'!$A:$B,2,0)*VLOOKUP(A218,'[62]geoMap (59)'!$A:$C,3,0)</f>
        <v>#REF!</v>
      </c>
      <c r="BJ218" s="4" t="e">
        <f>BI218/VLOOKUP(A218,'[63]geoMap (60)'!$A:$B,2,0)*VLOOKUP(A218,'[63]geoMap (60)'!$A:$C,3,0)</f>
        <v>#REF!</v>
      </c>
      <c r="BK218" s="1" t="e">
        <f>BJ218/VLOOKUP(A218,'[64]geoMap (61)'!$A:$B,2,0)*VLOOKUP(A218,'[64]geoMap (61)'!$A:$C,3,0)</f>
        <v>#REF!</v>
      </c>
      <c r="BL218" s="4" t="e">
        <f>BK218/VLOOKUP(A218,'[65]geoMap (62)'!$A:$B,2,0)*VLOOKUP(A218,'[65]geoMap (62)'!$A:$C,3,0)</f>
        <v>#REF!</v>
      </c>
      <c r="BM218" s="1" t="e">
        <f>BL218/VLOOKUP(A218,'[66]geoMap (63)'!$A:$B,2,0)*VLOOKUP(A218,'[66]geoMap (63)'!$A:$C,3,0)</f>
        <v>#REF!</v>
      </c>
      <c r="BN218" s="4" t="e">
        <f>BM218/VLOOKUP(A218,'[67]geoMap (64)'!$A:$B,2,0)*VLOOKUP(A218,'[67]geoMap (64)'!$A:$C,3,0)</f>
        <v>#REF!</v>
      </c>
      <c r="BO218" s="1" t="e">
        <f>BN218/VLOOKUP(A218,'[68]geoMap (65)'!$A:$B,2,0)*VLOOKUP(A218,'[68]geoMap (65)'!$A:$C,3,0)</f>
        <v>#REF!</v>
      </c>
      <c r="BP218" s="4" t="e">
        <f>BO218/VLOOKUP(A218,'[69]geoMap (66)'!$A:$B,2,0)*VLOOKUP(A218,'[69]geoMap (66)'!$A:$C,3,0)</f>
        <v>#REF!</v>
      </c>
    </row>
    <row r="219" spans="1:68" x14ac:dyDescent="0.2">
      <c r="A219" s="1" t="s">
        <v>221</v>
      </c>
      <c r="B219" s="1" t="e">
        <f>VLOOKUP(A219,[3]geoMap!$A:$B,2,0)*Notes!$C$6</f>
        <v>#REF!</v>
      </c>
      <c r="C219" s="1" t="e">
        <f>B219/VLOOKUP(A219,'[4]geoMap (1)'!$A:$B,2,0)*VLOOKUP(A219,'[4]geoMap (1)'!$A:$C,3,0)</f>
        <v>#REF!</v>
      </c>
      <c r="D219" s="1" t="e">
        <f>C219/VLOOKUP(A219,'[5]geoMap (2)'!$A:$B,2,0)*VLOOKUP(A219,'[5]geoMap (2)'!$A:$C,3,0)</f>
        <v>#REF!</v>
      </c>
      <c r="E219" s="1" t="e">
        <f>D219/VLOOKUP(A219,'[6]geoMap (3)'!$A:$B,2,0)*VLOOKUP(A219,'[6]geoMap (3)'!$A:$C,3,0)</f>
        <v>#REF!</v>
      </c>
      <c r="F219" s="1" t="e">
        <f>E219/VLOOKUP(A219,'[7]geoMap (4)'!$A:$B,2,0)*VLOOKUP(A219,'[7]geoMap (4)'!$A:$C,3,0)</f>
        <v>#REF!</v>
      </c>
      <c r="G219" s="1" t="e">
        <f>F219/VLOOKUP(A219,'[8]geoMap (5)'!$A:$B,2,0)*VLOOKUP(A219,'[8]geoMap (5)'!$A:$C,3,0)</f>
        <v>#REF!</v>
      </c>
      <c r="H219" s="1" t="e">
        <f>G219/VLOOKUP(A219,'[9]geoMap (6)'!$A:$B,2,0)*VLOOKUP(A219,'[9]geoMap (6)'!$A:$C,3,0)</f>
        <v>#REF!</v>
      </c>
      <c r="I219" s="1" t="e">
        <f>H219/VLOOKUP(A219,'[10]geoMap (7)'!$A:$B,2,0)*VLOOKUP(A219,'[10]geoMap (7)'!$A:$C,3,0)</f>
        <v>#REF!</v>
      </c>
      <c r="J219" s="1" t="e">
        <f>I219/VLOOKUP(A219,'[11]geoMap (8)'!$A:$B,2,0)*VLOOKUP(A219,'[11]geoMap (8)'!$A:$C,3,0)</f>
        <v>#REF!</v>
      </c>
      <c r="K219" s="1" t="e">
        <f>J219/VLOOKUP(A219,'[12]geoMap (9)'!$A:$B,2,0)*VLOOKUP(A219,'[12]geoMap (9)'!$A:$C,3,0)</f>
        <v>#REF!</v>
      </c>
      <c r="L219" s="1" t="e">
        <f>K219/VLOOKUP(A219,'[13]geoMap (10)'!$A:$B,2,0)*VLOOKUP(A219,'[13]geoMap (10)'!$A:$C,3,0)</f>
        <v>#REF!</v>
      </c>
      <c r="M219" s="1" t="e">
        <f>L219/VLOOKUP(A219,'[14]geoMap (11)'!$A:$B,2,0)*VLOOKUP(A219,'[14]geoMap (11)'!$A:$C,3,0)</f>
        <v>#REF!</v>
      </c>
      <c r="N219" s="1" t="e">
        <f>M219/VLOOKUP(A219,'[15]geoMap (12)'!$A:$B,2,0)*VLOOKUP(A219,'[15]geoMap (12)'!$A:$C,3,0)</f>
        <v>#REF!</v>
      </c>
      <c r="O219" s="1" t="e">
        <f>N219/VLOOKUP(A219,'[16]geoMap (13)'!$A:$B,2,0)*VLOOKUP(A219,'[16]geoMap (13)'!$A:$C,3,0)</f>
        <v>#REF!</v>
      </c>
      <c r="P219" s="1" t="e">
        <f>O219/VLOOKUP(A219,'[17]geoMap (14)'!$A:$B,2,0)*VLOOKUP(A219,'[17]geoMap (14)'!$A:$C,3,0)</f>
        <v>#REF!</v>
      </c>
      <c r="Q219" s="1" t="e">
        <f>P219/VLOOKUP(A219,'[18]geoMap (15)'!$A:$B,2,0)*VLOOKUP(A219,'[18]geoMap (15)'!$A:$C,3,0)</f>
        <v>#REF!</v>
      </c>
      <c r="R219" s="1" t="e">
        <f>Q219/VLOOKUP(A219,'[19]geoMap (16)'!$A:$B,2,0)*VLOOKUP(A219,'[19]geoMap (16)'!$A:$C,3,0)</f>
        <v>#REF!</v>
      </c>
      <c r="S219" s="1" t="e">
        <f>R219/VLOOKUP(A219,'[20]geoMap (17)'!$A:$B,2,0)*VLOOKUP(A219,'[20]geoMap (17)'!$A:$C,3,0)</f>
        <v>#REF!</v>
      </c>
      <c r="T219" s="1" t="e">
        <f>S219/VLOOKUP(A219,'[21]geoMap (18)'!$A:$B,2,0)*VLOOKUP(A219,'[21]geoMap (18)'!$A:$C,3,0)</f>
        <v>#REF!</v>
      </c>
      <c r="U219" s="1" t="e">
        <f>T219/VLOOKUP(A219,'[22]geoMap (19)'!$A:$B,2,0)*VLOOKUP(A219,'[22]geoMap (19)'!$A:$C,3,0)</f>
        <v>#REF!</v>
      </c>
      <c r="V219" s="1" t="e">
        <f>U219/VLOOKUP(A219,'[23]geoMap (20)'!$A:$B,2,0)*VLOOKUP(A219,'[23]geoMap (20)'!$A:$C,3,0)</f>
        <v>#REF!</v>
      </c>
      <c r="W219" s="1" t="e">
        <f>V219/VLOOKUP(A219,'[24]geoMap (21)'!$A:$B,2,0)*VLOOKUP(A219,'[24]geoMap (21)'!$A:$C,3,0)</f>
        <v>#REF!</v>
      </c>
      <c r="X219" s="1" t="e">
        <f>W219/VLOOKUP(A219,'[25]geoMap (22)'!$A:$B,2,0)*VLOOKUP(A219,'[25]geoMap (22)'!$A:$C,3,0)</f>
        <v>#REF!</v>
      </c>
      <c r="Y219" s="1" t="e">
        <f>X219/VLOOKUP(A219,'[26]geoMap (23)'!$A:$B,2,0)*VLOOKUP(A219,'[26]geoMap (23)'!$A:$C,3,0)</f>
        <v>#REF!</v>
      </c>
      <c r="Z219" s="1" t="e">
        <f>Y219/VLOOKUP(A219,'[27]geoMap (24)'!$A:$B,2,0)*VLOOKUP(A219,'[27]geoMap (24)'!$A:$C,3,0)</f>
        <v>#REF!</v>
      </c>
      <c r="AA219" s="1" t="e">
        <f>Z219/VLOOKUP(A219,'[28]geoMap (25)'!$A:$B,2,0)*VLOOKUP(A219,'[28]geoMap (25)'!$A:$C,3,0)</f>
        <v>#REF!</v>
      </c>
      <c r="AB219" s="1" t="e">
        <f>AA219*VLOOKUP(A219,'[29]geoMap (26)'!$A:$B,2,0)*VLOOKUP(A219,'[29]geoMap (26)'!$A:$C,3,0)</f>
        <v>#REF!</v>
      </c>
      <c r="AC219" s="1" t="e">
        <f>AB219/VLOOKUP(A219,'[30]geoMap (27)'!$A:$B,2,0)*VLOOKUP(A219,'[30]geoMap (27)'!$A:$C,3,0)</f>
        <v>#REF!</v>
      </c>
      <c r="AD219" s="1" t="e">
        <f>AC219/VLOOKUP(A219,'[31]geoMap (28)'!$A:$B,2,0)*VLOOKUP(A219,'[31]geoMap (28)'!$A:$C,3,0)</f>
        <v>#REF!</v>
      </c>
      <c r="AE219" s="1" t="e">
        <f>AD219/VLOOKUP(A219,'[32]geoMap (29)'!$A:$B,2,0)*VLOOKUP(A219,'[32]geoMap (29)'!$A:$C,3,0)</f>
        <v>#REF!</v>
      </c>
      <c r="AF219" s="1" t="e">
        <f>AE219/VLOOKUP(A219,'[33]geoMap (30)'!$A:$B,2,0)*VLOOKUP(A219,'[33]geoMap (30)'!$A:$C,3,0)</f>
        <v>#REF!</v>
      </c>
      <c r="AG219" s="1" t="e">
        <f>AF219/VLOOKUP(A219,'[34]geoMap (31)'!$A:$B,2,0)*VLOOKUP(A219,'[34]geoMap (31)'!$A:$C,3,0)</f>
        <v>#REF!</v>
      </c>
      <c r="AH219" s="1" t="e">
        <f>AG219/VLOOKUP(A219,'[35]geoMap (32)'!$A:$B,2,0)*VLOOKUP(A219,'[35]geoMap (32)'!$A:$C,3,0)</f>
        <v>#REF!</v>
      </c>
      <c r="AI219" s="1" t="e">
        <f>AH219/VLOOKUP(A219,'[36]geoMap (33)'!$A:$B,2,0)*VLOOKUP(A219,'[36]geoMap (33)'!$A:$C,3,0)</f>
        <v>#REF!</v>
      </c>
      <c r="AJ219" s="1" t="e">
        <f>AI219/VLOOKUP(A219,'[37]geoMap (34)'!$A:$B,2,0)*VLOOKUP(A219,'[37]geoMap (34)'!$A:$C,3,0)</f>
        <v>#REF!</v>
      </c>
      <c r="AK219" s="1" t="e">
        <f>AJ219/VLOOKUP(A219,'[38]geoMap (35)'!$A:$B,2,0)*VLOOKUP(A219,'[38]geoMap (35)'!$A:$C,3,0)</f>
        <v>#REF!</v>
      </c>
      <c r="AL219" s="1" t="e">
        <f>AK219/VLOOKUP(A219,'[39]geoMap (36)'!$A:$B,2,0)*VLOOKUP(A219,'[39]geoMap (36)'!$A:$C,3,0)</f>
        <v>#REF!</v>
      </c>
      <c r="AM219" s="1" t="e">
        <f>AL219/VLOOKUP(A219,'[40]geoMap (37)'!$A:$B,2,0)*VLOOKUP(A219,'[40]geoMap (37)'!$A:$C,3,0)</f>
        <v>#REF!</v>
      </c>
      <c r="AN219" s="1" t="e">
        <f>AM219/VLOOKUP(A219,'[41]geoMap (38)'!$A:$B,2,0)*VLOOKUP(A219,'[41]geoMap (38)'!$A:$C,3,0)</f>
        <v>#REF!</v>
      </c>
      <c r="AO219" s="1" t="e">
        <f>AN219/VLOOKUP(A219,'[42]geoMap (39)'!$A:$B,2,0)*VLOOKUP(A219,'[42]geoMap (39)'!$A:$C,3,0)</f>
        <v>#REF!</v>
      </c>
      <c r="AP219" s="1" t="e">
        <f>AO219/VLOOKUP(A219,'[43]geoMap (40)'!$A:$B,2,0)*VLOOKUP(A219,'[43]geoMap (40)'!$A:$C,3,0)</f>
        <v>#REF!</v>
      </c>
      <c r="AQ219" s="1" t="e">
        <f>AP219/VLOOKUP(A219,'[44]geoMap (41)'!$A:$B,2,0)*VLOOKUP(A219,'[44]geoMap (41)'!$A:$C,3,0)</f>
        <v>#REF!</v>
      </c>
      <c r="AR219" s="1" t="e">
        <f>AQ219/VLOOKUP(A219,'[45]geoMap (42)'!$A:$B,2,0)*VLOOKUP(A219,'[45]geoMap (42)'!$A:$C,3,0)</f>
        <v>#REF!</v>
      </c>
      <c r="AS219" s="1" t="e">
        <f>AR219/VLOOKUP(A219,'[46]geoMap (43)'!$A:$B,2,0)*VLOOKUP(A219,'[46]geoMap (43)'!$A:$C,3,0)</f>
        <v>#REF!</v>
      </c>
      <c r="AT219" s="1" t="e">
        <f>AS219/VLOOKUP(A219,'[47]geoMap (44)'!$A:$B,2,0)*VLOOKUP(A219,'[47]geoMap (44)'!$A:$C,3,0)</f>
        <v>#REF!</v>
      </c>
      <c r="AU219" s="1" t="e">
        <f>AT219/VLOOKUP(A219,'[48]geoMap (45)'!$A:$B,2,0)*VLOOKUP(A219,'[48]geoMap (45)'!$A:$C,3,0)</f>
        <v>#REF!</v>
      </c>
      <c r="AV219" s="1" t="e">
        <f>AU219/VLOOKUP(A219,'[49]geoMap (46)'!$A:$B,2,0)*VLOOKUP(A219,'[49]geoMap (46)'!$A:$C,3,0)</f>
        <v>#REF!</v>
      </c>
      <c r="AW219" s="1" t="e">
        <f>AV219/VLOOKUP(A219,'[50]geoMap (47)'!$A:$B,2,0)*VLOOKUP(A219,'[50]geoMap (47)'!$A:$C,3,0)</f>
        <v>#REF!</v>
      </c>
      <c r="AX219" s="4" t="e">
        <f>AW219/VLOOKUP(A219,'[51]geoMap (48)'!$A:$B,2,0)*VLOOKUP(A219,'[51]geoMap (48)'!$A:$C,3,0)</f>
        <v>#REF!</v>
      </c>
      <c r="AY219" s="1" t="e">
        <f>AX219/VLOOKUP(A219,'[52]geoMap (49)'!$A:$B,2,0)*VLOOKUP(A219,'[52]geoMap (49)'!$A:$C,3,0)</f>
        <v>#REF!</v>
      </c>
      <c r="AZ219" s="4" t="e">
        <f>AY219/VLOOKUP(A219,'[53]geoMap (50)'!$A:$B,2,0)*VLOOKUP(A219,'[53]geoMap (50)'!$A:$C,3,0)</f>
        <v>#REF!</v>
      </c>
      <c r="BA219" s="1" t="e">
        <f>AZ219/VLOOKUP(A219,'[54]geoMap (51)'!$A:$B,2,0)*VLOOKUP(A219,'[54]geoMap (51)'!$A:$C,3,0)</f>
        <v>#REF!</v>
      </c>
      <c r="BB219" s="4" t="e">
        <f>BA219/VLOOKUP(A219,'[55]geoMap (52)'!$A:$B,2,0)*VLOOKUP(A219,'[55]geoMap (52)'!$A:$C,3,0)</f>
        <v>#REF!</v>
      </c>
      <c r="BC219" s="1" t="e">
        <f>BB219/VLOOKUP(A219,'[56]geoMap (53)'!$A:$B,2,0)*VLOOKUP(A219,'[56]geoMap (53)'!$A:$C,3,0)</f>
        <v>#REF!</v>
      </c>
      <c r="BD219" s="4" t="e">
        <f>BC219/VLOOKUP(A219,'[57]geoMap (54)'!$A:$B,2,0)*VLOOKUP(A219,'[57]geoMap (54)'!$A:$C,3,0)</f>
        <v>#REF!</v>
      </c>
      <c r="BE219" s="1" t="e">
        <f>BD219/VLOOKUP(A219,'[58]geoMap (55)'!$A:$B,2,0)*VLOOKUP(A219,'[58]geoMap (55)'!$A:$C,3,0)</f>
        <v>#REF!</v>
      </c>
      <c r="BF219" s="4" t="e">
        <f>BE219/VLOOKUP(A219,'[59]geoMap (56)'!$A:$B,2,0)*VLOOKUP(A219,'[59]geoMap (56)'!$A:$C,3,0)</f>
        <v>#REF!</v>
      </c>
      <c r="BG219" s="1" t="e">
        <f>BF219/VLOOKUP(A219,'[60]geoMap (57)'!$A:$B,2,0)*VLOOKUP(A219,'[60]geoMap (57)'!$A:$C,3,0)</f>
        <v>#REF!</v>
      </c>
      <c r="BH219" s="4" t="e">
        <f>BG219/VLOOKUP(A219,'[61]geoMap (58)'!$A:$B,2,0)*VLOOKUP(A219,'[61]geoMap (58)'!$A:$C,3,0)</f>
        <v>#REF!</v>
      </c>
      <c r="BI219" s="1" t="e">
        <f>BH219/VLOOKUP(A219,'[62]geoMap (59)'!$A:$B,2,0)*VLOOKUP(A219,'[62]geoMap (59)'!$A:$C,3,0)</f>
        <v>#REF!</v>
      </c>
      <c r="BJ219" s="4" t="e">
        <f>BI219/VLOOKUP(A219,'[63]geoMap (60)'!$A:$B,2,0)*VLOOKUP(A219,'[63]geoMap (60)'!$A:$C,3,0)</f>
        <v>#REF!</v>
      </c>
      <c r="BK219" s="1" t="e">
        <f>BJ219/VLOOKUP(A219,'[64]geoMap (61)'!$A:$B,2,0)*VLOOKUP(A219,'[64]geoMap (61)'!$A:$C,3,0)</f>
        <v>#REF!</v>
      </c>
      <c r="BL219" s="4" t="e">
        <f>BK219/VLOOKUP(A219,'[65]geoMap (62)'!$A:$B,2,0)*VLOOKUP(A219,'[65]geoMap (62)'!$A:$C,3,0)</f>
        <v>#REF!</v>
      </c>
      <c r="BM219" s="1" t="e">
        <f>BL219/VLOOKUP(A219,'[66]geoMap (63)'!$A:$B,2,0)*VLOOKUP(A219,'[66]geoMap (63)'!$A:$C,3,0)</f>
        <v>#REF!</v>
      </c>
      <c r="BN219" s="4" t="e">
        <f>BM219/VLOOKUP(A219,'[67]geoMap (64)'!$A:$B,2,0)*VLOOKUP(A219,'[67]geoMap (64)'!$A:$C,3,0)</f>
        <v>#REF!</v>
      </c>
      <c r="BO219" s="1" t="e">
        <f>BN219/VLOOKUP(A219,'[68]geoMap (65)'!$A:$B,2,0)*VLOOKUP(A219,'[68]geoMap (65)'!$A:$C,3,0)</f>
        <v>#REF!</v>
      </c>
      <c r="BP219" s="4" t="e">
        <f>BO219/VLOOKUP(A219,'[69]geoMap (66)'!$A:$B,2,0)*VLOOKUP(A219,'[69]geoMap (66)'!$A:$C,3,0)</f>
        <v>#REF!</v>
      </c>
    </row>
    <row r="220" spans="1:68" x14ac:dyDescent="0.2">
      <c r="A220" s="1" t="s">
        <v>222</v>
      </c>
      <c r="B220" s="1" t="e">
        <f>VLOOKUP(A220,[3]geoMap!$A:$B,2,0)*Notes!$C$6</f>
        <v>#REF!</v>
      </c>
      <c r="C220" s="1" t="e">
        <f>B220/VLOOKUP(A220,'[4]geoMap (1)'!$A:$B,2,0)*VLOOKUP(A220,'[4]geoMap (1)'!$A:$C,3,0)</f>
        <v>#REF!</v>
      </c>
      <c r="D220" s="1" t="e">
        <f>C220/VLOOKUP(A220,'[5]geoMap (2)'!$A:$B,2,0)*VLOOKUP(A220,'[5]geoMap (2)'!$A:$C,3,0)</f>
        <v>#REF!</v>
      </c>
      <c r="E220" s="1" t="e">
        <f>D220/VLOOKUP(A220,'[6]geoMap (3)'!$A:$B,2,0)*VLOOKUP(A220,'[6]geoMap (3)'!$A:$C,3,0)</f>
        <v>#REF!</v>
      </c>
      <c r="F220" s="1" t="e">
        <f>E220/VLOOKUP(A220,'[7]geoMap (4)'!$A:$B,2,0)*VLOOKUP(A220,'[7]geoMap (4)'!$A:$C,3,0)</f>
        <v>#REF!</v>
      </c>
      <c r="G220" s="1" t="e">
        <f>F220/VLOOKUP(A220,'[8]geoMap (5)'!$A:$B,2,0)*VLOOKUP(A220,'[8]geoMap (5)'!$A:$C,3,0)</f>
        <v>#REF!</v>
      </c>
      <c r="H220" s="1" t="e">
        <f>G220/VLOOKUP(A220,'[9]geoMap (6)'!$A:$B,2,0)*VLOOKUP(A220,'[9]geoMap (6)'!$A:$C,3,0)</f>
        <v>#REF!</v>
      </c>
      <c r="I220" s="1" t="e">
        <f>H220/VLOOKUP(A220,'[10]geoMap (7)'!$A:$B,2,0)*VLOOKUP(A220,'[10]geoMap (7)'!$A:$C,3,0)</f>
        <v>#REF!</v>
      </c>
      <c r="J220" s="1" t="e">
        <f>I220/VLOOKUP(A220,'[11]geoMap (8)'!$A:$B,2,0)*VLOOKUP(A220,'[11]geoMap (8)'!$A:$C,3,0)</f>
        <v>#REF!</v>
      </c>
      <c r="K220" s="1" t="e">
        <f>J220/VLOOKUP(A220,'[12]geoMap (9)'!$A:$B,2,0)*VLOOKUP(A220,'[12]geoMap (9)'!$A:$C,3,0)</f>
        <v>#REF!</v>
      </c>
      <c r="L220" s="1" t="e">
        <f>K220/VLOOKUP(A220,'[13]geoMap (10)'!$A:$B,2,0)*VLOOKUP(A220,'[13]geoMap (10)'!$A:$C,3,0)</f>
        <v>#REF!</v>
      </c>
      <c r="M220" s="1" t="e">
        <f>L220/VLOOKUP(A220,'[14]geoMap (11)'!$A:$B,2,0)*VLOOKUP(A220,'[14]geoMap (11)'!$A:$C,3,0)</f>
        <v>#REF!</v>
      </c>
      <c r="N220" s="1" t="e">
        <f>M220/VLOOKUP(A220,'[15]geoMap (12)'!$A:$B,2,0)*VLOOKUP(A220,'[15]geoMap (12)'!$A:$C,3,0)</f>
        <v>#REF!</v>
      </c>
      <c r="O220" s="1" t="e">
        <f>N220/VLOOKUP(A220,'[16]geoMap (13)'!$A:$B,2,0)*VLOOKUP(A220,'[16]geoMap (13)'!$A:$C,3,0)</f>
        <v>#REF!</v>
      </c>
      <c r="P220" s="1" t="e">
        <f>O220/VLOOKUP(A220,'[17]geoMap (14)'!$A:$B,2,0)*VLOOKUP(A220,'[17]geoMap (14)'!$A:$C,3,0)</f>
        <v>#REF!</v>
      </c>
      <c r="Q220" s="1" t="e">
        <f>P220/VLOOKUP(A220,'[18]geoMap (15)'!$A:$B,2,0)*VLOOKUP(A220,'[18]geoMap (15)'!$A:$C,3,0)</f>
        <v>#REF!</v>
      </c>
      <c r="R220" s="1" t="e">
        <f>Q220/VLOOKUP(A220,'[19]geoMap (16)'!$A:$B,2,0)*VLOOKUP(A220,'[19]geoMap (16)'!$A:$C,3,0)</f>
        <v>#REF!</v>
      </c>
      <c r="S220" s="1" t="e">
        <f>R220/VLOOKUP(A220,'[20]geoMap (17)'!$A:$B,2,0)*VLOOKUP(A220,'[20]geoMap (17)'!$A:$C,3,0)</f>
        <v>#REF!</v>
      </c>
      <c r="T220" s="1" t="e">
        <f>S220/VLOOKUP(A220,'[21]geoMap (18)'!$A:$B,2,0)*VLOOKUP(A220,'[21]geoMap (18)'!$A:$C,3,0)</f>
        <v>#REF!</v>
      </c>
      <c r="U220" s="1" t="e">
        <f>T220/VLOOKUP(A220,'[22]geoMap (19)'!$A:$B,2,0)*VLOOKUP(A220,'[22]geoMap (19)'!$A:$C,3,0)</f>
        <v>#REF!</v>
      </c>
      <c r="V220" s="1" t="e">
        <f>U220/VLOOKUP(A220,'[23]geoMap (20)'!$A:$B,2,0)*VLOOKUP(A220,'[23]geoMap (20)'!$A:$C,3,0)</f>
        <v>#REF!</v>
      </c>
      <c r="W220" s="1" t="e">
        <f>V220/VLOOKUP(A220,'[24]geoMap (21)'!$A:$B,2,0)*VLOOKUP(A220,'[24]geoMap (21)'!$A:$C,3,0)</f>
        <v>#REF!</v>
      </c>
      <c r="X220" s="1" t="e">
        <f>W220/VLOOKUP(A220,'[25]geoMap (22)'!$A:$B,2,0)*VLOOKUP(A220,'[25]geoMap (22)'!$A:$C,3,0)</f>
        <v>#REF!</v>
      </c>
      <c r="Y220" s="1" t="e">
        <f>X220/VLOOKUP(A220,'[26]geoMap (23)'!$A:$B,2,0)*VLOOKUP(A220,'[26]geoMap (23)'!$A:$C,3,0)</f>
        <v>#REF!</v>
      </c>
      <c r="Z220" s="1" t="e">
        <f>Y220/VLOOKUP(A220,'[27]geoMap (24)'!$A:$B,2,0)*VLOOKUP(A220,'[27]geoMap (24)'!$A:$C,3,0)</f>
        <v>#REF!</v>
      </c>
      <c r="AA220" s="1" t="e">
        <f>Z220/VLOOKUP(A220,'[28]geoMap (25)'!$A:$B,2,0)*VLOOKUP(A220,'[28]geoMap (25)'!$A:$C,3,0)</f>
        <v>#REF!</v>
      </c>
      <c r="AB220" s="1" t="e">
        <f>AA220*VLOOKUP(A220,'[29]geoMap (26)'!$A:$B,2,0)*VLOOKUP(A220,'[29]geoMap (26)'!$A:$C,3,0)</f>
        <v>#REF!</v>
      </c>
      <c r="AC220" s="1" t="e">
        <f>AB220/VLOOKUP(A220,'[30]geoMap (27)'!$A:$B,2,0)*VLOOKUP(A220,'[30]geoMap (27)'!$A:$C,3,0)</f>
        <v>#REF!</v>
      </c>
      <c r="AD220" s="1" t="e">
        <f>AC220/VLOOKUP(A220,'[31]geoMap (28)'!$A:$B,2,0)*VLOOKUP(A220,'[31]geoMap (28)'!$A:$C,3,0)</f>
        <v>#REF!</v>
      </c>
      <c r="AE220" s="1" t="e">
        <f>AD220/VLOOKUP(A220,'[32]geoMap (29)'!$A:$B,2,0)*VLOOKUP(A220,'[32]geoMap (29)'!$A:$C,3,0)</f>
        <v>#REF!</v>
      </c>
      <c r="AF220" s="1" t="e">
        <f>AE220/VLOOKUP(A220,'[33]geoMap (30)'!$A:$B,2,0)*VLOOKUP(A220,'[33]geoMap (30)'!$A:$C,3,0)</f>
        <v>#REF!</v>
      </c>
      <c r="AG220" s="1" t="e">
        <f>AF220/VLOOKUP(A220,'[34]geoMap (31)'!$A:$B,2,0)*VLOOKUP(A220,'[34]geoMap (31)'!$A:$C,3,0)</f>
        <v>#REF!</v>
      </c>
      <c r="AH220" s="1" t="e">
        <f>AG220/VLOOKUP(A220,'[35]geoMap (32)'!$A:$B,2,0)*VLOOKUP(A220,'[35]geoMap (32)'!$A:$C,3,0)</f>
        <v>#REF!</v>
      </c>
      <c r="AI220" s="1" t="e">
        <f>AH220/VLOOKUP(A220,'[36]geoMap (33)'!$A:$B,2,0)*VLOOKUP(A220,'[36]geoMap (33)'!$A:$C,3,0)</f>
        <v>#REF!</v>
      </c>
      <c r="AJ220" s="1" t="e">
        <f>AI220/VLOOKUP(A220,'[37]geoMap (34)'!$A:$B,2,0)*VLOOKUP(A220,'[37]geoMap (34)'!$A:$C,3,0)</f>
        <v>#REF!</v>
      </c>
      <c r="AK220" s="1" t="e">
        <f>AJ220/VLOOKUP(A220,'[38]geoMap (35)'!$A:$B,2,0)*VLOOKUP(A220,'[38]geoMap (35)'!$A:$C,3,0)</f>
        <v>#REF!</v>
      </c>
      <c r="AL220" s="1" t="e">
        <f>AK220/VLOOKUP(A220,'[39]geoMap (36)'!$A:$B,2,0)*VLOOKUP(A220,'[39]geoMap (36)'!$A:$C,3,0)</f>
        <v>#REF!</v>
      </c>
      <c r="AM220" s="1" t="e">
        <f>AL220/VLOOKUP(A220,'[40]geoMap (37)'!$A:$B,2,0)*VLOOKUP(A220,'[40]geoMap (37)'!$A:$C,3,0)</f>
        <v>#REF!</v>
      </c>
      <c r="AN220" s="1" t="e">
        <f>AM220/VLOOKUP(A220,'[41]geoMap (38)'!$A:$B,2,0)*VLOOKUP(A220,'[41]geoMap (38)'!$A:$C,3,0)</f>
        <v>#REF!</v>
      </c>
      <c r="AO220" s="1" t="e">
        <f>AN220/VLOOKUP(A220,'[42]geoMap (39)'!$A:$B,2,0)*VLOOKUP(A220,'[42]geoMap (39)'!$A:$C,3,0)</f>
        <v>#REF!</v>
      </c>
      <c r="AP220" s="1" t="e">
        <f>AO220/VLOOKUP(A220,'[43]geoMap (40)'!$A:$B,2,0)*VLOOKUP(A220,'[43]geoMap (40)'!$A:$C,3,0)</f>
        <v>#REF!</v>
      </c>
      <c r="AQ220" s="1" t="e">
        <f>AP220/VLOOKUP(A220,'[44]geoMap (41)'!$A:$B,2,0)*VLOOKUP(A220,'[44]geoMap (41)'!$A:$C,3,0)</f>
        <v>#REF!</v>
      </c>
      <c r="AR220" s="1" t="e">
        <f>AQ220/VLOOKUP(A220,'[45]geoMap (42)'!$A:$B,2,0)*VLOOKUP(A220,'[45]geoMap (42)'!$A:$C,3,0)</f>
        <v>#REF!</v>
      </c>
      <c r="AS220" s="1" t="e">
        <f>AR220/VLOOKUP(A220,'[46]geoMap (43)'!$A:$B,2,0)*VLOOKUP(A220,'[46]geoMap (43)'!$A:$C,3,0)</f>
        <v>#REF!</v>
      </c>
      <c r="AT220" s="1" t="e">
        <f>AS220/VLOOKUP(A220,'[47]geoMap (44)'!$A:$B,2,0)*VLOOKUP(A220,'[47]geoMap (44)'!$A:$C,3,0)</f>
        <v>#REF!</v>
      </c>
      <c r="AU220" s="1" t="e">
        <f>AT220/VLOOKUP(A220,'[48]geoMap (45)'!$A:$B,2,0)*VLOOKUP(A220,'[48]geoMap (45)'!$A:$C,3,0)</f>
        <v>#REF!</v>
      </c>
      <c r="AV220" s="1" t="e">
        <f>AU220/VLOOKUP(A220,'[49]geoMap (46)'!$A:$B,2,0)*VLOOKUP(A220,'[49]geoMap (46)'!$A:$C,3,0)</f>
        <v>#REF!</v>
      </c>
      <c r="AW220" s="1" t="e">
        <f>AV220/VLOOKUP(A220,'[50]geoMap (47)'!$A:$B,2,0)*VLOOKUP(A220,'[50]geoMap (47)'!$A:$C,3,0)</f>
        <v>#REF!</v>
      </c>
      <c r="AX220" s="4" t="e">
        <f>AW220/VLOOKUP(A220,'[51]geoMap (48)'!$A:$B,2,0)*VLOOKUP(A220,'[51]geoMap (48)'!$A:$C,3,0)</f>
        <v>#REF!</v>
      </c>
      <c r="AY220" s="1" t="e">
        <f>AX220/VLOOKUP(A220,'[52]geoMap (49)'!$A:$B,2,0)*VLOOKUP(A220,'[52]geoMap (49)'!$A:$C,3,0)</f>
        <v>#REF!</v>
      </c>
      <c r="AZ220" s="4" t="e">
        <f>AY220/VLOOKUP(A220,'[53]geoMap (50)'!$A:$B,2,0)*VLOOKUP(A220,'[53]geoMap (50)'!$A:$C,3,0)</f>
        <v>#REF!</v>
      </c>
      <c r="BA220" s="1" t="e">
        <f>AZ220/VLOOKUP(A220,'[54]geoMap (51)'!$A:$B,2,0)*VLOOKUP(A220,'[54]geoMap (51)'!$A:$C,3,0)</f>
        <v>#REF!</v>
      </c>
      <c r="BB220" s="4" t="e">
        <f>BA220/VLOOKUP(A220,'[55]geoMap (52)'!$A:$B,2,0)*VLOOKUP(A220,'[55]geoMap (52)'!$A:$C,3,0)</f>
        <v>#REF!</v>
      </c>
      <c r="BC220" s="1" t="e">
        <f>BB220/VLOOKUP(A220,'[56]geoMap (53)'!$A:$B,2,0)*VLOOKUP(A220,'[56]geoMap (53)'!$A:$C,3,0)</f>
        <v>#REF!</v>
      </c>
      <c r="BD220" s="4" t="e">
        <f>BC220/VLOOKUP(A220,'[57]geoMap (54)'!$A:$B,2,0)*VLOOKUP(A220,'[57]geoMap (54)'!$A:$C,3,0)</f>
        <v>#REF!</v>
      </c>
      <c r="BE220" s="1" t="e">
        <f>BD220/VLOOKUP(A220,'[58]geoMap (55)'!$A:$B,2,0)*VLOOKUP(A220,'[58]geoMap (55)'!$A:$C,3,0)</f>
        <v>#REF!</v>
      </c>
      <c r="BF220" s="4" t="e">
        <f>BE220/VLOOKUP(A220,'[59]geoMap (56)'!$A:$B,2,0)*VLOOKUP(A220,'[59]geoMap (56)'!$A:$C,3,0)</f>
        <v>#REF!</v>
      </c>
      <c r="BG220" s="1" t="e">
        <f>BF220/VLOOKUP(A220,'[60]geoMap (57)'!$A:$B,2,0)*VLOOKUP(A220,'[60]geoMap (57)'!$A:$C,3,0)</f>
        <v>#REF!</v>
      </c>
      <c r="BH220" s="4" t="e">
        <f>BG220/VLOOKUP(A220,'[61]geoMap (58)'!$A:$B,2,0)*VLOOKUP(A220,'[61]geoMap (58)'!$A:$C,3,0)</f>
        <v>#REF!</v>
      </c>
      <c r="BI220" s="1" t="e">
        <f>BH220/VLOOKUP(A220,'[62]geoMap (59)'!$A:$B,2,0)*VLOOKUP(A220,'[62]geoMap (59)'!$A:$C,3,0)</f>
        <v>#REF!</v>
      </c>
      <c r="BJ220" s="4" t="e">
        <f>BI220/VLOOKUP(A220,'[63]geoMap (60)'!$A:$B,2,0)*VLOOKUP(A220,'[63]geoMap (60)'!$A:$C,3,0)</f>
        <v>#REF!</v>
      </c>
      <c r="BK220" s="1" t="e">
        <f>BJ220/VLOOKUP(A220,'[64]geoMap (61)'!$A:$B,2,0)*VLOOKUP(A220,'[64]geoMap (61)'!$A:$C,3,0)</f>
        <v>#REF!</v>
      </c>
      <c r="BL220" s="4" t="e">
        <f>BK220/VLOOKUP(A220,'[65]geoMap (62)'!$A:$B,2,0)*VLOOKUP(A220,'[65]geoMap (62)'!$A:$C,3,0)</f>
        <v>#REF!</v>
      </c>
      <c r="BM220" s="1" t="e">
        <f>BL220/VLOOKUP(A220,'[66]geoMap (63)'!$A:$B,2,0)*VLOOKUP(A220,'[66]geoMap (63)'!$A:$C,3,0)</f>
        <v>#REF!</v>
      </c>
      <c r="BN220" s="4" t="e">
        <f>BM220/VLOOKUP(A220,'[67]geoMap (64)'!$A:$B,2,0)*VLOOKUP(A220,'[67]geoMap (64)'!$A:$C,3,0)</f>
        <v>#REF!</v>
      </c>
      <c r="BO220" s="1" t="e">
        <f>BN220/VLOOKUP(A220,'[68]geoMap (65)'!$A:$B,2,0)*VLOOKUP(A220,'[68]geoMap (65)'!$A:$C,3,0)</f>
        <v>#REF!</v>
      </c>
      <c r="BP220" s="4" t="e">
        <f>BO220/VLOOKUP(A220,'[69]geoMap (66)'!$A:$B,2,0)*VLOOKUP(A220,'[69]geoMap (66)'!$A:$C,3,0)</f>
        <v>#REF!</v>
      </c>
    </row>
    <row r="221" spans="1:68" x14ac:dyDescent="0.2">
      <c r="A221" s="1" t="s">
        <v>223</v>
      </c>
      <c r="B221" s="1" t="e">
        <f>VLOOKUP(A221,[3]geoMap!$A:$B,2,0)*Notes!$C$6</f>
        <v>#REF!</v>
      </c>
      <c r="C221" s="1" t="e">
        <f>B221/VLOOKUP(A221,'[4]geoMap (1)'!$A:$B,2,0)*VLOOKUP(A221,'[4]geoMap (1)'!$A:$C,3,0)</f>
        <v>#REF!</v>
      </c>
      <c r="D221" s="1" t="e">
        <f>C221/VLOOKUP(A221,'[5]geoMap (2)'!$A:$B,2,0)*VLOOKUP(A221,'[5]geoMap (2)'!$A:$C,3,0)</f>
        <v>#REF!</v>
      </c>
      <c r="E221" s="1" t="e">
        <f>D221/VLOOKUP(A221,'[6]geoMap (3)'!$A:$B,2,0)*VLOOKUP(A221,'[6]geoMap (3)'!$A:$C,3,0)</f>
        <v>#REF!</v>
      </c>
      <c r="F221" s="1" t="e">
        <f>E221/VLOOKUP(A221,'[7]geoMap (4)'!$A:$B,2,0)*VLOOKUP(A221,'[7]geoMap (4)'!$A:$C,3,0)</f>
        <v>#REF!</v>
      </c>
      <c r="G221" s="1" t="e">
        <f>F221/VLOOKUP(A221,'[8]geoMap (5)'!$A:$B,2,0)*VLOOKUP(A221,'[8]geoMap (5)'!$A:$C,3,0)</f>
        <v>#REF!</v>
      </c>
      <c r="H221" s="1" t="e">
        <f>G221/VLOOKUP(A221,'[9]geoMap (6)'!$A:$B,2,0)*VLOOKUP(A221,'[9]geoMap (6)'!$A:$C,3,0)</f>
        <v>#REF!</v>
      </c>
      <c r="I221" s="1" t="e">
        <f>H221/VLOOKUP(A221,'[10]geoMap (7)'!$A:$B,2,0)*VLOOKUP(A221,'[10]geoMap (7)'!$A:$C,3,0)</f>
        <v>#REF!</v>
      </c>
      <c r="J221" s="1" t="e">
        <f>I221/VLOOKUP(A221,'[11]geoMap (8)'!$A:$B,2,0)*VLOOKUP(A221,'[11]geoMap (8)'!$A:$C,3,0)</f>
        <v>#REF!</v>
      </c>
      <c r="K221" s="1" t="e">
        <f>J221/VLOOKUP(A221,'[12]geoMap (9)'!$A:$B,2,0)*VLOOKUP(A221,'[12]geoMap (9)'!$A:$C,3,0)</f>
        <v>#REF!</v>
      </c>
      <c r="L221" s="1" t="e">
        <f>K221/VLOOKUP(A221,'[13]geoMap (10)'!$A:$B,2,0)*VLOOKUP(A221,'[13]geoMap (10)'!$A:$C,3,0)</f>
        <v>#REF!</v>
      </c>
      <c r="M221" s="1" t="e">
        <f>L221/VLOOKUP(A221,'[14]geoMap (11)'!$A:$B,2,0)*VLOOKUP(A221,'[14]geoMap (11)'!$A:$C,3,0)</f>
        <v>#REF!</v>
      </c>
      <c r="N221" s="1" t="e">
        <f>M221/VLOOKUP(A221,'[15]geoMap (12)'!$A:$B,2,0)*VLOOKUP(A221,'[15]geoMap (12)'!$A:$C,3,0)</f>
        <v>#REF!</v>
      </c>
      <c r="O221" s="1" t="e">
        <f>N221/VLOOKUP(A221,'[16]geoMap (13)'!$A:$B,2,0)*VLOOKUP(A221,'[16]geoMap (13)'!$A:$C,3,0)</f>
        <v>#REF!</v>
      </c>
      <c r="P221" s="1" t="e">
        <f>O221/VLOOKUP(A221,'[17]geoMap (14)'!$A:$B,2,0)*VLOOKUP(A221,'[17]geoMap (14)'!$A:$C,3,0)</f>
        <v>#REF!</v>
      </c>
      <c r="Q221" s="1" t="e">
        <f>P221/VLOOKUP(A221,'[18]geoMap (15)'!$A:$B,2,0)*VLOOKUP(A221,'[18]geoMap (15)'!$A:$C,3,0)</f>
        <v>#REF!</v>
      </c>
      <c r="R221" s="1" t="e">
        <f>Q221/VLOOKUP(A221,'[19]geoMap (16)'!$A:$B,2,0)*VLOOKUP(A221,'[19]geoMap (16)'!$A:$C,3,0)</f>
        <v>#REF!</v>
      </c>
      <c r="S221" s="1" t="e">
        <f>R221/VLOOKUP(A221,'[20]geoMap (17)'!$A:$B,2,0)*VLOOKUP(A221,'[20]geoMap (17)'!$A:$C,3,0)</f>
        <v>#REF!</v>
      </c>
      <c r="T221" s="1" t="e">
        <f>S221/VLOOKUP(A221,'[21]geoMap (18)'!$A:$B,2,0)*VLOOKUP(A221,'[21]geoMap (18)'!$A:$C,3,0)</f>
        <v>#REF!</v>
      </c>
      <c r="U221" s="1" t="e">
        <f>T221/VLOOKUP(A221,'[22]geoMap (19)'!$A:$B,2,0)*VLOOKUP(A221,'[22]geoMap (19)'!$A:$C,3,0)</f>
        <v>#REF!</v>
      </c>
      <c r="V221" s="1" t="e">
        <f>U221/VLOOKUP(A221,'[23]geoMap (20)'!$A:$B,2,0)*VLOOKUP(A221,'[23]geoMap (20)'!$A:$C,3,0)</f>
        <v>#REF!</v>
      </c>
      <c r="W221" s="1" t="e">
        <f>V221/VLOOKUP(A221,'[24]geoMap (21)'!$A:$B,2,0)*VLOOKUP(A221,'[24]geoMap (21)'!$A:$C,3,0)</f>
        <v>#REF!</v>
      </c>
      <c r="X221" s="1" t="e">
        <f>W221/VLOOKUP(A221,'[25]geoMap (22)'!$A:$B,2,0)*VLOOKUP(A221,'[25]geoMap (22)'!$A:$C,3,0)</f>
        <v>#REF!</v>
      </c>
      <c r="Y221" s="1" t="e">
        <f>X221/VLOOKUP(A221,'[26]geoMap (23)'!$A:$B,2,0)*VLOOKUP(A221,'[26]geoMap (23)'!$A:$C,3,0)</f>
        <v>#REF!</v>
      </c>
      <c r="Z221" s="1" t="e">
        <f>Y221/VLOOKUP(A221,'[27]geoMap (24)'!$A:$B,2,0)*VLOOKUP(A221,'[27]geoMap (24)'!$A:$C,3,0)</f>
        <v>#REF!</v>
      </c>
      <c r="AA221" s="1" t="e">
        <f>Z221/VLOOKUP(A221,'[28]geoMap (25)'!$A:$B,2,0)*VLOOKUP(A221,'[28]geoMap (25)'!$A:$C,3,0)</f>
        <v>#REF!</v>
      </c>
      <c r="AB221" s="1" t="e">
        <f>AA221*VLOOKUP(A221,'[29]geoMap (26)'!$A:$B,2,0)*VLOOKUP(A221,'[29]geoMap (26)'!$A:$C,3,0)</f>
        <v>#REF!</v>
      </c>
      <c r="AC221" s="1" t="e">
        <f>AB221/VLOOKUP(A221,'[30]geoMap (27)'!$A:$B,2,0)*VLOOKUP(A221,'[30]geoMap (27)'!$A:$C,3,0)</f>
        <v>#REF!</v>
      </c>
      <c r="AD221" s="1" t="e">
        <f>AC221/VLOOKUP(A221,'[31]geoMap (28)'!$A:$B,2,0)*VLOOKUP(A221,'[31]geoMap (28)'!$A:$C,3,0)</f>
        <v>#REF!</v>
      </c>
      <c r="AE221" s="1" t="e">
        <f>AD221/VLOOKUP(A221,'[32]geoMap (29)'!$A:$B,2,0)*VLOOKUP(A221,'[32]geoMap (29)'!$A:$C,3,0)</f>
        <v>#REF!</v>
      </c>
      <c r="AF221" s="1" t="e">
        <f>AE221/VLOOKUP(A221,'[33]geoMap (30)'!$A:$B,2,0)*VLOOKUP(A221,'[33]geoMap (30)'!$A:$C,3,0)</f>
        <v>#REF!</v>
      </c>
      <c r="AG221" s="1" t="e">
        <f>AF221/VLOOKUP(A221,'[34]geoMap (31)'!$A:$B,2,0)*VLOOKUP(A221,'[34]geoMap (31)'!$A:$C,3,0)</f>
        <v>#REF!</v>
      </c>
      <c r="AH221" s="1" t="e">
        <f>AG221/VLOOKUP(A221,'[35]geoMap (32)'!$A:$B,2,0)*VLOOKUP(A221,'[35]geoMap (32)'!$A:$C,3,0)</f>
        <v>#REF!</v>
      </c>
      <c r="AI221" s="1" t="e">
        <f>AH221/VLOOKUP(A221,'[36]geoMap (33)'!$A:$B,2,0)*VLOOKUP(A221,'[36]geoMap (33)'!$A:$C,3,0)</f>
        <v>#REF!</v>
      </c>
      <c r="AJ221" s="1" t="e">
        <f>AI221/VLOOKUP(A221,'[37]geoMap (34)'!$A:$B,2,0)*VLOOKUP(A221,'[37]geoMap (34)'!$A:$C,3,0)</f>
        <v>#REF!</v>
      </c>
      <c r="AK221" s="1" t="e">
        <f>AJ221/VLOOKUP(A221,'[38]geoMap (35)'!$A:$B,2,0)*VLOOKUP(A221,'[38]geoMap (35)'!$A:$C,3,0)</f>
        <v>#REF!</v>
      </c>
      <c r="AL221" s="1" t="e">
        <f>AK221/VLOOKUP(A221,'[39]geoMap (36)'!$A:$B,2,0)*VLOOKUP(A221,'[39]geoMap (36)'!$A:$C,3,0)</f>
        <v>#REF!</v>
      </c>
      <c r="AM221" s="1" t="e">
        <f>AL221/VLOOKUP(A221,'[40]geoMap (37)'!$A:$B,2,0)*VLOOKUP(A221,'[40]geoMap (37)'!$A:$C,3,0)</f>
        <v>#REF!</v>
      </c>
      <c r="AN221" s="1" t="e">
        <f>AM221/VLOOKUP(A221,'[41]geoMap (38)'!$A:$B,2,0)*VLOOKUP(A221,'[41]geoMap (38)'!$A:$C,3,0)</f>
        <v>#REF!</v>
      </c>
      <c r="AO221" s="1" t="e">
        <f>AN221/VLOOKUP(A221,'[42]geoMap (39)'!$A:$B,2,0)*VLOOKUP(A221,'[42]geoMap (39)'!$A:$C,3,0)</f>
        <v>#REF!</v>
      </c>
      <c r="AP221" s="1" t="e">
        <f>AO221/VLOOKUP(A221,'[43]geoMap (40)'!$A:$B,2,0)*VLOOKUP(A221,'[43]geoMap (40)'!$A:$C,3,0)</f>
        <v>#REF!</v>
      </c>
      <c r="AQ221" s="1" t="e">
        <f>AP221/VLOOKUP(A221,'[44]geoMap (41)'!$A:$B,2,0)*VLOOKUP(A221,'[44]geoMap (41)'!$A:$C,3,0)</f>
        <v>#REF!</v>
      </c>
      <c r="AR221" s="1" t="e">
        <f>AQ221/VLOOKUP(A221,'[45]geoMap (42)'!$A:$B,2,0)*VLOOKUP(A221,'[45]geoMap (42)'!$A:$C,3,0)</f>
        <v>#REF!</v>
      </c>
      <c r="AS221" s="1" t="e">
        <f>AR221/VLOOKUP(A221,'[46]geoMap (43)'!$A:$B,2,0)*VLOOKUP(A221,'[46]geoMap (43)'!$A:$C,3,0)</f>
        <v>#REF!</v>
      </c>
      <c r="AT221" s="1" t="e">
        <f>AS221/VLOOKUP(A221,'[47]geoMap (44)'!$A:$B,2,0)*VLOOKUP(A221,'[47]geoMap (44)'!$A:$C,3,0)</f>
        <v>#REF!</v>
      </c>
      <c r="AU221" s="1" t="e">
        <f>AT221/VLOOKUP(A221,'[48]geoMap (45)'!$A:$B,2,0)*VLOOKUP(A221,'[48]geoMap (45)'!$A:$C,3,0)</f>
        <v>#REF!</v>
      </c>
      <c r="AV221" s="1" t="e">
        <f>AU221/VLOOKUP(A221,'[49]geoMap (46)'!$A:$B,2,0)*VLOOKUP(A221,'[49]geoMap (46)'!$A:$C,3,0)</f>
        <v>#REF!</v>
      </c>
      <c r="AW221" s="1" t="e">
        <f>AV221/VLOOKUP(A221,'[50]geoMap (47)'!$A:$B,2,0)*VLOOKUP(A221,'[50]geoMap (47)'!$A:$C,3,0)</f>
        <v>#REF!</v>
      </c>
      <c r="AX221" s="4" t="e">
        <f>AW221/VLOOKUP(A221,'[51]geoMap (48)'!$A:$B,2,0)*VLOOKUP(A221,'[51]geoMap (48)'!$A:$C,3,0)</f>
        <v>#REF!</v>
      </c>
      <c r="AY221" s="1" t="e">
        <f>AX221/VLOOKUP(A221,'[52]geoMap (49)'!$A:$B,2,0)*VLOOKUP(A221,'[52]geoMap (49)'!$A:$C,3,0)</f>
        <v>#REF!</v>
      </c>
      <c r="AZ221" s="4" t="e">
        <f>AY221/VLOOKUP(A221,'[53]geoMap (50)'!$A:$B,2,0)*VLOOKUP(A221,'[53]geoMap (50)'!$A:$C,3,0)</f>
        <v>#REF!</v>
      </c>
      <c r="BA221" s="1" t="e">
        <f>AZ221/VLOOKUP(A221,'[54]geoMap (51)'!$A:$B,2,0)*VLOOKUP(A221,'[54]geoMap (51)'!$A:$C,3,0)</f>
        <v>#REF!</v>
      </c>
      <c r="BB221" s="4" t="e">
        <f>BA221/VLOOKUP(A221,'[55]geoMap (52)'!$A:$B,2,0)*VLOOKUP(A221,'[55]geoMap (52)'!$A:$C,3,0)</f>
        <v>#REF!</v>
      </c>
      <c r="BC221" s="1" t="e">
        <f>BB221/VLOOKUP(A221,'[56]geoMap (53)'!$A:$B,2,0)*VLOOKUP(A221,'[56]geoMap (53)'!$A:$C,3,0)</f>
        <v>#REF!</v>
      </c>
      <c r="BD221" s="4" t="e">
        <f>BC221/VLOOKUP(A221,'[57]geoMap (54)'!$A:$B,2,0)*VLOOKUP(A221,'[57]geoMap (54)'!$A:$C,3,0)</f>
        <v>#REF!</v>
      </c>
      <c r="BE221" s="1" t="e">
        <f>BD221/VLOOKUP(A221,'[58]geoMap (55)'!$A:$B,2,0)*VLOOKUP(A221,'[58]geoMap (55)'!$A:$C,3,0)</f>
        <v>#REF!</v>
      </c>
      <c r="BF221" s="4" t="e">
        <f>BE221/VLOOKUP(A221,'[59]geoMap (56)'!$A:$B,2,0)*VLOOKUP(A221,'[59]geoMap (56)'!$A:$C,3,0)</f>
        <v>#REF!</v>
      </c>
      <c r="BG221" s="1" t="e">
        <f>BF221/VLOOKUP(A221,'[60]geoMap (57)'!$A:$B,2,0)*VLOOKUP(A221,'[60]geoMap (57)'!$A:$C,3,0)</f>
        <v>#REF!</v>
      </c>
      <c r="BH221" s="4" t="e">
        <f>BG221/VLOOKUP(A221,'[61]geoMap (58)'!$A:$B,2,0)*VLOOKUP(A221,'[61]geoMap (58)'!$A:$C,3,0)</f>
        <v>#REF!</v>
      </c>
      <c r="BI221" s="1" t="e">
        <f>BH221/VLOOKUP(A221,'[62]geoMap (59)'!$A:$B,2,0)*VLOOKUP(A221,'[62]geoMap (59)'!$A:$C,3,0)</f>
        <v>#REF!</v>
      </c>
      <c r="BJ221" s="4" t="e">
        <f>BI221/VLOOKUP(A221,'[63]geoMap (60)'!$A:$B,2,0)*VLOOKUP(A221,'[63]geoMap (60)'!$A:$C,3,0)</f>
        <v>#REF!</v>
      </c>
      <c r="BK221" s="1" t="e">
        <f>BJ221/VLOOKUP(A221,'[64]geoMap (61)'!$A:$B,2,0)*VLOOKUP(A221,'[64]geoMap (61)'!$A:$C,3,0)</f>
        <v>#REF!</v>
      </c>
      <c r="BL221" s="4" t="e">
        <f>BK221/VLOOKUP(A221,'[65]geoMap (62)'!$A:$B,2,0)*VLOOKUP(A221,'[65]geoMap (62)'!$A:$C,3,0)</f>
        <v>#REF!</v>
      </c>
      <c r="BM221" s="1" t="e">
        <f>BL221/VLOOKUP(A221,'[66]geoMap (63)'!$A:$B,2,0)*VLOOKUP(A221,'[66]geoMap (63)'!$A:$C,3,0)</f>
        <v>#REF!</v>
      </c>
      <c r="BN221" s="4" t="e">
        <f>BM221/VLOOKUP(A221,'[67]geoMap (64)'!$A:$B,2,0)*VLOOKUP(A221,'[67]geoMap (64)'!$A:$C,3,0)</f>
        <v>#REF!</v>
      </c>
      <c r="BO221" s="1" t="e">
        <f>BN221/VLOOKUP(A221,'[68]geoMap (65)'!$A:$B,2,0)*VLOOKUP(A221,'[68]geoMap (65)'!$A:$C,3,0)</f>
        <v>#REF!</v>
      </c>
      <c r="BP221" s="4" t="e">
        <f>BO221/VLOOKUP(A221,'[69]geoMap (66)'!$A:$B,2,0)*VLOOKUP(A221,'[69]geoMap (66)'!$A:$C,3,0)</f>
        <v>#REF!</v>
      </c>
    </row>
    <row r="222" spans="1:68" x14ac:dyDescent="0.2">
      <c r="A222" s="1" t="s">
        <v>224</v>
      </c>
      <c r="B222" s="1" t="e">
        <f>VLOOKUP(A222,[3]geoMap!$A:$B,2,0)*Notes!$C$6</f>
        <v>#REF!</v>
      </c>
      <c r="C222" s="1" t="e">
        <f>B222/VLOOKUP(A222,'[4]geoMap (1)'!$A:$B,2,0)*VLOOKUP(A222,'[4]geoMap (1)'!$A:$C,3,0)</f>
        <v>#REF!</v>
      </c>
      <c r="D222" s="1" t="e">
        <f>C222/VLOOKUP(A222,'[5]geoMap (2)'!$A:$B,2,0)*VLOOKUP(A222,'[5]geoMap (2)'!$A:$C,3,0)</f>
        <v>#REF!</v>
      </c>
      <c r="E222" s="1" t="e">
        <f>D222/VLOOKUP(A222,'[6]geoMap (3)'!$A:$B,2,0)*VLOOKUP(A222,'[6]geoMap (3)'!$A:$C,3,0)</f>
        <v>#REF!</v>
      </c>
      <c r="F222" s="1" t="e">
        <f>E222/VLOOKUP(A222,'[7]geoMap (4)'!$A:$B,2,0)*VLOOKUP(A222,'[7]geoMap (4)'!$A:$C,3,0)</f>
        <v>#REF!</v>
      </c>
      <c r="G222" s="1" t="e">
        <f>F222/VLOOKUP(A222,'[8]geoMap (5)'!$A:$B,2,0)*VLOOKUP(A222,'[8]geoMap (5)'!$A:$C,3,0)</f>
        <v>#REF!</v>
      </c>
      <c r="H222" s="1" t="e">
        <f>G222/VLOOKUP(A222,'[9]geoMap (6)'!$A:$B,2,0)*VLOOKUP(A222,'[9]geoMap (6)'!$A:$C,3,0)</f>
        <v>#REF!</v>
      </c>
      <c r="I222" s="1" t="e">
        <f>H222/VLOOKUP(A222,'[10]geoMap (7)'!$A:$B,2,0)*VLOOKUP(A222,'[10]geoMap (7)'!$A:$C,3,0)</f>
        <v>#REF!</v>
      </c>
      <c r="J222" s="1" t="e">
        <f>I222/VLOOKUP(A222,'[11]geoMap (8)'!$A:$B,2,0)*VLOOKUP(A222,'[11]geoMap (8)'!$A:$C,3,0)</f>
        <v>#REF!</v>
      </c>
      <c r="K222" s="1" t="e">
        <f>J222/VLOOKUP(A222,'[12]geoMap (9)'!$A:$B,2,0)*VLOOKUP(A222,'[12]geoMap (9)'!$A:$C,3,0)</f>
        <v>#REF!</v>
      </c>
      <c r="L222" s="1" t="e">
        <f>K222/VLOOKUP(A222,'[13]geoMap (10)'!$A:$B,2,0)*VLOOKUP(A222,'[13]geoMap (10)'!$A:$C,3,0)</f>
        <v>#REF!</v>
      </c>
      <c r="M222" s="1" t="e">
        <f>L222/VLOOKUP(A222,'[14]geoMap (11)'!$A:$B,2,0)*VLOOKUP(A222,'[14]geoMap (11)'!$A:$C,3,0)</f>
        <v>#REF!</v>
      </c>
      <c r="N222" s="1" t="e">
        <f>M222/VLOOKUP(A222,'[15]geoMap (12)'!$A:$B,2,0)*VLOOKUP(A222,'[15]geoMap (12)'!$A:$C,3,0)</f>
        <v>#REF!</v>
      </c>
      <c r="O222" s="1" t="e">
        <f>N222/VLOOKUP(A222,'[16]geoMap (13)'!$A:$B,2,0)*VLOOKUP(A222,'[16]geoMap (13)'!$A:$C,3,0)</f>
        <v>#REF!</v>
      </c>
      <c r="P222" s="1" t="e">
        <f>O222/VLOOKUP(A222,'[17]geoMap (14)'!$A:$B,2,0)*VLOOKUP(A222,'[17]geoMap (14)'!$A:$C,3,0)</f>
        <v>#REF!</v>
      </c>
      <c r="Q222" s="1" t="e">
        <f>P222/VLOOKUP(A222,'[18]geoMap (15)'!$A:$B,2,0)*VLOOKUP(A222,'[18]geoMap (15)'!$A:$C,3,0)</f>
        <v>#REF!</v>
      </c>
      <c r="R222" s="1" t="e">
        <f>Q222/VLOOKUP(A222,'[19]geoMap (16)'!$A:$B,2,0)*VLOOKUP(A222,'[19]geoMap (16)'!$A:$C,3,0)</f>
        <v>#REF!</v>
      </c>
      <c r="S222" s="1" t="e">
        <f>R222/VLOOKUP(A222,'[20]geoMap (17)'!$A:$B,2,0)*VLOOKUP(A222,'[20]geoMap (17)'!$A:$C,3,0)</f>
        <v>#REF!</v>
      </c>
      <c r="T222" s="1" t="e">
        <f>S222/VLOOKUP(A222,'[21]geoMap (18)'!$A:$B,2,0)*VLOOKUP(A222,'[21]geoMap (18)'!$A:$C,3,0)</f>
        <v>#REF!</v>
      </c>
      <c r="U222" s="1" t="e">
        <f>T222/VLOOKUP(A222,'[22]geoMap (19)'!$A:$B,2,0)*VLOOKUP(A222,'[22]geoMap (19)'!$A:$C,3,0)</f>
        <v>#REF!</v>
      </c>
      <c r="V222" s="1" t="e">
        <f>U222/VLOOKUP(A222,'[23]geoMap (20)'!$A:$B,2,0)*VLOOKUP(A222,'[23]geoMap (20)'!$A:$C,3,0)</f>
        <v>#REF!</v>
      </c>
      <c r="W222" s="1" t="e">
        <f>V222/VLOOKUP(A222,'[24]geoMap (21)'!$A:$B,2,0)*VLOOKUP(A222,'[24]geoMap (21)'!$A:$C,3,0)</f>
        <v>#REF!</v>
      </c>
      <c r="X222" s="1" t="e">
        <f>W222/VLOOKUP(A222,'[25]geoMap (22)'!$A:$B,2,0)*VLOOKUP(A222,'[25]geoMap (22)'!$A:$C,3,0)</f>
        <v>#REF!</v>
      </c>
      <c r="Y222" s="1" t="e">
        <f>X222/VLOOKUP(A222,'[26]geoMap (23)'!$A:$B,2,0)*VLOOKUP(A222,'[26]geoMap (23)'!$A:$C,3,0)</f>
        <v>#REF!</v>
      </c>
      <c r="Z222" s="1" t="e">
        <f>Y222/VLOOKUP(A222,'[27]geoMap (24)'!$A:$B,2,0)*VLOOKUP(A222,'[27]geoMap (24)'!$A:$C,3,0)</f>
        <v>#REF!</v>
      </c>
      <c r="AA222" s="1" t="e">
        <f>Z222/VLOOKUP(A222,'[28]geoMap (25)'!$A:$B,2,0)*VLOOKUP(A222,'[28]geoMap (25)'!$A:$C,3,0)</f>
        <v>#REF!</v>
      </c>
      <c r="AB222" s="1" t="e">
        <f>AA222*VLOOKUP(A222,'[29]geoMap (26)'!$A:$B,2,0)*VLOOKUP(A222,'[29]geoMap (26)'!$A:$C,3,0)</f>
        <v>#REF!</v>
      </c>
      <c r="AC222" s="1" t="e">
        <f>AB222/VLOOKUP(A222,'[30]geoMap (27)'!$A:$B,2,0)*VLOOKUP(A222,'[30]geoMap (27)'!$A:$C,3,0)</f>
        <v>#REF!</v>
      </c>
      <c r="AD222" s="1" t="e">
        <f>AC222/VLOOKUP(A222,'[31]geoMap (28)'!$A:$B,2,0)*VLOOKUP(A222,'[31]geoMap (28)'!$A:$C,3,0)</f>
        <v>#REF!</v>
      </c>
      <c r="AE222" s="1" t="e">
        <f>AD222/VLOOKUP(A222,'[32]geoMap (29)'!$A:$B,2,0)*VLOOKUP(A222,'[32]geoMap (29)'!$A:$C,3,0)</f>
        <v>#REF!</v>
      </c>
      <c r="AF222" s="1" t="e">
        <f>AE222/VLOOKUP(A222,'[33]geoMap (30)'!$A:$B,2,0)*VLOOKUP(A222,'[33]geoMap (30)'!$A:$C,3,0)</f>
        <v>#REF!</v>
      </c>
      <c r="AG222" s="1" t="e">
        <f>AF222/VLOOKUP(A222,'[34]geoMap (31)'!$A:$B,2,0)*VLOOKUP(A222,'[34]geoMap (31)'!$A:$C,3,0)</f>
        <v>#REF!</v>
      </c>
      <c r="AH222" s="1" t="e">
        <f>AG222/VLOOKUP(A222,'[35]geoMap (32)'!$A:$B,2,0)*VLOOKUP(A222,'[35]geoMap (32)'!$A:$C,3,0)</f>
        <v>#REF!</v>
      </c>
      <c r="AI222" s="1" t="e">
        <f>AH222/VLOOKUP(A222,'[36]geoMap (33)'!$A:$B,2,0)*VLOOKUP(A222,'[36]geoMap (33)'!$A:$C,3,0)</f>
        <v>#REF!</v>
      </c>
      <c r="AJ222" s="1" t="e">
        <f>AI222/VLOOKUP(A222,'[37]geoMap (34)'!$A:$B,2,0)*VLOOKUP(A222,'[37]geoMap (34)'!$A:$C,3,0)</f>
        <v>#REF!</v>
      </c>
      <c r="AK222" s="1" t="e">
        <f>AJ222/VLOOKUP(A222,'[38]geoMap (35)'!$A:$B,2,0)*VLOOKUP(A222,'[38]geoMap (35)'!$A:$C,3,0)</f>
        <v>#REF!</v>
      </c>
      <c r="AL222" s="1" t="e">
        <f>AK222/VLOOKUP(A222,'[39]geoMap (36)'!$A:$B,2,0)*VLOOKUP(A222,'[39]geoMap (36)'!$A:$C,3,0)</f>
        <v>#REF!</v>
      </c>
      <c r="AM222" s="1" t="e">
        <f>AL222/VLOOKUP(A222,'[40]geoMap (37)'!$A:$B,2,0)*VLOOKUP(A222,'[40]geoMap (37)'!$A:$C,3,0)</f>
        <v>#REF!</v>
      </c>
      <c r="AN222" s="1" t="e">
        <f>AM222/VLOOKUP(A222,'[41]geoMap (38)'!$A:$B,2,0)*VLOOKUP(A222,'[41]geoMap (38)'!$A:$C,3,0)</f>
        <v>#REF!</v>
      </c>
      <c r="AO222" s="1" t="e">
        <f>AN222/VLOOKUP(A222,'[42]geoMap (39)'!$A:$B,2,0)*VLOOKUP(A222,'[42]geoMap (39)'!$A:$C,3,0)</f>
        <v>#REF!</v>
      </c>
      <c r="AP222" s="1" t="e">
        <f>AO222/VLOOKUP(A222,'[43]geoMap (40)'!$A:$B,2,0)*VLOOKUP(A222,'[43]geoMap (40)'!$A:$C,3,0)</f>
        <v>#REF!</v>
      </c>
      <c r="AQ222" s="1" t="e">
        <f>AP222/VLOOKUP(A222,'[44]geoMap (41)'!$A:$B,2,0)*VLOOKUP(A222,'[44]geoMap (41)'!$A:$C,3,0)</f>
        <v>#REF!</v>
      </c>
      <c r="AR222" s="1" t="e">
        <f>AQ222/VLOOKUP(A222,'[45]geoMap (42)'!$A:$B,2,0)*VLOOKUP(A222,'[45]geoMap (42)'!$A:$C,3,0)</f>
        <v>#REF!</v>
      </c>
      <c r="AS222" s="1" t="e">
        <f>AR222/VLOOKUP(A222,'[46]geoMap (43)'!$A:$B,2,0)*VLOOKUP(A222,'[46]geoMap (43)'!$A:$C,3,0)</f>
        <v>#REF!</v>
      </c>
      <c r="AT222" s="1" t="e">
        <f>AS222/VLOOKUP(A222,'[47]geoMap (44)'!$A:$B,2,0)*VLOOKUP(A222,'[47]geoMap (44)'!$A:$C,3,0)</f>
        <v>#REF!</v>
      </c>
      <c r="AU222" s="1" t="e">
        <f>AT222/VLOOKUP(A222,'[48]geoMap (45)'!$A:$B,2,0)*VLOOKUP(A222,'[48]geoMap (45)'!$A:$C,3,0)</f>
        <v>#REF!</v>
      </c>
      <c r="AV222" s="1" t="e">
        <f>AU222/VLOOKUP(A222,'[49]geoMap (46)'!$A:$B,2,0)*VLOOKUP(A222,'[49]geoMap (46)'!$A:$C,3,0)</f>
        <v>#REF!</v>
      </c>
      <c r="AW222" s="1" t="e">
        <f>AV222/VLOOKUP(A222,'[50]geoMap (47)'!$A:$B,2,0)*VLOOKUP(A222,'[50]geoMap (47)'!$A:$C,3,0)</f>
        <v>#REF!</v>
      </c>
      <c r="AX222" s="4" t="e">
        <f>AW222/VLOOKUP(A222,'[51]geoMap (48)'!$A:$B,2,0)*VLOOKUP(A222,'[51]geoMap (48)'!$A:$C,3,0)</f>
        <v>#REF!</v>
      </c>
      <c r="AY222" s="1" t="e">
        <f>AX222/VLOOKUP(A222,'[52]geoMap (49)'!$A:$B,2,0)*VLOOKUP(A222,'[52]geoMap (49)'!$A:$C,3,0)</f>
        <v>#REF!</v>
      </c>
      <c r="AZ222" s="4" t="e">
        <f>AY222/VLOOKUP(A222,'[53]geoMap (50)'!$A:$B,2,0)*VLOOKUP(A222,'[53]geoMap (50)'!$A:$C,3,0)</f>
        <v>#REF!</v>
      </c>
      <c r="BA222" s="1" t="e">
        <f>AZ222/VLOOKUP(A222,'[54]geoMap (51)'!$A:$B,2,0)*VLOOKUP(A222,'[54]geoMap (51)'!$A:$C,3,0)</f>
        <v>#REF!</v>
      </c>
      <c r="BB222" s="4" t="e">
        <f>BA222/VLOOKUP(A222,'[55]geoMap (52)'!$A:$B,2,0)*VLOOKUP(A222,'[55]geoMap (52)'!$A:$C,3,0)</f>
        <v>#REF!</v>
      </c>
      <c r="BC222" s="1" t="e">
        <f>BB222/VLOOKUP(A222,'[56]geoMap (53)'!$A:$B,2,0)*VLOOKUP(A222,'[56]geoMap (53)'!$A:$C,3,0)</f>
        <v>#REF!</v>
      </c>
      <c r="BD222" s="4" t="e">
        <f>BC222/VLOOKUP(A222,'[57]geoMap (54)'!$A:$B,2,0)*VLOOKUP(A222,'[57]geoMap (54)'!$A:$C,3,0)</f>
        <v>#REF!</v>
      </c>
      <c r="BE222" s="1" t="e">
        <f>BD222/VLOOKUP(A222,'[58]geoMap (55)'!$A:$B,2,0)*VLOOKUP(A222,'[58]geoMap (55)'!$A:$C,3,0)</f>
        <v>#REF!</v>
      </c>
      <c r="BF222" s="4" t="e">
        <f>BE222/VLOOKUP(A222,'[59]geoMap (56)'!$A:$B,2,0)*VLOOKUP(A222,'[59]geoMap (56)'!$A:$C,3,0)</f>
        <v>#REF!</v>
      </c>
      <c r="BG222" s="1" t="e">
        <f>BF222/VLOOKUP(A222,'[60]geoMap (57)'!$A:$B,2,0)*VLOOKUP(A222,'[60]geoMap (57)'!$A:$C,3,0)</f>
        <v>#REF!</v>
      </c>
      <c r="BH222" s="4" t="e">
        <f>BG222/VLOOKUP(A222,'[61]geoMap (58)'!$A:$B,2,0)*VLOOKUP(A222,'[61]geoMap (58)'!$A:$C,3,0)</f>
        <v>#REF!</v>
      </c>
      <c r="BI222" s="1" t="e">
        <f>BH222/VLOOKUP(A222,'[62]geoMap (59)'!$A:$B,2,0)*VLOOKUP(A222,'[62]geoMap (59)'!$A:$C,3,0)</f>
        <v>#REF!</v>
      </c>
      <c r="BJ222" s="4" t="e">
        <f>BI222/VLOOKUP(A222,'[63]geoMap (60)'!$A:$B,2,0)*VLOOKUP(A222,'[63]geoMap (60)'!$A:$C,3,0)</f>
        <v>#REF!</v>
      </c>
      <c r="BK222" s="1" t="e">
        <f>BJ222/VLOOKUP(A222,'[64]geoMap (61)'!$A:$B,2,0)*VLOOKUP(A222,'[64]geoMap (61)'!$A:$C,3,0)</f>
        <v>#REF!</v>
      </c>
      <c r="BL222" s="4" t="e">
        <f>BK222/VLOOKUP(A222,'[65]geoMap (62)'!$A:$B,2,0)*VLOOKUP(A222,'[65]geoMap (62)'!$A:$C,3,0)</f>
        <v>#REF!</v>
      </c>
      <c r="BM222" s="1" t="e">
        <f>BL222/VLOOKUP(A222,'[66]geoMap (63)'!$A:$B,2,0)*VLOOKUP(A222,'[66]geoMap (63)'!$A:$C,3,0)</f>
        <v>#REF!</v>
      </c>
      <c r="BN222" s="4" t="e">
        <f>BM222/VLOOKUP(A222,'[67]geoMap (64)'!$A:$B,2,0)*VLOOKUP(A222,'[67]geoMap (64)'!$A:$C,3,0)</f>
        <v>#REF!</v>
      </c>
      <c r="BO222" s="1" t="e">
        <f>BN222/VLOOKUP(A222,'[68]geoMap (65)'!$A:$B,2,0)*VLOOKUP(A222,'[68]geoMap (65)'!$A:$C,3,0)</f>
        <v>#REF!</v>
      </c>
      <c r="BP222" s="4" t="e">
        <f>BO222/VLOOKUP(A222,'[69]geoMap (66)'!$A:$B,2,0)*VLOOKUP(A222,'[69]geoMap (66)'!$A:$C,3,0)</f>
        <v>#REF!</v>
      </c>
    </row>
    <row r="223" spans="1:68" x14ac:dyDescent="0.2">
      <c r="A223" s="1" t="s">
        <v>225</v>
      </c>
      <c r="B223" s="1" t="e">
        <f>VLOOKUP(A223,[3]geoMap!$A:$B,2,0)*Notes!$C$6</f>
        <v>#REF!</v>
      </c>
      <c r="C223" s="1" t="e">
        <f>B223/VLOOKUP(A223,'[4]geoMap (1)'!$A:$B,2,0)*VLOOKUP(A223,'[4]geoMap (1)'!$A:$C,3,0)</f>
        <v>#REF!</v>
      </c>
      <c r="D223" s="1" t="e">
        <f>C223/VLOOKUP(A223,'[5]geoMap (2)'!$A:$B,2,0)*VLOOKUP(A223,'[5]geoMap (2)'!$A:$C,3,0)</f>
        <v>#REF!</v>
      </c>
      <c r="E223" s="1" t="e">
        <f>D223/VLOOKUP(A223,'[6]geoMap (3)'!$A:$B,2,0)*VLOOKUP(A223,'[6]geoMap (3)'!$A:$C,3,0)</f>
        <v>#REF!</v>
      </c>
      <c r="F223" s="1" t="e">
        <f>E223/VLOOKUP(A223,'[7]geoMap (4)'!$A:$B,2,0)*VLOOKUP(A223,'[7]geoMap (4)'!$A:$C,3,0)</f>
        <v>#REF!</v>
      </c>
      <c r="G223" s="1" t="e">
        <f>F223/VLOOKUP(A223,'[8]geoMap (5)'!$A:$B,2,0)*VLOOKUP(A223,'[8]geoMap (5)'!$A:$C,3,0)</f>
        <v>#REF!</v>
      </c>
      <c r="H223" s="1" t="e">
        <f>G223/VLOOKUP(A223,'[9]geoMap (6)'!$A:$B,2,0)*VLOOKUP(A223,'[9]geoMap (6)'!$A:$C,3,0)</f>
        <v>#REF!</v>
      </c>
      <c r="I223" s="1" t="e">
        <f>H223/VLOOKUP(A223,'[10]geoMap (7)'!$A:$B,2,0)*VLOOKUP(A223,'[10]geoMap (7)'!$A:$C,3,0)</f>
        <v>#REF!</v>
      </c>
      <c r="J223" s="1" t="e">
        <f>I223/VLOOKUP(A223,'[11]geoMap (8)'!$A:$B,2,0)*VLOOKUP(A223,'[11]geoMap (8)'!$A:$C,3,0)</f>
        <v>#REF!</v>
      </c>
      <c r="K223" s="1" t="e">
        <f>J223/VLOOKUP(A223,'[12]geoMap (9)'!$A:$B,2,0)*VLOOKUP(A223,'[12]geoMap (9)'!$A:$C,3,0)</f>
        <v>#REF!</v>
      </c>
      <c r="L223" s="1" t="e">
        <f>K223/VLOOKUP(A223,'[13]geoMap (10)'!$A:$B,2,0)*VLOOKUP(A223,'[13]geoMap (10)'!$A:$C,3,0)</f>
        <v>#REF!</v>
      </c>
      <c r="M223" s="1" t="e">
        <f>L223/VLOOKUP(A223,'[14]geoMap (11)'!$A:$B,2,0)*VLOOKUP(A223,'[14]geoMap (11)'!$A:$C,3,0)</f>
        <v>#REF!</v>
      </c>
      <c r="N223" s="1" t="e">
        <f>M223/VLOOKUP(A223,'[15]geoMap (12)'!$A:$B,2,0)*VLOOKUP(A223,'[15]geoMap (12)'!$A:$C,3,0)</f>
        <v>#REF!</v>
      </c>
      <c r="O223" s="1" t="e">
        <f>N223/VLOOKUP(A223,'[16]geoMap (13)'!$A:$B,2,0)*VLOOKUP(A223,'[16]geoMap (13)'!$A:$C,3,0)</f>
        <v>#REF!</v>
      </c>
      <c r="P223" s="1" t="e">
        <f>O223/VLOOKUP(A223,'[17]geoMap (14)'!$A:$B,2,0)*VLOOKUP(A223,'[17]geoMap (14)'!$A:$C,3,0)</f>
        <v>#REF!</v>
      </c>
      <c r="Q223" s="1" t="e">
        <f>P223/VLOOKUP(A223,'[18]geoMap (15)'!$A:$B,2,0)*VLOOKUP(A223,'[18]geoMap (15)'!$A:$C,3,0)</f>
        <v>#REF!</v>
      </c>
      <c r="R223" s="1" t="e">
        <f>Q223/VLOOKUP(A223,'[19]geoMap (16)'!$A:$B,2,0)*VLOOKUP(A223,'[19]geoMap (16)'!$A:$C,3,0)</f>
        <v>#REF!</v>
      </c>
      <c r="S223" s="1" t="e">
        <f>R223/VLOOKUP(A223,'[20]geoMap (17)'!$A:$B,2,0)*VLOOKUP(A223,'[20]geoMap (17)'!$A:$C,3,0)</f>
        <v>#REF!</v>
      </c>
      <c r="T223" s="1" t="e">
        <f>S223/VLOOKUP(A223,'[21]geoMap (18)'!$A:$B,2,0)*VLOOKUP(A223,'[21]geoMap (18)'!$A:$C,3,0)</f>
        <v>#REF!</v>
      </c>
      <c r="U223" s="1" t="e">
        <f>T223/VLOOKUP(A223,'[22]geoMap (19)'!$A:$B,2,0)*VLOOKUP(A223,'[22]geoMap (19)'!$A:$C,3,0)</f>
        <v>#REF!</v>
      </c>
      <c r="V223" s="1" t="e">
        <f>U223/VLOOKUP(A223,'[23]geoMap (20)'!$A:$B,2,0)*VLOOKUP(A223,'[23]geoMap (20)'!$A:$C,3,0)</f>
        <v>#REF!</v>
      </c>
      <c r="W223" s="1" t="e">
        <f>V223/VLOOKUP(A223,'[24]geoMap (21)'!$A:$B,2,0)*VLOOKUP(A223,'[24]geoMap (21)'!$A:$C,3,0)</f>
        <v>#REF!</v>
      </c>
      <c r="X223" s="1" t="e">
        <f>W223/VLOOKUP(A223,'[25]geoMap (22)'!$A:$B,2,0)*VLOOKUP(A223,'[25]geoMap (22)'!$A:$C,3,0)</f>
        <v>#REF!</v>
      </c>
      <c r="Y223" s="1" t="e">
        <f>X223/VLOOKUP(A223,'[26]geoMap (23)'!$A:$B,2,0)*VLOOKUP(A223,'[26]geoMap (23)'!$A:$C,3,0)</f>
        <v>#REF!</v>
      </c>
      <c r="Z223" s="1" t="e">
        <f>Y223/VLOOKUP(A223,'[27]geoMap (24)'!$A:$B,2,0)*VLOOKUP(A223,'[27]geoMap (24)'!$A:$C,3,0)</f>
        <v>#REF!</v>
      </c>
      <c r="AA223" s="1" t="e">
        <f>Z223/VLOOKUP(A223,'[28]geoMap (25)'!$A:$B,2,0)*VLOOKUP(A223,'[28]geoMap (25)'!$A:$C,3,0)</f>
        <v>#REF!</v>
      </c>
      <c r="AB223" s="1" t="e">
        <f>AA223*VLOOKUP(A223,'[29]geoMap (26)'!$A:$B,2,0)*VLOOKUP(A223,'[29]geoMap (26)'!$A:$C,3,0)</f>
        <v>#REF!</v>
      </c>
      <c r="AC223" s="1" t="e">
        <f>AB223/VLOOKUP(A223,'[30]geoMap (27)'!$A:$B,2,0)*VLOOKUP(A223,'[30]geoMap (27)'!$A:$C,3,0)</f>
        <v>#REF!</v>
      </c>
      <c r="AD223" s="1" t="e">
        <f>AC223/VLOOKUP(A223,'[31]geoMap (28)'!$A:$B,2,0)*VLOOKUP(A223,'[31]geoMap (28)'!$A:$C,3,0)</f>
        <v>#REF!</v>
      </c>
      <c r="AE223" s="1" t="e">
        <f>AD223/VLOOKUP(A223,'[32]geoMap (29)'!$A:$B,2,0)*VLOOKUP(A223,'[32]geoMap (29)'!$A:$C,3,0)</f>
        <v>#REF!</v>
      </c>
      <c r="AF223" s="1" t="e">
        <f>AE223/VLOOKUP(A223,'[33]geoMap (30)'!$A:$B,2,0)*VLOOKUP(A223,'[33]geoMap (30)'!$A:$C,3,0)</f>
        <v>#REF!</v>
      </c>
      <c r="AG223" s="1" t="e">
        <f>AF223/VLOOKUP(A223,'[34]geoMap (31)'!$A:$B,2,0)*VLOOKUP(A223,'[34]geoMap (31)'!$A:$C,3,0)</f>
        <v>#REF!</v>
      </c>
      <c r="AH223" s="1" t="e">
        <f>AG223/VLOOKUP(A223,'[35]geoMap (32)'!$A:$B,2,0)*VLOOKUP(A223,'[35]geoMap (32)'!$A:$C,3,0)</f>
        <v>#REF!</v>
      </c>
      <c r="AI223" s="1" t="e">
        <f>AH223/VLOOKUP(A223,'[36]geoMap (33)'!$A:$B,2,0)*VLOOKUP(A223,'[36]geoMap (33)'!$A:$C,3,0)</f>
        <v>#REF!</v>
      </c>
      <c r="AJ223" s="1" t="e">
        <f>AI223/VLOOKUP(A223,'[37]geoMap (34)'!$A:$B,2,0)*VLOOKUP(A223,'[37]geoMap (34)'!$A:$C,3,0)</f>
        <v>#REF!</v>
      </c>
      <c r="AK223" s="1" t="e">
        <f>AJ223/VLOOKUP(A223,'[38]geoMap (35)'!$A:$B,2,0)*VLOOKUP(A223,'[38]geoMap (35)'!$A:$C,3,0)</f>
        <v>#REF!</v>
      </c>
      <c r="AL223" s="1" t="e">
        <f>AK223/VLOOKUP(A223,'[39]geoMap (36)'!$A:$B,2,0)*VLOOKUP(A223,'[39]geoMap (36)'!$A:$C,3,0)</f>
        <v>#REF!</v>
      </c>
      <c r="AM223" s="1" t="e">
        <f>AL223/VLOOKUP(A223,'[40]geoMap (37)'!$A:$B,2,0)*VLOOKUP(A223,'[40]geoMap (37)'!$A:$C,3,0)</f>
        <v>#REF!</v>
      </c>
      <c r="AN223" s="1" t="e">
        <f>AM223/VLOOKUP(A223,'[41]geoMap (38)'!$A:$B,2,0)*VLOOKUP(A223,'[41]geoMap (38)'!$A:$C,3,0)</f>
        <v>#REF!</v>
      </c>
      <c r="AO223" s="1" t="e">
        <f>AN223/VLOOKUP(A223,'[42]geoMap (39)'!$A:$B,2,0)*VLOOKUP(A223,'[42]geoMap (39)'!$A:$C,3,0)</f>
        <v>#REF!</v>
      </c>
      <c r="AP223" s="1" t="e">
        <f>AO223/VLOOKUP(A223,'[43]geoMap (40)'!$A:$B,2,0)*VLOOKUP(A223,'[43]geoMap (40)'!$A:$C,3,0)</f>
        <v>#REF!</v>
      </c>
      <c r="AQ223" s="1" t="e">
        <f>AP223/VLOOKUP(A223,'[44]geoMap (41)'!$A:$B,2,0)*VLOOKUP(A223,'[44]geoMap (41)'!$A:$C,3,0)</f>
        <v>#REF!</v>
      </c>
      <c r="AR223" s="1" t="e">
        <f>AQ223/VLOOKUP(A223,'[45]geoMap (42)'!$A:$B,2,0)*VLOOKUP(A223,'[45]geoMap (42)'!$A:$C,3,0)</f>
        <v>#REF!</v>
      </c>
      <c r="AS223" s="1" t="e">
        <f>AR223/VLOOKUP(A223,'[46]geoMap (43)'!$A:$B,2,0)*VLOOKUP(A223,'[46]geoMap (43)'!$A:$C,3,0)</f>
        <v>#REF!</v>
      </c>
      <c r="AT223" s="1" t="e">
        <f>AS223/VLOOKUP(A223,'[47]geoMap (44)'!$A:$B,2,0)*VLOOKUP(A223,'[47]geoMap (44)'!$A:$C,3,0)</f>
        <v>#REF!</v>
      </c>
      <c r="AU223" s="1" t="e">
        <f>AT223/VLOOKUP(A223,'[48]geoMap (45)'!$A:$B,2,0)*VLOOKUP(A223,'[48]geoMap (45)'!$A:$C,3,0)</f>
        <v>#REF!</v>
      </c>
      <c r="AV223" s="1" t="e">
        <f>AU223/VLOOKUP(A223,'[49]geoMap (46)'!$A:$B,2,0)*VLOOKUP(A223,'[49]geoMap (46)'!$A:$C,3,0)</f>
        <v>#REF!</v>
      </c>
      <c r="AW223" s="1" t="e">
        <f>AV223/VLOOKUP(A223,'[50]geoMap (47)'!$A:$B,2,0)*VLOOKUP(A223,'[50]geoMap (47)'!$A:$C,3,0)</f>
        <v>#REF!</v>
      </c>
      <c r="AX223" s="4" t="e">
        <f>AW223/VLOOKUP(A223,'[51]geoMap (48)'!$A:$B,2,0)*VLOOKUP(A223,'[51]geoMap (48)'!$A:$C,3,0)</f>
        <v>#REF!</v>
      </c>
      <c r="AY223" s="1" t="e">
        <f>AX223/VLOOKUP(A223,'[52]geoMap (49)'!$A:$B,2,0)*VLOOKUP(A223,'[52]geoMap (49)'!$A:$C,3,0)</f>
        <v>#REF!</v>
      </c>
      <c r="AZ223" s="4" t="e">
        <f>AY223/VLOOKUP(A223,'[53]geoMap (50)'!$A:$B,2,0)*VLOOKUP(A223,'[53]geoMap (50)'!$A:$C,3,0)</f>
        <v>#REF!</v>
      </c>
      <c r="BA223" s="1" t="e">
        <f>AZ223/VLOOKUP(A223,'[54]geoMap (51)'!$A:$B,2,0)*VLOOKUP(A223,'[54]geoMap (51)'!$A:$C,3,0)</f>
        <v>#REF!</v>
      </c>
      <c r="BB223" s="4" t="e">
        <f>BA223/VLOOKUP(A223,'[55]geoMap (52)'!$A:$B,2,0)*VLOOKUP(A223,'[55]geoMap (52)'!$A:$C,3,0)</f>
        <v>#REF!</v>
      </c>
      <c r="BC223" s="1" t="e">
        <f>BB223/VLOOKUP(A223,'[56]geoMap (53)'!$A:$B,2,0)*VLOOKUP(A223,'[56]geoMap (53)'!$A:$C,3,0)</f>
        <v>#REF!</v>
      </c>
      <c r="BD223" s="4" t="e">
        <f>BC223/VLOOKUP(A223,'[57]geoMap (54)'!$A:$B,2,0)*VLOOKUP(A223,'[57]geoMap (54)'!$A:$C,3,0)</f>
        <v>#REF!</v>
      </c>
      <c r="BE223" s="1" t="e">
        <f>BD223/VLOOKUP(A223,'[58]geoMap (55)'!$A:$B,2,0)*VLOOKUP(A223,'[58]geoMap (55)'!$A:$C,3,0)</f>
        <v>#REF!</v>
      </c>
      <c r="BF223" s="4" t="e">
        <f>BE223/VLOOKUP(A223,'[59]geoMap (56)'!$A:$B,2,0)*VLOOKUP(A223,'[59]geoMap (56)'!$A:$C,3,0)</f>
        <v>#REF!</v>
      </c>
      <c r="BG223" s="1" t="e">
        <f>BF223/VLOOKUP(A223,'[60]geoMap (57)'!$A:$B,2,0)*VLOOKUP(A223,'[60]geoMap (57)'!$A:$C,3,0)</f>
        <v>#REF!</v>
      </c>
      <c r="BH223" s="4" t="e">
        <f>BG223/VLOOKUP(A223,'[61]geoMap (58)'!$A:$B,2,0)*VLOOKUP(A223,'[61]geoMap (58)'!$A:$C,3,0)</f>
        <v>#REF!</v>
      </c>
      <c r="BI223" s="1" t="e">
        <f>BH223/VLOOKUP(A223,'[62]geoMap (59)'!$A:$B,2,0)*VLOOKUP(A223,'[62]geoMap (59)'!$A:$C,3,0)</f>
        <v>#REF!</v>
      </c>
      <c r="BJ223" s="4" t="e">
        <f>BI223/VLOOKUP(A223,'[63]geoMap (60)'!$A:$B,2,0)*VLOOKUP(A223,'[63]geoMap (60)'!$A:$C,3,0)</f>
        <v>#REF!</v>
      </c>
      <c r="BK223" s="1" t="e">
        <f>BJ223/VLOOKUP(A223,'[64]geoMap (61)'!$A:$B,2,0)*VLOOKUP(A223,'[64]geoMap (61)'!$A:$C,3,0)</f>
        <v>#REF!</v>
      </c>
      <c r="BL223" s="4" t="e">
        <f>BK223/VLOOKUP(A223,'[65]geoMap (62)'!$A:$B,2,0)*VLOOKUP(A223,'[65]geoMap (62)'!$A:$C,3,0)</f>
        <v>#REF!</v>
      </c>
      <c r="BM223" s="1" t="e">
        <f>BL223/VLOOKUP(A223,'[66]geoMap (63)'!$A:$B,2,0)*VLOOKUP(A223,'[66]geoMap (63)'!$A:$C,3,0)</f>
        <v>#REF!</v>
      </c>
      <c r="BN223" s="4" t="e">
        <f>BM223/VLOOKUP(A223,'[67]geoMap (64)'!$A:$B,2,0)*VLOOKUP(A223,'[67]geoMap (64)'!$A:$C,3,0)</f>
        <v>#REF!</v>
      </c>
      <c r="BO223" s="1" t="e">
        <f>BN223/VLOOKUP(A223,'[68]geoMap (65)'!$A:$B,2,0)*VLOOKUP(A223,'[68]geoMap (65)'!$A:$C,3,0)</f>
        <v>#REF!</v>
      </c>
      <c r="BP223" s="4" t="e">
        <f>BO223/VLOOKUP(A223,'[69]geoMap (66)'!$A:$B,2,0)*VLOOKUP(A223,'[69]geoMap (66)'!$A:$C,3,0)</f>
        <v>#REF!</v>
      </c>
    </row>
    <row r="224" spans="1:68" x14ac:dyDescent="0.2">
      <c r="A224" s="1" t="s">
        <v>226</v>
      </c>
      <c r="B224" s="1" t="e">
        <f>VLOOKUP(A224,[3]geoMap!$A:$B,2,0)*Notes!$C$6</f>
        <v>#REF!</v>
      </c>
      <c r="C224" s="1" t="e">
        <f>B224/VLOOKUP(A224,'[4]geoMap (1)'!$A:$B,2,0)*VLOOKUP(A224,'[4]geoMap (1)'!$A:$C,3,0)</f>
        <v>#REF!</v>
      </c>
      <c r="D224" s="1" t="e">
        <f>C224/VLOOKUP(A224,'[5]geoMap (2)'!$A:$B,2,0)*VLOOKUP(A224,'[5]geoMap (2)'!$A:$C,3,0)</f>
        <v>#REF!</v>
      </c>
      <c r="E224" s="1" t="e">
        <f>D224/VLOOKUP(A224,'[6]geoMap (3)'!$A:$B,2,0)*VLOOKUP(A224,'[6]geoMap (3)'!$A:$C,3,0)</f>
        <v>#REF!</v>
      </c>
      <c r="F224" s="1" t="e">
        <f>E224/VLOOKUP(A224,'[7]geoMap (4)'!$A:$B,2,0)*VLOOKUP(A224,'[7]geoMap (4)'!$A:$C,3,0)</f>
        <v>#REF!</v>
      </c>
      <c r="G224" s="1" t="e">
        <f>F224/VLOOKUP(A224,'[8]geoMap (5)'!$A:$B,2,0)*VLOOKUP(A224,'[8]geoMap (5)'!$A:$C,3,0)</f>
        <v>#REF!</v>
      </c>
      <c r="H224" s="1" t="e">
        <f>G224/VLOOKUP(A224,'[9]geoMap (6)'!$A:$B,2,0)*VLOOKUP(A224,'[9]geoMap (6)'!$A:$C,3,0)</f>
        <v>#REF!</v>
      </c>
      <c r="I224" s="1" t="e">
        <f>H224/VLOOKUP(A224,'[10]geoMap (7)'!$A:$B,2,0)*VLOOKUP(A224,'[10]geoMap (7)'!$A:$C,3,0)</f>
        <v>#REF!</v>
      </c>
      <c r="J224" s="1" t="e">
        <f>I224/VLOOKUP(A224,'[11]geoMap (8)'!$A:$B,2,0)*VLOOKUP(A224,'[11]geoMap (8)'!$A:$C,3,0)</f>
        <v>#REF!</v>
      </c>
      <c r="K224" s="1" t="e">
        <f>J224/VLOOKUP(A224,'[12]geoMap (9)'!$A:$B,2,0)*VLOOKUP(A224,'[12]geoMap (9)'!$A:$C,3,0)</f>
        <v>#REF!</v>
      </c>
      <c r="L224" s="1" t="e">
        <f>K224/VLOOKUP(A224,'[13]geoMap (10)'!$A:$B,2,0)*VLOOKUP(A224,'[13]geoMap (10)'!$A:$C,3,0)</f>
        <v>#REF!</v>
      </c>
      <c r="M224" s="1" t="e">
        <f>L224/VLOOKUP(A224,'[14]geoMap (11)'!$A:$B,2,0)*VLOOKUP(A224,'[14]geoMap (11)'!$A:$C,3,0)</f>
        <v>#REF!</v>
      </c>
      <c r="N224" s="1" t="e">
        <f>M224/VLOOKUP(A224,'[15]geoMap (12)'!$A:$B,2,0)*VLOOKUP(A224,'[15]geoMap (12)'!$A:$C,3,0)</f>
        <v>#REF!</v>
      </c>
      <c r="O224" s="1" t="e">
        <f>N224/VLOOKUP(A224,'[16]geoMap (13)'!$A:$B,2,0)*VLOOKUP(A224,'[16]geoMap (13)'!$A:$C,3,0)</f>
        <v>#REF!</v>
      </c>
      <c r="P224" s="1" t="e">
        <f>O224/VLOOKUP(A224,'[17]geoMap (14)'!$A:$B,2,0)*VLOOKUP(A224,'[17]geoMap (14)'!$A:$C,3,0)</f>
        <v>#REF!</v>
      </c>
      <c r="Q224" s="1" t="e">
        <f>P224/VLOOKUP(A224,'[18]geoMap (15)'!$A:$B,2,0)*VLOOKUP(A224,'[18]geoMap (15)'!$A:$C,3,0)</f>
        <v>#REF!</v>
      </c>
      <c r="R224" s="1" t="e">
        <f>Q224/VLOOKUP(A224,'[19]geoMap (16)'!$A:$B,2,0)*VLOOKUP(A224,'[19]geoMap (16)'!$A:$C,3,0)</f>
        <v>#REF!</v>
      </c>
      <c r="S224" s="1" t="e">
        <f>R224/VLOOKUP(A224,'[20]geoMap (17)'!$A:$B,2,0)*VLOOKUP(A224,'[20]geoMap (17)'!$A:$C,3,0)</f>
        <v>#REF!</v>
      </c>
      <c r="T224" s="1" t="e">
        <f>S224/VLOOKUP(A224,'[21]geoMap (18)'!$A:$B,2,0)*VLOOKUP(A224,'[21]geoMap (18)'!$A:$C,3,0)</f>
        <v>#REF!</v>
      </c>
      <c r="U224" s="1" t="e">
        <f>T224/VLOOKUP(A224,'[22]geoMap (19)'!$A:$B,2,0)*VLOOKUP(A224,'[22]geoMap (19)'!$A:$C,3,0)</f>
        <v>#REF!</v>
      </c>
      <c r="V224" s="1" t="e">
        <f>U224/VLOOKUP(A224,'[23]geoMap (20)'!$A:$B,2,0)*VLOOKUP(A224,'[23]geoMap (20)'!$A:$C,3,0)</f>
        <v>#REF!</v>
      </c>
      <c r="W224" s="1" t="e">
        <f>V224/VLOOKUP(A224,'[24]geoMap (21)'!$A:$B,2,0)*VLOOKUP(A224,'[24]geoMap (21)'!$A:$C,3,0)</f>
        <v>#REF!</v>
      </c>
      <c r="X224" s="1" t="e">
        <f>W224/VLOOKUP(A224,'[25]geoMap (22)'!$A:$B,2,0)*VLOOKUP(A224,'[25]geoMap (22)'!$A:$C,3,0)</f>
        <v>#REF!</v>
      </c>
      <c r="Y224" s="1" t="e">
        <f>X224/VLOOKUP(A224,'[26]geoMap (23)'!$A:$B,2,0)*VLOOKUP(A224,'[26]geoMap (23)'!$A:$C,3,0)</f>
        <v>#REF!</v>
      </c>
      <c r="Z224" s="1" t="e">
        <f>Y224/VLOOKUP(A224,'[27]geoMap (24)'!$A:$B,2,0)*VLOOKUP(A224,'[27]geoMap (24)'!$A:$C,3,0)</f>
        <v>#REF!</v>
      </c>
      <c r="AA224" s="1" t="e">
        <f>Z224/VLOOKUP(A224,'[28]geoMap (25)'!$A:$B,2,0)*VLOOKUP(A224,'[28]geoMap (25)'!$A:$C,3,0)</f>
        <v>#REF!</v>
      </c>
      <c r="AB224" s="1" t="e">
        <f>AA224*VLOOKUP(A224,'[29]geoMap (26)'!$A:$B,2,0)*VLOOKUP(A224,'[29]geoMap (26)'!$A:$C,3,0)</f>
        <v>#REF!</v>
      </c>
      <c r="AC224" s="1" t="e">
        <f>AB224/VLOOKUP(A224,'[30]geoMap (27)'!$A:$B,2,0)*VLOOKUP(A224,'[30]geoMap (27)'!$A:$C,3,0)</f>
        <v>#REF!</v>
      </c>
      <c r="AD224" s="1" t="e">
        <f>AC224/VLOOKUP(A224,'[31]geoMap (28)'!$A:$B,2,0)*VLOOKUP(A224,'[31]geoMap (28)'!$A:$C,3,0)</f>
        <v>#REF!</v>
      </c>
      <c r="AE224" s="1" t="e">
        <f>AD224/VLOOKUP(A224,'[32]geoMap (29)'!$A:$B,2,0)*VLOOKUP(A224,'[32]geoMap (29)'!$A:$C,3,0)</f>
        <v>#REF!</v>
      </c>
      <c r="AF224" s="1" t="e">
        <f>AE224/VLOOKUP(A224,'[33]geoMap (30)'!$A:$B,2,0)*VLOOKUP(A224,'[33]geoMap (30)'!$A:$C,3,0)</f>
        <v>#REF!</v>
      </c>
      <c r="AG224" s="1" t="e">
        <f>AF224/VLOOKUP(A224,'[34]geoMap (31)'!$A:$B,2,0)*VLOOKUP(A224,'[34]geoMap (31)'!$A:$C,3,0)</f>
        <v>#REF!</v>
      </c>
      <c r="AH224" s="1" t="e">
        <f>AG224/VLOOKUP(A224,'[35]geoMap (32)'!$A:$B,2,0)*VLOOKUP(A224,'[35]geoMap (32)'!$A:$C,3,0)</f>
        <v>#REF!</v>
      </c>
      <c r="AI224" s="1" t="e">
        <f>AH224/VLOOKUP(A224,'[36]geoMap (33)'!$A:$B,2,0)*VLOOKUP(A224,'[36]geoMap (33)'!$A:$C,3,0)</f>
        <v>#REF!</v>
      </c>
      <c r="AJ224" s="1" t="e">
        <f>AI224/VLOOKUP(A224,'[37]geoMap (34)'!$A:$B,2,0)*VLOOKUP(A224,'[37]geoMap (34)'!$A:$C,3,0)</f>
        <v>#REF!</v>
      </c>
      <c r="AK224" s="1" t="e">
        <f>AJ224/VLOOKUP(A224,'[38]geoMap (35)'!$A:$B,2,0)*VLOOKUP(A224,'[38]geoMap (35)'!$A:$C,3,0)</f>
        <v>#REF!</v>
      </c>
      <c r="AL224" s="1" t="e">
        <f>AK224/VLOOKUP(A224,'[39]geoMap (36)'!$A:$B,2,0)*VLOOKUP(A224,'[39]geoMap (36)'!$A:$C,3,0)</f>
        <v>#REF!</v>
      </c>
      <c r="AM224" s="1" t="e">
        <f>AL224/VLOOKUP(A224,'[40]geoMap (37)'!$A:$B,2,0)*VLOOKUP(A224,'[40]geoMap (37)'!$A:$C,3,0)</f>
        <v>#REF!</v>
      </c>
      <c r="AN224" s="1" t="e">
        <f>AM224/VLOOKUP(A224,'[41]geoMap (38)'!$A:$B,2,0)*VLOOKUP(A224,'[41]geoMap (38)'!$A:$C,3,0)</f>
        <v>#REF!</v>
      </c>
      <c r="AO224" s="1" t="e">
        <f>AN224/VLOOKUP(A224,'[42]geoMap (39)'!$A:$B,2,0)*VLOOKUP(A224,'[42]geoMap (39)'!$A:$C,3,0)</f>
        <v>#REF!</v>
      </c>
      <c r="AP224" s="1" t="e">
        <f>AO224/VLOOKUP(A224,'[43]geoMap (40)'!$A:$B,2,0)*VLOOKUP(A224,'[43]geoMap (40)'!$A:$C,3,0)</f>
        <v>#REF!</v>
      </c>
      <c r="AQ224" s="1" t="e">
        <f>AP224/VLOOKUP(A224,'[44]geoMap (41)'!$A:$B,2,0)*VLOOKUP(A224,'[44]geoMap (41)'!$A:$C,3,0)</f>
        <v>#REF!</v>
      </c>
      <c r="AR224" s="1" t="e">
        <f>AQ224/VLOOKUP(A224,'[45]geoMap (42)'!$A:$B,2,0)*VLOOKUP(A224,'[45]geoMap (42)'!$A:$C,3,0)</f>
        <v>#REF!</v>
      </c>
      <c r="AS224" s="1" t="e">
        <f>AR224/VLOOKUP(A224,'[46]geoMap (43)'!$A:$B,2,0)*VLOOKUP(A224,'[46]geoMap (43)'!$A:$C,3,0)</f>
        <v>#REF!</v>
      </c>
      <c r="AT224" s="1" t="e">
        <f>AS224/VLOOKUP(A224,'[47]geoMap (44)'!$A:$B,2,0)*VLOOKUP(A224,'[47]geoMap (44)'!$A:$C,3,0)</f>
        <v>#REF!</v>
      </c>
      <c r="AU224" s="1" t="e">
        <f>AT224/VLOOKUP(A224,'[48]geoMap (45)'!$A:$B,2,0)*VLOOKUP(A224,'[48]geoMap (45)'!$A:$C,3,0)</f>
        <v>#REF!</v>
      </c>
      <c r="AV224" s="1" t="e">
        <f>AU224/VLOOKUP(A224,'[49]geoMap (46)'!$A:$B,2,0)*VLOOKUP(A224,'[49]geoMap (46)'!$A:$C,3,0)</f>
        <v>#REF!</v>
      </c>
      <c r="AW224" s="1" t="e">
        <f>AV224/VLOOKUP(A224,'[50]geoMap (47)'!$A:$B,2,0)*VLOOKUP(A224,'[50]geoMap (47)'!$A:$C,3,0)</f>
        <v>#REF!</v>
      </c>
      <c r="AX224" s="4" t="e">
        <f>AW224/VLOOKUP(A224,'[51]geoMap (48)'!$A:$B,2,0)*VLOOKUP(A224,'[51]geoMap (48)'!$A:$C,3,0)</f>
        <v>#REF!</v>
      </c>
      <c r="AY224" s="1" t="e">
        <f>AX224/VLOOKUP(A224,'[52]geoMap (49)'!$A:$B,2,0)*VLOOKUP(A224,'[52]geoMap (49)'!$A:$C,3,0)</f>
        <v>#REF!</v>
      </c>
      <c r="AZ224" s="4" t="e">
        <f>AY224/VLOOKUP(A224,'[53]geoMap (50)'!$A:$B,2,0)*VLOOKUP(A224,'[53]geoMap (50)'!$A:$C,3,0)</f>
        <v>#REF!</v>
      </c>
      <c r="BA224" s="1" t="e">
        <f>AZ224/VLOOKUP(A224,'[54]geoMap (51)'!$A:$B,2,0)*VLOOKUP(A224,'[54]geoMap (51)'!$A:$C,3,0)</f>
        <v>#REF!</v>
      </c>
      <c r="BB224" s="4" t="e">
        <f>BA224/VLOOKUP(A224,'[55]geoMap (52)'!$A:$B,2,0)*VLOOKUP(A224,'[55]geoMap (52)'!$A:$C,3,0)</f>
        <v>#REF!</v>
      </c>
      <c r="BC224" s="1" t="e">
        <f>BB224/VLOOKUP(A224,'[56]geoMap (53)'!$A:$B,2,0)*VLOOKUP(A224,'[56]geoMap (53)'!$A:$C,3,0)</f>
        <v>#REF!</v>
      </c>
      <c r="BD224" s="4" t="e">
        <f>BC224/VLOOKUP(A224,'[57]geoMap (54)'!$A:$B,2,0)*VLOOKUP(A224,'[57]geoMap (54)'!$A:$C,3,0)</f>
        <v>#REF!</v>
      </c>
      <c r="BE224" s="1" t="e">
        <f>BD224/VLOOKUP(A224,'[58]geoMap (55)'!$A:$B,2,0)*VLOOKUP(A224,'[58]geoMap (55)'!$A:$C,3,0)</f>
        <v>#REF!</v>
      </c>
      <c r="BF224" s="4" t="e">
        <f>BE224/VLOOKUP(A224,'[59]geoMap (56)'!$A:$B,2,0)*VLOOKUP(A224,'[59]geoMap (56)'!$A:$C,3,0)</f>
        <v>#REF!</v>
      </c>
      <c r="BG224" s="1" t="e">
        <f>BF224/VLOOKUP(A224,'[60]geoMap (57)'!$A:$B,2,0)*VLOOKUP(A224,'[60]geoMap (57)'!$A:$C,3,0)</f>
        <v>#REF!</v>
      </c>
      <c r="BH224" s="4" t="e">
        <f>BG224/VLOOKUP(A224,'[61]geoMap (58)'!$A:$B,2,0)*VLOOKUP(A224,'[61]geoMap (58)'!$A:$C,3,0)</f>
        <v>#REF!</v>
      </c>
      <c r="BI224" s="1" t="e">
        <f>BH224/VLOOKUP(A224,'[62]geoMap (59)'!$A:$B,2,0)*VLOOKUP(A224,'[62]geoMap (59)'!$A:$C,3,0)</f>
        <v>#REF!</v>
      </c>
      <c r="BJ224" s="4" t="e">
        <f>BI224/VLOOKUP(A224,'[63]geoMap (60)'!$A:$B,2,0)*VLOOKUP(A224,'[63]geoMap (60)'!$A:$C,3,0)</f>
        <v>#REF!</v>
      </c>
      <c r="BK224" s="1" t="e">
        <f>BJ224/VLOOKUP(A224,'[64]geoMap (61)'!$A:$B,2,0)*VLOOKUP(A224,'[64]geoMap (61)'!$A:$C,3,0)</f>
        <v>#REF!</v>
      </c>
      <c r="BL224" s="4" t="e">
        <f>BK224/VLOOKUP(A224,'[65]geoMap (62)'!$A:$B,2,0)*VLOOKUP(A224,'[65]geoMap (62)'!$A:$C,3,0)</f>
        <v>#REF!</v>
      </c>
      <c r="BM224" s="1" t="e">
        <f>BL224/VLOOKUP(A224,'[66]geoMap (63)'!$A:$B,2,0)*VLOOKUP(A224,'[66]geoMap (63)'!$A:$C,3,0)</f>
        <v>#REF!</v>
      </c>
      <c r="BN224" s="4" t="e">
        <f>BM224/VLOOKUP(A224,'[67]geoMap (64)'!$A:$B,2,0)*VLOOKUP(A224,'[67]geoMap (64)'!$A:$C,3,0)</f>
        <v>#REF!</v>
      </c>
      <c r="BO224" s="1" t="e">
        <f>BN224/VLOOKUP(A224,'[68]geoMap (65)'!$A:$B,2,0)*VLOOKUP(A224,'[68]geoMap (65)'!$A:$C,3,0)</f>
        <v>#REF!</v>
      </c>
      <c r="BP224" s="4" t="e">
        <f>BO224/VLOOKUP(A224,'[69]geoMap (66)'!$A:$B,2,0)*VLOOKUP(A224,'[69]geoMap (66)'!$A:$C,3,0)</f>
        <v>#REF!</v>
      </c>
    </row>
    <row r="225" spans="1:68" x14ac:dyDescent="0.2">
      <c r="A225" s="1" t="s">
        <v>227</v>
      </c>
      <c r="B225" s="1" t="e">
        <f>VLOOKUP(A225,[3]geoMap!$A:$B,2,0)*Notes!$C$6</f>
        <v>#REF!</v>
      </c>
      <c r="C225" s="1" t="e">
        <f>B225/VLOOKUP(A225,'[4]geoMap (1)'!$A:$B,2,0)*VLOOKUP(A225,'[4]geoMap (1)'!$A:$C,3,0)</f>
        <v>#REF!</v>
      </c>
      <c r="D225" s="1" t="e">
        <f>C225/VLOOKUP(A225,'[5]geoMap (2)'!$A:$B,2,0)*VLOOKUP(A225,'[5]geoMap (2)'!$A:$C,3,0)</f>
        <v>#REF!</v>
      </c>
      <c r="E225" s="1" t="e">
        <f>D225/VLOOKUP(A225,'[6]geoMap (3)'!$A:$B,2,0)*VLOOKUP(A225,'[6]geoMap (3)'!$A:$C,3,0)</f>
        <v>#REF!</v>
      </c>
      <c r="F225" s="1" t="e">
        <f>E225/VLOOKUP(A225,'[7]geoMap (4)'!$A:$B,2,0)*VLOOKUP(A225,'[7]geoMap (4)'!$A:$C,3,0)</f>
        <v>#REF!</v>
      </c>
      <c r="G225" s="1" t="e">
        <f>F225/VLOOKUP(A225,'[8]geoMap (5)'!$A:$B,2,0)*VLOOKUP(A225,'[8]geoMap (5)'!$A:$C,3,0)</f>
        <v>#REF!</v>
      </c>
      <c r="H225" s="1" t="e">
        <f>G225/VLOOKUP(A225,'[9]geoMap (6)'!$A:$B,2,0)*VLOOKUP(A225,'[9]geoMap (6)'!$A:$C,3,0)</f>
        <v>#REF!</v>
      </c>
      <c r="I225" s="1" t="e">
        <f>H225/VLOOKUP(A225,'[10]geoMap (7)'!$A:$B,2,0)*VLOOKUP(A225,'[10]geoMap (7)'!$A:$C,3,0)</f>
        <v>#REF!</v>
      </c>
      <c r="J225" s="1" t="e">
        <f>I225/VLOOKUP(A225,'[11]geoMap (8)'!$A:$B,2,0)*VLOOKUP(A225,'[11]geoMap (8)'!$A:$C,3,0)</f>
        <v>#REF!</v>
      </c>
      <c r="K225" s="1" t="e">
        <f>J225/VLOOKUP(A225,'[12]geoMap (9)'!$A:$B,2,0)*VLOOKUP(A225,'[12]geoMap (9)'!$A:$C,3,0)</f>
        <v>#REF!</v>
      </c>
      <c r="L225" s="1" t="e">
        <f>K225/VLOOKUP(A225,'[13]geoMap (10)'!$A:$B,2,0)*VLOOKUP(A225,'[13]geoMap (10)'!$A:$C,3,0)</f>
        <v>#REF!</v>
      </c>
      <c r="M225" s="1" t="e">
        <f>L225/VLOOKUP(A225,'[14]geoMap (11)'!$A:$B,2,0)*VLOOKUP(A225,'[14]geoMap (11)'!$A:$C,3,0)</f>
        <v>#REF!</v>
      </c>
      <c r="N225" s="1" t="e">
        <f>M225/VLOOKUP(A225,'[15]geoMap (12)'!$A:$B,2,0)*VLOOKUP(A225,'[15]geoMap (12)'!$A:$C,3,0)</f>
        <v>#REF!</v>
      </c>
      <c r="O225" s="1" t="e">
        <f>N225/VLOOKUP(A225,'[16]geoMap (13)'!$A:$B,2,0)*VLOOKUP(A225,'[16]geoMap (13)'!$A:$C,3,0)</f>
        <v>#REF!</v>
      </c>
      <c r="P225" s="1" t="e">
        <f>O225/VLOOKUP(A225,'[17]geoMap (14)'!$A:$B,2,0)*VLOOKUP(A225,'[17]geoMap (14)'!$A:$C,3,0)</f>
        <v>#REF!</v>
      </c>
      <c r="Q225" s="1" t="e">
        <f>P225/VLOOKUP(A225,'[18]geoMap (15)'!$A:$B,2,0)*VLOOKUP(A225,'[18]geoMap (15)'!$A:$C,3,0)</f>
        <v>#REF!</v>
      </c>
      <c r="R225" s="1" t="e">
        <f>Q225/VLOOKUP(A225,'[19]geoMap (16)'!$A:$B,2,0)*VLOOKUP(A225,'[19]geoMap (16)'!$A:$C,3,0)</f>
        <v>#REF!</v>
      </c>
      <c r="S225" s="1" t="e">
        <f>R225/VLOOKUP(A225,'[20]geoMap (17)'!$A:$B,2,0)*VLOOKUP(A225,'[20]geoMap (17)'!$A:$C,3,0)</f>
        <v>#REF!</v>
      </c>
      <c r="T225" s="1" t="e">
        <f>S225/VLOOKUP(A225,'[21]geoMap (18)'!$A:$B,2,0)*VLOOKUP(A225,'[21]geoMap (18)'!$A:$C,3,0)</f>
        <v>#REF!</v>
      </c>
      <c r="U225" s="1" t="e">
        <f>T225/VLOOKUP(A225,'[22]geoMap (19)'!$A:$B,2,0)*VLOOKUP(A225,'[22]geoMap (19)'!$A:$C,3,0)</f>
        <v>#REF!</v>
      </c>
      <c r="V225" s="1" t="e">
        <f>U225/VLOOKUP(A225,'[23]geoMap (20)'!$A:$B,2,0)*VLOOKUP(A225,'[23]geoMap (20)'!$A:$C,3,0)</f>
        <v>#REF!</v>
      </c>
      <c r="W225" s="1" t="e">
        <f>V225/VLOOKUP(A225,'[24]geoMap (21)'!$A:$B,2,0)*VLOOKUP(A225,'[24]geoMap (21)'!$A:$C,3,0)</f>
        <v>#REF!</v>
      </c>
      <c r="X225" s="1" t="e">
        <f>W225/VLOOKUP(A225,'[25]geoMap (22)'!$A:$B,2,0)*VLOOKUP(A225,'[25]geoMap (22)'!$A:$C,3,0)</f>
        <v>#REF!</v>
      </c>
      <c r="Y225" s="1" t="e">
        <f>X225/VLOOKUP(A225,'[26]geoMap (23)'!$A:$B,2,0)*VLOOKUP(A225,'[26]geoMap (23)'!$A:$C,3,0)</f>
        <v>#REF!</v>
      </c>
      <c r="Z225" s="1" t="e">
        <f>Y225/VLOOKUP(A225,'[27]geoMap (24)'!$A:$B,2,0)*VLOOKUP(A225,'[27]geoMap (24)'!$A:$C,3,0)</f>
        <v>#REF!</v>
      </c>
      <c r="AA225" s="1" t="e">
        <f>Z225/VLOOKUP(A225,'[28]geoMap (25)'!$A:$B,2,0)*VLOOKUP(A225,'[28]geoMap (25)'!$A:$C,3,0)</f>
        <v>#REF!</v>
      </c>
      <c r="AB225" s="1" t="e">
        <f>AA225*VLOOKUP(A225,'[29]geoMap (26)'!$A:$B,2,0)*VLOOKUP(A225,'[29]geoMap (26)'!$A:$C,3,0)</f>
        <v>#REF!</v>
      </c>
      <c r="AC225" s="1" t="e">
        <f>AB225/VLOOKUP(A225,'[30]geoMap (27)'!$A:$B,2,0)*VLOOKUP(A225,'[30]geoMap (27)'!$A:$C,3,0)</f>
        <v>#REF!</v>
      </c>
      <c r="AD225" s="1" t="e">
        <f>AC225/VLOOKUP(A225,'[31]geoMap (28)'!$A:$B,2,0)*VLOOKUP(A225,'[31]geoMap (28)'!$A:$C,3,0)</f>
        <v>#REF!</v>
      </c>
      <c r="AE225" s="1" t="e">
        <f>AD225/VLOOKUP(A225,'[32]geoMap (29)'!$A:$B,2,0)*VLOOKUP(A225,'[32]geoMap (29)'!$A:$C,3,0)</f>
        <v>#REF!</v>
      </c>
      <c r="AF225" s="1" t="e">
        <f>AE225/VLOOKUP(A225,'[33]geoMap (30)'!$A:$B,2,0)*VLOOKUP(A225,'[33]geoMap (30)'!$A:$C,3,0)</f>
        <v>#REF!</v>
      </c>
      <c r="AG225" s="1" t="e">
        <f>AF225/VLOOKUP(A225,'[34]geoMap (31)'!$A:$B,2,0)*VLOOKUP(A225,'[34]geoMap (31)'!$A:$C,3,0)</f>
        <v>#REF!</v>
      </c>
      <c r="AH225" s="1" t="e">
        <f>AG225/VLOOKUP(A225,'[35]geoMap (32)'!$A:$B,2,0)*VLOOKUP(A225,'[35]geoMap (32)'!$A:$C,3,0)</f>
        <v>#REF!</v>
      </c>
      <c r="AI225" s="1" t="e">
        <f>AH225/VLOOKUP(A225,'[36]geoMap (33)'!$A:$B,2,0)*VLOOKUP(A225,'[36]geoMap (33)'!$A:$C,3,0)</f>
        <v>#REF!</v>
      </c>
      <c r="AJ225" s="1" t="e">
        <f>AI225/VLOOKUP(A225,'[37]geoMap (34)'!$A:$B,2,0)*VLOOKUP(A225,'[37]geoMap (34)'!$A:$C,3,0)</f>
        <v>#REF!</v>
      </c>
      <c r="AK225" s="1" t="e">
        <f>AJ225/VLOOKUP(A225,'[38]geoMap (35)'!$A:$B,2,0)*VLOOKUP(A225,'[38]geoMap (35)'!$A:$C,3,0)</f>
        <v>#REF!</v>
      </c>
      <c r="AL225" s="1" t="e">
        <f>AK225/VLOOKUP(A225,'[39]geoMap (36)'!$A:$B,2,0)*VLOOKUP(A225,'[39]geoMap (36)'!$A:$C,3,0)</f>
        <v>#REF!</v>
      </c>
      <c r="AM225" s="1" t="e">
        <f>AL225/VLOOKUP(A225,'[40]geoMap (37)'!$A:$B,2,0)*VLOOKUP(A225,'[40]geoMap (37)'!$A:$C,3,0)</f>
        <v>#REF!</v>
      </c>
      <c r="AN225" s="1" t="e">
        <f>AM225/VLOOKUP(A225,'[41]geoMap (38)'!$A:$B,2,0)*VLOOKUP(A225,'[41]geoMap (38)'!$A:$C,3,0)</f>
        <v>#REF!</v>
      </c>
      <c r="AO225" s="1" t="e">
        <f>AN225/VLOOKUP(A225,'[42]geoMap (39)'!$A:$B,2,0)*VLOOKUP(A225,'[42]geoMap (39)'!$A:$C,3,0)</f>
        <v>#REF!</v>
      </c>
      <c r="AP225" s="1" t="e">
        <f>AO225/VLOOKUP(A225,'[43]geoMap (40)'!$A:$B,2,0)*VLOOKUP(A225,'[43]geoMap (40)'!$A:$C,3,0)</f>
        <v>#REF!</v>
      </c>
      <c r="AQ225" s="1" t="e">
        <f>AP225/VLOOKUP(A225,'[44]geoMap (41)'!$A:$B,2,0)*VLOOKUP(A225,'[44]geoMap (41)'!$A:$C,3,0)</f>
        <v>#REF!</v>
      </c>
      <c r="AR225" s="1" t="e">
        <f>AQ225/VLOOKUP(A225,'[45]geoMap (42)'!$A:$B,2,0)*VLOOKUP(A225,'[45]geoMap (42)'!$A:$C,3,0)</f>
        <v>#REF!</v>
      </c>
      <c r="AS225" s="1" t="e">
        <f>AR225/VLOOKUP(A225,'[46]geoMap (43)'!$A:$B,2,0)*VLOOKUP(A225,'[46]geoMap (43)'!$A:$C,3,0)</f>
        <v>#REF!</v>
      </c>
      <c r="AT225" s="1" t="e">
        <f>AS225/VLOOKUP(A225,'[47]geoMap (44)'!$A:$B,2,0)*VLOOKUP(A225,'[47]geoMap (44)'!$A:$C,3,0)</f>
        <v>#REF!</v>
      </c>
      <c r="AU225" s="1" t="e">
        <f>AT225/VLOOKUP(A225,'[48]geoMap (45)'!$A:$B,2,0)*VLOOKUP(A225,'[48]geoMap (45)'!$A:$C,3,0)</f>
        <v>#REF!</v>
      </c>
      <c r="AV225" s="1" t="e">
        <f>AU225/VLOOKUP(A225,'[49]geoMap (46)'!$A:$B,2,0)*VLOOKUP(A225,'[49]geoMap (46)'!$A:$C,3,0)</f>
        <v>#REF!</v>
      </c>
      <c r="AW225" s="1" t="e">
        <f>AV225/VLOOKUP(A225,'[50]geoMap (47)'!$A:$B,2,0)*VLOOKUP(A225,'[50]geoMap (47)'!$A:$C,3,0)</f>
        <v>#REF!</v>
      </c>
      <c r="AX225" s="4" t="e">
        <f>AW225/VLOOKUP(A225,'[51]geoMap (48)'!$A:$B,2,0)*VLOOKUP(A225,'[51]geoMap (48)'!$A:$C,3,0)</f>
        <v>#REF!</v>
      </c>
      <c r="AY225" s="1" t="e">
        <f>AX225/VLOOKUP(A225,'[52]geoMap (49)'!$A:$B,2,0)*VLOOKUP(A225,'[52]geoMap (49)'!$A:$C,3,0)</f>
        <v>#REF!</v>
      </c>
      <c r="AZ225" s="4" t="e">
        <f>AY225/VLOOKUP(A225,'[53]geoMap (50)'!$A:$B,2,0)*VLOOKUP(A225,'[53]geoMap (50)'!$A:$C,3,0)</f>
        <v>#REF!</v>
      </c>
      <c r="BA225" s="1" t="e">
        <f>AZ225/VLOOKUP(A225,'[54]geoMap (51)'!$A:$B,2,0)*VLOOKUP(A225,'[54]geoMap (51)'!$A:$C,3,0)</f>
        <v>#REF!</v>
      </c>
      <c r="BB225" s="4" t="e">
        <f>BA225/VLOOKUP(A225,'[55]geoMap (52)'!$A:$B,2,0)*VLOOKUP(A225,'[55]geoMap (52)'!$A:$C,3,0)</f>
        <v>#REF!</v>
      </c>
      <c r="BC225" s="1" t="e">
        <f>BB225/VLOOKUP(A225,'[56]geoMap (53)'!$A:$B,2,0)*VLOOKUP(A225,'[56]geoMap (53)'!$A:$C,3,0)</f>
        <v>#REF!</v>
      </c>
      <c r="BD225" s="4" t="e">
        <f>BC225/VLOOKUP(A225,'[57]geoMap (54)'!$A:$B,2,0)*VLOOKUP(A225,'[57]geoMap (54)'!$A:$C,3,0)</f>
        <v>#REF!</v>
      </c>
      <c r="BE225" s="1" t="e">
        <f>BD225/VLOOKUP(A225,'[58]geoMap (55)'!$A:$B,2,0)*VLOOKUP(A225,'[58]geoMap (55)'!$A:$C,3,0)</f>
        <v>#REF!</v>
      </c>
      <c r="BF225" s="4" t="e">
        <f>BE225/VLOOKUP(A225,'[59]geoMap (56)'!$A:$B,2,0)*VLOOKUP(A225,'[59]geoMap (56)'!$A:$C,3,0)</f>
        <v>#REF!</v>
      </c>
      <c r="BG225" s="1" t="e">
        <f>BF225/VLOOKUP(A225,'[60]geoMap (57)'!$A:$B,2,0)*VLOOKUP(A225,'[60]geoMap (57)'!$A:$C,3,0)</f>
        <v>#REF!</v>
      </c>
      <c r="BH225" s="4" t="e">
        <f>BG225/VLOOKUP(A225,'[61]geoMap (58)'!$A:$B,2,0)*VLOOKUP(A225,'[61]geoMap (58)'!$A:$C,3,0)</f>
        <v>#REF!</v>
      </c>
      <c r="BI225" s="1" t="e">
        <f>BH225/VLOOKUP(A225,'[62]geoMap (59)'!$A:$B,2,0)*VLOOKUP(A225,'[62]geoMap (59)'!$A:$C,3,0)</f>
        <v>#REF!</v>
      </c>
      <c r="BJ225" s="4" t="e">
        <f>BI225/VLOOKUP(A225,'[63]geoMap (60)'!$A:$B,2,0)*VLOOKUP(A225,'[63]geoMap (60)'!$A:$C,3,0)</f>
        <v>#REF!</v>
      </c>
      <c r="BK225" s="1" t="e">
        <f>BJ225/VLOOKUP(A225,'[64]geoMap (61)'!$A:$B,2,0)*VLOOKUP(A225,'[64]geoMap (61)'!$A:$C,3,0)</f>
        <v>#REF!</v>
      </c>
      <c r="BL225" s="4" t="e">
        <f>BK225/VLOOKUP(A225,'[65]geoMap (62)'!$A:$B,2,0)*VLOOKUP(A225,'[65]geoMap (62)'!$A:$C,3,0)</f>
        <v>#REF!</v>
      </c>
      <c r="BM225" s="1" t="e">
        <f>BL225/VLOOKUP(A225,'[66]geoMap (63)'!$A:$B,2,0)*VLOOKUP(A225,'[66]geoMap (63)'!$A:$C,3,0)</f>
        <v>#REF!</v>
      </c>
      <c r="BN225" s="4" t="e">
        <f>BM225/VLOOKUP(A225,'[67]geoMap (64)'!$A:$B,2,0)*VLOOKUP(A225,'[67]geoMap (64)'!$A:$C,3,0)</f>
        <v>#REF!</v>
      </c>
      <c r="BO225" s="1" t="e">
        <f>BN225/VLOOKUP(A225,'[68]geoMap (65)'!$A:$B,2,0)*VLOOKUP(A225,'[68]geoMap (65)'!$A:$C,3,0)</f>
        <v>#REF!</v>
      </c>
      <c r="BP225" s="4" t="e">
        <f>BO225/VLOOKUP(A225,'[69]geoMap (66)'!$A:$B,2,0)*VLOOKUP(A225,'[69]geoMap (66)'!$A:$C,3,0)</f>
        <v>#REF!</v>
      </c>
    </row>
    <row r="226" spans="1:68" x14ac:dyDescent="0.2">
      <c r="A226" s="1" t="s">
        <v>228</v>
      </c>
      <c r="B226" s="1" t="e">
        <f>VLOOKUP(A226,[3]geoMap!$A:$B,2,0)*Notes!$C$6</f>
        <v>#REF!</v>
      </c>
      <c r="C226" s="1" t="e">
        <f>B226/VLOOKUP(A226,'[4]geoMap (1)'!$A:$B,2,0)*VLOOKUP(A226,'[4]geoMap (1)'!$A:$C,3,0)</f>
        <v>#REF!</v>
      </c>
      <c r="D226" s="1" t="e">
        <f>C226/VLOOKUP(A226,'[5]geoMap (2)'!$A:$B,2,0)*VLOOKUP(A226,'[5]geoMap (2)'!$A:$C,3,0)</f>
        <v>#REF!</v>
      </c>
      <c r="E226" s="1" t="e">
        <f>D226/VLOOKUP(A226,'[6]geoMap (3)'!$A:$B,2,0)*VLOOKUP(A226,'[6]geoMap (3)'!$A:$C,3,0)</f>
        <v>#REF!</v>
      </c>
      <c r="F226" s="1" t="e">
        <f>E226/VLOOKUP(A226,'[7]geoMap (4)'!$A:$B,2,0)*VLOOKUP(A226,'[7]geoMap (4)'!$A:$C,3,0)</f>
        <v>#REF!</v>
      </c>
      <c r="G226" s="1" t="e">
        <f>F226/VLOOKUP(A226,'[8]geoMap (5)'!$A:$B,2,0)*VLOOKUP(A226,'[8]geoMap (5)'!$A:$C,3,0)</f>
        <v>#REF!</v>
      </c>
      <c r="H226" s="1" t="e">
        <f>G226/VLOOKUP(A226,'[9]geoMap (6)'!$A:$B,2,0)*VLOOKUP(A226,'[9]geoMap (6)'!$A:$C,3,0)</f>
        <v>#REF!</v>
      </c>
      <c r="I226" s="1" t="e">
        <f>H226/VLOOKUP(A226,'[10]geoMap (7)'!$A:$B,2,0)*VLOOKUP(A226,'[10]geoMap (7)'!$A:$C,3,0)</f>
        <v>#REF!</v>
      </c>
      <c r="J226" s="1" t="e">
        <f>I226/VLOOKUP(A226,'[11]geoMap (8)'!$A:$B,2,0)*VLOOKUP(A226,'[11]geoMap (8)'!$A:$C,3,0)</f>
        <v>#REF!</v>
      </c>
      <c r="K226" s="1" t="e">
        <f>J226/VLOOKUP(A226,'[12]geoMap (9)'!$A:$B,2,0)*VLOOKUP(A226,'[12]geoMap (9)'!$A:$C,3,0)</f>
        <v>#REF!</v>
      </c>
      <c r="L226" s="1" t="e">
        <f>K226/VLOOKUP(A226,'[13]geoMap (10)'!$A:$B,2,0)*VLOOKUP(A226,'[13]geoMap (10)'!$A:$C,3,0)</f>
        <v>#REF!</v>
      </c>
      <c r="M226" s="1" t="e">
        <f>L226/VLOOKUP(A226,'[14]geoMap (11)'!$A:$B,2,0)*VLOOKUP(A226,'[14]geoMap (11)'!$A:$C,3,0)</f>
        <v>#REF!</v>
      </c>
      <c r="N226" s="1" t="e">
        <f>M226/VLOOKUP(A226,'[15]geoMap (12)'!$A:$B,2,0)*VLOOKUP(A226,'[15]geoMap (12)'!$A:$C,3,0)</f>
        <v>#REF!</v>
      </c>
      <c r="O226" s="1" t="e">
        <f>N226/VLOOKUP(A226,'[16]geoMap (13)'!$A:$B,2,0)*VLOOKUP(A226,'[16]geoMap (13)'!$A:$C,3,0)</f>
        <v>#REF!</v>
      </c>
      <c r="P226" s="1" t="e">
        <f>O226/VLOOKUP(A226,'[17]geoMap (14)'!$A:$B,2,0)*VLOOKUP(A226,'[17]geoMap (14)'!$A:$C,3,0)</f>
        <v>#REF!</v>
      </c>
      <c r="Q226" s="1" t="e">
        <f>P226/VLOOKUP(A226,'[18]geoMap (15)'!$A:$B,2,0)*VLOOKUP(A226,'[18]geoMap (15)'!$A:$C,3,0)</f>
        <v>#REF!</v>
      </c>
      <c r="R226" s="1" t="e">
        <f>Q226/VLOOKUP(A226,'[19]geoMap (16)'!$A:$B,2,0)*VLOOKUP(A226,'[19]geoMap (16)'!$A:$C,3,0)</f>
        <v>#REF!</v>
      </c>
      <c r="S226" s="1" t="e">
        <f>R226/VLOOKUP(A226,'[20]geoMap (17)'!$A:$B,2,0)*VLOOKUP(A226,'[20]geoMap (17)'!$A:$C,3,0)</f>
        <v>#REF!</v>
      </c>
      <c r="T226" s="1" t="e">
        <f>S226/VLOOKUP(A226,'[21]geoMap (18)'!$A:$B,2,0)*VLOOKUP(A226,'[21]geoMap (18)'!$A:$C,3,0)</f>
        <v>#REF!</v>
      </c>
      <c r="U226" s="1" t="e">
        <f>T226/VLOOKUP(A226,'[22]geoMap (19)'!$A:$B,2,0)*VLOOKUP(A226,'[22]geoMap (19)'!$A:$C,3,0)</f>
        <v>#REF!</v>
      </c>
      <c r="V226" s="1" t="e">
        <f>U226/VLOOKUP(A226,'[23]geoMap (20)'!$A:$B,2,0)*VLOOKUP(A226,'[23]geoMap (20)'!$A:$C,3,0)</f>
        <v>#REF!</v>
      </c>
      <c r="W226" s="1" t="e">
        <f>V226/VLOOKUP(A226,'[24]geoMap (21)'!$A:$B,2,0)*VLOOKUP(A226,'[24]geoMap (21)'!$A:$C,3,0)</f>
        <v>#REF!</v>
      </c>
      <c r="X226" s="1" t="e">
        <f>W226/VLOOKUP(A226,'[25]geoMap (22)'!$A:$B,2,0)*VLOOKUP(A226,'[25]geoMap (22)'!$A:$C,3,0)</f>
        <v>#REF!</v>
      </c>
      <c r="Y226" s="1" t="e">
        <f>X226/VLOOKUP(A226,'[26]geoMap (23)'!$A:$B,2,0)*VLOOKUP(A226,'[26]geoMap (23)'!$A:$C,3,0)</f>
        <v>#REF!</v>
      </c>
      <c r="Z226" s="1" t="e">
        <f>Y226/VLOOKUP(A226,'[27]geoMap (24)'!$A:$B,2,0)*VLOOKUP(A226,'[27]geoMap (24)'!$A:$C,3,0)</f>
        <v>#REF!</v>
      </c>
      <c r="AA226" s="1" t="e">
        <f>Z226/VLOOKUP(A226,'[28]geoMap (25)'!$A:$B,2,0)*VLOOKUP(A226,'[28]geoMap (25)'!$A:$C,3,0)</f>
        <v>#REF!</v>
      </c>
      <c r="AB226" s="1" t="e">
        <f>AA226*VLOOKUP(A226,'[29]geoMap (26)'!$A:$B,2,0)*VLOOKUP(A226,'[29]geoMap (26)'!$A:$C,3,0)</f>
        <v>#REF!</v>
      </c>
      <c r="AC226" s="1" t="e">
        <f>AB226/VLOOKUP(A226,'[30]geoMap (27)'!$A:$B,2,0)*VLOOKUP(A226,'[30]geoMap (27)'!$A:$C,3,0)</f>
        <v>#REF!</v>
      </c>
      <c r="AD226" s="1" t="e">
        <f>AC226/VLOOKUP(A226,'[31]geoMap (28)'!$A:$B,2,0)*VLOOKUP(A226,'[31]geoMap (28)'!$A:$C,3,0)</f>
        <v>#REF!</v>
      </c>
      <c r="AE226" s="1" t="e">
        <f>AD226/VLOOKUP(A226,'[32]geoMap (29)'!$A:$B,2,0)*VLOOKUP(A226,'[32]geoMap (29)'!$A:$C,3,0)</f>
        <v>#REF!</v>
      </c>
      <c r="AF226" s="1" t="e">
        <f>AE226/VLOOKUP(A226,'[33]geoMap (30)'!$A:$B,2,0)*VLOOKUP(A226,'[33]geoMap (30)'!$A:$C,3,0)</f>
        <v>#REF!</v>
      </c>
      <c r="AG226" s="1" t="e">
        <f>AF226/VLOOKUP(A226,'[34]geoMap (31)'!$A:$B,2,0)*VLOOKUP(A226,'[34]geoMap (31)'!$A:$C,3,0)</f>
        <v>#REF!</v>
      </c>
      <c r="AH226" s="1" t="e">
        <f>AG226/VLOOKUP(A226,'[35]geoMap (32)'!$A:$B,2,0)*VLOOKUP(A226,'[35]geoMap (32)'!$A:$C,3,0)</f>
        <v>#REF!</v>
      </c>
      <c r="AI226" s="1" t="e">
        <f>AH226/VLOOKUP(A226,'[36]geoMap (33)'!$A:$B,2,0)*VLOOKUP(A226,'[36]geoMap (33)'!$A:$C,3,0)</f>
        <v>#REF!</v>
      </c>
      <c r="AJ226" s="1" t="e">
        <f>AI226/VLOOKUP(A226,'[37]geoMap (34)'!$A:$B,2,0)*VLOOKUP(A226,'[37]geoMap (34)'!$A:$C,3,0)</f>
        <v>#REF!</v>
      </c>
      <c r="AK226" s="1" t="e">
        <f>AJ226/VLOOKUP(A226,'[38]geoMap (35)'!$A:$B,2,0)*VLOOKUP(A226,'[38]geoMap (35)'!$A:$C,3,0)</f>
        <v>#REF!</v>
      </c>
      <c r="AL226" s="1" t="e">
        <f>AK226/VLOOKUP(A226,'[39]geoMap (36)'!$A:$B,2,0)*VLOOKUP(A226,'[39]geoMap (36)'!$A:$C,3,0)</f>
        <v>#REF!</v>
      </c>
      <c r="AM226" s="1" t="e">
        <f>AL226/VLOOKUP(A226,'[40]geoMap (37)'!$A:$B,2,0)*VLOOKUP(A226,'[40]geoMap (37)'!$A:$C,3,0)</f>
        <v>#REF!</v>
      </c>
      <c r="AN226" s="1" t="e">
        <f>AM226/VLOOKUP(A226,'[41]geoMap (38)'!$A:$B,2,0)*VLOOKUP(A226,'[41]geoMap (38)'!$A:$C,3,0)</f>
        <v>#REF!</v>
      </c>
      <c r="AO226" s="1" t="e">
        <f>AN226/VLOOKUP(A226,'[42]geoMap (39)'!$A:$B,2,0)*VLOOKUP(A226,'[42]geoMap (39)'!$A:$C,3,0)</f>
        <v>#REF!</v>
      </c>
      <c r="AP226" s="1" t="e">
        <f>AO226/VLOOKUP(A226,'[43]geoMap (40)'!$A:$B,2,0)*VLOOKUP(A226,'[43]geoMap (40)'!$A:$C,3,0)</f>
        <v>#REF!</v>
      </c>
      <c r="AQ226" s="1" t="e">
        <f>AP226/VLOOKUP(A226,'[44]geoMap (41)'!$A:$B,2,0)*VLOOKUP(A226,'[44]geoMap (41)'!$A:$C,3,0)</f>
        <v>#REF!</v>
      </c>
      <c r="AR226" s="1" t="e">
        <f>AQ226/VLOOKUP(A226,'[45]geoMap (42)'!$A:$B,2,0)*VLOOKUP(A226,'[45]geoMap (42)'!$A:$C,3,0)</f>
        <v>#REF!</v>
      </c>
      <c r="AS226" s="1" t="e">
        <f>AR226/VLOOKUP(A226,'[46]geoMap (43)'!$A:$B,2,0)*VLOOKUP(A226,'[46]geoMap (43)'!$A:$C,3,0)</f>
        <v>#REF!</v>
      </c>
      <c r="AT226" s="1" t="e">
        <f>AS226/VLOOKUP(A226,'[47]geoMap (44)'!$A:$B,2,0)*VLOOKUP(A226,'[47]geoMap (44)'!$A:$C,3,0)</f>
        <v>#REF!</v>
      </c>
      <c r="AU226" s="1" t="e">
        <f>AT226/VLOOKUP(A226,'[48]geoMap (45)'!$A:$B,2,0)*VLOOKUP(A226,'[48]geoMap (45)'!$A:$C,3,0)</f>
        <v>#REF!</v>
      </c>
      <c r="AV226" s="1" t="e">
        <f>AU226/VLOOKUP(A226,'[49]geoMap (46)'!$A:$B,2,0)*VLOOKUP(A226,'[49]geoMap (46)'!$A:$C,3,0)</f>
        <v>#REF!</v>
      </c>
      <c r="AW226" s="1" t="e">
        <f>AV226/VLOOKUP(A226,'[50]geoMap (47)'!$A:$B,2,0)*VLOOKUP(A226,'[50]geoMap (47)'!$A:$C,3,0)</f>
        <v>#REF!</v>
      </c>
      <c r="AX226" s="4" t="e">
        <f>AW226/VLOOKUP(A226,'[51]geoMap (48)'!$A:$B,2,0)*VLOOKUP(A226,'[51]geoMap (48)'!$A:$C,3,0)</f>
        <v>#REF!</v>
      </c>
      <c r="AY226" s="1" t="e">
        <f>AX226/VLOOKUP(A226,'[52]geoMap (49)'!$A:$B,2,0)*VLOOKUP(A226,'[52]geoMap (49)'!$A:$C,3,0)</f>
        <v>#REF!</v>
      </c>
      <c r="AZ226" s="4" t="e">
        <f>AY226/VLOOKUP(A226,'[53]geoMap (50)'!$A:$B,2,0)*VLOOKUP(A226,'[53]geoMap (50)'!$A:$C,3,0)</f>
        <v>#REF!</v>
      </c>
      <c r="BA226" s="1" t="e">
        <f>AZ226/VLOOKUP(A226,'[54]geoMap (51)'!$A:$B,2,0)*VLOOKUP(A226,'[54]geoMap (51)'!$A:$C,3,0)</f>
        <v>#REF!</v>
      </c>
      <c r="BB226" s="4" t="e">
        <f>BA226/VLOOKUP(A226,'[55]geoMap (52)'!$A:$B,2,0)*VLOOKUP(A226,'[55]geoMap (52)'!$A:$C,3,0)</f>
        <v>#REF!</v>
      </c>
      <c r="BC226" s="1" t="e">
        <f>BB226/VLOOKUP(A226,'[56]geoMap (53)'!$A:$B,2,0)*VLOOKUP(A226,'[56]geoMap (53)'!$A:$C,3,0)</f>
        <v>#REF!</v>
      </c>
      <c r="BD226" s="4" t="e">
        <f>BC226/VLOOKUP(A226,'[57]geoMap (54)'!$A:$B,2,0)*VLOOKUP(A226,'[57]geoMap (54)'!$A:$C,3,0)</f>
        <v>#REF!</v>
      </c>
      <c r="BE226" s="1" t="e">
        <f>BD226/VLOOKUP(A226,'[58]geoMap (55)'!$A:$B,2,0)*VLOOKUP(A226,'[58]geoMap (55)'!$A:$C,3,0)</f>
        <v>#REF!</v>
      </c>
      <c r="BF226" s="4" t="e">
        <f>BE226/VLOOKUP(A226,'[59]geoMap (56)'!$A:$B,2,0)*VLOOKUP(A226,'[59]geoMap (56)'!$A:$C,3,0)</f>
        <v>#REF!</v>
      </c>
      <c r="BG226" s="1" t="e">
        <f>BF226/VLOOKUP(A226,'[60]geoMap (57)'!$A:$B,2,0)*VLOOKUP(A226,'[60]geoMap (57)'!$A:$C,3,0)</f>
        <v>#REF!</v>
      </c>
      <c r="BH226" s="4" t="e">
        <f>BG226/VLOOKUP(A226,'[61]geoMap (58)'!$A:$B,2,0)*VLOOKUP(A226,'[61]geoMap (58)'!$A:$C,3,0)</f>
        <v>#REF!</v>
      </c>
      <c r="BI226" s="1" t="e">
        <f>BH226/VLOOKUP(A226,'[62]geoMap (59)'!$A:$B,2,0)*VLOOKUP(A226,'[62]geoMap (59)'!$A:$C,3,0)</f>
        <v>#REF!</v>
      </c>
      <c r="BJ226" s="4" t="e">
        <f>BI226/VLOOKUP(A226,'[63]geoMap (60)'!$A:$B,2,0)*VLOOKUP(A226,'[63]geoMap (60)'!$A:$C,3,0)</f>
        <v>#REF!</v>
      </c>
      <c r="BK226" s="1" t="e">
        <f>BJ226/VLOOKUP(A226,'[64]geoMap (61)'!$A:$B,2,0)*VLOOKUP(A226,'[64]geoMap (61)'!$A:$C,3,0)</f>
        <v>#REF!</v>
      </c>
      <c r="BL226" s="4" t="e">
        <f>BK226/VLOOKUP(A226,'[65]geoMap (62)'!$A:$B,2,0)*VLOOKUP(A226,'[65]geoMap (62)'!$A:$C,3,0)</f>
        <v>#REF!</v>
      </c>
      <c r="BM226" s="1" t="e">
        <f>BL226/VLOOKUP(A226,'[66]geoMap (63)'!$A:$B,2,0)*VLOOKUP(A226,'[66]geoMap (63)'!$A:$C,3,0)</f>
        <v>#REF!</v>
      </c>
      <c r="BN226" s="4" t="e">
        <f>BM226/VLOOKUP(A226,'[67]geoMap (64)'!$A:$B,2,0)*VLOOKUP(A226,'[67]geoMap (64)'!$A:$C,3,0)</f>
        <v>#REF!</v>
      </c>
      <c r="BO226" s="1" t="e">
        <f>BN226/VLOOKUP(A226,'[68]geoMap (65)'!$A:$B,2,0)*VLOOKUP(A226,'[68]geoMap (65)'!$A:$C,3,0)</f>
        <v>#REF!</v>
      </c>
      <c r="BP226" s="4" t="e">
        <f>BO226/VLOOKUP(A226,'[69]geoMap (66)'!$A:$B,2,0)*VLOOKUP(A226,'[69]geoMap (66)'!$A:$C,3,0)</f>
        <v>#REF!</v>
      </c>
    </row>
    <row r="227" spans="1:68" x14ac:dyDescent="0.2">
      <c r="A227" s="1" t="s">
        <v>229</v>
      </c>
      <c r="B227" s="1" t="e">
        <f>VLOOKUP(A227,[3]geoMap!$A:$B,2,0)*Notes!$C$6</f>
        <v>#REF!</v>
      </c>
      <c r="C227" s="1" t="e">
        <f>B227/VLOOKUP(A227,'[4]geoMap (1)'!$A:$B,2,0)*VLOOKUP(A227,'[4]geoMap (1)'!$A:$C,3,0)</f>
        <v>#REF!</v>
      </c>
      <c r="D227" s="1" t="e">
        <f>C227/VLOOKUP(A227,'[5]geoMap (2)'!$A:$B,2,0)*VLOOKUP(A227,'[5]geoMap (2)'!$A:$C,3,0)</f>
        <v>#REF!</v>
      </c>
      <c r="E227" s="1" t="e">
        <f>D227/VLOOKUP(A227,'[6]geoMap (3)'!$A:$B,2,0)*VLOOKUP(A227,'[6]geoMap (3)'!$A:$C,3,0)</f>
        <v>#REF!</v>
      </c>
      <c r="F227" s="1" t="e">
        <f>E227/VLOOKUP(A227,'[7]geoMap (4)'!$A:$B,2,0)*VLOOKUP(A227,'[7]geoMap (4)'!$A:$C,3,0)</f>
        <v>#REF!</v>
      </c>
      <c r="G227" s="1" t="e">
        <f>F227/VLOOKUP(A227,'[8]geoMap (5)'!$A:$B,2,0)*VLOOKUP(A227,'[8]geoMap (5)'!$A:$C,3,0)</f>
        <v>#REF!</v>
      </c>
      <c r="H227" s="1" t="e">
        <f>G227/VLOOKUP(A227,'[9]geoMap (6)'!$A:$B,2,0)*VLOOKUP(A227,'[9]geoMap (6)'!$A:$C,3,0)</f>
        <v>#REF!</v>
      </c>
      <c r="I227" s="1" t="e">
        <f>H227/VLOOKUP(A227,'[10]geoMap (7)'!$A:$B,2,0)*VLOOKUP(A227,'[10]geoMap (7)'!$A:$C,3,0)</f>
        <v>#REF!</v>
      </c>
      <c r="J227" s="1" t="e">
        <f>I227/VLOOKUP(A227,'[11]geoMap (8)'!$A:$B,2,0)*VLOOKUP(A227,'[11]geoMap (8)'!$A:$C,3,0)</f>
        <v>#REF!</v>
      </c>
      <c r="K227" s="1" t="e">
        <f>J227/VLOOKUP(A227,'[12]geoMap (9)'!$A:$B,2,0)*VLOOKUP(A227,'[12]geoMap (9)'!$A:$C,3,0)</f>
        <v>#REF!</v>
      </c>
      <c r="L227" s="1" t="e">
        <f>K227/VLOOKUP(A227,'[13]geoMap (10)'!$A:$B,2,0)*VLOOKUP(A227,'[13]geoMap (10)'!$A:$C,3,0)</f>
        <v>#REF!</v>
      </c>
      <c r="M227" s="1" t="e">
        <f>L227/VLOOKUP(A227,'[14]geoMap (11)'!$A:$B,2,0)*VLOOKUP(A227,'[14]geoMap (11)'!$A:$C,3,0)</f>
        <v>#REF!</v>
      </c>
      <c r="N227" s="1" t="e">
        <f>M227/VLOOKUP(A227,'[15]geoMap (12)'!$A:$B,2,0)*VLOOKUP(A227,'[15]geoMap (12)'!$A:$C,3,0)</f>
        <v>#REF!</v>
      </c>
      <c r="O227" s="1" t="e">
        <f>N227/VLOOKUP(A227,'[16]geoMap (13)'!$A:$B,2,0)*VLOOKUP(A227,'[16]geoMap (13)'!$A:$C,3,0)</f>
        <v>#REF!</v>
      </c>
      <c r="P227" s="1" t="e">
        <f>O227/VLOOKUP(A227,'[17]geoMap (14)'!$A:$B,2,0)*VLOOKUP(A227,'[17]geoMap (14)'!$A:$C,3,0)</f>
        <v>#REF!</v>
      </c>
      <c r="Q227" s="1" t="e">
        <f>P227/VLOOKUP(A227,'[18]geoMap (15)'!$A:$B,2,0)*VLOOKUP(A227,'[18]geoMap (15)'!$A:$C,3,0)</f>
        <v>#REF!</v>
      </c>
      <c r="R227" s="1" t="e">
        <f>Q227/VLOOKUP(A227,'[19]geoMap (16)'!$A:$B,2,0)*VLOOKUP(A227,'[19]geoMap (16)'!$A:$C,3,0)</f>
        <v>#REF!</v>
      </c>
      <c r="S227" s="1" t="e">
        <f>R227/VLOOKUP(A227,'[20]geoMap (17)'!$A:$B,2,0)*VLOOKUP(A227,'[20]geoMap (17)'!$A:$C,3,0)</f>
        <v>#REF!</v>
      </c>
      <c r="T227" s="1" t="e">
        <f>S227/VLOOKUP(A227,'[21]geoMap (18)'!$A:$B,2,0)*VLOOKUP(A227,'[21]geoMap (18)'!$A:$C,3,0)</f>
        <v>#REF!</v>
      </c>
      <c r="U227" s="1" t="e">
        <f>T227/VLOOKUP(A227,'[22]geoMap (19)'!$A:$B,2,0)*VLOOKUP(A227,'[22]geoMap (19)'!$A:$C,3,0)</f>
        <v>#REF!</v>
      </c>
      <c r="V227" s="1" t="e">
        <f>U227/VLOOKUP(A227,'[23]geoMap (20)'!$A:$B,2,0)*VLOOKUP(A227,'[23]geoMap (20)'!$A:$C,3,0)</f>
        <v>#REF!</v>
      </c>
      <c r="W227" s="1" t="e">
        <f>V227/VLOOKUP(A227,'[24]geoMap (21)'!$A:$B,2,0)*VLOOKUP(A227,'[24]geoMap (21)'!$A:$C,3,0)</f>
        <v>#REF!</v>
      </c>
      <c r="X227" s="1" t="e">
        <f>W227/VLOOKUP(A227,'[25]geoMap (22)'!$A:$B,2,0)*VLOOKUP(A227,'[25]geoMap (22)'!$A:$C,3,0)</f>
        <v>#REF!</v>
      </c>
      <c r="Y227" s="1" t="e">
        <f>X227/VLOOKUP(A227,'[26]geoMap (23)'!$A:$B,2,0)*VLOOKUP(A227,'[26]geoMap (23)'!$A:$C,3,0)</f>
        <v>#REF!</v>
      </c>
      <c r="Z227" s="1" t="e">
        <f>Y227/VLOOKUP(A227,'[27]geoMap (24)'!$A:$B,2,0)*VLOOKUP(A227,'[27]geoMap (24)'!$A:$C,3,0)</f>
        <v>#REF!</v>
      </c>
      <c r="AA227" s="1" t="e">
        <f>Z227/VLOOKUP(A227,'[28]geoMap (25)'!$A:$B,2,0)*VLOOKUP(A227,'[28]geoMap (25)'!$A:$C,3,0)</f>
        <v>#REF!</v>
      </c>
      <c r="AB227" s="1" t="e">
        <f>AA227*VLOOKUP(A227,'[29]geoMap (26)'!$A:$B,2,0)*VLOOKUP(A227,'[29]geoMap (26)'!$A:$C,3,0)</f>
        <v>#REF!</v>
      </c>
      <c r="AC227" s="1" t="e">
        <f>AB227/VLOOKUP(A227,'[30]geoMap (27)'!$A:$B,2,0)*VLOOKUP(A227,'[30]geoMap (27)'!$A:$C,3,0)</f>
        <v>#REF!</v>
      </c>
      <c r="AD227" s="1" t="e">
        <f>AC227/VLOOKUP(A227,'[31]geoMap (28)'!$A:$B,2,0)*VLOOKUP(A227,'[31]geoMap (28)'!$A:$C,3,0)</f>
        <v>#REF!</v>
      </c>
      <c r="AE227" s="1" t="e">
        <f>AD227/VLOOKUP(A227,'[32]geoMap (29)'!$A:$B,2,0)*VLOOKUP(A227,'[32]geoMap (29)'!$A:$C,3,0)</f>
        <v>#REF!</v>
      </c>
      <c r="AF227" s="1" t="e">
        <f>AE227/VLOOKUP(A227,'[33]geoMap (30)'!$A:$B,2,0)*VLOOKUP(A227,'[33]geoMap (30)'!$A:$C,3,0)</f>
        <v>#REF!</v>
      </c>
      <c r="AG227" s="1" t="e">
        <f>AF227/VLOOKUP(A227,'[34]geoMap (31)'!$A:$B,2,0)*VLOOKUP(A227,'[34]geoMap (31)'!$A:$C,3,0)</f>
        <v>#REF!</v>
      </c>
      <c r="AH227" s="1" t="e">
        <f>AG227/VLOOKUP(A227,'[35]geoMap (32)'!$A:$B,2,0)*VLOOKUP(A227,'[35]geoMap (32)'!$A:$C,3,0)</f>
        <v>#REF!</v>
      </c>
      <c r="AI227" s="1" t="e">
        <f>AH227/VLOOKUP(A227,'[36]geoMap (33)'!$A:$B,2,0)*VLOOKUP(A227,'[36]geoMap (33)'!$A:$C,3,0)</f>
        <v>#REF!</v>
      </c>
      <c r="AJ227" s="1" t="e">
        <f>AI227/VLOOKUP(A227,'[37]geoMap (34)'!$A:$B,2,0)*VLOOKUP(A227,'[37]geoMap (34)'!$A:$C,3,0)</f>
        <v>#REF!</v>
      </c>
      <c r="AK227" s="1" t="e">
        <f>AJ227/VLOOKUP(A227,'[38]geoMap (35)'!$A:$B,2,0)*VLOOKUP(A227,'[38]geoMap (35)'!$A:$C,3,0)</f>
        <v>#REF!</v>
      </c>
      <c r="AL227" s="1" t="e">
        <f>AK227/VLOOKUP(A227,'[39]geoMap (36)'!$A:$B,2,0)*VLOOKUP(A227,'[39]geoMap (36)'!$A:$C,3,0)</f>
        <v>#REF!</v>
      </c>
      <c r="AM227" s="1" t="e">
        <f>AL227/VLOOKUP(A227,'[40]geoMap (37)'!$A:$B,2,0)*VLOOKUP(A227,'[40]geoMap (37)'!$A:$C,3,0)</f>
        <v>#REF!</v>
      </c>
      <c r="AN227" s="1" t="e">
        <f>AM227/VLOOKUP(A227,'[41]geoMap (38)'!$A:$B,2,0)*VLOOKUP(A227,'[41]geoMap (38)'!$A:$C,3,0)</f>
        <v>#REF!</v>
      </c>
      <c r="AO227" s="1" t="e">
        <f>AN227/VLOOKUP(A227,'[42]geoMap (39)'!$A:$B,2,0)*VLOOKUP(A227,'[42]geoMap (39)'!$A:$C,3,0)</f>
        <v>#REF!</v>
      </c>
      <c r="AP227" s="1" t="e">
        <f>AO227/VLOOKUP(A227,'[43]geoMap (40)'!$A:$B,2,0)*VLOOKUP(A227,'[43]geoMap (40)'!$A:$C,3,0)</f>
        <v>#REF!</v>
      </c>
      <c r="AQ227" s="1" t="e">
        <f>AP227/VLOOKUP(A227,'[44]geoMap (41)'!$A:$B,2,0)*VLOOKUP(A227,'[44]geoMap (41)'!$A:$C,3,0)</f>
        <v>#REF!</v>
      </c>
      <c r="AR227" s="1" t="e">
        <f>AQ227/VLOOKUP(A227,'[45]geoMap (42)'!$A:$B,2,0)*VLOOKUP(A227,'[45]geoMap (42)'!$A:$C,3,0)</f>
        <v>#REF!</v>
      </c>
      <c r="AS227" s="1" t="e">
        <f>AR227/VLOOKUP(A227,'[46]geoMap (43)'!$A:$B,2,0)*VLOOKUP(A227,'[46]geoMap (43)'!$A:$C,3,0)</f>
        <v>#REF!</v>
      </c>
      <c r="AT227" s="1" t="e">
        <f>AS227/VLOOKUP(A227,'[47]geoMap (44)'!$A:$B,2,0)*VLOOKUP(A227,'[47]geoMap (44)'!$A:$C,3,0)</f>
        <v>#REF!</v>
      </c>
      <c r="AU227" s="1" t="e">
        <f>AT227/VLOOKUP(A227,'[48]geoMap (45)'!$A:$B,2,0)*VLOOKUP(A227,'[48]geoMap (45)'!$A:$C,3,0)</f>
        <v>#REF!</v>
      </c>
      <c r="AV227" s="1" t="e">
        <f>AU227/VLOOKUP(A227,'[49]geoMap (46)'!$A:$B,2,0)*VLOOKUP(A227,'[49]geoMap (46)'!$A:$C,3,0)</f>
        <v>#REF!</v>
      </c>
      <c r="AW227" s="1" t="e">
        <f>AV227/VLOOKUP(A227,'[50]geoMap (47)'!$A:$B,2,0)*VLOOKUP(A227,'[50]geoMap (47)'!$A:$C,3,0)</f>
        <v>#REF!</v>
      </c>
      <c r="AX227" s="4" t="e">
        <f>AW227/VLOOKUP(A227,'[51]geoMap (48)'!$A:$B,2,0)*VLOOKUP(A227,'[51]geoMap (48)'!$A:$C,3,0)</f>
        <v>#REF!</v>
      </c>
      <c r="AY227" s="1" t="e">
        <f>AX227/VLOOKUP(A227,'[52]geoMap (49)'!$A:$B,2,0)*VLOOKUP(A227,'[52]geoMap (49)'!$A:$C,3,0)</f>
        <v>#REF!</v>
      </c>
      <c r="AZ227" s="4" t="e">
        <f>AY227/VLOOKUP(A227,'[53]geoMap (50)'!$A:$B,2,0)*VLOOKUP(A227,'[53]geoMap (50)'!$A:$C,3,0)</f>
        <v>#REF!</v>
      </c>
      <c r="BA227" s="1" t="e">
        <f>AZ227/VLOOKUP(A227,'[54]geoMap (51)'!$A:$B,2,0)*VLOOKUP(A227,'[54]geoMap (51)'!$A:$C,3,0)</f>
        <v>#REF!</v>
      </c>
      <c r="BB227" s="4" t="e">
        <f>BA227/VLOOKUP(A227,'[55]geoMap (52)'!$A:$B,2,0)*VLOOKUP(A227,'[55]geoMap (52)'!$A:$C,3,0)</f>
        <v>#REF!</v>
      </c>
      <c r="BC227" s="1" t="e">
        <f>BB227/VLOOKUP(A227,'[56]geoMap (53)'!$A:$B,2,0)*VLOOKUP(A227,'[56]geoMap (53)'!$A:$C,3,0)</f>
        <v>#REF!</v>
      </c>
      <c r="BD227" s="4" t="e">
        <f>BC227/VLOOKUP(A227,'[57]geoMap (54)'!$A:$B,2,0)*VLOOKUP(A227,'[57]geoMap (54)'!$A:$C,3,0)</f>
        <v>#REF!</v>
      </c>
      <c r="BE227" s="1" t="e">
        <f>BD227/VLOOKUP(A227,'[58]geoMap (55)'!$A:$B,2,0)*VLOOKUP(A227,'[58]geoMap (55)'!$A:$C,3,0)</f>
        <v>#REF!</v>
      </c>
      <c r="BF227" s="4" t="e">
        <f>BE227/VLOOKUP(A227,'[59]geoMap (56)'!$A:$B,2,0)*VLOOKUP(A227,'[59]geoMap (56)'!$A:$C,3,0)</f>
        <v>#REF!</v>
      </c>
      <c r="BG227" s="1" t="e">
        <f>BF227/VLOOKUP(A227,'[60]geoMap (57)'!$A:$B,2,0)*VLOOKUP(A227,'[60]geoMap (57)'!$A:$C,3,0)</f>
        <v>#REF!</v>
      </c>
      <c r="BH227" s="4" t="e">
        <f>BG227/VLOOKUP(A227,'[61]geoMap (58)'!$A:$B,2,0)*VLOOKUP(A227,'[61]geoMap (58)'!$A:$C,3,0)</f>
        <v>#REF!</v>
      </c>
      <c r="BI227" s="1" t="e">
        <f>BH227/VLOOKUP(A227,'[62]geoMap (59)'!$A:$B,2,0)*VLOOKUP(A227,'[62]geoMap (59)'!$A:$C,3,0)</f>
        <v>#REF!</v>
      </c>
      <c r="BJ227" s="4" t="e">
        <f>BI227/VLOOKUP(A227,'[63]geoMap (60)'!$A:$B,2,0)*VLOOKUP(A227,'[63]geoMap (60)'!$A:$C,3,0)</f>
        <v>#REF!</v>
      </c>
      <c r="BK227" s="1" t="e">
        <f>BJ227/VLOOKUP(A227,'[64]geoMap (61)'!$A:$B,2,0)*VLOOKUP(A227,'[64]geoMap (61)'!$A:$C,3,0)</f>
        <v>#REF!</v>
      </c>
      <c r="BL227" s="4" t="e">
        <f>BK227/VLOOKUP(A227,'[65]geoMap (62)'!$A:$B,2,0)*VLOOKUP(A227,'[65]geoMap (62)'!$A:$C,3,0)</f>
        <v>#REF!</v>
      </c>
      <c r="BM227" s="1" t="e">
        <f>BL227/VLOOKUP(A227,'[66]geoMap (63)'!$A:$B,2,0)*VLOOKUP(A227,'[66]geoMap (63)'!$A:$C,3,0)</f>
        <v>#REF!</v>
      </c>
      <c r="BN227" s="4" t="e">
        <f>BM227/VLOOKUP(A227,'[67]geoMap (64)'!$A:$B,2,0)*VLOOKUP(A227,'[67]geoMap (64)'!$A:$C,3,0)</f>
        <v>#REF!</v>
      </c>
      <c r="BO227" s="1" t="e">
        <f>BN227/VLOOKUP(A227,'[68]geoMap (65)'!$A:$B,2,0)*VLOOKUP(A227,'[68]geoMap (65)'!$A:$C,3,0)</f>
        <v>#REF!</v>
      </c>
      <c r="BP227" s="4" t="e">
        <f>BO227/VLOOKUP(A227,'[69]geoMap (66)'!$A:$B,2,0)*VLOOKUP(A227,'[69]geoMap (66)'!$A:$C,3,0)</f>
        <v>#REF!</v>
      </c>
    </row>
    <row r="228" spans="1:68" x14ac:dyDescent="0.2">
      <c r="A228" s="1" t="s">
        <v>230</v>
      </c>
      <c r="B228" s="1" t="e">
        <f>VLOOKUP(A228,[3]geoMap!$A:$B,2,0)*Notes!$C$6</f>
        <v>#REF!</v>
      </c>
      <c r="C228" s="1" t="e">
        <f>B228/VLOOKUP(A228,'[4]geoMap (1)'!$A:$B,2,0)*VLOOKUP(A228,'[4]geoMap (1)'!$A:$C,3,0)</f>
        <v>#REF!</v>
      </c>
      <c r="D228" s="1" t="e">
        <f>C228/VLOOKUP(A228,'[5]geoMap (2)'!$A:$B,2,0)*VLOOKUP(A228,'[5]geoMap (2)'!$A:$C,3,0)</f>
        <v>#REF!</v>
      </c>
      <c r="E228" s="1" t="e">
        <f>D228/VLOOKUP(A228,'[6]geoMap (3)'!$A:$B,2,0)*VLOOKUP(A228,'[6]geoMap (3)'!$A:$C,3,0)</f>
        <v>#REF!</v>
      </c>
      <c r="F228" s="1" t="e">
        <f>E228/VLOOKUP(A228,'[7]geoMap (4)'!$A:$B,2,0)*VLOOKUP(A228,'[7]geoMap (4)'!$A:$C,3,0)</f>
        <v>#REF!</v>
      </c>
      <c r="G228" s="1" t="e">
        <f>F228/VLOOKUP(A228,'[8]geoMap (5)'!$A:$B,2,0)*VLOOKUP(A228,'[8]geoMap (5)'!$A:$C,3,0)</f>
        <v>#REF!</v>
      </c>
      <c r="H228" s="1" t="e">
        <f>G228/VLOOKUP(A228,'[9]geoMap (6)'!$A:$B,2,0)*VLOOKUP(A228,'[9]geoMap (6)'!$A:$C,3,0)</f>
        <v>#REF!</v>
      </c>
      <c r="I228" s="1" t="e">
        <f>H228/VLOOKUP(A228,'[10]geoMap (7)'!$A:$B,2,0)*VLOOKUP(A228,'[10]geoMap (7)'!$A:$C,3,0)</f>
        <v>#REF!</v>
      </c>
      <c r="J228" s="1" t="e">
        <f>I228/VLOOKUP(A228,'[11]geoMap (8)'!$A:$B,2,0)*VLOOKUP(A228,'[11]geoMap (8)'!$A:$C,3,0)</f>
        <v>#REF!</v>
      </c>
      <c r="K228" s="1" t="e">
        <f>J228/VLOOKUP(A228,'[12]geoMap (9)'!$A:$B,2,0)*VLOOKUP(A228,'[12]geoMap (9)'!$A:$C,3,0)</f>
        <v>#REF!</v>
      </c>
      <c r="L228" s="1" t="e">
        <f>K228/VLOOKUP(A228,'[13]geoMap (10)'!$A:$B,2,0)*VLOOKUP(A228,'[13]geoMap (10)'!$A:$C,3,0)</f>
        <v>#REF!</v>
      </c>
      <c r="M228" s="1" t="e">
        <f>L228/VLOOKUP(A228,'[14]geoMap (11)'!$A:$B,2,0)*VLOOKUP(A228,'[14]geoMap (11)'!$A:$C,3,0)</f>
        <v>#REF!</v>
      </c>
      <c r="N228" s="1" t="e">
        <f>M228/VLOOKUP(A228,'[15]geoMap (12)'!$A:$B,2,0)*VLOOKUP(A228,'[15]geoMap (12)'!$A:$C,3,0)</f>
        <v>#REF!</v>
      </c>
      <c r="O228" s="1" t="e">
        <f>N228/VLOOKUP(A228,'[16]geoMap (13)'!$A:$B,2,0)*VLOOKUP(A228,'[16]geoMap (13)'!$A:$C,3,0)</f>
        <v>#REF!</v>
      </c>
      <c r="P228" s="1" t="e">
        <f>O228/VLOOKUP(A228,'[17]geoMap (14)'!$A:$B,2,0)*VLOOKUP(A228,'[17]geoMap (14)'!$A:$C,3,0)</f>
        <v>#REF!</v>
      </c>
      <c r="Q228" s="1" t="e">
        <f>P228/VLOOKUP(A228,'[18]geoMap (15)'!$A:$B,2,0)*VLOOKUP(A228,'[18]geoMap (15)'!$A:$C,3,0)</f>
        <v>#REF!</v>
      </c>
      <c r="R228" s="1" t="e">
        <f>Q228/VLOOKUP(A228,'[19]geoMap (16)'!$A:$B,2,0)*VLOOKUP(A228,'[19]geoMap (16)'!$A:$C,3,0)</f>
        <v>#REF!</v>
      </c>
      <c r="S228" s="1" t="e">
        <f>R228/VLOOKUP(A228,'[20]geoMap (17)'!$A:$B,2,0)*VLOOKUP(A228,'[20]geoMap (17)'!$A:$C,3,0)</f>
        <v>#REF!</v>
      </c>
      <c r="T228" s="1" t="e">
        <f>S228/VLOOKUP(A228,'[21]geoMap (18)'!$A:$B,2,0)*VLOOKUP(A228,'[21]geoMap (18)'!$A:$C,3,0)</f>
        <v>#REF!</v>
      </c>
      <c r="U228" s="1" t="e">
        <f>T228/VLOOKUP(A228,'[22]geoMap (19)'!$A:$B,2,0)*VLOOKUP(A228,'[22]geoMap (19)'!$A:$C,3,0)</f>
        <v>#REF!</v>
      </c>
      <c r="V228" s="1" t="e">
        <f>U228/VLOOKUP(A228,'[23]geoMap (20)'!$A:$B,2,0)*VLOOKUP(A228,'[23]geoMap (20)'!$A:$C,3,0)</f>
        <v>#REF!</v>
      </c>
      <c r="W228" s="1" t="e">
        <f>V228/VLOOKUP(A228,'[24]geoMap (21)'!$A:$B,2,0)*VLOOKUP(A228,'[24]geoMap (21)'!$A:$C,3,0)</f>
        <v>#REF!</v>
      </c>
      <c r="X228" s="1" t="e">
        <f>W228/VLOOKUP(A228,'[25]geoMap (22)'!$A:$B,2,0)*VLOOKUP(A228,'[25]geoMap (22)'!$A:$C,3,0)</f>
        <v>#REF!</v>
      </c>
      <c r="Y228" s="1" t="e">
        <f>X228/VLOOKUP(A228,'[26]geoMap (23)'!$A:$B,2,0)*VLOOKUP(A228,'[26]geoMap (23)'!$A:$C,3,0)</f>
        <v>#REF!</v>
      </c>
      <c r="Z228" s="1" t="e">
        <f>Y228/VLOOKUP(A228,'[27]geoMap (24)'!$A:$B,2,0)*VLOOKUP(A228,'[27]geoMap (24)'!$A:$C,3,0)</f>
        <v>#REF!</v>
      </c>
      <c r="AA228" s="1" t="e">
        <f>Z228/VLOOKUP(A228,'[28]geoMap (25)'!$A:$B,2,0)*VLOOKUP(A228,'[28]geoMap (25)'!$A:$C,3,0)</f>
        <v>#REF!</v>
      </c>
      <c r="AB228" s="1" t="e">
        <f>AA228*VLOOKUP(A228,'[29]geoMap (26)'!$A:$B,2,0)*VLOOKUP(A228,'[29]geoMap (26)'!$A:$C,3,0)</f>
        <v>#REF!</v>
      </c>
      <c r="AC228" s="1" t="e">
        <f>AB228/VLOOKUP(A228,'[30]geoMap (27)'!$A:$B,2,0)*VLOOKUP(A228,'[30]geoMap (27)'!$A:$C,3,0)</f>
        <v>#REF!</v>
      </c>
      <c r="AD228" s="1" t="e">
        <f>AC228/VLOOKUP(A228,'[31]geoMap (28)'!$A:$B,2,0)*VLOOKUP(A228,'[31]geoMap (28)'!$A:$C,3,0)</f>
        <v>#REF!</v>
      </c>
      <c r="AE228" s="1" t="e">
        <f>AD228/VLOOKUP(A228,'[32]geoMap (29)'!$A:$B,2,0)*VLOOKUP(A228,'[32]geoMap (29)'!$A:$C,3,0)</f>
        <v>#REF!</v>
      </c>
      <c r="AF228" s="1" t="e">
        <f>AE228/VLOOKUP(A228,'[33]geoMap (30)'!$A:$B,2,0)*VLOOKUP(A228,'[33]geoMap (30)'!$A:$C,3,0)</f>
        <v>#REF!</v>
      </c>
      <c r="AG228" s="1" t="e">
        <f>AF228/VLOOKUP(A228,'[34]geoMap (31)'!$A:$B,2,0)*VLOOKUP(A228,'[34]geoMap (31)'!$A:$C,3,0)</f>
        <v>#REF!</v>
      </c>
      <c r="AH228" s="1" t="e">
        <f>AG228/VLOOKUP(A228,'[35]geoMap (32)'!$A:$B,2,0)*VLOOKUP(A228,'[35]geoMap (32)'!$A:$C,3,0)</f>
        <v>#REF!</v>
      </c>
      <c r="AI228" s="1" t="e">
        <f>AH228/VLOOKUP(A228,'[36]geoMap (33)'!$A:$B,2,0)*VLOOKUP(A228,'[36]geoMap (33)'!$A:$C,3,0)</f>
        <v>#REF!</v>
      </c>
      <c r="AJ228" s="1" t="e">
        <f>AI228/VLOOKUP(A228,'[37]geoMap (34)'!$A:$B,2,0)*VLOOKUP(A228,'[37]geoMap (34)'!$A:$C,3,0)</f>
        <v>#REF!</v>
      </c>
      <c r="AK228" s="1" t="e">
        <f>AJ228/VLOOKUP(A228,'[38]geoMap (35)'!$A:$B,2,0)*VLOOKUP(A228,'[38]geoMap (35)'!$A:$C,3,0)</f>
        <v>#REF!</v>
      </c>
      <c r="AL228" s="1" t="e">
        <f>AK228/VLOOKUP(A228,'[39]geoMap (36)'!$A:$B,2,0)*VLOOKUP(A228,'[39]geoMap (36)'!$A:$C,3,0)</f>
        <v>#REF!</v>
      </c>
      <c r="AM228" s="1" t="e">
        <f>AL228/VLOOKUP(A228,'[40]geoMap (37)'!$A:$B,2,0)*VLOOKUP(A228,'[40]geoMap (37)'!$A:$C,3,0)</f>
        <v>#REF!</v>
      </c>
      <c r="AN228" s="1" t="e">
        <f>AM228/VLOOKUP(A228,'[41]geoMap (38)'!$A:$B,2,0)*VLOOKUP(A228,'[41]geoMap (38)'!$A:$C,3,0)</f>
        <v>#REF!</v>
      </c>
      <c r="AO228" s="1" t="e">
        <f>AN228/VLOOKUP(A228,'[42]geoMap (39)'!$A:$B,2,0)*VLOOKUP(A228,'[42]geoMap (39)'!$A:$C,3,0)</f>
        <v>#REF!</v>
      </c>
      <c r="AP228" s="1" t="e">
        <f>AO228/VLOOKUP(A228,'[43]geoMap (40)'!$A:$B,2,0)*VLOOKUP(A228,'[43]geoMap (40)'!$A:$C,3,0)</f>
        <v>#REF!</v>
      </c>
      <c r="AQ228" s="1" t="e">
        <f>AP228/VLOOKUP(A228,'[44]geoMap (41)'!$A:$B,2,0)*VLOOKUP(A228,'[44]geoMap (41)'!$A:$C,3,0)</f>
        <v>#REF!</v>
      </c>
      <c r="AR228" s="1" t="e">
        <f>AQ228/VLOOKUP(A228,'[45]geoMap (42)'!$A:$B,2,0)*VLOOKUP(A228,'[45]geoMap (42)'!$A:$C,3,0)</f>
        <v>#REF!</v>
      </c>
      <c r="AS228" s="1" t="e">
        <f>AR228/VLOOKUP(A228,'[46]geoMap (43)'!$A:$B,2,0)*VLOOKUP(A228,'[46]geoMap (43)'!$A:$C,3,0)</f>
        <v>#REF!</v>
      </c>
      <c r="AT228" s="1" t="e">
        <f>AS228/VLOOKUP(A228,'[47]geoMap (44)'!$A:$B,2,0)*VLOOKUP(A228,'[47]geoMap (44)'!$A:$C,3,0)</f>
        <v>#REF!</v>
      </c>
      <c r="AU228" s="1" t="e">
        <f>AT228/VLOOKUP(A228,'[48]geoMap (45)'!$A:$B,2,0)*VLOOKUP(A228,'[48]geoMap (45)'!$A:$C,3,0)</f>
        <v>#REF!</v>
      </c>
      <c r="AV228" s="1" t="e">
        <f>AU228/VLOOKUP(A228,'[49]geoMap (46)'!$A:$B,2,0)*VLOOKUP(A228,'[49]geoMap (46)'!$A:$C,3,0)</f>
        <v>#REF!</v>
      </c>
      <c r="AW228" s="1" t="e">
        <f>AV228/VLOOKUP(A228,'[50]geoMap (47)'!$A:$B,2,0)*VLOOKUP(A228,'[50]geoMap (47)'!$A:$C,3,0)</f>
        <v>#REF!</v>
      </c>
      <c r="AX228" s="4" t="e">
        <f>AW228/VLOOKUP(A228,'[51]geoMap (48)'!$A:$B,2,0)*VLOOKUP(A228,'[51]geoMap (48)'!$A:$C,3,0)</f>
        <v>#REF!</v>
      </c>
      <c r="AY228" s="1" t="e">
        <f>AX228/VLOOKUP(A228,'[52]geoMap (49)'!$A:$B,2,0)*VLOOKUP(A228,'[52]geoMap (49)'!$A:$C,3,0)</f>
        <v>#REF!</v>
      </c>
      <c r="AZ228" s="4" t="e">
        <f>AY228/VLOOKUP(A228,'[53]geoMap (50)'!$A:$B,2,0)*VLOOKUP(A228,'[53]geoMap (50)'!$A:$C,3,0)</f>
        <v>#REF!</v>
      </c>
      <c r="BA228" s="1" t="e">
        <f>AZ228/VLOOKUP(A228,'[54]geoMap (51)'!$A:$B,2,0)*VLOOKUP(A228,'[54]geoMap (51)'!$A:$C,3,0)</f>
        <v>#REF!</v>
      </c>
      <c r="BB228" s="4" t="e">
        <f>BA228/VLOOKUP(A228,'[55]geoMap (52)'!$A:$B,2,0)*VLOOKUP(A228,'[55]geoMap (52)'!$A:$C,3,0)</f>
        <v>#REF!</v>
      </c>
      <c r="BC228" s="1" t="e">
        <f>BB228/VLOOKUP(A228,'[56]geoMap (53)'!$A:$B,2,0)*VLOOKUP(A228,'[56]geoMap (53)'!$A:$C,3,0)</f>
        <v>#REF!</v>
      </c>
      <c r="BD228" s="4" t="e">
        <f>BC228/VLOOKUP(A228,'[57]geoMap (54)'!$A:$B,2,0)*VLOOKUP(A228,'[57]geoMap (54)'!$A:$C,3,0)</f>
        <v>#REF!</v>
      </c>
      <c r="BE228" s="1" t="e">
        <f>BD228/VLOOKUP(A228,'[58]geoMap (55)'!$A:$B,2,0)*VLOOKUP(A228,'[58]geoMap (55)'!$A:$C,3,0)</f>
        <v>#REF!</v>
      </c>
      <c r="BF228" s="4" t="e">
        <f>BE228/VLOOKUP(A228,'[59]geoMap (56)'!$A:$B,2,0)*VLOOKUP(A228,'[59]geoMap (56)'!$A:$C,3,0)</f>
        <v>#REF!</v>
      </c>
      <c r="BG228" s="1" t="e">
        <f>BF228/VLOOKUP(A228,'[60]geoMap (57)'!$A:$B,2,0)*VLOOKUP(A228,'[60]geoMap (57)'!$A:$C,3,0)</f>
        <v>#REF!</v>
      </c>
      <c r="BH228" s="4" t="e">
        <f>BG228/VLOOKUP(A228,'[61]geoMap (58)'!$A:$B,2,0)*VLOOKUP(A228,'[61]geoMap (58)'!$A:$C,3,0)</f>
        <v>#REF!</v>
      </c>
      <c r="BI228" s="1" t="e">
        <f>BH228/VLOOKUP(A228,'[62]geoMap (59)'!$A:$B,2,0)*VLOOKUP(A228,'[62]geoMap (59)'!$A:$C,3,0)</f>
        <v>#REF!</v>
      </c>
      <c r="BJ228" s="4" t="e">
        <f>BI228/VLOOKUP(A228,'[63]geoMap (60)'!$A:$B,2,0)*VLOOKUP(A228,'[63]geoMap (60)'!$A:$C,3,0)</f>
        <v>#REF!</v>
      </c>
      <c r="BK228" s="1" t="e">
        <f>BJ228/VLOOKUP(A228,'[64]geoMap (61)'!$A:$B,2,0)*VLOOKUP(A228,'[64]geoMap (61)'!$A:$C,3,0)</f>
        <v>#REF!</v>
      </c>
      <c r="BL228" s="4" t="e">
        <f>BK228/VLOOKUP(A228,'[65]geoMap (62)'!$A:$B,2,0)*VLOOKUP(A228,'[65]geoMap (62)'!$A:$C,3,0)</f>
        <v>#REF!</v>
      </c>
      <c r="BM228" s="1" t="e">
        <f>BL228/VLOOKUP(A228,'[66]geoMap (63)'!$A:$B,2,0)*VLOOKUP(A228,'[66]geoMap (63)'!$A:$C,3,0)</f>
        <v>#REF!</v>
      </c>
      <c r="BN228" s="4" t="e">
        <f>BM228/VLOOKUP(A228,'[67]geoMap (64)'!$A:$B,2,0)*VLOOKUP(A228,'[67]geoMap (64)'!$A:$C,3,0)</f>
        <v>#REF!</v>
      </c>
      <c r="BO228" s="1" t="e">
        <f>BN228/VLOOKUP(A228,'[68]geoMap (65)'!$A:$B,2,0)*VLOOKUP(A228,'[68]geoMap (65)'!$A:$C,3,0)</f>
        <v>#REF!</v>
      </c>
      <c r="BP228" s="4" t="e">
        <f>BO228/VLOOKUP(A228,'[69]geoMap (66)'!$A:$B,2,0)*VLOOKUP(A228,'[69]geoMap (66)'!$A:$C,3,0)</f>
        <v>#REF!</v>
      </c>
    </row>
    <row r="229" spans="1:68" x14ac:dyDescent="0.2">
      <c r="A229" s="1" t="s">
        <v>231</v>
      </c>
      <c r="B229" s="1" t="e">
        <f>VLOOKUP(A229,[3]geoMap!$A:$B,2,0)*Notes!$C$6</f>
        <v>#REF!</v>
      </c>
      <c r="C229" s="1" t="e">
        <f>B229/VLOOKUP(A229,'[4]geoMap (1)'!$A:$B,2,0)*VLOOKUP(A229,'[4]geoMap (1)'!$A:$C,3,0)</f>
        <v>#REF!</v>
      </c>
      <c r="D229" s="1" t="e">
        <f>C229/VLOOKUP(A229,'[5]geoMap (2)'!$A:$B,2,0)*VLOOKUP(A229,'[5]geoMap (2)'!$A:$C,3,0)</f>
        <v>#REF!</v>
      </c>
      <c r="E229" s="1" t="e">
        <f>D229/VLOOKUP(A229,'[6]geoMap (3)'!$A:$B,2,0)*VLOOKUP(A229,'[6]geoMap (3)'!$A:$C,3,0)</f>
        <v>#REF!</v>
      </c>
      <c r="F229" s="1" t="e">
        <f>E229/VLOOKUP(A229,'[7]geoMap (4)'!$A:$B,2,0)*VLOOKUP(A229,'[7]geoMap (4)'!$A:$C,3,0)</f>
        <v>#REF!</v>
      </c>
      <c r="G229" s="1" t="e">
        <f>F229/VLOOKUP(A229,'[8]geoMap (5)'!$A:$B,2,0)*VLOOKUP(A229,'[8]geoMap (5)'!$A:$C,3,0)</f>
        <v>#REF!</v>
      </c>
      <c r="H229" s="1" t="e">
        <f>G229/VLOOKUP(A229,'[9]geoMap (6)'!$A:$B,2,0)*VLOOKUP(A229,'[9]geoMap (6)'!$A:$C,3,0)</f>
        <v>#REF!</v>
      </c>
      <c r="I229" s="1" t="e">
        <f>H229/VLOOKUP(A229,'[10]geoMap (7)'!$A:$B,2,0)*VLOOKUP(A229,'[10]geoMap (7)'!$A:$C,3,0)</f>
        <v>#REF!</v>
      </c>
      <c r="J229" s="1" t="e">
        <f>I229/VLOOKUP(A229,'[11]geoMap (8)'!$A:$B,2,0)*VLOOKUP(A229,'[11]geoMap (8)'!$A:$C,3,0)</f>
        <v>#REF!</v>
      </c>
      <c r="K229" s="1" t="e">
        <f>J229/VLOOKUP(A229,'[12]geoMap (9)'!$A:$B,2,0)*VLOOKUP(A229,'[12]geoMap (9)'!$A:$C,3,0)</f>
        <v>#REF!</v>
      </c>
      <c r="L229" s="1" t="e">
        <f>K229/VLOOKUP(A229,'[13]geoMap (10)'!$A:$B,2,0)*VLOOKUP(A229,'[13]geoMap (10)'!$A:$C,3,0)</f>
        <v>#REF!</v>
      </c>
      <c r="M229" s="1" t="e">
        <f>L229/VLOOKUP(A229,'[14]geoMap (11)'!$A:$B,2,0)*VLOOKUP(A229,'[14]geoMap (11)'!$A:$C,3,0)</f>
        <v>#REF!</v>
      </c>
      <c r="N229" s="1" t="e">
        <f>M229/VLOOKUP(A229,'[15]geoMap (12)'!$A:$B,2,0)*VLOOKUP(A229,'[15]geoMap (12)'!$A:$C,3,0)</f>
        <v>#REF!</v>
      </c>
      <c r="O229" s="1" t="e">
        <f>N229/VLOOKUP(A229,'[16]geoMap (13)'!$A:$B,2,0)*VLOOKUP(A229,'[16]geoMap (13)'!$A:$C,3,0)</f>
        <v>#REF!</v>
      </c>
      <c r="P229" s="1" t="e">
        <f>O229/VLOOKUP(A229,'[17]geoMap (14)'!$A:$B,2,0)*VLOOKUP(A229,'[17]geoMap (14)'!$A:$C,3,0)</f>
        <v>#REF!</v>
      </c>
      <c r="Q229" s="1" t="e">
        <f>P229/VLOOKUP(A229,'[18]geoMap (15)'!$A:$B,2,0)*VLOOKUP(A229,'[18]geoMap (15)'!$A:$C,3,0)</f>
        <v>#REF!</v>
      </c>
      <c r="R229" s="1" t="e">
        <f>Q229/VLOOKUP(A229,'[19]geoMap (16)'!$A:$B,2,0)*VLOOKUP(A229,'[19]geoMap (16)'!$A:$C,3,0)</f>
        <v>#REF!</v>
      </c>
      <c r="S229" s="1" t="e">
        <f>R229/VLOOKUP(A229,'[20]geoMap (17)'!$A:$B,2,0)*VLOOKUP(A229,'[20]geoMap (17)'!$A:$C,3,0)</f>
        <v>#REF!</v>
      </c>
      <c r="T229" s="1" t="e">
        <f>S229/VLOOKUP(A229,'[21]geoMap (18)'!$A:$B,2,0)*VLOOKUP(A229,'[21]geoMap (18)'!$A:$C,3,0)</f>
        <v>#REF!</v>
      </c>
      <c r="U229" s="1" t="e">
        <f>T229/VLOOKUP(A229,'[22]geoMap (19)'!$A:$B,2,0)*VLOOKUP(A229,'[22]geoMap (19)'!$A:$C,3,0)</f>
        <v>#REF!</v>
      </c>
      <c r="V229" s="1" t="e">
        <f>U229/VLOOKUP(A229,'[23]geoMap (20)'!$A:$B,2,0)*VLOOKUP(A229,'[23]geoMap (20)'!$A:$C,3,0)</f>
        <v>#REF!</v>
      </c>
      <c r="W229" s="1" t="e">
        <f>V229/VLOOKUP(A229,'[24]geoMap (21)'!$A:$B,2,0)*VLOOKUP(A229,'[24]geoMap (21)'!$A:$C,3,0)</f>
        <v>#REF!</v>
      </c>
      <c r="X229" s="1" t="e">
        <f>W229/VLOOKUP(A229,'[25]geoMap (22)'!$A:$B,2,0)*VLOOKUP(A229,'[25]geoMap (22)'!$A:$C,3,0)</f>
        <v>#REF!</v>
      </c>
      <c r="Y229" s="1" t="e">
        <f>X229/VLOOKUP(A229,'[26]geoMap (23)'!$A:$B,2,0)*VLOOKUP(A229,'[26]geoMap (23)'!$A:$C,3,0)</f>
        <v>#REF!</v>
      </c>
      <c r="Z229" s="1" t="e">
        <f>Y229/VLOOKUP(A229,'[27]geoMap (24)'!$A:$B,2,0)*VLOOKUP(A229,'[27]geoMap (24)'!$A:$C,3,0)</f>
        <v>#REF!</v>
      </c>
      <c r="AA229" s="1" t="e">
        <f>Z229/VLOOKUP(A229,'[28]geoMap (25)'!$A:$B,2,0)*VLOOKUP(A229,'[28]geoMap (25)'!$A:$C,3,0)</f>
        <v>#REF!</v>
      </c>
      <c r="AB229" s="1" t="e">
        <f>AA229*VLOOKUP(A229,'[29]geoMap (26)'!$A:$B,2,0)*VLOOKUP(A229,'[29]geoMap (26)'!$A:$C,3,0)</f>
        <v>#REF!</v>
      </c>
      <c r="AC229" s="1" t="e">
        <f>AB229/VLOOKUP(A229,'[30]geoMap (27)'!$A:$B,2,0)*VLOOKUP(A229,'[30]geoMap (27)'!$A:$C,3,0)</f>
        <v>#REF!</v>
      </c>
      <c r="AD229" s="1" t="e">
        <f>AC229/VLOOKUP(A229,'[31]geoMap (28)'!$A:$B,2,0)*VLOOKUP(A229,'[31]geoMap (28)'!$A:$C,3,0)</f>
        <v>#REF!</v>
      </c>
      <c r="AE229" s="1" t="e">
        <f>AD229/VLOOKUP(A229,'[32]geoMap (29)'!$A:$B,2,0)*VLOOKUP(A229,'[32]geoMap (29)'!$A:$C,3,0)</f>
        <v>#REF!</v>
      </c>
      <c r="AF229" s="1" t="e">
        <f>AE229/VLOOKUP(A229,'[33]geoMap (30)'!$A:$B,2,0)*VLOOKUP(A229,'[33]geoMap (30)'!$A:$C,3,0)</f>
        <v>#REF!</v>
      </c>
      <c r="AG229" s="1" t="e">
        <f>AF229/VLOOKUP(A229,'[34]geoMap (31)'!$A:$B,2,0)*VLOOKUP(A229,'[34]geoMap (31)'!$A:$C,3,0)</f>
        <v>#REF!</v>
      </c>
      <c r="AH229" s="1" t="e">
        <f>AG229/VLOOKUP(A229,'[35]geoMap (32)'!$A:$B,2,0)*VLOOKUP(A229,'[35]geoMap (32)'!$A:$C,3,0)</f>
        <v>#REF!</v>
      </c>
      <c r="AI229" s="1" t="e">
        <f>AH229/VLOOKUP(A229,'[36]geoMap (33)'!$A:$B,2,0)*VLOOKUP(A229,'[36]geoMap (33)'!$A:$C,3,0)</f>
        <v>#REF!</v>
      </c>
      <c r="AJ229" s="1" t="e">
        <f>AI229/VLOOKUP(A229,'[37]geoMap (34)'!$A:$B,2,0)*VLOOKUP(A229,'[37]geoMap (34)'!$A:$C,3,0)</f>
        <v>#REF!</v>
      </c>
      <c r="AK229" s="1" t="e">
        <f>AJ229/VLOOKUP(A229,'[38]geoMap (35)'!$A:$B,2,0)*VLOOKUP(A229,'[38]geoMap (35)'!$A:$C,3,0)</f>
        <v>#REF!</v>
      </c>
      <c r="AL229" s="1" t="e">
        <f>AK229/VLOOKUP(A229,'[39]geoMap (36)'!$A:$B,2,0)*VLOOKUP(A229,'[39]geoMap (36)'!$A:$C,3,0)</f>
        <v>#REF!</v>
      </c>
      <c r="AM229" s="1" t="e">
        <f>AL229/VLOOKUP(A229,'[40]geoMap (37)'!$A:$B,2,0)*VLOOKUP(A229,'[40]geoMap (37)'!$A:$C,3,0)</f>
        <v>#REF!</v>
      </c>
      <c r="AN229" s="1" t="e">
        <f>AM229/VLOOKUP(A229,'[41]geoMap (38)'!$A:$B,2,0)*VLOOKUP(A229,'[41]geoMap (38)'!$A:$C,3,0)</f>
        <v>#REF!</v>
      </c>
      <c r="AO229" s="1" t="e">
        <f>AN229/VLOOKUP(A229,'[42]geoMap (39)'!$A:$B,2,0)*VLOOKUP(A229,'[42]geoMap (39)'!$A:$C,3,0)</f>
        <v>#REF!</v>
      </c>
      <c r="AP229" s="1" t="e">
        <f>AO229/VLOOKUP(A229,'[43]geoMap (40)'!$A:$B,2,0)*VLOOKUP(A229,'[43]geoMap (40)'!$A:$C,3,0)</f>
        <v>#REF!</v>
      </c>
      <c r="AQ229" s="1" t="e">
        <f>AP229/VLOOKUP(A229,'[44]geoMap (41)'!$A:$B,2,0)*VLOOKUP(A229,'[44]geoMap (41)'!$A:$C,3,0)</f>
        <v>#REF!</v>
      </c>
      <c r="AR229" s="1" t="e">
        <f>AQ229/VLOOKUP(A229,'[45]geoMap (42)'!$A:$B,2,0)*VLOOKUP(A229,'[45]geoMap (42)'!$A:$C,3,0)</f>
        <v>#REF!</v>
      </c>
      <c r="AS229" s="1" t="e">
        <f>AR229/VLOOKUP(A229,'[46]geoMap (43)'!$A:$B,2,0)*VLOOKUP(A229,'[46]geoMap (43)'!$A:$C,3,0)</f>
        <v>#REF!</v>
      </c>
      <c r="AT229" s="1" t="e">
        <f>AS229/VLOOKUP(A229,'[47]geoMap (44)'!$A:$B,2,0)*VLOOKUP(A229,'[47]geoMap (44)'!$A:$C,3,0)</f>
        <v>#REF!</v>
      </c>
      <c r="AU229" s="1" t="e">
        <f>AT229/VLOOKUP(A229,'[48]geoMap (45)'!$A:$B,2,0)*VLOOKUP(A229,'[48]geoMap (45)'!$A:$C,3,0)</f>
        <v>#REF!</v>
      </c>
      <c r="AV229" s="1" t="e">
        <f>AU229/VLOOKUP(A229,'[49]geoMap (46)'!$A:$B,2,0)*VLOOKUP(A229,'[49]geoMap (46)'!$A:$C,3,0)</f>
        <v>#REF!</v>
      </c>
      <c r="AW229" s="1" t="e">
        <f>AV229/VLOOKUP(A229,'[50]geoMap (47)'!$A:$B,2,0)*VLOOKUP(A229,'[50]geoMap (47)'!$A:$C,3,0)</f>
        <v>#REF!</v>
      </c>
      <c r="AX229" s="4" t="e">
        <f>AW229/VLOOKUP(A229,'[51]geoMap (48)'!$A:$B,2,0)*VLOOKUP(A229,'[51]geoMap (48)'!$A:$C,3,0)</f>
        <v>#REF!</v>
      </c>
      <c r="AY229" s="1" t="e">
        <f>AX229/VLOOKUP(A229,'[52]geoMap (49)'!$A:$B,2,0)*VLOOKUP(A229,'[52]geoMap (49)'!$A:$C,3,0)</f>
        <v>#REF!</v>
      </c>
      <c r="AZ229" s="4" t="e">
        <f>AY229/VLOOKUP(A229,'[53]geoMap (50)'!$A:$B,2,0)*VLOOKUP(A229,'[53]geoMap (50)'!$A:$C,3,0)</f>
        <v>#REF!</v>
      </c>
      <c r="BA229" s="1" t="e">
        <f>AZ229/VLOOKUP(A229,'[54]geoMap (51)'!$A:$B,2,0)*VLOOKUP(A229,'[54]geoMap (51)'!$A:$C,3,0)</f>
        <v>#REF!</v>
      </c>
      <c r="BB229" s="4" t="e">
        <f>BA229/VLOOKUP(A229,'[55]geoMap (52)'!$A:$B,2,0)*VLOOKUP(A229,'[55]geoMap (52)'!$A:$C,3,0)</f>
        <v>#REF!</v>
      </c>
      <c r="BC229" s="1" t="e">
        <f>BB229/VLOOKUP(A229,'[56]geoMap (53)'!$A:$B,2,0)*VLOOKUP(A229,'[56]geoMap (53)'!$A:$C,3,0)</f>
        <v>#REF!</v>
      </c>
      <c r="BD229" s="4" t="e">
        <f>BC229/VLOOKUP(A229,'[57]geoMap (54)'!$A:$B,2,0)*VLOOKUP(A229,'[57]geoMap (54)'!$A:$C,3,0)</f>
        <v>#REF!</v>
      </c>
      <c r="BE229" s="1" t="e">
        <f>BD229/VLOOKUP(A229,'[58]geoMap (55)'!$A:$B,2,0)*VLOOKUP(A229,'[58]geoMap (55)'!$A:$C,3,0)</f>
        <v>#REF!</v>
      </c>
      <c r="BF229" s="4" t="e">
        <f>BE229/VLOOKUP(A229,'[59]geoMap (56)'!$A:$B,2,0)*VLOOKUP(A229,'[59]geoMap (56)'!$A:$C,3,0)</f>
        <v>#REF!</v>
      </c>
      <c r="BG229" s="1" t="e">
        <f>BF229/VLOOKUP(A229,'[60]geoMap (57)'!$A:$B,2,0)*VLOOKUP(A229,'[60]geoMap (57)'!$A:$C,3,0)</f>
        <v>#REF!</v>
      </c>
      <c r="BH229" s="4" t="e">
        <f>BG229/VLOOKUP(A229,'[61]geoMap (58)'!$A:$B,2,0)*VLOOKUP(A229,'[61]geoMap (58)'!$A:$C,3,0)</f>
        <v>#REF!</v>
      </c>
      <c r="BI229" s="1" t="e">
        <f>BH229/VLOOKUP(A229,'[62]geoMap (59)'!$A:$B,2,0)*VLOOKUP(A229,'[62]geoMap (59)'!$A:$C,3,0)</f>
        <v>#REF!</v>
      </c>
      <c r="BJ229" s="4" t="e">
        <f>BI229/VLOOKUP(A229,'[63]geoMap (60)'!$A:$B,2,0)*VLOOKUP(A229,'[63]geoMap (60)'!$A:$C,3,0)</f>
        <v>#REF!</v>
      </c>
      <c r="BK229" s="1" t="e">
        <f>BJ229/VLOOKUP(A229,'[64]geoMap (61)'!$A:$B,2,0)*VLOOKUP(A229,'[64]geoMap (61)'!$A:$C,3,0)</f>
        <v>#REF!</v>
      </c>
      <c r="BL229" s="4" t="e">
        <f>BK229/VLOOKUP(A229,'[65]geoMap (62)'!$A:$B,2,0)*VLOOKUP(A229,'[65]geoMap (62)'!$A:$C,3,0)</f>
        <v>#REF!</v>
      </c>
      <c r="BM229" s="1" t="e">
        <f>BL229/VLOOKUP(A229,'[66]geoMap (63)'!$A:$B,2,0)*VLOOKUP(A229,'[66]geoMap (63)'!$A:$C,3,0)</f>
        <v>#REF!</v>
      </c>
      <c r="BN229" s="4" t="e">
        <f>BM229/VLOOKUP(A229,'[67]geoMap (64)'!$A:$B,2,0)*VLOOKUP(A229,'[67]geoMap (64)'!$A:$C,3,0)</f>
        <v>#REF!</v>
      </c>
      <c r="BO229" s="1" t="e">
        <f>BN229/VLOOKUP(A229,'[68]geoMap (65)'!$A:$B,2,0)*VLOOKUP(A229,'[68]geoMap (65)'!$A:$C,3,0)</f>
        <v>#REF!</v>
      </c>
      <c r="BP229" s="4" t="e">
        <f>BO229/VLOOKUP(A229,'[69]geoMap (66)'!$A:$B,2,0)*VLOOKUP(A229,'[69]geoMap (66)'!$A:$C,3,0)</f>
        <v>#REF!</v>
      </c>
    </row>
    <row r="230" spans="1:68" x14ac:dyDescent="0.2">
      <c r="A230" s="1" t="s">
        <v>232</v>
      </c>
      <c r="B230" s="1" t="e">
        <f>VLOOKUP(A230,[3]geoMap!$A:$B,2,0)*Notes!$C$6</f>
        <v>#REF!</v>
      </c>
      <c r="C230" s="1" t="e">
        <f>B230/VLOOKUP(A230,'[4]geoMap (1)'!$A:$B,2,0)*VLOOKUP(A230,'[4]geoMap (1)'!$A:$C,3,0)</f>
        <v>#REF!</v>
      </c>
      <c r="D230" s="1" t="e">
        <f>C230/VLOOKUP(A230,'[5]geoMap (2)'!$A:$B,2,0)*VLOOKUP(A230,'[5]geoMap (2)'!$A:$C,3,0)</f>
        <v>#REF!</v>
      </c>
      <c r="E230" s="1" t="e">
        <f>D230/VLOOKUP(A230,'[6]geoMap (3)'!$A:$B,2,0)*VLOOKUP(A230,'[6]geoMap (3)'!$A:$C,3,0)</f>
        <v>#REF!</v>
      </c>
      <c r="F230" s="1" t="e">
        <f>E230/VLOOKUP(A230,'[7]geoMap (4)'!$A:$B,2,0)*VLOOKUP(A230,'[7]geoMap (4)'!$A:$C,3,0)</f>
        <v>#REF!</v>
      </c>
      <c r="G230" s="1" t="e">
        <f>F230/VLOOKUP(A230,'[8]geoMap (5)'!$A:$B,2,0)*VLOOKUP(A230,'[8]geoMap (5)'!$A:$C,3,0)</f>
        <v>#REF!</v>
      </c>
      <c r="H230" s="1" t="e">
        <f>G230/VLOOKUP(A230,'[9]geoMap (6)'!$A:$B,2,0)*VLOOKUP(A230,'[9]geoMap (6)'!$A:$C,3,0)</f>
        <v>#REF!</v>
      </c>
      <c r="I230" s="1" t="e">
        <f>H230/VLOOKUP(A230,'[10]geoMap (7)'!$A:$B,2,0)*VLOOKUP(A230,'[10]geoMap (7)'!$A:$C,3,0)</f>
        <v>#REF!</v>
      </c>
      <c r="J230" s="1" t="e">
        <f>I230/VLOOKUP(A230,'[11]geoMap (8)'!$A:$B,2,0)*VLOOKUP(A230,'[11]geoMap (8)'!$A:$C,3,0)</f>
        <v>#REF!</v>
      </c>
      <c r="K230" s="1" t="e">
        <f>J230/VLOOKUP(A230,'[12]geoMap (9)'!$A:$B,2,0)*VLOOKUP(A230,'[12]geoMap (9)'!$A:$C,3,0)</f>
        <v>#REF!</v>
      </c>
      <c r="L230" s="1" t="e">
        <f>K230/VLOOKUP(A230,'[13]geoMap (10)'!$A:$B,2,0)*VLOOKUP(A230,'[13]geoMap (10)'!$A:$C,3,0)</f>
        <v>#REF!</v>
      </c>
      <c r="M230" s="1" t="e">
        <f>L230/VLOOKUP(A230,'[14]geoMap (11)'!$A:$B,2,0)*VLOOKUP(A230,'[14]geoMap (11)'!$A:$C,3,0)</f>
        <v>#REF!</v>
      </c>
      <c r="N230" s="1" t="e">
        <f>M230/VLOOKUP(A230,'[15]geoMap (12)'!$A:$B,2,0)*VLOOKUP(A230,'[15]geoMap (12)'!$A:$C,3,0)</f>
        <v>#REF!</v>
      </c>
      <c r="O230" s="1" t="e">
        <f>N230/VLOOKUP(A230,'[16]geoMap (13)'!$A:$B,2,0)*VLOOKUP(A230,'[16]geoMap (13)'!$A:$C,3,0)</f>
        <v>#REF!</v>
      </c>
      <c r="P230" s="1" t="e">
        <f>O230/VLOOKUP(A230,'[17]geoMap (14)'!$A:$B,2,0)*VLOOKUP(A230,'[17]geoMap (14)'!$A:$C,3,0)</f>
        <v>#REF!</v>
      </c>
      <c r="Q230" s="1" t="e">
        <f>P230/VLOOKUP(A230,'[18]geoMap (15)'!$A:$B,2,0)*VLOOKUP(A230,'[18]geoMap (15)'!$A:$C,3,0)</f>
        <v>#REF!</v>
      </c>
      <c r="R230" s="1" t="e">
        <f>Q230/VLOOKUP(A230,'[19]geoMap (16)'!$A:$B,2,0)*VLOOKUP(A230,'[19]geoMap (16)'!$A:$C,3,0)</f>
        <v>#REF!</v>
      </c>
      <c r="S230" s="1" t="e">
        <f>R230/VLOOKUP(A230,'[20]geoMap (17)'!$A:$B,2,0)*VLOOKUP(A230,'[20]geoMap (17)'!$A:$C,3,0)</f>
        <v>#REF!</v>
      </c>
      <c r="T230" s="1" t="e">
        <f>S230/VLOOKUP(A230,'[21]geoMap (18)'!$A:$B,2,0)*VLOOKUP(A230,'[21]geoMap (18)'!$A:$C,3,0)</f>
        <v>#REF!</v>
      </c>
      <c r="U230" s="1" t="e">
        <f>T230/VLOOKUP(A230,'[22]geoMap (19)'!$A:$B,2,0)*VLOOKUP(A230,'[22]geoMap (19)'!$A:$C,3,0)</f>
        <v>#REF!</v>
      </c>
      <c r="V230" s="1" t="e">
        <f>U230/VLOOKUP(A230,'[23]geoMap (20)'!$A:$B,2,0)*VLOOKUP(A230,'[23]geoMap (20)'!$A:$C,3,0)</f>
        <v>#REF!</v>
      </c>
      <c r="W230" s="1" t="e">
        <f>V230/VLOOKUP(A230,'[24]geoMap (21)'!$A:$B,2,0)*VLOOKUP(A230,'[24]geoMap (21)'!$A:$C,3,0)</f>
        <v>#REF!</v>
      </c>
      <c r="X230" s="1" t="e">
        <f>W230/VLOOKUP(A230,'[25]geoMap (22)'!$A:$B,2,0)*VLOOKUP(A230,'[25]geoMap (22)'!$A:$C,3,0)</f>
        <v>#REF!</v>
      </c>
      <c r="Y230" s="1" t="e">
        <f>X230/VLOOKUP(A230,'[26]geoMap (23)'!$A:$B,2,0)*VLOOKUP(A230,'[26]geoMap (23)'!$A:$C,3,0)</f>
        <v>#REF!</v>
      </c>
      <c r="Z230" s="1" t="e">
        <f>Y230/VLOOKUP(A230,'[27]geoMap (24)'!$A:$B,2,0)*VLOOKUP(A230,'[27]geoMap (24)'!$A:$C,3,0)</f>
        <v>#REF!</v>
      </c>
      <c r="AA230" s="1" t="e">
        <f>Z230/VLOOKUP(A230,'[28]geoMap (25)'!$A:$B,2,0)*VLOOKUP(A230,'[28]geoMap (25)'!$A:$C,3,0)</f>
        <v>#REF!</v>
      </c>
      <c r="AB230" s="1" t="e">
        <f>AA230*VLOOKUP(A230,'[29]geoMap (26)'!$A:$B,2,0)*VLOOKUP(A230,'[29]geoMap (26)'!$A:$C,3,0)</f>
        <v>#REF!</v>
      </c>
      <c r="AC230" s="1" t="e">
        <f>AB230/VLOOKUP(A230,'[30]geoMap (27)'!$A:$B,2,0)*VLOOKUP(A230,'[30]geoMap (27)'!$A:$C,3,0)</f>
        <v>#REF!</v>
      </c>
      <c r="AD230" s="1" t="e">
        <f>AC230/VLOOKUP(A230,'[31]geoMap (28)'!$A:$B,2,0)*VLOOKUP(A230,'[31]geoMap (28)'!$A:$C,3,0)</f>
        <v>#REF!</v>
      </c>
      <c r="AE230" s="1" t="e">
        <f>AD230/VLOOKUP(A230,'[32]geoMap (29)'!$A:$B,2,0)*VLOOKUP(A230,'[32]geoMap (29)'!$A:$C,3,0)</f>
        <v>#REF!</v>
      </c>
      <c r="AF230" s="1" t="e">
        <f>AE230/VLOOKUP(A230,'[33]geoMap (30)'!$A:$B,2,0)*VLOOKUP(A230,'[33]geoMap (30)'!$A:$C,3,0)</f>
        <v>#REF!</v>
      </c>
      <c r="AG230" s="1" t="e">
        <f>AF230/VLOOKUP(A230,'[34]geoMap (31)'!$A:$B,2,0)*VLOOKUP(A230,'[34]geoMap (31)'!$A:$C,3,0)</f>
        <v>#REF!</v>
      </c>
      <c r="AH230" s="1" t="e">
        <f>AG230/VLOOKUP(A230,'[35]geoMap (32)'!$A:$B,2,0)*VLOOKUP(A230,'[35]geoMap (32)'!$A:$C,3,0)</f>
        <v>#REF!</v>
      </c>
      <c r="AI230" s="1" t="e">
        <f>AH230/VLOOKUP(A230,'[36]geoMap (33)'!$A:$B,2,0)*VLOOKUP(A230,'[36]geoMap (33)'!$A:$C,3,0)</f>
        <v>#REF!</v>
      </c>
      <c r="AJ230" s="1" t="e">
        <f>AI230/VLOOKUP(A230,'[37]geoMap (34)'!$A:$B,2,0)*VLOOKUP(A230,'[37]geoMap (34)'!$A:$C,3,0)</f>
        <v>#REF!</v>
      </c>
      <c r="AK230" s="1" t="e">
        <f>AJ230/VLOOKUP(A230,'[38]geoMap (35)'!$A:$B,2,0)*VLOOKUP(A230,'[38]geoMap (35)'!$A:$C,3,0)</f>
        <v>#REF!</v>
      </c>
      <c r="AL230" s="1" t="e">
        <f>AK230/VLOOKUP(A230,'[39]geoMap (36)'!$A:$B,2,0)*VLOOKUP(A230,'[39]geoMap (36)'!$A:$C,3,0)</f>
        <v>#REF!</v>
      </c>
      <c r="AM230" s="1" t="e">
        <f>AL230/VLOOKUP(A230,'[40]geoMap (37)'!$A:$B,2,0)*VLOOKUP(A230,'[40]geoMap (37)'!$A:$C,3,0)</f>
        <v>#REF!</v>
      </c>
      <c r="AN230" s="1" t="e">
        <f>AM230/VLOOKUP(A230,'[41]geoMap (38)'!$A:$B,2,0)*VLOOKUP(A230,'[41]geoMap (38)'!$A:$C,3,0)</f>
        <v>#REF!</v>
      </c>
      <c r="AO230" s="1" t="e">
        <f>AN230/VLOOKUP(A230,'[42]geoMap (39)'!$A:$B,2,0)*VLOOKUP(A230,'[42]geoMap (39)'!$A:$C,3,0)</f>
        <v>#REF!</v>
      </c>
      <c r="AP230" s="1" t="e">
        <f>AO230/VLOOKUP(A230,'[43]geoMap (40)'!$A:$B,2,0)*VLOOKUP(A230,'[43]geoMap (40)'!$A:$C,3,0)</f>
        <v>#REF!</v>
      </c>
      <c r="AQ230" s="1" t="e">
        <f>AP230/VLOOKUP(A230,'[44]geoMap (41)'!$A:$B,2,0)*VLOOKUP(A230,'[44]geoMap (41)'!$A:$C,3,0)</f>
        <v>#REF!</v>
      </c>
      <c r="AR230" s="1" t="e">
        <f>AQ230/VLOOKUP(A230,'[45]geoMap (42)'!$A:$B,2,0)*VLOOKUP(A230,'[45]geoMap (42)'!$A:$C,3,0)</f>
        <v>#REF!</v>
      </c>
      <c r="AS230" s="1" t="e">
        <f>AR230/VLOOKUP(A230,'[46]geoMap (43)'!$A:$B,2,0)*VLOOKUP(A230,'[46]geoMap (43)'!$A:$C,3,0)</f>
        <v>#REF!</v>
      </c>
      <c r="AT230" s="1" t="e">
        <f>AS230/VLOOKUP(A230,'[47]geoMap (44)'!$A:$B,2,0)*VLOOKUP(A230,'[47]geoMap (44)'!$A:$C,3,0)</f>
        <v>#REF!</v>
      </c>
      <c r="AU230" s="1" t="e">
        <f>AT230/VLOOKUP(A230,'[48]geoMap (45)'!$A:$B,2,0)*VLOOKUP(A230,'[48]geoMap (45)'!$A:$C,3,0)</f>
        <v>#REF!</v>
      </c>
      <c r="AV230" s="1" t="e">
        <f>AU230/VLOOKUP(A230,'[49]geoMap (46)'!$A:$B,2,0)*VLOOKUP(A230,'[49]geoMap (46)'!$A:$C,3,0)</f>
        <v>#REF!</v>
      </c>
      <c r="AW230" s="1" t="e">
        <f>AV230/VLOOKUP(A230,'[50]geoMap (47)'!$A:$B,2,0)*VLOOKUP(A230,'[50]geoMap (47)'!$A:$C,3,0)</f>
        <v>#REF!</v>
      </c>
      <c r="AX230" s="4" t="e">
        <f>AW230/VLOOKUP(A230,'[51]geoMap (48)'!$A:$B,2,0)*VLOOKUP(A230,'[51]geoMap (48)'!$A:$C,3,0)</f>
        <v>#REF!</v>
      </c>
      <c r="AY230" s="1" t="e">
        <f>AX230/VLOOKUP(A230,'[52]geoMap (49)'!$A:$B,2,0)*VLOOKUP(A230,'[52]geoMap (49)'!$A:$C,3,0)</f>
        <v>#REF!</v>
      </c>
      <c r="AZ230" s="4" t="e">
        <f>AY230/VLOOKUP(A230,'[53]geoMap (50)'!$A:$B,2,0)*VLOOKUP(A230,'[53]geoMap (50)'!$A:$C,3,0)</f>
        <v>#REF!</v>
      </c>
      <c r="BA230" s="1" t="e">
        <f>AZ230/VLOOKUP(A230,'[54]geoMap (51)'!$A:$B,2,0)*VLOOKUP(A230,'[54]geoMap (51)'!$A:$C,3,0)</f>
        <v>#REF!</v>
      </c>
      <c r="BB230" s="4" t="e">
        <f>BA230/VLOOKUP(A230,'[55]geoMap (52)'!$A:$B,2,0)*VLOOKUP(A230,'[55]geoMap (52)'!$A:$C,3,0)</f>
        <v>#REF!</v>
      </c>
      <c r="BC230" s="1" t="e">
        <f>BB230/VLOOKUP(A230,'[56]geoMap (53)'!$A:$B,2,0)*VLOOKUP(A230,'[56]geoMap (53)'!$A:$C,3,0)</f>
        <v>#REF!</v>
      </c>
      <c r="BD230" s="4" t="e">
        <f>BC230/VLOOKUP(A230,'[57]geoMap (54)'!$A:$B,2,0)*VLOOKUP(A230,'[57]geoMap (54)'!$A:$C,3,0)</f>
        <v>#REF!</v>
      </c>
      <c r="BE230" s="1" t="e">
        <f>BD230/VLOOKUP(A230,'[58]geoMap (55)'!$A:$B,2,0)*VLOOKUP(A230,'[58]geoMap (55)'!$A:$C,3,0)</f>
        <v>#REF!</v>
      </c>
      <c r="BF230" s="4" t="e">
        <f>BE230/VLOOKUP(A230,'[59]geoMap (56)'!$A:$B,2,0)*VLOOKUP(A230,'[59]geoMap (56)'!$A:$C,3,0)</f>
        <v>#REF!</v>
      </c>
      <c r="BG230" s="1" t="e">
        <f>BF230/VLOOKUP(A230,'[60]geoMap (57)'!$A:$B,2,0)*VLOOKUP(A230,'[60]geoMap (57)'!$A:$C,3,0)</f>
        <v>#REF!</v>
      </c>
      <c r="BH230" s="4" t="e">
        <f>BG230/VLOOKUP(A230,'[61]geoMap (58)'!$A:$B,2,0)*VLOOKUP(A230,'[61]geoMap (58)'!$A:$C,3,0)</f>
        <v>#REF!</v>
      </c>
      <c r="BI230" s="1" t="e">
        <f>BH230/VLOOKUP(A230,'[62]geoMap (59)'!$A:$B,2,0)*VLOOKUP(A230,'[62]geoMap (59)'!$A:$C,3,0)</f>
        <v>#REF!</v>
      </c>
      <c r="BJ230" s="4" t="e">
        <f>BI230/VLOOKUP(A230,'[63]geoMap (60)'!$A:$B,2,0)*VLOOKUP(A230,'[63]geoMap (60)'!$A:$C,3,0)</f>
        <v>#REF!</v>
      </c>
      <c r="BK230" s="1" t="e">
        <f>BJ230/VLOOKUP(A230,'[64]geoMap (61)'!$A:$B,2,0)*VLOOKUP(A230,'[64]geoMap (61)'!$A:$C,3,0)</f>
        <v>#REF!</v>
      </c>
      <c r="BL230" s="4" t="e">
        <f>BK230/VLOOKUP(A230,'[65]geoMap (62)'!$A:$B,2,0)*VLOOKUP(A230,'[65]geoMap (62)'!$A:$C,3,0)</f>
        <v>#REF!</v>
      </c>
      <c r="BM230" s="1" t="e">
        <f>BL230/VLOOKUP(A230,'[66]geoMap (63)'!$A:$B,2,0)*VLOOKUP(A230,'[66]geoMap (63)'!$A:$C,3,0)</f>
        <v>#REF!</v>
      </c>
      <c r="BN230" s="4" t="e">
        <f>BM230/VLOOKUP(A230,'[67]geoMap (64)'!$A:$B,2,0)*VLOOKUP(A230,'[67]geoMap (64)'!$A:$C,3,0)</f>
        <v>#REF!</v>
      </c>
      <c r="BO230" s="1" t="e">
        <f>BN230/VLOOKUP(A230,'[68]geoMap (65)'!$A:$B,2,0)*VLOOKUP(A230,'[68]geoMap (65)'!$A:$C,3,0)</f>
        <v>#REF!</v>
      </c>
      <c r="BP230" s="4" t="e">
        <f>BO230/VLOOKUP(A230,'[69]geoMap (66)'!$A:$B,2,0)*VLOOKUP(A230,'[69]geoMap (66)'!$A:$C,3,0)</f>
        <v>#REF!</v>
      </c>
    </row>
    <row r="231" spans="1:68" x14ac:dyDescent="0.2">
      <c r="A231" s="1" t="s">
        <v>233</v>
      </c>
      <c r="B231" s="1" t="e">
        <f>VLOOKUP(A231,[3]geoMap!$A:$B,2,0)*Notes!$C$6</f>
        <v>#REF!</v>
      </c>
      <c r="C231" s="1" t="e">
        <f>B231/VLOOKUP(A231,'[4]geoMap (1)'!$A:$B,2,0)*VLOOKUP(A231,'[4]geoMap (1)'!$A:$C,3,0)</f>
        <v>#REF!</v>
      </c>
      <c r="D231" s="1" t="e">
        <f>C231/VLOOKUP(A231,'[5]geoMap (2)'!$A:$B,2,0)*VLOOKUP(A231,'[5]geoMap (2)'!$A:$C,3,0)</f>
        <v>#REF!</v>
      </c>
      <c r="E231" s="1" t="e">
        <f>D231/VLOOKUP(A231,'[6]geoMap (3)'!$A:$B,2,0)*VLOOKUP(A231,'[6]geoMap (3)'!$A:$C,3,0)</f>
        <v>#REF!</v>
      </c>
      <c r="F231" s="1" t="e">
        <f>E231/VLOOKUP(A231,'[7]geoMap (4)'!$A:$B,2,0)*VLOOKUP(A231,'[7]geoMap (4)'!$A:$C,3,0)</f>
        <v>#REF!</v>
      </c>
      <c r="G231" s="1" t="e">
        <f>F231/VLOOKUP(A231,'[8]geoMap (5)'!$A:$B,2,0)*VLOOKUP(A231,'[8]geoMap (5)'!$A:$C,3,0)</f>
        <v>#REF!</v>
      </c>
      <c r="H231" s="1" t="e">
        <f>G231/VLOOKUP(A231,'[9]geoMap (6)'!$A:$B,2,0)*VLOOKUP(A231,'[9]geoMap (6)'!$A:$C,3,0)</f>
        <v>#REF!</v>
      </c>
      <c r="I231" s="1" t="e">
        <f>H231/VLOOKUP(A231,'[10]geoMap (7)'!$A:$B,2,0)*VLOOKUP(A231,'[10]geoMap (7)'!$A:$C,3,0)</f>
        <v>#REF!</v>
      </c>
      <c r="J231" s="1" t="e">
        <f>I231/VLOOKUP(A231,'[11]geoMap (8)'!$A:$B,2,0)*VLOOKUP(A231,'[11]geoMap (8)'!$A:$C,3,0)</f>
        <v>#REF!</v>
      </c>
      <c r="K231" s="1" t="e">
        <f>J231/VLOOKUP(A231,'[12]geoMap (9)'!$A:$B,2,0)*VLOOKUP(A231,'[12]geoMap (9)'!$A:$C,3,0)</f>
        <v>#REF!</v>
      </c>
      <c r="L231" s="1" t="e">
        <f>K231/VLOOKUP(A231,'[13]geoMap (10)'!$A:$B,2,0)*VLOOKUP(A231,'[13]geoMap (10)'!$A:$C,3,0)</f>
        <v>#REF!</v>
      </c>
      <c r="M231" s="1" t="e">
        <f>L231/VLOOKUP(A231,'[14]geoMap (11)'!$A:$B,2,0)*VLOOKUP(A231,'[14]geoMap (11)'!$A:$C,3,0)</f>
        <v>#REF!</v>
      </c>
      <c r="N231" s="1" t="e">
        <f>M231/VLOOKUP(A231,'[15]geoMap (12)'!$A:$B,2,0)*VLOOKUP(A231,'[15]geoMap (12)'!$A:$C,3,0)</f>
        <v>#REF!</v>
      </c>
      <c r="O231" s="1" t="e">
        <f>N231/VLOOKUP(A231,'[16]geoMap (13)'!$A:$B,2,0)*VLOOKUP(A231,'[16]geoMap (13)'!$A:$C,3,0)</f>
        <v>#REF!</v>
      </c>
      <c r="P231" s="1" t="e">
        <f>O231/VLOOKUP(A231,'[17]geoMap (14)'!$A:$B,2,0)*VLOOKUP(A231,'[17]geoMap (14)'!$A:$C,3,0)</f>
        <v>#REF!</v>
      </c>
      <c r="Q231" s="1" t="e">
        <f>P231/VLOOKUP(A231,'[18]geoMap (15)'!$A:$B,2,0)*VLOOKUP(A231,'[18]geoMap (15)'!$A:$C,3,0)</f>
        <v>#REF!</v>
      </c>
      <c r="R231" s="1" t="e">
        <f>Q231/VLOOKUP(A231,'[19]geoMap (16)'!$A:$B,2,0)*VLOOKUP(A231,'[19]geoMap (16)'!$A:$C,3,0)</f>
        <v>#REF!</v>
      </c>
      <c r="S231" s="1" t="e">
        <f>R231/VLOOKUP(A231,'[20]geoMap (17)'!$A:$B,2,0)*VLOOKUP(A231,'[20]geoMap (17)'!$A:$C,3,0)</f>
        <v>#REF!</v>
      </c>
      <c r="T231" s="1" t="e">
        <f>S231/VLOOKUP(A231,'[21]geoMap (18)'!$A:$B,2,0)*VLOOKUP(A231,'[21]geoMap (18)'!$A:$C,3,0)</f>
        <v>#REF!</v>
      </c>
      <c r="U231" s="1" t="e">
        <f>T231/VLOOKUP(A231,'[22]geoMap (19)'!$A:$B,2,0)*VLOOKUP(A231,'[22]geoMap (19)'!$A:$C,3,0)</f>
        <v>#REF!</v>
      </c>
      <c r="V231" s="1" t="e">
        <f>U231/VLOOKUP(A231,'[23]geoMap (20)'!$A:$B,2,0)*VLOOKUP(A231,'[23]geoMap (20)'!$A:$C,3,0)</f>
        <v>#REF!</v>
      </c>
      <c r="W231" s="1" t="e">
        <f>V231/VLOOKUP(A231,'[24]geoMap (21)'!$A:$B,2,0)*VLOOKUP(A231,'[24]geoMap (21)'!$A:$C,3,0)</f>
        <v>#REF!</v>
      </c>
      <c r="X231" s="1" t="e">
        <f>W231/VLOOKUP(A231,'[25]geoMap (22)'!$A:$B,2,0)*VLOOKUP(A231,'[25]geoMap (22)'!$A:$C,3,0)</f>
        <v>#REF!</v>
      </c>
      <c r="Y231" s="1" t="e">
        <f>X231/VLOOKUP(A231,'[26]geoMap (23)'!$A:$B,2,0)*VLOOKUP(A231,'[26]geoMap (23)'!$A:$C,3,0)</f>
        <v>#REF!</v>
      </c>
      <c r="Z231" s="1" t="e">
        <f>Y231/VLOOKUP(A231,'[27]geoMap (24)'!$A:$B,2,0)*VLOOKUP(A231,'[27]geoMap (24)'!$A:$C,3,0)</f>
        <v>#REF!</v>
      </c>
      <c r="AA231" s="1" t="e">
        <f>Z231/VLOOKUP(A231,'[28]geoMap (25)'!$A:$B,2,0)*VLOOKUP(A231,'[28]geoMap (25)'!$A:$C,3,0)</f>
        <v>#REF!</v>
      </c>
      <c r="AB231" s="1" t="e">
        <f>AA231*VLOOKUP(A231,'[29]geoMap (26)'!$A:$B,2,0)*VLOOKUP(A231,'[29]geoMap (26)'!$A:$C,3,0)</f>
        <v>#REF!</v>
      </c>
      <c r="AC231" s="1" t="e">
        <f>AB231/VLOOKUP(A231,'[30]geoMap (27)'!$A:$B,2,0)*VLOOKUP(A231,'[30]geoMap (27)'!$A:$C,3,0)</f>
        <v>#REF!</v>
      </c>
      <c r="AD231" s="1" t="e">
        <f>AC231/VLOOKUP(A231,'[31]geoMap (28)'!$A:$B,2,0)*VLOOKUP(A231,'[31]geoMap (28)'!$A:$C,3,0)</f>
        <v>#REF!</v>
      </c>
      <c r="AE231" s="1" t="e">
        <f>AD231/VLOOKUP(A231,'[32]geoMap (29)'!$A:$B,2,0)*VLOOKUP(A231,'[32]geoMap (29)'!$A:$C,3,0)</f>
        <v>#REF!</v>
      </c>
      <c r="AF231" s="1" t="e">
        <f>AE231/VLOOKUP(A231,'[33]geoMap (30)'!$A:$B,2,0)*VLOOKUP(A231,'[33]geoMap (30)'!$A:$C,3,0)</f>
        <v>#REF!</v>
      </c>
      <c r="AG231" s="1" t="e">
        <f>AF231/VLOOKUP(A231,'[34]geoMap (31)'!$A:$B,2,0)*VLOOKUP(A231,'[34]geoMap (31)'!$A:$C,3,0)</f>
        <v>#REF!</v>
      </c>
      <c r="AH231" s="1" t="e">
        <f>AG231/VLOOKUP(A231,'[35]geoMap (32)'!$A:$B,2,0)*VLOOKUP(A231,'[35]geoMap (32)'!$A:$C,3,0)</f>
        <v>#REF!</v>
      </c>
      <c r="AI231" s="1" t="e">
        <f>AH231/VLOOKUP(A231,'[36]geoMap (33)'!$A:$B,2,0)*VLOOKUP(A231,'[36]geoMap (33)'!$A:$C,3,0)</f>
        <v>#REF!</v>
      </c>
      <c r="AJ231" s="1" t="e">
        <f>AI231/VLOOKUP(A231,'[37]geoMap (34)'!$A:$B,2,0)*VLOOKUP(A231,'[37]geoMap (34)'!$A:$C,3,0)</f>
        <v>#REF!</v>
      </c>
      <c r="AK231" s="1" t="e">
        <f>AJ231/VLOOKUP(A231,'[38]geoMap (35)'!$A:$B,2,0)*VLOOKUP(A231,'[38]geoMap (35)'!$A:$C,3,0)</f>
        <v>#REF!</v>
      </c>
      <c r="AL231" s="1" t="e">
        <f>AK231/VLOOKUP(A231,'[39]geoMap (36)'!$A:$B,2,0)*VLOOKUP(A231,'[39]geoMap (36)'!$A:$C,3,0)</f>
        <v>#REF!</v>
      </c>
      <c r="AM231" s="1" t="e">
        <f>AL231/VLOOKUP(A231,'[40]geoMap (37)'!$A:$B,2,0)*VLOOKUP(A231,'[40]geoMap (37)'!$A:$C,3,0)</f>
        <v>#REF!</v>
      </c>
      <c r="AN231" s="1" t="e">
        <f>AM231/VLOOKUP(A231,'[41]geoMap (38)'!$A:$B,2,0)*VLOOKUP(A231,'[41]geoMap (38)'!$A:$C,3,0)</f>
        <v>#REF!</v>
      </c>
      <c r="AO231" s="1" t="e">
        <f>AN231/VLOOKUP(A231,'[42]geoMap (39)'!$A:$B,2,0)*VLOOKUP(A231,'[42]geoMap (39)'!$A:$C,3,0)</f>
        <v>#REF!</v>
      </c>
      <c r="AP231" s="1" t="e">
        <f>AO231/VLOOKUP(A231,'[43]geoMap (40)'!$A:$B,2,0)*VLOOKUP(A231,'[43]geoMap (40)'!$A:$C,3,0)</f>
        <v>#REF!</v>
      </c>
      <c r="AQ231" s="1" t="e">
        <f>AP231/VLOOKUP(A231,'[44]geoMap (41)'!$A:$B,2,0)*VLOOKUP(A231,'[44]geoMap (41)'!$A:$C,3,0)</f>
        <v>#REF!</v>
      </c>
      <c r="AR231" s="1" t="e">
        <f>AQ231/VLOOKUP(A231,'[45]geoMap (42)'!$A:$B,2,0)*VLOOKUP(A231,'[45]geoMap (42)'!$A:$C,3,0)</f>
        <v>#REF!</v>
      </c>
      <c r="AS231" s="1" t="e">
        <f>AR231/VLOOKUP(A231,'[46]geoMap (43)'!$A:$B,2,0)*VLOOKUP(A231,'[46]geoMap (43)'!$A:$C,3,0)</f>
        <v>#REF!</v>
      </c>
      <c r="AT231" s="1" t="e">
        <f>AS231/VLOOKUP(A231,'[47]geoMap (44)'!$A:$B,2,0)*VLOOKUP(A231,'[47]geoMap (44)'!$A:$C,3,0)</f>
        <v>#REF!</v>
      </c>
      <c r="AU231" s="1" t="e">
        <f>AT231/VLOOKUP(A231,'[48]geoMap (45)'!$A:$B,2,0)*VLOOKUP(A231,'[48]geoMap (45)'!$A:$C,3,0)</f>
        <v>#REF!</v>
      </c>
      <c r="AV231" s="1" t="e">
        <f>AU231/VLOOKUP(A231,'[49]geoMap (46)'!$A:$B,2,0)*VLOOKUP(A231,'[49]geoMap (46)'!$A:$C,3,0)</f>
        <v>#REF!</v>
      </c>
      <c r="AW231" s="1" t="e">
        <f>AV231/VLOOKUP(A231,'[50]geoMap (47)'!$A:$B,2,0)*VLOOKUP(A231,'[50]geoMap (47)'!$A:$C,3,0)</f>
        <v>#REF!</v>
      </c>
      <c r="AX231" s="4" t="e">
        <f>AW231/VLOOKUP(A231,'[51]geoMap (48)'!$A:$B,2,0)*VLOOKUP(A231,'[51]geoMap (48)'!$A:$C,3,0)</f>
        <v>#REF!</v>
      </c>
      <c r="AY231" s="1" t="e">
        <f>AX231/VLOOKUP(A231,'[52]geoMap (49)'!$A:$B,2,0)*VLOOKUP(A231,'[52]geoMap (49)'!$A:$C,3,0)</f>
        <v>#REF!</v>
      </c>
      <c r="AZ231" s="4" t="e">
        <f>AY231/VLOOKUP(A231,'[53]geoMap (50)'!$A:$B,2,0)*VLOOKUP(A231,'[53]geoMap (50)'!$A:$C,3,0)</f>
        <v>#REF!</v>
      </c>
      <c r="BA231" s="1" t="e">
        <f>AZ231/VLOOKUP(A231,'[54]geoMap (51)'!$A:$B,2,0)*VLOOKUP(A231,'[54]geoMap (51)'!$A:$C,3,0)</f>
        <v>#REF!</v>
      </c>
      <c r="BB231" s="4" t="e">
        <f>BA231/VLOOKUP(A231,'[55]geoMap (52)'!$A:$B,2,0)*VLOOKUP(A231,'[55]geoMap (52)'!$A:$C,3,0)</f>
        <v>#REF!</v>
      </c>
      <c r="BC231" s="1" t="e">
        <f>BB231/VLOOKUP(A231,'[56]geoMap (53)'!$A:$B,2,0)*VLOOKUP(A231,'[56]geoMap (53)'!$A:$C,3,0)</f>
        <v>#REF!</v>
      </c>
      <c r="BD231" s="4" t="e">
        <f>BC231/VLOOKUP(A231,'[57]geoMap (54)'!$A:$B,2,0)*VLOOKUP(A231,'[57]geoMap (54)'!$A:$C,3,0)</f>
        <v>#REF!</v>
      </c>
      <c r="BE231" s="1" t="e">
        <f>BD231/VLOOKUP(A231,'[58]geoMap (55)'!$A:$B,2,0)*VLOOKUP(A231,'[58]geoMap (55)'!$A:$C,3,0)</f>
        <v>#REF!</v>
      </c>
      <c r="BF231" s="4" t="e">
        <f>BE231/VLOOKUP(A231,'[59]geoMap (56)'!$A:$B,2,0)*VLOOKUP(A231,'[59]geoMap (56)'!$A:$C,3,0)</f>
        <v>#REF!</v>
      </c>
      <c r="BG231" s="1" t="e">
        <f>BF231/VLOOKUP(A231,'[60]geoMap (57)'!$A:$B,2,0)*VLOOKUP(A231,'[60]geoMap (57)'!$A:$C,3,0)</f>
        <v>#REF!</v>
      </c>
      <c r="BH231" s="4" t="e">
        <f>BG231/VLOOKUP(A231,'[61]geoMap (58)'!$A:$B,2,0)*VLOOKUP(A231,'[61]geoMap (58)'!$A:$C,3,0)</f>
        <v>#REF!</v>
      </c>
      <c r="BI231" s="1" t="e">
        <f>BH231/VLOOKUP(A231,'[62]geoMap (59)'!$A:$B,2,0)*VLOOKUP(A231,'[62]geoMap (59)'!$A:$C,3,0)</f>
        <v>#REF!</v>
      </c>
      <c r="BJ231" s="4" t="e">
        <f>BI231/VLOOKUP(A231,'[63]geoMap (60)'!$A:$B,2,0)*VLOOKUP(A231,'[63]geoMap (60)'!$A:$C,3,0)</f>
        <v>#REF!</v>
      </c>
      <c r="BK231" s="1" t="e">
        <f>BJ231/VLOOKUP(A231,'[64]geoMap (61)'!$A:$B,2,0)*VLOOKUP(A231,'[64]geoMap (61)'!$A:$C,3,0)</f>
        <v>#REF!</v>
      </c>
      <c r="BL231" s="4" t="e">
        <f>BK231/VLOOKUP(A231,'[65]geoMap (62)'!$A:$B,2,0)*VLOOKUP(A231,'[65]geoMap (62)'!$A:$C,3,0)</f>
        <v>#REF!</v>
      </c>
      <c r="BM231" s="1" t="e">
        <f>BL231/VLOOKUP(A231,'[66]geoMap (63)'!$A:$B,2,0)*VLOOKUP(A231,'[66]geoMap (63)'!$A:$C,3,0)</f>
        <v>#REF!</v>
      </c>
      <c r="BN231" s="4" t="e">
        <f>BM231/VLOOKUP(A231,'[67]geoMap (64)'!$A:$B,2,0)*VLOOKUP(A231,'[67]geoMap (64)'!$A:$C,3,0)</f>
        <v>#REF!</v>
      </c>
      <c r="BO231" s="1" t="e">
        <f>BN231/VLOOKUP(A231,'[68]geoMap (65)'!$A:$B,2,0)*VLOOKUP(A231,'[68]geoMap (65)'!$A:$C,3,0)</f>
        <v>#REF!</v>
      </c>
      <c r="BP231" s="4" t="e">
        <f>BO231/VLOOKUP(A231,'[69]geoMap (66)'!$A:$B,2,0)*VLOOKUP(A231,'[69]geoMap (66)'!$A:$C,3,0)</f>
        <v>#REF!</v>
      </c>
    </row>
    <row r="232" spans="1:68" x14ac:dyDescent="0.2">
      <c r="A232" s="1" t="s">
        <v>234</v>
      </c>
      <c r="B232" s="1" t="e">
        <f>VLOOKUP(A232,[3]geoMap!$A:$B,2,0)*Notes!$C$6</f>
        <v>#REF!</v>
      </c>
      <c r="C232" s="1" t="e">
        <f>B232/VLOOKUP(A232,'[4]geoMap (1)'!$A:$B,2,0)*VLOOKUP(A232,'[4]geoMap (1)'!$A:$C,3,0)</f>
        <v>#REF!</v>
      </c>
      <c r="D232" s="1" t="e">
        <f>C232/VLOOKUP(A232,'[5]geoMap (2)'!$A:$B,2,0)*VLOOKUP(A232,'[5]geoMap (2)'!$A:$C,3,0)</f>
        <v>#REF!</v>
      </c>
      <c r="E232" s="1" t="e">
        <f>D232/VLOOKUP(A232,'[6]geoMap (3)'!$A:$B,2,0)*VLOOKUP(A232,'[6]geoMap (3)'!$A:$C,3,0)</f>
        <v>#REF!</v>
      </c>
      <c r="F232" s="1" t="e">
        <f>E232/VLOOKUP(A232,'[7]geoMap (4)'!$A:$B,2,0)*VLOOKUP(A232,'[7]geoMap (4)'!$A:$C,3,0)</f>
        <v>#REF!</v>
      </c>
      <c r="G232" s="1" t="e">
        <f>F232/VLOOKUP(A232,'[8]geoMap (5)'!$A:$B,2,0)*VLOOKUP(A232,'[8]geoMap (5)'!$A:$C,3,0)</f>
        <v>#REF!</v>
      </c>
      <c r="H232" s="1" t="e">
        <f>G232/VLOOKUP(A232,'[9]geoMap (6)'!$A:$B,2,0)*VLOOKUP(A232,'[9]geoMap (6)'!$A:$C,3,0)</f>
        <v>#REF!</v>
      </c>
      <c r="I232" s="1" t="e">
        <f>H232/VLOOKUP(A232,'[10]geoMap (7)'!$A:$B,2,0)*VLOOKUP(A232,'[10]geoMap (7)'!$A:$C,3,0)</f>
        <v>#REF!</v>
      </c>
      <c r="J232" s="1" t="e">
        <f>I232/VLOOKUP(A232,'[11]geoMap (8)'!$A:$B,2,0)*VLOOKUP(A232,'[11]geoMap (8)'!$A:$C,3,0)</f>
        <v>#REF!</v>
      </c>
      <c r="K232" s="1" t="e">
        <f>J232/VLOOKUP(A232,'[12]geoMap (9)'!$A:$B,2,0)*VLOOKUP(A232,'[12]geoMap (9)'!$A:$C,3,0)</f>
        <v>#REF!</v>
      </c>
      <c r="L232" s="1" t="e">
        <f>K232/VLOOKUP(A232,'[13]geoMap (10)'!$A:$B,2,0)*VLOOKUP(A232,'[13]geoMap (10)'!$A:$C,3,0)</f>
        <v>#REF!</v>
      </c>
      <c r="M232" s="1" t="e">
        <f>L232/VLOOKUP(A232,'[14]geoMap (11)'!$A:$B,2,0)*VLOOKUP(A232,'[14]geoMap (11)'!$A:$C,3,0)</f>
        <v>#REF!</v>
      </c>
      <c r="N232" s="1" t="e">
        <f>M232/VLOOKUP(A232,'[15]geoMap (12)'!$A:$B,2,0)*VLOOKUP(A232,'[15]geoMap (12)'!$A:$C,3,0)</f>
        <v>#REF!</v>
      </c>
      <c r="O232" s="1" t="e">
        <f>N232/VLOOKUP(A232,'[16]geoMap (13)'!$A:$B,2,0)*VLOOKUP(A232,'[16]geoMap (13)'!$A:$C,3,0)</f>
        <v>#REF!</v>
      </c>
      <c r="P232" s="1" t="e">
        <f>O232/VLOOKUP(A232,'[17]geoMap (14)'!$A:$B,2,0)*VLOOKUP(A232,'[17]geoMap (14)'!$A:$C,3,0)</f>
        <v>#REF!</v>
      </c>
      <c r="Q232" s="1" t="e">
        <f>P232/VLOOKUP(A232,'[18]geoMap (15)'!$A:$B,2,0)*VLOOKUP(A232,'[18]geoMap (15)'!$A:$C,3,0)</f>
        <v>#REF!</v>
      </c>
      <c r="R232" s="1" t="e">
        <f>Q232/VLOOKUP(A232,'[19]geoMap (16)'!$A:$B,2,0)*VLOOKUP(A232,'[19]geoMap (16)'!$A:$C,3,0)</f>
        <v>#REF!</v>
      </c>
      <c r="S232" s="1" t="e">
        <f>R232/VLOOKUP(A232,'[20]geoMap (17)'!$A:$B,2,0)*VLOOKUP(A232,'[20]geoMap (17)'!$A:$C,3,0)</f>
        <v>#REF!</v>
      </c>
      <c r="T232" s="1" t="e">
        <f>S232/VLOOKUP(A232,'[21]geoMap (18)'!$A:$B,2,0)*VLOOKUP(A232,'[21]geoMap (18)'!$A:$C,3,0)</f>
        <v>#REF!</v>
      </c>
      <c r="U232" s="1" t="e">
        <f>T232/VLOOKUP(A232,'[22]geoMap (19)'!$A:$B,2,0)*VLOOKUP(A232,'[22]geoMap (19)'!$A:$C,3,0)</f>
        <v>#REF!</v>
      </c>
      <c r="V232" s="1" t="e">
        <f>U232/VLOOKUP(A232,'[23]geoMap (20)'!$A:$B,2,0)*VLOOKUP(A232,'[23]geoMap (20)'!$A:$C,3,0)</f>
        <v>#REF!</v>
      </c>
      <c r="W232" s="1" t="e">
        <f>V232/VLOOKUP(A232,'[24]geoMap (21)'!$A:$B,2,0)*VLOOKUP(A232,'[24]geoMap (21)'!$A:$C,3,0)</f>
        <v>#REF!</v>
      </c>
      <c r="X232" s="1" t="e">
        <f>W232/VLOOKUP(A232,'[25]geoMap (22)'!$A:$B,2,0)*VLOOKUP(A232,'[25]geoMap (22)'!$A:$C,3,0)</f>
        <v>#REF!</v>
      </c>
      <c r="Y232" s="1" t="e">
        <f>X232/VLOOKUP(A232,'[26]geoMap (23)'!$A:$B,2,0)*VLOOKUP(A232,'[26]geoMap (23)'!$A:$C,3,0)</f>
        <v>#REF!</v>
      </c>
      <c r="Z232" s="1" t="e">
        <f>Y232/VLOOKUP(A232,'[27]geoMap (24)'!$A:$B,2,0)*VLOOKUP(A232,'[27]geoMap (24)'!$A:$C,3,0)</f>
        <v>#REF!</v>
      </c>
      <c r="AA232" s="1" t="e">
        <f>Z232/VLOOKUP(A232,'[28]geoMap (25)'!$A:$B,2,0)*VLOOKUP(A232,'[28]geoMap (25)'!$A:$C,3,0)</f>
        <v>#REF!</v>
      </c>
      <c r="AB232" s="1" t="e">
        <f>AA232*VLOOKUP(A232,'[29]geoMap (26)'!$A:$B,2,0)*VLOOKUP(A232,'[29]geoMap (26)'!$A:$C,3,0)</f>
        <v>#REF!</v>
      </c>
      <c r="AC232" s="1" t="e">
        <f>AB232/VLOOKUP(A232,'[30]geoMap (27)'!$A:$B,2,0)*VLOOKUP(A232,'[30]geoMap (27)'!$A:$C,3,0)</f>
        <v>#REF!</v>
      </c>
      <c r="AD232" s="1" t="e">
        <f>AC232/VLOOKUP(A232,'[31]geoMap (28)'!$A:$B,2,0)*VLOOKUP(A232,'[31]geoMap (28)'!$A:$C,3,0)</f>
        <v>#REF!</v>
      </c>
      <c r="AE232" s="1" t="e">
        <f>AD232/VLOOKUP(A232,'[32]geoMap (29)'!$A:$B,2,0)*VLOOKUP(A232,'[32]geoMap (29)'!$A:$C,3,0)</f>
        <v>#REF!</v>
      </c>
      <c r="AF232" s="1" t="e">
        <f>AE232/VLOOKUP(A232,'[33]geoMap (30)'!$A:$B,2,0)*VLOOKUP(A232,'[33]geoMap (30)'!$A:$C,3,0)</f>
        <v>#REF!</v>
      </c>
      <c r="AG232" s="1" t="e">
        <f>AF232/VLOOKUP(A232,'[34]geoMap (31)'!$A:$B,2,0)*VLOOKUP(A232,'[34]geoMap (31)'!$A:$C,3,0)</f>
        <v>#REF!</v>
      </c>
      <c r="AH232" s="1" t="e">
        <f>AG232/VLOOKUP(A232,'[35]geoMap (32)'!$A:$B,2,0)*VLOOKUP(A232,'[35]geoMap (32)'!$A:$C,3,0)</f>
        <v>#REF!</v>
      </c>
      <c r="AI232" s="1" t="e">
        <f>AH232/VLOOKUP(A232,'[36]geoMap (33)'!$A:$B,2,0)*VLOOKUP(A232,'[36]geoMap (33)'!$A:$C,3,0)</f>
        <v>#REF!</v>
      </c>
      <c r="AJ232" s="1" t="e">
        <f>AI232/VLOOKUP(A232,'[37]geoMap (34)'!$A:$B,2,0)*VLOOKUP(A232,'[37]geoMap (34)'!$A:$C,3,0)</f>
        <v>#REF!</v>
      </c>
      <c r="AK232" s="1" t="e">
        <f>AJ232/VLOOKUP(A232,'[38]geoMap (35)'!$A:$B,2,0)*VLOOKUP(A232,'[38]geoMap (35)'!$A:$C,3,0)</f>
        <v>#REF!</v>
      </c>
      <c r="AL232" s="1" t="e">
        <f>AK232/VLOOKUP(A232,'[39]geoMap (36)'!$A:$B,2,0)*VLOOKUP(A232,'[39]geoMap (36)'!$A:$C,3,0)</f>
        <v>#REF!</v>
      </c>
      <c r="AM232" s="1" t="e">
        <f>AL232/VLOOKUP(A232,'[40]geoMap (37)'!$A:$B,2,0)*VLOOKUP(A232,'[40]geoMap (37)'!$A:$C,3,0)</f>
        <v>#REF!</v>
      </c>
      <c r="AN232" s="1" t="e">
        <f>AM232/VLOOKUP(A232,'[41]geoMap (38)'!$A:$B,2,0)*VLOOKUP(A232,'[41]geoMap (38)'!$A:$C,3,0)</f>
        <v>#REF!</v>
      </c>
      <c r="AO232" s="1" t="e">
        <f>AN232/VLOOKUP(A232,'[42]geoMap (39)'!$A:$B,2,0)*VLOOKUP(A232,'[42]geoMap (39)'!$A:$C,3,0)</f>
        <v>#REF!</v>
      </c>
      <c r="AP232" s="1" t="e">
        <f>AO232/VLOOKUP(A232,'[43]geoMap (40)'!$A:$B,2,0)*VLOOKUP(A232,'[43]geoMap (40)'!$A:$C,3,0)</f>
        <v>#REF!</v>
      </c>
      <c r="AQ232" s="1" t="e">
        <f>AP232/VLOOKUP(A232,'[44]geoMap (41)'!$A:$B,2,0)*VLOOKUP(A232,'[44]geoMap (41)'!$A:$C,3,0)</f>
        <v>#REF!</v>
      </c>
      <c r="AR232" s="1" t="e">
        <f>AQ232/VLOOKUP(A232,'[45]geoMap (42)'!$A:$B,2,0)*VLOOKUP(A232,'[45]geoMap (42)'!$A:$C,3,0)</f>
        <v>#REF!</v>
      </c>
      <c r="AS232" s="1" t="e">
        <f>AR232/VLOOKUP(A232,'[46]geoMap (43)'!$A:$B,2,0)*VLOOKUP(A232,'[46]geoMap (43)'!$A:$C,3,0)</f>
        <v>#REF!</v>
      </c>
      <c r="AT232" s="1" t="e">
        <f>AS232/VLOOKUP(A232,'[47]geoMap (44)'!$A:$B,2,0)*VLOOKUP(A232,'[47]geoMap (44)'!$A:$C,3,0)</f>
        <v>#REF!</v>
      </c>
      <c r="AU232" s="1" t="e">
        <f>AT232/VLOOKUP(A232,'[48]geoMap (45)'!$A:$B,2,0)*VLOOKUP(A232,'[48]geoMap (45)'!$A:$C,3,0)</f>
        <v>#REF!</v>
      </c>
      <c r="AV232" s="1" t="e">
        <f>AU232/VLOOKUP(A232,'[49]geoMap (46)'!$A:$B,2,0)*VLOOKUP(A232,'[49]geoMap (46)'!$A:$C,3,0)</f>
        <v>#REF!</v>
      </c>
      <c r="AW232" s="1" t="e">
        <f>AV232/VLOOKUP(A232,'[50]geoMap (47)'!$A:$B,2,0)*VLOOKUP(A232,'[50]geoMap (47)'!$A:$C,3,0)</f>
        <v>#REF!</v>
      </c>
      <c r="AX232" s="4" t="e">
        <f>AW232/VLOOKUP(A232,'[51]geoMap (48)'!$A:$B,2,0)*VLOOKUP(A232,'[51]geoMap (48)'!$A:$C,3,0)</f>
        <v>#REF!</v>
      </c>
      <c r="AY232" s="1" t="e">
        <f>AX232/VLOOKUP(A232,'[52]geoMap (49)'!$A:$B,2,0)*VLOOKUP(A232,'[52]geoMap (49)'!$A:$C,3,0)</f>
        <v>#REF!</v>
      </c>
      <c r="AZ232" s="4" t="e">
        <f>AY232/VLOOKUP(A232,'[53]geoMap (50)'!$A:$B,2,0)*VLOOKUP(A232,'[53]geoMap (50)'!$A:$C,3,0)</f>
        <v>#REF!</v>
      </c>
      <c r="BA232" s="1" t="e">
        <f>AZ232/VLOOKUP(A232,'[54]geoMap (51)'!$A:$B,2,0)*VLOOKUP(A232,'[54]geoMap (51)'!$A:$C,3,0)</f>
        <v>#REF!</v>
      </c>
      <c r="BB232" s="4" t="e">
        <f>BA232/VLOOKUP(A232,'[55]geoMap (52)'!$A:$B,2,0)*VLOOKUP(A232,'[55]geoMap (52)'!$A:$C,3,0)</f>
        <v>#REF!</v>
      </c>
      <c r="BC232" s="1" t="e">
        <f>BB232/VLOOKUP(A232,'[56]geoMap (53)'!$A:$B,2,0)*VLOOKUP(A232,'[56]geoMap (53)'!$A:$C,3,0)</f>
        <v>#REF!</v>
      </c>
      <c r="BD232" s="4" t="e">
        <f>BC232/VLOOKUP(A232,'[57]geoMap (54)'!$A:$B,2,0)*VLOOKUP(A232,'[57]geoMap (54)'!$A:$C,3,0)</f>
        <v>#REF!</v>
      </c>
      <c r="BE232" s="1" t="e">
        <f>BD232/VLOOKUP(A232,'[58]geoMap (55)'!$A:$B,2,0)*VLOOKUP(A232,'[58]geoMap (55)'!$A:$C,3,0)</f>
        <v>#REF!</v>
      </c>
      <c r="BF232" s="4" t="e">
        <f>BE232/VLOOKUP(A232,'[59]geoMap (56)'!$A:$B,2,0)*VLOOKUP(A232,'[59]geoMap (56)'!$A:$C,3,0)</f>
        <v>#REF!</v>
      </c>
      <c r="BG232" s="1" t="e">
        <f>BF232/VLOOKUP(A232,'[60]geoMap (57)'!$A:$B,2,0)*VLOOKUP(A232,'[60]geoMap (57)'!$A:$C,3,0)</f>
        <v>#REF!</v>
      </c>
      <c r="BH232" s="4" t="e">
        <f>BG232/VLOOKUP(A232,'[61]geoMap (58)'!$A:$B,2,0)*VLOOKUP(A232,'[61]geoMap (58)'!$A:$C,3,0)</f>
        <v>#REF!</v>
      </c>
      <c r="BI232" s="1" t="e">
        <f>BH232/VLOOKUP(A232,'[62]geoMap (59)'!$A:$B,2,0)*VLOOKUP(A232,'[62]geoMap (59)'!$A:$C,3,0)</f>
        <v>#REF!</v>
      </c>
      <c r="BJ232" s="4" t="e">
        <f>BI232/VLOOKUP(A232,'[63]geoMap (60)'!$A:$B,2,0)*VLOOKUP(A232,'[63]geoMap (60)'!$A:$C,3,0)</f>
        <v>#REF!</v>
      </c>
      <c r="BK232" s="1" t="e">
        <f>BJ232/VLOOKUP(A232,'[64]geoMap (61)'!$A:$B,2,0)*VLOOKUP(A232,'[64]geoMap (61)'!$A:$C,3,0)</f>
        <v>#REF!</v>
      </c>
      <c r="BL232" s="4" t="e">
        <f>BK232/VLOOKUP(A232,'[65]geoMap (62)'!$A:$B,2,0)*VLOOKUP(A232,'[65]geoMap (62)'!$A:$C,3,0)</f>
        <v>#REF!</v>
      </c>
      <c r="BM232" s="1" t="e">
        <f>BL232/VLOOKUP(A232,'[66]geoMap (63)'!$A:$B,2,0)*VLOOKUP(A232,'[66]geoMap (63)'!$A:$C,3,0)</f>
        <v>#REF!</v>
      </c>
      <c r="BN232" s="4" t="e">
        <f>BM232/VLOOKUP(A232,'[67]geoMap (64)'!$A:$B,2,0)*VLOOKUP(A232,'[67]geoMap (64)'!$A:$C,3,0)</f>
        <v>#REF!</v>
      </c>
      <c r="BO232" s="1" t="e">
        <f>BN232/VLOOKUP(A232,'[68]geoMap (65)'!$A:$B,2,0)*VLOOKUP(A232,'[68]geoMap (65)'!$A:$C,3,0)</f>
        <v>#REF!</v>
      </c>
      <c r="BP232" s="4" t="e">
        <f>BO232/VLOOKUP(A232,'[69]geoMap (66)'!$A:$B,2,0)*VLOOKUP(A232,'[69]geoMap (66)'!$A:$C,3,0)</f>
        <v>#REF!</v>
      </c>
    </row>
    <row r="233" spans="1:68" x14ac:dyDescent="0.2">
      <c r="A233" s="1" t="s">
        <v>235</v>
      </c>
      <c r="B233" s="1" t="e">
        <f>VLOOKUP(A233,[3]geoMap!$A:$B,2,0)*Notes!$C$6</f>
        <v>#REF!</v>
      </c>
      <c r="C233" s="1" t="e">
        <f>B233/VLOOKUP(A233,'[4]geoMap (1)'!$A:$B,2,0)*VLOOKUP(A233,'[4]geoMap (1)'!$A:$C,3,0)</f>
        <v>#REF!</v>
      </c>
      <c r="D233" s="1" t="e">
        <f>C233/VLOOKUP(A233,'[5]geoMap (2)'!$A:$B,2,0)*VLOOKUP(A233,'[5]geoMap (2)'!$A:$C,3,0)</f>
        <v>#REF!</v>
      </c>
      <c r="E233" s="1" t="e">
        <f>D233/VLOOKUP(A233,'[6]geoMap (3)'!$A:$B,2,0)*VLOOKUP(A233,'[6]geoMap (3)'!$A:$C,3,0)</f>
        <v>#REF!</v>
      </c>
      <c r="F233" s="1" t="e">
        <f>E233/VLOOKUP(A233,'[7]geoMap (4)'!$A:$B,2,0)*VLOOKUP(A233,'[7]geoMap (4)'!$A:$C,3,0)</f>
        <v>#REF!</v>
      </c>
      <c r="G233" s="1" t="e">
        <f>F233/VLOOKUP(A233,'[8]geoMap (5)'!$A:$B,2,0)*VLOOKUP(A233,'[8]geoMap (5)'!$A:$C,3,0)</f>
        <v>#REF!</v>
      </c>
      <c r="H233" s="1" t="e">
        <f>G233/VLOOKUP(A233,'[9]geoMap (6)'!$A:$B,2,0)*VLOOKUP(A233,'[9]geoMap (6)'!$A:$C,3,0)</f>
        <v>#REF!</v>
      </c>
      <c r="I233" s="1" t="e">
        <f>H233/VLOOKUP(A233,'[10]geoMap (7)'!$A:$B,2,0)*VLOOKUP(A233,'[10]geoMap (7)'!$A:$C,3,0)</f>
        <v>#REF!</v>
      </c>
      <c r="J233" s="1" t="e">
        <f>I233/VLOOKUP(A233,'[11]geoMap (8)'!$A:$B,2,0)*VLOOKUP(A233,'[11]geoMap (8)'!$A:$C,3,0)</f>
        <v>#REF!</v>
      </c>
      <c r="K233" s="1" t="e">
        <f>J233/VLOOKUP(A233,'[12]geoMap (9)'!$A:$B,2,0)*VLOOKUP(A233,'[12]geoMap (9)'!$A:$C,3,0)</f>
        <v>#REF!</v>
      </c>
      <c r="L233" s="1" t="e">
        <f>K233/VLOOKUP(A233,'[13]geoMap (10)'!$A:$B,2,0)*VLOOKUP(A233,'[13]geoMap (10)'!$A:$C,3,0)</f>
        <v>#REF!</v>
      </c>
      <c r="M233" s="1" t="e">
        <f>L233/VLOOKUP(A233,'[14]geoMap (11)'!$A:$B,2,0)*VLOOKUP(A233,'[14]geoMap (11)'!$A:$C,3,0)</f>
        <v>#REF!</v>
      </c>
      <c r="N233" s="1" t="e">
        <f>M233/VLOOKUP(A233,'[15]geoMap (12)'!$A:$B,2,0)*VLOOKUP(A233,'[15]geoMap (12)'!$A:$C,3,0)</f>
        <v>#REF!</v>
      </c>
      <c r="O233" s="1" t="e">
        <f>N233/VLOOKUP(A233,'[16]geoMap (13)'!$A:$B,2,0)*VLOOKUP(A233,'[16]geoMap (13)'!$A:$C,3,0)</f>
        <v>#REF!</v>
      </c>
      <c r="P233" s="1" t="e">
        <f>O233/VLOOKUP(A233,'[17]geoMap (14)'!$A:$B,2,0)*VLOOKUP(A233,'[17]geoMap (14)'!$A:$C,3,0)</f>
        <v>#REF!</v>
      </c>
      <c r="Q233" s="1" t="e">
        <f>P233/VLOOKUP(A233,'[18]geoMap (15)'!$A:$B,2,0)*VLOOKUP(A233,'[18]geoMap (15)'!$A:$C,3,0)</f>
        <v>#REF!</v>
      </c>
      <c r="R233" s="1" t="e">
        <f>Q233/VLOOKUP(A233,'[19]geoMap (16)'!$A:$B,2,0)*VLOOKUP(A233,'[19]geoMap (16)'!$A:$C,3,0)</f>
        <v>#REF!</v>
      </c>
      <c r="S233" s="1" t="e">
        <f>R233/VLOOKUP(A233,'[20]geoMap (17)'!$A:$B,2,0)*VLOOKUP(A233,'[20]geoMap (17)'!$A:$C,3,0)</f>
        <v>#REF!</v>
      </c>
      <c r="T233" s="1" t="e">
        <f>S233/VLOOKUP(A233,'[21]geoMap (18)'!$A:$B,2,0)*VLOOKUP(A233,'[21]geoMap (18)'!$A:$C,3,0)</f>
        <v>#REF!</v>
      </c>
      <c r="U233" s="1" t="e">
        <f>T233/VLOOKUP(A233,'[22]geoMap (19)'!$A:$B,2,0)*VLOOKUP(A233,'[22]geoMap (19)'!$A:$C,3,0)</f>
        <v>#REF!</v>
      </c>
      <c r="V233" s="1" t="e">
        <f>U233/VLOOKUP(A233,'[23]geoMap (20)'!$A:$B,2,0)*VLOOKUP(A233,'[23]geoMap (20)'!$A:$C,3,0)</f>
        <v>#REF!</v>
      </c>
      <c r="W233" s="1" t="e">
        <f>V233/VLOOKUP(A233,'[24]geoMap (21)'!$A:$B,2,0)*VLOOKUP(A233,'[24]geoMap (21)'!$A:$C,3,0)</f>
        <v>#REF!</v>
      </c>
      <c r="X233" s="1" t="e">
        <f>W233/VLOOKUP(A233,'[25]geoMap (22)'!$A:$B,2,0)*VLOOKUP(A233,'[25]geoMap (22)'!$A:$C,3,0)</f>
        <v>#REF!</v>
      </c>
      <c r="Y233" s="1" t="e">
        <f>X233/VLOOKUP(A233,'[26]geoMap (23)'!$A:$B,2,0)*VLOOKUP(A233,'[26]geoMap (23)'!$A:$C,3,0)</f>
        <v>#REF!</v>
      </c>
      <c r="Z233" s="1" t="e">
        <f>Y233/VLOOKUP(A233,'[27]geoMap (24)'!$A:$B,2,0)*VLOOKUP(A233,'[27]geoMap (24)'!$A:$C,3,0)</f>
        <v>#REF!</v>
      </c>
      <c r="AA233" s="1" t="e">
        <f>Z233/VLOOKUP(A233,'[28]geoMap (25)'!$A:$B,2,0)*VLOOKUP(A233,'[28]geoMap (25)'!$A:$C,3,0)</f>
        <v>#REF!</v>
      </c>
      <c r="AB233" s="1" t="e">
        <f>AA233*VLOOKUP(A233,'[29]geoMap (26)'!$A:$B,2,0)*VLOOKUP(A233,'[29]geoMap (26)'!$A:$C,3,0)</f>
        <v>#REF!</v>
      </c>
      <c r="AC233" s="1" t="e">
        <f>AB233/VLOOKUP(A233,'[30]geoMap (27)'!$A:$B,2,0)*VLOOKUP(A233,'[30]geoMap (27)'!$A:$C,3,0)</f>
        <v>#REF!</v>
      </c>
      <c r="AD233" s="1" t="e">
        <f>AC233/VLOOKUP(A233,'[31]geoMap (28)'!$A:$B,2,0)*VLOOKUP(A233,'[31]geoMap (28)'!$A:$C,3,0)</f>
        <v>#REF!</v>
      </c>
      <c r="AE233" s="1" t="e">
        <f>AD233/VLOOKUP(A233,'[32]geoMap (29)'!$A:$B,2,0)*VLOOKUP(A233,'[32]geoMap (29)'!$A:$C,3,0)</f>
        <v>#REF!</v>
      </c>
      <c r="AF233" s="1" t="e">
        <f>AE233/VLOOKUP(A233,'[33]geoMap (30)'!$A:$B,2,0)*VLOOKUP(A233,'[33]geoMap (30)'!$A:$C,3,0)</f>
        <v>#REF!</v>
      </c>
      <c r="AG233" s="1" t="e">
        <f>AF233/VLOOKUP(A233,'[34]geoMap (31)'!$A:$B,2,0)*VLOOKUP(A233,'[34]geoMap (31)'!$A:$C,3,0)</f>
        <v>#REF!</v>
      </c>
      <c r="AH233" s="1" t="e">
        <f>AG233/VLOOKUP(A233,'[35]geoMap (32)'!$A:$B,2,0)*VLOOKUP(A233,'[35]geoMap (32)'!$A:$C,3,0)</f>
        <v>#REF!</v>
      </c>
      <c r="AI233" s="1" t="e">
        <f>AH233/VLOOKUP(A233,'[36]geoMap (33)'!$A:$B,2,0)*VLOOKUP(A233,'[36]geoMap (33)'!$A:$C,3,0)</f>
        <v>#REF!</v>
      </c>
      <c r="AJ233" s="1" t="e">
        <f>AI233/VLOOKUP(A233,'[37]geoMap (34)'!$A:$B,2,0)*VLOOKUP(A233,'[37]geoMap (34)'!$A:$C,3,0)</f>
        <v>#REF!</v>
      </c>
      <c r="AK233" s="1" t="e">
        <f>AJ233/VLOOKUP(A233,'[38]geoMap (35)'!$A:$B,2,0)*VLOOKUP(A233,'[38]geoMap (35)'!$A:$C,3,0)</f>
        <v>#REF!</v>
      </c>
      <c r="AL233" s="1" t="e">
        <f>AK233/VLOOKUP(A233,'[39]geoMap (36)'!$A:$B,2,0)*VLOOKUP(A233,'[39]geoMap (36)'!$A:$C,3,0)</f>
        <v>#REF!</v>
      </c>
      <c r="AM233" s="1" t="e">
        <f>AL233/VLOOKUP(A233,'[40]geoMap (37)'!$A:$B,2,0)*VLOOKUP(A233,'[40]geoMap (37)'!$A:$C,3,0)</f>
        <v>#REF!</v>
      </c>
      <c r="AN233" s="1" t="e">
        <f>AM233/VLOOKUP(A233,'[41]geoMap (38)'!$A:$B,2,0)*VLOOKUP(A233,'[41]geoMap (38)'!$A:$C,3,0)</f>
        <v>#REF!</v>
      </c>
      <c r="AO233" s="1" t="e">
        <f>AN233/VLOOKUP(A233,'[42]geoMap (39)'!$A:$B,2,0)*VLOOKUP(A233,'[42]geoMap (39)'!$A:$C,3,0)</f>
        <v>#REF!</v>
      </c>
      <c r="AP233" s="1" t="e">
        <f>AO233/VLOOKUP(A233,'[43]geoMap (40)'!$A:$B,2,0)*VLOOKUP(A233,'[43]geoMap (40)'!$A:$C,3,0)</f>
        <v>#REF!</v>
      </c>
      <c r="AQ233" s="1" t="e">
        <f>AP233/VLOOKUP(A233,'[44]geoMap (41)'!$A:$B,2,0)*VLOOKUP(A233,'[44]geoMap (41)'!$A:$C,3,0)</f>
        <v>#REF!</v>
      </c>
      <c r="AR233" s="1" t="e">
        <f>AQ233/VLOOKUP(A233,'[45]geoMap (42)'!$A:$B,2,0)*VLOOKUP(A233,'[45]geoMap (42)'!$A:$C,3,0)</f>
        <v>#REF!</v>
      </c>
      <c r="AS233" s="1" t="e">
        <f>AR233/VLOOKUP(A233,'[46]geoMap (43)'!$A:$B,2,0)*VLOOKUP(A233,'[46]geoMap (43)'!$A:$C,3,0)</f>
        <v>#REF!</v>
      </c>
      <c r="AT233" s="1" t="e">
        <f>AS233/VLOOKUP(A233,'[47]geoMap (44)'!$A:$B,2,0)*VLOOKUP(A233,'[47]geoMap (44)'!$A:$C,3,0)</f>
        <v>#REF!</v>
      </c>
      <c r="AU233" s="1" t="e">
        <f>AT233/VLOOKUP(A233,'[48]geoMap (45)'!$A:$B,2,0)*VLOOKUP(A233,'[48]geoMap (45)'!$A:$C,3,0)</f>
        <v>#REF!</v>
      </c>
      <c r="AV233" s="1" t="e">
        <f>AU233/VLOOKUP(A233,'[49]geoMap (46)'!$A:$B,2,0)*VLOOKUP(A233,'[49]geoMap (46)'!$A:$C,3,0)</f>
        <v>#REF!</v>
      </c>
      <c r="AW233" s="1" t="e">
        <f>AV233/VLOOKUP(A233,'[50]geoMap (47)'!$A:$B,2,0)*VLOOKUP(A233,'[50]geoMap (47)'!$A:$C,3,0)</f>
        <v>#REF!</v>
      </c>
      <c r="AX233" s="4" t="e">
        <f>AW233/VLOOKUP(A233,'[51]geoMap (48)'!$A:$B,2,0)*VLOOKUP(A233,'[51]geoMap (48)'!$A:$C,3,0)</f>
        <v>#REF!</v>
      </c>
      <c r="AY233" s="1" t="e">
        <f>AX233/VLOOKUP(A233,'[52]geoMap (49)'!$A:$B,2,0)*VLOOKUP(A233,'[52]geoMap (49)'!$A:$C,3,0)</f>
        <v>#REF!</v>
      </c>
      <c r="AZ233" s="4" t="e">
        <f>AY233/VLOOKUP(A233,'[53]geoMap (50)'!$A:$B,2,0)*VLOOKUP(A233,'[53]geoMap (50)'!$A:$C,3,0)</f>
        <v>#REF!</v>
      </c>
      <c r="BA233" s="1" t="e">
        <f>AZ233/VLOOKUP(A233,'[54]geoMap (51)'!$A:$B,2,0)*VLOOKUP(A233,'[54]geoMap (51)'!$A:$C,3,0)</f>
        <v>#REF!</v>
      </c>
      <c r="BB233" s="4" t="e">
        <f>BA233/VLOOKUP(A233,'[55]geoMap (52)'!$A:$B,2,0)*VLOOKUP(A233,'[55]geoMap (52)'!$A:$C,3,0)</f>
        <v>#REF!</v>
      </c>
      <c r="BC233" s="1" t="e">
        <f>BB233/VLOOKUP(A233,'[56]geoMap (53)'!$A:$B,2,0)*VLOOKUP(A233,'[56]geoMap (53)'!$A:$C,3,0)</f>
        <v>#REF!</v>
      </c>
      <c r="BD233" s="4" t="e">
        <f>BC233/VLOOKUP(A233,'[57]geoMap (54)'!$A:$B,2,0)*VLOOKUP(A233,'[57]geoMap (54)'!$A:$C,3,0)</f>
        <v>#REF!</v>
      </c>
      <c r="BE233" s="1" t="e">
        <f>BD233/VLOOKUP(A233,'[58]geoMap (55)'!$A:$B,2,0)*VLOOKUP(A233,'[58]geoMap (55)'!$A:$C,3,0)</f>
        <v>#REF!</v>
      </c>
      <c r="BF233" s="4" t="e">
        <f>BE233/VLOOKUP(A233,'[59]geoMap (56)'!$A:$B,2,0)*VLOOKUP(A233,'[59]geoMap (56)'!$A:$C,3,0)</f>
        <v>#REF!</v>
      </c>
      <c r="BG233" s="1" t="e">
        <f>BF233/VLOOKUP(A233,'[60]geoMap (57)'!$A:$B,2,0)*VLOOKUP(A233,'[60]geoMap (57)'!$A:$C,3,0)</f>
        <v>#REF!</v>
      </c>
      <c r="BH233" s="4" t="e">
        <f>BG233/VLOOKUP(A233,'[61]geoMap (58)'!$A:$B,2,0)*VLOOKUP(A233,'[61]geoMap (58)'!$A:$C,3,0)</f>
        <v>#REF!</v>
      </c>
      <c r="BI233" s="1" t="e">
        <f>BH233/VLOOKUP(A233,'[62]geoMap (59)'!$A:$B,2,0)*VLOOKUP(A233,'[62]geoMap (59)'!$A:$C,3,0)</f>
        <v>#REF!</v>
      </c>
      <c r="BJ233" s="4" t="e">
        <f>BI233/VLOOKUP(A233,'[63]geoMap (60)'!$A:$B,2,0)*VLOOKUP(A233,'[63]geoMap (60)'!$A:$C,3,0)</f>
        <v>#REF!</v>
      </c>
      <c r="BK233" s="1" t="e">
        <f>BJ233/VLOOKUP(A233,'[64]geoMap (61)'!$A:$B,2,0)*VLOOKUP(A233,'[64]geoMap (61)'!$A:$C,3,0)</f>
        <v>#REF!</v>
      </c>
      <c r="BL233" s="4" t="e">
        <f>BK233/VLOOKUP(A233,'[65]geoMap (62)'!$A:$B,2,0)*VLOOKUP(A233,'[65]geoMap (62)'!$A:$C,3,0)</f>
        <v>#REF!</v>
      </c>
      <c r="BM233" s="1" t="e">
        <f>BL233/VLOOKUP(A233,'[66]geoMap (63)'!$A:$B,2,0)*VLOOKUP(A233,'[66]geoMap (63)'!$A:$C,3,0)</f>
        <v>#REF!</v>
      </c>
      <c r="BN233" s="4" t="e">
        <f>BM233/VLOOKUP(A233,'[67]geoMap (64)'!$A:$B,2,0)*VLOOKUP(A233,'[67]geoMap (64)'!$A:$C,3,0)</f>
        <v>#REF!</v>
      </c>
      <c r="BO233" s="1" t="e">
        <f>BN233/VLOOKUP(A233,'[68]geoMap (65)'!$A:$B,2,0)*VLOOKUP(A233,'[68]geoMap (65)'!$A:$C,3,0)</f>
        <v>#REF!</v>
      </c>
      <c r="BP233" s="4" t="e">
        <f>BO233/VLOOKUP(A233,'[69]geoMap (66)'!$A:$B,2,0)*VLOOKUP(A233,'[69]geoMap (66)'!$A:$C,3,0)</f>
        <v>#REF!</v>
      </c>
    </row>
    <row r="234" spans="1:68" x14ac:dyDescent="0.2">
      <c r="A234" s="1" t="s">
        <v>236</v>
      </c>
      <c r="B234" s="1" t="e">
        <f>VLOOKUP(A234,[3]geoMap!$A:$B,2,0)*Notes!$C$6</f>
        <v>#REF!</v>
      </c>
      <c r="C234" s="1" t="e">
        <f>B234/VLOOKUP(A234,'[4]geoMap (1)'!$A:$B,2,0)*VLOOKUP(A234,'[4]geoMap (1)'!$A:$C,3,0)</f>
        <v>#REF!</v>
      </c>
      <c r="D234" s="1" t="e">
        <f>C234/VLOOKUP(A234,'[5]geoMap (2)'!$A:$B,2,0)*VLOOKUP(A234,'[5]geoMap (2)'!$A:$C,3,0)</f>
        <v>#REF!</v>
      </c>
      <c r="E234" s="1" t="e">
        <f>D234/VLOOKUP(A234,'[6]geoMap (3)'!$A:$B,2,0)*VLOOKUP(A234,'[6]geoMap (3)'!$A:$C,3,0)</f>
        <v>#REF!</v>
      </c>
      <c r="F234" s="1" t="e">
        <f>E234/VLOOKUP(A234,'[7]geoMap (4)'!$A:$B,2,0)*VLOOKUP(A234,'[7]geoMap (4)'!$A:$C,3,0)</f>
        <v>#REF!</v>
      </c>
      <c r="G234" s="1" t="e">
        <f>F234/VLOOKUP(A234,'[8]geoMap (5)'!$A:$B,2,0)*VLOOKUP(A234,'[8]geoMap (5)'!$A:$C,3,0)</f>
        <v>#REF!</v>
      </c>
      <c r="H234" s="1" t="e">
        <f>G234/VLOOKUP(A234,'[9]geoMap (6)'!$A:$B,2,0)*VLOOKUP(A234,'[9]geoMap (6)'!$A:$C,3,0)</f>
        <v>#REF!</v>
      </c>
      <c r="I234" s="1" t="e">
        <f>H234/VLOOKUP(A234,'[10]geoMap (7)'!$A:$B,2,0)*VLOOKUP(A234,'[10]geoMap (7)'!$A:$C,3,0)</f>
        <v>#REF!</v>
      </c>
      <c r="J234" s="1" t="e">
        <f>I234/VLOOKUP(A234,'[11]geoMap (8)'!$A:$B,2,0)*VLOOKUP(A234,'[11]geoMap (8)'!$A:$C,3,0)</f>
        <v>#REF!</v>
      </c>
      <c r="K234" s="1" t="e">
        <f>J234/VLOOKUP(A234,'[12]geoMap (9)'!$A:$B,2,0)*VLOOKUP(A234,'[12]geoMap (9)'!$A:$C,3,0)</f>
        <v>#REF!</v>
      </c>
      <c r="L234" s="1" t="e">
        <f>K234/VLOOKUP(A234,'[13]geoMap (10)'!$A:$B,2,0)*VLOOKUP(A234,'[13]geoMap (10)'!$A:$C,3,0)</f>
        <v>#REF!</v>
      </c>
      <c r="M234" s="1" t="e">
        <f>L234/VLOOKUP(A234,'[14]geoMap (11)'!$A:$B,2,0)*VLOOKUP(A234,'[14]geoMap (11)'!$A:$C,3,0)</f>
        <v>#REF!</v>
      </c>
      <c r="N234" s="1" t="e">
        <f>M234/VLOOKUP(A234,'[15]geoMap (12)'!$A:$B,2,0)*VLOOKUP(A234,'[15]geoMap (12)'!$A:$C,3,0)</f>
        <v>#REF!</v>
      </c>
      <c r="O234" s="1" t="e">
        <f>N234/VLOOKUP(A234,'[16]geoMap (13)'!$A:$B,2,0)*VLOOKUP(A234,'[16]geoMap (13)'!$A:$C,3,0)</f>
        <v>#REF!</v>
      </c>
      <c r="P234" s="1" t="e">
        <f>O234/VLOOKUP(A234,'[17]geoMap (14)'!$A:$B,2,0)*VLOOKUP(A234,'[17]geoMap (14)'!$A:$C,3,0)</f>
        <v>#REF!</v>
      </c>
      <c r="Q234" s="1" t="e">
        <f>P234/VLOOKUP(A234,'[18]geoMap (15)'!$A:$B,2,0)*VLOOKUP(A234,'[18]geoMap (15)'!$A:$C,3,0)</f>
        <v>#REF!</v>
      </c>
      <c r="R234" s="1" t="e">
        <f>Q234/VLOOKUP(A234,'[19]geoMap (16)'!$A:$B,2,0)*VLOOKUP(A234,'[19]geoMap (16)'!$A:$C,3,0)</f>
        <v>#REF!</v>
      </c>
      <c r="S234" s="1" t="e">
        <f>R234/VLOOKUP(A234,'[20]geoMap (17)'!$A:$B,2,0)*VLOOKUP(A234,'[20]geoMap (17)'!$A:$C,3,0)</f>
        <v>#REF!</v>
      </c>
      <c r="T234" s="1" t="e">
        <f>S234/VLOOKUP(A234,'[21]geoMap (18)'!$A:$B,2,0)*VLOOKUP(A234,'[21]geoMap (18)'!$A:$C,3,0)</f>
        <v>#REF!</v>
      </c>
      <c r="U234" s="1" t="e">
        <f>T234/VLOOKUP(A234,'[22]geoMap (19)'!$A:$B,2,0)*VLOOKUP(A234,'[22]geoMap (19)'!$A:$C,3,0)</f>
        <v>#REF!</v>
      </c>
      <c r="V234" s="1" t="e">
        <f>U234/VLOOKUP(A234,'[23]geoMap (20)'!$A:$B,2,0)*VLOOKUP(A234,'[23]geoMap (20)'!$A:$C,3,0)</f>
        <v>#REF!</v>
      </c>
      <c r="W234" s="1" t="e">
        <f>V234/VLOOKUP(A234,'[24]geoMap (21)'!$A:$B,2,0)*VLOOKUP(A234,'[24]geoMap (21)'!$A:$C,3,0)</f>
        <v>#REF!</v>
      </c>
      <c r="X234" s="1" t="e">
        <f>W234/VLOOKUP(A234,'[25]geoMap (22)'!$A:$B,2,0)*VLOOKUP(A234,'[25]geoMap (22)'!$A:$C,3,0)</f>
        <v>#REF!</v>
      </c>
      <c r="Y234" s="1" t="e">
        <f>X234/VLOOKUP(A234,'[26]geoMap (23)'!$A:$B,2,0)*VLOOKUP(A234,'[26]geoMap (23)'!$A:$C,3,0)</f>
        <v>#REF!</v>
      </c>
      <c r="Z234" s="1" t="e">
        <f>Y234/VLOOKUP(A234,'[27]geoMap (24)'!$A:$B,2,0)*VLOOKUP(A234,'[27]geoMap (24)'!$A:$C,3,0)</f>
        <v>#REF!</v>
      </c>
      <c r="AA234" s="1" t="e">
        <f>Z234/VLOOKUP(A234,'[28]geoMap (25)'!$A:$B,2,0)*VLOOKUP(A234,'[28]geoMap (25)'!$A:$C,3,0)</f>
        <v>#REF!</v>
      </c>
      <c r="AB234" s="1" t="e">
        <f>AA234*VLOOKUP(A234,'[29]geoMap (26)'!$A:$B,2,0)*VLOOKUP(A234,'[29]geoMap (26)'!$A:$C,3,0)</f>
        <v>#REF!</v>
      </c>
      <c r="AC234" s="1" t="e">
        <f>AB234/VLOOKUP(A234,'[30]geoMap (27)'!$A:$B,2,0)*VLOOKUP(A234,'[30]geoMap (27)'!$A:$C,3,0)</f>
        <v>#REF!</v>
      </c>
      <c r="AD234" s="1" t="e">
        <f>AC234/VLOOKUP(A234,'[31]geoMap (28)'!$A:$B,2,0)*VLOOKUP(A234,'[31]geoMap (28)'!$A:$C,3,0)</f>
        <v>#REF!</v>
      </c>
      <c r="AE234" s="1" t="e">
        <f>AD234/VLOOKUP(A234,'[32]geoMap (29)'!$A:$B,2,0)*VLOOKUP(A234,'[32]geoMap (29)'!$A:$C,3,0)</f>
        <v>#REF!</v>
      </c>
      <c r="AF234" s="1" t="e">
        <f>AE234/VLOOKUP(A234,'[33]geoMap (30)'!$A:$B,2,0)*VLOOKUP(A234,'[33]geoMap (30)'!$A:$C,3,0)</f>
        <v>#REF!</v>
      </c>
      <c r="AG234" s="1" t="e">
        <f>AF234/VLOOKUP(A234,'[34]geoMap (31)'!$A:$B,2,0)*VLOOKUP(A234,'[34]geoMap (31)'!$A:$C,3,0)</f>
        <v>#REF!</v>
      </c>
      <c r="AH234" s="1" t="e">
        <f>AG234/VLOOKUP(A234,'[35]geoMap (32)'!$A:$B,2,0)*VLOOKUP(A234,'[35]geoMap (32)'!$A:$C,3,0)</f>
        <v>#REF!</v>
      </c>
      <c r="AI234" s="1" t="e">
        <f>AH234/VLOOKUP(A234,'[36]geoMap (33)'!$A:$B,2,0)*VLOOKUP(A234,'[36]geoMap (33)'!$A:$C,3,0)</f>
        <v>#REF!</v>
      </c>
      <c r="AJ234" s="1" t="e">
        <f>AI234/VLOOKUP(A234,'[37]geoMap (34)'!$A:$B,2,0)*VLOOKUP(A234,'[37]geoMap (34)'!$A:$C,3,0)</f>
        <v>#REF!</v>
      </c>
      <c r="AK234" s="1" t="e">
        <f>AJ234/VLOOKUP(A234,'[38]geoMap (35)'!$A:$B,2,0)*VLOOKUP(A234,'[38]geoMap (35)'!$A:$C,3,0)</f>
        <v>#REF!</v>
      </c>
      <c r="AL234" s="1" t="e">
        <f>AK234/VLOOKUP(A234,'[39]geoMap (36)'!$A:$B,2,0)*VLOOKUP(A234,'[39]geoMap (36)'!$A:$C,3,0)</f>
        <v>#REF!</v>
      </c>
      <c r="AM234" s="1" t="e">
        <f>AL234/VLOOKUP(A234,'[40]geoMap (37)'!$A:$B,2,0)*VLOOKUP(A234,'[40]geoMap (37)'!$A:$C,3,0)</f>
        <v>#REF!</v>
      </c>
      <c r="AN234" s="1" t="e">
        <f>AM234/VLOOKUP(A234,'[41]geoMap (38)'!$A:$B,2,0)*VLOOKUP(A234,'[41]geoMap (38)'!$A:$C,3,0)</f>
        <v>#REF!</v>
      </c>
      <c r="AO234" s="1" t="e">
        <f>AN234/VLOOKUP(A234,'[42]geoMap (39)'!$A:$B,2,0)*VLOOKUP(A234,'[42]geoMap (39)'!$A:$C,3,0)</f>
        <v>#REF!</v>
      </c>
      <c r="AP234" s="1" t="e">
        <f>AO234/VLOOKUP(A234,'[43]geoMap (40)'!$A:$B,2,0)*VLOOKUP(A234,'[43]geoMap (40)'!$A:$C,3,0)</f>
        <v>#REF!</v>
      </c>
      <c r="AQ234" s="1" t="e">
        <f>AP234/VLOOKUP(A234,'[44]geoMap (41)'!$A:$B,2,0)*VLOOKUP(A234,'[44]geoMap (41)'!$A:$C,3,0)</f>
        <v>#REF!</v>
      </c>
      <c r="AR234" s="1" t="e">
        <f>AQ234/VLOOKUP(A234,'[45]geoMap (42)'!$A:$B,2,0)*VLOOKUP(A234,'[45]geoMap (42)'!$A:$C,3,0)</f>
        <v>#REF!</v>
      </c>
      <c r="AS234" s="1" t="e">
        <f>AR234/VLOOKUP(A234,'[46]geoMap (43)'!$A:$B,2,0)*VLOOKUP(A234,'[46]geoMap (43)'!$A:$C,3,0)</f>
        <v>#REF!</v>
      </c>
      <c r="AT234" s="1" t="e">
        <f>AS234/VLOOKUP(A234,'[47]geoMap (44)'!$A:$B,2,0)*VLOOKUP(A234,'[47]geoMap (44)'!$A:$C,3,0)</f>
        <v>#REF!</v>
      </c>
      <c r="AU234" s="1" t="e">
        <f>AT234/VLOOKUP(A234,'[48]geoMap (45)'!$A:$B,2,0)*VLOOKUP(A234,'[48]geoMap (45)'!$A:$C,3,0)</f>
        <v>#REF!</v>
      </c>
      <c r="AV234" s="1" t="e">
        <f>AU234/VLOOKUP(A234,'[49]geoMap (46)'!$A:$B,2,0)*VLOOKUP(A234,'[49]geoMap (46)'!$A:$C,3,0)</f>
        <v>#REF!</v>
      </c>
      <c r="AW234" s="1" t="e">
        <f>AV234/VLOOKUP(A234,'[50]geoMap (47)'!$A:$B,2,0)*VLOOKUP(A234,'[50]geoMap (47)'!$A:$C,3,0)</f>
        <v>#REF!</v>
      </c>
      <c r="AX234" s="4" t="e">
        <f>AW234/VLOOKUP(A234,'[51]geoMap (48)'!$A:$B,2,0)*VLOOKUP(A234,'[51]geoMap (48)'!$A:$C,3,0)</f>
        <v>#REF!</v>
      </c>
      <c r="AY234" s="1" t="e">
        <f>AX234/VLOOKUP(A234,'[52]geoMap (49)'!$A:$B,2,0)*VLOOKUP(A234,'[52]geoMap (49)'!$A:$C,3,0)</f>
        <v>#REF!</v>
      </c>
      <c r="AZ234" s="4" t="e">
        <f>AY234/VLOOKUP(A234,'[53]geoMap (50)'!$A:$B,2,0)*VLOOKUP(A234,'[53]geoMap (50)'!$A:$C,3,0)</f>
        <v>#REF!</v>
      </c>
      <c r="BA234" s="1" t="e">
        <f>AZ234/VLOOKUP(A234,'[54]geoMap (51)'!$A:$B,2,0)*VLOOKUP(A234,'[54]geoMap (51)'!$A:$C,3,0)</f>
        <v>#REF!</v>
      </c>
      <c r="BB234" s="4" t="e">
        <f>BA234/VLOOKUP(A234,'[55]geoMap (52)'!$A:$B,2,0)*VLOOKUP(A234,'[55]geoMap (52)'!$A:$C,3,0)</f>
        <v>#REF!</v>
      </c>
      <c r="BC234" s="1" t="e">
        <f>BB234/VLOOKUP(A234,'[56]geoMap (53)'!$A:$B,2,0)*VLOOKUP(A234,'[56]geoMap (53)'!$A:$C,3,0)</f>
        <v>#REF!</v>
      </c>
      <c r="BD234" s="4" t="e">
        <f>BC234/VLOOKUP(A234,'[57]geoMap (54)'!$A:$B,2,0)*VLOOKUP(A234,'[57]geoMap (54)'!$A:$C,3,0)</f>
        <v>#REF!</v>
      </c>
      <c r="BE234" s="1" t="e">
        <f>BD234/VLOOKUP(A234,'[58]geoMap (55)'!$A:$B,2,0)*VLOOKUP(A234,'[58]geoMap (55)'!$A:$C,3,0)</f>
        <v>#REF!</v>
      </c>
      <c r="BF234" s="4" t="e">
        <f>BE234/VLOOKUP(A234,'[59]geoMap (56)'!$A:$B,2,0)*VLOOKUP(A234,'[59]geoMap (56)'!$A:$C,3,0)</f>
        <v>#REF!</v>
      </c>
      <c r="BG234" s="1" t="e">
        <f>BF234/VLOOKUP(A234,'[60]geoMap (57)'!$A:$B,2,0)*VLOOKUP(A234,'[60]geoMap (57)'!$A:$C,3,0)</f>
        <v>#REF!</v>
      </c>
      <c r="BH234" s="4" t="e">
        <f>BG234/VLOOKUP(A234,'[61]geoMap (58)'!$A:$B,2,0)*VLOOKUP(A234,'[61]geoMap (58)'!$A:$C,3,0)</f>
        <v>#REF!</v>
      </c>
      <c r="BI234" s="1" t="e">
        <f>BH234/VLOOKUP(A234,'[62]geoMap (59)'!$A:$B,2,0)*VLOOKUP(A234,'[62]geoMap (59)'!$A:$C,3,0)</f>
        <v>#REF!</v>
      </c>
      <c r="BJ234" s="4" t="e">
        <f>BI234/VLOOKUP(A234,'[63]geoMap (60)'!$A:$B,2,0)*VLOOKUP(A234,'[63]geoMap (60)'!$A:$C,3,0)</f>
        <v>#REF!</v>
      </c>
      <c r="BK234" s="1" t="e">
        <f>BJ234/VLOOKUP(A234,'[64]geoMap (61)'!$A:$B,2,0)*VLOOKUP(A234,'[64]geoMap (61)'!$A:$C,3,0)</f>
        <v>#REF!</v>
      </c>
      <c r="BL234" s="4" t="e">
        <f>BK234/VLOOKUP(A234,'[65]geoMap (62)'!$A:$B,2,0)*VLOOKUP(A234,'[65]geoMap (62)'!$A:$C,3,0)</f>
        <v>#REF!</v>
      </c>
      <c r="BM234" s="1" t="e">
        <f>BL234/VLOOKUP(A234,'[66]geoMap (63)'!$A:$B,2,0)*VLOOKUP(A234,'[66]geoMap (63)'!$A:$C,3,0)</f>
        <v>#REF!</v>
      </c>
      <c r="BN234" s="4" t="e">
        <f>BM234/VLOOKUP(A234,'[67]geoMap (64)'!$A:$B,2,0)*VLOOKUP(A234,'[67]geoMap (64)'!$A:$C,3,0)</f>
        <v>#REF!</v>
      </c>
      <c r="BO234" s="1" t="e">
        <f>BN234/VLOOKUP(A234,'[68]geoMap (65)'!$A:$B,2,0)*VLOOKUP(A234,'[68]geoMap (65)'!$A:$C,3,0)</f>
        <v>#REF!</v>
      </c>
      <c r="BP234" s="4" t="e">
        <f>BO234/VLOOKUP(A234,'[69]geoMap (66)'!$A:$B,2,0)*VLOOKUP(A234,'[69]geoMap (66)'!$A:$C,3,0)</f>
        <v>#REF!</v>
      </c>
    </row>
    <row r="235" spans="1:68" x14ac:dyDescent="0.2">
      <c r="A235" s="1" t="s">
        <v>237</v>
      </c>
      <c r="B235" s="1" t="e">
        <f>VLOOKUP(A235,[3]geoMap!$A:$B,2,0)*Notes!$C$6</f>
        <v>#REF!</v>
      </c>
      <c r="C235" s="1" t="e">
        <f>B235/VLOOKUP(A235,'[4]geoMap (1)'!$A:$B,2,0)*VLOOKUP(A235,'[4]geoMap (1)'!$A:$C,3,0)</f>
        <v>#REF!</v>
      </c>
      <c r="D235" s="1" t="e">
        <f>C235/VLOOKUP(A235,'[5]geoMap (2)'!$A:$B,2,0)*VLOOKUP(A235,'[5]geoMap (2)'!$A:$C,3,0)</f>
        <v>#REF!</v>
      </c>
      <c r="E235" s="1" t="e">
        <f>D235/VLOOKUP(A235,'[6]geoMap (3)'!$A:$B,2,0)*VLOOKUP(A235,'[6]geoMap (3)'!$A:$C,3,0)</f>
        <v>#REF!</v>
      </c>
      <c r="F235" s="1" t="e">
        <f>E235/VLOOKUP(A235,'[7]geoMap (4)'!$A:$B,2,0)*VLOOKUP(A235,'[7]geoMap (4)'!$A:$C,3,0)</f>
        <v>#REF!</v>
      </c>
      <c r="G235" s="1" t="e">
        <f>F235/VLOOKUP(A235,'[8]geoMap (5)'!$A:$B,2,0)*VLOOKUP(A235,'[8]geoMap (5)'!$A:$C,3,0)</f>
        <v>#REF!</v>
      </c>
      <c r="H235" s="1" t="e">
        <f>G235/VLOOKUP(A235,'[9]geoMap (6)'!$A:$B,2,0)*VLOOKUP(A235,'[9]geoMap (6)'!$A:$C,3,0)</f>
        <v>#REF!</v>
      </c>
      <c r="I235" s="1" t="e">
        <f>H235/VLOOKUP(A235,'[10]geoMap (7)'!$A:$B,2,0)*VLOOKUP(A235,'[10]geoMap (7)'!$A:$C,3,0)</f>
        <v>#REF!</v>
      </c>
      <c r="J235" s="1" t="e">
        <f>I235/VLOOKUP(A235,'[11]geoMap (8)'!$A:$B,2,0)*VLOOKUP(A235,'[11]geoMap (8)'!$A:$C,3,0)</f>
        <v>#REF!</v>
      </c>
      <c r="K235" s="1" t="e">
        <f>J235/VLOOKUP(A235,'[12]geoMap (9)'!$A:$B,2,0)*VLOOKUP(A235,'[12]geoMap (9)'!$A:$C,3,0)</f>
        <v>#REF!</v>
      </c>
      <c r="L235" s="1" t="e">
        <f>K235/VLOOKUP(A235,'[13]geoMap (10)'!$A:$B,2,0)*VLOOKUP(A235,'[13]geoMap (10)'!$A:$C,3,0)</f>
        <v>#REF!</v>
      </c>
      <c r="M235" s="1" t="e">
        <f>L235/VLOOKUP(A235,'[14]geoMap (11)'!$A:$B,2,0)*VLOOKUP(A235,'[14]geoMap (11)'!$A:$C,3,0)</f>
        <v>#REF!</v>
      </c>
      <c r="N235" s="1" t="e">
        <f>M235/VLOOKUP(A235,'[15]geoMap (12)'!$A:$B,2,0)*VLOOKUP(A235,'[15]geoMap (12)'!$A:$C,3,0)</f>
        <v>#REF!</v>
      </c>
      <c r="O235" s="1" t="e">
        <f>N235/VLOOKUP(A235,'[16]geoMap (13)'!$A:$B,2,0)*VLOOKUP(A235,'[16]geoMap (13)'!$A:$C,3,0)</f>
        <v>#REF!</v>
      </c>
      <c r="P235" s="1" t="e">
        <f>O235/VLOOKUP(A235,'[17]geoMap (14)'!$A:$B,2,0)*VLOOKUP(A235,'[17]geoMap (14)'!$A:$C,3,0)</f>
        <v>#REF!</v>
      </c>
      <c r="Q235" s="1" t="e">
        <f>P235/VLOOKUP(A235,'[18]geoMap (15)'!$A:$B,2,0)*VLOOKUP(A235,'[18]geoMap (15)'!$A:$C,3,0)</f>
        <v>#REF!</v>
      </c>
      <c r="R235" s="1" t="e">
        <f>Q235/VLOOKUP(A235,'[19]geoMap (16)'!$A:$B,2,0)*VLOOKUP(A235,'[19]geoMap (16)'!$A:$C,3,0)</f>
        <v>#REF!</v>
      </c>
      <c r="S235" s="1" t="e">
        <f>R235/VLOOKUP(A235,'[20]geoMap (17)'!$A:$B,2,0)*VLOOKUP(A235,'[20]geoMap (17)'!$A:$C,3,0)</f>
        <v>#REF!</v>
      </c>
      <c r="T235" s="1" t="e">
        <f>S235/VLOOKUP(A235,'[21]geoMap (18)'!$A:$B,2,0)*VLOOKUP(A235,'[21]geoMap (18)'!$A:$C,3,0)</f>
        <v>#REF!</v>
      </c>
      <c r="U235" s="1" t="e">
        <f>T235/VLOOKUP(A235,'[22]geoMap (19)'!$A:$B,2,0)*VLOOKUP(A235,'[22]geoMap (19)'!$A:$C,3,0)</f>
        <v>#REF!</v>
      </c>
      <c r="V235" s="1" t="e">
        <f>U235/VLOOKUP(A235,'[23]geoMap (20)'!$A:$B,2,0)*VLOOKUP(A235,'[23]geoMap (20)'!$A:$C,3,0)</f>
        <v>#REF!</v>
      </c>
      <c r="W235" s="1" t="e">
        <f>V235/VLOOKUP(A235,'[24]geoMap (21)'!$A:$B,2,0)*VLOOKUP(A235,'[24]geoMap (21)'!$A:$C,3,0)</f>
        <v>#REF!</v>
      </c>
      <c r="X235" s="1" t="e">
        <f>W235/VLOOKUP(A235,'[25]geoMap (22)'!$A:$B,2,0)*VLOOKUP(A235,'[25]geoMap (22)'!$A:$C,3,0)</f>
        <v>#REF!</v>
      </c>
      <c r="Y235" s="1" t="e">
        <f>X235/VLOOKUP(A235,'[26]geoMap (23)'!$A:$B,2,0)*VLOOKUP(A235,'[26]geoMap (23)'!$A:$C,3,0)</f>
        <v>#REF!</v>
      </c>
      <c r="Z235" s="1" t="e">
        <f>Y235/VLOOKUP(A235,'[27]geoMap (24)'!$A:$B,2,0)*VLOOKUP(A235,'[27]geoMap (24)'!$A:$C,3,0)</f>
        <v>#REF!</v>
      </c>
      <c r="AA235" s="1" t="e">
        <f>Z235/VLOOKUP(A235,'[28]geoMap (25)'!$A:$B,2,0)*VLOOKUP(A235,'[28]geoMap (25)'!$A:$C,3,0)</f>
        <v>#REF!</v>
      </c>
      <c r="AB235" s="1" t="e">
        <f>AA235*VLOOKUP(A235,'[29]geoMap (26)'!$A:$B,2,0)*VLOOKUP(A235,'[29]geoMap (26)'!$A:$C,3,0)</f>
        <v>#REF!</v>
      </c>
      <c r="AC235" s="1" t="e">
        <f>AB235/VLOOKUP(A235,'[30]geoMap (27)'!$A:$B,2,0)*VLOOKUP(A235,'[30]geoMap (27)'!$A:$C,3,0)</f>
        <v>#REF!</v>
      </c>
      <c r="AD235" s="1" t="e">
        <f>AC235/VLOOKUP(A235,'[31]geoMap (28)'!$A:$B,2,0)*VLOOKUP(A235,'[31]geoMap (28)'!$A:$C,3,0)</f>
        <v>#REF!</v>
      </c>
      <c r="AE235" s="1" t="e">
        <f>AD235/VLOOKUP(A235,'[32]geoMap (29)'!$A:$B,2,0)*VLOOKUP(A235,'[32]geoMap (29)'!$A:$C,3,0)</f>
        <v>#REF!</v>
      </c>
      <c r="AF235" s="1" t="e">
        <f>AE235/VLOOKUP(A235,'[33]geoMap (30)'!$A:$B,2,0)*VLOOKUP(A235,'[33]geoMap (30)'!$A:$C,3,0)</f>
        <v>#REF!</v>
      </c>
      <c r="AG235" s="1" t="e">
        <f>AF235/VLOOKUP(A235,'[34]geoMap (31)'!$A:$B,2,0)*VLOOKUP(A235,'[34]geoMap (31)'!$A:$C,3,0)</f>
        <v>#REF!</v>
      </c>
      <c r="AH235" s="1" t="e">
        <f>AG235/VLOOKUP(A235,'[35]geoMap (32)'!$A:$B,2,0)*VLOOKUP(A235,'[35]geoMap (32)'!$A:$C,3,0)</f>
        <v>#REF!</v>
      </c>
      <c r="AI235" s="1" t="e">
        <f>AH235/VLOOKUP(A235,'[36]geoMap (33)'!$A:$B,2,0)*VLOOKUP(A235,'[36]geoMap (33)'!$A:$C,3,0)</f>
        <v>#REF!</v>
      </c>
      <c r="AJ235" s="1" t="e">
        <f>AI235/VLOOKUP(A235,'[37]geoMap (34)'!$A:$B,2,0)*VLOOKUP(A235,'[37]geoMap (34)'!$A:$C,3,0)</f>
        <v>#REF!</v>
      </c>
      <c r="AK235" s="1" t="e">
        <f>AJ235/VLOOKUP(A235,'[38]geoMap (35)'!$A:$B,2,0)*VLOOKUP(A235,'[38]geoMap (35)'!$A:$C,3,0)</f>
        <v>#REF!</v>
      </c>
      <c r="AL235" s="1" t="e">
        <f>AK235/VLOOKUP(A235,'[39]geoMap (36)'!$A:$B,2,0)*VLOOKUP(A235,'[39]geoMap (36)'!$A:$C,3,0)</f>
        <v>#REF!</v>
      </c>
      <c r="AM235" s="1" t="e">
        <f>AL235/VLOOKUP(A235,'[40]geoMap (37)'!$A:$B,2,0)*VLOOKUP(A235,'[40]geoMap (37)'!$A:$C,3,0)</f>
        <v>#REF!</v>
      </c>
      <c r="AN235" s="1" t="e">
        <f>AM235/VLOOKUP(A235,'[41]geoMap (38)'!$A:$B,2,0)*VLOOKUP(A235,'[41]geoMap (38)'!$A:$C,3,0)</f>
        <v>#REF!</v>
      </c>
      <c r="AO235" s="1" t="e">
        <f>AN235/VLOOKUP(A235,'[42]geoMap (39)'!$A:$B,2,0)*VLOOKUP(A235,'[42]geoMap (39)'!$A:$C,3,0)</f>
        <v>#REF!</v>
      </c>
      <c r="AP235" s="1" t="e">
        <f>AO235/VLOOKUP(A235,'[43]geoMap (40)'!$A:$B,2,0)*VLOOKUP(A235,'[43]geoMap (40)'!$A:$C,3,0)</f>
        <v>#REF!</v>
      </c>
      <c r="AQ235" s="1" t="e">
        <f>AP235/VLOOKUP(A235,'[44]geoMap (41)'!$A:$B,2,0)*VLOOKUP(A235,'[44]geoMap (41)'!$A:$C,3,0)</f>
        <v>#REF!</v>
      </c>
      <c r="AR235" s="1" t="e">
        <f>AQ235/VLOOKUP(A235,'[45]geoMap (42)'!$A:$B,2,0)*VLOOKUP(A235,'[45]geoMap (42)'!$A:$C,3,0)</f>
        <v>#REF!</v>
      </c>
      <c r="AS235" s="1" t="e">
        <f>AR235/VLOOKUP(A235,'[46]geoMap (43)'!$A:$B,2,0)*VLOOKUP(A235,'[46]geoMap (43)'!$A:$C,3,0)</f>
        <v>#REF!</v>
      </c>
      <c r="AT235" s="1" t="e">
        <f>AS235/VLOOKUP(A235,'[47]geoMap (44)'!$A:$B,2,0)*VLOOKUP(A235,'[47]geoMap (44)'!$A:$C,3,0)</f>
        <v>#REF!</v>
      </c>
      <c r="AU235" s="1" t="e">
        <f>AT235/VLOOKUP(A235,'[48]geoMap (45)'!$A:$B,2,0)*VLOOKUP(A235,'[48]geoMap (45)'!$A:$C,3,0)</f>
        <v>#REF!</v>
      </c>
      <c r="AV235" s="1" t="e">
        <f>AU235/VLOOKUP(A235,'[49]geoMap (46)'!$A:$B,2,0)*VLOOKUP(A235,'[49]geoMap (46)'!$A:$C,3,0)</f>
        <v>#REF!</v>
      </c>
      <c r="AW235" s="1" t="e">
        <f>AV235/VLOOKUP(A235,'[50]geoMap (47)'!$A:$B,2,0)*VLOOKUP(A235,'[50]geoMap (47)'!$A:$C,3,0)</f>
        <v>#REF!</v>
      </c>
      <c r="AX235" s="4" t="e">
        <f>AW235/VLOOKUP(A235,'[51]geoMap (48)'!$A:$B,2,0)*VLOOKUP(A235,'[51]geoMap (48)'!$A:$C,3,0)</f>
        <v>#REF!</v>
      </c>
      <c r="AY235" s="1" t="e">
        <f>AX235/VLOOKUP(A235,'[52]geoMap (49)'!$A:$B,2,0)*VLOOKUP(A235,'[52]geoMap (49)'!$A:$C,3,0)</f>
        <v>#REF!</v>
      </c>
      <c r="AZ235" s="4" t="e">
        <f>AY235/VLOOKUP(A235,'[53]geoMap (50)'!$A:$B,2,0)*VLOOKUP(A235,'[53]geoMap (50)'!$A:$C,3,0)</f>
        <v>#REF!</v>
      </c>
      <c r="BA235" s="1" t="e">
        <f>AZ235/VLOOKUP(A235,'[54]geoMap (51)'!$A:$B,2,0)*VLOOKUP(A235,'[54]geoMap (51)'!$A:$C,3,0)</f>
        <v>#REF!</v>
      </c>
      <c r="BB235" s="4" t="e">
        <f>BA235/VLOOKUP(A235,'[55]geoMap (52)'!$A:$B,2,0)*VLOOKUP(A235,'[55]geoMap (52)'!$A:$C,3,0)</f>
        <v>#REF!</v>
      </c>
      <c r="BC235" s="1" t="e">
        <f>BB235/VLOOKUP(A235,'[56]geoMap (53)'!$A:$B,2,0)*VLOOKUP(A235,'[56]geoMap (53)'!$A:$C,3,0)</f>
        <v>#REF!</v>
      </c>
      <c r="BD235" s="4" t="e">
        <f>BC235/VLOOKUP(A235,'[57]geoMap (54)'!$A:$B,2,0)*VLOOKUP(A235,'[57]geoMap (54)'!$A:$C,3,0)</f>
        <v>#REF!</v>
      </c>
      <c r="BE235" s="1" t="e">
        <f>BD235/VLOOKUP(A235,'[58]geoMap (55)'!$A:$B,2,0)*VLOOKUP(A235,'[58]geoMap (55)'!$A:$C,3,0)</f>
        <v>#REF!</v>
      </c>
      <c r="BF235" s="4" t="e">
        <f>BE235/VLOOKUP(A235,'[59]geoMap (56)'!$A:$B,2,0)*VLOOKUP(A235,'[59]geoMap (56)'!$A:$C,3,0)</f>
        <v>#REF!</v>
      </c>
      <c r="BG235" s="1" t="e">
        <f>BF235/VLOOKUP(A235,'[60]geoMap (57)'!$A:$B,2,0)*VLOOKUP(A235,'[60]geoMap (57)'!$A:$C,3,0)</f>
        <v>#REF!</v>
      </c>
      <c r="BH235" s="4" t="e">
        <f>BG235/VLOOKUP(A235,'[61]geoMap (58)'!$A:$B,2,0)*VLOOKUP(A235,'[61]geoMap (58)'!$A:$C,3,0)</f>
        <v>#REF!</v>
      </c>
      <c r="BI235" s="1" t="e">
        <f>BH235/VLOOKUP(A235,'[62]geoMap (59)'!$A:$B,2,0)*VLOOKUP(A235,'[62]geoMap (59)'!$A:$C,3,0)</f>
        <v>#REF!</v>
      </c>
      <c r="BJ235" s="4" t="e">
        <f>BI235/VLOOKUP(A235,'[63]geoMap (60)'!$A:$B,2,0)*VLOOKUP(A235,'[63]geoMap (60)'!$A:$C,3,0)</f>
        <v>#REF!</v>
      </c>
      <c r="BK235" s="1" t="e">
        <f>BJ235/VLOOKUP(A235,'[64]geoMap (61)'!$A:$B,2,0)*VLOOKUP(A235,'[64]geoMap (61)'!$A:$C,3,0)</f>
        <v>#REF!</v>
      </c>
      <c r="BL235" s="4" t="e">
        <f>BK235/VLOOKUP(A235,'[65]geoMap (62)'!$A:$B,2,0)*VLOOKUP(A235,'[65]geoMap (62)'!$A:$C,3,0)</f>
        <v>#REF!</v>
      </c>
      <c r="BM235" s="1" t="e">
        <f>BL235/VLOOKUP(A235,'[66]geoMap (63)'!$A:$B,2,0)*VLOOKUP(A235,'[66]geoMap (63)'!$A:$C,3,0)</f>
        <v>#REF!</v>
      </c>
      <c r="BN235" s="4" t="e">
        <f>BM235/VLOOKUP(A235,'[67]geoMap (64)'!$A:$B,2,0)*VLOOKUP(A235,'[67]geoMap (64)'!$A:$C,3,0)</f>
        <v>#REF!</v>
      </c>
      <c r="BO235" s="1" t="e">
        <f>BN235/VLOOKUP(A235,'[68]geoMap (65)'!$A:$B,2,0)*VLOOKUP(A235,'[68]geoMap (65)'!$A:$C,3,0)</f>
        <v>#REF!</v>
      </c>
      <c r="BP235" s="4" t="e">
        <f>BO235/VLOOKUP(A235,'[69]geoMap (66)'!$A:$B,2,0)*VLOOKUP(A235,'[69]geoMap (66)'!$A:$C,3,0)</f>
        <v>#REF!</v>
      </c>
    </row>
    <row r="236" spans="1:68" x14ac:dyDescent="0.2">
      <c r="A236" s="1" t="s">
        <v>238</v>
      </c>
      <c r="B236" s="1" t="e">
        <f>VLOOKUP(A236,[3]geoMap!$A:$B,2,0)*Notes!$C$6</f>
        <v>#REF!</v>
      </c>
      <c r="C236" s="1" t="e">
        <f>B236/VLOOKUP(A236,'[4]geoMap (1)'!$A:$B,2,0)*VLOOKUP(A236,'[4]geoMap (1)'!$A:$C,3,0)</f>
        <v>#REF!</v>
      </c>
      <c r="D236" s="1" t="e">
        <f>C236/VLOOKUP(A236,'[5]geoMap (2)'!$A:$B,2,0)*VLOOKUP(A236,'[5]geoMap (2)'!$A:$C,3,0)</f>
        <v>#REF!</v>
      </c>
      <c r="E236" s="1" t="e">
        <f>D236/VLOOKUP(A236,'[6]geoMap (3)'!$A:$B,2,0)*VLOOKUP(A236,'[6]geoMap (3)'!$A:$C,3,0)</f>
        <v>#REF!</v>
      </c>
      <c r="F236" s="1" t="e">
        <f>E236/VLOOKUP(A236,'[7]geoMap (4)'!$A:$B,2,0)*VLOOKUP(A236,'[7]geoMap (4)'!$A:$C,3,0)</f>
        <v>#REF!</v>
      </c>
      <c r="G236" s="1" t="e">
        <f>F236/VLOOKUP(A236,'[8]geoMap (5)'!$A:$B,2,0)*VLOOKUP(A236,'[8]geoMap (5)'!$A:$C,3,0)</f>
        <v>#REF!</v>
      </c>
      <c r="H236" s="1" t="e">
        <f>G236/VLOOKUP(A236,'[9]geoMap (6)'!$A:$B,2,0)*VLOOKUP(A236,'[9]geoMap (6)'!$A:$C,3,0)</f>
        <v>#REF!</v>
      </c>
      <c r="I236" s="1" t="e">
        <f>H236/VLOOKUP(A236,'[10]geoMap (7)'!$A:$B,2,0)*VLOOKUP(A236,'[10]geoMap (7)'!$A:$C,3,0)</f>
        <v>#REF!</v>
      </c>
      <c r="J236" s="1" t="e">
        <f>I236/VLOOKUP(A236,'[11]geoMap (8)'!$A:$B,2,0)*VLOOKUP(A236,'[11]geoMap (8)'!$A:$C,3,0)</f>
        <v>#REF!</v>
      </c>
      <c r="K236" s="1" t="e">
        <f>J236/VLOOKUP(A236,'[12]geoMap (9)'!$A:$B,2,0)*VLOOKUP(A236,'[12]geoMap (9)'!$A:$C,3,0)</f>
        <v>#REF!</v>
      </c>
      <c r="L236" s="1" t="e">
        <f>K236/VLOOKUP(A236,'[13]geoMap (10)'!$A:$B,2,0)*VLOOKUP(A236,'[13]geoMap (10)'!$A:$C,3,0)</f>
        <v>#REF!</v>
      </c>
      <c r="M236" s="1" t="e">
        <f>L236/VLOOKUP(A236,'[14]geoMap (11)'!$A:$B,2,0)*VLOOKUP(A236,'[14]geoMap (11)'!$A:$C,3,0)</f>
        <v>#REF!</v>
      </c>
      <c r="N236" s="1" t="e">
        <f>M236/VLOOKUP(A236,'[15]geoMap (12)'!$A:$B,2,0)*VLOOKUP(A236,'[15]geoMap (12)'!$A:$C,3,0)</f>
        <v>#REF!</v>
      </c>
      <c r="O236" s="1" t="e">
        <f>N236/VLOOKUP(A236,'[16]geoMap (13)'!$A:$B,2,0)*VLOOKUP(A236,'[16]geoMap (13)'!$A:$C,3,0)</f>
        <v>#REF!</v>
      </c>
      <c r="P236" s="1" t="e">
        <f>O236/VLOOKUP(A236,'[17]geoMap (14)'!$A:$B,2,0)*VLOOKUP(A236,'[17]geoMap (14)'!$A:$C,3,0)</f>
        <v>#REF!</v>
      </c>
      <c r="Q236" s="1" t="e">
        <f>P236/VLOOKUP(A236,'[18]geoMap (15)'!$A:$B,2,0)*VLOOKUP(A236,'[18]geoMap (15)'!$A:$C,3,0)</f>
        <v>#REF!</v>
      </c>
      <c r="R236" s="1" t="e">
        <f>Q236/VLOOKUP(A236,'[19]geoMap (16)'!$A:$B,2,0)*VLOOKUP(A236,'[19]geoMap (16)'!$A:$C,3,0)</f>
        <v>#REF!</v>
      </c>
      <c r="S236" s="1" t="e">
        <f>R236/VLOOKUP(A236,'[20]geoMap (17)'!$A:$B,2,0)*VLOOKUP(A236,'[20]geoMap (17)'!$A:$C,3,0)</f>
        <v>#REF!</v>
      </c>
      <c r="T236" s="1" t="e">
        <f>S236/VLOOKUP(A236,'[21]geoMap (18)'!$A:$B,2,0)*VLOOKUP(A236,'[21]geoMap (18)'!$A:$C,3,0)</f>
        <v>#REF!</v>
      </c>
      <c r="U236" s="1" t="e">
        <f>T236/VLOOKUP(A236,'[22]geoMap (19)'!$A:$B,2,0)*VLOOKUP(A236,'[22]geoMap (19)'!$A:$C,3,0)</f>
        <v>#REF!</v>
      </c>
      <c r="V236" s="1" t="e">
        <f>U236/VLOOKUP(A236,'[23]geoMap (20)'!$A:$B,2,0)*VLOOKUP(A236,'[23]geoMap (20)'!$A:$C,3,0)</f>
        <v>#REF!</v>
      </c>
      <c r="W236" s="1" t="e">
        <f>V236/VLOOKUP(A236,'[24]geoMap (21)'!$A:$B,2,0)*VLOOKUP(A236,'[24]geoMap (21)'!$A:$C,3,0)</f>
        <v>#REF!</v>
      </c>
      <c r="X236" s="1" t="e">
        <f>W236/VLOOKUP(A236,'[25]geoMap (22)'!$A:$B,2,0)*VLOOKUP(A236,'[25]geoMap (22)'!$A:$C,3,0)</f>
        <v>#REF!</v>
      </c>
      <c r="Y236" s="1" t="e">
        <f>X236/VLOOKUP(A236,'[26]geoMap (23)'!$A:$B,2,0)*VLOOKUP(A236,'[26]geoMap (23)'!$A:$C,3,0)</f>
        <v>#REF!</v>
      </c>
      <c r="Z236" s="1" t="e">
        <f>Y236/VLOOKUP(A236,'[27]geoMap (24)'!$A:$B,2,0)*VLOOKUP(A236,'[27]geoMap (24)'!$A:$C,3,0)</f>
        <v>#REF!</v>
      </c>
      <c r="AA236" s="1" t="e">
        <f>Z236/VLOOKUP(A236,'[28]geoMap (25)'!$A:$B,2,0)*VLOOKUP(A236,'[28]geoMap (25)'!$A:$C,3,0)</f>
        <v>#REF!</v>
      </c>
      <c r="AB236" s="1" t="e">
        <f>AA236*VLOOKUP(A236,'[29]geoMap (26)'!$A:$B,2,0)*VLOOKUP(A236,'[29]geoMap (26)'!$A:$C,3,0)</f>
        <v>#REF!</v>
      </c>
      <c r="AC236" s="1" t="e">
        <f>AB236/VLOOKUP(A236,'[30]geoMap (27)'!$A:$B,2,0)*VLOOKUP(A236,'[30]geoMap (27)'!$A:$C,3,0)</f>
        <v>#REF!</v>
      </c>
      <c r="AD236" s="1" t="e">
        <f>AC236/VLOOKUP(A236,'[31]geoMap (28)'!$A:$B,2,0)*VLOOKUP(A236,'[31]geoMap (28)'!$A:$C,3,0)</f>
        <v>#REF!</v>
      </c>
      <c r="AE236" s="1" t="e">
        <f>AD236/VLOOKUP(A236,'[32]geoMap (29)'!$A:$B,2,0)*VLOOKUP(A236,'[32]geoMap (29)'!$A:$C,3,0)</f>
        <v>#REF!</v>
      </c>
      <c r="AF236" s="1" t="e">
        <f>AE236/VLOOKUP(A236,'[33]geoMap (30)'!$A:$B,2,0)*VLOOKUP(A236,'[33]geoMap (30)'!$A:$C,3,0)</f>
        <v>#REF!</v>
      </c>
      <c r="AG236" s="1" t="e">
        <f>AF236/VLOOKUP(A236,'[34]geoMap (31)'!$A:$B,2,0)*VLOOKUP(A236,'[34]geoMap (31)'!$A:$C,3,0)</f>
        <v>#REF!</v>
      </c>
      <c r="AH236" s="1" t="e">
        <f>AG236/VLOOKUP(A236,'[35]geoMap (32)'!$A:$B,2,0)*VLOOKUP(A236,'[35]geoMap (32)'!$A:$C,3,0)</f>
        <v>#REF!</v>
      </c>
      <c r="AI236" s="1" t="e">
        <f>AH236/VLOOKUP(A236,'[36]geoMap (33)'!$A:$B,2,0)*VLOOKUP(A236,'[36]geoMap (33)'!$A:$C,3,0)</f>
        <v>#REF!</v>
      </c>
      <c r="AJ236" s="1" t="e">
        <f>AI236/VLOOKUP(A236,'[37]geoMap (34)'!$A:$B,2,0)*VLOOKUP(A236,'[37]geoMap (34)'!$A:$C,3,0)</f>
        <v>#REF!</v>
      </c>
      <c r="AK236" s="1" t="e">
        <f>AJ236/VLOOKUP(A236,'[38]geoMap (35)'!$A:$B,2,0)*VLOOKUP(A236,'[38]geoMap (35)'!$A:$C,3,0)</f>
        <v>#REF!</v>
      </c>
      <c r="AL236" s="1" t="e">
        <f>AK236/VLOOKUP(A236,'[39]geoMap (36)'!$A:$B,2,0)*VLOOKUP(A236,'[39]geoMap (36)'!$A:$C,3,0)</f>
        <v>#REF!</v>
      </c>
      <c r="AM236" s="1" t="e">
        <f>AL236/VLOOKUP(A236,'[40]geoMap (37)'!$A:$B,2,0)*VLOOKUP(A236,'[40]geoMap (37)'!$A:$C,3,0)</f>
        <v>#REF!</v>
      </c>
      <c r="AN236" s="1" t="e">
        <f>AM236/VLOOKUP(A236,'[41]geoMap (38)'!$A:$B,2,0)*VLOOKUP(A236,'[41]geoMap (38)'!$A:$C,3,0)</f>
        <v>#REF!</v>
      </c>
      <c r="AO236" s="1" t="e">
        <f>AN236/VLOOKUP(A236,'[42]geoMap (39)'!$A:$B,2,0)*VLOOKUP(A236,'[42]geoMap (39)'!$A:$C,3,0)</f>
        <v>#REF!</v>
      </c>
      <c r="AP236" s="1" t="e">
        <f>AO236/VLOOKUP(A236,'[43]geoMap (40)'!$A:$B,2,0)*VLOOKUP(A236,'[43]geoMap (40)'!$A:$C,3,0)</f>
        <v>#REF!</v>
      </c>
      <c r="AQ236" s="1" t="e">
        <f>AP236/VLOOKUP(A236,'[44]geoMap (41)'!$A:$B,2,0)*VLOOKUP(A236,'[44]geoMap (41)'!$A:$C,3,0)</f>
        <v>#REF!</v>
      </c>
      <c r="AR236" s="1" t="e">
        <f>AQ236/VLOOKUP(A236,'[45]geoMap (42)'!$A:$B,2,0)*VLOOKUP(A236,'[45]geoMap (42)'!$A:$C,3,0)</f>
        <v>#REF!</v>
      </c>
      <c r="AS236" s="1" t="e">
        <f>AR236/VLOOKUP(A236,'[46]geoMap (43)'!$A:$B,2,0)*VLOOKUP(A236,'[46]geoMap (43)'!$A:$C,3,0)</f>
        <v>#REF!</v>
      </c>
      <c r="AT236" s="1" t="e">
        <f>AS236/VLOOKUP(A236,'[47]geoMap (44)'!$A:$B,2,0)*VLOOKUP(A236,'[47]geoMap (44)'!$A:$C,3,0)</f>
        <v>#REF!</v>
      </c>
      <c r="AU236" s="1" t="e">
        <f>AT236/VLOOKUP(A236,'[48]geoMap (45)'!$A:$B,2,0)*VLOOKUP(A236,'[48]geoMap (45)'!$A:$C,3,0)</f>
        <v>#REF!</v>
      </c>
      <c r="AV236" s="1" t="e">
        <f>AU236/VLOOKUP(A236,'[49]geoMap (46)'!$A:$B,2,0)*VLOOKUP(A236,'[49]geoMap (46)'!$A:$C,3,0)</f>
        <v>#REF!</v>
      </c>
      <c r="AW236" s="1" t="e">
        <f>AV236/VLOOKUP(A236,'[50]geoMap (47)'!$A:$B,2,0)*VLOOKUP(A236,'[50]geoMap (47)'!$A:$C,3,0)</f>
        <v>#REF!</v>
      </c>
      <c r="AX236" s="4" t="e">
        <f>AW236/VLOOKUP(A236,'[51]geoMap (48)'!$A:$B,2,0)*VLOOKUP(A236,'[51]geoMap (48)'!$A:$C,3,0)</f>
        <v>#REF!</v>
      </c>
      <c r="AY236" s="1" t="e">
        <f>AX236/VLOOKUP(A236,'[52]geoMap (49)'!$A:$B,2,0)*VLOOKUP(A236,'[52]geoMap (49)'!$A:$C,3,0)</f>
        <v>#REF!</v>
      </c>
      <c r="AZ236" s="4" t="e">
        <f>AY236/VLOOKUP(A236,'[53]geoMap (50)'!$A:$B,2,0)*VLOOKUP(A236,'[53]geoMap (50)'!$A:$C,3,0)</f>
        <v>#REF!</v>
      </c>
      <c r="BA236" s="1" t="e">
        <f>AZ236/VLOOKUP(A236,'[54]geoMap (51)'!$A:$B,2,0)*VLOOKUP(A236,'[54]geoMap (51)'!$A:$C,3,0)</f>
        <v>#REF!</v>
      </c>
      <c r="BB236" s="4" t="e">
        <f>BA236/VLOOKUP(A236,'[55]geoMap (52)'!$A:$B,2,0)*VLOOKUP(A236,'[55]geoMap (52)'!$A:$C,3,0)</f>
        <v>#REF!</v>
      </c>
      <c r="BC236" s="1" t="e">
        <f>BB236/VLOOKUP(A236,'[56]geoMap (53)'!$A:$B,2,0)*VLOOKUP(A236,'[56]geoMap (53)'!$A:$C,3,0)</f>
        <v>#REF!</v>
      </c>
      <c r="BD236" s="4" t="e">
        <f>BC236/VLOOKUP(A236,'[57]geoMap (54)'!$A:$B,2,0)*VLOOKUP(A236,'[57]geoMap (54)'!$A:$C,3,0)</f>
        <v>#REF!</v>
      </c>
      <c r="BE236" s="1" t="e">
        <f>BD236/VLOOKUP(A236,'[58]geoMap (55)'!$A:$B,2,0)*VLOOKUP(A236,'[58]geoMap (55)'!$A:$C,3,0)</f>
        <v>#REF!</v>
      </c>
      <c r="BF236" s="4" t="e">
        <f>BE236/VLOOKUP(A236,'[59]geoMap (56)'!$A:$B,2,0)*VLOOKUP(A236,'[59]geoMap (56)'!$A:$C,3,0)</f>
        <v>#REF!</v>
      </c>
      <c r="BG236" s="1" t="e">
        <f>BF236/VLOOKUP(A236,'[60]geoMap (57)'!$A:$B,2,0)*VLOOKUP(A236,'[60]geoMap (57)'!$A:$C,3,0)</f>
        <v>#REF!</v>
      </c>
      <c r="BH236" s="4" t="e">
        <f>BG236/VLOOKUP(A236,'[61]geoMap (58)'!$A:$B,2,0)*VLOOKUP(A236,'[61]geoMap (58)'!$A:$C,3,0)</f>
        <v>#REF!</v>
      </c>
      <c r="BI236" s="1" t="e">
        <f>BH236/VLOOKUP(A236,'[62]geoMap (59)'!$A:$B,2,0)*VLOOKUP(A236,'[62]geoMap (59)'!$A:$C,3,0)</f>
        <v>#REF!</v>
      </c>
      <c r="BJ236" s="4" t="e">
        <f>BI236/VLOOKUP(A236,'[63]geoMap (60)'!$A:$B,2,0)*VLOOKUP(A236,'[63]geoMap (60)'!$A:$C,3,0)</f>
        <v>#REF!</v>
      </c>
      <c r="BK236" s="1" t="e">
        <f>BJ236/VLOOKUP(A236,'[64]geoMap (61)'!$A:$B,2,0)*VLOOKUP(A236,'[64]geoMap (61)'!$A:$C,3,0)</f>
        <v>#REF!</v>
      </c>
      <c r="BL236" s="4" t="e">
        <f>BK236/VLOOKUP(A236,'[65]geoMap (62)'!$A:$B,2,0)*VLOOKUP(A236,'[65]geoMap (62)'!$A:$C,3,0)</f>
        <v>#REF!</v>
      </c>
      <c r="BM236" s="1" t="e">
        <f>BL236/VLOOKUP(A236,'[66]geoMap (63)'!$A:$B,2,0)*VLOOKUP(A236,'[66]geoMap (63)'!$A:$C,3,0)</f>
        <v>#REF!</v>
      </c>
      <c r="BN236" s="4" t="e">
        <f>BM236/VLOOKUP(A236,'[67]geoMap (64)'!$A:$B,2,0)*VLOOKUP(A236,'[67]geoMap (64)'!$A:$C,3,0)</f>
        <v>#REF!</v>
      </c>
      <c r="BO236" s="1" t="e">
        <f>BN236/VLOOKUP(A236,'[68]geoMap (65)'!$A:$B,2,0)*VLOOKUP(A236,'[68]geoMap (65)'!$A:$C,3,0)</f>
        <v>#REF!</v>
      </c>
      <c r="BP236" s="4" t="e">
        <f>BO236/VLOOKUP(A236,'[69]geoMap (66)'!$A:$B,2,0)*VLOOKUP(A236,'[69]geoMap (66)'!$A:$C,3,0)</f>
        <v>#REF!</v>
      </c>
    </row>
    <row r="237" spans="1:68" x14ac:dyDescent="0.2">
      <c r="A237" s="1" t="s">
        <v>239</v>
      </c>
      <c r="B237" s="1" t="e">
        <f>VLOOKUP(A237,[3]geoMap!$A:$B,2,0)*Notes!$C$6</f>
        <v>#REF!</v>
      </c>
      <c r="C237" s="1" t="e">
        <f>B237/VLOOKUP(A237,'[4]geoMap (1)'!$A:$B,2,0)*VLOOKUP(A237,'[4]geoMap (1)'!$A:$C,3,0)</f>
        <v>#REF!</v>
      </c>
      <c r="D237" s="1" t="e">
        <f>C237/VLOOKUP(A237,'[5]geoMap (2)'!$A:$B,2,0)*VLOOKUP(A237,'[5]geoMap (2)'!$A:$C,3,0)</f>
        <v>#REF!</v>
      </c>
      <c r="E237" s="1" t="e">
        <f>D237/VLOOKUP(A237,'[6]geoMap (3)'!$A:$B,2,0)*VLOOKUP(A237,'[6]geoMap (3)'!$A:$C,3,0)</f>
        <v>#REF!</v>
      </c>
      <c r="F237" s="1" t="e">
        <f>E237/VLOOKUP(A237,'[7]geoMap (4)'!$A:$B,2,0)*VLOOKUP(A237,'[7]geoMap (4)'!$A:$C,3,0)</f>
        <v>#REF!</v>
      </c>
      <c r="G237" s="1" t="e">
        <f>F237/VLOOKUP(A237,'[8]geoMap (5)'!$A:$B,2,0)*VLOOKUP(A237,'[8]geoMap (5)'!$A:$C,3,0)</f>
        <v>#REF!</v>
      </c>
      <c r="H237" s="1" t="e">
        <f>G237/VLOOKUP(A237,'[9]geoMap (6)'!$A:$B,2,0)*VLOOKUP(A237,'[9]geoMap (6)'!$A:$C,3,0)</f>
        <v>#REF!</v>
      </c>
      <c r="I237" s="1" t="e">
        <f>H237/VLOOKUP(A237,'[10]geoMap (7)'!$A:$B,2,0)*VLOOKUP(A237,'[10]geoMap (7)'!$A:$C,3,0)</f>
        <v>#REF!</v>
      </c>
      <c r="J237" s="1" t="e">
        <f>I237/VLOOKUP(A237,'[11]geoMap (8)'!$A:$B,2,0)*VLOOKUP(A237,'[11]geoMap (8)'!$A:$C,3,0)</f>
        <v>#REF!</v>
      </c>
      <c r="K237" s="1" t="e">
        <f>J237/VLOOKUP(A237,'[12]geoMap (9)'!$A:$B,2,0)*VLOOKUP(A237,'[12]geoMap (9)'!$A:$C,3,0)</f>
        <v>#REF!</v>
      </c>
      <c r="L237" s="1" t="e">
        <f>K237/VLOOKUP(A237,'[13]geoMap (10)'!$A:$B,2,0)*VLOOKUP(A237,'[13]geoMap (10)'!$A:$C,3,0)</f>
        <v>#REF!</v>
      </c>
      <c r="M237" s="1" t="e">
        <f>L237/VLOOKUP(A237,'[14]geoMap (11)'!$A:$B,2,0)*VLOOKUP(A237,'[14]geoMap (11)'!$A:$C,3,0)</f>
        <v>#REF!</v>
      </c>
      <c r="N237" s="1" t="e">
        <f>M237/VLOOKUP(A237,'[15]geoMap (12)'!$A:$B,2,0)*VLOOKUP(A237,'[15]geoMap (12)'!$A:$C,3,0)</f>
        <v>#REF!</v>
      </c>
      <c r="O237" s="1" t="e">
        <f>N237/VLOOKUP(A237,'[16]geoMap (13)'!$A:$B,2,0)*VLOOKUP(A237,'[16]geoMap (13)'!$A:$C,3,0)</f>
        <v>#REF!</v>
      </c>
      <c r="P237" s="1" t="e">
        <f>O237/VLOOKUP(A237,'[17]geoMap (14)'!$A:$B,2,0)*VLOOKUP(A237,'[17]geoMap (14)'!$A:$C,3,0)</f>
        <v>#REF!</v>
      </c>
      <c r="Q237" s="1" t="e">
        <f>P237/VLOOKUP(A237,'[18]geoMap (15)'!$A:$B,2,0)*VLOOKUP(A237,'[18]geoMap (15)'!$A:$C,3,0)</f>
        <v>#REF!</v>
      </c>
      <c r="R237" s="1" t="e">
        <f>Q237/VLOOKUP(A237,'[19]geoMap (16)'!$A:$B,2,0)*VLOOKUP(A237,'[19]geoMap (16)'!$A:$C,3,0)</f>
        <v>#REF!</v>
      </c>
      <c r="S237" s="1" t="e">
        <f>R237/VLOOKUP(A237,'[20]geoMap (17)'!$A:$B,2,0)*VLOOKUP(A237,'[20]geoMap (17)'!$A:$C,3,0)</f>
        <v>#REF!</v>
      </c>
      <c r="T237" s="1" t="e">
        <f>S237/VLOOKUP(A237,'[21]geoMap (18)'!$A:$B,2,0)*VLOOKUP(A237,'[21]geoMap (18)'!$A:$C,3,0)</f>
        <v>#REF!</v>
      </c>
      <c r="U237" s="1" t="e">
        <f>T237/VLOOKUP(A237,'[22]geoMap (19)'!$A:$B,2,0)*VLOOKUP(A237,'[22]geoMap (19)'!$A:$C,3,0)</f>
        <v>#REF!</v>
      </c>
      <c r="V237" s="1" t="e">
        <f>U237/VLOOKUP(A237,'[23]geoMap (20)'!$A:$B,2,0)*VLOOKUP(A237,'[23]geoMap (20)'!$A:$C,3,0)</f>
        <v>#REF!</v>
      </c>
      <c r="W237" s="1" t="e">
        <f>V237/VLOOKUP(A237,'[24]geoMap (21)'!$A:$B,2,0)*VLOOKUP(A237,'[24]geoMap (21)'!$A:$C,3,0)</f>
        <v>#REF!</v>
      </c>
      <c r="X237" s="1" t="e">
        <f>W237/VLOOKUP(A237,'[25]geoMap (22)'!$A:$B,2,0)*VLOOKUP(A237,'[25]geoMap (22)'!$A:$C,3,0)</f>
        <v>#REF!</v>
      </c>
      <c r="Y237" s="1" t="e">
        <f>X237/VLOOKUP(A237,'[26]geoMap (23)'!$A:$B,2,0)*VLOOKUP(A237,'[26]geoMap (23)'!$A:$C,3,0)</f>
        <v>#REF!</v>
      </c>
      <c r="Z237" s="1" t="e">
        <f>Y237/VLOOKUP(A237,'[27]geoMap (24)'!$A:$B,2,0)*VLOOKUP(A237,'[27]geoMap (24)'!$A:$C,3,0)</f>
        <v>#REF!</v>
      </c>
      <c r="AA237" s="1" t="e">
        <f>Z237/VLOOKUP(A237,'[28]geoMap (25)'!$A:$B,2,0)*VLOOKUP(A237,'[28]geoMap (25)'!$A:$C,3,0)</f>
        <v>#REF!</v>
      </c>
      <c r="AB237" s="1" t="e">
        <f>AA237*VLOOKUP(A237,'[29]geoMap (26)'!$A:$B,2,0)*VLOOKUP(A237,'[29]geoMap (26)'!$A:$C,3,0)</f>
        <v>#REF!</v>
      </c>
      <c r="AC237" s="1" t="e">
        <f>AB237/VLOOKUP(A237,'[30]geoMap (27)'!$A:$B,2,0)*VLOOKUP(A237,'[30]geoMap (27)'!$A:$C,3,0)</f>
        <v>#REF!</v>
      </c>
      <c r="AD237" s="1" t="e">
        <f>AC237/VLOOKUP(A237,'[31]geoMap (28)'!$A:$B,2,0)*VLOOKUP(A237,'[31]geoMap (28)'!$A:$C,3,0)</f>
        <v>#REF!</v>
      </c>
      <c r="AE237" s="1" t="e">
        <f>AD237/VLOOKUP(A237,'[32]geoMap (29)'!$A:$B,2,0)*VLOOKUP(A237,'[32]geoMap (29)'!$A:$C,3,0)</f>
        <v>#REF!</v>
      </c>
      <c r="AF237" s="1" t="e">
        <f>AE237/VLOOKUP(A237,'[33]geoMap (30)'!$A:$B,2,0)*VLOOKUP(A237,'[33]geoMap (30)'!$A:$C,3,0)</f>
        <v>#REF!</v>
      </c>
      <c r="AG237" s="1" t="e">
        <f>AF237/VLOOKUP(A237,'[34]geoMap (31)'!$A:$B,2,0)*VLOOKUP(A237,'[34]geoMap (31)'!$A:$C,3,0)</f>
        <v>#REF!</v>
      </c>
      <c r="AH237" s="1" t="e">
        <f>AG237/VLOOKUP(A237,'[35]geoMap (32)'!$A:$B,2,0)*VLOOKUP(A237,'[35]geoMap (32)'!$A:$C,3,0)</f>
        <v>#REF!</v>
      </c>
      <c r="AI237" s="1" t="e">
        <f>AH237/VLOOKUP(A237,'[36]geoMap (33)'!$A:$B,2,0)*VLOOKUP(A237,'[36]geoMap (33)'!$A:$C,3,0)</f>
        <v>#REF!</v>
      </c>
      <c r="AJ237" s="1" t="e">
        <f>AI237/VLOOKUP(A237,'[37]geoMap (34)'!$A:$B,2,0)*VLOOKUP(A237,'[37]geoMap (34)'!$A:$C,3,0)</f>
        <v>#REF!</v>
      </c>
      <c r="AK237" s="1" t="e">
        <f>AJ237/VLOOKUP(A237,'[38]geoMap (35)'!$A:$B,2,0)*VLOOKUP(A237,'[38]geoMap (35)'!$A:$C,3,0)</f>
        <v>#REF!</v>
      </c>
      <c r="AL237" s="1" t="e">
        <f>AK237/VLOOKUP(A237,'[39]geoMap (36)'!$A:$B,2,0)*VLOOKUP(A237,'[39]geoMap (36)'!$A:$C,3,0)</f>
        <v>#REF!</v>
      </c>
      <c r="AM237" s="1" t="e">
        <f>AL237/VLOOKUP(A237,'[40]geoMap (37)'!$A:$B,2,0)*VLOOKUP(A237,'[40]geoMap (37)'!$A:$C,3,0)</f>
        <v>#REF!</v>
      </c>
      <c r="AN237" s="1" t="e">
        <f>AM237/VLOOKUP(A237,'[41]geoMap (38)'!$A:$B,2,0)*VLOOKUP(A237,'[41]geoMap (38)'!$A:$C,3,0)</f>
        <v>#REF!</v>
      </c>
      <c r="AO237" s="1" t="e">
        <f>AN237/VLOOKUP(A237,'[42]geoMap (39)'!$A:$B,2,0)*VLOOKUP(A237,'[42]geoMap (39)'!$A:$C,3,0)</f>
        <v>#REF!</v>
      </c>
      <c r="AP237" s="1" t="e">
        <f>AO237/VLOOKUP(A237,'[43]geoMap (40)'!$A:$B,2,0)*VLOOKUP(A237,'[43]geoMap (40)'!$A:$C,3,0)</f>
        <v>#REF!</v>
      </c>
      <c r="AQ237" s="1" t="e">
        <f>AP237/VLOOKUP(A237,'[44]geoMap (41)'!$A:$B,2,0)*VLOOKUP(A237,'[44]geoMap (41)'!$A:$C,3,0)</f>
        <v>#REF!</v>
      </c>
      <c r="AR237" s="1" t="e">
        <f>AQ237/VLOOKUP(A237,'[45]geoMap (42)'!$A:$B,2,0)*VLOOKUP(A237,'[45]geoMap (42)'!$A:$C,3,0)</f>
        <v>#REF!</v>
      </c>
      <c r="AS237" s="1" t="e">
        <f>AR237/VLOOKUP(A237,'[46]geoMap (43)'!$A:$B,2,0)*VLOOKUP(A237,'[46]geoMap (43)'!$A:$C,3,0)</f>
        <v>#REF!</v>
      </c>
      <c r="AT237" s="1" t="e">
        <f>AS237/VLOOKUP(A237,'[47]geoMap (44)'!$A:$B,2,0)*VLOOKUP(A237,'[47]geoMap (44)'!$A:$C,3,0)</f>
        <v>#REF!</v>
      </c>
      <c r="AU237" s="1" t="e">
        <f>AT237/VLOOKUP(A237,'[48]geoMap (45)'!$A:$B,2,0)*VLOOKUP(A237,'[48]geoMap (45)'!$A:$C,3,0)</f>
        <v>#REF!</v>
      </c>
      <c r="AV237" s="1" t="e">
        <f>AU237/VLOOKUP(A237,'[49]geoMap (46)'!$A:$B,2,0)*VLOOKUP(A237,'[49]geoMap (46)'!$A:$C,3,0)</f>
        <v>#REF!</v>
      </c>
      <c r="AW237" s="1" t="e">
        <f>AV237/VLOOKUP(A237,'[50]geoMap (47)'!$A:$B,2,0)*VLOOKUP(A237,'[50]geoMap (47)'!$A:$C,3,0)</f>
        <v>#REF!</v>
      </c>
      <c r="AX237" s="4" t="e">
        <f>AW237/VLOOKUP(A237,'[51]geoMap (48)'!$A:$B,2,0)*VLOOKUP(A237,'[51]geoMap (48)'!$A:$C,3,0)</f>
        <v>#REF!</v>
      </c>
      <c r="AY237" s="1" t="e">
        <f>AX237/VLOOKUP(A237,'[52]geoMap (49)'!$A:$B,2,0)*VLOOKUP(A237,'[52]geoMap (49)'!$A:$C,3,0)</f>
        <v>#REF!</v>
      </c>
      <c r="AZ237" s="4" t="e">
        <f>AY237/VLOOKUP(A237,'[53]geoMap (50)'!$A:$B,2,0)*VLOOKUP(A237,'[53]geoMap (50)'!$A:$C,3,0)</f>
        <v>#REF!</v>
      </c>
      <c r="BA237" s="1" t="e">
        <f>AZ237/VLOOKUP(A237,'[54]geoMap (51)'!$A:$B,2,0)*VLOOKUP(A237,'[54]geoMap (51)'!$A:$C,3,0)</f>
        <v>#REF!</v>
      </c>
      <c r="BB237" s="4" t="e">
        <f>BA237/VLOOKUP(A237,'[55]geoMap (52)'!$A:$B,2,0)*VLOOKUP(A237,'[55]geoMap (52)'!$A:$C,3,0)</f>
        <v>#REF!</v>
      </c>
      <c r="BC237" s="1" t="e">
        <f>BB237/VLOOKUP(A237,'[56]geoMap (53)'!$A:$B,2,0)*VLOOKUP(A237,'[56]geoMap (53)'!$A:$C,3,0)</f>
        <v>#REF!</v>
      </c>
      <c r="BD237" s="4" t="e">
        <f>BC237/VLOOKUP(A237,'[57]geoMap (54)'!$A:$B,2,0)*VLOOKUP(A237,'[57]geoMap (54)'!$A:$C,3,0)</f>
        <v>#REF!</v>
      </c>
      <c r="BE237" s="1" t="e">
        <f>BD237/VLOOKUP(A237,'[58]geoMap (55)'!$A:$B,2,0)*VLOOKUP(A237,'[58]geoMap (55)'!$A:$C,3,0)</f>
        <v>#REF!</v>
      </c>
      <c r="BF237" s="4" t="e">
        <f>BE237/VLOOKUP(A237,'[59]geoMap (56)'!$A:$B,2,0)*VLOOKUP(A237,'[59]geoMap (56)'!$A:$C,3,0)</f>
        <v>#REF!</v>
      </c>
      <c r="BG237" s="1" t="e">
        <f>BF237/VLOOKUP(A237,'[60]geoMap (57)'!$A:$B,2,0)*VLOOKUP(A237,'[60]geoMap (57)'!$A:$C,3,0)</f>
        <v>#REF!</v>
      </c>
      <c r="BH237" s="4" t="e">
        <f>BG237/VLOOKUP(A237,'[61]geoMap (58)'!$A:$B,2,0)*VLOOKUP(A237,'[61]geoMap (58)'!$A:$C,3,0)</f>
        <v>#REF!</v>
      </c>
      <c r="BI237" s="1" t="e">
        <f>BH237/VLOOKUP(A237,'[62]geoMap (59)'!$A:$B,2,0)*VLOOKUP(A237,'[62]geoMap (59)'!$A:$C,3,0)</f>
        <v>#REF!</v>
      </c>
      <c r="BJ237" s="4" t="e">
        <f>BI237/VLOOKUP(A237,'[63]geoMap (60)'!$A:$B,2,0)*VLOOKUP(A237,'[63]geoMap (60)'!$A:$C,3,0)</f>
        <v>#REF!</v>
      </c>
      <c r="BK237" s="1" t="e">
        <f>BJ237/VLOOKUP(A237,'[64]geoMap (61)'!$A:$B,2,0)*VLOOKUP(A237,'[64]geoMap (61)'!$A:$C,3,0)</f>
        <v>#REF!</v>
      </c>
      <c r="BL237" s="4" t="e">
        <f>BK237/VLOOKUP(A237,'[65]geoMap (62)'!$A:$B,2,0)*VLOOKUP(A237,'[65]geoMap (62)'!$A:$C,3,0)</f>
        <v>#REF!</v>
      </c>
      <c r="BM237" s="1" t="e">
        <f>BL237/VLOOKUP(A237,'[66]geoMap (63)'!$A:$B,2,0)*VLOOKUP(A237,'[66]geoMap (63)'!$A:$C,3,0)</f>
        <v>#REF!</v>
      </c>
      <c r="BN237" s="4" t="e">
        <f>BM237/VLOOKUP(A237,'[67]geoMap (64)'!$A:$B,2,0)*VLOOKUP(A237,'[67]geoMap (64)'!$A:$C,3,0)</f>
        <v>#REF!</v>
      </c>
      <c r="BO237" s="1" t="e">
        <f>BN237/VLOOKUP(A237,'[68]geoMap (65)'!$A:$B,2,0)*VLOOKUP(A237,'[68]geoMap (65)'!$A:$C,3,0)</f>
        <v>#REF!</v>
      </c>
      <c r="BP237" s="4" t="e">
        <f>BO237/VLOOKUP(A237,'[69]geoMap (66)'!$A:$B,2,0)*VLOOKUP(A237,'[69]geoMap (66)'!$A:$C,3,0)</f>
        <v>#REF!</v>
      </c>
    </row>
    <row r="238" spans="1:68" x14ac:dyDescent="0.2">
      <c r="A238" s="1" t="s">
        <v>240</v>
      </c>
      <c r="B238" s="1" t="e">
        <f>VLOOKUP(A238,[3]geoMap!$A:$B,2,0)*Notes!$C$6</f>
        <v>#REF!</v>
      </c>
      <c r="C238" s="1" t="e">
        <f>B238/VLOOKUP(A238,'[4]geoMap (1)'!$A:$B,2,0)*VLOOKUP(A238,'[4]geoMap (1)'!$A:$C,3,0)</f>
        <v>#REF!</v>
      </c>
      <c r="D238" s="1" t="e">
        <f>C238/VLOOKUP(A238,'[5]geoMap (2)'!$A:$B,2,0)*VLOOKUP(A238,'[5]geoMap (2)'!$A:$C,3,0)</f>
        <v>#REF!</v>
      </c>
      <c r="E238" s="1" t="e">
        <f>D238/VLOOKUP(A238,'[6]geoMap (3)'!$A:$B,2,0)*VLOOKUP(A238,'[6]geoMap (3)'!$A:$C,3,0)</f>
        <v>#REF!</v>
      </c>
      <c r="F238" s="1" t="e">
        <f>E238/VLOOKUP(A238,'[7]geoMap (4)'!$A:$B,2,0)*VLOOKUP(A238,'[7]geoMap (4)'!$A:$C,3,0)</f>
        <v>#REF!</v>
      </c>
      <c r="G238" s="1" t="e">
        <f>F238/VLOOKUP(A238,'[8]geoMap (5)'!$A:$B,2,0)*VLOOKUP(A238,'[8]geoMap (5)'!$A:$C,3,0)</f>
        <v>#REF!</v>
      </c>
      <c r="H238" s="1" t="e">
        <f>G238/VLOOKUP(A238,'[9]geoMap (6)'!$A:$B,2,0)*VLOOKUP(A238,'[9]geoMap (6)'!$A:$C,3,0)</f>
        <v>#REF!</v>
      </c>
      <c r="I238" s="1" t="e">
        <f>H238/VLOOKUP(A238,'[10]geoMap (7)'!$A:$B,2,0)*VLOOKUP(A238,'[10]geoMap (7)'!$A:$C,3,0)</f>
        <v>#REF!</v>
      </c>
      <c r="J238" s="1" t="e">
        <f>I238/VLOOKUP(A238,'[11]geoMap (8)'!$A:$B,2,0)*VLOOKUP(A238,'[11]geoMap (8)'!$A:$C,3,0)</f>
        <v>#REF!</v>
      </c>
      <c r="K238" s="1" t="e">
        <f>J238/VLOOKUP(A238,'[12]geoMap (9)'!$A:$B,2,0)*VLOOKUP(A238,'[12]geoMap (9)'!$A:$C,3,0)</f>
        <v>#REF!</v>
      </c>
      <c r="L238" s="1" t="e">
        <f>K238/VLOOKUP(A238,'[13]geoMap (10)'!$A:$B,2,0)*VLOOKUP(A238,'[13]geoMap (10)'!$A:$C,3,0)</f>
        <v>#REF!</v>
      </c>
      <c r="M238" s="1" t="e">
        <f>L238/VLOOKUP(A238,'[14]geoMap (11)'!$A:$B,2,0)*VLOOKUP(A238,'[14]geoMap (11)'!$A:$C,3,0)</f>
        <v>#REF!</v>
      </c>
      <c r="N238" s="1" t="e">
        <f>M238/VLOOKUP(A238,'[15]geoMap (12)'!$A:$B,2,0)*VLOOKUP(A238,'[15]geoMap (12)'!$A:$C,3,0)</f>
        <v>#REF!</v>
      </c>
      <c r="O238" s="1" t="e">
        <f>N238/VLOOKUP(A238,'[16]geoMap (13)'!$A:$B,2,0)*VLOOKUP(A238,'[16]geoMap (13)'!$A:$C,3,0)</f>
        <v>#REF!</v>
      </c>
      <c r="P238" s="1" t="e">
        <f>O238/VLOOKUP(A238,'[17]geoMap (14)'!$A:$B,2,0)*VLOOKUP(A238,'[17]geoMap (14)'!$A:$C,3,0)</f>
        <v>#REF!</v>
      </c>
      <c r="Q238" s="1" t="e">
        <f>P238/VLOOKUP(A238,'[18]geoMap (15)'!$A:$B,2,0)*VLOOKUP(A238,'[18]geoMap (15)'!$A:$C,3,0)</f>
        <v>#REF!</v>
      </c>
      <c r="R238" s="1" t="e">
        <f>Q238/VLOOKUP(A238,'[19]geoMap (16)'!$A:$B,2,0)*VLOOKUP(A238,'[19]geoMap (16)'!$A:$C,3,0)</f>
        <v>#REF!</v>
      </c>
      <c r="S238" s="1" t="e">
        <f>R238/VLOOKUP(A238,'[20]geoMap (17)'!$A:$B,2,0)*VLOOKUP(A238,'[20]geoMap (17)'!$A:$C,3,0)</f>
        <v>#REF!</v>
      </c>
      <c r="T238" s="1" t="e">
        <f>S238/VLOOKUP(A238,'[21]geoMap (18)'!$A:$B,2,0)*VLOOKUP(A238,'[21]geoMap (18)'!$A:$C,3,0)</f>
        <v>#REF!</v>
      </c>
      <c r="U238" s="1" t="e">
        <f>T238/VLOOKUP(A238,'[22]geoMap (19)'!$A:$B,2,0)*VLOOKUP(A238,'[22]geoMap (19)'!$A:$C,3,0)</f>
        <v>#REF!</v>
      </c>
      <c r="V238" s="1" t="e">
        <f>U238/VLOOKUP(A238,'[23]geoMap (20)'!$A:$B,2,0)*VLOOKUP(A238,'[23]geoMap (20)'!$A:$C,3,0)</f>
        <v>#REF!</v>
      </c>
      <c r="W238" s="1" t="e">
        <f>V238/VLOOKUP(A238,'[24]geoMap (21)'!$A:$B,2,0)*VLOOKUP(A238,'[24]geoMap (21)'!$A:$C,3,0)</f>
        <v>#REF!</v>
      </c>
      <c r="X238" s="1" t="e">
        <f>W238/VLOOKUP(A238,'[25]geoMap (22)'!$A:$B,2,0)*VLOOKUP(A238,'[25]geoMap (22)'!$A:$C,3,0)</f>
        <v>#REF!</v>
      </c>
      <c r="Y238" s="1" t="e">
        <f>X238/VLOOKUP(A238,'[26]geoMap (23)'!$A:$B,2,0)*VLOOKUP(A238,'[26]geoMap (23)'!$A:$C,3,0)</f>
        <v>#REF!</v>
      </c>
      <c r="Z238" s="1" t="e">
        <f>Y238/VLOOKUP(A238,'[27]geoMap (24)'!$A:$B,2,0)*VLOOKUP(A238,'[27]geoMap (24)'!$A:$C,3,0)</f>
        <v>#REF!</v>
      </c>
      <c r="AA238" s="1" t="e">
        <f>Z238/VLOOKUP(A238,'[28]geoMap (25)'!$A:$B,2,0)*VLOOKUP(A238,'[28]geoMap (25)'!$A:$C,3,0)</f>
        <v>#REF!</v>
      </c>
      <c r="AB238" s="1" t="e">
        <f>AA238*VLOOKUP(A238,'[29]geoMap (26)'!$A:$B,2,0)*VLOOKUP(A238,'[29]geoMap (26)'!$A:$C,3,0)</f>
        <v>#REF!</v>
      </c>
      <c r="AC238" s="1" t="e">
        <f>AB238/VLOOKUP(A238,'[30]geoMap (27)'!$A:$B,2,0)*VLOOKUP(A238,'[30]geoMap (27)'!$A:$C,3,0)</f>
        <v>#REF!</v>
      </c>
      <c r="AD238" s="1" t="e">
        <f>AC238/VLOOKUP(A238,'[31]geoMap (28)'!$A:$B,2,0)*VLOOKUP(A238,'[31]geoMap (28)'!$A:$C,3,0)</f>
        <v>#REF!</v>
      </c>
      <c r="AE238" s="1" t="e">
        <f>AD238/VLOOKUP(A238,'[32]geoMap (29)'!$A:$B,2,0)*VLOOKUP(A238,'[32]geoMap (29)'!$A:$C,3,0)</f>
        <v>#REF!</v>
      </c>
      <c r="AF238" s="1" t="e">
        <f>AE238/VLOOKUP(A238,'[33]geoMap (30)'!$A:$B,2,0)*VLOOKUP(A238,'[33]geoMap (30)'!$A:$C,3,0)</f>
        <v>#REF!</v>
      </c>
      <c r="AG238" s="1" t="e">
        <f>AF238/VLOOKUP(A238,'[34]geoMap (31)'!$A:$B,2,0)*VLOOKUP(A238,'[34]geoMap (31)'!$A:$C,3,0)</f>
        <v>#REF!</v>
      </c>
      <c r="AH238" s="1" t="e">
        <f>AG238/VLOOKUP(A238,'[35]geoMap (32)'!$A:$B,2,0)*VLOOKUP(A238,'[35]geoMap (32)'!$A:$C,3,0)</f>
        <v>#REF!</v>
      </c>
      <c r="AI238" s="1" t="e">
        <f>AH238/VLOOKUP(A238,'[36]geoMap (33)'!$A:$B,2,0)*VLOOKUP(A238,'[36]geoMap (33)'!$A:$C,3,0)</f>
        <v>#REF!</v>
      </c>
      <c r="AJ238" s="1" t="e">
        <f>AI238/VLOOKUP(A238,'[37]geoMap (34)'!$A:$B,2,0)*VLOOKUP(A238,'[37]geoMap (34)'!$A:$C,3,0)</f>
        <v>#REF!</v>
      </c>
      <c r="AK238" s="1" t="e">
        <f>AJ238/VLOOKUP(A238,'[38]geoMap (35)'!$A:$B,2,0)*VLOOKUP(A238,'[38]geoMap (35)'!$A:$C,3,0)</f>
        <v>#REF!</v>
      </c>
      <c r="AL238" s="1" t="e">
        <f>AK238/VLOOKUP(A238,'[39]geoMap (36)'!$A:$B,2,0)*VLOOKUP(A238,'[39]geoMap (36)'!$A:$C,3,0)</f>
        <v>#REF!</v>
      </c>
      <c r="AM238" s="1" t="e">
        <f>AL238/VLOOKUP(A238,'[40]geoMap (37)'!$A:$B,2,0)*VLOOKUP(A238,'[40]geoMap (37)'!$A:$C,3,0)</f>
        <v>#REF!</v>
      </c>
      <c r="AN238" s="1" t="e">
        <f>AM238/VLOOKUP(A238,'[41]geoMap (38)'!$A:$B,2,0)*VLOOKUP(A238,'[41]geoMap (38)'!$A:$C,3,0)</f>
        <v>#REF!</v>
      </c>
      <c r="AO238" s="1" t="e">
        <f>AN238/VLOOKUP(A238,'[42]geoMap (39)'!$A:$B,2,0)*VLOOKUP(A238,'[42]geoMap (39)'!$A:$C,3,0)</f>
        <v>#REF!</v>
      </c>
      <c r="AP238" s="1" t="e">
        <f>AO238/VLOOKUP(A238,'[43]geoMap (40)'!$A:$B,2,0)*VLOOKUP(A238,'[43]geoMap (40)'!$A:$C,3,0)</f>
        <v>#REF!</v>
      </c>
      <c r="AQ238" s="1" t="e">
        <f>AP238/VLOOKUP(A238,'[44]geoMap (41)'!$A:$B,2,0)*VLOOKUP(A238,'[44]geoMap (41)'!$A:$C,3,0)</f>
        <v>#REF!</v>
      </c>
      <c r="AR238" s="1" t="e">
        <f>AQ238/VLOOKUP(A238,'[45]geoMap (42)'!$A:$B,2,0)*VLOOKUP(A238,'[45]geoMap (42)'!$A:$C,3,0)</f>
        <v>#REF!</v>
      </c>
      <c r="AS238" s="1" t="e">
        <f>AR238/VLOOKUP(A238,'[46]geoMap (43)'!$A:$B,2,0)*VLOOKUP(A238,'[46]geoMap (43)'!$A:$C,3,0)</f>
        <v>#REF!</v>
      </c>
      <c r="AT238" s="1" t="e">
        <f>AS238/VLOOKUP(A238,'[47]geoMap (44)'!$A:$B,2,0)*VLOOKUP(A238,'[47]geoMap (44)'!$A:$C,3,0)</f>
        <v>#REF!</v>
      </c>
      <c r="AU238" s="1" t="e">
        <f>AT238/VLOOKUP(A238,'[48]geoMap (45)'!$A:$B,2,0)*VLOOKUP(A238,'[48]geoMap (45)'!$A:$C,3,0)</f>
        <v>#REF!</v>
      </c>
      <c r="AV238" s="1" t="e">
        <f>AU238/VLOOKUP(A238,'[49]geoMap (46)'!$A:$B,2,0)*VLOOKUP(A238,'[49]geoMap (46)'!$A:$C,3,0)</f>
        <v>#REF!</v>
      </c>
      <c r="AW238" s="1" t="e">
        <f>AV238/VLOOKUP(A238,'[50]geoMap (47)'!$A:$B,2,0)*VLOOKUP(A238,'[50]geoMap (47)'!$A:$C,3,0)</f>
        <v>#REF!</v>
      </c>
      <c r="AX238" s="4" t="e">
        <f>AW238/VLOOKUP(A238,'[51]geoMap (48)'!$A:$B,2,0)*VLOOKUP(A238,'[51]geoMap (48)'!$A:$C,3,0)</f>
        <v>#REF!</v>
      </c>
      <c r="AY238" s="1" t="e">
        <f>AX238/VLOOKUP(A238,'[52]geoMap (49)'!$A:$B,2,0)*VLOOKUP(A238,'[52]geoMap (49)'!$A:$C,3,0)</f>
        <v>#REF!</v>
      </c>
      <c r="AZ238" s="4" t="e">
        <f>AY238/VLOOKUP(A238,'[53]geoMap (50)'!$A:$B,2,0)*VLOOKUP(A238,'[53]geoMap (50)'!$A:$C,3,0)</f>
        <v>#REF!</v>
      </c>
      <c r="BA238" s="1" t="e">
        <f>AZ238/VLOOKUP(A238,'[54]geoMap (51)'!$A:$B,2,0)*VLOOKUP(A238,'[54]geoMap (51)'!$A:$C,3,0)</f>
        <v>#REF!</v>
      </c>
      <c r="BB238" s="4" t="e">
        <f>BA238/VLOOKUP(A238,'[55]geoMap (52)'!$A:$B,2,0)*VLOOKUP(A238,'[55]geoMap (52)'!$A:$C,3,0)</f>
        <v>#REF!</v>
      </c>
      <c r="BC238" s="1" t="e">
        <f>BB238/VLOOKUP(A238,'[56]geoMap (53)'!$A:$B,2,0)*VLOOKUP(A238,'[56]geoMap (53)'!$A:$C,3,0)</f>
        <v>#REF!</v>
      </c>
      <c r="BD238" s="4" t="e">
        <f>BC238/VLOOKUP(A238,'[57]geoMap (54)'!$A:$B,2,0)*VLOOKUP(A238,'[57]geoMap (54)'!$A:$C,3,0)</f>
        <v>#REF!</v>
      </c>
      <c r="BE238" s="1" t="e">
        <f>BD238/VLOOKUP(A238,'[58]geoMap (55)'!$A:$B,2,0)*VLOOKUP(A238,'[58]geoMap (55)'!$A:$C,3,0)</f>
        <v>#REF!</v>
      </c>
      <c r="BF238" s="4" t="e">
        <f>BE238/VLOOKUP(A238,'[59]geoMap (56)'!$A:$B,2,0)*VLOOKUP(A238,'[59]geoMap (56)'!$A:$C,3,0)</f>
        <v>#REF!</v>
      </c>
      <c r="BG238" s="1" t="e">
        <f>BF238/VLOOKUP(A238,'[60]geoMap (57)'!$A:$B,2,0)*VLOOKUP(A238,'[60]geoMap (57)'!$A:$C,3,0)</f>
        <v>#REF!</v>
      </c>
      <c r="BH238" s="4" t="e">
        <f>BG238/VLOOKUP(A238,'[61]geoMap (58)'!$A:$B,2,0)*VLOOKUP(A238,'[61]geoMap (58)'!$A:$C,3,0)</f>
        <v>#REF!</v>
      </c>
      <c r="BI238" s="1" t="e">
        <f>BH238/VLOOKUP(A238,'[62]geoMap (59)'!$A:$B,2,0)*VLOOKUP(A238,'[62]geoMap (59)'!$A:$C,3,0)</f>
        <v>#REF!</v>
      </c>
      <c r="BJ238" s="4" t="e">
        <f>BI238/VLOOKUP(A238,'[63]geoMap (60)'!$A:$B,2,0)*VLOOKUP(A238,'[63]geoMap (60)'!$A:$C,3,0)</f>
        <v>#REF!</v>
      </c>
      <c r="BK238" s="1" t="e">
        <f>BJ238/VLOOKUP(A238,'[64]geoMap (61)'!$A:$B,2,0)*VLOOKUP(A238,'[64]geoMap (61)'!$A:$C,3,0)</f>
        <v>#REF!</v>
      </c>
      <c r="BL238" s="4" t="e">
        <f>BK238/VLOOKUP(A238,'[65]geoMap (62)'!$A:$B,2,0)*VLOOKUP(A238,'[65]geoMap (62)'!$A:$C,3,0)</f>
        <v>#REF!</v>
      </c>
      <c r="BM238" s="1" t="e">
        <f>BL238/VLOOKUP(A238,'[66]geoMap (63)'!$A:$B,2,0)*VLOOKUP(A238,'[66]geoMap (63)'!$A:$C,3,0)</f>
        <v>#REF!</v>
      </c>
      <c r="BN238" s="4" t="e">
        <f>BM238/VLOOKUP(A238,'[67]geoMap (64)'!$A:$B,2,0)*VLOOKUP(A238,'[67]geoMap (64)'!$A:$C,3,0)</f>
        <v>#REF!</v>
      </c>
      <c r="BO238" s="1" t="e">
        <f>BN238/VLOOKUP(A238,'[68]geoMap (65)'!$A:$B,2,0)*VLOOKUP(A238,'[68]geoMap (65)'!$A:$C,3,0)</f>
        <v>#REF!</v>
      </c>
      <c r="BP238" s="4" t="e">
        <f>BO238/VLOOKUP(A238,'[69]geoMap (66)'!$A:$B,2,0)*VLOOKUP(A238,'[69]geoMap (66)'!$A:$C,3,0)</f>
        <v>#REF!</v>
      </c>
    </row>
    <row r="239" spans="1:68" x14ac:dyDescent="0.2">
      <c r="A239" s="1" t="s">
        <v>241</v>
      </c>
      <c r="B239" s="1" t="e">
        <f>VLOOKUP(A239,[3]geoMap!$A:$B,2,0)*Notes!$C$6</f>
        <v>#REF!</v>
      </c>
      <c r="C239" s="1" t="e">
        <f>B239/VLOOKUP(A239,'[4]geoMap (1)'!$A:$B,2,0)*VLOOKUP(A239,'[4]geoMap (1)'!$A:$C,3,0)</f>
        <v>#REF!</v>
      </c>
      <c r="D239" s="1" t="e">
        <f>C239/VLOOKUP(A239,'[5]geoMap (2)'!$A:$B,2,0)*VLOOKUP(A239,'[5]geoMap (2)'!$A:$C,3,0)</f>
        <v>#REF!</v>
      </c>
      <c r="E239" s="1" t="e">
        <f>D239/VLOOKUP(A239,'[6]geoMap (3)'!$A:$B,2,0)*VLOOKUP(A239,'[6]geoMap (3)'!$A:$C,3,0)</f>
        <v>#REF!</v>
      </c>
      <c r="F239" s="1" t="e">
        <f>E239/VLOOKUP(A239,'[7]geoMap (4)'!$A:$B,2,0)*VLOOKUP(A239,'[7]geoMap (4)'!$A:$C,3,0)</f>
        <v>#REF!</v>
      </c>
      <c r="G239" s="1" t="e">
        <f>F239/VLOOKUP(A239,'[8]geoMap (5)'!$A:$B,2,0)*VLOOKUP(A239,'[8]geoMap (5)'!$A:$C,3,0)</f>
        <v>#REF!</v>
      </c>
      <c r="H239" s="1" t="e">
        <f>G239/VLOOKUP(A239,'[9]geoMap (6)'!$A:$B,2,0)*VLOOKUP(A239,'[9]geoMap (6)'!$A:$C,3,0)</f>
        <v>#REF!</v>
      </c>
      <c r="I239" s="1" t="e">
        <f>H239/VLOOKUP(A239,'[10]geoMap (7)'!$A:$B,2,0)*VLOOKUP(A239,'[10]geoMap (7)'!$A:$C,3,0)</f>
        <v>#REF!</v>
      </c>
      <c r="J239" s="1" t="e">
        <f>I239/VLOOKUP(A239,'[11]geoMap (8)'!$A:$B,2,0)*VLOOKUP(A239,'[11]geoMap (8)'!$A:$C,3,0)</f>
        <v>#REF!</v>
      </c>
      <c r="K239" s="1" t="e">
        <f>J239/VLOOKUP(A239,'[12]geoMap (9)'!$A:$B,2,0)*VLOOKUP(A239,'[12]geoMap (9)'!$A:$C,3,0)</f>
        <v>#REF!</v>
      </c>
      <c r="L239" s="1" t="e">
        <f>K239/VLOOKUP(A239,'[13]geoMap (10)'!$A:$B,2,0)*VLOOKUP(A239,'[13]geoMap (10)'!$A:$C,3,0)</f>
        <v>#REF!</v>
      </c>
      <c r="M239" s="1" t="e">
        <f>L239/VLOOKUP(A239,'[14]geoMap (11)'!$A:$B,2,0)*VLOOKUP(A239,'[14]geoMap (11)'!$A:$C,3,0)</f>
        <v>#REF!</v>
      </c>
      <c r="N239" s="1" t="e">
        <f>M239/VLOOKUP(A239,'[15]geoMap (12)'!$A:$B,2,0)*VLOOKUP(A239,'[15]geoMap (12)'!$A:$C,3,0)</f>
        <v>#REF!</v>
      </c>
      <c r="O239" s="1" t="e">
        <f>N239/VLOOKUP(A239,'[16]geoMap (13)'!$A:$B,2,0)*VLOOKUP(A239,'[16]geoMap (13)'!$A:$C,3,0)</f>
        <v>#REF!</v>
      </c>
      <c r="P239" s="1" t="e">
        <f>O239/VLOOKUP(A239,'[17]geoMap (14)'!$A:$B,2,0)*VLOOKUP(A239,'[17]geoMap (14)'!$A:$C,3,0)</f>
        <v>#REF!</v>
      </c>
      <c r="Q239" s="1" t="e">
        <f>P239/VLOOKUP(A239,'[18]geoMap (15)'!$A:$B,2,0)*VLOOKUP(A239,'[18]geoMap (15)'!$A:$C,3,0)</f>
        <v>#REF!</v>
      </c>
      <c r="R239" s="1" t="e">
        <f>Q239/VLOOKUP(A239,'[19]geoMap (16)'!$A:$B,2,0)*VLOOKUP(A239,'[19]geoMap (16)'!$A:$C,3,0)</f>
        <v>#REF!</v>
      </c>
      <c r="S239" s="1" t="e">
        <f>R239/VLOOKUP(A239,'[20]geoMap (17)'!$A:$B,2,0)*VLOOKUP(A239,'[20]geoMap (17)'!$A:$C,3,0)</f>
        <v>#REF!</v>
      </c>
      <c r="T239" s="1" t="e">
        <f>S239/VLOOKUP(A239,'[21]geoMap (18)'!$A:$B,2,0)*VLOOKUP(A239,'[21]geoMap (18)'!$A:$C,3,0)</f>
        <v>#REF!</v>
      </c>
      <c r="U239" s="1" t="e">
        <f>T239/VLOOKUP(A239,'[22]geoMap (19)'!$A:$B,2,0)*VLOOKUP(A239,'[22]geoMap (19)'!$A:$C,3,0)</f>
        <v>#REF!</v>
      </c>
      <c r="V239" s="1" t="e">
        <f>U239/VLOOKUP(A239,'[23]geoMap (20)'!$A:$B,2,0)*VLOOKUP(A239,'[23]geoMap (20)'!$A:$C,3,0)</f>
        <v>#REF!</v>
      </c>
      <c r="W239" s="1" t="e">
        <f>V239/VLOOKUP(A239,'[24]geoMap (21)'!$A:$B,2,0)*VLOOKUP(A239,'[24]geoMap (21)'!$A:$C,3,0)</f>
        <v>#REF!</v>
      </c>
      <c r="X239" s="1" t="e">
        <f>W239/VLOOKUP(A239,'[25]geoMap (22)'!$A:$B,2,0)*VLOOKUP(A239,'[25]geoMap (22)'!$A:$C,3,0)</f>
        <v>#REF!</v>
      </c>
      <c r="Y239" s="1" t="e">
        <f>X239/VLOOKUP(A239,'[26]geoMap (23)'!$A:$B,2,0)*VLOOKUP(A239,'[26]geoMap (23)'!$A:$C,3,0)</f>
        <v>#REF!</v>
      </c>
      <c r="Z239" s="1" t="e">
        <f>Y239/VLOOKUP(A239,'[27]geoMap (24)'!$A:$B,2,0)*VLOOKUP(A239,'[27]geoMap (24)'!$A:$C,3,0)</f>
        <v>#REF!</v>
      </c>
      <c r="AA239" s="1" t="e">
        <f>Z239/VLOOKUP(A239,'[28]geoMap (25)'!$A:$B,2,0)*VLOOKUP(A239,'[28]geoMap (25)'!$A:$C,3,0)</f>
        <v>#REF!</v>
      </c>
      <c r="AB239" s="1" t="e">
        <f>AA239*VLOOKUP(A239,'[29]geoMap (26)'!$A:$B,2,0)*VLOOKUP(A239,'[29]geoMap (26)'!$A:$C,3,0)</f>
        <v>#REF!</v>
      </c>
      <c r="AC239" s="1" t="e">
        <f>AB239/VLOOKUP(A239,'[30]geoMap (27)'!$A:$B,2,0)*VLOOKUP(A239,'[30]geoMap (27)'!$A:$C,3,0)</f>
        <v>#REF!</v>
      </c>
      <c r="AD239" s="1" t="e">
        <f>AC239/VLOOKUP(A239,'[31]geoMap (28)'!$A:$B,2,0)*VLOOKUP(A239,'[31]geoMap (28)'!$A:$C,3,0)</f>
        <v>#REF!</v>
      </c>
      <c r="AE239" s="1" t="e">
        <f>AD239/VLOOKUP(A239,'[32]geoMap (29)'!$A:$B,2,0)*VLOOKUP(A239,'[32]geoMap (29)'!$A:$C,3,0)</f>
        <v>#REF!</v>
      </c>
      <c r="AF239" s="1" t="e">
        <f>AE239/VLOOKUP(A239,'[33]geoMap (30)'!$A:$B,2,0)*VLOOKUP(A239,'[33]geoMap (30)'!$A:$C,3,0)</f>
        <v>#REF!</v>
      </c>
      <c r="AG239" s="1" t="e">
        <f>AF239/VLOOKUP(A239,'[34]geoMap (31)'!$A:$B,2,0)*VLOOKUP(A239,'[34]geoMap (31)'!$A:$C,3,0)</f>
        <v>#REF!</v>
      </c>
      <c r="AH239" s="1" t="e">
        <f>AG239/VLOOKUP(A239,'[35]geoMap (32)'!$A:$B,2,0)*VLOOKUP(A239,'[35]geoMap (32)'!$A:$C,3,0)</f>
        <v>#REF!</v>
      </c>
      <c r="AI239" s="1" t="e">
        <f>AH239/VLOOKUP(A239,'[36]geoMap (33)'!$A:$B,2,0)*VLOOKUP(A239,'[36]geoMap (33)'!$A:$C,3,0)</f>
        <v>#REF!</v>
      </c>
      <c r="AJ239" s="1" t="e">
        <f>AI239/VLOOKUP(A239,'[37]geoMap (34)'!$A:$B,2,0)*VLOOKUP(A239,'[37]geoMap (34)'!$A:$C,3,0)</f>
        <v>#REF!</v>
      </c>
      <c r="AK239" s="1" t="e">
        <f>AJ239/VLOOKUP(A239,'[38]geoMap (35)'!$A:$B,2,0)*VLOOKUP(A239,'[38]geoMap (35)'!$A:$C,3,0)</f>
        <v>#REF!</v>
      </c>
      <c r="AL239" s="1" t="e">
        <f>AK239/VLOOKUP(A239,'[39]geoMap (36)'!$A:$B,2,0)*VLOOKUP(A239,'[39]geoMap (36)'!$A:$C,3,0)</f>
        <v>#REF!</v>
      </c>
      <c r="AM239" s="1" t="e">
        <f>AL239/VLOOKUP(A239,'[40]geoMap (37)'!$A:$B,2,0)*VLOOKUP(A239,'[40]geoMap (37)'!$A:$C,3,0)</f>
        <v>#REF!</v>
      </c>
      <c r="AN239" s="1" t="e">
        <f>AM239/VLOOKUP(A239,'[41]geoMap (38)'!$A:$B,2,0)*VLOOKUP(A239,'[41]geoMap (38)'!$A:$C,3,0)</f>
        <v>#REF!</v>
      </c>
      <c r="AO239" s="1" t="e">
        <f>AN239/VLOOKUP(A239,'[42]geoMap (39)'!$A:$B,2,0)*VLOOKUP(A239,'[42]geoMap (39)'!$A:$C,3,0)</f>
        <v>#REF!</v>
      </c>
      <c r="AP239" s="1" t="e">
        <f>AO239/VLOOKUP(A239,'[43]geoMap (40)'!$A:$B,2,0)*VLOOKUP(A239,'[43]geoMap (40)'!$A:$C,3,0)</f>
        <v>#REF!</v>
      </c>
      <c r="AQ239" s="1" t="e">
        <f>AP239/VLOOKUP(A239,'[44]geoMap (41)'!$A:$B,2,0)*VLOOKUP(A239,'[44]geoMap (41)'!$A:$C,3,0)</f>
        <v>#REF!</v>
      </c>
      <c r="AR239" s="1" t="e">
        <f>AQ239/VLOOKUP(A239,'[45]geoMap (42)'!$A:$B,2,0)*VLOOKUP(A239,'[45]geoMap (42)'!$A:$C,3,0)</f>
        <v>#REF!</v>
      </c>
      <c r="AS239" s="1" t="e">
        <f>AR239/VLOOKUP(A239,'[46]geoMap (43)'!$A:$B,2,0)*VLOOKUP(A239,'[46]geoMap (43)'!$A:$C,3,0)</f>
        <v>#REF!</v>
      </c>
      <c r="AT239" s="1" t="e">
        <f>AS239/VLOOKUP(A239,'[47]geoMap (44)'!$A:$B,2,0)*VLOOKUP(A239,'[47]geoMap (44)'!$A:$C,3,0)</f>
        <v>#REF!</v>
      </c>
      <c r="AU239" s="1" t="e">
        <f>AT239/VLOOKUP(A239,'[48]geoMap (45)'!$A:$B,2,0)*VLOOKUP(A239,'[48]geoMap (45)'!$A:$C,3,0)</f>
        <v>#REF!</v>
      </c>
      <c r="AV239" s="1" t="e">
        <f>AU239/VLOOKUP(A239,'[49]geoMap (46)'!$A:$B,2,0)*VLOOKUP(A239,'[49]geoMap (46)'!$A:$C,3,0)</f>
        <v>#REF!</v>
      </c>
      <c r="AW239" s="1" t="e">
        <f>AV239/VLOOKUP(A239,'[50]geoMap (47)'!$A:$B,2,0)*VLOOKUP(A239,'[50]geoMap (47)'!$A:$C,3,0)</f>
        <v>#REF!</v>
      </c>
      <c r="AX239" s="4" t="e">
        <f>AW239/VLOOKUP(A239,'[51]geoMap (48)'!$A:$B,2,0)*VLOOKUP(A239,'[51]geoMap (48)'!$A:$C,3,0)</f>
        <v>#REF!</v>
      </c>
      <c r="AY239" s="1" t="e">
        <f>AX239/VLOOKUP(A239,'[52]geoMap (49)'!$A:$B,2,0)*VLOOKUP(A239,'[52]geoMap (49)'!$A:$C,3,0)</f>
        <v>#REF!</v>
      </c>
      <c r="AZ239" s="4" t="e">
        <f>AY239/VLOOKUP(A239,'[53]geoMap (50)'!$A:$B,2,0)*VLOOKUP(A239,'[53]geoMap (50)'!$A:$C,3,0)</f>
        <v>#REF!</v>
      </c>
      <c r="BA239" s="1" t="e">
        <f>AZ239/VLOOKUP(A239,'[54]geoMap (51)'!$A:$B,2,0)*VLOOKUP(A239,'[54]geoMap (51)'!$A:$C,3,0)</f>
        <v>#REF!</v>
      </c>
      <c r="BB239" s="4" t="e">
        <f>BA239/VLOOKUP(A239,'[55]geoMap (52)'!$A:$B,2,0)*VLOOKUP(A239,'[55]geoMap (52)'!$A:$C,3,0)</f>
        <v>#REF!</v>
      </c>
      <c r="BC239" s="1" t="e">
        <f>BB239/VLOOKUP(A239,'[56]geoMap (53)'!$A:$B,2,0)*VLOOKUP(A239,'[56]geoMap (53)'!$A:$C,3,0)</f>
        <v>#REF!</v>
      </c>
      <c r="BD239" s="4" t="e">
        <f>BC239/VLOOKUP(A239,'[57]geoMap (54)'!$A:$B,2,0)*VLOOKUP(A239,'[57]geoMap (54)'!$A:$C,3,0)</f>
        <v>#REF!</v>
      </c>
      <c r="BE239" s="1" t="e">
        <f>BD239/VLOOKUP(A239,'[58]geoMap (55)'!$A:$B,2,0)*VLOOKUP(A239,'[58]geoMap (55)'!$A:$C,3,0)</f>
        <v>#REF!</v>
      </c>
      <c r="BF239" s="4" t="e">
        <f>BE239/VLOOKUP(A239,'[59]geoMap (56)'!$A:$B,2,0)*VLOOKUP(A239,'[59]geoMap (56)'!$A:$C,3,0)</f>
        <v>#REF!</v>
      </c>
      <c r="BG239" s="1" t="e">
        <f>BF239/VLOOKUP(A239,'[60]geoMap (57)'!$A:$B,2,0)*VLOOKUP(A239,'[60]geoMap (57)'!$A:$C,3,0)</f>
        <v>#REF!</v>
      </c>
      <c r="BH239" s="4" t="e">
        <f>BG239/VLOOKUP(A239,'[61]geoMap (58)'!$A:$B,2,0)*VLOOKUP(A239,'[61]geoMap (58)'!$A:$C,3,0)</f>
        <v>#REF!</v>
      </c>
      <c r="BI239" s="1" t="e">
        <f>BH239/VLOOKUP(A239,'[62]geoMap (59)'!$A:$B,2,0)*VLOOKUP(A239,'[62]geoMap (59)'!$A:$C,3,0)</f>
        <v>#REF!</v>
      </c>
      <c r="BJ239" s="4" t="e">
        <f>BI239/VLOOKUP(A239,'[63]geoMap (60)'!$A:$B,2,0)*VLOOKUP(A239,'[63]geoMap (60)'!$A:$C,3,0)</f>
        <v>#REF!</v>
      </c>
      <c r="BK239" s="1" t="e">
        <f>BJ239/VLOOKUP(A239,'[64]geoMap (61)'!$A:$B,2,0)*VLOOKUP(A239,'[64]geoMap (61)'!$A:$C,3,0)</f>
        <v>#REF!</v>
      </c>
      <c r="BL239" s="4" t="e">
        <f>BK239/VLOOKUP(A239,'[65]geoMap (62)'!$A:$B,2,0)*VLOOKUP(A239,'[65]geoMap (62)'!$A:$C,3,0)</f>
        <v>#REF!</v>
      </c>
      <c r="BM239" s="1" t="e">
        <f>BL239/VLOOKUP(A239,'[66]geoMap (63)'!$A:$B,2,0)*VLOOKUP(A239,'[66]geoMap (63)'!$A:$C,3,0)</f>
        <v>#REF!</v>
      </c>
      <c r="BN239" s="4" t="e">
        <f>BM239/VLOOKUP(A239,'[67]geoMap (64)'!$A:$B,2,0)*VLOOKUP(A239,'[67]geoMap (64)'!$A:$C,3,0)</f>
        <v>#REF!</v>
      </c>
      <c r="BO239" s="1" t="e">
        <f>BN239/VLOOKUP(A239,'[68]geoMap (65)'!$A:$B,2,0)*VLOOKUP(A239,'[68]geoMap (65)'!$A:$C,3,0)</f>
        <v>#REF!</v>
      </c>
      <c r="BP239" s="4" t="e">
        <f>BO239/VLOOKUP(A239,'[69]geoMap (66)'!$A:$B,2,0)*VLOOKUP(A239,'[69]geoMap (66)'!$A:$C,3,0)</f>
        <v>#REF!</v>
      </c>
    </row>
    <row r="240" spans="1:68" x14ac:dyDescent="0.2">
      <c r="A240" s="1" t="s">
        <v>242</v>
      </c>
      <c r="B240" s="1" t="e">
        <f>VLOOKUP(A240,[3]geoMap!$A:$B,2,0)*Notes!$C$6</f>
        <v>#REF!</v>
      </c>
      <c r="C240" s="1" t="e">
        <f>B240/VLOOKUP(A240,'[4]geoMap (1)'!$A:$B,2,0)*VLOOKUP(A240,'[4]geoMap (1)'!$A:$C,3,0)</f>
        <v>#REF!</v>
      </c>
      <c r="D240" s="1" t="e">
        <f>C240/VLOOKUP(A240,'[5]geoMap (2)'!$A:$B,2,0)*VLOOKUP(A240,'[5]geoMap (2)'!$A:$C,3,0)</f>
        <v>#REF!</v>
      </c>
      <c r="E240" s="1" t="e">
        <f>D240/VLOOKUP(A240,'[6]geoMap (3)'!$A:$B,2,0)*VLOOKUP(A240,'[6]geoMap (3)'!$A:$C,3,0)</f>
        <v>#REF!</v>
      </c>
      <c r="F240" s="1" t="e">
        <f>E240/VLOOKUP(A240,'[7]geoMap (4)'!$A:$B,2,0)*VLOOKUP(A240,'[7]geoMap (4)'!$A:$C,3,0)</f>
        <v>#REF!</v>
      </c>
      <c r="G240" s="1" t="e">
        <f>F240/VLOOKUP(A240,'[8]geoMap (5)'!$A:$B,2,0)*VLOOKUP(A240,'[8]geoMap (5)'!$A:$C,3,0)</f>
        <v>#REF!</v>
      </c>
      <c r="H240" s="1" t="e">
        <f>G240/VLOOKUP(A240,'[9]geoMap (6)'!$A:$B,2,0)*VLOOKUP(A240,'[9]geoMap (6)'!$A:$C,3,0)</f>
        <v>#REF!</v>
      </c>
      <c r="I240" s="1" t="e">
        <f>H240/VLOOKUP(A240,'[10]geoMap (7)'!$A:$B,2,0)*VLOOKUP(A240,'[10]geoMap (7)'!$A:$C,3,0)</f>
        <v>#REF!</v>
      </c>
      <c r="J240" s="1" t="e">
        <f>I240/VLOOKUP(A240,'[11]geoMap (8)'!$A:$B,2,0)*VLOOKUP(A240,'[11]geoMap (8)'!$A:$C,3,0)</f>
        <v>#REF!</v>
      </c>
      <c r="K240" s="1" t="e">
        <f>J240/VLOOKUP(A240,'[12]geoMap (9)'!$A:$B,2,0)*VLOOKUP(A240,'[12]geoMap (9)'!$A:$C,3,0)</f>
        <v>#REF!</v>
      </c>
      <c r="L240" s="1" t="e">
        <f>K240/VLOOKUP(A240,'[13]geoMap (10)'!$A:$B,2,0)*VLOOKUP(A240,'[13]geoMap (10)'!$A:$C,3,0)</f>
        <v>#REF!</v>
      </c>
      <c r="M240" s="1" t="e">
        <f>L240/VLOOKUP(A240,'[14]geoMap (11)'!$A:$B,2,0)*VLOOKUP(A240,'[14]geoMap (11)'!$A:$C,3,0)</f>
        <v>#REF!</v>
      </c>
      <c r="N240" s="1" t="e">
        <f>M240/VLOOKUP(A240,'[15]geoMap (12)'!$A:$B,2,0)*VLOOKUP(A240,'[15]geoMap (12)'!$A:$C,3,0)</f>
        <v>#REF!</v>
      </c>
      <c r="O240" s="1" t="e">
        <f>N240/VLOOKUP(A240,'[16]geoMap (13)'!$A:$B,2,0)*VLOOKUP(A240,'[16]geoMap (13)'!$A:$C,3,0)</f>
        <v>#REF!</v>
      </c>
      <c r="P240" s="1" t="e">
        <f>O240/VLOOKUP(A240,'[17]geoMap (14)'!$A:$B,2,0)*VLOOKUP(A240,'[17]geoMap (14)'!$A:$C,3,0)</f>
        <v>#REF!</v>
      </c>
      <c r="Q240" s="1" t="e">
        <f>P240/VLOOKUP(A240,'[18]geoMap (15)'!$A:$B,2,0)*VLOOKUP(A240,'[18]geoMap (15)'!$A:$C,3,0)</f>
        <v>#REF!</v>
      </c>
      <c r="R240" s="1" t="e">
        <f>Q240/VLOOKUP(A240,'[19]geoMap (16)'!$A:$B,2,0)*VLOOKUP(A240,'[19]geoMap (16)'!$A:$C,3,0)</f>
        <v>#REF!</v>
      </c>
      <c r="S240" s="1" t="e">
        <f>R240/VLOOKUP(A240,'[20]geoMap (17)'!$A:$B,2,0)*VLOOKUP(A240,'[20]geoMap (17)'!$A:$C,3,0)</f>
        <v>#REF!</v>
      </c>
      <c r="T240" s="1" t="e">
        <f>S240/VLOOKUP(A240,'[21]geoMap (18)'!$A:$B,2,0)*VLOOKUP(A240,'[21]geoMap (18)'!$A:$C,3,0)</f>
        <v>#REF!</v>
      </c>
      <c r="U240" s="1" t="e">
        <f>T240/VLOOKUP(A240,'[22]geoMap (19)'!$A:$B,2,0)*VLOOKUP(A240,'[22]geoMap (19)'!$A:$C,3,0)</f>
        <v>#REF!</v>
      </c>
      <c r="V240" s="1" t="e">
        <f>U240/VLOOKUP(A240,'[23]geoMap (20)'!$A:$B,2,0)*VLOOKUP(A240,'[23]geoMap (20)'!$A:$C,3,0)</f>
        <v>#REF!</v>
      </c>
      <c r="W240" s="1" t="e">
        <f>V240/VLOOKUP(A240,'[24]geoMap (21)'!$A:$B,2,0)*VLOOKUP(A240,'[24]geoMap (21)'!$A:$C,3,0)</f>
        <v>#REF!</v>
      </c>
      <c r="X240" s="1" t="e">
        <f>W240/VLOOKUP(A240,'[25]geoMap (22)'!$A:$B,2,0)*VLOOKUP(A240,'[25]geoMap (22)'!$A:$C,3,0)</f>
        <v>#REF!</v>
      </c>
      <c r="Y240" s="1" t="e">
        <f>X240/VLOOKUP(A240,'[26]geoMap (23)'!$A:$B,2,0)*VLOOKUP(A240,'[26]geoMap (23)'!$A:$C,3,0)</f>
        <v>#REF!</v>
      </c>
      <c r="Z240" s="1" t="e">
        <f>Y240/VLOOKUP(A240,'[27]geoMap (24)'!$A:$B,2,0)*VLOOKUP(A240,'[27]geoMap (24)'!$A:$C,3,0)</f>
        <v>#REF!</v>
      </c>
      <c r="AA240" s="1" t="e">
        <f>Z240/VLOOKUP(A240,'[28]geoMap (25)'!$A:$B,2,0)*VLOOKUP(A240,'[28]geoMap (25)'!$A:$C,3,0)</f>
        <v>#REF!</v>
      </c>
      <c r="AB240" s="1" t="e">
        <f>AA240*VLOOKUP(A240,'[29]geoMap (26)'!$A:$B,2,0)*VLOOKUP(A240,'[29]geoMap (26)'!$A:$C,3,0)</f>
        <v>#REF!</v>
      </c>
      <c r="AC240" s="1" t="e">
        <f>AB240/VLOOKUP(A240,'[30]geoMap (27)'!$A:$B,2,0)*VLOOKUP(A240,'[30]geoMap (27)'!$A:$C,3,0)</f>
        <v>#REF!</v>
      </c>
      <c r="AD240" s="1" t="e">
        <f>AC240/VLOOKUP(A240,'[31]geoMap (28)'!$A:$B,2,0)*VLOOKUP(A240,'[31]geoMap (28)'!$A:$C,3,0)</f>
        <v>#REF!</v>
      </c>
      <c r="AE240" s="1" t="e">
        <f>AD240/VLOOKUP(A240,'[32]geoMap (29)'!$A:$B,2,0)*VLOOKUP(A240,'[32]geoMap (29)'!$A:$C,3,0)</f>
        <v>#REF!</v>
      </c>
      <c r="AF240" s="1" t="e">
        <f>AE240/VLOOKUP(A240,'[33]geoMap (30)'!$A:$B,2,0)*VLOOKUP(A240,'[33]geoMap (30)'!$A:$C,3,0)</f>
        <v>#REF!</v>
      </c>
      <c r="AG240" s="1" t="e">
        <f>AF240/VLOOKUP(A240,'[34]geoMap (31)'!$A:$B,2,0)*VLOOKUP(A240,'[34]geoMap (31)'!$A:$C,3,0)</f>
        <v>#REF!</v>
      </c>
      <c r="AH240" s="1" t="e">
        <f>AG240/VLOOKUP(A240,'[35]geoMap (32)'!$A:$B,2,0)*VLOOKUP(A240,'[35]geoMap (32)'!$A:$C,3,0)</f>
        <v>#REF!</v>
      </c>
      <c r="AI240" s="1" t="e">
        <f>AH240/VLOOKUP(A240,'[36]geoMap (33)'!$A:$B,2,0)*VLOOKUP(A240,'[36]geoMap (33)'!$A:$C,3,0)</f>
        <v>#REF!</v>
      </c>
      <c r="AJ240" s="1" t="e">
        <f>AI240/VLOOKUP(A240,'[37]geoMap (34)'!$A:$B,2,0)*VLOOKUP(A240,'[37]geoMap (34)'!$A:$C,3,0)</f>
        <v>#REF!</v>
      </c>
      <c r="AK240" s="1" t="e">
        <f>AJ240/VLOOKUP(A240,'[38]geoMap (35)'!$A:$B,2,0)*VLOOKUP(A240,'[38]geoMap (35)'!$A:$C,3,0)</f>
        <v>#REF!</v>
      </c>
      <c r="AL240" s="1" t="e">
        <f>AK240/VLOOKUP(A240,'[39]geoMap (36)'!$A:$B,2,0)*VLOOKUP(A240,'[39]geoMap (36)'!$A:$C,3,0)</f>
        <v>#REF!</v>
      </c>
      <c r="AM240" s="1" t="e">
        <f>AL240/VLOOKUP(A240,'[40]geoMap (37)'!$A:$B,2,0)*VLOOKUP(A240,'[40]geoMap (37)'!$A:$C,3,0)</f>
        <v>#REF!</v>
      </c>
      <c r="AN240" s="1" t="e">
        <f>AM240/VLOOKUP(A240,'[41]geoMap (38)'!$A:$B,2,0)*VLOOKUP(A240,'[41]geoMap (38)'!$A:$C,3,0)</f>
        <v>#REF!</v>
      </c>
      <c r="AO240" s="1" t="e">
        <f>AN240/VLOOKUP(A240,'[42]geoMap (39)'!$A:$B,2,0)*VLOOKUP(A240,'[42]geoMap (39)'!$A:$C,3,0)</f>
        <v>#REF!</v>
      </c>
      <c r="AP240" s="1" t="e">
        <f>AO240/VLOOKUP(A240,'[43]geoMap (40)'!$A:$B,2,0)*VLOOKUP(A240,'[43]geoMap (40)'!$A:$C,3,0)</f>
        <v>#REF!</v>
      </c>
      <c r="AQ240" s="1" t="e">
        <f>AP240/VLOOKUP(A240,'[44]geoMap (41)'!$A:$B,2,0)*VLOOKUP(A240,'[44]geoMap (41)'!$A:$C,3,0)</f>
        <v>#REF!</v>
      </c>
      <c r="AR240" s="1" t="e">
        <f>AQ240/VLOOKUP(A240,'[45]geoMap (42)'!$A:$B,2,0)*VLOOKUP(A240,'[45]geoMap (42)'!$A:$C,3,0)</f>
        <v>#REF!</v>
      </c>
      <c r="AS240" s="1" t="e">
        <f>AR240/VLOOKUP(A240,'[46]geoMap (43)'!$A:$B,2,0)*VLOOKUP(A240,'[46]geoMap (43)'!$A:$C,3,0)</f>
        <v>#REF!</v>
      </c>
      <c r="AT240" s="1" t="e">
        <f>AS240/VLOOKUP(A240,'[47]geoMap (44)'!$A:$B,2,0)*VLOOKUP(A240,'[47]geoMap (44)'!$A:$C,3,0)</f>
        <v>#REF!</v>
      </c>
      <c r="AU240" s="1" t="e">
        <f>AT240/VLOOKUP(A240,'[48]geoMap (45)'!$A:$B,2,0)*VLOOKUP(A240,'[48]geoMap (45)'!$A:$C,3,0)</f>
        <v>#REF!</v>
      </c>
      <c r="AV240" s="1" t="e">
        <f>AU240/VLOOKUP(A240,'[49]geoMap (46)'!$A:$B,2,0)*VLOOKUP(A240,'[49]geoMap (46)'!$A:$C,3,0)</f>
        <v>#REF!</v>
      </c>
      <c r="AW240" s="1" t="e">
        <f>AV240/VLOOKUP(A240,'[50]geoMap (47)'!$A:$B,2,0)*VLOOKUP(A240,'[50]geoMap (47)'!$A:$C,3,0)</f>
        <v>#REF!</v>
      </c>
      <c r="AX240" s="4" t="e">
        <f>AW240/VLOOKUP(A240,'[51]geoMap (48)'!$A:$B,2,0)*VLOOKUP(A240,'[51]geoMap (48)'!$A:$C,3,0)</f>
        <v>#REF!</v>
      </c>
      <c r="AY240" s="1" t="e">
        <f>AX240/VLOOKUP(A240,'[52]geoMap (49)'!$A:$B,2,0)*VLOOKUP(A240,'[52]geoMap (49)'!$A:$C,3,0)</f>
        <v>#REF!</v>
      </c>
      <c r="AZ240" s="4" t="e">
        <f>AY240/VLOOKUP(A240,'[53]geoMap (50)'!$A:$B,2,0)*VLOOKUP(A240,'[53]geoMap (50)'!$A:$C,3,0)</f>
        <v>#REF!</v>
      </c>
      <c r="BA240" s="1" t="e">
        <f>AZ240/VLOOKUP(A240,'[54]geoMap (51)'!$A:$B,2,0)*VLOOKUP(A240,'[54]geoMap (51)'!$A:$C,3,0)</f>
        <v>#REF!</v>
      </c>
      <c r="BB240" s="4" t="e">
        <f>BA240/VLOOKUP(A240,'[55]geoMap (52)'!$A:$B,2,0)*VLOOKUP(A240,'[55]geoMap (52)'!$A:$C,3,0)</f>
        <v>#REF!</v>
      </c>
      <c r="BC240" s="1" t="e">
        <f>BB240/VLOOKUP(A240,'[56]geoMap (53)'!$A:$B,2,0)*VLOOKUP(A240,'[56]geoMap (53)'!$A:$C,3,0)</f>
        <v>#REF!</v>
      </c>
      <c r="BD240" s="4" t="e">
        <f>BC240/VLOOKUP(A240,'[57]geoMap (54)'!$A:$B,2,0)*VLOOKUP(A240,'[57]geoMap (54)'!$A:$C,3,0)</f>
        <v>#REF!</v>
      </c>
      <c r="BE240" s="1" t="e">
        <f>BD240/VLOOKUP(A240,'[58]geoMap (55)'!$A:$B,2,0)*VLOOKUP(A240,'[58]geoMap (55)'!$A:$C,3,0)</f>
        <v>#REF!</v>
      </c>
      <c r="BF240" s="4" t="e">
        <f>BE240/VLOOKUP(A240,'[59]geoMap (56)'!$A:$B,2,0)*VLOOKUP(A240,'[59]geoMap (56)'!$A:$C,3,0)</f>
        <v>#REF!</v>
      </c>
      <c r="BG240" s="1" t="e">
        <f>BF240/VLOOKUP(A240,'[60]geoMap (57)'!$A:$B,2,0)*VLOOKUP(A240,'[60]geoMap (57)'!$A:$C,3,0)</f>
        <v>#REF!</v>
      </c>
      <c r="BH240" s="4" t="e">
        <f>BG240/VLOOKUP(A240,'[61]geoMap (58)'!$A:$B,2,0)*VLOOKUP(A240,'[61]geoMap (58)'!$A:$C,3,0)</f>
        <v>#REF!</v>
      </c>
      <c r="BI240" s="1" t="e">
        <f>BH240/VLOOKUP(A240,'[62]geoMap (59)'!$A:$B,2,0)*VLOOKUP(A240,'[62]geoMap (59)'!$A:$C,3,0)</f>
        <v>#REF!</v>
      </c>
      <c r="BJ240" s="4" t="e">
        <f>BI240/VLOOKUP(A240,'[63]geoMap (60)'!$A:$B,2,0)*VLOOKUP(A240,'[63]geoMap (60)'!$A:$C,3,0)</f>
        <v>#REF!</v>
      </c>
      <c r="BK240" s="1" t="e">
        <f>BJ240/VLOOKUP(A240,'[64]geoMap (61)'!$A:$B,2,0)*VLOOKUP(A240,'[64]geoMap (61)'!$A:$C,3,0)</f>
        <v>#REF!</v>
      </c>
      <c r="BL240" s="4" t="e">
        <f>BK240/VLOOKUP(A240,'[65]geoMap (62)'!$A:$B,2,0)*VLOOKUP(A240,'[65]geoMap (62)'!$A:$C,3,0)</f>
        <v>#REF!</v>
      </c>
      <c r="BM240" s="1" t="e">
        <f>BL240/VLOOKUP(A240,'[66]geoMap (63)'!$A:$B,2,0)*VLOOKUP(A240,'[66]geoMap (63)'!$A:$C,3,0)</f>
        <v>#REF!</v>
      </c>
      <c r="BN240" s="4" t="e">
        <f>BM240/VLOOKUP(A240,'[67]geoMap (64)'!$A:$B,2,0)*VLOOKUP(A240,'[67]geoMap (64)'!$A:$C,3,0)</f>
        <v>#REF!</v>
      </c>
      <c r="BO240" s="1" t="e">
        <f>BN240/VLOOKUP(A240,'[68]geoMap (65)'!$A:$B,2,0)*VLOOKUP(A240,'[68]geoMap (65)'!$A:$C,3,0)</f>
        <v>#REF!</v>
      </c>
      <c r="BP240" s="4" t="e">
        <f>BO240/VLOOKUP(A240,'[69]geoMap (66)'!$A:$B,2,0)*VLOOKUP(A240,'[69]geoMap (66)'!$A:$C,3,0)</f>
        <v>#REF!</v>
      </c>
    </row>
    <row r="241" spans="1:68" x14ac:dyDescent="0.2">
      <c r="A241" s="1" t="s">
        <v>243</v>
      </c>
      <c r="B241" s="1" t="e">
        <f>VLOOKUP(A241,[3]geoMap!$A:$B,2,0)*Notes!$C$6</f>
        <v>#REF!</v>
      </c>
      <c r="C241" s="1" t="e">
        <f>B241/VLOOKUP(A241,'[4]geoMap (1)'!$A:$B,2,0)*VLOOKUP(A241,'[4]geoMap (1)'!$A:$C,3,0)</f>
        <v>#REF!</v>
      </c>
      <c r="D241" s="1" t="e">
        <f>C241/VLOOKUP(A241,'[5]geoMap (2)'!$A:$B,2,0)*VLOOKUP(A241,'[5]geoMap (2)'!$A:$C,3,0)</f>
        <v>#REF!</v>
      </c>
      <c r="E241" s="1" t="e">
        <f>D241/VLOOKUP(A241,'[6]geoMap (3)'!$A:$B,2,0)*VLOOKUP(A241,'[6]geoMap (3)'!$A:$C,3,0)</f>
        <v>#REF!</v>
      </c>
      <c r="F241" s="1" t="e">
        <f>E241/VLOOKUP(A241,'[7]geoMap (4)'!$A:$B,2,0)*VLOOKUP(A241,'[7]geoMap (4)'!$A:$C,3,0)</f>
        <v>#REF!</v>
      </c>
      <c r="G241" s="1" t="e">
        <f>F241/VLOOKUP(A241,'[8]geoMap (5)'!$A:$B,2,0)*VLOOKUP(A241,'[8]geoMap (5)'!$A:$C,3,0)</f>
        <v>#REF!</v>
      </c>
      <c r="H241" s="1" t="e">
        <f>G241/VLOOKUP(A241,'[9]geoMap (6)'!$A:$B,2,0)*VLOOKUP(A241,'[9]geoMap (6)'!$A:$C,3,0)</f>
        <v>#REF!</v>
      </c>
      <c r="I241" s="1" t="e">
        <f>H241/VLOOKUP(A241,'[10]geoMap (7)'!$A:$B,2,0)*VLOOKUP(A241,'[10]geoMap (7)'!$A:$C,3,0)</f>
        <v>#REF!</v>
      </c>
      <c r="J241" s="1" t="e">
        <f>I241/VLOOKUP(A241,'[11]geoMap (8)'!$A:$B,2,0)*VLOOKUP(A241,'[11]geoMap (8)'!$A:$C,3,0)</f>
        <v>#REF!</v>
      </c>
      <c r="K241" s="1" t="e">
        <f>J241/VLOOKUP(A241,'[12]geoMap (9)'!$A:$B,2,0)*VLOOKUP(A241,'[12]geoMap (9)'!$A:$C,3,0)</f>
        <v>#REF!</v>
      </c>
      <c r="L241" s="1" t="e">
        <f>K241/VLOOKUP(A241,'[13]geoMap (10)'!$A:$B,2,0)*VLOOKUP(A241,'[13]geoMap (10)'!$A:$C,3,0)</f>
        <v>#REF!</v>
      </c>
      <c r="M241" s="1" t="e">
        <f>L241/VLOOKUP(A241,'[14]geoMap (11)'!$A:$B,2,0)*VLOOKUP(A241,'[14]geoMap (11)'!$A:$C,3,0)</f>
        <v>#REF!</v>
      </c>
      <c r="N241" s="1" t="e">
        <f>M241/VLOOKUP(A241,'[15]geoMap (12)'!$A:$B,2,0)*VLOOKUP(A241,'[15]geoMap (12)'!$A:$C,3,0)</f>
        <v>#REF!</v>
      </c>
      <c r="O241" s="1" t="e">
        <f>N241/VLOOKUP(A241,'[16]geoMap (13)'!$A:$B,2,0)*VLOOKUP(A241,'[16]geoMap (13)'!$A:$C,3,0)</f>
        <v>#REF!</v>
      </c>
      <c r="P241" s="1" t="e">
        <f>O241/VLOOKUP(A241,'[17]geoMap (14)'!$A:$B,2,0)*VLOOKUP(A241,'[17]geoMap (14)'!$A:$C,3,0)</f>
        <v>#REF!</v>
      </c>
      <c r="Q241" s="1" t="e">
        <f>P241/VLOOKUP(A241,'[18]geoMap (15)'!$A:$B,2,0)*VLOOKUP(A241,'[18]geoMap (15)'!$A:$C,3,0)</f>
        <v>#REF!</v>
      </c>
      <c r="R241" s="1" t="e">
        <f>Q241/VLOOKUP(A241,'[19]geoMap (16)'!$A:$B,2,0)*VLOOKUP(A241,'[19]geoMap (16)'!$A:$C,3,0)</f>
        <v>#REF!</v>
      </c>
      <c r="S241" s="1" t="e">
        <f>R241/VLOOKUP(A241,'[20]geoMap (17)'!$A:$B,2,0)*VLOOKUP(A241,'[20]geoMap (17)'!$A:$C,3,0)</f>
        <v>#REF!</v>
      </c>
      <c r="T241" s="1" t="e">
        <f>S241/VLOOKUP(A241,'[21]geoMap (18)'!$A:$B,2,0)*VLOOKUP(A241,'[21]geoMap (18)'!$A:$C,3,0)</f>
        <v>#REF!</v>
      </c>
      <c r="U241" s="1" t="e">
        <f>T241/VLOOKUP(A241,'[22]geoMap (19)'!$A:$B,2,0)*VLOOKUP(A241,'[22]geoMap (19)'!$A:$C,3,0)</f>
        <v>#REF!</v>
      </c>
      <c r="V241" s="1" t="e">
        <f>U241/VLOOKUP(A241,'[23]geoMap (20)'!$A:$B,2,0)*VLOOKUP(A241,'[23]geoMap (20)'!$A:$C,3,0)</f>
        <v>#REF!</v>
      </c>
      <c r="W241" s="1" t="e">
        <f>V241/VLOOKUP(A241,'[24]geoMap (21)'!$A:$B,2,0)*VLOOKUP(A241,'[24]geoMap (21)'!$A:$C,3,0)</f>
        <v>#REF!</v>
      </c>
      <c r="X241" s="1" t="e">
        <f>W241/VLOOKUP(A241,'[25]geoMap (22)'!$A:$B,2,0)*VLOOKUP(A241,'[25]geoMap (22)'!$A:$C,3,0)</f>
        <v>#REF!</v>
      </c>
      <c r="Y241" s="1" t="e">
        <f>X241/VLOOKUP(A241,'[26]geoMap (23)'!$A:$B,2,0)*VLOOKUP(A241,'[26]geoMap (23)'!$A:$C,3,0)</f>
        <v>#REF!</v>
      </c>
      <c r="Z241" s="1" t="e">
        <f>Y241/VLOOKUP(A241,'[27]geoMap (24)'!$A:$B,2,0)*VLOOKUP(A241,'[27]geoMap (24)'!$A:$C,3,0)</f>
        <v>#REF!</v>
      </c>
      <c r="AA241" s="1" t="e">
        <f>Z241/VLOOKUP(A241,'[28]geoMap (25)'!$A:$B,2,0)*VLOOKUP(A241,'[28]geoMap (25)'!$A:$C,3,0)</f>
        <v>#REF!</v>
      </c>
      <c r="AB241" s="1" t="e">
        <f>AA241*VLOOKUP(A241,'[29]geoMap (26)'!$A:$B,2,0)*VLOOKUP(A241,'[29]geoMap (26)'!$A:$C,3,0)</f>
        <v>#REF!</v>
      </c>
      <c r="AC241" s="1" t="e">
        <f>AB241/VLOOKUP(A241,'[30]geoMap (27)'!$A:$B,2,0)*VLOOKUP(A241,'[30]geoMap (27)'!$A:$C,3,0)</f>
        <v>#REF!</v>
      </c>
      <c r="AD241" s="1" t="e">
        <f>AC241/VLOOKUP(A241,'[31]geoMap (28)'!$A:$B,2,0)*VLOOKUP(A241,'[31]geoMap (28)'!$A:$C,3,0)</f>
        <v>#REF!</v>
      </c>
      <c r="AE241" s="1" t="e">
        <f>AD241/VLOOKUP(A241,'[32]geoMap (29)'!$A:$B,2,0)*VLOOKUP(A241,'[32]geoMap (29)'!$A:$C,3,0)</f>
        <v>#REF!</v>
      </c>
      <c r="AF241" s="1" t="e">
        <f>AE241/VLOOKUP(A241,'[33]geoMap (30)'!$A:$B,2,0)*VLOOKUP(A241,'[33]geoMap (30)'!$A:$C,3,0)</f>
        <v>#REF!</v>
      </c>
      <c r="AG241" s="1" t="e">
        <f>AF241/VLOOKUP(A241,'[34]geoMap (31)'!$A:$B,2,0)*VLOOKUP(A241,'[34]geoMap (31)'!$A:$C,3,0)</f>
        <v>#REF!</v>
      </c>
      <c r="AH241" s="1" t="e">
        <f>AG241/VLOOKUP(A241,'[35]geoMap (32)'!$A:$B,2,0)*VLOOKUP(A241,'[35]geoMap (32)'!$A:$C,3,0)</f>
        <v>#REF!</v>
      </c>
      <c r="AI241" s="1" t="e">
        <f>AH241/VLOOKUP(A241,'[36]geoMap (33)'!$A:$B,2,0)*VLOOKUP(A241,'[36]geoMap (33)'!$A:$C,3,0)</f>
        <v>#REF!</v>
      </c>
      <c r="AJ241" s="1" t="e">
        <f>AI241/VLOOKUP(A241,'[37]geoMap (34)'!$A:$B,2,0)*VLOOKUP(A241,'[37]geoMap (34)'!$A:$C,3,0)</f>
        <v>#REF!</v>
      </c>
      <c r="AK241" s="1" t="e">
        <f>AJ241/VLOOKUP(A241,'[38]geoMap (35)'!$A:$B,2,0)*VLOOKUP(A241,'[38]geoMap (35)'!$A:$C,3,0)</f>
        <v>#REF!</v>
      </c>
      <c r="AL241" s="1" t="e">
        <f>AK241/VLOOKUP(A241,'[39]geoMap (36)'!$A:$B,2,0)*VLOOKUP(A241,'[39]geoMap (36)'!$A:$C,3,0)</f>
        <v>#REF!</v>
      </c>
      <c r="AM241" s="1" t="e">
        <f>AL241/VLOOKUP(A241,'[40]geoMap (37)'!$A:$B,2,0)*VLOOKUP(A241,'[40]geoMap (37)'!$A:$C,3,0)</f>
        <v>#REF!</v>
      </c>
      <c r="AN241" s="1" t="e">
        <f>AM241/VLOOKUP(A241,'[41]geoMap (38)'!$A:$B,2,0)*VLOOKUP(A241,'[41]geoMap (38)'!$A:$C,3,0)</f>
        <v>#REF!</v>
      </c>
      <c r="AO241" s="1" t="e">
        <f>AN241/VLOOKUP(A241,'[42]geoMap (39)'!$A:$B,2,0)*VLOOKUP(A241,'[42]geoMap (39)'!$A:$C,3,0)</f>
        <v>#REF!</v>
      </c>
      <c r="AP241" s="1" t="e">
        <f>AO241/VLOOKUP(A241,'[43]geoMap (40)'!$A:$B,2,0)*VLOOKUP(A241,'[43]geoMap (40)'!$A:$C,3,0)</f>
        <v>#REF!</v>
      </c>
      <c r="AQ241" s="1" t="e">
        <f>AP241/VLOOKUP(A241,'[44]geoMap (41)'!$A:$B,2,0)*VLOOKUP(A241,'[44]geoMap (41)'!$A:$C,3,0)</f>
        <v>#REF!</v>
      </c>
      <c r="AR241" s="1" t="e">
        <f>AQ241/VLOOKUP(A241,'[45]geoMap (42)'!$A:$B,2,0)*VLOOKUP(A241,'[45]geoMap (42)'!$A:$C,3,0)</f>
        <v>#REF!</v>
      </c>
      <c r="AS241" s="1" t="e">
        <f>AR241/VLOOKUP(A241,'[46]geoMap (43)'!$A:$B,2,0)*VLOOKUP(A241,'[46]geoMap (43)'!$A:$C,3,0)</f>
        <v>#REF!</v>
      </c>
      <c r="AT241" s="1" t="e">
        <f>AS241/VLOOKUP(A241,'[47]geoMap (44)'!$A:$B,2,0)*VLOOKUP(A241,'[47]geoMap (44)'!$A:$C,3,0)</f>
        <v>#REF!</v>
      </c>
      <c r="AU241" s="1" t="e">
        <f>AT241/VLOOKUP(A241,'[48]geoMap (45)'!$A:$B,2,0)*VLOOKUP(A241,'[48]geoMap (45)'!$A:$C,3,0)</f>
        <v>#REF!</v>
      </c>
      <c r="AV241" s="1" t="e">
        <f>AU241/VLOOKUP(A241,'[49]geoMap (46)'!$A:$B,2,0)*VLOOKUP(A241,'[49]geoMap (46)'!$A:$C,3,0)</f>
        <v>#REF!</v>
      </c>
      <c r="AW241" s="1" t="e">
        <f>AV241/VLOOKUP(A241,'[50]geoMap (47)'!$A:$B,2,0)*VLOOKUP(A241,'[50]geoMap (47)'!$A:$C,3,0)</f>
        <v>#REF!</v>
      </c>
      <c r="AX241" s="4" t="e">
        <f>AW241/VLOOKUP(A241,'[51]geoMap (48)'!$A:$B,2,0)*VLOOKUP(A241,'[51]geoMap (48)'!$A:$C,3,0)</f>
        <v>#REF!</v>
      </c>
      <c r="AY241" s="1" t="e">
        <f>AX241/VLOOKUP(A241,'[52]geoMap (49)'!$A:$B,2,0)*VLOOKUP(A241,'[52]geoMap (49)'!$A:$C,3,0)</f>
        <v>#REF!</v>
      </c>
      <c r="AZ241" s="4" t="e">
        <f>AY241/VLOOKUP(A241,'[53]geoMap (50)'!$A:$B,2,0)*VLOOKUP(A241,'[53]geoMap (50)'!$A:$C,3,0)</f>
        <v>#REF!</v>
      </c>
      <c r="BA241" s="1" t="e">
        <f>AZ241/VLOOKUP(A241,'[54]geoMap (51)'!$A:$B,2,0)*VLOOKUP(A241,'[54]geoMap (51)'!$A:$C,3,0)</f>
        <v>#REF!</v>
      </c>
      <c r="BB241" s="4" t="e">
        <f>BA241/VLOOKUP(A241,'[55]geoMap (52)'!$A:$B,2,0)*VLOOKUP(A241,'[55]geoMap (52)'!$A:$C,3,0)</f>
        <v>#REF!</v>
      </c>
      <c r="BC241" s="1" t="e">
        <f>BB241/VLOOKUP(A241,'[56]geoMap (53)'!$A:$B,2,0)*VLOOKUP(A241,'[56]geoMap (53)'!$A:$C,3,0)</f>
        <v>#REF!</v>
      </c>
      <c r="BD241" s="4" t="e">
        <f>BC241/VLOOKUP(A241,'[57]geoMap (54)'!$A:$B,2,0)*VLOOKUP(A241,'[57]geoMap (54)'!$A:$C,3,0)</f>
        <v>#REF!</v>
      </c>
      <c r="BE241" s="1" t="e">
        <f>BD241/VLOOKUP(A241,'[58]geoMap (55)'!$A:$B,2,0)*VLOOKUP(A241,'[58]geoMap (55)'!$A:$C,3,0)</f>
        <v>#REF!</v>
      </c>
      <c r="BF241" s="4" t="e">
        <f>BE241/VLOOKUP(A241,'[59]geoMap (56)'!$A:$B,2,0)*VLOOKUP(A241,'[59]geoMap (56)'!$A:$C,3,0)</f>
        <v>#REF!</v>
      </c>
      <c r="BG241" s="1" t="e">
        <f>BF241/VLOOKUP(A241,'[60]geoMap (57)'!$A:$B,2,0)*VLOOKUP(A241,'[60]geoMap (57)'!$A:$C,3,0)</f>
        <v>#REF!</v>
      </c>
      <c r="BH241" s="4" t="e">
        <f>BG241/VLOOKUP(A241,'[61]geoMap (58)'!$A:$B,2,0)*VLOOKUP(A241,'[61]geoMap (58)'!$A:$C,3,0)</f>
        <v>#REF!</v>
      </c>
      <c r="BI241" s="1" t="e">
        <f>BH241/VLOOKUP(A241,'[62]geoMap (59)'!$A:$B,2,0)*VLOOKUP(A241,'[62]geoMap (59)'!$A:$C,3,0)</f>
        <v>#REF!</v>
      </c>
      <c r="BJ241" s="4" t="e">
        <f>BI241/VLOOKUP(A241,'[63]geoMap (60)'!$A:$B,2,0)*VLOOKUP(A241,'[63]geoMap (60)'!$A:$C,3,0)</f>
        <v>#REF!</v>
      </c>
      <c r="BK241" s="1" t="e">
        <f>BJ241/VLOOKUP(A241,'[64]geoMap (61)'!$A:$B,2,0)*VLOOKUP(A241,'[64]geoMap (61)'!$A:$C,3,0)</f>
        <v>#REF!</v>
      </c>
      <c r="BL241" s="4" t="e">
        <f>BK241/VLOOKUP(A241,'[65]geoMap (62)'!$A:$B,2,0)*VLOOKUP(A241,'[65]geoMap (62)'!$A:$C,3,0)</f>
        <v>#REF!</v>
      </c>
      <c r="BM241" s="1" t="e">
        <f>BL241/VLOOKUP(A241,'[66]geoMap (63)'!$A:$B,2,0)*VLOOKUP(A241,'[66]geoMap (63)'!$A:$C,3,0)</f>
        <v>#REF!</v>
      </c>
      <c r="BN241" s="4" t="e">
        <f>BM241/VLOOKUP(A241,'[67]geoMap (64)'!$A:$B,2,0)*VLOOKUP(A241,'[67]geoMap (64)'!$A:$C,3,0)</f>
        <v>#REF!</v>
      </c>
      <c r="BO241" s="1" t="e">
        <f>BN241/VLOOKUP(A241,'[68]geoMap (65)'!$A:$B,2,0)*VLOOKUP(A241,'[68]geoMap (65)'!$A:$C,3,0)</f>
        <v>#REF!</v>
      </c>
      <c r="BP241" s="4" t="e">
        <f>BO241/VLOOKUP(A241,'[69]geoMap (66)'!$A:$B,2,0)*VLOOKUP(A241,'[69]geoMap (66)'!$A:$C,3,0)</f>
        <v>#REF!</v>
      </c>
    </row>
    <row r="242" spans="1:68" x14ac:dyDescent="0.2">
      <c r="A242" s="1" t="s">
        <v>244</v>
      </c>
      <c r="B242" s="1" t="e">
        <f>VLOOKUP(A242,[3]geoMap!$A:$B,2,0)*Notes!$C$6</f>
        <v>#REF!</v>
      </c>
      <c r="C242" s="1" t="e">
        <f>B242/VLOOKUP(A242,'[4]geoMap (1)'!$A:$B,2,0)*VLOOKUP(A242,'[4]geoMap (1)'!$A:$C,3,0)</f>
        <v>#REF!</v>
      </c>
      <c r="D242" s="1" t="e">
        <f>C242/VLOOKUP(A242,'[5]geoMap (2)'!$A:$B,2,0)*VLOOKUP(A242,'[5]geoMap (2)'!$A:$C,3,0)</f>
        <v>#REF!</v>
      </c>
      <c r="E242" s="1" t="e">
        <f>D242/VLOOKUP(A242,'[6]geoMap (3)'!$A:$B,2,0)*VLOOKUP(A242,'[6]geoMap (3)'!$A:$C,3,0)</f>
        <v>#REF!</v>
      </c>
      <c r="F242" s="1" t="e">
        <f>E242/VLOOKUP(A242,'[7]geoMap (4)'!$A:$B,2,0)*VLOOKUP(A242,'[7]geoMap (4)'!$A:$C,3,0)</f>
        <v>#REF!</v>
      </c>
      <c r="G242" s="1" t="e">
        <f>F242/VLOOKUP(A242,'[8]geoMap (5)'!$A:$B,2,0)*VLOOKUP(A242,'[8]geoMap (5)'!$A:$C,3,0)</f>
        <v>#REF!</v>
      </c>
      <c r="H242" s="1" t="e">
        <f>G242/VLOOKUP(A242,'[9]geoMap (6)'!$A:$B,2,0)*VLOOKUP(A242,'[9]geoMap (6)'!$A:$C,3,0)</f>
        <v>#REF!</v>
      </c>
      <c r="I242" s="1" t="e">
        <f>H242/VLOOKUP(A242,'[10]geoMap (7)'!$A:$B,2,0)*VLOOKUP(A242,'[10]geoMap (7)'!$A:$C,3,0)</f>
        <v>#REF!</v>
      </c>
      <c r="J242" s="1" t="e">
        <f>I242/VLOOKUP(A242,'[11]geoMap (8)'!$A:$B,2,0)*VLOOKUP(A242,'[11]geoMap (8)'!$A:$C,3,0)</f>
        <v>#REF!</v>
      </c>
      <c r="K242" s="1" t="e">
        <f>J242/VLOOKUP(A242,'[12]geoMap (9)'!$A:$B,2,0)*VLOOKUP(A242,'[12]geoMap (9)'!$A:$C,3,0)</f>
        <v>#REF!</v>
      </c>
      <c r="L242" s="1" t="e">
        <f>K242/VLOOKUP(A242,'[13]geoMap (10)'!$A:$B,2,0)*VLOOKUP(A242,'[13]geoMap (10)'!$A:$C,3,0)</f>
        <v>#REF!</v>
      </c>
      <c r="M242" s="1" t="e">
        <f>L242/VLOOKUP(A242,'[14]geoMap (11)'!$A:$B,2,0)*VLOOKUP(A242,'[14]geoMap (11)'!$A:$C,3,0)</f>
        <v>#REF!</v>
      </c>
      <c r="N242" s="1" t="e">
        <f>M242/VLOOKUP(A242,'[15]geoMap (12)'!$A:$B,2,0)*VLOOKUP(A242,'[15]geoMap (12)'!$A:$C,3,0)</f>
        <v>#REF!</v>
      </c>
      <c r="O242" s="1" t="e">
        <f>N242/VLOOKUP(A242,'[16]geoMap (13)'!$A:$B,2,0)*VLOOKUP(A242,'[16]geoMap (13)'!$A:$C,3,0)</f>
        <v>#REF!</v>
      </c>
      <c r="P242" s="1" t="e">
        <f>O242/VLOOKUP(A242,'[17]geoMap (14)'!$A:$B,2,0)*VLOOKUP(A242,'[17]geoMap (14)'!$A:$C,3,0)</f>
        <v>#REF!</v>
      </c>
      <c r="Q242" s="1" t="e">
        <f>P242/VLOOKUP(A242,'[18]geoMap (15)'!$A:$B,2,0)*VLOOKUP(A242,'[18]geoMap (15)'!$A:$C,3,0)</f>
        <v>#REF!</v>
      </c>
      <c r="R242" s="1" t="e">
        <f>Q242/VLOOKUP(A242,'[19]geoMap (16)'!$A:$B,2,0)*VLOOKUP(A242,'[19]geoMap (16)'!$A:$C,3,0)</f>
        <v>#REF!</v>
      </c>
      <c r="S242" s="1" t="e">
        <f>R242/VLOOKUP(A242,'[20]geoMap (17)'!$A:$B,2,0)*VLOOKUP(A242,'[20]geoMap (17)'!$A:$C,3,0)</f>
        <v>#REF!</v>
      </c>
      <c r="T242" s="1" t="e">
        <f>S242/VLOOKUP(A242,'[21]geoMap (18)'!$A:$B,2,0)*VLOOKUP(A242,'[21]geoMap (18)'!$A:$C,3,0)</f>
        <v>#REF!</v>
      </c>
      <c r="U242" s="1" t="e">
        <f>T242/VLOOKUP(A242,'[22]geoMap (19)'!$A:$B,2,0)*VLOOKUP(A242,'[22]geoMap (19)'!$A:$C,3,0)</f>
        <v>#REF!</v>
      </c>
      <c r="V242" s="1" t="e">
        <f>U242/VLOOKUP(A242,'[23]geoMap (20)'!$A:$B,2,0)*VLOOKUP(A242,'[23]geoMap (20)'!$A:$C,3,0)</f>
        <v>#REF!</v>
      </c>
      <c r="W242" s="1" t="e">
        <f>V242/VLOOKUP(A242,'[24]geoMap (21)'!$A:$B,2,0)*VLOOKUP(A242,'[24]geoMap (21)'!$A:$C,3,0)</f>
        <v>#REF!</v>
      </c>
      <c r="X242" s="1" t="e">
        <f>W242/VLOOKUP(A242,'[25]geoMap (22)'!$A:$B,2,0)*VLOOKUP(A242,'[25]geoMap (22)'!$A:$C,3,0)</f>
        <v>#REF!</v>
      </c>
      <c r="Y242" s="1" t="e">
        <f>X242/VLOOKUP(A242,'[26]geoMap (23)'!$A:$B,2,0)*VLOOKUP(A242,'[26]geoMap (23)'!$A:$C,3,0)</f>
        <v>#REF!</v>
      </c>
      <c r="Z242" s="1" t="e">
        <f>Y242/VLOOKUP(A242,'[27]geoMap (24)'!$A:$B,2,0)*VLOOKUP(A242,'[27]geoMap (24)'!$A:$C,3,0)</f>
        <v>#REF!</v>
      </c>
      <c r="AA242" s="1" t="e">
        <f>Z242/VLOOKUP(A242,'[28]geoMap (25)'!$A:$B,2,0)*VLOOKUP(A242,'[28]geoMap (25)'!$A:$C,3,0)</f>
        <v>#REF!</v>
      </c>
      <c r="AB242" s="1" t="e">
        <f>AA242*VLOOKUP(A242,'[29]geoMap (26)'!$A:$B,2,0)*VLOOKUP(A242,'[29]geoMap (26)'!$A:$C,3,0)</f>
        <v>#REF!</v>
      </c>
      <c r="AC242" s="1" t="e">
        <f>AB242/VLOOKUP(A242,'[30]geoMap (27)'!$A:$B,2,0)*VLOOKUP(A242,'[30]geoMap (27)'!$A:$C,3,0)</f>
        <v>#REF!</v>
      </c>
      <c r="AD242" s="1" t="e">
        <f>AC242/VLOOKUP(A242,'[31]geoMap (28)'!$A:$B,2,0)*VLOOKUP(A242,'[31]geoMap (28)'!$A:$C,3,0)</f>
        <v>#REF!</v>
      </c>
      <c r="AE242" s="1" t="e">
        <f>AD242/VLOOKUP(A242,'[32]geoMap (29)'!$A:$B,2,0)*VLOOKUP(A242,'[32]geoMap (29)'!$A:$C,3,0)</f>
        <v>#REF!</v>
      </c>
      <c r="AF242" s="1" t="e">
        <f>AE242/VLOOKUP(A242,'[33]geoMap (30)'!$A:$B,2,0)*VLOOKUP(A242,'[33]geoMap (30)'!$A:$C,3,0)</f>
        <v>#REF!</v>
      </c>
      <c r="AG242" s="1" t="e">
        <f>AF242/VLOOKUP(A242,'[34]geoMap (31)'!$A:$B,2,0)*VLOOKUP(A242,'[34]geoMap (31)'!$A:$C,3,0)</f>
        <v>#REF!</v>
      </c>
      <c r="AH242" s="1" t="e">
        <f>AG242/VLOOKUP(A242,'[35]geoMap (32)'!$A:$B,2,0)*VLOOKUP(A242,'[35]geoMap (32)'!$A:$C,3,0)</f>
        <v>#REF!</v>
      </c>
      <c r="AI242" s="1" t="e">
        <f>AH242/VLOOKUP(A242,'[36]geoMap (33)'!$A:$B,2,0)*VLOOKUP(A242,'[36]geoMap (33)'!$A:$C,3,0)</f>
        <v>#REF!</v>
      </c>
      <c r="AJ242" s="1" t="e">
        <f>AI242/VLOOKUP(A242,'[37]geoMap (34)'!$A:$B,2,0)*VLOOKUP(A242,'[37]geoMap (34)'!$A:$C,3,0)</f>
        <v>#REF!</v>
      </c>
      <c r="AK242" s="1" t="e">
        <f>AJ242/VLOOKUP(A242,'[38]geoMap (35)'!$A:$B,2,0)*VLOOKUP(A242,'[38]geoMap (35)'!$A:$C,3,0)</f>
        <v>#REF!</v>
      </c>
      <c r="AL242" s="1" t="e">
        <f>AK242/VLOOKUP(A242,'[39]geoMap (36)'!$A:$B,2,0)*VLOOKUP(A242,'[39]geoMap (36)'!$A:$C,3,0)</f>
        <v>#REF!</v>
      </c>
      <c r="AM242" s="1" t="e">
        <f>AL242/VLOOKUP(A242,'[40]geoMap (37)'!$A:$B,2,0)*VLOOKUP(A242,'[40]geoMap (37)'!$A:$C,3,0)</f>
        <v>#REF!</v>
      </c>
      <c r="AN242" s="1" t="e">
        <f>AM242/VLOOKUP(A242,'[41]geoMap (38)'!$A:$B,2,0)*VLOOKUP(A242,'[41]geoMap (38)'!$A:$C,3,0)</f>
        <v>#REF!</v>
      </c>
      <c r="AO242" s="1" t="e">
        <f>AN242/VLOOKUP(A242,'[42]geoMap (39)'!$A:$B,2,0)*VLOOKUP(A242,'[42]geoMap (39)'!$A:$C,3,0)</f>
        <v>#REF!</v>
      </c>
      <c r="AP242" s="1" t="e">
        <f>AO242/VLOOKUP(A242,'[43]geoMap (40)'!$A:$B,2,0)*VLOOKUP(A242,'[43]geoMap (40)'!$A:$C,3,0)</f>
        <v>#REF!</v>
      </c>
      <c r="AQ242" s="1" t="e">
        <f>AP242/VLOOKUP(A242,'[44]geoMap (41)'!$A:$B,2,0)*VLOOKUP(A242,'[44]geoMap (41)'!$A:$C,3,0)</f>
        <v>#REF!</v>
      </c>
      <c r="AR242" s="1" t="e">
        <f>AQ242/VLOOKUP(A242,'[45]geoMap (42)'!$A:$B,2,0)*VLOOKUP(A242,'[45]geoMap (42)'!$A:$C,3,0)</f>
        <v>#REF!</v>
      </c>
      <c r="AS242" s="1" t="e">
        <f>AR242/VLOOKUP(A242,'[46]geoMap (43)'!$A:$B,2,0)*VLOOKUP(A242,'[46]geoMap (43)'!$A:$C,3,0)</f>
        <v>#REF!</v>
      </c>
      <c r="AT242" s="1" t="e">
        <f>AS242/VLOOKUP(A242,'[47]geoMap (44)'!$A:$B,2,0)*VLOOKUP(A242,'[47]geoMap (44)'!$A:$C,3,0)</f>
        <v>#REF!</v>
      </c>
      <c r="AU242" s="1" t="e">
        <f>AT242/VLOOKUP(A242,'[48]geoMap (45)'!$A:$B,2,0)*VLOOKUP(A242,'[48]geoMap (45)'!$A:$C,3,0)</f>
        <v>#REF!</v>
      </c>
      <c r="AV242" s="1" t="e">
        <f>AU242/VLOOKUP(A242,'[49]geoMap (46)'!$A:$B,2,0)*VLOOKUP(A242,'[49]geoMap (46)'!$A:$C,3,0)</f>
        <v>#REF!</v>
      </c>
      <c r="AW242" s="1" t="e">
        <f>AV242/VLOOKUP(A242,'[50]geoMap (47)'!$A:$B,2,0)*VLOOKUP(A242,'[50]geoMap (47)'!$A:$C,3,0)</f>
        <v>#REF!</v>
      </c>
      <c r="AX242" s="4" t="e">
        <f>AW242/VLOOKUP(A242,'[51]geoMap (48)'!$A:$B,2,0)*VLOOKUP(A242,'[51]geoMap (48)'!$A:$C,3,0)</f>
        <v>#REF!</v>
      </c>
      <c r="AY242" s="1" t="e">
        <f>AX242/VLOOKUP(A242,'[52]geoMap (49)'!$A:$B,2,0)*VLOOKUP(A242,'[52]geoMap (49)'!$A:$C,3,0)</f>
        <v>#REF!</v>
      </c>
      <c r="AZ242" s="4" t="e">
        <f>AY242/VLOOKUP(A242,'[53]geoMap (50)'!$A:$B,2,0)*VLOOKUP(A242,'[53]geoMap (50)'!$A:$C,3,0)</f>
        <v>#REF!</v>
      </c>
      <c r="BA242" s="1" t="e">
        <f>AZ242/VLOOKUP(A242,'[54]geoMap (51)'!$A:$B,2,0)*VLOOKUP(A242,'[54]geoMap (51)'!$A:$C,3,0)</f>
        <v>#REF!</v>
      </c>
      <c r="BB242" s="4" t="e">
        <f>BA242/VLOOKUP(A242,'[55]geoMap (52)'!$A:$B,2,0)*VLOOKUP(A242,'[55]geoMap (52)'!$A:$C,3,0)</f>
        <v>#REF!</v>
      </c>
      <c r="BC242" s="1" t="e">
        <f>BB242/VLOOKUP(A242,'[56]geoMap (53)'!$A:$B,2,0)*VLOOKUP(A242,'[56]geoMap (53)'!$A:$C,3,0)</f>
        <v>#REF!</v>
      </c>
      <c r="BD242" s="4" t="e">
        <f>BC242/VLOOKUP(A242,'[57]geoMap (54)'!$A:$B,2,0)*VLOOKUP(A242,'[57]geoMap (54)'!$A:$C,3,0)</f>
        <v>#REF!</v>
      </c>
      <c r="BE242" s="1" t="e">
        <f>BD242/VLOOKUP(A242,'[58]geoMap (55)'!$A:$B,2,0)*VLOOKUP(A242,'[58]geoMap (55)'!$A:$C,3,0)</f>
        <v>#REF!</v>
      </c>
      <c r="BF242" s="4" t="e">
        <f>BE242/VLOOKUP(A242,'[59]geoMap (56)'!$A:$B,2,0)*VLOOKUP(A242,'[59]geoMap (56)'!$A:$C,3,0)</f>
        <v>#REF!</v>
      </c>
      <c r="BG242" s="1" t="e">
        <f>BF242/VLOOKUP(A242,'[60]geoMap (57)'!$A:$B,2,0)*VLOOKUP(A242,'[60]geoMap (57)'!$A:$C,3,0)</f>
        <v>#REF!</v>
      </c>
      <c r="BH242" s="4" t="e">
        <f>BG242/VLOOKUP(A242,'[61]geoMap (58)'!$A:$B,2,0)*VLOOKUP(A242,'[61]geoMap (58)'!$A:$C,3,0)</f>
        <v>#REF!</v>
      </c>
      <c r="BI242" s="1" t="e">
        <f>BH242/VLOOKUP(A242,'[62]geoMap (59)'!$A:$B,2,0)*VLOOKUP(A242,'[62]geoMap (59)'!$A:$C,3,0)</f>
        <v>#REF!</v>
      </c>
      <c r="BJ242" s="4" t="e">
        <f>BI242/VLOOKUP(A242,'[63]geoMap (60)'!$A:$B,2,0)*VLOOKUP(A242,'[63]geoMap (60)'!$A:$C,3,0)</f>
        <v>#REF!</v>
      </c>
      <c r="BK242" s="1" t="e">
        <f>BJ242/VLOOKUP(A242,'[64]geoMap (61)'!$A:$B,2,0)*VLOOKUP(A242,'[64]geoMap (61)'!$A:$C,3,0)</f>
        <v>#REF!</v>
      </c>
      <c r="BL242" s="4" t="e">
        <f>BK242/VLOOKUP(A242,'[65]geoMap (62)'!$A:$B,2,0)*VLOOKUP(A242,'[65]geoMap (62)'!$A:$C,3,0)</f>
        <v>#REF!</v>
      </c>
      <c r="BM242" s="1" t="e">
        <f>BL242/VLOOKUP(A242,'[66]geoMap (63)'!$A:$B,2,0)*VLOOKUP(A242,'[66]geoMap (63)'!$A:$C,3,0)</f>
        <v>#REF!</v>
      </c>
      <c r="BN242" s="4" t="e">
        <f>BM242/VLOOKUP(A242,'[67]geoMap (64)'!$A:$B,2,0)*VLOOKUP(A242,'[67]geoMap (64)'!$A:$C,3,0)</f>
        <v>#REF!</v>
      </c>
      <c r="BO242" s="1" t="e">
        <f>BN242/VLOOKUP(A242,'[68]geoMap (65)'!$A:$B,2,0)*VLOOKUP(A242,'[68]geoMap (65)'!$A:$C,3,0)</f>
        <v>#REF!</v>
      </c>
      <c r="BP242" s="4" t="e">
        <f>BO242/VLOOKUP(A242,'[69]geoMap (66)'!$A:$B,2,0)*VLOOKUP(A242,'[69]geoMap (66)'!$A:$C,3,0)</f>
        <v>#REF!</v>
      </c>
    </row>
    <row r="243" spans="1:68" x14ac:dyDescent="0.2">
      <c r="A243" s="1" t="s">
        <v>245</v>
      </c>
      <c r="B243" s="1" t="e">
        <f>VLOOKUP(A243,[3]geoMap!$A:$B,2,0)*Notes!$C$6</f>
        <v>#REF!</v>
      </c>
      <c r="C243" s="1" t="e">
        <f>B243/VLOOKUP(A243,'[4]geoMap (1)'!$A:$B,2,0)*VLOOKUP(A243,'[4]geoMap (1)'!$A:$C,3,0)</f>
        <v>#REF!</v>
      </c>
      <c r="D243" s="1" t="e">
        <f>C243/VLOOKUP(A243,'[5]geoMap (2)'!$A:$B,2,0)*VLOOKUP(A243,'[5]geoMap (2)'!$A:$C,3,0)</f>
        <v>#REF!</v>
      </c>
      <c r="E243" s="1" t="e">
        <f>D243/VLOOKUP(A243,'[6]geoMap (3)'!$A:$B,2,0)*VLOOKUP(A243,'[6]geoMap (3)'!$A:$C,3,0)</f>
        <v>#REF!</v>
      </c>
      <c r="F243" s="1" t="e">
        <f>E243/VLOOKUP(A243,'[7]geoMap (4)'!$A:$B,2,0)*VLOOKUP(A243,'[7]geoMap (4)'!$A:$C,3,0)</f>
        <v>#REF!</v>
      </c>
      <c r="G243" s="1" t="e">
        <f>F243/VLOOKUP(A243,'[8]geoMap (5)'!$A:$B,2,0)*VLOOKUP(A243,'[8]geoMap (5)'!$A:$C,3,0)</f>
        <v>#REF!</v>
      </c>
      <c r="H243" s="1" t="e">
        <f>G243/VLOOKUP(A243,'[9]geoMap (6)'!$A:$B,2,0)*VLOOKUP(A243,'[9]geoMap (6)'!$A:$C,3,0)</f>
        <v>#REF!</v>
      </c>
      <c r="I243" s="1" t="e">
        <f>H243/VLOOKUP(A243,'[10]geoMap (7)'!$A:$B,2,0)*VLOOKUP(A243,'[10]geoMap (7)'!$A:$C,3,0)</f>
        <v>#REF!</v>
      </c>
      <c r="J243" s="1" t="e">
        <f>I243/VLOOKUP(A243,'[11]geoMap (8)'!$A:$B,2,0)*VLOOKUP(A243,'[11]geoMap (8)'!$A:$C,3,0)</f>
        <v>#REF!</v>
      </c>
      <c r="K243" s="1" t="e">
        <f>J243/VLOOKUP(A243,'[12]geoMap (9)'!$A:$B,2,0)*VLOOKUP(A243,'[12]geoMap (9)'!$A:$C,3,0)</f>
        <v>#REF!</v>
      </c>
      <c r="L243" s="1" t="e">
        <f>K243/VLOOKUP(A243,'[13]geoMap (10)'!$A:$B,2,0)*VLOOKUP(A243,'[13]geoMap (10)'!$A:$C,3,0)</f>
        <v>#REF!</v>
      </c>
      <c r="M243" s="1" t="e">
        <f>L243/VLOOKUP(A243,'[14]geoMap (11)'!$A:$B,2,0)*VLOOKUP(A243,'[14]geoMap (11)'!$A:$C,3,0)</f>
        <v>#REF!</v>
      </c>
      <c r="N243" s="1" t="e">
        <f>M243/VLOOKUP(A243,'[15]geoMap (12)'!$A:$B,2,0)*VLOOKUP(A243,'[15]geoMap (12)'!$A:$C,3,0)</f>
        <v>#REF!</v>
      </c>
      <c r="O243" s="1" t="e">
        <f>N243/VLOOKUP(A243,'[16]geoMap (13)'!$A:$B,2,0)*VLOOKUP(A243,'[16]geoMap (13)'!$A:$C,3,0)</f>
        <v>#REF!</v>
      </c>
      <c r="P243" s="1" t="e">
        <f>O243/VLOOKUP(A243,'[17]geoMap (14)'!$A:$B,2,0)*VLOOKUP(A243,'[17]geoMap (14)'!$A:$C,3,0)</f>
        <v>#REF!</v>
      </c>
      <c r="Q243" s="1" t="e">
        <f>P243/VLOOKUP(A243,'[18]geoMap (15)'!$A:$B,2,0)*VLOOKUP(A243,'[18]geoMap (15)'!$A:$C,3,0)</f>
        <v>#REF!</v>
      </c>
      <c r="R243" s="1" t="e">
        <f>Q243/VLOOKUP(A243,'[19]geoMap (16)'!$A:$B,2,0)*VLOOKUP(A243,'[19]geoMap (16)'!$A:$C,3,0)</f>
        <v>#REF!</v>
      </c>
      <c r="S243" s="1" t="e">
        <f>R243/VLOOKUP(A243,'[20]geoMap (17)'!$A:$B,2,0)*VLOOKUP(A243,'[20]geoMap (17)'!$A:$C,3,0)</f>
        <v>#REF!</v>
      </c>
      <c r="T243" s="1" t="e">
        <f>S243/VLOOKUP(A243,'[21]geoMap (18)'!$A:$B,2,0)*VLOOKUP(A243,'[21]geoMap (18)'!$A:$C,3,0)</f>
        <v>#REF!</v>
      </c>
      <c r="U243" s="1" t="e">
        <f>T243/VLOOKUP(A243,'[22]geoMap (19)'!$A:$B,2,0)*VLOOKUP(A243,'[22]geoMap (19)'!$A:$C,3,0)</f>
        <v>#REF!</v>
      </c>
      <c r="V243" s="1" t="e">
        <f>U243/VLOOKUP(A243,'[23]geoMap (20)'!$A:$B,2,0)*VLOOKUP(A243,'[23]geoMap (20)'!$A:$C,3,0)</f>
        <v>#REF!</v>
      </c>
      <c r="W243" s="1" t="e">
        <f>V243/VLOOKUP(A243,'[24]geoMap (21)'!$A:$B,2,0)*VLOOKUP(A243,'[24]geoMap (21)'!$A:$C,3,0)</f>
        <v>#REF!</v>
      </c>
      <c r="X243" s="1" t="e">
        <f>W243/VLOOKUP(A243,'[25]geoMap (22)'!$A:$B,2,0)*VLOOKUP(A243,'[25]geoMap (22)'!$A:$C,3,0)</f>
        <v>#REF!</v>
      </c>
      <c r="Y243" s="1" t="e">
        <f>X243/VLOOKUP(A243,'[26]geoMap (23)'!$A:$B,2,0)*VLOOKUP(A243,'[26]geoMap (23)'!$A:$C,3,0)</f>
        <v>#REF!</v>
      </c>
      <c r="Z243" s="1" t="e">
        <f>Y243/VLOOKUP(A243,'[27]geoMap (24)'!$A:$B,2,0)*VLOOKUP(A243,'[27]geoMap (24)'!$A:$C,3,0)</f>
        <v>#REF!</v>
      </c>
      <c r="AA243" s="1" t="e">
        <f>Z243/VLOOKUP(A243,'[28]geoMap (25)'!$A:$B,2,0)*VLOOKUP(A243,'[28]geoMap (25)'!$A:$C,3,0)</f>
        <v>#REF!</v>
      </c>
      <c r="AB243" s="1" t="e">
        <f>AA243*VLOOKUP(A243,'[29]geoMap (26)'!$A:$B,2,0)*VLOOKUP(A243,'[29]geoMap (26)'!$A:$C,3,0)</f>
        <v>#REF!</v>
      </c>
      <c r="AC243" s="1" t="e">
        <f>AB243/VLOOKUP(A243,'[30]geoMap (27)'!$A:$B,2,0)*VLOOKUP(A243,'[30]geoMap (27)'!$A:$C,3,0)</f>
        <v>#REF!</v>
      </c>
      <c r="AD243" s="1" t="e">
        <f>AC243/VLOOKUP(A243,'[31]geoMap (28)'!$A:$B,2,0)*VLOOKUP(A243,'[31]geoMap (28)'!$A:$C,3,0)</f>
        <v>#REF!</v>
      </c>
      <c r="AE243" s="1" t="e">
        <f>AD243/VLOOKUP(A243,'[32]geoMap (29)'!$A:$B,2,0)*VLOOKUP(A243,'[32]geoMap (29)'!$A:$C,3,0)</f>
        <v>#REF!</v>
      </c>
      <c r="AF243" s="1" t="e">
        <f>AE243/VLOOKUP(A243,'[33]geoMap (30)'!$A:$B,2,0)*VLOOKUP(A243,'[33]geoMap (30)'!$A:$C,3,0)</f>
        <v>#REF!</v>
      </c>
      <c r="AG243" s="1" t="e">
        <f>AF243/VLOOKUP(A243,'[34]geoMap (31)'!$A:$B,2,0)*VLOOKUP(A243,'[34]geoMap (31)'!$A:$C,3,0)</f>
        <v>#REF!</v>
      </c>
      <c r="AH243" s="1" t="e">
        <f>AG243/VLOOKUP(A243,'[35]geoMap (32)'!$A:$B,2,0)*VLOOKUP(A243,'[35]geoMap (32)'!$A:$C,3,0)</f>
        <v>#REF!</v>
      </c>
      <c r="AI243" s="1" t="e">
        <f>AH243/VLOOKUP(A243,'[36]geoMap (33)'!$A:$B,2,0)*VLOOKUP(A243,'[36]geoMap (33)'!$A:$C,3,0)</f>
        <v>#REF!</v>
      </c>
      <c r="AJ243" s="1" t="e">
        <f>AI243/VLOOKUP(A243,'[37]geoMap (34)'!$A:$B,2,0)*VLOOKUP(A243,'[37]geoMap (34)'!$A:$C,3,0)</f>
        <v>#REF!</v>
      </c>
      <c r="AK243" s="1" t="e">
        <f>AJ243/VLOOKUP(A243,'[38]geoMap (35)'!$A:$B,2,0)*VLOOKUP(A243,'[38]geoMap (35)'!$A:$C,3,0)</f>
        <v>#REF!</v>
      </c>
      <c r="AL243" s="1" t="e">
        <f>AK243/VLOOKUP(A243,'[39]geoMap (36)'!$A:$B,2,0)*VLOOKUP(A243,'[39]geoMap (36)'!$A:$C,3,0)</f>
        <v>#REF!</v>
      </c>
      <c r="AM243" s="1" t="e">
        <f>AL243/VLOOKUP(A243,'[40]geoMap (37)'!$A:$B,2,0)*VLOOKUP(A243,'[40]geoMap (37)'!$A:$C,3,0)</f>
        <v>#REF!</v>
      </c>
      <c r="AN243" s="1" t="e">
        <f>AM243/VLOOKUP(A243,'[41]geoMap (38)'!$A:$B,2,0)*VLOOKUP(A243,'[41]geoMap (38)'!$A:$C,3,0)</f>
        <v>#REF!</v>
      </c>
      <c r="AO243" s="1" t="e">
        <f>AN243/VLOOKUP(A243,'[42]geoMap (39)'!$A:$B,2,0)*VLOOKUP(A243,'[42]geoMap (39)'!$A:$C,3,0)</f>
        <v>#REF!</v>
      </c>
      <c r="AP243" s="1" t="e">
        <f>AO243/VLOOKUP(A243,'[43]geoMap (40)'!$A:$B,2,0)*VLOOKUP(A243,'[43]geoMap (40)'!$A:$C,3,0)</f>
        <v>#REF!</v>
      </c>
      <c r="AQ243" s="1" t="e">
        <f>AP243/VLOOKUP(A243,'[44]geoMap (41)'!$A:$B,2,0)*VLOOKUP(A243,'[44]geoMap (41)'!$A:$C,3,0)</f>
        <v>#REF!</v>
      </c>
      <c r="AR243" s="1" t="e">
        <f>AQ243/VLOOKUP(A243,'[45]geoMap (42)'!$A:$B,2,0)*VLOOKUP(A243,'[45]geoMap (42)'!$A:$C,3,0)</f>
        <v>#REF!</v>
      </c>
      <c r="AS243" s="1" t="e">
        <f>AR243/VLOOKUP(A243,'[46]geoMap (43)'!$A:$B,2,0)*VLOOKUP(A243,'[46]geoMap (43)'!$A:$C,3,0)</f>
        <v>#REF!</v>
      </c>
      <c r="AT243" s="1" t="e">
        <f>AS243/VLOOKUP(A243,'[47]geoMap (44)'!$A:$B,2,0)*VLOOKUP(A243,'[47]geoMap (44)'!$A:$C,3,0)</f>
        <v>#REF!</v>
      </c>
      <c r="AU243" s="1" t="e">
        <f>AT243/VLOOKUP(A243,'[48]geoMap (45)'!$A:$B,2,0)*VLOOKUP(A243,'[48]geoMap (45)'!$A:$C,3,0)</f>
        <v>#REF!</v>
      </c>
      <c r="AV243" s="1" t="e">
        <f>AU243/VLOOKUP(A243,'[49]geoMap (46)'!$A:$B,2,0)*VLOOKUP(A243,'[49]geoMap (46)'!$A:$C,3,0)</f>
        <v>#REF!</v>
      </c>
      <c r="AW243" s="1" t="e">
        <f>AV243/VLOOKUP(A243,'[50]geoMap (47)'!$A:$B,2,0)*VLOOKUP(A243,'[50]geoMap (47)'!$A:$C,3,0)</f>
        <v>#REF!</v>
      </c>
      <c r="AX243" s="4" t="e">
        <f>AW243/VLOOKUP(A243,'[51]geoMap (48)'!$A:$B,2,0)*VLOOKUP(A243,'[51]geoMap (48)'!$A:$C,3,0)</f>
        <v>#REF!</v>
      </c>
      <c r="AY243" s="1" t="e">
        <f>AX243/VLOOKUP(A243,'[52]geoMap (49)'!$A:$B,2,0)*VLOOKUP(A243,'[52]geoMap (49)'!$A:$C,3,0)</f>
        <v>#REF!</v>
      </c>
      <c r="AZ243" s="4" t="e">
        <f>AY243/VLOOKUP(A243,'[53]geoMap (50)'!$A:$B,2,0)*VLOOKUP(A243,'[53]geoMap (50)'!$A:$C,3,0)</f>
        <v>#REF!</v>
      </c>
      <c r="BA243" s="1" t="e">
        <f>AZ243/VLOOKUP(A243,'[54]geoMap (51)'!$A:$B,2,0)*VLOOKUP(A243,'[54]geoMap (51)'!$A:$C,3,0)</f>
        <v>#REF!</v>
      </c>
      <c r="BB243" s="4" t="e">
        <f>BA243/VLOOKUP(A243,'[55]geoMap (52)'!$A:$B,2,0)*VLOOKUP(A243,'[55]geoMap (52)'!$A:$C,3,0)</f>
        <v>#REF!</v>
      </c>
      <c r="BC243" s="1" t="e">
        <f>BB243/VLOOKUP(A243,'[56]geoMap (53)'!$A:$B,2,0)*VLOOKUP(A243,'[56]geoMap (53)'!$A:$C,3,0)</f>
        <v>#REF!</v>
      </c>
      <c r="BD243" s="4" t="e">
        <f>BC243/VLOOKUP(A243,'[57]geoMap (54)'!$A:$B,2,0)*VLOOKUP(A243,'[57]geoMap (54)'!$A:$C,3,0)</f>
        <v>#REF!</v>
      </c>
      <c r="BE243" s="1" t="e">
        <f>BD243/VLOOKUP(A243,'[58]geoMap (55)'!$A:$B,2,0)*VLOOKUP(A243,'[58]geoMap (55)'!$A:$C,3,0)</f>
        <v>#REF!</v>
      </c>
      <c r="BF243" s="4" t="e">
        <f>BE243/VLOOKUP(A243,'[59]geoMap (56)'!$A:$B,2,0)*VLOOKUP(A243,'[59]geoMap (56)'!$A:$C,3,0)</f>
        <v>#REF!</v>
      </c>
      <c r="BG243" s="1" t="e">
        <f>BF243/VLOOKUP(A243,'[60]geoMap (57)'!$A:$B,2,0)*VLOOKUP(A243,'[60]geoMap (57)'!$A:$C,3,0)</f>
        <v>#REF!</v>
      </c>
      <c r="BH243" s="4" t="e">
        <f>BG243/VLOOKUP(A243,'[61]geoMap (58)'!$A:$B,2,0)*VLOOKUP(A243,'[61]geoMap (58)'!$A:$C,3,0)</f>
        <v>#REF!</v>
      </c>
      <c r="BI243" s="1" t="e">
        <f>BH243/VLOOKUP(A243,'[62]geoMap (59)'!$A:$B,2,0)*VLOOKUP(A243,'[62]geoMap (59)'!$A:$C,3,0)</f>
        <v>#REF!</v>
      </c>
      <c r="BJ243" s="4" t="e">
        <f>BI243/VLOOKUP(A243,'[63]geoMap (60)'!$A:$B,2,0)*VLOOKUP(A243,'[63]geoMap (60)'!$A:$C,3,0)</f>
        <v>#REF!</v>
      </c>
      <c r="BK243" s="1" t="e">
        <f>BJ243/VLOOKUP(A243,'[64]geoMap (61)'!$A:$B,2,0)*VLOOKUP(A243,'[64]geoMap (61)'!$A:$C,3,0)</f>
        <v>#REF!</v>
      </c>
      <c r="BL243" s="4" t="e">
        <f>BK243/VLOOKUP(A243,'[65]geoMap (62)'!$A:$B,2,0)*VLOOKUP(A243,'[65]geoMap (62)'!$A:$C,3,0)</f>
        <v>#REF!</v>
      </c>
      <c r="BM243" s="1" t="e">
        <f>BL243/VLOOKUP(A243,'[66]geoMap (63)'!$A:$B,2,0)*VLOOKUP(A243,'[66]geoMap (63)'!$A:$C,3,0)</f>
        <v>#REF!</v>
      </c>
      <c r="BN243" s="4" t="e">
        <f>BM243/VLOOKUP(A243,'[67]geoMap (64)'!$A:$B,2,0)*VLOOKUP(A243,'[67]geoMap (64)'!$A:$C,3,0)</f>
        <v>#REF!</v>
      </c>
      <c r="BO243" s="1" t="e">
        <f>BN243/VLOOKUP(A243,'[68]geoMap (65)'!$A:$B,2,0)*VLOOKUP(A243,'[68]geoMap (65)'!$A:$C,3,0)</f>
        <v>#REF!</v>
      </c>
      <c r="BP243" s="4" t="e">
        <f>BO243/VLOOKUP(A243,'[69]geoMap (66)'!$A:$B,2,0)*VLOOKUP(A243,'[69]geoMap (66)'!$A:$C,3,0)</f>
        <v>#REF!</v>
      </c>
    </row>
    <row r="244" spans="1:68" x14ac:dyDescent="0.2">
      <c r="A244" s="1" t="s">
        <v>246</v>
      </c>
      <c r="B244" s="1" t="e">
        <f>VLOOKUP(A244,[3]geoMap!$A:$B,2,0)*Notes!$C$6</f>
        <v>#REF!</v>
      </c>
      <c r="C244" s="1" t="e">
        <f>B244/VLOOKUP(A244,'[4]geoMap (1)'!$A:$B,2,0)*VLOOKUP(A244,'[4]geoMap (1)'!$A:$C,3,0)</f>
        <v>#REF!</v>
      </c>
      <c r="D244" s="1" t="e">
        <f>C244/VLOOKUP(A244,'[5]geoMap (2)'!$A:$B,2,0)*VLOOKUP(A244,'[5]geoMap (2)'!$A:$C,3,0)</f>
        <v>#REF!</v>
      </c>
      <c r="E244" s="1" t="e">
        <f>D244/VLOOKUP(A244,'[6]geoMap (3)'!$A:$B,2,0)*VLOOKUP(A244,'[6]geoMap (3)'!$A:$C,3,0)</f>
        <v>#REF!</v>
      </c>
      <c r="F244" s="1" t="e">
        <f>E244/VLOOKUP(A244,'[7]geoMap (4)'!$A:$B,2,0)*VLOOKUP(A244,'[7]geoMap (4)'!$A:$C,3,0)</f>
        <v>#REF!</v>
      </c>
      <c r="G244" s="1" t="e">
        <f>F244/VLOOKUP(A244,'[8]geoMap (5)'!$A:$B,2,0)*VLOOKUP(A244,'[8]geoMap (5)'!$A:$C,3,0)</f>
        <v>#REF!</v>
      </c>
      <c r="H244" s="1" t="e">
        <f>G244/VLOOKUP(A244,'[9]geoMap (6)'!$A:$B,2,0)*VLOOKUP(A244,'[9]geoMap (6)'!$A:$C,3,0)</f>
        <v>#REF!</v>
      </c>
      <c r="I244" s="1" t="e">
        <f>H244/VLOOKUP(A244,'[10]geoMap (7)'!$A:$B,2,0)*VLOOKUP(A244,'[10]geoMap (7)'!$A:$C,3,0)</f>
        <v>#REF!</v>
      </c>
      <c r="J244" s="1" t="e">
        <f>I244/VLOOKUP(A244,'[11]geoMap (8)'!$A:$B,2,0)*VLOOKUP(A244,'[11]geoMap (8)'!$A:$C,3,0)</f>
        <v>#REF!</v>
      </c>
      <c r="K244" s="1" t="e">
        <f>J244/VLOOKUP(A244,'[12]geoMap (9)'!$A:$B,2,0)*VLOOKUP(A244,'[12]geoMap (9)'!$A:$C,3,0)</f>
        <v>#REF!</v>
      </c>
      <c r="L244" s="1" t="e">
        <f>K244/VLOOKUP(A244,'[13]geoMap (10)'!$A:$B,2,0)*VLOOKUP(A244,'[13]geoMap (10)'!$A:$C,3,0)</f>
        <v>#REF!</v>
      </c>
      <c r="M244" s="1" t="e">
        <f>L244/VLOOKUP(A244,'[14]geoMap (11)'!$A:$B,2,0)*VLOOKUP(A244,'[14]geoMap (11)'!$A:$C,3,0)</f>
        <v>#REF!</v>
      </c>
      <c r="N244" s="1" t="e">
        <f>M244/VLOOKUP(A244,'[15]geoMap (12)'!$A:$B,2,0)*VLOOKUP(A244,'[15]geoMap (12)'!$A:$C,3,0)</f>
        <v>#REF!</v>
      </c>
      <c r="O244" s="1" t="e">
        <f>N244/VLOOKUP(A244,'[16]geoMap (13)'!$A:$B,2,0)*VLOOKUP(A244,'[16]geoMap (13)'!$A:$C,3,0)</f>
        <v>#REF!</v>
      </c>
      <c r="P244" s="1" t="e">
        <f>O244/VLOOKUP(A244,'[17]geoMap (14)'!$A:$B,2,0)*VLOOKUP(A244,'[17]geoMap (14)'!$A:$C,3,0)</f>
        <v>#REF!</v>
      </c>
      <c r="Q244" s="1" t="e">
        <f>P244/VLOOKUP(A244,'[18]geoMap (15)'!$A:$B,2,0)*VLOOKUP(A244,'[18]geoMap (15)'!$A:$C,3,0)</f>
        <v>#REF!</v>
      </c>
      <c r="R244" s="1" t="e">
        <f>Q244/VLOOKUP(A244,'[19]geoMap (16)'!$A:$B,2,0)*VLOOKUP(A244,'[19]geoMap (16)'!$A:$C,3,0)</f>
        <v>#REF!</v>
      </c>
      <c r="S244" s="1" t="e">
        <f>R244/VLOOKUP(A244,'[20]geoMap (17)'!$A:$B,2,0)*VLOOKUP(A244,'[20]geoMap (17)'!$A:$C,3,0)</f>
        <v>#REF!</v>
      </c>
      <c r="T244" s="1" t="e">
        <f>S244/VLOOKUP(A244,'[21]geoMap (18)'!$A:$B,2,0)*VLOOKUP(A244,'[21]geoMap (18)'!$A:$C,3,0)</f>
        <v>#REF!</v>
      </c>
      <c r="U244" s="1" t="e">
        <f>T244/VLOOKUP(A244,'[22]geoMap (19)'!$A:$B,2,0)*VLOOKUP(A244,'[22]geoMap (19)'!$A:$C,3,0)</f>
        <v>#REF!</v>
      </c>
      <c r="V244" s="1" t="e">
        <f>U244/VLOOKUP(A244,'[23]geoMap (20)'!$A:$B,2,0)*VLOOKUP(A244,'[23]geoMap (20)'!$A:$C,3,0)</f>
        <v>#REF!</v>
      </c>
      <c r="W244" s="1" t="e">
        <f>V244/VLOOKUP(A244,'[24]geoMap (21)'!$A:$B,2,0)*VLOOKUP(A244,'[24]geoMap (21)'!$A:$C,3,0)</f>
        <v>#REF!</v>
      </c>
      <c r="X244" s="1" t="e">
        <f>W244/VLOOKUP(A244,'[25]geoMap (22)'!$A:$B,2,0)*VLOOKUP(A244,'[25]geoMap (22)'!$A:$C,3,0)</f>
        <v>#REF!</v>
      </c>
      <c r="Y244" s="1" t="e">
        <f>X244/VLOOKUP(A244,'[26]geoMap (23)'!$A:$B,2,0)*VLOOKUP(A244,'[26]geoMap (23)'!$A:$C,3,0)</f>
        <v>#REF!</v>
      </c>
      <c r="Z244" s="1" t="e">
        <f>Y244/VLOOKUP(A244,'[27]geoMap (24)'!$A:$B,2,0)*VLOOKUP(A244,'[27]geoMap (24)'!$A:$C,3,0)</f>
        <v>#REF!</v>
      </c>
      <c r="AA244" s="1" t="e">
        <f>Z244/VLOOKUP(A244,'[28]geoMap (25)'!$A:$B,2,0)*VLOOKUP(A244,'[28]geoMap (25)'!$A:$C,3,0)</f>
        <v>#REF!</v>
      </c>
      <c r="AB244" s="1" t="e">
        <f>AA244*VLOOKUP(A244,'[29]geoMap (26)'!$A:$B,2,0)*VLOOKUP(A244,'[29]geoMap (26)'!$A:$C,3,0)</f>
        <v>#REF!</v>
      </c>
      <c r="AC244" s="1" t="e">
        <f>AB244/VLOOKUP(A244,'[30]geoMap (27)'!$A:$B,2,0)*VLOOKUP(A244,'[30]geoMap (27)'!$A:$C,3,0)</f>
        <v>#REF!</v>
      </c>
      <c r="AD244" s="1" t="e">
        <f>AC244/VLOOKUP(A244,'[31]geoMap (28)'!$A:$B,2,0)*VLOOKUP(A244,'[31]geoMap (28)'!$A:$C,3,0)</f>
        <v>#REF!</v>
      </c>
      <c r="AE244" s="1" t="e">
        <f>AD244/VLOOKUP(A244,'[32]geoMap (29)'!$A:$B,2,0)*VLOOKUP(A244,'[32]geoMap (29)'!$A:$C,3,0)</f>
        <v>#REF!</v>
      </c>
      <c r="AF244" s="1" t="e">
        <f>AE244/VLOOKUP(A244,'[33]geoMap (30)'!$A:$B,2,0)*VLOOKUP(A244,'[33]geoMap (30)'!$A:$C,3,0)</f>
        <v>#REF!</v>
      </c>
      <c r="AG244" s="1" t="e">
        <f>AF244/VLOOKUP(A244,'[34]geoMap (31)'!$A:$B,2,0)*VLOOKUP(A244,'[34]geoMap (31)'!$A:$C,3,0)</f>
        <v>#REF!</v>
      </c>
      <c r="AH244" s="1" t="e">
        <f>AG244/VLOOKUP(A244,'[35]geoMap (32)'!$A:$B,2,0)*VLOOKUP(A244,'[35]geoMap (32)'!$A:$C,3,0)</f>
        <v>#REF!</v>
      </c>
      <c r="AI244" s="1" t="e">
        <f>AH244/VLOOKUP(A244,'[36]geoMap (33)'!$A:$B,2,0)*VLOOKUP(A244,'[36]geoMap (33)'!$A:$C,3,0)</f>
        <v>#REF!</v>
      </c>
      <c r="AJ244" s="1" t="e">
        <f>AI244/VLOOKUP(A244,'[37]geoMap (34)'!$A:$B,2,0)*VLOOKUP(A244,'[37]geoMap (34)'!$A:$C,3,0)</f>
        <v>#REF!</v>
      </c>
      <c r="AK244" s="1" t="e">
        <f>AJ244/VLOOKUP(A244,'[38]geoMap (35)'!$A:$B,2,0)*VLOOKUP(A244,'[38]geoMap (35)'!$A:$C,3,0)</f>
        <v>#REF!</v>
      </c>
      <c r="AL244" s="1" t="e">
        <f>AK244/VLOOKUP(A244,'[39]geoMap (36)'!$A:$B,2,0)*VLOOKUP(A244,'[39]geoMap (36)'!$A:$C,3,0)</f>
        <v>#REF!</v>
      </c>
      <c r="AM244" s="1" t="e">
        <f>AL244/VLOOKUP(A244,'[40]geoMap (37)'!$A:$B,2,0)*VLOOKUP(A244,'[40]geoMap (37)'!$A:$C,3,0)</f>
        <v>#REF!</v>
      </c>
      <c r="AN244" s="1" t="e">
        <f>AM244/VLOOKUP(A244,'[41]geoMap (38)'!$A:$B,2,0)*VLOOKUP(A244,'[41]geoMap (38)'!$A:$C,3,0)</f>
        <v>#REF!</v>
      </c>
      <c r="AO244" s="1" t="e">
        <f>AN244/VLOOKUP(A244,'[42]geoMap (39)'!$A:$B,2,0)*VLOOKUP(A244,'[42]geoMap (39)'!$A:$C,3,0)</f>
        <v>#REF!</v>
      </c>
      <c r="AP244" s="1" t="e">
        <f>AO244/VLOOKUP(A244,'[43]geoMap (40)'!$A:$B,2,0)*VLOOKUP(A244,'[43]geoMap (40)'!$A:$C,3,0)</f>
        <v>#REF!</v>
      </c>
      <c r="AQ244" s="1" t="e">
        <f>AP244/VLOOKUP(A244,'[44]geoMap (41)'!$A:$B,2,0)*VLOOKUP(A244,'[44]geoMap (41)'!$A:$C,3,0)</f>
        <v>#REF!</v>
      </c>
      <c r="AR244" s="1" t="e">
        <f>AQ244/VLOOKUP(A244,'[45]geoMap (42)'!$A:$B,2,0)*VLOOKUP(A244,'[45]geoMap (42)'!$A:$C,3,0)</f>
        <v>#REF!</v>
      </c>
      <c r="AS244" s="1" t="e">
        <f>AR244/VLOOKUP(A244,'[46]geoMap (43)'!$A:$B,2,0)*VLOOKUP(A244,'[46]geoMap (43)'!$A:$C,3,0)</f>
        <v>#REF!</v>
      </c>
      <c r="AT244" s="1" t="e">
        <f>AS244/VLOOKUP(A244,'[47]geoMap (44)'!$A:$B,2,0)*VLOOKUP(A244,'[47]geoMap (44)'!$A:$C,3,0)</f>
        <v>#REF!</v>
      </c>
      <c r="AU244" s="1" t="e">
        <f>AT244/VLOOKUP(A244,'[48]geoMap (45)'!$A:$B,2,0)*VLOOKUP(A244,'[48]geoMap (45)'!$A:$C,3,0)</f>
        <v>#REF!</v>
      </c>
      <c r="AV244" s="1" t="e">
        <f>AU244/VLOOKUP(A244,'[49]geoMap (46)'!$A:$B,2,0)*VLOOKUP(A244,'[49]geoMap (46)'!$A:$C,3,0)</f>
        <v>#REF!</v>
      </c>
      <c r="AW244" s="1" t="e">
        <f>AV244/VLOOKUP(A244,'[50]geoMap (47)'!$A:$B,2,0)*VLOOKUP(A244,'[50]geoMap (47)'!$A:$C,3,0)</f>
        <v>#REF!</v>
      </c>
      <c r="AX244" s="4" t="e">
        <f>AW244/VLOOKUP(A244,'[51]geoMap (48)'!$A:$B,2,0)*VLOOKUP(A244,'[51]geoMap (48)'!$A:$C,3,0)</f>
        <v>#REF!</v>
      </c>
      <c r="AY244" s="1" t="e">
        <f>AX244/VLOOKUP(A244,'[52]geoMap (49)'!$A:$B,2,0)*VLOOKUP(A244,'[52]geoMap (49)'!$A:$C,3,0)</f>
        <v>#REF!</v>
      </c>
      <c r="AZ244" s="4" t="e">
        <f>AY244/VLOOKUP(A244,'[53]geoMap (50)'!$A:$B,2,0)*VLOOKUP(A244,'[53]geoMap (50)'!$A:$C,3,0)</f>
        <v>#REF!</v>
      </c>
      <c r="BA244" s="1" t="e">
        <f>AZ244/VLOOKUP(A244,'[54]geoMap (51)'!$A:$B,2,0)*VLOOKUP(A244,'[54]geoMap (51)'!$A:$C,3,0)</f>
        <v>#REF!</v>
      </c>
      <c r="BB244" s="4" t="e">
        <f>BA244/VLOOKUP(A244,'[55]geoMap (52)'!$A:$B,2,0)*VLOOKUP(A244,'[55]geoMap (52)'!$A:$C,3,0)</f>
        <v>#REF!</v>
      </c>
      <c r="BC244" s="1" t="e">
        <f>BB244/VLOOKUP(A244,'[56]geoMap (53)'!$A:$B,2,0)*VLOOKUP(A244,'[56]geoMap (53)'!$A:$C,3,0)</f>
        <v>#REF!</v>
      </c>
      <c r="BD244" s="4" t="e">
        <f>BC244/VLOOKUP(A244,'[57]geoMap (54)'!$A:$B,2,0)*VLOOKUP(A244,'[57]geoMap (54)'!$A:$C,3,0)</f>
        <v>#REF!</v>
      </c>
      <c r="BE244" s="1" t="e">
        <f>BD244/VLOOKUP(A244,'[58]geoMap (55)'!$A:$B,2,0)*VLOOKUP(A244,'[58]geoMap (55)'!$A:$C,3,0)</f>
        <v>#REF!</v>
      </c>
      <c r="BF244" s="4" t="e">
        <f>BE244/VLOOKUP(A244,'[59]geoMap (56)'!$A:$B,2,0)*VLOOKUP(A244,'[59]geoMap (56)'!$A:$C,3,0)</f>
        <v>#REF!</v>
      </c>
      <c r="BG244" s="1" t="e">
        <f>BF244/VLOOKUP(A244,'[60]geoMap (57)'!$A:$B,2,0)*VLOOKUP(A244,'[60]geoMap (57)'!$A:$C,3,0)</f>
        <v>#REF!</v>
      </c>
      <c r="BH244" s="4" t="e">
        <f>BG244/VLOOKUP(A244,'[61]geoMap (58)'!$A:$B,2,0)*VLOOKUP(A244,'[61]geoMap (58)'!$A:$C,3,0)</f>
        <v>#REF!</v>
      </c>
      <c r="BI244" s="1" t="e">
        <f>BH244/VLOOKUP(A244,'[62]geoMap (59)'!$A:$B,2,0)*VLOOKUP(A244,'[62]geoMap (59)'!$A:$C,3,0)</f>
        <v>#REF!</v>
      </c>
      <c r="BJ244" s="4" t="e">
        <f>BI244/VLOOKUP(A244,'[63]geoMap (60)'!$A:$B,2,0)*VLOOKUP(A244,'[63]geoMap (60)'!$A:$C,3,0)</f>
        <v>#REF!</v>
      </c>
      <c r="BK244" s="1" t="e">
        <f>BJ244/VLOOKUP(A244,'[64]geoMap (61)'!$A:$B,2,0)*VLOOKUP(A244,'[64]geoMap (61)'!$A:$C,3,0)</f>
        <v>#REF!</v>
      </c>
      <c r="BL244" s="4" t="e">
        <f>BK244/VLOOKUP(A244,'[65]geoMap (62)'!$A:$B,2,0)*VLOOKUP(A244,'[65]geoMap (62)'!$A:$C,3,0)</f>
        <v>#REF!</v>
      </c>
      <c r="BM244" s="1" t="e">
        <f>BL244/VLOOKUP(A244,'[66]geoMap (63)'!$A:$B,2,0)*VLOOKUP(A244,'[66]geoMap (63)'!$A:$C,3,0)</f>
        <v>#REF!</v>
      </c>
      <c r="BN244" s="4" t="e">
        <f>BM244/VLOOKUP(A244,'[67]geoMap (64)'!$A:$B,2,0)*VLOOKUP(A244,'[67]geoMap (64)'!$A:$C,3,0)</f>
        <v>#REF!</v>
      </c>
      <c r="BO244" s="1" t="e">
        <f>BN244/VLOOKUP(A244,'[68]geoMap (65)'!$A:$B,2,0)*VLOOKUP(A244,'[68]geoMap (65)'!$A:$C,3,0)</f>
        <v>#REF!</v>
      </c>
      <c r="BP244" s="4" t="e">
        <f>BO244/VLOOKUP(A244,'[69]geoMap (66)'!$A:$B,2,0)*VLOOKUP(A244,'[69]geoMap (66)'!$A:$C,3,0)</f>
        <v>#REF!</v>
      </c>
    </row>
    <row r="245" spans="1:68" x14ac:dyDescent="0.2">
      <c r="A245" s="1" t="s">
        <v>247</v>
      </c>
      <c r="B245" s="1" t="e">
        <f>VLOOKUP(A245,[3]geoMap!$A:$B,2,0)*Notes!$C$6</f>
        <v>#REF!</v>
      </c>
      <c r="C245" s="1" t="e">
        <f>B245/VLOOKUP(A245,'[4]geoMap (1)'!$A:$B,2,0)*VLOOKUP(A245,'[4]geoMap (1)'!$A:$C,3,0)</f>
        <v>#REF!</v>
      </c>
      <c r="D245" s="1" t="e">
        <f>C245/VLOOKUP(A245,'[5]geoMap (2)'!$A:$B,2,0)*VLOOKUP(A245,'[5]geoMap (2)'!$A:$C,3,0)</f>
        <v>#REF!</v>
      </c>
      <c r="E245" s="1" t="e">
        <f>D245/VLOOKUP(A245,'[6]geoMap (3)'!$A:$B,2,0)*VLOOKUP(A245,'[6]geoMap (3)'!$A:$C,3,0)</f>
        <v>#REF!</v>
      </c>
      <c r="F245" s="1" t="e">
        <f>E245/VLOOKUP(A245,'[7]geoMap (4)'!$A:$B,2,0)*VLOOKUP(A245,'[7]geoMap (4)'!$A:$C,3,0)</f>
        <v>#REF!</v>
      </c>
      <c r="G245" s="1" t="e">
        <f>F245/VLOOKUP(A245,'[8]geoMap (5)'!$A:$B,2,0)*VLOOKUP(A245,'[8]geoMap (5)'!$A:$C,3,0)</f>
        <v>#REF!</v>
      </c>
      <c r="H245" s="1" t="e">
        <f>G245/VLOOKUP(A245,'[9]geoMap (6)'!$A:$B,2,0)*VLOOKUP(A245,'[9]geoMap (6)'!$A:$C,3,0)</f>
        <v>#REF!</v>
      </c>
      <c r="I245" s="1" t="e">
        <f>H245/VLOOKUP(A245,'[10]geoMap (7)'!$A:$B,2,0)*VLOOKUP(A245,'[10]geoMap (7)'!$A:$C,3,0)</f>
        <v>#REF!</v>
      </c>
      <c r="J245" s="1" t="e">
        <f>I245/VLOOKUP(A245,'[11]geoMap (8)'!$A:$B,2,0)*VLOOKUP(A245,'[11]geoMap (8)'!$A:$C,3,0)</f>
        <v>#REF!</v>
      </c>
      <c r="K245" s="1" t="e">
        <f>J245/VLOOKUP(A245,'[12]geoMap (9)'!$A:$B,2,0)*VLOOKUP(A245,'[12]geoMap (9)'!$A:$C,3,0)</f>
        <v>#REF!</v>
      </c>
      <c r="L245" s="1" t="e">
        <f>K245/VLOOKUP(A245,'[13]geoMap (10)'!$A:$B,2,0)*VLOOKUP(A245,'[13]geoMap (10)'!$A:$C,3,0)</f>
        <v>#REF!</v>
      </c>
      <c r="M245" s="1" t="e">
        <f>L245/VLOOKUP(A245,'[14]geoMap (11)'!$A:$B,2,0)*VLOOKUP(A245,'[14]geoMap (11)'!$A:$C,3,0)</f>
        <v>#REF!</v>
      </c>
      <c r="N245" s="1" t="e">
        <f>M245/VLOOKUP(A245,'[15]geoMap (12)'!$A:$B,2,0)*VLOOKUP(A245,'[15]geoMap (12)'!$A:$C,3,0)</f>
        <v>#REF!</v>
      </c>
      <c r="O245" s="1" t="e">
        <f>N245/VLOOKUP(A245,'[16]geoMap (13)'!$A:$B,2,0)*VLOOKUP(A245,'[16]geoMap (13)'!$A:$C,3,0)</f>
        <v>#REF!</v>
      </c>
      <c r="P245" s="1" t="e">
        <f>O245/VLOOKUP(A245,'[17]geoMap (14)'!$A:$B,2,0)*VLOOKUP(A245,'[17]geoMap (14)'!$A:$C,3,0)</f>
        <v>#REF!</v>
      </c>
      <c r="Q245" s="1" t="e">
        <f>P245/VLOOKUP(A245,'[18]geoMap (15)'!$A:$B,2,0)*VLOOKUP(A245,'[18]geoMap (15)'!$A:$C,3,0)</f>
        <v>#REF!</v>
      </c>
      <c r="R245" s="1" t="e">
        <f>Q245/VLOOKUP(A245,'[19]geoMap (16)'!$A:$B,2,0)*VLOOKUP(A245,'[19]geoMap (16)'!$A:$C,3,0)</f>
        <v>#REF!</v>
      </c>
      <c r="S245" s="1" t="e">
        <f>R245/VLOOKUP(A245,'[20]geoMap (17)'!$A:$B,2,0)*VLOOKUP(A245,'[20]geoMap (17)'!$A:$C,3,0)</f>
        <v>#REF!</v>
      </c>
      <c r="T245" s="1" t="e">
        <f>S245/VLOOKUP(A245,'[21]geoMap (18)'!$A:$B,2,0)*VLOOKUP(A245,'[21]geoMap (18)'!$A:$C,3,0)</f>
        <v>#REF!</v>
      </c>
      <c r="U245" s="1" t="e">
        <f>T245/VLOOKUP(A245,'[22]geoMap (19)'!$A:$B,2,0)*VLOOKUP(A245,'[22]geoMap (19)'!$A:$C,3,0)</f>
        <v>#REF!</v>
      </c>
      <c r="V245" s="1" t="e">
        <f>U245/VLOOKUP(A245,'[23]geoMap (20)'!$A:$B,2,0)*VLOOKUP(A245,'[23]geoMap (20)'!$A:$C,3,0)</f>
        <v>#REF!</v>
      </c>
      <c r="W245" s="1" t="e">
        <f>V245/VLOOKUP(A245,'[24]geoMap (21)'!$A:$B,2,0)*VLOOKUP(A245,'[24]geoMap (21)'!$A:$C,3,0)</f>
        <v>#REF!</v>
      </c>
      <c r="X245" s="1" t="e">
        <f>W245/VLOOKUP(A245,'[25]geoMap (22)'!$A:$B,2,0)*VLOOKUP(A245,'[25]geoMap (22)'!$A:$C,3,0)</f>
        <v>#REF!</v>
      </c>
      <c r="Y245" s="1" t="e">
        <f>X245/VLOOKUP(A245,'[26]geoMap (23)'!$A:$B,2,0)*VLOOKUP(A245,'[26]geoMap (23)'!$A:$C,3,0)</f>
        <v>#REF!</v>
      </c>
      <c r="Z245" s="1" t="e">
        <f>Y245/VLOOKUP(A245,'[27]geoMap (24)'!$A:$B,2,0)*VLOOKUP(A245,'[27]geoMap (24)'!$A:$C,3,0)</f>
        <v>#REF!</v>
      </c>
      <c r="AA245" s="1" t="e">
        <f>Z245/VLOOKUP(A245,'[28]geoMap (25)'!$A:$B,2,0)*VLOOKUP(A245,'[28]geoMap (25)'!$A:$C,3,0)</f>
        <v>#REF!</v>
      </c>
      <c r="AB245" s="1" t="e">
        <f>AA245*VLOOKUP(A245,'[29]geoMap (26)'!$A:$B,2,0)*VLOOKUP(A245,'[29]geoMap (26)'!$A:$C,3,0)</f>
        <v>#REF!</v>
      </c>
      <c r="AC245" s="1" t="e">
        <f>AB245/VLOOKUP(A245,'[30]geoMap (27)'!$A:$B,2,0)*VLOOKUP(A245,'[30]geoMap (27)'!$A:$C,3,0)</f>
        <v>#REF!</v>
      </c>
      <c r="AD245" s="1" t="e">
        <f>AC245/VLOOKUP(A245,'[31]geoMap (28)'!$A:$B,2,0)*VLOOKUP(A245,'[31]geoMap (28)'!$A:$C,3,0)</f>
        <v>#REF!</v>
      </c>
      <c r="AE245" s="1" t="e">
        <f>AD245/VLOOKUP(A245,'[32]geoMap (29)'!$A:$B,2,0)*VLOOKUP(A245,'[32]geoMap (29)'!$A:$C,3,0)</f>
        <v>#REF!</v>
      </c>
      <c r="AF245" s="1" t="e">
        <f>AE245/VLOOKUP(A245,'[33]geoMap (30)'!$A:$B,2,0)*VLOOKUP(A245,'[33]geoMap (30)'!$A:$C,3,0)</f>
        <v>#REF!</v>
      </c>
      <c r="AG245" s="1" t="e">
        <f>AF245/VLOOKUP(A245,'[34]geoMap (31)'!$A:$B,2,0)*VLOOKUP(A245,'[34]geoMap (31)'!$A:$C,3,0)</f>
        <v>#REF!</v>
      </c>
      <c r="AH245" s="1" t="e">
        <f>AG245/VLOOKUP(A245,'[35]geoMap (32)'!$A:$B,2,0)*VLOOKUP(A245,'[35]geoMap (32)'!$A:$C,3,0)</f>
        <v>#REF!</v>
      </c>
      <c r="AI245" s="1" t="e">
        <f>AH245/VLOOKUP(A245,'[36]geoMap (33)'!$A:$B,2,0)*VLOOKUP(A245,'[36]geoMap (33)'!$A:$C,3,0)</f>
        <v>#REF!</v>
      </c>
      <c r="AJ245" s="1" t="e">
        <f>AI245/VLOOKUP(A245,'[37]geoMap (34)'!$A:$B,2,0)*VLOOKUP(A245,'[37]geoMap (34)'!$A:$C,3,0)</f>
        <v>#REF!</v>
      </c>
      <c r="AK245" s="1" t="e">
        <f>AJ245/VLOOKUP(A245,'[38]geoMap (35)'!$A:$B,2,0)*VLOOKUP(A245,'[38]geoMap (35)'!$A:$C,3,0)</f>
        <v>#REF!</v>
      </c>
      <c r="AL245" s="1" t="e">
        <f>AK245/VLOOKUP(A245,'[39]geoMap (36)'!$A:$B,2,0)*VLOOKUP(A245,'[39]geoMap (36)'!$A:$C,3,0)</f>
        <v>#REF!</v>
      </c>
      <c r="AM245" s="1" t="e">
        <f>AL245/VLOOKUP(A245,'[40]geoMap (37)'!$A:$B,2,0)*VLOOKUP(A245,'[40]geoMap (37)'!$A:$C,3,0)</f>
        <v>#REF!</v>
      </c>
      <c r="AN245" s="1" t="e">
        <f>AM245/VLOOKUP(A245,'[41]geoMap (38)'!$A:$B,2,0)*VLOOKUP(A245,'[41]geoMap (38)'!$A:$C,3,0)</f>
        <v>#REF!</v>
      </c>
      <c r="AO245" s="1" t="e">
        <f>AN245/VLOOKUP(A245,'[42]geoMap (39)'!$A:$B,2,0)*VLOOKUP(A245,'[42]geoMap (39)'!$A:$C,3,0)</f>
        <v>#REF!</v>
      </c>
      <c r="AP245" s="1" t="e">
        <f>AO245/VLOOKUP(A245,'[43]geoMap (40)'!$A:$B,2,0)*VLOOKUP(A245,'[43]geoMap (40)'!$A:$C,3,0)</f>
        <v>#REF!</v>
      </c>
      <c r="AQ245" s="1" t="e">
        <f>AP245/VLOOKUP(A245,'[44]geoMap (41)'!$A:$B,2,0)*VLOOKUP(A245,'[44]geoMap (41)'!$A:$C,3,0)</f>
        <v>#REF!</v>
      </c>
      <c r="AR245" s="1" t="e">
        <f>AQ245/VLOOKUP(A245,'[45]geoMap (42)'!$A:$B,2,0)*VLOOKUP(A245,'[45]geoMap (42)'!$A:$C,3,0)</f>
        <v>#REF!</v>
      </c>
      <c r="AS245" s="1" t="e">
        <f>AR245/VLOOKUP(A245,'[46]geoMap (43)'!$A:$B,2,0)*VLOOKUP(A245,'[46]geoMap (43)'!$A:$C,3,0)</f>
        <v>#REF!</v>
      </c>
      <c r="AT245" s="1" t="e">
        <f>AS245/VLOOKUP(A245,'[47]geoMap (44)'!$A:$B,2,0)*VLOOKUP(A245,'[47]geoMap (44)'!$A:$C,3,0)</f>
        <v>#REF!</v>
      </c>
      <c r="AU245" s="1" t="e">
        <f>AT245/VLOOKUP(A245,'[48]geoMap (45)'!$A:$B,2,0)*VLOOKUP(A245,'[48]geoMap (45)'!$A:$C,3,0)</f>
        <v>#REF!</v>
      </c>
      <c r="AV245" s="1" t="e">
        <f>AU245/VLOOKUP(A245,'[49]geoMap (46)'!$A:$B,2,0)*VLOOKUP(A245,'[49]geoMap (46)'!$A:$C,3,0)</f>
        <v>#REF!</v>
      </c>
      <c r="AW245" s="1" t="e">
        <f>AV245/VLOOKUP(A245,'[50]geoMap (47)'!$A:$B,2,0)*VLOOKUP(A245,'[50]geoMap (47)'!$A:$C,3,0)</f>
        <v>#REF!</v>
      </c>
      <c r="AX245" s="4" t="e">
        <f>AW245/VLOOKUP(A245,'[51]geoMap (48)'!$A:$B,2,0)*VLOOKUP(A245,'[51]geoMap (48)'!$A:$C,3,0)</f>
        <v>#REF!</v>
      </c>
      <c r="AY245" s="1" t="e">
        <f>AX245/VLOOKUP(A245,'[52]geoMap (49)'!$A:$B,2,0)*VLOOKUP(A245,'[52]geoMap (49)'!$A:$C,3,0)</f>
        <v>#REF!</v>
      </c>
      <c r="AZ245" s="4" t="e">
        <f>AY245/VLOOKUP(A245,'[53]geoMap (50)'!$A:$B,2,0)*VLOOKUP(A245,'[53]geoMap (50)'!$A:$C,3,0)</f>
        <v>#REF!</v>
      </c>
      <c r="BA245" s="1" t="e">
        <f>AZ245/VLOOKUP(A245,'[54]geoMap (51)'!$A:$B,2,0)*VLOOKUP(A245,'[54]geoMap (51)'!$A:$C,3,0)</f>
        <v>#REF!</v>
      </c>
      <c r="BB245" s="4" t="e">
        <f>BA245/VLOOKUP(A245,'[55]geoMap (52)'!$A:$B,2,0)*VLOOKUP(A245,'[55]geoMap (52)'!$A:$C,3,0)</f>
        <v>#REF!</v>
      </c>
      <c r="BC245" s="1" t="e">
        <f>BB245/VLOOKUP(A245,'[56]geoMap (53)'!$A:$B,2,0)*VLOOKUP(A245,'[56]geoMap (53)'!$A:$C,3,0)</f>
        <v>#REF!</v>
      </c>
      <c r="BD245" s="4" t="e">
        <f>BC245/VLOOKUP(A245,'[57]geoMap (54)'!$A:$B,2,0)*VLOOKUP(A245,'[57]geoMap (54)'!$A:$C,3,0)</f>
        <v>#REF!</v>
      </c>
      <c r="BE245" s="1" t="e">
        <f>BD245/VLOOKUP(A245,'[58]geoMap (55)'!$A:$B,2,0)*VLOOKUP(A245,'[58]geoMap (55)'!$A:$C,3,0)</f>
        <v>#REF!</v>
      </c>
      <c r="BF245" s="4" t="e">
        <f>BE245/VLOOKUP(A245,'[59]geoMap (56)'!$A:$B,2,0)*VLOOKUP(A245,'[59]geoMap (56)'!$A:$C,3,0)</f>
        <v>#REF!</v>
      </c>
      <c r="BG245" s="1" t="e">
        <f>BF245/VLOOKUP(A245,'[60]geoMap (57)'!$A:$B,2,0)*VLOOKUP(A245,'[60]geoMap (57)'!$A:$C,3,0)</f>
        <v>#REF!</v>
      </c>
      <c r="BH245" s="4" t="e">
        <f>BG245/VLOOKUP(A245,'[61]geoMap (58)'!$A:$B,2,0)*VLOOKUP(A245,'[61]geoMap (58)'!$A:$C,3,0)</f>
        <v>#REF!</v>
      </c>
      <c r="BI245" s="1" t="e">
        <f>BH245/VLOOKUP(A245,'[62]geoMap (59)'!$A:$B,2,0)*VLOOKUP(A245,'[62]geoMap (59)'!$A:$C,3,0)</f>
        <v>#REF!</v>
      </c>
      <c r="BJ245" s="4" t="e">
        <f>BI245/VLOOKUP(A245,'[63]geoMap (60)'!$A:$B,2,0)*VLOOKUP(A245,'[63]geoMap (60)'!$A:$C,3,0)</f>
        <v>#REF!</v>
      </c>
      <c r="BK245" s="1" t="e">
        <f>BJ245/VLOOKUP(A245,'[64]geoMap (61)'!$A:$B,2,0)*VLOOKUP(A245,'[64]geoMap (61)'!$A:$C,3,0)</f>
        <v>#REF!</v>
      </c>
      <c r="BL245" s="4" t="e">
        <f>BK245/VLOOKUP(A245,'[65]geoMap (62)'!$A:$B,2,0)*VLOOKUP(A245,'[65]geoMap (62)'!$A:$C,3,0)</f>
        <v>#REF!</v>
      </c>
      <c r="BM245" s="1" t="e">
        <f>BL245/VLOOKUP(A245,'[66]geoMap (63)'!$A:$B,2,0)*VLOOKUP(A245,'[66]geoMap (63)'!$A:$C,3,0)</f>
        <v>#REF!</v>
      </c>
      <c r="BN245" s="4" t="e">
        <f>BM245/VLOOKUP(A245,'[67]geoMap (64)'!$A:$B,2,0)*VLOOKUP(A245,'[67]geoMap (64)'!$A:$C,3,0)</f>
        <v>#REF!</v>
      </c>
      <c r="BO245" s="1" t="e">
        <f>BN245/VLOOKUP(A245,'[68]geoMap (65)'!$A:$B,2,0)*VLOOKUP(A245,'[68]geoMap (65)'!$A:$C,3,0)</f>
        <v>#REF!</v>
      </c>
      <c r="BP245" s="4" t="e">
        <f>BO245/VLOOKUP(A245,'[69]geoMap (66)'!$A:$B,2,0)*VLOOKUP(A245,'[69]geoMap (66)'!$A:$C,3,0)</f>
        <v>#REF!</v>
      </c>
    </row>
    <row r="246" spans="1:68" x14ac:dyDescent="0.2">
      <c r="A246" s="1" t="s">
        <v>248</v>
      </c>
      <c r="B246" s="1" t="e">
        <f>VLOOKUP(A246,[3]geoMap!$A:$B,2,0)*Notes!$C$6</f>
        <v>#REF!</v>
      </c>
      <c r="C246" s="1" t="e">
        <f>B246/VLOOKUP(A246,'[4]geoMap (1)'!$A:$B,2,0)*VLOOKUP(A246,'[4]geoMap (1)'!$A:$C,3,0)</f>
        <v>#REF!</v>
      </c>
      <c r="D246" s="1" t="e">
        <f>C246/VLOOKUP(A246,'[5]geoMap (2)'!$A:$B,2,0)*VLOOKUP(A246,'[5]geoMap (2)'!$A:$C,3,0)</f>
        <v>#REF!</v>
      </c>
      <c r="E246" s="1" t="e">
        <f>D246/VLOOKUP(A246,'[6]geoMap (3)'!$A:$B,2,0)*VLOOKUP(A246,'[6]geoMap (3)'!$A:$C,3,0)</f>
        <v>#REF!</v>
      </c>
      <c r="F246" s="1" t="e">
        <f>E246/VLOOKUP(A246,'[7]geoMap (4)'!$A:$B,2,0)*VLOOKUP(A246,'[7]geoMap (4)'!$A:$C,3,0)</f>
        <v>#REF!</v>
      </c>
      <c r="G246" s="1" t="e">
        <f>F246/VLOOKUP(A246,'[8]geoMap (5)'!$A:$B,2,0)*VLOOKUP(A246,'[8]geoMap (5)'!$A:$C,3,0)</f>
        <v>#REF!</v>
      </c>
      <c r="H246" s="1" t="e">
        <f>G246/VLOOKUP(A246,'[9]geoMap (6)'!$A:$B,2,0)*VLOOKUP(A246,'[9]geoMap (6)'!$A:$C,3,0)</f>
        <v>#REF!</v>
      </c>
      <c r="I246" s="1" t="e">
        <f>H246/VLOOKUP(A246,'[10]geoMap (7)'!$A:$B,2,0)*VLOOKUP(A246,'[10]geoMap (7)'!$A:$C,3,0)</f>
        <v>#REF!</v>
      </c>
      <c r="J246" s="1" t="e">
        <f>I246/VLOOKUP(A246,'[11]geoMap (8)'!$A:$B,2,0)*VLOOKUP(A246,'[11]geoMap (8)'!$A:$C,3,0)</f>
        <v>#REF!</v>
      </c>
      <c r="K246" s="1" t="e">
        <f>J246/VLOOKUP(A246,'[12]geoMap (9)'!$A:$B,2,0)*VLOOKUP(A246,'[12]geoMap (9)'!$A:$C,3,0)</f>
        <v>#REF!</v>
      </c>
      <c r="L246" s="1" t="e">
        <f>K246/VLOOKUP(A246,'[13]geoMap (10)'!$A:$B,2,0)*VLOOKUP(A246,'[13]geoMap (10)'!$A:$C,3,0)</f>
        <v>#REF!</v>
      </c>
      <c r="M246" s="1" t="e">
        <f>L246/VLOOKUP(A246,'[14]geoMap (11)'!$A:$B,2,0)*VLOOKUP(A246,'[14]geoMap (11)'!$A:$C,3,0)</f>
        <v>#REF!</v>
      </c>
      <c r="N246" s="1" t="e">
        <f>M246/VLOOKUP(A246,'[15]geoMap (12)'!$A:$B,2,0)*VLOOKUP(A246,'[15]geoMap (12)'!$A:$C,3,0)</f>
        <v>#REF!</v>
      </c>
      <c r="O246" s="1" t="e">
        <f>N246/VLOOKUP(A246,'[16]geoMap (13)'!$A:$B,2,0)*VLOOKUP(A246,'[16]geoMap (13)'!$A:$C,3,0)</f>
        <v>#REF!</v>
      </c>
      <c r="P246" s="1" t="e">
        <f>O246/VLOOKUP(A246,'[17]geoMap (14)'!$A:$B,2,0)*VLOOKUP(A246,'[17]geoMap (14)'!$A:$C,3,0)</f>
        <v>#REF!</v>
      </c>
      <c r="Q246" s="1" t="e">
        <f>P246/VLOOKUP(A246,'[18]geoMap (15)'!$A:$B,2,0)*VLOOKUP(A246,'[18]geoMap (15)'!$A:$C,3,0)</f>
        <v>#REF!</v>
      </c>
      <c r="R246" s="1" t="e">
        <f>Q246/VLOOKUP(A246,'[19]geoMap (16)'!$A:$B,2,0)*VLOOKUP(A246,'[19]geoMap (16)'!$A:$C,3,0)</f>
        <v>#REF!</v>
      </c>
      <c r="S246" s="1" t="e">
        <f>R246/VLOOKUP(A246,'[20]geoMap (17)'!$A:$B,2,0)*VLOOKUP(A246,'[20]geoMap (17)'!$A:$C,3,0)</f>
        <v>#REF!</v>
      </c>
      <c r="T246" s="1" t="e">
        <f>S246/VLOOKUP(A246,'[21]geoMap (18)'!$A:$B,2,0)*VLOOKUP(A246,'[21]geoMap (18)'!$A:$C,3,0)</f>
        <v>#REF!</v>
      </c>
      <c r="U246" s="1" t="e">
        <f>T246/VLOOKUP(A246,'[22]geoMap (19)'!$A:$B,2,0)*VLOOKUP(A246,'[22]geoMap (19)'!$A:$C,3,0)</f>
        <v>#REF!</v>
      </c>
      <c r="V246" s="1" t="e">
        <f>U246/VLOOKUP(A246,'[23]geoMap (20)'!$A:$B,2,0)*VLOOKUP(A246,'[23]geoMap (20)'!$A:$C,3,0)</f>
        <v>#REF!</v>
      </c>
      <c r="W246" s="1" t="e">
        <f>V246/VLOOKUP(A246,'[24]geoMap (21)'!$A:$B,2,0)*VLOOKUP(A246,'[24]geoMap (21)'!$A:$C,3,0)</f>
        <v>#REF!</v>
      </c>
      <c r="X246" s="1" t="e">
        <f>W246/VLOOKUP(A246,'[25]geoMap (22)'!$A:$B,2,0)*VLOOKUP(A246,'[25]geoMap (22)'!$A:$C,3,0)</f>
        <v>#REF!</v>
      </c>
      <c r="Y246" s="1" t="e">
        <f>X246/VLOOKUP(A246,'[26]geoMap (23)'!$A:$B,2,0)*VLOOKUP(A246,'[26]geoMap (23)'!$A:$C,3,0)</f>
        <v>#REF!</v>
      </c>
      <c r="Z246" s="1" t="e">
        <f>Y246/VLOOKUP(A246,'[27]geoMap (24)'!$A:$B,2,0)*VLOOKUP(A246,'[27]geoMap (24)'!$A:$C,3,0)</f>
        <v>#REF!</v>
      </c>
      <c r="AA246" s="1" t="e">
        <f>Z246/VLOOKUP(A246,'[28]geoMap (25)'!$A:$B,2,0)*VLOOKUP(A246,'[28]geoMap (25)'!$A:$C,3,0)</f>
        <v>#REF!</v>
      </c>
      <c r="AB246" s="1" t="e">
        <f>AA246*VLOOKUP(A246,'[29]geoMap (26)'!$A:$B,2,0)*VLOOKUP(A246,'[29]geoMap (26)'!$A:$C,3,0)</f>
        <v>#REF!</v>
      </c>
      <c r="AC246" s="1" t="e">
        <f>AB246/VLOOKUP(A246,'[30]geoMap (27)'!$A:$B,2,0)*VLOOKUP(A246,'[30]geoMap (27)'!$A:$C,3,0)</f>
        <v>#REF!</v>
      </c>
      <c r="AD246" s="1" t="e">
        <f>AC246/VLOOKUP(A246,'[31]geoMap (28)'!$A:$B,2,0)*VLOOKUP(A246,'[31]geoMap (28)'!$A:$C,3,0)</f>
        <v>#REF!</v>
      </c>
      <c r="AE246" s="1" t="e">
        <f>AD246/VLOOKUP(A246,'[32]geoMap (29)'!$A:$B,2,0)*VLOOKUP(A246,'[32]geoMap (29)'!$A:$C,3,0)</f>
        <v>#REF!</v>
      </c>
      <c r="AF246" s="1" t="e">
        <f>AE246/VLOOKUP(A246,'[33]geoMap (30)'!$A:$B,2,0)*VLOOKUP(A246,'[33]geoMap (30)'!$A:$C,3,0)</f>
        <v>#REF!</v>
      </c>
      <c r="AG246" s="1" t="e">
        <f>AF246/VLOOKUP(A246,'[34]geoMap (31)'!$A:$B,2,0)*VLOOKUP(A246,'[34]geoMap (31)'!$A:$C,3,0)</f>
        <v>#REF!</v>
      </c>
      <c r="AH246" s="1" t="e">
        <f>AG246/VLOOKUP(A246,'[35]geoMap (32)'!$A:$B,2,0)*VLOOKUP(A246,'[35]geoMap (32)'!$A:$C,3,0)</f>
        <v>#REF!</v>
      </c>
      <c r="AI246" s="1" t="e">
        <f>AH246/VLOOKUP(A246,'[36]geoMap (33)'!$A:$B,2,0)*VLOOKUP(A246,'[36]geoMap (33)'!$A:$C,3,0)</f>
        <v>#REF!</v>
      </c>
      <c r="AJ246" s="1" t="e">
        <f>AI246/VLOOKUP(A246,'[37]geoMap (34)'!$A:$B,2,0)*VLOOKUP(A246,'[37]geoMap (34)'!$A:$C,3,0)</f>
        <v>#REF!</v>
      </c>
      <c r="AK246" s="1" t="e">
        <f>AJ246/VLOOKUP(A246,'[38]geoMap (35)'!$A:$B,2,0)*VLOOKUP(A246,'[38]geoMap (35)'!$A:$C,3,0)</f>
        <v>#REF!</v>
      </c>
      <c r="AL246" s="1" t="e">
        <f>AK246/VLOOKUP(A246,'[39]geoMap (36)'!$A:$B,2,0)*VLOOKUP(A246,'[39]geoMap (36)'!$A:$C,3,0)</f>
        <v>#REF!</v>
      </c>
      <c r="AM246" s="1" t="e">
        <f>AL246/VLOOKUP(A246,'[40]geoMap (37)'!$A:$B,2,0)*VLOOKUP(A246,'[40]geoMap (37)'!$A:$C,3,0)</f>
        <v>#REF!</v>
      </c>
      <c r="AN246" s="1" t="e">
        <f>AM246/VLOOKUP(A246,'[41]geoMap (38)'!$A:$B,2,0)*VLOOKUP(A246,'[41]geoMap (38)'!$A:$C,3,0)</f>
        <v>#REF!</v>
      </c>
      <c r="AO246" s="1" t="e">
        <f>AN246/VLOOKUP(A246,'[42]geoMap (39)'!$A:$B,2,0)*VLOOKUP(A246,'[42]geoMap (39)'!$A:$C,3,0)</f>
        <v>#REF!</v>
      </c>
      <c r="AP246" s="1" t="e">
        <f>AO246/VLOOKUP(A246,'[43]geoMap (40)'!$A:$B,2,0)*VLOOKUP(A246,'[43]geoMap (40)'!$A:$C,3,0)</f>
        <v>#REF!</v>
      </c>
      <c r="AQ246" s="1" t="e">
        <f>AP246/VLOOKUP(A246,'[44]geoMap (41)'!$A:$B,2,0)*VLOOKUP(A246,'[44]geoMap (41)'!$A:$C,3,0)</f>
        <v>#REF!</v>
      </c>
      <c r="AR246" s="1" t="e">
        <f>AQ246/VLOOKUP(A246,'[45]geoMap (42)'!$A:$B,2,0)*VLOOKUP(A246,'[45]geoMap (42)'!$A:$C,3,0)</f>
        <v>#REF!</v>
      </c>
      <c r="AS246" s="1" t="e">
        <f>AR246/VLOOKUP(A246,'[46]geoMap (43)'!$A:$B,2,0)*VLOOKUP(A246,'[46]geoMap (43)'!$A:$C,3,0)</f>
        <v>#REF!</v>
      </c>
      <c r="AT246" s="1" t="e">
        <f>AS246/VLOOKUP(A246,'[47]geoMap (44)'!$A:$B,2,0)*VLOOKUP(A246,'[47]geoMap (44)'!$A:$C,3,0)</f>
        <v>#REF!</v>
      </c>
      <c r="AU246" s="1" t="e">
        <f>AT246/VLOOKUP(A246,'[48]geoMap (45)'!$A:$B,2,0)*VLOOKUP(A246,'[48]geoMap (45)'!$A:$C,3,0)</f>
        <v>#REF!</v>
      </c>
      <c r="AV246" s="1" t="e">
        <f>AU246/VLOOKUP(A246,'[49]geoMap (46)'!$A:$B,2,0)*VLOOKUP(A246,'[49]geoMap (46)'!$A:$C,3,0)</f>
        <v>#REF!</v>
      </c>
      <c r="AW246" s="1" t="e">
        <f>AV246/VLOOKUP(A246,'[50]geoMap (47)'!$A:$B,2,0)*VLOOKUP(A246,'[50]geoMap (47)'!$A:$C,3,0)</f>
        <v>#REF!</v>
      </c>
      <c r="AX246" s="4" t="e">
        <f>AW246/VLOOKUP(A246,'[51]geoMap (48)'!$A:$B,2,0)*VLOOKUP(A246,'[51]geoMap (48)'!$A:$C,3,0)</f>
        <v>#REF!</v>
      </c>
      <c r="AY246" s="1" t="e">
        <f>AX246/VLOOKUP(A246,'[52]geoMap (49)'!$A:$B,2,0)*VLOOKUP(A246,'[52]geoMap (49)'!$A:$C,3,0)</f>
        <v>#REF!</v>
      </c>
      <c r="AZ246" s="4" t="e">
        <f>AY246/VLOOKUP(A246,'[53]geoMap (50)'!$A:$B,2,0)*VLOOKUP(A246,'[53]geoMap (50)'!$A:$C,3,0)</f>
        <v>#REF!</v>
      </c>
      <c r="BA246" s="1" t="e">
        <f>AZ246/VLOOKUP(A246,'[54]geoMap (51)'!$A:$B,2,0)*VLOOKUP(A246,'[54]geoMap (51)'!$A:$C,3,0)</f>
        <v>#REF!</v>
      </c>
      <c r="BB246" s="4" t="e">
        <f>BA246/VLOOKUP(A246,'[55]geoMap (52)'!$A:$B,2,0)*VLOOKUP(A246,'[55]geoMap (52)'!$A:$C,3,0)</f>
        <v>#REF!</v>
      </c>
      <c r="BC246" s="1" t="e">
        <f>BB246/VLOOKUP(A246,'[56]geoMap (53)'!$A:$B,2,0)*VLOOKUP(A246,'[56]geoMap (53)'!$A:$C,3,0)</f>
        <v>#REF!</v>
      </c>
      <c r="BD246" s="4" t="e">
        <f>BC246/VLOOKUP(A246,'[57]geoMap (54)'!$A:$B,2,0)*VLOOKUP(A246,'[57]geoMap (54)'!$A:$C,3,0)</f>
        <v>#REF!</v>
      </c>
      <c r="BE246" s="1" t="e">
        <f>BD246/VLOOKUP(A246,'[58]geoMap (55)'!$A:$B,2,0)*VLOOKUP(A246,'[58]geoMap (55)'!$A:$C,3,0)</f>
        <v>#REF!</v>
      </c>
      <c r="BF246" s="4" t="e">
        <f>BE246/VLOOKUP(A246,'[59]geoMap (56)'!$A:$B,2,0)*VLOOKUP(A246,'[59]geoMap (56)'!$A:$C,3,0)</f>
        <v>#REF!</v>
      </c>
      <c r="BG246" s="1" t="e">
        <f>BF246/VLOOKUP(A246,'[60]geoMap (57)'!$A:$B,2,0)*VLOOKUP(A246,'[60]geoMap (57)'!$A:$C,3,0)</f>
        <v>#REF!</v>
      </c>
      <c r="BH246" s="4" t="e">
        <f>BG246/VLOOKUP(A246,'[61]geoMap (58)'!$A:$B,2,0)*VLOOKUP(A246,'[61]geoMap (58)'!$A:$C,3,0)</f>
        <v>#REF!</v>
      </c>
      <c r="BI246" s="1" t="e">
        <f>BH246/VLOOKUP(A246,'[62]geoMap (59)'!$A:$B,2,0)*VLOOKUP(A246,'[62]geoMap (59)'!$A:$C,3,0)</f>
        <v>#REF!</v>
      </c>
      <c r="BJ246" s="4" t="e">
        <f>BI246/VLOOKUP(A246,'[63]geoMap (60)'!$A:$B,2,0)*VLOOKUP(A246,'[63]geoMap (60)'!$A:$C,3,0)</f>
        <v>#REF!</v>
      </c>
      <c r="BK246" s="1" t="e">
        <f>BJ246/VLOOKUP(A246,'[64]geoMap (61)'!$A:$B,2,0)*VLOOKUP(A246,'[64]geoMap (61)'!$A:$C,3,0)</f>
        <v>#REF!</v>
      </c>
      <c r="BL246" s="4" t="e">
        <f>BK246/VLOOKUP(A246,'[65]geoMap (62)'!$A:$B,2,0)*VLOOKUP(A246,'[65]geoMap (62)'!$A:$C,3,0)</f>
        <v>#REF!</v>
      </c>
      <c r="BM246" s="1" t="e">
        <f>BL246/VLOOKUP(A246,'[66]geoMap (63)'!$A:$B,2,0)*VLOOKUP(A246,'[66]geoMap (63)'!$A:$C,3,0)</f>
        <v>#REF!</v>
      </c>
      <c r="BN246" s="4" t="e">
        <f>BM246/VLOOKUP(A246,'[67]geoMap (64)'!$A:$B,2,0)*VLOOKUP(A246,'[67]geoMap (64)'!$A:$C,3,0)</f>
        <v>#REF!</v>
      </c>
      <c r="BO246" s="1" t="e">
        <f>BN246/VLOOKUP(A246,'[68]geoMap (65)'!$A:$B,2,0)*VLOOKUP(A246,'[68]geoMap (65)'!$A:$C,3,0)</f>
        <v>#REF!</v>
      </c>
      <c r="BP246" s="4" t="e">
        <f>BO246/VLOOKUP(A246,'[69]geoMap (66)'!$A:$B,2,0)*VLOOKUP(A246,'[69]geoMap (66)'!$A:$C,3,0)</f>
        <v>#REF!</v>
      </c>
    </row>
    <row r="247" spans="1:68" x14ac:dyDescent="0.2">
      <c r="A247" s="1" t="s">
        <v>249</v>
      </c>
      <c r="B247" s="1" t="e">
        <f>VLOOKUP(A247,[3]geoMap!$A:$B,2,0)*Notes!$C$6</f>
        <v>#REF!</v>
      </c>
      <c r="C247" s="1" t="e">
        <f>B247/VLOOKUP(A247,'[4]geoMap (1)'!$A:$B,2,0)*VLOOKUP(A247,'[4]geoMap (1)'!$A:$C,3,0)</f>
        <v>#REF!</v>
      </c>
      <c r="D247" s="1" t="e">
        <f>C247/VLOOKUP(A247,'[5]geoMap (2)'!$A:$B,2,0)*VLOOKUP(A247,'[5]geoMap (2)'!$A:$C,3,0)</f>
        <v>#REF!</v>
      </c>
      <c r="E247" s="1" t="e">
        <f>D247/VLOOKUP(A247,'[6]geoMap (3)'!$A:$B,2,0)*VLOOKUP(A247,'[6]geoMap (3)'!$A:$C,3,0)</f>
        <v>#REF!</v>
      </c>
      <c r="F247" s="1" t="e">
        <f>E247/VLOOKUP(A247,'[7]geoMap (4)'!$A:$B,2,0)*VLOOKUP(A247,'[7]geoMap (4)'!$A:$C,3,0)</f>
        <v>#REF!</v>
      </c>
      <c r="G247" s="1" t="e">
        <f>F247/VLOOKUP(A247,'[8]geoMap (5)'!$A:$B,2,0)*VLOOKUP(A247,'[8]geoMap (5)'!$A:$C,3,0)</f>
        <v>#REF!</v>
      </c>
      <c r="H247" s="1" t="e">
        <f>G247/VLOOKUP(A247,'[9]geoMap (6)'!$A:$B,2,0)*VLOOKUP(A247,'[9]geoMap (6)'!$A:$C,3,0)</f>
        <v>#REF!</v>
      </c>
      <c r="I247" s="1" t="e">
        <f>H247/VLOOKUP(A247,'[10]geoMap (7)'!$A:$B,2,0)*VLOOKUP(A247,'[10]geoMap (7)'!$A:$C,3,0)</f>
        <v>#REF!</v>
      </c>
      <c r="J247" s="1" t="e">
        <f>I247/VLOOKUP(A247,'[11]geoMap (8)'!$A:$B,2,0)*VLOOKUP(A247,'[11]geoMap (8)'!$A:$C,3,0)</f>
        <v>#REF!</v>
      </c>
      <c r="K247" s="1" t="e">
        <f>J247/VLOOKUP(A247,'[12]geoMap (9)'!$A:$B,2,0)*VLOOKUP(A247,'[12]geoMap (9)'!$A:$C,3,0)</f>
        <v>#REF!</v>
      </c>
      <c r="L247" s="1" t="e">
        <f>K247/VLOOKUP(A247,'[13]geoMap (10)'!$A:$B,2,0)*VLOOKUP(A247,'[13]geoMap (10)'!$A:$C,3,0)</f>
        <v>#REF!</v>
      </c>
      <c r="M247" s="1" t="e">
        <f>L247/VLOOKUP(A247,'[14]geoMap (11)'!$A:$B,2,0)*VLOOKUP(A247,'[14]geoMap (11)'!$A:$C,3,0)</f>
        <v>#REF!</v>
      </c>
      <c r="N247" s="1" t="e">
        <f>M247/VLOOKUP(A247,'[15]geoMap (12)'!$A:$B,2,0)*VLOOKUP(A247,'[15]geoMap (12)'!$A:$C,3,0)</f>
        <v>#REF!</v>
      </c>
      <c r="O247" s="1" t="e">
        <f>N247/VLOOKUP(A247,'[16]geoMap (13)'!$A:$B,2,0)*VLOOKUP(A247,'[16]geoMap (13)'!$A:$C,3,0)</f>
        <v>#REF!</v>
      </c>
      <c r="P247" s="1" t="e">
        <f>O247/VLOOKUP(A247,'[17]geoMap (14)'!$A:$B,2,0)*VLOOKUP(A247,'[17]geoMap (14)'!$A:$C,3,0)</f>
        <v>#REF!</v>
      </c>
      <c r="Q247" s="1" t="e">
        <f>P247/VLOOKUP(A247,'[18]geoMap (15)'!$A:$B,2,0)*VLOOKUP(A247,'[18]geoMap (15)'!$A:$C,3,0)</f>
        <v>#REF!</v>
      </c>
      <c r="R247" s="1" t="e">
        <f>Q247/VLOOKUP(A247,'[19]geoMap (16)'!$A:$B,2,0)*VLOOKUP(A247,'[19]geoMap (16)'!$A:$C,3,0)</f>
        <v>#REF!</v>
      </c>
      <c r="S247" s="1" t="e">
        <f>R247/VLOOKUP(A247,'[20]geoMap (17)'!$A:$B,2,0)*VLOOKUP(A247,'[20]geoMap (17)'!$A:$C,3,0)</f>
        <v>#REF!</v>
      </c>
      <c r="T247" s="1" t="e">
        <f>S247/VLOOKUP(A247,'[21]geoMap (18)'!$A:$B,2,0)*VLOOKUP(A247,'[21]geoMap (18)'!$A:$C,3,0)</f>
        <v>#REF!</v>
      </c>
      <c r="U247" s="1" t="e">
        <f>T247/VLOOKUP(A247,'[22]geoMap (19)'!$A:$B,2,0)*VLOOKUP(A247,'[22]geoMap (19)'!$A:$C,3,0)</f>
        <v>#REF!</v>
      </c>
      <c r="V247" s="1" t="e">
        <f>U247/VLOOKUP(A247,'[23]geoMap (20)'!$A:$B,2,0)*VLOOKUP(A247,'[23]geoMap (20)'!$A:$C,3,0)</f>
        <v>#REF!</v>
      </c>
      <c r="W247" s="1" t="e">
        <f>V247/VLOOKUP(A247,'[24]geoMap (21)'!$A:$B,2,0)*VLOOKUP(A247,'[24]geoMap (21)'!$A:$C,3,0)</f>
        <v>#REF!</v>
      </c>
      <c r="X247" s="1" t="e">
        <f>W247/VLOOKUP(A247,'[25]geoMap (22)'!$A:$B,2,0)*VLOOKUP(A247,'[25]geoMap (22)'!$A:$C,3,0)</f>
        <v>#REF!</v>
      </c>
      <c r="Y247" s="1" t="e">
        <f>X247/VLOOKUP(A247,'[26]geoMap (23)'!$A:$B,2,0)*VLOOKUP(A247,'[26]geoMap (23)'!$A:$C,3,0)</f>
        <v>#REF!</v>
      </c>
      <c r="Z247" s="1" t="e">
        <f>Y247/VLOOKUP(A247,'[27]geoMap (24)'!$A:$B,2,0)*VLOOKUP(A247,'[27]geoMap (24)'!$A:$C,3,0)</f>
        <v>#REF!</v>
      </c>
      <c r="AA247" s="1" t="e">
        <f>Z247/VLOOKUP(A247,'[28]geoMap (25)'!$A:$B,2,0)*VLOOKUP(A247,'[28]geoMap (25)'!$A:$C,3,0)</f>
        <v>#REF!</v>
      </c>
      <c r="AB247" s="1" t="e">
        <f>AA247*VLOOKUP(A247,'[29]geoMap (26)'!$A:$B,2,0)*VLOOKUP(A247,'[29]geoMap (26)'!$A:$C,3,0)</f>
        <v>#REF!</v>
      </c>
      <c r="AC247" s="1" t="e">
        <f>AB247/VLOOKUP(A247,'[30]geoMap (27)'!$A:$B,2,0)*VLOOKUP(A247,'[30]geoMap (27)'!$A:$C,3,0)</f>
        <v>#REF!</v>
      </c>
      <c r="AD247" s="1" t="e">
        <f>AC247/VLOOKUP(A247,'[31]geoMap (28)'!$A:$B,2,0)*VLOOKUP(A247,'[31]geoMap (28)'!$A:$C,3,0)</f>
        <v>#REF!</v>
      </c>
      <c r="AE247" s="1" t="e">
        <f>AD247/VLOOKUP(A247,'[32]geoMap (29)'!$A:$B,2,0)*VLOOKUP(A247,'[32]geoMap (29)'!$A:$C,3,0)</f>
        <v>#REF!</v>
      </c>
      <c r="AF247" s="1" t="e">
        <f>AE247/VLOOKUP(A247,'[33]geoMap (30)'!$A:$B,2,0)*VLOOKUP(A247,'[33]geoMap (30)'!$A:$C,3,0)</f>
        <v>#REF!</v>
      </c>
      <c r="AG247" s="1" t="e">
        <f>AF247/VLOOKUP(A247,'[34]geoMap (31)'!$A:$B,2,0)*VLOOKUP(A247,'[34]geoMap (31)'!$A:$C,3,0)</f>
        <v>#REF!</v>
      </c>
      <c r="AH247" s="1" t="e">
        <f>AG247/VLOOKUP(A247,'[35]geoMap (32)'!$A:$B,2,0)*VLOOKUP(A247,'[35]geoMap (32)'!$A:$C,3,0)</f>
        <v>#REF!</v>
      </c>
      <c r="AI247" s="1" t="e">
        <f>AH247/VLOOKUP(A247,'[36]geoMap (33)'!$A:$B,2,0)*VLOOKUP(A247,'[36]geoMap (33)'!$A:$C,3,0)</f>
        <v>#REF!</v>
      </c>
      <c r="AJ247" s="1" t="e">
        <f>AI247/VLOOKUP(A247,'[37]geoMap (34)'!$A:$B,2,0)*VLOOKUP(A247,'[37]geoMap (34)'!$A:$C,3,0)</f>
        <v>#REF!</v>
      </c>
      <c r="AK247" s="1" t="e">
        <f>AJ247/VLOOKUP(A247,'[38]geoMap (35)'!$A:$B,2,0)*VLOOKUP(A247,'[38]geoMap (35)'!$A:$C,3,0)</f>
        <v>#REF!</v>
      </c>
      <c r="AL247" s="1" t="e">
        <f>AK247/VLOOKUP(A247,'[39]geoMap (36)'!$A:$B,2,0)*VLOOKUP(A247,'[39]geoMap (36)'!$A:$C,3,0)</f>
        <v>#REF!</v>
      </c>
      <c r="AM247" s="1" t="e">
        <f>AL247/VLOOKUP(A247,'[40]geoMap (37)'!$A:$B,2,0)*VLOOKUP(A247,'[40]geoMap (37)'!$A:$C,3,0)</f>
        <v>#REF!</v>
      </c>
      <c r="AN247" s="1" t="e">
        <f>AM247/VLOOKUP(A247,'[41]geoMap (38)'!$A:$B,2,0)*VLOOKUP(A247,'[41]geoMap (38)'!$A:$C,3,0)</f>
        <v>#REF!</v>
      </c>
      <c r="AO247" s="1" t="e">
        <f>AN247/VLOOKUP(A247,'[42]geoMap (39)'!$A:$B,2,0)*VLOOKUP(A247,'[42]geoMap (39)'!$A:$C,3,0)</f>
        <v>#REF!</v>
      </c>
      <c r="AP247" s="1" t="e">
        <f>AO247/VLOOKUP(A247,'[43]geoMap (40)'!$A:$B,2,0)*VLOOKUP(A247,'[43]geoMap (40)'!$A:$C,3,0)</f>
        <v>#REF!</v>
      </c>
      <c r="AQ247" s="1" t="e">
        <f>AP247/VLOOKUP(A247,'[44]geoMap (41)'!$A:$B,2,0)*VLOOKUP(A247,'[44]geoMap (41)'!$A:$C,3,0)</f>
        <v>#REF!</v>
      </c>
      <c r="AR247" s="1" t="e">
        <f>AQ247/VLOOKUP(A247,'[45]geoMap (42)'!$A:$B,2,0)*VLOOKUP(A247,'[45]geoMap (42)'!$A:$C,3,0)</f>
        <v>#REF!</v>
      </c>
      <c r="AS247" s="1" t="e">
        <f>AR247/VLOOKUP(A247,'[46]geoMap (43)'!$A:$B,2,0)*VLOOKUP(A247,'[46]geoMap (43)'!$A:$C,3,0)</f>
        <v>#REF!</v>
      </c>
      <c r="AT247" s="1" t="e">
        <f>AS247/VLOOKUP(A247,'[47]geoMap (44)'!$A:$B,2,0)*VLOOKUP(A247,'[47]geoMap (44)'!$A:$C,3,0)</f>
        <v>#REF!</v>
      </c>
      <c r="AU247" s="1" t="e">
        <f>AT247/VLOOKUP(A247,'[48]geoMap (45)'!$A:$B,2,0)*VLOOKUP(A247,'[48]geoMap (45)'!$A:$C,3,0)</f>
        <v>#REF!</v>
      </c>
      <c r="AV247" s="1" t="e">
        <f>AU247/VLOOKUP(A247,'[49]geoMap (46)'!$A:$B,2,0)*VLOOKUP(A247,'[49]geoMap (46)'!$A:$C,3,0)</f>
        <v>#REF!</v>
      </c>
      <c r="AW247" s="1" t="e">
        <f>AV247/VLOOKUP(A247,'[50]geoMap (47)'!$A:$B,2,0)*VLOOKUP(A247,'[50]geoMap (47)'!$A:$C,3,0)</f>
        <v>#REF!</v>
      </c>
      <c r="AX247" s="4" t="e">
        <f>AW247/VLOOKUP(A247,'[51]geoMap (48)'!$A:$B,2,0)*VLOOKUP(A247,'[51]geoMap (48)'!$A:$C,3,0)</f>
        <v>#REF!</v>
      </c>
      <c r="AY247" s="1" t="e">
        <f>AX247/VLOOKUP(A247,'[52]geoMap (49)'!$A:$B,2,0)*VLOOKUP(A247,'[52]geoMap (49)'!$A:$C,3,0)</f>
        <v>#REF!</v>
      </c>
      <c r="AZ247" s="4" t="e">
        <f>AY247/VLOOKUP(A247,'[53]geoMap (50)'!$A:$B,2,0)*VLOOKUP(A247,'[53]geoMap (50)'!$A:$C,3,0)</f>
        <v>#REF!</v>
      </c>
      <c r="BA247" s="1" t="e">
        <f>AZ247/VLOOKUP(A247,'[54]geoMap (51)'!$A:$B,2,0)*VLOOKUP(A247,'[54]geoMap (51)'!$A:$C,3,0)</f>
        <v>#REF!</v>
      </c>
      <c r="BB247" s="4" t="e">
        <f>BA247/VLOOKUP(A247,'[55]geoMap (52)'!$A:$B,2,0)*VLOOKUP(A247,'[55]geoMap (52)'!$A:$C,3,0)</f>
        <v>#REF!</v>
      </c>
      <c r="BC247" s="1" t="e">
        <f>BB247/VLOOKUP(A247,'[56]geoMap (53)'!$A:$B,2,0)*VLOOKUP(A247,'[56]geoMap (53)'!$A:$C,3,0)</f>
        <v>#REF!</v>
      </c>
      <c r="BD247" s="4" t="e">
        <f>BC247/VLOOKUP(A247,'[57]geoMap (54)'!$A:$B,2,0)*VLOOKUP(A247,'[57]geoMap (54)'!$A:$C,3,0)</f>
        <v>#REF!</v>
      </c>
      <c r="BE247" s="1" t="e">
        <f>BD247/VLOOKUP(A247,'[58]geoMap (55)'!$A:$B,2,0)*VLOOKUP(A247,'[58]geoMap (55)'!$A:$C,3,0)</f>
        <v>#REF!</v>
      </c>
      <c r="BF247" s="4" t="e">
        <f>BE247/VLOOKUP(A247,'[59]geoMap (56)'!$A:$B,2,0)*VLOOKUP(A247,'[59]geoMap (56)'!$A:$C,3,0)</f>
        <v>#REF!</v>
      </c>
      <c r="BG247" s="1" t="e">
        <f>BF247/VLOOKUP(A247,'[60]geoMap (57)'!$A:$B,2,0)*VLOOKUP(A247,'[60]geoMap (57)'!$A:$C,3,0)</f>
        <v>#REF!</v>
      </c>
      <c r="BH247" s="4" t="e">
        <f>BG247/VLOOKUP(A247,'[61]geoMap (58)'!$A:$B,2,0)*VLOOKUP(A247,'[61]geoMap (58)'!$A:$C,3,0)</f>
        <v>#REF!</v>
      </c>
      <c r="BI247" s="1" t="e">
        <f>BH247/VLOOKUP(A247,'[62]geoMap (59)'!$A:$B,2,0)*VLOOKUP(A247,'[62]geoMap (59)'!$A:$C,3,0)</f>
        <v>#REF!</v>
      </c>
      <c r="BJ247" s="4" t="e">
        <f>BI247/VLOOKUP(A247,'[63]geoMap (60)'!$A:$B,2,0)*VLOOKUP(A247,'[63]geoMap (60)'!$A:$C,3,0)</f>
        <v>#REF!</v>
      </c>
      <c r="BK247" s="1" t="e">
        <f>BJ247/VLOOKUP(A247,'[64]geoMap (61)'!$A:$B,2,0)*VLOOKUP(A247,'[64]geoMap (61)'!$A:$C,3,0)</f>
        <v>#REF!</v>
      </c>
      <c r="BL247" s="4" t="e">
        <f>BK247/VLOOKUP(A247,'[65]geoMap (62)'!$A:$B,2,0)*VLOOKUP(A247,'[65]geoMap (62)'!$A:$C,3,0)</f>
        <v>#REF!</v>
      </c>
      <c r="BM247" s="1" t="e">
        <f>BL247/VLOOKUP(A247,'[66]geoMap (63)'!$A:$B,2,0)*VLOOKUP(A247,'[66]geoMap (63)'!$A:$C,3,0)</f>
        <v>#REF!</v>
      </c>
      <c r="BN247" s="4" t="e">
        <f>BM247/VLOOKUP(A247,'[67]geoMap (64)'!$A:$B,2,0)*VLOOKUP(A247,'[67]geoMap (64)'!$A:$C,3,0)</f>
        <v>#REF!</v>
      </c>
      <c r="BO247" s="1" t="e">
        <f>BN247/VLOOKUP(A247,'[68]geoMap (65)'!$A:$B,2,0)*VLOOKUP(A247,'[68]geoMap (65)'!$A:$C,3,0)</f>
        <v>#REF!</v>
      </c>
      <c r="BP247" s="4" t="e">
        <f>BO247/VLOOKUP(A247,'[69]geoMap (66)'!$A:$B,2,0)*VLOOKUP(A247,'[69]geoMap (66)'!$A:$C,3,0)</f>
        <v>#REF!</v>
      </c>
    </row>
    <row r="248" spans="1:68" x14ac:dyDescent="0.2">
      <c r="A248" s="1" t="s">
        <v>250</v>
      </c>
      <c r="B248" s="1" t="e">
        <f>VLOOKUP(A248,[3]geoMap!$A:$B,2,0)*Notes!$C$6</f>
        <v>#REF!</v>
      </c>
      <c r="C248" s="1" t="e">
        <f>B248/VLOOKUP(A248,'[4]geoMap (1)'!$A:$B,2,0)*VLOOKUP(A248,'[4]geoMap (1)'!$A:$C,3,0)</f>
        <v>#REF!</v>
      </c>
      <c r="D248" s="1" t="e">
        <f>C248/VLOOKUP(A248,'[5]geoMap (2)'!$A:$B,2,0)*VLOOKUP(A248,'[5]geoMap (2)'!$A:$C,3,0)</f>
        <v>#REF!</v>
      </c>
      <c r="E248" s="1" t="e">
        <f>D248/VLOOKUP(A248,'[6]geoMap (3)'!$A:$B,2,0)*VLOOKUP(A248,'[6]geoMap (3)'!$A:$C,3,0)</f>
        <v>#REF!</v>
      </c>
      <c r="F248" s="1" t="e">
        <f>E248/VLOOKUP(A248,'[7]geoMap (4)'!$A:$B,2,0)*VLOOKUP(A248,'[7]geoMap (4)'!$A:$C,3,0)</f>
        <v>#REF!</v>
      </c>
      <c r="G248" s="1" t="e">
        <f>F248/VLOOKUP(A248,'[8]geoMap (5)'!$A:$B,2,0)*VLOOKUP(A248,'[8]geoMap (5)'!$A:$C,3,0)</f>
        <v>#REF!</v>
      </c>
      <c r="H248" s="1" t="e">
        <f>G248/VLOOKUP(A248,'[9]geoMap (6)'!$A:$B,2,0)*VLOOKUP(A248,'[9]geoMap (6)'!$A:$C,3,0)</f>
        <v>#REF!</v>
      </c>
      <c r="I248" s="1" t="e">
        <f>H248/VLOOKUP(A248,'[10]geoMap (7)'!$A:$B,2,0)*VLOOKUP(A248,'[10]geoMap (7)'!$A:$C,3,0)</f>
        <v>#REF!</v>
      </c>
      <c r="J248" s="1" t="e">
        <f>I248/VLOOKUP(A248,'[11]geoMap (8)'!$A:$B,2,0)*VLOOKUP(A248,'[11]geoMap (8)'!$A:$C,3,0)</f>
        <v>#REF!</v>
      </c>
      <c r="K248" s="1" t="e">
        <f>J248/VLOOKUP(A248,'[12]geoMap (9)'!$A:$B,2,0)*VLOOKUP(A248,'[12]geoMap (9)'!$A:$C,3,0)</f>
        <v>#REF!</v>
      </c>
      <c r="L248" s="1" t="e">
        <f>K248/VLOOKUP(A248,'[13]geoMap (10)'!$A:$B,2,0)*VLOOKUP(A248,'[13]geoMap (10)'!$A:$C,3,0)</f>
        <v>#REF!</v>
      </c>
      <c r="M248" s="1" t="e">
        <f>L248/VLOOKUP(A248,'[14]geoMap (11)'!$A:$B,2,0)*VLOOKUP(A248,'[14]geoMap (11)'!$A:$C,3,0)</f>
        <v>#REF!</v>
      </c>
      <c r="N248" s="1" t="e">
        <f>M248/VLOOKUP(A248,'[15]geoMap (12)'!$A:$B,2,0)*VLOOKUP(A248,'[15]geoMap (12)'!$A:$C,3,0)</f>
        <v>#REF!</v>
      </c>
      <c r="O248" s="1" t="e">
        <f>N248/VLOOKUP(A248,'[16]geoMap (13)'!$A:$B,2,0)*VLOOKUP(A248,'[16]geoMap (13)'!$A:$C,3,0)</f>
        <v>#REF!</v>
      </c>
      <c r="P248" s="1" t="e">
        <f>O248/VLOOKUP(A248,'[17]geoMap (14)'!$A:$B,2,0)*VLOOKUP(A248,'[17]geoMap (14)'!$A:$C,3,0)</f>
        <v>#REF!</v>
      </c>
      <c r="Q248" s="1" t="e">
        <f>P248/VLOOKUP(A248,'[18]geoMap (15)'!$A:$B,2,0)*VLOOKUP(A248,'[18]geoMap (15)'!$A:$C,3,0)</f>
        <v>#REF!</v>
      </c>
      <c r="R248" s="1" t="e">
        <f>Q248/VLOOKUP(A248,'[19]geoMap (16)'!$A:$B,2,0)*VLOOKUP(A248,'[19]geoMap (16)'!$A:$C,3,0)</f>
        <v>#REF!</v>
      </c>
      <c r="S248" s="1" t="e">
        <f>R248/VLOOKUP(A248,'[20]geoMap (17)'!$A:$B,2,0)*VLOOKUP(A248,'[20]geoMap (17)'!$A:$C,3,0)</f>
        <v>#REF!</v>
      </c>
      <c r="T248" s="1" t="e">
        <f>S248/VLOOKUP(A248,'[21]geoMap (18)'!$A:$B,2,0)*VLOOKUP(A248,'[21]geoMap (18)'!$A:$C,3,0)</f>
        <v>#REF!</v>
      </c>
      <c r="U248" s="1" t="e">
        <f>T248/VLOOKUP(A248,'[22]geoMap (19)'!$A:$B,2,0)*VLOOKUP(A248,'[22]geoMap (19)'!$A:$C,3,0)</f>
        <v>#REF!</v>
      </c>
      <c r="V248" s="1" t="e">
        <f>U248/VLOOKUP(A248,'[23]geoMap (20)'!$A:$B,2,0)*VLOOKUP(A248,'[23]geoMap (20)'!$A:$C,3,0)</f>
        <v>#REF!</v>
      </c>
      <c r="W248" s="1" t="e">
        <f>V248/VLOOKUP(A248,'[24]geoMap (21)'!$A:$B,2,0)*VLOOKUP(A248,'[24]geoMap (21)'!$A:$C,3,0)</f>
        <v>#REF!</v>
      </c>
      <c r="X248" s="1" t="e">
        <f>W248/VLOOKUP(A248,'[25]geoMap (22)'!$A:$B,2,0)*VLOOKUP(A248,'[25]geoMap (22)'!$A:$C,3,0)</f>
        <v>#REF!</v>
      </c>
      <c r="Y248" s="1" t="e">
        <f>X248/VLOOKUP(A248,'[26]geoMap (23)'!$A:$B,2,0)*VLOOKUP(A248,'[26]geoMap (23)'!$A:$C,3,0)</f>
        <v>#REF!</v>
      </c>
      <c r="Z248" s="1" t="e">
        <f>Y248/VLOOKUP(A248,'[27]geoMap (24)'!$A:$B,2,0)*VLOOKUP(A248,'[27]geoMap (24)'!$A:$C,3,0)</f>
        <v>#REF!</v>
      </c>
      <c r="AA248" s="1" t="e">
        <f>Z248/VLOOKUP(A248,'[28]geoMap (25)'!$A:$B,2,0)*VLOOKUP(A248,'[28]geoMap (25)'!$A:$C,3,0)</f>
        <v>#REF!</v>
      </c>
      <c r="AB248" s="1" t="e">
        <f>AA248*VLOOKUP(A248,'[29]geoMap (26)'!$A:$B,2,0)*VLOOKUP(A248,'[29]geoMap (26)'!$A:$C,3,0)</f>
        <v>#REF!</v>
      </c>
      <c r="AC248" s="1" t="e">
        <f>AB248/VLOOKUP(A248,'[30]geoMap (27)'!$A:$B,2,0)*VLOOKUP(A248,'[30]geoMap (27)'!$A:$C,3,0)</f>
        <v>#REF!</v>
      </c>
      <c r="AD248" s="1" t="e">
        <f>AC248/VLOOKUP(A248,'[31]geoMap (28)'!$A:$B,2,0)*VLOOKUP(A248,'[31]geoMap (28)'!$A:$C,3,0)</f>
        <v>#REF!</v>
      </c>
      <c r="AE248" s="1" t="e">
        <f>AD248/VLOOKUP(A248,'[32]geoMap (29)'!$A:$B,2,0)*VLOOKUP(A248,'[32]geoMap (29)'!$A:$C,3,0)</f>
        <v>#REF!</v>
      </c>
      <c r="AF248" s="1" t="e">
        <f>AE248/VLOOKUP(A248,'[33]geoMap (30)'!$A:$B,2,0)*VLOOKUP(A248,'[33]geoMap (30)'!$A:$C,3,0)</f>
        <v>#REF!</v>
      </c>
      <c r="AG248" s="1" t="e">
        <f>AF248/VLOOKUP(A248,'[34]geoMap (31)'!$A:$B,2,0)*VLOOKUP(A248,'[34]geoMap (31)'!$A:$C,3,0)</f>
        <v>#REF!</v>
      </c>
      <c r="AH248" s="1" t="e">
        <f>AG248/VLOOKUP(A248,'[35]geoMap (32)'!$A:$B,2,0)*VLOOKUP(A248,'[35]geoMap (32)'!$A:$C,3,0)</f>
        <v>#REF!</v>
      </c>
      <c r="AI248" s="1" t="e">
        <f>AH248/VLOOKUP(A248,'[36]geoMap (33)'!$A:$B,2,0)*VLOOKUP(A248,'[36]geoMap (33)'!$A:$C,3,0)</f>
        <v>#REF!</v>
      </c>
      <c r="AJ248" s="1" t="e">
        <f>AI248/VLOOKUP(A248,'[37]geoMap (34)'!$A:$B,2,0)*VLOOKUP(A248,'[37]geoMap (34)'!$A:$C,3,0)</f>
        <v>#REF!</v>
      </c>
      <c r="AK248" s="1" t="e">
        <f>AJ248/VLOOKUP(A248,'[38]geoMap (35)'!$A:$B,2,0)*VLOOKUP(A248,'[38]geoMap (35)'!$A:$C,3,0)</f>
        <v>#REF!</v>
      </c>
      <c r="AL248" s="1" t="e">
        <f>AK248/VLOOKUP(A248,'[39]geoMap (36)'!$A:$B,2,0)*VLOOKUP(A248,'[39]geoMap (36)'!$A:$C,3,0)</f>
        <v>#REF!</v>
      </c>
      <c r="AM248" s="1" t="e">
        <f>AL248/VLOOKUP(A248,'[40]geoMap (37)'!$A:$B,2,0)*VLOOKUP(A248,'[40]geoMap (37)'!$A:$C,3,0)</f>
        <v>#REF!</v>
      </c>
      <c r="AN248" s="1" t="e">
        <f>AM248/VLOOKUP(A248,'[41]geoMap (38)'!$A:$B,2,0)*VLOOKUP(A248,'[41]geoMap (38)'!$A:$C,3,0)</f>
        <v>#REF!</v>
      </c>
      <c r="AO248" s="1" t="e">
        <f>AN248/VLOOKUP(A248,'[42]geoMap (39)'!$A:$B,2,0)*VLOOKUP(A248,'[42]geoMap (39)'!$A:$C,3,0)</f>
        <v>#REF!</v>
      </c>
      <c r="AP248" s="1" t="e">
        <f>AO248/VLOOKUP(A248,'[43]geoMap (40)'!$A:$B,2,0)*VLOOKUP(A248,'[43]geoMap (40)'!$A:$C,3,0)</f>
        <v>#REF!</v>
      </c>
      <c r="AQ248" s="1" t="e">
        <f>AP248/VLOOKUP(A248,'[44]geoMap (41)'!$A:$B,2,0)*VLOOKUP(A248,'[44]geoMap (41)'!$A:$C,3,0)</f>
        <v>#REF!</v>
      </c>
      <c r="AR248" s="1" t="e">
        <f>AQ248/VLOOKUP(A248,'[45]geoMap (42)'!$A:$B,2,0)*VLOOKUP(A248,'[45]geoMap (42)'!$A:$C,3,0)</f>
        <v>#REF!</v>
      </c>
      <c r="AS248" s="1" t="e">
        <f>AR248/VLOOKUP(A248,'[46]geoMap (43)'!$A:$B,2,0)*VLOOKUP(A248,'[46]geoMap (43)'!$A:$C,3,0)</f>
        <v>#REF!</v>
      </c>
      <c r="AT248" s="1" t="e">
        <f>AS248/VLOOKUP(A248,'[47]geoMap (44)'!$A:$B,2,0)*VLOOKUP(A248,'[47]geoMap (44)'!$A:$C,3,0)</f>
        <v>#REF!</v>
      </c>
      <c r="AU248" s="1" t="e">
        <f>AT248/VLOOKUP(A248,'[48]geoMap (45)'!$A:$B,2,0)*VLOOKUP(A248,'[48]geoMap (45)'!$A:$C,3,0)</f>
        <v>#REF!</v>
      </c>
      <c r="AV248" s="1" t="e">
        <f>AU248/VLOOKUP(A248,'[49]geoMap (46)'!$A:$B,2,0)*VLOOKUP(A248,'[49]geoMap (46)'!$A:$C,3,0)</f>
        <v>#REF!</v>
      </c>
      <c r="AW248" s="1" t="e">
        <f>AV248/VLOOKUP(A248,'[50]geoMap (47)'!$A:$B,2,0)*VLOOKUP(A248,'[50]geoMap (47)'!$A:$C,3,0)</f>
        <v>#REF!</v>
      </c>
      <c r="AX248" s="4" t="e">
        <f>AW248/VLOOKUP(A248,'[51]geoMap (48)'!$A:$B,2,0)*VLOOKUP(A248,'[51]geoMap (48)'!$A:$C,3,0)</f>
        <v>#REF!</v>
      </c>
      <c r="AY248" s="1" t="e">
        <f>AX248/VLOOKUP(A248,'[52]geoMap (49)'!$A:$B,2,0)*VLOOKUP(A248,'[52]geoMap (49)'!$A:$C,3,0)</f>
        <v>#REF!</v>
      </c>
      <c r="AZ248" s="4" t="e">
        <f>AY248/VLOOKUP(A248,'[53]geoMap (50)'!$A:$B,2,0)*VLOOKUP(A248,'[53]geoMap (50)'!$A:$C,3,0)</f>
        <v>#REF!</v>
      </c>
      <c r="BA248" s="1" t="e">
        <f>AZ248/VLOOKUP(A248,'[54]geoMap (51)'!$A:$B,2,0)*VLOOKUP(A248,'[54]geoMap (51)'!$A:$C,3,0)</f>
        <v>#REF!</v>
      </c>
      <c r="BB248" s="4" t="e">
        <f>BA248/VLOOKUP(A248,'[55]geoMap (52)'!$A:$B,2,0)*VLOOKUP(A248,'[55]geoMap (52)'!$A:$C,3,0)</f>
        <v>#REF!</v>
      </c>
      <c r="BC248" s="1" t="e">
        <f>BB248/VLOOKUP(A248,'[56]geoMap (53)'!$A:$B,2,0)*VLOOKUP(A248,'[56]geoMap (53)'!$A:$C,3,0)</f>
        <v>#REF!</v>
      </c>
      <c r="BD248" s="4" t="e">
        <f>BC248/VLOOKUP(A248,'[57]geoMap (54)'!$A:$B,2,0)*VLOOKUP(A248,'[57]geoMap (54)'!$A:$C,3,0)</f>
        <v>#REF!</v>
      </c>
      <c r="BE248" s="1" t="e">
        <f>BD248/VLOOKUP(A248,'[58]geoMap (55)'!$A:$B,2,0)*VLOOKUP(A248,'[58]geoMap (55)'!$A:$C,3,0)</f>
        <v>#REF!</v>
      </c>
      <c r="BF248" s="4" t="e">
        <f>BE248/VLOOKUP(A248,'[59]geoMap (56)'!$A:$B,2,0)*VLOOKUP(A248,'[59]geoMap (56)'!$A:$C,3,0)</f>
        <v>#REF!</v>
      </c>
      <c r="BG248" s="1" t="e">
        <f>BF248/VLOOKUP(A248,'[60]geoMap (57)'!$A:$B,2,0)*VLOOKUP(A248,'[60]geoMap (57)'!$A:$C,3,0)</f>
        <v>#REF!</v>
      </c>
      <c r="BH248" s="4" t="e">
        <f>BG248/VLOOKUP(A248,'[61]geoMap (58)'!$A:$B,2,0)*VLOOKUP(A248,'[61]geoMap (58)'!$A:$C,3,0)</f>
        <v>#REF!</v>
      </c>
      <c r="BI248" s="1" t="e">
        <f>BH248/VLOOKUP(A248,'[62]geoMap (59)'!$A:$B,2,0)*VLOOKUP(A248,'[62]geoMap (59)'!$A:$C,3,0)</f>
        <v>#REF!</v>
      </c>
      <c r="BJ248" s="4" t="e">
        <f>BI248/VLOOKUP(A248,'[63]geoMap (60)'!$A:$B,2,0)*VLOOKUP(A248,'[63]geoMap (60)'!$A:$C,3,0)</f>
        <v>#REF!</v>
      </c>
      <c r="BK248" s="1" t="e">
        <f>BJ248/VLOOKUP(A248,'[64]geoMap (61)'!$A:$B,2,0)*VLOOKUP(A248,'[64]geoMap (61)'!$A:$C,3,0)</f>
        <v>#REF!</v>
      </c>
      <c r="BL248" s="4" t="e">
        <f>BK248/VLOOKUP(A248,'[65]geoMap (62)'!$A:$B,2,0)*VLOOKUP(A248,'[65]geoMap (62)'!$A:$C,3,0)</f>
        <v>#REF!</v>
      </c>
      <c r="BM248" s="1" t="e">
        <f>BL248/VLOOKUP(A248,'[66]geoMap (63)'!$A:$B,2,0)*VLOOKUP(A248,'[66]geoMap (63)'!$A:$C,3,0)</f>
        <v>#REF!</v>
      </c>
      <c r="BN248" s="4" t="e">
        <f>BM248/VLOOKUP(A248,'[67]geoMap (64)'!$A:$B,2,0)*VLOOKUP(A248,'[67]geoMap (64)'!$A:$C,3,0)</f>
        <v>#REF!</v>
      </c>
      <c r="BO248" s="1" t="e">
        <f>BN248/VLOOKUP(A248,'[68]geoMap (65)'!$A:$B,2,0)*VLOOKUP(A248,'[68]geoMap (65)'!$A:$C,3,0)</f>
        <v>#REF!</v>
      </c>
      <c r="BP248" s="4" t="e">
        <f>BO248/VLOOKUP(A248,'[69]geoMap (66)'!$A:$B,2,0)*VLOOKUP(A248,'[69]geoMap (66)'!$A:$C,3,0)</f>
        <v>#REF!</v>
      </c>
    </row>
    <row r="249" spans="1:68" x14ac:dyDescent="0.2">
      <c r="A249" s="1" t="s">
        <v>251</v>
      </c>
      <c r="B249" s="1" t="e">
        <f>VLOOKUP(A249,[3]geoMap!$A:$B,2,0)*Notes!$C$6</f>
        <v>#REF!</v>
      </c>
      <c r="C249" s="1" t="e">
        <f>B249/VLOOKUP(A249,'[4]geoMap (1)'!$A:$B,2,0)*VLOOKUP(A249,'[4]geoMap (1)'!$A:$C,3,0)</f>
        <v>#REF!</v>
      </c>
      <c r="D249" s="1" t="e">
        <f>C249/VLOOKUP(A249,'[5]geoMap (2)'!$A:$B,2,0)*VLOOKUP(A249,'[5]geoMap (2)'!$A:$C,3,0)</f>
        <v>#REF!</v>
      </c>
      <c r="E249" s="1" t="e">
        <f>D249/VLOOKUP(A249,'[6]geoMap (3)'!$A:$B,2,0)*VLOOKUP(A249,'[6]geoMap (3)'!$A:$C,3,0)</f>
        <v>#REF!</v>
      </c>
      <c r="F249" s="1" t="e">
        <f>E249/VLOOKUP(A249,'[7]geoMap (4)'!$A:$B,2,0)*VLOOKUP(A249,'[7]geoMap (4)'!$A:$C,3,0)</f>
        <v>#REF!</v>
      </c>
      <c r="G249" s="1" t="e">
        <f>F249/VLOOKUP(A249,'[8]geoMap (5)'!$A:$B,2,0)*VLOOKUP(A249,'[8]geoMap (5)'!$A:$C,3,0)</f>
        <v>#REF!</v>
      </c>
      <c r="H249" s="1" t="e">
        <f>G249/VLOOKUP(A249,'[9]geoMap (6)'!$A:$B,2,0)*VLOOKUP(A249,'[9]geoMap (6)'!$A:$C,3,0)</f>
        <v>#REF!</v>
      </c>
      <c r="I249" s="1" t="e">
        <f>H249/VLOOKUP(A249,'[10]geoMap (7)'!$A:$B,2,0)*VLOOKUP(A249,'[10]geoMap (7)'!$A:$C,3,0)</f>
        <v>#REF!</v>
      </c>
      <c r="J249" s="1" t="e">
        <f>I249/VLOOKUP(A249,'[11]geoMap (8)'!$A:$B,2,0)*VLOOKUP(A249,'[11]geoMap (8)'!$A:$C,3,0)</f>
        <v>#REF!</v>
      </c>
      <c r="K249" s="1" t="e">
        <f>J249/VLOOKUP(A249,'[12]geoMap (9)'!$A:$B,2,0)*VLOOKUP(A249,'[12]geoMap (9)'!$A:$C,3,0)</f>
        <v>#REF!</v>
      </c>
      <c r="L249" s="1" t="e">
        <f>K249/VLOOKUP(A249,'[13]geoMap (10)'!$A:$B,2,0)*VLOOKUP(A249,'[13]geoMap (10)'!$A:$C,3,0)</f>
        <v>#REF!</v>
      </c>
      <c r="M249" s="1" t="e">
        <f>L249/VLOOKUP(A249,'[14]geoMap (11)'!$A:$B,2,0)*VLOOKUP(A249,'[14]geoMap (11)'!$A:$C,3,0)</f>
        <v>#REF!</v>
      </c>
      <c r="N249" s="1" t="e">
        <f>M249/VLOOKUP(A249,'[15]geoMap (12)'!$A:$B,2,0)*VLOOKUP(A249,'[15]geoMap (12)'!$A:$C,3,0)</f>
        <v>#REF!</v>
      </c>
      <c r="O249" s="1" t="e">
        <f>N249/VLOOKUP(A249,'[16]geoMap (13)'!$A:$B,2,0)*VLOOKUP(A249,'[16]geoMap (13)'!$A:$C,3,0)</f>
        <v>#REF!</v>
      </c>
      <c r="P249" s="1" t="e">
        <f>O249/VLOOKUP(A249,'[17]geoMap (14)'!$A:$B,2,0)*VLOOKUP(A249,'[17]geoMap (14)'!$A:$C,3,0)</f>
        <v>#REF!</v>
      </c>
      <c r="Q249" s="1" t="e">
        <f>P249/VLOOKUP(A249,'[18]geoMap (15)'!$A:$B,2,0)*VLOOKUP(A249,'[18]geoMap (15)'!$A:$C,3,0)</f>
        <v>#REF!</v>
      </c>
      <c r="R249" s="1" t="e">
        <f>Q249/VLOOKUP(A249,'[19]geoMap (16)'!$A:$B,2,0)*VLOOKUP(A249,'[19]geoMap (16)'!$A:$C,3,0)</f>
        <v>#REF!</v>
      </c>
      <c r="S249" s="1" t="e">
        <f>R249/VLOOKUP(A249,'[20]geoMap (17)'!$A:$B,2,0)*VLOOKUP(A249,'[20]geoMap (17)'!$A:$C,3,0)</f>
        <v>#REF!</v>
      </c>
      <c r="T249" s="1" t="e">
        <f>S249/VLOOKUP(A249,'[21]geoMap (18)'!$A:$B,2,0)*VLOOKUP(A249,'[21]geoMap (18)'!$A:$C,3,0)</f>
        <v>#REF!</v>
      </c>
      <c r="U249" s="1" t="e">
        <f>T249/VLOOKUP(A249,'[22]geoMap (19)'!$A:$B,2,0)*VLOOKUP(A249,'[22]geoMap (19)'!$A:$C,3,0)</f>
        <v>#REF!</v>
      </c>
      <c r="V249" s="1" t="e">
        <f>U249/VLOOKUP(A249,'[23]geoMap (20)'!$A:$B,2,0)*VLOOKUP(A249,'[23]geoMap (20)'!$A:$C,3,0)</f>
        <v>#REF!</v>
      </c>
      <c r="W249" s="1" t="e">
        <f>V249/VLOOKUP(A249,'[24]geoMap (21)'!$A:$B,2,0)*VLOOKUP(A249,'[24]geoMap (21)'!$A:$C,3,0)</f>
        <v>#REF!</v>
      </c>
      <c r="X249" s="1" t="e">
        <f>W249/VLOOKUP(A249,'[25]geoMap (22)'!$A:$B,2,0)*VLOOKUP(A249,'[25]geoMap (22)'!$A:$C,3,0)</f>
        <v>#REF!</v>
      </c>
      <c r="Y249" s="1" t="e">
        <f>X249/VLOOKUP(A249,'[26]geoMap (23)'!$A:$B,2,0)*VLOOKUP(A249,'[26]geoMap (23)'!$A:$C,3,0)</f>
        <v>#REF!</v>
      </c>
      <c r="Z249" s="1" t="e">
        <f>Y249/VLOOKUP(A249,'[27]geoMap (24)'!$A:$B,2,0)*VLOOKUP(A249,'[27]geoMap (24)'!$A:$C,3,0)</f>
        <v>#REF!</v>
      </c>
      <c r="AA249" s="1" t="e">
        <f>Z249/VLOOKUP(A249,'[28]geoMap (25)'!$A:$B,2,0)*VLOOKUP(A249,'[28]geoMap (25)'!$A:$C,3,0)</f>
        <v>#REF!</v>
      </c>
      <c r="AB249" s="1" t="e">
        <f>AA249*VLOOKUP(A249,'[29]geoMap (26)'!$A:$B,2,0)*VLOOKUP(A249,'[29]geoMap (26)'!$A:$C,3,0)</f>
        <v>#REF!</v>
      </c>
      <c r="AC249" s="1" t="e">
        <f>AB249/VLOOKUP(A249,'[30]geoMap (27)'!$A:$B,2,0)*VLOOKUP(A249,'[30]geoMap (27)'!$A:$C,3,0)</f>
        <v>#REF!</v>
      </c>
      <c r="AD249" s="1" t="e">
        <f>AC249/VLOOKUP(A249,'[31]geoMap (28)'!$A:$B,2,0)*VLOOKUP(A249,'[31]geoMap (28)'!$A:$C,3,0)</f>
        <v>#REF!</v>
      </c>
      <c r="AE249" s="1" t="e">
        <f>AD249/VLOOKUP(A249,'[32]geoMap (29)'!$A:$B,2,0)*VLOOKUP(A249,'[32]geoMap (29)'!$A:$C,3,0)</f>
        <v>#REF!</v>
      </c>
      <c r="AF249" s="1" t="e">
        <f>AE249/VLOOKUP(A249,'[33]geoMap (30)'!$A:$B,2,0)*VLOOKUP(A249,'[33]geoMap (30)'!$A:$C,3,0)</f>
        <v>#REF!</v>
      </c>
      <c r="AG249" s="1" t="e">
        <f>AF249/VLOOKUP(A249,'[34]geoMap (31)'!$A:$B,2,0)*VLOOKUP(A249,'[34]geoMap (31)'!$A:$C,3,0)</f>
        <v>#REF!</v>
      </c>
      <c r="AH249" s="1" t="e">
        <f>AG249/VLOOKUP(A249,'[35]geoMap (32)'!$A:$B,2,0)*VLOOKUP(A249,'[35]geoMap (32)'!$A:$C,3,0)</f>
        <v>#REF!</v>
      </c>
      <c r="AI249" s="1" t="e">
        <f>AH249/VLOOKUP(A249,'[36]geoMap (33)'!$A:$B,2,0)*VLOOKUP(A249,'[36]geoMap (33)'!$A:$C,3,0)</f>
        <v>#REF!</v>
      </c>
      <c r="AJ249" s="1" t="e">
        <f>AI249/VLOOKUP(A249,'[37]geoMap (34)'!$A:$B,2,0)*VLOOKUP(A249,'[37]geoMap (34)'!$A:$C,3,0)</f>
        <v>#REF!</v>
      </c>
      <c r="AK249" s="1" t="e">
        <f>AJ249/VLOOKUP(A249,'[38]geoMap (35)'!$A:$B,2,0)*VLOOKUP(A249,'[38]geoMap (35)'!$A:$C,3,0)</f>
        <v>#REF!</v>
      </c>
      <c r="AL249" s="1" t="e">
        <f>AK249/VLOOKUP(A249,'[39]geoMap (36)'!$A:$B,2,0)*VLOOKUP(A249,'[39]geoMap (36)'!$A:$C,3,0)</f>
        <v>#REF!</v>
      </c>
      <c r="AM249" s="1" t="e">
        <f>AL249/VLOOKUP(A249,'[40]geoMap (37)'!$A:$B,2,0)*VLOOKUP(A249,'[40]geoMap (37)'!$A:$C,3,0)</f>
        <v>#REF!</v>
      </c>
      <c r="AN249" s="1" t="e">
        <f>AM249/VLOOKUP(A249,'[41]geoMap (38)'!$A:$B,2,0)*VLOOKUP(A249,'[41]geoMap (38)'!$A:$C,3,0)</f>
        <v>#REF!</v>
      </c>
      <c r="AO249" s="1" t="e">
        <f>AN249/VLOOKUP(A249,'[42]geoMap (39)'!$A:$B,2,0)*VLOOKUP(A249,'[42]geoMap (39)'!$A:$C,3,0)</f>
        <v>#REF!</v>
      </c>
      <c r="AP249" s="1" t="e">
        <f>AO249/VLOOKUP(A249,'[43]geoMap (40)'!$A:$B,2,0)*VLOOKUP(A249,'[43]geoMap (40)'!$A:$C,3,0)</f>
        <v>#REF!</v>
      </c>
      <c r="AQ249" s="1" t="e">
        <f>AP249/VLOOKUP(A249,'[44]geoMap (41)'!$A:$B,2,0)*VLOOKUP(A249,'[44]geoMap (41)'!$A:$C,3,0)</f>
        <v>#REF!</v>
      </c>
      <c r="AR249" s="1" t="e">
        <f>AQ249/VLOOKUP(A249,'[45]geoMap (42)'!$A:$B,2,0)*VLOOKUP(A249,'[45]geoMap (42)'!$A:$C,3,0)</f>
        <v>#REF!</v>
      </c>
      <c r="AS249" s="1" t="e">
        <f>AR249/VLOOKUP(A249,'[46]geoMap (43)'!$A:$B,2,0)*VLOOKUP(A249,'[46]geoMap (43)'!$A:$C,3,0)</f>
        <v>#REF!</v>
      </c>
      <c r="AT249" s="1" t="e">
        <f>AS249/VLOOKUP(A249,'[47]geoMap (44)'!$A:$B,2,0)*VLOOKUP(A249,'[47]geoMap (44)'!$A:$C,3,0)</f>
        <v>#REF!</v>
      </c>
      <c r="AU249" s="1" t="e">
        <f>AT249/VLOOKUP(A249,'[48]geoMap (45)'!$A:$B,2,0)*VLOOKUP(A249,'[48]geoMap (45)'!$A:$C,3,0)</f>
        <v>#REF!</v>
      </c>
      <c r="AV249" s="1" t="e">
        <f>AU249/VLOOKUP(A249,'[49]geoMap (46)'!$A:$B,2,0)*VLOOKUP(A249,'[49]geoMap (46)'!$A:$C,3,0)</f>
        <v>#REF!</v>
      </c>
      <c r="AW249" s="1" t="e">
        <f>AV249/VLOOKUP(A249,'[50]geoMap (47)'!$A:$B,2,0)*VLOOKUP(A249,'[50]geoMap (47)'!$A:$C,3,0)</f>
        <v>#REF!</v>
      </c>
      <c r="AX249" s="4" t="e">
        <f>AW249/VLOOKUP(A249,'[51]geoMap (48)'!$A:$B,2,0)*VLOOKUP(A249,'[51]geoMap (48)'!$A:$C,3,0)</f>
        <v>#REF!</v>
      </c>
      <c r="AY249" s="1" t="e">
        <f>AX249/VLOOKUP(A249,'[52]geoMap (49)'!$A:$B,2,0)*VLOOKUP(A249,'[52]geoMap (49)'!$A:$C,3,0)</f>
        <v>#REF!</v>
      </c>
      <c r="AZ249" s="4" t="e">
        <f>AY249/VLOOKUP(A249,'[53]geoMap (50)'!$A:$B,2,0)*VLOOKUP(A249,'[53]geoMap (50)'!$A:$C,3,0)</f>
        <v>#REF!</v>
      </c>
      <c r="BA249" s="1" t="e">
        <f>AZ249/VLOOKUP(A249,'[54]geoMap (51)'!$A:$B,2,0)*VLOOKUP(A249,'[54]geoMap (51)'!$A:$C,3,0)</f>
        <v>#REF!</v>
      </c>
      <c r="BB249" s="4" t="e">
        <f>BA249/VLOOKUP(A249,'[55]geoMap (52)'!$A:$B,2,0)*VLOOKUP(A249,'[55]geoMap (52)'!$A:$C,3,0)</f>
        <v>#REF!</v>
      </c>
      <c r="BC249" s="1" t="e">
        <f>BB249/VLOOKUP(A249,'[56]geoMap (53)'!$A:$B,2,0)*VLOOKUP(A249,'[56]geoMap (53)'!$A:$C,3,0)</f>
        <v>#REF!</v>
      </c>
      <c r="BD249" s="4" t="e">
        <f>BC249/VLOOKUP(A249,'[57]geoMap (54)'!$A:$B,2,0)*VLOOKUP(A249,'[57]geoMap (54)'!$A:$C,3,0)</f>
        <v>#REF!</v>
      </c>
      <c r="BE249" s="1" t="e">
        <f>BD249/VLOOKUP(A249,'[58]geoMap (55)'!$A:$B,2,0)*VLOOKUP(A249,'[58]geoMap (55)'!$A:$C,3,0)</f>
        <v>#REF!</v>
      </c>
      <c r="BF249" s="4" t="e">
        <f>BE249/VLOOKUP(A249,'[59]geoMap (56)'!$A:$B,2,0)*VLOOKUP(A249,'[59]geoMap (56)'!$A:$C,3,0)</f>
        <v>#REF!</v>
      </c>
      <c r="BG249" s="1" t="e">
        <f>BF249/VLOOKUP(A249,'[60]geoMap (57)'!$A:$B,2,0)*VLOOKUP(A249,'[60]geoMap (57)'!$A:$C,3,0)</f>
        <v>#REF!</v>
      </c>
      <c r="BH249" s="4" t="e">
        <f>BG249/VLOOKUP(A249,'[61]geoMap (58)'!$A:$B,2,0)*VLOOKUP(A249,'[61]geoMap (58)'!$A:$C,3,0)</f>
        <v>#REF!</v>
      </c>
      <c r="BI249" s="1" t="e">
        <f>BH249/VLOOKUP(A249,'[62]geoMap (59)'!$A:$B,2,0)*VLOOKUP(A249,'[62]geoMap (59)'!$A:$C,3,0)</f>
        <v>#REF!</v>
      </c>
      <c r="BJ249" s="4" t="e">
        <f>BI249/VLOOKUP(A249,'[63]geoMap (60)'!$A:$B,2,0)*VLOOKUP(A249,'[63]geoMap (60)'!$A:$C,3,0)</f>
        <v>#REF!</v>
      </c>
      <c r="BK249" s="1" t="e">
        <f>BJ249/VLOOKUP(A249,'[64]geoMap (61)'!$A:$B,2,0)*VLOOKUP(A249,'[64]geoMap (61)'!$A:$C,3,0)</f>
        <v>#REF!</v>
      </c>
      <c r="BL249" s="4" t="e">
        <f>BK249/VLOOKUP(A249,'[65]geoMap (62)'!$A:$B,2,0)*VLOOKUP(A249,'[65]geoMap (62)'!$A:$C,3,0)</f>
        <v>#REF!</v>
      </c>
      <c r="BM249" s="1" t="e">
        <f>BL249/VLOOKUP(A249,'[66]geoMap (63)'!$A:$B,2,0)*VLOOKUP(A249,'[66]geoMap (63)'!$A:$C,3,0)</f>
        <v>#REF!</v>
      </c>
      <c r="BN249" s="4" t="e">
        <f>BM249/VLOOKUP(A249,'[67]geoMap (64)'!$A:$B,2,0)*VLOOKUP(A249,'[67]geoMap (64)'!$A:$C,3,0)</f>
        <v>#REF!</v>
      </c>
      <c r="BO249" s="1" t="e">
        <f>BN249/VLOOKUP(A249,'[68]geoMap (65)'!$A:$B,2,0)*VLOOKUP(A249,'[68]geoMap (65)'!$A:$C,3,0)</f>
        <v>#REF!</v>
      </c>
      <c r="BP249" s="4" t="e">
        <f>BO249/VLOOKUP(A249,'[69]geoMap (66)'!$A:$B,2,0)*VLOOKUP(A249,'[69]geoMap (66)'!$A:$C,3,0)</f>
        <v>#REF!</v>
      </c>
    </row>
    <row r="250" spans="1:68" x14ac:dyDescent="0.2">
      <c r="A250" s="1" t="s">
        <v>252</v>
      </c>
      <c r="B250" s="1" t="e">
        <f>VLOOKUP(A250,[3]geoMap!$A:$B,2,0)*Notes!$C$6</f>
        <v>#REF!</v>
      </c>
      <c r="C250" s="1" t="e">
        <f>B250/VLOOKUP(A250,'[4]geoMap (1)'!$A:$B,2,0)*VLOOKUP(A250,'[4]geoMap (1)'!$A:$C,3,0)</f>
        <v>#REF!</v>
      </c>
      <c r="D250" s="1" t="e">
        <f>C250/VLOOKUP(A250,'[5]geoMap (2)'!$A:$B,2,0)*VLOOKUP(A250,'[5]geoMap (2)'!$A:$C,3,0)</f>
        <v>#REF!</v>
      </c>
      <c r="E250" s="1" t="e">
        <f>D250/VLOOKUP(A250,'[6]geoMap (3)'!$A:$B,2,0)*VLOOKUP(A250,'[6]geoMap (3)'!$A:$C,3,0)</f>
        <v>#REF!</v>
      </c>
      <c r="F250" s="1" t="e">
        <f>E250/VLOOKUP(A250,'[7]geoMap (4)'!$A:$B,2,0)*VLOOKUP(A250,'[7]geoMap (4)'!$A:$C,3,0)</f>
        <v>#REF!</v>
      </c>
      <c r="G250" s="1" t="e">
        <f>F250/VLOOKUP(A250,'[8]geoMap (5)'!$A:$B,2,0)*VLOOKUP(A250,'[8]geoMap (5)'!$A:$C,3,0)</f>
        <v>#REF!</v>
      </c>
      <c r="H250" s="1" t="e">
        <f>G250/VLOOKUP(A250,'[9]geoMap (6)'!$A:$B,2,0)*VLOOKUP(A250,'[9]geoMap (6)'!$A:$C,3,0)</f>
        <v>#REF!</v>
      </c>
      <c r="I250" s="1" t="e">
        <f>H250/VLOOKUP(A250,'[10]geoMap (7)'!$A:$B,2,0)*VLOOKUP(A250,'[10]geoMap (7)'!$A:$C,3,0)</f>
        <v>#REF!</v>
      </c>
      <c r="J250" s="1" t="e">
        <f>I250/VLOOKUP(A250,'[11]geoMap (8)'!$A:$B,2,0)*VLOOKUP(A250,'[11]geoMap (8)'!$A:$C,3,0)</f>
        <v>#REF!</v>
      </c>
      <c r="K250" s="1" t="e">
        <f>J250/VLOOKUP(A250,'[12]geoMap (9)'!$A:$B,2,0)*VLOOKUP(A250,'[12]geoMap (9)'!$A:$C,3,0)</f>
        <v>#REF!</v>
      </c>
      <c r="L250" s="1" t="e">
        <f>K250/VLOOKUP(A250,'[13]geoMap (10)'!$A:$B,2,0)*VLOOKUP(A250,'[13]geoMap (10)'!$A:$C,3,0)</f>
        <v>#REF!</v>
      </c>
      <c r="M250" s="1" t="e">
        <f>L250/VLOOKUP(A250,'[14]geoMap (11)'!$A:$B,2,0)*VLOOKUP(A250,'[14]geoMap (11)'!$A:$C,3,0)</f>
        <v>#REF!</v>
      </c>
      <c r="N250" s="1" t="e">
        <f>M250/VLOOKUP(A250,'[15]geoMap (12)'!$A:$B,2,0)*VLOOKUP(A250,'[15]geoMap (12)'!$A:$C,3,0)</f>
        <v>#REF!</v>
      </c>
      <c r="O250" s="1" t="e">
        <f>N250/VLOOKUP(A250,'[16]geoMap (13)'!$A:$B,2,0)*VLOOKUP(A250,'[16]geoMap (13)'!$A:$C,3,0)</f>
        <v>#REF!</v>
      </c>
      <c r="P250" s="1" t="e">
        <f>O250/VLOOKUP(A250,'[17]geoMap (14)'!$A:$B,2,0)*VLOOKUP(A250,'[17]geoMap (14)'!$A:$C,3,0)</f>
        <v>#REF!</v>
      </c>
      <c r="Q250" s="1" t="e">
        <f>P250/VLOOKUP(A250,'[18]geoMap (15)'!$A:$B,2,0)*VLOOKUP(A250,'[18]geoMap (15)'!$A:$C,3,0)</f>
        <v>#REF!</v>
      </c>
      <c r="R250" s="1" t="e">
        <f>Q250/VLOOKUP(A250,'[19]geoMap (16)'!$A:$B,2,0)*VLOOKUP(A250,'[19]geoMap (16)'!$A:$C,3,0)</f>
        <v>#REF!</v>
      </c>
      <c r="S250" s="1" t="e">
        <f>R250/VLOOKUP(A250,'[20]geoMap (17)'!$A:$B,2,0)*VLOOKUP(A250,'[20]geoMap (17)'!$A:$C,3,0)</f>
        <v>#REF!</v>
      </c>
      <c r="T250" s="1" t="e">
        <f>S250/VLOOKUP(A250,'[21]geoMap (18)'!$A:$B,2,0)*VLOOKUP(A250,'[21]geoMap (18)'!$A:$C,3,0)</f>
        <v>#REF!</v>
      </c>
      <c r="U250" s="1" t="e">
        <f>T250/VLOOKUP(A250,'[22]geoMap (19)'!$A:$B,2,0)*VLOOKUP(A250,'[22]geoMap (19)'!$A:$C,3,0)</f>
        <v>#REF!</v>
      </c>
      <c r="V250" s="1" t="e">
        <f>U250/VLOOKUP(A250,'[23]geoMap (20)'!$A:$B,2,0)*VLOOKUP(A250,'[23]geoMap (20)'!$A:$C,3,0)</f>
        <v>#REF!</v>
      </c>
      <c r="W250" s="1" t="e">
        <f>V250/VLOOKUP(A250,'[24]geoMap (21)'!$A:$B,2,0)*VLOOKUP(A250,'[24]geoMap (21)'!$A:$C,3,0)</f>
        <v>#REF!</v>
      </c>
      <c r="X250" s="1" t="e">
        <f>W250/VLOOKUP(A250,'[25]geoMap (22)'!$A:$B,2,0)*VLOOKUP(A250,'[25]geoMap (22)'!$A:$C,3,0)</f>
        <v>#REF!</v>
      </c>
      <c r="Y250" s="1" t="e">
        <f>X250/VLOOKUP(A250,'[26]geoMap (23)'!$A:$B,2,0)*VLOOKUP(A250,'[26]geoMap (23)'!$A:$C,3,0)</f>
        <v>#REF!</v>
      </c>
      <c r="Z250" s="1" t="e">
        <f>Y250/VLOOKUP(A250,'[27]geoMap (24)'!$A:$B,2,0)*VLOOKUP(A250,'[27]geoMap (24)'!$A:$C,3,0)</f>
        <v>#REF!</v>
      </c>
      <c r="AA250" s="1" t="e">
        <f>Z250/VLOOKUP(A250,'[28]geoMap (25)'!$A:$B,2,0)*VLOOKUP(A250,'[28]geoMap (25)'!$A:$C,3,0)</f>
        <v>#REF!</v>
      </c>
      <c r="AB250" s="1" t="e">
        <f>AA250*VLOOKUP(A250,'[29]geoMap (26)'!$A:$B,2,0)*VLOOKUP(A250,'[29]geoMap (26)'!$A:$C,3,0)</f>
        <v>#REF!</v>
      </c>
      <c r="AC250" s="1" t="e">
        <f>AB250/VLOOKUP(A250,'[30]geoMap (27)'!$A:$B,2,0)*VLOOKUP(A250,'[30]geoMap (27)'!$A:$C,3,0)</f>
        <v>#REF!</v>
      </c>
      <c r="AD250" s="1" t="e">
        <f>AC250/VLOOKUP(A250,'[31]geoMap (28)'!$A:$B,2,0)*VLOOKUP(A250,'[31]geoMap (28)'!$A:$C,3,0)</f>
        <v>#REF!</v>
      </c>
      <c r="AE250" s="1" t="e">
        <f>AD250/VLOOKUP(A250,'[32]geoMap (29)'!$A:$B,2,0)*VLOOKUP(A250,'[32]geoMap (29)'!$A:$C,3,0)</f>
        <v>#REF!</v>
      </c>
      <c r="AF250" s="1" t="e">
        <f>AE250/VLOOKUP(A250,'[33]geoMap (30)'!$A:$B,2,0)*VLOOKUP(A250,'[33]geoMap (30)'!$A:$C,3,0)</f>
        <v>#REF!</v>
      </c>
      <c r="AG250" s="1" t="e">
        <f>AF250/VLOOKUP(A250,'[34]geoMap (31)'!$A:$B,2,0)*VLOOKUP(A250,'[34]geoMap (31)'!$A:$C,3,0)</f>
        <v>#REF!</v>
      </c>
      <c r="AH250" s="1" t="e">
        <f>AG250/VLOOKUP(A250,'[35]geoMap (32)'!$A:$B,2,0)*VLOOKUP(A250,'[35]geoMap (32)'!$A:$C,3,0)</f>
        <v>#REF!</v>
      </c>
      <c r="AI250" s="1" t="e">
        <f>AH250/VLOOKUP(A250,'[36]geoMap (33)'!$A:$B,2,0)*VLOOKUP(A250,'[36]geoMap (33)'!$A:$C,3,0)</f>
        <v>#REF!</v>
      </c>
      <c r="AJ250" s="1" t="e">
        <f>AI250/VLOOKUP(A250,'[37]geoMap (34)'!$A:$B,2,0)*VLOOKUP(A250,'[37]geoMap (34)'!$A:$C,3,0)</f>
        <v>#REF!</v>
      </c>
      <c r="AK250" s="1" t="e">
        <f>AJ250/VLOOKUP(A250,'[38]geoMap (35)'!$A:$B,2,0)*VLOOKUP(A250,'[38]geoMap (35)'!$A:$C,3,0)</f>
        <v>#REF!</v>
      </c>
      <c r="AL250" s="1" t="e">
        <f>AK250/VLOOKUP(A250,'[39]geoMap (36)'!$A:$B,2,0)*VLOOKUP(A250,'[39]geoMap (36)'!$A:$C,3,0)</f>
        <v>#REF!</v>
      </c>
      <c r="AM250" s="1" t="e">
        <f>AL250/VLOOKUP(A250,'[40]geoMap (37)'!$A:$B,2,0)*VLOOKUP(A250,'[40]geoMap (37)'!$A:$C,3,0)</f>
        <v>#REF!</v>
      </c>
      <c r="AN250" s="1" t="e">
        <f>AM250/VLOOKUP(A250,'[41]geoMap (38)'!$A:$B,2,0)*VLOOKUP(A250,'[41]geoMap (38)'!$A:$C,3,0)</f>
        <v>#REF!</v>
      </c>
      <c r="AO250" s="1" t="e">
        <f>AN250/VLOOKUP(A250,'[42]geoMap (39)'!$A:$B,2,0)*VLOOKUP(A250,'[42]geoMap (39)'!$A:$C,3,0)</f>
        <v>#REF!</v>
      </c>
      <c r="AP250" s="1" t="e">
        <f>AO250/VLOOKUP(A250,'[43]geoMap (40)'!$A:$B,2,0)*VLOOKUP(A250,'[43]geoMap (40)'!$A:$C,3,0)</f>
        <v>#REF!</v>
      </c>
      <c r="AQ250" s="1" t="e">
        <f>AP250/VLOOKUP(A250,'[44]geoMap (41)'!$A:$B,2,0)*VLOOKUP(A250,'[44]geoMap (41)'!$A:$C,3,0)</f>
        <v>#REF!</v>
      </c>
      <c r="AR250" s="1" t="e">
        <f>AQ250/VLOOKUP(A250,'[45]geoMap (42)'!$A:$B,2,0)*VLOOKUP(A250,'[45]geoMap (42)'!$A:$C,3,0)</f>
        <v>#REF!</v>
      </c>
      <c r="AS250" s="1" t="e">
        <f>AR250/VLOOKUP(A250,'[46]geoMap (43)'!$A:$B,2,0)*VLOOKUP(A250,'[46]geoMap (43)'!$A:$C,3,0)</f>
        <v>#REF!</v>
      </c>
      <c r="AT250" s="1" t="e">
        <f>AS250/VLOOKUP(A250,'[47]geoMap (44)'!$A:$B,2,0)*VLOOKUP(A250,'[47]geoMap (44)'!$A:$C,3,0)</f>
        <v>#REF!</v>
      </c>
      <c r="AU250" s="1" t="e">
        <f>AT250/VLOOKUP(A250,'[48]geoMap (45)'!$A:$B,2,0)*VLOOKUP(A250,'[48]geoMap (45)'!$A:$C,3,0)</f>
        <v>#REF!</v>
      </c>
      <c r="AV250" s="1" t="e">
        <f>AU250/VLOOKUP(A250,'[49]geoMap (46)'!$A:$B,2,0)*VLOOKUP(A250,'[49]geoMap (46)'!$A:$C,3,0)</f>
        <v>#REF!</v>
      </c>
      <c r="AW250" s="1" t="e">
        <f>AV250/VLOOKUP(A250,'[50]geoMap (47)'!$A:$B,2,0)*VLOOKUP(A250,'[50]geoMap (47)'!$A:$C,3,0)</f>
        <v>#REF!</v>
      </c>
      <c r="AX250" s="4" t="e">
        <f>AW250/VLOOKUP(A250,'[51]geoMap (48)'!$A:$B,2,0)*VLOOKUP(A250,'[51]geoMap (48)'!$A:$C,3,0)</f>
        <v>#REF!</v>
      </c>
      <c r="AY250" s="1" t="e">
        <f>AX250/VLOOKUP(A250,'[52]geoMap (49)'!$A:$B,2,0)*VLOOKUP(A250,'[52]geoMap (49)'!$A:$C,3,0)</f>
        <v>#REF!</v>
      </c>
      <c r="AZ250" s="4" t="e">
        <f>AY250/VLOOKUP(A250,'[53]geoMap (50)'!$A:$B,2,0)*VLOOKUP(A250,'[53]geoMap (50)'!$A:$C,3,0)</f>
        <v>#REF!</v>
      </c>
      <c r="BA250" s="1" t="e">
        <f>AZ250/VLOOKUP(A250,'[54]geoMap (51)'!$A:$B,2,0)*VLOOKUP(A250,'[54]geoMap (51)'!$A:$C,3,0)</f>
        <v>#REF!</v>
      </c>
      <c r="BB250" s="4" t="e">
        <f>BA250/VLOOKUP(A250,'[55]geoMap (52)'!$A:$B,2,0)*VLOOKUP(A250,'[55]geoMap (52)'!$A:$C,3,0)</f>
        <v>#REF!</v>
      </c>
      <c r="BC250" s="1" t="e">
        <f>BB250/VLOOKUP(A250,'[56]geoMap (53)'!$A:$B,2,0)*VLOOKUP(A250,'[56]geoMap (53)'!$A:$C,3,0)</f>
        <v>#REF!</v>
      </c>
      <c r="BD250" s="4" t="e">
        <f>BC250/VLOOKUP(A250,'[57]geoMap (54)'!$A:$B,2,0)*VLOOKUP(A250,'[57]geoMap (54)'!$A:$C,3,0)</f>
        <v>#REF!</v>
      </c>
      <c r="BE250" s="1" t="e">
        <f>BD250/VLOOKUP(A250,'[58]geoMap (55)'!$A:$B,2,0)*VLOOKUP(A250,'[58]geoMap (55)'!$A:$C,3,0)</f>
        <v>#REF!</v>
      </c>
      <c r="BF250" s="4" t="e">
        <f>BE250/VLOOKUP(A250,'[59]geoMap (56)'!$A:$B,2,0)*VLOOKUP(A250,'[59]geoMap (56)'!$A:$C,3,0)</f>
        <v>#REF!</v>
      </c>
      <c r="BG250" s="1" t="e">
        <f>BF250/VLOOKUP(A250,'[60]geoMap (57)'!$A:$B,2,0)*VLOOKUP(A250,'[60]geoMap (57)'!$A:$C,3,0)</f>
        <v>#REF!</v>
      </c>
      <c r="BH250" s="4" t="e">
        <f>BG250/VLOOKUP(A250,'[61]geoMap (58)'!$A:$B,2,0)*VLOOKUP(A250,'[61]geoMap (58)'!$A:$C,3,0)</f>
        <v>#REF!</v>
      </c>
      <c r="BI250" s="1" t="e">
        <f>BH250/VLOOKUP(A250,'[62]geoMap (59)'!$A:$B,2,0)*VLOOKUP(A250,'[62]geoMap (59)'!$A:$C,3,0)</f>
        <v>#REF!</v>
      </c>
      <c r="BJ250" s="4" t="e">
        <f>BI250/VLOOKUP(A250,'[63]geoMap (60)'!$A:$B,2,0)*VLOOKUP(A250,'[63]geoMap (60)'!$A:$C,3,0)</f>
        <v>#REF!</v>
      </c>
      <c r="BK250" s="1" t="e">
        <f>BJ250/VLOOKUP(A250,'[64]geoMap (61)'!$A:$B,2,0)*VLOOKUP(A250,'[64]geoMap (61)'!$A:$C,3,0)</f>
        <v>#REF!</v>
      </c>
      <c r="BL250" s="4" t="e">
        <f>BK250/VLOOKUP(A250,'[65]geoMap (62)'!$A:$B,2,0)*VLOOKUP(A250,'[65]geoMap (62)'!$A:$C,3,0)</f>
        <v>#REF!</v>
      </c>
      <c r="BM250" s="1" t="e">
        <f>BL250/VLOOKUP(A250,'[66]geoMap (63)'!$A:$B,2,0)*VLOOKUP(A250,'[66]geoMap (63)'!$A:$C,3,0)</f>
        <v>#REF!</v>
      </c>
      <c r="BN250" s="4" t="e">
        <f>BM250/VLOOKUP(A250,'[67]geoMap (64)'!$A:$B,2,0)*VLOOKUP(A250,'[67]geoMap (64)'!$A:$C,3,0)</f>
        <v>#REF!</v>
      </c>
      <c r="BO250" s="1" t="e">
        <f>BN250/VLOOKUP(A250,'[68]geoMap (65)'!$A:$B,2,0)*VLOOKUP(A250,'[68]geoMap (65)'!$A:$C,3,0)</f>
        <v>#REF!</v>
      </c>
      <c r="BP250" s="4" t="e">
        <f>BO250/VLOOKUP(A250,'[69]geoMap (66)'!$A:$B,2,0)*VLOOKUP(A250,'[69]geoMap (66)'!$A:$C,3,0)</f>
        <v>#REF!</v>
      </c>
    </row>
    <row r="251" spans="1:68" x14ac:dyDescent="0.2">
      <c r="A251" s="1" t="s">
        <v>253</v>
      </c>
      <c r="B251" s="1" t="e">
        <f>VLOOKUP(A251,[3]geoMap!$A:$B,2,0)*Notes!$C$6</f>
        <v>#REF!</v>
      </c>
      <c r="C251" s="1" t="e">
        <f>B251/VLOOKUP(A251,'[4]geoMap (1)'!$A:$B,2,0)*VLOOKUP(A251,'[4]geoMap (1)'!$A:$C,3,0)</f>
        <v>#REF!</v>
      </c>
      <c r="D251" s="1" t="e">
        <f>C251/VLOOKUP(A251,'[5]geoMap (2)'!$A:$B,2,0)*VLOOKUP(A251,'[5]geoMap (2)'!$A:$C,3,0)</f>
        <v>#REF!</v>
      </c>
      <c r="E251" s="1" t="e">
        <f>D251/VLOOKUP(A251,'[6]geoMap (3)'!$A:$B,2,0)*VLOOKUP(A251,'[6]geoMap (3)'!$A:$C,3,0)</f>
        <v>#REF!</v>
      </c>
      <c r="F251" s="1" t="e">
        <f>E251/VLOOKUP(A251,'[7]geoMap (4)'!$A:$B,2,0)*VLOOKUP(A251,'[7]geoMap (4)'!$A:$C,3,0)</f>
        <v>#REF!</v>
      </c>
      <c r="G251" s="1" t="e">
        <f>F251/VLOOKUP(A251,'[8]geoMap (5)'!$A:$B,2,0)*VLOOKUP(A251,'[8]geoMap (5)'!$A:$C,3,0)</f>
        <v>#REF!</v>
      </c>
      <c r="H251" s="1" t="e">
        <f>G251/VLOOKUP(A251,'[9]geoMap (6)'!$A:$B,2,0)*VLOOKUP(A251,'[9]geoMap (6)'!$A:$C,3,0)</f>
        <v>#REF!</v>
      </c>
      <c r="I251" s="1" t="e">
        <f>H251/VLOOKUP(A251,'[10]geoMap (7)'!$A:$B,2,0)*VLOOKUP(A251,'[10]geoMap (7)'!$A:$C,3,0)</f>
        <v>#REF!</v>
      </c>
      <c r="J251" s="1" t="e">
        <f>I251/VLOOKUP(A251,'[11]geoMap (8)'!$A:$B,2,0)*VLOOKUP(A251,'[11]geoMap (8)'!$A:$C,3,0)</f>
        <v>#REF!</v>
      </c>
      <c r="K251" s="1" t="e">
        <f>J251/VLOOKUP(A251,'[12]geoMap (9)'!$A:$B,2,0)*VLOOKUP(A251,'[12]geoMap (9)'!$A:$C,3,0)</f>
        <v>#REF!</v>
      </c>
      <c r="L251" s="1" t="e">
        <f>K251/VLOOKUP(A251,'[13]geoMap (10)'!$A:$B,2,0)*VLOOKUP(A251,'[13]geoMap (10)'!$A:$C,3,0)</f>
        <v>#REF!</v>
      </c>
      <c r="M251" s="1" t="e">
        <f>L251/VLOOKUP(A251,'[14]geoMap (11)'!$A:$B,2,0)*VLOOKUP(A251,'[14]geoMap (11)'!$A:$C,3,0)</f>
        <v>#REF!</v>
      </c>
      <c r="N251" s="1" t="e">
        <f>M251/VLOOKUP(A251,'[15]geoMap (12)'!$A:$B,2,0)*VLOOKUP(A251,'[15]geoMap (12)'!$A:$C,3,0)</f>
        <v>#REF!</v>
      </c>
      <c r="O251" s="1" t="e">
        <f>N251/VLOOKUP(A251,'[16]geoMap (13)'!$A:$B,2,0)*VLOOKUP(A251,'[16]geoMap (13)'!$A:$C,3,0)</f>
        <v>#REF!</v>
      </c>
      <c r="P251" s="1" t="e">
        <f>O251/VLOOKUP(A251,'[17]geoMap (14)'!$A:$B,2,0)*VLOOKUP(A251,'[17]geoMap (14)'!$A:$C,3,0)</f>
        <v>#REF!</v>
      </c>
      <c r="Q251" s="1" t="e">
        <f>P251/VLOOKUP(A251,'[18]geoMap (15)'!$A:$B,2,0)*VLOOKUP(A251,'[18]geoMap (15)'!$A:$C,3,0)</f>
        <v>#REF!</v>
      </c>
      <c r="R251" s="1" t="e">
        <f>Q251/VLOOKUP(A251,'[19]geoMap (16)'!$A:$B,2,0)*VLOOKUP(A251,'[19]geoMap (16)'!$A:$C,3,0)</f>
        <v>#REF!</v>
      </c>
      <c r="S251" s="1" t="e">
        <f>R251/VLOOKUP(A251,'[20]geoMap (17)'!$A:$B,2,0)*VLOOKUP(A251,'[20]geoMap (17)'!$A:$C,3,0)</f>
        <v>#REF!</v>
      </c>
      <c r="T251" s="1" t="e">
        <f>S251/VLOOKUP(A251,'[21]geoMap (18)'!$A:$B,2,0)*VLOOKUP(A251,'[21]geoMap (18)'!$A:$C,3,0)</f>
        <v>#REF!</v>
      </c>
      <c r="U251" s="1" t="e">
        <f>T251/VLOOKUP(A251,'[22]geoMap (19)'!$A:$B,2,0)*VLOOKUP(A251,'[22]geoMap (19)'!$A:$C,3,0)</f>
        <v>#REF!</v>
      </c>
      <c r="V251" s="1" t="e">
        <f>U251/VLOOKUP(A251,'[23]geoMap (20)'!$A:$B,2,0)*VLOOKUP(A251,'[23]geoMap (20)'!$A:$C,3,0)</f>
        <v>#REF!</v>
      </c>
      <c r="W251" s="1" t="e">
        <f>V251/VLOOKUP(A251,'[24]geoMap (21)'!$A:$B,2,0)*VLOOKUP(A251,'[24]geoMap (21)'!$A:$C,3,0)</f>
        <v>#REF!</v>
      </c>
      <c r="X251" s="1" t="e">
        <f>W251/VLOOKUP(A251,'[25]geoMap (22)'!$A:$B,2,0)*VLOOKUP(A251,'[25]geoMap (22)'!$A:$C,3,0)</f>
        <v>#REF!</v>
      </c>
      <c r="Y251" s="1" t="e">
        <f>X251/VLOOKUP(A251,'[26]geoMap (23)'!$A:$B,2,0)*VLOOKUP(A251,'[26]geoMap (23)'!$A:$C,3,0)</f>
        <v>#REF!</v>
      </c>
      <c r="Z251" s="1" t="e">
        <f>Y251/VLOOKUP(A251,'[27]geoMap (24)'!$A:$B,2,0)*VLOOKUP(A251,'[27]geoMap (24)'!$A:$C,3,0)</f>
        <v>#REF!</v>
      </c>
      <c r="AA251" s="1" t="e">
        <f>Z251/VLOOKUP(A251,'[28]geoMap (25)'!$A:$B,2,0)*VLOOKUP(A251,'[28]geoMap (25)'!$A:$C,3,0)</f>
        <v>#REF!</v>
      </c>
      <c r="AB251" s="1" t="e">
        <f>AA251*VLOOKUP(A251,'[29]geoMap (26)'!$A:$B,2,0)*VLOOKUP(A251,'[29]geoMap (26)'!$A:$C,3,0)</f>
        <v>#REF!</v>
      </c>
      <c r="AC251" s="1" t="e">
        <f>AB251/VLOOKUP(A251,'[30]geoMap (27)'!$A:$B,2,0)*VLOOKUP(A251,'[30]geoMap (27)'!$A:$C,3,0)</f>
        <v>#REF!</v>
      </c>
      <c r="AD251" s="1" t="e">
        <f>AC251/VLOOKUP(A251,'[31]geoMap (28)'!$A:$B,2,0)*VLOOKUP(A251,'[31]geoMap (28)'!$A:$C,3,0)</f>
        <v>#REF!</v>
      </c>
      <c r="AE251" s="1" t="e">
        <f>AD251/VLOOKUP(A251,'[32]geoMap (29)'!$A:$B,2,0)*VLOOKUP(A251,'[32]geoMap (29)'!$A:$C,3,0)</f>
        <v>#REF!</v>
      </c>
      <c r="AF251" s="1" t="e">
        <f>AE251/VLOOKUP(A251,'[33]geoMap (30)'!$A:$B,2,0)*VLOOKUP(A251,'[33]geoMap (30)'!$A:$C,3,0)</f>
        <v>#REF!</v>
      </c>
      <c r="AG251" s="1" t="e">
        <f>AF251/VLOOKUP(A251,'[34]geoMap (31)'!$A:$B,2,0)*VLOOKUP(A251,'[34]geoMap (31)'!$A:$C,3,0)</f>
        <v>#REF!</v>
      </c>
      <c r="AH251" s="1" t="e">
        <f>AG251/VLOOKUP(A251,'[35]geoMap (32)'!$A:$B,2,0)*VLOOKUP(A251,'[35]geoMap (32)'!$A:$C,3,0)</f>
        <v>#REF!</v>
      </c>
      <c r="AI251" s="1" t="e">
        <f>AH251/VLOOKUP(A251,'[36]geoMap (33)'!$A:$B,2,0)*VLOOKUP(A251,'[36]geoMap (33)'!$A:$C,3,0)</f>
        <v>#REF!</v>
      </c>
      <c r="AJ251" s="1" t="e">
        <f>AI251/VLOOKUP(A251,'[37]geoMap (34)'!$A:$B,2,0)*VLOOKUP(A251,'[37]geoMap (34)'!$A:$C,3,0)</f>
        <v>#REF!</v>
      </c>
      <c r="AK251" s="1" t="e">
        <f>AJ251/VLOOKUP(A251,'[38]geoMap (35)'!$A:$B,2,0)*VLOOKUP(A251,'[38]geoMap (35)'!$A:$C,3,0)</f>
        <v>#REF!</v>
      </c>
      <c r="AL251" s="1" t="e">
        <f>AK251/VLOOKUP(A251,'[39]geoMap (36)'!$A:$B,2,0)*VLOOKUP(A251,'[39]geoMap (36)'!$A:$C,3,0)</f>
        <v>#REF!</v>
      </c>
      <c r="AM251" s="1" t="e">
        <f>AL251/VLOOKUP(A251,'[40]geoMap (37)'!$A:$B,2,0)*VLOOKUP(A251,'[40]geoMap (37)'!$A:$C,3,0)</f>
        <v>#REF!</v>
      </c>
      <c r="AN251" s="1" t="e">
        <f>AM251/VLOOKUP(A251,'[41]geoMap (38)'!$A:$B,2,0)*VLOOKUP(A251,'[41]geoMap (38)'!$A:$C,3,0)</f>
        <v>#REF!</v>
      </c>
      <c r="AO251" s="1" t="e">
        <f>AN251/VLOOKUP(A251,'[42]geoMap (39)'!$A:$B,2,0)*VLOOKUP(A251,'[42]geoMap (39)'!$A:$C,3,0)</f>
        <v>#REF!</v>
      </c>
      <c r="AP251" s="1" t="e">
        <f>AO251/VLOOKUP(A251,'[43]geoMap (40)'!$A:$B,2,0)*VLOOKUP(A251,'[43]geoMap (40)'!$A:$C,3,0)</f>
        <v>#REF!</v>
      </c>
      <c r="AQ251" s="1" t="e">
        <f>AP251/VLOOKUP(A251,'[44]geoMap (41)'!$A:$B,2,0)*VLOOKUP(A251,'[44]geoMap (41)'!$A:$C,3,0)</f>
        <v>#REF!</v>
      </c>
      <c r="AR251" s="1" t="e">
        <f>AQ251/VLOOKUP(A251,'[45]geoMap (42)'!$A:$B,2,0)*VLOOKUP(A251,'[45]geoMap (42)'!$A:$C,3,0)</f>
        <v>#REF!</v>
      </c>
      <c r="AS251" s="1" t="e">
        <f>AR251/VLOOKUP(A251,'[46]geoMap (43)'!$A:$B,2,0)*VLOOKUP(A251,'[46]geoMap (43)'!$A:$C,3,0)</f>
        <v>#REF!</v>
      </c>
      <c r="AT251" s="1" t="e">
        <f>AS251/VLOOKUP(A251,'[47]geoMap (44)'!$A:$B,2,0)*VLOOKUP(A251,'[47]geoMap (44)'!$A:$C,3,0)</f>
        <v>#REF!</v>
      </c>
      <c r="AU251" s="1" t="e">
        <f>AT251/VLOOKUP(A251,'[48]geoMap (45)'!$A:$B,2,0)*VLOOKUP(A251,'[48]geoMap (45)'!$A:$C,3,0)</f>
        <v>#REF!</v>
      </c>
      <c r="AV251" s="1" t="e">
        <f>AU251/VLOOKUP(A251,'[49]geoMap (46)'!$A:$B,2,0)*VLOOKUP(A251,'[49]geoMap (46)'!$A:$C,3,0)</f>
        <v>#REF!</v>
      </c>
      <c r="AW251" s="1" t="e">
        <f>AV251/VLOOKUP(A251,'[50]geoMap (47)'!$A:$B,2,0)*VLOOKUP(A251,'[50]geoMap (47)'!$A:$C,3,0)</f>
        <v>#REF!</v>
      </c>
      <c r="AX251" s="4" t="e">
        <f>AW251/VLOOKUP(A251,'[51]geoMap (48)'!$A:$B,2,0)*VLOOKUP(A251,'[51]geoMap (48)'!$A:$C,3,0)</f>
        <v>#REF!</v>
      </c>
      <c r="AY251" s="1" t="e">
        <f>AX251/VLOOKUP(A251,'[52]geoMap (49)'!$A:$B,2,0)*VLOOKUP(A251,'[52]geoMap (49)'!$A:$C,3,0)</f>
        <v>#REF!</v>
      </c>
      <c r="AZ251" s="4" t="e">
        <f>AY251/VLOOKUP(A251,'[53]geoMap (50)'!$A:$B,2,0)*VLOOKUP(A251,'[53]geoMap (50)'!$A:$C,3,0)</f>
        <v>#REF!</v>
      </c>
      <c r="BA251" s="1" t="e">
        <f>AZ251/VLOOKUP(A251,'[54]geoMap (51)'!$A:$B,2,0)*VLOOKUP(A251,'[54]geoMap (51)'!$A:$C,3,0)</f>
        <v>#REF!</v>
      </c>
      <c r="BB251" s="4" t="e">
        <f>BA251/VLOOKUP(A251,'[55]geoMap (52)'!$A:$B,2,0)*VLOOKUP(A251,'[55]geoMap (52)'!$A:$C,3,0)</f>
        <v>#REF!</v>
      </c>
      <c r="BC251" s="1" t="e">
        <f>BB251/VLOOKUP(A251,'[56]geoMap (53)'!$A:$B,2,0)*VLOOKUP(A251,'[56]geoMap (53)'!$A:$C,3,0)</f>
        <v>#REF!</v>
      </c>
      <c r="BD251" s="4" t="e">
        <f>BC251/VLOOKUP(A251,'[57]geoMap (54)'!$A:$B,2,0)*VLOOKUP(A251,'[57]geoMap (54)'!$A:$C,3,0)</f>
        <v>#REF!</v>
      </c>
      <c r="BE251" s="1" t="e">
        <f>BD251/VLOOKUP(A251,'[58]geoMap (55)'!$A:$B,2,0)*VLOOKUP(A251,'[58]geoMap (55)'!$A:$C,3,0)</f>
        <v>#REF!</v>
      </c>
      <c r="BF251" s="4" t="e">
        <f>BE251/VLOOKUP(A251,'[59]geoMap (56)'!$A:$B,2,0)*VLOOKUP(A251,'[59]geoMap (56)'!$A:$C,3,0)</f>
        <v>#REF!</v>
      </c>
      <c r="BG251" s="1" t="e">
        <f>BF251/VLOOKUP(A251,'[60]geoMap (57)'!$A:$B,2,0)*VLOOKUP(A251,'[60]geoMap (57)'!$A:$C,3,0)</f>
        <v>#REF!</v>
      </c>
      <c r="BH251" s="4" t="e">
        <f>BG251/VLOOKUP(A251,'[61]geoMap (58)'!$A:$B,2,0)*VLOOKUP(A251,'[61]geoMap (58)'!$A:$C,3,0)</f>
        <v>#REF!</v>
      </c>
      <c r="BI251" s="1" t="e">
        <f>BH251/VLOOKUP(A251,'[62]geoMap (59)'!$A:$B,2,0)*VLOOKUP(A251,'[62]geoMap (59)'!$A:$C,3,0)</f>
        <v>#REF!</v>
      </c>
      <c r="BJ251" s="4" t="e">
        <f>BI251/VLOOKUP(A251,'[63]geoMap (60)'!$A:$B,2,0)*VLOOKUP(A251,'[63]geoMap (60)'!$A:$C,3,0)</f>
        <v>#REF!</v>
      </c>
      <c r="BK251" s="1" t="e">
        <f>BJ251/VLOOKUP(A251,'[64]geoMap (61)'!$A:$B,2,0)*VLOOKUP(A251,'[64]geoMap (61)'!$A:$C,3,0)</f>
        <v>#REF!</v>
      </c>
      <c r="BL251" s="4" t="e">
        <f>BK251/VLOOKUP(A251,'[65]geoMap (62)'!$A:$B,2,0)*VLOOKUP(A251,'[65]geoMap (62)'!$A:$C,3,0)</f>
        <v>#REF!</v>
      </c>
      <c r="BM251" s="1" t="e">
        <f>BL251/VLOOKUP(A251,'[66]geoMap (63)'!$A:$B,2,0)*VLOOKUP(A251,'[66]geoMap (63)'!$A:$C,3,0)</f>
        <v>#REF!</v>
      </c>
      <c r="BN251" s="4" t="e">
        <f>BM251/VLOOKUP(A251,'[67]geoMap (64)'!$A:$B,2,0)*VLOOKUP(A251,'[67]geoMap (64)'!$A:$C,3,0)</f>
        <v>#REF!</v>
      </c>
      <c r="BO251" s="1" t="e">
        <f>BN251/VLOOKUP(A251,'[68]geoMap (65)'!$A:$B,2,0)*VLOOKUP(A251,'[68]geoMap (65)'!$A:$C,3,0)</f>
        <v>#REF!</v>
      </c>
      <c r="BP251" s="4" t="e">
        <f>BO251/VLOOKUP(A251,'[69]geoMap (66)'!$A:$B,2,0)*VLOOKUP(A251,'[69]geoMap (66)'!$A:$C,3,0)</f>
        <v>#REF!</v>
      </c>
    </row>
  </sheetData>
  <autoFilter ref="A1:M1" xr:uid="{00000000-0009-0000-0000-000005000000}">
    <sortState xmlns:xlrd2="http://schemas.microsoft.com/office/spreadsheetml/2017/richdata2" ref="A2:M251">
      <sortCondition descending="1" ref="B1"/>
    </sortState>
  </autoFilter>
  <conditionalFormatting sqref="A1:XFD1048576">
    <cfRule type="colorScale" priority="1">
      <colorScale>
        <cfvo type="min"/>
        <cfvo type="max"/>
        <color rgb="FFFFEF9C"/>
        <color rgb="FF63BE7B"/>
      </colorScale>
    </cfRule>
    <cfRule type="cellIs" dxfId="25" priority="2" operator="equal">
      <formula>#DIV/0!</formula>
    </cfRule>
  </conditionalFormatting>
  <pageMargins left="0.7" right="0.7" top="0.75" bottom="0.75" header="0.3" footer="0.3"/>
  <pageSetup orientation="portrait" horizontalDpi="4294967295" verticalDpi="4294967295"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P251"/>
  <sheetViews>
    <sheetView zoomScale="70" zoomScaleNormal="70" workbookViewId="0">
      <pane xSplit="1" ySplit="1" topLeftCell="AW59" activePane="bottomRight" state="frozen"/>
      <selection pane="topRight" activeCell="B1" sqref="B1"/>
      <selection pane="bottomLeft" activeCell="A2" sqref="A2"/>
      <selection pane="bottomRight" activeCell="B1" sqref="B1:BP1"/>
    </sheetView>
  </sheetViews>
  <sheetFormatPr baseColWidth="10" defaultColWidth="21.33203125" defaultRowHeight="15" x14ac:dyDescent="0.2"/>
  <cols>
    <col min="1" max="1" width="21.33203125" style="1"/>
    <col min="2" max="3" width="17.33203125" style="1" bestFit="1" customWidth="1"/>
    <col min="4" max="11" width="16.1640625" style="1" bestFit="1" customWidth="1"/>
    <col min="12" max="13" width="14.5" style="1" bestFit="1" customWidth="1"/>
    <col min="14" max="14" width="16.1640625" style="1" bestFit="1" customWidth="1"/>
    <col min="15" max="16" width="14.5" style="1" bestFit="1" customWidth="1"/>
    <col min="17" max="17" width="16.1640625" style="1" bestFit="1" customWidth="1"/>
    <col min="18" max="21" width="14.5" style="1" bestFit="1" customWidth="1"/>
    <col min="22" max="22" width="13.33203125" style="1" bestFit="1" customWidth="1"/>
    <col min="23" max="23" width="14.5" style="1" bestFit="1" customWidth="1"/>
    <col min="24" max="24" width="13.33203125" style="1" bestFit="1" customWidth="1"/>
    <col min="25" max="26" width="14.5" style="1" bestFit="1" customWidth="1"/>
    <col min="27" max="30" width="13.33203125" style="1" bestFit="1" customWidth="1"/>
    <col min="31" max="31" width="12.33203125" style="1" bestFit="1" customWidth="1"/>
    <col min="32" max="32" width="13.33203125" style="1" bestFit="1" customWidth="1"/>
    <col min="33" max="34" width="12.33203125" style="1" bestFit="1" customWidth="1"/>
    <col min="35" max="36" width="13.33203125" style="1" bestFit="1" customWidth="1"/>
    <col min="37" max="37" width="12.33203125" style="1" bestFit="1" customWidth="1"/>
    <col min="38" max="38" width="13.5" style="1" bestFit="1" customWidth="1"/>
    <col min="39" max="41" width="12.33203125" style="1" bestFit="1" customWidth="1"/>
    <col min="42" max="42" width="13.33203125" style="1" bestFit="1" customWidth="1"/>
    <col min="43" max="44" width="12.33203125" style="1" bestFit="1" customWidth="1"/>
    <col min="45" max="45" width="12.5" style="1" bestFit="1" customWidth="1"/>
    <col min="46" max="46" width="12.33203125" style="1" bestFit="1" customWidth="1"/>
    <col min="47" max="47" width="10.6640625" style="1" bestFit="1" customWidth="1"/>
    <col min="48" max="50" width="12.33203125" style="1" bestFit="1" customWidth="1"/>
    <col min="51" max="51" width="10.6640625" style="1" bestFit="1" customWidth="1"/>
    <col min="52" max="54" width="12.33203125" style="1" bestFit="1" customWidth="1"/>
    <col min="55" max="55" width="10.6640625" style="1" bestFit="1" customWidth="1"/>
    <col min="56" max="56" width="12.33203125" style="1" bestFit="1" customWidth="1"/>
    <col min="57" max="57" width="10.5" style="1" bestFit="1" customWidth="1"/>
    <col min="58" max="58" width="12.33203125" style="1" bestFit="1" customWidth="1"/>
    <col min="59" max="59" width="10.5" style="1" bestFit="1" customWidth="1"/>
    <col min="60" max="60" width="12.33203125" style="1" bestFit="1" customWidth="1"/>
    <col min="61" max="61" width="9.6640625" style="1" bestFit="1" customWidth="1"/>
    <col min="62" max="62" width="12.33203125" style="1" bestFit="1" customWidth="1"/>
    <col min="63" max="63" width="9.6640625" style="1" bestFit="1" customWidth="1"/>
    <col min="64" max="64" width="12.33203125" style="1" bestFit="1" customWidth="1"/>
    <col min="65" max="65" width="9.6640625" style="1" bestFit="1" customWidth="1"/>
    <col min="66" max="66" width="12.33203125" style="1" bestFit="1" customWidth="1"/>
    <col min="67" max="68" width="8.83203125" style="1" bestFit="1" customWidth="1"/>
    <col min="69" max="16384" width="21.33203125" style="1"/>
  </cols>
  <sheetData>
    <row r="1" spans="1:68" s="3" customFormat="1" ht="79.5" customHeight="1" x14ac:dyDescent="0.2">
      <c r="A1" s="2" t="s">
        <v>0</v>
      </c>
      <c r="B1" s="3" t="s">
        <v>254</v>
      </c>
      <c r="C1" s="3" t="s">
        <v>255</v>
      </c>
      <c r="D1" s="3" t="s">
        <v>256</v>
      </c>
      <c r="E1" s="3" t="s">
        <v>257</v>
      </c>
      <c r="F1" s="3" t="s">
        <v>258</v>
      </c>
      <c r="G1" s="3" t="s">
        <v>259</v>
      </c>
      <c r="H1" s="3" t="s">
        <v>260</v>
      </c>
      <c r="I1" s="3" t="s">
        <v>261</v>
      </c>
      <c r="J1" s="3" t="s">
        <v>262</v>
      </c>
      <c r="K1" s="3" t="s">
        <v>263</v>
      </c>
      <c r="L1" s="3" t="s">
        <v>264</v>
      </c>
      <c r="M1" s="3" t="s">
        <v>265</v>
      </c>
      <c r="N1" s="3" t="s">
        <v>266</v>
      </c>
      <c r="O1" s="3" t="s">
        <v>267</v>
      </c>
      <c r="P1" s="3" t="s">
        <v>268</v>
      </c>
      <c r="Q1" s="3" t="s">
        <v>269</v>
      </c>
      <c r="R1" s="3" t="s">
        <v>270</v>
      </c>
      <c r="S1" s="3" t="s">
        <v>271</v>
      </c>
      <c r="T1" s="3" t="s">
        <v>272</v>
      </c>
      <c r="U1" s="3" t="s">
        <v>273</v>
      </c>
      <c r="V1" s="3" t="s">
        <v>274</v>
      </c>
      <c r="W1" s="3" t="s">
        <v>275</v>
      </c>
      <c r="X1" s="3" t="s">
        <v>276</v>
      </c>
      <c r="Y1" s="3" t="s">
        <v>277</v>
      </c>
      <c r="Z1" s="3" t="s">
        <v>278</v>
      </c>
      <c r="AA1" s="3" t="s">
        <v>279</v>
      </c>
      <c r="AB1" s="3" t="s">
        <v>280</v>
      </c>
      <c r="AC1" s="3" t="s">
        <v>281</v>
      </c>
      <c r="AD1" s="3" t="s">
        <v>282</v>
      </c>
      <c r="AE1" s="3" t="s">
        <v>283</v>
      </c>
      <c r="AF1" s="3" t="s">
        <v>284</v>
      </c>
      <c r="AG1" s="3" t="s">
        <v>285</v>
      </c>
      <c r="AH1" s="3" t="s">
        <v>286</v>
      </c>
      <c r="AI1" s="3" t="s">
        <v>287</v>
      </c>
      <c r="AJ1" s="3" t="s">
        <v>288</v>
      </c>
      <c r="AK1" s="3" t="s">
        <v>289</v>
      </c>
      <c r="AL1" s="3" t="s">
        <v>290</v>
      </c>
      <c r="AM1" s="3" t="s">
        <v>291</v>
      </c>
      <c r="AN1" s="3" t="s">
        <v>292</v>
      </c>
      <c r="AO1" s="3" t="s">
        <v>293</v>
      </c>
      <c r="AP1" s="3" t="s">
        <v>294</v>
      </c>
      <c r="AQ1" s="3" t="s">
        <v>295</v>
      </c>
      <c r="AR1" s="3" t="s">
        <v>296</v>
      </c>
      <c r="AS1" s="3" t="s">
        <v>297</v>
      </c>
      <c r="AT1" s="3" t="s">
        <v>298</v>
      </c>
      <c r="AU1" s="3" t="s">
        <v>299</v>
      </c>
      <c r="AV1" s="3" t="s">
        <v>300</v>
      </c>
      <c r="AW1" s="3" t="s">
        <v>301</v>
      </c>
      <c r="AX1" s="3" t="s">
        <v>302</v>
      </c>
      <c r="AY1" s="3" t="s">
        <v>303</v>
      </c>
      <c r="AZ1" s="3" t="s">
        <v>304</v>
      </c>
      <c r="BA1" s="3" t="s">
        <v>305</v>
      </c>
      <c r="BB1" s="3" t="s">
        <v>306</v>
      </c>
      <c r="BC1" s="3" t="s">
        <v>307</v>
      </c>
      <c r="BD1" s="3" t="s">
        <v>308</v>
      </c>
      <c r="BE1" s="3" t="s">
        <v>309</v>
      </c>
      <c r="BF1" s="3" t="s">
        <v>310</v>
      </c>
      <c r="BG1" s="3" t="s">
        <v>311</v>
      </c>
      <c r="BH1" s="3" t="s">
        <v>312</v>
      </c>
      <c r="BI1" s="3" t="s">
        <v>313</v>
      </c>
      <c r="BJ1" s="3" t="s">
        <v>314</v>
      </c>
      <c r="BK1" s="3" t="s">
        <v>315</v>
      </c>
      <c r="BL1" s="3" t="s">
        <v>316</v>
      </c>
      <c r="BM1" s="3" t="s">
        <v>317</v>
      </c>
      <c r="BN1" s="3" t="s">
        <v>318</v>
      </c>
      <c r="BO1" s="3" t="s">
        <v>319</v>
      </c>
      <c r="BP1" s="3" t="s">
        <v>320</v>
      </c>
    </row>
    <row r="2" spans="1:68" x14ac:dyDescent="0.2">
      <c r="A2" s="1" t="s">
        <v>4</v>
      </c>
      <c r="B2" s="1">
        <f>VLOOKUP(A2,[3]geoMap!$A:$B,2,0)*Notes!$C$6</f>
        <v>100000</v>
      </c>
      <c r="C2" s="1">
        <f>B2/VLOOKUP(A2,'[4]geoMap (1)'!$A:$B,2,0)*VLOOKUP(A2,'[4]geoMap (1)'!$A:$C,3,0)</f>
        <v>170270.2702702703</v>
      </c>
      <c r="D2" s="1">
        <f>C2/VLOOKUP(A2,'[5]geoMap (2)'!$A:$B,2,0)*VLOOKUP(A2,'[5]geoMap (2)'!$A:$C,3,0)</f>
        <v>87714.987714987728</v>
      </c>
      <c r="E2" s="1">
        <f>D2/VLOOKUP(A2,'[6]geoMap (3)'!$A:$B,2,0)*VLOOKUP(A2,'[6]geoMap (3)'!$A:$C,3,0)</f>
        <v>26200.580746035295</v>
      </c>
      <c r="F2" s="1">
        <f>E2/VLOOKUP(A2,'[7]geoMap (4)'!$A:$B,2,0)*VLOOKUP(A2,'[7]geoMap (4)'!$A:$C,3,0)</f>
        <v>26200.580746035295</v>
      </c>
      <c r="G2" s="1">
        <f>F2/VLOOKUP(A2,'[8]geoMap (5)'!$A:$B,2,0)*VLOOKUP(A2,'[8]geoMap (5)'!$A:$C,3,0)</f>
        <v>58317.42166053017</v>
      </c>
      <c r="H2" s="1">
        <f>G2/VLOOKUP(A2,'[9]geoMap (6)'!$A:$B,2,0)*VLOOKUP(A2,'[9]geoMap (6)'!$A:$C,3,0)</f>
        <v>43993.844410575395</v>
      </c>
      <c r="I2" s="1">
        <f>H2/VLOOKUP(A2,'[10]geoMap (7)'!$A:$B,2,0)*VLOOKUP(A2,'[10]geoMap (7)'!$A:$C,3,0)</f>
        <v>37476.237831230894</v>
      </c>
      <c r="J2" s="1">
        <f>I2/VLOOKUP(A2,'[11]geoMap (8)'!$A:$B,2,0)*VLOOKUP(A2,'[11]geoMap (8)'!$A:$C,3,0)</f>
        <v>13861.074266345675</v>
      </c>
      <c r="K2" s="1">
        <f>J2/VLOOKUP(A2,'[12]geoMap (9)'!$A:$B,2,0)*VLOOKUP(A2,'[12]geoMap (9)'!$A:$C,3,0)</f>
        <v>19141.483510667837</v>
      </c>
      <c r="L2" s="1">
        <f>K2/VLOOKUP(A2,'[13]geoMap (10)'!$A:$B,2,0)*VLOOKUP(A2,'[13]geoMap (10)'!$A:$C,3,0)</f>
        <v>8203.4929331433577</v>
      </c>
      <c r="M2" s="1">
        <f>L2/VLOOKUP(A2,'[14]geoMap (11)'!$A:$B,2,0)*VLOOKUP(A2,'[14]geoMap (11)'!$A:$C,3,0)</f>
        <v>7881.7873279220494</v>
      </c>
      <c r="N2" s="1">
        <f>M2/VLOOKUP(A2,'[15]geoMap (12)'!$A:$B,2,0)*VLOOKUP(A2,'[15]geoMap (12)'!$A:$C,3,0)</f>
        <v>16002.416696084161</v>
      </c>
      <c r="O2" s="1">
        <f>N2/VLOOKUP(A2,'[16]geoMap (13)'!$A:$B,2,0)*VLOOKUP(A2,'[16]geoMap (13)'!$A:$C,3,0)</f>
        <v>7530.5490334513688</v>
      </c>
      <c r="P2" s="1">
        <f>O2/VLOOKUP(A2,'[17]geoMap (14)'!$A:$B,2,0)*VLOOKUP(A2,'[17]geoMap (14)'!$A:$C,3,0)</f>
        <v>1766.4250819206911</v>
      </c>
      <c r="Q2" s="1">
        <f>P2/VLOOKUP(A2,'[18]geoMap (15)'!$A:$B,2,0)*VLOOKUP(A2,'[18]geoMap (15)'!$A:$C,3,0)</f>
        <v>12953.783934085068</v>
      </c>
      <c r="R2" s="1">
        <f>Q2/VLOOKUP(A2,'[19]geoMap (16)'!$A:$B,2,0)*VLOOKUP(A2,'[19]geoMap (16)'!$A:$C,3,0)</f>
        <v>9772.152792379964</v>
      </c>
      <c r="S2" s="1">
        <f>R2/VLOOKUP(A2,'[20]geoMap (17)'!$A:$B,2,0)*VLOOKUP(A2,'[20]geoMap (17)'!$A:$C,3,0)</f>
        <v>3085.9429870673571</v>
      </c>
      <c r="T2" s="1">
        <f>S2/VLOOKUP(A2,'[21]geoMap (18)'!$A:$B,2,0)*VLOOKUP(A2,'[21]geoMap (18)'!$A:$C,3,0)</f>
        <v>3085.9429870673571</v>
      </c>
      <c r="U2" s="1">
        <f>T2/VLOOKUP(A2,'[22]geoMap (19)'!$A:$B,2,0)*VLOOKUP(A2,'[22]geoMap (19)'!$A:$C,3,0)</f>
        <v>1812.3792146268604</v>
      </c>
      <c r="V2" s="1">
        <f>U2/VLOOKUP(A2,'[23]geoMap (20)'!$A:$B,2,0)*VLOOKUP(A2,'[23]geoMap (20)'!$A:$C,3,0)</f>
        <v>247.14262017639004</v>
      </c>
      <c r="W2" s="1">
        <f>V2/VLOOKUP(A2,'[24]geoMap (21)'!$A:$B,2,0)*VLOOKUP(A2,'[24]geoMap (21)'!$A:$C,3,0)</f>
        <v>2224.2835815875105</v>
      </c>
      <c r="X2" s="1">
        <f>W2/VLOOKUP(A2,'[25]geoMap (22)'!$A:$B,2,0)*VLOOKUP(A2,'[25]geoMap (22)'!$A:$C,3,0)</f>
        <v>822.68022880633953</v>
      </c>
      <c r="Y2" s="1">
        <f>X2/VLOOKUP(A2,'[26]geoMap (23)'!$A:$B,2,0)*VLOOKUP(A2,'[26]geoMap (23)'!$A:$C,3,0)</f>
        <v>1090.5296056270081</v>
      </c>
      <c r="Z2" s="1">
        <f>Y2/VLOOKUP(A2,'[27]geoMap (24)'!$A:$B,2,0)*VLOOKUP(A2,'[27]geoMap (24)'!$A:$C,3,0)</f>
        <v>1445.5857562962665</v>
      </c>
      <c r="AA2" s="1">
        <f>Z2/VLOOKUP(A2,'[28]geoMap (25)'!$A:$B,2,0)*VLOOKUP(A2,'[28]geoMap (25)'!$A:$C,3,0)</f>
        <v>712.00492474293719</v>
      </c>
      <c r="AB2" s="1">
        <f>AA2*VLOOKUP(A2,'[29]geoMap (26)'!$A:$B,2,0)*VLOOKUP(A2,'[29]geoMap (26)'!$A:$C,3,0)</f>
        <v>159.77390511231513</v>
      </c>
      <c r="AC2" s="1">
        <f>AB2/VLOOKUP(A2,'[30]geoMap (27)'!$A:$B,2,0)*VLOOKUP(A2,'[30]geoMap (27)'!$A:$C,3,0)</f>
        <v>180.17057385005754</v>
      </c>
      <c r="AD2" s="1">
        <f>AC2/VLOOKUP(A2,'[31]geoMap (28)'!$A:$B,2,0)*VLOOKUP(A2,'[31]geoMap (28)'!$A:$C,3,0)</f>
        <v>259.26985017447305</v>
      </c>
      <c r="AE2" s="1">
        <f>AD2/VLOOKUP(A2,'[32]geoMap (29)'!$A:$B,2,0)*VLOOKUP(A2,'[32]geoMap (29)'!$A:$C,3,0)</f>
        <v>60.816384608827008</v>
      </c>
      <c r="AF2" s="1">
        <f>AE2/VLOOKUP(A2,'[33]geoMap (30)'!$A:$B,2,0)*VLOOKUP(A2,'[33]geoMap (30)'!$A:$C,3,0)</f>
        <v>277.05241877354524</v>
      </c>
      <c r="AG2" s="1">
        <f>AF2/VLOOKUP(A2,'[34]geoMap (31)'!$A:$B,2,0)*VLOOKUP(A2,'[34]geoMap (31)'!$A:$C,3,0)</f>
        <v>17.684196942992251</v>
      </c>
      <c r="AH2" s="1">
        <f>AG2/VLOOKUP(A2,'[35]geoMap (32)'!$A:$B,2,0)*VLOOKUP(A2,'[35]geoMap (32)'!$A:$C,3,0)</f>
        <v>19.941753999544453</v>
      </c>
      <c r="AI2" s="1">
        <f>AH2/VLOOKUP(A2,'[36]geoMap (33)'!$A:$B,2,0)*VLOOKUP(A2,'[36]geoMap (33)'!$A:$C,3,0)</f>
        <v>179.47578599590005</v>
      </c>
      <c r="AJ2" s="1">
        <f>AI2/VLOOKUP(A2,'[37]geoMap (34)'!$A:$B,2,0)*VLOOKUP(A2,'[37]geoMap (34)'!$A:$C,3,0)</f>
        <v>129.96522434185866</v>
      </c>
      <c r="AK2" s="1">
        <f>AJ2/VLOOKUP(A2,'[38]geoMap (35)'!$A:$B,2,0)*VLOOKUP(A2,'[38]geoMap (35)'!$A:$C,3,0)</f>
        <v>98.04394117017408</v>
      </c>
      <c r="AL2" s="1">
        <f>AK2/VLOOKUP(A2,'[39]geoMap (36)'!$A:$B,2,0)*VLOOKUP(A2,'[39]geoMap (36)'!$A:$C,3,0)</f>
        <v>12.117790481706908</v>
      </c>
      <c r="AM2" s="1">
        <f>AL2/VLOOKUP(A2,'[40]geoMap (37)'!$A:$B,2,0)*VLOOKUP(A2,'[40]geoMap (37)'!$A:$C,3,0)</f>
        <v>81.095982454500074</v>
      </c>
      <c r="AN2" s="1">
        <f>AM2/VLOOKUP(A2,'[41]geoMap (38)'!$A:$B,2,0)*VLOOKUP(A2,'[41]geoMap (38)'!$A:$C,3,0)</f>
        <v>77.915747848441242</v>
      </c>
      <c r="AO2" s="1">
        <f>AN2/VLOOKUP(A2,'[42]geoMap (39)'!$A:$B,2,0)*VLOOKUP(A2,'[42]geoMap (39)'!$A:$C,3,0)</f>
        <v>58.778546622508308</v>
      </c>
      <c r="AP2" s="1">
        <f>AO2/VLOOKUP(A2,'[43]geoMap (40)'!$A:$B,2,0)*VLOOKUP(A2,'[43]geoMap (40)'!$A:$C,3,0)</f>
        <v>130.82966828880882</v>
      </c>
      <c r="AQ2" s="1">
        <f>AP2/VLOOKUP(A2,'[44]geoMap (41)'!$A:$B,2,0)*VLOOKUP(A2,'[44]geoMap (41)'!$A:$C,3,0)</f>
        <v>14.536629809867646</v>
      </c>
      <c r="AR2" s="1">
        <f>AQ2/VLOOKUP(A2,'[45]geoMap (42)'!$A:$B,2,0)*VLOOKUP(A2,'[45]geoMap (42)'!$A:$C,3,0)</f>
        <v>30.890338345968747</v>
      </c>
      <c r="AS2" s="1">
        <f>AR2/VLOOKUP(A2,'[46]geoMap (43)'!$A:$B,2,0)*VLOOKUP(A2,'[46]geoMap (43)'!$A:$C,3,0)</f>
        <v>5.4512361787003671</v>
      </c>
      <c r="AT2" s="1">
        <f>AS2/VLOOKUP(A2,'[47]geoMap (44)'!$A:$B,2,0)*VLOOKUP(A2,'[47]geoMap (44)'!$A:$C,3,0)</f>
        <v>6.3992772532569528</v>
      </c>
      <c r="AU2" s="1">
        <f>AT2/VLOOKUP(A2,'[48]geoMap (45)'!$A:$B,2,0)*VLOOKUP(A2,'[48]geoMap (45)'!$A:$C,3,0)</f>
        <v>5.9070251568525709</v>
      </c>
      <c r="AV2" s="1">
        <f>AU2/VLOOKUP(A2,'[49]geoMap (46)'!$A:$B,2,0)*VLOOKUP(A2,'[49]geoMap (46)'!$A:$C,3,0)</f>
        <v>18.705579663366475</v>
      </c>
      <c r="AW2" s="1" t="e">
        <f>AV2/VLOOKUP(A2,'[50]geoMap (47)'!$A:$B,2,0)*VLOOKUP(A2,'[50]geoMap (47)'!$A:$C,3,0)</f>
        <v>#REF!</v>
      </c>
      <c r="AX2" s="1">
        <f>AN2/VLOOKUP(A2,'[70]geoMap (138)'!$A:$B,2,0)*VLOOKUP(A2,'[70]geoMap (138)'!$A:$C,3,0)</f>
        <v>49.81498632933129</v>
      </c>
      <c r="AY2" s="1">
        <f>AX2/VLOOKUP(A2,'[52]geoMap (49)'!$A:$B,2,0)*VLOOKUP(A2,'[52]geoMap (49)'!$A:$C,3,0)</f>
        <v>5.5349984810368102</v>
      </c>
      <c r="AZ2" s="1" t="e">
        <f>AY2/VLOOKUP(A2,'[53]geoMap (50)'!$A:$B,2,0)*VLOOKUP(A2,'[53]geoMap (50)'!$A:$C,3,0)</f>
        <v>#REF!</v>
      </c>
      <c r="BA2" s="1">
        <f>AN2/VLOOKUP(A2,'[71]geoMap (143)'!$A:$B,2,0)*VLOOKUP(A2,'[71]geoMap (143)'!$A:$C,3,0)</f>
        <v>13.749837855607279</v>
      </c>
      <c r="BB2" s="1" t="e">
        <f>BA2/VLOOKUP(A2,'[55]geoMap (52)'!$A:$B,2,0)*VLOOKUP(A2,'[55]geoMap (52)'!$A:$C,3,0)</f>
        <v>#REF!</v>
      </c>
      <c r="BC2" s="1" t="e">
        <f>AN2/VLOOKUP(A2,'[72]geoMap (146)'!$A:$B,2,0)*VLOOKUP(A2,'[72]geoMap (146)'!$A:$C,3,0)</f>
        <v>#REF!</v>
      </c>
      <c r="BD2" s="1" t="e">
        <f>AN2/VLOOKUP(A2,'[73]geoMap (147)'!$A:$B,2,0)*VLOOKUP(A2,'[73]geoMap (147)'!$A:$C,3,0)</f>
        <v>#REF!</v>
      </c>
      <c r="BE2" s="1">
        <f>AO2/VLOOKUP(A2,'[74]geoMap (149)'!$A:$B,2,0)*VLOOKUP(A2,'[74]geoMap (149)'!$A:$C,3,0)</f>
        <v>0.59372269315664961</v>
      </c>
      <c r="BF2" s="1">
        <f>AN2/VLOOKUP(A2,'[75]geoMap (150)'!$A:$B,2,0)*VLOOKUP(A2,'[75]geoMap (150)'!$A:$C,3,0)</f>
        <v>11.642583011836049</v>
      </c>
      <c r="BG2" s="1">
        <f>BF2/VLOOKUP(A2,'[60]geoMap (57)'!$A:$B,2,0)*VLOOKUP(A2,'[60]geoMap (57)'!$A:$C,3,0)</f>
        <v>2.2176348593973425</v>
      </c>
      <c r="BH2" s="1" t="e">
        <f>BG2/VLOOKUP(A2,'[61]geoMap (58)'!$A:$B,2,0)*VLOOKUP(A2,'[61]geoMap (58)'!$A:$C,3,0)</f>
        <v>#REF!</v>
      </c>
      <c r="BI2" s="1" t="e">
        <f>AN2/VLOOKUP(A2,'[76]geoMap (156)'!$A:$B,2,0)*VLOOKUP(A2,'[76]geoMap (156)'!$A:$C,3,0)</f>
        <v>#REF!</v>
      </c>
      <c r="BJ2" s="1" t="e">
        <f>AN2/VLOOKUP(A2,'[77]geoMap (158)'!$A:$B,2,0)*VLOOKUP(A2,'[77]geoMap (158)'!$A:$C,3,0)</f>
        <v>#REF!</v>
      </c>
      <c r="BK2" s="1" t="e">
        <f>AN2/VLOOKUP(A2,'[78]geoMap (160)'!$A:$B,2,0)*VLOOKUP(A2,'[78]geoMap (160)'!$A:$C,3,0)</f>
        <v>#REF!</v>
      </c>
      <c r="BL2" s="1" t="e">
        <f>AN2/VLOOKUP(A2,'[79]geoMap (162)'!$A:$B,2,0)*VLOOKUP(A2,'[79]geoMap (162)'!$A:$C,3,0)</f>
        <v>#REF!</v>
      </c>
      <c r="BM2" s="1" t="e">
        <f>AN2/VLOOKUP(A2,'[80]geoMap (164)'!$A:$B,2,0)*VLOOKUP(A2,'[80]geoMap (164)'!$A:$C,3,0)</f>
        <v>#REF!</v>
      </c>
      <c r="BN2" s="1" t="e">
        <f>AN2/VLOOKUP(A2,'[81]geoMap (166)'!$A:$B,2,0)*VLOOKUP(A2,'[81]geoMap (166)'!$A:$C,3,0)</f>
        <v>#REF!</v>
      </c>
      <c r="BO2" s="1" t="e">
        <f>AN2/VLOOKUP(A2,'[82]geoMap (168)'!$A:$B,2,0)*VLOOKUP(A2,'[82]geoMap (168)'!$A:$C,3,0)</f>
        <v>#REF!</v>
      </c>
      <c r="BP2" s="1" t="e">
        <f>AN2/VLOOKUP(A2,'[83]geoMap (170)'!$A:$B,2,0)*VLOOKUP(A2,'[83]geoMap (170)'!$A:$C,3,0)</f>
        <v>#REF!</v>
      </c>
    </row>
    <row r="3" spans="1:68" x14ac:dyDescent="0.2">
      <c r="A3" s="1" t="s">
        <v>8</v>
      </c>
      <c r="B3" s="1">
        <f>VLOOKUP(A3,[3]geoMap!$A:$B,2,0)*Notes!$C$6</f>
        <v>25000</v>
      </c>
      <c r="C3" s="1">
        <f>B3/VLOOKUP(A3,'[4]geoMap (1)'!$A:$B,2,0)*VLOOKUP(A3,'[4]geoMap (1)'!$A:$C,3,0)</f>
        <v>23076.923076923078</v>
      </c>
      <c r="D3" s="1">
        <f>C3/VLOOKUP(A3,'[5]geoMap (2)'!$A:$B,2,0)*VLOOKUP(A3,'[5]geoMap (2)'!$A:$C,3,0)</f>
        <v>15384.615384615388</v>
      </c>
      <c r="E3" s="1">
        <f>D3/VLOOKUP(A3,'[6]geoMap (3)'!$A:$B,2,0)*VLOOKUP(A3,'[6]geoMap (3)'!$A:$C,3,0)</f>
        <v>20393.559928443654</v>
      </c>
      <c r="F3" s="1">
        <f>E3/VLOOKUP(A3,'[7]geoMap (4)'!$A:$B,2,0)*VLOOKUP(A3,'[7]geoMap (4)'!$A:$C,3,0)</f>
        <v>11471.377459749554</v>
      </c>
      <c r="G3" s="1">
        <f>F3/VLOOKUP(A3,'[8]geoMap (5)'!$A:$B,2,0)*VLOOKUP(A3,'[8]geoMap (5)'!$A:$C,3,0)</f>
        <v>12935.808624823967</v>
      </c>
      <c r="H3" s="1">
        <f>G3/VLOOKUP(A3,'[9]geoMap (6)'!$A:$B,2,0)*VLOOKUP(A3,'[9]geoMap (6)'!$A:$C,3,0)</f>
        <v>4311.9362082746557</v>
      </c>
      <c r="I3" s="1">
        <f>H3/VLOOKUP(A3,'[10]geoMap (7)'!$A:$B,2,0)*VLOOKUP(A3,'[10]geoMap (7)'!$A:$C,3,0)</f>
        <v>4487.9336045307646</v>
      </c>
      <c r="J3" s="1">
        <f>I3/VLOOKUP(A3,'[11]geoMap (8)'!$A:$B,2,0)*VLOOKUP(A3,'[11]geoMap (8)'!$A:$C,3,0)</f>
        <v>3118.7335217925652</v>
      </c>
      <c r="K3" s="1">
        <f>J3/VLOOKUP(A3,'[12]geoMap (9)'!$A:$B,2,0)*VLOOKUP(A3,'[12]geoMap (9)'!$A:$C,3,0)</f>
        <v>3661.1219603651853</v>
      </c>
      <c r="L3" s="1">
        <f>K3/VLOOKUP(A3,'[13]geoMap (10)'!$A:$B,2,0)*VLOOKUP(A3,'[13]geoMap (10)'!$A:$C,3,0)</f>
        <v>2150.1827386271725</v>
      </c>
      <c r="M3" s="1">
        <f>L3/VLOOKUP(A3,'[14]geoMap (11)'!$A:$B,2,0)*VLOOKUP(A3,'[14]geoMap (11)'!$A:$C,3,0)</f>
        <v>1374.7069968272087</v>
      </c>
      <c r="N3" s="1">
        <f>M3/VLOOKUP(A3,'[15]geoMap (12)'!$A:$B,2,0)*VLOOKUP(A3,'[15]geoMap (12)'!$A:$C,3,0)</f>
        <v>2791.0717814370605</v>
      </c>
      <c r="O3" s="1">
        <f>N3/VLOOKUP(A3,'[16]geoMap (13)'!$A:$B,2,0)*VLOOKUP(A3,'[16]geoMap (13)'!$A:$C,3,0)</f>
        <v>1196.1736206158832</v>
      </c>
      <c r="P3" s="1">
        <f>O3/VLOOKUP(A3,'[17]geoMap (14)'!$A:$B,2,0)*VLOOKUP(A3,'[17]geoMap (14)'!$A:$C,3,0)</f>
        <v>488.57795771634665</v>
      </c>
      <c r="Q3" s="1">
        <f>P3/VLOOKUP(A3,'[18]geoMap (15)'!$A:$B,2,0)*VLOOKUP(A3,'[18]geoMap (15)'!$A:$C,3,0)</f>
        <v>621.82649163898668</v>
      </c>
      <c r="R3" s="1">
        <f>Q3/VLOOKUP(A3,'[19]geoMap (16)'!$A:$B,2,0)*VLOOKUP(A3,'[19]geoMap (16)'!$A:$C,3,0)</f>
        <v>551.43103975532767</v>
      </c>
      <c r="S3" s="1">
        <f>R3/VLOOKUP(A3,'[20]geoMap (17)'!$A:$B,2,0)*VLOOKUP(A3,'[20]geoMap (17)'!$A:$C,3,0)</f>
        <v>469.73755238416805</v>
      </c>
      <c r="T3" s="1">
        <f>S3/VLOOKUP(A3,'[21]geoMap (18)'!$A:$B,2,0)*VLOOKUP(A3,'[21]geoMap (18)'!$A:$C,3,0)</f>
        <v>451.31647189851441</v>
      </c>
      <c r="U3" s="1">
        <f>T3/VLOOKUP(A3,'[22]geoMap (19)'!$A:$B,2,0)*VLOOKUP(A3,'[22]geoMap (19)'!$A:$C,3,0)</f>
        <v>202.76537143266592</v>
      </c>
      <c r="V3" s="1">
        <f>U3/VLOOKUP(A3,'[23]geoMap (20)'!$A:$B,2,0)*VLOOKUP(A3,'[23]geoMap (20)'!$A:$C,3,0)</f>
        <v>219.66248571872143</v>
      </c>
      <c r="W3" s="1">
        <f>V3/VLOOKUP(A3,'[24]geoMap (21)'!$A:$B,2,0)*VLOOKUP(A3,'[24]geoMap (21)'!$A:$C,3,0)</f>
        <v>194.79503450528125</v>
      </c>
      <c r="X3" s="1">
        <f>W3/VLOOKUP(A3,'[25]geoMap (22)'!$A:$B,2,0)*VLOOKUP(A3,'[25]geoMap (22)'!$A:$C,3,0)</f>
        <v>346.30228356494445</v>
      </c>
      <c r="Y3" s="1">
        <f>X3/VLOOKUP(A3,'[26]geoMap (23)'!$A:$B,2,0)*VLOOKUP(A3,'[26]geoMap (23)'!$A:$C,3,0)</f>
        <v>115.43409452164815</v>
      </c>
      <c r="Z3" s="1">
        <f>Y3/VLOOKUP(A3,'[27]geoMap (24)'!$A:$B,2,0)*VLOOKUP(A3,'[27]geoMap (24)'!$A:$C,3,0)</f>
        <v>98.332747185107678</v>
      </c>
      <c r="AA3" s="1">
        <f>Z3/VLOOKUP(A3,'[28]geoMap (25)'!$A:$B,2,0)*VLOOKUP(A3,'[28]geoMap (25)'!$A:$C,3,0)</f>
        <v>77.261444216870316</v>
      </c>
      <c r="AB3" s="1">
        <f>AA3*VLOOKUP(A3,'[29]geoMap (26)'!$A:$B,2,0)*VLOOKUP(A3,'[29]geoMap (26)'!$A:$C,3,0)</f>
        <v>18.542746612048877</v>
      </c>
      <c r="AC3" s="1">
        <f>AB3/VLOOKUP(A3,'[30]geoMap (27)'!$A:$B,2,0)*VLOOKUP(A3,'[30]geoMap (27)'!$A:$C,3,0)</f>
        <v>17.116381488045118</v>
      </c>
      <c r="AD3" s="1">
        <f>AC3/VLOOKUP(A3,'[31]geoMap (28)'!$A:$B,2,0)*VLOOKUP(A3,'[31]geoMap (28)'!$A:$C,3,0)</f>
        <v>23.636907769205163</v>
      </c>
      <c r="AE3" s="1">
        <f>AD3/VLOOKUP(A3,'[32]geoMap (29)'!$A:$B,2,0)*VLOOKUP(A3,'[32]geoMap (29)'!$A:$C,3,0)</f>
        <v>7.4642866639595242</v>
      </c>
      <c r="AF3" s="1">
        <f>AE3/VLOOKUP(A3,'[33]geoMap (30)'!$A:$B,2,0)*VLOOKUP(A3,'[33]geoMap (30)'!$A:$C,3,0)</f>
        <v>19.193879993038774</v>
      </c>
      <c r="AG3" s="1">
        <f>AF3/VLOOKUP(A3,'[34]geoMap (31)'!$A:$B,2,0)*VLOOKUP(A3,'[34]geoMap (31)'!$A:$C,3,0)</f>
        <v>15.704083630668086</v>
      </c>
      <c r="AH3" s="1">
        <f>AG3/VLOOKUP(A3,'[35]geoMap (32)'!$A:$B,2,0)*VLOOKUP(A3,'[35]geoMap (32)'!$A:$C,3,0)</f>
        <v>11.846940282784697</v>
      </c>
      <c r="AI3" s="1">
        <f>AH3/VLOOKUP(A3,'[36]geoMap (33)'!$A:$B,2,0)*VLOOKUP(A3,'[36]geoMap (33)'!$A:$C,3,0)</f>
        <v>7.2610279152551369</v>
      </c>
      <c r="AJ3" s="1">
        <f>AI3/VLOOKUP(A3,'[37]geoMap (34)'!$A:$B,2,0)*VLOOKUP(A3,'[37]geoMap (34)'!$A:$C,3,0)</f>
        <v>6.7024873063893571</v>
      </c>
      <c r="AK3" s="1">
        <f>AJ3/VLOOKUP(A3,'[38]geoMap (35)'!$A:$B,2,0)*VLOOKUP(A3,'[38]geoMap (35)'!$A:$C,3,0)</f>
        <v>5.9437151584962225</v>
      </c>
      <c r="AL3" s="1">
        <f>AK3/VLOOKUP(A3,'[39]geoMap (36)'!$A:$B,2,0)*VLOOKUP(A3,'[39]geoMap (36)'!$A:$C,3,0)</f>
        <v>5.9437151584962225</v>
      </c>
      <c r="AM3" s="1">
        <f>AL3/VLOOKUP(A3,'[40]geoMap (37)'!$A:$B,2,0)*VLOOKUP(A3,'[40]geoMap (37)'!$A:$C,3,0)</f>
        <v>6.4390247550375745</v>
      </c>
      <c r="AN3" s="1">
        <f>AM3/VLOOKUP(A3,'[41]geoMap (38)'!$A:$B,2,0)*VLOOKUP(A3,'[41]geoMap (38)'!$A:$C,3,0)</f>
        <v>5.2682929813943788</v>
      </c>
      <c r="AO3" s="1">
        <f>AN3/VLOOKUP(A3,'[42]geoMap (39)'!$A:$B,2,0)*VLOOKUP(A3,'[42]geoMap (39)'!$A:$C,3,0)</f>
        <v>2.8367731438277421</v>
      </c>
      <c r="AP3" s="1">
        <f>AO3/VLOOKUP(A3,'[43]geoMap (40)'!$A:$B,2,0)*VLOOKUP(A3,'[43]geoMap (40)'!$A:$C,3,0)</f>
        <v>3.7603737022832862</v>
      </c>
      <c r="AQ3" s="1">
        <f>AP3/VLOOKUP(A3,'[44]geoMap (41)'!$A:$B,2,0)*VLOOKUP(A3,'[44]geoMap (41)'!$A:$C,3,0)</f>
        <v>1.8521243608260962</v>
      </c>
      <c r="AR3" s="1">
        <f>AQ3/VLOOKUP(A3,'[45]geoMap (42)'!$A:$B,2,0)*VLOOKUP(A3,'[45]geoMap (42)'!$A:$C,3,0)</f>
        <v>6.5666227338379777</v>
      </c>
      <c r="AS3" s="1" t="e">
        <f>AR3/VLOOKUP(A3,'[46]geoMap (43)'!$A:$B,2,0)*VLOOKUP(A3,'[46]geoMap (43)'!$A:$C,3,0)</f>
        <v>#REF!</v>
      </c>
      <c r="AT3" s="1" t="e">
        <f>AC3/VLOOKUP(A3,'[84]geoMap (131)'!$A:$B,2,0)*VLOOKUP(A3,'[84]geoMap (131)'!$A:$C,3,0)</f>
        <v>#REF!</v>
      </c>
      <c r="AU3" s="1" t="e">
        <f>AN3/VLOOKUP(A3,'[85]geoMap (133)'!$A:$B,2,0)*VLOOKUP(A3,'[85]geoMap (133)'!$A:$C,3,0)</f>
        <v>#REF!</v>
      </c>
      <c r="AV3" s="1" t="e">
        <f>AN3/VLOOKUP(A3,'[86]geoMap (135)'!$A:$B,2,0)*VLOOKUP(A3,'[86]geoMap (135)'!$A:$C,3,0)</f>
        <v>#REF!</v>
      </c>
      <c r="AW3" s="1" t="e">
        <f>AN3/VLOOKUP(A3,'[87]geoMap (137)'!$A:$B,2,0)*VLOOKUP(A3,'[87]geoMap (137)'!$A:$C,3,0)</f>
        <v>#REF!</v>
      </c>
      <c r="AX3" s="1" t="e">
        <f>AN3/VLOOKUP(A3,'[70]geoMap (138)'!$A:$B,2,0)*VLOOKUP(A3,'[70]geoMap (138)'!$A:$C,3,0)</f>
        <v>#REF!</v>
      </c>
      <c r="AY3" s="1" t="e">
        <f>AN3/VLOOKUP(A3,'[88]geoMap (140)'!$A:$B,2,0)*VLOOKUP(A3,'[88]geoMap (140)'!$A:$C,3,0)</f>
        <v>#REF!</v>
      </c>
      <c r="AZ3" s="1" t="e">
        <f>AN3/VLOOKUP(A3,'[89]geoMap (141)'!$A:$B,2,0)*VLOOKUP(A3,'[89]geoMap (141)'!$A:$C,3,0)</f>
        <v>#REF!</v>
      </c>
      <c r="BA3" s="1" t="e">
        <f>AN3/VLOOKUP(A3,'[71]geoMap (143)'!$A:$B,2,0)*VLOOKUP(A3,'[71]geoMap (143)'!$A:$C,3,0)</f>
        <v>#REF!</v>
      </c>
      <c r="BB3" s="1" t="e">
        <f>AN3/VLOOKUP(A3,'[90]geoMap (144)'!$A:$B,2,0)*VLOOKUP(A3,'[90]geoMap (144)'!$A:$C,3,0)</f>
        <v>#REF!</v>
      </c>
      <c r="BC3" s="1" t="e">
        <f>AN3/VLOOKUP(A3,'[72]geoMap (146)'!$A:$B,2,0)*VLOOKUP(A3,'[72]geoMap (146)'!$A:$C,3,0)</f>
        <v>#REF!</v>
      </c>
      <c r="BD3" s="1" t="e">
        <f>AN3/VLOOKUP(A3,'[73]geoMap (147)'!$A:$B,2,0)*VLOOKUP(A3,'[73]geoMap (147)'!$A:$C,3,0)</f>
        <v>#REF!</v>
      </c>
      <c r="BE3" s="1" t="e">
        <f>AN3/VLOOKUP(A3,'[91]geoMap (148)'!$A:$B,2,0)*VLOOKUP(A3,'[91]geoMap (148)'!$A:$C,3,0)</f>
        <v>#REF!</v>
      </c>
      <c r="BF3" s="1" t="e">
        <f>AO3/VLOOKUP(A3,'[92]geoMap (151)'!$A:$B,2,0)*VLOOKUP(A3,'[92]geoMap (151)'!$A:$C,3,0)</f>
        <v>#REF!</v>
      </c>
      <c r="BG3" s="1" t="e">
        <f>AN3/VLOOKUP(A3,'[93]geoMap (152)'!$A:$B,2,0)*VLOOKUP(A3,'[93]geoMap (152)'!$A:$C,3,0)</f>
        <v>#REF!</v>
      </c>
      <c r="BH3" s="1" t="e">
        <f>AN3/VLOOKUP(A3,'[94]geoMap (154)'!$A:$B,2,0)*VLOOKUP(A3,'[94]geoMap (154)'!$A:$C,3,0)</f>
        <v>#REF!</v>
      </c>
      <c r="BI3" s="1">
        <f>AQ3/100*0</f>
        <v>0</v>
      </c>
      <c r="BJ3" s="1">
        <f>AR3/100*0</f>
        <v>0</v>
      </c>
      <c r="BK3" s="1">
        <f>AR3/100*0</f>
        <v>0</v>
      </c>
      <c r="BL3" s="1">
        <f>AR3/100*0</f>
        <v>0</v>
      </c>
      <c r="BM3" s="1">
        <f>AR3/100*0</f>
        <v>0</v>
      </c>
      <c r="BN3" s="1">
        <f>AR3/100*0</f>
        <v>0</v>
      </c>
      <c r="BO3" s="1">
        <f>AR3/100*0</f>
        <v>0</v>
      </c>
      <c r="BP3" s="1">
        <f>AR3/100*0</f>
        <v>0</v>
      </c>
    </row>
    <row r="4" spans="1:68" x14ac:dyDescent="0.2">
      <c r="A4" s="1" t="s">
        <v>7</v>
      </c>
      <c r="B4" s="1">
        <f>VLOOKUP(A4,[3]geoMap!$A:$B,2,0)*Notes!$C$6</f>
        <v>25000</v>
      </c>
      <c r="C4" s="1">
        <f>B4/VLOOKUP(A4,'[4]geoMap (1)'!$A:$B,2,0)*VLOOKUP(A4,'[4]geoMap (1)'!$A:$C,3,0)</f>
        <v>3089.8876404494381</v>
      </c>
      <c r="D4" s="1">
        <f>C4/VLOOKUP(A4,'[5]geoMap (2)'!$A:$B,2,0)*VLOOKUP(A4,'[5]geoMap (2)'!$A:$C,3,0)</f>
        <v>4832.9011812157878</v>
      </c>
      <c r="E4" s="1">
        <f>D4/VLOOKUP(A4,'[6]geoMap (3)'!$A:$B,2,0)*VLOOKUP(A4,'[6]geoMap (3)'!$A:$C,3,0)</f>
        <v>2838.3705349997481</v>
      </c>
      <c r="F4" s="1">
        <f>E4/VLOOKUP(A4,'[7]geoMap (4)'!$A:$B,2,0)*VLOOKUP(A4,'[7]geoMap (4)'!$A:$C,3,0)</f>
        <v>3332.0001932605742</v>
      </c>
      <c r="G4" s="1">
        <f>F4/VLOOKUP(A4,'[8]geoMap (5)'!$A:$B,2,0)*VLOOKUP(A4,'[8]geoMap (5)'!$A:$C,3,0)</f>
        <v>2042.1936668371261</v>
      </c>
      <c r="H4" s="1">
        <f>G4/VLOOKUP(A4,'[9]geoMap (6)'!$A:$B,2,0)*VLOOKUP(A4,'[9]geoMap (6)'!$A:$C,3,0)</f>
        <v>2707.0939304585154</v>
      </c>
      <c r="I4" s="1">
        <f>H4/VLOOKUP(A4,'[10]geoMap (7)'!$A:$B,2,0)*VLOOKUP(A4,'[10]geoMap (7)'!$A:$C,3,0)</f>
        <v>1052.7587507338671</v>
      </c>
      <c r="J4" s="1">
        <f>I4/VLOOKUP(A4,'[11]geoMap (8)'!$A:$B,2,0)*VLOOKUP(A4,'[11]geoMap (8)'!$A:$C,3,0)</f>
        <v>701.83916715591158</v>
      </c>
      <c r="K4" s="1">
        <f>J4/VLOOKUP(A4,'[12]geoMap (9)'!$A:$B,2,0)*VLOOKUP(A4,'[12]geoMap (9)'!$A:$C,3,0)</f>
        <v>1145.1060095701714</v>
      </c>
      <c r="L4" s="1">
        <f>K4/VLOOKUP(A4,'[13]geoMap (10)'!$A:$B,2,0)*VLOOKUP(A4,'[13]geoMap (10)'!$A:$C,3,0)</f>
        <v>538.87341626831596</v>
      </c>
      <c r="M4" s="1">
        <f>L4/VLOOKUP(A4,'[14]geoMap (11)'!$A:$B,2,0)*VLOOKUP(A4,'[14]geoMap (11)'!$A:$C,3,0)</f>
        <v>374.47135706781279</v>
      </c>
      <c r="N4" s="1">
        <f>M4/VLOOKUP(A4,'[15]geoMap (12)'!$A:$B,2,0)*VLOOKUP(A4,'[15]geoMap (12)'!$A:$C,3,0)</f>
        <v>239.41611353515901</v>
      </c>
      <c r="O4" s="1">
        <f>N4/VLOOKUP(A4,'[16]geoMap (13)'!$A:$B,2,0)*VLOOKUP(A4,'[16]geoMap (13)'!$A:$C,3,0)</f>
        <v>269.97987270986022</v>
      </c>
      <c r="P4" s="1">
        <f>O4/VLOOKUP(A4,'[17]geoMap (14)'!$A:$B,2,0)*VLOOKUP(A4,'[17]geoMap (14)'!$A:$C,3,0)</f>
        <v>165.47153488668852</v>
      </c>
      <c r="Q4" s="1">
        <f>P4/VLOOKUP(A4,'[18]geoMap (15)'!$A:$B,2,0)*VLOOKUP(A4,'[18]geoMap (15)'!$A:$C,3,0)</f>
        <v>321.20945007416003</v>
      </c>
      <c r="R4" s="1">
        <f>Q4/VLOOKUP(A4,'[19]geoMap (16)'!$A:$B,2,0)*VLOOKUP(A4,'[19]geoMap (16)'!$A:$C,3,0)</f>
        <v>137.66119288892574</v>
      </c>
      <c r="S4" s="1">
        <f>R4/VLOOKUP(A4,'[20]geoMap (17)'!$A:$B,2,0)*VLOOKUP(A4,'[20]geoMap (17)'!$A:$C,3,0)</f>
        <v>127.07187035900837</v>
      </c>
      <c r="T4" s="1">
        <f>S4/VLOOKUP(A4,'[21]geoMap (18)'!$A:$B,2,0)*VLOOKUP(A4,'[21]geoMap (18)'!$A:$C,3,0)</f>
        <v>51.902594935369621</v>
      </c>
      <c r="U4" s="1">
        <f>T4/VLOOKUP(A4,'[22]geoMap (19)'!$A:$B,2,0)*VLOOKUP(A4,'[22]geoMap (19)'!$A:$C,3,0)</f>
        <v>74.689100028946527</v>
      </c>
      <c r="V4" s="1" t="e">
        <f>Q4/VLOOKUP(A4,'[95]geoMap (96)'!$A:$B,2,0)*VLOOKUP(A4,'[95]geoMap (96)'!$A:$C,3,0)</f>
        <v>#REF!</v>
      </c>
      <c r="W4" s="1">
        <f>Q4/VLOOKUP(A4,'[96]geoMap (97)'!$A:$B,2,0)*VLOOKUP(A4,'[96]geoMap (97)'!$A:$C,3,0)</f>
        <v>16.905760530218952</v>
      </c>
      <c r="X4" s="1">
        <f>W4/VLOOKUP(A4,'[25]geoMap (22)'!$A:$B,2,0)*VLOOKUP(A4,'[25]geoMap (22)'!$A:$C,3,0)</f>
        <v>25.358640795328423</v>
      </c>
      <c r="Y4" s="1">
        <f>X4/VLOOKUP(A4,'[26]geoMap (23)'!$A:$B,2,0)*VLOOKUP(A4,'[26]geoMap (23)'!$A:$C,3,0)</f>
        <v>30.993894305401405</v>
      </c>
      <c r="Z4" s="1">
        <f>Y4/VLOOKUP(A4,'[27]geoMap (24)'!$A:$B,2,0)*VLOOKUP(A4,'[27]geoMap (24)'!$A:$C,3,0)</f>
        <v>65.862025398977991</v>
      </c>
      <c r="AA4" s="1">
        <f>Z4/VLOOKUP(A4,'[28]geoMap (25)'!$A:$B,2,0)*VLOOKUP(A4,'[28]geoMap (25)'!$A:$C,3,0)</f>
        <v>17.507627004791615</v>
      </c>
      <c r="AB4" s="1">
        <f>AA4*VLOOKUP(A4,'[29]geoMap (26)'!$A:$B,2,0)*VLOOKUP(A4,'[29]geoMap (26)'!$A:$C,3,0)</f>
        <v>4.3699037003959873</v>
      </c>
      <c r="AC4" s="1">
        <f>AB4/VLOOKUP(A4,'[30]geoMap (27)'!$A:$B,2,0)*VLOOKUP(A4,'[30]geoMap (27)'!$A:$C,3,0)</f>
        <v>12.437418224203963</v>
      </c>
      <c r="AD4" s="1" t="e">
        <f>AB4/VLOOKUP(A4,'[97]geoMap (109)'!$A:$B,2,0)*VLOOKUP(A4,'[97]geoMap (109)'!$A:$C,4,0)</f>
        <v>#REF!</v>
      </c>
      <c r="AE4" s="1">
        <f>AB4/VLOOKUP(A4,'[98]geoMap (110)'!$A:$B,2,0)*VLOOKUP(A4,'[98]geoMap (110)'!$A:$C,3,0)</f>
        <v>14.629677605673521</v>
      </c>
      <c r="AF4" s="1">
        <f>AE4/VLOOKUP(A4,'[33]geoMap (30)'!$A:$B,2,0)*VLOOKUP(A4,'[33]geoMap (30)'!$A:$C,3,0)</f>
        <v>2.5817078127659157</v>
      </c>
      <c r="AG4" s="1">
        <f>AF4/VLOOKUP(A4,'[34]geoMap (31)'!$A:$B,2,0)*VLOOKUP(A4,'[34]geoMap (31)'!$A:$C,3,0)</f>
        <v>6.0239848964538032</v>
      </c>
      <c r="AH4" s="1">
        <f>AG4/VLOOKUP(A4,'[35]geoMap (32)'!$A:$B,2,0)*VLOOKUP(A4,'[35]geoMap (32)'!$A:$C,3,0)</f>
        <v>4.3621959595010296</v>
      </c>
      <c r="AI4" s="1">
        <f>AH4/VLOOKUP(A4,'[36]geoMap (33)'!$A:$B,2,0)*VLOOKUP(A4,'[36]geoMap (33)'!$A:$C,3,0)</f>
        <v>2.6736039751780503</v>
      </c>
      <c r="AJ4" s="1">
        <f>AI4/VLOOKUP(A4,'[37]geoMap (34)'!$A:$B,2,0)*VLOOKUP(A4,'[37]geoMap (34)'!$A:$C,3,0)</f>
        <v>7.6094882370452197</v>
      </c>
      <c r="AK4" s="1">
        <f>AJ4/VLOOKUP(A4,'[38]geoMap (35)'!$A:$B,2,0)*VLOOKUP(A4,'[38]geoMap (35)'!$A:$C,3,0)</f>
        <v>2.6736039751780503</v>
      </c>
      <c r="AL4" s="1">
        <f>AK4/VLOOKUP(A4,'[39]geoMap (36)'!$A:$B,2,0)*VLOOKUP(A4,'[39]geoMap (36)'!$A:$C,3,0)</f>
        <v>2.016929314608003</v>
      </c>
      <c r="AM4" s="1">
        <f>AL4/VLOOKUP(A4,'[40]geoMap (37)'!$A:$B,2,0)*VLOOKUP(A4,'[40]geoMap (37)'!$A:$C,3,0)</f>
        <v>3.9152157283567113</v>
      </c>
      <c r="AN4" s="1">
        <f>AM4/VLOOKUP(A4,'[41]geoMap (38)'!$A:$B,2,0)*VLOOKUP(A4,'[41]geoMap (38)'!$A:$C,3,0)</f>
        <v>2.9535837950761157</v>
      </c>
      <c r="AO4" s="1">
        <f>AN4/VLOOKUP(A4,'[42]geoMap (39)'!$A:$B,2,0)*VLOOKUP(A4,'[42]geoMap (39)'!$A:$C,3,0)</f>
        <v>11.111100943381579</v>
      </c>
      <c r="AP4" s="1" t="e">
        <f>AO4/VLOOKUP(A4,'[43]geoMap (40)'!$A:$B,2,0)*VLOOKUP(A4,'[43]geoMap (40)'!$A:$C,3,0)</f>
        <v>#REF!</v>
      </c>
      <c r="AQ4" s="1" t="e">
        <f>AF4/VLOOKUP(A4,'[99]geoMap (126)'!$A:$B,2,0)*VLOOKUP(A4,'[99]geoMap (126)'!$A:$C,3,0)</f>
        <v>#REF!</v>
      </c>
      <c r="AR4" s="1" t="e">
        <f>AA4/VLOOKUP(A4,'[100]geoMap (128)'!$A:$B,2,0)*VLOOKUP(A4,'[100]geoMap (128)'!$A:$C,3,0)</f>
        <v>#REF!</v>
      </c>
      <c r="AS4" s="1">
        <f>AA4/VLOOKUP(A4,'[101]geoMap (129)'!$A:$B,2,0)*VLOOKUP(A4,'[101]geoMap (129)'!$A:$C,3,0)</f>
        <v>4.6539261658306827</v>
      </c>
      <c r="AT4" s="1">
        <f>AS4/VLOOKUP(A4,'[47]geoMap (44)'!$A:$B,2,0)*VLOOKUP(A4,'[47]geoMap (44)'!$A:$C,3,0)</f>
        <v>2.090894364358713</v>
      </c>
      <c r="AU4" s="1" t="e">
        <f>AN4/VLOOKUP(A4,'[85]geoMap (133)'!$A:$B,2,0)*VLOOKUP(A4,'[85]geoMap (133)'!$A:$C,3,0)</f>
        <v>#REF!</v>
      </c>
      <c r="AV4" s="1">
        <f>AN4/VLOOKUP(A4,'[86]geoMap (135)'!$A:$B,2,0)*VLOOKUP(A4,'[86]geoMap (135)'!$A:$C,3,0)</f>
        <v>7.5949297587671536</v>
      </c>
      <c r="AW4" s="1" t="e">
        <f>AV4/VLOOKUP(A4,'[50]geoMap (47)'!$A:$B,2,0)*VLOOKUP(A4,'[50]geoMap (47)'!$A:$C,3,0)</f>
        <v>#REF!</v>
      </c>
      <c r="AX4" s="1" t="e">
        <f>AN4/VLOOKUP(A4,'[70]geoMap (138)'!$A:$B,2,0)*VLOOKUP(A4,'[70]geoMap (138)'!$A:$C,3,0)</f>
        <v>#REF!</v>
      </c>
      <c r="AY4" s="1" t="e">
        <f>AN4/VLOOKUP(A4,'[88]geoMap (140)'!$A:$B,2,0)*VLOOKUP(A4,'[88]geoMap (140)'!$A:$C,3,0)</f>
        <v>#REF!</v>
      </c>
      <c r="AZ4" s="1" t="e">
        <f>AN4/VLOOKUP(A4,'[89]geoMap (141)'!$A:$B,2,0)*VLOOKUP(A4,'[89]geoMap (141)'!$A:$C,3,0)</f>
        <v>#REF!</v>
      </c>
      <c r="BA4" s="1" t="e">
        <f>AN4/VLOOKUP(A4,'[71]geoMap (143)'!$A:$B,2,0)*VLOOKUP(A4,'[71]geoMap (143)'!$A:$C,3,0)</f>
        <v>#REF!</v>
      </c>
      <c r="BB4" s="1" t="e">
        <f>AN4/VLOOKUP(A4,'[90]geoMap (144)'!$A:$B,2,0)*VLOOKUP(A4,'[90]geoMap (144)'!$A:$C,3,0)</f>
        <v>#REF!</v>
      </c>
      <c r="BC4" s="1" t="e">
        <f>AN4/VLOOKUP(A4,'[72]geoMap (146)'!$A:$B,2,0)*VLOOKUP(A4,'[72]geoMap (146)'!$A:$C,3,0)</f>
        <v>#REF!</v>
      </c>
      <c r="BD4" s="1" t="e">
        <f>AN4/VLOOKUP(A4,'[73]geoMap (147)'!$A:$B,2,0)*VLOOKUP(A4,'[73]geoMap (147)'!$A:$C,3,0)</f>
        <v>#REF!</v>
      </c>
      <c r="BE4" s="1" t="e">
        <f>AN4/VLOOKUP(A4,'[91]geoMap (148)'!$A:$B,2,0)*VLOOKUP(A4,'[91]geoMap (148)'!$A:$C,3,0)</f>
        <v>#REF!</v>
      </c>
      <c r="BF4" s="1" t="e">
        <f>AN4/VLOOKUP(A4,'[75]geoMap (150)'!$A:$B,2,0)*VLOOKUP(A4,'[75]geoMap (150)'!$A:$C,3,0)</f>
        <v>#REF!</v>
      </c>
      <c r="BG4" s="1" t="e">
        <f>AO4/VLOOKUP(A4,'[102]geoMap (153)'!$A:$B,2,0)*VLOOKUP(A4,'[102]geoMap (153)'!$A:$C,3,0)</f>
        <v>#REF!</v>
      </c>
      <c r="BH4" s="1" t="e">
        <f>AS4/VLOOKUP(A4,'[103]geoMap (155)'!$A:$B,2,0)*VLOOKUP(A4,'[103]geoMap (155)'!$A:$C,3,0)</f>
        <v>#REF!</v>
      </c>
      <c r="BI4" s="1" t="e">
        <f>AS4/VLOOKUP(A4,'[104]geoMap (157)'!$A:$B,2,0)*VLOOKUP(A4,'[104]geoMap (157)'!$A:$C,3,0)</f>
        <v>#REF!</v>
      </c>
      <c r="BJ4" s="1" t="e">
        <f>AS4/VLOOKUP(A4,'[105]geoMap (159)'!$A:$B,2,0)*VLOOKUP(A4,'[105]geoMap (159)'!$A:$C,3,0)</f>
        <v>#REF!</v>
      </c>
      <c r="BK4" s="1" t="e">
        <f>AS4/VLOOKUP(A4,'[106]geoMap (161)'!$A:$B,2,0)*VLOOKUP(A4,'[106]geoMap (161)'!$A:$C,3,0)</f>
        <v>#REF!</v>
      </c>
      <c r="BL4" s="1" t="e">
        <f>AN4/VLOOKUP(A4,'[79]geoMap (162)'!$A:$B,2,0)*VLOOKUP(A4,'[79]geoMap (162)'!$A:$C,3,0)</f>
        <v>#REF!</v>
      </c>
      <c r="BM4" s="1" t="e">
        <f>AN4/VLOOKUP(A4,'[80]geoMap (164)'!$A:$B,2,0)*VLOOKUP(A4,'[80]geoMap (164)'!$A:$C,3,0)</f>
        <v>#REF!</v>
      </c>
      <c r="BN4" s="1" t="e">
        <f>AN4/VLOOKUP(A4,'[81]geoMap (166)'!$A:$B,2,0)*VLOOKUP(A4,'[81]geoMap (166)'!$A:$C,3,0)</f>
        <v>#REF!</v>
      </c>
      <c r="BO4" s="1" t="e">
        <f>AS4/VLOOKUP(A4,'[107]geoMap (169)'!$A:$B,2,0)*VLOOKUP(A4,'[107]geoMap (169)'!$A:$C,3,0)</f>
        <v>#REF!</v>
      </c>
      <c r="BP4" s="1" t="e">
        <f>AS4/VLOOKUP(A4,'[108]geoMap (171)'!$A:$B,2,0)*VLOOKUP(A4,'[108]geoMap (171)'!$A:$C,3,0)</f>
        <v>#REF!</v>
      </c>
    </row>
    <row r="5" spans="1:68" x14ac:dyDescent="0.2">
      <c r="A5" s="1" t="s">
        <v>11</v>
      </c>
      <c r="B5" s="1">
        <f>VLOOKUP(A5,[3]geoMap!$A:$B,2,0)*Notes!$C$6</f>
        <v>21000</v>
      </c>
      <c r="C5" s="1">
        <f>B5/VLOOKUP(A5,'[4]geoMap (1)'!$A:$B,2,0)*VLOOKUP(A5,'[4]geoMap (1)'!$A:$C,3,0)</f>
        <v>17888.888888888887</v>
      </c>
      <c r="D5" s="1">
        <f>C5/VLOOKUP(A5,'[5]geoMap (2)'!$A:$B,2,0)*VLOOKUP(A5,'[5]geoMap (2)'!$A:$C,3,0)</f>
        <v>15238.683127572016</v>
      </c>
      <c r="E5" s="1">
        <f>D5/VLOOKUP(A5,'[6]geoMap (3)'!$A:$B,2,0)*VLOOKUP(A5,'[6]geoMap (3)'!$A:$C,3,0)</f>
        <v>4812.2157244964264</v>
      </c>
      <c r="F5" s="1">
        <f>E5/VLOOKUP(A5,'[7]geoMap (4)'!$A:$B,2,0)*VLOOKUP(A5,'[7]geoMap (4)'!$A:$C,3,0)</f>
        <v>5649.1228070175439</v>
      </c>
      <c r="G5" s="1">
        <f>F5/VLOOKUP(A5,'[8]geoMap (5)'!$A:$B,2,0)*VLOOKUP(A5,'[8]geoMap (5)'!$A:$C,3,0)</f>
        <v>8473.6842105263149</v>
      </c>
      <c r="H5" s="1">
        <f>G5/VLOOKUP(A5,'[9]geoMap (6)'!$A:$B,2,0)*VLOOKUP(A5,'[9]geoMap (6)'!$A:$C,3,0)</f>
        <v>6657.8947368421041</v>
      </c>
      <c r="I5" s="1">
        <f>H5/VLOOKUP(A5,'[10]geoMap (7)'!$A:$B,2,0)*VLOOKUP(A5,'[10]geoMap (7)'!$A:$C,3,0)</f>
        <v>2853.3834586466164</v>
      </c>
      <c r="J5" s="1">
        <f>I5/VLOOKUP(A5,'[11]geoMap (8)'!$A:$B,2,0)*VLOOKUP(A5,'[11]geoMap (8)'!$A:$C,3,0)</f>
        <v>1605.0281954887216</v>
      </c>
      <c r="K5" s="1">
        <f>J5/VLOOKUP(A5,'[12]geoMap (9)'!$A:$B,2,0)*VLOOKUP(A5,'[12]geoMap (9)'!$A:$C,3,0)</f>
        <v>2407.5422932330821</v>
      </c>
      <c r="L5" s="1">
        <f>K5/VLOOKUP(A5,'[13]geoMap (10)'!$A:$B,2,0)*VLOOKUP(A5,'[13]geoMap (10)'!$A:$C,3,0)</f>
        <v>2313.1288699690394</v>
      </c>
      <c r="M5" s="1">
        <f>L5/VLOOKUP(A5,'[14]geoMap (11)'!$A:$B,2,0)*VLOOKUP(A5,'[14]geoMap (11)'!$A:$C,3,0)</f>
        <v>1607.428536758146</v>
      </c>
      <c r="N5" s="1">
        <f>M5/VLOOKUP(A5,'[15]geoMap (12)'!$A:$B,2,0)*VLOOKUP(A5,'[15]geoMap (12)'!$A:$C,3,0)</f>
        <v>1607.428536758146</v>
      </c>
      <c r="O5" s="1">
        <f>N5/VLOOKUP(A5,'[16]geoMap (13)'!$A:$B,2,0)*VLOOKUP(A5,'[16]geoMap (13)'!$A:$C,3,0)</f>
        <v>1163.9999748938299</v>
      </c>
      <c r="P5" s="1">
        <f>O5/VLOOKUP(A5,'[17]geoMap (14)'!$A:$B,2,0)*VLOOKUP(A5,'[17]geoMap (14)'!$A:$C,3,0)</f>
        <v>273.03703114793541</v>
      </c>
      <c r="Q5" s="1">
        <f>P5/VLOOKUP(A5,'[18]geoMap (15)'!$A:$B,2,0)*VLOOKUP(A5,'[18]geoMap (15)'!$A:$C,3,0)</f>
        <v>1333.0631520752138</v>
      </c>
      <c r="R5" s="1">
        <f>Q5/VLOOKUP(A5,'[19]geoMap (16)'!$A:$B,2,0)*VLOOKUP(A5,'[19]geoMap (16)'!$A:$C,3,0)</f>
        <v>1767.0837132159809</v>
      </c>
      <c r="S5" s="1">
        <f>R5/VLOOKUP(A5,'[20]geoMap (17)'!$A:$B,2,0)*VLOOKUP(A5,'[20]geoMap (17)'!$A:$C,3,0)</f>
        <v>721.76658708821753</v>
      </c>
      <c r="T5" s="1">
        <f>S5/VLOOKUP(A5,'[21]geoMap (18)'!$A:$B,2,0)*VLOOKUP(A5,'[21]geoMap (18)'!$A:$C,3,0)</f>
        <v>405.9937052371223</v>
      </c>
      <c r="U5" s="1">
        <f>T5/VLOOKUP(A5,'[22]geoMap (19)'!$A:$B,2,0)*VLOOKUP(A5,'[22]geoMap (19)'!$A:$C,3,0)</f>
        <v>345.84648964643753</v>
      </c>
      <c r="V5" s="1">
        <f>U5/VLOOKUP(A5,'[23]geoMap (20)'!$A:$B,2,0)*VLOOKUP(A5,'[23]geoMap (20)'!$A:$C,3,0)</f>
        <v>109.21468094098027</v>
      </c>
      <c r="W5" s="1">
        <f>V5/VLOOKUP(A5,'[24]geoMap (21)'!$A:$B,2,0)*VLOOKUP(A5,'[24]geoMap (21)'!$A:$C,3,0)</f>
        <v>157.16258964677647</v>
      </c>
      <c r="X5" s="1">
        <f>W5/VLOOKUP(A5,'[25]geoMap (22)'!$A:$B,2,0)*VLOOKUP(A5,'[25]geoMap (22)'!$A:$C,3,0)</f>
        <v>80.962546181672721</v>
      </c>
      <c r="Y5" s="1">
        <f>X5/VLOOKUP(A5,'[26]geoMap (23)'!$A:$B,2,0)*VLOOKUP(A5,'[26]geoMap (23)'!$A:$C,3,0)</f>
        <v>111.80542091754805</v>
      </c>
      <c r="Z5" s="1">
        <f>Y5/VLOOKUP(A5,'[27]geoMap (24)'!$A:$B,2,0)*VLOOKUP(A5,'[27]geoMap (24)'!$A:$C,3,0)</f>
        <v>136.6510700103365</v>
      </c>
      <c r="AA5" s="1">
        <f>Z5/VLOOKUP(A5,'[28]geoMap (25)'!$A:$B,2,0)*VLOOKUP(A5,'[28]geoMap (25)'!$A:$C,3,0)</f>
        <v>98.954223110933341</v>
      </c>
      <c r="AB5" s="1">
        <f>AA5*VLOOKUP(A5,'[29]geoMap (26)'!$A:$B,2,0)*VLOOKUP(A5,'[29]geoMap (26)'!$A:$C,3,0)</f>
        <v>23.937026570534773</v>
      </c>
      <c r="AC5" s="1">
        <f>AB5/VLOOKUP(A5,'[30]geoMap (27)'!$A:$B,2,0)*VLOOKUP(A5,'[30]geoMap (27)'!$A:$C,3,0)</f>
        <v>18.057756886543778</v>
      </c>
      <c r="AD5" s="1">
        <f>AC5/VLOOKUP(A5,'[31]geoMap (28)'!$A:$B,2,0)*VLOOKUP(A5,'[31]geoMap (28)'!$A:$C,3,0)</f>
        <v>36.662718527225245</v>
      </c>
      <c r="AE5" s="1">
        <f>AD5/VLOOKUP(A5,'[32]geoMap (29)'!$A:$B,2,0)*VLOOKUP(A5,'[32]geoMap (29)'!$A:$C,3,0)</f>
        <v>7.5092315055762562</v>
      </c>
      <c r="AF5" s="1">
        <f>AE5/VLOOKUP(A5,'[33]geoMap (30)'!$A:$B,2,0)*VLOOKUP(A5,'[33]geoMap (30)'!$A:$C,3,0)</f>
        <v>12.785988779764978</v>
      </c>
      <c r="AG5" s="1">
        <f>AF5/VLOOKUP(A5,'[34]geoMap (31)'!$A:$B,2,0)*VLOOKUP(A5,'[34]geoMap (31)'!$A:$C,3,0)</f>
        <v>5.4797094770421335</v>
      </c>
      <c r="AH5" s="1">
        <f>AG5/VLOOKUP(A5,'[35]geoMap (32)'!$A:$B,2,0)*VLOOKUP(A5,'[35]geoMap (32)'!$A:$C,3,0)</f>
        <v>1.9253033297715605</v>
      </c>
      <c r="AI5" s="1">
        <f>AH5/VLOOKUP(A5,'[36]geoMap (33)'!$A:$B,2,0)*VLOOKUP(A5,'[36]geoMap (33)'!$A:$C,3,0)</f>
        <v>15.577454213606261</v>
      </c>
      <c r="AJ5" s="1">
        <f>AI5/VLOOKUP(A5,'[37]geoMap (34)'!$A:$B,2,0)*VLOOKUP(A5,'[37]geoMap (34)'!$A:$C,3,0)</f>
        <v>8.0247491403426192</v>
      </c>
      <c r="AK5" s="1">
        <f>AJ5/VLOOKUP(A5,'[38]geoMap (35)'!$A:$B,2,0)*VLOOKUP(A5,'[38]geoMap (35)'!$A:$C,3,0)</f>
        <v>11.547809738541819</v>
      </c>
      <c r="AL5" s="1">
        <f>AK5/VLOOKUP(A5,'[39]geoMap (36)'!$A:$B,2,0)*VLOOKUP(A5,'[39]geoMap (36)'!$A:$C,3,0)</f>
        <v>1.0041573685688538</v>
      </c>
      <c r="AM5" s="1">
        <f>AL5/VLOOKUP(A5,'[40]geoMap (37)'!$A:$B,2,0)*VLOOKUP(A5,'[40]geoMap (37)'!$A:$C,3,0)</f>
        <v>6.7201300819607912</v>
      </c>
      <c r="AN5" s="1">
        <f>AM5/VLOOKUP(A5,'[41]geoMap (38)'!$A:$B,2,0)*VLOOKUP(A5,'[41]geoMap (38)'!$A:$C,3,0)</f>
        <v>2.2400433606535972</v>
      </c>
      <c r="AO5" s="1">
        <f>AN5/VLOOKUP(A5,'[42]geoMap (39)'!$A:$B,2,0)*VLOOKUP(A5,'[42]geoMap (39)'!$A:$C,3,0)</f>
        <v>4.7600921413888946</v>
      </c>
      <c r="AP5" s="1">
        <f>AO5/VLOOKUP(A5,'[43]geoMap (40)'!$A:$B,2,0)*VLOOKUP(A5,'[43]geoMap (40)'!$A:$C,3,0)</f>
        <v>8.4623860291358124</v>
      </c>
      <c r="AQ5" s="1">
        <f>AP5/VLOOKUP(A5,'[44]geoMap (41)'!$A:$B,2,0)*VLOOKUP(A5,'[44]geoMap (41)'!$A:$C,3,0)</f>
        <v>2.6723324302534142</v>
      </c>
      <c r="AR5" s="1">
        <f>AQ5/VLOOKUP(A5,'[45]geoMap (42)'!$A:$B,2,0)*VLOOKUP(A5,'[45]geoMap (42)'!$A:$C,3,0)</f>
        <v>2.0996897666276824</v>
      </c>
      <c r="AS5" s="1">
        <f>AR5/VLOOKUP(A5,'[46]geoMap (43)'!$A:$B,2,0)*VLOOKUP(A5,'[46]geoMap (43)'!$A:$C,3,0)</f>
        <v>1.9381751691947835</v>
      </c>
      <c r="AT5" s="1">
        <f>AS5/VLOOKUP(A5,'[47]geoMap (44)'!$A:$B,2,0)*VLOOKUP(A5,'[47]geoMap (44)'!$A:$C,3,0)</f>
        <v>0.54666479131134915</v>
      </c>
      <c r="AU5" s="1">
        <f>AT5/VLOOKUP(A5,'[48]geoMap (45)'!$A:$B,2,0)*VLOOKUP(A5,'[48]geoMap (45)'!$A:$C,3,0)</f>
        <v>0.66814585604720456</v>
      </c>
      <c r="AV5" s="1">
        <f>AU5/VLOOKUP(A5,'[49]geoMap (46)'!$A:$B,2,0)*VLOOKUP(A5,'[49]geoMap (46)'!$A:$C,3,0)</f>
        <v>0.96147818309231869</v>
      </c>
      <c r="AW5" s="1">
        <f>AV5/VLOOKUP(A5,'[50]geoMap (47)'!$A:$B,2,0)*VLOOKUP(A5,'[50]geoMap (47)'!$A:$C,3,0)</f>
        <v>0.45246032145520881</v>
      </c>
      <c r="AX5" s="1">
        <f>AW5/VLOOKUP(A5,'[51]geoMap (48)'!$A:$B,2,0)*VLOOKUP(A5,'[51]geoMap (48)'!$A:$C,3,0)</f>
        <v>0.28927791043857615</v>
      </c>
      <c r="AY5" s="1">
        <f>AX5/VLOOKUP(A5,'[52]geoMap (49)'!$A:$B,2,0)*VLOOKUP(A5,'[52]geoMap (49)'!$A:$C,3,0)</f>
        <v>0.8678337313157285</v>
      </c>
      <c r="AZ5" s="1">
        <f>AY5/VLOOKUP(A5,'[53]geoMap (50)'!$A:$B,2,0)*VLOOKUP(A5,'[53]geoMap (50)'!$A:$C,3,0)</f>
        <v>0.15314712905571681</v>
      </c>
      <c r="BA5" s="1">
        <f>AZ5/VLOOKUP(A5,'[54]geoMap (51)'!$A:$B,2,0)*VLOOKUP(A5,'[54]geoMap (51)'!$A:$C,3,0)</f>
        <v>0.41406446003953057</v>
      </c>
      <c r="BB5" s="1">
        <f>BA5/VLOOKUP(A5,'[55]geoMap (52)'!$A:$B,2,0)*VLOOKUP(A5,'[55]geoMap (52)'!$A:$C,3,0)</f>
        <v>0.23291125877223595</v>
      </c>
      <c r="BC5" s="1">
        <f>BB5/VLOOKUP(A5,'[56]geoMap (53)'!$A:$B,2,0)*VLOOKUP(A5,'[56]geoMap (53)'!$A:$C,3,0)</f>
        <v>0.10960529824575808</v>
      </c>
      <c r="BD5" s="1" t="e">
        <f>BC5/VLOOKUP(A5,'[57]geoMap (54)'!$A:$B,2,0)*VLOOKUP(A5,'[57]geoMap (54)'!$A:$C,3,0)</f>
        <v>#REF!</v>
      </c>
      <c r="BE5" s="1">
        <f>AN5/VLOOKUP(A5,'[91]geoMap (148)'!$A:$B,2,0)*VLOOKUP(A5,'[91]geoMap (148)'!$A:$C,3,0)</f>
        <v>9.3335140027233213E-2</v>
      </c>
      <c r="BF5" s="1" t="e">
        <f>AN5/VLOOKUP(A5,'[75]geoMap (150)'!$A:$B,2,0)*VLOOKUP(A5,'[75]geoMap (150)'!$A:$C,3,0)</f>
        <v>#REF!</v>
      </c>
      <c r="BG5" s="1" t="e">
        <f>AN5/VLOOKUP(A5,'[93]geoMap (152)'!$A:$B,2,0)*VLOOKUP(A5,'[93]geoMap (152)'!$A:$C,3,0)</f>
        <v>#REF!</v>
      </c>
      <c r="BH5" s="1">
        <f>AN5/VLOOKUP(A5,'[94]geoMap (154)'!$A:$B,2,0)*VLOOKUP(A5,'[94]geoMap (154)'!$A:$C,3,0)</f>
        <v>0.19478637918726932</v>
      </c>
      <c r="BI5" s="1">
        <f>AN5/VLOOKUP(A5,'[76]geoMap (156)'!$A:$B,2,0)*VLOOKUP(A5,'[76]geoMap (156)'!$A:$C,3,0)</f>
        <v>0.22154274995475134</v>
      </c>
      <c r="BJ5" s="1">
        <f>BI5/VLOOKUP(A5,'[63]geoMap (60)'!$A:$B,2,0)*VLOOKUP(A5,'[63]geoMap (60)'!$A:$C,3,0)</f>
        <v>0.22154274995475134</v>
      </c>
      <c r="BK5" s="1" t="e">
        <f>AN5/VLOOKUP(A5,'[78]geoMap (160)'!$A:$B,2,0)*VLOOKUP(A5,'[78]geoMap (160)'!$A:$C,3,0)</f>
        <v>#REF!</v>
      </c>
      <c r="BL5" s="1">
        <f>AN5/VLOOKUP(A5,'[79]geoMap (162)'!$A:$B,2,0)*VLOOKUP(A5,'[79]geoMap (162)'!$A:$C,3,0)</f>
        <v>0.11789701898176828</v>
      </c>
      <c r="BM5" s="1" t="e">
        <f>AN5/VLOOKUP(A5,'[80]geoMap (164)'!$A:$B,2,0)*VLOOKUP(A5,'[80]geoMap (164)'!$A:$C,3,0)</f>
        <v>#REF!</v>
      </c>
      <c r="BN5" s="1" t="e">
        <f>AN5/VLOOKUP(A5,'[81]geoMap (166)'!$A:$B,2,0)*VLOOKUP(A5,'[81]geoMap (166)'!$A:$C,3,0)</f>
        <v>#REF!</v>
      </c>
      <c r="BO5" s="1" t="e">
        <f>AN5/VLOOKUP(A5,'[82]geoMap (168)'!$A:$B,2,0)*VLOOKUP(A5,'[82]geoMap (168)'!$A:$C,3,0)</f>
        <v>#REF!</v>
      </c>
      <c r="BP5" s="1" t="e">
        <f>AN5/VLOOKUP(A5,'[83]geoMap (170)'!$A:$B,2,0)*VLOOKUP(A5,'[83]geoMap (170)'!$A:$C,3,0)</f>
        <v>#REF!</v>
      </c>
    </row>
    <row r="6" spans="1:68" x14ac:dyDescent="0.2">
      <c r="A6" s="1" t="s">
        <v>16</v>
      </c>
      <c r="B6" s="1">
        <f>VLOOKUP(A6,[3]geoMap!$A:$B,2,0)*Notes!$C$6</f>
        <v>15000</v>
      </c>
      <c r="C6" s="1">
        <f>B6/VLOOKUP(A6,'[4]geoMap (1)'!$A:$B,2,0)*VLOOKUP(A6,'[4]geoMap (1)'!$A:$C,3,0)</f>
        <v>6428.5714285714294</v>
      </c>
      <c r="D6" s="1">
        <f>C6/VLOOKUP(A6,'[5]geoMap (2)'!$A:$B,2,0)*VLOOKUP(A6,'[5]geoMap (2)'!$A:$C,3,0)</f>
        <v>7249.2401215805494</v>
      </c>
      <c r="E6" s="1">
        <f>D6/VLOOKUP(A6,'[6]geoMap (3)'!$A:$B,2,0)*VLOOKUP(A6,'[6]geoMap (3)'!$A:$C,3,0)</f>
        <v>6964.9561952440563</v>
      </c>
      <c r="F6" s="1">
        <f>E6/VLOOKUP(A6,'[7]geoMap (4)'!$A:$B,2,0)*VLOOKUP(A6,'[7]geoMap (4)'!$A:$C,3,0)</f>
        <v>4268.8441196657113</v>
      </c>
      <c r="G6" s="1">
        <f>F6/VLOOKUP(A6,'[8]geoMap (5)'!$A:$B,2,0)*VLOOKUP(A6,'[8]geoMap (5)'!$A:$C,3,0)</f>
        <v>4268.8441196657113</v>
      </c>
      <c r="H6" s="1">
        <f>G6/VLOOKUP(A6,'[9]geoMap (6)'!$A:$B,2,0)*VLOOKUP(A6,'[9]geoMap (6)'!$A:$C,3,0)</f>
        <v>3091.2319487234463</v>
      </c>
      <c r="I6" s="1">
        <f>H6/VLOOKUP(A6,'[10]geoMap (7)'!$A:$B,2,0)*VLOOKUP(A6,'[10]geoMap (7)'!$A:$C,3,0)</f>
        <v>1664.5095108510861</v>
      </c>
      <c r="J6" s="1">
        <f>I6/VLOOKUP(A6,'[11]geoMap (8)'!$A:$B,2,0)*VLOOKUP(A6,'[11]geoMap (8)'!$A:$C,3,0)</f>
        <v>857.47459649904431</v>
      </c>
      <c r="K6" s="1">
        <f>J6/VLOOKUP(A6,'[12]geoMap (9)'!$A:$B,2,0)*VLOOKUP(A6,'[12]geoMap (9)'!$A:$C,3,0)</f>
        <v>1233.9268583766736</v>
      </c>
      <c r="L6" s="1">
        <f>K6/VLOOKUP(A6,'[13]geoMap (10)'!$A:$B,2,0)*VLOOKUP(A6,'[13]geoMap (10)'!$A:$C,3,0)</f>
        <v>893.5332422727638</v>
      </c>
      <c r="M6" s="1">
        <f>L6/VLOOKUP(A6,'[14]geoMap (11)'!$A:$B,2,0)*VLOOKUP(A6,'[14]geoMap (11)'!$A:$C,3,0)</f>
        <v>702.06183321431433</v>
      </c>
      <c r="N6" s="1">
        <f>M6/VLOOKUP(A6,'[15]geoMap (12)'!$A:$B,2,0)*VLOOKUP(A6,'[15]geoMap (12)'!$A:$C,3,0)</f>
        <v>598.05267273811955</v>
      </c>
      <c r="O6" s="1">
        <f>N6/VLOOKUP(A6,'[16]geoMap (13)'!$A:$B,2,0)*VLOOKUP(A6,'[16]geoMap (13)'!$A:$C,3,0)</f>
        <v>469.89852857995106</v>
      </c>
      <c r="P6" s="1">
        <f>O6/VLOOKUP(A6,'[17]geoMap (14)'!$A:$B,2,0)*VLOOKUP(A6,'[17]geoMap (14)'!$A:$C,3,0)</f>
        <v>340.27134828203356</v>
      </c>
      <c r="Q6" s="1">
        <f>P6/VLOOKUP(A6,'[18]geoMap (15)'!$A:$B,2,0)*VLOOKUP(A6,'[18]geoMap (15)'!$A:$C,3,0)</f>
        <v>383.71024380739954</v>
      </c>
      <c r="R6" s="1">
        <f>Q6/VLOOKUP(A6,'[19]geoMap (16)'!$A:$B,2,0)*VLOOKUP(A6,'[19]geoMap (16)'!$A:$C,3,0)</f>
        <v>235.17724620453518</v>
      </c>
      <c r="S6" s="1">
        <f>R6/VLOOKUP(A6,'[20]geoMap (17)'!$A:$B,2,0)*VLOOKUP(A6,'[20]geoMap (17)'!$A:$C,3,0)</f>
        <v>276.07763684880217</v>
      </c>
      <c r="T6" s="1">
        <f>S6/VLOOKUP(A6,'[21]geoMap (18)'!$A:$B,2,0)*VLOOKUP(A6,'[21]geoMap (18)'!$A:$C,3,0)</f>
        <v>287.34611182222272</v>
      </c>
      <c r="U6" s="1">
        <f>T6/VLOOKUP(A6,'[22]geoMap (19)'!$A:$B,2,0)*VLOOKUP(A6,'[22]geoMap (19)'!$A:$C,3,0)</f>
        <v>95.782037274074241</v>
      </c>
      <c r="V6" s="1">
        <f>U6/VLOOKUP(A6,'[23]geoMap (20)'!$A:$B,2,0)*VLOOKUP(A6,'[23]geoMap (20)'!$A:$C,3,0)</f>
        <v>56.252942526043597</v>
      </c>
      <c r="W6" s="1">
        <f>V6/VLOOKUP(A6,'[24]geoMap (21)'!$A:$B,2,0)*VLOOKUP(A6,'[24]geoMap (21)'!$A:$C,3,0)</f>
        <v>84.379413789065381</v>
      </c>
      <c r="X6" s="1">
        <f>W6/VLOOKUP(A6,'[25]geoMap (22)'!$A:$B,2,0)*VLOOKUP(A6,'[25]geoMap (22)'!$A:$C,3,0)</f>
        <v>126.56912068359807</v>
      </c>
      <c r="Y6" s="1">
        <f>X6/VLOOKUP(A6,'[26]geoMap (23)'!$A:$B,2,0)*VLOOKUP(A6,'[26]geoMap (23)'!$A:$C,3,0)</f>
        <v>62.340014665055762</v>
      </c>
      <c r="Z6" s="1">
        <f>Y6/VLOOKUP(A6,'[27]geoMap (24)'!$A:$B,2,0)*VLOOKUP(A6,'[27]geoMap (24)'!$A:$C,3,0)</f>
        <v>115.77431294938928</v>
      </c>
      <c r="AA6" s="1">
        <f>Z6/VLOOKUP(A6,'[28]geoMap (25)'!$A:$B,2,0)*VLOOKUP(A6,'[28]geoMap (25)'!$A:$C,3,0)</f>
        <v>77.182875299592865</v>
      </c>
      <c r="AB6" s="1">
        <f>AA6*VLOOKUP(A6,'[29]geoMap (26)'!$A:$B,2,0)*VLOOKUP(A6,'[29]geoMap (26)'!$A:$C,3,0)</f>
        <v>17.065133728739983</v>
      </c>
      <c r="AC6" s="1">
        <f>AB6/VLOOKUP(A6,'[30]geoMap (27)'!$A:$B,2,0)*VLOOKUP(A6,'[30]geoMap (27)'!$A:$C,3,0)</f>
        <v>31.692391210517112</v>
      </c>
      <c r="AD6" s="1">
        <f>AC6/VLOOKUP(A6,'[31]geoMap (28)'!$A:$B,2,0)*VLOOKUP(A6,'[31]geoMap (28)'!$A:$C,3,0)</f>
        <v>14.914066452008051</v>
      </c>
      <c r="AE6" s="1">
        <f>AD6/VLOOKUP(A6,'[32]geoMap (29)'!$A:$B,2,0)*VLOOKUP(A6,'[32]geoMap (29)'!$A:$C,3,0)</f>
        <v>23.327129578781822</v>
      </c>
      <c r="AF6" s="1">
        <f>AE6/VLOOKUP(A6,'[33]geoMap (30)'!$A:$B,2,0)*VLOOKUP(A6,'[33]geoMap (30)'!$A:$C,3,0)</f>
        <v>34.990694368172733</v>
      </c>
      <c r="AG6" s="1">
        <f>AF6/VLOOKUP(A6,'[34]geoMap (31)'!$A:$B,2,0)*VLOOKUP(A6,'[34]geoMap (31)'!$A:$C,3,0)</f>
        <v>18.841143121323775</v>
      </c>
      <c r="AH6" s="1">
        <f>AG6/VLOOKUP(A6,'[35]geoMap (32)'!$A:$B,2,0)*VLOOKUP(A6,'[35]geoMap (32)'!$A:$C,3,0)</f>
        <v>17.391824419683481</v>
      </c>
      <c r="AI6" s="1">
        <f>AH6/VLOOKUP(A6,'[36]geoMap (33)'!$A:$B,2,0)*VLOOKUP(A6,'[36]geoMap (33)'!$A:$C,3,0)</f>
        <v>11.119363153568127</v>
      </c>
      <c r="AJ6" s="1">
        <f>AI6/VLOOKUP(A6,'[37]geoMap (34)'!$A:$B,2,0)*VLOOKUP(A6,'[37]geoMap (34)'!$A:$C,3,0)</f>
        <v>18.14211882950589</v>
      </c>
      <c r="AK6" s="1">
        <f>AJ6/VLOOKUP(A6,'[38]geoMap (35)'!$A:$B,2,0)*VLOOKUP(A6,'[38]geoMap (35)'!$A:$C,3,0)</f>
        <v>7.0552684336967353</v>
      </c>
      <c r="AL6" s="1">
        <f>AK6/VLOOKUP(A6,'[39]geoMap (36)'!$A:$B,2,0)*VLOOKUP(A6,'[39]geoMap (36)'!$A:$C,3,0)</f>
        <v>5.7724923548427833</v>
      </c>
      <c r="AM6" s="1">
        <f>AL6/VLOOKUP(A6,'[40]geoMap (37)'!$A:$B,2,0)*VLOOKUP(A6,'[40]geoMap (37)'!$A:$C,3,0)</f>
        <v>16.429401317629459</v>
      </c>
      <c r="AN6" s="1">
        <f>AM6/VLOOKUP(A6,'[41]geoMap (38)'!$A:$B,2,0)*VLOOKUP(A6,'[41]geoMap (38)'!$A:$C,3,0)</f>
        <v>6.0766278846026767</v>
      </c>
      <c r="AO6" s="1">
        <f>AN6/VLOOKUP(A6,'[42]geoMap (39)'!$A:$B,2,0)*VLOOKUP(A6,'[42]geoMap (39)'!$A:$C,3,0)</f>
        <v>8.3915337454036951</v>
      </c>
      <c r="AP6" s="1">
        <f>AO6/VLOOKUP(A6,'[43]geoMap (40)'!$A:$B,2,0)*VLOOKUP(A6,'[43]geoMap (40)'!$A:$C,3,0)</f>
        <v>3.7701093638770229</v>
      </c>
      <c r="AQ6" s="1">
        <f>AP6/VLOOKUP(A6,'[44]geoMap (41)'!$A:$B,2,0)*VLOOKUP(A6,'[44]geoMap (41)'!$A:$C,3,0)</f>
        <v>8.7969218490463863</v>
      </c>
      <c r="AR6" s="1">
        <f>AQ6/VLOOKUP(A6,'[45]geoMap (42)'!$A:$B,2,0)*VLOOKUP(A6,'[45]geoMap (42)'!$A:$C,3,0)</f>
        <v>0.97743576100515406</v>
      </c>
      <c r="AS6" s="1">
        <f>AR6/VLOOKUP(A6,'[46]geoMap (43)'!$A:$B,2,0)*VLOOKUP(A6,'[46]geoMap (43)'!$A:$C,3,0)</f>
        <v>3.0952132431829882</v>
      </c>
      <c r="AT6" s="1">
        <f>AS6/VLOOKUP(A6,'[47]geoMap (44)'!$A:$B,2,0)*VLOOKUP(A6,'[47]geoMap (44)'!$A:$C,3,0)</f>
        <v>6.889345605794392</v>
      </c>
      <c r="AU6" s="1">
        <f>AT6/VLOOKUP(A6,'[48]geoMap (45)'!$A:$B,2,0)*VLOOKUP(A6,'[48]geoMap (45)'!$A:$C,3,0)</f>
        <v>1.1215213776874593</v>
      </c>
      <c r="AV6" s="1">
        <f>AU6/VLOOKUP(A6,'[49]geoMap (46)'!$A:$B,2,0)*VLOOKUP(A6,'[49]geoMap (46)'!$A:$C,3,0)</f>
        <v>8.2244901030413686</v>
      </c>
      <c r="AW6" s="1">
        <f>AV6/VLOOKUP(A6,'[50]geoMap (47)'!$A:$B,2,0)*VLOOKUP(A6,'[50]geoMap (47)'!$A:$C,3,0)</f>
        <v>3.3592987744816858</v>
      </c>
      <c r="AX6" s="1">
        <f>AW6/VLOOKUP(A6,'[51]geoMap (48)'!$A:$B,2,0)*VLOOKUP(A6,'[51]geoMap (48)'!$A:$C,3,0)</f>
        <v>7.4771488851366552</v>
      </c>
      <c r="AY6" s="1">
        <f>AX6/VLOOKUP(A6,'[52]geoMap (49)'!$A:$B,2,0)*VLOOKUP(A6,'[52]geoMap (49)'!$A:$C,3,0)</f>
        <v>1.9875965390869588</v>
      </c>
      <c r="AZ6" s="1">
        <f>AY6/VLOOKUP(A6,'[53]geoMap (50)'!$A:$B,2,0)*VLOOKUP(A6,'[53]geoMap (50)'!$A:$C,3,0)</f>
        <v>0.81183520610594084</v>
      </c>
      <c r="BA6" s="1">
        <f>AZ6/VLOOKUP(A6,'[54]geoMap (51)'!$A:$B,2,0)*VLOOKUP(A6,'[54]geoMap (51)'!$A:$C,3,0)</f>
        <v>0.66422880499576975</v>
      </c>
      <c r="BB6" s="1">
        <f>BA6/VLOOKUP(A6,'[55]geoMap (52)'!$A:$B,2,0)*VLOOKUP(A6,'[55]geoMap (52)'!$A:$C,3,0)</f>
        <v>0.71958120541208392</v>
      </c>
      <c r="BC6" s="1">
        <f>BB6/VLOOKUP(A6,'[56]geoMap (53)'!$A:$B,2,0)*VLOOKUP(A6,'[56]geoMap (53)'!$A:$C,3,0)</f>
        <v>0.25282582892857003</v>
      </c>
      <c r="BD6" s="1">
        <f>BC6/VLOOKUP(A6,'[57]geoMap (54)'!$A:$B,2,0)*VLOOKUP(A6,'[57]geoMap (54)'!$A:$C,3,0)</f>
        <v>0.58992693416666342</v>
      </c>
      <c r="BE6" s="1">
        <f>BD6/VLOOKUP(A6,'[58]geoMap (55)'!$A:$B,2,0)*VLOOKUP(A6,'[58]geoMap (55)'!$A:$C,3,0)</f>
        <v>0.22941602995370247</v>
      </c>
      <c r="BF6" s="1">
        <f>BE6/VLOOKUP(A6,'[59]geoMap (56)'!$A:$B,2,0)*VLOOKUP(A6,'[59]geoMap (56)'!$A:$C,3,0)</f>
        <v>0.11299595505182361</v>
      </c>
      <c r="BG6" s="1">
        <f>BF6/VLOOKUP(A6,'[60]geoMap (57)'!$A:$B,2,0)*VLOOKUP(A6,'[60]geoMap (57)'!$A:$C,3,0)</f>
        <v>0.24011640448512517</v>
      </c>
      <c r="BH6" s="1">
        <f>BG6/VLOOKUP(A6,'[61]geoMap (58)'!$A:$B,2,0)*VLOOKUP(A6,'[61]geoMap (58)'!$A:$C,3,0)</f>
        <v>0.85132179771998917</v>
      </c>
      <c r="BI6" s="1">
        <f>BH6/VLOOKUP(A6,'[62]geoMap (59)'!$A:$B,2,0)*VLOOKUP(A6,'[62]geoMap (59)'!$A:$C,3,0)</f>
        <v>0.69653601631635476</v>
      </c>
      <c r="BJ6" s="1">
        <f>BI6/VLOOKUP(A6,'[63]geoMap (60)'!$A:$B,2,0)*VLOOKUP(A6,'[63]geoMap (60)'!$A:$C,3,0)</f>
        <v>0.61768288239374858</v>
      </c>
      <c r="BK6" s="1">
        <f>BJ6/VLOOKUP(A6,'[64]geoMap (61)'!$A:$B,2,0)*VLOOKUP(A6,'[64]geoMap (61)'!$A:$C,3,0)</f>
        <v>0.14488857735162003</v>
      </c>
      <c r="BL6" s="1">
        <f>BK6/VLOOKUP(A6,'[65]geoMap (62)'!$A:$B,2,0)*VLOOKUP(A6,'[65]geoMap (62)'!$A:$C,3,0)</f>
        <v>0.29416771765328914</v>
      </c>
      <c r="BM6" s="1">
        <f>BL6/VLOOKUP(A6,'[66]geoMap (63)'!$A:$B,2,0)*VLOOKUP(A6,'[66]geoMap (63)'!$A:$C,3,0)</f>
        <v>4.7887767990070329E-2</v>
      </c>
      <c r="BN6" s="1" t="e">
        <f>BM6/VLOOKUP(A6,'[67]geoMap (64)'!$A:$B,2,0)*VLOOKUP(A6,'[67]geoMap (64)'!$A:$C,3,0)</f>
        <v>#REF!</v>
      </c>
      <c r="BO6" s="1" t="e">
        <f>AN6/VLOOKUP(A6,'[82]geoMap (168)'!$A:$B,2,0)*VLOOKUP(A6,'[82]geoMap (168)'!$A:$C,3,0)</f>
        <v>#REF!</v>
      </c>
      <c r="BP6" s="1" t="e">
        <f>AN6/VLOOKUP(A6,'[83]geoMap (170)'!$A:$B,2,0)*VLOOKUP(A6,'[83]geoMap (170)'!$A:$C,3,0)</f>
        <v>#REF!</v>
      </c>
    </row>
    <row r="7" spans="1:68" x14ac:dyDescent="0.2">
      <c r="A7" s="1" t="s">
        <v>18</v>
      </c>
      <c r="B7" s="1">
        <f>VLOOKUP(A7,[3]geoMap!$A:$B,2,0)*Notes!$C$6</f>
        <v>14000</v>
      </c>
      <c r="C7" s="1">
        <f>B7/VLOOKUP(A7,'[4]geoMap (1)'!$A:$B,2,0)*VLOOKUP(A7,'[4]geoMap (1)'!$A:$C,3,0)</f>
        <v>4666.666666666667</v>
      </c>
      <c r="D7" s="1">
        <f>C7/VLOOKUP(A7,'[5]geoMap (2)'!$A:$B,2,0)*VLOOKUP(A7,'[5]geoMap (2)'!$A:$C,3,0)</f>
        <v>6999.9999999999991</v>
      </c>
      <c r="E7" s="1">
        <f>D7/VLOOKUP(A7,'[6]geoMap (3)'!$A:$B,2,0)*VLOOKUP(A7,'[6]geoMap (3)'!$A:$C,3,0)</f>
        <v>6207.5471698113188</v>
      </c>
      <c r="F7" s="1">
        <f>E7/VLOOKUP(A7,'[7]geoMap (4)'!$A:$B,2,0)*VLOOKUP(A7,'[7]geoMap (4)'!$A:$C,3,0)</f>
        <v>5504.8059807760737</v>
      </c>
      <c r="G7" s="1">
        <f>F7/VLOOKUP(A7,'[8]geoMap (5)'!$A:$B,2,0)*VLOOKUP(A7,'[8]geoMap (5)'!$A:$C,3,0)</f>
        <v>3519.4661188568343</v>
      </c>
      <c r="H7" s="1">
        <f>G7/VLOOKUP(A7,'[9]geoMap (6)'!$A:$B,2,0)*VLOOKUP(A7,'[9]geoMap (6)'!$A:$C,3,0)</f>
        <v>1813.0583036535209</v>
      </c>
      <c r="I7" s="1">
        <f>H7/VLOOKUP(A7,'[10]geoMap (7)'!$A:$B,2,0)*VLOOKUP(A7,'[10]geoMap (7)'!$A:$C,3,0)</f>
        <v>2719.5874554802813</v>
      </c>
      <c r="J7" s="1">
        <f>I7/VLOOKUP(A7,'[11]geoMap (8)'!$A:$B,2,0)*VLOOKUP(A7,'[11]geoMap (8)'!$A:$C,3,0)</f>
        <v>955.53072760117993</v>
      </c>
      <c r="K7" s="1">
        <f>J7/VLOOKUP(A7,'[12]geoMap (9)'!$A:$B,2,0)*VLOOKUP(A7,'[12]geoMap (9)'!$A:$C,3,0)</f>
        <v>1216.1300169469564</v>
      </c>
      <c r="L7" s="1">
        <f>K7/VLOOKUP(A7,'[13]geoMap (10)'!$A:$B,2,0)*VLOOKUP(A7,'[13]geoMap (10)'!$A:$C,3,0)</f>
        <v>995.015468411146</v>
      </c>
      <c r="M7" s="1">
        <f>L7/VLOOKUP(A7,'[14]geoMap (11)'!$A:$B,2,0)*VLOOKUP(A7,'[14]geoMap (11)'!$A:$C,3,0)</f>
        <v>584.37416398749838</v>
      </c>
      <c r="N7" s="1">
        <f>M7/VLOOKUP(A7,'[15]geoMap (12)'!$A:$B,2,0)*VLOOKUP(A7,'[15]geoMap (12)'!$A:$C,3,0)</f>
        <v>478.12431598977133</v>
      </c>
      <c r="O7" s="1">
        <f>N7/VLOOKUP(A7,'[16]geoMap (13)'!$A:$B,2,0)*VLOOKUP(A7,'[16]geoMap (13)'!$A:$C,3,0)</f>
        <v>423.99703493432543</v>
      </c>
      <c r="P7" s="1">
        <f>O7/VLOOKUP(A7,'[17]geoMap (14)'!$A:$B,2,0)*VLOOKUP(A7,'[17]geoMap (14)'!$A:$C,3,0)</f>
        <v>691.78463594547827</v>
      </c>
      <c r="Q7" s="1">
        <f>P7/VLOOKUP(A7,'[18]geoMap (15)'!$A:$B,2,0)*VLOOKUP(A7,'[18]geoMap (15)'!$A:$C,3,0)</f>
        <v>269.02735842324159</v>
      </c>
      <c r="R7" s="1">
        <f>K7/VLOOKUP(A7,'[109]geoMap (87)'!$A:$B,2,0)*VLOOKUP(A7,'[109]geoMap (87)'!$A:$C,3,0)</f>
        <v>135.12555743855071</v>
      </c>
      <c r="S7" s="1">
        <f>O7/VLOOKUP(A7,'[110]geoMap (90)'!$A:$B,2,0)*VLOOKUP(A7,'[110]geoMap (90)'!$A:$C,3,0)</f>
        <v>173.18188750838647</v>
      </c>
      <c r="T7" s="1">
        <f>S7/VLOOKUP(A7,'[21]geoMap (18)'!$A:$B,2,0)*VLOOKUP(A7,'[21]geoMap (18)'!$A:$C,3,0)</f>
        <v>141.69427159777072</v>
      </c>
      <c r="U7" s="1">
        <f>T7/VLOOKUP(A7,'[22]geoMap (19)'!$A:$B,2,0)*VLOOKUP(A7,'[22]geoMap (19)'!$A:$C,3,0)</f>
        <v>55.10332784357751</v>
      </c>
      <c r="V7" s="1" t="e">
        <f>Q7/VLOOKUP(A7,'[95]geoMap (96)'!$A:$B,2,0)*VLOOKUP(A7,'[95]geoMap (96)'!$A:$C,3,0)</f>
        <v>#REF!</v>
      </c>
      <c r="W7" s="1">
        <f>Q7/VLOOKUP(A7,'[96]geoMap (97)'!$A:$B,2,0)*VLOOKUP(A7,'[96]geoMap (97)'!$A:$C,3,0)</f>
        <v>47.475416192336752</v>
      </c>
      <c r="X7" s="1">
        <f>W7/VLOOKUP(A7,'[25]geoMap (22)'!$A:$B,2,0)*VLOOKUP(A7,'[25]geoMap (22)'!$A:$C,3,0)</f>
        <v>62.932528441004528</v>
      </c>
      <c r="Y7" s="1">
        <f>X7/VLOOKUP(A7,'[26]geoMap (23)'!$A:$B,2,0)*VLOOKUP(A7,'[26]geoMap (23)'!$A:$C,3,0)</f>
        <v>29.615307501649188</v>
      </c>
      <c r="Z7" s="1">
        <f>Y7/VLOOKUP(A7,'[27]geoMap (24)'!$A:$B,2,0)*VLOOKUP(A7,'[27]geoMap (24)'!$A:$C,3,0)</f>
        <v>36.196486946460126</v>
      </c>
      <c r="AA7" s="1">
        <f>Z7/VLOOKUP(A7,'[28]geoMap (25)'!$A:$B,2,0)*VLOOKUP(A7,'[28]geoMap (25)'!$A:$C,3,0)</f>
        <v>21.258254238397214</v>
      </c>
      <c r="AB7" s="1" t="e">
        <f>AA7*VLOOKUP(A7,'[29]geoMap (26)'!$A:$B,2,0)*VLOOKUP(A7,'[29]geoMap (26)'!$A:$C,3,0)</f>
        <v>#REF!</v>
      </c>
      <c r="AC7" s="1">
        <f>Y7/VLOOKUP(A7,'[111]geoMap (107)'!$A:$B,2,0)*VLOOKUP(A7,'[111]geoMap (107)'!$A:$C,3,0)</f>
        <v>42.617149819446389</v>
      </c>
      <c r="AD7" s="1">
        <f>AC7/VLOOKUP(A7,'[31]geoMap (28)'!$A:$B,2,0)*VLOOKUP(A7,'[31]geoMap (28)'!$A:$C,3,0)</f>
        <v>28.411433212964262</v>
      </c>
      <c r="AE7" s="1">
        <f>AD7/VLOOKUP(A7,'[32]geoMap (29)'!$A:$B,2,0)*VLOOKUP(A7,'[32]geoMap (29)'!$A:$C,3,0)</f>
        <v>40.884745355241257</v>
      </c>
      <c r="AF7" s="1">
        <f>AE7/VLOOKUP(A7,'[33]geoMap (30)'!$A:$B,2,0)*VLOOKUP(A7,'[33]geoMap (30)'!$A:$C,3,0)</f>
        <v>24.011675843554389</v>
      </c>
      <c r="AG7" s="1">
        <f>AF7/VLOOKUP(A7,'[34]geoMap (31)'!$A:$B,2,0)*VLOOKUP(A7,'[34]geoMap (31)'!$A:$C,3,0)</f>
        <v>42.687423721874474</v>
      </c>
      <c r="AH7" s="1">
        <f>AG7/VLOOKUP(A7,'[35]geoMap (32)'!$A:$B,2,0)*VLOOKUP(A7,'[35]geoMap (32)'!$A:$C,3,0)</f>
        <v>21.990491008238365</v>
      </c>
      <c r="AI7" s="1" t="e">
        <f>AH7/VLOOKUP(A7,'[36]geoMap (33)'!$A:$B,2,0)*VLOOKUP(A7,'[36]geoMap (33)'!$A:$C,3,0)</f>
        <v>#REF!</v>
      </c>
      <c r="AJ7" s="1">
        <f>Y7/VLOOKUP(A7,'[112]geoMap (116)'!$A:$B,2,0)*VLOOKUP(A7,'[112]geoMap (116)'!$A:$C,3,0)</f>
        <v>6.5009211588986018</v>
      </c>
      <c r="AK7" s="1" t="e">
        <f>Y7/VLOOKUP(A7,'[113]geoMap (117)'!$A:$B,2,0)*VLOOKUP(A7,'[113]geoMap (117)'!$A:$C,3,0)</f>
        <v>#REF!</v>
      </c>
      <c r="AL7" s="1">
        <f>Z7/VLOOKUP(A7,'[114]geoMap (119)'!$A:$B,2,0)*VLOOKUP(A7,'[114]geoMap (119)'!$A:$C,3,0)</f>
        <v>7.4137382902388227</v>
      </c>
      <c r="AM7" s="1">
        <f>AL7/VLOOKUP(A7,'[40]geoMap (37)'!$A:$B,2,0)*VLOOKUP(A7,'[40]geoMap (37)'!$A:$C,3,0)</f>
        <v>6.843450729451221</v>
      </c>
      <c r="AN7" s="1">
        <f>AM7/VLOOKUP(A7,'[41]geoMap (38)'!$A:$B,2,0)*VLOOKUP(A7,'[41]geoMap (38)'!$A:$C,3,0)</f>
        <v>3.2204474020946918</v>
      </c>
      <c r="AO7" s="1">
        <f>AN7/VLOOKUP(A7,'[42]geoMap (39)'!$A:$B,2,0)*VLOOKUP(A7,'[42]geoMap (39)'!$A:$C,3,0)</f>
        <v>5.483464495458529</v>
      </c>
      <c r="AP7" s="1" t="e">
        <f>AO7/VLOOKUP(A7,'[43]geoMap (40)'!$A:$B,2,0)*VLOOKUP(A7,'[43]geoMap (40)'!$A:$C,3,0)</f>
        <v>#REF!</v>
      </c>
      <c r="AQ7" s="1">
        <f>AF7/VLOOKUP(A7,'[99]geoMap (126)'!$A:$B,2,0)*VLOOKUP(A7,'[99]geoMap (126)'!$A:$C,3,0)</f>
        <v>14.102095336690672</v>
      </c>
      <c r="AR7" s="1" t="e">
        <f>AQ7/VLOOKUP(A7,'[45]geoMap (42)'!$A:$B,2,0)*VLOOKUP(A7,'[45]geoMap (42)'!$A:$C,3,0)</f>
        <v>#REF!</v>
      </c>
      <c r="AS7" s="1" t="e">
        <f>AA7/VLOOKUP(A7,'[101]geoMap (129)'!$A:$B,2,0)*VLOOKUP(A7,'[101]geoMap (129)'!$A:$C,3,0)</f>
        <v>#REF!</v>
      </c>
      <c r="AT7" s="1">
        <f>AC7/VLOOKUP(A7,'[84]geoMap (131)'!$A:$B,2,0)*VLOOKUP(A7,'[84]geoMap (131)'!$A:$C,3,0)</f>
        <v>7.520673497549363</v>
      </c>
      <c r="AU7" s="1" t="e">
        <f>AT7/VLOOKUP(A7,'[48]geoMap (45)'!$A:$B,2,0)*VLOOKUP(A7,'[48]geoMap (45)'!$A:$C,3,0)</f>
        <v>#REF!</v>
      </c>
      <c r="AV7" s="1">
        <f>AN7/VLOOKUP(A7,'[86]geoMap (135)'!$A:$B,2,0)*VLOOKUP(A7,'[86]geoMap (135)'!$A:$C,3,0)</f>
        <v>3.6315683470429505</v>
      </c>
      <c r="AW7" s="1" t="e">
        <f>AV7/VLOOKUP(A7,'[50]geoMap (47)'!$A:$B,2,0)*VLOOKUP(A7,'[50]geoMap (47)'!$A:$C,3,0)</f>
        <v>#REF!</v>
      </c>
      <c r="AX7" s="1">
        <f>AO7/VLOOKUP(A7,'[115]geoMap (139)'!$A:$B,2,0)*VLOOKUP(A7,'[115]geoMap (139)'!$A:$C,3,0)</f>
        <v>9.336709816591549</v>
      </c>
      <c r="AY7" s="1" t="e">
        <f>AX7/VLOOKUP(A7,'[52]geoMap (49)'!$A:$B,2,0)*VLOOKUP(A7,'[52]geoMap (49)'!$A:$C,3,0)</f>
        <v>#REF!</v>
      </c>
      <c r="AZ7" s="1" t="e">
        <f>AN7/VLOOKUP(A7,'[89]geoMap (141)'!$A:$B,2,0)*VLOOKUP(A7,'[89]geoMap (141)'!$A:$C,3,0)</f>
        <v>#REF!</v>
      </c>
      <c r="BA7" s="1" t="e">
        <f>AN7/VLOOKUP(A7,'[71]geoMap (143)'!$A:$B,2,0)*VLOOKUP(A7,'[71]geoMap (143)'!$A:$C,3,0)</f>
        <v>#REF!</v>
      </c>
      <c r="BB7" s="1" t="e">
        <f>AO7/VLOOKUP(A7,'[116]geoMap (145)'!$A:$B,2,0)*VLOOKUP(A7,'[116]geoMap (145)'!$A:$C,3,0)</f>
        <v>#REF!</v>
      </c>
      <c r="BC7" s="1" t="e">
        <f>AN7/VLOOKUP(A7,'[72]geoMap (146)'!$A:$B,2,0)*VLOOKUP(A7,'[72]geoMap (146)'!$A:$C,3,0)</f>
        <v>#REF!</v>
      </c>
      <c r="BD7" s="1" t="e">
        <f>AN7/VLOOKUP(A7,'[73]geoMap (147)'!$A:$B,2,0)*VLOOKUP(A7,'[73]geoMap (147)'!$A:$C,3,0)</f>
        <v>#REF!</v>
      </c>
      <c r="BE7" s="1" t="e">
        <f>AN7/VLOOKUP(A7,'[91]geoMap (148)'!$A:$B,2,0)*VLOOKUP(A7,'[91]geoMap (148)'!$A:$C,3,0)</f>
        <v>#REF!</v>
      </c>
      <c r="BF7" s="1" t="e">
        <f>AO7/VLOOKUP(A7,'[92]geoMap (151)'!$A:$B,2,0)*VLOOKUP(A7,'[92]geoMap (151)'!$A:$C,3,0)</f>
        <v>#REF!</v>
      </c>
      <c r="BG7" s="1" t="e">
        <f>AN7/VLOOKUP(A7,'[93]geoMap (152)'!$A:$B,2,0)*VLOOKUP(A7,'[93]geoMap (152)'!$A:$C,3,0)</f>
        <v>#REF!</v>
      </c>
      <c r="BH7" s="1" t="e">
        <f>AN7/VLOOKUP(A7,'[94]geoMap (154)'!$A:$B,2,0)*VLOOKUP(A7,'[94]geoMap (154)'!$A:$C,3,0)</f>
        <v>#REF!</v>
      </c>
      <c r="BI7" s="1" t="e">
        <f>AN7/VLOOKUP(A7,'[76]geoMap (156)'!$A:$B,2,0)*VLOOKUP(A7,'[76]geoMap (156)'!$A:$C,3,0)</f>
        <v>#REF!</v>
      </c>
      <c r="BJ7" s="1" t="e">
        <f>AN7/VLOOKUP(A7,'[77]geoMap (158)'!$A:$B,2,0)*VLOOKUP(A7,'[77]geoMap (158)'!$A:$C,3,0)</f>
        <v>#REF!</v>
      </c>
      <c r="BK7" s="1" t="e">
        <f>AN7/VLOOKUP(A7,'[78]geoMap (160)'!$A:$B,2,0)*VLOOKUP(A7,'[78]geoMap (160)'!$A:$C,3,0)</f>
        <v>#REF!</v>
      </c>
      <c r="BL7" s="1" t="e">
        <f>AN7/VLOOKUP(A7,'[79]geoMap (162)'!$A:$B,2,0)*VLOOKUP(A7,'[79]geoMap (162)'!$A:$C,3,0)</f>
        <v>#REF!</v>
      </c>
      <c r="BM7" s="1">
        <f>AV7/100*0</f>
        <v>0</v>
      </c>
      <c r="BN7" s="1" t="e">
        <f>AN7/VLOOKUP(A7,'[81]geoMap (166)'!$A:$B,2,0)*VLOOKUP(A7,'[81]geoMap (166)'!$A:$C,3,0)</f>
        <v>#REF!</v>
      </c>
      <c r="BO7" s="1" t="e">
        <f>AN7/VLOOKUP(A7,'[82]geoMap (168)'!$A:$B,2,0)*VLOOKUP(A7,'[82]geoMap (168)'!$A:$C,3,0)</f>
        <v>#REF!</v>
      </c>
      <c r="BP7" s="1" t="e">
        <f>AN7/VLOOKUP(A7,'[83]geoMap (170)'!$A:$B,2,0)*VLOOKUP(A7,'[83]geoMap (170)'!$A:$C,3,0)</f>
        <v>#REF!</v>
      </c>
    </row>
    <row r="8" spans="1:68" x14ac:dyDescent="0.2">
      <c r="A8" s="1" t="s">
        <v>20</v>
      </c>
      <c r="B8" s="1">
        <f>VLOOKUP(A8,[3]geoMap!$A:$B,2,0)*Notes!$C$6</f>
        <v>13000</v>
      </c>
      <c r="C8" s="1">
        <f>B8/VLOOKUP(A8,'[4]geoMap (1)'!$A:$B,2,0)*VLOOKUP(A8,'[4]geoMap (1)'!$A:$C,3,0)</f>
        <v>2662.6506024096389</v>
      </c>
      <c r="D8" s="1">
        <f>C8/VLOOKUP(A8,'[5]geoMap (2)'!$A:$B,2,0)*VLOOKUP(A8,'[5]geoMap (2)'!$A:$C,3,0)</f>
        <v>2884.538152610442</v>
      </c>
      <c r="E8" s="1">
        <f>D8/VLOOKUP(A8,'[6]geoMap (3)'!$A:$B,2,0)*VLOOKUP(A8,'[6]geoMap (3)'!$A:$C,3,0)</f>
        <v>1295.9519236365754</v>
      </c>
      <c r="F8" s="1">
        <f>E8/VLOOKUP(A8,'[7]geoMap (4)'!$A:$B,2,0)*VLOOKUP(A8,'[7]geoMap (4)'!$A:$C,3,0)</f>
        <v>3503.8700157581484</v>
      </c>
      <c r="G8" s="1">
        <f>F8/VLOOKUP(A8,'[8]geoMap (5)'!$A:$B,2,0)*VLOOKUP(A8,'[8]geoMap (5)'!$A:$C,3,0)</f>
        <v>988.27103008563154</v>
      </c>
      <c r="H8" s="1">
        <f>G8/VLOOKUP(A8,'[9]geoMap (6)'!$A:$B,2,0)*VLOOKUP(A8,'[9]geoMap (6)'!$A:$C,3,0)</f>
        <v>841.86050710998245</v>
      </c>
      <c r="I8" s="1">
        <f>H8/VLOOKUP(A8,'[10]geoMap (7)'!$A:$B,2,0)*VLOOKUP(A8,'[10]geoMap (7)'!$A:$C,3,0)</f>
        <v>988.27103008563154</v>
      </c>
      <c r="J8" s="1">
        <f>I8/VLOOKUP(A8,'[11]geoMap (8)'!$A:$B,2,0)*VLOOKUP(A8,'[11]geoMap (8)'!$A:$C,3,0)</f>
        <v>509.10931852896175</v>
      </c>
      <c r="K8" s="1">
        <f>J8/VLOOKUP(A8,'[12]geoMap (9)'!$A:$B,2,0)*VLOOKUP(A8,'[12]geoMap (9)'!$A:$C,3,0)</f>
        <v>1612.1795086750456</v>
      </c>
      <c r="L8" s="1">
        <f>K8/VLOOKUP(A8,'[13]geoMap (10)'!$A:$B,2,0)*VLOOKUP(A8,'[13]geoMap (10)'!$A:$C,3,0)</f>
        <v>219.84266027386983</v>
      </c>
      <c r="M8" s="1">
        <f>L8/VLOOKUP(A8,'[14]geoMap (11)'!$A:$B,2,0)*VLOOKUP(A8,'[14]geoMap (11)'!$A:$C,3,0)</f>
        <v>247.90768073436388</v>
      </c>
      <c r="N8" s="1" t="e">
        <f>H8/VLOOKUP(A8,'[117]geoMap (80)'!$A:$B,2,0)*VLOOKUP(A8,'[117]geoMap (80)'!$A:$C,3,0)</f>
        <v>#REF!</v>
      </c>
      <c r="O8" s="1">
        <f>H8/VLOOKUP(A8,'[118]geoMap (81)'!$A:$B,2,0)*VLOOKUP(A8,'[118]geoMap (81)'!$A:$C,3,0)</f>
        <v>223.78570442164087</v>
      </c>
      <c r="P8" s="1">
        <f>O8/VLOOKUP(A8,'[17]geoMap (14)'!$A:$B,2,0)*VLOOKUP(A8,'[17]geoMap (14)'!$A:$C,3,0)</f>
        <v>575.44895422707646</v>
      </c>
      <c r="Q8" s="1">
        <f>P8/VLOOKUP(A8,'[18]geoMap (15)'!$A:$B,2,0)*VLOOKUP(A8,'[18]geoMap (15)'!$A:$C,3,0)</f>
        <v>309.85712919919501</v>
      </c>
      <c r="R8" s="1">
        <f>Q8/VLOOKUP(A8,'[19]geoMap (16)'!$A:$B,2,0)*VLOOKUP(A8,'[19]geoMap (16)'!$A:$C,3,0)</f>
        <v>77.464282299798754</v>
      </c>
      <c r="S8" s="1">
        <f>R8/VLOOKUP(A8,'[20]geoMap (17)'!$A:$B,2,0)*VLOOKUP(A8,'[20]geoMap (17)'!$A:$C,3,0)</f>
        <v>126.38909217335586</v>
      </c>
      <c r="T8" s="1" t="e">
        <f>L8/VLOOKUP(A8,'[119]geoMap (92)'!$A:$B,2,0)*VLOOKUP(A8,'[119]geoMap (92)'!$A:$C,3,0)</f>
        <v>#REF!</v>
      </c>
      <c r="U8" s="1">
        <f>O8/VLOOKUP(A8,'[120]geoMap (93)'!$A:$B,2,0)*VLOOKUP(A8,'[120]geoMap (93)'!$A:$C,3,0)</f>
        <v>82.770055060058965</v>
      </c>
      <c r="V8" s="1">
        <f>U8/VLOOKUP(A8,'[23]geoMap (20)'!$A:$B,2,0)*VLOOKUP(A8,'[23]geoMap (20)'!$A:$C,3,0)</f>
        <v>27.590018353352988</v>
      </c>
      <c r="W8" s="1" t="e">
        <f>O8/VLOOKUP(A8,'[121]geoMap (98)'!$A:$B,2,0)*VLOOKUP(A8,'[121]geoMap (98)'!$A:$C,3,0)</f>
        <v>#REF!</v>
      </c>
      <c r="X8" s="1" t="e">
        <f>Q8/VLOOKUP(A8,'[122]geoMap (100)'!$A:$B,2,0)*VLOOKUP(A8,'[122]geoMap (100)'!$A:$C,3,0)</f>
        <v>#REF!</v>
      </c>
      <c r="Y8" s="1">
        <f>O8/VLOOKUP(A8,'[123]geoMap (101)'!$A:$B,2,0)*VLOOKUP(A8,'[123]geoMap (101)'!$A:$C,3,0)</f>
        <v>30.516232421132845</v>
      </c>
      <c r="Z8" s="1">
        <f>Y8/VLOOKUP(A8,'[27]geoMap (24)'!$A:$B,2,0)*VLOOKUP(A8,'[27]geoMap (24)'!$A:$C,3,0)</f>
        <v>15.720483368462375</v>
      </c>
      <c r="AA8" s="1">
        <f>Z8/VLOOKUP(A8,'[28]geoMap (25)'!$A:$B,2,0)*VLOOKUP(A8,'[28]geoMap (25)'!$A:$C,3,0)</f>
        <v>10.480322245641585</v>
      </c>
      <c r="AB8" s="1" t="e">
        <f>AA8*VLOOKUP(A8,'[29]geoMap (26)'!$A:$B,2,0)*VLOOKUP(A8,'[29]geoMap (26)'!$A:$C,3,0)</f>
        <v>#REF!</v>
      </c>
      <c r="AC8" s="1">
        <f>Y8/VLOOKUP(A8,'[111]geoMap (107)'!$A:$B,2,0)*VLOOKUP(A8,'[111]geoMap (107)'!$A:$C,3,0)</f>
        <v>25.995309099483535</v>
      </c>
      <c r="AD8" s="1" t="e">
        <f>AB8/VLOOKUP(A8,'[97]geoMap (109)'!$A:$B,2,0)*VLOOKUP(A8,'[97]geoMap (109)'!$A:$C,4,0)</f>
        <v>#REF!</v>
      </c>
      <c r="AE8" s="1" t="e">
        <f>AB8/VLOOKUP(A8,'[98]geoMap (110)'!$A:$B,2,0)*VLOOKUP(A8,'[98]geoMap (110)'!$A:$C,3,0)</f>
        <v>#REF!</v>
      </c>
      <c r="AF8" s="1">
        <f>Y8/VLOOKUP(A8,'[124]geoMap (112)'!$A:$B,2,0)*VLOOKUP(A8,'[124]geoMap (112)'!$A:$C,3,0)</f>
        <v>9.6367049750945828</v>
      </c>
      <c r="AG8" s="1">
        <f>AF8/VLOOKUP(A8,'[34]geoMap (31)'!$A:$B,2,0)*VLOOKUP(A8,'[34]geoMap (31)'!$A:$C,3,0)</f>
        <v>22.485644941887362</v>
      </c>
      <c r="AH8" s="1">
        <f>AG8/VLOOKUP(A8,'[35]geoMap (32)'!$A:$B,2,0)*VLOOKUP(A8,'[35]geoMap (32)'!$A:$C,3,0)</f>
        <v>15.625617671481047</v>
      </c>
      <c r="AI8" s="1" t="e">
        <f>AH8/VLOOKUP(A8,'[36]geoMap (33)'!$A:$B,2,0)*VLOOKUP(A8,'[36]geoMap (33)'!$A:$C,3,0)</f>
        <v>#REF!</v>
      </c>
      <c r="AJ8" s="1">
        <f>Y8/VLOOKUP(A8,'[112]geoMap (116)'!$A:$B,2,0)*VLOOKUP(A8,'[112]geoMap (116)'!$A:$C,3,0)</f>
        <v>10.172077473710948</v>
      </c>
      <c r="AK8" s="1">
        <f>AJ8/VLOOKUP(A8,'[38]geoMap (35)'!$A:$B,2,0)*VLOOKUP(A8,'[38]geoMap (35)'!$A:$C,3,0)</f>
        <v>28.951297425177312</v>
      </c>
      <c r="AL8" s="1">
        <f>AK8/VLOOKUP(A8,'[39]geoMap (36)'!$A:$B,2,0)*VLOOKUP(A8,'[39]geoMap (36)'!$A:$C,3,0)</f>
        <v>5.929783809976076</v>
      </c>
      <c r="AM8" s="1">
        <f>AA8/VLOOKUP(A8,'[125]geoMap (120)'!$A:$B,2,0)*VLOOKUP(A8,'[125]geoMap (120)'!$A:$C,3,0)</f>
        <v>2.3005585417262013</v>
      </c>
      <c r="AN8" s="1">
        <f>AM8/VLOOKUP(A8,'[41]geoMap (38)'!$A:$B,2,0)*VLOOKUP(A8,'[41]geoMap (38)'!$A:$C,3,0)</f>
        <v>2.1235925000549551</v>
      </c>
      <c r="AO8" s="1" t="e">
        <f>AN8/VLOOKUP(A8,'[42]geoMap (39)'!$A:$B,2,0)*VLOOKUP(A8,'[42]geoMap (39)'!$A:$C,3,0)</f>
        <v>#REF!</v>
      </c>
      <c r="AP8" s="1" t="e">
        <f>AN8/VLOOKUP(A8,'[126]geoMap (124)'!$A:$B,2,0)*VLOOKUP(A8,'[126]geoMap (124)'!$A:$C,3,0)</f>
        <v>#REF!</v>
      </c>
      <c r="AQ8" s="1">
        <f>AF8/VLOOKUP(A8,'[99]geoMap (126)'!$A:$B,2,0)*VLOOKUP(A8,'[99]geoMap (126)'!$A:$C,3,0)</f>
        <v>17.131919955723703</v>
      </c>
      <c r="AR8" s="1" t="e">
        <f>AQ8/VLOOKUP(A8,'[45]geoMap (42)'!$A:$B,2,0)*VLOOKUP(A8,'[45]geoMap (42)'!$A:$C,3,0)</f>
        <v>#REF!</v>
      </c>
      <c r="AS8" s="1">
        <f>AA8/VLOOKUP(A8,'[101]geoMap (129)'!$A:$B,2,0)*VLOOKUP(A8,'[101]geoMap (129)'!$A:$C,3,0)</f>
        <v>0.91133236918622473</v>
      </c>
      <c r="AT8" s="1">
        <f>AS8/VLOOKUP(A8,'[47]geoMap (44)'!$A:$B,2,0)*VLOOKUP(A8,'[47]geoMap (44)'!$A:$C,3,0)</f>
        <v>1.4869107076196297</v>
      </c>
      <c r="AU8" s="1" t="e">
        <f>AT8/VLOOKUP(A8,'[48]geoMap (45)'!$A:$B,2,0)*VLOOKUP(A8,'[48]geoMap (45)'!$A:$C,3,0)</f>
        <v>#REF!</v>
      </c>
      <c r="AV8" s="1" t="e">
        <f>AO8/VLOOKUP(A8,'[127]geoMap (136)'!$A:$B,2,0)*VLOOKUP(A8,'[127]geoMap (136)'!$A:$C,3,0)</f>
        <v>#REF!</v>
      </c>
      <c r="AW8" s="1" t="e">
        <f>AN8/VLOOKUP(A8,'[87]geoMap (137)'!$A:$B,2,0)*VLOOKUP(A8,'[87]geoMap (137)'!$A:$C,3,0)</f>
        <v>#REF!</v>
      </c>
      <c r="AX8" s="1">
        <f>AN8/VLOOKUP(A8,'[70]geoMap (138)'!$A:$B,2,0)*VLOOKUP(A8,'[70]geoMap (138)'!$A:$C,3,0)</f>
        <v>1.4157283333699704</v>
      </c>
      <c r="AY8" s="1">
        <f>AX8/VLOOKUP(A8,'[52]geoMap (49)'!$A:$B,2,0)*VLOOKUP(A8,'[52]geoMap (49)'!$A:$C,3,0)</f>
        <v>1.4157283333699704</v>
      </c>
      <c r="AZ8" s="1" t="e">
        <f>AY8/VLOOKUP(A8,'[53]geoMap (50)'!$A:$B,2,0)*VLOOKUP(A8,'[53]geoMap (50)'!$A:$C,3,0)</f>
        <v>#REF!</v>
      </c>
      <c r="BA8" s="1" t="e">
        <f>AN8/VLOOKUP(A8,'[71]geoMap (143)'!$A:$B,2,0)*VLOOKUP(A8,'[71]geoMap (143)'!$A:$C,3,0)</f>
        <v>#REF!</v>
      </c>
      <c r="BB8" s="1" t="e">
        <f>AN8/VLOOKUP(A8,'[90]geoMap (144)'!$A:$B,2,0)*VLOOKUP(A8,'[90]geoMap (144)'!$A:$C,3,0)</f>
        <v>#REF!</v>
      </c>
      <c r="BC8" s="1" t="e">
        <f>AN8/VLOOKUP(A8,'[72]geoMap (146)'!$A:$B,2,0)*VLOOKUP(A8,'[72]geoMap (146)'!$A:$C,3,0)</f>
        <v>#REF!</v>
      </c>
      <c r="BD8" s="1" t="e">
        <f>AN8/VLOOKUP(A8,'[73]geoMap (147)'!$A:$B,2,0)*VLOOKUP(A8,'[73]geoMap (147)'!$A:$C,3,0)</f>
        <v>#REF!</v>
      </c>
      <c r="BE8" s="1" t="e">
        <f>AN8/VLOOKUP(A8,'[91]geoMap (148)'!$A:$B,2,0)*VLOOKUP(A8,'[91]geoMap (148)'!$A:$C,3,0)</f>
        <v>#REF!</v>
      </c>
      <c r="BF8" s="1" t="e">
        <f>AN8/VLOOKUP(A8,'[75]geoMap (150)'!$A:$B,2,0)*VLOOKUP(A8,'[75]geoMap (150)'!$A:$C,3,0)</f>
        <v>#REF!</v>
      </c>
      <c r="BG8" s="1" t="e">
        <f>AN8/VLOOKUP(A8,'[93]geoMap (152)'!$A:$B,2,0)*VLOOKUP(A8,'[93]geoMap (152)'!$A:$C,3,0)</f>
        <v>#REF!</v>
      </c>
      <c r="BH8" s="1" t="e">
        <f>AN8/VLOOKUP(A8,'[94]geoMap (154)'!$A:$B,2,0)*VLOOKUP(A8,'[94]geoMap (154)'!$A:$C,3,0)</f>
        <v>#REF!</v>
      </c>
      <c r="BI8" s="1" t="e">
        <f>AN8/VLOOKUP(A8,'[76]geoMap (156)'!$A:$B,2,0)*VLOOKUP(A8,'[76]geoMap (156)'!$A:$C,3,0)</f>
        <v>#REF!</v>
      </c>
      <c r="BJ8" s="1" t="e">
        <f>AN8/VLOOKUP(A8,'[77]geoMap (158)'!$A:$B,2,0)*VLOOKUP(A8,'[77]geoMap (158)'!$A:$C,3,0)</f>
        <v>#REF!</v>
      </c>
      <c r="BK8" s="1" t="e">
        <f>AN8/VLOOKUP(A8,'[78]geoMap (160)'!$A:$B,2,0)*VLOOKUP(A8,'[78]geoMap (160)'!$A:$C,3,0)</f>
        <v>#REF!</v>
      </c>
      <c r="BL8" s="1" t="e">
        <f>AN8/VLOOKUP(A8,'[79]geoMap (162)'!$A:$B,2,0)*VLOOKUP(A8,'[79]geoMap (162)'!$A:$C,3,0)</f>
        <v>#REF!</v>
      </c>
      <c r="BM8" s="1" t="e">
        <f>AN8/VLOOKUP(A8,'[80]geoMap (164)'!$A:$B,2,0)*VLOOKUP(A8,'[80]geoMap (164)'!$A:$C,3,0)</f>
        <v>#REF!</v>
      </c>
      <c r="BN8" s="1" t="e">
        <f>AN8/VLOOKUP(A8,'[81]geoMap (166)'!$A:$B,2,0)*VLOOKUP(A8,'[81]geoMap (166)'!$A:$C,3,0)</f>
        <v>#REF!</v>
      </c>
      <c r="BO8" s="1" t="e">
        <f>AN8/VLOOKUP(A8,'[82]geoMap (168)'!$A:$B,2,0)*VLOOKUP(A8,'[82]geoMap (168)'!$A:$C,3,0)</f>
        <v>#REF!</v>
      </c>
      <c r="BP8" s="1" t="e">
        <f>AN8/VLOOKUP(A8,'[83]geoMap (170)'!$A:$B,2,0)*VLOOKUP(A8,'[83]geoMap (170)'!$A:$C,3,0)</f>
        <v>#REF!</v>
      </c>
    </row>
    <row r="9" spans="1:68" x14ac:dyDescent="0.2">
      <c r="A9" s="1" t="s">
        <v>32</v>
      </c>
      <c r="B9" s="1">
        <f>VLOOKUP(A9,[3]geoMap!$A:$B,2,0)*Notes!$C$6</f>
        <v>11000</v>
      </c>
      <c r="C9" s="1">
        <f>B9/VLOOKUP(A9,'[4]geoMap (1)'!$A:$B,2,0)*VLOOKUP(A9,'[4]geoMap (1)'!$A:$C,3,0)</f>
        <v>15829.268292682927</v>
      </c>
      <c r="D9" s="1">
        <f>C9/VLOOKUP(A9,'[5]geoMap (2)'!$A:$B,2,0)*VLOOKUP(A9,'[5]geoMap (2)'!$A:$C,3,0)</f>
        <v>8903.9634146341468</v>
      </c>
      <c r="E9" s="1">
        <f>D9/VLOOKUP(A9,'[6]geoMap (3)'!$A:$B,2,0)*VLOOKUP(A9,'[6]geoMap (3)'!$A:$C,3,0)</f>
        <v>8903.9634146341468</v>
      </c>
      <c r="F9" s="1">
        <f>E9/VLOOKUP(A9,'[7]geoMap (4)'!$A:$B,2,0)*VLOOKUP(A9,'[7]geoMap (4)'!$A:$C,3,0)</f>
        <v>5935.9756097560985</v>
      </c>
      <c r="G9" s="1">
        <f>F9/VLOOKUP(A9,'[8]geoMap (5)'!$A:$B,2,0)*VLOOKUP(A9,'[8]geoMap (5)'!$A:$C,3,0)</f>
        <v>7255.081300813009</v>
      </c>
      <c r="H9" s="1">
        <f>G9/VLOOKUP(A9,'[9]geoMap (6)'!$A:$B,2,0)*VLOOKUP(A9,'[9]geoMap (6)'!$A:$C,3,0)</f>
        <v>3259.5292800754105</v>
      </c>
      <c r="I9" s="1">
        <f>H9/VLOOKUP(A9,'[10]geoMap (7)'!$A:$B,2,0)*VLOOKUP(A9,'[10]geoMap (7)'!$A:$C,3,0)</f>
        <v>3392.5712915070599</v>
      </c>
      <c r="J9" s="1">
        <f>I9/VLOOKUP(A9,'[11]geoMap (8)'!$A:$B,2,0)*VLOOKUP(A9,'[11]geoMap (8)'!$A:$C,3,0)</f>
        <v>2357.5495415557534</v>
      </c>
      <c r="K9" s="1">
        <f>J9/VLOOKUP(A9,'[12]geoMap (9)'!$A:$B,2,0)*VLOOKUP(A9,'[12]geoMap (9)'!$A:$C,3,0)</f>
        <v>2658.5133128181906</v>
      </c>
      <c r="L9" s="1">
        <f>K9/VLOOKUP(A9,'[13]geoMap (10)'!$A:$B,2,0)*VLOOKUP(A9,'[13]geoMap (10)'!$A:$C,3,0)</f>
        <v>1629.4113852756652</v>
      </c>
      <c r="M9" s="1">
        <f>L9/VLOOKUP(A9,'[14]geoMap (11)'!$A:$B,2,0)*VLOOKUP(A9,'[14]geoMap (11)'!$A:$C,3,0)</f>
        <v>1504.072047946768</v>
      </c>
      <c r="N9" s="1">
        <f>M9/VLOOKUP(A9,'[15]geoMap (12)'!$A:$B,2,0)*VLOOKUP(A9,'[15]geoMap (12)'!$A:$C,3,0)</f>
        <v>1134.6508431879129</v>
      </c>
      <c r="O9" s="1">
        <f>N9/VLOOKUP(A9,'[16]geoMap (13)'!$A:$B,2,0)*VLOOKUP(A9,'[16]geoMap (13)'!$A:$C,3,0)</f>
        <v>891.51137679050282</v>
      </c>
      <c r="P9" s="1">
        <f>O9/VLOOKUP(A9,'[17]geoMap (14)'!$A:$B,2,0)*VLOOKUP(A9,'[17]geoMap (14)'!$A:$C,3,0)</f>
        <v>700.47322462110924</v>
      </c>
      <c r="Q9" s="1">
        <f>P9/VLOOKUP(A9,'[18]geoMap (15)'!$A:$B,2,0)*VLOOKUP(A9,'[18]geoMap (15)'!$A:$C,3,0)</f>
        <v>789.89533840252761</v>
      </c>
      <c r="R9" s="1">
        <f>Q9/VLOOKUP(A9,'[19]geoMap (16)'!$A:$B,2,0)*VLOOKUP(A9,'[19]geoMap (16)'!$A:$C,3,0)</f>
        <v>758.91905062203637</v>
      </c>
      <c r="S9" s="1">
        <f>R9/VLOOKUP(A9,'[20]geoMap (17)'!$A:$B,2,0)*VLOOKUP(A9,'[20]geoMap (17)'!$A:$C,3,0)</f>
        <v>357.13837676331116</v>
      </c>
      <c r="T9" s="1">
        <f>S9/VLOOKUP(A9,'[21]geoMap (18)'!$A:$B,2,0)*VLOOKUP(A9,'[21]geoMap (18)'!$A:$C,3,0)</f>
        <v>292.20412644270908</v>
      </c>
      <c r="U9" s="1">
        <f>T9/VLOOKUP(A9,'[22]geoMap (19)'!$A:$B,2,0)*VLOOKUP(A9,'[22]geoMap (19)'!$A:$C,3,0)</f>
        <v>259.1244140152325</v>
      </c>
      <c r="V9" s="1">
        <f>U9/VLOOKUP(A9,'[23]geoMap (20)'!$A:$B,2,0)*VLOOKUP(A9,'[23]geoMap (20)'!$A:$C,3,0)</f>
        <v>405.29716038279952</v>
      </c>
      <c r="W9" s="1">
        <f>V9/VLOOKUP(A9,'[24]geoMap (21)'!$A:$B,2,0)*VLOOKUP(A9,'[24]geoMap (21)'!$A:$C,3,0)</f>
        <v>88.967669352321849</v>
      </c>
      <c r="X9" s="1">
        <f>W9/VLOOKUP(A9,'[25]geoMap (22)'!$A:$B,2,0)*VLOOKUP(A9,'[25]geoMap (22)'!$A:$C,3,0)</f>
        <v>151.48549105935882</v>
      </c>
      <c r="Y9" s="1">
        <f>X9/VLOOKUP(A9,'[26]geoMap (23)'!$A:$B,2,0)*VLOOKUP(A9,'[26]geoMap (23)'!$A:$C,3,0)</f>
        <v>281.33019768166639</v>
      </c>
      <c r="Z9" s="1">
        <f>Y9/VLOOKUP(A9,'[27]geoMap (24)'!$A:$B,2,0)*VLOOKUP(A9,'[27]geoMap (24)'!$A:$C,3,0)</f>
        <v>120.57008472071416</v>
      </c>
      <c r="AA9" s="1">
        <f>Z9/VLOOKUP(A9,'[28]geoMap (25)'!$A:$B,2,0)*VLOOKUP(A9,'[28]geoMap (25)'!$A:$C,3,0)</f>
        <v>49.246936012686064</v>
      </c>
      <c r="AB9" s="1">
        <f>AA9*VLOOKUP(A9,'[29]geoMap (26)'!$A:$B,2,0)*VLOOKUP(A9,'[29]geoMap (26)'!$A:$C,3,0)</f>
        <v>12.188616663139801</v>
      </c>
      <c r="AC9" s="1">
        <f>AB9/VLOOKUP(A9,'[30]geoMap (27)'!$A:$B,2,0)*VLOOKUP(A9,'[30]geoMap (27)'!$A:$C,3,0)</f>
        <v>23.660255875506671</v>
      </c>
      <c r="AD9" s="1">
        <f>AC9/VLOOKUP(A9,'[31]geoMap (28)'!$A:$B,2,0)*VLOOKUP(A9,'[31]geoMap (28)'!$A:$C,3,0)</f>
        <v>13.3088939299725</v>
      </c>
      <c r="AE9" s="1">
        <f>AD9/VLOOKUP(A9,'[32]geoMap (29)'!$A:$B,2,0)*VLOOKUP(A9,'[32]geoMap (29)'!$A:$C,3,0)</f>
        <v>13.852114090379542</v>
      </c>
      <c r="AF9" s="1">
        <f>AE9/VLOOKUP(A9,'[33]geoMap (30)'!$A:$B,2,0)*VLOOKUP(A9,'[33]geoMap (30)'!$A:$C,3,0)</f>
        <v>12.283950231091291</v>
      </c>
      <c r="AG9" s="1">
        <f>AF9/VLOOKUP(A9,'[34]geoMap (31)'!$A:$B,2,0)*VLOOKUP(A9,'[34]geoMap (31)'!$A:$C,3,0)</f>
        <v>18.425925346636934</v>
      </c>
      <c r="AH9" s="1">
        <f>AG9/VLOOKUP(A9,'[35]geoMap (32)'!$A:$B,2,0)*VLOOKUP(A9,'[35]geoMap (32)'!$A:$C,3,0)</f>
        <v>4.8980307883465262</v>
      </c>
      <c r="AI9" s="1">
        <f>AH9/VLOOKUP(A9,'[36]geoMap (33)'!$A:$B,2,0)*VLOOKUP(A9,'[36]geoMap (33)'!$A:$C,3,0)</f>
        <v>11.991730550779426</v>
      </c>
      <c r="AJ9" s="1">
        <f>AI9/VLOOKUP(A9,'[37]geoMap (34)'!$A:$B,2,0)*VLOOKUP(A9,'[37]geoMap (34)'!$A:$C,3,0)</f>
        <v>12.481188940607158</v>
      </c>
      <c r="AK9" s="1">
        <f>AJ9/VLOOKUP(A9,'[38]geoMap (35)'!$A:$B,2,0)*VLOOKUP(A9,'[38]geoMap (35)'!$A:$C,3,0)</f>
        <v>9.8066484533341942</v>
      </c>
      <c r="AL9" s="1" t="e">
        <f>AK9/VLOOKUP(A9,'[39]geoMap (36)'!$A:$B,2,0)*VLOOKUP(A9,'[39]geoMap (36)'!$A:$C,3,0)</f>
        <v>#REF!</v>
      </c>
      <c r="AM9" s="1">
        <f>AA9/VLOOKUP(A9,'[125]geoMap (120)'!$A:$B,2,0)*VLOOKUP(A9,'[125]geoMap (120)'!$A:$C,3,0)</f>
        <v>15.551664004006126</v>
      </c>
      <c r="AN9" s="1">
        <f>AM9/VLOOKUP(A9,'[41]geoMap (38)'!$A:$B,2,0)*VLOOKUP(A9,'[41]geoMap (38)'!$A:$C,3,0)</f>
        <v>8.3739729252340673</v>
      </c>
      <c r="AO9" s="1">
        <f>AN9/VLOOKUP(A9,'[42]geoMap (39)'!$A:$B,2,0)*VLOOKUP(A9,'[42]geoMap (39)'!$A:$C,3,0)</f>
        <v>26.517580929907883</v>
      </c>
      <c r="AP9" s="1">
        <f>AO9/VLOOKUP(A9,'[43]geoMap (40)'!$A:$B,2,0)*VLOOKUP(A9,'[43]geoMap (40)'!$A:$C,3,0)</f>
        <v>45.151556718491804</v>
      </c>
      <c r="AQ9" s="1">
        <f>AP9/VLOOKUP(A9,'[44]geoMap (41)'!$A:$B,2,0)*VLOOKUP(A9,'[44]geoMap (41)'!$A:$C,3,0)</f>
        <v>10.591105896930175</v>
      </c>
      <c r="AR9" s="1">
        <f>AQ9/VLOOKUP(A9,'[45]geoMap (42)'!$A:$B,2,0)*VLOOKUP(A9,'[45]geoMap (42)'!$A:$C,3,0)</f>
        <v>14.625812905284526</v>
      </c>
      <c r="AS9" s="1">
        <f>AR9/VLOOKUP(A9,'[46]geoMap (43)'!$A:$B,2,0)*VLOOKUP(A9,'[46]geoMap (43)'!$A:$C,3,0)</f>
        <v>8.2270197592225465</v>
      </c>
      <c r="AT9" s="1">
        <f>AS9/VLOOKUP(A9,'[47]geoMap (44)'!$A:$B,2,0)*VLOOKUP(A9,'[47]geoMap (44)'!$A:$C,3,0)</f>
        <v>2.7423399197408487</v>
      </c>
      <c r="AU9" s="1">
        <f>AT9/VLOOKUP(A9,'[48]geoMap (45)'!$A:$B,2,0)*VLOOKUP(A9,'[48]geoMap (45)'!$A:$C,3,0)</f>
        <v>2.7423399197408487</v>
      </c>
      <c r="AV9" s="1">
        <f>AU9/VLOOKUP(A9,'[49]geoMap (46)'!$A:$B,2,0)*VLOOKUP(A9,'[49]geoMap (46)'!$A:$C,3,0)</f>
        <v>6.7140046310896642</v>
      </c>
      <c r="AW9" s="1">
        <f>AV9/VLOOKUP(A9,'[50]geoMap (47)'!$A:$B,2,0)*VLOOKUP(A9,'[50]geoMap (47)'!$A:$C,3,0)</f>
        <v>5.4932765163460884</v>
      </c>
      <c r="AX9" s="1">
        <f>AW9/VLOOKUP(A9,'[51]geoMap (48)'!$A:$B,2,0)*VLOOKUP(A9,'[51]geoMap (48)'!$A:$C,3,0)</f>
        <v>6.7140046310896633</v>
      </c>
      <c r="AY9" s="1">
        <f>AX9/VLOOKUP(A9,'[52]geoMap (49)'!$A:$B,2,0)*VLOOKUP(A9,'[52]geoMap (49)'!$A:$C,3,0)</f>
        <v>2.7423399197408482</v>
      </c>
      <c r="AZ9" s="1">
        <f>AY9/VLOOKUP(A9,'[53]geoMap (50)'!$A:$B,2,0)*VLOOKUP(A9,'[53]geoMap (50)'!$A:$C,3,0)</f>
        <v>10.31642160283462</v>
      </c>
      <c r="BA9" s="1" t="e">
        <f>AZ9/VLOOKUP(A9,'[54]geoMap (51)'!$A:$B,2,0)*VLOOKUP(A9,'[54]geoMap (51)'!$A:$C,3,0)</f>
        <v>#REF!</v>
      </c>
      <c r="BB9" s="1">
        <f>AZ9/73*27</f>
        <v>3.815662784610065</v>
      </c>
      <c r="BC9" s="1" t="e">
        <f>BB9/VLOOKUP(A9,'[56]geoMap (53)'!$A:$B,2,0)*VLOOKUP(A9,'[56]geoMap (53)'!$A:$C,3,0)</f>
        <v>#REF!</v>
      </c>
      <c r="BD9" s="1" t="e">
        <f>AN9/VLOOKUP(A9,'[73]geoMap (147)'!$A:$B,2,0)*VLOOKUP(A9,'[73]geoMap (147)'!$A:$C,3,0)</f>
        <v>#REF!</v>
      </c>
      <c r="BE9" s="1">
        <f>AN9/VLOOKUP(A9,'[91]geoMap (148)'!$A:$B,2,0)*VLOOKUP(A9,'[91]geoMap (148)'!$A:$C,3,0)</f>
        <v>1.2512833106671597</v>
      </c>
      <c r="BF9" s="1" t="e">
        <f>BE9/VLOOKUP(A9,'[59]geoMap (56)'!$A:$B,2,0)*VLOOKUP(A9,'[59]geoMap (56)'!$A:$C,3,0)</f>
        <v>#REF!</v>
      </c>
      <c r="BG9" s="1" t="e">
        <f>AN9/VLOOKUP(A9,'[93]geoMap (152)'!$A:$B,2,0)*VLOOKUP(A9,'[93]geoMap (152)'!$A:$C,3,0)</f>
        <v>#REF!</v>
      </c>
      <c r="BH9" s="1" t="e">
        <f>AN9/VLOOKUP(A9,'[94]geoMap (154)'!$A:$B,2,0)*VLOOKUP(A9,'[94]geoMap (154)'!$A:$C,3,0)</f>
        <v>#REF!</v>
      </c>
      <c r="BI9" s="1" t="e">
        <f>AN9/VLOOKUP(A9,'[76]geoMap (156)'!$A:$B,2,0)*VLOOKUP(A9,'[76]geoMap (156)'!$A:$C,3,0)</f>
        <v>#REF!</v>
      </c>
      <c r="BJ9" s="1" t="e">
        <f>AN9/VLOOKUP(A9,'[77]geoMap (158)'!$A:$B,2,0)*VLOOKUP(A9,'[77]geoMap (158)'!$A:$C,3,0)</f>
        <v>#REF!</v>
      </c>
      <c r="BK9" s="1" t="e">
        <f>AN9/VLOOKUP(A9,'[78]geoMap (160)'!$A:$B,2,0)*VLOOKUP(A9,'[78]geoMap (160)'!$A:$C,3,0)</f>
        <v>#REF!</v>
      </c>
      <c r="BL9" s="1" t="e">
        <f>AN9/VLOOKUP(A9,'[79]geoMap (162)'!$A:$B,2,0)*VLOOKUP(A9,'[79]geoMap (162)'!$A:$C,3,0)</f>
        <v>#REF!</v>
      </c>
      <c r="BM9" s="1" t="e">
        <f>AN9/VLOOKUP(A9,'[80]geoMap (164)'!$A:$B,2,0)*VLOOKUP(A9,'[80]geoMap (164)'!$A:$C,3,0)</f>
        <v>#REF!</v>
      </c>
      <c r="BN9" s="1" t="e">
        <f>AN9/VLOOKUP(A9,'[81]geoMap (166)'!$A:$B,2,0)*VLOOKUP(A9,'[81]geoMap (166)'!$A:$C,3,0)</f>
        <v>#REF!</v>
      </c>
      <c r="BO9" s="1" t="e">
        <f>AN9/VLOOKUP(A9,'[82]geoMap (168)'!$A:$B,2,0)*VLOOKUP(A9,'[82]geoMap (168)'!$A:$C,3,0)</f>
        <v>#REF!</v>
      </c>
      <c r="BP9" s="1" t="e">
        <f>AN9/VLOOKUP(A9,'[83]geoMap (170)'!$A:$B,2,0)*VLOOKUP(A9,'[83]geoMap (170)'!$A:$C,3,0)</f>
        <v>#REF!</v>
      </c>
    </row>
    <row r="10" spans="1:68" x14ac:dyDescent="0.2">
      <c r="A10" s="1" t="s">
        <v>37</v>
      </c>
      <c r="B10" s="1">
        <f>VLOOKUP(A10,[3]geoMap!$A:$B,2,0)*Notes!$C$6</f>
        <v>10000</v>
      </c>
      <c r="C10" s="1">
        <f>B10/VLOOKUP(A10,'[4]geoMap (1)'!$A:$B,2,0)*VLOOKUP(A10,'[4]geoMap (1)'!$A:$C,3,0)</f>
        <v>5151.515151515151</v>
      </c>
      <c r="D10" s="1">
        <f>C10/VLOOKUP(A10,'[5]geoMap (2)'!$A:$B,2,0)*VLOOKUP(A10,'[5]geoMap (2)'!$A:$C,3,0)</f>
        <v>7413.1559497413145</v>
      </c>
      <c r="E10" s="1">
        <f>D10/VLOOKUP(A10,'[6]geoMap (3)'!$A:$B,2,0)*VLOOKUP(A10,'[6]geoMap (3)'!$A:$C,3,0)</f>
        <v>5368.1474118816413</v>
      </c>
      <c r="F10" s="1">
        <f>E10/VLOOKUP(A10,'[7]geoMap (4)'!$A:$B,2,0)*VLOOKUP(A10,'[7]geoMap (4)'!$A:$C,3,0)</f>
        <v>4572.8663138251013</v>
      </c>
      <c r="G10" s="1">
        <f>F10/VLOOKUP(A10,'[8]geoMap (5)'!$A:$B,2,0)*VLOOKUP(A10,'[8]geoMap (5)'!$A:$C,3,0)</f>
        <v>3048.5775425500678</v>
      </c>
      <c r="H10" s="1">
        <f>G10/VLOOKUP(A10,'[9]geoMap (6)'!$A:$B,2,0)*VLOOKUP(A10,'[9]geoMap (6)'!$A:$C,3,0)</f>
        <v>2032.3850283667123</v>
      </c>
      <c r="I10" s="1">
        <f>H10/VLOOKUP(A10,'[10]geoMap (7)'!$A:$B,2,0)*VLOOKUP(A10,'[10]geoMap (7)'!$A:$C,3,0)</f>
        <v>1876.0477184923495</v>
      </c>
      <c r="J10" s="1">
        <f>I10/VLOOKUP(A10,'[11]geoMap (8)'!$A:$B,2,0)*VLOOKUP(A10,'[11]geoMap (8)'!$A:$C,3,0)</f>
        <v>1250.6984789948999</v>
      </c>
      <c r="K10" s="1">
        <f>J10/VLOOKUP(A10,'[12]geoMap (9)'!$A:$B,2,0)*VLOOKUP(A10,'[12]geoMap (9)'!$A:$C,3,0)</f>
        <v>1023.2987555412817</v>
      </c>
      <c r="L10" s="1">
        <f>K10/VLOOKUP(A10,'[13]geoMap (10)'!$A:$B,2,0)*VLOOKUP(A10,'[13]geoMap (10)'!$A:$C,3,0)</f>
        <v>627.18310823497904</v>
      </c>
      <c r="M10" s="1" t="e">
        <f>K10/VLOOKUP(A10,'[128]geoMap (78)'!$A:$B,2,0)*VLOOKUP(A10,'[128]geoMap (78)'!$A:$C,3,0)</f>
        <v>#REF!</v>
      </c>
      <c r="N10" s="1" t="e">
        <f>H10/VLOOKUP(A10,'[117]geoMap (80)'!$A:$B,2,0)*VLOOKUP(A10,'[117]geoMap (80)'!$A:$C,3,0)</f>
        <v>#REF!</v>
      </c>
      <c r="O10" s="1">
        <f>H10/VLOOKUP(A10,'[118]geoMap (81)'!$A:$B,2,0)*VLOOKUP(A10,'[118]geoMap (81)'!$A:$C,3,0)</f>
        <v>446.1332989097661</v>
      </c>
      <c r="P10" s="1" t="e">
        <f>F10/VLOOKUP(A10,'[129]geoMap (84)'!$A:$B,2,0)*VLOOKUP(A10,'[129]geoMap (84)'!$A:$C,3,0)</f>
        <v>#REF!</v>
      </c>
      <c r="Q10" s="1">
        <f>F10/VLOOKUP(A10,'[130]geoMap (85)'!$A:$B,2,0)*VLOOKUP(A10,'[130]geoMap (85)'!$A:$C,3,0)</f>
        <v>344.19423867500763</v>
      </c>
      <c r="R10" s="1">
        <f>Q10/VLOOKUP(A10,'[19]geoMap (16)'!$A:$B,2,0)*VLOOKUP(A10,'[19]geoMap (16)'!$A:$C,3,0)</f>
        <v>344.19423867500763</v>
      </c>
      <c r="S10" s="1" t="e">
        <f>O10/VLOOKUP(A10,'[110]geoMap (90)'!$A:$B,2,0)*VLOOKUP(A10,'[110]geoMap (90)'!$A:$C,3,0)</f>
        <v>#REF!</v>
      </c>
      <c r="T10" s="1" t="e">
        <f>L10/VLOOKUP(A10,'[119]geoMap (92)'!$A:$B,2,0)*VLOOKUP(A10,'[119]geoMap (92)'!$A:$C,3,0)</f>
        <v>#REF!</v>
      </c>
      <c r="U10" s="1">
        <f>O10/VLOOKUP(A10,'[120]geoMap (93)'!$A:$B,2,0)*VLOOKUP(A10,'[120]geoMap (93)'!$A:$C,3,0)</f>
        <v>78.72940568995871</v>
      </c>
      <c r="V10" s="1">
        <f>U10/VLOOKUP(A10,'[23]geoMap (20)'!$A:$B,2,0)*VLOOKUP(A10,'[23]geoMap (20)'!$A:$C,3,0)</f>
        <v>72.673297559961881</v>
      </c>
      <c r="W10" s="1" t="e">
        <f>O10/VLOOKUP(A10,'[121]geoMap (98)'!$A:$B,2,0)*VLOOKUP(A10,'[121]geoMap (98)'!$A:$C,3,0)</f>
        <v>#REF!</v>
      </c>
      <c r="X10" s="1" t="e">
        <f>Q10/VLOOKUP(A10,'[122]geoMap (100)'!$A:$B,2,0)*VLOOKUP(A10,'[122]geoMap (100)'!$A:$C,3,0)</f>
        <v>#REF!</v>
      </c>
      <c r="Y10" s="1">
        <f>O10/VLOOKUP(A10,'[123]geoMap (101)'!$A:$B,2,0)*VLOOKUP(A10,'[123]geoMap (101)'!$A:$C,3,0)</f>
        <v>78.72940568995871</v>
      </c>
      <c r="Z10" s="1">
        <f>Y10/VLOOKUP(A10,'[27]geoMap (24)'!$A:$B,2,0)*VLOOKUP(A10,'[27]geoMap (24)'!$A:$C,3,0)</f>
        <v>69.816642781661486</v>
      </c>
      <c r="AA10" s="1">
        <f>Z10/VLOOKUP(A10,'[28]geoMap (25)'!$A:$B,2,0)*VLOOKUP(A10,'[28]geoMap (25)'!$A:$C,3,0)</f>
        <v>59.473436443637567</v>
      </c>
      <c r="AB10" s="1">
        <f>AA10*VLOOKUP(A10,'[29]geoMap (26)'!$A:$B,2,0)*VLOOKUP(A10,'[29]geoMap (26)'!$A:$C,3,0)</f>
        <v>13.702679756614096</v>
      </c>
      <c r="AC10" s="1">
        <f>AB10/VLOOKUP(A10,'[30]geoMap (27)'!$A:$B,2,0)*VLOOKUP(A10,'[30]geoMap (27)'!$A:$C,3,0)</f>
        <v>16.74771970252834</v>
      </c>
      <c r="AD10" s="1" t="e">
        <f>AB10/VLOOKUP(A10,'[97]geoMap (109)'!$A:$B,2,0)*VLOOKUP(A10,'[97]geoMap (109)'!$A:$C,4,0)</f>
        <v>#REF!</v>
      </c>
      <c r="AE10" s="1">
        <f>AB10/VLOOKUP(A10,'[98]geoMap (110)'!$A:$B,2,0)*VLOOKUP(A10,'[98]geoMap (110)'!$A:$C,3,0)</f>
        <v>22.357003813422999</v>
      </c>
      <c r="AF10" s="1">
        <f>AE10/VLOOKUP(A10,'[33]geoMap (30)'!$A:$B,2,0)*VLOOKUP(A10,'[33]geoMap (30)'!$A:$C,3,0)</f>
        <v>32.172273780291633</v>
      </c>
      <c r="AG10" s="1" t="e">
        <f>AF10/VLOOKUP(A10,'[34]geoMap (31)'!$A:$B,2,0)*VLOOKUP(A10,'[34]geoMap (31)'!$A:$C,3,0)</f>
        <v>#REF!</v>
      </c>
      <c r="AH10" s="1" t="e">
        <f>Y10/VLOOKUP(A10,'[131]geoMap (114)'!$A:$B,2,0)*VLOOKUP(A10,'[131]geoMap (114)'!$A:$C,3,0)</f>
        <v>#REF!</v>
      </c>
      <c r="AI10" s="1" t="e">
        <f>Y10/VLOOKUP(A10,'[132]geoMap (115)'!$A:$B,2,0)*VLOOKUP(A10,'[132]geoMap (115)'!$A:$C,3,0)</f>
        <v>#REF!</v>
      </c>
      <c r="AJ10" s="1">
        <f>Y10/VLOOKUP(A10,'[112]geoMap (116)'!$A:$B,2,0)*VLOOKUP(A10,'[112]geoMap (116)'!$A:$C,3,0)</f>
        <v>33.741173867125163</v>
      </c>
      <c r="AK10" s="1">
        <f>Y10/VLOOKUP(A10,'[113]geoMap (117)'!$A:$B,2,0)*VLOOKUP(A10,'[113]geoMap (117)'!$A:$C,3,0)</f>
        <v>11.764164068614519</v>
      </c>
      <c r="AL10" s="1" t="e">
        <f>Z10/VLOOKUP(A10,'[114]geoMap (119)'!$A:$B,2,0)*VLOOKUP(A10,'[114]geoMap (119)'!$A:$C,3,0)</f>
        <v>#REF!</v>
      </c>
      <c r="AM10" s="1" t="e">
        <f>AA10/VLOOKUP(A10,'[125]geoMap (120)'!$A:$B,2,0)*VLOOKUP(A10,'[125]geoMap (120)'!$A:$C,3,0)</f>
        <v>#REF!</v>
      </c>
      <c r="AN10" s="1">
        <f>AC10/VLOOKUP(A10,'[133]geoMap (121)'!$A:$B,2,0)*VLOOKUP(A10,'[133]geoMap (121)'!$A:$C,3,0)</f>
        <v>2.9554799475050011</v>
      </c>
      <c r="AO10" s="1">
        <f>AN10/VLOOKUP(A10,'[42]geoMap (39)'!$A:$B,2,0)*VLOOKUP(A10,'[42]geoMap (39)'!$A:$C,3,0)</f>
        <v>5.4887484739378589</v>
      </c>
      <c r="AP10" s="1" t="e">
        <f>AN10/VLOOKUP(A10,'[126]geoMap (124)'!$A:$B,2,0)*VLOOKUP(A10,'[126]geoMap (124)'!$A:$C,3,0)</f>
        <v>#REF!</v>
      </c>
      <c r="AQ10" s="1" t="e">
        <f>AF10/VLOOKUP(A10,'[99]geoMap (126)'!$A:$B,2,0)*VLOOKUP(A10,'[99]geoMap (126)'!$A:$C,3,0)</f>
        <v>#REF!</v>
      </c>
      <c r="AR10" s="1" t="e">
        <f>AA10/VLOOKUP(A10,'[100]geoMap (128)'!$A:$B,2,0)*VLOOKUP(A10,'[100]geoMap (128)'!$A:$C,3,0)</f>
        <v>#REF!</v>
      </c>
      <c r="AS10" s="1" t="e">
        <f>AA10/VLOOKUP(A10,'[101]geoMap (129)'!$A:$B,2,0)*VLOOKUP(A10,'[101]geoMap (129)'!$A:$C,3,0)</f>
        <v>#REF!</v>
      </c>
      <c r="AT10" s="1" t="e">
        <f>AC10/VLOOKUP(A10,'[84]geoMap (131)'!$A:$B,2,0)*VLOOKUP(A10,'[84]geoMap (131)'!$A:$C,3,0)</f>
        <v>#REF!</v>
      </c>
      <c r="AU10" s="1" t="e">
        <f>AO10/VLOOKUP(A10,'[134]geoMap (134)'!$A:$B,2,0)*VLOOKUP(A10,'[134]geoMap (134)'!$A:$C,3,0)</f>
        <v>#REF!</v>
      </c>
      <c r="AV10" s="1" t="e">
        <f>AO10/VLOOKUP(A10,'[127]geoMap (136)'!$A:$B,2,0)*VLOOKUP(A10,'[127]geoMap (136)'!$A:$C,3,0)</f>
        <v>#REF!</v>
      </c>
      <c r="AW10" s="1" t="e">
        <f>AN10/VLOOKUP(A10,'[87]geoMap (137)'!$A:$B,2,0)*VLOOKUP(A10,'[87]geoMap (137)'!$A:$C,3,0)</f>
        <v>#REF!</v>
      </c>
      <c r="AX10" s="1" t="e">
        <f>AO10/VLOOKUP(A10,'[115]geoMap (139)'!$A:$B,2,0)*VLOOKUP(A10,'[115]geoMap (139)'!$A:$C,3,0)</f>
        <v>#REF!</v>
      </c>
      <c r="AY10" s="1" t="e">
        <f>AN10/VLOOKUP(A10,'[88]geoMap (140)'!$A:$B,2,0)*VLOOKUP(A10,'[88]geoMap (140)'!$A:$C,3,0)</f>
        <v>#REF!</v>
      </c>
      <c r="AZ10" s="1" t="e">
        <f>AO10/VLOOKUP(A10,'[135]geoMap (142)'!$A:$B,2,0)*VLOOKUP(A10,'[135]geoMap (142)'!$A:$C,3,0)</f>
        <v>#REF!</v>
      </c>
      <c r="BA10" s="1" t="e">
        <f>AN10/VLOOKUP(A10,'[71]geoMap (143)'!$A:$B,2,0)*VLOOKUP(A10,'[71]geoMap (143)'!$A:$C,3,0)</f>
        <v>#REF!</v>
      </c>
      <c r="BB10" s="1" t="e">
        <f>AO10/VLOOKUP(A10,'[116]geoMap (145)'!$A:$B,2,0)*VLOOKUP(A10,'[116]geoMap (145)'!$A:$C,3,0)</f>
        <v>#REF!</v>
      </c>
      <c r="BC10" s="1" t="e">
        <f>AN10/VLOOKUP(A10,'[72]geoMap (146)'!$A:$B,2,0)*VLOOKUP(A10,'[72]geoMap (146)'!$A:$C,3,0)</f>
        <v>#REF!</v>
      </c>
      <c r="BD10" s="1" t="e">
        <f>AN10/VLOOKUP(A10,'[73]geoMap (147)'!$A:$B,2,0)*VLOOKUP(A10,'[73]geoMap (147)'!$A:$C,3,0)</f>
        <v>#REF!</v>
      </c>
      <c r="BE10" s="1" t="e">
        <f>AO10/VLOOKUP(A10,'[74]geoMap (149)'!$A:$B,2,0)*VLOOKUP(A10,'[74]geoMap (149)'!$A:$C,3,0)</f>
        <v>#REF!</v>
      </c>
      <c r="BF10" s="1" t="e">
        <f>AN10/VLOOKUP(A10,'[75]geoMap (150)'!$A:$B,2,0)*VLOOKUP(A10,'[75]geoMap (150)'!$A:$C,3,0)</f>
        <v>#REF!</v>
      </c>
      <c r="BG10" s="1" t="e">
        <f>AN10/VLOOKUP(A10,'[93]geoMap (152)'!$A:$B,2,0)*VLOOKUP(A10,'[93]geoMap (152)'!$A:$C,3,0)</f>
        <v>#REF!</v>
      </c>
      <c r="BH10" s="1" t="e">
        <f>AN10/VLOOKUP(A10,'[94]geoMap (154)'!$A:$B,2,0)*VLOOKUP(A10,'[94]geoMap (154)'!$A:$C,3,0)</f>
        <v>#REF!</v>
      </c>
      <c r="BI10" s="1" t="e">
        <f>AN10/VLOOKUP(A10,'[76]geoMap (156)'!$A:$B,2,0)*VLOOKUP(A10,'[76]geoMap (156)'!$A:$C,3,0)</f>
        <v>#REF!</v>
      </c>
      <c r="BJ10" s="1" t="e">
        <f>AN10/VLOOKUP(A10,'[77]geoMap (158)'!$A:$B,2,0)*VLOOKUP(A10,'[77]geoMap (158)'!$A:$C,3,0)</f>
        <v>#REF!</v>
      </c>
      <c r="BK10" s="1" t="e">
        <f>AN10/VLOOKUP(A10,'[78]geoMap (160)'!$A:$B,2,0)*VLOOKUP(A10,'[78]geoMap (160)'!$A:$C,3,0)</f>
        <v>#REF!</v>
      </c>
      <c r="BL10" s="1" t="e">
        <f>AN10/VLOOKUP(A10,'[79]geoMap (162)'!$A:$B,2,0)*VLOOKUP(A10,'[79]geoMap (162)'!$A:$C,3,0)</f>
        <v>#REF!</v>
      </c>
      <c r="BM10" s="1" t="e">
        <f>AN10/VLOOKUP(A10,'[80]geoMap (164)'!$A:$B,2,0)*VLOOKUP(A10,'[80]geoMap (164)'!$A:$C,3,0)</f>
        <v>#REF!</v>
      </c>
      <c r="BN10" s="1" t="e">
        <f>AN10/VLOOKUP(A10,'[81]geoMap (166)'!$A:$B,2,0)*VLOOKUP(A10,'[81]geoMap (166)'!$A:$C,3,0)</f>
        <v>#REF!</v>
      </c>
      <c r="BO10" s="1" t="e">
        <f>AN10/VLOOKUP(A10,'[82]geoMap (168)'!$A:$B,2,0)*VLOOKUP(A10,'[82]geoMap (168)'!$A:$C,3,0)</f>
        <v>#REF!</v>
      </c>
      <c r="BP10" s="1" t="e">
        <f>AN10/VLOOKUP(A10,'[83]geoMap (170)'!$A:$B,2,0)*VLOOKUP(A10,'[83]geoMap (170)'!$A:$C,3,0)</f>
        <v>#REF!</v>
      </c>
    </row>
    <row r="11" spans="1:68" x14ac:dyDescent="0.2">
      <c r="A11" s="1" t="s">
        <v>42</v>
      </c>
      <c r="B11" s="1">
        <f>VLOOKUP(A11,[3]geoMap!$A:$B,2,0)*Notes!$C$6</f>
        <v>9000</v>
      </c>
      <c r="C11" s="1">
        <f>B11/VLOOKUP(A11,'[4]geoMap (1)'!$A:$B,2,0)*VLOOKUP(A11,'[4]geoMap (1)'!$A:$C,3,0)</f>
        <v>16000</v>
      </c>
      <c r="D11" s="1">
        <f>C11/VLOOKUP(A11,'[5]geoMap (2)'!$A:$B,2,0)*VLOOKUP(A11,'[5]geoMap (2)'!$A:$C,3,0)</f>
        <v>10666.666666666668</v>
      </c>
      <c r="E11" s="1">
        <f>D11/VLOOKUP(A11,'[6]geoMap (3)'!$A:$B,2,0)*VLOOKUP(A11,'[6]geoMap (3)'!$A:$C,3,0)</f>
        <v>5743.5897435897432</v>
      </c>
      <c r="F11" s="1">
        <f>E11/VLOOKUP(A11,'[7]geoMap (4)'!$A:$B,2,0)*VLOOKUP(A11,'[7]geoMap (4)'!$A:$C,3,0)</f>
        <v>2580.453363062059</v>
      </c>
      <c r="G11" s="1">
        <f>F11/VLOOKUP(A11,'[8]geoMap (5)'!$A:$B,2,0)*VLOOKUP(A11,'[8]geoMap (5)'!$A:$C,3,0)</f>
        <v>7741.360089186177</v>
      </c>
      <c r="H11" s="1">
        <f>G11/VLOOKUP(A11,'[9]geoMap (6)'!$A:$B,2,0)*VLOOKUP(A11,'[9]geoMap (6)'!$A:$C,3,0)</f>
        <v>3478.0023589097318</v>
      </c>
      <c r="I11" s="1">
        <f>H11/VLOOKUP(A11,'[10]geoMap (7)'!$A:$B,2,0)*VLOOKUP(A11,'[10]geoMap (7)'!$A:$C,3,0)</f>
        <v>3619.9616388652312</v>
      </c>
      <c r="J11" s="1">
        <f>I11/VLOOKUP(A11,'[11]geoMap (8)'!$A:$B,2,0)*VLOOKUP(A11,'[11]geoMap (8)'!$A:$C,3,0)</f>
        <v>1338.8899212241267</v>
      </c>
      <c r="K11" s="1">
        <f>J11/VLOOKUP(A11,'[12]geoMap (9)'!$A:$B,2,0)*VLOOKUP(A11,'[12]geoMap (9)'!$A:$C,3,0)</f>
        <v>1926.6952524932556</v>
      </c>
      <c r="L11" s="1">
        <f>K11/VLOOKUP(A11,'[13]geoMap (10)'!$A:$B,2,0)*VLOOKUP(A11,'[13]geoMap (10)'!$A:$C,3,0)</f>
        <v>948.96930346682745</v>
      </c>
      <c r="M11" s="1">
        <f>L11/VLOOKUP(A11,'[14]geoMap (11)'!$A:$B,2,0)*VLOOKUP(A11,'[14]geoMap (11)'!$A:$C,3,0)</f>
        <v>875.97166473861</v>
      </c>
      <c r="N11" s="1">
        <f>M11/VLOOKUP(A11,'[15]geoMap (12)'!$A:$B,2,0)*VLOOKUP(A11,'[15]geoMap (12)'!$A:$C,3,0)</f>
        <v>1370.1095268988515</v>
      </c>
      <c r="O11" s="1">
        <f>N11/VLOOKUP(A11,'[16]geoMap (13)'!$A:$B,2,0)*VLOOKUP(A11,'[16]geoMap (13)'!$A:$C,3,0)</f>
        <v>587.18979724236499</v>
      </c>
      <c r="P11" s="1">
        <f>O11/VLOOKUP(A11,'[17]geoMap (14)'!$A:$B,2,0)*VLOOKUP(A11,'[17]geoMap (14)'!$A:$C,3,0)</f>
        <v>185.42835702390471</v>
      </c>
      <c r="Q11" s="1">
        <f>P11/VLOOKUP(A11,'[18]geoMap (15)'!$A:$B,2,0)*VLOOKUP(A11,'[18]geoMap (15)'!$A:$C,3,0)</f>
        <v>412.72763337578789</v>
      </c>
      <c r="R11" s="1">
        <f>Q11/VLOOKUP(A11,'[19]geoMap (16)'!$A:$B,2,0)*VLOOKUP(A11,'[19]geoMap (16)'!$A:$C,3,0)</f>
        <v>447.12160282377027</v>
      </c>
      <c r="S11" s="1">
        <f>R11/VLOOKUP(A11,'[20]geoMap (17)'!$A:$B,2,0)*VLOOKUP(A11,'[20]geoMap (17)'!$A:$C,3,0)</f>
        <v>337.30226177933548</v>
      </c>
      <c r="T11" s="1">
        <f>S11/VLOOKUP(A11,'[21]geoMap (18)'!$A:$B,2,0)*VLOOKUP(A11,'[21]geoMap (18)'!$A:$C,3,0)</f>
        <v>244.25336197813951</v>
      </c>
      <c r="U11" s="1">
        <f>T11/VLOOKUP(A11,'[22]geoMap (19)'!$A:$B,2,0)*VLOOKUP(A11,'[22]geoMap (19)'!$A:$C,3,0)</f>
        <v>104.68001227634551</v>
      </c>
      <c r="V11" s="1">
        <f>U11/VLOOKUP(A11,'[23]geoMap (20)'!$A:$B,2,0)*VLOOKUP(A11,'[23]geoMap (20)'!$A:$C,3,0)</f>
        <v>29.525131667687194</v>
      </c>
      <c r="W11" s="1">
        <f>V11/VLOOKUP(A11,'[24]geoMap (21)'!$A:$B,2,0)*VLOOKUP(A11,'[24]geoMap (21)'!$A:$C,3,0)</f>
        <v>104.68001227634551</v>
      </c>
      <c r="X11" s="1">
        <f>W11/VLOOKUP(A11,'[25]geoMap (22)'!$A:$B,2,0)*VLOOKUP(A11,'[25]geoMap (22)'!$A:$C,3,0)</f>
        <v>138.76187673841147</v>
      </c>
      <c r="Y11" s="1">
        <f>X11/VLOOKUP(A11,'[26]geoMap (23)'!$A:$B,2,0)*VLOOKUP(A11,'[26]geoMap (23)'!$A:$C,3,0)</f>
        <v>246.68778086828709</v>
      </c>
      <c r="Z11" s="1">
        <f>Y11/VLOOKUP(A11,'[27]geoMap (24)'!$A:$B,2,0)*VLOOKUP(A11,'[27]geoMap (24)'!$A:$C,3,0)</f>
        <v>77.901404484722235</v>
      </c>
      <c r="AA11" s="1">
        <f>Z11/VLOOKUP(A11,'[28]geoMap (25)'!$A:$B,2,0)*VLOOKUP(A11,'[28]geoMap (25)'!$A:$C,3,0)</f>
        <v>103.26465245649226</v>
      </c>
      <c r="AB11" s="1">
        <f>AA11*VLOOKUP(A11,'[29]geoMap (26)'!$A:$B,2,0)*VLOOKUP(A11,'[29]geoMap (26)'!$A:$C,3,0)</f>
        <v>25.774857253140468</v>
      </c>
      <c r="AC11" s="1">
        <f>AB11/VLOOKUP(A11,'[30]geoMap (27)'!$A:$B,2,0)*VLOOKUP(A11,'[30]geoMap (27)'!$A:$C,3,0)</f>
        <v>30.257441123251855</v>
      </c>
      <c r="AD11" s="1">
        <f>AC11/VLOOKUP(A11,'[31]geoMap (28)'!$A:$B,2,0)*VLOOKUP(A11,'[31]geoMap (28)'!$A:$C,3,0)</f>
        <v>31.492438720119278</v>
      </c>
      <c r="AE11" s="1">
        <f>AD11/VLOOKUP(A11,'[32]geoMap (29)'!$A:$B,2,0)*VLOOKUP(A11,'[32]geoMap (29)'!$A:$C,3,0)</f>
        <v>20.994959146746186</v>
      </c>
      <c r="AF11" s="1">
        <f>AE11/VLOOKUP(A11,'[33]geoMap (30)'!$A:$B,2,0)*VLOOKUP(A11,'[33]geoMap (30)'!$A:$C,3,0)</f>
        <v>21.851896254776644</v>
      </c>
      <c r="AG11" s="1">
        <f>AF11/VLOOKUP(A11,'[34]geoMap (31)'!$A:$B,2,0)*VLOOKUP(A11,'[34]geoMap (31)'!$A:$C,3,0)</f>
        <v>19.378096678764191</v>
      </c>
      <c r="AH11" s="1">
        <f>AG11/VLOOKUP(A11,'[35]geoMap (32)'!$A:$B,2,0)*VLOOKUP(A11,'[35]geoMap (32)'!$A:$C,3,0)</f>
        <v>11.380786938321826</v>
      </c>
      <c r="AI11" s="1">
        <f>AH11/VLOOKUP(A11,'[36]geoMap (33)'!$A:$B,2,0)*VLOOKUP(A11,'[36]geoMap (33)'!$A:$C,3,0)</f>
        <v>15.086159429868465</v>
      </c>
      <c r="AJ11" s="1">
        <f>AI11/VLOOKUP(A11,'[37]geoMap (34)'!$A:$B,2,0)*VLOOKUP(A11,'[37]geoMap (34)'!$A:$C,3,0)</f>
        <v>19.200566547105321</v>
      </c>
      <c r="AK11" s="1">
        <f>AJ11/VLOOKUP(A11,'[38]geoMap (35)'!$A:$B,2,0)*VLOOKUP(A11,'[38]geoMap (35)'!$A:$C,3,0)</f>
        <v>5.1039480694836925</v>
      </c>
      <c r="AL11" s="1">
        <f>AK11/VLOOKUP(A11,'[39]geoMap (36)'!$A:$B,2,0)*VLOOKUP(A11,'[39]geoMap (36)'!$A:$C,3,0)</f>
        <v>2.4018579150511492</v>
      </c>
      <c r="AM11" s="1">
        <f>AL11/VLOOKUP(A11,'[40]geoMap (37)'!$A:$B,2,0)*VLOOKUP(A11,'[40]geoMap (37)'!$A:$C,3,0)</f>
        <v>11.726718055837964</v>
      </c>
      <c r="AN11" s="1">
        <f>AM11/VLOOKUP(A11,'[41]geoMap (38)'!$A:$B,2,0)*VLOOKUP(A11,'[41]geoMap (38)'!$A:$C,3,0)</f>
        <v>14.332655401579734</v>
      </c>
      <c r="AO11" s="1">
        <f>AN11/VLOOKUP(A11,'[42]geoMap (39)'!$A:$B,2,0)*VLOOKUP(A11,'[42]geoMap (39)'!$A:$C,3,0)</f>
        <v>5.8541831921945384</v>
      </c>
      <c r="AP11" s="1">
        <f>AO11/VLOOKUP(A11,'[43]geoMap (40)'!$A:$B,2,0)*VLOOKUP(A11,'[43]geoMap (40)'!$A:$C,3,0)</f>
        <v>7.4507786082475951</v>
      </c>
      <c r="AQ11" s="1" t="e">
        <f>AP11/VLOOKUP(A11,'[44]geoMap (41)'!$A:$B,2,0)*VLOOKUP(A11,'[44]geoMap (41)'!$A:$C,3,0)</f>
        <v>#REF!</v>
      </c>
      <c r="AR11" s="1">
        <f>AA11/VLOOKUP(A11,'[100]geoMap (128)'!$A:$B,2,0)*VLOOKUP(A11,'[100]geoMap (128)'!$A:$C,3,0)</f>
        <v>5.4349817082364353</v>
      </c>
      <c r="AS11" s="1">
        <f>AR11/VLOOKUP(A11,'[46]geoMap (43)'!$A:$B,2,0)*VLOOKUP(A11,'[46]geoMap (43)'!$A:$C,3,0)</f>
        <v>8.500868825703142</v>
      </c>
      <c r="AT11" s="1" t="e">
        <f>AS11/VLOOKUP(A11,'[47]geoMap (44)'!$A:$B,2,0)*VLOOKUP(A11,'[47]geoMap (44)'!$A:$C,3,0)</f>
        <v>#REF!</v>
      </c>
      <c r="AU11" s="1">
        <f>AN11/VLOOKUP(A11,'[85]geoMap (133)'!$A:$B,2,0)*VLOOKUP(A11,'[85]geoMap (133)'!$A:$C,3,0)</f>
        <v>1.7714517912064838</v>
      </c>
      <c r="AV11" s="1">
        <f>AU11/VLOOKUP(A11,'[49]geoMap (46)'!$A:$B,2,0)*VLOOKUP(A11,'[49]geoMap (46)'!$A:$C,3,0)</f>
        <v>1.7714517912064838</v>
      </c>
      <c r="AW11" s="1">
        <f>AV11/VLOOKUP(A11,'[50]geoMap (47)'!$A:$B,2,0)*VLOOKUP(A11,'[50]geoMap (47)'!$A:$C,3,0)</f>
        <v>1.997594573062631</v>
      </c>
      <c r="AX11" s="1" t="e">
        <f>AN11/VLOOKUP(A11,'[70]geoMap (138)'!$A:$B,2,0)*VLOOKUP(A11,'[70]geoMap (138)'!$A:$C,3,0)</f>
        <v>#REF!</v>
      </c>
      <c r="AY11" s="1">
        <f>AN11/VLOOKUP(A11,'[88]geoMap (140)'!$A:$B,2,0)*VLOOKUP(A11,'[88]geoMap (140)'!$A:$C,3,0)</f>
        <v>5.0357978437982842</v>
      </c>
      <c r="AZ11" s="1" t="e">
        <f>AY11/VLOOKUP(A11,'[53]geoMap (50)'!$A:$B,2,0)*VLOOKUP(A11,'[53]geoMap (50)'!$A:$C,3,0)</f>
        <v>#REF!</v>
      </c>
      <c r="BA11" s="1" t="e">
        <f>AN11/VLOOKUP(A11,'[71]geoMap (143)'!$A:$B,2,0)*VLOOKUP(A11,'[71]geoMap (143)'!$A:$C,3,0)</f>
        <v>#REF!</v>
      </c>
      <c r="BB11" s="1" t="e">
        <f>AN11/VLOOKUP(A11,'[90]geoMap (144)'!$A:$B,2,0)*VLOOKUP(A11,'[90]geoMap (144)'!$A:$C,3,0)</f>
        <v>#REF!</v>
      </c>
      <c r="BC11" s="1">
        <f>AN11/VLOOKUP(A11,'[72]geoMap (146)'!$A:$B,2,0)*VLOOKUP(A11,'[72]geoMap (146)'!$A:$C,3,0)</f>
        <v>4.0425438312147968</v>
      </c>
      <c r="BD11" s="1" t="e">
        <f>BC11/VLOOKUP(A11,'[57]geoMap (54)'!$A:$B,2,0)*VLOOKUP(A11,'[57]geoMap (54)'!$A:$C,3,0)</f>
        <v>#REF!</v>
      </c>
      <c r="BE11" s="1" t="e">
        <f>AN11/VLOOKUP(A11,'[91]geoMap (148)'!$A:$B,2,0)*VLOOKUP(A11,'[91]geoMap (148)'!$A:$C,3,0)</f>
        <v>#REF!</v>
      </c>
      <c r="BF11" s="1" t="e">
        <f>AN11/VLOOKUP(A11,'[75]geoMap (150)'!$A:$B,2,0)*VLOOKUP(A11,'[75]geoMap (150)'!$A:$C,3,0)</f>
        <v>#REF!</v>
      </c>
      <c r="BG11" s="1" t="e">
        <f>AN11/VLOOKUP(A11,'[93]geoMap (152)'!$A:$B,2,0)*VLOOKUP(A11,'[93]geoMap (152)'!$A:$C,3,0)</f>
        <v>#REF!</v>
      </c>
      <c r="BH11" s="1">
        <f>AN11/VLOOKUP(A11,'[94]geoMap (154)'!$A:$B,2,0)*VLOOKUP(A11,'[94]geoMap (154)'!$A:$C,3,0)</f>
        <v>1.7714517912064838</v>
      </c>
      <c r="BI11" s="1" t="e">
        <f>BH11/VLOOKUP(A11,'[62]geoMap (59)'!$A:$B,2,0)*VLOOKUP(A11,'[62]geoMap (59)'!$A:$C,3,0)</f>
        <v>#REF!</v>
      </c>
      <c r="BJ11" s="1" t="e">
        <f>AN11/VLOOKUP(A11,'[77]geoMap (158)'!$A:$B,2,0)*VLOOKUP(A11,'[77]geoMap (158)'!$A:$C,3,0)</f>
        <v>#REF!</v>
      </c>
      <c r="BK11" s="1" t="e">
        <f>AN11/VLOOKUP(A11,'[78]geoMap (160)'!$A:$B,2,0)*VLOOKUP(A11,'[78]geoMap (160)'!$A:$C,3,0)</f>
        <v>#REF!</v>
      </c>
      <c r="BL11" s="1" t="e">
        <f>AN11/VLOOKUP(A11,'[79]geoMap (162)'!$A:$B,2,0)*VLOOKUP(A11,'[79]geoMap (162)'!$A:$C,3,0)</f>
        <v>#REF!</v>
      </c>
      <c r="BM11" s="1" t="e">
        <f>AN11/VLOOKUP(A11,'[80]geoMap (164)'!$A:$B,2,0)*VLOOKUP(A11,'[80]geoMap (164)'!$A:$C,3,0)</f>
        <v>#REF!</v>
      </c>
      <c r="BN11" s="1" t="e">
        <f>AN11/VLOOKUP(A11,'[81]geoMap (166)'!$A:$B,2,0)*VLOOKUP(A11,'[81]geoMap (166)'!$A:$C,3,0)</f>
        <v>#REF!</v>
      </c>
      <c r="BO11" s="1" t="e">
        <f>AN11/VLOOKUP(A11,'[82]geoMap (168)'!$A:$B,2,0)*VLOOKUP(A11,'[82]geoMap (168)'!$A:$C,3,0)</f>
        <v>#REF!</v>
      </c>
      <c r="BP11" s="1" t="e">
        <f>AN11/VLOOKUP(A11,'[83]geoMap (170)'!$A:$B,2,0)*VLOOKUP(A11,'[83]geoMap (170)'!$A:$C,3,0)</f>
        <v>#REF!</v>
      </c>
    </row>
    <row r="12" spans="1:68" x14ac:dyDescent="0.2">
      <c r="A12" s="1" t="s">
        <v>43</v>
      </c>
      <c r="B12" s="1">
        <f>VLOOKUP(A12,[3]geoMap!$A:$B,2,0)*Notes!$C$6</f>
        <v>9000</v>
      </c>
      <c r="C12" s="1">
        <f>B12/VLOOKUP(A12,'[4]geoMap (1)'!$A:$B,2,0)*VLOOKUP(A12,'[4]geoMap (1)'!$A:$C,3,0)</f>
        <v>4432.8358208955224</v>
      </c>
      <c r="D12" s="1">
        <f>C12/VLOOKUP(A12,'[5]geoMap (2)'!$A:$B,2,0)*VLOOKUP(A12,'[5]geoMap (2)'!$A:$C,3,0)</f>
        <v>10343.283582089553</v>
      </c>
      <c r="E12" s="1">
        <f>D12/VLOOKUP(A12,'[6]geoMap (3)'!$A:$B,2,0)*VLOOKUP(A12,'[6]geoMap (3)'!$A:$C,3,0)</f>
        <v>3825.5980372112044</v>
      </c>
      <c r="F12" s="1">
        <f>E12/VLOOKUP(A12,'[7]geoMap (4)'!$A:$B,2,0)*VLOOKUP(A12,'[7]geoMap (4)'!$A:$C,3,0)</f>
        <v>3258.842772439174</v>
      </c>
      <c r="G12" s="1">
        <f>F12/VLOOKUP(A12,'[8]geoMap (5)'!$A:$B,2,0)*VLOOKUP(A12,'[8]geoMap (5)'!$A:$C,3,0)</f>
        <v>4689.5542335100308</v>
      </c>
      <c r="H12" s="1">
        <f>G12/VLOOKUP(A12,'[9]geoMap (6)'!$A:$B,2,0)*VLOOKUP(A12,'[9]geoMap (6)'!$A:$C,3,0)</f>
        <v>3395.8841001279538</v>
      </c>
      <c r="I12" s="1">
        <f>H12/VLOOKUP(A12,'[10]geoMap (7)'!$A:$B,2,0)*VLOOKUP(A12,'[10]geoMap (7)'!$A:$C,3,0)</f>
        <v>3011.4443906795063</v>
      </c>
      <c r="J12" s="1">
        <f>I12/VLOOKUP(A12,'[11]geoMap (8)'!$A:$B,2,0)*VLOOKUP(A12,'[11]geoMap (8)'!$A:$C,3,0)</f>
        <v>2893.348532221486</v>
      </c>
      <c r="K12" s="1">
        <f>J12/VLOOKUP(A12,'[12]geoMap (9)'!$A:$B,2,0)*VLOOKUP(A12,'[12]geoMap (9)'!$A:$C,3,0)</f>
        <v>1299.9102101284939</v>
      </c>
      <c r="L12" s="1">
        <f>K12/VLOOKUP(A12,'[13]geoMap (10)'!$A:$B,2,0)*VLOOKUP(A12,'[13]geoMap (10)'!$A:$C,3,0)</f>
        <v>433.30340337616462</v>
      </c>
      <c r="M12" s="1">
        <f>L12/VLOOKUP(A12,'[14]geoMap (11)'!$A:$B,2,0)*VLOOKUP(A12,'[14]geoMap (11)'!$A:$C,3,0)</f>
        <v>508.66051700680197</v>
      </c>
      <c r="N12" s="1">
        <f>M12/VLOOKUP(A12,'[15]geoMap (12)'!$A:$B,2,0)*VLOOKUP(A12,'[15]geoMap (12)'!$A:$C,3,0)</f>
        <v>904.28536356764801</v>
      </c>
      <c r="O12" s="1">
        <f>N12/VLOOKUP(A12,'[16]geoMap (13)'!$A:$B,2,0)*VLOOKUP(A12,'[16]geoMap (13)'!$A:$C,3,0)</f>
        <v>301.42845452254932</v>
      </c>
      <c r="P12" s="1">
        <f>O12/VLOOKUP(A12,'[17]geoMap (14)'!$A:$B,2,0)*VLOOKUP(A12,'[17]geoMap (14)'!$A:$C,3,0)</f>
        <v>267.30447853886443</v>
      </c>
      <c r="Q12" s="1">
        <f>P12/VLOOKUP(A12,'[18]geoMap (15)'!$A:$B,2,0)*VLOOKUP(A12,'[18]geoMap (15)'!$A:$C,3,0)</f>
        <v>326.7054737697232</v>
      </c>
      <c r="R12" s="1" t="e">
        <f>L12/VLOOKUP(A12,'[136]geoMap (89)'!$A:$B,2,0)*VLOOKUP(A12,'[136]geoMap (89)'!$A:$C,3,0)</f>
        <v>#REF!</v>
      </c>
      <c r="S12" s="1">
        <f>O12/VLOOKUP(A12,'[110]geoMap (90)'!$A:$B,2,0)*VLOOKUP(A12,'[110]geoMap (90)'!$A:$C,3,0)</f>
        <v>246.62328097299491</v>
      </c>
      <c r="T12" s="1">
        <f>S12/VLOOKUP(A12,'[21]geoMap (18)'!$A:$B,2,0)*VLOOKUP(A12,'[21]geoMap (18)'!$A:$C,3,0)</f>
        <v>144.84224438096527</v>
      </c>
      <c r="U12" s="1" t="e">
        <f>P12/VLOOKUP(A12,'[137]geoMap (94)'!$A:$B,2,0)*VLOOKUP(A12,'[137]geoMap (94)'!$A:$C,3,0)</f>
        <v>#REF!</v>
      </c>
      <c r="V12" s="1" t="e">
        <f>Q12/VLOOKUP(A12,'[95]geoMap (96)'!$A:$B,2,0)*VLOOKUP(A12,'[95]geoMap (96)'!$A:$C,3,0)</f>
        <v>#REF!</v>
      </c>
      <c r="W12" s="1">
        <f>Q12/VLOOKUP(A12,'[96]geoMap (97)'!$A:$B,2,0)*VLOOKUP(A12,'[96]geoMap (97)'!$A:$C,3,0)</f>
        <v>66.915578964883068</v>
      </c>
      <c r="X12" s="1">
        <f>W12/VLOOKUP(A12,'[25]geoMap (22)'!$A:$B,2,0)*VLOOKUP(A12,'[25]geoMap (22)'!$A:$C,3,0)</f>
        <v>34.471661891000373</v>
      </c>
      <c r="Y12" s="1">
        <f>X12/VLOOKUP(A12,'[26]geoMap (23)'!$A:$B,2,0)*VLOOKUP(A12,'[26]geoMap (23)'!$A:$C,3,0)</f>
        <v>49.605562233390785</v>
      </c>
      <c r="Z12" s="1" t="e">
        <f>Q12/VLOOKUP(A12,'[138]geoMap (105)'!$A:$B,2,0)*VLOOKUP(A12,'[138]geoMap (105)'!$A:$C,3,0)</f>
        <v>#REF!</v>
      </c>
      <c r="AA12" s="1">
        <f>Q12/VLOOKUP(A12,'[139]geoMap (106)'!$A:$B,2,0)*VLOOKUP(A12,'[139]geoMap (106)'!$A:$C,3,0)</f>
        <v>24.590734584817877</v>
      </c>
      <c r="AB12" s="1">
        <f>AA12*VLOOKUP(A12,'[29]geoMap (26)'!$A:$B,2,0)*VLOOKUP(A12,'[29]geoMap (26)'!$A:$C,3,0)</f>
        <v>6.1083384708687607</v>
      </c>
      <c r="AC12" s="1">
        <f>AB12/VLOOKUP(A12,'[30]geoMap (27)'!$A:$B,2,0)*VLOOKUP(A12,'[30]geoMap (27)'!$A:$C,3,0)</f>
        <v>3.008584619980136</v>
      </c>
      <c r="AD12" s="1">
        <f>AC12/VLOOKUP(A12,'[31]geoMap (28)'!$A:$B,2,0)*VLOOKUP(A12,'[31]geoMap (28)'!$A:$C,3,0)</f>
        <v>7.0200307799536512</v>
      </c>
      <c r="AE12" s="1">
        <f>AD12/VLOOKUP(A12,'[32]geoMap (29)'!$A:$B,2,0)*VLOOKUP(A12,'[32]geoMap (29)'!$A:$C,3,0)</f>
        <v>5.9800262199605179</v>
      </c>
      <c r="AF12" s="1">
        <f>AE12/VLOOKUP(A12,'[33]geoMap (30)'!$A:$B,2,0)*VLOOKUP(A12,'[33]geoMap (30)'!$A:$C,3,0)</f>
        <v>3.5120788910879228</v>
      </c>
      <c r="AG12" s="1" t="e">
        <f>AF12/VLOOKUP(A12,'[34]geoMap (31)'!$A:$B,2,0)*VLOOKUP(A12,'[34]geoMap (31)'!$A:$C,3,0)</f>
        <v>#REF!</v>
      </c>
      <c r="AH12" s="1">
        <f>Y12/VLOOKUP(A12,'[131]geoMap (114)'!$A:$B,2,0)*VLOOKUP(A12,'[131]geoMap (114)'!$A:$C,3,0)</f>
        <v>23.343793992183898</v>
      </c>
      <c r="AI12" s="1">
        <f>AH12/VLOOKUP(A12,'[36]geoMap (33)'!$A:$B,2,0)*VLOOKUP(A12,'[36]geoMap (33)'!$A:$C,3,0)</f>
        <v>11.497689578239831</v>
      </c>
      <c r="AJ12" s="1">
        <f>AI12/VLOOKUP(A12,'[37]geoMap (34)'!$A:$B,2,0)*VLOOKUP(A12,'[37]geoMap (34)'!$A:$C,3,0)</f>
        <v>4.2525701179791158</v>
      </c>
      <c r="AK12" s="1" t="e">
        <f>Y12/VLOOKUP(A12,'[113]geoMap (117)'!$A:$B,2,0)*VLOOKUP(A12,'[113]geoMap (117)'!$A:$C,3,0)</f>
        <v>#REF!</v>
      </c>
      <c r="AL12" s="1" t="e">
        <f>Y12/VLOOKUP(A12,'[140]geoMap (118)'!$A:$B,2,0)*VLOOKUP(A12,'[140]geoMap (118)'!$A:$C,3,0)</f>
        <v>#REF!</v>
      </c>
      <c r="AM12" s="1">
        <f>AA12/VLOOKUP(A12,'[125]geoMap (120)'!$A:$B,2,0)*VLOOKUP(A12,'[125]geoMap (120)'!$A:$C,3,0)</f>
        <v>8.1969115282726257</v>
      </c>
      <c r="AN12" s="1">
        <f>AM12/VLOOKUP(A12,'[41]geoMap (38)'!$A:$B,2,0)*VLOOKUP(A12,'[41]geoMap (38)'!$A:$C,3,0)</f>
        <v>25.95688650619665</v>
      </c>
      <c r="AO12" s="1" t="e">
        <f>AN12/VLOOKUP(A12,'[42]geoMap (39)'!$A:$B,2,0)*VLOOKUP(A12,'[42]geoMap (39)'!$A:$C,3,0)</f>
        <v>#REF!</v>
      </c>
      <c r="AP12" s="1" t="e">
        <f>AN12/VLOOKUP(A12,'[126]geoMap (124)'!$A:$B,2,0)*VLOOKUP(A12,'[126]geoMap (124)'!$A:$C,3,0)</f>
        <v>#REF!</v>
      </c>
      <c r="AQ12" s="1">
        <f>AF12/VLOOKUP(A12,'[99]geoMap (126)'!$A:$B,2,0)*VLOOKUP(A12,'[99]geoMap (126)'!$A:$C,3,0)</f>
        <v>0.82382097445272251</v>
      </c>
      <c r="AR12" s="1" t="e">
        <f>AQ12/VLOOKUP(A12,'[45]geoMap (42)'!$A:$B,2,0)*VLOOKUP(A12,'[45]geoMap (42)'!$A:$C,3,0)</f>
        <v>#REF!</v>
      </c>
      <c r="AS12" s="1">
        <f>AA12/VLOOKUP(A12,'[101]geoMap (129)'!$A:$B,2,0)*VLOOKUP(A12,'[101]geoMap (129)'!$A:$C,3,0)</f>
        <v>1.8509155063841414</v>
      </c>
      <c r="AT12" s="1">
        <f>AS12/VLOOKUP(A12,'[47]geoMap (44)'!$A:$B,2,0)*VLOOKUP(A12,'[47]geoMap (44)'!$A:$C,3,0)</f>
        <v>1.5143854143142974</v>
      </c>
      <c r="AU12" s="1">
        <f>AT12/VLOOKUP(A12,'[48]geoMap (45)'!$A:$B,2,0)*VLOOKUP(A12,'[48]geoMap (45)'!$A:$C,3,0)</f>
        <v>1.8509155063841414</v>
      </c>
      <c r="AV12" s="1" t="e">
        <f>AU12/VLOOKUP(A12,'[49]geoMap (46)'!$A:$B,2,0)*VLOOKUP(A12,'[49]geoMap (46)'!$A:$C,3,0)</f>
        <v>#REF!</v>
      </c>
      <c r="AW12" s="1" t="e">
        <f>AN12/VLOOKUP(A12,'[87]geoMap (137)'!$A:$B,2,0)*VLOOKUP(A12,'[87]geoMap (137)'!$A:$C,3,0)</f>
        <v>#REF!</v>
      </c>
      <c r="AX12" s="1" t="e">
        <f>AN12/VLOOKUP(A12,'[70]geoMap (138)'!$A:$B,2,0)*VLOOKUP(A12,'[70]geoMap (138)'!$A:$C,3,0)</f>
        <v>#REF!</v>
      </c>
      <c r="AY12" s="1" t="e">
        <f>AN12/VLOOKUP(A12,'[88]geoMap (140)'!$A:$B,2,0)*VLOOKUP(A12,'[88]geoMap (140)'!$A:$C,3,0)</f>
        <v>#REF!</v>
      </c>
      <c r="AZ12" s="1" t="e">
        <f>AN12/VLOOKUP(A12,'[89]geoMap (141)'!$A:$B,2,0)*VLOOKUP(A12,'[89]geoMap (141)'!$A:$C,3,0)</f>
        <v>#REF!</v>
      </c>
      <c r="BA12" s="1" t="e">
        <f>AN12/VLOOKUP(A12,'[71]geoMap (143)'!$A:$B,2,0)*VLOOKUP(A12,'[71]geoMap (143)'!$A:$C,3,0)</f>
        <v>#REF!</v>
      </c>
      <c r="BB12" s="1" t="e">
        <f>AN12/VLOOKUP(A12,'[90]geoMap (144)'!$A:$B,2,0)*VLOOKUP(A12,'[90]geoMap (144)'!$A:$C,3,0)</f>
        <v>#REF!</v>
      </c>
      <c r="BC12" s="1" t="e">
        <f>AN12/VLOOKUP(A12,'[72]geoMap (146)'!$A:$B,2,0)*VLOOKUP(A12,'[72]geoMap (146)'!$A:$C,3,0)</f>
        <v>#REF!</v>
      </c>
      <c r="BD12" s="1" t="e">
        <f>AN12/VLOOKUP(A12,'[73]geoMap (147)'!$A:$B,2,0)*VLOOKUP(A12,'[73]geoMap (147)'!$A:$C,3,0)</f>
        <v>#REF!</v>
      </c>
      <c r="BE12" s="1" t="e">
        <f>AN12/VLOOKUP(A12,'[91]geoMap (148)'!$A:$B,2,0)*VLOOKUP(A12,'[91]geoMap (148)'!$A:$C,3,0)</f>
        <v>#REF!</v>
      </c>
      <c r="BF12" s="1" t="e">
        <f>AN12/VLOOKUP(A12,'[75]geoMap (150)'!$A:$B,2,0)*VLOOKUP(A12,'[75]geoMap (150)'!$A:$C,3,0)</f>
        <v>#REF!</v>
      </c>
      <c r="BG12" s="1" t="e">
        <f>AN12/VLOOKUP(A12,'[93]geoMap (152)'!$A:$B,2,0)*VLOOKUP(A12,'[93]geoMap (152)'!$A:$C,3,0)</f>
        <v>#REF!</v>
      </c>
      <c r="BH12" s="1" t="e">
        <f>AN12/VLOOKUP(A12,'[94]geoMap (154)'!$A:$B,2,0)*VLOOKUP(A12,'[94]geoMap (154)'!$A:$C,3,0)</f>
        <v>#REF!</v>
      </c>
      <c r="BI12" s="1" t="e">
        <f>AN12/VLOOKUP(A12,'[76]geoMap (156)'!$A:$B,2,0)*VLOOKUP(A12,'[76]geoMap (156)'!$A:$C,3,0)</f>
        <v>#REF!</v>
      </c>
      <c r="BJ12" s="1" t="e">
        <f>AN12/VLOOKUP(A12,'[77]geoMap (158)'!$A:$B,2,0)*VLOOKUP(A12,'[77]geoMap (158)'!$A:$C,3,0)</f>
        <v>#REF!</v>
      </c>
      <c r="BK12" s="1" t="e">
        <f>AN12/VLOOKUP(A12,'[78]geoMap (160)'!$A:$B,2,0)*VLOOKUP(A12,'[78]geoMap (160)'!$A:$C,3,0)</f>
        <v>#REF!</v>
      </c>
      <c r="BL12" s="1" t="e">
        <f>AN12/VLOOKUP(A12,'[79]geoMap (162)'!$A:$B,2,0)*VLOOKUP(A12,'[79]geoMap (162)'!$A:$C,3,0)</f>
        <v>#REF!</v>
      </c>
      <c r="BM12" s="1" t="e">
        <f>AN12/VLOOKUP(A12,'[80]geoMap (164)'!$A:$B,2,0)*VLOOKUP(A12,'[80]geoMap (164)'!$A:$C,3,0)</f>
        <v>#REF!</v>
      </c>
      <c r="BN12" s="1" t="e">
        <f>AN12/VLOOKUP(A12,'[81]geoMap (166)'!$A:$B,2,0)*VLOOKUP(A12,'[81]geoMap (166)'!$A:$C,3,0)</f>
        <v>#REF!</v>
      </c>
      <c r="BO12" s="1" t="e">
        <f>AN12/VLOOKUP(A12,'[82]geoMap (168)'!$A:$B,2,0)*VLOOKUP(A12,'[82]geoMap (168)'!$A:$C,3,0)</f>
        <v>#REF!</v>
      </c>
      <c r="BP12" s="1" t="e">
        <f>AN12/VLOOKUP(A12,'[83]geoMap (170)'!$A:$B,2,0)*VLOOKUP(A12,'[83]geoMap (170)'!$A:$C,3,0)</f>
        <v>#REF!</v>
      </c>
    </row>
    <row r="13" spans="1:68" x14ac:dyDescent="0.2">
      <c r="A13" s="1" t="s">
        <v>48</v>
      </c>
      <c r="B13" s="1">
        <f>VLOOKUP(A13,[3]geoMap!$A:$B,2,0)*Notes!$C$6</f>
        <v>8000</v>
      </c>
      <c r="C13" s="1">
        <f>B13/VLOOKUP(A13,'[4]geoMap (1)'!$A:$B,2,0)*VLOOKUP(A13,'[4]geoMap (1)'!$A:$C,3,0)</f>
        <v>9391.3043478260879</v>
      </c>
      <c r="D13" s="1">
        <f>C13/VLOOKUP(A13,'[5]geoMap (2)'!$A:$B,2,0)*VLOOKUP(A13,'[5]geoMap (2)'!$A:$C,3,0)</f>
        <v>8000.0000000000009</v>
      </c>
      <c r="E13" s="1">
        <f>D13/VLOOKUP(A13,'[6]geoMap (3)'!$A:$B,2,0)*VLOOKUP(A13,'[6]geoMap (3)'!$A:$C,3,0)</f>
        <v>5559.3220338983056</v>
      </c>
      <c r="F13" s="1">
        <f>E13/VLOOKUP(A13,'[7]geoMap (4)'!$A:$B,2,0)*VLOOKUP(A13,'[7]geoMap (4)'!$A:$C,3,0)</f>
        <v>4193.8745168004762</v>
      </c>
      <c r="G13" s="1">
        <f>F13/VLOOKUP(A13,'[8]geoMap (5)'!$A:$B,2,0)*VLOOKUP(A13,'[8]geoMap (5)'!$A:$C,3,0)</f>
        <v>4923.2439979831679</v>
      </c>
      <c r="H13" s="1">
        <f>G13/VLOOKUP(A13,'[9]geoMap (6)'!$A:$B,2,0)*VLOOKUP(A13,'[9]geoMap (6)'!$A:$C,3,0)</f>
        <v>2211.892230977945</v>
      </c>
      <c r="I13" s="1">
        <f>H13/VLOOKUP(A13,'[10]geoMap (7)'!$A:$B,2,0)*VLOOKUP(A13,'[10]geoMap (7)'!$A:$C,3,0)</f>
        <v>3459.6263099911444</v>
      </c>
      <c r="J13" s="1">
        <f>I13/VLOOKUP(A13,'[11]geoMap (8)'!$A:$B,2,0)*VLOOKUP(A13,'[11]geoMap (8)'!$A:$C,3,0)</f>
        <v>1413.0868026724393</v>
      </c>
      <c r="K13" s="1">
        <f>J13/VLOOKUP(A13,'[12]geoMap (9)'!$A:$B,2,0)*VLOOKUP(A13,'[12]geoMap (9)'!$A:$C,3,0)</f>
        <v>1470.7638150264165</v>
      </c>
      <c r="L13" s="1">
        <f>K13/VLOOKUP(A13,'[13]geoMap (10)'!$A:$B,2,0)*VLOOKUP(A13,'[13]geoMap (10)'!$A:$C,3,0)</f>
        <v>1155.6001403778985</v>
      </c>
      <c r="M13" s="1">
        <f>L13/VLOOKUP(A13,'[14]geoMap (11)'!$A:$B,2,0)*VLOOKUP(A13,'[14]geoMap (11)'!$A:$C,3,0)</f>
        <v>1303.1235625538004</v>
      </c>
      <c r="N13" s="1">
        <f>M13/VLOOKUP(A13,'[15]geoMap (12)'!$A:$B,2,0)*VLOOKUP(A13,'[15]geoMap (12)'!$A:$C,3,0)</f>
        <v>765.32653673794618</v>
      </c>
      <c r="O13" s="1">
        <f>N13/VLOOKUP(A13,'[16]geoMap (13)'!$A:$B,2,0)*VLOOKUP(A13,'[16]geoMap (13)'!$A:$C,3,0)</f>
        <v>531.83708485179318</v>
      </c>
      <c r="P13" s="1">
        <f>O13/VLOOKUP(A13,'[17]geoMap (14)'!$A:$B,2,0)*VLOOKUP(A13,'[17]geoMap (14)'!$A:$C,3,0)</f>
        <v>273.9766800751662</v>
      </c>
      <c r="Q13" s="1">
        <f>P13/VLOOKUP(A13,'[18]geoMap (15)'!$A:$B,2,0)*VLOOKUP(A13,'[18]geoMap (15)'!$A:$C,3,0)</f>
        <v>487.06965346696211</v>
      </c>
      <c r="R13" s="1">
        <f>Q13/VLOOKUP(A13,'[19]geoMap (16)'!$A:$B,2,0)*VLOOKUP(A13,'[19]geoMap (16)'!$A:$C,3,0)</f>
        <v>414.91118628667141</v>
      </c>
      <c r="S13" s="1">
        <f>R13/VLOOKUP(A13,'[20]geoMap (17)'!$A:$B,2,0)*VLOOKUP(A13,'[20]geoMap (17)'!$A:$C,3,0)</f>
        <v>382.99494118769667</v>
      </c>
      <c r="T13" s="1">
        <f>S13/VLOOKUP(A13,'[21]geoMap (18)'!$A:$B,2,0)*VLOOKUP(A13,'[21]geoMap (18)'!$A:$C,3,0)</f>
        <v>134.56579014702857</v>
      </c>
      <c r="U13" s="1">
        <f>T13/VLOOKUP(A13,'[22]geoMap (19)'!$A:$B,2,0)*VLOOKUP(A13,'[22]geoMap (19)'!$A:$C,3,0)</f>
        <v>157.96853625955526</v>
      </c>
      <c r="V13" s="1">
        <f>U13/VLOOKUP(A13,'[23]geoMap (20)'!$A:$B,2,0)*VLOOKUP(A13,'[23]geoMap (20)'!$A:$C,3,0)</f>
        <v>140.08530573960559</v>
      </c>
      <c r="W13" s="1">
        <f>V13/VLOOKUP(A13,'[24]geoMap (21)'!$A:$B,2,0)*VLOOKUP(A13,'[24]geoMap (21)'!$A:$C,3,0)</f>
        <v>62.936876491706862</v>
      </c>
      <c r="X13" s="1">
        <f>W13/VLOOKUP(A13,'[25]geoMap (22)'!$A:$B,2,0)*VLOOKUP(A13,'[25]geoMap (22)'!$A:$C,3,0)</f>
        <v>62.936876491706862</v>
      </c>
      <c r="Y13" s="1">
        <f>X13/VLOOKUP(A13,'[26]geoMap (23)'!$A:$B,2,0)*VLOOKUP(A13,'[26]geoMap (23)'!$A:$C,3,0)</f>
        <v>111.8877804297011</v>
      </c>
      <c r="Z13" s="1">
        <f>Y13/VLOOKUP(A13,'[27]geoMap (24)'!$A:$B,2,0)*VLOOKUP(A13,'[27]geoMap (24)'!$A:$C,3,0)</f>
        <v>71.534810438661353</v>
      </c>
      <c r="AA13" s="1">
        <f>Z13/VLOOKUP(A13,'[28]geoMap (25)'!$A:$B,2,0)*VLOOKUP(A13,'[28]geoMap (25)'!$A:$C,3,0)</f>
        <v>29.218443700298298</v>
      </c>
      <c r="AB13" s="1">
        <f>AA13*VLOOKUP(A13,'[29]geoMap (26)'!$A:$B,2,0)*VLOOKUP(A13,'[29]geoMap (26)'!$A:$C,3,0)</f>
        <v>7.1176128853926643</v>
      </c>
      <c r="AC13" s="1">
        <f>AB13/VLOOKUP(A13,'[30]geoMap (27)'!$A:$B,2,0)*VLOOKUP(A13,'[30]geoMap (27)'!$A:$C,3,0)</f>
        <v>11.612947339324872</v>
      </c>
      <c r="AD13" s="1">
        <f>AC13/VLOOKUP(A13,'[31]geoMap (28)'!$A:$B,2,0)*VLOOKUP(A13,'[31]geoMap (28)'!$A:$C,3,0)</f>
        <v>9.1244586237552561</v>
      </c>
      <c r="AE13" s="1">
        <f>AD13/VLOOKUP(A13,'[32]geoMap (29)'!$A:$B,2,0)*VLOOKUP(A13,'[32]geoMap (29)'!$A:$C,3,0)</f>
        <v>4.913170028175907</v>
      </c>
      <c r="AF13" s="1">
        <f>AE13/VLOOKUP(A13,'[33]geoMap (30)'!$A:$B,2,0)*VLOOKUP(A13,'[33]geoMap (30)'!$A:$C,3,0)</f>
        <v>8.0162247828133211</v>
      </c>
      <c r="AG13" s="1">
        <f>AF13/VLOOKUP(A13,'[34]geoMap (31)'!$A:$B,2,0)*VLOOKUP(A13,'[34]geoMap (31)'!$A:$C,3,0)</f>
        <v>5.3441498552088813</v>
      </c>
      <c r="AH13" s="1">
        <f>AG13/VLOOKUP(A13,'[35]geoMap (32)'!$A:$B,2,0)*VLOOKUP(A13,'[35]geoMap (32)'!$A:$C,3,0)</f>
        <v>1.7813832850696272</v>
      </c>
      <c r="AI13" s="1">
        <f>AH13/VLOOKUP(A13,'[36]geoMap (33)'!$A:$B,2,0)*VLOOKUP(A13,'[36]geoMap (33)'!$A:$C,3,0)</f>
        <v>8.6973419212222964</v>
      </c>
      <c r="AJ13" s="1">
        <f>AI13/VLOOKUP(A13,'[37]geoMap (34)'!$A:$B,2,0)*VLOOKUP(A13,'[37]geoMap (34)'!$A:$C,3,0)</f>
        <v>7.1160070264546063</v>
      </c>
      <c r="AK13" s="1">
        <f>AJ13/VLOOKUP(A13,'[38]geoMap (35)'!$A:$B,2,0)*VLOOKUP(A13,'[38]geoMap (35)'!$A:$C,3,0)</f>
        <v>7.7090076119924911</v>
      </c>
      <c r="AL13" s="1" t="e">
        <f>Z13/VLOOKUP(A13,'[114]geoMap (119)'!$A:$B,2,0)*VLOOKUP(A13,'[114]geoMap (119)'!$A:$C,3,0)</f>
        <v>#REF!</v>
      </c>
      <c r="AM13" s="1">
        <f>AA13/VLOOKUP(A13,'[125]geoMap (120)'!$A:$B,2,0)*VLOOKUP(A13,'[125]geoMap (120)'!$A:$C,3,0)</f>
        <v>13.749855858963905</v>
      </c>
      <c r="AN13" s="1">
        <f>AM13/VLOOKUP(A13,'[41]geoMap (38)'!$A:$B,2,0)*VLOOKUP(A13,'[41]geoMap (38)'!$A:$C,3,0)</f>
        <v>9.9567921737324827</v>
      </c>
      <c r="AO13" s="1">
        <f>AN13/VLOOKUP(A13,'[42]geoMap (39)'!$A:$B,2,0)*VLOOKUP(A13,'[42]geoMap (39)'!$A:$C,3,0)</f>
        <v>11.688408203946828</v>
      </c>
      <c r="AP13" s="1">
        <f>AO13/VLOOKUP(A13,'[43]geoMap (40)'!$A:$B,2,0)*VLOOKUP(A13,'[43]geoMap (40)'!$A:$C,3,0)</f>
        <v>24.837867433387011</v>
      </c>
      <c r="AQ13" s="1">
        <f>AP13/VLOOKUP(A13,'[44]geoMap (41)'!$A:$B,2,0)*VLOOKUP(A13,'[44]geoMap (41)'!$A:$C,3,0)</f>
        <v>15.22320907207591</v>
      </c>
      <c r="AR13" s="1">
        <f>AQ13/VLOOKUP(A13,'[45]geoMap (42)'!$A:$B,2,0)*VLOOKUP(A13,'[45]geoMap (42)'!$A:$C,3,0)</f>
        <v>15.844564544405539</v>
      </c>
      <c r="AS13" s="1">
        <f>AR13/VLOOKUP(A13,'[46]geoMap (43)'!$A:$B,2,0)*VLOOKUP(A13,'[46]geoMap (43)'!$A:$C,3,0)</f>
        <v>8.1623514319664903</v>
      </c>
      <c r="AT13" s="1">
        <f>AS13/VLOOKUP(A13,'[47]geoMap (44)'!$A:$B,2,0)*VLOOKUP(A13,'[47]geoMap (44)'!$A:$C,3,0)</f>
        <v>2.57758466272626</v>
      </c>
      <c r="AU13" s="1">
        <f>AT13/VLOOKUP(A13,'[48]geoMap (45)'!$A:$B,2,0)*VLOOKUP(A13,'[48]geoMap (45)'!$A:$C,3,0)</f>
        <v>3.5595216770981684</v>
      </c>
      <c r="AV13" s="1">
        <f>AU13/VLOOKUP(A13,'[49]geoMap (46)'!$A:$B,2,0)*VLOOKUP(A13,'[49]geoMap (46)'!$A:$C,3,0)</f>
        <v>4.0139286997064456</v>
      </c>
      <c r="AW13" s="1">
        <f>AV13/VLOOKUP(A13,'[50]geoMap (47)'!$A:$B,2,0)*VLOOKUP(A13,'[50]geoMap (47)'!$A:$C,3,0)</f>
        <v>3.5595216770981684</v>
      </c>
      <c r="AX13" s="1">
        <f>AW13/VLOOKUP(A13,'[51]geoMap (48)'!$A:$B,2,0)*VLOOKUP(A13,'[51]geoMap (48)'!$A:$C,3,0)</f>
        <v>4.0139286997064456</v>
      </c>
      <c r="AY13" s="1" t="e">
        <f>AX13/VLOOKUP(A13,'[52]geoMap (49)'!$A:$B,2,0)*VLOOKUP(A13,'[52]geoMap (49)'!$A:$C,3,0)</f>
        <v>#REF!</v>
      </c>
      <c r="AZ13" s="1" t="e">
        <f>AN13/VLOOKUP(A13,'[89]geoMap (141)'!$A:$B,2,0)*VLOOKUP(A13,'[89]geoMap (141)'!$A:$C,3,0)</f>
        <v>#REF!</v>
      </c>
      <c r="BA13" s="1" t="e">
        <f>AN13/VLOOKUP(A13,'[71]geoMap (143)'!$A:$B,2,0)*VLOOKUP(A13,'[71]geoMap (143)'!$A:$C,3,0)</f>
        <v>#REF!</v>
      </c>
      <c r="BB13" s="1">
        <f>AN13/VLOOKUP(A13,'[90]geoMap (144)'!$A:$B,2,0)*VLOOKUP(A13,'[90]geoMap (144)'!$A:$C,3,0)</f>
        <v>1.620873144561102</v>
      </c>
      <c r="BC13" s="1" t="e">
        <f>AN13/VLOOKUP(A13,'[72]geoMap (146)'!$A:$B,2,0)*VLOOKUP(A13,'[72]geoMap (146)'!$A:$C,3,0)</f>
        <v>#REF!</v>
      </c>
      <c r="BD13" s="1" t="e">
        <f>AN13/VLOOKUP(A13,'[73]geoMap (147)'!$A:$B,2,0)*VLOOKUP(A13,'[73]geoMap (147)'!$A:$C,3,0)</f>
        <v>#REF!</v>
      </c>
      <c r="BE13" s="1" t="e">
        <f>AN13/VLOOKUP(A13,'[91]geoMap (148)'!$A:$B,2,0)*VLOOKUP(A13,'[91]geoMap (148)'!$A:$C,3,0)</f>
        <v>#REF!</v>
      </c>
      <c r="BF13" s="1" t="e">
        <f>AN13/VLOOKUP(A13,'[75]geoMap (150)'!$A:$B,2,0)*VLOOKUP(A13,'[75]geoMap (150)'!$A:$C,3,0)</f>
        <v>#REF!</v>
      </c>
      <c r="BG13" s="1" t="e">
        <f>AN13/VLOOKUP(A13,'[93]geoMap (152)'!$A:$B,2,0)*VLOOKUP(A13,'[93]geoMap (152)'!$A:$C,3,0)</f>
        <v>#REF!</v>
      </c>
      <c r="BH13" s="1" t="e">
        <f>AN13/VLOOKUP(A13,'[94]geoMap (154)'!$A:$B,2,0)*VLOOKUP(A13,'[94]geoMap (154)'!$A:$C,3,0)</f>
        <v>#REF!</v>
      </c>
      <c r="BI13" s="1" t="e">
        <f>AN13/VLOOKUP(A13,'[76]geoMap (156)'!$A:$B,2,0)*VLOOKUP(A13,'[76]geoMap (156)'!$A:$C,3,0)</f>
        <v>#REF!</v>
      </c>
      <c r="BJ13" s="1" t="e">
        <f>AN13/VLOOKUP(A13,'[77]geoMap (158)'!$A:$B,2,0)*VLOOKUP(A13,'[77]geoMap (158)'!$A:$C,3,0)</f>
        <v>#REF!</v>
      </c>
      <c r="BK13" s="1" t="e">
        <f>AN13/VLOOKUP(A13,'[78]geoMap (160)'!$A:$B,2,0)*VLOOKUP(A13,'[78]geoMap (160)'!$A:$C,3,0)</f>
        <v>#REF!</v>
      </c>
      <c r="BL13" s="1" t="e">
        <f>AN13/VLOOKUP(A13,'[79]geoMap (162)'!$A:$B,2,0)*VLOOKUP(A13,'[79]geoMap (162)'!$A:$C,3,0)</f>
        <v>#REF!</v>
      </c>
      <c r="BM13" s="1" t="e">
        <f>AN13/VLOOKUP(A13,'[80]geoMap (164)'!$A:$B,2,0)*VLOOKUP(A13,'[80]geoMap (164)'!$A:$C,3,0)</f>
        <v>#REF!</v>
      </c>
      <c r="BN13" s="1" t="e">
        <f>AN13/VLOOKUP(A13,'[81]geoMap (166)'!$A:$B,2,0)*VLOOKUP(A13,'[81]geoMap (166)'!$A:$C,3,0)</f>
        <v>#REF!</v>
      </c>
      <c r="BO13" s="1" t="e">
        <f>AN13/VLOOKUP(A13,'[82]geoMap (168)'!$A:$B,2,0)*VLOOKUP(A13,'[82]geoMap (168)'!$A:$C,3,0)</f>
        <v>#REF!</v>
      </c>
      <c r="BP13" s="1" t="e">
        <f>AN13/VLOOKUP(A13,'[83]geoMap (170)'!$A:$B,2,0)*VLOOKUP(A13,'[83]geoMap (170)'!$A:$C,3,0)</f>
        <v>#REF!</v>
      </c>
    </row>
    <row r="14" spans="1:68" x14ac:dyDescent="0.2">
      <c r="A14" s="1" t="s">
        <v>44</v>
      </c>
      <c r="B14" s="1">
        <f>VLOOKUP(A14,[3]geoMap!$A:$B,2,0)*Notes!$C$6</f>
        <v>8000</v>
      </c>
      <c r="C14" s="1">
        <f>B14/VLOOKUP(A14,'[4]geoMap (1)'!$A:$B,2,0)*VLOOKUP(A14,'[4]geoMap (1)'!$A:$C,3,0)</f>
        <v>3764.705882352941</v>
      </c>
      <c r="D14" s="1">
        <f>C14/VLOOKUP(A14,'[5]geoMap (2)'!$A:$B,2,0)*VLOOKUP(A14,'[5]geoMap (2)'!$A:$C,3,0)</f>
        <v>5647.0588235294108</v>
      </c>
      <c r="E14" s="1">
        <f>D14/VLOOKUP(A14,'[6]geoMap (3)'!$A:$B,2,0)*VLOOKUP(A14,'[6]geoMap (3)'!$A:$C,3,0)</f>
        <v>4620.3208556149721</v>
      </c>
      <c r="F14" s="1">
        <f>E14/VLOOKUP(A14,'[7]geoMap (4)'!$A:$B,2,0)*VLOOKUP(A14,'[7]geoMap (4)'!$A:$C,3,0)</f>
        <v>5005.3475935828874</v>
      </c>
      <c r="G14" s="1">
        <f>F14/VLOOKUP(A14,'[8]geoMap (5)'!$A:$B,2,0)*VLOOKUP(A14,'[8]geoMap (5)'!$A:$C,3,0)</f>
        <v>2939.6485867074098</v>
      </c>
      <c r="H14" s="1">
        <f>G14/VLOOKUP(A14,'[9]geoMap (6)'!$A:$B,2,0)*VLOOKUP(A14,'[9]geoMap (6)'!$A:$C,3,0)</f>
        <v>5968.377433618075</v>
      </c>
      <c r="I14" s="1">
        <f>H14/VLOOKUP(A14,'[10]geoMap (7)'!$A:$B,2,0)*VLOOKUP(A14,'[10]geoMap (7)'!$A:$C,3,0)</f>
        <v>1683.3885069179187</v>
      </c>
      <c r="J14" s="1">
        <f>I14/VLOOKUP(A14,'[11]geoMap (8)'!$A:$B,2,0)*VLOOKUP(A14,'[11]geoMap (8)'!$A:$C,3,0)</f>
        <v>867.20013992741269</v>
      </c>
      <c r="K14" s="1">
        <f>J14/VLOOKUP(A14,'[12]geoMap (9)'!$A:$B,2,0)*VLOOKUP(A14,'[12]geoMap (9)'!$A:$C,3,0)</f>
        <v>800.49243685607325</v>
      </c>
      <c r="L14" s="1">
        <f>K14/VLOOKUP(A14,'[13]geoMap (10)'!$A:$B,2,0)*VLOOKUP(A14,'[13]geoMap (10)'!$A:$C,3,0)</f>
        <v>939.70851283104264</v>
      </c>
      <c r="M14" s="1">
        <f>L14/VLOOKUP(A14,'[14]geoMap (11)'!$A:$B,2,0)*VLOOKUP(A14,'[14]geoMap (11)'!$A:$C,3,0)</f>
        <v>680.47857825696201</v>
      </c>
      <c r="N14" s="1">
        <f>M14/VLOOKUP(A14,'[15]geoMap (12)'!$A:$B,2,0)*VLOOKUP(A14,'[15]geoMap (12)'!$A:$C,3,0)</f>
        <v>435.06007462330359</v>
      </c>
      <c r="O14" s="1">
        <f>N14/VLOOKUP(A14,'[16]geoMap (13)'!$A:$B,2,0)*VLOOKUP(A14,'[16]geoMap (13)'!$A:$C,3,0)</f>
        <v>385.80799070368431</v>
      </c>
      <c r="P14" s="1">
        <f>O14/VLOOKUP(A14,'[17]geoMap (14)'!$A:$B,2,0)*VLOOKUP(A14,'[17]geoMap (14)'!$A:$C,3,0)</f>
        <v>342.13161439760682</v>
      </c>
      <c r="Q14" s="1">
        <f>P14/VLOOKUP(A14,'[18]geoMap (15)'!$A:$B,2,0)*VLOOKUP(A14,'[18]geoMap (15)'!$A:$C,3,0)</f>
        <v>401.63276472762539</v>
      </c>
      <c r="R14" s="1">
        <f>Q14/VLOOKUP(A14,'[19]geoMap (16)'!$A:$B,2,0)*VLOOKUP(A14,'[19]geoMap (16)'!$A:$C,3,0)</f>
        <v>189.00365398947076</v>
      </c>
      <c r="S14" s="1">
        <f>R14/VLOOKUP(A14,'[20]geoMap (17)'!$A:$B,2,0)*VLOOKUP(A14,'[20]geoMap (17)'!$A:$C,3,0)</f>
        <v>383.73469143316794</v>
      </c>
      <c r="T14" s="1">
        <f>S14/VLOOKUP(A14,'[21]geoMap (18)'!$A:$B,2,0)*VLOOKUP(A14,'[21]geoMap (18)'!$A:$C,3,0)</f>
        <v>90.011841200372729</v>
      </c>
      <c r="U14" s="1">
        <f>T14/VLOOKUP(A14,'[22]geoMap (19)'!$A:$B,2,0)*VLOOKUP(A14,'[22]geoMap (19)'!$A:$C,3,0)</f>
        <v>76.676753615132327</v>
      </c>
      <c r="V14" s="1">
        <f>U14/VLOOKUP(A14,'[23]geoMap (20)'!$A:$B,2,0)*VLOOKUP(A14,'[23]geoMap (20)'!$A:$C,3,0)</f>
        <v>25.558917871710776</v>
      </c>
      <c r="W14" s="1">
        <f>V14/VLOOKUP(A14,'[24]geoMap (21)'!$A:$B,2,0)*VLOOKUP(A14,'[24]geoMap (21)'!$A:$C,3,0)</f>
        <v>21.772411520346214</v>
      </c>
      <c r="X14" s="1">
        <f>W14/VLOOKUP(A14,'[25]geoMap (22)'!$A:$B,2,0)*VLOOKUP(A14,'[25]geoMap (22)'!$A:$C,3,0)</f>
        <v>55.986201052318826</v>
      </c>
      <c r="Y14" s="1">
        <f>X14/VLOOKUP(A14,'[26]geoMap (23)'!$A:$B,2,0)*VLOOKUP(A14,'[26]geoMap (23)'!$A:$C,3,0)</f>
        <v>58.271352115678773</v>
      </c>
      <c r="Z14" s="1">
        <f>Y14/VLOOKUP(A14,'[27]geoMap (24)'!$A:$B,2,0)*VLOOKUP(A14,'[27]geoMap (24)'!$A:$C,3,0)</f>
        <v>83.853896946952375</v>
      </c>
      <c r="AA14" s="1">
        <f>Z14/VLOOKUP(A14,'[28]geoMap (25)'!$A:$B,2,0)*VLOOKUP(A14,'[28]geoMap (25)'!$A:$C,3,0)</f>
        <v>32.609848812703703</v>
      </c>
      <c r="AB14" s="1">
        <f>AA14*VLOOKUP(A14,'[29]geoMap (26)'!$A:$B,2,0)*VLOOKUP(A14,'[29]geoMap (26)'!$A:$C,3,0)</f>
        <v>7.0959031016443257</v>
      </c>
      <c r="AC14" s="1">
        <f>AB14/VLOOKUP(A14,'[30]geoMap (27)'!$A:$B,2,0)*VLOOKUP(A14,'[30]geoMap (27)'!$A:$C,3,0)</f>
        <v>37.253491283632712</v>
      </c>
      <c r="AD14" s="1">
        <f>AC14/VLOOKUP(A14,'[31]geoMap (28)'!$A:$B,2,0)*VLOOKUP(A14,'[31]geoMap (28)'!$A:$C,3,0)</f>
        <v>6.0645218368704423</v>
      </c>
      <c r="AE14" s="1">
        <f>AD14/VLOOKUP(A14,'[32]geoMap (29)'!$A:$B,2,0)*VLOOKUP(A14,'[32]geoMap (29)'!$A:$C,3,0)</f>
        <v>20.302964410392352</v>
      </c>
      <c r="AF14" s="1">
        <f>AE14/VLOOKUP(A14,'[33]geoMap (30)'!$A:$B,2,0)*VLOOKUP(A14,'[33]geoMap (30)'!$A:$C,3,0)</f>
        <v>9.1216216916255508</v>
      </c>
      <c r="AG14" s="1">
        <f>AF14/VLOOKUP(A14,'[34]geoMap (31)'!$A:$B,2,0)*VLOOKUP(A14,'[34]geoMap (31)'!$A:$C,3,0)</f>
        <v>13.126236092827012</v>
      </c>
      <c r="AH14" s="1">
        <f>AG14/VLOOKUP(A14,'[35]geoMap (32)'!$A:$B,2,0)*VLOOKUP(A14,'[35]geoMap (32)'!$A:$C,3,0)</f>
        <v>13.126236092827012</v>
      </c>
      <c r="AI14" s="1">
        <f>AH14/VLOOKUP(A14,'[36]geoMap (33)'!$A:$B,2,0)*VLOOKUP(A14,'[36]geoMap (33)'!$A:$C,3,0)</f>
        <v>7.3835078022151936</v>
      </c>
      <c r="AJ14" s="1">
        <f>AI14/VLOOKUP(A14,'[37]geoMap (34)'!$A:$B,2,0)*VLOOKUP(A14,'[37]geoMap (34)'!$A:$C,3,0)</f>
        <v>13.126236092827012</v>
      </c>
      <c r="AK14" s="1">
        <f>AJ14/VLOOKUP(A14,'[38]geoMap (35)'!$A:$B,2,0)*VLOOKUP(A14,'[38]geoMap (35)'!$A:$C,3,0)</f>
        <v>4.611920789371653</v>
      </c>
      <c r="AL14" s="1">
        <f>AK14/VLOOKUP(A14,'[39]geoMap (36)'!$A:$B,2,0)*VLOOKUP(A14,'[39]geoMap (36)'!$A:$C,3,0)</f>
        <v>2.4833419635078129</v>
      </c>
      <c r="AM14" s="1">
        <f>AL14/VLOOKUP(A14,'[40]geoMap (37)'!$A:$B,2,0)*VLOOKUP(A14,'[40]geoMap (37)'!$A:$C,3,0)</f>
        <v>6.385736477591518</v>
      </c>
      <c r="AN14" s="1">
        <f>AM14/VLOOKUP(A14,'[41]geoMap (38)'!$A:$B,2,0)*VLOOKUP(A14,'[41]geoMap (38)'!$A:$C,3,0)</f>
        <v>4.4375456878178348</v>
      </c>
      <c r="AO14" s="1">
        <f>AN14/VLOOKUP(A14,'[42]geoMap (39)'!$A:$B,2,0)*VLOOKUP(A14,'[42]geoMap (39)'!$A:$C,3,0)</f>
        <v>7.5558210360141516</v>
      </c>
      <c r="AP14" s="1">
        <f>AO14/VLOOKUP(A14,'[43]geoMap (40)'!$A:$B,2,0)*VLOOKUP(A14,'[43]geoMap (40)'!$A:$C,3,0)</f>
        <v>2.2569335562120192</v>
      </c>
      <c r="AQ14" s="1">
        <f>AP14/VLOOKUP(A14,'[44]geoMap (41)'!$A:$B,2,0)*VLOOKUP(A14,'[44]geoMap (41)'!$A:$C,3,0)</f>
        <v>4.3811063149998022</v>
      </c>
      <c r="AR14" s="1">
        <f>AQ14/VLOOKUP(A14,'[45]geoMap (42)'!$A:$B,2,0)*VLOOKUP(A14,'[45]geoMap (42)'!$A:$C,3,0)</f>
        <v>1.0952765787499505</v>
      </c>
      <c r="AS14" s="1">
        <f>AR14/VLOOKUP(A14,'[46]geoMap (43)'!$A:$B,2,0)*VLOOKUP(A14,'[46]geoMap (43)'!$A:$C,3,0)</f>
        <v>2.5556453504165511</v>
      </c>
      <c r="AT14" s="1">
        <f>AS14/VLOOKUP(A14,'[47]geoMap (44)'!$A:$B,2,0)*VLOOKUP(A14,'[47]geoMap (44)'!$A:$C,3,0)</f>
        <v>4.5433695118516466</v>
      </c>
      <c r="AU14" s="1" t="e">
        <f>AT14/VLOOKUP(A14,'[48]geoMap (45)'!$A:$B,2,0)*VLOOKUP(A14,'[48]geoMap (45)'!$A:$C,3,0)</f>
        <v>#REF!</v>
      </c>
      <c r="AV14" s="1">
        <f>AN14/VLOOKUP(A14,'[86]geoMap (135)'!$A:$B,2,0)*VLOOKUP(A14,'[86]geoMap (135)'!$A:$C,3,0)</f>
        <v>5.8823280047817805</v>
      </c>
      <c r="AW14" s="1">
        <f>AV14/VLOOKUP(A14,'[50]geoMap (47)'!$A:$B,2,0)*VLOOKUP(A14,'[50]geoMap (47)'!$A:$C,3,0)</f>
        <v>1.3798053344549854</v>
      </c>
      <c r="AX14" s="1">
        <f>AW14/VLOOKUP(A14,'[51]geoMap (48)'!$A:$B,2,0)*VLOOKUP(A14,'[51]geoMap (48)'!$A:$C,3,0)</f>
        <v>4.6193482936101686</v>
      </c>
      <c r="AY14" s="1">
        <f>AX14/VLOOKUP(A14,'[52]geoMap (49)'!$A:$B,2,0)*VLOOKUP(A14,'[52]geoMap (49)'!$A:$C,3,0)</f>
        <v>0.7519869315179345</v>
      </c>
      <c r="AZ14" s="1">
        <f>AY14/VLOOKUP(A14,'[53]geoMap (50)'!$A:$B,2,0)*VLOOKUP(A14,'[53]geoMap (50)'!$A:$C,3,0)</f>
        <v>3.4257182435817017</v>
      </c>
      <c r="BA14" s="1" t="e">
        <f>AZ14/VLOOKUP(A14,'[54]geoMap (51)'!$A:$B,2,0)*VLOOKUP(A14,'[54]geoMap (51)'!$A:$C,3,0)</f>
        <v>#REF!</v>
      </c>
      <c r="BB14" s="1">
        <f>AN14/VLOOKUP(A14,'[90]geoMap (144)'!$A:$B,2,0)*VLOOKUP(A14,'[90]geoMap (144)'!$A:$C,3,0)</f>
        <v>1.2516154504101584</v>
      </c>
      <c r="BC14" s="1" t="e">
        <f>BB14/VLOOKUP(A14,'[56]geoMap (53)'!$A:$B,2,0)*VLOOKUP(A14,'[56]geoMap (53)'!$A:$C,3,0)</f>
        <v>#REF!</v>
      </c>
      <c r="BD14" s="1" t="e">
        <f>AN14/VLOOKUP(A14,'[73]geoMap (147)'!$A:$B,2,0)*VLOOKUP(A14,'[73]geoMap (147)'!$A:$C,3,0)</f>
        <v>#REF!</v>
      </c>
      <c r="BE14" s="1" t="e">
        <f>AN14/VLOOKUP(A14,'[91]geoMap (148)'!$A:$B,2,0)*VLOOKUP(A14,'[91]geoMap (148)'!$A:$C,3,0)</f>
        <v>#REF!</v>
      </c>
      <c r="BF14" s="1" t="e">
        <f>AN14/VLOOKUP(A14,'[75]geoMap (150)'!$A:$B,2,0)*VLOOKUP(A14,'[75]geoMap (150)'!$A:$C,3,0)</f>
        <v>#REF!</v>
      </c>
      <c r="BG14" s="1" t="e">
        <f>AN14/VLOOKUP(A14,'[93]geoMap (152)'!$A:$B,2,0)*VLOOKUP(A14,'[93]geoMap (152)'!$A:$C,3,0)</f>
        <v>#REF!</v>
      </c>
      <c r="BH14" s="1" t="e">
        <f>AN14/VLOOKUP(A14,'[94]geoMap (154)'!$A:$B,2,0)*VLOOKUP(A14,'[94]geoMap (154)'!$A:$C,3,0)</f>
        <v>#REF!</v>
      </c>
      <c r="BI14" s="1" t="e">
        <f>AN14/VLOOKUP(A14,'[76]geoMap (156)'!$A:$B,2,0)*VLOOKUP(A14,'[76]geoMap (156)'!$A:$C,3,0)</f>
        <v>#REF!</v>
      </c>
      <c r="BJ14" s="1">
        <f>AN14/VLOOKUP(A14,'[77]geoMap (158)'!$A:$B,2,0)*VLOOKUP(A14,'[77]geoMap (158)'!$A:$C,3,0)</f>
        <v>0.43887814494901656</v>
      </c>
      <c r="BK14" s="1" t="e">
        <f>BJ14/VLOOKUP(A14,'[64]geoMap (61)'!$A:$B,2,0)*VLOOKUP(A14,'[64]geoMap (61)'!$A:$C,3,0)</f>
        <v>#REF!</v>
      </c>
      <c r="BL14" s="1" t="e">
        <f>AN14/VLOOKUP(A14,'[79]geoMap (162)'!$A:$B,2,0)*VLOOKUP(A14,'[79]geoMap (162)'!$A:$C,3,0)</f>
        <v>#REF!</v>
      </c>
      <c r="BM14" s="1" t="e">
        <f>AN14/VLOOKUP(A14,'[80]geoMap (164)'!$A:$B,2,0)*VLOOKUP(A14,'[80]geoMap (164)'!$A:$C,3,0)</f>
        <v>#REF!</v>
      </c>
      <c r="BN14" s="1" t="e">
        <f>AN14/VLOOKUP(A14,'[81]geoMap (166)'!$A:$B,2,0)*VLOOKUP(A14,'[81]geoMap (166)'!$A:$C,3,0)</f>
        <v>#REF!</v>
      </c>
      <c r="BO14" s="1" t="e">
        <f>AN14/VLOOKUP(A14,'[82]geoMap (168)'!$A:$B,2,0)*VLOOKUP(A14,'[82]geoMap (168)'!$A:$C,3,0)</f>
        <v>#REF!</v>
      </c>
      <c r="BP14" s="1" t="e">
        <f>AN14/VLOOKUP(A14,'[83]geoMap (170)'!$A:$B,2,0)*VLOOKUP(A14,'[83]geoMap (170)'!$A:$C,3,0)</f>
        <v>#REF!</v>
      </c>
    </row>
    <row r="15" spans="1:68" x14ac:dyDescent="0.2">
      <c r="A15" s="1" t="s">
        <v>55</v>
      </c>
      <c r="B15" s="1">
        <f>VLOOKUP(A15,[3]geoMap!$A:$B,2,0)*Notes!$C$6</f>
        <v>7000</v>
      </c>
      <c r="C15" s="1">
        <f>B15/VLOOKUP(A15,'[4]geoMap (1)'!$A:$B,2,0)*VLOOKUP(A15,'[4]geoMap (1)'!$A:$C,3,0)</f>
        <v>8217.391304347826</v>
      </c>
      <c r="D15" s="1">
        <f>C15/VLOOKUP(A15,'[5]geoMap (2)'!$A:$B,2,0)*VLOOKUP(A15,'[5]geoMap (2)'!$A:$C,3,0)</f>
        <v>5710.3905674281505</v>
      </c>
      <c r="E15" s="1">
        <f>D15/VLOOKUP(A15,'[6]geoMap (3)'!$A:$B,2,0)*VLOOKUP(A15,'[6]geoMap (3)'!$A:$C,3,0)</f>
        <v>4672.1377369866686</v>
      </c>
      <c r="F15" s="1">
        <f>E15/VLOOKUP(A15,'[7]geoMap (4)'!$A:$B,2,0)*VLOOKUP(A15,'[7]geoMap (4)'!$A:$C,3,0)</f>
        <v>3524.595134919768</v>
      </c>
      <c r="G15" s="1">
        <f>F15/VLOOKUP(A15,'[8]geoMap (5)'!$A:$B,2,0)*VLOOKUP(A15,'[8]geoMap (5)'!$A:$C,3,0)</f>
        <v>4307.8384982352727</v>
      </c>
      <c r="H15" s="1">
        <f>G15/VLOOKUP(A15,'[9]geoMap (6)'!$A:$B,2,0)*VLOOKUP(A15,'[9]geoMap (6)'!$A:$C,3,0)</f>
        <v>2027.2181168165987</v>
      </c>
      <c r="I15" s="1">
        <f>H15/VLOOKUP(A15,'[10]geoMap (7)'!$A:$B,2,0)*VLOOKUP(A15,'[10]geoMap (7)'!$A:$C,3,0)</f>
        <v>1296.0902714073338</v>
      </c>
      <c r="J15" s="1">
        <f>I15/VLOOKUP(A15,'[11]geoMap (8)'!$A:$B,2,0)*VLOOKUP(A15,'[11]geoMap (8)'!$A:$C,3,0)</f>
        <v>1461.548603927419</v>
      </c>
      <c r="K15" s="1">
        <f>J15/VLOOKUP(A15,'[12]geoMap (9)'!$A:$B,2,0)*VLOOKUP(A15,'[12]geoMap (9)'!$A:$C,3,0)</f>
        <v>1349.1217882406943</v>
      </c>
      <c r="L15" s="1">
        <f>K15/VLOOKUP(A15,'[13]geoMap (10)'!$A:$B,2,0)*VLOOKUP(A15,'[13]geoMap (10)'!$A:$C,3,0)</f>
        <v>792.34136769691565</v>
      </c>
      <c r="M15" s="1">
        <f>L15/VLOOKUP(A15,'[14]geoMap (11)'!$A:$B,2,0)*VLOOKUP(A15,'[14]geoMap (11)'!$A:$C,3,0)</f>
        <v>485.62858020133541</v>
      </c>
      <c r="N15" s="1">
        <f>M15/VLOOKUP(A15,'[15]geoMap (12)'!$A:$B,2,0)*VLOOKUP(A15,'[15]geoMap (12)'!$A:$C,3,0)</f>
        <v>863.33969813570741</v>
      </c>
      <c r="O15" s="1">
        <f>N15/VLOOKUP(A15,'[16]geoMap (13)'!$A:$B,2,0)*VLOOKUP(A15,'[16]geoMap (13)'!$A:$C,3,0)</f>
        <v>464.87522207307313</v>
      </c>
      <c r="P15" s="1">
        <f>O15/VLOOKUP(A15,'[17]geoMap (14)'!$A:$B,2,0)*VLOOKUP(A15,'[17]geoMap (14)'!$A:$C,3,0)</f>
        <v>273.02195582069373</v>
      </c>
      <c r="Q15" s="1">
        <f>P15/VLOOKUP(A15,'[18]geoMap (15)'!$A:$B,2,0)*VLOOKUP(A15,'[18]geoMap (15)'!$A:$C,3,0)</f>
        <v>320.50403509385785</v>
      </c>
      <c r="R15" s="1">
        <f>Q15/VLOOKUP(A15,'[19]geoMap (16)'!$A:$B,2,0)*VLOOKUP(A15,'[19]geoMap (16)'!$A:$C,3,0)</f>
        <v>295.84987854817643</v>
      </c>
      <c r="S15" s="1">
        <f>R15/VLOOKUP(A15,'[20]geoMap (17)'!$A:$B,2,0)*VLOOKUP(A15,'[20]geoMap (17)'!$A:$C,3,0)</f>
        <v>120.84009123798755</v>
      </c>
      <c r="T15" s="1">
        <f>S15/VLOOKUP(A15,'[21]geoMap (18)'!$A:$B,2,0)*VLOOKUP(A15,'[21]geoMap (18)'!$A:$C,3,0)</f>
        <v>116.10126413061549</v>
      </c>
      <c r="U15" s="1">
        <f>T15/VLOOKUP(A15,'[22]geoMap (19)'!$A:$B,2,0)*VLOOKUP(A15,'[22]geoMap (19)'!$A:$C,3,0)</f>
        <v>116.10126413061549</v>
      </c>
      <c r="V15" s="1">
        <f>U15/VLOOKUP(A15,'[23]geoMap (20)'!$A:$B,2,0)*VLOOKUP(A15,'[23]geoMap (20)'!$A:$C,3,0)</f>
        <v>174.15189619592323</v>
      </c>
      <c r="W15" s="1">
        <f>V15/VLOOKUP(A15,'[24]geoMap (21)'!$A:$B,2,0)*VLOOKUP(A15,'[24]geoMap (21)'!$A:$C,3,0)</f>
        <v>46.293542026764399</v>
      </c>
      <c r="X15" s="1">
        <f>W15/VLOOKUP(A15,'[25]geoMap (22)'!$A:$B,2,0)*VLOOKUP(A15,'[25]geoMap (22)'!$A:$C,3,0)</f>
        <v>63.929177084579401</v>
      </c>
      <c r="Y15" s="1">
        <f>X15/VLOOKUP(A15,'[26]geoMap (23)'!$A:$B,2,0)*VLOOKUP(A15,'[26]geoMap (23)'!$A:$C,3,0)</f>
        <v>52.305690341928596</v>
      </c>
      <c r="Z15" s="1">
        <f>Y15/VLOOKUP(A15,'[27]geoMap (24)'!$A:$B,2,0)*VLOOKUP(A15,'[27]geoMap (24)'!$A:$C,3,0)</f>
        <v>41.097328125801035</v>
      </c>
      <c r="AA15" s="1">
        <f>Z15/VLOOKUP(A15,'[28]geoMap (25)'!$A:$B,2,0)*VLOOKUP(A15,'[28]geoMap (25)'!$A:$C,3,0)</f>
        <v>56.753453126106187</v>
      </c>
      <c r="AB15" s="1">
        <f>AA15*VLOOKUP(A15,'[29]geoMap (26)'!$A:$B,2,0)*VLOOKUP(A15,'[29]geoMap (26)'!$A:$C,3,0)</f>
        <v>14.165661900276104</v>
      </c>
      <c r="AC15" s="1">
        <f>AB15/VLOOKUP(A15,'[30]geoMap (27)'!$A:$B,2,0)*VLOOKUP(A15,'[30]geoMap (27)'!$A:$C,3,0)</f>
        <v>15.346133725299113</v>
      </c>
      <c r="AD15" s="1">
        <f>AC15/VLOOKUP(A15,'[31]geoMap (28)'!$A:$B,2,0)*VLOOKUP(A15,'[31]geoMap (28)'!$A:$C,3,0)</f>
        <v>12.057676498449302</v>
      </c>
      <c r="AE15" s="1">
        <f>AD15/VLOOKUP(A15,'[32]geoMap (29)'!$A:$B,2,0)*VLOOKUP(A15,'[32]geoMap (29)'!$A:$C,3,0)</f>
        <v>9.4738886773530222</v>
      </c>
      <c r="AF15" s="1">
        <f>AE15/VLOOKUP(A15,'[33]geoMap (30)'!$A:$B,2,0)*VLOOKUP(A15,'[33]geoMap (30)'!$A:$C,3,0)</f>
        <v>6.0570763674879977</v>
      </c>
      <c r="AG15" s="1">
        <f>AF15/VLOOKUP(A15,'[34]geoMap (31)'!$A:$B,2,0)*VLOOKUP(A15,'[34]geoMap (31)'!$A:$C,3,0)</f>
        <v>7.1104809531380839</v>
      </c>
      <c r="AH15" s="1">
        <f>AG15/VLOOKUP(A15,'[35]geoMap (32)'!$A:$B,2,0)*VLOOKUP(A15,'[35]geoMap (32)'!$A:$C,3,0)</f>
        <v>7.7030210325662578</v>
      </c>
      <c r="AI15" s="1">
        <f>AH15/VLOOKUP(A15,'[36]geoMap (33)'!$A:$B,2,0)*VLOOKUP(A15,'[36]geoMap (33)'!$A:$C,3,0)</f>
        <v>9.8038449505388758</v>
      </c>
      <c r="AJ15" s="1">
        <f>AI15/VLOOKUP(A15,'[37]geoMap (34)'!$A:$B,2,0)*VLOOKUP(A15,'[37]geoMap (34)'!$A:$C,3,0)</f>
        <v>7.7030210325662587</v>
      </c>
      <c r="AK15" s="1">
        <f>AJ15/VLOOKUP(A15,'[38]geoMap (35)'!$A:$B,2,0)*VLOOKUP(A15,'[38]geoMap (35)'!$A:$C,3,0)</f>
        <v>17.145433911195866</v>
      </c>
      <c r="AL15" s="1">
        <f>AK15/VLOOKUP(A15,'[39]geoMap (36)'!$A:$B,2,0)*VLOOKUP(A15,'[39]geoMap (36)'!$A:$C,3,0)</f>
        <v>1.4909072966257275</v>
      </c>
      <c r="AM15" s="1">
        <f>AL15/VLOOKUP(A15,'[40]geoMap (37)'!$A:$B,2,0)*VLOOKUP(A15,'[40]geoMap (37)'!$A:$C,3,0)</f>
        <v>3.3184710795862964</v>
      </c>
      <c r="AN15" s="1">
        <f>AM15/VLOOKUP(A15,'[41]geoMap (38)'!$A:$B,2,0)*VLOOKUP(A15,'[41]geoMap (38)'!$A:$C,3,0)</f>
        <v>4.223508646746196</v>
      </c>
      <c r="AO15" s="1">
        <f>AN15/VLOOKUP(A15,'[42]geoMap (39)'!$A:$B,2,0)*VLOOKUP(A15,'[42]geoMap (39)'!$A:$C,3,0)</f>
        <v>5.1620661238009067</v>
      </c>
      <c r="AP15" s="1">
        <f>AO15/VLOOKUP(A15,'[43]geoMap (40)'!$A:$B,2,0)*VLOOKUP(A15,'[43]geoMap (40)'!$A:$C,3,0)</f>
        <v>5.3727627002825766</v>
      </c>
      <c r="AQ15" s="1">
        <f>AP15/VLOOKUP(A15,'[44]geoMap (41)'!$A:$B,2,0)*VLOOKUP(A15,'[44]geoMap (41)'!$A:$C,3,0)</f>
        <v>0.87463578841809397</v>
      </c>
      <c r="AR15" s="1">
        <f>AQ15/VLOOKUP(A15,'[45]geoMap (42)'!$A:$B,2,0)*VLOOKUP(A15,'[45]geoMap (42)'!$A:$C,3,0)</f>
        <v>5.8533318147980129</v>
      </c>
      <c r="AS15" s="1">
        <f>AR15/VLOOKUP(A15,'[46]geoMap (43)'!$A:$B,2,0)*VLOOKUP(A15,'[46]geoMap (43)'!$A:$C,3,0)</f>
        <v>2.2762957057547832</v>
      </c>
      <c r="AT15" s="1" t="e">
        <f>AS15/VLOOKUP(A15,'[47]geoMap (44)'!$A:$B,2,0)*VLOOKUP(A15,'[47]geoMap (44)'!$A:$C,3,0)</f>
        <v>#REF!</v>
      </c>
      <c r="AU15" s="1">
        <f>AN15/VLOOKUP(A15,'[85]geoMap (133)'!$A:$B,2,0)*VLOOKUP(A15,'[85]geoMap (133)'!$A:$C,3,0)</f>
        <v>2.5886020738121847</v>
      </c>
      <c r="AV15" s="1">
        <f>AU15/VLOOKUP(A15,'[49]geoMap (46)'!$A:$B,2,0)*VLOOKUP(A15,'[49]geoMap (46)'!$A:$C,3,0)</f>
        <v>3.0387937388229997</v>
      </c>
      <c r="AW15" s="1" t="e">
        <f>AV15/VLOOKUP(A15,'[50]geoMap (47)'!$A:$B,2,0)*VLOOKUP(A15,'[50]geoMap (47)'!$A:$C,3,0)</f>
        <v>#REF!</v>
      </c>
      <c r="AX15" s="1" t="e">
        <f>AN15/VLOOKUP(A15,'[70]geoMap (138)'!$A:$B,2,0)*VLOOKUP(A15,'[70]geoMap (138)'!$A:$C,3,0)</f>
        <v>#REF!</v>
      </c>
      <c r="AY15" s="1">
        <f>AN15/VLOOKUP(A15,'[88]geoMap (140)'!$A:$B,2,0)*VLOOKUP(A15,'[88]geoMap (140)'!$A:$C,3,0)</f>
        <v>1.1227048301477229</v>
      </c>
      <c r="AZ15" s="1" t="e">
        <f>AY15/VLOOKUP(A15,'[53]geoMap (50)'!$A:$B,2,0)*VLOOKUP(A15,'[53]geoMap (50)'!$A:$C,3,0)</f>
        <v>#REF!</v>
      </c>
      <c r="BA15" s="1" t="e">
        <f>AN15/VLOOKUP(A15,'[71]geoMap (143)'!$A:$B,2,0)*VLOOKUP(A15,'[71]geoMap (143)'!$A:$C,3,0)</f>
        <v>#REF!</v>
      </c>
      <c r="BB15" s="1" t="e">
        <f>AN15/VLOOKUP(A15,'[90]geoMap (144)'!$A:$B,2,0)*VLOOKUP(A15,'[90]geoMap (144)'!$A:$C,3,0)</f>
        <v>#REF!</v>
      </c>
      <c r="BC15" s="1">
        <f>AN15/VLOOKUP(A15,'[72]geoMap (146)'!$A:$B,2,0)*VLOOKUP(A15,'[72]geoMap (146)'!$A:$C,3,0)</f>
        <v>1.3337395726566934</v>
      </c>
      <c r="BD15" s="1" t="e">
        <f>BC15/VLOOKUP(A15,'[57]geoMap (54)'!$A:$B,2,0)*VLOOKUP(A15,'[57]geoMap (54)'!$A:$C,3,0)</f>
        <v>#REF!</v>
      </c>
      <c r="BE15" s="1" t="e">
        <f>AN15/VLOOKUP(A15,'[91]geoMap (148)'!$A:$B,2,0)*VLOOKUP(A15,'[91]geoMap (148)'!$A:$C,3,0)</f>
        <v>#REF!</v>
      </c>
      <c r="BF15" s="1" t="e">
        <f>AN15/VLOOKUP(A15,'[75]geoMap (150)'!$A:$B,2,0)*VLOOKUP(A15,'[75]geoMap (150)'!$A:$C,3,0)</f>
        <v>#REF!</v>
      </c>
      <c r="BG15" s="1" t="e">
        <f>AN15/VLOOKUP(A15,'[93]geoMap (152)'!$A:$B,2,0)*VLOOKUP(A15,'[93]geoMap (152)'!$A:$C,3,0)</f>
        <v>#REF!</v>
      </c>
      <c r="BH15" s="1" t="e">
        <f>AN15/VLOOKUP(A15,'[94]geoMap (154)'!$A:$B,2,0)*VLOOKUP(A15,'[94]geoMap (154)'!$A:$C,3,0)</f>
        <v>#REF!</v>
      </c>
      <c r="BI15" s="1" t="e">
        <f>AN15/VLOOKUP(A15,'[76]geoMap (156)'!$A:$B,2,0)*VLOOKUP(A15,'[76]geoMap (156)'!$A:$C,3,0)</f>
        <v>#REF!</v>
      </c>
      <c r="BJ15" s="1" t="e">
        <f>AN15/VLOOKUP(A15,'[77]geoMap (158)'!$A:$B,2,0)*VLOOKUP(A15,'[77]geoMap (158)'!$A:$C,3,0)</f>
        <v>#REF!</v>
      </c>
      <c r="BK15" s="1" t="e">
        <f>AN15/VLOOKUP(A15,'[78]geoMap (160)'!$A:$B,2,0)*VLOOKUP(A15,'[78]geoMap (160)'!$A:$C,3,0)</f>
        <v>#REF!</v>
      </c>
      <c r="BL15" s="1" t="e">
        <f>AN15/VLOOKUP(A15,'[79]geoMap (162)'!$A:$B,2,0)*VLOOKUP(A15,'[79]geoMap (162)'!$A:$C,3,0)</f>
        <v>#REF!</v>
      </c>
      <c r="BM15" s="1" t="e">
        <f>AN15/VLOOKUP(A15,'[80]geoMap (164)'!$A:$B,2,0)*VLOOKUP(A15,'[80]geoMap (164)'!$A:$C,3,0)</f>
        <v>#REF!</v>
      </c>
      <c r="BN15" s="1" t="e">
        <f>AN15/VLOOKUP(A15,'[81]geoMap (166)'!$A:$B,2,0)*VLOOKUP(A15,'[81]geoMap (166)'!$A:$C,3,0)</f>
        <v>#REF!</v>
      </c>
      <c r="BO15" s="1" t="e">
        <f>AN15/VLOOKUP(A15,'[82]geoMap (168)'!$A:$B,2,0)*VLOOKUP(A15,'[82]geoMap (168)'!$A:$C,3,0)</f>
        <v>#REF!</v>
      </c>
      <c r="BP15" s="1" t="e">
        <f>AN15/VLOOKUP(A15,'[83]geoMap (170)'!$A:$B,2,0)*VLOOKUP(A15,'[83]geoMap (170)'!$A:$C,3,0)</f>
        <v>#REF!</v>
      </c>
    </row>
    <row r="16" spans="1:68" x14ac:dyDescent="0.2">
      <c r="A16" s="1" t="s">
        <v>60</v>
      </c>
      <c r="B16" s="1">
        <f>VLOOKUP(A16,[3]geoMap!$A:$B,2,0)*Notes!$C$6</f>
        <v>7000</v>
      </c>
      <c r="C16" s="1">
        <f>B16/VLOOKUP(A16,'[4]geoMap (1)'!$A:$B,2,0)*VLOOKUP(A16,'[4]geoMap (1)'!$A:$C,3,0)</f>
        <v>5962.9629629629626</v>
      </c>
      <c r="D16" s="1">
        <f>C16/VLOOKUP(A16,'[5]geoMap (2)'!$A:$B,2,0)*VLOOKUP(A16,'[5]geoMap (2)'!$A:$C,3,0)</f>
        <v>4878.7878787878781</v>
      </c>
      <c r="E16" s="1">
        <f>D16/VLOOKUP(A16,'[6]geoMap (3)'!$A:$B,2,0)*VLOOKUP(A16,'[6]geoMap (3)'!$A:$C,3,0)</f>
        <v>3390.3441191576781</v>
      </c>
      <c r="F16" s="1">
        <f>E16/VLOOKUP(A16,'[7]geoMap (4)'!$A:$B,2,0)*VLOOKUP(A16,'[7]geoMap (4)'!$A:$C,3,0)</f>
        <v>3390.3441191576781</v>
      </c>
      <c r="G16" s="1">
        <f>F16/VLOOKUP(A16,'[8]geoMap (5)'!$A:$B,2,0)*VLOOKUP(A16,'[8]geoMap (5)'!$A:$C,3,0)</f>
        <v>3672.8727957541519</v>
      </c>
      <c r="H16" s="1">
        <f>G16/VLOOKUP(A16,'[9]geoMap (6)'!$A:$B,2,0)*VLOOKUP(A16,'[9]geoMap (6)'!$A:$C,3,0)</f>
        <v>2348.2301481051136</v>
      </c>
      <c r="I16" s="1">
        <f>H16/VLOOKUP(A16,'[10]geoMap (7)'!$A:$B,2,0)*VLOOKUP(A16,'[10]geoMap (7)'!$A:$C,3,0)</f>
        <v>1055.0019505979496</v>
      </c>
      <c r="J16" s="1">
        <f>I16/VLOOKUP(A16,'[11]geoMap (8)'!$A:$B,2,0)*VLOOKUP(A16,'[11]geoMap (8)'!$A:$C,3,0)</f>
        <v>1398.490957769375</v>
      </c>
      <c r="K16" s="1">
        <f>J16/VLOOKUP(A16,'[12]geoMap (9)'!$A:$B,2,0)*VLOOKUP(A16,'[12]geoMap (9)'!$A:$C,3,0)</f>
        <v>1455.5722213517986</v>
      </c>
      <c r="L16" s="1">
        <f>K16/VLOOKUP(A16,'[13]geoMap (10)'!$A:$B,2,0)*VLOOKUP(A16,'[13]geoMap (10)'!$A:$C,3,0)</f>
        <v>623.81666629362792</v>
      </c>
      <c r="M16" s="1">
        <f>L16/VLOOKUP(A16,'[14]geoMap (11)'!$A:$B,2,0)*VLOOKUP(A16,'[14]geoMap (11)'!$A:$C,3,0)</f>
        <v>451.72931007469612</v>
      </c>
      <c r="N16" s="1">
        <f>M16/VLOOKUP(A16,'[15]geoMap (12)'!$A:$B,2,0)*VLOOKUP(A16,'[15]geoMap (12)'!$A:$C,3,0)</f>
        <v>706.55097216811441</v>
      </c>
      <c r="O16" s="1">
        <f>N16/VLOOKUP(A16,'[16]geoMap (13)'!$A:$B,2,0)*VLOOKUP(A16,'[16]geoMap (13)'!$A:$C,3,0)</f>
        <v>397.43492184456431</v>
      </c>
      <c r="P16" s="1">
        <f>O16/VLOOKUP(A16,'[17]geoMap (14)'!$A:$B,2,0)*VLOOKUP(A16,'[17]geoMap (14)'!$A:$C,3,0)</f>
        <v>264.95661456304288</v>
      </c>
      <c r="Q16" s="1">
        <f>P16/VLOOKUP(A16,'[18]geoMap (15)'!$A:$B,2,0)*VLOOKUP(A16,'[18]geoMap (15)'!$A:$C,3,0)</f>
        <v>254.56615908998234</v>
      </c>
      <c r="R16" s="1">
        <f>Q16/VLOOKUP(A16,'[19]geoMap (16)'!$A:$B,2,0)*VLOOKUP(A16,'[19]geoMap (16)'!$A:$C,3,0)</f>
        <v>192.04113755910947</v>
      </c>
      <c r="S16" s="1">
        <f>R16/VLOOKUP(A16,'[20]geoMap (17)'!$A:$B,2,0)*VLOOKUP(A16,'[20]geoMap (17)'!$A:$C,3,0)</f>
        <v>108.02313987699908</v>
      </c>
      <c r="T16" s="1">
        <f>S16/VLOOKUP(A16,'[21]geoMap (18)'!$A:$B,2,0)*VLOOKUP(A16,'[21]geoMap (18)'!$A:$C,3,0)</f>
        <v>108.02313987699908</v>
      </c>
      <c r="U16" s="1">
        <f>T16/VLOOKUP(A16,'[22]geoMap (19)'!$A:$B,2,0)*VLOOKUP(A16,'[22]geoMap (19)'!$A:$C,3,0)</f>
        <v>75.066927711134952</v>
      </c>
      <c r="V16" s="1">
        <f>U16/VLOOKUP(A16,'[23]geoMap (20)'!$A:$B,2,0)*VLOOKUP(A16,'[23]geoMap (20)'!$A:$C,3,0)</f>
        <v>159.51722138616176</v>
      </c>
      <c r="W16" s="1">
        <f>V16/VLOOKUP(A16,'[24]geoMap (21)'!$A:$B,2,0)*VLOOKUP(A16,'[24]geoMap (21)'!$A:$C,3,0)</f>
        <v>37.417619831321893</v>
      </c>
      <c r="X16" s="1">
        <f>W16/VLOOKUP(A16,'[25]geoMap (22)'!$A:$B,2,0)*VLOOKUP(A16,'[25]geoMap (22)'!$A:$C,3,0)</f>
        <v>45.73264646050454</v>
      </c>
      <c r="Y16" s="1">
        <f>X16/VLOOKUP(A16,'[26]geoMap (23)'!$A:$B,2,0)*VLOOKUP(A16,'[26]geoMap (23)'!$A:$C,3,0)</f>
        <v>51.570856646951938</v>
      </c>
      <c r="Z16" s="1">
        <f>Y16/VLOOKUP(A16,'[27]geoMap (24)'!$A:$B,2,0)*VLOOKUP(A16,'[27]geoMap (24)'!$A:$C,3,0)</f>
        <v>31.607944396518931</v>
      </c>
      <c r="AA16" s="1">
        <f>Z16/VLOOKUP(A16,'[28]geoMap (25)'!$A:$B,2,0)*VLOOKUP(A16,'[28]geoMap (25)'!$A:$C,3,0)</f>
        <v>37.104978204609182</v>
      </c>
      <c r="AB16" s="1">
        <f>AA16*VLOOKUP(A16,'[29]geoMap (26)'!$A:$B,2,0)*VLOOKUP(A16,'[29]geoMap (26)'!$A:$C,3,0)</f>
        <v>8.6491704194943999</v>
      </c>
      <c r="AC16" s="1">
        <f>AB16/VLOOKUP(A16,'[30]geoMap (27)'!$A:$B,2,0)*VLOOKUP(A16,'[30]geoMap (27)'!$A:$C,3,0)</f>
        <v>7.0765939795863266</v>
      </c>
      <c r="AD16" s="1">
        <f>AC16/VLOOKUP(A16,'[31]geoMap (28)'!$A:$B,2,0)*VLOOKUP(A16,'[31]geoMap (28)'!$A:$C,3,0)</f>
        <v>4.5243797574404381</v>
      </c>
      <c r="AE16" s="1">
        <f>AD16/VLOOKUP(A16,'[32]geoMap (29)'!$A:$B,2,0)*VLOOKUP(A16,'[32]geoMap (29)'!$A:$C,3,0)</f>
        <v>5.3112284109083401</v>
      </c>
      <c r="AF16" s="1">
        <f>AE16/VLOOKUP(A16,'[33]geoMap (30)'!$A:$B,2,0)*VLOOKUP(A16,'[33]geoMap (30)'!$A:$C,3,0)</f>
        <v>2.3862040686689645</v>
      </c>
      <c r="AG16" s="1">
        <f>AF16/VLOOKUP(A16,'[34]geoMap (31)'!$A:$B,2,0)*VLOOKUP(A16,'[34]geoMap (31)'!$A:$C,3,0)</f>
        <v>2.6908258646692578</v>
      </c>
      <c r="AH16" s="1">
        <f>AG16/VLOOKUP(A16,'[35]geoMap (32)'!$A:$B,2,0)*VLOOKUP(A16,'[35]geoMap (32)'!$A:$C,3,0)</f>
        <v>7.6585043840586566</v>
      </c>
      <c r="AI16" s="1">
        <f>AH16/VLOOKUP(A16,'[36]geoMap (33)'!$A:$B,2,0)*VLOOKUP(A16,'[36]geoMap (33)'!$A:$C,3,0)</f>
        <v>3.9452901372423383</v>
      </c>
      <c r="AJ16" s="1">
        <f>AI16/VLOOKUP(A16,'[37]geoMap (34)'!$A:$B,2,0)*VLOOKUP(A16,'[37]geoMap (34)'!$A:$C,3,0)</f>
        <v>3.0998708221189797</v>
      </c>
      <c r="AK16" s="1">
        <f>AJ16/VLOOKUP(A16,'[38]geoMap (35)'!$A:$B,2,0)*VLOOKUP(A16,'[38]geoMap (35)'!$A:$C,3,0)</f>
        <v>2.3384990412476516</v>
      </c>
      <c r="AL16" s="1">
        <f>AK16/VLOOKUP(A16,'[39]geoMap (36)'!$A:$B,2,0)*VLOOKUP(A16,'[39]geoMap (36)'!$A:$C,3,0)</f>
        <v>1.1004701370577183</v>
      </c>
      <c r="AM16" s="1">
        <f>AL16/VLOOKUP(A16,'[40]geoMap (37)'!$A:$B,2,0)*VLOOKUP(A16,'[40]geoMap (37)'!$A:$C,3,0)</f>
        <v>2.1362067366414532</v>
      </c>
      <c r="AN16" s="1">
        <f>AM16/VLOOKUP(A16,'[41]geoMap (38)'!$A:$B,2,0)*VLOOKUP(A16,'[41]geoMap (38)'!$A:$C,3,0)</f>
        <v>3.0740535966303839</v>
      </c>
      <c r="AO16" s="1">
        <f>AN16/VLOOKUP(A16,'[42]geoMap (39)'!$A:$B,2,0)*VLOOKUP(A16,'[42]geoMap (39)'!$A:$C,3,0)</f>
        <v>1.5140860998328758</v>
      </c>
      <c r="AP16" s="1">
        <f>AO16/VLOOKUP(A16,'[43]geoMap (40)'!$A:$B,2,0)*VLOOKUP(A16,'[43]geoMap (40)'!$A:$C,3,0)</f>
        <v>1.3426801262668897</v>
      </c>
      <c r="AQ16" s="1">
        <f>AP16/VLOOKUP(A16,'[44]geoMap (41)'!$A:$B,2,0)*VLOOKUP(A16,'[44]geoMap (41)'!$A:$C,3,0)</f>
        <v>0.66132006219115469</v>
      </c>
      <c r="AR16" s="1">
        <f>AQ16/VLOOKUP(A16,'[45]geoMap (42)'!$A:$B,2,0)*VLOOKUP(A16,'[45]geoMap (42)'!$A:$C,3,0)</f>
        <v>0.95165569925068594</v>
      </c>
      <c r="AS16" s="1">
        <f>AR16/VLOOKUP(A16,'[46]geoMap (43)'!$A:$B,2,0)*VLOOKUP(A16,'[46]geoMap (43)'!$A:$C,3,0)</f>
        <v>1.932149449993817</v>
      </c>
      <c r="AT16" s="1">
        <f>AS16/VLOOKUP(A16,'[47]geoMap (44)'!$A:$B,2,0)*VLOOKUP(A16,'[47]geoMap (44)'!$A:$C,3,0)</f>
        <v>0.19109170384554233</v>
      </c>
      <c r="AU16" s="1">
        <f>AT16/VLOOKUP(A16,'[48]geoMap (45)'!$A:$B,2,0)*VLOOKUP(A16,'[48]geoMap (45)'!$A:$C,3,0)</f>
        <v>0.76436681538216933</v>
      </c>
      <c r="AV16" s="1">
        <f>AU16/VLOOKUP(A16,'[49]geoMap (46)'!$A:$B,2,0)*VLOOKUP(A16,'[49]geoMap (46)'!$A:$C,3,0)</f>
        <v>0.31220616402933676</v>
      </c>
      <c r="AW16" s="1">
        <f>AV16/VLOOKUP(A16,'[50]geoMap (47)'!$A:$B,2,0)*VLOOKUP(A16,'[50]geoMap (47)'!$A:$C,3,0)</f>
        <v>0.10969405763192913</v>
      </c>
      <c r="AX16" s="1">
        <f>AW16/VLOOKUP(A16,'[51]geoMap (48)'!$A:$B,2,0)*VLOOKUP(A16,'[51]geoMap (48)'!$A:$C,3,0)</f>
        <v>0.12877128504617769</v>
      </c>
      <c r="AY16" s="1">
        <f>AX16/VLOOKUP(A16,'[52]geoMap (49)'!$A:$B,2,0)*VLOOKUP(A16,'[52]geoMap (49)'!$A:$C,3,0)</f>
        <v>0.67604924649243281</v>
      </c>
      <c r="AZ16" s="1">
        <f>AY16/VLOOKUP(A16,'[53]geoMap (50)'!$A:$B,2,0)*VLOOKUP(A16,'[53]geoMap (50)'!$A:$C,3,0)</f>
        <v>0.22534974883081094</v>
      </c>
      <c r="BA16" s="1">
        <f>AZ16/VLOOKUP(A16,'[54]geoMap (51)'!$A:$B,2,0)*VLOOKUP(A16,'[54]geoMap (51)'!$A:$C,3,0)</f>
        <v>0.21651250377862225</v>
      </c>
      <c r="BB16" s="1">
        <f>BA16/VLOOKUP(A16,'[55]geoMap (52)'!$A:$B,2,0)*VLOOKUP(A16,'[55]geoMap (52)'!$A:$C,3,0)</f>
        <v>0.20802181735593117</v>
      </c>
      <c r="BC16" s="1">
        <f>BB16/VLOOKUP(A16,'[56]geoMap (53)'!$A:$B,2,0)*VLOOKUP(A16,'[56]geoMap (53)'!$A:$C,3,0)</f>
        <v>0.13299755535871011</v>
      </c>
      <c r="BD16" s="1">
        <f>BC16/VLOOKUP(A16,'[57]geoMap (54)'!$A:$B,2,0)*VLOOKUP(A16,'[57]geoMap (54)'!$A:$C,3,0)</f>
        <v>0.11329421382408637</v>
      </c>
      <c r="BE16" s="1">
        <f>BD16/VLOOKUP(A16,'[58]geoMap (55)'!$A:$B,2,0)*VLOOKUP(A16,'[58]geoMap (55)'!$A:$C,3,0)</f>
        <v>0.24075020437618355</v>
      </c>
      <c r="BF16" s="1" t="e">
        <f>BE16/VLOOKUP(A16,'[59]geoMap (56)'!$A:$B,2,0)*VLOOKUP(A16,'[59]geoMap (56)'!$A:$C,3,0)</f>
        <v>#REF!</v>
      </c>
      <c r="BG16" s="1" t="e">
        <f>AN16/VLOOKUP(A16,'[93]geoMap (152)'!$A:$B,2,0)*VLOOKUP(A16,'[93]geoMap (152)'!$A:$C,3,0)</f>
        <v>#REF!</v>
      </c>
      <c r="BH16" s="1">
        <f>AN16/VLOOKUP(A16,'[94]geoMap (154)'!$A:$B,2,0)*VLOOKUP(A16,'[94]geoMap (154)'!$A:$C,3,0)</f>
        <v>3.1051046430609942E-2</v>
      </c>
      <c r="BI16" s="1" t="e">
        <f>BH16/VLOOKUP(A16,'[62]geoMap (59)'!$A:$B,2,0)*VLOOKUP(A16,'[62]geoMap (59)'!$A:$C,3,0)</f>
        <v>#REF!</v>
      </c>
      <c r="BJ16" s="1">
        <f>AN16/VLOOKUP(A16,'[77]geoMap (158)'!$A:$B,2,0)*VLOOKUP(A16,'[77]geoMap (158)'!$A:$C,3,0)</f>
        <v>9.5073822576197439E-2</v>
      </c>
      <c r="BK16" s="1">
        <f>BJ16/VLOOKUP(A16,'[64]geoMap (61)'!$A:$B,2,0)*VLOOKUP(A16,'[64]geoMap (61)'!$A:$C,3,0)</f>
        <v>6.0784902958552468E-2</v>
      </c>
      <c r="BL16" s="1">
        <f>BK16/VLOOKUP(A16,'[65]geoMap (62)'!$A:$B,2,0)*VLOOKUP(A16,'[65]geoMap (62)'!$A:$C,3,0)</f>
        <v>9.0828015915078407E-3</v>
      </c>
      <c r="BM16" s="1">
        <f>BL16/VLOOKUP(A16,'[66]geoMap (63)'!$A:$B,2,0)*VLOOKUP(A16,'[66]geoMap (63)'!$A:$C,3,0)</f>
        <v>6.0552010610052283E-3</v>
      </c>
      <c r="BN16" s="1" t="e">
        <f>BM16/VLOOKUP(A16,'[67]geoMap (64)'!$A:$B,2,0)*VLOOKUP(A16,'[67]geoMap (64)'!$A:$C,3,0)</f>
        <v>#REF!</v>
      </c>
      <c r="BO16" s="1" t="e">
        <f>AN16/VLOOKUP(A16,'[82]geoMap (168)'!$A:$B,2,0)*VLOOKUP(A16,'[82]geoMap (168)'!$A:$C,3,0)</f>
        <v>#REF!</v>
      </c>
      <c r="BP16" s="1" t="e">
        <f>AN16/VLOOKUP(A16,'[83]geoMap (170)'!$A:$B,2,0)*VLOOKUP(A16,'[83]geoMap (170)'!$A:$C,3,0)</f>
        <v>#REF!</v>
      </c>
    </row>
    <row r="17" spans="1:68" x14ac:dyDescent="0.2">
      <c r="A17" s="1" t="s">
        <v>61</v>
      </c>
      <c r="B17" s="1">
        <f>VLOOKUP(A17,[3]geoMap!$A:$B,2,0)*Notes!$C$6</f>
        <v>7000</v>
      </c>
      <c r="C17" s="1">
        <f>B17/VLOOKUP(A17,'[4]geoMap (1)'!$A:$B,2,0)*VLOOKUP(A17,'[4]geoMap (1)'!$A:$C,3,0)</f>
        <v>3937.5</v>
      </c>
      <c r="D17" s="1">
        <f>C17/VLOOKUP(A17,'[5]geoMap (2)'!$A:$B,2,0)*VLOOKUP(A17,'[5]geoMap (2)'!$A:$C,3,0)</f>
        <v>7994.318181818182</v>
      </c>
      <c r="E17" s="1">
        <f>D17/VLOOKUP(A17,'[6]geoMap (3)'!$A:$B,2,0)*VLOOKUP(A17,'[6]geoMap (3)'!$A:$C,3,0)</f>
        <v>3937.5000000000005</v>
      </c>
      <c r="F17" s="1">
        <f>E17/VLOOKUP(A17,'[7]geoMap (4)'!$A:$B,2,0)*VLOOKUP(A17,'[7]geoMap (4)'!$A:$C,3,0)</f>
        <v>2970.3947368421059</v>
      </c>
      <c r="G17" s="1">
        <f>F17/VLOOKUP(A17,'[8]geoMap (5)'!$A:$B,2,0)*VLOOKUP(A17,'[8]geoMap (5)'!$A:$C,3,0)</f>
        <v>3217.9276315789484</v>
      </c>
      <c r="H17" s="1">
        <f>G17/VLOOKUP(A17,'[9]geoMap (6)'!$A:$B,2,0)*VLOOKUP(A17,'[9]geoMap (6)'!$A:$C,3,0)</f>
        <v>1972.2782258064524</v>
      </c>
      <c r="I17" s="1">
        <f>H17/VLOOKUP(A17,'[10]geoMap (7)'!$A:$B,2,0)*VLOOKUP(A17,'[10]geoMap (7)'!$A:$C,3,0)</f>
        <v>2315.2831346423568</v>
      </c>
      <c r="J17" s="1">
        <f>I17/VLOOKUP(A17,'[11]geoMap (8)'!$A:$B,2,0)*VLOOKUP(A17,'[11]geoMap (8)'!$A:$C,3,0)</f>
        <v>813.47785811758479</v>
      </c>
      <c r="K17" s="1">
        <f>J17/VLOOKUP(A17,'[12]geoMap (9)'!$A:$B,2,0)*VLOOKUP(A17,'[12]geoMap (9)'!$A:$C,3,0)</f>
        <v>846.68103599993526</v>
      </c>
      <c r="L17" s="1">
        <f>K17/VLOOKUP(A17,'[13]geoMap (10)'!$A:$B,2,0)*VLOOKUP(A17,'[13]geoMap (10)'!$A:$C,3,0)</f>
        <v>380.39292921736228</v>
      </c>
      <c r="M17" s="1">
        <f>L17/VLOOKUP(A17,'[14]geoMap (11)'!$A:$B,2,0)*VLOOKUP(A17,'[14]geoMap (11)'!$A:$C,3,0)</f>
        <v>594.97355595536146</v>
      </c>
      <c r="N17" s="1">
        <f>M17/VLOOKUP(A17,'[15]geoMap (12)'!$A:$B,2,0)*VLOOKUP(A17,'[15]geoMap (12)'!$A:$C,3,0)</f>
        <v>506.82932544345601</v>
      </c>
      <c r="O17" s="1">
        <f>N17/VLOOKUP(A17,'[16]geoMap (13)'!$A:$B,2,0)*VLOOKUP(A17,'[16]geoMap (13)'!$A:$C,3,0)</f>
        <v>249.63235432289622</v>
      </c>
      <c r="P17" s="1" t="e">
        <f>F17/VLOOKUP(A17,'[129]geoMap (84)'!$A:$B,2,0)*VLOOKUP(A17,'[129]geoMap (84)'!$A:$C,3,0)</f>
        <v>#REF!</v>
      </c>
      <c r="Q17" s="1">
        <f>F17/VLOOKUP(A17,'[130]geoMap (85)'!$A:$B,2,0)*VLOOKUP(A17,'[130]geoMap (85)'!$A:$C,3,0)</f>
        <v>123.76644736842108</v>
      </c>
      <c r="R17" s="1" t="e">
        <f>L17/VLOOKUP(A17,'[136]geoMap (89)'!$A:$B,2,0)*VLOOKUP(A17,'[136]geoMap (89)'!$A:$C,3,0)</f>
        <v>#REF!</v>
      </c>
      <c r="S17" s="1">
        <f>O17/VLOOKUP(A17,'[110]geoMap (90)'!$A:$B,2,0)*VLOOKUP(A17,'[110]geoMap (90)'!$A:$C,3,0)</f>
        <v>153.00047523016218</v>
      </c>
      <c r="T17" s="1">
        <f>S17/VLOOKUP(A17,'[21]geoMap (18)'!$A:$B,2,0)*VLOOKUP(A17,'[21]geoMap (18)'!$A:$C,3,0)</f>
        <v>110.79344758046227</v>
      </c>
      <c r="U17" s="1" t="e">
        <f>P17/VLOOKUP(A17,'[137]geoMap (94)'!$A:$B,2,0)*VLOOKUP(A17,'[137]geoMap (94)'!$A:$C,3,0)</f>
        <v>#REF!</v>
      </c>
      <c r="V17" s="1" t="e">
        <f>Q17/VLOOKUP(A17,'[95]geoMap (96)'!$A:$B,2,0)*VLOOKUP(A17,'[95]geoMap (96)'!$A:$C,3,0)</f>
        <v>#REF!</v>
      </c>
      <c r="W17" s="1" t="e">
        <f>O17/VLOOKUP(A17,'[121]geoMap (98)'!$A:$B,2,0)*VLOOKUP(A17,'[121]geoMap (98)'!$A:$C,3,0)</f>
        <v>#REF!</v>
      </c>
      <c r="X17" s="1">
        <f>O17/VLOOKUP(A17,'[141]geoMap (99)'!$A:$B,2,0)*VLOOKUP(A17,'[141]geoMap (99)'!$A:$C,3,0)</f>
        <v>54.797346070879655</v>
      </c>
      <c r="Y17" s="1">
        <f>X17/VLOOKUP(A17,'[26]geoMap (23)'!$A:$B,2,0)*VLOOKUP(A17,'[26]geoMap (23)'!$A:$C,3,0)</f>
        <v>38.079511676373997</v>
      </c>
      <c r="Z17" s="1">
        <f>Y17/VLOOKUP(A17,'[27]geoMap (24)'!$A:$B,2,0)*VLOOKUP(A17,'[27]geoMap (24)'!$A:$C,3,0)</f>
        <v>27.574818800132896</v>
      </c>
      <c r="AA17" s="1">
        <f>Z17/VLOOKUP(A17,'[28]geoMap (25)'!$A:$B,2,0)*VLOOKUP(A17,'[28]geoMap (25)'!$A:$C,3,0)</f>
        <v>38.079511676373997</v>
      </c>
      <c r="AB17" s="1">
        <f>AA17*VLOOKUP(A17,'[29]geoMap (26)'!$A:$B,2,0)*VLOOKUP(A17,'[29]geoMap (26)'!$A:$C,3,0)</f>
        <v>9.516069967925862</v>
      </c>
      <c r="AC17" s="1">
        <f>AB17/VLOOKUP(A17,'[30]geoMap (27)'!$A:$B,2,0)*VLOOKUP(A17,'[30]geoMap (27)'!$A:$C,3,0)</f>
        <v>7.4769121176560329</v>
      </c>
      <c r="AD17" s="1">
        <f>AC17/VLOOKUP(A17,'[31]geoMap (28)'!$A:$B,2,0)*VLOOKUP(A17,'[31]geoMap (28)'!$A:$C,3,0)</f>
        <v>7.4769121176560329</v>
      </c>
      <c r="AE17" s="1">
        <f>AD17/VLOOKUP(A17,'[32]geoMap (29)'!$A:$B,2,0)*VLOOKUP(A17,'[32]geoMap (29)'!$A:$C,3,0)</f>
        <v>5.1958202851508029</v>
      </c>
      <c r="AF17" s="1">
        <f>AE17/VLOOKUP(A17,'[33]geoMap (30)'!$A:$B,2,0)*VLOOKUP(A17,'[33]geoMap (30)'!$A:$C,3,0)</f>
        <v>3.7624905513160987</v>
      </c>
      <c r="AG17" s="1" t="e">
        <f>AF17/VLOOKUP(A17,'[34]geoMap (31)'!$A:$B,2,0)*VLOOKUP(A17,'[34]geoMap (31)'!$A:$C,3,0)</f>
        <v>#REF!</v>
      </c>
      <c r="AH17" s="1">
        <f>Y17/VLOOKUP(A17,'[131]geoMap (114)'!$A:$B,2,0)*VLOOKUP(A17,'[131]geoMap (114)'!$A:$C,3,0)</f>
        <v>22.364157651203776</v>
      </c>
      <c r="AI17" s="1" t="e">
        <f>AH17/VLOOKUP(A17,'[36]geoMap (33)'!$A:$B,2,0)*VLOOKUP(A17,'[36]geoMap (33)'!$A:$C,3,0)</f>
        <v>#REF!</v>
      </c>
      <c r="AJ17" s="1" t="e">
        <f>Y17/VLOOKUP(A17,'[112]geoMap (116)'!$A:$B,2,0)*VLOOKUP(A17,'[112]geoMap (116)'!$A:$C,3,0)</f>
        <v>#REF!</v>
      </c>
      <c r="AK17" s="1" t="e">
        <f>Y17/VLOOKUP(A17,'[113]geoMap (117)'!$A:$B,2,0)*VLOOKUP(A17,'[113]geoMap (117)'!$A:$C,3,0)</f>
        <v>#REF!</v>
      </c>
      <c r="AL17" s="1" t="e">
        <f>Y17/VLOOKUP(A17,'[140]geoMap (118)'!$A:$B,2,0)*VLOOKUP(A17,'[140]geoMap (118)'!$A:$C,3,0)</f>
        <v>#REF!</v>
      </c>
      <c r="AM17" s="1">
        <f>AA17/VLOOKUP(A17,'[125]geoMap (120)'!$A:$B,2,0)*VLOOKUP(A17,'[125]geoMap (120)'!$A:$C,3,0)</f>
        <v>18.75558037791555</v>
      </c>
      <c r="AN17" s="1">
        <f>AM17/VLOOKUP(A17,'[41]geoMap (38)'!$A:$B,2,0)*VLOOKUP(A17,'[41]geoMap (38)'!$A:$C,3,0)</f>
        <v>14.14894660088366</v>
      </c>
      <c r="AO17" s="1" t="e">
        <f>AN17/VLOOKUP(A17,'[42]geoMap (39)'!$A:$B,2,0)*VLOOKUP(A17,'[42]geoMap (39)'!$A:$C,3,0)</f>
        <v>#REF!</v>
      </c>
      <c r="AP17" s="1">
        <f>AF17/100*0</f>
        <v>0</v>
      </c>
      <c r="AQ17" s="1" t="e">
        <f>AF17/VLOOKUP(A17,'[99]geoMap (126)'!$A:$B,2,0)*VLOOKUP(A17,'[99]geoMap (126)'!$A:$C,3,0)</f>
        <v>#REF!</v>
      </c>
      <c r="AR17" s="1" t="e">
        <f>AA17/VLOOKUP(A17,'[100]geoMap (128)'!$A:$B,2,0)*VLOOKUP(A17,'[100]geoMap (128)'!$A:$C,3,0)</f>
        <v>#REF!</v>
      </c>
      <c r="AS17" s="1">
        <f>AA17/VLOOKUP(A17,'[101]geoMap (129)'!$A:$B,2,0)*VLOOKUP(A17,'[101]geoMap (129)'!$A:$C,3,0)</f>
        <v>7.7994180541970843</v>
      </c>
      <c r="AT17" s="1" t="e">
        <f>AS17/VLOOKUP(A17,'[47]geoMap (44)'!$A:$B,2,0)*VLOOKUP(A17,'[47]geoMap (44)'!$A:$C,3,0)</f>
        <v>#REF!</v>
      </c>
      <c r="AU17" s="1" t="e">
        <f>AN17/VLOOKUP(A17,'[85]geoMap (133)'!$A:$B,2,0)*VLOOKUP(A17,'[85]geoMap (133)'!$A:$C,3,0)</f>
        <v>#REF!</v>
      </c>
      <c r="AV17" s="1" t="e">
        <f>AN17/VLOOKUP(A17,'[86]geoMap (135)'!$A:$B,2,0)*VLOOKUP(A17,'[86]geoMap (135)'!$A:$C,3,0)</f>
        <v>#REF!</v>
      </c>
      <c r="AW17" s="1" t="e">
        <f>AN17/VLOOKUP(A17,'[87]geoMap (137)'!$A:$B,2,0)*VLOOKUP(A17,'[87]geoMap (137)'!$A:$C,3,0)</f>
        <v>#REF!</v>
      </c>
      <c r="AX17" s="1" t="e">
        <f>AN17/VLOOKUP(A17,'[70]geoMap (138)'!$A:$B,2,0)*VLOOKUP(A17,'[70]geoMap (138)'!$A:$C,3,0)</f>
        <v>#REF!</v>
      </c>
      <c r="AY17" s="1" t="e">
        <f>AN17/VLOOKUP(A17,'[88]geoMap (140)'!$A:$B,2,0)*VLOOKUP(A17,'[88]geoMap (140)'!$A:$C,3,0)</f>
        <v>#REF!</v>
      </c>
      <c r="AZ17" s="1" t="e">
        <f>AN17/VLOOKUP(A17,'[89]geoMap (141)'!$A:$B,2,0)*VLOOKUP(A17,'[89]geoMap (141)'!$A:$C,3,0)</f>
        <v>#REF!</v>
      </c>
      <c r="BA17" s="1" t="e">
        <f>AN17/VLOOKUP(A17,'[71]geoMap (143)'!$A:$B,2,0)*VLOOKUP(A17,'[71]geoMap (143)'!$A:$C,3,0)</f>
        <v>#REF!</v>
      </c>
      <c r="BB17" s="1" t="e">
        <f>AN17/VLOOKUP(A17,'[90]geoMap (144)'!$A:$B,2,0)*VLOOKUP(A17,'[90]geoMap (144)'!$A:$C,3,0)</f>
        <v>#REF!</v>
      </c>
      <c r="BC17" s="1" t="e">
        <f>AN17/VLOOKUP(A17,'[72]geoMap (146)'!$A:$B,2,0)*VLOOKUP(A17,'[72]geoMap (146)'!$A:$C,3,0)</f>
        <v>#REF!</v>
      </c>
      <c r="BD17" s="1" t="e">
        <f>AN17/VLOOKUP(A17,'[73]geoMap (147)'!$A:$B,2,0)*VLOOKUP(A17,'[73]geoMap (147)'!$A:$C,3,0)</f>
        <v>#REF!</v>
      </c>
      <c r="BE17" s="1" t="e">
        <f>AN17/VLOOKUP(A17,'[91]geoMap (148)'!$A:$B,2,0)*VLOOKUP(A17,'[91]geoMap (148)'!$A:$C,3,0)</f>
        <v>#REF!</v>
      </c>
      <c r="BF17" s="1" t="e">
        <f>AN17/VLOOKUP(A17,'[75]geoMap (150)'!$A:$B,2,0)*VLOOKUP(A17,'[75]geoMap (150)'!$A:$C,3,0)</f>
        <v>#REF!</v>
      </c>
      <c r="BG17" s="1" t="e">
        <f>AN17/VLOOKUP(A17,'[93]geoMap (152)'!$A:$B,2,0)*VLOOKUP(A17,'[93]geoMap (152)'!$A:$C,3,0)</f>
        <v>#REF!</v>
      </c>
      <c r="BH17" s="1" t="e">
        <f>AN17/VLOOKUP(A17,'[94]geoMap (154)'!$A:$B,2,0)*VLOOKUP(A17,'[94]geoMap (154)'!$A:$C,3,0)</f>
        <v>#REF!</v>
      </c>
      <c r="BI17" s="1" t="e">
        <f>AN17/VLOOKUP(A17,'[76]geoMap (156)'!$A:$B,2,0)*VLOOKUP(A17,'[76]geoMap (156)'!$A:$C,3,0)</f>
        <v>#REF!</v>
      </c>
      <c r="BJ17" s="1" t="e">
        <f>AN17/VLOOKUP(A17,'[77]geoMap (158)'!$A:$B,2,0)*VLOOKUP(A17,'[77]geoMap (158)'!$A:$C,3,0)</f>
        <v>#REF!</v>
      </c>
      <c r="BK17" s="1" t="e">
        <f>AN17/VLOOKUP(A17,'[78]geoMap (160)'!$A:$B,2,0)*VLOOKUP(A17,'[78]geoMap (160)'!$A:$C,3,0)</f>
        <v>#REF!</v>
      </c>
      <c r="BL17" s="1" t="e">
        <f>AN17/VLOOKUP(A17,'[79]geoMap (162)'!$A:$B,2,0)*VLOOKUP(A17,'[79]geoMap (162)'!$A:$C,3,0)</f>
        <v>#REF!</v>
      </c>
      <c r="BM17" s="1" t="e">
        <f>AN17/VLOOKUP(A17,'[80]geoMap (164)'!$A:$B,2,0)*VLOOKUP(A17,'[80]geoMap (164)'!$A:$C,3,0)</f>
        <v>#REF!</v>
      </c>
      <c r="BN17" s="1" t="e">
        <f>AN17/VLOOKUP(A17,'[81]geoMap (166)'!$A:$B,2,0)*VLOOKUP(A17,'[81]geoMap (166)'!$A:$C,3,0)</f>
        <v>#REF!</v>
      </c>
      <c r="BO17" s="1" t="e">
        <f>AN17/VLOOKUP(A17,'[82]geoMap (168)'!$A:$B,2,0)*VLOOKUP(A17,'[82]geoMap (168)'!$A:$C,3,0)</f>
        <v>#REF!</v>
      </c>
      <c r="BP17" s="1" t="e">
        <f>AN17/VLOOKUP(A17,'[83]geoMap (170)'!$A:$B,2,0)*VLOOKUP(A17,'[83]geoMap (170)'!$A:$C,3,0)</f>
        <v>#REF!</v>
      </c>
    </row>
    <row r="18" spans="1:68" x14ac:dyDescent="0.2">
      <c r="A18" s="1" t="s">
        <v>57</v>
      </c>
      <c r="B18" s="1">
        <f>VLOOKUP(A18,[3]geoMap!$A:$B,2,0)*Notes!$C$6</f>
        <v>7000</v>
      </c>
      <c r="C18" s="1">
        <f>B18/VLOOKUP(A18,'[4]geoMap (1)'!$A:$B,2,0)*VLOOKUP(A18,'[4]geoMap (1)'!$A:$C,3,0)</f>
        <v>2090.909090909091</v>
      </c>
      <c r="D18" s="1">
        <f>C18/VLOOKUP(A18,'[5]geoMap (2)'!$A:$B,2,0)*VLOOKUP(A18,'[5]geoMap (2)'!$A:$C,3,0)</f>
        <v>2265.151515151515</v>
      </c>
      <c r="E18" s="1">
        <f>D18/VLOOKUP(A18,'[6]geoMap (3)'!$A:$B,2,0)*VLOOKUP(A18,'[6]geoMap (3)'!$A:$C,3,0)</f>
        <v>3542.9292929292924</v>
      </c>
      <c r="F18" s="1">
        <f>E18/VLOOKUP(A18,'[7]geoMap (4)'!$A:$B,2,0)*VLOOKUP(A18,'[7]geoMap (4)'!$A:$C,3,0)</f>
        <v>3542.9292929292924</v>
      </c>
      <c r="G18" s="1">
        <f>F18/VLOOKUP(A18,'[8]geoMap (5)'!$A:$B,2,0)*VLOOKUP(A18,'[8]geoMap (5)'!$A:$C,3,0)</f>
        <v>1244.8129948129947</v>
      </c>
      <c r="H18" s="1">
        <f>G18/VLOOKUP(A18,'[9]geoMap (6)'!$A:$B,2,0)*VLOOKUP(A18,'[9]geoMap (6)'!$A:$C,3,0)</f>
        <v>1867.2194922194919</v>
      </c>
      <c r="I18" s="1">
        <f>H18/VLOOKUP(A18,'[10]geoMap (7)'!$A:$B,2,0)*VLOOKUP(A18,'[10]geoMap (7)'!$A:$C,3,0)</f>
        <v>496.34948527353583</v>
      </c>
      <c r="J18" s="1">
        <f>I18/VLOOKUP(A18,'[11]geoMap (8)'!$A:$B,2,0)*VLOOKUP(A18,'[11]geoMap (8)'!$A:$C,3,0)</f>
        <v>631.71752671177296</v>
      </c>
      <c r="K18" s="1">
        <f>J18/VLOOKUP(A18,'[12]geoMap (9)'!$A:$B,2,0)*VLOOKUP(A18,'[12]geoMap (9)'!$A:$C,3,0)</f>
        <v>1173.1896924647212</v>
      </c>
      <c r="L18" s="1">
        <f>K18/VLOOKUP(A18,'[13]geoMap (10)'!$A:$B,2,0)*VLOOKUP(A18,'[13]geoMap (10)'!$A:$C,3,0)</f>
        <v>412.20178383895615</v>
      </c>
      <c r="M18" s="1" t="e">
        <f>K18/VLOOKUP(A18,'[128]geoMap (78)'!$A:$B,2,0)*VLOOKUP(A18,'[128]geoMap (78)'!$A:$C,3,0)</f>
        <v>#REF!</v>
      </c>
      <c r="N18" s="1" t="e">
        <f>H18/VLOOKUP(A18,'[117]geoMap (80)'!$A:$B,2,0)*VLOOKUP(A18,'[117]geoMap (80)'!$A:$C,3,0)</f>
        <v>#REF!</v>
      </c>
      <c r="O18" s="1">
        <f>H18/VLOOKUP(A18,'[118]geoMap (81)'!$A:$B,2,0)*VLOOKUP(A18,'[118]geoMap (81)'!$A:$C,3,0)</f>
        <v>329.5093221563809</v>
      </c>
      <c r="P18" s="1">
        <f>O18/VLOOKUP(A18,'[17]geoMap (14)'!$A:$B,2,0)*VLOOKUP(A18,'[17]geoMap (14)'!$A:$C,3,0)</f>
        <v>248.57720794253299</v>
      </c>
      <c r="Q18" s="1">
        <f>P18/VLOOKUP(A18,'[18]geoMap (15)'!$A:$B,2,0)*VLOOKUP(A18,'[18]geoMap (15)'!$A:$C,3,0)</f>
        <v>116.97750962001552</v>
      </c>
      <c r="R18" s="1" t="e">
        <f>L18/VLOOKUP(A18,'[136]geoMap (89)'!$A:$B,2,0)*VLOOKUP(A18,'[136]geoMap (89)'!$A:$C,3,0)</f>
        <v>#REF!</v>
      </c>
      <c r="S18" s="1" t="e">
        <f>O18/VLOOKUP(A18,'[110]geoMap (90)'!$A:$B,2,0)*VLOOKUP(A18,'[110]geoMap (90)'!$A:$C,3,0)</f>
        <v>#REF!</v>
      </c>
      <c r="T18" s="1" t="e">
        <f>L18/VLOOKUP(A18,'[119]geoMap (92)'!$A:$B,2,0)*VLOOKUP(A18,'[119]geoMap (92)'!$A:$C,3,0)</f>
        <v>#REF!</v>
      </c>
      <c r="U18" s="1">
        <f>O18/VLOOKUP(A18,'[120]geoMap (93)'!$A:$B,2,0)*VLOOKUP(A18,'[120]geoMap (93)'!$A:$C,3,0)</f>
        <v>24.801776936501788</v>
      </c>
      <c r="V18" s="1">
        <f>U18/VLOOKUP(A18,'[23]geoMap (20)'!$A:$B,2,0)*VLOOKUP(A18,'[23]geoMap (20)'!$A:$C,3,0)</f>
        <v>99.207107746007154</v>
      </c>
      <c r="W18" s="1">
        <f>V18/VLOOKUP(A18,'[24]geoMap (21)'!$A:$B,2,0)*VLOOKUP(A18,'[24]geoMap (21)'!$A:$C,3,0)</f>
        <v>126.2635916767364</v>
      </c>
      <c r="X18" s="1" t="e">
        <f>W18/VLOOKUP(A18,'[25]geoMap (22)'!$A:$B,2,0)*VLOOKUP(A18,'[25]geoMap (22)'!$A:$C,3,0)</f>
        <v>#REF!</v>
      </c>
      <c r="Y18" s="1">
        <f>O18/VLOOKUP(A18,'[123]geoMap (101)'!$A:$B,2,0)*VLOOKUP(A18,'[123]geoMap (101)'!$A:$C,3,0)</f>
        <v>21.032509924875377</v>
      </c>
      <c r="Z18" s="1">
        <f>Y18/VLOOKUP(A18,'[27]geoMap (24)'!$A:$B,2,0)*VLOOKUP(A18,'[27]geoMap (24)'!$A:$C,3,0)</f>
        <v>17.916582528597544</v>
      </c>
      <c r="AA18" s="1" t="e">
        <f>Z18/VLOOKUP(A18,'[28]geoMap (25)'!$A:$B,2,0)*VLOOKUP(A18,'[28]geoMap (25)'!$A:$C,3,0)</f>
        <v>#REF!</v>
      </c>
      <c r="AB18" s="1" t="e">
        <f>AA18*VLOOKUP(A18,'[29]geoMap (26)'!$A:$B,2,0)*VLOOKUP(A18,'[29]geoMap (26)'!$A:$C,3,0)</f>
        <v>#REF!</v>
      </c>
      <c r="AC18" s="1">
        <f>Y18/VLOOKUP(A18,'[111]geoMap (107)'!$A:$B,2,0)*VLOOKUP(A18,'[111]geoMap (107)'!$A:$C,3,0)</f>
        <v>35.812111493706723</v>
      </c>
      <c r="AD18" s="1" t="e">
        <f>AC18/VLOOKUP(A18,'[31]geoMap (28)'!$A:$B,2,0)*VLOOKUP(A18,'[31]geoMap (28)'!$A:$C,3,0)</f>
        <v>#REF!</v>
      </c>
      <c r="AE18" s="1" t="e">
        <f>AB18/VLOOKUP(A18,'[98]geoMap (110)'!$A:$B,2,0)*VLOOKUP(A18,'[98]geoMap (110)'!$A:$C,3,0)</f>
        <v>#REF!</v>
      </c>
      <c r="AF18" s="1">
        <f>Y18/VLOOKUP(A18,'[124]geoMap (112)'!$A:$B,2,0)*VLOOKUP(A18,'[124]geoMap (112)'!$A:$C,3,0)</f>
        <v>12.352426463815696</v>
      </c>
      <c r="AG18" s="1" t="e">
        <f>AF18/VLOOKUP(A18,'[34]geoMap (31)'!$A:$B,2,0)*VLOOKUP(A18,'[34]geoMap (31)'!$A:$C,3,0)</f>
        <v>#REF!</v>
      </c>
      <c r="AH18" s="1">
        <f>Y18/VLOOKUP(A18,'[131]geoMap (114)'!$A:$B,2,0)*VLOOKUP(A18,'[131]geoMap (114)'!$A:$C,3,0)</f>
        <v>24.690337737897185</v>
      </c>
      <c r="AI18" s="1" t="e">
        <f>AH18/VLOOKUP(A18,'[36]geoMap (33)'!$A:$B,2,0)*VLOOKUP(A18,'[36]geoMap (33)'!$A:$C,3,0)</f>
        <v>#REF!</v>
      </c>
      <c r="AJ18" s="1" t="e">
        <f>Y18/VLOOKUP(A18,'[112]geoMap (116)'!$A:$B,2,0)*VLOOKUP(A18,'[112]geoMap (116)'!$A:$C,3,0)</f>
        <v>#REF!</v>
      </c>
      <c r="AK18" s="1" t="e">
        <f>Y18/VLOOKUP(A18,'[113]geoMap (117)'!$A:$B,2,0)*VLOOKUP(A18,'[113]geoMap (117)'!$A:$C,3,0)</f>
        <v>#REF!</v>
      </c>
      <c r="AL18" s="1">
        <f>Y18/VLOOKUP(A18,'[140]geoMap (118)'!$A:$B,2,0)*VLOOKUP(A18,'[140]geoMap (118)'!$A:$C,3,0)</f>
        <v>44.694083590360179</v>
      </c>
      <c r="AM18" s="1">
        <f>AL18/VLOOKUP(A18,'[40]geoMap (37)'!$A:$B,2,0)*VLOOKUP(A18,'[40]geoMap (37)'!$A:$C,3,0)</f>
        <v>9.1542098920014823</v>
      </c>
      <c r="AN18" s="1">
        <f>AF18/74*26</f>
        <v>4.3400417305298395</v>
      </c>
      <c r="AO18" s="1" t="e">
        <f>AM18/VLOOKUP(A18,'[142]geoMap (123)'!$A:$B,2,0)*VLOOKUP(A18,'[142]geoMap (123)'!$A:$C,3,0)</f>
        <v>#REF!</v>
      </c>
      <c r="AP18" s="1" t="e">
        <f>AN18/VLOOKUP(A18,'[126]geoMap (124)'!$A:$B,2,0)*VLOOKUP(A18,'[126]geoMap (124)'!$A:$C,3,0)</f>
        <v>#REF!</v>
      </c>
      <c r="AQ18" s="1" t="e">
        <f>AF18/VLOOKUP(A18,'[99]geoMap (126)'!$A:$B,2,0)*VLOOKUP(A18,'[99]geoMap (126)'!$A:$C,3,0)</f>
        <v>#REF!</v>
      </c>
      <c r="AR18" s="1">
        <f>AN18/100*0</f>
        <v>0</v>
      </c>
      <c r="AS18" s="1">
        <f>AN18/VLOOKUP(A18,'[143]geoMap (130)'!$A:$B,2,0)*VLOOKUP(A18,'[143]geoMap (130)'!$A:$C,3,0)</f>
        <v>3.1427888393491945</v>
      </c>
      <c r="AT18" s="1" t="e">
        <f>AS18/VLOOKUP(A18,'[47]geoMap (44)'!$A:$B,2,0)*VLOOKUP(A18,'[47]geoMap (44)'!$A:$C,3,0)</f>
        <v>#REF!</v>
      </c>
      <c r="AU18" s="1" t="e">
        <f>AN18/VLOOKUP(A18,'[85]geoMap (133)'!$A:$B,2,0)*VLOOKUP(A18,'[85]geoMap (133)'!$A:$C,3,0)</f>
        <v>#REF!</v>
      </c>
      <c r="AV18" s="1" t="e">
        <f>AN18/VLOOKUP(A18,'[86]geoMap (135)'!$A:$B,2,0)*VLOOKUP(A18,'[86]geoMap (135)'!$A:$C,3,0)</f>
        <v>#REF!</v>
      </c>
      <c r="AW18" s="1" t="e">
        <f>AN18/VLOOKUP(A18,'[87]geoMap (137)'!$A:$B,2,0)*VLOOKUP(A18,'[87]geoMap (137)'!$A:$C,3,0)</f>
        <v>#REF!</v>
      </c>
      <c r="AX18" s="1" t="e">
        <f>AN18/VLOOKUP(A18,'[70]geoMap (138)'!$A:$B,2,0)*VLOOKUP(A18,'[70]geoMap (138)'!$A:$C,3,0)</f>
        <v>#REF!</v>
      </c>
      <c r="AY18" s="1" t="e">
        <f>AN18/VLOOKUP(A18,'[88]geoMap (140)'!$A:$B,2,0)*VLOOKUP(A18,'[88]geoMap (140)'!$A:$C,3,0)</f>
        <v>#REF!</v>
      </c>
      <c r="AZ18" s="1" t="e">
        <f>AN18/VLOOKUP(A18,'[89]geoMap (141)'!$A:$B,2,0)*VLOOKUP(A18,'[89]geoMap (141)'!$A:$C,3,0)</f>
        <v>#REF!</v>
      </c>
      <c r="BA18" s="1" t="e">
        <f>AN18/VLOOKUP(A18,'[71]geoMap (143)'!$A:$B,2,0)*VLOOKUP(A18,'[71]geoMap (143)'!$A:$C,3,0)</f>
        <v>#REF!</v>
      </c>
      <c r="BB18" s="1" t="e">
        <f>AN18/VLOOKUP(A18,'[90]geoMap (144)'!$A:$B,2,0)*VLOOKUP(A18,'[90]geoMap (144)'!$A:$C,3,0)</f>
        <v>#REF!</v>
      </c>
      <c r="BC18" s="1">
        <f>AS18/100*0</f>
        <v>0</v>
      </c>
      <c r="BD18" s="1" t="e">
        <f>AN18/VLOOKUP(A18,'[73]geoMap (147)'!$A:$B,2,0)*VLOOKUP(A18,'[73]geoMap (147)'!$A:$C,3,0)</f>
        <v>#REF!</v>
      </c>
      <c r="BE18" s="1">
        <f>AS18/100*0</f>
        <v>0</v>
      </c>
      <c r="BF18" s="1" t="e">
        <f>AO18/VLOOKUP(A18,'[92]geoMap (151)'!$A:$B,2,0)*VLOOKUP(A18,'[92]geoMap (151)'!$A:$C,3,0)</f>
        <v>#REF!</v>
      </c>
      <c r="BG18" s="1">
        <f>AS18/100*0</f>
        <v>0</v>
      </c>
      <c r="BH18" s="1" t="e">
        <f>AS18/VLOOKUP(A18,'[103]geoMap (155)'!$A:$B,2,0)*VLOOKUP(A18,'[103]geoMap (155)'!$A:$C,3,0)</f>
        <v>#REF!</v>
      </c>
      <c r="BI18" s="1" t="e">
        <f>AS18/VLOOKUP(A18,'[104]geoMap (157)'!$A:$B,2,0)*VLOOKUP(A18,'[104]geoMap (157)'!$A:$C,3,0)</f>
        <v>#REF!</v>
      </c>
      <c r="BJ18" s="1" t="e">
        <f>AS18/VLOOKUP(A18,'[105]geoMap (159)'!$A:$B,2,0)*VLOOKUP(A18,'[105]geoMap (159)'!$A:$C,3,0)</f>
        <v>#REF!</v>
      </c>
      <c r="BK18" s="1" t="e">
        <f>AS18/VLOOKUP(A18,'[106]geoMap (161)'!$A:$B,2,0)*VLOOKUP(A18,'[106]geoMap (161)'!$A:$C,3,0)</f>
        <v>#REF!</v>
      </c>
      <c r="BL18" s="1" t="e">
        <f>AS18/VLOOKUP(A18,'[144]geoMap (163)'!$A:$B,2,0)*VLOOKUP(A18,'[144]geoMap (163)'!$A:$C,3,0)</f>
        <v>#REF!</v>
      </c>
      <c r="BM18" s="1" t="e">
        <f>AS18/VLOOKUP(A18,'[145]geoMap (165)'!$A:$B,2,0)*VLOOKUP(A17,'[145]geoMap (165)'!$A:$C,3,0)</f>
        <v>#REF!</v>
      </c>
      <c r="BN18" s="1" t="e">
        <f>AS18/VLOOKUP(A18,'[146]geoMap (167)'!$A:$B,2,0)*VLOOKUP(A18,'[146]geoMap (167)'!$A:$C,3,0)</f>
        <v>#REF!</v>
      </c>
      <c r="BO18" s="1" t="e">
        <f>AS18/VLOOKUP(A18,'[107]geoMap (169)'!$A:$B,2,0)*VLOOKUP(A18,'[107]geoMap (169)'!$A:$C,3,0)</f>
        <v>#REF!</v>
      </c>
      <c r="BP18" s="1" t="e">
        <f>AS18/VLOOKUP(A18,'[108]geoMap (171)'!$A:$B,2,0)*VLOOKUP(A18,'[108]geoMap (171)'!$A:$C,3,0)</f>
        <v>#REF!</v>
      </c>
    </row>
    <row r="19" spans="1:68" x14ac:dyDescent="0.2">
      <c r="A19" s="1" t="s">
        <v>71</v>
      </c>
      <c r="B19" s="1">
        <f>VLOOKUP(A19,[3]geoMap!$A:$B,2,0)*Notes!$C$6</f>
        <v>6000</v>
      </c>
      <c r="C19" s="1">
        <f>B19/VLOOKUP(A19,'[4]geoMap (1)'!$A:$B,2,0)*VLOOKUP(A19,'[4]geoMap (1)'!$A:$C,3,0)</f>
        <v>6500</v>
      </c>
      <c r="D19" s="1">
        <f>C19/VLOOKUP(A19,'[5]geoMap (2)'!$A:$B,2,0)*VLOOKUP(A19,'[5]geoMap (2)'!$A:$C,3,0)</f>
        <v>4903.5087719298253</v>
      </c>
      <c r="E19" s="1">
        <f>D19/VLOOKUP(A19,'[6]geoMap (3)'!$A:$B,2,0)*VLOOKUP(A19,'[6]geoMap (3)'!$A:$C,3,0)</f>
        <v>4348.3945713339954</v>
      </c>
      <c r="F19" s="1">
        <f>E19/VLOOKUP(A19,'[7]geoMap (4)'!$A:$B,2,0)*VLOOKUP(A19,'[7]geoMap (4)'!$A:$C,3,0)</f>
        <v>3557.7773765459956</v>
      </c>
      <c r="G19" s="1">
        <f>F19/VLOOKUP(A19,'[8]geoMap (5)'!$A:$B,2,0)*VLOOKUP(A19,'[8]geoMap (5)'!$A:$C,3,0)</f>
        <v>3284.1021937347646</v>
      </c>
      <c r="H19" s="1">
        <f>G19/VLOOKUP(A19,'[9]geoMap (6)'!$A:$B,2,0)*VLOOKUP(A19,'[9]geoMap (6)'!$A:$C,3,0)</f>
        <v>926.28523413031826</v>
      </c>
      <c r="I19" s="1">
        <f>H19/VLOOKUP(A19,'[10]geoMap (7)'!$A:$B,2,0)*VLOOKUP(A19,'[10]geoMap (7)'!$A:$C,3,0)</f>
        <v>1227.8664731494916</v>
      </c>
      <c r="J19" s="1">
        <f>I19/VLOOKUP(A19,'[11]geoMap (8)'!$A:$B,2,0)*VLOOKUP(A19,'[11]geoMap (8)'!$A:$C,3,0)</f>
        <v>1330.1886792452826</v>
      </c>
      <c r="K19" s="1">
        <f>J19/VLOOKUP(A19,'[12]geoMap (9)'!$A:$B,2,0)*VLOOKUP(A19,'[12]geoMap (9)'!$A:$C,3,0)</f>
        <v>924.36840422129808</v>
      </c>
      <c r="L19" s="1">
        <f>K19/VLOOKUP(A19,'[13]geoMap (10)'!$A:$B,2,0)*VLOOKUP(A19,'[13]geoMap (10)'!$A:$C,3,0)</f>
        <v>616.24560281419872</v>
      </c>
      <c r="M19" s="1">
        <f>L19/VLOOKUP(A19,'[14]geoMap (11)'!$A:$B,2,0)*VLOOKUP(A19,'[14]geoMap (11)'!$A:$C,3,0)</f>
        <v>641.39848456171717</v>
      </c>
      <c r="N19" s="1">
        <f>M19/VLOOKUP(A19,'[15]geoMap (12)'!$A:$B,2,0)*VLOOKUP(A19,'[15]geoMap (12)'!$A:$C,3,0)</f>
        <v>616.24560281419872</v>
      </c>
      <c r="O19" s="1">
        <f>N19/VLOOKUP(A19,'[16]geoMap (13)'!$A:$B,2,0)*VLOOKUP(A19,'[16]geoMap (13)'!$A:$C,3,0)</f>
        <v>377.69891785386375</v>
      </c>
      <c r="P19" s="1">
        <f>O19/VLOOKUP(A19,'[17]geoMap (14)'!$A:$B,2,0)*VLOOKUP(A19,'[17]geoMap (14)'!$A:$C,3,0)</f>
        <v>231.49288513623907</v>
      </c>
      <c r="Q19" s="1">
        <f>P19/VLOOKUP(A19,'[18]geoMap (15)'!$A:$B,2,0)*VLOOKUP(A19,'[18]geoMap (15)'!$A:$C,3,0)</f>
        <v>222.41473277795518</v>
      </c>
      <c r="R19" s="1">
        <f>Q19/VLOOKUP(A19,'[19]geoMap (16)'!$A:$B,2,0)*VLOOKUP(A19,'[19]geoMap (16)'!$A:$C,3,0)</f>
        <v>174.75443289696477</v>
      </c>
      <c r="S19" s="1">
        <f>R19/VLOOKUP(A19,'[20]geoMap (17)'!$A:$B,2,0)*VLOOKUP(A19,'[20]geoMap (17)'!$A:$C,3,0)</f>
        <v>154.97091219164798</v>
      </c>
      <c r="T19" s="1">
        <f>S19/VLOOKUP(A19,'[21]geoMap (18)'!$A:$B,2,0)*VLOOKUP(A19,'[21]geoMap (18)'!$A:$C,3,0)</f>
        <v>112.22031572498648</v>
      </c>
      <c r="U19" s="1">
        <f>T19/VLOOKUP(A19,'[22]geoMap (19)'!$A:$B,2,0)*VLOOKUP(A19,'[22]geoMap (19)'!$A:$C,3,0)</f>
        <v>103.58798374614136</v>
      </c>
      <c r="V19" s="1">
        <f>U19/VLOOKUP(A19,'[23]geoMap (20)'!$A:$B,2,0)*VLOOKUP(A19,'[23]geoMap (20)'!$A:$C,3,0)</f>
        <v>91.861042189974398</v>
      </c>
      <c r="W19" s="1">
        <f>V19/VLOOKUP(A19,'[24]geoMap (21)'!$A:$B,2,0)*VLOOKUP(A19,'[24]geoMap (21)'!$A:$C,3,0)</f>
        <v>53.950135889350044</v>
      </c>
      <c r="X19" s="1">
        <f>W19/VLOOKUP(A19,'[25]geoMap (22)'!$A:$B,2,0)*VLOOKUP(A19,'[25]geoMap (22)'!$A:$C,3,0)</f>
        <v>91.861042189974398</v>
      </c>
      <c r="Y19" s="1">
        <f>X19/VLOOKUP(A19,'[26]geoMap (23)'!$A:$B,2,0)*VLOOKUP(A19,'[26]geoMap (23)'!$A:$C,3,0)</f>
        <v>43.228725736458536</v>
      </c>
      <c r="Z19" s="1">
        <f>Y19/VLOOKUP(A19,'[27]geoMap (24)'!$A:$B,2,0)*VLOOKUP(A19,'[27]geoMap (24)'!$A:$C,3,0)</f>
        <v>44.993163521620112</v>
      </c>
      <c r="AA19" s="1">
        <f>Z19/VLOOKUP(A19,'[28]geoMap (25)'!$A:$B,2,0)*VLOOKUP(A19,'[28]geoMap (25)'!$A:$C,3,0)</f>
        <v>38.327509666565277</v>
      </c>
      <c r="AB19" s="1">
        <f>AA19*VLOOKUP(A19,'[29]geoMap (26)'!$A:$B,2,0)*VLOOKUP(A19,'[29]geoMap (26)'!$A:$C,3,0)</f>
        <v>9.5205534011748174</v>
      </c>
      <c r="AC19" s="1">
        <f>AB19/VLOOKUP(A19,'[30]geoMap (27)'!$A:$B,2,0)*VLOOKUP(A19,'[30]geoMap (27)'!$A:$C,3,0)</f>
        <v>13.700308552910103</v>
      </c>
      <c r="AD19" s="1">
        <f>AC19/VLOOKUP(A19,'[31]geoMap (28)'!$A:$B,2,0)*VLOOKUP(A19,'[31]geoMap (28)'!$A:$C,3,0)</f>
        <v>11.670633211738235</v>
      </c>
      <c r="AE19" s="1">
        <f>AD19/VLOOKUP(A19,'[32]geoMap (29)'!$A:$B,2,0)*VLOOKUP(A19,'[32]geoMap (29)'!$A:$C,3,0)</f>
        <v>11.212961321081831</v>
      </c>
      <c r="AF19" s="1">
        <f>AE19/VLOOKUP(A19,'[33]geoMap (30)'!$A:$B,2,0)*VLOOKUP(A19,'[33]geoMap (30)'!$A:$C,3,0)</f>
        <v>18.294831629133515</v>
      </c>
      <c r="AG19" s="1">
        <f>AF19/VLOOKUP(A19,'[34]geoMap (31)'!$A:$B,2,0)*VLOOKUP(A19,'[34]geoMap (31)'!$A:$C,3,0)</f>
        <v>11.212961321081831</v>
      </c>
      <c r="AH19" s="1">
        <f>AG19/VLOOKUP(A19,'[35]geoMap (32)'!$A:$B,2,0)*VLOOKUP(A19,'[35]geoMap (32)'!$A:$C,3,0)</f>
        <v>4.1472596667014994</v>
      </c>
      <c r="AI19" s="1">
        <f>AH19/VLOOKUP(A19,'[36]geoMap (33)'!$A:$B,2,0)*VLOOKUP(A19,'[36]geoMap (33)'!$A:$C,3,0)</f>
        <v>6.2208895000522482</v>
      </c>
      <c r="AJ19" s="1">
        <f>AI19/VLOOKUP(A19,'[37]geoMap (34)'!$A:$B,2,0)*VLOOKUP(A19,'[37]geoMap (34)'!$A:$C,3,0)</f>
        <v>4.1472596667014994</v>
      </c>
      <c r="AK19" s="1">
        <f>AJ19/VLOOKUP(A19,'[38]geoMap (35)'!$A:$B,2,0)*VLOOKUP(A19,'[38]geoMap (35)'!$A:$C,3,0)</f>
        <v>9.6769392223034991</v>
      </c>
      <c r="AL19" s="1" t="e">
        <f>AK19/VLOOKUP(A19,'[39]geoMap (36)'!$A:$B,2,0)*VLOOKUP(A19,'[39]geoMap (36)'!$A:$C,3,0)</f>
        <v>#REF!</v>
      </c>
      <c r="AM19" s="1">
        <f>AA19/VLOOKUP(A19,'[125]geoMap (120)'!$A:$B,2,0)*VLOOKUP(A19,'[125]geoMap (120)'!$A:$C,3,0)</f>
        <v>10.810323239287642</v>
      </c>
      <c r="AN19" s="1">
        <f>AM19/VLOOKUP(A19,'[41]geoMap (38)'!$A:$B,2,0)*VLOOKUP(A19,'[41]geoMap (38)'!$A:$C,3,0)</f>
        <v>7.8281651043117408</v>
      </c>
      <c r="AO19" s="1">
        <f>AN19/VLOOKUP(A19,'[42]geoMap (39)'!$A:$B,2,0)*VLOOKUP(A19,'[42]geoMap (39)'!$A:$C,3,0)</f>
        <v>6.4048623580732418</v>
      </c>
      <c r="AP19" s="1">
        <f>AO19/VLOOKUP(A19,'[43]geoMap (40)'!$A:$B,2,0)*VLOOKUP(A19,'[43]geoMap (40)'!$A:$C,3,0)</f>
        <v>8.4901663816319708</v>
      </c>
      <c r="AQ19" s="1" t="e">
        <f>AP19/VLOOKUP(A19,'[44]geoMap (41)'!$A:$B,2,0)*VLOOKUP(A19,'[44]geoMap (41)'!$A:$C,3,0)</f>
        <v>#REF!</v>
      </c>
      <c r="AR19" s="1">
        <f>AA19/VLOOKUP(A19,'[100]geoMap (128)'!$A:$B,2,0)*VLOOKUP(A19,'[100]geoMap (128)'!$A:$C,3,0)</f>
        <v>6.2393620387431854</v>
      </c>
      <c r="AS19" s="1">
        <f>AR19/VLOOKUP(A19,'[46]geoMap (43)'!$A:$B,2,0)*VLOOKUP(A19,'[46]geoMap (43)'!$A:$C,3,0)</f>
        <v>4.1595746924954566</v>
      </c>
      <c r="AT19" s="1">
        <f>AC19/VLOOKUP(A19,'[84]geoMap (131)'!$A:$B,2,0)*VLOOKUP(A19,'[84]geoMap (131)'!$A:$C,3,0)</f>
        <v>0.72106887120579499</v>
      </c>
      <c r="AU19" s="1">
        <f>AN19/VLOOKUP(A19,'[85]geoMap (133)'!$A:$B,2,0)*VLOOKUP(A19,'[85]geoMap (133)'!$A:$C,3,0)</f>
        <v>6.6684369407100013</v>
      </c>
      <c r="AV19" s="1">
        <f>AU19/VLOOKUP(A19,'[49]geoMap (46)'!$A:$B,2,0)*VLOOKUP(A19,'[49]geoMap (46)'!$A:$C,3,0)</f>
        <v>10.002655411065001</v>
      </c>
      <c r="AW19" s="1">
        <f>AV19/VLOOKUP(A19,'[50]geoMap (47)'!$A:$B,2,0)*VLOOKUP(A19,'[50]geoMap (47)'!$A:$C,3,0)</f>
        <v>4.4939466339567398</v>
      </c>
      <c r="AX19" s="1">
        <f>AW19/VLOOKUP(A19,'[51]geoMap (48)'!$A:$B,2,0)*VLOOKUP(A19,'[51]geoMap (48)'!$A:$C,3,0)</f>
        <v>11.555862773031615</v>
      </c>
      <c r="AY19" s="1">
        <f>AX19/VLOOKUP(A19,'[52]geoMap (49)'!$A:$B,2,0)*VLOOKUP(A19,'[52]geoMap (49)'!$A:$C,3,0)</f>
        <v>3.4517512179185346</v>
      </c>
      <c r="AZ19" s="1">
        <f>AY19/VLOOKUP(A19,'[53]geoMap (50)'!$A:$B,2,0)*VLOOKUP(A19,'[53]geoMap (50)'!$A:$C,3,0)</f>
        <v>9.3325125521501118</v>
      </c>
      <c r="BA19" s="1" t="e">
        <f>AZ19/VLOOKUP(A19,'[54]geoMap (51)'!$A:$B,2,0)*VLOOKUP(A19,'[54]geoMap (51)'!$A:$C,3,0)</f>
        <v>#REF!</v>
      </c>
      <c r="BB19" s="1" t="e">
        <f>AN19/VLOOKUP(A19,'[90]geoMap (144)'!$A:$B,2,0)*VLOOKUP(A19,'[90]geoMap (144)'!$A:$C,3,0)</f>
        <v>#REF!</v>
      </c>
      <c r="BC19" s="1" t="e">
        <f>AN19/VLOOKUP(A19,'[72]geoMap (146)'!$A:$B,2,0)*VLOOKUP(A19,'[72]geoMap (146)'!$A:$C,3,0)</f>
        <v>#REF!</v>
      </c>
      <c r="BD19" s="1" t="e">
        <f>AN19/VLOOKUP(A19,'[73]geoMap (147)'!$A:$B,2,0)*VLOOKUP(A19,'[73]geoMap (147)'!$A:$C,3,0)</f>
        <v>#REF!</v>
      </c>
      <c r="BE19" s="1" t="e">
        <f>AN19/VLOOKUP(A19,'[91]geoMap (148)'!$A:$B,2,0)*VLOOKUP(A19,'[91]geoMap (148)'!$A:$C,3,0)</f>
        <v>#REF!</v>
      </c>
      <c r="BF19" s="1" t="e">
        <f>AN19/VLOOKUP(A19,'[75]geoMap (150)'!$A:$B,2,0)*VLOOKUP(A19,'[75]geoMap (150)'!$A:$C,3,0)</f>
        <v>#REF!</v>
      </c>
      <c r="BG19" s="1" t="e">
        <f>AN19/VLOOKUP(A19,'[93]geoMap (152)'!$A:$B,2,0)*VLOOKUP(A19,'[93]geoMap (152)'!$A:$C,3,0)</f>
        <v>#REF!</v>
      </c>
      <c r="BH19" s="1" t="e">
        <f>AN19/VLOOKUP(A19,'[94]geoMap (154)'!$A:$B,2,0)*VLOOKUP(A19,'[94]geoMap (154)'!$A:$C,3,0)</f>
        <v>#REF!</v>
      </c>
      <c r="BI19" s="1" t="e">
        <f>AN19/VLOOKUP(A19,'[76]geoMap (156)'!$A:$B,2,0)*VLOOKUP(A19,'[76]geoMap (156)'!$A:$C,3,0)</f>
        <v>#REF!</v>
      </c>
      <c r="BJ19" s="1" t="e">
        <f>AN19/VLOOKUP(A19,'[77]geoMap (158)'!$A:$B,2,0)*VLOOKUP(A19,'[77]geoMap (158)'!$A:$C,3,0)</f>
        <v>#REF!</v>
      </c>
      <c r="BK19" s="1" t="e">
        <f>AN19/VLOOKUP(A19,'[78]geoMap (160)'!$A:$B,2,0)*VLOOKUP(A19,'[78]geoMap (160)'!$A:$C,3,0)</f>
        <v>#REF!</v>
      </c>
      <c r="BL19" s="1" t="e">
        <f>AN19/VLOOKUP(A19,'[79]geoMap (162)'!$A:$B,2,0)*VLOOKUP(A19,'[79]geoMap (162)'!$A:$C,3,0)</f>
        <v>#REF!</v>
      </c>
      <c r="BM19" s="1" t="e">
        <f>AN19/VLOOKUP(A19,'[80]geoMap (164)'!$A:$B,2,0)*VLOOKUP(A19,'[80]geoMap (164)'!$A:$C,3,0)</f>
        <v>#REF!</v>
      </c>
      <c r="BN19" s="1" t="e">
        <f>AN19/VLOOKUP(A19,'[81]geoMap (166)'!$A:$B,2,0)*VLOOKUP(A19,'[81]geoMap (166)'!$A:$C,3,0)</f>
        <v>#REF!</v>
      </c>
      <c r="BO19" s="1" t="e">
        <f>AN19/VLOOKUP(A19,'[82]geoMap (168)'!$A:$B,2,0)*VLOOKUP(A19,'[82]geoMap (168)'!$A:$C,3,0)</f>
        <v>#REF!</v>
      </c>
      <c r="BP19" s="1" t="e">
        <f>AN19/VLOOKUP(A19,'[83]geoMap (170)'!$A:$B,2,0)*VLOOKUP(A19,'[83]geoMap (170)'!$A:$C,3,0)</f>
        <v>#REF!</v>
      </c>
    </row>
    <row r="20" spans="1:68" x14ac:dyDescent="0.2">
      <c r="A20" s="1" t="s">
        <v>79</v>
      </c>
      <c r="B20" s="1">
        <f>VLOOKUP(A20,[3]geoMap!$A:$B,2,0)*Notes!$C$6</f>
        <v>6000</v>
      </c>
      <c r="C20" s="1">
        <f>B20/VLOOKUP(A20,'[4]geoMap (1)'!$A:$B,2,0)*VLOOKUP(A20,'[4]geoMap (1)'!$A:$C,3,0)</f>
        <v>6244.8979591836742</v>
      </c>
      <c r="D20" s="1">
        <f>C20/VLOOKUP(A20,'[5]geoMap (2)'!$A:$B,2,0)*VLOOKUP(A20,'[5]geoMap (2)'!$A:$C,3,0)</f>
        <v>6244.8979591836742</v>
      </c>
      <c r="E20" s="1">
        <f>D20/VLOOKUP(A20,'[6]geoMap (3)'!$A:$B,2,0)*VLOOKUP(A20,'[6]geoMap (3)'!$A:$C,3,0)</f>
        <v>3992.6396788223497</v>
      </c>
      <c r="F20" s="1">
        <f>E20/VLOOKUP(A20,'[7]geoMap (4)'!$A:$B,2,0)*VLOOKUP(A20,'[7]geoMap (4)'!$A:$C,3,0)</f>
        <v>2891.2218363885981</v>
      </c>
      <c r="G20" s="1">
        <f>F20/VLOOKUP(A20,'[8]geoMap (5)'!$A:$B,2,0)*VLOOKUP(A20,'[8]geoMap (5)'!$A:$C,3,0)</f>
        <v>3533.715577808287</v>
      </c>
      <c r="H20" s="1">
        <f>G20/VLOOKUP(A20,'[9]geoMap (6)'!$A:$B,2,0)*VLOOKUP(A20,'[9]geoMap (6)'!$A:$C,3,0)</f>
        <v>2075.3567679191528</v>
      </c>
      <c r="I20" s="1">
        <f>H20/VLOOKUP(A20,'[10]geoMap (7)'!$A:$B,2,0)*VLOOKUP(A20,'[10]geoMap (7)'!$A:$C,3,0)</f>
        <v>2641.3631591698313</v>
      </c>
      <c r="J20" s="1">
        <f>I20/VLOOKUP(A20,'[11]geoMap (8)'!$A:$B,2,0)*VLOOKUP(A20,'[11]geoMap (8)'!$A:$C,3,0)</f>
        <v>1360.7022335117313</v>
      </c>
      <c r="K20" s="1">
        <f>J20/VLOOKUP(A20,'[12]geoMap (9)'!$A:$B,2,0)*VLOOKUP(A20,'[12]geoMap (9)'!$A:$C,3,0)</f>
        <v>985.33610012918484</v>
      </c>
      <c r="L20" s="1">
        <f>K20/VLOOKUP(A20,'[13]geoMap (10)'!$A:$B,2,0)*VLOOKUP(A20,'[13]geoMap (10)'!$A:$C,3,0)</f>
        <v>530.56559237725332</v>
      </c>
      <c r="M20" s="1">
        <f>L20/VLOOKUP(A20,'[14]geoMap (11)'!$A:$B,2,0)*VLOOKUP(A20,'[14]geoMap (11)'!$A:$C,3,0)</f>
        <v>732.68581804477833</v>
      </c>
      <c r="N20" s="1">
        <f>M20/VLOOKUP(A20,'[15]geoMap (12)'!$A:$B,2,0)*VLOOKUP(A20,'[15]geoMap (12)'!$A:$C,3,0)</f>
        <v>762.59136163844289</v>
      </c>
      <c r="O20" s="1">
        <f>N20/VLOOKUP(A20,'[16]geoMap (13)'!$A:$B,2,0)*VLOOKUP(A20,'[16]geoMap (13)'!$A:$C,3,0)</f>
        <v>375.60470050848676</v>
      </c>
      <c r="P20" s="1">
        <f>O20/VLOOKUP(A20,'[17]geoMap (14)'!$A:$B,2,0)*VLOOKUP(A20,'[17]geoMap (14)'!$A:$C,3,0)</f>
        <v>153.41600443304387</v>
      </c>
      <c r="Q20" s="1">
        <f>P20/VLOOKUP(A20,'[18]geoMap (15)'!$A:$B,2,0)*VLOOKUP(A20,'[18]geoMap (15)'!$A:$C,3,0)</f>
        <v>239.95836590809424</v>
      </c>
      <c r="R20" s="1">
        <f>Q20/VLOOKUP(A20,'[19]geoMap (16)'!$A:$B,2,0)*VLOOKUP(A20,'[19]geoMap (16)'!$A:$C,3,0)</f>
        <v>173.76295462310273</v>
      </c>
      <c r="S20" s="1">
        <f>R20/VLOOKUP(A20,'[20]geoMap (17)'!$A:$B,2,0)*VLOOKUP(A20,'[20]geoMap (17)'!$A:$C,3,0)</f>
        <v>131.0843341893582</v>
      </c>
      <c r="T20" s="1">
        <f>S20/VLOOKUP(A20,'[21]geoMap (18)'!$A:$B,2,0)*VLOOKUP(A20,'[21]geoMap (18)'!$A:$C,3,0)</f>
        <v>121.00092386709986</v>
      </c>
      <c r="U20" s="1">
        <f>T20/VLOOKUP(A20,'[22]geoMap (19)'!$A:$B,2,0)*VLOOKUP(A20,'[22]geoMap (19)'!$A:$C,3,0)</f>
        <v>99.000755891263523</v>
      </c>
      <c r="V20" s="1">
        <f>U20/VLOOKUP(A20,'[23]geoMap (20)'!$A:$B,2,0)*VLOOKUP(A20,'[23]geoMap (20)'!$A:$C,3,0)</f>
        <v>53.308099326064969</v>
      </c>
      <c r="W20" s="1">
        <f>V20/VLOOKUP(A20,'[24]geoMap (21)'!$A:$B,2,0)*VLOOKUP(A20,'[24]geoMap (21)'!$A:$C,3,0)</f>
        <v>29.985805870911541</v>
      </c>
      <c r="X20" s="1">
        <f>W20/VLOOKUP(A20,'[25]geoMap (22)'!$A:$B,2,0)*VLOOKUP(A20,'[25]geoMap (22)'!$A:$C,3,0)</f>
        <v>66.742600164286969</v>
      </c>
      <c r="Y20" s="1">
        <f>X20/VLOOKUP(A20,'[26]geoMap (23)'!$A:$B,2,0)*VLOOKUP(A20,'[26]geoMap (23)'!$A:$C,3,0)</f>
        <v>34.3825515997842</v>
      </c>
      <c r="Z20" s="1">
        <f>Y20/VLOOKUP(A20,'[27]geoMap (24)'!$A:$B,2,0)*VLOOKUP(A20,'[27]geoMap (24)'!$A:$C,3,0)</f>
        <v>20.19292713003199</v>
      </c>
      <c r="AA20" s="1">
        <f>Z20/VLOOKUP(A20,'[28]geoMap (25)'!$A:$B,2,0)*VLOOKUP(A20,'[28]geoMap (25)'!$A:$C,3,0)</f>
        <v>29.058114650533842</v>
      </c>
      <c r="AB20" s="1">
        <f>AA20*VLOOKUP(A20,'[29]geoMap (26)'!$A:$B,2,0)*VLOOKUP(A20,'[29]geoMap (26)'!$A:$C,3,0)</f>
        <v>6.9129254753620017</v>
      </c>
      <c r="AC20" s="1">
        <f>AB20/VLOOKUP(A20,'[30]geoMap (27)'!$A:$B,2,0)*VLOOKUP(A20,'[30]geoMap (27)'!$A:$C,3,0)</f>
        <v>3.1058070976264065</v>
      </c>
      <c r="AD20" s="1">
        <f>AC20/VLOOKUP(A20,'[31]geoMap (28)'!$A:$B,2,0)*VLOOKUP(A20,'[31]geoMap (28)'!$A:$C,3,0)</f>
        <v>6.305729561847552</v>
      </c>
      <c r="AE20" s="1">
        <f>AD20/VLOOKUP(A20,'[32]geoMap (29)'!$A:$B,2,0)*VLOOKUP(A20,'[32]geoMap (29)'!$A:$C,3,0)</f>
        <v>4.5662179585792622</v>
      </c>
      <c r="AF20" s="1">
        <f>AE20/VLOOKUP(A20,'[33]geoMap (30)'!$A:$B,2,0)*VLOOKUP(A20,'[33]geoMap (30)'!$A:$C,3,0)</f>
        <v>2.0514892277674948</v>
      </c>
      <c r="AG20" s="1">
        <f>AF20/VLOOKUP(A20,'[34]geoMap (31)'!$A:$B,2,0)*VLOOKUP(A20,'[34]geoMap (31)'!$A:$C,3,0)</f>
        <v>3.347166634778544</v>
      </c>
      <c r="AH20" s="1">
        <f>AG20/VLOOKUP(A20,'[35]geoMap (32)'!$A:$B,2,0)*VLOOKUP(A20,'[35]geoMap (32)'!$A:$C,3,0)</f>
        <v>3.0896922782571172</v>
      </c>
      <c r="AI20" s="1">
        <f>AH20/VLOOKUP(A20,'[36]geoMap (33)'!$A:$B,2,0)*VLOOKUP(A20,'[36]geoMap (33)'!$A:$C,3,0)</f>
        <v>2.3308204906150185</v>
      </c>
      <c r="AJ20" s="1">
        <f>AI20/VLOOKUP(A20,'[37]geoMap (34)'!$A:$B,2,0)*VLOOKUP(A20,'[37]geoMap (34)'!$A:$C,3,0)</f>
        <v>1.1480160625417255</v>
      </c>
      <c r="AK20" s="1">
        <f>AJ20/VLOOKUP(A20,'[38]geoMap (35)'!$A:$B,2,0)*VLOOKUP(A20,'[38]geoMap (35)'!$A:$C,3,0)</f>
        <v>9.2884935969285074</v>
      </c>
      <c r="AL20" s="1" t="e">
        <f>AK20/VLOOKUP(A20,'[39]geoMap (36)'!$A:$B,2,0)*VLOOKUP(A20,'[39]geoMap (36)'!$A:$C,3,0)</f>
        <v>#REF!</v>
      </c>
      <c r="AM20" s="1">
        <f>AA20/VLOOKUP(A20,'[125]geoMap (120)'!$A:$B,2,0)*VLOOKUP(A20,'[125]geoMap (120)'!$A:$C,3,0)</f>
        <v>5.9516620368563293</v>
      </c>
      <c r="AN20" s="1">
        <f>AM20/VLOOKUP(A20,'[41]geoMap (38)'!$A:$B,2,0)*VLOOKUP(A20,'[41]geoMap (38)'!$A:$C,3,0)</f>
        <v>12.08367746876891</v>
      </c>
      <c r="AO20" s="1">
        <f>AN20/VLOOKUP(A20,'[42]geoMap (39)'!$A:$B,2,0)*VLOOKUP(A20,'[42]geoMap (39)'!$A:$C,3,0)</f>
        <v>6.7970685761825118</v>
      </c>
      <c r="AP20" s="1">
        <f>AO20/VLOOKUP(A20,'[43]geoMap (40)'!$A:$B,2,0)*VLOOKUP(A20,'[43]geoMap (40)'!$A:$C,3,0)</f>
        <v>11.573387035121574</v>
      </c>
      <c r="AQ20" s="1">
        <f>AP20/VLOOKUP(A20,'[44]geoMap (41)'!$A:$B,2,0)*VLOOKUP(A20,'[44]geoMap (41)'!$A:$C,3,0)</f>
        <v>3.6547538005647073</v>
      </c>
      <c r="AR20" s="1">
        <f>AQ20/VLOOKUP(A20,'[45]geoMap (42)'!$A:$B,2,0)*VLOOKUP(A20,'[45]geoMap (42)'!$A:$C,3,0)</f>
        <v>7.4202577162980417</v>
      </c>
      <c r="AS20" s="1">
        <f>AR20/VLOOKUP(A20,'[46]geoMap (43)'!$A:$B,2,0)*VLOOKUP(A20,'[46]geoMap (43)'!$A:$C,3,0)</f>
        <v>5.597738277207295</v>
      </c>
      <c r="AT20" s="1">
        <f>AS20/VLOOKUP(A20,'[47]geoMap (44)'!$A:$B,2,0)*VLOOKUP(A20,'[47]geoMap (44)'!$A:$C,3,0)</f>
        <v>2.1768982189139483</v>
      </c>
      <c r="AU20" s="1">
        <f>AT20/VLOOKUP(A20,'[48]geoMap (45)'!$A:$B,2,0)*VLOOKUP(A20,'[48]geoMap (45)'!$A:$C,3,0)</f>
        <v>5.8856877770636373</v>
      </c>
      <c r="AV20" s="1">
        <f>AU20/VLOOKUP(A20,'[49]geoMap (46)'!$A:$B,2,0)*VLOOKUP(A20,'[49]geoMap (46)'!$A:$C,3,0)</f>
        <v>1.6600657832743591</v>
      </c>
      <c r="AW20" s="1">
        <f>AV20/VLOOKUP(A20,'[50]geoMap (47)'!$A:$B,2,0)*VLOOKUP(A20,'[50]geoMap (47)'!$A:$C,3,0)</f>
        <v>1.6600657832743591</v>
      </c>
      <c r="AX20" s="1" t="e">
        <f>AW20/VLOOKUP(A20,'[51]geoMap (48)'!$A:$B,2,0)*VLOOKUP(A20,'[51]geoMap (48)'!$A:$C,3,0)</f>
        <v>#REF!</v>
      </c>
      <c r="AY20" s="1">
        <f>AN20/VLOOKUP(A20,'[88]geoMap (140)'!$A:$B,2,0)*VLOOKUP(A20,'[88]geoMap (140)'!$A:$C,3,0)</f>
        <v>1.805606978091906</v>
      </c>
      <c r="AZ20" s="1">
        <f>AY20/VLOOKUP(A20,'[53]geoMap (50)'!$A:$B,2,0)*VLOOKUP(A20,'[53]geoMap (50)'!$A:$C,3,0)</f>
        <v>4.6429893722363289</v>
      </c>
      <c r="BA20" s="1" t="e">
        <f>AZ20/VLOOKUP(A20,'[54]geoMap (51)'!$A:$B,2,0)*VLOOKUP(A20,'[54]geoMap (51)'!$A:$C,3,0)</f>
        <v>#REF!</v>
      </c>
      <c r="BB20" s="1" t="e">
        <f>AN20/VLOOKUP(A20,'[90]geoMap (144)'!$A:$B,2,0)*VLOOKUP(A20,'[90]geoMap (144)'!$A:$C,3,0)</f>
        <v>#REF!</v>
      </c>
      <c r="BC20" s="1" t="e">
        <f>AN20/VLOOKUP(A20,'[72]geoMap (146)'!$A:$B,2,0)*VLOOKUP(A20,'[72]geoMap (146)'!$A:$C,3,0)</f>
        <v>#REF!</v>
      </c>
      <c r="BD20" s="1" t="e">
        <f>AN20/VLOOKUP(A20,'[73]geoMap (147)'!$A:$B,2,0)*VLOOKUP(A20,'[73]geoMap (147)'!$A:$C,3,0)</f>
        <v>#REF!</v>
      </c>
      <c r="BE20" s="1">
        <f>AN20/VLOOKUP(A20,'[91]geoMap (148)'!$A:$B,2,0)*VLOOKUP(A20,'[91]geoMap (148)'!$A:$C,3,0)</f>
        <v>0.9095241105524986</v>
      </c>
      <c r="BF20" s="1" t="e">
        <f>AN20/VLOOKUP(A20,'[75]geoMap (150)'!$A:$B,2,0)*VLOOKUP(A20,'[75]geoMap (150)'!$A:$C,3,0)</f>
        <v>#REF!</v>
      </c>
      <c r="BG20" s="1" t="e">
        <f>AN20/VLOOKUP(A20,'[93]geoMap (152)'!$A:$B,2,0)*VLOOKUP(A20,'[93]geoMap (152)'!$A:$C,3,0)</f>
        <v>#REF!</v>
      </c>
      <c r="BH20" s="1" t="e">
        <f>AN20/VLOOKUP(A20,'[94]geoMap (154)'!$A:$B,2,0)*VLOOKUP(A20,'[94]geoMap (154)'!$A:$C,3,0)</f>
        <v>#REF!</v>
      </c>
      <c r="BI20" s="1" t="e">
        <f>AN20/VLOOKUP(A20,'[76]geoMap (156)'!$A:$B,2,0)*VLOOKUP(A20,'[76]geoMap (156)'!$A:$C,3,0)</f>
        <v>#REF!</v>
      </c>
      <c r="BJ20" s="1" t="e">
        <f>AN20/VLOOKUP(A20,'[77]geoMap (158)'!$A:$B,2,0)*VLOOKUP(A20,'[77]geoMap (158)'!$A:$C,3,0)</f>
        <v>#REF!</v>
      </c>
      <c r="BK20" s="1" t="e">
        <f>AN20/VLOOKUP(A20,'[78]geoMap (160)'!$A:$B,2,0)*VLOOKUP(A20,'[78]geoMap (160)'!$A:$C,3,0)</f>
        <v>#REF!</v>
      </c>
      <c r="BL20" s="1" t="e">
        <f>AN20/VLOOKUP(A20,'[79]geoMap (162)'!$A:$B,2,0)*VLOOKUP(A20,'[79]geoMap (162)'!$A:$C,3,0)</f>
        <v>#REF!</v>
      </c>
      <c r="BM20" s="1" t="e">
        <f>AN20/VLOOKUP(A20,'[80]geoMap (164)'!$A:$B,2,0)*VLOOKUP(A20,'[80]geoMap (164)'!$A:$C,3,0)</f>
        <v>#REF!</v>
      </c>
      <c r="BN20" s="1" t="e">
        <f>AN20/VLOOKUP(A20,'[81]geoMap (166)'!$A:$B,2,0)*VLOOKUP(A20,'[81]geoMap (166)'!$A:$C,3,0)</f>
        <v>#REF!</v>
      </c>
      <c r="BO20" s="1" t="e">
        <f>AN20/VLOOKUP(A20,'[82]geoMap (168)'!$A:$B,2,0)*VLOOKUP(A20,'[82]geoMap (168)'!$A:$C,3,0)</f>
        <v>#REF!</v>
      </c>
      <c r="BP20" s="1" t="e">
        <f>AN20/VLOOKUP(A20,'[83]geoMap (170)'!$A:$B,2,0)*VLOOKUP(A20,'[83]geoMap (170)'!$A:$C,3,0)</f>
        <v>#REF!</v>
      </c>
    </row>
    <row r="21" spans="1:68" x14ac:dyDescent="0.2">
      <c r="A21" s="1" t="s">
        <v>94</v>
      </c>
      <c r="B21" s="1">
        <f>VLOOKUP(A21,[3]geoMap!$A:$B,2,0)*Notes!$C$6</f>
        <v>6000</v>
      </c>
      <c r="C21" s="1">
        <f>B21/VLOOKUP(A21,'[4]geoMap (1)'!$A:$B,2,0)*VLOOKUP(A21,'[4]geoMap (1)'!$A:$C,3,0)</f>
        <v>5764.7058823529405</v>
      </c>
      <c r="D21" s="1">
        <f>C21/VLOOKUP(A21,'[5]geoMap (2)'!$A:$B,2,0)*VLOOKUP(A21,'[5]geoMap (2)'!$A:$C,3,0)</f>
        <v>5321.2669683257909</v>
      </c>
      <c r="E21" s="1">
        <f>D21/VLOOKUP(A21,'[6]geoMap (3)'!$A:$B,2,0)*VLOOKUP(A21,'[6]geoMap (3)'!$A:$C,3,0)</f>
        <v>4180.9954751131208</v>
      </c>
      <c r="F21" s="1">
        <f>E21/VLOOKUP(A21,'[7]geoMap (4)'!$A:$B,2,0)*VLOOKUP(A21,'[7]geoMap (4)'!$A:$C,3,0)</f>
        <v>3561.5887380593254</v>
      </c>
      <c r="G21" s="1">
        <f>F21/VLOOKUP(A21,'[8]geoMap (5)'!$A:$B,2,0)*VLOOKUP(A21,'[8]geoMap (5)'!$A:$C,3,0)</f>
        <v>4180.9954751131208</v>
      </c>
      <c r="H21" s="1">
        <f>G21/VLOOKUP(A21,'[9]geoMap (6)'!$A:$B,2,0)*VLOOKUP(A21,'[9]geoMap (6)'!$A:$C,3,0)</f>
        <v>1791.8552036199089</v>
      </c>
      <c r="I21" s="1">
        <f>H21/VLOOKUP(A21,'[10]geoMap (7)'!$A:$B,2,0)*VLOOKUP(A21,'[10]geoMap (7)'!$A:$C,3,0)</f>
        <v>629.57074721780589</v>
      </c>
      <c r="J21" s="1">
        <f>I21/VLOOKUP(A21,'[11]geoMap (8)'!$A:$B,2,0)*VLOOKUP(A21,'[11]geoMap (8)'!$A:$C,3,0)</f>
        <v>1993.640699523052</v>
      </c>
      <c r="K21" s="1">
        <f>J21/VLOOKUP(A21,'[12]geoMap (9)'!$A:$B,2,0)*VLOOKUP(A21,'[12]geoMap (9)'!$A:$C,3,0)</f>
        <v>1221.9088158367092</v>
      </c>
      <c r="L21" s="1">
        <f>K21/VLOOKUP(A21,'[13]geoMap (10)'!$A:$B,2,0)*VLOOKUP(A21,'[13]geoMap (10)'!$A:$C,3,0)</f>
        <v>960.07121244312862</v>
      </c>
      <c r="M21" s="1">
        <f>L21/VLOOKUP(A21,'[14]geoMap (11)'!$A:$B,2,0)*VLOOKUP(A21,'[14]geoMap (11)'!$A:$C,3,0)</f>
        <v>667.16813068081819</v>
      </c>
      <c r="N21" s="1">
        <f>M21/VLOOKUP(A21,'[15]geoMap (12)'!$A:$B,2,0)*VLOOKUP(A21,'[15]geoMap (12)'!$A:$C,3,0)</f>
        <v>1088.5374763739665</v>
      </c>
      <c r="O21" s="1">
        <f>N21/VLOOKUP(A21,'[16]geoMap (13)'!$A:$B,2,0)*VLOOKUP(A21,'[16]geoMap (13)'!$A:$C,3,0)</f>
        <v>466.51606130312848</v>
      </c>
      <c r="P21" s="1">
        <f>O21/VLOOKUP(A21,'[17]geoMap (14)'!$A:$B,2,0)*VLOOKUP(A21,'[17]geoMap (14)'!$A:$C,3,0)</f>
        <v>366.54833388102946</v>
      </c>
      <c r="Q21" s="1">
        <f>P21/VLOOKUP(A21,'[18]geoMap (15)'!$A:$B,2,0)*VLOOKUP(A21,'[18]geoMap (15)'!$A:$C,3,0)</f>
        <v>254.72002862918998</v>
      </c>
      <c r="R21" s="1">
        <f>Q21/VLOOKUP(A21,'[19]geoMap (16)'!$A:$B,2,0)*VLOOKUP(A21,'[19]geoMap (16)'!$A:$C,3,0)</f>
        <v>517.15884600471907</v>
      </c>
      <c r="S21" s="1">
        <f>R21/VLOOKUP(A21,'[20]geoMap (17)'!$A:$B,2,0)*VLOOKUP(A21,'[20]geoMap (17)'!$A:$C,3,0)</f>
        <v>98.506446858041727</v>
      </c>
      <c r="T21" s="1">
        <f>S21/VLOOKUP(A21,'[21]geoMap (18)'!$A:$B,2,0)*VLOOKUP(A21,'[21]geoMap (18)'!$A:$C,3,0)</f>
        <v>83.912899175368878</v>
      </c>
      <c r="U21" s="1">
        <f>T21/VLOOKUP(A21,'[22]geoMap (19)'!$A:$B,2,0)*VLOOKUP(A21,'[22]geoMap (19)'!$A:$C,3,0)</f>
        <v>74.413325683817689</v>
      </c>
      <c r="V21" s="1">
        <f>U21/VLOOKUP(A21,'[23]geoMap (20)'!$A:$B,2,0)*VLOOKUP(A21,'[23]geoMap (20)'!$A:$C,3,0)</f>
        <v>68.689223708139409</v>
      </c>
      <c r="W21" s="1">
        <f>V21/VLOOKUP(A21,'[24]geoMap (21)'!$A:$B,2,0)*VLOOKUP(A21,'[24]geoMap (21)'!$A:$C,3,0)</f>
        <v>87.422648355813806</v>
      </c>
      <c r="X21" s="1">
        <f>W21/VLOOKUP(A21,'[25]geoMap (22)'!$A:$B,2,0)*VLOOKUP(A21,'[25]geoMap (22)'!$A:$C,3,0)</f>
        <v>19.19033744395913</v>
      </c>
      <c r="Y21" s="1">
        <f>X21/VLOOKUP(A21,'[26]geoMap (23)'!$A:$B,2,0)*VLOOKUP(A21,'[26]geoMap (23)'!$A:$C,3,0)</f>
        <v>26.500942184514987</v>
      </c>
      <c r="Z21" s="1">
        <f>Y21/VLOOKUP(A21,'[27]geoMap (24)'!$A:$B,2,0)*VLOOKUP(A21,'[27]geoMap (24)'!$A:$C,3,0)</f>
        <v>32.390040447740539</v>
      </c>
      <c r="AA21" s="1">
        <f>Z21/VLOOKUP(A21,'[28]geoMap (25)'!$A:$B,2,0)*VLOOKUP(A21,'[28]geoMap (25)'!$A:$C,3,0)</f>
        <v>39.587827213905108</v>
      </c>
      <c r="AB21" s="1">
        <f>AA21*VLOOKUP(A21,'[29]geoMap (26)'!$A:$B,2,0)*VLOOKUP(A21,'[29]geoMap (26)'!$A:$C,3,0)</f>
        <v>9.8613277589837622</v>
      </c>
      <c r="AC21" s="1">
        <f>AB21/VLOOKUP(A21,'[30]geoMap (27)'!$A:$B,2,0)*VLOOKUP(A21,'[30]geoMap (27)'!$A:$C,3,0)</f>
        <v>4.6406248277570645</v>
      </c>
      <c r="AD21" s="1">
        <f>AC21/VLOOKUP(A21,'[31]geoMap (28)'!$A:$B,2,0)*VLOOKUP(A21,'[31]geoMap (28)'!$A:$C,3,0)</f>
        <v>19.783716370964331</v>
      </c>
      <c r="AE21" s="1">
        <f>AD21/VLOOKUP(A21,'[32]geoMap (29)'!$A:$B,2,0)*VLOOKUP(A21,'[32]geoMap (29)'!$A:$C,3,0)</f>
        <v>2.9561875037073144</v>
      </c>
      <c r="AF21" s="1">
        <f>AE21/VLOOKUP(A21,'[33]geoMap (30)'!$A:$B,2,0)*VLOOKUP(A21,'[33]geoMap (30)'!$A:$C,3,0)</f>
        <v>2.6215247674385616</v>
      </c>
      <c r="AG21" s="1">
        <f>AF21/VLOOKUP(A21,'[34]geoMap (31)'!$A:$B,2,0)*VLOOKUP(A21,'[34]geoMap (31)'!$A:$C,3,0)</f>
        <v>0.42675984586209148</v>
      </c>
      <c r="AH21" s="1">
        <f>AG21/VLOOKUP(A21,'[35]geoMap (32)'!$A:$B,2,0)*VLOOKUP(A21,'[35]geoMap (32)'!$A:$C,3,0)</f>
        <v>20.911232447242483</v>
      </c>
      <c r="AI21" s="1">
        <f>AH21/VLOOKUP(A21,'[36]geoMap (33)'!$A:$B,2,0)*VLOOKUP(A21,'[36]geoMap (33)'!$A:$C,3,0)</f>
        <v>3.983091894712854</v>
      </c>
      <c r="AJ21" s="1">
        <f>AI21/VLOOKUP(A21,'[37]geoMap (34)'!$A:$B,2,0)*VLOOKUP(A21,'[37]geoMap (34)'!$A:$C,3,0)</f>
        <v>3.0047886223272409</v>
      </c>
      <c r="AK21" s="1">
        <f>AJ21/VLOOKUP(A21,'[38]geoMap (35)'!$A:$B,2,0)*VLOOKUP(A21,'[38]geoMap (35)'!$A:$C,3,0)</f>
        <v>1.9210943650944656</v>
      </c>
      <c r="AL21" s="1">
        <f>AK21/VLOOKUP(A21,'[39]geoMap (36)'!$A:$B,2,0)*VLOOKUP(A21,'[39]geoMap (36)'!$A:$C,3,0)</f>
        <v>1.1282617699761148</v>
      </c>
      <c r="AM21" s="1">
        <f>AL21/VLOOKUP(A21,'[40]geoMap (37)'!$A:$B,2,0)*VLOOKUP(A21,'[40]geoMap (37)'!$A:$C,3,0)</f>
        <v>3.0504855262317174</v>
      </c>
      <c r="AN21" s="1">
        <f>AM21/VLOOKUP(A21,'[41]geoMap (38)'!$A:$B,2,0)*VLOOKUP(A21,'[41]geoMap (38)'!$A:$C,3,0)</f>
        <v>9.6598708330671048</v>
      </c>
      <c r="AO21" s="1">
        <f>AN21/VLOOKUP(A21,'[42]geoMap (39)'!$A:$B,2,0)*VLOOKUP(A21,'[42]geoMap (39)'!$A:$C,3,0)</f>
        <v>4.3399419684794243</v>
      </c>
      <c r="AP21" s="1">
        <f>AO21/VLOOKUP(A21,'[43]geoMap (40)'!$A:$B,2,0)*VLOOKUP(A21,'[43]geoMap (40)'!$A:$C,3,0)</f>
        <v>4.5170824569887884</v>
      </c>
      <c r="AQ21" s="1">
        <f>AP21/VLOOKUP(A21,'[44]geoMap (41)'!$A:$B,2,0)*VLOOKUP(A21,'[44]geoMap (41)'!$A:$C,3,0)</f>
        <v>1.2740488981250429</v>
      </c>
      <c r="AR21" s="1">
        <f>AQ21/VLOOKUP(A21,'[45]geoMap (42)'!$A:$B,2,0)*VLOOKUP(A21,'[45]geoMap (42)'!$A:$C,3,0)</f>
        <v>4.2652941372012307</v>
      </c>
      <c r="AS21" s="1">
        <f>AR21/VLOOKUP(A21,'[46]geoMap (43)'!$A:$B,2,0)*VLOOKUP(A21,'[46]geoMap (43)'!$A:$C,3,0)</f>
        <v>1.203031679723424</v>
      </c>
      <c r="AT21" s="1">
        <f>AS21/VLOOKUP(A21,'[47]geoMap (44)'!$A:$B,2,0)*VLOOKUP(A21,'[47]geoMap (44)'!$A:$C,3,0)</f>
        <v>2.4425188648930121</v>
      </c>
      <c r="AU21" s="1">
        <f>AT21/VLOOKUP(A21,'[48]geoMap (45)'!$A:$B,2,0)*VLOOKUP(A21,'[48]geoMap (45)'!$A:$C,3,0)</f>
        <v>1.1494206423025939</v>
      </c>
      <c r="AV21" s="1">
        <f>AU21/VLOOKUP(A21,'[49]geoMap (46)'!$A:$B,2,0)*VLOOKUP(A21,'[49]geoMap (46)'!$A:$C,3,0)</f>
        <v>8.6515532216324284E-2</v>
      </c>
      <c r="AW21" s="1">
        <f>AV21/VLOOKUP(A21,'[50]geoMap (47)'!$A:$B,2,0)*VLOOKUP(A21,'[50]geoMap (47)'!$A:$C,3,0)</f>
        <v>9.756006824394016E-2</v>
      </c>
      <c r="AX21" s="1">
        <f>AW21/VLOOKUP(A21,'[51]geoMap (48)'!$A:$B,2,0)*VLOOKUP(A21,'[51]geoMap (48)'!$A:$C,3,0)</f>
        <v>0.17344012132256029</v>
      </c>
      <c r="AY21" s="1">
        <f>AX21/VLOOKUP(A21,'[52]geoMap (49)'!$A:$B,2,0)*VLOOKUP(A21,'[52]geoMap (49)'!$A:$C,3,0)</f>
        <v>0.65246521830867921</v>
      </c>
      <c r="AZ21" s="1" t="e">
        <f>AY21/VLOOKUP(A21,'[53]geoMap (50)'!$A:$B,2,0)*VLOOKUP(A21,'[53]geoMap (50)'!$A:$C,3,0)</f>
        <v>#REF!</v>
      </c>
      <c r="BA21" s="1">
        <f>AN21/VLOOKUP(A21,'[71]geoMap (143)'!$A:$B,2,0)*VLOOKUP(A21,'[71]geoMap (143)'!$A:$C,3,0)</f>
        <v>0.40249461804446268</v>
      </c>
      <c r="BB21" s="1">
        <f>BA21/VLOOKUP(A21,'[55]geoMap (52)'!$A:$B,2,0)*VLOOKUP(A21,'[55]geoMap (52)'!$A:$C,3,0)</f>
        <v>0.51226587751113439</v>
      </c>
      <c r="BC21" s="1" t="e">
        <f>BB21/VLOOKUP(A21,'[56]geoMap (53)'!$A:$B,2,0)*VLOOKUP(A21,'[56]geoMap (53)'!$A:$C,3,0)</f>
        <v>#REF!</v>
      </c>
      <c r="BD21" s="1" t="e">
        <f>AN21/VLOOKUP(A21,'[73]geoMap (147)'!$A:$B,2,0)*VLOOKUP(A21,'[73]geoMap (147)'!$A:$C,3,0)</f>
        <v>#REF!</v>
      </c>
      <c r="BE21" s="1">
        <f>AO21/VLOOKUP(A21,'[74]geoMap (149)'!$A:$B,2,0)*VLOOKUP(A21,'[74]geoMap (149)'!$A:$C,3,0)</f>
        <v>4.3837797661408322E-2</v>
      </c>
      <c r="BF21" s="1">
        <f>BE21/VLOOKUP(A21,'[59]geoMap (56)'!$A:$B,2,0)*VLOOKUP(A21,'[59]geoMap (56)'!$A:$C,3,0)</f>
        <v>0.13151339298422496</v>
      </c>
      <c r="BG21" s="1" t="e">
        <f>BF21/VLOOKUP(A21,'[60]geoMap (57)'!$A:$B,2,0)*VLOOKUP(A21,'[60]geoMap (57)'!$A:$C,3,0)</f>
        <v>#REF!</v>
      </c>
      <c r="BH21" s="1" t="e">
        <f>AN21/VLOOKUP(A21,'[94]geoMap (154)'!$A:$B,2,0)*VLOOKUP(A21,'[94]geoMap (154)'!$A:$C,3,0)</f>
        <v>#REF!</v>
      </c>
      <c r="BI21" s="1" t="e">
        <f>AN21/VLOOKUP(A21,'[76]geoMap (156)'!$A:$B,2,0)*VLOOKUP(A21,'[76]geoMap (156)'!$A:$C,3,0)</f>
        <v>#REF!</v>
      </c>
      <c r="BJ21" s="1" t="e">
        <f>AN21/VLOOKUP(A21,'[77]geoMap (158)'!$A:$B,2,0)*VLOOKUP(A21,'[77]geoMap (158)'!$A:$C,3,0)</f>
        <v>#REF!</v>
      </c>
      <c r="BK21" s="1">
        <f>AS21/VLOOKUP(A21,'[106]geoMap (161)'!$A:$B,2,0)*VLOOKUP(A21,'[106]geoMap (161)'!$A:$C,3,0)</f>
        <v>6.3317456827548635E-2</v>
      </c>
      <c r="BL21" s="1" t="e">
        <f>BK21/VLOOKUP(A21,'[65]geoMap (62)'!$A:$B,2,0)*VLOOKUP(A21,'[65]geoMap (62)'!$A:$C,3,0)</f>
        <v>#REF!</v>
      </c>
      <c r="BM21" s="1" t="e">
        <f>AN21/VLOOKUP(A21,'[80]geoMap (164)'!$A:$B,2,0)*VLOOKUP(A21,'[80]geoMap (164)'!$A:$C,3,0)</f>
        <v>#REF!</v>
      </c>
      <c r="BN21" s="1" t="e">
        <f>AN21/VLOOKUP(A21,'[81]geoMap (166)'!$A:$B,2,0)*VLOOKUP(A21,'[81]geoMap (166)'!$A:$C,3,0)</f>
        <v>#REF!</v>
      </c>
      <c r="BO21" s="1" t="e">
        <f>AN21/VLOOKUP(A21,'[82]geoMap (168)'!$A:$B,2,0)*VLOOKUP(A21,'[82]geoMap (168)'!$A:$C,3,0)</f>
        <v>#REF!</v>
      </c>
      <c r="BP21" s="1" t="e">
        <f>AN21/VLOOKUP(A21,'[83]geoMap (170)'!$A:$B,2,0)*VLOOKUP(A21,'[83]geoMap (170)'!$A:$C,3,0)</f>
        <v>#REF!</v>
      </c>
    </row>
    <row r="22" spans="1:68" x14ac:dyDescent="0.2">
      <c r="A22" s="1" t="s">
        <v>78</v>
      </c>
      <c r="B22" s="1">
        <f>VLOOKUP(A22,[3]geoMap!$A:$B,2,0)*Notes!$C$6</f>
        <v>6000</v>
      </c>
      <c r="C22" s="1">
        <f>B22/VLOOKUP(A22,'[4]geoMap (1)'!$A:$B,2,0)*VLOOKUP(A22,'[4]geoMap (1)'!$A:$C,3,0)</f>
        <v>5538.4615384615372</v>
      </c>
      <c r="D22" s="1">
        <f>C22/VLOOKUP(A22,'[5]geoMap (2)'!$A:$B,2,0)*VLOOKUP(A22,'[5]geoMap (2)'!$A:$C,3,0)</f>
        <v>6245.4991816693928</v>
      </c>
      <c r="E22" s="1">
        <f>D22/VLOOKUP(A22,'[6]geoMap (3)'!$A:$B,2,0)*VLOOKUP(A22,'[6]geoMap (3)'!$A:$C,3,0)</f>
        <v>4340.0926516685613</v>
      </c>
      <c r="F22" s="1">
        <f>E22/VLOOKUP(A22,'[7]geoMap (4)'!$A:$B,2,0)*VLOOKUP(A22,'[7]geoMap (4)'!$A:$C,3,0)</f>
        <v>4340.0926516685613</v>
      </c>
      <c r="G22" s="1">
        <f>F22/VLOOKUP(A22,'[8]geoMap (5)'!$A:$B,2,0)*VLOOKUP(A22,'[8]geoMap (5)'!$A:$C,3,0)</f>
        <v>4517.239290512176</v>
      </c>
      <c r="H22" s="1">
        <f>G22/VLOOKUP(A22,'[9]geoMap (6)'!$A:$B,2,0)*VLOOKUP(A22,'[9]geoMap (6)'!$A:$C,3,0)</f>
        <v>2540.9471009130989</v>
      </c>
      <c r="I22" s="1">
        <f>H22/VLOOKUP(A22,'[10]geoMap (7)'!$A:$B,2,0)*VLOOKUP(A22,'[10]geoMap (7)'!$A:$C,3,0)</f>
        <v>2078.9567189288991</v>
      </c>
      <c r="J22" s="1">
        <f>I22/VLOOKUP(A22,'[11]geoMap (8)'!$A:$B,2,0)*VLOOKUP(A22,'[11]geoMap (8)'!$A:$C,3,0)</f>
        <v>1220.9745809582423</v>
      </c>
      <c r="K22" s="1">
        <f>J22/VLOOKUP(A22,'[12]geoMap (9)'!$A:$B,2,0)*VLOOKUP(A22,'[12]geoMap (9)'!$A:$C,3,0)</f>
        <v>1220.9745809582423</v>
      </c>
      <c r="L22" s="1">
        <f>K22/VLOOKUP(A22,'[13]geoMap (10)'!$A:$B,2,0)*VLOOKUP(A22,'[13]geoMap (10)'!$A:$C,3,0)</f>
        <v>286.40144491613091</v>
      </c>
      <c r="M22" s="1">
        <f>L22/VLOOKUP(A22,'[14]geoMap (11)'!$A:$B,2,0)*VLOOKUP(A22,'[14]geoMap (11)'!$A:$C,3,0)</f>
        <v>1503.6075858096872</v>
      </c>
      <c r="N22" s="1">
        <f>M22/VLOOKUP(A22,'[15]geoMap (12)'!$A:$B,2,0)*VLOOKUP(A22,'[15]geoMap (12)'!$A:$C,3,0)</f>
        <v>921.56593968980837</v>
      </c>
      <c r="O22" s="1">
        <f>N22/VLOOKUP(A22,'[16]geoMap (13)'!$A:$B,2,0)*VLOOKUP(A22,'[16]geoMap (13)'!$A:$C,3,0)</f>
        <v>541.23713918290332</v>
      </c>
      <c r="P22" s="1">
        <f>O22/VLOOKUP(A22,'[17]geoMap (14)'!$A:$B,2,0)*VLOOKUP(A22,'[17]geoMap (14)'!$A:$C,3,0)</f>
        <v>190.16440025345253</v>
      </c>
      <c r="Q22" s="1">
        <f>P22/VLOOKUP(A22,'[18]geoMap (15)'!$A:$B,2,0)*VLOOKUP(A22,'[18]geoMap (15)'!$A:$C,3,0)</f>
        <v>369.14265931552546</v>
      </c>
      <c r="R22" s="1">
        <f>Q22/VLOOKUP(A22,'[19]geoMap (16)'!$A:$B,2,0)*VLOOKUP(A22,'[19]geoMap (16)'!$A:$C,3,0)</f>
        <v>104.11716031976358</v>
      </c>
      <c r="S22" s="1">
        <f>R22/VLOOKUP(A22,'[20]geoMap (17)'!$A:$B,2,0)*VLOOKUP(A22,'[20]geoMap (17)'!$A:$C,3,0)</f>
        <v>221.24896567949764</v>
      </c>
      <c r="T22" s="1">
        <f>S22/VLOOKUP(A22,'[21]geoMap (18)'!$A:$B,2,0)*VLOOKUP(A22,'[21]geoMap (18)'!$A:$C,3,0)</f>
        <v>108.97337115557346</v>
      </c>
      <c r="U22" s="1">
        <f>T22/VLOOKUP(A22,'[22]geoMap (19)'!$A:$B,2,0)*VLOOKUP(A22,'[22]geoMap (19)'!$A:$C,3,0)</f>
        <v>56.137797261962085</v>
      </c>
      <c r="V22" s="1">
        <f>U22/VLOOKUP(A22,'[23]geoMap (20)'!$A:$B,2,0)*VLOOKUP(A22,'[23]geoMap (20)'!$A:$C,3,0)</f>
        <v>28.919471316768348</v>
      </c>
      <c r="W22" s="1">
        <f>V22/VLOOKUP(A22,'[24]geoMap (21)'!$A:$B,2,0)*VLOOKUP(A22,'[24]geoMap (21)'!$A:$C,3,0)</f>
        <v>61.453876548132747</v>
      </c>
      <c r="X22" s="1">
        <f>W22/VLOOKUP(A22,'[25]geoMap (22)'!$A:$B,2,0)*VLOOKUP(A22,'[25]geoMap (22)'!$A:$C,3,0)</f>
        <v>84.864877137897608</v>
      </c>
      <c r="Y22" s="1">
        <f>X22/VLOOKUP(A22,'[26]geoMap (23)'!$A:$B,2,0)*VLOOKUP(A22,'[26]geoMap (23)'!$A:$C,3,0)</f>
        <v>72.292302747097963</v>
      </c>
      <c r="Z22" s="1">
        <f>Y22/VLOOKUP(A22,'[27]geoMap (24)'!$A:$B,2,0)*VLOOKUP(A22,'[27]geoMap (24)'!$A:$C,3,0)</f>
        <v>37.241489293959553</v>
      </c>
      <c r="AA22" s="1">
        <f>Z22/VLOOKUP(A22,'[28]geoMap (25)'!$A:$B,2,0)*VLOOKUP(A22,'[28]geoMap (25)'!$A:$C,3,0)</f>
        <v>53.591411423014968</v>
      </c>
      <c r="AB22" s="1">
        <f>AA22*VLOOKUP(A22,'[29]geoMap (26)'!$A:$B,2,0)*VLOOKUP(A22,'[29]geoMap (26)'!$A:$C,3,0)</f>
        <v>12.492158002704789</v>
      </c>
      <c r="AC22" s="1">
        <f>AB22/VLOOKUP(A22,'[30]geoMap (27)'!$A:$B,2,0)*VLOOKUP(A22,'[30]geoMap (27)'!$A:$C,3,0)</f>
        <v>4.1640526675682628</v>
      </c>
      <c r="AD22" s="1">
        <f>AC22/VLOOKUP(A22,'[31]geoMap (28)'!$A:$B,2,0)*VLOOKUP(A22,'[31]geoMap (28)'!$A:$C,3,0)</f>
        <v>8.8486119185825594</v>
      </c>
      <c r="AE22" s="1">
        <f>AD22/VLOOKUP(A22,'[32]geoMap (29)'!$A:$B,2,0)*VLOOKUP(A22,'[32]geoMap (29)'!$A:$C,3,0)</f>
        <v>6.4076155272494395</v>
      </c>
      <c r="AF22" s="1">
        <f>AE22/VLOOKUP(A22,'[33]geoMap (30)'!$A:$B,2,0)*VLOOKUP(A22,'[33]geoMap (30)'!$A:$C,3,0)</f>
        <v>2.7461209402497602</v>
      </c>
      <c r="AG22" s="1">
        <f>AF22/VLOOKUP(A22,'[34]geoMap (31)'!$A:$B,2,0)*VLOOKUP(A22,'[34]geoMap (31)'!$A:$C,3,0)</f>
        <v>2.1576664530533827</v>
      </c>
      <c r="AH22" s="1">
        <f>AG22/VLOOKUP(A22,'[35]geoMap (32)'!$A:$B,2,0)*VLOOKUP(A22,'[35]geoMap (32)'!$A:$C,3,0)</f>
        <v>2.6371478870652458</v>
      </c>
      <c r="AI22" s="1">
        <f>AH22/VLOOKUP(A22,'[36]geoMap (33)'!$A:$B,2,0)*VLOOKUP(A22,'[36]geoMap (33)'!$A:$C,3,0)</f>
        <v>1.0255575116364846</v>
      </c>
      <c r="AJ22" s="1">
        <f>AI22/VLOOKUP(A22,'[37]geoMap (34)'!$A:$B,2,0)*VLOOKUP(A22,'[37]geoMap (34)'!$A:$C,3,0)</f>
        <v>1.9046068073249003</v>
      </c>
      <c r="AK22" s="1">
        <f>AJ22/VLOOKUP(A22,'[38]geoMap (35)'!$A:$B,2,0)*VLOOKUP(A22,'[38]geoMap (35)'!$A:$C,3,0)</f>
        <v>1.6889909423447229</v>
      </c>
      <c r="AL22" s="1">
        <f>AK22/VLOOKUP(A22,'[39]geoMap (36)'!$A:$B,2,0)*VLOOKUP(A22,'[39]geoMap (36)'!$A:$C,3,0)</f>
        <v>19.423395836964314</v>
      </c>
      <c r="AM22" s="1">
        <f>AL22/VLOOKUP(A22,'[40]geoMap (37)'!$A:$B,2,0)*VLOOKUP(A22,'[40]geoMap (37)'!$A:$C,3,0)</f>
        <v>3.9782858943179922</v>
      </c>
      <c r="AN22" s="1">
        <f>AM22/VLOOKUP(A22,'[41]geoMap (38)'!$A:$B,2,0)*VLOOKUP(A22,'[41]geoMap (38)'!$A:$C,3,0)</f>
        <v>4.8623494263886577</v>
      </c>
      <c r="AO22" s="1">
        <f>AN22/VLOOKUP(A22,'[42]geoMap (39)'!$A:$B,2,0)*VLOOKUP(A22,'[42]geoMap (39)'!$A:$C,3,0)</f>
        <v>1.8909136658178116</v>
      </c>
      <c r="AP22" s="1" t="e">
        <f>AO22/VLOOKUP(A22,'[43]geoMap (40)'!$A:$B,2,0)*VLOOKUP(A22,'[43]geoMap (40)'!$A:$C,3,0)</f>
        <v>#REF!</v>
      </c>
      <c r="AQ22" s="1" t="e">
        <f>AF22/VLOOKUP(A22,'[99]geoMap (126)'!$A:$B,2,0)*VLOOKUP(A22,'[99]geoMap (126)'!$A:$C,3,0)</f>
        <v>#REF!</v>
      </c>
      <c r="AR22" s="1" t="e">
        <f>AA22/VLOOKUP(A22,'[100]geoMap (128)'!$A:$B,2,0)*VLOOKUP(A22,'[100]geoMap (128)'!$A:$C,3,0)</f>
        <v>#REF!</v>
      </c>
      <c r="AS22" s="1">
        <f>AA22/VLOOKUP(A22,'[101]geoMap (129)'!$A:$B,2,0)*VLOOKUP(A22,'[101]geoMap (129)'!$A:$C,3,0)</f>
        <v>21.889449736161044</v>
      </c>
      <c r="AT22" s="1" t="e">
        <f>AS22/VLOOKUP(A22,'[47]geoMap (44)'!$A:$B,2,0)*VLOOKUP(A22,'[47]geoMap (44)'!$A:$C,3,0)</f>
        <v>#REF!</v>
      </c>
      <c r="AU22" s="1">
        <f>AN22/VLOOKUP(A22,'[85]geoMap (133)'!$A:$B,2,0)*VLOOKUP(A22,'[85]geoMap (133)'!$A:$C,3,0)</f>
        <v>2.2881644359476034</v>
      </c>
      <c r="AV22" s="1" t="e">
        <f>AU22/VLOOKUP(A22,'[49]geoMap (46)'!$A:$B,2,0)*VLOOKUP(A22,'[49]geoMap (46)'!$A:$C,3,0)</f>
        <v>#REF!</v>
      </c>
      <c r="AW22" s="1" t="e">
        <f>AN22/VLOOKUP(A22,'[87]geoMap (137)'!$A:$B,2,0)*VLOOKUP(A22,'[87]geoMap (137)'!$A:$C,3,0)</f>
        <v>#REF!</v>
      </c>
      <c r="AX22" s="1" t="e">
        <f>AN22/VLOOKUP(A22,'[70]geoMap (138)'!$A:$B,2,0)*VLOOKUP(A22,'[70]geoMap (138)'!$A:$C,3,0)</f>
        <v>#REF!</v>
      </c>
      <c r="AY22" s="1">
        <f>AN22/VLOOKUP(A22,'[88]geoMap (140)'!$A:$B,2,0)*VLOOKUP(A22,'[88]geoMap (140)'!$A:$C,3,0)</f>
        <v>0.92616179550260158</v>
      </c>
      <c r="AZ22" s="1" t="e">
        <f>AY22/VLOOKUP(A22,'[53]geoMap (50)'!$A:$B,2,0)*VLOOKUP(A22,'[53]geoMap (50)'!$A:$C,3,0)</f>
        <v>#REF!</v>
      </c>
      <c r="BA22" s="1" t="e">
        <f>AN22/VLOOKUP(A22,'[71]geoMap (143)'!$A:$B,2,0)*VLOOKUP(A22,'[71]geoMap (143)'!$A:$C,3,0)</f>
        <v>#REF!</v>
      </c>
      <c r="BB22" s="1" t="e">
        <f>AN22/VLOOKUP(A22,'[90]geoMap (144)'!$A:$B,2,0)*VLOOKUP(A22,'[90]geoMap (144)'!$A:$C,3,0)</f>
        <v>#REF!</v>
      </c>
      <c r="BC22" s="1" t="e">
        <f>AN22/VLOOKUP(A22,'[72]geoMap (146)'!$A:$B,2,0)*VLOOKUP(A22,'[72]geoMap (146)'!$A:$C,3,0)</f>
        <v>#REF!</v>
      </c>
      <c r="BD22" s="1" t="e">
        <f>AN22/VLOOKUP(A22,'[73]geoMap (147)'!$A:$B,2,0)*VLOOKUP(A22,'[73]geoMap (147)'!$A:$C,3,0)</f>
        <v>#REF!</v>
      </c>
      <c r="BE22" s="1" t="e">
        <f>AN22/VLOOKUP(A22,'[91]geoMap (148)'!$A:$B,2,0)*VLOOKUP(A22,'[91]geoMap (148)'!$A:$C,3,0)</f>
        <v>#REF!</v>
      </c>
      <c r="BF22" s="1" t="e">
        <f>AN22/VLOOKUP(A22,'[75]geoMap (150)'!$A:$B,2,0)*VLOOKUP(A22,'[75]geoMap (150)'!$A:$C,3,0)</f>
        <v>#REF!</v>
      </c>
      <c r="BG22" s="1" t="e">
        <f>AN22/VLOOKUP(A22,'[93]geoMap (152)'!$A:$B,2,0)*VLOOKUP(A22,'[93]geoMap (152)'!$A:$C,3,0)</f>
        <v>#REF!</v>
      </c>
      <c r="BH22" s="1" t="e">
        <f>AN22/VLOOKUP(A22,'[94]geoMap (154)'!$A:$B,2,0)*VLOOKUP(A22,'[94]geoMap (154)'!$A:$C,3,0)</f>
        <v>#REF!</v>
      </c>
      <c r="BI22" s="1" t="e">
        <f>AN22/VLOOKUP(A22,'[76]geoMap (156)'!$A:$B,2,0)*VLOOKUP(A22,'[76]geoMap (156)'!$A:$C,3,0)</f>
        <v>#REF!</v>
      </c>
      <c r="BJ22" s="1" t="e">
        <f>AN22/VLOOKUP(A22,'[77]geoMap (158)'!$A:$B,2,0)*VLOOKUP(A22,'[77]geoMap (158)'!$A:$C,3,0)</f>
        <v>#REF!</v>
      </c>
      <c r="BK22" s="1" t="e">
        <f>AN22/VLOOKUP(A22,'[78]geoMap (160)'!$A:$B,2,0)*VLOOKUP(A22,'[78]geoMap (160)'!$A:$C,3,0)</f>
        <v>#REF!</v>
      </c>
      <c r="BL22" s="1" t="e">
        <f>AN22/VLOOKUP(A22,'[79]geoMap (162)'!$A:$B,2,0)*VLOOKUP(A22,'[79]geoMap (162)'!$A:$C,3,0)</f>
        <v>#REF!</v>
      </c>
      <c r="BM22" s="1" t="e">
        <f>AN22/VLOOKUP(A22,'[80]geoMap (164)'!$A:$B,2,0)*VLOOKUP(A22,'[80]geoMap (164)'!$A:$C,3,0)</f>
        <v>#REF!</v>
      </c>
      <c r="BN22" s="1" t="e">
        <f>AN22/VLOOKUP(A22,'[81]geoMap (166)'!$A:$B,2,0)*VLOOKUP(A22,'[81]geoMap (166)'!$A:$C,3,0)</f>
        <v>#REF!</v>
      </c>
      <c r="BO22" s="1" t="e">
        <f>AN22/VLOOKUP(A22,'[82]geoMap (168)'!$A:$B,2,0)*VLOOKUP(A22,'[82]geoMap (168)'!$A:$C,3,0)</f>
        <v>#REF!</v>
      </c>
      <c r="BP22" s="1" t="e">
        <f>AN22/VLOOKUP(A22,'[83]geoMap (170)'!$A:$B,2,0)*VLOOKUP(A22,'[83]geoMap (170)'!$A:$C,3,0)</f>
        <v>#REF!</v>
      </c>
    </row>
    <row r="23" spans="1:68" x14ac:dyDescent="0.2">
      <c r="A23" s="1" t="s">
        <v>81</v>
      </c>
      <c r="B23" s="1">
        <f>VLOOKUP(A23,[3]geoMap!$A:$B,2,0)*Notes!$C$6</f>
        <v>6000</v>
      </c>
      <c r="C23" s="1">
        <f>B23/VLOOKUP(A23,'[4]geoMap (1)'!$A:$B,2,0)*VLOOKUP(A23,'[4]geoMap (1)'!$A:$C,3,0)</f>
        <v>4909.090909090909</v>
      </c>
      <c r="D23" s="1">
        <f>C23/VLOOKUP(A23,'[5]geoMap (2)'!$A:$B,2,0)*VLOOKUP(A23,'[5]geoMap (2)'!$A:$C,3,0)</f>
        <v>4716.5775401069523</v>
      </c>
      <c r="E23" s="1">
        <f>D23/VLOOKUP(A23,'[6]geoMap (3)'!$A:$B,2,0)*VLOOKUP(A23,'[6]geoMap (3)'!$A:$C,3,0)</f>
        <v>3558.1198986771747</v>
      </c>
      <c r="F23" s="1">
        <f>E23/VLOOKUP(A23,'[7]geoMap (4)'!$A:$B,2,0)*VLOOKUP(A23,'[7]geoMap (4)'!$A:$C,3,0)</f>
        <v>3284.4183680096999</v>
      </c>
      <c r="G23" s="1">
        <f>F23/VLOOKUP(A23,'[8]geoMap (5)'!$A:$B,2,0)*VLOOKUP(A23,'[8]geoMap (5)'!$A:$C,3,0)</f>
        <v>3703.7058192449808</v>
      </c>
      <c r="H23" s="1">
        <f>G23/VLOOKUP(A23,'[9]geoMap (6)'!$A:$B,2,0)*VLOOKUP(A23,'[9]geoMap (6)'!$A:$C,3,0)</f>
        <v>2083.3345233253017</v>
      </c>
      <c r="I23" s="1">
        <f>H23/VLOOKUP(A23,'[10]geoMap (7)'!$A:$B,2,0)*VLOOKUP(A23,'[10]geoMap (7)'!$A:$C,3,0)</f>
        <v>980.3927168589654</v>
      </c>
      <c r="J23" s="1">
        <f>I23/VLOOKUP(A23,'[11]geoMap (8)'!$A:$B,2,0)*VLOOKUP(A23,'[11]geoMap (8)'!$A:$C,3,0)</f>
        <v>1299.5903456037447</v>
      </c>
      <c r="K23" s="1">
        <f>J23/VLOOKUP(A23,'[12]geoMap (9)'!$A:$B,2,0)*VLOOKUP(A23,'[12]geoMap (9)'!$A:$C,3,0)</f>
        <v>1299.5903456037447</v>
      </c>
      <c r="L23" s="1">
        <f>K23/VLOOKUP(A23,'[13]geoMap (10)'!$A:$B,2,0)*VLOOKUP(A23,'[13]geoMap (10)'!$A:$C,3,0)</f>
        <v>611.57192734293869</v>
      </c>
      <c r="M23" s="1">
        <f>L23/VLOOKUP(A23,'[14]geoMap (11)'!$A:$B,2,0)*VLOOKUP(A23,'[14]geoMap (11)'!$A:$C,3,0)</f>
        <v>442.86243014488662</v>
      </c>
      <c r="N23" s="1">
        <f>M23/VLOOKUP(A23,'[15]geoMap (12)'!$A:$B,2,0)*VLOOKUP(A23,'[15]geoMap (12)'!$A:$C,3,0)</f>
        <v>664.29364521732975</v>
      </c>
      <c r="O23" s="1">
        <f>N23/VLOOKUP(A23,'[16]geoMap (13)'!$A:$B,2,0)*VLOOKUP(A23,'[16]geoMap (13)'!$A:$C,3,0)</f>
        <v>407.14771803642788</v>
      </c>
      <c r="P23" s="1">
        <f>O23/VLOOKUP(A23,'[17]geoMap (14)'!$A:$B,2,0)*VLOOKUP(A23,'[17]geoMap (14)'!$A:$C,3,0)</f>
        <v>200.53544321197194</v>
      </c>
      <c r="Q23" s="1">
        <f>P23/VLOOKUP(A23,'[18]geoMap (15)'!$A:$B,2,0)*VLOOKUP(A23,'[18]geoMap (15)'!$A:$C,3,0)</f>
        <v>164.07445353706794</v>
      </c>
      <c r="R23" s="1">
        <f>Q23/VLOOKUP(A23,'[19]geoMap (16)'!$A:$B,2,0)*VLOOKUP(A23,'[19]geoMap (16)'!$A:$C,3,0)</f>
        <v>134.24273471214647</v>
      </c>
      <c r="S23" s="1">
        <f>R23/VLOOKUP(A23,'[20]geoMap (17)'!$A:$B,2,0)*VLOOKUP(A23,'[20]geoMap (17)'!$A:$C,3,0)</f>
        <v>85.827322193011682</v>
      </c>
      <c r="T23" s="1">
        <f>S23/VLOOKUP(A23,'[21]geoMap (18)'!$A:$B,2,0)*VLOOKUP(A23,'[21]geoMap (18)'!$A:$C,3,0)</f>
        <v>85.827322193011682</v>
      </c>
      <c r="U23" s="1">
        <f>T23/VLOOKUP(A23,'[22]geoMap (19)'!$A:$B,2,0)*VLOOKUP(A23,'[22]geoMap (19)'!$A:$C,3,0)</f>
        <v>59.642715422262349</v>
      </c>
      <c r="V23" s="1">
        <f>U23/VLOOKUP(A23,'[23]geoMap (20)'!$A:$B,2,0)*VLOOKUP(A23,'[23]geoMap (20)'!$A:$C,3,0)</f>
        <v>93.287324122000072</v>
      </c>
      <c r="W23" s="1">
        <f>V23/VLOOKUP(A23,'[24]geoMap (21)'!$A:$B,2,0)*VLOOKUP(A23,'[24]geoMap (21)'!$A:$C,3,0)</f>
        <v>38.10327323292961</v>
      </c>
      <c r="X23" s="1">
        <f>W23/VLOOKUP(A23,'[25]geoMap (22)'!$A:$B,2,0)*VLOOKUP(A23,'[25]geoMap (22)'!$A:$C,3,0)</f>
        <v>48.495075023728596</v>
      </c>
      <c r="Y23" s="1">
        <f>X23/VLOOKUP(A23,'[26]geoMap (23)'!$A:$B,2,0)*VLOOKUP(A23,'[26]geoMap (23)'!$A:$C,3,0)</f>
        <v>52.536331275705983</v>
      </c>
      <c r="Z23" s="1">
        <f>Y23/VLOOKUP(A23,'[27]geoMap (24)'!$A:$B,2,0)*VLOOKUP(A23,'[27]geoMap (24)'!$A:$C,3,0)</f>
        <v>33.588801963156286</v>
      </c>
      <c r="AA23" s="1">
        <f>Z23/VLOOKUP(A23,'[28]geoMap (25)'!$A:$B,2,0)*VLOOKUP(A23,'[28]geoMap (25)'!$A:$C,3,0)</f>
        <v>39.430332739357382</v>
      </c>
      <c r="AB23" s="1">
        <f>AA23*VLOOKUP(A23,'[29]geoMap (26)'!$A:$B,2,0)*VLOOKUP(A23,'[29]geoMap (26)'!$A:$C,3,0)</f>
        <v>8.9704006982038038</v>
      </c>
      <c r="AC23" s="1">
        <f>AB23/VLOOKUP(A23,'[30]geoMap (27)'!$A:$B,2,0)*VLOOKUP(A23,'[30]geoMap (27)'!$A:$C,3,0)</f>
        <v>5.9802671321358698</v>
      </c>
      <c r="AD23" s="1">
        <f>AC23/VLOOKUP(A23,'[31]geoMap (28)'!$A:$B,2,0)*VLOOKUP(A23,'[31]geoMap (28)'!$A:$C,3,0)</f>
        <v>4.5114295909095157</v>
      </c>
      <c r="AE23" s="1">
        <f>AD23/VLOOKUP(A23,'[32]geoMap (29)'!$A:$B,2,0)*VLOOKUP(A23,'[32]geoMap (29)'!$A:$C,3,0)</f>
        <v>4.1643965454549372</v>
      </c>
      <c r="AF23" s="1">
        <f>AE23/VLOOKUP(A23,'[33]geoMap (30)'!$A:$B,2,0)*VLOOKUP(A23,'[33]geoMap (30)'!$A:$C,3,0)</f>
        <v>1.5402562565381277</v>
      </c>
      <c r="AG23" s="1">
        <f>AF23/VLOOKUP(A23,'[34]geoMap (31)'!$A:$B,2,0)*VLOOKUP(A23,'[34]geoMap (31)'!$A:$C,3,0)</f>
        <v>2.7382333449566718</v>
      </c>
      <c r="AH23" s="1">
        <f>AG23/VLOOKUP(A23,'[35]geoMap (32)'!$A:$B,2,0)*VLOOKUP(A23,'[35]geoMap (32)'!$A:$C,3,0)</f>
        <v>31.489683467001726</v>
      </c>
      <c r="AI23" s="1">
        <f>AH23/VLOOKUP(A23,'[36]geoMap (33)'!$A:$B,2,0)*VLOOKUP(A23,'[36]geoMap (33)'!$A:$C,3,0)</f>
        <v>2.7382333449566718</v>
      </c>
      <c r="AJ23" s="1">
        <f>AI23/VLOOKUP(A23,'[37]geoMap (34)'!$A:$B,2,0)*VLOOKUP(A23,'[37]geoMap (34)'!$A:$C,3,0)</f>
        <v>2.8499979712814336</v>
      </c>
      <c r="AK23" s="1">
        <f>AJ23/VLOOKUP(A23,'[38]geoMap (35)'!$A:$B,2,0)*VLOOKUP(A23,'[38]geoMap (35)'!$A:$C,3,0)</f>
        <v>1.9805070647887928</v>
      </c>
      <c r="AL23" s="1">
        <f>AK23/VLOOKUP(A23,'[39]geoMap (36)'!$A:$B,2,0)*VLOOKUP(A23,'[39]geoMap (36)'!$A:$C,3,0)</f>
        <v>0.93200332460649071</v>
      </c>
      <c r="AM23" s="1">
        <f>AL23/VLOOKUP(A23,'[40]geoMap (37)'!$A:$B,2,0)*VLOOKUP(A23,'[40]geoMap (37)'!$A:$C,3,0)</f>
        <v>2.2818012430020977</v>
      </c>
      <c r="AN23" s="1">
        <f>AM23/VLOOKUP(A23,'[41]geoMap (38)'!$A:$B,2,0)*VLOOKUP(A23,'[41]geoMap (38)'!$A:$C,3,0)</f>
        <v>2.6786362417850711</v>
      </c>
      <c r="AO23" s="1">
        <f>AN23/VLOOKUP(A23,'[42]geoMap (39)'!$A:$B,2,0)*VLOOKUP(A23,'[42]geoMap (39)'!$A:$C,3,0)</f>
        <v>0.94114246332988982</v>
      </c>
      <c r="AP23" s="1">
        <f>AO23/VLOOKUP(A23,'[43]geoMap (40)'!$A:$B,2,0)*VLOOKUP(A23,'[43]geoMap (40)'!$A:$C,3,0)</f>
        <v>0.65401425417839798</v>
      </c>
      <c r="AQ23" s="1" t="e">
        <f>AF23/VLOOKUP(A23,'[99]geoMap (126)'!$A:$B,2,0)*VLOOKUP(A23,'[99]geoMap (126)'!$A:$C,3,0)</f>
        <v>#REF!</v>
      </c>
      <c r="AR23" s="1">
        <f>AA23/VLOOKUP(A23,'[100]geoMap (128)'!$A:$B,2,0)*VLOOKUP(A23,'[100]geoMap (128)'!$A:$C,3,0)</f>
        <v>4.8734119116059684</v>
      </c>
      <c r="AS23" s="1">
        <f>AR23/VLOOKUP(A23,'[46]geoMap (43)'!$A:$B,2,0)*VLOOKUP(A23,'[46]geoMap (43)'!$A:$C,3,0)</f>
        <v>12.531630629843916</v>
      </c>
      <c r="AT23" s="1" t="e">
        <f>AS23/VLOOKUP(A23,'[47]geoMap (44)'!$A:$B,2,0)*VLOOKUP(A23,'[47]geoMap (44)'!$A:$C,3,0)</f>
        <v>#REF!</v>
      </c>
      <c r="AU23" s="1">
        <f>AN23/VLOOKUP(A23,'[85]geoMap (133)'!$A:$B,2,0)*VLOOKUP(A23,'[85]geoMap (133)'!$A:$C,3,0)</f>
        <v>0.54863633867887007</v>
      </c>
      <c r="AV23" s="1">
        <f>AU23/VLOOKUP(A23,'[49]geoMap (46)'!$A:$B,2,0)*VLOOKUP(A23,'[49]geoMap (46)'!$A:$C,3,0)</f>
        <v>0.12043236702706904</v>
      </c>
      <c r="AW23" s="1" t="e">
        <f>AV23/VLOOKUP(A23,'[50]geoMap (47)'!$A:$B,2,0)*VLOOKUP(A23,'[50]geoMap (47)'!$A:$C,3,0)</f>
        <v>#REF!</v>
      </c>
      <c r="AX23" s="1" t="e">
        <f>AN23/VLOOKUP(A23,'[70]geoMap (138)'!$A:$B,2,0)*VLOOKUP(A23,'[70]geoMap (138)'!$A:$C,3,0)</f>
        <v>#REF!</v>
      </c>
      <c r="AY23" s="1">
        <f>AN23/VLOOKUP(A23,'[88]geoMap (140)'!$A:$B,2,0)*VLOOKUP(A23,'[88]geoMap (140)'!$A:$C,3,0)</f>
        <v>0.472700513256189</v>
      </c>
      <c r="AZ23" s="1">
        <f>AY23/VLOOKUP(A23,'[53]geoMap (50)'!$A:$B,2,0)*VLOOKUP(A23,'[53]geoMap (50)'!$A:$C,3,0)</f>
        <v>0.37140754612986276</v>
      </c>
      <c r="BA23" s="1" t="e">
        <f>AN23/VLOOKUP(A23,'[71]geoMap (143)'!$A:$B,2,0)*VLOOKUP(A23,'[71]geoMap (143)'!$A:$C,3,0)</f>
        <v>#REF!</v>
      </c>
      <c r="BB23" s="1">
        <f>AN23/VLOOKUP(A23,'[90]geoMap (144)'!$A:$B,2,0)*VLOOKUP(A23,'[90]geoMap (144)'!$A:$C,3,0)</f>
        <v>0.62832208140637469</v>
      </c>
      <c r="BC23" s="1" t="e">
        <f>BB23/VLOOKUP(A23,'[56]geoMap (53)'!$A:$B,2,0)*VLOOKUP(A23,'[56]geoMap (53)'!$A:$C,3,0)</f>
        <v>#REF!</v>
      </c>
      <c r="BD23" s="1" t="e">
        <f>AN23/VLOOKUP(A23,'[73]geoMap (147)'!$A:$B,2,0)*VLOOKUP(A23,'[73]geoMap (147)'!$A:$C,3,0)</f>
        <v>#REF!</v>
      </c>
      <c r="BE23" s="1" t="e">
        <f>AN23/VLOOKUP(A23,'[91]geoMap (148)'!$A:$B,2,0)*VLOOKUP(A23,'[91]geoMap (148)'!$A:$C,3,0)</f>
        <v>#REF!</v>
      </c>
      <c r="BF23" s="1" t="e">
        <f>AN23/VLOOKUP(A23,'[75]geoMap (150)'!$A:$B,2,0)*VLOOKUP(A23,'[75]geoMap (150)'!$A:$C,3,0)</f>
        <v>#REF!</v>
      </c>
      <c r="BG23" s="1" t="e">
        <f>AN23/VLOOKUP(A23,'[93]geoMap (152)'!$A:$B,2,0)*VLOOKUP(A23,'[93]geoMap (152)'!$A:$C,3,0)</f>
        <v>#REF!</v>
      </c>
      <c r="BH23" s="1" t="e">
        <f>AN23/VLOOKUP(A23,'[94]geoMap (154)'!$A:$B,2,0)*VLOOKUP(A23,'[94]geoMap (154)'!$A:$C,3,0)</f>
        <v>#REF!</v>
      </c>
      <c r="BI23" s="1" t="e">
        <f>AN23/VLOOKUP(A23,'[76]geoMap (156)'!$A:$B,2,0)*VLOOKUP(A23,'[76]geoMap (156)'!$A:$C,3,0)</f>
        <v>#REF!</v>
      </c>
      <c r="BJ23" s="1" t="e">
        <f>AN23/VLOOKUP(A23,'[77]geoMap (158)'!$A:$B,2,0)*VLOOKUP(A23,'[77]geoMap (158)'!$A:$C,3,0)</f>
        <v>#REF!</v>
      </c>
      <c r="BK23" s="1" t="e">
        <f>AN23/VLOOKUP(A23,'[78]geoMap (160)'!$A:$B,2,0)*VLOOKUP(A23,'[78]geoMap (160)'!$A:$C,3,0)</f>
        <v>#REF!</v>
      </c>
      <c r="BL23" s="1" t="e">
        <f>AN23/VLOOKUP(A23,'[79]geoMap (162)'!$A:$B,2,0)*VLOOKUP(A23,'[79]geoMap (162)'!$A:$C,3,0)</f>
        <v>#REF!</v>
      </c>
      <c r="BM23" s="1" t="e">
        <f>BL23/VLOOKUP(A23,'[66]geoMap (63)'!$A:$B,2,0)*VLOOKUP(A23,'[66]geoMap (63)'!$A:$C,3,0)</f>
        <v>#REF!</v>
      </c>
      <c r="BN23" s="1" t="e">
        <f>AN23/VLOOKUP(A23,'[81]geoMap (166)'!$A:$B,2,0)*VLOOKUP(A23,'[81]geoMap (166)'!$A:$C,3,0)</f>
        <v>#REF!</v>
      </c>
      <c r="BO23" s="1" t="e">
        <f>AN23/VLOOKUP(A23,'[82]geoMap (168)'!$A:$B,2,0)*VLOOKUP(A23,'[82]geoMap (168)'!$A:$C,3,0)</f>
        <v>#REF!</v>
      </c>
      <c r="BP23" s="1" t="e">
        <f>AN23/VLOOKUP(A23,'[83]geoMap (170)'!$A:$B,2,0)*VLOOKUP(A23,'[83]geoMap (170)'!$A:$C,3,0)</f>
        <v>#REF!</v>
      </c>
    </row>
    <row r="24" spans="1:68" x14ac:dyDescent="0.2">
      <c r="A24" s="1" t="s">
        <v>73</v>
      </c>
      <c r="B24" s="1">
        <f>VLOOKUP(A24,[3]geoMap!$A:$B,2,0)*Notes!$C$6</f>
        <v>6000</v>
      </c>
      <c r="C24" s="1">
        <f>B24/VLOOKUP(A24,'[4]geoMap (1)'!$A:$B,2,0)*VLOOKUP(A24,'[4]geoMap (1)'!$A:$C,3,0)</f>
        <v>4169.4915254237285</v>
      </c>
      <c r="D24" s="1">
        <f>C24/VLOOKUP(A24,'[5]geoMap (2)'!$A:$B,2,0)*VLOOKUP(A24,'[5]geoMap (2)'!$A:$C,3,0)</f>
        <v>5527.0003941663372</v>
      </c>
      <c r="E24" s="1">
        <f>D24/VLOOKUP(A24,'[6]geoMap (3)'!$A:$B,2,0)*VLOOKUP(A24,'[6]geoMap (3)'!$A:$C,3,0)</f>
        <v>4901.3022363361861</v>
      </c>
      <c r="F24" s="1">
        <f>E24/VLOOKUP(A24,'[7]geoMap (4)'!$A:$B,2,0)*VLOOKUP(A24,'[7]geoMap (4)'!$A:$C,3,0)</f>
        <v>3133.6194625755943</v>
      </c>
      <c r="G24" s="1">
        <f>F24/VLOOKUP(A24,'[8]geoMap (5)'!$A:$B,2,0)*VLOOKUP(A24,'[8]geoMap (5)'!$A:$C,3,0)</f>
        <v>3394.7544177902273</v>
      </c>
      <c r="H24" s="1">
        <f>G24/VLOOKUP(A24,'[9]geoMap (6)'!$A:$B,2,0)*VLOOKUP(A24,'[9]geoMap (6)'!$A:$C,3,0)</f>
        <v>1255.5940997306323</v>
      </c>
      <c r="I24" s="1">
        <f>H24/VLOOKUP(A24,'[10]geoMap (7)'!$A:$B,2,0)*VLOOKUP(A24,'[10]geoMap (7)'!$A:$C,3,0)</f>
        <v>1664.3921787126983</v>
      </c>
      <c r="J24" s="1">
        <f>I24/VLOOKUP(A24,'[11]geoMap (8)'!$A:$B,2,0)*VLOOKUP(A24,'[11]geoMap (8)'!$A:$C,3,0)</f>
        <v>1205.2495087229884</v>
      </c>
      <c r="K24" s="1">
        <f>J24/VLOOKUP(A24,'[12]geoMap (9)'!$A:$B,2,0)*VLOOKUP(A24,'[12]geoMap (9)'!$A:$C,3,0)</f>
        <v>1026.6940259492123</v>
      </c>
      <c r="L24" s="1">
        <f>K24/VLOOKUP(A24,'[13]geoMap (10)'!$A:$B,2,0)*VLOOKUP(A24,'[13]geoMap (10)'!$A:$C,3,0)</f>
        <v>552.83524474188357</v>
      </c>
      <c r="M24" s="1">
        <f>L24/VLOOKUP(A24,'[14]geoMap (11)'!$A:$B,2,0)*VLOOKUP(A24,'[14]geoMap (11)'!$A:$C,3,0)</f>
        <v>368.55682982792246</v>
      </c>
      <c r="N24" s="1">
        <f>M24/VLOOKUP(A24,'[15]geoMap (12)'!$A:$B,2,0)*VLOOKUP(A24,'[15]geoMap (12)'!$A:$C,3,0)</f>
        <v>508.95943166713101</v>
      </c>
      <c r="O24" s="1">
        <f>N24/VLOOKUP(A24,'[16]geoMap (13)'!$A:$B,2,0)*VLOOKUP(A24,'[16]geoMap (13)'!$A:$C,3,0)</f>
        <v>325.40029237734603</v>
      </c>
      <c r="P24" s="1">
        <f>O24/VLOOKUP(A24,'[17]geoMap (14)'!$A:$B,2,0)*VLOOKUP(A24,'[17]geoMap (14)'!$A:$C,3,0)</f>
        <v>414.14582666207684</v>
      </c>
      <c r="Q24" s="1">
        <f>P24/VLOOKUP(A24,'[18]geoMap (15)'!$A:$B,2,0)*VLOOKUP(A24,'[18]geoMap (15)'!$A:$C,3,0)</f>
        <v>153.17722355994624</v>
      </c>
      <c r="R24" s="1">
        <f>Q24/VLOOKUP(A24,'[19]geoMap (16)'!$A:$B,2,0)*VLOOKUP(A24,'[19]geoMap (16)'!$A:$C,3,0)</f>
        <v>102.11814903996418</v>
      </c>
      <c r="S24" s="1">
        <f>R24/VLOOKUP(A24,'[20]geoMap (17)'!$A:$B,2,0)*VLOOKUP(A24,'[20]geoMap (17)'!$A:$C,3,0)</f>
        <v>77.036498398569478</v>
      </c>
      <c r="T24" s="1">
        <f>S24/VLOOKUP(A24,'[21]geoMap (18)'!$A:$B,2,0)*VLOOKUP(A24,'[21]geoMap (18)'!$A:$C,3,0)</f>
        <v>98.046452507270246</v>
      </c>
      <c r="U24" s="1">
        <f>T24/VLOOKUP(A24,'[22]geoMap (19)'!$A:$B,2,0)*VLOOKUP(A24,'[22]geoMap (19)'!$A:$C,3,0)</f>
        <v>55.151129535339507</v>
      </c>
      <c r="V24" s="1">
        <f>U24/VLOOKUP(A24,'[23]geoMap (20)'!$A:$B,2,0)*VLOOKUP(A24,'[23]geoMap (20)'!$A:$C,3,0)</f>
        <v>93.905977316929423</v>
      </c>
      <c r="W24" s="1">
        <f>V24/VLOOKUP(A24,'[24]geoMap (21)'!$A:$B,2,0)*VLOOKUP(A24,'[24]geoMap (21)'!$A:$C,3,0)</f>
        <v>23.476494329232356</v>
      </c>
      <c r="X24" s="1">
        <f>W24/VLOOKUP(A24,'[25]geoMap (22)'!$A:$B,2,0)*VLOOKUP(A24,'[25]geoMap (22)'!$A:$C,3,0)</f>
        <v>43.599203754288666</v>
      </c>
      <c r="Y24" s="1">
        <f>X24/VLOOKUP(A24,'[26]geoMap (23)'!$A:$B,2,0)*VLOOKUP(A24,'[26]geoMap (23)'!$A:$C,3,0)</f>
        <v>38.663444838708813</v>
      </c>
      <c r="Z24" s="1">
        <f>Y24/VLOOKUP(A24,'[27]geoMap (24)'!$A:$B,2,0)*VLOOKUP(A24,'[27]geoMap (24)'!$A:$C,3,0)</f>
        <v>41.885398575267885</v>
      </c>
      <c r="AA24" s="1">
        <f>Z24/VLOOKUP(A24,'[28]geoMap (25)'!$A:$B,2,0)*VLOOKUP(A24,'[28]geoMap (25)'!$A:$C,3,0)</f>
        <v>26.779189253040126</v>
      </c>
      <c r="AB24" s="1">
        <f>AA24*VLOOKUP(A24,'[29]geoMap (26)'!$A:$B,2,0)*VLOOKUP(A24,'[29]geoMap (26)'!$A:$C,3,0)</f>
        <v>6.5234105020405746</v>
      </c>
      <c r="AC24" s="1">
        <f>AB24/VLOOKUP(A24,'[30]geoMap (27)'!$A:$B,2,0)*VLOOKUP(A24,'[30]geoMap (27)'!$A:$C,3,0)</f>
        <v>5.5569793165530816</v>
      </c>
      <c r="AD24" s="1">
        <f>AC24/VLOOKUP(A24,'[31]geoMap (28)'!$A:$B,2,0)*VLOOKUP(A24,'[31]geoMap (28)'!$A:$C,3,0)</f>
        <v>3.4058905488551146</v>
      </c>
      <c r="AE24" s="1">
        <f>AD24/VLOOKUP(A24,'[32]geoMap (29)'!$A:$B,2,0)*VLOOKUP(A24,'[32]geoMap (29)'!$A:$C,3,0)</f>
        <v>2.5693560280836834</v>
      </c>
      <c r="AF24" s="1">
        <f>AE24/VLOOKUP(A24,'[33]geoMap (30)'!$A:$B,2,0)*VLOOKUP(A24,'[33]geoMap (30)'!$A:$C,3,0)</f>
        <v>1.4452627657970718</v>
      </c>
      <c r="AG24" s="1">
        <f>AF24/VLOOKUP(A24,'[34]geoMap (31)'!$A:$B,2,0)*VLOOKUP(A24,'[34]geoMap (31)'!$A:$C,3,0)</f>
        <v>1.7664322693075323</v>
      </c>
      <c r="AH24" s="1">
        <f>AG24/VLOOKUP(A24,'[35]geoMap (32)'!$A:$B,2,0)*VLOOKUP(A24,'[35]geoMap (32)'!$A:$C,3,0)</f>
        <v>2.3415497523378916</v>
      </c>
      <c r="AI24" s="1">
        <f>AH24/VLOOKUP(A24,'[36]geoMap (33)'!$A:$B,2,0)*VLOOKUP(A24,'[36]geoMap (33)'!$A:$C,3,0)</f>
        <v>1.1533006242858272</v>
      </c>
      <c r="AJ24" s="1">
        <f>AI24/VLOOKUP(A24,'[37]geoMap (34)'!$A:$B,2,0)*VLOOKUP(A24,'[37]geoMap (34)'!$A:$C,3,0)</f>
        <v>0.90616477622457847</v>
      </c>
      <c r="AK24" s="1">
        <f>AJ24/VLOOKUP(A24,'[38]geoMap (35)'!$A:$B,2,0)*VLOOKUP(A24,'[38]geoMap (35)'!$A:$C,3,0)</f>
        <v>1.8397890911226291</v>
      </c>
      <c r="AL24" s="1">
        <f>AK24/VLOOKUP(A24,'[39]geoMap (36)'!$A:$B,2,0)*VLOOKUP(A24,'[39]geoMap (36)'!$A:$C,3,0)</f>
        <v>9.658892728393802</v>
      </c>
      <c r="AM24" s="1">
        <f>AL24/VLOOKUP(A24,'[40]geoMap (37)'!$A:$B,2,0)*VLOOKUP(A24,'[40]geoMap (37)'!$A:$C,3,0)</f>
        <v>0.61652506776981719</v>
      </c>
      <c r="AN24" s="1">
        <f>AM24/VLOOKUP(A24,'[41]geoMap (38)'!$A:$B,2,0)*VLOOKUP(A24,'[41]geoMap (38)'!$A:$C,3,0)</f>
        <v>1.3722654734231414</v>
      </c>
      <c r="AO24" s="1">
        <f>AN24/VLOOKUP(A24,'[42]geoMap (39)'!$A:$B,2,0)*VLOOKUP(A24,'[42]geoMap (39)'!$A:$C,3,0)</f>
        <v>0.50755024359486056</v>
      </c>
      <c r="AP24" s="1">
        <f>AO24/VLOOKUP(A24,'[43]geoMap (40)'!$A:$B,2,0)*VLOOKUP(A24,'[43]geoMap (40)'!$A:$C,3,0)</f>
        <v>0.41526838112306769</v>
      </c>
      <c r="AQ24" s="1" t="e">
        <f>AP24/VLOOKUP(A24,'[44]geoMap (41)'!$A:$B,2,0)*VLOOKUP(A24,'[44]geoMap (41)'!$A:$C,3,0)</f>
        <v>#REF!</v>
      </c>
      <c r="AR24" s="1" t="e">
        <f>AA24/VLOOKUP(A24,'[100]geoMap (128)'!$A:$B,2,0)*VLOOKUP(A24,'[100]geoMap (128)'!$A:$C,3,0)</f>
        <v>#REF!</v>
      </c>
      <c r="AS24" s="1">
        <f>AA24/VLOOKUP(A24,'[101]geoMap (129)'!$A:$B,2,0)*VLOOKUP(A24,'[101]geoMap (129)'!$A:$C,3,0)</f>
        <v>2.975465472560014</v>
      </c>
      <c r="AT24" s="1" t="e">
        <f>AS24/VLOOKUP(A24,'[47]geoMap (44)'!$A:$B,2,0)*VLOOKUP(A24,'[47]geoMap (44)'!$A:$C,3,0)</f>
        <v>#REF!</v>
      </c>
      <c r="AU24" s="1">
        <f>AN24/VLOOKUP(A24,'[85]geoMap (133)'!$A:$B,2,0)*VLOOKUP(A24,'[85]geoMap (133)'!$A:$C,3,0)</f>
        <v>0.48214732850002268</v>
      </c>
      <c r="AV24" s="1">
        <f>AU24/VLOOKUP(A24,'[49]geoMap (46)'!$A:$B,2,0)*VLOOKUP(A24,'[49]geoMap (46)'!$A:$C,3,0)</f>
        <v>0.20663456935715258</v>
      </c>
      <c r="AW24" s="1" t="e">
        <f>AN24/VLOOKUP(A24,'[87]geoMap (137)'!$A:$B,2,0)*VLOOKUP(A24,'[87]geoMap (137)'!$A:$C,3,0)</f>
        <v>#REF!</v>
      </c>
      <c r="AX24" s="1" t="e">
        <f>AN24/VLOOKUP(A24,'[70]geoMap (138)'!$A:$B,2,0)*VLOOKUP(A24,'[70]geoMap (138)'!$A:$C,3,0)</f>
        <v>#REF!</v>
      </c>
      <c r="AY24" s="1" t="e">
        <f>AN24/VLOOKUP(A24,'[88]geoMap (140)'!$A:$B,2,0)*VLOOKUP(A24,'[88]geoMap (140)'!$A:$C,3,0)</f>
        <v>#REF!</v>
      </c>
      <c r="AZ24" s="1" t="e">
        <f>AN24/VLOOKUP(A24,'[89]geoMap (141)'!$A:$B,2,0)*VLOOKUP(A24,'[89]geoMap (141)'!$A:$C,3,0)</f>
        <v>#REF!</v>
      </c>
      <c r="BA24" s="1" t="e">
        <f>AN24/VLOOKUP(A24,'[71]geoMap (143)'!$A:$B,2,0)*VLOOKUP(A24,'[71]geoMap (143)'!$A:$C,3,0)</f>
        <v>#REF!</v>
      </c>
      <c r="BB24" s="1" t="e">
        <f>AN24/VLOOKUP(A24,'[90]geoMap (144)'!$A:$B,2,0)*VLOOKUP(A24,'[90]geoMap (144)'!$A:$C,3,0)</f>
        <v>#REF!</v>
      </c>
      <c r="BC24" s="1" t="e">
        <f>AN24/VLOOKUP(A24,'[72]geoMap (146)'!$A:$B,2,0)*VLOOKUP(A24,'[72]geoMap (146)'!$A:$C,3,0)</f>
        <v>#REF!</v>
      </c>
      <c r="BD24" s="1" t="e">
        <f>AN24/VLOOKUP(A24,'[73]geoMap (147)'!$A:$B,2,0)*VLOOKUP(A24,'[73]geoMap (147)'!$A:$C,3,0)</f>
        <v>#REF!</v>
      </c>
      <c r="BE24" s="1" t="e">
        <f>AN24/VLOOKUP(A24,'[91]geoMap (148)'!$A:$B,2,0)*VLOOKUP(A24,'[91]geoMap (148)'!$A:$C,3,0)</f>
        <v>#REF!</v>
      </c>
      <c r="BF24" s="1" t="e">
        <f>AN24/VLOOKUP(A24,'[75]geoMap (150)'!$A:$B,2,0)*VLOOKUP(A24,'[75]geoMap (150)'!$A:$C,3,0)</f>
        <v>#REF!</v>
      </c>
      <c r="BG24" s="1" t="e">
        <f>AN24/VLOOKUP(A24,'[93]geoMap (152)'!$A:$B,2,0)*VLOOKUP(A24,'[93]geoMap (152)'!$A:$C,3,0)</f>
        <v>#REF!</v>
      </c>
      <c r="BH24" s="1" t="e">
        <f>AN24/VLOOKUP(A24,'[94]geoMap (154)'!$A:$B,2,0)*VLOOKUP(A24,'[94]geoMap (154)'!$A:$C,3,0)</f>
        <v>#REF!</v>
      </c>
      <c r="BI24" s="1" t="e">
        <f>AN24/VLOOKUP(A24,'[76]geoMap (156)'!$A:$B,2,0)*VLOOKUP(A24,'[76]geoMap (156)'!$A:$C,3,0)</f>
        <v>#REF!</v>
      </c>
      <c r="BJ24" s="1" t="e">
        <f>AN24/VLOOKUP(A24,'[77]geoMap (158)'!$A:$B,2,0)*VLOOKUP(A24,'[77]geoMap (158)'!$A:$C,3,0)</f>
        <v>#REF!</v>
      </c>
      <c r="BK24" s="1" t="e">
        <f>AN24/VLOOKUP(A24,'[78]geoMap (160)'!$A:$B,2,0)*VLOOKUP(A24,'[78]geoMap (160)'!$A:$C,3,0)</f>
        <v>#REF!</v>
      </c>
      <c r="BL24" s="1" t="e">
        <f>AN24/VLOOKUP(A24,'[79]geoMap (162)'!$A:$B,2,0)*VLOOKUP(A24,'[79]geoMap (162)'!$A:$C,3,0)</f>
        <v>#REF!</v>
      </c>
      <c r="BM24" s="1" t="e">
        <f>AN24/VLOOKUP(A24,'[80]geoMap (164)'!$A:$B,2,0)*VLOOKUP(A24,'[80]geoMap (164)'!$A:$C,3,0)</f>
        <v>#REF!</v>
      </c>
      <c r="BN24" s="1" t="e">
        <f>AN24/VLOOKUP(A24,'[81]geoMap (166)'!$A:$B,2,0)*VLOOKUP(A24,'[81]geoMap (166)'!$A:$C,3,0)</f>
        <v>#REF!</v>
      </c>
      <c r="BO24" s="1" t="e">
        <f>AN24/VLOOKUP(A24,'[82]geoMap (168)'!$A:$B,2,0)*VLOOKUP(A24,'[82]geoMap (168)'!$A:$C,3,0)</f>
        <v>#REF!</v>
      </c>
      <c r="BP24" s="1" t="e">
        <f>AN24/VLOOKUP(A24,'[83]geoMap (170)'!$A:$B,2,0)*VLOOKUP(A24,'[83]geoMap (170)'!$A:$C,3,0)</f>
        <v>#REF!</v>
      </c>
    </row>
    <row r="25" spans="1:68" x14ac:dyDescent="0.2">
      <c r="A25" s="1" t="s">
        <v>85</v>
      </c>
      <c r="B25" s="1">
        <f>VLOOKUP(A25,[3]geoMap!$A:$B,2,0)*Notes!$C$6</f>
        <v>6000</v>
      </c>
      <c r="C25" s="1">
        <f>B25/VLOOKUP(A25,'[4]geoMap (1)'!$A:$B,2,0)*VLOOKUP(A25,'[4]geoMap (1)'!$A:$C,3,0)</f>
        <v>3836.0655737704924</v>
      </c>
      <c r="D25" s="1">
        <f>C25/VLOOKUP(A25,'[5]geoMap (2)'!$A:$B,2,0)*VLOOKUP(A25,'[5]geoMap (2)'!$A:$C,3,0)</f>
        <v>4882.2652757079004</v>
      </c>
      <c r="E25" s="1">
        <f>D25/VLOOKUP(A25,'[6]geoMap (3)'!$A:$B,2,0)*VLOOKUP(A25,'[6]geoMap (3)'!$A:$C,3,0)</f>
        <v>3392.7606153224392</v>
      </c>
      <c r="F25" s="1">
        <f>E25/VLOOKUP(A25,'[7]geoMap (4)'!$A:$B,2,0)*VLOOKUP(A25,'[7]geoMap (4)'!$A:$C,3,0)</f>
        <v>2890.1294130524484</v>
      </c>
      <c r="G25" s="1">
        <f>F25/VLOOKUP(A25,'[8]geoMap (5)'!$A:$B,2,0)*VLOOKUP(A25,'[8]geoMap (5)'!$A:$C,3,0)</f>
        <v>2364.6513379520034</v>
      </c>
      <c r="H25" s="1">
        <f>G25/VLOOKUP(A25,'[9]geoMap (6)'!$A:$B,2,0)*VLOOKUP(A25,'[9]geoMap (6)'!$A:$C,3,0)</f>
        <v>3009.5562483025501</v>
      </c>
      <c r="I25" s="1">
        <f>H25/VLOOKUP(A25,'[10]geoMap (7)'!$A:$B,2,0)*VLOOKUP(A25,'[10]geoMap (7)'!$A:$C,3,0)</f>
        <v>1416.2617639070822</v>
      </c>
      <c r="J25" s="1">
        <f>I25/VLOOKUP(A25,'[11]geoMap (8)'!$A:$B,2,0)*VLOOKUP(A25,'[11]geoMap (8)'!$A:$C,3,0)</f>
        <v>796.6472421977337</v>
      </c>
      <c r="K25" s="1">
        <f>J25/VLOOKUP(A25,'[12]geoMap (9)'!$A:$B,2,0)*VLOOKUP(A25,'[12]geoMap (9)'!$A:$C,3,0)</f>
        <v>796.6472421977337</v>
      </c>
      <c r="L25" s="1">
        <f>K25/VLOOKUP(A25,'[13]geoMap (10)'!$A:$B,2,0)*VLOOKUP(A25,'[13]geoMap (10)'!$A:$C,3,0)</f>
        <v>309.80726085467427</v>
      </c>
      <c r="M25" s="1">
        <f>L25/VLOOKUP(A25,'[14]geoMap (11)'!$A:$B,2,0)*VLOOKUP(A25,'[14]geoMap (11)'!$A:$C,3,0)</f>
        <v>464.7108912820114</v>
      </c>
      <c r="N25" s="1">
        <f>M25/VLOOKUP(A25,'[15]geoMap (12)'!$A:$B,2,0)*VLOOKUP(A25,'[15]geoMap (12)'!$A:$C,3,0)</f>
        <v>545.53017672236126</v>
      </c>
      <c r="O25" s="1">
        <f>N25/VLOOKUP(A25,'[16]geoMap (13)'!$A:$B,2,0)*VLOOKUP(A25,'[16]geoMap (13)'!$A:$C,3,0)</f>
        <v>281.0306970993982</v>
      </c>
      <c r="P25" s="1">
        <f>O25/VLOOKUP(A25,'[17]geoMap (14)'!$A:$B,2,0)*VLOOKUP(A25,'[17]geoMap (14)'!$A:$C,3,0)</f>
        <v>545.53017672236115</v>
      </c>
      <c r="Q25" s="1">
        <f>P25/VLOOKUP(A25,'[18]geoMap (15)'!$A:$B,2,0)*VLOOKUP(A25,'[18]geoMap (15)'!$A:$C,3,0)</f>
        <v>181.84339224078704</v>
      </c>
      <c r="R25" s="1">
        <f>Q25/VLOOKUP(A25,'[19]geoMap (16)'!$A:$B,2,0)*VLOOKUP(A25,'[19]geoMap (16)'!$A:$C,3,0)</f>
        <v>74.274061619476385</v>
      </c>
      <c r="S25" s="1">
        <f>R25/VLOOKUP(A25,'[20]geoMap (17)'!$A:$B,2,0)*VLOOKUP(A25,'[20]geoMap (17)'!$A:$C,3,0)</f>
        <v>90.779408646026695</v>
      </c>
      <c r="T25" s="1">
        <f>S25/VLOOKUP(A25,'[21]geoMap (18)'!$A:$B,2,0)*VLOOKUP(A25,'[21]geoMap (18)'!$A:$C,3,0)</f>
        <v>77.330607365133844</v>
      </c>
      <c r="U25" s="1">
        <f>T25/VLOOKUP(A25,'[22]geoMap (19)'!$A:$B,2,0)*VLOOKUP(A25,'[22]geoMap (19)'!$A:$C,3,0)</f>
        <v>27.170213398560538</v>
      </c>
      <c r="V25" s="1">
        <f>U25/VLOOKUP(A25,'[23]geoMap (20)'!$A:$B,2,0)*VLOOKUP(A25,'[23]geoMap (20)'!$A:$C,3,0)</f>
        <v>60.475636274215383</v>
      </c>
      <c r="W25" s="1">
        <f>V25/VLOOKUP(A25,'[24]geoMap (21)'!$A:$B,2,0)*VLOOKUP(A25,'[24]geoMap (21)'!$A:$C,3,0)</f>
        <v>32.56380414765443</v>
      </c>
      <c r="X25" s="1">
        <f>W25/VLOOKUP(A25,'[25]geoMap (22)'!$A:$B,2,0)*VLOOKUP(A25,'[25]geoMap (22)'!$A:$C,3,0)</f>
        <v>31.286792220295432</v>
      </c>
      <c r="Y25" s="1">
        <f>X25/VLOOKUP(A25,'[26]geoMap (23)'!$A:$B,2,0)*VLOOKUP(A25,'[26]geoMap (23)'!$A:$C,3,0)</f>
        <v>23.602316938117607</v>
      </c>
      <c r="Z25" s="1">
        <f>Y25/VLOOKUP(A25,'[27]geoMap (24)'!$A:$B,2,0)*VLOOKUP(A25,'[27]geoMap (24)'!$A:$C,3,0)</f>
        <v>13.86167820175161</v>
      </c>
      <c r="AA25" s="1">
        <f>Z25/VLOOKUP(A25,'[28]geoMap (25)'!$A:$B,2,0)*VLOOKUP(A25,'[28]geoMap (25)'!$A:$C,3,0)</f>
        <v>19.947293022032806</v>
      </c>
      <c r="AB25" s="1">
        <f>AA25*VLOOKUP(A25,'[29]geoMap (26)'!$A:$B,2,0)*VLOOKUP(A25,'[29]geoMap (26)'!$A:$C,3,0)</f>
        <v>4.2667259774128174</v>
      </c>
      <c r="AC25" s="1">
        <f>AB25/VLOOKUP(A25,'[30]geoMap (27)'!$A:$B,2,0)*VLOOKUP(A25,'[30]geoMap (27)'!$A:$C,3,0)</f>
        <v>1.5781041286321382</v>
      </c>
      <c r="AD25" s="1">
        <f>AC25/VLOOKUP(A25,'[31]geoMap (28)'!$A:$B,2,0)*VLOOKUP(A25,'[31]geoMap (28)'!$A:$C,3,0)</f>
        <v>2.3671561929482072</v>
      </c>
      <c r="AE25" s="1">
        <f>AD25/VLOOKUP(A25,'[32]geoMap (29)'!$A:$B,2,0)*VLOOKUP(A25,'[32]geoMap (29)'!$A:$C,3,0)</f>
        <v>2.6693463452394681</v>
      </c>
      <c r="AF25" s="1">
        <f>AE25/VLOOKUP(A25,'[33]geoMap (30)'!$A:$B,2,0)*VLOOKUP(A25,'[33]geoMap (30)'!$A:$C,3,0)</f>
        <v>1.0380791342597933</v>
      </c>
      <c r="AG25" s="1">
        <f>AF25/VLOOKUP(A25,'[34]geoMap (31)'!$A:$B,2,0)*VLOOKUP(A25,'[34]geoMap (31)'!$A:$C,3,0)</f>
        <v>0.95822689316288612</v>
      </c>
      <c r="AH25" s="1">
        <f>AG25/VLOOKUP(A25,'[35]geoMap (32)'!$A:$B,2,0)*VLOOKUP(A25,'[35]geoMap (32)'!$A:$C,3,0)</f>
        <v>0.72287291940358089</v>
      </c>
      <c r="AI25" s="1">
        <f>AH25/VLOOKUP(A25,'[36]geoMap (33)'!$A:$B,2,0)*VLOOKUP(A25,'[36]geoMap (33)'!$A:$C,3,0)</f>
        <v>0.72287291940358089</v>
      </c>
      <c r="AJ25" s="1">
        <f>AI25/VLOOKUP(A25,'[37]geoMap (34)'!$A:$B,2,0)*VLOOKUP(A25,'[37]geoMap (34)'!$A:$C,3,0)</f>
        <v>0.44305114415058189</v>
      </c>
      <c r="AK25" s="1">
        <f>AJ25/VLOOKUP(A25,'[38]geoMap (35)'!$A:$B,2,0)*VLOOKUP(A25,'[38]geoMap (35)'!$A:$C,3,0)</f>
        <v>0.4611348643199934</v>
      </c>
      <c r="AL25" s="1">
        <f>Y25/VLOOKUP(A25,'[140]geoMap (118)'!$A:$B,2,0)*VLOOKUP(A25,'[140]geoMap (118)'!$A:$C,3,0)</f>
        <v>0.48167993751260424</v>
      </c>
      <c r="AM25" s="1">
        <f>AA25/VLOOKUP(A25,'[125]geoMap (120)'!$A:$B,2,0)*VLOOKUP(A25,'[125]geoMap (120)'!$A:$C,3,0)</f>
        <v>8.9618272997538693</v>
      </c>
      <c r="AN25" s="1">
        <f>AM25/VLOOKUP(A25,'[41]geoMap (38)'!$A:$B,2,0)*VLOOKUP(A25,'[41]geoMap (38)'!$A:$C,3,0)</f>
        <v>15.259327564445778</v>
      </c>
      <c r="AO25" s="1">
        <f>AN25/VLOOKUP(A25,'[42]geoMap (39)'!$A:$B,2,0)*VLOOKUP(A25,'[42]geoMap (39)'!$A:$C,3,0)</f>
        <v>4.0562769475109022</v>
      </c>
      <c r="AP25" s="1">
        <f>AO25/VLOOKUP(A25,'[43]geoMap (40)'!$A:$B,2,0)*VLOOKUP(A25,'[43]geoMap (40)'!$A:$C,3,0)</f>
        <v>2.9373039964734118</v>
      </c>
      <c r="AQ25" s="1">
        <f>AP25/VLOOKUP(A25,'[44]geoMap (41)'!$A:$B,2,0)*VLOOKUP(A25,'[44]geoMap (41)'!$A:$C,3,0)</f>
        <v>3.4481394741209614</v>
      </c>
      <c r="AR25" s="1">
        <f>AQ25/VLOOKUP(A25,'[45]geoMap (42)'!$A:$B,2,0)*VLOOKUP(A25,'[45]geoMap (42)'!$A:$C,3,0)</f>
        <v>2.7092524439521837</v>
      </c>
      <c r="AS25" s="1">
        <f>AR25/VLOOKUP(A25,'[46]geoMap (43)'!$A:$B,2,0)*VLOOKUP(A25,'[46]geoMap (43)'!$A:$C,3,0)</f>
        <v>2.1286983488195728</v>
      </c>
      <c r="AT25" s="1">
        <f>AS25/VLOOKUP(A25,'[47]geoMap (44)'!$A:$B,2,0)*VLOOKUP(A25,'[47]geoMap (44)'!$A:$C,3,0)</f>
        <v>1.0017403994445047</v>
      </c>
      <c r="AU25" s="1">
        <f>AT25/VLOOKUP(A25,'[48]geoMap (45)'!$A:$B,2,0)*VLOOKUP(A25,'[48]geoMap (45)'!$A:$C,3,0)</f>
        <v>7.3460962625930337</v>
      </c>
      <c r="AV25" s="1">
        <f>AU25/VLOOKUP(A25,'[49]geoMap (46)'!$A:$B,2,0)*VLOOKUP(A25,'[49]geoMap (46)'!$A:$C,3,0)</f>
        <v>0.8162329180658926</v>
      </c>
      <c r="AW25" s="1">
        <f>AV25/VLOOKUP(A25,'[50]geoMap (47)'!$A:$B,2,0)*VLOOKUP(A25,'[50]geoMap (47)'!$A:$C,3,0)</f>
        <v>10.844237340018287</v>
      </c>
      <c r="AX25" s="1" t="e">
        <f>AW25/VLOOKUP(A25,'[51]geoMap (48)'!$A:$B,2,0)*VLOOKUP(A25,'[51]geoMap (48)'!$A:$C,3,0)</f>
        <v>#REF!</v>
      </c>
      <c r="AY25" s="1">
        <f>AN25/VLOOKUP(A25,'[88]geoMap (140)'!$A:$B,2,0)*VLOOKUP(A25,'[88]geoMap (140)'!$A:$C,3,0)</f>
        <v>1.3268980490822415</v>
      </c>
      <c r="AZ25" s="1" t="e">
        <f>AY25/VLOOKUP(A25,'[53]geoMap (50)'!$A:$B,2,0)*VLOOKUP(A25,'[53]geoMap (50)'!$A:$C,3,0)</f>
        <v>#REF!</v>
      </c>
      <c r="BA25" s="1" t="e">
        <f>AN25/VLOOKUP(A25,'[71]geoMap (143)'!$A:$B,2,0)*VLOOKUP(A25,'[71]geoMap (143)'!$A:$C,3,0)</f>
        <v>#REF!</v>
      </c>
      <c r="BB25" s="1" t="e">
        <f>AN25/VLOOKUP(A25,'[90]geoMap (144)'!$A:$B,2,0)*VLOOKUP(A25,'[90]geoMap (144)'!$A:$C,3,0)</f>
        <v>#REF!</v>
      </c>
      <c r="BC25" s="1" t="e">
        <f>AN25/VLOOKUP(A25,'[72]geoMap (146)'!$A:$B,2,0)*VLOOKUP(A25,'[72]geoMap (146)'!$A:$C,3,0)</f>
        <v>#REF!</v>
      </c>
      <c r="BD25" s="1" t="e">
        <f>AN25/VLOOKUP(A25,'[73]geoMap (147)'!$A:$B,2,0)*VLOOKUP(A25,'[73]geoMap (147)'!$A:$C,3,0)</f>
        <v>#REF!</v>
      </c>
      <c r="BE25" s="1">
        <f>AN25/VLOOKUP(A25,'[91]geoMap (148)'!$A:$B,2,0)*VLOOKUP(A25,'[91]geoMap (148)'!$A:$C,3,0)</f>
        <v>0.47193796591069415</v>
      </c>
      <c r="BF25" s="1" t="e">
        <f>AN25/VLOOKUP(A25,'[75]geoMap (150)'!$A:$B,2,0)*VLOOKUP(A25,'[75]geoMap (150)'!$A:$C,3,0)</f>
        <v>#REF!</v>
      </c>
      <c r="BG25" s="1" t="e">
        <f>AN25/VLOOKUP(A25,'[93]geoMap (152)'!$A:$B,2,0)*VLOOKUP(A25,'[93]geoMap (152)'!$A:$C,3,0)</f>
        <v>#REF!</v>
      </c>
      <c r="BH25" s="1" t="e">
        <f>AN25/VLOOKUP(A25,'[94]geoMap (154)'!$A:$B,2,0)*VLOOKUP(A25,'[94]geoMap (154)'!$A:$C,3,0)</f>
        <v>#REF!</v>
      </c>
      <c r="BI25" s="1" t="e">
        <f>AN25/VLOOKUP(A25,'[76]geoMap (156)'!$A:$B,2,0)*VLOOKUP(A25,'[76]geoMap (156)'!$A:$C,3,0)</f>
        <v>#REF!</v>
      </c>
      <c r="BJ25" s="1" t="e">
        <f>AN25/VLOOKUP(A25,'[77]geoMap (158)'!$A:$B,2,0)*VLOOKUP(A25,'[77]geoMap (158)'!$A:$C,3,0)</f>
        <v>#REF!</v>
      </c>
      <c r="BK25" s="1" t="e">
        <f>AN25/VLOOKUP(A25,'[78]geoMap (160)'!$A:$B,2,0)*VLOOKUP(A25,'[78]geoMap (160)'!$A:$C,3,0)</f>
        <v>#REF!</v>
      </c>
      <c r="BL25" s="1" t="e">
        <f>AN25/VLOOKUP(A25,'[79]geoMap (162)'!$A:$B,2,0)*VLOOKUP(A25,'[79]geoMap (162)'!$A:$C,3,0)</f>
        <v>#REF!</v>
      </c>
      <c r="BM25" s="1" t="e">
        <f>AN25/VLOOKUP(A25,'[80]geoMap (164)'!$A:$B,2,0)*VLOOKUP(A25,'[80]geoMap (164)'!$A:$C,3,0)</f>
        <v>#REF!</v>
      </c>
      <c r="BN25" s="1" t="e">
        <f>AN25/VLOOKUP(A25,'[81]geoMap (166)'!$A:$B,2,0)*VLOOKUP(A25,'[81]geoMap (166)'!$A:$C,3,0)</f>
        <v>#REF!</v>
      </c>
      <c r="BO25" s="1" t="e">
        <f>AN25/VLOOKUP(A25,'[82]geoMap (168)'!$A:$B,2,0)*VLOOKUP(A25,'[82]geoMap (168)'!$A:$C,3,0)</f>
        <v>#REF!</v>
      </c>
      <c r="BP25" s="1" t="e">
        <f>AN25/VLOOKUP(A25,'[83]geoMap (170)'!$A:$B,2,0)*VLOOKUP(A25,'[83]geoMap (170)'!$A:$C,3,0)</f>
        <v>#REF!</v>
      </c>
    </row>
    <row r="26" spans="1:68" x14ac:dyDescent="0.2">
      <c r="A26" s="1" t="s">
        <v>70</v>
      </c>
      <c r="B26" s="1">
        <f>VLOOKUP(A26,[3]geoMap!$A:$B,2,0)*Notes!$C$6</f>
        <v>6000</v>
      </c>
      <c r="C26" s="1">
        <f>B26/VLOOKUP(A26,'[4]geoMap (1)'!$A:$B,2,0)*VLOOKUP(A26,'[4]geoMap (1)'!$A:$C,3,0)</f>
        <v>3375</v>
      </c>
      <c r="D26" s="1">
        <f>C26/VLOOKUP(A26,'[5]geoMap (2)'!$A:$B,2,0)*VLOOKUP(A26,'[5]geoMap (2)'!$A:$C,3,0)</f>
        <v>3115.3846153846152</v>
      </c>
      <c r="E26" s="1">
        <f>J26/24*76</f>
        <v>2540.0843881856545</v>
      </c>
      <c r="F26" s="1">
        <f>B26/VLOOKUP(A26,'[147]geoMap (69)'!$A:$B,2,0)*VLOOKUP(A26,'[147]geoMap (69)'!$A:$C,3,0)</f>
        <v>4344.8275862068967</v>
      </c>
      <c r="G26" s="1" t="e">
        <f>B26/VLOOKUP(A26,'[148]geoMap (70)'!$A:$B,2,0)*VLOOKUP(A26,'[148]geoMap (70)'!$A:$C,3,0)</f>
        <v>#DIV/0!</v>
      </c>
      <c r="H26" s="1">
        <f>B26/VLOOKUP(A26,'[149]geoMap (71)'!$A:$B,2,0)*VLOOKUP(A26,'[149]geoMap (71)'!$A:$C,3,0)</f>
        <v>1594.9367088607594</v>
      </c>
      <c r="I26" s="1">
        <f>H26/VLOOKUP(A26,'[10]geoMap (7)'!$A:$B,2,0)*VLOOKUP(A26,'[10]geoMap (7)'!$A:$C,3,0)</f>
        <v>1063.2911392405065</v>
      </c>
      <c r="J26" s="1">
        <f>I26/VLOOKUP(A26,'[11]geoMap (8)'!$A:$B,2,0)*VLOOKUP(A26,'[11]geoMap (8)'!$A:$C,3,0)</f>
        <v>802.13191205862779</v>
      </c>
      <c r="K26" s="1">
        <f>J26/VLOOKUP(A26,'[12]geoMap (9)'!$A:$B,2,0)*VLOOKUP(A26,'[12]geoMap (9)'!$A:$C,3,0)</f>
        <v>1426.0122881042273</v>
      </c>
      <c r="L26" s="1">
        <f>K26/VLOOKUP(A26,'[13]geoMap (10)'!$A:$B,2,0)*VLOOKUP(A26,'[13]geoMap (10)'!$A:$C,3,0)</f>
        <v>402.20859408067946</v>
      </c>
      <c r="M26" s="1">
        <f>L26/VLOOKUP(A26,'[14]geoMap (11)'!$A:$B,2,0)*VLOOKUP(A26,'[14]geoMap (11)'!$A:$C,3,0)</f>
        <v>386.43570803829988</v>
      </c>
      <c r="N26" s="1" t="e">
        <f>H26/VLOOKUP(A26,'[117]geoMap (80)'!$A:$B,2,0)*VLOOKUP(A26,'[117]geoMap (80)'!$A:$C,3,0)</f>
        <v>#REF!</v>
      </c>
      <c r="O26" s="1">
        <f>H26/VLOOKUP(A26,'[118]geoMap (81)'!$A:$B,2,0)*VLOOKUP(A26,'[118]geoMap (81)'!$A:$C,3,0)</f>
        <v>303.79746835443041</v>
      </c>
      <c r="P26" s="1">
        <f>O26/VLOOKUP(A26,'[17]geoMap (14)'!$A:$B,2,0)*VLOOKUP(A26,'[17]geoMap (14)'!$A:$C,3,0)</f>
        <v>156.50172612197932</v>
      </c>
      <c r="Q26" s="1">
        <f>P26/VLOOKUP(A26,'[18]geoMap (15)'!$A:$B,2,0)*VLOOKUP(A26,'[18]geoMap (15)'!$A:$C,3,0)</f>
        <v>244.7847511138651</v>
      </c>
      <c r="R26" s="1" t="e">
        <f>L26/VLOOKUP(A26,'[136]geoMap (89)'!$A:$B,2,0)*VLOOKUP(A26,'[136]geoMap (89)'!$A:$C,3,0)</f>
        <v>#REF!</v>
      </c>
      <c r="S26" s="1">
        <f>O26/VLOOKUP(A26,'[110]geoMap (90)'!$A:$B,2,0)*VLOOKUP(A26,'[110]geoMap (90)'!$A:$C,3,0)</f>
        <v>136.48871766648324</v>
      </c>
      <c r="T26" s="1" t="e">
        <f>L26/VLOOKUP(A26,'[119]geoMap (92)'!$A:$B,2,0)*VLOOKUP(A26,'[119]geoMap (92)'!$A:$C,3,0)</f>
        <v>#REF!</v>
      </c>
      <c r="U26" s="1">
        <f>O26/VLOOKUP(A26,'[120]geoMap (93)'!$A:$B,2,0)*VLOOKUP(A26,'[120]geoMap (93)'!$A:$C,3,0)</f>
        <v>136.48871766648324</v>
      </c>
      <c r="V26" s="1">
        <f>U26/VLOOKUP(A26,'[23]geoMap (20)'!$A:$B,2,0)*VLOOKUP(A26,'[23]geoMap (20)'!$A:$C,3,0)</f>
        <v>98.836657620556835</v>
      </c>
      <c r="W26" s="1">
        <f>V26/VLOOKUP(A26,'[24]geoMap (21)'!$A:$B,2,0)*VLOOKUP(A26,'[24]geoMap (21)'!$A:$C,3,0)</f>
        <v>50.915853925741402</v>
      </c>
      <c r="X26" s="1">
        <f>Q26/VLOOKUP(A26,'[122]geoMap (100)'!$A:$B,2,0)*VLOOKUP(A26,'[122]geoMap (100)'!$A:$C,3,0)</f>
        <v>33.379738788254329</v>
      </c>
      <c r="Y26" s="1">
        <f>O26/VLOOKUP(A26,'[123]geoMap (101)'!$A:$B,2,0)*VLOOKUP(A26,'[123]geoMap (101)'!$A:$C,3,0)</f>
        <v>37.548001706727355</v>
      </c>
      <c r="Z26" s="1" t="e">
        <f>Q26/VLOOKUP(A26,'[138]geoMap (105)'!$A:$B,2,0)*VLOOKUP(A26,'[138]geoMap (105)'!$A:$C,3,0)</f>
        <v>#REF!</v>
      </c>
      <c r="AA26" s="1">
        <f>Q26/VLOOKUP(A26,'[139]geoMap (106)'!$A:$B,2,0)*VLOOKUP(A26,'[139]geoMap (106)'!$A:$C,3,0)</f>
        <v>21.28563053164044</v>
      </c>
      <c r="AB26" s="1" t="e">
        <f>AA26*VLOOKUP(A26,'[29]geoMap (26)'!$A:$B,2,0)*VLOOKUP(A26,'[29]geoMap (26)'!$A:$C,3,0)</f>
        <v>#REF!</v>
      </c>
      <c r="AC26" s="1">
        <f>W26/79*21</f>
        <v>13.534594081526196</v>
      </c>
      <c r="AD26" s="1" t="e">
        <f>AC26/VLOOKUP(A26,'[31]geoMap (28)'!$A:$B,2,0)*VLOOKUP(A26,'[31]geoMap (28)'!$A:$C,3,0)</f>
        <v>#REF!</v>
      </c>
      <c r="AE26" s="1" t="e">
        <f>AB26/VLOOKUP(A26,'[98]geoMap (110)'!$A:$B,2,0)*VLOOKUP(A26,'[98]geoMap (110)'!$A:$C,3,0)</f>
        <v>#REF!</v>
      </c>
      <c r="AF26" s="1" t="e">
        <f>AA26/VLOOKUP(A26,'[150]geoMap (111)'!$A:$B,2,0)*VLOOKUP(A26,'[150]geoMap (111)'!$A:$C,3,0)</f>
        <v>#REF!</v>
      </c>
      <c r="AG26" s="1">
        <f>Y26/VLOOKUP(A26,'[151]geoMap (113)'!$A:$B,2,0)*VLOOKUP(A26,'[151]geoMap (113)'!$A:$C,3,0)</f>
        <v>16.092000731454579</v>
      </c>
      <c r="AH26" s="1" t="e">
        <f>Y26/VLOOKUP(A26,'[131]geoMap (114)'!$A:$B,2,0)*VLOOKUP(A26,'[131]geoMap (114)'!$A:$C,3,0)</f>
        <v>#REF!</v>
      </c>
      <c r="AI26" s="1" t="e">
        <f>Y26/VLOOKUP(A26,'[132]geoMap (115)'!$A:$B,2,0)*VLOOKUP(A26,'[132]geoMap (115)'!$A:$C,3,0)</f>
        <v>#REF!</v>
      </c>
      <c r="AJ26" s="1" t="e">
        <f>Y26/VLOOKUP(A26,'[112]geoMap (116)'!$A:$B,2,0)*VLOOKUP(A26,'[112]geoMap (116)'!$A:$C,3,0)</f>
        <v>#REF!</v>
      </c>
      <c r="AK26" s="1">
        <f>Y26/VLOOKUP(A26,'[113]geoMap (117)'!$A:$B,2,0)*VLOOKUP(A26,'[113]geoMap (117)'!$A:$C,3,0)</f>
        <v>19.342909970132272</v>
      </c>
      <c r="AL26" s="1">
        <f>AK26/VLOOKUP(A26,'[39]geoMap (36)'!$A:$B,2,0)*VLOOKUP(A26,'[39]geoMap (36)'!$A:$C,3,0)</f>
        <v>17.153146577287107</v>
      </c>
      <c r="AM26" s="1" t="e">
        <f>AL26/VLOOKUP(A26,'[40]geoMap (37)'!$A:$B,2,0)*VLOOKUP(A26,'[40]geoMap (37)'!$A:$C,3,0)</f>
        <v>#REF!</v>
      </c>
      <c r="AN26" s="1">
        <f>AK26/VLOOKUP(A26,'[152]geoMap (122)'!$A:$B,2,0)*VLOOKUP(A26,'[152]geoMap (122)'!$A:$C,3,0)</f>
        <v>30.254295081488937</v>
      </c>
      <c r="AO26" s="1" t="e">
        <f>AN26/VLOOKUP(A26,'[42]geoMap (39)'!$A:$B,2,0)*VLOOKUP(A26,'[42]geoMap (39)'!$A:$C,3,0)</f>
        <v>#REF!</v>
      </c>
      <c r="AP26" s="1" t="e">
        <f>AN26/VLOOKUP(A26,'[126]geoMap (124)'!$A:$B,2,0)*VLOOKUP(A26,'[126]geoMap (124)'!$A:$C,3,0)</f>
        <v>#REF!</v>
      </c>
      <c r="AQ26" s="1" t="e">
        <f>AN26/VLOOKUP(A26,'[153]geoMap (127)'!$A:$B,2,0)*VLOOKUP(A26,'[153]geoMap (127)'!$A:$C,3,0)</f>
        <v>#REF!</v>
      </c>
      <c r="AR26" s="1" t="e">
        <f>AA26/VLOOKUP(A26,'[100]geoMap (128)'!$A:$B,2,0)*VLOOKUP(A26,'[100]geoMap (128)'!$A:$C,3,0)</f>
        <v>#REF!</v>
      </c>
      <c r="AS26" s="1" t="e">
        <f>AA26/VLOOKUP(A26,'[101]geoMap (129)'!$A:$B,2,0)*VLOOKUP(A26,'[101]geoMap (129)'!$A:$C,3,0)</f>
        <v>#REF!</v>
      </c>
      <c r="AT26" s="1">
        <f>AN26/VLOOKUP(A26,'[154]geoMap (132)'!$A:$B,2,0)*VLOOKUP(A26,'[154]geoMap (132)'!$A:$C,3,0)</f>
        <v>12.357388131875762</v>
      </c>
      <c r="AU26" s="1" t="e">
        <f>AT26/VLOOKUP(A26,'[48]geoMap (45)'!$A:$B,2,0)*VLOOKUP(A26,'[48]geoMap (45)'!$A:$C,3,0)</f>
        <v>#REF!</v>
      </c>
      <c r="AV26" s="1" t="e">
        <f>AN26/VLOOKUP(A26,'[86]geoMap (135)'!$A:$B,2,0)*VLOOKUP(A26,'[86]geoMap (135)'!$A:$C,3,0)</f>
        <v>#REF!</v>
      </c>
      <c r="AW26" s="1" t="e">
        <f>AN26/VLOOKUP(A26,'[87]geoMap (137)'!$A:$B,2,0)*VLOOKUP(A26,'[87]geoMap (137)'!$A:$C,3,0)</f>
        <v>#REF!</v>
      </c>
      <c r="AX26" s="1">
        <f>AN26/VLOOKUP(A26,'[70]geoMap (138)'!$A:$B,2,0)*VLOOKUP(A26,'[70]geoMap (138)'!$A:$C,3,0)</f>
        <v>24.753514157581854</v>
      </c>
      <c r="AY26" s="1" t="e">
        <f>AX26/VLOOKUP(A26,'[52]geoMap (49)'!$A:$B,2,0)*VLOOKUP(A26,'[52]geoMap (49)'!$A:$C,3,0)</f>
        <v>#REF!</v>
      </c>
      <c r="AZ26" s="1">
        <f>AN26/VLOOKUP(A26,'[89]geoMap (141)'!$A:$B,2,0)*VLOOKUP(A26,'[89]geoMap (141)'!$A:$C,3,0)</f>
        <v>7.5635737703722343</v>
      </c>
      <c r="BA26" s="1" t="e">
        <f>AZ26/VLOOKUP(A26,'[54]geoMap (51)'!$A:$B,2,0)*VLOOKUP(A26,'[54]geoMap (51)'!$A:$C,3,0)</f>
        <v>#REF!</v>
      </c>
      <c r="BB26" s="1" t="e">
        <f>AN26/VLOOKUP(A26,'[90]geoMap (144)'!$A:$B,2,0)*VLOOKUP(A26,'[90]geoMap (144)'!$A:$C,3,0)</f>
        <v>#REF!</v>
      </c>
      <c r="BC26" s="1" t="e">
        <f>AN26/VLOOKUP(A26,'[72]geoMap (146)'!$A:$B,2,0)*VLOOKUP(A26,'[72]geoMap (146)'!$A:$C,3,0)</f>
        <v>#REF!</v>
      </c>
      <c r="BD26" s="1">
        <f>AN26/VLOOKUP(A26,'[73]geoMap (147)'!$A:$B,2,0)*VLOOKUP(A26,'[73]geoMap (147)'!$A:$C,3,0)</f>
        <v>4.1255856929303096</v>
      </c>
      <c r="BE26" s="1" t="e">
        <f>BD26/VLOOKUP(A26,'[58]geoMap (55)'!$A:$B,2,0)*VLOOKUP(A26,'[58]geoMap (55)'!$A:$C,3,0)</f>
        <v>#REF!</v>
      </c>
      <c r="BF26" s="1" t="e">
        <f>AN26/VLOOKUP(A26,'[75]geoMap (150)'!$A:$B,2,0)*VLOOKUP(A26,'[75]geoMap (150)'!$A:$C,3,0)</f>
        <v>#REF!</v>
      </c>
      <c r="BG26" s="1" t="e">
        <f>AN26/VLOOKUP(A26,'[93]geoMap (152)'!$A:$B,2,0)*VLOOKUP(A26,'[93]geoMap (152)'!$A:$C,3,0)</f>
        <v>#REF!</v>
      </c>
      <c r="BH26" s="1" t="e">
        <f>AN26/VLOOKUP(A26,'[94]geoMap (154)'!$A:$B,2,0)*VLOOKUP(A26,'[94]geoMap (154)'!$A:$C,3,0)</f>
        <v>#REF!</v>
      </c>
      <c r="BI26" s="1" t="e">
        <f>AN26/VLOOKUP(A26,'[76]geoMap (156)'!$A:$B,2,0)*VLOOKUP(A26,'[76]geoMap (156)'!$A:$C,3,0)</f>
        <v>#REF!</v>
      </c>
      <c r="BJ26" s="1" t="e">
        <f>AN26/VLOOKUP(A26,'[77]geoMap (158)'!$A:$B,2,0)*VLOOKUP(A26,'[77]geoMap (158)'!$A:$C,3,0)</f>
        <v>#REF!</v>
      </c>
      <c r="BK26" s="1" t="e">
        <f>AN26/VLOOKUP(A26,'[78]geoMap (160)'!$A:$B,2,0)*VLOOKUP(A26,'[78]geoMap (160)'!$A:$C,3,0)</f>
        <v>#REF!</v>
      </c>
      <c r="BL26" s="1" t="e">
        <f>AN26/VLOOKUP(A26,'[79]geoMap (162)'!$A:$B,2,0)*VLOOKUP(A26,'[79]geoMap (162)'!$A:$C,3,0)</f>
        <v>#REF!</v>
      </c>
      <c r="BM26" s="1" t="e">
        <f>AN26/VLOOKUP(A26,'[80]geoMap (164)'!$A:$B,2,0)*VLOOKUP(A26,'[80]geoMap (164)'!$A:$C,3,0)</f>
        <v>#REF!</v>
      </c>
      <c r="BN26" s="1" t="e">
        <f>AN26/VLOOKUP(A26,'[81]geoMap (166)'!$A:$B,2,0)*VLOOKUP(A26,'[81]geoMap (166)'!$A:$C,3,0)</f>
        <v>#REF!</v>
      </c>
      <c r="BO26" s="1" t="e">
        <f>AN26/VLOOKUP(A26,'[82]geoMap (168)'!$A:$B,2,0)*VLOOKUP(A26,'[82]geoMap (168)'!$A:$C,3,0)</f>
        <v>#REF!</v>
      </c>
      <c r="BP26" s="1" t="e">
        <f>AN26/VLOOKUP(A26,'[83]geoMap (170)'!$A:$B,2,0)*VLOOKUP(A26,'[83]geoMap (170)'!$A:$C,3,0)</f>
        <v>#REF!</v>
      </c>
    </row>
    <row r="27" spans="1:68" x14ac:dyDescent="0.2">
      <c r="A27" s="1" t="s">
        <v>67</v>
      </c>
      <c r="B27" s="1">
        <f>VLOOKUP(A27,[3]geoMap!$A:$B,2,0)*Notes!$C$6</f>
        <v>6000</v>
      </c>
      <c r="C27" s="1">
        <f>B27/VLOOKUP(A27,'[4]geoMap (1)'!$A:$B,2,0)*VLOOKUP(A27,'[4]geoMap (1)'!$A:$C,3,0)</f>
        <v>3230.7692307692305</v>
      </c>
      <c r="D27" s="1">
        <f>C27/VLOOKUP(A27,'[5]geoMap (2)'!$A:$B,2,0)*VLOOKUP(A27,'[5]geoMap (2)'!$A:$C,3,0)</f>
        <v>4282.647584973166</v>
      </c>
      <c r="E27" s="1">
        <f>D27/VLOOKUP(A27,'[6]geoMap (3)'!$A:$B,2,0)*VLOOKUP(A27,'[6]geoMap (3)'!$A:$C,3,0)</f>
        <v>2738.0861608844834</v>
      </c>
      <c r="F27" s="1">
        <f>E27/VLOOKUP(A27,'[7]geoMap (4)'!$A:$B,2,0)*VLOOKUP(A27,'[7]geoMap (4)'!$A:$C,3,0)</f>
        <v>2738.0861608844834</v>
      </c>
      <c r="G27" s="1">
        <f>F27/VLOOKUP(A27,'[8]geoMap (5)'!$A:$B,2,0)*VLOOKUP(A27,'[8]geoMap (5)'!$A:$C,3,0)</f>
        <v>2630.71023300666</v>
      </c>
      <c r="H27" s="1">
        <f>G27/VLOOKUP(A27,'[9]geoMap (6)'!$A:$B,2,0)*VLOOKUP(A27,'[9]geoMap (6)'!$A:$C,3,0)</f>
        <v>1612.370787971824</v>
      </c>
      <c r="I27" s="1">
        <f>H27/VLOOKUP(A27,'[10]geoMap (7)'!$A:$B,2,0)*VLOOKUP(A27,'[10]geoMap (7)'!$A:$C,3,0)</f>
        <v>830.61525440972764</v>
      </c>
      <c r="J27" s="1">
        <f>I27/VLOOKUP(A27,'[11]geoMap (8)'!$A:$B,2,0)*VLOOKUP(A27,'[11]geoMap (8)'!$A:$C,3,0)</f>
        <v>766.72177330128693</v>
      </c>
      <c r="K27" s="1">
        <f>J27/VLOOKUP(A27,'[12]geoMap (9)'!$A:$B,2,0)*VLOOKUP(A27,'[12]geoMap (9)'!$A:$C,3,0)</f>
        <v>766.72177330128693</v>
      </c>
      <c r="L27" s="1">
        <f>K27/VLOOKUP(A27,'[13]geoMap (10)'!$A:$B,2,0)*VLOOKUP(A27,'[13]geoMap (10)'!$A:$C,3,0)</f>
        <v>216.25485913626042</v>
      </c>
      <c r="M27" s="1">
        <f>L27/VLOOKUP(A27,'[14]geoMap (11)'!$A:$B,2,0)*VLOOKUP(A27,'[14]geoMap (11)'!$A:$C,3,0)</f>
        <v>243.86186243025114</v>
      </c>
      <c r="N27" s="1">
        <f>M27/VLOOKUP(A27,'[15]geoMap (12)'!$A:$B,2,0)*VLOOKUP(A27,'[15]geoMap (12)'!$A:$C,3,0)</f>
        <v>495.11347826747954</v>
      </c>
      <c r="O27" s="1">
        <f>N27/VLOOKUP(A27,'[16]geoMap (13)'!$A:$B,2,0)*VLOOKUP(A27,'[16]geoMap (13)'!$A:$C,3,0)</f>
        <v>290.78093168090066</v>
      </c>
      <c r="P27" s="1">
        <f>O27/VLOOKUP(A27,'[17]geoMap (14)'!$A:$B,2,0)*VLOOKUP(A27,'[17]geoMap (14)'!$A:$C,3,0)</f>
        <v>82.015134576664281</v>
      </c>
      <c r="Q27" s="1">
        <f>P27/VLOOKUP(A27,'[18]geoMap (15)'!$A:$B,2,0)*VLOOKUP(A27,'[18]geoMap (15)'!$A:$C,3,0)</f>
        <v>123.02270186499641</v>
      </c>
      <c r="R27" s="1">
        <f>Q27/VLOOKUP(A27,'[19]geoMap (16)'!$A:$B,2,0)*VLOOKUP(A27,'[19]geoMap (16)'!$A:$C,3,0)</f>
        <v>92.806599652541152</v>
      </c>
      <c r="S27" s="1">
        <f>R27/VLOOKUP(A27,'[20]geoMap (17)'!$A:$B,2,0)*VLOOKUP(A27,'[20]geoMap (17)'!$A:$C,3,0)</f>
        <v>104.6542506720145</v>
      </c>
      <c r="T27" s="1">
        <f>S27/VLOOKUP(A27,'[21]geoMap (18)'!$A:$B,2,0)*VLOOKUP(A27,'[21]geoMap (18)'!$A:$C,3,0)</f>
        <v>69.76950044800968</v>
      </c>
      <c r="U27" s="1">
        <f>T27/VLOOKUP(A27,'[22]geoMap (19)'!$A:$B,2,0)*VLOOKUP(A27,'[22]geoMap (19)'!$A:$C,3,0)</f>
        <v>28.497401591440571</v>
      </c>
      <c r="V27" s="1">
        <f>U27/VLOOKUP(A27,'[23]geoMap (20)'!$A:$B,2,0)*VLOOKUP(A27,'[23]geoMap (20)'!$A:$C,3,0)</f>
        <v>21.498039797051661</v>
      </c>
      <c r="W27" s="1">
        <f>V27/VLOOKUP(A27,'[24]geoMap (21)'!$A:$B,2,0)*VLOOKUP(A27,'[24]geoMap (21)'!$A:$C,3,0)</f>
        <v>30.936203610391413</v>
      </c>
      <c r="X27" s="1">
        <f>W27/VLOOKUP(A27,'[25]geoMap (22)'!$A:$B,2,0)*VLOOKUP(A27,'[25]geoMap (22)'!$A:$C,3,0)</f>
        <v>18.168881485467974</v>
      </c>
      <c r="Y27" s="1">
        <f>X27/VLOOKUP(A27,'[26]geoMap (23)'!$A:$B,2,0)*VLOOKUP(A27,'[26]geoMap (23)'!$A:$C,3,0)</f>
        <v>22.206410704460858</v>
      </c>
      <c r="Z27" s="1">
        <f>Y27/VLOOKUP(A27,'[27]geoMap (24)'!$A:$B,2,0)*VLOOKUP(A27,'[27]geoMap (24)'!$A:$C,3,0)</f>
        <v>13.04186025500082</v>
      </c>
      <c r="AA27" s="1">
        <f>Z27/VLOOKUP(A27,'[28]geoMap (25)'!$A:$B,2,0)*VLOOKUP(A27,'[28]geoMap (25)'!$A:$C,3,0)</f>
        <v>26.478928396516817</v>
      </c>
      <c r="AB27" s="1">
        <f>AA27*VLOOKUP(A27,'[29]geoMap (26)'!$A:$B,2,0)*VLOOKUP(A27,'[29]geoMap (26)'!$A:$C,3,0)</f>
        <v>6.6197320991292044</v>
      </c>
      <c r="AC27" s="1">
        <f>AB27/VLOOKUP(A27,'[30]geoMap (27)'!$A:$B,2,0)*VLOOKUP(A27,'[30]geoMap (27)'!$A:$C,3,0)</f>
        <v>1.8671039253954167</v>
      </c>
      <c r="AD27" s="1">
        <f>AC27/VLOOKUP(A27,'[31]geoMap (28)'!$A:$B,2,0)*VLOOKUP(A27,'[31]geoMap (28)'!$A:$C,3,0)</f>
        <v>5.9124957637521538</v>
      </c>
      <c r="AE27" s="1">
        <f>AD27/VLOOKUP(A27,'[32]geoMap (29)'!$A:$B,2,0)*VLOOKUP(A27,'[32]geoMap (29)'!$A:$C,3,0)</f>
        <v>8.5082256112530992</v>
      </c>
      <c r="AF27" s="1">
        <f>AE27/VLOOKUP(A27,'[33]geoMap (30)'!$A:$B,2,0)*VLOOKUP(A27,'[33]geoMap (30)'!$A:$C,3,0)</f>
        <v>3.475190742624505</v>
      </c>
      <c r="AG27" s="1" t="e">
        <f>AF27/VLOOKUP(A27,'[34]geoMap (31)'!$A:$B,2,0)*VLOOKUP(A27,'[34]geoMap (31)'!$A:$C,3,0)</f>
        <v>#REF!</v>
      </c>
      <c r="AH27" s="1">
        <f>Y27/VLOOKUP(A27,'[131]geoMap (114)'!$A:$B,2,0)*VLOOKUP(A27,'[131]geoMap (114)'!$A:$C,3,0)</f>
        <v>5.2089111528982253</v>
      </c>
      <c r="AI27" s="1" t="e">
        <f>AH27/VLOOKUP(A27,'[36]geoMap (33)'!$A:$B,2,0)*VLOOKUP(A27,'[36]geoMap (33)'!$A:$C,3,0)</f>
        <v>#REF!</v>
      </c>
      <c r="AJ27" s="1">
        <f>Y27/VLOOKUP(A27,'[112]geoMap (116)'!$A:$B,2,0)*VLOOKUP(A27,'[112]geoMap (116)'!$A:$C,3,0)</f>
        <v>2.1962384213203041</v>
      </c>
      <c r="AK27" s="1">
        <f>Y27/VLOOKUP(A27,'[113]geoMap (117)'!$A:$B,2,0)*VLOOKUP(A27,'[113]geoMap (117)'!$A:$C,3,0)</f>
        <v>1.9309922351705091</v>
      </c>
      <c r="AL27" s="1" t="e">
        <f>Z27/VLOOKUP(A27,'[114]geoMap (119)'!$A:$B,2,0)*VLOOKUP(A27,'[114]geoMap (119)'!$A:$C,3,0)</f>
        <v>#REF!</v>
      </c>
      <c r="AM27" s="1">
        <f>AA27/VLOOKUP(A27,'[125]geoMap (120)'!$A:$B,2,0)*VLOOKUP(A27,'[125]geoMap (120)'!$A:$C,3,0)</f>
        <v>4.3105232273399476</v>
      </c>
      <c r="AN27" s="1">
        <f>AM27/VLOOKUP(A27,'[41]geoMap (38)'!$A:$B,2,0)*VLOOKUP(A27,'[41]geoMap (38)'!$A:$C,3,0)</f>
        <v>5.9526273139456416</v>
      </c>
      <c r="AO27" s="1">
        <f>AN27/VLOOKUP(A27,'[42]geoMap (39)'!$A:$B,2,0)*VLOOKUP(A27,'[42]geoMap (39)'!$A:$C,3,0)</f>
        <v>2.8012363830332432</v>
      </c>
      <c r="AP27" s="1" t="e">
        <f>AO27/VLOOKUP(A27,'[43]geoMap (40)'!$A:$B,2,0)*VLOOKUP(A27,'[43]geoMap (40)'!$A:$C,3,0)</f>
        <v>#REF!</v>
      </c>
      <c r="AQ27" s="1" t="e">
        <f>AF27/VLOOKUP(A27,'[99]geoMap (126)'!$A:$B,2,0)*VLOOKUP(A27,'[99]geoMap (126)'!$A:$C,3,0)</f>
        <v>#REF!</v>
      </c>
      <c r="AR27" s="1" t="e">
        <f>AA27/VLOOKUP(A27,'[100]geoMap (128)'!$A:$B,2,0)*VLOOKUP(A27,'[100]geoMap (128)'!$A:$C,3,0)</f>
        <v>#REF!</v>
      </c>
      <c r="AS27" s="1">
        <f>AA27/VLOOKUP(A27,'[101]geoMap (129)'!$A:$B,2,0)*VLOOKUP(A27,'[101]geoMap (129)'!$A:$C,3,0)</f>
        <v>2.3025155127405927</v>
      </c>
      <c r="AT27" s="1" t="e">
        <f>AS27/VLOOKUP(A27,'[47]geoMap (44)'!$A:$B,2,0)*VLOOKUP(A27,'[47]geoMap (44)'!$A:$C,3,0)</f>
        <v>#REF!</v>
      </c>
      <c r="AU27" s="1">
        <f>AN27/VLOOKUP(A27,'[85]geoMap (133)'!$A:$B,2,0)*VLOOKUP(A27,'[85]geoMap (133)'!$A:$C,3,0)</f>
        <v>1.0504636436374661</v>
      </c>
      <c r="AV27" s="1" t="e">
        <f>AU27/VLOOKUP(A27,'[49]geoMap (46)'!$A:$B,2,0)*VLOOKUP(A27,'[49]geoMap (46)'!$A:$C,3,0)</f>
        <v>#REF!</v>
      </c>
      <c r="AW27" s="1" t="e">
        <f>AN27/VLOOKUP(A27,'[87]geoMap (137)'!$A:$B,2,0)*VLOOKUP(A27,'[87]geoMap (137)'!$A:$C,3,0)</f>
        <v>#REF!</v>
      </c>
      <c r="AX27" s="1" t="e">
        <f>AN27/VLOOKUP(A27,'[70]geoMap (138)'!$A:$B,2,0)*VLOOKUP(A27,'[70]geoMap (138)'!$A:$C,3,0)</f>
        <v>#REF!</v>
      </c>
      <c r="AY27" s="1" t="e">
        <f>AN27/VLOOKUP(A27,'[88]geoMap (140)'!$A:$B,2,0)*VLOOKUP(A27,'[88]geoMap (140)'!$A:$C,3,0)</f>
        <v>#REF!</v>
      </c>
      <c r="AZ27" s="1" t="e">
        <f>AN27/VLOOKUP(A27,'[89]geoMap (141)'!$A:$B,2,0)*VLOOKUP(A27,'[89]geoMap (141)'!$A:$C,3,0)</f>
        <v>#REF!</v>
      </c>
      <c r="BA27" s="1" t="e">
        <f>AN27/VLOOKUP(A27,'[71]geoMap (143)'!$A:$B,2,0)*VLOOKUP(A27,'[71]geoMap (143)'!$A:$C,3,0)</f>
        <v>#REF!</v>
      </c>
      <c r="BB27" s="1" t="e">
        <f>AN27/VLOOKUP(A27,'[90]geoMap (144)'!$A:$B,2,0)*VLOOKUP(A27,'[90]geoMap (144)'!$A:$C,3,0)</f>
        <v>#REF!</v>
      </c>
      <c r="BC27" s="1" t="e">
        <f>AN27/VLOOKUP(A27,'[72]geoMap (146)'!$A:$B,2,0)*VLOOKUP(A27,'[72]geoMap (146)'!$A:$C,3,0)</f>
        <v>#REF!</v>
      </c>
      <c r="BD27" s="1" t="e">
        <f>AN27/VLOOKUP(A27,'[73]geoMap (147)'!$A:$B,2,0)*VLOOKUP(A27,'[73]geoMap (147)'!$A:$C,3,0)</f>
        <v>#REF!</v>
      </c>
      <c r="BE27" s="1" t="e">
        <f>AN27/VLOOKUP(A27,'[91]geoMap (148)'!$A:$B,2,0)*VLOOKUP(A27,'[91]geoMap (148)'!$A:$C,3,0)</f>
        <v>#REF!</v>
      </c>
      <c r="BF27" s="1" t="e">
        <f>AN27/VLOOKUP(A27,'[75]geoMap (150)'!$A:$B,2,0)*VLOOKUP(A27,'[75]geoMap (150)'!$A:$C,3,0)</f>
        <v>#REF!</v>
      </c>
      <c r="BG27" s="1" t="e">
        <f>AN27/VLOOKUP(A27,'[93]geoMap (152)'!$A:$B,2,0)*VLOOKUP(A27,'[93]geoMap (152)'!$A:$C,3,0)</f>
        <v>#REF!</v>
      </c>
      <c r="BH27" s="1" t="e">
        <f>AN27/VLOOKUP(A27,'[94]geoMap (154)'!$A:$B,2,0)*VLOOKUP(A27,'[94]geoMap (154)'!$A:$C,3,0)</f>
        <v>#REF!</v>
      </c>
      <c r="BI27" s="1" t="e">
        <f>AN27/VLOOKUP(A27,'[76]geoMap (156)'!$A:$B,2,0)*VLOOKUP(A27,'[76]geoMap (156)'!$A:$C,3,0)</f>
        <v>#REF!</v>
      </c>
      <c r="BJ27" s="1" t="e">
        <f>AN27/VLOOKUP(A27,'[77]geoMap (158)'!$A:$B,2,0)*VLOOKUP(A27,'[77]geoMap (158)'!$A:$C,3,0)</f>
        <v>#REF!</v>
      </c>
      <c r="BK27" s="1" t="e">
        <f>AN27/VLOOKUP(A27,'[78]geoMap (160)'!$A:$B,2,0)*VLOOKUP(A27,'[78]geoMap (160)'!$A:$C,3,0)</f>
        <v>#REF!</v>
      </c>
      <c r="BL27" s="1" t="e">
        <f>AN27/VLOOKUP(A27,'[79]geoMap (162)'!$A:$B,2,0)*VLOOKUP(A27,'[79]geoMap (162)'!$A:$C,3,0)</f>
        <v>#REF!</v>
      </c>
      <c r="BM27" s="1" t="e">
        <f>AN27/VLOOKUP(A27,'[80]geoMap (164)'!$A:$B,2,0)*VLOOKUP(A27,'[80]geoMap (164)'!$A:$C,3,0)</f>
        <v>#REF!</v>
      </c>
      <c r="BN27" s="1" t="e">
        <f>AN27/VLOOKUP(A27,'[81]geoMap (166)'!$A:$B,2,0)*VLOOKUP(A27,'[81]geoMap (166)'!$A:$C,3,0)</f>
        <v>#REF!</v>
      </c>
      <c r="BO27" s="1" t="e">
        <f>AN27/VLOOKUP(A27,'[82]geoMap (168)'!$A:$B,2,0)*VLOOKUP(A27,'[82]geoMap (168)'!$A:$C,3,0)</f>
        <v>#REF!</v>
      </c>
      <c r="BP27" s="1" t="e">
        <f>AN27/VLOOKUP(A27,'[83]geoMap (170)'!$A:$B,2,0)*VLOOKUP(A27,'[83]geoMap (170)'!$A:$C,3,0)</f>
        <v>#REF!</v>
      </c>
    </row>
    <row r="28" spans="1:68" x14ac:dyDescent="0.2">
      <c r="A28" s="1" t="s">
        <v>77</v>
      </c>
      <c r="B28" s="1">
        <f>VLOOKUP(A28,[3]geoMap!$A:$B,2,0)*Notes!$C$6</f>
        <v>6000</v>
      </c>
      <c r="C28" s="1">
        <f>B28/VLOOKUP(A28,'[4]geoMap (1)'!$A:$B,2,0)*VLOOKUP(A28,'[4]geoMap (1)'!$A:$C,3,0)</f>
        <v>3230.7692307692305</v>
      </c>
      <c r="D28" s="1">
        <f>C28/VLOOKUP(A28,'[5]geoMap (2)'!$A:$B,2,0)*VLOOKUP(A28,'[5]geoMap (2)'!$A:$C,3,0)</f>
        <v>5271.2550607287449</v>
      </c>
      <c r="E28" s="1">
        <f>D28/VLOOKUP(A28,'[6]geoMap (3)'!$A:$B,2,0)*VLOOKUP(A28,'[6]geoMap (3)'!$A:$C,3,0)</f>
        <v>3370.1466781708368</v>
      </c>
      <c r="F28" s="1">
        <f>E28/VLOOKUP(A28,'[7]geoMap (4)'!$A:$B,2,0)*VLOOKUP(A28,'[7]geoMap (4)'!$A:$C,3,0)</f>
        <v>2647.9723899913715</v>
      </c>
      <c r="G28" s="1">
        <f>F28/VLOOKUP(A28,'[8]geoMap (5)'!$A:$B,2,0)*VLOOKUP(A28,'[8]geoMap (5)'!$A:$C,3,0)</f>
        <v>2868.6367558239863</v>
      </c>
      <c r="H28" s="1">
        <f>G28/VLOOKUP(A28,'[9]geoMap (6)'!$A:$B,2,0)*VLOOKUP(A28,'[9]geoMap (6)'!$A:$C,3,0)</f>
        <v>3802.6115135341211</v>
      </c>
      <c r="I28" s="1">
        <f>H28/VLOOKUP(A28,'[10]geoMap (7)'!$A:$B,2,0)*VLOOKUP(A28,'[10]geoMap (7)'!$A:$C,3,0)</f>
        <v>1478.7933663743804</v>
      </c>
      <c r="J28" s="1">
        <f>I28/VLOOKUP(A28,'[11]geoMap (8)'!$A:$B,2,0)*VLOOKUP(A28,'[11]geoMap (8)'!$A:$C,3,0)</f>
        <v>1027.6360681584677</v>
      </c>
      <c r="K28" s="1">
        <f>J28/VLOOKUP(A28,'[12]geoMap (9)'!$A:$B,2,0)*VLOOKUP(A28,'[12]geoMap (9)'!$A:$C,3,0)</f>
        <v>1027.6360681584677</v>
      </c>
      <c r="L28" s="1">
        <f>K28/VLOOKUP(A28,'[13]geoMap (10)'!$A:$B,2,0)*VLOOKUP(A28,'[13]geoMap (10)'!$A:$C,3,0)</f>
        <v>195.74020345875576</v>
      </c>
      <c r="M28" s="1">
        <f>L28/VLOOKUP(A28,'[14]geoMap (11)'!$A:$B,2,0)*VLOOKUP(A28,'[14]geoMap (11)'!$A:$C,3,0)</f>
        <v>456.72714140376343</v>
      </c>
      <c r="N28" s="1">
        <f>M28/VLOOKUP(A28,'[15]geoMap (12)'!$A:$B,2,0)*VLOOKUP(A28,'[15]geoMap (12)'!$A:$C,3,0)</f>
        <v>456.72714140376343</v>
      </c>
      <c r="O28" s="1">
        <f>N28/VLOOKUP(A28,'[16]geoMap (13)'!$A:$B,2,0)*VLOOKUP(A28,'[16]geoMap (13)'!$A:$C,3,0)</f>
        <v>268.23657511014676</v>
      </c>
      <c r="P28" s="1">
        <f>O28/VLOOKUP(A28,'[17]geoMap (14)'!$A:$B,2,0)*VLOOKUP(A28,'[17]geoMap (14)'!$A:$C,3,0)</f>
        <v>597.04269943871373</v>
      </c>
      <c r="Q28" s="1">
        <f>P28/VLOOKUP(A28,'[18]geoMap (15)'!$A:$B,2,0)*VLOOKUP(A28,'[18]geoMap (15)'!$A:$C,3,0)</f>
        <v>149.26067485967843</v>
      </c>
      <c r="R28" s="1">
        <f>Q28/VLOOKUP(A28,'[19]geoMap (16)'!$A:$B,2,0)*VLOOKUP(A28,'[19]geoMap (16)'!$A:$C,3,0)</f>
        <v>80.371132616749918</v>
      </c>
      <c r="S28" s="1">
        <f>R28/VLOOKUP(A28,'[20]geoMap (17)'!$A:$B,2,0)*VLOOKUP(A28,'[20]geoMap (17)'!$A:$C,3,0)</f>
        <v>115.65602010703037</v>
      </c>
      <c r="T28" s="1">
        <f>S28/VLOOKUP(A28,'[21]geoMap (18)'!$A:$B,2,0)*VLOOKUP(A28,'[21]geoMap (18)'!$A:$C,3,0)</f>
        <v>98.521794905988841</v>
      </c>
      <c r="U28" s="1">
        <f>T28/VLOOKUP(A28,'[22]geoMap (19)'!$A:$B,2,0)*VLOOKUP(A28,'[22]geoMap (19)'!$A:$C,3,0)</f>
        <v>23.110050656960343</v>
      </c>
      <c r="V28" s="1">
        <f>U28/VLOOKUP(A28,'[23]geoMap (20)'!$A:$B,2,0)*VLOOKUP(A28,'[23]geoMap (20)'!$A:$C,3,0)</f>
        <v>33.255926555138053</v>
      </c>
      <c r="W28" s="1">
        <f>V28/VLOOKUP(A28,'[24]geoMap (21)'!$A:$B,2,0)*VLOOKUP(A28,'[24]geoMap (21)'!$A:$C,3,0)</f>
        <v>24.081877850272384</v>
      </c>
      <c r="X28" s="1">
        <f>W28/VLOOKUP(A28,'[25]geoMap (22)'!$A:$B,2,0)*VLOOKUP(A28,'[25]geoMap (22)'!$A:$C,3,0)</f>
        <v>46.747174650528748</v>
      </c>
      <c r="Y28" s="1">
        <f>X28/VLOOKUP(A28,'[26]geoMap (23)'!$A:$B,2,0)*VLOOKUP(A28,'[26]geoMap (23)'!$A:$C,3,0)</f>
        <v>48.655222595448294</v>
      </c>
      <c r="Z28" s="1">
        <f>Y28/VLOOKUP(A28,'[27]geoMap (24)'!$A:$B,2,0)*VLOOKUP(A28,'[27]geoMap (24)'!$A:$C,3,0)</f>
        <v>12.933666765878659</v>
      </c>
      <c r="AA28" s="1">
        <f>Z28/VLOOKUP(A28,'[28]geoMap (25)'!$A:$B,2,0)*VLOOKUP(A28,'[28]geoMap (25)'!$A:$C,3,0)</f>
        <v>17.860777914784816</v>
      </c>
      <c r="AB28" s="1">
        <f>AA28*VLOOKUP(A28,'[29]geoMap (26)'!$A:$B,2,0)*VLOOKUP(A28,'[29]geoMap (26)'!$A:$C,3,0)</f>
        <v>4.0079585640777129</v>
      </c>
      <c r="AC28" s="1">
        <f>AB28/VLOOKUP(A28,'[30]geoMap (27)'!$A:$B,2,0)*VLOOKUP(A28,'[30]geoMap (27)'!$A:$C,3,0)</f>
        <v>2.6719723760518086</v>
      </c>
      <c r="AD28" s="1">
        <f>AC28/VLOOKUP(A28,'[31]geoMap (28)'!$A:$B,2,0)*VLOOKUP(A28,'[31]geoMap (28)'!$A:$C,3,0)</f>
        <v>2.3694849372534907</v>
      </c>
      <c r="AE28" s="1">
        <f>AD28/VLOOKUP(A28,'[32]geoMap (29)'!$A:$B,2,0)*VLOOKUP(A28,'[32]geoMap (29)'!$A:$C,3,0)</f>
        <v>4.0345284066748626</v>
      </c>
      <c r="AF28" s="1">
        <f>AE28/VLOOKUP(A28,'[33]geoMap (30)'!$A:$B,2,0)*VLOOKUP(A28,'[33]geoMap (30)'!$A:$C,3,0)</f>
        <v>1.2051188747210628</v>
      </c>
      <c r="AG28" s="1">
        <f>AF28/VLOOKUP(A28,'[34]geoMap (31)'!$A:$B,2,0)*VLOOKUP(A28,'[34]geoMap (31)'!$A:$C,3,0)</f>
        <v>1.807678312081594</v>
      </c>
      <c r="AH28" s="1">
        <f>AG28/VLOOKUP(A28,'[35]geoMap (32)'!$A:$B,2,0)*VLOOKUP(A28,'[35]geoMap (32)'!$A:$C,3,0)</f>
        <v>1.603035484298772</v>
      </c>
      <c r="AI28" s="1">
        <f>AH28/VLOOKUP(A28,'[36]geoMap (33)'!$A:$B,2,0)*VLOOKUP(A28,'[36]geoMap (33)'!$A:$C,3,0)</f>
        <v>0.75436963967001036</v>
      </c>
      <c r="AJ28" s="1">
        <f>AI28/VLOOKUP(A28,'[37]geoMap (34)'!$A:$B,2,0)*VLOOKUP(A28,'[37]geoMap (34)'!$A:$C,3,0)</f>
        <v>0.85067214686192671</v>
      </c>
      <c r="AK28" s="1">
        <f>AJ28/VLOOKUP(A28,'[38]geoMap (35)'!$A:$B,2,0)*VLOOKUP(A28,'[38]geoMap (35)'!$A:$C,3,0)</f>
        <v>0.45805423292565278</v>
      </c>
      <c r="AL28" s="1" t="e">
        <f>Z28/VLOOKUP(A28,'[114]geoMap (119)'!$A:$B,2,0)*VLOOKUP(A28,'[114]geoMap (119)'!$A:$C,3,0)</f>
        <v>#REF!</v>
      </c>
      <c r="AM28" s="1">
        <f>AA28/VLOOKUP(A28,'[125]geoMap (120)'!$A:$B,2,0)*VLOOKUP(A28,'[125]geoMap (120)'!$A:$C,3,0)</f>
        <v>6.2754084565460166</v>
      </c>
      <c r="AN28" s="1">
        <f>AM28/VLOOKUP(A28,'[41]geoMap (38)'!$A:$B,2,0)*VLOOKUP(A28,'[41]geoMap (38)'!$A:$C,3,0)</f>
        <v>2.2048732414891412</v>
      </c>
      <c r="AO28" s="1">
        <f>AN28/VLOOKUP(A28,'[42]geoMap (39)'!$A:$B,2,0)*VLOOKUP(A28,'[42]geoMap (39)'!$A:$C,3,0)</f>
        <v>3.3073098622337116</v>
      </c>
      <c r="AP28" s="1" t="e">
        <f>AO28/VLOOKUP(A28,'[43]geoMap (40)'!$A:$B,2,0)*VLOOKUP(A28,'[43]geoMap (40)'!$A:$C,3,0)</f>
        <v>#REF!</v>
      </c>
      <c r="AQ28" s="1" t="e">
        <f>AF28/VLOOKUP(A28,'[99]geoMap (126)'!$A:$B,2,0)*VLOOKUP(A28,'[99]geoMap (126)'!$A:$C,3,0)</f>
        <v>#REF!</v>
      </c>
      <c r="AR28" s="1" t="e">
        <f>AA28/VLOOKUP(A28,'[100]geoMap (128)'!$A:$B,2,0)*VLOOKUP(A28,'[100]geoMap (128)'!$A:$C,3,0)</f>
        <v>#REF!</v>
      </c>
      <c r="AS28" s="1">
        <f>AA28/VLOOKUP(A28,'[101]geoMap (129)'!$A:$B,2,0)*VLOOKUP(A28,'[101]geoMap (129)'!$A:$C,3,0)</f>
        <v>1.7664505630006959</v>
      </c>
      <c r="AT28" s="1" t="e">
        <f>AC28/VLOOKUP(A28,'[84]geoMap (131)'!$A:$B,2,0)*VLOOKUP(A28,'[84]geoMap (131)'!$A:$C,3,0)</f>
        <v>#REF!</v>
      </c>
      <c r="AU28" s="1">
        <f>AN28/VLOOKUP(A28,'[85]geoMap (133)'!$A:$B,2,0)*VLOOKUP(A28,'[85]geoMap (133)'!$A:$C,3,0)</f>
        <v>5.144704230141329</v>
      </c>
      <c r="AV28" s="1" t="e">
        <f>AU28/VLOOKUP(A28,'[49]geoMap (46)'!$A:$B,2,0)*VLOOKUP(A28,'[49]geoMap (46)'!$A:$C,3,0)</f>
        <v>#REF!</v>
      </c>
      <c r="AW28" s="1" t="e">
        <f>AN28/VLOOKUP(A28,'[87]geoMap (137)'!$A:$B,2,0)*VLOOKUP(A28,'[87]geoMap (137)'!$A:$C,3,0)</f>
        <v>#REF!</v>
      </c>
      <c r="AX28" s="1" t="e">
        <f>AN28/VLOOKUP(A28,'[70]geoMap (138)'!$A:$B,2,0)*VLOOKUP(A28,'[70]geoMap (138)'!$A:$C,3,0)</f>
        <v>#REF!</v>
      </c>
      <c r="AY28" s="1">
        <f>AN28/VLOOKUP(A28,'[88]geoMap (140)'!$A:$B,2,0)*VLOOKUP(A28,'[88]geoMap (140)'!$A:$C,3,0)</f>
        <v>0.81550106192064131</v>
      </c>
      <c r="AZ28" s="1" t="e">
        <f>AY28/VLOOKUP(A28,'[53]geoMap (50)'!$A:$B,2,0)*VLOOKUP(A28,'[53]geoMap (50)'!$A:$C,3,0)</f>
        <v>#REF!</v>
      </c>
      <c r="BA28" s="1" t="e">
        <f>AN28/VLOOKUP(A28,'[71]geoMap (143)'!$A:$B,2,0)*VLOOKUP(A28,'[71]geoMap (143)'!$A:$C,3,0)</f>
        <v>#REF!</v>
      </c>
      <c r="BB28" s="1">
        <f>AN28/VLOOKUP(A28,'[90]geoMap (144)'!$A:$B,2,0)*VLOOKUP(A28,'[90]geoMap (144)'!$A:$C,3,0)</f>
        <v>0.32946381769377975</v>
      </c>
      <c r="BC28" s="1" t="e">
        <f>BB28/VLOOKUP(A28,'[56]geoMap (53)'!$A:$B,2,0)*VLOOKUP(A28,'[56]geoMap (53)'!$A:$C,3,0)</f>
        <v>#REF!</v>
      </c>
      <c r="BD28" s="1" t="e">
        <f>AN28/VLOOKUP(A28,'[73]geoMap (147)'!$A:$B,2,0)*VLOOKUP(A28,'[73]geoMap (147)'!$A:$C,3,0)</f>
        <v>#REF!</v>
      </c>
      <c r="BE28" s="1" t="e">
        <f>AN28/VLOOKUP(A28,'[91]geoMap (148)'!$A:$B,2,0)*VLOOKUP(A28,'[91]geoMap (148)'!$A:$C,3,0)</f>
        <v>#REF!</v>
      </c>
      <c r="BF28" s="1" t="e">
        <f>AO28/VLOOKUP(A28,'[92]geoMap (151)'!$A:$B,2,0)*VLOOKUP(A28,'[92]geoMap (151)'!$A:$C,3,0)</f>
        <v>#REF!</v>
      </c>
      <c r="BG28" s="1" t="e">
        <f>AN28/VLOOKUP(A28,'[93]geoMap (152)'!$A:$B,2,0)*VLOOKUP(A28,'[93]geoMap (152)'!$A:$C,3,0)</f>
        <v>#REF!</v>
      </c>
      <c r="BH28" s="1" t="e">
        <f>AN28/VLOOKUP(A28,'[94]geoMap (154)'!$A:$B,2,0)*VLOOKUP(A28,'[94]geoMap (154)'!$A:$C,3,0)</f>
        <v>#REF!</v>
      </c>
      <c r="BI28" s="1" t="e">
        <f>AN28/VLOOKUP(A28,'[76]geoMap (156)'!$A:$B,2,0)*VLOOKUP(A28,'[76]geoMap (156)'!$A:$C,3,0)</f>
        <v>#REF!</v>
      </c>
      <c r="BJ28" s="1" t="e">
        <f>AN28/VLOOKUP(A28,'[77]geoMap (158)'!$A:$B,2,0)*VLOOKUP(A28,'[77]geoMap (158)'!$A:$C,3,0)</f>
        <v>#REF!</v>
      </c>
      <c r="BK28" s="1" t="e">
        <f>AN28/VLOOKUP(A28,'[78]geoMap (160)'!$A:$B,2,0)*VLOOKUP(A28,'[78]geoMap (160)'!$A:$C,3,0)</f>
        <v>#REF!</v>
      </c>
      <c r="BL28" s="1" t="e">
        <f>AS28/VLOOKUP(A28,'[144]geoMap (163)'!$A:$B,2,0)*VLOOKUP(A28,'[144]geoMap (163)'!$A:$C,3,0)</f>
        <v>#REF!</v>
      </c>
      <c r="BM28" s="1" t="e">
        <f>AS28/VLOOKUP(A28,'[145]geoMap (165)'!$A:$B,2,0)*VLOOKUP(A27,'[145]geoMap (165)'!$A:$C,3,0)</f>
        <v>#REF!</v>
      </c>
      <c r="BN28" s="1" t="e">
        <f>AS28/VLOOKUP(A28,'[146]geoMap (167)'!$A:$B,2,0)*VLOOKUP(A28,'[146]geoMap (167)'!$A:$C,3,0)</f>
        <v>#REF!</v>
      </c>
      <c r="BO28" s="1" t="e">
        <f>AN28/VLOOKUP(A28,'[82]geoMap (168)'!$A:$B,2,0)*VLOOKUP(A28,'[82]geoMap (168)'!$A:$C,3,0)</f>
        <v>#REF!</v>
      </c>
      <c r="BP28" s="1" t="e">
        <f>AN28/VLOOKUP(A28,'[83]geoMap (170)'!$A:$B,2,0)*VLOOKUP(A28,'[83]geoMap (170)'!$A:$C,3,0)</f>
        <v>#REF!</v>
      </c>
    </row>
    <row r="29" spans="1:68" x14ac:dyDescent="0.2">
      <c r="A29" s="1" t="s">
        <v>93</v>
      </c>
      <c r="B29" s="1">
        <f>VLOOKUP(A29,[3]geoMap!$A:$B,2,0)*Notes!$C$6</f>
        <v>6000</v>
      </c>
      <c r="C29" s="1">
        <f>B29/VLOOKUP(A29,'[4]geoMap (1)'!$A:$B,2,0)*VLOOKUP(A29,'[4]geoMap (1)'!$A:$C,3,0)</f>
        <v>2823.5294117647054</v>
      </c>
      <c r="D29" s="1">
        <f>C29/VLOOKUP(A29,'[5]geoMap (2)'!$A:$B,2,0)*VLOOKUP(A29,'[5]geoMap (2)'!$A:$C,3,0)</f>
        <v>5732.6203208556144</v>
      </c>
      <c r="E29" s="1">
        <f>D29/VLOOKUP(A29,'[6]geoMap (3)'!$A:$B,2,0)*VLOOKUP(A29,'[6]geoMap (3)'!$A:$C,3,0)</f>
        <v>4324.6083122244108</v>
      </c>
      <c r="F29" s="1">
        <f>E29/VLOOKUP(A29,'[7]geoMap (4)'!$A:$B,2,0)*VLOOKUP(A29,'[7]geoMap (4)'!$A:$C,3,0)</f>
        <v>4155.0158293920813</v>
      </c>
      <c r="G29" s="1">
        <f>F29/VLOOKUP(A29,'[8]geoMap (5)'!$A:$B,2,0)*VLOOKUP(A29,'[8]geoMap (5)'!$A:$C,3,0)</f>
        <v>2770.0105529280545</v>
      </c>
      <c r="H29" s="1">
        <f>G29/VLOOKUP(A29,'[9]geoMap (6)'!$A:$B,2,0)*VLOOKUP(A29,'[9]geoMap (6)'!$A:$C,3,0)</f>
        <v>2005.8697107410051</v>
      </c>
      <c r="I29" s="1">
        <f>H29/VLOOKUP(A29,'[10]geoMap (7)'!$A:$B,2,0)*VLOOKUP(A29,'[10]geoMap (7)'!$A:$C,3,0)</f>
        <v>1452.5263422607277</v>
      </c>
      <c r="J29" s="1">
        <f>I29/VLOOKUP(A29,'[11]geoMap (8)'!$A:$B,2,0)*VLOOKUP(A29,'[11]geoMap (8)'!$A:$C,3,0)</f>
        <v>1573.5702041157883</v>
      </c>
      <c r="K29" s="1">
        <f>J29/VLOOKUP(A29,'[12]geoMap (9)'!$A:$B,2,0)*VLOOKUP(A29,'[12]geoMap (9)'!$A:$C,3,0)</f>
        <v>1511.861568660267</v>
      </c>
      <c r="L29" s="1">
        <f>K29/VLOOKUP(A29,'[13]geoMap (10)'!$A:$B,2,0)*VLOOKUP(A29,'[13]geoMap (10)'!$A:$C,3,0)</f>
        <v>814.07930620168224</v>
      </c>
      <c r="M29" s="1">
        <f>L29/VLOOKUP(A29,'[14]geoMap (11)'!$A:$B,2,0)*VLOOKUP(A29,'[14]geoMap (11)'!$A:$C,3,0)</f>
        <v>666.06488689228536</v>
      </c>
      <c r="N29" s="1">
        <f>M29/VLOOKUP(A29,'[15]geoMap (12)'!$A:$B,2,0)*VLOOKUP(A29,'[15]geoMap (12)'!$A:$C,3,0)</f>
        <v>343.1243356717834</v>
      </c>
      <c r="O29" s="1">
        <f>N29/VLOOKUP(A29,'[16]geoMap (13)'!$A:$B,2,0)*VLOOKUP(A29,'[16]geoMap (13)'!$A:$C,3,0)</f>
        <v>357.12941059716235</v>
      </c>
      <c r="P29" s="1">
        <f>O29/VLOOKUP(A29,'[17]geoMap (14)'!$A:$B,2,0)*VLOOKUP(A29,'[17]geoMap (14)'!$A:$C,3,0)</f>
        <v>316.69966600125719</v>
      </c>
      <c r="Q29" s="1">
        <f>P29/VLOOKUP(A29,'[18]geoMap (15)'!$A:$B,2,0)*VLOOKUP(A29,'[18]geoMap (15)'!$A:$C,3,0)</f>
        <v>220.07942891612788</v>
      </c>
      <c r="R29" s="1">
        <f>Q29/VLOOKUP(A29,'[19]geoMap (16)'!$A:$B,2,0)*VLOOKUP(A29,'[19]geoMap (16)'!$A:$C,3,0)</f>
        <v>69.498767026145643</v>
      </c>
      <c r="S29" s="1">
        <f>R29/VLOOKUP(A29,'[20]geoMap (17)'!$A:$B,2,0)*VLOOKUP(A29,'[20]geoMap (17)'!$A:$C,3,0)</f>
        <v>178.71111521008876</v>
      </c>
      <c r="T29" s="1">
        <f>S29/VLOOKUP(A29,'[21]geoMap (18)'!$A:$B,2,0)*VLOOKUP(A29,'[21]geoMap (18)'!$A:$C,3,0)</f>
        <v>53.381242205610931</v>
      </c>
      <c r="U29" s="1">
        <f>T29/VLOOKUP(A29,'[22]geoMap (19)'!$A:$B,2,0)*VLOOKUP(A29,'[22]geoMap (19)'!$A:$C,3,0)</f>
        <v>53.381242205610931</v>
      </c>
      <c r="V29" s="1">
        <f>U29/VLOOKUP(A29,'[23]geoMap (20)'!$A:$B,2,0)*VLOOKUP(A29,'[23]geoMap (20)'!$A:$C,3,0)</f>
        <v>65.243740473524468</v>
      </c>
      <c r="W29" s="1">
        <f>V29/VLOOKUP(A29,'[24]geoMap (21)'!$A:$B,2,0)*VLOOKUP(A29,'[24]geoMap (21)'!$A:$C,3,0)</f>
        <v>62.6851624157392</v>
      </c>
      <c r="X29" s="1">
        <f>W29/VLOOKUP(A29,'[25]geoMap (22)'!$A:$B,2,0)*VLOOKUP(A29,'[25]geoMap (22)'!$A:$C,3,0)</f>
        <v>60.22692075237687</v>
      </c>
      <c r="Y29" s="1">
        <f>X29/VLOOKUP(A29,'[26]geoMap (23)'!$A:$B,2,0)*VLOOKUP(A29,'[26]geoMap (23)'!$A:$C,3,0)</f>
        <v>29.66400574370801</v>
      </c>
      <c r="Z29" s="1">
        <f>Y29/VLOOKUP(A29,'[27]geoMap (24)'!$A:$B,2,0)*VLOOKUP(A29,'[27]geoMap (24)'!$A:$C,3,0)</f>
        <v>23.307433084342005</v>
      </c>
      <c r="AA29" s="1">
        <f>Z29/VLOOKUP(A29,'[28]geoMap (25)'!$A:$B,2,0)*VLOOKUP(A29,'[28]geoMap (25)'!$A:$C,3,0)</f>
        <v>29.66400574370801</v>
      </c>
      <c r="AB29" s="1">
        <f>AA29*VLOOKUP(A29,'[29]geoMap (26)'!$A:$B,2,0)*VLOOKUP(A29,'[29]geoMap (26)'!$A:$C,3,0)</f>
        <v>7.4041358336295193</v>
      </c>
      <c r="AC29" s="1">
        <f>AB29/VLOOKUP(A29,'[30]geoMap (27)'!$A:$B,2,0)*VLOOKUP(A29,'[30]geoMap (27)'!$A:$C,3,0)</f>
        <v>6.3072268212399605</v>
      </c>
      <c r="AD29" s="1">
        <f>AC29/VLOOKUP(A29,'[31]geoMap (28)'!$A:$B,2,0)*VLOOKUP(A29,'[31]geoMap (28)'!$A:$C,3,0)</f>
        <v>5.1604583082872395</v>
      </c>
      <c r="AE29" s="1">
        <f>AD29/VLOOKUP(A29,'[32]geoMap (29)'!$A:$B,2,0)*VLOOKUP(A29,'[32]geoMap (29)'!$A:$C,3,0)</f>
        <v>4.763499976880528</v>
      </c>
      <c r="AF29" s="1">
        <f>AE29/VLOOKUP(A29,'[33]geoMap (30)'!$A:$B,2,0)*VLOOKUP(A29,'[33]geoMap (30)'!$A:$C,3,0)</f>
        <v>1.3435512755304053</v>
      </c>
      <c r="AG29" s="1">
        <f>AF29/VLOOKUP(A29,'[34]geoMap (31)'!$A:$B,2,0)*VLOOKUP(A29,'[34]geoMap (31)'!$A:$C,3,0)</f>
        <v>6.5596915217072729</v>
      </c>
      <c r="AH29" s="1">
        <f>AG29/VLOOKUP(A29,'[35]geoMap (32)'!$A:$B,2,0)*VLOOKUP(A29,'[35]geoMap (32)'!$A:$C,3,0)</f>
        <v>7.1063324818495461</v>
      </c>
      <c r="AI29" s="1">
        <f>AH29/VLOOKUP(A29,'[36]geoMap (33)'!$A:$B,2,0)*VLOOKUP(A29,'[36]geoMap (33)'!$A:$C,3,0)</f>
        <v>1.7765831204623865</v>
      </c>
      <c r="AJ29" s="1">
        <f>AI29/VLOOKUP(A29,'[37]geoMap (34)'!$A:$B,2,0)*VLOOKUP(A29,'[37]geoMap (34)'!$A:$C,3,0)</f>
        <v>2.7787582140565532</v>
      </c>
      <c r="AK29" s="1">
        <f>AJ29/VLOOKUP(A29,'[38]geoMap (35)'!$A:$B,2,0)*VLOOKUP(A29,'[38]geoMap (35)'!$A:$C,3,0)</f>
        <v>4.1681373210848296</v>
      </c>
      <c r="AL29" s="1">
        <f>AK29/VLOOKUP(A29,'[39]geoMap (36)'!$A:$B,2,0)*VLOOKUP(A29,'[39]geoMap (36)'!$A:$C,3,0)</f>
        <v>0.79393091830187235</v>
      </c>
      <c r="AM29" s="1">
        <f>AL29/VLOOKUP(A29,'[40]geoMap (37)'!$A:$B,2,0)*VLOOKUP(A29,'[40]geoMap (37)'!$A:$C,3,0)</f>
        <v>1.4114327436477732</v>
      </c>
      <c r="AN29" s="1">
        <f>AM29/VLOOKUP(A29,'[41]geoMap (38)'!$A:$B,2,0)*VLOOKUP(A29,'[41]geoMap (38)'!$A:$C,3,0)</f>
        <v>0.57650069810965376</v>
      </c>
      <c r="AO29" s="1">
        <f>AN29/VLOOKUP(A29,'[42]geoMap (39)'!$A:$B,2,0)*VLOOKUP(A29,'[42]geoMap (39)'!$A:$C,3,0)</f>
        <v>1.28317897321181</v>
      </c>
      <c r="AP29" s="1">
        <f>AO29/VLOOKUP(A29,'[43]geoMap (40)'!$A:$B,2,0)*VLOOKUP(A29,'[43]geoMap (40)'!$A:$C,3,0)</f>
        <v>1.8465258394999218</v>
      </c>
      <c r="AQ29" s="1">
        <f>AP29/VLOOKUP(A29,'[44]geoMap (41)'!$A:$B,2,0)*VLOOKUP(A29,'[44]geoMap (41)'!$A:$C,3,0)</f>
        <v>1.2310172263332815</v>
      </c>
      <c r="AR29" s="1">
        <f>AQ29/VLOOKUP(A29,'[45]geoMap (42)'!$A:$B,2,0)*VLOOKUP(A29,'[45]geoMap (42)'!$A:$C,3,0)</f>
        <v>0.25213605840561193</v>
      </c>
      <c r="AS29" s="1">
        <f>AR29/VLOOKUP(A29,'[46]geoMap (43)'!$A:$B,2,0)*VLOOKUP(A29,'[46]geoMap (43)'!$A:$C,3,0)</f>
        <v>0.71761801238520317</v>
      </c>
      <c r="AT29" s="1">
        <f>AS29/VLOOKUP(A29,'[47]geoMap (44)'!$A:$B,2,0)*VLOOKUP(A29,'[47]geoMap (44)'!$A:$C,3,0)</f>
        <v>0.80922882247693129</v>
      </c>
      <c r="AU29" s="1">
        <f>AT29/VLOOKUP(A29,'[48]geoMap (45)'!$A:$B,2,0)*VLOOKUP(A29,'[48]geoMap (45)'!$A:$C,3,0)</f>
        <v>0.34681235249011338</v>
      </c>
      <c r="AV29" s="1">
        <f>AU29/VLOOKUP(A29,'[49]geoMap (46)'!$A:$B,2,0)*VLOOKUP(A29,'[49]geoMap (46)'!$A:$C,3,0)</f>
        <v>0.44139753953287164</v>
      </c>
      <c r="AW29" s="1">
        <f>AV29/VLOOKUP(A29,'[50]geoMap (47)'!$A:$B,2,0)*VLOOKUP(A29,'[50]geoMap (47)'!$A:$C,3,0)</f>
        <v>0.49774616160089791</v>
      </c>
      <c r="AX29" s="1">
        <f>AW29/VLOOKUP(A29,'[51]geoMap (48)'!$A:$B,2,0)*VLOOKUP(A29,'[51]geoMap (48)'!$A:$C,3,0)</f>
        <v>0.34589140043452227</v>
      </c>
      <c r="AY29" s="1">
        <f>AX29/VLOOKUP(A29,'[52]geoMap (49)'!$A:$B,2,0)*VLOOKUP(A29,'[52]geoMap (49)'!$A:$C,3,0)</f>
        <v>9.7559112943070375E-2</v>
      </c>
      <c r="AZ29" s="1">
        <f>AY29/VLOOKUP(A29,'[53]geoMap (50)'!$A:$B,2,0)*VLOOKUP(A29,'[53]geoMap (50)'!$A:$C,3,0)</f>
        <v>0.3902364517722815</v>
      </c>
      <c r="BA29" s="1" t="e">
        <f>AZ29/VLOOKUP(A29,'[54]geoMap (51)'!$A:$B,2,0)*VLOOKUP(A29,'[54]geoMap (51)'!$A:$C,3,0)</f>
        <v>#REF!</v>
      </c>
      <c r="BB29" s="1">
        <f>AN29/VLOOKUP(A29,'[90]geoMap (144)'!$A:$B,2,0)*VLOOKUP(A29,'[90]geoMap (144)'!$A:$C,3,0)</f>
        <v>0.1265489337313874</v>
      </c>
      <c r="BC29" s="1" t="e">
        <f>BB29/VLOOKUP(A29,'[56]geoMap (53)'!$A:$B,2,0)*VLOOKUP(A29,'[56]geoMap (53)'!$A:$C,3,0)</f>
        <v>#REF!</v>
      </c>
      <c r="BD29" s="1" t="e">
        <f>AN29/VLOOKUP(A29,'[73]geoMap (147)'!$A:$B,2,0)*VLOOKUP(A29,'[73]geoMap (147)'!$A:$C,3,0)</f>
        <v>#REF!</v>
      </c>
      <c r="BE29" s="1">
        <f>AN29/VLOOKUP(A29,'[91]geoMap (148)'!$A:$B,2,0)*VLOOKUP(A29,'[91]geoMap (148)'!$A:$C,3,0)</f>
        <v>0.25900756002027925</v>
      </c>
      <c r="BF29" s="1" t="e">
        <f>AN29/VLOOKUP(A29,'[75]geoMap (150)'!$A:$B,2,0)*VLOOKUP(A29,'[75]geoMap (150)'!$A:$C,3,0)</f>
        <v>#REF!</v>
      </c>
      <c r="BG29" s="1" t="e">
        <f>AN29/VLOOKUP(A29,'[93]geoMap (152)'!$A:$B,2,0)*VLOOKUP(A29,'[93]geoMap (152)'!$A:$C,3,0)</f>
        <v>#REF!</v>
      </c>
      <c r="BH29" s="1" t="e">
        <f>AN29/VLOOKUP(A29,'[94]geoMap (154)'!$A:$B,2,0)*VLOOKUP(A29,'[94]geoMap (154)'!$A:$C,3,0)</f>
        <v>#REF!</v>
      </c>
      <c r="BI29" s="1" t="e">
        <f>AN29/VLOOKUP(A29,'[76]geoMap (156)'!$A:$B,2,0)*VLOOKUP(A29,'[76]geoMap (156)'!$A:$C,3,0)</f>
        <v>#REF!</v>
      </c>
      <c r="BJ29" s="1" t="e">
        <f>AN29/VLOOKUP(A29,'[77]geoMap (158)'!$A:$B,2,0)*VLOOKUP(A29,'[77]geoMap (158)'!$A:$C,3,0)</f>
        <v>#REF!</v>
      </c>
      <c r="BK29" s="1" t="e">
        <f>AN29/VLOOKUP(A29,'[78]geoMap (160)'!$A:$B,2,0)*VLOOKUP(A29,'[78]geoMap (160)'!$A:$C,3,0)</f>
        <v>#REF!</v>
      </c>
      <c r="BL29" s="1" t="e">
        <f>AN29/VLOOKUP(A29,'[79]geoMap (162)'!$A:$B,2,0)*VLOOKUP(A29,'[79]geoMap (162)'!$A:$C,3,0)</f>
        <v>#REF!</v>
      </c>
      <c r="BM29" s="1" t="e">
        <f>AN29/VLOOKUP(A29,'[80]geoMap (164)'!$A:$B,2,0)*VLOOKUP(A29,'[80]geoMap (164)'!$A:$C,3,0)</f>
        <v>#REF!</v>
      </c>
      <c r="BN29" s="1" t="e">
        <f>AN29/VLOOKUP(A29,'[81]geoMap (166)'!$A:$B,2,0)*VLOOKUP(A29,'[81]geoMap (166)'!$A:$C,3,0)</f>
        <v>#REF!</v>
      </c>
      <c r="BO29" s="1" t="e">
        <f>AN29/VLOOKUP(A29,'[82]geoMap (168)'!$A:$B,2,0)*VLOOKUP(A29,'[82]geoMap (168)'!$A:$C,3,0)</f>
        <v>#REF!</v>
      </c>
      <c r="BP29" s="1" t="e">
        <f>AN29/VLOOKUP(A29,'[83]geoMap (170)'!$A:$B,2,0)*VLOOKUP(A29,'[83]geoMap (170)'!$A:$C,3,0)</f>
        <v>#REF!</v>
      </c>
    </row>
    <row r="30" spans="1:68" x14ac:dyDescent="0.2">
      <c r="A30" s="1" t="s">
        <v>68</v>
      </c>
      <c r="B30" s="1">
        <f>VLOOKUP(A30,[3]geoMap!$A:$B,2,0)*Notes!$C$6</f>
        <v>6000</v>
      </c>
      <c r="C30" s="1">
        <f>B30/VLOOKUP(A30,'[4]geoMap (1)'!$A:$B,2,0)*VLOOKUP(A30,'[4]geoMap (1)'!$A:$C,3,0)</f>
        <v>2695.6521739130435</v>
      </c>
      <c r="D30" s="1">
        <f>C30/VLOOKUP(A30,'[5]geoMap (2)'!$A:$B,2,0)*VLOOKUP(A30,'[5]geoMap (2)'!$A:$C,3,0)</f>
        <v>6599.7001499250382</v>
      </c>
      <c r="E30" s="1">
        <f>D30/VLOOKUP(A30,'[6]geoMap (3)'!$A:$B,2,0)*VLOOKUP(A30,'[6]geoMap (3)'!$A:$C,3,0)</f>
        <v>2965.0826760532782</v>
      </c>
      <c r="F30" s="1">
        <f>E30/VLOOKUP(A30,'[7]geoMap (4)'!$A:$B,2,0)*VLOOKUP(A30,'[7]geoMap (4)'!$A:$C,3,0)</f>
        <v>2329.7078168990042</v>
      </c>
      <c r="G30" s="1">
        <f>F30/VLOOKUP(A30,'[8]geoMap (5)'!$A:$B,2,0)*VLOOKUP(A30,'[8]geoMap (5)'!$A:$C,3,0)</f>
        <v>3494.5617253485057</v>
      </c>
      <c r="H30" s="1">
        <f>G30/VLOOKUP(A30,'[9]geoMap (6)'!$A:$B,2,0)*VLOOKUP(A30,'[9]geoMap (6)'!$A:$C,3,0)</f>
        <v>2428.4242498184531</v>
      </c>
      <c r="I30" s="1">
        <f>H30/VLOOKUP(A30,'[10]geoMap (7)'!$A:$B,2,0)*VLOOKUP(A30,'[10]geoMap (7)'!$A:$C,3,0)</f>
        <v>1758.5141119375007</v>
      </c>
      <c r="J30" s="1">
        <f>I30/VLOOKUP(A30,'[11]geoMap (8)'!$A:$B,2,0)*VLOOKUP(A30,'[11]geoMap (8)'!$A:$C,3,0)</f>
        <v>1222.0182811769073</v>
      </c>
      <c r="K30" s="1">
        <f>J30/VLOOKUP(A30,'[12]geoMap (9)'!$A:$B,2,0)*VLOOKUP(A30,'[12]geoMap (9)'!$A:$C,3,0)</f>
        <v>748.97894652778189</v>
      </c>
      <c r="L30" s="1">
        <f>K30/VLOOKUP(A30,'[13]geoMap (10)'!$A:$B,2,0)*VLOOKUP(A30,'[13]geoMap (10)'!$A:$C,3,0)</f>
        <v>249.65964884259395</v>
      </c>
      <c r="M30" s="1">
        <f>L30/VLOOKUP(A30,'[14]geoMap (11)'!$A:$B,2,0)*VLOOKUP(A30,'[14]geoMap (11)'!$A:$C,3,0)</f>
        <v>611.23569199393694</v>
      </c>
      <c r="N30" s="1">
        <f>M30/VLOOKUP(A30,'[15]geoMap (12)'!$A:$B,2,0)*VLOOKUP(A30,'[15]geoMap (12)'!$A:$C,3,0)</f>
        <v>689.26578033358862</v>
      </c>
      <c r="O30" s="1">
        <f>N30/VLOOKUP(A30,'[16]geoMap (13)'!$A:$B,2,0)*VLOOKUP(A30,'[16]geoMap (13)'!$A:$C,3,0)</f>
        <v>309.67013319335143</v>
      </c>
      <c r="P30" s="1">
        <f>O30/VLOOKUP(A30,'[17]geoMap (14)'!$A:$B,2,0)*VLOOKUP(A30,'[17]geoMap (14)'!$A:$C,3,0)</f>
        <v>322.30973046654941</v>
      </c>
      <c r="Q30" s="1">
        <f>P30/VLOOKUP(A30,'[18]geoMap (15)'!$A:$B,2,0)*VLOOKUP(A30,'[18]geoMap (15)'!$A:$C,3,0)</f>
        <v>151.67516727837616</v>
      </c>
      <c r="R30" s="1" t="e">
        <f>L30/VLOOKUP(A30,'[136]geoMap (89)'!$A:$B,2,0)*VLOOKUP(A30,'[136]geoMap (89)'!$A:$C,3,0)</f>
        <v>#REF!</v>
      </c>
      <c r="S30" s="1">
        <f>O30/VLOOKUP(A30,'[110]geoMap (90)'!$A:$B,2,0)*VLOOKUP(A30,'[110]geoMap (90)'!$A:$C,3,0)</f>
        <v>108.80301977063699</v>
      </c>
      <c r="T30" s="1">
        <f>S30/VLOOKUP(A30,'[21]geoMap (18)'!$A:$B,2,0)*VLOOKUP(A30,'[21]geoMap (18)'!$A:$C,3,0)</f>
        <v>89.020652539612087</v>
      </c>
      <c r="U30" s="1" t="e">
        <f>P30/VLOOKUP(A30,'[137]geoMap (94)'!$A:$B,2,0)*VLOOKUP(A30,'[137]geoMap (94)'!$A:$C,3,0)</f>
        <v>#REF!</v>
      </c>
      <c r="V30" s="1" t="e">
        <f>Q30/VLOOKUP(A30,'[95]geoMap (96)'!$A:$B,2,0)*VLOOKUP(A30,'[95]geoMap (96)'!$A:$C,3,0)</f>
        <v>#REF!</v>
      </c>
      <c r="W30" s="1">
        <f>Q30/VLOOKUP(A30,'[96]geoMap (97)'!$A:$B,2,0)*VLOOKUP(A30,'[96]geoMap (97)'!$A:$C,3,0)</f>
        <v>42.780175386208661</v>
      </c>
      <c r="X30" s="1">
        <f>W30/VLOOKUP(A30,'[25]geoMap (22)'!$A:$B,2,0)*VLOOKUP(A30,'[25]geoMap (22)'!$A:$C,3,0)</f>
        <v>54.447495946083755</v>
      </c>
      <c r="Y30" s="1">
        <f>X30/VLOOKUP(A30,'[26]geoMap (23)'!$A:$B,2,0)*VLOOKUP(A30,'[26]geoMap (23)'!$A:$C,3,0)</f>
        <v>69.296813022288418</v>
      </c>
      <c r="Z30" s="1">
        <f>Y30/VLOOKUP(A30,'[27]geoMap (24)'!$A:$B,2,0)*VLOOKUP(A30,'[27]geoMap (24)'!$A:$C,3,0)</f>
        <v>29.698634152409323</v>
      </c>
      <c r="AA30" s="1">
        <f>Q30/VLOOKUP(A30,'[139]geoMap (106)'!$A:$B,2,0)*VLOOKUP(A30,'[139]geoMap (106)'!$A:$C,3,0)</f>
        <v>24.691306301131004</v>
      </c>
      <c r="AB30" s="1" t="e">
        <f>AA30*VLOOKUP(A30,'[29]geoMap (26)'!$A:$B,2,0)*VLOOKUP(A30,'[29]geoMap (26)'!$A:$C,3,0)</f>
        <v>#REF!</v>
      </c>
      <c r="AC30" s="1" t="e">
        <f>AB30/VLOOKUP(A30,'[30]geoMap (27)'!$A:$B,2,0)*VLOOKUP(A30,'[30]geoMap (27)'!$A:$C,3,0)</f>
        <v>#REF!</v>
      </c>
      <c r="AD30" s="1" t="e">
        <f>AC30/VLOOKUP(A30,'[31]geoMap (28)'!$A:$B,2,0)*VLOOKUP(A30,'[31]geoMap (28)'!$A:$C,3,0)</f>
        <v>#REF!</v>
      </c>
      <c r="AE30" s="1" t="e">
        <f>AD30/VLOOKUP(A30,'[32]geoMap (29)'!$A:$B,2,0)*VLOOKUP(A30,'[32]geoMap (29)'!$A:$C,3,0)</f>
        <v>#REF!</v>
      </c>
      <c r="AF30" s="1" t="e">
        <f>AE30/VLOOKUP(A30,'[33]geoMap (30)'!$A:$B,2,0)*VLOOKUP(A30,'[33]geoMap (30)'!$A:$C,3,0)</f>
        <v>#REF!</v>
      </c>
      <c r="AG30" s="1" t="e">
        <f>AF30/VLOOKUP(A30,'[34]geoMap (31)'!$A:$B,2,0)*VLOOKUP(A30,'[34]geoMap (31)'!$A:$C,3,0)</f>
        <v>#REF!</v>
      </c>
      <c r="AH30" s="1">
        <f>Y30/VLOOKUP(A30,'[131]geoMap (114)'!$A:$B,2,0)*VLOOKUP(A30,'[131]geoMap (114)'!$A:$C,3,0)</f>
        <v>26.948760619778835</v>
      </c>
      <c r="AI30" s="1" t="e">
        <f>Y30/VLOOKUP(A30,'[132]geoMap (115)'!$A:$B,2,0)*VLOOKUP(A30,'[132]geoMap (115)'!$A:$C,3,0)</f>
        <v>#REF!</v>
      </c>
      <c r="AJ30" s="1" t="e">
        <f>Y30/VLOOKUP(A30,'[112]geoMap (116)'!$A:$B,2,0)*VLOOKUP(A30,'[112]geoMap (116)'!$A:$C,3,0)</f>
        <v>#REF!</v>
      </c>
      <c r="AK30" s="1" t="e">
        <f>Y30/VLOOKUP(A30,'[113]geoMap (117)'!$A:$B,2,0)*VLOOKUP(A30,'[113]geoMap (117)'!$A:$C,3,0)</f>
        <v>#REF!</v>
      </c>
      <c r="AL30" s="1" t="e">
        <f>Y30/VLOOKUP(A30,'[140]geoMap (118)'!$A:$B,2,0)*VLOOKUP(A30,'[140]geoMap (118)'!$A:$C,3,0)</f>
        <v>#REF!</v>
      </c>
      <c r="AM30" s="1">
        <f>AA30/VLOOKUP(A30,'[125]geoMap (120)'!$A:$B,2,0)*VLOOKUP(A30,'[125]geoMap (120)'!$A:$C,3,0)</f>
        <v>11.093195584566104</v>
      </c>
      <c r="AN30" s="1">
        <f>AM30/VLOOKUP(A30,'[41]geoMap (38)'!$A:$B,2,0)*VLOOKUP(A30,'[41]geoMap (38)'!$A:$C,3,0)</f>
        <v>10.239872847291789</v>
      </c>
      <c r="AO30" s="1" t="e">
        <f>AN30/VLOOKUP(A30,'[42]geoMap (39)'!$A:$B,2,0)*VLOOKUP(A30,'[42]geoMap (39)'!$A:$C,3,0)</f>
        <v>#REF!</v>
      </c>
      <c r="AP30" s="1" t="e">
        <f>AN30/VLOOKUP(A30,'[126]geoMap (124)'!$A:$B,2,0)*VLOOKUP(A30,'[126]geoMap (124)'!$A:$C,3,0)</f>
        <v>#REF!</v>
      </c>
      <c r="AQ30" s="1" t="e">
        <f>AF30/VLOOKUP(A30,'[99]geoMap (126)'!$A:$B,2,0)*VLOOKUP(A30,'[99]geoMap (126)'!$A:$C,3,0)</f>
        <v>#REF!</v>
      </c>
      <c r="AR30" s="1" t="e">
        <f>AA30/VLOOKUP(A30,'[100]geoMap (128)'!$A:$B,2,0)*VLOOKUP(A30,'[100]geoMap (128)'!$A:$C,3,0)</f>
        <v>#REF!</v>
      </c>
      <c r="AS30" s="1" t="e">
        <f>AN30/VLOOKUP(A30,'[143]geoMap (130)'!$A:$B,2,0)*VLOOKUP(A30,'[143]geoMap (130)'!$A:$C,3,0)</f>
        <v>#REF!</v>
      </c>
      <c r="AT30" s="1" t="e">
        <f>AN30/VLOOKUP(A30,'[154]geoMap (132)'!$A:$B,2,0)*VLOOKUP(A30,'[154]geoMap (132)'!$A:$C,3,0)</f>
        <v>#REF!</v>
      </c>
      <c r="AU30" s="1" t="e">
        <f>AN30/VLOOKUP(A30,'[85]geoMap (133)'!$A:$B,2,0)*VLOOKUP(A30,'[85]geoMap (133)'!$A:$C,3,0)</f>
        <v>#REF!</v>
      </c>
      <c r="AV30" s="1" t="e">
        <f>AN30/VLOOKUP(A30,'[86]geoMap (135)'!$A:$B,2,0)*VLOOKUP(A30,'[86]geoMap (135)'!$A:$C,3,0)</f>
        <v>#REF!</v>
      </c>
      <c r="AW30" s="1" t="e">
        <f>AN30/VLOOKUP(A30,'[87]geoMap (137)'!$A:$B,2,0)*VLOOKUP(A30,'[87]geoMap (137)'!$A:$C,3,0)</f>
        <v>#REF!</v>
      </c>
      <c r="AX30" s="1" t="e">
        <f>AN30/VLOOKUP(A30,'[70]geoMap (138)'!$A:$B,2,0)*VLOOKUP(A30,'[70]geoMap (138)'!$A:$C,3,0)</f>
        <v>#REF!</v>
      </c>
      <c r="AY30" s="1" t="e">
        <f>AN30/VLOOKUP(A30,'[88]geoMap (140)'!$A:$B,2,0)*VLOOKUP(A30,'[88]geoMap (140)'!$A:$C,3,0)</f>
        <v>#REF!</v>
      </c>
      <c r="AZ30" s="1" t="e">
        <f>AN30/VLOOKUP(A30,'[89]geoMap (141)'!$A:$B,2,0)*VLOOKUP(A30,'[89]geoMap (141)'!$A:$C,3,0)</f>
        <v>#REF!</v>
      </c>
      <c r="BA30" s="1" t="e">
        <f>AN30/VLOOKUP(A30,'[71]geoMap (143)'!$A:$B,2,0)*VLOOKUP(A30,'[71]geoMap (143)'!$A:$C,3,0)</f>
        <v>#REF!</v>
      </c>
      <c r="BB30" s="1" t="e">
        <f>AN30/VLOOKUP(A30,'[90]geoMap (144)'!$A:$B,2,0)*VLOOKUP(A30,'[90]geoMap (144)'!$A:$C,3,0)</f>
        <v>#REF!</v>
      </c>
      <c r="BC30" s="1" t="e">
        <f>AN30/VLOOKUP(A30,'[72]geoMap (146)'!$A:$B,2,0)*VLOOKUP(A30,'[72]geoMap (146)'!$A:$C,3,0)</f>
        <v>#REF!</v>
      </c>
      <c r="BD30" s="1" t="e">
        <f>AN30/VLOOKUP(A30,'[73]geoMap (147)'!$A:$B,2,0)*VLOOKUP(A30,'[73]geoMap (147)'!$A:$C,3,0)</f>
        <v>#REF!</v>
      </c>
      <c r="BE30" s="1" t="e">
        <f>AN30/VLOOKUP(A30,'[91]geoMap (148)'!$A:$B,2,0)*VLOOKUP(A30,'[91]geoMap (148)'!$A:$C,3,0)</f>
        <v>#REF!</v>
      </c>
      <c r="BF30" s="1" t="e">
        <f>AN30/VLOOKUP(A30,'[75]geoMap (150)'!$A:$B,2,0)*VLOOKUP(A30,'[75]geoMap (150)'!$A:$C,3,0)</f>
        <v>#REF!</v>
      </c>
      <c r="BG30" s="1" t="e">
        <f>AN30/VLOOKUP(A30,'[93]geoMap (152)'!$A:$B,2,0)*VLOOKUP(A30,'[93]geoMap (152)'!$A:$C,3,0)</f>
        <v>#REF!</v>
      </c>
      <c r="BH30" s="1" t="e">
        <f>AN30/VLOOKUP(A30,'[94]geoMap (154)'!$A:$B,2,0)*VLOOKUP(A30,'[94]geoMap (154)'!$A:$C,3,0)</f>
        <v>#REF!</v>
      </c>
      <c r="BI30" s="1" t="e">
        <f>AN30/VLOOKUP(A30,'[76]geoMap (156)'!$A:$B,2,0)*VLOOKUP(A30,'[76]geoMap (156)'!$A:$C,3,0)</f>
        <v>#REF!</v>
      </c>
      <c r="BJ30" s="1" t="e">
        <f>AN30/VLOOKUP(A30,'[77]geoMap (158)'!$A:$B,2,0)*VLOOKUP(A30,'[77]geoMap (158)'!$A:$C,3,0)</f>
        <v>#REF!</v>
      </c>
      <c r="BK30" s="1" t="e">
        <f>AN30/VLOOKUP(A30,'[78]geoMap (160)'!$A:$B,2,0)*VLOOKUP(A30,'[78]geoMap (160)'!$A:$C,3,0)</f>
        <v>#REF!</v>
      </c>
      <c r="BL30" s="1" t="e">
        <f>AN30/VLOOKUP(A30,'[79]geoMap (162)'!$A:$B,2,0)*VLOOKUP(A30,'[79]geoMap (162)'!$A:$C,3,0)</f>
        <v>#REF!</v>
      </c>
      <c r="BM30" s="1" t="e">
        <f>AN30/VLOOKUP(A30,'[80]geoMap (164)'!$A:$B,2,0)*VLOOKUP(A30,'[80]geoMap (164)'!$A:$C,3,0)</f>
        <v>#REF!</v>
      </c>
      <c r="BN30" s="1" t="e">
        <f>AN30/VLOOKUP(A30,'[81]geoMap (166)'!$A:$B,2,0)*VLOOKUP(A30,'[81]geoMap (166)'!$A:$C,3,0)</f>
        <v>#REF!</v>
      </c>
      <c r="BO30" s="1" t="e">
        <f>AN30/VLOOKUP(A30,'[82]geoMap (168)'!$A:$B,2,0)*VLOOKUP(A30,'[82]geoMap (168)'!$A:$C,3,0)</f>
        <v>#REF!</v>
      </c>
      <c r="BP30" s="1" t="e">
        <f>AN30/VLOOKUP(A30,'[83]geoMap (170)'!$A:$B,2,0)*VLOOKUP(A30,'[83]geoMap (170)'!$A:$C,3,0)</f>
        <v>#REF!</v>
      </c>
    </row>
    <row r="31" spans="1:68" x14ac:dyDescent="0.2">
      <c r="A31" s="1" t="s">
        <v>95</v>
      </c>
      <c r="B31" s="1">
        <f>VLOOKUP(A31,[3]geoMap!$A:$B,2,0)*Notes!$C$6</f>
        <v>6000</v>
      </c>
      <c r="C31" s="1">
        <f>B31/VLOOKUP(A31,'[4]geoMap (1)'!$A:$B,2,0)*VLOOKUP(A31,'[4]geoMap (1)'!$A:$C,3,0)</f>
        <v>1894.7368421052631</v>
      </c>
      <c r="D31" s="1">
        <f>C31/VLOOKUP(A31,'[5]geoMap (2)'!$A:$B,2,0)*VLOOKUP(A31,'[5]geoMap (2)'!$A:$C,3,0)</f>
        <v>3846.8899521531098</v>
      </c>
      <c r="E31" s="1">
        <f>D31/VLOOKUP(A31,'[6]geoMap (3)'!$A:$B,2,0)*VLOOKUP(A31,'[6]geoMap (3)'!$A:$C,3,0)</f>
        <v>2902.0397884663812</v>
      </c>
      <c r="F31" s="1">
        <f>E31/VLOOKUP(A31,'[7]geoMap (4)'!$A:$B,2,0)*VLOOKUP(A31,'[7]geoMap (4)'!$A:$C,3,0)</f>
        <v>2374.3961905634028</v>
      </c>
      <c r="G31" s="1">
        <f>F31/VLOOKUP(A31,'[8]geoMap (5)'!$A:$B,2,0)*VLOOKUP(A31,'[8]geoMap (5)'!$A:$C,3,0)</f>
        <v>1865.5970068712447</v>
      </c>
      <c r="H31" s="1">
        <f>G31/VLOOKUP(A31,'[9]geoMap (6)'!$A:$B,2,0)*VLOOKUP(A31,'[9]geoMap (6)'!$A:$C,3,0)</f>
        <v>1792.4363399351175</v>
      </c>
      <c r="I31" s="1">
        <f>H31/VLOOKUP(A31,'[10]geoMap (7)'!$A:$B,2,0)*VLOOKUP(A31,'[10]geoMap (7)'!$A:$C,3,0)</f>
        <v>1941.8060349297109</v>
      </c>
      <c r="J31" s="1">
        <f>I31/VLOOKUP(A31,'[11]geoMap (8)'!$A:$B,2,0)*VLOOKUP(A31,'[11]geoMap (8)'!$A:$C,3,0)</f>
        <v>580.01998445952404</v>
      </c>
      <c r="K31" s="1">
        <f>J31/VLOOKUP(A31,'[12]geoMap (9)'!$A:$B,2,0)*VLOOKUP(A31,'[12]geoMap (9)'!$A:$C,3,0)</f>
        <v>514.35734470938928</v>
      </c>
      <c r="L31" s="1">
        <f>K31/VLOOKUP(A31,'[13]geoMap (10)'!$A:$B,2,0)*VLOOKUP(A31,'[13]geoMap (10)'!$A:$C,3,0)</f>
        <v>120.65172283306663</v>
      </c>
      <c r="M31" s="1">
        <f>L31/VLOOKUP(A31,'[14]geoMap (11)'!$A:$B,2,0)*VLOOKUP(A31,'[14]geoMap (11)'!$A:$C,3,0)</f>
        <v>256.3849110202666</v>
      </c>
      <c r="N31" s="1">
        <f>M31/VLOOKUP(A31,'[15]geoMap (12)'!$A:$B,2,0)*VLOOKUP(A31,'[15]geoMap (12)'!$A:$C,3,0)</f>
        <v>277.7503202719555</v>
      </c>
      <c r="O31" s="1">
        <f>N31/VLOOKUP(A31,'[16]geoMap (13)'!$A:$B,2,0)*VLOOKUP(A31,'[16]geoMap (13)'!$A:$C,3,0)</f>
        <v>201.12954226589883</v>
      </c>
      <c r="P31" s="1">
        <f>O31/VLOOKUP(A31,'[17]geoMap (14)'!$A:$B,2,0)*VLOOKUP(A31,'[17]geoMap (14)'!$A:$C,3,0)</f>
        <v>314.5872327748674</v>
      </c>
      <c r="Q31" s="1">
        <f>P31/VLOOKUP(A31,'[18]geoMap (15)'!$A:$B,2,0)*VLOOKUP(A31,'[18]geoMap (15)'!$A:$C,3,0)</f>
        <v>88.729732321116444</v>
      </c>
      <c r="R31" s="1">
        <f>Q31/VLOOKUP(A31,'[19]geoMap (16)'!$A:$B,2,0)*VLOOKUP(A31,'[19]geoMap (16)'!$A:$C,3,0)</f>
        <v>122.53153511011318</v>
      </c>
      <c r="S31" s="1">
        <f>R31/VLOOKUP(A31,'[20]geoMap (17)'!$A:$B,2,0)*VLOOKUP(A31,'[20]geoMap (17)'!$A:$C,3,0)</f>
        <v>71.962965064669646</v>
      </c>
      <c r="T31" s="1">
        <f>S31/VLOOKUP(A31,'[21]geoMap (18)'!$A:$B,2,0)*VLOOKUP(A31,'[21]geoMap (18)'!$A:$C,3,0)</f>
        <v>61.301785055088956</v>
      </c>
      <c r="U31" s="1">
        <f>T31/VLOOKUP(A31,'[22]geoMap (19)'!$A:$B,2,0)*VLOOKUP(A31,'[22]geoMap (19)'!$A:$C,3,0)</f>
        <v>21.538465019355581</v>
      </c>
      <c r="V31" s="1">
        <f>U31/VLOOKUP(A31,'[23]geoMap (20)'!$A:$B,2,0)*VLOOKUP(A31,'[23]geoMap (20)'!$A:$C,3,0)</f>
        <v>12.649574693907246</v>
      </c>
      <c r="W31" s="1">
        <f>V31/VLOOKUP(A31,'[24]geoMap (21)'!$A:$B,2,0)*VLOOKUP(A31,'[24]geoMap (21)'!$A:$C,3,0)</f>
        <v>34.200701950193661</v>
      </c>
      <c r="X31" s="1">
        <f>W31/VLOOKUP(A31,'[25]geoMap (22)'!$A:$B,2,0)*VLOOKUP(A31,'[25]geoMap (22)'!$A:$C,3,0)</f>
        <v>43.528166118428302</v>
      </c>
      <c r="Y31" s="1">
        <f>X31/VLOOKUP(A31,'[26]geoMap (23)'!$A:$B,2,0)*VLOOKUP(A31,'[26]geoMap (23)'!$A:$C,3,0)</f>
        <v>15.29367998755589</v>
      </c>
      <c r="Z31" s="1">
        <f>Y31/VLOOKUP(A31,'[27]geoMap (24)'!$A:$B,2,0)*VLOOKUP(A31,'[27]geoMap (24)'!$A:$C,3,0)</f>
        <v>18.692275540346088</v>
      </c>
      <c r="AA31" s="1">
        <f>Z31/VLOOKUP(A31,'[28]geoMap (25)'!$A:$B,2,0)*VLOOKUP(A31,'[28]geoMap (25)'!$A:$C,3,0)</f>
        <v>16.576168875401244</v>
      </c>
      <c r="AB31" s="1">
        <f>AA31*VLOOKUP(A31,'[29]geoMap (26)'!$A:$B,2,0)*VLOOKUP(A31,'[29]geoMap (26)'!$A:$C,3,0)</f>
        <v>4.1423846019627701</v>
      </c>
      <c r="AC31" s="1">
        <f>AB31/VLOOKUP(A31,'[30]geoMap (27)'!$A:$B,2,0)*VLOOKUP(A31,'[30]geoMap (27)'!$A:$C,3,0)</f>
        <v>8.0410995214571415</v>
      </c>
      <c r="AD31" s="1">
        <f>AC31/VLOOKUP(A31,'[31]geoMap (28)'!$A:$B,2,0)*VLOOKUP(A31,'[31]geoMap (28)'!$A:$C,3,0)</f>
        <v>4.1423846019627701</v>
      </c>
      <c r="AE31" s="1">
        <f>AD31/VLOOKUP(A31,'[32]geoMap (29)'!$A:$B,2,0)*VLOOKUP(A31,'[32]geoMap (29)'!$A:$C,3,0)</f>
        <v>7.0532494573960678</v>
      </c>
      <c r="AF31" s="1">
        <f>AE31/VLOOKUP(A31,'[33]geoMap (30)'!$A:$B,2,0)*VLOOKUP(A31,'[33]geoMap (30)'!$A:$C,3,0)</f>
        <v>3.0228211960268863</v>
      </c>
      <c r="AG31" s="1">
        <f>AF31/VLOOKUP(A31,'[34]geoMap (31)'!$A:$B,2,0)*VLOOKUP(A31,'[34]geoMap (31)'!$A:$C,3,0)</f>
        <v>2.2803738847220369</v>
      </c>
      <c r="AH31" s="1">
        <f>AG31/VLOOKUP(A31,'[35]geoMap (32)'!$A:$B,2,0)*VLOOKUP(A31,'[35]geoMap (32)'!$A:$C,3,0)</f>
        <v>4.4266081291663069</v>
      </c>
      <c r="AI31" s="1">
        <f>AH31/VLOOKUP(A31,'[36]geoMap (33)'!$A:$B,2,0)*VLOOKUP(A31,'[36]geoMap (33)'!$A:$C,3,0)</f>
        <v>2.4899670726560474</v>
      </c>
      <c r="AJ31" s="1">
        <f>AI31/VLOOKUP(A31,'[37]geoMap (34)'!$A:$B,2,0)*VLOOKUP(A31,'[37]geoMap (34)'!$A:$C,3,0)</f>
        <v>1.9564026999440369</v>
      </c>
      <c r="AK31" s="1">
        <f>AJ31/VLOOKUP(A31,'[38]geoMap (35)'!$A:$B,2,0)*VLOOKUP(A31,'[38]geoMap (35)'!$A:$C,3,0)</f>
        <v>1.8059101845637262</v>
      </c>
      <c r="AL31" s="1">
        <f>AK31/VLOOKUP(A31,'[39]geoMap (36)'!$A:$B,2,0)*VLOOKUP(A31,'[39]geoMap (36)'!$A:$C,3,0)</f>
        <v>0.73762528665278959</v>
      </c>
      <c r="AM31" s="1">
        <f>AL31/VLOOKUP(A31,'[40]geoMap (37)'!$A:$B,2,0)*VLOOKUP(A31,'[40]geoMap (37)'!$A:$C,3,0)</f>
        <v>3.8725327549271453</v>
      </c>
      <c r="AN31" s="1">
        <f>AM31/VLOOKUP(A31,'[41]geoMap (38)'!$A:$B,2,0)*VLOOKUP(A31,'[41]geoMap (38)'!$A:$C,3,0)</f>
        <v>1.99494111617459</v>
      </c>
      <c r="AO31" s="1">
        <f>AN31/VLOOKUP(A31,'[42]geoMap (39)'!$A:$B,2,0)*VLOOKUP(A31,'[42]geoMap (39)'!$A:$C,3,0)</f>
        <v>2.3418873972484322</v>
      </c>
      <c r="AP31" s="1">
        <f>AO31/VLOOKUP(A31,'[43]geoMap (40)'!$A:$B,2,0)*VLOOKUP(A31,'[43]geoMap (40)'!$A:$C,3,0)</f>
        <v>1.1534669270029592</v>
      </c>
      <c r="AQ31" s="1">
        <f>AP31/VLOOKUP(A31,'[44]geoMap (41)'!$A:$B,2,0)*VLOOKUP(A31,'[44]geoMap (41)'!$A:$C,3,0)</f>
        <v>0.64882514643916456</v>
      </c>
      <c r="AR31" s="1">
        <f>AQ31/VLOOKUP(A31,'[45]geoMap (42)'!$A:$B,2,0)*VLOOKUP(A31,'[45]geoMap (42)'!$A:$C,3,0)</f>
        <v>0.53085693799568012</v>
      </c>
      <c r="AS31" s="1">
        <f>AR31/VLOOKUP(A31,'[46]geoMap (43)'!$A:$B,2,0)*VLOOKUP(A31,'[46]geoMap (43)'!$A:$C,3,0)</f>
        <v>0.41710187985374864</v>
      </c>
      <c r="AT31" s="1" t="e">
        <f>AC31/VLOOKUP(A31,'[84]geoMap (131)'!$A:$B,2,0)*VLOOKUP(A31,'[84]geoMap (131)'!$A:$C,3,0)</f>
        <v>#REF!</v>
      </c>
      <c r="AU31" s="1">
        <f>AN31/VLOOKUP(A31,'[85]geoMap (133)'!$A:$B,2,0)*VLOOKUP(A31,'[85]geoMap (133)'!$A:$C,3,0)</f>
        <v>0.27203742493289862</v>
      </c>
      <c r="AV31" s="1">
        <f>AU31/VLOOKUP(A31,'[49]geoMap (46)'!$A:$B,2,0)*VLOOKUP(A31,'[49]geoMap (46)'!$A:$C,3,0)</f>
        <v>0.63475399151009682</v>
      </c>
      <c r="AW31" s="1">
        <f>AV31/VLOOKUP(A31,'[50]geoMap (47)'!$A:$B,2,0)*VLOOKUP(A31,'[50]geoMap (47)'!$A:$C,3,0)</f>
        <v>1.9042619745302904</v>
      </c>
      <c r="AX31" s="1">
        <f>AW31/VLOOKUP(A31,'[51]geoMap (48)'!$A:$B,2,0)*VLOOKUP(A31,'[51]geoMap (48)'!$A:$C,3,0)</f>
        <v>0.98098344142469507</v>
      </c>
      <c r="AY31" s="1">
        <f>AX31/VLOOKUP(A31,'[52]geoMap (49)'!$A:$B,2,0)*VLOOKUP(A31,'[52]geoMap (49)'!$A:$C,3,0)</f>
        <v>0.98098344142469507</v>
      </c>
      <c r="AZ31" s="1" t="e">
        <f>AY31/VLOOKUP(A31,'[53]geoMap (50)'!$A:$B,2,0)*VLOOKUP(A31,'[53]geoMap (50)'!$A:$C,3,0)</f>
        <v>#REF!</v>
      </c>
      <c r="BA31" s="1" t="e">
        <f>AN31/VLOOKUP(A31,'[71]geoMap (143)'!$A:$B,2,0)*VLOOKUP(A31,'[71]geoMap (143)'!$A:$C,3,0)</f>
        <v>#REF!</v>
      </c>
      <c r="BB31" s="1" t="e">
        <f>AN31/VLOOKUP(A31,'[90]geoMap (144)'!$A:$B,2,0)*VLOOKUP(A31,'[90]geoMap (144)'!$A:$C,3,0)</f>
        <v>#REF!</v>
      </c>
      <c r="BC31" s="1" t="e">
        <f>AN31/VLOOKUP(A31,'[72]geoMap (146)'!$A:$B,2,0)*VLOOKUP(A31,'[72]geoMap (146)'!$A:$C,3,0)</f>
        <v>#REF!</v>
      </c>
      <c r="BD31" s="1" t="e">
        <f>AN31/VLOOKUP(A31,'[73]geoMap (147)'!$A:$B,2,0)*VLOOKUP(A31,'[73]geoMap (147)'!$A:$C,3,0)</f>
        <v>#REF!</v>
      </c>
      <c r="BE31" s="1" t="e">
        <f>AN31/VLOOKUP(A31,'[91]geoMap (148)'!$A:$B,2,0)*VLOOKUP(A31,'[91]geoMap (148)'!$A:$C,3,0)</f>
        <v>#REF!</v>
      </c>
      <c r="BF31" s="1" t="e">
        <f>AN31/VLOOKUP(A31,'[75]geoMap (150)'!$A:$B,2,0)*VLOOKUP(A31,'[75]geoMap (150)'!$A:$C,3,0)</f>
        <v>#REF!</v>
      </c>
      <c r="BG31" s="1" t="e">
        <f>AN31/VLOOKUP(A31,'[93]geoMap (152)'!$A:$B,2,0)*VLOOKUP(A31,'[93]geoMap (152)'!$A:$C,3,0)</f>
        <v>#REF!</v>
      </c>
      <c r="BH31" s="1" t="e">
        <f>AN31/VLOOKUP(A31,'[94]geoMap (154)'!$A:$B,2,0)*VLOOKUP(A31,'[94]geoMap (154)'!$A:$C,3,0)</f>
        <v>#REF!</v>
      </c>
      <c r="BI31" s="1" t="e">
        <f>AN31/VLOOKUP(A31,'[76]geoMap (156)'!$A:$B,2,0)*VLOOKUP(A31,'[76]geoMap (156)'!$A:$C,3,0)</f>
        <v>#REF!</v>
      </c>
      <c r="BJ31" s="1" t="e">
        <f>AN31/VLOOKUP(A31,'[77]geoMap (158)'!$A:$B,2,0)*VLOOKUP(A31,'[77]geoMap (158)'!$A:$C,3,0)</f>
        <v>#REF!</v>
      </c>
      <c r="BK31" s="1" t="e">
        <f>AN31/VLOOKUP(A31,'[78]geoMap (160)'!$A:$B,2,0)*VLOOKUP(A31,'[78]geoMap (160)'!$A:$C,3,0)</f>
        <v>#REF!</v>
      </c>
      <c r="BL31" s="1" t="e">
        <f>AN31/VLOOKUP(A31,'[79]geoMap (162)'!$A:$B,2,0)*VLOOKUP(A31,'[79]geoMap (162)'!$A:$C,3,0)</f>
        <v>#REF!</v>
      </c>
      <c r="BM31" s="1" t="e">
        <f>AN31/VLOOKUP(A31,'[80]geoMap (164)'!$A:$B,2,0)*VLOOKUP(A31,'[80]geoMap (164)'!$A:$C,3,0)</f>
        <v>#REF!</v>
      </c>
      <c r="BN31" s="1" t="e">
        <f>AN31/VLOOKUP(A31,'[81]geoMap (166)'!$A:$B,2,0)*VLOOKUP(A31,'[81]geoMap (166)'!$A:$C,3,0)</f>
        <v>#REF!</v>
      </c>
      <c r="BO31" s="1" t="e">
        <f>AN31/VLOOKUP(A31,'[82]geoMap (168)'!$A:$B,2,0)*VLOOKUP(A31,'[82]geoMap (168)'!$A:$C,3,0)</f>
        <v>#REF!</v>
      </c>
      <c r="BP31" s="1" t="e">
        <f>AN31/VLOOKUP(A31,'[83]geoMap (170)'!$A:$B,2,0)*VLOOKUP(A31,'[83]geoMap (170)'!$A:$C,3,0)</f>
        <v>#REF!</v>
      </c>
    </row>
    <row r="32" spans="1:68" x14ac:dyDescent="0.2">
      <c r="A32" s="1" t="s">
        <v>108</v>
      </c>
      <c r="B32" s="1">
        <f>VLOOKUP(A32,[3]geoMap!$A:$B,2,0)*Notes!$C$6</f>
        <v>5000</v>
      </c>
      <c r="C32" s="1">
        <f>B32/VLOOKUP(A32,'[4]geoMap (1)'!$A:$B,2,0)*VLOOKUP(A32,'[4]geoMap (1)'!$A:$C,3,0)</f>
        <v>8513.5135135135133</v>
      </c>
      <c r="D32" s="1">
        <f>C32/VLOOKUP(A32,'[5]geoMap (2)'!$A:$B,2,0)*VLOOKUP(A32,'[5]geoMap (2)'!$A:$C,3,0)</f>
        <v>5675.6756756756768</v>
      </c>
      <c r="E32" s="1">
        <f>D32/VLOOKUP(A32,'[6]geoMap (3)'!$A:$B,2,0)*VLOOKUP(A32,'[6]geoMap (3)'!$A:$C,3,0)</f>
        <v>4281.6500711237568</v>
      </c>
      <c r="F32" s="1">
        <f>E32/VLOOKUP(A32,'[7]geoMap (4)'!$A:$B,2,0)*VLOOKUP(A32,'[7]geoMap (4)'!$A:$C,3,0)</f>
        <v>3647.3315420683853</v>
      </c>
      <c r="G32" s="1">
        <f>F32/VLOOKUP(A32,'[8]geoMap (5)'!$A:$B,2,0)*VLOOKUP(A32,'[8]geoMap (5)'!$A:$C,3,0)</f>
        <v>3951.2758372407511</v>
      </c>
      <c r="H32" s="1">
        <f>G32/VLOOKUP(A32,'[9]geoMap (6)'!$A:$B,2,0)*VLOOKUP(A32,'[9]geoMap (6)'!$A:$C,3,0)</f>
        <v>2980.7870351114443</v>
      </c>
      <c r="I32" s="1">
        <f>H32/VLOOKUP(A32,'[10]geoMap (7)'!$A:$B,2,0)*VLOOKUP(A32,'[10]geoMap (7)'!$A:$C,3,0)</f>
        <v>1339.1941751949969</v>
      </c>
      <c r="J32" s="1">
        <f>I32/VLOOKUP(A32,'[11]geoMap (8)'!$A:$B,2,0)*VLOOKUP(A32,'[11]geoMap (8)'!$A:$C,3,0)</f>
        <v>1010.2692900593836</v>
      </c>
      <c r="K32" s="1">
        <f>J32/VLOOKUP(A32,'[12]geoMap (9)'!$A:$B,2,0)*VLOOKUP(A32,'[12]geoMap (9)'!$A:$C,3,0)</f>
        <v>1185.9682970262329</v>
      </c>
      <c r="L32" s="1">
        <f>K32/VLOOKUP(A32,'[13]geoMap (10)'!$A:$B,2,0)*VLOOKUP(A32,'[13]geoMap (10)'!$A:$C,3,0)</f>
        <v>758.24202596759164</v>
      </c>
      <c r="M32" s="1">
        <f>L32/VLOOKUP(A32,'[14]geoMap (11)'!$A:$B,2,0)*VLOOKUP(A32,'[14]geoMap (11)'!$A:$C,3,0)</f>
        <v>2158.0734585231453</v>
      </c>
      <c r="N32" s="1">
        <f>M32/VLOOKUP(A32,'[15]geoMap (12)'!$A:$B,2,0)*VLOOKUP(A32,'[15]geoMap (12)'!$A:$C,3,0)</f>
        <v>539.51836463078632</v>
      </c>
      <c r="O32" s="1">
        <f>N32/VLOOKUP(A32,'[16]geoMap (13)'!$A:$B,2,0)*VLOOKUP(A32,'[16]geoMap (13)'!$A:$C,3,0)</f>
        <v>459.58971801881802</v>
      </c>
      <c r="P32" s="1">
        <f>O32/VLOOKUP(A32,'[17]geoMap (14)'!$A:$B,2,0)*VLOOKUP(A32,'[17]geoMap (14)'!$A:$C,3,0)</f>
        <v>145.13359516383727</v>
      </c>
      <c r="Q32" s="1">
        <f>P32/VLOOKUP(A32,'[18]geoMap (15)'!$A:$B,2,0)*VLOOKUP(A32,'[18]geoMap (15)'!$A:$C,3,0)</f>
        <v>485.88203598328124</v>
      </c>
      <c r="R32" s="1">
        <f>Q32/VLOOKUP(A32,'[19]geoMap (16)'!$A:$B,2,0)*VLOOKUP(A32,'[19]geoMap (16)'!$A:$C,3,0)</f>
        <v>526.37220564855477</v>
      </c>
      <c r="S32" s="1">
        <f>R32/VLOOKUP(A32,'[20]geoMap (17)'!$A:$B,2,0)*VLOOKUP(A32,'[20]geoMap (17)'!$A:$C,3,0)</f>
        <v>526.37220564855477</v>
      </c>
      <c r="T32" s="1">
        <f>S32/VLOOKUP(A32,'[21]geoMap (18)'!$A:$B,2,0)*VLOOKUP(A32,'[21]geoMap (18)'!$A:$C,3,0)</f>
        <v>85.688498593950797</v>
      </c>
      <c r="U32" s="1">
        <f>T32/VLOOKUP(A32,'[22]geoMap (19)'!$A:$B,2,0)*VLOOKUP(A32,'[22]geoMap (19)'!$A:$C,3,0)</f>
        <v>92.829206810113376</v>
      </c>
      <c r="V32" s="1">
        <f>U32/VLOOKUP(A32,'[23]geoMap (20)'!$A:$B,2,0)*VLOOKUP(A32,'[23]geoMap (20)'!$A:$C,3,0)</f>
        <v>79.07673172713362</v>
      </c>
      <c r="W32" s="1">
        <f>V32/VLOOKUP(A32,'[24]geoMap (21)'!$A:$B,2,0)*VLOOKUP(A32,'[24]geoMap (21)'!$A:$C,3,0)</f>
        <v>59.654376566083265</v>
      </c>
      <c r="X32" s="1">
        <f>W32/VLOOKUP(A32,'[25]geoMap (22)'!$A:$B,2,0)*VLOOKUP(A32,'[25]geoMap (22)'!$A:$C,3,0)</f>
        <v>18.838224178763134</v>
      </c>
      <c r="Y32" s="1">
        <f>X32/VLOOKUP(A32,'[26]geoMap (23)'!$A:$B,2,0)*VLOOKUP(A32,'[26]geoMap (23)'!$A:$C,3,0)</f>
        <v>48.441147888248047</v>
      </c>
      <c r="Z32" s="1">
        <f>Y32/VLOOKUP(A32,'[27]geoMap (24)'!$A:$B,2,0)*VLOOKUP(A32,'[27]geoMap (24)'!$A:$C,3,0)</f>
        <v>59.205847418969839</v>
      </c>
      <c r="AA32" s="1">
        <f>Z32/VLOOKUP(A32,'[28]geoMap (25)'!$A:$B,2,0)*VLOOKUP(A32,'[28]geoMap (25)'!$A:$C,3,0)</f>
        <v>44.66406033360883</v>
      </c>
      <c r="AB32" s="1">
        <f>AA32*VLOOKUP(A32,'[29]geoMap (26)'!$A:$B,2,0)*VLOOKUP(A32,'[29]geoMap (26)'!$A:$C,3,0)</f>
        <v>11.161548677368847</v>
      </c>
      <c r="AC32" s="1">
        <f>AB32/VLOOKUP(A32,'[30]geoMap (27)'!$A:$B,2,0)*VLOOKUP(A32,'[30]geoMap (27)'!$A:$C,3,0)</f>
        <v>12.586427231926573</v>
      </c>
      <c r="AD32" s="1">
        <f>AC32/VLOOKUP(A32,'[31]geoMap (28)'!$A:$B,2,0)*VLOOKUP(A32,'[31]geoMap (28)'!$A:$C,3,0)</f>
        <v>8.7465002798133806</v>
      </c>
      <c r="AE32" s="1">
        <f>AD32/VLOOKUP(A32,'[32]geoMap (29)'!$A:$B,2,0)*VLOOKUP(A32,'[32]geoMap (29)'!$A:$C,3,0)</f>
        <v>5.3607582360146528</v>
      </c>
      <c r="AF32" s="1">
        <f>AE32/VLOOKUP(A32,'[33]geoMap (30)'!$A:$B,2,0)*VLOOKUP(A32,'[33]geoMap (30)'!$A:$C,3,0)</f>
        <v>5.1505324228376077</v>
      </c>
      <c r="AG32" s="1">
        <f>AF32/VLOOKUP(A32,'[34]geoMap (31)'!$A:$B,2,0)*VLOOKUP(A32,'[34]geoMap (31)'!$A:$C,3,0)</f>
        <v>3.2929633523060113</v>
      </c>
      <c r="AH32" s="1">
        <f>AG32/VLOOKUP(A32,'[35]geoMap (32)'!$A:$B,2,0)*VLOOKUP(A32,'[35]geoMap (32)'!$A:$C,3,0)</f>
        <v>4.0247329861517915</v>
      </c>
      <c r="AI32" s="1">
        <f>AH32/VLOOKUP(A32,'[36]geoMap (33)'!$A:$B,2,0)*VLOOKUP(A32,'[36]geoMap (33)'!$A:$C,3,0)</f>
        <v>8.5525575955725568</v>
      </c>
      <c r="AJ32" s="1">
        <f>AI32/VLOOKUP(A32,'[37]geoMap (34)'!$A:$B,2,0)*VLOOKUP(A32,'[37]geoMap (34)'!$A:$C,3,0)</f>
        <v>3.3259946205004396</v>
      </c>
      <c r="AK32" s="1">
        <f>AJ32/VLOOKUP(A32,'[38]geoMap (35)'!$A:$B,2,0)*VLOOKUP(A32,'[38]geoMap (35)'!$A:$C,3,0)</f>
        <v>8.9925039739456309</v>
      </c>
      <c r="AL32" s="1">
        <f>AK32/VLOOKUP(A32,'[39]geoMap (36)'!$A:$B,2,0)*VLOOKUP(A32,'[39]geoMap (36)'!$A:$C,3,0)</f>
        <v>1.4638959957585913</v>
      </c>
      <c r="AM32" s="1">
        <f>AL32/VLOOKUP(A32,'[40]geoMap (37)'!$A:$B,2,0)*VLOOKUP(A32,'[40]geoMap (37)'!$A:$C,3,0)</f>
        <v>2.8416804623549128</v>
      </c>
      <c r="AN32" s="1">
        <f>AM32/VLOOKUP(A32,'[41]geoMap (38)'!$A:$B,2,0)*VLOOKUP(A32,'[41]geoMap (38)'!$A:$C,3,0)</f>
        <v>6.3250307065319022</v>
      </c>
      <c r="AO32" s="1">
        <f>AN32/VLOOKUP(A32,'[42]geoMap (39)'!$A:$B,2,0)*VLOOKUP(A32,'[42]geoMap (39)'!$A:$C,3,0)</f>
        <v>2.976485038367954</v>
      </c>
      <c r="AP32" s="1">
        <f>AO32/VLOOKUP(A32,'[43]geoMap (40)'!$A:$B,2,0)*VLOOKUP(A32,'[43]geoMap (40)'!$A:$C,3,0)</f>
        <v>6.0431665930500875</v>
      </c>
      <c r="AQ32" s="1">
        <f>AP32/VLOOKUP(A32,'[44]geoMap (41)'!$A:$B,2,0)*VLOOKUP(A32,'[44]geoMap (41)'!$A:$C,3,0)</f>
        <v>5.3590345259123415</v>
      </c>
      <c r="AR32" s="1">
        <f>AQ32/VLOOKUP(A32,'[45]geoMap (42)'!$A:$B,2,0)*VLOOKUP(A32,'[45]geoMap (42)'!$A:$C,3,0)</f>
        <v>1.2570574813868454</v>
      </c>
      <c r="AS32" s="1">
        <f>AR32/VLOOKUP(A32,'[46]geoMap (43)'!$A:$B,2,0)*VLOOKUP(A32,'[46]geoMap (43)'!$A:$C,3,0)</f>
        <v>0.64757506616898097</v>
      </c>
      <c r="AT32" s="1" t="e">
        <f>AS32/VLOOKUP(A32,'[47]geoMap (44)'!$A:$B,2,0)*VLOOKUP(A32,'[47]geoMap (44)'!$A:$C,3,0)</f>
        <v>#REF!</v>
      </c>
      <c r="AU32" s="1">
        <f>AN32/VLOOKUP(A32,'[85]geoMap (133)'!$A:$B,2,0)*VLOOKUP(A32,'[85]geoMap (133)'!$A:$C,3,0)</f>
        <v>0.40372536424671718</v>
      </c>
      <c r="AV32" s="1">
        <f>AU32/VLOOKUP(A32,'[49]geoMap (46)'!$A:$B,2,0)*VLOOKUP(A32,'[49]geoMap (46)'!$A:$C,3,0)</f>
        <v>0.53517083167588086</v>
      </c>
      <c r="AW32" s="1">
        <f>AV32/VLOOKUP(A32,'[50]geoMap (47)'!$A:$B,2,0)*VLOOKUP(A32,'[50]geoMap (47)'!$A:$C,3,0)</f>
        <v>5.9463425741764546E-2</v>
      </c>
      <c r="AX32" s="1">
        <f>AW32/VLOOKUP(A32,'[51]geoMap (48)'!$A:$B,2,0)*VLOOKUP(A32,'[51]geoMap (48)'!$A:$C,3,0)</f>
        <v>0.21082487308443795</v>
      </c>
      <c r="AY32" s="1">
        <f>AX32/VLOOKUP(A32,'[52]geoMap (49)'!$A:$B,2,0)*VLOOKUP(A32,'[52]geoMap (49)'!$A:$C,3,0)</f>
        <v>0.51615744789638263</v>
      </c>
      <c r="AZ32" s="1" t="e">
        <f>AY32/VLOOKUP(A32,'[53]geoMap (50)'!$A:$B,2,0)*VLOOKUP(A32,'[53]geoMap (50)'!$A:$C,3,0)</f>
        <v>#REF!</v>
      </c>
      <c r="BA32" s="1">
        <f>AN32/VLOOKUP(A32,'[71]geoMap (143)'!$A:$B,2,0)*VLOOKUP(A32,'[71]geoMap (143)'!$A:$C,3,0)</f>
        <v>0.47607758006154111</v>
      </c>
      <c r="BB32" s="1">
        <f>BA32/VLOOKUP(A32,'[55]geoMap (52)'!$A:$B,2,0)*VLOOKUP(A32,'[55]geoMap (52)'!$A:$C,3,0)</f>
        <v>0.47607758006154111</v>
      </c>
      <c r="BC32" s="1">
        <f>BB32/VLOOKUP(A32,'[56]geoMap (53)'!$A:$B,2,0)*VLOOKUP(A32,'[56]geoMap (53)'!$A:$C,3,0)</f>
        <v>0.15869252668718037</v>
      </c>
      <c r="BD32" s="1" t="e">
        <f>BC32/VLOOKUP(A32,'[57]geoMap (54)'!$A:$B,2,0)*VLOOKUP(A32,'[57]geoMap (54)'!$A:$C,3,0)</f>
        <v>#REF!</v>
      </c>
      <c r="BE32" s="1">
        <f>AN32/VLOOKUP(A32,'[91]geoMap (148)'!$A:$B,2,0)*VLOOKUP(A32,'[91]geoMap (148)'!$A:$C,3,0)</f>
        <v>6.388919905587781E-2</v>
      </c>
      <c r="BF32" s="1" t="e">
        <f>BE32/VLOOKUP(A32,'[59]geoMap (56)'!$A:$B,2,0)*VLOOKUP(A32,'[59]geoMap (56)'!$A:$C,3,0)</f>
        <v>#REF!</v>
      </c>
      <c r="BG32" s="1" t="e">
        <f>AN32/VLOOKUP(A32,'[93]geoMap (152)'!$A:$B,2,0)*VLOOKUP(A32,'[93]geoMap (152)'!$A:$C,3,0)</f>
        <v>#REF!</v>
      </c>
      <c r="BH32" s="1" t="e">
        <f>AN32/VLOOKUP(A32,'[94]geoMap (154)'!$A:$B,2,0)*VLOOKUP(A32,'[94]geoMap (154)'!$A:$C,3,0)</f>
        <v>#REF!</v>
      </c>
      <c r="BI32" s="1" t="e">
        <f>AN32/VLOOKUP(A32,'[76]geoMap (156)'!$A:$B,2,0)*VLOOKUP(A32,'[76]geoMap (156)'!$A:$C,3,0)</f>
        <v>#REF!</v>
      </c>
      <c r="BJ32" s="1" t="e">
        <f>AN32/VLOOKUP(A32,'[77]geoMap (158)'!$A:$B,2,0)*VLOOKUP(A32,'[77]geoMap (158)'!$A:$C,3,0)</f>
        <v>#REF!</v>
      </c>
      <c r="BK32" s="1" t="e">
        <f>AN32/VLOOKUP(A32,'[78]geoMap (160)'!$A:$B,2,0)*VLOOKUP(A32,'[78]geoMap (160)'!$A:$C,3,0)</f>
        <v>#REF!</v>
      </c>
      <c r="BL32" s="1" t="e">
        <f>AN32/VLOOKUP(A32,'[79]geoMap (162)'!$A:$B,2,0)*VLOOKUP(A32,'[79]geoMap (162)'!$A:$C,3,0)</f>
        <v>#REF!</v>
      </c>
      <c r="BM32" s="1" t="e">
        <f>AN32/VLOOKUP(A32,'[80]geoMap (164)'!$A:$B,2,0)*VLOOKUP(A32,'[80]geoMap (164)'!$A:$C,3,0)</f>
        <v>#REF!</v>
      </c>
      <c r="BN32" s="1" t="e">
        <f>AN32/VLOOKUP(A32,'[81]geoMap (166)'!$A:$B,2,0)*VLOOKUP(A32,'[81]geoMap (166)'!$A:$C,3,0)</f>
        <v>#REF!</v>
      </c>
      <c r="BO32" s="1" t="e">
        <f>AN32/VLOOKUP(A32,'[82]geoMap (168)'!$A:$B,2,0)*VLOOKUP(A32,'[82]geoMap (168)'!$A:$C,3,0)</f>
        <v>#REF!</v>
      </c>
      <c r="BP32" s="1" t="e">
        <f>AN32/VLOOKUP(A32,'[83]geoMap (170)'!$A:$B,2,0)*VLOOKUP(A32,'[83]geoMap (170)'!$A:$C,3,0)</f>
        <v>#REF!</v>
      </c>
    </row>
    <row r="33" spans="1:68" x14ac:dyDescent="0.2">
      <c r="A33" s="1" t="s">
        <v>112</v>
      </c>
      <c r="B33" s="1">
        <f>VLOOKUP(A33,[3]geoMap!$A:$B,2,0)*Notes!$C$6</f>
        <v>5000</v>
      </c>
      <c r="C33" s="1">
        <f>B33/VLOOKUP(A33,'[4]geoMap (1)'!$A:$B,2,0)*VLOOKUP(A33,'[4]geoMap (1)'!$A:$C,3,0)</f>
        <v>6904.7619047619046</v>
      </c>
      <c r="D33" s="1">
        <f>C33/VLOOKUP(A33,'[5]geoMap (2)'!$A:$B,2,0)*VLOOKUP(A33,'[5]geoMap (2)'!$A:$C,3,0)</f>
        <v>6633.986928104574</v>
      </c>
      <c r="E33" s="1">
        <f>D33/VLOOKUP(A33,'[6]geoMap (3)'!$A:$B,2,0)*VLOOKUP(A33,'[6]geoMap (3)'!$A:$C,3,0)</f>
        <v>3267.486098917178</v>
      </c>
      <c r="F33" s="1">
        <f>E33/VLOOKUP(A33,'[7]geoMap (4)'!$A:$B,2,0)*VLOOKUP(A33,'[7]geoMap (4)'!$A:$C,3,0)</f>
        <v>2783.4140842627812</v>
      </c>
      <c r="G33" s="1">
        <f>F33/VLOOKUP(A33,'[8]geoMap (5)'!$A:$B,2,0)*VLOOKUP(A33,'[8]geoMap (5)'!$A:$C,3,0)</f>
        <v>3689.6419256506629</v>
      </c>
      <c r="H33" s="1">
        <f>G33/VLOOKUP(A33,'[9]geoMap (6)'!$A:$B,2,0)*VLOOKUP(A33,'[9]geoMap (6)'!$A:$C,3,0)</f>
        <v>1817.2863215891325</v>
      </c>
      <c r="I33" s="1">
        <f>H33/VLOOKUP(A33,'[10]geoMap (7)'!$A:$B,2,0)*VLOOKUP(A33,'[10]geoMap (7)'!$A:$C,3,0)</f>
        <v>2725.9294823836985</v>
      </c>
      <c r="J33" s="1">
        <f>I33/VLOOKUP(A33,'[11]geoMap (8)'!$A:$B,2,0)*VLOOKUP(A33,'[11]geoMap (8)'!$A:$C,3,0)</f>
        <v>1224.6929558535458</v>
      </c>
      <c r="K33" s="1">
        <f>J33/VLOOKUP(A33,'[12]geoMap (9)'!$A:$B,2,0)*VLOOKUP(A33,'[12]geoMap (9)'!$A:$C,3,0)</f>
        <v>1043.2569623937611</v>
      </c>
      <c r="L33" s="1">
        <f>K33/VLOOKUP(A33,'[13]geoMap (10)'!$A:$B,2,0)*VLOOKUP(A33,'[13]geoMap (10)'!$A:$C,3,0)</f>
        <v>561.75374898125597</v>
      </c>
      <c r="M33" s="1">
        <f>L33/VLOOKUP(A33,'[14]geoMap (11)'!$A:$B,2,0)*VLOOKUP(A33,'[14]geoMap (11)'!$A:$C,3,0)</f>
        <v>584.68247342947052</v>
      </c>
      <c r="N33" s="1">
        <f>M33/VLOOKUP(A33,'[15]geoMap (12)'!$A:$B,2,0)*VLOOKUP(A33,'[15]geoMap (12)'!$A:$C,3,0)</f>
        <v>608.54706418169394</v>
      </c>
      <c r="O33" s="1">
        <f>N33/VLOOKUP(A33,'[16]geoMap (13)'!$A:$B,2,0)*VLOOKUP(A33,'[16]geoMap (13)'!$A:$C,3,0)</f>
        <v>327.6791884055275</v>
      </c>
      <c r="P33" s="1">
        <f>O33/VLOOKUP(A33,'[17]geoMap (14)'!$A:$B,2,0)*VLOOKUP(A33,'[17]geoMap (14)'!$A:$C,3,0)</f>
        <v>209.49980898058314</v>
      </c>
      <c r="Q33" s="1">
        <f>P33/VLOOKUP(A33,'[18]geoMap (15)'!$A:$B,2,0)*VLOOKUP(A33,'[18]geoMap (15)'!$A:$C,3,0)</f>
        <v>218.05082159203553</v>
      </c>
      <c r="R33" s="1">
        <f>Q33/VLOOKUP(A33,'[19]geoMap (16)'!$A:$B,2,0)*VLOOKUP(A33,'[19]geoMap (16)'!$A:$C,3,0)</f>
        <v>107.39816585876376</v>
      </c>
      <c r="S33" s="1">
        <f>R33/VLOOKUP(A33,'[20]geoMap (17)'!$A:$B,2,0)*VLOOKUP(A33,'[20]geoMap (17)'!$A:$C,3,0)</f>
        <v>131.26442493848904</v>
      </c>
      <c r="T33" s="1">
        <f>S33/VLOOKUP(A33,'[21]geoMap (18)'!$A:$B,2,0)*VLOOKUP(A33,'[21]geoMap (18)'!$A:$C,3,0)</f>
        <v>91.21765122844154</v>
      </c>
      <c r="U33" s="1">
        <f>T33/VLOOKUP(A33,'[22]geoMap (19)'!$A:$B,2,0)*VLOOKUP(A33,'[22]geoMap (19)'!$A:$C,3,0)</f>
        <v>77.703925120524275</v>
      </c>
      <c r="V33" s="1">
        <f>U33/VLOOKUP(A33,'[23]geoMap (20)'!$A:$B,2,0)*VLOOKUP(A33,'[23]geoMap (20)'!$A:$C,3,0)</f>
        <v>63.5759387349744</v>
      </c>
      <c r="W33" s="1">
        <f>V33/VLOOKUP(A33,'[24]geoMap (21)'!$A:$B,2,0)*VLOOKUP(A33,'[24]geoMap (21)'!$A:$C,3,0)</f>
        <v>28.563102909916037</v>
      </c>
      <c r="X33" s="1">
        <f>W33/VLOOKUP(A33,'[25]geoMap (22)'!$A:$B,2,0)*VLOOKUP(A33,'[25]geoMap (22)'!$A:$C,3,0)</f>
        <v>55.446023295719364</v>
      </c>
      <c r="Y33" s="1">
        <f>X33/VLOOKUP(A33,'[26]geoMap (23)'!$A:$B,2,0)*VLOOKUP(A33,'[26]geoMap (23)'!$A:$C,3,0)</f>
        <v>40.150568593451951</v>
      </c>
      <c r="Z33" s="1">
        <f>Y33/VLOOKUP(A33,'[27]geoMap (24)'!$A:$B,2,0)*VLOOKUP(A33,'[27]geoMap (24)'!$A:$C,3,0)</f>
        <v>40.150568593451951</v>
      </c>
      <c r="AA33" s="1">
        <f>Z33/VLOOKUP(A33,'[28]geoMap (25)'!$A:$B,2,0)*VLOOKUP(A33,'[28]geoMap (25)'!$A:$C,3,0)</f>
        <v>26.767045728967972</v>
      </c>
      <c r="AB33" s="1">
        <f>AA33*VLOOKUP(A33,'[29]geoMap (26)'!$A:$B,2,0)*VLOOKUP(A33,'[29]geoMap (26)'!$A:$C,3,0)</f>
        <v>5.5113347155945043</v>
      </c>
      <c r="AC33" s="1">
        <f>AB33/VLOOKUP(A33,'[30]geoMap (27)'!$A:$B,2,0)*VLOOKUP(A33,'[30]geoMap (27)'!$A:$C,3,0)</f>
        <v>2.5935692779268256</v>
      </c>
      <c r="AD33" s="1">
        <f>AC33/VLOOKUP(A33,'[31]geoMap (28)'!$A:$B,2,0)*VLOOKUP(A33,'[31]geoMap (28)'!$A:$C,3,0)</f>
        <v>5.5113347155945043</v>
      </c>
      <c r="AE33" s="1">
        <f>AD33/VLOOKUP(A33,'[32]geoMap (29)'!$A:$B,2,0)*VLOOKUP(A33,'[32]geoMap (29)'!$A:$C,3,0)</f>
        <v>3.377914825686954</v>
      </c>
      <c r="AF33" s="1">
        <f>AE33/VLOOKUP(A33,'[33]geoMap (30)'!$A:$B,2,0)*VLOOKUP(A33,'[33]geoMap (30)'!$A:$C,3,0)</f>
        <v>2.2519432171246363</v>
      </c>
      <c r="AG33" s="1">
        <f>AF33/VLOOKUP(A33,'[34]geoMap (31)'!$A:$B,2,0)*VLOOKUP(A33,'[34]geoMap (31)'!$A:$C,3,0)</f>
        <v>1.9970062491482621</v>
      </c>
      <c r="AH33" s="1">
        <f>AG33/VLOOKUP(A33,'[35]geoMap (32)'!$A:$B,2,0)*VLOOKUP(A33,'[35]geoMap (32)'!$A:$C,3,0)</f>
        <v>1.9970062491482621</v>
      </c>
      <c r="AI33" s="1">
        <f>AH33/VLOOKUP(A33,'[36]geoMap (33)'!$A:$B,2,0)*VLOOKUP(A33,'[36]geoMap (33)'!$A:$C,3,0)</f>
        <v>2.2519432171246363</v>
      </c>
      <c r="AJ33" s="1">
        <f>AI33/VLOOKUP(A33,'[37]geoMap (34)'!$A:$B,2,0)*VLOOKUP(A33,'[37]geoMap (34)'!$A:$C,3,0)</f>
        <v>1.3802232621086481</v>
      </c>
      <c r="AK33" s="1">
        <f>AJ33/VLOOKUP(A33,'[38]geoMap (35)'!$A:$B,2,0)*VLOOKUP(A33,'[38]geoMap (35)'!$A:$C,3,0)</f>
        <v>2.2519432171246363</v>
      </c>
      <c r="AL33" s="1" t="e">
        <f>Z33/VLOOKUP(A33,'[114]geoMap (119)'!$A:$B,2,0)*VLOOKUP(A33,'[114]geoMap (119)'!$A:$C,3,0)</f>
        <v>#REF!</v>
      </c>
      <c r="AM33" s="1">
        <f>AA33/VLOOKUP(A33,'[125]geoMap (120)'!$A:$B,2,0)*VLOOKUP(A33,'[125]geoMap (120)'!$A:$C,3,0)</f>
        <v>5.0984849007558051</v>
      </c>
      <c r="AN33" s="1">
        <f>AM33/VLOOKUP(A33,'[41]geoMap (38)'!$A:$B,2,0)*VLOOKUP(A33,'[41]geoMap (38)'!$A:$C,3,0)</f>
        <v>19.180014626652792</v>
      </c>
      <c r="AO33" s="1">
        <f>AN33/VLOOKUP(A33,'[42]geoMap (39)'!$A:$B,2,0)*VLOOKUP(A33,'[42]geoMap (39)'!$A:$C,3,0)</f>
        <v>7.4588945770316428</v>
      </c>
      <c r="AP33" s="1">
        <f>AO33/VLOOKUP(A33,'[43]geoMap (40)'!$A:$B,2,0)*VLOOKUP(A33,'[43]geoMap (40)'!$A:$C,3,0)</f>
        <v>9.1164267052608974</v>
      </c>
      <c r="AQ33" s="1" t="e">
        <f>AF33/VLOOKUP(A33,'[99]geoMap (126)'!$A:$B,2,0)*VLOOKUP(A33,'[99]geoMap (126)'!$A:$C,3,0)</f>
        <v>#REF!</v>
      </c>
      <c r="AR33" s="1">
        <f>AA33/VLOOKUP(A33,'[100]geoMap (128)'!$A:$B,2,0)*VLOOKUP(A33,'[100]geoMap (128)'!$A:$C,3,0)</f>
        <v>12.596256813631985</v>
      </c>
      <c r="AS33" s="1">
        <f>AR33/VLOOKUP(A33,'[46]geoMap (43)'!$A:$B,2,0)*VLOOKUP(A33,'[46]geoMap (43)'!$A:$C,3,0)</f>
        <v>2.3992870121203782</v>
      </c>
      <c r="AT33" s="1" t="e">
        <f>AC33/VLOOKUP(A33,'[84]geoMap (131)'!$A:$B,2,0)*VLOOKUP(A33,'[84]geoMap (131)'!$A:$C,3,0)</f>
        <v>#REF!</v>
      </c>
      <c r="AU33" s="1">
        <f>AN33/VLOOKUP(A33,'[85]geoMap (133)'!$A:$B,2,0)*VLOOKUP(A33,'[85]geoMap (133)'!$A:$C,3,0)</f>
        <v>5.4097477152097619</v>
      </c>
      <c r="AV33" s="1">
        <f>AU33/VLOOKUP(A33,'[49]geoMap (46)'!$A:$B,2,0)*VLOOKUP(A33,'[49]geoMap (46)'!$A:$C,3,0)</f>
        <v>0.95466136150760494</v>
      </c>
      <c r="AW33" s="1" t="e">
        <f>AN33/VLOOKUP(A33,'[87]geoMap (137)'!$A:$B,2,0)*VLOOKUP(A33,'[87]geoMap (137)'!$A:$C,3,0)</f>
        <v>#REF!</v>
      </c>
      <c r="AX33" s="1" t="e">
        <f>AN33/VLOOKUP(A33,'[70]geoMap (138)'!$A:$B,2,0)*VLOOKUP(A33,'[70]geoMap (138)'!$A:$C,3,0)</f>
        <v>#REF!</v>
      </c>
      <c r="AY33" s="1">
        <f>AN33/VLOOKUP(A33,'[88]geoMap (140)'!$A:$B,2,0)*VLOOKUP(A33,'[88]geoMap (140)'!$A:$C,3,0)</f>
        <v>3.3847084635269629</v>
      </c>
      <c r="AZ33" s="1" t="e">
        <f>AY33/VLOOKUP(A33,'[53]geoMap (50)'!$A:$B,2,0)*VLOOKUP(A33,'[53]geoMap (50)'!$A:$C,3,0)</f>
        <v>#REF!</v>
      </c>
      <c r="BA33" s="1" t="e">
        <f>AN33/VLOOKUP(A33,'[71]geoMap (143)'!$A:$B,2,0)*VLOOKUP(A33,'[71]geoMap (143)'!$A:$C,3,0)</f>
        <v>#REF!</v>
      </c>
      <c r="BB33" s="1" t="e">
        <f>AN33/VLOOKUP(A33,'[90]geoMap (144)'!$A:$B,2,0)*VLOOKUP(A33,'[90]geoMap (144)'!$A:$C,3,0)</f>
        <v>#REF!</v>
      </c>
      <c r="BC33" s="1" t="e">
        <f>AN33/VLOOKUP(A33,'[72]geoMap (146)'!$A:$B,2,0)*VLOOKUP(A33,'[72]geoMap (146)'!$A:$C,3,0)</f>
        <v>#REF!</v>
      </c>
      <c r="BD33" s="1" t="e">
        <f>AN33/VLOOKUP(A33,'[73]geoMap (147)'!$A:$B,2,0)*VLOOKUP(A33,'[73]geoMap (147)'!$A:$C,3,0)</f>
        <v>#REF!</v>
      </c>
      <c r="BE33" s="1" t="e">
        <f>AN33/VLOOKUP(A33,'[91]geoMap (148)'!$A:$B,2,0)*VLOOKUP(A33,'[91]geoMap (148)'!$A:$C,3,0)</f>
        <v>#REF!</v>
      </c>
      <c r="BF33" s="1" t="e">
        <f>AN33/VLOOKUP(A33,'[75]geoMap (150)'!$A:$B,2,0)*VLOOKUP(A33,'[75]geoMap (150)'!$A:$C,3,0)</f>
        <v>#REF!</v>
      </c>
      <c r="BG33" s="1" t="e">
        <f>AN33/VLOOKUP(A33,'[93]geoMap (152)'!$A:$B,2,0)*VLOOKUP(A33,'[93]geoMap (152)'!$A:$C,3,0)</f>
        <v>#REF!</v>
      </c>
      <c r="BH33" s="1" t="e">
        <f>AN33/VLOOKUP(A33,'[94]geoMap (154)'!$A:$B,2,0)*VLOOKUP(A33,'[94]geoMap (154)'!$A:$C,3,0)</f>
        <v>#REF!</v>
      </c>
      <c r="BI33" s="1" t="e">
        <f>AN33/VLOOKUP(A33,'[76]geoMap (156)'!$A:$B,2,0)*VLOOKUP(A33,'[76]geoMap (156)'!$A:$C,3,0)</f>
        <v>#REF!</v>
      </c>
      <c r="BJ33" s="1" t="e">
        <f>AN33/VLOOKUP(A33,'[77]geoMap (158)'!$A:$B,2,0)*VLOOKUP(A33,'[77]geoMap (158)'!$A:$C,3,0)</f>
        <v>#REF!</v>
      </c>
      <c r="BK33" s="1" t="e">
        <f>AN33/VLOOKUP(A33,'[78]geoMap (160)'!$A:$B,2,0)*VLOOKUP(A33,'[78]geoMap (160)'!$A:$C,3,0)</f>
        <v>#REF!</v>
      </c>
      <c r="BL33" s="1" t="e">
        <f>AN33/VLOOKUP(A33,'[79]geoMap (162)'!$A:$B,2,0)*VLOOKUP(A33,'[79]geoMap (162)'!$A:$C,3,0)</f>
        <v>#REF!</v>
      </c>
      <c r="BM33" s="1" t="e">
        <f>AN33/VLOOKUP(A33,'[80]geoMap (164)'!$A:$B,2,0)*VLOOKUP(A33,'[80]geoMap (164)'!$A:$C,3,0)</f>
        <v>#REF!</v>
      </c>
      <c r="BN33" s="1" t="e">
        <f>AN33/VLOOKUP(A33,'[81]geoMap (166)'!$A:$B,2,0)*VLOOKUP(A33,'[81]geoMap (166)'!$A:$C,3,0)</f>
        <v>#REF!</v>
      </c>
      <c r="BO33" s="1" t="e">
        <f>AN33/VLOOKUP(A33,'[82]geoMap (168)'!$A:$B,2,0)*VLOOKUP(A33,'[82]geoMap (168)'!$A:$C,3,0)</f>
        <v>#REF!</v>
      </c>
      <c r="BP33" s="1" t="e">
        <f>AN33/VLOOKUP(A33,'[83]geoMap (170)'!$A:$B,2,0)*VLOOKUP(A33,'[83]geoMap (170)'!$A:$C,3,0)</f>
        <v>#REF!</v>
      </c>
    </row>
    <row r="34" spans="1:68" x14ac:dyDescent="0.2">
      <c r="A34" s="1" t="s">
        <v>117</v>
      </c>
      <c r="B34" s="1">
        <f>VLOOKUP(A34,[3]geoMap!$A:$B,2,0)*Notes!$C$6</f>
        <v>5000</v>
      </c>
      <c r="C34" s="1">
        <f>B34/VLOOKUP(A34,'[4]geoMap (1)'!$A:$B,2,0)*VLOOKUP(A34,'[4]geoMap (1)'!$A:$C,3,0)</f>
        <v>6904.7619047619046</v>
      </c>
      <c r="D34" s="1">
        <f>C34/VLOOKUP(A34,'[5]geoMap (2)'!$A:$B,2,0)*VLOOKUP(A34,'[5]geoMap (2)'!$A:$C,3,0)</f>
        <v>5649.3506493506493</v>
      </c>
      <c r="E34" s="1">
        <f>D34/VLOOKUP(A34,'[6]geoMap (3)'!$A:$B,2,0)*VLOOKUP(A34,'[6]geoMap (3)'!$A:$C,3,0)</f>
        <v>3766.2337662337663</v>
      </c>
      <c r="F34" s="1">
        <f>E34/VLOOKUP(A34,'[7]geoMap (4)'!$A:$B,2,0)*VLOOKUP(A34,'[7]geoMap (4)'!$A:$C,3,0)</f>
        <v>2727.2727272727275</v>
      </c>
      <c r="G34" s="1">
        <f>F34/VLOOKUP(A34,'[8]geoMap (5)'!$A:$B,2,0)*VLOOKUP(A34,'[8]geoMap (5)'!$A:$C,3,0)</f>
        <v>3766.2337662337663</v>
      </c>
      <c r="H34" s="1">
        <f>G34/VLOOKUP(A34,'[9]geoMap (6)'!$A:$B,2,0)*VLOOKUP(A34,'[9]geoMap (6)'!$A:$C,3,0)</f>
        <v>1692.0760399021269</v>
      </c>
      <c r="I34" s="1">
        <f>H34/VLOOKUP(A34,'[10]geoMap (7)'!$A:$B,2,0)*VLOOKUP(A34,'[10]geoMap (7)'!$A:$C,3,0)</f>
        <v>2646.5804726674291</v>
      </c>
      <c r="J34" s="1">
        <f>I34/VLOOKUP(A34,'[11]geoMap (8)'!$A:$B,2,0)*VLOOKUP(A34,'[11]geoMap (8)'!$A:$C,3,0)</f>
        <v>1134.2487740003269</v>
      </c>
      <c r="K34" s="1">
        <f>J34/VLOOKUP(A34,'[12]geoMap (9)'!$A:$B,2,0)*VLOOKUP(A34,'[12]geoMap (9)'!$A:$C,3,0)</f>
        <v>1005.8432524153842</v>
      </c>
      <c r="L34" s="1">
        <f>K34/VLOOKUP(A34,'[13]geoMap (10)'!$A:$B,2,0)*VLOOKUP(A34,'[13]geoMap (10)'!$A:$C,3,0)</f>
        <v>495.41533327921906</v>
      </c>
      <c r="M34" s="1">
        <f>L34/VLOOKUP(A34,'[14]geoMap (11)'!$A:$B,2,0)*VLOOKUP(A34,'[14]geoMap (11)'!$A:$C,3,0)</f>
        <v>630.52860599173334</v>
      </c>
      <c r="N34" s="1">
        <f>M34/VLOOKUP(A34,'[15]geoMap (12)'!$A:$B,2,0)*VLOOKUP(A34,'[15]geoMap (12)'!$A:$C,3,0)</f>
        <v>630.52860599173334</v>
      </c>
      <c r="O34" s="1">
        <f>N34/VLOOKUP(A34,'[16]geoMap (13)'!$A:$B,2,0)*VLOOKUP(A34,'[16]geoMap (13)'!$A:$C,3,0)</f>
        <v>354.67234087035001</v>
      </c>
      <c r="P34" s="1">
        <f>O34/VLOOKUP(A34,'[17]geoMap (14)'!$A:$B,2,0)*VLOOKUP(A34,'[17]geoMap (14)'!$A:$C,3,0)</f>
        <v>118.22411362345001</v>
      </c>
      <c r="Q34" s="1">
        <f>P34/VLOOKUP(A34,'[18]geoMap (15)'!$A:$B,2,0)*VLOOKUP(A34,'[18]geoMap (15)'!$A:$C,3,0)</f>
        <v>229.4938676219912</v>
      </c>
      <c r="R34" s="1">
        <f>Q34/VLOOKUP(A34,'[19]geoMap (16)'!$A:$B,2,0)*VLOOKUP(A34,'[19]geoMap (16)'!$A:$C,3,0)</f>
        <v>146.72558749602715</v>
      </c>
      <c r="S34" s="1">
        <f>R34/VLOOKUP(A34,'[20]geoMap (17)'!$A:$B,2,0)*VLOOKUP(A34,'[20]geoMap (17)'!$A:$C,3,0)</f>
        <v>110.68772390051171</v>
      </c>
      <c r="T34" s="1">
        <f>S34/VLOOKUP(A34,'[21]geoMap (18)'!$A:$B,2,0)*VLOOKUP(A34,'[21]geoMap (18)'!$A:$C,3,0)</f>
        <v>83.501265398631645</v>
      </c>
      <c r="U34" s="1">
        <f>T34/VLOOKUP(A34,'[22]geoMap (19)'!$A:$B,2,0)*VLOOKUP(A34,'[22]geoMap (19)'!$A:$C,3,0)</f>
        <v>80.226705971234324</v>
      </c>
      <c r="V34" s="1">
        <f>U34/VLOOKUP(A34,'[23]geoMap (20)'!$A:$B,2,0)*VLOOKUP(A34,'[23]geoMap (20)'!$A:$C,3,0)</f>
        <v>98.054862853730839</v>
      </c>
      <c r="W34" s="1">
        <f>V34/VLOOKUP(A34,'[24]geoMap (21)'!$A:$B,2,0)*VLOOKUP(A34,'[24]geoMap (21)'!$A:$C,3,0)</f>
        <v>50.513111167073461</v>
      </c>
      <c r="X34" s="1">
        <f>W34/VLOOKUP(A34,'[25]geoMap (22)'!$A:$B,2,0)*VLOOKUP(A34,'[25]geoMap (22)'!$A:$C,3,0)</f>
        <v>33.675407444715646</v>
      </c>
      <c r="Y34" s="1">
        <f>X34/VLOOKUP(A34,'[26]geoMap (23)'!$A:$B,2,0)*VLOOKUP(A34,'[26]geoMap (23)'!$A:$C,3,0)</f>
        <v>48.459732664346909</v>
      </c>
      <c r="Z34" s="1">
        <f>Y34/VLOOKUP(A34,'[27]geoMap (24)'!$A:$B,2,0)*VLOOKUP(A34,'[27]geoMap (24)'!$A:$C,3,0)</f>
        <v>26.093702203879101</v>
      </c>
      <c r="AA34" s="1">
        <f>Z34/VLOOKUP(A34,'[28]geoMap (25)'!$A:$B,2,0)*VLOOKUP(A34,'[28]geoMap (25)'!$A:$C,3,0)</f>
        <v>23.139698180798444</v>
      </c>
      <c r="AB34" s="1">
        <f>AA34*VLOOKUP(A34,'[29]geoMap (26)'!$A:$B,2,0)*VLOOKUP(A34,'[29]geoMap (26)'!$A:$C,3,0)</f>
        <v>5.3938636459441174</v>
      </c>
      <c r="AC34" s="1">
        <f>AB34/VLOOKUP(A34,'[30]geoMap (27)'!$A:$B,2,0)*VLOOKUP(A34,'[30]geoMap (27)'!$A:$C,3,0)</f>
        <v>3.0340483008435659</v>
      </c>
      <c r="AD34" s="1">
        <f>AC34/VLOOKUP(A34,'[31]geoMap (28)'!$A:$B,2,0)*VLOOKUP(A34,'[31]geoMap (28)'!$A:$C,3,0)</f>
        <v>4.9502893329552915</v>
      </c>
      <c r="AE34" s="1">
        <f>AD34/VLOOKUP(A34,'[32]geoMap (29)'!$A:$B,2,0)*VLOOKUP(A34,'[32]geoMap (29)'!$A:$C,3,0)</f>
        <v>3.8895130473220143</v>
      </c>
      <c r="AF34" s="1">
        <f>AE34/VLOOKUP(A34,'[33]geoMap (30)'!$A:$B,2,0)*VLOOKUP(A34,'[33]geoMap (30)'!$A:$C,3,0)</f>
        <v>1.6669341631380061</v>
      </c>
      <c r="AG34" s="1">
        <f>AF34/VLOOKUP(A34,'[34]geoMap (31)'!$A:$B,2,0)*VLOOKUP(A34,'[34]geoMap (31)'!$A:$C,3,0)</f>
        <v>2.1215525712665535</v>
      </c>
      <c r="AH34" s="1">
        <f>AG34/VLOOKUP(A34,'[35]geoMap (32)'!$A:$B,2,0)*VLOOKUP(A34,'[35]geoMap (32)'!$A:$C,3,0)</f>
        <v>1.6669341631380064</v>
      </c>
      <c r="AI34" s="1">
        <f>AH34/VLOOKUP(A34,'[36]geoMap (33)'!$A:$B,2,0)*VLOOKUP(A34,'[36]geoMap (33)'!$A:$C,3,0)</f>
        <v>2.2096569139271245</v>
      </c>
      <c r="AJ34" s="1">
        <f>AI34/VLOOKUP(A34,'[37]geoMap (34)'!$A:$B,2,0)*VLOOKUP(A34,'[37]geoMap (34)'!$A:$C,3,0)</f>
        <v>1.297735012941327</v>
      </c>
      <c r="AK34" s="1">
        <f>AJ34/VLOOKUP(A34,'[38]geoMap (35)'!$A:$B,2,0)*VLOOKUP(A34,'[38]geoMap (35)'!$A:$C,3,0)</f>
        <v>14.923952648825262</v>
      </c>
      <c r="AL34" s="1" t="e">
        <f>Z34/VLOOKUP(A34,'[114]geoMap (119)'!$A:$B,2,0)*VLOOKUP(A34,'[114]geoMap (119)'!$A:$C,3,0)</f>
        <v>#REF!</v>
      </c>
      <c r="AM34" s="1">
        <f>AA34/VLOOKUP(A34,'[125]geoMap (120)'!$A:$B,2,0)*VLOOKUP(A34,'[125]geoMap (120)'!$A:$C,3,0)</f>
        <v>6.5265815381739198</v>
      </c>
      <c r="AN34" s="1">
        <f>AM34/VLOOKUP(A34,'[41]geoMap (38)'!$A:$B,2,0)*VLOOKUP(A34,'[41]geoMap (38)'!$A:$C,3,0)</f>
        <v>11.112828024458297</v>
      </c>
      <c r="AO34" s="1">
        <f>AN34/VLOOKUP(A34,'[42]geoMap (39)'!$A:$B,2,0)*VLOOKUP(A34,'[42]geoMap (39)'!$A:$C,3,0)</f>
        <v>4.3216553428448936</v>
      </c>
      <c r="AP34" s="1">
        <f>AO34/VLOOKUP(A34,'[43]geoMap (40)'!$A:$B,2,0)*VLOOKUP(A34,'[43]geoMap (40)'!$A:$C,3,0)</f>
        <v>5.5002886181662287</v>
      </c>
      <c r="AQ34" s="1" t="e">
        <f>AP34/VLOOKUP(A34,'[44]geoMap (41)'!$A:$B,2,0)*VLOOKUP(A34,'[44]geoMap (41)'!$A:$C,3,0)</f>
        <v>#REF!</v>
      </c>
      <c r="AR34" s="1">
        <f>AA34/VLOOKUP(A34,'[100]geoMap (128)'!$A:$B,2,0)*VLOOKUP(A34,'[100]geoMap (128)'!$A:$C,3,0)</f>
        <v>9.9170135060564775</v>
      </c>
      <c r="AS34" s="1">
        <f>AR34/VLOOKUP(A34,'[46]geoMap (43)'!$A:$B,2,0)*VLOOKUP(A34,'[46]geoMap (43)'!$A:$C,3,0)</f>
        <v>11.641711507109777</v>
      </c>
      <c r="AT34" s="1" t="e">
        <f>AS34/VLOOKUP(A34,'[47]geoMap (44)'!$A:$B,2,0)*VLOOKUP(A34,'[47]geoMap (44)'!$A:$C,3,0)</f>
        <v>#REF!</v>
      </c>
      <c r="AU34" s="1">
        <f>AN34/VLOOKUP(A34,'[85]geoMap (133)'!$A:$B,2,0)*VLOOKUP(A34,'[85]geoMap (133)'!$A:$C,3,0)</f>
        <v>3.1343873915138785</v>
      </c>
      <c r="AV34" s="1">
        <f>AU34/VLOOKUP(A34,'[49]geoMap (46)'!$A:$B,2,0)*VLOOKUP(A34,'[49]geoMap (46)'!$A:$C,3,0)</f>
        <v>1.2189284300331751</v>
      </c>
      <c r="AW34" s="1">
        <f>AV34/VLOOKUP(A34,'[50]geoMap (47)'!$A:$B,2,0)*VLOOKUP(A34,'[50]geoMap (47)'!$A:$C,3,0)</f>
        <v>8.9388084869099504</v>
      </c>
      <c r="AX34" s="1" t="e">
        <f>AW34/VLOOKUP(A34,'[51]geoMap (48)'!$A:$B,2,0)*VLOOKUP(A34,'[51]geoMap (48)'!$A:$C,3,0)</f>
        <v>#REF!</v>
      </c>
      <c r="AY34" s="1">
        <f>AN34/VLOOKUP(A34,'[88]geoMap (140)'!$A:$B,2,0)*VLOOKUP(A34,'[88]geoMap (140)'!$A:$C,3,0)</f>
        <v>0.96633287169202575</v>
      </c>
      <c r="AZ34" s="1" t="e">
        <f>AN34/VLOOKUP(A34,'[89]geoMap (141)'!$A:$B,2,0)*VLOOKUP(A34,'[89]geoMap (141)'!$A:$C,3,0)</f>
        <v>#REF!</v>
      </c>
      <c r="BA34" s="1" t="e">
        <f>AN34/VLOOKUP(A34,'[71]geoMap (143)'!$A:$B,2,0)*VLOOKUP(A34,'[71]geoMap (143)'!$A:$C,3,0)</f>
        <v>#REF!</v>
      </c>
      <c r="BB34" s="1" t="e">
        <f>AN34/VLOOKUP(A34,'[90]geoMap (144)'!$A:$B,2,0)*VLOOKUP(A34,'[90]geoMap (144)'!$A:$C,3,0)</f>
        <v>#REF!</v>
      </c>
      <c r="BC34" s="1" t="e">
        <f>AN34/VLOOKUP(A34,'[72]geoMap (146)'!$A:$B,2,0)*VLOOKUP(A34,'[72]geoMap (146)'!$A:$C,3,0)</f>
        <v>#REF!</v>
      </c>
      <c r="BD34" s="1" t="e">
        <f>AN34/VLOOKUP(A34,'[73]geoMap (147)'!$A:$B,2,0)*VLOOKUP(A34,'[73]geoMap (147)'!$A:$C,3,0)</f>
        <v>#REF!</v>
      </c>
      <c r="BE34" s="1" t="e">
        <f>AN34/VLOOKUP(A34,'[91]geoMap (148)'!$A:$B,2,0)*VLOOKUP(A34,'[91]geoMap (148)'!$A:$C,3,0)</f>
        <v>#REF!</v>
      </c>
      <c r="BF34" s="1" t="e">
        <f>AN34/VLOOKUP(A34,'[75]geoMap (150)'!$A:$B,2,0)*VLOOKUP(A34,'[75]geoMap (150)'!$A:$C,3,0)</f>
        <v>#REF!</v>
      </c>
      <c r="BG34" s="1" t="e">
        <f>AN34/VLOOKUP(A34,'[93]geoMap (152)'!$A:$B,2,0)*VLOOKUP(A34,'[93]geoMap (152)'!$A:$C,3,0)</f>
        <v>#REF!</v>
      </c>
      <c r="BH34" s="1" t="e">
        <f>AN34/VLOOKUP(A34,'[94]geoMap (154)'!$A:$B,2,0)*VLOOKUP(A34,'[94]geoMap (154)'!$A:$C,3,0)</f>
        <v>#REF!</v>
      </c>
      <c r="BI34" s="1">
        <f>AN34/VLOOKUP(A34,'[76]geoMap (156)'!$A:$B,2,0)*VLOOKUP(A34,'[76]geoMap (156)'!$A:$C,3,0)</f>
        <v>0.70932944836967859</v>
      </c>
      <c r="BJ34" s="1" t="e">
        <f>BI34/VLOOKUP(A34,'[63]geoMap (60)'!$A:$B,2,0)*VLOOKUP(A34,'[63]geoMap (60)'!$A:$C,3,0)</f>
        <v>#REF!</v>
      </c>
      <c r="BK34" s="1" t="e">
        <f>AN34/VLOOKUP(A34,'[78]geoMap (160)'!$A:$B,2,0)*VLOOKUP(A34,'[78]geoMap (160)'!$A:$C,3,0)</f>
        <v>#REF!</v>
      </c>
      <c r="BL34" s="1" t="e">
        <f>AN34/VLOOKUP(A34,'[79]geoMap (162)'!$A:$B,2,0)*VLOOKUP(A34,'[79]geoMap (162)'!$A:$C,3,0)</f>
        <v>#REF!</v>
      </c>
      <c r="BM34" s="1" t="e">
        <f>AN34/VLOOKUP(A34,'[80]geoMap (164)'!$A:$B,2,0)*VLOOKUP(A34,'[80]geoMap (164)'!$A:$C,3,0)</f>
        <v>#REF!</v>
      </c>
      <c r="BN34" s="1" t="e">
        <f>AN34/VLOOKUP(A34,'[81]geoMap (166)'!$A:$B,2,0)*VLOOKUP(A34,'[81]geoMap (166)'!$A:$C,3,0)</f>
        <v>#REF!</v>
      </c>
      <c r="BO34" s="1" t="e">
        <f>AN34/VLOOKUP(A34,'[82]geoMap (168)'!$A:$B,2,0)*VLOOKUP(A34,'[82]geoMap (168)'!$A:$C,3,0)</f>
        <v>#REF!</v>
      </c>
      <c r="BP34" s="1" t="e">
        <f>AN34/VLOOKUP(A34,'[83]geoMap (170)'!$A:$B,2,0)*VLOOKUP(A34,'[83]geoMap (170)'!$A:$C,3,0)</f>
        <v>#REF!</v>
      </c>
    </row>
    <row r="35" spans="1:68" x14ac:dyDescent="0.2">
      <c r="A35" s="1" t="s">
        <v>99</v>
      </c>
      <c r="B35" s="1">
        <f>VLOOKUP(A35,[3]geoMap!$A:$B,2,0)*Notes!$C$6</f>
        <v>5000</v>
      </c>
      <c r="C35" s="1">
        <f>B35/VLOOKUP(A35,'[4]geoMap (1)'!$A:$B,2,0)*VLOOKUP(A35,'[4]geoMap (1)'!$A:$C,3,0)</f>
        <v>6363.6363636363649</v>
      </c>
      <c r="D35" s="1">
        <f>C35/VLOOKUP(A35,'[5]geoMap (2)'!$A:$B,2,0)*VLOOKUP(A35,'[5]geoMap (2)'!$A:$C,3,0)</f>
        <v>4242.4242424242429</v>
      </c>
      <c r="E35" s="1">
        <f>D35/VLOOKUP(A35,'[6]geoMap (3)'!$A:$B,2,0)*VLOOKUP(A35,'[6]geoMap (3)'!$A:$C,3,0)</f>
        <v>4076.0546642899585</v>
      </c>
      <c r="F35" s="1">
        <f>E35/VLOOKUP(A35,'[7]geoMap (4)'!$A:$B,2,0)*VLOOKUP(A35,'[7]geoMap (4)'!$A:$C,3,0)</f>
        <v>3202.6143790849674</v>
      </c>
      <c r="G35" s="1">
        <f>F35/VLOOKUP(A35,'[8]geoMap (5)'!$A:$B,2,0)*VLOOKUP(A35,'[8]geoMap (5)'!$A:$C,3,0)</f>
        <v>3469.4989106753819</v>
      </c>
      <c r="H35" s="1">
        <f>G35/VLOOKUP(A35,'[9]geoMap (6)'!$A:$B,2,0)*VLOOKUP(A35,'[9]geoMap (6)'!$A:$C,3,0)</f>
        <v>1558.7603801585051</v>
      </c>
      <c r="I35" s="1">
        <f>H35/VLOOKUP(A35,'[10]geoMap (7)'!$A:$B,2,0)*VLOOKUP(A35,'[10]geoMap (7)'!$A:$C,3,0)</f>
        <v>1327.8329164313191</v>
      </c>
      <c r="J35" s="1">
        <f>I35/VLOOKUP(A35,'[11]geoMap (8)'!$A:$B,2,0)*VLOOKUP(A35,'[11]geoMap (8)'!$A:$C,3,0)</f>
        <v>1275.7610373555808</v>
      </c>
      <c r="K35" s="1">
        <f>J35/VLOOKUP(A35,'[12]geoMap (9)'!$A:$B,2,0)*VLOOKUP(A35,'[12]geoMap (9)'!$A:$C,3,0)</f>
        <v>749.25648225645227</v>
      </c>
      <c r="L35" s="1">
        <f>K35/VLOOKUP(A35,'[13]geoMap (10)'!$A:$B,2,0)*VLOOKUP(A35,'[13]geoMap (10)'!$A:$C,3,0)</f>
        <v>664.43499369911797</v>
      </c>
      <c r="M35" s="1">
        <f>L35/VLOOKUP(A35,'[14]geoMap (11)'!$A:$B,2,0)*VLOOKUP(A35,'[14]geoMap (11)'!$A:$C,3,0)</f>
        <v>691.55478936030659</v>
      </c>
      <c r="N35" s="1">
        <f>M35/VLOOKUP(A35,'[15]geoMap (12)'!$A:$B,2,0)*VLOOKUP(A35,'[15]geoMap (12)'!$A:$C,3,0)</f>
        <v>521.69922706128398</v>
      </c>
      <c r="O35" s="1">
        <f>N35/VLOOKUP(A35,'[16]geoMap (13)'!$A:$B,2,0)*VLOOKUP(A35,'[16]geoMap (13)'!$A:$C,3,0)</f>
        <v>306.39478414710328</v>
      </c>
      <c r="P35" s="1">
        <f>O35/VLOOKUP(A35,'[17]geoMap (14)'!$A:$B,2,0)*VLOOKUP(A35,'[17]geoMap (14)'!$A:$C,3,0)</f>
        <v>172.34706608274558</v>
      </c>
      <c r="Q35" s="1">
        <f>P35/VLOOKUP(A35,'[18]geoMap (15)'!$A:$B,2,0)*VLOOKUP(A35,'[18]geoMap (15)'!$A:$C,3,0)</f>
        <v>269.56848797557643</v>
      </c>
      <c r="R35" s="1">
        <f>Q35/VLOOKUP(A35,'[19]geoMap (16)'!$A:$B,2,0)*VLOOKUP(A35,'[19]geoMap (16)'!$A:$C,3,0)</f>
        <v>179.71232531705095</v>
      </c>
      <c r="S35" s="1">
        <f>R35/VLOOKUP(A35,'[20]geoMap (17)'!$A:$B,2,0)*VLOOKUP(A35,'[20]geoMap (17)'!$A:$C,3,0)</f>
        <v>228.7247776762467</v>
      </c>
      <c r="T35" s="1">
        <f>S35/VLOOKUP(A35,'[21]geoMap (18)'!$A:$B,2,0)*VLOOKUP(A35,'[21]geoMap (18)'!$A:$C,3,0)</f>
        <v>140.18615405963507</v>
      </c>
      <c r="U35" s="1">
        <f>T35/VLOOKUP(A35,'[22]geoMap (19)'!$A:$B,2,0)*VLOOKUP(A35,'[22]geoMap (19)'!$A:$C,3,0)</f>
        <v>119.41783493968914</v>
      </c>
      <c r="V35" s="1">
        <f>U35/VLOOKUP(A35,'[23]geoMap (20)'!$A:$B,2,0)*VLOOKUP(A35,'[23]geoMap (20)'!$A:$C,3,0)</f>
        <v>53.651491059860348</v>
      </c>
      <c r="W35" s="1">
        <f>V35/VLOOKUP(A35,'[24]geoMap (21)'!$A:$B,2,0)*VLOOKUP(A35,'[24]geoMap (21)'!$A:$C,3,0)</f>
        <v>68.283715894367717</v>
      </c>
      <c r="X35" s="1">
        <f>W35/VLOOKUP(A35,'[25]geoMap (22)'!$A:$B,2,0)*VLOOKUP(A35,'[25]geoMap (22)'!$A:$C,3,0)</f>
        <v>98.261932628480366</v>
      </c>
      <c r="Y35" s="1">
        <f>X35/VLOOKUP(A35,'[26]geoMap (23)'!$A:$B,2,0)*VLOOKUP(A35,'[26]geoMap (23)'!$A:$C,3,0)</f>
        <v>60.225055481971843</v>
      </c>
      <c r="Z35" s="1">
        <f>Y35/VLOOKUP(A35,'[27]geoMap (24)'!$A:$B,2,0)*VLOOKUP(A35,'[27]geoMap (24)'!$A:$C,3,0)</f>
        <v>57.86328860032588</v>
      </c>
      <c r="AA35" s="1">
        <f>Z35/VLOOKUP(A35,'[28]geoMap (25)'!$A:$B,2,0)*VLOOKUP(A35,'[28]geoMap (25)'!$A:$C,3,0)</f>
        <v>36.994561564142778</v>
      </c>
      <c r="AB35" s="1">
        <f>AA35*VLOOKUP(A35,'[29]geoMap (26)'!$A:$B,2,0)*VLOOKUP(A35,'[29]geoMap (26)'!$A:$C,3,0)</f>
        <v>9.1894490925330654</v>
      </c>
      <c r="AC35" s="1">
        <f>AB35/VLOOKUP(A35,'[30]geoMap (27)'!$A:$B,2,0)*VLOOKUP(A35,'[30]geoMap (27)'!$A:$C,3,0)</f>
        <v>8.8290785398847103</v>
      </c>
      <c r="AD35" s="1">
        <f>AC35/VLOOKUP(A35,'[31]geoMap (28)'!$A:$B,2,0)*VLOOKUP(A35,'[31]geoMap (28)'!$A:$C,3,0)</f>
        <v>8.4828401657715826</v>
      </c>
      <c r="AE35" s="1">
        <f>AD35/VLOOKUP(A35,'[32]geoMap (29)'!$A:$B,2,0)*VLOOKUP(A35,'[32]geoMap (29)'!$A:$C,3,0)</f>
        <v>6.9405055901767492</v>
      </c>
      <c r="AF35" s="1">
        <f>AE35/VLOOKUP(A35,'[33]geoMap (30)'!$A:$B,2,0)*VLOOKUP(A35,'[33]geoMap (30)'!$A:$C,3,0)</f>
        <v>7.8265275804120789</v>
      </c>
      <c r="AG35" s="1">
        <f>AF35/VLOOKUP(A35,'[34]geoMap (31)'!$A:$B,2,0)*VLOOKUP(A35,'[34]geoMap (31)'!$A:$C,3,0)</f>
        <v>7.8265275804120789</v>
      </c>
      <c r="AH35" s="1">
        <f>AG35/VLOOKUP(A35,'[35]geoMap (32)'!$A:$B,2,0)*VLOOKUP(A35,'[35]geoMap (32)'!$A:$C,3,0)</f>
        <v>3.0436496146046976</v>
      </c>
      <c r="AI35" s="1">
        <f>AH35/VLOOKUP(A35,'[36]geoMap (33)'!$A:$B,2,0)*VLOOKUP(A35,'[36]geoMap (33)'!$A:$C,3,0)</f>
        <v>5.4109326481861295</v>
      </c>
      <c r="AJ35" s="1">
        <f>AI35/VLOOKUP(A35,'[37]geoMap (34)'!$A:$B,2,0)*VLOOKUP(A35,'[37]geoMap (34)'!$A:$C,3,0)</f>
        <v>3.6072884321240863</v>
      </c>
      <c r="AK35" s="1">
        <f>AJ35/VLOOKUP(A35,'[38]geoMap (35)'!$A:$B,2,0)*VLOOKUP(A35,'[38]geoMap (35)'!$A:$C,3,0)</f>
        <v>3.7545246946597635</v>
      </c>
      <c r="AL35" s="1">
        <f>AK35/VLOOKUP(A35,'[39]geoMap (36)'!$A:$B,2,0)*VLOOKUP(A35,'[39]geoMap (36)'!$A:$C,3,0)</f>
        <v>0.99803820997284842</v>
      </c>
      <c r="AM35" s="1">
        <f>AL35/VLOOKUP(A35,'[40]geoMap (37)'!$A:$B,2,0)*VLOOKUP(A35,'[40]geoMap (37)'!$A:$C,3,0)</f>
        <v>2.5663839685016101</v>
      </c>
      <c r="AN35" s="1">
        <f>AM35/VLOOKUP(A35,'[41]geoMap (38)'!$A:$B,2,0)*VLOOKUP(A35,'[41]geoMap (38)'!$A:$C,3,0)</f>
        <v>0.7665822243576238</v>
      </c>
      <c r="AO35" s="1">
        <f>AN35/VLOOKUP(A35,'[42]geoMap (39)'!$A:$B,2,0)*VLOOKUP(A35,'[42]geoMap (39)'!$A:$C,3,0)</f>
        <v>1.556394213089721</v>
      </c>
      <c r="AP35" s="1">
        <f>AO35/VLOOKUP(A35,'[43]geoMap (40)'!$A:$B,2,0)*VLOOKUP(A35,'[43]geoMap (40)'!$A:$C,3,0)</f>
        <v>2.2396892334705742</v>
      </c>
      <c r="AQ35" s="1">
        <f>AP35/VLOOKUP(A35,'[44]geoMap (41)'!$A:$B,2,0)*VLOOKUP(A35,'[44]geoMap (41)'!$A:$C,3,0)</f>
        <v>1.4931261556470496</v>
      </c>
      <c r="AR35" s="1">
        <f>AQ35/VLOOKUP(A35,'[45]geoMap (42)'!$A:$B,2,0)*VLOOKUP(A35,'[45]geoMap (42)'!$A:$C,3,0)</f>
        <v>1.6175533352843039</v>
      </c>
      <c r="AS35" s="1">
        <f>AR35/VLOOKUP(A35,'[46]geoMap (43)'!$A:$B,2,0)*VLOOKUP(A35,'[46]geoMap (43)'!$A:$C,3,0)</f>
        <v>1.4931261556470496</v>
      </c>
      <c r="AT35" s="1">
        <f>AS35/VLOOKUP(A35,'[47]geoMap (44)'!$A:$B,2,0)*VLOOKUP(A35,'[47]geoMap (44)'!$A:$C,3,0)</f>
        <v>0.70264760265743509</v>
      </c>
      <c r="AU35" s="1">
        <f>AT35/VLOOKUP(A35,'[48]geoMap (45)'!$A:$B,2,0)*VLOOKUP(A35,'[48]geoMap (45)'!$A:$C,3,0)</f>
        <v>0.93141658956915807</v>
      </c>
      <c r="AV35" s="1">
        <f>AU35/VLOOKUP(A35,'[49]geoMap (46)'!$A:$B,2,0)*VLOOKUP(A35,'[49]geoMap (46)'!$A:$C,3,0)</f>
        <v>0.45875742471316738</v>
      </c>
      <c r="AW35" s="1">
        <f>AV35/VLOOKUP(A35,'[50]geoMap (47)'!$A:$B,2,0)*VLOOKUP(A35,'[50]geoMap (47)'!$A:$C,3,0)</f>
        <v>0.29330392727563159</v>
      </c>
      <c r="AX35" s="1">
        <f>AW35/VLOOKUP(A35,'[51]geoMap (48)'!$A:$B,2,0)*VLOOKUP(A35,'[51]geoMap (48)'!$A:$C,3,0)</f>
        <v>0.30527551614402471</v>
      </c>
      <c r="AY35" s="1">
        <f>AX35/VLOOKUP(A35,'[52]geoMap (49)'!$A:$B,2,0)*VLOOKUP(A35,'[52]geoMap (49)'!$A:$C,3,0)</f>
        <v>0.49808110528761929</v>
      </c>
      <c r="AZ35" s="1">
        <f>AY35/VLOOKUP(A35,'[53]geoMap (50)'!$A:$B,2,0)*VLOOKUP(A35,'[53]geoMap (50)'!$A:$C,3,0)</f>
        <v>0.47854851292339895</v>
      </c>
      <c r="BA35" s="1">
        <f>AZ35/VLOOKUP(A35,'[54]geoMap (51)'!$A:$B,2,0)*VLOOKUP(A35,'[54]geoMap (51)'!$A:$C,3,0)</f>
        <v>0.40765243693474723</v>
      </c>
      <c r="BB35" s="1">
        <f>BA35/VLOOKUP(A35,'[55]geoMap (52)'!$A:$B,2,0)*VLOOKUP(A35,'[55]geoMap (52)'!$A:$C,3,0)</f>
        <v>0.29519659226309281</v>
      </c>
      <c r="BC35" s="1">
        <f>BB35/VLOOKUP(A35,'[56]geoMap (53)'!$A:$B,2,0)*VLOOKUP(A35,'[56]geoMap (53)'!$A:$C,3,0)</f>
        <v>0.33288126361582804</v>
      </c>
      <c r="BD35" s="1">
        <f>BC35/VLOOKUP(A35,'[57]geoMap (54)'!$A:$B,2,0)*VLOOKUP(A35,'[57]geoMap (54)'!$A:$C,3,0)</f>
        <v>0.17148428731724477</v>
      </c>
      <c r="BE35" s="1">
        <f>BD35/VLOOKUP(A35,'[58]geoMap (55)'!$A:$B,2,0)*VLOOKUP(A35,'[58]geoMap (55)'!$A:$C,3,0)</f>
        <v>0.17848364598325475</v>
      </c>
      <c r="BF35" s="1">
        <f>BE35/VLOOKUP(A35,'[59]geoMap (56)'!$A:$B,2,0)*VLOOKUP(A35,'[59]geoMap (56)'!$A:$C,3,0)</f>
        <v>0.17148428731724477</v>
      </c>
      <c r="BG35" s="1">
        <f>BF35/VLOOKUP(A35,'[60]geoMap (57)'!$A:$B,2,0)*VLOOKUP(A35,'[60]geoMap (57)'!$A:$C,3,0)</f>
        <v>0.15829318829284131</v>
      </c>
      <c r="BH35" s="1">
        <f>BG35/VLOOKUP(A35,'[61]geoMap (58)'!$A:$B,2,0)*VLOOKUP(A35,'[61]geoMap (58)'!$A:$C,3,0)</f>
        <v>6.1558462113882738E-2</v>
      </c>
      <c r="BI35" s="1">
        <f>BH35/VLOOKUP(A35,'[62]geoMap (59)'!$A:$B,2,0)*VLOOKUP(A35,'[62]geoMap (59)'!$A:$C,3,0)</f>
        <v>2.8968688053591873E-2</v>
      </c>
      <c r="BJ35" s="1">
        <f>BI35/VLOOKUP(A35,'[63]geoMap (60)'!$A:$B,2,0)*VLOOKUP(A35,'[63]geoMap (60)'!$A:$C,3,0)</f>
        <v>3.5406174287723406E-2</v>
      </c>
      <c r="BK35" s="1">
        <f>BJ35/VLOOKUP(A35,'[64]geoMap (61)'!$A:$B,2,0)*VLOOKUP(A35,'[64]geoMap (61)'!$A:$C,3,0)</f>
        <v>6.5754323677200618E-2</v>
      </c>
      <c r="BL35" s="1">
        <f>BK35/VLOOKUP(A35,'[65]geoMap (62)'!$A:$B,2,0)*VLOOKUP(A35,'[65]geoMap (62)'!$A:$C,3,0)</f>
        <v>3.5406174287723406E-2</v>
      </c>
      <c r="BM35" s="1">
        <f>BL35/VLOOKUP(A35,'[66]geoMap (63)'!$A:$B,2,0)*VLOOKUP(A35,'[66]geoMap (63)'!$A:$C,3,0)</f>
        <v>0.11853371391976968</v>
      </c>
      <c r="BN35" s="1">
        <f>BM35/VLOOKUP(A35,'[67]geoMap (64)'!$A:$B,2,0)*VLOOKUP(A35,'[67]geoMap (64)'!$A:$C,3,0)</f>
        <v>1.7711934263873633E-2</v>
      </c>
      <c r="BO35" s="1">
        <f>BN35/VLOOKUP(A35,'[68]geoMap (65)'!$A:$B,2,0)*VLOOKUP(A35,'[68]geoMap (65)'!$A:$C,3,0)</f>
        <v>1.7711934263873633E-2</v>
      </c>
      <c r="BP35" s="1" t="e">
        <f>BO35/VLOOKUP(A35,'[69]geoMap (66)'!$A:$B,2,0)*VLOOKUP(A35,'[69]geoMap (66)'!$A:$C,3,0)</f>
        <v>#REF!</v>
      </c>
    </row>
    <row r="36" spans="1:68" x14ac:dyDescent="0.2">
      <c r="A36" s="1" t="s">
        <v>97</v>
      </c>
      <c r="B36" s="1">
        <f>VLOOKUP(A36,[3]geoMap!$A:$B,2,0)*Notes!$C$6</f>
        <v>5000</v>
      </c>
      <c r="C36" s="1">
        <f>B36/VLOOKUP(A36,'[4]geoMap (1)'!$A:$B,2,0)*VLOOKUP(A36,'[4]geoMap (1)'!$A:$C,3,0)</f>
        <v>6111.1111111111113</v>
      </c>
      <c r="D36" s="1">
        <f>C36/VLOOKUP(A36,'[5]geoMap (2)'!$A:$B,2,0)*VLOOKUP(A36,'[5]geoMap (2)'!$A:$C,3,0)</f>
        <v>5205.7613168724283</v>
      </c>
      <c r="E36" s="1">
        <f>D36/VLOOKUP(A36,'[6]geoMap (3)'!$A:$B,2,0)*VLOOKUP(A36,'[6]geoMap (3)'!$A:$C,3,0)</f>
        <v>4090.241034685479</v>
      </c>
      <c r="F36" s="1">
        <f>E36/VLOOKUP(A36,'[7]geoMap (4)'!$A:$B,2,0)*VLOOKUP(A36,'[7]geoMap (4)'!$A:$C,3,0)</f>
        <v>3627.194879815424</v>
      </c>
      <c r="G36" s="1">
        <f>F36/VLOOKUP(A36,'[8]geoMap (5)'!$A:$B,2,0)*VLOOKUP(A36,'[8]geoMap (5)'!$A:$C,3,0)</f>
        <v>3348.1798890603909</v>
      </c>
      <c r="H36" s="1">
        <f>G36/VLOOKUP(A36,'[9]geoMap (6)'!$A:$B,2,0)*VLOOKUP(A36,'[9]geoMap (6)'!$A:$C,3,0)</f>
        <v>1724.8199428492924</v>
      </c>
      <c r="I36" s="1">
        <f>H36/VLOOKUP(A36,'[10]geoMap (7)'!$A:$B,2,0)*VLOOKUP(A36,'[10]geoMap (7)'!$A:$C,3,0)</f>
        <v>1657.1799450904966</v>
      </c>
      <c r="J36" s="1">
        <f>I36/VLOOKUP(A36,'[11]geoMap (8)'!$A:$B,2,0)*VLOOKUP(A36,'[11]geoMap (8)'!$A:$C,3,0)</f>
        <v>1411.6718050770896</v>
      </c>
      <c r="K36" s="1">
        <f>J36/VLOOKUP(A36,'[12]geoMap (9)'!$A:$B,2,0)*VLOOKUP(A36,'[12]geoMap (9)'!$A:$C,3,0)</f>
        <v>829.07709187067167</v>
      </c>
      <c r="L36" s="1">
        <f>K36/VLOOKUP(A36,'[13]geoMap (10)'!$A:$B,2,0)*VLOOKUP(A36,'[13]geoMap (10)'!$A:$C,3,0)</f>
        <v>735.21930788531245</v>
      </c>
      <c r="M36" s="1">
        <f>L36/VLOOKUP(A36,'[14]geoMap (11)'!$A:$B,2,0)*VLOOKUP(A36,'[14]geoMap (11)'!$A:$C,3,0)</f>
        <v>765.22825922757011</v>
      </c>
      <c r="N36" s="1">
        <f>M36/VLOOKUP(A36,'[15]geoMap (12)'!$A:$B,2,0)*VLOOKUP(A36,'[15]geoMap (12)'!$A:$C,3,0)</f>
        <v>601.2507751073764</v>
      </c>
      <c r="O36" s="1">
        <f>N36/VLOOKUP(A36,'[16]geoMap (13)'!$A:$B,2,0)*VLOOKUP(A36,'[16]geoMap (13)'!$A:$C,3,0)</f>
        <v>323.75041736551032</v>
      </c>
      <c r="P36" s="1">
        <f>O36/VLOOKUP(A36,'[17]geoMap (14)'!$A:$B,2,0)*VLOOKUP(A36,'[17]geoMap (14)'!$A:$C,3,0)</f>
        <v>190.13913400831555</v>
      </c>
      <c r="Q36" s="1">
        <f>P36/VLOOKUP(A36,'[18]geoMap (15)'!$A:$B,2,0)*VLOOKUP(A36,'[18]geoMap (15)'!$A:$C,3,0)</f>
        <v>297.39710703864739</v>
      </c>
      <c r="R36" s="1">
        <f>Q36/VLOOKUP(A36,'[19]geoMap (16)'!$A:$B,2,0)*VLOOKUP(A36,'[19]geoMap (16)'!$A:$C,3,0)</f>
        <v>198.26473802576493</v>
      </c>
      <c r="S36" s="1">
        <f>R36/VLOOKUP(A36,'[20]geoMap (17)'!$A:$B,2,0)*VLOOKUP(A36,'[20]geoMap (17)'!$A:$C,3,0)</f>
        <v>155.77943702024388</v>
      </c>
      <c r="T36" s="1">
        <f>S36/VLOOKUP(A36,'[21]geoMap (18)'!$A:$B,2,0)*VLOOKUP(A36,'[21]geoMap (18)'!$A:$C,3,0)</f>
        <v>117.51782091000855</v>
      </c>
      <c r="U36" s="1">
        <f>T36/VLOOKUP(A36,'[22]geoMap (19)'!$A:$B,2,0)*VLOOKUP(A36,'[22]geoMap (19)'!$A:$C,3,0)</f>
        <v>104.2139166560453</v>
      </c>
      <c r="V36" s="1">
        <f>U36/VLOOKUP(A36,'[23]geoMap (20)'!$A:$B,2,0)*VLOOKUP(A36,'[23]geoMap (20)'!$A:$C,3,0)</f>
        <v>75.465249992308671</v>
      </c>
      <c r="W36" s="1">
        <f>V36/VLOOKUP(A36,'[24]geoMap (21)'!$A:$B,2,0)*VLOOKUP(A36,'[24]geoMap (21)'!$A:$C,3,0)</f>
        <v>160.36365623365595</v>
      </c>
      <c r="X36" s="1">
        <f>W36/VLOOKUP(A36,'[25]geoMap (22)'!$A:$B,2,0)*VLOOKUP(A36,'[25]geoMap (22)'!$A:$C,3,0)</f>
        <v>78.985084413591736</v>
      </c>
      <c r="Y36" s="1">
        <f>X36/VLOOKUP(A36,'[26]geoMap (23)'!$A:$B,2,0)*VLOOKUP(A36,'[26]geoMap (23)'!$A:$C,3,0)</f>
        <v>48.410213027685259</v>
      </c>
      <c r="Z36" s="1">
        <f>Y36/VLOOKUP(A36,'[27]geoMap (24)'!$A:$B,2,0)*VLOOKUP(A36,'[27]geoMap (24)'!$A:$C,3,0)</f>
        <v>42.929811552852961</v>
      </c>
      <c r="AA36" s="1">
        <f>Z36/VLOOKUP(A36,'[28]geoMap (25)'!$A:$B,2,0)*VLOOKUP(A36,'[28]geoMap (25)'!$A:$C,3,0)</f>
        <v>35.124391270516057</v>
      </c>
      <c r="AB36" s="1">
        <f>AA36*VLOOKUP(A36,'[29]geoMap (26)'!$A:$B,2,0)*VLOOKUP(A36,'[29]geoMap (26)'!$A:$C,3,0)</f>
        <v>8.6932868394527247</v>
      </c>
      <c r="AC36" s="1">
        <f>AB36/VLOOKUP(A36,'[30]geoMap (27)'!$A:$B,2,0)*VLOOKUP(A36,'[30]geoMap (27)'!$A:$C,3,0)</f>
        <v>6.8304396595699979</v>
      </c>
      <c r="AD36" s="1">
        <f>AC36/VLOOKUP(A36,'[31]geoMap (28)'!$A:$B,2,0)*VLOOKUP(A36,'[31]geoMap (28)'!$A:$C,3,0)</f>
        <v>7.7024106799406367</v>
      </c>
      <c r="AE36" s="1">
        <f>AD36/VLOOKUP(A36,'[32]geoMap (29)'!$A:$B,2,0)*VLOOKUP(A36,'[32]geoMap (29)'!$A:$C,3,0)</f>
        <v>6.5613128014309119</v>
      </c>
      <c r="AF36" s="1">
        <f>AE36/VLOOKUP(A36,'[33]geoMap (30)'!$A:$B,2,0)*VLOOKUP(A36,'[33]geoMap (30)'!$A:$C,3,0)</f>
        <v>4.949762288798758</v>
      </c>
      <c r="AG36" s="1">
        <f>AF36/VLOOKUP(A36,'[34]geoMap (31)'!$A:$B,2,0)*VLOOKUP(A36,'[34]geoMap (31)'!$A:$C,3,0)</f>
        <v>6.0497094640873712</v>
      </c>
      <c r="AH36" s="1">
        <f>AG36/VLOOKUP(A36,'[35]geoMap (32)'!$A:$B,2,0)*VLOOKUP(A36,'[35]geoMap (32)'!$A:$C,3,0)</f>
        <v>3.1165169966510704</v>
      </c>
      <c r="AI36" s="1">
        <f>AH36/VLOOKUP(A36,'[36]geoMap (33)'!$A:$B,2,0)*VLOOKUP(A36,'[36]geoMap (33)'!$A:$C,3,0)</f>
        <v>4.4847439707905643</v>
      </c>
      <c r="AJ36" s="1">
        <f>AI36/VLOOKUP(A36,'[37]geoMap (34)'!$A:$B,2,0)*VLOOKUP(A36,'[37]geoMap (34)'!$A:$C,3,0)</f>
        <v>3.3832279077893737</v>
      </c>
      <c r="AK36" s="1">
        <f>AJ36/VLOOKUP(A36,'[38]geoMap (35)'!$A:$B,2,0)*VLOOKUP(A36,'[38]geoMap (35)'!$A:$C,3,0)</f>
        <v>3.8151293428263151</v>
      </c>
      <c r="AL36" s="1">
        <f>AK36/VLOOKUP(A36,'[39]geoMap (36)'!$A:$B,2,0)*VLOOKUP(A36,'[39]geoMap (36)'!$A:$C,3,0)</f>
        <v>0.67325811932229085</v>
      </c>
      <c r="AM36" s="1">
        <f>AL36/VLOOKUP(A36,'[40]geoMap (37)'!$A:$B,2,0)*VLOOKUP(A36,'[40]geoMap (37)'!$A:$C,3,0)</f>
        <v>2.0197743579668725</v>
      </c>
      <c r="AN36" s="1">
        <f>AM36/VLOOKUP(A36,'[41]geoMap (38)'!$A:$B,2,0)*VLOOKUP(A36,'[41]geoMap (38)'!$A:$C,3,0)</f>
        <v>0.86561758198580252</v>
      </c>
      <c r="AO36" s="1">
        <f>AN36/VLOOKUP(A36,'[42]geoMap (39)'!$A:$B,2,0)*VLOOKUP(A36,'[42]geoMap (39)'!$A:$C,3,0)</f>
        <v>2.0197743579668725</v>
      </c>
      <c r="AP36" s="1">
        <f>AO36/VLOOKUP(A36,'[43]geoMap (40)'!$A:$B,2,0)*VLOOKUP(A36,'[43]geoMap (40)'!$A:$C,3,0)</f>
        <v>2.0197743579668725</v>
      </c>
      <c r="AQ36" s="1">
        <f>AP36/VLOOKUP(A36,'[44]geoMap (41)'!$A:$B,2,0)*VLOOKUP(A36,'[44]geoMap (41)'!$A:$C,3,0)</f>
        <v>1.5236894279399216</v>
      </c>
      <c r="AR36" s="1">
        <f>AQ36/VLOOKUP(A36,'[45]geoMap (42)'!$A:$B,2,0)*VLOOKUP(A36,'[45]geoMap (42)'!$A:$C,3,0)</f>
        <v>1.4639369013540422</v>
      </c>
      <c r="AS36" s="1">
        <f>AR36/VLOOKUP(A36,'[46]geoMap (43)'!$A:$B,2,0)*VLOOKUP(A36,'[46]geoMap (43)'!$A:$C,3,0)</f>
        <v>1.4065276111048639</v>
      </c>
      <c r="AT36" s="1">
        <f>AS36/VLOOKUP(A36,'[47]geoMap (44)'!$A:$B,2,0)*VLOOKUP(A36,'[47]geoMap (44)'!$A:$C,3,0)</f>
        <v>0.66189534640228886</v>
      </c>
      <c r="AU36" s="1">
        <f>AT36/VLOOKUP(A36,'[48]geoMap (45)'!$A:$B,2,0)*VLOOKUP(A36,'[48]geoMap (45)'!$A:$C,3,0)</f>
        <v>1.2848556724279725</v>
      </c>
      <c r="AV36" s="1">
        <f>AU36/VLOOKUP(A36,'[49]geoMap (46)'!$A:$B,2,0)*VLOOKUP(A36,'[49]geoMap (46)'!$A:$C,3,0)</f>
        <v>0.60463796349551646</v>
      </c>
      <c r="AW36" s="1">
        <f>AV36/VLOOKUP(A36,'[50]geoMap (47)'!$A:$B,2,0)*VLOOKUP(A36,'[50]geoMap (47)'!$A:$C,3,0)</f>
        <v>0.37058455827144554</v>
      </c>
      <c r="AX36" s="1">
        <f>AW36/VLOOKUP(A36,'[51]geoMap (48)'!$A:$B,2,0)*VLOOKUP(A36,'[51]geoMap (48)'!$A:$C,3,0)</f>
        <v>0.22713247119862789</v>
      </c>
      <c r="AY36" s="1">
        <f>AX36/VLOOKUP(A36,'[52]geoMap (49)'!$A:$B,2,0)*VLOOKUP(A36,'[52]geoMap (49)'!$A:$C,3,0)</f>
        <v>0.76040001227366727</v>
      </c>
      <c r="AZ36" s="1">
        <f>AY36/VLOOKUP(A36,'[53]geoMap (50)'!$A:$B,2,0)*VLOOKUP(A36,'[53]geoMap (50)'!$A:$C,3,0)</f>
        <v>0.55063449164644873</v>
      </c>
      <c r="BA36" s="1">
        <f>AZ36/VLOOKUP(A36,'[54]geoMap (51)'!$A:$B,2,0)*VLOOKUP(A36,'[54]geoMap (51)'!$A:$C,3,0)</f>
        <v>0.19346617274064415</v>
      </c>
      <c r="BB36" s="1">
        <f>BA36/VLOOKUP(A36,'[55]geoMap (52)'!$A:$B,2,0)*VLOOKUP(A36,'[55]geoMap (52)'!$A:$C,3,0)</f>
        <v>0.34393986265003407</v>
      </c>
      <c r="BC36" s="1">
        <f>BB36/VLOOKUP(A36,'[56]geoMap (53)'!$A:$B,2,0)*VLOOKUP(A36,'[56]geoMap (53)'!$A:$C,3,0)</f>
        <v>0.27023846351074104</v>
      </c>
      <c r="BD36" s="1">
        <f>BC36/VLOOKUP(A36,'[57]geoMap (54)'!$A:$B,2,0)*VLOOKUP(A36,'[57]geoMap (54)'!$A:$C,3,0)</f>
        <v>0.4226806736962872</v>
      </c>
      <c r="BE36" s="1">
        <f>BD36/VLOOKUP(A36,'[58]geoMap (55)'!$A:$B,2,0)*VLOOKUP(A36,'[58]geoMap (55)'!$A:$C,3,0)</f>
        <v>0.27023846351074104</v>
      </c>
      <c r="BF36" s="1" t="e">
        <f>AN36/VLOOKUP(A36,'[75]geoMap (150)'!$A:$B,2,0)*VLOOKUP(A36,'[75]geoMap (150)'!$A:$C,3,0)</f>
        <v>#REF!</v>
      </c>
      <c r="BG36" s="1">
        <f>AN36/VLOOKUP(A36,'[93]geoMap (152)'!$A:$B,2,0)*VLOOKUP(A36,'[93]geoMap (152)'!$A:$C,3,0)</f>
        <v>0.16487953942586714</v>
      </c>
      <c r="BH36" s="1">
        <f>BG36/VLOOKUP(A36,'[61]geoMap (58)'!$A:$B,2,0)*VLOOKUP(A36,'[61]geoMap (58)'!$A:$C,3,0)</f>
        <v>5.7930648987466832E-2</v>
      </c>
      <c r="BI36" s="1">
        <f>BH36/VLOOKUP(A36,'[62]geoMap (59)'!$A:$B,2,0)*VLOOKUP(A36,'[62]geoMap (59)'!$A:$C,3,0)</f>
        <v>7.0804126540237239E-2</v>
      </c>
      <c r="BJ36" s="1">
        <f>BI36/VLOOKUP(A36,'[63]geoMap (60)'!$A:$B,2,0)*VLOOKUP(A36,'[63]geoMap (60)'!$A:$C,3,0)</f>
        <v>7.0804126540237239E-2</v>
      </c>
      <c r="BK36" s="1">
        <f>BJ36/VLOOKUP(A36,'[64]geoMap (61)'!$A:$B,2,0)*VLOOKUP(A36,'[64]geoMap (61)'!$A:$C,3,0)</f>
        <v>0.18206775396061001</v>
      </c>
      <c r="BL36" s="1">
        <f>BK36/VLOOKUP(A36,'[65]geoMap (62)'!$A:$B,2,0)*VLOOKUP(A36,'[65]geoMap (62)'!$A:$C,3,0)</f>
        <v>8.9675162398509409E-2</v>
      </c>
      <c r="BM36" s="1" t="e">
        <f>AN36/VLOOKUP(A36,'[80]geoMap (164)'!$A:$B,2,0)*VLOOKUP(A36,'[80]geoMap (164)'!$A:$C,3,0)</f>
        <v>#REF!</v>
      </c>
      <c r="BN36" s="1" t="e">
        <f>AN36/VLOOKUP(A36,'[81]geoMap (166)'!$A:$B,2,0)*VLOOKUP(A36,'[81]geoMap (166)'!$A:$C,3,0)</f>
        <v>#REF!</v>
      </c>
      <c r="BO36" s="1" t="e">
        <f>AN36/VLOOKUP(A36,'[82]geoMap (168)'!$A:$B,2,0)*VLOOKUP(A36,'[82]geoMap (168)'!$A:$C,3,0)</f>
        <v>#REF!</v>
      </c>
      <c r="BP36" s="1" t="e">
        <f>AN36/VLOOKUP(A36,'[83]geoMap (170)'!$A:$B,2,0)*VLOOKUP(A36,'[83]geoMap (170)'!$A:$C,3,0)</f>
        <v>#REF!</v>
      </c>
    </row>
    <row r="37" spans="1:68" x14ac:dyDescent="0.2">
      <c r="A37" s="1" t="s">
        <v>125</v>
      </c>
      <c r="B37" s="1">
        <f>VLOOKUP(A37,[3]geoMap!$A:$B,2,0)*Notes!$C$6</f>
        <v>5000</v>
      </c>
      <c r="C37" s="1">
        <f>B37/VLOOKUP(A37,'[4]geoMap (1)'!$A:$B,2,0)*VLOOKUP(A37,'[4]geoMap (1)'!$A:$C,3,0)</f>
        <v>5869.5652173913049</v>
      </c>
      <c r="D37" s="1">
        <f>C37/VLOOKUP(A37,'[5]geoMap (2)'!$A:$B,2,0)*VLOOKUP(A37,'[5]geoMap (2)'!$A:$C,3,0)</f>
        <v>5639.3861892583127</v>
      </c>
      <c r="E37" s="1">
        <f>D37/VLOOKUP(A37,'[6]geoMap (3)'!$A:$B,2,0)*VLOOKUP(A37,'[6]geoMap (3)'!$A:$C,3,0)</f>
        <v>5000.9651112290694</v>
      </c>
      <c r="F37" s="1">
        <f>E37/VLOOKUP(A37,'[7]geoMap (4)'!$A:$B,2,0)*VLOOKUP(A37,'[7]geoMap (4)'!$A:$C,3,0)</f>
        <v>3475.2469417015568</v>
      </c>
      <c r="G37" s="1">
        <f>F37/VLOOKUP(A37,'[8]geoMap (5)'!$A:$B,2,0)*VLOOKUP(A37,'[8]geoMap (5)'!$A:$C,3,0)</f>
        <v>3918.8954874506921</v>
      </c>
      <c r="H37" s="1">
        <f>G37/VLOOKUP(A37,'[9]geoMap (6)'!$A:$B,2,0)*VLOOKUP(A37,'[9]geoMap (6)'!$A:$C,3,0)</f>
        <v>1170.5791715761807</v>
      </c>
      <c r="I37" s="1">
        <f>H37/VLOOKUP(A37,'[10]geoMap (7)'!$A:$B,2,0)*VLOOKUP(A37,'[10]geoMap (7)'!$A:$C,3,0)</f>
        <v>1755.868757364271</v>
      </c>
      <c r="J37" s="1">
        <f>I37/VLOOKUP(A37,'[11]geoMap (8)'!$A:$B,2,0)*VLOOKUP(A37,'[11]geoMap (8)'!$A:$C,3,0)</f>
        <v>1170.5791715761807</v>
      </c>
      <c r="K37" s="1">
        <f>J37/VLOOKUP(A37,'[12]geoMap (9)'!$A:$B,2,0)*VLOOKUP(A37,'[12]geoMap (9)'!$A:$C,3,0)</f>
        <v>957.74659492596595</v>
      </c>
      <c r="L37" s="1">
        <f>K37/VLOOKUP(A37,'[13]geoMap (10)'!$A:$B,2,0)*VLOOKUP(A37,'[13]geoMap (10)'!$A:$C,3,0)</f>
        <v>471.72593481428174</v>
      </c>
      <c r="M37" s="1">
        <f>L37/VLOOKUP(A37,'[14]geoMap (11)'!$A:$B,2,0)*VLOOKUP(A37,'[14]geoMap (11)'!$A:$C,3,0)</f>
        <v>553.76522782546124</v>
      </c>
      <c r="N37" s="1">
        <f>M37/VLOOKUP(A37,'[15]geoMap (12)'!$A:$B,2,0)*VLOOKUP(A37,'[15]geoMap (12)'!$A:$C,3,0)</f>
        <v>599.91233014424972</v>
      </c>
      <c r="O37" s="1">
        <f>N37/VLOOKUP(A37,'[16]geoMap (13)'!$A:$B,2,0)*VLOOKUP(A37,'[16]geoMap (13)'!$A:$C,3,0)</f>
        <v>323.02971623151905</v>
      </c>
      <c r="P37" s="1">
        <f>O37/VLOOKUP(A37,'[17]geoMap (14)'!$A:$B,2,0)*VLOOKUP(A37,'[17]geoMap (14)'!$A:$C,3,0)</f>
        <v>379.20879731526151</v>
      </c>
      <c r="Q37" s="1">
        <f>P37/VLOOKUP(A37,'[18]geoMap (15)'!$A:$B,2,0)*VLOOKUP(A37,'[18]geoMap (15)'!$A:$C,3,0)</f>
        <v>242.44496877533112</v>
      </c>
      <c r="R37" s="1">
        <f>Q37/VLOOKUP(A37,'[19]geoMap (16)'!$A:$B,2,0)*VLOOKUP(A37,'[19]geoMap (16)'!$A:$C,3,0)</f>
        <v>148.5953034429449</v>
      </c>
      <c r="S37" s="1">
        <f>R37/VLOOKUP(A37,'[20]geoMap (17)'!$A:$B,2,0)*VLOOKUP(A37,'[20]geoMap (17)'!$A:$C,3,0)</f>
        <v>222.89295516441734</v>
      </c>
      <c r="T37" s="1">
        <f>S37/VLOOKUP(A37,'[21]geoMap (18)'!$A:$B,2,0)*VLOOKUP(A37,'[21]geoMap (18)'!$A:$C,3,0)</f>
        <v>100.14031318981071</v>
      </c>
      <c r="U37" s="1">
        <f>T37/VLOOKUP(A37,'[22]geoMap (19)'!$A:$B,2,0)*VLOOKUP(A37,'[22]geoMap (19)'!$A:$C,3,0)</f>
        <v>138.28900392878623</v>
      </c>
      <c r="V37" s="1">
        <f>U37/VLOOKUP(A37,'[23]geoMap (20)'!$A:$B,2,0)*VLOOKUP(A37,'[23]geoMap (20)'!$A:$C,3,0)</f>
        <v>138.28900392878623</v>
      </c>
      <c r="W37" s="1">
        <f>V37/VLOOKUP(A37,'[24]geoMap (21)'!$A:$B,2,0)*VLOOKUP(A37,'[24]geoMap (21)'!$A:$C,3,0)</f>
        <v>34.572250982196557</v>
      </c>
      <c r="X37" s="1">
        <f>W37/VLOOKUP(A37,'[25]geoMap (22)'!$A:$B,2,0)*VLOOKUP(A37,'[25]geoMap (22)'!$A:$C,3,0)</f>
        <v>38.985729830987616</v>
      </c>
      <c r="Y37" s="1">
        <f>X37/VLOOKUP(A37,'[26]geoMap (23)'!$A:$B,2,0)*VLOOKUP(A37,'[26]geoMap (23)'!$A:$C,3,0)</f>
        <v>37.456877680752804</v>
      </c>
      <c r="Z37" s="1">
        <f>Y37/VLOOKUP(A37,'[27]geoMap (24)'!$A:$B,2,0)*VLOOKUP(A37,'[27]geoMap (24)'!$A:$C,3,0)</f>
        <v>40.578284154148868</v>
      </c>
      <c r="AA37" s="1">
        <f>Z37/VLOOKUP(A37,'[28]geoMap (25)'!$A:$B,2,0)*VLOOKUP(A37,'[28]geoMap (25)'!$A:$C,3,0)</f>
        <v>27.052189436099248</v>
      </c>
      <c r="AB37" s="1">
        <f>AA37*VLOOKUP(A37,'[29]geoMap (26)'!$A:$B,2,0)*VLOOKUP(A37,'[29]geoMap (26)'!$A:$C,3,0)</f>
        <v>6.7197638559270541</v>
      </c>
      <c r="AC37" s="1">
        <f>AB37/VLOOKUP(A37,'[30]geoMap (27)'!$A:$B,2,0)*VLOOKUP(A37,'[30]geoMap (27)'!$A:$C,3,0)</f>
        <v>5.7242432846786011</v>
      </c>
      <c r="AD37" s="1">
        <f>AC37/VLOOKUP(A37,'[31]geoMap (28)'!$A:$B,2,0)*VLOOKUP(A37,'[31]geoMap (28)'!$A:$C,3,0)</f>
        <v>6.7197638559270541</v>
      </c>
      <c r="AE37" s="1">
        <f>AD37/VLOOKUP(A37,'[32]geoMap (29)'!$A:$B,2,0)*VLOOKUP(A37,'[32]geoMap (29)'!$A:$C,3,0)</f>
        <v>6.7197638559270541</v>
      </c>
      <c r="AF37" s="1">
        <f>AE37/VLOOKUP(A37,'[33]geoMap (30)'!$A:$B,2,0)*VLOOKUP(A37,'[33]geoMap (30)'!$A:$C,3,0)</f>
        <v>2.7446922791814727</v>
      </c>
      <c r="AG37" s="1">
        <f>AF37/VLOOKUP(A37,'[34]geoMap (31)'!$A:$B,2,0)*VLOOKUP(A37,'[34]geoMap (31)'!$A:$C,3,0)</f>
        <v>2.8567205354745941</v>
      </c>
      <c r="AH37" s="1">
        <f>AG37/VLOOKUP(A37,'[35]geoMap (32)'!$A:$B,2,0)*VLOOKUP(A37,'[35]geoMap (32)'!$A:$C,3,0)</f>
        <v>5.0786142852881673</v>
      </c>
      <c r="AI37" s="1">
        <f>AH37/VLOOKUP(A37,'[36]geoMap (33)'!$A:$B,2,0)*VLOOKUP(A37,'[36]geoMap (33)'!$A:$C,3,0)</f>
        <v>4.8794529407670622</v>
      </c>
      <c r="AJ37" s="1">
        <f>AI37/VLOOKUP(A37,'[37]geoMap (34)'!$A:$B,2,0)*VLOOKUP(A37,'[37]geoMap (34)'!$A:$C,3,0)</f>
        <v>2.2962131485962645</v>
      </c>
      <c r="AK37" s="1">
        <f>AJ37/VLOOKUP(A37,'[38]geoMap (35)'!$A:$B,2,0)*VLOOKUP(A37,'[38]geoMap (35)'!$A:$C,3,0)</f>
        <v>14.105309341377053</v>
      </c>
      <c r="AL37" s="1" t="e">
        <f>AK37/VLOOKUP(A37,'[39]geoMap (36)'!$A:$B,2,0)*VLOOKUP(A37,'[39]geoMap (36)'!$A:$C,3,0)</f>
        <v>#REF!</v>
      </c>
      <c r="AM37" s="1">
        <f>AA37/VLOOKUP(A37,'[125]geoMap (120)'!$A:$B,2,0)*VLOOKUP(A37,'[125]geoMap (120)'!$A:$C,3,0)</f>
        <v>8.0805241172763989</v>
      </c>
      <c r="AN37" s="1">
        <f>AC37/VLOOKUP(A37,'[133]geoMap (121)'!$A:$B,2,0)*VLOOKUP(A37,'[133]geoMap (121)'!$A:$C,3,0)</f>
        <v>0.4308570214274216</v>
      </c>
      <c r="AO37" s="1">
        <f>AM37/VLOOKUP(A37,'[142]geoMap (123)'!$A:$B,2,0)*VLOOKUP(A37,'[142]geoMap (123)'!$A:$C,3,0)</f>
        <v>9.4858326594114253</v>
      </c>
      <c r="AP37" s="1">
        <f>AO37/VLOOKUP(A37,'[43]geoMap (40)'!$A:$B,2,0)*VLOOKUP(A37,'[43]geoMap (40)'!$A:$C,3,0)</f>
        <v>5.3357808709189261</v>
      </c>
      <c r="AQ37" s="1">
        <f>AP37/VLOOKUP(A37,'[44]geoMap (41)'!$A:$B,2,0)*VLOOKUP(A37,'[44]geoMap (41)'!$A:$C,3,0)</f>
        <v>6.790993835714997</v>
      </c>
      <c r="AR37" s="1">
        <f>AQ37/VLOOKUP(A37,'[45]geoMap (42)'!$A:$B,2,0)*VLOOKUP(A37,'[45]geoMap (42)'!$A:$C,3,0)</f>
        <v>9.3780391064635662</v>
      </c>
      <c r="AS37" s="1">
        <f>AR37/VLOOKUP(A37,'[46]geoMap (43)'!$A:$B,2,0)*VLOOKUP(A37,'[46]geoMap (43)'!$A:$C,3,0)</f>
        <v>3.1260130354878553</v>
      </c>
      <c r="AT37" s="1" t="e">
        <f>AS37/VLOOKUP(A37,'[47]geoMap (44)'!$A:$B,2,0)*VLOOKUP(A37,'[47]geoMap (44)'!$A:$C,3,0)</f>
        <v>#REF!</v>
      </c>
      <c r="AU37" s="1">
        <f>AN37/VLOOKUP(A37,'[85]geoMap (133)'!$A:$B,2,0)*VLOOKUP(A37,'[85]geoMap (133)'!$A:$C,3,0)</f>
        <v>1.3643805678535017</v>
      </c>
      <c r="AV37" s="1">
        <f>AU37/VLOOKUP(A37,'[49]geoMap (46)'!$A:$B,2,0)*VLOOKUP(A37,'[49]geoMap (46)'!$A:$C,3,0)</f>
        <v>0.58473452908007217</v>
      </c>
      <c r="AW37" s="1">
        <f>AV37/VLOOKUP(A37,'[50]geoMap (47)'!$A:$B,2,0)*VLOOKUP(A37,'[50]geoMap (47)'!$A:$C,3,0)</f>
        <v>1.3643805678535017</v>
      </c>
      <c r="AX37" s="1" t="e">
        <f>AW37/VLOOKUP(A37,'[51]geoMap (48)'!$A:$B,2,0)*VLOOKUP(A37,'[51]geoMap (48)'!$A:$C,3,0)</f>
        <v>#REF!</v>
      </c>
      <c r="AY37" s="1">
        <f>AN37/VLOOKUP(A37,'[88]geoMap (140)'!$A:$B,2,0)*VLOOKUP(A37,'[88]geoMap (140)'!$A:$C,3,0)</f>
        <v>0.35251938116789039</v>
      </c>
      <c r="AZ37" s="1" t="e">
        <f>AY37/VLOOKUP(A37,'[53]geoMap (50)'!$A:$B,2,0)*VLOOKUP(A37,'[53]geoMap (50)'!$A:$C,3,0)</f>
        <v>#REF!</v>
      </c>
      <c r="BA37" s="1" t="e">
        <f>AN37/VLOOKUP(A37,'[71]geoMap (143)'!$A:$B,2,0)*VLOOKUP(A37,'[71]geoMap (143)'!$A:$C,3,0)</f>
        <v>#REF!</v>
      </c>
      <c r="BB37" s="1" t="e">
        <f>AN37/VLOOKUP(A37,'[90]geoMap (144)'!$A:$B,2,0)*VLOOKUP(A37,'[90]geoMap (144)'!$A:$C,3,0)</f>
        <v>#REF!</v>
      </c>
      <c r="BC37" s="1" t="e">
        <f>AN37/VLOOKUP(A37,'[72]geoMap (146)'!$A:$B,2,0)*VLOOKUP(A37,'[72]geoMap (146)'!$A:$C,3,0)</f>
        <v>#REF!</v>
      </c>
      <c r="BD37" s="1" t="e">
        <f>AN37/VLOOKUP(A37,'[73]geoMap (147)'!$A:$B,2,0)*VLOOKUP(A37,'[73]geoMap (147)'!$A:$C,3,0)</f>
        <v>#REF!</v>
      </c>
      <c r="BE37" s="1" t="e">
        <f>AN37/VLOOKUP(A37,'[91]geoMap (148)'!$A:$B,2,0)*VLOOKUP(A37,'[91]geoMap (148)'!$A:$C,3,0)</f>
        <v>#REF!</v>
      </c>
      <c r="BF37" s="1" t="e">
        <f>AO37/VLOOKUP(A37,'[92]geoMap (151)'!$A:$B,2,0)*VLOOKUP(A37,'[92]geoMap (151)'!$A:$C,3,0)</f>
        <v>#REF!</v>
      </c>
      <c r="BG37" s="1" t="e">
        <f>AO37/VLOOKUP(A37,'[102]geoMap (153)'!$A:$B,2,0)*VLOOKUP(A37,'[102]geoMap (153)'!$A:$C,3,0)</f>
        <v>#REF!</v>
      </c>
      <c r="BH37" s="1" t="e">
        <f>AS37/VLOOKUP(A37,'[103]geoMap (155)'!$A:$B,2,0)*VLOOKUP(A37,'[103]geoMap (155)'!$A:$C,3,0)</f>
        <v>#REF!</v>
      </c>
      <c r="BI37" s="1" t="e">
        <f>AS37/VLOOKUP(A37,'[104]geoMap (157)'!$A:$B,2,0)*VLOOKUP(A37,'[104]geoMap (157)'!$A:$C,3,0)</f>
        <v>#REF!</v>
      </c>
      <c r="BJ37" s="1" t="e">
        <f>AS37/VLOOKUP(A37,'[105]geoMap (159)'!$A:$B,2,0)*VLOOKUP(A37,'[105]geoMap (159)'!$A:$C,3,0)</f>
        <v>#REF!</v>
      </c>
      <c r="BK37" s="1" t="e">
        <f>AS37/VLOOKUP(A37,'[106]geoMap (161)'!$A:$B,2,0)*VLOOKUP(A37,'[106]geoMap (161)'!$A:$C,3,0)</f>
        <v>#REF!</v>
      </c>
      <c r="BL37" s="1" t="e">
        <f>AS37/VLOOKUP(A37,'[144]geoMap (163)'!$A:$B,2,0)*VLOOKUP(A37,'[144]geoMap (163)'!$A:$C,3,0)</f>
        <v>#REF!</v>
      </c>
      <c r="BM37" s="1" t="e">
        <f>AS37/VLOOKUP(A37,'[145]geoMap (165)'!$A:$B,2,0)*VLOOKUP(A36,'[145]geoMap (165)'!$A:$C,3,0)</f>
        <v>#REF!</v>
      </c>
      <c r="BN37" s="1" t="e">
        <f>AS37/VLOOKUP(A37,'[146]geoMap (167)'!$A:$B,2,0)*VLOOKUP(A37,'[146]geoMap (167)'!$A:$C,3,0)</f>
        <v>#REF!</v>
      </c>
      <c r="BO37" s="1" t="e">
        <f>AS37/VLOOKUP(A37,'[107]geoMap (169)'!$A:$B,2,0)*VLOOKUP(A37,'[107]geoMap (169)'!$A:$C,3,0)</f>
        <v>#REF!</v>
      </c>
      <c r="BP37" s="1" t="e">
        <f>AS37/VLOOKUP(A37,'[108]geoMap (171)'!$A:$B,2,0)*VLOOKUP(A37,'[108]geoMap (171)'!$A:$C,3,0)</f>
        <v>#REF!</v>
      </c>
    </row>
    <row r="38" spans="1:68" x14ac:dyDescent="0.2">
      <c r="A38" s="1" t="s">
        <v>120</v>
      </c>
      <c r="B38" s="1">
        <f>VLOOKUP(A38,[3]geoMap!$A:$B,2,0)*Notes!$C$6</f>
        <v>5000</v>
      </c>
      <c r="C38" s="1">
        <f>B38/VLOOKUP(A38,'[4]geoMap (1)'!$A:$B,2,0)*VLOOKUP(A38,'[4]geoMap (1)'!$A:$C,3,0)</f>
        <v>4803.9215686274511</v>
      </c>
      <c r="D38" s="1">
        <f>C38/VLOOKUP(A38,'[5]geoMap (2)'!$A:$B,2,0)*VLOOKUP(A38,'[5]geoMap (2)'!$A:$C,3,0)</f>
        <v>4615.5324875048063</v>
      </c>
      <c r="E38" s="1">
        <f>D38/VLOOKUP(A38,'[6]geoMap (3)'!$A:$B,2,0)*VLOOKUP(A38,'[6]geoMap (3)'!$A:$C,3,0)</f>
        <v>3626.4898116109189</v>
      </c>
      <c r="F38" s="1">
        <f>E38/VLOOKUP(A38,'[7]geoMap (4)'!$A:$B,2,0)*VLOOKUP(A38,'[7]geoMap (4)'!$A:$C,3,0)</f>
        <v>3089.2320617426344</v>
      </c>
      <c r="G38" s="1">
        <f>F38/VLOOKUP(A38,'[8]geoMap (5)'!$A:$B,2,0)*VLOOKUP(A38,'[8]geoMap (5)'!$A:$C,3,0)</f>
        <v>3089.2320617426344</v>
      </c>
      <c r="H38" s="1">
        <f>G38/VLOOKUP(A38,'[9]geoMap (6)'!$A:$B,2,0)*VLOOKUP(A38,'[9]geoMap (6)'!$A:$C,3,0)</f>
        <v>1029.7440205808782</v>
      </c>
      <c r="I38" s="1">
        <f>H38/VLOOKUP(A38,'[10]geoMap (7)'!$A:$B,2,0)*VLOOKUP(A38,'[10]geoMap (7)'!$A:$C,3,0)</f>
        <v>1208.8299372036397</v>
      </c>
      <c r="J38" s="1">
        <f>I38/VLOOKUP(A38,'[11]geoMap (8)'!$A:$B,2,0)*VLOOKUP(A38,'[11]geoMap (8)'!$A:$C,3,0)</f>
        <v>1208.8299372036397</v>
      </c>
      <c r="K38" s="1">
        <f>J38/VLOOKUP(A38,'[12]geoMap (9)'!$A:$B,2,0)*VLOOKUP(A38,'[12]geoMap (9)'!$A:$C,3,0)</f>
        <v>805.88662480242647</v>
      </c>
      <c r="L38" s="1">
        <f>K38/VLOOKUP(A38,'[13]geoMap (10)'!$A:$B,2,0)*VLOOKUP(A38,'[13]geoMap (10)'!$A:$C,3,0)</f>
        <v>433.93895181669114</v>
      </c>
      <c r="M38" s="1">
        <f>L38/VLOOKUP(A38,'[14]geoMap (11)'!$A:$B,2,0)*VLOOKUP(A38,'[14]geoMap (11)'!$A:$C,3,0)</f>
        <v>400.55903244617645</v>
      </c>
      <c r="N38" s="1">
        <f>M38/VLOOKUP(A38,'[15]geoMap (12)'!$A:$B,2,0)*VLOOKUP(A38,'[15]geoMap (12)'!$A:$C,3,0)</f>
        <v>553.15294956852938</v>
      </c>
      <c r="O38" s="1">
        <f>N38/VLOOKUP(A38,'[16]geoMap (13)'!$A:$B,2,0)*VLOOKUP(A38,'[16]geoMap (13)'!$A:$C,3,0)</f>
        <v>339.02922715490513</v>
      </c>
      <c r="P38" s="1">
        <f>O38/VLOOKUP(A38,'[17]geoMap (14)'!$A:$B,2,0)*VLOOKUP(A38,'[17]geoMap (14)'!$A:$C,3,0)</f>
        <v>487.87132688144885</v>
      </c>
      <c r="Q38" s="1">
        <f>P38/VLOOKUP(A38,'[18]geoMap (15)'!$A:$B,2,0)*VLOOKUP(A38,'[18]geoMap (15)'!$A:$C,3,0)</f>
        <v>154.06462954151013</v>
      </c>
      <c r="R38" s="1">
        <f>Q38/VLOOKUP(A38,'[19]geoMap (16)'!$A:$B,2,0)*VLOOKUP(A38,'[19]geoMap (16)'!$A:$C,3,0)</f>
        <v>126.05287871578102</v>
      </c>
      <c r="S38" s="1">
        <f>R38/VLOOKUP(A38,'[20]geoMap (17)'!$A:$B,2,0)*VLOOKUP(A38,'[20]geoMap (17)'!$A:$C,3,0)</f>
        <v>80.591184752712451</v>
      </c>
      <c r="T38" s="1">
        <f>S38/VLOOKUP(A38,'[21]geoMap (18)'!$A:$B,2,0)*VLOOKUP(A38,'[21]geoMap (18)'!$A:$C,3,0)</f>
        <v>68.651749974532819</v>
      </c>
      <c r="U38" s="1">
        <f>T38/VLOOKUP(A38,'[22]geoMap (19)'!$A:$B,2,0)*VLOOKUP(A38,'[22]geoMap (19)'!$A:$C,3,0)</f>
        <v>83.907694413317898</v>
      </c>
      <c r="V38" s="1">
        <f>U38/VLOOKUP(A38,'[23]geoMap (20)'!$A:$B,2,0)*VLOOKUP(A38,'[23]geoMap (20)'!$A:$C,3,0)</f>
        <v>53.645902985563907</v>
      </c>
      <c r="W38" s="1">
        <f>V38/VLOOKUP(A38,'[24]geoMap (21)'!$A:$B,2,0)*VLOOKUP(A38,'[24]geoMap (21)'!$A:$C,3,0)</f>
        <v>27.635768204684439</v>
      </c>
      <c r="X38" s="1">
        <f>W38/VLOOKUP(A38,'[25]geoMap (22)'!$A:$B,2,0)*VLOOKUP(A38,'[25]geoMap (22)'!$A:$C,3,0)</f>
        <v>31.163738613793093</v>
      </c>
      <c r="Y38" s="1">
        <f>X38/VLOOKUP(A38,'[26]geoMap (23)'!$A:$B,2,0)*VLOOKUP(A38,'[26]geoMap (23)'!$A:$C,3,0)</f>
        <v>23.509487024440407</v>
      </c>
      <c r="Z38" s="1">
        <f>Y38/VLOOKUP(A38,'[27]geoMap (24)'!$A:$B,2,0)*VLOOKUP(A38,'[27]geoMap (24)'!$A:$C,3,0)</f>
        <v>20.026600057856641</v>
      </c>
      <c r="AA38" s="1">
        <f>Z38/VLOOKUP(A38,'[28]geoMap (25)'!$A:$B,2,0)*VLOOKUP(A38,'[28]geoMap (25)'!$A:$C,3,0)</f>
        <v>44.575335612648651</v>
      </c>
      <c r="AB38" s="1">
        <f>AA38*VLOOKUP(A38,'[29]geoMap (26)'!$A:$B,2,0)*VLOOKUP(A38,'[29]geoMap (26)'!$A:$C,3,0)</f>
        <v>10.782773684699707</v>
      </c>
      <c r="AC38" s="1">
        <f>AB38/VLOOKUP(A38,'[30]geoMap (27)'!$A:$B,2,0)*VLOOKUP(A38,'[30]geoMap (27)'!$A:$C,3,0)</f>
        <v>7.4931139164862373</v>
      </c>
      <c r="AD38" s="1">
        <f>AC38/VLOOKUP(A38,'[31]geoMap (28)'!$A:$B,2,0)*VLOOKUP(A38,'[31]geoMap (28)'!$A:$C,3,0)</f>
        <v>8.1175400761934249</v>
      </c>
      <c r="AE38" s="1">
        <f>AD38/VLOOKUP(A38,'[32]geoMap (29)'!$A:$B,2,0)*VLOOKUP(A38,'[32]geoMap (29)'!$A:$C,3,0)</f>
        <v>7.1985732751149225</v>
      </c>
      <c r="AF38" s="1">
        <f>AE38/VLOOKUP(A38,'[33]geoMap (30)'!$A:$B,2,0)*VLOOKUP(A38,'[33]geoMap (30)'!$A:$C,3,0)</f>
        <v>4.2277335107817802</v>
      </c>
      <c r="AG38" s="1">
        <f>AF38/VLOOKUP(A38,'[34]geoMap (31)'!$A:$B,2,0)*VLOOKUP(A38,'[34]geoMap (31)'!$A:$C,3,0)</f>
        <v>5.1672298465110647</v>
      </c>
      <c r="AH38" s="1">
        <f>AG38/VLOOKUP(A38,'[35]geoMap (32)'!$A:$B,2,0)*VLOOKUP(A38,'[35]geoMap (32)'!$A:$C,3,0)</f>
        <v>4.5822604299249061</v>
      </c>
      <c r="AI38" s="1">
        <f>AH38/VLOOKUP(A38,'[36]geoMap (33)'!$A:$B,2,0)*VLOOKUP(A38,'[36]geoMap (33)'!$A:$C,3,0)</f>
        <v>4.5822604299249061</v>
      </c>
      <c r="AJ38" s="1">
        <f>AI38/VLOOKUP(A38,'[37]geoMap (34)'!$A:$B,2,0)*VLOOKUP(A38,'[37]geoMap (34)'!$A:$C,3,0)</f>
        <v>8.146240764310944</v>
      </c>
      <c r="AK38" s="1">
        <f>AJ38/VLOOKUP(A38,'[38]geoMap (35)'!$A:$B,2,0)*VLOOKUP(A38,'[38]geoMap (35)'!$A:$C,3,0)</f>
        <v>1.6685071444974224</v>
      </c>
      <c r="AL38" s="1">
        <f>AK38/VLOOKUP(A38,'[39]geoMap (36)'!$A:$B,2,0)*VLOOKUP(A38,'[39]geoMap (36)'!$A:$C,3,0)</f>
        <v>1.0667504694327783</v>
      </c>
      <c r="AM38" s="1">
        <f>AL38/VLOOKUP(A38,'[40]geoMap (37)'!$A:$B,2,0)*VLOOKUP(A38,'[40]geoMap (37)'!$A:$C,3,0)</f>
        <v>2.7430726356842867</v>
      </c>
      <c r="AN38" s="1">
        <f>AM38/VLOOKUP(A38,'[41]geoMap (38)'!$A:$B,2,0)*VLOOKUP(A38,'[41]geoMap (38)'!$A:$C,3,0)</f>
        <v>1.8287150904561913</v>
      </c>
      <c r="AO38" s="1">
        <f>AN38/VLOOKUP(A38,'[42]geoMap (39)'!$A:$B,2,0)*VLOOKUP(A38,'[42]geoMap (39)'!$A:$C,3,0)</f>
        <v>3.5498587050031949</v>
      </c>
      <c r="AP38" s="1">
        <f>AO38/VLOOKUP(A38,'[43]geoMap (40)'!$A:$B,2,0)*VLOOKUP(A38,'[43]geoMap (40)'!$A:$C,3,0)</f>
        <v>2.2695817950020425</v>
      </c>
      <c r="AQ38" s="1" t="e">
        <f>AP38/VLOOKUP(A38,'[44]geoMap (41)'!$A:$B,2,0)*VLOOKUP(A38,'[44]geoMap (41)'!$A:$C,3,0)</f>
        <v>#REF!</v>
      </c>
      <c r="AR38" s="1">
        <f>AA38/VLOOKUP(A38,'[100]geoMap (128)'!$A:$B,2,0)*VLOOKUP(A38,'[100]geoMap (128)'!$A:$C,3,0)</f>
        <v>5.5093111431363502</v>
      </c>
      <c r="AS38" s="1">
        <f>AR38/VLOOKUP(A38,'[46]geoMap (43)'!$A:$B,2,0)*VLOOKUP(A38,'[46]geoMap (43)'!$A:$C,3,0)</f>
        <v>3.828504353704921</v>
      </c>
      <c r="AT38" s="1" t="e">
        <f>AS38/VLOOKUP(A38,'[47]geoMap (44)'!$A:$B,2,0)*VLOOKUP(A38,'[47]geoMap (44)'!$A:$C,3,0)</f>
        <v>#REF!</v>
      </c>
      <c r="AU38" s="1">
        <f>AN38/VLOOKUP(A38,'[85]geoMap (133)'!$A:$B,2,0)*VLOOKUP(A38,'[85]geoMap (133)'!$A:$C,3,0)</f>
        <v>1.4962214376459746</v>
      </c>
      <c r="AV38" s="1">
        <f>AU38/VLOOKUP(A38,'[49]geoMap (46)'!$A:$B,2,0)*VLOOKUP(A38,'[49]geoMap (46)'!$A:$C,3,0)</f>
        <v>0.58186389241787906</v>
      </c>
      <c r="AW38" s="1" t="e">
        <f>AN38/VLOOKUP(A38,'[87]geoMap (137)'!$A:$B,2,0)*VLOOKUP(A38,'[87]geoMap (137)'!$A:$C,3,0)</f>
        <v>#REF!</v>
      </c>
      <c r="AX38" s="1" t="e">
        <f>AN38/VLOOKUP(A38,'[70]geoMap (138)'!$A:$B,2,0)*VLOOKUP(A38,'[70]geoMap (138)'!$A:$C,3,0)</f>
        <v>#REF!</v>
      </c>
      <c r="AY38" s="1">
        <f>AN38/VLOOKUP(A38,'[88]geoMap (140)'!$A:$B,2,0)*VLOOKUP(A38,'[88]geoMap (140)'!$A:$C,3,0)</f>
        <v>0.86057180727350169</v>
      </c>
      <c r="AZ38" s="1" t="e">
        <f>AY38/VLOOKUP(A38,'[53]geoMap (50)'!$A:$B,2,0)*VLOOKUP(A38,'[53]geoMap (50)'!$A:$C,3,0)</f>
        <v>#REF!</v>
      </c>
      <c r="BA38" s="1" t="e">
        <f>AN38/VLOOKUP(A38,'[71]geoMap (143)'!$A:$B,2,0)*VLOOKUP(A38,'[71]geoMap (143)'!$A:$C,3,0)</f>
        <v>#REF!</v>
      </c>
      <c r="BB38" s="1" t="e">
        <f>AN38/VLOOKUP(A38,'[90]geoMap (144)'!$A:$B,2,0)*VLOOKUP(A38,'[90]geoMap (144)'!$A:$C,3,0)</f>
        <v>#REF!</v>
      </c>
      <c r="BC38" s="1" t="e">
        <f>AN38/VLOOKUP(A38,'[72]geoMap (146)'!$A:$B,2,0)*VLOOKUP(A38,'[72]geoMap (146)'!$A:$C,3,0)</f>
        <v>#REF!</v>
      </c>
      <c r="BD38" s="1" t="e">
        <f>AN38/VLOOKUP(A38,'[73]geoMap (147)'!$A:$B,2,0)*VLOOKUP(A38,'[73]geoMap (147)'!$A:$C,3,0)</f>
        <v>#REF!</v>
      </c>
      <c r="BE38" s="1" t="e">
        <f>AN38/VLOOKUP(A38,'[91]geoMap (148)'!$A:$B,2,0)*VLOOKUP(A38,'[91]geoMap (148)'!$A:$C,3,0)</f>
        <v>#REF!</v>
      </c>
      <c r="BF38" s="1" t="e">
        <f>AN38/VLOOKUP(A38,'[75]geoMap (150)'!$A:$B,2,0)*VLOOKUP(A38,'[75]geoMap (150)'!$A:$C,3,0)</f>
        <v>#REF!</v>
      </c>
      <c r="BG38" s="1" t="e">
        <f>AN38/VLOOKUP(A38,'[93]geoMap (152)'!$A:$B,2,0)*VLOOKUP(A38,'[93]geoMap (152)'!$A:$C,3,0)</f>
        <v>#REF!</v>
      </c>
      <c r="BH38" s="1" t="e">
        <f>AN38/VLOOKUP(A38,'[94]geoMap (154)'!$A:$B,2,0)*VLOOKUP(A38,'[94]geoMap (154)'!$A:$C,3,0)</f>
        <v>#REF!</v>
      </c>
      <c r="BI38" s="1" t="e">
        <f>AN38/VLOOKUP(A38,'[76]geoMap (156)'!$A:$B,2,0)*VLOOKUP(A38,'[76]geoMap (156)'!$A:$C,3,0)</f>
        <v>#REF!</v>
      </c>
      <c r="BJ38" s="1" t="e">
        <f>AN38/VLOOKUP(A38,'[77]geoMap (158)'!$A:$B,2,0)*VLOOKUP(A38,'[77]geoMap (158)'!$A:$C,3,0)</f>
        <v>#REF!</v>
      </c>
      <c r="BK38" s="1" t="e">
        <f>AN38/VLOOKUP(A38,'[78]geoMap (160)'!$A:$B,2,0)*VLOOKUP(A38,'[78]geoMap (160)'!$A:$C,3,0)</f>
        <v>#REF!</v>
      </c>
      <c r="BL38" s="1" t="e">
        <f>AN38/VLOOKUP(A38,'[79]geoMap (162)'!$A:$B,2,0)*VLOOKUP(A38,'[79]geoMap (162)'!$A:$C,3,0)</f>
        <v>#REF!</v>
      </c>
      <c r="BM38" s="1" t="e">
        <f>AN38/VLOOKUP(A38,'[80]geoMap (164)'!$A:$B,2,0)*VLOOKUP(A38,'[80]geoMap (164)'!$A:$C,3,0)</f>
        <v>#REF!</v>
      </c>
      <c r="BN38" s="1" t="e">
        <f>AN38/VLOOKUP(A38,'[81]geoMap (166)'!$A:$B,2,0)*VLOOKUP(A38,'[81]geoMap (166)'!$A:$C,3,0)</f>
        <v>#REF!</v>
      </c>
      <c r="BO38" s="1" t="e">
        <f>AN38/VLOOKUP(A38,'[82]geoMap (168)'!$A:$B,2,0)*VLOOKUP(A38,'[82]geoMap (168)'!$A:$C,3,0)</f>
        <v>#REF!</v>
      </c>
      <c r="BP38" s="1" t="e">
        <f>AN38/VLOOKUP(A38,'[83]geoMap (170)'!$A:$B,2,0)*VLOOKUP(A38,'[83]geoMap (170)'!$A:$C,3,0)</f>
        <v>#REF!</v>
      </c>
    </row>
    <row r="39" spans="1:68" x14ac:dyDescent="0.2">
      <c r="A39" s="1" t="s">
        <v>123</v>
      </c>
      <c r="B39" s="1">
        <f>VLOOKUP(A39,[3]geoMap!$A:$B,2,0)*Notes!$C$6</f>
        <v>5000</v>
      </c>
      <c r="C39" s="1">
        <f>B39/VLOOKUP(A39,'[4]geoMap (1)'!$A:$B,2,0)*VLOOKUP(A39,'[4]geoMap (1)'!$A:$C,3,0)</f>
        <v>4090.9090909090905</v>
      </c>
      <c r="D39" s="1">
        <f>C39/VLOOKUP(A39,'[5]geoMap (2)'!$A:$B,2,0)*VLOOKUP(A39,'[5]geoMap (2)'!$A:$C,3,0)</f>
        <v>3930.481283422459</v>
      </c>
      <c r="E39" s="1">
        <f>D39/VLOOKUP(A39,'[6]geoMap (3)'!$A:$B,2,0)*VLOOKUP(A39,'[6]geoMap (3)'!$A:$C,3,0)</f>
        <v>3088.2352941176459</v>
      </c>
      <c r="F39" s="1">
        <f>E39/VLOOKUP(A39,'[7]geoMap (4)'!$A:$B,2,0)*VLOOKUP(A39,'[7]geoMap (4)'!$A:$C,3,0)</f>
        <v>2426.4705882352932</v>
      </c>
      <c r="G39" s="1">
        <f>F39/VLOOKUP(A39,'[8]geoMap (5)'!$A:$B,2,0)*VLOOKUP(A39,'[8]geoMap (5)'!$A:$C,3,0)</f>
        <v>2628.6764705882347</v>
      </c>
      <c r="H39" s="1">
        <f>G39/VLOOKUP(A39,'[9]geoMap (6)'!$A:$B,2,0)*VLOOKUP(A39,'[9]geoMap (6)'!$A:$C,3,0)</f>
        <v>1752.4509803921567</v>
      </c>
      <c r="I39" s="1">
        <f>H39/VLOOKUP(A39,'[10]geoMap (7)'!$A:$B,2,0)*VLOOKUP(A39,'[10]geoMap (7)'!$A:$C,3,0)</f>
        <v>1554.0603033666293</v>
      </c>
      <c r="J39" s="1">
        <f>I39/VLOOKUP(A39,'[11]geoMap (8)'!$A:$B,2,0)*VLOOKUP(A39,'[11]geoMap (8)'!$A:$C,3,0)</f>
        <v>912.70208292960763</v>
      </c>
      <c r="K39" s="1">
        <f>J39/VLOOKUP(A39,'[12]geoMap (9)'!$A:$B,2,0)*VLOOKUP(A39,'[12]geoMap (9)'!$A:$C,3,0)</f>
        <v>746.75624966967894</v>
      </c>
      <c r="L39" s="1">
        <f>K39/VLOOKUP(A39,'[13]geoMap (10)'!$A:$B,2,0)*VLOOKUP(A39,'[13]geoMap (10)'!$A:$C,3,0)</f>
        <v>335.49918463420357</v>
      </c>
      <c r="M39" s="1">
        <f>L39/VLOOKUP(A39,'[14]geoMap (11)'!$A:$B,2,0)*VLOOKUP(A39,'[14]geoMap (11)'!$A:$C,3,0)</f>
        <v>524.75513494067741</v>
      </c>
      <c r="N39" s="1">
        <f>M39/VLOOKUP(A39,'[15]geoMap (12)'!$A:$B,2,0)*VLOOKUP(A39,'[15]geoMap (12)'!$A:$C,3,0)</f>
        <v>504.17650219790568</v>
      </c>
      <c r="O39" s="1">
        <f>N39/VLOOKUP(A39,'[16]geoMap (13)'!$A:$B,2,0)*VLOOKUP(A39,'[16]geoMap (13)'!$A:$C,3,0)</f>
        <v>336.11766813193714</v>
      </c>
      <c r="P39" s="1">
        <f>O39/VLOOKUP(A39,'[17]geoMap (14)'!$A:$B,2,0)*VLOOKUP(A39,'[17]geoMap (14)'!$A:$C,3,0)</f>
        <v>310.26246289101886</v>
      </c>
      <c r="Q39" s="1">
        <f>P39/VLOOKUP(A39,'[18]geoMap (15)'!$A:$B,2,0)*VLOOKUP(A39,'[18]geoMap (15)'!$A:$C,3,0)</f>
        <v>485.28231375261925</v>
      </c>
      <c r="R39" s="1">
        <f>Q39/VLOOKUP(A39,'[19]geoMap (16)'!$A:$B,2,0)*VLOOKUP(A39,'[19]geoMap (16)'!$A:$C,3,0)</f>
        <v>121.32057843815481</v>
      </c>
      <c r="S39" s="1">
        <f>R39/VLOOKUP(A39,'[20]geoMap (17)'!$A:$B,2,0)*VLOOKUP(A39,'[20]geoMap (17)'!$A:$C,3,0)</f>
        <v>121.32057843815481</v>
      </c>
      <c r="T39" s="1">
        <f>S39/VLOOKUP(A39,'[21]geoMap (18)'!$A:$B,2,0)*VLOOKUP(A39,'[21]geoMap (18)'!$A:$C,3,0)</f>
        <v>91.522541628783472</v>
      </c>
      <c r="U39" s="1" t="e">
        <f>P39/VLOOKUP(A39,'[137]geoMap (94)'!$A:$B,2,0)*VLOOKUP(A39,'[137]geoMap (94)'!$A:$C,3,0)</f>
        <v>#REF!</v>
      </c>
      <c r="V39" s="1">
        <f>O39/VLOOKUP(A39,'[155]geoMap (95)'!$A:$B,2,0)*VLOOKUP(A39,'[155]geoMap (95)'!$A:$C,3,0)</f>
        <v>54.716829695896749</v>
      </c>
      <c r="W39" s="1" t="e">
        <f>O39/VLOOKUP(A39,'[121]geoMap (98)'!$A:$B,2,0)*VLOOKUP(A39,'[121]geoMap (98)'!$A:$C,3,0)</f>
        <v>#REF!</v>
      </c>
      <c r="X39" s="1">
        <f>O39/VLOOKUP(A39,'[141]geoMap (99)'!$A:$B,2,0)*VLOOKUP(A39,'[141]geoMap (99)'!$A:$C,3,0)</f>
        <v>59.314882611518314</v>
      </c>
      <c r="Y39" s="1">
        <f>X39/VLOOKUP(A39,'[26]geoMap (23)'!$A:$B,2,0)*VLOOKUP(A39,'[26]geoMap (23)'!$A:$C,3,0)</f>
        <v>81.911028368287191</v>
      </c>
      <c r="Z39" s="1" t="e">
        <f>Q39/VLOOKUP(A39,'[138]geoMap (105)'!$A:$B,2,0)*VLOOKUP(A39,'[138]geoMap (105)'!$A:$C,3,0)</f>
        <v>#REF!</v>
      </c>
      <c r="AA39" s="1">
        <f>Q39/VLOOKUP(A39,'[139]geoMap (106)'!$A:$B,2,0)*VLOOKUP(A39,'[139]geoMap (106)'!$A:$C,3,0)</f>
        <v>25.541174408032592</v>
      </c>
      <c r="AB39" s="1">
        <f>AA39*VLOOKUP(A39,'[29]geoMap (26)'!$A:$B,2,0)*VLOOKUP(A39,'[29]geoMap (26)'!$A:$C,3,0)</f>
        <v>6.2218300857967384</v>
      </c>
      <c r="AC39" s="1">
        <f>AB39/VLOOKUP(A39,'[30]geoMap (27)'!$A:$B,2,0)*VLOOKUP(A39,'[30]geoMap (27)'!$A:$C,3,0)</f>
        <v>6.2218300857967384</v>
      </c>
      <c r="AD39" s="1">
        <f>AC39/VLOOKUP(A39,'[31]geoMap (28)'!$A:$B,2,0)*VLOOKUP(A39,'[31]geoMap (28)'!$A:$C,3,0)</f>
        <v>5.9778367490988265</v>
      </c>
      <c r="AE39" s="1">
        <f>AD39/VLOOKUP(A39,'[32]geoMap (29)'!$A:$B,2,0)*VLOOKUP(A39,'[32]geoMap (29)'!$A:$C,3,0)</f>
        <v>5.7434117785459309</v>
      </c>
      <c r="AF39" s="1" t="e">
        <f>Y39/VLOOKUP(A39,'[124]geoMap (112)'!$A:$B,2,0)*VLOOKUP(A39,'[124]geoMap (112)'!$A:$C,3,0)</f>
        <v>#REF!</v>
      </c>
      <c r="AG39" s="1" t="e">
        <f>Y39/VLOOKUP(A39,'[151]geoMap (113)'!$A:$B,2,0)*VLOOKUP(A39,'[151]geoMap (113)'!$A:$C,3,0)</f>
        <v>#REF!</v>
      </c>
      <c r="AH39" s="1">
        <f>Y39/VLOOKUP(A39,'[131]geoMap (114)'!$A:$B,2,0)*VLOOKUP(A39,'[131]geoMap (114)'!$A:$C,3,0)</f>
        <v>30.295859807448689</v>
      </c>
      <c r="AI39" s="1" t="e">
        <f>AH39/VLOOKUP(A39,'[36]geoMap (33)'!$A:$B,2,0)*VLOOKUP(A39,'[36]geoMap (33)'!$A:$C,3,0)</f>
        <v>#REF!</v>
      </c>
      <c r="AJ39" s="1" t="e">
        <f>Y39/VLOOKUP(A39,'[112]geoMap (116)'!$A:$B,2,0)*VLOOKUP(A39,'[112]geoMap (116)'!$A:$C,3,0)</f>
        <v>#REF!</v>
      </c>
      <c r="AK39" s="1" t="e">
        <f>Y39/VLOOKUP(A39,'[113]geoMap (117)'!$A:$B,2,0)*VLOOKUP(A39,'[113]geoMap (117)'!$A:$C,3,0)</f>
        <v>#REF!</v>
      </c>
      <c r="AL39" s="1" t="e">
        <f>Y39/VLOOKUP(A39,'[140]geoMap (118)'!$A:$B,2,0)*VLOOKUP(A39,'[140]geoMap (118)'!$A:$C,3,0)</f>
        <v>#REF!</v>
      </c>
      <c r="AM39" s="1">
        <f>AA39/VLOOKUP(A39,'[125]geoMap (120)'!$A:$B,2,0)*VLOOKUP(A39,'[125]geoMap (120)'!$A:$C,3,0)</f>
        <v>16.329603310053624</v>
      </c>
      <c r="AN39" s="1">
        <f>AM39/VLOOKUP(A39,'[41]geoMap (38)'!$A:$B,2,0)*VLOOKUP(A39,'[41]geoMap (38)'!$A:$C,3,0)</f>
        <v>12.318823549689577</v>
      </c>
      <c r="AO39" s="1" t="e">
        <f>AN39/VLOOKUP(A39,'[42]geoMap (39)'!$A:$B,2,0)*VLOOKUP(A39,'[42]geoMap (39)'!$A:$C,3,0)</f>
        <v>#REF!</v>
      </c>
      <c r="AP39" s="1" t="e">
        <f>AM39/VLOOKUP(A39,'[156]geoMap (125)'!$A:$B,2,0)*VLOOKUP(A39,'[156]geoMap (125)'!$A:$C,3,0)</f>
        <v>#REF!</v>
      </c>
      <c r="AQ39" s="1" t="e">
        <f>AN39/VLOOKUP(A39,'[153]geoMap (127)'!$A:$B,2,0)*VLOOKUP(A39,'[153]geoMap (127)'!$A:$C,3,0)</f>
        <v>#REF!</v>
      </c>
      <c r="AR39" s="1" t="e">
        <f>AA39/VLOOKUP(A39,'[100]geoMap (128)'!$A:$B,2,0)*VLOOKUP(A39,'[100]geoMap (128)'!$A:$C,3,0)</f>
        <v>#REF!</v>
      </c>
      <c r="AS39" s="1">
        <f>AA39/VLOOKUP(A39,'[101]geoMap (129)'!$A:$B,2,0)*VLOOKUP(A39,'[101]geoMap (129)'!$A:$C,3,0)</f>
        <v>8.5137248026775314</v>
      </c>
      <c r="AT39" s="1" t="e">
        <f>AS39/VLOOKUP(A39,'[47]geoMap (44)'!$A:$B,2,0)*VLOOKUP(A39,'[47]geoMap (44)'!$A:$C,3,0)</f>
        <v>#REF!</v>
      </c>
      <c r="AU39" s="1" t="e">
        <f>AN39/VLOOKUP(A39,'[85]geoMap (133)'!$A:$B,2,0)*VLOOKUP(A39,'[85]geoMap (133)'!$A:$C,3,0)</f>
        <v>#REF!</v>
      </c>
      <c r="AV39" s="1" t="e">
        <f>AN39/VLOOKUP(A39,'[86]geoMap (135)'!$A:$B,2,0)*VLOOKUP(A39,'[86]geoMap (135)'!$A:$C,3,0)</f>
        <v>#REF!</v>
      </c>
      <c r="AW39" s="1" t="e">
        <f>AN39/VLOOKUP(A39,'[87]geoMap (137)'!$A:$B,2,0)*VLOOKUP(A39,'[87]geoMap (137)'!$A:$C,3,0)</f>
        <v>#REF!</v>
      </c>
      <c r="AX39" s="1" t="e">
        <f>AN39/VLOOKUP(A39,'[70]geoMap (138)'!$A:$B,2,0)*VLOOKUP(A39,'[70]geoMap (138)'!$A:$C,3,0)</f>
        <v>#REF!</v>
      </c>
      <c r="AY39" s="1" t="e">
        <f>AN39/VLOOKUP(A39,'[88]geoMap (140)'!$A:$B,2,0)*VLOOKUP(A39,'[88]geoMap (140)'!$A:$C,3,0)</f>
        <v>#REF!</v>
      </c>
      <c r="AZ39" s="1" t="e">
        <f>AN39/VLOOKUP(A39,'[89]geoMap (141)'!$A:$B,2,0)*VLOOKUP(A39,'[89]geoMap (141)'!$A:$C,3,0)</f>
        <v>#REF!</v>
      </c>
      <c r="BA39" s="1" t="e">
        <f>AN39/VLOOKUP(A39,'[71]geoMap (143)'!$A:$B,2,0)*VLOOKUP(A39,'[71]geoMap (143)'!$A:$C,3,0)</f>
        <v>#REF!</v>
      </c>
      <c r="BB39" s="1" t="e">
        <f>AN39/VLOOKUP(A39,'[90]geoMap (144)'!$A:$B,2,0)*VLOOKUP(A39,'[90]geoMap (144)'!$A:$C,3,0)</f>
        <v>#REF!</v>
      </c>
      <c r="BC39" s="1" t="e">
        <f>AN39/VLOOKUP(A39,'[72]geoMap (146)'!$A:$B,2,0)*VLOOKUP(A39,'[72]geoMap (146)'!$A:$C,3,0)</f>
        <v>#REF!</v>
      </c>
      <c r="BD39" s="1" t="e">
        <f>AN39/VLOOKUP(A39,'[73]geoMap (147)'!$A:$B,2,0)*VLOOKUP(A39,'[73]geoMap (147)'!$A:$C,3,0)</f>
        <v>#REF!</v>
      </c>
      <c r="BE39" s="1" t="e">
        <f>AN39/VLOOKUP(A39,'[91]geoMap (148)'!$A:$B,2,0)*VLOOKUP(A39,'[91]geoMap (148)'!$A:$C,3,0)</f>
        <v>#REF!</v>
      </c>
      <c r="BF39" s="1" t="e">
        <f>AN39/VLOOKUP(A39,'[75]geoMap (150)'!$A:$B,2,0)*VLOOKUP(A39,'[75]geoMap (150)'!$A:$C,3,0)</f>
        <v>#REF!</v>
      </c>
      <c r="BG39" s="1" t="e">
        <f>AN39/VLOOKUP(A39,'[93]geoMap (152)'!$A:$B,2,0)*VLOOKUP(A39,'[93]geoMap (152)'!$A:$C,3,0)</f>
        <v>#REF!</v>
      </c>
      <c r="BH39" s="1" t="e">
        <f>AN39/VLOOKUP(A39,'[94]geoMap (154)'!$A:$B,2,0)*VLOOKUP(A39,'[94]geoMap (154)'!$A:$C,3,0)</f>
        <v>#REF!</v>
      </c>
      <c r="BI39" s="1" t="e">
        <f>AN39/VLOOKUP(A39,'[76]geoMap (156)'!$A:$B,2,0)*VLOOKUP(A39,'[76]geoMap (156)'!$A:$C,3,0)</f>
        <v>#REF!</v>
      </c>
      <c r="BJ39" s="1" t="e">
        <f>AN39/VLOOKUP(A39,'[77]geoMap (158)'!$A:$B,2,0)*VLOOKUP(A39,'[77]geoMap (158)'!$A:$C,3,0)</f>
        <v>#REF!</v>
      </c>
      <c r="BK39" s="1" t="e">
        <f>AN39/VLOOKUP(A39,'[78]geoMap (160)'!$A:$B,2,0)*VLOOKUP(A39,'[78]geoMap (160)'!$A:$C,3,0)</f>
        <v>#REF!</v>
      </c>
      <c r="BL39" s="1" t="e">
        <f>AN39/VLOOKUP(A39,'[79]geoMap (162)'!$A:$B,2,0)*VLOOKUP(A39,'[79]geoMap (162)'!$A:$C,3,0)</f>
        <v>#REF!</v>
      </c>
      <c r="BM39" s="1" t="e">
        <f>AN39/VLOOKUP(A39,'[80]geoMap (164)'!$A:$B,2,0)*VLOOKUP(A39,'[80]geoMap (164)'!$A:$C,3,0)</f>
        <v>#REF!</v>
      </c>
      <c r="BN39" s="1" t="e">
        <f>AN39/VLOOKUP(A39,'[81]geoMap (166)'!$A:$B,2,0)*VLOOKUP(A39,'[81]geoMap (166)'!$A:$C,3,0)</f>
        <v>#REF!</v>
      </c>
      <c r="BO39" s="1" t="e">
        <f>AN39/VLOOKUP(A39,'[82]geoMap (168)'!$A:$B,2,0)*VLOOKUP(A39,'[82]geoMap (168)'!$A:$C,3,0)</f>
        <v>#REF!</v>
      </c>
      <c r="BP39" s="1" t="e">
        <f>AN39/VLOOKUP(A39,'[83]geoMap (170)'!$A:$B,2,0)*VLOOKUP(A39,'[83]geoMap (170)'!$A:$C,3,0)</f>
        <v>#REF!</v>
      </c>
    </row>
    <row r="40" spans="1:68" x14ac:dyDescent="0.2">
      <c r="A40" s="1" t="s">
        <v>126</v>
      </c>
      <c r="B40" s="1">
        <f>VLOOKUP(A40,[3]geoMap!$A:$B,2,0)*Notes!$C$6</f>
        <v>5000</v>
      </c>
      <c r="C40" s="1">
        <f>B40/VLOOKUP(A40,'[4]geoMap (1)'!$A:$B,2,0)*VLOOKUP(A40,'[4]geoMap (1)'!$A:$C,3,0)</f>
        <v>3771.9298245614041</v>
      </c>
      <c r="D40" s="1">
        <f>C40/VLOOKUP(A40,'[5]geoMap (2)'!$A:$B,2,0)*VLOOKUP(A40,'[5]geoMap (2)'!$A:$C,3,0)</f>
        <v>3925.8861439312573</v>
      </c>
      <c r="E40" s="1">
        <f>D40/VLOOKUP(A40,'[6]geoMap (3)'!$A:$B,2,0)*VLOOKUP(A40,'[6]geoMap (3)'!$A:$C,3,0)</f>
        <v>5421.4618178098308</v>
      </c>
      <c r="F40" s="1">
        <f>E40/VLOOKUP(A40,'[7]geoMap (4)'!$A:$B,2,0)*VLOOKUP(A40,'[7]geoMap (4)'!$A:$C,3,0)</f>
        <v>5208.8554720133661</v>
      </c>
      <c r="G40" s="1">
        <f>F40/VLOOKUP(A40,'[8]geoMap (5)'!$A:$B,2,0)*VLOOKUP(A40,'[8]geoMap (5)'!$A:$C,3,0)</f>
        <v>3059.1690867380084</v>
      </c>
      <c r="H40" s="1">
        <f>G40/VLOOKUP(A40,'[9]geoMap (6)'!$A:$B,2,0)*VLOOKUP(A40,'[9]geoMap (6)'!$A:$C,3,0)</f>
        <v>1249.5197678225668</v>
      </c>
      <c r="I40" s="1">
        <f>H40/VLOOKUP(A40,'[10]geoMap (7)'!$A:$B,2,0)*VLOOKUP(A40,'[10]geoMap (7)'!$A:$C,3,0)</f>
        <v>1108.0646997671818</v>
      </c>
      <c r="J40" s="1">
        <f>I40/VLOOKUP(A40,'[11]geoMap (8)'!$A:$B,2,0)*VLOOKUP(A40,'[11]geoMap (8)'!$A:$C,3,0)</f>
        <v>1064.6111821292532</v>
      </c>
      <c r="K40" s="1">
        <f>J40/VLOOKUP(A40,'[12]geoMap (9)'!$A:$B,2,0)*VLOOKUP(A40,'[12]geoMap (9)'!$A:$C,3,0)</f>
        <v>982.71801427315677</v>
      </c>
      <c r="L40" s="1">
        <f>K40/VLOOKUP(A40,'[13]geoMap (10)'!$A:$B,2,0)*VLOOKUP(A40,'[13]geoMap (10)'!$A:$C,3,0)</f>
        <v>602.31104100612833</v>
      </c>
      <c r="M40" s="1">
        <f>L40/VLOOKUP(A40,'[14]geoMap (11)'!$A:$B,2,0)*VLOOKUP(A40,'[14]geoMap (11)'!$A:$C,3,0)</f>
        <v>534.12488542052893</v>
      </c>
      <c r="N40" s="1">
        <f>M40/VLOOKUP(A40,'[15]geoMap (12)'!$A:$B,2,0)*VLOOKUP(A40,'[15]geoMap (12)'!$A:$C,3,0)</f>
        <v>327.36686525774354</v>
      </c>
      <c r="O40" s="1">
        <f>N40/VLOOKUP(A40,'[16]geoMap (13)'!$A:$B,2,0)*VLOOKUP(A40,'[16]geoMap (13)'!$A:$C,3,0)</f>
        <v>302.1847986994556</v>
      </c>
      <c r="P40" s="1">
        <f>O40/VLOOKUP(A40,'[17]geoMap (14)'!$A:$B,2,0)*VLOOKUP(A40,'[17]geoMap (14)'!$A:$C,3,0)</f>
        <v>453.27719804918337</v>
      </c>
      <c r="Q40" s="1">
        <f>P40/VLOOKUP(A40,'[18]geoMap (15)'!$A:$B,2,0)*VLOOKUP(A40,'[18]geoMap (15)'!$A:$C,3,0)</f>
        <v>223.25593336750822</v>
      </c>
      <c r="R40" s="1">
        <f>Q40/VLOOKUP(A40,'[19]geoMap (16)'!$A:$B,2,0)*VLOOKUP(A40,'[19]geoMap (16)'!$A:$C,3,0)</f>
        <v>100.3033903535182</v>
      </c>
      <c r="S40" s="1">
        <f>R40/VLOOKUP(A40,'[20]geoMap (17)'!$A:$B,2,0)*VLOOKUP(A40,'[20]geoMap (17)'!$A:$C,3,0)</f>
        <v>122.59303265430003</v>
      </c>
      <c r="T40" s="1">
        <f>S40/VLOOKUP(A40,'[21]geoMap (18)'!$A:$B,2,0)*VLOOKUP(A40,'[21]geoMap (18)'!$A:$C,3,0)</f>
        <v>47.675068254450018</v>
      </c>
      <c r="U40" s="1">
        <f>T40/VLOOKUP(A40,'[22]geoMap (19)'!$A:$B,2,0)*VLOOKUP(A40,'[22]geoMap (19)'!$A:$C,3,0)</f>
        <v>77.785637678313179</v>
      </c>
      <c r="V40" s="1">
        <f>U40/VLOOKUP(A40,'[23]geoMap (20)'!$A:$B,2,0)*VLOOKUP(A40,'[23]geoMap (20)'!$A:$C,3,0)</f>
        <v>91.313574665845906</v>
      </c>
      <c r="W40" s="1">
        <f>V40/VLOOKUP(A40,'[24]geoMap (21)'!$A:$B,2,0)*VLOOKUP(A40,'[24]geoMap (21)'!$A:$C,3,0)</f>
        <v>22.828393666461476</v>
      </c>
      <c r="X40" s="1">
        <f>W40/VLOOKUP(A40,'[25]geoMap (22)'!$A:$B,2,0)*VLOOKUP(A40,'[25]geoMap (22)'!$A:$C,3,0)</f>
        <v>44.313940646660505</v>
      </c>
      <c r="Y40" s="1">
        <f>X40/VLOOKUP(A40,'[26]geoMap (23)'!$A:$B,2,0)*VLOOKUP(A40,'[26]geoMap (23)'!$A:$C,3,0)</f>
        <v>28.331863692127207</v>
      </c>
      <c r="Z40" s="1">
        <f>Y40/VLOOKUP(A40,'[27]geoMap (24)'!$A:$B,2,0)*VLOOKUP(A40,'[27]geoMap (24)'!$A:$C,3,0)</f>
        <v>25.124482896792049</v>
      </c>
      <c r="AA40" s="1">
        <f>Z40/VLOOKUP(A40,'[28]geoMap (25)'!$A:$B,2,0)*VLOOKUP(A40,'[28]geoMap (25)'!$A:$C,3,0)</f>
        <v>18.953557273018564</v>
      </c>
      <c r="AB40" s="1">
        <f>AA40*VLOOKUP(A40,'[29]geoMap (26)'!$A:$B,2,0)*VLOOKUP(A40,'[29]geoMap (26)'!$A:$C,3,0)</f>
        <v>4.6170865517073212</v>
      </c>
      <c r="AC40" s="1">
        <f>AB40/VLOOKUP(A40,'[30]geoMap (27)'!$A:$B,2,0)*VLOOKUP(A40,'[30]geoMap (27)'!$A:$C,3,0)</f>
        <v>3.7776162695787168</v>
      </c>
      <c r="AD40" s="1">
        <f>AC40/VLOOKUP(A40,'[31]geoMap (28)'!$A:$B,2,0)*VLOOKUP(A40,'[31]geoMap (28)'!$A:$C,3,0)</f>
        <v>3.0907769478371319</v>
      </c>
      <c r="AE40" s="1">
        <f>AD40/VLOOKUP(A40,'[32]geoMap (29)'!$A:$B,2,0)*VLOOKUP(A40,'[32]geoMap (29)'!$A:$C,3,0)</f>
        <v>2.3316387501227487</v>
      </c>
      <c r="AF40" s="1">
        <f>AE40/VLOOKUP(A40,'[33]geoMap (30)'!$A:$B,2,0)*VLOOKUP(A40,'[33]geoMap (30)'!$A:$C,3,0)</f>
        <v>1.8320018750964453</v>
      </c>
      <c r="AG40" s="1">
        <f>AF40/VLOOKUP(A40,'[34]geoMap (31)'!$A:$B,2,0)*VLOOKUP(A40,'[34]geoMap (31)'!$A:$C,3,0)</f>
        <v>6.4952793753419424</v>
      </c>
      <c r="AH40" s="1">
        <f>AG40/VLOOKUP(A40,'[35]geoMap (32)'!$A:$B,2,0)*VLOOKUP(A40,'[35]geoMap (32)'!$A:$C,3,0)</f>
        <v>2.402363604578527</v>
      </c>
      <c r="AI40" s="1">
        <f>AH40/VLOOKUP(A40,'[36]geoMap (33)'!$A:$B,2,0)*VLOOKUP(A40,'[36]geoMap (33)'!$A:$C,3,0)</f>
        <v>1.9655702219278857</v>
      </c>
      <c r="AJ40" s="1">
        <f>AI40/VLOOKUP(A40,'[37]geoMap (34)'!$A:$B,2,0)*VLOOKUP(A40,'[37]geoMap (34)'!$A:$C,3,0)</f>
        <v>1.3659047304922596</v>
      </c>
      <c r="AK40" s="1">
        <f>AJ40/VLOOKUP(A40,'[38]geoMap (35)'!$A:$B,2,0)*VLOOKUP(A40,'[38]geoMap (35)'!$A:$C,3,0)</f>
        <v>3.6930016787383315</v>
      </c>
      <c r="AL40" s="1" t="e">
        <f>Z40/VLOOKUP(A40,'[114]geoMap (119)'!$A:$B,2,0)*VLOOKUP(A40,'[114]geoMap (119)'!$A:$C,3,0)</f>
        <v>#REF!</v>
      </c>
      <c r="AM40" s="1">
        <f>AA40/VLOOKUP(A40,'[125]geoMap (120)'!$A:$B,2,0)*VLOOKUP(A40,'[125]geoMap (120)'!$A:$C,3,0)</f>
        <v>5.9853338756900731</v>
      </c>
      <c r="AN40" s="1">
        <f>AM40/VLOOKUP(A40,'[41]geoMap (38)'!$A:$B,2,0)*VLOOKUP(A40,'[41]geoMap (38)'!$A:$C,3,0)</f>
        <v>2.4447138365494667</v>
      </c>
      <c r="AO40" s="1">
        <f>AN40/VLOOKUP(A40,'[42]geoMap (39)'!$A:$B,2,0)*VLOOKUP(A40,'[42]geoMap (39)'!$A:$C,3,0)</f>
        <v>3.9887436280543933</v>
      </c>
      <c r="AP40" s="1">
        <f>AO40/VLOOKUP(A40,'[43]geoMap (40)'!$A:$B,2,0)*VLOOKUP(A40,'[43]geoMap (40)'!$A:$C,3,0)</f>
        <v>2.4447138365494667</v>
      </c>
      <c r="AQ40" s="1" t="e">
        <f>AP40/VLOOKUP(A40,'[44]geoMap (41)'!$A:$B,2,0)*VLOOKUP(A40,'[44]geoMap (41)'!$A:$C,3,0)</f>
        <v>#REF!</v>
      </c>
      <c r="AR40" s="1">
        <f>AA40/VLOOKUP(A40,'[100]geoMap (128)'!$A:$B,2,0)*VLOOKUP(A40,'[100]geoMap (128)'!$A:$C,3,0)</f>
        <v>3.0854628118867433</v>
      </c>
      <c r="AS40" s="1">
        <f>AR40/VLOOKUP(A40,'[46]geoMap (43)'!$A:$B,2,0)*VLOOKUP(A40,'[46]geoMap (43)'!$A:$C,3,0)</f>
        <v>12.341851247546973</v>
      </c>
      <c r="AT40" s="1">
        <f>AS40/VLOOKUP(A40,'[47]geoMap (44)'!$A:$B,2,0)*VLOOKUP(A40,'[47]geoMap (44)'!$A:$C,3,0)</f>
        <v>4.7996088184904906</v>
      </c>
      <c r="AU40" s="1">
        <f>AT40/VLOOKUP(A40,'[48]geoMap (45)'!$A:$B,2,0)*VLOOKUP(A40,'[48]geoMap (45)'!$A:$C,3,0)</f>
        <v>2.3639864329878537</v>
      </c>
      <c r="AV40" s="1" t="e">
        <f>AN40/VLOOKUP(A40,'[86]geoMap (135)'!$A:$B,2,0)*VLOOKUP(A40,'[86]geoMap (135)'!$A:$C,3,0)</f>
        <v>#REF!</v>
      </c>
      <c r="AW40" s="1">
        <f>AN40/VLOOKUP(A40,'[87]geoMap (137)'!$A:$B,2,0)*VLOOKUP(A40,'[87]geoMap (137)'!$A:$C,3,0)</f>
        <v>2.1679537795816022</v>
      </c>
      <c r="AX40" s="1">
        <f>AW40/VLOOKUP(A40,'[51]geoMap (48)'!$A:$B,2,0)*VLOOKUP(A40,'[51]geoMap (48)'!$A:$C,3,0)</f>
        <v>3.6913807598281339</v>
      </c>
      <c r="AY40" s="1" t="e">
        <f>AX40/VLOOKUP(A40,'[52]geoMap (49)'!$A:$B,2,0)*VLOOKUP(A40,'[52]geoMap (49)'!$A:$C,3,0)</f>
        <v>#REF!</v>
      </c>
      <c r="AZ40" s="1">
        <f>AN40/VLOOKUP(A40,'[89]geoMap (141)'!$A:$B,2,0)*VLOOKUP(A40,'[89]geoMap (141)'!$A:$C,3,0)</f>
        <v>1.6988689372631889</v>
      </c>
      <c r="BA40" s="1" t="e">
        <f>AZ40/VLOOKUP(A40,'[54]geoMap (51)'!$A:$B,2,0)*VLOOKUP(A40,'[54]geoMap (51)'!$A:$C,3,0)</f>
        <v>#REF!</v>
      </c>
      <c r="BB40" s="1" t="e">
        <f>AN40/VLOOKUP(A40,'[90]geoMap (144)'!$A:$B,2,0)*VLOOKUP(A40,'[90]geoMap (144)'!$A:$C,3,0)</f>
        <v>#REF!</v>
      </c>
      <c r="BC40" s="1" t="e">
        <f>AN40/VLOOKUP(A40,'[72]geoMap (146)'!$A:$B,2,0)*VLOOKUP(A40,'[72]geoMap (146)'!$A:$C,3,0)</f>
        <v>#REF!</v>
      </c>
      <c r="BD40" s="1" t="e">
        <f>AN40/VLOOKUP(A40,'[73]geoMap (147)'!$A:$B,2,0)*VLOOKUP(A40,'[73]geoMap (147)'!$A:$C,3,0)</f>
        <v>#REF!</v>
      </c>
      <c r="BE40" s="1" t="e">
        <f>AN40/VLOOKUP(A40,'[91]geoMap (148)'!$A:$B,2,0)*VLOOKUP(A40,'[91]geoMap (148)'!$A:$C,3,0)</f>
        <v>#REF!</v>
      </c>
      <c r="BF40" s="1" t="e">
        <f>AN40/VLOOKUP(A40,'[75]geoMap (150)'!$A:$B,2,0)*VLOOKUP(A40,'[75]geoMap (150)'!$A:$C,3,0)</f>
        <v>#REF!</v>
      </c>
      <c r="BG40" s="1" t="e">
        <f>AN40/VLOOKUP(A40,'[93]geoMap (152)'!$A:$B,2,0)*VLOOKUP(A40,'[93]geoMap (152)'!$A:$C,3,0)</f>
        <v>#REF!</v>
      </c>
      <c r="BH40" s="1" t="e">
        <f>AN40/VLOOKUP(A40,'[94]geoMap (154)'!$A:$B,2,0)*VLOOKUP(A40,'[94]geoMap (154)'!$A:$C,3,0)</f>
        <v>#REF!</v>
      </c>
      <c r="BI40" s="1" t="e">
        <f>AS40/VLOOKUP(A40,'[104]geoMap (157)'!$A:$B,2,0)*VLOOKUP(A40,'[104]geoMap (157)'!$A:$C,3,0)</f>
        <v>#REF!</v>
      </c>
      <c r="BJ40" s="1" t="e">
        <f>AS40/VLOOKUP(A40,'[105]geoMap (159)'!$A:$B,2,0)*VLOOKUP(A40,'[105]geoMap (159)'!$A:$C,3,0)</f>
        <v>#REF!</v>
      </c>
      <c r="BK40" s="1" t="e">
        <f>AS40/VLOOKUP(A40,'[106]geoMap (161)'!$A:$B,2,0)*VLOOKUP(A40,'[106]geoMap (161)'!$A:$C,3,0)</f>
        <v>#REF!</v>
      </c>
      <c r="BL40" s="1" t="e">
        <f>AN40/VLOOKUP(A40,'[79]geoMap (162)'!$A:$B,2,0)*VLOOKUP(A40,'[79]geoMap (162)'!$A:$C,3,0)</f>
        <v>#REF!</v>
      </c>
      <c r="BM40" s="1" t="e">
        <f>AN40/VLOOKUP(A40,'[80]geoMap (164)'!$A:$B,2,0)*VLOOKUP(A40,'[80]geoMap (164)'!$A:$C,3,0)</f>
        <v>#REF!</v>
      </c>
      <c r="BN40" s="1" t="e">
        <f>AN40/VLOOKUP(A40,'[81]geoMap (166)'!$A:$B,2,0)*VLOOKUP(A40,'[81]geoMap (166)'!$A:$C,3,0)</f>
        <v>#REF!</v>
      </c>
      <c r="BO40" s="1" t="e">
        <f>AS40/VLOOKUP(A40,'[107]geoMap (169)'!$A:$B,2,0)*VLOOKUP(A40,'[107]geoMap (169)'!$A:$C,3,0)</f>
        <v>#REF!</v>
      </c>
      <c r="BP40" s="1" t="e">
        <f>AS40/VLOOKUP(A40,'[108]geoMap (171)'!$A:$B,2,0)*VLOOKUP(A40,'[108]geoMap (171)'!$A:$C,3,0)</f>
        <v>#REF!</v>
      </c>
    </row>
    <row r="41" spans="1:68" x14ac:dyDescent="0.2">
      <c r="A41" s="1" t="s">
        <v>122</v>
      </c>
      <c r="B41" s="1">
        <f>VLOOKUP(A41,[3]geoMap!$A:$B,2,0)*Notes!$C$6</f>
        <v>5000</v>
      </c>
      <c r="C41" s="1">
        <f>B41/VLOOKUP(A41,'[4]geoMap (1)'!$A:$B,2,0)*VLOOKUP(A41,'[4]geoMap (1)'!$A:$C,3,0)</f>
        <v>3620.6896551724139</v>
      </c>
      <c r="D41" s="1">
        <f>C41/VLOOKUP(A41,'[5]geoMap (2)'!$A:$B,2,0)*VLOOKUP(A41,'[5]geoMap (2)'!$A:$C,3,0)</f>
        <v>4608.1504702194361</v>
      </c>
      <c r="E41" s="1">
        <f>D41/VLOOKUP(A41,'[6]geoMap (3)'!$A:$B,2,0)*VLOOKUP(A41,'[6]geoMap (3)'!$A:$C,3,0)</f>
        <v>2824.3502881990094</v>
      </c>
      <c r="F41" s="1">
        <f>E41/VLOOKUP(A41,'[7]geoMap (4)'!$A:$B,2,0)*VLOOKUP(A41,'[7]geoMap (4)'!$A:$C,3,0)</f>
        <v>2939.6298917989693</v>
      </c>
      <c r="G41" s="1">
        <f>F41/VLOOKUP(A41,'[8]geoMap (5)'!$A:$B,2,0)*VLOOKUP(A41,'[8]geoMap (5)'!$A:$C,3,0)</f>
        <v>3059.6147853417847</v>
      </c>
      <c r="H41" s="1">
        <f>G41/VLOOKUP(A41,'[9]geoMap (6)'!$A:$B,2,0)*VLOOKUP(A41,'[9]geoMap (6)'!$A:$C,3,0)</f>
        <v>1875.247771661094</v>
      </c>
      <c r="I41" s="1">
        <f>H41/VLOOKUP(A41,'[10]geoMap (7)'!$A:$B,2,0)*VLOOKUP(A41,'[10]geoMap (7)'!$A:$C,3,0)</f>
        <v>1250.1651811073962</v>
      </c>
      <c r="J41" s="1">
        <f>I41/VLOOKUP(A41,'[11]geoMap (8)'!$A:$B,2,0)*VLOOKUP(A41,'[11]geoMap (8)'!$A:$C,3,0)</f>
        <v>868.75885466785155</v>
      </c>
      <c r="K41" s="1">
        <f>J41/VLOOKUP(A41,'[12]geoMap (9)'!$A:$B,2,0)*VLOOKUP(A41,'[12]geoMap (9)'!$A:$C,3,0)</f>
        <v>1019.8473511318257</v>
      </c>
      <c r="L41" s="1" t="e">
        <f>F41/VLOOKUP(A41,'[157]geoMap (76)'!$A:$B,2,0)*VLOOKUP(A41,'[157]geoMap (76)'!$A:$C,3,0)</f>
        <v>#REF!</v>
      </c>
      <c r="M41" s="1">
        <f>F41/VLOOKUP(A41,'[158]geoMap (77)'!$A:$B,2,0)*VLOOKUP(A41,'[158]geoMap (77)'!$A:$C,3,0)</f>
        <v>1032.8429349563946</v>
      </c>
      <c r="N41" s="1">
        <f>M41/VLOOKUP(A41,'[15]geoMap (12)'!$A:$B,2,0)*VLOOKUP(A41,'[15]geoMap (12)'!$A:$C,3,0)</f>
        <v>532.07060285632451</v>
      </c>
      <c r="O41" s="1">
        <f>N41/VLOOKUP(A41,'[16]geoMap (13)'!$A:$B,2,0)*VLOOKUP(A41,'[16]geoMap (13)'!$A:$C,3,0)</f>
        <v>299.28971410668248</v>
      </c>
      <c r="P41" s="1" t="e">
        <f>F41/VLOOKUP(A41,'[129]geoMap (84)'!$A:$B,2,0)*VLOOKUP(A41,'[129]geoMap (84)'!$A:$C,3,0)</f>
        <v>#REF!</v>
      </c>
      <c r="Q41" s="1">
        <f>F41/VLOOKUP(A41,'[130]geoMap (85)'!$A:$B,2,0)*VLOOKUP(A41,'[130]geoMap (85)'!$A:$C,3,0)</f>
        <v>154.71736272626157</v>
      </c>
      <c r="R41" s="1" t="e">
        <f>L41/VLOOKUP(A41,'[136]geoMap (89)'!$A:$B,2,0)*VLOOKUP(A41,'[136]geoMap (89)'!$A:$C,3,0)</f>
        <v>#REF!</v>
      </c>
      <c r="S41" s="1">
        <f>O41/VLOOKUP(A41,'[110]geoMap (90)'!$A:$B,2,0)*VLOOKUP(A41,'[110]geoMap (90)'!$A:$C,3,0)</f>
        <v>110.69619562849901</v>
      </c>
      <c r="T41" s="1">
        <f>S41/VLOOKUP(A41,'[21]geoMap (18)'!$A:$B,2,0)*VLOOKUP(A41,'[21]geoMap (18)'!$A:$C,3,0)</f>
        <v>67.846055385209084</v>
      </c>
      <c r="U41" s="1" t="e">
        <f>P41/VLOOKUP(A41,'[137]geoMap (94)'!$A:$B,2,0)*VLOOKUP(A41,'[137]geoMap (94)'!$A:$C,3,0)</f>
        <v>#REF!</v>
      </c>
      <c r="V41" s="1" t="e">
        <f>Q41/VLOOKUP(A41,'[95]geoMap (96)'!$A:$B,2,0)*VLOOKUP(A41,'[95]geoMap (96)'!$A:$C,3,0)</f>
        <v>#REF!</v>
      </c>
      <c r="W41" s="1" t="e">
        <f>O41/VLOOKUP(A41,'[121]geoMap (98)'!$A:$B,2,0)*VLOOKUP(A41,'[121]geoMap (98)'!$A:$C,3,0)</f>
        <v>#REF!</v>
      </c>
      <c r="X41" s="1" t="e">
        <f>Q41/VLOOKUP(A41,'[122]geoMap (100)'!$A:$B,2,0)*VLOOKUP(A41,'[122]geoMap (100)'!$A:$C,3,0)</f>
        <v>#REF!</v>
      </c>
      <c r="Y41" s="1">
        <f>O41/VLOOKUP(A41,'[123]geoMap (101)'!$A:$B,2,0)*VLOOKUP(A41,'[123]geoMap (101)'!$A:$C,3,0)</f>
        <v>36.99086354127536</v>
      </c>
      <c r="Z41" s="1" t="e">
        <f>Q41/VLOOKUP(A41,'[138]geoMap (105)'!$A:$B,2,0)*VLOOKUP(A41,'[138]geoMap (105)'!$A:$C,3,0)</f>
        <v>#REF!</v>
      </c>
      <c r="AA41" s="1">
        <f>Q41/VLOOKUP(A41,'[139]geoMap (106)'!$A:$B,2,0)*VLOOKUP(A41,'[139]geoMap (106)'!$A:$C,3,0)</f>
        <v>121.56364214206265</v>
      </c>
      <c r="AB41" s="1">
        <f>AA41*VLOOKUP(A41,'[29]geoMap (26)'!$A:$B,2,0)*VLOOKUP(A41,'[29]geoMap (26)'!$A:$C,3,0)</f>
        <v>21.528921023359295</v>
      </c>
      <c r="AC41" s="1">
        <f>Y41/VLOOKUP(A41,'[111]geoMap (107)'!$A:$B,2,0)*VLOOKUP(A41,'[111]geoMap (107)'!$A:$C,3,0)</f>
        <v>16.61908361999328</v>
      </c>
      <c r="AD41" s="1">
        <f>AC41/VLOOKUP(A41,'[31]geoMap (28)'!$A:$B,2,0)*VLOOKUP(A41,'[31]geoMap (28)'!$A:$C,3,0)</f>
        <v>24.928625429989918</v>
      </c>
      <c r="AE41" s="1">
        <f>AD41/VLOOKUP(A41,'[32]geoMap (29)'!$A:$B,2,0)*VLOOKUP(A41,'[32]geoMap (29)'!$A:$C,3,0)</f>
        <v>15.937973635567326</v>
      </c>
      <c r="AF41" s="1" t="e">
        <f>Y41/VLOOKUP(A41,'[124]geoMap (112)'!$A:$B,2,0)*VLOOKUP(A41,'[124]geoMap (112)'!$A:$C,3,0)</f>
        <v>#REF!</v>
      </c>
      <c r="AG41" s="1" t="e">
        <f>Y41/VLOOKUP(A41,'[151]geoMap (113)'!$A:$B,2,0)*VLOOKUP(A41,'[151]geoMap (113)'!$A:$C,3,0)</f>
        <v>#REF!</v>
      </c>
      <c r="AH41" s="1" t="e">
        <f>Y41/VLOOKUP(A41,'[131]geoMap (114)'!$A:$B,2,0)*VLOOKUP(A41,'[131]geoMap (114)'!$A:$C,3,0)</f>
        <v>#REF!</v>
      </c>
      <c r="AI41" s="1" t="e">
        <f>Y41/VLOOKUP(A41,'[132]geoMap (115)'!$A:$B,2,0)*VLOOKUP(A41,'[132]geoMap (115)'!$A:$C,3,0)</f>
        <v>#REF!</v>
      </c>
      <c r="AJ41" s="1" t="e">
        <f>Y41/VLOOKUP(A41,'[112]geoMap (116)'!$A:$B,2,0)*VLOOKUP(A41,'[112]geoMap (116)'!$A:$C,3,0)</f>
        <v>#REF!</v>
      </c>
      <c r="AK41" s="1" t="e">
        <f>Y41/VLOOKUP(A41,'[113]geoMap (117)'!$A:$B,2,0)*VLOOKUP(A41,'[113]geoMap (117)'!$A:$C,3,0)</f>
        <v>#REF!</v>
      </c>
      <c r="AL41" s="1" t="e">
        <f>Y41/VLOOKUP(A41,'[140]geoMap (118)'!$A:$B,2,0)*VLOOKUP(A41,'[140]geoMap (118)'!$A:$C,3,0)</f>
        <v>#REF!</v>
      </c>
      <c r="AM41" s="1" t="e">
        <f>AA41/VLOOKUP(A41,'[125]geoMap (120)'!$A:$B,2,0)*VLOOKUP(A41,'[125]geoMap (120)'!$A:$C,3,0)</f>
        <v>#REF!</v>
      </c>
      <c r="AN41" s="1">
        <f>AE41/61*39</f>
        <v>10.189851996510258</v>
      </c>
      <c r="AO41" s="1" t="e">
        <f>AN41/VLOOKUP(A41,'[42]geoMap (39)'!$A:$B,2,0)*VLOOKUP(A41,'[42]geoMap (39)'!$A:$C,3,0)</f>
        <v>#REF!</v>
      </c>
      <c r="AP41" s="1" t="e">
        <f>AN41/VLOOKUP(A41,'[126]geoMap (124)'!$A:$B,2,0)*VLOOKUP(A41,'[126]geoMap (124)'!$A:$C,3,0)</f>
        <v>#REF!</v>
      </c>
      <c r="AQ41" s="1" t="e">
        <f>AN41/VLOOKUP(A41,'[153]geoMap (127)'!$A:$B,2,0)*VLOOKUP(A41,'[153]geoMap (127)'!$A:$C,3,0)</f>
        <v>#REF!</v>
      </c>
      <c r="AR41" s="1" t="e">
        <f>AA41/VLOOKUP(A41,'[100]geoMap (128)'!$A:$B,2,0)*VLOOKUP(A41,'[100]geoMap (128)'!$A:$C,3,0)</f>
        <v>#REF!</v>
      </c>
      <c r="AS41" s="1" t="e">
        <f>AN41/VLOOKUP(A41,'[143]geoMap (130)'!$A:$B,2,0)*VLOOKUP(A41,'[143]geoMap (130)'!$A:$C,3,0)</f>
        <v>#REF!</v>
      </c>
      <c r="AT41" s="1" t="e">
        <f>AN41/VLOOKUP(A41,'[154]geoMap (132)'!$A:$B,2,0)*VLOOKUP(A41,'[154]geoMap (132)'!$A:$C,3,0)</f>
        <v>#REF!</v>
      </c>
      <c r="AU41" s="1" t="e">
        <f>AN41/VLOOKUP(A41,'[85]geoMap (133)'!$A:$B,2,0)*VLOOKUP(A41,'[85]geoMap (133)'!$A:$C,3,0)</f>
        <v>#REF!</v>
      </c>
      <c r="AV41" s="1" t="e">
        <f>AN41/VLOOKUP(A41,'[86]geoMap (135)'!$A:$B,2,0)*VLOOKUP(A41,'[86]geoMap (135)'!$A:$C,3,0)</f>
        <v>#REF!</v>
      </c>
      <c r="AW41" s="1" t="e">
        <f>AN41/VLOOKUP(A41,'[87]geoMap (137)'!$A:$B,2,0)*VLOOKUP(A41,'[87]geoMap (137)'!$A:$C,3,0)</f>
        <v>#REF!</v>
      </c>
      <c r="AX41" s="1" t="e">
        <f>AN41/VLOOKUP(A41,'[70]geoMap (138)'!$A:$B,2,0)*VLOOKUP(A41,'[70]geoMap (138)'!$A:$C,3,0)</f>
        <v>#REF!</v>
      </c>
      <c r="AY41" s="1" t="e">
        <f>AN41/VLOOKUP(A41,'[88]geoMap (140)'!$A:$B,2,0)*VLOOKUP(A41,'[88]geoMap (140)'!$A:$C,3,0)</f>
        <v>#REF!</v>
      </c>
      <c r="AZ41" s="1" t="e">
        <f>AN41/VLOOKUP(A41,'[89]geoMap (141)'!$A:$B,2,0)*VLOOKUP(A41,'[89]geoMap (141)'!$A:$C,3,0)</f>
        <v>#REF!</v>
      </c>
      <c r="BA41" s="1" t="e">
        <f>AN41/VLOOKUP(A41,'[71]geoMap (143)'!$A:$B,2,0)*VLOOKUP(A41,'[71]geoMap (143)'!$A:$C,3,0)</f>
        <v>#REF!</v>
      </c>
      <c r="BB41" s="1" t="e">
        <f>AN41/VLOOKUP(A41,'[90]geoMap (144)'!$A:$B,2,0)*VLOOKUP(A41,'[90]geoMap (144)'!$A:$C,3,0)</f>
        <v>#REF!</v>
      </c>
      <c r="BC41" s="1" t="e">
        <f>AN41/VLOOKUP(A41,'[72]geoMap (146)'!$A:$B,2,0)*VLOOKUP(A41,'[72]geoMap (146)'!$A:$C,3,0)</f>
        <v>#REF!</v>
      </c>
      <c r="BD41" s="1" t="e">
        <f>AN41/VLOOKUP(A41,'[73]geoMap (147)'!$A:$B,2,0)*VLOOKUP(A41,'[73]geoMap (147)'!$A:$C,3,0)</f>
        <v>#REF!</v>
      </c>
      <c r="BE41" s="1" t="e">
        <f>AN41/VLOOKUP(A41,'[91]geoMap (148)'!$A:$B,2,0)*VLOOKUP(A41,'[91]geoMap (148)'!$A:$C,3,0)</f>
        <v>#REF!</v>
      </c>
      <c r="BF41" s="1" t="e">
        <f>AN41/VLOOKUP(A41,'[75]geoMap (150)'!$A:$B,2,0)*VLOOKUP(A41,'[75]geoMap (150)'!$A:$C,3,0)</f>
        <v>#REF!</v>
      </c>
      <c r="BG41" s="1" t="e">
        <f>AN41/VLOOKUP(A41,'[93]geoMap (152)'!$A:$B,2,0)*VLOOKUP(A41,'[93]geoMap (152)'!$A:$C,3,0)</f>
        <v>#REF!</v>
      </c>
      <c r="BH41" s="1" t="e">
        <f>AN41/VLOOKUP(A41,'[94]geoMap (154)'!$A:$B,2,0)*VLOOKUP(A41,'[94]geoMap (154)'!$A:$C,3,0)</f>
        <v>#REF!</v>
      </c>
      <c r="BI41" s="1" t="e">
        <f>AN41/VLOOKUP(A41,'[76]geoMap (156)'!$A:$B,2,0)*VLOOKUP(A41,'[76]geoMap (156)'!$A:$C,3,0)</f>
        <v>#REF!</v>
      </c>
      <c r="BJ41" s="1" t="e">
        <f>AN41/VLOOKUP(A41,'[77]geoMap (158)'!$A:$B,2,0)*VLOOKUP(A41,'[77]geoMap (158)'!$A:$C,3,0)</f>
        <v>#REF!</v>
      </c>
      <c r="BK41" s="1" t="e">
        <f>AN41/VLOOKUP(A41,'[78]geoMap (160)'!$A:$B,2,0)*VLOOKUP(A41,'[78]geoMap (160)'!$A:$C,3,0)</f>
        <v>#REF!</v>
      </c>
      <c r="BL41" s="1" t="e">
        <f>AN41/VLOOKUP(A41,'[79]geoMap (162)'!$A:$B,2,0)*VLOOKUP(A41,'[79]geoMap (162)'!$A:$C,3,0)</f>
        <v>#REF!</v>
      </c>
      <c r="BM41" s="1" t="e">
        <f>AN41/VLOOKUP(A41,'[80]geoMap (164)'!$A:$B,2,0)*VLOOKUP(A41,'[80]geoMap (164)'!$A:$C,3,0)</f>
        <v>#REF!</v>
      </c>
      <c r="BN41" s="1" t="e">
        <f>AN41/VLOOKUP(A41,'[81]geoMap (166)'!$A:$B,2,0)*VLOOKUP(A41,'[81]geoMap (166)'!$A:$C,3,0)</f>
        <v>#REF!</v>
      </c>
      <c r="BO41" s="1" t="e">
        <f>AN41/VLOOKUP(A41,'[82]geoMap (168)'!$A:$B,2,0)*VLOOKUP(A41,'[82]geoMap (168)'!$A:$C,3,0)</f>
        <v>#REF!</v>
      </c>
      <c r="BP41" s="1" t="e">
        <f>AN41/VLOOKUP(A41,'[83]geoMap (170)'!$A:$B,2,0)*VLOOKUP(A41,'[83]geoMap (170)'!$A:$C,3,0)</f>
        <v>#REF!</v>
      </c>
    </row>
    <row r="42" spans="1:68" x14ac:dyDescent="0.2">
      <c r="A42" s="1" t="s">
        <v>98</v>
      </c>
      <c r="B42" s="1">
        <f>VLOOKUP(A42,[3]geoMap!$A:$B,2,0)*Notes!$C$6</f>
        <v>5000</v>
      </c>
      <c r="C42" s="1">
        <f>B42/VLOOKUP(A42,'[4]geoMap (1)'!$A:$B,2,0)*VLOOKUP(A42,'[4]geoMap (1)'!$A:$C,3,0)</f>
        <v>3196.7213114754099</v>
      </c>
      <c r="D42" s="1">
        <f>C42/VLOOKUP(A42,'[5]geoMap (2)'!$A:$B,2,0)*VLOOKUP(A42,'[5]geoMap (2)'!$A:$C,3,0)</f>
        <v>7115.2829190904285</v>
      </c>
      <c r="E42" s="1">
        <f>D42/VLOOKUP(A42,'[6]geoMap (3)'!$A:$B,2,0)*VLOOKUP(A42,'[6]geoMap (3)'!$A:$C,3,0)</f>
        <v>2125.3442485594787</v>
      </c>
      <c r="F42" s="1">
        <f>E42/VLOOKUP(A42,'[7]geoMap (4)'!$A:$B,2,0)*VLOOKUP(A42,'[7]geoMap (4)'!$A:$C,3,0)</f>
        <v>2302.4562692727686</v>
      </c>
      <c r="G42" s="1">
        <f>F42/VLOOKUP(A42,'[8]geoMap (5)'!$A:$B,2,0)*VLOOKUP(A42,'[8]geoMap (5)'!$A:$C,3,0)</f>
        <v>2702.883446537598</v>
      </c>
      <c r="H42" s="1">
        <f>G42/VLOOKUP(A42,'[9]geoMap (6)'!$A:$B,2,0)*VLOOKUP(A42,'[9]geoMap (6)'!$A:$C,3,0)</f>
        <v>2039.017336861697</v>
      </c>
      <c r="I42" s="1">
        <f>H42/VLOOKUP(A42,'[10]geoMap (7)'!$A:$B,2,0)*VLOOKUP(A42,'[10]geoMap (7)'!$A:$C,3,0)</f>
        <v>1959.0558726710422</v>
      </c>
      <c r="J42" s="1">
        <f>I42/VLOOKUP(A42,'[11]geoMap (8)'!$A:$B,2,0)*VLOOKUP(A42,'[11]geoMap (8)'!$A:$C,3,0)</f>
        <v>1959.0558726710422</v>
      </c>
      <c r="K42" s="1">
        <f>J42/VLOOKUP(A42,'[12]geoMap (9)'!$A:$B,2,0)*VLOOKUP(A42,'[12]geoMap (9)'!$A:$C,3,0)</f>
        <v>1054.8762391305611</v>
      </c>
      <c r="L42" s="1">
        <f>K42/VLOOKUP(A42,'[13]geoMap (10)'!$A:$B,2,0)*VLOOKUP(A42,'[13]geoMap (10)'!$A:$C,3,0)</f>
        <v>315.09290259744034</v>
      </c>
      <c r="M42" s="1">
        <f>L42/VLOOKUP(A42,'[14]geoMap (11)'!$A:$B,2,0)*VLOOKUP(A42,'[14]geoMap (11)'!$A:$C,3,0)</f>
        <v>341.35064448056039</v>
      </c>
      <c r="N42" s="1">
        <f>M42/VLOOKUP(A42,'[15]geoMap (12)'!$A:$B,2,0)*VLOOKUP(A42,'[15]geoMap (12)'!$A:$C,3,0)</f>
        <v>581.21866492635957</v>
      </c>
      <c r="O42" s="1">
        <f>N42/VLOOKUP(A42,'[16]geoMap (13)'!$A:$B,2,0)*VLOOKUP(A42,'[16]geoMap (13)'!$A:$C,3,0)</f>
        <v>204.21196335250474</v>
      </c>
      <c r="P42" s="1">
        <f>O42/VLOOKUP(A42,'[17]geoMap (14)'!$A:$B,2,0)*VLOOKUP(A42,'[17]geoMap (14)'!$A:$C,3,0)</f>
        <v>167.08251547023116</v>
      </c>
      <c r="Q42" s="1">
        <f>P42/VLOOKUP(A42,'[18]geoMap (15)'!$A:$B,2,0)*VLOOKUP(A42,'[18]geoMap (15)'!$A:$C,3,0)</f>
        <v>212.65047423483966</v>
      </c>
      <c r="R42" s="1">
        <f>Q42/VLOOKUP(A42,'[19]geoMap (16)'!$A:$B,2,0)*VLOOKUP(A42,'[19]geoMap (16)'!$A:$C,3,0)</f>
        <v>34.617519061485531</v>
      </c>
      <c r="S42" s="1">
        <f>R42/VLOOKUP(A42,'[20]geoMap (17)'!$A:$B,2,0)*VLOOKUP(A42,'[20]geoMap (17)'!$A:$C,3,0)</f>
        <v>181.74197507279902</v>
      </c>
      <c r="T42" s="1">
        <f>S42/VLOOKUP(A42,'[21]geoMap (18)'!$A:$B,2,0)*VLOOKUP(A42,'[21]geoMap (18)'!$A:$C,3,0)</f>
        <v>81.652191699373489</v>
      </c>
      <c r="U42" s="1">
        <f>T42/VLOOKUP(A42,'[22]geoMap (19)'!$A:$B,2,0)*VLOOKUP(A42,'[22]geoMap (19)'!$A:$C,3,0)</f>
        <v>16.723942878184936</v>
      </c>
      <c r="V42" s="1">
        <f>U42/VLOOKUP(A42,'[23]geoMap (20)'!$A:$B,2,0)*VLOOKUP(A42,'[23]geoMap (20)'!$A:$C,3,0)</f>
        <v>18.117604784700347</v>
      </c>
      <c r="W42" s="1">
        <f>V42/VLOOKUP(A42,'[24]geoMap (21)'!$A:$B,2,0)*VLOOKUP(A42,'[24]geoMap (21)'!$A:$C,3,0)</f>
        <v>32.209075172800617</v>
      </c>
      <c r="X42" s="1">
        <f>W42/VLOOKUP(A42,'[25]geoMap (22)'!$A:$B,2,0)*VLOOKUP(A42,'[25]geoMap (22)'!$A:$C,3,0)</f>
        <v>21.472716781867078</v>
      </c>
      <c r="Y42" s="1">
        <f>X42/VLOOKUP(A42,'[26]geoMap (23)'!$A:$B,2,0)*VLOOKUP(A42,'[26]geoMap (23)'!$A:$C,3,0)</f>
        <v>35.034432644098914</v>
      </c>
      <c r="Z42" s="1">
        <f>Y42/VLOOKUP(A42,'[27]geoMap (24)'!$A:$B,2,0)*VLOOKUP(A42,'[27]geoMap (24)'!$A:$C,3,0)</f>
        <v>15.014756847470963</v>
      </c>
      <c r="AA42" s="1">
        <f>Z42/VLOOKUP(A42,'[28]geoMap (25)'!$A:$B,2,0)*VLOOKUP(A42,'[28]geoMap (25)'!$A:$C,3,0)</f>
        <v>18.35136948024229</v>
      </c>
      <c r="AB42" s="1">
        <f>AA42*VLOOKUP(A42,'[29]geoMap (26)'!$A:$B,2,0)*VLOOKUP(A42,'[29]geoMap (26)'!$A:$C,3,0)</f>
        <v>4.2777042258444782</v>
      </c>
      <c r="AC42" s="1">
        <f>AB42/VLOOKUP(A42,'[30]geoMap (27)'!$A:$B,2,0)*VLOOKUP(A42,'[30]geoMap (27)'!$A:$C,3,0)</f>
        <v>2.6218187190659705</v>
      </c>
      <c r="AD42" s="1">
        <f>AC42/VLOOKUP(A42,'[31]geoMap (28)'!$A:$B,2,0)*VLOOKUP(A42,'[31]geoMap (28)'!$A:$C,3,0)</f>
        <v>4.6610110561172808</v>
      </c>
      <c r="AE42" s="1">
        <f>AD42/VLOOKUP(A42,'[32]geoMap (29)'!$A:$B,2,0)*VLOOKUP(A42,'[32]geoMap (29)'!$A:$C,3,0)</f>
        <v>3.516201323035844</v>
      </c>
      <c r="AF42" s="1">
        <f>AE42/VLOOKUP(A42,'[33]geoMap (30)'!$A:$B,2,0)*VLOOKUP(A42,'[33]geoMap (30)'!$A:$C,3,0)</f>
        <v>2.3441342153572293</v>
      </c>
      <c r="AG42" s="1">
        <f>AF42/VLOOKUP(A42,'[34]geoMap (31)'!$A:$B,2,0)*VLOOKUP(A42,'[34]geoMap (31)'!$A:$C,3,0)</f>
        <v>1.2075842927597848</v>
      </c>
      <c r="AH42" s="1">
        <f>AG42/VLOOKUP(A42,'[35]geoMap (32)'!$A:$B,2,0)*VLOOKUP(A42,'[35]geoMap (32)'!$A:$C,3,0)</f>
        <v>3.8240169270726523</v>
      </c>
      <c r="AI42" s="1">
        <f>AH42/VLOOKUP(A42,'[36]geoMap (33)'!$A:$B,2,0)*VLOOKUP(A42,'[36]geoMap (33)'!$A:$C,3,0)</f>
        <v>1.6388643973168511</v>
      </c>
      <c r="AJ42" s="1">
        <f>AI42/VLOOKUP(A42,'[37]geoMap (34)'!$A:$B,2,0)*VLOOKUP(A42,'[37]geoMap (34)'!$A:$C,3,0)</f>
        <v>0.80720186733516541</v>
      </c>
      <c r="AK42" s="1">
        <f>AJ42/VLOOKUP(A42,'[38]geoMap (35)'!$A:$B,2,0)*VLOOKUP(A42,'[38]geoMap (35)'!$A:$C,3,0)</f>
        <v>0.49473662836671434</v>
      </c>
      <c r="AL42" s="1" t="e">
        <f>AK42/VLOOKUP(A42,'[39]geoMap (36)'!$A:$B,2,0)*VLOOKUP(A42,'[39]geoMap (36)'!$A:$C,3,0)</f>
        <v>#REF!</v>
      </c>
      <c r="AM42" s="1">
        <f>AA42/VLOOKUP(A42,'[125]geoMap (120)'!$A:$B,2,0)*VLOOKUP(A42,'[125]geoMap (120)'!$A:$C,3,0)</f>
        <v>6.4477784660310755</v>
      </c>
      <c r="AN42" s="1">
        <f>AM42/VLOOKUP(A42,'[41]geoMap (38)'!$A:$B,2,0)*VLOOKUP(A42,'[41]geoMap (38)'!$A:$C,3,0)</f>
        <v>12.516275845825028</v>
      </c>
      <c r="AO42" s="1">
        <f>AN42/VLOOKUP(A42,'[42]geoMap (39)'!$A:$B,2,0)*VLOOKUP(A42,'[42]geoMap (39)'!$A:$C,3,0)</f>
        <v>2.2087545610279462</v>
      </c>
      <c r="AP42" s="1">
        <f>AO42/VLOOKUP(A42,'[43]geoMap (40)'!$A:$B,2,0)*VLOOKUP(A42,'[43]geoMap (40)'!$A:$C,3,0)</f>
        <v>1.958706874873839</v>
      </c>
      <c r="AQ42" s="1">
        <f>AP42/VLOOKUP(A42,'[44]geoMap (41)'!$A:$B,2,0)*VLOOKUP(A42,'[44]geoMap (41)'!$A:$C,3,0)</f>
        <v>3.9767685035317335</v>
      </c>
      <c r="AR42" s="1" t="e">
        <f>AQ42/VLOOKUP(A42,'[45]geoMap (42)'!$A:$B,2,0)*VLOOKUP(A42,'[45]geoMap (42)'!$A:$C,3,0)</f>
        <v>#REF!</v>
      </c>
      <c r="AS42" s="1">
        <f>AA42/VLOOKUP(A42,'[101]geoMap (129)'!$A:$B,2,0)*VLOOKUP(A42,'[101]geoMap (129)'!$A:$C,3,0)</f>
        <v>1.5957712591515034</v>
      </c>
      <c r="AT42" s="1">
        <f>AS42/VLOOKUP(A42,'[47]geoMap (44)'!$A:$B,2,0)*VLOOKUP(A42,'[47]geoMap (44)'!$A:$C,3,0)</f>
        <v>2.7171240358525597</v>
      </c>
      <c r="AU42" s="1">
        <f>AT42/VLOOKUP(A42,'[48]geoMap (45)'!$A:$B,2,0)*VLOOKUP(A42,'[48]geoMap (45)'!$A:$C,3,0)</f>
        <v>2.223101483879367</v>
      </c>
      <c r="AV42" s="1" t="e">
        <f>AU42/VLOOKUP(A42,'[49]geoMap (46)'!$A:$B,2,0)*VLOOKUP(A42,'[49]geoMap (46)'!$A:$C,3,0)</f>
        <v>#REF!</v>
      </c>
      <c r="AW42" s="1" t="e">
        <f>AN42/VLOOKUP(A42,'[87]geoMap (137)'!$A:$B,2,0)*VLOOKUP(A42,'[87]geoMap (137)'!$A:$C,3,0)</f>
        <v>#REF!</v>
      </c>
      <c r="AX42" s="1" t="e">
        <f>AN42/VLOOKUP(A42,'[70]geoMap (138)'!$A:$B,2,0)*VLOOKUP(A42,'[70]geoMap (138)'!$A:$C,3,0)</f>
        <v>#REF!</v>
      </c>
      <c r="AY42" s="1" t="e">
        <f>AN42/VLOOKUP(A42,'[88]geoMap (140)'!$A:$B,2,0)*VLOOKUP(A42,'[88]geoMap (140)'!$A:$C,3,0)</f>
        <v>#REF!</v>
      </c>
      <c r="AZ42" s="1" t="e">
        <f>AN42/VLOOKUP(A42,'[89]geoMap (141)'!$A:$B,2,0)*VLOOKUP(A42,'[89]geoMap (141)'!$A:$C,3,0)</f>
        <v>#REF!</v>
      </c>
      <c r="BA42" s="1" t="e">
        <f>AN42/VLOOKUP(A42,'[71]geoMap (143)'!$A:$B,2,0)*VLOOKUP(A42,'[71]geoMap (143)'!$A:$C,3,0)</f>
        <v>#REF!</v>
      </c>
      <c r="BB42" s="1">
        <f>AN42/VLOOKUP(A42,'[90]geoMap (144)'!$A:$B,2,0)*VLOOKUP(A42,'[90]geoMap (144)'!$A:$C,3,0)</f>
        <v>0.25543420093520469</v>
      </c>
      <c r="BC42" s="1" t="e">
        <f>BB42/VLOOKUP(A42,'[56]geoMap (53)'!$A:$B,2,0)*VLOOKUP(A42,'[56]geoMap (53)'!$A:$C,3,0)</f>
        <v>#REF!</v>
      </c>
      <c r="BD42" s="1">
        <f>AN42/VLOOKUP(A42,'[73]geoMap (147)'!$A:$B,2,0)*VLOOKUP(A42,'[73]geoMap (147)'!$A:$C,3,0)</f>
        <v>0.52151149357604287</v>
      </c>
      <c r="BE42" s="1" t="e">
        <f>AN42/VLOOKUP(A42,'[91]geoMap (148)'!$A:$B,2,0)*VLOOKUP(A42,'[91]geoMap (148)'!$A:$C,3,0)</f>
        <v>#REF!</v>
      </c>
      <c r="BF42" s="1" t="e">
        <f>AN42/VLOOKUP(A42,'[75]geoMap (150)'!$A:$B,2,0)*VLOOKUP(A42,'[75]geoMap (150)'!$A:$C,3,0)</f>
        <v>#REF!</v>
      </c>
      <c r="BG42" s="1" t="e">
        <f>AN42/VLOOKUP(A42,'[93]geoMap (152)'!$A:$B,2,0)*VLOOKUP(A42,'[93]geoMap (152)'!$A:$C,3,0)</f>
        <v>#REF!</v>
      </c>
      <c r="BH42" s="1">
        <f>AN42/VLOOKUP(A42,'[94]geoMap (154)'!$A:$B,2,0)*VLOOKUP(A42,'[94]geoMap (154)'!$A:$C,3,0)</f>
        <v>0.12642702874570735</v>
      </c>
      <c r="BI42" s="1" t="e">
        <f>BH42/VLOOKUP(A42,'[62]geoMap (59)'!$A:$B,2,0)*VLOOKUP(A42,'[62]geoMap (59)'!$A:$C,3,0)</f>
        <v>#REF!</v>
      </c>
      <c r="BJ42" s="1" t="e">
        <f>AN42/VLOOKUP(A42,'[77]geoMap (158)'!$A:$B,2,0)*VLOOKUP(A42,'[77]geoMap (158)'!$A:$C,3,0)</f>
        <v>#REF!</v>
      </c>
      <c r="BK42" s="1" t="e">
        <f>AN42/VLOOKUP(A42,'[78]geoMap (160)'!$A:$B,2,0)*VLOOKUP(A42,'[78]geoMap (160)'!$A:$C,3,0)</f>
        <v>#REF!</v>
      </c>
      <c r="BL42" s="1" t="e">
        <f>AN42/VLOOKUP(A42,'[79]geoMap (162)'!$A:$B,2,0)*VLOOKUP(A42,'[79]geoMap (162)'!$A:$C,3,0)</f>
        <v>#REF!</v>
      </c>
      <c r="BM42" s="1" t="e">
        <f>AN42/VLOOKUP(A42,'[80]geoMap (164)'!$A:$B,2,0)*VLOOKUP(A42,'[80]geoMap (164)'!$A:$C,3,0)</f>
        <v>#REF!</v>
      </c>
      <c r="BN42" s="1" t="e">
        <f>AN42/VLOOKUP(A42,'[81]geoMap (166)'!$A:$B,2,0)*VLOOKUP(A42,'[81]geoMap (166)'!$A:$C,3,0)</f>
        <v>#REF!</v>
      </c>
      <c r="BO42" s="1" t="e">
        <f>AN42/VLOOKUP(A42,'[82]geoMap (168)'!$A:$B,2,0)*VLOOKUP(A42,'[82]geoMap (168)'!$A:$C,3,0)</f>
        <v>#REF!</v>
      </c>
      <c r="BP42" s="1" t="e">
        <f>AN42/VLOOKUP(A42,'[83]geoMap (170)'!$A:$B,2,0)*VLOOKUP(A42,'[83]geoMap (170)'!$A:$C,3,0)</f>
        <v>#REF!</v>
      </c>
    </row>
    <row r="43" spans="1:68" x14ac:dyDescent="0.2">
      <c r="A43" s="1" t="s">
        <v>113</v>
      </c>
      <c r="B43" s="1">
        <f>VLOOKUP(A43,[3]geoMap!$A:$B,2,0)*Notes!$C$6</f>
        <v>5000</v>
      </c>
      <c r="C43" s="1">
        <f>B43/VLOOKUP(A43,'[4]geoMap (1)'!$A:$B,2,0)*VLOOKUP(A43,'[4]geoMap (1)'!$A:$C,3,0)</f>
        <v>3064.516129032258</v>
      </c>
      <c r="D43" s="1">
        <f>C43/VLOOKUP(A43,'[5]geoMap (2)'!$A:$B,2,0)*VLOOKUP(A43,'[5]geoMap (2)'!$A:$C,3,0)</f>
        <v>3745.5197132616486</v>
      </c>
      <c r="E43" s="1">
        <f>D43/VLOOKUP(A43,'[6]geoMap (3)'!$A:$B,2,0)*VLOOKUP(A43,'[6]geoMap (3)'!$A:$C,3,0)</f>
        <v>2602.8187837919932</v>
      </c>
      <c r="F43" s="1">
        <f>E43/VLOOKUP(A43,'[7]geoMap (4)'!$A:$B,2,0)*VLOOKUP(A43,'[7]geoMap (4)'!$A:$C,3,0)</f>
        <v>2308.1600535513899</v>
      </c>
      <c r="G43" s="1">
        <f>F43/VLOOKUP(A43,'[8]geoMap (5)'!$A:$B,2,0)*VLOOKUP(A43,'[8]geoMap (5)'!$A:$C,3,0)</f>
        <v>1966.210415988221</v>
      </c>
      <c r="H43" s="1">
        <f>G43/VLOOKUP(A43,'[9]geoMap (6)'!$A:$B,2,0)*VLOOKUP(A43,'[9]geoMap (6)'!$A:$C,3,0)</f>
        <v>883.36989703818631</v>
      </c>
      <c r="I43" s="1">
        <f>H43/VLOOKUP(A43,'[10]geoMap (7)'!$A:$B,2,0)*VLOOKUP(A43,'[10]geoMap (7)'!$A:$C,3,0)</f>
        <v>722.75718848578879</v>
      </c>
      <c r="J43" s="1">
        <f>I43/VLOOKUP(A43,'[11]geoMap (8)'!$A:$B,2,0)*VLOOKUP(A43,'[11]geoMap (8)'!$A:$C,3,0)</f>
        <v>1040.0652224551595</v>
      </c>
      <c r="K43" s="1">
        <f>J43/VLOOKUP(A43,'[12]geoMap (9)'!$A:$B,2,0)*VLOOKUP(A43,'[12]geoMap (9)'!$A:$C,3,0)</f>
        <v>784.6106064135414</v>
      </c>
      <c r="L43" s="1">
        <f>K43/VLOOKUP(A43,'[13]geoMap (10)'!$A:$B,2,0)*VLOOKUP(A43,'[13]geoMap (10)'!$A:$C,3,0)</f>
        <v>369.2285206651959</v>
      </c>
      <c r="M43" s="1">
        <f>L43/VLOOKUP(A43,'[14]geoMap (11)'!$A:$B,2,0)*VLOOKUP(A43,'[14]geoMap (11)'!$A:$C,3,0)</f>
        <v>181.85882361121588</v>
      </c>
      <c r="N43" s="1">
        <f>M43/VLOOKUP(A43,'[15]geoMap (12)'!$A:$B,2,0)*VLOOKUP(A43,'[15]geoMap (12)'!$A:$C,3,0)</f>
        <v>323.30457530882825</v>
      </c>
      <c r="O43" s="1">
        <f>N43/VLOOKUP(A43,'[16]geoMap (13)'!$A:$B,2,0)*VLOOKUP(A43,'[16]geoMap (13)'!$A:$C,3,0)</f>
        <v>286.7040573493382</v>
      </c>
      <c r="P43" s="1">
        <f>O43/VLOOKUP(A43,'[17]geoMap (14)'!$A:$B,2,0)*VLOOKUP(A43,'[17]geoMap (14)'!$A:$C,3,0)</f>
        <v>216.2855169477464</v>
      </c>
      <c r="Q43" s="1">
        <f>P43/VLOOKUP(A43,'[18]geoMap (15)'!$A:$B,2,0)*VLOOKUP(A43,'[18]geoMap (15)'!$A:$C,3,0)</f>
        <v>116.46143220263266</v>
      </c>
      <c r="R43" s="1">
        <f>Q43/VLOOKUP(A43,'[19]geoMap (16)'!$A:$B,2,0)*VLOOKUP(A43,'[19]geoMap (16)'!$A:$C,3,0)</f>
        <v>84.334140560527104</v>
      </c>
      <c r="S43" s="1">
        <f>R43/VLOOKUP(A43,'[20]geoMap (17)'!$A:$B,2,0)*VLOOKUP(A43,'[20]geoMap (17)'!$A:$C,3,0)</f>
        <v>45.410691071053051</v>
      </c>
      <c r="T43" s="1">
        <f>S43/VLOOKUP(A43,'[21]geoMap (18)'!$A:$B,2,0)*VLOOKUP(A43,'[21]geoMap (18)'!$A:$C,3,0)</f>
        <v>51.207800569485357</v>
      </c>
      <c r="U43" s="1">
        <f>T43/VLOOKUP(A43,'[22]geoMap (19)'!$A:$B,2,0)*VLOOKUP(A43,'[22]geoMap (19)'!$A:$C,3,0)</f>
        <v>35.585081751676263</v>
      </c>
      <c r="V43" s="1">
        <f>U43/VLOOKUP(A43,'[23]geoMap (20)'!$A:$B,2,0)*VLOOKUP(A43,'[23]geoMap (20)'!$A:$C,3,0)</f>
        <v>69.076923400312751</v>
      </c>
      <c r="W43" s="1">
        <f>V43/VLOOKUP(A43,'[24]geoMap (21)'!$A:$B,2,0)*VLOOKUP(A43,'[24]geoMap (21)'!$A:$C,3,0)</f>
        <v>16.203228945752372</v>
      </c>
      <c r="X43" s="1">
        <f>W43/VLOOKUP(A43,'[25]geoMap (22)'!$A:$B,2,0)*VLOOKUP(A43,'[25]geoMap (22)'!$A:$C,3,0)</f>
        <v>14.956826719156034</v>
      </c>
      <c r="Y43" s="1">
        <f>X43/VLOOKUP(A43,'[26]geoMap (23)'!$A:$B,2,0)*VLOOKUP(A43,'[26]geoMap (23)'!$A:$C,3,0)</f>
        <v>13.263601052836481</v>
      </c>
      <c r="Z43" s="1">
        <f>Y43/VLOOKUP(A43,'[27]geoMap (24)'!$A:$B,2,0)*VLOOKUP(A43,'[27]geoMap (24)'!$A:$C,3,0)</f>
        <v>18.316401453917045</v>
      </c>
      <c r="AA43" s="1">
        <f>Z43/VLOOKUP(A43,'[28]geoMap (25)'!$A:$B,2,0)*VLOOKUP(A43,'[28]geoMap (25)'!$A:$C,3,0)</f>
        <v>12.728346773060997</v>
      </c>
      <c r="AB43" s="1">
        <f>AA43*VLOOKUP(A43,'[29]geoMap (26)'!$A:$B,2,0)*VLOOKUP(A43,'[29]geoMap (26)'!$A:$C,3,0)</f>
        <v>2.9987984997331707</v>
      </c>
      <c r="AC43" s="1">
        <f>AB43/VLOOKUP(A43,'[30]geoMap (27)'!$A:$B,2,0)*VLOOKUP(A43,'[30]geoMap (27)'!$A:$C,3,0)</f>
        <v>4.4981977495997558</v>
      </c>
      <c r="AD43" s="1">
        <f>AC43/VLOOKUP(A43,'[31]geoMap (28)'!$A:$B,2,0)*VLOOKUP(A43,'[31]geoMap (28)'!$A:$C,3,0)</f>
        <v>1.9277990355427526</v>
      </c>
      <c r="AE43" s="1">
        <f>AD43/VLOOKUP(A43,'[32]geoMap (29)'!$A:$B,2,0)*VLOOKUP(A43,'[32]geoMap (29)'!$A:$C,3,0)</f>
        <v>2.1739010400801253</v>
      </c>
      <c r="AF43" s="1">
        <f>AE43/VLOOKUP(A43,'[33]geoMap (30)'!$A:$B,2,0)*VLOOKUP(A43,'[33]geoMap (30)'!$A:$C,3,0)</f>
        <v>2.4514203217924817</v>
      </c>
      <c r="AG43" s="1">
        <f>AF43/VLOOKUP(A43,'[34]geoMap (31)'!$A:$B,2,0)*VLOOKUP(A43,'[34]geoMap (31)'!$A:$C,3,0)</f>
        <v>0.81714010726416053</v>
      </c>
      <c r="AH43" s="1">
        <f>AG43/VLOOKUP(A43,'[35]geoMap (32)'!$A:$B,2,0)*VLOOKUP(A43,'[35]geoMap (32)'!$A:$C,3,0)</f>
        <v>0.85049276470351398</v>
      </c>
      <c r="AI43" s="1">
        <f>AH43/VLOOKUP(A43,'[36]geoMap (33)'!$A:$B,2,0)*VLOOKUP(A43,'[36]geoMap (33)'!$A:$C,3,0)</f>
        <v>0.8852067550995758</v>
      </c>
      <c r="AJ43" s="1">
        <f>AI43/VLOOKUP(A43,'[37]geoMap (34)'!$A:$B,2,0)*VLOOKUP(A43,'[37]geoMap (34)'!$A:$C,3,0)</f>
        <v>0.85049276470351398</v>
      </c>
      <c r="AK43" s="1">
        <f>AJ43/VLOOKUP(A43,'[38]geoMap (35)'!$A:$B,2,0)*VLOOKUP(A43,'[38]geoMap (35)'!$A:$C,3,0)</f>
        <v>1.2238798321343249</v>
      </c>
      <c r="AL43" s="1">
        <f>AK43/VLOOKUP(A43,'[39]geoMap (36)'!$A:$B,2,0)*VLOOKUP(A43,'[39]geoMap (36)'!$A:$C,3,0)</f>
        <v>11.014918489208924</v>
      </c>
      <c r="AM43" s="1">
        <f>AL43/VLOOKUP(A43,'[40]geoMap (37)'!$A:$B,2,0)*VLOOKUP(A43,'[40]geoMap (37)'!$A:$C,3,0)</f>
        <v>0.82907988628454277</v>
      </c>
      <c r="AN43" s="1">
        <f>AM43/VLOOKUP(A43,'[41]geoMap (38)'!$A:$B,2,0)*VLOOKUP(A43,'[41]geoMap (38)'!$A:$C,3,0)</f>
        <v>1.6093903674935242</v>
      </c>
      <c r="AO43" s="1">
        <f>AN43/VLOOKUP(A43,'[42]geoMap (39)'!$A:$B,2,0)*VLOOKUP(A43,'[42]geoMap (39)'!$A:$C,3,0)</f>
        <v>0.65735662897622815</v>
      </c>
      <c r="AP43" s="1">
        <f>AO43/VLOOKUP(A43,'[43]geoMap (40)'!$A:$B,2,0)*VLOOKUP(A43,'[43]geoMap (40)'!$A:$C,3,0)</f>
        <v>0.87137971748011633</v>
      </c>
      <c r="AQ43" s="1">
        <f>AP43/VLOOKUP(A43,'[44]geoMap (41)'!$A:$B,2,0)*VLOOKUP(A43,'[44]geoMap (41)'!$A:$C,3,0)</f>
        <v>0.53407143974587767</v>
      </c>
      <c r="AR43" s="1">
        <f>AQ43/VLOOKUP(A43,'[45]geoMap (42)'!$A:$B,2,0)*VLOOKUP(A43,'[45]geoMap (42)'!$A:$C,3,0)</f>
        <v>0.65275398191162826</v>
      </c>
      <c r="AS43" s="1">
        <f>AR43/VLOOKUP(A43,'[46]geoMap (43)'!$A:$B,2,0)*VLOOKUP(A43,'[46]geoMap (43)'!$A:$C,3,0)</f>
        <v>0.79781042233643462</v>
      </c>
      <c r="AT43" s="1">
        <f>AS43/VLOOKUP(A43,'[47]geoMap (44)'!$A:$B,2,0)*VLOOKUP(A43,'[47]geoMap (44)'!$A:$C,3,0)</f>
        <v>0.26593680744547821</v>
      </c>
      <c r="AU43" s="1">
        <f>AT43/VLOOKUP(A43,'[48]geoMap (45)'!$A:$B,2,0)*VLOOKUP(A43,'[48]geoMap (45)'!$A:$C,3,0)</f>
        <v>0.47277654656973911</v>
      </c>
      <c r="AV43" s="1">
        <f>AU43/VLOOKUP(A43,'[49]geoMap (46)'!$A:$B,2,0)*VLOOKUP(A43,'[49]geoMap (46)'!$A:$C,3,0)</f>
        <v>0.11819413664243478</v>
      </c>
      <c r="AW43" s="1">
        <f>AV43/VLOOKUP(A43,'[50]geoMap (47)'!$A:$B,2,0)*VLOOKUP(A43,'[50]geoMap (47)'!$A:$C,3,0)</f>
        <v>0.35458240992730433</v>
      </c>
      <c r="AX43" s="1" t="e">
        <f>AW43/VLOOKUP(A43,'[51]geoMap (48)'!$A:$B,2,0)*VLOOKUP(A43,'[51]geoMap (48)'!$A:$C,3,0)</f>
        <v>#REF!</v>
      </c>
      <c r="AY43" s="1">
        <f>AN43/VLOOKUP(A43,'[88]geoMap (140)'!$A:$B,2,0)*VLOOKUP(A43,'[88]geoMap (140)'!$A:$C,3,0)</f>
        <v>0.21946232284002601</v>
      </c>
      <c r="AZ43" s="1" t="e">
        <f>AY43/VLOOKUP(A43,'[53]geoMap (50)'!$A:$B,2,0)*VLOOKUP(A43,'[53]geoMap (50)'!$A:$C,3,0)</f>
        <v>#REF!</v>
      </c>
      <c r="BA43" s="1" t="e">
        <f>AN43/VLOOKUP(A43,'[71]geoMap (143)'!$A:$B,2,0)*VLOOKUP(A43,'[71]geoMap (143)'!$A:$C,3,0)</f>
        <v>#REF!</v>
      </c>
      <c r="BB43" s="1" t="e">
        <f>AN43/VLOOKUP(A43,'[90]geoMap (144)'!$A:$B,2,0)*VLOOKUP(A43,'[90]geoMap (144)'!$A:$C,3,0)</f>
        <v>#REF!</v>
      </c>
      <c r="BC43" s="1" t="e">
        <f>AN43/VLOOKUP(A43,'[72]geoMap (146)'!$A:$B,2,0)*VLOOKUP(A43,'[72]geoMap (146)'!$A:$C,3,0)</f>
        <v>#REF!</v>
      </c>
      <c r="BD43" s="1">
        <f>AN43/VLOOKUP(A43,'[73]geoMap (147)'!$A:$B,2,0)*VLOOKUP(A43,'[73]geoMap (147)'!$A:$C,3,0)</f>
        <v>0.13994698847769774</v>
      </c>
      <c r="BE43" s="1">
        <f>BD43/VLOOKUP(A43,'[58]geoMap (55)'!$A:$B,2,0)*VLOOKUP(A43,'[58]geoMap (55)'!$A:$C,3,0)</f>
        <v>3.0720070641445846E-2</v>
      </c>
      <c r="BF43" s="1" t="e">
        <f>BE43/VLOOKUP(A43,'[59]geoMap (56)'!$A:$B,2,0)*VLOOKUP(A43,'[59]geoMap (56)'!$A:$C,3,0)</f>
        <v>#REF!</v>
      </c>
      <c r="BG43" s="1" t="e">
        <f>AN43/VLOOKUP(A43,'[93]geoMap (152)'!$A:$B,2,0)*VLOOKUP(A43,'[93]geoMap (152)'!$A:$C,3,0)</f>
        <v>#REF!</v>
      </c>
      <c r="BH43" s="1" t="e">
        <f>AN43/VLOOKUP(A43,'[94]geoMap (154)'!$A:$B,2,0)*VLOOKUP(A43,'[94]geoMap (154)'!$A:$C,3,0)</f>
        <v>#REF!</v>
      </c>
      <c r="BI43" s="1" t="e">
        <f>AN43/VLOOKUP(A43,'[76]geoMap (156)'!$A:$B,2,0)*VLOOKUP(A43,'[76]geoMap (156)'!$A:$C,3,0)</f>
        <v>#REF!</v>
      </c>
      <c r="BJ43" s="1" t="e">
        <f>AN43/VLOOKUP(A43,'[77]geoMap (158)'!$A:$B,2,0)*VLOOKUP(A43,'[77]geoMap (158)'!$A:$C,3,0)</f>
        <v>#REF!</v>
      </c>
      <c r="BK43" s="1" t="e">
        <f>AN43/VLOOKUP(A43,'[78]geoMap (160)'!$A:$B,2,0)*VLOOKUP(A43,'[78]geoMap (160)'!$A:$C,3,0)</f>
        <v>#REF!</v>
      </c>
      <c r="BL43" s="1" t="e">
        <f>AN43/VLOOKUP(A43,'[79]geoMap (162)'!$A:$B,2,0)*VLOOKUP(A43,'[79]geoMap (162)'!$A:$C,3,0)</f>
        <v>#REF!</v>
      </c>
      <c r="BM43" s="1" t="e">
        <f>AN43/VLOOKUP(A43,'[80]geoMap (164)'!$A:$B,2,0)*VLOOKUP(A43,'[80]geoMap (164)'!$A:$C,3,0)</f>
        <v>#REF!</v>
      </c>
      <c r="BN43" s="1" t="e">
        <f>AN43/VLOOKUP(A43,'[81]geoMap (166)'!$A:$B,2,0)*VLOOKUP(A43,'[81]geoMap (166)'!$A:$C,3,0)</f>
        <v>#REF!</v>
      </c>
      <c r="BO43" s="1" t="e">
        <f>AN43/VLOOKUP(A43,'[82]geoMap (168)'!$A:$B,2,0)*VLOOKUP(A43,'[82]geoMap (168)'!$A:$C,3,0)</f>
        <v>#REF!</v>
      </c>
      <c r="BP43" s="1" t="e">
        <f>AN43/VLOOKUP(A43,'[83]geoMap (170)'!$A:$B,2,0)*VLOOKUP(A43,'[83]geoMap (170)'!$A:$C,3,0)</f>
        <v>#REF!</v>
      </c>
    </row>
    <row r="44" spans="1:68" x14ac:dyDescent="0.2">
      <c r="A44" s="1" t="s">
        <v>110</v>
      </c>
      <c r="B44" s="1">
        <f>VLOOKUP(A44,[3]geoMap!$A:$B,2,0)*Notes!$C$6</f>
        <v>5000</v>
      </c>
      <c r="C44" s="1">
        <f>B44/VLOOKUP(A44,'[4]geoMap (1)'!$A:$B,2,0)*VLOOKUP(A44,'[4]geoMap (1)'!$A:$C,3,0)</f>
        <v>2692.3076923076924</v>
      </c>
      <c r="D44" s="1">
        <f>C44/VLOOKUP(A44,'[5]geoMap (2)'!$A:$B,2,0)*VLOOKUP(A44,'[5]geoMap (2)'!$A:$C,3,0)</f>
        <v>3160.5351170568561</v>
      </c>
      <c r="E44" s="1">
        <f>D44/VLOOKUP(A44,'[6]geoMap (3)'!$A:$B,2,0)*VLOOKUP(A44,'[6]geoMap (3)'!$A:$C,3,0)</f>
        <v>2917.4170311294051</v>
      </c>
      <c r="F44" s="1">
        <f>E44/VLOOKUP(A44,'[7]geoMap (4)'!$A:$B,2,0)*VLOOKUP(A44,'[7]geoMap (4)'!$A:$C,3,0)</f>
        <v>2485.2071005917155</v>
      </c>
      <c r="G44" s="1">
        <f>I44/42*58</f>
        <v>1111.1794115236455</v>
      </c>
      <c r="H44" s="1">
        <f>B44/VLOOKUP(A44,'[149]geoMap (71)'!$A:$B,2,0)*VLOOKUP(A44,'[149]geoMap (71)'!$A:$C,3,0)</f>
        <v>1024.0963855421687</v>
      </c>
      <c r="I44" s="1">
        <f>H44/VLOOKUP(A44,'[10]geoMap (7)'!$A:$B,2,0)*VLOOKUP(A44,'[10]geoMap (7)'!$A:$C,3,0)</f>
        <v>804.6471600688468</v>
      </c>
      <c r="J44" s="1">
        <f>I44/VLOOKUP(A44,'[11]geoMap (8)'!$A:$B,2,0)*VLOOKUP(A44,'[11]geoMap (8)'!$A:$C,3,0)</f>
        <v>559.16158581055458</v>
      </c>
      <c r="K44" s="1">
        <f>J44/VLOOKUP(A44,'[12]geoMap (9)'!$A:$B,2,0)*VLOOKUP(A44,'[12]geoMap (9)'!$A:$C,3,0)</f>
        <v>605.75838462810077</v>
      </c>
      <c r="L44" s="1">
        <f>K44/VLOOKUP(A44,'[13]geoMap (10)'!$A:$B,2,0)*VLOOKUP(A44,'[13]geoMap (10)'!$A:$C,3,0)</f>
        <v>259.61073626918602</v>
      </c>
      <c r="M44" s="1" t="e">
        <f>K44/VLOOKUP(A44,'[128]geoMap (78)'!$A:$B,2,0)*VLOOKUP(A44,'[128]geoMap (78)'!$A:$C,3,0)</f>
        <v>#REF!</v>
      </c>
      <c r="N44" s="1">
        <f>K44/VLOOKUP(A44,'[159]geoMap (79)'!$A:$B,2,0)*VLOOKUP(A44,'[159]geoMap (79)'!$A:$C,3,0)</f>
        <v>180.9408161876145</v>
      </c>
      <c r="O44" s="1">
        <f>N44/VLOOKUP(A44,'[16]geoMap (13)'!$A:$B,2,0)*VLOOKUP(A44,'[16]geoMap (13)'!$A:$C,3,0)</f>
        <v>249.87065092575335</v>
      </c>
      <c r="P44" s="1">
        <f>O44/VLOOKUP(A44,'[17]geoMap (14)'!$A:$B,2,0)*VLOOKUP(A44,'[17]geoMap (14)'!$A:$C,3,0)</f>
        <v>102.05984333587109</v>
      </c>
      <c r="Q44" s="1">
        <f>P44/VLOOKUP(A44,'[18]geoMap (15)'!$A:$B,2,0)*VLOOKUP(A44,'[18]geoMap (15)'!$A:$C,3,0)</f>
        <v>153.08976500380663</v>
      </c>
      <c r="R44" s="1">
        <f>Q44/VLOOKUP(A44,'[19]geoMap (16)'!$A:$B,2,0)*VLOOKUP(A44,'[19]geoMap (16)'!$A:$C,3,0)</f>
        <v>110.8581056924117</v>
      </c>
      <c r="S44" s="1">
        <f>R44/VLOOKUP(A44,'[20]geoMap (17)'!$A:$B,2,0)*VLOOKUP(A44,'[20]geoMap (17)'!$A:$C,3,0)</f>
        <v>62.357684451981577</v>
      </c>
      <c r="T44" s="1">
        <f>S44/VLOOKUP(A44,'[21]geoMap (18)'!$A:$B,2,0)*VLOOKUP(A44,'[21]geoMap (18)'!$A:$C,3,0)</f>
        <v>39.868027764381665</v>
      </c>
      <c r="U44" s="1">
        <f>T44/VLOOKUP(A44,'[22]geoMap (19)'!$A:$B,2,0)*VLOOKUP(A44,'[22]geoMap (19)'!$A:$C,3,0)</f>
        <v>31.324878957728448</v>
      </c>
      <c r="V44" s="1">
        <f>U44/VLOOKUP(A44,'[23]geoMap (20)'!$A:$B,2,0)*VLOOKUP(A44,'[23]geoMap (20)'!$A:$C,3,0)</f>
        <v>35.323799675736339</v>
      </c>
      <c r="W44" s="1" t="e">
        <f>O44/VLOOKUP(A44,'[121]geoMap (98)'!$A:$B,2,0)*VLOOKUP(A44,'[121]geoMap (98)'!$A:$C,3,0)</f>
        <v>#REF!</v>
      </c>
      <c r="X44" s="1" t="e">
        <f>Q44/VLOOKUP(A44,'[122]geoMap (100)'!$A:$B,2,0)*VLOOKUP(A44,'[122]geoMap (100)'!$A:$C,3,0)</f>
        <v>#REF!</v>
      </c>
      <c r="Y44" s="1">
        <f>U44/72*28</f>
        <v>12.181897372449951</v>
      </c>
      <c r="Z44" s="1">
        <f>O44/VLOOKUP(A44,'[160]geoMap (103)'!$A:$B,2,0)*VLOOKUP(A44,'[160]geoMap (103)'!$A:$C,3,0)</f>
        <v>34.073270580784545</v>
      </c>
      <c r="AA44" s="1">
        <f>Z44/VLOOKUP(A44,'[28]geoMap (25)'!$A:$B,2,0)*VLOOKUP(A44,'[28]geoMap (25)'!$A:$C,3,0)</f>
        <v>20.883617452738918</v>
      </c>
      <c r="AB44" s="1">
        <f>AA44*VLOOKUP(A44,'[29]geoMap (26)'!$A:$B,2,0)*VLOOKUP(A44,'[29]geoMap (26)'!$A:$C,3,0)</f>
        <v>5.1185746376663079</v>
      </c>
      <c r="AC44" s="1">
        <f>AB44/VLOOKUP(A44,'[30]geoMap (27)'!$A:$B,2,0)*VLOOKUP(A44,'[30]geoMap (27)'!$A:$C,3,0)</f>
        <v>6.7850873103948723</v>
      </c>
      <c r="AD44" s="1" t="e">
        <f>AC44/VLOOKUP(A44,'[31]geoMap (28)'!$A:$B,2,0)*VLOOKUP(A44,'[31]geoMap (28)'!$A:$C,3,0)</f>
        <v>#REF!</v>
      </c>
      <c r="AE44" s="1">
        <f>AB44/VLOOKUP(A44,'[98]geoMap (110)'!$A:$B,2,0)*VLOOKUP(A44,'[98]geoMap (110)'!$A:$C,3,0)</f>
        <v>9.5059243270945721</v>
      </c>
      <c r="AF44" s="1">
        <f>AE44/VLOOKUP(A44,'[33]geoMap (30)'!$A:$B,2,0)*VLOOKUP(A44,'[33]geoMap (30)'!$A:$C,3,0)</f>
        <v>11.159128557893629</v>
      </c>
      <c r="AG44" s="1" t="e">
        <f>AF44/VLOOKUP(A44,'[34]geoMap (31)'!$A:$B,2,0)*VLOOKUP(A44,'[34]geoMap (31)'!$A:$C,3,0)</f>
        <v>#REF!</v>
      </c>
      <c r="AH44" s="1" t="e">
        <f>Y44/VLOOKUP(A44,'[131]geoMap (114)'!$A:$B,2,0)*VLOOKUP(A44,'[131]geoMap (114)'!$A:$C,3,0)</f>
        <v>#REF!</v>
      </c>
      <c r="AI44" s="1">
        <f>Y44/VLOOKUP(A44,'[132]geoMap (115)'!$A:$B,2,0)*VLOOKUP(A44,'[132]geoMap (115)'!$A:$C,3,0)</f>
        <v>6.2755228888378545</v>
      </c>
      <c r="AJ44" s="1">
        <f>AI44/VLOOKUP(A44,'[37]geoMap (34)'!$A:$B,2,0)*VLOOKUP(A44,'[37]geoMap (34)'!$A:$C,3,0)</f>
        <v>11.156485135711742</v>
      </c>
      <c r="AK44" s="1" t="e">
        <f>AJ44/VLOOKUP(A44,'[38]geoMap (35)'!$A:$B,2,0)*VLOOKUP(A44,'[38]geoMap (35)'!$A:$C,3,0)</f>
        <v>#REF!</v>
      </c>
      <c r="AL44" s="1" t="e">
        <f>Z44/VLOOKUP(A44,'[114]geoMap (119)'!$A:$B,2,0)*VLOOKUP(A44,'[114]geoMap (119)'!$A:$C,3,0)</f>
        <v>#REF!</v>
      </c>
      <c r="AM44" s="1" t="e">
        <f>AA44/VLOOKUP(A44,'[125]geoMap (120)'!$A:$B,2,0)*VLOOKUP(A44,'[125]geoMap (120)'!$A:$C,3,0)</f>
        <v>#REF!</v>
      </c>
      <c r="AN44" s="1">
        <f>AC44/79*21</f>
        <v>1.8036308040290168</v>
      </c>
      <c r="AO44" s="1">
        <f>AJ44/80*20</f>
        <v>2.7891212839279356</v>
      </c>
      <c r="AP44" s="1">
        <f>AF44/100*0</f>
        <v>0</v>
      </c>
      <c r="AQ44" s="1" t="e">
        <f>AF44/VLOOKUP(A44,'[99]geoMap (126)'!$A:$B,2,0)*VLOOKUP(A44,'[99]geoMap (126)'!$A:$C,3,0)</f>
        <v>#REF!</v>
      </c>
      <c r="AR44" s="1" t="e">
        <f>AA44/VLOOKUP(A44,'[100]geoMap (128)'!$A:$B,2,0)*VLOOKUP(A44,'[100]geoMap (128)'!$A:$C,3,0)</f>
        <v>#REF!</v>
      </c>
      <c r="AS44" s="1" t="e">
        <f>AA44/VLOOKUP(A44,'[101]geoMap (129)'!$A:$B,2,0)*VLOOKUP(A44,'[101]geoMap (129)'!$A:$C,3,0)</f>
        <v>#REF!</v>
      </c>
      <c r="AT44" s="1" t="e">
        <f>AC44/VLOOKUP(A44,'[84]geoMap (131)'!$A:$B,2,0)*VLOOKUP(A44,'[84]geoMap (131)'!$A:$C,3,0)</f>
        <v>#REF!</v>
      </c>
      <c r="AU44" s="1" t="e">
        <f>AO44/VLOOKUP(A44,'[134]geoMap (134)'!$A:$B,2,0)*VLOOKUP(A44,'[134]geoMap (134)'!$A:$C,3,0)</f>
        <v>#REF!</v>
      </c>
      <c r="AV44" s="1" t="e">
        <f>AO44/VLOOKUP(A44,'[127]geoMap (136)'!$A:$B,2,0)*VLOOKUP(A44,'[127]geoMap (136)'!$A:$C,3,0)</f>
        <v>#REF!</v>
      </c>
      <c r="AW44" s="1">
        <f>AO44/100*0</f>
        <v>0</v>
      </c>
      <c r="AX44" s="1" t="e">
        <f>AO44/VLOOKUP(A44,'[115]geoMap (139)'!$A:$B,2,0)*VLOOKUP(A44,'[115]geoMap (139)'!$A:$C,3,0)</f>
        <v>#REF!</v>
      </c>
      <c r="AY44" s="1">
        <f>AO44/100*0</f>
        <v>0</v>
      </c>
      <c r="AZ44" s="1" t="e">
        <f>AO44/VLOOKUP(A44,'[135]geoMap (142)'!$A:$B,2,0)*VLOOKUP(A44,'[135]geoMap (142)'!$A:$C,3,0)</f>
        <v>#REF!</v>
      </c>
      <c r="BA44" s="1">
        <f>AO44/100*0</f>
        <v>0</v>
      </c>
      <c r="BB44" s="1" t="e">
        <f>AO44/VLOOKUP(A44,'[116]geoMap (145)'!$A:$B,2,0)*VLOOKUP(A44,'[116]geoMap (145)'!$A:$C,3,0)</f>
        <v>#REF!</v>
      </c>
      <c r="BC44" s="1">
        <f>AO44/100*0</f>
        <v>0</v>
      </c>
      <c r="BD44" s="1">
        <f>AO44/100*0</f>
        <v>0</v>
      </c>
      <c r="BE44" s="1" t="e">
        <f>AO44/VLOOKUP(A44,'[74]geoMap (149)'!$A:$B,2,0)*VLOOKUP(A44,'[74]geoMap (149)'!$A:$C,3,0)</f>
        <v>#REF!</v>
      </c>
      <c r="BF44" s="1" t="e">
        <f>AN44/VLOOKUP(A44,'[75]geoMap (150)'!$A:$B,2,0)*VLOOKUP(A44,'[75]geoMap (150)'!$A:$C,3,0)</f>
        <v>#REF!</v>
      </c>
      <c r="BG44" s="1" t="e">
        <f>AN44/VLOOKUP(A44,'[93]geoMap (152)'!$A:$B,2,0)*VLOOKUP(A44,'[93]geoMap (152)'!$A:$C,3,0)</f>
        <v>#REF!</v>
      </c>
      <c r="BH44" s="1" t="e">
        <f>AN44/VLOOKUP(A44,'[94]geoMap (154)'!$A:$B,2,0)*VLOOKUP(A44,'[94]geoMap (154)'!$A:$C,3,0)</f>
        <v>#REF!</v>
      </c>
      <c r="BI44" s="1" t="e">
        <f>AN44/VLOOKUP(A44,'[76]geoMap (156)'!$A:$B,2,0)*VLOOKUP(A44,'[76]geoMap (156)'!$A:$C,3,0)</f>
        <v>#REF!</v>
      </c>
      <c r="BJ44" s="1" t="e">
        <f>AN44/VLOOKUP(A44,'[77]geoMap (158)'!$A:$B,2,0)*VLOOKUP(A44,'[77]geoMap (158)'!$A:$C,3,0)</f>
        <v>#REF!</v>
      </c>
      <c r="BK44" s="1" t="e">
        <f>AN44/VLOOKUP(A44,'[78]geoMap (160)'!$A:$B,2,0)*VLOOKUP(A44,'[78]geoMap (160)'!$A:$C,3,0)</f>
        <v>#REF!</v>
      </c>
      <c r="BL44" s="1" t="e">
        <f>AN44/VLOOKUP(A44,'[79]geoMap (162)'!$A:$B,2,0)*VLOOKUP(A44,'[79]geoMap (162)'!$A:$C,3,0)</f>
        <v>#REF!</v>
      </c>
      <c r="BM44" s="1" t="e">
        <f>AN44/VLOOKUP(A44,'[80]geoMap (164)'!$A:$B,2,0)*VLOOKUP(A44,'[80]geoMap (164)'!$A:$C,3,0)</f>
        <v>#REF!</v>
      </c>
      <c r="BN44" s="1" t="e">
        <f>AN44/VLOOKUP(A44,'[81]geoMap (166)'!$A:$B,2,0)*VLOOKUP(A44,'[81]geoMap (166)'!$A:$C,3,0)</f>
        <v>#REF!</v>
      </c>
      <c r="BO44" s="1" t="e">
        <f>AN44/VLOOKUP(A44,'[82]geoMap (168)'!$A:$B,2,0)*VLOOKUP(A44,'[82]geoMap (168)'!$A:$C,3,0)</f>
        <v>#REF!</v>
      </c>
      <c r="BP44" s="1" t="e">
        <f>AN44/VLOOKUP(A44,'[83]geoMap (170)'!$A:$B,2,0)*VLOOKUP(A44,'[83]geoMap (170)'!$A:$C,3,0)</f>
        <v>#REF!</v>
      </c>
    </row>
    <row r="45" spans="1:68" x14ac:dyDescent="0.2">
      <c r="A45" s="1" t="s">
        <v>101</v>
      </c>
      <c r="B45" s="1">
        <f>VLOOKUP(A45,[3]geoMap!$A:$B,2,0)*Notes!$C$6</f>
        <v>5000</v>
      </c>
      <c r="C45" s="1">
        <f>B45/VLOOKUP(A45,'[4]geoMap (1)'!$A:$B,2,0)*VLOOKUP(A45,'[4]geoMap (1)'!$A:$C,3,0)</f>
        <v>2142.8571428571427</v>
      </c>
      <c r="D45" s="1">
        <f>C45/VLOOKUP(A45,'[5]geoMap (2)'!$A:$B,2,0)*VLOOKUP(A45,'[5]geoMap (2)'!$A:$C,3,0)</f>
        <v>3214.2857142857133</v>
      </c>
      <c r="E45" s="1">
        <f>D45/VLOOKUP(A45,'[6]geoMap (3)'!$A:$B,2,0)*VLOOKUP(A45,'[6]geoMap (3)'!$A:$C,3,0)</f>
        <v>3345.4810495626812</v>
      </c>
      <c r="F45" s="1">
        <f>E45/VLOOKUP(A45,'[7]geoMap (4)'!$A:$B,2,0)*VLOOKUP(A45,'[7]geoMap (4)'!$A:$C,3,0)</f>
        <v>4434.7074377923909</v>
      </c>
      <c r="G45" s="1">
        <f>F45/VLOOKUP(A45,'[8]geoMap (5)'!$A:$B,2,0)*VLOOKUP(A45,'[8]geoMap (5)'!$A:$C,3,0)</f>
        <v>1250.8149183517</v>
      </c>
      <c r="H45" s="1">
        <f>G45/VLOOKUP(A45,'[9]geoMap (6)'!$A:$B,2,0)*VLOOKUP(A45,'[9]geoMap (6)'!$A:$C,3,0)</f>
        <v>1065.5090045218185</v>
      </c>
      <c r="I45" s="1">
        <f>H45/VLOOKUP(A45,'[10]geoMap (7)'!$A:$B,2,0)*VLOOKUP(A45,'[10]geoMap (7)'!$A:$C,3,0)</f>
        <v>653.05390599724365</v>
      </c>
      <c r="J45" s="1">
        <f>I45/VLOOKUP(A45,'[11]geoMap (8)'!$A:$B,2,0)*VLOOKUP(A45,'[11]geoMap (8)'!$A:$C,3,0)</f>
        <v>679.70916746651892</v>
      </c>
      <c r="K45" s="1">
        <f>J45/VLOOKUP(A45,'[12]geoMap (9)'!$A:$B,2,0)*VLOOKUP(A45,'[12]geoMap (9)'!$A:$C,3,0)</f>
        <v>766.48055054735119</v>
      </c>
      <c r="L45" s="1">
        <f>K45/VLOOKUP(A45,'[13]geoMap (10)'!$A:$B,2,0)*VLOOKUP(A45,'[13]geoMap (10)'!$A:$C,3,0)</f>
        <v>377.52027116511323</v>
      </c>
      <c r="M45" s="1">
        <f>L45/VLOOKUP(A45,'[14]geoMap (11)'!$A:$B,2,0)*VLOOKUP(A45,'[14]geoMap (11)'!$A:$C,3,0)</f>
        <v>125.84009038837108</v>
      </c>
      <c r="N45" s="1">
        <f>M45/VLOOKUP(A45,'[15]geoMap (12)'!$A:$B,2,0)*VLOOKUP(A45,'[15]geoMap (12)'!$A:$C,3,0)</f>
        <v>205.31804221260543</v>
      </c>
      <c r="O45" s="1">
        <f>N45/VLOOKUP(A45,'[16]geoMap (13)'!$A:$B,2,0)*VLOOKUP(A45,'[16]geoMap (13)'!$A:$C,3,0)</f>
        <v>295.45767050106633</v>
      </c>
      <c r="P45" s="1">
        <f>O45/VLOOKUP(A45,'[17]geoMap (14)'!$A:$B,2,0)*VLOOKUP(A45,'[17]geoMap (14)'!$A:$C,3,0)</f>
        <v>232.1453125365521</v>
      </c>
      <c r="Q45" s="1">
        <f>P45/VLOOKUP(A45,'[18]geoMap (15)'!$A:$B,2,0)*VLOOKUP(A45,'[18]geoMap (15)'!$A:$C,3,0)</f>
        <v>130.58173830181053</v>
      </c>
      <c r="R45" s="1">
        <f>Q45/VLOOKUP(A45,'[19]geoMap (16)'!$A:$B,2,0)*VLOOKUP(A45,'[19]geoMap (16)'!$A:$C,3,0)</f>
        <v>43.527246100603513</v>
      </c>
      <c r="S45" s="1">
        <f>R45/VLOOKUP(A45,'[20]geoMap (17)'!$A:$B,2,0)*VLOOKUP(A45,'[20]geoMap (17)'!$A:$C,3,0)</f>
        <v>32.836343549578089</v>
      </c>
      <c r="T45" s="1">
        <f>S45/VLOOKUP(A45,'[21]geoMap (18)'!$A:$B,2,0)*VLOOKUP(A45,'[21]geoMap (18)'!$A:$C,3,0)</f>
        <v>32.836343549578089</v>
      </c>
      <c r="U45" s="1">
        <f>T45/VLOOKUP(A45,'[22]geoMap (19)'!$A:$B,2,0)*VLOOKUP(A45,'[22]geoMap (19)'!$A:$C,3,0)</f>
        <v>40.133308782817664</v>
      </c>
      <c r="V45" s="1">
        <f>U45/VLOOKUP(A45,'[23]geoMap (20)'!$A:$B,2,0)*VLOOKUP(A45,'[23]geoMap (20)'!$A:$C,3,0)</f>
        <v>134.35933809899825</v>
      </c>
      <c r="W45" s="1">
        <f>V45/VLOOKUP(A45,'[24]geoMap (21)'!$A:$B,2,0)*VLOOKUP(A45,'[24]geoMap (21)'!$A:$C,3,0)</f>
        <v>54.879166265788015</v>
      </c>
      <c r="X45" s="1">
        <f>W45/VLOOKUP(A45,'[25]geoMap (22)'!$A:$B,2,0)*VLOOKUP(A45,'[25]geoMap (22)'!$A:$C,3,0)</f>
        <v>10.453174526816765</v>
      </c>
      <c r="Y45" s="1">
        <f>X45/VLOOKUP(A45,'[26]geoMap (23)'!$A:$B,2,0)*VLOOKUP(A45,'[26]geoMap (23)'!$A:$C,3,0)</f>
        <v>17.79864851863395</v>
      </c>
      <c r="Z45" s="1">
        <f>Y45/VLOOKUP(A45,'[27]geoMap (24)'!$A:$B,2,0)*VLOOKUP(A45,'[27]geoMap (24)'!$A:$C,3,0)</f>
        <v>19.281869228520112</v>
      </c>
      <c r="AA45" s="1">
        <f>Z45/VLOOKUP(A45,'[28]geoMap (25)'!$A:$B,2,0)*VLOOKUP(A45,'[28]geoMap (25)'!$A:$C,3,0)</f>
        <v>4.2326054404068536</v>
      </c>
      <c r="AB45" s="1">
        <f>AA45*VLOOKUP(A45,'[29]geoMap (26)'!$A:$B,2,0)*VLOOKUP(A45,'[29]geoMap (26)'!$A:$C,3,0)</f>
        <v>0.88884714248543917</v>
      </c>
      <c r="AC45" s="1">
        <f>AB45/VLOOKUP(A45,'[30]geoMap (27)'!$A:$B,2,0)*VLOOKUP(A45,'[30]geoMap (27)'!$A:$C,3,0)</f>
        <v>1.7254091589423231</v>
      </c>
      <c r="AD45" s="1">
        <f>AC45/VLOOKUP(A45,'[31]geoMap (28)'!$A:$B,2,0)*VLOOKUP(A45,'[31]geoMap (28)'!$A:$C,3,0)</f>
        <v>0.40472560518400164</v>
      </c>
      <c r="AE45" s="1">
        <f>AD45/VLOOKUP(A45,'[32]geoMap (29)'!$A:$B,2,0)*VLOOKUP(A45,'[32]geoMap (29)'!$A:$C,3,0)</f>
        <v>1.4349362365614604</v>
      </c>
      <c r="AF45" s="1">
        <f>AE45/VLOOKUP(A45,'[33]geoMap (30)'!$A:$B,2,0)*VLOOKUP(A45,'[33]geoMap (30)'!$A:$C,3,0)</f>
        <v>0.73920957641044927</v>
      </c>
      <c r="AG45" s="1">
        <f>AF45/VLOOKUP(A45,'[34]geoMap (31)'!$A:$B,2,0)*VLOOKUP(A45,'[34]geoMap (31)'!$A:$C,3,0)</f>
        <v>0.38080493330235266</v>
      </c>
      <c r="AH45" s="1">
        <f>AG45/VLOOKUP(A45,'[35]geoMap (32)'!$A:$B,2,0)*VLOOKUP(A45,'[35]geoMap (32)'!$A:$C,3,0)</f>
        <v>1.2058822887907834</v>
      </c>
      <c r="AI45" s="1">
        <f>AH45/VLOOKUP(A45,'[36]geoMap (33)'!$A:$B,2,0)*VLOOKUP(A45,'[36]geoMap (33)'!$A:$C,3,0)</f>
        <v>0.21280275684543237</v>
      </c>
      <c r="AJ45" s="1">
        <f>AI45/VLOOKUP(A45,'[37]geoMap (34)'!$A:$B,2,0)*VLOOKUP(A45,'[37]geoMap (34)'!$A:$C,3,0)</f>
        <v>0.10481329814775027</v>
      </c>
      <c r="AK45" s="1">
        <f>Y45/VLOOKUP(A45,'[113]geoMap (117)'!$A:$B,2,0)*VLOOKUP(A45,'[113]geoMap (117)'!$A:$C,3,0)</f>
        <v>7.269870521695557</v>
      </c>
      <c r="AL45" s="1">
        <f>AK45/VLOOKUP(A45,'[39]geoMap (36)'!$A:$B,2,0)*VLOOKUP(A45,'[39]geoMap (36)'!$A:$C,3,0)</f>
        <v>41.195932956274824</v>
      </c>
      <c r="AM45" s="1">
        <f>AL45/VLOOKUP(A45,'[40]geoMap (37)'!$A:$B,2,0)*VLOOKUP(A45,'[40]geoMap (37)'!$A:$C,3,0)</f>
        <v>4.0743230396315759</v>
      </c>
      <c r="AN45" s="1">
        <f>AM45/VLOOKUP(A45,'[41]geoMap (38)'!$A:$B,2,0)*VLOOKUP(A45,'[41]geoMap (38)'!$A:$C,3,0)</f>
        <v>2.9503718562849346</v>
      </c>
      <c r="AO45" s="1">
        <f>AN45/VLOOKUP(A45,'[42]geoMap (39)'!$A:$B,2,0)*VLOOKUP(A45,'[42]geoMap (39)'!$A:$C,3,0)</f>
        <v>3.1962361776420125</v>
      </c>
      <c r="AP45" s="1" t="e">
        <f>AO45/VLOOKUP(A45,'[43]geoMap (40)'!$A:$B,2,0)*VLOOKUP(A45,'[43]geoMap (40)'!$A:$C,3,0)</f>
        <v>#REF!</v>
      </c>
      <c r="AQ45" s="1" t="e">
        <f>AF45/VLOOKUP(A45,'[99]geoMap (126)'!$A:$B,2,0)*VLOOKUP(A45,'[99]geoMap (126)'!$A:$C,3,0)</f>
        <v>#REF!</v>
      </c>
      <c r="AR45" s="1">
        <f>AA45/VLOOKUP(A45,'[100]geoMap (128)'!$A:$B,2,0)*VLOOKUP(A45,'[100]geoMap (128)'!$A:$C,3,0)</f>
        <v>2.9413020857064578</v>
      </c>
      <c r="AS45" s="1">
        <f>AR45/VLOOKUP(A45,'[46]geoMap (43)'!$A:$B,2,0)*VLOOKUP(A45,'[46]geoMap (43)'!$A:$C,3,0)</f>
        <v>4.0617981183565366</v>
      </c>
      <c r="AT45" s="1" t="e">
        <f>AS45/VLOOKUP(A45,'[47]geoMap (44)'!$A:$B,2,0)*VLOOKUP(A45,'[47]geoMap (44)'!$A:$C,3,0)</f>
        <v>#REF!</v>
      </c>
      <c r="AU45" s="1">
        <f>AN45/VLOOKUP(A45,'[85]geoMap (133)'!$A:$B,2,0)*VLOOKUP(A45,'[85]geoMap (133)'!$A:$C,3,0)</f>
        <v>3.7550187261808263</v>
      </c>
      <c r="AV45" s="1" t="e">
        <f>AU45/VLOOKUP(A45,'[49]geoMap (46)'!$A:$B,2,0)*VLOOKUP(A45,'[49]geoMap (46)'!$A:$C,3,0)</f>
        <v>#REF!</v>
      </c>
      <c r="AW45" s="1" t="e">
        <f>AN45/VLOOKUP(A45,'[87]geoMap (137)'!$A:$B,2,0)*VLOOKUP(A45,'[87]geoMap (137)'!$A:$C,3,0)</f>
        <v>#REF!</v>
      </c>
      <c r="AX45" s="1" t="e">
        <f>AN45/VLOOKUP(A45,'[70]geoMap (138)'!$A:$B,2,0)*VLOOKUP(A45,'[70]geoMap (138)'!$A:$C,3,0)</f>
        <v>#REF!</v>
      </c>
      <c r="AY45" s="1" t="e">
        <f>AN45/VLOOKUP(A45,'[88]geoMap (140)'!$A:$B,2,0)*VLOOKUP(A45,'[88]geoMap (140)'!$A:$C,3,0)</f>
        <v>#REF!</v>
      </c>
      <c r="AZ45" s="1" t="e">
        <f>AN45/VLOOKUP(A45,'[89]geoMap (141)'!$A:$B,2,0)*VLOOKUP(A45,'[89]geoMap (141)'!$A:$C,3,0)</f>
        <v>#REF!</v>
      </c>
      <c r="BA45" s="1" t="e">
        <f>AN45/VLOOKUP(A45,'[71]geoMap (143)'!$A:$B,2,0)*VLOOKUP(A45,'[71]geoMap (143)'!$A:$C,3,0)</f>
        <v>#REF!</v>
      </c>
      <c r="BB45" s="1" t="e">
        <f>AN45/VLOOKUP(A45,'[90]geoMap (144)'!$A:$B,2,0)*VLOOKUP(A45,'[90]geoMap (144)'!$A:$C,3,0)</f>
        <v>#REF!</v>
      </c>
      <c r="BC45" s="1" t="e">
        <f>AN45/VLOOKUP(A45,'[72]geoMap (146)'!$A:$B,2,0)*VLOOKUP(A45,'[72]geoMap (146)'!$A:$C,3,0)</f>
        <v>#REF!</v>
      </c>
      <c r="BD45" s="1">
        <f>AN45/VLOOKUP(A45,'[73]geoMap (147)'!$A:$B,2,0)*VLOOKUP(A45,'[73]geoMap (147)'!$A:$C,3,0)</f>
        <v>0.52065385699145905</v>
      </c>
      <c r="BE45" s="1" t="e">
        <f>BD45/VLOOKUP(A45,'[58]geoMap (55)'!$A:$B,2,0)*VLOOKUP(A45,'[58]geoMap (55)'!$A:$C,3,0)</f>
        <v>#REF!</v>
      </c>
      <c r="BF45" s="1" t="e">
        <f>AN45/VLOOKUP(A45,'[75]geoMap (150)'!$A:$B,2,0)*VLOOKUP(A45,'[75]geoMap (150)'!$A:$C,3,0)</f>
        <v>#REF!</v>
      </c>
      <c r="BG45" s="1" t="e">
        <f>AN45/VLOOKUP(A45,'[93]geoMap (152)'!$A:$B,2,0)*VLOOKUP(A45,'[93]geoMap (152)'!$A:$C,3,0)</f>
        <v>#REF!</v>
      </c>
      <c r="BH45" s="1" t="e">
        <f>AN45/VLOOKUP(A45,'[94]geoMap (154)'!$A:$B,2,0)*VLOOKUP(A45,'[94]geoMap (154)'!$A:$C,3,0)</f>
        <v>#REF!</v>
      </c>
      <c r="BI45" s="1" t="e">
        <f>AN45/VLOOKUP(A45,'[76]geoMap (156)'!$A:$B,2,0)*VLOOKUP(A45,'[76]geoMap (156)'!$A:$C,3,0)</f>
        <v>#REF!</v>
      </c>
      <c r="BJ45" s="1" t="e">
        <f>AN45/VLOOKUP(A45,'[77]geoMap (158)'!$A:$B,2,0)*VLOOKUP(A45,'[77]geoMap (158)'!$A:$C,3,0)</f>
        <v>#REF!</v>
      </c>
      <c r="BK45" s="1" t="e">
        <f>AN45/VLOOKUP(A45,'[78]geoMap (160)'!$A:$B,2,0)*VLOOKUP(A45,'[78]geoMap (160)'!$A:$C,3,0)</f>
        <v>#REF!</v>
      </c>
      <c r="BL45" s="1" t="e">
        <f>AN45/VLOOKUP(A45,'[79]geoMap (162)'!$A:$B,2,0)*VLOOKUP(A45,'[79]geoMap (162)'!$A:$C,3,0)</f>
        <v>#REF!</v>
      </c>
      <c r="BM45" s="1" t="e">
        <f>AN45/VLOOKUP(A45,'[80]geoMap (164)'!$A:$B,2,0)*VLOOKUP(A45,'[80]geoMap (164)'!$A:$C,3,0)</f>
        <v>#REF!</v>
      </c>
      <c r="BN45" s="1" t="e">
        <f>AN45/VLOOKUP(A45,'[81]geoMap (166)'!$A:$B,2,0)*VLOOKUP(A45,'[81]geoMap (166)'!$A:$C,3,0)</f>
        <v>#REF!</v>
      </c>
      <c r="BO45" s="1" t="e">
        <f>AN45/VLOOKUP(A45,'[82]geoMap (168)'!$A:$B,2,0)*VLOOKUP(A45,'[82]geoMap (168)'!$A:$C,3,0)</f>
        <v>#REF!</v>
      </c>
      <c r="BP45" s="1" t="e">
        <f>AN45/VLOOKUP(A45,'[83]geoMap (170)'!$A:$B,2,0)*VLOOKUP(A45,'[83]geoMap (170)'!$A:$C,3,0)</f>
        <v>#REF!</v>
      </c>
    </row>
    <row r="46" spans="1:68" x14ac:dyDescent="0.2">
      <c r="A46" s="1" t="s">
        <v>115</v>
      </c>
      <c r="B46" s="1">
        <f>VLOOKUP(A46,[3]geoMap!$A:$B,2,0)*Notes!$C$6</f>
        <v>5000</v>
      </c>
      <c r="C46" s="1">
        <f>B46/VLOOKUP(A46,'[4]geoMap (1)'!$A:$B,2,0)*VLOOKUP(A46,'[4]geoMap (1)'!$A:$C,3,0)</f>
        <v>1666.6666666666667</v>
      </c>
      <c r="D46" s="1">
        <f>C46/VLOOKUP(A46,'[5]geoMap (2)'!$A:$B,2,0)*VLOOKUP(A46,'[5]geoMap (2)'!$A:$C,3,0)</f>
        <v>2837.8378378378379</v>
      </c>
      <c r="E46" s="1">
        <f>D46/VLOOKUP(A46,'[6]geoMap (3)'!$A:$B,2,0)*VLOOKUP(A46,'[6]geoMap (3)'!$A:$C,3,0)</f>
        <v>5045.0450450450453</v>
      </c>
      <c r="F46" s="1">
        <f>E46/VLOOKUP(A46,'[7]geoMap (4)'!$A:$B,2,0)*VLOOKUP(A46,'[7]geoMap (4)'!$A:$C,3,0)</f>
        <v>3363.363363363364</v>
      </c>
      <c r="G46" s="1">
        <f>F46/VLOOKUP(A46,'[8]geoMap (5)'!$A:$B,2,0)*VLOOKUP(A46,'[8]geoMap (5)'!$A:$C,3,0)</f>
        <v>1181.7222628033439</v>
      </c>
      <c r="H46" s="1">
        <f>G46/VLOOKUP(A46,'[9]geoMap (6)'!$A:$B,2,0)*VLOOKUP(A46,'[9]geoMap (6)'!$A:$C,3,0)</f>
        <v>1444.327210092976</v>
      </c>
      <c r="I46" s="1">
        <f>H46/VLOOKUP(A46,'[10]geoMap (7)'!$A:$B,2,0)*VLOOKUP(A46,'[10]geoMap (7)'!$A:$C,3,0)</f>
        <v>456.10332950304502</v>
      </c>
      <c r="J46" s="1">
        <f>I46/VLOOKUP(A46,'[11]geoMap (8)'!$A:$B,2,0)*VLOOKUP(A46,'[11]geoMap (8)'!$A:$C,3,0)</f>
        <v>969.21957519397074</v>
      </c>
      <c r="K46" s="1">
        <f>J46/VLOOKUP(A46,'[12]geoMap (9)'!$A:$B,2,0)*VLOOKUP(A46,'[12]geoMap (9)'!$A:$C,3,0)</f>
        <v>859.49660441729475</v>
      </c>
      <c r="L46" s="1">
        <f>K46/VLOOKUP(A46,'[13]geoMap (10)'!$A:$B,2,0)*VLOOKUP(A46,'[13]geoMap (10)'!$A:$C,3,0)</f>
        <v>334.24867949561468</v>
      </c>
      <c r="M46" s="1">
        <f>L46/VLOOKUP(A46,'[14]geoMap (11)'!$A:$B,2,0)*VLOOKUP(A46,'[14]geoMap (11)'!$A:$C,3,0)</f>
        <v>123.62622392303558</v>
      </c>
      <c r="N46" s="1">
        <f>M46/VLOOKUP(A46,'[15]geoMap (12)'!$A:$B,2,0)*VLOOKUP(A46,'[15]geoMap (12)'!$A:$C,3,0)</f>
        <v>139.40829506214652</v>
      </c>
      <c r="O46" s="1">
        <f>N46/VLOOKUP(A46,'[16]geoMap (13)'!$A:$B,2,0)*VLOOKUP(A46,'[16]geoMap (13)'!$A:$C,3,0)</f>
        <v>258.90111940112928</v>
      </c>
      <c r="P46" s="1">
        <f>O46/VLOOKUP(A46,'[17]geoMap (14)'!$A:$B,2,0)*VLOOKUP(A46,'[17]geoMap (14)'!$A:$C,3,0)</f>
        <v>303.92740103610828</v>
      </c>
      <c r="Q46" s="1">
        <f>P46/VLOOKUP(A46,'[18]geoMap (15)'!$A:$B,2,0)*VLOOKUP(A46,'[18]geoMap (15)'!$A:$C,3,0)</f>
        <v>149.69558558494884</v>
      </c>
      <c r="R46" s="1">
        <f>Q46/VLOOKUP(A46,'[19]geoMap (16)'!$A:$B,2,0)*VLOOKUP(A46,'[19]geoMap (16)'!$A:$C,3,0)</f>
        <v>52.595746286603649</v>
      </c>
      <c r="S46" s="1">
        <f>R46/VLOOKUP(A46,'[20]geoMap (17)'!$A:$B,2,0)*VLOOKUP(A46,'[20]geoMap (17)'!$A:$C,3,0)</f>
        <v>33.626788609467908</v>
      </c>
      <c r="T46" s="1">
        <f>S46/VLOOKUP(A46,'[21]geoMap (18)'!$A:$B,2,0)*VLOOKUP(A46,'[21]geoMap (18)'!$A:$C,3,0)</f>
        <v>19.74906632619544</v>
      </c>
      <c r="U46" s="1">
        <f>T46/VLOOKUP(A46,'[22]geoMap (19)'!$A:$B,2,0)*VLOOKUP(A46,'[22]geoMap (19)'!$A:$C,3,0)</f>
        <v>53.395623770824706</v>
      </c>
      <c r="V46" s="1">
        <f>U46/VLOOKUP(A46,'[23]geoMap (20)'!$A:$B,2,0)*VLOOKUP(A46,'[23]geoMap (20)'!$A:$C,3,0)</f>
        <v>328.00168887792313</v>
      </c>
      <c r="W46" s="1">
        <f>V46/VLOOKUP(A46,'[24]geoMap (21)'!$A:$B,2,0)*VLOOKUP(A46,'[24]geoMap (21)'!$A:$C,3,0)</f>
        <v>44.727503028807696</v>
      </c>
      <c r="X46" s="1" t="e">
        <f>Q46/VLOOKUP(A46,'[122]geoMap (100)'!$A:$B,2,0)*VLOOKUP(A46,'[122]geoMap (100)'!$A:$C,3,0)</f>
        <v>#REF!</v>
      </c>
      <c r="Y46" s="1">
        <f>O46/VLOOKUP(A46,'[123]geoMap (101)'!$A:$B,2,0)*VLOOKUP(A46,'[123]geoMap (101)'!$A:$C,3,0)</f>
        <v>16.525603366029529</v>
      </c>
      <c r="Z46" s="1">
        <f>Y46/VLOOKUP(A46,'[27]geoMap (24)'!$A:$B,2,0)*VLOOKUP(A46,'[27]geoMap (24)'!$A:$C,3,0)</f>
        <v>21.906032368922862</v>
      </c>
      <c r="AA46" s="1" t="e">
        <f>Q46/VLOOKUP(A46,'[139]geoMap (106)'!$A:$B,2,0)*VLOOKUP(A46,'[139]geoMap (106)'!$A:$C,3,0)</f>
        <v>#REF!</v>
      </c>
      <c r="AB46" s="1">
        <f>Y46/55*45</f>
        <v>13.520948208569616</v>
      </c>
      <c r="AC46" s="1">
        <f>AB46/VLOOKUP(A46,'[30]geoMap (27)'!$A:$B,2,0)*VLOOKUP(A46,'[30]geoMap (27)'!$A:$C,3,0)</f>
        <v>19.456974251356275</v>
      </c>
      <c r="AD46" s="1" t="e">
        <f>AC46/VLOOKUP(A46,'[31]geoMap (28)'!$A:$B,2,0)*VLOOKUP(A46,'[31]geoMap (28)'!$A:$C,3,0)</f>
        <v>#REF!</v>
      </c>
      <c r="AE46" s="1">
        <f>AB46/VLOOKUP(A46,'[98]geoMap (110)'!$A:$B,2,0)*VLOOKUP(A46,'[98]geoMap (110)'!$A:$C,3,0)</f>
        <v>23.022155057834752</v>
      </c>
      <c r="AF46" s="1">
        <f>AE46/VLOOKUP(A46,'[33]geoMap (30)'!$A:$B,2,0)*VLOOKUP(A46,'[33]geoMap (30)'!$A:$C,3,0)</f>
        <v>8.08886529059059</v>
      </c>
      <c r="AG46" s="1" t="e">
        <f>AF46/VLOOKUP(A46,'[34]geoMap (31)'!$A:$B,2,0)*VLOOKUP(A46,'[34]geoMap (31)'!$A:$C,3,0)</f>
        <v>#REF!</v>
      </c>
      <c r="AH46" s="1">
        <f>Y46/VLOOKUP(A46,'[131]geoMap (114)'!$A:$B,2,0)*VLOOKUP(A46,'[131]geoMap (114)'!$A:$C,3,0)</f>
        <v>21.032586102219401</v>
      </c>
      <c r="AI46" s="1" t="e">
        <f>AH46/VLOOKUP(A46,'[36]geoMap (33)'!$A:$B,2,0)*VLOOKUP(A46,'[36]geoMap (33)'!$A:$C,3,0)</f>
        <v>#REF!</v>
      </c>
      <c r="AJ46" s="1">
        <f>Y46/VLOOKUP(A46,'[112]geoMap (116)'!$A:$B,2,0)*VLOOKUP(A46,'[112]geoMap (116)'!$A:$C,3,0)</f>
        <v>2.6902145014466678</v>
      </c>
      <c r="AK46" s="1">
        <f>Y46/VLOOKUP(A46,'[113]geoMap (117)'!$A:$B,2,0)*VLOOKUP(A46,'[113]geoMap (117)'!$A:$C,3,0)</f>
        <v>7.4245464398103689</v>
      </c>
      <c r="AL46" s="1">
        <f>AK46/VLOOKUP(A46,'[39]geoMap (36)'!$A:$B,2,0)*VLOOKUP(A46,'[39]geoMap (36)'!$A:$C,3,0)</f>
        <v>60.071330285738441</v>
      </c>
      <c r="AM46" s="1">
        <f>AL46/VLOOKUP(A46,'[40]geoMap (37)'!$A:$B,2,0)*VLOOKUP(A46,'[40]geoMap (37)'!$A:$C,3,0)</f>
        <v>5.9411205777103948</v>
      </c>
      <c r="AN46" s="1">
        <f>AM46/VLOOKUP(A46,'[41]geoMap (38)'!$A:$B,2,0)*VLOOKUP(A46,'[41]geoMap (38)'!$A:$C,3,0)</f>
        <v>4.4818979796762628</v>
      </c>
      <c r="AO46" s="1" t="e">
        <f>AN46/VLOOKUP(A46,'[42]geoMap (39)'!$A:$B,2,0)*VLOOKUP(A46,'[42]geoMap (39)'!$A:$C,3,0)</f>
        <v>#REF!</v>
      </c>
      <c r="AP46" s="1" t="e">
        <f>AN46/VLOOKUP(A46,'[126]geoMap (124)'!$A:$B,2,0)*VLOOKUP(A46,'[126]geoMap (124)'!$A:$C,3,0)</f>
        <v>#REF!</v>
      </c>
      <c r="AQ46" s="1" t="e">
        <f>AF46/VLOOKUP(A46,'[99]geoMap (126)'!$A:$B,2,0)*VLOOKUP(A46,'[99]geoMap (126)'!$A:$C,3,0)</f>
        <v>#REF!</v>
      </c>
      <c r="AR46" s="1">
        <f>AN46/100*0</f>
        <v>0</v>
      </c>
      <c r="AS46" s="1">
        <f>AN46/VLOOKUP(A46,'[143]geoMap (130)'!$A:$B,2,0)*VLOOKUP(A46,'[143]geoMap (130)'!$A:$C,3,0)</f>
        <v>12.117724167272858</v>
      </c>
      <c r="AT46" s="1">
        <f>AS46/VLOOKUP(A46,'[47]geoMap (44)'!$A:$B,2,0)*VLOOKUP(A46,'[47]geoMap (44)'!$A:$C,3,0)</f>
        <v>2.481943504140224</v>
      </c>
      <c r="AU46" s="1">
        <f>AT46/VLOOKUP(A46,'[48]geoMap (45)'!$A:$B,2,0)*VLOOKUP(A46,'[48]geoMap (45)'!$A:$C,3,0)</f>
        <v>2.481943504140224</v>
      </c>
      <c r="AV46" s="1" t="e">
        <f>AU46/VLOOKUP(A46,'[49]geoMap (46)'!$A:$B,2,0)*VLOOKUP(A46,'[49]geoMap (46)'!$A:$C,3,0)</f>
        <v>#REF!</v>
      </c>
      <c r="AW46" s="1" t="e">
        <f>AN46/VLOOKUP(A46,'[87]geoMap (137)'!$A:$B,2,0)*VLOOKUP(A46,'[87]geoMap (137)'!$A:$C,3,0)</f>
        <v>#REF!</v>
      </c>
      <c r="AX46" s="1" t="e">
        <f>AN46/VLOOKUP(A46,'[70]geoMap (138)'!$A:$B,2,0)*VLOOKUP(A46,'[70]geoMap (138)'!$A:$C,3,0)</f>
        <v>#REF!</v>
      </c>
      <c r="AY46" s="1">
        <f>AN46/VLOOKUP(A46,'[88]geoMap (140)'!$A:$B,2,0)*VLOOKUP(A46,'[88]geoMap (140)'!$A:$C,3,0)</f>
        <v>1.1204744949190657</v>
      </c>
      <c r="AZ46" s="1" t="e">
        <f>AY46/VLOOKUP(A46,'[53]geoMap (50)'!$A:$B,2,0)*VLOOKUP(A46,'[53]geoMap (50)'!$A:$C,3,0)</f>
        <v>#REF!</v>
      </c>
      <c r="BA46" s="1" t="e">
        <f>AN46/VLOOKUP(A46,'[71]geoMap (143)'!$A:$B,2,0)*VLOOKUP(A46,'[71]geoMap (143)'!$A:$C,3,0)</f>
        <v>#REF!</v>
      </c>
      <c r="BB46" s="1" t="e">
        <f>AN46/VLOOKUP(A46,'[90]geoMap (144)'!$A:$B,2,0)*VLOOKUP(A46,'[90]geoMap (144)'!$A:$C,3,0)</f>
        <v>#REF!</v>
      </c>
      <c r="BC46" s="1" t="e">
        <f>AN46/VLOOKUP(A46,'[72]geoMap (146)'!$A:$B,2,0)*VLOOKUP(A46,'[72]geoMap (146)'!$A:$C,3,0)</f>
        <v>#REF!</v>
      </c>
      <c r="BD46" s="1" t="e">
        <f>AN46/VLOOKUP(A46,'[73]geoMap (147)'!$A:$B,2,0)*VLOOKUP(A46,'[73]geoMap (147)'!$A:$C,3,0)</f>
        <v>#REF!</v>
      </c>
      <c r="BE46" s="1" t="e">
        <f>AN46/VLOOKUP(A46,'[91]geoMap (148)'!$A:$B,2,0)*VLOOKUP(A46,'[91]geoMap (148)'!$A:$C,3,0)</f>
        <v>#REF!</v>
      </c>
      <c r="BF46" s="1" t="e">
        <f>AN46/VLOOKUP(A46,'[75]geoMap (150)'!$A:$B,2,0)*VLOOKUP(A46,'[75]geoMap (150)'!$A:$C,3,0)</f>
        <v>#REF!</v>
      </c>
      <c r="BG46" s="1" t="e">
        <f>AN46/VLOOKUP(A46,'[93]geoMap (152)'!$A:$B,2,0)*VLOOKUP(A46,'[93]geoMap (152)'!$A:$C,3,0)</f>
        <v>#REF!</v>
      </c>
      <c r="BH46" s="1" t="e">
        <f>AN46/VLOOKUP(A46,'[94]geoMap (154)'!$A:$B,2,0)*VLOOKUP(A46,'[94]geoMap (154)'!$A:$C,3,0)</f>
        <v>#REF!</v>
      </c>
      <c r="BI46" s="1" t="e">
        <f>AN46/VLOOKUP(A46,'[76]geoMap (156)'!$A:$B,2,0)*VLOOKUP(A46,'[76]geoMap (156)'!$A:$C,3,0)</f>
        <v>#REF!</v>
      </c>
      <c r="BJ46" s="1" t="e">
        <f>AN46/VLOOKUP(A46,'[77]geoMap (158)'!$A:$B,2,0)*VLOOKUP(A46,'[77]geoMap (158)'!$A:$C,3,0)</f>
        <v>#REF!</v>
      </c>
      <c r="BK46" s="1" t="e">
        <f>AN46/VLOOKUP(A46,'[78]geoMap (160)'!$A:$B,2,0)*VLOOKUP(A46,'[78]geoMap (160)'!$A:$C,3,0)</f>
        <v>#REF!</v>
      </c>
      <c r="BL46" s="1" t="e">
        <f>AN46/VLOOKUP(A46,'[79]geoMap (162)'!$A:$B,2,0)*VLOOKUP(A46,'[79]geoMap (162)'!$A:$C,3,0)</f>
        <v>#REF!</v>
      </c>
      <c r="BM46" s="1" t="e">
        <f>AN46/VLOOKUP(A46,'[80]geoMap (164)'!$A:$B,2,0)*VLOOKUP(A46,'[80]geoMap (164)'!$A:$C,3,0)</f>
        <v>#REF!</v>
      </c>
      <c r="BN46" s="1" t="e">
        <f>AN46/VLOOKUP(A46,'[81]geoMap (166)'!$A:$B,2,0)*VLOOKUP(A46,'[81]geoMap (166)'!$A:$C,3,0)</f>
        <v>#REF!</v>
      </c>
      <c r="BO46" s="1" t="e">
        <f>AN46/VLOOKUP(A46,'[82]geoMap (168)'!$A:$B,2,0)*VLOOKUP(A46,'[82]geoMap (168)'!$A:$C,3,0)</f>
        <v>#REF!</v>
      </c>
      <c r="BP46" s="1" t="e">
        <f>AN46/VLOOKUP(A46,'[83]geoMap (170)'!$A:$B,2,0)*VLOOKUP(A46,'[83]geoMap (170)'!$A:$C,3,0)</f>
        <v>#REF!</v>
      </c>
    </row>
    <row r="47" spans="1:68" x14ac:dyDescent="0.2">
      <c r="A47" s="1" t="s">
        <v>111</v>
      </c>
      <c r="B47" s="1">
        <f>VLOOKUP(A47,[3]geoMap!$A:$B,2,0)*Notes!$C$6</f>
        <v>5000</v>
      </c>
      <c r="C47" s="1">
        <f>B47/VLOOKUP(A47,'[4]geoMap (1)'!$A:$B,2,0)*VLOOKUP(A47,'[4]geoMap (1)'!$A:$C,3,0)</f>
        <v>1578.9473684210525</v>
      </c>
      <c r="D47" s="1">
        <f>C47/VLOOKUP(A47,'[5]geoMap (2)'!$A:$B,2,0)*VLOOKUP(A47,'[5]geoMap (2)'!$A:$C,3,0)</f>
        <v>2688.4779516358458</v>
      </c>
      <c r="E47" s="1">
        <f>D47/VLOOKUP(A47,'[6]geoMap (3)'!$A:$B,2,0)*VLOOKUP(A47,'[6]geoMap (3)'!$A:$C,3,0)</f>
        <v>3421.699211172895</v>
      </c>
      <c r="F47" s="1">
        <f>E47/VLOOKUP(A47,'[7]geoMap (4)'!$A:$B,2,0)*VLOOKUP(A47,'[7]geoMap (4)'!$A:$C,3,0)</f>
        <v>3158.4915795442103</v>
      </c>
      <c r="G47" s="1">
        <f>F47/VLOOKUP(A47,'[8]geoMap (5)'!$A:$B,2,0)*VLOOKUP(A47,'[8]geoMap (5)'!$A:$C,3,0)</f>
        <v>1290.0881099546775</v>
      </c>
      <c r="H47" s="1">
        <f>G47/VLOOKUP(A47,'[9]geoMap (6)'!$A:$B,2,0)*VLOOKUP(A47,'[9]geoMap (6)'!$A:$C,3,0)</f>
        <v>1576.7743566112727</v>
      </c>
      <c r="I47" s="1">
        <f>H47/VLOOKUP(A47,'[10]geoMap (7)'!$A:$B,2,0)*VLOOKUP(A47,'[10]geoMap (7)'!$A:$C,3,0)</f>
        <v>525.59145220375751</v>
      </c>
      <c r="J47" s="1">
        <f>I47/VLOOKUP(A47,'[11]geoMap (8)'!$A:$B,2,0)*VLOOKUP(A47,'[11]geoMap (8)'!$A:$C,3,0)</f>
        <v>696.71425059567855</v>
      </c>
      <c r="K47" s="1">
        <f>J47/VLOOKUP(A47,'[12]geoMap (9)'!$A:$B,2,0)*VLOOKUP(A47,'[12]geoMap (9)'!$A:$C,3,0)</f>
        <v>1352.4453099798466</v>
      </c>
      <c r="L47" s="1">
        <f>K47/VLOOKUP(A47,'[13]geoMap (10)'!$A:$B,2,0)*VLOOKUP(A47,'[13]geoMap (10)'!$A:$C,3,0)</f>
        <v>381.45893358405925</v>
      </c>
      <c r="M47" s="1">
        <f>L47/VLOOKUP(A47,'[14]geoMap (11)'!$A:$B,2,0)*VLOOKUP(A47,'[14]geoMap (11)'!$A:$C,3,0)</f>
        <v>141.08755077766577</v>
      </c>
      <c r="N47" s="1">
        <f>M47/VLOOKUP(A47,'[15]geoMap (12)'!$A:$B,2,0)*VLOOKUP(A47,'[15]geoMap (12)'!$A:$C,3,0)</f>
        <v>187.02303242620809</v>
      </c>
      <c r="O47" s="1">
        <f>N47/VLOOKUP(A47,'[16]geoMap (13)'!$A:$B,2,0)*VLOOKUP(A47,'[16]geoMap (13)'!$A:$C,3,0)</f>
        <v>269.13070519868972</v>
      </c>
      <c r="P47" s="1">
        <f>O47/VLOOKUP(A47,'[17]geoMap (14)'!$A:$B,2,0)*VLOOKUP(A47,'[17]geoMap (14)'!$A:$C,3,0)</f>
        <v>478.45458701989287</v>
      </c>
      <c r="Q47" s="1">
        <f>P47/VLOOKUP(A47,'[18]geoMap (15)'!$A:$B,2,0)*VLOOKUP(A47,'[18]geoMap (15)'!$A:$C,3,0)</f>
        <v>112.2300883133082</v>
      </c>
      <c r="R47" s="1">
        <f>Q47/VLOOKUP(A47,'[19]geoMap (16)'!$A:$B,2,0)*VLOOKUP(A47,'[19]geoMap (16)'!$A:$C,3,0)</f>
        <v>31.654640293497181</v>
      </c>
      <c r="S47" s="1">
        <f>R47/VLOOKUP(A47,'[20]geoMap (17)'!$A:$B,2,0)*VLOOKUP(A47,'[20]geoMap (17)'!$A:$C,3,0)</f>
        <v>37.159795127148868</v>
      </c>
      <c r="T47" s="1">
        <f>S47/VLOOKUP(A47,'[21]geoMap (18)'!$A:$B,2,0)*VLOOKUP(A47,'[21]geoMap (18)'!$A:$C,3,0)</f>
        <v>30.40346874039453</v>
      </c>
      <c r="U47" s="1">
        <f>T47/VLOOKUP(A47,'[22]geoMap (19)'!$A:$B,2,0)*VLOOKUP(A47,'[22]geoMap (19)'!$A:$C,3,0)</f>
        <v>22.935950102402895</v>
      </c>
      <c r="V47" s="1">
        <f>U47/VLOOKUP(A47,'[23]geoMap (20)'!$A:$B,2,0)*VLOOKUP(A47,'[23]geoMap (20)'!$A:$C,3,0)</f>
        <v>76.785572081957511</v>
      </c>
      <c r="W47" s="1">
        <f>V47/VLOOKUP(A47,'[24]geoMap (21)'!$A:$B,2,0)*VLOOKUP(A47,'[24]geoMap (21)'!$A:$C,3,0)</f>
        <v>101.78552578305995</v>
      </c>
      <c r="X47" s="1">
        <f>W47/VLOOKUP(A47,'[25]geoMap (22)'!$A:$B,2,0)*VLOOKUP(A47,'[25]geoMap (22)'!$A:$C,3,0)</f>
        <v>10.066700352170763</v>
      </c>
      <c r="Y47" s="1">
        <f>X47/VLOOKUP(A47,'[26]geoMap (23)'!$A:$B,2,0)*VLOOKUP(A47,'[26]geoMap (23)'!$A:$C,3,0)</f>
        <v>21.391738248362874</v>
      </c>
      <c r="Z47" s="1">
        <f>Y47/VLOOKUP(A47,'[27]geoMap (24)'!$A:$B,2,0)*VLOOKUP(A47,'[27]geoMap (24)'!$A:$C,3,0)</f>
        <v>12.563401828403594</v>
      </c>
      <c r="AA47" s="1">
        <f>Z47/VLOOKUP(A47,'[28]geoMap (25)'!$A:$B,2,0)*VLOOKUP(A47,'[28]geoMap (25)'!$A:$C,3,0)</f>
        <v>5.3843150693158259</v>
      </c>
      <c r="AB47" s="1">
        <f>AA47*VLOOKUP(A47,'[29]geoMap (26)'!$A:$B,2,0)*VLOOKUP(A47,'[29]geoMap (26)'!$A:$C,3,0)</f>
        <v>0.89325786999949552</v>
      </c>
      <c r="AC47" s="1">
        <f>AB47/VLOOKUP(A47,'[30]geoMap (27)'!$A:$B,2,0)*VLOOKUP(A47,'[30]geoMap (27)'!$A:$C,3,0)</f>
        <v>1.0072907895738994</v>
      </c>
      <c r="AD47" s="1">
        <f>AC47/VLOOKUP(A47,'[31]geoMap (28)'!$A:$B,2,0)*VLOOKUP(A47,'[31]geoMap (28)'!$A:$C,3,0)</f>
        <v>0.22111261234549012</v>
      </c>
      <c r="AE47" s="1">
        <f>AD47/VLOOKUP(A47,'[32]geoMap (29)'!$A:$B,2,0)*VLOOKUP(A47,'[32]geoMap (29)'!$A:$C,3,0)</f>
        <v>1.0072907895738994</v>
      </c>
      <c r="AF47" s="1">
        <f>AE47/VLOOKUP(A47,'[33]geoMap (30)'!$A:$B,2,0)*VLOOKUP(A47,'[33]geoMap (30)'!$A:$C,3,0)</f>
        <v>0.35391298012055922</v>
      </c>
      <c r="AG47" s="1">
        <f>AF47/VLOOKUP(A47,'[34]geoMap (31)'!$A:$B,2,0)*VLOOKUP(A47,'[34]geoMap (31)'!$A:$C,3,0)</f>
        <v>0.35391298012055922</v>
      </c>
      <c r="AH47" s="1">
        <f>AG47/VLOOKUP(A47,'[35]geoMap (32)'!$A:$B,2,0)*VLOOKUP(A47,'[35]geoMap (32)'!$A:$C,3,0)</f>
        <v>1.184839107360133</v>
      </c>
      <c r="AI47" s="1">
        <f>AH47/VLOOKUP(A47,'[36]geoMap (33)'!$A:$B,2,0)*VLOOKUP(A47,'[36]geoMap (33)'!$A:$C,3,0)</f>
        <v>0.20908925424002348</v>
      </c>
      <c r="AJ47" s="1">
        <f>AI47/VLOOKUP(A47,'[37]geoMap (34)'!$A:$B,2,0)*VLOOKUP(A47,'[37]geoMap (34)'!$A:$C,3,0)</f>
        <v>0.12815147840517568</v>
      </c>
      <c r="AK47" s="1">
        <f>AJ47/VLOOKUP(A47,'[38]geoMap (35)'!$A:$B,2,0)*VLOOKUP(A47,'[38]geoMap (35)'!$A:$C,3,0)</f>
        <v>0.51260591362070274</v>
      </c>
      <c r="AL47" s="1">
        <f>AK47/VLOOKUP(A47,'[39]geoMap (36)'!$A:$B,2,0)*VLOOKUP(A47,'[39]geoMap (36)'!$A:$C,3,0)</f>
        <v>3.7591100332184868</v>
      </c>
      <c r="AM47" s="1">
        <f>AL47/VLOOKUP(A47,'[40]geoMap (37)'!$A:$B,2,0)*VLOOKUP(A47,'[40]geoMap (37)'!$A:$C,3,0)</f>
        <v>0.32687913332334667</v>
      </c>
      <c r="AN47" s="1">
        <f>AM47/VLOOKUP(A47,'[41]geoMap (38)'!$A:$B,2,0)*VLOOKUP(A47,'[41]geoMap (38)'!$A:$C,3,0)</f>
        <v>0.43330489766118041</v>
      </c>
      <c r="AO47" s="1">
        <f>AN47/VLOOKUP(A47,'[42]geoMap (39)'!$A:$B,2,0)*VLOOKUP(A47,'[42]geoMap (39)'!$A:$C,3,0)</f>
        <v>0.25448065418196308</v>
      </c>
      <c r="AP47" s="1">
        <f>AO47/VLOOKUP(A47,'[43]geoMap (40)'!$A:$B,2,0)*VLOOKUP(A47,'[43]geoMap (40)'!$A:$C,3,0)</f>
        <v>0.11975560196798263</v>
      </c>
      <c r="AQ47" s="1">
        <f>AP47/VLOOKUP(A47,'[44]geoMap (41)'!$A:$B,2,0)*VLOOKUP(A47,'[44]geoMap (41)'!$A:$C,3,0)</f>
        <v>0.17963340295197394</v>
      </c>
      <c r="AR47" s="1">
        <f>AQ47/VLOOKUP(A47,'[45]geoMap (42)'!$A:$B,2,0)*VLOOKUP(A47,'[45]geoMap (42)'!$A:$C,3,0)</f>
        <v>0.19460285319797177</v>
      </c>
      <c r="AS47" s="1">
        <f>AR47/VLOOKUP(A47,'[46]geoMap (43)'!$A:$B,2,0)*VLOOKUP(A47,'[46]geoMap (43)'!$A:$C,3,0)</f>
        <v>0.36140529879623329</v>
      </c>
      <c r="AT47" s="1">
        <f>AS47/VLOOKUP(A47,'[47]geoMap (44)'!$A:$B,2,0)*VLOOKUP(A47,'[47]geoMap (44)'!$A:$C,3,0)</f>
        <v>0.13367045297942876</v>
      </c>
      <c r="AU47" s="1">
        <f>AT47/VLOOKUP(A47,'[48]geoMap (45)'!$A:$B,2,0)*VLOOKUP(A47,'[48]geoMap (45)'!$A:$C,3,0)</f>
        <v>0.15691748828019897</v>
      </c>
      <c r="AV47" s="1" t="e">
        <f>AU47/VLOOKUP(A47,'[49]geoMap (46)'!$A:$B,2,0)*VLOOKUP(A47,'[49]geoMap (46)'!$A:$C,3,0)</f>
        <v>#REF!</v>
      </c>
      <c r="AW47" s="1">
        <f>AN47/VLOOKUP(A47,'[87]geoMap (137)'!$A:$B,2,0)*VLOOKUP(A47,'[87]geoMap (137)'!$A:$C,3,0)</f>
        <v>0.1083262244152951</v>
      </c>
      <c r="AX47" s="1" t="e">
        <f>AW47/VLOOKUP(A47,'[51]geoMap (48)'!$A:$B,2,0)*VLOOKUP(A47,'[51]geoMap (48)'!$A:$C,3,0)</f>
        <v>#REF!</v>
      </c>
      <c r="AY47" s="1">
        <f>AN47/VLOOKUP(A47,'[88]geoMap (140)'!$A:$B,2,0)*VLOOKUP(A47,'[88]geoMap (140)'!$A:$C,3,0)</f>
        <v>5.9087031499251874E-2</v>
      </c>
      <c r="AZ47" s="1" t="e">
        <f>AY47/VLOOKUP(A47,'[53]geoMap (50)'!$A:$B,2,0)*VLOOKUP(A47,'[53]geoMap (50)'!$A:$C,3,0)</f>
        <v>#REF!</v>
      </c>
      <c r="BA47" s="1" t="e">
        <f>AN47/VLOOKUP(A47,'[71]geoMap (143)'!$A:$B,2,0)*VLOOKUP(A47,'[71]geoMap (143)'!$A:$C,3,0)</f>
        <v>#REF!</v>
      </c>
      <c r="BB47" s="1">
        <f>AN47/VLOOKUP(A47,'[90]geoMap (144)'!$A:$B,2,0)*VLOOKUP(A47,'[90]geoMap (144)'!$A:$C,3,0)</f>
        <v>5.3554537913179601E-2</v>
      </c>
      <c r="BC47" s="1" t="e">
        <f>BB47/VLOOKUP(A47,'[56]geoMap (53)'!$A:$B,2,0)*VLOOKUP(A47,'[56]geoMap (53)'!$A:$C,3,0)</f>
        <v>#REF!</v>
      </c>
      <c r="BD47" s="1">
        <f>AN47/VLOOKUP(A47,'[73]geoMap (147)'!$A:$B,2,0)*VLOOKUP(A47,'[73]geoMap (147)'!$A:$C,3,0)</f>
        <v>3.2614347135787772E-2</v>
      </c>
      <c r="BE47" s="1" t="e">
        <f>BD47/VLOOKUP(A47,'[58]geoMap (55)'!$A:$B,2,0)*VLOOKUP(A47,'[58]geoMap (55)'!$A:$C,3,0)</f>
        <v>#REF!</v>
      </c>
      <c r="BF47" s="1" t="e">
        <f>AN47/VLOOKUP(A47,'[75]geoMap (150)'!$A:$B,2,0)*VLOOKUP(A47,'[75]geoMap (150)'!$A:$C,3,0)</f>
        <v>#REF!</v>
      </c>
      <c r="BG47" s="1" t="e">
        <f>AN47/VLOOKUP(A47,'[93]geoMap (152)'!$A:$B,2,0)*VLOOKUP(A47,'[93]geoMap (152)'!$A:$C,3,0)</f>
        <v>#REF!</v>
      </c>
      <c r="BH47" s="1" t="e">
        <f>AN47/VLOOKUP(A47,'[94]geoMap (154)'!$A:$B,2,0)*VLOOKUP(A47,'[94]geoMap (154)'!$A:$C,3,0)</f>
        <v>#REF!</v>
      </c>
      <c r="BI47" s="1" t="e">
        <f>AN47/VLOOKUP(A47,'[76]geoMap (156)'!$A:$B,2,0)*VLOOKUP(A47,'[76]geoMap (156)'!$A:$C,3,0)</f>
        <v>#REF!</v>
      </c>
      <c r="BJ47" s="1" t="e">
        <f>AN47/VLOOKUP(A47,'[77]geoMap (158)'!$A:$B,2,0)*VLOOKUP(A47,'[77]geoMap (158)'!$A:$C,3,0)</f>
        <v>#REF!</v>
      </c>
      <c r="BK47" s="1" t="e">
        <f>AN47/VLOOKUP(A47,'[78]geoMap (160)'!$A:$B,2,0)*VLOOKUP(A47,'[78]geoMap (160)'!$A:$C,3,0)</f>
        <v>#REF!</v>
      </c>
      <c r="BL47" s="1" t="e">
        <f>AN47/VLOOKUP(A47,'[79]geoMap (162)'!$A:$B,2,0)*VLOOKUP(A47,'[79]geoMap (162)'!$A:$C,3,0)</f>
        <v>#REF!</v>
      </c>
      <c r="BM47" s="1" t="e">
        <f>AN47/VLOOKUP(A47,'[80]geoMap (164)'!$A:$B,2,0)*VLOOKUP(A47,'[80]geoMap (164)'!$A:$C,3,0)</f>
        <v>#REF!</v>
      </c>
      <c r="BN47" s="1" t="e">
        <f>AN47/VLOOKUP(A47,'[81]geoMap (166)'!$A:$B,2,0)*VLOOKUP(A47,'[81]geoMap (166)'!$A:$C,3,0)</f>
        <v>#REF!</v>
      </c>
      <c r="BO47" s="1" t="e">
        <f>AN47/VLOOKUP(A47,'[82]geoMap (168)'!$A:$B,2,0)*VLOOKUP(A47,'[82]geoMap (168)'!$A:$C,3,0)</f>
        <v>#REF!</v>
      </c>
      <c r="BP47" s="1" t="e">
        <f>AN47/VLOOKUP(A47,'[83]geoMap (170)'!$A:$B,2,0)*VLOOKUP(A47,'[83]geoMap (170)'!$A:$C,3,0)</f>
        <v>#REF!</v>
      </c>
    </row>
    <row r="48" spans="1:68" x14ac:dyDescent="0.2">
      <c r="A48" s="1" t="s">
        <v>127</v>
      </c>
      <c r="B48" s="1">
        <f>VLOOKUP(A48,[3]geoMap!$A:$B,2,0)*Notes!$C$6</f>
        <v>4000</v>
      </c>
      <c r="C48" s="1">
        <f>B48/VLOOKUP(A48,'[4]geoMap (1)'!$A:$B,2,0)*VLOOKUP(A48,'[4]geoMap (1)'!$A:$C,3,0)</f>
        <v>5756.0975609756097</v>
      </c>
      <c r="D48" s="1">
        <f>C48/VLOOKUP(A48,'[5]geoMap (2)'!$A:$B,2,0)*VLOOKUP(A48,'[5]geoMap (2)'!$A:$C,3,0)</f>
        <v>5104.4638748274265</v>
      </c>
      <c r="E48" s="1">
        <f>D48/VLOOKUP(A48,'[6]geoMap (3)'!$A:$B,2,0)*VLOOKUP(A48,'[6]geoMap (3)'!$A:$C,3,0)</f>
        <v>3696.3359093577919</v>
      </c>
      <c r="F48" s="1">
        <f>E48/VLOOKUP(A48,'[7]geoMap (4)'!$A:$B,2,0)*VLOOKUP(A48,'[7]geoMap (4)'!$A:$C,3,0)</f>
        <v>2904.2639287811221</v>
      </c>
      <c r="G48" s="1">
        <f>F48/VLOOKUP(A48,'[8]geoMap (5)'!$A:$B,2,0)*VLOOKUP(A48,'[8]geoMap (5)'!$A:$C,3,0)</f>
        <v>3275.0210260723293</v>
      </c>
      <c r="H48" s="1">
        <f>G48/VLOOKUP(A48,'[9]geoMap (6)'!$A:$B,2,0)*VLOOKUP(A48,'[9]geoMap (6)'!$A:$C,3,0)</f>
        <v>1091.673675357443</v>
      </c>
      <c r="I48" s="1">
        <f>H48/VLOOKUP(A48,'[10]geoMap (7)'!$A:$B,2,0)*VLOOKUP(A48,'[10]geoMap (7)'!$A:$C,3,0)</f>
        <v>1281.5299667239549</v>
      </c>
      <c r="J48" s="1">
        <f>I48/VLOOKUP(A48,'[11]geoMap (8)'!$A:$B,2,0)*VLOOKUP(A48,'[11]geoMap (8)'!$A:$C,3,0)</f>
        <v>1231.2738895975251</v>
      </c>
      <c r="K48" s="1">
        <f>J48/VLOOKUP(A48,'[12]geoMap (9)'!$A:$B,2,0)*VLOOKUP(A48,'[12]geoMap (9)'!$A:$C,3,0)</f>
        <v>855.63100802539884</v>
      </c>
      <c r="L48" s="1">
        <f>K48/VLOOKUP(A48,'[13]geoMap (10)'!$A:$B,2,0)*VLOOKUP(A48,'[13]geoMap (10)'!$A:$C,3,0)</f>
        <v>481.29244201428679</v>
      </c>
      <c r="M48" s="1">
        <f>L48/VLOOKUP(A48,'[14]geoMap (11)'!$A:$B,2,0)*VLOOKUP(A48,'[14]geoMap (11)'!$A:$C,3,0)</f>
        <v>612.55401710909223</v>
      </c>
      <c r="N48" s="1">
        <f>M48/VLOOKUP(A48,'[15]geoMap (12)'!$A:$B,2,0)*VLOOKUP(A48,'[15]geoMap (12)'!$A:$C,3,0)</f>
        <v>588.53229094795142</v>
      </c>
      <c r="O48" s="1">
        <f>N48/VLOOKUP(A48,'[16]geoMap (13)'!$A:$B,2,0)*VLOOKUP(A48,'[16]geoMap (13)'!$A:$C,3,0)</f>
        <v>316.9020028181277</v>
      </c>
      <c r="P48" s="1">
        <f>O48/VLOOKUP(A48,'[17]geoMap (14)'!$A:$B,2,0)*VLOOKUP(A48,'[17]geoMap (14)'!$A:$C,3,0)</f>
        <v>248.99443078567177</v>
      </c>
      <c r="Q48" s="1">
        <f>P48/VLOOKUP(A48,'[18]geoMap (15)'!$A:$B,2,0)*VLOOKUP(A48,'[18]geoMap (15)'!$A:$C,3,0)</f>
        <v>203.72271609736779</v>
      </c>
      <c r="R48" s="1">
        <f>Q48/VLOOKUP(A48,'[19]geoMap (16)'!$A:$B,2,0)*VLOOKUP(A48,'[19]geoMap (16)'!$A:$C,3,0)</f>
        <v>141.57002305071322</v>
      </c>
      <c r="S48" s="1">
        <f>R48/VLOOKUP(A48,'[20]geoMap (17)'!$A:$B,2,0)*VLOOKUP(A48,'[20]geoMap (17)'!$A:$C,3,0)</f>
        <v>83.144299252006164</v>
      </c>
      <c r="T48" s="1">
        <f>S48/VLOOKUP(A48,'[21]geoMap (18)'!$A:$B,2,0)*VLOOKUP(A48,'[21]geoMap (18)'!$A:$C,3,0)</f>
        <v>70.826625288745987</v>
      </c>
      <c r="U48" s="1">
        <f>T48/VLOOKUP(A48,'[22]geoMap (19)'!$A:$B,2,0)*VLOOKUP(A48,'[22]geoMap (19)'!$A:$C,3,0)</f>
        <v>137.48697850168338</v>
      </c>
      <c r="V48" s="1">
        <f>U48/VLOOKUP(A48,'[23]geoMap (20)'!$A:$B,2,0)*VLOOKUP(A48,'[23]geoMap (20)'!$A:$C,3,0)</f>
        <v>117.11853724217472</v>
      </c>
      <c r="W48" s="1">
        <f>V48/VLOOKUP(A48,'[24]geoMap (21)'!$A:$B,2,0)*VLOOKUP(A48,'[24]geoMap (21)'!$A:$C,3,0)</f>
        <v>34.983459176234007</v>
      </c>
      <c r="X48" s="1">
        <f>W48/VLOOKUP(A48,'[25]geoMap (22)'!$A:$B,2,0)*VLOOKUP(A48,'[25]geoMap (22)'!$A:$C,3,0)</f>
        <v>48.31049124337077</v>
      </c>
      <c r="Y48" s="1">
        <f>X48/VLOOKUP(A48,'[26]geoMap (23)'!$A:$B,2,0)*VLOOKUP(A48,'[26]geoMap (23)'!$A:$C,3,0)</f>
        <v>33.571697304715279</v>
      </c>
      <c r="Z48" s="1">
        <f>Y48/VLOOKUP(A48,'[27]geoMap (24)'!$A:$B,2,0)*VLOOKUP(A48,'[27]geoMap (24)'!$A:$C,3,0)</f>
        <v>33.571697304715279</v>
      </c>
      <c r="AA48" s="1">
        <f>Z48/VLOOKUP(A48,'[28]geoMap (25)'!$A:$B,2,0)*VLOOKUP(A48,'[28]geoMap (25)'!$A:$C,3,0)</f>
        <v>25.326017264960651</v>
      </c>
      <c r="AB48" s="1">
        <f>AA48*VLOOKUP(A48,'[29]geoMap (26)'!$A:$B,2,0)*VLOOKUP(A48,'[29]geoMap (26)'!$A:$C,3,0)</f>
        <v>5.7616689277785476</v>
      </c>
      <c r="AC48" s="1">
        <f>AB48/VLOOKUP(A48,'[30]geoMap (27)'!$A:$B,2,0)*VLOOKUP(A48,'[30]geoMap (27)'!$A:$C,3,0)</f>
        <v>3.683689970219072</v>
      </c>
      <c r="AD48" s="1">
        <f>AC48/VLOOKUP(A48,'[31]geoMap (28)'!$A:$B,2,0)*VLOOKUP(A48,'[31]geoMap (28)'!$A:$C,3,0)</f>
        <v>4.6883326893697275</v>
      </c>
      <c r="AE48" s="1">
        <f>AD48/VLOOKUP(A48,'[32]geoMap (29)'!$A:$B,2,0)*VLOOKUP(A48,'[32]geoMap (29)'!$A:$C,3,0)</f>
        <v>8.7069035659723522</v>
      </c>
      <c r="AF48" s="1">
        <f>AE48/VLOOKUP(A48,'[33]geoMap (30)'!$A:$B,2,0)*VLOOKUP(A48,'[33]geoMap (30)'!$A:$C,3,0)</f>
        <v>2.176725891493088</v>
      </c>
      <c r="AG48" s="1">
        <f>AF48/VLOOKUP(A48,'[34]geoMap (31)'!$A:$B,2,0)*VLOOKUP(A48,'[34]geoMap (31)'!$A:$C,3,0)</f>
        <v>2.5552869161005818</v>
      </c>
      <c r="AH48" s="1">
        <f>AG48/VLOOKUP(A48,'[35]geoMap (32)'!$A:$B,2,0)*VLOOKUP(A48,'[35]geoMap (32)'!$A:$C,3,0)</f>
        <v>2.2660091520137229</v>
      </c>
      <c r="AI48" s="1">
        <f>AH48/VLOOKUP(A48,'[36]geoMap (33)'!$A:$B,2,0)*VLOOKUP(A48,'[36]geoMap (33)'!$A:$C,3,0)</f>
        <v>2.5552869161005818</v>
      </c>
      <c r="AJ48" s="1">
        <f>AI48/VLOOKUP(A48,'[37]geoMap (34)'!$A:$B,2,0)*VLOOKUP(A48,'[37]geoMap (34)'!$A:$C,3,0)</f>
        <v>5.4299846967137366</v>
      </c>
      <c r="AK48" s="1">
        <f>AJ48/VLOOKUP(A48,'[38]geoMap (35)'!$A:$B,2,0)*VLOOKUP(A48,'[38]geoMap (35)'!$A:$C,3,0)</f>
        <v>4.8152694480291629</v>
      </c>
      <c r="AL48" s="1">
        <f>AK48/VLOOKUP(A48,'[39]geoMap (36)'!$A:$B,2,0)*VLOOKUP(A48,'[39]geoMap (36)'!$A:$C,3,0)</f>
        <v>0.59514566211596398</v>
      </c>
      <c r="AM48" s="1">
        <f>AL48/VLOOKUP(A48,'[40]geoMap (37)'!$A:$B,2,0)*VLOOKUP(A48,'[40]geoMap (37)'!$A:$C,3,0)</f>
        <v>1.0133561273866414</v>
      </c>
      <c r="AN48" s="1">
        <f>AM48/VLOOKUP(A48,'[41]geoMap (38)'!$A:$B,2,0)*VLOOKUP(A48,'[41]geoMap (38)'!$A:$C,3,0)</f>
        <v>1.289725980310271</v>
      </c>
      <c r="AO48" s="1">
        <f>AN48/VLOOKUP(A48,'[42]geoMap (39)'!$A:$B,2,0)*VLOOKUP(A48,'[42]geoMap (39)'!$A:$C,3,0)</f>
        <v>0.85981732020684731</v>
      </c>
      <c r="AP48" s="1">
        <f>AO48/VLOOKUP(A48,'[43]geoMap (40)'!$A:$B,2,0)*VLOOKUP(A48,'[43]geoMap (40)'!$A:$C,3,0)</f>
        <v>0.70348689835105682</v>
      </c>
      <c r="AQ48" s="1">
        <f>AP48/VLOOKUP(A48,'[44]geoMap (41)'!$A:$B,2,0)*VLOOKUP(A48,'[44]geoMap (41)'!$A:$C,3,0)</f>
        <v>0.3624023415747869</v>
      </c>
      <c r="AR48" s="1">
        <f>AQ48/VLOOKUP(A48,'[45]geoMap (42)'!$A:$B,2,0)*VLOOKUP(A48,'[45]geoMap (42)'!$A:$C,3,0)</f>
        <v>0.70348689835105693</v>
      </c>
      <c r="AS48" s="1">
        <f>AR48/VLOOKUP(A48,'[46]geoMap (43)'!$A:$B,2,0)*VLOOKUP(A48,'[46]geoMap (43)'!$A:$C,3,0)</f>
        <v>0.55273970584725896</v>
      </c>
      <c r="AT48" s="1">
        <f>AS48/VLOOKUP(A48,'[47]geoMap (44)'!$A:$B,2,0)*VLOOKUP(A48,'[47]geoMap (44)'!$A:$C,3,0)</f>
        <v>0.23688844536311099</v>
      </c>
      <c r="AU48" s="1">
        <f>AT48/VLOOKUP(A48,'[48]geoMap (45)'!$A:$B,2,0)*VLOOKUP(A48,'[48]geoMap (45)'!$A:$C,3,0)</f>
        <v>0.52726783000176314</v>
      </c>
      <c r="AV48" s="1">
        <f>AU48/VLOOKUP(A48,'[49]geoMap (46)'!$A:$B,2,0)*VLOOKUP(A48,'[49]geoMap (46)'!$A:$C,3,0)</f>
        <v>0.22597192714361278</v>
      </c>
      <c r="AW48" s="1">
        <f>AV48/VLOOKUP(A48,'[50]geoMap (47)'!$A:$B,2,0)*VLOOKUP(A48,'[50]geoMap (47)'!$A:$C,3,0)</f>
        <v>0.32517911467007687</v>
      </c>
      <c r="AX48" s="1">
        <f>AW48/VLOOKUP(A48,'[51]geoMap (48)'!$A:$B,2,0)*VLOOKUP(A48,'[51]geoMap (48)'!$A:$C,3,0)</f>
        <v>0.2660556392755174</v>
      </c>
      <c r="AY48" s="1">
        <f>AX48/VLOOKUP(A48,'[52]geoMap (49)'!$A:$B,2,0)*VLOOKUP(A48,'[52]geoMap (49)'!$A:$C,3,0)</f>
        <v>0.22663998901247775</v>
      </c>
      <c r="AZ48" s="1">
        <f>AY48/VLOOKUP(A48,'[53]geoMap (50)'!$A:$B,2,0)*VLOOKUP(A48,'[53]geoMap (50)'!$A:$C,3,0)</f>
        <v>0.22663998901247775</v>
      </c>
      <c r="BA48" s="1" t="e">
        <f>AZ48/VLOOKUP(A48,'[54]geoMap (51)'!$A:$B,2,0)*VLOOKUP(A48,'[54]geoMap (51)'!$A:$C,3,0)</f>
        <v>#REF!</v>
      </c>
      <c r="BB48" s="1">
        <f>AN48/VLOOKUP(A48,'[90]geoMap (144)'!$A:$B,2,0)*VLOOKUP(A48,'[90]geoMap (144)'!$A:$C,3,0)</f>
        <v>0.11215008524437138</v>
      </c>
      <c r="BC48" s="1" t="e">
        <f>AN48/VLOOKUP(A48,'[72]geoMap (146)'!$A:$B,2,0)*VLOOKUP(A48,'[72]geoMap (146)'!$A:$C,3,0)</f>
        <v>#REF!</v>
      </c>
      <c r="BD48" s="1">
        <f>AN48/VLOOKUP(A48,'[73]geoMap (147)'!$A:$B,2,0)*VLOOKUP(A48,'[73]geoMap (147)'!$A:$C,3,0)</f>
        <v>5.3738582512927957E-2</v>
      </c>
      <c r="BE48" s="1">
        <f>BD48/VLOOKUP(A48,'[58]geoMap (55)'!$A:$B,2,0)*VLOOKUP(A48,'[58]geoMap (55)'!$A:$C,3,0)</f>
        <v>5.3738582512927957E-2</v>
      </c>
      <c r="BF48" s="1" t="e">
        <f>AN48/VLOOKUP(A48,'[75]geoMap (150)'!$A:$B,2,0)*VLOOKUP(A48,'[75]geoMap (150)'!$A:$C,3,0)</f>
        <v>#REF!</v>
      </c>
      <c r="BG48" s="1" t="e">
        <f>AN48/VLOOKUP(A48,'[93]geoMap (152)'!$A:$B,2,0)*VLOOKUP(A48,'[93]geoMap (152)'!$A:$C,3,0)</f>
        <v>#REF!</v>
      </c>
      <c r="BH48" s="1" t="e">
        <f>AN48/VLOOKUP(A48,'[94]geoMap (154)'!$A:$B,2,0)*VLOOKUP(A48,'[94]geoMap (154)'!$A:$C,3,0)</f>
        <v>#REF!</v>
      </c>
      <c r="BI48" s="1" t="e">
        <f>AN48/VLOOKUP(A48,'[76]geoMap (156)'!$A:$B,2,0)*VLOOKUP(A48,'[76]geoMap (156)'!$A:$C,3,0)</f>
        <v>#REF!</v>
      </c>
      <c r="BJ48" s="1" t="e">
        <f>AN48/VLOOKUP(A48,'[77]geoMap (158)'!$A:$B,2,0)*VLOOKUP(A48,'[77]geoMap (158)'!$A:$C,3,0)</f>
        <v>#REF!</v>
      </c>
      <c r="BK48" s="1" t="e">
        <f>AN48/VLOOKUP(A48,'[78]geoMap (160)'!$A:$B,2,0)*VLOOKUP(A48,'[78]geoMap (160)'!$A:$C,3,0)</f>
        <v>#REF!</v>
      </c>
      <c r="BL48" s="1" t="e">
        <f>AN48/VLOOKUP(A48,'[79]geoMap (162)'!$A:$B,2,0)*VLOOKUP(A48,'[79]geoMap (162)'!$A:$C,3,0)</f>
        <v>#REF!</v>
      </c>
      <c r="BM48" s="1" t="e">
        <f>AN48/VLOOKUP(A48,'[80]geoMap (164)'!$A:$B,2,0)*VLOOKUP(A48,'[80]geoMap (164)'!$A:$C,3,0)</f>
        <v>#REF!</v>
      </c>
      <c r="BN48" s="1" t="e">
        <f>AN48/VLOOKUP(A48,'[81]geoMap (166)'!$A:$B,2,0)*VLOOKUP(A48,'[81]geoMap (166)'!$A:$C,3,0)</f>
        <v>#REF!</v>
      </c>
      <c r="BO48" s="1" t="e">
        <f>AN48/VLOOKUP(A48,'[82]geoMap (168)'!$A:$B,2,0)*VLOOKUP(A48,'[82]geoMap (168)'!$A:$C,3,0)</f>
        <v>#REF!</v>
      </c>
      <c r="BP48" s="1" t="e">
        <f>AN48/VLOOKUP(A48,'[83]geoMap (170)'!$A:$B,2,0)*VLOOKUP(A48,'[83]geoMap (170)'!$A:$C,3,0)</f>
        <v>#REF!</v>
      </c>
    </row>
    <row r="49" spans="1:68" x14ac:dyDescent="0.2">
      <c r="A49" s="1" t="s">
        <v>133</v>
      </c>
      <c r="B49" s="1">
        <f>VLOOKUP(A49,[3]geoMap!$A:$B,2,0)*Notes!$C$6</f>
        <v>4000</v>
      </c>
      <c r="C49" s="1">
        <f>B49/VLOOKUP(A49,'[4]geoMap (1)'!$A:$B,2,0)*VLOOKUP(A49,'[4]geoMap (1)'!$A:$C,3,0)</f>
        <v>5756.0975609756097</v>
      </c>
      <c r="D49" s="1">
        <f>C49/VLOOKUP(A49,'[5]geoMap (2)'!$A:$B,2,0)*VLOOKUP(A49,'[5]geoMap (2)'!$A:$C,3,0)</f>
        <v>6235.7723577235774</v>
      </c>
      <c r="E49" s="1">
        <f>D49/VLOOKUP(A49,'[6]geoMap (3)'!$A:$B,2,0)*VLOOKUP(A49,'[6]geoMap (3)'!$A:$C,3,0)</f>
        <v>5756.0975609756097</v>
      </c>
      <c r="F49" s="1">
        <f>E49/VLOOKUP(A49,'[7]geoMap (4)'!$A:$B,2,0)*VLOOKUP(A49,'[7]geoMap (4)'!$A:$C,3,0)</f>
        <v>4522.6480836236924</v>
      </c>
      <c r="G49" s="1">
        <f>F49/VLOOKUP(A49,'[8]geoMap (5)'!$A:$B,2,0)*VLOOKUP(A49,'[8]geoMap (5)'!$A:$C,3,0)</f>
        <v>4010.6501873644061</v>
      </c>
      <c r="H49" s="1">
        <f>G49/VLOOKUP(A49,'[9]geoMap (6)'!$A:$B,2,0)*VLOOKUP(A49,'[9]geoMap (6)'!$A:$C,3,0)</f>
        <v>1266.521111799286</v>
      </c>
      <c r="I49" s="1">
        <f>H49/VLOOKUP(A49,'[10]geoMap (7)'!$A:$B,2,0)*VLOOKUP(A49,'[10]geoMap (7)'!$A:$C,3,0)</f>
        <v>2571.4216512288535</v>
      </c>
      <c r="J49" s="1">
        <f>I49/VLOOKUP(A49,'[11]geoMap (8)'!$A:$B,2,0)*VLOOKUP(A49,'[11]geoMap (8)'!$A:$C,3,0)</f>
        <v>1786.9201305149659</v>
      </c>
      <c r="K49" s="1">
        <f>J49/VLOOKUP(A49,'[12]geoMap (9)'!$A:$B,2,0)*VLOOKUP(A49,'[12]geoMap (9)'!$A:$C,3,0)</f>
        <v>1191.2800870099773</v>
      </c>
      <c r="L49" s="1">
        <f>K49/VLOOKUP(A49,'[13]geoMap (10)'!$A:$B,2,0)*VLOOKUP(A49,'[13]geoMap (10)'!$A:$C,3,0)</f>
        <v>794.18672467331817</v>
      </c>
      <c r="M49" s="1">
        <f>L49/VLOOKUP(A49,'[14]geoMap (11)'!$A:$B,2,0)*VLOOKUP(A49,'[14]geoMap (11)'!$A:$C,3,0)</f>
        <v>895.57226399331626</v>
      </c>
      <c r="N49" s="1">
        <f>M49/VLOOKUP(A49,'[15]geoMap (12)'!$A:$B,2,0)*VLOOKUP(A49,'[15]geoMap (12)'!$A:$C,3,0)</f>
        <v>703.66392170903407</v>
      </c>
      <c r="O49" s="1">
        <f>N49/VLOOKUP(A49,'[16]geoMap (13)'!$A:$B,2,0)*VLOOKUP(A49,'[16]geoMap (13)'!$A:$C,3,0)</f>
        <v>378.89595784332602</v>
      </c>
      <c r="P49" s="1">
        <f>O49/VLOOKUP(A49,'[17]geoMap (14)'!$A:$B,2,0)*VLOOKUP(A49,'[17]geoMap (14)'!$A:$C,3,0)</f>
        <v>263.30058087417569</v>
      </c>
      <c r="Q49" s="1">
        <f>P49/VLOOKUP(A49,'[18]geoMap (15)'!$A:$B,2,0)*VLOOKUP(A49,'[18]geoMap (15)'!$A:$C,3,0)</f>
        <v>274.04754335883592</v>
      </c>
      <c r="R49" s="1">
        <f>Q49/VLOOKUP(A49,'[19]geoMap (16)'!$A:$B,2,0)*VLOOKUP(A49,'[19]geoMap (16)'!$A:$C,3,0)</f>
        <v>167.96462334896395</v>
      </c>
      <c r="S49" s="1">
        <f>R49/VLOOKUP(A49,'[20]geoMap (17)'!$A:$B,2,0)*VLOOKUP(A49,'[20]geoMap (17)'!$A:$C,3,0)</f>
        <v>411.22373302677386</v>
      </c>
      <c r="T49" s="1">
        <f>S49/VLOOKUP(A49,'[21]geoMap (18)'!$A:$B,2,0)*VLOOKUP(A49,'[21]geoMap (18)'!$A:$C,3,0)</f>
        <v>109.31263789319304</v>
      </c>
      <c r="U49" s="1">
        <f>T49/VLOOKUP(A49,'[22]geoMap (19)'!$A:$B,2,0)*VLOOKUP(A49,'[22]geoMap (19)'!$A:$C,3,0)</f>
        <v>105.0258677797345</v>
      </c>
      <c r="V49" s="1">
        <f>U49/VLOOKUP(A49,'[23]geoMap (20)'!$A:$B,2,0)*VLOOKUP(A49,'[23]geoMap (20)'!$A:$C,3,0)</f>
        <v>139.22033635918294</v>
      </c>
      <c r="W49" s="1">
        <f>V49/VLOOKUP(A49,'[24]geoMap (21)'!$A:$B,2,0)*VLOOKUP(A49,'[24]geoMap (21)'!$A:$C,3,0)</f>
        <v>51.492453173944376</v>
      </c>
      <c r="X49" s="1">
        <f>W49/VLOOKUP(A49,'[25]geoMap (22)'!$A:$B,2,0)*VLOOKUP(A49,'[25]geoMap (22)'!$A:$C,3,0)</f>
        <v>104.54528371679615</v>
      </c>
      <c r="Y49" s="1">
        <f>X49/VLOOKUP(A49,'[26]geoMap (23)'!$A:$B,2,0)*VLOOKUP(A49,'[26]geoMap (23)'!$A:$C,3,0)</f>
        <v>82.142722920339821</v>
      </c>
      <c r="Z49" s="1">
        <f>Y49/VLOOKUP(A49,'[27]geoMap (24)'!$A:$B,2,0)*VLOOKUP(A49,'[27]geoMap (24)'!$A:$C,3,0)</f>
        <v>52.517478588413987</v>
      </c>
      <c r="AA49" s="1">
        <f>Z49/VLOOKUP(A49,'[28]geoMap (25)'!$A:$B,2,0)*VLOOKUP(A49,'[28]geoMap (25)'!$A:$C,3,0)</f>
        <v>38.029898288161853</v>
      </c>
      <c r="AB49" s="1">
        <f>AA49*VLOOKUP(A49,'[29]geoMap (26)'!$A:$B,2,0)*VLOOKUP(A49,'[29]geoMap (26)'!$A:$C,3,0)</f>
        <v>9.32112807042847</v>
      </c>
      <c r="AC49" s="1">
        <f>AB49/VLOOKUP(A49,'[30]geoMap (27)'!$A:$B,2,0)*VLOOKUP(A49,'[30]geoMap (27)'!$A:$C,3,0)</f>
        <v>5.2431345396160136</v>
      </c>
      <c r="AD49" s="1">
        <f>AC49/VLOOKUP(A49,'[31]geoMap (28)'!$A:$B,2,0)*VLOOKUP(A49,'[31]geoMap (28)'!$A:$C,3,0)</f>
        <v>6.154984024766625</v>
      </c>
      <c r="AE49" s="1">
        <f>AD49/VLOOKUP(A49,'[32]geoMap (29)'!$A:$B,2,0)*VLOOKUP(A49,'[32]geoMap (29)'!$A:$C,3,0)</f>
        <v>4.8360588766023476</v>
      </c>
      <c r="AF49" s="1">
        <f>AE49/VLOOKUP(A49,'[33]geoMap (30)'!$A:$B,2,0)*VLOOKUP(A49,'[33]geoMap (30)'!$A:$C,3,0)</f>
        <v>3.2240392510682323</v>
      </c>
      <c r="AG49" s="1">
        <f>AF49/VLOOKUP(A49,'[34]geoMap (31)'!$A:$B,2,0)*VLOOKUP(A49,'[34]geoMap (31)'!$A:$C,3,0)</f>
        <v>4.8360588766023476</v>
      </c>
      <c r="AH49" s="1">
        <f>AG49/VLOOKUP(A49,'[35]geoMap (32)'!$A:$B,2,0)*VLOOKUP(A49,'[35]geoMap (32)'!$A:$C,3,0)</f>
        <v>2.7202831180888203</v>
      </c>
      <c r="AI49" s="1">
        <f>AH49/VLOOKUP(A49,'[36]geoMap (33)'!$A:$B,2,0)*VLOOKUP(A49,'[36]geoMap (33)'!$A:$C,3,0)</f>
        <v>1.6672702981834706</v>
      </c>
      <c r="AJ49" s="1">
        <f>AI49/VLOOKUP(A49,'[37]geoMap (34)'!$A:$B,2,0)*VLOOKUP(A49,'[37]geoMap (34)'!$A:$C,3,0)</f>
        <v>1.7353221470889184</v>
      </c>
      <c r="AK49" s="1">
        <f>AJ49/VLOOKUP(A49,'[38]geoMap (35)'!$A:$B,2,0)*VLOOKUP(A49,'[38]geoMap (35)'!$A:$C,3,0)</f>
        <v>1.879932326012995</v>
      </c>
      <c r="AL49" s="1" t="e">
        <f>AK49/VLOOKUP(A49,'[39]geoMap (36)'!$A:$B,2,0)*VLOOKUP(A49,'[39]geoMap (36)'!$A:$C,3,0)</f>
        <v>#REF!</v>
      </c>
      <c r="AM49" s="1">
        <f>AA49/VLOOKUP(A49,'[125]geoMap (120)'!$A:$B,2,0)*VLOOKUP(A49,'[125]geoMap (120)'!$A:$C,3,0)</f>
        <v>6.7111585214403267</v>
      </c>
      <c r="AN49" s="1">
        <f>AC49/92*8</f>
        <v>0.45592474257530552</v>
      </c>
      <c r="AO49" s="1">
        <f>AM49/VLOOKUP(A49,'[142]geoMap (123)'!$A:$B,2,0)*VLOOKUP(A49,'[142]geoMap (123)'!$A:$C,3,0)</f>
        <v>6.9850833590501367</v>
      </c>
      <c r="AP49" s="1" t="e">
        <f>AM49/VLOOKUP(A49,'[156]geoMap (125)'!$A:$B,2,0)*VLOOKUP(A49,'[156]geoMap (125)'!$A:$C,3,0)</f>
        <v>#REF!</v>
      </c>
      <c r="AQ49" s="1" t="e">
        <f>AF49/VLOOKUP(A49,'[99]geoMap (126)'!$A:$B,2,0)*VLOOKUP(A49,'[99]geoMap (126)'!$A:$C,3,0)</f>
        <v>#REF!</v>
      </c>
      <c r="AR49" s="1">
        <f>AA49/VLOOKUP(A49,'[100]geoMap (128)'!$A:$B,2,0)*VLOOKUP(A49,'[100]geoMap (128)'!$A:$C,3,0)</f>
        <v>2.4274403162656504</v>
      </c>
      <c r="AS49" s="1">
        <f>AR49/VLOOKUP(A49,'[46]geoMap (43)'!$A:$B,2,0)*VLOOKUP(A49,'[46]geoMap (43)'!$A:$C,3,0)</f>
        <v>1.5519700382682027</v>
      </c>
      <c r="AT49" s="1">
        <f>AS49/VLOOKUP(A49,'[47]geoMap (44)'!$A:$B,2,0)*VLOOKUP(A49,'[47]geoMap (44)'!$A:$C,3,0)</f>
        <v>1.5519700382682027</v>
      </c>
      <c r="AU49" s="1">
        <f>AT49/VLOOKUP(A49,'[48]geoMap (45)'!$A:$B,2,0)*VLOOKUP(A49,'[48]geoMap (45)'!$A:$C,3,0)</f>
        <v>1.5519700382682027</v>
      </c>
      <c r="AV49" s="1">
        <f>AU49/VLOOKUP(A49,'[49]geoMap (46)'!$A:$B,2,0)*VLOOKUP(A49,'[49]geoMap (46)'!$A:$C,3,0)</f>
        <v>2.2333227379957061</v>
      </c>
      <c r="AW49" s="1">
        <f>AV49/VLOOKUP(A49,'[50]geoMap (47)'!$A:$B,2,0)*VLOOKUP(A49,'[50]geoMap (47)'!$A:$C,3,0)</f>
        <v>0.66709640225845768</v>
      </c>
      <c r="AX49" s="1" t="e">
        <f>AW49/VLOOKUP(A49,'[51]geoMap (48)'!$A:$B,2,0)*VLOOKUP(A49,'[51]geoMap (48)'!$A:$C,3,0)</f>
        <v>#REF!</v>
      </c>
      <c r="AY49" s="1">
        <f>AO49/69*31</f>
        <v>3.1382258569645543</v>
      </c>
      <c r="AZ49" s="1">
        <f>AY49/VLOOKUP(A49,'[53]geoMap (50)'!$A:$B,2,0)*VLOOKUP(A49,'[53]geoMap (50)'!$A:$C,3,0)</f>
        <v>4.7073387854468312</v>
      </c>
      <c r="BA49" s="1" t="e">
        <f>AZ49/VLOOKUP(A49,'[54]geoMap (51)'!$A:$B,2,0)*VLOOKUP(A49,'[54]geoMap (51)'!$A:$C,3,0)</f>
        <v>#REF!</v>
      </c>
      <c r="BB49" s="1" t="e">
        <f>AO49/VLOOKUP(A49,'[116]geoMap (145)'!$A:$B,2,0)*VLOOKUP(A49,'[116]geoMap (145)'!$A:$C,3,0)</f>
        <v>#REF!</v>
      </c>
      <c r="BC49" s="1" t="e">
        <f>AN49/VLOOKUP(A49,'[72]geoMap (146)'!$A:$B,2,0)*VLOOKUP(A49,'[72]geoMap (146)'!$A:$C,3,0)</f>
        <v>#REF!</v>
      </c>
      <c r="BD49" s="1" t="e">
        <f>AN49/VLOOKUP(A49,'[73]geoMap (147)'!$A:$B,2,0)*VLOOKUP(A49,'[73]geoMap (147)'!$A:$C,3,0)</f>
        <v>#REF!</v>
      </c>
      <c r="BE49" s="1" t="e">
        <f>AN49/VLOOKUP(A49,'[91]geoMap (148)'!$A:$B,2,0)*VLOOKUP(A49,'[91]geoMap (148)'!$A:$C,3,0)</f>
        <v>#REF!</v>
      </c>
      <c r="BF49" s="1" t="e">
        <f>AO49/VLOOKUP(A49,'[92]geoMap (151)'!$A:$B,2,0)*VLOOKUP(A49,'[92]geoMap (151)'!$A:$C,3,0)</f>
        <v>#REF!</v>
      </c>
      <c r="BG49" s="1" t="e">
        <f>AO49/VLOOKUP(A49,'[102]geoMap (153)'!$A:$B,2,0)*VLOOKUP(A49,'[102]geoMap (153)'!$A:$C,3,0)</f>
        <v>#REF!</v>
      </c>
      <c r="BH49" s="1" t="e">
        <f>AS49/VLOOKUP(A49,'[103]geoMap (155)'!$A:$B,2,0)*VLOOKUP(A49,'[103]geoMap (155)'!$A:$C,3,0)</f>
        <v>#REF!</v>
      </c>
      <c r="BI49" s="1" t="e">
        <f>AS49/VLOOKUP(A49,'[104]geoMap (157)'!$A:$B,2,0)*VLOOKUP(A49,'[104]geoMap (157)'!$A:$C,3,0)</f>
        <v>#REF!</v>
      </c>
      <c r="BJ49" s="1" t="e">
        <f>AS49/VLOOKUP(A49,'[105]geoMap (159)'!$A:$B,2,0)*VLOOKUP(A49,'[105]geoMap (159)'!$A:$C,3,0)</f>
        <v>#REF!</v>
      </c>
      <c r="BK49" s="1" t="e">
        <f>AS49/VLOOKUP(A49,'[106]geoMap (161)'!$A:$B,2,0)*VLOOKUP(A49,'[106]geoMap (161)'!$A:$C,3,0)</f>
        <v>#REF!</v>
      </c>
      <c r="BL49" s="1" t="e">
        <f>AS49/VLOOKUP(A49,'[144]geoMap (163)'!$A:$B,2,0)*VLOOKUP(A49,'[144]geoMap (163)'!$A:$C,3,0)</f>
        <v>#REF!</v>
      </c>
      <c r="BM49" s="1" t="e">
        <f>AS49/VLOOKUP(A49,'[145]geoMap (165)'!$A:$B,2,0)*VLOOKUP(A48,'[145]geoMap (165)'!$A:$C,3,0)</f>
        <v>#REF!</v>
      </c>
      <c r="BN49" s="1" t="e">
        <f>AS49/VLOOKUP(A49,'[146]geoMap (167)'!$A:$B,2,0)*VLOOKUP(A49,'[146]geoMap (167)'!$A:$C,3,0)</f>
        <v>#REF!</v>
      </c>
      <c r="BO49" s="1" t="e">
        <f>AS49/VLOOKUP(A49,'[107]geoMap (169)'!$A:$B,2,0)*VLOOKUP(A49,'[107]geoMap (169)'!$A:$C,3,0)</f>
        <v>#REF!</v>
      </c>
      <c r="BP49" s="1" t="e">
        <f>AS49/VLOOKUP(A49,'[108]geoMap (171)'!$A:$B,2,0)*VLOOKUP(A49,'[108]geoMap (171)'!$A:$C,3,0)</f>
        <v>#REF!</v>
      </c>
    </row>
    <row r="50" spans="1:68" x14ac:dyDescent="0.2">
      <c r="A50" s="1" t="s">
        <v>145</v>
      </c>
      <c r="B50" s="1">
        <f>VLOOKUP(A50,[3]geoMap!$A:$B,2,0)*Notes!$C$6</f>
        <v>4000</v>
      </c>
      <c r="C50" s="1">
        <f>B50/VLOOKUP(A50,'[4]geoMap (1)'!$A:$B,2,0)*VLOOKUP(A50,'[4]geoMap (1)'!$A:$C,3,0)</f>
        <v>5756.0975609756097</v>
      </c>
      <c r="D50" s="1">
        <f>C50/VLOOKUP(A50,'[5]geoMap (2)'!$A:$B,2,0)*VLOOKUP(A50,'[5]geoMap (2)'!$A:$C,3,0)</f>
        <v>4903.3423667570005</v>
      </c>
      <c r="E50" s="1">
        <f>D50/VLOOKUP(A50,'[6]geoMap (3)'!$A:$B,2,0)*VLOOKUP(A50,'[6]geoMap (3)'!$A:$C,3,0)</f>
        <v>4711.0544308057451</v>
      </c>
      <c r="F50" s="1">
        <f>E50/VLOOKUP(A50,'[7]geoMap (4)'!$A:$B,2,0)*VLOOKUP(A50,'[7]geoMap (4)'!$A:$C,3,0)</f>
        <v>3854.4990797501546</v>
      </c>
      <c r="G50" s="1">
        <f>F50/VLOOKUP(A50,'[8]geoMap (5)'!$A:$B,2,0)*VLOOKUP(A50,'[8]geoMap (5)'!$A:$C,3,0)</f>
        <v>3557.9991505386038</v>
      </c>
      <c r="H50" s="1">
        <f>G50/VLOOKUP(A50,'[9]geoMap (6)'!$A:$B,2,0)*VLOOKUP(A50,'[9]geoMap (6)'!$A:$C,3,0)</f>
        <v>1003.5382219467856</v>
      </c>
      <c r="I50" s="1">
        <f>H50/VLOOKUP(A50,'[10]geoMap (7)'!$A:$B,2,0)*VLOOKUP(A50,'[10]geoMap (7)'!$A:$C,3,0)</f>
        <v>1784.067950127619</v>
      </c>
      <c r="J50" s="1">
        <f>I50/VLOOKUP(A50,'[11]geoMap (8)'!$A:$B,2,0)*VLOOKUP(A50,'[11]geoMap (8)'!$A:$C,3,0)</f>
        <v>1519.7615871457494</v>
      </c>
      <c r="K50" s="1">
        <f>J50/VLOOKUP(A50,'[12]geoMap (9)'!$A:$B,2,0)*VLOOKUP(A50,'[12]geoMap (9)'!$A:$C,3,0)</f>
        <v>892.5583924506783</v>
      </c>
      <c r="L50" s="1">
        <f>K50/VLOOKUP(A50,'[13]geoMap (10)'!$A:$B,2,0)*VLOOKUP(A50,'[13]geoMap (10)'!$A:$C,3,0)</f>
        <v>646.3353876366981</v>
      </c>
      <c r="M50" s="1">
        <f>L50/VLOOKUP(A50,'[14]geoMap (11)'!$A:$B,2,0)*VLOOKUP(A50,'[14]geoMap (11)'!$A:$C,3,0)</f>
        <v>789.96547377818661</v>
      </c>
      <c r="N50" s="1">
        <f>M50/VLOOKUP(A50,'[15]geoMap (12)'!$A:$B,2,0)*VLOOKUP(A50,'[15]geoMap (12)'!$A:$C,3,0)</f>
        <v>595.93886618354429</v>
      </c>
      <c r="O50" s="1">
        <f>N50/VLOOKUP(A50,'[16]geoMap (13)'!$A:$B,2,0)*VLOOKUP(A50,'[16]geoMap (13)'!$A:$C,3,0)</f>
        <v>414.12700870381894</v>
      </c>
      <c r="P50" s="1">
        <f>O50/VLOOKUP(A50,'[17]geoMap (14)'!$A:$B,2,0)*VLOOKUP(A50,'[17]geoMap (14)'!$A:$C,3,0)</f>
        <v>466.99428641068954</v>
      </c>
      <c r="Q50" s="1">
        <f>P50/VLOOKUP(A50,'[18]geoMap (15)'!$A:$B,2,0)*VLOOKUP(A50,'[18]geoMap (15)'!$A:$C,3,0)</f>
        <v>262.68428610601285</v>
      </c>
      <c r="R50" s="1">
        <f>Q50/VLOOKUP(A50,'[19]geoMap (16)'!$A:$B,2,0)*VLOOKUP(A50,'[19]geoMap (16)'!$A:$C,3,0)</f>
        <v>167.94569111695904</v>
      </c>
      <c r="S50" s="1">
        <f>R50/VLOOKUP(A50,'[20]geoMap (17)'!$A:$B,2,0)*VLOOKUP(A50,'[20]geoMap (17)'!$A:$C,3,0)</f>
        <v>311.89914064578113</v>
      </c>
      <c r="T50" s="1">
        <f>S50/VLOOKUP(A50,'[21]geoMap (18)'!$A:$B,2,0)*VLOOKUP(A50,'[21]geoMap (18)'!$A:$C,3,0)</f>
        <v>93.164678374713844</v>
      </c>
      <c r="U50" s="1">
        <f>T50/VLOOKUP(A50,'[22]geoMap (19)'!$A:$B,2,0)*VLOOKUP(A50,'[22]geoMap (19)'!$A:$C,3,0)</f>
        <v>113.86794023576137</v>
      </c>
      <c r="V50" s="1">
        <f>U50/VLOOKUP(A50,'[23]geoMap (20)'!$A:$B,2,0)*VLOOKUP(A50,'[23]geoMap (20)'!$A:$C,3,0)</f>
        <v>139.17192695481947</v>
      </c>
      <c r="W50" s="1">
        <f>V50/VLOOKUP(A50,'[24]geoMap (21)'!$A:$B,2,0)*VLOOKUP(A50,'[24]geoMap (21)'!$A:$C,3,0)</f>
        <v>109.34937117878671</v>
      </c>
      <c r="X50" s="1">
        <f>W50/VLOOKUP(A50,'[25]geoMap (22)'!$A:$B,2,0)*VLOOKUP(A50,'[25]geoMap (22)'!$A:$C,3,0)</f>
        <v>82.491630889260165</v>
      </c>
      <c r="Y50" s="1">
        <f>X50/VLOOKUP(A50,'[26]geoMap (23)'!$A:$B,2,0)*VLOOKUP(A50,'[26]geoMap (23)'!$A:$C,3,0)</f>
        <v>62.230528565582233</v>
      </c>
      <c r="Z50" s="1">
        <f>Y50/VLOOKUP(A50,'[27]geoMap (24)'!$A:$B,2,0)*VLOOKUP(A50,'[27]geoMap (24)'!$A:$C,3,0)</f>
        <v>46.945837338948003</v>
      </c>
      <c r="AA50" s="1">
        <f>Z50/VLOOKUP(A50,'[28]geoMap (25)'!$A:$B,2,0)*VLOOKUP(A50,'[28]geoMap (25)'!$A:$C,3,0)</f>
        <v>288.38157222496625</v>
      </c>
      <c r="AB50" s="1">
        <f>AA50*VLOOKUP(A50,'[29]geoMap (26)'!$A:$B,2,0)*VLOOKUP(A50,'[29]geoMap (26)'!$A:$C,3,0)</f>
        <v>30.453094026956435</v>
      </c>
      <c r="AC50" s="1">
        <f>AB50/VLOOKUP(A50,'[30]geoMap (27)'!$A:$B,2,0)*VLOOKUP(A50,'[30]geoMap (27)'!$A:$C,3,0)</f>
        <v>23.927431021180052</v>
      </c>
      <c r="AD50" s="1">
        <f>AC50/VLOOKUP(A50,'[31]geoMap (28)'!$A:$B,2,0)*VLOOKUP(A50,'[31]geoMap (28)'!$A:$C,3,0)</f>
        <v>33.042642838772451</v>
      </c>
      <c r="AE50" s="1">
        <f>AD50/VLOOKUP(A50,'[32]geoMap (29)'!$A:$B,2,0)*VLOOKUP(A50,'[32]geoMap (29)'!$A:$C,3,0)</f>
        <v>28.147436492287643</v>
      </c>
      <c r="AF50" s="1">
        <f>AE50/VLOOKUP(A50,'[33]geoMap (30)'!$A:$B,2,0)*VLOOKUP(A50,'[33]geoMap (30)'!$A:$C,3,0)</f>
        <v>23.977445900837623</v>
      </c>
      <c r="AG50" s="1">
        <f>AF50/VLOOKUP(A50,'[34]geoMap (31)'!$A:$B,2,0)*VLOOKUP(A50,'[34]geoMap (31)'!$A:$C,3,0)</f>
        <v>25.975566392574095</v>
      </c>
      <c r="AH50" s="1">
        <f>AG50/VLOOKUP(A50,'[35]geoMap (32)'!$A:$B,2,0)*VLOOKUP(A50,'[35]geoMap (32)'!$A:$C,3,0)</f>
        <v>15.920508434158316</v>
      </c>
      <c r="AI50" s="1">
        <f>AH50/VLOOKUP(A50,'[36]geoMap (33)'!$A:$B,2,0)*VLOOKUP(A50,'[36]geoMap (33)'!$A:$C,3,0)</f>
        <v>14.118186724630958</v>
      </c>
      <c r="AJ50" s="1">
        <f>AI50/VLOOKUP(A50,'[37]geoMap (34)'!$A:$B,2,0)*VLOOKUP(A50,'[37]geoMap (34)'!$A:$C,3,0)</f>
        <v>15.294702285016873</v>
      </c>
      <c r="AK50" s="1">
        <f>AJ50/VLOOKUP(A50,'[38]geoMap (35)'!$A:$B,2,0)*VLOOKUP(A50,'[38]geoMap (35)'!$A:$C,3,0)</f>
        <v>29.68971620032687</v>
      </c>
      <c r="AL50" s="1">
        <f>AK50/VLOOKUP(A50,'[39]geoMap (36)'!$A:$B,2,0)*VLOOKUP(A50,'[39]geoMap (36)'!$A:$C,3,0)</f>
        <v>2.2347098215299797</v>
      </c>
      <c r="AM50" s="1">
        <f>AL50/VLOOKUP(A50,'[40]geoMap (37)'!$A:$B,2,0)*VLOOKUP(A50,'[40]geoMap (37)'!$A:$C,3,0)</f>
        <v>7.0765811015116027</v>
      </c>
      <c r="AN50" s="1">
        <f>AM50/VLOOKUP(A50,'[41]geoMap (38)'!$A:$B,2,0)*VLOOKUP(A50,'[41]geoMap (38)'!$A:$C,3,0)</f>
        <v>3.1793335383602859</v>
      </c>
      <c r="AO50" s="1">
        <f>AN50/VLOOKUP(A50,'[42]geoMap (39)'!$A:$B,2,0)*VLOOKUP(A50,'[42]geoMap (39)'!$A:$C,3,0)</f>
        <v>5.6521485126405082</v>
      </c>
      <c r="AP50" s="1">
        <f>AO50/VLOOKUP(A50,'[43]geoMap (40)'!$A:$B,2,0)*VLOOKUP(A50,'[43]geoMap (40)'!$A:$C,3,0)</f>
        <v>6.1231608886938851</v>
      </c>
      <c r="AQ50" s="1">
        <f>AP50/VLOOKUP(A50,'[44]geoMap (41)'!$A:$B,2,0)*VLOOKUP(A50,'[44]geoMap (41)'!$A:$C,3,0)</f>
        <v>6.1231608886938851</v>
      </c>
      <c r="AR50" s="1">
        <f>AQ50/VLOOKUP(A50,'[45]geoMap (42)'!$A:$B,2,0)*VLOOKUP(A50,'[45]geoMap (42)'!$A:$C,3,0)</f>
        <v>7.793113858337672</v>
      </c>
      <c r="AS50" s="1">
        <f>AR50/VLOOKUP(A50,'[46]geoMap (43)'!$A:$B,2,0)*VLOOKUP(A50,'[46]geoMap (43)'!$A:$C,3,0)</f>
        <v>4.3836265453149403</v>
      </c>
      <c r="AT50" s="1">
        <f>AS50/VLOOKUP(A50,'[47]geoMap (44)'!$A:$B,2,0)*VLOOKUP(A50,'[47]geoMap (44)'!$A:$C,3,0)</f>
        <v>1.9694554044168575</v>
      </c>
      <c r="AU50" s="1">
        <f>AT50/VLOOKUP(A50,'[48]geoMap (45)'!$A:$B,2,0)*VLOOKUP(A50,'[48]geoMap (45)'!$A:$C,3,0)</f>
        <v>3.8230604909268413</v>
      </c>
      <c r="AV50" s="1">
        <f>AU50/VLOOKUP(A50,'[49]geoMap (46)'!$A:$B,2,0)*VLOOKUP(A50,'[49]geoMap (46)'!$A:$C,3,0)</f>
        <v>2.5487069939512281</v>
      </c>
      <c r="AW50" s="1">
        <f>AV50/VLOOKUP(A50,'[50]geoMap (47)'!$A:$B,2,0)*VLOOKUP(A50,'[50]geoMap (47)'!$A:$C,3,0)</f>
        <v>2.17112077262512</v>
      </c>
      <c r="AX50" s="1">
        <f>AW50/VLOOKUP(A50,'[51]geoMap (48)'!$A:$B,2,0)*VLOOKUP(A50,'[51]geoMap (48)'!$A:$C,3,0)</f>
        <v>1.3306869251573317</v>
      </c>
      <c r="AY50" s="1">
        <f>AX50/VLOOKUP(A50,'[52]geoMap (49)'!$A:$B,2,0)*VLOOKUP(A50,'[52]geoMap (49)'!$A:$C,3,0)</f>
        <v>2.0813308316563393</v>
      </c>
      <c r="AZ50" s="1">
        <f>AY50/VLOOKUP(A50,'[53]geoMap (50)'!$A:$B,2,0)*VLOOKUP(A50,'[53]geoMap (50)'!$A:$C,3,0)</f>
        <v>3.3958555674392907</v>
      </c>
      <c r="BA50" s="1">
        <f>AZ50/VLOOKUP(A50,'[54]geoMap (51)'!$A:$B,2,0)*VLOOKUP(A50,'[54]geoMap (51)'!$A:$C,3,0)</f>
        <v>1.131951855813097</v>
      </c>
      <c r="BB50" s="1">
        <f>BA50/VLOOKUP(A50,'[55]geoMap (52)'!$A:$B,2,0)*VLOOKUP(A50,'[55]geoMap (52)'!$A:$C,3,0)</f>
        <v>0.18427123234166695</v>
      </c>
      <c r="BC50" s="1" t="e">
        <f>AN50/VLOOKUP(A50,'[72]geoMap (146)'!$A:$B,2,0)*VLOOKUP(A50,'[72]geoMap (146)'!$A:$C,3,0)</f>
        <v>#REF!</v>
      </c>
      <c r="BD50" s="1">
        <f>AN50/VLOOKUP(A50,'[73]geoMap (147)'!$A:$B,2,0)*VLOOKUP(A50,'[73]geoMap (147)'!$A:$C,3,0)</f>
        <v>0.47507282757107722</v>
      </c>
      <c r="BE50" s="1">
        <f>BD50/VLOOKUP(A50,'[58]geoMap (55)'!$A:$B,2,0)*VLOOKUP(A50,'[58]geoMap (55)'!$A:$C,3,0)</f>
        <v>0.47507282757107722</v>
      </c>
      <c r="BF50" s="1" t="e">
        <f>BE50/VLOOKUP(A50,'[59]geoMap (56)'!$A:$B,2,0)*VLOOKUP(A50,'[59]geoMap (56)'!$A:$C,3,0)</f>
        <v>#REF!</v>
      </c>
      <c r="BG50" s="1" t="e">
        <f>AN50/VLOOKUP(A50,'[93]geoMap (152)'!$A:$B,2,0)*VLOOKUP(A50,'[93]geoMap (152)'!$A:$C,3,0)</f>
        <v>#REF!</v>
      </c>
      <c r="BH50" s="1" t="e">
        <f>AN50/VLOOKUP(A50,'[94]geoMap (154)'!$A:$B,2,0)*VLOOKUP(A50,'[94]geoMap (154)'!$A:$C,3,0)</f>
        <v>#REF!</v>
      </c>
      <c r="BI50" s="1">
        <f>AN50/VLOOKUP(A50,'[76]geoMap (156)'!$A:$B,2,0)*VLOOKUP(A50,'[76]geoMap (156)'!$A:$C,3,0)</f>
        <v>0.43354548250367531</v>
      </c>
      <c r="BJ50" s="1" t="e">
        <f>BI50/VLOOKUP(A50,'[63]geoMap (60)'!$A:$B,2,0)*VLOOKUP(A50,'[63]geoMap (60)'!$A:$C,3,0)</f>
        <v>#REF!</v>
      </c>
      <c r="BK50" s="1">
        <f>AN50/VLOOKUP(A50,'[78]geoMap (160)'!$A:$B,2,0)*VLOOKUP(A50,'[78]geoMap (160)'!$A:$C,3,0)</f>
        <v>0.43354548250367531</v>
      </c>
      <c r="BL50" s="1">
        <f>AN50/VLOOKUP(A50,'[79]geoMap (162)'!$A:$B,2,0)*VLOOKUP(A50,'[79]geoMap (162)'!$A:$C,3,0)</f>
        <v>0.20293618329959273</v>
      </c>
      <c r="BM50" s="1" t="e">
        <f>AN50/VLOOKUP(A50,'[80]geoMap (164)'!$A:$B,2,0)*VLOOKUP(A50,'[80]geoMap (164)'!$A:$C,3,0)</f>
        <v>#REF!</v>
      </c>
      <c r="BN50" s="1" t="e">
        <f>AN50/VLOOKUP(A50,'[81]geoMap (166)'!$A:$B,2,0)*VLOOKUP(A50,'[81]geoMap (166)'!$A:$C,3,0)</f>
        <v>#REF!</v>
      </c>
      <c r="BO50" s="1" t="e">
        <f>AN50/VLOOKUP(A50,'[82]geoMap (168)'!$A:$B,2,0)*VLOOKUP(A50,'[82]geoMap (168)'!$A:$C,3,0)</f>
        <v>#REF!</v>
      </c>
      <c r="BP50" s="1" t="e">
        <f>AN50/VLOOKUP(A50,'[83]geoMap (170)'!$A:$B,2,0)*VLOOKUP(A50,'[83]geoMap (170)'!$A:$C,3,0)</f>
        <v>#REF!</v>
      </c>
    </row>
    <row r="51" spans="1:68" x14ac:dyDescent="0.2">
      <c r="A51" s="1" t="s">
        <v>142</v>
      </c>
      <c r="B51" s="1">
        <f>VLOOKUP(A51,[3]geoMap!$A:$B,2,0)*Notes!$C$6</f>
        <v>4000</v>
      </c>
      <c r="C51" s="1">
        <f>B51/VLOOKUP(A51,'[4]geoMap (1)'!$A:$B,2,0)*VLOOKUP(A51,'[4]geoMap (1)'!$A:$C,3,0)</f>
        <v>4695.652173913044</v>
      </c>
      <c r="D51" s="1">
        <f>C51/VLOOKUP(A51,'[5]geoMap (2)'!$A:$B,2,0)*VLOOKUP(A51,'[5]geoMap (2)'!$A:$C,3,0)</f>
        <v>4164.0689089417556</v>
      </c>
      <c r="E51" s="1">
        <f>D51/VLOOKUP(A51,'[6]geoMap (3)'!$A:$B,2,0)*VLOOKUP(A51,'[6]geoMap (3)'!$A:$C,3,0)</f>
        <v>2662.2735647332538</v>
      </c>
      <c r="F51" s="1">
        <f>E51/VLOOKUP(A51,'[7]geoMap (4)'!$A:$B,2,0)*VLOOKUP(A51,'[7]geoMap (4)'!$A:$C,3,0)</f>
        <v>2091.7863722904135</v>
      </c>
      <c r="G51" s="1">
        <f>F51/VLOOKUP(A51,'[8]geoMap (5)'!$A:$B,2,0)*VLOOKUP(A51,'[8]geoMap (5)'!$A:$C,3,0)</f>
        <v>1854.9803678801777</v>
      </c>
      <c r="H51" s="1">
        <f>G51/VLOOKUP(A51,'[9]geoMap (6)'!$A:$B,2,0)*VLOOKUP(A51,'[9]geoMap (6)'!$A:$C,3,0)</f>
        <v>1089.4329144693106</v>
      </c>
      <c r="I51" s="1">
        <f>H51/VLOOKUP(A51,'[10]geoMap (7)'!$A:$B,2,0)*VLOOKUP(A51,'[10]geoMap (7)'!$A:$C,3,0)</f>
        <v>1180.2189906750864</v>
      </c>
      <c r="J51" s="1">
        <f>I51/VLOOKUP(A51,'[11]geoMap (8)'!$A:$B,2,0)*VLOOKUP(A51,'[11]geoMap (8)'!$A:$C,3,0)</f>
        <v>927.31492124471072</v>
      </c>
      <c r="K51" s="1">
        <f>J51/VLOOKUP(A51,'[12]geoMap (9)'!$A:$B,2,0)*VLOOKUP(A51,'[12]geoMap (9)'!$A:$C,3,0)</f>
        <v>758.7122082911269</v>
      </c>
      <c r="L51" s="1">
        <f>K51/VLOOKUP(A51,'[13]geoMap (10)'!$A:$B,2,0)*VLOOKUP(A51,'[13]geoMap (10)'!$A:$C,3,0)</f>
        <v>426.77561716375885</v>
      </c>
      <c r="M51" s="1">
        <f>L51/VLOOKUP(A51,'[14]geoMap (11)'!$A:$B,2,0)*VLOOKUP(A51,'[14]geoMap (11)'!$A:$C,3,0)</f>
        <v>142.25853905458629</v>
      </c>
      <c r="N51" s="1">
        <f>M51/VLOOKUP(A51,'[15]geoMap (12)'!$A:$B,2,0)*VLOOKUP(A51,'[15]geoMap (12)'!$A:$C,3,0)</f>
        <v>476.25684813926711</v>
      </c>
      <c r="O51" s="1">
        <f>N51/VLOOKUP(A51,'[16]geoMap (13)'!$A:$B,2,0)*VLOOKUP(A51,'[16]geoMap (13)'!$A:$C,3,0)</f>
        <v>256.445995151913</v>
      </c>
      <c r="P51" s="1">
        <f>O51/VLOOKUP(A51,'[17]geoMap (14)'!$A:$B,2,0)*VLOOKUP(A51,'[17]geoMap (14)'!$A:$C,3,0)</f>
        <v>170.96399676794204</v>
      </c>
      <c r="Q51" s="1">
        <f>P51/VLOOKUP(A51,'[18]geoMap (15)'!$A:$B,2,0)*VLOOKUP(A51,'[18]geoMap (15)'!$A:$C,3,0)</f>
        <v>134.32885460338301</v>
      </c>
      <c r="R51" s="1">
        <f>Q51/VLOOKUP(A51,'[19]geoMap (16)'!$A:$B,2,0)*VLOOKUP(A51,'[19]geoMap (16)'!$A:$C,3,0)</f>
        <v>145.52292582033161</v>
      </c>
      <c r="S51" s="1">
        <f>R51/VLOOKUP(A51,'[20]geoMap (17)'!$A:$B,2,0)*VLOOKUP(A51,'[20]geoMap (17)'!$A:$C,3,0)</f>
        <v>71.675470926431984</v>
      </c>
      <c r="T51" s="1">
        <f>S51/VLOOKUP(A51,'[21]geoMap (18)'!$A:$B,2,0)*VLOOKUP(A51,'[21]geoMap (18)'!$A:$C,3,0)</f>
        <v>61.056882641034647</v>
      </c>
      <c r="U51" s="1">
        <f>T51/VLOOKUP(A51,'[22]geoMap (19)'!$A:$B,2,0)*VLOOKUP(A51,'[22]geoMap (19)'!$A:$C,3,0)</f>
        <v>40.704588427356441</v>
      </c>
      <c r="V51" s="1">
        <f>U51/VLOOKUP(A51,'[23]geoMap (20)'!$A:$B,2,0)*VLOOKUP(A51,'[23]geoMap (20)'!$A:$C,3,0)</f>
        <v>75.594235650804833</v>
      </c>
      <c r="W51" s="1">
        <f>V51/VLOOKUP(A51,'[24]geoMap (21)'!$A:$B,2,0)*VLOOKUP(A51,'[24]geoMap (21)'!$A:$C,3,0)</f>
        <v>26.560136850282777</v>
      </c>
      <c r="X51" s="1">
        <f>W51/VLOOKUP(A51,'[25]geoMap (22)'!$A:$B,2,0)*VLOOKUP(A51,'[25]geoMap (22)'!$A:$C,3,0)</f>
        <v>24.517049400261026</v>
      </c>
      <c r="Y51" s="1">
        <f>X51/VLOOKUP(A51,'[26]geoMap (23)'!$A:$B,2,0)*VLOOKUP(A51,'[26]geoMap (23)'!$A:$C,3,0)</f>
        <v>17.753725427775226</v>
      </c>
      <c r="Z51" s="1">
        <f>Y51/VLOOKUP(A51,'[27]geoMap (24)'!$A:$B,2,0)*VLOOKUP(A51,'[27]geoMap (24)'!$A:$C,3,0)</f>
        <v>32.971204365868282</v>
      </c>
      <c r="AA51" s="1">
        <f>Z51/VLOOKUP(A51,'[28]geoMap (25)'!$A:$B,2,0)*VLOOKUP(A51,'[28]geoMap (25)'!$A:$C,3,0)</f>
        <v>131.88481746347313</v>
      </c>
      <c r="AB51" s="1">
        <f>AA51*VLOOKUP(A51,'[29]geoMap (26)'!$A:$B,2,0)*VLOOKUP(A51,'[29]geoMap (26)'!$A:$C,3,0)</f>
        <v>24.728403274401209</v>
      </c>
      <c r="AC51" s="1">
        <f>AB51/VLOOKUP(A51,'[30]geoMap (27)'!$A:$B,2,0)*VLOOKUP(A51,'[30]geoMap (27)'!$A:$C,3,0)</f>
        <v>11.109862340673008</v>
      </c>
      <c r="AD51" s="1">
        <f>AC51/VLOOKUP(A51,'[31]geoMap (28)'!$A:$B,2,0)*VLOOKUP(A51,'[31]geoMap (28)'!$A:$C,3,0)</f>
        <v>12.528142639482329</v>
      </c>
      <c r="AE51" s="1">
        <f>AD51/VLOOKUP(A51,'[32]geoMap (29)'!$A:$B,2,0)*VLOOKUP(A51,'[32]geoMap (29)'!$A:$C,3,0)</f>
        <v>20.440653780208013</v>
      </c>
      <c r="AF51" s="1">
        <f>AE51/VLOOKUP(A51,'[33]geoMap (30)'!$A:$B,2,0)*VLOOKUP(A51,'[33]geoMap (30)'!$A:$C,3,0)</f>
        <v>11.497867751367007</v>
      </c>
      <c r="AG51" s="1">
        <f>AF51/VLOOKUP(A51,'[34]geoMap (31)'!$A:$B,2,0)*VLOOKUP(A51,'[34]geoMap (31)'!$A:$C,3,0)</f>
        <v>8.3260421647830061</v>
      </c>
      <c r="AH51" s="1">
        <f>AG51/VLOOKUP(A51,'[35]geoMap (32)'!$A:$B,2,0)*VLOOKUP(A51,'[35]geoMap (32)'!$A:$C,3,0)</f>
        <v>3.4007777856155941</v>
      </c>
      <c r="AI51" s="1">
        <f>AH51/VLOOKUP(A51,'[36]geoMap (33)'!$A:$B,2,0)*VLOOKUP(A51,'[36]geoMap (33)'!$A:$C,3,0)</f>
        <v>8.7448571630115275</v>
      </c>
      <c r="AJ51" s="1">
        <f>AI51/VLOOKUP(A51,'[37]geoMap (34)'!$A:$B,2,0)*VLOOKUP(A51,'[37]geoMap (34)'!$A:$C,3,0)</f>
        <v>6.0769346387029257</v>
      </c>
      <c r="AK51" s="1">
        <f>AJ51/VLOOKUP(A51,'[38]geoMap (35)'!$A:$B,2,0)*VLOOKUP(A51,'[38]geoMap (35)'!$A:$C,3,0)</f>
        <v>6.5833458585948366</v>
      </c>
      <c r="AL51" s="1">
        <f>AK51/VLOOKUP(A51,'[39]geoMap (36)'!$A:$B,2,0)*VLOOKUP(A51,'[39]geoMap (36)'!$A:$C,3,0)</f>
        <v>2.3130674638306181</v>
      </c>
      <c r="AM51" s="1">
        <f>AL51/VLOOKUP(A51,'[40]geoMap (37)'!$A:$B,2,0)*VLOOKUP(A51,'[40]geoMap (37)'!$A:$C,3,0)</f>
        <v>3.1942360214803776</v>
      </c>
      <c r="AN51" s="1">
        <f>AM51/VLOOKUP(A51,'[41]geoMap (38)'!$A:$B,2,0)*VLOOKUP(A51,'[41]geoMap (38)'!$A:$C,3,0)</f>
        <v>3.3246130019489648</v>
      </c>
      <c r="AO51" s="1">
        <f>AN51/VLOOKUP(A51,'[42]geoMap (39)'!$A:$B,2,0)*VLOOKUP(A51,'[42]geoMap (39)'!$A:$C,3,0)</f>
        <v>2.83207774240097</v>
      </c>
      <c r="AP51" s="1">
        <f>AO51/VLOOKUP(A51,'[43]geoMap (40)'!$A:$B,2,0)*VLOOKUP(A51,'[43]geoMap (40)'!$A:$C,3,0)</f>
        <v>4.6207584218121092</v>
      </c>
      <c r="AQ51" s="1">
        <f>AP51/VLOOKUP(A51,'[44]geoMap (41)'!$A:$B,2,0)*VLOOKUP(A51,'[44]geoMap (41)'!$A:$C,3,0)</f>
        <v>0.51341760242356771</v>
      </c>
      <c r="AR51" s="1">
        <f>AQ51/VLOOKUP(A51,'[45]geoMap (42)'!$A:$B,2,0)*VLOOKUP(A51,'[45]geoMap (42)'!$A:$C,3,0)</f>
        <v>3.76506241777283</v>
      </c>
      <c r="AS51" s="1">
        <f>AR51/VLOOKUP(A51,'[46]geoMap (43)'!$A:$B,2,0)*VLOOKUP(A51,'[46]geoMap (43)'!$A:$C,3,0)</f>
        <v>1.2550208059242767</v>
      </c>
      <c r="AT51" s="1">
        <f>AS51/VLOOKUP(A51,'[47]geoMap (44)'!$A:$B,2,0)*VLOOKUP(A51,'[47]geoMap (44)'!$A:$C,3,0)</f>
        <v>1.3062461449415941</v>
      </c>
      <c r="AU51" s="1">
        <f>AT51/VLOOKUP(A51,'[48]geoMap (45)'!$A:$B,2,0)*VLOOKUP(A51,'[48]geoMap (45)'!$A:$C,3,0)</f>
        <v>4.3730849200218582</v>
      </c>
      <c r="AV51" s="1">
        <f>AU51/VLOOKUP(A51,'[49]geoMap (46)'!$A:$B,2,0)*VLOOKUP(A51,'[49]geoMap (46)'!$A:$C,3,0)</f>
        <v>0.23016236421167677</v>
      </c>
      <c r="AW51" s="1">
        <f>AV51/VLOOKUP(A51,'[50]geoMap (47)'!$A:$B,2,0)*VLOOKUP(A51,'[50]geoMap (47)'!$A:$C,3,0)</f>
        <v>0.11336355252216916</v>
      </c>
      <c r="AX51" s="1">
        <f>AW51/VLOOKUP(A51,'[51]geoMap (48)'!$A:$B,2,0)*VLOOKUP(A51,'[51]geoMap (48)'!$A:$C,3,0)</f>
        <v>0.17004532878325374</v>
      </c>
      <c r="AY51" s="1">
        <f>AX51/VLOOKUP(A51,'[52]geoMap (49)'!$A:$B,2,0)*VLOOKUP(A51,'[52]geoMap (49)'!$A:$C,3,0)</f>
        <v>2.2591736538346567</v>
      </c>
      <c r="AZ51" s="1" t="e">
        <f>AY51/VLOOKUP(A51,'[53]geoMap (50)'!$A:$B,2,0)*VLOOKUP(A51,'[53]geoMap (50)'!$A:$C,3,0)</f>
        <v>#REF!</v>
      </c>
      <c r="BA51" s="1">
        <f>AN51/VLOOKUP(A51,'[71]geoMap (143)'!$A:$B,2,0)*VLOOKUP(A51,'[71]geoMap (143)'!$A:$C,3,0)</f>
        <v>1.0498777900891467</v>
      </c>
      <c r="BB51" s="1">
        <f>BA51/VLOOKUP(A51,'[55]geoMap (52)'!$A:$B,2,0)*VLOOKUP(A51,'[55]geoMap (52)'!$A:$C,3,0)</f>
        <v>0.47168422453280512</v>
      </c>
      <c r="BC51" s="1">
        <f>BB51/VLOOKUP(A51,'[56]geoMap (53)'!$A:$B,2,0)*VLOOKUP(A51,'[56]geoMap (53)'!$A:$C,3,0)</f>
        <v>0.30156860257015411</v>
      </c>
      <c r="BD51" s="1">
        <f>BC51/VLOOKUP(A51,'[57]geoMap (54)'!$A:$B,2,0)*VLOOKUP(A51,'[57]geoMap (54)'!$A:$C,3,0)</f>
        <v>0.67123334120453648</v>
      </c>
      <c r="BE51" s="1">
        <f>BD51/VLOOKUP(A51,'[58]geoMap (55)'!$A:$B,2,0)*VLOOKUP(A51,'[58]geoMap (55)'!$A:$C,3,0)</f>
        <v>0.92694128071102655</v>
      </c>
      <c r="BF51" s="1">
        <f>BE51/VLOOKUP(A51,'[59]geoMap (56)'!$A:$B,2,0)*VLOOKUP(A51,'[59]geoMap (56)'!$A:$C,3,0)</f>
        <v>0.3089804269036755</v>
      </c>
      <c r="BG51" s="1" t="e">
        <f>AN51/VLOOKUP(A51,'[93]geoMap (152)'!$A:$B,2,0)*VLOOKUP(A51,'[93]geoMap (152)'!$A:$C,3,0)</f>
        <v>#REF!</v>
      </c>
      <c r="BH51" s="1" t="e">
        <f>AN51/VLOOKUP(A51,'[94]geoMap (154)'!$A:$B,2,0)*VLOOKUP(A51,'[94]geoMap (154)'!$A:$C,3,0)</f>
        <v>#REF!</v>
      </c>
      <c r="BI51" s="1" t="e">
        <f>AN51/VLOOKUP(A51,'[76]geoMap (156)'!$A:$B,2,0)*VLOOKUP(A51,'[76]geoMap (156)'!$A:$C,3,0)</f>
        <v>#REF!</v>
      </c>
      <c r="BJ51" s="1" t="e">
        <f>AN51/VLOOKUP(A51,'[77]geoMap (158)'!$A:$B,2,0)*VLOOKUP(A51,'[77]geoMap (158)'!$A:$C,3,0)</f>
        <v>#REF!</v>
      </c>
      <c r="BK51" s="1" t="e">
        <f>AN51/VLOOKUP(A51,'[78]geoMap (160)'!$A:$B,2,0)*VLOOKUP(A51,'[78]geoMap (160)'!$A:$C,3,0)</f>
        <v>#REF!</v>
      </c>
      <c r="BL51" s="1" t="e">
        <f>AN51/VLOOKUP(A51,'[79]geoMap (162)'!$A:$B,2,0)*VLOOKUP(A51,'[79]geoMap (162)'!$A:$C,3,0)</f>
        <v>#REF!</v>
      </c>
      <c r="BM51" s="1" t="e">
        <f>AN51/VLOOKUP(A51,'[80]geoMap (164)'!$A:$B,2,0)*VLOOKUP(A51,'[80]geoMap (164)'!$A:$C,3,0)</f>
        <v>#REF!</v>
      </c>
      <c r="BN51" s="1" t="e">
        <f>AN51/VLOOKUP(A51,'[81]geoMap (166)'!$A:$B,2,0)*VLOOKUP(A51,'[81]geoMap (166)'!$A:$C,3,0)</f>
        <v>#REF!</v>
      </c>
      <c r="BO51" s="1" t="e">
        <f>AN51/VLOOKUP(A51,'[82]geoMap (168)'!$A:$B,2,0)*VLOOKUP(A51,'[82]geoMap (168)'!$A:$C,3,0)</f>
        <v>#REF!</v>
      </c>
      <c r="BP51" s="1" t="e">
        <f>AN51/VLOOKUP(A51,'[83]geoMap (170)'!$A:$B,2,0)*VLOOKUP(A51,'[83]geoMap (170)'!$A:$C,3,0)</f>
        <v>#REF!</v>
      </c>
    </row>
    <row r="52" spans="1:68" x14ac:dyDescent="0.2">
      <c r="A52" s="1" t="s">
        <v>128</v>
      </c>
      <c r="B52" s="1">
        <f>VLOOKUP(A52,[3]geoMap!$A:$B,2,0)*Notes!$C$6</f>
        <v>4000</v>
      </c>
      <c r="C52" s="1">
        <f>B52/VLOOKUP(A52,'[4]geoMap (1)'!$A:$B,2,0)*VLOOKUP(A52,'[4]geoMap (1)'!$A:$C,3,0)</f>
        <v>4510.6382978723414</v>
      </c>
      <c r="D52" s="1">
        <f>C52/VLOOKUP(A52,'[5]geoMap (2)'!$A:$B,2,0)*VLOOKUP(A52,'[5]geoMap (2)'!$A:$C,3,0)</f>
        <v>4886.5248226950371</v>
      </c>
      <c r="E52" s="1">
        <f>D52/VLOOKUP(A52,'[6]geoMap (3)'!$A:$B,2,0)*VLOOKUP(A52,'[6]geoMap (3)'!$A:$C,3,0)</f>
        <v>2631.2056737588659</v>
      </c>
      <c r="F52" s="1">
        <f>E52/VLOOKUP(A52,'[7]geoMap (4)'!$A:$B,2,0)*VLOOKUP(A52,'[7]geoMap (4)'!$A:$C,3,0)</f>
        <v>2528.0211375330277</v>
      </c>
      <c r="G52" s="1">
        <f>F52/VLOOKUP(A52,'[8]geoMap (5)'!$A:$B,2,0)*VLOOKUP(A52,'[8]geoMap (5)'!$A:$C,3,0)</f>
        <v>3217.481447769308</v>
      </c>
      <c r="H52" s="1">
        <f>G52/VLOOKUP(A52,'[9]geoMap (6)'!$A:$B,2,0)*VLOOKUP(A52,'[9]geoMap (6)'!$A:$C,3,0)</f>
        <v>2427.2228465628114</v>
      </c>
      <c r="I52" s="1">
        <f>H52/VLOOKUP(A52,'[10]geoMap (7)'!$A:$B,2,0)*VLOOKUP(A52,'[10]geoMap (7)'!$A:$C,3,0)</f>
        <v>1090.4914238180747</v>
      </c>
      <c r="J52" s="1">
        <f>I52/VLOOKUP(A52,'[11]geoMap (8)'!$A:$B,2,0)*VLOOKUP(A52,'[11]geoMap (8)'!$A:$C,3,0)</f>
        <v>1938.6514201210218</v>
      </c>
      <c r="K52" s="1">
        <f>J52/VLOOKUP(A52,'[12]geoMap (9)'!$A:$B,2,0)*VLOOKUP(A52,'[12]geoMap (9)'!$A:$C,3,0)</f>
        <v>912.30655064518669</v>
      </c>
      <c r="L52" s="1">
        <f>K52/VLOOKUP(A52,'[13]geoMap (10)'!$A:$B,2,0)*VLOOKUP(A52,'[13]geoMap (10)'!$A:$C,3,0)</f>
        <v>354.78588080646153</v>
      </c>
      <c r="M52" s="1">
        <f>L52/VLOOKUP(A52,'[14]geoMap (11)'!$A:$B,2,0)*VLOOKUP(A52,'[14]geoMap (11)'!$A:$C,3,0)</f>
        <v>369.26693716590893</v>
      </c>
      <c r="N52" s="1">
        <f>M52/VLOOKUP(A52,'[15]geoMap (12)'!$A:$B,2,0)*VLOOKUP(A52,'[15]geoMap (12)'!$A:$C,3,0)</f>
        <v>553.90040574886336</v>
      </c>
      <c r="O52" s="1">
        <f>N52/VLOOKUP(A52,'[16]geoMap (13)'!$A:$B,2,0)*VLOOKUP(A52,'[16]geoMap (13)'!$A:$C,3,0)</f>
        <v>311.56897823373561</v>
      </c>
      <c r="P52" s="1">
        <f>O52/VLOOKUP(A52,'[17]geoMap (14)'!$A:$B,2,0)*VLOOKUP(A52,'[17]geoMap (14)'!$A:$C,3,0)</f>
        <v>287.60213375421745</v>
      </c>
      <c r="Q52" s="1">
        <f>P52/VLOOKUP(A52,'[18]geoMap (15)'!$A:$B,2,0)*VLOOKUP(A52,'[18]geoMap (15)'!$A:$C,3,0)</f>
        <v>351.51371903293244</v>
      </c>
      <c r="R52" s="1">
        <f>Q52/VLOOKUP(A52,'[19]geoMap (16)'!$A:$B,2,0)*VLOOKUP(A52,'[19]geoMap (16)'!$A:$C,3,0)</f>
        <v>47.933688959036246</v>
      </c>
      <c r="S52" s="1">
        <f>R52/VLOOKUP(A52,'[20]geoMap (17)'!$A:$B,2,0)*VLOOKUP(A52,'[20]geoMap (17)'!$A:$C,3,0)</f>
        <v>204.34888450957558</v>
      </c>
      <c r="T52" s="1">
        <f>S52/VLOOKUP(A52,'[21]geoMap (18)'!$A:$B,2,0)*VLOOKUP(A52,'[21]geoMap (18)'!$A:$C,3,0)</f>
        <v>68.116294836525199</v>
      </c>
      <c r="U52" s="1">
        <f>T52/VLOOKUP(A52,'[22]geoMap (19)'!$A:$B,2,0)*VLOOKUP(A52,'[22]geoMap (19)'!$A:$C,3,0)</f>
        <v>29.192697787082231</v>
      </c>
      <c r="V52" s="1">
        <f>U52/VLOOKUP(A52,'[23]geoMap (20)'!$A:$B,2,0)*VLOOKUP(A52,'[23]geoMap (20)'!$A:$C,3,0)</f>
        <v>16.420892505233752</v>
      </c>
      <c r="W52" s="1">
        <f>V52/VLOOKUP(A52,'[24]geoMap (21)'!$A:$B,2,0)*VLOOKUP(A52,'[24]geoMap (21)'!$A:$C,3,0)</f>
        <v>31.875850157218462</v>
      </c>
      <c r="X52" s="1">
        <f>W52/VLOOKUP(A52,'[25]geoMap (22)'!$A:$B,2,0)*VLOOKUP(A52,'[25]geoMap (22)'!$A:$C,3,0)</f>
        <v>12.396163950029402</v>
      </c>
      <c r="Y52" s="1">
        <f>X52/VLOOKUP(A52,'[26]geoMap (23)'!$A:$B,2,0)*VLOOKUP(A52,'[26]geoMap (23)'!$A:$C,3,0)</f>
        <v>43.950035822831516</v>
      </c>
      <c r="Z52" s="1">
        <f>Y52/VLOOKUP(A52,'[27]geoMap (24)'!$A:$B,2,0)*VLOOKUP(A52,'[27]geoMap (24)'!$A:$C,3,0)</f>
        <v>13.878958680894163</v>
      </c>
      <c r="AA52" s="1">
        <f>Z52/VLOOKUP(A52,'[28]geoMap (25)'!$A:$B,2,0)*VLOOKUP(A52,'[28]geoMap (25)'!$A:$C,3,0)</f>
        <v>18.397689414208543</v>
      </c>
      <c r="AB52" s="1">
        <f>AA52*VLOOKUP(A52,'[29]geoMap (26)'!$A:$B,2,0)*VLOOKUP(A52,'[29]geoMap (26)'!$A:$C,3,0)</f>
        <v>4.1284415045483973</v>
      </c>
      <c r="AC52" s="1">
        <f>AB52/VLOOKUP(A52,'[30]geoMap (27)'!$A:$B,2,0)*VLOOKUP(A52,'[30]geoMap (27)'!$A:$C,3,0)</f>
        <v>1.942796002140422</v>
      </c>
      <c r="AD52" s="1">
        <f>AC52/VLOOKUP(A52,'[31]geoMap (28)'!$A:$B,2,0)*VLOOKUP(A52,'[31]geoMap (28)'!$A:$C,3,0)</f>
        <v>2.9141940032106324</v>
      </c>
      <c r="AE52" s="1">
        <f>AD52/VLOOKUP(A52,'[32]geoMap (29)'!$A:$B,2,0)*VLOOKUP(A52,'[32]geoMap (29)'!$A:$C,3,0)</f>
        <v>2.584285248130183</v>
      </c>
      <c r="AF52" s="1">
        <f>AE52/VLOOKUP(A52,'[33]geoMap (30)'!$A:$B,2,0)*VLOOKUP(A52,'[33]geoMap (30)'!$A:$C,3,0)</f>
        <v>1.7228568320867887</v>
      </c>
      <c r="AG52" s="1">
        <f>AF52/VLOOKUP(A52,'[34]geoMap (31)'!$A:$B,2,0)*VLOOKUP(A52,'[34]geoMap (31)'!$A:$C,3,0)</f>
        <v>0.70370208634530806</v>
      </c>
      <c r="AH52" s="1">
        <f>AG52/VLOOKUP(A52,'[35]geoMap (32)'!$A:$B,2,0)*VLOOKUP(A52,'[35]geoMap (32)'!$A:$C,3,0)</f>
        <v>2.6472602295847305</v>
      </c>
      <c r="AI52" s="1">
        <f>AH52/VLOOKUP(A52,'[36]geoMap (33)'!$A:$B,2,0)*VLOOKUP(A52,'[36]geoMap (33)'!$A:$C,3,0)</f>
        <v>1.6225143342616091</v>
      </c>
      <c r="AJ52" s="1">
        <f>AI52/VLOOKUP(A52,'[37]geoMap (34)'!$A:$B,2,0)*VLOOKUP(A52,'[37]geoMap (34)'!$A:$C,3,0)</f>
        <v>0.51237294766156072</v>
      </c>
      <c r="AK52" s="1">
        <f>AJ52/VLOOKUP(A52,'[38]geoMap (35)'!$A:$B,2,0)*VLOOKUP(A52,'[38]geoMap (35)'!$A:$C,3,0)</f>
        <v>0.386526960516616</v>
      </c>
      <c r="AL52" s="1">
        <f>AK52/VLOOKUP(A52,'[39]geoMap (36)'!$A:$B,2,0)*VLOOKUP(A52,'[39]geoMap (36)'!$A:$C,3,0)</f>
        <v>0.1818950402431134</v>
      </c>
      <c r="AM52" s="1">
        <f>AL52/VLOOKUP(A52,'[40]geoMap (37)'!$A:$B,2,0)*VLOOKUP(A52,'[40]geoMap (37)'!$A:$C,3,0)</f>
        <v>1.217297577011605</v>
      </c>
      <c r="AN52" s="1">
        <f>AM52/VLOOKUP(A52,'[41]geoMap (38)'!$A:$B,2,0)*VLOOKUP(A52,'[41]geoMap (38)'!$A:$C,3,0)</f>
        <v>2.1640845813539644</v>
      </c>
      <c r="AO52" s="1">
        <f>AN52/VLOOKUP(A52,'[42]geoMap (39)'!$A:$B,2,0)*VLOOKUP(A52,'[42]geoMap (39)'!$A:$C,3,0)</f>
        <v>0.35229283882506401</v>
      </c>
      <c r="AP52" s="1">
        <f>AO52/VLOOKUP(A52,'[43]geoMap (40)'!$A:$B,2,0)*VLOOKUP(A52,'[43]geoMap (40)'!$A:$C,3,0)</f>
        <v>0.36667213836894419</v>
      </c>
      <c r="AQ52" s="1">
        <f>AP52/VLOOKUP(A52,'[44]geoMap (41)'!$A:$B,2,0)*VLOOKUP(A52,'[44]geoMap (41)'!$A:$C,3,0)</f>
        <v>0.62433364100658062</v>
      </c>
      <c r="AR52" s="1">
        <f>AQ52/VLOOKUP(A52,'[45]geoMap (42)'!$A:$B,2,0)*VLOOKUP(A52,'[45]geoMap (42)'!$A:$C,3,0)</f>
        <v>0.16596210710301509</v>
      </c>
      <c r="AS52" s="1">
        <f>AR52/VLOOKUP(A52,'[46]geoMap (43)'!$A:$B,2,0)*VLOOKUP(A52,'[46]geoMap (43)'!$A:$C,3,0)</f>
        <v>0.17273607065824023</v>
      </c>
      <c r="AT52" s="1">
        <f>AS52/VLOOKUP(A52,'[47]geoMap (44)'!$A:$B,2,0)*VLOOKUP(A52,'[47]geoMap (44)'!$A:$C,3,0)</f>
        <v>0.44417846740690342</v>
      </c>
      <c r="AU52" s="1">
        <f>AT52/VLOOKUP(A52,'[48]geoMap (45)'!$A:$B,2,0)*VLOOKUP(A52,'[48]geoMap (45)'!$A:$C,3,0)</f>
        <v>0.34899736724828123</v>
      </c>
      <c r="AV52" s="1">
        <f>AU52/VLOOKUP(A52,'[49]geoMap (46)'!$A:$B,2,0)*VLOOKUP(A52,'[49]geoMap (46)'!$A:$C,3,0)</f>
        <v>0.10424596684039569</v>
      </c>
      <c r="AW52" s="1">
        <f>AV52/VLOOKUP(A52,'[50]geoMap (47)'!$A:$B,2,0)*VLOOKUP(A52,'[50]geoMap (47)'!$A:$C,3,0)</f>
        <v>5.1345028443776981E-2</v>
      </c>
      <c r="AX52" s="1" t="e">
        <f>AN52/VLOOKUP(A52,'[70]geoMap (138)'!$A:$B,2,0)*VLOOKUP(A52,'[70]geoMap (138)'!$A:$C,3,0)</f>
        <v>#REF!</v>
      </c>
      <c r="AY52" s="1">
        <f>AN52/VLOOKUP(A52,'[88]geoMap (140)'!$A:$B,2,0)*VLOOKUP(A52,'[88]geoMap (140)'!$A:$C,3,0)</f>
        <v>9.0170190889748522E-2</v>
      </c>
      <c r="AZ52" s="1" t="e">
        <f>AY52/VLOOKUP(A52,'[53]geoMap (50)'!$A:$B,2,0)*VLOOKUP(A52,'[53]geoMap (50)'!$A:$C,3,0)</f>
        <v>#REF!</v>
      </c>
      <c r="BA52" s="1" t="e">
        <f>AN52/VLOOKUP(A52,'[71]geoMap (143)'!$A:$B,2,0)*VLOOKUP(A52,'[71]geoMap (143)'!$A:$C,3,0)</f>
        <v>#REF!</v>
      </c>
      <c r="BB52" s="1">
        <f>AN52/VLOOKUP(A52,'[90]geoMap (144)'!$A:$B,2,0)*VLOOKUP(A52,'[90]geoMap (144)'!$A:$C,3,0)</f>
        <v>4.4164991456203354E-2</v>
      </c>
      <c r="BC52" s="1" t="e">
        <f>BB52/VLOOKUP(A52,'[56]geoMap (53)'!$A:$B,2,0)*VLOOKUP(A52,'[56]geoMap (53)'!$A:$C,3,0)</f>
        <v>#REF!</v>
      </c>
      <c r="BD52" s="1">
        <f>AN52/VLOOKUP(A52,'[73]geoMap (147)'!$A:$B,2,0)*VLOOKUP(A52,'[73]geoMap (147)'!$A:$C,3,0)</f>
        <v>0.13813305838429563</v>
      </c>
      <c r="BE52" s="1">
        <f>BD52/VLOOKUP(A52,'[58]geoMap (55)'!$A:$B,2,0)*VLOOKUP(A52,'[58]geoMap (55)'!$A:$C,3,0)</f>
        <v>5.6420544973867226E-2</v>
      </c>
      <c r="BF52" s="1" t="e">
        <f>BE52/VLOOKUP(A52,'[59]geoMap (56)'!$A:$B,2,0)*VLOOKUP(A52,'[59]geoMap (56)'!$A:$C,3,0)</f>
        <v>#REF!</v>
      </c>
      <c r="BG52" s="1" t="e">
        <f>AN52/VLOOKUP(A52,'[93]geoMap (152)'!$A:$B,2,0)*VLOOKUP(A52,'[93]geoMap (152)'!$A:$C,3,0)</f>
        <v>#REF!</v>
      </c>
      <c r="BH52" s="1">
        <f>AN52/VLOOKUP(A52,'[94]geoMap (154)'!$A:$B,2,0)*VLOOKUP(A52,'[94]geoMap (154)'!$A:$C,3,0)</f>
        <v>6.6930450969710231E-2</v>
      </c>
      <c r="BI52" s="1" t="e">
        <f>BH52/VLOOKUP(A52,'[62]geoMap (59)'!$A:$B,2,0)*VLOOKUP(A52,'[62]geoMap (59)'!$A:$C,3,0)</f>
        <v>#REF!</v>
      </c>
      <c r="BJ52" s="1" t="e">
        <f>AN52/VLOOKUP(A52,'[77]geoMap (158)'!$A:$B,2,0)*VLOOKUP(A52,'[77]geoMap (158)'!$A:$C,3,0)</f>
        <v>#REF!</v>
      </c>
      <c r="BK52" s="1" t="e">
        <f>AN52/VLOOKUP(A52,'[78]geoMap (160)'!$A:$B,2,0)*VLOOKUP(A52,'[78]geoMap (160)'!$A:$C,3,0)</f>
        <v>#REF!</v>
      </c>
      <c r="BL52" s="1" t="e">
        <f>AN52/VLOOKUP(A52,'[79]geoMap (162)'!$A:$B,2,0)*VLOOKUP(A52,'[79]geoMap (162)'!$A:$C,3,0)</f>
        <v>#REF!</v>
      </c>
      <c r="BM52" s="1" t="e">
        <f>AN52/VLOOKUP(A52,'[80]geoMap (164)'!$A:$B,2,0)*VLOOKUP(A52,'[80]geoMap (164)'!$A:$C,3,0)</f>
        <v>#REF!</v>
      </c>
      <c r="BN52" s="1">
        <f>AN52/VLOOKUP(A52,'[81]geoMap (166)'!$A:$B,2,0)*VLOOKUP(A52,'[81]geoMap (166)'!$A:$C,3,0)</f>
        <v>0.11389918849231394</v>
      </c>
      <c r="BO52" s="1" t="e">
        <f>BN52/VLOOKUP(A52,'[68]geoMap (65)'!$A:$B,2,0)*VLOOKUP(A52,'[68]geoMap (65)'!$A:$C,3,0)</f>
        <v>#REF!</v>
      </c>
      <c r="BP52" s="1" t="e">
        <f>AN52/VLOOKUP(A52,'[83]geoMap (170)'!$A:$B,2,0)*VLOOKUP(A52,'[83]geoMap (170)'!$A:$C,3,0)</f>
        <v>#REF!</v>
      </c>
    </row>
    <row r="53" spans="1:68" x14ac:dyDescent="0.2">
      <c r="A53" s="1" t="s">
        <v>154</v>
      </c>
      <c r="B53" s="1">
        <f>VLOOKUP(A53,[3]geoMap!$A:$B,2,0)*Notes!$C$6</f>
        <v>4000</v>
      </c>
      <c r="C53" s="1">
        <f>B53/VLOOKUP(A53,'[4]geoMap (1)'!$A:$B,2,0)*VLOOKUP(A53,'[4]geoMap (1)'!$A:$C,3,0)</f>
        <v>3692.3076923076924</v>
      </c>
      <c r="D53" s="1">
        <f>C53/VLOOKUP(A53,'[5]geoMap (2)'!$A:$B,2,0)*VLOOKUP(A53,'[5]geoMap (2)'!$A:$C,3,0)</f>
        <v>3145.299145299145</v>
      </c>
      <c r="E53" s="1">
        <f>D53/VLOOKUP(A53,'[6]geoMap (3)'!$A:$B,2,0)*VLOOKUP(A53,'[6]geoMap (3)'!$A:$C,3,0)</f>
        <v>2573.4265734265728</v>
      </c>
      <c r="F53" s="1">
        <f>E53/VLOOKUP(A53,'[7]geoMap (4)'!$A:$B,2,0)*VLOOKUP(A53,'[7]geoMap (4)'!$A:$C,3,0)</f>
        <v>2021.9780219780214</v>
      </c>
      <c r="G53" s="1">
        <f>F53/VLOOKUP(A53,'[8]geoMap (5)'!$A:$B,2,0)*VLOOKUP(A53,'[8]geoMap (5)'!$A:$C,3,0)</f>
        <v>1588.6970172684453</v>
      </c>
      <c r="H53" s="1">
        <f>G53/VLOOKUP(A53,'[9]geoMap (6)'!$A:$B,2,0)*VLOOKUP(A53,'[9]geoMap (6)'!$A:$C,3,0)</f>
        <v>1198.4907323253185</v>
      </c>
      <c r="I53" s="1">
        <f>H53/VLOOKUP(A53,'[10]geoMap (7)'!$A:$B,2,0)*VLOOKUP(A53,'[10]geoMap (7)'!$A:$C,3,0)</f>
        <v>798.99382155021249</v>
      </c>
      <c r="J53" s="1">
        <f>I53/VLOOKUP(A53,'[11]geoMap (8)'!$A:$B,2,0)*VLOOKUP(A53,'[11]geoMap (8)'!$A:$C,3,0)</f>
        <v>767.66073050902764</v>
      </c>
      <c r="K53" s="1">
        <f>J53/VLOOKUP(A53,'[12]geoMap (9)'!$A:$B,2,0)*VLOOKUP(A53,'[12]geoMap (9)'!$A:$C,3,0)</f>
        <v>490.799483440198</v>
      </c>
      <c r="L53" s="1">
        <f>K53/VLOOKUP(A53,'[13]geoMap (10)'!$A:$B,2,0)*VLOOKUP(A53,'[13]geoMap (10)'!$A:$C,3,0)</f>
        <v>252.83609752979896</v>
      </c>
      <c r="M53" s="1">
        <f>L53/VLOOKUP(A53,'[14]geoMap (11)'!$A:$B,2,0)*VLOOKUP(A53,'[14]geoMap (11)'!$A:$C,3,0)</f>
        <v>490.799483440198</v>
      </c>
      <c r="N53" s="1">
        <f>M53/VLOOKUP(A53,'[15]geoMap (12)'!$A:$B,2,0)*VLOOKUP(A53,'[15]geoMap (12)'!$A:$C,3,0)</f>
        <v>276.0747094351114</v>
      </c>
      <c r="O53" s="1">
        <f>N53/VLOOKUP(A53,'[16]geoMap (13)'!$A:$B,2,0)*VLOOKUP(A53,'[16]geoMap (13)'!$A:$C,3,0)</f>
        <v>254.83819332471822</v>
      </c>
      <c r="P53" s="1">
        <f>O53/VLOOKUP(A53,'[17]geoMap (14)'!$A:$B,2,0)*VLOOKUP(A53,'[17]geoMap (14)'!$A:$C,3,0)</f>
        <v>244.84453868453321</v>
      </c>
      <c r="Q53" s="1">
        <f>P53/VLOOKUP(A53,'[18]geoMap (15)'!$A:$B,2,0)*VLOOKUP(A53,'[18]geoMap (15)'!$A:$C,3,0)</f>
        <v>235.24279206945349</v>
      </c>
      <c r="R53" s="1">
        <f>Q53/VLOOKUP(A53,'[19]geoMap (16)'!$A:$B,2,0)*VLOOKUP(A53,'[19]geoMap (16)'!$A:$C,3,0)</f>
        <v>115.86585281032784</v>
      </c>
      <c r="S53" s="1">
        <f>R53/VLOOKUP(A53,'[20]geoMap (17)'!$A:$B,2,0)*VLOOKUP(A53,'[20]geoMap (17)'!$A:$C,3,0)</f>
        <v>130.65723827547609</v>
      </c>
      <c r="T53" s="1">
        <f>S53/VLOOKUP(A53,'[21]geoMap (18)'!$A:$B,2,0)*VLOOKUP(A53,'[21]geoMap (18)'!$A:$C,3,0)</f>
        <v>73.494696529955291</v>
      </c>
      <c r="U53" s="1">
        <f>T53/VLOOKUP(A53,'[22]geoMap (19)'!$A:$B,2,0)*VLOOKUP(A53,'[22]geoMap (19)'!$A:$C,3,0)</f>
        <v>51.072585724206213</v>
      </c>
      <c r="V53" s="1">
        <f>U53/VLOOKUP(A53,'[23]geoMap (20)'!$A:$B,2,0)*VLOOKUP(A53,'[23]geoMap (20)'!$A:$C,3,0)</f>
        <v>20.860633605661693</v>
      </c>
      <c r="W53" s="1">
        <f>V53/VLOOKUP(A53,'[24]geoMap (21)'!$A:$B,2,0)*VLOOKUP(A53,'[24]geoMap (21)'!$A:$C,3,0)</f>
        <v>28.807541645913766</v>
      </c>
      <c r="X53" s="1">
        <f>W53/VLOOKUP(A53,'[25]geoMap (22)'!$A:$B,2,0)*VLOOKUP(A53,'[25]geoMap (22)'!$A:$C,3,0)</f>
        <v>25.546310516187674</v>
      </c>
      <c r="Y53" s="1">
        <f>X53/VLOOKUP(A53,'[26]geoMap (23)'!$A:$B,2,0)*VLOOKUP(A53,'[26]geoMap (23)'!$A:$C,3,0)</f>
        <v>43.497771959995234</v>
      </c>
      <c r="Z53" s="1">
        <f>Y53/VLOOKUP(A53,'[27]geoMap (24)'!$A:$B,2,0)*VLOOKUP(A53,'[27]geoMap (24)'!$A:$C,3,0)</f>
        <v>45.273191223668505</v>
      </c>
      <c r="AA53" s="1">
        <f>Z53/VLOOKUP(A53,'[28]geoMap (25)'!$A:$B,2,0)*VLOOKUP(A53,'[28]geoMap (25)'!$A:$C,3,0)</f>
        <v>30.182127482445676</v>
      </c>
      <c r="AB53" s="1">
        <f>AA53*VLOOKUP(A53,'[29]geoMap (26)'!$A:$B,2,0)*VLOOKUP(A53,'[29]geoMap (26)'!$A:$C,3,0)</f>
        <v>7.5183679558772178</v>
      </c>
      <c r="AC53" s="1">
        <f>AB53/VLOOKUP(A53,'[30]geoMap (27)'!$A:$B,2,0)*VLOOKUP(A53,'[30]geoMap (27)'!$A:$C,3,0)</f>
        <v>7.223529996823209</v>
      </c>
      <c r="AD53" s="1">
        <f>AC53/VLOOKUP(A53,'[31]geoMap (28)'!$A:$B,2,0)*VLOOKUP(A53,'[31]geoMap (28)'!$A:$C,3,0)</f>
        <v>6.1533774047012519</v>
      </c>
      <c r="AE53" s="1">
        <f>AD53/VLOOKUP(A53,'[32]geoMap (29)'!$A:$B,2,0)*VLOOKUP(A53,'[32]geoMap (29)'!$A:$C,3,0)</f>
        <v>9.2300661070518775</v>
      </c>
      <c r="AF53" s="1">
        <f>AE53/VLOOKUP(A53,'[33]geoMap (30)'!$A:$B,2,0)*VLOOKUP(A53,'[33]geoMap (30)'!$A:$C,3,0)</f>
        <v>4.7548825399964221</v>
      </c>
      <c r="AG53" s="1">
        <f>AF53/VLOOKUP(A53,'[34]geoMap (31)'!$A:$B,2,0)*VLOOKUP(A53,'[34]geoMap (31)'!$A:$C,3,0)</f>
        <v>2.6746214287479875</v>
      </c>
      <c r="AH53" s="1">
        <f>AG53/VLOOKUP(A53,'[35]geoMap (32)'!$A:$B,2,0)*VLOOKUP(A53,'[35]geoMap (32)'!$A:$C,3,0)</f>
        <v>3.6935248301757921</v>
      </c>
      <c r="AI53" s="1">
        <f>AH53/VLOOKUP(A53,'[36]geoMap (33)'!$A:$B,2,0)*VLOOKUP(A53,'[36]geoMap (33)'!$A:$C,3,0)</f>
        <v>4.7008497838600993</v>
      </c>
      <c r="AJ53" s="1">
        <f>AI53/VLOOKUP(A53,'[37]geoMap (34)'!$A:$B,2,0)*VLOOKUP(A53,'[37]geoMap (34)'!$A:$C,3,0)</f>
        <v>2.0146499073686139</v>
      </c>
      <c r="AK53" s="1">
        <f>AJ53/VLOOKUP(A53,'[38]geoMap (35)'!$A:$B,2,0)*VLOOKUP(A53,'[38]geoMap (35)'!$A:$C,3,0)</f>
        <v>4.2811310531583047</v>
      </c>
      <c r="AL53" s="1">
        <f>AK53/VLOOKUP(A53,'[39]geoMap (36)'!$A:$B,2,0)*VLOOKUP(A53,'[39]geoMap (36)'!$A:$C,3,0)</f>
        <v>19.502930353276721</v>
      </c>
      <c r="AM53" s="1">
        <f>AL53/VLOOKUP(A53,'[40]geoMap (37)'!$A:$B,2,0)*VLOOKUP(A53,'[40]geoMap (37)'!$A:$C,3,0)</f>
        <v>4.8757325883191802</v>
      </c>
      <c r="AN53" s="1">
        <f>AM53/VLOOKUP(A53,'[41]geoMap (38)'!$A:$B,2,0)*VLOOKUP(A53,'[41]geoMap (38)'!$A:$C,3,0)</f>
        <v>2.9883522315504654</v>
      </c>
      <c r="AO53" s="1">
        <f>AN53/VLOOKUP(A53,'[42]geoMap (39)'!$A:$B,2,0)*VLOOKUP(A53,'[42]geoMap (39)'!$A:$C,3,0)</f>
        <v>2.0766515507384589</v>
      </c>
      <c r="AP53" s="1" t="e">
        <f>AM53/VLOOKUP(A53,'[156]geoMap (125)'!$A:$B,2,0)*VLOOKUP(A53,'[156]geoMap (125)'!$A:$C,3,0)</f>
        <v>#REF!</v>
      </c>
      <c r="AQ53" s="1" t="e">
        <f>AF53/VLOOKUP(A53,'[99]geoMap (126)'!$A:$B,2,0)*VLOOKUP(A53,'[99]geoMap (126)'!$A:$C,3,0)</f>
        <v>#REF!</v>
      </c>
      <c r="AR53" s="1">
        <f>AA53/VLOOKUP(A53,'[100]geoMap (128)'!$A:$B,2,0)*VLOOKUP(A53,'[100]geoMap (128)'!$A:$C,3,0)</f>
        <v>7.0797582983514546</v>
      </c>
      <c r="AS53" s="1">
        <f>AR53/VLOOKUP(A53,'[46]geoMap (43)'!$A:$B,2,0)*VLOOKUP(A53,'[46]geoMap (43)'!$A:$C,3,0)</f>
        <v>5.1267215263924335</v>
      </c>
      <c r="AT53" s="1" t="e">
        <f>AS53/VLOOKUP(A53,'[47]geoMap (44)'!$A:$B,2,0)*VLOOKUP(A53,'[47]geoMap (44)'!$A:$C,3,0)</f>
        <v>#REF!</v>
      </c>
      <c r="AU53" s="1">
        <f>AN53/VLOOKUP(A53,'[85]geoMap (133)'!$A:$B,2,0)*VLOOKUP(A53,'[85]geoMap (133)'!$A:$C,3,0)</f>
        <v>2.6500482053372045</v>
      </c>
      <c r="AV53" s="1">
        <f>AU53/VLOOKUP(A53,'[49]geoMap (46)'!$A:$B,2,0)*VLOOKUP(A53,'[49]geoMap (46)'!$A:$C,3,0)</f>
        <v>2.6500482053372045</v>
      </c>
      <c r="AW53" s="1" t="e">
        <f>AV53/VLOOKUP(A53,'[50]geoMap (47)'!$A:$B,2,0)*VLOOKUP(A53,'[50]geoMap (47)'!$A:$C,3,0)</f>
        <v>#REF!</v>
      </c>
      <c r="AX53" s="1" t="e">
        <f>AN53/VLOOKUP(A53,'[70]geoMap (138)'!$A:$B,2,0)*VLOOKUP(A53,'[70]geoMap (138)'!$A:$C,3,0)</f>
        <v>#REF!</v>
      </c>
      <c r="AY53" s="1">
        <f>AN53/VLOOKUP(A53,'[88]geoMap (140)'!$A:$B,2,0)*VLOOKUP(A53,'[88]geoMap (140)'!$A:$C,3,0)</f>
        <v>1.3425930315661514</v>
      </c>
      <c r="AZ53" s="1" t="e">
        <f>AY53/VLOOKUP(A53,'[53]geoMap (50)'!$A:$B,2,0)*VLOOKUP(A53,'[53]geoMap (50)'!$A:$C,3,0)</f>
        <v>#REF!</v>
      </c>
      <c r="BA53" s="1" t="e">
        <f>AN53/VLOOKUP(A53,'[71]geoMap (143)'!$A:$B,2,0)*VLOOKUP(A53,'[71]geoMap (143)'!$A:$C,3,0)</f>
        <v>#REF!</v>
      </c>
      <c r="BB53" s="1" t="e">
        <f>AN53/VLOOKUP(A53,'[90]geoMap (144)'!$A:$B,2,0)*VLOOKUP(A53,'[90]geoMap (144)'!$A:$C,3,0)</f>
        <v>#REF!</v>
      </c>
      <c r="BC53" s="1" t="e">
        <f>AN53/VLOOKUP(A53,'[72]geoMap (146)'!$A:$B,2,0)*VLOOKUP(A53,'[72]geoMap (146)'!$A:$C,3,0)</f>
        <v>#REF!</v>
      </c>
      <c r="BD53" s="1" t="e">
        <f>AN53/VLOOKUP(A53,'[73]geoMap (147)'!$A:$B,2,0)*VLOOKUP(A53,'[73]geoMap (147)'!$A:$C,3,0)</f>
        <v>#REF!</v>
      </c>
      <c r="BE53" s="1" t="e">
        <f>AN53/VLOOKUP(A53,'[91]geoMap (148)'!$A:$B,2,0)*VLOOKUP(A53,'[91]geoMap (148)'!$A:$C,3,0)</f>
        <v>#REF!</v>
      </c>
      <c r="BF53" s="1" t="e">
        <f>AN53/VLOOKUP(A53,'[75]geoMap (150)'!$A:$B,2,0)*VLOOKUP(A53,'[75]geoMap (150)'!$A:$C,3,0)</f>
        <v>#REF!</v>
      </c>
      <c r="BG53" s="1" t="e">
        <f>AN53/VLOOKUP(A53,'[93]geoMap (152)'!$A:$B,2,0)*VLOOKUP(A53,'[93]geoMap (152)'!$A:$C,3,0)</f>
        <v>#REF!</v>
      </c>
      <c r="BH53" s="1" t="e">
        <f>AN53/VLOOKUP(A53,'[94]geoMap (154)'!$A:$B,2,0)*VLOOKUP(A53,'[94]geoMap (154)'!$A:$C,3,0)</f>
        <v>#REF!</v>
      </c>
      <c r="BI53" s="1" t="e">
        <f>AN53/VLOOKUP(A53,'[76]geoMap (156)'!$A:$B,2,0)*VLOOKUP(A53,'[76]geoMap (156)'!$A:$C,3,0)</f>
        <v>#REF!</v>
      </c>
      <c r="BJ53" s="1" t="e">
        <f>AN53/VLOOKUP(A53,'[77]geoMap (158)'!$A:$B,2,0)*VLOOKUP(A53,'[77]geoMap (158)'!$A:$C,3,0)</f>
        <v>#REF!</v>
      </c>
      <c r="BK53" s="1" t="e">
        <f>AN53/VLOOKUP(A53,'[78]geoMap (160)'!$A:$B,2,0)*VLOOKUP(A53,'[78]geoMap (160)'!$A:$C,3,0)</f>
        <v>#REF!</v>
      </c>
      <c r="BL53" s="1">
        <f>AN53/VLOOKUP(A53,'[79]geoMap (162)'!$A:$B,2,0)*VLOOKUP(A53,'[79]geoMap (162)'!$A:$C,3,0)</f>
        <v>1.4062834030825717</v>
      </c>
      <c r="BM53" s="1" t="e">
        <f>AN53/VLOOKUP(A53,'[80]geoMap (164)'!$A:$B,2,0)*VLOOKUP(A53,'[80]geoMap (164)'!$A:$C,3,0)</f>
        <v>#REF!</v>
      </c>
      <c r="BN53" s="1" t="e">
        <f>AN53/VLOOKUP(A53,'[81]geoMap (166)'!$A:$B,2,0)*VLOOKUP(A53,'[81]geoMap (166)'!$A:$C,3,0)</f>
        <v>#REF!</v>
      </c>
      <c r="BO53" s="1" t="e">
        <f>AN53/VLOOKUP(A53,'[82]geoMap (168)'!$A:$B,2,0)*VLOOKUP(A53,'[82]geoMap (168)'!$A:$C,3,0)</f>
        <v>#REF!</v>
      </c>
      <c r="BP53" s="1" t="e">
        <f>AN53/VLOOKUP(A53,'[83]geoMap (170)'!$A:$B,2,0)*VLOOKUP(A53,'[83]geoMap (170)'!$A:$C,3,0)</f>
        <v>#REF!</v>
      </c>
    </row>
    <row r="54" spans="1:68" x14ac:dyDescent="0.2">
      <c r="A54" s="1" t="s">
        <v>147</v>
      </c>
      <c r="B54" s="1">
        <f>VLOOKUP(A54,[3]geoMap!$A:$B,2,0)*Notes!$C$6</f>
        <v>4000</v>
      </c>
      <c r="C54" s="1">
        <f>B54/VLOOKUP(A54,'[4]geoMap (1)'!$A:$B,2,0)*VLOOKUP(A54,'[4]geoMap (1)'!$A:$C,3,0)</f>
        <v>3407.4074074074074</v>
      </c>
      <c r="D54" s="1">
        <f>C54/VLOOKUP(A54,'[5]geoMap (2)'!$A:$B,2,0)*VLOOKUP(A54,'[5]geoMap (2)'!$A:$C,3,0)</f>
        <v>3691.3580246913584</v>
      </c>
      <c r="E54" s="1">
        <f>D54/VLOOKUP(A54,'[6]geoMap (3)'!$A:$B,2,0)*VLOOKUP(A54,'[6]geoMap (3)'!$A:$C,3,0)</f>
        <v>4893.1955211024979</v>
      </c>
      <c r="F54" s="1">
        <f>E54/VLOOKUP(A54,'[7]geoMap (4)'!$A:$B,2,0)*VLOOKUP(A54,'[7]geoMap (4)'!$A:$C,3,0)</f>
        <v>3543.3484807983605</v>
      </c>
      <c r="G54" s="1">
        <f>F54/VLOOKUP(A54,'[8]geoMap (5)'!$A:$B,2,0)*VLOOKUP(A54,'[8]geoMap (5)'!$A:$C,3,0)</f>
        <v>2265.419520510427</v>
      </c>
      <c r="H54" s="1">
        <f>G54/VLOOKUP(A54,'[9]geoMap (6)'!$A:$B,2,0)*VLOOKUP(A54,'[9]geoMap (6)'!$A:$C,3,0)</f>
        <v>1115.8036444305087</v>
      </c>
      <c r="I54" s="1">
        <f>H54/VLOOKUP(A54,'[10]geoMap (7)'!$A:$B,2,0)*VLOOKUP(A54,'[10]geoMap (7)'!$A:$C,3,0)</f>
        <v>950.49940081117416</v>
      </c>
      <c r="J54" s="1">
        <f>I54/VLOOKUP(A54,'[11]geoMap (8)'!$A:$B,2,0)*VLOOKUP(A54,'[11]geoMap (8)'!$A:$C,3,0)</f>
        <v>1209.7265101233127</v>
      </c>
      <c r="K54" s="1">
        <f>J54/VLOOKUP(A54,'[12]geoMap (9)'!$A:$B,2,0)*VLOOKUP(A54,'[12]geoMap (9)'!$A:$C,3,0)</f>
        <v>773.43170319359342</v>
      </c>
      <c r="L54" s="1">
        <f>K54/VLOOKUP(A54,'[13]geoMap (10)'!$A:$B,2,0)*VLOOKUP(A54,'[13]geoMap (10)'!$A:$C,3,0)</f>
        <v>435.0553330463963</v>
      </c>
      <c r="M54" s="1">
        <f>L54/VLOOKUP(A54,'[14]geoMap (11)'!$A:$B,2,0)*VLOOKUP(A54,'[14]geoMap (11)'!$A:$C,3,0)</f>
        <v>490.59431173317034</v>
      </c>
      <c r="N54" s="1">
        <f>M54/VLOOKUP(A54,'[15]geoMap (12)'!$A:$B,2,0)*VLOOKUP(A54,'[15]geoMap (12)'!$A:$C,3,0)</f>
        <v>275.95930034990829</v>
      </c>
      <c r="O54" s="1">
        <f>N54/VLOOKUP(A54,'[16]geoMap (13)'!$A:$B,2,0)*VLOOKUP(A54,'[16]geoMap (13)'!$A:$C,3,0)</f>
        <v>397.11216391816072</v>
      </c>
      <c r="P54" s="1">
        <f>O54/VLOOKUP(A54,'[17]geoMap (14)'!$A:$B,2,0)*VLOOKUP(A54,'[17]geoMap (14)'!$A:$C,3,0)</f>
        <v>287.56398076832329</v>
      </c>
      <c r="Q54" s="1">
        <f>P54/VLOOKUP(A54,'[18]geoMap (15)'!$A:$B,2,0)*VLOOKUP(A54,'[18]geoMap (15)'!$A:$C,3,0)</f>
        <v>191.70932051221553</v>
      </c>
      <c r="R54" s="1">
        <f>Q54/VLOOKUP(A54,'[19]geoMap (16)'!$A:$B,2,0)*VLOOKUP(A54,'[19]geoMap (16)'!$A:$C,3,0)</f>
        <v>133.221731203404</v>
      </c>
      <c r="S54" s="1">
        <f>R54/VLOOKUP(A54,'[20]geoMap (17)'!$A:$B,2,0)*VLOOKUP(A54,'[20]geoMap (17)'!$A:$C,3,0)</f>
        <v>156.3907279344308</v>
      </c>
      <c r="T54" s="1">
        <f>S54/VLOOKUP(A54,'[21]geoMap (18)'!$A:$B,2,0)*VLOOKUP(A54,'[21]geoMap (18)'!$A:$C,3,0)</f>
        <v>52.130242644810266</v>
      </c>
      <c r="U54" s="1">
        <f>T54/VLOOKUP(A54,'[22]geoMap (19)'!$A:$B,2,0)*VLOOKUP(A54,'[22]geoMap (19)'!$A:$C,3,0)</f>
        <v>37.749486053138469</v>
      </c>
      <c r="V54" s="1">
        <f>U54/VLOOKUP(A54,'[23]geoMap (20)'!$A:$B,2,0)*VLOOKUP(A54,'[23]geoMap (20)'!$A:$C,3,0)</f>
        <v>119.54003916827182</v>
      </c>
      <c r="W54" s="1">
        <f>V54/VLOOKUP(A54,'[24]geoMap (21)'!$A:$B,2,0)*VLOOKUP(A54,'[24]geoMap (21)'!$A:$C,3,0)</f>
        <v>28.040256101199564</v>
      </c>
      <c r="X54" s="1">
        <f>W54/VLOOKUP(A54,'[25]geoMap (22)'!$A:$B,2,0)*VLOOKUP(A54,'[25]geoMap (22)'!$A:$C,3,0)</f>
        <v>38.722258425466059</v>
      </c>
      <c r="Y54" s="1">
        <f>X54/VLOOKUP(A54,'[26]geoMap (23)'!$A:$B,2,0)*VLOOKUP(A54,'[26]geoMap (23)'!$A:$C,3,0)</f>
        <v>32.985627547619231</v>
      </c>
      <c r="Z54" s="1">
        <f>Y54/VLOOKUP(A54,'[27]geoMap (24)'!$A:$B,2,0)*VLOOKUP(A54,'[27]geoMap (24)'!$A:$C,3,0)</f>
        <v>56.164717175675989</v>
      </c>
      <c r="AA54" s="1">
        <f>Z54/VLOOKUP(A54,'[28]geoMap (25)'!$A:$B,2,0)*VLOOKUP(A54,'[28]geoMap (25)'!$A:$C,3,0)</f>
        <v>19.733549277940213</v>
      </c>
      <c r="AB54" s="1">
        <f>AA54*VLOOKUP(A54,'[29]geoMap (26)'!$A:$B,2,0)*VLOOKUP(A54,'[29]geoMap (26)'!$A:$C,3,0)</f>
        <v>4.8623465420844694</v>
      </c>
      <c r="AC54" s="1">
        <f>AB54/VLOOKUP(A54,'[30]geoMap (27)'!$A:$B,2,0)*VLOOKUP(A54,'[30]geoMap (27)'!$A:$C,3,0)</f>
        <v>9.4386726993404402</v>
      </c>
      <c r="AD54" s="1">
        <f>AC54/VLOOKUP(A54,'[31]geoMap (28)'!$A:$B,2,0)*VLOOKUP(A54,'[31]geoMap (28)'!$A:$C,3,0)</f>
        <v>6.2924484662269613</v>
      </c>
      <c r="AE54" s="1">
        <f>AD54/VLOOKUP(A54,'[32]geoMap (29)'!$A:$B,2,0)*VLOOKUP(A54,'[32]geoMap (29)'!$A:$C,3,0)</f>
        <v>2.961152219400923</v>
      </c>
      <c r="AF54" s="1">
        <f>AE54/VLOOKUP(A54,'[33]geoMap (30)'!$A:$B,2,0)*VLOOKUP(A54,'[33]geoMap (30)'!$A:$C,3,0)</f>
        <v>5.0419618870880578</v>
      </c>
      <c r="AG54" s="1">
        <f>AF54/VLOOKUP(A54,'[34]geoMap (31)'!$A:$B,2,0)*VLOOKUP(A54,'[34]geoMap (31)'!$A:$C,3,0)</f>
        <v>6.6835308735818435</v>
      </c>
      <c r="AH54" s="1">
        <f>AG54/VLOOKUP(A54,'[35]geoMap (32)'!$A:$B,2,0)*VLOOKUP(A54,'[35]geoMap (32)'!$A:$C,3,0)</f>
        <v>6.1694131140755468</v>
      </c>
      <c r="AI54" s="1" t="e">
        <f>AH54/VLOOKUP(A54,'[36]geoMap (33)'!$A:$B,2,0)*VLOOKUP(A54,'[36]geoMap (33)'!$A:$C,3,0)</f>
        <v>#REF!</v>
      </c>
      <c r="AJ54" s="1">
        <f>Y54/VLOOKUP(A54,'[112]geoMap (116)'!$A:$B,2,0)*VLOOKUP(A54,'[112]geoMap (116)'!$A:$C,3,0)</f>
        <v>16.992596009379604</v>
      </c>
      <c r="AK54" s="1">
        <f>AJ54/VLOOKUP(A54,'[38]geoMap (35)'!$A:$B,2,0)*VLOOKUP(A54,'[38]geoMap (35)'!$A:$C,3,0)</f>
        <v>34.500119170558591</v>
      </c>
      <c r="AL54" s="1" t="e">
        <f>AK54/VLOOKUP(A54,'[39]geoMap (36)'!$A:$B,2,0)*VLOOKUP(A54,'[39]geoMap (36)'!$A:$C,3,0)</f>
        <v>#REF!</v>
      </c>
      <c r="AM54" s="1">
        <f>AA54/VLOOKUP(A54,'[125]geoMap (120)'!$A:$B,2,0)*VLOOKUP(A54,'[125]geoMap (120)'!$A:$C,3,0)</f>
        <v>9.2863761307953947</v>
      </c>
      <c r="AN54" s="1">
        <f>AM54/VLOOKUP(A54,'[41]geoMap (38)'!$A:$B,2,0)*VLOOKUP(A54,'[41]geoMap (38)'!$A:$C,3,0)</f>
        <v>6.4532444298747658</v>
      </c>
      <c r="AO54" s="1">
        <f>AN54/VLOOKUP(A54,'[42]geoMap (39)'!$A:$B,2,0)*VLOOKUP(A54,'[42]geoMap (39)'!$A:$C,3,0)</f>
        <v>15.057570336374452</v>
      </c>
      <c r="AP54" s="1" t="e">
        <f>AM54/VLOOKUP(A54,'[156]geoMap (125)'!$A:$B,2,0)*VLOOKUP(A54,'[156]geoMap (125)'!$A:$C,3,0)</f>
        <v>#REF!</v>
      </c>
      <c r="AQ54" s="1" t="e">
        <f>AF54/VLOOKUP(A54,'[99]geoMap (126)'!$A:$B,2,0)*VLOOKUP(A54,'[99]geoMap (126)'!$A:$C,3,0)</f>
        <v>#REF!</v>
      </c>
      <c r="AR54" s="1" t="e">
        <f>AA54/VLOOKUP(A54,'[100]geoMap (128)'!$A:$B,2,0)*VLOOKUP(A54,'[100]geoMap (128)'!$A:$C,3,0)</f>
        <v>#REF!</v>
      </c>
      <c r="AS54" s="1">
        <f>AA54/VLOOKUP(A54,'[101]geoMap (129)'!$A:$B,2,0)*VLOOKUP(A54,'[101]geoMap (129)'!$A:$C,3,0)</f>
        <v>4.9333873194850533</v>
      </c>
      <c r="AT54" s="1" t="e">
        <f>AS54/VLOOKUP(A54,'[47]geoMap (44)'!$A:$B,2,0)*VLOOKUP(A54,'[47]geoMap (44)'!$A:$C,3,0)</f>
        <v>#REF!</v>
      </c>
      <c r="AU54" s="1" t="e">
        <f>AO54/VLOOKUP(A54,'[134]geoMap (134)'!$A:$B,2,0)*VLOOKUP(A54,'[134]geoMap (134)'!$A:$C,3,0)</f>
        <v>#REF!</v>
      </c>
      <c r="AV54" s="1" t="e">
        <f>AO54/VLOOKUP(A54,'[127]geoMap (136)'!$A:$B,2,0)*VLOOKUP(A54,'[127]geoMap (136)'!$A:$C,3,0)</f>
        <v>#REF!</v>
      </c>
      <c r="AW54" s="1" t="e">
        <f>AN54/VLOOKUP(A54,'[87]geoMap (137)'!$A:$B,2,0)*VLOOKUP(A54,'[87]geoMap (137)'!$A:$C,3,0)</f>
        <v>#REF!</v>
      </c>
      <c r="AX54" s="1" t="e">
        <f>AO54/VLOOKUP(A54,'[115]geoMap (139)'!$A:$B,2,0)*VLOOKUP(A54,'[115]geoMap (139)'!$A:$C,3,0)</f>
        <v>#REF!</v>
      </c>
      <c r="AY54" s="1">
        <f>AO54/100*0</f>
        <v>0</v>
      </c>
      <c r="AZ54" s="1" t="e">
        <f>AO54/VLOOKUP(A54,'[135]geoMap (142)'!$A:$B,2,0)*VLOOKUP(A54,'[135]geoMap (142)'!$A:$C,3,0)</f>
        <v>#REF!</v>
      </c>
      <c r="BA54" s="1" t="e">
        <f>AN54/VLOOKUP(A54,'[71]geoMap (143)'!$A:$B,2,0)*VLOOKUP(A54,'[71]geoMap (143)'!$A:$C,3,0)</f>
        <v>#REF!</v>
      </c>
      <c r="BB54" s="1">
        <f>AO54/VLOOKUP(A54,'[116]geoMap (145)'!$A:$B,2,0)*VLOOKUP(A54,'[116]geoMap (145)'!$A:$C,3,0)</f>
        <v>2.8681086354998957</v>
      </c>
      <c r="BC54" s="1" t="e">
        <f>BB54/VLOOKUP(A54,'[56]geoMap (53)'!$A:$B,2,0)*VLOOKUP(A54,'[56]geoMap (53)'!$A:$C,3,0)</f>
        <v>#REF!</v>
      </c>
      <c r="BD54" s="1" t="e">
        <f>AN54/VLOOKUP(A54,'[73]geoMap (147)'!$A:$B,2,0)*VLOOKUP(A54,'[73]geoMap (147)'!$A:$C,3,0)</f>
        <v>#REF!</v>
      </c>
      <c r="BE54" s="1" t="e">
        <f>AO54/VLOOKUP(A54,'[74]geoMap (149)'!$A:$B,2,0)*VLOOKUP(A54,'[74]geoMap (149)'!$A:$C,3,0)</f>
        <v>#REF!</v>
      </c>
      <c r="BF54" s="1" t="e">
        <f>AO54/VLOOKUP(A54,'[92]geoMap (151)'!$A:$B,2,0)*VLOOKUP(A54,'[92]geoMap (151)'!$A:$C,3,0)</f>
        <v>#REF!</v>
      </c>
      <c r="BG54" s="1" t="e">
        <f>AO54/VLOOKUP(A54,'[102]geoMap (153)'!$A:$B,2,0)*VLOOKUP(A54,'[102]geoMap (153)'!$A:$C,3,0)</f>
        <v>#REF!</v>
      </c>
      <c r="BH54" s="1" t="e">
        <f>AS54/VLOOKUP(A54,'[103]geoMap (155)'!$A:$B,2,0)*VLOOKUP(A54,'[103]geoMap (155)'!$A:$C,3,0)</f>
        <v>#REF!</v>
      </c>
      <c r="BI54" s="1" t="e">
        <f>AS54/VLOOKUP(A54,'[104]geoMap (157)'!$A:$B,2,0)*VLOOKUP(A54,'[104]geoMap (157)'!$A:$C,3,0)</f>
        <v>#REF!</v>
      </c>
      <c r="BJ54" s="1" t="e">
        <f>AS54/VLOOKUP(A54,'[105]geoMap (159)'!$A:$B,2,0)*VLOOKUP(A54,'[105]geoMap (159)'!$A:$C,3,0)</f>
        <v>#REF!</v>
      </c>
      <c r="BK54" s="1" t="e">
        <f>AS54/VLOOKUP(A54,'[106]geoMap (161)'!$A:$B,2,0)*VLOOKUP(A54,'[106]geoMap (161)'!$A:$C,3,0)</f>
        <v>#REF!</v>
      </c>
      <c r="BL54" s="1" t="e">
        <f>AS54/VLOOKUP(A54,'[144]geoMap (163)'!$A:$B,2,0)*VLOOKUP(A54,'[144]geoMap (163)'!$A:$C,3,0)</f>
        <v>#REF!</v>
      </c>
      <c r="BM54" s="1" t="e">
        <f>AS54/VLOOKUP(A54,'[145]geoMap (165)'!$A:$B,2,0)*VLOOKUP(A53,'[145]geoMap (165)'!$A:$C,3,0)</f>
        <v>#REF!</v>
      </c>
      <c r="BN54" s="1" t="e">
        <f>AS54/VLOOKUP(A54,'[146]geoMap (167)'!$A:$B,2,0)*VLOOKUP(A54,'[146]geoMap (167)'!$A:$C,3,0)</f>
        <v>#REF!</v>
      </c>
      <c r="BO54" s="1" t="e">
        <f>AS54/VLOOKUP(A54,'[107]geoMap (169)'!$A:$B,2,0)*VLOOKUP(A54,'[107]geoMap (169)'!$A:$C,3,0)</f>
        <v>#REF!</v>
      </c>
      <c r="BP54" s="1" t="e">
        <f>AS54/VLOOKUP(A54,'[108]geoMap (171)'!$A:$B,2,0)*VLOOKUP(A54,'[108]geoMap (171)'!$A:$C,3,0)</f>
        <v>#REF!</v>
      </c>
    </row>
    <row r="55" spans="1:68" x14ac:dyDescent="0.2">
      <c r="A55" s="1" t="s">
        <v>150</v>
      </c>
      <c r="B55" s="1">
        <f>VLOOKUP(A55,[3]geoMap!$A:$B,2,0)*Notes!$C$6</f>
        <v>4000</v>
      </c>
      <c r="C55" s="1">
        <f>B55/VLOOKUP(A55,'[4]geoMap (1)'!$A:$B,2,0)*VLOOKUP(A55,'[4]geoMap (1)'!$A:$C,3,0)</f>
        <v>2779.6610169491528</v>
      </c>
      <c r="D55" s="1">
        <f>C55/VLOOKUP(A55,'[5]geoMap (2)'!$A:$B,2,0)*VLOOKUP(A55,'[5]geoMap (2)'!$A:$C,3,0)</f>
        <v>3537.7503852080126</v>
      </c>
      <c r="E55" s="1">
        <f>D55/VLOOKUP(A55,'[6]geoMap (3)'!$A:$B,2,0)*VLOOKUP(A55,'[6]geoMap (3)'!$A:$C,3,0)</f>
        <v>3989.3780939579719</v>
      </c>
      <c r="F55" s="1">
        <f>E55/VLOOKUP(A55,'[7]geoMap (4)'!$A:$B,2,0)*VLOOKUP(A55,'[7]geoMap (4)'!$A:$C,3,0)</f>
        <v>3832.9318941949141</v>
      </c>
      <c r="G55" s="1">
        <f>F55/VLOOKUP(A55,'[8]geoMap (5)'!$A:$B,2,0)*VLOOKUP(A55,'[8]geoMap (5)'!$A:$C,3,0)</f>
        <v>2156.0241904846389</v>
      </c>
      <c r="H55" s="1">
        <f>G55/VLOOKUP(A55,'[9]geoMap (6)'!$A:$B,2,0)*VLOOKUP(A55,'[9]geoMap (6)'!$A:$C,3,0)</f>
        <v>1764.0197922147042</v>
      </c>
      <c r="I55" s="1">
        <f>H55/VLOOKUP(A55,'[10]geoMap (7)'!$A:$B,2,0)*VLOOKUP(A55,'[10]geoMap (7)'!$A:$C,3,0)</f>
        <v>1127.8159327274341</v>
      </c>
      <c r="J55" s="1">
        <f>I55/VLOOKUP(A55,'[11]geoMap (8)'!$A:$B,2,0)*VLOOKUP(A55,'[11]geoMap (8)'!$A:$C,3,0)</f>
        <v>1041.06086097917</v>
      </c>
      <c r="K55" s="1">
        <f>J55/VLOOKUP(A55,'[12]geoMap (9)'!$A:$B,2,0)*VLOOKUP(A55,'[12]geoMap (9)'!$A:$C,3,0)</f>
        <v>886.82962231558929</v>
      </c>
      <c r="L55" s="1">
        <f>K55/VLOOKUP(A55,'[13]geoMap (10)'!$A:$B,2,0)*VLOOKUP(A55,'[13]geoMap (10)'!$A:$C,3,0)</f>
        <v>566.98943066078664</v>
      </c>
      <c r="M55" s="1">
        <f>L55/VLOOKUP(A55,'[14]geoMap (11)'!$A:$B,2,0)*VLOOKUP(A55,'[14]geoMap (11)'!$A:$C,3,0)</f>
        <v>566.98943066078664</v>
      </c>
      <c r="N55" s="1">
        <f>M55/VLOOKUP(A55,'[15]geoMap (12)'!$A:$B,2,0)*VLOOKUP(A55,'[15]geoMap (12)'!$A:$C,3,0)</f>
        <v>254.73438189107807</v>
      </c>
      <c r="O55" s="1">
        <f>N55/VLOOKUP(A55,'[16]geoMap (13)'!$A:$B,2,0)*VLOOKUP(A55,'[16]geoMap (13)'!$A:$C,3,0)</f>
        <v>324.20739513409939</v>
      </c>
      <c r="P55" s="1">
        <f>O55/VLOOKUP(A55,'[17]geoMap (14)'!$A:$B,2,0)*VLOOKUP(A55,'[17]geoMap (14)'!$A:$C,3,0)</f>
        <v>311.49337963864451</v>
      </c>
      <c r="Q55" s="1">
        <f>P55/VLOOKUP(A55,'[18]geoMap (15)'!$A:$B,2,0)*VLOOKUP(A55,'[18]geoMap (15)'!$A:$C,3,0)</f>
        <v>254.85821970434549</v>
      </c>
      <c r="R55" s="1">
        <f>Q55/VLOOKUP(A55,'[19]geoMap (16)'!$A:$B,2,0)*VLOOKUP(A55,'[19]geoMap (16)'!$A:$C,3,0)</f>
        <v>156.2034249800827</v>
      </c>
      <c r="S55" s="1">
        <f>R55/VLOOKUP(A55,'[20]geoMap (17)'!$A:$B,2,0)*VLOOKUP(A55,'[20]geoMap (17)'!$A:$C,3,0)</f>
        <v>150.07780047105985</v>
      </c>
      <c r="T55" s="1">
        <f>S55/VLOOKUP(A55,'[21]geoMap (18)'!$A:$B,2,0)*VLOOKUP(A55,'[21]geoMap (18)'!$A:$C,3,0)</f>
        <v>42.329636030298929</v>
      </c>
      <c r="U55" s="1">
        <f>T55/VLOOKUP(A55,'[22]geoMap (19)'!$A:$B,2,0)*VLOOKUP(A55,'[22]geoMap (19)'!$A:$C,3,0)</f>
        <v>69.064142996803511</v>
      </c>
      <c r="V55" s="1">
        <f>U55/VLOOKUP(A55,'[23]geoMap (20)'!$A:$B,2,0)*VLOOKUP(A55,'[23]geoMap (20)'!$A:$C,3,0)</f>
        <v>91.550143042274414</v>
      </c>
      <c r="W55" s="1">
        <f>V55/VLOOKUP(A55,'[24]geoMap (21)'!$A:$B,2,0)*VLOOKUP(A55,'[24]geoMap (21)'!$A:$C,3,0)</f>
        <v>25.821835217051756</v>
      </c>
      <c r="X55" s="1">
        <f>W55/VLOOKUP(A55,'[25]geoMap (22)'!$A:$B,2,0)*VLOOKUP(A55,'[25]geoMap (22)'!$A:$C,3,0)</f>
        <v>37.158250678196431</v>
      </c>
      <c r="Y55" s="1">
        <f>X55/VLOOKUP(A55,'[26]geoMap (23)'!$A:$B,2,0)*VLOOKUP(A55,'[26]geoMap (23)'!$A:$C,3,0)</f>
        <v>63.269453857469607</v>
      </c>
      <c r="Z55" s="1">
        <f>Y55/VLOOKUP(A55,'[27]geoMap (24)'!$A:$B,2,0)*VLOOKUP(A55,'[27]geoMap (24)'!$A:$C,3,0)</f>
        <v>31.162566825320852</v>
      </c>
      <c r="AA55" s="1">
        <f>Z55/VLOOKUP(A55,'[28]geoMap (25)'!$A:$B,2,0)*VLOOKUP(A55,'[28]geoMap (25)'!$A:$C,3,0)</f>
        <v>17.528943839242977</v>
      </c>
      <c r="AB55" s="1">
        <f>AA55*VLOOKUP(A55,'[29]geoMap (26)'!$A:$B,2,0)*VLOOKUP(A55,'[29]geoMap (26)'!$A:$C,3,0)</f>
        <v>4.3804830654268203</v>
      </c>
      <c r="AC55" s="1">
        <f>AB55/VLOOKUP(A55,'[30]geoMap (27)'!$A:$B,2,0)*VLOOKUP(A55,'[30]geoMap (27)'!$A:$C,3,0)</f>
        <v>7.4586603546456667</v>
      </c>
      <c r="AD55" s="1">
        <f>AC55/VLOOKUP(A55,'[31]geoMap (28)'!$A:$B,2,0)*VLOOKUP(A55,'[31]geoMap (28)'!$A:$C,3,0)</f>
        <v>4.1954964494881875</v>
      </c>
      <c r="AE55" s="1">
        <f>AD55/VLOOKUP(A55,'[32]geoMap (29)'!$A:$B,2,0)*VLOOKUP(A55,'[32]geoMap (29)'!$A:$C,3,0)</f>
        <v>4.3667412025285213</v>
      </c>
      <c r="AF55" s="1">
        <f>AE55/VLOOKUP(A55,'[33]geoMap (30)'!$A:$B,2,0)*VLOOKUP(A55,'[33]geoMap (30)'!$A:$C,3,0)</f>
        <v>4.030838033103251</v>
      </c>
      <c r="AG55" s="1">
        <f>AF55/VLOOKUP(A55,'[34]geoMap (31)'!$A:$B,2,0)*VLOOKUP(A55,'[34]geoMap (31)'!$A:$C,3,0)</f>
        <v>7.1659342810724471</v>
      </c>
      <c r="AH55" s="1">
        <f>AG55/VLOOKUP(A55,'[35]geoMap (32)'!$A:$B,2,0)*VLOOKUP(A55,'[35]geoMap (32)'!$A:$C,3,0)</f>
        <v>4.3920242367863391</v>
      </c>
      <c r="AI55" s="1">
        <f>AH55/VLOOKUP(A55,'[36]geoMap (33)'!$A:$B,2,0)*VLOOKUP(A55,'[36]geoMap (33)'!$A:$C,3,0)</f>
        <v>1.7939253924901948</v>
      </c>
      <c r="AJ55" s="1">
        <f>AI55/VLOOKUP(A55,'[37]geoMap (34)'!$A:$B,2,0)*VLOOKUP(A55,'[37]geoMap (34)'!$A:$C,3,0)</f>
        <v>5.6807637428856168</v>
      </c>
      <c r="AK55" s="1">
        <f>AJ55/VLOOKUP(A55,'[38]geoMap (35)'!$A:$B,2,0)*VLOOKUP(A55,'[38]geoMap (35)'!$A:$C,3,0)</f>
        <v>4.2854884376154656</v>
      </c>
      <c r="AL55" s="1">
        <f>AK55/VLOOKUP(A55,'[39]geoMap (36)'!$A:$B,2,0)*VLOOKUP(A55,'[39]geoMap (36)'!$A:$C,3,0)</f>
        <v>0.87775064384895085</v>
      </c>
      <c r="AM55" s="1">
        <f>AL55/VLOOKUP(A55,'[40]geoMap (37)'!$A:$B,2,0)*VLOOKUP(A55,'[40]geoMap (37)'!$A:$C,3,0)</f>
        <v>1.0304029297357249</v>
      </c>
      <c r="AN55" s="1">
        <f>AM55/VLOOKUP(A55,'[41]geoMap (38)'!$A:$B,2,0)*VLOOKUP(A55,'[41]geoMap (38)'!$A:$C,3,0)</f>
        <v>0.84305694251104757</v>
      </c>
      <c r="AO55" s="1">
        <f>AN55/VLOOKUP(A55,'[42]geoMap (39)'!$A:$B,2,0)*VLOOKUP(A55,'[42]geoMap (39)'!$A:$C,3,0)</f>
        <v>3.5940848601786768</v>
      </c>
      <c r="AP55" s="1">
        <f>AO55/VLOOKUP(A55,'[43]geoMap (40)'!$A:$B,2,0)*VLOOKUP(A55,'[43]geoMap (40)'!$A:$C,3,0)</f>
        <v>1.0735578153780465</v>
      </c>
      <c r="AQ55" s="1">
        <f>AP55/VLOOKUP(A55,'[44]geoMap (41)'!$A:$B,2,0)*VLOOKUP(A55,'[44]geoMap (41)'!$A:$C,3,0)</f>
        <v>2.7605772395435477</v>
      </c>
      <c r="AR55" s="1">
        <f>AQ55/VLOOKUP(A55,'[45]geoMap (42)'!$A:$B,2,0)*VLOOKUP(A55,'[45]geoMap (42)'!$A:$C,3,0)</f>
        <v>8.7418279252212354</v>
      </c>
      <c r="AS55" s="1">
        <f>AR55/VLOOKUP(A55,'[46]geoMap (43)'!$A:$B,2,0)*VLOOKUP(A55,'[46]geoMap (43)'!$A:$C,3,0)</f>
        <v>1.4230882668964804</v>
      </c>
      <c r="AT55" s="1">
        <f>AS55/VLOOKUP(A55,'[47]geoMap (44)'!$A:$B,2,0)*VLOOKUP(A55,'[47]geoMap (44)'!$A:$C,3,0)</f>
        <v>0.58126140478870325</v>
      </c>
      <c r="AU55" s="1">
        <f>AT55/VLOOKUP(A55,'[48]geoMap (45)'!$A:$B,2,0)*VLOOKUP(A55,'[48]geoMap (45)'!$A:$C,3,0)</f>
        <v>0.32695954019364559</v>
      </c>
      <c r="AV55" s="1">
        <f>AU55/VLOOKUP(A55,'[49]geoMap (46)'!$A:$B,2,0)*VLOOKUP(A55,'[49]geoMap (46)'!$A:$C,3,0)</f>
        <v>0.84075310335508857</v>
      </c>
      <c r="AW55" s="1">
        <f>AV55/VLOOKUP(A55,'[50]geoMap (47)'!$A:$B,2,0)*VLOOKUP(A55,'[50]geoMap (47)'!$A:$C,3,0)</f>
        <v>1.0275871263228862</v>
      </c>
      <c r="AX55" s="1">
        <f>AW55/VLOOKUP(A55,'[51]geoMap (48)'!$A:$B,2,0)*VLOOKUP(A55,'[51]geoMap (48)'!$A:$C,3,0)</f>
        <v>0.50612500251724246</v>
      </c>
      <c r="AY55" s="1">
        <f>AX55/VLOOKUP(A55,'[52]geoMap (49)'!$A:$B,2,0)*VLOOKUP(A55,'[52]geoMap (49)'!$A:$C,3,0)</f>
        <v>0.33741666834482831</v>
      </c>
      <c r="AZ55" s="1">
        <f>AY55/VLOOKUP(A55,'[53]geoMap (50)'!$A:$B,2,0)*VLOOKUP(A55,'[53]geoMap (50)'!$A:$C,3,0)</f>
        <v>3.036750015103455</v>
      </c>
      <c r="BA55" s="1" t="e">
        <f>AZ55/VLOOKUP(A55,'[54]geoMap (51)'!$A:$B,2,0)*VLOOKUP(A55,'[54]geoMap (51)'!$A:$C,3,0)</f>
        <v>#REF!</v>
      </c>
      <c r="BB55" s="1">
        <f>AN55/VLOOKUP(A55,'[90]geoMap (144)'!$A:$B,2,0)*VLOOKUP(A55,'[90]geoMap (144)'!$A:$C,3,0)</f>
        <v>0.68977386205449343</v>
      </c>
      <c r="BC55" s="1" t="e">
        <f>BB55/VLOOKUP(A55,'[56]geoMap (53)'!$A:$B,2,0)*VLOOKUP(A55,'[56]geoMap (53)'!$A:$C,3,0)</f>
        <v>#REF!</v>
      </c>
      <c r="BD55" s="1" t="e">
        <f>AN55/VLOOKUP(A55,'[73]geoMap (147)'!$A:$B,2,0)*VLOOKUP(A55,'[73]geoMap (147)'!$A:$C,3,0)</f>
        <v>#REF!</v>
      </c>
      <c r="BE55" s="1">
        <f>AN55/VLOOKUP(A55,'[91]geoMap (148)'!$A:$B,2,0)*VLOOKUP(A55,'[91]geoMap (148)'!$A:$C,3,0)</f>
        <v>0.29620919601739509</v>
      </c>
      <c r="BF55" s="1" t="e">
        <f>AN55/VLOOKUP(A55,'[75]geoMap (150)'!$A:$B,2,0)*VLOOKUP(A55,'[75]geoMap (150)'!$A:$C,3,0)</f>
        <v>#REF!</v>
      </c>
      <c r="BG55" s="1" t="e">
        <f>AN55/VLOOKUP(A55,'[93]geoMap (152)'!$A:$B,2,0)*VLOOKUP(A55,'[93]geoMap (152)'!$A:$C,3,0)</f>
        <v>#REF!</v>
      </c>
      <c r="BH55" s="1" t="e">
        <f>AN55/VLOOKUP(A55,'[94]geoMap (154)'!$A:$B,2,0)*VLOOKUP(A55,'[94]geoMap (154)'!$A:$C,3,0)</f>
        <v>#REF!</v>
      </c>
      <c r="BI55" s="1" t="e">
        <f>AN55/VLOOKUP(A55,'[76]geoMap (156)'!$A:$B,2,0)*VLOOKUP(A55,'[76]geoMap (156)'!$A:$C,3,0)</f>
        <v>#REF!</v>
      </c>
      <c r="BJ55" s="1" t="e">
        <f>AN55/VLOOKUP(A55,'[77]geoMap (158)'!$A:$B,2,0)*VLOOKUP(A55,'[77]geoMap (158)'!$A:$C,3,0)</f>
        <v>#REF!</v>
      </c>
      <c r="BK55" s="1" t="e">
        <f>AN55/VLOOKUP(A55,'[78]geoMap (160)'!$A:$B,2,0)*VLOOKUP(A55,'[78]geoMap (160)'!$A:$C,3,0)</f>
        <v>#REF!</v>
      </c>
      <c r="BL55" s="1" t="e">
        <f>AN55/VLOOKUP(A55,'[79]geoMap (162)'!$A:$B,2,0)*VLOOKUP(A55,'[79]geoMap (162)'!$A:$C,3,0)</f>
        <v>#REF!</v>
      </c>
      <c r="BM55" s="1" t="e">
        <f>AN55/VLOOKUP(A55,'[80]geoMap (164)'!$A:$B,2,0)*VLOOKUP(A55,'[80]geoMap (164)'!$A:$C,3,0)</f>
        <v>#REF!</v>
      </c>
      <c r="BN55" s="1" t="e">
        <f>AN55/VLOOKUP(A55,'[81]geoMap (166)'!$A:$B,2,0)*VLOOKUP(A55,'[81]geoMap (166)'!$A:$C,3,0)</f>
        <v>#REF!</v>
      </c>
      <c r="BO55" s="1" t="e">
        <f>AN55/VLOOKUP(A55,'[82]geoMap (168)'!$A:$B,2,0)*VLOOKUP(A55,'[82]geoMap (168)'!$A:$C,3,0)</f>
        <v>#REF!</v>
      </c>
      <c r="BP55" s="1" t="e">
        <f>AN55/VLOOKUP(A55,'[83]geoMap (170)'!$A:$B,2,0)*VLOOKUP(A55,'[83]geoMap (170)'!$A:$C,3,0)</f>
        <v>#REF!</v>
      </c>
    </row>
    <row r="56" spans="1:68" x14ac:dyDescent="0.2">
      <c r="A56" s="1" t="s">
        <v>153</v>
      </c>
      <c r="B56" s="1">
        <f>VLOOKUP(A56,[3]geoMap!$A:$B,2,0)*Notes!$C$6</f>
        <v>4000</v>
      </c>
      <c r="C56" s="1">
        <f>B56/VLOOKUP(A56,'[4]geoMap (1)'!$A:$B,2,0)*VLOOKUP(A56,'[4]geoMap (1)'!$A:$C,3,0)</f>
        <v>2779.6610169491528</v>
      </c>
      <c r="D56" s="1">
        <f>C56/VLOOKUP(A56,'[5]geoMap (2)'!$A:$B,2,0)*VLOOKUP(A56,'[5]geoMap (2)'!$A:$C,3,0)</f>
        <v>2367.8593848085375</v>
      </c>
      <c r="E56" s="1">
        <f>D56/VLOOKUP(A56,'[6]geoMap (3)'!$A:$B,2,0)*VLOOKUP(A56,'[6]geoMap (3)'!$A:$C,3,0)</f>
        <v>2894.0503592104346</v>
      </c>
      <c r="F56" s="1">
        <f>E56/VLOOKUP(A56,'[7]geoMap (4)'!$A:$B,2,0)*VLOOKUP(A56,'[7]geoMap (4)'!$A:$C,3,0)</f>
        <v>1929.36690614029</v>
      </c>
      <c r="G56" s="1">
        <f>F56/VLOOKUP(A56,'[8]geoMap (5)'!$A:$B,2,0)*VLOOKUP(A56,'[8]geoMap (5)'!$A:$C,3,0)</f>
        <v>1929.36690614029</v>
      </c>
      <c r="H56" s="1">
        <f>G56/VLOOKUP(A56,'[9]geoMap (6)'!$A:$B,2,0)*VLOOKUP(A56,'[9]geoMap (6)'!$A:$C,3,0)</f>
        <v>2455.5578805421874</v>
      </c>
      <c r="I56" s="1">
        <f>H56/VLOOKUP(A56,'[10]geoMap (7)'!$A:$B,2,0)*VLOOKUP(A56,'[10]geoMap (7)'!$A:$C,3,0)</f>
        <v>818.5192935140625</v>
      </c>
      <c r="J56" s="1">
        <f>I56/VLOOKUP(A56,'[11]geoMap (8)'!$A:$B,2,0)*VLOOKUP(A56,'[11]geoMap (8)'!$A:$C,3,0)</f>
        <v>568.8015429504502</v>
      </c>
      <c r="K56" s="1">
        <f>J56/VLOOKUP(A56,'[12]geoMap (9)'!$A:$B,2,0)*VLOOKUP(A56,'[12]geoMap (9)'!$A:$C,3,0)</f>
        <v>695.20188582832805</v>
      </c>
      <c r="L56" s="1">
        <f>K56/VLOOKUP(A56,'[13]geoMap (10)'!$A:$B,2,0)*VLOOKUP(A56,'[13]geoMap (10)'!$A:$C,3,0)</f>
        <v>163.0720472930646</v>
      </c>
      <c r="M56" s="1">
        <f>L56/VLOOKUP(A56,'[14]geoMap (11)'!$A:$B,2,0)*VLOOKUP(A56,'[14]geoMap (11)'!$A:$C,3,0)</f>
        <v>578.16453131177457</v>
      </c>
      <c r="N56" s="1">
        <f>M56/VLOOKUP(A56,'[15]geoMap (12)'!$A:$B,2,0)*VLOOKUP(A56,'[15]geoMap (12)'!$A:$C,3,0)</f>
        <v>182.57827304582352</v>
      </c>
      <c r="O56" s="1">
        <f>N56/VLOOKUP(A56,'[16]geoMap (13)'!$A:$B,2,0)*VLOOKUP(A56,'[16]geoMap (13)'!$A:$C,3,0)</f>
        <v>197.79312913297551</v>
      </c>
      <c r="P56" s="1">
        <f>O56/VLOOKUP(A56,'[17]geoMap (14)'!$A:$B,2,0)*VLOOKUP(A56,'[17]geoMap (14)'!$A:$C,3,0)</f>
        <v>62.460988147255414</v>
      </c>
      <c r="Q56" s="1">
        <f>P56/VLOOKUP(A56,'[18]geoMap (15)'!$A:$B,2,0)*VLOOKUP(A56,'[18]geoMap (15)'!$A:$C,3,0)</f>
        <v>327.9201877730909</v>
      </c>
      <c r="R56" s="1">
        <f>Q56/VLOOKUP(A56,'[19]geoMap (16)'!$A:$B,2,0)*VLOOKUP(A56,'[19]geoMap (16)'!$A:$C,3,0)</f>
        <v>176.57240880089509</v>
      </c>
      <c r="S56" s="1">
        <f>R56/VLOOKUP(A56,'[20]geoMap (17)'!$A:$B,2,0)*VLOOKUP(A56,'[20]geoMap (17)'!$A:$C,3,0)</f>
        <v>313.90650453492464</v>
      </c>
      <c r="T56" s="1">
        <f>S56/VLOOKUP(A56,'[21]geoMap (18)'!$A:$B,2,0)*VLOOKUP(A56,'[21]geoMap (18)'!$A:$C,3,0)</f>
        <v>23.627371309080349</v>
      </c>
      <c r="U56" s="1">
        <f>T56/VLOOKUP(A56,'[22]geoMap (19)'!$A:$B,2,0)*VLOOKUP(A56,'[22]geoMap (19)'!$A:$C,3,0)</f>
        <v>45.864897247038328</v>
      </c>
      <c r="V56" s="1">
        <f>U56/VLOOKUP(A56,'[23]geoMap (20)'!$A:$B,2,0)*VLOOKUP(A56,'[23]geoMap (20)'!$A:$C,3,0)</f>
        <v>10.067904273740121</v>
      </c>
      <c r="W56" s="1">
        <f>V56/VLOOKUP(A56,'[24]geoMap (21)'!$A:$B,2,0)*VLOOKUP(A56,'[24]geoMap (21)'!$A:$C,3,0)</f>
        <v>9.67308449829933</v>
      </c>
      <c r="X56" s="1">
        <f>W56/VLOOKUP(A56,'[25]geoMap (22)'!$A:$B,2,0)*VLOOKUP(A56,'[25]geoMap (22)'!$A:$C,3,0)</f>
        <v>18.777164026110462</v>
      </c>
      <c r="Y56" s="1">
        <f>X56/VLOOKUP(A56,'[26]geoMap (23)'!$A:$B,2,0)*VLOOKUP(A56,'[26]geoMap (23)'!$A:$C,3,0)</f>
        <v>15.995361948168171</v>
      </c>
      <c r="Z56" s="1">
        <f>Y56/VLOOKUP(A56,'[27]geoMap (24)'!$A:$B,2,0)*VLOOKUP(A56,'[27]geoMap (24)'!$A:$C,3,0)</f>
        <v>33.990144139857364</v>
      </c>
      <c r="AA56" s="1">
        <f>Z56/VLOOKUP(A56,'[28]geoMap (25)'!$A:$B,2,0)*VLOOKUP(A56,'[28]geoMap (25)'!$A:$C,3,0)</f>
        <v>9.0353547713544877</v>
      </c>
      <c r="AB56" s="1">
        <f>AA56*VLOOKUP(A56,'[29]geoMap (26)'!$A:$B,2,0)*VLOOKUP(A56,'[29]geoMap (26)'!$A:$C,3,0)</f>
        <v>2.2010124223019529</v>
      </c>
      <c r="AC56" s="1">
        <f>AB56/VLOOKUP(A56,'[30]geoMap (27)'!$A:$B,2,0)*VLOOKUP(A56,'[30]geoMap (27)'!$A:$C,3,0)</f>
        <v>3.7476698001357578</v>
      </c>
      <c r="AD56" s="1">
        <f>AC56/VLOOKUP(A56,'[31]geoMap (28)'!$A:$B,2,0)*VLOOKUP(A56,'[31]geoMap (28)'!$A:$C,3,0)</f>
        <v>1.8458672149922388</v>
      </c>
      <c r="AE56" s="1">
        <f>AD56/VLOOKUP(A56,'[32]geoMap (29)'!$A:$B,2,0)*VLOOKUP(A56,'[32]geoMap (29)'!$A:$C,3,0)</f>
        <v>2.7688008224883576</v>
      </c>
      <c r="AF56" s="1">
        <f>AE56/VLOOKUP(A56,'[33]geoMap (30)'!$A:$B,2,0)*VLOOKUP(A56,'[33]geoMap (30)'!$A:$C,3,0)</f>
        <v>1.7702169192958352</v>
      </c>
      <c r="AG56" s="1">
        <f>AF56/VLOOKUP(A56,'[34]geoMap (31)'!$A:$B,2,0)*VLOOKUP(A56,'[34]geoMap (31)'!$A:$C,3,0)</f>
        <v>1.7702169192958352</v>
      </c>
      <c r="AH56" s="1">
        <f>AG56/VLOOKUP(A56,'[35]geoMap (32)'!$A:$B,2,0)*VLOOKUP(A56,'[35]geoMap (32)'!$A:$C,3,0)</f>
        <v>2.0780807313472849</v>
      </c>
      <c r="AI56" s="1">
        <f>AH56/VLOOKUP(A56,'[36]geoMap (33)'!$A:$B,2,0)*VLOOKUP(A56,'[36]geoMap (33)'!$A:$C,3,0)</f>
        <v>1.6327777174871521</v>
      </c>
      <c r="AJ56" s="1">
        <f>AI56/VLOOKUP(A56,'[37]geoMap (34)'!$A:$B,2,0)*VLOOKUP(A56,'[37]geoMap (34)'!$A:$C,3,0)</f>
        <v>2.7801350324781238</v>
      </c>
      <c r="AK56" s="1">
        <f>AJ56/VLOOKUP(A56,'[38]geoMap (35)'!$A:$B,2,0)*VLOOKUP(A56,'[38]geoMap (35)'!$A:$C,3,0)</f>
        <v>0.69503375811953094</v>
      </c>
      <c r="AL56" s="1">
        <f>AK56/VLOOKUP(A56,'[39]geoMap (36)'!$A:$B,2,0)*VLOOKUP(A56,'[39]geoMap (36)'!$A:$C,3,0)</f>
        <v>0.16303260992927268</v>
      </c>
      <c r="AM56" s="1">
        <f>AA56/VLOOKUP(A56,'[125]geoMap (120)'!$A:$B,2,0)*VLOOKUP(A56,'[125]geoMap (120)'!$A:$C,3,0)</f>
        <v>22.121040991936848</v>
      </c>
      <c r="AN56" s="1">
        <f>AM56/VLOOKUP(A56,'[41]geoMap (38)'!$A:$B,2,0)*VLOOKUP(A56,'[41]geoMap (38)'!$A:$C,3,0)</f>
        <v>2.1877952629388093</v>
      </c>
      <c r="AO56" s="1">
        <f>AN56/VLOOKUP(A56,'[42]geoMap (39)'!$A:$B,2,0)*VLOOKUP(A56,'[42]geoMap (39)'!$A:$C,3,0)</f>
        <v>7.3243580541864484</v>
      </c>
      <c r="AP56" s="1">
        <f>AO56/VLOOKUP(A56,'[43]geoMap (40)'!$A:$B,2,0)*VLOOKUP(A56,'[43]geoMap (40)'!$A:$C,3,0)</f>
        <v>2.7090091433292343</v>
      </c>
      <c r="AQ56" s="1" t="e">
        <f>AP56/VLOOKUP(A56,'[44]geoMap (41)'!$A:$B,2,0)*VLOOKUP(A56,'[44]geoMap (41)'!$A:$C,3,0)</f>
        <v>#REF!</v>
      </c>
      <c r="AR56" s="1">
        <f>AA56/VLOOKUP(A56,'[100]geoMap (128)'!$A:$B,2,0)*VLOOKUP(A56,'[100]geoMap (128)'!$A:$C,3,0)</f>
        <v>13.002095890485727</v>
      </c>
      <c r="AS56" s="1" t="e">
        <f>AR56/VLOOKUP(A56,'[46]geoMap (43)'!$A:$B,2,0)*VLOOKUP(A56,'[46]geoMap (43)'!$A:$C,3,0)</f>
        <v>#REF!</v>
      </c>
      <c r="AT56" s="1">
        <f>AC56/VLOOKUP(A56,'[84]geoMap (131)'!$A:$B,2,0)*VLOOKUP(A56,'[84]geoMap (131)'!$A:$C,3,0)</f>
        <v>0.19724577895451359</v>
      </c>
      <c r="AU56" s="1" t="e">
        <f>AT56/VLOOKUP(A56,'[48]geoMap (45)'!$A:$B,2,0)*VLOOKUP(A56,'[48]geoMap (45)'!$A:$C,3,0)</f>
        <v>#REF!</v>
      </c>
      <c r="AV56" s="1" t="e">
        <f>AO56/VLOOKUP(A56,'[127]geoMap (136)'!$A:$B,2,0)*VLOOKUP(A56,'[127]geoMap (136)'!$A:$C,3,0)</f>
        <v>#REF!</v>
      </c>
      <c r="AW56" s="1">
        <f>AN56/VLOOKUP(A56,'[87]geoMap (137)'!$A:$B,2,0)*VLOOKUP(A56,'[87]geoMap (137)'!$A:$C,3,0)</f>
        <v>0.72926508764626974</v>
      </c>
      <c r="AX56" s="1">
        <f>AW56/VLOOKUP(A56,'[51]geoMap (48)'!$A:$B,2,0)*VLOOKUP(A56,'[51]geoMap (48)'!$A:$C,3,0)</f>
        <v>3.3222076214996732</v>
      </c>
      <c r="AY56" s="1" t="e">
        <f>AX56/VLOOKUP(A56,'[52]geoMap (49)'!$A:$B,2,0)*VLOOKUP(A56,'[52]geoMap (49)'!$A:$C,3,0)</f>
        <v>#REF!</v>
      </c>
      <c r="AZ56" s="1" t="e">
        <f>AN56/VLOOKUP(A56,'[89]geoMap (141)'!$A:$B,2,0)*VLOOKUP(A56,'[89]geoMap (141)'!$A:$C,3,0)</f>
        <v>#REF!</v>
      </c>
      <c r="BA56" s="1">
        <f>AN56/VLOOKUP(A56,'[71]geoMap (143)'!$A:$B,2,0)*VLOOKUP(A56,'[71]geoMap (143)'!$A:$C,3,0)</f>
        <v>1.4585301752925397</v>
      </c>
      <c r="BB56" s="1" t="e">
        <f>BA56/VLOOKUP(A56,'[55]geoMap (52)'!$A:$B,2,0)*VLOOKUP(A56,'[55]geoMap (52)'!$A:$C,3,0)</f>
        <v>#REF!</v>
      </c>
      <c r="BC56" s="1" t="e">
        <f>AN56/VLOOKUP(A56,'[72]geoMap (146)'!$A:$B,2,0)*VLOOKUP(A56,'[72]geoMap (146)'!$A:$C,3,0)</f>
        <v>#REF!</v>
      </c>
      <c r="BD56" s="1" t="e">
        <f>AN56/VLOOKUP(A56,'[73]geoMap (147)'!$A:$B,2,0)*VLOOKUP(A56,'[73]geoMap (147)'!$A:$C,3,0)</f>
        <v>#REF!</v>
      </c>
      <c r="BE56" s="1" t="e">
        <f>AN56/VLOOKUP(A56,'[91]geoMap (148)'!$A:$B,2,0)*VLOOKUP(A56,'[91]geoMap (148)'!$A:$C,3,0)</f>
        <v>#REF!</v>
      </c>
      <c r="BF56" s="1" t="e">
        <f>AN56/VLOOKUP(A56,'[75]geoMap (150)'!$A:$B,2,0)*VLOOKUP(A56,'[75]geoMap (150)'!$A:$C,3,0)</f>
        <v>#REF!</v>
      </c>
      <c r="BG56" s="1" t="e">
        <f>AN56/VLOOKUP(A56,'[93]geoMap (152)'!$A:$B,2,0)*VLOOKUP(A56,'[93]geoMap (152)'!$A:$C,3,0)</f>
        <v>#REF!</v>
      </c>
      <c r="BH56" s="1" t="e">
        <f>AN56/VLOOKUP(A56,'[94]geoMap (154)'!$A:$B,2,0)*VLOOKUP(A56,'[94]geoMap (154)'!$A:$C,3,0)</f>
        <v>#REF!</v>
      </c>
      <c r="BI56" s="1" t="e">
        <f>AN56/VLOOKUP(A56,'[76]geoMap (156)'!$A:$B,2,0)*VLOOKUP(A56,'[76]geoMap (156)'!$A:$C,3,0)</f>
        <v>#REF!</v>
      </c>
      <c r="BJ56" s="1" t="e">
        <f>AN56/VLOOKUP(A56,'[77]geoMap (158)'!$A:$B,2,0)*VLOOKUP(A56,'[77]geoMap (158)'!$A:$C,3,0)</f>
        <v>#REF!</v>
      </c>
      <c r="BK56" s="1" t="e">
        <f>AN56/VLOOKUP(A56,'[78]geoMap (160)'!$A:$B,2,0)*VLOOKUP(A56,'[78]geoMap (160)'!$A:$C,3,0)</f>
        <v>#REF!</v>
      </c>
      <c r="BL56" s="1" t="e">
        <f>AN56/VLOOKUP(A56,'[79]geoMap (162)'!$A:$B,2,0)*VLOOKUP(A56,'[79]geoMap (162)'!$A:$C,3,0)</f>
        <v>#REF!</v>
      </c>
      <c r="BM56" s="1" t="e">
        <f>AN56/VLOOKUP(A56,'[80]geoMap (164)'!$A:$B,2,0)*VLOOKUP(A56,'[80]geoMap (164)'!$A:$C,3,0)</f>
        <v>#REF!</v>
      </c>
      <c r="BN56" s="1" t="e">
        <f>AN56/VLOOKUP(A56,'[81]geoMap (166)'!$A:$B,2,0)*VLOOKUP(A56,'[81]geoMap (166)'!$A:$C,3,0)</f>
        <v>#REF!</v>
      </c>
      <c r="BO56" s="1" t="e">
        <f>AN56/VLOOKUP(A56,'[82]geoMap (168)'!$A:$B,2,0)*VLOOKUP(A56,'[82]geoMap (168)'!$A:$C,3,0)</f>
        <v>#REF!</v>
      </c>
      <c r="BP56" s="1" t="e">
        <f>AN56/VLOOKUP(A56,'[83]geoMap (170)'!$A:$B,2,0)*VLOOKUP(A56,'[83]geoMap (170)'!$A:$C,3,0)</f>
        <v>#REF!</v>
      </c>
    </row>
    <row r="57" spans="1:68" x14ac:dyDescent="0.2">
      <c r="A57" s="1" t="s">
        <v>129</v>
      </c>
      <c r="B57" s="1">
        <f>VLOOKUP(A57,[3]geoMap!$A:$B,2,0)*Notes!$C$6</f>
        <v>4000</v>
      </c>
      <c r="C57" s="1">
        <f>B57/VLOOKUP(A57,'[4]geoMap (1)'!$A:$B,2,0)*VLOOKUP(A57,'[4]geoMap (1)'!$A:$C,3,0)</f>
        <v>2557.377049180328</v>
      </c>
      <c r="D57" s="1">
        <f>C57/VLOOKUP(A57,'[5]geoMap (2)'!$A:$B,2,0)*VLOOKUP(A57,'[5]geoMap (2)'!$A:$C,3,0)</f>
        <v>2883.8507150331361</v>
      </c>
      <c r="E57" s="1">
        <f>D57/VLOOKUP(A57,'[6]geoMap (3)'!$A:$B,2,0)*VLOOKUP(A57,'[6]geoMap (3)'!$A:$C,3,0)</f>
        <v>1922.5671433554244</v>
      </c>
      <c r="F57" s="1">
        <f>E57/VLOOKUP(A57,'[7]geoMap (4)'!$A:$B,2,0)*VLOOKUP(A57,'[7]geoMap (4)'!$A:$C,3,0)</f>
        <v>2256.9266465476721</v>
      </c>
      <c r="G57" s="1">
        <f>F57/VLOOKUP(A57,'[8]geoMap (5)'!$A:$B,2,0)*VLOOKUP(A57,'[8]geoMap (5)'!$A:$C,3,0)</f>
        <v>1922.5671433554244</v>
      </c>
      <c r="H57" s="1">
        <f>G57/VLOOKUP(A57,'[9]geoMap (6)'!$A:$B,2,0)*VLOOKUP(A57,'[9]geoMap (6)'!$A:$C,3,0)</f>
        <v>2001.0392716556457</v>
      </c>
      <c r="I57" s="1">
        <f>H57/VLOOKUP(A57,'[10]geoMap (7)'!$A:$B,2,0)*VLOOKUP(A57,'[10]geoMap (7)'!$A:$C,3,0)</f>
        <v>667.01309055188187</v>
      </c>
      <c r="J57" s="1">
        <f>I57/VLOOKUP(A57,'[11]geoMap (8)'!$A:$B,2,0)*VLOOKUP(A57,'[11]geoMap (8)'!$A:$C,3,0)</f>
        <v>2509.2397215999367</v>
      </c>
      <c r="K57" s="1">
        <f>J57/VLOOKUP(A57,'[12]geoMap (9)'!$A:$B,2,0)*VLOOKUP(A57,'[12]geoMap (9)'!$A:$C,3,0)</f>
        <v>588.58709519010858</v>
      </c>
      <c r="L57" s="1">
        <f>K57/VLOOKUP(A57,'[13]geoMap (10)'!$A:$B,2,0)*VLOOKUP(A57,'[13]geoMap (10)'!$A:$C,3,0)</f>
        <v>289.90110658617289</v>
      </c>
      <c r="M57" s="1">
        <f>L57/VLOOKUP(A57,'[14]geoMap (11)'!$A:$B,2,0)*VLOOKUP(A57,'[14]geoMap (11)'!$A:$C,3,0)</f>
        <v>209.92838752791832</v>
      </c>
      <c r="N57" s="1">
        <f>M57/VLOOKUP(A57,'[15]geoMap (12)'!$A:$B,2,0)*VLOOKUP(A57,'[15]geoMap (12)'!$A:$C,3,0)</f>
        <v>186.16290969456904</v>
      </c>
      <c r="O57" s="1">
        <f>N57/VLOOKUP(A57,'[16]geoMap (13)'!$A:$B,2,0)*VLOOKUP(A57,'[16]geoMap (13)'!$A:$C,3,0)</f>
        <v>193.76139580455143</v>
      </c>
      <c r="P57" s="1">
        <f>O57/VLOOKUP(A57,'[17]geoMap (14)'!$A:$B,2,0)*VLOOKUP(A57,'[17]geoMap (14)'!$A:$C,3,0)</f>
        <v>227.4590298575169</v>
      </c>
      <c r="Q57" s="1">
        <f>P57/VLOOKUP(A57,'[18]geoMap (15)'!$A:$B,2,0)*VLOOKUP(A57,'[18]geoMap (15)'!$A:$C,3,0)</f>
        <v>158.06474956200327</v>
      </c>
      <c r="R57" s="1" t="e">
        <f>L57/VLOOKUP(A57,'[136]geoMap (89)'!$A:$B,2,0)*VLOOKUP(A57,'[136]geoMap (89)'!$A:$C,3,0)</f>
        <v>#REF!</v>
      </c>
      <c r="S57" s="1">
        <f>O57/VLOOKUP(A57,'[110]geoMap (90)'!$A:$B,2,0)*VLOOKUP(A57,'[110]geoMap (90)'!$A:$C,3,0)</f>
        <v>165.05600383350676</v>
      </c>
      <c r="T57" s="1">
        <f>S57/VLOOKUP(A57,'[21]geoMap (18)'!$A:$B,2,0)*VLOOKUP(A57,'[21]geoMap (18)'!$A:$C,3,0)</f>
        <v>49.302442703515005</v>
      </c>
      <c r="U57" s="1">
        <f>P57/VLOOKUP(A57,'[137]geoMap (94)'!$A:$B,2,0)*VLOOKUP(A57,'[137]geoMap (94)'!$A:$C,3,0)</f>
        <v>14.518661480267035</v>
      </c>
      <c r="V57" s="1">
        <f>O57/VLOOKUP(A57,'[155]geoMap (95)'!$A:$B,2,0)*VLOOKUP(A57,'[155]geoMap (95)'!$A:$C,3,0)</f>
        <v>21.529043978283493</v>
      </c>
      <c r="W57" s="1" t="e">
        <f>O57/VLOOKUP(A57,'[121]geoMap (98)'!$A:$B,2,0)*VLOOKUP(A57,'[121]geoMap (98)'!$A:$C,3,0)</f>
        <v>#REF!</v>
      </c>
      <c r="X57" s="1" t="e">
        <f>O57/VLOOKUP(A57,'[141]geoMap (99)'!$A:$B,2,0)*VLOOKUP(A57,'[141]geoMap (99)'!$A:$C,3,0)</f>
        <v>#REF!</v>
      </c>
      <c r="Y57" s="1">
        <f>O57/VLOOKUP(A57,'[123]geoMap (101)'!$A:$B,2,0)*VLOOKUP(A57,'[123]geoMap (101)'!$A:$C,3,0)</f>
        <v>12.367748668375624</v>
      </c>
      <c r="Z57" s="1">
        <f>Y57/VLOOKUP(A57,'[27]geoMap (24)'!$A:$B,2,0)*VLOOKUP(A57,'[27]geoMap (24)'!$A:$C,3,0)</f>
        <v>7.5802330548108667</v>
      </c>
      <c r="AA57" s="1">
        <f>Z57/VLOOKUP(A57,'[28]geoMap (25)'!$A:$B,2,0)*VLOOKUP(A57,'[28]geoMap (25)'!$A:$C,3,0)</f>
        <v>10.467940885215006</v>
      </c>
      <c r="AB57" s="1">
        <f>AA57*VLOOKUP(A57,'[29]geoMap (26)'!$A:$B,2,0)*VLOOKUP(A57,'[29]geoMap (26)'!$A:$C,3,0)</f>
        <v>2.549990399638375</v>
      </c>
      <c r="AC57" s="1">
        <f>AB57/VLOOKUP(A57,'[30]geoMap (27)'!$A:$B,2,0)*VLOOKUP(A57,'[30]geoMap (27)'!$A:$C,3,0)</f>
        <v>2.1722140441363935</v>
      </c>
      <c r="AD57" s="1">
        <f>AC57/VLOOKUP(A57,'[31]geoMap (28)'!$A:$B,2,0)*VLOOKUP(A57,'[31]geoMap (28)'!$A:$C,3,0)</f>
        <v>1.2757447560801041</v>
      </c>
      <c r="AE57" s="1">
        <f>AD57/VLOOKUP(A57,'[32]geoMap (29)'!$A:$B,2,0)*VLOOKUP(A57,'[32]geoMap (29)'!$A:$C,3,0)</f>
        <v>1.1776105440739422</v>
      </c>
      <c r="AF57" s="1" t="e">
        <f>AE57/VLOOKUP(A57,'[33]geoMap (30)'!$A:$B,2,0)*VLOOKUP(A57,'[33]geoMap (30)'!$A:$C,3,0)</f>
        <v>#REF!</v>
      </c>
      <c r="AG57" s="1" t="e">
        <f>Y57/VLOOKUP(A57,'[151]geoMap (113)'!$A:$B,2,0)*VLOOKUP(A57,'[151]geoMap (113)'!$A:$C,3,0)</f>
        <v>#REF!</v>
      </c>
      <c r="AH57" s="1">
        <f>Y57/VLOOKUP(A57,'[131]geoMap (114)'!$A:$B,2,0)*VLOOKUP(A57,'[131]geoMap (114)'!$A:$C,3,0)</f>
        <v>6.9568586259612877</v>
      </c>
      <c r="AI57" s="1">
        <f>AH57/VLOOKUP(A57,'[36]geoMap (33)'!$A:$B,2,0)*VLOOKUP(A57,'[36]geoMap (33)'!$A:$C,3,0)</f>
        <v>5.4661032061124395</v>
      </c>
      <c r="AJ57" s="1" t="e">
        <f>AI57/VLOOKUP(A57,'[37]geoMap (34)'!$A:$B,2,0)*VLOOKUP(A57,'[37]geoMap (34)'!$A:$C,3,0)</f>
        <v>#REF!</v>
      </c>
      <c r="AK57" s="1" t="e">
        <f>Y57/VLOOKUP(A57,'[113]geoMap (117)'!$A:$B,2,0)*VLOOKUP(A57,'[113]geoMap (117)'!$A:$C,3,0)</f>
        <v>#REF!</v>
      </c>
      <c r="AL57" s="1" t="e">
        <f>Y57/VLOOKUP(A57,'[140]geoMap (118)'!$A:$B,2,0)*VLOOKUP(A57,'[140]geoMap (118)'!$A:$C,3,0)</f>
        <v>#REF!</v>
      </c>
      <c r="AM57" s="1" t="e">
        <f>AA57/VLOOKUP(A57,'[125]geoMap (120)'!$A:$B,2,0)*VLOOKUP(A57,'[125]geoMap (120)'!$A:$C,3,0)</f>
        <v>#REF!</v>
      </c>
      <c r="AN57" s="1">
        <f>AC57/VLOOKUP(A57,'[133]geoMap (121)'!$A:$B,2,0)*VLOOKUP(A57,'[133]geoMap (121)'!$A:$C,3,0)</f>
        <v>0.68596232972728222</v>
      </c>
      <c r="AO57" s="1" t="e">
        <f>AN57/VLOOKUP(A57,'[42]geoMap (39)'!$A:$B,2,0)*VLOOKUP(A57,'[42]geoMap (39)'!$A:$C,3,0)</f>
        <v>#REF!</v>
      </c>
      <c r="AP57" s="1" t="e">
        <f>AN57/VLOOKUP(A57,'[126]geoMap (124)'!$A:$B,2,0)*VLOOKUP(A57,'[126]geoMap (124)'!$A:$C,3,0)</f>
        <v>#REF!</v>
      </c>
      <c r="AQ57" s="1">
        <f>AI57/89*11</f>
        <v>0.67558578951951498</v>
      </c>
      <c r="AR57" s="1" t="e">
        <f>AQ57/VLOOKUP(A57,'[45]geoMap (42)'!$A:$B,2,0)*VLOOKUP(A57,'[45]geoMap (42)'!$A:$C,3,0)</f>
        <v>#REF!</v>
      </c>
      <c r="AS57" s="1" t="e">
        <f>AA57/VLOOKUP(A57,'[101]geoMap (129)'!$A:$B,2,0)*VLOOKUP(A57,'[101]geoMap (129)'!$A:$C,3,0)</f>
        <v>#REF!</v>
      </c>
      <c r="AT57" s="1" t="e">
        <f>AC57/VLOOKUP(A57,'[84]geoMap (131)'!$A:$B,2,0)*VLOOKUP(A57,'[84]geoMap (131)'!$A:$C,3,0)</f>
        <v>#REF!</v>
      </c>
      <c r="AU57" s="1">
        <f>AN57/VLOOKUP(A57,'[85]geoMap (133)'!$A:$B,2,0)*VLOOKUP(A57,'[85]geoMap (133)'!$A:$C,3,0)</f>
        <v>0.18234441676294844</v>
      </c>
      <c r="AV57" s="1" t="e">
        <f>AU57/VLOOKUP(A57,'[49]geoMap (46)'!$A:$B,2,0)*VLOOKUP(A57,'[49]geoMap (46)'!$A:$C,3,0)</f>
        <v>#REF!</v>
      </c>
      <c r="AW57" s="1" t="e">
        <f>AN57/VLOOKUP(A57,'[87]geoMap (137)'!$A:$B,2,0)*VLOOKUP(A57,'[87]geoMap (137)'!$A:$C,3,0)</f>
        <v>#REF!</v>
      </c>
      <c r="AX57" s="1" t="e">
        <f>AN57/VLOOKUP(A57,'[70]geoMap (138)'!$A:$B,2,0)*VLOOKUP(A57,'[70]geoMap (138)'!$A:$C,3,0)</f>
        <v>#REF!</v>
      </c>
      <c r="AY57" s="1" t="e">
        <f>AN57/VLOOKUP(A57,'[88]geoMap (140)'!$A:$B,2,0)*VLOOKUP(A57,'[88]geoMap (140)'!$A:$C,3,0)</f>
        <v>#REF!</v>
      </c>
      <c r="AZ57" s="1" t="e">
        <f>AN57/VLOOKUP(A57,'[89]geoMap (141)'!$A:$B,2,0)*VLOOKUP(A57,'[89]geoMap (141)'!$A:$C,3,0)</f>
        <v>#REF!</v>
      </c>
      <c r="BA57" s="1" t="e">
        <f>AN57/VLOOKUP(A57,'[71]geoMap (143)'!$A:$B,2,0)*VLOOKUP(A57,'[71]geoMap (143)'!$A:$C,3,0)</f>
        <v>#REF!</v>
      </c>
      <c r="BB57" s="1" t="e">
        <f>AN57/VLOOKUP(A57,'[90]geoMap (144)'!$A:$B,2,0)*VLOOKUP(A57,'[90]geoMap (144)'!$A:$C,3,0)</f>
        <v>#REF!</v>
      </c>
      <c r="BC57" s="1" t="e">
        <f>AN57/VLOOKUP(A57,'[72]geoMap (146)'!$A:$B,2,0)*VLOOKUP(A57,'[72]geoMap (146)'!$A:$C,3,0)</f>
        <v>#REF!</v>
      </c>
      <c r="BD57" s="1" t="e">
        <f>AN57/VLOOKUP(A57,'[73]geoMap (147)'!$A:$B,2,0)*VLOOKUP(A57,'[73]geoMap (147)'!$A:$C,3,0)</f>
        <v>#REF!</v>
      </c>
      <c r="BE57" s="1" t="e">
        <f>AN57/VLOOKUP(A57,'[91]geoMap (148)'!$A:$B,2,0)*VLOOKUP(A57,'[91]geoMap (148)'!$A:$C,3,0)</f>
        <v>#REF!</v>
      </c>
      <c r="BF57" s="1" t="e">
        <f>AN57/VLOOKUP(A57,'[75]geoMap (150)'!$A:$B,2,0)*VLOOKUP(A57,'[75]geoMap (150)'!$A:$C,3,0)</f>
        <v>#REF!</v>
      </c>
      <c r="BG57" s="1" t="e">
        <f>AN57/VLOOKUP(A57,'[93]geoMap (152)'!$A:$B,2,0)*VLOOKUP(A57,'[93]geoMap (152)'!$A:$C,3,0)</f>
        <v>#REF!</v>
      </c>
      <c r="BH57" s="1" t="e">
        <f>AN57/VLOOKUP(A57,'[94]geoMap (154)'!$A:$B,2,0)*VLOOKUP(A57,'[94]geoMap (154)'!$A:$C,3,0)</f>
        <v>#REF!</v>
      </c>
      <c r="BI57" s="1" t="e">
        <f>AN57/VLOOKUP(A57,'[76]geoMap (156)'!$A:$B,2,0)*VLOOKUP(A57,'[76]geoMap (156)'!$A:$C,3,0)</f>
        <v>#REF!</v>
      </c>
      <c r="BJ57" s="1" t="e">
        <f>AN57/VLOOKUP(A57,'[77]geoMap (158)'!$A:$B,2,0)*VLOOKUP(A57,'[77]geoMap (158)'!$A:$C,3,0)</f>
        <v>#REF!</v>
      </c>
      <c r="BK57" s="1" t="e">
        <f>AN57/VLOOKUP(A57,'[78]geoMap (160)'!$A:$B,2,0)*VLOOKUP(A57,'[78]geoMap (160)'!$A:$C,3,0)</f>
        <v>#REF!</v>
      </c>
      <c r="BL57" s="1" t="e">
        <f>AN57/VLOOKUP(A57,'[79]geoMap (162)'!$A:$B,2,0)*VLOOKUP(A57,'[79]geoMap (162)'!$A:$C,3,0)</f>
        <v>#REF!</v>
      </c>
      <c r="BM57" s="1" t="e">
        <f>AN57/VLOOKUP(A57,'[80]geoMap (164)'!$A:$B,2,0)*VLOOKUP(A57,'[80]geoMap (164)'!$A:$C,3,0)</f>
        <v>#REF!</v>
      </c>
      <c r="BN57" s="1" t="e">
        <f>AN57/VLOOKUP(A57,'[81]geoMap (166)'!$A:$B,2,0)*VLOOKUP(A57,'[81]geoMap (166)'!$A:$C,3,0)</f>
        <v>#REF!</v>
      </c>
      <c r="BO57" s="1" t="e">
        <f>AN57/VLOOKUP(A57,'[82]geoMap (168)'!$A:$B,2,0)*VLOOKUP(A57,'[82]geoMap (168)'!$A:$C,3,0)</f>
        <v>#REF!</v>
      </c>
      <c r="BP57" s="1" t="e">
        <f>AN57/VLOOKUP(A57,'[83]geoMap (170)'!$A:$B,2,0)*VLOOKUP(A57,'[83]geoMap (170)'!$A:$C,3,0)</f>
        <v>#REF!</v>
      </c>
    </row>
    <row r="58" spans="1:68" x14ac:dyDescent="0.2">
      <c r="A58" s="1" t="s">
        <v>144</v>
      </c>
      <c r="B58" s="1">
        <f>VLOOKUP(A58,[3]geoMap!$A:$B,2,0)*Notes!$C$6</f>
        <v>4000</v>
      </c>
      <c r="C58" s="1">
        <f>B58/VLOOKUP(A58,'[4]geoMap (1)'!$A:$B,2,0)*VLOOKUP(A58,'[4]geoMap (1)'!$A:$C,3,0)</f>
        <v>1970.1492537313434</v>
      </c>
      <c r="D58" s="1">
        <f>C58/VLOOKUP(A58,'[5]geoMap (2)'!$A:$B,2,0)*VLOOKUP(A58,'[5]geoMap (2)'!$A:$C,3,0)</f>
        <v>2507.4626865671644</v>
      </c>
      <c r="E58" s="1">
        <f>D58/VLOOKUP(A58,'[6]geoMap (3)'!$A:$B,2,0)*VLOOKUP(A58,'[6]geoMap (3)'!$A:$C,3,0)</f>
        <v>2135.9867330016586</v>
      </c>
      <c r="F58" s="1">
        <f>E58/VLOOKUP(A58,'[7]geoMap (4)'!$A:$B,2,0)*VLOOKUP(A58,'[7]geoMap (4)'!$A:$C,3,0)</f>
        <v>1611.3584126152866</v>
      </c>
      <c r="G58" s="1">
        <f>F58/VLOOKUP(A58,'[8]geoMap (5)'!$A:$B,2,0)*VLOOKUP(A58,'[8]geoMap (5)'!$A:$C,3,0)</f>
        <v>1166.845747066242</v>
      </c>
      <c r="H58" s="1">
        <f>G58/VLOOKUP(A58,'[9]geoMap (6)'!$A:$B,2,0)*VLOOKUP(A58,'[9]geoMap (6)'!$A:$C,3,0)</f>
        <v>628.3015561125917</v>
      </c>
      <c r="I58" s="1">
        <f>H58/VLOOKUP(A58,'[10]geoMap (7)'!$A:$B,2,0)*VLOOKUP(A58,'[10]geoMap (7)'!$A:$C,3,0)</f>
        <v>832.86485345157496</v>
      </c>
      <c r="J58" s="1">
        <f>I58/VLOOKUP(A58,'[11]geoMap (8)'!$A:$B,2,0)*VLOOKUP(A58,'[11]geoMap (8)'!$A:$C,3,0)</f>
        <v>939.18802623262729</v>
      </c>
      <c r="K58" s="1">
        <f>J58/VLOOKUP(A58,'[12]geoMap (9)'!$A:$B,2,0)*VLOOKUP(A58,'[12]geoMap (9)'!$A:$C,3,0)</f>
        <v>832.86485345157496</v>
      </c>
      <c r="L58" s="1">
        <f>K58/VLOOKUP(A58,'[13]geoMap (10)'!$A:$B,2,0)*VLOOKUP(A58,'[13]geoMap (10)'!$A:$C,3,0)</f>
        <v>208.21621336289374</v>
      </c>
      <c r="M58" s="1">
        <f>L58/VLOOKUP(A58,'[14]geoMap (11)'!$A:$B,2,0)*VLOOKUP(A58,'[14]geoMap (11)'!$A:$C,3,0)</f>
        <v>127.61638883532198</v>
      </c>
      <c r="N58" s="1">
        <f>M58/VLOOKUP(A58,'[15]geoMap (12)'!$A:$B,2,0)*VLOOKUP(A58,'[15]geoMap (12)'!$A:$C,3,0)</f>
        <v>199.60512099883695</v>
      </c>
      <c r="O58" s="1">
        <f>N58/VLOOKUP(A58,'[16]geoMap (13)'!$A:$B,2,0)*VLOOKUP(A58,'[16]geoMap (13)'!$A:$C,3,0)</f>
        <v>254.04288127124704</v>
      </c>
      <c r="P58" s="1">
        <f>O58/VLOOKUP(A58,'[17]geoMap (14)'!$A:$B,2,0)*VLOOKUP(A58,'[17]geoMap (14)'!$A:$C,3,0)</f>
        <v>565.45028411987244</v>
      </c>
      <c r="Q58" s="1">
        <f>P58/VLOOKUP(A58,'[18]geoMap (15)'!$A:$B,2,0)*VLOOKUP(A58,'[18]geoMap (15)'!$A:$C,3,0)</f>
        <v>84.492571190325762</v>
      </c>
      <c r="R58" s="1">
        <f>Q58/VLOOKUP(A58,'[19]geoMap (16)'!$A:$B,2,0)*VLOOKUP(A58,'[19]geoMap (16)'!$A:$C,3,0)</f>
        <v>41.615744019115674</v>
      </c>
      <c r="S58" s="1">
        <f>R58/VLOOKUP(A58,'[20]geoMap (17)'!$A:$B,2,0)*VLOOKUP(A58,'[20]geoMap (17)'!$A:$C,3,0)</f>
        <v>41.615744019115674</v>
      </c>
      <c r="T58" s="1">
        <f>S58/VLOOKUP(A58,'[21]geoMap (18)'!$A:$B,2,0)*VLOOKUP(A58,'[21]geoMap (18)'!$A:$C,3,0)</f>
        <v>26.606787159762483</v>
      </c>
      <c r="U58" s="1">
        <f>T58/VLOOKUP(A58,'[22]geoMap (19)'!$A:$B,2,0)*VLOOKUP(A58,'[22]geoMap (19)'!$A:$C,3,0)</f>
        <v>20.905332768384806</v>
      </c>
      <c r="V58" s="1">
        <f>U58/VLOOKUP(A58,'[23]geoMap (20)'!$A:$B,2,0)*VLOOKUP(A58,'[23]geoMap (20)'!$A:$C,3,0)</f>
        <v>153.30577363482192</v>
      </c>
      <c r="W58" s="1">
        <f>V58/VLOOKUP(A58,'[24]geoMap (21)'!$A:$B,2,0)*VLOOKUP(A58,'[24]geoMap (21)'!$A:$C,3,0)</f>
        <v>11.539144252083371</v>
      </c>
      <c r="X58" s="1">
        <f>W58/VLOOKUP(A58,'[25]geoMap (22)'!$A:$B,2,0)*VLOOKUP(A58,'[25]geoMap (22)'!$A:$C,3,0)</f>
        <v>8.3559320446120964</v>
      </c>
      <c r="Y58" s="1">
        <f>X58/VLOOKUP(A58,'[26]geoMap (23)'!$A:$B,2,0)*VLOOKUP(A58,'[26]geoMap (23)'!$A:$C,3,0)</f>
        <v>12.533898066918145</v>
      </c>
      <c r="Z58" s="1">
        <f>Y58/VLOOKUP(A58,'[27]geoMap (24)'!$A:$B,2,0)*VLOOKUP(A58,'[27]geoMap (24)'!$A:$C,3,0)</f>
        <v>11.569752061770593</v>
      </c>
      <c r="AA58" s="1">
        <f>Z58/VLOOKUP(A58,'[28]geoMap (25)'!$A:$B,2,0)*VLOOKUP(A58,'[28]geoMap (25)'!$A:$C,3,0)</f>
        <v>4.7256733773429183</v>
      </c>
      <c r="AB58" s="1">
        <f>AA58*VLOOKUP(A58,'[29]geoMap (26)'!$A:$B,2,0)*VLOOKUP(A58,'[29]geoMap (26)'!$A:$C,3,0)</f>
        <v>0.8369167551274308</v>
      </c>
      <c r="AC58" s="1">
        <f>AB58/VLOOKUP(A58,'[30]geoMap (27)'!$A:$B,2,0)*VLOOKUP(A58,'[30]geoMap (27)'!$A:$C,3,0)</f>
        <v>0.55794450341828727</v>
      </c>
      <c r="AD58" s="1">
        <f>AC58/VLOOKUP(A58,'[31]geoMap (28)'!$A:$B,2,0)*VLOOKUP(A58,'[31]geoMap (28)'!$A:$C,3,0)</f>
        <v>0.35671861693956075</v>
      </c>
      <c r="AE58" s="1">
        <f>AD58/VLOOKUP(A58,'[32]geoMap (29)'!$A:$B,2,0)*VLOOKUP(A58,'[32]geoMap (29)'!$A:$C,3,0)</f>
        <v>0.58201458553296748</v>
      </c>
      <c r="AF58" s="1">
        <f>AE58/VLOOKUP(A58,'[33]geoMap (30)'!$A:$B,2,0)*VLOOKUP(A58,'[33]geoMap (30)'!$A:$C,3,0)</f>
        <v>0.34181808991618723</v>
      </c>
      <c r="AG58" s="1">
        <f>AF58/VLOOKUP(A58,'[34]geoMap (31)'!$A:$B,2,0)*VLOOKUP(A58,'[34]geoMap (31)'!$A:$C,3,0)</f>
        <v>0.31552439069186511</v>
      </c>
      <c r="AH58" s="1">
        <f>AG58/VLOOKUP(A58,'[35]geoMap (32)'!$A:$B,2,0)*VLOOKUP(A58,'[35]geoMap (32)'!$A:$C,3,0)</f>
        <v>0.30315088517453703</v>
      </c>
      <c r="AI58" s="1">
        <f>AH58/VLOOKUP(A58,'[36]geoMap (33)'!$A:$B,2,0)*VLOOKUP(A58,'[36]geoMap (33)'!$A:$C,3,0)</f>
        <v>0.15616863781718573</v>
      </c>
      <c r="AJ58" s="1">
        <f>AI58/VLOOKUP(A58,'[37]geoMap (34)'!$A:$B,2,0)*VLOOKUP(A58,'[37]geoMap (34)'!$A:$C,3,0)</f>
        <v>8.7844858772166967E-2</v>
      </c>
      <c r="AK58" s="1">
        <f>AJ58/VLOOKUP(A58,'[38]geoMap (35)'!$A:$B,2,0)*VLOOKUP(A58,'[38]geoMap (35)'!$A:$C,3,0)</f>
        <v>0.35137943508866787</v>
      </c>
      <c r="AL58" s="1">
        <f>AK58/VLOOKUP(A58,'[39]geoMap (36)'!$A:$B,2,0)*VLOOKUP(A58,'[39]geoMap (36)'!$A:$C,3,0)</f>
        <v>4.6683267804637296</v>
      </c>
      <c r="AM58" s="1">
        <f>AL58/VLOOKUP(A58,'[40]geoMap (37)'!$A:$B,2,0)*VLOOKUP(A58,'[40]geoMap (37)'!$A:$C,3,0)</f>
        <v>0.29797830513598272</v>
      </c>
      <c r="AN58" s="1">
        <f>AM58/VLOOKUP(A58,'[41]geoMap (38)'!$A:$B,2,0)*VLOOKUP(A58,'[41]geoMap (38)'!$A:$C,3,0)</f>
        <v>0.19865220342398848</v>
      </c>
      <c r="AO58" s="1">
        <f>AN58/VLOOKUP(A58,'[42]geoMap (39)'!$A:$B,2,0)*VLOOKUP(A58,'[42]geoMap (39)'!$A:$C,3,0)</f>
        <v>6.6217401141329499E-2</v>
      </c>
      <c r="AP58" s="1">
        <f>AO58/VLOOKUP(A58,'[43]geoMap (40)'!$A:$B,2,0)*VLOOKUP(A58,'[43]geoMap (40)'!$A:$C,3,0)</f>
        <v>0.10803891765164288</v>
      </c>
      <c r="AQ58" s="1" t="e">
        <f>AP58/VLOOKUP(A58,'[44]geoMap (41)'!$A:$B,2,0)*VLOOKUP(A58,'[44]geoMap (41)'!$A:$C,3,0)</f>
        <v>#REF!</v>
      </c>
      <c r="AR58" s="1">
        <f>AA58/VLOOKUP(A58,'[100]geoMap (128)'!$A:$B,2,0)*VLOOKUP(A58,'[100]geoMap (128)'!$A:$C,3,0)</f>
        <v>3.5649816706271138</v>
      </c>
      <c r="AS58" s="1">
        <f>AR58/VLOOKUP(A58,'[46]geoMap (43)'!$A:$B,2,0)*VLOOKUP(A58,'[46]geoMap (43)'!$A:$C,3,0)</f>
        <v>3.8620634765127071</v>
      </c>
      <c r="AT58" s="1">
        <f>AS58/VLOOKUP(A58,'[47]geoMap (44)'!$A:$B,2,0)*VLOOKUP(A58,'[47]geoMap (44)'!$A:$C,3,0)</f>
        <v>0.24651468999017281</v>
      </c>
      <c r="AU58" s="1">
        <f>AT58/VLOOKUP(A58,'[48]geoMap (45)'!$A:$B,2,0)*VLOOKUP(A58,'[48]geoMap (45)'!$A:$C,3,0)</f>
        <v>1.6497521560880795</v>
      </c>
      <c r="AV58" s="1">
        <f>AU58/VLOOKUP(A58,'[49]geoMap (46)'!$A:$B,2,0)*VLOOKUP(A58,'[49]geoMap (46)'!$A:$C,3,0)</f>
        <v>0.38697890081078407</v>
      </c>
      <c r="AW58" s="1">
        <f>AV58/VLOOKUP(A58,'[50]geoMap (47)'!$A:$B,2,0)*VLOOKUP(A58,'[50]geoMap (47)'!$A:$C,3,0)</f>
        <v>0.75119433686799253</v>
      </c>
      <c r="AX58" s="1" t="e">
        <f>AW58/VLOOKUP(A58,'[51]geoMap (48)'!$A:$B,2,0)*VLOOKUP(A58,'[51]geoMap (48)'!$A:$C,3,0)</f>
        <v>#REF!</v>
      </c>
      <c r="AY58" s="1">
        <f>AN58/VLOOKUP(A58,'[88]geoMap (140)'!$A:$B,2,0)*VLOOKUP(A58,'[88]geoMap (140)'!$A:$C,3,0)</f>
        <v>2.9683662580595981E-2</v>
      </c>
      <c r="AZ58" s="1" t="e">
        <f>AY58/VLOOKUP(A58,'[53]geoMap (50)'!$A:$B,2,0)*VLOOKUP(A58,'[53]geoMap (50)'!$A:$C,3,0)</f>
        <v>#REF!</v>
      </c>
      <c r="BA58" s="1" t="e">
        <f>AN58/VLOOKUP(A58,'[71]geoMap (143)'!$A:$B,2,0)*VLOOKUP(A58,'[71]geoMap (143)'!$A:$C,3,0)</f>
        <v>#REF!</v>
      </c>
      <c r="BB58" s="1">
        <f>AN58/VLOOKUP(A58,'[90]geoMap (144)'!$A:$B,2,0)*VLOOKUP(A58,'[90]geoMap (144)'!$A:$C,3,0)</f>
        <v>8.2771751426661874E-3</v>
      </c>
      <c r="BC58" s="1" t="e">
        <f>BB58/VLOOKUP(A58,'[56]geoMap (53)'!$A:$B,2,0)*VLOOKUP(A58,'[56]geoMap (53)'!$A:$C,3,0)</f>
        <v>#REF!</v>
      </c>
      <c r="BD58" s="1">
        <f>AN58/VLOOKUP(A58,'[73]geoMap (147)'!$A:$B,2,0)*VLOOKUP(A58,'[73]geoMap (147)'!$A:$C,3,0)</f>
        <v>1.4952316386751822E-2</v>
      </c>
      <c r="BE58" s="1">
        <f>BD58/VLOOKUP(A58,'[58]geoMap (55)'!$A:$B,2,0)*VLOOKUP(A58,'[58]geoMap (55)'!$A:$C,3,0)</f>
        <v>2.434098016447971E-3</v>
      </c>
      <c r="BF58" s="1" t="e">
        <f>BE58/VLOOKUP(A58,'[59]geoMap (56)'!$A:$B,2,0)*VLOOKUP(A58,'[59]geoMap (56)'!$A:$C,3,0)</f>
        <v>#REF!</v>
      </c>
      <c r="BG58" s="1" t="e">
        <f>AN58/VLOOKUP(A58,'[93]geoMap (152)'!$A:$B,2,0)*VLOOKUP(A58,'[93]geoMap (152)'!$A:$C,3,0)</f>
        <v>#REF!</v>
      </c>
      <c r="BH58" s="1" t="e">
        <f>AN58/VLOOKUP(A58,'[94]geoMap (154)'!$A:$B,2,0)*VLOOKUP(A58,'[94]geoMap (154)'!$A:$C,3,0)</f>
        <v>#REF!</v>
      </c>
      <c r="BI58" s="1" t="e">
        <f>AN58/VLOOKUP(A58,'[76]geoMap (156)'!$A:$B,2,0)*VLOOKUP(A58,'[76]geoMap (156)'!$A:$C,3,0)</f>
        <v>#REF!</v>
      </c>
      <c r="BJ58" s="1" t="e">
        <f>AN58/VLOOKUP(A58,'[77]geoMap (158)'!$A:$B,2,0)*VLOOKUP(A58,'[77]geoMap (158)'!$A:$C,3,0)</f>
        <v>#REF!</v>
      </c>
      <c r="BK58" s="1">
        <f>AN58/VLOOKUP(A58,'[78]geoMap (160)'!$A:$B,2,0)*VLOOKUP(A58,'[78]geoMap (160)'!$A:$C,3,0)</f>
        <v>2.0065879133736213E-3</v>
      </c>
      <c r="BL58" s="1" t="e">
        <f>AN58/VLOOKUP(A58,'[79]geoMap (162)'!$A:$B,2,0)*VLOOKUP(A58,'[79]geoMap (162)'!$A:$C,3,0)</f>
        <v>#REF!</v>
      </c>
      <c r="BM58" s="1" t="e">
        <f>AN58/VLOOKUP(A58,'[80]geoMap (164)'!$A:$B,2,0)*VLOOKUP(A58,'[80]geoMap (164)'!$A:$C,3,0)</f>
        <v>#REF!</v>
      </c>
      <c r="BN58" s="1" t="e">
        <f>AN58/VLOOKUP(A58,'[81]geoMap (166)'!$A:$B,2,0)*VLOOKUP(A58,'[81]geoMap (166)'!$A:$C,3,0)</f>
        <v>#REF!</v>
      </c>
      <c r="BO58" s="1" t="e">
        <f>AN58/VLOOKUP(A58,'[82]geoMap (168)'!$A:$B,2,0)*VLOOKUP(A58,'[82]geoMap (168)'!$A:$C,3,0)</f>
        <v>#REF!</v>
      </c>
      <c r="BP58" s="1" t="e">
        <f>AN58/VLOOKUP(A58,'[83]geoMap (170)'!$A:$B,2,0)*VLOOKUP(A58,'[83]geoMap (170)'!$A:$C,3,0)</f>
        <v>#REF!</v>
      </c>
    </row>
    <row r="59" spans="1:68" x14ac:dyDescent="0.2">
      <c r="A59" s="1" t="s">
        <v>134</v>
      </c>
      <c r="B59" s="1">
        <f>VLOOKUP(A59,[3]geoMap!$A:$B,2,0)*Notes!$C$6</f>
        <v>4000</v>
      </c>
      <c r="C59" s="1">
        <f>B59/VLOOKUP(A59,'[4]geoMap (1)'!$A:$B,2,0)*VLOOKUP(A59,'[4]geoMap (1)'!$A:$C,3,0)</f>
        <v>1797.1014492753625</v>
      </c>
      <c r="D59" s="1" t="e">
        <f>B59/VLOOKUP(A59,'[161]geoMap (67)'!$A:$B,2,0)*VLOOKUP(A59,'[161]geoMap (67)'!$A:$C,3,0)</f>
        <v>#REF!</v>
      </c>
      <c r="E59" s="1">
        <f>B59/VLOOKUP(A59,'[162]geoMap (68)'!$A:$B,2,0)*VLOOKUP(A59,'[162]geoMap (68)'!$A:$C,3,0)</f>
        <v>1714.2857142857144</v>
      </c>
      <c r="F59" s="1">
        <f>E59/VLOOKUP(A59,'[7]geoMap (4)'!$A:$B,2,0)*VLOOKUP(A59,'[7]geoMap (4)'!$A:$C,3,0)</f>
        <v>1933.1306990881465</v>
      </c>
      <c r="G59" s="1" t="e">
        <f>B59/VLOOKUP(A59,'[148]geoMap (70)'!$A:$B,2,0)*VLOOKUP(A59,'[148]geoMap (70)'!$A:$C,3,0)</f>
        <v>#DIV/0!</v>
      </c>
      <c r="H59" s="1">
        <f>B59/VLOOKUP(A59,'[149]geoMap (71)'!$A:$B,2,0)*VLOOKUP(A59,'[149]geoMap (71)'!$A:$C,3,0)</f>
        <v>1000</v>
      </c>
      <c r="I59" s="1" t="e">
        <f>B59/VLOOKUP(A59,'[163]geoMap (72)'!$A:$B,2,0)*VLOOKUP(A59,'[163]geoMap (72)'!$A:$C,3,0)</f>
        <v>#REF!</v>
      </c>
      <c r="J59" s="1">
        <f>F59/VLOOKUP(A59,'[164]geoMap (73)'!$A:$B,2,0)*VLOOKUP(A59,'[164]geoMap (73)'!$A:$C,3,0)</f>
        <v>395.94243234335534</v>
      </c>
      <c r="K59" s="1">
        <f>J59/VLOOKUP(A59,'[12]geoMap (9)'!$A:$B,2,0)*VLOOKUP(A59,'[12]geoMap (9)'!$A:$C,3,0)</f>
        <v>428.93763503863499</v>
      </c>
      <c r="L59" s="1" t="e">
        <f>F59/VLOOKUP(A59,'[157]geoMap (76)'!$A:$B,2,0)*VLOOKUP(A59,'[157]geoMap (76)'!$A:$C,3,0)</f>
        <v>#REF!</v>
      </c>
      <c r="M59" s="1" t="e">
        <f>K59/VLOOKUP(A59,'[128]geoMap (78)'!$A:$B,2,0)*VLOOKUP(A59,'[128]geoMap (78)'!$A:$C,3,0)</f>
        <v>#REF!</v>
      </c>
      <c r="N59" s="1" t="e">
        <f>H59/VLOOKUP(A59,'[117]geoMap (80)'!$A:$B,2,0)*VLOOKUP(A59,'[117]geoMap (80)'!$A:$C,3,0)</f>
        <v>#REF!</v>
      </c>
      <c r="O59" s="1">
        <f>H59/VLOOKUP(A59,'[118]geoMap (81)'!$A:$B,2,0)*VLOOKUP(A59,'[118]geoMap (81)'!$A:$C,3,0)</f>
        <v>190.47619047619051</v>
      </c>
      <c r="P59" s="1" t="e">
        <f>F59/VLOOKUP(A59,'[129]geoMap (84)'!$A:$B,2,0)*VLOOKUP(A59,'[129]geoMap (84)'!$A:$C,3,0)</f>
        <v>#REF!</v>
      </c>
      <c r="Q59" s="1">
        <f>F59/VLOOKUP(A59,'[130]geoMap (85)'!$A:$B,2,0)*VLOOKUP(A59,'[130]geoMap (85)'!$A:$C,3,0)</f>
        <v>168.0983216598388</v>
      </c>
      <c r="R59" s="1">
        <f>Q59/VLOOKUP(A59,'[19]geoMap (16)'!$A:$B,2,0)*VLOOKUP(A59,'[19]geoMap (16)'!$A:$C,3,0)</f>
        <v>90.514480893759355</v>
      </c>
      <c r="S59" s="1" t="e">
        <f>O59/VLOOKUP(A59,'[110]geoMap (90)'!$A:$B,2,0)*VLOOKUP(A59,'[110]geoMap (90)'!$A:$C,3,0)</f>
        <v>#REF!</v>
      </c>
      <c r="T59" s="1" t="e">
        <f>L59/VLOOKUP(A59,'[119]geoMap (92)'!$A:$B,2,0)*VLOOKUP(A59,'[119]geoMap (92)'!$A:$C,3,0)</f>
        <v>#REF!</v>
      </c>
      <c r="U59" s="1" t="e">
        <f>P59/VLOOKUP(A59,'[137]geoMap (94)'!$A:$B,2,0)*VLOOKUP(A59,'[137]geoMap (94)'!$A:$C,3,0)</f>
        <v>#REF!</v>
      </c>
      <c r="V59" s="1" t="e">
        <f>Q59/VLOOKUP(A59,'[95]geoMap (96)'!$A:$B,2,0)*VLOOKUP(A59,'[95]geoMap (96)'!$A:$C,3,0)</f>
        <v>#REF!</v>
      </c>
      <c r="W59" s="1" t="e">
        <f>Q59/VLOOKUP(A59,'[96]geoMap (97)'!$A:$B,2,0)*VLOOKUP(A59,'[96]geoMap (97)'!$A:$C,3,0)</f>
        <v>#REF!</v>
      </c>
      <c r="X59" s="1" t="e">
        <f>O59/VLOOKUP(A59,'[141]geoMap (99)'!$A:$B,2,0)*VLOOKUP(A59,'[141]geoMap (99)'!$A:$C,3,0)</f>
        <v>#REF!</v>
      </c>
      <c r="Y59" s="1">
        <f>R59/88*12</f>
        <v>12.34288375823991</v>
      </c>
      <c r="Z59" s="1">
        <f>O59/VLOOKUP(A59,'[160]geoMap (103)'!$A:$B,2,0)*VLOOKUP(A59,'[160]geoMap (103)'!$A:$C,3,0)</f>
        <v>31.007751937984505</v>
      </c>
      <c r="AA59" s="1">
        <f>Z59/VLOOKUP(A59,'[28]geoMap (25)'!$A:$B,2,0)*VLOOKUP(A59,'[28]geoMap (25)'!$A:$C,3,0)</f>
        <v>41.103299080584108</v>
      </c>
      <c r="AB59" s="1">
        <f>AA59*VLOOKUP(A59,'[29]geoMap (26)'!$A:$B,2,0)*VLOOKUP(A59,'[29]geoMap (26)'!$A:$C,3,0)</f>
        <v>7.9082747431043821</v>
      </c>
      <c r="AC59" s="1">
        <f>AB59/VLOOKUP(A59,'[30]geoMap (27)'!$A:$B,2,0)*VLOOKUP(A59,'[30]geoMap (27)'!$A:$C,3,0)</f>
        <v>16.056194175393745</v>
      </c>
      <c r="AD59" s="1" t="e">
        <f>AC59/VLOOKUP(A59,'[31]geoMap (28)'!$A:$B,2,0)*VLOOKUP(A59,'[31]geoMap (28)'!$A:$C,3,0)</f>
        <v>#REF!</v>
      </c>
      <c r="AE59" s="1">
        <f>AB59/VLOOKUP(A59,'[98]geoMap (110)'!$A:$B,2,0)*VLOOKUP(A59,'[98]geoMap (110)'!$A:$C,3,0)</f>
        <v>9.6656691304609126</v>
      </c>
      <c r="AF59" s="1">
        <f>AE59/VLOOKUP(A59,'[33]geoMap (30)'!$A:$B,2,0)*VLOOKUP(A59,'[33]geoMap (30)'!$A:$C,3,0)</f>
        <v>8.2337181481704071</v>
      </c>
      <c r="AG59" s="1" t="e">
        <f>AF59/VLOOKUP(A59,'[34]geoMap (31)'!$A:$B,2,0)*VLOOKUP(A59,'[34]geoMap (31)'!$A:$C,3,0)</f>
        <v>#REF!</v>
      </c>
      <c r="AH59" s="1" t="e">
        <f>Y59/VLOOKUP(A59,'[131]geoMap (114)'!$A:$B,2,0)*VLOOKUP(A59,'[131]geoMap (114)'!$A:$C,3,0)</f>
        <v>#REF!</v>
      </c>
      <c r="AI59" s="1" t="e">
        <f>Y59/VLOOKUP(A59,'[132]geoMap (115)'!$A:$B,2,0)*VLOOKUP(A59,'[132]geoMap (115)'!$A:$C,3,0)</f>
        <v>#REF!</v>
      </c>
      <c r="AJ59" s="1" t="e">
        <f>Y59/VLOOKUP(A59,'[112]geoMap (116)'!$A:$B,2,0)*VLOOKUP(A59,'[112]geoMap (116)'!$A:$C,3,0)</f>
        <v>#REF!</v>
      </c>
      <c r="AK59" s="1" t="e">
        <f>Y59/VLOOKUP(A59,'[113]geoMap (117)'!$A:$B,2,0)*VLOOKUP(A59,'[113]geoMap (117)'!$A:$C,3,0)</f>
        <v>#REF!</v>
      </c>
      <c r="AL59" s="1" t="e">
        <f>Z59/VLOOKUP(A59,'[114]geoMap (119)'!$A:$B,2,0)*VLOOKUP(A59,'[114]geoMap (119)'!$A:$C,3,0)</f>
        <v>#REF!</v>
      </c>
      <c r="AM59" s="1">
        <f>AA59/VLOOKUP(A59,'[125]geoMap (120)'!$A:$B,2,0)*VLOOKUP(A59,'[125]geoMap (120)'!$A:$C,3,0)</f>
        <v>7.8291998248731636</v>
      </c>
      <c r="AN59" s="1">
        <f>AM59/VLOOKUP(A59,'[41]geoMap (38)'!$A:$B,2,0)*VLOOKUP(A59,'[41]geoMap (38)'!$A:$C,3,0)</f>
        <v>15.895648129287938</v>
      </c>
      <c r="AO59" s="1">
        <f>AN59/VLOOKUP(A59,'[42]geoMap (39)'!$A:$B,2,0)*VLOOKUP(A59,'[42]geoMap (39)'!$A:$C,3,0)</f>
        <v>14.096140793896851</v>
      </c>
      <c r="AP59" s="1" t="e">
        <f>AO59/VLOOKUP(A59,'[43]geoMap (40)'!$A:$B,2,0)*VLOOKUP(A59,'[43]geoMap (40)'!$A:$C,3,0)</f>
        <v>#REF!</v>
      </c>
      <c r="AQ59" s="1" t="e">
        <f>AF59/VLOOKUP(A59,'[99]geoMap (126)'!$A:$B,2,0)*VLOOKUP(A59,'[99]geoMap (126)'!$A:$C,3,0)</f>
        <v>#REF!</v>
      </c>
      <c r="AR59" s="1" t="e">
        <f>AA59/VLOOKUP(A59,'[100]geoMap (128)'!$A:$B,2,0)*VLOOKUP(A59,'[100]geoMap (128)'!$A:$C,3,0)</f>
        <v>#REF!</v>
      </c>
      <c r="AS59" s="1" t="e">
        <f>AA59/VLOOKUP(A59,'[101]geoMap (129)'!$A:$B,2,0)*VLOOKUP(A59,'[101]geoMap (129)'!$A:$C,3,0)</f>
        <v>#REF!</v>
      </c>
      <c r="AT59" s="1" t="e">
        <f>AC59/VLOOKUP(A59,'[84]geoMap (131)'!$A:$B,2,0)*VLOOKUP(A59,'[84]geoMap (131)'!$A:$C,3,0)</f>
        <v>#REF!</v>
      </c>
      <c r="AU59" s="1">
        <f>AN59/VLOOKUP(A59,'[85]geoMap (133)'!$A:$B,2,0)*VLOOKUP(A59,'[85]geoMap (133)'!$A:$C,3,0)</f>
        <v>7.4803050020178521</v>
      </c>
      <c r="AV59" s="1" t="e">
        <f>AU59/VLOOKUP(A59,'[49]geoMap (46)'!$A:$B,2,0)*VLOOKUP(A59,'[49]geoMap (46)'!$A:$C,3,0)</f>
        <v>#REF!</v>
      </c>
      <c r="AW59" s="1" t="e">
        <f>AN59/VLOOKUP(A59,'[87]geoMap (137)'!$A:$B,2,0)*VLOOKUP(A59,'[87]geoMap (137)'!$A:$C,3,0)</f>
        <v>#REF!</v>
      </c>
      <c r="AX59" s="1" t="e">
        <f>AN59/VLOOKUP(A59,'[70]geoMap (138)'!$A:$B,2,0)*VLOOKUP(A59,'[70]geoMap (138)'!$A:$C,3,0)</f>
        <v>#REF!</v>
      </c>
      <c r="AY59" s="1" t="e">
        <f>AN59/VLOOKUP(A59,'[88]geoMap (140)'!$A:$B,2,0)*VLOOKUP(A59,'[88]geoMap (140)'!$A:$C,3,0)</f>
        <v>#REF!</v>
      </c>
      <c r="AZ59" s="1" t="e">
        <f>AN59/VLOOKUP(A59,'[89]geoMap (141)'!$A:$B,2,0)*VLOOKUP(A59,'[89]geoMap (141)'!$A:$C,3,0)</f>
        <v>#REF!</v>
      </c>
      <c r="BA59" s="1" t="e">
        <f>AN59/VLOOKUP(A59,'[71]geoMap (143)'!$A:$B,2,0)*VLOOKUP(A59,'[71]geoMap (143)'!$A:$C,3,0)</f>
        <v>#REF!</v>
      </c>
      <c r="BB59" s="1" t="e">
        <f>AN59/VLOOKUP(A59,'[90]geoMap (144)'!$A:$B,2,0)*VLOOKUP(A59,'[90]geoMap (144)'!$A:$C,3,0)</f>
        <v>#REF!</v>
      </c>
      <c r="BC59" s="1" t="e">
        <f>AN59/VLOOKUP(A59,'[72]geoMap (146)'!$A:$B,2,0)*VLOOKUP(A59,'[72]geoMap (146)'!$A:$C,3,0)</f>
        <v>#REF!</v>
      </c>
      <c r="BD59" s="1" t="e">
        <f>AN59/VLOOKUP(A59,'[73]geoMap (147)'!$A:$B,2,0)*VLOOKUP(A59,'[73]geoMap (147)'!$A:$C,3,0)</f>
        <v>#REF!</v>
      </c>
      <c r="BE59" s="1" t="e">
        <f>AN59/VLOOKUP(A59,'[91]geoMap (148)'!$A:$B,2,0)*VLOOKUP(A59,'[91]geoMap (148)'!$A:$C,3,0)</f>
        <v>#REF!</v>
      </c>
      <c r="BF59" s="1" t="e">
        <f>AN59/VLOOKUP(A59,'[75]geoMap (150)'!$A:$B,2,0)*VLOOKUP(A59,'[75]geoMap (150)'!$A:$C,3,0)</f>
        <v>#REF!</v>
      </c>
      <c r="BG59" s="1" t="e">
        <f>AN59/VLOOKUP(A59,'[93]geoMap (152)'!$A:$B,2,0)*VLOOKUP(A59,'[93]geoMap (152)'!$A:$C,3,0)</f>
        <v>#REF!</v>
      </c>
      <c r="BH59" s="1" t="e">
        <f>AN59/VLOOKUP(A59,'[94]geoMap (154)'!$A:$B,2,0)*VLOOKUP(A59,'[94]geoMap (154)'!$A:$C,3,0)</f>
        <v>#REF!</v>
      </c>
      <c r="BI59" s="1" t="e">
        <f>AN59/VLOOKUP(A59,'[76]geoMap (156)'!$A:$B,2,0)*VLOOKUP(A59,'[76]geoMap (156)'!$A:$C,3,0)</f>
        <v>#REF!</v>
      </c>
      <c r="BJ59" s="1" t="e">
        <f>AN59/VLOOKUP(A59,'[77]geoMap (158)'!$A:$B,2,0)*VLOOKUP(A59,'[77]geoMap (158)'!$A:$C,3,0)</f>
        <v>#REF!</v>
      </c>
      <c r="BK59" s="1" t="e">
        <f>AN59/VLOOKUP(A59,'[78]geoMap (160)'!$A:$B,2,0)*VLOOKUP(A59,'[78]geoMap (160)'!$A:$C,3,0)</f>
        <v>#REF!</v>
      </c>
      <c r="BL59" s="1" t="e">
        <f>AN59/VLOOKUP(A59,'[79]geoMap (162)'!$A:$B,2,0)*VLOOKUP(A59,'[79]geoMap (162)'!$A:$C,3,0)</f>
        <v>#REF!</v>
      </c>
      <c r="BM59" s="1" t="e">
        <f>AN59/VLOOKUP(A59,'[80]geoMap (164)'!$A:$B,2,0)*VLOOKUP(A59,'[80]geoMap (164)'!$A:$C,3,0)</f>
        <v>#REF!</v>
      </c>
      <c r="BN59" s="1" t="e">
        <f>AN59/VLOOKUP(A59,'[81]geoMap (166)'!$A:$B,2,0)*VLOOKUP(A59,'[81]geoMap (166)'!$A:$C,3,0)</f>
        <v>#REF!</v>
      </c>
      <c r="BO59" s="1" t="e">
        <f>AN59/VLOOKUP(A59,'[82]geoMap (168)'!$A:$B,2,0)*VLOOKUP(A59,'[82]geoMap (168)'!$A:$C,3,0)</f>
        <v>#REF!</v>
      </c>
      <c r="BP59" s="1" t="e">
        <f>AN59/VLOOKUP(A59,'[83]geoMap (170)'!$A:$B,2,0)*VLOOKUP(A59,'[83]geoMap (170)'!$A:$C,3,0)</f>
        <v>#REF!</v>
      </c>
    </row>
    <row r="60" spans="1:68" x14ac:dyDescent="0.2">
      <c r="A60" s="1" t="s">
        <v>151</v>
      </c>
      <c r="B60" s="1">
        <f>VLOOKUP(A60,[3]geoMap!$A:$B,2,0)*Notes!$C$6</f>
        <v>4000</v>
      </c>
      <c r="C60" s="1">
        <f>B60/VLOOKUP(A60,'[4]geoMap (1)'!$A:$B,2,0)*VLOOKUP(A60,'[4]geoMap (1)'!$A:$C,3,0)</f>
        <v>1194.8051948051948</v>
      </c>
      <c r="D60" s="1">
        <f>C60/VLOOKUP(A60,'[5]geoMap (2)'!$A:$B,2,0)*VLOOKUP(A60,'[5]geoMap (2)'!$A:$C,3,0)</f>
        <v>2034.3980343980343</v>
      </c>
      <c r="E60" s="1">
        <f>D60/VLOOKUP(A60,'[6]geoMap (3)'!$A:$B,2,0)*VLOOKUP(A60,'[6]geoMap (3)'!$A:$C,3,0)</f>
        <v>1598.4555984555982</v>
      </c>
      <c r="F60" s="1">
        <f>E60/VLOOKUP(A60,'[7]geoMap (4)'!$A:$B,2,0)*VLOOKUP(A60,'[7]geoMap (4)'!$A:$C,3,0)</f>
        <v>3396.7181467181463</v>
      </c>
      <c r="G60" s="1">
        <f>F60/VLOOKUP(A60,'[8]geoMap (5)'!$A:$B,2,0)*VLOOKUP(A60,'[8]geoMap (5)'!$A:$C,3,0)</f>
        <v>958.04870804870779</v>
      </c>
      <c r="H60" s="1">
        <f>G60/VLOOKUP(A60,'[9]geoMap (6)'!$A:$B,2,0)*VLOOKUP(A60,'[9]geoMap (6)'!$A:$C,3,0)</f>
        <v>1124.6658746658743</v>
      </c>
      <c r="I60" s="1">
        <f>H60/VLOOKUP(A60,'[10]geoMap (7)'!$A:$B,2,0)*VLOOKUP(A60,'[10]geoMap (7)'!$A:$C,3,0)</f>
        <v>689.31134253714879</v>
      </c>
      <c r="J60" s="1">
        <f>I60/VLOOKUP(A60,'[11]geoMap (8)'!$A:$B,2,0)*VLOOKUP(A60,'[11]geoMap (8)'!$A:$C,3,0)</f>
        <v>746.75395441524449</v>
      </c>
      <c r="K60" s="1">
        <f>J60/VLOOKUP(A60,'[12]geoMap (9)'!$A:$B,2,0)*VLOOKUP(A60,'[12]geoMap (9)'!$A:$C,3,0)</f>
        <v>989.88314887602178</v>
      </c>
      <c r="L60" s="1">
        <f>K60/VLOOKUP(A60,'[13]geoMap (10)'!$A:$B,2,0)*VLOOKUP(A60,'[13]geoMap (10)'!$A:$C,3,0)</f>
        <v>63.184030779320544</v>
      </c>
      <c r="M60" s="1">
        <f>L60/VLOOKUP(A60,'[14]geoMap (11)'!$A:$B,2,0)*VLOOKUP(A60,'[14]geoMap (11)'!$A:$C,3,0)</f>
        <v>211.52914652207312</v>
      </c>
      <c r="N60" s="1">
        <f>M60/VLOOKUP(A60,'[15]geoMap (12)'!$A:$B,2,0)*VLOOKUP(A60,'[15]geoMap (12)'!$A:$C,3,0)</f>
        <v>95.034833944699514</v>
      </c>
      <c r="O60" s="1">
        <f>N60/VLOOKUP(A60,'[16]geoMap (13)'!$A:$B,2,0)*VLOOKUP(A60,'[16]geoMap (13)'!$A:$C,3,0)</f>
        <v>221.74794587096551</v>
      </c>
      <c r="P60" s="1">
        <f>O60/VLOOKUP(A60,'[17]geoMap (14)'!$A:$B,2,0)*VLOOKUP(A60,'[17]geoMap (14)'!$A:$C,3,0)</f>
        <v>86.235312283153277</v>
      </c>
      <c r="Q60" s="1">
        <f>P60/VLOOKUP(A60,'[18]geoMap (15)'!$A:$B,2,0)*VLOOKUP(A60,'[18]geoMap (15)'!$A:$C,3,0)</f>
        <v>211.12783352082357</v>
      </c>
      <c r="R60" s="1">
        <f>Q60/VLOOKUP(A60,'[19]geoMap (16)'!$A:$B,2,0)*VLOOKUP(A60,'[19]geoMap (16)'!$A:$C,3,0)</f>
        <v>40.214825432537822</v>
      </c>
      <c r="S60" s="1">
        <f>R60/VLOOKUP(A60,'[20]geoMap (17)'!$A:$B,2,0)*VLOOKUP(A60,'[20]geoMap (17)'!$A:$C,3,0)</f>
        <v>38.637773454791244</v>
      </c>
      <c r="T60" s="1">
        <f>S60/VLOOKUP(A60,'[21]geoMap (18)'!$A:$B,2,0)*VLOOKUP(A60,'[21]geoMap (18)'!$A:$C,3,0)</f>
        <v>16.559045766339107</v>
      </c>
      <c r="U60" s="1">
        <f>T60/VLOOKUP(A60,'[22]geoMap (19)'!$A:$B,2,0)*VLOOKUP(A60,'[22]geoMap (19)'!$A:$C,3,0)</f>
        <v>70.593826688077257</v>
      </c>
      <c r="V60" s="1">
        <f>U60/VLOOKUP(A60,'[23]geoMap (20)'!$A:$B,2,0)*VLOOKUP(A60,'[23]geoMap (20)'!$A:$C,3,0)</f>
        <v>27.453154823141158</v>
      </c>
      <c r="W60" s="1">
        <f>V60/VLOOKUP(A60,'[24]geoMap (21)'!$A:$B,2,0)*VLOOKUP(A60,'[24]geoMap (21)'!$A:$C,3,0)</f>
        <v>9.6457030459685154</v>
      </c>
      <c r="X60" s="1">
        <f>W60/VLOOKUP(A60,'[25]geoMap (22)'!$A:$B,2,0)*VLOOKUP(A60,'[25]geoMap (22)'!$A:$C,3,0)</f>
        <v>15.086868866771267</v>
      </c>
      <c r="Y60" s="1">
        <f>X60/VLOOKUP(A60,'[26]geoMap (23)'!$A:$B,2,0)*VLOOKUP(A60,'[26]geoMap (23)'!$A:$C,3,0)</f>
        <v>22.6303033001569</v>
      </c>
      <c r="Z60" s="1">
        <f>Y60/VLOOKUP(A60,'[27]geoMap (24)'!$A:$B,2,0)*VLOOKUP(A60,'[27]geoMap (24)'!$A:$C,3,0)</f>
        <v>45.946373366985227</v>
      </c>
      <c r="AA60" s="1">
        <f>Z60/VLOOKUP(A60,'[28]geoMap (25)'!$A:$B,2,0)*VLOOKUP(A60,'[28]geoMap (25)'!$A:$C,3,0)</f>
        <v>19.691302871565096</v>
      </c>
      <c r="AB60" s="1">
        <f>AA60*VLOOKUP(A60,'[29]geoMap (26)'!$A:$B,2,0)*VLOOKUP(A60,'[29]geoMap (26)'!$A:$C,3,0)</f>
        <v>4.7968013795132567</v>
      </c>
      <c r="AC60" s="1">
        <f>AB60/VLOOKUP(A60,'[30]geoMap (27)'!$A:$B,2,0)*VLOOKUP(A60,'[30]geoMap (27)'!$A:$C,3,0)</f>
        <v>6.3585506658664093</v>
      </c>
      <c r="AD60" s="1">
        <f>AC60/VLOOKUP(A60,'[31]geoMap (28)'!$A:$B,2,0)*VLOOKUP(A60,'[31]geoMap (28)'!$A:$C,3,0)</f>
        <v>2.7250931425141758</v>
      </c>
      <c r="AE60" s="1">
        <f>AD60/VLOOKUP(A60,'[32]geoMap (29)'!$A:$B,2,0)*VLOOKUP(A60,'[32]geoMap (29)'!$A:$C,3,0)</f>
        <v>7.7560343286941915</v>
      </c>
      <c r="AF60" s="1">
        <f>AE60/VLOOKUP(A60,'[33]geoMap (30)'!$A:$B,2,0)*VLOOKUP(A60,'[33]geoMap (30)'!$A:$C,3,0)</f>
        <v>1.8193166943850572</v>
      </c>
      <c r="AG60" s="1">
        <f>AF60/VLOOKUP(A60,'[34]geoMap (31)'!$A:$B,2,0)*VLOOKUP(A60,'[34]geoMap (31)'!$A:$C,3,0)</f>
        <v>3.0977554526015836</v>
      </c>
      <c r="AH60" s="1">
        <f>AG60/VLOOKUP(A60,'[35]geoMap (32)'!$A:$B,2,0)*VLOOKUP(A60,'[35]geoMap (32)'!$A:$C,3,0)</f>
        <v>1.9805321746141273</v>
      </c>
      <c r="AI60" s="1">
        <f>AH60/VLOOKUP(A60,'[36]geoMap (33)'!$A:$B,2,0)*VLOOKUP(A60,'[36]geoMap (33)'!$A:$C,3,0)</f>
        <v>0.97548599645173439</v>
      </c>
      <c r="AJ60" s="1">
        <f>AI60/VLOOKUP(A60,'[37]geoMap (34)'!$A:$B,2,0)*VLOOKUP(A60,'[37]geoMap (34)'!$A:$C,3,0)</f>
        <v>1.6609626426070072</v>
      </c>
      <c r="AK60" s="1">
        <f>AJ60/VLOOKUP(A60,'[38]geoMap (35)'!$A:$B,2,0)*VLOOKUP(A60,'[38]geoMap (35)'!$A:$C,3,0)</f>
        <v>3.372257486505136</v>
      </c>
      <c r="AL60" s="1">
        <f>AK60/VLOOKUP(A60,'[39]geoMap (36)'!$A:$B,2,0)*VLOOKUP(A60,'[39]geoMap (36)'!$A:$C,3,0)</f>
        <v>0.37469527627834842</v>
      </c>
      <c r="AM60" s="1">
        <f>AL60/VLOOKUP(A60,'[40]geoMap (37)'!$A:$B,2,0)*VLOOKUP(A60,'[40]geoMap (37)'!$A:$C,3,0)</f>
        <v>2.5075760797089472</v>
      </c>
      <c r="AN60" s="1">
        <f>AM60/VLOOKUP(A60,'[41]geoMap (38)'!$A:$B,2,0)*VLOOKUP(A60,'[41]geoMap (38)'!$A:$C,3,0)</f>
        <v>2.4092397628576157</v>
      </c>
      <c r="AO60" s="1">
        <f>AN60/VLOOKUP(A60,'[42]geoMap (39)'!$A:$B,2,0)*VLOOKUP(A60,'[42]geoMap (39)'!$A:$C,3,0)</f>
        <v>2.8282379824850272</v>
      </c>
      <c r="AP60" s="1">
        <f>AO60/VLOOKUP(A60,'[43]geoMap (40)'!$A:$B,2,0)*VLOOKUP(A60,'[43]geoMap (40)'!$A:$C,3,0)</f>
        <v>0.21287812771392678</v>
      </c>
      <c r="AQ60" s="1">
        <f>AP60/VLOOKUP(A60,'[44]geoMap (41)'!$A:$B,2,0)*VLOOKUP(A60,'[44]geoMap (41)'!$A:$C,3,0)</f>
        <v>0.6058839019550224</v>
      </c>
      <c r="AR60" s="1">
        <f>AQ60/VLOOKUP(A60,'[45]geoMap (42)'!$A:$B,2,0)*VLOOKUP(A60,'[45]geoMap (42)'!$A:$C,3,0)</f>
        <v>0.24747370643233307</v>
      </c>
      <c r="AS60" s="1">
        <f>AR60/VLOOKUP(A60,'[46]geoMap (43)'!$A:$B,2,0)*VLOOKUP(A60,'[46]geoMap (43)'!$A:$C,3,0)</f>
        <v>0.50244661608988839</v>
      </c>
      <c r="AT60" s="1">
        <f>AS60/VLOOKUP(A60,'[47]geoMap (44)'!$A:$B,2,0)*VLOOKUP(A60,'[47]geoMap (44)'!$A:$C,3,0)</f>
        <v>0.46379687639066614</v>
      </c>
      <c r="AU60" s="1">
        <f>AT60/VLOOKUP(A60,'[48]geoMap (45)'!$A:$B,2,0)*VLOOKUP(A60,'[48]geoMap (45)'!$A:$C,3,0)</f>
        <v>0.13853672931149766</v>
      </c>
      <c r="AV60" s="1">
        <f>AU60/VLOOKUP(A60,'[49]geoMap (46)'!$A:$B,2,0)*VLOOKUP(A60,'[49]geoMap (46)'!$A:$C,3,0)</f>
        <v>1.1208880826112084</v>
      </c>
      <c r="AW60" s="1">
        <f>AV60/VLOOKUP(A60,'[50]geoMap (47)'!$A:$B,2,0)*VLOOKUP(A60,'[50]geoMap (47)'!$A:$C,3,0)</f>
        <v>0.60355512140603529</v>
      </c>
      <c r="AX60" s="1">
        <f>AW60/VLOOKUP(A60,'[51]geoMap (48)'!$A:$B,2,0)*VLOOKUP(A60,'[51]geoMap (48)'!$A:$C,3,0)</f>
        <v>0.45531351263964071</v>
      </c>
      <c r="AY60" s="1">
        <f>AX60/VLOOKUP(A60,'[52]geoMap (49)'!$A:$B,2,0)*VLOOKUP(A60,'[52]geoMap (49)'!$A:$C,3,0)</f>
        <v>7.4120804383197333E-2</v>
      </c>
      <c r="AZ60" s="1">
        <f>AY60/VLOOKUP(A60,'[53]geoMap (50)'!$A:$B,2,0)*VLOOKUP(A60,'[53]geoMap (50)'!$A:$C,3,0)</f>
        <v>0.6670872394487759</v>
      </c>
      <c r="BA60" s="1" t="e">
        <f>AZ60/VLOOKUP(A60,'[54]geoMap (51)'!$A:$B,2,0)*VLOOKUP(A60,'[54]geoMap (51)'!$A:$C,3,0)</f>
        <v>#REF!</v>
      </c>
      <c r="BB60" s="1">
        <f>AN60/VLOOKUP(A60,'[90]geoMap (144)'!$A:$B,2,0)*VLOOKUP(A60,'[90]geoMap (144)'!$A:$C,3,0)</f>
        <v>0.49345874660939121</v>
      </c>
      <c r="BC60" s="1" t="e">
        <f>BB60/VLOOKUP(A60,'[56]geoMap (53)'!$A:$B,2,0)*VLOOKUP(A60,'[56]geoMap (53)'!$A:$C,3,0)</f>
        <v>#REF!</v>
      </c>
      <c r="BD60" s="1" t="e">
        <f>AN60/VLOOKUP(A60,'[73]geoMap (147)'!$A:$B,2,0)*VLOOKUP(A60,'[73]geoMap (147)'!$A:$C,3,0)</f>
        <v>#REF!</v>
      </c>
      <c r="BE60" s="1" t="e">
        <f>AN60/VLOOKUP(A60,'[91]geoMap (148)'!$A:$B,2,0)*VLOOKUP(A60,'[91]geoMap (148)'!$A:$C,3,0)</f>
        <v>#REF!</v>
      </c>
      <c r="BF60" s="1" t="e">
        <f>AN60/VLOOKUP(A60,'[75]geoMap (150)'!$A:$B,2,0)*VLOOKUP(A60,'[75]geoMap (150)'!$A:$C,3,0)</f>
        <v>#REF!</v>
      </c>
      <c r="BG60" s="1" t="e">
        <f>AN60/VLOOKUP(A60,'[93]geoMap (152)'!$A:$B,2,0)*VLOOKUP(A60,'[93]geoMap (152)'!$A:$C,3,0)</f>
        <v>#REF!</v>
      </c>
      <c r="BH60" s="1" t="e">
        <f>AN60/VLOOKUP(A60,'[94]geoMap (154)'!$A:$B,2,0)*VLOOKUP(A60,'[94]geoMap (154)'!$A:$C,3,0)</f>
        <v>#REF!</v>
      </c>
      <c r="BI60" s="1" t="e">
        <f>AN60/VLOOKUP(A60,'[76]geoMap (156)'!$A:$B,2,0)*VLOOKUP(A60,'[76]geoMap (156)'!$A:$C,3,0)</f>
        <v>#REF!</v>
      </c>
      <c r="BJ60" s="1" t="e">
        <f>AN60/VLOOKUP(A60,'[77]geoMap (158)'!$A:$B,2,0)*VLOOKUP(A60,'[77]geoMap (158)'!$A:$C,3,0)</f>
        <v>#REF!</v>
      </c>
      <c r="BK60" s="1" t="e">
        <f>AN60/VLOOKUP(A60,'[78]geoMap (160)'!$A:$B,2,0)*VLOOKUP(A60,'[78]geoMap (160)'!$A:$C,3,0)</f>
        <v>#REF!</v>
      </c>
      <c r="BL60" s="1" t="e">
        <f>AN60/VLOOKUP(A60,'[79]geoMap (162)'!$A:$B,2,0)*VLOOKUP(A60,'[79]geoMap (162)'!$A:$C,3,0)</f>
        <v>#REF!</v>
      </c>
      <c r="BM60" s="1" t="e">
        <f>AN60/VLOOKUP(A60,'[80]geoMap (164)'!$A:$B,2,0)*VLOOKUP(A60,'[80]geoMap (164)'!$A:$C,3,0)</f>
        <v>#REF!</v>
      </c>
      <c r="BN60" s="1" t="e">
        <f>AN60/VLOOKUP(A60,'[81]geoMap (166)'!$A:$B,2,0)*VLOOKUP(A60,'[81]geoMap (166)'!$A:$C,3,0)</f>
        <v>#REF!</v>
      </c>
      <c r="BO60" s="1" t="e">
        <f>AN60/VLOOKUP(A60,'[82]geoMap (168)'!$A:$B,2,0)*VLOOKUP(A60,'[82]geoMap (168)'!$A:$C,3,0)</f>
        <v>#REF!</v>
      </c>
      <c r="BP60" s="1" t="e">
        <f>AN60/VLOOKUP(A60,'[83]geoMap (170)'!$A:$B,2,0)*VLOOKUP(A60,'[83]geoMap (170)'!$A:$C,3,0)</f>
        <v>#REF!</v>
      </c>
    </row>
    <row r="61" spans="1:68" x14ac:dyDescent="0.2">
      <c r="A61" s="1" t="s">
        <v>162</v>
      </c>
      <c r="B61" s="1">
        <f>VLOOKUP(A61,[3]geoMap!$A:$B,2,0)*Notes!$C$6</f>
        <v>3000</v>
      </c>
      <c r="C61" s="1">
        <f>B61/VLOOKUP(A61,'[4]geoMap (1)'!$A:$B,2,0)*VLOOKUP(A61,'[4]geoMap (1)'!$A:$C,3,0)</f>
        <v>4894.7368421052633</v>
      </c>
      <c r="D61" s="1">
        <f>C61/VLOOKUP(A61,'[5]geoMap (2)'!$A:$B,2,0)*VLOOKUP(A61,'[5]geoMap (2)'!$A:$C,3,0)</f>
        <v>3845.8646616541355</v>
      </c>
      <c r="E61" s="1">
        <f>D61/VLOOKUP(A61,'[6]geoMap (3)'!$A:$B,2,0)*VLOOKUP(A61,'[6]geoMap (3)'!$A:$C,3,0)</f>
        <v>3695.0464396284833</v>
      </c>
      <c r="F61" s="1">
        <f>E61/VLOOKUP(A61,'[7]geoMap (4)'!$A:$B,2,0)*VLOOKUP(A61,'[7]geoMap (4)'!$A:$C,3,0)</f>
        <v>2903.2507739938078</v>
      </c>
      <c r="G61" s="1">
        <f>F61/VLOOKUP(A61,'[8]geoMap (5)'!$A:$B,2,0)*VLOOKUP(A61,'[8]geoMap (5)'!$A:$C,3,0)</f>
        <v>2679.9237913788998</v>
      </c>
      <c r="H61" s="1">
        <f>G61/VLOOKUP(A61,'[9]geoMap (6)'!$A:$B,2,0)*VLOOKUP(A61,'[9]geoMap (6)'!$A:$C,3,0)</f>
        <v>941.59484561961347</v>
      </c>
      <c r="I61" s="1">
        <f>H61/VLOOKUP(A61,'[10]geoMap (7)'!$A:$B,2,0)*VLOOKUP(A61,'[10]geoMap (7)'!$A:$C,3,0)</f>
        <v>1248.16060930972</v>
      </c>
      <c r="J61" s="1">
        <f>I61/VLOOKUP(A61,'[11]geoMap (8)'!$A:$B,2,0)*VLOOKUP(A61,'[11]geoMap (8)'!$A:$C,3,0)</f>
        <v>1352.1739934188633</v>
      </c>
      <c r="K61" s="1">
        <f>J61/VLOOKUP(A61,'[12]geoMap (9)'!$A:$B,2,0)*VLOOKUP(A61,'[12]geoMap (9)'!$A:$C,3,0)</f>
        <v>728.09368876400333</v>
      </c>
      <c r="L61" s="1">
        <f>K61/VLOOKUP(A61,'[13]geoMap (10)'!$A:$B,2,0)*VLOOKUP(A61,'[13]geoMap (10)'!$A:$C,3,0)</f>
        <v>549.26365994477442</v>
      </c>
      <c r="M61" s="1">
        <f>L61/VLOOKUP(A61,'[14]geoMap (11)'!$A:$B,2,0)*VLOOKUP(A61,'[14]geoMap (11)'!$A:$C,3,0)</f>
        <v>671.32225104361316</v>
      </c>
      <c r="N61" s="1">
        <f>M61/VLOOKUP(A61,'[15]geoMap (12)'!$A:$B,2,0)*VLOOKUP(A61,'[15]geoMap (12)'!$A:$C,3,0)</f>
        <v>486.12990592813372</v>
      </c>
      <c r="O61" s="1">
        <f>N61/VLOOKUP(A61,'[16]geoMap (13)'!$A:$B,2,0)*VLOOKUP(A61,'[16]geoMap (13)'!$A:$C,3,0)</f>
        <v>337.81908717039801</v>
      </c>
      <c r="P61" s="1">
        <f>O61/VLOOKUP(A61,'[17]geoMap (14)'!$A:$B,2,0)*VLOOKUP(A61,'[17]geoMap (14)'!$A:$C,3,0)</f>
        <v>365.97067776793119</v>
      </c>
      <c r="Q61" s="1">
        <f>P61/VLOOKUP(A61,'[18]geoMap (15)'!$A:$B,2,0)*VLOOKUP(A61,'[18]geoMap (15)'!$A:$C,3,0)</f>
        <v>233.98125299916913</v>
      </c>
      <c r="R61" s="1">
        <f>Q61/VLOOKUP(A61,'[19]geoMap (16)'!$A:$B,2,0)*VLOOKUP(A61,'[19]geoMap (16)'!$A:$C,3,0)</f>
        <v>143.40786474142624</v>
      </c>
      <c r="S61" s="1">
        <f>R61/VLOOKUP(A61,'[20]geoMap (17)'!$A:$B,2,0)*VLOOKUP(A61,'[20]geoMap (17)'!$A:$C,3,0)</f>
        <v>198.03943226196955</v>
      </c>
      <c r="T61" s="1">
        <f>S61/VLOOKUP(A61,'[21]geoMap (18)'!$A:$B,2,0)*VLOOKUP(A61,'[21]geoMap (18)'!$A:$C,3,0)</f>
        <v>73.247461247577789</v>
      </c>
      <c r="U61" s="1">
        <f>T61/VLOOKUP(A61,'[22]geoMap (19)'!$A:$B,2,0)*VLOOKUP(A61,'[22]geoMap (19)'!$A:$C,3,0)</f>
        <v>93.224041587826292</v>
      </c>
      <c r="V61" s="1">
        <f>U61/VLOOKUP(A61,'[23]geoMap (20)'!$A:$B,2,0)*VLOOKUP(A61,'[23]geoMap (20)'!$A:$C,3,0)</f>
        <v>38.077425437281157</v>
      </c>
      <c r="W61" s="1">
        <f>V61/VLOOKUP(A61,'[24]geoMap (21)'!$A:$B,2,0)*VLOOKUP(A61,'[24]geoMap (21)'!$A:$C,3,0)</f>
        <v>36.584193067191698</v>
      </c>
      <c r="X61" s="1">
        <f>W61/VLOOKUP(A61,'[25]geoMap (22)'!$A:$B,2,0)*VLOOKUP(A61,'[25]geoMap (22)'!$A:$C,3,0)</f>
        <v>71.016374777489773</v>
      </c>
      <c r="Y61" s="1">
        <f>X61/VLOOKUP(A61,'[26]geoMap (23)'!$A:$B,2,0)*VLOOKUP(A61,'[26]geoMap (23)'!$A:$C,3,0)</f>
        <v>58.104306636127987</v>
      </c>
      <c r="Z61" s="1">
        <f>Y61/VLOOKUP(A61,'[27]geoMap (24)'!$A:$B,2,0)*VLOOKUP(A61,'[27]geoMap (24)'!$A:$C,3,0)</f>
        <v>40.377569018326227</v>
      </c>
      <c r="AA61" s="1">
        <f>Z61/VLOOKUP(A61,'[28]geoMap (25)'!$A:$B,2,0)*VLOOKUP(A61,'[28]geoMap (25)'!$A:$C,3,0)</f>
        <v>38.794134939176175</v>
      </c>
      <c r="AB61" s="1">
        <f>AA61*VLOOKUP(A61,'[29]geoMap (26)'!$A:$B,2,0)*VLOOKUP(A61,'[29]geoMap (26)'!$A:$C,3,0)</f>
        <v>9.663619013348784</v>
      </c>
      <c r="AC61" s="1">
        <f>AB61/VLOOKUP(A61,'[30]geoMap (27)'!$A:$B,2,0)*VLOOKUP(A61,'[30]geoMap (27)'!$A:$C,3,0)</f>
        <v>8.9202637046296456</v>
      </c>
      <c r="AD61" s="1">
        <f>AC61/VLOOKUP(A61,'[31]geoMap (28)'!$A:$B,2,0)*VLOOKUP(A61,'[31]geoMap (28)'!$A:$C,3,0)</f>
        <v>8.9202637046296456</v>
      </c>
      <c r="AE61" s="1">
        <f>AD61/VLOOKUP(A61,'[32]geoMap (29)'!$A:$B,2,0)*VLOOKUP(A61,'[32]geoMap (29)'!$A:$C,3,0)</f>
        <v>7.2983975765151641</v>
      </c>
      <c r="AF61" s="1">
        <f>AE61/VLOOKUP(A61,'[33]geoMap (30)'!$A:$B,2,0)*VLOOKUP(A61,'[33]geoMap (30)'!$A:$C,3,0)</f>
        <v>4.8655983843434427</v>
      </c>
      <c r="AG61" s="1">
        <f>AF61/VLOOKUP(A61,'[34]geoMap (31)'!$A:$B,2,0)*VLOOKUP(A61,'[34]geoMap (31)'!$A:$C,3,0)</f>
        <v>9.0361112852092518</v>
      </c>
      <c r="AH61" s="1">
        <f>AG61/VLOOKUP(A61,'[35]geoMap (32)'!$A:$B,2,0)*VLOOKUP(A61,'[35]geoMap (32)'!$A:$C,3,0)</f>
        <v>4.2522876636278832</v>
      </c>
      <c r="AI61" s="1">
        <f>AH61/VLOOKUP(A61,'[36]geoMap (33)'!$A:$B,2,0)*VLOOKUP(A61,'[36]geoMap (33)'!$A:$C,3,0)</f>
        <v>3.9251886125795843</v>
      </c>
      <c r="AJ61" s="1">
        <f>AI61/VLOOKUP(A61,'[37]geoMap (34)'!$A:$B,2,0)*VLOOKUP(A61,'[37]geoMap (34)'!$A:$C,3,0)</f>
        <v>3.6232510269965394</v>
      </c>
      <c r="AK61" s="1">
        <f>AJ61/VLOOKUP(A61,'[38]geoMap (35)'!$A:$B,2,0)*VLOOKUP(A61,'[38]geoMap (35)'!$A:$C,3,0)</f>
        <v>5.0035371325190301</v>
      </c>
      <c r="AL61" s="1">
        <f>AK61/VLOOKUP(A61,'[39]geoMap (36)'!$A:$B,2,0)*VLOOKUP(A61,'[39]geoMap (36)'!$A:$C,3,0)</f>
        <v>0.61841470177201496</v>
      </c>
      <c r="AM61" s="1">
        <f>AL61/VLOOKUP(A61,'[40]geoMap (37)'!$A:$B,2,0)*VLOOKUP(A61,'[40]geoMap (37)'!$A:$C,3,0)</f>
        <v>2.0703448711497892</v>
      </c>
      <c r="AN61" s="1">
        <f>AM61/VLOOKUP(A61,'[41]geoMap (38)'!$A:$B,2,0)*VLOOKUP(A61,'[41]geoMap (38)'!$A:$C,3,0)</f>
        <v>0.69011495704992976</v>
      </c>
      <c r="AO61" s="1">
        <f>AN61/VLOOKUP(A61,'[42]geoMap (39)'!$A:$B,2,0)*VLOOKUP(A61,'[42]geoMap (39)'!$A:$C,3,0)</f>
        <v>2.3103848562106344</v>
      </c>
      <c r="AP61" s="1">
        <f>AO61/VLOOKUP(A61,'[43]geoMap (40)'!$A:$B,2,0)*VLOOKUP(A61,'[43]geoMap (40)'!$A:$C,3,0)</f>
        <v>2.2197815285161</v>
      </c>
      <c r="AQ61" s="1">
        <f>AP61/VLOOKUP(A61,'[44]geoMap (41)'!$A:$B,2,0)*VLOOKUP(A61,'[44]geoMap (41)'!$A:$C,3,0)</f>
        <v>1.8161848869677182</v>
      </c>
      <c r="AR61" s="1">
        <f>AQ61/VLOOKUP(A61,'[45]geoMap (42)'!$A:$B,2,0)*VLOOKUP(A61,'[45]geoMap (42)'!$A:$C,3,0)</f>
        <v>2.4075008966781377</v>
      </c>
      <c r="AS61" s="1">
        <f>AR61/VLOOKUP(A61,'[46]geoMap (43)'!$A:$B,2,0)*VLOOKUP(A61,'[46]geoMap (43)'!$A:$C,3,0)</f>
        <v>1.1857840237369932</v>
      </c>
      <c r="AT61" s="1">
        <f>AS61/VLOOKUP(A61,'[47]geoMap (44)'!$A:$B,2,0)*VLOOKUP(A61,'[47]geoMap (44)'!$A:$C,3,0)</f>
        <v>0.63849908970453473</v>
      </c>
      <c r="AU61" s="1">
        <f>AT61/VLOOKUP(A61,'[48]geoMap (45)'!$A:$B,2,0)*VLOOKUP(A61,'[48]geoMap (45)'!$A:$C,3,0)</f>
        <v>1.6418548020973749</v>
      </c>
      <c r="AV61" s="1">
        <f>AU61/VLOOKUP(A61,'[49]geoMap (46)'!$A:$B,2,0)*VLOOKUP(A61,'[49]geoMap (46)'!$A:$C,3,0)</f>
        <v>0.38512643505987798</v>
      </c>
      <c r="AW61" s="1">
        <f>AV61/VLOOKUP(A61,'[50]geoMap (47)'!$A:$B,2,0)*VLOOKUP(A61,'[50]geoMap (47)'!$A:$C,3,0)</f>
        <v>3.1160229745753765</v>
      </c>
      <c r="AX61" s="1">
        <f>AW61/VLOOKUP(A61,'[51]geoMap (48)'!$A:$B,2,0)*VLOOKUP(A61,'[51]geoMap (48)'!$A:$C,3,0)</f>
        <v>0.12983429060730736</v>
      </c>
      <c r="AY61" s="1">
        <f>AX61/VLOOKUP(A61,'[52]geoMap (49)'!$A:$B,2,0)*VLOOKUP(A61,'[52]geoMap (49)'!$A:$C,3,0)</f>
        <v>0.73572764677474178</v>
      </c>
      <c r="AZ61" s="1">
        <f>AY61/VLOOKUP(A61,'[53]geoMap (50)'!$A:$B,2,0)*VLOOKUP(A61,'[53]geoMap (50)'!$A:$C,3,0)</f>
        <v>0.86368028099643601</v>
      </c>
      <c r="BA61" s="1">
        <f>AZ61/VLOOKUP(A61,'[54]geoMap (51)'!$A:$B,2,0)*VLOOKUP(A61,'[54]geoMap (51)'!$A:$C,3,0)</f>
        <v>0.24360213053745627</v>
      </c>
      <c r="BB61" s="1">
        <f>BA61/VLOOKUP(A61,'[55]geoMap (52)'!$A:$B,2,0)*VLOOKUP(A61,'[55]geoMap (52)'!$A:$C,3,0)</f>
        <v>0.12549200664050777</v>
      </c>
      <c r="BC61" s="1">
        <f>BB61/VLOOKUP(A61,'[56]geoMap (53)'!$A:$B,2,0)*VLOOKUP(A61,'[56]geoMap (53)'!$A:$C,3,0)</f>
        <v>0.11128536437931821</v>
      </c>
      <c r="BD61" s="1">
        <f>BC61/VLOOKUP(A61,'[57]geoMap (54)'!$A:$B,2,0)*VLOOKUP(A61,'[57]geoMap (54)'!$A:$C,3,0)</f>
        <v>0.15367978890477277</v>
      </c>
      <c r="BE61" s="1">
        <f>BD61/VLOOKUP(A61,'[58]geoMap (55)'!$A:$B,2,0)*VLOOKUP(A61,'[58]geoMap (55)'!$A:$C,3,0)</f>
        <v>0.22114896452150229</v>
      </c>
      <c r="BF61" s="1" t="e">
        <f>BE61/VLOOKUP(A61,'[59]geoMap (56)'!$A:$B,2,0)*VLOOKUP(A61,'[59]geoMap (56)'!$A:$C,3,0)</f>
        <v>#REF!</v>
      </c>
      <c r="BG61" s="1">
        <f>AN61/VLOOKUP(A61,'[93]geoMap (152)'!$A:$B,2,0)*VLOOKUP(A61,'[93]geoMap (152)'!$A:$C,3,0)</f>
        <v>0.13145046800951043</v>
      </c>
      <c r="BH61" s="1">
        <f>BG61/VLOOKUP(A61,'[61]geoMap (58)'!$A:$B,2,0)*VLOOKUP(A61,'[61]geoMap (58)'!$A:$C,3,0)</f>
        <v>4.3816822669836809E-2</v>
      </c>
      <c r="BI61" s="1" t="e">
        <f>BH61/VLOOKUP(A61,'[62]geoMap (59)'!$A:$B,2,0)*VLOOKUP(A61,'[62]geoMap (59)'!$A:$C,3,0)</f>
        <v>#REF!</v>
      </c>
      <c r="BJ61" s="1">
        <f>AN61/VLOOKUP(A61,'[77]geoMap (158)'!$A:$B,2,0)*VLOOKUP(A61,'[77]geoMap (158)'!$A:$C,3,0)</f>
        <v>5.1944136552145255E-2</v>
      </c>
      <c r="BK61" s="1">
        <f>BJ61/VLOOKUP(A61,'[64]geoMap (61)'!$A:$B,2,0)*VLOOKUP(A61,'[64]geoMap (61)'!$A:$C,3,0)</f>
        <v>0.1335706368483735</v>
      </c>
      <c r="BL61" s="1" t="e">
        <f>BK61/VLOOKUP(A61,'[65]geoMap (62)'!$A:$B,2,0)*VLOOKUP(A61,'[65]geoMap (62)'!$A:$C,3,0)</f>
        <v>#REF!</v>
      </c>
      <c r="BM61" s="1" t="e">
        <f>AN61/VLOOKUP(A61,'[80]geoMap (164)'!$A:$B,2,0)*VLOOKUP(A61,'[80]geoMap (164)'!$A:$C,3,0)</f>
        <v>#REF!</v>
      </c>
      <c r="BN61" s="1" t="e">
        <f>AN61/VLOOKUP(A61,'[81]geoMap (166)'!$A:$B,2,0)*VLOOKUP(A61,'[81]geoMap (166)'!$A:$C,3,0)</f>
        <v>#REF!</v>
      </c>
      <c r="BO61" s="1" t="e">
        <f>AN61/VLOOKUP(A61,'[82]geoMap (168)'!$A:$B,2,0)*VLOOKUP(A61,'[82]geoMap (168)'!$A:$C,3,0)</f>
        <v>#REF!</v>
      </c>
      <c r="BP61" s="1" t="e">
        <f>AN61/VLOOKUP(A61,'[83]geoMap (170)'!$A:$B,2,0)*VLOOKUP(A61,'[83]geoMap (170)'!$A:$C,3,0)</f>
        <v>#REF!</v>
      </c>
    </row>
    <row r="62" spans="1:68" x14ac:dyDescent="0.2">
      <c r="A62" s="1" t="s">
        <v>159</v>
      </c>
      <c r="B62" s="1">
        <f>VLOOKUP(A62,[3]geoMap!$A:$B,2,0)*Notes!$C$6</f>
        <v>3000</v>
      </c>
      <c r="C62" s="1">
        <f>B62/VLOOKUP(A62,'[4]geoMap (1)'!$A:$B,2,0)*VLOOKUP(A62,'[4]geoMap (1)'!$A:$C,3,0)</f>
        <v>2660.3773584905657</v>
      </c>
      <c r="D62" s="1">
        <f>C62/VLOOKUP(A62,'[5]geoMap (2)'!$A:$B,2,0)*VLOOKUP(A62,'[5]geoMap (2)'!$A:$C,3,0)</f>
        <v>2556.0488346281909</v>
      </c>
      <c r="E62" s="1">
        <f>D62/VLOOKUP(A62,'[6]geoMap (3)'!$A:$B,2,0)*VLOOKUP(A62,'[6]geoMap (3)'!$A:$C,3,0)</f>
        <v>3124.0596867677891</v>
      </c>
      <c r="F62" s="1">
        <f>E62/VLOOKUP(A62,'[7]geoMap (4)'!$A:$B,2,0)*VLOOKUP(A62,'[7]geoMap (4)'!$A:$C,3,0)</f>
        <v>1997.3496358023572</v>
      </c>
      <c r="G62" s="1">
        <f>F62/VLOOKUP(A62,'[8]geoMap (5)'!$A:$B,2,0)*VLOOKUP(A62,'[8]geoMap (5)'!$A:$C,3,0)</f>
        <v>1276.9940294474086</v>
      </c>
      <c r="H62" s="1">
        <f>G62/VLOOKUP(A62,'[9]geoMap (6)'!$A:$B,2,0)*VLOOKUP(A62,'[9]geoMap (6)'!$A:$C,3,0)</f>
        <v>547.28315547746081</v>
      </c>
      <c r="I62" s="1">
        <f>H62/VLOOKUP(A62,'[10]geoMap (7)'!$A:$B,2,0)*VLOOKUP(A62,'[10]geoMap (7)'!$A:$C,3,0)</f>
        <v>617.14909021926439</v>
      </c>
      <c r="J62" s="1">
        <f>I62/VLOOKUP(A62,'[11]geoMap (8)'!$A:$B,2,0)*VLOOKUP(A62,'[11]geoMap (8)'!$A:$C,3,0)</f>
        <v>592.94716511262652</v>
      </c>
      <c r="K62" s="1">
        <f>J62/VLOOKUP(A62,'[12]geoMap (9)'!$A:$B,2,0)*VLOOKUP(A62,'[12]geoMap (9)'!$A:$C,3,0)</f>
        <v>525.82107094893297</v>
      </c>
      <c r="L62" s="1">
        <f>K62/VLOOKUP(A62,'[13]geoMap (10)'!$A:$B,2,0)*VLOOKUP(A62,'[13]geoMap (10)'!$A:$C,3,0)</f>
        <v>308.81554960492889</v>
      </c>
      <c r="M62" s="1">
        <f>L62/VLOOKUP(A62,'[14]geoMap (11)'!$A:$B,2,0)*VLOOKUP(A62,'[14]geoMap (11)'!$A:$C,3,0)</f>
        <v>138.74321793844632</v>
      </c>
      <c r="N62" s="1">
        <f>M62/VLOOKUP(A62,'[15]geoMap (12)'!$A:$B,2,0)*VLOOKUP(A62,'[15]geoMap (12)'!$A:$C,3,0)</f>
        <v>183.91542843003347</v>
      </c>
      <c r="O62" s="1">
        <f>N62/VLOOKUP(A62,'[16]geoMap (13)'!$A:$B,2,0)*VLOOKUP(A62,'[16]geoMap (13)'!$A:$C,3,0)</f>
        <v>176.7030586876792</v>
      </c>
      <c r="P62" s="1">
        <f>O62/VLOOKUP(A62,'[17]geoMap (14)'!$A:$B,2,0)*VLOOKUP(A62,'[17]geoMap (14)'!$A:$C,3,0)</f>
        <v>626.49266261995353</v>
      </c>
      <c r="Q62" s="1">
        <f>P62/VLOOKUP(A62,'[18]geoMap (15)'!$A:$B,2,0)*VLOOKUP(A62,'[18]geoMap (15)'!$A:$C,3,0)</f>
        <v>110.55752869763886</v>
      </c>
      <c r="R62" s="1">
        <f>Q62/VLOOKUP(A62,'[19]geoMap (16)'!$A:$B,2,0)*VLOOKUP(A62,'[19]geoMap (16)'!$A:$C,3,0)</f>
        <v>62.188609892421859</v>
      </c>
      <c r="S62" s="1">
        <f>R62/VLOOKUP(A62,'[20]geoMap (17)'!$A:$B,2,0)*VLOOKUP(A62,'[20]geoMap (17)'!$A:$C,3,0)</f>
        <v>38.115599611484363</v>
      </c>
      <c r="T62" s="1">
        <f>S62/VLOOKUP(A62,'[21]geoMap (18)'!$A:$B,2,0)*VLOOKUP(A62,'[21]geoMap (18)'!$A:$C,3,0)</f>
        <v>28.753873391119786</v>
      </c>
      <c r="U62" s="1">
        <f>T62/VLOOKUP(A62,'[22]geoMap (19)'!$A:$B,2,0)*VLOOKUP(A62,'[22]geoMap (19)'!$A:$C,3,0)</f>
        <v>48.959297936230989</v>
      </c>
      <c r="V62" s="1">
        <f>U62/VLOOKUP(A62,'[23]geoMap (20)'!$A:$B,2,0)*VLOOKUP(A62,'[23]geoMap (20)'!$A:$C,3,0)</f>
        <v>132.37143516092081</v>
      </c>
      <c r="W62" s="1">
        <f>V62/VLOOKUP(A62,'[24]geoMap (21)'!$A:$B,2,0)*VLOOKUP(A62,'[24]geoMap (21)'!$A:$C,3,0)</f>
        <v>81.130879614757916</v>
      </c>
      <c r="X62" s="1">
        <f>O62/VLOOKUP(A62,'[141]geoMap (99)'!$A:$B,2,0)*VLOOKUP(A62,'[141]geoMap (99)'!$A:$C,3,0)</f>
        <v>7.3626274453199674</v>
      </c>
      <c r="Y62" s="1">
        <f>O62/VLOOKUP(A62,'[123]geoMap (101)'!$A:$B,2,0)*VLOOKUP(A62,'[123]geoMap (101)'!$A:$C,3,0)</f>
        <v>7.3626274453199674</v>
      </c>
      <c r="Z62" s="1">
        <f>Y62/VLOOKUP(A62,'[27]geoMap (24)'!$A:$B,2,0)*VLOOKUP(A62,'[27]geoMap (24)'!$A:$C,3,0)</f>
        <v>14.948364813225389</v>
      </c>
      <c r="AA62" s="1">
        <f>Z62/VLOOKUP(A62,'[28]geoMap (25)'!$A:$B,2,0)*VLOOKUP(A62,'[28]geoMap (25)'!$A:$C,3,0)</f>
        <v>4.2162054601404941</v>
      </c>
      <c r="AB62" s="1" t="e">
        <f>AA62*VLOOKUP(A62,'[29]geoMap (26)'!$A:$B,2,0)*VLOOKUP(A62,'[29]geoMap (26)'!$A:$C,3,0)</f>
        <v>#REF!</v>
      </c>
      <c r="AC62" s="1" t="e">
        <f>AB62/VLOOKUP(A62,'[30]geoMap (27)'!$A:$B,2,0)*VLOOKUP(A62,'[30]geoMap (27)'!$A:$C,3,0)</f>
        <v>#REF!</v>
      </c>
      <c r="AD62" s="1" t="e">
        <f>AC62/VLOOKUP(A62,'[31]geoMap (28)'!$A:$B,2,0)*VLOOKUP(A62,'[31]geoMap (28)'!$A:$C,3,0)</f>
        <v>#REF!</v>
      </c>
      <c r="AE62" s="1" t="e">
        <f>AD62/VLOOKUP(A62,'[32]geoMap (29)'!$A:$B,2,0)*VLOOKUP(A62,'[32]geoMap (29)'!$A:$C,3,0)</f>
        <v>#REF!</v>
      </c>
      <c r="AF62" s="1" t="e">
        <f>AE62/VLOOKUP(A62,'[33]geoMap (30)'!$A:$B,2,0)*VLOOKUP(A62,'[33]geoMap (30)'!$A:$C,3,0)</f>
        <v>#REF!</v>
      </c>
      <c r="AG62" s="1" t="e">
        <f>AF62/VLOOKUP(A62,'[34]geoMap (31)'!$A:$B,2,0)*VLOOKUP(A62,'[34]geoMap (31)'!$A:$C,3,0)</f>
        <v>#REF!</v>
      </c>
      <c r="AH62" s="1" t="e">
        <f>AG62/VLOOKUP(A62,'[35]geoMap (32)'!$A:$B,2,0)*VLOOKUP(A62,'[35]geoMap (32)'!$A:$C,3,0)</f>
        <v>#REF!</v>
      </c>
      <c r="AI62" s="1">
        <f>Y62/VLOOKUP(A62,'[132]geoMap (115)'!$A:$B,2,0)*VLOOKUP(A62,'[132]geoMap (115)'!$A:$C,3,0)</f>
        <v>3.007270364989846</v>
      </c>
      <c r="AJ62" s="1">
        <f>AI62/VLOOKUP(A62,'[37]geoMap (34)'!$A:$B,2,0)*VLOOKUP(A62,'[37]geoMap (34)'!$A:$C,3,0)</f>
        <v>5.1204873782259543</v>
      </c>
      <c r="AK62" s="1">
        <f>AJ62/VLOOKUP(A62,'[38]geoMap (35)'!$A:$B,2,0)*VLOOKUP(A62,'[38]geoMap (35)'!$A:$C,3,0)</f>
        <v>12.536365650139405</v>
      </c>
      <c r="AL62" s="1">
        <f>AK62/VLOOKUP(A62,'[39]geoMap (36)'!$A:$B,2,0)*VLOOKUP(A62,'[39]geoMap (36)'!$A:$C,3,0)</f>
        <v>126.75658601807621</v>
      </c>
      <c r="AM62" s="1">
        <f>AL62/VLOOKUP(A62,'[40]geoMap (37)'!$A:$B,2,0)*VLOOKUP(A62,'[40]geoMap (37)'!$A:$C,3,0)</f>
        <v>9.5408183024358433</v>
      </c>
      <c r="AN62" s="1">
        <f>AM62/VLOOKUP(A62,'[41]geoMap (38)'!$A:$B,2,0)*VLOOKUP(A62,'[41]geoMap (38)'!$A:$C,3,0)</f>
        <v>6.0998674392622609</v>
      </c>
      <c r="AO62" s="1" t="e">
        <f>AM62/VLOOKUP(A62,'[142]geoMap (123)'!$A:$B,2,0)*VLOOKUP(A62,'[142]geoMap (123)'!$A:$C,3,0)</f>
        <v>#REF!</v>
      </c>
      <c r="AP62" s="1">
        <f>AN62/VLOOKUP(A62,'[126]geoMap (124)'!$A:$B,2,0)*VLOOKUP(A62,'[126]geoMap (124)'!$A:$C,3,0)</f>
        <v>3.7386284305155795</v>
      </c>
      <c r="AQ62" s="1" t="e">
        <f>AP62/VLOOKUP(A62,'[44]geoMap (41)'!$A:$B,2,0)*VLOOKUP(A62,'[44]geoMap (41)'!$A:$C,3,0)</f>
        <v>#REF!</v>
      </c>
      <c r="AR62" s="1">
        <f>AA62/VLOOKUP(A62,'[100]geoMap (128)'!$A:$B,2,0)*VLOOKUP(A62,'[100]geoMap (128)'!$A:$C,3,0)</f>
        <v>2.4761841591301312</v>
      </c>
      <c r="AS62" s="1">
        <f>AR62/VLOOKUP(A62,'[46]geoMap (43)'!$A:$B,2,0)*VLOOKUP(A62,'[46]geoMap (43)'!$A:$C,3,0)</f>
        <v>2.4761841591301312</v>
      </c>
      <c r="AT62" s="1" t="e">
        <f>AS62/VLOOKUP(A62,'[47]geoMap (44)'!$A:$B,2,0)*VLOOKUP(A62,'[47]geoMap (44)'!$A:$C,3,0)</f>
        <v>#REF!</v>
      </c>
      <c r="AU62" s="1">
        <f>AN62/VLOOKUP(A62,'[85]geoMap (133)'!$A:$B,2,0)*VLOOKUP(A62,'[85]geoMap (133)'!$A:$C,3,0)</f>
        <v>5.4093164084023817</v>
      </c>
      <c r="AV62" s="1" t="e">
        <f>AU62/VLOOKUP(A62,'[49]geoMap (46)'!$A:$B,2,0)*VLOOKUP(A62,'[49]geoMap (46)'!$A:$C,3,0)</f>
        <v>#REF!</v>
      </c>
      <c r="AW62" s="1">
        <f>AN62/VLOOKUP(A62,'[87]geoMap (137)'!$A:$B,2,0)*VLOOKUP(A62,'[87]geoMap (137)'!$A:$C,3,0)</f>
        <v>26.004698030539114</v>
      </c>
      <c r="AX62" s="1" t="e">
        <f>AW62/VLOOKUP(A62,'[51]geoMap (48)'!$A:$B,2,0)*VLOOKUP(A62,'[51]geoMap (48)'!$A:$C,3,0)</f>
        <v>#REF!</v>
      </c>
      <c r="AY62" s="1" t="e">
        <f>AN62/VLOOKUP(A62,'[88]geoMap (140)'!$A:$B,2,0)*VLOOKUP(A62,'[88]geoMap (140)'!$A:$C,3,0)</f>
        <v>#REF!</v>
      </c>
      <c r="AZ62" s="1" t="e">
        <f>AN62/VLOOKUP(A62,'[89]geoMap (141)'!$A:$B,2,0)*VLOOKUP(A62,'[89]geoMap (141)'!$A:$C,3,0)</f>
        <v>#REF!</v>
      </c>
      <c r="BA62" s="1" t="e">
        <f>AN62/VLOOKUP(A62,'[71]geoMap (143)'!$A:$B,2,0)*VLOOKUP(A62,'[71]geoMap (143)'!$A:$C,3,0)</f>
        <v>#REF!</v>
      </c>
      <c r="BB62" s="1" t="e">
        <f>AN62/VLOOKUP(A62,'[90]geoMap (144)'!$A:$B,2,0)*VLOOKUP(A62,'[90]geoMap (144)'!$A:$C,3,0)</f>
        <v>#REF!</v>
      </c>
      <c r="BC62" s="1" t="e">
        <f>AN62/VLOOKUP(A62,'[72]geoMap (146)'!$A:$B,2,0)*VLOOKUP(A62,'[72]geoMap (146)'!$A:$C,3,0)</f>
        <v>#REF!</v>
      </c>
      <c r="BD62" s="1" t="e">
        <f>AN62/VLOOKUP(A62,'[73]geoMap (147)'!$A:$B,2,0)*VLOOKUP(A62,'[73]geoMap (147)'!$A:$C,3,0)</f>
        <v>#REF!</v>
      </c>
      <c r="BE62" s="1" t="e">
        <f>AN62/VLOOKUP(A62,'[91]geoMap (148)'!$A:$B,2,0)*VLOOKUP(A62,'[91]geoMap (148)'!$A:$C,3,0)</f>
        <v>#REF!</v>
      </c>
      <c r="BF62" s="1" t="e">
        <f>AN62/VLOOKUP(A62,'[75]geoMap (150)'!$A:$B,2,0)*VLOOKUP(A62,'[75]geoMap (150)'!$A:$C,3,0)</f>
        <v>#REF!</v>
      </c>
      <c r="BG62" s="1" t="e">
        <f>AN62/VLOOKUP(A62,'[93]geoMap (152)'!$A:$B,2,0)*VLOOKUP(A62,'[93]geoMap (152)'!$A:$C,3,0)</f>
        <v>#REF!</v>
      </c>
      <c r="BH62" s="1" t="e">
        <f>AN62/VLOOKUP(A62,'[94]geoMap (154)'!$A:$B,2,0)*VLOOKUP(A62,'[94]geoMap (154)'!$A:$C,3,0)</f>
        <v>#REF!</v>
      </c>
      <c r="BI62" s="1" t="e">
        <f>AN62/VLOOKUP(A62,'[76]geoMap (156)'!$A:$B,2,0)*VLOOKUP(A62,'[76]geoMap (156)'!$A:$C,3,0)</f>
        <v>#REF!</v>
      </c>
      <c r="BJ62" s="1" t="e">
        <f>AN62/VLOOKUP(A62,'[77]geoMap (158)'!$A:$B,2,0)*VLOOKUP(A62,'[77]geoMap (158)'!$A:$C,3,0)</f>
        <v>#REF!</v>
      </c>
      <c r="BK62" s="1" t="e">
        <f>AN62/VLOOKUP(A62,'[78]geoMap (160)'!$A:$B,2,0)*VLOOKUP(A62,'[78]geoMap (160)'!$A:$C,3,0)</f>
        <v>#REF!</v>
      </c>
      <c r="BL62" s="1" t="e">
        <f>AN62/VLOOKUP(A62,'[79]geoMap (162)'!$A:$B,2,0)*VLOOKUP(A62,'[79]geoMap (162)'!$A:$C,3,0)</f>
        <v>#REF!</v>
      </c>
      <c r="BM62" s="1" t="e">
        <f>AN62/VLOOKUP(A62,'[80]geoMap (164)'!$A:$B,2,0)*VLOOKUP(A62,'[80]geoMap (164)'!$A:$C,3,0)</f>
        <v>#REF!</v>
      </c>
      <c r="BN62" s="1" t="e">
        <f>AN62/VLOOKUP(A62,'[81]geoMap (166)'!$A:$B,2,0)*VLOOKUP(A62,'[81]geoMap (166)'!$A:$C,3,0)</f>
        <v>#REF!</v>
      </c>
      <c r="BO62" s="1" t="e">
        <f>AN62/VLOOKUP(A62,'[82]geoMap (168)'!$A:$B,2,0)*VLOOKUP(A62,'[82]geoMap (168)'!$A:$C,3,0)</f>
        <v>#REF!</v>
      </c>
      <c r="BP62" s="1" t="e">
        <f>AN62/VLOOKUP(A62,'[83]geoMap (170)'!$A:$B,2,0)*VLOOKUP(A62,'[83]geoMap (170)'!$A:$C,3,0)</f>
        <v>#REF!</v>
      </c>
    </row>
    <row r="63" spans="1:68" x14ac:dyDescent="0.2">
      <c r="A63" s="1" t="s">
        <v>168</v>
      </c>
      <c r="B63" s="1">
        <f>VLOOKUP(A63,[3]geoMap!$A:$B,2,0)*Notes!$C$6</f>
        <v>3000</v>
      </c>
      <c r="C63" s="1">
        <f>B63/VLOOKUP(A63,'[4]geoMap (1)'!$A:$B,2,0)*VLOOKUP(A63,'[4]geoMap (1)'!$A:$C,3,0)</f>
        <v>2084.7457627118642</v>
      </c>
      <c r="D63" s="1">
        <f>C63/VLOOKUP(A63,'[5]geoMap (2)'!$A:$B,2,0)*VLOOKUP(A63,'[5]geoMap (2)'!$A:$C,3,0)</f>
        <v>2258.4745762711868</v>
      </c>
      <c r="E63" s="1">
        <f>D63/VLOOKUP(A63,'[6]geoMap (3)'!$A:$B,2,0)*VLOOKUP(A63,'[6]geoMap (3)'!$A:$C,3,0)</f>
        <v>2002.7982091461467</v>
      </c>
      <c r="F63" s="1">
        <f>E63/VLOOKUP(A63,'[7]geoMap (4)'!$A:$B,2,0)*VLOOKUP(A63,'[7]geoMap (4)'!$A:$C,3,0)</f>
        <v>1924.2571029051214</v>
      </c>
      <c r="G63" s="1">
        <f>F63/VLOOKUP(A63,'[8]geoMap (5)'!$A:$B,2,0)*VLOOKUP(A63,'[8]geoMap (5)'!$A:$C,3,0)</f>
        <v>1082.3946203841306</v>
      </c>
      <c r="H63" s="1">
        <f>G63/VLOOKUP(A63,'[9]geoMap (6)'!$A:$B,2,0)*VLOOKUP(A63,'[9]geoMap (6)'!$A:$C,3,0)</f>
        <v>1434.8021712068705</v>
      </c>
      <c r="I63" s="1">
        <f>H63/VLOOKUP(A63,'[10]geoMap (7)'!$A:$B,2,0)*VLOOKUP(A63,'[10]geoMap (7)'!$A:$C,3,0)</f>
        <v>586.04595725351044</v>
      </c>
      <c r="J63" s="1">
        <f>I63/VLOOKUP(A63,'[11]geoMap (8)'!$A:$B,2,0)*VLOOKUP(A63,'[11]geoMap (8)'!$A:$C,3,0)</f>
        <v>359.18945767150637</v>
      </c>
      <c r="K63" s="1">
        <f>J63/VLOOKUP(A63,'[12]geoMap (9)'!$A:$B,2,0)*VLOOKUP(A63,'[12]geoMap (9)'!$A:$C,3,0)</f>
        <v>538.78418650725951</v>
      </c>
      <c r="L63" s="1">
        <f>K63/VLOOKUP(A63,'[13]geoMap (10)'!$A:$B,2,0)*VLOOKUP(A63,'[13]geoMap (10)'!$A:$C,3,0)</f>
        <v>209.52718364171207</v>
      </c>
      <c r="M63" s="1">
        <f>L63/VLOOKUP(A63,'[14]geoMap (11)'!$A:$B,2,0)*VLOOKUP(A63,'[14]geoMap (11)'!$A:$C,3,0)</f>
        <v>209.52718364171207</v>
      </c>
      <c r="N63" s="1">
        <f>M63/VLOOKUP(A63,'[15]geoMap (12)'!$A:$B,2,0)*VLOOKUP(A63,'[15]geoMap (12)'!$A:$C,3,0)</f>
        <v>151.72658125779151</v>
      </c>
      <c r="O63" s="1">
        <f>N63/VLOOKUP(A63,'[16]geoMap (13)'!$A:$B,2,0)*VLOOKUP(A63,'[16]geoMap (13)'!$A:$C,3,0)</f>
        <v>134.54998715313587</v>
      </c>
      <c r="P63" s="1">
        <f>O63/VLOOKUP(A63,'[17]geoMap (14)'!$A:$B,2,0)*VLOOKUP(A63,'[17]geoMap (14)'!$A:$C,3,0)</f>
        <v>72.44999308245778</v>
      </c>
      <c r="Q63" s="1">
        <f>P63/VLOOKUP(A63,'[18]geoMap (15)'!$A:$B,2,0)*VLOOKUP(A63,'[18]geoMap (15)'!$A:$C,3,0)</f>
        <v>147.0954405007476</v>
      </c>
      <c r="R63" s="1">
        <f>Q63/VLOOKUP(A63,'[19]geoMap (16)'!$A:$B,2,0)*VLOOKUP(A63,'[19]geoMap (16)'!$A:$C,3,0)</f>
        <v>135.78040661607469</v>
      </c>
      <c r="S63" s="1">
        <f>R63/VLOOKUP(A63,'[20]geoMap (17)'!$A:$B,2,0)*VLOOKUP(A63,'[20]geoMap (17)'!$A:$C,3,0)</f>
        <v>63.896661936976315</v>
      </c>
      <c r="T63" s="1">
        <f>S63/VLOOKUP(A63,'[21]geoMap (18)'!$A:$B,2,0)*VLOOKUP(A63,'[21]geoMap (18)'!$A:$C,3,0)</f>
        <v>44.402765074847949</v>
      </c>
      <c r="U63" s="1">
        <f>T63/VLOOKUP(A63,'[22]geoMap (19)'!$A:$B,2,0)*VLOOKUP(A63,'[22]geoMap (19)'!$A:$C,3,0)</f>
        <v>33.496822775762489</v>
      </c>
      <c r="V63" s="1">
        <f>U63/VLOOKUP(A63,'[23]geoMap (20)'!$A:$B,2,0)*VLOOKUP(A63,'[23]geoMap (20)'!$A:$C,3,0)</f>
        <v>19.672737185765271</v>
      </c>
      <c r="W63" s="1">
        <f>V63/VLOOKUP(A63,'[24]geoMap (21)'!$A:$B,2,0)*VLOOKUP(A63,'[24]geoMap (21)'!$A:$C,3,0)</f>
        <v>13.670885162989427</v>
      </c>
      <c r="X63" s="1">
        <f>W63/VLOOKUP(A63,'[25]geoMap (22)'!$A:$B,2,0)*VLOOKUP(A63,'[25]geoMap (22)'!$A:$C,3,0)</f>
        <v>12.123237786047225</v>
      </c>
      <c r="Y63" s="1">
        <f>X63/VLOOKUP(A63,'[26]geoMap (23)'!$A:$B,2,0)*VLOOKUP(A63,'[26]geoMap (23)'!$A:$C,3,0)</f>
        <v>10.327202558484673</v>
      </c>
      <c r="Z63" s="1">
        <f>Y63/VLOOKUP(A63,'[27]geoMap (24)'!$A:$B,2,0)*VLOOKUP(A63,'[27]geoMap (24)'!$A:$C,3,0)</f>
        <v>12.123237786047225</v>
      </c>
      <c r="AA63" s="1">
        <f>Z63/VLOOKUP(A63,'[28]geoMap (25)'!$A:$B,2,0)*VLOOKUP(A63,'[28]geoMap (25)'!$A:$C,3,0)</f>
        <v>9.5254011176085331</v>
      </c>
      <c r="AB63" s="1">
        <f>AA63*VLOOKUP(A63,'[29]geoMap (26)'!$A:$B,2,0)*VLOOKUP(A63,'[29]geoMap (26)'!$A:$C,3,0)</f>
        <v>2.3803977392903723</v>
      </c>
      <c r="AC63" s="1">
        <f>AB63/VLOOKUP(A63,'[30]geoMap (27)'!$A:$B,2,0)*VLOOKUP(A63,'[30]geoMap (27)'!$A:$C,3,0)</f>
        <v>4.8329287434077255</v>
      </c>
      <c r="AD63" s="1">
        <f>AC63/VLOOKUP(A63,'[31]geoMap (28)'!$A:$B,2,0)*VLOOKUP(A63,'[31]geoMap (28)'!$A:$C,3,0)</f>
        <v>0.85286977824842214</v>
      </c>
      <c r="AE63" s="1">
        <f>AD63/VLOOKUP(A63,'[32]geoMap (29)'!$A:$B,2,0)*VLOOKUP(A63,'[32]geoMap (29)'!$A:$C,3,0)</f>
        <v>1.9900294825796516</v>
      </c>
      <c r="AF63" s="1">
        <f>AE63/VLOOKUP(A63,'[33]geoMap (30)'!$A:$B,2,0)*VLOOKUP(A63,'[33]geoMap (30)'!$A:$C,3,0)</f>
        <v>1.6952102999752587</v>
      </c>
      <c r="AG63" s="1">
        <f>AF63/VLOOKUP(A63,'[34]geoMap (31)'!$A:$B,2,0)*VLOOKUP(A63,'[34]geoMap (31)'!$A:$C,3,0)</f>
        <v>2.4394489682570795</v>
      </c>
      <c r="AH63" s="1">
        <f>AG63/VLOOKUP(A63,'[35]geoMap (32)'!$A:$B,2,0)*VLOOKUP(A63,'[35]geoMap (32)'!$A:$C,3,0)</f>
        <v>2.5390183139002254</v>
      </c>
      <c r="AI63" s="1">
        <f>AH63/VLOOKUP(A63,'[36]geoMap (33)'!$A:$B,2,0)*VLOOKUP(A63,'[36]geoMap (33)'!$A:$C,3,0)</f>
        <v>0.93908896541515186</v>
      </c>
      <c r="AJ63" s="1">
        <f>AI63/VLOOKUP(A63,'[37]geoMap (34)'!$A:$B,2,0)*VLOOKUP(A63,'[37]geoMap (34)'!$A:$C,3,0)</f>
        <v>3.143906536389856</v>
      </c>
      <c r="AK63" s="1">
        <f>AJ63/VLOOKUP(A63,'[38]geoMap (35)'!$A:$B,2,0)*VLOOKUP(A63,'[38]geoMap (35)'!$A:$C,3,0)</f>
        <v>0.9928125904389018</v>
      </c>
      <c r="AL63" s="1" t="e">
        <f>AK63/VLOOKUP(A63,'[39]geoMap (36)'!$A:$B,2,0)*VLOOKUP(A63,'[39]geoMap (36)'!$A:$C,3,0)</f>
        <v>#REF!</v>
      </c>
      <c r="AM63" s="1">
        <f>AA63/VLOOKUP(A63,'[125]geoMap (120)'!$A:$B,2,0)*VLOOKUP(A63,'[125]geoMap (120)'!$A:$C,3,0)</f>
        <v>3.8906567945161616</v>
      </c>
      <c r="AN63" s="1">
        <f>AK63/VLOOKUP(A63,'[152]geoMap (122)'!$A:$B,2,0)*VLOOKUP(A63,'[152]geoMap (122)'!$A:$C,3,0)</f>
        <v>0.14835130661730717</v>
      </c>
      <c r="AO63" s="1">
        <f>AM63/VLOOKUP(A63,'[142]geoMap (123)'!$A:$B,2,0)*VLOOKUP(A63,'[142]geoMap (123)'!$A:$C,3,0)</f>
        <v>4.5672927587798426</v>
      </c>
      <c r="AP63" s="1" t="e">
        <f>AO63/VLOOKUP(A63,'[43]geoMap (40)'!$A:$B,2,0)*VLOOKUP(A63,'[43]geoMap (40)'!$A:$C,3,0)</f>
        <v>#REF!</v>
      </c>
      <c r="AQ63" s="1">
        <f>AF63/VLOOKUP(A63,'[99]geoMap (126)'!$A:$B,2,0)*VLOOKUP(A63,'[99]geoMap (126)'!$A:$C,3,0)</f>
        <v>0.47813623845456016</v>
      </c>
      <c r="AR63" s="1" t="e">
        <f>AQ63/VLOOKUP(A63,'[45]geoMap (42)'!$A:$B,2,0)*VLOOKUP(A63,'[45]geoMap (42)'!$A:$C,3,0)</f>
        <v>#REF!</v>
      </c>
      <c r="AS63" s="1">
        <f>AA63/VLOOKUP(A63,'[101]geoMap (129)'!$A:$B,2,0)*VLOOKUP(A63,'[101]geoMap (129)'!$A:$C,3,0)</f>
        <v>0.82829574935726369</v>
      </c>
      <c r="AT63" s="1">
        <f>AS63/VLOOKUP(A63,'[47]geoMap (44)'!$A:$B,2,0)*VLOOKUP(A63,'[47]geoMap (44)'!$A:$C,3,0)</f>
        <v>1.6816913699071718</v>
      </c>
      <c r="AU63" s="1">
        <f>AT63/VLOOKUP(A63,'[48]geoMap (45)'!$A:$B,2,0)*VLOOKUP(A63,'[48]geoMap (45)'!$A:$C,3,0)</f>
        <v>1.6816913699071718</v>
      </c>
      <c r="AV63" s="1" t="e">
        <f>AU63/VLOOKUP(A63,'[49]geoMap (46)'!$A:$B,2,0)*VLOOKUP(A63,'[49]geoMap (46)'!$A:$C,3,0)</f>
        <v>#REF!</v>
      </c>
      <c r="AW63" s="1">
        <f>AN63/VLOOKUP(A63,'[87]geoMap (137)'!$A:$B,2,0)*VLOOKUP(A63,'[87]geoMap (137)'!$A:$C,3,0)</f>
        <v>9.8900871078204777E-2</v>
      </c>
      <c r="AX63" s="1" t="e">
        <f>AO63/VLOOKUP(A63,'[115]geoMap (139)'!$A:$B,2,0)*VLOOKUP(A63,'[115]geoMap (139)'!$A:$C,3,0)</f>
        <v>#REF!</v>
      </c>
      <c r="AY63" s="1">
        <f>AN63/VLOOKUP(A63,'[88]geoMap (140)'!$A:$B,2,0)*VLOOKUP(A63,'[88]geoMap (140)'!$A:$C,3,0)</f>
        <v>0.14835130661730717</v>
      </c>
      <c r="AZ63" s="1">
        <f>AY63/VLOOKUP(A63,'[53]geoMap (50)'!$A:$B,2,0)*VLOOKUP(A63,'[53]geoMap (50)'!$A:$C,3,0)</f>
        <v>1.8335554750453696E-2</v>
      </c>
      <c r="BA63" s="1" t="e">
        <f>AN63/VLOOKUP(A63,'[71]geoMap (143)'!$A:$B,2,0)*VLOOKUP(A63,'[71]geoMap (143)'!$A:$C,3,0)</f>
        <v>#REF!</v>
      </c>
      <c r="BB63" s="1">
        <f>AN63/VLOOKUP(A63,'[90]geoMap (144)'!$A:$B,2,0)*VLOOKUP(A63,'[90]geoMap (144)'!$A:$C,3,0)</f>
        <v>0.14835130661730717</v>
      </c>
      <c r="BC63" s="1" t="e">
        <f>BB63/VLOOKUP(A63,'[56]geoMap (53)'!$A:$B,2,0)*VLOOKUP(A63,'[56]geoMap (53)'!$A:$C,3,0)</f>
        <v>#REF!</v>
      </c>
      <c r="BD63" s="1" t="e">
        <f>AN63/VLOOKUP(A63,'[73]geoMap (147)'!$A:$B,2,0)*VLOOKUP(A63,'[73]geoMap (147)'!$A:$C,3,0)</f>
        <v>#REF!</v>
      </c>
      <c r="BE63" s="1" t="e">
        <f>AN63/VLOOKUP(A63,'[91]geoMap (148)'!$A:$B,2,0)*VLOOKUP(A63,'[91]geoMap (148)'!$A:$C,3,0)</f>
        <v>#REF!</v>
      </c>
      <c r="BF63" s="1" t="e">
        <f>AN63/VLOOKUP(A63,'[75]geoMap (150)'!$A:$B,2,0)*VLOOKUP(A63,'[75]geoMap (150)'!$A:$C,3,0)</f>
        <v>#REF!</v>
      </c>
      <c r="BG63" s="1" t="e">
        <f>AO63/VLOOKUP(A63,'[102]geoMap (153)'!$A:$B,2,0)*VLOOKUP(A63,'[102]geoMap (153)'!$A:$C,3,0)</f>
        <v>#REF!</v>
      </c>
      <c r="BH63" s="1" t="e">
        <f>AS63/VLOOKUP(A63,'[103]geoMap (155)'!$A:$B,2,0)*VLOOKUP(A63,'[103]geoMap (155)'!$A:$C,3,0)</f>
        <v>#REF!</v>
      </c>
      <c r="BI63" s="1" t="e">
        <f>AN63/VLOOKUP(A63,'[76]geoMap (156)'!$A:$B,2,0)*VLOOKUP(A63,'[76]geoMap (156)'!$A:$C,3,0)</f>
        <v>#REF!</v>
      </c>
      <c r="BJ63" s="1" t="e">
        <f>AN63/VLOOKUP(A63,'[77]geoMap (158)'!$A:$B,2,0)*VLOOKUP(A63,'[77]geoMap (158)'!$A:$C,3,0)</f>
        <v>#REF!</v>
      </c>
      <c r="BK63" s="1" t="e">
        <f>AN63/VLOOKUP(A63,'[78]geoMap (160)'!$A:$B,2,0)*VLOOKUP(A63,'[78]geoMap (160)'!$A:$C,3,0)</f>
        <v>#REF!</v>
      </c>
      <c r="BL63" s="1" t="e">
        <f>AN63/VLOOKUP(A63,'[79]geoMap (162)'!$A:$B,2,0)*VLOOKUP(A63,'[79]geoMap (162)'!$A:$C,3,0)</f>
        <v>#REF!</v>
      </c>
      <c r="BM63" s="1" t="e">
        <f>AN63/VLOOKUP(A63,'[80]geoMap (164)'!$A:$B,2,0)*VLOOKUP(A63,'[80]geoMap (164)'!$A:$C,3,0)</f>
        <v>#REF!</v>
      </c>
      <c r="BN63" s="1" t="e">
        <f>AN63/VLOOKUP(A63,'[81]geoMap (166)'!$A:$B,2,0)*VLOOKUP(A63,'[81]geoMap (166)'!$A:$C,3,0)</f>
        <v>#REF!</v>
      </c>
      <c r="BO63" s="1" t="e">
        <f>AN63/VLOOKUP(A63,'[82]geoMap (168)'!$A:$B,2,0)*VLOOKUP(A63,'[82]geoMap (168)'!$A:$C,3,0)</f>
        <v>#REF!</v>
      </c>
      <c r="BP63" s="1" t="e">
        <f>AN63/VLOOKUP(A63,'[83]geoMap (170)'!$A:$B,2,0)*VLOOKUP(A63,'[83]geoMap (170)'!$A:$C,3,0)</f>
        <v>#REF!</v>
      </c>
    </row>
    <row r="64" spans="1:68" x14ac:dyDescent="0.2">
      <c r="A64" s="1" t="s">
        <v>161</v>
      </c>
      <c r="B64" s="1">
        <f>VLOOKUP(A64,[3]geoMap!$A:$B,2,0)*Notes!$C$6</f>
        <v>3000</v>
      </c>
      <c r="C64" s="1">
        <f>B64/VLOOKUP(A64,'[4]geoMap (1)'!$A:$B,2,0)*VLOOKUP(A64,'[4]geoMap (1)'!$A:$C,3,0)</f>
        <v>1838.7096774193549</v>
      </c>
      <c r="D64" s="1">
        <f>C64/VLOOKUP(A64,'[5]geoMap (2)'!$A:$B,2,0)*VLOOKUP(A64,'[5]geoMap (2)'!$A:$C,3,0)</f>
        <v>2158.4852734922861</v>
      </c>
      <c r="E64" s="1">
        <f>D64/VLOOKUP(A64,'[6]geoMap (3)'!$A:$B,2,0)*VLOOKUP(A64,'[6]geoMap (3)'!$A:$C,3,0)</f>
        <v>1695.9527148867962</v>
      </c>
      <c r="F64" s="1">
        <f>E64/VLOOKUP(A64,'[7]geoMap (4)'!$A:$B,2,0)*VLOOKUP(A64,'[7]geoMap (4)'!$A:$C,3,0)</f>
        <v>2158.4852734922865</v>
      </c>
      <c r="G64" s="1">
        <f>F64/VLOOKUP(A64,'[8]geoMap (5)'!$A:$B,2,0)*VLOOKUP(A64,'[8]geoMap (5)'!$A:$C,3,0)</f>
        <v>1499.9643425963347</v>
      </c>
      <c r="H64" s="1">
        <f>G64/VLOOKUP(A64,'[9]geoMap (6)'!$A:$B,2,0)*VLOOKUP(A64,'[9]geoMap (6)'!$A:$C,3,0)</f>
        <v>880.93143930260919</v>
      </c>
      <c r="I64" s="1">
        <f>H64/VLOOKUP(A64,'[10]geoMap (7)'!$A:$B,2,0)*VLOOKUP(A64,'[10]geoMap (7)'!$A:$C,3,0)</f>
        <v>377.54204541540395</v>
      </c>
      <c r="J64" s="1">
        <f>I64/VLOOKUP(A64,'[11]geoMap (8)'!$A:$B,2,0)*VLOOKUP(A64,'[11]geoMap (8)'!$A:$C,3,0)</f>
        <v>701.14951291432169</v>
      </c>
      <c r="K64" s="1">
        <f>J64/VLOOKUP(A64,'[12]geoMap (9)'!$A:$B,2,0)*VLOOKUP(A64,'[12]geoMap (9)'!$A:$C,3,0)</f>
        <v>429.73679823781009</v>
      </c>
      <c r="L64" s="1">
        <f>K64/VLOOKUP(A64,'[13]geoMap (10)'!$A:$B,2,0)*VLOOKUP(A64,'[13]geoMap (10)'!$A:$C,3,0)</f>
        <v>221.37956272856886</v>
      </c>
      <c r="M64" s="1">
        <f>L64/VLOOKUP(A64,'[14]geoMap (11)'!$A:$B,2,0)*VLOOKUP(A64,'[14]geoMap (11)'!$A:$C,3,0)</f>
        <v>204.35036559560203</v>
      </c>
      <c r="N64" s="1">
        <f>M64/VLOOKUP(A64,'[15]geoMap (12)'!$A:$B,2,0)*VLOOKUP(A64,'[15]geoMap (12)'!$A:$C,3,0)</f>
        <v>196.3366257683235</v>
      </c>
      <c r="O64" s="1">
        <f>N64/VLOOKUP(A64,'[16]geoMap (13)'!$A:$B,2,0)*VLOOKUP(A64,'[16]geoMap (13)'!$A:$C,3,0)</f>
        <v>204.35036559560203</v>
      </c>
      <c r="P64" s="1">
        <f>O64/VLOOKUP(A64,'[17]geoMap (14)'!$A:$B,2,0)*VLOOKUP(A64,'[17]geoMap (14)'!$A:$C,3,0)</f>
        <v>75.581642069606247</v>
      </c>
      <c r="Q64" s="1">
        <f>P64/VLOOKUP(A64,'[18]geoMap (15)'!$A:$B,2,0)*VLOOKUP(A64,'[18]geoMap (15)'!$A:$C,3,0)</f>
        <v>104.37464857231339</v>
      </c>
      <c r="R64" s="1">
        <f>Q64/VLOOKUP(A64,'[19]geoMap (16)'!$A:$B,2,0)*VLOOKUP(A64,'[19]geoMap (16)'!$A:$C,3,0)</f>
        <v>58.710739821926275</v>
      </c>
      <c r="S64" s="1">
        <f>R64/VLOOKUP(A64,'[20]geoMap (17)'!$A:$B,2,0)*VLOOKUP(A64,'[20]geoMap (17)'!$A:$C,3,0)</f>
        <v>42.514673664153506</v>
      </c>
      <c r="T64" s="1">
        <f>S64/VLOOKUP(A64,'[21]geoMap (18)'!$A:$B,2,0)*VLOOKUP(A64,'[21]geoMap (18)'!$A:$C,3,0)</f>
        <v>33.404386450406321</v>
      </c>
      <c r="U64" s="1">
        <f>T64/VLOOKUP(A64,'[22]geoMap (19)'!$A:$B,2,0)*VLOOKUP(A64,'[22]geoMap (19)'!$A:$C,3,0)</f>
        <v>25.199800304692491</v>
      </c>
      <c r="V64" s="1">
        <f>U64/VLOOKUP(A64,'[23]geoMap (20)'!$A:$B,2,0)*VLOOKUP(A64,'[23]geoMap (20)'!$A:$C,3,0)</f>
        <v>26.228363582435041</v>
      </c>
      <c r="W64" s="1">
        <f>V64/VLOOKUP(A64,'[24]geoMap (21)'!$A:$B,2,0)*VLOOKUP(A64,'[24]geoMap (21)'!$A:$C,3,0)</f>
        <v>10.712993575924171</v>
      </c>
      <c r="X64" s="1">
        <f>W64/VLOOKUP(A64,'[25]geoMap (22)'!$A:$B,2,0)*VLOOKUP(A64,'[25]geoMap (22)'!$A:$C,3,0)</f>
        <v>9.1258834165279978</v>
      </c>
      <c r="Y64" s="1">
        <f>X64/VLOOKUP(A64,'[26]geoMap (23)'!$A:$B,2,0)*VLOOKUP(A64,'[26]geoMap (23)'!$A:$C,3,0)</f>
        <v>16.948069202123428</v>
      </c>
      <c r="Z64" s="1">
        <f>Y64/VLOOKUP(A64,'[27]geoMap (24)'!$A:$B,2,0)*VLOOKUP(A64,'[27]geoMap (24)'!$A:$C,3,0)</f>
        <v>11.298712801415618</v>
      </c>
      <c r="AA64" s="1">
        <f>Z64/VLOOKUP(A64,'[28]geoMap (25)'!$A:$B,2,0)*VLOOKUP(A64,'[28]geoMap (25)'!$A:$C,3,0)</f>
        <v>10.855626024889515</v>
      </c>
      <c r="AB64" s="1">
        <f>AA64*VLOOKUP(A64,'[29]geoMap (26)'!$A:$B,2,0)*VLOOKUP(A64,'[29]geoMap (26)'!$A:$C,3,0)</f>
        <v>2.55758549146397</v>
      </c>
      <c r="AC64" s="1">
        <f>AB64/VLOOKUP(A64,'[30]geoMap (27)'!$A:$B,2,0)*VLOOKUP(A64,'[30]geoMap (27)'!$A:$C,3,0)</f>
        <v>1.5675523979940462</v>
      </c>
      <c r="AD64" s="1">
        <f>AC64/VLOOKUP(A64,'[31]geoMap (28)'!$A:$B,2,0)*VLOOKUP(A64,'[31]geoMap (28)'!$A:$C,3,0)</f>
        <v>1.0450349319960308</v>
      </c>
      <c r="AE64" s="1">
        <f>AD64/VLOOKUP(A64,'[32]geoMap (29)'!$A:$B,2,0)*VLOOKUP(A64,'[32]geoMap (29)'!$A:$C,3,0)</f>
        <v>1.4431434775183283</v>
      </c>
      <c r="AF64" s="1">
        <f>AE64/VLOOKUP(A64,'[33]geoMap (30)'!$A:$B,2,0)*VLOOKUP(A64,'[33]geoMap (30)'!$A:$C,3,0)</f>
        <v>0.77707725712525355</v>
      </c>
      <c r="AG64" s="1">
        <f>AF64/VLOOKUP(A64,'[34]geoMap (31)'!$A:$B,2,0)*VLOOKUP(A64,'[34]geoMap (31)'!$A:$C,3,0)</f>
        <v>0.61056070202698487</v>
      </c>
      <c r="AH64" s="1">
        <f>AG64/VLOOKUP(A64,'[35]geoMap (32)'!$A:$B,2,0)*VLOOKUP(A64,'[35]geoMap (32)'!$A:$C,3,0)</f>
        <v>0.37421462382299076</v>
      </c>
      <c r="AI64" s="1">
        <f>AH64/VLOOKUP(A64,'[36]geoMap (33)'!$A:$B,2,0)*VLOOKUP(A64,'[36]geoMap (33)'!$A:$C,3,0)</f>
        <v>0.66527044235198363</v>
      </c>
      <c r="AJ64" s="1">
        <f>AI64/VLOOKUP(A64,'[37]geoMap (34)'!$A:$B,2,0)*VLOOKUP(A64,'[37]geoMap (34)'!$A:$C,3,0)</f>
        <v>0.29888961902770278</v>
      </c>
      <c r="AK64" s="1">
        <f>AJ64/VLOOKUP(A64,'[38]geoMap (35)'!$A:$B,2,0)*VLOOKUP(A64,'[38]geoMap (35)'!$A:$C,3,0)</f>
        <v>0.69740911106463976</v>
      </c>
      <c r="AL64" s="1">
        <f>AK64/VLOOKUP(A64,'[39]geoMap (36)'!$A:$B,2,0)*VLOOKUP(A64,'[39]geoMap (36)'!$A:$C,3,0)</f>
        <v>0.27121465430291547</v>
      </c>
      <c r="AM64" s="1">
        <f>AL64/VLOOKUP(A64,'[40]geoMap (37)'!$A:$B,2,0)*VLOOKUP(A64,'[40]geoMap (37)'!$A:$C,3,0)</f>
        <v>0.46179792489415339</v>
      </c>
      <c r="AN64" s="1">
        <f>AM64/VLOOKUP(A64,'[41]geoMap (38)'!$A:$B,2,0)*VLOOKUP(A64,'[41]geoMap (38)'!$A:$C,3,0)</f>
        <v>0.66453847728670856</v>
      </c>
      <c r="AO64" s="1">
        <f>AN64/VLOOKUP(A64,'[42]geoMap (39)'!$A:$B,2,0)*VLOOKUP(A64,'[42]geoMap (39)'!$A:$C,3,0)</f>
        <v>0.20985425598527638</v>
      </c>
      <c r="AP64" s="1">
        <f>AO64/VLOOKUP(A64,'[43]geoMap (40)'!$A:$B,2,0)*VLOOKUP(A64,'[43]geoMap (40)'!$A:$C,3,0)</f>
        <v>0.18609717040203752</v>
      </c>
      <c r="AQ64" s="1">
        <f>AP64/VLOOKUP(A64,'[44]geoMap (41)'!$A:$B,2,0)*VLOOKUP(A64,'[44]geoMap (41)'!$A:$C,3,0)</f>
        <v>8.3608873658886432E-2</v>
      </c>
      <c r="AR64" s="1">
        <f>AQ64/VLOOKUP(A64,'[45]geoMap (42)'!$A:$B,2,0)*VLOOKUP(A64,'[45]geoMap (42)'!$A:$C,3,0)</f>
        <v>0.29643146115423374</v>
      </c>
      <c r="AS64" s="1">
        <f>AR64/VLOOKUP(A64,'[46]geoMap (43)'!$A:$B,2,0)*VLOOKUP(A64,'[46]geoMap (43)'!$A:$C,3,0)</f>
        <v>0.18168379877194973</v>
      </c>
      <c r="AT64" s="1">
        <f>AS64/VLOOKUP(A64,'[47]geoMap (44)'!$A:$B,2,0)*VLOOKUP(A64,'[47]geoMap (44)'!$A:$C,3,0)</f>
        <v>7.7864485187978449E-2</v>
      </c>
      <c r="AU64" s="1">
        <f>AT64/VLOOKUP(A64,'[48]geoMap (45)'!$A:$B,2,0)*VLOOKUP(A64,'[48]geoMap (45)'!$A:$C,3,0)</f>
        <v>0.26067675475975394</v>
      </c>
      <c r="AV64" s="1">
        <f>AU64/VLOOKUP(A64,'[49]geoMap (46)'!$A:$B,2,0)*VLOOKUP(A64,'[49]geoMap (46)'!$A:$C,3,0)</f>
        <v>7.7864485187978449E-2</v>
      </c>
      <c r="AW64" s="1">
        <f>AV64/VLOOKUP(A64,'[50]geoMap (47)'!$A:$B,2,0)*VLOOKUP(A64,'[50]geoMap (47)'!$A:$C,3,0)</f>
        <v>8.1042627440548992E-2</v>
      </c>
      <c r="AX64" s="1" t="e">
        <f>AW64/VLOOKUP(A64,'[51]geoMap (48)'!$A:$B,2,0)*VLOOKUP(A64,'[51]geoMap (48)'!$A:$C,3,0)</f>
        <v>#REF!</v>
      </c>
      <c r="AY64" s="1">
        <f>AN64/VLOOKUP(A64,'[88]geoMap (140)'!$A:$B,2,0)*VLOOKUP(A64,'[88]geoMap (140)'!$A:$C,3,0)</f>
        <v>9.0618883266369341E-2</v>
      </c>
      <c r="AZ64" s="1" t="e">
        <f>AY64/VLOOKUP(A64,'[53]geoMap (50)'!$A:$B,2,0)*VLOOKUP(A64,'[53]geoMap (50)'!$A:$C,3,0)</f>
        <v>#REF!</v>
      </c>
      <c r="BA64" s="1" t="e">
        <f>AN64/VLOOKUP(A64,'[71]geoMap (143)'!$A:$B,2,0)*VLOOKUP(A64,'[71]geoMap (143)'!$A:$C,3,0)</f>
        <v>#REF!</v>
      </c>
      <c r="BB64" s="1">
        <f>AN64/VLOOKUP(A64,'[90]geoMap (144)'!$A:$B,2,0)*VLOOKUP(A64,'[90]geoMap (144)'!$A:$C,3,0)</f>
        <v>5.0019025172117849E-2</v>
      </c>
      <c r="BC64" s="1" t="e">
        <f>BB64/VLOOKUP(A64,'[56]geoMap (53)'!$A:$B,2,0)*VLOOKUP(A64,'[56]geoMap (53)'!$A:$C,3,0)</f>
        <v>#REF!</v>
      </c>
      <c r="BD64" s="1">
        <f>AN64/VLOOKUP(A64,'[73]geoMap (147)'!$A:$B,2,0)*VLOOKUP(A64,'[73]geoMap (147)'!$A:$C,3,0)</f>
        <v>5.0019025172117849E-2</v>
      </c>
      <c r="BE64" s="1">
        <f>BD64/VLOOKUP(A64,'[58]geoMap (55)'!$A:$B,2,0)*VLOOKUP(A64,'[58]geoMap (55)'!$A:$C,3,0)</f>
        <v>4.0924656959005511E-2</v>
      </c>
      <c r="BF64" s="1" t="e">
        <f>BE64/VLOOKUP(A64,'[59]geoMap (56)'!$A:$B,2,0)*VLOOKUP(A64,'[59]geoMap (56)'!$A:$C,3,0)</f>
        <v>#REF!</v>
      </c>
      <c r="BG64" s="1" t="e">
        <f>AN64/VLOOKUP(A64,'[93]geoMap (152)'!$A:$B,2,0)*VLOOKUP(A64,'[93]geoMap (152)'!$A:$C,3,0)</f>
        <v>#REF!</v>
      </c>
      <c r="BH64" s="1" t="e">
        <f>AN64/VLOOKUP(A64,'[94]geoMap (154)'!$A:$B,2,0)*VLOOKUP(A64,'[94]geoMap (154)'!$A:$C,3,0)</f>
        <v>#REF!</v>
      </c>
      <c r="BI64" s="1" t="e">
        <f>AN64/VLOOKUP(A64,'[76]geoMap (156)'!$A:$B,2,0)*VLOOKUP(A64,'[76]geoMap (156)'!$A:$C,3,0)</f>
        <v>#REF!</v>
      </c>
      <c r="BJ64" s="1" t="e">
        <f>AN64/VLOOKUP(A64,'[77]geoMap (158)'!$A:$B,2,0)*VLOOKUP(A64,'[77]geoMap (158)'!$A:$C,3,0)</f>
        <v>#REF!</v>
      </c>
      <c r="BK64" s="1" t="e">
        <f>AN64/VLOOKUP(A64,'[78]geoMap (160)'!$A:$B,2,0)*VLOOKUP(A64,'[78]geoMap (160)'!$A:$C,3,0)</f>
        <v>#REF!</v>
      </c>
      <c r="BL64" s="1" t="e">
        <f>AN64/VLOOKUP(A64,'[79]geoMap (162)'!$A:$B,2,0)*VLOOKUP(A64,'[79]geoMap (162)'!$A:$C,3,0)</f>
        <v>#REF!</v>
      </c>
      <c r="BM64" s="1" t="e">
        <f>AN64/VLOOKUP(A64,'[80]geoMap (164)'!$A:$B,2,0)*VLOOKUP(A64,'[80]geoMap (164)'!$A:$C,3,0)</f>
        <v>#REF!</v>
      </c>
      <c r="BN64" s="1" t="e">
        <f>AN64/VLOOKUP(A64,'[81]geoMap (166)'!$A:$B,2,0)*VLOOKUP(A64,'[81]geoMap (166)'!$A:$C,3,0)</f>
        <v>#REF!</v>
      </c>
      <c r="BO64" s="1" t="e">
        <f>AN64/VLOOKUP(A64,'[82]geoMap (168)'!$A:$B,2,0)*VLOOKUP(A64,'[82]geoMap (168)'!$A:$C,3,0)</f>
        <v>#REF!</v>
      </c>
      <c r="BP64" s="1" t="e">
        <f>AN64/VLOOKUP(A64,'[83]geoMap (170)'!$A:$B,2,0)*VLOOKUP(A64,'[83]geoMap (170)'!$A:$C,3,0)</f>
        <v>#REF!</v>
      </c>
    </row>
    <row r="65" spans="1:68" x14ac:dyDescent="0.2">
      <c r="A65" s="1" t="s">
        <v>177</v>
      </c>
      <c r="B65" s="1">
        <f>VLOOKUP(A65,[3]geoMap!$A:$B,2,0)*Notes!$C$6</f>
        <v>3000</v>
      </c>
      <c r="C65" s="1">
        <f>B65/VLOOKUP(A65,'[4]geoMap (1)'!$A:$B,2,0)*VLOOKUP(A65,'[4]geoMap (1)'!$A:$C,3,0)</f>
        <v>1687.5</v>
      </c>
      <c r="D65" s="1">
        <f>C65/VLOOKUP(A65,'[5]geoMap (2)'!$A:$B,2,0)*VLOOKUP(A65,'[5]geoMap (2)'!$A:$C,3,0)</f>
        <v>2639.4230769230771</v>
      </c>
      <c r="E65" s="1">
        <f>D65/VLOOKUP(A65,'[6]geoMap (3)'!$A:$B,2,0)*VLOOKUP(A65,'[6]geoMap (3)'!$A:$C,3,0)</f>
        <v>2073.8324175824177</v>
      </c>
      <c r="F65" s="1">
        <f>E65/VLOOKUP(A65,'[7]geoMap (4)'!$A:$B,2,0)*VLOOKUP(A65,'[7]geoMap (4)'!$A:$C,3,0)</f>
        <v>1564.4700694042801</v>
      </c>
      <c r="G65" s="1">
        <f>F65/VLOOKUP(A65,'[8]geoMap (5)'!$A:$B,2,0)*VLOOKUP(A65,'[8]geoMap (5)'!$A:$C,3,0)</f>
        <v>1280.0209658762292</v>
      </c>
      <c r="H65" s="1">
        <f>G65/VLOOKUP(A65,'[9]geoMap (6)'!$A:$B,2,0)*VLOOKUP(A65,'[9]geoMap (6)'!$A:$C,3,0)</f>
        <v>689.24205854873867</v>
      </c>
      <c r="I65" s="1">
        <f>H65/VLOOKUP(A65,'[10]geoMap (7)'!$A:$B,2,0)*VLOOKUP(A65,'[10]geoMap (7)'!$A:$C,3,0)</f>
        <v>991.83613303355071</v>
      </c>
      <c r="J65" s="1">
        <f>I65/VLOOKUP(A65,'[11]geoMap (8)'!$A:$B,2,0)*VLOOKUP(A65,'[11]geoMap (8)'!$A:$C,3,0)</f>
        <v>748.22725825338034</v>
      </c>
      <c r="K65" s="1">
        <f>J65/VLOOKUP(A65,'[12]geoMap (9)'!$A:$B,2,0)*VLOOKUP(A65,'[12]geoMap (9)'!$A:$C,3,0)</f>
        <v>718.88501283167921</v>
      </c>
      <c r="L65" s="1">
        <f>K65/VLOOKUP(A65,'[13]geoMap (10)'!$A:$B,2,0)*VLOOKUP(A65,'[13]geoMap (10)'!$A:$C,3,0)</f>
        <v>265.88897734870329</v>
      </c>
      <c r="M65" s="1">
        <f>L65/VLOOKUP(A65,'[14]geoMap (11)'!$A:$B,2,0)*VLOOKUP(A65,'[14]geoMap (11)'!$A:$C,3,0)</f>
        <v>136.97310954327139</v>
      </c>
      <c r="N65" s="1">
        <f>M65/VLOOKUP(A65,'[15]geoMap (12)'!$A:$B,2,0)*VLOOKUP(A65,'[15]geoMap (12)'!$A:$C,3,0)</f>
        <v>233.22448381692158</v>
      </c>
      <c r="O65" s="1">
        <f>N65/VLOOKUP(A65,'[16]geoMap (13)'!$A:$B,2,0)*VLOOKUP(A65,'[16]geoMap (13)'!$A:$C,3,0)</f>
        <v>349.83672572538234</v>
      </c>
      <c r="P65" s="1">
        <f>O65/VLOOKUP(A65,'[17]geoMap (14)'!$A:$B,2,0)*VLOOKUP(A65,'[17]geoMap (14)'!$A:$C,3,0)</f>
        <v>157.17302170270801</v>
      </c>
      <c r="Q65" s="1">
        <f>P65/VLOOKUP(A65,'[18]geoMap (15)'!$A:$B,2,0)*VLOOKUP(A65,'[18]geoMap (15)'!$A:$C,3,0)</f>
        <v>70.613966272231139</v>
      </c>
      <c r="R65" s="1">
        <f>Q65/VLOOKUP(A65,'[19]geoMap (16)'!$A:$B,2,0)*VLOOKUP(A65,'[19]geoMap (16)'!$A:$C,3,0)</f>
        <v>39.720356028130013</v>
      </c>
      <c r="S65" s="1">
        <f>R65/VLOOKUP(A65,'[20]geoMap (17)'!$A:$B,2,0)*VLOOKUP(A65,'[20]geoMap (17)'!$A:$C,3,0)</f>
        <v>35.223711949473781</v>
      </c>
      <c r="T65" s="1">
        <f>S65/VLOOKUP(A65,'[21]geoMap (18)'!$A:$B,2,0)*VLOOKUP(A65,'[21]geoMap (18)'!$A:$C,3,0)</f>
        <v>36.66141447802373</v>
      </c>
      <c r="U65" s="1">
        <f>T65/VLOOKUP(A65,'[22]geoMap (19)'!$A:$B,2,0)*VLOOKUP(A65,'[22]geoMap (19)'!$A:$C,3,0)</f>
        <v>16.4710702727353</v>
      </c>
      <c r="V65" s="1">
        <f>U65/VLOOKUP(A65,'[23]geoMap (20)'!$A:$B,2,0)*VLOOKUP(A65,'[23]geoMap (20)'!$A:$C,3,0)</f>
        <v>52.158389196995117</v>
      </c>
      <c r="W65" s="1">
        <f>V65/VLOOKUP(A65,'[24]geoMap (21)'!$A:$B,2,0)*VLOOKUP(A65,'[24]geoMap (21)'!$A:$C,3,0)</f>
        <v>92.726025239102441</v>
      </c>
      <c r="X65" s="1">
        <f>W65/VLOOKUP(A65,'[25]geoMap (22)'!$A:$B,2,0)*VLOOKUP(A65,'[25]geoMap (22)'!$A:$C,3,0)</f>
        <v>15.094934341249237</v>
      </c>
      <c r="Y65" s="1">
        <f>X65/VLOOKUP(A65,'[26]geoMap (23)'!$A:$B,2,0)*VLOOKUP(A65,'[26]geoMap (23)'!$A:$C,3,0)</f>
        <v>13.933785545768524</v>
      </c>
      <c r="Z65" s="1">
        <f>Y65/VLOOKUP(A65,'[27]geoMap (24)'!$A:$B,2,0)*VLOOKUP(A65,'[27]geoMap (24)'!$A:$C,3,0)</f>
        <v>10.511452253825379</v>
      </c>
      <c r="AA65" s="1">
        <f>Z65/VLOOKUP(A65,'[28]geoMap (25)'!$A:$B,2,0)*VLOOKUP(A65,'[28]geoMap (25)'!$A:$C,3,0)</f>
        <v>10.511452253825379</v>
      </c>
      <c r="AB65" s="1">
        <f>AA65*VLOOKUP(A65,'[29]geoMap (26)'!$A:$B,2,0)*VLOOKUP(A65,'[29]geoMap (26)'!$A:$C,3,0)</f>
        <v>2.4502195203666957</v>
      </c>
      <c r="AC65" s="1">
        <f>AB65/VLOOKUP(A65,'[30]geoMap (27)'!$A:$B,2,0)*VLOOKUP(A65,'[30]geoMap (27)'!$A:$C,3,0)</f>
        <v>1.5017474479666846</v>
      </c>
      <c r="AD65" s="1">
        <f>AC65/VLOOKUP(A65,'[31]geoMap (28)'!$A:$B,2,0)*VLOOKUP(A65,'[31]geoMap (28)'!$A:$C,3,0)</f>
        <v>1.6934598881326446</v>
      </c>
      <c r="AE65" s="1">
        <f>AD65/VLOOKUP(A65,'[32]geoMap (29)'!$A:$B,2,0)*VLOOKUP(A65,'[32]geoMap (29)'!$A:$C,3,0)</f>
        <v>1.8345815454770316</v>
      </c>
      <c r="AF65" s="1">
        <f>AE65/VLOOKUP(A65,'[33]geoMap (30)'!$A:$B,2,0)*VLOOKUP(A65,'[33]geoMap (30)'!$A:$C,3,0)</f>
        <v>1.0319521193308301</v>
      </c>
      <c r="AG65" s="1">
        <f>AF65/VLOOKUP(A65,'[34]geoMap (31)'!$A:$B,2,0)*VLOOKUP(A65,'[34]geoMap (31)'!$A:$C,3,0)</f>
        <v>0.74727567261887706</v>
      </c>
      <c r="AH65" s="1">
        <f>AG65/VLOOKUP(A65,'[35]geoMap (32)'!$A:$B,2,0)*VLOOKUP(A65,'[35]geoMap (32)'!$A:$C,3,0)</f>
        <v>1.8295369915841473</v>
      </c>
      <c r="AI65" s="1" t="e">
        <f>AH65/VLOOKUP(A65,'[36]geoMap (33)'!$A:$B,2,0)*VLOOKUP(A65,'[36]geoMap (33)'!$A:$C,3,0)</f>
        <v>#REF!</v>
      </c>
      <c r="AJ65" s="1" t="e">
        <f>Y65/VLOOKUP(A65,'[112]geoMap (116)'!$A:$B,2,0)*VLOOKUP(A65,'[112]geoMap (116)'!$A:$C,3,0)</f>
        <v>#REF!</v>
      </c>
      <c r="AK65" s="1">
        <f>Y65/VLOOKUP(A65,'[113]geoMap (117)'!$A:$B,2,0)*VLOOKUP(A65,'[113]geoMap (117)'!$A:$C,3,0)</f>
        <v>7.5028076015676657</v>
      </c>
      <c r="AL65" s="1">
        <f>AK65/VLOOKUP(A65,'[39]geoMap (36)'!$A:$B,2,0)*VLOOKUP(A65,'[39]geoMap (36)'!$A:$C,3,0)</f>
        <v>31.985653459314786</v>
      </c>
      <c r="AM65" s="1">
        <f>AL65/VLOOKUP(A65,'[40]geoMap (37)'!$A:$B,2,0)*VLOOKUP(A65,'[40]geoMap (37)'!$A:$C,3,0)</f>
        <v>3.5539614954794203</v>
      </c>
      <c r="AN65" s="1">
        <f>AM65/VLOOKUP(A65,'[41]geoMap (38)'!$A:$B,2,0)*VLOOKUP(A65,'[41]geoMap (38)'!$A:$C,3,0)</f>
        <v>4.5232237215192628</v>
      </c>
      <c r="AO65" s="1" t="e">
        <f>AN65/VLOOKUP(A65,'[42]geoMap (39)'!$A:$B,2,0)*VLOOKUP(A65,'[42]geoMap (39)'!$A:$C,3,0)</f>
        <v>#REF!</v>
      </c>
      <c r="AP65" s="1" t="e">
        <f>AN65/VLOOKUP(A65,'[126]geoMap (124)'!$A:$B,2,0)*VLOOKUP(A65,'[126]geoMap (124)'!$A:$C,3,0)</f>
        <v>#REF!</v>
      </c>
      <c r="AQ65" s="1" t="e">
        <f>AF65/VLOOKUP(A65,'[99]geoMap (126)'!$A:$B,2,0)*VLOOKUP(A65,'[99]geoMap (126)'!$A:$C,3,0)</f>
        <v>#REF!</v>
      </c>
      <c r="AR65" s="1">
        <f>AA65/VLOOKUP(A65,'[100]geoMap (128)'!$A:$B,2,0)*VLOOKUP(A65,'[100]geoMap (128)'!$A:$C,3,0)</f>
        <v>2.4656492941071875</v>
      </c>
      <c r="AS65" s="1">
        <f>AR65/VLOOKUP(A65,'[46]geoMap (43)'!$A:$B,2,0)*VLOOKUP(A65,'[46]geoMap (43)'!$A:$C,3,0)</f>
        <v>3.1380991015909663</v>
      </c>
      <c r="AT65" s="1" t="e">
        <f>AS65/VLOOKUP(A65,'[47]geoMap (44)'!$A:$B,2,0)*VLOOKUP(A65,'[47]geoMap (44)'!$A:$C,3,0)</f>
        <v>#REF!</v>
      </c>
      <c r="AU65" s="1">
        <f>AN65/VLOOKUP(A65,'[85]geoMap (133)'!$A:$B,2,0)*VLOOKUP(A65,'[85]geoMap (133)'!$A:$C,3,0)</f>
        <v>1.8475139144233608</v>
      </c>
      <c r="AV65" s="1" t="e">
        <f>AU65/VLOOKUP(A65,'[49]geoMap (46)'!$A:$B,2,0)*VLOOKUP(A65,'[49]geoMap (46)'!$A:$C,3,0)</f>
        <v>#REF!</v>
      </c>
      <c r="AW65" s="1">
        <f>AN65/VLOOKUP(A65,'[87]geoMap (137)'!$A:$B,2,0)*VLOOKUP(A65,'[87]geoMap (137)'!$A:$C,3,0)</f>
        <v>2.5443133433545855</v>
      </c>
      <c r="AX65" s="1" t="e">
        <f>AW65/VLOOKUP(A65,'[51]geoMap (48)'!$A:$B,2,0)*VLOOKUP(A65,'[51]geoMap (48)'!$A:$C,3,0)</f>
        <v>#REF!</v>
      </c>
      <c r="AY65" s="1" t="e">
        <f>AN65/VLOOKUP(A65,'[88]geoMap (140)'!$A:$B,2,0)*VLOOKUP(A65,'[88]geoMap (140)'!$A:$C,3,0)</f>
        <v>#REF!</v>
      </c>
      <c r="AZ65" s="1" t="e">
        <f>AN65/VLOOKUP(A65,'[89]geoMap (141)'!$A:$B,2,0)*VLOOKUP(A65,'[89]geoMap (141)'!$A:$C,3,0)</f>
        <v>#REF!</v>
      </c>
      <c r="BA65" s="1" t="e">
        <f>AN65/VLOOKUP(A65,'[71]geoMap (143)'!$A:$B,2,0)*VLOOKUP(A65,'[71]geoMap (143)'!$A:$C,3,0)</f>
        <v>#REF!</v>
      </c>
      <c r="BB65" s="1">
        <f>AN65/VLOOKUP(A65,'[90]geoMap (144)'!$A:$B,2,0)*VLOOKUP(A65,'[90]geoMap (144)'!$A:$C,3,0)</f>
        <v>0.50258041350214033</v>
      </c>
      <c r="BC65" s="1" t="e">
        <f>BB65/VLOOKUP(A65,'[56]geoMap (53)'!$A:$B,2,0)*VLOOKUP(A65,'[56]geoMap (53)'!$A:$C,3,0)</f>
        <v>#REF!</v>
      </c>
      <c r="BD65" s="1" t="e">
        <f>AN65/VLOOKUP(A65,'[73]geoMap (147)'!$A:$B,2,0)*VLOOKUP(A65,'[73]geoMap (147)'!$A:$C,3,0)</f>
        <v>#REF!</v>
      </c>
      <c r="BE65" s="1" t="e">
        <f>AN65/VLOOKUP(A65,'[91]geoMap (148)'!$A:$B,2,0)*VLOOKUP(A65,'[91]geoMap (148)'!$A:$C,3,0)</f>
        <v>#REF!</v>
      </c>
      <c r="BF65" s="1" t="e">
        <f>AN65/VLOOKUP(A65,'[75]geoMap (150)'!$A:$B,2,0)*VLOOKUP(A65,'[75]geoMap (150)'!$A:$C,3,0)</f>
        <v>#REF!</v>
      </c>
      <c r="BG65" s="1" t="e">
        <f>AN65/VLOOKUP(A65,'[93]geoMap (152)'!$A:$B,2,0)*VLOOKUP(A65,'[93]geoMap (152)'!$A:$C,3,0)</f>
        <v>#REF!</v>
      </c>
      <c r="BH65" s="1" t="e">
        <f>AN65/VLOOKUP(A65,'[94]geoMap (154)'!$A:$B,2,0)*VLOOKUP(A65,'[94]geoMap (154)'!$A:$C,3,0)</f>
        <v>#REF!</v>
      </c>
      <c r="BI65" s="1" t="e">
        <f>AN65/VLOOKUP(A65,'[76]geoMap (156)'!$A:$B,2,0)*VLOOKUP(A65,'[76]geoMap (156)'!$A:$C,3,0)</f>
        <v>#REF!</v>
      </c>
      <c r="BJ65" s="1" t="e">
        <f>AN65/VLOOKUP(A65,'[77]geoMap (158)'!$A:$B,2,0)*VLOOKUP(A65,'[77]geoMap (158)'!$A:$C,3,0)</f>
        <v>#REF!</v>
      </c>
      <c r="BK65" s="1" t="e">
        <f>AN65/VLOOKUP(A65,'[78]geoMap (160)'!$A:$B,2,0)*VLOOKUP(A65,'[78]geoMap (160)'!$A:$C,3,0)</f>
        <v>#REF!</v>
      </c>
      <c r="BL65" s="1" t="e">
        <f>AN65/VLOOKUP(A65,'[79]geoMap (162)'!$A:$B,2,0)*VLOOKUP(A65,'[79]geoMap (162)'!$A:$C,3,0)</f>
        <v>#REF!</v>
      </c>
      <c r="BM65" s="1" t="e">
        <f>AN65/VLOOKUP(A65,'[80]geoMap (164)'!$A:$B,2,0)*VLOOKUP(A65,'[80]geoMap (164)'!$A:$C,3,0)</f>
        <v>#REF!</v>
      </c>
      <c r="BN65" s="1" t="e">
        <f>AN65/VLOOKUP(A65,'[81]geoMap (166)'!$A:$B,2,0)*VLOOKUP(A65,'[81]geoMap (166)'!$A:$C,3,0)</f>
        <v>#REF!</v>
      </c>
      <c r="BO65" s="1" t="e">
        <f>AN65/VLOOKUP(A65,'[82]geoMap (168)'!$A:$B,2,0)*VLOOKUP(A65,'[82]geoMap (168)'!$A:$C,3,0)</f>
        <v>#REF!</v>
      </c>
      <c r="BP65" s="1" t="e">
        <f>AN65/VLOOKUP(A65,'[83]geoMap (170)'!$A:$B,2,0)*VLOOKUP(A65,'[83]geoMap (170)'!$A:$C,3,0)</f>
        <v>#REF!</v>
      </c>
    </row>
    <row r="66" spans="1:68" x14ac:dyDescent="0.2">
      <c r="A66" s="1" t="s">
        <v>178</v>
      </c>
      <c r="B66" s="1">
        <f>VLOOKUP(A66,[3]geoMap!$A:$B,2,0)*Notes!$C$6</f>
        <v>3000</v>
      </c>
      <c r="C66" s="1">
        <f>B66/VLOOKUP(A66,'[4]geoMap (1)'!$A:$B,2,0)*VLOOKUP(A66,'[4]geoMap (1)'!$A:$C,3,0)</f>
        <v>1615.3846153846152</v>
      </c>
      <c r="D66" s="1">
        <f>C66/VLOOKUP(A66,'[5]geoMap (2)'!$A:$B,2,0)*VLOOKUP(A66,'[5]geoMap (2)'!$A:$C,3,0)</f>
        <v>1615.3846153846152</v>
      </c>
      <c r="E66" s="1">
        <f>D66/VLOOKUP(A66,'[6]geoMap (3)'!$A:$B,2,0)*VLOOKUP(A66,'[6]geoMap (3)'!$A:$C,3,0)</f>
        <v>1974.3589743589744</v>
      </c>
      <c r="F66" s="1">
        <f>E66/VLOOKUP(A66,'[7]geoMap (4)'!$A:$B,2,0)*VLOOKUP(A66,'[7]geoMap (4)'!$A:$C,3,0)</f>
        <v>1159.5441595441596</v>
      </c>
      <c r="G66" s="1">
        <f>F66/VLOOKUP(A66,'[8]geoMap (5)'!$A:$B,2,0)*VLOOKUP(A66,'[8]geoMap (5)'!$A:$C,3,0)</f>
        <v>874.74383965612049</v>
      </c>
      <c r="H66" s="1">
        <f>G66/VLOOKUP(A66,'[9]geoMap (6)'!$A:$B,2,0)*VLOOKUP(A66,'[9]geoMap (6)'!$A:$C,3,0)</f>
        <v>775.71623516674833</v>
      </c>
      <c r="I66" s="1">
        <f>H66/VLOOKUP(A66,'[10]geoMap (7)'!$A:$B,2,0)*VLOOKUP(A66,'[10]geoMap (7)'!$A:$C,3,0)</f>
        <v>495.94972412300302</v>
      </c>
      <c r="J66" s="1">
        <f>I66/VLOOKUP(A66,'[11]geoMap (8)'!$A:$B,2,0)*VLOOKUP(A66,'[11]geoMap (8)'!$A:$C,3,0)</f>
        <v>303.9691857528083</v>
      </c>
      <c r="K66" s="1">
        <f>J66/VLOOKUP(A66,'[12]geoMap (9)'!$A:$B,2,0)*VLOOKUP(A66,'[12]geoMap (9)'!$A:$C,3,0)</f>
        <v>258.93671378942929</v>
      </c>
      <c r="L66" s="1">
        <f>K66/VLOOKUP(A66,'[13]geoMap (10)'!$A:$B,2,0)*VLOOKUP(A66,'[13]geoMap (10)'!$A:$C,3,0)</f>
        <v>220.57571915395826</v>
      </c>
      <c r="M66" s="1">
        <f>L66/VLOOKUP(A66,'[14]geoMap (11)'!$A:$B,2,0)*VLOOKUP(A66,'[14]geoMap (11)'!$A:$C,3,0)</f>
        <v>147.05047943597216</v>
      </c>
      <c r="N66" s="1">
        <f>M66/VLOOKUP(A66,'[15]geoMap (12)'!$A:$B,2,0)*VLOOKUP(A66,'[15]geoMap (12)'!$A:$C,3,0)</f>
        <v>106.48482993639364</v>
      </c>
      <c r="O66" s="1">
        <f>N66/VLOOKUP(A66,'[16]geoMap (13)'!$A:$B,2,0)*VLOOKUP(A66,'[16]geoMap (13)'!$A:$C,3,0)</f>
        <v>125.00393079489689</v>
      </c>
      <c r="P66" s="1">
        <f>O66/VLOOKUP(A66,'[17]geoMap (14)'!$A:$B,2,0)*VLOOKUP(A66,'[17]geoMap (14)'!$A:$C,3,0)</f>
        <v>64.395964348886281</v>
      </c>
      <c r="Q66" s="1">
        <f>P66/VLOOKUP(A66,'[18]geoMap (15)'!$A:$B,2,0)*VLOOKUP(A66,'[18]geoMap (15)'!$A:$C,3,0)</f>
        <v>109.64718253999555</v>
      </c>
      <c r="R66" s="1">
        <f>Q66/VLOOKUP(A66,'[19]geoMap (16)'!$A:$B,2,0)*VLOOKUP(A66,'[19]geoMap (16)'!$A:$C,3,0)</f>
        <v>82.716295600347522</v>
      </c>
      <c r="S66" s="1">
        <f>R66/VLOOKUP(A66,'[20]geoMap (17)'!$A:$B,2,0)*VLOOKUP(A66,'[20]geoMap (17)'!$A:$C,3,0)</f>
        <v>62.400012470437616</v>
      </c>
      <c r="T66" s="1">
        <f>S66/VLOOKUP(A66,'[21]geoMap (18)'!$A:$B,2,0)*VLOOKUP(A66,'[21]geoMap (18)'!$A:$C,3,0)</f>
        <v>21.924328705829435</v>
      </c>
      <c r="U66" s="1">
        <f>T66/VLOOKUP(A66,'[22]geoMap (19)'!$A:$B,2,0)*VLOOKUP(A66,'[22]geoMap (19)'!$A:$C,3,0)</f>
        <v>21.924328705829435</v>
      </c>
      <c r="V66" s="1">
        <f>U66/VLOOKUP(A66,'[23]geoMap (20)'!$A:$B,2,0)*VLOOKUP(A66,'[23]geoMap (20)'!$A:$C,3,0)</f>
        <v>12.332434897029056</v>
      </c>
      <c r="W66" s="1">
        <f>V66/VLOOKUP(A66,'[24]geoMap (21)'!$A:$B,2,0)*VLOOKUP(A66,'[24]geoMap (21)'!$A:$C,3,0)</f>
        <v>41.286847263966841</v>
      </c>
      <c r="X66" s="1">
        <f>W66/VLOOKUP(A66,'[25]geoMap (22)'!$A:$B,2,0)*VLOOKUP(A66,'[25]geoMap (22)'!$A:$C,3,0)</f>
        <v>10.32171181599171</v>
      </c>
      <c r="Y66" s="1">
        <f>X66/VLOOKUP(A66,'[26]geoMap (23)'!$A:$B,2,0)*VLOOKUP(A66,'[26]geoMap (23)'!$A:$C,3,0)</f>
        <v>27.906850465459065</v>
      </c>
      <c r="Z66" s="1">
        <f>Y66/VLOOKUP(A66,'[27]geoMap (24)'!$A:$B,2,0)*VLOOKUP(A66,'[27]geoMap (24)'!$A:$C,3,0)</f>
        <v>14.376256300388004</v>
      </c>
      <c r="AA66" s="1">
        <f>Z66/VLOOKUP(A66,'[28]geoMap (25)'!$A:$B,2,0)*VLOOKUP(A66,'[28]geoMap (25)'!$A:$C,3,0)</f>
        <v>8.8112538615281313</v>
      </c>
      <c r="AB66" s="1">
        <f>AA66*VLOOKUP(A66,'[29]geoMap (26)'!$A:$B,2,0)*VLOOKUP(A66,'[29]geoMap (26)'!$A:$C,3,0)</f>
        <v>2.1147009267667518</v>
      </c>
      <c r="AC66" s="1">
        <f>AB66/VLOOKUP(A66,'[30]geoMap (27)'!$A:$B,2,0)*VLOOKUP(A66,'[30]geoMap (27)'!$A:$C,3,0)</f>
        <v>1.4098006178445015</v>
      </c>
      <c r="AD66" s="1">
        <f>AC66/VLOOKUP(A66,'[31]geoMap (28)'!$A:$B,2,0)*VLOOKUP(A66,'[31]geoMap (28)'!$A:$C,3,0)</f>
        <v>1.0208901025770529</v>
      </c>
      <c r="AE66" s="1">
        <f>AD66/VLOOKUP(A66,'[32]geoMap (29)'!$A:$B,2,0)*VLOOKUP(A66,'[32]geoMap (29)'!$A:$C,3,0)</f>
        <v>1.4690857573669787</v>
      </c>
      <c r="AF66" s="1">
        <f>AE66/VLOOKUP(A66,'[33]geoMap (30)'!$A:$B,2,0)*VLOOKUP(A66,'[33]geoMap (30)'!$A:$C,3,0)</f>
        <v>0.75680175379511028</v>
      </c>
      <c r="AG66" s="1">
        <f>AF66/VLOOKUP(A66,'[34]geoMap (31)'!$A:$B,2,0)*VLOOKUP(A66,'[34]geoMap (31)'!$A:$C,3,0)</f>
        <v>0.54802885619645925</v>
      </c>
      <c r="AH66" s="1">
        <f>AG66/VLOOKUP(A66,'[35]geoMap (32)'!$A:$B,2,0)*VLOOKUP(A66,'[35]geoMap (32)'!$A:$C,3,0)</f>
        <v>1.481707648234871</v>
      </c>
      <c r="AI66" s="1">
        <f>AH66/VLOOKUP(A66,'[36]geoMap (33)'!$A:$B,2,0)*VLOOKUP(A66,'[36]geoMap (33)'!$A:$C,3,0)</f>
        <v>0.72979630435448861</v>
      </c>
      <c r="AJ66" s="1">
        <f>AI66/VLOOKUP(A66,'[37]geoMap (34)'!$A:$B,2,0)*VLOOKUP(A66,'[37]geoMap (34)'!$A:$C,3,0)</f>
        <v>0.50714658438193272</v>
      </c>
      <c r="AK66" s="1">
        <f>AJ66/VLOOKUP(A66,'[38]geoMap (35)'!$A:$B,2,0)*VLOOKUP(A66,'[38]geoMap (35)'!$A:$C,3,0)</f>
        <v>0.36724407834553746</v>
      </c>
      <c r="AL66" s="1">
        <f>AK66/VLOOKUP(A66,'[39]geoMap (36)'!$A:$B,2,0)*VLOOKUP(A66,'[39]geoMap (36)'!$A:$C,3,0)</f>
        <v>0.21568303013944262</v>
      </c>
      <c r="AM66" s="1">
        <f>AL66/VLOOKUP(A66,'[40]geoMap (37)'!$A:$B,2,0)*VLOOKUP(A66,'[40]geoMap (37)'!$A:$C,3,0)</f>
        <v>0.33735038047451277</v>
      </c>
      <c r="AN66" s="1">
        <f>AM66/VLOOKUP(A66,'[41]geoMap (38)'!$A:$B,2,0)*VLOOKUP(A66,'[41]geoMap (38)'!$A:$C,3,0)</f>
        <v>0.11245012682483758</v>
      </c>
      <c r="AO66" s="1">
        <f>AN66/VLOOKUP(A66,'[42]geoMap (39)'!$A:$B,2,0)*VLOOKUP(A66,'[42]geoMap (39)'!$A:$C,3,0)</f>
        <v>0.51227279997981567</v>
      </c>
      <c r="AP66" s="1">
        <f>AO66/VLOOKUP(A66,'[43]geoMap (40)'!$A:$B,2,0)*VLOOKUP(A66,'[43]geoMap (40)'!$A:$C,3,0)</f>
        <v>0.26389810908051109</v>
      </c>
      <c r="AQ66" s="1">
        <f>AP66/VLOOKUP(A66,'[44]geoMap (41)'!$A:$B,2,0)*VLOOKUP(A66,'[44]geoMap (41)'!$A:$C,3,0)</f>
        <v>8.3336244972792975E-2</v>
      </c>
      <c r="AR66" s="1">
        <f>AQ66/VLOOKUP(A66,'[45]geoMap (42)'!$A:$B,2,0)*VLOOKUP(A66,'[45]geoMap (42)'!$A:$C,3,0)</f>
        <v>0.19445123826985025</v>
      </c>
      <c r="AS66" s="1">
        <f>AR66/VLOOKUP(A66,'[46]geoMap (43)'!$A:$B,2,0)*VLOOKUP(A66,'[46]geoMap (43)'!$A:$C,3,0)</f>
        <v>0.18682569951416986</v>
      </c>
      <c r="AT66" s="1">
        <f>AS66/VLOOKUP(A66,'[47]geoMap (44)'!$A:$B,2,0)*VLOOKUP(A66,'[47]geoMap (44)'!$A:$C,3,0)</f>
        <v>3.0413485967423003E-2</v>
      </c>
      <c r="AU66" s="1">
        <f>AT66/VLOOKUP(A66,'[48]geoMap (45)'!$A:$B,2,0)*VLOOKUP(A66,'[48]geoMap (45)'!$A:$C,3,0)</f>
        <v>9.1240457902269007E-2</v>
      </c>
      <c r="AV66" s="1">
        <f>AU66/VLOOKUP(A66,'[49]geoMap (46)'!$A:$B,2,0)*VLOOKUP(A66,'[49]geoMap (46)'!$A:$C,3,0)</f>
        <v>4.4939330011565332E-2</v>
      </c>
      <c r="AW66" s="1">
        <f>AV66/VLOOKUP(A66,'[50]geoMap (47)'!$A:$B,2,0)*VLOOKUP(A66,'[50]geoMap (47)'!$A:$C,3,0)</f>
        <v>8.3458755735764195E-2</v>
      </c>
      <c r="AX66" s="1">
        <f>AW66/VLOOKUP(A66,'[51]geoMap (48)'!$A:$B,2,0)*VLOOKUP(A66,'[51]geoMap (48)'!$A:$C,3,0)</f>
        <v>2.2185238866468962E-2</v>
      </c>
      <c r="AY66" s="1">
        <f>AX66/VLOOKUP(A66,'[52]geoMap (49)'!$A:$B,2,0)*VLOOKUP(A66,'[52]geoMap (49)'!$A:$C,3,0)</f>
        <v>2.2185238866468962E-2</v>
      </c>
      <c r="AZ66" s="1" t="e">
        <f>AY66/VLOOKUP(A66,'[53]geoMap (50)'!$A:$B,2,0)*VLOOKUP(A66,'[53]geoMap (50)'!$A:$C,3,0)</f>
        <v>#REF!</v>
      </c>
      <c r="BA66" s="1" t="e">
        <f>AN66/VLOOKUP(A66,'[71]geoMap (143)'!$A:$B,2,0)*VLOOKUP(A66,'[71]geoMap (143)'!$A:$C,3,0)</f>
        <v>#REF!</v>
      </c>
      <c r="BB66" s="1">
        <f>AN66/VLOOKUP(A66,'[90]geoMap (144)'!$A:$B,2,0)*VLOOKUP(A66,'[90]geoMap (144)'!$A:$C,3,0)</f>
        <v>1.3898330281721501E-2</v>
      </c>
      <c r="BC66" s="1" t="e">
        <f>BB66/VLOOKUP(A66,'[56]geoMap (53)'!$A:$B,2,0)*VLOOKUP(A66,'[56]geoMap (53)'!$A:$C,3,0)</f>
        <v>#REF!</v>
      </c>
      <c r="BD66" s="1">
        <f>AN66/VLOOKUP(A66,'[73]geoMap (147)'!$A:$B,2,0)*VLOOKUP(A66,'[73]geoMap (147)'!$A:$C,3,0)</f>
        <v>1.9844140027912516E-2</v>
      </c>
      <c r="BE66" s="1">
        <f>BD66/VLOOKUP(A66,'[58]geoMap (55)'!$A:$B,2,0)*VLOOKUP(A66,'[58]geoMap (55)'!$A:$C,3,0)</f>
        <v>5.9532420083737547E-2</v>
      </c>
      <c r="BF66" s="1" t="e">
        <f>BE66/VLOOKUP(A66,'[59]geoMap (56)'!$A:$B,2,0)*VLOOKUP(A66,'[59]geoMap (56)'!$A:$C,3,0)</f>
        <v>#REF!</v>
      </c>
      <c r="BG66" s="1" t="e">
        <f>AN66/VLOOKUP(A66,'[93]geoMap (152)'!$A:$B,2,0)*VLOOKUP(A66,'[93]geoMap (152)'!$A:$C,3,0)</f>
        <v>#REF!</v>
      </c>
      <c r="BH66" s="1" t="e">
        <f>AN66/VLOOKUP(A66,'[94]geoMap (154)'!$A:$B,2,0)*VLOOKUP(A66,'[94]geoMap (154)'!$A:$C,3,0)</f>
        <v>#REF!</v>
      </c>
      <c r="BI66" s="1">
        <f>AN66/VLOOKUP(A66,'[76]geoMap (156)'!$A:$B,2,0)*VLOOKUP(A66,'[76]geoMap (156)'!$A:$C,3,0)</f>
        <v>2.8112531706209393E-2</v>
      </c>
      <c r="BJ66" s="1" t="e">
        <f>BI66/VLOOKUP(A66,'[63]geoMap (60)'!$A:$B,2,0)*VLOOKUP(A66,'[63]geoMap (60)'!$A:$C,3,0)</f>
        <v>#REF!</v>
      </c>
      <c r="BK66" s="1" t="e">
        <f>AN66/VLOOKUP(A66,'[78]geoMap (160)'!$A:$B,2,0)*VLOOKUP(A66,'[78]geoMap (160)'!$A:$C,3,0)</f>
        <v>#REF!</v>
      </c>
      <c r="BL66" s="1">
        <f>AN66/VLOOKUP(A66,'[79]geoMap (162)'!$A:$B,2,0)*VLOOKUP(A66,'[79]geoMap (162)'!$A:$C,3,0)</f>
        <v>1.5334108203386944E-2</v>
      </c>
      <c r="BM66" s="1" t="e">
        <f>AN66/VLOOKUP(A66,'[80]geoMap (164)'!$A:$B,2,0)*VLOOKUP(A66,'[80]geoMap (164)'!$A:$C,3,0)</f>
        <v>#REF!</v>
      </c>
      <c r="BN66" s="1" t="e">
        <f>AN66/VLOOKUP(A66,'[81]geoMap (166)'!$A:$B,2,0)*VLOOKUP(A66,'[81]geoMap (166)'!$A:$C,3,0)</f>
        <v>#REF!</v>
      </c>
      <c r="BO66" s="1" t="e">
        <f>AN66/VLOOKUP(A66,'[82]geoMap (168)'!$A:$B,2,0)*VLOOKUP(A66,'[82]geoMap (168)'!$A:$C,3,0)</f>
        <v>#REF!</v>
      </c>
      <c r="BP66" s="1" t="e">
        <f>AN66/VLOOKUP(A66,'[83]geoMap (170)'!$A:$B,2,0)*VLOOKUP(A66,'[83]geoMap (170)'!$A:$C,3,0)</f>
        <v>#REF!</v>
      </c>
    </row>
    <row r="67" spans="1:68" x14ac:dyDescent="0.2">
      <c r="A67" s="1" t="s">
        <v>184</v>
      </c>
      <c r="B67" s="1">
        <f>VLOOKUP(A67,[3]geoMap!$A:$B,2,0)*Notes!$C$6</f>
        <v>3000</v>
      </c>
      <c r="C67" s="1">
        <f>B67/VLOOKUP(A67,'[4]geoMap (1)'!$A:$B,2,0)*VLOOKUP(A67,'[4]geoMap (1)'!$A:$C,3,0)</f>
        <v>1545.4545454545455</v>
      </c>
      <c r="D67" s="1">
        <f>C67/VLOOKUP(A67,'[5]geoMap (2)'!$A:$B,2,0)*VLOOKUP(A67,'[5]geoMap (2)'!$A:$C,3,0)</f>
        <v>1316.4983164983166</v>
      </c>
      <c r="E67" s="1">
        <f>D67/VLOOKUP(A67,'[6]geoMap (3)'!$A:$B,2,0)*VLOOKUP(A67,'[6]geoMap (3)'!$A:$C,3,0)</f>
        <v>2340.4414515525632</v>
      </c>
      <c r="F67" s="1">
        <f>E67/VLOOKUP(A67,'[7]geoMap (4)'!$A:$B,2,0)*VLOOKUP(A67,'[7]geoMap (4)'!$A:$C,3,0)</f>
        <v>2160.4074937408277</v>
      </c>
      <c r="G67" s="1">
        <f>F67/VLOOKUP(A67,'[8]geoMap (5)'!$A:$B,2,0)*VLOOKUP(A67,'[8]geoMap (5)'!$A:$C,3,0)</f>
        <v>799.05482645208701</v>
      </c>
      <c r="H67" s="1">
        <f>G67/VLOOKUP(A67,'[9]geoMap (6)'!$A:$B,2,0)*VLOOKUP(A67,'[9]geoMap (6)'!$A:$C,3,0)</f>
        <v>767.71934306180913</v>
      </c>
      <c r="I67" s="1">
        <f>H67/VLOOKUP(A67,'[10]geoMap (7)'!$A:$B,2,0)*VLOOKUP(A67,'[10]geoMap (7)'!$A:$C,3,0)</f>
        <v>283.9509898995733</v>
      </c>
      <c r="J67" s="1">
        <f>I67/VLOOKUP(A67,'[11]geoMap (8)'!$A:$B,2,0)*VLOOKUP(A67,'[11]geoMap (8)'!$A:$C,3,0)</f>
        <v>307.61357239120446</v>
      </c>
      <c r="K67" s="1">
        <f>J67/VLOOKUP(A67,'[12]geoMap (9)'!$A:$B,2,0)*VLOOKUP(A67,'[12]geoMap (9)'!$A:$C,3,0)</f>
        <v>501.89582863828093</v>
      </c>
      <c r="L67" s="1">
        <f>K67/VLOOKUP(A67,'[13]geoMap (10)'!$A:$B,2,0)*VLOOKUP(A67,'[13]geoMap (10)'!$A:$C,3,0)</f>
        <v>176.34177762966627</v>
      </c>
      <c r="M67" s="1">
        <f>L67/VLOOKUP(A67,'[14]geoMap (11)'!$A:$B,2,0)*VLOOKUP(A67,'[14]geoMap (11)'!$A:$C,3,0)</f>
        <v>264.51266644449936</v>
      </c>
      <c r="N67" s="1">
        <f>M67/VLOOKUP(A67,'[15]geoMap (12)'!$A:$B,2,0)*VLOOKUP(A67,'[15]geoMap (12)'!$A:$C,3,0)</f>
        <v>124.47654891505853</v>
      </c>
      <c r="O67" s="1">
        <f>H67/VLOOKUP(A67,'[118]geoMap (81)'!$A:$B,2,0)*VLOOKUP(A67,'[118]geoMap (81)'!$A:$C,3,0)</f>
        <v>216.53622496615128</v>
      </c>
      <c r="P67" s="1">
        <f>O67/VLOOKUP(A67,'[17]geoMap (14)'!$A:$B,2,0)*VLOOKUP(A67,'[17]geoMap (14)'!$A:$C,3,0)</f>
        <v>101.8993999840712</v>
      </c>
      <c r="Q67" s="1">
        <f>P67/VLOOKUP(A67,'[18]geoMap (15)'!$A:$B,2,0)*VLOOKUP(A67,'[18]geoMap (15)'!$A:$C,3,0)</f>
        <v>106.05855916709451</v>
      </c>
      <c r="R67" s="1">
        <f>Q67/VLOOKUP(A67,'[19]geoMap (16)'!$A:$B,2,0)*VLOOKUP(A67,'[19]geoMap (16)'!$A:$C,3,0)</f>
        <v>83.331725059859963</v>
      </c>
      <c r="S67" s="1">
        <f>R67/VLOOKUP(A67,'[20]geoMap (17)'!$A:$B,2,0)*VLOOKUP(A67,'[20]geoMap (17)'!$A:$C,3,0)</f>
        <v>70.986284310251079</v>
      </c>
      <c r="T67" s="1" t="e">
        <f>L67/VLOOKUP(A67,'[119]geoMap (92)'!$A:$B,2,0)*VLOOKUP(A67,'[119]geoMap (92)'!$A:$C,3,0)</f>
        <v>#REF!</v>
      </c>
      <c r="U67" s="1">
        <f>O67/VLOOKUP(A67,'[120]geoMap (93)'!$A:$B,2,0)*VLOOKUP(A67,'[120]geoMap (93)'!$A:$C,3,0)</f>
        <v>26.762904209299595</v>
      </c>
      <c r="V67" s="1">
        <f>U67/VLOOKUP(A67,'[23]geoMap (20)'!$A:$B,2,0)*VLOOKUP(A67,'[23]geoMap (20)'!$A:$C,3,0)</f>
        <v>21.896921625790576</v>
      </c>
      <c r="W67" s="1" t="e">
        <f>O67/VLOOKUP(A67,'[121]geoMap (98)'!$A:$B,2,0)*VLOOKUP(A67,'[121]geoMap (98)'!$A:$C,3,0)</f>
        <v>#REF!</v>
      </c>
      <c r="X67" s="1">
        <f>O67/VLOOKUP(A67,'[141]geoMap (99)'!$A:$B,2,0)*VLOOKUP(A67,'[141]geoMap (99)'!$A:$C,3,0)</f>
        <v>18.829236953578373</v>
      </c>
      <c r="Y67" s="1">
        <f>X67/VLOOKUP(A67,'[26]geoMap (23)'!$A:$B,2,0)*VLOOKUP(A67,'[26]geoMap (23)'!$A:$C,3,0)</f>
        <v>14.794400463525863</v>
      </c>
      <c r="Z67" s="1">
        <f>Y67/VLOOKUP(A67,'[27]geoMap (24)'!$A:$B,2,0)*VLOOKUP(A67,'[27]geoMap (24)'!$A:$C,3,0)</f>
        <v>30.037116092613115</v>
      </c>
      <c r="AA67" s="1">
        <f>Z67/VLOOKUP(A67,'[28]geoMap (25)'!$A:$B,2,0)*VLOOKUP(A67,'[28]geoMap (25)'!$A:$C,3,0)</f>
        <v>12.87304975397705</v>
      </c>
      <c r="AB67" s="1">
        <f>AA67*VLOOKUP(A67,'[29]geoMap (26)'!$A:$B,2,0)*VLOOKUP(A67,'[29]geoMap (26)'!$A:$C,3,0)</f>
        <v>3.2131132185926714</v>
      </c>
      <c r="AC67" s="1">
        <f>AB67/VLOOKUP(A67,'[30]geoMap (27)'!$A:$B,2,0)*VLOOKUP(A67,'[30]geoMap (27)'!$A:$C,3,0)</f>
        <v>5.7122012774980826</v>
      </c>
      <c r="AD67" s="1" t="e">
        <f>AB67/VLOOKUP(A67,'[97]geoMap (109)'!$A:$B,2,0)*VLOOKUP(A67,'[97]geoMap (109)'!$A:$C,4,0)</f>
        <v>#REF!</v>
      </c>
      <c r="AE67" s="1">
        <f>AB67/VLOOKUP(A67,'[98]geoMap (110)'!$A:$B,2,0)*VLOOKUP(A67,'[98]geoMap (110)'!$A:$C,3,0)</f>
        <v>4.6237482901699414</v>
      </c>
      <c r="AF67" s="1">
        <f>AA67/VLOOKUP(A67,'[150]geoMap (111)'!$A:$B,2,0)*VLOOKUP(A67,'[150]geoMap (111)'!$A:$C,3,0)</f>
        <v>8.2303104984443429</v>
      </c>
      <c r="AG67" s="1">
        <f>Y67/VLOOKUP(A67,'[151]geoMap (113)'!$A:$B,2,0)*VLOOKUP(A67,'[151]geoMap (113)'!$A:$C,3,0)</f>
        <v>14.794400463525863</v>
      </c>
      <c r="AH67" s="1">
        <f>AG67/VLOOKUP(A67,'[35]geoMap (32)'!$A:$B,2,0)*VLOOKUP(A67,'[35]geoMap (32)'!$A:$C,3,0)</f>
        <v>13.119562675202177</v>
      </c>
      <c r="AI67" s="1">
        <f>AH67/VLOOKUP(A67,'[36]geoMap (33)'!$A:$B,2,0)*VLOOKUP(A67,'[36]geoMap (33)'!$A:$C,3,0)</f>
        <v>6.758562590255667</v>
      </c>
      <c r="AJ67" s="1">
        <f>AI67/VLOOKUP(A67,'[37]geoMap (34)'!$A:$B,2,0)*VLOOKUP(A67,'[37]geoMap (34)'!$A:$C,3,0)</f>
        <v>6.758562590255667</v>
      </c>
      <c r="AK67" s="1">
        <f>AJ67/VLOOKUP(A67,'[38]geoMap (35)'!$A:$B,2,0)*VLOOKUP(A67,'[38]geoMap (35)'!$A:$C,3,0)</f>
        <v>7.0344222878171232</v>
      </c>
      <c r="AL67" s="1">
        <f>AK67/VLOOKUP(A67,'[39]geoMap (36)'!$A:$B,2,0)*VLOOKUP(A67,'[39]geoMap (36)'!$A:$C,3,0)</f>
        <v>7.9324336437086709</v>
      </c>
      <c r="AM67" s="1">
        <f>AL67/VLOOKUP(A67,'[40]geoMap (37)'!$A:$B,2,0)*VLOOKUP(A67,'[40]geoMap (37)'!$A:$C,3,0)</f>
        <v>10.515086457939399</v>
      </c>
      <c r="AN67" s="1">
        <f>AC67/VLOOKUP(A67,'[133]geoMap (121)'!$A:$B,2,0)*VLOOKUP(A67,'[133]geoMap (121)'!$A:$C,3,0)</f>
        <v>0.85354731732729971</v>
      </c>
      <c r="AO67" s="1">
        <f>AM67/VLOOKUP(A67,'[142]geoMap (123)'!$A:$B,2,0)*VLOOKUP(A67,'[142]geoMap (123)'!$A:$C,3,0)</f>
        <v>5.4168627207566606</v>
      </c>
      <c r="AP67" s="1" t="e">
        <f>AN67/VLOOKUP(A67,'[126]geoMap (124)'!$A:$B,2,0)*VLOOKUP(A67,'[126]geoMap (124)'!$A:$C,3,0)</f>
        <v>#REF!</v>
      </c>
      <c r="AQ67" s="1" t="e">
        <f>AF67/VLOOKUP(A67,'[99]geoMap (126)'!$A:$B,2,0)*VLOOKUP(A67,'[99]geoMap (126)'!$A:$C,3,0)</f>
        <v>#REF!</v>
      </c>
      <c r="AR67" s="1" t="e">
        <f>AA67/VLOOKUP(A67,'[100]geoMap (128)'!$A:$B,2,0)*VLOOKUP(A67,'[100]geoMap (128)'!$A:$C,3,0)</f>
        <v>#REF!</v>
      </c>
      <c r="AS67" s="1">
        <f>AA67/VLOOKUP(A67,'[101]geoMap (129)'!$A:$B,2,0)*VLOOKUP(A67,'[101]geoMap (129)'!$A:$C,3,0)</f>
        <v>3.4219499346014937</v>
      </c>
      <c r="AT67" s="1">
        <f>AS67/VLOOKUP(A67,'[47]geoMap (44)'!$A:$B,2,0)*VLOOKUP(A67,'[47]geoMap (44)'!$A:$C,3,0)</f>
        <v>1.3307583079005809</v>
      </c>
      <c r="AU67" s="1" t="e">
        <f>AO67/VLOOKUP(A67,'[134]geoMap (134)'!$A:$B,2,0)*VLOOKUP(A67,'[134]geoMap (134)'!$A:$C,3,0)</f>
        <v>#REF!</v>
      </c>
      <c r="AV67" s="1">
        <f>AO67/VLOOKUP(A67,'[127]geoMap (136)'!$A:$B,2,0)*VLOOKUP(A67,'[127]geoMap (136)'!$A:$C,3,0)</f>
        <v>5.4168627207566606</v>
      </c>
      <c r="AW67" s="1">
        <f>AV67/VLOOKUP(A67,'[50]geoMap (47)'!$A:$B,2,0)*VLOOKUP(A67,'[50]geoMap (47)'!$A:$C,3,0)</f>
        <v>6.6206099920359183</v>
      </c>
      <c r="AX67" s="1">
        <f>AW67/VLOOKUP(A67,'[51]geoMap (48)'!$A:$B,2,0)*VLOOKUP(A67,'[51]geoMap (48)'!$A:$C,3,0)</f>
        <v>7.7720204254334702</v>
      </c>
      <c r="AY67" s="1" t="e">
        <f>AX67/VLOOKUP(A67,'[52]geoMap (49)'!$A:$B,2,0)*VLOOKUP(A67,'[52]geoMap (49)'!$A:$C,3,0)</f>
        <v>#REF!</v>
      </c>
      <c r="AZ67" s="1">
        <f>AO67/VLOOKUP(A67,'[135]geoMap (142)'!$A:$B,2,0)*VLOOKUP(A67,'[135]geoMap (142)'!$A:$C,3,0)</f>
        <v>3.1813320740951818</v>
      </c>
      <c r="BA67" s="1" t="e">
        <f>AZ67/VLOOKUP(A67,'[54]geoMap (51)'!$A:$B,2,0)*VLOOKUP(A67,'[54]geoMap (51)'!$A:$C,3,0)</f>
        <v>#REF!</v>
      </c>
      <c r="BB67" s="1">
        <f>AO67/VLOOKUP(A67,'[116]geoMap (145)'!$A:$B,2,0)*VLOOKUP(A67,'[116]geoMap (145)'!$A:$C,3,0)</f>
        <v>3.9225557633065478</v>
      </c>
      <c r="BC67" s="1" t="e">
        <f>BB67/VLOOKUP(A67,'[56]geoMap (53)'!$A:$B,2,0)*VLOOKUP(A67,'[56]geoMap (53)'!$A:$C,3,0)</f>
        <v>#REF!</v>
      </c>
      <c r="BD67" s="1">
        <f>AO67/100*0</f>
        <v>0</v>
      </c>
      <c r="BE67" s="1" t="e">
        <f>AO67/VLOOKUP(A67,'[74]geoMap (149)'!$A:$B,2,0)*VLOOKUP(A67,'[74]geoMap (149)'!$A:$C,3,0)</f>
        <v>#REF!</v>
      </c>
      <c r="BF67" s="1" t="e">
        <f>AN67/VLOOKUP(A67,'[75]geoMap (150)'!$A:$B,2,0)*VLOOKUP(A67,'[75]geoMap (150)'!$A:$C,3,0)</f>
        <v>#REF!</v>
      </c>
      <c r="BG67" s="1" t="e">
        <f>AO67/VLOOKUP(A67,'[102]geoMap (153)'!$A:$B,2,0)*VLOOKUP(A67,'[102]geoMap (153)'!$A:$C,3,0)</f>
        <v>#REF!</v>
      </c>
      <c r="BH67" s="1" t="e">
        <f>AS67/VLOOKUP(A67,'[103]geoMap (155)'!$A:$B,2,0)*VLOOKUP(A67,'[103]geoMap (155)'!$A:$C,3,0)</f>
        <v>#REF!</v>
      </c>
      <c r="BI67" s="1" t="e">
        <f>AN67/VLOOKUP(A67,'[76]geoMap (156)'!$A:$B,2,0)*VLOOKUP(A67,'[76]geoMap (156)'!$A:$C,3,0)</f>
        <v>#REF!</v>
      </c>
      <c r="BJ67" s="1" t="e">
        <f>AN67/VLOOKUP(A67,'[77]geoMap (158)'!$A:$B,2,0)*VLOOKUP(A67,'[77]geoMap (158)'!$A:$C,3,0)</f>
        <v>#REF!</v>
      </c>
      <c r="BK67" s="1" t="e">
        <f>AN67/VLOOKUP(A67,'[78]geoMap (160)'!$A:$B,2,0)*VLOOKUP(A67,'[78]geoMap (160)'!$A:$C,3,0)</f>
        <v>#REF!</v>
      </c>
      <c r="BL67" s="1" t="e">
        <f>AN67/VLOOKUP(A67,'[79]geoMap (162)'!$A:$B,2,0)*VLOOKUP(A67,'[79]geoMap (162)'!$A:$C,3,0)</f>
        <v>#REF!</v>
      </c>
      <c r="BM67" s="1" t="e">
        <f>AN67/VLOOKUP(A67,'[80]geoMap (164)'!$A:$B,2,0)*VLOOKUP(A67,'[80]geoMap (164)'!$A:$C,3,0)</f>
        <v>#REF!</v>
      </c>
      <c r="BN67" s="1" t="e">
        <f>AN67/VLOOKUP(A67,'[81]geoMap (166)'!$A:$B,2,0)*VLOOKUP(A67,'[81]geoMap (166)'!$A:$C,3,0)</f>
        <v>#REF!</v>
      </c>
      <c r="BO67" s="1" t="e">
        <f>AN67/VLOOKUP(A67,'[82]geoMap (168)'!$A:$B,2,0)*VLOOKUP(A67,'[82]geoMap (168)'!$A:$C,3,0)</f>
        <v>#REF!</v>
      </c>
      <c r="BP67" s="1" t="e">
        <f>AN67/VLOOKUP(A67,'[83]geoMap (170)'!$A:$B,2,0)*VLOOKUP(A67,'[83]geoMap (170)'!$A:$C,3,0)</f>
        <v>#REF!</v>
      </c>
    </row>
    <row r="68" spans="1:68" x14ac:dyDescent="0.2">
      <c r="A68" s="1" t="s">
        <v>189</v>
      </c>
      <c r="B68" s="1">
        <f>VLOOKUP(A68,[3]geoMap!$A:$B,2,0)*Notes!$C$6</f>
        <v>2000</v>
      </c>
      <c r="C68" s="1">
        <f>B68/VLOOKUP(A68,'[4]geoMap (1)'!$A:$B,2,0)*VLOOKUP(A68,'[4]geoMap (1)'!$A:$C,3,0)</f>
        <v>1571.4285714285713</v>
      </c>
      <c r="D68" s="1">
        <f>C68/VLOOKUP(A68,'[5]geoMap (2)'!$A:$B,2,0)*VLOOKUP(A68,'[5]geoMap (2)'!$A:$C,3,0)</f>
        <v>1920.6349206349205</v>
      </c>
      <c r="E68" s="1">
        <f>D68/VLOOKUP(A68,'[6]geoMap (3)'!$A:$B,2,0)*VLOOKUP(A68,'[6]geoMap (3)'!$A:$C,3,0)</f>
        <v>1845.3159041394333</v>
      </c>
      <c r="F68" s="1">
        <f>E68/VLOOKUP(A68,'[7]geoMap (4)'!$A:$B,2,0)*VLOOKUP(A68,'[7]geoMap (4)'!$A:$C,3,0)</f>
        <v>1999.0922294843863</v>
      </c>
      <c r="G68" s="1">
        <f>F68/VLOOKUP(A68,'[8]geoMap (5)'!$A:$B,2,0)*VLOOKUP(A68,'[8]geoMap (5)'!$A:$C,3,0)</f>
        <v>984.62751601469768</v>
      </c>
      <c r="H68" s="1">
        <f>G68/VLOOKUP(A68,'[9]geoMap (6)'!$A:$B,2,0)*VLOOKUP(A68,'[9]geoMap (6)'!$A:$C,3,0)</f>
        <v>656.4183440097986</v>
      </c>
      <c r="I68" s="1">
        <f>H68/VLOOKUP(A68,'[10]geoMap (7)'!$A:$B,2,0)*VLOOKUP(A68,'[10]geoMap (7)'!$A:$C,3,0)</f>
        <v>802.28908712308726</v>
      </c>
      <c r="J68" s="1">
        <f>I68/VLOOKUP(A68,'[11]geoMap (8)'!$A:$B,2,0)*VLOOKUP(A68,'[11]geoMap (8)'!$A:$C,3,0)</f>
        <v>835.03558047504998</v>
      </c>
      <c r="K68" s="1">
        <f>J68/VLOOKUP(A68,'[12]geoMap (9)'!$A:$B,2,0)*VLOOKUP(A68,'[12]geoMap (9)'!$A:$C,3,0)</f>
        <v>375.16091296705144</v>
      </c>
      <c r="L68" s="1">
        <f>K68/VLOOKUP(A68,'[13]geoMap (10)'!$A:$B,2,0)*VLOOKUP(A68,'[13]geoMap (10)'!$A:$C,3,0)</f>
        <v>176.54631198449479</v>
      </c>
      <c r="M68" s="1">
        <f>L68/VLOOKUP(A68,'[14]geoMap (11)'!$A:$B,2,0)*VLOOKUP(A68,'[14]geoMap (11)'!$A:$C,3,0)</f>
        <v>243.80204988334992</v>
      </c>
      <c r="N68" s="1">
        <f>M68/VLOOKUP(A68,'[15]geoMap (12)'!$A:$B,2,0)*VLOOKUP(A68,'[15]geoMap (12)'!$A:$C,3,0)</f>
        <v>125.59499539445298</v>
      </c>
      <c r="O68" s="1">
        <f>N68/VLOOKUP(A68,'[16]geoMap (13)'!$A:$B,2,0)*VLOOKUP(A68,'[16]geoMap (13)'!$A:$C,3,0)</f>
        <v>180.73426166518843</v>
      </c>
      <c r="P68" s="1">
        <f>O68/VLOOKUP(A68,'[17]geoMap (14)'!$A:$B,2,0)*VLOOKUP(A68,'[17]geoMap (14)'!$A:$C,3,0)</f>
        <v>101.66302218666848</v>
      </c>
      <c r="Q68" s="1">
        <f>P68/VLOOKUP(A68,'[18]geoMap (15)'!$A:$B,2,0)*VLOOKUP(A68,'[18]geoMap (15)'!$A:$C,3,0)</f>
        <v>97.676237002877571</v>
      </c>
      <c r="R68" s="1">
        <f>Q68/VLOOKUP(A68,'[19]geoMap (16)'!$A:$B,2,0)*VLOOKUP(A68,'[19]geoMap (16)'!$A:$C,3,0)</f>
        <v>62.448741690364358</v>
      </c>
      <c r="S68" s="1">
        <f>R68/VLOOKUP(A68,'[20]geoMap (17)'!$A:$B,2,0)*VLOOKUP(A68,'[20]geoMap (17)'!$A:$C,3,0)</f>
        <v>79.48021669682737</v>
      </c>
      <c r="T68" s="1">
        <f>S68/VLOOKUP(A68,'[21]geoMap (18)'!$A:$B,2,0)*VLOOKUP(A68,'[21]geoMap (18)'!$A:$C,3,0)</f>
        <v>17.446876835888936</v>
      </c>
      <c r="U68" s="1">
        <f>T68/VLOOKUP(A68,'[22]geoMap (19)'!$A:$B,2,0)*VLOOKUP(A68,'[22]geoMap (19)'!$A:$C,3,0)</f>
        <v>40.709379283740851</v>
      </c>
      <c r="V68" s="1">
        <f>U68/VLOOKUP(A68,'[23]geoMap (20)'!$A:$B,2,0)*VLOOKUP(A68,'[23]geoMap (20)'!$A:$C,3,0)</f>
        <v>58.581789700992928</v>
      </c>
      <c r="W68" s="1">
        <f>V68/VLOOKUP(A68,'[24]geoMap (21)'!$A:$B,2,0)*VLOOKUP(A68,'[24]geoMap (21)'!$A:$C,3,0)</f>
        <v>6.509087744554769</v>
      </c>
      <c r="X68" s="1">
        <f>W68/VLOOKUP(A68,'[25]geoMap (22)'!$A:$B,2,0)*VLOOKUP(A68,'[25]geoMap (22)'!$A:$C,3,0)</f>
        <v>12.088305811316001</v>
      </c>
      <c r="Y68" s="1">
        <f>X68/VLOOKUP(A68,'[26]geoMap (23)'!$A:$B,2,0)*VLOOKUP(A68,'[26]geoMap (23)'!$A:$C,3,0)</f>
        <v>14.190619865457915</v>
      </c>
      <c r="Z68" s="1">
        <f>Y68/VLOOKUP(A68,'[27]geoMap (24)'!$A:$B,2,0)*VLOOKUP(A68,'[27]geoMap (24)'!$A:$C,3,0)</f>
        <v>18.810821682118629</v>
      </c>
      <c r="AA68" s="1">
        <f>Z68/VLOOKUP(A68,'[28]geoMap (25)'!$A:$B,2,0)*VLOOKUP(A68,'[28]geoMap (25)'!$A:$C,3,0)</f>
        <v>6.9574271974959316</v>
      </c>
      <c r="AB68" s="1">
        <f>AA68*VLOOKUP(A68,'[29]geoMap (26)'!$A:$B,2,0)*VLOOKUP(A68,'[29]geoMap (26)'!$A:$C,3,0)</f>
        <v>1.5612466631180872</v>
      </c>
      <c r="AC68" s="1">
        <f>AB68/VLOOKUP(A68,'[30]geoMap (27)'!$A:$B,2,0)*VLOOKUP(A68,'[30]geoMap (27)'!$A:$C,3,0)</f>
        <v>1.8327678219212329</v>
      </c>
      <c r="AD68" s="1">
        <f>AC68/VLOOKUP(A68,'[31]geoMap (28)'!$A:$B,2,0)*VLOOKUP(A68,'[31]geoMap (28)'!$A:$C,3,0)</f>
        <v>1.123309310209788</v>
      </c>
      <c r="AE68" s="1">
        <f>AD68/VLOOKUP(A68,'[32]geoMap (29)'!$A:$B,2,0)*VLOOKUP(A68,'[32]geoMap (29)'!$A:$C,3,0)</f>
        <v>0.91907125380800825</v>
      </c>
      <c r="AF68" s="1">
        <f>AE68/VLOOKUP(A68,'[33]geoMap (30)'!$A:$B,2,0)*VLOOKUP(A68,'[33]geoMap (30)'!$A:$C,3,0)</f>
        <v>1.0363994989749881</v>
      </c>
      <c r="AG68" s="1">
        <f>AF68/VLOOKUP(A68,'[34]geoMap (31)'!$A:$B,2,0)*VLOOKUP(A68,'[34]geoMap (31)'!$A:$C,3,0)</f>
        <v>0.81431389205177618</v>
      </c>
      <c r="AH68" s="1">
        <f>AG68/VLOOKUP(A68,'[35]geoMap (32)'!$A:$B,2,0)*VLOOKUP(A68,'[35]geoMap (32)'!$A:$C,3,0)</f>
        <v>0.88217338305609083</v>
      </c>
      <c r="AI68" s="1">
        <f>AH68/VLOOKUP(A68,'[36]geoMap (33)'!$A:$B,2,0)*VLOOKUP(A68,'[36]geoMap (33)'!$A:$C,3,0)</f>
        <v>0.63881520841992789</v>
      </c>
      <c r="AJ68" s="1">
        <f>AI68/VLOOKUP(A68,'[37]geoMap (34)'!$A:$B,2,0)*VLOOKUP(A68,'[37]geoMap (34)'!$A:$C,3,0)</f>
        <v>0.81303753798899925</v>
      </c>
      <c r="AK68" s="1">
        <f>AJ68/VLOOKUP(A68,'[38]geoMap (35)'!$A:$B,2,0)*VLOOKUP(A68,'[38]geoMap (35)'!$A:$C,3,0)</f>
        <v>0.66521253108190836</v>
      </c>
      <c r="AL68" s="1">
        <f>Z68/VLOOKUP(A68,'[114]geoMap (119)'!$A:$B,2,0)*VLOOKUP(A68,'[114]geoMap (119)'!$A:$C,3,0)</f>
        <v>0.78378423675494291</v>
      </c>
      <c r="AM68" s="1">
        <f>AA68/VLOOKUP(A68,'[125]geoMap (120)'!$A:$B,2,0)*VLOOKUP(A68,'[125]geoMap (120)'!$A:$C,3,0)</f>
        <v>3.9135527985914611</v>
      </c>
      <c r="AN68" s="1">
        <f>AM68/VLOOKUP(A68,'[41]geoMap (38)'!$A:$B,2,0)*VLOOKUP(A68,'[41]geoMap (38)'!$A:$C,3,0)</f>
        <v>3.4705090855433709</v>
      </c>
      <c r="AO68" s="1">
        <f>AN68/VLOOKUP(A68,'[42]geoMap (39)'!$A:$B,2,0)*VLOOKUP(A68,'[42]geoMap (39)'!$A:$C,3,0)</f>
        <v>4.994147220659972</v>
      </c>
      <c r="AP68" s="1">
        <f>AO68/VLOOKUP(A68,'[43]geoMap (40)'!$A:$B,2,0)*VLOOKUP(A68,'[43]geoMap (40)'!$A:$C,3,0)</f>
        <v>2.6891561957399848</v>
      </c>
      <c r="AQ68" s="1" t="e">
        <f>AP68/VLOOKUP(A68,'[44]geoMap (41)'!$A:$B,2,0)*VLOOKUP(A68,'[44]geoMap (41)'!$A:$C,3,0)</f>
        <v>#REF!</v>
      </c>
      <c r="AR68" s="1">
        <f>AA68/VLOOKUP(A68,'[100]geoMap (128)'!$A:$B,2,0)*VLOOKUP(A68,'[100]geoMap (128)'!$A:$C,3,0)</f>
        <v>0.94874007238580882</v>
      </c>
      <c r="AS68" s="1">
        <f>AR68/VLOOKUP(A68,'[46]geoMap (43)'!$A:$B,2,0)*VLOOKUP(A68,'[46]geoMap (43)'!$A:$C,3,0)</f>
        <v>1.5479443286294776</v>
      </c>
      <c r="AT68" s="1">
        <f>AC68/VLOOKUP(A68,'[84]geoMap (131)'!$A:$B,2,0)*VLOOKUP(A68,'[84]geoMap (131)'!$A:$C,3,0)</f>
        <v>7.6365325913384713E-2</v>
      </c>
      <c r="AU68" s="1" t="e">
        <f>AN68/VLOOKUP(A68,'[85]geoMap (133)'!$A:$B,2,0)*VLOOKUP(A68,'[85]geoMap (133)'!$A:$C,3,0)</f>
        <v>#REF!</v>
      </c>
      <c r="AV68" s="1">
        <f>AN68/VLOOKUP(A68,'[86]geoMap (135)'!$A:$B,2,0)*VLOOKUP(A68,'[86]geoMap (135)'!$A:$C,3,0)</f>
        <v>2.1270862137201303</v>
      </c>
      <c r="AW68" s="1">
        <f>AV68/VLOOKUP(A68,'[50]geoMap (47)'!$A:$B,2,0)*VLOOKUP(A68,'[50]geoMap (47)'!$A:$C,3,0)</f>
        <v>3.9503029683373856</v>
      </c>
      <c r="AX68" s="1">
        <f>AW68/VLOOKUP(A68,'[51]geoMap (48)'!$A:$B,2,0)*VLOOKUP(A68,'[51]geoMap (48)'!$A:$C,3,0)</f>
        <v>3.2320660650033153</v>
      </c>
      <c r="AY68" s="1" t="e">
        <f>AX68/VLOOKUP(A68,'[52]geoMap (49)'!$A:$B,2,0)*VLOOKUP(A68,'[52]geoMap (49)'!$A:$C,3,0)</f>
        <v>#REF!</v>
      </c>
      <c r="AZ68" s="1" t="e">
        <f>AN68/VLOOKUP(A68,'[89]geoMap (141)'!$A:$B,2,0)*VLOOKUP(A68,'[89]geoMap (141)'!$A:$C,3,0)</f>
        <v>#REF!</v>
      </c>
      <c r="BA68" s="1" t="e">
        <f>AN68/VLOOKUP(A68,'[71]geoMap (143)'!$A:$B,2,0)*VLOOKUP(A68,'[71]geoMap (143)'!$A:$C,3,0)</f>
        <v>#REF!</v>
      </c>
      <c r="BB68" s="1">
        <f>AN68/VLOOKUP(A68,'[90]geoMap (144)'!$A:$B,2,0)*VLOOKUP(A68,'[90]geoMap (144)'!$A:$C,3,0)</f>
        <v>0.76181906755830087</v>
      </c>
      <c r="BC68" s="1" t="e">
        <f>BB68/VLOOKUP(A68,'[56]geoMap (53)'!$A:$B,2,0)*VLOOKUP(A68,'[56]geoMap (53)'!$A:$C,3,0)</f>
        <v>#REF!</v>
      </c>
      <c r="BD68" s="1" t="e">
        <f>AN68/VLOOKUP(A68,'[73]geoMap (147)'!$A:$B,2,0)*VLOOKUP(A68,'[73]geoMap (147)'!$A:$C,3,0)</f>
        <v>#REF!</v>
      </c>
      <c r="BE68" s="1" t="e">
        <f>AN68/VLOOKUP(A68,'[91]geoMap (148)'!$A:$B,2,0)*VLOOKUP(A68,'[91]geoMap (148)'!$A:$C,3,0)</f>
        <v>#REF!</v>
      </c>
      <c r="BF68" s="1" t="e">
        <f>AN68/VLOOKUP(A68,'[75]geoMap (150)'!$A:$B,2,0)*VLOOKUP(A68,'[75]geoMap (150)'!$A:$C,3,0)</f>
        <v>#REF!</v>
      </c>
      <c r="BG68" s="1" t="e">
        <f>AN68/VLOOKUP(A68,'[93]geoMap (152)'!$A:$B,2,0)*VLOOKUP(A68,'[93]geoMap (152)'!$A:$C,3,0)</f>
        <v>#REF!</v>
      </c>
      <c r="BH68" s="1" t="e">
        <f>AN68/VLOOKUP(A68,'[94]geoMap (154)'!$A:$B,2,0)*VLOOKUP(A68,'[94]geoMap (154)'!$A:$C,3,0)</f>
        <v>#REF!</v>
      </c>
      <c r="BI68" s="1" t="e">
        <f>AN68/VLOOKUP(A68,'[76]geoMap (156)'!$A:$B,2,0)*VLOOKUP(A68,'[76]geoMap (156)'!$A:$C,3,0)</f>
        <v>#REF!</v>
      </c>
      <c r="BJ68" s="1" t="e">
        <f>AN68/VLOOKUP(A68,'[77]geoMap (158)'!$A:$B,2,0)*VLOOKUP(A68,'[77]geoMap (158)'!$A:$C,3,0)</f>
        <v>#REF!</v>
      </c>
      <c r="BK68" s="1" t="e">
        <f>AN68/VLOOKUP(A68,'[78]geoMap (160)'!$A:$B,2,0)*VLOOKUP(A68,'[78]geoMap (160)'!$A:$C,3,0)</f>
        <v>#REF!</v>
      </c>
      <c r="BL68" s="1" t="e">
        <f>AN68/VLOOKUP(A68,'[79]geoMap (162)'!$A:$B,2,0)*VLOOKUP(A68,'[79]geoMap (162)'!$A:$C,3,0)</f>
        <v>#REF!</v>
      </c>
      <c r="BM68" s="1" t="e">
        <f>AN68/VLOOKUP(A68,'[80]geoMap (164)'!$A:$B,2,0)*VLOOKUP(A68,'[80]geoMap (164)'!$A:$C,3,0)</f>
        <v>#REF!</v>
      </c>
      <c r="BN68" s="1" t="e">
        <f>AN68/VLOOKUP(A68,'[81]geoMap (166)'!$A:$B,2,0)*VLOOKUP(A68,'[81]geoMap (166)'!$A:$C,3,0)</f>
        <v>#REF!</v>
      </c>
      <c r="BO68" s="1" t="e">
        <f>AN68/VLOOKUP(A68,'[82]geoMap (168)'!$A:$B,2,0)*VLOOKUP(A68,'[82]geoMap (168)'!$A:$C,3,0)</f>
        <v>#REF!</v>
      </c>
      <c r="BP68" s="1" t="e">
        <f>AN68/VLOOKUP(A68,'[83]geoMap (170)'!$A:$B,2,0)*VLOOKUP(A68,'[83]geoMap (170)'!$A:$C,3,0)</f>
        <v>#REF!</v>
      </c>
    </row>
    <row r="69" spans="1:68" x14ac:dyDescent="0.2">
      <c r="A69" s="1" t="s">
        <v>66</v>
      </c>
      <c r="B69" s="1">
        <f>VLOOKUP(A69,[3]geoMap!$A:$B,2,0)*Notes!$C$6</f>
        <v>6000</v>
      </c>
      <c r="C69" s="1" t="e">
        <f>B69/VLOOKUP(A69,'[4]geoMap (1)'!$A:$B,2,0)*VLOOKUP(A69,'[4]geoMap (1)'!$A:$C,3,0)</f>
        <v>#DIV/0!</v>
      </c>
      <c r="D69" s="1">
        <f>B69/VLOOKUP(A69,'[161]geoMap (67)'!$A:$B,2,0)*VLOOKUP(A69,'[161]geoMap (67)'!$A:$C,3,0)</f>
        <v>4714.2857142857138</v>
      </c>
      <c r="E69" s="1">
        <f>D69/VLOOKUP(A69,'[6]geoMap (3)'!$A:$B,2,0)*VLOOKUP(A69,'[6]geoMap (3)'!$A:$C,3,0)</f>
        <v>6000</v>
      </c>
      <c r="F69" s="1">
        <f>E69/VLOOKUP(A69,'[7]geoMap (4)'!$A:$B,2,0)*VLOOKUP(A69,'[7]geoMap (4)'!$A:$C,3,0)</f>
        <v>3375</v>
      </c>
      <c r="G69" s="1" t="e">
        <f>B69/VLOOKUP(A69,'[148]geoMap (70)'!$A:$B,2,0)*VLOOKUP(A69,'[148]geoMap (70)'!$A:$C,3,0)</f>
        <v>#DIV/0!</v>
      </c>
      <c r="H69" s="1" t="e">
        <f>B69/VLOOKUP(A69,'[149]geoMap (71)'!$A:$B,2,0)*VLOOKUP(A69,'[149]geoMap (71)'!$A:$C,3,0)</f>
        <v>#REF!</v>
      </c>
      <c r="I69" s="1">
        <f>B69/VLOOKUP(A69,'[163]geoMap (72)'!$A:$B,2,0)*VLOOKUP(A69,'[163]geoMap (72)'!$A:$C,3,0)</f>
        <v>1317.0731707317075</v>
      </c>
      <c r="J69" s="1">
        <f>F69/VLOOKUP(A69,'[164]geoMap (73)'!$A:$B,2,0)*VLOOKUP(A69,'[164]geoMap (73)'!$A:$C,3,0)</f>
        <v>951.92307692307702</v>
      </c>
      <c r="K69" s="1">
        <f>F69/VLOOKUP(A69,'[165]geoMap (74)'!$A:$B,2,0)*VLOOKUP(A69,'[165]geoMap (74)'!$A:$C,3,0)</f>
        <v>951.92307692307702</v>
      </c>
      <c r="L69" s="1">
        <f>K69/VLOOKUP(A69,'[13]geoMap (10)'!$A:$B,2,0)*VLOOKUP(A69,'[13]geoMap (10)'!$A:$C,3,0)</f>
        <v>490.38461538461542</v>
      </c>
      <c r="M69" s="1" t="e">
        <f>K69/VLOOKUP(A69,'[128]geoMap (78)'!$A:$B,2,0)*VLOOKUP(A69,'[128]geoMap (78)'!$A:$C,3,0)</f>
        <v>#REF!</v>
      </c>
      <c r="N69" s="1" t="e">
        <f>K69/VLOOKUP(A69,'[159]geoMap (79)'!$A:$B,2,0)*VLOOKUP(A69,'[159]geoMap (79)'!$A:$C,3,0)</f>
        <v>#REF!</v>
      </c>
      <c r="O69" s="1">
        <f>K69/VLOOKUP(A69,'[166]geoMap (82)'!$A:$B,2,0)*VLOOKUP(A69,'[166]geoMap (82)'!$A:$C,3,0)</f>
        <v>334.45945945945948</v>
      </c>
      <c r="P69" s="1">
        <f>O69/VLOOKUP(A69,'[17]geoMap (14)'!$A:$B,2,0)*VLOOKUP(A69,'[17]geoMap (14)'!$A:$C,3,0)</f>
        <v>308.73180873180877</v>
      </c>
      <c r="Q69" s="1" t="e">
        <f>K69/VLOOKUP(A69,'[167]geoMap (86)'!$A:$B,2,0)*VLOOKUP(A69,'[167]geoMap (86)'!$A:$C,3,0)</f>
        <v>#DIV/0!</v>
      </c>
      <c r="R69" s="1" t="e">
        <f>L69/VLOOKUP(A69,'[136]geoMap (89)'!$A:$B,2,0)*VLOOKUP(A69,'[136]geoMap (89)'!$A:$C,3,0)</f>
        <v>#REF!</v>
      </c>
      <c r="S69" s="1" t="e">
        <f>O69/VLOOKUP(A69,'[110]geoMap (90)'!$A:$B,2,0)*VLOOKUP(A69,'[110]geoMap (90)'!$A:$C,3,0)</f>
        <v>#REF!</v>
      </c>
      <c r="T69" s="1" t="e">
        <f>L69/VLOOKUP(A69,'[119]geoMap (92)'!$A:$B,2,0)*VLOOKUP(A69,'[119]geoMap (92)'!$A:$C,3,0)</f>
        <v>#REF!</v>
      </c>
      <c r="U69" s="1" t="e">
        <f>P69/VLOOKUP(A69,'[137]geoMap (94)'!$A:$B,2,0)*VLOOKUP(A69,'[137]geoMap (94)'!$A:$C,3,0)</f>
        <v>#REF!</v>
      </c>
      <c r="V69" s="1">
        <f>O69/VLOOKUP(A69,'[155]geoMap (95)'!$A:$B,2,0)*VLOOKUP(A69,'[155]geoMap (95)'!$A:$C,3,0)</f>
        <v>150.26439482961226</v>
      </c>
      <c r="W69" s="1">
        <f>V69/VLOOKUP(A69,'[24]geoMap (21)'!$A:$B,2,0)*VLOOKUP(A69,'[24]geoMap (21)'!$A:$C,3,0)</f>
        <v>128.00300300300302</v>
      </c>
      <c r="X69" s="1" t="e">
        <f>O69/VLOOKUP(A69,'[141]geoMap (99)'!$A:$B,2,0)*VLOOKUP(A69,'[141]geoMap (99)'!$A:$C,3,0)</f>
        <v>#REF!</v>
      </c>
      <c r="Y69" s="1" t="e">
        <f>Q69/VLOOKUP(A69,'[168]geoMap (102)'!$A:$B,2,0)*VLOOKUP(A69,'[168]geoMap (102)'!$A:$C,3,0)</f>
        <v>#DIV/0!</v>
      </c>
      <c r="Z69" s="1" t="e">
        <f>O69/VLOOKUP(A69,'[160]geoMap (103)'!$A:$B,2,0)*VLOOKUP(A69,'[160]geoMap (103)'!$A:$C,3,0)</f>
        <v>#REF!</v>
      </c>
      <c r="AA69" s="1" t="e">
        <f>Z69/VLOOKUP(A69,'[28]geoMap (25)'!$A:$B,2,0)*VLOOKUP(A69,'[28]geoMap (25)'!$A:$C,3,0)</f>
        <v>#REF!</v>
      </c>
      <c r="AB69" s="1" t="e">
        <f>AA69*VLOOKUP(A69,'[29]geoMap (26)'!$A:$B,2,0)*VLOOKUP(A69,'[29]geoMap (26)'!$A:$C,3,0)</f>
        <v>#REF!</v>
      </c>
      <c r="AC69" s="1" t="e">
        <f>AB69/VLOOKUP(A69,'[30]geoMap (27)'!$A:$B,2,0)*VLOOKUP(A69,'[30]geoMap (27)'!$A:$C,3,0)</f>
        <v>#REF!</v>
      </c>
      <c r="AD69" s="1" t="e">
        <f>AC69/VLOOKUP(A69,'[31]geoMap (28)'!$A:$B,2,0)*VLOOKUP(A69,'[31]geoMap (28)'!$A:$C,3,0)</f>
        <v>#REF!</v>
      </c>
      <c r="AE69" s="1" t="e">
        <f>AD69/VLOOKUP(A69,'[32]geoMap (29)'!$A:$B,2,0)*VLOOKUP(A69,'[32]geoMap (29)'!$A:$C,3,0)</f>
        <v>#REF!</v>
      </c>
      <c r="AF69" s="1" t="e">
        <f>AE69/VLOOKUP(A69,'[33]geoMap (30)'!$A:$B,2,0)*VLOOKUP(A69,'[33]geoMap (30)'!$A:$C,3,0)</f>
        <v>#REF!</v>
      </c>
      <c r="AG69" s="1" t="e">
        <f>AF69/VLOOKUP(A69,'[34]geoMap (31)'!$A:$B,2,0)*VLOOKUP(A69,'[34]geoMap (31)'!$A:$C,3,0)</f>
        <v>#REF!</v>
      </c>
      <c r="AH69" s="1" t="e">
        <f>AG69/VLOOKUP(A69,'[35]geoMap (32)'!$A:$B,2,0)*VLOOKUP(A69,'[35]geoMap (32)'!$A:$C,3,0)</f>
        <v>#REF!</v>
      </c>
      <c r="AI69" s="1" t="e">
        <f>AH69/VLOOKUP(A69,'[36]geoMap (33)'!$A:$B,2,0)*VLOOKUP(A69,'[36]geoMap (33)'!$A:$C,3,0)</f>
        <v>#REF!</v>
      </c>
      <c r="AJ69" s="1" t="e">
        <f>AI69/VLOOKUP(A69,'[37]geoMap (34)'!$A:$B,2,0)*VLOOKUP(A69,'[37]geoMap (34)'!$A:$C,3,0)</f>
        <v>#REF!</v>
      </c>
      <c r="AK69" s="1" t="e">
        <f>AJ69/VLOOKUP(A69,'[38]geoMap (35)'!$A:$B,2,0)*VLOOKUP(A69,'[38]geoMap (35)'!$A:$C,3,0)</f>
        <v>#REF!</v>
      </c>
      <c r="AL69" s="1" t="e">
        <f>AK69/VLOOKUP(A69,'[39]geoMap (36)'!$A:$B,2,0)*VLOOKUP(A69,'[39]geoMap (36)'!$A:$C,3,0)</f>
        <v>#REF!</v>
      </c>
      <c r="AM69" s="1" t="e">
        <f>AL69/VLOOKUP(A69,'[40]geoMap (37)'!$A:$B,2,0)*VLOOKUP(A69,'[40]geoMap (37)'!$A:$C,3,0)</f>
        <v>#REF!</v>
      </c>
      <c r="AN69" s="1" t="e">
        <f>AM69/VLOOKUP(A69,'[41]geoMap (38)'!$A:$B,2,0)*VLOOKUP(A69,'[41]geoMap (38)'!$A:$C,3,0)</f>
        <v>#REF!</v>
      </c>
      <c r="AO69" s="1" t="e">
        <f>AN69/VLOOKUP(A69,'[42]geoMap (39)'!$A:$B,2,0)*VLOOKUP(A69,'[42]geoMap (39)'!$A:$C,3,0)</f>
        <v>#REF!</v>
      </c>
      <c r="AP69" s="1" t="e">
        <f>AO69/VLOOKUP(A69,'[43]geoMap (40)'!$A:$B,2,0)*VLOOKUP(A69,'[43]geoMap (40)'!$A:$C,3,0)</f>
        <v>#REF!</v>
      </c>
      <c r="AQ69" s="1" t="e">
        <f>AP69/VLOOKUP(A69,'[44]geoMap (41)'!$A:$B,2,0)*VLOOKUP(A69,'[44]geoMap (41)'!$A:$C,3,0)</f>
        <v>#REF!</v>
      </c>
      <c r="AR69" s="1" t="e">
        <f>AQ69/VLOOKUP(A69,'[45]geoMap (42)'!$A:$B,2,0)*VLOOKUP(A69,'[45]geoMap (42)'!$A:$C,3,0)</f>
        <v>#REF!</v>
      </c>
      <c r="AS69" s="1" t="e">
        <f>AR69/VLOOKUP(A69,'[46]geoMap (43)'!$A:$B,2,0)*VLOOKUP(A69,'[46]geoMap (43)'!$A:$C,3,0)</f>
        <v>#REF!</v>
      </c>
      <c r="AT69" s="1" t="e">
        <f>AS69/VLOOKUP(A69,'[47]geoMap (44)'!$A:$B,2,0)*VLOOKUP(A69,'[47]geoMap (44)'!$A:$C,3,0)</f>
        <v>#REF!</v>
      </c>
      <c r="AU69" s="1" t="e">
        <f>AT69/VLOOKUP(A69,'[48]geoMap (45)'!$A:$B,2,0)*VLOOKUP(A69,'[48]geoMap (45)'!$A:$C,3,0)</f>
        <v>#REF!</v>
      </c>
      <c r="AV69" s="1" t="e">
        <f>AU69/VLOOKUP(A69,'[49]geoMap (46)'!$A:$B,2,0)*VLOOKUP(A69,'[49]geoMap (46)'!$A:$C,3,0)</f>
        <v>#REF!</v>
      </c>
      <c r="AW69" s="1" t="e">
        <f>AV69/VLOOKUP(A69,'[50]geoMap (47)'!$A:$B,2,0)*VLOOKUP(A69,'[50]geoMap (47)'!$A:$C,3,0)</f>
        <v>#REF!</v>
      </c>
      <c r="AX69" s="1" t="e">
        <f>AW69/VLOOKUP(A69,'[51]geoMap (48)'!$A:$B,2,0)*VLOOKUP(A69,'[51]geoMap (48)'!$A:$C,3,0)</f>
        <v>#REF!</v>
      </c>
      <c r="AY69" s="1" t="e">
        <f>AX69/VLOOKUP(A69,'[52]geoMap (49)'!$A:$B,2,0)*VLOOKUP(A69,'[52]geoMap (49)'!$A:$C,3,0)</f>
        <v>#REF!</v>
      </c>
      <c r="AZ69" s="1" t="e">
        <f>AY69/VLOOKUP(A69,'[53]geoMap (50)'!$A:$B,2,0)*VLOOKUP(A69,'[53]geoMap (50)'!$A:$C,3,0)</f>
        <v>#REF!</v>
      </c>
      <c r="BA69" s="1" t="e">
        <f>AZ69/VLOOKUP(A69,'[54]geoMap (51)'!$A:$B,2,0)*VLOOKUP(A69,'[54]geoMap (51)'!$A:$C,3,0)</f>
        <v>#REF!</v>
      </c>
      <c r="BB69" s="1" t="e">
        <f>BA69/VLOOKUP(A69,'[55]geoMap (52)'!$A:$B,2,0)*VLOOKUP(A69,'[55]geoMap (52)'!$A:$C,3,0)</f>
        <v>#REF!</v>
      </c>
      <c r="BC69" s="1" t="e">
        <f>BB69/VLOOKUP(A69,'[56]geoMap (53)'!$A:$B,2,0)*VLOOKUP(A69,'[56]geoMap (53)'!$A:$C,3,0)</f>
        <v>#REF!</v>
      </c>
      <c r="BD69" s="1" t="e">
        <f>BC69/VLOOKUP(A69,'[57]geoMap (54)'!$A:$B,2,0)*VLOOKUP(A69,'[57]geoMap (54)'!$A:$C,3,0)</f>
        <v>#REF!</v>
      </c>
      <c r="BE69" s="1" t="e">
        <f>BD69/VLOOKUP(A69,'[58]geoMap (55)'!$A:$B,2,0)*VLOOKUP(A69,'[58]geoMap (55)'!$A:$C,3,0)</f>
        <v>#REF!</v>
      </c>
      <c r="BF69" s="1" t="e">
        <f>BE69/VLOOKUP(A69,'[59]geoMap (56)'!$A:$B,2,0)*VLOOKUP(A69,'[59]geoMap (56)'!$A:$C,3,0)</f>
        <v>#REF!</v>
      </c>
      <c r="BG69" s="1" t="e">
        <f>BF69/VLOOKUP(A69,'[60]geoMap (57)'!$A:$B,2,0)*VLOOKUP(A69,'[60]geoMap (57)'!$A:$C,3,0)</f>
        <v>#REF!</v>
      </c>
      <c r="BH69" s="1" t="e">
        <f>BG69/VLOOKUP(A69,'[61]geoMap (58)'!$A:$B,2,0)*VLOOKUP(A69,'[61]geoMap (58)'!$A:$C,3,0)</f>
        <v>#REF!</v>
      </c>
      <c r="BI69" s="1" t="e">
        <f>BH69/VLOOKUP(A69,'[62]geoMap (59)'!$A:$B,2,0)*VLOOKUP(A69,'[62]geoMap (59)'!$A:$C,3,0)</f>
        <v>#REF!</v>
      </c>
      <c r="BJ69" s="1" t="e">
        <f>BI69/VLOOKUP(A69,'[63]geoMap (60)'!$A:$B,2,0)*VLOOKUP(A69,'[63]geoMap (60)'!$A:$C,3,0)</f>
        <v>#REF!</v>
      </c>
      <c r="BK69" s="1" t="e">
        <f>BJ69/VLOOKUP(A69,'[64]geoMap (61)'!$A:$B,2,0)*VLOOKUP(A69,'[64]geoMap (61)'!$A:$C,3,0)</f>
        <v>#REF!</v>
      </c>
      <c r="BL69" s="1" t="e">
        <f>BK69/VLOOKUP(A69,'[65]geoMap (62)'!$A:$B,2,0)*VLOOKUP(A69,'[65]geoMap (62)'!$A:$C,3,0)</f>
        <v>#REF!</v>
      </c>
      <c r="BM69" s="1" t="e">
        <f>BL69/VLOOKUP(A69,'[66]geoMap (63)'!$A:$B,2,0)*VLOOKUP(A69,'[66]geoMap (63)'!$A:$C,3,0)</f>
        <v>#REF!</v>
      </c>
      <c r="BN69" s="1" t="e">
        <f>BM69/VLOOKUP(A69,'[67]geoMap (64)'!$A:$B,2,0)*VLOOKUP(A69,'[67]geoMap (64)'!$A:$C,3,0)</f>
        <v>#REF!</v>
      </c>
      <c r="BO69" s="1" t="e">
        <f>BN69/VLOOKUP(A69,'[68]geoMap (65)'!$A:$B,2,0)*VLOOKUP(A69,'[68]geoMap (65)'!$A:$C,3,0)</f>
        <v>#REF!</v>
      </c>
      <c r="BP69" s="1" t="e">
        <f>BO69/VLOOKUP(A69,'[69]geoMap (66)'!$A:$B,2,0)*VLOOKUP(A69,'[69]geoMap (66)'!$A:$C,3,0)</f>
        <v>#REF!</v>
      </c>
    </row>
    <row r="70" spans="1:68" x14ac:dyDescent="0.2">
      <c r="A70" s="1" t="s">
        <v>170</v>
      </c>
      <c r="B70" s="1">
        <f>VLOOKUP(A70,[3]geoMap!$A:$B,2,0)*Notes!$C$6</f>
        <v>3000</v>
      </c>
      <c r="C70" s="1" t="e">
        <f>B70/VLOOKUP(A70,'[4]geoMap (1)'!$A:$B,2,0)*VLOOKUP(A70,'[4]geoMap (1)'!$A:$C,3,0)</f>
        <v>#DIV/0!</v>
      </c>
      <c r="D70" s="1">
        <f>B70/VLOOKUP(A70,'[161]geoMap (67)'!$A:$B,2,0)*VLOOKUP(A70,'[161]geoMap (67)'!$A:$C,3,0)</f>
        <v>1615.3846153846152</v>
      </c>
      <c r="E70" s="1">
        <f>D70/VLOOKUP(A70,'[6]geoMap (3)'!$A:$B,2,0)*VLOOKUP(A70,'[6]geoMap (3)'!$A:$C,3,0)</f>
        <v>990.07444168734492</v>
      </c>
      <c r="F70" s="1">
        <f>E70/VLOOKUP(A70,'[7]geoMap (4)'!$A:$B,2,0)*VLOOKUP(A70,'[7]geoMap (4)'!$A:$C,3,0)</f>
        <v>1312.4242599111315</v>
      </c>
      <c r="G70" s="1" t="e">
        <f>B70/VLOOKUP(A70,'[148]geoMap (70)'!$A:$B,2,0)*VLOOKUP(A70,'[148]geoMap (70)'!$A:$C,3,0)</f>
        <v>#DIV/0!</v>
      </c>
      <c r="H70" s="1">
        <f>B70/VLOOKUP(A70,'[149]geoMap (71)'!$A:$B,2,0)*VLOOKUP(A70,'[149]geoMap (71)'!$A:$C,3,0)</f>
        <v>658.53658536585374</v>
      </c>
      <c r="I70" s="1">
        <f>H70/VLOOKUP(A70,'[10]geoMap (7)'!$A:$B,2,0)*VLOOKUP(A70,'[10]geoMap (7)'!$A:$C,3,0)</f>
        <v>295.86426299045604</v>
      </c>
      <c r="J70" s="1">
        <f>I70/VLOOKUP(A70,'[11]geoMap (8)'!$A:$B,2,0)*VLOOKUP(A70,'[11]geoMap (8)'!$A:$C,3,0)</f>
        <v>482.72590277390191</v>
      </c>
      <c r="K70" s="1">
        <f>J70/VLOOKUP(A70,'[12]geoMap (9)'!$A:$B,2,0)*VLOOKUP(A70,'[12]geoMap (9)'!$A:$C,3,0)</f>
        <v>411.21095421480533</v>
      </c>
      <c r="L70" s="1">
        <f>B70/VLOOKUP(A70,'[169]geoMap (75)'!$A:$B,2,0)*VLOOKUP(A70,'[169]geoMap (75)'!$A:$C,3,0)</f>
        <v>125</v>
      </c>
      <c r="M70" s="1" t="e">
        <f>K70/VLOOKUP(A70,'[128]geoMap (78)'!$A:$B,2,0)*VLOOKUP(A70,'[128]geoMap (78)'!$A:$C,3,0)</f>
        <v>#REF!</v>
      </c>
      <c r="N70" s="1" t="e">
        <f>H70/VLOOKUP(A70,'[117]geoMap (80)'!$A:$B,2,0)*VLOOKUP(A70,'[117]geoMap (80)'!$A:$C,3,0)</f>
        <v>#REF!</v>
      </c>
      <c r="O70" s="1">
        <f>H70/VLOOKUP(A70,'[118]geoMap (81)'!$A:$B,2,0)*VLOOKUP(A70,'[118]geoMap (81)'!$A:$C,3,0)</f>
        <v>125.43554006968644</v>
      </c>
      <c r="P70" s="1">
        <f>O70/VLOOKUP(A70,'[17]geoMap (14)'!$A:$B,2,0)*VLOOKUP(A70,'[17]geoMap (14)'!$A:$C,3,0)</f>
        <v>213.57943309162826</v>
      </c>
      <c r="Q70" s="1" t="e">
        <f>K70/VLOOKUP(A70,'[167]geoMap (86)'!$A:$B,2,0)*VLOOKUP(A70,'[167]geoMap (86)'!$A:$C,3,0)</f>
        <v>#DIV/0!</v>
      </c>
      <c r="R70" s="1" t="e">
        <f>L70/VLOOKUP(A70,'[136]geoMap (89)'!$A:$B,2,0)*VLOOKUP(A70,'[136]geoMap (89)'!$A:$C,3,0)</f>
        <v>#REF!</v>
      </c>
      <c r="S70" s="1" t="e">
        <f>O70/VLOOKUP(A70,'[110]geoMap (90)'!$A:$B,2,0)*VLOOKUP(A70,'[110]geoMap (90)'!$A:$C,3,0)</f>
        <v>#REF!</v>
      </c>
      <c r="T70" s="1" t="e">
        <f>L70/VLOOKUP(A70,'[119]geoMap (92)'!$A:$B,2,0)*VLOOKUP(A70,'[119]geoMap (92)'!$A:$C,3,0)</f>
        <v>#REF!</v>
      </c>
      <c r="U70" s="1" t="e">
        <f>P70/VLOOKUP(A70,'[137]geoMap (94)'!$A:$B,2,0)*VLOOKUP(A70,'[137]geoMap (94)'!$A:$C,3,0)</f>
        <v>#REF!</v>
      </c>
      <c r="V70" s="1" t="e">
        <f>Q70/VLOOKUP(A70,'[95]geoMap (96)'!$A:$B,2,0)*VLOOKUP(A70,'[95]geoMap (96)'!$A:$C,3,0)</f>
        <v>#DIV/0!</v>
      </c>
      <c r="W70" s="1" t="e">
        <f>V70/VLOOKUP(A70,'[24]geoMap (21)'!$A:$B,2,0)*VLOOKUP(A70,'[24]geoMap (21)'!$A:$C,3,0)</f>
        <v>#DIV/0!</v>
      </c>
      <c r="X70" s="1" t="e">
        <f>O70/VLOOKUP(A70,'[141]geoMap (99)'!$A:$B,2,0)*VLOOKUP(A70,'[141]geoMap (99)'!$A:$C,3,0)</f>
        <v>#REF!</v>
      </c>
      <c r="Y70" s="1" t="e">
        <f>O70/VLOOKUP(A70,'[123]geoMap (101)'!$A:$B,2,0)*VLOOKUP(A70,'[123]geoMap (101)'!$A:$C,3,0)</f>
        <v>#REF!</v>
      </c>
      <c r="Z70" s="1" t="e">
        <f>Y70/VLOOKUP(A70,'[27]geoMap (24)'!$A:$B,2,0)*VLOOKUP(A70,'[27]geoMap (24)'!$A:$C,3,0)</f>
        <v>#REF!</v>
      </c>
      <c r="AA70" s="1" t="e">
        <f>Z70/VLOOKUP(A70,'[28]geoMap (25)'!$A:$B,2,0)*VLOOKUP(A70,'[28]geoMap (25)'!$A:$C,3,0)</f>
        <v>#REF!</v>
      </c>
      <c r="AB70" s="1" t="e">
        <f>AA70*VLOOKUP(A70,'[29]geoMap (26)'!$A:$B,2,0)*VLOOKUP(A70,'[29]geoMap (26)'!$A:$C,3,0)</f>
        <v>#REF!</v>
      </c>
      <c r="AC70" s="1" t="e">
        <f>AB70/VLOOKUP(A70,'[30]geoMap (27)'!$A:$B,2,0)*VLOOKUP(A70,'[30]geoMap (27)'!$A:$C,3,0)</f>
        <v>#REF!</v>
      </c>
      <c r="AD70" s="1" t="e">
        <f>AC70/VLOOKUP(A70,'[31]geoMap (28)'!$A:$B,2,0)*VLOOKUP(A70,'[31]geoMap (28)'!$A:$C,3,0)</f>
        <v>#REF!</v>
      </c>
      <c r="AE70" s="1" t="e">
        <f>AD70/VLOOKUP(A70,'[32]geoMap (29)'!$A:$B,2,0)*VLOOKUP(A70,'[32]geoMap (29)'!$A:$C,3,0)</f>
        <v>#REF!</v>
      </c>
      <c r="AF70" s="1" t="e">
        <f>AE70/VLOOKUP(A70,'[33]geoMap (30)'!$A:$B,2,0)*VLOOKUP(A70,'[33]geoMap (30)'!$A:$C,3,0)</f>
        <v>#REF!</v>
      </c>
      <c r="AG70" s="1" t="e">
        <f>AF70/VLOOKUP(A70,'[34]geoMap (31)'!$A:$B,2,0)*VLOOKUP(A70,'[34]geoMap (31)'!$A:$C,3,0)</f>
        <v>#REF!</v>
      </c>
      <c r="AH70" s="1" t="e">
        <f>AG70/VLOOKUP(A70,'[35]geoMap (32)'!$A:$B,2,0)*VLOOKUP(A70,'[35]geoMap (32)'!$A:$C,3,0)</f>
        <v>#REF!</v>
      </c>
      <c r="AI70" s="1" t="e">
        <f>AH70/VLOOKUP(A70,'[36]geoMap (33)'!$A:$B,2,0)*VLOOKUP(A70,'[36]geoMap (33)'!$A:$C,3,0)</f>
        <v>#REF!</v>
      </c>
      <c r="AJ70" s="1" t="e">
        <f>AI70/VLOOKUP(A70,'[37]geoMap (34)'!$A:$B,2,0)*VLOOKUP(A70,'[37]geoMap (34)'!$A:$C,3,0)</f>
        <v>#REF!</v>
      </c>
      <c r="AK70" s="1" t="e">
        <f>AJ70/VLOOKUP(A70,'[38]geoMap (35)'!$A:$B,2,0)*VLOOKUP(A70,'[38]geoMap (35)'!$A:$C,3,0)</f>
        <v>#REF!</v>
      </c>
      <c r="AL70" s="1" t="e">
        <f>AK70/VLOOKUP(A70,'[39]geoMap (36)'!$A:$B,2,0)*VLOOKUP(A70,'[39]geoMap (36)'!$A:$C,3,0)</f>
        <v>#REF!</v>
      </c>
      <c r="AM70" s="1" t="e">
        <f>AL70/VLOOKUP(A70,'[40]geoMap (37)'!$A:$B,2,0)*VLOOKUP(A70,'[40]geoMap (37)'!$A:$C,3,0)</f>
        <v>#REF!</v>
      </c>
      <c r="AN70" s="1" t="e">
        <f>AM70/VLOOKUP(A70,'[41]geoMap (38)'!$A:$B,2,0)*VLOOKUP(A70,'[41]geoMap (38)'!$A:$C,3,0)</f>
        <v>#REF!</v>
      </c>
      <c r="AO70" s="1" t="e">
        <f>AN70/VLOOKUP(A70,'[42]geoMap (39)'!$A:$B,2,0)*VLOOKUP(A70,'[42]geoMap (39)'!$A:$C,3,0)</f>
        <v>#REF!</v>
      </c>
      <c r="AP70" s="1" t="e">
        <f>AO70/VLOOKUP(A70,'[43]geoMap (40)'!$A:$B,2,0)*VLOOKUP(A70,'[43]geoMap (40)'!$A:$C,3,0)</f>
        <v>#REF!</v>
      </c>
      <c r="AQ70" s="1" t="e">
        <f>AP70/VLOOKUP(A70,'[44]geoMap (41)'!$A:$B,2,0)*VLOOKUP(A70,'[44]geoMap (41)'!$A:$C,3,0)</f>
        <v>#REF!</v>
      </c>
      <c r="AR70" s="1" t="e">
        <f>AQ70/VLOOKUP(A70,'[45]geoMap (42)'!$A:$B,2,0)*VLOOKUP(A70,'[45]geoMap (42)'!$A:$C,3,0)</f>
        <v>#REF!</v>
      </c>
      <c r="AS70" s="1" t="e">
        <f>AR70/VLOOKUP(A70,'[46]geoMap (43)'!$A:$B,2,0)*VLOOKUP(A70,'[46]geoMap (43)'!$A:$C,3,0)</f>
        <v>#REF!</v>
      </c>
      <c r="AT70" s="1" t="e">
        <f>AS70/VLOOKUP(A70,'[47]geoMap (44)'!$A:$B,2,0)*VLOOKUP(A70,'[47]geoMap (44)'!$A:$C,3,0)</f>
        <v>#REF!</v>
      </c>
      <c r="AU70" s="1" t="e">
        <f>AT70/VLOOKUP(A70,'[48]geoMap (45)'!$A:$B,2,0)*VLOOKUP(A70,'[48]geoMap (45)'!$A:$C,3,0)</f>
        <v>#REF!</v>
      </c>
      <c r="AV70" s="1" t="e">
        <f>AU70/VLOOKUP(A70,'[49]geoMap (46)'!$A:$B,2,0)*VLOOKUP(A70,'[49]geoMap (46)'!$A:$C,3,0)</f>
        <v>#REF!</v>
      </c>
      <c r="AW70" s="1" t="e">
        <f>AV70/VLOOKUP(A70,'[50]geoMap (47)'!$A:$B,2,0)*VLOOKUP(A70,'[50]geoMap (47)'!$A:$C,3,0)</f>
        <v>#REF!</v>
      </c>
      <c r="AX70" s="1" t="e">
        <f>AW70/VLOOKUP(A70,'[51]geoMap (48)'!$A:$B,2,0)*VLOOKUP(A70,'[51]geoMap (48)'!$A:$C,3,0)</f>
        <v>#REF!</v>
      </c>
      <c r="AY70" s="1" t="e">
        <f>AX70/VLOOKUP(A70,'[52]geoMap (49)'!$A:$B,2,0)*VLOOKUP(A70,'[52]geoMap (49)'!$A:$C,3,0)</f>
        <v>#REF!</v>
      </c>
      <c r="AZ70" s="1" t="e">
        <f>AY70/VLOOKUP(A70,'[53]geoMap (50)'!$A:$B,2,0)*VLOOKUP(A70,'[53]geoMap (50)'!$A:$C,3,0)</f>
        <v>#REF!</v>
      </c>
      <c r="BA70" s="1" t="e">
        <f>AZ70/VLOOKUP(A70,'[54]geoMap (51)'!$A:$B,2,0)*VLOOKUP(A70,'[54]geoMap (51)'!$A:$C,3,0)</f>
        <v>#REF!</v>
      </c>
      <c r="BB70" s="1" t="e">
        <f>BA70/VLOOKUP(A70,'[55]geoMap (52)'!$A:$B,2,0)*VLOOKUP(A70,'[55]geoMap (52)'!$A:$C,3,0)</f>
        <v>#REF!</v>
      </c>
      <c r="BC70" s="1" t="e">
        <f>BB70/VLOOKUP(A70,'[56]geoMap (53)'!$A:$B,2,0)*VLOOKUP(A70,'[56]geoMap (53)'!$A:$C,3,0)</f>
        <v>#REF!</v>
      </c>
      <c r="BD70" s="1" t="e">
        <f>BC70/VLOOKUP(A70,'[57]geoMap (54)'!$A:$B,2,0)*VLOOKUP(A70,'[57]geoMap (54)'!$A:$C,3,0)</f>
        <v>#REF!</v>
      </c>
      <c r="BE70" s="1" t="e">
        <f>BD70/VLOOKUP(A70,'[58]geoMap (55)'!$A:$B,2,0)*VLOOKUP(A70,'[58]geoMap (55)'!$A:$C,3,0)</f>
        <v>#REF!</v>
      </c>
      <c r="BF70" s="1" t="e">
        <f>BE70/VLOOKUP(A70,'[59]geoMap (56)'!$A:$B,2,0)*VLOOKUP(A70,'[59]geoMap (56)'!$A:$C,3,0)</f>
        <v>#REF!</v>
      </c>
      <c r="BG70" s="1" t="e">
        <f>BF70/VLOOKUP(A70,'[60]geoMap (57)'!$A:$B,2,0)*VLOOKUP(A70,'[60]geoMap (57)'!$A:$C,3,0)</f>
        <v>#REF!</v>
      </c>
      <c r="BH70" s="1" t="e">
        <f>BG70/VLOOKUP(A70,'[61]geoMap (58)'!$A:$B,2,0)*VLOOKUP(A70,'[61]geoMap (58)'!$A:$C,3,0)</f>
        <v>#REF!</v>
      </c>
      <c r="BI70" s="1" t="e">
        <f>BH70/VLOOKUP(A70,'[62]geoMap (59)'!$A:$B,2,0)*VLOOKUP(A70,'[62]geoMap (59)'!$A:$C,3,0)</f>
        <v>#REF!</v>
      </c>
      <c r="BJ70" s="1" t="e">
        <f>BI70/VLOOKUP(A70,'[63]geoMap (60)'!$A:$B,2,0)*VLOOKUP(A70,'[63]geoMap (60)'!$A:$C,3,0)</f>
        <v>#REF!</v>
      </c>
      <c r="BK70" s="1" t="e">
        <f>BJ70/VLOOKUP(A70,'[64]geoMap (61)'!$A:$B,2,0)*VLOOKUP(A70,'[64]geoMap (61)'!$A:$C,3,0)</f>
        <v>#REF!</v>
      </c>
      <c r="BL70" s="1" t="e">
        <f>BK70/VLOOKUP(A70,'[65]geoMap (62)'!$A:$B,2,0)*VLOOKUP(A70,'[65]geoMap (62)'!$A:$C,3,0)</f>
        <v>#REF!</v>
      </c>
      <c r="BM70" s="1" t="e">
        <f>BL70/VLOOKUP(A70,'[66]geoMap (63)'!$A:$B,2,0)*VLOOKUP(A70,'[66]geoMap (63)'!$A:$C,3,0)</f>
        <v>#REF!</v>
      </c>
      <c r="BN70" s="1" t="e">
        <f>BM70/VLOOKUP(A70,'[67]geoMap (64)'!$A:$B,2,0)*VLOOKUP(A70,'[67]geoMap (64)'!$A:$C,3,0)</f>
        <v>#REF!</v>
      </c>
      <c r="BO70" s="1" t="e">
        <f>BN70/VLOOKUP(A70,'[68]geoMap (65)'!$A:$B,2,0)*VLOOKUP(A70,'[68]geoMap (65)'!$A:$C,3,0)</f>
        <v>#REF!</v>
      </c>
      <c r="BP70" s="1" t="e">
        <f>BO70/VLOOKUP(A70,'[69]geoMap (66)'!$A:$B,2,0)*VLOOKUP(A70,'[69]geoMap (66)'!$A:$C,3,0)</f>
        <v>#REF!</v>
      </c>
    </row>
    <row r="71" spans="1:68" x14ac:dyDescent="0.2">
      <c r="A71" s="1" t="s">
        <v>102</v>
      </c>
      <c r="B71" s="1">
        <f>VLOOKUP(A71,[3]geoMap!$A:$B,2,0)*Notes!$C$6</f>
        <v>5000</v>
      </c>
      <c r="C71" s="1" t="e">
        <f>B71/VLOOKUP(A71,'[4]geoMap (1)'!$A:$B,2,0)*VLOOKUP(A71,'[4]geoMap (1)'!$A:$C,3,0)</f>
        <v>#DIV/0!</v>
      </c>
      <c r="D71" s="1">
        <f>B71/VLOOKUP(A71,'[161]geoMap (67)'!$A:$B,2,0)*VLOOKUP(A71,'[161]geoMap (67)'!$A:$C,3,0)</f>
        <v>6111.1111111111113</v>
      </c>
      <c r="E71" s="1">
        <f>D71/VLOOKUP(A71,'[6]geoMap (3)'!$A:$B,2,0)*VLOOKUP(A71,'[6]geoMap (3)'!$A:$C,3,0)</f>
        <v>3148.1481481481483</v>
      </c>
      <c r="F71" s="1">
        <f>E71/VLOOKUP(A71,'[7]geoMap (4)'!$A:$B,2,0)*VLOOKUP(A71,'[7]geoMap (4)'!$A:$C,3,0)</f>
        <v>2681.7558299039783</v>
      </c>
      <c r="G71" s="1">
        <f>F71/VLOOKUP(A71,'[8]geoMap (5)'!$A:$B,2,0)*VLOOKUP(A71,'[8]geoMap (5)'!$A:$C,3,0)</f>
        <v>3148.1481481481483</v>
      </c>
      <c r="H71" s="1">
        <f>G71/VLOOKUP(A71,'[9]geoMap (6)'!$A:$B,2,0)*VLOOKUP(A71,'[9]geoMap (6)'!$A:$C,3,0)</f>
        <v>2575.757575757576</v>
      </c>
      <c r="I71" s="1">
        <f>H71/VLOOKUP(A71,'[10]geoMap (7)'!$A:$B,2,0)*VLOOKUP(A71,'[10]geoMap (7)'!$A:$C,3,0)</f>
        <v>2377.6223776223778</v>
      </c>
      <c r="J71" s="1">
        <f>I71/VLOOKUP(A71,'[11]geoMap (8)'!$A:$B,2,0)*VLOOKUP(A71,'[11]geoMap (8)'!$A:$C,3,0)</f>
        <v>1068.207155163677</v>
      </c>
      <c r="K71" s="1" t="e">
        <f>F71/VLOOKUP(A71,'[165]geoMap (74)'!$A:$B,2,0)*VLOOKUP(A71,'[165]geoMap (74)'!$A:$C,3,0)</f>
        <v>#DIV/0!</v>
      </c>
      <c r="L71" s="1" t="e">
        <f>F71/VLOOKUP(A71,'[157]geoMap (76)'!$A:$B,2,0)*VLOOKUP(A71,'[157]geoMap (76)'!$A:$C,3,0)</f>
        <v>#REF!</v>
      </c>
      <c r="M71" s="1">
        <f>F71/VLOOKUP(A71,'[158]geoMap (77)'!$A:$B,2,0)*VLOOKUP(A71,'[158]geoMap (77)'!$A:$C,3,0)</f>
        <v>473.25102880658443</v>
      </c>
      <c r="N71" s="1">
        <f>M71/VLOOKUP(A71,'[15]geoMap (12)'!$A:$B,2,0)*VLOOKUP(A71,'[15]geoMap (12)'!$A:$C,3,0)</f>
        <v>602.31949120838021</v>
      </c>
      <c r="O71" s="1" t="e">
        <f>H71/VLOOKUP(A71,'[118]geoMap (81)'!$A:$B,2,0)*VLOOKUP(A71,'[118]geoMap (81)'!$A:$C,3,0)</f>
        <v>#REF!</v>
      </c>
      <c r="P71" s="1" t="e">
        <f>F71/VLOOKUP(A71,'[129]geoMap (84)'!$A:$B,2,0)*VLOOKUP(A71,'[129]geoMap (84)'!$A:$C,3,0)</f>
        <v>#REF!</v>
      </c>
      <c r="Q71" s="1" t="e">
        <f>K71/VLOOKUP(A71,'[167]geoMap (86)'!$A:$B,2,0)*VLOOKUP(A71,'[167]geoMap (86)'!$A:$C,3,0)</f>
        <v>#DIV/0!</v>
      </c>
      <c r="R71" s="1" t="e">
        <f>L71/VLOOKUP(A71,'[136]geoMap (89)'!$A:$B,2,0)*VLOOKUP(A71,'[136]geoMap (89)'!$A:$C,3,0)</f>
        <v>#REF!</v>
      </c>
      <c r="S71" s="1" t="e">
        <f>O71/VLOOKUP(A71,'[110]geoMap (90)'!$A:$B,2,0)*VLOOKUP(A71,'[110]geoMap (90)'!$A:$C,3,0)</f>
        <v>#REF!</v>
      </c>
      <c r="T71" s="1" t="e">
        <f>O71/VLOOKUP(A71,'[170]geoMap (91)'!$A:$B,2,0)*VLOOKUP(A71,'[170]geoMap (91)'!$A:$C,3,0)</f>
        <v>#REF!</v>
      </c>
      <c r="U71" s="1" t="e">
        <f>T71/VLOOKUP(A71,'[22]geoMap (19)'!$A:$B,2,0)*VLOOKUP(A71,'[22]geoMap (19)'!$A:$C,3,0)</f>
        <v>#REF!</v>
      </c>
      <c r="V71" s="1" t="e">
        <f>U71/VLOOKUP(A71,'[23]geoMap (20)'!$A:$B,2,0)*VLOOKUP(A71,'[23]geoMap (20)'!$A:$C,3,0)</f>
        <v>#REF!</v>
      </c>
      <c r="W71" s="1" t="e">
        <f>V71/VLOOKUP(A71,'[24]geoMap (21)'!$A:$B,2,0)*VLOOKUP(A71,'[24]geoMap (21)'!$A:$C,3,0)</f>
        <v>#REF!</v>
      </c>
      <c r="X71" s="1" t="e">
        <f>O71/VLOOKUP(A71,'[141]geoMap (99)'!$A:$B,2,0)*VLOOKUP(A71,'[141]geoMap (99)'!$A:$C,3,0)</f>
        <v>#REF!</v>
      </c>
      <c r="Y71" s="1" t="e">
        <f>X71/VLOOKUP(A71,'[26]geoMap (23)'!$A:$B,2,0)*VLOOKUP(A71,'[26]geoMap (23)'!$A:$C,3,0)</f>
        <v>#REF!</v>
      </c>
      <c r="Z71" s="1" t="e">
        <f>Y71/VLOOKUP(A71,'[27]geoMap (24)'!$A:$B,2,0)*VLOOKUP(A71,'[27]geoMap (24)'!$A:$C,3,0)</f>
        <v>#REF!</v>
      </c>
      <c r="AA71" s="1" t="e">
        <f>Z71/VLOOKUP(A71,'[28]geoMap (25)'!$A:$B,2,0)*VLOOKUP(A71,'[28]geoMap (25)'!$A:$C,3,0)</f>
        <v>#REF!</v>
      </c>
      <c r="AB71" s="1" t="e">
        <f>AA71*VLOOKUP(A71,'[29]geoMap (26)'!$A:$B,2,0)*VLOOKUP(A71,'[29]geoMap (26)'!$A:$C,3,0)</f>
        <v>#REF!</v>
      </c>
      <c r="AC71" s="1" t="e">
        <f>AB71/VLOOKUP(A71,'[30]geoMap (27)'!$A:$B,2,0)*VLOOKUP(A71,'[30]geoMap (27)'!$A:$C,3,0)</f>
        <v>#REF!</v>
      </c>
      <c r="AD71" s="1" t="e">
        <f>AC71/VLOOKUP(A71,'[31]geoMap (28)'!$A:$B,2,0)*VLOOKUP(A71,'[31]geoMap (28)'!$A:$C,3,0)</f>
        <v>#REF!</v>
      </c>
      <c r="AE71" s="1" t="e">
        <f>AD71/VLOOKUP(A71,'[32]geoMap (29)'!$A:$B,2,0)*VLOOKUP(A71,'[32]geoMap (29)'!$A:$C,3,0)</f>
        <v>#REF!</v>
      </c>
      <c r="AF71" s="1" t="e">
        <f>AE71/VLOOKUP(A71,'[33]geoMap (30)'!$A:$B,2,0)*VLOOKUP(A71,'[33]geoMap (30)'!$A:$C,3,0)</f>
        <v>#REF!</v>
      </c>
      <c r="AG71" s="1" t="e">
        <f>AF71/VLOOKUP(A71,'[34]geoMap (31)'!$A:$B,2,0)*VLOOKUP(A71,'[34]geoMap (31)'!$A:$C,3,0)</f>
        <v>#REF!</v>
      </c>
      <c r="AH71" s="1" t="e">
        <f>AG71/VLOOKUP(A71,'[35]geoMap (32)'!$A:$B,2,0)*VLOOKUP(A71,'[35]geoMap (32)'!$A:$C,3,0)</f>
        <v>#REF!</v>
      </c>
      <c r="AI71" s="1" t="e">
        <f>AH71/VLOOKUP(A71,'[36]geoMap (33)'!$A:$B,2,0)*VLOOKUP(A71,'[36]geoMap (33)'!$A:$C,3,0)</f>
        <v>#REF!</v>
      </c>
      <c r="AJ71" s="1" t="e">
        <f>AI71/VLOOKUP(A71,'[37]geoMap (34)'!$A:$B,2,0)*VLOOKUP(A71,'[37]geoMap (34)'!$A:$C,3,0)</f>
        <v>#REF!</v>
      </c>
      <c r="AK71" s="1" t="e">
        <f>AJ71/VLOOKUP(A71,'[38]geoMap (35)'!$A:$B,2,0)*VLOOKUP(A71,'[38]geoMap (35)'!$A:$C,3,0)</f>
        <v>#REF!</v>
      </c>
      <c r="AL71" s="1" t="e">
        <f>AK71/VLOOKUP(A71,'[39]geoMap (36)'!$A:$B,2,0)*VLOOKUP(A71,'[39]geoMap (36)'!$A:$C,3,0)</f>
        <v>#REF!</v>
      </c>
      <c r="AM71" s="1" t="e">
        <f>AL71/VLOOKUP(A71,'[40]geoMap (37)'!$A:$B,2,0)*VLOOKUP(A71,'[40]geoMap (37)'!$A:$C,3,0)</f>
        <v>#REF!</v>
      </c>
      <c r="AN71" s="1" t="e">
        <f>AM71/VLOOKUP(A71,'[41]geoMap (38)'!$A:$B,2,0)*VLOOKUP(A71,'[41]geoMap (38)'!$A:$C,3,0)</f>
        <v>#REF!</v>
      </c>
      <c r="AO71" s="1" t="e">
        <f>AN71/VLOOKUP(A71,'[42]geoMap (39)'!$A:$B,2,0)*VLOOKUP(A71,'[42]geoMap (39)'!$A:$C,3,0)</f>
        <v>#REF!</v>
      </c>
      <c r="AP71" s="1" t="e">
        <f>AO71/VLOOKUP(A71,'[43]geoMap (40)'!$A:$B,2,0)*VLOOKUP(A71,'[43]geoMap (40)'!$A:$C,3,0)</f>
        <v>#REF!</v>
      </c>
      <c r="AQ71" s="1" t="e">
        <f>AP71/VLOOKUP(A71,'[44]geoMap (41)'!$A:$B,2,0)*VLOOKUP(A71,'[44]geoMap (41)'!$A:$C,3,0)</f>
        <v>#REF!</v>
      </c>
      <c r="AR71" s="1" t="e">
        <f>AQ71/VLOOKUP(A71,'[45]geoMap (42)'!$A:$B,2,0)*VLOOKUP(A71,'[45]geoMap (42)'!$A:$C,3,0)</f>
        <v>#REF!</v>
      </c>
      <c r="AS71" s="1" t="e">
        <f>AR71/VLOOKUP(A71,'[46]geoMap (43)'!$A:$B,2,0)*VLOOKUP(A71,'[46]geoMap (43)'!$A:$C,3,0)</f>
        <v>#REF!</v>
      </c>
      <c r="AT71" s="1" t="e">
        <f>AS71/VLOOKUP(A71,'[47]geoMap (44)'!$A:$B,2,0)*VLOOKUP(A71,'[47]geoMap (44)'!$A:$C,3,0)</f>
        <v>#REF!</v>
      </c>
      <c r="AU71" s="1" t="e">
        <f>AT71/VLOOKUP(A71,'[48]geoMap (45)'!$A:$B,2,0)*VLOOKUP(A71,'[48]geoMap (45)'!$A:$C,3,0)</f>
        <v>#REF!</v>
      </c>
      <c r="AV71" s="1" t="e">
        <f>AU71/VLOOKUP(A71,'[49]geoMap (46)'!$A:$B,2,0)*VLOOKUP(A71,'[49]geoMap (46)'!$A:$C,3,0)</f>
        <v>#REF!</v>
      </c>
      <c r="AW71" s="1" t="e">
        <f>AV71/VLOOKUP(A71,'[50]geoMap (47)'!$A:$B,2,0)*VLOOKUP(A71,'[50]geoMap (47)'!$A:$C,3,0)</f>
        <v>#REF!</v>
      </c>
      <c r="AX71" s="1" t="e">
        <f>AW71/VLOOKUP(A71,'[51]geoMap (48)'!$A:$B,2,0)*VLOOKUP(A71,'[51]geoMap (48)'!$A:$C,3,0)</f>
        <v>#REF!</v>
      </c>
      <c r="AY71" s="1" t="e">
        <f>AX71/VLOOKUP(A71,'[52]geoMap (49)'!$A:$B,2,0)*VLOOKUP(A71,'[52]geoMap (49)'!$A:$C,3,0)</f>
        <v>#REF!</v>
      </c>
      <c r="AZ71" s="1" t="e">
        <f>AY71/VLOOKUP(A71,'[53]geoMap (50)'!$A:$B,2,0)*VLOOKUP(A71,'[53]geoMap (50)'!$A:$C,3,0)</f>
        <v>#REF!</v>
      </c>
      <c r="BA71" s="1" t="e">
        <f>AZ71/VLOOKUP(A71,'[54]geoMap (51)'!$A:$B,2,0)*VLOOKUP(A71,'[54]geoMap (51)'!$A:$C,3,0)</f>
        <v>#REF!</v>
      </c>
      <c r="BB71" s="1" t="e">
        <f>BA71/VLOOKUP(A71,'[55]geoMap (52)'!$A:$B,2,0)*VLOOKUP(A71,'[55]geoMap (52)'!$A:$C,3,0)</f>
        <v>#REF!</v>
      </c>
      <c r="BC71" s="1" t="e">
        <f>BB71/VLOOKUP(A71,'[56]geoMap (53)'!$A:$B,2,0)*VLOOKUP(A71,'[56]geoMap (53)'!$A:$C,3,0)</f>
        <v>#REF!</v>
      </c>
      <c r="BD71" s="1" t="e">
        <f>BC71/VLOOKUP(A71,'[57]geoMap (54)'!$A:$B,2,0)*VLOOKUP(A71,'[57]geoMap (54)'!$A:$C,3,0)</f>
        <v>#REF!</v>
      </c>
      <c r="BE71" s="1" t="e">
        <f>BD71/VLOOKUP(A71,'[58]geoMap (55)'!$A:$B,2,0)*VLOOKUP(A71,'[58]geoMap (55)'!$A:$C,3,0)</f>
        <v>#REF!</v>
      </c>
      <c r="BF71" s="1" t="e">
        <f>BE71/VLOOKUP(A71,'[59]geoMap (56)'!$A:$B,2,0)*VLOOKUP(A71,'[59]geoMap (56)'!$A:$C,3,0)</f>
        <v>#REF!</v>
      </c>
      <c r="BG71" s="1" t="e">
        <f>BF71/VLOOKUP(A71,'[60]geoMap (57)'!$A:$B,2,0)*VLOOKUP(A71,'[60]geoMap (57)'!$A:$C,3,0)</f>
        <v>#REF!</v>
      </c>
      <c r="BH71" s="1" t="e">
        <f>BG71/VLOOKUP(A71,'[61]geoMap (58)'!$A:$B,2,0)*VLOOKUP(A71,'[61]geoMap (58)'!$A:$C,3,0)</f>
        <v>#REF!</v>
      </c>
      <c r="BI71" s="1" t="e">
        <f>BH71/VLOOKUP(A71,'[62]geoMap (59)'!$A:$B,2,0)*VLOOKUP(A71,'[62]geoMap (59)'!$A:$C,3,0)</f>
        <v>#REF!</v>
      </c>
      <c r="BJ71" s="1" t="e">
        <f>BI71/VLOOKUP(A71,'[63]geoMap (60)'!$A:$B,2,0)*VLOOKUP(A71,'[63]geoMap (60)'!$A:$C,3,0)</f>
        <v>#REF!</v>
      </c>
      <c r="BK71" s="1" t="e">
        <f>BJ71/VLOOKUP(A71,'[64]geoMap (61)'!$A:$B,2,0)*VLOOKUP(A71,'[64]geoMap (61)'!$A:$C,3,0)</f>
        <v>#REF!</v>
      </c>
      <c r="BL71" s="1" t="e">
        <f>BK71/VLOOKUP(A71,'[65]geoMap (62)'!$A:$B,2,0)*VLOOKUP(A71,'[65]geoMap (62)'!$A:$C,3,0)</f>
        <v>#REF!</v>
      </c>
      <c r="BM71" s="1" t="e">
        <f>BL71/VLOOKUP(A71,'[66]geoMap (63)'!$A:$B,2,0)*VLOOKUP(A71,'[66]geoMap (63)'!$A:$C,3,0)</f>
        <v>#REF!</v>
      </c>
      <c r="BN71" s="1" t="e">
        <f>BM71/VLOOKUP(A71,'[67]geoMap (64)'!$A:$B,2,0)*VLOOKUP(A71,'[67]geoMap (64)'!$A:$C,3,0)</f>
        <v>#REF!</v>
      </c>
      <c r="BO71" s="1" t="e">
        <f>BN71/VLOOKUP(A71,'[68]geoMap (65)'!$A:$B,2,0)*VLOOKUP(A71,'[68]geoMap (65)'!$A:$C,3,0)</f>
        <v>#REF!</v>
      </c>
      <c r="BP71" s="1" t="e">
        <f>BO71/VLOOKUP(A71,'[69]geoMap (66)'!$A:$B,2,0)*VLOOKUP(A71,'[69]geoMap (66)'!$A:$C,3,0)</f>
        <v>#REF!</v>
      </c>
    </row>
    <row r="72" spans="1:68" x14ac:dyDescent="0.2">
      <c r="A72" s="1" t="s">
        <v>106</v>
      </c>
      <c r="B72" s="1">
        <f>VLOOKUP(A72,[3]geoMap!$A:$B,2,0)*Notes!$C$6</f>
        <v>5000</v>
      </c>
      <c r="C72" s="1" t="e">
        <f>B72/VLOOKUP(A72,'[4]geoMap (1)'!$A:$B,2,0)*VLOOKUP(A72,'[4]geoMap (1)'!$A:$C,3,0)</f>
        <v>#DIV/0!</v>
      </c>
      <c r="D72" s="1" t="e">
        <f>B72/VLOOKUP(A72,'[161]geoMap (67)'!$A:$B,2,0)*VLOOKUP(A72,'[161]geoMap (67)'!$A:$C,3,0)</f>
        <v>#REF!</v>
      </c>
      <c r="E72" s="1">
        <f>B72/VLOOKUP(A72,'[162]geoMap (68)'!$A:$B,2,0)*VLOOKUP(A72,'[162]geoMap (68)'!$A:$C,3,0)</f>
        <v>3928.571428571428</v>
      </c>
      <c r="F72" s="1">
        <f>E72/VLOOKUP(A72,'[7]geoMap (4)'!$A:$B,2,0)*VLOOKUP(A72,'[7]geoMap (4)'!$A:$C,3,0)</f>
        <v>3483.8274932614545</v>
      </c>
      <c r="G72" s="1" t="e">
        <f>B72/VLOOKUP(A72,'[148]geoMap (70)'!$A:$B,2,0)*VLOOKUP(A72,'[148]geoMap (70)'!$A:$C,3,0)</f>
        <v>#DIV/0!</v>
      </c>
      <c r="H72" s="1" t="e">
        <f>B72/VLOOKUP(A72,'[149]geoMap (71)'!$A:$B,2,0)*VLOOKUP(A72,'[149]geoMap (71)'!$A:$C,3,0)</f>
        <v>#REF!</v>
      </c>
      <c r="I72" s="1" t="e">
        <f>B72/VLOOKUP(A72,'[163]geoMap (72)'!$A:$B,2,0)*VLOOKUP(A72,'[163]geoMap (72)'!$A:$C,3,0)</f>
        <v>#REF!</v>
      </c>
      <c r="J72" s="1" t="e">
        <f>F72/VLOOKUP(A72,'[164]geoMap (73)'!$A:$B,2,0)*VLOOKUP(A72,'[164]geoMap (73)'!$A:$C,3,0)</f>
        <v>#REF!</v>
      </c>
      <c r="K72" s="1">
        <f>F72/VLOOKUP(A72,'[165]geoMap (74)'!$A:$B,2,0)*VLOOKUP(A72,'[165]geoMap (74)'!$A:$C,3,0)</f>
        <v>926.08072605684231</v>
      </c>
      <c r="L72" s="1">
        <f>K72/VLOOKUP(A72,'[13]geoMap (10)'!$A:$B,2,0)*VLOOKUP(A72,'[13]geoMap (10)'!$A:$C,3,0)</f>
        <v>498.65885249214585</v>
      </c>
      <c r="M72" s="1" t="e">
        <f>K72/VLOOKUP(A72,'[128]geoMap (78)'!$A:$B,2,0)*VLOOKUP(A72,'[128]geoMap (78)'!$A:$C,3,0)</f>
        <v>#REF!</v>
      </c>
      <c r="N72" s="1" t="e">
        <f>K72/VLOOKUP(A72,'[159]geoMap (79)'!$A:$B,2,0)*VLOOKUP(A72,'[159]geoMap (79)'!$A:$C,3,0)</f>
        <v>#REF!</v>
      </c>
      <c r="O72" s="1" t="e">
        <f>K72/VLOOKUP(A72,'[166]geoMap (82)'!$A:$B,2,0)*VLOOKUP(A72,'[166]geoMap (82)'!$A:$C,3,0)</f>
        <v>#DIV/0!</v>
      </c>
      <c r="P72" s="1">
        <f>K72/VLOOKUP(A72,'[171]geoMap (83)'!$A:$B,2,0)*VLOOKUP(A72,'[171]geoMap (83)'!$A:$C,3,0)</f>
        <v>396.89173973864672</v>
      </c>
      <c r="Q72" s="1" t="e">
        <f>K72/VLOOKUP(A72,'[167]geoMap (86)'!$A:$B,2,0)*VLOOKUP(A72,'[167]geoMap (86)'!$A:$C,3,0)</f>
        <v>#DIV/0!</v>
      </c>
      <c r="R72" s="1" t="e">
        <f>L72/VLOOKUP(A72,'[136]geoMap (89)'!$A:$B,2,0)*VLOOKUP(A72,'[136]geoMap (89)'!$A:$C,3,0)</f>
        <v>#REF!</v>
      </c>
      <c r="S72" s="1" t="e">
        <f>O72/VLOOKUP(A72,'[110]geoMap (90)'!$A:$B,2,0)*VLOOKUP(A72,'[110]geoMap (90)'!$A:$C,3,0)</f>
        <v>#DIV/0!</v>
      </c>
      <c r="T72" s="1" t="e">
        <f>O72/VLOOKUP(A72,'[170]geoMap (91)'!$A:$B,2,0)*VLOOKUP(A72,'[170]geoMap (91)'!$A:$C,3,0)</f>
        <v>#DIV/0!</v>
      </c>
      <c r="U72" s="1" t="e">
        <f>P72/VLOOKUP(A72,'[137]geoMap (94)'!$A:$B,2,0)*VLOOKUP(A72,'[137]geoMap (94)'!$A:$C,3,0)</f>
        <v>#REF!</v>
      </c>
      <c r="V72" s="1" t="e">
        <f>U72/VLOOKUP(A72,'[23]geoMap (20)'!$A:$B,2,0)*VLOOKUP(A72,'[23]geoMap (20)'!$A:$C,3,0)</f>
        <v>#REF!</v>
      </c>
      <c r="W72" s="1" t="e">
        <f>V72/VLOOKUP(A72,'[24]geoMap (21)'!$A:$B,2,0)*VLOOKUP(A72,'[24]geoMap (21)'!$A:$C,3,0)</f>
        <v>#REF!</v>
      </c>
      <c r="X72" s="1" t="e">
        <f>O72/VLOOKUP(A72,'[141]geoMap (99)'!$A:$B,2,0)*VLOOKUP(A72,'[141]geoMap (99)'!$A:$C,3,0)</f>
        <v>#DIV/0!</v>
      </c>
      <c r="Y72" s="1" t="e">
        <f>X72/VLOOKUP(A72,'[26]geoMap (23)'!$A:$B,2,0)*VLOOKUP(A72,'[26]geoMap (23)'!$A:$C,3,0)</f>
        <v>#DIV/0!</v>
      </c>
      <c r="Z72" s="1" t="e">
        <f>Y72/VLOOKUP(A72,'[27]geoMap (24)'!$A:$B,2,0)*VLOOKUP(A72,'[27]geoMap (24)'!$A:$C,3,0)</f>
        <v>#DIV/0!</v>
      </c>
      <c r="AA72" s="1" t="e">
        <f>Z72/VLOOKUP(A72,'[28]geoMap (25)'!$A:$B,2,0)*VLOOKUP(A72,'[28]geoMap (25)'!$A:$C,3,0)</f>
        <v>#DIV/0!</v>
      </c>
      <c r="AB72" s="1" t="e">
        <f>AA72*VLOOKUP(A72,'[29]geoMap (26)'!$A:$B,2,0)*VLOOKUP(A72,'[29]geoMap (26)'!$A:$C,3,0)</f>
        <v>#DIV/0!</v>
      </c>
      <c r="AC72" s="1" t="e">
        <f>AB72/VLOOKUP(A72,'[30]geoMap (27)'!$A:$B,2,0)*VLOOKUP(A72,'[30]geoMap (27)'!$A:$C,3,0)</f>
        <v>#DIV/0!</v>
      </c>
      <c r="AD72" s="1" t="e">
        <f>AC72/VLOOKUP(A72,'[31]geoMap (28)'!$A:$B,2,0)*VLOOKUP(A72,'[31]geoMap (28)'!$A:$C,3,0)</f>
        <v>#DIV/0!</v>
      </c>
      <c r="AE72" s="1" t="e">
        <f>AD72/VLOOKUP(A72,'[32]geoMap (29)'!$A:$B,2,0)*VLOOKUP(A72,'[32]geoMap (29)'!$A:$C,3,0)</f>
        <v>#DIV/0!</v>
      </c>
      <c r="AF72" s="1" t="e">
        <f>AE72/VLOOKUP(A72,'[33]geoMap (30)'!$A:$B,2,0)*VLOOKUP(A72,'[33]geoMap (30)'!$A:$C,3,0)</f>
        <v>#DIV/0!</v>
      </c>
      <c r="AG72" s="1" t="e">
        <f>AF72/VLOOKUP(A72,'[34]geoMap (31)'!$A:$B,2,0)*VLOOKUP(A72,'[34]geoMap (31)'!$A:$C,3,0)</f>
        <v>#DIV/0!</v>
      </c>
      <c r="AH72" s="1" t="e">
        <f>AG72/VLOOKUP(A72,'[35]geoMap (32)'!$A:$B,2,0)*VLOOKUP(A72,'[35]geoMap (32)'!$A:$C,3,0)</f>
        <v>#DIV/0!</v>
      </c>
      <c r="AI72" s="1" t="e">
        <f>AH72/VLOOKUP(A72,'[36]geoMap (33)'!$A:$B,2,0)*VLOOKUP(A72,'[36]geoMap (33)'!$A:$C,3,0)</f>
        <v>#DIV/0!</v>
      </c>
      <c r="AJ72" s="1" t="e">
        <f>AI72/VLOOKUP(A72,'[37]geoMap (34)'!$A:$B,2,0)*VLOOKUP(A72,'[37]geoMap (34)'!$A:$C,3,0)</f>
        <v>#DIV/0!</v>
      </c>
      <c r="AK72" s="1" t="e">
        <f>AJ72/VLOOKUP(A72,'[38]geoMap (35)'!$A:$B,2,0)*VLOOKUP(A72,'[38]geoMap (35)'!$A:$C,3,0)</f>
        <v>#DIV/0!</v>
      </c>
      <c r="AL72" s="1" t="e">
        <f>AK72/VLOOKUP(A72,'[39]geoMap (36)'!$A:$B,2,0)*VLOOKUP(A72,'[39]geoMap (36)'!$A:$C,3,0)</f>
        <v>#DIV/0!</v>
      </c>
      <c r="AM72" s="1" t="e">
        <f>AL72/VLOOKUP(A72,'[40]geoMap (37)'!$A:$B,2,0)*VLOOKUP(A72,'[40]geoMap (37)'!$A:$C,3,0)</f>
        <v>#DIV/0!</v>
      </c>
      <c r="AN72" s="1" t="e">
        <f>AM72/VLOOKUP(A72,'[41]geoMap (38)'!$A:$B,2,0)*VLOOKUP(A72,'[41]geoMap (38)'!$A:$C,3,0)</f>
        <v>#DIV/0!</v>
      </c>
      <c r="AO72" s="1" t="e">
        <f>AN72/VLOOKUP(A72,'[42]geoMap (39)'!$A:$B,2,0)*VLOOKUP(A72,'[42]geoMap (39)'!$A:$C,3,0)</f>
        <v>#DIV/0!</v>
      </c>
      <c r="AP72" s="1" t="e">
        <f>AO72/VLOOKUP(A72,'[43]geoMap (40)'!$A:$B,2,0)*VLOOKUP(A72,'[43]geoMap (40)'!$A:$C,3,0)</f>
        <v>#DIV/0!</v>
      </c>
      <c r="AQ72" s="1" t="e">
        <f>AP72/VLOOKUP(A72,'[44]geoMap (41)'!$A:$B,2,0)*VLOOKUP(A72,'[44]geoMap (41)'!$A:$C,3,0)</f>
        <v>#DIV/0!</v>
      </c>
      <c r="AR72" s="1" t="e">
        <f>AQ72/VLOOKUP(A72,'[45]geoMap (42)'!$A:$B,2,0)*VLOOKUP(A72,'[45]geoMap (42)'!$A:$C,3,0)</f>
        <v>#DIV/0!</v>
      </c>
      <c r="AS72" s="1" t="e">
        <f>AR72/VLOOKUP(A72,'[46]geoMap (43)'!$A:$B,2,0)*VLOOKUP(A72,'[46]geoMap (43)'!$A:$C,3,0)</f>
        <v>#DIV/0!</v>
      </c>
      <c r="AT72" s="1" t="e">
        <f>AS72/VLOOKUP(A72,'[47]geoMap (44)'!$A:$B,2,0)*VLOOKUP(A72,'[47]geoMap (44)'!$A:$C,3,0)</f>
        <v>#DIV/0!</v>
      </c>
      <c r="AU72" s="1" t="e">
        <f>AT72/VLOOKUP(A72,'[48]geoMap (45)'!$A:$B,2,0)*VLOOKUP(A72,'[48]geoMap (45)'!$A:$C,3,0)</f>
        <v>#DIV/0!</v>
      </c>
      <c r="AV72" s="1" t="e">
        <f>AU72/VLOOKUP(A72,'[49]geoMap (46)'!$A:$B,2,0)*VLOOKUP(A72,'[49]geoMap (46)'!$A:$C,3,0)</f>
        <v>#DIV/0!</v>
      </c>
      <c r="AW72" s="1" t="e">
        <f>AV72/VLOOKUP(A72,'[50]geoMap (47)'!$A:$B,2,0)*VLOOKUP(A72,'[50]geoMap (47)'!$A:$C,3,0)</f>
        <v>#DIV/0!</v>
      </c>
      <c r="AX72" s="1" t="e">
        <f>AW72/VLOOKUP(A72,'[51]geoMap (48)'!$A:$B,2,0)*VLOOKUP(A72,'[51]geoMap (48)'!$A:$C,3,0)</f>
        <v>#DIV/0!</v>
      </c>
      <c r="AY72" s="1" t="e">
        <f>AX72/VLOOKUP(A72,'[52]geoMap (49)'!$A:$B,2,0)*VLOOKUP(A72,'[52]geoMap (49)'!$A:$C,3,0)</f>
        <v>#DIV/0!</v>
      </c>
      <c r="AZ72" s="1" t="e">
        <f>AY72/VLOOKUP(A72,'[53]geoMap (50)'!$A:$B,2,0)*VLOOKUP(A72,'[53]geoMap (50)'!$A:$C,3,0)</f>
        <v>#DIV/0!</v>
      </c>
      <c r="BA72" s="1" t="e">
        <f>AZ72/VLOOKUP(A72,'[54]geoMap (51)'!$A:$B,2,0)*VLOOKUP(A72,'[54]geoMap (51)'!$A:$C,3,0)</f>
        <v>#DIV/0!</v>
      </c>
      <c r="BB72" s="1" t="e">
        <f>BA72/VLOOKUP(A72,'[55]geoMap (52)'!$A:$B,2,0)*VLOOKUP(A72,'[55]geoMap (52)'!$A:$C,3,0)</f>
        <v>#DIV/0!</v>
      </c>
      <c r="BC72" s="1" t="e">
        <f>BB72/VLOOKUP(A72,'[56]geoMap (53)'!$A:$B,2,0)*VLOOKUP(A72,'[56]geoMap (53)'!$A:$C,3,0)</f>
        <v>#DIV/0!</v>
      </c>
      <c r="BD72" s="1" t="e">
        <f>BC72/VLOOKUP(A72,'[57]geoMap (54)'!$A:$B,2,0)*VLOOKUP(A72,'[57]geoMap (54)'!$A:$C,3,0)</f>
        <v>#DIV/0!</v>
      </c>
      <c r="BE72" s="1" t="e">
        <f>BD72/VLOOKUP(A72,'[58]geoMap (55)'!$A:$B,2,0)*VLOOKUP(A72,'[58]geoMap (55)'!$A:$C,3,0)</f>
        <v>#DIV/0!</v>
      </c>
      <c r="BF72" s="1" t="e">
        <f>BE72/VLOOKUP(A72,'[59]geoMap (56)'!$A:$B,2,0)*VLOOKUP(A72,'[59]geoMap (56)'!$A:$C,3,0)</f>
        <v>#DIV/0!</v>
      </c>
      <c r="BG72" s="1" t="e">
        <f>BF72/VLOOKUP(A72,'[60]geoMap (57)'!$A:$B,2,0)*VLOOKUP(A72,'[60]geoMap (57)'!$A:$C,3,0)</f>
        <v>#DIV/0!</v>
      </c>
      <c r="BH72" s="1" t="e">
        <f>BG72/VLOOKUP(A72,'[61]geoMap (58)'!$A:$B,2,0)*VLOOKUP(A72,'[61]geoMap (58)'!$A:$C,3,0)</f>
        <v>#DIV/0!</v>
      </c>
      <c r="BI72" s="1" t="e">
        <f>BH72/VLOOKUP(A72,'[62]geoMap (59)'!$A:$B,2,0)*VLOOKUP(A72,'[62]geoMap (59)'!$A:$C,3,0)</f>
        <v>#DIV/0!</v>
      </c>
      <c r="BJ72" s="1" t="e">
        <f>BI72/VLOOKUP(A72,'[63]geoMap (60)'!$A:$B,2,0)*VLOOKUP(A72,'[63]geoMap (60)'!$A:$C,3,0)</f>
        <v>#DIV/0!</v>
      </c>
      <c r="BK72" s="1" t="e">
        <f>BJ72/VLOOKUP(A72,'[64]geoMap (61)'!$A:$B,2,0)*VLOOKUP(A72,'[64]geoMap (61)'!$A:$C,3,0)</f>
        <v>#DIV/0!</v>
      </c>
      <c r="BL72" s="1" t="e">
        <f>BK72/VLOOKUP(A72,'[65]geoMap (62)'!$A:$B,2,0)*VLOOKUP(A72,'[65]geoMap (62)'!$A:$C,3,0)</f>
        <v>#DIV/0!</v>
      </c>
      <c r="BM72" s="1" t="e">
        <f>BL72/VLOOKUP(A72,'[66]geoMap (63)'!$A:$B,2,0)*VLOOKUP(A72,'[66]geoMap (63)'!$A:$C,3,0)</f>
        <v>#DIV/0!</v>
      </c>
      <c r="BN72" s="1" t="e">
        <f>BM72/VLOOKUP(A72,'[67]geoMap (64)'!$A:$B,2,0)*VLOOKUP(A72,'[67]geoMap (64)'!$A:$C,3,0)</f>
        <v>#DIV/0!</v>
      </c>
      <c r="BO72" s="1" t="e">
        <f>BN72/VLOOKUP(A72,'[68]geoMap (65)'!$A:$B,2,0)*VLOOKUP(A72,'[68]geoMap (65)'!$A:$C,3,0)</f>
        <v>#DIV/0!</v>
      </c>
      <c r="BP72" s="1" t="e">
        <f>BO72/VLOOKUP(A72,'[69]geoMap (66)'!$A:$B,2,0)*VLOOKUP(A72,'[69]geoMap (66)'!$A:$C,3,0)</f>
        <v>#DIV/0!</v>
      </c>
    </row>
    <row r="73" spans="1:68" x14ac:dyDescent="0.2">
      <c r="A73" s="1" t="s">
        <v>9</v>
      </c>
      <c r="B73" s="1">
        <f>VLOOKUP(A73,[3]geoMap!$A:$B,2,0)*Notes!$C$6</f>
        <v>25000</v>
      </c>
      <c r="C73" s="1" t="e">
        <f>B73/VLOOKUP(A73,'[4]geoMap (1)'!$A:$B,2,0)*VLOOKUP(A73,'[4]geoMap (1)'!$A:$C,3,0)</f>
        <v>#DIV/0!</v>
      </c>
      <c r="D73" s="1" t="e">
        <f>B73/VLOOKUP(A73,'[161]geoMap (67)'!$A:$B,2,0)*VLOOKUP(A73,'[161]geoMap (67)'!$A:$C,3,0)</f>
        <v>#REF!</v>
      </c>
      <c r="E73" s="1" t="e">
        <f>B73/VLOOKUP(A73,'[162]geoMap (68)'!$A:$B,2,0)*VLOOKUP(A73,'[162]geoMap (68)'!$A:$C,3,0)</f>
        <v>#REF!</v>
      </c>
      <c r="F73" s="1">
        <f>B73/VLOOKUP(A73,'[147]geoMap (69)'!$A:$B,2,0)*VLOOKUP(A73,'[147]geoMap (69)'!$A:$C,3,0)</f>
        <v>12313.432835820897</v>
      </c>
      <c r="G73" s="1" t="e">
        <f>B73/VLOOKUP(A73,'[148]geoMap (70)'!$A:$B,2,0)*VLOOKUP(A73,'[148]geoMap (70)'!$A:$C,3,0)</f>
        <v>#DIV/0!</v>
      </c>
      <c r="H73" s="1">
        <f>B73/VLOOKUP(A73,'[149]geoMap (71)'!$A:$B,2,0)*VLOOKUP(A73,'[149]geoMap (71)'!$A:$C,3,0)</f>
        <v>10211.267605633802</v>
      </c>
      <c r="I73" s="1" t="e">
        <f>B73/VLOOKUP(A73,'[163]geoMap (72)'!$A:$B,2,0)*VLOOKUP(A73,'[163]geoMap (72)'!$A:$C,3,0)</f>
        <v>#REF!</v>
      </c>
      <c r="J73" s="1" t="e">
        <f>F73/VLOOKUP(A73,'[164]geoMap (73)'!$A:$B,2,0)*VLOOKUP(A73,'[164]geoMap (73)'!$A:$C,3,0)</f>
        <v>#REF!</v>
      </c>
      <c r="K73" s="1">
        <f>F73/VLOOKUP(A73,'[165]geoMap (74)'!$A:$B,2,0)*VLOOKUP(A73,'[165]geoMap (74)'!$A:$C,3,0)</f>
        <v>4788.5572139303495</v>
      </c>
      <c r="L73" s="1" t="e">
        <f>F73/VLOOKUP(A73,'[157]geoMap (76)'!$A:$B,2,0)*VLOOKUP(A73,'[157]geoMap (76)'!$A:$C,3,0)</f>
        <v>#REF!</v>
      </c>
      <c r="M73" s="1" t="e">
        <f>K73/VLOOKUP(A73,'[128]geoMap (78)'!$A:$B,2,0)*VLOOKUP(A73,'[128]geoMap (78)'!$A:$C,3,0)</f>
        <v>#REF!</v>
      </c>
      <c r="N73" s="1" t="e">
        <f>H73/VLOOKUP(A73,'[117]geoMap (80)'!$A:$B,2,0)*VLOOKUP(A73,'[117]geoMap (80)'!$A:$C,3,0)</f>
        <v>#REF!</v>
      </c>
      <c r="O73" s="1" t="e">
        <f>K73/VLOOKUP(A73,'[166]geoMap (82)'!$A:$B,2,0)*VLOOKUP(A73,'[166]geoMap (82)'!$A:$C,3,0)</f>
        <v>#DIV/0!</v>
      </c>
      <c r="P73" s="1" t="e">
        <f>F73/VLOOKUP(A73,'[129]geoMap (84)'!$A:$B,2,0)*VLOOKUP(A73,'[129]geoMap (84)'!$A:$C,3,0)</f>
        <v>#REF!</v>
      </c>
      <c r="Q73" s="1" t="e">
        <f>K73/VLOOKUP(A73,'[167]geoMap (86)'!$A:$B,2,0)*VLOOKUP(A73,'[167]geoMap (86)'!$A:$C,3,0)</f>
        <v>#DIV/0!</v>
      </c>
      <c r="R73" s="1" t="e">
        <f>K73/VLOOKUP(A73,'[109]geoMap (87)'!$A:$B,2,0)*VLOOKUP(A73,'[109]geoMap (87)'!$A:$C,3,0)</f>
        <v>#REF!</v>
      </c>
      <c r="S73" s="1" t="e">
        <f>R73/VLOOKUP(A73,'[20]geoMap (17)'!$A:$B,2,0)*VLOOKUP(A73,'[20]geoMap (17)'!$A:$C,3,0)</f>
        <v>#REF!</v>
      </c>
      <c r="T73" s="1" t="e">
        <f>S73/VLOOKUP(A73,'[21]geoMap (18)'!$A:$B,2,0)*VLOOKUP(A73,'[21]geoMap (18)'!$A:$C,3,0)</f>
        <v>#REF!</v>
      </c>
      <c r="U73" s="1" t="e">
        <f>T73/VLOOKUP(A73,'[22]geoMap (19)'!$A:$B,2,0)*VLOOKUP(A73,'[22]geoMap (19)'!$A:$C,3,0)</f>
        <v>#REF!</v>
      </c>
      <c r="V73" s="1" t="e">
        <f>U73/VLOOKUP(A73,'[23]geoMap (20)'!$A:$B,2,0)*VLOOKUP(A73,'[23]geoMap (20)'!$A:$C,3,0)</f>
        <v>#REF!</v>
      </c>
      <c r="W73" s="1" t="e">
        <f>V73/VLOOKUP(A73,'[24]geoMap (21)'!$A:$B,2,0)*VLOOKUP(A73,'[24]geoMap (21)'!$A:$C,3,0)</f>
        <v>#REF!</v>
      </c>
      <c r="X73" s="1" t="e">
        <f>O73/VLOOKUP(A73,'[141]geoMap (99)'!$A:$B,2,0)*VLOOKUP(A73,'[141]geoMap (99)'!$A:$C,3,0)</f>
        <v>#DIV/0!</v>
      </c>
      <c r="Y73" s="1" t="e">
        <f>X73/VLOOKUP(A73,'[26]geoMap (23)'!$A:$B,2,0)*VLOOKUP(A73,'[26]geoMap (23)'!$A:$C,3,0)</f>
        <v>#DIV/0!</v>
      </c>
      <c r="Z73" s="1" t="e">
        <f>Y73/VLOOKUP(A73,'[27]geoMap (24)'!$A:$B,2,0)*VLOOKUP(A73,'[27]geoMap (24)'!$A:$C,3,0)</f>
        <v>#DIV/0!</v>
      </c>
      <c r="AA73" s="1" t="e">
        <f>Z73/VLOOKUP(A73,'[28]geoMap (25)'!$A:$B,2,0)*VLOOKUP(A73,'[28]geoMap (25)'!$A:$C,3,0)</f>
        <v>#DIV/0!</v>
      </c>
      <c r="AB73" s="1" t="e">
        <f>AA73*VLOOKUP(A73,'[29]geoMap (26)'!$A:$B,2,0)*VLOOKUP(A73,'[29]geoMap (26)'!$A:$C,3,0)</f>
        <v>#DIV/0!</v>
      </c>
      <c r="AC73" s="1" t="e">
        <f>AB73/VLOOKUP(A73,'[30]geoMap (27)'!$A:$B,2,0)*VLOOKUP(A73,'[30]geoMap (27)'!$A:$C,3,0)</f>
        <v>#DIV/0!</v>
      </c>
      <c r="AD73" s="1" t="e">
        <f>AC73/VLOOKUP(A73,'[31]geoMap (28)'!$A:$B,2,0)*VLOOKUP(A73,'[31]geoMap (28)'!$A:$C,3,0)</f>
        <v>#DIV/0!</v>
      </c>
      <c r="AE73" s="1" t="e">
        <f>AD73/VLOOKUP(A73,'[32]geoMap (29)'!$A:$B,2,0)*VLOOKUP(A73,'[32]geoMap (29)'!$A:$C,3,0)</f>
        <v>#DIV/0!</v>
      </c>
      <c r="AF73" s="1" t="e">
        <f>AE73/VLOOKUP(A73,'[33]geoMap (30)'!$A:$B,2,0)*VLOOKUP(A73,'[33]geoMap (30)'!$A:$C,3,0)</f>
        <v>#DIV/0!</v>
      </c>
      <c r="AG73" s="1" t="e">
        <f>AF73/VLOOKUP(A73,'[34]geoMap (31)'!$A:$B,2,0)*VLOOKUP(A73,'[34]geoMap (31)'!$A:$C,3,0)</f>
        <v>#DIV/0!</v>
      </c>
      <c r="AH73" s="1" t="e">
        <f>AG73/VLOOKUP(A73,'[35]geoMap (32)'!$A:$B,2,0)*VLOOKUP(A73,'[35]geoMap (32)'!$A:$C,3,0)</f>
        <v>#DIV/0!</v>
      </c>
      <c r="AI73" s="1" t="e">
        <f>AH73/VLOOKUP(A73,'[36]geoMap (33)'!$A:$B,2,0)*VLOOKUP(A73,'[36]geoMap (33)'!$A:$C,3,0)</f>
        <v>#DIV/0!</v>
      </c>
      <c r="AJ73" s="1" t="e">
        <f>AI73/VLOOKUP(A73,'[37]geoMap (34)'!$A:$B,2,0)*VLOOKUP(A73,'[37]geoMap (34)'!$A:$C,3,0)</f>
        <v>#DIV/0!</v>
      </c>
      <c r="AK73" s="1" t="e">
        <f>AJ73/VLOOKUP(A73,'[38]geoMap (35)'!$A:$B,2,0)*VLOOKUP(A73,'[38]geoMap (35)'!$A:$C,3,0)</f>
        <v>#DIV/0!</v>
      </c>
      <c r="AL73" s="1" t="e">
        <f>AK73/VLOOKUP(A73,'[39]geoMap (36)'!$A:$B,2,0)*VLOOKUP(A73,'[39]geoMap (36)'!$A:$C,3,0)</f>
        <v>#DIV/0!</v>
      </c>
      <c r="AM73" s="1" t="e">
        <f>AL73/VLOOKUP(A73,'[40]geoMap (37)'!$A:$B,2,0)*VLOOKUP(A73,'[40]geoMap (37)'!$A:$C,3,0)</f>
        <v>#DIV/0!</v>
      </c>
      <c r="AN73" s="1" t="e">
        <f>AM73/VLOOKUP(A73,'[41]geoMap (38)'!$A:$B,2,0)*VLOOKUP(A73,'[41]geoMap (38)'!$A:$C,3,0)</f>
        <v>#DIV/0!</v>
      </c>
      <c r="AO73" s="1" t="e">
        <f>AN73/VLOOKUP(A73,'[42]geoMap (39)'!$A:$B,2,0)*VLOOKUP(A73,'[42]geoMap (39)'!$A:$C,3,0)</f>
        <v>#DIV/0!</v>
      </c>
      <c r="AP73" s="1" t="e">
        <f>AO73/VLOOKUP(A73,'[43]geoMap (40)'!$A:$B,2,0)*VLOOKUP(A73,'[43]geoMap (40)'!$A:$C,3,0)</f>
        <v>#DIV/0!</v>
      </c>
      <c r="AQ73" s="1" t="e">
        <f>AP73/VLOOKUP(A73,'[44]geoMap (41)'!$A:$B,2,0)*VLOOKUP(A73,'[44]geoMap (41)'!$A:$C,3,0)</f>
        <v>#DIV/0!</v>
      </c>
      <c r="AR73" s="1" t="e">
        <f>AQ73/VLOOKUP(A73,'[45]geoMap (42)'!$A:$B,2,0)*VLOOKUP(A73,'[45]geoMap (42)'!$A:$C,3,0)</f>
        <v>#DIV/0!</v>
      </c>
      <c r="AS73" s="1" t="e">
        <f>AR73/VLOOKUP(A73,'[46]geoMap (43)'!$A:$B,2,0)*VLOOKUP(A73,'[46]geoMap (43)'!$A:$C,3,0)</f>
        <v>#DIV/0!</v>
      </c>
      <c r="AT73" s="1" t="e">
        <f>AS73/VLOOKUP(A73,'[47]geoMap (44)'!$A:$B,2,0)*VLOOKUP(A73,'[47]geoMap (44)'!$A:$C,3,0)</f>
        <v>#DIV/0!</v>
      </c>
      <c r="AU73" s="1" t="e">
        <f>AT73/VLOOKUP(A73,'[48]geoMap (45)'!$A:$B,2,0)*VLOOKUP(A73,'[48]geoMap (45)'!$A:$C,3,0)</f>
        <v>#DIV/0!</v>
      </c>
      <c r="AV73" s="1" t="e">
        <f>AU73/VLOOKUP(A73,'[49]geoMap (46)'!$A:$B,2,0)*VLOOKUP(A73,'[49]geoMap (46)'!$A:$C,3,0)</f>
        <v>#DIV/0!</v>
      </c>
      <c r="AW73" s="1" t="e">
        <f>AV73/VLOOKUP(A73,'[50]geoMap (47)'!$A:$B,2,0)*VLOOKUP(A73,'[50]geoMap (47)'!$A:$C,3,0)</f>
        <v>#DIV/0!</v>
      </c>
      <c r="AX73" s="1" t="e">
        <f>AW73/VLOOKUP(A73,'[51]geoMap (48)'!$A:$B,2,0)*VLOOKUP(A73,'[51]geoMap (48)'!$A:$C,3,0)</f>
        <v>#DIV/0!</v>
      </c>
      <c r="AY73" s="1" t="e">
        <f>AX73/VLOOKUP(A73,'[52]geoMap (49)'!$A:$B,2,0)*VLOOKUP(A73,'[52]geoMap (49)'!$A:$C,3,0)</f>
        <v>#DIV/0!</v>
      </c>
      <c r="AZ73" s="1" t="e">
        <f>AY73/VLOOKUP(A73,'[53]geoMap (50)'!$A:$B,2,0)*VLOOKUP(A73,'[53]geoMap (50)'!$A:$C,3,0)</f>
        <v>#DIV/0!</v>
      </c>
      <c r="BA73" s="1" t="e">
        <f>AZ73/VLOOKUP(A73,'[54]geoMap (51)'!$A:$B,2,0)*VLOOKUP(A73,'[54]geoMap (51)'!$A:$C,3,0)</f>
        <v>#DIV/0!</v>
      </c>
      <c r="BB73" s="1" t="e">
        <f>BA73/VLOOKUP(A73,'[55]geoMap (52)'!$A:$B,2,0)*VLOOKUP(A73,'[55]geoMap (52)'!$A:$C,3,0)</f>
        <v>#DIV/0!</v>
      </c>
      <c r="BC73" s="1" t="e">
        <f>BB73/VLOOKUP(A73,'[56]geoMap (53)'!$A:$B,2,0)*VLOOKUP(A73,'[56]geoMap (53)'!$A:$C,3,0)</f>
        <v>#DIV/0!</v>
      </c>
      <c r="BD73" s="1" t="e">
        <f>BC73/VLOOKUP(A73,'[57]geoMap (54)'!$A:$B,2,0)*VLOOKUP(A73,'[57]geoMap (54)'!$A:$C,3,0)</f>
        <v>#DIV/0!</v>
      </c>
      <c r="BE73" s="1" t="e">
        <f>BD73/VLOOKUP(A73,'[58]geoMap (55)'!$A:$B,2,0)*VLOOKUP(A73,'[58]geoMap (55)'!$A:$C,3,0)</f>
        <v>#DIV/0!</v>
      </c>
      <c r="BF73" s="1" t="e">
        <f>BE73/VLOOKUP(A73,'[59]geoMap (56)'!$A:$B,2,0)*VLOOKUP(A73,'[59]geoMap (56)'!$A:$C,3,0)</f>
        <v>#DIV/0!</v>
      </c>
      <c r="BG73" s="1" t="e">
        <f>BF73/VLOOKUP(A73,'[60]geoMap (57)'!$A:$B,2,0)*VLOOKUP(A73,'[60]geoMap (57)'!$A:$C,3,0)</f>
        <v>#DIV/0!</v>
      </c>
      <c r="BH73" s="1" t="e">
        <f>BG73/VLOOKUP(A73,'[61]geoMap (58)'!$A:$B,2,0)*VLOOKUP(A73,'[61]geoMap (58)'!$A:$C,3,0)</f>
        <v>#DIV/0!</v>
      </c>
      <c r="BI73" s="1" t="e">
        <f>BH73/VLOOKUP(A73,'[62]geoMap (59)'!$A:$B,2,0)*VLOOKUP(A73,'[62]geoMap (59)'!$A:$C,3,0)</f>
        <v>#DIV/0!</v>
      </c>
      <c r="BJ73" s="1" t="e">
        <f>BI73/VLOOKUP(A73,'[63]geoMap (60)'!$A:$B,2,0)*VLOOKUP(A73,'[63]geoMap (60)'!$A:$C,3,0)</f>
        <v>#DIV/0!</v>
      </c>
      <c r="BK73" s="1" t="e">
        <f>BJ73/VLOOKUP(A73,'[64]geoMap (61)'!$A:$B,2,0)*VLOOKUP(A73,'[64]geoMap (61)'!$A:$C,3,0)</f>
        <v>#DIV/0!</v>
      </c>
      <c r="BL73" s="1" t="e">
        <f>BK73/VLOOKUP(A73,'[65]geoMap (62)'!$A:$B,2,0)*VLOOKUP(A73,'[65]geoMap (62)'!$A:$C,3,0)</f>
        <v>#DIV/0!</v>
      </c>
      <c r="BM73" s="1" t="e">
        <f>BL73/VLOOKUP(A73,'[66]geoMap (63)'!$A:$B,2,0)*VLOOKUP(A73,'[66]geoMap (63)'!$A:$C,3,0)</f>
        <v>#DIV/0!</v>
      </c>
      <c r="BN73" s="1" t="e">
        <f>BM73/VLOOKUP(A73,'[67]geoMap (64)'!$A:$B,2,0)*VLOOKUP(A73,'[67]geoMap (64)'!$A:$C,3,0)</f>
        <v>#DIV/0!</v>
      </c>
      <c r="BO73" s="1" t="e">
        <f>BN73/VLOOKUP(A73,'[68]geoMap (65)'!$A:$B,2,0)*VLOOKUP(A73,'[68]geoMap (65)'!$A:$C,3,0)</f>
        <v>#DIV/0!</v>
      </c>
      <c r="BP73" s="1" t="e">
        <f>BO73/VLOOKUP(A73,'[69]geoMap (66)'!$A:$B,2,0)*VLOOKUP(A73,'[69]geoMap (66)'!$A:$C,3,0)</f>
        <v>#DIV/0!</v>
      </c>
    </row>
    <row r="74" spans="1:68" x14ac:dyDescent="0.2">
      <c r="A74" s="1" t="s">
        <v>33</v>
      </c>
      <c r="B74" s="1">
        <f>VLOOKUP(A74,[3]geoMap!$A:$B,2,0)*Notes!$C$6</f>
        <v>11000</v>
      </c>
      <c r="C74" s="1" t="e">
        <f>B74/VLOOKUP(A74,'[4]geoMap (1)'!$A:$B,2,0)*VLOOKUP(A74,'[4]geoMap (1)'!$A:$C,3,0)</f>
        <v>#DIV/0!</v>
      </c>
      <c r="D74" s="1" t="e">
        <f>B74/VLOOKUP(A74,'[161]geoMap (67)'!$A:$B,2,0)*VLOOKUP(A74,'[161]geoMap (67)'!$A:$C,3,0)</f>
        <v>#REF!</v>
      </c>
      <c r="E74" s="1" t="e">
        <f>B74/VLOOKUP(A74,'[162]geoMap (68)'!$A:$B,2,0)*VLOOKUP(A74,'[162]geoMap (68)'!$A:$C,3,0)</f>
        <v>#REF!</v>
      </c>
      <c r="F74" s="1" t="e">
        <f>B74/VLOOKUP(A74,'[147]geoMap (69)'!$A:$B,2,0)*VLOOKUP(A74,'[147]geoMap (69)'!$A:$C,3,0)</f>
        <v>#REF!</v>
      </c>
      <c r="G74" s="1" t="e">
        <f>B74/VLOOKUP(A74,'[148]geoMap (70)'!$A:$B,2,0)*VLOOKUP(A74,'[148]geoMap (70)'!$A:$C,3,0)</f>
        <v>#DIV/0!</v>
      </c>
      <c r="H74" s="1">
        <f>B74/VLOOKUP(A74,'[149]geoMap (71)'!$A:$B,2,0)*VLOOKUP(A74,'[149]geoMap (71)'!$A:$C,3,0)</f>
        <v>3102.5641025641025</v>
      </c>
      <c r="I74" s="1" t="e">
        <f>B74/VLOOKUP(A74,'[163]geoMap (72)'!$A:$B,2,0)*VLOOKUP(A74,'[163]geoMap (72)'!$A:$C,3,0)</f>
        <v>#REF!</v>
      </c>
      <c r="J74" s="1" t="e">
        <f>I74/VLOOKUP(A74,'[11]geoMap (8)'!$A:$B,2,0)*VLOOKUP(A74,'[11]geoMap (8)'!$A:$C,3,0)</f>
        <v>#REF!</v>
      </c>
      <c r="K74" s="1" t="e">
        <f>J74/VLOOKUP(A74,'[12]geoMap (9)'!$A:$B,2,0)*VLOOKUP(A74,'[12]geoMap (9)'!$A:$C,3,0)</f>
        <v>#REF!</v>
      </c>
      <c r="L74" s="1" t="e">
        <f>B74/VLOOKUP(A74,'[169]geoMap (75)'!$A:$B,2,0)*VLOOKUP(A74,'[169]geoMap (75)'!$A:$C,3,0)</f>
        <v>#DIV/0!</v>
      </c>
      <c r="M74" s="1" t="e">
        <f>L74/VLOOKUP(A74,'[14]geoMap (11)'!$A:$B,2,0)*VLOOKUP(A74,'[14]geoMap (11)'!$A:$C,3,0)</f>
        <v>#DIV/0!</v>
      </c>
      <c r="N74" s="1" t="e">
        <f>H74/VLOOKUP(A74,'[117]geoMap (80)'!$A:$B,2,0)*VLOOKUP(A74,'[117]geoMap (80)'!$A:$C,3,0)</f>
        <v>#REF!</v>
      </c>
      <c r="O74" s="1" t="e">
        <f>H74/VLOOKUP(A74,'[118]geoMap (81)'!$A:$B,2,0)*VLOOKUP(A74,'[118]geoMap (81)'!$A:$C,3,0)</f>
        <v>#REF!</v>
      </c>
      <c r="P74" s="1" t="e">
        <f>O74/VLOOKUP(A74,'[17]geoMap (14)'!$A:$B,2,0)*VLOOKUP(A74,'[17]geoMap (14)'!$A:$C,3,0)</f>
        <v>#REF!</v>
      </c>
      <c r="Q74" s="1" t="e">
        <f>P74/VLOOKUP(A74,'[18]geoMap (15)'!$A:$B,2,0)*VLOOKUP(A74,'[18]geoMap (15)'!$A:$C,3,0)</f>
        <v>#REF!</v>
      </c>
      <c r="R74" s="1" t="e">
        <f>Q74/VLOOKUP(A74,'[19]geoMap (16)'!$A:$B,2,0)*VLOOKUP(A74,'[19]geoMap (16)'!$A:$C,3,0)</f>
        <v>#REF!</v>
      </c>
      <c r="S74" s="1" t="e">
        <f>R74/VLOOKUP(A74,'[20]geoMap (17)'!$A:$B,2,0)*VLOOKUP(A74,'[20]geoMap (17)'!$A:$C,3,0)</f>
        <v>#REF!</v>
      </c>
      <c r="T74" s="1" t="e">
        <f>S74/VLOOKUP(A74,'[21]geoMap (18)'!$A:$B,2,0)*VLOOKUP(A74,'[21]geoMap (18)'!$A:$C,3,0)</f>
        <v>#REF!</v>
      </c>
      <c r="U74" s="1" t="e">
        <f>T74/VLOOKUP(A74,'[22]geoMap (19)'!$A:$B,2,0)*VLOOKUP(A74,'[22]geoMap (19)'!$A:$C,3,0)</f>
        <v>#REF!</v>
      </c>
      <c r="V74" s="1" t="e">
        <f>U74/VLOOKUP(A74,'[23]geoMap (20)'!$A:$B,2,0)*VLOOKUP(A74,'[23]geoMap (20)'!$A:$C,3,0)</f>
        <v>#REF!</v>
      </c>
      <c r="W74" s="1" t="e">
        <f>V74/VLOOKUP(A74,'[24]geoMap (21)'!$A:$B,2,0)*VLOOKUP(A74,'[24]geoMap (21)'!$A:$C,3,0)</f>
        <v>#REF!</v>
      </c>
      <c r="X74" s="1" t="e">
        <f>O74/VLOOKUP(A74,'[141]geoMap (99)'!$A:$B,2,0)*VLOOKUP(A74,'[141]geoMap (99)'!$A:$C,3,0)</f>
        <v>#REF!</v>
      </c>
      <c r="Y74" s="1" t="e">
        <f>X74/VLOOKUP(A74,'[26]geoMap (23)'!$A:$B,2,0)*VLOOKUP(A74,'[26]geoMap (23)'!$A:$C,3,0)</f>
        <v>#REF!</v>
      </c>
      <c r="Z74" s="1" t="e">
        <f>Y74/VLOOKUP(A74,'[27]geoMap (24)'!$A:$B,2,0)*VLOOKUP(A74,'[27]geoMap (24)'!$A:$C,3,0)</f>
        <v>#REF!</v>
      </c>
      <c r="AA74" s="1" t="e">
        <f>Z74/VLOOKUP(A74,'[28]geoMap (25)'!$A:$B,2,0)*VLOOKUP(A74,'[28]geoMap (25)'!$A:$C,3,0)</f>
        <v>#REF!</v>
      </c>
      <c r="AB74" s="1" t="e">
        <f>AA74*VLOOKUP(A74,'[29]geoMap (26)'!$A:$B,2,0)*VLOOKUP(A74,'[29]geoMap (26)'!$A:$C,3,0)</f>
        <v>#REF!</v>
      </c>
      <c r="AC74" s="1" t="e">
        <f>AB74/VLOOKUP(A74,'[30]geoMap (27)'!$A:$B,2,0)*VLOOKUP(A74,'[30]geoMap (27)'!$A:$C,3,0)</f>
        <v>#REF!</v>
      </c>
      <c r="AD74" s="1" t="e">
        <f>AC74/VLOOKUP(A74,'[31]geoMap (28)'!$A:$B,2,0)*VLOOKUP(A74,'[31]geoMap (28)'!$A:$C,3,0)</f>
        <v>#REF!</v>
      </c>
      <c r="AE74" s="1" t="e">
        <f>AD74/VLOOKUP(A74,'[32]geoMap (29)'!$A:$B,2,0)*VLOOKUP(A74,'[32]geoMap (29)'!$A:$C,3,0)</f>
        <v>#REF!</v>
      </c>
      <c r="AF74" s="1" t="e">
        <f>AE74/VLOOKUP(A74,'[33]geoMap (30)'!$A:$B,2,0)*VLOOKUP(A74,'[33]geoMap (30)'!$A:$C,3,0)</f>
        <v>#REF!</v>
      </c>
      <c r="AG74" s="1" t="e">
        <f>AF74/VLOOKUP(A74,'[34]geoMap (31)'!$A:$B,2,0)*VLOOKUP(A74,'[34]geoMap (31)'!$A:$C,3,0)</f>
        <v>#REF!</v>
      </c>
      <c r="AH74" s="1" t="e">
        <f>AG74/VLOOKUP(A74,'[35]geoMap (32)'!$A:$B,2,0)*VLOOKUP(A74,'[35]geoMap (32)'!$A:$C,3,0)</f>
        <v>#REF!</v>
      </c>
      <c r="AI74" s="1" t="e">
        <f>AH74/VLOOKUP(A74,'[36]geoMap (33)'!$A:$B,2,0)*VLOOKUP(A74,'[36]geoMap (33)'!$A:$C,3,0)</f>
        <v>#REF!</v>
      </c>
      <c r="AJ74" s="1" t="e">
        <f>AI74/VLOOKUP(A74,'[37]geoMap (34)'!$A:$B,2,0)*VLOOKUP(A74,'[37]geoMap (34)'!$A:$C,3,0)</f>
        <v>#REF!</v>
      </c>
      <c r="AK74" s="1" t="e">
        <f>AJ74/VLOOKUP(A74,'[38]geoMap (35)'!$A:$B,2,0)*VLOOKUP(A74,'[38]geoMap (35)'!$A:$C,3,0)</f>
        <v>#REF!</v>
      </c>
      <c r="AL74" s="1" t="e">
        <f>AK74/VLOOKUP(A74,'[39]geoMap (36)'!$A:$B,2,0)*VLOOKUP(A74,'[39]geoMap (36)'!$A:$C,3,0)</f>
        <v>#REF!</v>
      </c>
      <c r="AM74" s="1" t="e">
        <f>AL74/VLOOKUP(A74,'[40]geoMap (37)'!$A:$B,2,0)*VLOOKUP(A74,'[40]geoMap (37)'!$A:$C,3,0)</f>
        <v>#REF!</v>
      </c>
      <c r="AN74" s="1" t="e">
        <f>AM74/VLOOKUP(A74,'[41]geoMap (38)'!$A:$B,2,0)*VLOOKUP(A74,'[41]geoMap (38)'!$A:$C,3,0)</f>
        <v>#REF!</v>
      </c>
      <c r="AO74" s="1" t="e">
        <f>AN74/VLOOKUP(A74,'[42]geoMap (39)'!$A:$B,2,0)*VLOOKUP(A74,'[42]geoMap (39)'!$A:$C,3,0)</f>
        <v>#REF!</v>
      </c>
      <c r="AP74" s="1" t="e">
        <f>AO74/VLOOKUP(A74,'[43]geoMap (40)'!$A:$B,2,0)*VLOOKUP(A74,'[43]geoMap (40)'!$A:$C,3,0)</f>
        <v>#REF!</v>
      </c>
      <c r="AQ74" s="1" t="e">
        <f>AP74/VLOOKUP(A74,'[44]geoMap (41)'!$A:$B,2,0)*VLOOKUP(A74,'[44]geoMap (41)'!$A:$C,3,0)</f>
        <v>#REF!</v>
      </c>
      <c r="AR74" s="1" t="e">
        <f>AQ74/VLOOKUP(A74,'[45]geoMap (42)'!$A:$B,2,0)*VLOOKUP(A74,'[45]geoMap (42)'!$A:$C,3,0)</f>
        <v>#REF!</v>
      </c>
      <c r="AS74" s="1" t="e">
        <f>AR74/VLOOKUP(A74,'[46]geoMap (43)'!$A:$B,2,0)*VLOOKUP(A74,'[46]geoMap (43)'!$A:$C,3,0)</f>
        <v>#REF!</v>
      </c>
      <c r="AT74" s="1" t="e">
        <f>AS74/VLOOKUP(A74,'[47]geoMap (44)'!$A:$B,2,0)*VLOOKUP(A74,'[47]geoMap (44)'!$A:$C,3,0)</f>
        <v>#REF!</v>
      </c>
      <c r="AU74" s="1" t="e">
        <f>AT74/VLOOKUP(A74,'[48]geoMap (45)'!$A:$B,2,0)*VLOOKUP(A74,'[48]geoMap (45)'!$A:$C,3,0)</f>
        <v>#REF!</v>
      </c>
      <c r="AV74" s="1" t="e">
        <f>AU74/VLOOKUP(A74,'[49]geoMap (46)'!$A:$B,2,0)*VLOOKUP(A74,'[49]geoMap (46)'!$A:$C,3,0)</f>
        <v>#REF!</v>
      </c>
      <c r="AW74" s="1" t="e">
        <f>AV74/VLOOKUP(A74,'[50]geoMap (47)'!$A:$B,2,0)*VLOOKUP(A74,'[50]geoMap (47)'!$A:$C,3,0)</f>
        <v>#REF!</v>
      </c>
      <c r="AX74" s="1" t="e">
        <f>AW74/VLOOKUP(A74,'[51]geoMap (48)'!$A:$B,2,0)*VLOOKUP(A74,'[51]geoMap (48)'!$A:$C,3,0)</f>
        <v>#REF!</v>
      </c>
      <c r="AY74" s="1" t="e">
        <f>AX74/VLOOKUP(A74,'[52]geoMap (49)'!$A:$B,2,0)*VLOOKUP(A74,'[52]geoMap (49)'!$A:$C,3,0)</f>
        <v>#REF!</v>
      </c>
      <c r="AZ74" s="1" t="e">
        <f>AY74/VLOOKUP(A74,'[53]geoMap (50)'!$A:$B,2,0)*VLOOKUP(A74,'[53]geoMap (50)'!$A:$C,3,0)</f>
        <v>#REF!</v>
      </c>
      <c r="BA74" s="1" t="e">
        <f>AZ74/VLOOKUP(A74,'[54]geoMap (51)'!$A:$B,2,0)*VLOOKUP(A74,'[54]geoMap (51)'!$A:$C,3,0)</f>
        <v>#REF!</v>
      </c>
      <c r="BB74" s="1" t="e">
        <f>BA74/VLOOKUP(A74,'[55]geoMap (52)'!$A:$B,2,0)*VLOOKUP(A74,'[55]geoMap (52)'!$A:$C,3,0)</f>
        <v>#REF!</v>
      </c>
      <c r="BC74" s="1" t="e">
        <f>BB74/VLOOKUP(A74,'[56]geoMap (53)'!$A:$B,2,0)*VLOOKUP(A74,'[56]geoMap (53)'!$A:$C,3,0)</f>
        <v>#REF!</v>
      </c>
      <c r="BD74" s="1" t="e">
        <f>BC74/VLOOKUP(A74,'[57]geoMap (54)'!$A:$B,2,0)*VLOOKUP(A74,'[57]geoMap (54)'!$A:$C,3,0)</f>
        <v>#REF!</v>
      </c>
      <c r="BE74" s="1" t="e">
        <f>BD74/VLOOKUP(A74,'[58]geoMap (55)'!$A:$B,2,0)*VLOOKUP(A74,'[58]geoMap (55)'!$A:$C,3,0)</f>
        <v>#REF!</v>
      </c>
      <c r="BF74" s="1" t="e">
        <f>BE74/VLOOKUP(A74,'[59]geoMap (56)'!$A:$B,2,0)*VLOOKUP(A74,'[59]geoMap (56)'!$A:$C,3,0)</f>
        <v>#REF!</v>
      </c>
      <c r="BG74" s="1" t="e">
        <f>BF74/VLOOKUP(A74,'[60]geoMap (57)'!$A:$B,2,0)*VLOOKUP(A74,'[60]geoMap (57)'!$A:$C,3,0)</f>
        <v>#REF!</v>
      </c>
      <c r="BH74" s="1" t="e">
        <f>BG74/VLOOKUP(A74,'[61]geoMap (58)'!$A:$B,2,0)*VLOOKUP(A74,'[61]geoMap (58)'!$A:$C,3,0)</f>
        <v>#REF!</v>
      </c>
      <c r="BI74" s="1" t="e">
        <f>BH74/VLOOKUP(A74,'[62]geoMap (59)'!$A:$B,2,0)*VLOOKUP(A74,'[62]geoMap (59)'!$A:$C,3,0)</f>
        <v>#REF!</v>
      </c>
      <c r="BJ74" s="1" t="e">
        <f>BI74/VLOOKUP(A74,'[63]geoMap (60)'!$A:$B,2,0)*VLOOKUP(A74,'[63]geoMap (60)'!$A:$C,3,0)</f>
        <v>#REF!</v>
      </c>
      <c r="BK74" s="1" t="e">
        <f>BJ74/VLOOKUP(A74,'[64]geoMap (61)'!$A:$B,2,0)*VLOOKUP(A74,'[64]geoMap (61)'!$A:$C,3,0)</f>
        <v>#REF!</v>
      </c>
      <c r="BL74" s="1" t="e">
        <f>BK74/VLOOKUP(A74,'[65]geoMap (62)'!$A:$B,2,0)*VLOOKUP(A74,'[65]geoMap (62)'!$A:$C,3,0)</f>
        <v>#REF!</v>
      </c>
      <c r="BM74" s="1" t="e">
        <f>BL74/VLOOKUP(A74,'[66]geoMap (63)'!$A:$B,2,0)*VLOOKUP(A74,'[66]geoMap (63)'!$A:$C,3,0)</f>
        <v>#REF!</v>
      </c>
      <c r="BN74" s="1" t="e">
        <f>BM74/VLOOKUP(A74,'[67]geoMap (64)'!$A:$B,2,0)*VLOOKUP(A74,'[67]geoMap (64)'!$A:$C,3,0)</f>
        <v>#REF!</v>
      </c>
      <c r="BO74" s="1" t="e">
        <f>BN74/VLOOKUP(A74,'[68]geoMap (65)'!$A:$B,2,0)*VLOOKUP(A74,'[68]geoMap (65)'!$A:$C,3,0)</f>
        <v>#REF!</v>
      </c>
      <c r="BP74" s="1" t="e">
        <f>BO74/VLOOKUP(A74,'[69]geoMap (66)'!$A:$B,2,0)*VLOOKUP(A74,'[69]geoMap (66)'!$A:$C,3,0)</f>
        <v>#REF!</v>
      </c>
    </row>
    <row r="75" spans="1:68" x14ac:dyDescent="0.2">
      <c r="A75" s="1" t="s">
        <v>10</v>
      </c>
      <c r="B75" s="1">
        <f>VLOOKUP(A75,[3]geoMap!$A:$B,2,0)*Notes!$C$6</f>
        <v>23000</v>
      </c>
      <c r="C75" s="1" t="e">
        <f>B75/VLOOKUP(A75,'[4]geoMap (1)'!$A:$B,2,0)*VLOOKUP(A75,'[4]geoMap (1)'!$A:$C,3,0)</f>
        <v>#DIV/0!</v>
      </c>
      <c r="D75" s="1" t="e">
        <f>B75/VLOOKUP(A75,'[161]geoMap (67)'!$A:$B,2,0)*VLOOKUP(A75,'[161]geoMap (67)'!$A:$C,3,0)</f>
        <v>#REF!</v>
      </c>
      <c r="E75" s="1" t="e">
        <f>B75/VLOOKUP(A75,'[162]geoMap (68)'!$A:$B,2,0)*VLOOKUP(A75,'[162]geoMap (68)'!$A:$C,3,0)</f>
        <v>#REF!</v>
      </c>
      <c r="F75" s="1" t="e">
        <f>B75/VLOOKUP(A75,'[147]geoMap (69)'!$A:$B,2,0)*VLOOKUP(A75,'[147]geoMap (69)'!$A:$C,3,0)</f>
        <v>#REF!</v>
      </c>
      <c r="G75" s="1" t="e">
        <f>B75/VLOOKUP(A75,'[148]geoMap (70)'!$A:$B,2,0)*VLOOKUP(A75,'[148]geoMap (70)'!$A:$C,3,0)</f>
        <v>#DIV/0!</v>
      </c>
      <c r="H75" s="1" t="e">
        <f>B75/VLOOKUP(A75,'[149]geoMap (71)'!$A:$B,2,0)*VLOOKUP(A75,'[149]geoMap (71)'!$A:$C,3,0)</f>
        <v>#REF!</v>
      </c>
      <c r="I75" s="1" t="e">
        <f>B75/VLOOKUP(A75,'[163]geoMap (72)'!$A:$B,2,0)*VLOOKUP(A75,'[163]geoMap (72)'!$A:$C,3,0)</f>
        <v>#REF!</v>
      </c>
      <c r="J75" s="1" t="e">
        <f>I75/VLOOKUP(A75,'[11]geoMap (8)'!$A:$B,2,0)*VLOOKUP(A75,'[11]geoMap (8)'!$A:$C,3,0)</f>
        <v>#REF!</v>
      </c>
      <c r="K75" s="1" t="e">
        <f>J75/VLOOKUP(A75,'[12]geoMap (9)'!$A:$B,2,0)*VLOOKUP(A75,'[12]geoMap (9)'!$A:$C,3,0)</f>
        <v>#REF!</v>
      </c>
      <c r="L75" s="1" t="e">
        <f>B75/VLOOKUP(A75,'[169]geoMap (75)'!$A:$B,2,0)*VLOOKUP(A75,'[169]geoMap (75)'!$A:$C,3,0)</f>
        <v>#DIV/0!</v>
      </c>
      <c r="M75" s="1" t="e">
        <f>L75/VLOOKUP(A75,'[14]geoMap (11)'!$A:$B,2,0)*VLOOKUP(A75,'[14]geoMap (11)'!$A:$C,3,0)</f>
        <v>#DIV/0!</v>
      </c>
      <c r="N75" s="1" t="e">
        <f>M75/VLOOKUP(A75,'[15]geoMap (12)'!$A:$B,2,0)*VLOOKUP(A75,'[15]geoMap (12)'!$A:$C,3,0)</f>
        <v>#DIV/0!</v>
      </c>
      <c r="O75" s="1" t="e">
        <f>N75/VLOOKUP(A75,'[16]geoMap (13)'!$A:$B,2,0)*VLOOKUP(A75,'[16]geoMap (13)'!$A:$C,3,0)</f>
        <v>#DIV/0!</v>
      </c>
      <c r="P75" s="1" t="e">
        <f>O75/VLOOKUP(A75,'[17]geoMap (14)'!$A:$B,2,0)*VLOOKUP(A75,'[17]geoMap (14)'!$A:$C,3,0)</f>
        <v>#DIV/0!</v>
      </c>
      <c r="Q75" s="1" t="e">
        <f>P75/VLOOKUP(A75,'[18]geoMap (15)'!$A:$B,2,0)*VLOOKUP(A75,'[18]geoMap (15)'!$A:$C,3,0)</f>
        <v>#DIV/0!</v>
      </c>
      <c r="R75" s="1" t="e">
        <f>Q75/VLOOKUP(A75,'[19]geoMap (16)'!$A:$B,2,0)*VLOOKUP(A75,'[19]geoMap (16)'!$A:$C,3,0)</f>
        <v>#DIV/0!</v>
      </c>
      <c r="S75" s="1" t="e">
        <f>R75/VLOOKUP(A75,'[20]geoMap (17)'!$A:$B,2,0)*VLOOKUP(A75,'[20]geoMap (17)'!$A:$C,3,0)</f>
        <v>#DIV/0!</v>
      </c>
      <c r="T75" s="1" t="e">
        <f>S75/VLOOKUP(A75,'[21]geoMap (18)'!$A:$B,2,0)*VLOOKUP(A75,'[21]geoMap (18)'!$A:$C,3,0)</f>
        <v>#DIV/0!</v>
      </c>
      <c r="U75" s="1" t="e">
        <f>T75/VLOOKUP(A75,'[22]geoMap (19)'!$A:$B,2,0)*VLOOKUP(A75,'[22]geoMap (19)'!$A:$C,3,0)</f>
        <v>#DIV/0!</v>
      </c>
      <c r="V75" s="1" t="e">
        <f>U75/VLOOKUP(A75,'[23]geoMap (20)'!$A:$B,2,0)*VLOOKUP(A75,'[23]geoMap (20)'!$A:$C,3,0)</f>
        <v>#DIV/0!</v>
      </c>
      <c r="W75" s="1" t="e">
        <f>V75/VLOOKUP(A75,'[24]geoMap (21)'!$A:$B,2,0)*VLOOKUP(A75,'[24]geoMap (21)'!$A:$C,3,0)</f>
        <v>#DIV/0!</v>
      </c>
      <c r="X75" s="1" t="e">
        <f>O75/VLOOKUP(A75,'[141]geoMap (99)'!$A:$B,2,0)*VLOOKUP(A75,'[141]geoMap (99)'!$A:$C,3,0)</f>
        <v>#DIV/0!</v>
      </c>
      <c r="Y75" s="1" t="e">
        <f>X75/VLOOKUP(A75,'[26]geoMap (23)'!$A:$B,2,0)*VLOOKUP(A75,'[26]geoMap (23)'!$A:$C,3,0)</f>
        <v>#DIV/0!</v>
      </c>
      <c r="Z75" s="1" t="e">
        <f>Y75/VLOOKUP(A75,'[27]geoMap (24)'!$A:$B,2,0)*VLOOKUP(A75,'[27]geoMap (24)'!$A:$C,3,0)</f>
        <v>#DIV/0!</v>
      </c>
      <c r="AA75" s="1" t="e">
        <f>Z75/VLOOKUP(A75,'[28]geoMap (25)'!$A:$B,2,0)*VLOOKUP(A75,'[28]geoMap (25)'!$A:$C,3,0)</f>
        <v>#DIV/0!</v>
      </c>
      <c r="AB75" s="1" t="e">
        <f>AA75*VLOOKUP(A75,'[29]geoMap (26)'!$A:$B,2,0)*VLOOKUP(A75,'[29]geoMap (26)'!$A:$C,3,0)</f>
        <v>#DIV/0!</v>
      </c>
      <c r="AC75" s="1" t="e">
        <f>AB75/VLOOKUP(A75,'[30]geoMap (27)'!$A:$B,2,0)*VLOOKUP(A75,'[30]geoMap (27)'!$A:$C,3,0)</f>
        <v>#DIV/0!</v>
      </c>
      <c r="AD75" s="1" t="e">
        <f>AC75/VLOOKUP(A75,'[31]geoMap (28)'!$A:$B,2,0)*VLOOKUP(A75,'[31]geoMap (28)'!$A:$C,3,0)</f>
        <v>#DIV/0!</v>
      </c>
      <c r="AE75" s="1" t="e">
        <f>AD75/VLOOKUP(A75,'[32]geoMap (29)'!$A:$B,2,0)*VLOOKUP(A75,'[32]geoMap (29)'!$A:$C,3,0)</f>
        <v>#DIV/0!</v>
      </c>
      <c r="AF75" s="1" t="e">
        <f>AE75/VLOOKUP(A75,'[33]geoMap (30)'!$A:$B,2,0)*VLOOKUP(A75,'[33]geoMap (30)'!$A:$C,3,0)</f>
        <v>#DIV/0!</v>
      </c>
      <c r="AG75" s="1" t="e">
        <f>AF75/VLOOKUP(A75,'[34]geoMap (31)'!$A:$B,2,0)*VLOOKUP(A75,'[34]geoMap (31)'!$A:$C,3,0)</f>
        <v>#DIV/0!</v>
      </c>
      <c r="AH75" s="1" t="e">
        <f>AG75/VLOOKUP(A75,'[35]geoMap (32)'!$A:$B,2,0)*VLOOKUP(A75,'[35]geoMap (32)'!$A:$C,3,0)</f>
        <v>#DIV/0!</v>
      </c>
      <c r="AI75" s="1" t="e">
        <f>AH75/VLOOKUP(A75,'[36]geoMap (33)'!$A:$B,2,0)*VLOOKUP(A75,'[36]geoMap (33)'!$A:$C,3,0)</f>
        <v>#DIV/0!</v>
      </c>
      <c r="AJ75" s="1" t="e">
        <f>AI75/VLOOKUP(A75,'[37]geoMap (34)'!$A:$B,2,0)*VLOOKUP(A75,'[37]geoMap (34)'!$A:$C,3,0)</f>
        <v>#DIV/0!</v>
      </c>
      <c r="AK75" s="1" t="e">
        <f>AJ75/VLOOKUP(A75,'[38]geoMap (35)'!$A:$B,2,0)*VLOOKUP(A75,'[38]geoMap (35)'!$A:$C,3,0)</f>
        <v>#DIV/0!</v>
      </c>
      <c r="AL75" s="1" t="e">
        <f>AK75/VLOOKUP(A75,'[39]geoMap (36)'!$A:$B,2,0)*VLOOKUP(A75,'[39]geoMap (36)'!$A:$C,3,0)</f>
        <v>#DIV/0!</v>
      </c>
      <c r="AM75" s="1" t="e">
        <f>AL75/VLOOKUP(A75,'[40]geoMap (37)'!$A:$B,2,0)*VLOOKUP(A75,'[40]geoMap (37)'!$A:$C,3,0)</f>
        <v>#DIV/0!</v>
      </c>
      <c r="AN75" s="1" t="e">
        <f>AM75/VLOOKUP(A75,'[41]geoMap (38)'!$A:$B,2,0)*VLOOKUP(A75,'[41]geoMap (38)'!$A:$C,3,0)</f>
        <v>#DIV/0!</v>
      </c>
      <c r="AO75" s="1" t="e">
        <f>AN75/VLOOKUP(A75,'[42]geoMap (39)'!$A:$B,2,0)*VLOOKUP(A75,'[42]geoMap (39)'!$A:$C,3,0)</f>
        <v>#DIV/0!</v>
      </c>
      <c r="AP75" s="1" t="e">
        <f>AO75/VLOOKUP(A75,'[43]geoMap (40)'!$A:$B,2,0)*VLOOKUP(A75,'[43]geoMap (40)'!$A:$C,3,0)</f>
        <v>#DIV/0!</v>
      </c>
      <c r="AQ75" s="1" t="e">
        <f>AP75/VLOOKUP(A75,'[44]geoMap (41)'!$A:$B,2,0)*VLOOKUP(A75,'[44]geoMap (41)'!$A:$C,3,0)</f>
        <v>#DIV/0!</v>
      </c>
      <c r="AR75" s="1" t="e">
        <f>AQ75/VLOOKUP(A75,'[45]geoMap (42)'!$A:$B,2,0)*VLOOKUP(A75,'[45]geoMap (42)'!$A:$C,3,0)</f>
        <v>#DIV/0!</v>
      </c>
      <c r="AS75" s="1" t="e">
        <f>AR75/VLOOKUP(A75,'[46]geoMap (43)'!$A:$B,2,0)*VLOOKUP(A75,'[46]geoMap (43)'!$A:$C,3,0)</f>
        <v>#DIV/0!</v>
      </c>
      <c r="AT75" s="1" t="e">
        <f>AS75/VLOOKUP(A75,'[47]geoMap (44)'!$A:$B,2,0)*VLOOKUP(A75,'[47]geoMap (44)'!$A:$C,3,0)</f>
        <v>#DIV/0!</v>
      </c>
      <c r="AU75" s="1" t="e">
        <f>AT75/VLOOKUP(A75,'[48]geoMap (45)'!$A:$B,2,0)*VLOOKUP(A75,'[48]geoMap (45)'!$A:$C,3,0)</f>
        <v>#DIV/0!</v>
      </c>
      <c r="AV75" s="1" t="e">
        <f>AU75/VLOOKUP(A75,'[49]geoMap (46)'!$A:$B,2,0)*VLOOKUP(A75,'[49]geoMap (46)'!$A:$C,3,0)</f>
        <v>#DIV/0!</v>
      </c>
      <c r="AW75" s="1" t="e">
        <f>AV75/VLOOKUP(A75,'[50]geoMap (47)'!$A:$B,2,0)*VLOOKUP(A75,'[50]geoMap (47)'!$A:$C,3,0)</f>
        <v>#DIV/0!</v>
      </c>
      <c r="AX75" s="1" t="e">
        <f>AW75/VLOOKUP(A75,'[51]geoMap (48)'!$A:$B,2,0)*VLOOKUP(A75,'[51]geoMap (48)'!$A:$C,3,0)</f>
        <v>#DIV/0!</v>
      </c>
      <c r="AY75" s="1" t="e">
        <f>AX75/VLOOKUP(A75,'[52]geoMap (49)'!$A:$B,2,0)*VLOOKUP(A75,'[52]geoMap (49)'!$A:$C,3,0)</f>
        <v>#DIV/0!</v>
      </c>
      <c r="AZ75" s="1" t="e">
        <f>AY75/VLOOKUP(A75,'[53]geoMap (50)'!$A:$B,2,0)*VLOOKUP(A75,'[53]geoMap (50)'!$A:$C,3,0)</f>
        <v>#DIV/0!</v>
      </c>
      <c r="BA75" s="1" t="e">
        <f>AZ75/VLOOKUP(A75,'[54]geoMap (51)'!$A:$B,2,0)*VLOOKUP(A75,'[54]geoMap (51)'!$A:$C,3,0)</f>
        <v>#DIV/0!</v>
      </c>
      <c r="BB75" s="1" t="e">
        <f>BA75/VLOOKUP(A75,'[55]geoMap (52)'!$A:$B,2,0)*VLOOKUP(A75,'[55]geoMap (52)'!$A:$C,3,0)</f>
        <v>#DIV/0!</v>
      </c>
      <c r="BC75" s="1" t="e">
        <f>BB75/VLOOKUP(A75,'[56]geoMap (53)'!$A:$B,2,0)*VLOOKUP(A75,'[56]geoMap (53)'!$A:$C,3,0)</f>
        <v>#DIV/0!</v>
      </c>
      <c r="BD75" s="1" t="e">
        <f>BC75/VLOOKUP(A75,'[57]geoMap (54)'!$A:$B,2,0)*VLOOKUP(A75,'[57]geoMap (54)'!$A:$C,3,0)</f>
        <v>#DIV/0!</v>
      </c>
      <c r="BE75" s="1" t="e">
        <f>BD75/VLOOKUP(A75,'[58]geoMap (55)'!$A:$B,2,0)*VLOOKUP(A75,'[58]geoMap (55)'!$A:$C,3,0)</f>
        <v>#DIV/0!</v>
      </c>
      <c r="BF75" s="1" t="e">
        <f>BE75/VLOOKUP(A75,'[59]geoMap (56)'!$A:$B,2,0)*VLOOKUP(A75,'[59]geoMap (56)'!$A:$C,3,0)</f>
        <v>#DIV/0!</v>
      </c>
      <c r="BG75" s="1" t="e">
        <f>BF75/VLOOKUP(A75,'[60]geoMap (57)'!$A:$B,2,0)*VLOOKUP(A75,'[60]geoMap (57)'!$A:$C,3,0)</f>
        <v>#DIV/0!</v>
      </c>
      <c r="BH75" s="1" t="e">
        <f>BG75/VLOOKUP(A75,'[61]geoMap (58)'!$A:$B,2,0)*VLOOKUP(A75,'[61]geoMap (58)'!$A:$C,3,0)</f>
        <v>#DIV/0!</v>
      </c>
      <c r="BI75" s="1" t="e">
        <f>BH75/VLOOKUP(A75,'[62]geoMap (59)'!$A:$B,2,0)*VLOOKUP(A75,'[62]geoMap (59)'!$A:$C,3,0)</f>
        <v>#DIV/0!</v>
      </c>
      <c r="BJ75" s="1" t="e">
        <f>BI75/VLOOKUP(A75,'[63]geoMap (60)'!$A:$B,2,0)*VLOOKUP(A75,'[63]geoMap (60)'!$A:$C,3,0)</f>
        <v>#DIV/0!</v>
      </c>
      <c r="BK75" s="1" t="e">
        <f>BJ75/VLOOKUP(A75,'[64]geoMap (61)'!$A:$B,2,0)*VLOOKUP(A75,'[64]geoMap (61)'!$A:$C,3,0)</f>
        <v>#DIV/0!</v>
      </c>
      <c r="BL75" s="1" t="e">
        <f>BK75/VLOOKUP(A75,'[65]geoMap (62)'!$A:$B,2,0)*VLOOKUP(A75,'[65]geoMap (62)'!$A:$C,3,0)</f>
        <v>#DIV/0!</v>
      </c>
      <c r="BM75" s="1" t="e">
        <f>BL75/VLOOKUP(A75,'[66]geoMap (63)'!$A:$B,2,0)*VLOOKUP(A75,'[66]geoMap (63)'!$A:$C,3,0)</f>
        <v>#DIV/0!</v>
      </c>
      <c r="BN75" s="1" t="e">
        <f>BM75/VLOOKUP(A75,'[67]geoMap (64)'!$A:$B,2,0)*VLOOKUP(A75,'[67]geoMap (64)'!$A:$C,3,0)</f>
        <v>#DIV/0!</v>
      </c>
      <c r="BO75" s="1" t="e">
        <f>BN75/VLOOKUP(A75,'[68]geoMap (65)'!$A:$B,2,0)*VLOOKUP(A75,'[68]geoMap (65)'!$A:$C,3,0)</f>
        <v>#DIV/0!</v>
      </c>
      <c r="BP75" s="1" t="e">
        <f>BO75/VLOOKUP(A75,'[69]geoMap (66)'!$A:$B,2,0)*VLOOKUP(A75,'[69]geoMap (66)'!$A:$C,3,0)</f>
        <v>#DIV/0!</v>
      </c>
    </row>
    <row r="76" spans="1:68" hidden="1" x14ac:dyDescent="0.2">
      <c r="A76" s="1" t="s">
        <v>5</v>
      </c>
      <c r="B76" s="1" t="e">
        <f>VLOOKUP(A76,[3]geoMap!$A:$B,2,0)*Notes!$C$6</f>
        <v>#REF!</v>
      </c>
      <c r="C76" s="1" t="e">
        <f>B76/VLOOKUP(A76,'[4]geoMap (1)'!$A:$B,2,0)*VLOOKUP(A76,'[4]geoMap (1)'!$A:$C,3,0)</f>
        <v>#REF!</v>
      </c>
      <c r="D76" s="1" t="e">
        <f>C76/VLOOKUP(A76,'[5]geoMap (2)'!$A:$B,2,0)*VLOOKUP(A76,'[5]geoMap (2)'!$A:$C,3,0)</f>
        <v>#REF!</v>
      </c>
      <c r="E76" s="1" t="e">
        <f>D76/VLOOKUP(A76,'[6]geoMap (3)'!$A:$B,2,0)*VLOOKUP(A76,'[6]geoMap (3)'!$A:$C,3,0)</f>
        <v>#REF!</v>
      </c>
      <c r="F76" s="1" t="e">
        <f>E76/VLOOKUP(A76,'[7]geoMap (4)'!$A:$B,2,0)*VLOOKUP(A76,'[7]geoMap (4)'!$A:$C,3,0)</f>
        <v>#REF!</v>
      </c>
      <c r="G76" s="1" t="e">
        <f>F76/VLOOKUP(A76,'[8]geoMap (5)'!$A:$B,2,0)*VLOOKUP(A76,'[8]geoMap (5)'!$A:$C,3,0)</f>
        <v>#REF!</v>
      </c>
      <c r="H76" s="1" t="e">
        <f>G76/VLOOKUP(A76,'[9]geoMap (6)'!$A:$B,2,0)*VLOOKUP(A76,'[9]geoMap (6)'!$A:$C,3,0)</f>
        <v>#REF!</v>
      </c>
      <c r="I76" s="1" t="e">
        <f>H76/VLOOKUP(A76,'[10]geoMap (7)'!$A:$B,2,0)*VLOOKUP(A76,'[10]geoMap (7)'!$A:$C,3,0)</f>
        <v>#REF!</v>
      </c>
      <c r="J76" s="1" t="e">
        <f>I76/VLOOKUP(A76,'[11]geoMap (8)'!$A:$B,2,0)*VLOOKUP(A76,'[11]geoMap (8)'!$A:$C,3,0)</f>
        <v>#REF!</v>
      </c>
      <c r="K76" s="1" t="e">
        <f>J76/VLOOKUP(A76,'[12]geoMap (9)'!$A:$B,2,0)*VLOOKUP(A76,'[12]geoMap (9)'!$A:$C,3,0)</f>
        <v>#REF!</v>
      </c>
      <c r="L76" s="1" t="e">
        <f>K76/VLOOKUP(A76,'[13]geoMap (10)'!$A:$B,2,0)*VLOOKUP(A76,'[13]geoMap (10)'!$A:$C,3,0)</f>
        <v>#REF!</v>
      </c>
      <c r="M76" s="1" t="e">
        <f>L76/VLOOKUP(A76,'[14]geoMap (11)'!$A:$B,2,0)*VLOOKUP(A76,'[14]geoMap (11)'!$A:$C,3,0)</f>
        <v>#REF!</v>
      </c>
      <c r="N76" s="1" t="e">
        <f>M76/VLOOKUP(A76,'[15]geoMap (12)'!$A:$B,2,0)*VLOOKUP(A76,'[15]geoMap (12)'!$A:$C,3,0)</f>
        <v>#REF!</v>
      </c>
      <c r="O76" s="1" t="e">
        <f>N76/VLOOKUP(A76,'[16]geoMap (13)'!$A:$B,2,0)*VLOOKUP(A76,'[16]geoMap (13)'!$A:$C,3,0)</f>
        <v>#REF!</v>
      </c>
      <c r="P76" s="1" t="e">
        <f>O76/VLOOKUP(A76,'[17]geoMap (14)'!$A:$B,2,0)*VLOOKUP(A76,'[17]geoMap (14)'!$A:$C,3,0)</f>
        <v>#REF!</v>
      </c>
      <c r="Q76" s="1" t="e">
        <f>P76/VLOOKUP(A76,'[18]geoMap (15)'!$A:$B,2,0)*VLOOKUP(A76,'[18]geoMap (15)'!$A:$C,3,0)</f>
        <v>#REF!</v>
      </c>
      <c r="R76" s="1" t="e">
        <f>Q76/VLOOKUP(A76,'[19]geoMap (16)'!$A:$B,2,0)*VLOOKUP(A76,'[19]geoMap (16)'!$A:$C,3,0)</f>
        <v>#REF!</v>
      </c>
      <c r="S76" s="1" t="e">
        <f>R76/VLOOKUP(A76,'[20]geoMap (17)'!$A:$B,2,0)*VLOOKUP(A76,'[20]geoMap (17)'!$A:$C,3,0)</f>
        <v>#REF!</v>
      </c>
      <c r="T76" s="1" t="e">
        <f>S76/VLOOKUP(A76,'[21]geoMap (18)'!$A:$B,2,0)*VLOOKUP(A76,'[21]geoMap (18)'!$A:$C,3,0)</f>
        <v>#REF!</v>
      </c>
      <c r="U76" s="1" t="e">
        <f>T76/VLOOKUP(A76,'[22]geoMap (19)'!$A:$B,2,0)*VLOOKUP(A76,'[22]geoMap (19)'!$A:$C,3,0)</f>
        <v>#REF!</v>
      </c>
      <c r="V76" s="1" t="e">
        <f>U76/VLOOKUP(A76,'[23]geoMap (20)'!$A:$B,2,0)*VLOOKUP(A76,'[23]geoMap (20)'!$A:$C,3,0)</f>
        <v>#REF!</v>
      </c>
      <c r="W76" s="1" t="e">
        <f>V76/VLOOKUP(A76,'[24]geoMap (21)'!$A:$B,2,0)*VLOOKUP(A76,'[24]geoMap (21)'!$A:$C,3,0)</f>
        <v>#REF!</v>
      </c>
      <c r="X76" s="1" t="e">
        <f>W76/VLOOKUP(A76,'[25]geoMap (22)'!$A:$B,2,0)*VLOOKUP(A76,'[25]geoMap (22)'!$A:$C,3,0)</f>
        <v>#REF!</v>
      </c>
      <c r="Y76" s="1" t="e">
        <f>X76/VLOOKUP(A76,'[26]geoMap (23)'!$A:$B,2,0)*VLOOKUP(A76,'[26]geoMap (23)'!$A:$C,3,0)</f>
        <v>#REF!</v>
      </c>
      <c r="Z76" s="1" t="e">
        <f>Y76/VLOOKUP(A76,'[27]geoMap (24)'!$A:$B,2,0)*VLOOKUP(A76,'[27]geoMap (24)'!$A:$C,3,0)</f>
        <v>#REF!</v>
      </c>
      <c r="AA76" s="1" t="e">
        <f>Z76/VLOOKUP(A76,'[28]geoMap (25)'!$A:$B,2,0)*VLOOKUP(A76,'[28]geoMap (25)'!$A:$C,3,0)</f>
        <v>#REF!</v>
      </c>
      <c r="AB76" s="1" t="e">
        <f>AA76*VLOOKUP(A76,'[29]geoMap (26)'!$A:$B,2,0)*VLOOKUP(A76,'[29]geoMap (26)'!$A:$C,3,0)</f>
        <v>#REF!</v>
      </c>
      <c r="AC76" s="1" t="e">
        <f>AB76/VLOOKUP(A76,'[30]geoMap (27)'!$A:$B,2,0)*VLOOKUP(A76,'[30]geoMap (27)'!$A:$C,3,0)</f>
        <v>#REF!</v>
      </c>
      <c r="AD76" s="1" t="e">
        <f>AC76/VLOOKUP(A76,'[31]geoMap (28)'!$A:$B,2,0)*VLOOKUP(A76,'[31]geoMap (28)'!$A:$C,3,0)</f>
        <v>#REF!</v>
      </c>
      <c r="AE76" s="1" t="e">
        <f>AD76/VLOOKUP(A76,'[32]geoMap (29)'!$A:$B,2,0)*VLOOKUP(A76,'[32]geoMap (29)'!$A:$C,3,0)</f>
        <v>#REF!</v>
      </c>
      <c r="AF76" s="1" t="e">
        <f>AE76/VLOOKUP(A76,'[33]geoMap (30)'!$A:$B,2,0)*VLOOKUP(A76,'[33]geoMap (30)'!$A:$C,3,0)</f>
        <v>#REF!</v>
      </c>
      <c r="AG76" s="1" t="e">
        <f>AF76/VLOOKUP(A76,'[34]geoMap (31)'!$A:$B,2,0)*VLOOKUP(A76,'[34]geoMap (31)'!$A:$C,3,0)</f>
        <v>#REF!</v>
      </c>
      <c r="AH76" s="1" t="e">
        <f>AG76/VLOOKUP(A76,'[35]geoMap (32)'!$A:$B,2,0)*VLOOKUP(A76,'[35]geoMap (32)'!$A:$C,3,0)</f>
        <v>#REF!</v>
      </c>
      <c r="AI76" s="1" t="e">
        <f>AH76/VLOOKUP(A76,'[36]geoMap (33)'!$A:$B,2,0)*VLOOKUP(A76,'[36]geoMap (33)'!$A:$C,3,0)</f>
        <v>#REF!</v>
      </c>
      <c r="AJ76" s="1" t="e">
        <f>AI76/VLOOKUP(A76,'[37]geoMap (34)'!$A:$B,2,0)*VLOOKUP(A76,'[37]geoMap (34)'!$A:$C,3,0)</f>
        <v>#REF!</v>
      </c>
      <c r="AK76" s="1" t="e">
        <f>AJ76/VLOOKUP(A76,'[38]geoMap (35)'!$A:$B,2,0)*VLOOKUP(A76,'[38]geoMap (35)'!$A:$C,3,0)</f>
        <v>#REF!</v>
      </c>
      <c r="AL76" s="1" t="e">
        <f>AK76/VLOOKUP(A76,'[39]geoMap (36)'!$A:$B,2,0)*VLOOKUP(A76,'[39]geoMap (36)'!$A:$C,3,0)</f>
        <v>#REF!</v>
      </c>
      <c r="AM76" s="1" t="e">
        <f>AL76/VLOOKUP(A76,'[40]geoMap (37)'!$A:$B,2,0)*VLOOKUP(A76,'[40]geoMap (37)'!$A:$C,3,0)</f>
        <v>#REF!</v>
      </c>
      <c r="AN76" s="1" t="e">
        <f>AM76/VLOOKUP(A76,'[41]geoMap (38)'!$A:$B,2,0)*VLOOKUP(A76,'[41]geoMap (38)'!$A:$C,3,0)</f>
        <v>#REF!</v>
      </c>
      <c r="AO76" s="1" t="e">
        <f>AN76/VLOOKUP(A76,'[42]geoMap (39)'!$A:$B,2,0)*VLOOKUP(A76,'[42]geoMap (39)'!$A:$C,3,0)</f>
        <v>#REF!</v>
      </c>
      <c r="AP76" s="1" t="e">
        <f>AO76/VLOOKUP(A76,'[43]geoMap (40)'!$A:$B,2,0)*VLOOKUP(A76,'[43]geoMap (40)'!$A:$C,3,0)</f>
        <v>#REF!</v>
      </c>
      <c r="AQ76" s="1" t="e">
        <f>AP76/VLOOKUP(A76,'[44]geoMap (41)'!$A:$B,2,0)*VLOOKUP(A76,'[44]geoMap (41)'!$A:$C,3,0)</f>
        <v>#REF!</v>
      </c>
      <c r="AR76" s="1" t="e">
        <f>AQ76/VLOOKUP(A76,'[45]geoMap (42)'!$A:$B,2,0)*VLOOKUP(A76,'[45]geoMap (42)'!$A:$C,3,0)</f>
        <v>#REF!</v>
      </c>
      <c r="AS76" s="1" t="e">
        <f>AR76/VLOOKUP(A76,'[46]geoMap (43)'!$A:$B,2,0)*VLOOKUP(A76,'[46]geoMap (43)'!$A:$C,3,0)</f>
        <v>#REF!</v>
      </c>
      <c r="AT76" s="1" t="e">
        <f>AS76/VLOOKUP(A76,'[47]geoMap (44)'!$A:$B,2,0)*VLOOKUP(A76,'[47]geoMap (44)'!$A:$C,3,0)</f>
        <v>#REF!</v>
      </c>
      <c r="AU76" s="1" t="e">
        <f>AT76/VLOOKUP(A76,'[48]geoMap (45)'!$A:$B,2,0)*VLOOKUP(A76,'[48]geoMap (45)'!$A:$C,3,0)</f>
        <v>#REF!</v>
      </c>
      <c r="AV76" s="1" t="e">
        <f>AU76/VLOOKUP(A76,'[49]geoMap (46)'!$A:$B,2,0)*VLOOKUP(A76,'[49]geoMap (46)'!$A:$C,3,0)</f>
        <v>#REF!</v>
      </c>
      <c r="AW76" s="1" t="e">
        <f>AV76/VLOOKUP(A76,'[50]geoMap (47)'!$A:$B,2,0)*VLOOKUP(A76,'[50]geoMap (47)'!$A:$C,3,0)</f>
        <v>#REF!</v>
      </c>
      <c r="AX76" s="1" t="e">
        <f>AW76/VLOOKUP(A76,'[51]geoMap (48)'!$A:$B,2,0)*VLOOKUP(A76,'[51]geoMap (48)'!$A:$C,3,0)</f>
        <v>#REF!</v>
      </c>
      <c r="AY76" s="1" t="e">
        <f>AX76/VLOOKUP(A76,'[52]geoMap (49)'!$A:$B,2,0)*VLOOKUP(A76,'[52]geoMap (49)'!$A:$C,3,0)</f>
        <v>#REF!</v>
      </c>
      <c r="AZ76" s="1" t="e">
        <f>AY76/VLOOKUP(A76,'[53]geoMap (50)'!$A:$B,2,0)*VLOOKUP(A76,'[53]geoMap (50)'!$A:$C,3,0)</f>
        <v>#REF!</v>
      </c>
      <c r="BA76" s="1" t="e">
        <f>AZ76/VLOOKUP(A76,'[54]geoMap (51)'!$A:$B,2,0)*VLOOKUP(A76,'[54]geoMap (51)'!$A:$C,3,0)</f>
        <v>#REF!</v>
      </c>
      <c r="BB76" s="1" t="e">
        <f>BA76/VLOOKUP(A76,'[55]geoMap (52)'!$A:$B,2,0)*VLOOKUP(A76,'[55]geoMap (52)'!$A:$C,3,0)</f>
        <v>#REF!</v>
      </c>
      <c r="BC76" s="1" t="e">
        <f>BB76/VLOOKUP(A76,'[56]geoMap (53)'!$A:$B,2,0)*VLOOKUP(A76,'[56]geoMap (53)'!$A:$C,3,0)</f>
        <v>#REF!</v>
      </c>
      <c r="BD76" s="1" t="e">
        <f>BC76/VLOOKUP(A76,'[57]geoMap (54)'!$A:$B,2,0)*VLOOKUP(A76,'[57]geoMap (54)'!$A:$C,3,0)</f>
        <v>#REF!</v>
      </c>
      <c r="BE76" s="1" t="e">
        <f>BD76/VLOOKUP(A76,'[58]geoMap (55)'!$A:$B,2,0)*VLOOKUP(A76,'[58]geoMap (55)'!$A:$C,3,0)</f>
        <v>#REF!</v>
      </c>
      <c r="BF76" s="1" t="e">
        <f>BE76/VLOOKUP(A76,'[59]geoMap (56)'!$A:$B,2,0)*VLOOKUP(A76,'[59]geoMap (56)'!$A:$C,3,0)</f>
        <v>#REF!</v>
      </c>
      <c r="BG76" s="1" t="e">
        <f>BF76/VLOOKUP(A76,'[60]geoMap (57)'!$A:$B,2,0)*VLOOKUP(A76,'[60]geoMap (57)'!$A:$C,3,0)</f>
        <v>#REF!</v>
      </c>
      <c r="BH76" s="1" t="e">
        <f>BG76/VLOOKUP(A76,'[61]geoMap (58)'!$A:$B,2,0)*VLOOKUP(A76,'[61]geoMap (58)'!$A:$C,3,0)</f>
        <v>#REF!</v>
      </c>
      <c r="BI76" s="1" t="e">
        <f>BH76/VLOOKUP(A76,'[62]geoMap (59)'!$A:$B,2,0)*VLOOKUP(A76,'[62]geoMap (59)'!$A:$C,3,0)</f>
        <v>#REF!</v>
      </c>
      <c r="BJ76" s="1" t="e">
        <f>BI76/VLOOKUP(A76,'[63]geoMap (60)'!$A:$B,2,0)*VLOOKUP(A76,'[63]geoMap (60)'!$A:$C,3,0)</f>
        <v>#REF!</v>
      </c>
      <c r="BK76" s="1" t="e">
        <f>BJ76/VLOOKUP(A76,'[64]geoMap (61)'!$A:$B,2,0)*VLOOKUP(A76,'[64]geoMap (61)'!$A:$C,3,0)</f>
        <v>#REF!</v>
      </c>
      <c r="BL76" s="1" t="e">
        <f>BK76/VLOOKUP(A76,'[65]geoMap (62)'!$A:$B,2,0)*VLOOKUP(A76,'[65]geoMap (62)'!$A:$C,3,0)</f>
        <v>#REF!</v>
      </c>
      <c r="BM76" s="1" t="e">
        <f>BL76/VLOOKUP(A76,'[66]geoMap (63)'!$A:$B,2,0)*VLOOKUP(A76,'[66]geoMap (63)'!$A:$C,3,0)</f>
        <v>#REF!</v>
      </c>
      <c r="BN76" s="1" t="e">
        <f>BM76/VLOOKUP(A76,'[67]geoMap (64)'!$A:$B,2,0)*VLOOKUP(A76,'[67]geoMap (64)'!$A:$C,3,0)</f>
        <v>#REF!</v>
      </c>
      <c r="BO76" s="1" t="e">
        <f>BN76/VLOOKUP(A76,'[68]geoMap (65)'!$A:$B,2,0)*VLOOKUP(A76,'[68]geoMap (65)'!$A:$C,3,0)</f>
        <v>#REF!</v>
      </c>
      <c r="BP76" s="1" t="e">
        <f>BO76/VLOOKUP(A76,'[69]geoMap (66)'!$A:$B,2,0)*VLOOKUP(A76,'[69]geoMap (66)'!$A:$C,3,0)</f>
        <v>#REF!</v>
      </c>
    </row>
    <row r="77" spans="1:68" hidden="1" x14ac:dyDescent="0.2">
      <c r="A77" s="1" t="s">
        <v>6</v>
      </c>
      <c r="B77" s="1" t="e">
        <f>VLOOKUP(A77,[3]geoMap!$A:$B,2,0)*Notes!$C$6</f>
        <v>#REF!</v>
      </c>
      <c r="C77" s="1" t="e">
        <f>B77/VLOOKUP(A77,'[4]geoMap (1)'!$A:$B,2,0)*VLOOKUP(A77,'[4]geoMap (1)'!$A:$C,3,0)</f>
        <v>#REF!</v>
      </c>
      <c r="D77" s="1" t="e">
        <f>C77/VLOOKUP(A77,'[5]geoMap (2)'!$A:$B,2,0)*VLOOKUP(A77,'[5]geoMap (2)'!$A:$C,3,0)</f>
        <v>#REF!</v>
      </c>
      <c r="E77" s="1" t="e">
        <f>D77/VLOOKUP(A77,'[6]geoMap (3)'!$A:$B,2,0)*VLOOKUP(A77,'[6]geoMap (3)'!$A:$C,3,0)</f>
        <v>#REF!</v>
      </c>
      <c r="F77" s="1" t="e">
        <f>E77/VLOOKUP(A77,'[7]geoMap (4)'!$A:$B,2,0)*VLOOKUP(A77,'[7]geoMap (4)'!$A:$C,3,0)</f>
        <v>#REF!</v>
      </c>
      <c r="G77" s="1" t="e">
        <f>F77/VLOOKUP(A77,'[8]geoMap (5)'!$A:$B,2,0)*VLOOKUP(A77,'[8]geoMap (5)'!$A:$C,3,0)</f>
        <v>#REF!</v>
      </c>
      <c r="H77" s="1" t="e">
        <f>G77/VLOOKUP(A77,'[9]geoMap (6)'!$A:$B,2,0)*VLOOKUP(A77,'[9]geoMap (6)'!$A:$C,3,0)</f>
        <v>#REF!</v>
      </c>
      <c r="I77" s="1" t="e">
        <f>H77/VLOOKUP(A77,'[10]geoMap (7)'!$A:$B,2,0)*VLOOKUP(A77,'[10]geoMap (7)'!$A:$C,3,0)</f>
        <v>#REF!</v>
      </c>
      <c r="J77" s="1" t="e">
        <f>I77/VLOOKUP(A77,'[11]geoMap (8)'!$A:$B,2,0)*VLOOKUP(A77,'[11]geoMap (8)'!$A:$C,3,0)</f>
        <v>#REF!</v>
      </c>
      <c r="K77" s="1" t="e">
        <f>J77/VLOOKUP(A77,'[12]geoMap (9)'!$A:$B,2,0)*VLOOKUP(A77,'[12]geoMap (9)'!$A:$C,3,0)</f>
        <v>#REF!</v>
      </c>
      <c r="L77" s="1" t="e">
        <f>K77/VLOOKUP(A77,'[13]geoMap (10)'!$A:$B,2,0)*VLOOKUP(A77,'[13]geoMap (10)'!$A:$C,3,0)</f>
        <v>#REF!</v>
      </c>
      <c r="M77" s="1" t="e">
        <f>L77/VLOOKUP(A77,'[14]geoMap (11)'!$A:$B,2,0)*VLOOKUP(A77,'[14]geoMap (11)'!$A:$C,3,0)</f>
        <v>#REF!</v>
      </c>
      <c r="N77" s="1" t="e">
        <f>M77/VLOOKUP(A77,'[15]geoMap (12)'!$A:$B,2,0)*VLOOKUP(A77,'[15]geoMap (12)'!$A:$C,3,0)</f>
        <v>#REF!</v>
      </c>
      <c r="O77" s="1" t="e">
        <f>N77/VLOOKUP(A77,'[16]geoMap (13)'!$A:$B,2,0)*VLOOKUP(A77,'[16]geoMap (13)'!$A:$C,3,0)</f>
        <v>#REF!</v>
      </c>
      <c r="P77" s="1" t="e">
        <f>O77/VLOOKUP(A77,'[17]geoMap (14)'!$A:$B,2,0)*VLOOKUP(A77,'[17]geoMap (14)'!$A:$C,3,0)</f>
        <v>#REF!</v>
      </c>
      <c r="Q77" s="1" t="e">
        <f>P77/VLOOKUP(A77,'[18]geoMap (15)'!$A:$B,2,0)*VLOOKUP(A77,'[18]geoMap (15)'!$A:$C,3,0)</f>
        <v>#REF!</v>
      </c>
      <c r="R77" s="1" t="e">
        <f>Q77/VLOOKUP(A77,'[19]geoMap (16)'!$A:$B,2,0)*VLOOKUP(A77,'[19]geoMap (16)'!$A:$C,3,0)</f>
        <v>#REF!</v>
      </c>
      <c r="S77" s="1" t="e">
        <f>R77/VLOOKUP(A77,'[20]geoMap (17)'!$A:$B,2,0)*VLOOKUP(A77,'[20]geoMap (17)'!$A:$C,3,0)</f>
        <v>#REF!</v>
      </c>
      <c r="T77" s="1" t="e">
        <f>S77/VLOOKUP(A77,'[21]geoMap (18)'!$A:$B,2,0)*VLOOKUP(A77,'[21]geoMap (18)'!$A:$C,3,0)</f>
        <v>#REF!</v>
      </c>
      <c r="U77" s="1" t="e">
        <f>T77/VLOOKUP(A77,'[22]geoMap (19)'!$A:$B,2,0)*VLOOKUP(A77,'[22]geoMap (19)'!$A:$C,3,0)</f>
        <v>#REF!</v>
      </c>
      <c r="V77" s="1" t="e">
        <f>U77/VLOOKUP(A77,'[23]geoMap (20)'!$A:$B,2,0)*VLOOKUP(A77,'[23]geoMap (20)'!$A:$C,3,0)</f>
        <v>#REF!</v>
      </c>
      <c r="W77" s="1" t="e">
        <f>V77/VLOOKUP(A77,'[24]geoMap (21)'!$A:$B,2,0)*VLOOKUP(A77,'[24]geoMap (21)'!$A:$C,3,0)</f>
        <v>#REF!</v>
      </c>
      <c r="X77" s="1" t="e">
        <f>W77/VLOOKUP(A77,'[25]geoMap (22)'!$A:$B,2,0)*VLOOKUP(A77,'[25]geoMap (22)'!$A:$C,3,0)</f>
        <v>#REF!</v>
      </c>
      <c r="Y77" s="1" t="e">
        <f>X77/VLOOKUP(A77,'[26]geoMap (23)'!$A:$B,2,0)*VLOOKUP(A77,'[26]geoMap (23)'!$A:$C,3,0)</f>
        <v>#REF!</v>
      </c>
      <c r="Z77" s="1" t="e">
        <f>Y77/VLOOKUP(A77,'[27]geoMap (24)'!$A:$B,2,0)*VLOOKUP(A77,'[27]geoMap (24)'!$A:$C,3,0)</f>
        <v>#REF!</v>
      </c>
      <c r="AA77" s="1" t="e">
        <f>Z77/VLOOKUP(A77,'[28]geoMap (25)'!$A:$B,2,0)*VLOOKUP(A77,'[28]geoMap (25)'!$A:$C,3,0)</f>
        <v>#REF!</v>
      </c>
      <c r="AB77" s="1" t="e">
        <f>AA77*VLOOKUP(A77,'[29]geoMap (26)'!$A:$B,2,0)*VLOOKUP(A77,'[29]geoMap (26)'!$A:$C,3,0)</f>
        <v>#REF!</v>
      </c>
      <c r="AC77" s="1" t="e">
        <f>AB77/VLOOKUP(A77,'[30]geoMap (27)'!$A:$B,2,0)*VLOOKUP(A77,'[30]geoMap (27)'!$A:$C,3,0)</f>
        <v>#REF!</v>
      </c>
      <c r="AD77" s="1" t="e">
        <f>AC77/VLOOKUP(A77,'[31]geoMap (28)'!$A:$B,2,0)*VLOOKUP(A77,'[31]geoMap (28)'!$A:$C,3,0)</f>
        <v>#REF!</v>
      </c>
      <c r="AE77" s="1" t="e">
        <f>AD77/VLOOKUP(A77,'[32]geoMap (29)'!$A:$B,2,0)*VLOOKUP(A77,'[32]geoMap (29)'!$A:$C,3,0)</f>
        <v>#REF!</v>
      </c>
      <c r="AF77" s="1" t="e">
        <f>AE77/VLOOKUP(A77,'[33]geoMap (30)'!$A:$B,2,0)*VLOOKUP(A77,'[33]geoMap (30)'!$A:$C,3,0)</f>
        <v>#REF!</v>
      </c>
      <c r="AG77" s="1" t="e">
        <f>AF77/VLOOKUP(A77,'[34]geoMap (31)'!$A:$B,2,0)*VLOOKUP(A77,'[34]geoMap (31)'!$A:$C,3,0)</f>
        <v>#REF!</v>
      </c>
      <c r="AH77" s="1" t="e">
        <f>AG77/VLOOKUP(A77,'[35]geoMap (32)'!$A:$B,2,0)*VLOOKUP(A77,'[35]geoMap (32)'!$A:$C,3,0)</f>
        <v>#REF!</v>
      </c>
      <c r="AI77" s="1" t="e">
        <f>AH77/VLOOKUP(A77,'[36]geoMap (33)'!$A:$B,2,0)*VLOOKUP(A77,'[36]geoMap (33)'!$A:$C,3,0)</f>
        <v>#REF!</v>
      </c>
      <c r="AJ77" s="1" t="e">
        <f>AI77/VLOOKUP(A77,'[37]geoMap (34)'!$A:$B,2,0)*VLOOKUP(A77,'[37]geoMap (34)'!$A:$C,3,0)</f>
        <v>#REF!</v>
      </c>
      <c r="AK77" s="1" t="e">
        <f>AJ77/VLOOKUP(A77,'[38]geoMap (35)'!$A:$B,2,0)*VLOOKUP(A77,'[38]geoMap (35)'!$A:$C,3,0)</f>
        <v>#REF!</v>
      </c>
      <c r="AL77" s="1" t="e">
        <f>AK77/VLOOKUP(A77,'[39]geoMap (36)'!$A:$B,2,0)*VLOOKUP(A77,'[39]geoMap (36)'!$A:$C,3,0)</f>
        <v>#REF!</v>
      </c>
      <c r="AM77" s="1" t="e">
        <f>AL77/VLOOKUP(A77,'[40]geoMap (37)'!$A:$B,2,0)*VLOOKUP(A77,'[40]geoMap (37)'!$A:$C,3,0)</f>
        <v>#REF!</v>
      </c>
      <c r="AN77" s="1" t="e">
        <f>AM77/VLOOKUP(A77,'[41]geoMap (38)'!$A:$B,2,0)*VLOOKUP(A77,'[41]geoMap (38)'!$A:$C,3,0)</f>
        <v>#REF!</v>
      </c>
      <c r="AO77" s="1" t="e">
        <f>AN77/VLOOKUP(A77,'[42]geoMap (39)'!$A:$B,2,0)*VLOOKUP(A77,'[42]geoMap (39)'!$A:$C,3,0)</f>
        <v>#REF!</v>
      </c>
      <c r="AP77" s="1" t="e">
        <f>AO77/VLOOKUP(A77,'[43]geoMap (40)'!$A:$B,2,0)*VLOOKUP(A77,'[43]geoMap (40)'!$A:$C,3,0)</f>
        <v>#REF!</v>
      </c>
      <c r="AQ77" s="1" t="e">
        <f>AP77/VLOOKUP(A77,'[44]geoMap (41)'!$A:$B,2,0)*VLOOKUP(A77,'[44]geoMap (41)'!$A:$C,3,0)</f>
        <v>#REF!</v>
      </c>
      <c r="AR77" s="1" t="e">
        <f>AQ77/VLOOKUP(A77,'[45]geoMap (42)'!$A:$B,2,0)*VLOOKUP(A77,'[45]geoMap (42)'!$A:$C,3,0)</f>
        <v>#REF!</v>
      </c>
      <c r="AS77" s="1" t="e">
        <f>AR77/VLOOKUP(A77,'[46]geoMap (43)'!$A:$B,2,0)*VLOOKUP(A77,'[46]geoMap (43)'!$A:$C,3,0)</f>
        <v>#REF!</v>
      </c>
      <c r="AT77" s="1" t="e">
        <f>AS77/VLOOKUP(A77,'[47]geoMap (44)'!$A:$B,2,0)*VLOOKUP(A77,'[47]geoMap (44)'!$A:$C,3,0)</f>
        <v>#REF!</v>
      </c>
      <c r="AU77" s="1" t="e">
        <f>AT77/VLOOKUP(A77,'[48]geoMap (45)'!$A:$B,2,0)*VLOOKUP(A77,'[48]geoMap (45)'!$A:$C,3,0)</f>
        <v>#REF!</v>
      </c>
      <c r="AV77" s="1" t="e">
        <f>AU77/VLOOKUP(A77,'[49]geoMap (46)'!$A:$B,2,0)*VLOOKUP(A77,'[49]geoMap (46)'!$A:$C,3,0)</f>
        <v>#REF!</v>
      </c>
      <c r="AW77" s="1" t="e">
        <f>AV77/VLOOKUP(A77,'[50]geoMap (47)'!$A:$B,2,0)*VLOOKUP(A77,'[50]geoMap (47)'!$A:$C,3,0)</f>
        <v>#REF!</v>
      </c>
      <c r="AX77" s="1" t="e">
        <f>AW77/VLOOKUP(A77,'[51]geoMap (48)'!$A:$B,2,0)*VLOOKUP(A77,'[51]geoMap (48)'!$A:$C,3,0)</f>
        <v>#REF!</v>
      </c>
      <c r="AY77" s="1" t="e">
        <f>AX77/VLOOKUP(A77,'[52]geoMap (49)'!$A:$B,2,0)*VLOOKUP(A77,'[52]geoMap (49)'!$A:$C,3,0)</f>
        <v>#REF!</v>
      </c>
      <c r="AZ77" s="1" t="e">
        <f>AY77/VLOOKUP(A77,'[53]geoMap (50)'!$A:$B,2,0)*VLOOKUP(A77,'[53]geoMap (50)'!$A:$C,3,0)</f>
        <v>#REF!</v>
      </c>
      <c r="BA77" s="1" t="e">
        <f>AZ77/VLOOKUP(A77,'[54]geoMap (51)'!$A:$B,2,0)*VLOOKUP(A77,'[54]geoMap (51)'!$A:$C,3,0)</f>
        <v>#REF!</v>
      </c>
      <c r="BB77" s="1" t="e">
        <f>BA77/VLOOKUP(A77,'[55]geoMap (52)'!$A:$B,2,0)*VLOOKUP(A77,'[55]geoMap (52)'!$A:$C,3,0)</f>
        <v>#REF!</v>
      </c>
      <c r="BC77" s="1" t="e">
        <f>BB77/VLOOKUP(A77,'[56]geoMap (53)'!$A:$B,2,0)*VLOOKUP(A77,'[56]geoMap (53)'!$A:$C,3,0)</f>
        <v>#REF!</v>
      </c>
      <c r="BD77" s="1" t="e">
        <f>BC77/VLOOKUP(A77,'[57]geoMap (54)'!$A:$B,2,0)*VLOOKUP(A77,'[57]geoMap (54)'!$A:$C,3,0)</f>
        <v>#REF!</v>
      </c>
      <c r="BE77" s="1" t="e">
        <f>BD77/VLOOKUP(A77,'[58]geoMap (55)'!$A:$B,2,0)*VLOOKUP(A77,'[58]geoMap (55)'!$A:$C,3,0)</f>
        <v>#REF!</v>
      </c>
      <c r="BF77" s="1" t="e">
        <f>BE77/VLOOKUP(A77,'[59]geoMap (56)'!$A:$B,2,0)*VLOOKUP(A77,'[59]geoMap (56)'!$A:$C,3,0)</f>
        <v>#REF!</v>
      </c>
      <c r="BG77" s="1" t="e">
        <f>BF77/VLOOKUP(A77,'[60]geoMap (57)'!$A:$B,2,0)*VLOOKUP(A77,'[60]geoMap (57)'!$A:$C,3,0)</f>
        <v>#REF!</v>
      </c>
      <c r="BH77" s="1" t="e">
        <f>BG77/VLOOKUP(A77,'[61]geoMap (58)'!$A:$B,2,0)*VLOOKUP(A77,'[61]geoMap (58)'!$A:$C,3,0)</f>
        <v>#REF!</v>
      </c>
      <c r="BI77" s="1" t="e">
        <f>BH77/VLOOKUP(A77,'[62]geoMap (59)'!$A:$B,2,0)*VLOOKUP(A77,'[62]geoMap (59)'!$A:$C,3,0)</f>
        <v>#REF!</v>
      </c>
      <c r="BJ77" s="1" t="e">
        <f>BI77/VLOOKUP(A77,'[63]geoMap (60)'!$A:$B,2,0)*VLOOKUP(A77,'[63]geoMap (60)'!$A:$C,3,0)</f>
        <v>#REF!</v>
      </c>
      <c r="BK77" s="1" t="e">
        <f>BJ77/VLOOKUP(A77,'[64]geoMap (61)'!$A:$B,2,0)*VLOOKUP(A77,'[64]geoMap (61)'!$A:$C,3,0)</f>
        <v>#REF!</v>
      </c>
      <c r="BL77" s="1" t="e">
        <f>BK77/VLOOKUP(A77,'[65]geoMap (62)'!$A:$B,2,0)*VLOOKUP(A77,'[65]geoMap (62)'!$A:$C,3,0)</f>
        <v>#REF!</v>
      </c>
      <c r="BM77" s="1" t="e">
        <f>BL77/VLOOKUP(A77,'[66]geoMap (63)'!$A:$B,2,0)*VLOOKUP(A77,'[66]geoMap (63)'!$A:$C,3,0)</f>
        <v>#REF!</v>
      </c>
      <c r="BN77" s="1" t="e">
        <f>BM77/VLOOKUP(A77,'[67]geoMap (64)'!$A:$B,2,0)*VLOOKUP(A77,'[67]geoMap (64)'!$A:$C,3,0)</f>
        <v>#REF!</v>
      </c>
      <c r="BO77" s="1" t="e">
        <f>BN77/VLOOKUP(A77,'[68]geoMap (65)'!$A:$B,2,0)*VLOOKUP(A77,'[68]geoMap (65)'!$A:$C,3,0)</f>
        <v>#REF!</v>
      </c>
      <c r="BP77" s="1" t="e">
        <f>BO77/VLOOKUP(A77,'[69]geoMap (66)'!$A:$B,2,0)*VLOOKUP(A77,'[69]geoMap (66)'!$A:$C,3,0)</f>
        <v>#REF!</v>
      </c>
    </row>
    <row r="78" spans="1:68" hidden="1" x14ac:dyDescent="0.2">
      <c r="A78" s="1" t="s">
        <v>12</v>
      </c>
      <c r="B78" s="1" t="e">
        <f>VLOOKUP(A78,[3]geoMap!$A:$B,2,0)*Notes!$C$6</f>
        <v>#REF!</v>
      </c>
      <c r="C78" s="1" t="e">
        <f>B78/VLOOKUP(A78,'[4]geoMap (1)'!$A:$B,2,0)*VLOOKUP(A78,'[4]geoMap (1)'!$A:$C,3,0)</f>
        <v>#REF!</v>
      </c>
      <c r="D78" s="1" t="e">
        <f>C78/VLOOKUP(A78,'[5]geoMap (2)'!$A:$B,2,0)*VLOOKUP(A78,'[5]geoMap (2)'!$A:$C,3,0)</f>
        <v>#REF!</v>
      </c>
      <c r="E78" s="1" t="e">
        <f>D78/VLOOKUP(A78,'[6]geoMap (3)'!$A:$B,2,0)*VLOOKUP(A78,'[6]geoMap (3)'!$A:$C,3,0)</f>
        <v>#REF!</v>
      </c>
      <c r="F78" s="1" t="e">
        <f>E78/VLOOKUP(A78,'[7]geoMap (4)'!$A:$B,2,0)*VLOOKUP(A78,'[7]geoMap (4)'!$A:$C,3,0)</f>
        <v>#REF!</v>
      </c>
      <c r="G78" s="1" t="e">
        <f>F78/VLOOKUP(A78,'[8]geoMap (5)'!$A:$B,2,0)*VLOOKUP(A78,'[8]geoMap (5)'!$A:$C,3,0)</f>
        <v>#REF!</v>
      </c>
      <c r="H78" s="1" t="e">
        <f>G78/VLOOKUP(A78,'[9]geoMap (6)'!$A:$B,2,0)*VLOOKUP(A78,'[9]geoMap (6)'!$A:$C,3,0)</f>
        <v>#REF!</v>
      </c>
      <c r="I78" s="1" t="e">
        <f>H78/VLOOKUP(A78,'[10]geoMap (7)'!$A:$B,2,0)*VLOOKUP(A78,'[10]geoMap (7)'!$A:$C,3,0)</f>
        <v>#REF!</v>
      </c>
      <c r="J78" s="1" t="e">
        <f>I78/VLOOKUP(A78,'[11]geoMap (8)'!$A:$B,2,0)*VLOOKUP(A78,'[11]geoMap (8)'!$A:$C,3,0)</f>
        <v>#REF!</v>
      </c>
      <c r="K78" s="1" t="e">
        <f>J78/VLOOKUP(A78,'[12]geoMap (9)'!$A:$B,2,0)*VLOOKUP(A78,'[12]geoMap (9)'!$A:$C,3,0)</f>
        <v>#REF!</v>
      </c>
      <c r="L78" s="1" t="e">
        <f>K78/VLOOKUP(A78,'[13]geoMap (10)'!$A:$B,2,0)*VLOOKUP(A78,'[13]geoMap (10)'!$A:$C,3,0)</f>
        <v>#REF!</v>
      </c>
      <c r="M78" s="1" t="e">
        <f>L78/VLOOKUP(A78,'[14]geoMap (11)'!$A:$B,2,0)*VLOOKUP(A78,'[14]geoMap (11)'!$A:$C,3,0)</f>
        <v>#REF!</v>
      </c>
      <c r="N78" s="1" t="e">
        <f>M78/VLOOKUP(A78,'[15]geoMap (12)'!$A:$B,2,0)*VLOOKUP(A78,'[15]geoMap (12)'!$A:$C,3,0)</f>
        <v>#REF!</v>
      </c>
      <c r="O78" s="1" t="e">
        <f>N78/VLOOKUP(A78,'[16]geoMap (13)'!$A:$B,2,0)*VLOOKUP(A78,'[16]geoMap (13)'!$A:$C,3,0)</f>
        <v>#REF!</v>
      </c>
      <c r="P78" s="1" t="e">
        <f>O78/VLOOKUP(A78,'[17]geoMap (14)'!$A:$B,2,0)*VLOOKUP(A78,'[17]geoMap (14)'!$A:$C,3,0)</f>
        <v>#REF!</v>
      </c>
      <c r="Q78" s="1" t="e">
        <f>P78/VLOOKUP(A78,'[18]geoMap (15)'!$A:$B,2,0)*VLOOKUP(A78,'[18]geoMap (15)'!$A:$C,3,0)</f>
        <v>#REF!</v>
      </c>
      <c r="R78" s="1" t="e">
        <f>Q78/VLOOKUP(A78,'[19]geoMap (16)'!$A:$B,2,0)*VLOOKUP(A78,'[19]geoMap (16)'!$A:$C,3,0)</f>
        <v>#REF!</v>
      </c>
      <c r="S78" s="1" t="e">
        <f>R78/VLOOKUP(A78,'[20]geoMap (17)'!$A:$B,2,0)*VLOOKUP(A78,'[20]geoMap (17)'!$A:$C,3,0)</f>
        <v>#REF!</v>
      </c>
      <c r="T78" s="1" t="e">
        <f>S78/VLOOKUP(A78,'[21]geoMap (18)'!$A:$B,2,0)*VLOOKUP(A78,'[21]geoMap (18)'!$A:$C,3,0)</f>
        <v>#REF!</v>
      </c>
      <c r="U78" s="1" t="e">
        <f>T78/VLOOKUP(A78,'[22]geoMap (19)'!$A:$B,2,0)*VLOOKUP(A78,'[22]geoMap (19)'!$A:$C,3,0)</f>
        <v>#REF!</v>
      </c>
      <c r="V78" s="1" t="e">
        <f>U78/VLOOKUP(A78,'[23]geoMap (20)'!$A:$B,2,0)*VLOOKUP(A78,'[23]geoMap (20)'!$A:$C,3,0)</f>
        <v>#REF!</v>
      </c>
      <c r="W78" s="1" t="e">
        <f>V78/VLOOKUP(A78,'[24]geoMap (21)'!$A:$B,2,0)*VLOOKUP(A78,'[24]geoMap (21)'!$A:$C,3,0)</f>
        <v>#REF!</v>
      </c>
      <c r="X78" s="1" t="e">
        <f>W78/VLOOKUP(A78,'[25]geoMap (22)'!$A:$B,2,0)*VLOOKUP(A78,'[25]geoMap (22)'!$A:$C,3,0)</f>
        <v>#REF!</v>
      </c>
      <c r="Y78" s="1" t="e">
        <f>X78/VLOOKUP(A78,'[26]geoMap (23)'!$A:$B,2,0)*VLOOKUP(A78,'[26]geoMap (23)'!$A:$C,3,0)</f>
        <v>#REF!</v>
      </c>
      <c r="Z78" s="1" t="e">
        <f>Y78/VLOOKUP(A78,'[27]geoMap (24)'!$A:$B,2,0)*VLOOKUP(A78,'[27]geoMap (24)'!$A:$C,3,0)</f>
        <v>#REF!</v>
      </c>
      <c r="AA78" s="1" t="e">
        <f>Z78/VLOOKUP(A78,'[28]geoMap (25)'!$A:$B,2,0)*VLOOKUP(A78,'[28]geoMap (25)'!$A:$C,3,0)</f>
        <v>#REF!</v>
      </c>
      <c r="AB78" s="1" t="e">
        <f>AA78*VLOOKUP(A78,'[29]geoMap (26)'!$A:$B,2,0)*VLOOKUP(A78,'[29]geoMap (26)'!$A:$C,3,0)</f>
        <v>#REF!</v>
      </c>
      <c r="AC78" s="1" t="e">
        <f>AB78/VLOOKUP(A78,'[30]geoMap (27)'!$A:$B,2,0)*VLOOKUP(A78,'[30]geoMap (27)'!$A:$C,3,0)</f>
        <v>#REF!</v>
      </c>
      <c r="AD78" s="1" t="e">
        <f>AC78/VLOOKUP(A78,'[31]geoMap (28)'!$A:$B,2,0)*VLOOKUP(A78,'[31]geoMap (28)'!$A:$C,3,0)</f>
        <v>#REF!</v>
      </c>
      <c r="AE78" s="1" t="e">
        <f>AD78/VLOOKUP(A78,'[32]geoMap (29)'!$A:$B,2,0)*VLOOKUP(A78,'[32]geoMap (29)'!$A:$C,3,0)</f>
        <v>#REF!</v>
      </c>
      <c r="AF78" s="1" t="e">
        <f>AE78/VLOOKUP(A78,'[33]geoMap (30)'!$A:$B,2,0)*VLOOKUP(A78,'[33]geoMap (30)'!$A:$C,3,0)</f>
        <v>#REF!</v>
      </c>
      <c r="AG78" s="1" t="e">
        <f>AF78/VLOOKUP(A78,'[34]geoMap (31)'!$A:$B,2,0)*VLOOKUP(A78,'[34]geoMap (31)'!$A:$C,3,0)</f>
        <v>#REF!</v>
      </c>
      <c r="AH78" s="1" t="e">
        <f>AG78/VLOOKUP(A78,'[35]geoMap (32)'!$A:$B,2,0)*VLOOKUP(A78,'[35]geoMap (32)'!$A:$C,3,0)</f>
        <v>#REF!</v>
      </c>
      <c r="AI78" s="1" t="e">
        <f>AH78/VLOOKUP(A78,'[36]geoMap (33)'!$A:$B,2,0)*VLOOKUP(A78,'[36]geoMap (33)'!$A:$C,3,0)</f>
        <v>#REF!</v>
      </c>
      <c r="AJ78" s="1" t="e">
        <f>AI78/VLOOKUP(A78,'[37]geoMap (34)'!$A:$B,2,0)*VLOOKUP(A78,'[37]geoMap (34)'!$A:$C,3,0)</f>
        <v>#REF!</v>
      </c>
      <c r="AK78" s="1" t="e">
        <f>AJ78/VLOOKUP(A78,'[38]geoMap (35)'!$A:$B,2,0)*VLOOKUP(A78,'[38]geoMap (35)'!$A:$C,3,0)</f>
        <v>#REF!</v>
      </c>
      <c r="AL78" s="1" t="e">
        <f>AK78/VLOOKUP(A78,'[39]geoMap (36)'!$A:$B,2,0)*VLOOKUP(A78,'[39]geoMap (36)'!$A:$C,3,0)</f>
        <v>#REF!</v>
      </c>
      <c r="AM78" s="1" t="e">
        <f>AL78/VLOOKUP(A78,'[40]geoMap (37)'!$A:$B,2,0)*VLOOKUP(A78,'[40]geoMap (37)'!$A:$C,3,0)</f>
        <v>#REF!</v>
      </c>
      <c r="AN78" s="1" t="e">
        <f>AM78/VLOOKUP(A78,'[41]geoMap (38)'!$A:$B,2,0)*VLOOKUP(A78,'[41]geoMap (38)'!$A:$C,3,0)</f>
        <v>#REF!</v>
      </c>
      <c r="AO78" s="1" t="e">
        <f>AN78/VLOOKUP(A78,'[42]geoMap (39)'!$A:$B,2,0)*VLOOKUP(A78,'[42]geoMap (39)'!$A:$C,3,0)</f>
        <v>#REF!</v>
      </c>
      <c r="AP78" s="1" t="e">
        <f>AO78/VLOOKUP(A78,'[43]geoMap (40)'!$A:$B,2,0)*VLOOKUP(A78,'[43]geoMap (40)'!$A:$C,3,0)</f>
        <v>#REF!</v>
      </c>
      <c r="AQ78" s="1" t="e">
        <f>AP78/VLOOKUP(A78,'[44]geoMap (41)'!$A:$B,2,0)*VLOOKUP(A78,'[44]geoMap (41)'!$A:$C,3,0)</f>
        <v>#REF!</v>
      </c>
      <c r="AR78" s="1" t="e">
        <f>AQ78/VLOOKUP(A78,'[45]geoMap (42)'!$A:$B,2,0)*VLOOKUP(A78,'[45]geoMap (42)'!$A:$C,3,0)</f>
        <v>#REF!</v>
      </c>
      <c r="AS78" s="1" t="e">
        <f>AR78/VLOOKUP(A78,'[46]geoMap (43)'!$A:$B,2,0)*VLOOKUP(A78,'[46]geoMap (43)'!$A:$C,3,0)</f>
        <v>#REF!</v>
      </c>
      <c r="AT78" s="1" t="e">
        <f>AS78/VLOOKUP(A78,'[47]geoMap (44)'!$A:$B,2,0)*VLOOKUP(A78,'[47]geoMap (44)'!$A:$C,3,0)</f>
        <v>#REF!</v>
      </c>
      <c r="AU78" s="1" t="e">
        <f>AT78/VLOOKUP(A78,'[48]geoMap (45)'!$A:$B,2,0)*VLOOKUP(A78,'[48]geoMap (45)'!$A:$C,3,0)</f>
        <v>#REF!</v>
      </c>
      <c r="AV78" s="1" t="e">
        <f>AU78/VLOOKUP(A78,'[49]geoMap (46)'!$A:$B,2,0)*VLOOKUP(A78,'[49]geoMap (46)'!$A:$C,3,0)</f>
        <v>#REF!</v>
      </c>
      <c r="AW78" s="1" t="e">
        <f>AV78/VLOOKUP(A78,'[50]geoMap (47)'!$A:$B,2,0)*VLOOKUP(A78,'[50]geoMap (47)'!$A:$C,3,0)</f>
        <v>#REF!</v>
      </c>
      <c r="AX78" s="1" t="e">
        <f>AW78/VLOOKUP(A78,'[51]geoMap (48)'!$A:$B,2,0)*VLOOKUP(A78,'[51]geoMap (48)'!$A:$C,3,0)</f>
        <v>#REF!</v>
      </c>
      <c r="AY78" s="1" t="e">
        <f>AX78/VLOOKUP(A78,'[52]geoMap (49)'!$A:$B,2,0)*VLOOKUP(A78,'[52]geoMap (49)'!$A:$C,3,0)</f>
        <v>#REF!</v>
      </c>
      <c r="AZ78" s="1" t="e">
        <f>AY78/VLOOKUP(A78,'[53]geoMap (50)'!$A:$B,2,0)*VLOOKUP(A78,'[53]geoMap (50)'!$A:$C,3,0)</f>
        <v>#REF!</v>
      </c>
      <c r="BA78" s="1" t="e">
        <f>AZ78/VLOOKUP(A78,'[54]geoMap (51)'!$A:$B,2,0)*VLOOKUP(A78,'[54]geoMap (51)'!$A:$C,3,0)</f>
        <v>#REF!</v>
      </c>
      <c r="BB78" s="1" t="e">
        <f>BA78/VLOOKUP(A78,'[55]geoMap (52)'!$A:$B,2,0)*VLOOKUP(A78,'[55]geoMap (52)'!$A:$C,3,0)</f>
        <v>#REF!</v>
      </c>
      <c r="BC78" s="1" t="e">
        <f>BB78/VLOOKUP(A78,'[56]geoMap (53)'!$A:$B,2,0)*VLOOKUP(A78,'[56]geoMap (53)'!$A:$C,3,0)</f>
        <v>#REF!</v>
      </c>
      <c r="BD78" s="1" t="e">
        <f>BC78/VLOOKUP(A78,'[57]geoMap (54)'!$A:$B,2,0)*VLOOKUP(A78,'[57]geoMap (54)'!$A:$C,3,0)</f>
        <v>#REF!</v>
      </c>
      <c r="BE78" s="1" t="e">
        <f>BD78/VLOOKUP(A78,'[58]geoMap (55)'!$A:$B,2,0)*VLOOKUP(A78,'[58]geoMap (55)'!$A:$C,3,0)</f>
        <v>#REF!</v>
      </c>
      <c r="BF78" s="1" t="e">
        <f>BE78/VLOOKUP(A78,'[59]geoMap (56)'!$A:$B,2,0)*VLOOKUP(A78,'[59]geoMap (56)'!$A:$C,3,0)</f>
        <v>#REF!</v>
      </c>
      <c r="BG78" s="1" t="e">
        <f>BF78/VLOOKUP(A78,'[60]geoMap (57)'!$A:$B,2,0)*VLOOKUP(A78,'[60]geoMap (57)'!$A:$C,3,0)</f>
        <v>#REF!</v>
      </c>
      <c r="BH78" s="1" t="e">
        <f>BG78/VLOOKUP(A78,'[61]geoMap (58)'!$A:$B,2,0)*VLOOKUP(A78,'[61]geoMap (58)'!$A:$C,3,0)</f>
        <v>#REF!</v>
      </c>
      <c r="BI78" s="1" t="e">
        <f>BH78/VLOOKUP(A78,'[62]geoMap (59)'!$A:$B,2,0)*VLOOKUP(A78,'[62]geoMap (59)'!$A:$C,3,0)</f>
        <v>#REF!</v>
      </c>
      <c r="BJ78" s="1" t="e">
        <f>BI78/VLOOKUP(A78,'[63]geoMap (60)'!$A:$B,2,0)*VLOOKUP(A78,'[63]geoMap (60)'!$A:$C,3,0)</f>
        <v>#REF!</v>
      </c>
      <c r="BK78" s="1" t="e">
        <f>BJ78/VLOOKUP(A78,'[64]geoMap (61)'!$A:$B,2,0)*VLOOKUP(A78,'[64]geoMap (61)'!$A:$C,3,0)</f>
        <v>#REF!</v>
      </c>
      <c r="BL78" s="1" t="e">
        <f>BK78/VLOOKUP(A78,'[65]geoMap (62)'!$A:$B,2,0)*VLOOKUP(A78,'[65]geoMap (62)'!$A:$C,3,0)</f>
        <v>#REF!</v>
      </c>
      <c r="BM78" s="1" t="e">
        <f>BL78/VLOOKUP(A78,'[66]geoMap (63)'!$A:$B,2,0)*VLOOKUP(A78,'[66]geoMap (63)'!$A:$C,3,0)</f>
        <v>#REF!</v>
      </c>
      <c r="BN78" s="1" t="e">
        <f>BM78/VLOOKUP(A78,'[67]geoMap (64)'!$A:$B,2,0)*VLOOKUP(A78,'[67]geoMap (64)'!$A:$C,3,0)</f>
        <v>#REF!</v>
      </c>
      <c r="BO78" s="1" t="e">
        <f>BN78/VLOOKUP(A78,'[68]geoMap (65)'!$A:$B,2,0)*VLOOKUP(A78,'[68]geoMap (65)'!$A:$C,3,0)</f>
        <v>#REF!</v>
      </c>
      <c r="BP78" s="1" t="e">
        <f>BO78/VLOOKUP(A78,'[69]geoMap (66)'!$A:$B,2,0)*VLOOKUP(A78,'[69]geoMap (66)'!$A:$C,3,0)</f>
        <v>#REF!</v>
      </c>
    </row>
    <row r="79" spans="1:68" hidden="1" x14ac:dyDescent="0.2">
      <c r="A79" s="1" t="s">
        <v>13</v>
      </c>
      <c r="B79" s="1" t="e">
        <f>VLOOKUP(A79,[3]geoMap!$A:$B,2,0)*Notes!$C$6</f>
        <v>#REF!</v>
      </c>
      <c r="C79" s="1" t="e">
        <f>B79/VLOOKUP(A79,'[4]geoMap (1)'!$A:$B,2,0)*VLOOKUP(A79,'[4]geoMap (1)'!$A:$C,3,0)</f>
        <v>#REF!</v>
      </c>
      <c r="D79" s="1" t="e">
        <f>C79/VLOOKUP(A79,'[5]geoMap (2)'!$A:$B,2,0)*VLOOKUP(A79,'[5]geoMap (2)'!$A:$C,3,0)</f>
        <v>#REF!</v>
      </c>
      <c r="E79" s="1" t="e">
        <f>D79/VLOOKUP(A79,'[6]geoMap (3)'!$A:$B,2,0)*VLOOKUP(A79,'[6]geoMap (3)'!$A:$C,3,0)</f>
        <v>#REF!</v>
      </c>
      <c r="F79" s="1" t="e">
        <f>E79/VLOOKUP(A79,'[7]geoMap (4)'!$A:$B,2,0)*VLOOKUP(A79,'[7]geoMap (4)'!$A:$C,3,0)</f>
        <v>#REF!</v>
      </c>
      <c r="G79" s="1" t="e">
        <f>F79/VLOOKUP(A79,'[8]geoMap (5)'!$A:$B,2,0)*VLOOKUP(A79,'[8]geoMap (5)'!$A:$C,3,0)</f>
        <v>#REF!</v>
      </c>
      <c r="H79" s="1" t="e">
        <f>G79/VLOOKUP(A79,'[9]geoMap (6)'!$A:$B,2,0)*VLOOKUP(A79,'[9]geoMap (6)'!$A:$C,3,0)</f>
        <v>#REF!</v>
      </c>
      <c r="I79" s="1" t="e">
        <f>H79/VLOOKUP(A79,'[10]geoMap (7)'!$A:$B,2,0)*VLOOKUP(A79,'[10]geoMap (7)'!$A:$C,3,0)</f>
        <v>#REF!</v>
      </c>
      <c r="J79" s="1" t="e">
        <f>I79/VLOOKUP(A79,'[11]geoMap (8)'!$A:$B,2,0)*VLOOKUP(A79,'[11]geoMap (8)'!$A:$C,3,0)</f>
        <v>#REF!</v>
      </c>
      <c r="K79" s="1" t="e">
        <f>J79/VLOOKUP(A79,'[12]geoMap (9)'!$A:$B,2,0)*VLOOKUP(A79,'[12]geoMap (9)'!$A:$C,3,0)</f>
        <v>#REF!</v>
      </c>
      <c r="L79" s="1" t="e">
        <f>K79/VLOOKUP(A79,'[13]geoMap (10)'!$A:$B,2,0)*VLOOKUP(A79,'[13]geoMap (10)'!$A:$C,3,0)</f>
        <v>#REF!</v>
      </c>
      <c r="M79" s="1" t="e">
        <f>L79/VLOOKUP(A79,'[14]geoMap (11)'!$A:$B,2,0)*VLOOKUP(A79,'[14]geoMap (11)'!$A:$C,3,0)</f>
        <v>#REF!</v>
      </c>
      <c r="N79" s="1" t="e">
        <f>M79/VLOOKUP(A79,'[15]geoMap (12)'!$A:$B,2,0)*VLOOKUP(A79,'[15]geoMap (12)'!$A:$C,3,0)</f>
        <v>#REF!</v>
      </c>
      <c r="O79" s="1" t="e">
        <f>N79/VLOOKUP(A79,'[16]geoMap (13)'!$A:$B,2,0)*VLOOKUP(A79,'[16]geoMap (13)'!$A:$C,3,0)</f>
        <v>#REF!</v>
      </c>
      <c r="P79" s="1" t="e">
        <f>O79/VLOOKUP(A79,'[17]geoMap (14)'!$A:$B,2,0)*VLOOKUP(A79,'[17]geoMap (14)'!$A:$C,3,0)</f>
        <v>#REF!</v>
      </c>
      <c r="Q79" s="1" t="e">
        <f>P79/VLOOKUP(A79,'[18]geoMap (15)'!$A:$B,2,0)*VLOOKUP(A79,'[18]geoMap (15)'!$A:$C,3,0)</f>
        <v>#REF!</v>
      </c>
      <c r="R79" s="1" t="e">
        <f>Q79/VLOOKUP(A79,'[19]geoMap (16)'!$A:$B,2,0)*VLOOKUP(A79,'[19]geoMap (16)'!$A:$C,3,0)</f>
        <v>#REF!</v>
      </c>
      <c r="S79" s="1" t="e">
        <f>R79/VLOOKUP(A79,'[20]geoMap (17)'!$A:$B,2,0)*VLOOKUP(A79,'[20]geoMap (17)'!$A:$C,3,0)</f>
        <v>#REF!</v>
      </c>
      <c r="T79" s="1" t="e">
        <f>S79/VLOOKUP(A79,'[21]geoMap (18)'!$A:$B,2,0)*VLOOKUP(A79,'[21]geoMap (18)'!$A:$C,3,0)</f>
        <v>#REF!</v>
      </c>
      <c r="U79" s="1" t="e">
        <f>T79/VLOOKUP(A79,'[22]geoMap (19)'!$A:$B,2,0)*VLOOKUP(A79,'[22]geoMap (19)'!$A:$C,3,0)</f>
        <v>#REF!</v>
      </c>
      <c r="V79" s="1" t="e">
        <f>U79/VLOOKUP(A79,'[23]geoMap (20)'!$A:$B,2,0)*VLOOKUP(A79,'[23]geoMap (20)'!$A:$C,3,0)</f>
        <v>#REF!</v>
      </c>
      <c r="W79" s="1" t="e">
        <f>V79/VLOOKUP(A79,'[24]geoMap (21)'!$A:$B,2,0)*VLOOKUP(A79,'[24]geoMap (21)'!$A:$C,3,0)</f>
        <v>#REF!</v>
      </c>
      <c r="X79" s="1" t="e">
        <f>W79/VLOOKUP(A79,'[25]geoMap (22)'!$A:$B,2,0)*VLOOKUP(A79,'[25]geoMap (22)'!$A:$C,3,0)</f>
        <v>#REF!</v>
      </c>
      <c r="Y79" s="1" t="e">
        <f>X79/VLOOKUP(A79,'[26]geoMap (23)'!$A:$B,2,0)*VLOOKUP(A79,'[26]geoMap (23)'!$A:$C,3,0)</f>
        <v>#REF!</v>
      </c>
      <c r="Z79" s="1" t="e">
        <f>Y79/VLOOKUP(A79,'[27]geoMap (24)'!$A:$B,2,0)*VLOOKUP(A79,'[27]geoMap (24)'!$A:$C,3,0)</f>
        <v>#REF!</v>
      </c>
      <c r="AA79" s="1" t="e">
        <f>Z79/VLOOKUP(A79,'[28]geoMap (25)'!$A:$B,2,0)*VLOOKUP(A79,'[28]geoMap (25)'!$A:$C,3,0)</f>
        <v>#REF!</v>
      </c>
      <c r="AB79" s="1" t="e">
        <f>AA79*VLOOKUP(A79,'[29]geoMap (26)'!$A:$B,2,0)*VLOOKUP(A79,'[29]geoMap (26)'!$A:$C,3,0)</f>
        <v>#REF!</v>
      </c>
      <c r="AC79" s="1" t="e">
        <f>AB79/VLOOKUP(A79,'[30]geoMap (27)'!$A:$B,2,0)*VLOOKUP(A79,'[30]geoMap (27)'!$A:$C,3,0)</f>
        <v>#REF!</v>
      </c>
      <c r="AD79" s="1" t="e">
        <f>AC79/VLOOKUP(A79,'[31]geoMap (28)'!$A:$B,2,0)*VLOOKUP(A79,'[31]geoMap (28)'!$A:$C,3,0)</f>
        <v>#REF!</v>
      </c>
      <c r="AE79" s="1" t="e">
        <f>AD79/VLOOKUP(A79,'[32]geoMap (29)'!$A:$B,2,0)*VLOOKUP(A79,'[32]geoMap (29)'!$A:$C,3,0)</f>
        <v>#REF!</v>
      </c>
      <c r="AF79" s="1" t="e">
        <f>AE79/VLOOKUP(A79,'[33]geoMap (30)'!$A:$B,2,0)*VLOOKUP(A79,'[33]geoMap (30)'!$A:$C,3,0)</f>
        <v>#REF!</v>
      </c>
      <c r="AG79" s="1" t="e">
        <f>AF79/VLOOKUP(A79,'[34]geoMap (31)'!$A:$B,2,0)*VLOOKUP(A79,'[34]geoMap (31)'!$A:$C,3,0)</f>
        <v>#REF!</v>
      </c>
      <c r="AH79" s="1" t="e">
        <f>AG79/VLOOKUP(A79,'[35]geoMap (32)'!$A:$B,2,0)*VLOOKUP(A79,'[35]geoMap (32)'!$A:$C,3,0)</f>
        <v>#REF!</v>
      </c>
      <c r="AI79" s="1" t="e">
        <f>AH79/VLOOKUP(A79,'[36]geoMap (33)'!$A:$B,2,0)*VLOOKUP(A79,'[36]geoMap (33)'!$A:$C,3,0)</f>
        <v>#REF!</v>
      </c>
      <c r="AJ79" s="1" t="e">
        <f>AI79/VLOOKUP(A79,'[37]geoMap (34)'!$A:$B,2,0)*VLOOKUP(A79,'[37]geoMap (34)'!$A:$C,3,0)</f>
        <v>#REF!</v>
      </c>
      <c r="AK79" s="1" t="e">
        <f>AJ79/VLOOKUP(A79,'[38]geoMap (35)'!$A:$B,2,0)*VLOOKUP(A79,'[38]geoMap (35)'!$A:$C,3,0)</f>
        <v>#REF!</v>
      </c>
      <c r="AL79" s="1" t="e">
        <f>AK79/VLOOKUP(A79,'[39]geoMap (36)'!$A:$B,2,0)*VLOOKUP(A79,'[39]geoMap (36)'!$A:$C,3,0)</f>
        <v>#REF!</v>
      </c>
      <c r="AM79" s="1" t="e">
        <f>AL79/VLOOKUP(A79,'[40]geoMap (37)'!$A:$B,2,0)*VLOOKUP(A79,'[40]geoMap (37)'!$A:$C,3,0)</f>
        <v>#REF!</v>
      </c>
      <c r="AN79" s="1" t="e">
        <f>AM79/VLOOKUP(A79,'[41]geoMap (38)'!$A:$B,2,0)*VLOOKUP(A79,'[41]geoMap (38)'!$A:$C,3,0)</f>
        <v>#REF!</v>
      </c>
      <c r="AO79" s="1" t="e">
        <f>AN79/VLOOKUP(A79,'[42]geoMap (39)'!$A:$B,2,0)*VLOOKUP(A79,'[42]geoMap (39)'!$A:$C,3,0)</f>
        <v>#REF!</v>
      </c>
      <c r="AP79" s="1" t="e">
        <f>AO79/VLOOKUP(A79,'[43]geoMap (40)'!$A:$B,2,0)*VLOOKUP(A79,'[43]geoMap (40)'!$A:$C,3,0)</f>
        <v>#REF!</v>
      </c>
      <c r="AQ79" s="1" t="e">
        <f>AP79/VLOOKUP(A79,'[44]geoMap (41)'!$A:$B,2,0)*VLOOKUP(A79,'[44]geoMap (41)'!$A:$C,3,0)</f>
        <v>#REF!</v>
      </c>
      <c r="AR79" s="1" t="e">
        <f>AQ79/VLOOKUP(A79,'[45]geoMap (42)'!$A:$B,2,0)*VLOOKUP(A79,'[45]geoMap (42)'!$A:$C,3,0)</f>
        <v>#REF!</v>
      </c>
      <c r="AS79" s="1" t="e">
        <f>AR79/VLOOKUP(A79,'[46]geoMap (43)'!$A:$B,2,0)*VLOOKUP(A79,'[46]geoMap (43)'!$A:$C,3,0)</f>
        <v>#REF!</v>
      </c>
      <c r="AT79" s="1" t="e">
        <f>AS79/VLOOKUP(A79,'[47]geoMap (44)'!$A:$B,2,0)*VLOOKUP(A79,'[47]geoMap (44)'!$A:$C,3,0)</f>
        <v>#REF!</v>
      </c>
      <c r="AU79" s="1" t="e">
        <f>AT79/VLOOKUP(A79,'[48]geoMap (45)'!$A:$B,2,0)*VLOOKUP(A79,'[48]geoMap (45)'!$A:$C,3,0)</f>
        <v>#REF!</v>
      </c>
      <c r="AV79" s="1" t="e">
        <f>AU79/VLOOKUP(A79,'[49]geoMap (46)'!$A:$B,2,0)*VLOOKUP(A79,'[49]geoMap (46)'!$A:$C,3,0)</f>
        <v>#REF!</v>
      </c>
      <c r="AW79" s="1" t="e">
        <f>AV79/VLOOKUP(A79,'[50]geoMap (47)'!$A:$B,2,0)*VLOOKUP(A79,'[50]geoMap (47)'!$A:$C,3,0)</f>
        <v>#REF!</v>
      </c>
      <c r="AX79" s="1" t="e">
        <f>AW79/VLOOKUP(A79,'[51]geoMap (48)'!$A:$B,2,0)*VLOOKUP(A79,'[51]geoMap (48)'!$A:$C,3,0)</f>
        <v>#REF!</v>
      </c>
      <c r="AY79" s="1" t="e">
        <f>AX79/VLOOKUP(A79,'[52]geoMap (49)'!$A:$B,2,0)*VLOOKUP(A79,'[52]geoMap (49)'!$A:$C,3,0)</f>
        <v>#REF!</v>
      </c>
      <c r="AZ79" s="1" t="e">
        <f>AY79/VLOOKUP(A79,'[53]geoMap (50)'!$A:$B,2,0)*VLOOKUP(A79,'[53]geoMap (50)'!$A:$C,3,0)</f>
        <v>#REF!</v>
      </c>
      <c r="BA79" s="1" t="e">
        <f>AZ79/VLOOKUP(A79,'[54]geoMap (51)'!$A:$B,2,0)*VLOOKUP(A79,'[54]geoMap (51)'!$A:$C,3,0)</f>
        <v>#REF!</v>
      </c>
      <c r="BB79" s="1" t="e">
        <f>BA79/VLOOKUP(A79,'[55]geoMap (52)'!$A:$B,2,0)*VLOOKUP(A79,'[55]geoMap (52)'!$A:$C,3,0)</f>
        <v>#REF!</v>
      </c>
      <c r="BC79" s="1" t="e">
        <f>BB79/VLOOKUP(A79,'[56]geoMap (53)'!$A:$B,2,0)*VLOOKUP(A79,'[56]geoMap (53)'!$A:$C,3,0)</f>
        <v>#REF!</v>
      </c>
      <c r="BD79" s="1" t="e">
        <f>BC79/VLOOKUP(A79,'[57]geoMap (54)'!$A:$B,2,0)*VLOOKUP(A79,'[57]geoMap (54)'!$A:$C,3,0)</f>
        <v>#REF!</v>
      </c>
      <c r="BE79" s="1" t="e">
        <f>BD79/VLOOKUP(A79,'[58]geoMap (55)'!$A:$B,2,0)*VLOOKUP(A79,'[58]geoMap (55)'!$A:$C,3,0)</f>
        <v>#REF!</v>
      </c>
      <c r="BF79" s="1" t="e">
        <f>BE79/VLOOKUP(A79,'[59]geoMap (56)'!$A:$B,2,0)*VLOOKUP(A79,'[59]geoMap (56)'!$A:$C,3,0)</f>
        <v>#REF!</v>
      </c>
      <c r="BG79" s="1" t="e">
        <f>BF79/VLOOKUP(A79,'[60]geoMap (57)'!$A:$B,2,0)*VLOOKUP(A79,'[60]geoMap (57)'!$A:$C,3,0)</f>
        <v>#REF!</v>
      </c>
      <c r="BH79" s="1" t="e">
        <f>BG79/VLOOKUP(A79,'[61]geoMap (58)'!$A:$B,2,0)*VLOOKUP(A79,'[61]geoMap (58)'!$A:$C,3,0)</f>
        <v>#REF!</v>
      </c>
      <c r="BI79" s="1" t="e">
        <f>BH79/VLOOKUP(A79,'[62]geoMap (59)'!$A:$B,2,0)*VLOOKUP(A79,'[62]geoMap (59)'!$A:$C,3,0)</f>
        <v>#REF!</v>
      </c>
      <c r="BJ79" s="1" t="e">
        <f>BI79/VLOOKUP(A79,'[63]geoMap (60)'!$A:$B,2,0)*VLOOKUP(A79,'[63]geoMap (60)'!$A:$C,3,0)</f>
        <v>#REF!</v>
      </c>
      <c r="BK79" s="1" t="e">
        <f>BJ79/VLOOKUP(A79,'[64]geoMap (61)'!$A:$B,2,0)*VLOOKUP(A79,'[64]geoMap (61)'!$A:$C,3,0)</f>
        <v>#REF!</v>
      </c>
      <c r="BL79" s="1" t="e">
        <f>BK79/VLOOKUP(A79,'[65]geoMap (62)'!$A:$B,2,0)*VLOOKUP(A79,'[65]geoMap (62)'!$A:$C,3,0)</f>
        <v>#REF!</v>
      </c>
      <c r="BM79" s="1" t="e">
        <f>BL79/VLOOKUP(A79,'[66]geoMap (63)'!$A:$B,2,0)*VLOOKUP(A79,'[66]geoMap (63)'!$A:$C,3,0)</f>
        <v>#REF!</v>
      </c>
      <c r="BN79" s="1" t="e">
        <f>BM79/VLOOKUP(A79,'[67]geoMap (64)'!$A:$B,2,0)*VLOOKUP(A79,'[67]geoMap (64)'!$A:$C,3,0)</f>
        <v>#REF!</v>
      </c>
      <c r="BO79" s="1" t="e">
        <f>BN79/VLOOKUP(A79,'[68]geoMap (65)'!$A:$B,2,0)*VLOOKUP(A79,'[68]geoMap (65)'!$A:$C,3,0)</f>
        <v>#REF!</v>
      </c>
      <c r="BP79" s="1" t="e">
        <f>BO79/VLOOKUP(A79,'[69]geoMap (66)'!$A:$B,2,0)*VLOOKUP(A79,'[69]geoMap (66)'!$A:$C,3,0)</f>
        <v>#REF!</v>
      </c>
    </row>
    <row r="80" spans="1:68" hidden="1" x14ac:dyDescent="0.2">
      <c r="A80" s="1" t="s">
        <v>14</v>
      </c>
      <c r="B80" s="1" t="e">
        <f>VLOOKUP(A80,[3]geoMap!$A:$B,2,0)*Notes!$C$6</f>
        <v>#REF!</v>
      </c>
      <c r="C80" s="1" t="e">
        <f>B80/VLOOKUP(A80,'[4]geoMap (1)'!$A:$B,2,0)*VLOOKUP(A80,'[4]geoMap (1)'!$A:$C,3,0)</f>
        <v>#REF!</v>
      </c>
      <c r="D80" s="1" t="e">
        <f>C80/VLOOKUP(A80,'[5]geoMap (2)'!$A:$B,2,0)*VLOOKUP(A80,'[5]geoMap (2)'!$A:$C,3,0)</f>
        <v>#REF!</v>
      </c>
      <c r="E80" s="1" t="e">
        <f>D80/VLOOKUP(A80,'[6]geoMap (3)'!$A:$B,2,0)*VLOOKUP(A80,'[6]geoMap (3)'!$A:$C,3,0)</f>
        <v>#REF!</v>
      </c>
      <c r="F80" s="1" t="e">
        <f>E80/VLOOKUP(A80,'[7]geoMap (4)'!$A:$B,2,0)*VLOOKUP(A80,'[7]geoMap (4)'!$A:$C,3,0)</f>
        <v>#REF!</v>
      </c>
      <c r="G80" s="1" t="e">
        <f>F80/VLOOKUP(A80,'[8]geoMap (5)'!$A:$B,2,0)*VLOOKUP(A80,'[8]geoMap (5)'!$A:$C,3,0)</f>
        <v>#REF!</v>
      </c>
      <c r="H80" s="1" t="e">
        <f>G80/VLOOKUP(A80,'[9]geoMap (6)'!$A:$B,2,0)*VLOOKUP(A80,'[9]geoMap (6)'!$A:$C,3,0)</f>
        <v>#REF!</v>
      </c>
      <c r="I80" s="1" t="e">
        <f>H80/VLOOKUP(A80,'[10]geoMap (7)'!$A:$B,2,0)*VLOOKUP(A80,'[10]geoMap (7)'!$A:$C,3,0)</f>
        <v>#REF!</v>
      </c>
      <c r="J80" s="1" t="e">
        <f>I80/VLOOKUP(A80,'[11]geoMap (8)'!$A:$B,2,0)*VLOOKUP(A80,'[11]geoMap (8)'!$A:$C,3,0)</f>
        <v>#REF!</v>
      </c>
      <c r="K80" s="1" t="e">
        <f>J80/VLOOKUP(A80,'[12]geoMap (9)'!$A:$B,2,0)*VLOOKUP(A80,'[12]geoMap (9)'!$A:$C,3,0)</f>
        <v>#REF!</v>
      </c>
      <c r="L80" s="1" t="e">
        <f>K80/VLOOKUP(A80,'[13]geoMap (10)'!$A:$B,2,0)*VLOOKUP(A80,'[13]geoMap (10)'!$A:$C,3,0)</f>
        <v>#REF!</v>
      </c>
      <c r="M80" s="1" t="e">
        <f>L80/VLOOKUP(A80,'[14]geoMap (11)'!$A:$B,2,0)*VLOOKUP(A80,'[14]geoMap (11)'!$A:$C,3,0)</f>
        <v>#REF!</v>
      </c>
      <c r="N80" s="1" t="e">
        <f>M80/VLOOKUP(A80,'[15]geoMap (12)'!$A:$B,2,0)*VLOOKUP(A80,'[15]geoMap (12)'!$A:$C,3,0)</f>
        <v>#REF!</v>
      </c>
      <c r="O80" s="1" t="e">
        <f>N80/VLOOKUP(A80,'[16]geoMap (13)'!$A:$B,2,0)*VLOOKUP(A80,'[16]geoMap (13)'!$A:$C,3,0)</f>
        <v>#REF!</v>
      </c>
      <c r="P80" s="1" t="e">
        <f>O80/VLOOKUP(A80,'[17]geoMap (14)'!$A:$B,2,0)*VLOOKUP(A80,'[17]geoMap (14)'!$A:$C,3,0)</f>
        <v>#REF!</v>
      </c>
      <c r="Q80" s="1" t="e">
        <f>P80/VLOOKUP(A80,'[18]geoMap (15)'!$A:$B,2,0)*VLOOKUP(A80,'[18]geoMap (15)'!$A:$C,3,0)</f>
        <v>#REF!</v>
      </c>
      <c r="R80" s="1" t="e">
        <f>Q80/VLOOKUP(A80,'[19]geoMap (16)'!$A:$B,2,0)*VLOOKUP(A80,'[19]geoMap (16)'!$A:$C,3,0)</f>
        <v>#REF!</v>
      </c>
      <c r="S80" s="1" t="e">
        <f>R80/VLOOKUP(A80,'[20]geoMap (17)'!$A:$B,2,0)*VLOOKUP(A80,'[20]geoMap (17)'!$A:$C,3,0)</f>
        <v>#REF!</v>
      </c>
      <c r="T80" s="1" t="e">
        <f>S80/VLOOKUP(A80,'[21]geoMap (18)'!$A:$B,2,0)*VLOOKUP(A80,'[21]geoMap (18)'!$A:$C,3,0)</f>
        <v>#REF!</v>
      </c>
      <c r="U80" s="1" t="e">
        <f>T80/VLOOKUP(A80,'[22]geoMap (19)'!$A:$B,2,0)*VLOOKUP(A80,'[22]geoMap (19)'!$A:$C,3,0)</f>
        <v>#REF!</v>
      </c>
      <c r="V80" s="1" t="e">
        <f>U80/VLOOKUP(A80,'[23]geoMap (20)'!$A:$B,2,0)*VLOOKUP(A80,'[23]geoMap (20)'!$A:$C,3,0)</f>
        <v>#REF!</v>
      </c>
      <c r="W80" s="1" t="e">
        <f>V80/VLOOKUP(A80,'[24]geoMap (21)'!$A:$B,2,0)*VLOOKUP(A80,'[24]geoMap (21)'!$A:$C,3,0)</f>
        <v>#REF!</v>
      </c>
      <c r="X80" s="1" t="e">
        <f>W80/VLOOKUP(A80,'[25]geoMap (22)'!$A:$B,2,0)*VLOOKUP(A80,'[25]geoMap (22)'!$A:$C,3,0)</f>
        <v>#REF!</v>
      </c>
      <c r="Y80" s="1" t="e">
        <f>X80/VLOOKUP(A80,'[26]geoMap (23)'!$A:$B,2,0)*VLOOKUP(A80,'[26]geoMap (23)'!$A:$C,3,0)</f>
        <v>#REF!</v>
      </c>
      <c r="Z80" s="1" t="e">
        <f>Y80/VLOOKUP(A80,'[27]geoMap (24)'!$A:$B,2,0)*VLOOKUP(A80,'[27]geoMap (24)'!$A:$C,3,0)</f>
        <v>#REF!</v>
      </c>
      <c r="AA80" s="1" t="e">
        <f>Z80/VLOOKUP(A80,'[28]geoMap (25)'!$A:$B,2,0)*VLOOKUP(A80,'[28]geoMap (25)'!$A:$C,3,0)</f>
        <v>#REF!</v>
      </c>
      <c r="AB80" s="1" t="e">
        <f>AA80*VLOOKUP(A80,'[29]geoMap (26)'!$A:$B,2,0)*VLOOKUP(A80,'[29]geoMap (26)'!$A:$C,3,0)</f>
        <v>#REF!</v>
      </c>
      <c r="AC80" s="1" t="e">
        <f>AB80/VLOOKUP(A80,'[30]geoMap (27)'!$A:$B,2,0)*VLOOKUP(A80,'[30]geoMap (27)'!$A:$C,3,0)</f>
        <v>#REF!</v>
      </c>
      <c r="AD80" s="1" t="e">
        <f>AC80/VLOOKUP(A80,'[31]geoMap (28)'!$A:$B,2,0)*VLOOKUP(A80,'[31]geoMap (28)'!$A:$C,3,0)</f>
        <v>#REF!</v>
      </c>
      <c r="AE80" s="1" t="e">
        <f>AD80/VLOOKUP(A80,'[32]geoMap (29)'!$A:$B,2,0)*VLOOKUP(A80,'[32]geoMap (29)'!$A:$C,3,0)</f>
        <v>#REF!</v>
      </c>
      <c r="AF80" s="1" t="e">
        <f>AE80/VLOOKUP(A80,'[33]geoMap (30)'!$A:$B,2,0)*VLOOKUP(A80,'[33]geoMap (30)'!$A:$C,3,0)</f>
        <v>#REF!</v>
      </c>
      <c r="AG80" s="1" t="e">
        <f>AF80/VLOOKUP(A80,'[34]geoMap (31)'!$A:$B,2,0)*VLOOKUP(A80,'[34]geoMap (31)'!$A:$C,3,0)</f>
        <v>#REF!</v>
      </c>
      <c r="AH80" s="1" t="e">
        <f>AG80/VLOOKUP(A80,'[35]geoMap (32)'!$A:$B,2,0)*VLOOKUP(A80,'[35]geoMap (32)'!$A:$C,3,0)</f>
        <v>#REF!</v>
      </c>
      <c r="AI80" s="1" t="e">
        <f>AH80/VLOOKUP(A80,'[36]geoMap (33)'!$A:$B,2,0)*VLOOKUP(A80,'[36]geoMap (33)'!$A:$C,3,0)</f>
        <v>#REF!</v>
      </c>
      <c r="AJ80" s="1" t="e">
        <f>AI80/VLOOKUP(A80,'[37]geoMap (34)'!$A:$B,2,0)*VLOOKUP(A80,'[37]geoMap (34)'!$A:$C,3,0)</f>
        <v>#REF!</v>
      </c>
      <c r="AK80" s="1" t="e">
        <f>AJ80/VLOOKUP(A80,'[38]geoMap (35)'!$A:$B,2,0)*VLOOKUP(A80,'[38]geoMap (35)'!$A:$C,3,0)</f>
        <v>#REF!</v>
      </c>
      <c r="AL80" s="1" t="e">
        <f>AK80/VLOOKUP(A80,'[39]geoMap (36)'!$A:$B,2,0)*VLOOKUP(A80,'[39]geoMap (36)'!$A:$C,3,0)</f>
        <v>#REF!</v>
      </c>
      <c r="AM80" s="1" t="e">
        <f>AL80/VLOOKUP(A80,'[40]geoMap (37)'!$A:$B,2,0)*VLOOKUP(A80,'[40]geoMap (37)'!$A:$C,3,0)</f>
        <v>#REF!</v>
      </c>
      <c r="AN80" s="1" t="e">
        <f>AM80/VLOOKUP(A80,'[41]geoMap (38)'!$A:$B,2,0)*VLOOKUP(A80,'[41]geoMap (38)'!$A:$C,3,0)</f>
        <v>#REF!</v>
      </c>
      <c r="AO80" s="1" t="e">
        <f>AN80/VLOOKUP(A80,'[42]geoMap (39)'!$A:$B,2,0)*VLOOKUP(A80,'[42]geoMap (39)'!$A:$C,3,0)</f>
        <v>#REF!</v>
      </c>
      <c r="AP80" s="1" t="e">
        <f>AO80/VLOOKUP(A80,'[43]geoMap (40)'!$A:$B,2,0)*VLOOKUP(A80,'[43]geoMap (40)'!$A:$C,3,0)</f>
        <v>#REF!</v>
      </c>
      <c r="AQ80" s="1" t="e">
        <f>AP80/VLOOKUP(A80,'[44]geoMap (41)'!$A:$B,2,0)*VLOOKUP(A80,'[44]geoMap (41)'!$A:$C,3,0)</f>
        <v>#REF!</v>
      </c>
      <c r="AR80" s="1" t="e">
        <f>AQ80/VLOOKUP(A80,'[45]geoMap (42)'!$A:$B,2,0)*VLOOKUP(A80,'[45]geoMap (42)'!$A:$C,3,0)</f>
        <v>#REF!</v>
      </c>
      <c r="AS80" s="1" t="e">
        <f>AR80/VLOOKUP(A80,'[46]geoMap (43)'!$A:$B,2,0)*VLOOKUP(A80,'[46]geoMap (43)'!$A:$C,3,0)</f>
        <v>#REF!</v>
      </c>
      <c r="AT80" s="1" t="e">
        <f>AS80/VLOOKUP(A80,'[47]geoMap (44)'!$A:$B,2,0)*VLOOKUP(A80,'[47]geoMap (44)'!$A:$C,3,0)</f>
        <v>#REF!</v>
      </c>
      <c r="AU80" s="1" t="e">
        <f>AT80/VLOOKUP(A80,'[48]geoMap (45)'!$A:$B,2,0)*VLOOKUP(A80,'[48]geoMap (45)'!$A:$C,3,0)</f>
        <v>#REF!</v>
      </c>
      <c r="AV80" s="1" t="e">
        <f>AU80/VLOOKUP(A80,'[49]geoMap (46)'!$A:$B,2,0)*VLOOKUP(A80,'[49]geoMap (46)'!$A:$C,3,0)</f>
        <v>#REF!</v>
      </c>
      <c r="AW80" s="1" t="e">
        <f>AV80/VLOOKUP(A80,'[50]geoMap (47)'!$A:$B,2,0)*VLOOKUP(A80,'[50]geoMap (47)'!$A:$C,3,0)</f>
        <v>#REF!</v>
      </c>
      <c r="AX80" s="1" t="e">
        <f>AW80/VLOOKUP(A80,'[51]geoMap (48)'!$A:$B,2,0)*VLOOKUP(A80,'[51]geoMap (48)'!$A:$C,3,0)</f>
        <v>#REF!</v>
      </c>
      <c r="AY80" s="1" t="e">
        <f>AX80/VLOOKUP(A80,'[52]geoMap (49)'!$A:$B,2,0)*VLOOKUP(A80,'[52]geoMap (49)'!$A:$C,3,0)</f>
        <v>#REF!</v>
      </c>
      <c r="AZ80" s="1" t="e">
        <f>AY80/VLOOKUP(A80,'[53]geoMap (50)'!$A:$B,2,0)*VLOOKUP(A80,'[53]geoMap (50)'!$A:$C,3,0)</f>
        <v>#REF!</v>
      </c>
      <c r="BA80" s="1" t="e">
        <f>AZ80/VLOOKUP(A80,'[54]geoMap (51)'!$A:$B,2,0)*VLOOKUP(A80,'[54]geoMap (51)'!$A:$C,3,0)</f>
        <v>#REF!</v>
      </c>
      <c r="BB80" s="1" t="e">
        <f>BA80/VLOOKUP(A80,'[55]geoMap (52)'!$A:$B,2,0)*VLOOKUP(A80,'[55]geoMap (52)'!$A:$C,3,0)</f>
        <v>#REF!</v>
      </c>
      <c r="BC80" s="1" t="e">
        <f>BB80/VLOOKUP(A80,'[56]geoMap (53)'!$A:$B,2,0)*VLOOKUP(A80,'[56]geoMap (53)'!$A:$C,3,0)</f>
        <v>#REF!</v>
      </c>
      <c r="BD80" s="1" t="e">
        <f>BC80/VLOOKUP(A80,'[57]geoMap (54)'!$A:$B,2,0)*VLOOKUP(A80,'[57]geoMap (54)'!$A:$C,3,0)</f>
        <v>#REF!</v>
      </c>
      <c r="BE80" s="1" t="e">
        <f>BD80/VLOOKUP(A80,'[58]geoMap (55)'!$A:$B,2,0)*VLOOKUP(A80,'[58]geoMap (55)'!$A:$C,3,0)</f>
        <v>#REF!</v>
      </c>
      <c r="BF80" s="1" t="e">
        <f>BE80/VLOOKUP(A80,'[59]geoMap (56)'!$A:$B,2,0)*VLOOKUP(A80,'[59]geoMap (56)'!$A:$C,3,0)</f>
        <v>#REF!</v>
      </c>
      <c r="BG80" s="1" t="e">
        <f>BF80/VLOOKUP(A80,'[60]geoMap (57)'!$A:$B,2,0)*VLOOKUP(A80,'[60]geoMap (57)'!$A:$C,3,0)</f>
        <v>#REF!</v>
      </c>
      <c r="BH80" s="1" t="e">
        <f>BG80/VLOOKUP(A80,'[61]geoMap (58)'!$A:$B,2,0)*VLOOKUP(A80,'[61]geoMap (58)'!$A:$C,3,0)</f>
        <v>#REF!</v>
      </c>
      <c r="BI80" s="1" t="e">
        <f>BH80/VLOOKUP(A80,'[62]geoMap (59)'!$A:$B,2,0)*VLOOKUP(A80,'[62]geoMap (59)'!$A:$C,3,0)</f>
        <v>#REF!</v>
      </c>
      <c r="BJ80" s="1" t="e">
        <f>BI80/VLOOKUP(A80,'[63]geoMap (60)'!$A:$B,2,0)*VLOOKUP(A80,'[63]geoMap (60)'!$A:$C,3,0)</f>
        <v>#REF!</v>
      </c>
      <c r="BK80" s="1" t="e">
        <f>BJ80/VLOOKUP(A80,'[64]geoMap (61)'!$A:$B,2,0)*VLOOKUP(A80,'[64]geoMap (61)'!$A:$C,3,0)</f>
        <v>#REF!</v>
      </c>
      <c r="BL80" s="1" t="e">
        <f>BK80/VLOOKUP(A80,'[65]geoMap (62)'!$A:$B,2,0)*VLOOKUP(A80,'[65]geoMap (62)'!$A:$C,3,0)</f>
        <v>#REF!</v>
      </c>
      <c r="BM80" s="1" t="e">
        <f>BL80/VLOOKUP(A80,'[66]geoMap (63)'!$A:$B,2,0)*VLOOKUP(A80,'[66]geoMap (63)'!$A:$C,3,0)</f>
        <v>#REF!</v>
      </c>
      <c r="BN80" s="1" t="e">
        <f>BM80/VLOOKUP(A80,'[67]geoMap (64)'!$A:$B,2,0)*VLOOKUP(A80,'[67]geoMap (64)'!$A:$C,3,0)</f>
        <v>#REF!</v>
      </c>
      <c r="BO80" s="1" t="e">
        <f>BN80/VLOOKUP(A80,'[68]geoMap (65)'!$A:$B,2,0)*VLOOKUP(A80,'[68]geoMap (65)'!$A:$C,3,0)</f>
        <v>#REF!</v>
      </c>
      <c r="BP80" s="1" t="e">
        <f>BO80/VLOOKUP(A80,'[69]geoMap (66)'!$A:$B,2,0)*VLOOKUP(A80,'[69]geoMap (66)'!$A:$C,3,0)</f>
        <v>#REF!</v>
      </c>
    </row>
    <row r="81" spans="1:68" hidden="1" x14ac:dyDescent="0.2">
      <c r="A81" s="1" t="s">
        <v>15</v>
      </c>
      <c r="B81" s="1" t="e">
        <f>VLOOKUP(A81,[3]geoMap!$A:$B,2,0)*Notes!$C$6</f>
        <v>#REF!</v>
      </c>
      <c r="C81" s="1" t="e">
        <f>B81/VLOOKUP(A81,'[4]geoMap (1)'!$A:$B,2,0)*VLOOKUP(A81,'[4]geoMap (1)'!$A:$C,3,0)</f>
        <v>#REF!</v>
      </c>
      <c r="D81" s="1" t="e">
        <f>C81/VLOOKUP(A81,'[5]geoMap (2)'!$A:$B,2,0)*VLOOKUP(A81,'[5]geoMap (2)'!$A:$C,3,0)</f>
        <v>#REF!</v>
      </c>
      <c r="E81" s="1" t="e">
        <f>D81/VLOOKUP(A81,'[6]geoMap (3)'!$A:$B,2,0)*VLOOKUP(A81,'[6]geoMap (3)'!$A:$C,3,0)</f>
        <v>#REF!</v>
      </c>
      <c r="F81" s="1" t="e">
        <f>E81/VLOOKUP(A81,'[7]geoMap (4)'!$A:$B,2,0)*VLOOKUP(A81,'[7]geoMap (4)'!$A:$C,3,0)</f>
        <v>#REF!</v>
      </c>
      <c r="G81" s="1" t="e">
        <f>F81/VLOOKUP(A81,'[8]geoMap (5)'!$A:$B,2,0)*VLOOKUP(A81,'[8]geoMap (5)'!$A:$C,3,0)</f>
        <v>#REF!</v>
      </c>
      <c r="H81" s="1" t="e">
        <f>G81/VLOOKUP(A81,'[9]geoMap (6)'!$A:$B,2,0)*VLOOKUP(A81,'[9]geoMap (6)'!$A:$C,3,0)</f>
        <v>#REF!</v>
      </c>
      <c r="I81" s="1" t="e">
        <f>H81/VLOOKUP(A81,'[10]geoMap (7)'!$A:$B,2,0)*VLOOKUP(A81,'[10]geoMap (7)'!$A:$C,3,0)</f>
        <v>#REF!</v>
      </c>
      <c r="J81" s="1" t="e">
        <f>I81/VLOOKUP(A81,'[11]geoMap (8)'!$A:$B,2,0)*VLOOKUP(A81,'[11]geoMap (8)'!$A:$C,3,0)</f>
        <v>#REF!</v>
      </c>
      <c r="K81" s="1" t="e">
        <f>J81/VLOOKUP(A81,'[12]geoMap (9)'!$A:$B,2,0)*VLOOKUP(A81,'[12]geoMap (9)'!$A:$C,3,0)</f>
        <v>#REF!</v>
      </c>
      <c r="L81" s="1" t="e">
        <f>K81/VLOOKUP(A81,'[13]geoMap (10)'!$A:$B,2,0)*VLOOKUP(A81,'[13]geoMap (10)'!$A:$C,3,0)</f>
        <v>#REF!</v>
      </c>
      <c r="M81" s="1" t="e">
        <f>L81/VLOOKUP(A81,'[14]geoMap (11)'!$A:$B,2,0)*VLOOKUP(A81,'[14]geoMap (11)'!$A:$C,3,0)</f>
        <v>#REF!</v>
      </c>
      <c r="N81" s="1" t="e">
        <f>M81/VLOOKUP(A81,'[15]geoMap (12)'!$A:$B,2,0)*VLOOKUP(A81,'[15]geoMap (12)'!$A:$C,3,0)</f>
        <v>#REF!</v>
      </c>
      <c r="O81" s="1" t="e">
        <f>N81/VLOOKUP(A81,'[16]geoMap (13)'!$A:$B,2,0)*VLOOKUP(A81,'[16]geoMap (13)'!$A:$C,3,0)</f>
        <v>#REF!</v>
      </c>
      <c r="P81" s="1" t="e">
        <f>O81/VLOOKUP(A81,'[17]geoMap (14)'!$A:$B,2,0)*VLOOKUP(A81,'[17]geoMap (14)'!$A:$C,3,0)</f>
        <v>#REF!</v>
      </c>
      <c r="Q81" s="1" t="e">
        <f>P81/VLOOKUP(A81,'[18]geoMap (15)'!$A:$B,2,0)*VLOOKUP(A81,'[18]geoMap (15)'!$A:$C,3,0)</f>
        <v>#REF!</v>
      </c>
      <c r="R81" s="1" t="e">
        <f>Q81/VLOOKUP(A81,'[19]geoMap (16)'!$A:$B,2,0)*VLOOKUP(A81,'[19]geoMap (16)'!$A:$C,3,0)</f>
        <v>#REF!</v>
      </c>
      <c r="S81" s="1" t="e">
        <f>R81/VLOOKUP(A81,'[20]geoMap (17)'!$A:$B,2,0)*VLOOKUP(A81,'[20]geoMap (17)'!$A:$C,3,0)</f>
        <v>#REF!</v>
      </c>
      <c r="T81" s="1" t="e">
        <f>S81/VLOOKUP(A81,'[21]geoMap (18)'!$A:$B,2,0)*VLOOKUP(A81,'[21]geoMap (18)'!$A:$C,3,0)</f>
        <v>#REF!</v>
      </c>
      <c r="U81" s="1" t="e">
        <f>T81/VLOOKUP(A81,'[22]geoMap (19)'!$A:$B,2,0)*VLOOKUP(A81,'[22]geoMap (19)'!$A:$C,3,0)</f>
        <v>#REF!</v>
      </c>
      <c r="V81" s="1" t="e">
        <f>U81/VLOOKUP(A81,'[23]geoMap (20)'!$A:$B,2,0)*VLOOKUP(A81,'[23]geoMap (20)'!$A:$C,3,0)</f>
        <v>#REF!</v>
      </c>
      <c r="W81" s="1" t="e">
        <f>V81/VLOOKUP(A81,'[24]geoMap (21)'!$A:$B,2,0)*VLOOKUP(A81,'[24]geoMap (21)'!$A:$C,3,0)</f>
        <v>#REF!</v>
      </c>
      <c r="X81" s="1" t="e">
        <f>W81/VLOOKUP(A81,'[25]geoMap (22)'!$A:$B,2,0)*VLOOKUP(A81,'[25]geoMap (22)'!$A:$C,3,0)</f>
        <v>#REF!</v>
      </c>
      <c r="Y81" s="1" t="e">
        <f>X81/VLOOKUP(A81,'[26]geoMap (23)'!$A:$B,2,0)*VLOOKUP(A81,'[26]geoMap (23)'!$A:$C,3,0)</f>
        <v>#REF!</v>
      </c>
      <c r="Z81" s="1" t="e">
        <f>Y81/VLOOKUP(A81,'[27]geoMap (24)'!$A:$B,2,0)*VLOOKUP(A81,'[27]geoMap (24)'!$A:$C,3,0)</f>
        <v>#REF!</v>
      </c>
      <c r="AA81" s="1" t="e">
        <f>Z81/VLOOKUP(A81,'[28]geoMap (25)'!$A:$B,2,0)*VLOOKUP(A81,'[28]geoMap (25)'!$A:$C,3,0)</f>
        <v>#REF!</v>
      </c>
      <c r="AB81" s="1" t="e">
        <f>AA81*VLOOKUP(A81,'[29]geoMap (26)'!$A:$B,2,0)*VLOOKUP(A81,'[29]geoMap (26)'!$A:$C,3,0)</f>
        <v>#REF!</v>
      </c>
      <c r="AC81" s="1" t="e">
        <f>AB81/VLOOKUP(A81,'[30]geoMap (27)'!$A:$B,2,0)*VLOOKUP(A81,'[30]geoMap (27)'!$A:$C,3,0)</f>
        <v>#REF!</v>
      </c>
      <c r="AD81" s="1" t="e">
        <f>AC81/VLOOKUP(A81,'[31]geoMap (28)'!$A:$B,2,0)*VLOOKUP(A81,'[31]geoMap (28)'!$A:$C,3,0)</f>
        <v>#REF!</v>
      </c>
      <c r="AE81" s="1" t="e">
        <f>AD81/VLOOKUP(A81,'[32]geoMap (29)'!$A:$B,2,0)*VLOOKUP(A81,'[32]geoMap (29)'!$A:$C,3,0)</f>
        <v>#REF!</v>
      </c>
      <c r="AF81" s="1" t="e">
        <f>AE81/VLOOKUP(A81,'[33]geoMap (30)'!$A:$B,2,0)*VLOOKUP(A81,'[33]geoMap (30)'!$A:$C,3,0)</f>
        <v>#REF!</v>
      </c>
      <c r="AG81" s="1" t="e">
        <f>AF81/VLOOKUP(A81,'[34]geoMap (31)'!$A:$B,2,0)*VLOOKUP(A81,'[34]geoMap (31)'!$A:$C,3,0)</f>
        <v>#REF!</v>
      </c>
      <c r="AH81" s="1" t="e">
        <f>AG81/VLOOKUP(A81,'[35]geoMap (32)'!$A:$B,2,0)*VLOOKUP(A81,'[35]geoMap (32)'!$A:$C,3,0)</f>
        <v>#REF!</v>
      </c>
      <c r="AI81" s="1" t="e">
        <f>AH81/VLOOKUP(A81,'[36]geoMap (33)'!$A:$B,2,0)*VLOOKUP(A81,'[36]geoMap (33)'!$A:$C,3,0)</f>
        <v>#REF!</v>
      </c>
      <c r="AJ81" s="1" t="e">
        <f>AI81/VLOOKUP(A81,'[37]geoMap (34)'!$A:$B,2,0)*VLOOKUP(A81,'[37]geoMap (34)'!$A:$C,3,0)</f>
        <v>#REF!</v>
      </c>
      <c r="AK81" s="1" t="e">
        <f>AJ81/VLOOKUP(A81,'[38]geoMap (35)'!$A:$B,2,0)*VLOOKUP(A81,'[38]geoMap (35)'!$A:$C,3,0)</f>
        <v>#REF!</v>
      </c>
      <c r="AL81" s="1" t="e">
        <f>AK81/VLOOKUP(A81,'[39]geoMap (36)'!$A:$B,2,0)*VLOOKUP(A81,'[39]geoMap (36)'!$A:$C,3,0)</f>
        <v>#REF!</v>
      </c>
      <c r="AM81" s="1" t="e">
        <f>AL81/VLOOKUP(A81,'[40]geoMap (37)'!$A:$B,2,0)*VLOOKUP(A81,'[40]geoMap (37)'!$A:$C,3,0)</f>
        <v>#REF!</v>
      </c>
      <c r="AN81" s="1" t="e">
        <f>AM81/VLOOKUP(A81,'[41]geoMap (38)'!$A:$B,2,0)*VLOOKUP(A81,'[41]geoMap (38)'!$A:$C,3,0)</f>
        <v>#REF!</v>
      </c>
      <c r="AO81" s="1" t="e">
        <f>AN81/VLOOKUP(A81,'[42]geoMap (39)'!$A:$B,2,0)*VLOOKUP(A81,'[42]geoMap (39)'!$A:$C,3,0)</f>
        <v>#REF!</v>
      </c>
      <c r="AP81" s="1" t="e">
        <f>AO81/VLOOKUP(A81,'[43]geoMap (40)'!$A:$B,2,0)*VLOOKUP(A81,'[43]geoMap (40)'!$A:$C,3,0)</f>
        <v>#REF!</v>
      </c>
      <c r="AQ81" s="1" t="e">
        <f>AP81/VLOOKUP(A81,'[44]geoMap (41)'!$A:$B,2,0)*VLOOKUP(A81,'[44]geoMap (41)'!$A:$C,3,0)</f>
        <v>#REF!</v>
      </c>
      <c r="AR81" s="1" t="e">
        <f>AQ81/VLOOKUP(A81,'[45]geoMap (42)'!$A:$B,2,0)*VLOOKUP(A81,'[45]geoMap (42)'!$A:$C,3,0)</f>
        <v>#REF!</v>
      </c>
      <c r="AS81" s="1" t="e">
        <f>AR81/VLOOKUP(A81,'[46]geoMap (43)'!$A:$B,2,0)*VLOOKUP(A81,'[46]geoMap (43)'!$A:$C,3,0)</f>
        <v>#REF!</v>
      </c>
      <c r="AT81" s="1" t="e">
        <f>AS81/VLOOKUP(A81,'[47]geoMap (44)'!$A:$B,2,0)*VLOOKUP(A81,'[47]geoMap (44)'!$A:$C,3,0)</f>
        <v>#REF!</v>
      </c>
      <c r="AU81" s="1" t="e">
        <f>AT81/VLOOKUP(A81,'[48]geoMap (45)'!$A:$B,2,0)*VLOOKUP(A81,'[48]geoMap (45)'!$A:$C,3,0)</f>
        <v>#REF!</v>
      </c>
      <c r="AV81" s="1" t="e">
        <f>AU81/VLOOKUP(A81,'[49]geoMap (46)'!$A:$B,2,0)*VLOOKUP(A81,'[49]geoMap (46)'!$A:$C,3,0)</f>
        <v>#REF!</v>
      </c>
      <c r="AW81" s="1" t="e">
        <f>AV81/VLOOKUP(A81,'[50]geoMap (47)'!$A:$B,2,0)*VLOOKUP(A81,'[50]geoMap (47)'!$A:$C,3,0)</f>
        <v>#REF!</v>
      </c>
      <c r="AX81" s="1" t="e">
        <f>AW81/VLOOKUP(A81,'[51]geoMap (48)'!$A:$B,2,0)*VLOOKUP(A81,'[51]geoMap (48)'!$A:$C,3,0)</f>
        <v>#REF!</v>
      </c>
      <c r="AY81" s="1" t="e">
        <f>AX81/VLOOKUP(A81,'[52]geoMap (49)'!$A:$B,2,0)*VLOOKUP(A81,'[52]geoMap (49)'!$A:$C,3,0)</f>
        <v>#REF!</v>
      </c>
      <c r="AZ81" s="1" t="e">
        <f>AY81/VLOOKUP(A81,'[53]geoMap (50)'!$A:$B,2,0)*VLOOKUP(A81,'[53]geoMap (50)'!$A:$C,3,0)</f>
        <v>#REF!</v>
      </c>
      <c r="BA81" s="1" t="e">
        <f>AZ81/VLOOKUP(A81,'[54]geoMap (51)'!$A:$B,2,0)*VLOOKUP(A81,'[54]geoMap (51)'!$A:$C,3,0)</f>
        <v>#REF!</v>
      </c>
      <c r="BB81" s="1" t="e">
        <f>BA81/VLOOKUP(A81,'[55]geoMap (52)'!$A:$B,2,0)*VLOOKUP(A81,'[55]geoMap (52)'!$A:$C,3,0)</f>
        <v>#REF!</v>
      </c>
      <c r="BC81" s="1" t="e">
        <f>BB81/VLOOKUP(A81,'[56]geoMap (53)'!$A:$B,2,0)*VLOOKUP(A81,'[56]geoMap (53)'!$A:$C,3,0)</f>
        <v>#REF!</v>
      </c>
      <c r="BD81" s="1" t="e">
        <f>BC81/VLOOKUP(A81,'[57]geoMap (54)'!$A:$B,2,0)*VLOOKUP(A81,'[57]geoMap (54)'!$A:$C,3,0)</f>
        <v>#REF!</v>
      </c>
      <c r="BE81" s="1" t="e">
        <f>BD81/VLOOKUP(A81,'[58]geoMap (55)'!$A:$B,2,0)*VLOOKUP(A81,'[58]geoMap (55)'!$A:$C,3,0)</f>
        <v>#REF!</v>
      </c>
      <c r="BF81" s="1" t="e">
        <f>BE81/VLOOKUP(A81,'[59]geoMap (56)'!$A:$B,2,0)*VLOOKUP(A81,'[59]geoMap (56)'!$A:$C,3,0)</f>
        <v>#REF!</v>
      </c>
      <c r="BG81" s="1" t="e">
        <f>BF81/VLOOKUP(A81,'[60]geoMap (57)'!$A:$B,2,0)*VLOOKUP(A81,'[60]geoMap (57)'!$A:$C,3,0)</f>
        <v>#REF!</v>
      </c>
      <c r="BH81" s="1" t="e">
        <f>BG81/VLOOKUP(A81,'[61]geoMap (58)'!$A:$B,2,0)*VLOOKUP(A81,'[61]geoMap (58)'!$A:$C,3,0)</f>
        <v>#REF!</v>
      </c>
      <c r="BI81" s="1" t="e">
        <f>BH81/VLOOKUP(A81,'[62]geoMap (59)'!$A:$B,2,0)*VLOOKUP(A81,'[62]geoMap (59)'!$A:$C,3,0)</f>
        <v>#REF!</v>
      </c>
      <c r="BJ81" s="1" t="e">
        <f>BI81/VLOOKUP(A81,'[63]geoMap (60)'!$A:$B,2,0)*VLOOKUP(A81,'[63]geoMap (60)'!$A:$C,3,0)</f>
        <v>#REF!</v>
      </c>
      <c r="BK81" s="1" t="e">
        <f>BJ81/VLOOKUP(A81,'[64]geoMap (61)'!$A:$B,2,0)*VLOOKUP(A81,'[64]geoMap (61)'!$A:$C,3,0)</f>
        <v>#REF!</v>
      </c>
      <c r="BL81" s="1" t="e">
        <f>BK81/VLOOKUP(A81,'[65]geoMap (62)'!$A:$B,2,0)*VLOOKUP(A81,'[65]geoMap (62)'!$A:$C,3,0)</f>
        <v>#REF!</v>
      </c>
      <c r="BM81" s="1" t="e">
        <f>BL81/VLOOKUP(A81,'[66]geoMap (63)'!$A:$B,2,0)*VLOOKUP(A81,'[66]geoMap (63)'!$A:$C,3,0)</f>
        <v>#REF!</v>
      </c>
      <c r="BN81" s="1" t="e">
        <f>BM81/VLOOKUP(A81,'[67]geoMap (64)'!$A:$B,2,0)*VLOOKUP(A81,'[67]geoMap (64)'!$A:$C,3,0)</f>
        <v>#REF!</v>
      </c>
      <c r="BO81" s="1" t="e">
        <f>BN81/VLOOKUP(A81,'[68]geoMap (65)'!$A:$B,2,0)*VLOOKUP(A81,'[68]geoMap (65)'!$A:$C,3,0)</f>
        <v>#REF!</v>
      </c>
      <c r="BP81" s="1" t="e">
        <f>BO81/VLOOKUP(A81,'[69]geoMap (66)'!$A:$B,2,0)*VLOOKUP(A81,'[69]geoMap (66)'!$A:$C,3,0)</f>
        <v>#REF!</v>
      </c>
    </row>
    <row r="82" spans="1:68" hidden="1" x14ac:dyDescent="0.2">
      <c r="A82" s="1" t="s">
        <v>17</v>
      </c>
      <c r="B82" s="1" t="e">
        <f>VLOOKUP(A82,[3]geoMap!$A:$B,2,0)*Notes!$C$6</f>
        <v>#REF!</v>
      </c>
      <c r="C82" s="1" t="e">
        <f>B82/VLOOKUP(A82,'[4]geoMap (1)'!$A:$B,2,0)*VLOOKUP(A82,'[4]geoMap (1)'!$A:$C,3,0)</f>
        <v>#REF!</v>
      </c>
      <c r="D82" s="1" t="e">
        <f>C82/VLOOKUP(A82,'[5]geoMap (2)'!$A:$B,2,0)*VLOOKUP(A82,'[5]geoMap (2)'!$A:$C,3,0)</f>
        <v>#REF!</v>
      </c>
      <c r="E82" s="1" t="e">
        <f>D82/VLOOKUP(A82,'[6]geoMap (3)'!$A:$B,2,0)*VLOOKUP(A82,'[6]geoMap (3)'!$A:$C,3,0)</f>
        <v>#REF!</v>
      </c>
      <c r="F82" s="1" t="e">
        <f>E82/VLOOKUP(A82,'[7]geoMap (4)'!$A:$B,2,0)*VLOOKUP(A82,'[7]geoMap (4)'!$A:$C,3,0)</f>
        <v>#REF!</v>
      </c>
      <c r="G82" s="1" t="e">
        <f>F82/VLOOKUP(A82,'[8]geoMap (5)'!$A:$B,2,0)*VLOOKUP(A82,'[8]geoMap (5)'!$A:$C,3,0)</f>
        <v>#REF!</v>
      </c>
      <c r="H82" s="1" t="e">
        <f>G82/VLOOKUP(A82,'[9]geoMap (6)'!$A:$B,2,0)*VLOOKUP(A82,'[9]geoMap (6)'!$A:$C,3,0)</f>
        <v>#REF!</v>
      </c>
      <c r="I82" s="1" t="e">
        <f>H82/VLOOKUP(A82,'[10]geoMap (7)'!$A:$B,2,0)*VLOOKUP(A82,'[10]geoMap (7)'!$A:$C,3,0)</f>
        <v>#REF!</v>
      </c>
      <c r="J82" s="1" t="e">
        <f>I82/VLOOKUP(A82,'[11]geoMap (8)'!$A:$B,2,0)*VLOOKUP(A82,'[11]geoMap (8)'!$A:$C,3,0)</f>
        <v>#REF!</v>
      </c>
      <c r="K82" s="1" t="e">
        <f>J82/VLOOKUP(A82,'[12]geoMap (9)'!$A:$B,2,0)*VLOOKUP(A82,'[12]geoMap (9)'!$A:$C,3,0)</f>
        <v>#REF!</v>
      </c>
      <c r="L82" s="1" t="e">
        <f>K82/VLOOKUP(A82,'[13]geoMap (10)'!$A:$B,2,0)*VLOOKUP(A82,'[13]geoMap (10)'!$A:$C,3,0)</f>
        <v>#REF!</v>
      </c>
      <c r="M82" s="1" t="e">
        <f>L82/VLOOKUP(A82,'[14]geoMap (11)'!$A:$B,2,0)*VLOOKUP(A82,'[14]geoMap (11)'!$A:$C,3,0)</f>
        <v>#REF!</v>
      </c>
      <c r="N82" s="1" t="e">
        <f>M82/VLOOKUP(A82,'[15]geoMap (12)'!$A:$B,2,0)*VLOOKUP(A82,'[15]geoMap (12)'!$A:$C,3,0)</f>
        <v>#REF!</v>
      </c>
      <c r="O82" s="1" t="e">
        <f>N82/VLOOKUP(A82,'[16]geoMap (13)'!$A:$B,2,0)*VLOOKUP(A82,'[16]geoMap (13)'!$A:$C,3,0)</f>
        <v>#REF!</v>
      </c>
      <c r="P82" s="1" t="e">
        <f>O82/VLOOKUP(A82,'[17]geoMap (14)'!$A:$B,2,0)*VLOOKUP(A82,'[17]geoMap (14)'!$A:$C,3,0)</f>
        <v>#REF!</v>
      </c>
      <c r="Q82" s="1" t="e">
        <f>P82/VLOOKUP(A82,'[18]geoMap (15)'!$A:$B,2,0)*VLOOKUP(A82,'[18]geoMap (15)'!$A:$C,3,0)</f>
        <v>#REF!</v>
      </c>
      <c r="R82" s="1" t="e">
        <f>Q82/VLOOKUP(A82,'[19]geoMap (16)'!$A:$B,2,0)*VLOOKUP(A82,'[19]geoMap (16)'!$A:$C,3,0)</f>
        <v>#REF!</v>
      </c>
      <c r="S82" s="1" t="e">
        <f>R82/VLOOKUP(A82,'[20]geoMap (17)'!$A:$B,2,0)*VLOOKUP(A82,'[20]geoMap (17)'!$A:$C,3,0)</f>
        <v>#REF!</v>
      </c>
      <c r="T82" s="1" t="e">
        <f>S82/VLOOKUP(A82,'[21]geoMap (18)'!$A:$B,2,0)*VLOOKUP(A82,'[21]geoMap (18)'!$A:$C,3,0)</f>
        <v>#REF!</v>
      </c>
      <c r="U82" s="1" t="e">
        <f>T82/VLOOKUP(A82,'[22]geoMap (19)'!$A:$B,2,0)*VLOOKUP(A82,'[22]geoMap (19)'!$A:$C,3,0)</f>
        <v>#REF!</v>
      </c>
      <c r="V82" s="1" t="e">
        <f>U82/VLOOKUP(A82,'[23]geoMap (20)'!$A:$B,2,0)*VLOOKUP(A82,'[23]geoMap (20)'!$A:$C,3,0)</f>
        <v>#REF!</v>
      </c>
      <c r="W82" s="1" t="e">
        <f>V82/VLOOKUP(A82,'[24]geoMap (21)'!$A:$B,2,0)*VLOOKUP(A82,'[24]geoMap (21)'!$A:$C,3,0)</f>
        <v>#REF!</v>
      </c>
      <c r="X82" s="1" t="e">
        <f>W82/VLOOKUP(A82,'[25]geoMap (22)'!$A:$B,2,0)*VLOOKUP(A82,'[25]geoMap (22)'!$A:$C,3,0)</f>
        <v>#REF!</v>
      </c>
      <c r="Y82" s="1" t="e">
        <f>X82/VLOOKUP(A82,'[26]geoMap (23)'!$A:$B,2,0)*VLOOKUP(A82,'[26]geoMap (23)'!$A:$C,3,0)</f>
        <v>#REF!</v>
      </c>
      <c r="Z82" s="1" t="e">
        <f>Y82/VLOOKUP(A82,'[27]geoMap (24)'!$A:$B,2,0)*VLOOKUP(A82,'[27]geoMap (24)'!$A:$C,3,0)</f>
        <v>#REF!</v>
      </c>
      <c r="AA82" s="1" t="e">
        <f>Z82/VLOOKUP(A82,'[28]geoMap (25)'!$A:$B,2,0)*VLOOKUP(A82,'[28]geoMap (25)'!$A:$C,3,0)</f>
        <v>#REF!</v>
      </c>
      <c r="AB82" s="1" t="e">
        <f>AA82*VLOOKUP(A82,'[29]geoMap (26)'!$A:$B,2,0)*VLOOKUP(A82,'[29]geoMap (26)'!$A:$C,3,0)</f>
        <v>#REF!</v>
      </c>
      <c r="AC82" s="1" t="e">
        <f>AB82/VLOOKUP(A82,'[30]geoMap (27)'!$A:$B,2,0)*VLOOKUP(A82,'[30]geoMap (27)'!$A:$C,3,0)</f>
        <v>#REF!</v>
      </c>
      <c r="AD82" s="1" t="e">
        <f>AC82/VLOOKUP(A82,'[31]geoMap (28)'!$A:$B,2,0)*VLOOKUP(A82,'[31]geoMap (28)'!$A:$C,3,0)</f>
        <v>#REF!</v>
      </c>
      <c r="AE82" s="1" t="e">
        <f>AD82/VLOOKUP(A82,'[32]geoMap (29)'!$A:$B,2,0)*VLOOKUP(A82,'[32]geoMap (29)'!$A:$C,3,0)</f>
        <v>#REF!</v>
      </c>
      <c r="AF82" s="1" t="e">
        <f>AE82/VLOOKUP(A82,'[33]geoMap (30)'!$A:$B,2,0)*VLOOKUP(A82,'[33]geoMap (30)'!$A:$C,3,0)</f>
        <v>#REF!</v>
      </c>
      <c r="AG82" s="1" t="e">
        <f>AF82/VLOOKUP(A82,'[34]geoMap (31)'!$A:$B,2,0)*VLOOKUP(A82,'[34]geoMap (31)'!$A:$C,3,0)</f>
        <v>#REF!</v>
      </c>
      <c r="AH82" s="1" t="e">
        <f>AG82/VLOOKUP(A82,'[35]geoMap (32)'!$A:$B,2,0)*VLOOKUP(A82,'[35]geoMap (32)'!$A:$C,3,0)</f>
        <v>#REF!</v>
      </c>
      <c r="AI82" s="1" t="e">
        <f>AH82/VLOOKUP(A82,'[36]geoMap (33)'!$A:$B,2,0)*VLOOKUP(A82,'[36]geoMap (33)'!$A:$C,3,0)</f>
        <v>#REF!</v>
      </c>
      <c r="AJ82" s="1" t="e">
        <f>AI82/VLOOKUP(A82,'[37]geoMap (34)'!$A:$B,2,0)*VLOOKUP(A82,'[37]geoMap (34)'!$A:$C,3,0)</f>
        <v>#REF!</v>
      </c>
      <c r="AK82" s="1" t="e">
        <f>AJ82/VLOOKUP(A82,'[38]geoMap (35)'!$A:$B,2,0)*VLOOKUP(A82,'[38]geoMap (35)'!$A:$C,3,0)</f>
        <v>#REF!</v>
      </c>
      <c r="AL82" s="1" t="e">
        <f>AK82/VLOOKUP(A82,'[39]geoMap (36)'!$A:$B,2,0)*VLOOKUP(A82,'[39]geoMap (36)'!$A:$C,3,0)</f>
        <v>#REF!</v>
      </c>
      <c r="AM82" s="1" t="e">
        <f>AL82/VLOOKUP(A82,'[40]geoMap (37)'!$A:$B,2,0)*VLOOKUP(A82,'[40]geoMap (37)'!$A:$C,3,0)</f>
        <v>#REF!</v>
      </c>
      <c r="AN82" s="1" t="e">
        <f>AM82/VLOOKUP(A82,'[41]geoMap (38)'!$A:$B,2,0)*VLOOKUP(A82,'[41]geoMap (38)'!$A:$C,3,0)</f>
        <v>#REF!</v>
      </c>
      <c r="AO82" s="1" t="e">
        <f>AN82/VLOOKUP(A82,'[42]geoMap (39)'!$A:$B,2,0)*VLOOKUP(A82,'[42]geoMap (39)'!$A:$C,3,0)</f>
        <v>#REF!</v>
      </c>
      <c r="AP82" s="1" t="e">
        <f>AO82/VLOOKUP(A82,'[43]geoMap (40)'!$A:$B,2,0)*VLOOKUP(A82,'[43]geoMap (40)'!$A:$C,3,0)</f>
        <v>#REF!</v>
      </c>
      <c r="AQ82" s="1" t="e">
        <f>AP82/VLOOKUP(A82,'[44]geoMap (41)'!$A:$B,2,0)*VLOOKUP(A82,'[44]geoMap (41)'!$A:$C,3,0)</f>
        <v>#REF!</v>
      </c>
      <c r="AR82" s="1" t="e">
        <f>AQ82/VLOOKUP(A82,'[45]geoMap (42)'!$A:$B,2,0)*VLOOKUP(A82,'[45]geoMap (42)'!$A:$C,3,0)</f>
        <v>#REF!</v>
      </c>
      <c r="AS82" s="1" t="e">
        <f>AR82/VLOOKUP(A82,'[46]geoMap (43)'!$A:$B,2,0)*VLOOKUP(A82,'[46]geoMap (43)'!$A:$C,3,0)</f>
        <v>#REF!</v>
      </c>
      <c r="AT82" s="1" t="e">
        <f>AS82/VLOOKUP(A82,'[47]geoMap (44)'!$A:$B,2,0)*VLOOKUP(A82,'[47]geoMap (44)'!$A:$C,3,0)</f>
        <v>#REF!</v>
      </c>
      <c r="AU82" s="1" t="e">
        <f>AT82/VLOOKUP(A82,'[48]geoMap (45)'!$A:$B,2,0)*VLOOKUP(A82,'[48]geoMap (45)'!$A:$C,3,0)</f>
        <v>#REF!</v>
      </c>
      <c r="AV82" s="1" t="e">
        <f>AU82/VLOOKUP(A82,'[49]geoMap (46)'!$A:$B,2,0)*VLOOKUP(A82,'[49]geoMap (46)'!$A:$C,3,0)</f>
        <v>#REF!</v>
      </c>
      <c r="AW82" s="1" t="e">
        <f>AV82/VLOOKUP(A82,'[50]geoMap (47)'!$A:$B,2,0)*VLOOKUP(A82,'[50]geoMap (47)'!$A:$C,3,0)</f>
        <v>#REF!</v>
      </c>
      <c r="AX82" s="1" t="e">
        <f>AW82/VLOOKUP(A82,'[51]geoMap (48)'!$A:$B,2,0)*VLOOKUP(A82,'[51]geoMap (48)'!$A:$C,3,0)</f>
        <v>#REF!</v>
      </c>
      <c r="AY82" s="1" t="e">
        <f>AX82/VLOOKUP(A82,'[52]geoMap (49)'!$A:$B,2,0)*VLOOKUP(A82,'[52]geoMap (49)'!$A:$C,3,0)</f>
        <v>#REF!</v>
      </c>
      <c r="AZ82" s="1" t="e">
        <f>AY82/VLOOKUP(A82,'[53]geoMap (50)'!$A:$B,2,0)*VLOOKUP(A82,'[53]geoMap (50)'!$A:$C,3,0)</f>
        <v>#REF!</v>
      </c>
      <c r="BA82" s="1" t="e">
        <f>AZ82/VLOOKUP(A82,'[54]geoMap (51)'!$A:$B,2,0)*VLOOKUP(A82,'[54]geoMap (51)'!$A:$C,3,0)</f>
        <v>#REF!</v>
      </c>
      <c r="BB82" s="1" t="e">
        <f>BA82/VLOOKUP(A82,'[55]geoMap (52)'!$A:$B,2,0)*VLOOKUP(A82,'[55]geoMap (52)'!$A:$C,3,0)</f>
        <v>#REF!</v>
      </c>
      <c r="BC82" s="1" t="e">
        <f>BB82/VLOOKUP(A82,'[56]geoMap (53)'!$A:$B,2,0)*VLOOKUP(A82,'[56]geoMap (53)'!$A:$C,3,0)</f>
        <v>#REF!</v>
      </c>
      <c r="BD82" s="1" t="e">
        <f>BC82/VLOOKUP(A82,'[57]geoMap (54)'!$A:$B,2,0)*VLOOKUP(A82,'[57]geoMap (54)'!$A:$C,3,0)</f>
        <v>#REF!</v>
      </c>
      <c r="BE82" s="1" t="e">
        <f>BD82/VLOOKUP(A82,'[58]geoMap (55)'!$A:$B,2,0)*VLOOKUP(A82,'[58]geoMap (55)'!$A:$C,3,0)</f>
        <v>#REF!</v>
      </c>
      <c r="BF82" s="1" t="e">
        <f>BE82/VLOOKUP(A82,'[59]geoMap (56)'!$A:$B,2,0)*VLOOKUP(A82,'[59]geoMap (56)'!$A:$C,3,0)</f>
        <v>#REF!</v>
      </c>
      <c r="BG82" s="1" t="e">
        <f>BF82/VLOOKUP(A82,'[60]geoMap (57)'!$A:$B,2,0)*VLOOKUP(A82,'[60]geoMap (57)'!$A:$C,3,0)</f>
        <v>#REF!</v>
      </c>
      <c r="BH82" s="1" t="e">
        <f>BG82/VLOOKUP(A82,'[61]geoMap (58)'!$A:$B,2,0)*VLOOKUP(A82,'[61]geoMap (58)'!$A:$C,3,0)</f>
        <v>#REF!</v>
      </c>
      <c r="BI82" s="1" t="e">
        <f>BH82/VLOOKUP(A82,'[62]geoMap (59)'!$A:$B,2,0)*VLOOKUP(A82,'[62]geoMap (59)'!$A:$C,3,0)</f>
        <v>#REF!</v>
      </c>
      <c r="BJ82" s="1" t="e">
        <f>BI82/VLOOKUP(A82,'[63]geoMap (60)'!$A:$B,2,0)*VLOOKUP(A82,'[63]geoMap (60)'!$A:$C,3,0)</f>
        <v>#REF!</v>
      </c>
      <c r="BK82" s="1" t="e">
        <f>BJ82/VLOOKUP(A82,'[64]geoMap (61)'!$A:$B,2,0)*VLOOKUP(A82,'[64]geoMap (61)'!$A:$C,3,0)</f>
        <v>#REF!</v>
      </c>
      <c r="BL82" s="1" t="e">
        <f>BK82/VLOOKUP(A82,'[65]geoMap (62)'!$A:$B,2,0)*VLOOKUP(A82,'[65]geoMap (62)'!$A:$C,3,0)</f>
        <v>#REF!</v>
      </c>
      <c r="BM82" s="1" t="e">
        <f>BL82/VLOOKUP(A82,'[66]geoMap (63)'!$A:$B,2,0)*VLOOKUP(A82,'[66]geoMap (63)'!$A:$C,3,0)</f>
        <v>#REF!</v>
      </c>
      <c r="BN82" s="1" t="e">
        <f>BM82/VLOOKUP(A82,'[67]geoMap (64)'!$A:$B,2,0)*VLOOKUP(A82,'[67]geoMap (64)'!$A:$C,3,0)</f>
        <v>#REF!</v>
      </c>
      <c r="BO82" s="1" t="e">
        <f>BN82/VLOOKUP(A82,'[68]geoMap (65)'!$A:$B,2,0)*VLOOKUP(A82,'[68]geoMap (65)'!$A:$C,3,0)</f>
        <v>#REF!</v>
      </c>
      <c r="BP82" s="1" t="e">
        <f>BO82/VLOOKUP(A82,'[69]geoMap (66)'!$A:$B,2,0)*VLOOKUP(A82,'[69]geoMap (66)'!$A:$C,3,0)</f>
        <v>#REF!</v>
      </c>
    </row>
    <row r="83" spans="1:68" hidden="1" x14ac:dyDescent="0.2">
      <c r="A83" s="1" t="s">
        <v>19</v>
      </c>
      <c r="B83" s="1" t="e">
        <f>VLOOKUP(A83,[3]geoMap!$A:$B,2,0)*Notes!$C$6</f>
        <v>#REF!</v>
      </c>
      <c r="C83" s="1" t="e">
        <f>B83/VLOOKUP(A83,'[4]geoMap (1)'!$A:$B,2,0)*VLOOKUP(A83,'[4]geoMap (1)'!$A:$C,3,0)</f>
        <v>#REF!</v>
      </c>
      <c r="D83" s="1" t="e">
        <f>C83/VLOOKUP(A83,'[5]geoMap (2)'!$A:$B,2,0)*VLOOKUP(A83,'[5]geoMap (2)'!$A:$C,3,0)</f>
        <v>#REF!</v>
      </c>
      <c r="E83" s="1" t="e">
        <f>D83/VLOOKUP(A83,'[6]geoMap (3)'!$A:$B,2,0)*VLOOKUP(A83,'[6]geoMap (3)'!$A:$C,3,0)</f>
        <v>#REF!</v>
      </c>
      <c r="F83" s="1" t="e">
        <f>E83/VLOOKUP(A83,'[7]geoMap (4)'!$A:$B,2,0)*VLOOKUP(A83,'[7]geoMap (4)'!$A:$C,3,0)</f>
        <v>#REF!</v>
      </c>
      <c r="G83" s="1" t="e">
        <f>F83/VLOOKUP(A83,'[8]geoMap (5)'!$A:$B,2,0)*VLOOKUP(A83,'[8]geoMap (5)'!$A:$C,3,0)</f>
        <v>#REF!</v>
      </c>
      <c r="H83" s="1" t="e">
        <f>G83/VLOOKUP(A83,'[9]geoMap (6)'!$A:$B,2,0)*VLOOKUP(A83,'[9]geoMap (6)'!$A:$C,3,0)</f>
        <v>#REF!</v>
      </c>
      <c r="I83" s="1" t="e">
        <f>H83/VLOOKUP(A83,'[10]geoMap (7)'!$A:$B,2,0)*VLOOKUP(A83,'[10]geoMap (7)'!$A:$C,3,0)</f>
        <v>#REF!</v>
      </c>
      <c r="J83" s="1" t="e">
        <f>I83/VLOOKUP(A83,'[11]geoMap (8)'!$A:$B,2,0)*VLOOKUP(A83,'[11]geoMap (8)'!$A:$C,3,0)</f>
        <v>#REF!</v>
      </c>
      <c r="K83" s="1" t="e">
        <f>J83/VLOOKUP(A83,'[12]geoMap (9)'!$A:$B,2,0)*VLOOKUP(A83,'[12]geoMap (9)'!$A:$C,3,0)</f>
        <v>#REF!</v>
      </c>
      <c r="L83" s="1" t="e">
        <f>K83/VLOOKUP(A83,'[13]geoMap (10)'!$A:$B,2,0)*VLOOKUP(A83,'[13]geoMap (10)'!$A:$C,3,0)</f>
        <v>#REF!</v>
      </c>
      <c r="M83" s="1" t="e">
        <f>L83/VLOOKUP(A83,'[14]geoMap (11)'!$A:$B,2,0)*VLOOKUP(A83,'[14]geoMap (11)'!$A:$C,3,0)</f>
        <v>#REF!</v>
      </c>
      <c r="N83" s="1" t="e">
        <f>M83/VLOOKUP(A83,'[15]geoMap (12)'!$A:$B,2,0)*VLOOKUP(A83,'[15]geoMap (12)'!$A:$C,3,0)</f>
        <v>#REF!</v>
      </c>
      <c r="O83" s="1" t="e">
        <f>N83/VLOOKUP(A83,'[16]geoMap (13)'!$A:$B,2,0)*VLOOKUP(A83,'[16]geoMap (13)'!$A:$C,3,0)</f>
        <v>#REF!</v>
      </c>
      <c r="P83" s="1" t="e">
        <f>O83/VLOOKUP(A83,'[17]geoMap (14)'!$A:$B,2,0)*VLOOKUP(A83,'[17]geoMap (14)'!$A:$C,3,0)</f>
        <v>#REF!</v>
      </c>
      <c r="Q83" s="1" t="e">
        <f>P83/VLOOKUP(A83,'[18]geoMap (15)'!$A:$B,2,0)*VLOOKUP(A83,'[18]geoMap (15)'!$A:$C,3,0)</f>
        <v>#REF!</v>
      </c>
      <c r="R83" s="1" t="e">
        <f>Q83/VLOOKUP(A83,'[19]geoMap (16)'!$A:$B,2,0)*VLOOKUP(A83,'[19]geoMap (16)'!$A:$C,3,0)</f>
        <v>#REF!</v>
      </c>
      <c r="S83" s="1" t="e">
        <f>R83/VLOOKUP(A83,'[20]geoMap (17)'!$A:$B,2,0)*VLOOKUP(A83,'[20]geoMap (17)'!$A:$C,3,0)</f>
        <v>#REF!</v>
      </c>
      <c r="T83" s="1" t="e">
        <f>S83/VLOOKUP(A83,'[21]geoMap (18)'!$A:$B,2,0)*VLOOKUP(A83,'[21]geoMap (18)'!$A:$C,3,0)</f>
        <v>#REF!</v>
      </c>
      <c r="U83" s="1" t="e">
        <f>T83/VLOOKUP(A83,'[22]geoMap (19)'!$A:$B,2,0)*VLOOKUP(A83,'[22]geoMap (19)'!$A:$C,3,0)</f>
        <v>#REF!</v>
      </c>
      <c r="V83" s="1" t="e">
        <f>U83/VLOOKUP(A83,'[23]geoMap (20)'!$A:$B,2,0)*VLOOKUP(A83,'[23]geoMap (20)'!$A:$C,3,0)</f>
        <v>#REF!</v>
      </c>
      <c r="W83" s="1" t="e">
        <f>V83/VLOOKUP(A83,'[24]geoMap (21)'!$A:$B,2,0)*VLOOKUP(A83,'[24]geoMap (21)'!$A:$C,3,0)</f>
        <v>#REF!</v>
      </c>
      <c r="X83" s="1" t="e">
        <f>W83/VLOOKUP(A83,'[25]geoMap (22)'!$A:$B,2,0)*VLOOKUP(A83,'[25]geoMap (22)'!$A:$C,3,0)</f>
        <v>#REF!</v>
      </c>
      <c r="Y83" s="1" t="e">
        <f>X83/VLOOKUP(A83,'[26]geoMap (23)'!$A:$B,2,0)*VLOOKUP(A83,'[26]geoMap (23)'!$A:$C,3,0)</f>
        <v>#REF!</v>
      </c>
      <c r="Z83" s="1" t="e">
        <f>Y83/VLOOKUP(A83,'[27]geoMap (24)'!$A:$B,2,0)*VLOOKUP(A83,'[27]geoMap (24)'!$A:$C,3,0)</f>
        <v>#REF!</v>
      </c>
      <c r="AA83" s="1" t="e">
        <f>Z83/VLOOKUP(A83,'[28]geoMap (25)'!$A:$B,2,0)*VLOOKUP(A83,'[28]geoMap (25)'!$A:$C,3,0)</f>
        <v>#REF!</v>
      </c>
      <c r="AB83" s="1" t="e">
        <f>AA83*VLOOKUP(A83,'[29]geoMap (26)'!$A:$B,2,0)*VLOOKUP(A83,'[29]geoMap (26)'!$A:$C,3,0)</f>
        <v>#REF!</v>
      </c>
      <c r="AC83" s="1" t="e">
        <f>AB83/VLOOKUP(A83,'[30]geoMap (27)'!$A:$B,2,0)*VLOOKUP(A83,'[30]geoMap (27)'!$A:$C,3,0)</f>
        <v>#REF!</v>
      </c>
      <c r="AD83" s="1" t="e">
        <f>AC83/VLOOKUP(A83,'[31]geoMap (28)'!$A:$B,2,0)*VLOOKUP(A83,'[31]geoMap (28)'!$A:$C,3,0)</f>
        <v>#REF!</v>
      </c>
      <c r="AE83" s="1" t="e">
        <f>AD83/VLOOKUP(A83,'[32]geoMap (29)'!$A:$B,2,0)*VLOOKUP(A83,'[32]geoMap (29)'!$A:$C,3,0)</f>
        <v>#REF!</v>
      </c>
      <c r="AF83" s="1" t="e">
        <f>AE83/VLOOKUP(A83,'[33]geoMap (30)'!$A:$B,2,0)*VLOOKUP(A83,'[33]geoMap (30)'!$A:$C,3,0)</f>
        <v>#REF!</v>
      </c>
      <c r="AG83" s="1" t="e">
        <f>AF83/VLOOKUP(A83,'[34]geoMap (31)'!$A:$B,2,0)*VLOOKUP(A83,'[34]geoMap (31)'!$A:$C,3,0)</f>
        <v>#REF!</v>
      </c>
      <c r="AH83" s="1" t="e">
        <f>AG83/VLOOKUP(A83,'[35]geoMap (32)'!$A:$B,2,0)*VLOOKUP(A83,'[35]geoMap (32)'!$A:$C,3,0)</f>
        <v>#REF!</v>
      </c>
      <c r="AI83" s="1" t="e">
        <f>AH83/VLOOKUP(A83,'[36]geoMap (33)'!$A:$B,2,0)*VLOOKUP(A83,'[36]geoMap (33)'!$A:$C,3,0)</f>
        <v>#REF!</v>
      </c>
      <c r="AJ83" s="1" t="e">
        <f>AI83/VLOOKUP(A83,'[37]geoMap (34)'!$A:$B,2,0)*VLOOKUP(A83,'[37]geoMap (34)'!$A:$C,3,0)</f>
        <v>#REF!</v>
      </c>
      <c r="AK83" s="1" t="e">
        <f>AJ83/VLOOKUP(A83,'[38]geoMap (35)'!$A:$B,2,0)*VLOOKUP(A83,'[38]geoMap (35)'!$A:$C,3,0)</f>
        <v>#REF!</v>
      </c>
      <c r="AL83" s="1" t="e">
        <f>AK83/VLOOKUP(A83,'[39]geoMap (36)'!$A:$B,2,0)*VLOOKUP(A83,'[39]geoMap (36)'!$A:$C,3,0)</f>
        <v>#REF!</v>
      </c>
      <c r="AM83" s="1" t="e">
        <f>AL83/VLOOKUP(A83,'[40]geoMap (37)'!$A:$B,2,0)*VLOOKUP(A83,'[40]geoMap (37)'!$A:$C,3,0)</f>
        <v>#REF!</v>
      </c>
      <c r="AN83" s="1" t="e">
        <f>AM83/VLOOKUP(A83,'[41]geoMap (38)'!$A:$B,2,0)*VLOOKUP(A83,'[41]geoMap (38)'!$A:$C,3,0)</f>
        <v>#REF!</v>
      </c>
      <c r="AO83" s="1" t="e">
        <f>AN83/VLOOKUP(A83,'[42]geoMap (39)'!$A:$B,2,0)*VLOOKUP(A83,'[42]geoMap (39)'!$A:$C,3,0)</f>
        <v>#REF!</v>
      </c>
      <c r="AP83" s="1" t="e">
        <f>AO83/VLOOKUP(A83,'[43]geoMap (40)'!$A:$B,2,0)*VLOOKUP(A83,'[43]geoMap (40)'!$A:$C,3,0)</f>
        <v>#REF!</v>
      </c>
      <c r="AQ83" s="1" t="e">
        <f>AP83/VLOOKUP(A83,'[44]geoMap (41)'!$A:$B,2,0)*VLOOKUP(A83,'[44]geoMap (41)'!$A:$C,3,0)</f>
        <v>#REF!</v>
      </c>
      <c r="AR83" s="1" t="e">
        <f>AQ83/VLOOKUP(A83,'[45]geoMap (42)'!$A:$B,2,0)*VLOOKUP(A83,'[45]geoMap (42)'!$A:$C,3,0)</f>
        <v>#REF!</v>
      </c>
      <c r="AS83" s="1" t="e">
        <f>AR83/VLOOKUP(A83,'[46]geoMap (43)'!$A:$B,2,0)*VLOOKUP(A83,'[46]geoMap (43)'!$A:$C,3,0)</f>
        <v>#REF!</v>
      </c>
      <c r="AT83" s="1" t="e">
        <f>AS83/VLOOKUP(A83,'[47]geoMap (44)'!$A:$B,2,0)*VLOOKUP(A83,'[47]geoMap (44)'!$A:$C,3,0)</f>
        <v>#REF!</v>
      </c>
      <c r="AU83" s="1" t="e">
        <f>AT83/VLOOKUP(A83,'[48]geoMap (45)'!$A:$B,2,0)*VLOOKUP(A83,'[48]geoMap (45)'!$A:$C,3,0)</f>
        <v>#REF!</v>
      </c>
      <c r="AV83" s="1" t="e">
        <f>AU83/VLOOKUP(A83,'[49]geoMap (46)'!$A:$B,2,0)*VLOOKUP(A83,'[49]geoMap (46)'!$A:$C,3,0)</f>
        <v>#REF!</v>
      </c>
      <c r="AW83" s="1" t="e">
        <f>AV83/VLOOKUP(A83,'[50]geoMap (47)'!$A:$B,2,0)*VLOOKUP(A83,'[50]geoMap (47)'!$A:$C,3,0)</f>
        <v>#REF!</v>
      </c>
      <c r="AX83" s="1" t="e">
        <f>AW83/VLOOKUP(A83,'[51]geoMap (48)'!$A:$B,2,0)*VLOOKUP(A83,'[51]geoMap (48)'!$A:$C,3,0)</f>
        <v>#REF!</v>
      </c>
      <c r="AY83" s="1" t="e">
        <f>AX83/VLOOKUP(A83,'[52]geoMap (49)'!$A:$B,2,0)*VLOOKUP(A83,'[52]geoMap (49)'!$A:$C,3,0)</f>
        <v>#REF!</v>
      </c>
      <c r="AZ83" s="1" t="e">
        <f>AY83/VLOOKUP(A83,'[53]geoMap (50)'!$A:$B,2,0)*VLOOKUP(A83,'[53]geoMap (50)'!$A:$C,3,0)</f>
        <v>#REF!</v>
      </c>
      <c r="BA83" s="1" t="e">
        <f>AZ83/VLOOKUP(A83,'[54]geoMap (51)'!$A:$B,2,0)*VLOOKUP(A83,'[54]geoMap (51)'!$A:$C,3,0)</f>
        <v>#REF!</v>
      </c>
      <c r="BB83" s="1" t="e">
        <f>BA83/VLOOKUP(A83,'[55]geoMap (52)'!$A:$B,2,0)*VLOOKUP(A83,'[55]geoMap (52)'!$A:$C,3,0)</f>
        <v>#REF!</v>
      </c>
      <c r="BC83" s="1" t="e">
        <f>BB83/VLOOKUP(A83,'[56]geoMap (53)'!$A:$B,2,0)*VLOOKUP(A83,'[56]geoMap (53)'!$A:$C,3,0)</f>
        <v>#REF!</v>
      </c>
      <c r="BD83" s="1" t="e">
        <f>BC83/VLOOKUP(A83,'[57]geoMap (54)'!$A:$B,2,0)*VLOOKUP(A83,'[57]geoMap (54)'!$A:$C,3,0)</f>
        <v>#REF!</v>
      </c>
      <c r="BE83" s="1" t="e">
        <f>BD83/VLOOKUP(A83,'[58]geoMap (55)'!$A:$B,2,0)*VLOOKUP(A83,'[58]geoMap (55)'!$A:$C,3,0)</f>
        <v>#REF!</v>
      </c>
      <c r="BF83" s="1" t="e">
        <f>BE83/VLOOKUP(A83,'[59]geoMap (56)'!$A:$B,2,0)*VLOOKUP(A83,'[59]geoMap (56)'!$A:$C,3,0)</f>
        <v>#REF!</v>
      </c>
      <c r="BG83" s="1" t="e">
        <f>BF83/VLOOKUP(A83,'[60]geoMap (57)'!$A:$B,2,0)*VLOOKUP(A83,'[60]geoMap (57)'!$A:$C,3,0)</f>
        <v>#REF!</v>
      </c>
      <c r="BH83" s="1" t="e">
        <f>BG83/VLOOKUP(A83,'[61]geoMap (58)'!$A:$B,2,0)*VLOOKUP(A83,'[61]geoMap (58)'!$A:$C,3,0)</f>
        <v>#REF!</v>
      </c>
      <c r="BI83" s="1" t="e">
        <f>BH83/VLOOKUP(A83,'[62]geoMap (59)'!$A:$B,2,0)*VLOOKUP(A83,'[62]geoMap (59)'!$A:$C,3,0)</f>
        <v>#REF!</v>
      </c>
      <c r="BJ83" s="1" t="e">
        <f>BI83/VLOOKUP(A83,'[63]geoMap (60)'!$A:$B,2,0)*VLOOKUP(A83,'[63]geoMap (60)'!$A:$C,3,0)</f>
        <v>#REF!</v>
      </c>
      <c r="BK83" s="1" t="e">
        <f>BJ83/VLOOKUP(A83,'[64]geoMap (61)'!$A:$B,2,0)*VLOOKUP(A83,'[64]geoMap (61)'!$A:$C,3,0)</f>
        <v>#REF!</v>
      </c>
      <c r="BL83" s="1" t="e">
        <f>BK83/VLOOKUP(A83,'[65]geoMap (62)'!$A:$B,2,0)*VLOOKUP(A83,'[65]geoMap (62)'!$A:$C,3,0)</f>
        <v>#REF!</v>
      </c>
      <c r="BM83" s="1" t="e">
        <f>BL83/VLOOKUP(A83,'[66]geoMap (63)'!$A:$B,2,0)*VLOOKUP(A83,'[66]geoMap (63)'!$A:$C,3,0)</f>
        <v>#REF!</v>
      </c>
      <c r="BN83" s="1" t="e">
        <f>BM83/VLOOKUP(A83,'[67]geoMap (64)'!$A:$B,2,0)*VLOOKUP(A83,'[67]geoMap (64)'!$A:$C,3,0)</f>
        <v>#REF!</v>
      </c>
      <c r="BO83" s="1" t="e">
        <f>BN83/VLOOKUP(A83,'[68]geoMap (65)'!$A:$B,2,0)*VLOOKUP(A83,'[68]geoMap (65)'!$A:$C,3,0)</f>
        <v>#REF!</v>
      </c>
      <c r="BP83" s="1" t="e">
        <f>BO83/VLOOKUP(A83,'[69]geoMap (66)'!$A:$B,2,0)*VLOOKUP(A83,'[69]geoMap (66)'!$A:$C,3,0)</f>
        <v>#REF!</v>
      </c>
    </row>
    <row r="84" spans="1:68" hidden="1" x14ac:dyDescent="0.2">
      <c r="A84" s="1" t="s">
        <v>21</v>
      </c>
      <c r="B84" s="1" t="e">
        <f>VLOOKUP(A84,[3]geoMap!$A:$B,2,0)*Notes!$C$6</f>
        <v>#REF!</v>
      </c>
      <c r="C84" s="1" t="e">
        <f>B84/VLOOKUP(A84,'[4]geoMap (1)'!$A:$B,2,0)*VLOOKUP(A84,'[4]geoMap (1)'!$A:$C,3,0)</f>
        <v>#REF!</v>
      </c>
      <c r="D84" s="1" t="e">
        <f>C84/VLOOKUP(A84,'[5]geoMap (2)'!$A:$B,2,0)*VLOOKUP(A84,'[5]geoMap (2)'!$A:$C,3,0)</f>
        <v>#REF!</v>
      </c>
      <c r="E84" s="1" t="e">
        <f>D84/VLOOKUP(A84,'[6]geoMap (3)'!$A:$B,2,0)*VLOOKUP(A84,'[6]geoMap (3)'!$A:$C,3,0)</f>
        <v>#REF!</v>
      </c>
      <c r="F84" s="1" t="e">
        <f>E84/VLOOKUP(A84,'[7]geoMap (4)'!$A:$B,2,0)*VLOOKUP(A84,'[7]geoMap (4)'!$A:$C,3,0)</f>
        <v>#REF!</v>
      </c>
      <c r="G84" s="1" t="e">
        <f>F84/VLOOKUP(A84,'[8]geoMap (5)'!$A:$B,2,0)*VLOOKUP(A84,'[8]geoMap (5)'!$A:$C,3,0)</f>
        <v>#REF!</v>
      </c>
      <c r="H84" s="1" t="e">
        <f>G84/VLOOKUP(A84,'[9]geoMap (6)'!$A:$B,2,0)*VLOOKUP(A84,'[9]geoMap (6)'!$A:$C,3,0)</f>
        <v>#REF!</v>
      </c>
      <c r="I84" s="1" t="e">
        <f>H84/VLOOKUP(A84,'[10]geoMap (7)'!$A:$B,2,0)*VLOOKUP(A84,'[10]geoMap (7)'!$A:$C,3,0)</f>
        <v>#REF!</v>
      </c>
      <c r="J84" s="1" t="e">
        <f>I84/VLOOKUP(A84,'[11]geoMap (8)'!$A:$B,2,0)*VLOOKUP(A84,'[11]geoMap (8)'!$A:$C,3,0)</f>
        <v>#REF!</v>
      </c>
      <c r="K84" s="1" t="e">
        <f>J84/VLOOKUP(A84,'[12]geoMap (9)'!$A:$B,2,0)*VLOOKUP(A84,'[12]geoMap (9)'!$A:$C,3,0)</f>
        <v>#REF!</v>
      </c>
      <c r="L84" s="1" t="e">
        <f>K84/VLOOKUP(A84,'[13]geoMap (10)'!$A:$B,2,0)*VLOOKUP(A84,'[13]geoMap (10)'!$A:$C,3,0)</f>
        <v>#REF!</v>
      </c>
      <c r="M84" s="1" t="e">
        <f>L84/VLOOKUP(A84,'[14]geoMap (11)'!$A:$B,2,0)*VLOOKUP(A84,'[14]geoMap (11)'!$A:$C,3,0)</f>
        <v>#REF!</v>
      </c>
      <c r="N84" s="1" t="e">
        <f>M84/VLOOKUP(A84,'[15]geoMap (12)'!$A:$B,2,0)*VLOOKUP(A84,'[15]geoMap (12)'!$A:$C,3,0)</f>
        <v>#REF!</v>
      </c>
      <c r="O84" s="1" t="e">
        <f>N84/VLOOKUP(A84,'[16]geoMap (13)'!$A:$B,2,0)*VLOOKUP(A84,'[16]geoMap (13)'!$A:$C,3,0)</f>
        <v>#REF!</v>
      </c>
      <c r="P84" s="1" t="e">
        <f>O84/VLOOKUP(A84,'[17]geoMap (14)'!$A:$B,2,0)*VLOOKUP(A84,'[17]geoMap (14)'!$A:$C,3,0)</f>
        <v>#REF!</v>
      </c>
      <c r="Q84" s="1" t="e">
        <f>P84/VLOOKUP(A84,'[18]geoMap (15)'!$A:$B,2,0)*VLOOKUP(A84,'[18]geoMap (15)'!$A:$C,3,0)</f>
        <v>#REF!</v>
      </c>
      <c r="R84" s="1" t="e">
        <f>Q84/VLOOKUP(A84,'[19]geoMap (16)'!$A:$B,2,0)*VLOOKUP(A84,'[19]geoMap (16)'!$A:$C,3,0)</f>
        <v>#REF!</v>
      </c>
      <c r="S84" s="1" t="e">
        <f>R84/VLOOKUP(A84,'[20]geoMap (17)'!$A:$B,2,0)*VLOOKUP(A84,'[20]geoMap (17)'!$A:$C,3,0)</f>
        <v>#REF!</v>
      </c>
      <c r="T84" s="1" t="e">
        <f>S84/VLOOKUP(A84,'[21]geoMap (18)'!$A:$B,2,0)*VLOOKUP(A84,'[21]geoMap (18)'!$A:$C,3,0)</f>
        <v>#REF!</v>
      </c>
      <c r="U84" s="1" t="e">
        <f>T84/VLOOKUP(A84,'[22]geoMap (19)'!$A:$B,2,0)*VLOOKUP(A84,'[22]geoMap (19)'!$A:$C,3,0)</f>
        <v>#REF!</v>
      </c>
      <c r="V84" s="1" t="e">
        <f>U84/VLOOKUP(A84,'[23]geoMap (20)'!$A:$B,2,0)*VLOOKUP(A84,'[23]geoMap (20)'!$A:$C,3,0)</f>
        <v>#REF!</v>
      </c>
      <c r="W84" s="1" t="e">
        <f>V84/VLOOKUP(A84,'[24]geoMap (21)'!$A:$B,2,0)*VLOOKUP(A84,'[24]geoMap (21)'!$A:$C,3,0)</f>
        <v>#REF!</v>
      </c>
      <c r="X84" s="1" t="e">
        <f>W84/VLOOKUP(A84,'[25]geoMap (22)'!$A:$B,2,0)*VLOOKUP(A84,'[25]geoMap (22)'!$A:$C,3,0)</f>
        <v>#REF!</v>
      </c>
      <c r="Y84" s="1" t="e">
        <f>X84/VLOOKUP(A84,'[26]geoMap (23)'!$A:$B,2,0)*VLOOKUP(A84,'[26]geoMap (23)'!$A:$C,3,0)</f>
        <v>#REF!</v>
      </c>
      <c r="Z84" s="1" t="e">
        <f>Y84/VLOOKUP(A84,'[27]geoMap (24)'!$A:$B,2,0)*VLOOKUP(A84,'[27]geoMap (24)'!$A:$C,3,0)</f>
        <v>#REF!</v>
      </c>
      <c r="AA84" s="1" t="e">
        <f>Z84/VLOOKUP(A84,'[28]geoMap (25)'!$A:$B,2,0)*VLOOKUP(A84,'[28]geoMap (25)'!$A:$C,3,0)</f>
        <v>#REF!</v>
      </c>
      <c r="AB84" s="1" t="e">
        <f>AA84*VLOOKUP(A84,'[29]geoMap (26)'!$A:$B,2,0)*VLOOKUP(A84,'[29]geoMap (26)'!$A:$C,3,0)</f>
        <v>#REF!</v>
      </c>
      <c r="AC84" s="1" t="e">
        <f>AB84/VLOOKUP(A84,'[30]geoMap (27)'!$A:$B,2,0)*VLOOKUP(A84,'[30]geoMap (27)'!$A:$C,3,0)</f>
        <v>#REF!</v>
      </c>
      <c r="AD84" s="1" t="e">
        <f>AC84/VLOOKUP(A84,'[31]geoMap (28)'!$A:$B,2,0)*VLOOKUP(A84,'[31]geoMap (28)'!$A:$C,3,0)</f>
        <v>#REF!</v>
      </c>
      <c r="AE84" s="1" t="e">
        <f>AD84/VLOOKUP(A84,'[32]geoMap (29)'!$A:$B,2,0)*VLOOKUP(A84,'[32]geoMap (29)'!$A:$C,3,0)</f>
        <v>#REF!</v>
      </c>
      <c r="AF84" s="1" t="e">
        <f>AE84/VLOOKUP(A84,'[33]geoMap (30)'!$A:$B,2,0)*VLOOKUP(A84,'[33]geoMap (30)'!$A:$C,3,0)</f>
        <v>#REF!</v>
      </c>
      <c r="AG84" s="1" t="e">
        <f>AF84/VLOOKUP(A84,'[34]geoMap (31)'!$A:$B,2,0)*VLOOKUP(A84,'[34]geoMap (31)'!$A:$C,3,0)</f>
        <v>#REF!</v>
      </c>
      <c r="AH84" s="1" t="e">
        <f>AG84/VLOOKUP(A84,'[35]geoMap (32)'!$A:$B,2,0)*VLOOKUP(A84,'[35]geoMap (32)'!$A:$C,3,0)</f>
        <v>#REF!</v>
      </c>
      <c r="AI84" s="1" t="e">
        <f>AH84/VLOOKUP(A84,'[36]geoMap (33)'!$A:$B,2,0)*VLOOKUP(A84,'[36]geoMap (33)'!$A:$C,3,0)</f>
        <v>#REF!</v>
      </c>
      <c r="AJ84" s="1" t="e">
        <f>AI84/VLOOKUP(A84,'[37]geoMap (34)'!$A:$B,2,0)*VLOOKUP(A84,'[37]geoMap (34)'!$A:$C,3,0)</f>
        <v>#REF!</v>
      </c>
      <c r="AK84" s="1" t="e">
        <f>AJ84/VLOOKUP(A84,'[38]geoMap (35)'!$A:$B,2,0)*VLOOKUP(A84,'[38]geoMap (35)'!$A:$C,3,0)</f>
        <v>#REF!</v>
      </c>
      <c r="AL84" s="1" t="e">
        <f>AK84/VLOOKUP(A84,'[39]geoMap (36)'!$A:$B,2,0)*VLOOKUP(A84,'[39]geoMap (36)'!$A:$C,3,0)</f>
        <v>#REF!</v>
      </c>
      <c r="AM84" s="1" t="e">
        <f>AL84/VLOOKUP(A84,'[40]geoMap (37)'!$A:$B,2,0)*VLOOKUP(A84,'[40]geoMap (37)'!$A:$C,3,0)</f>
        <v>#REF!</v>
      </c>
      <c r="AN84" s="1" t="e">
        <f>AM84/VLOOKUP(A84,'[41]geoMap (38)'!$A:$B,2,0)*VLOOKUP(A84,'[41]geoMap (38)'!$A:$C,3,0)</f>
        <v>#REF!</v>
      </c>
      <c r="AO84" s="1" t="e">
        <f>AN84/VLOOKUP(A84,'[42]geoMap (39)'!$A:$B,2,0)*VLOOKUP(A84,'[42]geoMap (39)'!$A:$C,3,0)</f>
        <v>#REF!</v>
      </c>
      <c r="AP84" s="1" t="e">
        <f>AO84/VLOOKUP(A84,'[43]geoMap (40)'!$A:$B,2,0)*VLOOKUP(A84,'[43]geoMap (40)'!$A:$C,3,0)</f>
        <v>#REF!</v>
      </c>
      <c r="AQ84" s="1" t="e">
        <f>AP84/VLOOKUP(A84,'[44]geoMap (41)'!$A:$B,2,0)*VLOOKUP(A84,'[44]geoMap (41)'!$A:$C,3,0)</f>
        <v>#REF!</v>
      </c>
      <c r="AR84" s="1" t="e">
        <f>AQ84/VLOOKUP(A84,'[45]geoMap (42)'!$A:$B,2,0)*VLOOKUP(A84,'[45]geoMap (42)'!$A:$C,3,0)</f>
        <v>#REF!</v>
      </c>
      <c r="AS84" s="1" t="e">
        <f>AR84/VLOOKUP(A84,'[46]geoMap (43)'!$A:$B,2,0)*VLOOKUP(A84,'[46]geoMap (43)'!$A:$C,3,0)</f>
        <v>#REF!</v>
      </c>
      <c r="AT84" s="1" t="e">
        <f>AS84/VLOOKUP(A84,'[47]geoMap (44)'!$A:$B,2,0)*VLOOKUP(A84,'[47]geoMap (44)'!$A:$C,3,0)</f>
        <v>#REF!</v>
      </c>
      <c r="AU84" s="1" t="e">
        <f>AT84/VLOOKUP(A84,'[48]geoMap (45)'!$A:$B,2,0)*VLOOKUP(A84,'[48]geoMap (45)'!$A:$C,3,0)</f>
        <v>#REF!</v>
      </c>
      <c r="AV84" s="1" t="e">
        <f>AU84/VLOOKUP(A84,'[49]geoMap (46)'!$A:$B,2,0)*VLOOKUP(A84,'[49]geoMap (46)'!$A:$C,3,0)</f>
        <v>#REF!</v>
      </c>
      <c r="AW84" s="1" t="e">
        <f>AV84/VLOOKUP(A84,'[50]geoMap (47)'!$A:$B,2,0)*VLOOKUP(A84,'[50]geoMap (47)'!$A:$C,3,0)</f>
        <v>#REF!</v>
      </c>
      <c r="AX84" s="1" t="e">
        <f>AW84/VLOOKUP(A84,'[51]geoMap (48)'!$A:$B,2,0)*VLOOKUP(A84,'[51]geoMap (48)'!$A:$C,3,0)</f>
        <v>#REF!</v>
      </c>
      <c r="AY84" s="1" t="e">
        <f>AX84/VLOOKUP(A84,'[52]geoMap (49)'!$A:$B,2,0)*VLOOKUP(A84,'[52]geoMap (49)'!$A:$C,3,0)</f>
        <v>#REF!</v>
      </c>
      <c r="AZ84" s="1" t="e">
        <f>AY84/VLOOKUP(A84,'[53]geoMap (50)'!$A:$B,2,0)*VLOOKUP(A84,'[53]geoMap (50)'!$A:$C,3,0)</f>
        <v>#REF!</v>
      </c>
      <c r="BA84" s="1" t="e">
        <f>AZ84/VLOOKUP(A84,'[54]geoMap (51)'!$A:$B,2,0)*VLOOKUP(A84,'[54]geoMap (51)'!$A:$C,3,0)</f>
        <v>#REF!</v>
      </c>
      <c r="BB84" s="1" t="e">
        <f>BA84/VLOOKUP(A84,'[55]geoMap (52)'!$A:$B,2,0)*VLOOKUP(A84,'[55]geoMap (52)'!$A:$C,3,0)</f>
        <v>#REF!</v>
      </c>
      <c r="BC84" s="1" t="e">
        <f>BB84/VLOOKUP(A84,'[56]geoMap (53)'!$A:$B,2,0)*VLOOKUP(A84,'[56]geoMap (53)'!$A:$C,3,0)</f>
        <v>#REF!</v>
      </c>
      <c r="BD84" s="1" t="e">
        <f>BC84/VLOOKUP(A84,'[57]geoMap (54)'!$A:$B,2,0)*VLOOKUP(A84,'[57]geoMap (54)'!$A:$C,3,0)</f>
        <v>#REF!</v>
      </c>
      <c r="BE84" s="1" t="e">
        <f>BD84/VLOOKUP(A84,'[58]geoMap (55)'!$A:$B,2,0)*VLOOKUP(A84,'[58]geoMap (55)'!$A:$C,3,0)</f>
        <v>#REF!</v>
      </c>
      <c r="BF84" s="1" t="e">
        <f>BE84/VLOOKUP(A84,'[59]geoMap (56)'!$A:$B,2,0)*VLOOKUP(A84,'[59]geoMap (56)'!$A:$C,3,0)</f>
        <v>#REF!</v>
      </c>
      <c r="BG84" s="1" t="e">
        <f>BF84/VLOOKUP(A84,'[60]geoMap (57)'!$A:$B,2,0)*VLOOKUP(A84,'[60]geoMap (57)'!$A:$C,3,0)</f>
        <v>#REF!</v>
      </c>
      <c r="BH84" s="1" t="e">
        <f>BG84/VLOOKUP(A84,'[61]geoMap (58)'!$A:$B,2,0)*VLOOKUP(A84,'[61]geoMap (58)'!$A:$C,3,0)</f>
        <v>#REF!</v>
      </c>
      <c r="BI84" s="1" t="e">
        <f>BH84/VLOOKUP(A84,'[62]geoMap (59)'!$A:$B,2,0)*VLOOKUP(A84,'[62]geoMap (59)'!$A:$C,3,0)</f>
        <v>#REF!</v>
      </c>
      <c r="BJ84" s="1" t="e">
        <f>BI84/VLOOKUP(A84,'[63]geoMap (60)'!$A:$B,2,0)*VLOOKUP(A84,'[63]geoMap (60)'!$A:$C,3,0)</f>
        <v>#REF!</v>
      </c>
      <c r="BK84" s="1" t="e">
        <f>BJ84/VLOOKUP(A84,'[64]geoMap (61)'!$A:$B,2,0)*VLOOKUP(A84,'[64]geoMap (61)'!$A:$C,3,0)</f>
        <v>#REF!</v>
      </c>
      <c r="BL84" s="1" t="e">
        <f>BK84/VLOOKUP(A84,'[65]geoMap (62)'!$A:$B,2,0)*VLOOKUP(A84,'[65]geoMap (62)'!$A:$C,3,0)</f>
        <v>#REF!</v>
      </c>
      <c r="BM84" s="1" t="e">
        <f>BL84/VLOOKUP(A84,'[66]geoMap (63)'!$A:$B,2,0)*VLOOKUP(A84,'[66]geoMap (63)'!$A:$C,3,0)</f>
        <v>#REF!</v>
      </c>
      <c r="BN84" s="1" t="e">
        <f>BM84/VLOOKUP(A84,'[67]geoMap (64)'!$A:$B,2,0)*VLOOKUP(A84,'[67]geoMap (64)'!$A:$C,3,0)</f>
        <v>#REF!</v>
      </c>
      <c r="BO84" s="1" t="e">
        <f>BN84/VLOOKUP(A84,'[68]geoMap (65)'!$A:$B,2,0)*VLOOKUP(A84,'[68]geoMap (65)'!$A:$C,3,0)</f>
        <v>#REF!</v>
      </c>
      <c r="BP84" s="1" t="e">
        <f>BO84/VLOOKUP(A84,'[69]geoMap (66)'!$A:$B,2,0)*VLOOKUP(A84,'[69]geoMap (66)'!$A:$C,3,0)</f>
        <v>#REF!</v>
      </c>
    </row>
    <row r="85" spans="1:68" hidden="1" x14ac:dyDescent="0.2">
      <c r="A85" s="1" t="s">
        <v>22</v>
      </c>
      <c r="B85" s="1" t="e">
        <f>VLOOKUP(A85,[3]geoMap!$A:$B,2,0)*Notes!$C$6</f>
        <v>#REF!</v>
      </c>
      <c r="C85" s="1" t="e">
        <f>B85/VLOOKUP(A85,'[4]geoMap (1)'!$A:$B,2,0)*VLOOKUP(A85,'[4]geoMap (1)'!$A:$C,3,0)</f>
        <v>#REF!</v>
      </c>
      <c r="D85" s="1" t="e">
        <f>C85/VLOOKUP(A85,'[5]geoMap (2)'!$A:$B,2,0)*VLOOKUP(A85,'[5]geoMap (2)'!$A:$C,3,0)</f>
        <v>#REF!</v>
      </c>
      <c r="E85" s="1" t="e">
        <f>D85/VLOOKUP(A85,'[6]geoMap (3)'!$A:$B,2,0)*VLOOKUP(A85,'[6]geoMap (3)'!$A:$C,3,0)</f>
        <v>#REF!</v>
      </c>
      <c r="F85" s="1" t="e">
        <f>E85/VLOOKUP(A85,'[7]geoMap (4)'!$A:$B,2,0)*VLOOKUP(A85,'[7]geoMap (4)'!$A:$C,3,0)</f>
        <v>#REF!</v>
      </c>
      <c r="G85" s="1" t="e">
        <f>F85/VLOOKUP(A85,'[8]geoMap (5)'!$A:$B,2,0)*VLOOKUP(A85,'[8]geoMap (5)'!$A:$C,3,0)</f>
        <v>#REF!</v>
      </c>
      <c r="H85" s="1" t="e">
        <f>G85/VLOOKUP(A85,'[9]geoMap (6)'!$A:$B,2,0)*VLOOKUP(A85,'[9]geoMap (6)'!$A:$C,3,0)</f>
        <v>#REF!</v>
      </c>
      <c r="I85" s="1" t="e">
        <f>H85/VLOOKUP(A85,'[10]geoMap (7)'!$A:$B,2,0)*VLOOKUP(A85,'[10]geoMap (7)'!$A:$C,3,0)</f>
        <v>#REF!</v>
      </c>
      <c r="J85" s="1" t="e">
        <f>I85/VLOOKUP(A85,'[11]geoMap (8)'!$A:$B,2,0)*VLOOKUP(A85,'[11]geoMap (8)'!$A:$C,3,0)</f>
        <v>#REF!</v>
      </c>
      <c r="K85" s="1" t="e">
        <f>J85/VLOOKUP(A85,'[12]geoMap (9)'!$A:$B,2,0)*VLOOKUP(A85,'[12]geoMap (9)'!$A:$C,3,0)</f>
        <v>#REF!</v>
      </c>
      <c r="L85" s="1" t="e">
        <f>K85/VLOOKUP(A85,'[13]geoMap (10)'!$A:$B,2,0)*VLOOKUP(A85,'[13]geoMap (10)'!$A:$C,3,0)</f>
        <v>#REF!</v>
      </c>
      <c r="M85" s="1" t="e">
        <f>L85/VLOOKUP(A85,'[14]geoMap (11)'!$A:$B,2,0)*VLOOKUP(A85,'[14]geoMap (11)'!$A:$C,3,0)</f>
        <v>#REF!</v>
      </c>
      <c r="N85" s="1" t="e">
        <f>M85/VLOOKUP(A85,'[15]geoMap (12)'!$A:$B,2,0)*VLOOKUP(A85,'[15]geoMap (12)'!$A:$C,3,0)</f>
        <v>#REF!</v>
      </c>
      <c r="O85" s="1" t="e">
        <f>N85/VLOOKUP(A85,'[16]geoMap (13)'!$A:$B,2,0)*VLOOKUP(A85,'[16]geoMap (13)'!$A:$C,3,0)</f>
        <v>#REF!</v>
      </c>
      <c r="P85" s="1" t="e">
        <f>O85/VLOOKUP(A85,'[17]geoMap (14)'!$A:$B,2,0)*VLOOKUP(A85,'[17]geoMap (14)'!$A:$C,3,0)</f>
        <v>#REF!</v>
      </c>
      <c r="Q85" s="1" t="e">
        <f>P85/VLOOKUP(A85,'[18]geoMap (15)'!$A:$B,2,0)*VLOOKUP(A85,'[18]geoMap (15)'!$A:$C,3,0)</f>
        <v>#REF!</v>
      </c>
      <c r="R85" s="1" t="e">
        <f>Q85/VLOOKUP(A85,'[19]geoMap (16)'!$A:$B,2,0)*VLOOKUP(A85,'[19]geoMap (16)'!$A:$C,3,0)</f>
        <v>#REF!</v>
      </c>
      <c r="S85" s="1" t="e">
        <f>R85/VLOOKUP(A85,'[20]geoMap (17)'!$A:$B,2,0)*VLOOKUP(A85,'[20]geoMap (17)'!$A:$C,3,0)</f>
        <v>#REF!</v>
      </c>
      <c r="T85" s="1" t="e">
        <f>S85/VLOOKUP(A85,'[21]geoMap (18)'!$A:$B,2,0)*VLOOKUP(A85,'[21]geoMap (18)'!$A:$C,3,0)</f>
        <v>#REF!</v>
      </c>
      <c r="U85" s="1" t="e">
        <f>T85/VLOOKUP(A85,'[22]geoMap (19)'!$A:$B,2,0)*VLOOKUP(A85,'[22]geoMap (19)'!$A:$C,3,0)</f>
        <v>#REF!</v>
      </c>
      <c r="V85" s="1" t="e">
        <f>U85/VLOOKUP(A85,'[23]geoMap (20)'!$A:$B,2,0)*VLOOKUP(A85,'[23]geoMap (20)'!$A:$C,3,0)</f>
        <v>#REF!</v>
      </c>
      <c r="W85" s="1" t="e">
        <f>V85/VLOOKUP(A85,'[24]geoMap (21)'!$A:$B,2,0)*VLOOKUP(A85,'[24]geoMap (21)'!$A:$C,3,0)</f>
        <v>#REF!</v>
      </c>
      <c r="X85" s="1" t="e">
        <f>W85/VLOOKUP(A85,'[25]geoMap (22)'!$A:$B,2,0)*VLOOKUP(A85,'[25]geoMap (22)'!$A:$C,3,0)</f>
        <v>#REF!</v>
      </c>
      <c r="Y85" s="1" t="e">
        <f>X85/VLOOKUP(A85,'[26]geoMap (23)'!$A:$B,2,0)*VLOOKUP(A85,'[26]geoMap (23)'!$A:$C,3,0)</f>
        <v>#REF!</v>
      </c>
      <c r="Z85" s="1" t="e">
        <f>Y85/VLOOKUP(A85,'[27]geoMap (24)'!$A:$B,2,0)*VLOOKUP(A85,'[27]geoMap (24)'!$A:$C,3,0)</f>
        <v>#REF!</v>
      </c>
      <c r="AA85" s="1" t="e">
        <f>Z85/VLOOKUP(A85,'[28]geoMap (25)'!$A:$B,2,0)*VLOOKUP(A85,'[28]geoMap (25)'!$A:$C,3,0)</f>
        <v>#REF!</v>
      </c>
      <c r="AB85" s="1" t="e">
        <f>AA85*VLOOKUP(A85,'[29]geoMap (26)'!$A:$B,2,0)*VLOOKUP(A85,'[29]geoMap (26)'!$A:$C,3,0)</f>
        <v>#REF!</v>
      </c>
      <c r="AC85" s="1" t="e">
        <f>AB85/VLOOKUP(A85,'[30]geoMap (27)'!$A:$B,2,0)*VLOOKUP(A85,'[30]geoMap (27)'!$A:$C,3,0)</f>
        <v>#REF!</v>
      </c>
      <c r="AD85" s="1" t="e">
        <f>AC85/VLOOKUP(A85,'[31]geoMap (28)'!$A:$B,2,0)*VLOOKUP(A85,'[31]geoMap (28)'!$A:$C,3,0)</f>
        <v>#REF!</v>
      </c>
      <c r="AE85" s="1" t="e">
        <f>AD85/VLOOKUP(A85,'[32]geoMap (29)'!$A:$B,2,0)*VLOOKUP(A85,'[32]geoMap (29)'!$A:$C,3,0)</f>
        <v>#REF!</v>
      </c>
      <c r="AF85" s="1" t="e">
        <f>AE85/VLOOKUP(A85,'[33]geoMap (30)'!$A:$B,2,0)*VLOOKUP(A85,'[33]geoMap (30)'!$A:$C,3,0)</f>
        <v>#REF!</v>
      </c>
      <c r="AG85" s="1" t="e">
        <f>AF85/VLOOKUP(A85,'[34]geoMap (31)'!$A:$B,2,0)*VLOOKUP(A85,'[34]geoMap (31)'!$A:$C,3,0)</f>
        <v>#REF!</v>
      </c>
      <c r="AH85" s="1" t="e">
        <f>AG85/VLOOKUP(A85,'[35]geoMap (32)'!$A:$B,2,0)*VLOOKUP(A85,'[35]geoMap (32)'!$A:$C,3,0)</f>
        <v>#REF!</v>
      </c>
      <c r="AI85" s="1" t="e">
        <f>AH85/VLOOKUP(A85,'[36]geoMap (33)'!$A:$B,2,0)*VLOOKUP(A85,'[36]geoMap (33)'!$A:$C,3,0)</f>
        <v>#REF!</v>
      </c>
      <c r="AJ85" s="1" t="e">
        <f>AI85/VLOOKUP(A85,'[37]geoMap (34)'!$A:$B,2,0)*VLOOKUP(A85,'[37]geoMap (34)'!$A:$C,3,0)</f>
        <v>#REF!</v>
      </c>
      <c r="AK85" s="1" t="e">
        <f>AJ85/VLOOKUP(A85,'[38]geoMap (35)'!$A:$B,2,0)*VLOOKUP(A85,'[38]geoMap (35)'!$A:$C,3,0)</f>
        <v>#REF!</v>
      </c>
      <c r="AL85" s="1" t="e">
        <f>AK85/VLOOKUP(A85,'[39]geoMap (36)'!$A:$B,2,0)*VLOOKUP(A85,'[39]geoMap (36)'!$A:$C,3,0)</f>
        <v>#REF!</v>
      </c>
      <c r="AM85" s="1" t="e">
        <f>AL85/VLOOKUP(A85,'[40]geoMap (37)'!$A:$B,2,0)*VLOOKUP(A85,'[40]geoMap (37)'!$A:$C,3,0)</f>
        <v>#REF!</v>
      </c>
      <c r="AN85" s="1" t="e">
        <f>AM85/VLOOKUP(A85,'[41]geoMap (38)'!$A:$B,2,0)*VLOOKUP(A85,'[41]geoMap (38)'!$A:$C,3,0)</f>
        <v>#REF!</v>
      </c>
      <c r="AO85" s="1" t="e">
        <f>AN85/VLOOKUP(A85,'[42]geoMap (39)'!$A:$B,2,0)*VLOOKUP(A85,'[42]geoMap (39)'!$A:$C,3,0)</f>
        <v>#REF!</v>
      </c>
      <c r="AP85" s="1" t="e">
        <f>AO85/VLOOKUP(A85,'[43]geoMap (40)'!$A:$B,2,0)*VLOOKUP(A85,'[43]geoMap (40)'!$A:$C,3,0)</f>
        <v>#REF!</v>
      </c>
      <c r="AQ85" s="1" t="e">
        <f>AP85/VLOOKUP(A85,'[44]geoMap (41)'!$A:$B,2,0)*VLOOKUP(A85,'[44]geoMap (41)'!$A:$C,3,0)</f>
        <v>#REF!</v>
      </c>
      <c r="AR85" s="1" t="e">
        <f>AQ85/VLOOKUP(A85,'[45]geoMap (42)'!$A:$B,2,0)*VLOOKUP(A85,'[45]geoMap (42)'!$A:$C,3,0)</f>
        <v>#REF!</v>
      </c>
      <c r="AS85" s="1" t="e">
        <f>AR85/VLOOKUP(A85,'[46]geoMap (43)'!$A:$B,2,0)*VLOOKUP(A85,'[46]geoMap (43)'!$A:$C,3,0)</f>
        <v>#REF!</v>
      </c>
      <c r="AT85" s="1" t="e">
        <f>AS85/VLOOKUP(A85,'[47]geoMap (44)'!$A:$B,2,0)*VLOOKUP(A85,'[47]geoMap (44)'!$A:$C,3,0)</f>
        <v>#REF!</v>
      </c>
      <c r="AU85" s="1" t="e">
        <f>AT85/VLOOKUP(A85,'[48]geoMap (45)'!$A:$B,2,0)*VLOOKUP(A85,'[48]geoMap (45)'!$A:$C,3,0)</f>
        <v>#REF!</v>
      </c>
      <c r="AV85" s="1" t="e">
        <f>AU85/VLOOKUP(A85,'[49]geoMap (46)'!$A:$B,2,0)*VLOOKUP(A85,'[49]geoMap (46)'!$A:$C,3,0)</f>
        <v>#REF!</v>
      </c>
      <c r="AW85" s="1" t="e">
        <f>AV85/VLOOKUP(A85,'[50]geoMap (47)'!$A:$B,2,0)*VLOOKUP(A85,'[50]geoMap (47)'!$A:$C,3,0)</f>
        <v>#REF!</v>
      </c>
      <c r="AX85" s="1" t="e">
        <f>AW85/VLOOKUP(A85,'[51]geoMap (48)'!$A:$B,2,0)*VLOOKUP(A85,'[51]geoMap (48)'!$A:$C,3,0)</f>
        <v>#REF!</v>
      </c>
      <c r="AY85" s="1" t="e">
        <f>AX85/VLOOKUP(A85,'[52]geoMap (49)'!$A:$B,2,0)*VLOOKUP(A85,'[52]geoMap (49)'!$A:$C,3,0)</f>
        <v>#REF!</v>
      </c>
      <c r="AZ85" s="1" t="e">
        <f>AY85/VLOOKUP(A85,'[53]geoMap (50)'!$A:$B,2,0)*VLOOKUP(A85,'[53]geoMap (50)'!$A:$C,3,0)</f>
        <v>#REF!</v>
      </c>
      <c r="BA85" s="1" t="e">
        <f>AZ85/VLOOKUP(A85,'[54]geoMap (51)'!$A:$B,2,0)*VLOOKUP(A85,'[54]geoMap (51)'!$A:$C,3,0)</f>
        <v>#REF!</v>
      </c>
      <c r="BB85" s="1" t="e">
        <f>BA85/VLOOKUP(A85,'[55]geoMap (52)'!$A:$B,2,0)*VLOOKUP(A85,'[55]geoMap (52)'!$A:$C,3,0)</f>
        <v>#REF!</v>
      </c>
      <c r="BC85" s="1" t="e">
        <f>BB85/VLOOKUP(A85,'[56]geoMap (53)'!$A:$B,2,0)*VLOOKUP(A85,'[56]geoMap (53)'!$A:$C,3,0)</f>
        <v>#REF!</v>
      </c>
      <c r="BD85" s="1" t="e">
        <f>BC85/VLOOKUP(A85,'[57]geoMap (54)'!$A:$B,2,0)*VLOOKUP(A85,'[57]geoMap (54)'!$A:$C,3,0)</f>
        <v>#REF!</v>
      </c>
      <c r="BE85" s="1" t="e">
        <f>BD85/VLOOKUP(A85,'[58]geoMap (55)'!$A:$B,2,0)*VLOOKUP(A85,'[58]geoMap (55)'!$A:$C,3,0)</f>
        <v>#REF!</v>
      </c>
      <c r="BF85" s="1" t="e">
        <f>BE85/VLOOKUP(A85,'[59]geoMap (56)'!$A:$B,2,0)*VLOOKUP(A85,'[59]geoMap (56)'!$A:$C,3,0)</f>
        <v>#REF!</v>
      </c>
      <c r="BG85" s="1" t="e">
        <f>BF85/VLOOKUP(A85,'[60]geoMap (57)'!$A:$B,2,0)*VLOOKUP(A85,'[60]geoMap (57)'!$A:$C,3,0)</f>
        <v>#REF!</v>
      </c>
      <c r="BH85" s="1" t="e">
        <f>BG85/VLOOKUP(A85,'[61]geoMap (58)'!$A:$B,2,0)*VLOOKUP(A85,'[61]geoMap (58)'!$A:$C,3,0)</f>
        <v>#REF!</v>
      </c>
      <c r="BI85" s="1" t="e">
        <f>BH85/VLOOKUP(A85,'[62]geoMap (59)'!$A:$B,2,0)*VLOOKUP(A85,'[62]geoMap (59)'!$A:$C,3,0)</f>
        <v>#REF!</v>
      </c>
      <c r="BJ85" s="1" t="e">
        <f>BI85/VLOOKUP(A85,'[63]geoMap (60)'!$A:$B,2,0)*VLOOKUP(A85,'[63]geoMap (60)'!$A:$C,3,0)</f>
        <v>#REF!</v>
      </c>
      <c r="BK85" s="1" t="e">
        <f>BJ85/VLOOKUP(A85,'[64]geoMap (61)'!$A:$B,2,0)*VLOOKUP(A85,'[64]geoMap (61)'!$A:$C,3,0)</f>
        <v>#REF!</v>
      </c>
      <c r="BL85" s="1" t="e">
        <f>BK85/VLOOKUP(A85,'[65]geoMap (62)'!$A:$B,2,0)*VLOOKUP(A85,'[65]geoMap (62)'!$A:$C,3,0)</f>
        <v>#REF!</v>
      </c>
      <c r="BM85" s="1" t="e">
        <f>BL85/VLOOKUP(A85,'[66]geoMap (63)'!$A:$B,2,0)*VLOOKUP(A85,'[66]geoMap (63)'!$A:$C,3,0)</f>
        <v>#REF!</v>
      </c>
      <c r="BN85" s="1" t="e">
        <f>BM85/VLOOKUP(A85,'[67]geoMap (64)'!$A:$B,2,0)*VLOOKUP(A85,'[67]geoMap (64)'!$A:$C,3,0)</f>
        <v>#REF!</v>
      </c>
      <c r="BO85" s="1" t="e">
        <f>BN85/VLOOKUP(A85,'[68]geoMap (65)'!$A:$B,2,0)*VLOOKUP(A85,'[68]geoMap (65)'!$A:$C,3,0)</f>
        <v>#REF!</v>
      </c>
      <c r="BP85" s="1" t="e">
        <f>BO85/VLOOKUP(A85,'[69]geoMap (66)'!$A:$B,2,0)*VLOOKUP(A85,'[69]geoMap (66)'!$A:$C,3,0)</f>
        <v>#REF!</v>
      </c>
    </row>
    <row r="86" spans="1:68" hidden="1" x14ac:dyDescent="0.2">
      <c r="A86" s="1" t="s">
        <v>23</v>
      </c>
      <c r="B86" s="1" t="e">
        <f>VLOOKUP(A86,[3]geoMap!$A:$B,2,0)*Notes!$C$6</f>
        <v>#REF!</v>
      </c>
      <c r="C86" s="1" t="e">
        <f>B86/VLOOKUP(A86,'[4]geoMap (1)'!$A:$B,2,0)*VLOOKUP(A86,'[4]geoMap (1)'!$A:$C,3,0)</f>
        <v>#REF!</v>
      </c>
      <c r="D86" s="1" t="e">
        <f>C86/VLOOKUP(A86,'[5]geoMap (2)'!$A:$B,2,0)*VLOOKUP(A86,'[5]geoMap (2)'!$A:$C,3,0)</f>
        <v>#REF!</v>
      </c>
      <c r="E86" s="1" t="e">
        <f>D86/VLOOKUP(A86,'[6]geoMap (3)'!$A:$B,2,0)*VLOOKUP(A86,'[6]geoMap (3)'!$A:$C,3,0)</f>
        <v>#REF!</v>
      </c>
      <c r="F86" s="1" t="e">
        <f>E86/VLOOKUP(A86,'[7]geoMap (4)'!$A:$B,2,0)*VLOOKUP(A86,'[7]geoMap (4)'!$A:$C,3,0)</f>
        <v>#REF!</v>
      </c>
      <c r="G86" s="1" t="e">
        <f>F86/VLOOKUP(A86,'[8]geoMap (5)'!$A:$B,2,0)*VLOOKUP(A86,'[8]geoMap (5)'!$A:$C,3,0)</f>
        <v>#REF!</v>
      </c>
      <c r="H86" s="1" t="e">
        <f>G86/VLOOKUP(A86,'[9]geoMap (6)'!$A:$B,2,0)*VLOOKUP(A86,'[9]geoMap (6)'!$A:$C,3,0)</f>
        <v>#REF!</v>
      </c>
      <c r="I86" s="1" t="e">
        <f>H86/VLOOKUP(A86,'[10]geoMap (7)'!$A:$B,2,0)*VLOOKUP(A86,'[10]geoMap (7)'!$A:$C,3,0)</f>
        <v>#REF!</v>
      </c>
      <c r="J86" s="1" t="e">
        <f>I86/VLOOKUP(A86,'[11]geoMap (8)'!$A:$B,2,0)*VLOOKUP(A86,'[11]geoMap (8)'!$A:$C,3,0)</f>
        <v>#REF!</v>
      </c>
      <c r="K86" s="1" t="e">
        <f>J86/VLOOKUP(A86,'[12]geoMap (9)'!$A:$B,2,0)*VLOOKUP(A86,'[12]geoMap (9)'!$A:$C,3,0)</f>
        <v>#REF!</v>
      </c>
      <c r="L86" s="1" t="e">
        <f>K86/VLOOKUP(A86,'[13]geoMap (10)'!$A:$B,2,0)*VLOOKUP(A86,'[13]geoMap (10)'!$A:$C,3,0)</f>
        <v>#REF!</v>
      </c>
      <c r="M86" s="1" t="e">
        <f>L86/VLOOKUP(A86,'[14]geoMap (11)'!$A:$B,2,0)*VLOOKUP(A86,'[14]geoMap (11)'!$A:$C,3,0)</f>
        <v>#REF!</v>
      </c>
      <c r="N86" s="1" t="e">
        <f>M86/VLOOKUP(A86,'[15]geoMap (12)'!$A:$B,2,0)*VLOOKUP(A86,'[15]geoMap (12)'!$A:$C,3,0)</f>
        <v>#REF!</v>
      </c>
      <c r="O86" s="1" t="e">
        <f>N86/VLOOKUP(A86,'[16]geoMap (13)'!$A:$B,2,0)*VLOOKUP(A86,'[16]geoMap (13)'!$A:$C,3,0)</f>
        <v>#REF!</v>
      </c>
      <c r="P86" s="1" t="e">
        <f>O86/VLOOKUP(A86,'[17]geoMap (14)'!$A:$B,2,0)*VLOOKUP(A86,'[17]geoMap (14)'!$A:$C,3,0)</f>
        <v>#REF!</v>
      </c>
      <c r="Q86" s="1" t="e">
        <f>P86/VLOOKUP(A86,'[18]geoMap (15)'!$A:$B,2,0)*VLOOKUP(A86,'[18]geoMap (15)'!$A:$C,3,0)</f>
        <v>#REF!</v>
      </c>
      <c r="R86" s="1" t="e">
        <f>Q86/VLOOKUP(A86,'[19]geoMap (16)'!$A:$B,2,0)*VLOOKUP(A86,'[19]geoMap (16)'!$A:$C,3,0)</f>
        <v>#REF!</v>
      </c>
      <c r="S86" s="1" t="e">
        <f>R86/VLOOKUP(A86,'[20]geoMap (17)'!$A:$B,2,0)*VLOOKUP(A86,'[20]geoMap (17)'!$A:$C,3,0)</f>
        <v>#REF!</v>
      </c>
      <c r="T86" s="1" t="e">
        <f>S86/VLOOKUP(A86,'[21]geoMap (18)'!$A:$B,2,0)*VLOOKUP(A86,'[21]geoMap (18)'!$A:$C,3,0)</f>
        <v>#REF!</v>
      </c>
      <c r="U86" s="1" t="e">
        <f>T86/VLOOKUP(A86,'[22]geoMap (19)'!$A:$B,2,0)*VLOOKUP(A86,'[22]geoMap (19)'!$A:$C,3,0)</f>
        <v>#REF!</v>
      </c>
      <c r="V86" s="1" t="e">
        <f>U86/VLOOKUP(A86,'[23]geoMap (20)'!$A:$B,2,0)*VLOOKUP(A86,'[23]geoMap (20)'!$A:$C,3,0)</f>
        <v>#REF!</v>
      </c>
      <c r="W86" s="1" t="e">
        <f>V86/VLOOKUP(A86,'[24]geoMap (21)'!$A:$B,2,0)*VLOOKUP(A86,'[24]geoMap (21)'!$A:$C,3,0)</f>
        <v>#REF!</v>
      </c>
      <c r="X86" s="1" t="e">
        <f>W86/VLOOKUP(A86,'[25]geoMap (22)'!$A:$B,2,0)*VLOOKUP(A86,'[25]geoMap (22)'!$A:$C,3,0)</f>
        <v>#REF!</v>
      </c>
      <c r="Y86" s="1" t="e">
        <f>X86/VLOOKUP(A86,'[26]geoMap (23)'!$A:$B,2,0)*VLOOKUP(A86,'[26]geoMap (23)'!$A:$C,3,0)</f>
        <v>#REF!</v>
      </c>
      <c r="Z86" s="1" t="e">
        <f>Y86/VLOOKUP(A86,'[27]geoMap (24)'!$A:$B,2,0)*VLOOKUP(A86,'[27]geoMap (24)'!$A:$C,3,0)</f>
        <v>#REF!</v>
      </c>
      <c r="AA86" s="1" t="e">
        <f>Z86/VLOOKUP(A86,'[28]geoMap (25)'!$A:$B,2,0)*VLOOKUP(A86,'[28]geoMap (25)'!$A:$C,3,0)</f>
        <v>#REF!</v>
      </c>
      <c r="AB86" s="1" t="e">
        <f>AA86*VLOOKUP(A86,'[29]geoMap (26)'!$A:$B,2,0)*VLOOKUP(A86,'[29]geoMap (26)'!$A:$C,3,0)</f>
        <v>#REF!</v>
      </c>
      <c r="AC86" s="1" t="e">
        <f>AB86/VLOOKUP(A86,'[30]geoMap (27)'!$A:$B,2,0)*VLOOKUP(A86,'[30]geoMap (27)'!$A:$C,3,0)</f>
        <v>#REF!</v>
      </c>
      <c r="AD86" s="1" t="e">
        <f>AC86/VLOOKUP(A86,'[31]geoMap (28)'!$A:$B,2,0)*VLOOKUP(A86,'[31]geoMap (28)'!$A:$C,3,0)</f>
        <v>#REF!</v>
      </c>
      <c r="AE86" s="1" t="e">
        <f>AD86/VLOOKUP(A86,'[32]geoMap (29)'!$A:$B,2,0)*VLOOKUP(A86,'[32]geoMap (29)'!$A:$C,3,0)</f>
        <v>#REF!</v>
      </c>
      <c r="AF86" s="1" t="e">
        <f>AE86/VLOOKUP(A86,'[33]geoMap (30)'!$A:$B,2,0)*VLOOKUP(A86,'[33]geoMap (30)'!$A:$C,3,0)</f>
        <v>#REF!</v>
      </c>
      <c r="AG86" s="1" t="e">
        <f>AF86/VLOOKUP(A86,'[34]geoMap (31)'!$A:$B,2,0)*VLOOKUP(A86,'[34]geoMap (31)'!$A:$C,3,0)</f>
        <v>#REF!</v>
      </c>
      <c r="AH86" s="1" t="e">
        <f>AG86/VLOOKUP(A86,'[35]geoMap (32)'!$A:$B,2,0)*VLOOKUP(A86,'[35]geoMap (32)'!$A:$C,3,0)</f>
        <v>#REF!</v>
      </c>
      <c r="AI86" s="1" t="e">
        <f>AH86/VLOOKUP(A86,'[36]geoMap (33)'!$A:$B,2,0)*VLOOKUP(A86,'[36]geoMap (33)'!$A:$C,3,0)</f>
        <v>#REF!</v>
      </c>
      <c r="AJ86" s="1" t="e">
        <f>AI86/VLOOKUP(A86,'[37]geoMap (34)'!$A:$B,2,0)*VLOOKUP(A86,'[37]geoMap (34)'!$A:$C,3,0)</f>
        <v>#REF!</v>
      </c>
      <c r="AK86" s="1" t="e">
        <f>AJ86/VLOOKUP(A86,'[38]geoMap (35)'!$A:$B,2,0)*VLOOKUP(A86,'[38]geoMap (35)'!$A:$C,3,0)</f>
        <v>#REF!</v>
      </c>
      <c r="AL86" s="1" t="e">
        <f>AK86/VLOOKUP(A86,'[39]geoMap (36)'!$A:$B,2,0)*VLOOKUP(A86,'[39]geoMap (36)'!$A:$C,3,0)</f>
        <v>#REF!</v>
      </c>
      <c r="AM86" s="1" t="e">
        <f>AL86/VLOOKUP(A86,'[40]geoMap (37)'!$A:$B,2,0)*VLOOKUP(A86,'[40]geoMap (37)'!$A:$C,3,0)</f>
        <v>#REF!</v>
      </c>
      <c r="AN86" s="1" t="e">
        <f>AM86/VLOOKUP(A86,'[41]geoMap (38)'!$A:$B,2,0)*VLOOKUP(A86,'[41]geoMap (38)'!$A:$C,3,0)</f>
        <v>#REF!</v>
      </c>
      <c r="AO86" s="1" t="e">
        <f>AN86/VLOOKUP(A86,'[42]geoMap (39)'!$A:$B,2,0)*VLOOKUP(A86,'[42]geoMap (39)'!$A:$C,3,0)</f>
        <v>#REF!</v>
      </c>
      <c r="AP86" s="1" t="e">
        <f>AO86/VLOOKUP(A86,'[43]geoMap (40)'!$A:$B,2,0)*VLOOKUP(A86,'[43]geoMap (40)'!$A:$C,3,0)</f>
        <v>#REF!</v>
      </c>
      <c r="AQ86" s="1" t="e">
        <f>AP86/VLOOKUP(A86,'[44]geoMap (41)'!$A:$B,2,0)*VLOOKUP(A86,'[44]geoMap (41)'!$A:$C,3,0)</f>
        <v>#REF!</v>
      </c>
      <c r="AR86" s="1" t="e">
        <f>AQ86/VLOOKUP(A86,'[45]geoMap (42)'!$A:$B,2,0)*VLOOKUP(A86,'[45]geoMap (42)'!$A:$C,3,0)</f>
        <v>#REF!</v>
      </c>
      <c r="AS86" s="1" t="e">
        <f>AR86/VLOOKUP(A86,'[46]geoMap (43)'!$A:$B,2,0)*VLOOKUP(A86,'[46]geoMap (43)'!$A:$C,3,0)</f>
        <v>#REF!</v>
      </c>
      <c r="AT86" s="1" t="e">
        <f>AS86/VLOOKUP(A86,'[47]geoMap (44)'!$A:$B,2,0)*VLOOKUP(A86,'[47]geoMap (44)'!$A:$C,3,0)</f>
        <v>#REF!</v>
      </c>
      <c r="AU86" s="1" t="e">
        <f>AT86/VLOOKUP(A86,'[48]geoMap (45)'!$A:$B,2,0)*VLOOKUP(A86,'[48]geoMap (45)'!$A:$C,3,0)</f>
        <v>#REF!</v>
      </c>
      <c r="AV86" s="1" t="e">
        <f>AU86/VLOOKUP(A86,'[49]geoMap (46)'!$A:$B,2,0)*VLOOKUP(A86,'[49]geoMap (46)'!$A:$C,3,0)</f>
        <v>#REF!</v>
      </c>
      <c r="AW86" s="1" t="e">
        <f>AV86/VLOOKUP(A86,'[50]geoMap (47)'!$A:$B,2,0)*VLOOKUP(A86,'[50]geoMap (47)'!$A:$C,3,0)</f>
        <v>#REF!</v>
      </c>
      <c r="AX86" s="1" t="e">
        <f>AW86/VLOOKUP(A86,'[51]geoMap (48)'!$A:$B,2,0)*VLOOKUP(A86,'[51]geoMap (48)'!$A:$C,3,0)</f>
        <v>#REF!</v>
      </c>
      <c r="AY86" s="1" t="e">
        <f>AX86/VLOOKUP(A86,'[52]geoMap (49)'!$A:$B,2,0)*VLOOKUP(A86,'[52]geoMap (49)'!$A:$C,3,0)</f>
        <v>#REF!</v>
      </c>
      <c r="AZ86" s="1" t="e">
        <f>AY86/VLOOKUP(A86,'[53]geoMap (50)'!$A:$B,2,0)*VLOOKUP(A86,'[53]geoMap (50)'!$A:$C,3,0)</f>
        <v>#REF!</v>
      </c>
      <c r="BA86" s="1" t="e">
        <f>AZ86/VLOOKUP(A86,'[54]geoMap (51)'!$A:$B,2,0)*VLOOKUP(A86,'[54]geoMap (51)'!$A:$C,3,0)</f>
        <v>#REF!</v>
      </c>
      <c r="BB86" s="1" t="e">
        <f>BA86/VLOOKUP(A86,'[55]geoMap (52)'!$A:$B,2,0)*VLOOKUP(A86,'[55]geoMap (52)'!$A:$C,3,0)</f>
        <v>#REF!</v>
      </c>
      <c r="BC86" s="1" t="e">
        <f>BB86/VLOOKUP(A86,'[56]geoMap (53)'!$A:$B,2,0)*VLOOKUP(A86,'[56]geoMap (53)'!$A:$C,3,0)</f>
        <v>#REF!</v>
      </c>
      <c r="BD86" s="1" t="e">
        <f>BC86/VLOOKUP(A86,'[57]geoMap (54)'!$A:$B,2,0)*VLOOKUP(A86,'[57]geoMap (54)'!$A:$C,3,0)</f>
        <v>#REF!</v>
      </c>
      <c r="BE86" s="1" t="e">
        <f>BD86/VLOOKUP(A86,'[58]geoMap (55)'!$A:$B,2,0)*VLOOKUP(A86,'[58]geoMap (55)'!$A:$C,3,0)</f>
        <v>#REF!</v>
      </c>
      <c r="BF86" s="1" t="e">
        <f>BE86/VLOOKUP(A86,'[59]geoMap (56)'!$A:$B,2,0)*VLOOKUP(A86,'[59]geoMap (56)'!$A:$C,3,0)</f>
        <v>#REF!</v>
      </c>
      <c r="BG86" s="1" t="e">
        <f>BF86/VLOOKUP(A86,'[60]geoMap (57)'!$A:$B,2,0)*VLOOKUP(A86,'[60]geoMap (57)'!$A:$C,3,0)</f>
        <v>#REF!</v>
      </c>
      <c r="BH86" s="1" t="e">
        <f>BG86/VLOOKUP(A86,'[61]geoMap (58)'!$A:$B,2,0)*VLOOKUP(A86,'[61]geoMap (58)'!$A:$C,3,0)</f>
        <v>#REF!</v>
      </c>
      <c r="BI86" s="1" t="e">
        <f>BH86/VLOOKUP(A86,'[62]geoMap (59)'!$A:$B,2,0)*VLOOKUP(A86,'[62]geoMap (59)'!$A:$C,3,0)</f>
        <v>#REF!</v>
      </c>
      <c r="BJ86" s="1" t="e">
        <f>BI86/VLOOKUP(A86,'[63]geoMap (60)'!$A:$B,2,0)*VLOOKUP(A86,'[63]geoMap (60)'!$A:$C,3,0)</f>
        <v>#REF!</v>
      </c>
      <c r="BK86" s="1" t="e">
        <f>BJ86/VLOOKUP(A86,'[64]geoMap (61)'!$A:$B,2,0)*VLOOKUP(A86,'[64]geoMap (61)'!$A:$C,3,0)</f>
        <v>#REF!</v>
      </c>
      <c r="BL86" s="1" t="e">
        <f>BK86/VLOOKUP(A86,'[65]geoMap (62)'!$A:$B,2,0)*VLOOKUP(A86,'[65]geoMap (62)'!$A:$C,3,0)</f>
        <v>#REF!</v>
      </c>
      <c r="BM86" s="1" t="e">
        <f>BL86/VLOOKUP(A86,'[66]geoMap (63)'!$A:$B,2,0)*VLOOKUP(A86,'[66]geoMap (63)'!$A:$C,3,0)</f>
        <v>#REF!</v>
      </c>
      <c r="BN86" s="1" t="e">
        <f>BM86/VLOOKUP(A86,'[67]geoMap (64)'!$A:$B,2,0)*VLOOKUP(A86,'[67]geoMap (64)'!$A:$C,3,0)</f>
        <v>#REF!</v>
      </c>
      <c r="BO86" s="1" t="e">
        <f>BN86/VLOOKUP(A86,'[68]geoMap (65)'!$A:$B,2,0)*VLOOKUP(A86,'[68]geoMap (65)'!$A:$C,3,0)</f>
        <v>#REF!</v>
      </c>
      <c r="BP86" s="1" t="e">
        <f>BO86/VLOOKUP(A86,'[69]geoMap (66)'!$A:$B,2,0)*VLOOKUP(A86,'[69]geoMap (66)'!$A:$C,3,0)</f>
        <v>#REF!</v>
      </c>
    </row>
    <row r="87" spans="1:68" hidden="1" x14ac:dyDescent="0.2">
      <c r="A87" s="1" t="s">
        <v>24</v>
      </c>
      <c r="B87" s="1" t="e">
        <f>VLOOKUP(A87,[3]geoMap!$A:$B,2,0)*Notes!$C$6</f>
        <v>#REF!</v>
      </c>
      <c r="C87" s="1" t="e">
        <f>B87/VLOOKUP(A87,'[4]geoMap (1)'!$A:$B,2,0)*VLOOKUP(A87,'[4]geoMap (1)'!$A:$C,3,0)</f>
        <v>#REF!</v>
      </c>
      <c r="D87" s="1" t="e">
        <f>C87/VLOOKUP(A87,'[5]geoMap (2)'!$A:$B,2,0)*VLOOKUP(A87,'[5]geoMap (2)'!$A:$C,3,0)</f>
        <v>#REF!</v>
      </c>
      <c r="E87" s="1" t="e">
        <f>D87/VLOOKUP(A87,'[6]geoMap (3)'!$A:$B,2,0)*VLOOKUP(A87,'[6]geoMap (3)'!$A:$C,3,0)</f>
        <v>#REF!</v>
      </c>
      <c r="F87" s="1" t="e">
        <f>E87/VLOOKUP(A87,'[7]geoMap (4)'!$A:$B,2,0)*VLOOKUP(A87,'[7]geoMap (4)'!$A:$C,3,0)</f>
        <v>#REF!</v>
      </c>
      <c r="G87" s="1" t="e">
        <f>F87/VLOOKUP(A87,'[8]geoMap (5)'!$A:$B,2,0)*VLOOKUP(A87,'[8]geoMap (5)'!$A:$C,3,0)</f>
        <v>#REF!</v>
      </c>
      <c r="H87" s="1" t="e">
        <f>G87/VLOOKUP(A87,'[9]geoMap (6)'!$A:$B,2,0)*VLOOKUP(A87,'[9]geoMap (6)'!$A:$C,3,0)</f>
        <v>#REF!</v>
      </c>
      <c r="I87" s="1" t="e">
        <f>H87/VLOOKUP(A87,'[10]geoMap (7)'!$A:$B,2,0)*VLOOKUP(A87,'[10]geoMap (7)'!$A:$C,3,0)</f>
        <v>#REF!</v>
      </c>
      <c r="J87" s="1" t="e">
        <f>I87/VLOOKUP(A87,'[11]geoMap (8)'!$A:$B,2,0)*VLOOKUP(A87,'[11]geoMap (8)'!$A:$C,3,0)</f>
        <v>#REF!</v>
      </c>
      <c r="K87" s="1" t="e">
        <f>J87/VLOOKUP(A87,'[12]geoMap (9)'!$A:$B,2,0)*VLOOKUP(A87,'[12]geoMap (9)'!$A:$C,3,0)</f>
        <v>#REF!</v>
      </c>
      <c r="L87" s="1" t="e">
        <f>K87/VLOOKUP(A87,'[13]geoMap (10)'!$A:$B,2,0)*VLOOKUP(A87,'[13]geoMap (10)'!$A:$C,3,0)</f>
        <v>#REF!</v>
      </c>
      <c r="M87" s="1" t="e">
        <f>L87/VLOOKUP(A87,'[14]geoMap (11)'!$A:$B,2,0)*VLOOKUP(A87,'[14]geoMap (11)'!$A:$C,3,0)</f>
        <v>#REF!</v>
      </c>
      <c r="N87" s="1" t="e">
        <f>M87/VLOOKUP(A87,'[15]geoMap (12)'!$A:$B,2,0)*VLOOKUP(A87,'[15]geoMap (12)'!$A:$C,3,0)</f>
        <v>#REF!</v>
      </c>
      <c r="O87" s="1" t="e">
        <f>N87/VLOOKUP(A87,'[16]geoMap (13)'!$A:$B,2,0)*VLOOKUP(A87,'[16]geoMap (13)'!$A:$C,3,0)</f>
        <v>#REF!</v>
      </c>
      <c r="P87" s="1" t="e">
        <f>O87/VLOOKUP(A87,'[17]geoMap (14)'!$A:$B,2,0)*VLOOKUP(A87,'[17]geoMap (14)'!$A:$C,3,0)</f>
        <v>#REF!</v>
      </c>
      <c r="Q87" s="1" t="e">
        <f>P87/VLOOKUP(A87,'[18]geoMap (15)'!$A:$B,2,0)*VLOOKUP(A87,'[18]geoMap (15)'!$A:$C,3,0)</f>
        <v>#REF!</v>
      </c>
      <c r="R87" s="1" t="e">
        <f>Q87/VLOOKUP(A87,'[19]geoMap (16)'!$A:$B,2,0)*VLOOKUP(A87,'[19]geoMap (16)'!$A:$C,3,0)</f>
        <v>#REF!</v>
      </c>
      <c r="S87" s="1" t="e">
        <f>R87/VLOOKUP(A87,'[20]geoMap (17)'!$A:$B,2,0)*VLOOKUP(A87,'[20]geoMap (17)'!$A:$C,3,0)</f>
        <v>#REF!</v>
      </c>
      <c r="T87" s="1" t="e">
        <f>S87/VLOOKUP(A87,'[21]geoMap (18)'!$A:$B,2,0)*VLOOKUP(A87,'[21]geoMap (18)'!$A:$C,3,0)</f>
        <v>#REF!</v>
      </c>
      <c r="U87" s="1" t="e">
        <f>T87/VLOOKUP(A87,'[22]geoMap (19)'!$A:$B,2,0)*VLOOKUP(A87,'[22]geoMap (19)'!$A:$C,3,0)</f>
        <v>#REF!</v>
      </c>
      <c r="V87" s="1" t="e">
        <f>U87/VLOOKUP(A87,'[23]geoMap (20)'!$A:$B,2,0)*VLOOKUP(A87,'[23]geoMap (20)'!$A:$C,3,0)</f>
        <v>#REF!</v>
      </c>
      <c r="W87" s="1" t="e">
        <f>V87/VLOOKUP(A87,'[24]geoMap (21)'!$A:$B,2,0)*VLOOKUP(A87,'[24]geoMap (21)'!$A:$C,3,0)</f>
        <v>#REF!</v>
      </c>
      <c r="X87" s="1" t="e">
        <f>W87/VLOOKUP(A87,'[25]geoMap (22)'!$A:$B,2,0)*VLOOKUP(A87,'[25]geoMap (22)'!$A:$C,3,0)</f>
        <v>#REF!</v>
      </c>
      <c r="Y87" s="1" t="e">
        <f>X87/VLOOKUP(A87,'[26]geoMap (23)'!$A:$B,2,0)*VLOOKUP(A87,'[26]geoMap (23)'!$A:$C,3,0)</f>
        <v>#REF!</v>
      </c>
      <c r="Z87" s="1" t="e">
        <f>Y87/VLOOKUP(A87,'[27]geoMap (24)'!$A:$B,2,0)*VLOOKUP(A87,'[27]geoMap (24)'!$A:$C,3,0)</f>
        <v>#REF!</v>
      </c>
      <c r="AA87" s="1" t="e">
        <f>Z87/VLOOKUP(A87,'[28]geoMap (25)'!$A:$B,2,0)*VLOOKUP(A87,'[28]geoMap (25)'!$A:$C,3,0)</f>
        <v>#REF!</v>
      </c>
      <c r="AB87" s="1" t="e">
        <f>AA87*VLOOKUP(A87,'[29]geoMap (26)'!$A:$B,2,0)*VLOOKUP(A87,'[29]geoMap (26)'!$A:$C,3,0)</f>
        <v>#REF!</v>
      </c>
      <c r="AC87" s="1" t="e">
        <f>AB87/VLOOKUP(A87,'[30]geoMap (27)'!$A:$B,2,0)*VLOOKUP(A87,'[30]geoMap (27)'!$A:$C,3,0)</f>
        <v>#REF!</v>
      </c>
      <c r="AD87" s="1" t="e">
        <f>AC87/VLOOKUP(A87,'[31]geoMap (28)'!$A:$B,2,0)*VLOOKUP(A87,'[31]geoMap (28)'!$A:$C,3,0)</f>
        <v>#REF!</v>
      </c>
      <c r="AE87" s="1" t="e">
        <f>AD87/VLOOKUP(A87,'[32]geoMap (29)'!$A:$B,2,0)*VLOOKUP(A87,'[32]geoMap (29)'!$A:$C,3,0)</f>
        <v>#REF!</v>
      </c>
      <c r="AF87" s="1" t="e">
        <f>AE87/VLOOKUP(A87,'[33]geoMap (30)'!$A:$B,2,0)*VLOOKUP(A87,'[33]geoMap (30)'!$A:$C,3,0)</f>
        <v>#REF!</v>
      </c>
      <c r="AG87" s="1" t="e">
        <f>AF87/VLOOKUP(A87,'[34]geoMap (31)'!$A:$B,2,0)*VLOOKUP(A87,'[34]geoMap (31)'!$A:$C,3,0)</f>
        <v>#REF!</v>
      </c>
      <c r="AH87" s="1" t="e">
        <f>AG87/VLOOKUP(A87,'[35]geoMap (32)'!$A:$B,2,0)*VLOOKUP(A87,'[35]geoMap (32)'!$A:$C,3,0)</f>
        <v>#REF!</v>
      </c>
      <c r="AI87" s="1" t="e">
        <f>AH87/VLOOKUP(A87,'[36]geoMap (33)'!$A:$B,2,0)*VLOOKUP(A87,'[36]geoMap (33)'!$A:$C,3,0)</f>
        <v>#REF!</v>
      </c>
      <c r="AJ87" s="1" t="e">
        <f>AI87/VLOOKUP(A87,'[37]geoMap (34)'!$A:$B,2,0)*VLOOKUP(A87,'[37]geoMap (34)'!$A:$C,3,0)</f>
        <v>#REF!</v>
      </c>
      <c r="AK87" s="1" t="e">
        <f>AJ87/VLOOKUP(A87,'[38]geoMap (35)'!$A:$B,2,0)*VLOOKUP(A87,'[38]geoMap (35)'!$A:$C,3,0)</f>
        <v>#REF!</v>
      </c>
      <c r="AL87" s="1" t="e">
        <f>AK87/VLOOKUP(A87,'[39]geoMap (36)'!$A:$B,2,0)*VLOOKUP(A87,'[39]geoMap (36)'!$A:$C,3,0)</f>
        <v>#REF!</v>
      </c>
      <c r="AM87" s="1" t="e">
        <f>AL87/VLOOKUP(A87,'[40]geoMap (37)'!$A:$B,2,0)*VLOOKUP(A87,'[40]geoMap (37)'!$A:$C,3,0)</f>
        <v>#REF!</v>
      </c>
      <c r="AN87" s="1" t="e">
        <f>AM87/VLOOKUP(A87,'[41]geoMap (38)'!$A:$B,2,0)*VLOOKUP(A87,'[41]geoMap (38)'!$A:$C,3,0)</f>
        <v>#REF!</v>
      </c>
      <c r="AO87" s="1" t="e">
        <f>AN87/VLOOKUP(A87,'[42]geoMap (39)'!$A:$B,2,0)*VLOOKUP(A87,'[42]geoMap (39)'!$A:$C,3,0)</f>
        <v>#REF!</v>
      </c>
      <c r="AP87" s="1" t="e">
        <f>AO87/VLOOKUP(A87,'[43]geoMap (40)'!$A:$B,2,0)*VLOOKUP(A87,'[43]geoMap (40)'!$A:$C,3,0)</f>
        <v>#REF!</v>
      </c>
      <c r="AQ87" s="1" t="e">
        <f>AP87/VLOOKUP(A87,'[44]geoMap (41)'!$A:$B,2,0)*VLOOKUP(A87,'[44]geoMap (41)'!$A:$C,3,0)</f>
        <v>#REF!</v>
      </c>
      <c r="AR87" s="1" t="e">
        <f>AQ87/VLOOKUP(A87,'[45]geoMap (42)'!$A:$B,2,0)*VLOOKUP(A87,'[45]geoMap (42)'!$A:$C,3,0)</f>
        <v>#REF!</v>
      </c>
      <c r="AS87" s="1" t="e">
        <f>AR87/VLOOKUP(A87,'[46]geoMap (43)'!$A:$B,2,0)*VLOOKUP(A87,'[46]geoMap (43)'!$A:$C,3,0)</f>
        <v>#REF!</v>
      </c>
      <c r="AT87" s="1" t="e">
        <f>AS87/VLOOKUP(A87,'[47]geoMap (44)'!$A:$B,2,0)*VLOOKUP(A87,'[47]geoMap (44)'!$A:$C,3,0)</f>
        <v>#REF!</v>
      </c>
      <c r="AU87" s="1" t="e">
        <f>AT87/VLOOKUP(A87,'[48]geoMap (45)'!$A:$B,2,0)*VLOOKUP(A87,'[48]geoMap (45)'!$A:$C,3,0)</f>
        <v>#REF!</v>
      </c>
      <c r="AV87" s="1" t="e">
        <f>AU87/VLOOKUP(A87,'[49]geoMap (46)'!$A:$B,2,0)*VLOOKUP(A87,'[49]geoMap (46)'!$A:$C,3,0)</f>
        <v>#REF!</v>
      </c>
      <c r="AW87" s="1" t="e">
        <f>AV87/VLOOKUP(A87,'[50]geoMap (47)'!$A:$B,2,0)*VLOOKUP(A87,'[50]geoMap (47)'!$A:$C,3,0)</f>
        <v>#REF!</v>
      </c>
      <c r="AX87" s="1" t="e">
        <f>AW87/VLOOKUP(A87,'[51]geoMap (48)'!$A:$B,2,0)*VLOOKUP(A87,'[51]geoMap (48)'!$A:$C,3,0)</f>
        <v>#REF!</v>
      </c>
      <c r="AY87" s="1" t="e">
        <f>AX87/VLOOKUP(A87,'[52]geoMap (49)'!$A:$B,2,0)*VLOOKUP(A87,'[52]geoMap (49)'!$A:$C,3,0)</f>
        <v>#REF!</v>
      </c>
      <c r="AZ87" s="1" t="e">
        <f>AY87/VLOOKUP(A87,'[53]geoMap (50)'!$A:$B,2,0)*VLOOKUP(A87,'[53]geoMap (50)'!$A:$C,3,0)</f>
        <v>#REF!</v>
      </c>
      <c r="BA87" s="1" t="e">
        <f>AZ87/VLOOKUP(A87,'[54]geoMap (51)'!$A:$B,2,0)*VLOOKUP(A87,'[54]geoMap (51)'!$A:$C,3,0)</f>
        <v>#REF!</v>
      </c>
      <c r="BB87" s="1" t="e">
        <f>BA87/VLOOKUP(A87,'[55]geoMap (52)'!$A:$B,2,0)*VLOOKUP(A87,'[55]geoMap (52)'!$A:$C,3,0)</f>
        <v>#REF!</v>
      </c>
      <c r="BC87" s="1" t="e">
        <f>BB87/VLOOKUP(A87,'[56]geoMap (53)'!$A:$B,2,0)*VLOOKUP(A87,'[56]geoMap (53)'!$A:$C,3,0)</f>
        <v>#REF!</v>
      </c>
      <c r="BD87" s="1" t="e">
        <f>BC87/VLOOKUP(A87,'[57]geoMap (54)'!$A:$B,2,0)*VLOOKUP(A87,'[57]geoMap (54)'!$A:$C,3,0)</f>
        <v>#REF!</v>
      </c>
      <c r="BE87" s="1" t="e">
        <f>BD87/VLOOKUP(A87,'[58]geoMap (55)'!$A:$B,2,0)*VLOOKUP(A87,'[58]geoMap (55)'!$A:$C,3,0)</f>
        <v>#REF!</v>
      </c>
      <c r="BF87" s="1" t="e">
        <f>BE87/VLOOKUP(A87,'[59]geoMap (56)'!$A:$B,2,0)*VLOOKUP(A87,'[59]geoMap (56)'!$A:$C,3,0)</f>
        <v>#REF!</v>
      </c>
      <c r="BG87" s="1" t="e">
        <f>BF87/VLOOKUP(A87,'[60]geoMap (57)'!$A:$B,2,0)*VLOOKUP(A87,'[60]geoMap (57)'!$A:$C,3,0)</f>
        <v>#REF!</v>
      </c>
      <c r="BH87" s="1" t="e">
        <f>BG87/VLOOKUP(A87,'[61]geoMap (58)'!$A:$B,2,0)*VLOOKUP(A87,'[61]geoMap (58)'!$A:$C,3,0)</f>
        <v>#REF!</v>
      </c>
      <c r="BI87" s="1" t="e">
        <f>BH87/VLOOKUP(A87,'[62]geoMap (59)'!$A:$B,2,0)*VLOOKUP(A87,'[62]geoMap (59)'!$A:$C,3,0)</f>
        <v>#REF!</v>
      </c>
      <c r="BJ87" s="1" t="e">
        <f>BI87/VLOOKUP(A87,'[63]geoMap (60)'!$A:$B,2,0)*VLOOKUP(A87,'[63]geoMap (60)'!$A:$C,3,0)</f>
        <v>#REF!</v>
      </c>
      <c r="BK87" s="1" t="e">
        <f>BJ87/VLOOKUP(A87,'[64]geoMap (61)'!$A:$B,2,0)*VLOOKUP(A87,'[64]geoMap (61)'!$A:$C,3,0)</f>
        <v>#REF!</v>
      </c>
      <c r="BL87" s="1" t="e">
        <f>BK87/VLOOKUP(A87,'[65]geoMap (62)'!$A:$B,2,0)*VLOOKUP(A87,'[65]geoMap (62)'!$A:$C,3,0)</f>
        <v>#REF!</v>
      </c>
      <c r="BM87" s="1" t="e">
        <f>BL87/VLOOKUP(A87,'[66]geoMap (63)'!$A:$B,2,0)*VLOOKUP(A87,'[66]geoMap (63)'!$A:$C,3,0)</f>
        <v>#REF!</v>
      </c>
      <c r="BN87" s="1" t="e">
        <f>BM87/VLOOKUP(A87,'[67]geoMap (64)'!$A:$B,2,0)*VLOOKUP(A87,'[67]geoMap (64)'!$A:$C,3,0)</f>
        <v>#REF!</v>
      </c>
      <c r="BO87" s="1" t="e">
        <f>BN87/VLOOKUP(A87,'[68]geoMap (65)'!$A:$B,2,0)*VLOOKUP(A87,'[68]geoMap (65)'!$A:$C,3,0)</f>
        <v>#REF!</v>
      </c>
      <c r="BP87" s="1" t="e">
        <f>BO87/VLOOKUP(A87,'[69]geoMap (66)'!$A:$B,2,0)*VLOOKUP(A87,'[69]geoMap (66)'!$A:$C,3,0)</f>
        <v>#REF!</v>
      </c>
    </row>
    <row r="88" spans="1:68" hidden="1" x14ac:dyDescent="0.2">
      <c r="A88" s="1" t="s">
        <v>25</v>
      </c>
      <c r="B88" s="1" t="e">
        <f>VLOOKUP(A88,[3]geoMap!$A:$B,2,0)*Notes!$C$6</f>
        <v>#REF!</v>
      </c>
      <c r="C88" s="1" t="e">
        <f>B88/VLOOKUP(A88,'[4]geoMap (1)'!$A:$B,2,0)*VLOOKUP(A88,'[4]geoMap (1)'!$A:$C,3,0)</f>
        <v>#REF!</v>
      </c>
      <c r="D88" s="1" t="e">
        <f>C88/VLOOKUP(A88,'[5]geoMap (2)'!$A:$B,2,0)*VLOOKUP(A88,'[5]geoMap (2)'!$A:$C,3,0)</f>
        <v>#REF!</v>
      </c>
      <c r="E88" s="1" t="e">
        <f>D88/VLOOKUP(A88,'[6]geoMap (3)'!$A:$B,2,0)*VLOOKUP(A88,'[6]geoMap (3)'!$A:$C,3,0)</f>
        <v>#REF!</v>
      </c>
      <c r="F88" s="1" t="e">
        <f>E88/VLOOKUP(A88,'[7]geoMap (4)'!$A:$B,2,0)*VLOOKUP(A88,'[7]geoMap (4)'!$A:$C,3,0)</f>
        <v>#REF!</v>
      </c>
      <c r="G88" s="1" t="e">
        <f>F88/VLOOKUP(A88,'[8]geoMap (5)'!$A:$B,2,0)*VLOOKUP(A88,'[8]geoMap (5)'!$A:$C,3,0)</f>
        <v>#REF!</v>
      </c>
      <c r="H88" s="1" t="e">
        <f>G88/VLOOKUP(A88,'[9]geoMap (6)'!$A:$B,2,0)*VLOOKUP(A88,'[9]geoMap (6)'!$A:$C,3,0)</f>
        <v>#REF!</v>
      </c>
      <c r="I88" s="1" t="e">
        <f>H88/VLOOKUP(A88,'[10]geoMap (7)'!$A:$B,2,0)*VLOOKUP(A88,'[10]geoMap (7)'!$A:$C,3,0)</f>
        <v>#REF!</v>
      </c>
      <c r="J88" s="1" t="e">
        <f>I88/VLOOKUP(A88,'[11]geoMap (8)'!$A:$B,2,0)*VLOOKUP(A88,'[11]geoMap (8)'!$A:$C,3,0)</f>
        <v>#REF!</v>
      </c>
      <c r="K88" s="1" t="e">
        <f>J88/VLOOKUP(A88,'[12]geoMap (9)'!$A:$B,2,0)*VLOOKUP(A88,'[12]geoMap (9)'!$A:$C,3,0)</f>
        <v>#REF!</v>
      </c>
      <c r="L88" s="1" t="e">
        <f>K88/VLOOKUP(A88,'[13]geoMap (10)'!$A:$B,2,0)*VLOOKUP(A88,'[13]geoMap (10)'!$A:$C,3,0)</f>
        <v>#REF!</v>
      </c>
      <c r="M88" s="1" t="e">
        <f>L88/VLOOKUP(A88,'[14]geoMap (11)'!$A:$B,2,0)*VLOOKUP(A88,'[14]geoMap (11)'!$A:$C,3,0)</f>
        <v>#REF!</v>
      </c>
      <c r="N88" s="1" t="e">
        <f>M88/VLOOKUP(A88,'[15]geoMap (12)'!$A:$B,2,0)*VLOOKUP(A88,'[15]geoMap (12)'!$A:$C,3,0)</f>
        <v>#REF!</v>
      </c>
      <c r="O88" s="1" t="e">
        <f>N88/VLOOKUP(A88,'[16]geoMap (13)'!$A:$B,2,0)*VLOOKUP(A88,'[16]geoMap (13)'!$A:$C,3,0)</f>
        <v>#REF!</v>
      </c>
      <c r="P88" s="1" t="e">
        <f>O88/VLOOKUP(A88,'[17]geoMap (14)'!$A:$B,2,0)*VLOOKUP(A88,'[17]geoMap (14)'!$A:$C,3,0)</f>
        <v>#REF!</v>
      </c>
      <c r="Q88" s="1" t="e">
        <f>P88/VLOOKUP(A88,'[18]geoMap (15)'!$A:$B,2,0)*VLOOKUP(A88,'[18]geoMap (15)'!$A:$C,3,0)</f>
        <v>#REF!</v>
      </c>
      <c r="R88" s="1" t="e">
        <f>Q88/VLOOKUP(A88,'[19]geoMap (16)'!$A:$B,2,0)*VLOOKUP(A88,'[19]geoMap (16)'!$A:$C,3,0)</f>
        <v>#REF!</v>
      </c>
      <c r="S88" s="1" t="e">
        <f>R88/VLOOKUP(A88,'[20]geoMap (17)'!$A:$B,2,0)*VLOOKUP(A88,'[20]geoMap (17)'!$A:$C,3,0)</f>
        <v>#REF!</v>
      </c>
      <c r="T88" s="1" t="e">
        <f>S88/VLOOKUP(A88,'[21]geoMap (18)'!$A:$B,2,0)*VLOOKUP(A88,'[21]geoMap (18)'!$A:$C,3,0)</f>
        <v>#REF!</v>
      </c>
      <c r="U88" s="1" t="e">
        <f>T88/VLOOKUP(A88,'[22]geoMap (19)'!$A:$B,2,0)*VLOOKUP(A88,'[22]geoMap (19)'!$A:$C,3,0)</f>
        <v>#REF!</v>
      </c>
      <c r="V88" s="1" t="e">
        <f>U88/VLOOKUP(A88,'[23]geoMap (20)'!$A:$B,2,0)*VLOOKUP(A88,'[23]geoMap (20)'!$A:$C,3,0)</f>
        <v>#REF!</v>
      </c>
      <c r="W88" s="1" t="e">
        <f>V88/VLOOKUP(A88,'[24]geoMap (21)'!$A:$B,2,0)*VLOOKUP(A88,'[24]geoMap (21)'!$A:$C,3,0)</f>
        <v>#REF!</v>
      </c>
      <c r="X88" s="1" t="e">
        <f>W88/VLOOKUP(A88,'[25]geoMap (22)'!$A:$B,2,0)*VLOOKUP(A88,'[25]geoMap (22)'!$A:$C,3,0)</f>
        <v>#REF!</v>
      </c>
      <c r="Y88" s="1" t="e">
        <f>X88/VLOOKUP(A88,'[26]geoMap (23)'!$A:$B,2,0)*VLOOKUP(A88,'[26]geoMap (23)'!$A:$C,3,0)</f>
        <v>#REF!</v>
      </c>
      <c r="Z88" s="1" t="e">
        <f>Y88/VLOOKUP(A88,'[27]geoMap (24)'!$A:$B,2,0)*VLOOKUP(A88,'[27]geoMap (24)'!$A:$C,3,0)</f>
        <v>#REF!</v>
      </c>
      <c r="AA88" s="1" t="e">
        <f>Z88/VLOOKUP(A88,'[28]geoMap (25)'!$A:$B,2,0)*VLOOKUP(A88,'[28]geoMap (25)'!$A:$C,3,0)</f>
        <v>#REF!</v>
      </c>
      <c r="AB88" s="1" t="e">
        <f>AA88*VLOOKUP(A88,'[29]geoMap (26)'!$A:$B,2,0)*VLOOKUP(A88,'[29]geoMap (26)'!$A:$C,3,0)</f>
        <v>#REF!</v>
      </c>
      <c r="AC88" s="1" t="e">
        <f>AB88/VLOOKUP(A88,'[30]geoMap (27)'!$A:$B,2,0)*VLOOKUP(A88,'[30]geoMap (27)'!$A:$C,3,0)</f>
        <v>#REF!</v>
      </c>
      <c r="AD88" s="1" t="e">
        <f>AC88/VLOOKUP(A88,'[31]geoMap (28)'!$A:$B,2,0)*VLOOKUP(A88,'[31]geoMap (28)'!$A:$C,3,0)</f>
        <v>#REF!</v>
      </c>
      <c r="AE88" s="1" t="e">
        <f>AD88/VLOOKUP(A88,'[32]geoMap (29)'!$A:$B,2,0)*VLOOKUP(A88,'[32]geoMap (29)'!$A:$C,3,0)</f>
        <v>#REF!</v>
      </c>
      <c r="AF88" s="1" t="e">
        <f>AE88/VLOOKUP(A88,'[33]geoMap (30)'!$A:$B,2,0)*VLOOKUP(A88,'[33]geoMap (30)'!$A:$C,3,0)</f>
        <v>#REF!</v>
      </c>
      <c r="AG88" s="1" t="e">
        <f>AF88/VLOOKUP(A88,'[34]geoMap (31)'!$A:$B,2,0)*VLOOKUP(A88,'[34]geoMap (31)'!$A:$C,3,0)</f>
        <v>#REF!</v>
      </c>
      <c r="AH88" s="1" t="e">
        <f>AG88/VLOOKUP(A88,'[35]geoMap (32)'!$A:$B,2,0)*VLOOKUP(A88,'[35]geoMap (32)'!$A:$C,3,0)</f>
        <v>#REF!</v>
      </c>
      <c r="AI88" s="1" t="e">
        <f>AH88/VLOOKUP(A88,'[36]geoMap (33)'!$A:$B,2,0)*VLOOKUP(A88,'[36]geoMap (33)'!$A:$C,3,0)</f>
        <v>#REF!</v>
      </c>
      <c r="AJ88" s="1" t="e">
        <f>AI88/VLOOKUP(A88,'[37]geoMap (34)'!$A:$B,2,0)*VLOOKUP(A88,'[37]geoMap (34)'!$A:$C,3,0)</f>
        <v>#REF!</v>
      </c>
      <c r="AK88" s="1" t="e">
        <f>AJ88/VLOOKUP(A88,'[38]geoMap (35)'!$A:$B,2,0)*VLOOKUP(A88,'[38]geoMap (35)'!$A:$C,3,0)</f>
        <v>#REF!</v>
      </c>
      <c r="AL88" s="1" t="e">
        <f>AK88/VLOOKUP(A88,'[39]geoMap (36)'!$A:$B,2,0)*VLOOKUP(A88,'[39]geoMap (36)'!$A:$C,3,0)</f>
        <v>#REF!</v>
      </c>
      <c r="AM88" s="1" t="e">
        <f>AL88/VLOOKUP(A88,'[40]geoMap (37)'!$A:$B,2,0)*VLOOKUP(A88,'[40]geoMap (37)'!$A:$C,3,0)</f>
        <v>#REF!</v>
      </c>
      <c r="AN88" s="1" t="e">
        <f>AM88/VLOOKUP(A88,'[41]geoMap (38)'!$A:$B,2,0)*VLOOKUP(A88,'[41]geoMap (38)'!$A:$C,3,0)</f>
        <v>#REF!</v>
      </c>
      <c r="AO88" s="1" t="e">
        <f>AN88/VLOOKUP(A88,'[42]geoMap (39)'!$A:$B,2,0)*VLOOKUP(A88,'[42]geoMap (39)'!$A:$C,3,0)</f>
        <v>#REF!</v>
      </c>
      <c r="AP88" s="1" t="e">
        <f>AO88/VLOOKUP(A88,'[43]geoMap (40)'!$A:$B,2,0)*VLOOKUP(A88,'[43]geoMap (40)'!$A:$C,3,0)</f>
        <v>#REF!</v>
      </c>
      <c r="AQ88" s="1" t="e">
        <f>AP88/VLOOKUP(A88,'[44]geoMap (41)'!$A:$B,2,0)*VLOOKUP(A88,'[44]geoMap (41)'!$A:$C,3,0)</f>
        <v>#REF!</v>
      </c>
      <c r="AR88" s="1" t="e">
        <f>AQ88/VLOOKUP(A88,'[45]geoMap (42)'!$A:$B,2,0)*VLOOKUP(A88,'[45]geoMap (42)'!$A:$C,3,0)</f>
        <v>#REF!</v>
      </c>
      <c r="AS88" s="1" t="e">
        <f>AR88/VLOOKUP(A88,'[46]geoMap (43)'!$A:$B,2,0)*VLOOKUP(A88,'[46]geoMap (43)'!$A:$C,3,0)</f>
        <v>#REF!</v>
      </c>
      <c r="AT88" s="1" t="e">
        <f>AS88/VLOOKUP(A88,'[47]geoMap (44)'!$A:$B,2,0)*VLOOKUP(A88,'[47]geoMap (44)'!$A:$C,3,0)</f>
        <v>#REF!</v>
      </c>
      <c r="AU88" s="1" t="e">
        <f>AT88/VLOOKUP(A88,'[48]geoMap (45)'!$A:$B,2,0)*VLOOKUP(A88,'[48]geoMap (45)'!$A:$C,3,0)</f>
        <v>#REF!</v>
      </c>
      <c r="AV88" s="1" t="e">
        <f>AU88/VLOOKUP(A88,'[49]geoMap (46)'!$A:$B,2,0)*VLOOKUP(A88,'[49]geoMap (46)'!$A:$C,3,0)</f>
        <v>#REF!</v>
      </c>
      <c r="AW88" s="1" t="e">
        <f>AV88/VLOOKUP(A88,'[50]geoMap (47)'!$A:$B,2,0)*VLOOKUP(A88,'[50]geoMap (47)'!$A:$C,3,0)</f>
        <v>#REF!</v>
      </c>
      <c r="AX88" s="1" t="e">
        <f>AW88/VLOOKUP(A88,'[51]geoMap (48)'!$A:$B,2,0)*VLOOKUP(A88,'[51]geoMap (48)'!$A:$C,3,0)</f>
        <v>#REF!</v>
      </c>
      <c r="AY88" s="1" t="e">
        <f>AX88/VLOOKUP(A88,'[52]geoMap (49)'!$A:$B,2,0)*VLOOKUP(A88,'[52]geoMap (49)'!$A:$C,3,0)</f>
        <v>#REF!</v>
      </c>
      <c r="AZ88" s="1" t="e">
        <f>AY88/VLOOKUP(A88,'[53]geoMap (50)'!$A:$B,2,0)*VLOOKUP(A88,'[53]geoMap (50)'!$A:$C,3,0)</f>
        <v>#REF!</v>
      </c>
      <c r="BA88" s="1" t="e">
        <f>AZ88/VLOOKUP(A88,'[54]geoMap (51)'!$A:$B,2,0)*VLOOKUP(A88,'[54]geoMap (51)'!$A:$C,3,0)</f>
        <v>#REF!</v>
      </c>
      <c r="BB88" s="1" t="e">
        <f>BA88/VLOOKUP(A88,'[55]geoMap (52)'!$A:$B,2,0)*VLOOKUP(A88,'[55]geoMap (52)'!$A:$C,3,0)</f>
        <v>#REF!</v>
      </c>
      <c r="BC88" s="1" t="e">
        <f>BB88/VLOOKUP(A88,'[56]geoMap (53)'!$A:$B,2,0)*VLOOKUP(A88,'[56]geoMap (53)'!$A:$C,3,0)</f>
        <v>#REF!</v>
      </c>
      <c r="BD88" s="1" t="e">
        <f>BC88/VLOOKUP(A88,'[57]geoMap (54)'!$A:$B,2,0)*VLOOKUP(A88,'[57]geoMap (54)'!$A:$C,3,0)</f>
        <v>#REF!</v>
      </c>
      <c r="BE88" s="1" t="e">
        <f>BD88/VLOOKUP(A88,'[58]geoMap (55)'!$A:$B,2,0)*VLOOKUP(A88,'[58]geoMap (55)'!$A:$C,3,0)</f>
        <v>#REF!</v>
      </c>
      <c r="BF88" s="1" t="e">
        <f>BE88/VLOOKUP(A88,'[59]geoMap (56)'!$A:$B,2,0)*VLOOKUP(A88,'[59]geoMap (56)'!$A:$C,3,0)</f>
        <v>#REF!</v>
      </c>
      <c r="BG88" s="1" t="e">
        <f>BF88/VLOOKUP(A88,'[60]geoMap (57)'!$A:$B,2,0)*VLOOKUP(A88,'[60]geoMap (57)'!$A:$C,3,0)</f>
        <v>#REF!</v>
      </c>
      <c r="BH88" s="1" t="e">
        <f>BG88/VLOOKUP(A88,'[61]geoMap (58)'!$A:$B,2,0)*VLOOKUP(A88,'[61]geoMap (58)'!$A:$C,3,0)</f>
        <v>#REF!</v>
      </c>
      <c r="BI88" s="1" t="e">
        <f>BH88/VLOOKUP(A88,'[62]geoMap (59)'!$A:$B,2,0)*VLOOKUP(A88,'[62]geoMap (59)'!$A:$C,3,0)</f>
        <v>#REF!</v>
      </c>
      <c r="BJ88" s="1" t="e">
        <f>BI88/VLOOKUP(A88,'[63]geoMap (60)'!$A:$B,2,0)*VLOOKUP(A88,'[63]geoMap (60)'!$A:$C,3,0)</f>
        <v>#REF!</v>
      </c>
      <c r="BK88" s="1" t="e">
        <f>BJ88/VLOOKUP(A88,'[64]geoMap (61)'!$A:$B,2,0)*VLOOKUP(A88,'[64]geoMap (61)'!$A:$C,3,0)</f>
        <v>#REF!</v>
      </c>
      <c r="BL88" s="1" t="e">
        <f>BK88/VLOOKUP(A88,'[65]geoMap (62)'!$A:$B,2,0)*VLOOKUP(A88,'[65]geoMap (62)'!$A:$C,3,0)</f>
        <v>#REF!</v>
      </c>
      <c r="BM88" s="1" t="e">
        <f>BL88/VLOOKUP(A88,'[66]geoMap (63)'!$A:$B,2,0)*VLOOKUP(A88,'[66]geoMap (63)'!$A:$C,3,0)</f>
        <v>#REF!</v>
      </c>
      <c r="BN88" s="1" t="e">
        <f>BM88/VLOOKUP(A88,'[67]geoMap (64)'!$A:$B,2,0)*VLOOKUP(A88,'[67]geoMap (64)'!$A:$C,3,0)</f>
        <v>#REF!</v>
      </c>
      <c r="BO88" s="1" t="e">
        <f>BN88/VLOOKUP(A88,'[68]geoMap (65)'!$A:$B,2,0)*VLOOKUP(A88,'[68]geoMap (65)'!$A:$C,3,0)</f>
        <v>#REF!</v>
      </c>
      <c r="BP88" s="1" t="e">
        <f>BO88/VLOOKUP(A88,'[69]geoMap (66)'!$A:$B,2,0)*VLOOKUP(A88,'[69]geoMap (66)'!$A:$C,3,0)</f>
        <v>#REF!</v>
      </c>
    </row>
    <row r="89" spans="1:68" hidden="1" x14ac:dyDescent="0.2">
      <c r="A89" s="1" t="s">
        <v>26</v>
      </c>
      <c r="B89" s="1" t="e">
        <f>VLOOKUP(A89,[3]geoMap!$A:$B,2,0)*Notes!$C$6</f>
        <v>#REF!</v>
      </c>
      <c r="C89" s="1" t="e">
        <f>B89/VLOOKUP(A89,'[4]geoMap (1)'!$A:$B,2,0)*VLOOKUP(A89,'[4]geoMap (1)'!$A:$C,3,0)</f>
        <v>#REF!</v>
      </c>
      <c r="D89" s="1" t="e">
        <f>C89/VLOOKUP(A89,'[5]geoMap (2)'!$A:$B,2,0)*VLOOKUP(A89,'[5]geoMap (2)'!$A:$C,3,0)</f>
        <v>#REF!</v>
      </c>
      <c r="E89" s="1" t="e">
        <f>D89/VLOOKUP(A89,'[6]geoMap (3)'!$A:$B,2,0)*VLOOKUP(A89,'[6]geoMap (3)'!$A:$C,3,0)</f>
        <v>#REF!</v>
      </c>
      <c r="F89" s="1" t="e">
        <f>E89/VLOOKUP(A89,'[7]geoMap (4)'!$A:$B,2,0)*VLOOKUP(A89,'[7]geoMap (4)'!$A:$C,3,0)</f>
        <v>#REF!</v>
      </c>
      <c r="G89" s="1" t="e">
        <f>F89/VLOOKUP(A89,'[8]geoMap (5)'!$A:$B,2,0)*VLOOKUP(A89,'[8]geoMap (5)'!$A:$C,3,0)</f>
        <v>#REF!</v>
      </c>
      <c r="H89" s="1" t="e">
        <f>G89/VLOOKUP(A89,'[9]geoMap (6)'!$A:$B,2,0)*VLOOKUP(A89,'[9]geoMap (6)'!$A:$C,3,0)</f>
        <v>#REF!</v>
      </c>
      <c r="I89" s="1" t="e">
        <f>H89/VLOOKUP(A89,'[10]geoMap (7)'!$A:$B,2,0)*VLOOKUP(A89,'[10]geoMap (7)'!$A:$C,3,0)</f>
        <v>#REF!</v>
      </c>
      <c r="J89" s="1" t="e">
        <f>I89/VLOOKUP(A89,'[11]geoMap (8)'!$A:$B,2,0)*VLOOKUP(A89,'[11]geoMap (8)'!$A:$C,3,0)</f>
        <v>#REF!</v>
      </c>
      <c r="K89" s="1" t="e">
        <f>J89/VLOOKUP(A89,'[12]geoMap (9)'!$A:$B,2,0)*VLOOKUP(A89,'[12]geoMap (9)'!$A:$C,3,0)</f>
        <v>#REF!</v>
      </c>
      <c r="L89" s="1" t="e">
        <f>K89/VLOOKUP(A89,'[13]geoMap (10)'!$A:$B,2,0)*VLOOKUP(A89,'[13]geoMap (10)'!$A:$C,3,0)</f>
        <v>#REF!</v>
      </c>
      <c r="M89" s="1" t="e">
        <f>L89/VLOOKUP(A89,'[14]geoMap (11)'!$A:$B,2,0)*VLOOKUP(A89,'[14]geoMap (11)'!$A:$C,3,0)</f>
        <v>#REF!</v>
      </c>
      <c r="N89" s="1" t="e">
        <f>M89/VLOOKUP(A89,'[15]geoMap (12)'!$A:$B,2,0)*VLOOKUP(A89,'[15]geoMap (12)'!$A:$C,3,0)</f>
        <v>#REF!</v>
      </c>
      <c r="O89" s="1" t="e">
        <f>N89/VLOOKUP(A89,'[16]geoMap (13)'!$A:$B,2,0)*VLOOKUP(A89,'[16]geoMap (13)'!$A:$C,3,0)</f>
        <v>#REF!</v>
      </c>
      <c r="P89" s="1" t="e">
        <f>O89/VLOOKUP(A89,'[17]geoMap (14)'!$A:$B,2,0)*VLOOKUP(A89,'[17]geoMap (14)'!$A:$C,3,0)</f>
        <v>#REF!</v>
      </c>
      <c r="Q89" s="1" t="e">
        <f>P89/VLOOKUP(A89,'[18]geoMap (15)'!$A:$B,2,0)*VLOOKUP(A89,'[18]geoMap (15)'!$A:$C,3,0)</f>
        <v>#REF!</v>
      </c>
      <c r="R89" s="1" t="e">
        <f>Q89/VLOOKUP(A89,'[19]geoMap (16)'!$A:$B,2,0)*VLOOKUP(A89,'[19]geoMap (16)'!$A:$C,3,0)</f>
        <v>#REF!</v>
      </c>
      <c r="S89" s="1" t="e">
        <f>R89/VLOOKUP(A89,'[20]geoMap (17)'!$A:$B,2,0)*VLOOKUP(A89,'[20]geoMap (17)'!$A:$C,3,0)</f>
        <v>#REF!</v>
      </c>
      <c r="T89" s="1" t="e">
        <f>S89/VLOOKUP(A89,'[21]geoMap (18)'!$A:$B,2,0)*VLOOKUP(A89,'[21]geoMap (18)'!$A:$C,3,0)</f>
        <v>#REF!</v>
      </c>
      <c r="U89" s="1" t="e">
        <f>T89/VLOOKUP(A89,'[22]geoMap (19)'!$A:$B,2,0)*VLOOKUP(A89,'[22]geoMap (19)'!$A:$C,3,0)</f>
        <v>#REF!</v>
      </c>
      <c r="V89" s="1" t="e">
        <f>U89/VLOOKUP(A89,'[23]geoMap (20)'!$A:$B,2,0)*VLOOKUP(A89,'[23]geoMap (20)'!$A:$C,3,0)</f>
        <v>#REF!</v>
      </c>
      <c r="W89" s="1" t="e">
        <f>V89/VLOOKUP(A89,'[24]geoMap (21)'!$A:$B,2,0)*VLOOKUP(A89,'[24]geoMap (21)'!$A:$C,3,0)</f>
        <v>#REF!</v>
      </c>
      <c r="X89" s="1" t="e">
        <f>W89/VLOOKUP(A89,'[25]geoMap (22)'!$A:$B,2,0)*VLOOKUP(A89,'[25]geoMap (22)'!$A:$C,3,0)</f>
        <v>#REF!</v>
      </c>
      <c r="Y89" s="1" t="e">
        <f>X89/VLOOKUP(A89,'[26]geoMap (23)'!$A:$B,2,0)*VLOOKUP(A89,'[26]geoMap (23)'!$A:$C,3,0)</f>
        <v>#REF!</v>
      </c>
      <c r="Z89" s="1" t="e">
        <f>Y89/VLOOKUP(A89,'[27]geoMap (24)'!$A:$B,2,0)*VLOOKUP(A89,'[27]geoMap (24)'!$A:$C,3,0)</f>
        <v>#REF!</v>
      </c>
      <c r="AA89" s="1" t="e">
        <f>Z89/VLOOKUP(A89,'[28]geoMap (25)'!$A:$B,2,0)*VLOOKUP(A89,'[28]geoMap (25)'!$A:$C,3,0)</f>
        <v>#REF!</v>
      </c>
      <c r="AB89" s="1" t="e">
        <f>AA89*VLOOKUP(A89,'[29]geoMap (26)'!$A:$B,2,0)*VLOOKUP(A89,'[29]geoMap (26)'!$A:$C,3,0)</f>
        <v>#REF!</v>
      </c>
      <c r="AC89" s="1" t="e">
        <f>AB89/VLOOKUP(A89,'[30]geoMap (27)'!$A:$B,2,0)*VLOOKUP(A89,'[30]geoMap (27)'!$A:$C,3,0)</f>
        <v>#REF!</v>
      </c>
      <c r="AD89" s="1" t="e">
        <f>AC89/VLOOKUP(A89,'[31]geoMap (28)'!$A:$B,2,0)*VLOOKUP(A89,'[31]geoMap (28)'!$A:$C,3,0)</f>
        <v>#REF!</v>
      </c>
      <c r="AE89" s="1" t="e">
        <f>AD89/VLOOKUP(A89,'[32]geoMap (29)'!$A:$B,2,0)*VLOOKUP(A89,'[32]geoMap (29)'!$A:$C,3,0)</f>
        <v>#REF!</v>
      </c>
      <c r="AF89" s="1" t="e">
        <f>AE89/VLOOKUP(A89,'[33]geoMap (30)'!$A:$B,2,0)*VLOOKUP(A89,'[33]geoMap (30)'!$A:$C,3,0)</f>
        <v>#REF!</v>
      </c>
      <c r="AG89" s="1" t="e">
        <f>AF89/VLOOKUP(A89,'[34]geoMap (31)'!$A:$B,2,0)*VLOOKUP(A89,'[34]geoMap (31)'!$A:$C,3,0)</f>
        <v>#REF!</v>
      </c>
      <c r="AH89" s="1" t="e">
        <f>AG89/VLOOKUP(A89,'[35]geoMap (32)'!$A:$B,2,0)*VLOOKUP(A89,'[35]geoMap (32)'!$A:$C,3,0)</f>
        <v>#REF!</v>
      </c>
      <c r="AI89" s="1" t="e">
        <f>AH89/VLOOKUP(A89,'[36]geoMap (33)'!$A:$B,2,0)*VLOOKUP(A89,'[36]geoMap (33)'!$A:$C,3,0)</f>
        <v>#REF!</v>
      </c>
      <c r="AJ89" s="1" t="e">
        <f>AI89/VLOOKUP(A89,'[37]geoMap (34)'!$A:$B,2,0)*VLOOKUP(A89,'[37]geoMap (34)'!$A:$C,3,0)</f>
        <v>#REF!</v>
      </c>
      <c r="AK89" s="1" t="e">
        <f>AJ89/VLOOKUP(A89,'[38]geoMap (35)'!$A:$B,2,0)*VLOOKUP(A89,'[38]geoMap (35)'!$A:$C,3,0)</f>
        <v>#REF!</v>
      </c>
      <c r="AL89" s="1" t="e">
        <f>AK89/VLOOKUP(A89,'[39]geoMap (36)'!$A:$B,2,0)*VLOOKUP(A89,'[39]geoMap (36)'!$A:$C,3,0)</f>
        <v>#REF!</v>
      </c>
      <c r="AM89" s="1" t="e">
        <f>AL89/VLOOKUP(A89,'[40]geoMap (37)'!$A:$B,2,0)*VLOOKUP(A89,'[40]geoMap (37)'!$A:$C,3,0)</f>
        <v>#REF!</v>
      </c>
      <c r="AN89" s="1" t="e">
        <f>AM89/VLOOKUP(A89,'[41]geoMap (38)'!$A:$B,2,0)*VLOOKUP(A89,'[41]geoMap (38)'!$A:$C,3,0)</f>
        <v>#REF!</v>
      </c>
      <c r="AO89" s="1" t="e">
        <f>AN89/VLOOKUP(A89,'[42]geoMap (39)'!$A:$B,2,0)*VLOOKUP(A89,'[42]geoMap (39)'!$A:$C,3,0)</f>
        <v>#REF!</v>
      </c>
      <c r="AP89" s="1" t="e">
        <f>AO89/VLOOKUP(A89,'[43]geoMap (40)'!$A:$B,2,0)*VLOOKUP(A89,'[43]geoMap (40)'!$A:$C,3,0)</f>
        <v>#REF!</v>
      </c>
      <c r="AQ89" s="1" t="e">
        <f>AP89/VLOOKUP(A89,'[44]geoMap (41)'!$A:$B,2,0)*VLOOKUP(A89,'[44]geoMap (41)'!$A:$C,3,0)</f>
        <v>#REF!</v>
      </c>
      <c r="AR89" s="1" t="e">
        <f>AQ89/VLOOKUP(A89,'[45]geoMap (42)'!$A:$B,2,0)*VLOOKUP(A89,'[45]geoMap (42)'!$A:$C,3,0)</f>
        <v>#REF!</v>
      </c>
      <c r="AS89" s="1" t="e">
        <f>AR89/VLOOKUP(A89,'[46]geoMap (43)'!$A:$B,2,0)*VLOOKUP(A89,'[46]geoMap (43)'!$A:$C,3,0)</f>
        <v>#REF!</v>
      </c>
      <c r="AT89" s="1" t="e">
        <f>AS89/VLOOKUP(A89,'[47]geoMap (44)'!$A:$B,2,0)*VLOOKUP(A89,'[47]geoMap (44)'!$A:$C,3,0)</f>
        <v>#REF!</v>
      </c>
      <c r="AU89" s="1" t="e">
        <f>AT89/VLOOKUP(A89,'[48]geoMap (45)'!$A:$B,2,0)*VLOOKUP(A89,'[48]geoMap (45)'!$A:$C,3,0)</f>
        <v>#REF!</v>
      </c>
      <c r="AV89" s="1" t="e">
        <f>AU89/VLOOKUP(A89,'[49]geoMap (46)'!$A:$B,2,0)*VLOOKUP(A89,'[49]geoMap (46)'!$A:$C,3,0)</f>
        <v>#REF!</v>
      </c>
      <c r="AW89" s="1" t="e">
        <f>AV89/VLOOKUP(A89,'[50]geoMap (47)'!$A:$B,2,0)*VLOOKUP(A89,'[50]geoMap (47)'!$A:$C,3,0)</f>
        <v>#REF!</v>
      </c>
      <c r="AX89" s="1" t="e">
        <f>AW89/VLOOKUP(A89,'[51]geoMap (48)'!$A:$B,2,0)*VLOOKUP(A89,'[51]geoMap (48)'!$A:$C,3,0)</f>
        <v>#REF!</v>
      </c>
      <c r="AY89" s="1" t="e">
        <f>AX89/VLOOKUP(A89,'[52]geoMap (49)'!$A:$B,2,0)*VLOOKUP(A89,'[52]geoMap (49)'!$A:$C,3,0)</f>
        <v>#REF!</v>
      </c>
      <c r="AZ89" s="1" t="e">
        <f>AY89/VLOOKUP(A89,'[53]geoMap (50)'!$A:$B,2,0)*VLOOKUP(A89,'[53]geoMap (50)'!$A:$C,3,0)</f>
        <v>#REF!</v>
      </c>
      <c r="BA89" s="1" t="e">
        <f>AZ89/VLOOKUP(A89,'[54]geoMap (51)'!$A:$B,2,0)*VLOOKUP(A89,'[54]geoMap (51)'!$A:$C,3,0)</f>
        <v>#REF!</v>
      </c>
      <c r="BB89" s="1" t="e">
        <f>BA89/VLOOKUP(A89,'[55]geoMap (52)'!$A:$B,2,0)*VLOOKUP(A89,'[55]geoMap (52)'!$A:$C,3,0)</f>
        <v>#REF!</v>
      </c>
      <c r="BC89" s="1" t="e">
        <f>BB89/VLOOKUP(A89,'[56]geoMap (53)'!$A:$B,2,0)*VLOOKUP(A89,'[56]geoMap (53)'!$A:$C,3,0)</f>
        <v>#REF!</v>
      </c>
      <c r="BD89" s="1" t="e">
        <f>BC89/VLOOKUP(A89,'[57]geoMap (54)'!$A:$B,2,0)*VLOOKUP(A89,'[57]geoMap (54)'!$A:$C,3,0)</f>
        <v>#REF!</v>
      </c>
      <c r="BE89" s="1" t="e">
        <f>BD89/VLOOKUP(A89,'[58]geoMap (55)'!$A:$B,2,0)*VLOOKUP(A89,'[58]geoMap (55)'!$A:$C,3,0)</f>
        <v>#REF!</v>
      </c>
      <c r="BF89" s="1" t="e">
        <f>BE89/VLOOKUP(A89,'[59]geoMap (56)'!$A:$B,2,0)*VLOOKUP(A89,'[59]geoMap (56)'!$A:$C,3,0)</f>
        <v>#REF!</v>
      </c>
      <c r="BG89" s="1" t="e">
        <f>BF89/VLOOKUP(A89,'[60]geoMap (57)'!$A:$B,2,0)*VLOOKUP(A89,'[60]geoMap (57)'!$A:$C,3,0)</f>
        <v>#REF!</v>
      </c>
      <c r="BH89" s="1" t="e">
        <f>BG89/VLOOKUP(A89,'[61]geoMap (58)'!$A:$B,2,0)*VLOOKUP(A89,'[61]geoMap (58)'!$A:$C,3,0)</f>
        <v>#REF!</v>
      </c>
      <c r="BI89" s="1" t="e">
        <f>BH89/VLOOKUP(A89,'[62]geoMap (59)'!$A:$B,2,0)*VLOOKUP(A89,'[62]geoMap (59)'!$A:$C,3,0)</f>
        <v>#REF!</v>
      </c>
      <c r="BJ89" s="1" t="e">
        <f>BI89/VLOOKUP(A89,'[63]geoMap (60)'!$A:$B,2,0)*VLOOKUP(A89,'[63]geoMap (60)'!$A:$C,3,0)</f>
        <v>#REF!</v>
      </c>
      <c r="BK89" s="1" t="e">
        <f>BJ89/VLOOKUP(A89,'[64]geoMap (61)'!$A:$B,2,0)*VLOOKUP(A89,'[64]geoMap (61)'!$A:$C,3,0)</f>
        <v>#REF!</v>
      </c>
      <c r="BL89" s="1" t="e">
        <f>BK89/VLOOKUP(A89,'[65]geoMap (62)'!$A:$B,2,0)*VLOOKUP(A89,'[65]geoMap (62)'!$A:$C,3,0)</f>
        <v>#REF!</v>
      </c>
      <c r="BM89" s="1" t="e">
        <f>BL89/VLOOKUP(A89,'[66]geoMap (63)'!$A:$B,2,0)*VLOOKUP(A89,'[66]geoMap (63)'!$A:$C,3,0)</f>
        <v>#REF!</v>
      </c>
      <c r="BN89" s="1" t="e">
        <f>BM89/VLOOKUP(A89,'[67]geoMap (64)'!$A:$B,2,0)*VLOOKUP(A89,'[67]geoMap (64)'!$A:$C,3,0)</f>
        <v>#REF!</v>
      </c>
      <c r="BO89" s="1" t="e">
        <f>BN89/VLOOKUP(A89,'[68]geoMap (65)'!$A:$B,2,0)*VLOOKUP(A89,'[68]geoMap (65)'!$A:$C,3,0)</f>
        <v>#REF!</v>
      </c>
      <c r="BP89" s="1" t="e">
        <f>BO89/VLOOKUP(A89,'[69]geoMap (66)'!$A:$B,2,0)*VLOOKUP(A89,'[69]geoMap (66)'!$A:$C,3,0)</f>
        <v>#REF!</v>
      </c>
    </row>
    <row r="90" spans="1:68" hidden="1" x14ac:dyDescent="0.2">
      <c r="A90" s="1" t="s">
        <v>27</v>
      </c>
      <c r="B90" s="1" t="e">
        <f>VLOOKUP(A90,[3]geoMap!$A:$B,2,0)*Notes!$C$6</f>
        <v>#REF!</v>
      </c>
      <c r="C90" s="1" t="e">
        <f>B90/VLOOKUP(A90,'[4]geoMap (1)'!$A:$B,2,0)*VLOOKUP(A90,'[4]geoMap (1)'!$A:$C,3,0)</f>
        <v>#REF!</v>
      </c>
      <c r="D90" s="1" t="e">
        <f>C90/VLOOKUP(A90,'[5]geoMap (2)'!$A:$B,2,0)*VLOOKUP(A90,'[5]geoMap (2)'!$A:$C,3,0)</f>
        <v>#REF!</v>
      </c>
      <c r="E90" s="1" t="e">
        <f>D90/VLOOKUP(A90,'[6]geoMap (3)'!$A:$B,2,0)*VLOOKUP(A90,'[6]geoMap (3)'!$A:$C,3,0)</f>
        <v>#REF!</v>
      </c>
      <c r="F90" s="1" t="e">
        <f>E90/VLOOKUP(A90,'[7]geoMap (4)'!$A:$B,2,0)*VLOOKUP(A90,'[7]geoMap (4)'!$A:$C,3,0)</f>
        <v>#REF!</v>
      </c>
      <c r="G90" s="1" t="e">
        <f>F90/VLOOKUP(A90,'[8]geoMap (5)'!$A:$B,2,0)*VLOOKUP(A90,'[8]geoMap (5)'!$A:$C,3,0)</f>
        <v>#REF!</v>
      </c>
      <c r="H90" s="1" t="e">
        <f>G90/VLOOKUP(A90,'[9]geoMap (6)'!$A:$B,2,0)*VLOOKUP(A90,'[9]geoMap (6)'!$A:$C,3,0)</f>
        <v>#REF!</v>
      </c>
      <c r="I90" s="1" t="e">
        <f>H90/VLOOKUP(A90,'[10]geoMap (7)'!$A:$B,2,0)*VLOOKUP(A90,'[10]geoMap (7)'!$A:$C,3,0)</f>
        <v>#REF!</v>
      </c>
      <c r="J90" s="1" t="e">
        <f>I90/VLOOKUP(A90,'[11]geoMap (8)'!$A:$B,2,0)*VLOOKUP(A90,'[11]geoMap (8)'!$A:$C,3,0)</f>
        <v>#REF!</v>
      </c>
      <c r="K90" s="1" t="e">
        <f>J90/VLOOKUP(A90,'[12]geoMap (9)'!$A:$B,2,0)*VLOOKUP(A90,'[12]geoMap (9)'!$A:$C,3,0)</f>
        <v>#REF!</v>
      </c>
      <c r="L90" s="1" t="e">
        <f>K90/VLOOKUP(A90,'[13]geoMap (10)'!$A:$B,2,0)*VLOOKUP(A90,'[13]geoMap (10)'!$A:$C,3,0)</f>
        <v>#REF!</v>
      </c>
      <c r="M90" s="1" t="e">
        <f>L90/VLOOKUP(A90,'[14]geoMap (11)'!$A:$B,2,0)*VLOOKUP(A90,'[14]geoMap (11)'!$A:$C,3,0)</f>
        <v>#REF!</v>
      </c>
      <c r="N90" s="1" t="e">
        <f>M90/VLOOKUP(A90,'[15]geoMap (12)'!$A:$B,2,0)*VLOOKUP(A90,'[15]geoMap (12)'!$A:$C,3,0)</f>
        <v>#REF!</v>
      </c>
      <c r="O90" s="1" t="e">
        <f>N90/VLOOKUP(A90,'[16]geoMap (13)'!$A:$B,2,0)*VLOOKUP(A90,'[16]geoMap (13)'!$A:$C,3,0)</f>
        <v>#REF!</v>
      </c>
      <c r="P90" s="1" t="e">
        <f>O90/VLOOKUP(A90,'[17]geoMap (14)'!$A:$B,2,0)*VLOOKUP(A90,'[17]geoMap (14)'!$A:$C,3,0)</f>
        <v>#REF!</v>
      </c>
      <c r="Q90" s="1" t="e">
        <f>P90/VLOOKUP(A90,'[18]geoMap (15)'!$A:$B,2,0)*VLOOKUP(A90,'[18]geoMap (15)'!$A:$C,3,0)</f>
        <v>#REF!</v>
      </c>
      <c r="R90" s="1" t="e">
        <f>Q90/VLOOKUP(A90,'[19]geoMap (16)'!$A:$B,2,0)*VLOOKUP(A90,'[19]geoMap (16)'!$A:$C,3,0)</f>
        <v>#REF!</v>
      </c>
      <c r="S90" s="1" t="e">
        <f>R90/VLOOKUP(A90,'[20]geoMap (17)'!$A:$B,2,0)*VLOOKUP(A90,'[20]geoMap (17)'!$A:$C,3,0)</f>
        <v>#REF!</v>
      </c>
      <c r="T90" s="1" t="e">
        <f>S90/VLOOKUP(A90,'[21]geoMap (18)'!$A:$B,2,0)*VLOOKUP(A90,'[21]geoMap (18)'!$A:$C,3,0)</f>
        <v>#REF!</v>
      </c>
      <c r="U90" s="1" t="e">
        <f>T90/VLOOKUP(A90,'[22]geoMap (19)'!$A:$B,2,0)*VLOOKUP(A90,'[22]geoMap (19)'!$A:$C,3,0)</f>
        <v>#REF!</v>
      </c>
      <c r="V90" s="1" t="e">
        <f>U90/VLOOKUP(A90,'[23]geoMap (20)'!$A:$B,2,0)*VLOOKUP(A90,'[23]geoMap (20)'!$A:$C,3,0)</f>
        <v>#REF!</v>
      </c>
      <c r="W90" s="1" t="e">
        <f>V90/VLOOKUP(A90,'[24]geoMap (21)'!$A:$B,2,0)*VLOOKUP(A90,'[24]geoMap (21)'!$A:$C,3,0)</f>
        <v>#REF!</v>
      </c>
      <c r="X90" s="1" t="e">
        <f>W90/VLOOKUP(A90,'[25]geoMap (22)'!$A:$B,2,0)*VLOOKUP(A90,'[25]geoMap (22)'!$A:$C,3,0)</f>
        <v>#REF!</v>
      </c>
      <c r="Y90" s="1" t="e">
        <f>X90/VLOOKUP(A90,'[26]geoMap (23)'!$A:$B,2,0)*VLOOKUP(A90,'[26]geoMap (23)'!$A:$C,3,0)</f>
        <v>#REF!</v>
      </c>
      <c r="Z90" s="1" t="e">
        <f>Y90/VLOOKUP(A90,'[27]geoMap (24)'!$A:$B,2,0)*VLOOKUP(A90,'[27]geoMap (24)'!$A:$C,3,0)</f>
        <v>#REF!</v>
      </c>
      <c r="AA90" s="1" t="e">
        <f>Z90/VLOOKUP(A90,'[28]geoMap (25)'!$A:$B,2,0)*VLOOKUP(A90,'[28]geoMap (25)'!$A:$C,3,0)</f>
        <v>#REF!</v>
      </c>
      <c r="AB90" s="1" t="e">
        <f>AA90*VLOOKUP(A90,'[29]geoMap (26)'!$A:$B,2,0)*VLOOKUP(A90,'[29]geoMap (26)'!$A:$C,3,0)</f>
        <v>#REF!</v>
      </c>
      <c r="AC90" s="1" t="e">
        <f>AB90/VLOOKUP(A90,'[30]geoMap (27)'!$A:$B,2,0)*VLOOKUP(A90,'[30]geoMap (27)'!$A:$C,3,0)</f>
        <v>#REF!</v>
      </c>
      <c r="AD90" s="1" t="e">
        <f>AC90/VLOOKUP(A90,'[31]geoMap (28)'!$A:$B,2,0)*VLOOKUP(A90,'[31]geoMap (28)'!$A:$C,3,0)</f>
        <v>#REF!</v>
      </c>
      <c r="AE90" s="1" t="e">
        <f>AD90/VLOOKUP(A90,'[32]geoMap (29)'!$A:$B,2,0)*VLOOKUP(A90,'[32]geoMap (29)'!$A:$C,3,0)</f>
        <v>#REF!</v>
      </c>
      <c r="AF90" s="1" t="e">
        <f>AE90/VLOOKUP(A90,'[33]geoMap (30)'!$A:$B,2,0)*VLOOKUP(A90,'[33]geoMap (30)'!$A:$C,3,0)</f>
        <v>#REF!</v>
      </c>
      <c r="AG90" s="1" t="e">
        <f>AF90/VLOOKUP(A90,'[34]geoMap (31)'!$A:$B,2,0)*VLOOKUP(A90,'[34]geoMap (31)'!$A:$C,3,0)</f>
        <v>#REF!</v>
      </c>
      <c r="AH90" s="1" t="e">
        <f>AG90/VLOOKUP(A90,'[35]geoMap (32)'!$A:$B,2,0)*VLOOKUP(A90,'[35]geoMap (32)'!$A:$C,3,0)</f>
        <v>#REF!</v>
      </c>
      <c r="AI90" s="1" t="e">
        <f>AH90/VLOOKUP(A90,'[36]geoMap (33)'!$A:$B,2,0)*VLOOKUP(A90,'[36]geoMap (33)'!$A:$C,3,0)</f>
        <v>#REF!</v>
      </c>
      <c r="AJ90" s="1" t="e">
        <f>AI90/VLOOKUP(A90,'[37]geoMap (34)'!$A:$B,2,0)*VLOOKUP(A90,'[37]geoMap (34)'!$A:$C,3,0)</f>
        <v>#REF!</v>
      </c>
      <c r="AK90" s="1" t="e">
        <f>AJ90/VLOOKUP(A90,'[38]geoMap (35)'!$A:$B,2,0)*VLOOKUP(A90,'[38]geoMap (35)'!$A:$C,3,0)</f>
        <v>#REF!</v>
      </c>
      <c r="AL90" s="1" t="e">
        <f>AK90/VLOOKUP(A90,'[39]geoMap (36)'!$A:$B,2,0)*VLOOKUP(A90,'[39]geoMap (36)'!$A:$C,3,0)</f>
        <v>#REF!</v>
      </c>
      <c r="AM90" s="1" t="e">
        <f>AL90/VLOOKUP(A90,'[40]geoMap (37)'!$A:$B,2,0)*VLOOKUP(A90,'[40]geoMap (37)'!$A:$C,3,0)</f>
        <v>#REF!</v>
      </c>
      <c r="AN90" s="1" t="e">
        <f>AM90/VLOOKUP(A90,'[41]geoMap (38)'!$A:$B,2,0)*VLOOKUP(A90,'[41]geoMap (38)'!$A:$C,3,0)</f>
        <v>#REF!</v>
      </c>
      <c r="AO90" s="1" t="e">
        <f>AN90/VLOOKUP(A90,'[42]geoMap (39)'!$A:$B,2,0)*VLOOKUP(A90,'[42]geoMap (39)'!$A:$C,3,0)</f>
        <v>#REF!</v>
      </c>
      <c r="AP90" s="1" t="e">
        <f>AO90/VLOOKUP(A90,'[43]geoMap (40)'!$A:$B,2,0)*VLOOKUP(A90,'[43]geoMap (40)'!$A:$C,3,0)</f>
        <v>#REF!</v>
      </c>
      <c r="AQ90" s="1" t="e">
        <f>AP90/VLOOKUP(A90,'[44]geoMap (41)'!$A:$B,2,0)*VLOOKUP(A90,'[44]geoMap (41)'!$A:$C,3,0)</f>
        <v>#REF!</v>
      </c>
      <c r="AR90" s="1" t="e">
        <f>AQ90/VLOOKUP(A90,'[45]geoMap (42)'!$A:$B,2,0)*VLOOKUP(A90,'[45]geoMap (42)'!$A:$C,3,0)</f>
        <v>#REF!</v>
      </c>
      <c r="AS90" s="1" t="e">
        <f>AR90/VLOOKUP(A90,'[46]geoMap (43)'!$A:$B,2,0)*VLOOKUP(A90,'[46]geoMap (43)'!$A:$C,3,0)</f>
        <v>#REF!</v>
      </c>
      <c r="AT90" s="1" t="e">
        <f>AS90/VLOOKUP(A90,'[47]geoMap (44)'!$A:$B,2,0)*VLOOKUP(A90,'[47]geoMap (44)'!$A:$C,3,0)</f>
        <v>#REF!</v>
      </c>
      <c r="AU90" s="1" t="e">
        <f>AT90/VLOOKUP(A90,'[48]geoMap (45)'!$A:$B,2,0)*VLOOKUP(A90,'[48]geoMap (45)'!$A:$C,3,0)</f>
        <v>#REF!</v>
      </c>
      <c r="AV90" s="1" t="e">
        <f>AU90/VLOOKUP(A90,'[49]geoMap (46)'!$A:$B,2,0)*VLOOKUP(A90,'[49]geoMap (46)'!$A:$C,3,0)</f>
        <v>#REF!</v>
      </c>
      <c r="AW90" s="1" t="e">
        <f>AV90/VLOOKUP(A90,'[50]geoMap (47)'!$A:$B,2,0)*VLOOKUP(A90,'[50]geoMap (47)'!$A:$C,3,0)</f>
        <v>#REF!</v>
      </c>
      <c r="AX90" s="1" t="e">
        <f>AW90/VLOOKUP(A90,'[51]geoMap (48)'!$A:$B,2,0)*VLOOKUP(A90,'[51]geoMap (48)'!$A:$C,3,0)</f>
        <v>#REF!</v>
      </c>
      <c r="AY90" s="1" t="e">
        <f>AX90/VLOOKUP(A90,'[52]geoMap (49)'!$A:$B,2,0)*VLOOKUP(A90,'[52]geoMap (49)'!$A:$C,3,0)</f>
        <v>#REF!</v>
      </c>
      <c r="AZ90" s="1" t="e">
        <f>AY90/VLOOKUP(A90,'[53]geoMap (50)'!$A:$B,2,0)*VLOOKUP(A90,'[53]geoMap (50)'!$A:$C,3,0)</f>
        <v>#REF!</v>
      </c>
      <c r="BA90" s="1" t="e">
        <f>AZ90/VLOOKUP(A90,'[54]geoMap (51)'!$A:$B,2,0)*VLOOKUP(A90,'[54]geoMap (51)'!$A:$C,3,0)</f>
        <v>#REF!</v>
      </c>
      <c r="BB90" s="1" t="e">
        <f>BA90/VLOOKUP(A90,'[55]geoMap (52)'!$A:$B,2,0)*VLOOKUP(A90,'[55]geoMap (52)'!$A:$C,3,0)</f>
        <v>#REF!</v>
      </c>
      <c r="BC90" s="1" t="e">
        <f>BB90/VLOOKUP(A90,'[56]geoMap (53)'!$A:$B,2,0)*VLOOKUP(A90,'[56]geoMap (53)'!$A:$C,3,0)</f>
        <v>#REF!</v>
      </c>
      <c r="BD90" s="1" t="e">
        <f>BC90/VLOOKUP(A90,'[57]geoMap (54)'!$A:$B,2,0)*VLOOKUP(A90,'[57]geoMap (54)'!$A:$C,3,0)</f>
        <v>#REF!</v>
      </c>
      <c r="BE90" s="1" t="e">
        <f>BD90/VLOOKUP(A90,'[58]geoMap (55)'!$A:$B,2,0)*VLOOKUP(A90,'[58]geoMap (55)'!$A:$C,3,0)</f>
        <v>#REF!</v>
      </c>
      <c r="BF90" s="1" t="e">
        <f>BE90/VLOOKUP(A90,'[59]geoMap (56)'!$A:$B,2,0)*VLOOKUP(A90,'[59]geoMap (56)'!$A:$C,3,0)</f>
        <v>#REF!</v>
      </c>
      <c r="BG90" s="1" t="e">
        <f>BF90/VLOOKUP(A90,'[60]geoMap (57)'!$A:$B,2,0)*VLOOKUP(A90,'[60]geoMap (57)'!$A:$C,3,0)</f>
        <v>#REF!</v>
      </c>
      <c r="BH90" s="1" t="e">
        <f>BG90/VLOOKUP(A90,'[61]geoMap (58)'!$A:$B,2,0)*VLOOKUP(A90,'[61]geoMap (58)'!$A:$C,3,0)</f>
        <v>#REF!</v>
      </c>
      <c r="BI90" s="1" t="e">
        <f>BH90/VLOOKUP(A90,'[62]geoMap (59)'!$A:$B,2,0)*VLOOKUP(A90,'[62]geoMap (59)'!$A:$C,3,0)</f>
        <v>#REF!</v>
      </c>
      <c r="BJ90" s="1" t="e">
        <f>BI90/VLOOKUP(A90,'[63]geoMap (60)'!$A:$B,2,0)*VLOOKUP(A90,'[63]geoMap (60)'!$A:$C,3,0)</f>
        <v>#REF!</v>
      </c>
      <c r="BK90" s="1" t="e">
        <f>BJ90/VLOOKUP(A90,'[64]geoMap (61)'!$A:$B,2,0)*VLOOKUP(A90,'[64]geoMap (61)'!$A:$C,3,0)</f>
        <v>#REF!</v>
      </c>
      <c r="BL90" s="1" t="e">
        <f>BK90/VLOOKUP(A90,'[65]geoMap (62)'!$A:$B,2,0)*VLOOKUP(A90,'[65]geoMap (62)'!$A:$C,3,0)</f>
        <v>#REF!</v>
      </c>
      <c r="BM90" s="1" t="e">
        <f>BL90/VLOOKUP(A90,'[66]geoMap (63)'!$A:$B,2,0)*VLOOKUP(A90,'[66]geoMap (63)'!$A:$C,3,0)</f>
        <v>#REF!</v>
      </c>
      <c r="BN90" s="1" t="e">
        <f>BM90/VLOOKUP(A90,'[67]geoMap (64)'!$A:$B,2,0)*VLOOKUP(A90,'[67]geoMap (64)'!$A:$C,3,0)</f>
        <v>#REF!</v>
      </c>
      <c r="BO90" s="1" t="e">
        <f>BN90/VLOOKUP(A90,'[68]geoMap (65)'!$A:$B,2,0)*VLOOKUP(A90,'[68]geoMap (65)'!$A:$C,3,0)</f>
        <v>#REF!</v>
      </c>
      <c r="BP90" s="1" t="e">
        <f>BO90/VLOOKUP(A90,'[69]geoMap (66)'!$A:$B,2,0)*VLOOKUP(A90,'[69]geoMap (66)'!$A:$C,3,0)</f>
        <v>#REF!</v>
      </c>
    </row>
    <row r="91" spans="1:68" hidden="1" x14ac:dyDescent="0.2">
      <c r="A91" s="1" t="s">
        <v>28</v>
      </c>
      <c r="B91" s="1" t="e">
        <f>VLOOKUP(A91,[3]geoMap!$A:$B,2,0)*Notes!$C$6</f>
        <v>#REF!</v>
      </c>
      <c r="C91" s="1" t="e">
        <f>B91/VLOOKUP(A91,'[4]geoMap (1)'!$A:$B,2,0)*VLOOKUP(A91,'[4]geoMap (1)'!$A:$C,3,0)</f>
        <v>#REF!</v>
      </c>
      <c r="D91" s="1" t="e">
        <f>C91/VLOOKUP(A91,'[5]geoMap (2)'!$A:$B,2,0)*VLOOKUP(A91,'[5]geoMap (2)'!$A:$C,3,0)</f>
        <v>#REF!</v>
      </c>
      <c r="E91" s="1" t="e">
        <f>D91/VLOOKUP(A91,'[6]geoMap (3)'!$A:$B,2,0)*VLOOKUP(A91,'[6]geoMap (3)'!$A:$C,3,0)</f>
        <v>#REF!</v>
      </c>
      <c r="F91" s="1" t="e">
        <f>E91/VLOOKUP(A91,'[7]geoMap (4)'!$A:$B,2,0)*VLOOKUP(A91,'[7]geoMap (4)'!$A:$C,3,0)</f>
        <v>#REF!</v>
      </c>
      <c r="G91" s="1" t="e">
        <f>F91/VLOOKUP(A91,'[8]geoMap (5)'!$A:$B,2,0)*VLOOKUP(A91,'[8]geoMap (5)'!$A:$C,3,0)</f>
        <v>#REF!</v>
      </c>
      <c r="H91" s="1" t="e">
        <f>G91/VLOOKUP(A91,'[9]geoMap (6)'!$A:$B,2,0)*VLOOKUP(A91,'[9]geoMap (6)'!$A:$C,3,0)</f>
        <v>#REF!</v>
      </c>
      <c r="I91" s="1" t="e">
        <f>H91/VLOOKUP(A91,'[10]geoMap (7)'!$A:$B,2,0)*VLOOKUP(A91,'[10]geoMap (7)'!$A:$C,3,0)</f>
        <v>#REF!</v>
      </c>
      <c r="J91" s="1" t="e">
        <f>I91/VLOOKUP(A91,'[11]geoMap (8)'!$A:$B,2,0)*VLOOKUP(A91,'[11]geoMap (8)'!$A:$C,3,0)</f>
        <v>#REF!</v>
      </c>
      <c r="K91" s="1" t="e">
        <f>J91/VLOOKUP(A91,'[12]geoMap (9)'!$A:$B,2,0)*VLOOKUP(A91,'[12]geoMap (9)'!$A:$C,3,0)</f>
        <v>#REF!</v>
      </c>
      <c r="L91" s="1" t="e">
        <f>K91/VLOOKUP(A91,'[13]geoMap (10)'!$A:$B,2,0)*VLOOKUP(A91,'[13]geoMap (10)'!$A:$C,3,0)</f>
        <v>#REF!</v>
      </c>
      <c r="M91" s="1" t="e">
        <f>L91/VLOOKUP(A91,'[14]geoMap (11)'!$A:$B,2,0)*VLOOKUP(A91,'[14]geoMap (11)'!$A:$C,3,0)</f>
        <v>#REF!</v>
      </c>
      <c r="N91" s="1" t="e">
        <f>M91/VLOOKUP(A91,'[15]geoMap (12)'!$A:$B,2,0)*VLOOKUP(A91,'[15]geoMap (12)'!$A:$C,3,0)</f>
        <v>#REF!</v>
      </c>
      <c r="O91" s="1" t="e">
        <f>N91/VLOOKUP(A91,'[16]geoMap (13)'!$A:$B,2,0)*VLOOKUP(A91,'[16]geoMap (13)'!$A:$C,3,0)</f>
        <v>#REF!</v>
      </c>
      <c r="P91" s="1" t="e">
        <f>O91/VLOOKUP(A91,'[17]geoMap (14)'!$A:$B,2,0)*VLOOKUP(A91,'[17]geoMap (14)'!$A:$C,3,0)</f>
        <v>#REF!</v>
      </c>
      <c r="Q91" s="1" t="e">
        <f>P91/VLOOKUP(A91,'[18]geoMap (15)'!$A:$B,2,0)*VLOOKUP(A91,'[18]geoMap (15)'!$A:$C,3,0)</f>
        <v>#REF!</v>
      </c>
      <c r="R91" s="1" t="e">
        <f>Q91/VLOOKUP(A91,'[19]geoMap (16)'!$A:$B,2,0)*VLOOKUP(A91,'[19]geoMap (16)'!$A:$C,3,0)</f>
        <v>#REF!</v>
      </c>
      <c r="S91" s="1" t="e">
        <f>R91/VLOOKUP(A91,'[20]geoMap (17)'!$A:$B,2,0)*VLOOKUP(A91,'[20]geoMap (17)'!$A:$C,3,0)</f>
        <v>#REF!</v>
      </c>
      <c r="T91" s="1" t="e">
        <f>S91/VLOOKUP(A91,'[21]geoMap (18)'!$A:$B,2,0)*VLOOKUP(A91,'[21]geoMap (18)'!$A:$C,3,0)</f>
        <v>#REF!</v>
      </c>
      <c r="U91" s="1" t="e">
        <f>T91/VLOOKUP(A91,'[22]geoMap (19)'!$A:$B,2,0)*VLOOKUP(A91,'[22]geoMap (19)'!$A:$C,3,0)</f>
        <v>#REF!</v>
      </c>
      <c r="V91" s="1" t="e">
        <f>U91/VLOOKUP(A91,'[23]geoMap (20)'!$A:$B,2,0)*VLOOKUP(A91,'[23]geoMap (20)'!$A:$C,3,0)</f>
        <v>#REF!</v>
      </c>
      <c r="W91" s="1" t="e">
        <f>V91/VLOOKUP(A91,'[24]geoMap (21)'!$A:$B,2,0)*VLOOKUP(A91,'[24]geoMap (21)'!$A:$C,3,0)</f>
        <v>#REF!</v>
      </c>
      <c r="X91" s="1" t="e">
        <f>W91/VLOOKUP(A91,'[25]geoMap (22)'!$A:$B,2,0)*VLOOKUP(A91,'[25]geoMap (22)'!$A:$C,3,0)</f>
        <v>#REF!</v>
      </c>
      <c r="Y91" s="1" t="e">
        <f>X91/VLOOKUP(A91,'[26]geoMap (23)'!$A:$B,2,0)*VLOOKUP(A91,'[26]geoMap (23)'!$A:$C,3,0)</f>
        <v>#REF!</v>
      </c>
      <c r="Z91" s="1" t="e">
        <f>Y91/VLOOKUP(A91,'[27]geoMap (24)'!$A:$B,2,0)*VLOOKUP(A91,'[27]geoMap (24)'!$A:$C,3,0)</f>
        <v>#REF!</v>
      </c>
      <c r="AA91" s="1" t="e">
        <f>Z91/VLOOKUP(A91,'[28]geoMap (25)'!$A:$B,2,0)*VLOOKUP(A91,'[28]geoMap (25)'!$A:$C,3,0)</f>
        <v>#REF!</v>
      </c>
      <c r="AB91" s="1" t="e">
        <f>AA91*VLOOKUP(A91,'[29]geoMap (26)'!$A:$B,2,0)*VLOOKUP(A91,'[29]geoMap (26)'!$A:$C,3,0)</f>
        <v>#REF!</v>
      </c>
      <c r="AC91" s="1" t="e">
        <f>AB91/VLOOKUP(A91,'[30]geoMap (27)'!$A:$B,2,0)*VLOOKUP(A91,'[30]geoMap (27)'!$A:$C,3,0)</f>
        <v>#REF!</v>
      </c>
      <c r="AD91" s="1" t="e">
        <f>AC91/VLOOKUP(A91,'[31]geoMap (28)'!$A:$B,2,0)*VLOOKUP(A91,'[31]geoMap (28)'!$A:$C,3,0)</f>
        <v>#REF!</v>
      </c>
      <c r="AE91" s="1" t="e">
        <f>AD91/VLOOKUP(A91,'[32]geoMap (29)'!$A:$B,2,0)*VLOOKUP(A91,'[32]geoMap (29)'!$A:$C,3,0)</f>
        <v>#REF!</v>
      </c>
      <c r="AF91" s="1" t="e">
        <f>AE91/VLOOKUP(A91,'[33]geoMap (30)'!$A:$B,2,0)*VLOOKUP(A91,'[33]geoMap (30)'!$A:$C,3,0)</f>
        <v>#REF!</v>
      </c>
      <c r="AG91" s="1" t="e">
        <f>AF91/VLOOKUP(A91,'[34]geoMap (31)'!$A:$B,2,0)*VLOOKUP(A91,'[34]geoMap (31)'!$A:$C,3,0)</f>
        <v>#REF!</v>
      </c>
      <c r="AH91" s="1" t="e">
        <f>AG91/VLOOKUP(A91,'[35]geoMap (32)'!$A:$B,2,0)*VLOOKUP(A91,'[35]geoMap (32)'!$A:$C,3,0)</f>
        <v>#REF!</v>
      </c>
      <c r="AI91" s="1" t="e">
        <f>AH91/VLOOKUP(A91,'[36]geoMap (33)'!$A:$B,2,0)*VLOOKUP(A91,'[36]geoMap (33)'!$A:$C,3,0)</f>
        <v>#REF!</v>
      </c>
      <c r="AJ91" s="1" t="e">
        <f>AI91/VLOOKUP(A91,'[37]geoMap (34)'!$A:$B,2,0)*VLOOKUP(A91,'[37]geoMap (34)'!$A:$C,3,0)</f>
        <v>#REF!</v>
      </c>
      <c r="AK91" s="1" t="e">
        <f>AJ91/VLOOKUP(A91,'[38]geoMap (35)'!$A:$B,2,0)*VLOOKUP(A91,'[38]geoMap (35)'!$A:$C,3,0)</f>
        <v>#REF!</v>
      </c>
      <c r="AL91" s="1" t="e">
        <f>AK91/VLOOKUP(A91,'[39]geoMap (36)'!$A:$B,2,0)*VLOOKUP(A91,'[39]geoMap (36)'!$A:$C,3,0)</f>
        <v>#REF!</v>
      </c>
      <c r="AM91" s="1" t="e">
        <f>AL91/VLOOKUP(A91,'[40]geoMap (37)'!$A:$B,2,0)*VLOOKUP(A91,'[40]geoMap (37)'!$A:$C,3,0)</f>
        <v>#REF!</v>
      </c>
      <c r="AN91" s="1" t="e">
        <f>AM91/VLOOKUP(A91,'[41]geoMap (38)'!$A:$B,2,0)*VLOOKUP(A91,'[41]geoMap (38)'!$A:$C,3,0)</f>
        <v>#REF!</v>
      </c>
      <c r="AO91" s="1" t="e">
        <f>AN91/VLOOKUP(A91,'[42]geoMap (39)'!$A:$B,2,0)*VLOOKUP(A91,'[42]geoMap (39)'!$A:$C,3,0)</f>
        <v>#REF!</v>
      </c>
      <c r="AP91" s="1" t="e">
        <f>AO91/VLOOKUP(A91,'[43]geoMap (40)'!$A:$B,2,0)*VLOOKUP(A91,'[43]geoMap (40)'!$A:$C,3,0)</f>
        <v>#REF!</v>
      </c>
      <c r="AQ91" s="1" t="e">
        <f>AP91/VLOOKUP(A91,'[44]geoMap (41)'!$A:$B,2,0)*VLOOKUP(A91,'[44]geoMap (41)'!$A:$C,3,0)</f>
        <v>#REF!</v>
      </c>
      <c r="AR91" s="1" t="e">
        <f>AQ91/VLOOKUP(A91,'[45]geoMap (42)'!$A:$B,2,0)*VLOOKUP(A91,'[45]geoMap (42)'!$A:$C,3,0)</f>
        <v>#REF!</v>
      </c>
      <c r="AS91" s="1" t="e">
        <f>AR91/VLOOKUP(A91,'[46]geoMap (43)'!$A:$B,2,0)*VLOOKUP(A91,'[46]geoMap (43)'!$A:$C,3,0)</f>
        <v>#REF!</v>
      </c>
      <c r="AT91" s="1" t="e">
        <f>AS91/VLOOKUP(A91,'[47]geoMap (44)'!$A:$B,2,0)*VLOOKUP(A91,'[47]geoMap (44)'!$A:$C,3,0)</f>
        <v>#REF!</v>
      </c>
      <c r="AU91" s="1" t="e">
        <f>AT91/VLOOKUP(A91,'[48]geoMap (45)'!$A:$B,2,0)*VLOOKUP(A91,'[48]geoMap (45)'!$A:$C,3,0)</f>
        <v>#REF!</v>
      </c>
      <c r="AV91" s="1" t="e">
        <f>AU91/VLOOKUP(A91,'[49]geoMap (46)'!$A:$B,2,0)*VLOOKUP(A91,'[49]geoMap (46)'!$A:$C,3,0)</f>
        <v>#REF!</v>
      </c>
      <c r="AW91" s="1" t="e">
        <f>AV91/VLOOKUP(A91,'[50]geoMap (47)'!$A:$B,2,0)*VLOOKUP(A91,'[50]geoMap (47)'!$A:$C,3,0)</f>
        <v>#REF!</v>
      </c>
      <c r="AX91" s="1" t="e">
        <f>AW91/VLOOKUP(A91,'[51]geoMap (48)'!$A:$B,2,0)*VLOOKUP(A91,'[51]geoMap (48)'!$A:$C,3,0)</f>
        <v>#REF!</v>
      </c>
      <c r="AY91" s="1" t="e">
        <f>AX91/VLOOKUP(A91,'[52]geoMap (49)'!$A:$B,2,0)*VLOOKUP(A91,'[52]geoMap (49)'!$A:$C,3,0)</f>
        <v>#REF!</v>
      </c>
      <c r="AZ91" s="1" t="e">
        <f>AY91/VLOOKUP(A91,'[53]geoMap (50)'!$A:$B,2,0)*VLOOKUP(A91,'[53]geoMap (50)'!$A:$C,3,0)</f>
        <v>#REF!</v>
      </c>
      <c r="BA91" s="1" t="e">
        <f>AZ91/VLOOKUP(A91,'[54]geoMap (51)'!$A:$B,2,0)*VLOOKUP(A91,'[54]geoMap (51)'!$A:$C,3,0)</f>
        <v>#REF!</v>
      </c>
      <c r="BB91" s="1" t="e">
        <f>BA91/VLOOKUP(A91,'[55]geoMap (52)'!$A:$B,2,0)*VLOOKUP(A91,'[55]geoMap (52)'!$A:$C,3,0)</f>
        <v>#REF!</v>
      </c>
      <c r="BC91" s="1" t="e">
        <f>BB91/VLOOKUP(A91,'[56]geoMap (53)'!$A:$B,2,0)*VLOOKUP(A91,'[56]geoMap (53)'!$A:$C,3,0)</f>
        <v>#REF!</v>
      </c>
      <c r="BD91" s="1" t="e">
        <f>BC91/VLOOKUP(A91,'[57]geoMap (54)'!$A:$B,2,0)*VLOOKUP(A91,'[57]geoMap (54)'!$A:$C,3,0)</f>
        <v>#REF!</v>
      </c>
      <c r="BE91" s="1" t="e">
        <f>BD91/VLOOKUP(A91,'[58]geoMap (55)'!$A:$B,2,0)*VLOOKUP(A91,'[58]geoMap (55)'!$A:$C,3,0)</f>
        <v>#REF!</v>
      </c>
      <c r="BF91" s="1" t="e">
        <f>BE91/VLOOKUP(A91,'[59]geoMap (56)'!$A:$B,2,0)*VLOOKUP(A91,'[59]geoMap (56)'!$A:$C,3,0)</f>
        <v>#REF!</v>
      </c>
      <c r="BG91" s="1" t="e">
        <f>BF91/VLOOKUP(A91,'[60]geoMap (57)'!$A:$B,2,0)*VLOOKUP(A91,'[60]geoMap (57)'!$A:$C,3,0)</f>
        <v>#REF!</v>
      </c>
      <c r="BH91" s="1" t="e">
        <f>BG91/VLOOKUP(A91,'[61]geoMap (58)'!$A:$B,2,0)*VLOOKUP(A91,'[61]geoMap (58)'!$A:$C,3,0)</f>
        <v>#REF!</v>
      </c>
      <c r="BI91" s="1" t="e">
        <f>BH91/VLOOKUP(A91,'[62]geoMap (59)'!$A:$B,2,0)*VLOOKUP(A91,'[62]geoMap (59)'!$A:$C,3,0)</f>
        <v>#REF!</v>
      </c>
      <c r="BJ91" s="1" t="e">
        <f>BI91/VLOOKUP(A91,'[63]geoMap (60)'!$A:$B,2,0)*VLOOKUP(A91,'[63]geoMap (60)'!$A:$C,3,0)</f>
        <v>#REF!</v>
      </c>
      <c r="BK91" s="1" t="e">
        <f>BJ91/VLOOKUP(A91,'[64]geoMap (61)'!$A:$B,2,0)*VLOOKUP(A91,'[64]geoMap (61)'!$A:$C,3,0)</f>
        <v>#REF!</v>
      </c>
      <c r="BL91" s="1" t="e">
        <f>BK91/VLOOKUP(A91,'[65]geoMap (62)'!$A:$B,2,0)*VLOOKUP(A91,'[65]geoMap (62)'!$A:$C,3,0)</f>
        <v>#REF!</v>
      </c>
      <c r="BM91" s="1" t="e">
        <f>BL91/VLOOKUP(A91,'[66]geoMap (63)'!$A:$B,2,0)*VLOOKUP(A91,'[66]geoMap (63)'!$A:$C,3,0)</f>
        <v>#REF!</v>
      </c>
      <c r="BN91" s="1" t="e">
        <f>BM91/VLOOKUP(A91,'[67]geoMap (64)'!$A:$B,2,0)*VLOOKUP(A91,'[67]geoMap (64)'!$A:$C,3,0)</f>
        <v>#REF!</v>
      </c>
      <c r="BO91" s="1" t="e">
        <f>BN91/VLOOKUP(A91,'[68]geoMap (65)'!$A:$B,2,0)*VLOOKUP(A91,'[68]geoMap (65)'!$A:$C,3,0)</f>
        <v>#REF!</v>
      </c>
      <c r="BP91" s="1" t="e">
        <f>BO91/VLOOKUP(A91,'[69]geoMap (66)'!$A:$B,2,0)*VLOOKUP(A91,'[69]geoMap (66)'!$A:$C,3,0)</f>
        <v>#REF!</v>
      </c>
    </row>
    <row r="92" spans="1:68" hidden="1" x14ac:dyDescent="0.2">
      <c r="A92" s="1" t="s">
        <v>29</v>
      </c>
      <c r="B92" s="1" t="e">
        <f>VLOOKUP(A92,[3]geoMap!$A:$B,2,0)*Notes!$C$6</f>
        <v>#REF!</v>
      </c>
      <c r="C92" s="1" t="e">
        <f>B92/VLOOKUP(A92,'[4]geoMap (1)'!$A:$B,2,0)*VLOOKUP(A92,'[4]geoMap (1)'!$A:$C,3,0)</f>
        <v>#REF!</v>
      </c>
      <c r="D92" s="1" t="e">
        <f>C92/VLOOKUP(A92,'[5]geoMap (2)'!$A:$B,2,0)*VLOOKUP(A92,'[5]geoMap (2)'!$A:$C,3,0)</f>
        <v>#REF!</v>
      </c>
      <c r="E92" s="1" t="e">
        <f>D92/VLOOKUP(A92,'[6]geoMap (3)'!$A:$B,2,0)*VLOOKUP(A92,'[6]geoMap (3)'!$A:$C,3,0)</f>
        <v>#REF!</v>
      </c>
      <c r="F92" s="1" t="e">
        <f>E92/VLOOKUP(A92,'[7]geoMap (4)'!$A:$B,2,0)*VLOOKUP(A92,'[7]geoMap (4)'!$A:$C,3,0)</f>
        <v>#REF!</v>
      </c>
      <c r="G92" s="1" t="e">
        <f>F92/VLOOKUP(A92,'[8]geoMap (5)'!$A:$B,2,0)*VLOOKUP(A92,'[8]geoMap (5)'!$A:$C,3,0)</f>
        <v>#REF!</v>
      </c>
      <c r="H92" s="1" t="e">
        <f>G92/VLOOKUP(A92,'[9]geoMap (6)'!$A:$B,2,0)*VLOOKUP(A92,'[9]geoMap (6)'!$A:$C,3,0)</f>
        <v>#REF!</v>
      </c>
      <c r="I92" s="1" t="e">
        <f>H92/VLOOKUP(A92,'[10]geoMap (7)'!$A:$B,2,0)*VLOOKUP(A92,'[10]geoMap (7)'!$A:$C,3,0)</f>
        <v>#REF!</v>
      </c>
      <c r="J92" s="1" t="e">
        <f>I92/VLOOKUP(A92,'[11]geoMap (8)'!$A:$B,2,0)*VLOOKUP(A92,'[11]geoMap (8)'!$A:$C,3,0)</f>
        <v>#REF!</v>
      </c>
      <c r="K92" s="1" t="e">
        <f>J92/VLOOKUP(A92,'[12]geoMap (9)'!$A:$B,2,0)*VLOOKUP(A92,'[12]geoMap (9)'!$A:$C,3,0)</f>
        <v>#REF!</v>
      </c>
      <c r="L92" s="1" t="e">
        <f>K92/VLOOKUP(A92,'[13]geoMap (10)'!$A:$B,2,0)*VLOOKUP(A92,'[13]geoMap (10)'!$A:$C,3,0)</f>
        <v>#REF!</v>
      </c>
      <c r="M92" s="1" t="e">
        <f>L92/VLOOKUP(A92,'[14]geoMap (11)'!$A:$B,2,0)*VLOOKUP(A92,'[14]geoMap (11)'!$A:$C,3,0)</f>
        <v>#REF!</v>
      </c>
      <c r="N92" s="1" t="e">
        <f>M92/VLOOKUP(A92,'[15]geoMap (12)'!$A:$B,2,0)*VLOOKUP(A92,'[15]geoMap (12)'!$A:$C,3,0)</f>
        <v>#REF!</v>
      </c>
      <c r="O92" s="1" t="e">
        <f>N92/VLOOKUP(A92,'[16]geoMap (13)'!$A:$B,2,0)*VLOOKUP(A92,'[16]geoMap (13)'!$A:$C,3,0)</f>
        <v>#REF!</v>
      </c>
      <c r="P92" s="1" t="e">
        <f>O92/VLOOKUP(A92,'[17]geoMap (14)'!$A:$B,2,0)*VLOOKUP(A92,'[17]geoMap (14)'!$A:$C,3,0)</f>
        <v>#REF!</v>
      </c>
      <c r="Q92" s="1" t="e">
        <f>P92/VLOOKUP(A92,'[18]geoMap (15)'!$A:$B,2,0)*VLOOKUP(A92,'[18]geoMap (15)'!$A:$C,3,0)</f>
        <v>#REF!</v>
      </c>
      <c r="R92" s="1" t="e">
        <f>Q92/VLOOKUP(A92,'[19]geoMap (16)'!$A:$B,2,0)*VLOOKUP(A92,'[19]geoMap (16)'!$A:$C,3,0)</f>
        <v>#REF!</v>
      </c>
      <c r="S92" s="1" t="e">
        <f>R92/VLOOKUP(A92,'[20]geoMap (17)'!$A:$B,2,0)*VLOOKUP(A92,'[20]geoMap (17)'!$A:$C,3,0)</f>
        <v>#REF!</v>
      </c>
      <c r="T92" s="1" t="e">
        <f>S92/VLOOKUP(A92,'[21]geoMap (18)'!$A:$B,2,0)*VLOOKUP(A92,'[21]geoMap (18)'!$A:$C,3,0)</f>
        <v>#REF!</v>
      </c>
      <c r="U92" s="1" t="e">
        <f>T92/VLOOKUP(A92,'[22]geoMap (19)'!$A:$B,2,0)*VLOOKUP(A92,'[22]geoMap (19)'!$A:$C,3,0)</f>
        <v>#REF!</v>
      </c>
      <c r="V92" s="1" t="e">
        <f>U92/VLOOKUP(A92,'[23]geoMap (20)'!$A:$B,2,0)*VLOOKUP(A92,'[23]geoMap (20)'!$A:$C,3,0)</f>
        <v>#REF!</v>
      </c>
      <c r="W92" s="1" t="e">
        <f>V92/VLOOKUP(A92,'[24]geoMap (21)'!$A:$B,2,0)*VLOOKUP(A92,'[24]geoMap (21)'!$A:$C,3,0)</f>
        <v>#REF!</v>
      </c>
      <c r="X92" s="1" t="e">
        <f>W92/VLOOKUP(A92,'[25]geoMap (22)'!$A:$B,2,0)*VLOOKUP(A92,'[25]geoMap (22)'!$A:$C,3,0)</f>
        <v>#REF!</v>
      </c>
      <c r="Y92" s="1" t="e">
        <f>X92/VLOOKUP(A92,'[26]geoMap (23)'!$A:$B,2,0)*VLOOKUP(A92,'[26]geoMap (23)'!$A:$C,3,0)</f>
        <v>#REF!</v>
      </c>
      <c r="Z92" s="1" t="e">
        <f>Y92/VLOOKUP(A92,'[27]geoMap (24)'!$A:$B,2,0)*VLOOKUP(A92,'[27]geoMap (24)'!$A:$C,3,0)</f>
        <v>#REF!</v>
      </c>
      <c r="AA92" s="1" t="e">
        <f>Z92/VLOOKUP(A92,'[28]geoMap (25)'!$A:$B,2,0)*VLOOKUP(A92,'[28]geoMap (25)'!$A:$C,3,0)</f>
        <v>#REF!</v>
      </c>
      <c r="AB92" s="1" t="e">
        <f>AA92*VLOOKUP(A92,'[29]geoMap (26)'!$A:$B,2,0)*VLOOKUP(A92,'[29]geoMap (26)'!$A:$C,3,0)</f>
        <v>#REF!</v>
      </c>
      <c r="AC92" s="1" t="e">
        <f>AB92/VLOOKUP(A92,'[30]geoMap (27)'!$A:$B,2,0)*VLOOKUP(A92,'[30]geoMap (27)'!$A:$C,3,0)</f>
        <v>#REF!</v>
      </c>
      <c r="AD92" s="1" t="e">
        <f>AC92/VLOOKUP(A92,'[31]geoMap (28)'!$A:$B,2,0)*VLOOKUP(A92,'[31]geoMap (28)'!$A:$C,3,0)</f>
        <v>#REF!</v>
      </c>
      <c r="AE92" s="1" t="e">
        <f>AD92/VLOOKUP(A92,'[32]geoMap (29)'!$A:$B,2,0)*VLOOKUP(A92,'[32]geoMap (29)'!$A:$C,3,0)</f>
        <v>#REF!</v>
      </c>
      <c r="AF92" s="1" t="e">
        <f>AE92/VLOOKUP(A92,'[33]geoMap (30)'!$A:$B,2,0)*VLOOKUP(A92,'[33]geoMap (30)'!$A:$C,3,0)</f>
        <v>#REF!</v>
      </c>
      <c r="AG92" s="1" t="e">
        <f>AF92/VLOOKUP(A92,'[34]geoMap (31)'!$A:$B,2,0)*VLOOKUP(A92,'[34]geoMap (31)'!$A:$C,3,0)</f>
        <v>#REF!</v>
      </c>
      <c r="AH92" s="1" t="e">
        <f>AG92/VLOOKUP(A92,'[35]geoMap (32)'!$A:$B,2,0)*VLOOKUP(A92,'[35]geoMap (32)'!$A:$C,3,0)</f>
        <v>#REF!</v>
      </c>
      <c r="AI92" s="1" t="e">
        <f>AH92/VLOOKUP(A92,'[36]geoMap (33)'!$A:$B,2,0)*VLOOKUP(A92,'[36]geoMap (33)'!$A:$C,3,0)</f>
        <v>#REF!</v>
      </c>
      <c r="AJ92" s="1" t="e">
        <f>AI92/VLOOKUP(A92,'[37]geoMap (34)'!$A:$B,2,0)*VLOOKUP(A92,'[37]geoMap (34)'!$A:$C,3,0)</f>
        <v>#REF!</v>
      </c>
      <c r="AK92" s="1" t="e">
        <f>AJ92/VLOOKUP(A92,'[38]geoMap (35)'!$A:$B,2,0)*VLOOKUP(A92,'[38]geoMap (35)'!$A:$C,3,0)</f>
        <v>#REF!</v>
      </c>
      <c r="AL92" s="1" t="e">
        <f>AK92/VLOOKUP(A92,'[39]geoMap (36)'!$A:$B,2,0)*VLOOKUP(A92,'[39]geoMap (36)'!$A:$C,3,0)</f>
        <v>#REF!</v>
      </c>
      <c r="AM92" s="1" t="e">
        <f>AL92/VLOOKUP(A92,'[40]geoMap (37)'!$A:$B,2,0)*VLOOKUP(A92,'[40]geoMap (37)'!$A:$C,3,0)</f>
        <v>#REF!</v>
      </c>
      <c r="AN92" s="1" t="e">
        <f>AM92/VLOOKUP(A92,'[41]geoMap (38)'!$A:$B,2,0)*VLOOKUP(A92,'[41]geoMap (38)'!$A:$C,3,0)</f>
        <v>#REF!</v>
      </c>
      <c r="AO92" s="1" t="e">
        <f>AN92/VLOOKUP(A92,'[42]geoMap (39)'!$A:$B,2,0)*VLOOKUP(A92,'[42]geoMap (39)'!$A:$C,3,0)</f>
        <v>#REF!</v>
      </c>
      <c r="AP92" s="1" t="e">
        <f>AO92/VLOOKUP(A92,'[43]geoMap (40)'!$A:$B,2,0)*VLOOKUP(A92,'[43]geoMap (40)'!$A:$C,3,0)</f>
        <v>#REF!</v>
      </c>
      <c r="AQ92" s="1" t="e">
        <f>AP92/VLOOKUP(A92,'[44]geoMap (41)'!$A:$B,2,0)*VLOOKUP(A92,'[44]geoMap (41)'!$A:$C,3,0)</f>
        <v>#REF!</v>
      </c>
      <c r="AR92" s="1" t="e">
        <f>AQ92/VLOOKUP(A92,'[45]geoMap (42)'!$A:$B,2,0)*VLOOKUP(A92,'[45]geoMap (42)'!$A:$C,3,0)</f>
        <v>#REF!</v>
      </c>
      <c r="AS92" s="1" t="e">
        <f>AR92/VLOOKUP(A92,'[46]geoMap (43)'!$A:$B,2,0)*VLOOKUP(A92,'[46]geoMap (43)'!$A:$C,3,0)</f>
        <v>#REF!</v>
      </c>
      <c r="AT92" s="1" t="e">
        <f>AS92/VLOOKUP(A92,'[47]geoMap (44)'!$A:$B,2,0)*VLOOKUP(A92,'[47]geoMap (44)'!$A:$C,3,0)</f>
        <v>#REF!</v>
      </c>
      <c r="AU92" s="1" t="e">
        <f>AT92/VLOOKUP(A92,'[48]geoMap (45)'!$A:$B,2,0)*VLOOKUP(A92,'[48]geoMap (45)'!$A:$C,3,0)</f>
        <v>#REF!</v>
      </c>
      <c r="AV92" s="1" t="e">
        <f>AU92/VLOOKUP(A92,'[49]geoMap (46)'!$A:$B,2,0)*VLOOKUP(A92,'[49]geoMap (46)'!$A:$C,3,0)</f>
        <v>#REF!</v>
      </c>
      <c r="AW92" s="1" t="e">
        <f>AV92/VLOOKUP(A92,'[50]geoMap (47)'!$A:$B,2,0)*VLOOKUP(A92,'[50]geoMap (47)'!$A:$C,3,0)</f>
        <v>#REF!</v>
      </c>
      <c r="AX92" s="1" t="e">
        <f>AW92/VLOOKUP(A92,'[51]geoMap (48)'!$A:$B,2,0)*VLOOKUP(A92,'[51]geoMap (48)'!$A:$C,3,0)</f>
        <v>#REF!</v>
      </c>
      <c r="AY92" s="1" t="e">
        <f>AX92/VLOOKUP(A92,'[52]geoMap (49)'!$A:$B,2,0)*VLOOKUP(A92,'[52]geoMap (49)'!$A:$C,3,0)</f>
        <v>#REF!</v>
      </c>
      <c r="AZ92" s="1" t="e">
        <f>AY92/VLOOKUP(A92,'[53]geoMap (50)'!$A:$B,2,0)*VLOOKUP(A92,'[53]geoMap (50)'!$A:$C,3,0)</f>
        <v>#REF!</v>
      </c>
      <c r="BA92" s="1" t="e">
        <f>AZ92/VLOOKUP(A92,'[54]geoMap (51)'!$A:$B,2,0)*VLOOKUP(A92,'[54]geoMap (51)'!$A:$C,3,0)</f>
        <v>#REF!</v>
      </c>
      <c r="BB92" s="1" t="e">
        <f>BA92/VLOOKUP(A92,'[55]geoMap (52)'!$A:$B,2,0)*VLOOKUP(A92,'[55]geoMap (52)'!$A:$C,3,0)</f>
        <v>#REF!</v>
      </c>
      <c r="BC92" s="1" t="e">
        <f>BB92/VLOOKUP(A92,'[56]geoMap (53)'!$A:$B,2,0)*VLOOKUP(A92,'[56]geoMap (53)'!$A:$C,3,0)</f>
        <v>#REF!</v>
      </c>
      <c r="BD92" s="1" t="e">
        <f>BC92/VLOOKUP(A92,'[57]geoMap (54)'!$A:$B,2,0)*VLOOKUP(A92,'[57]geoMap (54)'!$A:$C,3,0)</f>
        <v>#REF!</v>
      </c>
      <c r="BE92" s="1" t="e">
        <f>BD92/VLOOKUP(A92,'[58]geoMap (55)'!$A:$B,2,0)*VLOOKUP(A92,'[58]geoMap (55)'!$A:$C,3,0)</f>
        <v>#REF!</v>
      </c>
      <c r="BF92" s="1" t="e">
        <f>BE92/VLOOKUP(A92,'[59]geoMap (56)'!$A:$B,2,0)*VLOOKUP(A92,'[59]geoMap (56)'!$A:$C,3,0)</f>
        <v>#REF!</v>
      </c>
      <c r="BG92" s="1" t="e">
        <f>BF92/VLOOKUP(A92,'[60]geoMap (57)'!$A:$B,2,0)*VLOOKUP(A92,'[60]geoMap (57)'!$A:$C,3,0)</f>
        <v>#REF!</v>
      </c>
      <c r="BH92" s="1" t="e">
        <f>BG92/VLOOKUP(A92,'[61]geoMap (58)'!$A:$B,2,0)*VLOOKUP(A92,'[61]geoMap (58)'!$A:$C,3,0)</f>
        <v>#REF!</v>
      </c>
      <c r="BI92" s="1" t="e">
        <f>BH92/VLOOKUP(A92,'[62]geoMap (59)'!$A:$B,2,0)*VLOOKUP(A92,'[62]geoMap (59)'!$A:$C,3,0)</f>
        <v>#REF!</v>
      </c>
      <c r="BJ92" s="1" t="e">
        <f>BI92/VLOOKUP(A92,'[63]geoMap (60)'!$A:$B,2,0)*VLOOKUP(A92,'[63]geoMap (60)'!$A:$C,3,0)</f>
        <v>#REF!</v>
      </c>
      <c r="BK92" s="1" t="e">
        <f>BJ92/VLOOKUP(A92,'[64]geoMap (61)'!$A:$B,2,0)*VLOOKUP(A92,'[64]geoMap (61)'!$A:$C,3,0)</f>
        <v>#REF!</v>
      </c>
      <c r="BL92" s="1" t="e">
        <f>BK92/VLOOKUP(A92,'[65]geoMap (62)'!$A:$B,2,0)*VLOOKUP(A92,'[65]geoMap (62)'!$A:$C,3,0)</f>
        <v>#REF!</v>
      </c>
      <c r="BM92" s="1" t="e">
        <f>BL92/VLOOKUP(A92,'[66]geoMap (63)'!$A:$B,2,0)*VLOOKUP(A92,'[66]geoMap (63)'!$A:$C,3,0)</f>
        <v>#REF!</v>
      </c>
      <c r="BN92" s="1" t="e">
        <f>BM92/VLOOKUP(A92,'[67]geoMap (64)'!$A:$B,2,0)*VLOOKUP(A92,'[67]geoMap (64)'!$A:$C,3,0)</f>
        <v>#REF!</v>
      </c>
      <c r="BO92" s="1" t="e">
        <f>BN92/VLOOKUP(A92,'[68]geoMap (65)'!$A:$B,2,0)*VLOOKUP(A92,'[68]geoMap (65)'!$A:$C,3,0)</f>
        <v>#REF!</v>
      </c>
      <c r="BP92" s="1" t="e">
        <f>BO92/VLOOKUP(A92,'[69]geoMap (66)'!$A:$B,2,0)*VLOOKUP(A92,'[69]geoMap (66)'!$A:$C,3,0)</f>
        <v>#REF!</v>
      </c>
    </row>
    <row r="93" spans="1:68" hidden="1" x14ac:dyDescent="0.2">
      <c r="A93" s="1" t="s">
        <v>30</v>
      </c>
      <c r="B93" s="1" t="e">
        <f>VLOOKUP(A93,[3]geoMap!$A:$B,2,0)*Notes!$C$6</f>
        <v>#REF!</v>
      </c>
      <c r="C93" s="1" t="e">
        <f>B93/VLOOKUP(A93,'[4]geoMap (1)'!$A:$B,2,0)*VLOOKUP(A93,'[4]geoMap (1)'!$A:$C,3,0)</f>
        <v>#REF!</v>
      </c>
      <c r="D93" s="1" t="e">
        <f>C93/VLOOKUP(A93,'[5]geoMap (2)'!$A:$B,2,0)*VLOOKUP(A93,'[5]geoMap (2)'!$A:$C,3,0)</f>
        <v>#REF!</v>
      </c>
      <c r="E93" s="1" t="e">
        <f>D93/VLOOKUP(A93,'[6]geoMap (3)'!$A:$B,2,0)*VLOOKUP(A93,'[6]geoMap (3)'!$A:$C,3,0)</f>
        <v>#REF!</v>
      </c>
      <c r="F93" s="1" t="e">
        <f>E93/VLOOKUP(A93,'[7]geoMap (4)'!$A:$B,2,0)*VLOOKUP(A93,'[7]geoMap (4)'!$A:$C,3,0)</f>
        <v>#REF!</v>
      </c>
      <c r="G93" s="1" t="e">
        <f>F93/VLOOKUP(A93,'[8]geoMap (5)'!$A:$B,2,0)*VLOOKUP(A93,'[8]geoMap (5)'!$A:$C,3,0)</f>
        <v>#REF!</v>
      </c>
      <c r="H93" s="1" t="e">
        <f>G93/VLOOKUP(A93,'[9]geoMap (6)'!$A:$B,2,0)*VLOOKUP(A93,'[9]geoMap (6)'!$A:$C,3,0)</f>
        <v>#REF!</v>
      </c>
      <c r="I93" s="1" t="e">
        <f>H93/VLOOKUP(A93,'[10]geoMap (7)'!$A:$B,2,0)*VLOOKUP(A93,'[10]geoMap (7)'!$A:$C,3,0)</f>
        <v>#REF!</v>
      </c>
      <c r="J93" s="1" t="e">
        <f>I93/VLOOKUP(A93,'[11]geoMap (8)'!$A:$B,2,0)*VLOOKUP(A93,'[11]geoMap (8)'!$A:$C,3,0)</f>
        <v>#REF!</v>
      </c>
      <c r="K93" s="1" t="e">
        <f>J93/VLOOKUP(A93,'[12]geoMap (9)'!$A:$B,2,0)*VLOOKUP(A93,'[12]geoMap (9)'!$A:$C,3,0)</f>
        <v>#REF!</v>
      </c>
      <c r="L93" s="1" t="e">
        <f>K93/VLOOKUP(A93,'[13]geoMap (10)'!$A:$B,2,0)*VLOOKUP(A93,'[13]geoMap (10)'!$A:$C,3,0)</f>
        <v>#REF!</v>
      </c>
      <c r="M93" s="1" t="e">
        <f>L93/VLOOKUP(A93,'[14]geoMap (11)'!$A:$B,2,0)*VLOOKUP(A93,'[14]geoMap (11)'!$A:$C,3,0)</f>
        <v>#REF!</v>
      </c>
      <c r="N93" s="1" t="e">
        <f>M93/VLOOKUP(A93,'[15]geoMap (12)'!$A:$B,2,0)*VLOOKUP(A93,'[15]geoMap (12)'!$A:$C,3,0)</f>
        <v>#REF!</v>
      </c>
      <c r="O93" s="1" t="e">
        <f>N93/VLOOKUP(A93,'[16]geoMap (13)'!$A:$B,2,0)*VLOOKUP(A93,'[16]geoMap (13)'!$A:$C,3,0)</f>
        <v>#REF!</v>
      </c>
      <c r="P93" s="1" t="e">
        <f>O93/VLOOKUP(A93,'[17]geoMap (14)'!$A:$B,2,0)*VLOOKUP(A93,'[17]geoMap (14)'!$A:$C,3,0)</f>
        <v>#REF!</v>
      </c>
      <c r="Q93" s="1" t="e">
        <f>P93/VLOOKUP(A93,'[18]geoMap (15)'!$A:$B,2,0)*VLOOKUP(A93,'[18]geoMap (15)'!$A:$C,3,0)</f>
        <v>#REF!</v>
      </c>
      <c r="R93" s="1" t="e">
        <f>Q93/VLOOKUP(A93,'[19]geoMap (16)'!$A:$B,2,0)*VLOOKUP(A93,'[19]geoMap (16)'!$A:$C,3,0)</f>
        <v>#REF!</v>
      </c>
      <c r="S93" s="1" t="e">
        <f>R93/VLOOKUP(A93,'[20]geoMap (17)'!$A:$B,2,0)*VLOOKUP(A93,'[20]geoMap (17)'!$A:$C,3,0)</f>
        <v>#REF!</v>
      </c>
      <c r="T93" s="1" t="e">
        <f>S93/VLOOKUP(A93,'[21]geoMap (18)'!$A:$B,2,0)*VLOOKUP(A93,'[21]geoMap (18)'!$A:$C,3,0)</f>
        <v>#REF!</v>
      </c>
      <c r="U93" s="1" t="e">
        <f>T93/VLOOKUP(A93,'[22]geoMap (19)'!$A:$B,2,0)*VLOOKUP(A93,'[22]geoMap (19)'!$A:$C,3,0)</f>
        <v>#REF!</v>
      </c>
      <c r="V93" s="1" t="e">
        <f>U93/VLOOKUP(A93,'[23]geoMap (20)'!$A:$B,2,0)*VLOOKUP(A93,'[23]geoMap (20)'!$A:$C,3,0)</f>
        <v>#REF!</v>
      </c>
      <c r="W93" s="1" t="e">
        <f>V93/VLOOKUP(A93,'[24]geoMap (21)'!$A:$B,2,0)*VLOOKUP(A93,'[24]geoMap (21)'!$A:$C,3,0)</f>
        <v>#REF!</v>
      </c>
      <c r="X93" s="1" t="e">
        <f>W93/VLOOKUP(A93,'[25]geoMap (22)'!$A:$B,2,0)*VLOOKUP(A93,'[25]geoMap (22)'!$A:$C,3,0)</f>
        <v>#REF!</v>
      </c>
      <c r="Y93" s="1" t="e">
        <f>X93/VLOOKUP(A93,'[26]geoMap (23)'!$A:$B,2,0)*VLOOKUP(A93,'[26]geoMap (23)'!$A:$C,3,0)</f>
        <v>#REF!</v>
      </c>
      <c r="Z93" s="1" t="e">
        <f>Y93/VLOOKUP(A93,'[27]geoMap (24)'!$A:$B,2,0)*VLOOKUP(A93,'[27]geoMap (24)'!$A:$C,3,0)</f>
        <v>#REF!</v>
      </c>
      <c r="AA93" s="1" t="e">
        <f>Z93/VLOOKUP(A93,'[28]geoMap (25)'!$A:$B,2,0)*VLOOKUP(A93,'[28]geoMap (25)'!$A:$C,3,0)</f>
        <v>#REF!</v>
      </c>
      <c r="AB93" s="1" t="e">
        <f>AA93*VLOOKUP(A93,'[29]geoMap (26)'!$A:$B,2,0)*VLOOKUP(A93,'[29]geoMap (26)'!$A:$C,3,0)</f>
        <v>#REF!</v>
      </c>
      <c r="AC93" s="1" t="e">
        <f>AB93/VLOOKUP(A93,'[30]geoMap (27)'!$A:$B,2,0)*VLOOKUP(A93,'[30]geoMap (27)'!$A:$C,3,0)</f>
        <v>#REF!</v>
      </c>
      <c r="AD93" s="1" t="e">
        <f>AC93/VLOOKUP(A93,'[31]geoMap (28)'!$A:$B,2,0)*VLOOKUP(A93,'[31]geoMap (28)'!$A:$C,3,0)</f>
        <v>#REF!</v>
      </c>
      <c r="AE93" s="1" t="e">
        <f>AD93/VLOOKUP(A93,'[32]geoMap (29)'!$A:$B,2,0)*VLOOKUP(A93,'[32]geoMap (29)'!$A:$C,3,0)</f>
        <v>#REF!</v>
      </c>
      <c r="AF93" s="1" t="e">
        <f>AE93/VLOOKUP(A93,'[33]geoMap (30)'!$A:$B,2,0)*VLOOKUP(A93,'[33]geoMap (30)'!$A:$C,3,0)</f>
        <v>#REF!</v>
      </c>
      <c r="AG93" s="1" t="e">
        <f>AF93/VLOOKUP(A93,'[34]geoMap (31)'!$A:$B,2,0)*VLOOKUP(A93,'[34]geoMap (31)'!$A:$C,3,0)</f>
        <v>#REF!</v>
      </c>
      <c r="AH93" s="1" t="e">
        <f>AG93/VLOOKUP(A93,'[35]geoMap (32)'!$A:$B,2,0)*VLOOKUP(A93,'[35]geoMap (32)'!$A:$C,3,0)</f>
        <v>#REF!</v>
      </c>
      <c r="AI93" s="1" t="e">
        <f>AH93/VLOOKUP(A93,'[36]geoMap (33)'!$A:$B,2,0)*VLOOKUP(A93,'[36]geoMap (33)'!$A:$C,3,0)</f>
        <v>#REF!</v>
      </c>
      <c r="AJ93" s="1" t="e">
        <f>AI93/VLOOKUP(A93,'[37]geoMap (34)'!$A:$B,2,0)*VLOOKUP(A93,'[37]geoMap (34)'!$A:$C,3,0)</f>
        <v>#REF!</v>
      </c>
      <c r="AK93" s="1" t="e">
        <f>AJ93/VLOOKUP(A93,'[38]geoMap (35)'!$A:$B,2,0)*VLOOKUP(A93,'[38]geoMap (35)'!$A:$C,3,0)</f>
        <v>#REF!</v>
      </c>
      <c r="AL93" s="1" t="e">
        <f>AK93/VLOOKUP(A93,'[39]geoMap (36)'!$A:$B,2,0)*VLOOKUP(A93,'[39]geoMap (36)'!$A:$C,3,0)</f>
        <v>#REF!</v>
      </c>
      <c r="AM93" s="1" t="e">
        <f>AL93/VLOOKUP(A93,'[40]geoMap (37)'!$A:$B,2,0)*VLOOKUP(A93,'[40]geoMap (37)'!$A:$C,3,0)</f>
        <v>#REF!</v>
      </c>
      <c r="AN93" s="1" t="e">
        <f>AM93/VLOOKUP(A93,'[41]geoMap (38)'!$A:$B,2,0)*VLOOKUP(A93,'[41]geoMap (38)'!$A:$C,3,0)</f>
        <v>#REF!</v>
      </c>
      <c r="AO93" s="1" t="e">
        <f>AN93/VLOOKUP(A93,'[42]geoMap (39)'!$A:$B,2,0)*VLOOKUP(A93,'[42]geoMap (39)'!$A:$C,3,0)</f>
        <v>#REF!</v>
      </c>
      <c r="AP93" s="1" t="e">
        <f>AO93/VLOOKUP(A93,'[43]geoMap (40)'!$A:$B,2,0)*VLOOKUP(A93,'[43]geoMap (40)'!$A:$C,3,0)</f>
        <v>#REF!</v>
      </c>
      <c r="AQ93" s="1" t="e">
        <f>AP93/VLOOKUP(A93,'[44]geoMap (41)'!$A:$B,2,0)*VLOOKUP(A93,'[44]geoMap (41)'!$A:$C,3,0)</f>
        <v>#REF!</v>
      </c>
      <c r="AR93" s="1" t="e">
        <f>AQ93/VLOOKUP(A93,'[45]geoMap (42)'!$A:$B,2,0)*VLOOKUP(A93,'[45]geoMap (42)'!$A:$C,3,0)</f>
        <v>#REF!</v>
      </c>
      <c r="AS93" s="1" t="e">
        <f>AR93/VLOOKUP(A93,'[46]geoMap (43)'!$A:$B,2,0)*VLOOKUP(A93,'[46]geoMap (43)'!$A:$C,3,0)</f>
        <v>#REF!</v>
      </c>
      <c r="AT93" s="1" t="e">
        <f>AS93/VLOOKUP(A93,'[47]geoMap (44)'!$A:$B,2,0)*VLOOKUP(A93,'[47]geoMap (44)'!$A:$C,3,0)</f>
        <v>#REF!</v>
      </c>
      <c r="AU93" s="1" t="e">
        <f>AT93/VLOOKUP(A93,'[48]geoMap (45)'!$A:$B,2,0)*VLOOKUP(A93,'[48]geoMap (45)'!$A:$C,3,0)</f>
        <v>#REF!</v>
      </c>
      <c r="AV93" s="1" t="e">
        <f>AU93/VLOOKUP(A93,'[49]geoMap (46)'!$A:$B,2,0)*VLOOKUP(A93,'[49]geoMap (46)'!$A:$C,3,0)</f>
        <v>#REF!</v>
      </c>
      <c r="AW93" s="1" t="e">
        <f>AV93/VLOOKUP(A93,'[50]geoMap (47)'!$A:$B,2,0)*VLOOKUP(A93,'[50]geoMap (47)'!$A:$C,3,0)</f>
        <v>#REF!</v>
      </c>
      <c r="AX93" s="1" t="e">
        <f>AW93/VLOOKUP(A93,'[51]geoMap (48)'!$A:$B,2,0)*VLOOKUP(A93,'[51]geoMap (48)'!$A:$C,3,0)</f>
        <v>#REF!</v>
      </c>
      <c r="AY93" s="1" t="e">
        <f>AX93/VLOOKUP(A93,'[52]geoMap (49)'!$A:$B,2,0)*VLOOKUP(A93,'[52]geoMap (49)'!$A:$C,3,0)</f>
        <v>#REF!</v>
      </c>
      <c r="AZ93" s="1" t="e">
        <f>AY93/VLOOKUP(A93,'[53]geoMap (50)'!$A:$B,2,0)*VLOOKUP(A93,'[53]geoMap (50)'!$A:$C,3,0)</f>
        <v>#REF!</v>
      </c>
      <c r="BA93" s="1" t="e">
        <f>AZ93/VLOOKUP(A93,'[54]geoMap (51)'!$A:$B,2,0)*VLOOKUP(A93,'[54]geoMap (51)'!$A:$C,3,0)</f>
        <v>#REF!</v>
      </c>
      <c r="BB93" s="1" t="e">
        <f>BA93/VLOOKUP(A93,'[55]geoMap (52)'!$A:$B,2,0)*VLOOKUP(A93,'[55]geoMap (52)'!$A:$C,3,0)</f>
        <v>#REF!</v>
      </c>
      <c r="BC93" s="1" t="e">
        <f>BB93/VLOOKUP(A93,'[56]geoMap (53)'!$A:$B,2,0)*VLOOKUP(A93,'[56]geoMap (53)'!$A:$C,3,0)</f>
        <v>#REF!</v>
      </c>
      <c r="BD93" s="1" t="e">
        <f>BC93/VLOOKUP(A93,'[57]geoMap (54)'!$A:$B,2,0)*VLOOKUP(A93,'[57]geoMap (54)'!$A:$C,3,0)</f>
        <v>#REF!</v>
      </c>
      <c r="BE93" s="1" t="e">
        <f>BD93/VLOOKUP(A93,'[58]geoMap (55)'!$A:$B,2,0)*VLOOKUP(A93,'[58]geoMap (55)'!$A:$C,3,0)</f>
        <v>#REF!</v>
      </c>
      <c r="BF93" s="1" t="e">
        <f>BE93/VLOOKUP(A93,'[59]geoMap (56)'!$A:$B,2,0)*VLOOKUP(A93,'[59]geoMap (56)'!$A:$C,3,0)</f>
        <v>#REF!</v>
      </c>
      <c r="BG93" s="1" t="e">
        <f>BF93/VLOOKUP(A93,'[60]geoMap (57)'!$A:$B,2,0)*VLOOKUP(A93,'[60]geoMap (57)'!$A:$C,3,0)</f>
        <v>#REF!</v>
      </c>
      <c r="BH93" s="1" t="e">
        <f>BG93/VLOOKUP(A93,'[61]geoMap (58)'!$A:$B,2,0)*VLOOKUP(A93,'[61]geoMap (58)'!$A:$C,3,0)</f>
        <v>#REF!</v>
      </c>
      <c r="BI93" s="1" t="e">
        <f>BH93/VLOOKUP(A93,'[62]geoMap (59)'!$A:$B,2,0)*VLOOKUP(A93,'[62]geoMap (59)'!$A:$C,3,0)</f>
        <v>#REF!</v>
      </c>
      <c r="BJ93" s="1" t="e">
        <f>BI93/VLOOKUP(A93,'[63]geoMap (60)'!$A:$B,2,0)*VLOOKUP(A93,'[63]geoMap (60)'!$A:$C,3,0)</f>
        <v>#REF!</v>
      </c>
      <c r="BK93" s="1" t="e">
        <f>BJ93/VLOOKUP(A93,'[64]geoMap (61)'!$A:$B,2,0)*VLOOKUP(A93,'[64]geoMap (61)'!$A:$C,3,0)</f>
        <v>#REF!</v>
      </c>
      <c r="BL93" s="1" t="e">
        <f>BK93/VLOOKUP(A93,'[65]geoMap (62)'!$A:$B,2,0)*VLOOKUP(A93,'[65]geoMap (62)'!$A:$C,3,0)</f>
        <v>#REF!</v>
      </c>
      <c r="BM93" s="1" t="e">
        <f>BL93/VLOOKUP(A93,'[66]geoMap (63)'!$A:$B,2,0)*VLOOKUP(A93,'[66]geoMap (63)'!$A:$C,3,0)</f>
        <v>#REF!</v>
      </c>
      <c r="BN93" s="1" t="e">
        <f>BM93/VLOOKUP(A93,'[67]geoMap (64)'!$A:$B,2,0)*VLOOKUP(A93,'[67]geoMap (64)'!$A:$C,3,0)</f>
        <v>#REF!</v>
      </c>
      <c r="BO93" s="1" t="e">
        <f>BN93/VLOOKUP(A93,'[68]geoMap (65)'!$A:$B,2,0)*VLOOKUP(A93,'[68]geoMap (65)'!$A:$C,3,0)</f>
        <v>#REF!</v>
      </c>
      <c r="BP93" s="1" t="e">
        <f>BO93/VLOOKUP(A93,'[69]geoMap (66)'!$A:$B,2,0)*VLOOKUP(A93,'[69]geoMap (66)'!$A:$C,3,0)</f>
        <v>#REF!</v>
      </c>
    </row>
    <row r="94" spans="1:68" hidden="1" x14ac:dyDescent="0.2">
      <c r="A94" s="1" t="s">
        <v>31</v>
      </c>
      <c r="B94" s="1" t="e">
        <f>VLOOKUP(A94,[3]geoMap!$A:$B,2,0)*Notes!$C$6</f>
        <v>#REF!</v>
      </c>
      <c r="C94" s="1" t="e">
        <f>B94/VLOOKUP(A94,'[4]geoMap (1)'!$A:$B,2,0)*VLOOKUP(A94,'[4]geoMap (1)'!$A:$C,3,0)</f>
        <v>#REF!</v>
      </c>
      <c r="D94" s="1" t="e">
        <f>C94/VLOOKUP(A94,'[5]geoMap (2)'!$A:$B,2,0)*VLOOKUP(A94,'[5]geoMap (2)'!$A:$C,3,0)</f>
        <v>#REF!</v>
      </c>
      <c r="E94" s="1" t="e">
        <f>D94/VLOOKUP(A94,'[6]geoMap (3)'!$A:$B,2,0)*VLOOKUP(A94,'[6]geoMap (3)'!$A:$C,3,0)</f>
        <v>#REF!</v>
      </c>
      <c r="F94" s="1" t="e">
        <f>E94/VLOOKUP(A94,'[7]geoMap (4)'!$A:$B,2,0)*VLOOKUP(A94,'[7]geoMap (4)'!$A:$C,3,0)</f>
        <v>#REF!</v>
      </c>
      <c r="G94" s="1" t="e">
        <f>F94/VLOOKUP(A94,'[8]geoMap (5)'!$A:$B,2,0)*VLOOKUP(A94,'[8]geoMap (5)'!$A:$C,3,0)</f>
        <v>#REF!</v>
      </c>
      <c r="H94" s="1" t="e">
        <f>G94/VLOOKUP(A94,'[9]geoMap (6)'!$A:$B,2,0)*VLOOKUP(A94,'[9]geoMap (6)'!$A:$C,3,0)</f>
        <v>#REF!</v>
      </c>
      <c r="I94" s="1" t="e">
        <f>H94/VLOOKUP(A94,'[10]geoMap (7)'!$A:$B,2,0)*VLOOKUP(A94,'[10]geoMap (7)'!$A:$C,3,0)</f>
        <v>#REF!</v>
      </c>
      <c r="J94" s="1" t="e">
        <f>I94/VLOOKUP(A94,'[11]geoMap (8)'!$A:$B,2,0)*VLOOKUP(A94,'[11]geoMap (8)'!$A:$C,3,0)</f>
        <v>#REF!</v>
      </c>
      <c r="K94" s="1" t="e">
        <f>J94/VLOOKUP(A94,'[12]geoMap (9)'!$A:$B,2,0)*VLOOKUP(A94,'[12]geoMap (9)'!$A:$C,3,0)</f>
        <v>#REF!</v>
      </c>
      <c r="L94" s="1" t="e">
        <f>K94/VLOOKUP(A94,'[13]geoMap (10)'!$A:$B,2,0)*VLOOKUP(A94,'[13]geoMap (10)'!$A:$C,3,0)</f>
        <v>#REF!</v>
      </c>
      <c r="M94" s="1" t="e">
        <f>L94/VLOOKUP(A94,'[14]geoMap (11)'!$A:$B,2,0)*VLOOKUP(A94,'[14]geoMap (11)'!$A:$C,3,0)</f>
        <v>#REF!</v>
      </c>
      <c r="N94" s="1" t="e">
        <f>M94/VLOOKUP(A94,'[15]geoMap (12)'!$A:$B,2,0)*VLOOKUP(A94,'[15]geoMap (12)'!$A:$C,3,0)</f>
        <v>#REF!</v>
      </c>
      <c r="O94" s="1" t="e">
        <f>N94/VLOOKUP(A94,'[16]geoMap (13)'!$A:$B,2,0)*VLOOKUP(A94,'[16]geoMap (13)'!$A:$C,3,0)</f>
        <v>#REF!</v>
      </c>
      <c r="P94" s="1" t="e">
        <f>O94/VLOOKUP(A94,'[17]geoMap (14)'!$A:$B,2,0)*VLOOKUP(A94,'[17]geoMap (14)'!$A:$C,3,0)</f>
        <v>#REF!</v>
      </c>
      <c r="Q94" s="1" t="e">
        <f>P94/VLOOKUP(A94,'[18]geoMap (15)'!$A:$B,2,0)*VLOOKUP(A94,'[18]geoMap (15)'!$A:$C,3,0)</f>
        <v>#REF!</v>
      </c>
      <c r="R94" s="1" t="e">
        <f>Q94/VLOOKUP(A94,'[19]geoMap (16)'!$A:$B,2,0)*VLOOKUP(A94,'[19]geoMap (16)'!$A:$C,3,0)</f>
        <v>#REF!</v>
      </c>
      <c r="S94" s="1" t="e">
        <f>R94/VLOOKUP(A94,'[20]geoMap (17)'!$A:$B,2,0)*VLOOKUP(A94,'[20]geoMap (17)'!$A:$C,3,0)</f>
        <v>#REF!</v>
      </c>
      <c r="T94" s="1" t="e">
        <f>S94/VLOOKUP(A94,'[21]geoMap (18)'!$A:$B,2,0)*VLOOKUP(A94,'[21]geoMap (18)'!$A:$C,3,0)</f>
        <v>#REF!</v>
      </c>
      <c r="U94" s="1" t="e">
        <f>T94/VLOOKUP(A94,'[22]geoMap (19)'!$A:$B,2,0)*VLOOKUP(A94,'[22]geoMap (19)'!$A:$C,3,0)</f>
        <v>#REF!</v>
      </c>
      <c r="V94" s="1" t="e">
        <f>U94/VLOOKUP(A94,'[23]geoMap (20)'!$A:$B,2,0)*VLOOKUP(A94,'[23]geoMap (20)'!$A:$C,3,0)</f>
        <v>#REF!</v>
      </c>
      <c r="W94" s="1" t="e">
        <f>V94/VLOOKUP(A94,'[24]geoMap (21)'!$A:$B,2,0)*VLOOKUP(A94,'[24]geoMap (21)'!$A:$C,3,0)</f>
        <v>#REF!</v>
      </c>
      <c r="X94" s="1" t="e">
        <f>W94/VLOOKUP(A94,'[25]geoMap (22)'!$A:$B,2,0)*VLOOKUP(A94,'[25]geoMap (22)'!$A:$C,3,0)</f>
        <v>#REF!</v>
      </c>
      <c r="Y94" s="1" t="e">
        <f>X94/VLOOKUP(A94,'[26]geoMap (23)'!$A:$B,2,0)*VLOOKUP(A94,'[26]geoMap (23)'!$A:$C,3,0)</f>
        <v>#REF!</v>
      </c>
      <c r="Z94" s="1" t="e">
        <f>Y94/VLOOKUP(A94,'[27]geoMap (24)'!$A:$B,2,0)*VLOOKUP(A94,'[27]geoMap (24)'!$A:$C,3,0)</f>
        <v>#REF!</v>
      </c>
      <c r="AA94" s="1" t="e">
        <f>Z94/VLOOKUP(A94,'[28]geoMap (25)'!$A:$B,2,0)*VLOOKUP(A94,'[28]geoMap (25)'!$A:$C,3,0)</f>
        <v>#REF!</v>
      </c>
      <c r="AB94" s="1" t="e">
        <f>AA94*VLOOKUP(A94,'[29]geoMap (26)'!$A:$B,2,0)*VLOOKUP(A94,'[29]geoMap (26)'!$A:$C,3,0)</f>
        <v>#REF!</v>
      </c>
      <c r="AC94" s="1" t="e">
        <f>AB94/VLOOKUP(A94,'[30]geoMap (27)'!$A:$B,2,0)*VLOOKUP(A94,'[30]geoMap (27)'!$A:$C,3,0)</f>
        <v>#REF!</v>
      </c>
      <c r="AD94" s="1" t="e">
        <f>AC94/VLOOKUP(A94,'[31]geoMap (28)'!$A:$B,2,0)*VLOOKUP(A94,'[31]geoMap (28)'!$A:$C,3,0)</f>
        <v>#REF!</v>
      </c>
      <c r="AE94" s="1" t="e">
        <f>AD94/VLOOKUP(A94,'[32]geoMap (29)'!$A:$B,2,0)*VLOOKUP(A94,'[32]geoMap (29)'!$A:$C,3,0)</f>
        <v>#REF!</v>
      </c>
      <c r="AF94" s="1" t="e">
        <f>AE94/VLOOKUP(A94,'[33]geoMap (30)'!$A:$B,2,0)*VLOOKUP(A94,'[33]geoMap (30)'!$A:$C,3,0)</f>
        <v>#REF!</v>
      </c>
      <c r="AG94" s="1" t="e">
        <f>AF94/VLOOKUP(A94,'[34]geoMap (31)'!$A:$B,2,0)*VLOOKUP(A94,'[34]geoMap (31)'!$A:$C,3,0)</f>
        <v>#REF!</v>
      </c>
      <c r="AH94" s="1" t="e">
        <f>AG94/VLOOKUP(A94,'[35]geoMap (32)'!$A:$B,2,0)*VLOOKUP(A94,'[35]geoMap (32)'!$A:$C,3,0)</f>
        <v>#REF!</v>
      </c>
      <c r="AI94" s="1" t="e">
        <f>AH94/VLOOKUP(A94,'[36]geoMap (33)'!$A:$B,2,0)*VLOOKUP(A94,'[36]geoMap (33)'!$A:$C,3,0)</f>
        <v>#REF!</v>
      </c>
      <c r="AJ94" s="1" t="e">
        <f>AI94/VLOOKUP(A94,'[37]geoMap (34)'!$A:$B,2,0)*VLOOKUP(A94,'[37]geoMap (34)'!$A:$C,3,0)</f>
        <v>#REF!</v>
      </c>
      <c r="AK94" s="1" t="e">
        <f>AJ94/VLOOKUP(A94,'[38]geoMap (35)'!$A:$B,2,0)*VLOOKUP(A94,'[38]geoMap (35)'!$A:$C,3,0)</f>
        <v>#REF!</v>
      </c>
      <c r="AL94" s="1" t="e">
        <f>AK94/VLOOKUP(A94,'[39]geoMap (36)'!$A:$B,2,0)*VLOOKUP(A94,'[39]geoMap (36)'!$A:$C,3,0)</f>
        <v>#REF!</v>
      </c>
      <c r="AM94" s="1" t="e">
        <f>AL94/VLOOKUP(A94,'[40]geoMap (37)'!$A:$B,2,0)*VLOOKUP(A94,'[40]geoMap (37)'!$A:$C,3,0)</f>
        <v>#REF!</v>
      </c>
      <c r="AN94" s="1" t="e">
        <f>AM94/VLOOKUP(A94,'[41]geoMap (38)'!$A:$B,2,0)*VLOOKUP(A94,'[41]geoMap (38)'!$A:$C,3,0)</f>
        <v>#REF!</v>
      </c>
      <c r="AO94" s="1" t="e">
        <f>AN94/VLOOKUP(A94,'[42]geoMap (39)'!$A:$B,2,0)*VLOOKUP(A94,'[42]geoMap (39)'!$A:$C,3,0)</f>
        <v>#REF!</v>
      </c>
      <c r="AP94" s="1" t="e">
        <f>AO94/VLOOKUP(A94,'[43]geoMap (40)'!$A:$B,2,0)*VLOOKUP(A94,'[43]geoMap (40)'!$A:$C,3,0)</f>
        <v>#REF!</v>
      </c>
      <c r="AQ94" s="1" t="e">
        <f>AP94/VLOOKUP(A94,'[44]geoMap (41)'!$A:$B,2,0)*VLOOKUP(A94,'[44]geoMap (41)'!$A:$C,3,0)</f>
        <v>#REF!</v>
      </c>
      <c r="AR94" s="1" t="e">
        <f>AQ94/VLOOKUP(A94,'[45]geoMap (42)'!$A:$B,2,0)*VLOOKUP(A94,'[45]geoMap (42)'!$A:$C,3,0)</f>
        <v>#REF!</v>
      </c>
      <c r="AS94" s="1" t="e">
        <f>AR94/VLOOKUP(A94,'[46]geoMap (43)'!$A:$B,2,0)*VLOOKUP(A94,'[46]geoMap (43)'!$A:$C,3,0)</f>
        <v>#REF!</v>
      </c>
      <c r="AT94" s="1" t="e">
        <f>AS94/VLOOKUP(A94,'[47]geoMap (44)'!$A:$B,2,0)*VLOOKUP(A94,'[47]geoMap (44)'!$A:$C,3,0)</f>
        <v>#REF!</v>
      </c>
      <c r="AU94" s="1" t="e">
        <f>AT94/VLOOKUP(A94,'[48]geoMap (45)'!$A:$B,2,0)*VLOOKUP(A94,'[48]geoMap (45)'!$A:$C,3,0)</f>
        <v>#REF!</v>
      </c>
      <c r="AV94" s="1" t="e">
        <f>AU94/VLOOKUP(A94,'[49]geoMap (46)'!$A:$B,2,0)*VLOOKUP(A94,'[49]geoMap (46)'!$A:$C,3,0)</f>
        <v>#REF!</v>
      </c>
      <c r="AW94" s="1" t="e">
        <f>AV94/VLOOKUP(A94,'[50]geoMap (47)'!$A:$B,2,0)*VLOOKUP(A94,'[50]geoMap (47)'!$A:$C,3,0)</f>
        <v>#REF!</v>
      </c>
      <c r="AX94" s="1" t="e">
        <f>AW94/VLOOKUP(A94,'[51]geoMap (48)'!$A:$B,2,0)*VLOOKUP(A94,'[51]geoMap (48)'!$A:$C,3,0)</f>
        <v>#REF!</v>
      </c>
      <c r="AY94" s="1" t="e">
        <f>AX94/VLOOKUP(A94,'[52]geoMap (49)'!$A:$B,2,0)*VLOOKUP(A94,'[52]geoMap (49)'!$A:$C,3,0)</f>
        <v>#REF!</v>
      </c>
      <c r="AZ94" s="1" t="e">
        <f>AY94/VLOOKUP(A94,'[53]geoMap (50)'!$A:$B,2,0)*VLOOKUP(A94,'[53]geoMap (50)'!$A:$C,3,0)</f>
        <v>#REF!</v>
      </c>
      <c r="BA94" s="1" t="e">
        <f>AZ94/VLOOKUP(A94,'[54]geoMap (51)'!$A:$B,2,0)*VLOOKUP(A94,'[54]geoMap (51)'!$A:$C,3,0)</f>
        <v>#REF!</v>
      </c>
      <c r="BB94" s="1" t="e">
        <f>BA94/VLOOKUP(A94,'[55]geoMap (52)'!$A:$B,2,0)*VLOOKUP(A94,'[55]geoMap (52)'!$A:$C,3,0)</f>
        <v>#REF!</v>
      </c>
      <c r="BC94" s="1" t="e">
        <f>BB94/VLOOKUP(A94,'[56]geoMap (53)'!$A:$B,2,0)*VLOOKUP(A94,'[56]geoMap (53)'!$A:$C,3,0)</f>
        <v>#REF!</v>
      </c>
      <c r="BD94" s="1" t="e">
        <f>BC94/VLOOKUP(A94,'[57]geoMap (54)'!$A:$B,2,0)*VLOOKUP(A94,'[57]geoMap (54)'!$A:$C,3,0)</f>
        <v>#REF!</v>
      </c>
      <c r="BE94" s="1" t="e">
        <f>BD94/VLOOKUP(A94,'[58]geoMap (55)'!$A:$B,2,0)*VLOOKUP(A94,'[58]geoMap (55)'!$A:$C,3,0)</f>
        <v>#REF!</v>
      </c>
      <c r="BF94" s="1" t="e">
        <f>BE94/VLOOKUP(A94,'[59]geoMap (56)'!$A:$B,2,0)*VLOOKUP(A94,'[59]geoMap (56)'!$A:$C,3,0)</f>
        <v>#REF!</v>
      </c>
      <c r="BG94" s="1" t="e">
        <f>BF94/VLOOKUP(A94,'[60]geoMap (57)'!$A:$B,2,0)*VLOOKUP(A94,'[60]geoMap (57)'!$A:$C,3,0)</f>
        <v>#REF!</v>
      </c>
      <c r="BH94" s="1" t="e">
        <f>BG94/VLOOKUP(A94,'[61]geoMap (58)'!$A:$B,2,0)*VLOOKUP(A94,'[61]geoMap (58)'!$A:$C,3,0)</f>
        <v>#REF!</v>
      </c>
      <c r="BI94" s="1" t="e">
        <f>BH94/VLOOKUP(A94,'[62]geoMap (59)'!$A:$B,2,0)*VLOOKUP(A94,'[62]geoMap (59)'!$A:$C,3,0)</f>
        <v>#REF!</v>
      </c>
      <c r="BJ94" s="1" t="e">
        <f>BI94/VLOOKUP(A94,'[63]geoMap (60)'!$A:$B,2,0)*VLOOKUP(A94,'[63]geoMap (60)'!$A:$C,3,0)</f>
        <v>#REF!</v>
      </c>
      <c r="BK94" s="1" t="e">
        <f>BJ94/VLOOKUP(A94,'[64]geoMap (61)'!$A:$B,2,0)*VLOOKUP(A94,'[64]geoMap (61)'!$A:$C,3,0)</f>
        <v>#REF!</v>
      </c>
      <c r="BL94" s="1" t="e">
        <f>BK94/VLOOKUP(A94,'[65]geoMap (62)'!$A:$B,2,0)*VLOOKUP(A94,'[65]geoMap (62)'!$A:$C,3,0)</f>
        <v>#REF!</v>
      </c>
      <c r="BM94" s="1" t="e">
        <f>BL94/VLOOKUP(A94,'[66]geoMap (63)'!$A:$B,2,0)*VLOOKUP(A94,'[66]geoMap (63)'!$A:$C,3,0)</f>
        <v>#REF!</v>
      </c>
      <c r="BN94" s="1" t="e">
        <f>BM94/VLOOKUP(A94,'[67]geoMap (64)'!$A:$B,2,0)*VLOOKUP(A94,'[67]geoMap (64)'!$A:$C,3,0)</f>
        <v>#REF!</v>
      </c>
      <c r="BO94" s="1" t="e">
        <f>BN94/VLOOKUP(A94,'[68]geoMap (65)'!$A:$B,2,0)*VLOOKUP(A94,'[68]geoMap (65)'!$A:$C,3,0)</f>
        <v>#REF!</v>
      </c>
      <c r="BP94" s="1" t="e">
        <f>BO94/VLOOKUP(A94,'[69]geoMap (66)'!$A:$B,2,0)*VLOOKUP(A94,'[69]geoMap (66)'!$A:$C,3,0)</f>
        <v>#REF!</v>
      </c>
    </row>
    <row r="95" spans="1:68" hidden="1" x14ac:dyDescent="0.2">
      <c r="A95" s="1" t="s">
        <v>34</v>
      </c>
      <c r="B95" s="1" t="e">
        <f>VLOOKUP(A95,[3]geoMap!$A:$B,2,0)*Notes!$C$6</f>
        <v>#REF!</v>
      </c>
      <c r="C95" s="1" t="e">
        <f>B95/VLOOKUP(A95,'[4]geoMap (1)'!$A:$B,2,0)*VLOOKUP(A95,'[4]geoMap (1)'!$A:$C,3,0)</f>
        <v>#REF!</v>
      </c>
      <c r="D95" s="1" t="e">
        <f>C95/VLOOKUP(A95,'[5]geoMap (2)'!$A:$B,2,0)*VLOOKUP(A95,'[5]geoMap (2)'!$A:$C,3,0)</f>
        <v>#REF!</v>
      </c>
      <c r="E95" s="1" t="e">
        <f>D95/VLOOKUP(A95,'[6]geoMap (3)'!$A:$B,2,0)*VLOOKUP(A95,'[6]geoMap (3)'!$A:$C,3,0)</f>
        <v>#REF!</v>
      </c>
      <c r="F95" s="1" t="e">
        <f>E95/VLOOKUP(A95,'[7]geoMap (4)'!$A:$B,2,0)*VLOOKUP(A95,'[7]geoMap (4)'!$A:$C,3,0)</f>
        <v>#REF!</v>
      </c>
      <c r="G95" s="1" t="e">
        <f>F95/VLOOKUP(A95,'[8]geoMap (5)'!$A:$B,2,0)*VLOOKUP(A95,'[8]geoMap (5)'!$A:$C,3,0)</f>
        <v>#REF!</v>
      </c>
      <c r="H95" s="1" t="e">
        <f>G95/VLOOKUP(A95,'[9]geoMap (6)'!$A:$B,2,0)*VLOOKUP(A95,'[9]geoMap (6)'!$A:$C,3,0)</f>
        <v>#REF!</v>
      </c>
      <c r="I95" s="1" t="e">
        <f>H95/VLOOKUP(A95,'[10]geoMap (7)'!$A:$B,2,0)*VLOOKUP(A95,'[10]geoMap (7)'!$A:$C,3,0)</f>
        <v>#REF!</v>
      </c>
      <c r="J95" s="1" t="e">
        <f>I95/VLOOKUP(A95,'[11]geoMap (8)'!$A:$B,2,0)*VLOOKUP(A95,'[11]geoMap (8)'!$A:$C,3,0)</f>
        <v>#REF!</v>
      </c>
      <c r="K95" s="1" t="e">
        <f>J95/VLOOKUP(A95,'[12]geoMap (9)'!$A:$B,2,0)*VLOOKUP(A95,'[12]geoMap (9)'!$A:$C,3,0)</f>
        <v>#REF!</v>
      </c>
      <c r="L95" s="1" t="e">
        <f>K95/VLOOKUP(A95,'[13]geoMap (10)'!$A:$B,2,0)*VLOOKUP(A95,'[13]geoMap (10)'!$A:$C,3,0)</f>
        <v>#REF!</v>
      </c>
      <c r="M95" s="1" t="e">
        <f>L95/VLOOKUP(A95,'[14]geoMap (11)'!$A:$B,2,0)*VLOOKUP(A95,'[14]geoMap (11)'!$A:$C,3,0)</f>
        <v>#REF!</v>
      </c>
      <c r="N95" s="1" t="e">
        <f>M95/VLOOKUP(A95,'[15]geoMap (12)'!$A:$B,2,0)*VLOOKUP(A95,'[15]geoMap (12)'!$A:$C,3,0)</f>
        <v>#REF!</v>
      </c>
      <c r="O95" s="1" t="e">
        <f>N95/VLOOKUP(A95,'[16]geoMap (13)'!$A:$B,2,0)*VLOOKUP(A95,'[16]geoMap (13)'!$A:$C,3,0)</f>
        <v>#REF!</v>
      </c>
      <c r="P95" s="1" t="e">
        <f>O95/VLOOKUP(A95,'[17]geoMap (14)'!$A:$B,2,0)*VLOOKUP(A95,'[17]geoMap (14)'!$A:$C,3,0)</f>
        <v>#REF!</v>
      </c>
      <c r="Q95" s="1" t="e">
        <f>P95/VLOOKUP(A95,'[18]geoMap (15)'!$A:$B,2,0)*VLOOKUP(A95,'[18]geoMap (15)'!$A:$C,3,0)</f>
        <v>#REF!</v>
      </c>
      <c r="R95" s="1" t="e">
        <f>Q95/VLOOKUP(A95,'[19]geoMap (16)'!$A:$B,2,0)*VLOOKUP(A95,'[19]geoMap (16)'!$A:$C,3,0)</f>
        <v>#REF!</v>
      </c>
      <c r="S95" s="1" t="e">
        <f>R95/VLOOKUP(A95,'[20]geoMap (17)'!$A:$B,2,0)*VLOOKUP(A95,'[20]geoMap (17)'!$A:$C,3,0)</f>
        <v>#REF!</v>
      </c>
      <c r="T95" s="1" t="e">
        <f>S95/VLOOKUP(A95,'[21]geoMap (18)'!$A:$B,2,0)*VLOOKUP(A95,'[21]geoMap (18)'!$A:$C,3,0)</f>
        <v>#REF!</v>
      </c>
      <c r="U95" s="1" t="e">
        <f>T95/VLOOKUP(A95,'[22]geoMap (19)'!$A:$B,2,0)*VLOOKUP(A95,'[22]geoMap (19)'!$A:$C,3,0)</f>
        <v>#REF!</v>
      </c>
      <c r="V95" s="1" t="e">
        <f>U95/VLOOKUP(A95,'[23]geoMap (20)'!$A:$B,2,0)*VLOOKUP(A95,'[23]geoMap (20)'!$A:$C,3,0)</f>
        <v>#REF!</v>
      </c>
      <c r="W95" s="1" t="e">
        <f>V95/VLOOKUP(A95,'[24]geoMap (21)'!$A:$B,2,0)*VLOOKUP(A95,'[24]geoMap (21)'!$A:$C,3,0)</f>
        <v>#REF!</v>
      </c>
      <c r="X95" s="1" t="e">
        <f>W95/VLOOKUP(A95,'[25]geoMap (22)'!$A:$B,2,0)*VLOOKUP(A95,'[25]geoMap (22)'!$A:$C,3,0)</f>
        <v>#REF!</v>
      </c>
      <c r="Y95" s="1" t="e">
        <f>X95/VLOOKUP(A95,'[26]geoMap (23)'!$A:$B,2,0)*VLOOKUP(A95,'[26]geoMap (23)'!$A:$C,3,0)</f>
        <v>#REF!</v>
      </c>
      <c r="Z95" s="1" t="e">
        <f>Y95/VLOOKUP(A95,'[27]geoMap (24)'!$A:$B,2,0)*VLOOKUP(A95,'[27]geoMap (24)'!$A:$C,3,0)</f>
        <v>#REF!</v>
      </c>
      <c r="AA95" s="1" t="e">
        <f>Z95/VLOOKUP(A95,'[28]geoMap (25)'!$A:$B,2,0)*VLOOKUP(A95,'[28]geoMap (25)'!$A:$C,3,0)</f>
        <v>#REF!</v>
      </c>
      <c r="AB95" s="1" t="e">
        <f>AA95*VLOOKUP(A95,'[29]geoMap (26)'!$A:$B,2,0)*VLOOKUP(A95,'[29]geoMap (26)'!$A:$C,3,0)</f>
        <v>#REF!</v>
      </c>
      <c r="AC95" s="1" t="e">
        <f>AB95/VLOOKUP(A95,'[30]geoMap (27)'!$A:$B,2,0)*VLOOKUP(A95,'[30]geoMap (27)'!$A:$C,3,0)</f>
        <v>#REF!</v>
      </c>
      <c r="AD95" s="1" t="e">
        <f>AC95/VLOOKUP(A95,'[31]geoMap (28)'!$A:$B,2,0)*VLOOKUP(A95,'[31]geoMap (28)'!$A:$C,3,0)</f>
        <v>#REF!</v>
      </c>
      <c r="AE95" s="1" t="e">
        <f>AD95/VLOOKUP(A95,'[32]geoMap (29)'!$A:$B,2,0)*VLOOKUP(A95,'[32]geoMap (29)'!$A:$C,3,0)</f>
        <v>#REF!</v>
      </c>
      <c r="AF95" s="1" t="e">
        <f>AE95/VLOOKUP(A95,'[33]geoMap (30)'!$A:$B,2,0)*VLOOKUP(A95,'[33]geoMap (30)'!$A:$C,3,0)</f>
        <v>#REF!</v>
      </c>
      <c r="AG95" s="1" t="e">
        <f>AF95/VLOOKUP(A95,'[34]geoMap (31)'!$A:$B,2,0)*VLOOKUP(A95,'[34]geoMap (31)'!$A:$C,3,0)</f>
        <v>#REF!</v>
      </c>
      <c r="AH95" s="1" t="e">
        <f>AG95/VLOOKUP(A95,'[35]geoMap (32)'!$A:$B,2,0)*VLOOKUP(A95,'[35]geoMap (32)'!$A:$C,3,0)</f>
        <v>#REF!</v>
      </c>
      <c r="AI95" s="1" t="e">
        <f>AH95/VLOOKUP(A95,'[36]geoMap (33)'!$A:$B,2,0)*VLOOKUP(A95,'[36]geoMap (33)'!$A:$C,3,0)</f>
        <v>#REF!</v>
      </c>
      <c r="AJ95" s="1" t="e">
        <f>AI95/VLOOKUP(A95,'[37]geoMap (34)'!$A:$B,2,0)*VLOOKUP(A95,'[37]geoMap (34)'!$A:$C,3,0)</f>
        <v>#REF!</v>
      </c>
      <c r="AK95" s="1" t="e">
        <f>AJ95/VLOOKUP(A95,'[38]geoMap (35)'!$A:$B,2,0)*VLOOKUP(A95,'[38]geoMap (35)'!$A:$C,3,0)</f>
        <v>#REF!</v>
      </c>
      <c r="AL95" s="1" t="e">
        <f>AK95/VLOOKUP(A95,'[39]geoMap (36)'!$A:$B,2,0)*VLOOKUP(A95,'[39]geoMap (36)'!$A:$C,3,0)</f>
        <v>#REF!</v>
      </c>
      <c r="AM95" s="1" t="e">
        <f>AL95/VLOOKUP(A95,'[40]geoMap (37)'!$A:$B,2,0)*VLOOKUP(A95,'[40]geoMap (37)'!$A:$C,3,0)</f>
        <v>#REF!</v>
      </c>
      <c r="AN95" s="1" t="e">
        <f>AM95/VLOOKUP(A95,'[41]geoMap (38)'!$A:$B,2,0)*VLOOKUP(A95,'[41]geoMap (38)'!$A:$C,3,0)</f>
        <v>#REF!</v>
      </c>
      <c r="AO95" s="1" t="e">
        <f>AN95/VLOOKUP(A95,'[42]geoMap (39)'!$A:$B,2,0)*VLOOKUP(A95,'[42]geoMap (39)'!$A:$C,3,0)</f>
        <v>#REF!</v>
      </c>
      <c r="AP95" s="1" t="e">
        <f>AO95/VLOOKUP(A95,'[43]geoMap (40)'!$A:$B,2,0)*VLOOKUP(A95,'[43]geoMap (40)'!$A:$C,3,0)</f>
        <v>#REF!</v>
      </c>
      <c r="AQ95" s="1" t="e">
        <f>AP95/VLOOKUP(A95,'[44]geoMap (41)'!$A:$B,2,0)*VLOOKUP(A95,'[44]geoMap (41)'!$A:$C,3,0)</f>
        <v>#REF!</v>
      </c>
      <c r="AR95" s="1" t="e">
        <f>AQ95/VLOOKUP(A95,'[45]geoMap (42)'!$A:$B,2,0)*VLOOKUP(A95,'[45]geoMap (42)'!$A:$C,3,0)</f>
        <v>#REF!</v>
      </c>
      <c r="AS95" s="1" t="e">
        <f>AR95/VLOOKUP(A95,'[46]geoMap (43)'!$A:$B,2,0)*VLOOKUP(A95,'[46]geoMap (43)'!$A:$C,3,0)</f>
        <v>#REF!</v>
      </c>
      <c r="AT95" s="1" t="e">
        <f>AS95/VLOOKUP(A95,'[47]geoMap (44)'!$A:$B,2,0)*VLOOKUP(A95,'[47]geoMap (44)'!$A:$C,3,0)</f>
        <v>#REF!</v>
      </c>
      <c r="AU95" s="1" t="e">
        <f>AT95/VLOOKUP(A95,'[48]geoMap (45)'!$A:$B,2,0)*VLOOKUP(A95,'[48]geoMap (45)'!$A:$C,3,0)</f>
        <v>#REF!</v>
      </c>
      <c r="AV95" s="1" t="e">
        <f>AU95/VLOOKUP(A95,'[49]geoMap (46)'!$A:$B,2,0)*VLOOKUP(A95,'[49]geoMap (46)'!$A:$C,3,0)</f>
        <v>#REF!</v>
      </c>
      <c r="AW95" s="1" t="e">
        <f>AV95/VLOOKUP(A95,'[50]geoMap (47)'!$A:$B,2,0)*VLOOKUP(A95,'[50]geoMap (47)'!$A:$C,3,0)</f>
        <v>#REF!</v>
      </c>
      <c r="AX95" s="1" t="e">
        <f>AW95/VLOOKUP(A95,'[51]geoMap (48)'!$A:$B,2,0)*VLOOKUP(A95,'[51]geoMap (48)'!$A:$C,3,0)</f>
        <v>#REF!</v>
      </c>
      <c r="AY95" s="1" t="e">
        <f>AX95/VLOOKUP(A95,'[52]geoMap (49)'!$A:$B,2,0)*VLOOKUP(A95,'[52]geoMap (49)'!$A:$C,3,0)</f>
        <v>#REF!</v>
      </c>
      <c r="AZ95" s="1" t="e">
        <f>AY95/VLOOKUP(A95,'[53]geoMap (50)'!$A:$B,2,0)*VLOOKUP(A95,'[53]geoMap (50)'!$A:$C,3,0)</f>
        <v>#REF!</v>
      </c>
      <c r="BA95" s="1" t="e">
        <f>AZ95/VLOOKUP(A95,'[54]geoMap (51)'!$A:$B,2,0)*VLOOKUP(A95,'[54]geoMap (51)'!$A:$C,3,0)</f>
        <v>#REF!</v>
      </c>
      <c r="BB95" s="1" t="e">
        <f>BA95/VLOOKUP(A95,'[55]geoMap (52)'!$A:$B,2,0)*VLOOKUP(A95,'[55]geoMap (52)'!$A:$C,3,0)</f>
        <v>#REF!</v>
      </c>
      <c r="BC95" s="1" t="e">
        <f>BB95/VLOOKUP(A95,'[56]geoMap (53)'!$A:$B,2,0)*VLOOKUP(A95,'[56]geoMap (53)'!$A:$C,3,0)</f>
        <v>#REF!</v>
      </c>
      <c r="BD95" s="1" t="e">
        <f>BC95/VLOOKUP(A95,'[57]geoMap (54)'!$A:$B,2,0)*VLOOKUP(A95,'[57]geoMap (54)'!$A:$C,3,0)</f>
        <v>#REF!</v>
      </c>
      <c r="BE95" s="1" t="e">
        <f>BD95/VLOOKUP(A95,'[58]geoMap (55)'!$A:$B,2,0)*VLOOKUP(A95,'[58]geoMap (55)'!$A:$C,3,0)</f>
        <v>#REF!</v>
      </c>
      <c r="BF95" s="1" t="e">
        <f>BE95/VLOOKUP(A95,'[59]geoMap (56)'!$A:$B,2,0)*VLOOKUP(A95,'[59]geoMap (56)'!$A:$C,3,0)</f>
        <v>#REF!</v>
      </c>
      <c r="BG95" s="1" t="e">
        <f>BF95/VLOOKUP(A95,'[60]geoMap (57)'!$A:$B,2,0)*VLOOKUP(A95,'[60]geoMap (57)'!$A:$C,3,0)</f>
        <v>#REF!</v>
      </c>
      <c r="BH95" s="1" t="e">
        <f>BG95/VLOOKUP(A95,'[61]geoMap (58)'!$A:$B,2,0)*VLOOKUP(A95,'[61]geoMap (58)'!$A:$C,3,0)</f>
        <v>#REF!</v>
      </c>
      <c r="BI95" s="1" t="e">
        <f>BH95/VLOOKUP(A95,'[62]geoMap (59)'!$A:$B,2,0)*VLOOKUP(A95,'[62]geoMap (59)'!$A:$C,3,0)</f>
        <v>#REF!</v>
      </c>
      <c r="BJ95" s="1" t="e">
        <f>BI95/VLOOKUP(A95,'[63]geoMap (60)'!$A:$B,2,0)*VLOOKUP(A95,'[63]geoMap (60)'!$A:$C,3,0)</f>
        <v>#REF!</v>
      </c>
      <c r="BK95" s="1" t="e">
        <f>BJ95/VLOOKUP(A95,'[64]geoMap (61)'!$A:$B,2,0)*VLOOKUP(A95,'[64]geoMap (61)'!$A:$C,3,0)</f>
        <v>#REF!</v>
      </c>
      <c r="BL95" s="1" t="e">
        <f>BK95/VLOOKUP(A95,'[65]geoMap (62)'!$A:$B,2,0)*VLOOKUP(A95,'[65]geoMap (62)'!$A:$C,3,0)</f>
        <v>#REF!</v>
      </c>
      <c r="BM95" s="1" t="e">
        <f>BL95/VLOOKUP(A95,'[66]geoMap (63)'!$A:$B,2,0)*VLOOKUP(A95,'[66]geoMap (63)'!$A:$C,3,0)</f>
        <v>#REF!</v>
      </c>
      <c r="BN95" s="1" t="e">
        <f>BM95/VLOOKUP(A95,'[67]geoMap (64)'!$A:$B,2,0)*VLOOKUP(A95,'[67]geoMap (64)'!$A:$C,3,0)</f>
        <v>#REF!</v>
      </c>
      <c r="BO95" s="1" t="e">
        <f>BN95/VLOOKUP(A95,'[68]geoMap (65)'!$A:$B,2,0)*VLOOKUP(A95,'[68]geoMap (65)'!$A:$C,3,0)</f>
        <v>#REF!</v>
      </c>
      <c r="BP95" s="1" t="e">
        <f>BO95/VLOOKUP(A95,'[69]geoMap (66)'!$A:$B,2,0)*VLOOKUP(A95,'[69]geoMap (66)'!$A:$C,3,0)</f>
        <v>#REF!</v>
      </c>
    </row>
    <row r="96" spans="1:68" hidden="1" x14ac:dyDescent="0.2">
      <c r="A96" s="1" t="s">
        <v>35</v>
      </c>
      <c r="B96" s="1" t="e">
        <f>VLOOKUP(A96,[3]geoMap!$A:$B,2,0)*Notes!$C$6</f>
        <v>#REF!</v>
      </c>
      <c r="C96" s="1" t="e">
        <f>B96/VLOOKUP(A96,'[4]geoMap (1)'!$A:$B,2,0)*VLOOKUP(A96,'[4]geoMap (1)'!$A:$C,3,0)</f>
        <v>#REF!</v>
      </c>
      <c r="D96" s="1" t="e">
        <f>C96/VLOOKUP(A96,'[5]geoMap (2)'!$A:$B,2,0)*VLOOKUP(A96,'[5]geoMap (2)'!$A:$C,3,0)</f>
        <v>#REF!</v>
      </c>
      <c r="E96" s="1" t="e">
        <f>D96/VLOOKUP(A96,'[6]geoMap (3)'!$A:$B,2,0)*VLOOKUP(A96,'[6]geoMap (3)'!$A:$C,3,0)</f>
        <v>#REF!</v>
      </c>
      <c r="F96" s="1" t="e">
        <f>E96/VLOOKUP(A96,'[7]geoMap (4)'!$A:$B,2,0)*VLOOKUP(A96,'[7]geoMap (4)'!$A:$C,3,0)</f>
        <v>#REF!</v>
      </c>
      <c r="G96" s="1" t="e">
        <f>F96/VLOOKUP(A96,'[8]geoMap (5)'!$A:$B,2,0)*VLOOKUP(A96,'[8]geoMap (5)'!$A:$C,3,0)</f>
        <v>#REF!</v>
      </c>
      <c r="H96" s="1" t="e">
        <f>G96/VLOOKUP(A96,'[9]geoMap (6)'!$A:$B,2,0)*VLOOKUP(A96,'[9]geoMap (6)'!$A:$C,3,0)</f>
        <v>#REF!</v>
      </c>
      <c r="I96" s="1" t="e">
        <f>H96/VLOOKUP(A96,'[10]geoMap (7)'!$A:$B,2,0)*VLOOKUP(A96,'[10]geoMap (7)'!$A:$C,3,0)</f>
        <v>#REF!</v>
      </c>
      <c r="J96" s="1" t="e">
        <f>I96/VLOOKUP(A96,'[11]geoMap (8)'!$A:$B,2,0)*VLOOKUP(A96,'[11]geoMap (8)'!$A:$C,3,0)</f>
        <v>#REF!</v>
      </c>
      <c r="K96" s="1" t="e">
        <f>J96/VLOOKUP(A96,'[12]geoMap (9)'!$A:$B,2,0)*VLOOKUP(A96,'[12]geoMap (9)'!$A:$C,3,0)</f>
        <v>#REF!</v>
      </c>
      <c r="L96" s="1" t="e">
        <f>K96/VLOOKUP(A96,'[13]geoMap (10)'!$A:$B,2,0)*VLOOKUP(A96,'[13]geoMap (10)'!$A:$C,3,0)</f>
        <v>#REF!</v>
      </c>
      <c r="M96" s="1" t="e">
        <f>L96/VLOOKUP(A96,'[14]geoMap (11)'!$A:$B,2,0)*VLOOKUP(A96,'[14]geoMap (11)'!$A:$C,3,0)</f>
        <v>#REF!</v>
      </c>
      <c r="N96" s="1" t="e">
        <f>M96/VLOOKUP(A96,'[15]geoMap (12)'!$A:$B,2,0)*VLOOKUP(A96,'[15]geoMap (12)'!$A:$C,3,0)</f>
        <v>#REF!</v>
      </c>
      <c r="O96" s="1" t="e">
        <f>N96/VLOOKUP(A96,'[16]geoMap (13)'!$A:$B,2,0)*VLOOKUP(A96,'[16]geoMap (13)'!$A:$C,3,0)</f>
        <v>#REF!</v>
      </c>
      <c r="P96" s="1" t="e">
        <f>O96/VLOOKUP(A96,'[17]geoMap (14)'!$A:$B,2,0)*VLOOKUP(A96,'[17]geoMap (14)'!$A:$C,3,0)</f>
        <v>#REF!</v>
      </c>
      <c r="Q96" s="1" t="e">
        <f>P96/VLOOKUP(A96,'[18]geoMap (15)'!$A:$B,2,0)*VLOOKUP(A96,'[18]geoMap (15)'!$A:$C,3,0)</f>
        <v>#REF!</v>
      </c>
      <c r="R96" s="1" t="e">
        <f>Q96/VLOOKUP(A96,'[19]geoMap (16)'!$A:$B,2,0)*VLOOKUP(A96,'[19]geoMap (16)'!$A:$C,3,0)</f>
        <v>#REF!</v>
      </c>
      <c r="S96" s="1" t="e">
        <f>R96/VLOOKUP(A96,'[20]geoMap (17)'!$A:$B,2,0)*VLOOKUP(A96,'[20]geoMap (17)'!$A:$C,3,0)</f>
        <v>#REF!</v>
      </c>
      <c r="T96" s="1" t="e">
        <f>S96/VLOOKUP(A96,'[21]geoMap (18)'!$A:$B,2,0)*VLOOKUP(A96,'[21]geoMap (18)'!$A:$C,3,0)</f>
        <v>#REF!</v>
      </c>
      <c r="U96" s="1" t="e">
        <f>T96/VLOOKUP(A96,'[22]geoMap (19)'!$A:$B,2,0)*VLOOKUP(A96,'[22]geoMap (19)'!$A:$C,3,0)</f>
        <v>#REF!</v>
      </c>
      <c r="V96" s="1" t="e">
        <f>U96/VLOOKUP(A96,'[23]geoMap (20)'!$A:$B,2,0)*VLOOKUP(A96,'[23]geoMap (20)'!$A:$C,3,0)</f>
        <v>#REF!</v>
      </c>
      <c r="W96" s="1" t="e">
        <f>V96/VLOOKUP(A96,'[24]geoMap (21)'!$A:$B,2,0)*VLOOKUP(A96,'[24]geoMap (21)'!$A:$C,3,0)</f>
        <v>#REF!</v>
      </c>
      <c r="X96" s="1" t="e">
        <f>W96/VLOOKUP(A96,'[25]geoMap (22)'!$A:$B,2,0)*VLOOKUP(A96,'[25]geoMap (22)'!$A:$C,3,0)</f>
        <v>#REF!</v>
      </c>
      <c r="Y96" s="1" t="e">
        <f>X96/VLOOKUP(A96,'[26]geoMap (23)'!$A:$B,2,0)*VLOOKUP(A96,'[26]geoMap (23)'!$A:$C,3,0)</f>
        <v>#REF!</v>
      </c>
      <c r="Z96" s="1" t="e">
        <f>Y96/VLOOKUP(A96,'[27]geoMap (24)'!$A:$B,2,0)*VLOOKUP(A96,'[27]geoMap (24)'!$A:$C,3,0)</f>
        <v>#REF!</v>
      </c>
      <c r="AA96" s="1" t="e">
        <f>Z96/VLOOKUP(A96,'[28]geoMap (25)'!$A:$B,2,0)*VLOOKUP(A96,'[28]geoMap (25)'!$A:$C,3,0)</f>
        <v>#REF!</v>
      </c>
      <c r="AB96" s="1" t="e">
        <f>AA96*VLOOKUP(A96,'[29]geoMap (26)'!$A:$B,2,0)*VLOOKUP(A96,'[29]geoMap (26)'!$A:$C,3,0)</f>
        <v>#REF!</v>
      </c>
      <c r="AC96" s="1" t="e">
        <f>AB96/VLOOKUP(A96,'[30]geoMap (27)'!$A:$B,2,0)*VLOOKUP(A96,'[30]geoMap (27)'!$A:$C,3,0)</f>
        <v>#REF!</v>
      </c>
      <c r="AD96" s="1" t="e">
        <f>AC96/VLOOKUP(A96,'[31]geoMap (28)'!$A:$B,2,0)*VLOOKUP(A96,'[31]geoMap (28)'!$A:$C,3,0)</f>
        <v>#REF!</v>
      </c>
      <c r="AE96" s="1" t="e">
        <f>AD96/VLOOKUP(A96,'[32]geoMap (29)'!$A:$B,2,0)*VLOOKUP(A96,'[32]geoMap (29)'!$A:$C,3,0)</f>
        <v>#REF!</v>
      </c>
      <c r="AF96" s="1" t="e">
        <f>AE96/VLOOKUP(A96,'[33]geoMap (30)'!$A:$B,2,0)*VLOOKUP(A96,'[33]geoMap (30)'!$A:$C,3,0)</f>
        <v>#REF!</v>
      </c>
      <c r="AG96" s="1" t="e">
        <f>AF96/VLOOKUP(A96,'[34]geoMap (31)'!$A:$B,2,0)*VLOOKUP(A96,'[34]geoMap (31)'!$A:$C,3,0)</f>
        <v>#REF!</v>
      </c>
      <c r="AH96" s="1" t="e">
        <f>AG96/VLOOKUP(A96,'[35]geoMap (32)'!$A:$B,2,0)*VLOOKUP(A96,'[35]geoMap (32)'!$A:$C,3,0)</f>
        <v>#REF!</v>
      </c>
      <c r="AI96" s="1" t="e">
        <f>AH96/VLOOKUP(A96,'[36]geoMap (33)'!$A:$B,2,0)*VLOOKUP(A96,'[36]geoMap (33)'!$A:$C,3,0)</f>
        <v>#REF!</v>
      </c>
      <c r="AJ96" s="1" t="e">
        <f>AI96/VLOOKUP(A96,'[37]geoMap (34)'!$A:$B,2,0)*VLOOKUP(A96,'[37]geoMap (34)'!$A:$C,3,0)</f>
        <v>#REF!</v>
      </c>
      <c r="AK96" s="1" t="e">
        <f>AJ96/VLOOKUP(A96,'[38]geoMap (35)'!$A:$B,2,0)*VLOOKUP(A96,'[38]geoMap (35)'!$A:$C,3,0)</f>
        <v>#REF!</v>
      </c>
      <c r="AL96" s="1" t="e">
        <f>AK96/VLOOKUP(A96,'[39]geoMap (36)'!$A:$B,2,0)*VLOOKUP(A96,'[39]geoMap (36)'!$A:$C,3,0)</f>
        <v>#REF!</v>
      </c>
      <c r="AM96" s="1" t="e">
        <f>AL96/VLOOKUP(A96,'[40]geoMap (37)'!$A:$B,2,0)*VLOOKUP(A96,'[40]geoMap (37)'!$A:$C,3,0)</f>
        <v>#REF!</v>
      </c>
      <c r="AN96" s="1" t="e">
        <f>AM96/VLOOKUP(A96,'[41]geoMap (38)'!$A:$B,2,0)*VLOOKUP(A96,'[41]geoMap (38)'!$A:$C,3,0)</f>
        <v>#REF!</v>
      </c>
      <c r="AO96" s="1" t="e">
        <f>AN96/VLOOKUP(A96,'[42]geoMap (39)'!$A:$B,2,0)*VLOOKUP(A96,'[42]geoMap (39)'!$A:$C,3,0)</f>
        <v>#REF!</v>
      </c>
      <c r="AP96" s="1" t="e">
        <f>AO96/VLOOKUP(A96,'[43]geoMap (40)'!$A:$B,2,0)*VLOOKUP(A96,'[43]geoMap (40)'!$A:$C,3,0)</f>
        <v>#REF!</v>
      </c>
      <c r="AQ96" s="1" t="e">
        <f>AP96/VLOOKUP(A96,'[44]geoMap (41)'!$A:$B,2,0)*VLOOKUP(A96,'[44]geoMap (41)'!$A:$C,3,0)</f>
        <v>#REF!</v>
      </c>
      <c r="AR96" s="1" t="e">
        <f>AQ96/VLOOKUP(A96,'[45]geoMap (42)'!$A:$B,2,0)*VLOOKUP(A96,'[45]geoMap (42)'!$A:$C,3,0)</f>
        <v>#REF!</v>
      </c>
      <c r="AS96" s="1" t="e">
        <f>AR96/VLOOKUP(A96,'[46]geoMap (43)'!$A:$B,2,0)*VLOOKUP(A96,'[46]geoMap (43)'!$A:$C,3,0)</f>
        <v>#REF!</v>
      </c>
      <c r="AT96" s="1" t="e">
        <f>AS96/VLOOKUP(A96,'[47]geoMap (44)'!$A:$B,2,0)*VLOOKUP(A96,'[47]geoMap (44)'!$A:$C,3,0)</f>
        <v>#REF!</v>
      </c>
      <c r="AU96" s="1" t="e">
        <f>AT96/VLOOKUP(A96,'[48]geoMap (45)'!$A:$B,2,0)*VLOOKUP(A96,'[48]geoMap (45)'!$A:$C,3,0)</f>
        <v>#REF!</v>
      </c>
      <c r="AV96" s="1" t="e">
        <f>AU96/VLOOKUP(A96,'[49]geoMap (46)'!$A:$B,2,0)*VLOOKUP(A96,'[49]geoMap (46)'!$A:$C,3,0)</f>
        <v>#REF!</v>
      </c>
      <c r="AW96" s="1" t="e">
        <f>AV96/VLOOKUP(A96,'[50]geoMap (47)'!$A:$B,2,0)*VLOOKUP(A96,'[50]geoMap (47)'!$A:$C,3,0)</f>
        <v>#REF!</v>
      </c>
      <c r="AX96" s="1" t="e">
        <f>AW96/VLOOKUP(A96,'[51]geoMap (48)'!$A:$B,2,0)*VLOOKUP(A96,'[51]geoMap (48)'!$A:$C,3,0)</f>
        <v>#REF!</v>
      </c>
      <c r="AY96" s="1" t="e">
        <f>AX96/VLOOKUP(A96,'[52]geoMap (49)'!$A:$B,2,0)*VLOOKUP(A96,'[52]geoMap (49)'!$A:$C,3,0)</f>
        <v>#REF!</v>
      </c>
      <c r="AZ96" s="1" t="e">
        <f>AY96/VLOOKUP(A96,'[53]geoMap (50)'!$A:$B,2,0)*VLOOKUP(A96,'[53]geoMap (50)'!$A:$C,3,0)</f>
        <v>#REF!</v>
      </c>
      <c r="BA96" s="1" t="e">
        <f>AZ96/VLOOKUP(A96,'[54]geoMap (51)'!$A:$B,2,0)*VLOOKUP(A96,'[54]geoMap (51)'!$A:$C,3,0)</f>
        <v>#REF!</v>
      </c>
      <c r="BB96" s="1" t="e">
        <f>BA96/VLOOKUP(A96,'[55]geoMap (52)'!$A:$B,2,0)*VLOOKUP(A96,'[55]geoMap (52)'!$A:$C,3,0)</f>
        <v>#REF!</v>
      </c>
      <c r="BC96" s="1" t="e">
        <f>BB96/VLOOKUP(A96,'[56]geoMap (53)'!$A:$B,2,0)*VLOOKUP(A96,'[56]geoMap (53)'!$A:$C,3,0)</f>
        <v>#REF!</v>
      </c>
      <c r="BD96" s="1" t="e">
        <f>BC96/VLOOKUP(A96,'[57]geoMap (54)'!$A:$B,2,0)*VLOOKUP(A96,'[57]geoMap (54)'!$A:$C,3,0)</f>
        <v>#REF!</v>
      </c>
      <c r="BE96" s="1" t="e">
        <f>BD96/VLOOKUP(A96,'[58]geoMap (55)'!$A:$B,2,0)*VLOOKUP(A96,'[58]geoMap (55)'!$A:$C,3,0)</f>
        <v>#REF!</v>
      </c>
      <c r="BF96" s="1" t="e">
        <f>BE96/VLOOKUP(A96,'[59]geoMap (56)'!$A:$B,2,0)*VLOOKUP(A96,'[59]geoMap (56)'!$A:$C,3,0)</f>
        <v>#REF!</v>
      </c>
      <c r="BG96" s="1" t="e">
        <f>BF96/VLOOKUP(A96,'[60]geoMap (57)'!$A:$B,2,0)*VLOOKUP(A96,'[60]geoMap (57)'!$A:$C,3,0)</f>
        <v>#REF!</v>
      </c>
      <c r="BH96" s="1" t="e">
        <f>BG96/VLOOKUP(A96,'[61]geoMap (58)'!$A:$B,2,0)*VLOOKUP(A96,'[61]geoMap (58)'!$A:$C,3,0)</f>
        <v>#REF!</v>
      </c>
      <c r="BI96" s="1" t="e">
        <f>BH96/VLOOKUP(A96,'[62]geoMap (59)'!$A:$B,2,0)*VLOOKUP(A96,'[62]geoMap (59)'!$A:$C,3,0)</f>
        <v>#REF!</v>
      </c>
      <c r="BJ96" s="1" t="e">
        <f>BI96/VLOOKUP(A96,'[63]geoMap (60)'!$A:$B,2,0)*VLOOKUP(A96,'[63]geoMap (60)'!$A:$C,3,0)</f>
        <v>#REF!</v>
      </c>
      <c r="BK96" s="1" t="e">
        <f>BJ96/VLOOKUP(A96,'[64]geoMap (61)'!$A:$B,2,0)*VLOOKUP(A96,'[64]geoMap (61)'!$A:$C,3,0)</f>
        <v>#REF!</v>
      </c>
      <c r="BL96" s="1" t="e">
        <f>BK96/VLOOKUP(A96,'[65]geoMap (62)'!$A:$B,2,0)*VLOOKUP(A96,'[65]geoMap (62)'!$A:$C,3,0)</f>
        <v>#REF!</v>
      </c>
      <c r="BM96" s="1" t="e">
        <f>BL96/VLOOKUP(A96,'[66]geoMap (63)'!$A:$B,2,0)*VLOOKUP(A96,'[66]geoMap (63)'!$A:$C,3,0)</f>
        <v>#REF!</v>
      </c>
      <c r="BN96" s="1" t="e">
        <f>BM96/VLOOKUP(A96,'[67]geoMap (64)'!$A:$B,2,0)*VLOOKUP(A96,'[67]geoMap (64)'!$A:$C,3,0)</f>
        <v>#REF!</v>
      </c>
      <c r="BO96" s="1" t="e">
        <f>BN96/VLOOKUP(A96,'[68]geoMap (65)'!$A:$B,2,0)*VLOOKUP(A96,'[68]geoMap (65)'!$A:$C,3,0)</f>
        <v>#REF!</v>
      </c>
      <c r="BP96" s="1" t="e">
        <f>BO96/VLOOKUP(A96,'[69]geoMap (66)'!$A:$B,2,0)*VLOOKUP(A96,'[69]geoMap (66)'!$A:$C,3,0)</f>
        <v>#REF!</v>
      </c>
    </row>
    <row r="97" spans="1:68" hidden="1" x14ac:dyDescent="0.2">
      <c r="A97" s="1" t="s">
        <v>36</v>
      </c>
      <c r="B97" s="1" t="e">
        <f>VLOOKUP(A97,[3]geoMap!$A:$B,2,0)*Notes!$C$6</f>
        <v>#REF!</v>
      </c>
      <c r="C97" s="1" t="e">
        <f>B97/VLOOKUP(A97,'[4]geoMap (1)'!$A:$B,2,0)*VLOOKUP(A97,'[4]geoMap (1)'!$A:$C,3,0)</f>
        <v>#REF!</v>
      </c>
      <c r="D97" s="1" t="e">
        <f>C97/VLOOKUP(A97,'[5]geoMap (2)'!$A:$B,2,0)*VLOOKUP(A97,'[5]geoMap (2)'!$A:$C,3,0)</f>
        <v>#REF!</v>
      </c>
      <c r="E97" s="1" t="e">
        <f>D97/VLOOKUP(A97,'[6]geoMap (3)'!$A:$B,2,0)*VLOOKUP(A97,'[6]geoMap (3)'!$A:$C,3,0)</f>
        <v>#REF!</v>
      </c>
      <c r="F97" s="1" t="e">
        <f>E97/VLOOKUP(A97,'[7]geoMap (4)'!$A:$B,2,0)*VLOOKUP(A97,'[7]geoMap (4)'!$A:$C,3,0)</f>
        <v>#REF!</v>
      </c>
      <c r="G97" s="1" t="e">
        <f>F97/VLOOKUP(A97,'[8]geoMap (5)'!$A:$B,2,0)*VLOOKUP(A97,'[8]geoMap (5)'!$A:$C,3,0)</f>
        <v>#REF!</v>
      </c>
      <c r="H97" s="1" t="e">
        <f>G97/VLOOKUP(A97,'[9]geoMap (6)'!$A:$B,2,0)*VLOOKUP(A97,'[9]geoMap (6)'!$A:$C,3,0)</f>
        <v>#REF!</v>
      </c>
      <c r="I97" s="1" t="e">
        <f>H97/VLOOKUP(A97,'[10]geoMap (7)'!$A:$B,2,0)*VLOOKUP(A97,'[10]geoMap (7)'!$A:$C,3,0)</f>
        <v>#REF!</v>
      </c>
      <c r="J97" s="1" t="e">
        <f>I97/VLOOKUP(A97,'[11]geoMap (8)'!$A:$B,2,0)*VLOOKUP(A97,'[11]geoMap (8)'!$A:$C,3,0)</f>
        <v>#REF!</v>
      </c>
      <c r="K97" s="1" t="e">
        <f>J97/VLOOKUP(A97,'[12]geoMap (9)'!$A:$B,2,0)*VLOOKUP(A97,'[12]geoMap (9)'!$A:$C,3,0)</f>
        <v>#REF!</v>
      </c>
      <c r="L97" s="1" t="e">
        <f>K97/VLOOKUP(A97,'[13]geoMap (10)'!$A:$B,2,0)*VLOOKUP(A97,'[13]geoMap (10)'!$A:$C,3,0)</f>
        <v>#REF!</v>
      </c>
      <c r="M97" s="1" t="e">
        <f>L97/VLOOKUP(A97,'[14]geoMap (11)'!$A:$B,2,0)*VLOOKUP(A97,'[14]geoMap (11)'!$A:$C,3,0)</f>
        <v>#REF!</v>
      </c>
      <c r="N97" s="1" t="e">
        <f>M97/VLOOKUP(A97,'[15]geoMap (12)'!$A:$B,2,0)*VLOOKUP(A97,'[15]geoMap (12)'!$A:$C,3,0)</f>
        <v>#REF!</v>
      </c>
      <c r="O97" s="1" t="e">
        <f>N97/VLOOKUP(A97,'[16]geoMap (13)'!$A:$B,2,0)*VLOOKUP(A97,'[16]geoMap (13)'!$A:$C,3,0)</f>
        <v>#REF!</v>
      </c>
      <c r="P97" s="1" t="e">
        <f>O97/VLOOKUP(A97,'[17]geoMap (14)'!$A:$B,2,0)*VLOOKUP(A97,'[17]geoMap (14)'!$A:$C,3,0)</f>
        <v>#REF!</v>
      </c>
      <c r="Q97" s="1" t="e">
        <f>P97/VLOOKUP(A97,'[18]geoMap (15)'!$A:$B,2,0)*VLOOKUP(A97,'[18]geoMap (15)'!$A:$C,3,0)</f>
        <v>#REF!</v>
      </c>
      <c r="R97" s="1" t="e">
        <f>Q97/VLOOKUP(A97,'[19]geoMap (16)'!$A:$B,2,0)*VLOOKUP(A97,'[19]geoMap (16)'!$A:$C,3,0)</f>
        <v>#REF!</v>
      </c>
      <c r="S97" s="1" t="e">
        <f>R97/VLOOKUP(A97,'[20]geoMap (17)'!$A:$B,2,0)*VLOOKUP(A97,'[20]geoMap (17)'!$A:$C,3,0)</f>
        <v>#REF!</v>
      </c>
      <c r="T97" s="1" t="e">
        <f>S97/VLOOKUP(A97,'[21]geoMap (18)'!$A:$B,2,0)*VLOOKUP(A97,'[21]geoMap (18)'!$A:$C,3,0)</f>
        <v>#REF!</v>
      </c>
      <c r="U97" s="1" t="e">
        <f>T97/VLOOKUP(A97,'[22]geoMap (19)'!$A:$B,2,0)*VLOOKUP(A97,'[22]geoMap (19)'!$A:$C,3,0)</f>
        <v>#REF!</v>
      </c>
      <c r="V97" s="1" t="e">
        <f>U97/VLOOKUP(A97,'[23]geoMap (20)'!$A:$B,2,0)*VLOOKUP(A97,'[23]geoMap (20)'!$A:$C,3,0)</f>
        <v>#REF!</v>
      </c>
      <c r="W97" s="1" t="e">
        <f>V97/VLOOKUP(A97,'[24]geoMap (21)'!$A:$B,2,0)*VLOOKUP(A97,'[24]geoMap (21)'!$A:$C,3,0)</f>
        <v>#REF!</v>
      </c>
      <c r="X97" s="1" t="e">
        <f>W97/VLOOKUP(A97,'[25]geoMap (22)'!$A:$B,2,0)*VLOOKUP(A97,'[25]geoMap (22)'!$A:$C,3,0)</f>
        <v>#REF!</v>
      </c>
      <c r="Y97" s="1" t="e">
        <f>X97/VLOOKUP(A97,'[26]geoMap (23)'!$A:$B,2,0)*VLOOKUP(A97,'[26]geoMap (23)'!$A:$C,3,0)</f>
        <v>#REF!</v>
      </c>
      <c r="Z97" s="1" t="e">
        <f>Y97/VLOOKUP(A97,'[27]geoMap (24)'!$A:$B,2,0)*VLOOKUP(A97,'[27]geoMap (24)'!$A:$C,3,0)</f>
        <v>#REF!</v>
      </c>
      <c r="AA97" s="1" t="e">
        <f>Z97/VLOOKUP(A97,'[28]geoMap (25)'!$A:$B,2,0)*VLOOKUP(A97,'[28]geoMap (25)'!$A:$C,3,0)</f>
        <v>#REF!</v>
      </c>
      <c r="AB97" s="1" t="e">
        <f>AA97*VLOOKUP(A97,'[29]geoMap (26)'!$A:$B,2,0)*VLOOKUP(A97,'[29]geoMap (26)'!$A:$C,3,0)</f>
        <v>#REF!</v>
      </c>
      <c r="AC97" s="1" t="e">
        <f>AB97/VLOOKUP(A97,'[30]geoMap (27)'!$A:$B,2,0)*VLOOKUP(A97,'[30]geoMap (27)'!$A:$C,3,0)</f>
        <v>#REF!</v>
      </c>
      <c r="AD97" s="1" t="e">
        <f>AC97/VLOOKUP(A97,'[31]geoMap (28)'!$A:$B,2,0)*VLOOKUP(A97,'[31]geoMap (28)'!$A:$C,3,0)</f>
        <v>#REF!</v>
      </c>
      <c r="AE97" s="1" t="e">
        <f>AD97/VLOOKUP(A97,'[32]geoMap (29)'!$A:$B,2,0)*VLOOKUP(A97,'[32]geoMap (29)'!$A:$C,3,0)</f>
        <v>#REF!</v>
      </c>
      <c r="AF97" s="1" t="e">
        <f>AE97/VLOOKUP(A97,'[33]geoMap (30)'!$A:$B,2,0)*VLOOKUP(A97,'[33]geoMap (30)'!$A:$C,3,0)</f>
        <v>#REF!</v>
      </c>
      <c r="AG97" s="1" t="e">
        <f>AF97/VLOOKUP(A97,'[34]geoMap (31)'!$A:$B,2,0)*VLOOKUP(A97,'[34]geoMap (31)'!$A:$C,3,0)</f>
        <v>#REF!</v>
      </c>
      <c r="AH97" s="1" t="e">
        <f>AG97/VLOOKUP(A97,'[35]geoMap (32)'!$A:$B,2,0)*VLOOKUP(A97,'[35]geoMap (32)'!$A:$C,3,0)</f>
        <v>#REF!</v>
      </c>
      <c r="AI97" s="1" t="e">
        <f>AH97/VLOOKUP(A97,'[36]geoMap (33)'!$A:$B,2,0)*VLOOKUP(A97,'[36]geoMap (33)'!$A:$C,3,0)</f>
        <v>#REF!</v>
      </c>
      <c r="AJ97" s="1" t="e">
        <f>AI97/VLOOKUP(A97,'[37]geoMap (34)'!$A:$B,2,0)*VLOOKUP(A97,'[37]geoMap (34)'!$A:$C,3,0)</f>
        <v>#REF!</v>
      </c>
      <c r="AK97" s="1" t="e">
        <f>AJ97/VLOOKUP(A97,'[38]geoMap (35)'!$A:$B,2,0)*VLOOKUP(A97,'[38]geoMap (35)'!$A:$C,3,0)</f>
        <v>#REF!</v>
      </c>
      <c r="AL97" s="1" t="e">
        <f>AK97/VLOOKUP(A97,'[39]geoMap (36)'!$A:$B,2,0)*VLOOKUP(A97,'[39]geoMap (36)'!$A:$C,3,0)</f>
        <v>#REF!</v>
      </c>
      <c r="AM97" s="1" t="e">
        <f>AL97/VLOOKUP(A97,'[40]geoMap (37)'!$A:$B,2,0)*VLOOKUP(A97,'[40]geoMap (37)'!$A:$C,3,0)</f>
        <v>#REF!</v>
      </c>
      <c r="AN97" s="1" t="e">
        <f>AM97/VLOOKUP(A97,'[41]geoMap (38)'!$A:$B,2,0)*VLOOKUP(A97,'[41]geoMap (38)'!$A:$C,3,0)</f>
        <v>#REF!</v>
      </c>
      <c r="AO97" s="1" t="e">
        <f>AN97/VLOOKUP(A97,'[42]geoMap (39)'!$A:$B,2,0)*VLOOKUP(A97,'[42]geoMap (39)'!$A:$C,3,0)</f>
        <v>#REF!</v>
      </c>
      <c r="AP97" s="1" t="e">
        <f>AO97/VLOOKUP(A97,'[43]geoMap (40)'!$A:$B,2,0)*VLOOKUP(A97,'[43]geoMap (40)'!$A:$C,3,0)</f>
        <v>#REF!</v>
      </c>
      <c r="AQ97" s="1" t="e">
        <f>AP97/VLOOKUP(A97,'[44]geoMap (41)'!$A:$B,2,0)*VLOOKUP(A97,'[44]geoMap (41)'!$A:$C,3,0)</f>
        <v>#REF!</v>
      </c>
      <c r="AR97" s="1" t="e">
        <f>AQ97/VLOOKUP(A97,'[45]geoMap (42)'!$A:$B,2,0)*VLOOKUP(A97,'[45]geoMap (42)'!$A:$C,3,0)</f>
        <v>#REF!</v>
      </c>
      <c r="AS97" s="1" t="e">
        <f>AR97/VLOOKUP(A97,'[46]geoMap (43)'!$A:$B,2,0)*VLOOKUP(A97,'[46]geoMap (43)'!$A:$C,3,0)</f>
        <v>#REF!</v>
      </c>
      <c r="AT97" s="1" t="e">
        <f>AS97/VLOOKUP(A97,'[47]geoMap (44)'!$A:$B,2,0)*VLOOKUP(A97,'[47]geoMap (44)'!$A:$C,3,0)</f>
        <v>#REF!</v>
      </c>
      <c r="AU97" s="1" t="e">
        <f>AT97/VLOOKUP(A97,'[48]geoMap (45)'!$A:$B,2,0)*VLOOKUP(A97,'[48]geoMap (45)'!$A:$C,3,0)</f>
        <v>#REF!</v>
      </c>
      <c r="AV97" s="1" t="e">
        <f>AU97/VLOOKUP(A97,'[49]geoMap (46)'!$A:$B,2,0)*VLOOKUP(A97,'[49]geoMap (46)'!$A:$C,3,0)</f>
        <v>#REF!</v>
      </c>
      <c r="AW97" s="1" t="e">
        <f>AV97/VLOOKUP(A97,'[50]geoMap (47)'!$A:$B,2,0)*VLOOKUP(A97,'[50]geoMap (47)'!$A:$C,3,0)</f>
        <v>#REF!</v>
      </c>
      <c r="AX97" s="1" t="e">
        <f>AW97/VLOOKUP(A97,'[51]geoMap (48)'!$A:$B,2,0)*VLOOKUP(A97,'[51]geoMap (48)'!$A:$C,3,0)</f>
        <v>#REF!</v>
      </c>
      <c r="AY97" s="1" t="e">
        <f>AX97/VLOOKUP(A97,'[52]geoMap (49)'!$A:$B,2,0)*VLOOKUP(A97,'[52]geoMap (49)'!$A:$C,3,0)</f>
        <v>#REF!</v>
      </c>
      <c r="AZ97" s="1" t="e">
        <f>AY97/VLOOKUP(A97,'[53]geoMap (50)'!$A:$B,2,0)*VLOOKUP(A97,'[53]geoMap (50)'!$A:$C,3,0)</f>
        <v>#REF!</v>
      </c>
      <c r="BA97" s="1" t="e">
        <f>AZ97/VLOOKUP(A97,'[54]geoMap (51)'!$A:$B,2,0)*VLOOKUP(A97,'[54]geoMap (51)'!$A:$C,3,0)</f>
        <v>#REF!</v>
      </c>
      <c r="BB97" s="1" t="e">
        <f>BA97/VLOOKUP(A97,'[55]geoMap (52)'!$A:$B,2,0)*VLOOKUP(A97,'[55]geoMap (52)'!$A:$C,3,0)</f>
        <v>#REF!</v>
      </c>
      <c r="BC97" s="1" t="e">
        <f>BB97/VLOOKUP(A97,'[56]geoMap (53)'!$A:$B,2,0)*VLOOKUP(A97,'[56]geoMap (53)'!$A:$C,3,0)</f>
        <v>#REF!</v>
      </c>
      <c r="BD97" s="1" t="e">
        <f>BC97/VLOOKUP(A97,'[57]geoMap (54)'!$A:$B,2,0)*VLOOKUP(A97,'[57]geoMap (54)'!$A:$C,3,0)</f>
        <v>#REF!</v>
      </c>
      <c r="BE97" s="1" t="e">
        <f>BD97/VLOOKUP(A97,'[58]geoMap (55)'!$A:$B,2,0)*VLOOKUP(A97,'[58]geoMap (55)'!$A:$C,3,0)</f>
        <v>#REF!</v>
      </c>
      <c r="BF97" s="1" t="e">
        <f>BE97/VLOOKUP(A97,'[59]geoMap (56)'!$A:$B,2,0)*VLOOKUP(A97,'[59]geoMap (56)'!$A:$C,3,0)</f>
        <v>#REF!</v>
      </c>
      <c r="BG97" s="1" t="e">
        <f>BF97/VLOOKUP(A97,'[60]geoMap (57)'!$A:$B,2,0)*VLOOKUP(A97,'[60]geoMap (57)'!$A:$C,3,0)</f>
        <v>#REF!</v>
      </c>
      <c r="BH97" s="1" t="e">
        <f>BG97/VLOOKUP(A97,'[61]geoMap (58)'!$A:$B,2,0)*VLOOKUP(A97,'[61]geoMap (58)'!$A:$C,3,0)</f>
        <v>#REF!</v>
      </c>
      <c r="BI97" s="1" t="e">
        <f>BH97/VLOOKUP(A97,'[62]geoMap (59)'!$A:$B,2,0)*VLOOKUP(A97,'[62]geoMap (59)'!$A:$C,3,0)</f>
        <v>#REF!</v>
      </c>
      <c r="BJ97" s="1" t="e">
        <f>BI97/VLOOKUP(A97,'[63]geoMap (60)'!$A:$B,2,0)*VLOOKUP(A97,'[63]geoMap (60)'!$A:$C,3,0)</f>
        <v>#REF!</v>
      </c>
      <c r="BK97" s="1" t="e">
        <f>BJ97/VLOOKUP(A97,'[64]geoMap (61)'!$A:$B,2,0)*VLOOKUP(A97,'[64]geoMap (61)'!$A:$C,3,0)</f>
        <v>#REF!</v>
      </c>
      <c r="BL97" s="1" t="e">
        <f>BK97/VLOOKUP(A97,'[65]geoMap (62)'!$A:$B,2,0)*VLOOKUP(A97,'[65]geoMap (62)'!$A:$C,3,0)</f>
        <v>#REF!</v>
      </c>
      <c r="BM97" s="1" t="e">
        <f>BL97/VLOOKUP(A97,'[66]geoMap (63)'!$A:$B,2,0)*VLOOKUP(A97,'[66]geoMap (63)'!$A:$C,3,0)</f>
        <v>#REF!</v>
      </c>
      <c r="BN97" s="1" t="e">
        <f>BM97/VLOOKUP(A97,'[67]geoMap (64)'!$A:$B,2,0)*VLOOKUP(A97,'[67]geoMap (64)'!$A:$C,3,0)</f>
        <v>#REF!</v>
      </c>
      <c r="BO97" s="1" t="e">
        <f>BN97/VLOOKUP(A97,'[68]geoMap (65)'!$A:$B,2,0)*VLOOKUP(A97,'[68]geoMap (65)'!$A:$C,3,0)</f>
        <v>#REF!</v>
      </c>
      <c r="BP97" s="1" t="e">
        <f>BO97/VLOOKUP(A97,'[69]geoMap (66)'!$A:$B,2,0)*VLOOKUP(A97,'[69]geoMap (66)'!$A:$C,3,0)</f>
        <v>#REF!</v>
      </c>
    </row>
    <row r="98" spans="1:68" hidden="1" x14ac:dyDescent="0.2">
      <c r="A98" s="1" t="s">
        <v>38</v>
      </c>
      <c r="B98" s="1" t="e">
        <f>VLOOKUP(A98,[3]geoMap!$A:$B,2,0)*Notes!$C$6</f>
        <v>#REF!</v>
      </c>
      <c r="C98" s="1" t="e">
        <f>B98/VLOOKUP(A98,'[4]geoMap (1)'!$A:$B,2,0)*VLOOKUP(A98,'[4]geoMap (1)'!$A:$C,3,0)</f>
        <v>#REF!</v>
      </c>
      <c r="D98" s="1" t="e">
        <f>C98/VLOOKUP(A98,'[5]geoMap (2)'!$A:$B,2,0)*VLOOKUP(A98,'[5]geoMap (2)'!$A:$C,3,0)</f>
        <v>#REF!</v>
      </c>
      <c r="E98" s="1" t="e">
        <f>D98/VLOOKUP(A98,'[6]geoMap (3)'!$A:$B,2,0)*VLOOKUP(A98,'[6]geoMap (3)'!$A:$C,3,0)</f>
        <v>#REF!</v>
      </c>
      <c r="F98" s="1" t="e">
        <f>E98/VLOOKUP(A98,'[7]geoMap (4)'!$A:$B,2,0)*VLOOKUP(A98,'[7]geoMap (4)'!$A:$C,3,0)</f>
        <v>#REF!</v>
      </c>
      <c r="G98" s="1" t="e">
        <f>F98/VLOOKUP(A98,'[8]geoMap (5)'!$A:$B,2,0)*VLOOKUP(A98,'[8]geoMap (5)'!$A:$C,3,0)</f>
        <v>#REF!</v>
      </c>
      <c r="H98" s="1" t="e">
        <f>G98/VLOOKUP(A98,'[9]geoMap (6)'!$A:$B,2,0)*VLOOKUP(A98,'[9]geoMap (6)'!$A:$C,3,0)</f>
        <v>#REF!</v>
      </c>
      <c r="I98" s="1" t="e">
        <f>H98/VLOOKUP(A98,'[10]geoMap (7)'!$A:$B,2,0)*VLOOKUP(A98,'[10]geoMap (7)'!$A:$C,3,0)</f>
        <v>#REF!</v>
      </c>
      <c r="J98" s="1" t="e">
        <f>I98/VLOOKUP(A98,'[11]geoMap (8)'!$A:$B,2,0)*VLOOKUP(A98,'[11]geoMap (8)'!$A:$C,3,0)</f>
        <v>#REF!</v>
      </c>
      <c r="K98" s="1" t="e">
        <f>J98/VLOOKUP(A98,'[12]geoMap (9)'!$A:$B,2,0)*VLOOKUP(A98,'[12]geoMap (9)'!$A:$C,3,0)</f>
        <v>#REF!</v>
      </c>
      <c r="L98" s="1" t="e">
        <f>K98/VLOOKUP(A98,'[13]geoMap (10)'!$A:$B,2,0)*VLOOKUP(A98,'[13]geoMap (10)'!$A:$C,3,0)</f>
        <v>#REF!</v>
      </c>
      <c r="M98" s="1" t="e">
        <f>L98/VLOOKUP(A98,'[14]geoMap (11)'!$A:$B,2,0)*VLOOKUP(A98,'[14]geoMap (11)'!$A:$C,3,0)</f>
        <v>#REF!</v>
      </c>
      <c r="N98" s="1" t="e">
        <f>M98/VLOOKUP(A98,'[15]geoMap (12)'!$A:$B,2,0)*VLOOKUP(A98,'[15]geoMap (12)'!$A:$C,3,0)</f>
        <v>#REF!</v>
      </c>
      <c r="O98" s="1" t="e">
        <f>N98/VLOOKUP(A98,'[16]geoMap (13)'!$A:$B,2,0)*VLOOKUP(A98,'[16]geoMap (13)'!$A:$C,3,0)</f>
        <v>#REF!</v>
      </c>
      <c r="P98" s="1" t="e">
        <f>O98/VLOOKUP(A98,'[17]geoMap (14)'!$A:$B,2,0)*VLOOKUP(A98,'[17]geoMap (14)'!$A:$C,3,0)</f>
        <v>#REF!</v>
      </c>
      <c r="Q98" s="1" t="e">
        <f>P98/VLOOKUP(A98,'[18]geoMap (15)'!$A:$B,2,0)*VLOOKUP(A98,'[18]geoMap (15)'!$A:$C,3,0)</f>
        <v>#REF!</v>
      </c>
      <c r="R98" s="1" t="e">
        <f>Q98/VLOOKUP(A98,'[19]geoMap (16)'!$A:$B,2,0)*VLOOKUP(A98,'[19]geoMap (16)'!$A:$C,3,0)</f>
        <v>#REF!</v>
      </c>
      <c r="S98" s="1" t="e">
        <f>R98/VLOOKUP(A98,'[20]geoMap (17)'!$A:$B,2,0)*VLOOKUP(A98,'[20]geoMap (17)'!$A:$C,3,0)</f>
        <v>#REF!</v>
      </c>
      <c r="T98" s="1" t="e">
        <f>S98/VLOOKUP(A98,'[21]geoMap (18)'!$A:$B,2,0)*VLOOKUP(A98,'[21]geoMap (18)'!$A:$C,3,0)</f>
        <v>#REF!</v>
      </c>
      <c r="U98" s="1" t="e">
        <f>T98/VLOOKUP(A98,'[22]geoMap (19)'!$A:$B,2,0)*VLOOKUP(A98,'[22]geoMap (19)'!$A:$C,3,0)</f>
        <v>#REF!</v>
      </c>
      <c r="V98" s="1" t="e">
        <f>U98/VLOOKUP(A98,'[23]geoMap (20)'!$A:$B,2,0)*VLOOKUP(A98,'[23]geoMap (20)'!$A:$C,3,0)</f>
        <v>#REF!</v>
      </c>
      <c r="W98" s="1" t="e">
        <f>V98/VLOOKUP(A98,'[24]geoMap (21)'!$A:$B,2,0)*VLOOKUP(A98,'[24]geoMap (21)'!$A:$C,3,0)</f>
        <v>#REF!</v>
      </c>
      <c r="X98" s="1" t="e">
        <f>W98/VLOOKUP(A98,'[25]geoMap (22)'!$A:$B,2,0)*VLOOKUP(A98,'[25]geoMap (22)'!$A:$C,3,0)</f>
        <v>#REF!</v>
      </c>
      <c r="Y98" s="1" t="e">
        <f>X98/VLOOKUP(A98,'[26]geoMap (23)'!$A:$B,2,0)*VLOOKUP(A98,'[26]geoMap (23)'!$A:$C,3,0)</f>
        <v>#REF!</v>
      </c>
      <c r="Z98" s="1" t="e">
        <f>Y98/VLOOKUP(A98,'[27]geoMap (24)'!$A:$B,2,0)*VLOOKUP(A98,'[27]geoMap (24)'!$A:$C,3,0)</f>
        <v>#REF!</v>
      </c>
      <c r="AA98" s="1" t="e">
        <f>Z98/VLOOKUP(A98,'[28]geoMap (25)'!$A:$B,2,0)*VLOOKUP(A98,'[28]geoMap (25)'!$A:$C,3,0)</f>
        <v>#REF!</v>
      </c>
      <c r="AB98" s="1" t="e">
        <f>AA98*VLOOKUP(A98,'[29]geoMap (26)'!$A:$B,2,0)*VLOOKUP(A98,'[29]geoMap (26)'!$A:$C,3,0)</f>
        <v>#REF!</v>
      </c>
      <c r="AC98" s="1" t="e">
        <f>AB98/VLOOKUP(A98,'[30]geoMap (27)'!$A:$B,2,0)*VLOOKUP(A98,'[30]geoMap (27)'!$A:$C,3,0)</f>
        <v>#REF!</v>
      </c>
      <c r="AD98" s="1" t="e">
        <f>AC98/VLOOKUP(A98,'[31]geoMap (28)'!$A:$B,2,0)*VLOOKUP(A98,'[31]geoMap (28)'!$A:$C,3,0)</f>
        <v>#REF!</v>
      </c>
      <c r="AE98" s="1" t="e">
        <f>AD98/VLOOKUP(A98,'[32]geoMap (29)'!$A:$B,2,0)*VLOOKUP(A98,'[32]geoMap (29)'!$A:$C,3,0)</f>
        <v>#REF!</v>
      </c>
      <c r="AF98" s="1" t="e">
        <f>AE98/VLOOKUP(A98,'[33]geoMap (30)'!$A:$B,2,0)*VLOOKUP(A98,'[33]geoMap (30)'!$A:$C,3,0)</f>
        <v>#REF!</v>
      </c>
      <c r="AG98" s="1" t="e">
        <f>AF98/VLOOKUP(A98,'[34]geoMap (31)'!$A:$B,2,0)*VLOOKUP(A98,'[34]geoMap (31)'!$A:$C,3,0)</f>
        <v>#REF!</v>
      </c>
      <c r="AH98" s="1" t="e">
        <f>AG98/VLOOKUP(A98,'[35]geoMap (32)'!$A:$B,2,0)*VLOOKUP(A98,'[35]geoMap (32)'!$A:$C,3,0)</f>
        <v>#REF!</v>
      </c>
      <c r="AI98" s="1" t="e">
        <f>AH98/VLOOKUP(A98,'[36]geoMap (33)'!$A:$B,2,0)*VLOOKUP(A98,'[36]geoMap (33)'!$A:$C,3,0)</f>
        <v>#REF!</v>
      </c>
      <c r="AJ98" s="1" t="e">
        <f>AI98/VLOOKUP(A98,'[37]geoMap (34)'!$A:$B,2,0)*VLOOKUP(A98,'[37]geoMap (34)'!$A:$C,3,0)</f>
        <v>#REF!</v>
      </c>
      <c r="AK98" s="1" t="e">
        <f>AJ98/VLOOKUP(A98,'[38]geoMap (35)'!$A:$B,2,0)*VLOOKUP(A98,'[38]geoMap (35)'!$A:$C,3,0)</f>
        <v>#REF!</v>
      </c>
      <c r="AL98" s="1" t="e">
        <f>AK98/VLOOKUP(A98,'[39]geoMap (36)'!$A:$B,2,0)*VLOOKUP(A98,'[39]geoMap (36)'!$A:$C,3,0)</f>
        <v>#REF!</v>
      </c>
      <c r="AM98" s="1" t="e">
        <f>AL98/VLOOKUP(A98,'[40]geoMap (37)'!$A:$B,2,0)*VLOOKUP(A98,'[40]geoMap (37)'!$A:$C,3,0)</f>
        <v>#REF!</v>
      </c>
      <c r="AN98" s="1" t="e">
        <f>AM98/VLOOKUP(A98,'[41]geoMap (38)'!$A:$B,2,0)*VLOOKUP(A98,'[41]geoMap (38)'!$A:$C,3,0)</f>
        <v>#REF!</v>
      </c>
      <c r="AO98" s="1" t="e">
        <f>AN98/VLOOKUP(A98,'[42]geoMap (39)'!$A:$B,2,0)*VLOOKUP(A98,'[42]geoMap (39)'!$A:$C,3,0)</f>
        <v>#REF!</v>
      </c>
      <c r="AP98" s="1" t="e">
        <f>AO98/VLOOKUP(A98,'[43]geoMap (40)'!$A:$B,2,0)*VLOOKUP(A98,'[43]geoMap (40)'!$A:$C,3,0)</f>
        <v>#REF!</v>
      </c>
      <c r="AQ98" s="1" t="e">
        <f>AP98/VLOOKUP(A98,'[44]geoMap (41)'!$A:$B,2,0)*VLOOKUP(A98,'[44]geoMap (41)'!$A:$C,3,0)</f>
        <v>#REF!</v>
      </c>
      <c r="AR98" s="1" t="e">
        <f>AQ98/VLOOKUP(A98,'[45]geoMap (42)'!$A:$B,2,0)*VLOOKUP(A98,'[45]geoMap (42)'!$A:$C,3,0)</f>
        <v>#REF!</v>
      </c>
      <c r="AS98" s="1" t="e">
        <f>AR98/VLOOKUP(A98,'[46]geoMap (43)'!$A:$B,2,0)*VLOOKUP(A98,'[46]geoMap (43)'!$A:$C,3,0)</f>
        <v>#REF!</v>
      </c>
      <c r="AT98" s="1" t="e">
        <f>AS98/VLOOKUP(A98,'[47]geoMap (44)'!$A:$B,2,0)*VLOOKUP(A98,'[47]geoMap (44)'!$A:$C,3,0)</f>
        <v>#REF!</v>
      </c>
      <c r="AU98" s="1" t="e">
        <f>AT98/VLOOKUP(A98,'[48]geoMap (45)'!$A:$B,2,0)*VLOOKUP(A98,'[48]geoMap (45)'!$A:$C,3,0)</f>
        <v>#REF!</v>
      </c>
      <c r="AV98" s="1" t="e">
        <f>AU98/VLOOKUP(A98,'[49]geoMap (46)'!$A:$B,2,0)*VLOOKUP(A98,'[49]geoMap (46)'!$A:$C,3,0)</f>
        <v>#REF!</v>
      </c>
      <c r="AW98" s="1" t="e">
        <f>AV98/VLOOKUP(A98,'[50]geoMap (47)'!$A:$B,2,0)*VLOOKUP(A98,'[50]geoMap (47)'!$A:$C,3,0)</f>
        <v>#REF!</v>
      </c>
      <c r="AX98" s="1" t="e">
        <f>AW98/VLOOKUP(A98,'[51]geoMap (48)'!$A:$B,2,0)*VLOOKUP(A98,'[51]geoMap (48)'!$A:$C,3,0)</f>
        <v>#REF!</v>
      </c>
      <c r="AY98" s="1" t="e">
        <f>AX98/VLOOKUP(A98,'[52]geoMap (49)'!$A:$B,2,0)*VLOOKUP(A98,'[52]geoMap (49)'!$A:$C,3,0)</f>
        <v>#REF!</v>
      </c>
      <c r="AZ98" s="1" t="e">
        <f>AY98/VLOOKUP(A98,'[53]geoMap (50)'!$A:$B,2,0)*VLOOKUP(A98,'[53]geoMap (50)'!$A:$C,3,0)</f>
        <v>#REF!</v>
      </c>
      <c r="BA98" s="1" t="e">
        <f>AZ98/VLOOKUP(A98,'[54]geoMap (51)'!$A:$B,2,0)*VLOOKUP(A98,'[54]geoMap (51)'!$A:$C,3,0)</f>
        <v>#REF!</v>
      </c>
      <c r="BB98" s="1" t="e">
        <f>BA98/VLOOKUP(A98,'[55]geoMap (52)'!$A:$B,2,0)*VLOOKUP(A98,'[55]geoMap (52)'!$A:$C,3,0)</f>
        <v>#REF!</v>
      </c>
      <c r="BC98" s="1" t="e">
        <f>BB98/VLOOKUP(A98,'[56]geoMap (53)'!$A:$B,2,0)*VLOOKUP(A98,'[56]geoMap (53)'!$A:$C,3,0)</f>
        <v>#REF!</v>
      </c>
      <c r="BD98" s="1" t="e">
        <f>BC98/VLOOKUP(A98,'[57]geoMap (54)'!$A:$B,2,0)*VLOOKUP(A98,'[57]geoMap (54)'!$A:$C,3,0)</f>
        <v>#REF!</v>
      </c>
      <c r="BE98" s="1" t="e">
        <f>BD98/VLOOKUP(A98,'[58]geoMap (55)'!$A:$B,2,0)*VLOOKUP(A98,'[58]geoMap (55)'!$A:$C,3,0)</f>
        <v>#REF!</v>
      </c>
      <c r="BF98" s="1" t="e">
        <f>BE98/VLOOKUP(A98,'[59]geoMap (56)'!$A:$B,2,0)*VLOOKUP(A98,'[59]geoMap (56)'!$A:$C,3,0)</f>
        <v>#REF!</v>
      </c>
      <c r="BG98" s="1" t="e">
        <f>BF98/VLOOKUP(A98,'[60]geoMap (57)'!$A:$B,2,0)*VLOOKUP(A98,'[60]geoMap (57)'!$A:$C,3,0)</f>
        <v>#REF!</v>
      </c>
      <c r="BH98" s="1" t="e">
        <f>BG98/VLOOKUP(A98,'[61]geoMap (58)'!$A:$B,2,0)*VLOOKUP(A98,'[61]geoMap (58)'!$A:$C,3,0)</f>
        <v>#REF!</v>
      </c>
      <c r="BI98" s="1" t="e">
        <f>BH98/VLOOKUP(A98,'[62]geoMap (59)'!$A:$B,2,0)*VLOOKUP(A98,'[62]geoMap (59)'!$A:$C,3,0)</f>
        <v>#REF!</v>
      </c>
      <c r="BJ98" s="1" t="e">
        <f>BI98/VLOOKUP(A98,'[63]geoMap (60)'!$A:$B,2,0)*VLOOKUP(A98,'[63]geoMap (60)'!$A:$C,3,0)</f>
        <v>#REF!</v>
      </c>
      <c r="BK98" s="1" t="e">
        <f>BJ98/VLOOKUP(A98,'[64]geoMap (61)'!$A:$B,2,0)*VLOOKUP(A98,'[64]geoMap (61)'!$A:$C,3,0)</f>
        <v>#REF!</v>
      </c>
      <c r="BL98" s="1" t="e">
        <f>BK98/VLOOKUP(A98,'[65]geoMap (62)'!$A:$B,2,0)*VLOOKUP(A98,'[65]geoMap (62)'!$A:$C,3,0)</f>
        <v>#REF!</v>
      </c>
      <c r="BM98" s="1" t="e">
        <f>BL98/VLOOKUP(A98,'[66]geoMap (63)'!$A:$B,2,0)*VLOOKUP(A98,'[66]geoMap (63)'!$A:$C,3,0)</f>
        <v>#REF!</v>
      </c>
      <c r="BN98" s="1" t="e">
        <f>BM98/VLOOKUP(A98,'[67]geoMap (64)'!$A:$B,2,0)*VLOOKUP(A98,'[67]geoMap (64)'!$A:$C,3,0)</f>
        <v>#REF!</v>
      </c>
      <c r="BO98" s="1" t="e">
        <f>BN98/VLOOKUP(A98,'[68]geoMap (65)'!$A:$B,2,0)*VLOOKUP(A98,'[68]geoMap (65)'!$A:$C,3,0)</f>
        <v>#REF!</v>
      </c>
      <c r="BP98" s="1" t="e">
        <f>BO98/VLOOKUP(A98,'[69]geoMap (66)'!$A:$B,2,0)*VLOOKUP(A98,'[69]geoMap (66)'!$A:$C,3,0)</f>
        <v>#REF!</v>
      </c>
    </row>
    <row r="99" spans="1:68" hidden="1" x14ac:dyDescent="0.2">
      <c r="A99" s="1" t="s">
        <v>39</v>
      </c>
      <c r="B99" s="1" t="e">
        <f>VLOOKUP(A99,[3]geoMap!$A:$B,2,0)*Notes!$C$6</f>
        <v>#REF!</v>
      </c>
      <c r="C99" s="1" t="e">
        <f>B99/VLOOKUP(A99,'[4]geoMap (1)'!$A:$B,2,0)*VLOOKUP(A99,'[4]geoMap (1)'!$A:$C,3,0)</f>
        <v>#REF!</v>
      </c>
      <c r="D99" s="1" t="e">
        <f>C99/VLOOKUP(A99,'[5]geoMap (2)'!$A:$B,2,0)*VLOOKUP(A99,'[5]geoMap (2)'!$A:$C,3,0)</f>
        <v>#REF!</v>
      </c>
      <c r="E99" s="1" t="e">
        <f>D99/VLOOKUP(A99,'[6]geoMap (3)'!$A:$B,2,0)*VLOOKUP(A99,'[6]geoMap (3)'!$A:$C,3,0)</f>
        <v>#REF!</v>
      </c>
      <c r="F99" s="1" t="e">
        <f>E99/VLOOKUP(A99,'[7]geoMap (4)'!$A:$B,2,0)*VLOOKUP(A99,'[7]geoMap (4)'!$A:$C,3,0)</f>
        <v>#REF!</v>
      </c>
      <c r="G99" s="1" t="e">
        <f>F99/VLOOKUP(A99,'[8]geoMap (5)'!$A:$B,2,0)*VLOOKUP(A99,'[8]geoMap (5)'!$A:$C,3,0)</f>
        <v>#REF!</v>
      </c>
      <c r="H99" s="1" t="e">
        <f>G99/VLOOKUP(A99,'[9]geoMap (6)'!$A:$B,2,0)*VLOOKUP(A99,'[9]geoMap (6)'!$A:$C,3,0)</f>
        <v>#REF!</v>
      </c>
      <c r="I99" s="1" t="e">
        <f>H99/VLOOKUP(A99,'[10]geoMap (7)'!$A:$B,2,0)*VLOOKUP(A99,'[10]geoMap (7)'!$A:$C,3,0)</f>
        <v>#REF!</v>
      </c>
      <c r="J99" s="1" t="e">
        <f>I99/VLOOKUP(A99,'[11]geoMap (8)'!$A:$B,2,0)*VLOOKUP(A99,'[11]geoMap (8)'!$A:$C,3,0)</f>
        <v>#REF!</v>
      </c>
      <c r="K99" s="1" t="e">
        <f>J99/VLOOKUP(A99,'[12]geoMap (9)'!$A:$B,2,0)*VLOOKUP(A99,'[12]geoMap (9)'!$A:$C,3,0)</f>
        <v>#REF!</v>
      </c>
      <c r="L99" s="1" t="e">
        <f>K99/VLOOKUP(A99,'[13]geoMap (10)'!$A:$B,2,0)*VLOOKUP(A99,'[13]geoMap (10)'!$A:$C,3,0)</f>
        <v>#REF!</v>
      </c>
      <c r="M99" s="1" t="e">
        <f>L99/VLOOKUP(A99,'[14]geoMap (11)'!$A:$B,2,0)*VLOOKUP(A99,'[14]geoMap (11)'!$A:$C,3,0)</f>
        <v>#REF!</v>
      </c>
      <c r="N99" s="1" t="e">
        <f>M99/VLOOKUP(A99,'[15]geoMap (12)'!$A:$B,2,0)*VLOOKUP(A99,'[15]geoMap (12)'!$A:$C,3,0)</f>
        <v>#REF!</v>
      </c>
      <c r="O99" s="1" t="e">
        <f>N99/VLOOKUP(A99,'[16]geoMap (13)'!$A:$B,2,0)*VLOOKUP(A99,'[16]geoMap (13)'!$A:$C,3,0)</f>
        <v>#REF!</v>
      </c>
      <c r="P99" s="1" t="e">
        <f>O99/VLOOKUP(A99,'[17]geoMap (14)'!$A:$B,2,0)*VLOOKUP(A99,'[17]geoMap (14)'!$A:$C,3,0)</f>
        <v>#REF!</v>
      </c>
      <c r="Q99" s="1" t="e">
        <f>P99/VLOOKUP(A99,'[18]geoMap (15)'!$A:$B,2,0)*VLOOKUP(A99,'[18]geoMap (15)'!$A:$C,3,0)</f>
        <v>#REF!</v>
      </c>
      <c r="R99" s="1" t="e">
        <f>Q99/VLOOKUP(A99,'[19]geoMap (16)'!$A:$B,2,0)*VLOOKUP(A99,'[19]geoMap (16)'!$A:$C,3,0)</f>
        <v>#REF!</v>
      </c>
      <c r="S99" s="1" t="e">
        <f>R99/VLOOKUP(A99,'[20]geoMap (17)'!$A:$B,2,0)*VLOOKUP(A99,'[20]geoMap (17)'!$A:$C,3,0)</f>
        <v>#REF!</v>
      </c>
      <c r="T99" s="1" t="e">
        <f>S99/VLOOKUP(A99,'[21]geoMap (18)'!$A:$B,2,0)*VLOOKUP(A99,'[21]geoMap (18)'!$A:$C,3,0)</f>
        <v>#REF!</v>
      </c>
      <c r="U99" s="1" t="e">
        <f>T99/VLOOKUP(A99,'[22]geoMap (19)'!$A:$B,2,0)*VLOOKUP(A99,'[22]geoMap (19)'!$A:$C,3,0)</f>
        <v>#REF!</v>
      </c>
      <c r="V99" s="1" t="e">
        <f>U99/VLOOKUP(A99,'[23]geoMap (20)'!$A:$B,2,0)*VLOOKUP(A99,'[23]geoMap (20)'!$A:$C,3,0)</f>
        <v>#REF!</v>
      </c>
      <c r="W99" s="1" t="e">
        <f>V99/VLOOKUP(A99,'[24]geoMap (21)'!$A:$B,2,0)*VLOOKUP(A99,'[24]geoMap (21)'!$A:$C,3,0)</f>
        <v>#REF!</v>
      </c>
      <c r="X99" s="1" t="e">
        <f>W99/VLOOKUP(A99,'[25]geoMap (22)'!$A:$B,2,0)*VLOOKUP(A99,'[25]geoMap (22)'!$A:$C,3,0)</f>
        <v>#REF!</v>
      </c>
      <c r="Y99" s="1" t="e">
        <f>X99/VLOOKUP(A99,'[26]geoMap (23)'!$A:$B,2,0)*VLOOKUP(A99,'[26]geoMap (23)'!$A:$C,3,0)</f>
        <v>#REF!</v>
      </c>
      <c r="Z99" s="1" t="e">
        <f>Y99/VLOOKUP(A99,'[27]geoMap (24)'!$A:$B,2,0)*VLOOKUP(A99,'[27]geoMap (24)'!$A:$C,3,0)</f>
        <v>#REF!</v>
      </c>
      <c r="AA99" s="1" t="e">
        <f>Z99/VLOOKUP(A99,'[28]geoMap (25)'!$A:$B,2,0)*VLOOKUP(A99,'[28]geoMap (25)'!$A:$C,3,0)</f>
        <v>#REF!</v>
      </c>
      <c r="AB99" s="1" t="e">
        <f>AA99*VLOOKUP(A99,'[29]geoMap (26)'!$A:$B,2,0)*VLOOKUP(A99,'[29]geoMap (26)'!$A:$C,3,0)</f>
        <v>#REF!</v>
      </c>
      <c r="AC99" s="1" t="e">
        <f>AB99/VLOOKUP(A99,'[30]geoMap (27)'!$A:$B,2,0)*VLOOKUP(A99,'[30]geoMap (27)'!$A:$C,3,0)</f>
        <v>#REF!</v>
      </c>
      <c r="AD99" s="1" t="e">
        <f>AC99/VLOOKUP(A99,'[31]geoMap (28)'!$A:$B,2,0)*VLOOKUP(A99,'[31]geoMap (28)'!$A:$C,3,0)</f>
        <v>#REF!</v>
      </c>
      <c r="AE99" s="1" t="e">
        <f>AD99/VLOOKUP(A99,'[32]geoMap (29)'!$A:$B,2,0)*VLOOKUP(A99,'[32]geoMap (29)'!$A:$C,3,0)</f>
        <v>#REF!</v>
      </c>
      <c r="AF99" s="1" t="e">
        <f>AE99/VLOOKUP(A99,'[33]geoMap (30)'!$A:$B,2,0)*VLOOKUP(A99,'[33]geoMap (30)'!$A:$C,3,0)</f>
        <v>#REF!</v>
      </c>
      <c r="AG99" s="1" t="e">
        <f>AF99/VLOOKUP(A99,'[34]geoMap (31)'!$A:$B,2,0)*VLOOKUP(A99,'[34]geoMap (31)'!$A:$C,3,0)</f>
        <v>#REF!</v>
      </c>
      <c r="AH99" s="1" t="e">
        <f>AG99/VLOOKUP(A99,'[35]geoMap (32)'!$A:$B,2,0)*VLOOKUP(A99,'[35]geoMap (32)'!$A:$C,3,0)</f>
        <v>#REF!</v>
      </c>
      <c r="AI99" s="1" t="e">
        <f>AH99/VLOOKUP(A99,'[36]geoMap (33)'!$A:$B,2,0)*VLOOKUP(A99,'[36]geoMap (33)'!$A:$C,3,0)</f>
        <v>#REF!</v>
      </c>
      <c r="AJ99" s="1" t="e">
        <f>AI99/VLOOKUP(A99,'[37]geoMap (34)'!$A:$B,2,0)*VLOOKUP(A99,'[37]geoMap (34)'!$A:$C,3,0)</f>
        <v>#REF!</v>
      </c>
      <c r="AK99" s="1" t="e">
        <f>AJ99/VLOOKUP(A99,'[38]geoMap (35)'!$A:$B,2,0)*VLOOKUP(A99,'[38]geoMap (35)'!$A:$C,3,0)</f>
        <v>#REF!</v>
      </c>
      <c r="AL99" s="1" t="e">
        <f>AK99/VLOOKUP(A99,'[39]geoMap (36)'!$A:$B,2,0)*VLOOKUP(A99,'[39]geoMap (36)'!$A:$C,3,0)</f>
        <v>#REF!</v>
      </c>
      <c r="AM99" s="1" t="e">
        <f>AL99/VLOOKUP(A99,'[40]geoMap (37)'!$A:$B,2,0)*VLOOKUP(A99,'[40]geoMap (37)'!$A:$C,3,0)</f>
        <v>#REF!</v>
      </c>
      <c r="AN99" s="1" t="e">
        <f>AM99/VLOOKUP(A99,'[41]geoMap (38)'!$A:$B,2,0)*VLOOKUP(A99,'[41]geoMap (38)'!$A:$C,3,0)</f>
        <v>#REF!</v>
      </c>
      <c r="AO99" s="1" t="e">
        <f>AN99/VLOOKUP(A99,'[42]geoMap (39)'!$A:$B,2,0)*VLOOKUP(A99,'[42]geoMap (39)'!$A:$C,3,0)</f>
        <v>#REF!</v>
      </c>
      <c r="AP99" s="1" t="e">
        <f>AO99/VLOOKUP(A99,'[43]geoMap (40)'!$A:$B,2,0)*VLOOKUP(A99,'[43]geoMap (40)'!$A:$C,3,0)</f>
        <v>#REF!</v>
      </c>
      <c r="AQ99" s="1" t="e">
        <f>AP99/VLOOKUP(A99,'[44]geoMap (41)'!$A:$B,2,0)*VLOOKUP(A99,'[44]geoMap (41)'!$A:$C,3,0)</f>
        <v>#REF!</v>
      </c>
      <c r="AR99" s="1" t="e">
        <f>AQ99/VLOOKUP(A99,'[45]geoMap (42)'!$A:$B,2,0)*VLOOKUP(A99,'[45]geoMap (42)'!$A:$C,3,0)</f>
        <v>#REF!</v>
      </c>
      <c r="AS99" s="1" t="e">
        <f>AR99/VLOOKUP(A99,'[46]geoMap (43)'!$A:$B,2,0)*VLOOKUP(A99,'[46]geoMap (43)'!$A:$C,3,0)</f>
        <v>#REF!</v>
      </c>
      <c r="AT99" s="1" t="e">
        <f>AS99/VLOOKUP(A99,'[47]geoMap (44)'!$A:$B,2,0)*VLOOKUP(A99,'[47]geoMap (44)'!$A:$C,3,0)</f>
        <v>#REF!</v>
      </c>
      <c r="AU99" s="1" t="e">
        <f>AT99/VLOOKUP(A99,'[48]geoMap (45)'!$A:$B,2,0)*VLOOKUP(A99,'[48]geoMap (45)'!$A:$C,3,0)</f>
        <v>#REF!</v>
      </c>
      <c r="AV99" s="1" t="e">
        <f>AU99/VLOOKUP(A99,'[49]geoMap (46)'!$A:$B,2,0)*VLOOKUP(A99,'[49]geoMap (46)'!$A:$C,3,0)</f>
        <v>#REF!</v>
      </c>
      <c r="AW99" s="1" t="e">
        <f>AV99/VLOOKUP(A99,'[50]geoMap (47)'!$A:$B,2,0)*VLOOKUP(A99,'[50]geoMap (47)'!$A:$C,3,0)</f>
        <v>#REF!</v>
      </c>
      <c r="AX99" s="1" t="e">
        <f>AW99/VLOOKUP(A99,'[51]geoMap (48)'!$A:$B,2,0)*VLOOKUP(A99,'[51]geoMap (48)'!$A:$C,3,0)</f>
        <v>#REF!</v>
      </c>
      <c r="AY99" s="1" t="e">
        <f>AX99/VLOOKUP(A99,'[52]geoMap (49)'!$A:$B,2,0)*VLOOKUP(A99,'[52]geoMap (49)'!$A:$C,3,0)</f>
        <v>#REF!</v>
      </c>
      <c r="AZ99" s="1" t="e">
        <f>AY99/VLOOKUP(A99,'[53]geoMap (50)'!$A:$B,2,0)*VLOOKUP(A99,'[53]geoMap (50)'!$A:$C,3,0)</f>
        <v>#REF!</v>
      </c>
      <c r="BA99" s="1" t="e">
        <f>AZ99/VLOOKUP(A99,'[54]geoMap (51)'!$A:$B,2,0)*VLOOKUP(A99,'[54]geoMap (51)'!$A:$C,3,0)</f>
        <v>#REF!</v>
      </c>
      <c r="BB99" s="1" t="e">
        <f>BA99/VLOOKUP(A99,'[55]geoMap (52)'!$A:$B,2,0)*VLOOKUP(A99,'[55]geoMap (52)'!$A:$C,3,0)</f>
        <v>#REF!</v>
      </c>
      <c r="BC99" s="1" t="e">
        <f>BB99/VLOOKUP(A99,'[56]geoMap (53)'!$A:$B,2,0)*VLOOKUP(A99,'[56]geoMap (53)'!$A:$C,3,0)</f>
        <v>#REF!</v>
      </c>
      <c r="BD99" s="1" t="e">
        <f>BC99/VLOOKUP(A99,'[57]geoMap (54)'!$A:$B,2,0)*VLOOKUP(A99,'[57]geoMap (54)'!$A:$C,3,0)</f>
        <v>#REF!</v>
      </c>
      <c r="BE99" s="1" t="e">
        <f>BD99/VLOOKUP(A99,'[58]geoMap (55)'!$A:$B,2,0)*VLOOKUP(A99,'[58]geoMap (55)'!$A:$C,3,0)</f>
        <v>#REF!</v>
      </c>
      <c r="BF99" s="1" t="e">
        <f>BE99/VLOOKUP(A99,'[59]geoMap (56)'!$A:$B,2,0)*VLOOKUP(A99,'[59]geoMap (56)'!$A:$C,3,0)</f>
        <v>#REF!</v>
      </c>
      <c r="BG99" s="1" t="e">
        <f>BF99/VLOOKUP(A99,'[60]geoMap (57)'!$A:$B,2,0)*VLOOKUP(A99,'[60]geoMap (57)'!$A:$C,3,0)</f>
        <v>#REF!</v>
      </c>
      <c r="BH99" s="1" t="e">
        <f>BG99/VLOOKUP(A99,'[61]geoMap (58)'!$A:$B,2,0)*VLOOKUP(A99,'[61]geoMap (58)'!$A:$C,3,0)</f>
        <v>#REF!</v>
      </c>
      <c r="BI99" s="1" t="e">
        <f>BH99/VLOOKUP(A99,'[62]geoMap (59)'!$A:$B,2,0)*VLOOKUP(A99,'[62]geoMap (59)'!$A:$C,3,0)</f>
        <v>#REF!</v>
      </c>
      <c r="BJ99" s="1" t="e">
        <f>BI99/VLOOKUP(A99,'[63]geoMap (60)'!$A:$B,2,0)*VLOOKUP(A99,'[63]geoMap (60)'!$A:$C,3,0)</f>
        <v>#REF!</v>
      </c>
      <c r="BK99" s="1" t="e">
        <f>BJ99/VLOOKUP(A99,'[64]geoMap (61)'!$A:$B,2,0)*VLOOKUP(A99,'[64]geoMap (61)'!$A:$C,3,0)</f>
        <v>#REF!</v>
      </c>
      <c r="BL99" s="1" t="e">
        <f>BK99/VLOOKUP(A99,'[65]geoMap (62)'!$A:$B,2,0)*VLOOKUP(A99,'[65]geoMap (62)'!$A:$C,3,0)</f>
        <v>#REF!</v>
      </c>
      <c r="BM99" s="1" t="e">
        <f>BL99/VLOOKUP(A99,'[66]geoMap (63)'!$A:$B,2,0)*VLOOKUP(A99,'[66]geoMap (63)'!$A:$C,3,0)</f>
        <v>#REF!</v>
      </c>
      <c r="BN99" s="1" t="e">
        <f>BM99/VLOOKUP(A99,'[67]geoMap (64)'!$A:$B,2,0)*VLOOKUP(A99,'[67]geoMap (64)'!$A:$C,3,0)</f>
        <v>#REF!</v>
      </c>
      <c r="BO99" s="1" t="e">
        <f>BN99/VLOOKUP(A99,'[68]geoMap (65)'!$A:$B,2,0)*VLOOKUP(A99,'[68]geoMap (65)'!$A:$C,3,0)</f>
        <v>#REF!</v>
      </c>
      <c r="BP99" s="1" t="e">
        <f>BO99/VLOOKUP(A99,'[69]geoMap (66)'!$A:$B,2,0)*VLOOKUP(A99,'[69]geoMap (66)'!$A:$C,3,0)</f>
        <v>#REF!</v>
      </c>
    </row>
    <row r="100" spans="1:68" hidden="1" x14ac:dyDescent="0.2">
      <c r="A100" s="1" t="s">
        <v>40</v>
      </c>
      <c r="B100" s="1" t="e">
        <f>VLOOKUP(A100,[3]geoMap!$A:$B,2,0)*Notes!$C$6</f>
        <v>#REF!</v>
      </c>
      <c r="C100" s="1" t="e">
        <f>B100/VLOOKUP(A100,'[4]geoMap (1)'!$A:$B,2,0)*VLOOKUP(A100,'[4]geoMap (1)'!$A:$C,3,0)</f>
        <v>#REF!</v>
      </c>
      <c r="D100" s="1" t="e">
        <f>C100/VLOOKUP(A100,'[5]geoMap (2)'!$A:$B,2,0)*VLOOKUP(A100,'[5]geoMap (2)'!$A:$C,3,0)</f>
        <v>#REF!</v>
      </c>
      <c r="E100" s="1" t="e">
        <f>D100/VLOOKUP(A100,'[6]geoMap (3)'!$A:$B,2,0)*VLOOKUP(A100,'[6]geoMap (3)'!$A:$C,3,0)</f>
        <v>#REF!</v>
      </c>
      <c r="F100" s="1" t="e">
        <f>E100/VLOOKUP(A100,'[7]geoMap (4)'!$A:$B,2,0)*VLOOKUP(A100,'[7]geoMap (4)'!$A:$C,3,0)</f>
        <v>#REF!</v>
      </c>
      <c r="G100" s="1" t="e">
        <f>F100/VLOOKUP(A100,'[8]geoMap (5)'!$A:$B,2,0)*VLOOKUP(A100,'[8]geoMap (5)'!$A:$C,3,0)</f>
        <v>#REF!</v>
      </c>
      <c r="H100" s="1" t="e">
        <f>G100/VLOOKUP(A100,'[9]geoMap (6)'!$A:$B,2,0)*VLOOKUP(A100,'[9]geoMap (6)'!$A:$C,3,0)</f>
        <v>#REF!</v>
      </c>
      <c r="I100" s="1" t="e">
        <f>H100/VLOOKUP(A100,'[10]geoMap (7)'!$A:$B,2,0)*VLOOKUP(A100,'[10]geoMap (7)'!$A:$C,3,0)</f>
        <v>#REF!</v>
      </c>
      <c r="J100" s="1" t="e">
        <f>I100/VLOOKUP(A100,'[11]geoMap (8)'!$A:$B,2,0)*VLOOKUP(A100,'[11]geoMap (8)'!$A:$C,3,0)</f>
        <v>#REF!</v>
      </c>
      <c r="K100" s="1" t="e">
        <f>J100/VLOOKUP(A100,'[12]geoMap (9)'!$A:$B,2,0)*VLOOKUP(A100,'[12]geoMap (9)'!$A:$C,3,0)</f>
        <v>#REF!</v>
      </c>
      <c r="L100" s="1" t="e">
        <f>K100/VLOOKUP(A100,'[13]geoMap (10)'!$A:$B,2,0)*VLOOKUP(A100,'[13]geoMap (10)'!$A:$C,3,0)</f>
        <v>#REF!</v>
      </c>
      <c r="M100" s="1" t="e">
        <f>L100/VLOOKUP(A100,'[14]geoMap (11)'!$A:$B,2,0)*VLOOKUP(A100,'[14]geoMap (11)'!$A:$C,3,0)</f>
        <v>#REF!</v>
      </c>
      <c r="N100" s="1" t="e">
        <f>M100/VLOOKUP(A100,'[15]geoMap (12)'!$A:$B,2,0)*VLOOKUP(A100,'[15]geoMap (12)'!$A:$C,3,0)</f>
        <v>#REF!</v>
      </c>
      <c r="O100" s="1" t="e">
        <f>N100/VLOOKUP(A100,'[16]geoMap (13)'!$A:$B,2,0)*VLOOKUP(A100,'[16]geoMap (13)'!$A:$C,3,0)</f>
        <v>#REF!</v>
      </c>
      <c r="P100" s="1" t="e">
        <f>O100/VLOOKUP(A100,'[17]geoMap (14)'!$A:$B,2,0)*VLOOKUP(A100,'[17]geoMap (14)'!$A:$C,3,0)</f>
        <v>#REF!</v>
      </c>
      <c r="Q100" s="1" t="e">
        <f>P100/VLOOKUP(A100,'[18]geoMap (15)'!$A:$B,2,0)*VLOOKUP(A100,'[18]geoMap (15)'!$A:$C,3,0)</f>
        <v>#REF!</v>
      </c>
      <c r="R100" s="1" t="e">
        <f>Q100/VLOOKUP(A100,'[19]geoMap (16)'!$A:$B,2,0)*VLOOKUP(A100,'[19]geoMap (16)'!$A:$C,3,0)</f>
        <v>#REF!</v>
      </c>
      <c r="S100" s="1" t="e">
        <f>R100/VLOOKUP(A100,'[20]geoMap (17)'!$A:$B,2,0)*VLOOKUP(A100,'[20]geoMap (17)'!$A:$C,3,0)</f>
        <v>#REF!</v>
      </c>
      <c r="T100" s="1" t="e">
        <f>S100/VLOOKUP(A100,'[21]geoMap (18)'!$A:$B,2,0)*VLOOKUP(A100,'[21]geoMap (18)'!$A:$C,3,0)</f>
        <v>#REF!</v>
      </c>
      <c r="U100" s="1" t="e">
        <f>T100/VLOOKUP(A100,'[22]geoMap (19)'!$A:$B,2,0)*VLOOKUP(A100,'[22]geoMap (19)'!$A:$C,3,0)</f>
        <v>#REF!</v>
      </c>
      <c r="V100" s="1" t="e">
        <f>U100/VLOOKUP(A100,'[23]geoMap (20)'!$A:$B,2,0)*VLOOKUP(A100,'[23]geoMap (20)'!$A:$C,3,0)</f>
        <v>#REF!</v>
      </c>
      <c r="W100" s="1" t="e">
        <f>V100/VLOOKUP(A100,'[24]geoMap (21)'!$A:$B,2,0)*VLOOKUP(A100,'[24]geoMap (21)'!$A:$C,3,0)</f>
        <v>#REF!</v>
      </c>
      <c r="X100" s="1" t="e">
        <f>W100/VLOOKUP(A100,'[25]geoMap (22)'!$A:$B,2,0)*VLOOKUP(A100,'[25]geoMap (22)'!$A:$C,3,0)</f>
        <v>#REF!</v>
      </c>
      <c r="Y100" s="1" t="e">
        <f>X100/VLOOKUP(A100,'[26]geoMap (23)'!$A:$B,2,0)*VLOOKUP(A100,'[26]geoMap (23)'!$A:$C,3,0)</f>
        <v>#REF!</v>
      </c>
      <c r="Z100" s="1" t="e">
        <f>Y100/VLOOKUP(A100,'[27]geoMap (24)'!$A:$B,2,0)*VLOOKUP(A100,'[27]geoMap (24)'!$A:$C,3,0)</f>
        <v>#REF!</v>
      </c>
      <c r="AA100" s="1" t="e">
        <f>Z100/VLOOKUP(A100,'[28]geoMap (25)'!$A:$B,2,0)*VLOOKUP(A100,'[28]geoMap (25)'!$A:$C,3,0)</f>
        <v>#REF!</v>
      </c>
      <c r="AB100" s="1" t="e">
        <f>AA100*VLOOKUP(A100,'[29]geoMap (26)'!$A:$B,2,0)*VLOOKUP(A100,'[29]geoMap (26)'!$A:$C,3,0)</f>
        <v>#REF!</v>
      </c>
      <c r="AC100" s="1" t="e">
        <f>AB100/VLOOKUP(A100,'[30]geoMap (27)'!$A:$B,2,0)*VLOOKUP(A100,'[30]geoMap (27)'!$A:$C,3,0)</f>
        <v>#REF!</v>
      </c>
      <c r="AD100" s="1" t="e">
        <f>AC100/VLOOKUP(A100,'[31]geoMap (28)'!$A:$B,2,0)*VLOOKUP(A100,'[31]geoMap (28)'!$A:$C,3,0)</f>
        <v>#REF!</v>
      </c>
      <c r="AE100" s="1" t="e">
        <f>AD100/VLOOKUP(A100,'[32]geoMap (29)'!$A:$B,2,0)*VLOOKUP(A100,'[32]geoMap (29)'!$A:$C,3,0)</f>
        <v>#REF!</v>
      </c>
      <c r="AF100" s="1" t="e">
        <f>AE100/VLOOKUP(A100,'[33]geoMap (30)'!$A:$B,2,0)*VLOOKUP(A100,'[33]geoMap (30)'!$A:$C,3,0)</f>
        <v>#REF!</v>
      </c>
      <c r="AG100" s="1" t="e">
        <f>AF100/VLOOKUP(A100,'[34]geoMap (31)'!$A:$B,2,0)*VLOOKUP(A100,'[34]geoMap (31)'!$A:$C,3,0)</f>
        <v>#REF!</v>
      </c>
      <c r="AH100" s="1" t="e">
        <f>AG100/VLOOKUP(A100,'[35]geoMap (32)'!$A:$B,2,0)*VLOOKUP(A100,'[35]geoMap (32)'!$A:$C,3,0)</f>
        <v>#REF!</v>
      </c>
      <c r="AI100" s="1" t="e">
        <f>AH100/VLOOKUP(A100,'[36]geoMap (33)'!$A:$B,2,0)*VLOOKUP(A100,'[36]geoMap (33)'!$A:$C,3,0)</f>
        <v>#REF!</v>
      </c>
      <c r="AJ100" s="1" t="e">
        <f>AI100/VLOOKUP(A100,'[37]geoMap (34)'!$A:$B,2,0)*VLOOKUP(A100,'[37]geoMap (34)'!$A:$C,3,0)</f>
        <v>#REF!</v>
      </c>
      <c r="AK100" s="1" t="e">
        <f>AJ100/VLOOKUP(A100,'[38]geoMap (35)'!$A:$B,2,0)*VLOOKUP(A100,'[38]geoMap (35)'!$A:$C,3,0)</f>
        <v>#REF!</v>
      </c>
      <c r="AL100" s="1" t="e">
        <f>AK100/VLOOKUP(A100,'[39]geoMap (36)'!$A:$B,2,0)*VLOOKUP(A100,'[39]geoMap (36)'!$A:$C,3,0)</f>
        <v>#REF!</v>
      </c>
      <c r="AM100" s="1" t="e">
        <f>AL100/VLOOKUP(A100,'[40]geoMap (37)'!$A:$B,2,0)*VLOOKUP(A100,'[40]geoMap (37)'!$A:$C,3,0)</f>
        <v>#REF!</v>
      </c>
      <c r="AN100" s="1" t="e">
        <f>AM100/VLOOKUP(A100,'[41]geoMap (38)'!$A:$B,2,0)*VLOOKUP(A100,'[41]geoMap (38)'!$A:$C,3,0)</f>
        <v>#REF!</v>
      </c>
      <c r="AO100" s="1" t="e">
        <f>AN100/VLOOKUP(A100,'[42]geoMap (39)'!$A:$B,2,0)*VLOOKUP(A100,'[42]geoMap (39)'!$A:$C,3,0)</f>
        <v>#REF!</v>
      </c>
      <c r="AP100" s="1" t="e">
        <f>AO100/VLOOKUP(A100,'[43]geoMap (40)'!$A:$B,2,0)*VLOOKUP(A100,'[43]geoMap (40)'!$A:$C,3,0)</f>
        <v>#REF!</v>
      </c>
      <c r="AQ100" s="1" t="e">
        <f>AP100/VLOOKUP(A100,'[44]geoMap (41)'!$A:$B,2,0)*VLOOKUP(A100,'[44]geoMap (41)'!$A:$C,3,0)</f>
        <v>#REF!</v>
      </c>
      <c r="AR100" s="1" t="e">
        <f>AQ100/VLOOKUP(A100,'[45]geoMap (42)'!$A:$B,2,0)*VLOOKUP(A100,'[45]geoMap (42)'!$A:$C,3,0)</f>
        <v>#REF!</v>
      </c>
      <c r="AS100" s="1" t="e">
        <f>AR100/VLOOKUP(A100,'[46]geoMap (43)'!$A:$B,2,0)*VLOOKUP(A100,'[46]geoMap (43)'!$A:$C,3,0)</f>
        <v>#REF!</v>
      </c>
      <c r="AT100" s="1" t="e">
        <f>AS100/VLOOKUP(A100,'[47]geoMap (44)'!$A:$B,2,0)*VLOOKUP(A100,'[47]geoMap (44)'!$A:$C,3,0)</f>
        <v>#REF!</v>
      </c>
      <c r="AU100" s="1" t="e">
        <f>AT100/VLOOKUP(A100,'[48]geoMap (45)'!$A:$B,2,0)*VLOOKUP(A100,'[48]geoMap (45)'!$A:$C,3,0)</f>
        <v>#REF!</v>
      </c>
      <c r="AV100" s="1" t="e">
        <f>AU100/VLOOKUP(A100,'[49]geoMap (46)'!$A:$B,2,0)*VLOOKUP(A100,'[49]geoMap (46)'!$A:$C,3,0)</f>
        <v>#REF!</v>
      </c>
      <c r="AW100" s="1" t="e">
        <f>AV100/VLOOKUP(A100,'[50]geoMap (47)'!$A:$B,2,0)*VLOOKUP(A100,'[50]geoMap (47)'!$A:$C,3,0)</f>
        <v>#REF!</v>
      </c>
      <c r="AX100" s="1" t="e">
        <f>AW100/VLOOKUP(A100,'[51]geoMap (48)'!$A:$B,2,0)*VLOOKUP(A100,'[51]geoMap (48)'!$A:$C,3,0)</f>
        <v>#REF!</v>
      </c>
      <c r="AY100" s="1" t="e">
        <f>AX100/VLOOKUP(A100,'[52]geoMap (49)'!$A:$B,2,0)*VLOOKUP(A100,'[52]geoMap (49)'!$A:$C,3,0)</f>
        <v>#REF!</v>
      </c>
      <c r="AZ100" s="1" t="e">
        <f>AY100/VLOOKUP(A100,'[53]geoMap (50)'!$A:$B,2,0)*VLOOKUP(A100,'[53]geoMap (50)'!$A:$C,3,0)</f>
        <v>#REF!</v>
      </c>
      <c r="BA100" s="1" t="e">
        <f>AZ100/VLOOKUP(A100,'[54]geoMap (51)'!$A:$B,2,0)*VLOOKUP(A100,'[54]geoMap (51)'!$A:$C,3,0)</f>
        <v>#REF!</v>
      </c>
      <c r="BB100" s="1" t="e">
        <f>BA100/VLOOKUP(A100,'[55]geoMap (52)'!$A:$B,2,0)*VLOOKUP(A100,'[55]geoMap (52)'!$A:$C,3,0)</f>
        <v>#REF!</v>
      </c>
      <c r="BC100" s="1" t="e">
        <f>BB100/VLOOKUP(A100,'[56]geoMap (53)'!$A:$B,2,0)*VLOOKUP(A100,'[56]geoMap (53)'!$A:$C,3,0)</f>
        <v>#REF!</v>
      </c>
      <c r="BD100" s="1" t="e">
        <f>BC100/VLOOKUP(A100,'[57]geoMap (54)'!$A:$B,2,0)*VLOOKUP(A100,'[57]geoMap (54)'!$A:$C,3,0)</f>
        <v>#REF!</v>
      </c>
      <c r="BE100" s="1" t="e">
        <f>BD100/VLOOKUP(A100,'[58]geoMap (55)'!$A:$B,2,0)*VLOOKUP(A100,'[58]geoMap (55)'!$A:$C,3,0)</f>
        <v>#REF!</v>
      </c>
      <c r="BF100" s="1" t="e">
        <f>BE100/VLOOKUP(A100,'[59]geoMap (56)'!$A:$B,2,0)*VLOOKUP(A100,'[59]geoMap (56)'!$A:$C,3,0)</f>
        <v>#REF!</v>
      </c>
      <c r="BG100" s="1" t="e">
        <f>BF100/VLOOKUP(A100,'[60]geoMap (57)'!$A:$B,2,0)*VLOOKUP(A100,'[60]geoMap (57)'!$A:$C,3,0)</f>
        <v>#REF!</v>
      </c>
      <c r="BH100" s="1" t="e">
        <f>BG100/VLOOKUP(A100,'[61]geoMap (58)'!$A:$B,2,0)*VLOOKUP(A100,'[61]geoMap (58)'!$A:$C,3,0)</f>
        <v>#REF!</v>
      </c>
      <c r="BI100" s="1" t="e">
        <f>BH100/VLOOKUP(A100,'[62]geoMap (59)'!$A:$B,2,0)*VLOOKUP(A100,'[62]geoMap (59)'!$A:$C,3,0)</f>
        <v>#REF!</v>
      </c>
      <c r="BJ100" s="1" t="e">
        <f>BI100/VLOOKUP(A100,'[63]geoMap (60)'!$A:$B,2,0)*VLOOKUP(A100,'[63]geoMap (60)'!$A:$C,3,0)</f>
        <v>#REF!</v>
      </c>
      <c r="BK100" s="1" t="e">
        <f>BJ100/VLOOKUP(A100,'[64]geoMap (61)'!$A:$B,2,0)*VLOOKUP(A100,'[64]geoMap (61)'!$A:$C,3,0)</f>
        <v>#REF!</v>
      </c>
      <c r="BL100" s="1" t="e">
        <f>BK100/VLOOKUP(A100,'[65]geoMap (62)'!$A:$B,2,0)*VLOOKUP(A100,'[65]geoMap (62)'!$A:$C,3,0)</f>
        <v>#REF!</v>
      </c>
      <c r="BM100" s="1" t="e">
        <f>BL100/VLOOKUP(A100,'[66]geoMap (63)'!$A:$B,2,0)*VLOOKUP(A100,'[66]geoMap (63)'!$A:$C,3,0)</f>
        <v>#REF!</v>
      </c>
      <c r="BN100" s="1" t="e">
        <f>BM100/VLOOKUP(A100,'[67]geoMap (64)'!$A:$B,2,0)*VLOOKUP(A100,'[67]geoMap (64)'!$A:$C,3,0)</f>
        <v>#REF!</v>
      </c>
      <c r="BO100" s="1" t="e">
        <f>BN100/VLOOKUP(A100,'[68]geoMap (65)'!$A:$B,2,0)*VLOOKUP(A100,'[68]geoMap (65)'!$A:$C,3,0)</f>
        <v>#REF!</v>
      </c>
      <c r="BP100" s="1" t="e">
        <f>BO100/VLOOKUP(A100,'[69]geoMap (66)'!$A:$B,2,0)*VLOOKUP(A100,'[69]geoMap (66)'!$A:$C,3,0)</f>
        <v>#REF!</v>
      </c>
    </row>
    <row r="101" spans="1:68" hidden="1" x14ac:dyDescent="0.2">
      <c r="A101" s="1" t="s">
        <v>41</v>
      </c>
      <c r="B101" s="1" t="e">
        <f>VLOOKUP(A101,[3]geoMap!$A:$B,2,0)*Notes!$C$6</f>
        <v>#REF!</v>
      </c>
      <c r="C101" s="1" t="e">
        <f>B101/VLOOKUP(A101,'[4]geoMap (1)'!$A:$B,2,0)*VLOOKUP(A101,'[4]geoMap (1)'!$A:$C,3,0)</f>
        <v>#REF!</v>
      </c>
      <c r="D101" s="1" t="e">
        <f>C101/VLOOKUP(A101,'[5]geoMap (2)'!$A:$B,2,0)*VLOOKUP(A101,'[5]geoMap (2)'!$A:$C,3,0)</f>
        <v>#REF!</v>
      </c>
      <c r="E101" s="1" t="e">
        <f>D101/VLOOKUP(A101,'[6]geoMap (3)'!$A:$B,2,0)*VLOOKUP(A101,'[6]geoMap (3)'!$A:$C,3,0)</f>
        <v>#REF!</v>
      </c>
      <c r="F101" s="1" t="e">
        <f>E101/VLOOKUP(A101,'[7]geoMap (4)'!$A:$B,2,0)*VLOOKUP(A101,'[7]geoMap (4)'!$A:$C,3,0)</f>
        <v>#REF!</v>
      </c>
      <c r="G101" s="1" t="e">
        <f>F101/VLOOKUP(A101,'[8]geoMap (5)'!$A:$B,2,0)*VLOOKUP(A101,'[8]geoMap (5)'!$A:$C,3,0)</f>
        <v>#REF!</v>
      </c>
      <c r="H101" s="1" t="e">
        <f>G101/VLOOKUP(A101,'[9]geoMap (6)'!$A:$B,2,0)*VLOOKUP(A101,'[9]geoMap (6)'!$A:$C,3,0)</f>
        <v>#REF!</v>
      </c>
      <c r="I101" s="1" t="e">
        <f>H101/VLOOKUP(A101,'[10]geoMap (7)'!$A:$B,2,0)*VLOOKUP(A101,'[10]geoMap (7)'!$A:$C,3,0)</f>
        <v>#REF!</v>
      </c>
      <c r="J101" s="1" t="e">
        <f>I101/VLOOKUP(A101,'[11]geoMap (8)'!$A:$B,2,0)*VLOOKUP(A101,'[11]geoMap (8)'!$A:$C,3,0)</f>
        <v>#REF!</v>
      </c>
      <c r="K101" s="1" t="e">
        <f>J101/VLOOKUP(A101,'[12]geoMap (9)'!$A:$B,2,0)*VLOOKUP(A101,'[12]geoMap (9)'!$A:$C,3,0)</f>
        <v>#REF!</v>
      </c>
      <c r="L101" s="1" t="e">
        <f>K101/VLOOKUP(A101,'[13]geoMap (10)'!$A:$B,2,0)*VLOOKUP(A101,'[13]geoMap (10)'!$A:$C,3,0)</f>
        <v>#REF!</v>
      </c>
      <c r="M101" s="1" t="e">
        <f>L101/VLOOKUP(A101,'[14]geoMap (11)'!$A:$B,2,0)*VLOOKUP(A101,'[14]geoMap (11)'!$A:$C,3,0)</f>
        <v>#REF!</v>
      </c>
      <c r="N101" s="1" t="e">
        <f>M101/VLOOKUP(A101,'[15]geoMap (12)'!$A:$B,2,0)*VLOOKUP(A101,'[15]geoMap (12)'!$A:$C,3,0)</f>
        <v>#REF!</v>
      </c>
      <c r="O101" s="1" t="e">
        <f>N101/VLOOKUP(A101,'[16]geoMap (13)'!$A:$B,2,0)*VLOOKUP(A101,'[16]geoMap (13)'!$A:$C,3,0)</f>
        <v>#REF!</v>
      </c>
      <c r="P101" s="1" t="e">
        <f>O101/VLOOKUP(A101,'[17]geoMap (14)'!$A:$B,2,0)*VLOOKUP(A101,'[17]geoMap (14)'!$A:$C,3,0)</f>
        <v>#REF!</v>
      </c>
      <c r="Q101" s="1" t="e">
        <f>P101/VLOOKUP(A101,'[18]geoMap (15)'!$A:$B,2,0)*VLOOKUP(A101,'[18]geoMap (15)'!$A:$C,3,0)</f>
        <v>#REF!</v>
      </c>
      <c r="R101" s="1" t="e">
        <f>Q101/VLOOKUP(A101,'[19]geoMap (16)'!$A:$B,2,0)*VLOOKUP(A101,'[19]geoMap (16)'!$A:$C,3,0)</f>
        <v>#REF!</v>
      </c>
      <c r="S101" s="1" t="e">
        <f>R101/VLOOKUP(A101,'[20]geoMap (17)'!$A:$B,2,0)*VLOOKUP(A101,'[20]geoMap (17)'!$A:$C,3,0)</f>
        <v>#REF!</v>
      </c>
      <c r="T101" s="1" t="e">
        <f>S101/VLOOKUP(A101,'[21]geoMap (18)'!$A:$B,2,0)*VLOOKUP(A101,'[21]geoMap (18)'!$A:$C,3,0)</f>
        <v>#REF!</v>
      </c>
      <c r="U101" s="1" t="e">
        <f>T101/VLOOKUP(A101,'[22]geoMap (19)'!$A:$B,2,0)*VLOOKUP(A101,'[22]geoMap (19)'!$A:$C,3,0)</f>
        <v>#REF!</v>
      </c>
      <c r="V101" s="1" t="e">
        <f>U101/VLOOKUP(A101,'[23]geoMap (20)'!$A:$B,2,0)*VLOOKUP(A101,'[23]geoMap (20)'!$A:$C,3,0)</f>
        <v>#REF!</v>
      </c>
      <c r="W101" s="1" t="e">
        <f>V101/VLOOKUP(A101,'[24]geoMap (21)'!$A:$B,2,0)*VLOOKUP(A101,'[24]geoMap (21)'!$A:$C,3,0)</f>
        <v>#REF!</v>
      </c>
      <c r="X101" s="1" t="e">
        <f>W101/VLOOKUP(A101,'[25]geoMap (22)'!$A:$B,2,0)*VLOOKUP(A101,'[25]geoMap (22)'!$A:$C,3,0)</f>
        <v>#REF!</v>
      </c>
      <c r="Y101" s="1" t="e">
        <f>X101/VLOOKUP(A101,'[26]geoMap (23)'!$A:$B,2,0)*VLOOKUP(A101,'[26]geoMap (23)'!$A:$C,3,0)</f>
        <v>#REF!</v>
      </c>
      <c r="Z101" s="1" t="e">
        <f>Y101/VLOOKUP(A101,'[27]geoMap (24)'!$A:$B,2,0)*VLOOKUP(A101,'[27]geoMap (24)'!$A:$C,3,0)</f>
        <v>#REF!</v>
      </c>
      <c r="AA101" s="1" t="e">
        <f>Z101/VLOOKUP(A101,'[28]geoMap (25)'!$A:$B,2,0)*VLOOKUP(A101,'[28]geoMap (25)'!$A:$C,3,0)</f>
        <v>#REF!</v>
      </c>
      <c r="AB101" s="1" t="e">
        <f>AA101*VLOOKUP(A101,'[29]geoMap (26)'!$A:$B,2,0)*VLOOKUP(A101,'[29]geoMap (26)'!$A:$C,3,0)</f>
        <v>#REF!</v>
      </c>
      <c r="AC101" s="1" t="e">
        <f>AB101/VLOOKUP(A101,'[30]geoMap (27)'!$A:$B,2,0)*VLOOKUP(A101,'[30]geoMap (27)'!$A:$C,3,0)</f>
        <v>#REF!</v>
      </c>
      <c r="AD101" s="1" t="e">
        <f>AC101/VLOOKUP(A101,'[31]geoMap (28)'!$A:$B,2,0)*VLOOKUP(A101,'[31]geoMap (28)'!$A:$C,3,0)</f>
        <v>#REF!</v>
      </c>
      <c r="AE101" s="1" t="e">
        <f>AD101/VLOOKUP(A101,'[32]geoMap (29)'!$A:$B,2,0)*VLOOKUP(A101,'[32]geoMap (29)'!$A:$C,3,0)</f>
        <v>#REF!</v>
      </c>
      <c r="AF101" s="1" t="e">
        <f>AE101/VLOOKUP(A101,'[33]geoMap (30)'!$A:$B,2,0)*VLOOKUP(A101,'[33]geoMap (30)'!$A:$C,3,0)</f>
        <v>#REF!</v>
      </c>
      <c r="AG101" s="1" t="e">
        <f>AF101/VLOOKUP(A101,'[34]geoMap (31)'!$A:$B,2,0)*VLOOKUP(A101,'[34]geoMap (31)'!$A:$C,3,0)</f>
        <v>#REF!</v>
      </c>
      <c r="AH101" s="1" t="e">
        <f>AG101/VLOOKUP(A101,'[35]geoMap (32)'!$A:$B,2,0)*VLOOKUP(A101,'[35]geoMap (32)'!$A:$C,3,0)</f>
        <v>#REF!</v>
      </c>
      <c r="AI101" s="1" t="e">
        <f>AH101/VLOOKUP(A101,'[36]geoMap (33)'!$A:$B,2,0)*VLOOKUP(A101,'[36]geoMap (33)'!$A:$C,3,0)</f>
        <v>#REF!</v>
      </c>
      <c r="AJ101" s="1" t="e">
        <f>AI101/VLOOKUP(A101,'[37]geoMap (34)'!$A:$B,2,0)*VLOOKUP(A101,'[37]geoMap (34)'!$A:$C,3,0)</f>
        <v>#REF!</v>
      </c>
      <c r="AK101" s="1" t="e">
        <f>AJ101/VLOOKUP(A101,'[38]geoMap (35)'!$A:$B,2,0)*VLOOKUP(A101,'[38]geoMap (35)'!$A:$C,3,0)</f>
        <v>#REF!</v>
      </c>
      <c r="AL101" s="1" t="e">
        <f>AK101/VLOOKUP(A101,'[39]geoMap (36)'!$A:$B,2,0)*VLOOKUP(A101,'[39]geoMap (36)'!$A:$C,3,0)</f>
        <v>#REF!</v>
      </c>
      <c r="AM101" s="1" t="e">
        <f>AL101/VLOOKUP(A101,'[40]geoMap (37)'!$A:$B,2,0)*VLOOKUP(A101,'[40]geoMap (37)'!$A:$C,3,0)</f>
        <v>#REF!</v>
      </c>
      <c r="AN101" s="1" t="e">
        <f>AM101/VLOOKUP(A101,'[41]geoMap (38)'!$A:$B,2,0)*VLOOKUP(A101,'[41]geoMap (38)'!$A:$C,3,0)</f>
        <v>#REF!</v>
      </c>
      <c r="AO101" s="1" t="e">
        <f>AN101/VLOOKUP(A101,'[42]geoMap (39)'!$A:$B,2,0)*VLOOKUP(A101,'[42]geoMap (39)'!$A:$C,3,0)</f>
        <v>#REF!</v>
      </c>
      <c r="AP101" s="1" t="e">
        <f>AO101/VLOOKUP(A101,'[43]geoMap (40)'!$A:$B,2,0)*VLOOKUP(A101,'[43]geoMap (40)'!$A:$C,3,0)</f>
        <v>#REF!</v>
      </c>
      <c r="AQ101" s="1" t="e">
        <f>AP101/VLOOKUP(A101,'[44]geoMap (41)'!$A:$B,2,0)*VLOOKUP(A101,'[44]geoMap (41)'!$A:$C,3,0)</f>
        <v>#REF!</v>
      </c>
      <c r="AR101" s="1" t="e">
        <f>AQ101/VLOOKUP(A101,'[45]geoMap (42)'!$A:$B,2,0)*VLOOKUP(A101,'[45]geoMap (42)'!$A:$C,3,0)</f>
        <v>#REF!</v>
      </c>
      <c r="AS101" s="1" t="e">
        <f>AR101/VLOOKUP(A101,'[46]geoMap (43)'!$A:$B,2,0)*VLOOKUP(A101,'[46]geoMap (43)'!$A:$C,3,0)</f>
        <v>#REF!</v>
      </c>
      <c r="AT101" s="1" t="e">
        <f>AS101/VLOOKUP(A101,'[47]geoMap (44)'!$A:$B,2,0)*VLOOKUP(A101,'[47]geoMap (44)'!$A:$C,3,0)</f>
        <v>#REF!</v>
      </c>
      <c r="AU101" s="1" t="e">
        <f>AT101/VLOOKUP(A101,'[48]geoMap (45)'!$A:$B,2,0)*VLOOKUP(A101,'[48]geoMap (45)'!$A:$C,3,0)</f>
        <v>#REF!</v>
      </c>
      <c r="AV101" s="1" t="e">
        <f>AU101/VLOOKUP(A101,'[49]geoMap (46)'!$A:$B,2,0)*VLOOKUP(A101,'[49]geoMap (46)'!$A:$C,3,0)</f>
        <v>#REF!</v>
      </c>
      <c r="AW101" s="1" t="e">
        <f>AV101/VLOOKUP(A101,'[50]geoMap (47)'!$A:$B,2,0)*VLOOKUP(A101,'[50]geoMap (47)'!$A:$C,3,0)</f>
        <v>#REF!</v>
      </c>
      <c r="AX101" s="1" t="e">
        <f>AW101/VLOOKUP(A101,'[51]geoMap (48)'!$A:$B,2,0)*VLOOKUP(A101,'[51]geoMap (48)'!$A:$C,3,0)</f>
        <v>#REF!</v>
      </c>
      <c r="AY101" s="1" t="e">
        <f>AX101/VLOOKUP(A101,'[52]geoMap (49)'!$A:$B,2,0)*VLOOKUP(A101,'[52]geoMap (49)'!$A:$C,3,0)</f>
        <v>#REF!</v>
      </c>
      <c r="AZ101" s="1" t="e">
        <f>AY101/VLOOKUP(A101,'[53]geoMap (50)'!$A:$B,2,0)*VLOOKUP(A101,'[53]geoMap (50)'!$A:$C,3,0)</f>
        <v>#REF!</v>
      </c>
      <c r="BA101" s="1" t="e">
        <f>AZ101/VLOOKUP(A101,'[54]geoMap (51)'!$A:$B,2,0)*VLOOKUP(A101,'[54]geoMap (51)'!$A:$C,3,0)</f>
        <v>#REF!</v>
      </c>
      <c r="BB101" s="1" t="e">
        <f>BA101/VLOOKUP(A101,'[55]geoMap (52)'!$A:$B,2,0)*VLOOKUP(A101,'[55]geoMap (52)'!$A:$C,3,0)</f>
        <v>#REF!</v>
      </c>
      <c r="BC101" s="1" t="e">
        <f>BB101/VLOOKUP(A101,'[56]geoMap (53)'!$A:$B,2,0)*VLOOKUP(A101,'[56]geoMap (53)'!$A:$C,3,0)</f>
        <v>#REF!</v>
      </c>
      <c r="BD101" s="1" t="e">
        <f>BC101/VLOOKUP(A101,'[57]geoMap (54)'!$A:$B,2,0)*VLOOKUP(A101,'[57]geoMap (54)'!$A:$C,3,0)</f>
        <v>#REF!</v>
      </c>
      <c r="BE101" s="1" t="e">
        <f>BD101/VLOOKUP(A101,'[58]geoMap (55)'!$A:$B,2,0)*VLOOKUP(A101,'[58]geoMap (55)'!$A:$C,3,0)</f>
        <v>#REF!</v>
      </c>
      <c r="BF101" s="1" t="e">
        <f>BE101/VLOOKUP(A101,'[59]geoMap (56)'!$A:$B,2,0)*VLOOKUP(A101,'[59]geoMap (56)'!$A:$C,3,0)</f>
        <v>#REF!</v>
      </c>
      <c r="BG101" s="1" t="e">
        <f>BF101/VLOOKUP(A101,'[60]geoMap (57)'!$A:$B,2,0)*VLOOKUP(A101,'[60]geoMap (57)'!$A:$C,3,0)</f>
        <v>#REF!</v>
      </c>
      <c r="BH101" s="1" t="e">
        <f>BG101/VLOOKUP(A101,'[61]geoMap (58)'!$A:$B,2,0)*VLOOKUP(A101,'[61]geoMap (58)'!$A:$C,3,0)</f>
        <v>#REF!</v>
      </c>
      <c r="BI101" s="1" t="e">
        <f>BH101/VLOOKUP(A101,'[62]geoMap (59)'!$A:$B,2,0)*VLOOKUP(A101,'[62]geoMap (59)'!$A:$C,3,0)</f>
        <v>#REF!</v>
      </c>
      <c r="BJ101" s="1" t="e">
        <f>BI101/VLOOKUP(A101,'[63]geoMap (60)'!$A:$B,2,0)*VLOOKUP(A101,'[63]geoMap (60)'!$A:$C,3,0)</f>
        <v>#REF!</v>
      </c>
      <c r="BK101" s="1" t="e">
        <f>BJ101/VLOOKUP(A101,'[64]geoMap (61)'!$A:$B,2,0)*VLOOKUP(A101,'[64]geoMap (61)'!$A:$C,3,0)</f>
        <v>#REF!</v>
      </c>
      <c r="BL101" s="1" t="e">
        <f>BK101/VLOOKUP(A101,'[65]geoMap (62)'!$A:$B,2,0)*VLOOKUP(A101,'[65]geoMap (62)'!$A:$C,3,0)</f>
        <v>#REF!</v>
      </c>
      <c r="BM101" s="1" t="e">
        <f>BL101/VLOOKUP(A101,'[66]geoMap (63)'!$A:$B,2,0)*VLOOKUP(A101,'[66]geoMap (63)'!$A:$C,3,0)</f>
        <v>#REF!</v>
      </c>
      <c r="BN101" s="1" t="e">
        <f>BM101/VLOOKUP(A101,'[67]geoMap (64)'!$A:$B,2,0)*VLOOKUP(A101,'[67]geoMap (64)'!$A:$C,3,0)</f>
        <v>#REF!</v>
      </c>
      <c r="BO101" s="1" t="e">
        <f>BN101/VLOOKUP(A101,'[68]geoMap (65)'!$A:$B,2,0)*VLOOKUP(A101,'[68]geoMap (65)'!$A:$C,3,0)</f>
        <v>#REF!</v>
      </c>
      <c r="BP101" s="1" t="e">
        <f>BO101/VLOOKUP(A101,'[69]geoMap (66)'!$A:$B,2,0)*VLOOKUP(A101,'[69]geoMap (66)'!$A:$C,3,0)</f>
        <v>#REF!</v>
      </c>
    </row>
    <row r="102" spans="1:68" hidden="1" x14ac:dyDescent="0.2">
      <c r="A102" s="1" t="s">
        <v>45</v>
      </c>
      <c r="B102" s="1" t="e">
        <f>VLOOKUP(A102,[3]geoMap!$A:$B,2,0)*Notes!$C$6</f>
        <v>#REF!</v>
      </c>
      <c r="C102" s="1" t="e">
        <f>B102/VLOOKUP(A102,'[4]geoMap (1)'!$A:$B,2,0)*VLOOKUP(A102,'[4]geoMap (1)'!$A:$C,3,0)</f>
        <v>#REF!</v>
      </c>
      <c r="D102" s="1" t="e">
        <f>C102/VLOOKUP(A102,'[5]geoMap (2)'!$A:$B,2,0)*VLOOKUP(A102,'[5]geoMap (2)'!$A:$C,3,0)</f>
        <v>#REF!</v>
      </c>
      <c r="E102" s="1" t="e">
        <f>D102/VLOOKUP(A102,'[6]geoMap (3)'!$A:$B,2,0)*VLOOKUP(A102,'[6]geoMap (3)'!$A:$C,3,0)</f>
        <v>#REF!</v>
      </c>
      <c r="F102" s="1" t="e">
        <f>E102/VLOOKUP(A102,'[7]geoMap (4)'!$A:$B,2,0)*VLOOKUP(A102,'[7]geoMap (4)'!$A:$C,3,0)</f>
        <v>#REF!</v>
      </c>
      <c r="G102" s="1" t="e">
        <f>F102/VLOOKUP(A102,'[8]geoMap (5)'!$A:$B,2,0)*VLOOKUP(A102,'[8]geoMap (5)'!$A:$C,3,0)</f>
        <v>#REF!</v>
      </c>
      <c r="H102" s="1" t="e">
        <f>G102/VLOOKUP(A102,'[9]geoMap (6)'!$A:$B,2,0)*VLOOKUP(A102,'[9]geoMap (6)'!$A:$C,3,0)</f>
        <v>#REF!</v>
      </c>
      <c r="I102" s="1" t="e">
        <f>H102/VLOOKUP(A102,'[10]geoMap (7)'!$A:$B,2,0)*VLOOKUP(A102,'[10]geoMap (7)'!$A:$C,3,0)</f>
        <v>#REF!</v>
      </c>
      <c r="J102" s="1" t="e">
        <f>I102/VLOOKUP(A102,'[11]geoMap (8)'!$A:$B,2,0)*VLOOKUP(A102,'[11]geoMap (8)'!$A:$C,3,0)</f>
        <v>#REF!</v>
      </c>
      <c r="K102" s="1" t="e">
        <f>J102/VLOOKUP(A102,'[12]geoMap (9)'!$A:$B,2,0)*VLOOKUP(A102,'[12]geoMap (9)'!$A:$C,3,0)</f>
        <v>#REF!</v>
      </c>
      <c r="L102" s="1" t="e">
        <f>K102/VLOOKUP(A102,'[13]geoMap (10)'!$A:$B,2,0)*VLOOKUP(A102,'[13]geoMap (10)'!$A:$C,3,0)</f>
        <v>#REF!</v>
      </c>
      <c r="M102" s="1" t="e">
        <f>L102/VLOOKUP(A102,'[14]geoMap (11)'!$A:$B,2,0)*VLOOKUP(A102,'[14]geoMap (11)'!$A:$C,3,0)</f>
        <v>#REF!</v>
      </c>
      <c r="N102" s="1" t="e">
        <f>M102/VLOOKUP(A102,'[15]geoMap (12)'!$A:$B,2,0)*VLOOKUP(A102,'[15]geoMap (12)'!$A:$C,3,0)</f>
        <v>#REF!</v>
      </c>
      <c r="O102" s="1" t="e">
        <f>N102/VLOOKUP(A102,'[16]geoMap (13)'!$A:$B,2,0)*VLOOKUP(A102,'[16]geoMap (13)'!$A:$C,3,0)</f>
        <v>#REF!</v>
      </c>
      <c r="P102" s="1" t="e">
        <f>O102/VLOOKUP(A102,'[17]geoMap (14)'!$A:$B,2,0)*VLOOKUP(A102,'[17]geoMap (14)'!$A:$C,3,0)</f>
        <v>#REF!</v>
      </c>
      <c r="Q102" s="1" t="e">
        <f>P102/VLOOKUP(A102,'[18]geoMap (15)'!$A:$B,2,0)*VLOOKUP(A102,'[18]geoMap (15)'!$A:$C,3,0)</f>
        <v>#REF!</v>
      </c>
      <c r="R102" s="1" t="e">
        <f>Q102/VLOOKUP(A102,'[19]geoMap (16)'!$A:$B,2,0)*VLOOKUP(A102,'[19]geoMap (16)'!$A:$C,3,0)</f>
        <v>#REF!</v>
      </c>
      <c r="S102" s="1" t="e">
        <f>R102/VLOOKUP(A102,'[20]geoMap (17)'!$A:$B,2,0)*VLOOKUP(A102,'[20]geoMap (17)'!$A:$C,3,0)</f>
        <v>#REF!</v>
      </c>
      <c r="T102" s="1" t="e">
        <f>S102/VLOOKUP(A102,'[21]geoMap (18)'!$A:$B,2,0)*VLOOKUP(A102,'[21]geoMap (18)'!$A:$C,3,0)</f>
        <v>#REF!</v>
      </c>
      <c r="U102" s="1" t="e">
        <f>T102/VLOOKUP(A102,'[22]geoMap (19)'!$A:$B,2,0)*VLOOKUP(A102,'[22]geoMap (19)'!$A:$C,3,0)</f>
        <v>#REF!</v>
      </c>
      <c r="V102" s="1" t="e">
        <f>U102/VLOOKUP(A102,'[23]geoMap (20)'!$A:$B,2,0)*VLOOKUP(A102,'[23]geoMap (20)'!$A:$C,3,0)</f>
        <v>#REF!</v>
      </c>
      <c r="W102" s="1" t="e">
        <f>V102/VLOOKUP(A102,'[24]geoMap (21)'!$A:$B,2,0)*VLOOKUP(A102,'[24]geoMap (21)'!$A:$C,3,0)</f>
        <v>#REF!</v>
      </c>
      <c r="X102" s="1" t="e">
        <f>W102/VLOOKUP(A102,'[25]geoMap (22)'!$A:$B,2,0)*VLOOKUP(A102,'[25]geoMap (22)'!$A:$C,3,0)</f>
        <v>#REF!</v>
      </c>
      <c r="Y102" s="1" t="e">
        <f>X102/VLOOKUP(A102,'[26]geoMap (23)'!$A:$B,2,0)*VLOOKUP(A102,'[26]geoMap (23)'!$A:$C,3,0)</f>
        <v>#REF!</v>
      </c>
      <c r="Z102" s="1" t="e">
        <f>Y102/VLOOKUP(A102,'[27]geoMap (24)'!$A:$B,2,0)*VLOOKUP(A102,'[27]geoMap (24)'!$A:$C,3,0)</f>
        <v>#REF!</v>
      </c>
      <c r="AA102" s="1" t="e">
        <f>Z102/VLOOKUP(A102,'[28]geoMap (25)'!$A:$B,2,0)*VLOOKUP(A102,'[28]geoMap (25)'!$A:$C,3,0)</f>
        <v>#REF!</v>
      </c>
      <c r="AB102" s="1" t="e">
        <f>AA102*VLOOKUP(A102,'[29]geoMap (26)'!$A:$B,2,0)*VLOOKUP(A102,'[29]geoMap (26)'!$A:$C,3,0)</f>
        <v>#REF!</v>
      </c>
      <c r="AC102" s="1" t="e">
        <f>AB102/VLOOKUP(A102,'[30]geoMap (27)'!$A:$B,2,0)*VLOOKUP(A102,'[30]geoMap (27)'!$A:$C,3,0)</f>
        <v>#REF!</v>
      </c>
      <c r="AD102" s="1" t="e">
        <f>AC102/VLOOKUP(A102,'[31]geoMap (28)'!$A:$B,2,0)*VLOOKUP(A102,'[31]geoMap (28)'!$A:$C,3,0)</f>
        <v>#REF!</v>
      </c>
      <c r="AE102" s="1" t="e">
        <f>AD102/VLOOKUP(A102,'[32]geoMap (29)'!$A:$B,2,0)*VLOOKUP(A102,'[32]geoMap (29)'!$A:$C,3,0)</f>
        <v>#REF!</v>
      </c>
      <c r="AF102" s="1" t="e">
        <f>AE102/VLOOKUP(A102,'[33]geoMap (30)'!$A:$B,2,0)*VLOOKUP(A102,'[33]geoMap (30)'!$A:$C,3,0)</f>
        <v>#REF!</v>
      </c>
      <c r="AG102" s="1" t="e">
        <f>AF102/VLOOKUP(A102,'[34]geoMap (31)'!$A:$B,2,0)*VLOOKUP(A102,'[34]geoMap (31)'!$A:$C,3,0)</f>
        <v>#REF!</v>
      </c>
      <c r="AH102" s="1" t="e">
        <f>AG102/VLOOKUP(A102,'[35]geoMap (32)'!$A:$B,2,0)*VLOOKUP(A102,'[35]geoMap (32)'!$A:$C,3,0)</f>
        <v>#REF!</v>
      </c>
      <c r="AI102" s="1" t="e">
        <f>AH102/VLOOKUP(A102,'[36]geoMap (33)'!$A:$B,2,0)*VLOOKUP(A102,'[36]geoMap (33)'!$A:$C,3,0)</f>
        <v>#REF!</v>
      </c>
      <c r="AJ102" s="1" t="e">
        <f>AI102/VLOOKUP(A102,'[37]geoMap (34)'!$A:$B,2,0)*VLOOKUP(A102,'[37]geoMap (34)'!$A:$C,3,0)</f>
        <v>#REF!</v>
      </c>
      <c r="AK102" s="1" t="e">
        <f>AJ102/VLOOKUP(A102,'[38]geoMap (35)'!$A:$B,2,0)*VLOOKUP(A102,'[38]geoMap (35)'!$A:$C,3,0)</f>
        <v>#REF!</v>
      </c>
      <c r="AL102" s="1" t="e">
        <f>AK102/VLOOKUP(A102,'[39]geoMap (36)'!$A:$B,2,0)*VLOOKUP(A102,'[39]geoMap (36)'!$A:$C,3,0)</f>
        <v>#REF!</v>
      </c>
      <c r="AM102" s="1" t="e">
        <f>AL102/VLOOKUP(A102,'[40]geoMap (37)'!$A:$B,2,0)*VLOOKUP(A102,'[40]geoMap (37)'!$A:$C,3,0)</f>
        <v>#REF!</v>
      </c>
      <c r="AN102" s="1" t="e">
        <f>AM102/VLOOKUP(A102,'[41]geoMap (38)'!$A:$B,2,0)*VLOOKUP(A102,'[41]geoMap (38)'!$A:$C,3,0)</f>
        <v>#REF!</v>
      </c>
      <c r="AO102" s="1" t="e">
        <f>AN102/VLOOKUP(A102,'[42]geoMap (39)'!$A:$B,2,0)*VLOOKUP(A102,'[42]geoMap (39)'!$A:$C,3,0)</f>
        <v>#REF!</v>
      </c>
      <c r="AP102" s="1" t="e">
        <f>AO102/VLOOKUP(A102,'[43]geoMap (40)'!$A:$B,2,0)*VLOOKUP(A102,'[43]geoMap (40)'!$A:$C,3,0)</f>
        <v>#REF!</v>
      </c>
      <c r="AQ102" s="1" t="e">
        <f>AP102/VLOOKUP(A102,'[44]geoMap (41)'!$A:$B,2,0)*VLOOKUP(A102,'[44]geoMap (41)'!$A:$C,3,0)</f>
        <v>#REF!</v>
      </c>
      <c r="AR102" s="1" t="e">
        <f>AQ102/VLOOKUP(A102,'[45]geoMap (42)'!$A:$B,2,0)*VLOOKUP(A102,'[45]geoMap (42)'!$A:$C,3,0)</f>
        <v>#REF!</v>
      </c>
      <c r="AS102" s="1" t="e">
        <f>AR102/VLOOKUP(A102,'[46]geoMap (43)'!$A:$B,2,0)*VLOOKUP(A102,'[46]geoMap (43)'!$A:$C,3,0)</f>
        <v>#REF!</v>
      </c>
      <c r="AT102" s="1" t="e">
        <f>AS102/VLOOKUP(A102,'[47]geoMap (44)'!$A:$B,2,0)*VLOOKUP(A102,'[47]geoMap (44)'!$A:$C,3,0)</f>
        <v>#REF!</v>
      </c>
      <c r="AU102" s="1" t="e">
        <f>AT102/VLOOKUP(A102,'[48]geoMap (45)'!$A:$B,2,0)*VLOOKUP(A102,'[48]geoMap (45)'!$A:$C,3,0)</f>
        <v>#REF!</v>
      </c>
      <c r="AV102" s="1" t="e">
        <f>AU102/VLOOKUP(A102,'[49]geoMap (46)'!$A:$B,2,0)*VLOOKUP(A102,'[49]geoMap (46)'!$A:$C,3,0)</f>
        <v>#REF!</v>
      </c>
      <c r="AW102" s="1" t="e">
        <f>AV102/VLOOKUP(A102,'[50]geoMap (47)'!$A:$B,2,0)*VLOOKUP(A102,'[50]geoMap (47)'!$A:$C,3,0)</f>
        <v>#REF!</v>
      </c>
      <c r="AX102" s="1" t="e">
        <f>AW102/VLOOKUP(A102,'[51]geoMap (48)'!$A:$B,2,0)*VLOOKUP(A102,'[51]geoMap (48)'!$A:$C,3,0)</f>
        <v>#REF!</v>
      </c>
      <c r="AY102" s="1" t="e">
        <f>AX102/VLOOKUP(A102,'[52]geoMap (49)'!$A:$B,2,0)*VLOOKUP(A102,'[52]geoMap (49)'!$A:$C,3,0)</f>
        <v>#REF!</v>
      </c>
      <c r="AZ102" s="1" t="e">
        <f>AY102/VLOOKUP(A102,'[53]geoMap (50)'!$A:$B,2,0)*VLOOKUP(A102,'[53]geoMap (50)'!$A:$C,3,0)</f>
        <v>#REF!</v>
      </c>
      <c r="BA102" s="1" t="e">
        <f>AZ102/VLOOKUP(A102,'[54]geoMap (51)'!$A:$B,2,0)*VLOOKUP(A102,'[54]geoMap (51)'!$A:$C,3,0)</f>
        <v>#REF!</v>
      </c>
      <c r="BB102" s="1" t="e">
        <f>BA102/VLOOKUP(A102,'[55]geoMap (52)'!$A:$B,2,0)*VLOOKUP(A102,'[55]geoMap (52)'!$A:$C,3,0)</f>
        <v>#REF!</v>
      </c>
      <c r="BC102" s="1" t="e">
        <f>BB102/VLOOKUP(A102,'[56]geoMap (53)'!$A:$B,2,0)*VLOOKUP(A102,'[56]geoMap (53)'!$A:$C,3,0)</f>
        <v>#REF!</v>
      </c>
      <c r="BD102" s="1" t="e">
        <f>BC102/VLOOKUP(A102,'[57]geoMap (54)'!$A:$B,2,0)*VLOOKUP(A102,'[57]geoMap (54)'!$A:$C,3,0)</f>
        <v>#REF!</v>
      </c>
      <c r="BE102" s="1" t="e">
        <f>BD102/VLOOKUP(A102,'[58]geoMap (55)'!$A:$B,2,0)*VLOOKUP(A102,'[58]geoMap (55)'!$A:$C,3,0)</f>
        <v>#REF!</v>
      </c>
      <c r="BF102" s="1" t="e">
        <f>BE102/VLOOKUP(A102,'[59]geoMap (56)'!$A:$B,2,0)*VLOOKUP(A102,'[59]geoMap (56)'!$A:$C,3,0)</f>
        <v>#REF!</v>
      </c>
      <c r="BG102" s="1" t="e">
        <f>BF102/VLOOKUP(A102,'[60]geoMap (57)'!$A:$B,2,0)*VLOOKUP(A102,'[60]geoMap (57)'!$A:$C,3,0)</f>
        <v>#REF!</v>
      </c>
      <c r="BH102" s="1" t="e">
        <f>BG102/VLOOKUP(A102,'[61]geoMap (58)'!$A:$B,2,0)*VLOOKUP(A102,'[61]geoMap (58)'!$A:$C,3,0)</f>
        <v>#REF!</v>
      </c>
      <c r="BI102" s="1" t="e">
        <f>BH102/VLOOKUP(A102,'[62]geoMap (59)'!$A:$B,2,0)*VLOOKUP(A102,'[62]geoMap (59)'!$A:$C,3,0)</f>
        <v>#REF!</v>
      </c>
      <c r="BJ102" s="1" t="e">
        <f>BI102/VLOOKUP(A102,'[63]geoMap (60)'!$A:$B,2,0)*VLOOKUP(A102,'[63]geoMap (60)'!$A:$C,3,0)</f>
        <v>#REF!</v>
      </c>
      <c r="BK102" s="1" t="e">
        <f>BJ102/VLOOKUP(A102,'[64]geoMap (61)'!$A:$B,2,0)*VLOOKUP(A102,'[64]geoMap (61)'!$A:$C,3,0)</f>
        <v>#REF!</v>
      </c>
      <c r="BL102" s="1" t="e">
        <f>BK102/VLOOKUP(A102,'[65]geoMap (62)'!$A:$B,2,0)*VLOOKUP(A102,'[65]geoMap (62)'!$A:$C,3,0)</f>
        <v>#REF!</v>
      </c>
      <c r="BM102" s="1" t="e">
        <f>BL102/VLOOKUP(A102,'[66]geoMap (63)'!$A:$B,2,0)*VLOOKUP(A102,'[66]geoMap (63)'!$A:$C,3,0)</f>
        <v>#REF!</v>
      </c>
      <c r="BN102" s="1" t="e">
        <f>BM102/VLOOKUP(A102,'[67]geoMap (64)'!$A:$B,2,0)*VLOOKUP(A102,'[67]geoMap (64)'!$A:$C,3,0)</f>
        <v>#REF!</v>
      </c>
      <c r="BO102" s="1" t="e">
        <f>BN102/VLOOKUP(A102,'[68]geoMap (65)'!$A:$B,2,0)*VLOOKUP(A102,'[68]geoMap (65)'!$A:$C,3,0)</f>
        <v>#REF!</v>
      </c>
      <c r="BP102" s="1" t="e">
        <f>BO102/VLOOKUP(A102,'[69]geoMap (66)'!$A:$B,2,0)*VLOOKUP(A102,'[69]geoMap (66)'!$A:$C,3,0)</f>
        <v>#REF!</v>
      </c>
    </row>
    <row r="103" spans="1:68" hidden="1" x14ac:dyDescent="0.2">
      <c r="A103" s="1" t="s">
        <v>46</v>
      </c>
      <c r="B103" s="1" t="e">
        <f>VLOOKUP(A103,[3]geoMap!$A:$B,2,0)*Notes!$C$6</f>
        <v>#REF!</v>
      </c>
      <c r="C103" s="1" t="e">
        <f>B103/VLOOKUP(A103,'[4]geoMap (1)'!$A:$B,2,0)*VLOOKUP(A103,'[4]geoMap (1)'!$A:$C,3,0)</f>
        <v>#REF!</v>
      </c>
      <c r="D103" s="1" t="e">
        <f>C103/VLOOKUP(A103,'[5]geoMap (2)'!$A:$B,2,0)*VLOOKUP(A103,'[5]geoMap (2)'!$A:$C,3,0)</f>
        <v>#REF!</v>
      </c>
      <c r="E103" s="1" t="e">
        <f>D103/VLOOKUP(A103,'[6]geoMap (3)'!$A:$B,2,0)*VLOOKUP(A103,'[6]geoMap (3)'!$A:$C,3,0)</f>
        <v>#REF!</v>
      </c>
      <c r="F103" s="1" t="e">
        <f>E103/VLOOKUP(A103,'[7]geoMap (4)'!$A:$B,2,0)*VLOOKUP(A103,'[7]geoMap (4)'!$A:$C,3,0)</f>
        <v>#REF!</v>
      </c>
      <c r="G103" s="1" t="e">
        <f>F103/VLOOKUP(A103,'[8]geoMap (5)'!$A:$B,2,0)*VLOOKUP(A103,'[8]geoMap (5)'!$A:$C,3,0)</f>
        <v>#REF!</v>
      </c>
      <c r="H103" s="1" t="e">
        <f>G103/VLOOKUP(A103,'[9]geoMap (6)'!$A:$B,2,0)*VLOOKUP(A103,'[9]geoMap (6)'!$A:$C,3,0)</f>
        <v>#REF!</v>
      </c>
      <c r="I103" s="1" t="e">
        <f>H103/VLOOKUP(A103,'[10]geoMap (7)'!$A:$B,2,0)*VLOOKUP(A103,'[10]geoMap (7)'!$A:$C,3,0)</f>
        <v>#REF!</v>
      </c>
      <c r="J103" s="1" t="e">
        <f>I103/VLOOKUP(A103,'[11]geoMap (8)'!$A:$B,2,0)*VLOOKUP(A103,'[11]geoMap (8)'!$A:$C,3,0)</f>
        <v>#REF!</v>
      </c>
      <c r="K103" s="1" t="e">
        <f>J103/VLOOKUP(A103,'[12]geoMap (9)'!$A:$B,2,0)*VLOOKUP(A103,'[12]geoMap (9)'!$A:$C,3,0)</f>
        <v>#REF!</v>
      </c>
      <c r="L103" s="1" t="e">
        <f>K103/VLOOKUP(A103,'[13]geoMap (10)'!$A:$B,2,0)*VLOOKUP(A103,'[13]geoMap (10)'!$A:$C,3,0)</f>
        <v>#REF!</v>
      </c>
      <c r="M103" s="1" t="e">
        <f>L103/VLOOKUP(A103,'[14]geoMap (11)'!$A:$B,2,0)*VLOOKUP(A103,'[14]geoMap (11)'!$A:$C,3,0)</f>
        <v>#REF!</v>
      </c>
      <c r="N103" s="1" t="e">
        <f>M103/VLOOKUP(A103,'[15]geoMap (12)'!$A:$B,2,0)*VLOOKUP(A103,'[15]geoMap (12)'!$A:$C,3,0)</f>
        <v>#REF!</v>
      </c>
      <c r="O103" s="1" t="e">
        <f>N103/VLOOKUP(A103,'[16]geoMap (13)'!$A:$B,2,0)*VLOOKUP(A103,'[16]geoMap (13)'!$A:$C,3,0)</f>
        <v>#REF!</v>
      </c>
      <c r="P103" s="1" t="e">
        <f>O103/VLOOKUP(A103,'[17]geoMap (14)'!$A:$B,2,0)*VLOOKUP(A103,'[17]geoMap (14)'!$A:$C,3,0)</f>
        <v>#REF!</v>
      </c>
      <c r="Q103" s="1" t="e">
        <f>P103/VLOOKUP(A103,'[18]geoMap (15)'!$A:$B,2,0)*VLOOKUP(A103,'[18]geoMap (15)'!$A:$C,3,0)</f>
        <v>#REF!</v>
      </c>
      <c r="R103" s="1" t="e">
        <f>Q103/VLOOKUP(A103,'[19]geoMap (16)'!$A:$B,2,0)*VLOOKUP(A103,'[19]geoMap (16)'!$A:$C,3,0)</f>
        <v>#REF!</v>
      </c>
      <c r="S103" s="1" t="e">
        <f>R103/VLOOKUP(A103,'[20]geoMap (17)'!$A:$B,2,0)*VLOOKUP(A103,'[20]geoMap (17)'!$A:$C,3,0)</f>
        <v>#REF!</v>
      </c>
      <c r="T103" s="1" t="e">
        <f>S103/VLOOKUP(A103,'[21]geoMap (18)'!$A:$B,2,0)*VLOOKUP(A103,'[21]geoMap (18)'!$A:$C,3,0)</f>
        <v>#REF!</v>
      </c>
      <c r="U103" s="1" t="e">
        <f>T103/VLOOKUP(A103,'[22]geoMap (19)'!$A:$B,2,0)*VLOOKUP(A103,'[22]geoMap (19)'!$A:$C,3,0)</f>
        <v>#REF!</v>
      </c>
      <c r="V103" s="1" t="e">
        <f>U103/VLOOKUP(A103,'[23]geoMap (20)'!$A:$B,2,0)*VLOOKUP(A103,'[23]geoMap (20)'!$A:$C,3,0)</f>
        <v>#REF!</v>
      </c>
      <c r="W103" s="1" t="e">
        <f>V103/VLOOKUP(A103,'[24]geoMap (21)'!$A:$B,2,0)*VLOOKUP(A103,'[24]geoMap (21)'!$A:$C,3,0)</f>
        <v>#REF!</v>
      </c>
      <c r="X103" s="1" t="e">
        <f>W103/VLOOKUP(A103,'[25]geoMap (22)'!$A:$B,2,0)*VLOOKUP(A103,'[25]geoMap (22)'!$A:$C,3,0)</f>
        <v>#REF!</v>
      </c>
      <c r="Y103" s="1" t="e">
        <f>X103/VLOOKUP(A103,'[26]geoMap (23)'!$A:$B,2,0)*VLOOKUP(A103,'[26]geoMap (23)'!$A:$C,3,0)</f>
        <v>#REF!</v>
      </c>
      <c r="Z103" s="1" t="e">
        <f>Y103/VLOOKUP(A103,'[27]geoMap (24)'!$A:$B,2,0)*VLOOKUP(A103,'[27]geoMap (24)'!$A:$C,3,0)</f>
        <v>#REF!</v>
      </c>
      <c r="AA103" s="1" t="e">
        <f>Z103/VLOOKUP(A103,'[28]geoMap (25)'!$A:$B,2,0)*VLOOKUP(A103,'[28]geoMap (25)'!$A:$C,3,0)</f>
        <v>#REF!</v>
      </c>
      <c r="AB103" s="1" t="e">
        <f>AA103*VLOOKUP(A103,'[29]geoMap (26)'!$A:$B,2,0)*VLOOKUP(A103,'[29]geoMap (26)'!$A:$C,3,0)</f>
        <v>#REF!</v>
      </c>
      <c r="AC103" s="1" t="e">
        <f>AB103/VLOOKUP(A103,'[30]geoMap (27)'!$A:$B,2,0)*VLOOKUP(A103,'[30]geoMap (27)'!$A:$C,3,0)</f>
        <v>#REF!</v>
      </c>
      <c r="AD103" s="1" t="e">
        <f>AC103/VLOOKUP(A103,'[31]geoMap (28)'!$A:$B,2,0)*VLOOKUP(A103,'[31]geoMap (28)'!$A:$C,3,0)</f>
        <v>#REF!</v>
      </c>
      <c r="AE103" s="1" t="e">
        <f>AD103/VLOOKUP(A103,'[32]geoMap (29)'!$A:$B,2,0)*VLOOKUP(A103,'[32]geoMap (29)'!$A:$C,3,0)</f>
        <v>#REF!</v>
      </c>
      <c r="AF103" s="1" t="e">
        <f>AE103/VLOOKUP(A103,'[33]geoMap (30)'!$A:$B,2,0)*VLOOKUP(A103,'[33]geoMap (30)'!$A:$C,3,0)</f>
        <v>#REF!</v>
      </c>
      <c r="AG103" s="1" t="e">
        <f>AF103/VLOOKUP(A103,'[34]geoMap (31)'!$A:$B,2,0)*VLOOKUP(A103,'[34]geoMap (31)'!$A:$C,3,0)</f>
        <v>#REF!</v>
      </c>
      <c r="AH103" s="1" t="e">
        <f>AG103/VLOOKUP(A103,'[35]geoMap (32)'!$A:$B,2,0)*VLOOKUP(A103,'[35]geoMap (32)'!$A:$C,3,0)</f>
        <v>#REF!</v>
      </c>
      <c r="AI103" s="1" t="e">
        <f>AH103/VLOOKUP(A103,'[36]geoMap (33)'!$A:$B,2,0)*VLOOKUP(A103,'[36]geoMap (33)'!$A:$C,3,0)</f>
        <v>#REF!</v>
      </c>
      <c r="AJ103" s="1" t="e">
        <f>AI103/VLOOKUP(A103,'[37]geoMap (34)'!$A:$B,2,0)*VLOOKUP(A103,'[37]geoMap (34)'!$A:$C,3,0)</f>
        <v>#REF!</v>
      </c>
      <c r="AK103" s="1" t="e">
        <f>AJ103/VLOOKUP(A103,'[38]geoMap (35)'!$A:$B,2,0)*VLOOKUP(A103,'[38]geoMap (35)'!$A:$C,3,0)</f>
        <v>#REF!</v>
      </c>
      <c r="AL103" s="1" t="e">
        <f>AK103/VLOOKUP(A103,'[39]geoMap (36)'!$A:$B,2,0)*VLOOKUP(A103,'[39]geoMap (36)'!$A:$C,3,0)</f>
        <v>#REF!</v>
      </c>
      <c r="AM103" s="1" t="e">
        <f>AL103/VLOOKUP(A103,'[40]geoMap (37)'!$A:$B,2,0)*VLOOKUP(A103,'[40]geoMap (37)'!$A:$C,3,0)</f>
        <v>#REF!</v>
      </c>
      <c r="AN103" s="1" t="e">
        <f>AM103/VLOOKUP(A103,'[41]geoMap (38)'!$A:$B,2,0)*VLOOKUP(A103,'[41]geoMap (38)'!$A:$C,3,0)</f>
        <v>#REF!</v>
      </c>
      <c r="AO103" s="1" t="e">
        <f>AN103/VLOOKUP(A103,'[42]geoMap (39)'!$A:$B,2,0)*VLOOKUP(A103,'[42]geoMap (39)'!$A:$C,3,0)</f>
        <v>#REF!</v>
      </c>
      <c r="AP103" s="1" t="e">
        <f>AO103/VLOOKUP(A103,'[43]geoMap (40)'!$A:$B,2,0)*VLOOKUP(A103,'[43]geoMap (40)'!$A:$C,3,0)</f>
        <v>#REF!</v>
      </c>
      <c r="AQ103" s="1" t="e">
        <f>AP103/VLOOKUP(A103,'[44]geoMap (41)'!$A:$B,2,0)*VLOOKUP(A103,'[44]geoMap (41)'!$A:$C,3,0)</f>
        <v>#REF!</v>
      </c>
      <c r="AR103" s="1" t="e">
        <f>AQ103/VLOOKUP(A103,'[45]geoMap (42)'!$A:$B,2,0)*VLOOKUP(A103,'[45]geoMap (42)'!$A:$C,3,0)</f>
        <v>#REF!</v>
      </c>
      <c r="AS103" s="1" t="e">
        <f>AR103/VLOOKUP(A103,'[46]geoMap (43)'!$A:$B,2,0)*VLOOKUP(A103,'[46]geoMap (43)'!$A:$C,3,0)</f>
        <v>#REF!</v>
      </c>
      <c r="AT103" s="1" t="e">
        <f>AS103/VLOOKUP(A103,'[47]geoMap (44)'!$A:$B,2,0)*VLOOKUP(A103,'[47]geoMap (44)'!$A:$C,3,0)</f>
        <v>#REF!</v>
      </c>
      <c r="AU103" s="1" t="e">
        <f>AT103/VLOOKUP(A103,'[48]geoMap (45)'!$A:$B,2,0)*VLOOKUP(A103,'[48]geoMap (45)'!$A:$C,3,0)</f>
        <v>#REF!</v>
      </c>
      <c r="AV103" s="1" t="e">
        <f>AU103/VLOOKUP(A103,'[49]geoMap (46)'!$A:$B,2,0)*VLOOKUP(A103,'[49]geoMap (46)'!$A:$C,3,0)</f>
        <v>#REF!</v>
      </c>
      <c r="AW103" s="1" t="e">
        <f>AV103/VLOOKUP(A103,'[50]geoMap (47)'!$A:$B,2,0)*VLOOKUP(A103,'[50]geoMap (47)'!$A:$C,3,0)</f>
        <v>#REF!</v>
      </c>
      <c r="AX103" s="1" t="e">
        <f>AW103/VLOOKUP(A103,'[51]geoMap (48)'!$A:$B,2,0)*VLOOKUP(A103,'[51]geoMap (48)'!$A:$C,3,0)</f>
        <v>#REF!</v>
      </c>
      <c r="AY103" s="1" t="e">
        <f>AX103/VLOOKUP(A103,'[52]geoMap (49)'!$A:$B,2,0)*VLOOKUP(A103,'[52]geoMap (49)'!$A:$C,3,0)</f>
        <v>#REF!</v>
      </c>
      <c r="AZ103" s="1" t="e">
        <f>AY103/VLOOKUP(A103,'[53]geoMap (50)'!$A:$B,2,0)*VLOOKUP(A103,'[53]geoMap (50)'!$A:$C,3,0)</f>
        <v>#REF!</v>
      </c>
      <c r="BA103" s="1" t="e">
        <f>AZ103/VLOOKUP(A103,'[54]geoMap (51)'!$A:$B,2,0)*VLOOKUP(A103,'[54]geoMap (51)'!$A:$C,3,0)</f>
        <v>#REF!</v>
      </c>
      <c r="BB103" s="1" t="e">
        <f>BA103/VLOOKUP(A103,'[55]geoMap (52)'!$A:$B,2,0)*VLOOKUP(A103,'[55]geoMap (52)'!$A:$C,3,0)</f>
        <v>#REF!</v>
      </c>
      <c r="BC103" s="1" t="e">
        <f>BB103/VLOOKUP(A103,'[56]geoMap (53)'!$A:$B,2,0)*VLOOKUP(A103,'[56]geoMap (53)'!$A:$C,3,0)</f>
        <v>#REF!</v>
      </c>
      <c r="BD103" s="1" t="e">
        <f>BC103/VLOOKUP(A103,'[57]geoMap (54)'!$A:$B,2,0)*VLOOKUP(A103,'[57]geoMap (54)'!$A:$C,3,0)</f>
        <v>#REF!</v>
      </c>
      <c r="BE103" s="1" t="e">
        <f>BD103/VLOOKUP(A103,'[58]geoMap (55)'!$A:$B,2,0)*VLOOKUP(A103,'[58]geoMap (55)'!$A:$C,3,0)</f>
        <v>#REF!</v>
      </c>
      <c r="BF103" s="1" t="e">
        <f>BE103/VLOOKUP(A103,'[59]geoMap (56)'!$A:$B,2,0)*VLOOKUP(A103,'[59]geoMap (56)'!$A:$C,3,0)</f>
        <v>#REF!</v>
      </c>
      <c r="BG103" s="1" t="e">
        <f>BF103/VLOOKUP(A103,'[60]geoMap (57)'!$A:$B,2,0)*VLOOKUP(A103,'[60]geoMap (57)'!$A:$C,3,0)</f>
        <v>#REF!</v>
      </c>
      <c r="BH103" s="1" t="e">
        <f>BG103/VLOOKUP(A103,'[61]geoMap (58)'!$A:$B,2,0)*VLOOKUP(A103,'[61]geoMap (58)'!$A:$C,3,0)</f>
        <v>#REF!</v>
      </c>
      <c r="BI103" s="1" t="e">
        <f>BH103/VLOOKUP(A103,'[62]geoMap (59)'!$A:$B,2,0)*VLOOKUP(A103,'[62]geoMap (59)'!$A:$C,3,0)</f>
        <v>#REF!</v>
      </c>
      <c r="BJ103" s="1" t="e">
        <f>BI103/VLOOKUP(A103,'[63]geoMap (60)'!$A:$B,2,0)*VLOOKUP(A103,'[63]geoMap (60)'!$A:$C,3,0)</f>
        <v>#REF!</v>
      </c>
      <c r="BK103" s="1" t="e">
        <f>BJ103/VLOOKUP(A103,'[64]geoMap (61)'!$A:$B,2,0)*VLOOKUP(A103,'[64]geoMap (61)'!$A:$C,3,0)</f>
        <v>#REF!</v>
      </c>
      <c r="BL103" s="1" t="e">
        <f>BK103/VLOOKUP(A103,'[65]geoMap (62)'!$A:$B,2,0)*VLOOKUP(A103,'[65]geoMap (62)'!$A:$C,3,0)</f>
        <v>#REF!</v>
      </c>
      <c r="BM103" s="1" t="e">
        <f>BL103/VLOOKUP(A103,'[66]geoMap (63)'!$A:$B,2,0)*VLOOKUP(A103,'[66]geoMap (63)'!$A:$C,3,0)</f>
        <v>#REF!</v>
      </c>
      <c r="BN103" s="1" t="e">
        <f>BM103/VLOOKUP(A103,'[67]geoMap (64)'!$A:$B,2,0)*VLOOKUP(A103,'[67]geoMap (64)'!$A:$C,3,0)</f>
        <v>#REF!</v>
      </c>
      <c r="BO103" s="1" t="e">
        <f>BN103/VLOOKUP(A103,'[68]geoMap (65)'!$A:$B,2,0)*VLOOKUP(A103,'[68]geoMap (65)'!$A:$C,3,0)</f>
        <v>#REF!</v>
      </c>
      <c r="BP103" s="1" t="e">
        <f>BO103/VLOOKUP(A103,'[69]geoMap (66)'!$A:$B,2,0)*VLOOKUP(A103,'[69]geoMap (66)'!$A:$C,3,0)</f>
        <v>#REF!</v>
      </c>
    </row>
    <row r="104" spans="1:68" hidden="1" x14ac:dyDescent="0.2">
      <c r="A104" s="1" t="s">
        <v>47</v>
      </c>
      <c r="B104" s="1" t="e">
        <f>VLOOKUP(A104,[3]geoMap!$A:$B,2,0)*Notes!$C$6</f>
        <v>#REF!</v>
      </c>
      <c r="C104" s="1" t="e">
        <f>B104/VLOOKUP(A104,'[4]geoMap (1)'!$A:$B,2,0)*VLOOKUP(A104,'[4]geoMap (1)'!$A:$C,3,0)</f>
        <v>#REF!</v>
      </c>
      <c r="D104" s="1" t="e">
        <f>C104/VLOOKUP(A104,'[5]geoMap (2)'!$A:$B,2,0)*VLOOKUP(A104,'[5]geoMap (2)'!$A:$C,3,0)</f>
        <v>#REF!</v>
      </c>
      <c r="E104" s="1" t="e">
        <f>D104/VLOOKUP(A104,'[6]geoMap (3)'!$A:$B,2,0)*VLOOKUP(A104,'[6]geoMap (3)'!$A:$C,3,0)</f>
        <v>#REF!</v>
      </c>
      <c r="F104" s="1" t="e">
        <f>E104/VLOOKUP(A104,'[7]geoMap (4)'!$A:$B,2,0)*VLOOKUP(A104,'[7]geoMap (4)'!$A:$C,3,0)</f>
        <v>#REF!</v>
      </c>
      <c r="G104" s="1" t="e">
        <f>F104/VLOOKUP(A104,'[8]geoMap (5)'!$A:$B,2,0)*VLOOKUP(A104,'[8]geoMap (5)'!$A:$C,3,0)</f>
        <v>#REF!</v>
      </c>
      <c r="H104" s="1" t="e">
        <f>G104/VLOOKUP(A104,'[9]geoMap (6)'!$A:$B,2,0)*VLOOKUP(A104,'[9]geoMap (6)'!$A:$C,3,0)</f>
        <v>#REF!</v>
      </c>
      <c r="I104" s="1" t="e">
        <f>H104/VLOOKUP(A104,'[10]geoMap (7)'!$A:$B,2,0)*VLOOKUP(A104,'[10]geoMap (7)'!$A:$C,3,0)</f>
        <v>#REF!</v>
      </c>
      <c r="J104" s="1" t="e">
        <f>I104/VLOOKUP(A104,'[11]geoMap (8)'!$A:$B,2,0)*VLOOKUP(A104,'[11]geoMap (8)'!$A:$C,3,0)</f>
        <v>#REF!</v>
      </c>
      <c r="K104" s="1" t="e">
        <f>J104/VLOOKUP(A104,'[12]geoMap (9)'!$A:$B,2,0)*VLOOKUP(A104,'[12]geoMap (9)'!$A:$C,3,0)</f>
        <v>#REF!</v>
      </c>
      <c r="L104" s="1" t="e">
        <f>K104/VLOOKUP(A104,'[13]geoMap (10)'!$A:$B,2,0)*VLOOKUP(A104,'[13]geoMap (10)'!$A:$C,3,0)</f>
        <v>#REF!</v>
      </c>
      <c r="M104" s="1" t="e">
        <f>L104/VLOOKUP(A104,'[14]geoMap (11)'!$A:$B,2,0)*VLOOKUP(A104,'[14]geoMap (11)'!$A:$C,3,0)</f>
        <v>#REF!</v>
      </c>
      <c r="N104" s="1" t="e">
        <f>M104/VLOOKUP(A104,'[15]geoMap (12)'!$A:$B,2,0)*VLOOKUP(A104,'[15]geoMap (12)'!$A:$C,3,0)</f>
        <v>#REF!</v>
      </c>
      <c r="O104" s="1" t="e">
        <f>N104/VLOOKUP(A104,'[16]geoMap (13)'!$A:$B,2,0)*VLOOKUP(A104,'[16]geoMap (13)'!$A:$C,3,0)</f>
        <v>#REF!</v>
      </c>
      <c r="P104" s="1" t="e">
        <f>O104/VLOOKUP(A104,'[17]geoMap (14)'!$A:$B,2,0)*VLOOKUP(A104,'[17]geoMap (14)'!$A:$C,3,0)</f>
        <v>#REF!</v>
      </c>
      <c r="Q104" s="1" t="e">
        <f>P104/VLOOKUP(A104,'[18]geoMap (15)'!$A:$B,2,0)*VLOOKUP(A104,'[18]geoMap (15)'!$A:$C,3,0)</f>
        <v>#REF!</v>
      </c>
      <c r="R104" s="1" t="e">
        <f>Q104/VLOOKUP(A104,'[19]geoMap (16)'!$A:$B,2,0)*VLOOKUP(A104,'[19]geoMap (16)'!$A:$C,3,0)</f>
        <v>#REF!</v>
      </c>
      <c r="S104" s="1" t="e">
        <f>R104/VLOOKUP(A104,'[20]geoMap (17)'!$A:$B,2,0)*VLOOKUP(A104,'[20]geoMap (17)'!$A:$C,3,0)</f>
        <v>#REF!</v>
      </c>
      <c r="T104" s="1" t="e">
        <f>S104/VLOOKUP(A104,'[21]geoMap (18)'!$A:$B,2,0)*VLOOKUP(A104,'[21]geoMap (18)'!$A:$C,3,0)</f>
        <v>#REF!</v>
      </c>
      <c r="U104" s="1" t="e">
        <f>T104/VLOOKUP(A104,'[22]geoMap (19)'!$A:$B,2,0)*VLOOKUP(A104,'[22]geoMap (19)'!$A:$C,3,0)</f>
        <v>#REF!</v>
      </c>
      <c r="V104" s="1" t="e">
        <f>U104/VLOOKUP(A104,'[23]geoMap (20)'!$A:$B,2,0)*VLOOKUP(A104,'[23]geoMap (20)'!$A:$C,3,0)</f>
        <v>#REF!</v>
      </c>
      <c r="W104" s="1" t="e">
        <f>V104/VLOOKUP(A104,'[24]geoMap (21)'!$A:$B,2,0)*VLOOKUP(A104,'[24]geoMap (21)'!$A:$C,3,0)</f>
        <v>#REF!</v>
      </c>
      <c r="X104" s="1" t="e">
        <f>W104/VLOOKUP(A104,'[25]geoMap (22)'!$A:$B,2,0)*VLOOKUP(A104,'[25]geoMap (22)'!$A:$C,3,0)</f>
        <v>#REF!</v>
      </c>
      <c r="Y104" s="1" t="e">
        <f>X104/VLOOKUP(A104,'[26]geoMap (23)'!$A:$B,2,0)*VLOOKUP(A104,'[26]geoMap (23)'!$A:$C,3,0)</f>
        <v>#REF!</v>
      </c>
      <c r="Z104" s="1" t="e">
        <f>Y104/VLOOKUP(A104,'[27]geoMap (24)'!$A:$B,2,0)*VLOOKUP(A104,'[27]geoMap (24)'!$A:$C,3,0)</f>
        <v>#REF!</v>
      </c>
      <c r="AA104" s="1" t="e">
        <f>Z104/VLOOKUP(A104,'[28]geoMap (25)'!$A:$B,2,0)*VLOOKUP(A104,'[28]geoMap (25)'!$A:$C,3,0)</f>
        <v>#REF!</v>
      </c>
      <c r="AB104" s="1" t="e">
        <f>AA104*VLOOKUP(A104,'[29]geoMap (26)'!$A:$B,2,0)*VLOOKUP(A104,'[29]geoMap (26)'!$A:$C,3,0)</f>
        <v>#REF!</v>
      </c>
      <c r="AC104" s="1" t="e">
        <f>AB104/VLOOKUP(A104,'[30]geoMap (27)'!$A:$B,2,0)*VLOOKUP(A104,'[30]geoMap (27)'!$A:$C,3,0)</f>
        <v>#REF!</v>
      </c>
      <c r="AD104" s="1" t="e">
        <f>AC104/VLOOKUP(A104,'[31]geoMap (28)'!$A:$B,2,0)*VLOOKUP(A104,'[31]geoMap (28)'!$A:$C,3,0)</f>
        <v>#REF!</v>
      </c>
      <c r="AE104" s="1" t="e">
        <f>AD104/VLOOKUP(A104,'[32]geoMap (29)'!$A:$B,2,0)*VLOOKUP(A104,'[32]geoMap (29)'!$A:$C,3,0)</f>
        <v>#REF!</v>
      </c>
      <c r="AF104" s="1" t="e">
        <f>AE104/VLOOKUP(A104,'[33]geoMap (30)'!$A:$B,2,0)*VLOOKUP(A104,'[33]geoMap (30)'!$A:$C,3,0)</f>
        <v>#REF!</v>
      </c>
      <c r="AG104" s="1" t="e">
        <f>AF104/VLOOKUP(A104,'[34]geoMap (31)'!$A:$B,2,0)*VLOOKUP(A104,'[34]geoMap (31)'!$A:$C,3,0)</f>
        <v>#REF!</v>
      </c>
      <c r="AH104" s="1" t="e">
        <f>AG104/VLOOKUP(A104,'[35]geoMap (32)'!$A:$B,2,0)*VLOOKUP(A104,'[35]geoMap (32)'!$A:$C,3,0)</f>
        <v>#REF!</v>
      </c>
      <c r="AI104" s="1" t="e">
        <f>AH104/VLOOKUP(A104,'[36]geoMap (33)'!$A:$B,2,0)*VLOOKUP(A104,'[36]geoMap (33)'!$A:$C,3,0)</f>
        <v>#REF!</v>
      </c>
      <c r="AJ104" s="1" t="e">
        <f>AI104/VLOOKUP(A104,'[37]geoMap (34)'!$A:$B,2,0)*VLOOKUP(A104,'[37]geoMap (34)'!$A:$C,3,0)</f>
        <v>#REF!</v>
      </c>
      <c r="AK104" s="1" t="e">
        <f>AJ104/VLOOKUP(A104,'[38]geoMap (35)'!$A:$B,2,0)*VLOOKUP(A104,'[38]geoMap (35)'!$A:$C,3,0)</f>
        <v>#REF!</v>
      </c>
      <c r="AL104" s="1" t="e">
        <f>AK104/VLOOKUP(A104,'[39]geoMap (36)'!$A:$B,2,0)*VLOOKUP(A104,'[39]geoMap (36)'!$A:$C,3,0)</f>
        <v>#REF!</v>
      </c>
      <c r="AM104" s="1" t="e">
        <f>AL104/VLOOKUP(A104,'[40]geoMap (37)'!$A:$B,2,0)*VLOOKUP(A104,'[40]geoMap (37)'!$A:$C,3,0)</f>
        <v>#REF!</v>
      </c>
      <c r="AN104" s="1" t="e">
        <f>AM104/VLOOKUP(A104,'[41]geoMap (38)'!$A:$B,2,0)*VLOOKUP(A104,'[41]geoMap (38)'!$A:$C,3,0)</f>
        <v>#REF!</v>
      </c>
      <c r="AO104" s="1" t="e">
        <f>AN104/VLOOKUP(A104,'[42]geoMap (39)'!$A:$B,2,0)*VLOOKUP(A104,'[42]geoMap (39)'!$A:$C,3,0)</f>
        <v>#REF!</v>
      </c>
      <c r="AP104" s="1" t="e">
        <f>AO104/VLOOKUP(A104,'[43]geoMap (40)'!$A:$B,2,0)*VLOOKUP(A104,'[43]geoMap (40)'!$A:$C,3,0)</f>
        <v>#REF!</v>
      </c>
      <c r="AQ104" s="1" t="e">
        <f>AP104/VLOOKUP(A104,'[44]geoMap (41)'!$A:$B,2,0)*VLOOKUP(A104,'[44]geoMap (41)'!$A:$C,3,0)</f>
        <v>#REF!</v>
      </c>
      <c r="AR104" s="1" t="e">
        <f>AQ104/VLOOKUP(A104,'[45]geoMap (42)'!$A:$B,2,0)*VLOOKUP(A104,'[45]geoMap (42)'!$A:$C,3,0)</f>
        <v>#REF!</v>
      </c>
      <c r="AS104" s="1" t="e">
        <f>AR104/VLOOKUP(A104,'[46]geoMap (43)'!$A:$B,2,0)*VLOOKUP(A104,'[46]geoMap (43)'!$A:$C,3,0)</f>
        <v>#REF!</v>
      </c>
      <c r="AT104" s="1" t="e">
        <f>AS104/VLOOKUP(A104,'[47]geoMap (44)'!$A:$B,2,0)*VLOOKUP(A104,'[47]geoMap (44)'!$A:$C,3,0)</f>
        <v>#REF!</v>
      </c>
      <c r="AU104" s="1" t="e">
        <f>AT104/VLOOKUP(A104,'[48]geoMap (45)'!$A:$B,2,0)*VLOOKUP(A104,'[48]geoMap (45)'!$A:$C,3,0)</f>
        <v>#REF!</v>
      </c>
      <c r="AV104" s="1" t="e">
        <f>AU104/VLOOKUP(A104,'[49]geoMap (46)'!$A:$B,2,0)*VLOOKUP(A104,'[49]geoMap (46)'!$A:$C,3,0)</f>
        <v>#REF!</v>
      </c>
      <c r="AW104" s="1" t="e">
        <f>AV104/VLOOKUP(A104,'[50]geoMap (47)'!$A:$B,2,0)*VLOOKUP(A104,'[50]geoMap (47)'!$A:$C,3,0)</f>
        <v>#REF!</v>
      </c>
      <c r="AX104" s="1" t="e">
        <f>AW104/VLOOKUP(A104,'[51]geoMap (48)'!$A:$B,2,0)*VLOOKUP(A104,'[51]geoMap (48)'!$A:$C,3,0)</f>
        <v>#REF!</v>
      </c>
      <c r="AY104" s="1" t="e">
        <f>AX104/VLOOKUP(A104,'[52]geoMap (49)'!$A:$B,2,0)*VLOOKUP(A104,'[52]geoMap (49)'!$A:$C,3,0)</f>
        <v>#REF!</v>
      </c>
      <c r="AZ104" s="1" t="e">
        <f>AY104/VLOOKUP(A104,'[53]geoMap (50)'!$A:$B,2,0)*VLOOKUP(A104,'[53]geoMap (50)'!$A:$C,3,0)</f>
        <v>#REF!</v>
      </c>
      <c r="BA104" s="1" t="e">
        <f>AZ104/VLOOKUP(A104,'[54]geoMap (51)'!$A:$B,2,0)*VLOOKUP(A104,'[54]geoMap (51)'!$A:$C,3,0)</f>
        <v>#REF!</v>
      </c>
      <c r="BB104" s="1" t="e">
        <f>BA104/VLOOKUP(A104,'[55]geoMap (52)'!$A:$B,2,0)*VLOOKUP(A104,'[55]geoMap (52)'!$A:$C,3,0)</f>
        <v>#REF!</v>
      </c>
      <c r="BC104" s="1" t="e">
        <f>BB104/VLOOKUP(A104,'[56]geoMap (53)'!$A:$B,2,0)*VLOOKUP(A104,'[56]geoMap (53)'!$A:$C,3,0)</f>
        <v>#REF!</v>
      </c>
      <c r="BD104" s="1" t="e">
        <f>BC104/VLOOKUP(A104,'[57]geoMap (54)'!$A:$B,2,0)*VLOOKUP(A104,'[57]geoMap (54)'!$A:$C,3,0)</f>
        <v>#REF!</v>
      </c>
      <c r="BE104" s="1" t="e">
        <f>BD104/VLOOKUP(A104,'[58]geoMap (55)'!$A:$B,2,0)*VLOOKUP(A104,'[58]geoMap (55)'!$A:$C,3,0)</f>
        <v>#REF!</v>
      </c>
      <c r="BF104" s="1" t="e">
        <f>BE104/VLOOKUP(A104,'[59]geoMap (56)'!$A:$B,2,0)*VLOOKUP(A104,'[59]geoMap (56)'!$A:$C,3,0)</f>
        <v>#REF!</v>
      </c>
      <c r="BG104" s="1" t="e">
        <f>BF104/VLOOKUP(A104,'[60]geoMap (57)'!$A:$B,2,0)*VLOOKUP(A104,'[60]geoMap (57)'!$A:$C,3,0)</f>
        <v>#REF!</v>
      </c>
      <c r="BH104" s="1" t="e">
        <f>BG104/VLOOKUP(A104,'[61]geoMap (58)'!$A:$B,2,0)*VLOOKUP(A104,'[61]geoMap (58)'!$A:$C,3,0)</f>
        <v>#REF!</v>
      </c>
      <c r="BI104" s="1" t="e">
        <f>BH104/VLOOKUP(A104,'[62]geoMap (59)'!$A:$B,2,0)*VLOOKUP(A104,'[62]geoMap (59)'!$A:$C,3,0)</f>
        <v>#REF!</v>
      </c>
      <c r="BJ104" s="1" t="e">
        <f>BI104/VLOOKUP(A104,'[63]geoMap (60)'!$A:$B,2,0)*VLOOKUP(A104,'[63]geoMap (60)'!$A:$C,3,0)</f>
        <v>#REF!</v>
      </c>
      <c r="BK104" s="1" t="e">
        <f>BJ104/VLOOKUP(A104,'[64]geoMap (61)'!$A:$B,2,0)*VLOOKUP(A104,'[64]geoMap (61)'!$A:$C,3,0)</f>
        <v>#REF!</v>
      </c>
      <c r="BL104" s="1" t="e">
        <f>BK104/VLOOKUP(A104,'[65]geoMap (62)'!$A:$B,2,0)*VLOOKUP(A104,'[65]geoMap (62)'!$A:$C,3,0)</f>
        <v>#REF!</v>
      </c>
      <c r="BM104" s="1" t="e">
        <f>BL104/VLOOKUP(A104,'[66]geoMap (63)'!$A:$B,2,0)*VLOOKUP(A104,'[66]geoMap (63)'!$A:$C,3,0)</f>
        <v>#REF!</v>
      </c>
      <c r="BN104" s="1" t="e">
        <f>BM104/VLOOKUP(A104,'[67]geoMap (64)'!$A:$B,2,0)*VLOOKUP(A104,'[67]geoMap (64)'!$A:$C,3,0)</f>
        <v>#REF!</v>
      </c>
      <c r="BO104" s="1" t="e">
        <f>BN104/VLOOKUP(A104,'[68]geoMap (65)'!$A:$B,2,0)*VLOOKUP(A104,'[68]geoMap (65)'!$A:$C,3,0)</f>
        <v>#REF!</v>
      </c>
      <c r="BP104" s="1" t="e">
        <f>BO104/VLOOKUP(A104,'[69]geoMap (66)'!$A:$B,2,0)*VLOOKUP(A104,'[69]geoMap (66)'!$A:$C,3,0)</f>
        <v>#REF!</v>
      </c>
    </row>
    <row r="105" spans="1:68" hidden="1" x14ac:dyDescent="0.2">
      <c r="A105" s="1" t="s">
        <v>49</v>
      </c>
      <c r="B105" s="1" t="e">
        <f>VLOOKUP(A105,[3]geoMap!$A:$B,2,0)*Notes!$C$6</f>
        <v>#REF!</v>
      </c>
      <c r="C105" s="1" t="e">
        <f>B105/VLOOKUP(A105,'[4]geoMap (1)'!$A:$B,2,0)*VLOOKUP(A105,'[4]geoMap (1)'!$A:$C,3,0)</f>
        <v>#REF!</v>
      </c>
      <c r="D105" s="1" t="e">
        <f>C105/VLOOKUP(A105,'[5]geoMap (2)'!$A:$B,2,0)*VLOOKUP(A105,'[5]geoMap (2)'!$A:$C,3,0)</f>
        <v>#REF!</v>
      </c>
      <c r="E105" s="1" t="e">
        <f>D105/VLOOKUP(A105,'[6]geoMap (3)'!$A:$B,2,0)*VLOOKUP(A105,'[6]geoMap (3)'!$A:$C,3,0)</f>
        <v>#REF!</v>
      </c>
      <c r="F105" s="1" t="e">
        <f>E105/VLOOKUP(A105,'[7]geoMap (4)'!$A:$B,2,0)*VLOOKUP(A105,'[7]geoMap (4)'!$A:$C,3,0)</f>
        <v>#REF!</v>
      </c>
      <c r="G105" s="1" t="e">
        <f>F105/VLOOKUP(A105,'[8]geoMap (5)'!$A:$B,2,0)*VLOOKUP(A105,'[8]geoMap (5)'!$A:$C,3,0)</f>
        <v>#REF!</v>
      </c>
      <c r="H105" s="1" t="e">
        <f>G105/VLOOKUP(A105,'[9]geoMap (6)'!$A:$B,2,0)*VLOOKUP(A105,'[9]geoMap (6)'!$A:$C,3,0)</f>
        <v>#REF!</v>
      </c>
      <c r="I105" s="1" t="e">
        <f>H105/VLOOKUP(A105,'[10]geoMap (7)'!$A:$B,2,0)*VLOOKUP(A105,'[10]geoMap (7)'!$A:$C,3,0)</f>
        <v>#REF!</v>
      </c>
      <c r="J105" s="1" t="e">
        <f>I105/VLOOKUP(A105,'[11]geoMap (8)'!$A:$B,2,0)*VLOOKUP(A105,'[11]geoMap (8)'!$A:$C,3,0)</f>
        <v>#REF!</v>
      </c>
      <c r="K105" s="1" t="e">
        <f>J105/VLOOKUP(A105,'[12]geoMap (9)'!$A:$B,2,0)*VLOOKUP(A105,'[12]geoMap (9)'!$A:$C,3,0)</f>
        <v>#REF!</v>
      </c>
      <c r="L105" s="1" t="e">
        <f>K105/VLOOKUP(A105,'[13]geoMap (10)'!$A:$B,2,0)*VLOOKUP(A105,'[13]geoMap (10)'!$A:$C,3,0)</f>
        <v>#REF!</v>
      </c>
      <c r="M105" s="1" t="e">
        <f>L105/VLOOKUP(A105,'[14]geoMap (11)'!$A:$B,2,0)*VLOOKUP(A105,'[14]geoMap (11)'!$A:$C,3,0)</f>
        <v>#REF!</v>
      </c>
      <c r="N105" s="1" t="e">
        <f>M105/VLOOKUP(A105,'[15]geoMap (12)'!$A:$B,2,0)*VLOOKUP(A105,'[15]geoMap (12)'!$A:$C,3,0)</f>
        <v>#REF!</v>
      </c>
      <c r="O105" s="1" t="e">
        <f>N105/VLOOKUP(A105,'[16]geoMap (13)'!$A:$B,2,0)*VLOOKUP(A105,'[16]geoMap (13)'!$A:$C,3,0)</f>
        <v>#REF!</v>
      </c>
      <c r="P105" s="1" t="e">
        <f>O105/VLOOKUP(A105,'[17]geoMap (14)'!$A:$B,2,0)*VLOOKUP(A105,'[17]geoMap (14)'!$A:$C,3,0)</f>
        <v>#REF!</v>
      </c>
      <c r="Q105" s="1" t="e">
        <f>P105/VLOOKUP(A105,'[18]geoMap (15)'!$A:$B,2,0)*VLOOKUP(A105,'[18]geoMap (15)'!$A:$C,3,0)</f>
        <v>#REF!</v>
      </c>
      <c r="R105" s="1" t="e">
        <f>Q105/VLOOKUP(A105,'[19]geoMap (16)'!$A:$B,2,0)*VLOOKUP(A105,'[19]geoMap (16)'!$A:$C,3,0)</f>
        <v>#REF!</v>
      </c>
      <c r="S105" s="1" t="e">
        <f>R105/VLOOKUP(A105,'[20]geoMap (17)'!$A:$B,2,0)*VLOOKUP(A105,'[20]geoMap (17)'!$A:$C,3,0)</f>
        <v>#REF!</v>
      </c>
      <c r="T105" s="1" t="e">
        <f>S105/VLOOKUP(A105,'[21]geoMap (18)'!$A:$B,2,0)*VLOOKUP(A105,'[21]geoMap (18)'!$A:$C,3,0)</f>
        <v>#REF!</v>
      </c>
      <c r="U105" s="1" t="e">
        <f>T105/VLOOKUP(A105,'[22]geoMap (19)'!$A:$B,2,0)*VLOOKUP(A105,'[22]geoMap (19)'!$A:$C,3,0)</f>
        <v>#REF!</v>
      </c>
      <c r="V105" s="1" t="e">
        <f>U105/VLOOKUP(A105,'[23]geoMap (20)'!$A:$B,2,0)*VLOOKUP(A105,'[23]geoMap (20)'!$A:$C,3,0)</f>
        <v>#REF!</v>
      </c>
      <c r="W105" s="1" t="e">
        <f>V105/VLOOKUP(A105,'[24]geoMap (21)'!$A:$B,2,0)*VLOOKUP(A105,'[24]geoMap (21)'!$A:$C,3,0)</f>
        <v>#REF!</v>
      </c>
      <c r="X105" s="1" t="e">
        <f>W105/VLOOKUP(A105,'[25]geoMap (22)'!$A:$B,2,0)*VLOOKUP(A105,'[25]geoMap (22)'!$A:$C,3,0)</f>
        <v>#REF!</v>
      </c>
      <c r="Y105" s="1" t="e">
        <f>X105/VLOOKUP(A105,'[26]geoMap (23)'!$A:$B,2,0)*VLOOKUP(A105,'[26]geoMap (23)'!$A:$C,3,0)</f>
        <v>#REF!</v>
      </c>
      <c r="Z105" s="1" t="e">
        <f>Y105/VLOOKUP(A105,'[27]geoMap (24)'!$A:$B,2,0)*VLOOKUP(A105,'[27]geoMap (24)'!$A:$C,3,0)</f>
        <v>#REF!</v>
      </c>
      <c r="AA105" s="1" t="e">
        <f>Z105/VLOOKUP(A105,'[28]geoMap (25)'!$A:$B,2,0)*VLOOKUP(A105,'[28]geoMap (25)'!$A:$C,3,0)</f>
        <v>#REF!</v>
      </c>
      <c r="AB105" s="1" t="e">
        <f>AA105*VLOOKUP(A105,'[29]geoMap (26)'!$A:$B,2,0)*VLOOKUP(A105,'[29]geoMap (26)'!$A:$C,3,0)</f>
        <v>#REF!</v>
      </c>
      <c r="AC105" s="1" t="e">
        <f>AB105/VLOOKUP(A105,'[30]geoMap (27)'!$A:$B,2,0)*VLOOKUP(A105,'[30]geoMap (27)'!$A:$C,3,0)</f>
        <v>#REF!</v>
      </c>
      <c r="AD105" s="1" t="e">
        <f>AC105/VLOOKUP(A105,'[31]geoMap (28)'!$A:$B,2,0)*VLOOKUP(A105,'[31]geoMap (28)'!$A:$C,3,0)</f>
        <v>#REF!</v>
      </c>
      <c r="AE105" s="1" t="e">
        <f>AD105/VLOOKUP(A105,'[32]geoMap (29)'!$A:$B,2,0)*VLOOKUP(A105,'[32]geoMap (29)'!$A:$C,3,0)</f>
        <v>#REF!</v>
      </c>
      <c r="AF105" s="1" t="e">
        <f>AE105/VLOOKUP(A105,'[33]geoMap (30)'!$A:$B,2,0)*VLOOKUP(A105,'[33]geoMap (30)'!$A:$C,3,0)</f>
        <v>#REF!</v>
      </c>
      <c r="AG105" s="1" t="e">
        <f>AF105/VLOOKUP(A105,'[34]geoMap (31)'!$A:$B,2,0)*VLOOKUP(A105,'[34]geoMap (31)'!$A:$C,3,0)</f>
        <v>#REF!</v>
      </c>
      <c r="AH105" s="1" t="e">
        <f>AG105/VLOOKUP(A105,'[35]geoMap (32)'!$A:$B,2,0)*VLOOKUP(A105,'[35]geoMap (32)'!$A:$C,3,0)</f>
        <v>#REF!</v>
      </c>
      <c r="AI105" s="1" t="e">
        <f>AH105/VLOOKUP(A105,'[36]geoMap (33)'!$A:$B,2,0)*VLOOKUP(A105,'[36]geoMap (33)'!$A:$C,3,0)</f>
        <v>#REF!</v>
      </c>
      <c r="AJ105" s="1" t="e">
        <f>AI105/VLOOKUP(A105,'[37]geoMap (34)'!$A:$B,2,0)*VLOOKUP(A105,'[37]geoMap (34)'!$A:$C,3,0)</f>
        <v>#REF!</v>
      </c>
      <c r="AK105" s="1" t="e">
        <f>AJ105/VLOOKUP(A105,'[38]geoMap (35)'!$A:$B,2,0)*VLOOKUP(A105,'[38]geoMap (35)'!$A:$C,3,0)</f>
        <v>#REF!</v>
      </c>
      <c r="AL105" s="1" t="e">
        <f>AK105/VLOOKUP(A105,'[39]geoMap (36)'!$A:$B,2,0)*VLOOKUP(A105,'[39]geoMap (36)'!$A:$C,3,0)</f>
        <v>#REF!</v>
      </c>
      <c r="AM105" s="1" t="e">
        <f>AL105/VLOOKUP(A105,'[40]geoMap (37)'!$A:$B,2,0)*VLOOKUP(A105,'[40]geoMap (37)'!$A:$C,3,0)</f>
        <v>#REF!</v>
      </c>
      <c r="AN105" s="1" t="e">
        <f>AM105/VLOOKUP(A105,'[41]geoMap (38)'!$A:$B,2,0)*VLOOKUP(A105,'[41]geoMap (38)'!$A:$C,3,0)</f>
        <v>#REF!</v>
      </c>
      <c r="AO105" s="1" t="e">
        <f>AN105/VLOOKUP(A105,'[42]geoMap (39)'!$A:$B,2,0)*VLOOKUP(A105,'[42]geoMap (39)'!$A:$C,3,0)</f>
        <v>#REF!</v>
      </c>
      <c r="AP105" s="1" t="e">
        <f>AO105/VLOOKUP(A105,'[43]geoMap (40)'!$A:$B,2,0)*VLOOKUP(A105,'[43]geoMap (40)'!$A:$C,3,0)</f>
        <v>#REF!</v>
      </c>
      <c r="AQ105" s="1" t="e">
        <f>AP105/VLOOKUP(A105,'[44]geoMap (41)'!$A:$B,2,0)*VLOOKUP(A105,'[44]geoMap (41)'!$A:$C,3,0)</f>
        <v>#REF!</v>
      </c>
      <c r="AR105" s="1" t="e">
        <f>AQ105/VLOOKUP(A105,'[45]geoMap (42)'!$A:$B,2,0)*VLOOKUP(A105,'[45]geoMap (42)'!$A:$C,3,0)</f>
        <v>#REF!</v>
      </c>
      <c r="AS105" s="1" t="e">
        <f>AR105/VLOOKUP(A105,'[46]geoMap (43)'!$A:$B,2,0)*VLOOKUP(A105,'[46]geoMap (43)'!$A:$C,3,0)</f>
        <v>#REF!</v>
      </c>
      <c r="AT105" s="1" t="e">
        <f>AS105/VLOOKUP(A105,'[47]geoMap (44)'!$A:$B,2,0)*VLOOKUP(A105,'[47]geoMap (44)'!$A:$C,3,0)</f>
        <v>#REF!</v>
      </c>
      <c r="AU105" s="1" t="e">
        <f>AT105/VLOOKUP(A105,'[48]geoMap (45)'!$A:$B,2,0)*VLOOKUP(A105,'[48]geoMap (45)'!$A:$C,3,0)</f>
        <v>#REF!</v>
      </c>
      <c r="AV105" s="1" t="e">
        <f>AU105/VLOOKUP(A105,'[49]geoMap (46)'!$A:$B,2,0)*VLOOKUP(A105,'[49]geoMap (46)'!$A:$C,3,0)</f>
        <v>#REF!</v>
      </c>
      <c r="AW105" s="1" t="e">
        <f>AV105/VLOOKUP(A105,'[50]geoMap (47)'!$A:$B,2,0)*VLOOKUP(A105,'[50]geoMap (47)'!$A:$C,3,0)</f>
        <v>#REF!</v>
      </c>
      <c r="AX105" s="1" t="e">
        <f>AW105/VLOOKUP(A105,'[51]geoMap (48)'!$A:$B,2,0)*VLOOKUP(A105,'[51]geoMap (48)'!$A:$C,3,0)</f>
        <v>#REF!</v>
      </c>
      <c r="AY105" s="1" t="e">
        <f>AX105/VLOOKUP(A105,'[52]geoMap (49)'!$A:$B,2,0)*VLOOKUP(A105,'[52]geoMap (49)'!$A:$C,3,0)</f>
        <v>#REF!</v>
      </c>
      <c r="AZ105" s="1" t="e">
        <f>AY105/VLOOKUP(A105,'[53]geoMap (50)'!$A:$B,2,0)*VLOOKUP(A105,'[53]geoMap (50)'!$A:$C,3,0)</f>
        <v>#REF!</v>
      </c>
      <c r="BA105" s="1" t="e">
        <f>AZ105/VLOOKUP(A105,'[54]geoMap (51)'!$A:$B,2,0)*VLOOKUP(A105,'[54]geoMap (51)'!$A:$C,3,0)</f>
        <v>#REF!</v>
      </c>
      <c r="BB105" s="1" t="e">
        <f>BA105/VLOOKUP(A105,'[55]geoMap (52)'!$A:$B,2,0)*VLOOKUP(A105,'[55]geoMap (52)'!$A:$C,3,0)</f>
        <v>#REF!</v>
      </c>
      <c r="BC105" s="1" t="e">
        <f>BB105/VLOOKUP(A105,'[56]geoMap (53)'!$A:$B,2,0)*VLOOKUP(A105,'[56]geoMap (53)'!$A:$C,3,0)</f>
        <v>#REF!</v>
      </c>
      <c r="BD105" s="1" t="e">
        <f>BC105/VLOOKUP(A105,'[57]geoMap (54)'!$A:$B,2,0)*VLOOKUP(A105,'[57]geoMap (54)'!$A:$C,3,0)</f>
        <v>#REF!</v>
      </c>
      <c r="BE105" s="1" t="e">
        <f>BD105/VLOOKUP(A105,'[58]geoMap (55)'!$A:$B,2,0)*VLOOKUP(A105,'[58]geoMap (55)'!$A:$C,3,0)</f>
        <v>#REF!</v>
      </c>
      <c r="BF105" s="1" t="e">
        <f>BE105/VLOOKUP(A105,'[59]geoMap (56)'!$A:$B,2,0)*VLOOKUP(A105,'[59]geoMap (56)'!$A:$C,3,0)</f>
        <v>#REF!</v>
      </c>
      <c r="BG105" s="1" t="e">
        <f>BF105/VLOOKUP(A105,'[60]geoMap (57)'!$A:$B,2,0)*VLOOKUP(A105,'[60]geoMap (57)'!$A:$C,3,0)</f>
        <v>#REF!</v>
      </c>
      <c r="BH105" s="1" t="e">
        <f>BG105/VLOOKUP(A105,'[61]geoMap (58)'!$A:$B,2,0)*VLOOKUP(A105,'[61]geoMap (58)'!$A:$C,3,0)</f>
        <v>#REF!</v>
      </c>
      <c r="BI105" s="1" t="e">
        <f>BH105/VLOOKUP(A105,'[62]geoMap (59)'!$A:$B,2,0)*VLOOKUP(A105,'[62]geoMap (59)'!$A:$C,3,0)</f>
        <v>#REF!</v>
      </c>
      <c r="BJ105" s="1" t="e">
        <f>BI105/VLOOKUP(A105,'[63]geoMap (60)'!$A:$B,2,0)*VLOOKUP(A105,'[63]geoMap (60)'!$A:$C,3,0)</f>
        <v>#REF!</v>
      </c>
      <c r="BK105" s="1" t="e">
        <f>BJ105/VLOOKUP(A105,'[64]geoMap (61)'!$A:$B,2,0)*VLOOKUP(A105,'[64]geoMap (61)'!$A:$C,3,0)</f>
        <v>#REF!</v>
      </c>
      <c r="BL105" s="1" t="e">
        <f>BK105/VLOOKUP(A105,'[65]geoMap (62)'!$A:$B,2,0)*VLOOKUP(A105,'[65]geoMap (62)'!$A:$C,3,0)</f>
        <v>#REF!</v>
      </c>
      <c r="BM105" s="1" t="e">
        <f>BL105/VLOOKUP(A105,'[66]geoMap (63)'!$A:$B,2,0)*VLOOKUP(A105,'[66]geoMap (63)'!$A:$C,3,0)</f>
        <v>#REF!</v>
      </c>
      <c r="BN105" s="1" t="e">
        <f>BM105/VLOOKUP(A105,'[67]geoMap (64)'!$A:$B,2,0)*VLOOKUP(A105,'[67]geoMap (64)'!$A:$C,3,0)</f>
        <v>#REF!</v>
      </c>
      <c r="BO105" s="1" t="e">
        <f>BN105/VLOOKUP(A105,'[68]geoMap (65)'!$A:$B,2,0)*VLOOKUP(A105,'[68]geoMap (65)'!$A:$C,3,0)</f>
        <v>#REF!</v>
      </c>
      <c r="BP105" s="1" t="e">
        <f>BO105/VLOOKUP(A105,'[69]geoMap (66)'!$A:$B,2,0)*VLOOKUP(A105,'[69]geoMap (66)'!$A:$C,3,0)</f>
        <v>#REF!</v>
      </c>
    </row>
    <row r="106" spans="1:68" hidden="1" x14ac:dyDescent="0.2">
      <c r="A106" s="1" t="s">
        <v>50</v>
      </c>
      <c r="B106" s="1" t="e">
        <f>VLOOKUP(A106,[3]geoMap!$A:$B,2,0)*Notes!$C$6</f>
        <v>#REF!</v>
      </c>
      <c r="C106" s="1" t="e">
        <f>B106/VLOOKUP(A106,'[4]geoMap (1)'!$A:$B,2,0)*VLOOKUP(A106,'[4]geoMap (1)'!$A:$C,3,0)</f>
        <v>#REF!</v>
      </c>
      <c r="D106" s="1" t="e">
        <f>C106/VLOOKUP(A106,'[5]geoMap (2)'!$A:$B,2,0)*VLOOKUP(A106,'[5]geoMap (2)'!$A:$C,3,0)</f>
        <v>#REF!</v>
      </c>
      <c r="E106" s="1" t="e">
        <f>D106/VLOOKUP(A106,'[6]geoMap (3)'!$A:$B,2,0)*VLOOKUP(A106,'[6]geoMap (3)'!$A:$C,3,0)</f>
        <v>#REF!</v>
      </c>
      <c r="F106" s="1" t="e">
        <f>E106/VLOOKUP(A106,'[7]geoMap (4)'!$A:$B,2,0)*VLOOKUP(A106,'[7]geoMap (4)'!$A:$C,3,0)</f>
        <v>#REF!</v>
      </c>
      <c r="G106" s="1" t="e">
        <f>F106/VLOOKUP(A106,'[8]geoMap (5)'!$A:$B,2,0)*VLOOKUP(A106,'[8]geoMap (5)'!$A:$C,3,0)</f>
        <v>#REF!</v>
      </c>
      <c r="H106" s="1" t="e">
        <f>G106/VLOOKUP(A106,'[9]geoMap (6)'!$A:$B,2,0)*VLOOKUP(A106,'[9]geoMap (6)'!$A:$C,3,0)</f>
        <v>#REF!</v>
      </c>
      <c r="I106" s="1" t="e">
        <f>H106/VLOOKUP(A106,'[10]geoMap (7)'!$A:$B,2,0)*VLOOKUP(A106,'[10]geoMap (7)'!$A:$C,3,0)</f>
        <v>#REF!</v>
      </c>
      <c r="J106" s="1" t="e">
        <f>I106/VLOOKUP(A106,'[11]geoMap (8)'!$A:$B,2,0)*VLOOKUP(A106,'[11]geoMap (8)'!$A:$C,3,0)</f>
        <v>#REF!</v>
      </c>
      <c r="K106" s="1" t="e">
        <f>J106/VLOOKUP(A106,'[12]geoMap (9)'!$A:$B,2,0)*VLOOKUP(A106,'[12]geoMap (9)'!$A:$C,3,0)</f>
        <v>#REF!</v>
      </c>
      <c r="L106" s="1" t="e">
        <f>K106/VLOOKUP(A106,'[13]geoMap (10)'!$A:$B,2,0)*VLOOKUP(A106,'[13]geoMap (10)'!$A:$C,3,0)</f>
        <v>#REF!</v>
      </c>
      <c r="M106" s="1" t="e">
        <f>L106/VLOOKUP(A106,'[14]geoMap (11)'!$A:$B,2,0)*VLOOKUP(A106,'[14]geoMap (11)'!$A:$C,3,0)</f>
        <v>#REF!</v>
      </c>
      <c r="N106" s="1" t="e">
        <f>M106/VLOOKUP(A106,'[15]geoMap (12)'!$A:$B,2,0)*VLOOKUP(A106,'[15]geoMap (12)'!$A:$C,3,0)</f>
        <v>#REF!</v>
      </c>
      <c r="O106" s="1" t="e">
        <f>N106/VLOOKUP(A106,'[16]geoMap (13)'!$A:$B,2,0)*VLOOKUP(A106,'[16]geoMap (13)'!$A:$C,3,0)</f>
        <v>#REF!</v>
      </c>
      <c r="P106" s="1" t="e">
        <f>O106/VLOOKUP(A106,'[17]geoMap (14)'!$A:$B,2,0)*VLOOKUP(A106,'[17]geoMap (14)'!$A:$C,3,0)</f>
        <v>#REF!</v>
      </c>
      <c r="Q106" s="1" t="e">
        <f>P106/VLOOKUP(A106,'[18]geoMap (15)'!$A:$B,2,0)*VLOOKUP(A106,'[18]geoMap (15)'!$A:$C,3,0)</f>
        <v>#REF!</v>
      </c>
      <c r="R106" s="1" t="e">
        <f>Q106/VLOOKUP(A106,'[19]geoMap (16)'!$A:$B,2,0)*VLOOKUP(A106,'[19]geoMap (16)'!$A:$C,3,0)</f>
        <v>#REF!</v>
      </c>
      <c r="S106" s="1" t="e">
        <f>R106/VLOOKUP(A106,'[20]geoMap (17)'!$A:$B,2,0)*VLOOKUP(A106,'[20]geoMap (17)'!$A:$C,3,0)</f>
        <v>#REF!</v>
      </c>
      <c r="T106" s="1" t="e">
        <f>S106/VLOOKUP(A106,'[21]geoMap (18)'!$A:$B,2,0)*VLOOKUP(A106,'[21]geoMap (18)'!$A:$C,3,0)</f>
        <v>#REF!</v>
      </c>
      <c r="U106" s="1" t="e">
        <f>T106/VLOOKUP(A106,'[22]geoMap (19)'!$A:$B,2,0)*VLOOKUP(A106,'[22]geoMap (19)'!$A:$C,3,0)</f>
        <v>#REF!</v>
      </c>
      <c r="V106" s="1" t="e">
        <f>U106/VLOOKUP(A106,'[23]geoMap (20)'!$A:$B,2,0)*VLOOKUP(A106,'[23]geoMap (20)'!$A:$C,3,0)</f>
        <v>#REF!</v>
      </c>
      <c r="W106" s="1" t="e">
        <f>V106/VLOOKUP(A106,'[24]geoMap (21)'!$A:$B,2,0)*VLOOKUP(A106,'[24]geoMap (21)'!$A:$C,3,0)</f>
        <v>#REF!</v>
      </c>
      <c r="X106" s="1" t="e">
        <f>W106/VLOOKUP(A106,'[25]geoMap (22)'!$A:$B,2,0)*VLOOKUP(A106,'[25]geoMap (22)'!$A:$C,3,0)</f>
        <v>#REF!</v>
      </c>
      <c r="Y106" s="1" t="e">
        <f>X106/VLOOKUP(A106,'[26]geoMap (23)'!$A:$B,2,0)*VLOOKUP(A106,'[26]geoMap (23)'!$A:$C,3,0)</f>
        <v>#REF!</v>
      </c>
      <c r="Z106" s="1" t="e">
        <f>Y106/VLOOKUP(A106,'[27]geoMap (24)'!$A:$B,2,0)*VLOOKUP(A106,'[27]geoMap (24)'!$A:$C,3,0)</f>
        <v>#REF!</v>
      </c>
      <c r="AA106" s="1" t="e">
        <f>Z106/VLOOKUP(A106,'[28]geoMap (25)'!$A:$B,2,0)*VLOOKUP(A106,'[28]geoMap (25)'!$A:$C,3,0)</f>
        <v>#REF!</v>
      </c>
      <c r="AB106" s="1" t="e">
        <f>AA106*VLOOKUP(A106,'[29]geoMap (26)'!$A:$B,2,0)*VLOOKUP(A106,'[29]geoMap (26)'!$A:$C,3,0)</f>
        <v>#REF!</v>
      </c>
      <c r="AC106" s="1" t="e">
        <f>AB106/VLOOKUP(A106,'[30]geoMap (27)'!$A:$B,2,0)*VLOOKUP(A106,'[30]geoMap (27)'!$A:$C,3,0)</f>
        <v>#REF!</v>
      </c>
      <c r="AD106" s="1" t="e">
        <f>AC106/VLOOKUP(A106,'[31]geoMap (28)'!$A:$B,2,0)*VLOOKUP(A106,'[31]geoMap (28)'!$A:$C,3,0)</f>
        <v>#REF!</v>
      </c>
      <c r="AE106" s="1" t="e">
        <f>AD106/VLOOKUP(A106,'[32]geoMap (29)'!$A:$B,2,0)*VLOOKUP(A106,'[32]geoMap (29)'!$A:$C,3,0)</f>
        <v>#REF!</v>
      </c>
      <c r="AF106" s="1" t="e">
        <f>AE106/VLOOKUP(A106,'[33]geoMap (30)'!$A:$B,2,0)*VLOOKUP(A106,'[33]geoMap (30)'!$A:$C,3,0)</f>
        <v>#REF!</v>
      </c>
      <c r="AG106" s="1" t="e">
        <f>AF106/VLOOKUP(A106,'[34]geoMap (31)'!$A:$B,2,0)*VLOOKUP(A106,'[34]geoMap (31)'!$A:$C,3,0)</f>
        <v>#REF!</v>
      </c>
      <c r="AH106" s="1" t="e">
        <f>AG106/VLOOKUP(A106,'[35]geoMap (32)'!$A:$B,2,0)*VLOOKUP(A106,'[35]geoMap (32)'!$A:$C,3,0)</f>
        <v>#REF!</v>
      </c>
      <c r="AI106" s="1" t="e">
        <f>AH106/VLOOKUP(A106,'[36]geoMap (33)'!$A:$B,2,0)*VLOOKUP(A106,'[36]geoMap (33)'!$A:$C,3,0)</f>
        <v>#REF!</v>
      </c>
      <c r="AJ106" s="1" t="e">
        <f>AI106/VLOOKUP(A106,'[37]geoMap (34)'!$A:$B,2,0)*VLOOKUP(A106,'[37]geoMap (34)'!$A:$C,3,0)</f>
        <v>#REF!</v>
      </c>
      <c r="AK106" s="1" t="e">
        <f>AJ106/VLOOKUP(A106,'[38]geoMap (35)'!$A:$B,2,0)*VLOOKUP(A106,'[38]geoMap (35)'!$A:$C,3,0)</f>
        <v>#REF!</v>
      </c>
      <c r="AL106" s="1" t="e">
        <f>AK106/VLOOKUP(A106,'[39]geoMap (36)'!$A:$B,2,0)*VLOOKUP(A106,'[39]geoMap (36)'!$A:$C,3,0)</f>
        <v>#REF!</v>
      </c>
      <c r="AM106" s="1" t="e">
        <f>AL106/VLOOKUP(A106,'[40]geoMap (37)'!$A:$B,2,0)*VLOOKUP(A106,'[40]geoMap (37)'!$A:$C,3,0)</f>
        <v>#REF!</v>
      </c>
      <c r="AN106" s="1" t="e">
        <f>AM106/VLOOKUP(A106,'[41]geoMap (38)'!$A:$B,2,0)*VLOOKUP(A106,'[41]geoMap (38)'!$A:$C,3,0)</f>
        <v>#REF!</v>
      </c>
      <c r="AO106" s="1" t="e">
        <f>AN106/VLOOKUP(A106,'[42]geoMap (39)'!$A:$B,2,0)*VLOOKUP(A106,'[42]geoMap (39)'!$A:$C,3,0)</f>
        <v>#REF!</v>
      </c>
      <c r="AP106" s="1" t="e">
        <f>AO106/VLOOKUP(A106,'[43]geoMap (40)'!$A:$B,2,0)*VLOOKUP(A106,'[43]geoMap (40)'!$A:$C,3,0)</f>
        <v>#REF!</v>
      </c>
      <c r="AQ106" s="1" t="e">
        <f>AP106/VLOOKUP(A106,'[44]geoMap (41)'!$A:$B,2,0)*VLOOKUP(A106,'[44]geoMap (41)'!$A:$C,3,0)</f>
        <v>#REF!</v>
      </c>
      <c r="AR106" s="1" t="e">
        <f>AQ106/VLOOKUP(A106,'[45]geoMap (42)'!$A:$B,2,0)*VLOOKUP(A106,'[45]geoMap (42)'!$A:$C,3,0)</f>
        <v>#REF!</v>
      </c>
      <c r="AS106" s="1" t="e">
        <f>AR106/VLOOKUP(A106,'[46]geoMap (43)'!$A:$B,2,0)*VLOOKUP(A106,'[46]geoMap (43)'!$A:$C,3,0)</f>
        <v>#REF!</v>
      </c>
      <c r="AT106" s="1" t="e">
        <f>AS106/VLOOKUP(A106,'[47]geoMap (44)'!$A:$B,2,0)*VLOOKUP(A106,'[47]geoMap (44)'!$A:$C,3,0)</f>
        <v>#REF!</v>
      </c>
      <c r="AU106" s="1" t="e">
        <f>AT106/VLOOKUP(A106,'[48]geoMap (45)'!$A:$B,2,0)*VLOOKUP(A106,'[48]geoMap (45)'!$A:$C,3,0)</f>
        <v>#REF!</v>
      </c>
      <c r="AV106" s="1" t="e">
        <f>AU106/VLOOKUP(A106,'[49]geoMap (46)'!$A:$B,2,0)*VLOOKUP(A106,'[49]geoMap (46)'!$A:$C,3,0)</f>
        <v>#REF!</v>
      </c>
      <c r="AW106" s="1" t="e">
        <f>AV106/VLOOKUP(A106,'[50]geoMap (47)'!$A:$B,2,0)*VLOOKUP(A106,'[50]geoMap (47)'!$A:$C,3,0)</f>
        <v>#REF!</v>
      </c>
      <c r="AX106" s="1" t="e">
        <f>AW106/VLOOKUP(A106,'[51]geoMap (48)'!$A:$B,2,0)*VLOOKUP(A106,'[51]geoMap (48)'!$A:$C,3,0)</f>
        <v>#REF!</v>
      </c>
      <c r="AY106" s="1" t="e">
        <f>AX106/VLOOKUP(A106,'[52]geoMap (49)'!$A:$B,2,0)*VLOOKUP(A106,'[52]geoMap (49)'!$A:$C,3,0)</f>
        <v>#REF!</v>
      </c>
      <c r="AZ106" s="1" t="e">
        <f>AY106/VLOOKUP(A106,'[53]geoMap (50)'!$A:$B,2,0)*VLOOKUP(A106,'[53]geoMap (50)'!$A:$C,3,0)</f>
        <v>#REF!</v>
      </c>
      <c r="BA106" s="1" t="e">
        <f>AZ106/VLOOKUP(A106,'[54]geoMap (51)'!$A:$B,2,0)*VLOOKUP(A106,'[54]geoMap (51)'!$A:$C,3,0)</f>
        <v>#REF!</v>
      </c>
      <c r="BB106" s="1" t="e">
        <f>BA106/VLOOKUP(A106,'[55]geoMap (52)'!$A:$B,2,0)*VLOOKUP(A106,'[55]geoMap (52)'!$A:$C,3,0)</f>
        <v>#REF!</v>
      </c>
      <c r="BC106" s="1" t="e">
        <f>BB106/VLOOKUP(A106,'[56]geoMap (53)'!$A:$B,2,0)*VLOOKUP(A106,'[56]geoMap (53)'!$A:$C,3,0)</f>
        <v>#REF!</v>
      </c>
      <c r="BD106" s="1" t="e">
        <f>BC106/VLOOKUP(A106,'[57]geoMap (54)'!$A:$B,2,0)*VLOOKUP(A106,'[57]geoMap (54)'!$A:$C,3,0)</f>
        <v>#REF!</v>
      </c>
      <c r="BE106" s="1" t="e">
        <f>BD106/VLOOKUP(A106,'[58]geoMap (55)'!$A:$B,2,0)*VLOOKUP(A106,'[58]geoMap (55)'!$A:$C,3,0)</f>
        <v>#REF!</v>
      </c>
      <c r="BF106" s="1" t="e">
        <f>BE106/VLOOKUP(A106,'[59]geoMap (56)'!$A:$B,2,0)*VLOOKUP(A106,'[59]geoMap (56)'!$A:$C,3,0)</f>
        <v>#REF!</v>
      </c>
      <c r="BG106" s="1" t="e">
        <f>BF106/VLOOKUP(A106,'[60]geoMap (57)'!$A:$B,2,0)*VLOOKUP(A106,'[60]geoMap (57)'!$A:$C,3,0)</f>
        <v>#REF!</v>
      </c>
      <c r="BH106" s="1" t="e">
        <f>BG106/VLOOKUP(A106,'[61]geoMap (58)'!$A:$B,2,0)*VLOOKUP(A106,'[61]geoMap (58)'!$A:$C,3,0)</f>
        <v>#REF!</v>
      </c>
      <c r="BI106" s="1" t="e">
        <f>BH106/VLOOKUP(A106,'[62]geoMap (59)'!$A:$B,2,0)*VLOOKUP(A106,'[62]geoMap (59)'!$A:$C,3,0)</f>
        <v>#REF!</v>
      </c>
      <c r="BJ106" s="1" t="e">
        <f>BI106/VLOOKUP(A106,'[63]geoMap (60)'!$A:$B,2,0)*VLOOKUP(A106,'[63]geoMap (60)'!$A:$C,3,0)</f>
        <v>#REF!</v>
      </c>
      <c r="BK106" s="1" t="e">
        <f>BJ106/VLOOKUP(A106,'[64]geoMap (61)'!$A:$B,2,0)*VLOOKUP(A106,'[64]geoMap (61)'!$A:$C,3,0)</f>
        <v>#REF!</v>
      </c>
      <c r="BL106" s="1" t="e">
        <f>BK106/VLOOKUP(A106,'[65]geoMap (62)'!$A:$B,2,0)*VLOOKUP(A106,'[65]geoMap (62)'!$A:$C,3,0)</f>
        <v>#REF!</v>
      </c>
      <c r="BM106" s="1" t="e">
        <f>BL106/VLOOKUP(A106,'[66]geoMap (63)'!$A:$B,2,0)*VLOOKUP(A106,'[66]geoMap (63)'!$A:$C,3,0)</f>
        <v>#REF!</v>
      </c>
      <c r="BN106" s="1" t="e">
        <f>BM106/VLOOKUP(A106,'[67]geoMap (64)'!$A:$B,2,0)*VLOOKUP(A106,'[67]geoMap (64)'!$A:$C,3,0)</f>
        <v>#REF!</v>
      </c>
      <c r="BO106" s="1" t="e">
        <f>BN106/VLOOKUP(A106,'[68]geoMap (65)'!$A:$B,2,0)*VLOOKUP(A106,'[68]geoMap (65)'!$A:$C,3,0)</f>
        <v>#REF!</v>
      </c>
      <c r="BP106" s="1" t="e">
        <f>BO106/VLOOKUP(A106,'[69]geoMap (66)'!$A:$B,2,0)*VLOOKUP(A106,'[69]geoMap (66)'!$A:$C,3,0)</f>
        <v>#REF!</v>
      </c>
    </row>
    <row r="107" spans="1:68" hidden="1" x14ac:dyDescent="0.2">
      <c r="A107" s="1" t="s">
        <v>51</v>
      </c>
      <c r="B107" s="1" t="e">
        <f>VLOOKUP(A107,[3]geoMap!$A:$B,2,0)*Notes!$C$6</f>
        <v>#REF!</v>
      </c>
      <c r="C107" s="1" t="e">
        <f>B107/VLOOKUP(A107,'[4]geoMap (1)'!$A:$B,2,0)*VLOOKUP(A107,'[4]geoMap (1)'!$A:$C,3,0)</f>
        <v>#REF!</v>
      </c>
      <c r="D107" s="1" t="e">
        <f>C107/VLOOKUP(A107,'[5]geoMap (2)'!$A:$B,2,0)*VLOOKUP(A107,'[5]geoMap (2)'!$A:$C,3,0)</f>
        <v>#REF!</v>
      </c>
      <c r="E107" s="1" t="e">
        <f>D107/VLOOKUP(A107,'[6]geoMap (3)'!$A:$B,2,0)*VLOOKUP(A107,'[6]geoMap (3)'!$A:$C,3,0)</f>
        <v>#REF!</v>
      </c>
      <c r="F107" s="1" t="e">
        <f>E107/VLOOKUP(A107,'[7]geoMap (4)'!$A:$B,2,0)*VLOOKUP(A107,'[7]geoMap (4)'!$A:$C,3,0)</f>
        <v>#REF!</v>
      </c>
      <c r="G107" s="1" t="e">
        <f>F107/VLOOKUP(A107,'[8]geoMap (5)'!$A:$B,2,0)*VLOOKUP(A107,'[8]geoMap (5)'!$A:$C,3,0)</f>
        <v>#REF!</v>
      </c>
      <c r="H107" s="1" t="e">
        <f>G107/VLOOKUP(A107,'[9]geoMap (6)'!$A:$B,2,0)*VLOOKUP(A107,'[9]geoMap (6)'!$A:$C,3,0)</f>
        <v>#REF!</v>
      </c>
      <c r="I107" s="1" t="e">
        <f>H107/VLOOKUP(A107,'[10]geoMap (7)'!$A:$B,2,0)*VLOOKUP(A107,'[10]geoMap (7)'!$A:$C,3,0)</f>
        <v>#REF!</v>
      </c>
      <c r="J107" s="1" t="e">
        <f>I107/VLOOKUP(A107,'[11]geoMap (8)'!$A:$B,2,0)*VLOOKUP(A107,'[11]geoMap (8)'!$A:$C,3,0)</f>
        <v>#REF!</v>
      </c>
      <c r="K107" s="1" t="e">
        <f>J107/VLOOKUP(A107,'[12]geoMap (9)'!$A:$B,2,0)*VLOOKUP(A107,'[12]geoMap (9)'!$A:$C,3,0)</f>
        <v>#REF!</v>
      </c>
      <c r="L107" s="1" t="e">
        <f>K107/VLOOKUP(A107,'[13]geoMap (10)'!$A:$B,2,0)*VLOOKUP(A107,'[13]geoMap (10)'!$A:$C,3,0)</f>
        <v>#REF!</v>
      </c>
      <c r="M107" s="1" t="e">
        <f>L107/VLOOKUP(A107,'[14]geoMap (11)'!$A:$B,2,0)*VLOOKUP(A107,'[14]geoMap (11)'!$A:$C,3,0)</f>
        <v>#REF!</v>
      </c>
      <c r="N107" s="1" t="e">
        <f>M107/VLOOKUP(A107,'[15]geoMap (12)'!$A:$B,2,0)*VLOOKUP(A107,'[15]geoMap (12)'!$A:$C,3,0)</f>
        <v>#REF!</v>
      </c>
      <c r="O107" s="1" t="e">
        <f>N107/VLOOKUP(A107,'[16]geoMap (13)'!$A:$B,2,0)*VLOOKUP(A107,'[16]geoMap (13)'!$A:$C,3,0)</f>
        <v>#REF!</v>
      </c>
      <c r="P107" s="1" t="e">
        <f>O107/VLOOKUP(A107,'[17]geoMap (14)'!$A:$B,2,0)*VLOOKUP(A107,'[17]geoMap (14)'!$A:$C,3,0)</f>
        <v>#REF!</v>
      </c>
      <c r="Q107" s="1" t="e">
        <f>P107/VLOOKUP(A107,'[18]geoMap (15)'!$A:$B,2,0)*VLOOKUP(A107,'[18]geoMap (15)'!$A:$C,3,0)</f>
        <v>#REF!</v>
      </c>
      <c r="R107" s="1" t="e">
        <f>Q107/VLOOKUP(A107,'[19]geoMap (16)'!$A:$B,2,0)*VLOOKUP(A107,'[19]geoMap (16)'!$A:$C,3,0)</f>
        <v>#REF!</v>
      </c>
      <c r="S107" s="1" t="e">
        <f>R107/VLOOKUP(A107,'[20]geoMap (17)'!$A:$B,2,0)*VLOOKUP(A107,'[20]geoMap (17)'!$A:$C,3,0)</f>
        <v>#REF!</v>
      </c>
      <c r="T107" s="1" t="e">
        <f>S107/VLOOKUP(A107,'[21]geoMap (18)'!$A:$B,2,0)*VLOOKUP(A107,'[21]geoMap (18)'!$A:$C,3,0)</f>
        <v>#REF!</v>
      </c>
      <c r="U107" s="1" t="e">
        <f>T107/VLOOKUP(A107,'[22]geoMap (19)'!$A:$B,2,0)*VLOOKUP(A107,'[22]geoMap (19)'!$A:$C,3,0)</f>
        <v>#REF!</v>
      </c>
      <c r="V107" s="1" t="e">
        <f>U107/VLOOKUP(A107,'[23]geoMap (20)'!$A:$B,2,0)*VLOOKUP(A107,'[23]geoMap (20)'!$A:$C,3,0)</f>
        <v>#REF!</v>
      </c>
      <c r="W107" s="1" t="e">
        <f>V107/VLOOKUP(A107,'[24]geoMap (21)'!$A:$B,2,0)*VLOOKUP(A107,'[24]geoMap (21)'!$A:$C,3,0)</f>
        <v>#REF!</v>
      </c>
      <c r="X107" s="1" t="e">
        <f>W107/VLOOKUP(A107,'[25]geoMap (22)'!$A:$B,2,0)*VLOOKUP(A107,'[25]geoMap (22)'!$A:$C,3,0)</f>
        <v>#REF!</v>
      </c>
      <c r="Y107" s="1" t="e">
        <f>X107/VLOOKUP(A107,'[26]geoMap (23)'!$A:$B,2,0)*VLOOKUP(A107,'[26]geoMap (23)'!$A:$C,3,0)</f>
        <v>#REF!</v>
      </c>
      <c r="Z107" s="1" t="e">
        <f>Y107/VLOOKUP(A107,'[27]geoMap (24)'!$A:$B,2,0)*VLOOKUP(A107,'[27]geoMap (24)'!$A:$C,3,0)</f>
        <v>#REF!</v>
      </c>
      <c r="AA107" s="1" t="e">
        <f>Z107/VLOOKUP(A107,'[28]geoMap (25)'!$A:$B,2,0)*VLOOKUP(A107,'[28]geoMap (25)'!$A:$C,3,0)</f>
        <v>#REF!</v>
      </c>
      <c r="AB107" s="1" t="e">
        <f>AA107*VLOOKUP(A107,'[29]geoMap (26)'!$A:$B,2,0)*VLOOKUP(A107,'[29]geoMap (26)'!$A:$C,3,0)</f>
        <v>#REF!</v>
      </c>
      <c r="AC107" s="1" t="e">
        <f>AB107/VLOOKUP(A107,'[30]geoMap (27)'!$A:$B,2,0)*VLOOKUP(A107,'[30]geoMap (27)'!$A:$C,3,0)</f>
        <v>#REF!</v>
      </c>
      <c r="AD107" s="1" t="e">
        <f>AC107/VLOOKUP(A107,'[31]geoMap (28)'!$A:$B,2,0)*VLOOKUP(A107,'[31]geoMap (28)'!$A:$C,3,0)</f>
        <v>#REF!</v>
      </c>
      <c r="AE107" s="1" t="e">
        <f>AD107/VLOOKUP(A107,'[32]geoMap (29)'!$A:$B,2,0)*VLOOKUP(A107,'[32]geoMap (29)'!$A:$C,3,0)</f>
        <v>#REF!</v>
      </c>
      <c r="AF107" s="1" t="e">
        <f>AE107/VLOOKUP(A107,'[33]geoMap (30)'!$A:$B,2,0)*VLOOKUP(A107,'[33]geoMap (30)'!$A:$C,3,0)</f>
        <v>#REF!</v>
      </c>
      <c r="AG107" s="1" t="e">
        <f>AF107/VLOOKUP(A107,'[34]geoMap (31)'!$A:$B,2,0)*VLOOKUP(A107,'[34]geoMap (31)'!$A:$C,3,0)</f>
        <v>#REF!</v>
      </c>
      <c r="AH107" s="1" t="e">
        <f>AG107/VLOOKUP(A107,'[35]geoMap (32)'!$A:$B,2,0)*VLOOKUP(A107,'[35]geoMap (32)'!$A:$C,3,0)</f>
        <v>#REF!</v>
      </c>
      <c r="AI107" s="1" t="e">
        <f>AH107/VLOOKUP(A107,'[36]geoMap (33)'!$A:$B,2,0)*VLOOKUP(A107,'[36]geoMap (33)'!$A:$C,3,0)</f>
        <v>#REF!</v>
      </c>
      <c r="AJ107" s="1" t="e">
        <f>AI107/VLOOKUP(A107,'[37]geoMap (34)'!$A:$B,2,0)*VLOOKUP(A107,'[37]geoMap (34)'!$A:$C,3,0)</f>
        <v>#REF!</v>
      </c>
      <c r="AK107" s="1" t="e">
        <f>AJ107/VLOOKUP(A107,'[38]geoMap (35)'!$A:$B,2,0)*VLOOKUP(A107,'[38]geoMap (35)'!$A:$C,3,0)</f>
        <v>#REF!</v>
      </c>
      <c r="AL107" s="1" t="e">
        <f>AK107/VLOOKUP(A107,'[39]geoMap (36)'!$A:$B,2,0)*VLOOKUP(A107,'[39]geoMap (36)'!$A:$C,3,0)</f>
        <v>#REF!</v>
      </c>
      <c r="AM107" s="1" t="e">
        <f>AL107/VLOOKUP(A107,'[40]geoMap (37)'!$A:$B,2,0)*VLOOKUP(A107,'[40]geoMap (37)'!$A:$C,3,0)</f>
        <v>#REF!</v>
      </c>
      <c r="AN107" s="1" t="e">
        <f>AM107/VLOOKUP(A107,'[41]geoMap (38)'!$A:$B,2,0)*VLOOKUP(A107,'[41]geoMap (38)'!$A:$C,3,0)</f>
        <v>#REF!</v>
      </c>
      <c r="AO107" s="1" t="e">
        <f>AN107/VLOOKUP(A107,'[42]geoMap (39)'!$A:$B,2,0)*VLOOKUP(A107,'[42]geoMap (39)'!$A:$C,3,0)</f>
        <v>#REF!</v>
      </c>
      <c r="AP107" s="1" t="e">
        <f>AO107/VLOOKUP(A107,'[43]geoMap (40)'!$A:$B,2,0)*VLOOKUP(A107,'[43]geoMap (40)'!$A:$C,3,0)</f>
        <v>#REF!</v>
      </c>
      <c r="AQ107" s="1" t="e">
        <f>AP107/VLOOKUP(A107,'[44]geoMap (41)'!$A:$B,2,0)*VLOOKUP(A107,'[44]geoMap (41)'!$A:$C,3,0)</f>
        <v>#REF!</v>
      </c>
      <c r="AR107" s="1" t="e">
        <f>AQ107/VLOOKUP(A107,'[45]geoMap (42)'!$A:$B,2,0)*VLOOKUP(A107,'[45]geoMap (42)'!$A:$C,3,0)</f>
        <v>#REF!</v>
      </c>
      <c r="AS107" s="1" t="e">
        <f>AR107/VLOOKUP(A107,'[46]geoMap (43)'!$A:$B,2,0)*VLOOKUP(A107,'[46]geoMap (43)'!$A:$C,3,0)</f>
        <v>#REF!</v>
      </c>
      <c r="AT107" s="1" t="e">
        <f>AS107/VLOOKUP(A107,'[47]geoMap (44)'!$A:$B,2,0)*VLOOKUP(A107,'[47]geoMap (44)'!$A:$C,3,0)</f>
        <v>#REF!</v>
      </c>
      <c r="AU107" s="1" t="e">
        <f>AT107/VLOOKUP(A107,'[48]geoMap (45)'!$A:$B,2,0)*VLOOKUP(A107,'[48]geoMap (45)'!$A:$C,3,0)</f>
        <v>#REF!</v>
      </c>
      <c r="AV107" s="1" t="e">
        <f>AU107/VLOOKUP(A107,'[49]geoMap (46)'!$A:$B,2,0)*VLOOKUP(A107,'[49]geoMap (46)'!$A:$C,3,0)</f>
        <v>#REF!</v>
      </c>
      <c r="AW107" s="1" t="e">
        <f>AV107/VLOOKUP(A107,'[50]geoMap (47)'!$A:$B,2,0)*VLOOKUP(A107,'[50]geoMap (47)'!$A:$C,3,0)</f>
        <v>#REF!</v>
      </c>
      <c r="AX107" s="1" t="e">
        <f>AW107/VLOOKUP(A107,'[51]geoMap (48)'!$A:$B,2,0)*VLOOKUP(A107,'[51]geoMap (48)'!$A:$C,3,0)</f>
        <v>#REF!</v>
      </c>
      <c r="AY107" s="1" t="e">
        <f>AX107/VLOOKUP(A107,'[52]geoMap (49)'!$A:$B,2,0)*VLOOKUP(A107,'[52]geoMap (49)'!$A:$C,3,0)</f>
        <v>#REF!</v>
      </c>
      <c r="AZ107" s="1" t="e">
        <f>AY107/VLOOKUP(A107,'[53]geoMap (50)'!$A:$B,2,0)*VLOOKUP(A107,'[53]geoMap (50)'!$A:$C,3,0)</f>
        <v>#REF!</v>
      </c>
      <c r="BA107" s="1" t="e">
        <f>AZ107/VLOOKUP(A107,'[54]geoMap (51)'!$A:$B,2,0)*VLOOKUP(A107,'[54]geoMap (51)'!$A:$C,3,0)</f>
        <v>#REF!</v>
      </c>
      <c r="BB107" s="1" t="e">
        <f>BA107/VLOOKUP(A107,'[55]geoMap (52)'!$A:$B,2,0)*VLOOKUP(A107,'[55]geoMap (52)'!$A:$C,3,0)</f>
        <v>#REF!</v>
      </c>
      <c r="BC107" s="1" t="e">
        <f>BB107/VLOOKUP(A107,'[56]geoMap (53)'!$A:$B,2,0)*VLOOKUP(A107,'[56]geoMap (53)'!$A:$C,3,0)</f>
        <v>#REF!</v>
      </c>
      <c r="BD107" s="1" t="e">
        <f>BC107/VLOOKUP(A107,'[57]geoMap (54)'!$A:$B,2,0)*VLOOKUP(A107,'[57]geoMap (54)'!$A:$C,3,0)</f>
        <v>#REF!</v>
      </c>
      <c r="BE107" s="1" t="e">
        <f>BD107/VLOOKUP(A107,'[58]geoMap (55)'!$A:$B,2,0)*VLOOKUP(A107,'[58]geoMap (55)'!$A:$C,3,0)</f>
        <v>#REF!</v>
      </c>
      <c r="BF107" s="1" t="e">
        <f>BE107/VLOOKUP(A107,'[59]geoMap (56)'!$A:$B,2,0)*VLOOKUP(A107,'[59]geoMap (56)'!$A:$C,3,0)</f>
        <v>#REF!</v>
      </c>
      <c r="BG107" s="1" t="e">
        <f>BF107/VLOOKUP(A107,'[60]geoMap (57)'!$A:$B,2,0)*VLOOKUP(A107,'[60]geoMap (57)'!$A:$C,3,0)</f>
        <v>#REF!</v>
      </c>
      <c r="BH107" s="1" t="e">
        <f>BG107/VLOOKUP(A107,'[61]geoMap (58)'!$A:$B,2,0)*VLOOKUP(A107,'[61]geoMap (58)'!$A:$C,3,0)</f>
        <v>#REF!</v>
      </c>
      <c r="BI107" s="1" t="e">
        <f>BH107/VLOOKUP(A107,'[62]geoMap (59)'!$A:$B,2,0)*VLOOKUP(A107,'[62]geoMap (59)'!$A:$C,3,0)</f>
        <v>#REF!</v>
      </c>
      <c r="BJ107" s="1" t="e">
        <f>BI107/VLOOKUP(A107,'[63]geoMap (60)'!$A:$B,2,0)*VLOOKUP(A107,'[63]geoMap (60)'!$A:$C,3,0)</f>
        <v>#REF!</v>
      </c>
      <c r="BK107" s="1" t="e">
        <f>BJ107/VLOOKUP(A107,'[64]geoMap (61)'!$A:$B,2,0)*VLOOKUP(A107,'[64]geoMap (61)'!$A:$C,3,0)</f>
        <v>#REF!</v>
      </c>
      <c r="BL107" s="1" t="e">
        <f>BK107/VLOOKUP(A107,'[65]geoMap (62)'!$A:$B,2,0)*VLOOKUP(A107,'[65]geoMap (62)'!$A:$C,3,0)</f>
        <v>#REF!</v>
      </c>
      <c r="BM107" s="1" t="e">
        <f>BL107/VLOOKUP(A107,'[66]geoMap (63)'!$A:$B,2,0)*VLOOKUP(A107,'[66]geoMap (63)'!$A:$C,3,0)</f>
        <v>#REF!</v>
      </c>
      <c r="BN107" s="1" t="e">
        <f>BM107/VLOOKUP(A107,'[67]geoMap (64)'!$A:$B,2,0)*VLOOKUP(A107,'[67]geoMap (64)'!$A:$C,3,0)</f>
        <v>#REF!</v>
      </c>
      <c r="BO107" s="1" t="e">
        <f>BN107/VLOOKUP(A107,'[68]geoMap (65)'!$A:$B,2,0)*VLOOKUP(A107,'[68]geoMap (65)'!$A:$C,3,0)</f>
        <v>#REF!</v>
      </c>
      <c r="BP107" s="1" t="e">
        <f>BO107/VLOOKUP(A107,'[69]geoMap (66)'!$A:$B,2,0)*VLOOKUP(A107,'[69]geoMap (66)'!$A:$C,3,0)</f>
        <v>#REF!</v>
      </c>
    </row>
    <row r="108" spans="1:68" hidden="1" x14ac:dyDescent="0.2">
      <c r="A108" s="1" t="s">
        <v>52</v>
      </c>
      <c r="B108" s="1" t="e">
        <f>VLOOKUP(A108,[3]geoMap!$A:$B,2,0)*Notes!$C$6</f>
        <v>#REF!</v>
      </c>
      <c r="C108" s="1" t="e">
        <f>B108/VLOOKUP(A108,'[4]geoMap (1)'!$A:$B,2,0)*VLOOKUP(A108,'[4]geoMap (1)'!$A:$C,3,0)</f>
        <v>#REF!</v>
      </c>
      <c r="D108" s="1" t="e">
        <f>C108/VLOOKUP(A108,'[5]geoMap (2)'!$A:$B,2,0)*VLOOKUP(A108,'[5]geoMap (2)'!$A:$C,3,0)</f>
        <v>#REF!</v>
      </c>
      <c r="E108" s="1" t="e">
        <f>D108/VLOOKUP(A108,'[6]geoMap (3)'!$A:$B,2,0)*VLOOKUP(A108,'[6]geoMap (3)'!$A:$C,3,0)</f>
        <v>#REF!</v>
      </c>
      <c r="F108" s="1" t="e">
        <f>E108/VLOOKUP(A108,'[7]geoMap (4)'!$A:$B,2,0)*VLOOKUP(A108,'[7]geoMap (4)'!$A:$C,3,0)</f>
        <v>#REF!</v>
      </c>
      <c r="G108" s="1" t="e">
        <f>F108/VLOOKUP(A108,'[8]geoMap (5)'!$A:$B,2,0)*VLOOKUP(A108,'[8]geoMap (5)'!$A:$C,3,0)</f>
        <v>#REF!</v>
      </c>
      <c r="H108" s="1" t="e">
        <f>G108/VLOOKUP(A108,'[9]geoMap (6)'!$A:$B,2,0)*VLOOKUP(A108,'[9]geoMap (6)'!$A:$C,3,0)</f>
        <v>#REF!</v>
      </c>
      <c r="I108" s="1" t="e">
        <f>H108/VLOOKUP(A108,'[10]geoMap (7)'!$A:$B,2,0)*VLOOKUP(A108,'[10]geoMap (7)'!$A:$C,3,0)</f>
        <v>#REF!</v>
      </c>
      <c r="J108" s="1" t="e">
        <f>I108/VLOOKUP(A108,'[11]geoMap (8)'!$A:$B,2,0)*VLOOKUP(A108,'[11]geoMap (8)'!$A:$C,3,0)</f>
        <v>#REF!</v>
      </c>
      <c r="K108" s="1" t="e">
        <f>J108/VLOOKUP(A108,'[12]geoMap (9)'!$A:$B,2,0)*VLOOKUP(A108,'[12]geoMap (9)'!$A:$C,3,0)</f>
        <v>#REF!</v>
      </c>
      <c r="L108" s="1" t="e">
        <f>K108/VLOOKUP(A108,'[13]geoMap (10)'!$A:$B,2,0)*VLOOKUP(A108,'[13]geoMap (10)'!$A:$C,3,0)</f>
        <v>#REF!</v>
      </c>
      <c r="M108" s="1" t="e">
        <f>L108/VLOOKUP(A108,'[14]geoMap (11)'!$A:$B,2,0)*VLOOKUP(A108,'[14]geoMap (11)'!$A:$C,3,0)</f>
        <v>#REF!</v>
      </c>
      <c r="N108" s="1" t="e">
        <f>M108/VLOOKUP(A108,'[15]geoMap (12)'!$A:$B,2,0)*VLOOKUP(A108,'[15]geoMap (12)'!$A:$C,3,0)</f>
        <v>#REF!</v>
      </c>
      <c r="O108" s="1" t="e">
        <f>N108/VLOOKUP(A108,'[16]geoMap (13)'!$A:$B,2,0)*VLOOKUP(A108,'[16]geoMap (13)'!$A:$C,3,0)</f>
        <v>#REF!</v>
      </c>
      <c r="P108" s="1" t="e">
        <f>O108/VLOOKUP(A108,'[17]geoMap (14)'!$A:$B,2,0)*VLOOKUP(A108,'[17]geoMap (14)'!$A:$C,3,0)</f>
        <v>#REF!</v>
      </c>
      <c r="Q108" s="1" t="e">
        <f>P108/VLOOKUP(A108,'[18]geoMap (15)'!$A:$B,2,0)*VLOOKUP(A108,'[18]geoMap (15)'!$A:$C,3,0)</f>
        <v>#REF!</v>
      </c>
      <c r="R108" s="1" t="e">
        <f>Q108/VLOOKUP(A108,'[19]geoMap (16)'!$A:$B,2,0)*VLOOKUP(A108,'[19]geoMap (16)'!$A:$C,3,0)</f>
        <v>#REF!</v>
      </c>
      <c r="S108" s="1" t="e">
        <f>R108/VLOOKUP(A108,'[20]geoMap (17)'!$A:$B,2,0)*VLOOKUP(A108,'[20]geoMap (17)'!$A:$C,3,0)</f>
        <v>#REF!</v>
      </c>
      <c r="T108" s="1" t="e">
        <f>S108/VLOOKUP(A108,'[21]geoMap (18)'!$A:$B,2,0)*VLOOKUP(A108,'[21]geoMap (18)'!$A:$C,3,0)</f>
        <v>#REF!</v>
      </c>
      <c r="U108" s="1" t="e">
        <f>T108/VLOOKUP(A108,'[22]geoMap (19)'!$A:$B,2,0)*VLOOKUP(A108,'[22]geoMap (19)'!$A:$C,3,0)</f>
        <v>#REF!</v>
      </c>
      <c r="V108" s="1" t="e">
        <f>U108/VLOOKUP(A108,'[23]geoMap (20)'!$A:$B,2,0)*VLOOKUP(A108,'[23]geoMap (20)'!$A:$C,3,0)</f>
        <v>#REF!</v>
      </c>
      <c r="W108" s="1" t="e">
        <f>V108/VLOOKUP(A108,'[24]geoMap (21)'!$A:$B,2,0)*VLOOKUP(A108,'[24]geoMap (21)'!$A:$C,3,0)</f>
        <v>#REF!</v>
      </c>
      <c r="X108" s="1" t="e">
        <f>W108/VLOOKUP(A108,'[25]geoMap (22)'!$A:$B,2,0)*VLOOKUP(A108,'[25]geoMap (22)'!$A:$C,3,0)</f>
        <v>#REF!</v>
      </c>
      <c r="Y108" s="1" t="e">
        <f>X108/VLOOKUP(A108,'[26]geoMap (23)'!$A:$B,2,0)*VLOOKUP(A108,'[26]geoMap (23)'!$A:$C,3,0)</f>
        <v>#REF!</v>
      </c>
      <c r="Z108" s="1" t="e">
        <f>Y108/VLOOKUP(A108,'[27]geoMap (24)'!$A:$B,2,0)*VLOOKUP(A108,'[27]geoMap (24)'!$A:$C,3,0)</f>
        <v>#REF!</v>
      </c>
      <c r="AA108" s="1" t="e">
        <f>Z108/VLOOKUP(A108,'[28]geoMap (25)'!$A:$B,2,0)*VLOOKUP(A108,'[28]geoMap (25)'!$A:$C,3,0)</f>
        <v>#REF!</v>
      </c>
      <c r="AB108" s="1" t="e">
        <f>AA108*VLOOKUP(A108,'[29]geoMap (26)'!$A:$B,2,0)*VLOOKUP(A108,'[29]geoMap (26)'!$A:$C,3,0)</f>
        <v>#REF!</v>
      </c>
      <c r="AC108" s="1" t="e">
        <f>AB108/VLOOKUP(A108,'[30]geoMap (27)'!$A:$B,2,0)*VLOOKUP(A108,'[30]geoMap (27)'!$A:$C,3,0)</f>
        <v>#REF!</v>
      </c>
      <c r="AD108" s="1" t="e">
        <f>AC108/VLOOKUP(A108,'[31]geoMap (28)'!$A:$B,2,0)*VLOOKUP(A108,'[31]geoMap (28)'!$A:$C,3,0)</f>
        <v>#REF!</v>
      </c>
      <c r="AE108" s="1" t="e">
        <f>AD108/VLOOKUP(A108,'[32]geoMap (29)'!$A:$B,2,0)*VLOOKUP(A108,'[32]geoMap (29)'!$A:$C,3,0)</f>
        <v>#REF!</v>
      </c>
      <c r="AF108" s="1" t="e">
        <f>AE108/VLOOKUP(A108,'[33]geoMap (30)'!$A:$B,2,0)*VLOOKUP(A108,'[33]geoMap (30)'!$A:$C,3,0)</f>
        <v>#REF!</v>
      </c>
      <c r="AG108" s="1" t="e">
        <f>AF108/VLOOKUP(A108,'[34]geoMap (31)'!$A:$B,2,0)*VLOOKUP(A108,'[34]geoMap (31)'!$A:$C,3,0)</f>
        <v>#REF!</v>
      </c>
      <c r="AH108" s="1" t="e">
        <f>AG108/VLOOKUP(A108,'[35]geoMap (32)'!$A:$B,2,0)*VLOOKUP(A108,'[35]geoMap (32)'!$A:$C,3,0)</f>
        <v>#REF!</v>
      </c>
      <c r="AI108" s="1" t="e">
        <f>AH108/VLOOKUP(A108,'[36]geoMap (33)'!$A:$B,2,0)*VLOOKUP(A108,'[36]geoMap (33)'!$A:$C,3,0)</f>
        <v>#REF!</v>
      </c>
      <c r="AJ108" s="1" t="e">
        <f>AI108/VLOOKUP(A108,'[37]geoMap (34)'!$A:$B,2,0)*VLOOKUP(A108,'[37]geoMap (34)'!$A:$C,3,0)</f>
        <v>#REF!</v>
      </c>
      <c r="AK108" s="1" t="e">
        <f>AJ108/VLOOKUP(A108,'[38]geoMap (35)'!$A:$B,2,0)*VLOOKUP(A108,'[38]geoMap (35)'!$A:$C,3,0)</f>
        <v>#REF!</v>
      </c>
      <c r="AL108" s="1" t="e">
        <f>AK108/VLOOKUP(A108,'[39]geoMap (36)'!$A:$B,2,0)*VLOOKUP(A108,'[39]geoMap (36)'!$A:$C,3,0)</f>
        <v>#REF!</v>
      </c>
      <c r="AM108" s="1" t="e">
        <f>AL108/VLOOKUP(A108,'[40]geoMap (37)'!$A:$B,2,0)*VLOOKUP(A108,'[40]geoMap (37)'!$A:$C,3,0)</f>
        <v>#REF!</v>
      </c>
      <c r="AN108" s="1" t="e">
        <f>AM108/VLOOKUP(A108,'[41]geoMap (38)'!$A:$B,2,0)*VLOOKUP(A108,'[41]geoMap (38)'!$A:$C,3,0)</f>
        <v>#REF!</v>
      </c>
      <c r="AO108" s="1" t="e">
        <f>AN108/VLOOKUP(A108,'[42]geoMap (39)'!$A:$B,2,0)*VLOOKUP(A108,'[42]geoMap (39)'!$A:$C,3,0)</f>
        <v>#REF!</v>
      </c>
      <c r="AP108" s="1" t="e">
        <f>AO108/VLOOKUP(A108,'[43]geoMap (40)'!$A:$B,2,0)*VLOOKUP(A108,'[43]geoMap (40)'!$A:$C,3,0)</f>
        <v>#REF!</v>
      </c>
      <c r="AQ108" s="1" t="e">
        <f>AP108/VLOOKUP(A108,'[44]geoMap (41)'!$A:$B,2,0)*VLOOKUP(A108,'[44]geoMap (41)'!$A:$C,3,0)</f>
        <v>#REF!</v>
      </c>
      <c r="AR108" s="1" t="e">
        <f>AQ108/VLOOKUP(A108,'[45]geoMap (42)'!$A:$B,2,0)*VLOOKUP(A108,'[45]geoMap (42)'!$A:$C,3,0)</f>
        <v>#REF!</v>
      </c>
      <c r="AS108" s="1" t="e">
        <f>AR108/VLOOKUP(A108,'[46]geoMap (43)'!$A:$B,2,0)*VLOOKUP(A108,'[46]geoMap (43)'!$A:$C,3,0)</f>
        <v>#REF!</v>
      </c>
      <c r="AT108" s="1" t="e">
        <f>AS108/VLOOKUP(A108,'[47]geoMap (44)'!$A:$B,2,0)*VLOOKUP(A108,'[47]geoMap (44)'!$A:$C,3,0)</f>
        <v>#REF!</v>
      </c>
      <c r="AU108" s="1" t="e">
        <f>AT108/VLOOKUP(A108,'[48]geoMap (45)'!$A:$B,2,0)*VLOOKUP(A108,'[48]geoMap (45)'!$A:$C,3,0)</f>
        <v>#REF!</v>
      </c>
      <c r="AV108" s="1" t="e">
        <f>AU108/VLOOKUP(A108,'[49]geoMap (46)'!$A:$B,2,0)*VLOOKUP(A108,'[49]geoMap (46)'!$A:$C,3,0)</f>
        <v>#REF!</v>
      </c>
      <c r="AW108" s="1" t="e">
        <f>AV108/VLOOKUP(A108,'[50]geoMap (47)'!$A:$B,2,0)*VLOOKUP(A108,'[50]geoMap (47)'!$A:$C,3,0)</f>
        <v>#REF!</v>
      </c>
      <c r="AX108" s="1" t="e">
        <f>AW108/VLOOKUP(A108,'[51]geoMap (48)'!$A:$B,2,0)*VLOOKUP(A108,'[51]geoMap (48)'!$A:$C,3,0)</f>
        <v>#REF!</v>
      </c>
      <c r="AY108" s="1" t="e">
        <f>AX108/VLOOKUP(A108,'[52]geoMap (49)'!$A:$B,2,0)*VLOOKUP(A108,'[52]geoMap (49)'!$A:$C,3,0)</f>
        <v>#REF!</v>
      </c>
      <c r="AZ108" s="1" t="e">
        <f>AY108/VLOOKUP(A108,'[53]geoMap (50)'!$A:$B,2,0)*VLOOKUP(A108,'[53]geoMap (50)'!$A:$C,3,0)</f>
        <v>#REF!</v>
      </c>
      <c r="BA108" s="1" t="e">
        <f>AZ108/VLOOKUP(A108,'[54]geoMap (51)'!$A:$B,2,0)*VLOOKUP(A108,'[54]geoMap (51)'!$A:$C,3,0)</f>
        <v>#REF!</v>
      </c>
      <c r="BB108" s="1" t="e">
        <f>BA108/VLOOKUP(A108,'[55]geoMap (52)'!$A:$B,2,0)*VLOOKUP(A108,'[55]geoMap (52)'!$A:$C,3,0)</f>
        <v>#REF!</v>
      </c>
      <c r="BC108" s="1" t="e">
        <f>BB108/VLOOKUP(A108,'[56]geoMap (53)'!$A:$B,2,0)*VLOOKUP(A108,'[56]geoMap (53)'!$A:$C,3,0)</f>
        <v>#REF!</v>
      </c>
      <c r="BD108" s="1" t="e">
        <f>BC108/VLOOKUP(A108,'[57]geoMap (54)'!$A:$B,2,0)*VLOOKUP(A108,'[57]geoMap (54)'!$A:$C,3,0)</f>
        <v>#REF!</v>
      </c>
      <c r="BE108" s="1" t="e">
        <f>BD108/VLOOKUP(A108,'[58]geoMap (55)'!$A:$B,2,0)*VLOOKUP(A108,'[58]geoMap (55)'!$A:$C,3,0)</f>
        <v>#REF!</v>
      </c>
      <c r="BF108" s="1" t="e">
        <f>BE108/VLOOKUP(A108,'[59]geoMap (56)'!$A:$B,2,0)*VLOOKUP(A108,'[59]geoMap (56)'!$A:$C,3,0)</f>
        <v>#REF!</v>
      </c>
      <c r="BG108" s="1" t="e">
        <f>BF108/VLOOKUP(A108,'[60]geoMap (57)'!$A:$B,2,0)*VLOOKUP(A108,'[60]geoMap (57)'!$A:$C,3,0)</f>
        <v>#REF!</v>
      </c>
      <c r="BH108" s="1" t="e">
        <f>BG108/VLOOKUP(A108,'[61]geoMap (58)'!$A:$B,2,0)*VLOOKUP(A108,'[61]geoMap (58)'!$A:$C,3,0)</f>
        <v>#REF!</v>
      </c>
      <c r="BI108" s="1" t="e">
        <f>BH108/VLOOKUP(A108,'[62]geoMap (59)'!$A:$B,2,0)*VLOOKUP(A108,'[62]geoMap (59)'!$A:$C,3,0)</f>
        <v>#REF!</v>
      </c>
      <c r="BJ108" s="1" t="e">
        <f>BI108/VLOOKUP(A108,'[63]geoMap (60)'!$A:$B,2,0)*VLOOKUP(A108,'[63]geoMap (60)'!$A:$C,3,0)</f>
        <v>#REF!</v>
      </c>
      <c r="BK108" s="1" t="e">
        <f>BJ108/VLOOKUP(A108,'[64]geoMap (61)'!$A:$B,2,0)*VLOOKUP(A108,'[64]geoMap (61)'!$A:$C,3,0)</f>
        <v>#REF!</v>
      </c>
      <c r="BL108" s="1" t="e">
        <f>BK108/VLOOKUP(A108,'[65]geoMap (62)'!$A:$B,2,0)*VLOOKUP(A108,'[65]geoMap (62)'!$A:$C,3,0)</f>
        <v>#REF!</v>
      </c>
      <c r="BM108" s="1" t="e">
        <f>BL108/VLOOKUP(A108,'[66]geoMap (63)'!$A:$B,2,0)*VLOOKUP(A108,'[66]geoMap (63)'!$A:$C,3,0)</f>
        <v>#REF!</v>
      </c>
      <c r="BN108" s="1" t="e">
        <f>BM108/VLOOKUP(A108,'[67]geoMap (64)'!$A:$B,2,0)*VLOOKUP(A108,'[67]geoMap (64)'!$A:$C,3,0)</f>
        <v>#REF!</v>
      </c>
      <c r="BO108" s="1" t="e">
        <f>BN108/VLOOKUP(A108,'[68]geoMap (65)'!$A:$B,2,0)*VLOOKUP(A108,'[68]geoMap (65)'!$A:$C,3,0)</f>
        <v>#REF!</v>
      </c>
      <c r="BP108" s="1" t="e">
        <f>BO108/VLOOKUP(A108,'[69]geoMap (66)'!$A:$B,2,0)*VLOOKUP(A108,'[69]geoMap (66)'!$A:$C,3,0)</f>
        <v>#REF!</v>
      </c>
    </row>
    <row r="109" spans="1:68" hidden="1" x14ac:dyDescent="0.2">
      <c r="A109" s="1" t="s">
        <v>53</v>
      </c>
      <c r="B109" s="1" t="e">
        <f>VLOOKUP(A109,[3]geoMap!$A:$B,2,0)*Notes!$C$6</f>
        <v>#REF!</v>
      </c>
      <c r="C109" s="1" t="e">
        <f>B109/VLOOKUP(A109,'[4]geoMap (1)'!$A:$B,2,0)*VLOOKUP(A109,'[4]geoMap (1)'!$A:$C,3,0)</f>
        <v>#REF!</v>
      </c>
      <c r="D109" s="1" t="e">
        <f>C109/VLOOKUP(A109,'[5]geoMap (2)'!$A:$B,2,0)*VLOOKUP(A109,'[5]geoMap (2)'!$A:$C,3,0)</f>
        <v>#REF!</v>
      </c>
      <c r="E109" s="1" t="e">
        <f>D109/VLOOKUP(A109,'[6]geoMap (3)'!$A:$B,2,0)*VLOOKUP(A109,'[6]geoMap (3)'!$A:$C,3,0)</f>
        <v>#REF!</v>
      </c>
      <c r="F109" s="1" t="e">
        <f>E109/VLOOKUP(A109,'[7]geoMap (4)'!$A:$B,2,0)*VLOOKUP(A109,'[7]geoMap (4)'!$A:$C,3,0)</f>
        <v>#REF!</v>
      </c>
      <c r="G109" s="1" t="e">
        <f>F109/VLOOKUP(A109,'[8]geoMap (5)'!$A:$B,2,0)*VLOOKUP(A109,'[8]geoMap (5)'!$A:$C,3,0)</f>
        <v>#REF!</v>
      </c>
      <c r="H109" s="1" t="e">
        <f>G109/VLOOKUP(A109,'[9]geoMap (6)'!$A:$B,2,0)*VLOOKUP(A109,'[9]geoMap (6)'!$A:$C,3,0)</f>
        <v>#REF!</v>
      </c>
      <c r="I109" s="1" t="e">
        <f>H109/VLOOKUP(A109,'[10]geoMap (7)'!$A:$B,2,0)*VLOOKUP(A109,'[10]geoMap (7)'!$A:$C,3,0)</f>
        <v>#REF!</v>
      </c>
      <c r="J109" s="1" t="e">
        <f>I109/VLOOKUP(A109,'[11]geoMap (8)'!$A:$B,2,0)*VLOOKUP(A109,'[11]geoMap (8)'!$A:$C,3,0)</f>
        <v>#REF!</v>
      </c>
      <c r="K109" s="1" t="e">
        <f>J109/VLOOKUP(A109,'[12]geoMap (9)'!$A:$B,2,0)*VLOOKUP(A109,'[12]geoMap (9)'!$A:$C,3,0)</f>
        <v>#REF!</v>
      </c>
      <c r="L109" s="1" t="e">
        <f>K109/VLOOKUP(A109,'[13]geoMap (10)'!$A:$B,2,0)*VLOOKUP(A109,'[13]geoMap (10)'!$A:$C,3,0)</f>
        <v>#REF!</v>
      </c>
      <c r="M109" s="1" t="e">
        <f>L109/VLOOKUP(A109,'[14]geoMap (11)'!$A:$B,2,0)*VLOOKUP(A109,'[14]geoMap (11)'!$A:$C,3,0)</f>
        <v>#REF!</v>
      </c>
      <c r="N109" s="1" t="e">
        <f>M109/VLOOKUP(A109,'[15]geoMap (12)'!$A:$B,2,0)*VLOOKUP(A109,'[15]geoMap (12)'!$A:$C,3,0)</f>
        <v>#REF!</v>
      </c>
      <c r="O109" s="1" t="e">
        <f>N109/VLOOKUP(A109,'[16]geoMap (13)'!$A:$B,2,0)*VLOOKUP(A109,'[16]geoMap (13)'!$A:$C,3,0)</f>
        <v>#REF!</v>
      </c>
      <c r="P109" s="1" t="e">
        <f>O109/VLOOKUP(A109,'[17]geoMap (14)'!$A:$B,2,0)*VLOOKUP(A109,'[17]geoMap (14)'!$A:$C,3,0)</f>
        <v>#REF!</v>
      </c>
      <c r="Q109" s="1" t="e">
        <f>P109/VLOOKUP(A109,'[18]geoMap (15)'!$A:$B,2,0)*VLOOKUP(A109,'[18]geoMap (15)'!$A:$C,3,0)</f>
        <v>#REF!</v>
      </c>
      <c r="R109" s="1" t="e">
        <f>Q109/VLOOKUP(A109,'[19]geoMap (16)'!$A:$B,2,0)*VLOOKUP(A109,'[19]geoMap (16)'!$A:$C,3,0)</f>
        <v>#REF!</v>
      </c>
      <c r="S109" s="1" t="e">
        <f>R109/VLOOKUP(A109,'[20]geoMap (17)'!$A:$B,2,0)*VLOOKUP(A109,'[20]geoMap (17)'!$A:$C,3,0)</f>
        <v>#REF!</v>
      </c>
      <c r="T109" s="1" t="e">
        <f>S109/VLOOKUP(A109,'[21]geoMap (18)'!$A:$B,2,0)*VLOOKUP(A109,'[21]geoMap (18)'!$A:$C,3,0)</f>
        <v>#REF!</v>
      </c>
      <c r="U109" s="1" t="e">
        <f>T109/VLOOKUP(A109,'[22]geoMap (19)'!$A:$B,2,0)*VLOOKUP(A109,'[22]geoMap (19)'!$A:$C,3,0)</f>
        <v>#REF!</v>
      </c>
      <c r="V109" s="1" t="e">
        <f>U109/VLOOKUP(A109,'[23]geoMap (20)'!$A:$B,2,0)*VLOOKUP(A109,'[23]geoMap (20)'!$A:$C,3,0)</f>
        <v>#REF!</v>
      </c>
      <c r="W109" s="1" t="e">
        <f>V109/VLOOKUP(A109,'[24]geoMap (21)'!$A:$B,2,0)*VLOOKUP(A109,'[24]geoMap (21)'!$A:$C,3,0)</f>
        <v>#REF!</v>
      </c>
      <c r="X109" s="1" t="e">
        <f>W109/VLOOKUP(A109,'[25]geoMap (22)'!$A:$B,2,0)*VLOOKUP(A109,'[25]geoMap (22)'!$A:$C,3,0)</f>
        <v>#REF!</v>
      </c>
      <c r="Y109" s="1" t="e">
        <f>X109/VLOOKUP(A109,'[26]geoMap (23)'!$A:$B,2,0)*VLOOKUP(A109,'[26]geoMap (23)'!$A:$C,3,0)</f>
        <v>#REF!</v>
      </c>
      <c r="Z109" s="1" t="e">
        <f>Y109/VLOOKUP(A109,'[27]geoMap (24)'!$A:$B,2,0)*VLOOKUP(A109,'[27]geoMap (24)'!$A:$C,3,0)</f>
        <v>#REF!</v>
      </c>
      <c r="AA109" s="1" t="e">
        <f>Z109/VLOOKUP(A109,'[28]geoMap (25)'!$A:$B,2,0)*VLOOKUP(A109,'[28]geoMap (25)'!$A:$C,3,0)</f>
        <v>#REF!</v>
      </c>
      <c r="AB109" s="1" t="e">
        <f>AA109*VLOOKUP(A109,'[29]geoMap (26)'!$A:$B,2,0)*VLOOKUP(A109,'[29]geoMap (26)'!$A:$C,3,0)</f>
        <v>#REF!</v>
      </c>
      <c r="AC109" s="1" t="e">
        <f>AB109/VLOOKUP(A109,'[30]geoMap (27)'!$A:$B,2,0)*VLOOKUP(A109,'[30]geoMap (27)'!$A:$C,3,0)</f>
        <v>#REF!</v>
      </c>
      <c r="AD109" s="1" t="e">
        <f>AC109/VLOOKUP(A109,'[31]geoMap (28)'!$A:$B,2,0)*VLOOKUP(A109,'[31]geoMap (28)'!$A:$C,3,0)</f>
        <v>#REF!</v>
      </c>
      <c r="AE109" s="1" t="e">
        <f>AD109/VLOOKUP(A109,'[32]geoMap (29)'!$A:$B,2,0)*VLOOKUP(A109,'[32]geoMap (29)'!$A:$C,3,0)</f>
        <v>#REF!</v>
      </c>
      <c r="AF109" s="1" t="e">
        <f>AE109/VLOOKUP(A109,'[33]geoMap (30)'!$A:$B,2,0)*VLOOKUP(A109,'[33]geoMap (30)'!$A:$C,3,0)</f>
        <v>#REF!</v>
      </c>
      <c r="AG109" s="1" t="e">
        <f>AF109/VLOOKUP(A109,'[34]geoMap (31)'!$A:$B,2,0)*VLOOKUP(A109,'[34]geoMap (31)'!$A:$C,3,0)</f>
        <v>#REF!</v>
      </c>
      <c r="AH109" s="1" t="e">
        <f>AG109/VLOOKUP(A109,'[35]geoMap (32)'!$A:$B,2,0)*VLOOKUP(A109,'[35]geoMap (32)'!$A:$C,3,0)</f>
        <v>#REF!</v>
      </c>
      <c r="AI109" s="1" t="e">
        <f>AH109/VLOOKUP(A109,'[36]geoMap (33)'!$A:$B,2,0)*VLOOKUP(A109,'[36]geoMap (33)'!$A:$C,3,0)</f>
        <v>#REF!</v>
      </c>
      <c r="AJ109" s="1" t="e">
        <f>AI109/VLOOKUP(A109,'[37]geoMap (34)'!$A:$B,2,0)*VLOOKUP(A109,'[37]geoMap (34)'!$A:$C,3,0)</f>
        <v>#REF!</v>
      </c>
      <c r="AK109" s="1" t="e">
        <f>AJ109/VLOOKUP(A109,'[38]geoMap (35)'!$A:$B,2,0)*VLOOKUP(A109,'[38]geoMap (35)'!$A:$C,3,0)</f>
        <v>#REF!</v>
      </c>
      <c r="AL109" s="1" t="e">
        <f>AK109/VLOOKUP(A109,'[39]geoMap (36)'!$A:$B,2,0)*VLOOKUP(A109,'[39]geoMap (36)'!$A:$C,3,0)</f>
        <v>#REF!</v>
      </c>
      <c r="AM109" s="1" t="e">
        <f>AL109/VLOOKUP(A109,'[40]geoMap (37)'!$A:$B,2,0)*VLOOKUP(A109,'[40]geoMap (37)'!$A:$C,3,0)</f>
        <v>#REF!</v>
      </c>
      <c r="AN109" s="1" t="e">
        <f>AM109/VLOOKUP(A109,'[41]geoMap (38)'!$A:$B,2,0)*VLOOKUP(A109,'[41]geoMap (38)'!$A:$C,3,0)</f>
        <v>#REF!</v>
      </c>
      <c r="AO109" s="1" t="e">
        <f>AN109/VLOOKUP(A109,'[42]geoMap (39)'!$A:$B,2,0)*VLOOKUP(A109,'[42]geoMap (39)'!$A:$C,3,0)</f>
        <v>#REF!</v>
      </c>
      <c r="AP109" s="1" t="e">
        <f>AO109/VLOOKUP(A109,'[43]geoMap (40)'!$A:$B,2,0)*VLOOKUP(A109,'[43]geoMap (40)'!$A:$C,3,0)</f>
        <v>#REF!</v>
      </c>
      <c r="AQ109" s="1" t="e">
        <f>AP109/VLOOKUP(A109,'[44]geoMap (41)'!$A:$B,2,0)*VLOOKUP(A109,'[44]geoMap (41)'!$A:$C,3,0)</f>
        <v>#REF!</v>
      </c>
      <c r="AR109" s="1" t="e">
        <f>AQ109/VLOOKUP(A109,'[45]geoMap (42)'!$A:$B,2,0)*VLOOKUP(A109,'[45]geoMap (42)'!$A:$C,3,0)</f>
        <v>#REF!</v>
      </c>
      <c r="AS109" s="1" t="e">
        <f>AR109/VLOOKUP(A109,'[46]geoMap (43)'!$A:$B,2,0)*VLOOKUP(A109,'[46]geoMap (43)'!$A:$C,3,0)</f>
        <v>#REF!</v>
      </c>
      <c r="AT109" s="1" t="e">
        <f>AS109/VLOOKUP(A109,'[47]geoMap (44)'!$A:$B,2,0)*VLOOKUP(A109,'[47]geoMap (44)'!$A:$C,3,0)</f>
        <v>#REF!</v>
      </c>
      <c r="AU109" s="1" t="e">
        <f>AT109/VLOOKUP(A109,'[48]geoMap (45)'!$A:$B,2,0)*VLOOKUP(A109,'[48]geoMap (45)'!$A:$C,3,0)</f>
        <v>#REF!</v>
      </c>
      <c r="AV109" s="1" t="e">
        <f>AU109/VLOOKUP(A109,'[49]geoMap (46)'!$A:$B,2,0)*VLOOKUP(A109,'[49]geoMap (46)'!$A:$C,3,0)</f>
        <v>#REF!</v>
      </c>
      <c r="AW109" s="1" t="e">
        <f>AV109/VLOOKUP(A109,'[50]geoMap (47)'!$A:$B,2,0)*VLOOKUP(A109,'[50]geoMap (47)'!$A:$C,3,0)</f>
        <v>#REF!</v>
      </c>
      <c r="AX109" s="1" t="e">
        <f>AW109/VLOOKUP(A109,'[51]geoMap (48)'!$A:$B,2,0)*VLOOKUP(A109,'[51]geoMap (48)'!$A:$C,3,0)</f>
        <v>#REF!</v>
      </c>
      <c r="AY109" s="1" t="e">
        <f>AX109/VLOOKUP(A109,'[52]geoMap (49)'!$A:$B,2,0)*VLOOKUP(A109,'[52]geoMap (49)'!$A:$C,3,0)</f>
        <v>#REF!</v>
      </c>
      <c r="AZ109" s="1" t="e">
        <f>AY109/VLOOKUP(A109,'[53]geoMap (50)'!$A:$B,2,0)*VLOOKUP(A109,'[53]geoMap (50)'!$A:$C,3,0)</f>
        <v>#REF!</v>
      </c>
      <c r="BA109" s="1" t="e">
        <f>AZ109/VLOOKUP(A109,'[54]geoMap (51)'!$A:$B,2,0)*VLOOKUP(A109,'[54]geoMap (51)'!$A:$C,3,0)</f>
        <v>#REF!</v>
      </c>
      <c r="BB109" s="1" t="e">
        <f>BA109/VLOOKUP(A109,'[55]geoMap (52)'!$A:$B,2,0)*VLOOKUP(A109,'[55]geoMap (52)'!$A:$C,3,0)</f>
        <v>#REF!</v>
      </c>
      <c r="BC109" s="1" t="e">
        <f>BB109/VLOOKUP(A109,'[56]geoMap (53)'!$A:$B,2,0)*VLOOKUP(A109,'[56]geoMap (53)'!$A:$C,3,0)</f>
        <v>#REF!</v>
      </c>
      <c r="BD109" s="1" t="e">
        <f>BC109/VLOOKUP(A109,'[57]geoMap (54)'!$A:$B,2,0)*VLOOKUP(A109,'[57]geoMap (54)'!$A:$C,3,0)</f>
        <v>#REF!</v>
      </c>
      <c r="BE109" s="1" t="e">
        <f>BD109/VLOOKUP(A109,'[58]geoMap (55)'!$A:$B,2,0)*VLOOKUP(A109,'[58]geoMap (55)'!$A:$C,3,0)</f>
        <v>#REF!</v>
      </c>
      <c r="BF109" s="1" t="e">
        <f>BE109/VLOOKUP(A109,'[59]geoMap (56)'!$A:$B,2,0)*VLOOKUP(A109,'[59]geoMap (56)'!$A:$C,3,0)</f>
        <v>#REF!</v>
      </c>
      <c r="BG109" s="1" t="e">
        <f>BF109/VLOOKUP(A109,'[60]geoMap (57)'!$A:$B,2,0)*VLOOKUP(A109,'[60]geoMap (57)'!$A:$C,3,0)</f>
        <v>#REF!</v>
      </c>
      <c r="BH109" s="1" t="e">
        <f>BG109/VLOOKUP(A109,'[61]geoMap (58)'!$A:$B,2,0)*VLOOKUP(A109,'[61]geoMap (58)'!$A:$C,3,0)</f>
        <v>#REF!</v>
      </c>
      <c r="BI109" s="1" t="e">
        <f>BH109/VLOOKUP(A109,'[62]geoMap (59)'!$A:$B,2,0)*VLOOKUP(A109,'[62]geoMap (59)'!$A:$C,3,0)</f>
        <v>#REF!</v>
      </c>
      <c r="BJ109" s="1" t="e">
        <f>BI109/VLOOKUP(A109,'[63]geoMap (60)'!$A:$B,2,0)*VLOOKUP(A109,'[63]geoMap (60)'!$A:$C,3,0)</f>
        <v>#REF!</v>
      </c>
      <c r="BK109" s="1" t="e">
        <f>BJ109/VLOOKUP(A109,'[64]geoMap (61)'!$A:$B,2,0)*VLOOKUP(A109,'[64]geoMap (61)'!$A:$C,3,0)</f>
        <v>#REF!</v>
      </c>
      <c r="BL109" s="1" t="e">
        <f>BK109/VLOOKUP(A109,'[65]geoMap (62)'!$A:$B,2,0)*VLOOKUP(A109,'[65]geoMap (62)'!$A:$C,3,0)</f>
        <v>#REF!</v>
      </c>
      <c r="BM109" s="1" t="e">
        <f>BL109/VLOOKUP(A109,'[66]geoMap (63)'!$A:$B,2,0)*VLOOKUP(A109,'[66]geoMap (63)'!$A:$C,3,0)</f>
        <v>#REF!</v>
      </c>
      <c r="BN109" s="1" t="e">
        <f>BM109/VLOOKUP(A109,'[67]geoMap (64)'!$A:$B,2,0)*VLOOKUP(A109,'[67]geoMap (64)'!$A:$C,3,0)</f>
        <v>#REF!</v>
      </c>
      <c r="BO109" s="1" t="e">
        <f>BN109/VLOOKUP(A109,'[68]geoMap (65)'!$A:$B,2,0)*VLOOKUP(A109,'[68]geoMap (65)'!$A:$C,3,0)</f>
        <v>#REF!</v>
      </c>
      <c r="BP109" s="1" t="e">
        <f>BO109/VLOOKUP(A109,'[69]geoMap (66)'!$A:$B,2,0)*VLOOKUP(A109,'[69]geoMap (66)'!$A:$C,3,0)</f>
        <v>#REF!</v>
      </c>
    </row>
    <row r="110" spans="1:68" hidden="1" x14ac:dyDescent="0.2">
      <c r="A110" s="1" t="s">
        <v>54</v>
      </c>
      <c r="B110" s="1" t="e">
        <f>VLOOKUP(A110,[3]geoMap!$A:$B,2,0)*Notes!$C$6</f>
        <v>#REF!</v>
      </c>
      <c r="C110" s="1" t="e">
        <f>B110/VLOOKUP(A110,'[4]geoMap (1)'!$A:$B,2,0)*VLOOKUP(A110,'[4]geoMap (1)'!$A:$C,3,0)</f>
        <v>#REF!</v>
      </c>
      <c r="D110" s="1" t="e">
        <f>C110/VLOOKUP(A110,'[5]geoMap (2)'!$A:$B,2,0)*VLOOKUP(A110,'[5]geoMap (2)'!$A:$C,3,0)</f>
        <v>#REF!</v>
      </c>
      <c r="E110" s="1" t="e">
        <f>D110/VLOOKUP(A110,'[6]geoMap (3)'!$A:$B,2,0)*VLOOKUP(A110,'[6]geoMap (3)'!$A:$C,3,0)</f>
        <v>#REF!</v>
      </c>
      <c r="F110" s="1" t="e">
        <f>E110/VLOOKUP(A110,'[7]geoMap (4)'!$A:$B,2,0)*VLOOKUP(A110,'[7]geoMap (4)'!$A:$C,3,0)</f>
        <v>#REF!</v>
      </c>
      <c r="G110" s="1" t="e">
        <f>F110/VLOOKUP(A110,'[8]geoMap (5)'!$A:$B,2,0)*VLOOKUP(A110,'[8]geoMap (5)'!$A:$C,3,0)</f>
        <v>#REF!</v>
      </c>
      <c r="H110" s="1" t="e">
        <f>G110/VLOOKUP(A110,'[9]geoMap (6)'!$A:$B,2,0)*VLOOKUP(A110,'[9]geoMap (6)'!$A:$C,3,0)</f>
        <v>#REF!</v>
      </c>
      <c r="I110" s="1" t="e">
        <f>H110/VLOOKUP(A110,'[10]geoMap (7)'!$A:$B,2,0)*VLOOKUP(A110,'[10]geoMap (7)'!$A:$C,3,0)</f>
        <v>#REF!</v>
      </c>
      <c r="J110" s="1" t="e">
        <f>I110/VLOOKUP(A110,'[11]geoMap (8)'!$A:$B,2,0)*VLOOKUP(A110,'[11]geoMap (8)'!$A:$C,3,0)</f>
        <v>#REF!</v>
      </c>
      <c r="K110" s="1" t="e">
        <f>J110/VLOOKUP(A110,'[12]geoMap (9)'!$A:$B,2,0)*VLOOKUP(A110,'[12]geoMap (9)'!$A:$C,3,0)</f>
        <v>#REF!</v>
      </c>
      <c r="L110" s="1" t="e">
        <f>K110/VLOOKUP(A110,'[13]geoMap (10)'!$A:$B,2,0)*VLOOKUP(A110,'[13]geoMap (10)'!$A:$C,3,0)</f>
        <v>#REF!</v>
      </c>
      <c r="M110" s="1" t="e">
        <f>L110/VLOOKUP(A110,'[14]geoMap (11)'!$A:$B,2,0)*VLOOKUP(A110,'[14]geoMap (11)'!$A:$C,3,0)</f>
        <v>#REF!</v>
      </c>
      <c r="N110" s="1" t="e">
        <f>M110/VLOOKUP(A110,'[15]geoMap (12)'!$A:$B,2,0)*VLOOKUP(A110,'[15]geoMap (12)'!$A:$C,3,0)</f>
        <v>#REF!</v>
      </c>
      <c r="O110" s="1" t="e">
        <f>N110/VLOOKUP(A110,'[16]geoMap (13)'!$A:$B,2,0)*VLOOKUP(A110,'[16]geoMap (13)'!$A:$C,3,0)</f>
        <v>#REF!</v>
      </c>
      <c r="P110" s="1" t="e">
        <f>O110/VLOOKUP(A110,'[17]geoMap (14)'!$A:$B,2,0)*VLOOKUP(A110,'[17]geoMap (14)'!$A:$C,3,0)</f>
        <v>#REF!</v>
      </c>
      <c r="Q110" s="1" t="e">
        <f>P110/VLOOKUP(A110,'[18]geoMap (15)'!$A:$B,2,0)*VLOOKUP(A110,'[18]geoMap (15)'!$A:$C,3,0)</f>
        <v>#REF!</v>
      </c>
      <c r="R110" s="1" t="e">
        <f>Q110/VLOOKUP(A110,'[19]geoMap (16)'!$A:$B,2,0)*VLOOKUP(A110,'[19]geoMap (16)'!$A:$C,3,0)</f>
        <v>#REF!</v>
      </c>
      <c r="S110" s="1" t="e">
        <f>R110/VLOOKUP(A110,'[20]geoMap (17)'!$A:$B,2,0)*VLOOKUP(A110,'[20]geoMap (17)'!$A:$C,3,0)</f>
        <v>#REF!</v>
      </c>
      <c r="T110" s="1" t="e">
        <f>S110/VLOOKUP(A110,'[21]geoMap (18)'!$A:$B,2,0)*VLOOKUP(A110,'[21]geoMap (18)'!$A:$C,3,0)</f>
        <v>#REF!</v>
      </c>
      <c r="U110" s="1" t="e">
        <f>T110/VLOOKUP(A110,'[22]geoMap (19)'!$A:$B,2,0)*VLOOKUP(A110,'[22]geoMap (19)'!$A:$C,3,0)</f>
        <v>#REF!</v>
      </c>
      <c r="V110" s="1" t="e">
        <f>U110/VLOOKUP(A110,'[23]geoMap (20)'!$A:$B,2,0)*VLOOKUP(A110,'[23]geoMap (20)'!$A:$C,3,0)</f>
        <v>#REF!</v>
      </c>
      <c r="W110" s="1" t="e">
        <f>V110/VLOOKUP(A110,'[24]geoMap (21)'!$A:$B,2,0)*VLOOKUP(A110,'[24]geoMap (21)'!$A:$C,3,0)</f>
        <v>#REF!</v>
      </c>
      <c r="X110" s="1" t="e">
        <f>W110/VLOOKUP(A110,'[25]geoMap (22)'!$A:$B,2,0)*VLOOKUP(A110,'[25]geoMap (22)'!$A:$C,3,0)</f>
        <v>#REF!</v>
      </c>
      <c r="Y110" s="1" t="e">
        <f>X110/VLOOKUP(A110,'[26]geoMap (23)'!$A:$B,2,0)*VLOOKUP(A110,'[26]geoMap (23)'!$A:$C,3,0)</f>
        <v>#REF!</v>
      </c>
      <c r="Z110" s="1" t="e">
        <f>Y110/VLOOKUP(A110,'[27]geoMap (24)'!$A:$B,2,0)*VLOOKUP(A110,'[27]geoMap (24)'!$A:$C,3,0)</f>
        <v>#REF!</v>
      </c>
      <c r="AA110" s="1" t="e">
        <f>Z110/VLOOKUP(A110,'[28]geoMap (25)'!$A:$B,2,0)*VLOOKUP(A110,'[28]geoMap (25)'!$A:$C,3,0)</f>
        <v>#REF!</v>
      </c>
      <c r="AB110" s="1" t="e">
        <f>AA110*VLOOKUP(A110,'[29]geoMap (26)'!$A:$B,2,0)*VLOOKUP(A110,'[29]geoMap (26)'!$A:$C,3,0)</f>
        <v>#REF!</v>
      </c>
      <c r="AC110" s="1" t="e">
        <f>AB110/VLOOKUP(A110,'[30]geoMap (27)'!$A:$B,2,0)*VLOOKUP(A110,'[30]geoMap (27)'!$A:$C,3,0)</f>
        <v>#REF!</v>
      </c>
      <c r="AD110" s="1" t="e">
        <f>AC110/VLOOKUP(A110,'[31]geoMap (28)'!$A:$B,2,0)*VLOOKUP(A110,'[31]geoMap (28)'!$A:$C,3,0)</f>
        <v>#REF!</v>
      </c>
      <c r="AE110" s="1" t="e">
        <f>AD110/VLOOKUP(A110,'[32]geoMap (29)'!$A:$B,2,0)*VLOOKUP(A110,'[32]geoMap (29)'!$A:$C,3,0)</f>
        <v>#REF!</v>
      </c>
      <c r="AF110" s="1" t="e">
        <f>AE110/VLOOKUP(A110,'[33]geoMap (30)'!$A:$B,2,0)*VLOOKUP(A110,'[33]geoMap (30)'!$A:$C,3,0)</f>
        <v>#REF!</v>
      </c>
      <c r="AG110" s="1" t="e">
        <f>AF110/VLOOKUP(A110,'[34]geoMap (31)'!$A:$B,2,0)*VLOOKUP(A110,'[34]geoMap (31)'!$A:$C,3,0)</f>
        <v>#REF!</v>
      </c>
      <c r="AH110" s="1" t="e">
        <f>AG110/VLOOKUP(A110,'[35]geoMap (32)'!$A:$B,2,0)*VLOOKUP(A110,'[35]geoMap (32)'!$A:$C,3,0)</f>
        <v>#REF!</v>
      </c>
      <c r="AI110" s="1" t="e">
        <f>AH110/VLOOKUP(A110,'[36]geoMap (33)'!$A:$B,2,0)*VLOOKUP(A110,'[36]geoMap (33)'!$A:$C,3,0)</f>
        <v>#REF!</v>
      </c>
      <c r="AJ110" s="1" t="e">
        <f>AI110/VLOOKUP(A110,'[37]geoMap (34)'!$A:$B,2,0)*VLOOKUP(A110,'[37]geoMap (34)'!$A:$C,3,0)</f>
        <v>#REF!</v>
      </c>
      <c r="AK110" s="1" t="e">
        <f>AJ110/VLOOKUP(A110,'[38]geoMap (35)'!$A:$B,2,0)*VLOOKUP(A110,'[38]geoMap (35)'!$A:$C,3,0)</f>
        <v>#REF!</v>
      </c>
      <c r="AL110" s="1" t="e">
        <f>AK110/VLOOKUP(A110,'[39]geoMap (36)'!$A:$B,2,0)*VLOOKUP(A110,'[39]geoMap (36)'!$A:$C,3,0)</f>
        <v>#REF!</v>
      </c>
      <c r="AM110" s="1" t="e">
        <f>AL110/VLOOKUP(A110,'[40]geoMap (37)'!$A:$B,2,0)*VLOOKUP(A110,'[40]geoMap (37)'!$A:$C,3,0)</f>
        <v>#REF!</v>
      </c>
      <c r="AN110" s="1" t="e">
        <f>AM110/VLOOKUP(A110,'[41]geoMap (38)'!$A:$B,2,0)*VLOOKUP(A110,'[41]geoMap (38)'!$A:$C,3,0)</f>
        <v>#REF!</v>
      </c>
      <c r="AO110" s="1" t="e">
        <f>AN110/VLOOKUP(A110,'[42]geoMap (39)'!$A:$B,2,0)*VLOOKUP(A110,'[42]geoMap (39)'!$A:$C,3,0)</f>
        <v>#REF!</v>
      </c>
      <c r="AP110" s="1" t="e">
        <f>AO110/VLOOKUP(A110,'[43]geoMap (40)'!$A:$B,2,0)*VLOOKUP(A110,'[43]geoMap (40)'!$A:$C,3,0)</f>
        <v>#REF!</v>
      </c>
      <c r="AQ110" s="1" t="e">
        <f>AP110/VLOOKUP(A110,'[44]geoMap (41)'!$A:$B,2,0)*VLOOKUP(A110,'[44]geoMap (41)'!$A:$C,3,0)</f>
        <v>#REF!</v>
      </c>
      <c r="AR110" s="1" t="e">
        <f>AQ110/VLOOKUP(A110,'[45]geoMap (42)'!$A:$B,2,0)*VLOOKUP(A110,'[45]geoMap (42)'!$A:$C,3,0)</f>
        <v>#REF!</v>
      </c>
      <c r="AS110" s="1" t="e">
        <f>AR110/VLOOKUP(A110,'[46]geoMap (43)'!$A:$B,2,0)*VLOOKUP(A110,'[46]geoMap (43)'!$A:$C,3,0)</f>
        <v>#REF!</v>
      </c>
      <c r="AT110" s="1" t="e">
        <f>AS110/VLOOKUP(A110,'[47]geoMap (44)'!$A:$B,2,0)*VLOOKUP(A110,'[47]geoMap (44)'!$A:$C,3,0)</f>
        <v>#REF!</v>
      </c>
      <c r="AU110" s="1" t="e">
        <f>AT110/VLOOKUP(A110,'[48]geoMap (45)'!$A:$B,2,0)*VLOOKUP(A110,'[48]geoMap (45)'!$A:$C,3,0)</f>
        <v>#REF!</v>
      </c>
      <c r="AV110" s="1" t="e">
        <f>AU110/VLOOKUP(A110,'[49]geoMap (46)'!$A:$B,2,0)*VLOOKUP(A110,'[49]geoMap (46)'!$A:$C,3,0)</f>
        <v>#REF!</v>
      </c>
      <c r="AW110" s="1" t="e">
        <f>AV110/VLOOKUP(A110,'[50]geoMap (47)'!$A:$B,2,0)*VLOOKUP(A110,'[50]geoMap (47)'!$A:$C,3,0)</f>
        <v>#REF!</v>
      </c>
      <c r="AX110" s="1" t="e">
        <f>AW110/VLOOKUP(A110,'[51]geoMap (48)'!$A:$B,2,0)*VLOOKUP(A110,'[51]geoMap (48)'!$A:$C,3,0)</f>
        <v>#REF!</v>
      </c>
      <c r="AY110" s="1" t="e">
        <f>AX110/VLOOKUP(A110,'[52]geoMap (49)'!$A:$B,2,0)*VLOOKUP(A110,'[52]geoMap (49)'!$A:$C,3,0)</f>
        <v>#REF!</v>
      </c>
      <c r="AZ110" s="1" t="e">
        <f>AY110/VLOOKUP(A110,'[53]geoMap (50)'!$A:$B,2,0)*VLOOKUP(A110,'[53]geoMap (50)'!$A:$C,3,0)</f>
        <v>#REF!</v>
      </c>
      <c r="BA110" s="1" t="e">
        <f>AZ110/VLOOKUP(A110,'[54]geoMap (51)'!$A:$B,2,0)*VLOOKUP(A110,'[54]geoMap (51)'!$A:$C,3,0)</f>
        <v>#REF!</v>
      </c>
      <c r="BB110" s="1" t="e">
        <f>BA110/VLOOKUP(A110,'[55]geoMap (52)'!$A:$B,2,0)*VLOOKUP(A110,'[55]geoMap (52)'!$A:$C,3,0)</f>
        <v>#REF!</v>
      </c>
      <c r="BC110" s="1" t="e">
        <f>BB110/VLOOKUP(A110,'[56]geoMap (53)'!$A:$B,2,0)*VLOOKUP(A110,'[56]geoMap (53)'!$A:$C,3,0)</f>
        <v>#REF!</v>
      </c>
      <c r="BD110" s="1" t="e">
        <f>BC110/VLOOKUP(A110,'[57]geoMap (54)'!$A:$B,2,0)*VLOOKUP(A110,'[57]geoMap (54)'!$A:$C,3,0)</f>
        <v>#REF!</v>
      </c>
      <c r="BE110" s="1" t="e">
        <f>BD110/VLOOKUP(A110,'[58]geoMap (55)'!$A:$B,2,0)*VLOOKUP(A110,'[58]geoMap (55)'!$A:$C,3,0)</f>
        <v>#REF!</v>
      </c>
      <c r="BF110" s="1" t="e">
        <f>BE110/VLOOKUP(A110,'[59]geoMap (56)'!$A:$B,2,0)*VLOOKUP(A110,'[59]geoMap (56)'!$A:$C,3,0)</f>
        <v>#REF!</v>
      </c>
      <c r="BG110" s="1" t="e">
        <f>BF110/VLOOKUP(A110,'[60]geoMap (57)'!$A:$B,2,0)*VLOOKUP(A110,'[60]geoMap (57)'!$A:$C,3,0)</f>
        <v>#REF!</v>
      </c>
      <c r="BH110" s="1" t="e">
        <f>BG110/VLOOKUP(A110,'[61]geoMap (58)'!$A:$B,2,0)*VLOOKUP(A110,'[61]geoMap (58)'!$A:$C,3,0)</f>
        <v>#REF!</v>
      </c>
      <c r="BI110" s="1" t="e">
        <f>BH110/VLOOKUP(A110,'[62]geoMap (59)'!$A:$B,2,0)*VLOOKUP(A110,'[62]geoMap (59)'!$A:$C,3,0)</f>
        <v>#REF!</v>
      </c>
      <c r="BJ110" s="1" t="e">
        <f>BI110/VLOOKUP(A110,'[63]geoMap (60)'!$A:$B,2,0)*VLOOKUP(A110,'[63]geoMap (60)'!$A:$C,3,0)</f>
        <v>#REF!</v>
      </c>
      <c r="BK110" s="1" t="e">
        <f>BJ110/VLOOKUP(A110,'[64]geoMap (61)'!$A:$B,2,0)*VLOOKUP(A110,'[64]geoMap (61)'!$A:$C,3,0)</f>
        <v>#REF!</v>
      </c>
      <c r="BL110" s="1" t="e">
        <f>BK110/VLOOKUP(A110,'[65]geoMap (62)'!$A:$B,2,0)*VLOOKUP(A110,'[65]geoMap (62)'!$A:$C,3,0)</f>
        <v>#REF!</v>
      </c>
      <c r="BM110" s="1" t="e">
        <f>BL110/VLOOKUP(A110,'[66]geoMap (63)'!$A:$B,2,0)*VLOOKUP(A110,'[66]geoMap (63)'!$A:$C,3,0)</f>
        <v>#REF!</v>
      </c>
      <c r="BN110" s="1" t="e">
        <f>BM110/VLOOKUP(A110,'[67]geoMap (64)'!$A:$B,2,0)*VLOOKUP(A110,'[67]geoMap (64)'!$A:$C,3,0)</f>
        <v>#REF!</v>
      </c>
      <c r="BO110" s="1" t="e">
        <f>BN110/VLOOKUP(A110,'[68]geoMap (65)'!$A:$B,2,0)*VLOOKUP(A110,'[68]geoMap (65)'!$A:$C,3,0)</f>
        <v>#REF!</v>
      </c>
      <c r="BP110" s="1" t="e">
        <f>BO110/VLOOKUP(A110,'[69]geoMap (66)'!$A:$B,2,0)*VLOOKUP(A110,'[69]geoMap (66)'!$A:$C,3,0)</f>
        <v>#REF!</v>
      </c>
    </row>
    <row r="111" spans="1:68" hidden="1" x14ac:dyDescent="0.2">
      <c r="A111" s="1" t="s">
        <v>56</v>
      </c>
      <c r="B111" s="1" t="e">
        <f>VLOOKUP(A111,[3]geoMap!$A:$B,2,0)*Notes!$C$6</f>
        <v>#REF!</v>
      </c>
      <c r="C111" s="1" t="e">
        <f>B111/VLOOKUP(A111,'[4]geoMap (1)'!$A:$B,2,0)*VLOOKUP(A111,'[4]geoMap (1)'!$A:$C,3,0)</f>
        <v>#REF!</v>
      </c>
      <c r="D111" s="1" t="e">
        <f>C111/VLOOKUP(A111,'[5]geoMap (2)'!$A:$B,2,0)*VLOOKUP(A111,'[5]geoMap (2)'!$A:$C,3,0)</f>
        <v>#REF!</v>
      </c>
      <c r="E111" s="1" t="e">
        <f>D111/VLOOKUP(A111,'[6]geoMap (3)'!$A:$B,2,0)*VLOOKUP(A111,'[6]geoMap (3)'!$A:$C,3,0)</f>
        <v>#REF!</v>
      </c>
      <c r="F111" s="1" t="e">
        <f>E111/VLOOKUP(A111,'[7]geoMap (4)'!$A:$B,2,0)*VLOOKUP(A111,'[7]geoMap (4)'!$A:$C,3,0)</f>
        <v>#REF!</v>
      </c>
      <c r="G111" s="1" t="e">
        <f>F111/VLOOKUP(A111,'[8]geoMap (5)'!$A:$B,2,0)*VLOOKUP(A111,'[8]geoMap (5)'!$A:$C,3,0)</f>
        <v>#REF!</v>
      </c>
      <c r="H111" s="1" t="e">
        <f>G111/VLOOKUP(A111,'[9]geoMap (6)'!$A:$B,2,0)*VLOOKUP(A111,'[9]geoMap (6)'!$A:$C,3,0)</f>
        <v>#REF!</v>
      </c>
      <c r="I111" s="1" t="e">
        <f>H111/VLOOKUP(A111,'[10]geoMap (7)'!$A:$B,2,0)*VLOOKUP(A111,'[10]geoMap (7)'!$A:$C,3,0)</f>
        <v>#REF!</v>
      </c>
      <c r="J111" s="1" t="e">
        <f>I111/VLOOKUP(A111,'[11]geoMap (8)'!$A:$B,2,0)*VLOOKUP(A111,'[11]geoMap (8)'!$A:$C,3,0)</f>
        <v>#REF!</v>
      </c>
      <c r="K111" s="1" t="e">
        <f>J111/VLOOKUP(A111,'[12]geoMap (9)'!$A:$B,2,0)*VLOOKUP(A111,'[12]geoMap (9)'!$A:$C,3,0)</f>
        <v>#REF!</v>
      </c>
      <c r="L111" s="1" t="e">
        <f>K111/VLOOKUP(A111,'[13]geoMap (10)'!$A:$B,2,0)*VLOOKUP(A111,'[13]geoMap (10)'!$A:$C,3,0)</f>
        <v>#REF!</v>
      </c>
      <c r="M111" s="1" t="e">
        <f>L111/VLOOKUP(A111,'[14]geoMap (11)'!$A:$B,2,0)*VLOOKUP(A111,'[14]geoMap (11)'!$A:$C,3,0)</f>
        <v>#REF!</v>
      </c>
      <c r="N111" s="1" t="e">
        <f>M111/VLOOKUP(A111,'[15]geoMap (12)'!$A:$B,2,0)*VLOOKUP(A111,'[15]geoMap (12)'!$A:$C,3,0)</f>
        <v>#REF!</v>
      </c>
      <c r="O111" s="1" t="e">
        <f>N111/VLOOKUP(A111,'[16]geoMap (13)'!$A:$B,2,0)*VLOOKUP(A111,'[16]geoMap (13)'!$A:$C,3,0)</f>
        <v>#REF!</v>
      </c>
      <c r="P111" s="1" t="e">
        <f>O111/VLOOKUP(A111,'[17]geoMap (14)'!$A:$B,2,0)*VLOOKUP(A111,'[17]geoMap (14)'!$A:$C,3,0)</f>
        <v>#REF!</v>
      </c>
      <c r="Q111" s="1" t="e">
        <f>P111/VLOOKUP(A111,'[18]geoMap (15)'!$A:$B,2,0)*VLOOKUP(A111,'[18]geoMap (15)'!$A:$C,3,0)</f>
        <v>#REF!</v>
      </c>
      <c r="R111" s="1" t="e">
        <f>Q111/VLOOKUP(A111,'[19]geoMap (16)'!$A:$B,2,0)*VLOOKUP(A111,'[19]geoMap (16)'!$A:$C,3,0)</f>
        <v>#REF!</v>
      </c>
      <c r="S111" s="1" t="e">
        <f>R111/VLOOKUP(A111,'[20]geoMap (17)'!$A:$B,2,0)*VLOOKUP(A111,'[20]geoMap (17)'!$A:$C,3,0)</f>
        <v>#REF!</v>
      </c>
      <c r="T111" s="1" t="e">
        <f>S111/VLOOKUP(A111,'[21]geoMap (18)'!$A:$B,2,0)*VLOOKUP(A111,'[21]geoMap (18)'!$A:$C,3,0)</f>
        <v>#REF!</v>
      </c>
      <c r="U111" s="1" t="e">
        <f>T111/VLOOKUP(A111,'[22]geoMap (19)'!$A:$B,2,0)*VLOOKUP(A111,'[22]geoMap (19)'!$A:$C,3,0)</f>
        <v>#REF!</v>
      </c>
      <c r="V111" s="1" t="e">
        <f>U111/VLOOKUP(A111,'[23]geoMap (20)'!$A:$B,2,0)*VLOOKUP(A111,'[23]geoMap (20)'!$A:$C,3,0)</f>
        <v>#REF!</v>
      </c>
      <c r="W111" s="1" t="e">
        <f>V111/VLOOKUP(A111,'[24]geoMap (21)'!$A:$B,2,0)*VLOOKUP(A111,'[24]geoMap (21)'!$A:$C,3,0)</f>
        <v>#REF!</v>
      </c>
      <c r="X111" s="1" t="e">
        <f>W111/VLOOKUP(A111,'[25]geoMap (22)'!$A:$B,2,0)*VLOOKUP(A111,'[25]geoMap (22)'!$A:$C,3,0)</f>
        <v>#REF!</v>
      </c>
      <c r="Y111" s="1" t="e">
        <f>X111/VLOOKUP(A111,'[26]geoMap (23)'!$A:$B,2,0)*VLOOKUP(A111,'[26]geoMap (23)'!$A:$C,3,0)</f>
        <v>#REF!</v>
      </c>
      <c r="Z111" s="1" t="e">
        <f>Y111/VLOOKUP(A111,'[27]geoMap (24)'!$A:$B,2,0)*VLOOKUP(A111,'[27]geoMap (24)'!$A:$C,3,0)</f>
        <v>#REF!</v>
      </c>
      <c r="AA111" s="1" t="e">
        <f>Z111/VLOOKUP(A111,'[28]geoMap (25)'!$A:$B,2,0)*VLOOKUP(A111,'[28]geoMap (25)'!$A:$C,3,0)</f>
        <v>#REF!</v>
      </c>
      <c r="AB111" s="1" t="e">
        <f>AA111*VLOOKUP(A111,'[29]geoMap (26)'!$A:$B,2,0)*VLOOKUP(A111,'[29]geoMap (26)'!$A:$C,3,0)</f>
        <v>#REF!</v>
      </c>
      <c r="AC111" s="1" t="e">
        <f>AB111/VLOOKUP(A111,'[30]geoMap (27)'!$A:$B,2,0)*VLOOKUP(A111,'[30]geoMap (27)'!$A:$C,3,0)</f>
        <v>#REF!</v>
      </c>
      <c r="AD111" s="1" t="e">
        <f>AC111/VLOOKUP(A111,'[31]geoMap (28)'!$A:$B,2,0)*VLOOKUP(A111,'[31]geoMap (28)'!$A:$C,3,0)</f>
        <v>#REF!</v>
      </c>
      <c r="AE111" s="1" t="e">
        <f>AD111/VLOOKUP(A111,'[32]geoMap (29)'!$A:$B,2,0)*VLOOKUP(A111,'[32]geoMap (29)'!$A:$C,3,0)</f>
        <v>#REF!</v>
      </c>
      <c r="AF111" s="1" t="e">
        <f>AE111/VLOOKUP(A111,'[33]geoMap (30)'!$A:$B,2,0)*VLOOKUP(A111,'[33]geoMap (30)'!$A:$C,3,0)</f>
        <v>#REF!</v>
      </c>
      <c r="AG111" s="1" t="e">
        <f>AF111/VLOOKUP(A111,'[34]geoMap (31)'!$A:$B,2,0)*VLOOKUP(A111,'[34]geoMap (31)'!$A:$C,3,0)</f>
        <v>#REF!</v>
      </c>
      <c r="AH111" s="1" t="e">
        <f>AG111/VLOOKUP(A111,'[35]geoMap (32)'!$A:$B,2,0)*VLOOKUP(A111,'[35]geoMap (32)'!$A:$C,3,0)</f>
        <v>#REF!</v>
      </c>
      <c r="AI111" s="1" t="e">
        <f>AH111/VLOOKUP(A111,'[36]geoMap (33)'!$A:$B,2,0)*VLOOKUP(A111,'[36]geoMap (33)'!$A:$C,3,0)</f>
        <v>#REF!</v>
      </c>
      <c r="AJ111" s="1" t="e">
        <f>AI111/VLOOKUP(A111,'[37]geoMap (34)'!$A:$B,2,0)*VLOOKUP(A111,'[37]geoMap (34)'!$A:$C,3,0)</f>
        <v>#REF!</v>
      </c>
      <c r="AK111" s="1" t="e">
        <f>AJ111/VLOOKUP(A111,'[38]geoMap (35)'!$A:$B,2,0)*VLOOKUP(A111,'[38]geoMap (35)'!$A:$C,3,0)</f>
        <v>#REF!</v>
      </c>
      <c r="AL111" s="1" t="e">
        <f>AK111/VLOOKUP(A111,'[39]geoMap (36)'!$A:$B,2,0)*VLOOKUP(A111,'[39]geoMap (36)'!$A:$C,3,0)</f>
        <v>#REF!</v>
      </c>
      <c r="AM111" s="1" t="e">
        <f>AL111/VLOOKUP(A111,'[40]geoMap (37)'!$A:$B,2,0)*VLOOKUP(A111,'[40]geoMap (37)'!$A:$C,3,0)</f>
        <v>#REF!</v>
      </c>
      <c r="AN111" s="1" t="e">
        <f>AM111/VLOOKUP(A111,'[41]geoMap (38)'!$A:$B,2,0)*VLOOKUP(A111,'[41]geoMap (38)'!$A:$C,3,0)</f>
        <v>#REF!</v>
      </c>
      <c r="AO111" s="1" t="e">
        <f>AN111/VLOOKUP(A111,'[42]geoMap (39)'!$A:$B,2,0)*VLOOKUP(A111,'[42]geoMap (39)'!$A:$C,3,0)</f>
        <v>#REF!</v>
      </c>
      <c r="AP111" s="1" t="e">
        <f>AO111/VLOOKUP(A111,'[43]geoMap (40)'!$A:$B,2,0)*VLOOKUP(A111,'[43]geoMap (40)'!$A:$C,3,0)</f>
        <v>#REF!</v>
      </c>
      <c r="AQ111" s="1" t="e">
        <f>AP111/VLOOKUP(A111,'[44]geoMap (41)'!$A:$B,2,0)*VLOOKUP(A111,'[44]geoMap (41)'!$A:$C,3,0)</f>
        <v>#REF!</v>
      </c>
      <c r="AR111" s="1" t="e">
        <f>AQ111/VLOOKUP(A111,'[45]geoMap (42)'!$A:$B,2,0)*VLOOKUP(A111,'[45]geoMap (42)'!$A:$C,3,0)</f>
        <v>#REF!</v>
      </c>
      <c r="AS111" s="1" t="e">
        <f>AR111/VLOOKUP(A111,'[46]geoMap (43)'!$A:$B,2,0)*VLOOKUP(A111,'[46]geoMap (43)'!$A:$C,3,0)</f>
        <v>#REF!</v>
      </c>
      <c r="AT111" s="1" t="e">
        <f>AS111/VLOOKUP(A111,'[47]geoMap (44)'!$A:$B,2,0)*VLOOKUP(A111,'[47]geoMap (44)'!$A:$C,3,0)</f>
        <v>#REF!</v>
      </c>
      <c r="AU111" s="1" t="e">
        <f>AT111/VLOOKUP(A111,'[48]geoMap (45)'!$A:$B,2,0)*VLOOKUP(A111,'[48]geoMap (45)'!$A:$C,3,0)</f>
        <v>#REF!</v>
      </c>
      <c r="AV111" s="1" t="e">
        <f>AU111/VLOOKUP(A111,'[49]geoMap (46)'!$A:$B,2,0)*VLOOKUP(A111,'[49]geoMap (46)'!$A:$C,3,0)</f>
        <v>#REF!</v>
      </c>
      <c r="AW111" s="1" t="e">
        <f>AV111/VLOOKUP(A111,'[50]geoMap (47)'!$A:$B,2,0)*VLOOKUP(A111,'[50]geoMap (47)'!$A:$C,3,0)</f>
        <v>#REF!</v>
      </c>
      <c r="AX111" s="1" t="e">
        <f>AW111/VLOOKUP(A111,'[51]geoMap (48)'!$A:$B,2,0)*VLOOKUP(A111,'[51]geoMap (48)'!$A:$C,3,0)</f>
        <v>#REF!</v>
      </c>
      <c r="AY111" s="1" t="e">
        <f>AX111/VLOOKUP(A111,'[52]geoMap (49)'!$A:$B,2,0)*VLOOKUP(A111,'[52]geoMap (49)'!$A:$C,3,0)</f>
        <v>#REF!</v>
      </c>
      <c r="AZ111" s="1" t="e">
        <f>AY111/VLOOKUP(A111,'[53]geoMap (50)'!$A:$B,2,0)*VLOOKUP(A111,'[53]geoMap (50)'!$A:$C,3,0)</f>
        <v>#REF!</v>
      </c>
      <c r="BA111" s="1" t="e">
        <f>AZ111/VLOOKUP(A111,'[54]geoMap (51)'!$A:$B,2,0)*VLOOKUP(A111,'[54]geoMap (51)'!$A:$C,3,0)</f>
        <v>#REF!</v>
      </c>
      <c r="BB111" s="1" t="e">
        <f>BA111/VLOOKUP(A111,'[55]geoMap (52)'!$A:$B,2,0)*VLOOKUP(A111,'[55]geoMap (52)'!$A:$C,3,0)</f>
        <v>#REF!</v>
      </c>
      <c r="BC111" s="1" t="e">
        <f>BB111/VLOOKUP(A111,'[56]geoMap (53)'!$A:$B,2,0)*VLOOKUP(A111,'[56]geoMap (53)'!$A:$C,3,0)</f>
        <v>#REF!</v>
      </c>
      <c r="BD111" s="1" t="e">
        <f>BC111/VLOOKUP(A111,'[57]geoMap (54)'!$A:$B,2,0)*VLOOKUP(A111,'[57]geoMap (54)'!$A:$C,3,0)</f>
        <v>#REF!</v>
      </c>
      <c r="BE111" s="1" t="e">
        <f>BD111/VLOOKUP(A111,'[58]geoMap (55)'!$A:$B,2,0)*VLOOKUP(A111,'[58]geoMap (55)'!$A:$C,3,0)</f>
        <v>#REF!</v>
      </c>
      <c r="BF111" s="1" t="e">
        <f>BE111/VLOOKUP(A111,'[59]geoMap (56)'!$A:$B,2,0)*VLOOKUP(A111,'[59]geoMap (56)'!$A:$C,3,0)</f>
        <v>#REF!</v>
      </c>
      <c r="BG111" s="1" t="e">
        <f>BF111/VLOOKUP(A111,'[60]geoMap (57)'!$A:$B,2,0)*VLOOKUP(A111,'[60]geoMap (57)'!$A:$C,3,0)</f>
        <v>#REF!</v>
      </c>
      <c r="BH111" s="1" t="e">
        <f>BG111/VLOOKUP(A111,'[61]geoMap (58)'!$A:$B,2,0)*VLOOKUP(A111,'[61]geoMap (58)'!$A:$C,3,0)</f>
        <v>#REF!</v>
      </c>
      <c r="BI111" s="1" t="e">
        <f>BH111/VLOOKUP(A111,'[62]geoMap (59)'!$A:$B,2,0)*VLOOKUP(A111,'[62]geoMap (59)'!$A:$C,3,0)</f>
        <v>#REF!</v>
      </c>
      <c r="BJ111" s="1" t="e">
        <f>BI111/VLOOKUP(A111,'[63]geoMap (60)'!$A:$B,2,0)*VLOOKUP(A111,'[63]geoMap (60)'!$A:$C,3,0)</f>
        <v>#REF!</v>
      </c>
      <c r="BK111" s="1" t="e">
        <f>BJ111/VLOOKUP(A111,'[64]geoMap (61)'!$A:$B,2,0)*VLOOKUP(A111,'[64]geoMap (61)'!$A:$C,3,0)</f>
        <v>#REF!</v>
      </c>
      <c r="BL111" s="1" t="e">
        <f>BK111/VLOOKUP(A111,'[65]geoMap (62)'!$A:$B,2,0)*VLOOKUP(A111,'[65]geoMap (62)'!$A:$C,3,0)</f>
        <v>#REF!</v>
      </c>
      <c r="BM111" s="1" t="e">
        <f>BL111/VLOOKUP(A111,'[66]geoMap (63)'!$A:$B,2,0)*VLOOKUP(A111,'[66]geoMap (63)'!$A:$C,3,0)</f>
        <v>#REF!</v>
      </c>
      <c r="BN111" s="1" t="e">
        <f>BM111/VLOOKUP(A111,'[67]geoMap (64)'!$A:$B,2,0)*VLOOKUP(A111,'[67]geoMap (64)'!$A:$C,3,0)</f>
        <v>#REF!</v>
      </c>
      <c r="BO111" s="1" t="e">
        <f>BN111/VLOOKUP(A111,'[68]geoMap (65)'!$A:$B,2,0)*VLOOKUP(A111,'[68]geoMap (65)'!$A:$C,3,0)</f>
        <v>#REF!</v>
      </c>
      <c r="BP111" s="1" t="e">
        <f>BO111/VLOOKUP(A111,'[69]geoMap (66)'!$A:$B,2,0)*VLOOKUP(A111,'[69]geoMap (66)'!$A:$C,3,0)</f>
        <v>#REF!</v>
      </c>
    </row>
    <row r="112" spans="1:68" hidden="1" x14ac:dyDescent="0.2">
      <c r="A112" s="1" t="s">
        <v>58</v>
      </c>
      <c r="B112" s="1" t="e">
        <f>VLOOKUP(A112,[3]geoMap!$A:$B,2,0)*Notes!$C$6</f>
        <v>#REF!</v>
      </c>
      <c r="C112" s="1" t="e">
        <f>B112/VLOOKUP(A112,'[4]geoMap (1)'!$A:$B,2,0)*VLOOKUP(A112,'[4]geoMap (1)'!$A:$C,3,0)</f>
        <v>#REF!</v>
      </c>
      <c r="D112" s="1" t="e">
        <f>C112/VLOOKUP(A112,'[5]geoMap (2)'!$A:$B,2,0)*VLOOKUP(A112,'[5]geoMap (2)'!$A:$C,3,0)</f>
        <v>#REF!</v>
      </c>
      <c r="E112" s="1" t="e">
        <f>D112/VLOOKUP(A112,'[6]geoMap (3)'!$A:$B,2,0)*VLOOKUP(A112,'[6]geoMap (3)'!$A:$C,3,0)</f>
        <v>#REF!</v>
      </c>
      <c r="F112" s="1" t="e">
        <f>E112/VLOOKUP(A112,'[7]geoMap (4)'!$A:$B,2,0)*VLOOKUP(A112,'[7]geoMap (4)'!$A:$C,3,0)</f>
        <v>#REF!</v>
      </c>
      <c r="G112" s="1" t="e">
        <f>F112/VLOOKUP(A112,'[8]geoMap (5)'!$A:$B,2,0)*VLOOKUP(A112,'[8]geoMap (5)'!$A:$C,3,0)</f>
        <v>#REF!</v>
      </c>
      <c r="H112" s="1" t="e">
        <f>G112/VLOOKUP(A112,'[9]geoMap (6)'!$A:$B,2,0)*VLOOKUP(A112,'[9]geoMap (6)'!$A:$C,3,0)</f>
        <v>#REF!</v>
      </c>
      <c r="I112" s="1" t="e">
        <f>H112/VLOOKUP(A112,'[10]geoMap (7)'!$A:$B,2,0)*VLOOKUP(A112,'[10]geoMap (7)'!$A:$C,3,0)</f>
        <v>#REF!</v>
      </c>
      <c r="J112" s="1" t="e">
        <f>I112/VLOOKUP(A112,'[11]geoMap (8)'!$A:$B,2,0)*VLOOKUP(A112,'[11]geoMap (8)'!$A:$C,3,0)</f>
        <v>#REF!</v>
      </c>
      <c r="K112" s="1" t="e">
        <f>J112/VLOOKUP(A112,'[12]geoMap (9)'!$A:$B,2,0)*VLOOKUP(A112,'[12]geoMap (9)'!$A:$C,3,0)</f>
        <v>#REF!</v>
      </c>
      <c r="L112" s="1" t="e">
        <f>K112/VLOOKUP(A112,'[13]geoMap (10)'!$A:$B,2,0)*VLOOKUP(A112,'[13]geoMap (10)'!$A:$C,3,0)</f>
        <v>#REF!</v>
      </c>
      <c r="M112" s="1" t="e">
        <f>L112/VLOOKUP(A112,'[14]geoMap (11)'!$A:$B,2,0)*VLOOKUP(A112,'[14]geoMap (11)'!$A:$C,3,0)</f>
        <v>#REF!</v>
      </c>
      <c r="N112" s="1" t="e">
        <f>M112/VLOOKUP(A112,'[15]geoMap (12)'!$A:$B,2,0)*VLOOKUP(A112,'[15]geoMap (12)'!$A:$C,3,0)</f>
        <v>#REF!</v>
      </c>
      <c r="O112" s="1" t="e">
        <f>N112/VLOOKUP(A112,'[16]geoMap (13)'!$A:$B,2,0)*VLOOKUP(A112,'[16]geoMap (13)'!$A:$C,3,0)</f>
        <v>#REF!</v>
      </c>
      <c r="P112" s="1" t="e">
        <f>O112/VLOOKUP(A112,'[17]geoMap (14)'!$A:$B,2,0)*VLOOKUP(A112,'[17]geoMap (14)'!$A:$C,3,0)</f>
        <v>#REF!</v>
      </c>
      <c r="Q112" s="1" t="e">
        <f>P112/VLOOKUP(A112,'[18]geoMap (15)'!$A:$B,2,0)*VLOOKUP(A112,'[18]geoMap (15)'!$A:$C,3,0)</f>
        <v>#REF!</v>
      </c>
      <c r="R112" s="1" t="e">
        <f>Q112/VLOOKUP(A112,'[19]geoMap (16)'!$A:$B,2,0)*VLOOKUP(A112,'[19]geoMap (16)'!$A:$C,3,0)</f>
        <v>#REF!</v>
      </c>
      <c r="S112" s="1" t="e">
        <f>R112/VLOOKUP(A112,'[20]geoMap (17)'!$A:$B,2,0)*VLOOKUP(A112,'[20]geoMap (17)'!$A:$C,3,0)</f>
        <v>#REF!</v>
      </c>
      <c r="T112" s="1" t="e">
        <f>S112/VLOOKUP(A112,'[21]geoMap (18)'!$A:$B,2,0)*VLOOKUP(A112,'[21]geoMap (18)'!$A:$C,3,0)</f>
        <v>#REF!</v>
      </c>
      <c r="U112" s="1" t="e">
        <f>T112/VLOOKUP(A112,'[22]geoMap (19)'!$A:$B,2,0)*VLOOKUP(A112,'[22]geoMap (19)'!$A:$C,3,0)</f>
        <v>#REF!</v>
      </c>
      <c r="V112" s="1" t="e">
        <f>U112/VLOOKUP(A112,'[23]geoMap (20)'!$A:$B,2,0)*VLOOKUP(A112,'[23]geoMap (20)'!$A:$C,3,0)</f>
        <v>#REF!</v>
      </c>
      <c r="W112" s="1" t="e">
        <f>V112/VLOOKUP(A112,'[24]geoMap (21)'!$A:$B,2,0)*VLOOKUP(A112,'[24]geoMap (21)'!$A:$C,3,0)</f>
        <v>#REF!</v>
      </c>
      <c r="X112" s="1" t="e">
        <f>W112/VLOOKUP(A112,'[25]geoMap (22)'!$A:$B,2,0)*VLOOKUP(A112,'[25]geoMap (22)'!$A:$C,3,0)</f>
        <v>#REF!</v>
      </c>
      <c r="Y112" s="1" t="e">
        <f>X112/VLOOKUP(A112,'[26]geoMap (23)'!$A:$B,2,0)*VLOOKUP(A112,'[26]geoMap (23)'!$A:$C,3,0)</f>
        <v>#REF!</v>
      </c>
      <c r="Z112" s="1" t="e">
        <f>Y112/VLOOKUP(A112,'[27]geoMap (24)'!$A:$B,2,0)*VLOOKUP(A112,'[27]geoMap (24)'!$A:$C,3,0)</f>
        <v>#REF!</v>
      </c>
      <c r="AA112" s="1" t="e">
        <f>Z112/VLOOKUP(A112,'[28]geoMap (25)'!$A:$B,2,0)*VLOOKUP(A112,'[28]geoMap (25)'!$A:$C,3,0)</f>
        <v>#REF!</v>
      </c>
      <c r="AB112" s="1" t="e">
        <f>AA112*VLOOKUP(A112,'[29]geoMap (26)'!$A:$B,2,0)*VLOOKUP(A112,'[29]geoMap (26)'!$A:$C,3,0)</f>
        <v>#REF!</v>
      </c>
      <c r="AC112" s="1" t="e">
        <f>AB112/VLOOKUP(A112,'[30]geoMap (27)'!$A:$B,2,0)*VLOOKUP(A112,'[30]geoMap (27)'!$A:$C,3,0)</f>
        <v>#REF!</v>
      </c>
      <c r="AD112" s="1" t="e">
        <f>AC112/VLOOKUP(A112,'[31]geoMap (28)'!$A:$B,2,0)*VLOOKUP(A112,'[31]geoMap (28)'!$A:$C,3,0)</f>
        <v>#REF!</v>
      </c>
      <c r="AE112" s="1" t="e">
        <f>AD112/VLOOKUP(A112,'[32]geoMap (29)'!$A:$B,2,0)*VLOOKUP(A112,'[32]geoMap (29)'!$A:$C,3,0)</f>
        <v>#REF!</v>
      </c>
      <c r="AF112" s="1" t="e">
        <f>AE112/VLOOKUP(A112,'[33]geoMap (30)'!$A:$B,2,0)*VLOOKUP(A112,'[33]geoMap (30)'!$A:$C,3,0)</f>
        <v>#REF!</v>
      </c>
      <c r="AG112" s="1" t="e">
        <f>AF112/VLOOKUP(A112,'[34]geoMap (31)'!$A:$B,2,0)*VLOOKUP(A112,'[34]geoMap (31)'!$A:$C,3,0)</f>
        <v>#REF!</v>
      </c>
      <c r="AH112" s="1" t="e">
        <f>AG112/VLOOKUP(A112,'[35]geoMap (32)'!$A:$B,2,0)*VLOOKUP(A112,'[35]geoMap (32)'!$A:$C,3,0)</f>
        <v>#REF!</v>
      </c>
      <c r="AI112" s="1" t="e">
        <f>AH112/VLOOKUP(A112,'[36]geoMap (33)'!$A:$B,2,0)*VLOOKUP(A112,'[36]geoMap (33)'!$A:$C,3,0)</f>
        <v>#REF!</v>
      </c>
      <c r="AJ112" s="1" t="e">
        <f>AI112/VLOOKUP(A112,'[37]geoMap (34)'!$A:$B,2,0)*VLOOKUP(A112,'[37]geoMap (34)'!$A:$C,3,0)</f>
        <v>#REF!</v>
      </c>
      <c r="AK112" s="1" t="e">
        <f>AJ112/VLOOKUP(A112,'[38]geoMap (35)'!$A:$B,2,0)*VLOOKUP(A112,'[38]geoMap (35)'!$A:$C,3,0)</f>
        <v>#REF!</v>
      </c>
      <c r="AL112" s="1" t="e">
        <f>AK112/VLOOKUP(A112,'[39]geoMap (36)'!$A:$B,2,0)*VLOOKUP(A112,'[39]geoMap (36)'!$A:$C,3,0)</f>
        <v>#REF!</v>
      </c>
      <c r="AM112" s="1" t="e">
        <f>AL112/VLOOKUP(A112,'[40]geoMap (37)'!$A:$B,2,0)*VLOOKUP(A112,'[40]geoMap (37)'!$A:$C,3,0)</f>
        <v>#REF!</v>
      </c>
      <c r="AN112" s="1" t="e">
        <f>AM112/VLOOKUP(A112,'[41]geoMap (38)'!$A:$B,2,0)*VLOOKUP(A112,'[41]geoMap (38)'!$A:$C,3,0)</f>
        <v>#REF!</v>
      </c>
      <c r="AO112" s="1" t="e">
        <f>AN112/VLOOKUP(A112,'[42]geoMap (39)'!$A:$B,2,0)*VLOOKUP(A112,'[42]geoMap (39)'!$A:$C,3,0)</f>
        <v>#REF!</v>
      </c>
      <c r="AP112" s="1" t="e">
        <f>AO112/VLOOKUP(A112,'[43]geoMap (40)'!$A:$B,2,0)*VLOOKUP(A112,'[43]geoMap (40)'!$A:$C,3,0)</f>
        <v>#REF!</v>
      </c>
      <c r="AQ112" s="1" t="e">
        <f>AP112/VLOOKUP(A112,'[44]geoMap (41)'!$A:$B,2,0)*VLOOKUP(A112,'[44]geoMap (41)'!$A:$C,3,0)</f>
        <v>#REF!</v>
      </c>
      <c r="AR112" s="1" t="e">
        <f>AQ112/VLOOKUP(A112,'[45]geoMap (42)'!$A:$B,2,0)*VLOOKUP(A112,'[45]geoMap (42)'!$A:$C,3,0)</f>
        <v>#REF!</v>
      </c>
      <c r="AS112" s="1" t="e">
        <f>AR112/VLOOKUP(A112,'[46]geoMap (43)'!$A:$B,2,0)*VLOOKUP(A112,'[46]geoMap (43)'!$A:$C,3,0)</f>
        <v>#REF!</v>
      </c>
      <c r="AT112" s="1" t="e">
        <f>AS112/VLOOKUP(A112,'[47]geoMap (44)'!$A:$B,2,0)*VLOOKUP(A112,'[47]geoMap (44)'!$A:$C,3,0)</f>
        <v>#REF!</v>
      </c>
      <c r="AU112" s="1" t="e">
        <f>AT112/VLOOKUP(A112,'[48]geoMap (45)'!$A:$B,2,0)*VLOOKUP(A112,'[48]geoMap (45)'!$A:$C,3,0)</f>
        <v>#REF!</v>
      </c>
      <c r="AV112" s="1" t="e">
        <f>AU112/VLOOKUP(A112,'[49]geoMap (46)'!$A:$B,2,0)*VLOOKUP(A112,'[49]geoMap (46)'!$A:$C,3,0)</f>
        <v>#REF!</v>
      </c>
      <c r="AW112" s="1" t="e">
        <f>AV112/VLOOKUP(A112,'[50]geoMap (47)'!$A:$B,2,0)*VLOOKUP(A112,'[50]geoMap (47)'!$A:$C,3,0)</f>
        <v>#REF!</v>
      </c>
      <c r="AX112" s="1" t="e">
        <f>AW112/VLOOKUP(A112,'[51]geoMap (48)'!$A:$B,2,0)*VLOOKUP(A112,'[51]geoMap (48)'!$A:$C,3,0)</f>
        <v>#REF!</v>
      </c>
      <c r="AY112" s="1" t="e">
        <f>AX112/VLOOKUP(A112,'[52]geoMap (49)'!$A:$B,2,0)*VLOOKUP(A112,'[52]geoMap (49)'!$A:$C,3,0)</f>
        <v>#REF!</v>
      </c>
      <c r="AZ112" s="1" t="e">
        <f>AY112/VLOOKUP(A112,'[53]geoMap (50)'!$A:$B,2,0)*VLOOKUP(A112,'[53]geoMap (50)'!$A:$C,3,0)</f>
        <v>#REF!</v>
      </c>
      <c r="BA112" s="1" t="e">
        <f>AZ112/VLOOKUP(A112,'[54]geoMap (51)'!$A:$B,2,0)*VLOOKUP(A112,'[54]geoMap (51)'!$A:$C,3,0)</f>
        <v>#REF!</v>
      </c>
      <c r="BB112" s="1" t="e">
        <f>BA112/VLOOKUP(A112,'[55]geoMap (52)'!$A:$B,2,0)*VLOOKUP(A112,'[55]geoMap (52)'!$A:$C,3,0)</f>
        <v>#REF!</v>
      </c>
      <c r="BC112" s="1" t="e">
        <f>BB112/VLOOKUP(A112,'[56]geoMap (53)'!$A:$B,2,0)*VLOOKUP(A112,'[56]geoMap (53)'!$A:$C,3,0)</f>
        <v>#REF!</v>
      </c>
      <c r="BD112" s="1" t="e">
        <f>BC112/VLOOKUP(A112,'[57]geoMap (54)'!$A:$B,2,0)*VLOOKUP(A112,'[57]geoMap (54)'!$A:$C,3,0)</f>
        <v>#REF!</v>
      </c>
      <c r="BE112" s="1" t="e">
        <f>BD112/VLOOKUP(A112,'[58]geoMap (55)'!$A:$B,2,0)*VLOOKUP(A112,'[58]geoMap (55)'!$A:$C,3,0)</f>
        <v>#REF!</v>
      </c>
      <c r="BF112" s="1" t="e">
        <f>BE112/VLOOKUP(A112,'[59]geoMap (56)'!$A:$B,2,0)*VLOOKUP(A112,'[59]geoMap (56)'!$A:$C,3,0)</f>
        <v>#REF!</v>
      </c>
      <c r="BG112" s="1" t="e">
        <f>BF112/VLOOKUP(A112,'[60]geoMap (57)'!$A:$B,2,0)*VLOOKUP(A112,'[60]geoMap (57)'!$A:$C,3,0)</f>
        <v>#REF!</v>
      </c>
      <c r="BH112" s="1" t="e">
        <f>BG112/VLOOKUP(A112,'[61]geoMap (58)'!$A:$B,2,0)*VLOOKUP(A112,'[61]geoMap (58)'!$A:$C,3,0)</f>
        <v>#REF!</v>
      </c>
      <c r="BI112" s="1" t="e">
        <f>BH112/VLOOKUP(A112,'[62]geoMap (59)'!$A:$B,2,0)*VLOOKUP(A112,'[62]geoMap (59)'!$A:$C,3,0)</f>
        <v>#REF!</v>
      </c>
      <c r="BJ112" s="1" t="e">
        <f>BI112/VLOOKUP(A112,'[63]geoMap (60)'!$A:$B,2,0)*VLOOKUP(A112,'[63]geoMap (60)'!$A:$C,3,0)</f>
        <v>#REF!</v>
      </c>
      <c r="BK112" s="1" t="e">
        <f>BJ112/VLOOKUP(A112,'[64]geoMap (61)'!$A:$B,2,0)*VLOOKUP(A112,'[64]geoMap (61)'!$A:$C,3,0)</f>
        <v>#REF!</v>
      </c>
      <c r="BL112" s="1" t="e">
        <f>BK112/VLOOKUP(A112,'[65]geoMap (62)'!$A:$B,2,0)*VLOOKUP(A112,'[65]geoMap (62)'!$A:$C,3,0)</f>
        <v>#REF!</v>
      </c>
      <c r="BM112" s="1" t="e">
        <f>BL112/VLOOKUP(A112,'[66]geoMap (63)'!$A:$B,2,0)*VLOOKUP(A112,'[66]geoMap (63)'!$A:$C,3,0)</f>
        <v>#REF!</v>
      </c>
      <c r="BN112" s="1" t="e">
        <f>BM112/VLOOKUP(A112,'[67]geoMap (64)'!$A:$B,2,0)*VLOOKUP(A112,'[67]geoMap (64)'!$A:$C,3,0)</f>
        <v>#REF!</v>
      </c>
      <c r="BO112" s="1" t="e">
        <f>BN112/VLOOKUP(A112,'[68]geoMap (65)'!$A:$B,2,0)*VLOOKUP(A112,'[68]geoMap (65)'!$A:$C,3,0)</f>
        <v>#REF!</v>
      </c>
      <c r="BP112" s="1" t="e">
        <f>BO112/VLOOKUP(A112,'[69]geoMap (66)'!$A:$B,2,0)*VLOOKUP(A112,'[69]geoMap (66)'!$A:$C,3,0)</f>
        <v>#REF!</v>
      </c>
    </row>
    <row r="113" spans="1:68" hidden="1" x14ac:dyDescent="0.2">
      <c r="A113" s="1" t="s">
        <v>59</v>
      </c>
      <c r="B113" s="1" t="e">
        <f>VLOOKUP(A113,[3]geoMap!$A:$B,2,0)*Notes!$C$6</f>
        <v>#REF!</v>
      </c>
      <c r="C113" s="1" t="e">
        <f>B113/VLOOKUP(A113,'[4]geoMap (1)'!$A:$B,2,0)*VLOOKUP(A113,'[4]geoMap (1)'!$A:$C,3,0)</f>
        <v>#REF!</v>
      </c>
      <c r="D113" s="1" t="e">
        <f>C113/VLOOKUP(A113,'[5]geoMap (2)'!$A:$B,2,0)*VLOOKUP(A113,'[5]geoMap (2)'!$A:$C,3,0)</f>
        <v>#REF!</v>
      </c>
      <c r="E113" s="1" t="e">
        <f>D113/VLOOKUP(A113,'[6]geoMap (3)'!$A:$B,2,0)*VLOOKUP(A113,'[6]geoMap (3)'!$A:$C,3,0)</f>
        <v>#REF!</v>
      </c>
      <c r="F113" s="1" t="e">
        <f>E113/VLOOKUP(A113,'[7]geoMap (4)'!$A:$B,2,0)*VLOOKUP(A113,'[7]geoMap (4)'!$A:$C,3,0)</f>
        <v>#REF!</v>
      </c>
      <c r="G113" s="1" t="e">
        <f>F113/VLOOKUP(A113,'[8]geoMap (5)'!$A:$B,2,0)*VLOOKUP(A113,'[8]geoMap (5)'!$A:$C,3,0)</f>
        <v>#REF!</v>
      </c>
      <c r="H113" s="1" t="e">
        <f>G113/VLOOKUP(A113,'[9]geoMap (6)'!$A:$B,2,0)*VLOOKUP(A113,'[9]geoMap (6)'!$A:$C,3,0)</f>
        <v>#REF!</v>
      </c>
      <c r="I113" s="1" t="e">
        <f>H113/VLOOKUP(A113,'[10]geoMap (7)'!$A:$B,2,0)*VLOOKUP(A113,'[10]geoMap (7)'!$A:$C,3,0)</f>
        <v>#REF!</v>
      </c>
      <c r="J113" s="1" t="e">
        <f>I113/VLOOKUP(A113,'[11]geoMap (8)'!$A:$B,2,0)*VLOOKUP(A113,'[11]geoMap (8)'!$A:$C,3,0)</f>
        <v>#REF!</v>
      </c>
      <c r="K113" s="1" t="e">
        <f>J113/VLOOKUP(A113,'[12]geoMap (9)'!$A:$B,2,0)*VLOOKUP(A113,'[12]geoMap (9)'!$A:$C,3,0)</f>
        <v>#REF!</v>
      </c>
      <c r="L113" s="1" t="e">
        <f>K113/VLOOKUP(A113,'[13]geoMap (10)'!$A:$B,2,0)*VLOOKUP(A113,'[13]geoMap (10)'!$A:$C,3,0)</f>
        <v>#REF!</v>
      </c>
      <c r="M113" s="1" t="e">
        <f>L113/VLOOKUP(A113,'[14]geoMap (11)'!$A:$B,2,0)*VLOOKUP(A113,'[14]geoMap (11)'!$A:$C,3,0)</f>
        <v>#REF!</v>
      </c>
      <c r="N113" s="1" t="e">
        <f>M113/VLOOKUP(A113,'[15]geoMap (12)'!$A:$B,2,0)*VLOOKUP(A113,'[15]geoMap (12)'!$A:$C,3,0)</f>
        <v>#REF!</v>
      </c>
      <c r="O113" s="1" t="e">
        <f>N113/VLOOKUP(A113,'[16]geoMap (13)'!$A:$B,2,0)*VLOOKUP(A113,'[16]geoMap (13)'!$A:$C,3,0)</f>
        <v>#REF!</v>
      </c>
      <c r="P113" s="1" t="e">
        <f>O113/VLOOKUP(A113,'[17]geoMap (14)'!$A:$B,2,0)*VLOOKUP(A113,'[17]geoMap (14)'!$A:$C,3,0)</f>
        <v>#REF!</v>
      </c>
      <c r="Q113" s="1" t="e">
        <f>P113/VLOOKUP(A113,'[18]geoMap (15)'!$A:$B,2,0)*VLOOKUP(A113,'[18]geoMap (15)'!$A:$C,3,0)</f>
        <v>#REF!</v>
      </c>
      <c r="R113" s="1" t="e">
        <f>Q113/VLOOKUP(A113,'[19]geoMap (16)'!$A:$B,2,0)*VLOOKUP(A113,'[19]geoMap (16)'!$A:$C,3,0)</f>
        <v>#REF!</v>
      </c>
      <c r="S113" s="1" t="e">
        <f>R113/VLOOKUP(A113,'[20]geoMap (17)'!$A:$B,2,0)*VLOOKUP(A113,'[20]geoMap (17)'!$A:$C,3,0)</f>
        <v>#REF!</v>
      </c>
      <c r="T113" s="1" t="e">
        <f>S113/VLOOKUP(A113,'[21]geoMap (18)'!$A:$B,2,0)*VLOOKUP(A113,'[21]geoMap (18)'!$A:$C,3,0)</f>
        <v>#REF!</v>
      </c>
      <c r="U113" s="1" t="e">
        <f>T113/VLOOKUP(A113,'[22]geoMap (19)'!$A:$B,2,0)*VLOOKUP(A113,'[22]geoMap (19)'!$A:$C,3,0)</f>
        <v>#REF!</v>
      </c>
      <c r="V113" s="1" t="e">
        <f>U113/VLOOKUP(A113,'[23]geoMap (20)'!$A:$B,2,0)*VLOOKUP(A113,'[23]geoMap (20)'!$A:$C,3,0)</f>
        <v>#REF!</v>
      </c>
      <c r="W113" s="1" t="e">
        <f>V113/VLOOKUP(A113,'[24]geoMap (21)'!$A:$B,2,0)*VLOOKUP(A113,'[24]geoMap (21)'!$A:$C,3,0)</f>
        <v>#REF!</v>
      </c>
      <c r="X113" s="1" t="e">
        <f>W113/VLOOKUP(A113,'[25]geoMap (22)'!$A:$B,2,0)*VLOOKUP(A113,'[25]geoMap (22)'!$A:$C,3,0)</f>
        <v>#REF!</v>
      </c>
      <c r="Y113" s="1" t="e">
        <f>X113/VLOOKUP(A113,'[26]geoMap (23)'!$A:$B,2,0)*VLOOKUP(A113,'[26]geoMap (23)'!$A:$C,3,0)</f>
        <v>#REF!</v>
      </c>
      <c r="Z113" s="1" t="e">
        <f>Y113/VLOOKUP(A113,'[27]geoMap (24)'!$A:$B,2,0)*VLOOKUP(A113,'[27]geoMap (24)'!$A:$C,3,0)</f>
        <v>#REF!</v>
      </c>
      <c r="AA113" s="1" t="e">
        <f>Z113/VLOOKUP(A113,'[28]geoMap (25)'!$A:$B,2,0)*VLOOKUP(A113,'[28]geoMap (25)'!$A:$C,3,0)</f>
        <v>#REF!</v>
      </c>
      <c r="AB113" s="1" t="e">
        <f>AA113*VLOOKUP(A113,'[29]geoMap (26)'!$A:$B,2,0)*VLOOKUP(A113,'[29]geoMap (26)'!$A:$C,3,0)</f>
        <v>#REF!</v>
      </c>
      <c r="AC113" s="1" t="e">
        <f>AB113/VLOOKUP(A113,'[30]geoMap (27)'!$A:$B,2,0)*VLOOKUP(A113,'[30]geoMap (27)'!$A:$C,3,0)</f>
        <v>#REF!</v>
      </c>
      <c r="AD113" s="1" t="e">
        <f>AC113/VLOOKUP(A113,'[31]geoMap (28)'!$A:$B,2,0)*VLOOKUP(A113,'[31]geoMap (28)'!$A:$C,3,0)</f>
        <v>#REF!</v>
      </c>
      <c r="AE113" s="1" t="e">
        <f>AD113/VLOOKUP(A113,'[32]geoMap (29)'!$A:$B,2,0)*VLOOKUP(A113,'[32]geoMap (29)'!$A:$C,3,0)</f>
        <v>#REF!</v>
      </c>
      <c r="AF113" s="1" t="e">
        <f>AE113/VLOOKUP(A113,'[33]geoMap (30)'!$A:$B,2,0)*VLOOKUP(A113,'[33]geoMap (30)'!$A:$C,3,0)</f>
        <v>#REF!</v>
      </c>
      <c r="AG113" s="1" t="e">
        <f>AF113/VLOOKUP(A113,'[34]geoMap (31)'!$A:$B,2,0)*VLOOKUP(A113,'[34]geoMap (31)'!$A:$C,3,0)</f>
        <v>#REF!</v>
      </c>
      <c r="AH113" s="1" t="e">
        <f>AG113/VLOOKUP(A113,'[35]geoMap (32)'!$A:$B,2,0)*VLOOKUP(A113,'[35]geoMap (32)'!$A:$C,3,0)</f>
        <v>#REF!</v>
      </c>
      <c r="AI113" s="1" t="e">
        <f>AH113/VLOOKUP(A113,'[36]geoMap (33)'!$A:$B,2,0)*VLOOKUP(A113,'[36]geoMap (33)'!$A:$C,3,0)</f>
        <v>#REF!</v>
      </c>
      <c r="AJ113" s="1" t="e">
        <f>AI113/VLOOKUP(A113,'[37]geoMap (34)'!$A:$B,2,0)*VLOOKUP(A113,'[37]geoMap (34)'!$A:$C,3,0)</f>
        <v>#REF!</v>
      </c>
      <c r="AK113" s="1" t="e">
        <f>AJ113/VLOOKUP(A113,'[38]geoMap (35)'!$A:$B,2,0)*VLOOKUP(A113,'[38]geoMap (35)'!$A:$C,3,0)</f>
        <v>#REF!</v>
      </c>
      <c r="AL113" s="1" t="e">
        <f>AK113/VLOOKUP(A113,'[39]geoMap (36)'!$A:$B,2,0)*VLOOKUP(A113,'[39]geoMap (36)'!$A:$C,3,0)</f>
        <v>#REF!</v>
      </c>
      <c r="AM113" s="1" t="e">
        <f>AL113/VLOOKUP(A113,'[40]geoMap (37)'!$A:$B,2,0)*VLOOKUP(A113,'[40]geoMap (37)'!$A:$C,3,0)</f>
        <v>#REF!</v>
      </c>
      <c r="AN113" s="1" t="e">
        <f>AM113/VLOOKUP(A113,'[41]geoMap (38)'!$A:$B,2,0)*VLOOKUP(A113,'[41]geoMap (38)'!$A:$C,3,0)</f>
        <v>#REF!</v>
      </c>
      <c r="AO113" s="1" t="e">
        <f>AN113/VLOOKUP(A113,'[42]geoMap (39)'!$A:$B,2,0)*VLOOKUP(A113,'[42]geoMap (39)'!$A:$C,3,0)</f>
        <v>#REF!</v>
      </c>
      <c r="AP113" s="1" t="e">
        <f>AO113/VLOOKUP(A113,'[43]geoMap (40)'!$A:$B,2,0)*VLOOKUP(A113,'[43]geoMap (40)'!$A:$C,3,0)</f>
        <v>#REF!</v>
      </c>
      <c r="AQ113" s="1" t="e">
        <f>AP113/VLOOKUP(A113,'[44]geoMap (41)'!$A:$B,2,0)*VLOOKUP(A113,'[44]geoMap (41)'!$A:$C,3,0)</f>
        <v>#REF!</v>
      </c>
      <c r="AR113" s="1" t="e">
        <f>AQ113/VLOOKUP(A113,'[45]geoMap (42)'!$A:$B,2,0)*VLOOKUP(A113,'[45]geoMap (42)'!$A:$C,3,0)</f>
        <v>#REF!</v>
      </c>
      <c r="AS113" s="1" t="e">
        <f>AR113/VLOOKUP(A113,'[46]geoMap (43)'!$A:$B,2,0)*VLOOKUP(A113,'[46]geoMap (43)'!$A:$C,3,0)</f>
        <v>#REF!</v>
      </c>
      <c r="AT113" s="1" t="e">
        <f>AS113/VLOOKUP(A113,'[47]geoMap (44)'!$A:$B,2,0)*VLOOKUP(A113,'[47]geoMap (44)'!$A:$C,3,0)</f>
        <v>#REF!</v>
      </c>
      <c r="AU113" s="1" t="e">
        <f>AT113/VLOOKUP(A113,'[48]geoMap (45)'!$A:$B,2,0)*VLOOKUP(A113,'[48]geoMap (45)'!$A:$C,3,0)</f>
        <v>#REF!</v>
      </c>
      <c r="AV113" s="1" t="e">
        <f>AU113/VLOOKUP(A113,'[49]geoMap (46)'!$A:$B,2,0)*VLOOKUP(A113,'[49]geoMap (46)'!$A:$C,3,0)</f>
        <v>#REF!</v>
      </c>
      <c r="AW113" s="1" t="e">
        <f>AV113/VLOOKUP(A113,'[50]geoMap (47)'!$A:$B,2,0)*VLOOKUP(A113,'[50]geoMap (47)'!$A:$C,3,0)</f>
        <v>#REF!</v>
      </c>
      <c r="AX113" s="1" t="e">
        <f>AW113/VLOOKUP(A113,'[51]geoMap (48)'!$A:$B,2,0)*VLOOKUP(A113,'[51]geoMap (48)'!$A:$C,3,0)</f>
        <v>#REF!</v>
      </c>
      <c r="AY113" s="1" t="e">
        <f>AX113/VLOOKUP(A113,'[52]geoMap (49)'!$A:$B,2,0)*VLOOKUP(A113,'[52]geoMap (49)'!$A:$C,3,0)</f>
        <v>#REF!</v>
      </c>
      <c r="AZ113" s="1" t="e">
        <f>AY113/VLOOKUP(A113,'[53]geoMap (50)'!$A:$B,2,0)*VLOOKUP(A113,'[53]geoMap (50)'!$A:$C,3,0)</f>
        <v>#REF!</v>
      </c>
      <c r="BA113" s="1" t="e">
        <f>AZ113/VLOOKUP(A113,'[54]geoMap (51)'!$A:$B,2,0)*VLOOKUP(A113,'[54]geoMap (51)'!$A:$C,3,0)</f>
        <v>#REF!</v>
      </c>
      <c r="BB113" s="1" t="e">
        <f>BA113/VLOOKUP(A113,'[55]geoMap (52)'!$A:$B,2,0)*VLOOKUP(A113,'[55]geoMap (52)'!$A:$C,3,0)</f>
        <v>#REF!</v>
      </c>
      <c r="BC113" s="1" t="e">
        <f>BB113/VLOOKUP(A113,'[56]geoMap (53)'!$A:$B,2,0)*VLOOKUP(A113,'[56]geoMap (53)'!$A:$C,3,0)</f>
        <v>#REF!</v>
      </c>
      <c r="BD113" s="1" t="e">
        <f>BC113/VLOOKUP(A113,'[57]geoMap (54)'!$A:$B,2,0)*VLOOKUP(A113,'[57]geoMap (54)'!$A:$C,3,0)</f>
        <v>#REF!</v>
      </c>
      <c r="BE113" s="1" t="e">
        <f>BD113/VLOOKUP(A113,'[58]geoMap (55)'!$A:$B,2,0)*VLOOKUP(A113,'[58]geoMap (55)'!$A:$C,3,0)</f>
        <v>#REF!</v>
      </c>
      <c r="BF113" s="1" t="e">
        <f>BE113/VLOOKUP(A113,'[59]geoMap (56)'!$A:$B,2,0)*VLOOKUP(A113,'[59]geoMap (56)'!$A:$C,3,0)</f>
        <v>#REF!</v>
      </c>
      <c r="BG113" s="1" t="e">
        <f>BF113/VLOOKUP(A113,'[60]geoMap (57)'!$A:$B,2,0)*VLOOKUP(A113,'[60]geoMap (57)'!$A:$C,3,0)</f>
        <v>#REF!</v>
      </c>
      <c r="BH113" s="1" t="e">
        <f>BG113/VLOOKUP(A113,'[61]geoMap (58)'!$A:$B,2,0)*VLOOKUP(A113,'[61]geoMap (58)'!$A:$C,3,0)</f>
        <v>#REF!</v>
      </c>
      <c r="BI113" s="1" t="e">
        <f>BH113/VLOOKUP(A113,'[62]geoMap (59)'!$A:$B,2,0)*VLOOKUP(A113,'[62]geoMap (59)'!$A:$C,3,0)</f>
        <v>#REF!</v>
      </c>
      <c r="BJ113" s="1" t="e">
        <f>BI113/VLOOKUP(A113,'[63]geoMap (60)'!$A:$B,2,0)*VLOOKUP(A113,'[63]geoMap (60)'!$A:$C,3,0)</f>
        <v>#REF!</v>
      </c>
      <c r="BK113" s="1" t="e">
        <f>BJ113/VLOOKUP(A113,'[64]geoMap (61)'!$A:$B,2,0)*VLOOKUP(A113,'[64]geoMap (61)'!$A:$C,3,0)</f>
        <v>#REF!</v>
      </c>
      <c r="BL113" s="1" t="e">
        <f>BK113/VLOOKUP(A113,'[65]geoMap (62)'!$A:$B,2,0)*VLOOKUP(A113,'[65]geoMap (62)'!$A:$C,3,0)</f>
        <v>#REF!</v>
      </c>
      <c r="BM113" s="1" t="e">
        <f>BL113/VLOOKUP(A113,'[66]geoMap (63)'!$A:$B,2,0)*VLOOKUP(A113,'[66]geoMap (63)'!$A:$C,3,0)</f>
        <v>#REF!</v>
      </c>
      <c r="BN113" s="1" t="e">
        <f>BM113/VLOOKUP(A113,'[67]geoMap (64)'!$A:$B,2,0)*VLOOKUP(A113,'[67]geoMap (64)'!$A:$C,3,0)</f>
        <v>#REF!</v>
      </c>
      <c r="BO113" s="1" t="e">
        <f>BN113/VLOOKUP(A113,'[68]geoMap (65)'!$A:$B,2,0)*VLOOKUP(A113,'[68]geoMap (65)'!$A:$C,3,0)</f>
        <v>#REF!</v>
      </c>
      <c r="BP113" s="1" t="e">
        <f>BO113/VLOOKUP(A113,'[69]geoMap (66)'!$A:$B,2,0)*VLOOKUP(A113,'[69]geoMap (66)'!$A:$C,3,0)</f>
        <v>#REF!</v>
      </c>
    </row>
    <row r="114" spans="1:68" hidden="1" x14ac:dyDescent="0.2">
      <c r="A114" s="1" t="s">
        <v>62</v>
      </c>
      <c r="B114" s="1" t="e">
        <f>VLOOKUP(A114,[3]geoMap!$A:$B,2,0)*Notes!$C$6</f>
        <v>#REF!</v>
      </c>
      <c r="C114" s="1" t="e">
        <f>B114/VLOOKUP(A114,'[4]geoMap (1)'!$A:$B,2,0)*VLOOKUP(A114,'[4]geoMap (1)'!$A:$C,3,0)</f>
        <v>#REF!</v>
      </c>
      <c r="D114" s="1" t="e">
        <f>C114/VLOOKUP(A114,'[5]geoMap (2)'!$A:$B,2,0)*VLOOKUP(A114,'[5]geoMap (2)'!$A:$C,3,0)</f>
        <v>#REF!</v>
      </c>
      <c r="E114" s="1" t="e">
        <f>D114/VLOOKUP(A114,'[6]geoMap (3)'!$A:$B,2,0)*VLOOKUP(A114,'[6]geoMap (3)'!$A:$C,3,0)</f>
        <v>#REF!</v>
      </c>
      <c r="F114" s="1" t="e">
        <f>E114/VLOOKUP(A114,'[7]geoMap (4)'!$A:$B,2,0)*VLOOKUP(A114,'[7]geoMap (4)'!$A:$C,3,0)</f>
        <v>#REF!</v>
      </c>
      <c r="G114" s="1" t="e">
        <f>F114/VLOOKUP(A114,'[8]geoMap (5)'!$A:$B,2,0)*VLOOKUP(A114,'[8]geoMap (5)'!$A:$C,3,0)</f>
        <v>#REF!</v>
      </c>
      <c r="H114" s="1" t="e">
        <f>G114/VLOOKUP(A114,'[9]geoMap (6)'!$A:$B,2,0)*VLOOKUP(A114,'[9]geoMap (6)'!$A:$C,3,0)</f>
        <v>#REF!</v>
      </c>
      <c r="I114" s="1" t="e">
        <f>H114/VLOOKUP(A114,'[10]geoMap (7)'!$A:$B,2,0)*VLOOKUP(A114,'[10]geoMap (7)'!$A:$C,3,0)</f>
        <v>#REF!</v>
      </c>
      <c r="J114" s="1" t="e">
        <f>I114/VLOOKUP(A114,'[11]geoMap (8)'!$A:$B,2,0)*VLOOKUP(A114,'[11]geoMap (8)'!$A:$C,3,0)</f>
        <v>#REF!</v>
      </c>
      <c r="K114" s="1" t="e">
        <f>J114/VLOOKUP(A114,'[12]geoMap (9)'!$A:$B,2,0)*VLOOKUP(A114,'[12]geoMap (9)'!$A:$C,3,0)</f>
        <v>#REF!</v>
      </c>
      <c r="L114" s="1" t="e">
        <f>K114/VLOOKUP(A114,'[13]geoMap (10)'!$A:$B,2,0)*VLOOKUP(A114,'[13]geoMap (10)'!$A:$C,3,0)</f>
        <v>#REF!</v>
      </c>
      <c r="M114" s="1" t="e">
        <f>L114/VLOOKUP(A114,'[14]geoMap (11)'!$A:$B,2,0)*VLOOKUP(A114,'[14]geoMap (11)'!$A:$C,3,0)</f>
        <v>#REF!</v>
      </c>
      <c r="N114" s="1" t="e">
        <f>M114/VLOOKUP(A114,'[15]geoMap (12)'!$A:$B,2,0)*VLOOKUP(A114,'[15]geoMap (12)'!$A:$C,3,0)</f>
        <v>#REF!</v>
      </c>
      <c r="O114" s="1" t="e">
        <f>N114/VLOOKUP(A114,'[16]geoMap (13)'!$A:$B,2,0)*VLOOKUP(A114,'[16]geoMap (13)'!$A:$C,3,0)</f>
        <v>#REF!</v>
      </c>
      <c r="P114" s="1" t="e">
        <f>O114/VLOOKUP(A114,'[17]geoMap (14)'!$A:$B,2,0)*VLOOKUP(A114,'[17]geoMap (14)'!$A:$C,3,0)</f>
        <v>#REF!</v>
      </c>
      <c r="Q114" s="1" t="e">
        <f>P114/VLOOKUP(A114,'[18]geoMap (15)'!$A:$B,2,0)*VLOOKUP(A114,'[18]geoMap (15)'!$A:$C,3,0)</f>
        <v>#REF!</v>
      </c>
      <c r="R114" s="1" t="e">
        <f>Q114/VLOOKUP(A114,'[19]geoMap (16)'!$A:$B,2,0)*VLOOKUP(A114,'[19]geoMap (16)'!$A:$C,3,0)</f>
        <v>#REF!</v>
      </c>
      <c r="S114" s="1" t="e">
        <f>R114/VLOOKUP(A114,'[20]geoMap (17)'!$A:$B,2,0)*VLOOKUP(A114,'[20]geoMap (17)'!$A:$C,3,0)</f>
        <v>#REF!</v>
      </c>
      <c r="T114" s="1" t="e">
        <f>S114/VLOOKUP(A114,'[21]geoMap (18)'!$A:$B,2,0)*VLOOKUP(A114,'[21]geoMap (18)'!$A:$C,3,0)</f>
        <v>#REF!</v>
      </c>
      <c r="U114" s="1" t="e">
        <f>T114/VLOOKUP(A114,'[22]geoMap (19)'!$A:$B,2,0)*VLOOKUP(A114,'[22]geoMap (19)'!$A:$C,3,0)</f>
        <v>#REF!</v>
      </c>
      <c r="V114" s="1" t="e">
        <f>U114/VLOOKUP(A114,'[23]geoMap (20)'!$A:$B,2,0)*VLOOKUP(A114,'[23]geoMap (20)'!$A:$C,3,0)</f>
        <v>#REF!</v>
      </c>
      <c r="W114" s="1" t="e">
        <f>V114/VLOOKUP(A114,'[24]geoMap (21)'!$A:$B,2,0)*VLOOKUP(A114,'[24]geoMap (21)'!$A:$C,3,0)</f>
        <v>#REF!</v>
      </c>
      <c r="X114" s="1" t="e">
        <f>W114/VLOOKUP(A114,'[25]geoMap (22)'!$A:$B,2,0)*VLOOKUP(A114,'[25]geoMap (22)'!$A:$C,3,0)</f>
        <v>#REF!</v>
      </c>
      <c r="Y114" s="1" t="e">
        <f>X114/VLOOKUP(A114,'[26]geoMap (23)'!$A:$B,2,0)*VLOOKUP(A114,'[26]geoMap (23)'!$A:$C,3,0)</f>
        <v>#REF!</v>
      </c>
      <c r="Z114" s="1" t="e">
        <f>Y114/VLOOKUP(A114,'[27]geoMap (24)'!$A:$B,2,0)*VLOOKUP(A114,'[27]geoMap (24)'!$A:$C,3,0)</f>
        <v>#REF!</v>
      </c>
      <c r="AA114" s="1" t="e">
        <f>Z114/VLOOKUP(A114,'[28]geoMap (25)'!$A:$B,2,0)*VLOOKUP(A114,'[28]geoMap (25)'!$A:$C,3,0)</f>
        <v>#REF!</v>
      </c>
      <c r="AB114" s="1" t="e">
        <f>AA114*VLOOKUP(A114,'[29]geoMap (26)'!$A:$B,2,0)*VLOOKUP(A114,'[29]geoMap (26)'!$A:$C,3,0)</f>
        <v>#REF!</v>
      </c>
      <c r="AC114" s="1" t="e">
        <f>AB114/VLOOKUP(A114,'[30]geoMap (27)'!$A:$B,2,0)*VLOOKUP(A114,'[30]geoMap (27)'!$A:$C,3,0)</f>
        <v>#REF!</v>
      </c>
      <c r="AD114" s="1" t="e">
        <f>AC114/VLOOKUP(A114,'[31]geoMap (28)'!$A:$B,2,0)*VLOOKUP(A114,'[31]geoMap (28)'!$A:$C,3,0)</f>
        <v>#REF!</v>
      </c>
      <c r="AE114" s="1" t="e">
        <f>AD114/VLOOKUP(A114,'[32]geoMap (29)'!$A:$B,2,0)*VLOOKUP(A114,'[32]geoMap (29)'!$A:$C,3,0)</f>
        <v>#REF!</v>
      </c>
      <c r="AF114" s="1" t="e">
        <f>AE114/VLOOKUP(A114,'[33]geoMap (30)'!$A:$B,2,0)*VLOOKUP(A114,'[33]geoMap (30)'!$A:$C,3,0)</f>
        <v>#REF!</v>
      </c>
      <c r="AG114" s="1" t="e">
        <f>AF114/VLOOKUP(A114,'[34]geoMap (31)'!$A:$B,2,0)*VLOOKUP(A114,'[34]geoMap (31)'!$A:$C,3,0)</f>
        <v>#REF!</v>
      </c>
      <c r="AH114" s="1" t="e">
        <f>AG114/VLOOKUP(A114,'[35]geoMap (32)'!$A:$B,2,0)*VLOOKUP(A114,'[35]geoMap (32)'!$A:$C,3,0)</f>
        <v>#REF!</v>
      </c>
      <c r="AI114" s="1" t="e">
        <f>AH114/VLOOKUP(A114,'[36]geoMap (33)'!$A:$B,2,0)*VLOOKUP(A114,'[36]geoMap (33)'!$A:$C,3,0)</f>
        <v>#REF!</v>
      </c>
      <c r="AJ114" s="1" t="e">
        <f>AI114/VLOOKUP(A114,'[37]geoMap (34)'!$A:$B,2,0)*VLOOKUP(A114,'[37]geoMap (34)'!$A:$C,3,0)</f>
        <v>#REF!</v>
      </c>
      <c r="AK114" s="1" t="e">
        <f>AJ114/VLOOKUP(A114,'[38]geoMap (35)'!$A:$B,2,0)*VLOOKUP(A114,'[38]geoMap (35)'!$A:$C,3,0)</f>
        <v>#REF!</v>
      </c>
      <c r="AL114" s="1" t="e">
        <f>AK114/VLOOKUP(A114,'[39]geoMap (36)'!$A:$B,2,0)*VLOOKUP(A114,'[39]geoMap (36)'!$A:$C,3,0)</f>
        <v>#REF!</v>
      </c>
      <c r="AM114" s="1" t="e">
        <f>AL114/VLOOKUP(A114,'[40]geoMap (37)'!$A:$B,2,0)*VLOOKUP(A114,'[40]geoMap (37)'!$A:$C,3,0)</f>
        <v>#REF!</v>
      </c>
      <c r="AN114" s="1" t="e">
        <f>AM114/VLOOKUP(A114,'[41]geoMap (38)'!$A:$B,2,0)*VLOOKUP(A114,'[41]geoMap (38)'!$A:$C,3,0)</f>
        <v>#REF!</v>
      </c>
      <c r="AO114" s="1" t="e">
        <f>AN114/VLOOKUP(A114,'[42]geoMap (39)'!$A:$B,2,0)*VLOOKUP(A114,'[42]geoMap (39)'!$A:$C,3,0)</f>
        <v>#REF!</v>
      </c>
      <c r="AP114" s="1" t="e">
        <f>AO114/VLOOKUP(A114,'[43]geoMap (40)'!$A:$B,2,0)*VLOOKUP(A114,'[43]geoMap (40)'!$A:$C,3,0)</f>
        <v>#REF!</v>
      </c>
      <c r="AQ114" s="1" t="e">
        <f>AP114/VLOOKUP(A114,'[44]geoMap (41)'!$A:$B,2,0)*VLOOKUP(A114,'[44]geoMap (41)'!$A:$C,3,0)</f>
        <v>#REF!</v>
      </c>
      <c r="AR114" s="1" t="e">
        <f>AQ114/VLOOKUP(A114,'[45]geoMap (42)'!$A:$B,2,0)*VLOOKUP(A114,'[45]geoMap (42)'!$A:$C,3,0)</f>
        <v>#REF!</v>
      </c>
      <c r="AS114" s="1" t="e">
        <f>AR114/VLOOKUP(A114,'[46]geoMap (43)'!$A:$B,2,0)*VLOOKUP(A114,'[46]geoMap (43)'!$A:$C,3,0)</f>
        <v>#REF!</v>
      </c>
      <c r="AT114" s="1" t="e">
        <f>AS114/VLOOKUP(A114,'[47]geoMap (44)'!$A:$B,2,0)*VLOOKUP(A114,'[47]geoMap (44)'!$A:$C,3,0)</f>
        <v>#REF!</v>
      </c>
      <c r="AU114" s="1" t="e">
        <f>AT114/VLOOKUP(A114,'[48]geoMap (45)'!$A:$B,2,0)*VLOOKUP(A114,'[48]geoMap (45)'!$A:$C,3,0)</f>
        <v>#REF!</v>
      </c>
      <c r="AV114" s="1" t="e">
        <f>AU114/VLOOKUP(A114,'[49]geoMap (46)'!$A:$B,2,0)*VLOOKUP(A114,'[49]geoMap (46)'!$A:$C,3,0)</f>
        <v>#REF!</v>
      </c>
      <c r="AW114" s="1" t="e">
        <f>AV114/VLOOKUP(A114,'[50]geoMap (47)'!$A:$B,2,0)*VLOOKUP(A114,'[50]geoMap (47)'!$A:$C,3,0)</f>
        <v>#REF!</v>
      </c>
      <c r="AX114" s="1" t="e">
        <f>AW114/VLOOKUP(A114,'[51]geoMap (48)'!$A:$B,2,0)*VLOOKUP(A114,'[51]geoMap (48)'!$A:$C,3,0)</f>
        <v>#REF!</v>
      </c>
      <c r="AY114" s="1" t="e">
        <f>AX114/VLOOKUP(A114,'[52]geoMap (49)'!$A:$B,2,0)*VLOOKUP(A114,'[52]geoMap (49)'!$A:$C,3,0)</f>
        <v>#REF!</v>
      </c>
      <c r="AZ114" s="1" t="e">
        <f>AY114/VLOOKUP(A114,'[53]geoMap (50)'!$A:$B,2,0)*VLOOKUP(A114,'[53]geoMap (50)'!$A:$C,3,0)</f>
        <v>#REF!</v>
      </c>
      <c r="BA114" s="1" t="e">
        <f>AZ114/VLOOKUP(A114,'[54]geoMap (51)'!$A:$B,2,0)*VLOOKUP(A114,'[54]geoMap (51)'!$A:$C,3,0)</f>
        <v>#REF!</v>
      </c>
      <c r="BB114" s="1" t="e">
        <f>BA114/VLOOKUP(A114,'[55]geoMap (52)'!$A:$B,2,0)*VLOOKUP(A114,'[55]geoMap (52)'!$A:$C,3,0)</f>
        <v>#REF!</v>
      </c>
      <c r="BC114" s="1" t="e">
        <f>BB114/VLOOKUP(A114,'[56]geoMap (53)'!$A:$B,2,0)*VLOOKUP(A114,'[56]geoMap (53)'!$A:$C,3,0)</f>
        <v>#REF!</v>
      </c>
      <c r="BD114" s="1" t="e">
        <f>BC114/VLOOKUP(A114,'[57]geoMap (54)'!$A:$B,2,0)*VLOOKUP(A114,'[57]geoMap (54)'!$A:$C,3,0)</f>
        <v>#REF!</v>
      </c>
      <c r="BE114" s="1" t="e">
        <f>BD114/VLOOKUP(A114,'[58]geoMap (55)'!$A:$B,2,0)*VLOOKUP(A114,'[58]geoMap (55)'!$A:$C,3,0)</f>
        <v>#REF!</v>
      </c>
      <c r="BF114" s="1" t="e">
        <f>BE114/VLOOKUP(A114,'[59]geoMap (56)'!$A:$B,2,0)*VLOOKUP(A114,'[59]geoMap (56)'!$A:$C,3,0)</f>
        <v>#REF!</v>
      </c>
      <c r="BG114" s="1" t="e">
        <f>BF114/VLOOKUP(A114,'[60]geoMap (57)'!$A:$B,2,0)*VLOOKUP(A114,'[60]geoMap (57)'!$A:$C,3,0)</f>
        <v>#REF!</v>
      </c>
      <c r="BH114" s="1" t="e">
        <f>BG114/VLOOKUP(A114,'[61]geoMap (58)'!$A:$B,2,0)*VLOOKUP(A114,'[61]geoMap (58)'!$A:$C,3,0)</f>
        <v>#REF!</v>
      </c>
      <c r="BI114" s="1" t="e">
        <f>BH114/VLOOKUP(A114,'[62]geoMap (59)'!$A:$B,2,0)*VLOOKUP(A114,'[62]geoMap (59)'!$A:$C,3,0)</f>
        <v>#REF!</v>
      </c>
      <c r="BJ114" s="1" t="e">
        <f>BI114/VLOOKUP(A114,'[63]geoMap (60)'!$A:$B,2,0)*VLOOKUP(A114,'[63]geoMap (60)'!$A:$C,3,0)</f>
        <v>#REF!</v>
      </c>
      <c r="BK114" s="1" t="e">
        <f>BJ114/VLOOKUP(A114,'[64]geoMap (61)'!$A:$B,2,0)*VLOOKUP(A114,'[64]geoMap (61)'!$A:$C,3,0)</f>
        <v>#REF!</v>
      </c>
      <c r="BL114" s="1" t="e">
        <f>BK114/VLOOKUP(A114,'[65]geoMap (62)'!$A:$B,2,0)*VLOOKUP(A114,'[65]geoMap (62)'!$A:$C,3,0)</f>
        <v>#REF!</v>
      </c>
      <c r="BM114" s="1" t="e">
        <f>BL114/VLOOKUP(A114,'[66]geoMap (63)'!$A:$B,2,0)*VLOOKUP(A114,'[66]geoMap (63)'!$A:$C,3,0)</f>
        <v>#REF!</v>
      </c>
      <c r="BN114" s="1" t="e">
        <f>BM114/VLOOKUP(A114,'[67]geoMap (64)'!$A:$B,2,0)*VLOOKUP(A114,'[67]geoMap (64)'!$A:$C,3,0)</f>
        <v>#REF!</v>
      </c>
      <c r="BO114" s="1" t="e">
        <f>BN114/VLOOKUP(A114,'[68]geoMap (65)'!$A:$B,2,0)*VLOOKUP(A114,'[68]geoMap (65)'!$A:$C,3,0)</f>
        <v>#REF!</v>
      </c>
      <c r="BP114" s="1" t="e">
        <f>BO114/VLOOKUP(A114,'[69]geoMap (66)'!$A:$B,2,0)*VLOOKUP(A114,'[69]geoMap (66)'!$A:$C,3,0)</f>
        <v>#REF!</v>
      </c>
    </row>
    <row r="115" spans="1:68" hidden="1" x14ac:dyDescent="0.2">
      <c r="A115" s="1" t="s">
        <v>63</v>
      </c>
      <c r="B115" s="1" t="e">
        <f>VLOOKUP(A115,[3]geoMap!$A:$B,2,0)*Notes!$C$6</f>
        <v>#REF!</v>
      </c>
      <c r="C115" s="1" t="e">
        <f>B115/VLOOKUP(A115,'[4]geoMap (1)'!$A:$B,2,0)*VLOOKUP(A115,'[4]geoMap (1)'!$A:$C,3,0)</f>
        <v>#REF!</v>
      </c>
      <c r="D115" s="1" t="e">
        <f>C115/VLOOKUP(A115,'[5]geoMap (2)'!$A:$B,2,0)*VLOOKUP(A115,'[5]geoMap (2)'!$A:$C,3,0)</f>
        <v>#REF!</v>
      </c>
      <c r="E115" s="1" t="e">
        <f>D115/VLOOKUP(A115,'[6]geoMap (3)'!$A:$B,2,0)*VLOOKUP(A115,'[6]geoMap (3)'!$A:$C,3,0)</f>
        <v>#REF!</v>
      </c>
      <c r="F115" s="1" t="e">
        <f>E115/VLOOKUP(A115,'[7]geoMap (4)'!$A:$B,2,0)*VLOOKUP(A115,'[7]geoMap (4)'!$A:$C,3,0)</f>
        <v>#REF!</v>
      </c>
      <c r="G115" s="1" t="e">
        <f>F115/VLOOKUP(A115,'[8]geoMap (5)'!$A:$B,2,0)*VLOOKUP(A115,'[8]geoMap (5)'!$A:$C,3,0)</f>
        <v>#REF!</v>
      </c>
      <c r="H115" s="1" t="e">
        <f>G115/VLOOKUP(A115,'[9]geoMap (6)'!$A:$B,2,0)*VLOOKUP(A115,'[9]geoMap (6)'!$A:$C,3,0)</f>
        <v>#REF!</v>
      </c>
      <c r="I115" s="1" t="e">
        <f>H115/VLOOKUP(A115,'[10]geoMap (7)'!$A:$B,2,0)*VLOOKUP(A115,'[10]geoMap (7)'!$A:$C,3,0)</f>
        <v>#REF!</v>
      </c>
      <c r="J115" s="1" t="e">
        <f>I115/VLOOKUP(A115,'[11]geoMap (8)'!$A:$B,2,0)*VLOOKUP(A115,'[11]geoMap (8)'!$A:$C,3,0)</f>
        <v>#REF!</v>
      </c>
      <c r="K115" s="1" t="e">
        <f>J115/VLOOKUP(A115,'[12]geoMap (9)'!$A:$B,2,0)*VLOOKUP(A115,'[12]geoMap (9)'!$A:$C,3,0)</f>
        <v>#REF!</v>
      </c>
      <c r="L115" s="1" t="e">
        <f>K115/VLOOKUP(A115,'[13]geoMap (10)'!$A:$B,2,0)*VLOOKUP(A115,'[13]geoMap (10)'!$A:$C,3,0)</f>
        <v>#REF!</v>
      </c>
      <c r="M115" s="1" t="e">
        <f>L115/VLOOKUP(A115,'[14]geoMap (11)'!$A:$B,2,0)*VLOOKUP(A115,'[14]geoMap (11)'!$A:$C,3,0)</f>
        <v>#REF!</v>
      </c>
      <c r="N115" s="1" t="e">
        <f>M115/VLOOKUP(A115,'[15]geoMap (12)'!$A:$B,2,0)*VLOOKUP(A115,'[15]geoMap (12)'!$A:$C,3,0)</f>
        <v>#REF!</v>
      </c>
      <c r="O115" s="1" t="e">
        <f>N115/VLOOKUP(A115,'[16]geoMap (13)'!$A:$B,2,0)*VLOOKUP(A115,'[16]geoMap (13)'!$A:$C,3,0)</f>
        <v>#REF!</v>
      </c>
      <c r="P115" s="1" t="e">
        <f>O115/VLOOKUP(A115,'[17]geoMap (14)'!$A:$B,2,0)*VLOOKUP(A115,'[17]geoMap (14)'!$A:$C,3,0)</f>
        <v>#REF!</v>
      </c>
      <c r="Q115" s="1" t="e">
        <f>P115/VLOOKUP(A115,'[18]geoMap (15)'!$A:$B,2,0)*VLOOKUP(A115,'[18]geoMap (15)'!$A:$C,3,0)</f>
        <v>#REF!</v>
      </c>
      <c r="R115" s="1" t="e">
        <f>Q115/VLOOKUP(A115,'[19]geoMap (16)'!$A:$B,2,0)*VLOOKUP(A115,'[19]geoMap (16)'!$A:$C,3,0)</f>
        <v>#REF!</v>
      </c>
      <c r="S115" s="1" t="e">
        <f>R115/VLOOKUP(A115,'[20]geoMap (17)'!$A:$B,2,0)*VLOOKUP(A115,'[20]geoMap (17)'!$A:$C,3,0)</f>
        <v>#REF!</v>
      </c>
      <c r="T115" s="1" t="e">
        <f>S115/VLOOKUP(A115,'[21]geoMap (18)'!$A:$B,2,0)*VLOOKUP(A115,'[21]geoMap (18)'!$A:$C,3,0)</f>
        <v>#REF!</v>
      </c>
      <c r="U115" s="1" t="e">
        <f>T115/VLOOKUP(A115,'[22]geoMap (19)'!$A:$B,2,0)*VLOOKUP(A115,'[22]geoMap (19)'!$A:$C,3,0)</f>
        <v>#REF!</v>
      </c>
      <c r="V115" s="1" t="e">
        <f>U115/VLOOKUP(A115,'[23]geoMap (20)'!$A:$B,2,0)*VLOOKUP(A115,'[23]geoMap (20)'!$A:$C,3,0)</f>
        <v>#REF!</v>
      </c>
      <c r="W115" s="1" t="e">
        <f>V115/VLOOKUP(A115,'[24]geoMap (21)'!$A:$B,2,0)*VLOOKUP(A115,'[24]geoMap (21)'!$A:$C,3,0)</f>
        <v>#REF!</v>
      </c>
      <c r="X115" s="1" t="e">
        <f>W115/VLOOKUP(A115,'[25]geoMap (22)'!$A:$B,2,0)*VLOOKUP(A115,'[25]geoMap (22)'!$A:$C,3,0)</f>
        <v>#REF!</v>
      </c>
      <c r="Y115" s="1" t="e">
        <f>X115/VLOOKUP(A115,'[26]geoMap (23)'!$A:$B,2,0)*VLOOKUP(A115,'[26]geoMap (23)'!$A:$C,3,0)</f>
        <v>#REF!</v>
      </c>
      <c r="Z115" s="1" t="e">
        <f>Y115/VLOOKUP(A115,'[27]geoMap (24)'!$A:$B,2,0)*VLOOKUP(A115,'[27]geoMap (24)'!$A:$C,3,0)</f>
        <v>#REF!</v>
      </c>
      <c r="AA115" s="1" t="e">
        <f>Z115/VLOOKUP(A115,'[28]geoMap (25)'!$A:$B,2,0)*VLOOKUP(A115,'[28]geoMap (25)'!$A:$C,3,0)</f>
        <v>#REF!</v>
      </c>
      <c r="AB115" s="1" t="e">
        <f>AA115*VLOOKUP(A115,'[29]geoMap (26)'!$A:$B,2,0)*VLOOKUP(A115,'[29]geoMap (26)'!$A:$C,3,0)</f>
        <v>#REF!</v>
      </c>
      <c r="AC115" s="1" t="e">
        <f>AB115/VLOOKUP(A115,'[30]geoMap (27)'!$A:$B,2,0)*VLOOKUP(A115,'[30]geoMap (27)'!$A:$C,3,0)</f>
        <v>#REF!</v>
      </c>
      <c r="AD115" s="1" t="e">
        <f>AC115/VLOOKUP(A115,'[31]geoMap (28)'!$A:$B,2,0)*VLOOKUP(A115,'[31]geoMap (28)'!$A:$C,3,0)</f>
        <v>#REF!</v>
      </c>
      <c r="AE115" s="1" t="e">
        <f>AD115/VLOOKUP(A115,'[32]geoMap (29)'!$A:$B,2,0)*VLOOKUP(A115,'[32]geoMap (29)'!$A:$C,3,0)</f>
        <v>#REF!</v>
      </c>
      <c r="AF115" s="1" t="e">
        <f>AE115/VLOOKUP(A115,'[33]geoMap (30)'!$A:$B,2,0)*VLOOKUP(A115,'[33]geoMap (30)'!$A:$C,3,0)</f>
        <v>#REF!</v>
      </c>
      <c r="AG115" s="1" t="e">
        <f>AF115/VLOOKUP(A115,'[34]geoMap (31)'!$A:$B,2,0)*VLOOKUP(A115,'[34]geoMap (31)'!$A:$C,3,0)</f>
        <v>#REF!</v>
      </c>
      <c r="AH115" s="1" t="e">
        <f>AG115/VLOOKUP(A115,'[35]geoMap (32)'!$A:$B,2,0)*VLOOKUP(A115,'[35]geoMap (32)'!$A:$C,3,0)</f>
        <v>#REF!</v>
      </c>
      <c r="AI115" s="1" t="e">
        <f>AH115/VLOOKUP(A115,'[36]geoMap (33)'!$A:$B,2,0)*VLOOKUP(A115,'[36]geoMap (33)'!$A:$C,3,0)</f>
        <v>#REF!</v>
      </c>
      <c r="AJ115" s="1" t="e">
        <f>AI115/VLOOKUP(A115,'[37]geoMap (34)'!$A:$B,2,0)*VLOOKUP(A115,'[37]geoMap (34)'!$A:$C,3,0)</f>
        <v>#REF!</v>
      </c>
      <c r="AK115" s="1" t="e">
        <f>AJ115/VLOOKUP(A115,'[38]geoMap (35)'!$A:$B,2,0)*VLOOKUP(A115,'[38]geoMap (35)'!$A:$C,3,0)</f>
        <v>#REF!</v>
      </c>
      <c r="AL115" s="1" t="e">
        <f>AK115/VLOOKUP(A115,'[39]geoMap (36)'!$A:$B,2,0)*VLOOKUP(A115,'[39]geoMap (36)'!$A:$C,3,0)</f>
        <v>#REF!</v>
      </c>
      <c r="AM115" s="1" t="e">
        <f>AL115/VLOOKUP(A115,'[40]geoMap (37)'!$A:$B,2,0)*VLOOKUP(A115,'[40]geoMap (37)'!$A:$C,3,0)</f>
        <v>#REF!</v>
      </c>
      <c r="AN115" s="1" t="e">
        <f>AM115/VLOOKUP(A115,'[41]geoMap (38)'!$A:$B,2,0)*VLOOKUP(A115,'[41]geoMap (38)'!$A:$C,3,0)</f>
        <v>#REF!</v>
      </c>
      <c r="AO115" s="1" t="e">
        <f>AN115/VLOOKUP(A115,'[42]geoMap (39)'!$A:$B,2,0)*VLOOKUP(A115,'[42]geoMap (39)'!$A:$C,3,0)</f>
        <v>#REF!</v>
      </c>
      <c r="AP115" s="1" t="e">
        <f>AO115/VLOOKUP(A115,'[43]geoMap (40)'!$A:$B,2,0)*VLOOKUP(A115,'[43]geoMap (40)'!$A:$C,3,0)</f>
        <v>#REF!</v>
      </c>
      <c r="AQ115" s="1" t="e">
        <f>AP115/VLOOKUP(A115,'[44]geoMap (41)'!$A:$B,2,0)*VLOOKUP(A115,'[44]geoMap (41)'!$A:$C,3,0)</f>
        <v>#REF!</v>
      </c>
      <c r="AR115" s="1" t="e">
        <f>AQ115/VLOOKUP(A115,'[45]geoMap (42)'!$A:$B,2,0)*VLOOKUP(A115,'[45]geoMap (42)'!$A:$C,3,0)</f>
        <v>#REF!</v>
      </c>
      <c r="AS115" s="1" t="e">
        <f>AR115/VLOOKUP(A115,'[46]geoMap (43)'!$A:$B,2,0)*VLOOKUP(A115,'[46]geoMap (43)'!$A:$C,3,0)</f>
        <v>#REF!</v>
      </c>
      <c r="AT115" s="1" t="e">
        <f>AS115/VLOOKUP(A115,'[47]geoMap (44)'!$A:$B,2,0)*VLOOKUP(A115,'[47]geoMap (44)'!$A:$C,3,0)</f>
        <v>#REF!</v>
      </c>
      <c r="AU115" s="1" t="e">
        <f>AT115/VLOOKUP(A115,'[48]geoMap (45)'!$A:$B,2,0)*VLOOKUP(A115,'[48]geoMap (45)'!$A:$C,3,0)</f>
        <v>#REF!</v>
      </c>
      <c r="AV115" s="1" t="e">
        <f>AU115/VLOOKUP(A115,'[49]geoMap (46)'!$A:$B,2,0)*VLOOKUP(A115,'[49]geoMap (46)'!$A:$C,3,0)</f>
        <v>#REF!</v>
      </c>
      <c r="AW115" s="1" t="e">
        <f>AV115/VLOOKUP(A115,'[50]geoMap (47)'!$A:$B,2,0)*VLOOKUP(A115,'[50]geoMap (47)'!$A:$C,3,0)</f>
        <v>#REF!</v>
      </c>
      <c r="AX115" s="1" t="e">
        <f>AW115/VLOOKUP(A115,'[51]geoMap (48)'!$A:$B,2,0)*VLOOKUP(A115,'[51]geoMap (48)'!$A:$C,3,0)</f>
        <v>#REF!</v>
      </c>
      <c r="AY115" s="1" t="e">
        <f>AX115/VLOOKUP(A115,'[52]geoMap (49)'!$A:$B,2,0)*VLOOKUP(A115,'[52]geoMap (49)'!$A:$C,3,0)</f>
        <v>#REF!</v>
      </c>
      <c r="AZ115" s="1" t="e">
        <f>AY115/VLOOKUP(A115,'[53]geoMap (50)'!$A:$B,2,0)*VLOOKUP(A115,'[53]geoMap (50)'!$A:$C,3,0)</f>
        <v>#REF!</v>
      </c>
      <c r="BA115" s="1" t="e">
        <f>AZ115/VLOOKUP(A115,'[54]geoMap (51)'!$A:$B,2,0)*VLOOKUP(A115,'[54]geoMap (51)'!$A:$C,3,0)</f>
        <v>#REF!</v>
      </c>
      <c r="BB115" s="1" t="e">
        <f>BA115/VLOOKUP(A115,'[55]geoMap (52)'!$A:$B,2,0)*VLOOKUP(A115,'[55]geoMap (52)'!$A:$C,3,0)</f>
        <v>#REF!</v>
      </c>
      <c r="BC115" s="1" t="e">
        <f>BB115/VLOOKUP(A115,'[56]geoMap (53)'!$A:$B,2,0)*VLOOKUP(A115,'[56]geoMap (53)'!$A:$C,3,0)</f>
        <v>#REF!</v>
      </c>
      <c r="BD115" s="1" t="e">
        <f>BC115/VLOOKUP(A115,'[57]geoMap (54)'!$A:$B,2,0)*VLOOKUP(A115,'[57]geoMap (54)'!$A:$C,3,0)</f>
        <v>#REF!</v>
      </c>
      <c r="BE115" s="1" t="e">
        <f>BD115/VLOOKUP(A115,'[58]geoMap (55)'!$A:$B,2,0)*VLOOKUP(A115,'[58]geoMap (55)'!$A:$C,3,0)</f>
        <v>#REF!</v>
      </c>
      <c r="BF115" s="1" t="e">
        <f>BE115/VLOOKUP(A115,'[59]geoMap (56)'!$A:$B,2,0)*VLOOKUP(A115,'[59]geoMap (56)'!$A:$C,3,0)</f>
        <v>#REF!</v>
      </c>
      <c r="BG115" s="1" t="e">
        <f>BF115/VLOOKUP(A115,'[60]geoMap (57)'!$A:$B,2,0)*VLOOKUP(A115,'[60]geoMap (57)'!$A:$C,3,0)</f>
        <v>#REF!</v>
      </c>
      <c r="BH115" s="1" t="e">
        <f>BG115/VLOOKUP(A115,'[61]geoMap (58)'!$A:$B,2,0)*VLOOKUP(A115,'[61]geoMap (58)'!$A:$C,3,0)</f>
        <v>#REF!</v>
      </c>
      <c r="BI115" s="1" t="e">
        <f>BH115/VLOOKUP(A115,'[62]geoMap (59)'!$A:$B,2,0)*VLOOKUP(A115,'[62]geoMap (59)'!$A:$C,3,0)</f>
        <v>#REF!</v>
      </c>
      <c r="BJ115" s="1" t="e">
        <f>BI115/VLOOKUP(A115,'[63]geoMap (60)'!$A:$B,2,0)*VLOOKUP(A115,'[63]geoMap (60)'!$A:$C,3,0)</f>
        <v>#REF!</v>
      </c>
      <c r="BK115" s="1" t="e">
        <f>BJ115/VLOOKUP(A115,'[64]geoMap (61)'!$A:$B,2,0)*VLOOKUP(A115,'[64]geoMap (61)'!$A:$C,3,0)</f>
        <v>#REF!</v>
      </c>
      <c r="BL115" s="1" t="e">
        <f>BK115/VLOOKUP(A115,'[65]geoMap (62)'!$A:$B,2,0)*VLOOKUP(A115,'[65]geoMap (62)'!$A:$C,3,0)</f>
        <v>#REF!</v>
      </c>
      <c r="BM115" s="1" t="e">
        <f>BL115/VLOOKUP(A115,'[66]geoMap (63)'!$A:$B,2,0)*VLOOKUP(A115,'[66]geoMap (63)'!$A:$C,3,0)</f>
        <v>#REF!</v>
      </c>
      <c r="BN115" s="1" t="e">
        <f>BM115/VLOOKUP(A115,'[67]geoMap (64)'!$A:$B,2,0)*VLOOKUP(A115,'[67]geoMap (64)'!$A:$C,3,0)</f>
        <v>#REF!</v>
      </c>
      <c r="BO115" s="1" t="e">
        <f>BN115/VLOOKUP(A115,'[68]geoMap (65)'!$A:$B,2,0)*VLOOKUP(A115,'[68]geoMap (65)'!$A:$C,3,0)</f>
        <v>#REF!</v>
      </c>
      <c r="BP115" s="1" t="e">
        <f>BO115/VLOOKUP(A115,'[69]geoMap (66)'!$A:$B,2,0)*VLOOKUP(A115,'[69]geoMap (66)'!$A:$C,3,0)</f>
        <v>#REF!</v>
      </c>
    </row>
    <row r="116" spans="1:68" hidden="1" x14ac:dyDescent="0.2">
      <c r="A116" s="1" t="s">
        <v>64</v>
      </c>
      <c r="B116" s="1" t="e">
        <f>VLOOKUP(A116,[3]geoMap!$A:$B,2,0)*Notes!$C$6</f>
        <v>#REF!</v>
      </c>
      <c r="C116" s="1" t="e">
        <f>B116/VLOOKUP(A116,'[4]geoMap (1)'!$A:$B,2,0)*VLOOKUP(A116,'[4]geoMap (1)'!$A:$C,3,0)</f>
        <v>#REF!</v>
      </c>
      <c r="D116" s="1" t="e">
        <f>C116/VLOOKUP(A116,'[5]geoMap (2)'!$A:$B,2,0)*VLOOKUP(A116,'[5]geoMap (2)'!$A:$C,3,0)</f>
        <v>#REF!</v>
      </c>
      <c r="E116" s="1" t="e">
        <f>D116/VLOOKUP(A116,'[6]geoMap (3)'!$A:$B,2,0)*VLOOKUP(A116,'[6]geoMap (3)'!$A:$C,3,0)</f>
        <v>#REF!</v>
      </c>
      <c r="F116" s="1" t="e">
        <f>E116/VLOOKUP(A116,'[7]geoMap (4)'!$A:$B,2,0)*VLOOKUP(A116,'[7]geoMap (4)'!$A:$C,3,0)</f>
        <v>#REF!</v>
      </c>
      <c r="G116" s="1" t="e">
        <f>F116/VLOOKUP(A116,'[8]geoMap (5)'!$A:$B,2,0)*VLOOKUP(A116,'[8]geoMap (5)'!$A:$C,3,0)</f>
        <v>#REF!</v>
      </c>
      <c r="H116" s="1" t="e">
        <f>G116/VLOOKUP(A116,'[9]geoMap (6)'!$A:$B,2,0)*VLOOKUP(A116,'[9]geoMap (6)'!$A:$C,3,0)</f>
        <v>#REF!</v>
      </c>
      <c r="I116" s="1" t="e">
        <f>H116/VLOOKUP(A116,'[10]geoMap (7)'!$A:$B,2,0)*VLOOKUP(A116,'[10]geoMap (7)'!$A:$C,3,0)</f>
        <v>#REF!</v>
      </c>
      <c r="J116" s="1" t="e">
        <f>I116/VLOOKUP(A116,'[11]geoMap (8)'!$A:$B,2,0)*VLOOKUP(A116,'[11]geoMap (8)'!$A:$C,3,0)</f>
        <v>#REF!</v>
      </c>
      <c r="K116" s="1" t="e">
        <f>J116/VLOOKUP(A116,'[12]geoMap (9)'!$A:$B,2,0)*VLOOKUP(A116,'[12]geoMap (9)'!$A:$C,3,0)</f>
        <v>#REF!</v>
      </c>
      <c r="L116" s="1" t="e">
        <f>K116/VLOOKUP(A116,'[13]geoMap (10)'!$A:$B,2,0)*VLOOKUP(A116,'[13]geoMap (10)'!$A:$C,3,0)</f>
        <v>#REF!</v>
      </c>
      <c r="M116" s="1" t="e">
        <f>L116/VLOOKUP(A116,'[14]geoMap (11)'!$A:$B,2,0)*VLOOKUP(A116,'[14]geoMap (11)'!$A:$C,3,0)</f>
        <v>#REF!</v>
      </c>
      <c r="N116" s="1" t="e">
        <f>M116/VLOOKUP(A116,'[15]geoMap (12)'!$A:$B,2,0)*VLOOKUP(A116,'[15]geoMap (12)'!$A:$C,3,0)</f>
        <v>#REF!</v>
      </c>
      <c r="O116" s="1" t="e">
        <f>N116/VLOOKUP(A116,'[16]geoMap (13)'!$A:$B,2,0)*VLOOKUP(A116,'[16]geoMap (13)'!$A:$C,3,0)</f>
        <v>#REF!</v>
      </c>
      <c r="P116" s="1" t="e">
        <f>O116/VLOOKUP(A116,'[17]geoMap (14)'!$A:$B,2,0)*VLOOKUP(A116,'[17]geoMap (14)'!$A:$C,3,0)</f>
        <v>#REF!</v>
      </c>
      <c r="Q116" s="1" t="e">
        <f>P116/VLOOKUP(A116,'[18]geoMap (15)'!$A:$B,2,0)*VLOOKUP(A116,'[18]geoMap (15)'!$A:$C,3,0)</f>
        <v>#REF!</v>
      </c>
      <c r="R116" s="1" t="e">
        <f>Q116/VLOOKUP(A116,'[19]geoMap (16)'!$A:$B,2,0)*VLOOKUP(A116,'[19]geoMap (16)'!$A:$C,3,0)</f>
        <v>#REF!</v>
      </c>
      <c r="S116" s="1" t="e">
        <f>R116/VLOOKUP(A116,'[20]geoMap (17)'!$A:$B,2,0)*VLOOKUP(A116,'[20]geoMap (17)'!$A:$C,3,0)</f>
        <v>#REF!</v>
      </c>
      <c r="T116" s="1" t="e">
        <f>S116/VLOOKUP(A116,'[21]geoMap (18)'!$A:$B,2,0)*VLOOKUP(A116,'[21]geoMap (18)'!$A:$C,3,0)</f>
        <v>#REF!</v>
      </c>
      <c r="U116" s="1" t="e">
        <f>T116/VLOOKUP(A116,'[22]geoMap (19)'!$A:$B,2,0)*VLOOKUP(A116,'[22]geoMap (19)'!$A:$C,3,0)</f>
        <v>#REF!</v>
      </c>
      <c r="V116" s="1" t="e">
        <f>U116/VLOOKUP(A116,'[23]geoMap (20)'!$A:$B,2,0)*VLOOKUP(A116,'[23]geoMap (20)'!$A:$C,3,0)</f>
        <v>#REF!</v>
      </c>
      <c r="W116" s="1" t="e">
        <f>V116/VLOOKUP(A116,'[24]geoMap (21)'!$A:$B,2,0)*VLOOKUP(A116,'[24]geoMap (21)'!$A:$C,3,0)</f>
        <v>#REF!</v>
      </c>
      <c r="X116" s="1" t="e">
        <f>W116/VLOOKUP(A116,'[25]geoMap (22)'!$A:$B,2,0)*VLOOKUP(A116,'[25]geoMap (22)'!$A:$C,3,0)</f>
        <v>#REF!</v>
      </c>
      <c r="Y116" s="1" t="e">
        <f>X116/VLOOKUP(A116,'[26]geoMap (23)'!$A:$B,2,0)*VLOOKUP(A116,'[26]geoMap (23)'!$A:$C,3,0)</f>
        <v>#REF!</v>
      </c>
      <c r="Z116" s="1" t="e">
        <f>Y116/VLOOKUP(A116,'[27]geoMap (24)'!$A:$B,2,0)*VLOOKUP(A116,'[27]geoMap (24)'!$A:$C,3,0)</f>
        <v>#REF!</v>
      </c>
      <c r="AA116" s="1" t="e">
        <f>Z116/VLOOKUP(A116,'[28]geoMap (25)'!$A:$B,2,0)*VLOOKUP(A116,'[28]geoMap (25)'!$A:$C,3,0)</f>
        <v>#REF!</v>
      </c>
      <c r="AB116" s="1" t="e">
        <f>AA116*VLOOKUP(A116,'[29]geoMap (26)'!$A:$B,2,0)*VLOOKUP(A116,'[29]geoMap (26)'!$A:$C,3,0)</f>
        <v>#REF!</v>
      </c>
      <c r="AC116" s="1" t="e">
        <f>AB116/VLOOKUP(A116,'[30]geoMap (27)'!$A:$B,2,0)*VLOOKUP(A116,'[30]geoMap (27)'!$A:$C,3,0)</f>
        <v>#REF!</v>
      </c>
      <c r="AD116" s="1" t="e">
        <f>AC116/VLOOKUP(A116,'[31]geoMap (28)'!$A:$B,2,0)*VLOOKUP(A116,'[31]geoMap (28)'!$A:$C,3,0)</f>
        <v>#REF!</v>
      </c>
      <c r="AE116" s="1" t="e">
        <f>AD116/VLOOKUP(A116,'[32]geoMap (29)'!$A:$B,2,0)*VLOOKUP(A116,'[32]geoMap (29)'!$A:$C,3,0)</f>
        <v>#REF!</v>
      </c>
      <c r="AF116" s="1" t="e">
        <f>AE116/VLOOKUP(A116,'[33]geoMap (30)'!$A:$B,2,0)*VLOOKUP(A116,'[33]geoMap (30)'!$A:$C,3,0)</f>
        <v>#REF!</v>
      </c>
      <c r="AG116" s="1" t="e">
        <f>AF116/VLOOKUP(A116,'[34]geoMap (31)'!$A:$B,2,0)*VLOOKUP(A116,'[34]geoMap (31)'!$A:$C,3,0)</f>
        <v>#REF!</v>
      </c>
      <c r="AH116" s="1" t="e">
        <f>AG116/VLOOKUP(A116,'[35]geoMap (32)'!$A:$B,2,0)*VLOOKUP(A116,'[35]geoMap (32)'!$A:$C,3,0)</f>
        <v>#REF!</v>
      </c>
      <c r="AI116" s="1" t="e">
        <f>AH116/VLOOKUP(A116,'[36]geoMap (33)'!$A:$B,2,0)*VLOOKUP(A116,'[36]geoMap (33)'!$A:$C,3,0)</f>
        <v>#REF!</v>
      </c>
      <c r="AJ116" s="1" t="e">
        <f>AI116/VLOOKUP(A116,'[37]geoMap (34)'!$A:$B,2,0)*VLOOKUP(A116,'[37]geoMap (34)'!$A:$C,3,0)</f>
        <v>#REF!</v>
      </c>
      <c r="AK116" s="1" t="e">
        <f>AJ116/VLOOKUP(A116,'[38]geoMap (35)'!$A:$B,2,0)*VLOOKUP(A116,'[38]geoMap (35)'!$A:$C,3,0)</f>
        <v>#REF!</v>
      </c>
      <c r="AL116" s="1" t="e">
        <f>AK116/VLOOKUP(A116,'[39]geoMap (36)'!$A:$B,2,0)*VLOOKUP(A116,'[39]geoMap (36)'!$A:$C,3,0)</f>
        <v>#REF!</v>
      </c>
      <c r="AM116" s="1" t="e">
        <f>AL116/VLOOKUP(A116,'[40]geoMap (37)'!$A:$B,2,0)*VLOOKUP(A116,'[40]geoMap (37)'!$A:$C,3,0)</f>
        <v>#REF!</v>
      </c>
      <c r="AN116" s="1" t="e">
        <f>AM116/VLOOKUP(A116,'[41]geoMap (38)'!$A:$B,2,0)*VLOOKUP(A116,'[41]geoMap (38)'!$A:$C,3,0)</f>
        <v>#REF!</v>
      </c>
      <c r="AO116" s="1" t="e">
        <f>AN116/VLOOKUP(A116,'[42]geoMap (39)'!$A:$B,2,0)*VLOOKUP(A116,'[42]geoMap (39)'!$A:$C,3,0)</f>
        <v>#REF!</v>
      </c>
      <c r="AP116" s="1" t="e">
        <f>AO116/VLOOKUP(A116,'[43]geoMap (40)'!$A:$B,2,0)*VLOOKUP(A116,'[43]geoMap (40)'!$A:$C,3,0)</f>
        <v>#REF!</v>
      </c>
      <c r="AQ116" s="1" t="e">
        <f>AP116/VLOOKUP(A116,'[44]geoMap (41)'!$A:$B,2,0)*VLOOKUP(A116,'[44]geoMap (41)'!$A:$C,3,0)</f>
        <v>#REF!</v>
      </c>
      <c r="AR116" s="1" t="e">
        <f>AQ116/VLOOKUP(A116,'[45]geoMap (42)'!$A:$B,2,0)*VLOOKUP(A116,'[45]geoMap (42)'!$A:$C,3,0)</f>
        <v>#REF!</v>
      </c>
      <c r="AS116" s="1" t="e">
        <f>AR116/VLOOKUP(A116,'[46]geoMap (43)'!$A:$B,2,0)*VLOOKUP(A116,'[46]geoMap (43)'!$A:$C,3,0)</f>
        <v>#REF!</v>
      </c>
      <c r="AT116" s="1" t="e">
        <f>AS116/VLOOKUP(A116,'[47]geoMap (44)'!$A:$B,2,0)*VLOOKUP(A116,'[47]geoMap (44)'!$A:$C,3,0)</f>
        <v>#REF!</v>
      </c>
      <c r="AU116" s="1" t="e">
        <f>AT116/VLOOKUP(A116,'[48]geoMap (45)'!$A:$B,2,0)*VLOOKUP(A116,'[48]geoMap (45)'!$A:$C,3,0)</f>
        <v>#REF!</v>
      </c>
      <c r="AV116" s="1" t="e">
        <f>AU116/VLOOKUP(A116,'[49]geoMap (46)'!$A:$B,2,0)*VLOOKUP(A116,'[49]geoMap (46)'!$A:$C,3,0)</f>
        <v>#REF!</v>
      </c>
      <c r="AW116" s="1" t="e">
        <f>AV116/VLOOKUP(A116,'[50]geoMap (47)'!$A:$B,2,0)*VLOOKUP(A116,'[50]geoMap (47)'!$A:$C,3,0)</f>
        <v>#REF!</v>
      </c>
      <c r="AX116" s="1" t="e">
        <f>AW116/VLOOKUP(A116,'[51]geoMap (48)'!$A:$B,2,0)*VLOOKUP(A116,'[51]geoMap (48)'!$A:$C,3,0)</f>
        <v>#REF!</v>
      </c>
      <c r="AY116" s="1" t="e">
        <f>AX116/VLOOKUP(A116,'[52]geoMap (49)'!$A:$B,2,0)*VLOOKUP(A116,'[52]geoMap (49)'!$A:$C,3,0)</f>
        <v>#REF!</v>
      </c>
      <c r="AZ116" s="1" t="e">
        <f>AY116/VLOOKUP(A116,'[53]geoMap (50)'!$A:$B,2,0)*VLOOKUP(A116,'[53]geoMap (50)'!$A:$C,3,0)</f>
        <v>#REF!</v>
      </c>
      <c r="BA116" s="1" t="e">
        <f>AZ116/VLOOKUP(A116,'[54]geoMap (51)'!$A:$B,2,0)*VLOOKUP(A116,'[54]geoMap (51)'!$A:$C,3,0)</f>
        <v>#REF!</v>
      </c>
      <c r="BB116" s="1" t="e">
        <f>BA116/VLOOKUP(A116,'[55]geoMap (52)'!$A:$B,2,0)*VLOOKUP(A116,'[55]geoMap (52)'!$A:$C,3,0)</f>
        <v>#REF!</v>
      </c>
      <c r="BC116" s="1" t="e">
        <f>BB116/VLOOKUP(A116,'[56]geoMap (53)'!$A:$B,2,0)*VLOOKUP(A116,'[56]geoMap (53)'!$A:$C,3,0)</f>
        <v>#REF!</v>
      </c>
      <c r="BD116" s="1" t="e">
        <f>BC116/VLOOKUP(A116,'[57]geoMap (54)'!$A:$B,2,0)*VLOOKUP(A116,'[57]geoMap (54)'!$A:$C,3,0)</f>
        <v>#REF!</v>
      </c>
      <c r="BE116" s="1" t="e">
        <f>BD116/VLOOKUP(A116,'[58]geoMap (55)'!$A:$B,2,0)*VLOOKUP(A116,'[58]geoMap (55)'!$A:$C,3,0)</f>
        <v>#REF!</v>
      </c>
      <c r="BF116" s="1" t="e">
        <f>BE116/VLOOKUP(A116,'[59]geoMap (56)'!$A:$B,2,0)*VLOOKUP(A116,'[59]geoMap (56)'!$A:$C,3,0)</f>
        <v>#REF!</v>
      </c>
      <c r="BG116" s="1" t="e">
        <f>BF116/VLOOKUP(A116,'[60]geoMap (57)'!$A:$B,2,0)*VLOOKUP(A116,'[60]geoMap (57)'!$A:$C,3,0)</f>
        <v>#REF!</v>
      </c>
      <c r="BH116" s="1" t="e">
        <f>BG116/VLOOKUP(A116,'[61]geoMap (58)'!$A:$B,2,0)*VLOOKUP(A116,'[61]geoMap (58)'!$A:$C,3,0)</f>
        <v>#REF!</v>
      </c>
      <c r="BI116" s="1" t="e">
        <f>BH116/VLOOKUP(A116,'[62]geoMap (59)'!$A:$B,2,0)*VLOOKUP(A116,'[62]geoMap (59)'!$A:$C,3,0)</f>
        <v>#REF!</v>
      </c>
      <c r="BJ116" s="1" t="e">
        <f>BI116/VLOOKUP(A116,'[63]geoMap (60)'!$A:$B,2,0)*VLOOKUP(A116,'[63]geoMap (60)'!$A:$C,3,0)</f>
        <v>#REF!</v>
      </c>
      <c r="BK116" s="1" t="e">
        <f>BJ116/VLOOKUP(A116,'[64]geoMap (61)'!$A:$B,2,0)*VLOOKUP(A116,'[64]geoMap (61)'!$A:$C,3,0)</f>
        <v>#REF!</v>
      </c>
      <c r="BL116" s="1" t="e">
        <f>BK116/VLOOKUP(A116,'[65]geoMap (62)'!$A:$B,2,0)*VLOOKUP(A116,'[65]geoMap (62)'!$A:$C,3,0)</f>
        <v>#REF!</v>
      </c>
      <c r="BM116" s="1" t="e">
        <f>BL116/VLOOKUP(A116,'[66]geoMap (63)'!$A:$B,2,0)*VLOOKUP(A116,'[66]geoMap (63)'!$A:$C,3,0)</f>
        <v>#REF!</v>
      </c>
      <c r="BN116" s="1" t="e">
        <f>BM116/VLOOKUP(A116,'[67]geoMap (64)'!$A:$B,2,0)*VLOOKUP(A116,'[67]geoMap (64)'!$A:$C,3,0)</f>
        <v>#REF!</v>
      </c>
      <c r="BO116" s="1" t="e">
        <f>BN116/VLOOKUP(A116,'[68]geoMap (65)'!$A:$B,2,0)*VLOOKUP(A116,'[68]geoMap (65)'!$A:$C,3,0)</f>
        <v>#REF!</v>
      </c>
      <c r="BP116" s="1" t="e">
        <f>BO116/VLOOKUP(A116,'[69]geoMap (66)'!$A:$B,2,0)*VLOOKUP(A116,'[69]geoMap (66)'!$A:$C,3,0)</f>
        <v>#REF!</v>
      </c>
    </row>
    <row r="117" spans="1:68" hidden="1" x14ac:dyDescent="0.2">
      <c r="A117" s="1" t="s">
        <v>65</v>
      </c>
      <c r="B117" s="1" t="e">
        <f>VLOOKUP(A117,[3]geoMap!$A:$B,2,0)*Notes!$C$6</f>
        <v>#REF!</v>
      </c>
      <c r="C117" s="1" t="e">
        <f>B117/VLOOKUP(A117,'[4]geoMap (1)'!$A:$B,2,0)*VLOOKUP(A117,'[4]geoMap (1)'!$A:$C,3,0)</f>
        <v>#REF!</v>
      </c>
      <c r="D117" s="1" t="e">
        <f>C117/VLOOKUP(A117,'[5]geoMap (2)'!$A:$B,2,0)*VLOOKUP(A117,'[5]geoMap (2)'!$A:$C,3,0)</f>
        <v>#REF!</v>
      </c>
      <c r="E117" s="1" t="e">
        <f>D117/VLOOKUP(A117,'[6]geoMap (3)'!$A:$B,2,0)*VLOOKUP(A117,'[6]geoMap (3)'!$A:$C,3,0)</f>
        <v>#REF!</v>
      </c>
      <c r="F117" s="1" t="e">
        <f>E117/VLOOKUP(A117,'[7]geoMap (4)'!$A:$B,2,0)*VLOOKUP(A117,'[7]geoMap (4)'!$A:$C,3,0)</f>
        <v>#REF!</v>
      </c>
      <c r="G117" s="1" t="e">
        <f>F117/VLOOKUP(A117,'[8]geoMap (5)'!$A:$B,2,0)*VLOOKUP(A117,'[8]geoMap (5)'!$A:$C,3,0)</f>
        <v>#REF!</v>
      </c>
      <c r="H117" s="1" t="e">
        <f>G117/VLOOKUP(A117,'[9]geoMap (6)'!$A:$B,2,0)*VLOOKUP(A117,'[9]geoMap (6)'!$A:$C,3,0)</f>
        <v>#REF!</v>
      </c>
      <c r="I117" s="1" t="e">
        <f>H117/VLOOKUP(A117,'[10]geoMap (7)'!$A:$B,2,0)*VLOOKUP(A117,'[10]geoMap (7)'!$A:$C,3,0)</f>
        <v>#REF!</v>
      </c>
      <c r="J117" s="1" t="e">
        <f>I117/VLOOKUP(A117,'[11]geoMap (8)'!$A:$B,2,0)*VLOOKUP(A117,'[11]geoMap (8)'!$A:$C,3,0)</f>
        <v>#REF!</v>
      </c>
      <c r="K117" s="1" t="e">
        <f>J117/VLOOKUP(A117,'[12]geoMap (9)'!$A:$B,2,0)*VLOOKUP(A117,'[12]geoMap (9)'!$A:$C,3,0)</f>
        <v>#REF!</v>
      </c>
      <c r="L117" s="1" t="e">
        <f>K117/VLOOKUP(A117,'[13]geoMap (10)'!$A:$B,2,0)*VLOOKUP(A117,'[13]geoMap (10)'!$A:$C,3,0)</f>
        <v>#REF!</v>
      </c>
      <c r="M117" s="1" t="e">
        <f>L117/VLOOKUP(A117,'[14]geoMap (11)'!$A:$B,2,0)*VLOOKUP(A117,'[14]geoMap (11)'!$A:$C,3,0)</f>
        <v>#REF!</v>
      </c>
      <c r="N117" s="1" t="e">
        <f>M117/VLOOKUP(A117,'[15]geoMap (12)'!$A:$B,2,0)*VLOOKUP(A117,'[15]geoMap (12)'!$A:$C,3,0)</f>
        <v>#REF!</v>
      </c>
      <c r="O117" s="1" t="e">
        <f>N117/VLOOKUP(A117,'[16]geoMap (13)'!$A:$B,2,0)*VLOOKUP(A117,'[16]geoMap (13)'!$A:$C,3,0)</f>
        <v>#REF!</v>
      </c>
      <c r="P117" s="1" t="e">
        <f>O117/VLOOKUP(A117,'[17]geoMap (14)'!$A:$B,2,0)*VLOOKUP(A117,'[17]geoMap (14)'!$A:$C,3,0)</f>
        <v>#REF!</v>
      </c>
      <c r="Q117" s="1" t="e">
        <f>P117/VLOOKUP(A117,'[18]geoMap (15)'!$A:$B,2,0)*VLOOKUP(A117,'[18]geoMap (15)'!$A:$C,3,0)</f>
        <v>#REF!</v>
      </c>
      <c r="R117" s="1" t="e">
        <f>Q117/VLOOKUP(A117,'[19]geoMap (16)'!$A:$B,2,0)*VLOOKUP(A117,'[19]geoMap (16)'!$A:$C,3,0)</f>
        <v>#REF!</v>
      </c>
      <c r="S117" s="1" t="e">
        <f>R117/VLOOKUP(A117,'[20]geoMap (17)'!$A:$B,2,0)*VLOOKUP(A117,'[20]geoMap (17)'!$A:$C,3,0)</f>
        <v>#REF!</v>
      </c>
      <c r="T117" s="1" t="e">
        <f>S117/VLOOKUP(A117,'[21]geoMap (18)'!$A:$B,2,0)*VLOOKUP(A117,'[21]geoMap (18)'!$A:$C,3,0)</f>
        <v>#REF!</v>
      </c>
      <c r="U117" s="1" t="e">
        <f>T117/VLOOKUP(A117,'[22]geoMap (19)'!$A:$B,2,0)*VLOOKUP(A117,'[22]geoMap (19)'!$A:$C,3,0)</f>
        <v>#REF!</v>
      </c>
      <c r="V117" s="1" t="e">
        <f>U117/VLOOKUP(A117,'[23]geoMap (20)'!$A:$B,2,0)*VLOOKUP(A117,'[23]geoMap (20)'!$A:$C,3,0)</f>
        <v>#REF!</v>
      </c>
      <c r="W117" s="1" t="e">
        <f>V117/VLOOKUP(A117,'[24]geoMap (21)'!$A:$B,2,0)*VLOOKUP(A117,'[24]geoMap (21)'!$A:$C,3,0)</f>
        <v>#REF!</v>
      </c>
      <c r="X117" s="1" t="e">
        <f>W117/VLOOKUP(A117,'[25]geoMap (22)'!$A:$B,2,0)*VLOOKUP(A117,'[25]geoMap (22)'!$A:$C,3,0)</f>
        <v>#REF!</v>
      </c>
      <c r="Y117" s="1" t="e">
        <f>X117/VLOOKUP(A117,'[26]geoMap (23)'!$A:$B,2,0)*VLOOKUP(A117,'[26]geoMap (23)'!$A:$C,3,0)</f>
        <v>#REF!</v>
      </c>
      <c r="Z117" s="1" t="e">
        <f>Y117/VLOOKUP(A117,'[27]geoMap (24)'!$A:$B,2,0)*VLOOKUP(A117,'[27]geoMap (24)'!$A:$C,3,0)</f>
        <v>#REF!</v>
      </c>
      <c r="AA117" s="1" t="e">
        <f>Z117/VLOOKUP(A117,'[28]geoMap (25)'!$A:$B,2,0)*VLOOKUP(A117,'[28]geoMap (25)'!$A:$C,3,0)</f>
        <v>#REF!</v>
      </c>
      <c r="AB117" s="1" t="e">
        <f>AA117*VLOOKUP(A117,'[29]geoMap (26)'!$A:$B,2,0)*VLOOKUP(A117,'[29]geoMap (26)'!$A:$C,3,0)</f>
        <v>#REF!</v>
      </c>
      <c r="AC117" s="1" t="e">
        <f>AB117/VLOOKUP(A117,'[30]geoMap (27)'!$A:$B,2,0)*VLOOKUP(A117,'[30]geoMap (27)'!$A:$C,3,0)</f>
        <v>#REF!</v>
      </c>
      <c r="AD117" s="1" t="e">
        <f>AC117/VLOOKUP(A117,'[31]geoMap (28)'!$A:$B,2,0)*VLOOKUP(A117,'[31]geoMap (28)'!$A:$C,3,0)</f>
        <v>#REF!</v>
      </c>
      <c r="AE117" s="1" t="e">
        <f>AD117/VLOOKUP(A117,'[32]geoMap (29)'!$A:$B,2,0)*VLOOKUP(A117,'[32]geoMap (29)'!$A:$C,3,0)</f>
        <v>#REF!</v>
      </c>
      <c r="AF117" s="1" t="e">
        <f>AE117/VLOOKUP(A117,'[33]geoMap (30)'!$A:$B,2,0)*VLOOKUP(A117,'[33]geoMap (30)'!$A:$C,3,0)</f>
        <v>#REF!</v>
      </c>
      <c r="AG117" s="1" t="e">
        <f>AF117/VLOOKUP(A117,'[34]geoMap (31)'!$A:$B,2,0)*VLOOKUP(A117,'[34]geoMap (31)'!$A:$C,3,0)</f>
        <v>#REF!</v>
      </c>
      <c r="AH117" s="1" t="e">
        <f>AG117/VLOOKUP(A117,'[35]geoMap (32)'!$A:$B,2,0)*VLOOKUP(A117,'[35]geoMap (32)'!$A:$C,3,0)</f>
        <v>#REF!</v>
      </c>
      <c r="AI117" s="1" t="e">
        <f>AH117/VLOOKUP(A117,'[36]geoMap (33)'!$A:$B,2,0)*VLOOKUP(A117,'[36]geoMap (33)'!$A:$C,3,0)</f>
        <v>#REF!</v>
      </c>
      <c r="AJ117" s="1" t="e">
        <f>AI117/VLOOKUP(A117,'[37]geoMap (34)'!$A:$B,2,0)*VLOOKUP(A117,'[37]geoMap (34)'!$A:$C,3,0)</f>
        <v>#REF!</v>
      </c>
      <c r="AK117" s="1" t="e">
        <f>AJ117/VLOOKUP(A117,'[38]geoMap (35)'!$A:$B,2,0)*VLOOKUP(A117,'[38]geoMap (35)'!$A:$C,3,0)</f>
        <v>#REF!</v>
      </c>
      <c r="AL117" s="1" t="e">
        <f>AK117/VLOOKUP(A117,'[39]geoMap (36)'!$A:$B,2,0)*VLOOKUP(A117,'[39]geoMap (36)'!$A:$C,3,0)</f>
        <v>#REF!</v>
      </c>
      <c r="AM117" s="1" t="e">
        <f>AL117/VLOOKUP(A117,'[40]geoMap (37)'!$A:$B,2,0)*VLOOKUP(A117,'[40]geoMap (37)'!$A:$C,3,0)</f>
        <v>#REF!</v>
      </c>
      <c r="AN117" s="1" t="e">
        <f>AM117/VLOOKUP(A117,'[41]geoMap (38)'!$A:$B,2,0)*VLOOKUP(A117,'[41]geoMap (38)'!$A:$C,3,0)</f>
        <v>#REF!</v>
      </c>
      <c r="AO117" s="1" t="e">
        <f>AN117/VLOOKUP(A117,'[42]geoMap (39)'!$A:$B,2,0)*VLOOKUP(A117,'[42]geoMap (39)'!$A:$C,3,0)</f>
        <v>#REF!</v>
      </c>
      <c r="AP117" s="1" t="e">
        <f>AO117/VLOOKUP(A117,'[43]geoMap (40)'!$A:$B,2,0)*VLOOKUP(A117,'[43]geoMap (40)'!$A:$C,3,0)</f>
        <v>#REF!</v>
      </c>
      <c r="AQ117" s="1" t="e">
        <f>AP117/VLOOKUP(A117,'[44]geoMap (41)'!$A:$B,2,0)*VLOOKUP(A117,'[44]geoMap (41)'!$A:$C,3,0)</f>
        <v>#REF!</v>
      </c>
      <c r="AR117" s="1" t="e">
        <f>AQ117/VLOOKUP(A117,'[45]geoMap (42)'!$A:$B,2,0)*VLOOKUP(A117,'[45]geoMap (42)'!$A:$C,3,0)</f>
        <v>#REF!</v>
      </c>
      <c r="AS117" s="1" t="e">
        <f>AR117/VLOOKUP(A117,'[46]geoMap (43)'!$A:$B,2,0)*VLOOKUP(A117,'[46]geoMap (43)'!$A:$C,3,0)</f>
        <v>#REF!</v>
      </c>
      <c r="AT117" s="1" t="e">
        <f>AS117/VLOOKUP(A117,'[47]geoMap (44)'!$A:$B,2,0)*VLOOKUP(A117,'[47]geoMap (44)'!$A:$C,3,0)</f>
        <v>#REF!</v>
      </c>
      <c r="AU117" s="1" t="e">
        <f>AT117/VLOOKUP(A117,'[48]geoMap (45)'!$A:$B,2,0)*VLOOKUP(A117,'[48]geoMap (45)'!$A:$C,3,0)</f>
        <v>#REF!</v>
      </c>
      <c r="AV117" s="1" t="e">
        <f>AU117/VLOOKUP(A117,'[49]geoMap (46)'!$A:$B,2,0)*VLOOKUP(A117,'[49]geoMap (46)'!$A:$C,3,0)</f>
        <v>#REF!</v>
      </c>
      <c r="AW117" s="1" t="e">
        <f>AV117/VLOOKUP(A117,'[50]geoMap (47)'!$A:$B,2,0)*VLOOKUP(A117,'[50]geoMap (47)'!$A:$C,3,0)</f>
        <v>#REF!</v>
      </c>
      <c r="AX117" s="1" t="e">
        <f>AW117/VLOOKUP(A117,'[51]geoMap (48)'!$A:$B,2,0)*VLOOKUP(A117,'[51]geoMap (48)'!$A:$C,3,0)</f>
        <v>#REF!</v>
      </c>
      <c r="AY117" s="1" t="e">
        <f>AX117/VLOOKUP(A117,'[52]geoMap (49)'!$A:$B,2,0)*VLOOKUP(A117,'[52]geoMap (49)'!$A:$C,3,0)</f>
        <v>#REF!</v>
      </c>
      <c r="AZ117" s="1" t="e">
        <f>AY117/VLOOKUP(A117,'[53]geoMap (50)'!$A:$B,2,0)*VLOOKUP(A117,'[53]geoMap (50)'!$A:$C,3,0)</f>
        <v>#REF!</v>
      </c>
      <c r="BA117" s="1" t="e">
        <f>AZ117/VLOOKUP(A117,'[54]geoMap (51)'!$A:$B,2,0)*VLOOKUP(A117,'[54]geoMap (51)'!$A:$C,3,0)</f>
        <v>#REF!</v>
      </c>
      <c r="BB117" s="1" t="e">
        <f>BA117/VLOOKUP(A117,'[55]geoMap (52)'!$A:$B,2,0)*VLOOKUP(A117,'[55]geoMap (52)'!$A:$C,3,0)</f>
        <v>#REF!</v>
      </c>
      <c r="BC117" s="1" t="e">
        <f>BB117/VLOOKUP(A117,'[56]geoMap (53)'!$A:$B,2,0)*VLOOKUP(A117,'[56]geoMap (53)'!$A:$C,3,0)</f>
        <v>#REF!</v>
      </c>
      <c r="BD117" s="1" t="e">
        <f>BC117/VLOOKUP(A117,'[57]geoMap (54)'!$A:$B,2,0)*VLOOKUP(A117,'[57]geoMap (54)'!$A:$C,3,0)</f>
        <v>#REF!</v>
      </c>
      <c r="BE117" s="1" t="e">
        <f>BD117/VLOOKUP(A117,'[58]geoMap (55)'!$A:$B,2,0)*VLOOKUP(A117,'[58]geoMap (55)'!$A:$C,3,0)</f>
        <v>#REF!</v>
      </c>
      <c r="BF117" s="1" t="e">
        <f>BE117/VLOOKUP(A117,'[59]geoMap (56)'!$A:$B,2,0)*VLOOKUP(A117,'[59]geoMap (56)'!$A:$C,3,0)</f>
        <v>#REF!</v>
      </c>
      <c r="BG117" s="1" t="e">
        <f>BF117/VLOOKUP(A117,'[60]geoMap (57)'!$A:$B,2,0)*VLOOKUP(A117,'[60]geoMap (57)'!$A:$C,3,0)</f>
        <v>#REF!</v>
      </c>
      <c r="BH117" s="1" t="e">
        <f>BG117/VLOOKUP(A117,'[61]geoMap (58)'!$A:$B,2,0)*VLOOKUP(A117,'[61]geoMap (58)'!$A:$C,3,0)</f>
        <v>#REF!</v>
      </c>
      <c r="BI117" s="1" t="e">
        <f>BH117/VLOOKUP(A117,'[62]geoMap (59)'!$A:$B,2,0)*VLOOKUP(A117,'[62]geoMap (59)'!$A:$C,3,0)</f>
        <v>#REF!</v>
      </c>
      <c r="BJ117" s="1" t="e">
        <f>BI117/VLOOKUP(A117,'[63]geoMap (60)'!$A:$B,2,0)*VLOOKUP(A117,'[63]geoMap (60)'!$A:$C,3,0)</f>
        <v>#REF!</v>
      </c>
      <c r="BK117" s="1" t="e">
        <f>BJ117/VLOOKUP(A117,'[64]geoMap (61)'!$A:$B,2,0)*VLOOKUP(A117,'[64]geoMap (61)'!$A:$C,3,0)</f>
        <v>#REF!</v>
      </c>
      <c r="BL117" s="1" t="e">
        <f>BK117/VLOOKUP(A117,'[65]geoMap (62)'!$A:$B,2,0)*VLOOKUP(A117,'[65]geoMap (62)'!$A:$C,3,0)</f>
        <v>#REF!</v>
      </c>
      <c r="BM117" s="1" t="e">
        <f>BL117/VLOOKUP(A117,'[66]geoMap (63)'!$A:$B,2,0)*VLOOKUP(A117,'[66]geoMap (63)'!$A:$C,3,0)</f>
        <v>#REF!</v>
      </c>
      <c r="BN117" s="1" t="e">
        <f>BM117/VLOOKUP(A117,'[67]geoMap (64)'!$A:$B,2,0)*VLOOKUP(A117,'[67]geoMap (64)'!$A:$C,3,0)</f>
        <v>#REF!</v>
      </c>
      <c r="BO117" s="1" t="e">
        <f>BN117/VLOOKUP(A117,'[68]geoMap (65)'!$A:$B,2,0)*VLOOKUP(A117,'[68]geoMap (65)'!$A:$C,3,0)</f>
        <v>#REF!</v>
      </c>
      <c r="BP117" s="1" t="e">
        <f>BO117/VLOOKUP(A117,'[69]geoMap (66)'!$A:$B,2,0)*VLOOKUP(A117,'[69]geoMap (66)'!$A:$C,3,0)</f>
        <v>#REF!</v>
      </c>
    </row>
    <row r="118" spans="1:68" hidden="1" x14ac:dyDescent="0.2">
      <c r="A118" s="1" t="s">
        <v>69</v>
      </c>
      <c r="B118" s="1" t="e">
        <f>VLOOKUP(A118,[3]geoMap!$A:$B,2,0)*Notes!$C$6</f>
        <v>#REF!</v>
      </c>
      <c r="C118" s="1" t="e">
        <f>B118/VLOOKUP(A118,'[4]geoMap (1)'!$A:$B,2,0)*VLOOKUP(A118,'[4]geoMap (1)'!$A:$C,3,0)</f>
        <v>#REF!</v>
      </c>
      <c r="D118" s="1" t="e">
        <f>C118/VLOOKUP(A118,'[5]geoMap (2)'!$A:$B,2,0)*VLOOKUP(A118,'[5]geoMap (2)'!$A:$C,3,0)</f>
        <v>#REF!</v>
      </c>
      <c r="E118" s="1" t="e">
        <f>D118/VLOOKUP(A118,'[6]geoMap (3)'!$A:$B,2,0)*VLOOKUP(A118,'[6]geoMap (3)'!$A:$C,3,0)</f>
        <v>#REF!</v>
      </c>
      <c r="F118" s="1" t="e">
        <f>E118/VLOOKUP(A118,'[7]geoMap (4)'!$A:$B,2,0)*VLOOKUP(A118,'[7]geoMap (4)'!$A:$C,3,0)</f>
        <v>#REF!</v>
      </c>
      <c r="G118" s="1" t="e">
        <f>F118/VLOOKUP(A118,'[8]geoMap (5)'!$A:$B,2,0)*VLOOKUP(A118,'[8]geoMap (5)'!$A:$C,3,0)</f>
        <v>#REF!</v>
      </c>
      <c r="H118" s="1" t="e">
        <f>G118/VLOOKUP(A118,'[9]geoMap (6)'!$A:$B,2,0)*VLOOKUP(A118,'[9]geoMap (6)'!$A:$C,3,0)</f>
        <v>#REF!</v>
      </c>
      <c r="I118" s="1" t="e">
        <f>H118/VLOOKUP(A118,'[10]geoMap (7)'!$A:$B,2,0)*VLOOKUP(A118,'[10]geoMap (7)'!$A:$C,3,0)</f>
        <v>#REF!</v>
      </c>
      <c r="J118" s="1" t="e">
        <f>I118/VLOOKUP(A118,'[11]geoMap (8)'!$A:$B,2,0)*VLOOKUP(A118,'[11]geoMap (8)'!$A:$C,3,0)</f>
        <v>#REF!</v>
      </c>
      <c r="K118" s="1" t="e">
        <f>J118/VLOOKUP(A118,'[12]geoMap (9)'!$A:$B,2,0)*VLOOKUP(A118,'[12]geoMap (9)'!$A:$C,3,0)</f>
        <v>#REF!</v>
      </c>
      <c r="L118" s="1" t="e">
        <f>K118/VLOOKUP(A118,'[13]geoMap (10)'!$A:$B,2,0)*VLOOKUP(A118,'[13]geoMap (10)'!$A:$C,3,0)</f>
        <v>#REF!</v>
      </c>
      <c r="M118" s="1" t="e">
        <f>L118/VLOOKUP(A118,'[14]geoMap (11)'!$A:$B,2,0)*VLOOKUP(A118,'[14]geoMap (11)'!$A:$C,3,0)</f>
        <v>#REF!</v>
      </c>
      <c r="N118" s="1" t="e">
        <f>M118/VLOOKUP(A118,'[15]geoMap (12)'!$A:$B,2,0)*VLOOKUP(A118,'[15]geoMap (12)'!$A:$C,3,0)</f>
        <v>#REF!</v>
      </c>
      <c r="O118" s="1" t="e">
        <f>N118/VLOOKUP(A118,'[16]geoMap (13)'!$A:$B,2,0)*VLOOKUP(A118,'[16]geoMap (13)'!$A:$C,3,0)</f>
        <v>#REF!</v>
      </c>
      <c r="P118" s="1" t="e">
        <f>O118/VLOOKUP(A118,'[17]geoMap (14)'!$A:$B,2,0)*VLOOKUP(A118,'[17]geoMap (14)'!$A:$C,3,0)</f>
        <v>#REF!</v>
      </c>
      <c r="Q118" s="1" t="e">
        <f>P118/VLOOKUP(A118,'[18]geoMap (15)'!$A:$B,2,0)*VLOOKUP(A118,'[18]geoMap (15)'!$A:$C,3,0)</f>
        <v>#REF!</v>
      </c>
      <c r="R118" s="1" t="e">
        <f>Q118/VLOOKUP(A118,'[19]geoMap (16)'!$A:$B,2,0)*VLOOKUP(A118,'[19]geoMap (16)'!$A:$C,3,0)</f>
        <v>#REF!</v>
      </c>
      <c r="S118" s="1" t="e">
        <f>R118/VLOOKUP(A118,'[20]geoMap (17)'!$A:$B,2,0)*VLOOKUP(A118,'[20]geoMap (17)'!$A:$C,3,0)</f>
        <v>#REF!</v>
      </c>
      <c r="T118" s="1" t="e">
        <f>S118/VLOOKUP(A118,'[21]geoMap (18)'!$A:$B,2,0)*VLOOKUP(A118,'[21]geoMap (18)'!$A:$C,3,0)</f>
        <v>#REF!</v>
      </c>
      <c r="U118" s="1" t="e">
        <f>T118/VLOOKUP(A118,'[22]geoMap (19)'!$A:$B,2,0)*VLOOKUP(A118,'[22]geoMap (19)'!$A:$C,3,0)</f>
        <v>#REF!</v>
      </c>
      <c r="V118" s="1" t="e">
        <f>U118/VLOOKUP(A118,'[23]geoMap (20)'!$A:$B,2,0)*VLOOKUP(A118,'[23]geoMap (20)'!$A:$C,3,0)</f>
        <v>#REF!</v>
      </c>
      <c r="W118" s="1" t="e">
        <f>V118/VLOOKUP(A118,'[24]geoMap (21)'!$A:$B,2,0)*VLOOKUP(A118,'[24]geoMap (21)'!$A:$C,3,0)</f>
        <v>#REF!</v>
      </c>
      <c r="X118" s="1" t="e">
        <f>W118/VLOOKUP(A118,'[25]geoMap (22)'!$A:$B,2,0)*VLOOKUP(A118,'[25]geoMap (22)'!$A:$C,3,0)</f>
        <v>#REF!</v>
      </c>
      <c r="Y118" s="1" t="e">
        <f>X118/VLOOKUP(A118,'[26]geoMap (23)'!$A:$B,2,0)*VLOOKUP(A118,'[26]geoMap (23)'!$A:$C,3,0)</f>
        <v>#REF!</v>
      </c>
      <c r="Z118" s="1" t="e">
        <f>Y118/VLOOKUP(A118,'[27]geoMap (24)'!$A:$B,2,0)*VLOOKUP(A118,'[27]geoMap (24)'!$A:$C,3,0)</f>
        <v>#REF!</v>
      </c>
      <c r="AA118" s="1" t="e">
        <f>Z118/VLOOKUP(A118,'[28]geoMap (25)'!$A:$B,2,0)*VLOOKUP(A118,'[28]geoMap (25)'!$A:$C,3,0)</f>
        <v>#REF!</v>
      </c>
      <c r="AB118" s="1" t="e">
        <f>AA118*VLOOKUP(A118,'[29]geoMap (26)'!$A:$B,2,0)*VLOOKUP(A118,'[29]geoMap (26)'!$A:$C,3,0)</f>
        <v>#REF!</v>
      </c>
      <c r="AC118" s="1" t="e">
        <f>AB118/VLOOKUP(A118,'[30]geoMap (27)'!$A:$B,2,0)*VLOOKUP(A118,'[30]geoMap (27)'!$A:$C,3,0)</f>
        <v>#REF!</v>
      </c>
      <c r="AD118" s="1" t="e">
        <f>AC118/VLOOKUP(A118,'[31]geoMap (28)'!$A:$B,2,0)*VLOOKUP(A118,'[31]geoMap (28)'!$A:$C,3,0)</f>
        <v>#REF!</v>
      </c>
      <c r="AE118" s="1" t="e">
        <f>AD118/VLOOKUP(A118,'[32]geoMap (29)'!$A:$B,2,0)*VLOOKUP(A118,'[32]geoMap (29)'!$A:$C,3,0)</f>
        <v>#REF!</v>
      </c>
      <c r="AF118" s="1" t="e">
        <f>AE118/VLOOKUP(A118,'[33]geoMap (30)'!$A:$B,2,0)*VLOOKUP(A118,'[33]geoMap (30)'!$A:$C,3,0)</f>
        <v>#REF!</v>
      </c>
      <c r="AG118" s="1" t="e">
        <f>AF118/VLOOKUP(A118,'[34]geoMap (31)'!$A:$B,2,0)*VLOOKUP(A118,'[34]geoMap (31)'!$A:$C,3,0)</f>
        <v>#REF!</v>
      </c>
      <c r="AH118" s="1" t="e">
        <f>AG118/VLOOKUP(A118,'[35]geoMap (32)'!$A:$B,2,0)*VLOOKUP(A118,'[35]geoMap (32)'!$A:$C,3,0)</f>
        <v>#REF!</v>
      </c>
      <c r="AI118" s="1" t="e">
        <f>AH118/VLOOKUP(A118,'[36]geoMap (33)'!$A:$B,2,0)*VLOOKUP(A118,'[36]geoMap (33)'!$A:$C,3,0)</f>
        <v>#REF!</v>
      </c>
      <c r="AJ118" s="1" t="e">
        <f>AI118/VLOOKUP(A118,'[37]geoMap (34)'!$A:$B,2,0)*VLOOKUP(A118,'[37]geoMap (34)'!$A:$C,3,0)</f>
        <v>#REF!</v>
      </c>
      <c r="AK118" s="1" t="e">
        <f>AJ118/VLOOKUP(A118,'[38]geoMap (35)'!$A:$B,2,0)*VLOOKUP(A118,'[38]geoMap (35)'!$A:$C,3,0)</f>
        <v>#REF!</v>
      </c>
      <c r="AL118" s="1" t="e">
        <f>AK118/VLOOKUP(A118,'[39]geoMap (36)'!$A:$B,2,0)*VLOOKUP(A118,'[39]geoMap (36)'!$A:$C,3,0)</f>
        <v>#REF!</v>
      </c>
      <c r="AM118" s="1" t="e">
        <f>AL118/VLOOKUP(A118,'[40]geoMap (37)'!$A:$B,2,0)*VLOOKUP(A118,'[40]geoMap (37)'!$A:$C,3,0)</f>
        <v>#REF!</v>
      </c>
      <c r="AN118" s="1" t="e">
        <f>AM118/VLOOKUP(A118,'[41]geoMap (38)'!$A:$B,2,0)*VLOOKUP(A118,'[41]geoMap (38)'!$A:$C,3,0)</f>
        <v>#REF!</v>
      </c>
      <c r="AO118" s="1" t="e">
        <f>AN118/VLOOKUP(A118,'[42]geoMap (39)'!$A:$B,2,0)*VLOOKUP(A118,'[42]geoMap (39)'!$A:$C,3,0)</f>
        <v>#REF!</v>
      </c>
      <c r="AP118" s="1" t="e">
        <f>AO118/VLOOKUP(A118,'[43]geoMap (40)'!$A:$B,2,0)*VLOOKUP(A118,'[43]geoMap (40)'!$A:$C,3,0)</f>
        <v>#REF!</v>
      </c>
      <c r="AQ118" s="1" t="e">
        <f>AP118/VLOOKUP(A118,'[44]geoMap (41)'!$A:$B,2,0)*VLOOKUP(A118,'[44]geoMap (41)'!$A:$C,3,0)</f>
        <v>#REF!</v>
      </c>
      <c r="AR118" s="1" t="e">
        <f>AQ118/VLOOKUP(A118,'[45]geoMap (42)'!$A:$B,2,0)*VLOOKUP(A118,'[45]geoMap (42)'!$A:$C,3,0)</f>
        <v>#REF!</v>
      </c>
      <c r="AS118" s="1" t="e">
        <f>AR118/VLOOKUP(A118,'[46]geoMap (43)'!$A:$B,2,0)*VLOOKUP(A118,'[46]geoMap (43)'!$A:$C,3,0)</f>
        <v>#REF!</v>
      </c>
      <c r="AT118" s="1" t="e">
        <f>AS118/VLOOKUP(A118,'[47]geoMap (44)'!$A:$B,2,0)*VLOOKUP(A118,'[47]geoMap (44)'!$A:$C,3,0)</f>
        <v>#REF!</v>
      </c>
      <c r="AU118" s="1" t="e">
        <f>AT118/VLOOKUP(A118,'[48]geoMap (45)'!$A:$B,2,0)*VLOOKUP(A118,'[48]geoMap (45)'!$A:$C,3,0)</f>
        <v>#REF!</v>
      </c>
      <c r="AV118" s="1" t="e">
        <f>AU118/VLOOKUP(A118,'[49]geoMap (46)'!$A:$B,2,0)*VLOOKUP(A118,'[49]geoMap (46)'!$A:$C,3,0)</f>
        <v>#REF!</v>
      </c>
      <c r="AW118" s="1" t="e">
        <f>AV118/VLOOKUP(A118,'[50]geoMap (47)'!$A:$B,2,0)*VLOOKUP(A118,'[50]geoMap (47)'!$A:$C,3,0)</f>
        <v>#REF!</v>
      </c>
      <c r="AX118" s="1" t="e">
        <f>AW118/VLOOKUP(A118,'[51]geoMap (48)'!$A:$B,2,0)*VLOOKUP(A118,'[51]geoMap (48)'!$A:$C,3,0)</f>
        <v>#REF!</v>
      </c>
      <c r="AY118" s="1" t="e">
        <f>AX118/VLOOKUP(A118,'[52]geoMap (49)'!$A:$B,2,0)*VLOOKUP(A118,'[52]geoMap (49)'!$A:$C,3,0)</f>
        <v>#REF!</v>
      </c>
      <c r="AZ118" s="1" t="e">
        <f>AY118/VLOOKUP(A118,'[53]geoMap (50)'!$A:$B,2,0)*VLOOKUP(A118,'[53]geoMap (50)'!$A:$C,3,0)</f>
        <v>#REF!</v>
      </c>
      <c r="BA118" s="1" t="e">
        <f>AZ118/VLOOKUP(A118,'[54]geoMap (51)'!$A:$B,2,0)*VLOOKUP(A118,'[54]geoMap (51)'!$A:$C,3,0)</f>
        <v>#REF!</v>
      </c>
      <c r="BB118" s="1" t="e">
        <f>BA118/VLOOKUP(A118,'[55]geoMap (52)'!$A:$B,2,0)*VLOOKUP(A118,'[55]geoMap (52)'!$A:$C,3,0)</f>
        <v>#REF!</v>
      </c>
      <c r="BC118" s="1" t="e">
        <f>BB118/VLOOKUP(A118,'[56]geoMap (53)'!$A:$B,2,0)*VLOOKUP(A118,'[56]geoMap (53)'!$A:$C,3,0)</f>
        <v>#REF!</v>
      </c>
      <c r="BD118" s="1" t="e">
        <f>BC118/VLOOKUP(A118,'[57]geoMap (54)'!$A:$B,2,0)*VLOOKUP(A118,'[57]geoMap (54)'!$A:$C,3,0)</f>
        <v>#REF!</v>
      </c>
      <c r="BE118" s="1" t="e">
        <f>BD118/VLOOKUP(A118,'[58]geoMap (55)'!$A:$B,2,0)*VLOOKUP(A118,'[58]geoMap (55)'!$A:$C,3,0)</f>
        <v>#REF!</v>
      </c>
      <c r="BF118" s="1" t="e">
        <f>BE118/VLOOKUP(A118,'[59]geoMap (56)'!$A:$B,2,0)*VLOOKUP(A118,'[59]geoMap (56)'!$A:$C,3,0)</f>
        <v>#REF!</v>
      </c>
      <c r="BG118" s="1" t="e">
        <f>BF118/VLOOKUP(A118,'[60]geoMap (57)'!$A:$B,2,0)*VLOOKUP(A118,'[60]geoMap (57)'!$A:$C,3,0)</f>
        <v>#REF!</v>
      </c>
      <c r="BH118" s="1" t="e">
        <f>BG118/VLOOKUP(A118,'[61]geoMap (58)'!$A:$B,2,0)*VLOOKUP(A118,'[61]geoMap (58)'!$A:$C,3,0)</f>
        <v>#REF!</v>
      </c>
      <c r="BI118" s="1" t="e">
        <f>BH118/VLOOKUP(A118,'[62]geoMap (59)'!$A:$B,2,0)*VLOOKUP(A118,'[62]geoMap (59)'!$A:$C,3,0)</f>
        <v>#REF!</v>
      </c>
      <c r="BJ118" s="1" t="e">
        <f>BI118/VLOOKUP(A118,'[63]geoMap (60)'!$A:$B,2,0)*VLOOKUP(A118,'[63]geoMap (60)'!$A:$C,3,0)</f>
        <v>#REF!</v>
      </c>
      <c r="BK118" s="1" t="e">
        <f>BJ118/VLOOKUP(A118,'[64]geoMap (61)'!$A:$B,2,0)*VLOOKUP(A118,'[64]geoMap (61)'!$A:$C,3,0)</f>
        <v>#REF!</v>
      </c>
      <c r="BL118" s="1" t="e">
        <f>BK118/VLOOKUP(A118,'[65]geoMap (62)'!$A:$B,2,0)*VLOOKUP(A118,'[65]geoMap (62)'!$A:$C,3,0)</f>
        <v>#REF!</v>
      </c>
      <c r="BM118" s="1" t="e">
        <f>BL118/VLOOKUP(A118,'[66]geoMap (63)'!$A:$B,2,0)*VLOOKUP(A118,'[66]geoMap (63)'!$A:$C,3,0)</f>
        <v>#REF!</v>
      </c>
      <c r="BN118" s="1" t="e">
        <f>BM118/VLOOKUP(A118,'[67]geoMap (64)'!$A:$B,2,0)*VLOOKUP(A118,'[67]geoMap (64)'!$A:$C,3,0)</f>
        <v>#REF!</v>
      </c>
      <c r="BO118" s="1" t="e">
        <f>BN118/VLOOKUP(A118,'[68]geoMap (65)'!$A:$B,2,0)*VLOOKUP(A118,'[68]geoMap (65)'!$A:$C,3,0)</f>
        <v>#REF!</v>
      </c>
      <c r="BP118" s="1" t="e">
        <f>BO118/VLOOKUP(A118,'[69]geoMap (66)'!$A:$B,2,0)*VLOOKUP(A118,'[69]geoMap (66)'!$A:$C,3,0)</f>
        <v>#REF!</v>
      </c>
    </row>
    <row r="119" spans="1:68" hidden="1" x14ac:dyDescent="0.2">
      <c r="A119" s="1" t="s">
        <v>72</v>
      </c>
      <c r="B119" s="1" t="e">
        <f>VLOOKUP(A119,[3]geoMap!$A:$B,2,0)*Notes!$C$6</f>
        <v>#REF!</v>
      </c>
      <c r="C119" s="1" t="e">
        <f>B119/VLOOKUP(A119,'[4]geoMap (1)'!$A:$B,2,0)*VLOOKUP(A119,'[4]geoMap (1)'!$A:$C,3,0)</f>
        <v>#REF!</v>
      </c>
      <c r="D119" s="1" t="e">
        <f>C119/VLOOKUP(A119,'[5]geoMap (2)'!$A:$B,2,0)*VLOOKUP(A119,'[5]geoMap (2)'!$A:$C,3,0)</f>
        <v>#REF!</v>
      </c>
      <c r="E119" s="1" t="e">
        <f>D119/VLOOKUP(A119,'[6]geoMap (3)'!$A:$B,2,0)*VLOOKUP(A119,'[6]geoMap (3)'!$A:$C,3,0)</f>
        <v>#REF!</v>
      </c>
      <c r="F119" s="1" t="e">
        <f>E119/VLOOKUP(A119,'[7]geoMap (4)'!$A:$B,2,0)*VLOOKUP(A119,'[7]geoMap (4)'!$A:$C,3,0)</f>
        <v>#REF!</v>
      </c>
      <c r="G119" s="1" t="e">
        <f>F119/VLOOKUP(A119,'[8]geoMap (5)'!$A:$B,2,0)*VLOOKUP(A119,'[8]geoMap (5)'!$A:$C,3,0)</f>
        <v>#REF!</v>
      </c>
      <c r="H119" s="1" t="e">
        <f>G119/VLOOKUP(A119,'[9]geoMap (6)'!$A:$B,2,0)*VLOOKUP(A119,'[9]geoMap (6)'!$A:$C,3,0)</f>
        <v>#REF!</v>
      </c>
      <c r="I119" s="1" t="e">
        <f>H119/VLOOKUP(A119,'[10]geoMap (7)'!$A:$B,2,0)*VLOOKUP(A119,'[10]geoMap (7)'!$A:$C,3,0)</f>
        <v>#REF!</v>
      </c>
      <c r="J119" s="1" t="e">
        <f>I119/VLOOKUP(A119,'[11]geoMap (8)'!$A:$B,2,0)*VLOOKUP(A119,'[11]geoMap (8)'!$A:$C,3,0)</f>
        <v>#REF!</v>
      </c>
      <c r="K119" s="1" t="e">
        <f>J119/VLOOKUP(A119,'[12]geoMap (9)'!$A:$B,2,0)*VLOOKUP(A119,'[12]geoMap (9)'!$A:$C,3,0)</f>
        <v>#REF!</v>
      </c>
      <c r="L119" s="1" t="e">
        <f>K119/VLOOKUP(A119,'[13]geoMap (10)'!$A:$B,2,0)*VLOOKUP(A119,'[13]geoMap (10)'!$A:$C,3,0)</f>
        <v>#REF!</v>
      </c>
      <c r="M119" s="1" t="e">
        <f>L119/VLOOKUP(A119,'[14]geoMap (11)'!$A:$B,2,0)*VLOOKUP(A119,'[14]geoMap (11)'!$A:$C,3,0)</f>
        <v>#REF!</v>
      </c>
      <c r="N119" s="1" t="e">
        <f>M119/VLOOKUP(A119,'[15]geoMap (12)'!$A:$B,2,0)*VLOOKUP(A119,'[15]geoMap (12)'!$A:$C,3,0)</f>
        <v>#REF!</v>
      </c>
      <c r="O119" s="1" t="e">
        <f>N119/VLOOKUP(A119,'[16]geoMap (13)'!$A:$B,2,0)*VLOOKUP(A119,'[16]geoMap (13)'!$A:$C,3,0)</f>
        <v>#REF!</v>
      </c>
      <c r="P119" s="1" t="e">
        <f>O119/VLOOKUP(A119,'[17]geoMap (14)'!$A:$B,2,0)*VLOOKUP(A119,'[17]geoMap (14)'!$A:$C,3,0)</f>
        <v>#REF!</v>
      </c>
      <c r="Q119" s="1" t="e">
        <f>P119/VLOOKUP(A119,'[18]geoMap (15)'!$A:$B,2,0)*VLOOKUP(A119,'[18]geoMap (15)'!$A:$C,3,0)</f>
        <v>#REF!</v>
      </c>
      <c r="R119" s="1" t="e">
        <f>Q119/VLOOKUP(A119,'[19]geoMap (16)'!$A:$B,2,0)*VLOOKUP(A119,'[19]geoMap (16)'!$A:$C,3,0)</f>
        <v>#REF!</v>
      </c>
      <c r="S119" s="1" t="e">
        <f>R119/VLOOKUP(A119,'[20]geoMap (17)'!$A:$B,2,0)*VLOOKUP(A119,'[20]geoMap (17)'!$A:$C,3,0)</f>
        <v>#REF!</v>
      </c>
      <c r="T119" s="1" t="e">
        <f>S119/VLOOKUP(A119,'[21]geoMap (18)'!$A:$B,2,0)*VLOOKUP(A119,'[21]geoMap (18)'!$A:$C,3,0)</f>
        <v>#REF!</v>
      </c>
      <c r="U119" s="1" t="e">
        <f>T119/VLOOKUP(A119,'[22]geoMap (19)'!$A:$B,2,0)*VLOOKUP(A119,'[22]geoMap (19)'!$A:$C,3,0)</f>
        <v>#REF!</v>
      </c>
      <c r="V119" s="1" t="e">
        <f>U119/VLOOKUP(A119,'[23]geoMap (20)'!$A:$B,2,0)*VLOOKUP(A119,'[23]geoMap (20)'!$A:$C,3,0)</f>
        <v>#REF!</v>
      </c>
      <c r="W119" s="1" t="e">
        <f>V119/VLOOKUP(A119,'[24]geoMap (21)'!$A:$B,2,0)*VLOOKUP(A119,'[24]geoMap (21)'!$A:$C,3,0)</f>
        <v>#REF!</v>
      </c>
      <c r="X119" s="1" t="e">
        <f>W119/VLOOKUP(A119,'[25]geoMap (22)'!$A:$B,2,0)*VLOOKUP(A119,'[25]geoMap (22)'!$A:$C,3,0)</f>
        <v>#REF!</v>
      </c>
      <c r="Y119" s="1" t="e">
        <f>X119/VLOOKUP(A119,'[26]geoMap (23)'!$A:$B,2,0)*VLOOKUP(A119,'[26]geoMap (23)'!$A:$C,3,0)</f>
        <v>#REF!</v>
      </c>
      <c r="Z119" s="1" t="e">
        <f>Y119/VLOOKUP(A119,'[27]geoMap (24)'!$A:$B,2,0)*VLOOKUP(A119,'[27]geoMap (24)'!$A:$C,3,0)</f>
        <v>#REF!</v>
      </c>
      <c r="AA119" s="1" t="e">
        <f>Z119/VLOOKUP(A119,'[28]geoMap (25)'!$A:$B,2,0)*VLOOKUP(A119,'[28]geoMap (25)'!$A:$C,3,0)</f>
        <v>#REF!</v>
      </c>
      <c r="AB119" s="1" t="e">
        <f>AA119*VLOOKUP(A119,'[29]geoMap (26)'!$A:$B,2,0)*VLOOKUP(A119,'[29]geoMap (26)'!$A:$C,3,0)</f>
        <v>#REF!</v>
      </c>
      <c r="AC119" s="1" t="e">
        <f>AB119/VLOOKUP(A119,'[30]geoMap (27)'!$A:$B,2,0)*VLOOKUP(A119,'[30]geoMap (27)'!$A:$C,3,0)</f>
        <v>#REF!</v>
      </c>
      <c r="AD119" s="1" t="e">
        <f>AC119/VLOOKUP(A119,'[31]geoMap (28)'!$A:$B,2,0)*VLOOKUP(A119,'[31]geoMap (28)'!$A:$C,3,0)</f>
        <v>#REF!</v>
      </c>
      <c r="AE119" s="1" t="e">
        <f>AD119/VLOOKUP(A119,'[32]geoMap (29)'!$A:$B,2,0)*VLOOKUP(A119,'[32]geoMap (29)'!$A:$C,3,0)</f>
        <v>#REF!</v>
      </c>
      <c r="AF119" s="1" t="e">
        <f>AE119/VLOOKUP(A119,'[33]geoMap (30)'!$A:$B,2,0)*VLOOKUP(A119,'[33]geoMap (30)'!$A:$C,3,0)</f>
        <v>#REF!</v>
      </c>
      <c r="AG119" s="1" t="e">
        <f>AF119/VLOOKUP(A119,'[34]geoMap (31)'!$A:$B,2,0)*VLOOKUP(A119,'[34]geoMap (31)'!$A:$C,3,0)</f>
        <v>#REF!</v>
      </c>
      <c r="AH119" s="1" t="e">
        <f>AG119/VLOOKUP(A119,'[35]geoMap (32)'!$A:$B,2,0)*VLOOKUP(A119,'[35]geoMap (32)'!$A:$C,3,0)</f>
        <v>#REF!</v>
      </c>
      <c r="AI119" s="1" t="e">
        <f>AH119/VLOOKUP(A119,'[36]geoMap (33)'!$A:$B,2,0)*VLOOKUP(A119,'[36]geoMap (33)'!$A:$C,3,0)</f>
        <v>#REF!</v>
      </c>
      <c r="AJ119" s="1" t="e">
        <f>AI119/VLOOKUP(A119,'[37]geoMap (34)'!$A:$B,2,0)*VLOOKUP(A119,'[37]geoMap (34)'!$A:$C,3,0)</f>
        <v>#REF!</v>
      </c>
      <c r="AK119" s="1" t="e">
        <f>AJ119/VLOOKUP(A119,'[38]geoMap (35)'!$A:$B,2,0)*VLOOKUP(A119,'[38]geoMap (35)'!$A:$C,3,0)</f>
        <v>#REF!</v>
      </c>
      <c r="AL119" s="1" t="e">
        <f>AK119/VLOOKUP(A119,'[39]geoMap (36)'!$A:$B,2,0)*VLOOKUP(A119,'[39]geoMap (36)'!$A:$C,3,0)</f>
        <v>#REF!</v>
      </c>
      <c r="AM119" s="1" t="e">
        <f>AL119/VLOOKUP(A119,'[40]geoMap (37)'!$A:$B,2,0)*VLOOKUP(A119,'[40]geoMap (37)'!$A:$C,3,0)</f>
        <v>#REF!</v>
      </c>
      <c r="AN119" s="1" t="e">
        <f>AM119/VLOOKUP(A119,'[41]geoMap (38)'!$A:$B,2,0)*VLOOKUP(A119,'[41]geoMap (38)'!$A:$C,3,0)</f>
        <v>#REF!</v>
      </c>
      <c r="AO119" s="1" t="e">
        <f>AN119/VLOOKUP(A119,'[42]geoMap (39)'!$A:$B,2,0)*VLOOKUP(A119,'[42]geoMap (39)'!$A:$C,3,0)</f>
        <v>#REF!</v>
      </c>
      <c r="AP119" s="1" t="e">
        <f>AO119/VLOOKUP(A119,'[43]geoMap (40)'!$A:$B,2,0)*VLOOKUP(A119,'[43]geoMap (40)'!$A:$C,3,0)</f>
        <v>#REF!</v>
      </c>
      <c r="AQ119" s="1" t="e">
        <f>AP119/VLOOKUP(A119,'[44]geoMap (41)'!$A:$B,2,0)*VLOOKUP(A119,'[44]geoMap (41)'!$A:$C,3,0)</f>
        <v>#REF!</v>
      </c>
      <c r="AR119" s="1" t="e">
        <f>AQ119/VLOOKUP(A119,'[45]geoMap (42)'!$A:$B,2,0)*VLOOKUP(A119,'[45]geoMap (42)'!$A:$C,3,0)</f>
        <v>#REF!</v>
      </c>
      <c r="AS119" s="1" t="e">
        <f>AR119/VLOOKUP(A119,'[46]geoMap (43)'!$A:$B,2,0)*VLOOKUP(A119,'[46]geoMap (43)'!$A:$C,3,0)</f>
        <v>#REF!</v>
      </c>
      <c r="AT119" s="1" t="e">
        <f>AS119/VLOOKUP(A119,'[47]geoMap (44)'!$A:$B,2,0)*VLOOKUP(A119,'[47]geoMap (44)'!$A:$C,3,0)</f>
        <v>#REF!</v>
      </c>
      <c r="AU119" s="1" t="e">
        <f>AT119/VLOOKUP(A119,'[48]geoMap (45)'!$A:$B,2,0)*VLOOKUP(A119,'[48]geoMap (45)'!$A:$C,3,0)</f>
        <v>#REF!</v>
      </c>
      <c r="AV119" s="1" t="e">
        <f>AU119/VLOOKUP(A119,'[49]geoMap (46)'!$A:$B,2,0)*VLOOKUP(A119,'[49]geoMap (46)'!$A:$C,3,0)</f>
        <v>#REF!</v>
      </c>
      <c r="AW119" s="1" t="e">
        <f>AV119/VLOOKUP(A119,'[50]geoMap (47)'!$A:$B,2,0)*VLOOKUP(A119,'[50]geoMap (47)'!$A:$C,3,0)</f>
        <v>#REF!</v>
      </c>
      <c r="AX119" s="1" t="e">
        <f>AW119/VLOOKUP(A119,'[51]geoMap (48)'!$A:$B,2,0)*VLOOKUP(A119,'[51]geoMap (48)'!$A:$C,3,0)</f>
        <v>#REF!</v>
      </c>
      <c r="AY119" s="1" t="e">
        <f>AX119/VLOOKUP(A119,'[52]geoMap (49)'!$A:$B,2,0)*VLOOKUP(A119,'[52]geoMap (49)'!$A:$C,3,0)</f>
        <v>#REF!</v>
      </c>
      <c r="AZ119" s="1" t="e">
        <f>AY119/VLOOKUP(A119,'[53]geoMap (50)'!$A:$B,2,0)*VLOOKUP(A119,'[53]geoMap (50)'!$A:$C,3,0)</f>
        <v>#REF!</v>
      </c>
      <c r="BA119" s="1" t="e">
        <f>AZ119/VLOOKUP(A119,'[54]geoMap (51)'!$A:$B,2,0)*VLOOKUP(A119,'[54]geoMap (51)'!$A:$C,3,0)</f>
        <v>#REF!</v>
      </c>
      <c r="BB119" s="1" t="e">
        <f>BA119/VLOOKUP(A119,'[55]geoMap (52)'!$A:$B,2,0)*VLOOKUP(A119,'[55]geoMap (52)'!$A:$C,3,0)</f>
        <v>#REF!</v>
      </c>
      <c r="BC119" s="1" t="e">
        <f>BB119/VLOOKUP(A119,'[56]geoMap (53)'!$A:$B,2,0)*VLOOKUP(A119,'[56]geoMap (53)'!$A:$C,3,0)</f>
        <v>#REF!</v>
      </c>
      <c r="BD119" s="1" t="e">
        <f>BC119/VLOOKUP(A119,'[57]geoMap (54)'!$A:$B,2,0)*VLOOKUP(A119,'[57]geoMap (54)'!$A:$C,3,0)</f>
        <v>#REF!</v>
      </c>
      <c r="BE119" s="1" t="e">
        <f>BD119/VLOOKUP(A119,'[58]geoMap (55)'!$A:$B,2,0)*VLOOKUP(A119,'[58]geoMap (55)'!$A:$C,3,0)</f>
        <v>#REF!</v>
      </c>
      <c r="BF119" s="1" t="e">
        <f>BE119/VLOOKUP(A119,'[59]geoMap (56)'!$A:$B,2,0)*VLOOKUP(A119,'[59]geoMap (56)'!$A:$C,3,0)</f>
        <v>#REF!</v>
      </c>
      <c r="BG119" s="1" t="e">
        <f>BF119/VLOOKUP(A119,'[60]geoMap (57)'!$A:$B,2,0)*VLOOKUP(A119,'[60]geoMap (57)'!$A:$C,3,0)</f>
        <v>#REF!</v>
      </c>
      <c r="BH119" s="1" t="e">
        <f>BG119/VLOOKUP(A119,'[61]geoMap (58)'!$A:$B,2,0)*VLOOKUP(A119,'[61]geoMap (58)'!$A:$C,3,0)</f>
        <v>#REF!</v>
      </c>
      <c r="BI119" s="1" t="e">
        <f>BH119/VLOOKUP(A119,'[62]geoMap (59)'!$A:$B,2,0)*VLOOKUP(A119,'[62]geoMap (59)'!$A:$C,3,0)</f>
        <v>#REF!</v>
      </c>
      <c r="BJ119" s="1" t="e">
        <f>BI119/VLOOKUP(A119,'[63]geoMap (60)'!$A:$B,2,0)*VLOOKUP(A119,'[63]geoMap (60)'!$A:$C,3,0)</f>
        <v>#REF!</v>
      </c>
      <c r="BK119" s="1" t="e">
        <f>BJ119/VLOOKUP(A119,'[64]geoMap (61)'!$A:$B,2,0)*VLOOKUP(A119,'[64]geoMap (61)'!$A:$C,3,0)</f>
        <v>#REF!</v>
      </c>
      <c r="BL119" s="1" t="e">
        <f>BK119/VLOOKUP(A119,'[65]geoMap (62)'!$A:$B,2,0)*VLOOKUP(A119,'[65]geoMap (62)'!$A:$C,3,0)</f>
        <v>#REF!</v>
      </c>
      <c r="BM119" s="1" t="e">
        <f>BL119/VLOOKUP(A119,'[66]geoMap (63)'!$A:$B,2,0)*VLOOKUP(A119,'[66]geoMap (63)'!$A:$C,3,0)</f>
        <v>#REF!</v>
      </c>
      <c r="BN119" s="1" t="e">
        <f>BM119/VLOOKUP(A119,'[67]geoMap (64)'!$A:$B,2,0)*VLOOKUP(A119,'[67]geoMap (64)'!$A:$C,3,0)</f>
        <v>#REF!</v>
      </c>
      <c r="BO119" s="1" t="e">
        <f>BN119/VLOOKUP(A119,'[68]geoMap (65)'!$A:$B,2,0)*VLOOKUP(A119,'[68]geoMap (65)'!$A:$C,3,0)</f>
        <v>#REF!</v>
      </c>
      <c r="BP119" s="1" t="e">
        <f>BO119/VLOOKUP(A119,'[69]geoMap (66)'!$A:$B,2,0)*VLOOKUP(A119,'[69]geoMap (66)'!$A:$C,3,0)</f>
        <v>#REF!</v>
      </c>
    </row>
    <row r="120" spans="1:68" hidden="1" x14ac:dyDescent="0.2">
      <c r="A120" s="1" t="s">
        <v>74</v>
      </c>
      <c r="B120" s="1" t="e">
        <f>VLOOKUP(A120,[3]geoMap!$A:$B,2,0)*Notes!$C$6</f>
        <v>#REF!</v>
      </c>
      <c r="C120" s="1" t="e">
        <f>B120/VLOOKUP(A120,'[4]geoMap (1)'!$A:$B,2,0)*VLOOKUP(A120,'[4]geoMap (1)'!$A:$C,3,0)</f>
        <v>#REF!</v>
      </c>
      <c r="D120" s="1" t="e">
        <f>C120/VLOOKUP(A120,'[5]geoMap (2)'!$A:$B,2,0)*VLOOKUP(A120,'[5]geoMap (2)'!$A:$C,3,0)</f>
        <v>#REF!</v>
      </c>
      <c r="E120" s="1" t="e">
        <f>D120/VLOOKUP(A120,'[6]geoMap (3)'!$A:$B,2,0)*VLOOKUP(A120,'[6]geoMap (3)'!$A:$C,3,0)</f>
        <v>#REF!</v>
      </c>
      <c r="F120" s="1" t="e">
        <f>E120/VLOOKUP(A120,'[7]geoMap (4)'!$A:$B,2,0)*VLOOKUP(A120,'[7]geoMap (4)'!$A:$C,3,0)</f>
        <v>#REF!</v>
      </c>
      <c r="G120" s="1" t="e">
        <f>F120/VLOOKUP(A120,'[8]geoMap (5)'!$A:$B,2,0)*VLOOKUP(A120,'[8]geoMap (5)'!$A:$C,3,0)</f>
        <v>#REF!</v>
      </c>
      <c r="H120" s="1" t="e">
        <f>G120/VLOOKUP(A120,'[9]geoMap (6)'!$A:$B,2,0)*VLOOKUP(A120,'[9]geoMap (6)'!$A:$C,3,0)</f>
        <v>#REF!</v>
      </c>
      <c r="I120" s="1" t="e">
        <f>H120/VLOOKUP(A120,'[10]geoMap (7)'!$A:$B,2,0)*VLOOKUP(A120,'[10]geoMap (7)'!$A:$C,3,0)</f>
        <v>#REF!</v>
      </c>
      <c r="J120" s="1" t="e">
        <f>I120/VLOOKUP(A120,'[11]geoMap (8)'!$A:$B,2,0)*VLOOKUP(A120,'[11]geoMap (8)'!$A:$C,3,0)</f>
        <v>#REF!</v>
      </c>
      <c r="K120" s="1" t="e">
        <f>J120/VLOOKUP(A120,'[12]geoMap (9)'!$A:$B,2,0)*VLOOKUP(A120,'[12]geoMap (9)'!$A:$C,3,0)</f>
        <v>#REF!</v>
      </c>
      <c r="L120" s="1" t="e">
        <f>K120/VLOOKUP(A120,'[13]geoMap (10)'!$A:$B,2,0)*VLOOKUP(A120,'[13]geoMap (10)'!$A:$C,3,0)</f>
        <v>#REF!</v>
      </c>
      <c r="M120" s="1" t="e">
        <f>L120/VLOOKUP(A120,'[14]geoMap (11)'!$A:$B,2,0)*VLOOKUP(A120,'[14]geoMap (11)'!$A:$C,3,0)</f>
        <v>#REF!</v>
      </c>
      <c r="N120" s="1" t="e">
        <f>M120/VLOOKUP(A120,'[15]geoMap (12)'!$A:$B,2,0)*VLOOKUP(A120,'[15]geoMap (12)'!$A:$C,3,0)</f>
        <v>#REF!</v>
      </c>
      <c r="O120" s="1" t="e">
        <f>N120/VLOOKUP(A120,'[16]geoMap (13)'!$A:$B,2,0)*VLOOKUP(A120,'[16]geoMap (13)'!$A:$C,3,0)</f>
        <v>#REF!</v>
      </c>
      <c r="P120" s="1" t="e">
        <f>O120/VLOOKUP(A120,'[17]geoMap (14)'!$A:$B,2,0)*VLOOKUP(A120,'[17]geoMap (14)'!$A:$C,3,0)</f>
        <v>#REF!</v>
      </c>
      <c r="Q120" s="1" t="e">
        <f>P120/VLOOKUP(A120,'[18]geoMap (15)'!$A:$B,2,0)*VLOOKUP(A120,'[18]geoMap (15)'!$A:$C,3,0)</f>
        <v>#REF!</v>
      </c>
      <c r="R120" s="1" t="e">
        <f>Q120/VLOOKUP(A120,'[19]geoMap (16)'!$A:$B,2,0)*VLOOKUP(A120,'[19]geoMap (16)'!$A:$C,3,0)</f>
        <v>#REF!</v>
      </c>
      <c r="S120" s="1" t="e">
        <f>R120/VLOOKUP(A120,'[20]geoMap (17)'!$A:$B,2,0)*VLOOKUP(A120,'[20]geoMap (17)'!$A:$C,3,0)</f>
        <v>#REF!</v>
      </c>
      <c r="T120" s="1" t="e">
        <f>S120/VLOOKUP(A120,'[21]geoMap (18)'!$A:$B,2,0)*VLOOKUP(A120,'[21]geoMap (18)'!$A:$C,3,0)</f>
        <v>#REF!</v>
      </c>
      <c r="U120" s="1" t="e">
        <f>T120/VLOOKUP(A120,'[22]geoMap (19)'!$A:$B,2,0)*VLOOKUP(A120,'[22]geoMap (19)'!$A:$C,3,0)</f>
        <v>#REF!</v>
      </c>
      <c r="V120" s="1" t="e">
        <f>U120/VLOOKUP(A120,'[23]geoMap (20)'!$A:$B,2,0)*VLOOKUP(A120,'[23]geoMap (20)'!$A:$C,3,0)</f>
        <v>#REF!</v>
      </c>
      <c r="W120" s="1" t="e">
        <f>V120/VLOOKUP(A120,'[24]geoMap (21)'!$A:$B,2,0)*VLOOKUP(A120,'[24]geoMap (21)'!$A:$C,3,0)</f>
        <v>#REF!</v>
      </c>
      <c r="X120" s="1" t="e">
        <f>W120/VLOOKUP(A120,'[25]geoMap (22)'!$A:$B,2,0)*VLOOKUP(A120,'[25]geoMap (22)'!$A:$C,3,0)</f>
        <v>#REF!</v>
      </c>
      <c r="Y120" s="1" t="e">
        <f>X120/VLOOKUP(A120,'[26]geoMap (23)'!$A:$B,2,0)*VLOOKUP(A120,'[26]geoMap (23)'!$A:$C,3,0)</f>
        <v>#REF!</v>
      </c>
      <c r="Z120" s="1" t="e">
        <f>Y120/VLOOKUP(A120,'[27]geoMap (24)'!$A:$B,2,0)*VLOOKUP(A120,'[27]geoMap (24)'!$A:$C,3,0)</f>
        <v>#REF!</v>
      </c>
      <c r="AA120" s="1" t="e">
        <f>Z120/VLOOKUP(A120,'[28]geoMap (25)'!$A:$B,2,0)*VLOOKUP(A120,'[28]geoMap (25)'!$A:$C,3,0)</f>
        <v>#REF!</v>
      </c>
      <c r="AB120" s="1" t="e">
        <f>AA120*VLOOKUP(A120,'[29]geoMap (26)'!$A:$B,2,0)*VLOOKUP(A120,'[29]geoMap (26)'!$A:$C,3,0)</f>
        <v>#REF!</v>
      </c>
      <c r="AC120" s="1" t="e">
        <f>AB120/VLOOKUP(A120,'[30]geoMap (27)'!$A:$B,2,0)*VLOOKUP(A120,'[30]geoMap (27)'!$A:$C,3,0)</f>
        <v>#REF!</v>
      </c>
      <c r="AD120" s="1" t="e">
        <f>AC120/VLOOKUP(A120,'[31]geoMap (28)'!$A:$B,2,0)*VLOOKUP(A120,'[31]geoMap (28)'!$A:$C,3,0)</f>
        <v>#REF!</v>
      </c>
      <c r="AE120" s="1" t="e">
        <f>AD120/VLOOKUP(A120,'[32]geoMap (29)'!$A:$B,2,0)*VLOOKUP(A120,'[32]geoMap (29)'!$A:$C,3,0)</f>
        <v>#REF!</v>
      </c>
      <c r="AF120" s="1" t="e">
        <f>AE120/VLOOKUP(A120,'[33]geoMap (30)'!$A:$B,2,0)*VLOOKUP(A120,'[33]geoMap (30)'!$A:$C,3,0)</f>
        <v>#REF!</v>
      </c>
      <c r="AG120" s="1" t="e">
        <f>AF120/VLOOKUP(A120,'[34]geoMap (31)'!$A:$B,2,0)*VLOOKUP(A120,'[34]geoMap (31)'!$A:$C,3,0)</f>
        <v>#REF!</v>
      </c>
      <c r="AH120" s="1" t="e">
        <f>AG120/VLOOKUP(A120,'[35]geoMap (32)'!$A:$B,2,0)*VLOOKUP(A120,'[35]geoMap (32)'!$A:$C,3,0)</f>
        <v>#REF!</v>
      </c>
      <c r="AI120" s="1" t="e">
        <f>AH120/VLOOKUP(A120,'[36]geoMap (33)'!$A:$B,2,0)*VLOOKUP(A120,'[36]geoMap (33)'!$A:$C,3,0)</f>
        <v>#REF!</v>
      </c>
      <c r="AJ120" s="1" t="e">
        <f>AI120/VLOOKUP(A120,'[37]geoMap (34)'!$A:$B,2,0)*VLOOKUP(A120,'[37]geoMap (34)'!$A:$C,3,0)</f>
        <v>#REF!</v>
      </c>
      <c r="AK120" s="1" t="e">
        <f>AJ120/VLOOKUP(A120,'[38]geoMap (35)'!$A:$B,2,0)*VLOOKUP(A120,'[38]geoMap (35)'!$A:$C,3,0)</f>
        <v>#REF!</v>
      </c>
      <c r="AL120" s="1" t="e">
        <f>AK120/VLOOKUP(A120,'[39]geoMap (36)'!$A:$B,2,0)*VLOOKUP(A120,'[39]geoMap (36)'!$A:$C,3,0)</f>
        <v>#REF!</v>
      </c>
      <c r="AM120" s="1" t="e">
        <f>AL120/VLOOKUP(A120,'[40]geoMap (37)'!$A:$B,2,0)*VLOOKUP(A120,'[40]geoMap (37)'!$A:$C,3,0)</f>
        <v>#REF!</v>
      </c>
      <c r="AN120" s="1" t="e">
        <f>AM120/VLOOKUP(A120,'[41]geoMap (38)'!$A:$B,2,0)*VLOOKUP(A120,'[41]geoMap (38)'!$A:$C,3,0)</f>
        <v>#REF!</v>
      </c>
      <c r="AO120" s="1" t="e">
        <f>AN120/VLOOKUP(A120,'[42]geoMap (39)'!$A:$B,2,0)*VLOOKUP(A120,'[42]geoMap (39)'!$A:$C,3,0)</f>
        <v>#REF!</v>
      </c>
      <c r="AP120" s="1" t="e">
        <f>AO120/VLOOKUP(A120,'[43]geoMap (40)'!$A:$B,2,0)*VLOOKUP(A120,'[43]geoMap (40)'!$A:$C,3,0)</f>
        <v>#REF!</v>
      </c>
      <c r="AQ120" s="1" t="e">
        <f>AP120/VLOOKUP(A120,'[44]geoMap (41)'!$A:$B,2,0)*VLOOKUP(A120,'[44]geoMap (41)'!$A:$C,3,0)</f>
        <v>#REF!</v>
      </c>
      <c r="AR120" s="1" t="e">
        <f>AQ120/VLOOKUP(A120,'[45]geoMap (42)'!$A:$B,2,0)*VLOOKUP(A120,'[45]geoMap (42)'!$A:$C,3,0)</f>
        <v>#REF!</v>
      </c>
      <c r="AS120" s="1" t="e">
        <f>AR120/VLOOKUP(A120,'[46]geoMap (43)'!$A:$B,2,0)*VLOOKUP(A120,'[46]geoMap (43)'!$A:$C,3,0)</f>
        <v>#REF!</v>
      </c>
      <c r="AT120" s="1" t="e">
        <f>AS120/VLOOKUP(A120,'[47]geoMap (44)'!$A:$B,2,0)*VLOOKUP(A120,'[47]geoMap (44)'!$A:$C,3,0)</f>
        <v>#REF!</v>
      </c>
      <c r="AU120" s="1" t="e">
        <f>AT120/VLOOKUP(A120,'[48]geoMap (45)'!$A:$B,2,0)*VLOOKUP(A120,'[48]geoMap (45)'!$A:$C,3,0)</f>
        <v>#REF!</v>
      </c>
      <c r="AV120" s="1" t="e">
        <f>AU120/VLOOKUP(A120,'[49]geoMap (46)'!$A:$B,2,0)*VLOOKUP(A120,'[49]geoMap (46)'!$A:$C,3,0)</f>
        <v>#REF!</v>
      </c>
      <c r="AW120" s="1" t="e">
        <f>AV120/VLOOKUP(A120,'[50]geoMap (47)'!$A:$B,2,0)*VLOOKUP(A120,'[50]geoMap (47)'!$A:$C,3,0)</f>
        <v>#REF!</v>
      </c>
      <c r="AX120" s="1" t="e">
        <f>AW120/VLOOKUP(A120,'[51]geoMap (48)'!$A:$B,2,0)*VLOOKUP(A120,'[51]geoMap (48)'!$A:$C,3,0)</f>
        <v>#REF!</v>
      </c>
      <c r="AY120" s="1" t="e">
        <f>AX120/VLOOKUP(A120,'[52]geoMap (49)'!$A:$B,2,0)*VLOOKUP(A120,'[52]geoMap (49)'!$A:$C,3,0)</f>
        <v>#REF!</v>
      </c>
      <c r="AZ120" s="1" t="e">
        <f>AY120/VLOOKUP(A120,'[53]geoMap (50)'!$A:$B,2,0)*VLOOKUP(A120,'[53]geoMap (50)'!$A:$C,3,0)</f>
        <v>#REF!</v>
      </c>
      <c r="BA120" s="1" t="e">
        <f>AZ120/VLOOKUP(A120,'[54]geoMap (51)'!$A:$B,2,0)*VLOOKUP(A120,'[54]geoMap (51)'!$A:$C,3,0)</f>
        <v>#REF!</v>
      </c>
      <c r="BB120" s="1" t="e">
        <f>BA120/VLOOKUP(A120,'[55]geoMap (52)'!$A:$B,2,0)*VLOOKUP(A120,'[55]geoMap (52)'!$A:$C,3,0)</f>
        <v>#REF!</v>
      </c>
      <c r="BC120" s="1" t="e">
        <f>BB120/VLOOKUP(A120,'[56]geoMap (53)'!$A:$B,2,0)*VLOOKUP(A120,'[56]geoMap (53)'!$A:$C,3,0)</f>
        <v>#REF!</v>
      </c>
      <c r="BD120" s="1" t="e">
        <f>BC120/VLOOKUP(A120,'[57]geoMap (54)'!$A:$B,2,0)*VLOOKUP(A120,'[57]geoMap (54)'!$A:$C,3,0)</f>
        <v>#REF!</v>
      </c>
      <c r="BE120" s="1" t="e">
        <f>BD120/VLOOKUP(A120,'[58]geoMap (55)'!$A:$B,2,0)*VLOOKUP(A120,'[58]geoMap (55)'!$A:$C,3,0)</f>
        <v>#REF!</v>
      </c>
      <c r="BF120" s="1" t="e">
        <f>BE120/VLOOKUP(A120,'[59]geoMap (56)'!$A:$B,2,0)*VLOOKUP(A120,'[59]geoMap (56)'!$A:$C,3,0)</f>
        <v>#REF!</v>
      </c>
      <c r="BG120" s="1" t="e">
        <f>BF120/VLOOKUP(A120,'[60]geoMap (57)'!$A:$B,2,0)*VLOOKUP(A120,'[60]geoMap (57)'!$A:$C,3,0)</f>
        <v>#REF!</v>
      </c>
      <c r="BH120" s="1" t="e">
        <f>BG120/VLOOKUP(A120,'[61]geoMap (58)'!$A:$B,2,0)*VLOOKUP(A120,'[61]geoMap (58)'!$A:$C,3,0)</f>
        <v>#REF!</v>
      </c>
      <c r="BI120" s="1" t="e">
        <f>BH120/VLOOKUP(A120,'[62]geoMap (59)'!$A:$B,2,0)*VLOOKUP(A120,'[62]geoMap (59)'!$A:$C,3,0)</f>
        <v>#REF!</v>
      </c>
      <c r="BJ120" s="1" t="e">
        <f>BI120/VLOOKUP(A120,'[63]geoMap (60)'!$A:$B,2,0)*VLOOKUP(A120,'[63]geoMap (60)'!$A:$C,3,0)</f>
        <v>#REF!</v>
      </c>
      <c r="BK120" s="1" t="e">
        <f>BJ120/VLOOKUP(A120,'[64]geoMap (61)'!$A:$B,2,0)*VLOOKUP(A120,'[64]geoMap (61)'!$A:$C,3,0)</f>
        <v>#REF!</v>
      </c>
      <c r="BL120" s="1" t="e">
        <f>BK120/VLOOKUP(A120,'[65]geoMap (62)'!$A:$B,2,0)*VLOOKUP(A120,'[65]geoMap (62)'!$A:$C,3,0)</f>
        <v>#REF!</v>
      </c>
      <c r="BM120" s="1" t="e">
        <f>BL120/VLOOKUP(A120,'[66]geoMap (63)'!$A:$B,2,0)*VLOOKUP(A120,'[66]geoMap (63)'!$A:$C,3,0)</f>
        <v>#REF!</v>
      </c>
      <c r="BN120" s="1" t="e">
        <f>BM120/VLOOKUP(A120,'[67]geoMap (64)'!$A:$B,2,0)*VLOOKUP(A120,'[67]geoMap (64)'!$A:$C,3,0)</f>
        <v>#REF!</v>
      </c>
      <c r="BO120" s="1" t="e">
        <f>BN120/VLOOKUP(A120,'[68]geoMap (65)'!$A:$B,2,0)*VLOOKUP(A120,'[68]geoMap (65)'!$A:$C,3,0)</f>
        <v>#REF!</v>
      </c>
      <c r="BP120" s="1" t="e">
        <f>BO120/VLOOKUP(A120,'[69]geoMap (66)'!$A:$B,2,0)*VLOOKUP(A120,'[69]geoMap (66)'!$A:$C,3,0)</f>
        <v>#REF!</v>
      </c>
    </row>
    <row r="121" spans="1:68" hidden="1" x14ac:dyDescent="0.2">
      <c r="A121" s="1" t="s">
        <v>75</v>
      </c>
      <c r="B121" s="1" t="e">
        <f>VLOOKUP(A121,[3]geoMap!$A:$B,2,0)*Notes!$C$6</f>
        <v>#REF!</v>
      </c>
      <c r="C121" s="1" t="e">
        <f>B121/VLOOKUP(A121,'[4]geoMap (1)'!$A:$B,2,0)*VLOOKUP(A121,'[4]geoMap (1)'!$A:$C,3,0)</f>
        <v>#REF!</v>
      </c>
      <c r="D121" s="1" t="e">
        <f>C121/VLOOKUP(A121,'[5]geoMap (2)'!$A:$B,2,0)*VLOOKUP(A121,'[5]geoMap (2)'!$A:$C,3,0)</f>
        <v>#REF!</v>
      </c>
      <c r="E121" s="1" t="e">
        <f>D121/VLOOKUP(A121,'[6]geoMap (3)'!$A:$B,2,0)*VLOOKUP(A121,'[6]geoMap (3)'!$A:$C,3,0)</f>
        <v>#REF!</v>
      </c>
      <c r="F121" s="1" t="e">
        <f>E121/VLOOKUP(A121,'[7]geoMap (4)'!$A:$B,2,0)*VLOOKUP(A121,'[7]geoMap (4)'!$A:$C,3,0)</f>
        <v>#REF!</v>
      </c>
      <c r="G121" s="1" t="e">
        <f>F121/VLOOKUP(A121,'[8]geoMap (5)'!$A:$B,2,0)*VLOOKUP(A121,'[8]geoMap (5)'!$A:$C,3,0)</f>
        <v>#REF!</v>
      </c>
      <c r="H121" s="1" t="e">
        <f>G121/VLOOKUP(A121,'[9]geoMap (6)'!$A:$B,2,0)*VLOOKUP(A121,'[9]geoMap (6)'!$A:$C,3,0)</f>
        <v>#REF!</v>
      </c>
      <c r="I121" s="1" t="e">
        <f>H121/VLOOKUP(A121,'[10]geoMap (7)'!$A:$B,2,0)*VLOOKUP(A121,'[10]geoMap (7)'!$A:$C,3,0)</f>
        <v>#REF!</v>
      </c>
      <c r="J121" s="1" t="e">
        <f>I121/VLOOKUP(A121,'[11]geoMap (8)'!$A:$B,2,0)*VLOOKUP(A121,'[11]geoMap (8)'!$A:$C,3,0)</f>
        <v>#REF!</v>
      </c>
      <c r="K121" s="1" t="e">
        <f>J121/VLOOKUP(A121,'[12]geoMap (9)'!$A:$B,2,0)*VLOOKUP(A121,'[12]geoMap (9)'!$A:$C,3,0)</f>
        <v>#REF!</v>
      </c>
      <c r="L121" s="1" t="e">
        <f>K121/VLOOKUP(A121,'[13]geoMap (10)'!$A:$B,2,0)*VLOOKUP(A121,'[13]geoMap (10)'!$A:$C,3,0)</f>
        <v>#REF!</v>
      </c>
      <c r="M121" s="1" t="e">
        <f>L121/VLOOKUP(A121,'[14]geoMap (11)'!$A:$B,2,0)*VLOOKUP(A121,'[14]geoMap (11)'!$A:$C,3,0)</f>
        <v>#REF!</v>
      </c>
      <c r="N121" s="1" t="e">
        <f>M121/VLOOKUP(A121,'[15]geoMap (12)'!$A:$B,2,0)*VLOOKUP(A121,'[15]geoMap (12)'!$A:$C,3,0)</f>
        <v>#REF!</v>
      </c>
      <c r="O121" s="1" t="e">
        <f>N121/VLOOKUP(A121,'[16]geoMap (13)'!$A:$B,2,0)*VLOOKUP(A121,'[16]geoMap (13)'!$A:$C,3,0)</f>
        <v>#REF!</v>
      </c>
      <c r="P121" s="1" t="e">
        <f>O121/VLOOKUP(A121,'[17]geoMap (14)'!$A:$B,2,0)*VLOOKUP(A121,'[17]geoMap (14)'!$A:$C,3,0)</f>
        <v>#REF!</v>
      </c>
      <c r="Q121" s="1" t="e">
        <f>P121/VLOOKUP(A121,'[18]geoMap (15)'!$A:$B,2,0)*VLOOKUP(A121,'[18]geoMap (15)'!$A:$C,3,0)</f>
        <v>#REF!</v>
      </c>
      <c r="R121" s="1" t="e">
        <f>Q121/VLOOKUP(A121,'[19]geoMap (16)'!$A:$B,2,0)*VLOOKUP(A121,'[19]geoMap (16)'!$A:$C,3,0)</f>
        <v>#REF!</v>
      </c>
      <c r="S121" s="1" t="e">
        <f>R121/VLOOKUP(A121,'[20]geoMap (17)'!$A:$B,2,0)*VLOOKUP(A121,'[20]geoMap (17)'!$A:$C,3,0)</f>
        <v>#REF!</v>
      </c>
      <c r="T121" s="1" t="e">
        <f>S121/VLOOKUP(A121,'[21]geoMap (18)'!$A:$B,2,0)*VLOOKUP(A121,'[21]geoMap (18)'!$A:$C,3,0)</f>
        <v>#REF!</v>
      </c>
      <c r="U121" s="1" t="e">
        <f>T121/VLOOKUP(A121,'[22]geoMap (19)'!$A:$B,2,0)*VLOOKUP(A121,'[22]geoMap (19)'!$A:$C,3,0)</f>
        <v>#REF!</v>
      </c>
      <c r="V121" s="1" t="e">
        <f>U121/VLOOKUP(A121,'[23]geoMap (20)'!$A:$B,2,0)*VLOOKUP(A121,'[23]geoMap (20)'!$A:$C,3,0)</f>
        <v>#REF!</v>
      </c>
      <c r="W121" s="1" t="e">
        <f>V121/VLOOKUP(A121,'[24]geoMap (21)'!$A:$B,2,0)*VLOOKUP(A121,'[24]geoMap (21)'!$A:$C,3,0)</f>
        <v>#REF!</v>
      </c>
      <c r="X121" s="1" t="e">
        <f>W121/VLOOKUP(A121,'[25]geoMap (22)'!$A:$B,2,0)*VLOOKUP(A121,'[25]geoMap (22)'!$A:$C,3,0)</f>
        <v>#REF!</v>
      </c>
      <c r="Y121" s="1" t="e">
        <f>X121/VLOOKUP(A121,'[26]geoMap (23)'!$A:$B,2,0)*VLOOKUP(A121,'[26]geoMap (23)'!$A:$C,3,0)</f>
        <v>#REF!</v>
      </c>
      <c r="Z121" s="1" t="e">
        <f>Y121/VLOOKUP(A121,'[27]geoMap (24)'!$A:$B,2,0)*VLOOKUP(A121,'[27]geoMap (24)'!$A:$C,3,0)</f>
        <v>#REF!</v>
      </c>
      <c r="AA121" s="1" t="e">
        <f>Z121/VLOOKUP(A121,'[28]geoMap (25)'!$A:$B,2,0)*VLOOKUP(A121,'[28]geoMap (25)'!$A:$C,3,0)</f>
        <v>#REF!</v>
      </c>
      <c r="AB121" s="1" t="e">
        <f>AA121*VLOOKUP(A121,'[29]geoMap (26)'!$A:$B,2,0)*VLOOKUP(A121,'[29]geoMap (26)'!$A:$C,3,0)</f>
        <v>#REF!</v>
      </c>
      <c r="AC121" s="1" t="e">
        <f>AB121/VLOOKUP(A121,'[30]geoMap (27)'!$A:$B,2,0)*VLOOKUP(A121,'[30]geoMap (27)'!$A:$C,3,0)</f>
        <v>#REF!</v>
      </c>
      <c r="AD121" s="1" t="e">
        <f>AC121/VLOOKUP(A121,'[31]geoMap (28)'!$A:$B,2,0)*VLOOKUP(A121,'[31]geoMap (28)'!$A:$C,3,0)</f>
        <v>#REF!</v>
      </c>
      <c r="AE121" s="1" t="e">
        <f>AD121/VLOOKUP(A121,'[32]geoMap (29)'!$A:$B,2,0)*VLOOKUP(A121,'[32]geoMap (29)'!$A:$C,3,0)</f>
        <v>#REF!</v>
      </c>
      <c r="AF121" s="1" t="e">
        <f>AE121/VLOOKUP(A121,'[33]geoMap (30)'!$A:$B,2,0)*VLOOKUP(A121,'[33]geoMap (30)'!$A:$C,3,0)</f>
        <v>#REF!</v>
      </c>
      <c r="AG121" s="1" t="e">
        <f>AF121/VLOOKUP(A121,'[34]geoMap (31)'!$A:$B,2,0)*VLOOKUP(A121,'[34]geoMap (31)'!$A:$C,3,0)</f>
        <v>#REF!</v>
      </c>
      <c r="AH121" s="1" t="e">
        <f>AG121/VLOOKUP(A121,'[35]geoMap (32)'!$A:$B,2,0)*VLOOKUP(A121,'[35]geoMap (32)'!$A:$C,3,0)</f>
        <v>#REF!</v>
      </c>
      <c r="AI121" s="1" t="e">
        <f>AH121/VLOOKUP(A121,'[36]geoMap (33)'!$A:$B,2,0)*VLOOKUP(A121,'[36]geoMap (33)'!$A:$C,3,0)</f>
        <v>#REF!</v>
      </c>
      <c r="AJ121" s="1" t="e">
        <f>AI121/VLOOKUP(A121,'[37]geoMap (34)'!$A:$B,2,0)*VLOOKUP(A121,'[37]geoMap (34)'!$A:$C,3,0)</f>
        <v>#REF!</v>
      </c>
      <c r="AK121" s="1" t="e">
        <f>AJ121/VLOOKUP(A121,'[38]geoMap (35)'!$A:$B,2,0)*VLOOKUP(A121,'[38]geoMap (35)'!$A:$C,3,0)</f>
        <v>#REF!</v>
      </c>
      <c r="AL121" s="1" t="e">
        <f>AK121/VLOOKUP(A121,'[39]geoMap (36)'!$A:$B,2,0)*VLOOKUP(A121,'[39]geoMap (36)'!$A:$C,3,0)</f>
        <v>#REF!</v>
      </c>
      <c r="AM121" s="1" t="e">
        <f>AL121/VLOOKUP(A121,'[40]geoMap (37)'!$A:$B,2,0)*VLOOKUP(A121,'[40]geoMap (37)'!$A:$C,3,0)</f>
        <v>#REF!</v>
      </c>
      <c r="AN121" s="1" t="e">
        <f>AM121/VLOOKUP(A121,'[41]geoMap (38)'!$A:$B,2,0)*VLOOKUP(A121,'[41]geoMap (38)'!$A:$C,3,0)</f>
        <v>#REF!</v>
      </c>
      <c r="AO121" s="1" t="e">
        <f>AN121/VLOOKUP(A121,'[42]geoMap (39)'!$A:$B,2,0)*VLOOKUP(A121,'[42]geoMap (39)'!$A:$C,3,0)</f>
        <v>#REF!</v>
      </c>
      <c r="AP121" s="1" t="e">
        <f>AO121/VLOOKUP(A121,'[43]geoMap (40)'!$A:$B,2,0)*VLOOKUP(A121,'[43]geoMap (40)'!$A:$C,3,0)</f>
        <v>#REF!</v>
      </c>
      <c r="AQ121" s="1" t="e">
        <f>AP121/VLOOKUP(A121,'[44]geoMap (41)'!$A:$B,2,0)*VLOOKUP(A121,'[44]geoMap (41)'!$A:$C,3,0)</f>
        <v>#REF!</v>
      </c>
      <c r="AR121" s="1" t="e">
        <f>AQ121/VLOOKUP(A121,'[45]geoMap (42)'!$A:$B,2,0)*VLOOKUP(A121,'[45]geoMap (42)'!$A:$C,3,0)</f>
        <v>#REF!</v>
      </c>
      <c r="AS121" s="1" t="e">
        <f>AR121/VLOOKUP(A121,'[46]geoMap (43)'!$A:$B,2,0)*VLOOKUP(A121,'[46]geoMap (43)'!$A:$C,3,0)</f>
        <v>#REF!</v>
      </c>
      <c r="AT121" s="1" t="e">
        <f>AS121/VLOOKUP(A121,'[47]geoMap (44)'!$A:$B,2,0)*VLOOKUP(A121,'[47]geoMap (44)'!$A:$C,3,0)</f>
        <v>#REF!</v>
      </c>
      <c r="AU121" s="1" t="e">
        <f>AT121/VLOOKUP(A121,'[48]geoMap (45)'!$A:$B,2,0)*VLOOKUP(A121,'[48]geoMap (45)'!$A:$C,3,0)</f>
        <v>#REF!</v>
      </c>
      <c r="AV121" s="1" t="e">
        <f>AU121/VLOOKUP(A121,'[49]geoMap (46)'!$A:$B,2,0)*VLOOKUP(A121,'[49]geoMap (46)'!$A:$C,3,0)</f>
        <v>#REF!</v>
      </c>
      <c r="AW121" s="1" t="e">
        <f>AV121/VLOOKUP(A121,'[50]geoMap (47)'!$A:$B,2,0)*VLOOKUP(A121,'[50]geoMap (47)'!$A:$C,3,0)</f>
        <v>#REF!</v>
      </c>
      <c r="AX121" s="1" t="e">
        <f>AW121/VLOOKUP(A121,'[51]geoMap (48)'!$A:$B,2,0)*VLOOKUP(A121,'[51]geoMap (48)'!$A:$C,3,0)</f>
        <v>#REF!</v>
      </c>
      <c r="AY121" s="1" t="e">
        <f>AX121/VLOOKUP(A121,'[52]geoMap (49)'!$A:$B,2,0)*VLOOKUP(A121,'[52]geoMap (49)'!$A:$C,3,0)</f>
        <v>#REF!</v>
      </c>
      <c r="AZ121" s="1" t="e">
        <f>AY121/VLOOKUP(A121,'[53]geoMap (50)'!$A:$B,2,0)*VLOOKUP(A121,'[53]geoMap (50)'!$A:$C,3,0)</f>
        <v>#REF!</v>
      </c>
      <c r="BA121" s="1" t="e">
        <f>AZ121/VLOOKUP(A121,'[54]geoMap (51)'!$A:$B,2,0)*VLOOKUP(A121,'[54]geoMap (51)'!$A:$C,3,0)</f>
        <v>#REF!</v>
      </c>
      <c r="BB121" s="1" t="e">
        <f>BA121/VLOOKUP(A121,'[55]geoMap (52)'!$A:$B,2,0)*VLOOKUP(A121,'[55]geoMap (52)'!$A:$C,3,0)</f>
        <v>#REF!</v>
      </c>
      <c r="BC121" s="1" t="e">
        <f>BB121/VLOOKUP(A121,'[56]geoMap (53)'!$A:$B,2,0)*VLOOKUP(A121,'[56]geoMap (53)'!$A:$C,3,0)</f>
        <v>#REF!</v>
      </c>
      <c r="BD121" s="1" t="e">
        <f>BC121/VLOOKUP(A121,'[57]geoMap (54)'!$A:$B,2,0)*VLOOKUP(A121,'[57]geoMap (54)'!$A:$C,3,0)</f>
        <v>#REF!</v>
      </c>
      <c r="BE121" s="1" t="e">
        <f>BD121/VLOOKUP(A121,'[58]geoMap (55)'!$A:$B,2,0)*VLOOKUP(A121,'[58]geoMap (55)'!$A:$C,3,0)</f>
        <v>#REF!</v>
      </c>
      <c r="BF121" s="1" t="e">
        <f>BE121/VLOOKUP(A121,'[59]geoMap (56)'!$A:$B,2,0)*VLOOKUP(A121,'[59]geoMap (56)'!$A:$C,3,0)</f>
        <v>#REF!</v>
      </c>
      <c r="BG121" s="1" t="e">
        <f>BF121/VLOOKUP(A121,'[60]geoMap (57)'!$A:$B,2,0)*VLOOKUP(A121,'[60]geoMap (57)'!$A:$C,3,0)</f>
        <v>#REF!</v>
      </c>
      <c r="BH121" s="1" t="e">
        <f>BG121/VLOOKUP(A121,'[61]geoMap (58)'!$A:$B,2,0)*VLOOKUP(A121,'[61]geoMap (58)'!$A:$C,3,0)</f>
        <v>#REF!</v>
      </c>
      <c r="BI121" s="1" t="e">
        <f>BH121/VLOOKUP(A121,'[62]geoMap (59)'!$A:$B,2,0)*VLOOKUP(A121,'[62]geoMap (59)'!$A:$C,3,0)</f>
        <v>#REF!</v>
      </c>
      <c r="BJ121" s="1" t="e">
        <f>BI121/VLOOKUP(A121,'[63]geoMap (60)'!$A:$B,2,0)*VLOOKUP(A121,'[63]geoMap (60)'!$A:$C,3,0)</f>
        <v>#REF!</v>
      </c>
      <c r="BK121" s="1" t="e">
        <f>BJ121/VLOOKUP(A121,'[64]geoMap (61)'!$A:$B,2,0)*VLOOKUP(A121,'[64]geoMap (61)'!$A:$C,3,0)</f>
        <v>#REF!</v>
      </c>
      <c r="BL121" s="1" t="e">
        <f>BK121/VLOOKUP(A121,'[65]geoMap (62)'!$A:$B,2,0)*VLOOKUP(A121,'[65]geoMap (62)'!$A:$C,3,0)</f>
        <v>#REF!</v>
      </c>
      <c r="BM121" s="1" t="e">
        <f>BL121/VLOOKUP(A121,'[66]geoMap (63)'!$A:$B,2,0)*VLOOKUP(A121,'[66]geoMap (63)'!$A:$C,3,0)</f>
        <v>#REF!</v>
      </c>
      <c r="BN121" s="1" t="e">
        <f>BM121/VLOOKUP(A121,'[67]geoMap (64)'!$A:$B,2,0)*VLOOKUP(A121,'[67]geoMap (64)'!$A:$C,3,0)</f>
        <v>#REF!</v>
      </c>
      <c r="BO121" s="1" t="e">
        <f>BN121/VLOOKUP(A121,'[68]geoMap (65)'!$A:$B,2,0)*VLOOKUP(A121,'[68]geoMap (65)'!$A:$C,3,0)</f>
        <v>#REF!</v>
      </c>
      <c r="BP121" s="1" t="e">
        <f>BO121/VLOOKUP(A121,'[69]geoMap (66)'!$A:$B,2,0)*VLOOKUP(A121,'[69]geoMap (66)'!$A:$C,3,0)</f>
        <v>#REF!</v>
      </c>
    </row>
    <row r="122" spans="1:68" hidden="1" x14ac:dyDescent="0.2">
      <c r="A122" s="1" t="s">
        <v>76</v>
      </c>
      <c r="B122" s="1" t="e">
        <f>VLOOKUP(A122,[3]geoMap!$A:$B,2,0)*Notes!$C$6</f>
        <v>#REF!</v>
      </c>
      <c r="C122" s="1" t="e">
        <f>B122/VLOOKUP(A122,'[4]geoMap (1)'!$A:$B,2,0)*VLOOKUP(A122,'[4]geoMap (1)'!$A:$C,3,0)</f>
        <v>#REF!</v>
      </c>
      <c r="D122" s="1" t="e">
        <f>C122/VLOOKUP(A122,'[5]geoMap (2)'!$A:$B,2,0)*VLOOKUP(A122,'[5]geoMap (2)'!$A:$C,3,0)</f>
        <v>#REF!</v>
      </c>
      <c r="E122" s="1" t="e">
        <f>D122/VLOOKUP(A122,'[6]geoMap (3)'!$A:$B,2,0)*VLOOKUP(A122,'[6]geoMap (3)'!$A:$C,3,0)</f>
        <v>#REF!</v>
      </c>
      <c r="F122" s="1" t="e">
        <f>E122/VLOOKUP(A122,'[7]geoMap (4)'!$A:$B,2,0)*VLOOKUP(A122,'[7]geoMap (4)'!$A:$C,3,0)</f>
        <v>#REF!</v>
      </c>
      <c r="G122" s="1" t="e">
        <f>F122/VLOOKUP(A122,'[8]geoMap (5)'!$A:$B,2,0)*VLOOKUP(A122,'[8]geoMap (5)'!$A:$C,3,0)</f>
        <v>#REF!</v>
      </c>
      <c r="H122" s="1" t="e">
        <f>G122/VLOOKUP(A122,'[9]geoMap (6)'!$A:$B,2,0)*VLOOKUP(A122,'[9]geoMap (6)'!$A:$C,3,0)</f>
        <v>#REF!</v>
      </c>
      <c r="I122" s="1" t="e">
        <f>H122/VLOOKUP(A122,'[10]geoMap (7)'!$A:$B,2,0)*VLOOKUP(A122,'[10]geoMap (7)'!$A:$C,3,0)</f>
        <v>#REF!</v>
      </c>
      <c r="J122" s="1" t="e">
        <f>I122/VLOOKUP(A122,'[11]geoMap (8)'!$A:$B,2,0)*VLOOKUP(A122,'[11]geoMap (8)'!$A:$C,3,0)</f>
        <v>#REF!</v>
      </c>
      <c r="K122" s="1" t="e">
        <f>J122/VLOOKUP(A122,'[12]geoMap (9)'!$A:$B,2,0)*VLOOKUP(A122,'[12]geoMap (9)'!$A:$C,3,0)</f>
        <v>#REF!</v>
      </c>
      <c r="L122" s="1" t="e">
        <f>K122/VLOOKUP(A122,'[13]geoMap (10)'!$A:$B,2,0)*VLOOKUP(A122,'[13]geoMap (10)'!$A:$C,3,0)</f>
        <v>#REF!</v>
      </c>
      <c r="M122" s="1" t="e">
        <f>L122/VLOOKUP(A122,'[14]geoMap (11)'!$A:$B,2,0)*VLOOKUP(A122,'[14]geoMap (11)'!$A:$C,3,0)</f>
        <v>#REF!</v>
      </c>
      <c r="N122" s="1" t="e">
        <f>M122/VLOOKUP(A122,'[15]geoMap (12)'!$A:$B,2,0)*VLOOKUP(A122,'[15]geoMap (12)'!$A:$C,3,0)</f>
        <v>#REF!</v>
      </c>
      <c r="O122" s="1" t="e">
        <f>N122/VLOOKUP(A122,'[16]geoMap (13)'!$A:$B,2,0)*VLOOKUP(A122,'[16]geoMap (13)'!$A:$C,3,0)</f>
        <v>#REF!</v>
      </c>
      <c r="P122" s="1" t="e">
        <f>O122/VLOOKUP(A122,'[17]geoMap (14)'!$A:$B,2,0)*VLOOKUP(A122,'[17]geoMap (14)'!$A:$C,3,0)</f>
        <v>#REF!</v>
      </c>
      <c r="Q122" s="1" t="e">
        <f>P122/VLOOKUP(A122,'[18]geoMap (15)'!$A:$B,2,0)*VLOOKUP(A122,'[18]geoMap (15)'!$A:$C,3,0)</f>
        <v>#REF!</v>
      </c>
      <c r="R122" s="1" t="e">
        <f>Q122/VLOOKUP(A122,'[19]geoMap (16)'!$A:$B,2,0)*VLOOKUP(A122,'[19]geoMap (16)'!$A:$C,3,0)</f>
        <v>#REF!</v>
      </c>
      <c r="S122" s="1" t="e">
        <f>R122/VLOOKUP(A122,'[20]geoMap (17)'!$A:$B,2,0)*VLOOKUP(A122,'[20]geoMap (17)'!$A:$C,3,0)</f>
        <v>#REF!</v>
      </c>
      <c r="T122" s="1" t="e">
        <f>S122/VLOOKUP(A122,'[21]geoMap (18)'!$A:$B,2,0)*VLOOKUP(A122,'[21]geoMap (18)'!$A:$C,3,0)</f>
        <v>#REF!</v>
      </c>
      <c r="U122" s="1" t="e">
        <f>T122/VLOOKUP(A122,'[22]geoMap (19)'!$A:$B,2,0)*VLOOKUP(A122,'[22]geoMap (19)'!$A:$C,3,0)</f>
        <v>#REF!</v>
      </c>
      <c r="V122" s="1" t="e">
        <f>U122/VLOOKUP(A122,'[23]geoMap (20)'!$A:$B,2,0)*VLOOKUP(A122,'[23]geoMap (20)'!$A:$C,3,0)</f>
        <v>#REF!</v>
      </c>
      <c r="W122" s="1" t="e">
        <f>V122/VLOOKUP(A122,'[24]geoMap (21)'!$A:$B,2,0)*VLOOKUP(A122,'[24]geoMap (21)'!$A:$C,3,0)</f>
        <v>#REF!</v>
      </c>
      <c r="X122" s="1" t="e">
        <f>W122/VLOOKUP(A122,'[25]geoMap (22)'!$A:$B,2,0)*VLOOKUP(A122,'[25]geoMap (22)'!$A:$C,3,0)</f>
        <v>#REF!</v>
      </c>
      <c r="Y122" s="1" t="e">
        <f>X122/VLOOKUP(A122,'[26]geoMap (23)'!$A:$B,2,0)*VLOOKUP(A122,'[26]geoMap (23)'!$A:$C,3,0)</f>
        <v>#REF!</v>
      </c>
      <c r="Z122" s="1" t="e">
        <f>Y122/VLOOKUP(A122,'[27]geoMap (24)'!$A:$B,2,0)*VLOOKUP(A122,'[27]geoMap (24)'!$A:$C,3,0)</f>
        <v>#REF!</v>
      </c>
      <c r="AA122" s="1" t="e">
        <f>Z122/VLOOKUP(A122,'[28]geoMap (25)'!$A:$B,2,0)*VLOOKUP(A122,'[28]geoMap (25)'!$A:$C,3,0)</f>
        <v>#REF!</v>
      </c>
      <c r="AB122" s="1" t="e">
        <f>AA122*VLOOKUP(A122,'[29]geoMap (26)'!$A:$B,2,0)*VLOOKUP(A122,'[29]geoMap (26)'!$A:$C,3,0)</f>
        <v>#REF!</v>
      </c>
      <c r="AC122" s="1" t="e">
        <f>AB122/VLOOKUP(A122,'[30]geoMap (27)'!$A:$B,2,0)*VLOOKUP(A122,'[30]geoMap (27)'!$A:$C,3,0)</f>
        <v>#REF!</v>
      </c>
      <c r="AD122" s="1" t="e">
        <f>AC122/VLOOKUP(A122,'[31]geoMap (28)'!$A:$B,2,0)*VLOOKUP(A122,'[31]geoMap (28)'!$A:$C,3,0)</f>
        <v>#REF!</v>
      </c>
      <c r="AE122" s="1" t="e">
        <f>AD122/VLOOKUP(A122,'[32]geoMap (29)'!$A:$B,2,0)*VLOOKUP(A122,'[32]geoMap (29)'!$A:$C,3,0)</f>
        <v>#REF!</v>
      </c>
      <c r="AF122" s="1" t="e">
        <f>AE122/VLOOKUP(A122,'[33]geoMap (30)'!$A:$B,2,0)*VLOOKUP(A122,'[33]geoMap (30)'!$A:$C,3,0)</f>
        <v>#REF!</v>
      </c>
      <c r="AG122" s="1" t="e">
        <f>AF122/VLOOKUP(A122,'[34]geoMap (31)'!$A:$B,2,0)*VLOOKUP(A122,'[34]geoMap (31)'!$A:$C,3,0)</f>
        <v>#REF!</v>
      </c>
      <c r="AH122" s="1" t="e">
        <f>AG122/VLOOKUP(A122,'[35]geoMap (32)'!$A:$B,2,0)*VLOOKUP(A122,'[35]geoMap (32)'!$A:$C,3,0)</f>
        <v>#REF!</v>
      </c>
      <c r="AI122" s="1" t="e">
        <f>AH122/VLOOKUP(A122,'[36]geoMap (33)'!$A:$B,2,0)*VLOOKUP(A122,'[36]geoMap (33)'!$A:$C,3,0)</f>
        <v>#REF!</v>
      </c>
      <c r="AJ122" s="1" t="e">
        <f>AI122/VLOOKUP(A122,'[37]geoMap (34)'!$A:$B,2,0)*VLOOKUP(A122,'[37]geoMap (34)'!$A:$C,3,0)</f>
        <v>#REF!</v>
      </c>
      <c r="AK122" s="1" t="e">
        <f>AJ122/VLOOKUP(A122,'[38]geoMap (35)'!$A:$B,2,0)*VLOOKUP(A122,'[38]geoMap (35)'!$A:$C,3,0)</f>
        <v>#REF!</v>
      </c>
      <c r="AL122" s="1" t="e">
        <f>AK122/VLOOKUP(A122,'[39]geoMap (36)'!$A:$B,2,0)*VLOOKUP(A122,'[39]geoMap (36)'!$A:$C,3,0)</f>
        <v>#REF!</v>
      </c>
      <c r="AM122" s="1" t="e">
        <f>AL122/VLOOKUP(A122,'[40]geoMap (37)'!$A:$B,2,0)*VLOOKUP(A122,'[40]geoMap (37)'!$A:$C,3,0)</f>
        <v>#REF!</v>
      </c>
      <c r="AN122" s="1" t="e">
        <f>AM122/VLOOKUP(A122,'[41]geoMap (38)'!$A:$B,2,0)*VLOOKUP(A122,'[41]geoMap (38)'!$A:$C,3,0)</f>
        <v>#REF!</v>
      </c>
      <c r="AO122" s="1" t="e">
        <f>AN122/VLOOKUP(A122,'[42]geoMap (39)'!$A:$B,2,0)*VLOOKUP(A122,'[42]geoMap (39)'!$A:$C,3,0)</f>
        <v>#REF!</v>
      </c>
      <c r="AP122" s="1" t="e">
        <f>AO122/VLOOKUP(A122,'[43]geoMap (40)'!$A:$B,2,0)*VLOOKUP(A122,'[43]geoMap (40)'!$A:$C,3,0)</f>
        <v>#REF!</v>
      </c>
      <c r="AQ122" s="1" t="e">
        <f>AP122/VLOOKUP(A122,'[44]geoMap (41)'!$A:$B,2,0)*VLOOKUP(A122,'[44]geoMap (41)'!$A:$C,3,0)</f>
        <v>#REF!</v>
      </c>
      <c r="AR122" s="1" t="e">
        <f>AQ122/VLOOKUP(A122,'[45]geoMap (42)'!$A:$B,2,0)*VLOOKUP(A122,'[45]geoMap (42)'!$A:$C,3,0)</f>
        <v>#REF!</v>
      </c>
      <c r="AS122" s="1" t="e">
        <f>AR122/VLOOKUP(A122,'[46]geoMap (43)'!$A:$B,2,0)*VLOOKUP(A122,'[46]geoMap (43)'!$A:$C,3,0)</f>
        <v>#REF!</v>
      </c>
      <c r="AT122" s="1" t="e">
        <f>AS122/VLOOKUP(A122,'[47]geoMap (44)'!$A:$B,2,0)*VLOOKUP(A122,'[47]geoMap (44)'!$A:$C,3,0)</f>
        <v>#REF!</v>
      </c>
      <c r="AU122" s="1" t="e">
        <f>AT122/VLOOKUP(A122,'[48]geoMap (45)'!$A:$B,2,0)*VLOOKUP(A122,'[48]geoMap (45)'!$A:$C,3,0)</f>
        <v>#REF!</v>
      </c>
      <c r="AV122" s="1" t="e">
        <f>AU122/VLOOKUP(A122,'[49]geoMap (46)'!$A:$B,2,0)*VLOOKUP(A122,'[49]geoMap (46)'!$A:$C,3,0)</f>
        <v>#REF!</v>
      </c>
      <c r="AW122" s="1" t="e">
        <f>AV122/VLOOKUP(A122,'[50]geoMap (47)'!$A:$B,2,0)*VLOOKUP(A122,'[50]geoMap (47)'!$A:$C,3,0)</f>
        <v>#REF!</v>
      </c>
      <c r="AX122" s="1" t="e">
        <f>AW122/VLOOKUP(A122,'[51]geoMap (48)'!$A:$B,2,0)*VLOOKUP(A122,'[51]geoMap (48)'!$A:$C,3,0)</f>
        <v>#REF!</v>
      </c>
      <c r="AY122" s="1" t="e">
        <f>AX122/VLOOKUP(A122,'[52]geoMap (49)'!$A:$B,2,0)*VLOOKUP(A122,'[52]geoMap (49)'!$A:$C,3,0)</f>
        <v>#REF!</v>
      </c>
      <c r="AZ122" s="1" t="e">
        <f>AY122/VLOOKUP(A122,'[53]geoMap (50)'!$A:$B,2,0)*VLOOKUP(A122,'[53]geoMap (50)'!$A:$C,3,0)</f>
        <v>#REF!</v>
      </c>
      <c r="BA122" s="1" t="e">
        <f>AZ122/VLOOKUP(A122,'[54]geoMap (51)'!$A:$B,2,0)*VLOOKUP(A122,'[54]geoMap (51)'!$A:$C,3,0)</f>
        <v>#REF!</v>
      </c>
      <c r="BB122" s="1" t="e">
        <f>BA122/VLOOKUP(A122,'[55]geoMap (52)'!$A:$B,2,0)*VLOOKUP(A122,'[55]geoMap (52)'!$A:$C,3,0)</f>
        <v>#REF!</v>
      </c>
      <c r="BC122" s="1" t="e">
        <f>BB122/VLOOKUP(A122,'[56]geoMap (53)'!$A:$B,2,0)*VLOOKUP(A122,'[56]geoMap (53)'!$A:$C,3,0)</f>
        <v>#REF!</v>
      </c>
      <c r="BD122" s="1" t="e">
        <f>BC122/VLOOKUP(A122,'[57]geoMap (54)'!$A:$B,2,0)*VLOOKUP(A122,'[57]geoMap (54)'!$A:$C,3,0)</f>
        <v>#REF!</v>
      </c>
      <c r="BE122" s="1" t="e">
        <f>BD122/VLOOKUP(A122,'[58]geoMap (55)'!$A:$B,2,0)*VLOOKUP(A122,'[58]geoMap (55)'!$A:$C,3,0)</f>
        <v>#REF!</v>
      </c>
      <c r="BF122" s="1" t="e">
        <f>BE122/VLOOKUP(A122,'[59]geoMap (56)'!$A:$B,2,0)*VLOOKUP(A122,'[59]geoMap (56)'!$A:$C,3,0)</f>
        <v>#REF!</v>
      </c>
      <c r="BG122" s="1" t="e">
        <f>BF122/VLOOKUP(A122,'[60]geoMap (57)'!$A:$B,2,0)*VLOOKUP(A122,'[60]geoMap (57)'!$A:$C,3,0)</f>
        <v>#REF!</v>
      </c>
      <c r="BH122" s="1" t="e">
        <f>BG122/VLOOKUP(A122,'[61]geoMap (58)'!$A:$B,2,0)*VLOOKUP(A122,'[61]geoMap (58)'!$A:$C,3,0)</f>
        <v>#REF!</v>
      </c>
      <c r="BI122" s="1" t="e">
        <f>BH122/VLOOKUP(A122,'[62]geoMap (59)'!$A:$B,2,0)*VLOOKUP(A122,'[62]geoMap (59)'!$A:$C,3,0)</f>
        <v>#REF!</v>
      </c>
      <c r="BJ122" s="1" t="e">
        <f>BI122/VLOOKUP(A122,'[63]geoMap (60)'!$A:$B,2,0)*VLOOKUP(A122,'[63]geoMap (60)'!$A:$C,3,0)</f>
        <v>#REF!</v>
      </c>
      <c r="BK122" s="1" t="e">
        <f>BJ122/VLOOKUP(A122,'[64]geoMap (61)'!$A:$B,2,0)*VLOOKUP(A122,'[64]geoMap (61)'!$A:$C,3,0)</f>
        <v>#REF!</v>
      </c>
      <c r="BL122" s="1" t="e">
        <f>BK122/VLOOKUP(A122,'[65]geoMap (62)'!$A:$B,2,0)*VLOOKUP(A122,'[65]geoMap (62)'!$A:$C,3,0)</f>
        <v>#REF!</v>
      </c>
      <c r="BM122" s="1" t="e">
        <f>BL122/VLOOKUP(A122,'[66]geoMap (63)'!$A:$B,2,0)*VLOOKUP(A122,'[66]geoMap (63)'!$A:$C,3,0)</f>
        <v>#REF!</v>
      </c>
      <c r="BN122" s="1" t="e">
        <f>BM122/VLOOKUP(A122,'[67]geoMap (64)'!$A:$B,2,0)*VLOOKUP(A122,'[67]geoMap (64)'!$A:$C,3,0)</f>
        <v>#REF!</v>
      </c>
      <c r="BO122" s="1" t="e">
        <f>BN122/VLOOKUP(A122,'[68]geoMap (65)'!$A:$B,2,0)*VLOOKUP(A122,'[68]geoMap (65)'!$A:$C,3,0)</f>
        <v>#REF!</v>
      </c>
      <c r="BP122" s="1" t="e">
        <f>BO122/VLOOKUP(A122,'[69]geoMap (66)'!$A:$B,2,0)*VLOOKUP(A122,'[69]geoMap (66)'!$A:$C,3,0)</f>
        <v>#REF!</v>
      </c>
    </row>
    <row r="123" spans="1:68" hidden="1" x14ac:dyDescent="0.2">
      <c r="A123" s="1" t="s">
        <v>80</v>
      </c>
      <c r="B123" s="1" t="e">
        <f>VLOOKUP(A123,[3]geoMap!$A:$B,2,0)*Notes!$C$6</f>
        <v>#REF!</v>
      </c>
      <c r="C123" s="1" t="e">
        <f>B123/VLOOKUP(A123,'[4]geoMap (1)'!$A:$B,2,0)*VLOOKUP(A123,'[4]geoMap (1)'!$A:$C,3,0)</f>
        <v>#REF!</v>
      </c>
      <c r="D123" s="1" t="e">
        <f>C123/VLOOKUP(A123,'[5]geoMap (2)'!$A:$B,2,0)*VLOOKUP(A123,'[5]geoMap (2)'!$A:$C,3,0)</f>
        <v>#REF!</v>
      </c>
      <c r="E123" s="1" t="e">
        <f>D123/VLOOKUP(A123,'[6]geoMap (3)'!$A:$B,2,0)*VLOOKUP(A123,'[6]geoMap (3)'!$A:$C,3,0)</f>
        <v>#REF!</v>
      </c>
      <c r="F123" s="1" t="e">
        <f>E123/VLOOKUP(A123,'[7]geoMap (4)'!$A:$B,2,0)*VLOOKUP(A123,'[7]geoMap (4)'!$A:$C,3,0)</f>
        <v>#REF!</v>
      </c>
      <c r="G123" s="1" t="e">
        <f>F123/VLOOKUP(A123,'[8]geoMap (5)'!$A:$B,2,0)*VLOOKUP(A123,'[8]geoMap (5)'!$A:$C,3,0)</f>
        <v>#REF!</v>
      </c>
      <c r="H123" s="1" t="e">
        <f>G123/VLOOKUP(A123,'[9]geoMap (6)'!$A:$B,2,0)*VLOOKUP(A123,'[9]geoMap (6)'!$A:$C,3,0)</f>
        <v>#REF!</v>
      </c>
      <c r="I123" s="1" t="e">
        <f>H123/VLOOKUP(A123,'[10]geoMap (7)'!$A:$B,2,0)*VLOOKUP(A123,'[10]geoMap (7)'!$A:$C,3,0)</f>
        <v>#REF!</v>
      </c>
      <c r="J123" s="1" t="e">
        <f>I123/VLOOKUP(A123,'[11]geoMap (8)'!$A:$B,2,0)*VLOOKUP(A123,'[11]geoMap (8)'!$A:$C,3,0)</f>
        <v>#REF!</v>
      </c>
      <c r="K123" s="1" t="e">
        <f>J123/VLOOKUP(A123,'[12]geoMap (9)'!$A:$B,2,0)*VLOOKUP(A123,'[12]geoMap (9)'!$A:$C,3,0)</f>
        <v>#REF!</v>
      </c>
      <c r="L123" s="1" t="e">
        <f>K123/VLOOKUP(A123,'[13]geoMap (10)'!$A:$B,2,0)*VLOOKUP(A123,'[13]geoMap (10)'!$A:$C,3,0)</f>
        <v>#REF!</v>
      </c>
      <c r="M123" s="1" t="e">
        <f>L123/VLOOKUP(A123,'[14]geoMap (11)'!$A:$B,2,0)*VLOOKUP(A123,'[14]geoMap (11)'!$A:$C,3,0)</f>
        <v>#REF!</v>
      </c>
      <c r="N123" s="1" t="e">
        <f>M123/VLOOKUP(A123,'[15]geoMap (12)'!$A:$B,2,0)*VLOOKUP(A123,'[15]geoMap (12)'!$A:$C,3,0)</f>
        <v>#REF!</v>
      </c>
      <c r="O123" s="1" t="e">
        <f>N123/VLOOKUP(A123,'[16]geoMap (13)'!$A:$B,2,0)*VLOOKUP(A123,'[16]geoMap (13)'!$A:$C,3,0)</f>
        <v>#REF!</v>
      </c>
      <c r="P123" s="1" t="e">
        <f>O123/VLOOKUP(A123,'[17]geoMap (14)'!$A:$B,2,0)*VLOOKUP(A123,'[17]geoMap (14)'!$A:$C,3,0)</f>
        <v>#REF!</v>
      </c>
      <c r="Q123" s="1" t="e">
        <f>P123/VLOOKUP(A123,'[18]geoMap (15)'!$A:$B,2,0)*VLOOKUP(A123,'[18]geoMap (15)'!$A:$C,3,0)</f>
        <v>#REF!</v>
      </c>
      <c r="R123" s="1" t="e">
        <f>Q123/VLOOKUP(A123,'[19]geoMap (16)'!$A:$B,2,0)*VLOOKUP(A123,'[19]geoMap (16)'!$A:$C,3,0)</f>
        <v>#REF!</v>
      </c>
      <c r="S123" s="1" t="e">
        <f>R123/VLOOKUP(A123,'[20]geoMap (17)'!$A:$B,2,0)*VLOOKUP(A123,'[20]geoMap (17)'!$A:$C,3,0)</f>
        <v>#REF!</v>
      </c>
      <c r="T123" s="1" t="e">
        <f>S123/VLOOKUP(A123,'[21]geoMap (18)'!$A:$B,2,0)*VLOOKUP(A123,'[21]geoMap (18)'!$A:$C,3,0)</f>
        <v>#REF!</v>
      </c>
      <c r="U123" s="1" t="e">
        <f>T123/VLOOKUP(A123,'[22]geoMap (19)'!$A:$B,2,0)*VLOOKUP(A123,'[22]geoMap (19)'!$A:$C,3,0)</f>
        <v>#REF!</v>
      </c>
      <c r="V123" s="1" t="e">
        <f>U123/VLOOKUP(A123,'[23]geoMap (20)'!$A:$B,2,0)*VLOOKUP(A123,'[23]geoMap (20)'!$A:$C,3,0)</f>
        <v>#REF!</v>
      </c>
      <c r="W123" s="1" t="e">
        <f>V123/VLOOKUP(A123,'[24]geoMap (21)'!$A:$B,2,0)*VLOOKUP(A123,'[24]geoMap (21)'!$A:$C,3,0)</f>
        <v>#REF!</v>
      </c>
      <c r="X123" s="1" t="e">
        <f>W123/VLOOKUP(A123,'[25]geoMap (22)'!$A:$B,2,0)*VLOOKUP(A123,'[25]geoMap (22)'!$A:$C,3,0)</f>
        <v>#REF!</v>
      </c>
      <c r="Y123" s="1" t="e">
        <f>X123/VLOOKUP(A123,'[26]geoMap (23)'!$A:$B,2,0)*VLOOKUP(A123,'[26]geoMap (23)'!$A:$C,3,0)</f>
        <v>#REF!</v>
      </c>
      <c r="Z123" s="1" t="e">
        <f>Y123/VLOOKUP(A123,'[27]geoMap (24)'!$A:$B,2,0)*VLOOKUP(A123,'[27]geoMap (24)'!$A:$C,3,0)</f>
        <v>#REF!</v>
      </c>
      <c r="AA123" s="1" t="e">
        <f>Z123/VLOOKUP(A123,'[28]geoMap (25)'!$A:$B,2,0)*VLOOKUP(A123,'[28]geoMap (25)'!$A:$C,3,0)</f>
        <v>#REF!</v>
      </c>
      <c r="AB123" s="1" t="e">
        <f>AA123*VLOOKUP(A123,'[29]geoMap (26)'!$A:$B,2,0)*VLOOKUP(A123,'[29]geoMap (26)'!$A:$C,3,0)</f>
        <v>#REF!</v>
      </c>
      <c r="AC123" s="1" t="e">
        <f>AB123/VLOOKUP(A123,'[30]geoMap (27)'!$A:$B,2,0)*VLOOKUP(A123,'[30]geoMap (27)'!$A:$C,3,0)</f>
        <v>#REF!</v>
      </c>
      <c r="AD123" s="1" t="e">
        <f>AC123/VLOOKUP(A123,'[31]geoMap (28)'!$A:$B,2,0)*VLOOKUP(A123,'[31]geoMap (28)'!$A:$C,3,0)</f>
        <v>#REF!</v>
      </c>
      <c r="AE123" s="1" t="e">
        <f>AD123/VLOOKUP(A123,'[32]geoMap (29)'!$A:$B,2,0)*VLOOKUP(A123,'[32]geoMap (29)'!$A:$C,3,0)</f>
        <v>#REF!</v>
      </c>
      <c r="AF123" s="1" t="e">
        <f>AE123/VLOOKUP(A123,'[33]geoMap (30)'!$A:$B,2,0)*VLOOKUP(A123,'[33]geoMap (30)'!$A:$C,3,0)</f>
        <v>#REF!</v>
      </c>
      <c r="AG123" s="1" t="e">
        <f>AF123/VLOOKUP(A123,'[34]geoMap (31)'!$A:$B,2,0)*VLOOKUP(A123,'[34]geoMap (31)'!$A:$C,3,0)</f>
        <v>#REF!</v>
      </c>
      <c r="AH123" s="1" t="e">
        <f>AG123/VLOOKUP(A123,'[35]geoMap (32)'!$A:$B,2,0)*VLOOKUP(A123,'[35]geoMap (32)'!$A:$C,3,0)</f>
        <v>#REF!</v>
      </c>
      <c r="AI123" s="1" t="e">
        <f>AH123/VLOOKUP(A123,'[36]geoMap (33)'!$A:$B,2,0)*VLOOKUP(A123,'[36]geoMap (33)'!$A:$C,3,0)</f>
        <v>#REF!</v>
      </c>
      <c r="AJ123" s="1" t="e">
        <f>AI123/VLOOKUP(A123,'[37]geoMap (34)'!$A:$B,2,0)*VLOOKUP(A123,'[37]geoMap (34)'!$A:$C,3,0)</f>
        <v>#REF!</v>
      </c>
      <c r="AK123" s="1" t="e">
        <f>AJ123/VLOOKUP(A123,'[38]geoMap (35)'!$A:$B,2,0)*VLOOKUP(A123,'[38]geoMap (35)'!$A:$C,3,0)</f>
        <v>#REF!</v>
      </c>
      <c r="AL123" s="1" t="e">
        <f>AK123/VLOOKUP(A123,'[39]geoMap (36)'!$A:$B,2,0)*VLOOKUP(A123,'[39]geoMap (36)'!$A:$C,3,0)</f>
        <v>#REF!</v>
      </c>
      <c r="AM123" s="1" t="e">
        <f>AL123/VLOOKUP(A123,'[40]geoMap (37)'!$A:$B,2,0)*VLOOKUP(A123,'[40]geoMap (37)'!$A:$C,3,0)</f>
        <v>#REF!</v>
      </c>
      <c r="AN123" s="1" t="e">
        <f>AM123/VLOOKUP(A123,'[41]geoMap (38)'!$A:$B,2,0)*VLOOKUP(A123,'[41]geoMap (38)'!$A:$C,3,0)</f>
        <v>#REF!</v>
      </c>
      <c r="AO123" s="1" t="e">
        <f>AN123/VLOOKUP(A123,'[42]geoMap (39)'!$A:$B,2,0)*VLOOKUP(A123,'[42]geoMap (39)'!$A:$C,3,0)</f>
        <v>#REF!</v>
      </c>
      <c r="AP123" s="1" t="e">
        <f>AO123/VLOOKUP(A123,'[43]geoMap (40)'!$A:$B,2,0)*VLOOKUP(A123,'[43]geoMap (40)'!$A:$C,3,0)</f>
        <v>#REF!</v>
      </c>
      <c r="AQ123" s="1" t="e">
        <f>AP123/VLOOKUP(A123,'[44]geoMap (41)'!$A:$B,2,0)*VLOOKUP(A123,'[44]geoMap (41)'!$A:$C,3,0)</f>
        <v>#REF!</v>
      </c>
      <c r="AR123" s="1" t="e">
        <f>AQ123/VLOOKUP(A123,'[45]geoMap (42)'!$A:$B,2,0)*VLOOKUP(A123,'[45]geoMap (42)'!$A:$C,3,0)</f>
        <v>#REF!</v>
      </c>
      <c r="AS123" s="1" t="e">
        <f>AR123/VLOOKUP(A123,'[46]geoMap (43)'!$A:$B,2,0)*VLOOKUP(A123,'[46]geoMap (43)'!$A:$C,3,0)</f>
        <v>#REF!</v>
      </c>
      <c r="AT123" s="1" t="e">
        <f>AS123/VLOOKUP(A123,'[47]geoMap (44)'!$A:$B,2,0)*VLOOKUP(A123,'[47]geoMap (44)'!$A:$C,3,0)</f>
        <v>#REF!</v>
      </c>
      <c r="AU123" s="1" t="e">
        <f>AT123/VLOOKUP(A123,'[48]geoMap (45)'!$A:$B,2,0)*VLOOKUP(A123,'[48]geoMap (45)'!$A:$C,3,0)</f>
        <v>#REF!</v>
      </c>
      <c r="AV123" s="1" t="e">
        <f>AU123/VLOOKUP(A123,'[49]geoMap (46)'!$A:$B,2,0)*VLOOKUP(A123,'[49]geoMap (46)'!$A:$C,3,0)</f>
        <v>#REF!</v>
      </c>
      <c r="AW123" s="1" t="e">
        <f>AV123/VLOOKUP(A123,'[50]geoMap (47)'!$A:$B,2,0)*VLOOKUP(A123,'[50]geoMap (47)'!$A:$C,3,0)</f>
        <v>#REF!</v>
      </c>
      <c r="AX123" s="1" t="e">
        <f>AW123/VLOOKUP(A123,'[51]geoMap (48)'!$A:$B,2,0)*VLOOKUP(A123,'[51]geoMap (48)'!$A:$C,3,0)</f>
        <v>#REF!</v>
      </c>
      <c r="AY123" s="1" t="e">
        <f>AX123/VLOOKUP(A123,'[52]geoMap (49)'!$A:$B,2,0)*VLOOKUP(A123,'[52]geoMap (49)'!$A:$C,3,0)</f>
        <v>#REF!</v>
      </c>
      <c r="AZ123" s="1" t="e">
        <f>AY123/VLOOKUP(A123,'[53]geoMap (50)'!$A:$B,2,0)*VLOOKUP(A123,'[53]geoMap (50)'!$A:$C,3,0)</f>
        <v>#REF!</v>
      </c>
      <c r="BA123" s="1" t="e">
        <f>AZ123/VLOOKUP(A123,'[54]geoMap (51)'!$A:$B,2,0)*VLOOKUP(A123,'[54]geoMap (51)'!$A:$C,3,0)</f>
        <v>#REF!</v>
      </c>
      <c r="BB123" s="1" t="e">
        <f>BA123/VLOOKUP(A123,'[55]geoMap (52)'!$A:$B,2,0)*VLOOKUP(A123,'[55]geoMap (52)'!$A:$C,3,0)</f>
        <v>#REF!</v>
      </c>
      <c r="BC123" s="1" t="e">
        <f>BB123/VLOOKUP(A123,'[56]geoMap (53)'!$A:$B,2,0)*VLOOKUP(A123,'[56]geoMap (53)'!$A:$C,3,0)</f>
        <v>#REF!</v>
      </c>
      <c r="BD123" s="1" t="e">
        <f>BC123/VLOOKUP(A123,'[57]geoMap (54)'!$A:$B,2,0)*VLOOKUP(A123,'[57]geoMap (54)'!$A:$C,3,0)</f>
        <v>#REF!</v>
      </c>
      <c r="BE123" s="1" t="e">
        <f>BD123/VLOOKUP(A123,'[58]geoMap (55)'!$A:$B,2,0)*VLOOKUP(A123,'[58]geoMap (55)'!$A:$C,3,0)</f>
        <v>#REF!</v>
      </c>
      <c r="BF123" s="1" t="e">
        <f>BE123/VLOOKUP(A123,'[59]geoMap (56)'!$A:$B,2,0)*VLOOKUP(A123,'[59]geoMap (56)'!$A:$C,3,0)</f>
        <v>#REF!</v>
      </c>
      <c r="BG123" s="1" t="e">
        <f>BF123/VLOOKUP(A123,'[60]geoMap (57)'!$A:$B,2,0)*VLOOKUP(A123,'[60]geoMap (57)'!$A:$C,3,0)</f>
        <v>#REF!</v>
      </c>
      <c r="BH123" s="1" t="e">
        <f>BG123/VLOOKUP(A123,'[61]geoMap (58)'!$A:$B,2,0)*VLOOKUP(A123,'[61]geoMap (58)'!$A:$C,3,0)</f>
        <v>#REF!</v>
      </c>
      <c r="BI123" s="1" t="e">
        <f>BH123/VLOOKUP(A123,'[62]geoMap (59)'!$A:$B,2,0)*VLOOKUP(A123,'[62]geoMap (59)'!$A:$C,3,0)</f>
        <v>#REF!</v>
      </c>
      <c r="BJ123" s="1" t="e">
        <f>BI123/VLOOKUP(A123,'[63]geoMap (60)'!$A:$B,2,0)*VLOOKUP(A123,'[63]geoMap (60)'!$A:$C,3,0)</f>
        <v>#REF!</v>
      </c>
      <c r="BK123" s="1" t="e">
        <f>BJ123/VLOOKUP(A123,'[64]geoMap (61)'!$A:$B,2,0)*VLOOKUP(A123,'[64]geoMap (61)'!$A:$C,3,0)</f>
        <v>#REF!</v>
      </c>
      <c r="BL123" s="1" t="e">
        <f>BK123/VLOOKUP(A123,'[65]geoMap (62)'!$A:$B,2,0)*VLOOKUP(A123,'[65]geoMap (62)'!$A:$C,3,0)</f>
        <v>#REF!</v>
      </c>
      <c r="BM123" s="1" t="e">
        <f>BL123/VLOOKUP(A123,'[66]geoMap (63)'!$A:$B,2,0)*VLOOKUP(A123,'[66]geoMap (63)'!$A:$C,3,0)</f>
        <v>#REF!</v>
      </c>
      <c r="BN123" s="1" t="e">
        <f>BM123/VLOOKUP(A123,'[67]geoMap (64)'!$A:$B,2,0)*VLOOKUP(A123,'[67]geoMap (64)'!$A:$C,3,0)</f>
        <v>#REF!</v>
      </c>
      <c r="BO123" s="1" t="e">
        <f>BN123/VLOOKUP(A123,'[68]geoMap (65)'!$A:$B,2,0)*VLOOKUP(A123,'[68]geoMap (65)'!$A:$C,3,0)</f>
        <v>#REF!</v>
      </c>
      <c r="BP123" s="1" t="e">
        <f>BO123/VLOOKUP(A123,'[69]geoMap (66)'!$A:$B,2,0)*VLOOKUP(A123,'[69]geoMap (66)'!$A:$C,3,0)</f>
        <v>#REF!</v>
      </c>
    </row>
    <row r="124" spans="1:68" hidden="1" x14ac:dyDescent="0.2">
      <c r="A124" s="1" t="s">
        <v>82</v>
      </c>
      <c r="B124" s="1" t="e">
        <f>VLOOKUP(A124,[3]geoMap!$A:$B,2,0)*Notes!$C$6</f>
        <v>#REF!</v>
      </c>
      <c r="C124" s="1" t="e">
        <f>B124/VLOOKUP(A124,'[4]geoMap (1)'!$A:$B,2,0)*VLOOKUP(A124,'[4]geoMap (1)'!$A:$C,3,0)</f>
        <v>#REF!</v>
      </c>
      <c r="D124" s="1" t="e">
        <f>C124/VLOOKUP(A124,'[5]geoMap (2)'!$A:$B,2,0)*VLOOKUP(A124,'[5]geoMap (2)'!$A:$C,3,0)</f>
        <v>#REF!</v>
      </c>
      <c r="E124" s="1" t="e">
        <f>D124/VLOOKUP(A124,'[6]geoMap (3)'!$A:$B,2,0)*VLOOKUP(A124,'[6]geoMap (3)'!$A:$C,3,0)</f>
        <v>#REF!</v>
      </c>
      <c r="F124" s="1" t="e">
        <f>E124/VLOOKUP(A124,'[7]geoMap (4)'!$A:$B,2,0)*VLOOKUP(A124,'[7]geoMap (4)'!$A:$C,3,0)</f>
        <v>#REF!</v>
      </c>
      <c r="G124" s="1" t="e">
        <f>F124/VLOOKUP(A124,'[8]geoMap (5)'!$A:$B,2,0)*VLOOKUP(A124,'[8]geoMap (5)'!$A:$C,3,0)</f>
        <v>#REF!</v>
      </c>
      <c r="H124" s="1" t="e">
        <f>G124/VLOOKUP(A124,'[9]geoMap (6)'!$A:$B,2,0)*VLOOKUP(A124,'[9]geoMap (6)'!$A:$C,3,0)</f>
        <v>#REF!</v>
      </c>
      <c r="I124" s="1" t="e">
        <f>H124/VLOOKUP(A124,'[10]geoMap (7)'!$A:$B,2,0)*VLOOKUP(A124,'[10]geoMap (7)'!$A:$C,3,0)</f>
        <v>#REF!</v>
      </c>
      <c r="J124" s="1" t="e">
        <f>I124/VLOOKUP(A124,'[11]geoMap (8)'!$A:$B,2,0)*VLOOKUP(A124,'[11]geoMap (8)'!$A:$C,3,0)</f>
        <v>#REF!</v>
      </c>
      <c r="K124" s="1" t="e">
        <f>J124/VLOOKUP(A124,'[12]geoMap (9)'!$A:$B,2,0)*VLOOKUP(A124,'[12]geoMap (9)'!$A:$C,3,0)</f>
        <v>#REF!</v>
      </c>
      <c r="L124" s="1" t="e">
        <f>K124/VLOOKUP(A124,'[13]geoMap (10)'!$A:$B,2,0)*VLOOKUP(A124,'[13]geoMap (10)'!$A:$C,3,0)</f>
        <v>#REF!</v>
      </c>
      <c r="M124" s="1" t="e">
        <f>L124/VLOOKUP(A124,'[14]geoMap (11)'!$A:$B,2,0)*VLOOKUP(A124,'[14]geoMap (11)'!$A:$C,3,0)</f>
        <v>#REF!</v>
      </c>
      <c r="N124" s="1" t="e">
        <f>M124/VLOOKUP(A124,'[15]geoMap (12)'!$A:$B,2,0)*VLOOKUP(A124,'[15]geoMap (12)'!$A:$C,3,0)</f>
        <v>#REF!</v>
      </c>
      <c r="O124" s="1" t="e">
        <f>N124/VLOOKUP(A124,'[16]geoMap (13)'!$A:$B,2,0)*VLOOKUP(A124,'[16]geoMap (13)'!$A:$C,3,0)</f>
        <v>#REF!</v>
      </c>
      <c r="P124" s="1" t="e">
        <f>O124/VLOOKUP(A124,'[17]geoMap (14)'!$A:$B,2,0)*VLOOKUP(A124,'[17]geoMap (14)'!$A:$C,3,0)</f>
        <v>#REF!</v>
      </c>
      <c r="Q124" s="1" t="e">
        <f>P124/VLOOKUP(A124,'[18]geoMap (15)'!$A:$B,2,0)*VLOOKUP(A124,'[18]geoMap (15)'!$A:$C,3,0)</f>
        <v>#REF!</v>
      </c>
      <c r="R124" s="1" t="e">
        <f>Q124/VLOOKUP(A124,'[19]geoMap (16)'!$A:$B,2,0)*VLOOKUP(A124,'[19]geoMap (16)'!$A:$C,3,0)</f>
        <v>#REF!</v>
      </c>
      <c r="S124" s="1" t="e">
        <f>R124/VLOOKUP(A124,'[20]geoMap (17)'!$A:$B,2,0)*VLOOKUP(A124,'[20]geoMap (17)'!$A:$C,3,0)</f>
        <v>#REF!</v>
      </c>
      <c r="T124" s="1" t="e">
        <f>S124/VLOOKUP(A124,'[21]geoMap (18)'!$A:$B,2,0)*VLOOKUP(A124,'[21]geoMap (18)'!$A:$C,3,0)</f>
        <v>#REF!</v>
      </c>
      <c r="U124" s="1" t="e">
        <f>T124/VLOOKUP(A124,'[22]geoMap (19)'!$A:$B,2,0)*VLOOKUP(A124,'[22]geoMap (19)'!$A:$C,3,0)</f>
        <v>#REF!</v>
      </c>
      <c r="V124" s="1" t="e">
        <f>U124/VLOOKUP(A124,'[23]geoMap (20)'!$A:$B,2,0)*VLOOKUP(A124,'[23]geoMap (20)'!$A:$C,3,0)</f>
        <v>#REF!</v>
      </c>
      <c r="W124" s="1" t="e">
        <f>V124/VLOOKUP(A124,'[24]geoMap (21)'!$A:$B,2,0)*VLOOKUP(A124,'[24]geoMap (21)'!$A:$C,3,0)</f>
        <v>#REF!</v>
      </c>
      <c r="X124" s="1" t="e">
        <f>W124/VLOOKUP(A124,'[25]geoMap (22)'!$A:$B,2,0)*VLOOKUP(A124,'[25]geoMap (22)'!$A:$C,3,0)</f>
        <v>#REF!</v>
      </c>
      <c r="Y124" s="1" t="e">
        <f>X124/VLOOKUP(A124,'[26]geoMap (23)'!$A:$B,2,0)*VLOOKUP(A124,'[26]geoMap (23)'!$A:$C,3,0)</f>
        <v>#REF!</v>
      </c>
      <c r="Z124" s="1" t="e">
        <f>Y124/VLOOKUP(A124,'[27]geoMap (24)'!$A:$B,2,0)*VLOOKUP(A124,'[27]geoMap (24)'!$A:$C,3,0)</f>
        <v>#REF!</v>
      </c>
      <c r="AA124" s="1" t="e">
        <f>Z124/VLOOKUP(A124,'[28]geoMap (25)'!$A:$B,2,0)*VLOOKUP(A124,'[28]geoMap (25)'!$A:$C,3,0)</f>
        <v>#REF!</v>
      </c>
      <c r="AB124" s="1" t="e">
        <f>AA124*VLOOKUP(A124,'[29]geoMap (26)'!$A:$B,2,0)*VLOOKUP(A124,'[29]geoMap (26)'!$A:$C,3,0)</f>
        <v>#REF!</v>
      </c>
      <c r="AC124" s="1" t="e">
        <f>AB124/VLOOKUP(A124,'[30]geoMap (27)'!$A:$B,2,0)*VLOOKUP(A124,'[30]geoMap (27)'!$A:$C,3,0)</f>
        <v>#REF!</v>
      </c>
      <c r="AD124" s="1" t="e">
        <f>AC124/VLOOKUP(A124,'[31]geoMap (28)'!$A:$B,2,0)*VLOOKUP(A124,'[31]geoMap (28)'!$A:$C,3,0)</f>
        <v>#REF!</v>
      </c>
      <c r="AE124" s="1" t="e">
        <f>AD124/VLOOKUP(A124,'[32]geoMap (29)'!$A:$B,2,0)*VLOOKUP(A124,'[32]geoMap (29)'!$A:$C,3,0)</f>
        <v>#REF!</v>
      </c>
      <c r="AF124" s="1" t="e">
        <f>AE124/VLOOKUP(A124,'[33]geoMap (30)'!$A:$B,2,0)*VLOOKUP(A124,'[33]geoMap (30)'!$A:$C,3,0)</f>
        <v>#REF!</v>
      </c>
      <c r="AG124" s="1" t="e">
        <f>AF124/VLOOKUP(A124,'[34]geoMap (31)'!$A:$B,2,0)*VLOOKUP(A124,'[34]geoMap (31)'!$A:$C,3,0)</f>
        <v>#REF!</v>
      </c>
      <c r="AH124" s="1" t="e">
        <f>AG124/VLOOKUP(A124,'[35]geoMap (32)'!$A:$B,2,0)*VLOOKUP(A124,'[35]geoMap (32)'!$A:$C,3,0)</f>
        <v>#REF!</v>
      </c>
      <c r="AI124" s="1" t="e">
        <f>AH124/VLOOKUP(A124,'[36]geoMap (33)'!$A:$B,2,0)*VLOOKUP(A124,'[36]geoMap (33)'!$A:$C,3,0)</f>
        <v>#REF!</v>
      </c>
      <c r="AJ124" s="1" t="e">
        <f>AI124/VLOOKUP(A124,'[37]geoMap (34)'!$A:$B,2,0)*VLOOKUP(A124,'[37]geoMap (34)'!$A:$C,3,0)</f>
        <v>#REF!</v>
      </c>
      <c r="AK124" s="1" t="e">
        <f>AJ124/VLOOKUP(A124,'[38]geoMap (35)'!$A:$B,2,0)*VLOOKUP(A124,'[38]geoMap (35)'!$A:$C,3,0)</f>
        <v>#REF!</v>
      </c>
      <c r="AL124" s="1" t="e">
        <f>AK124/VLOOKUP(A124,'[39]geoMap (36)'!$A:$B,2,0)*VLOOKUP(A124,'[39]geoMap (36)'!$A:$C,3,0)</f>
        <v>#REF!</v>
      </c>
      <c r="AM124" s="1" t="e">
        <f>AL124/VLOOKUP(A124,'[40]geoMap (37)'!$A:$B,2,0)*VLOOKUP(A124,'[40]geoMap (37)'!$A:$C,3,0)</f>
        <v>#REF!</v>
      </c>
      <c r="AN124" s="1" t="e">
        <f>AM124/VLOOKUP(A124,'[41]geoMap (38)'!$A:$B,2,0)*VLOOKUP(A124,'[41]geoMap (38)'!$A:$C,3,0)</f>
        <v>#REF!</v>
      </c>
      <c r="AO124" s="1" t="e">
        <f>AN124/VLOOKUP(A124,'[42]geoMap (39)'!$A:$B,2,0)*VLOOKUP(A124,'[42]geoMap (39)'!$A:$C,3,0)</f>
        <v>#REF!</v>
      </c>
      <c r="AP124" s="1" t="e">
        <f>AO124/VLOOKUP(A124,'[43]geoMap (40)'!$A:$B,2,0)*VLOOKUP(A124,'[43]geoMap (40)'!$A:$C,3,0)</f>
        <v>#REF!</v>
      </c>
      <c r="AQ124" s="1" t="e">
        <f>AP124/VLOOKUP(A124,'[44]geoMap (41)'!$A:$B,2,0)*VLOOKUP(A124,'[44]geoMap (41)'!$A:$C,3,0)</f>
        <v>#REF!</v>
      </c>
      <c r="AR124" s="1" t="e">
        <f>AQ124/VLOOKUP(A124,'[45]geoMap (42)'!$A:$B,2,0)*VLOOKUP(A124,'[45]geoMap (42)'!$A:$C,3,0)</f>
        <v>#REF!</v>
      </c>
      <c r="AS124" s="1" t="e">
        <f>AR124/VLOOKUP(A124,'[46]geoMap (43)'!$A:$B,2,0)*VLOOKUP(A124,'[46]geoMap (43)'!$A:$C,3,0)</f>
        <v>#REF!</v>
      </c>
      <c r="AT124" s="1" t="e">
        <f>AS124/VLOOKUP(A124,'[47]geoMap (44)'!$A:$B,2,0)*VLOOKUP(A124,'[47]geoMap (44)'!$A:$C,3,0)</f>
        <v>#REF!</v>
      </c>
      <c r="AU124" s="1" t="e">
        <f>AT124/VLOOKUP(A124,'[48]geoMap (45)'!$A:$B,2,0)*VLOOKUP(A124,'[48]geoMap (45)'!$A:$C,3,0)</f>
        <v>#REF!</v>
      </c>
      <c r="AV124" s="1" t="e">
        <f>AU124/VLOOKUP(A124,'[49]geoMap (46)'!$A:$B,2,0)*VLOOKUP(A124,'[49]geoMap (46)'!$A:$C,3,0)</f>
        <v>#REF!</v>
      </c>
      <c r="AW124" s="1" t="e">
        <f>AV124/VLOOKUP(A124,'[50]geoMap (47)'!$A:$B,2,0)*VLOOKUP(A124,'[50]geoMap (47)'!$A:$C,3,0)</f>
        <v>#REF!</v>
      </c>
      <c r="AX124" s="1" t="e">
        <f>AW124/VLOOKUP(A124,'[51]geoMap (48)'!$A:$B,2,0)*VLOOKUP(A124,'[51]geoMap (48)'!$A:$C,3,0)</f>
        <v>#REF!</v>
      </c>
      <c r="AY124" s="1" t="e">
        <f>AX124/VLOOKUP(A124,'[52]geoMap (49)'!$A:$B,2,0)*VLOOKUP(A124,'[52]geoMap (49)'!$A:$C,3,0)</f>
        <v>#REF!</v>
      </c>
      <c r="AZ124" s="1" t="e">
        <f>AY124/VLOOKUP(A124,'[53]geoMap (50)'!$A:$B,2,0)*VLOOKUP(A124,'[53]geoMap (50)'!$A:$C,3,0)</f>
        <v>#REF!</v>
      </c>
      <c r="BA124" s="1" t="e">
        <f>AZ124/VLOOKUP(A124,'[54]geoMap (51)'!$A:$B,2,0)*VLOOKUP(A124,'[54]geoMap (51)'!$A:$C,3,0)</f>
        <v>#REF!</v>
      </c>
      <c r="BB124" s="1" t="e">
        <f>BA124/VLOOKUP(A124,'[55]geoMap (52)'!$A:$B,2,0)*VLOOKUP(A124,'[55]geoMap (52)'!$A:$C,3,0)</f>
        <v>#REF!</v>
      </c>
      <c r="BC124" s="1" t="e">
        <f>BB124/VLOOKUP(A124,'[56]geoMap (53)'!$A:$B,2,0)*VLOOKUP(A124,'[56]geoMap (53)'!$A:$C,3,0)</f>
        <v>#REF!</v>
      </c>
      <c r="BD124" s="1" t="e">
        <f>BC124/VLOOKUP(A124,'[57]geoMap (54)'!$A:$B,2,0)*VLOOKUP(A124,'[57]geoMap (54)'!$A:$C,3,0)</f>
        <v>#REF!</v>
      </c>
      <c r="BE124" s="1" t="e">
        <f>BD124/VLOOKUP(A124,'[58]geoMap (55)'!$A:$B,2,0)*VLOOKUP(A124,'[58]geoMap (55)'!$A:$C,3,0)</f>
        <v>#REF!</v>
      </c>
      <c r="BF124" s="1" t="e">
        <f>BE124/VLOOKUP(A124,'[59]geoMap (56)'!$A:$B,2,0)*VLOOKUP(A124,'[59]geoMap (56)'!$A:$C,3,0)</f>
        <v>#REF!</v>
      </c>
      <c r="BG124" s="1" t="e">
        <f>BF124/VLOOKUP(A124,'[60]geoMap (57)'!$A:$B,2,0)*VLOOKUP(A124,'[60]geoMap (57)'!$A:$C,3,0)</f>
        <v>#REF!</v>
      </c>
      <c r="BH124" s="1" t="e">
        <f>BG124/VLOOKUP(A124,'[61]geoMap (58)'!$A:$B,2,0)*VLOOKUP(A124,'[61]geoMap (58)'!$A:$C,3,0)</f>
        <v>#REF!</v>
      </c>
      <c r="BI124" s="1" t="e">
        <f>BH124/VLOOKUP(A124,'[62]geoMap (59)'!$A:$B,2,0)*VLOOKUP(A124,'[62]geoMap (59)'!$A:$C,3,0)</f>
        <v>#REF!</v>
      </c>
      <c r="BJ124" s="1" t="e">
        <f>BI124/VLOOKUP(A124,'[63]geoMap (60)'!$A:$B,2,0)*VLOOKUP(A124,'[63]geoMap (60)'!$A:$C,3,0)</f>
        <v>#REF!</v>
      </c>
      <c r="BK124" s="1" t="e">
        <f>BJ124/VLOOKUP(A124,'[64]geoMap (61)'!$A:$B,2,0)*VLOOKUP(A124,'[64]geoMap (61)'!$A:$C,3,0)</f>
        <v>#REF!</v>
      </c>
      <c r="BL124" s="1" t="e">
        <f>BK124/VLOOKUP(A124,'[65]geoMap (62)'!$A:$B,2,0)*VLOOKUP(A124,'[65]geoMap (62)'!$A:$C,3,0)</f>
        <v>#REF!</v>
      </c>
      <c r="BM124" s="1" t="e">
        <f>BL124/VLOOKUP(A124,'[66]geoMap (63)'!$A:$B,2,0)*VLOOKUP(A124,'[66]geoMap (63)'!$A:$C,3,0)</f>
        <v>#REF!</v>
      </c>
      <c r="BN124" s="1" t="e">
        <f>BM124/VLOOKUP(A124,'[67]geoMap (64)'!$A:$B,2,0)*VLOOKUP(A124,'[67]geoMap (64)'!$A:$C,3,0)</f>
        <v>#REF!</v>
      </c>
      <c r="BO124" s="1" t="e">
        <f>BN124/VLOOKUP(A124,'[68]geoMap (65)'!$A:$B,2,0)*VLOOKUP(A124,'[68]geoMap (65)'!$A:$C,3,0)</f>
        <v>#REF!</v>
      </c>
      <c r="BP124" s="1" t="e">
        <f>BO124/VLOOKUP(A124,'[69]geoMap (66)'!$A:$B,2,0)*VLOOKUP(A124,'[69]geoMap (66)'!$A:$C,3,0)</f>
        <v>#REF!</v>
      </c>
    </row>
    <row r="125" spans="1:68" hidden="1" x14ac:dyDescent="0.2">
      <c r="A125" s="1" t="s">
        <v>83</v>
      </c>
      <c r="B125" s="1" t="e">
        <f>VLOOKUP(A125,[3]geoMap!$A:$B,2,0)*Notes!$C$6</f>
        <v>#REF!</v>
      </c>
      <c r="C125" s="1" t="e">
        <f>B125/VLOOKUP(A125,'[4]geoMap (1)'!$A:$B,2,0)*VLOOKUP(A125,'[4]geoMap (1)'!$A:$C,3,0)</f>
        <v>#REF!</v>
      </c>
      <c r="D125" s="1" t="e">
        <f>C125/VLOOKUP(A125,'[5]geoMap (2)'!$A:$B,2,0)*VLOOKUP(A125,'[5]geoMap (2)'!$A:$C,3,0)</f>
        <v>#REF!</v>
      </c>
      <c r="E125" s="1" t="e">
        <f>D125/VLOOKUP(A125,'[6]geoMap (3)'!$A:$B,2,0)*VLOOKUP(A125,'[6]geoMap (3)'!$A:$C,3,0)</f>
        <v>#REF!</v>
      </c>
      <c r="F125" s="1" t="e">
        <f>E125/VLOOKUP(A125,'[7]geoMap (4)'!$A:$B,2,0)*VLOOKUP(A125,'[7]geoMap (4)'!$A:$C,3,0)</f>
        <v>#REF!</v>
      </c>
      <c r="G125" s="1" t="e">
        <f>F125/VLOOKUP(A125,'[8]geoMap (5)'!$A:$B,2,0)*VLOOKUP(A125,'[8]geoMap (5)'!$A:$C,3,0)</f>
        <v>#REF!</v>
      </c>
      <c r="H125" s="1" t="e">
        <f>G125/VLOOKUP(A125,'[9]geoMap (6)'!$A:$B,2,0)*VLOOKUP(A125,'[9]geoMap (6)'!$A:$C,3,0)</f>
        <v>#REF!</v>
      </c>
      <c r="I125" s="1" t="e">
        <f>H125/VLOOKUP(A125,'[10]geoMap (7)'!$A:$B,2,0)*VLOOKUP(A125,'[10]geoMap (7)'!$A:$C,3,0)</f>
        <v>#REF!</v>
      </c>
      <c r="J125" s="1" t="e">
        <f>I125/VLOOKUP(A125,'[11]geoMap (8)'!$A:$B,2,0)*VLOOKUP(A125,'[11]geoMap (8)'!$A:$C,3,0)</f>
        <v>#REF!</v>
      </c>
      <c r="K125" s="1" t="e">
        <f>J125/VLOOKUP(A125,'[12]geoMap (9)'!$A:$B,2,0)*VLOOKUP(A125,'[12]geoMap (9)'!$A:$C,3,0)</f>
        <v>#REF!</v>
      </c>
      <c r="L125" s="1" t="e">
        <f>K125/VLOOKUP(A125,'[13]geoMap (10)'!$A:$B,2,0)*VLOOKUP(A125,'[13]geoMap (10)'!$A:$C,3,0)</f>
        <v>#REF!</v>
      </c>
      <c r="M125" s="1" t="e">
        <f>L125/VLOOKUP(A125,'[14]geoMap (11)'!$A:$B,2,0)*VLOOKUP(A125,'[14]geoMap (11)'!$A:$C,3,0)</f>
        <v>#REF!</v>
      </c>
      <c r="N125" s="1" t="e">
        <f>M125/VLOOKUP(A125,'[15]geoMap (12)'!$A:$B,2,0)*VLOOKUP(A125,'[15]geoMap (12)'!$A:$C,3,0)</f>
        <v>#REF!</v>
      </c>
      <c r="O125" s="1" t="e">
        <f>N125/VLOOKUP(A125,'[16]geoMap (13)'!$A:$B,2,0)*VLOOKUP(A125,'[16]geoMap (13)'!$A:$C,3,0)</f>
        <v>#REF!</v>
      </c>
      <c r="P125" s="1" t="e">
        <f>O125/VLOOKUP(A125,'[17]geoMap (14)'!$A:$B,2,0)*VLOOKUP(A125,'[17]geoMap (14)'!$A:$C,3,0)</f>
        <v>#REF!</v>
      </c>
      <c r="Q125" s="1" t="e">
        <f>P125/VLOOKUP(A125,'[18]geoMap (15)'!$A:$B,2,0)*VLOOKUP(A125,'[18]geoMap (15)'!$A:$C,3,0)</f>
        <v>#REF!</v>
      </c>
      <c r="R125" s="1" t="e">
        <f>Q125/VLOOKUP(A125,'[19]geoMap (16)'!$A:$B,2,0)*VLOOKUP(A125,'[19]geoMap (16)'!$A:$C,3,0)</f>
        <v>#REF!</v>
      </c>
      <c r="S125" s="1" t="e">
        <f>R125/VLOOKUP(A125,'[20]geoMap (17)'!$A:$B,2,0)*VLOOKUP(A125,'[20]geoMap (17)'!$A:$C,3,0)</f>
        <v>#REF!</v>
      </c>
      <c r="T125" s="1" t="e">
        <f>S125/VLOOKUP(A125,'[21]geoMap (18)'!$A:$B,2,0)*VLOOKUP(A125,'[21]geoMap (18)'!$A:$C,3,0)</f>
        <v>#REF!</v>
      </c>
      <c r="U125" s="1" t="e">
        <f>T125/VLOOKUP(A125,'[22]geoMap (19)'!$A:$B,2,0)*VLOOKUP(A125,'[22]geoMap (19)'!$A:$C,3,0)</f>
        <v>#REF!</v>
      </c>
      <c r="V125" s="1" t="e">
        <f>U125/VLOOKUP(A125,'[23]geoMap (20)'!$A:$B,2,0)*VLOOKUP(A125,'[23]geoMap (20)'!$A:$C,3,0)</f>
        <v>#REF!</v>
      </c>
      <c r="W125" s="1" t="e">
        <f>V125/VLOOKUP(A125,'[24]geoMap (21)'!$A:$B,2,0)*VLOOKUP(A125,'[24]geoMap (21)'!$A:$C,3,0)</f>
        <v>#REF!</v>
      </c>
      <c r="X125" s="1" t="e">
        <f>W125/VLOOKUP(A125,'[25]geoMap (22)'!$A:$B,2,0)*VLOOKUP(A125,'[25]geoMap (22)'!$A:$C,3,0)</f>
        <v>#REF!</v>
      </c>
      <c r="Y125" s="1" t="e">
        <f>X125/VLOOKUP(A125,'[26]geoMap (23)'!$A:$B,2,0)*VLOOKUP(A125,'[26]geoMap (23)'!$A:$C,3,0)</f>
        <v>#REF!</v>
      </c>
      <c r="Z125" s="1" t="e">
        <f>Y125/VLOOKUP(A125,'[27]geoMap (24)'!$A:$B,2,0)*VLOOKUP(A125,'[27]geoMap (24)'!$A:$C,3,0)</f>
        <v>#REF!</v>
      </c>
      <c r="AA125" s="1" t="e">
        <f>Z125/VLOOKUP(A125,'[28]geoMap (25)'!$A:$B,2,0)*VLOOKUP(A125,'[28]geoMap (25)'!$A:$C,3,0)</f>
        <v>#REF!</v>
      </c>
      <c r="AB125" s="1" t="e">
        <f>AA125*VLOOKUP(A125,'[29]geoMap (26)'!$A:$B,2,0)*VLOOKUP(A125,'[29]geoMap (26)'!$A:$C,3,0)</f>
        <v>#REF!</v>
      </c>
      <c r="AC125" s="1" t="e">
        <f>AB125/VLOOKUP(A125,'[30]geoMap (27)'!$A:$B,2,0)*VLOOKUP(A125,'[30]geoMap (27)'!$A:$C,3,0)</f>
        <v>#REF!</v>
      </c>
      <c r="AD125" s="1" t="e">
        <f>AC125/VLOOKUP(A125,'[31]geoMap (28)'!$A:$B,2,0)*VLOOKUP(A125,'[31]geoMap (28)'!$A:$C,3,0)</f>
        <v>#REF!</v>
      </c>
      <c r="AE125" s="1" t="e">
        <f>AD125/VLOOKUP(A125,'[32]geoMap (29)'!$A:$B,2,0)*VLOOKUP(A125,'[32]geoMap (29)'!$A:$C,3,0)</f>
        <v>#REF!</v>
      </c>
      <c r="AF125" s="1" t="e">
        <f>AE125/VLOOKUP(A125,'[33]geoMap (30)'!$A:$B,2,0)*VLOOKUP(A125,'[33]geoMap (30)'!$A:$C,3,0)</f>
        <v>#REF!</v>
      </c>
      <c r="AG125" s="1" t="e">
        <f>AF125/VLOOKUP(A125,'[34]geoMap (31)'!$A:$B,2,0)*VLOOKUP(A125,'[34]geoMap (31)'!$A:$C,3,0)</f>
        <v>#REF!</v>
      </c>
      <c r="AH125" s="1" t="e">
        <f>AG125/VLOOKUP(A125,'[35]geoMap (32)'!$A:$B,2,0)*VLOOKUP(A125,'[35]geoMap (32)'!$A:$C,3,0)</f>
        <v>#REF!</v>
      </c>
      <c r="AI125" s="1" t="e">
        <f>AH125/VLOOKUP(A125,'[36]geoMap (33)'!$A:$B,2,0)*VLOOKUP(A125,'[36]geoMap (33)'!$A:$C,3,0)</f>
        <v>#REF!</v>
      </c>
      <c r="AJ125" s="1" t="e">
        <f>AI125/VLOOKUP(A125,'[37]geoMap (34)'!$A:$B,2,0)*VLOOKUP(A125,'[37]geoMap (34)'!$A:$C,3,0)</f>
        <v>#REF!</v>
      </c>
      <c r="AK125" s="1" t="e">
        <f>AJ125/VLOOKUP(A125,'[38]geoMap (35)'!$A:$B,2,0)*VLOOKUP(A125,'[38]geoMap (35)'!$A:$C,3,0)</f>
        <v>#REF!</v>
      </c>
      <c r="AL125" s="1" t="e">
        <f>AK125/VLOOKUP(A125,'[39]geoMap (36)'!$A:$B,2,0)*VLOOKUP(A125,'[39]geoMap (36)'!$A:$C,3,0)</f>
        <v>#REF!</v>
      </c>
      <c r="AM125" s="1" t="e">
        <f>AL125/VLOOKUP(A125,'[40]geoMap (37)'!$A:$B,2,0)*VLOOKUP(A125,'[40]geoMap (37)'!$A:$C,3,0)</f>
        <v>#REF!</v>
      </c>
      <c r="AN125" s="1" t="e">
        <f>AM125/VLOOKUP(A125,'[41]geoMap (38)'!$A:$B,2,0)*VLOOKUP(A125,'[41]geoMap (38)'!$A:$C,3,0)</f>
        <v>#REF!</v>
      </c>
      <c r="AO125" s="1" t="e">
        <f>AN125/VLOOKUP(A125,'[42]geoMap (39)'!$A:$B,2,0)*VLOOKUP(A125,'[42]geoMap (39)'!$A:$C,3,0)</f>
        <v>#REF!</v>
      </c>
      <c r="AP125" s="1" t="e">
        <f>AO125/VLOOKUP(A125,'[43]geoMap (40)'!$A:$B,2,0)*VLOOKUP(A125,'[43]geoMap (40)'!$A:$C,3,0)</f>
        <v>#REF!</v>
      </c>
      <c r="AQ125" s="1" t="e">
        <f>AP125/VLOOKUP(A125,'[44]geoMap (41)'!$A:$B,2,0)*VLOOKUP(A125,'[44]geoMap (41)'!$A:$C,3,0)</f>
        <v>#REF!</v>
      </c>
      <c r="AR125" s="1" t="e">
        <f>AQ125/VLOOKUP(A125,'[45]geoMap (42)'!$A:$B,2,0)*VLOOKUP(A125,'[45]geoMap (42)'!$A:$C,3,0)</f>
        <v>#REF!</v>
      </c>
      <c r="AS125" s="1" t="e">
        <f>AR125/VLOOKUP(A125,'[46]geoMap (43)'!$A:$B,2,0)*VLOOKUP(A125,'[46]geoMap (43)'!$A:$C,3,0)</f>
        <v>#REF!</v>
      </c>
      <c r="AT125" s="1" t="e">
        <f>AS125/VLOOKUP(A125,'[47]geoMap (44)'!$A:$B,2,0)*VLOOKUP(A125,'[47]geoMap (44)'!$A:$C,3,0)</f>
        <v>#REF!</v>
      </c>
      <c r="AU125" s="1" t="e">
        <f>AT125/VLOOKUP(A125,'[48]geoMap (45)'!$A:$B,2,0)*VLOOKUP(A125,'[48]geoMap (45)'!$A:$C,3,0)</f>
        <v>#REF!</v>
      </c>
      <c r="AV125" s="1" t="e">
        <f>AU125/VLOOKUP(A125,'[49]geoMap (46)'!$A:$B,2,0)*VLOOKUP(A125,'[49]geoMap (46)'!$A:$C,3,0)</f>
        <v>#REF!</v>
      </c>
      <c r="AW125" s="1" t="e">
        <f>AV125/VLOOKUP(A125,'[50]geoMap (47)'!$A:$B,2,0)*VLOOKUP(A125,'[50]geoMap (47)'!$A:$C,3,0)</f>
        <v>#REF!</v>
      </c>
      <c r="AX125" s="1" t="e">
        <f>AW125/VLOOKUP(A125,'[51]geoMap (48)'!$A:$B,2,0)*VLOOKUP(A125,'[51]geoMap (48)'!$A:$C,3,0)</f>
        <v>#REF!</v>
      </c>
      <c r="AY125" s="1" t="e">
        <f>AX125/VLOOKUP(A125,'[52]geoMap (49)'!$A:$B,2,0)*VLOOKUP(A125,'[52]geoMap (49)'!$A:$C,3,0)</f>
        <v>#REF!</v>
      </c>
      <c r="AZ125" s="1" t="e">
        <f>AY125/VLOOKUP(A125,'[53]geoMap (50)'!$A:$B,2,0)*VLOOKUP(A125,'[53]geoMap (50)'!$A:$C,3,0)</f>
        <v>#REF!</v>
      </c>
      <c r="BA125" s="1" t="e">
        <f>AZ125/VLOOKUP(A125,'[54]geoMap (51)'!$A:$B,2,0)*VLOOKUP(A125,'[54]geoMap (51)'!$A:$C,3,0)</f>
        <v>#REF!</v>
      </c>
      <c r="BB125" s="1" t="e">
        <f>BA125/VLOOKUP(A125,'[55]geoMap (52)'!$A:$B,2,0)*VLOOKUP(A125,'[55]geoMap (52)'!$A:$C,3,0)</f>
        <v>#REF!</v>
      </c>
      <c r="BC125" s="1" t="e">
        <f>BB125/VLOOKUP(A125,'[56]geoMap (53)'!$A:$B,2,0)*VLOOKUP(A125,'[56]geoMap (53)'!$A:$C,3,0)</f>
        <v>#REF!</v>
      </c>
      <c r="BD125" s="1" t="e">
        <f>BC125/VLOOKUP(A125,'[57]geoMap (54)'!$A:$B,2,0)*VLOOKUP(A125,'[57]geoMap (54)'!$A:$C,3,0)</f>
        <v>#REF!</v>
      </c>
      <c r="BE125" s="1" t="e">
        <f>BD125/VLOOKUP(A125,'[58]geoMap (55)'!$A:$B,2,0)*VLOOKUP(A125,'[58]geoMap (55)'!$A:$C,3,0)</f>
        <v>#REF!</v>
      </c>
      <c r="BF125" s="1" t="e">
        <f>BE125/VLOOKUP(A125,'[59]geoMap (56)'!$A:$B,2,0)*VLOOKUP(A125,'[59]geoMap (56)'!$A:$C,3,0)</f>
        <v>#REF!</v>
      </c>
      <c r="BG125" s="1" t="e">
        <f>BF125/VLOOKUP(A125,'[60]geoMap (57)'!$A:$B,2,0)*VLOOKUP(A125,'[60]geoMap (57)'!$A:$C,3,0)</f>
        <v>#REF!</v>
      </c>
      <c r="BH125" s="1" t="e">
        <f>BG125/VLOOKUP(A125,'[61]geoMap (58)'!$A:$B,2,0)*VLOOKUP(A125,'[61]geoMap (58)'!$A:$C,3,0)</f>
        <v>#REF!</v>
      </c>
      <c r="BI125" s="1" t="e">
        <f>BH125/VLOOKUP(A125,'[62]geoMap (59)'!$A:$B,2,0)*VLOOKUP(A125,'[62]geoMap (59)'!$A:$C,3,0)</f>
        <v>#REF!</v>
      </c>
      <c r="BJ125" s="1" t="e">
        <f>BI125/VLOOKUP(A125,'[63]geoMap (60)'!$A:$B,2,0)*VLOOKUP(A125,'[63]geoMap (60)'!$A:$C,3,0)</f>
        <v>#REF!</v>
      </c>
      <c r="BK125" s="1" t="e">
        <f>BJ125/VLOOKUP(A125,'[64]geoMap (61)'!$A:$B,2,0)*VLOOKUP(A125,'[64]geoMap (61)'!$A:$C,3,0)</f>
        <v>#REF!</v>
      </c>
      <c r="BL125" s="1" t="e">
        <f>BK125/VLOOKUP(A125,'[65]geoMap (62)'!$A:$B,2,0)*VLOOKUP(A125,'[65]geoMap (62)'!$A:$C,3,0)</f>
        <v>#REF!</v>
      </c>
      <c r="BM125" s="1" t="e">
        <f>BL125/VLOOKUP(A125,'[66]geoMap (63)'!$A:$B,2,0)*VLOOKUP(A125,'[66]geoMap (63)'!$A:$C,3,0)</f>
        <v>#REF!</v>
      </c>
      <c r="BN125" s="1" t="e">
        <f>BM125/VLOOKUP(A125,'[67]geoMap (64)'!$A:$B,2,0)*VLOOKUP(A125,'[67]geoMap (64)'!$A:$C,3,0)</f>
        <v>#REF!</v>
      </c>
      <c r="BO125" s="1" t="e">
        <f>BN125/VLOOKUP(A125,'[68]geoMap (65)'!$A:$B,2,0)*VLOOKUP(A125,'[68]geoMap (65)'!$A:$C,3,0)</f>
        <v>#REF!</v>
      </c>
      <c r="BP125" s="1" t="e">
        <f>BO125/VLOOKUP(A125,'[69]geoMap (66)'!$A:$B,2,0)*VLOOKUP(A125,'[69]geoMap (66)'!$A:$C,3,0)</f>
        <v>#REF!</v>
      </c>
    </row>
    <row r="126" spans="1:68" hidden="1" x14ac:dyDescent="0.2">
      <c r="A126" s="1" t="s">
        <v>84</v>
      </c>
      <c r="B126" s="1" t="e">
        <f>VLOOKUP(A126,[3]geoMap!$A:$B,2,0)*Notes!$C$6</f>
        <v>#REF!</v>
      </c>
      <c r="C126" s="1" t="e">
        <f>B126/VLOOKUP(A126,'[4]geoMap (1)'!$A:$B,2,0)*VLOOKUP(A126,'[4]geoMap (1)'!$A:$C,3,0)</f>
        <v>#REF!</v>
      </c>
      <c r="D126" s="1" t="e">
        <f>C126/VLOOKUP(A126,'[5]geoMap (2)'!$A:$B,2,0)*VLOOKUP(A126,'[5]geoMap (2)'!$A:$C,3,0)</f>
        <v>#REF!</v>
      </c>
      <c r="E126" s="1" t="e">
        <f>D126/VLOOKUP(A126,'[6]geoMap (3)'!$A:$B,2,0)*VLOOKUP(A126,'[6]geoMap (3)'!$A:$C,3,0)</f>
        <v>#REF!</v>
      </c>
      <c r="F126" s="1" t="e">
        <f>E126/VLOOKUP(A126,'[7]geoMap (4)'!$A:$B,2,0)*VLOOKUP(A126,'[7]geoMap (4)'!$A:$C,3,0)</f>
        <v>#REF!</v>
      </c>
      <c r="G126" s="1" t="e">
        <f>F126/VLOOKUP(A126,'[8]geoMap (5)'!$A:$B,2,0)*VLOOKUP(A126,'[8]geoMap (5)'!$A:$C,3,0)</f>
        <v>#REF!</v>
      </c>
      <c r="H126" s="1" t="e">
        <f>G126/VLOOKUP(A126,'[9]geoMap (6)'!$A:$B,2,0)*VLOOKUP(A126,'[9]geoMap (6)'!$A:$C,3,0)</f>
        <v>#REF!</v>
      </c>
      <c r="I126" s="1" t="e">
        <f>H126/VLOOKUP(A126,'[10]geoMap (7)'!$A:$B,2,0)*VLOOKUP(A126,'[10]geoMap (7)'!$A:$C,3,0)</f>
        <v>#REF!</v>
      </c>
      <c r="J126" s="1" t="e">
        <f>I126/VLOOKUP(A126,'[11]geoMap (8)'!$A:$B,2,0)*VLOOKUP(A126,'[11]geoMap (8)'!$A:$C,3,0)</f>
        <v>#REF!</v>
      </c>
      <c r="K126" s="1" t="e">
        <f>J126/VLOOKUP(A126,'[12]geoMap (9)'!$A:$B,2,0)*VLOOKUP(A126,'[12]geoMap (9)'!$A:$C,3,0)</f>
        <v>#REF!</v>
      </c>
      <c r="L126" s="1" t="e">
        <f>K126/VLOOKUP(A126,'[13]geoMap (10)'!$A:$B,2,0)*VLOOKUP(A126,'[13]geoMap (10)'!$A:$C,3,0)</f>
        <v>#REF!</v>
      </c>
      <c r="M126" s="1" t="e">
        <f>L126/VLOOKUP(A126,'[14]geoMap (11)'!$A:$B,2,0)*VLOOKUP(A126,'[14]geoMap (11)'!$A:$C,3,0)</f>
        <v>#REF!</v>
      </c>
      <c r="N126" s="1" t="e">
        <f>M126/VLOOKUP(A126,'[15]geoMap (12)'!$A:$B,2,0)*VLOOKUP(A126,'[15]geoMap (12)'!$A:$C,3,0)</f>
        <v>#REF!</v>
      </c>
      <c r="O126" s="1" t="e">
        <f>N126/VLOOKUP(A126,'[16]geoMap (13)'!$A:$B,2,0)*VLOOKUP(A126,'[16]geoMap (13)'!$A:$C,3,0)</f>
        <v>#REF!</v>
      </c>
      <c r="P126" s="1" t="e">
        <f>O126/VLOOKUP(A126,'[17]geoMap (14)'!$A:$B,2,0)*VLOOKUP(A126,'[17]geoMap (14)'!$A:$C,3,0)</f>
        <v>#REF!</v>
      </c>
      <c r="Q126" s="1" t="e">
        <f>P126/VLOOKUP(A126,'[18]geoMap (15)'!$A:$B,2,0)*VLOOKUP(A126,'[18]geoMap (15)'!$A:$C,3,0)</f>
        <v>#REF!</v>
      </c>
      <c r="R126" s="1" t="e">
        <f>Q126/VLOOKUP(A126,'[19]geoMap (16)'!$A:$B,2,0)*VLOOKUP(A126,'[19]geoMap (16)'!$A:$C,3,0)</f>
        <v>#REF!</v>
      </c>
      <c r="S126" s="1" t="e">
        <f>R126/VLOOKUP(A126,'[20]geoMap (17)'!$A:$B,2,0)*VLOOKUP(A126,'[20]geoMap (17)'!$A:$C,3,0)</f>
        <v>#REF!</v>
      </c>
      <c r="T126" s="1" t="e">
        <f>S126/VLOOKUP(A126,'[21]geoMap (18)'!$A:$B,2,0)*VLOOKUP(A126,'[21]geoMap (18)'!$A:$C,3,0)</f>
        <v>#REF!</v>
      </c>
      <c r="U126" s="1" t="e">
        <f>T126/VLOOKUP(A126,'[22]geoMap (19)'!$A:$B,2,0)*VLOOKUP(A126,'[22]geoMap (19)'!$A:$C,3,0)</f>
        <v>#REF!</v>
      </c>
      <c r="V126" s="1" t="e">
        <f>U126/VLOOKUP(A126,'[23]geoMap (20)'!$A:$B,2,0)*VLOOKUP(A126,'[23]geoMap (20)'!$A:$C,3,0)</f>
        <v>#REF!</v>
      </c>
      <c r="W126" s="1" t="e">
        <f>V126/VLOOKUP(A126,'[24]geoMap (21)'!$A:$B,2,0)*VLOOKUP(A126,'[24]geoMap (21)'!$A:$C,3,0)</f>
        <v>#REF!</v>
      </c>
      <c r="X126" s="1" t="e">
        <f>W126/VLOOKUP(A126,'[25]geoMap (22)'!$A:$B,2,0)*VLOOKUP(A126,'[25]geoMap (22)'!$A:$C,3,0)</f>
        <v>#REF!</v>
      </c>
      <c r="Y126" s="1" t="e">
        <f>X126/VLOOKUP(A126,'[26]geoMap (23)'!$A:$B,2,0)*VLOOKUP(A126,'[26]geoMap (23)'!$A:$C,3,0)</f>
        <v>#REF!</v>
      </c>
      <c r="Z126" s="1" t="e">
        <f>Y126/VLOOKUP(A126,'[27]geoMap (24)'!$A:$B,2,0)*VLOOKUP(A126,'[27]geoMap (24)'!$A:$C,3,0)</f>
        <v>#REF!</v>
      </c>
      <c r="AA126" s="1" t="e">
        <f>Z126/VLOOKUP(A126,'[28]geoMap (25)'!$A:$B,2,0)*VLOOKUP(A126,'[28]geoMap (25)'!$A:$C,3,0)</f>
        <v>#REF!</v>
      </c>
      <c r="AB126" s="1" t="e">
        <f>AA126*VLOOKUP(A126,'[29]geoMap (26)'!$A:$B,2,0)*VLOOKUP(A126,'[29]geoMap (26)'!$A:$C,3,0)</f>
        <v>#REF!</v>
      </c>
      <c r="AC126" s="1" t="e">
        <f>AB126/VLOOKUP(A126,'[30]geoMap (27)'!$A:$B,2,0)*VLOOKUP(A126,'[30]geoMap (27)'!$A:$C,3,0)</f>
        <v>#REF!</v>
      </c>
      <c r="AD126" s="1" t="e">
        <f>AC126/VLOOKUP(A126,'[31]geoMap (28)'!$A:$B,2,0)*VLOOKUP(A126,'[31]geoMap (28)'!$A:$C,3,0)</f>
        <v>#REF!</v>
      </c>
      <c r="AE126" s="1" t="e">
        <f>AD126/VLOOKUP(A126,'[32]geoMap (29)'!$A:$B,2,0)*VLOOKUP(A126,'[32]geoMap (29)'!$A:$C,3,0)</f>
        <v>#REF!</v>
      </c>
      <c r="AF126" s="1" t="e">
        <f>AE126/VLOOKUP(A126,'[33]geoMap (30)'!$A:$B,2,0)*VLOOKUP(A126,'[33]geoMap (30)'!$A:$C,3,0)</f>
        <v>#REF!</v>
      </c>
      <c r="AG126" s="1" t="e">
        <f>AF126/VLOOKUP(A126,'[34]geoMap (31)'!$A:$B,2,0)*VLOOKUP(A126,'[34]geoMap (31)'!$A:$C,3,0)</f>
        <v>#REF!</v>
      </c>
      <c r="AH126" s="1" t="e">
        <f>AG126/VLOOKUP(A126,'[35]geoMap (32)'!$A:$B,2,0)*VLOOKUP(A126,'[35]geoMap (32)'!$A:$C,3,0)</f>
        <v>#REF!</v>
      </c>
      <c r="AI126" s="1" t="e">
        <f>AH126/VLOOKUP(A126,'[36]geoMap (33)'!$A:$B,2,0)*VLOOKUP(A126,'[36]geoMap (33)'!$A:$C,3,0)</f>
        <v>#REF!</v>
      </c>
      <c r="AJ126" s="1" t="e">
        <f>AI126/VLOOKUP(A126,'[37]geoMap (34)'!$A:$B,2,0)*VLOOKUP(A126,'[37]geoMap (34)'!$A:$C,3,0)</f>
        <v>#REF!</v>
      </c>
      <c r="AK126" s="1" t="e">
        <f>AJ126/VLOOKUP(A126,'[38]geoMap (35)'!$A:$B,2,0)*VLOOKUP(A126,'[38]geoMap (35)'!$A:$C,3,0)</f>
        <v>#REF!</v>
      </c>
      <c r="AL126" s="1" t="e">
        <f>AK126/VLOOKUP(A126,'[39]geoMap (36)'!$A:$B,2,0)*VLOOKUP(A126,'[39]geoMap (36)'!$A:$C,3,0)</f>
        <v>#REF!</v>
      </c>
      <c r="AM126" s="1" t="e">
        <f>AL126/VLOOKUP(A126,'[40]geoMap (37)'!$A:$B,2,0)*VLOOKUP(A126,'[40]geoMap (37)'!$A:$C,3,0)</f>
        <v>#REF!</v>
      </c>
      <c r="AN126" s="1" t="e">
        <f>AM126/VLOOKUP(A126,'[41]geoMap (38)'!$A:$B,2,0)*VLOOKUP(A126,'[41]geoMap (38)'!$A:$C,3,0)</f>
        <v>#REF!</v>
      </c>
      <c r="AO126" s="1" t="e">
        <f>AN126/VLOOKUP(A126,'[42]geoMap (39)'!$A:$B,2,0)*VLOOKUP(A126,'[42]geoMap (39)'!$A:$C,3,0)</f>
        <v>#REF!</v>
      </c>
      <c r="AP126" s="1" t="e">
        <f>AO126/VLOOKUP(A126,'[43]geoMap (40)'!$A:$B,2,0)*VLOOKUP(A126,'[43]geoMap (40)'!$A:$C,3,0)</f>
        <v>#REF!</v>
      </c>
      <c r="AQ126" s="1" t="e">
        <f>AP126/VLOOKUP(A126,'[44]geoMap (41)'!$A:$B,2,0)*VLOOKUP(A126,'[44]geoMap (41)'!$A:$C,3,0)</f>
        <v>#REF!</v>
      </c>
      <c r="AR126" s="1" t="e">
        <f>AQ126/VLOOKUP(A126,'[45]geoMap (42)'!$A:$B,2,0)*VLOOKUP(A126,'[45]geoMap (42)'!$A:$C,3,0)</f>
        <v>#REF!</v>
      </c>
      <c r="AS126" s="1" t="e">
        <f>AR126/VLOOKUP(A126,'[46]geoMap (43)'!$A:$B,2,0)*VLOOKUP(A126,'[46]geoMap (43)'!$A:$C,3,0)</f>
        <v>#REF!</v>
      </c>
      <c r="AT126" s="1" t="e">
        <f>AS126/VLOOKUP(A126,'[47]geoMap (44)'!$A:$B,2,0)*VLOOKUP(A126,'[47]geoMap (44)'!$A:$C,3,0)</f>
        <v>#REF!</v>
      </c>
      <c r="AU126" s="1" t="e">
        <f>AT126/VLOOKUP(A126,'[48]geoMap (45)'!$A:$B,2,0)*VLOOKUP(A126,'[48]geoMap (45)'!$A:$C,3,0)</f>
        <v>#REF!</v>
      </c>
      <c r="AV126" s="1" t="e">
        <f>AU126/VLOOKUP(A126,'[49]geoMap (46)'!$A:$B,2,0)*VLOOKUP(A126,'[49]geoMap (46)'!$A:$C,3,0)</f>
        <v>#REF!</v>
      </c>
      <c r="AW126" s="1" t="e">
        <f>AV126/VLOOKUP(A126,'[50]geoMap (47)'!$A:$B,2,0)*VLOOKUP(A126,'[50]geoMap (47)'!$A:$C,3,0)</f>
        <v>#REF!</v>
      </c>
      <c r="AX126" s="1" t="e">
        <f>AW126/VLOOKUP(A126,'[51]geoMap (48)'!$A:$B,2,0)*VLOOKUP(A126,'[51]geoMap (48)'!$A:$C,3,0)</f>
        <v>#REF!</v>
      </c>
      <c r="AY126" s="1" t="e">
        <f>AX126/VLOOKUP(A126,'[52]geoMap (49)'!$A:$B,2,0)*VLOOKUP(A126,'[52]geoMap (49)'!$A:$C,3,0)</f>
        <v>#REF!</v>
      </c>
      <c r="AZ126" s="1" t="e">
        <f>AY126/VLOOKUP(A126,'[53]geoMap (50)'!$A:$B,2,0)*VLOOKUP(A126,'[53]geoMap (50)'!$A:$C,3,0)</f>
        <v>#REF!</v>
      </c>
      <c r="BA126" s="1" t="e">
        <f>AZ126/VLOOKUP(A126,'[54]geoMap (51)'!$A:$B,2,0)*VLOOKUP(A126,'[54]geoMap (51)'!$A:$C,3,0)</f>
        <v>#REF!</v>
      </c>
      <c r="BB126" s="1" t="e">
        <f>BA126/VLOOKUP(A126,'[55]geoMap (52)'!$A:$B,2,0)*VLOOKUP(A126,'[55]geoMap (52)'!$A:$C,3,0)</f>
        <v>#REF!</v>
      </c>
      <c r="BC126" s="1" t="e">
        <f>BB126/VLOOKUP(A126,'[56]geoMap (53)'!$A:$B,2,0)*VLOOKUP(A126,'[56]geoMap (53)'!$A:$C,3,0)</f>
        <v>#REF!</v>
      </c>
      <c r="BD126" s="1" t="e">
        <f>BC126/VLOOKUP(A126,'[57]geoMap (54)'!$A:$B,2,0)*VLOOKUP(A126,'[57]geoMap (54)'!$A:$C,3,0)</f>
        <v>#REF!</v>
      </c>
      <c r="BE126" s="1" t="e">
        <f>BD126/VLOOKUP(A126,'[58]geoMap (55)'!$A:$B,2,0)*VLOOKUP(A126,'[58]geoMap (55)'!$A:$C,3,0)</f>
        <v>#REF!</v>
      </c>
      <c r="BF126" s="1" t="e">
        <f>BE126/VLOOKUP(A126,'[59]geoMap (56)'!$A:$B,2,0)*VLOOKUP(A126,'[59]geoMap (56)'!$A:$C,3,0)</f>
        <v>#REF!</v>
      </c>
      <c r="BG126" s="1" t="e">
        <f>BF126/VLOOKUP(A126,'[60]geoMap (57)'!$A:$B,2,0)*VLOOKUP(A126,'[60]geoMap (57)'!$A:$C,3,0)</f>
        <v>#REF!</v>
      </c>
      <c r="BH126" s="1" t="e">
        <f>BG126/VLOOKUP(A126,'[61]geoMap (58)'!$A:$B,2,0)*VLOOKUP(A126,'[61]geoMap (58)'!$A:$C,3,0)</f>
        <v>#REF!</v>
      </c>
      <c r="BI126" s="1" t="e">
        <f>BH126/VLOOKUP(A126,'[62]geoMap (59)'!$A:$B,2,0)*VLOOKUP(A126,'[62]geoMap (59)'!$A:$C,3,0)</f>
        <v>#REF!</v>
      </c>
      <c r="BJ126" s="1" t="e">
        <f>BI126/VLOOKUP(A126,'[63]geoMap (60)'!$A:$B,2,0)*VLOOKUP(A126,'[63]geoMap (60)'!$A:$C,3,0)</f>
        <v>#REF!</v>
      </c>
      <c r="BK126" s="1" t="e">
        <f>BJ126/VLOOKUP(A126,'[64]geoMap (61)'!$A:$B,2,0)*VLOOKUP(A126,'[64]geoMap (61)'!$A:$C,3,0)</f>
        <v>#REF!</v>
      </c>
      <c r="BL126" s="1" t="e">
        <f>BK126/VLOOKUP(A126,'[65]geoMap (62)'!$A:$B,2,0)*VLOOKUP(A126,'[65]geoMap (62)'!$A:$C,3,0)</f>
        <v>#REF!</v>
      </c>
      <c r="BM126" s="1" t="e">
        <f>BL126/VLOOKUP(A126,'[66]geoMap (63)'!$A:$B,2,0)*VLOOKUP(A126,'[66]geoMap (63)'!$A:$C,3,0)</f>
        <v>#REF!</v>
      </c>
      <c r="BN126" s="1" t="e">
        <f>BM126/VLOOKUP(A126,'[67]geoMap (64)'!$A:$B,2,0)*VLOOKUP(A126,'[67]geoMap (64)'!$A:$C,3,0)</f>
        <v>#REF!</v>
      </c>
      <c r="BO126" s="1" t="e">
        <f>BN126/VLOOKUP(A126,'[68]geoMap (65)'!$A:$B,2,0)*VLOOKUP(A126,'[68]geoMap (65)'!$A:$C,3,0)</f>
        <v>#REF!</v>
      </c>
      <c r="BP126" s="1" t="e">
        <f>BO126/VLOOKUP(A126,'[69]geoMap (66)'!$A:$B,2,0)*VLOOKUP(A126,'[69]geoMap (66)'!$A:$C,3,0)</f>
        <v>#REF!</v>
      </c>
    </row>
    <row r="127" spans="1:68" hidden="1" x14ac:dyDescent="0.2">
      <c r="A127" s="1" t="s">
        <v>86</v>
      </c>
      <c r="B127" s="1" t="e">
        <f>VLOOKUP(A127,[3]geoMap!$A:$B,2,0)*Notes!$C$6</f>
        <v>#REF!</v>
      </c>
      <c r="C127" s="1" t="e">
        <f>B127/VLOOKUP(A127,'[4]geoMap (1)'!$A:$B,2,0)*VLOOKUP(A127,'[4]geoMap (1)'!$A:$C,3,0)</f>
        <v>#REF!</v>
      </c>
      <c r="D127" s="1" t="e">
        <f>C127/VLOOKUP(A127,'[5]geoMap (2)'!$A:$B,2,0)*VLOOKUP(A127,'[5]geoMap (2)'!$A:$C,3,0)</f>
        <v>#REF!</v>
      </c>
      <c r="E127" s="1" t="e">
        <f>D127/VLOOKUP(A127,'[6]geoMap (3)'!$A:$B,2,0)*VLOOKUP(A127,'[6]geoMap (3)'!$A:$C,3,0)</f>
        <v>#REF!</v>
      </c>
      <c r="F127" s="1" t="e">
        <f>E127/VLOOKUP(A127,'[7]geoMap (4)'!$A:$B,2,0)*VLOOKUP(A127,'[7]geoMap (4)'!$A:$C,3,0)</f>
        <v>#REF!</v>
      </c>
      <c r="G127" s="1" t="e">
        <f>F127/VLOOKUP(A127,'[8]geoMap (5)'!$A:$B,2,0)*VLOOKUP(A127,'[8]geoMap (5)'!$A:$C,3,0)</f>
        <v>#REF!</v>
      </c>
      <c r="H127" s="1" t="e">
        <f>G127/VLOOKUP(A127,'[9]geoMap (6)'!$A:$B,2,0)*VLOOKUP(A127,'[9]geoMap (6)'!$A:$C,3,0)</f>
        <v>#REF!</v>
      </c>
      <c r="I127" s="1" t="e">
        <f>H127/VLOOKUP(A127,'[10]geoMap (7)'!$A:$B,2,0)*VLOOKUP(A127,'[10]geoMap (7)'!$A:$C,3,0)</f>
        <v>#REF!</v>
      </c>
      <c r="J127" s="1" t="e">
        <f>I127/VLOOKUP(A127,'[11]geoMap (8)'!$A:$B,2,0)*VLOOKUP(A127,'[11]geoMap (8)'!$A:$C,3,0)</f>
        <v>#REF!</v>
      </c>
      <c r="K127" s="1" t="e">
        <f>J127/VLOOKUP(A127,'[12]geoMap (9)'!$A:$B,2,0)*VLOOKUP(A127,'[12]geoMap (9)'!$A:$C,3,0)</f>
        <v>#REF!</v>
      </c>
      <c r="L127" s="1" t="e">
        <f>K127/VLOOKUP(A127,'[13]geoMap (10)'!$A:$B,2,0)*VLOOKUP(A127,'[13]geoMap (10)'!$A:$C,3,0)</f>
        <v>#REF!</v>
      </c>
      <c r="M127" s="1" t="e">
        <f>L127/VLOOKUP(A127,'[14]geoMap (11)'!$A:$B,2,0)*VLOOKUP(A127,'[14]geoMap (11)'!$A:$C,3,0)</f>
        <v>#REF!</v>
      </c>
      <c r="N127" s="1" t="e">
        <f>M127/VLOOKUP(A127,'[15]geoMap (12)'!$A:$B,2,0)*VLOOKUP(A127,'[15]geoMap (12)'!$A:$C,3,0)</f>
        <v>#REF!</v>
      </c>
      <c r="O127" s="1" t="e">
        <f>N127/VLOOKUP(A127,'[16]geoMap (13)'!$A:$B,2,0)*VLOOKUP(A127,'[16]geoMap (13)'!$A:$C,3,0)</f>
        <v>#REF!</v>
      </c>
      <c r="P127" s="1" t="e">
        <f>O127/VLOOKUP(A127,'[17]geoMap (14)'!$A:$B,2,0)*VLOOKUP(A127,'[17]geoMap (14)'!$A:$C,3,0)</f>
        <v>#REF!</v>
      </c>
      <c r="Q127" s="1" t="e">
        <f>P127/VLOOKUP(A127,'[18]geoMap (15)'!$A:$B,2,0)*VLOOKUP(A127,'[18]geoMap (15)'!$A:$C,3,0)</f>
        <v>#REF!</v>
      </c>
      <c r="R127" s="1" t="e">
        <f>Q127/VLOOKUP(A127,'[19]geoMap (16)'!$A:$B,2,0)*VLOOKUP(A127,'[19]geoMap (16)'!$A:$C,3,0)</f>
        <v>#REF!</v>
      </c>
      <c r="S127" s="1" t="e">
        <f>R127/VLOOKUP(A127,'[20]geoMap (17)'!$A:$B,2,0)*VLOOKUP(A127,'[20]geoMap (17)'!$A:$C,3,0)</f>
        <v>#REF!</v>
      </c>
      <c r="T127" s="1" t="e">
        <f>S127/VLOOKUP(A127,'[21]geoMap (18)'!$A:$B,2,0)*VLOOKUP(A127,'[21]geoMap (18)'!$A:$C,3,0)</f>
        <v>#REF!</v>
      </c>
      <c r="U127" s="1" t="e">
        <f>T127/VLOOKUP(A127,'[22]geoMap (19)'!$A:$B,2,0)*VLOOKUP(A127,'[22]geoMap (19)'!$A:$C,3,0)</f>
        <v>#REF!</v>
      </c>
      <c r="V127" s="1" t="e">
        <f>U127/VLOOKUP(A127,'[23]geoMap (20)'!$A:$B,2,0)*VLOOKUP(A127,'[23]geoMap (20)'!$A:$C,3,0)</f>
        <v>#REF!</v>
      </c>
      <c r="W127" s="1" t="e">
        <f>V127/VLOOKUP(A127,'[24]geoMap (21)'!$A:$B,2,0)*VLOOKUP(A127,'[24]geoMap (21)'!$A:$C,3,0)</f>
        <v>#REF!</v>
      </c>
      <c r="X127" s="1" t="e">
        <f>W127/VLOOKUP(A127,'[25]geoMap (22)'!$A:$B,2,0)*VLOOKUP(A127,'[25]geoMap (22)'!$A:$C,3,0)</f>
        <v>#REF!</v>
      </c>
      <c r="Y127" s="1" t="e">
        <f>X127/VLOOKUP(A127,'[26]geoMap (23)'!$A:$B,2,0)*VLOOKUP(A127,'[26]geoMap (23)'!$A:$C,3,0)</f>
        <v>#REF!</v>
      </c>
      <c r="Z127" s="1" t="e">
        <f>Y127/VLOOKUP(A127,'[27]geoMap (24)'!$A:$B,2,0)*VLOOKUP(A127,'[27]geoMap (24)'!$A:$C,3,0)</f>
        <v>#REF!</v>
      </c>
      <c r="AA127" s="1" t="e">
        <f>Z127/VLOOKUP(A127,'[28]geoMap (25)'!$A:$B,2,0)*VLOOKUP(A127,'[28]geoMap (25)'!$A:$C,3,0)</f>
        <v>#REF!</v>
      </c>
      <c r="AB127" s="1" t="e">
        <f>AA127*VLOOKUP(A127,'[29]geoMap (26)'!$A:$B,2,0)*VLOOKUP(A127,'[29]geoMap (26)'!$A:$C,3,0)</f>
        <v>#REF!</v>
      </c>
      <c r="AC127" s="1" t="e">
        <f>AB127/VLOOKUP(A127,'[30]geoMap (27)'!$A:$B,2,0)*VLOOKUP(A127,'[30]geoMap (27)'!$A:$C,3,0)</f>
        <v>#REF!</v>
      </c>
      <c r="AD127" s="1" t="e">
        <f>AC127/VLOOKUP(A127,'[31]geoMap (28)'!$A:$B,2,0)*VLOOKUP(A127,'[31]geoMap (28)'!$A:$C,3,0)</f>
        <v>#REF!</v>
      </c>
      <c r="AE127" s="1" t="e">
        <f>AD127/VLOOKUP(A127,'[32]geoMap (29)'!$A:$B,2,0)*VLOOKUP(A127,'[32]geoMap (29)'!$A:$C,3,0)</f>
        <v>#REF!</v>
      </c>
      <c r="AF127" s="1" t="e">
        <f>AE127/VLOOKUP(A127,'[33]geoMap (30)'!$A:$B,2,0)*VLOOKUP(A127,'[33]geoMap (30)'!$A:$C,3,0)</f>
        <v>#REF!</v>
      </c>
      <c r="AG127" s="1" t="e">
        <f>AF127/VLOOKUP(A127,'[34]geoMap (31)'!$A:$B,2,0)*VLOOKUP(A127,'[34]geoMap (31)'!$A:$C,3,0)</f>
        <v>#REF!</v>
      </c>
      <c r="AH127" s="1" t="e">
        <f>AG127/VLOOKUP(A127,'[35]geoMap (32)'!$A:$B,2,0)*VLOOKUP(A127,'[35]geoMap (32)'!$A:$C,3,0)</f>
        <v>#REF!</v>
      </c>
      <c r="AI127" s="1" t="e">
        <f>AH127/VLOOKUP(A127,'[36]geoMap (33)'!$A:$B,2,0)*VLOOKUP(A127,'[36]geoMap (33)'!$A:$C,3,0)</f>
        <v>#REF!</v>
      </c>
      <c r="AJ127" s="1" t="e">
        <f>AI127/VLOOKUP(A127,'[37]geoMap (34)'!$A:$B,2,0)*VLOOKUP(A127,'[37]geoMap (34)'!$A:$C,3,0)</f>
        <v>#REF!</v>
      </c>
      <c r="AK127" s="1" t="e">
        <f>AJ127/VLOOKUP(A127,'[38]geoMap (35)'!$A:$B,2,0)*VLOOKUP(A127,'[38]geoMap (35)'!$A:$C,3,0)</f>
        <v>#REF!</v>
      </c>
      <c r="AL127" s="1" t="e">
        <f>AK127/VLOOKUP(A127,'[39]geoMap (36)'!$A:$B,2,0)*VLOOKUP(A127,'[39]geoMap (36)'!$A:$C,3,0)</f>
        <v>#REF!</v>
      </c>
      <c r="AM127" s="1" t="e">
        <f>AL127/VLOOKUP(A127,'[40]geoMap (37)'!$A:$B,2,0)*VLOOKUP(A127,'[40]geoMap (37)'!$A:$C,3,0)</f>
        <v>#REF!</v>
      </c>
      <c r="AN127" s="1" t="e">
        <f>AM127/VLOOKUP(A127,'[41]geoMap (38)'!$A:$B,2,0)*VLOOKUP(A127,'[41]geoMap (38)'!$A:$C,3,0)</f>
        <v>#REF!</v>
      </c>
      <c r="AO127" s="1" t="e">
        <f>AN127/VLOOKUP(A127,'[42]geoMap (39)'!$A:$B,2,0)*VLOOKUP(A127,'[42]geoMap (39)'!$A:$C,3,0)</f>
        <v>#REF!</v>
      </c>
      <c r="AP127" s="1" t="e">
        <f>AO127/VLOOKUP(A127,'[43]geoMap (40)'!$A:$B,2,0)*VLOOKUP(A127,'[43]geoMap (40)'!$A:$C,3,0)</f>
        <v>#REF!</v>
      </c>
      <c r="AQ127" s="1" t="e">
        <f>AP127/VLOOKUP(A127,'[44]geoMap (41)'!$A:$B,2,0)*VLOOKUP(A127,'[44]geoMap (41)'!$A:$C,3,0)</f>
        <v>#REF!</v>
      </c>
      <c r="AR127" s="1" t="e">
        <f>AQ127/VLOOKUP(A127,'[45]geoMap (42)'!$A:$B,2,0)*VLOOKUP(A127,'[45]geoMap (42)'!$A:$C,3,0)</f>
        <v>#REF!</v>
      </c>
      <c r="AS127" s="1" t="e">
        <f>AR127/VLOOKUP(A127,'[46]geoMap (43)'!$A:$B,2,0)*VLOOKUP(A127,'[46]geoMap (43)'!$A:$C,3,0)</f>
        <v>#REF!</v>
      </c>
      <c r="AT127" s="1" t="e">
        <f>AS127/VLOOKUP(A127,'[47]geoMap (44)'!$A:$B,2,0)*VLOOKUP(A127,'[47]geoMap (44)'!$A:$C,3,0)</f>
        <v>#REF!</v>
      </c>
      <c r="AU127" s="1" t="e">
        <f>AT127/VLOOKUP(A127,'[48]geoMap (45)'!$A:$B,2,0)*VLOOKUP(A127,'[48]geoMap (45)'!$A:$C,3,0)</f>
        <v>#REF!</v>
      </c>
      <c r="AV127" s="1" t="e">
        <f>AU127/VLOOKUP(A127,'[49]geoMap (46)'!$A:$B,2,0)*VLOOKUP(A127,'[49]geoMap (46)'!$A:$C,3,0)</f>
        <v>#REF!</v>
      </c>
      <c r="AW127" s="1" t="e">
        <f>AV127/VLOOKUP(A127,'[50]geoMap (47)'!$A:$B,2,0)*VLOOKUP(A127,'[50]geoMap (47)'!$A:$C,3,0)</f>
        <v>#REF!</v>
      </c>
      <c r="AX127" s="1" t="e">
        <f>AW127/VLOOKUP(A127,'[51]geoMap (48)'!$A:$B,2,0)*VLOOKUP(A127,'[51]geoMap (48)'!$A:$C,3,0)</f>
        <v>#REF!</v>
      </c>
      <c r="AY127" s="1" t="e">
        <f>AX127/VLOOKUP(A127,'[52]geoMap (49)'!$A:$B,2,0)*VLOOKUP(A127,'[52]geoMap (49)'!$A:$C,3,0)</f>
        <v>#REF!</v>
      </c>
      <c r="AZ127" s="1" t="e">
        <f>AY127/VLOOKUP(A127,'[53]geoMap (50)'!$A:$B,2,0)*VLOOKUP(A127,'[53]geoMap (50)'!$A:$C,3,0)</f>
        <v>#REF!</v>
      </c>
      <c r="BA127" s="1" t="e">
        <f>AZ127/VLOOKUP(A127,'[54]geoMap (51)'!$A:$B,2,0)*VLOOKUP(A127,'[54]geoMap (51)'!$A:$C,3,0)</f>
        <v>#REF!</v>
      </c>
      <c r="BB127" s="1" t="e">
        <f>BA127/VLOOKUP(A127,'[55]geoMap (52)'!$A:$B,2,0)*VLOOKUP(A127,'[55]geoMap (52)'!$A:$C,3,0)</f>
        <v>#REF!</v>
      </c>
      <c r="BC127" s="1" t="e">
        <f>BB127/VLOOKUP(A127,'[56]geoMap (53)'!$A:$B,2,0)*VLOOKUP(A127,'[56]geoMap (53)'!$A:$C,3,0)</f>
        <v>#REF!</v>
      </c>
      <c r="BD127" s="1" t="e">
        <f>BC127/VLOOKUP(A127,'[57]geoMap (54)'!$A:$B,2,0)*VLOOKUP(A127,'[57]geoMap (54)'!$A:$C,3,0)</f>
        <v>#REF!</v>
      </c>
      <c r="BE127" s="1" t="e">
        <f>BD127/VLOOKUP(A127,'[58]geoMap (55)'!$A:$B,2,0)*VLOOKUP(A127,'[58]geoMap (55)'!$A:$C,3,0)</f>
        <v>#REF!</v>
      </c>
      <c r="BF127" s="1" t="e">
        <f>BE127/VLOOKUP(A127,'[59]geoMap (56)'!$A:$B,2,0)*VLOOKUP(A127,'[59]geoMap (56)'!$A:$C,3,0)</f>
        <v>#REF!</v>
      </c>
      <c r="BG127" s="1" t="e">
        <f>BF127/VLOOKUP(A127,'[60]geoMap (57)'!$A:$B,2,0)*VLOOKUP(A127,'[60]geoMap (57)'!$A:$C,3,0)</f>
        <v>#REF!</v>
      </c>
      <c r="BH127" s="1" t="e">
        <f>BG127/VLOOKUP(A127,'[61]geoMap (58)'!$A:$B,2,0)*VLOOKUP(A127,'[61]geoMap (58)'!$A:$C,3,0)</f>
        <v>#REF!</v>
      </c>
      <c r="BI127" s="1" t="e">
        <f>BH127/VLOOKUP(A127,'[62]geoMap (59)'!$A:$B,2,0)*VLOOKUP(A127,'[62]geoMap (59)'!$A:$C,3,0)</f>
        <v>#REF!</v>
      </c>
      <c r="BJ127" s="1" t="e">
        <f>BI127/VLOOKUP(A127,'[63]geoMap (60)'!$A:$B,2,0)*VLOOKUP(A127,'[63]geoMap (60)'!$A:$C,3,0)</f>
        <v>#REF!</v>
      </c>
      <c r="BK127" s="1" t="e">
        <f>BJ127/VLOOKUP(A127,'[64]geoMap (61)'!$A:$B,2,0)*VLOOKUP(A127,'[64]geoMap (61)'!$A:$C,3,0)</f>
        <v>#REF!</v>
      </c>
      <c r="BL127" s="1" t="e">
        <f>BK127/VLOOKUP(A127,'[65]geoMap (62)'!$A:$B,2,0)*VLOOKUP(A127,'[65]geoMap (62)'!$A:$C,3,0)</f>
        <v>#REF!</v>
      </c>
      <c r="BM127" s="1" t="e">
        <f>BL127/VLOOKUP(A127,'[66]geoMap (63)'!$A:$B,2,0)*VLOOKUP(A127,'[66]geoMap (63)'!$A:$C,3,0)</f>
        <v>#REF!</v>
      </c>
      <c r="BN127" s="1" t="e">
        <f>BM127/VLOOKUP(A127,'[67]geoMap (64)'!$A:$B,2,0)*VLOOKUP(A127,'[67]geoMap (64)'!$A:$C,3,0)</f>
        <v>#REF!</v>
      </c>
      <c r="BO127" s="1" t="e">
        <f>BN127/VLOOKUP(A127,'[68]geoMap (65)'!$A:$B,2,0)*VLOOKUP(A127,'[68]geoMap (65)'!$A:$C,3,0)</f>
        <v>#REF!</v>
      </c>
      <c r="BP127" s="1" t="e">
        <f>BO127/VLOOKUP(A127,'[69]geoMap (66)'!$A:$B,2,0)*VLOOKUP(A127,'[69]geoMap (66)'!$A:$C,3,0)</f>
        <v>#REF!</v>
      </c>
    </row>
    <row r="128" spans="1:68" hidden="1" x14ac:dyDescent="0.2">
      <c r="A128" s="1" t="s">
        <v>87</v>
      </c>
      <c r="B128" s="1" t="e">
        <f>VLOOKUP(A128,[3]geoMap!$A:$B,2,0)*Notes!$C$6</f>
        <v>#REF!</v>
      </c>
      <c r="C128" s="1" t="e">
        <f>B128/VLOOKUP(A128,'[4]geoMap (1)'!$A:$B,2,0)*VLOOKUP(A128,'[4]geoMap (1)'!$A:$C,3,0)</f>
        <v>#REF!</v>
      </c>
      <c r="D128" s="1" t="e">
        <f>C128/VLOOKUP(A128,'[5]geoMap (2)'!$A:$B,2,0)*VLOOKUP(A128,'[5]geoMap (2)'!$A:$C,3,0)</f>
        <v>#REF!</v>
      </c>
      <c r="E128" s="1" t="e">
        <f>D128/VLOOKUP(A128,'[6]geoMap (3)'!$A:$B,2,0)*VLOOKUP(A128,'[6]geoMap (3)'!$A:$C,3,0)</f>
        <v>#REF!</v>
      </c>
      <c r="F128" s="1" t="e">
        <f>E128/VLOOKUP(A128,'[7]geoMap (4)'!$A:$B,2,0)*VLOOKUP(A128,'[7]geoMap (4)'!$A:$C,3,0)</f>
        <v>#REF!</v>
      </c>
      <c r="G128" s="1" t="e">
        <f>F128/VLOOKUP(A128,'[8]geoMap (5)'!$A:$B,2,0)*VLOOKUP(A128,'[8]geoMap (5)'!$A:$C,3,0)</f>
        <v>#REF!</v>
      </c>
      <c r="H128" s="1" t="e">
        <f>G128/VLOOKUP(A128,'[9]geoMap (6)'!$A:$B,2,0)*VLOOKUP(A128,'[9]geoMap (6)'!$A:$C,3,0)</f>
        <v>#REF!</v>
      </c>
      <c r="I128" s="1" t="e">
        <f>H128/VLOOKUP(A128,'[10]geoMap (7)'!$A:$B,2,0)*VLOOKUP(A128,'[10]geoMap (7)'!$A:$C,3,0)</f>
        <v>#REF!</v>
      </c>
      <c r="J128" s="1" t="e">
        <f>I128/VLOOKUP(A128,'[11]geoMap (8)'!$A:$B,2,0)*VLOOKUP(A128,'[11]geoMap (8)'!$A:$C,3,0)</f>
        <v>#REF!</v>
      </c>
      <c r="K128" s="1" t="e">
        <f>J128/VLOOKUP(A128,'[12]geoMap (9)'!$A:$B,2,0)*VLOOKUP(A128,'[12]geoMap (9)'!$A:$C,3,0)</f>
        <v>#REF!</v>
      </c>
      <c r="L128" s="1" t="e">
        <f>K128/VLOOKUP(A128,'[13]geoMap (10)'!$A:$B,2,0)*VLOOKUP(A128,'[13]geoMap (10)'!$A:$C,3,0)</f>
        <v>#REF!</v>
      </c>
      <c r="M128" s="1" t="e">
        <f>L128/VLOOKUP(A128,'[14]geoMap (11)'!$A:$B,2,0)*VLOOKUP(A128,'[14]geoMap (11)'!$A:$C,3,0)</f>
        <v>#REF!</v>
      </c>
      <c r="N128" s="1" t="e">
        <f>M128/VLOOKUP(A128,'[15]geoMap (12)'!$A:$B,2,0)*VLOOKUP(A128,'[15]geoMap (12)'!$A:$C,3,0)</f>
        <v>#REF!</v>
      </c>
      <c r="O128" s="1" t="e">
        <f>N128/VLOOKUP(A128,'[16]geoMap (13)'!$A:$B,2,0)*VLOOKUP(A128,'[16]geoMap (13)'!$A:$C,3,0)</f>
        <v>#REF!</v>
      </c>
      <c r="P128" s="1" t="e">
        <f>O128/VLOOKUP(A128,'[17]geoMap (14)'!$A:$B,2,0)*VLOOKUP(A128,'[17]geoMap (14)'!$A:$C,3,0)</f>
        <v>#REF!</v>
      </c>
      <c r="Q128" s="1" t="e">
        <f>P128/VLOOKUP(A128,'[18]geoMap (15)'!$A:$B,2,0)*VLOOKUP(A128,'[18]geoMap (15)'!$A:$C,3,0)</f>
        <v>#REF!</v>
      </c>
      <c r="R128" s="1" t="e">
        <f>Q128/VLOOKUP(A128,'[19]geoMap (16)'!$A:$B,2,0)*VLOOKUP(A128,'[19]geoMap (16)'!$A:$C,3,0)</f>
        <v>#REF!</v>
      </c>
      <c r="S128" s="1" t="e">
        <f>R128/VLOOKUP(A128,'[20]geoMap (17)'!$A:$B,2,0)*VLOOKUP(A128,'[20]geoMap (17)'!$A:$C,3,0)</f>
        <v>#REF!</v>
      </c>
      <c r="T128" s="1" t="e">
        <f>S128/VLOOKUP(A128,'[21]geoMap (18)'!$A:$B,2,0)*VLOOKUP(A128,'[21]geoMap (18)'!$A:$C,3,0)</f>
        <v>#REF!</v>
      </c>
      <c r="U128" s="1" t="e">
        <f>T128/VLOOKUP(A128,'[22]geoMap (19)'!$A:$B,2,0)*VLOOKUP(A128,'[22]geoMap (19)'!$A:$C,3,0)</f>
        <v>#REF!</v>
      </c>
      <c r="V128" s="1" t="e">
        <f>U128/VLOOKUP(A128,'[23]geoMap (20)'!$A:$B,2,0)*VLOOKUP(A128,'[23]geoMap (20)'!$A:$C,3,0)</f>
        <v>#REF!</v>
      </c>
      <c r="W128" s="1" t="e">
        <f>V128/VLOOKUP(A128,'[24]geoMap (21)'!$A:$B,2,0)*VLOOKUP(A128,'[24]geoMap (21)'!$A:$C,3,0)</f>
        <v>#REF!</v>
      </c>
      <c r="X128" s="1" t="e">
        <f>W128/VLOOKUP(A128,'[25]geoMap (22)'!$A:$B,2,0)*VLOOKUP(A128,'[25]geoMap (22)'!$A:$C,3,0)</f>
        <v>#REF!</v>
      </c>
      <c r="Y128" s="1" t="e">
        <f>X128/VLOOKUP(A128,'[26]geoMap (23)'!$A:$B,2,0)*VLOOKUP(A128,'[26]geoMap (23)'!$A:$C,3,0)</f>
        <v>#REF!</v>
      </c>
      <c r="Z128" s="1" t="e">
        <f>Y128/VLOOKUP(A128,'[27]geoMap (24)'!$A:$B,2,0)*VLOOKUP(A128,'[27]geoMap (24)'!$A:$C,3,0)</f>
        <v>#REF!</v>
      </c>
      <c r="AA128" s="1" t="e">
        <f>Z128/VLOOKUP(A128,'[28]geoMap (25)'!$A:$B,2,0)*VLOOKUP(A128,'[28]geoMap (25)'!$A:$C,3,0)</f>
        <v>#REF!</v>
      </c>
      <c r="AB128" s="1" t="e">
        <f>AA128*VLOOKUP(A128,'[29]geoMap (26)'!$A:$B,2,0)*VLOOKUP(A128,'[29]geoMap (26)'!$A:$C,3,0)</f>
        <v>#REF!</v>
      </c>
      <c r="AC128" s="1" t="e">
        <f>AB128/VLOOKUP(A128,'[30]geoMap (27)'!$A:$B,2,0)*VLOOKUP(A128,'[30]geoMap (27)'!$A:$C,3,0)</f>
        <v>#REF!</v>
      </c>
      <c r="AD128" s="1" t="e">
        <f>AC128/VLOOKUP(A128,'[31]geoMap (28)'!$A:$B,2,0)*VLOOKUP(A128,'[31]geoMap (28)'!$A:$C,3,0)</f>
        <v>#REF!</v>
      </c>
      <c r="AE128" s="1" t="e">
        <f>AD128/VLOOKUP(A128,'[32]geoMap (29)'!$A:$B,2,0)*VLOOKUP(A128,'[32]geoMap (29)'!$A:$C,3,0)</f>
        <v>#REF!</v>
      </c>
      <c r="AF128" s="1" t="e">
        <f>AE128/VLOOKUP(A128,'[33]geoMap (30)'!$A:$B,2,0)*VLOOKUP(A128,'[33]geoMap (30)'!$A:$C,3,0)</f>
        <v>#REF!</v>
      </c>
      <c r="AG128" s="1" t="e">
        <f>AF128/VLOOKUP(A128,'[34]geoMap (31)'!$A:$B,2,0)*VLOOKUP(A128,'[34]geoMap (31)'!$A:$C,3,0)</f>
        <v>#REF!</v>
      </c>
      <c r="AH128" s="1" t="e">
        <f>AG128/VLOOKUP(A128,'[35]geoMap (32)'!$A:$B,2,0)*VLOOKUP(A128,'[35]geoMap (32)'!$A:$C,3,0)</f>
        <v>#REF!</v>
      </c>
      <c r="AI128" s="1" t="e">
        <f>AH128/VLOOKUP(A128,'[36]geoMap (33)'!$A:$B,2,0)*VLOOKUP(A128,'[36]geoMap (33)'!$A:$C,3,0)</f>
        <v>#REF!</v>
      </c>
      <c r="AJ128" s="1" t="e">
        <f>AI128/VLOOKUP(A128,'[37]geoMap (34)'!$A:$B,2,0)*VLOOKUP(A128,'[37]geoMap (34)'!$A:$C,3,0)</f>
        <v>#REF!</v>
      </c>
      <c r="AK128" s="1" t="e">
        <f>AJ128/VLOOKUP(A128,'[38]geoMap (35)'!$A:$B,2,0)*VLOOKUP(A128,'[38]geoMap (35)'!$A:$C,3,0)</f>
        <v>#REF!</v>
      </c>
      <c r="AL128" s="1" t="e">
        <f>AK128/VLOOKUP(A128,'[39]geoMap (36)'!$A:$B,2,0)*VLOOKUP(A128,'[39]geoMap (36)'!$A:$C,3,0)</f>
        <v>#REF!</v>
      </c>
      <c r="AM128" s="1" t="e">
        <f>AL128/VLOOKUP(A128,'[40]geoMap (37)'!$A:$B,2,0)*VLOOKUP(A128,'[40]geoMap (37)'!$A:$C,3,0)</f>
        <v>#REF!</v>
      </c>
      <c r="AN128" s="1" t="e">
        <f>AM128/VLOOKUP(A128,'[41]geoMap (38)'!$A:$B,2,0)*VLOOKUP(A128,'[41]geoMap (38)'!$A:$C,3,0)</f>
        <v>#REF!</v>
      </c>
      <c r="AO128" s="1" t="e">
        <f>AN128/VLOOKUP(A128,'[42]geoMap (39)'!$A:$B,2,0)*VLOOKUP(A128,'[42]geoMap (39)'!$A:$C,3,0)</f>
        <v>#REF!</v>
      </c>
      <c r="AP128" s="1" t="e">
        <f>AO128/VLOOKUP(A128,'[43]geoMap (40)'!$A:$B,2,0)*VLOOKUP(A128,'[43]geoMap (40)'!$A:$C,3,0)</f>
        <v>#REF!</v>
      </c>
      <c r="AQ128" s="1" t="e">
        <f>AP128/VLOOKUP(A128,'[44]geoMap (41)'!$A:$B,2,0)*VLOOKUP(A128,'[44]geoMap (41)'!$A:$C,3,0)</f>
        <v>#REF!</v>
      </c>
      <c r="AR128" s="1" t="e">
        <f>AQ128/VLOOKUP(A128,'[45]geoMap (42)'!$A:$B,2,0)*VLOOKUP(A128,'[45]geoMap (42)'!$A:$C,3,0)</f>
        <v>#REF!</v>
      </c>
      <c r="AS128" s="1" t="e">
        <f>AR128/VLOOKUP(A128,'[46]geoMap (43)'!$A:$B,2,0)*VLOOKUP(A128,'[46]geoMap (43)'!$A:$C,3,0)</f>
        <v>#REF!</v>
      </c>
      <c r="AT128" s="1" t="e">
        <f>AS128/VLOOKUP(A128,'[47]geoMap (44)'!$A:$B,2,0)*VLOOKUP(A128,'[47]geoMap (44)'!$A:$C,3,0)</f>
        <v>#REF!</v>
      </c>
      <c r="AU128" s="1" t="e">
        <f>AT128/VLOOKUP(A128,'[48]geoMap (45)'!$A:$B,2,0)*VLOOKUP(A128,'[48]geoMap (45)'!$A:$C,3,0)</f>
        <v>#REF!</v>
      </c>
      <c r="AV128" s="1" t="e">
        <f>AU128/VLOOKUP(A128,'[49]geoMap (46)'!$A:$B,2,0)*VLOOKUP(A128,'[49]geoMap (46)'!$A:$C,3,0)</f>
        <v>#REF!</v>
      </c>
      <c r="AW128" s="1" t="e">
        <f>AV128/VLOOKUP(A128,'[50]geoMap (47)'!$A:$B,2,0)*VLOOKUP(A128,'[50]geoMap (47)'!$A:$C,3,0)</f>
        <v>#REF!</v>
      </c>
      <c r="AX128" s="1" t="e">
        <f>AW128/VLOOKUP(A128,'[51]geoMap (48)'!$A:$B,2,0)*VLOOKUP(A128,'[51]geoMap (48)'!$A:$C,3,0)</f>
        <v>#REF!</v>
      </c>
      <c r="AY128" s="1" t="e">
        <f>AX128/VLOOKUP(A128,'[52]geoMap (49)'!$A:$B,2,0)*VLOOKUP(A128,'[52]geoMap (49)'!$A:$C,3,0)</f>
        <v>#REF!</v>
      </c>
      <c r="AZ128" s="1" t="e">
        <f>AY128/VLOOKUP(A128,'[53]geoMap (50)'!$A:$B,2,0)*VLOOKUP(A128,'[53]geoMap (50)'!$A:$C,3,0)</f>
        <v>#REF!</v>
      </c>
      <c r="BA128" s="1" t="e">
        <f>AZ128/VLOOKUP(A128,'[54]geoMap (51)'!$A:$B,2,0)*VLOOKUP(A128,'[54]geoMap (51)'!$A:$C,3,0)</f>
        <v>#REF!</v>
      </c>
      <c r="BB128" s="1" t="e">
        <f>BA128/VLOOKUP(A128,'[55]geoMap (52)'!$A:$B,2,0)*VLOOKUP(A128,'[55]geoMap (52)'!$A:$C,3,0)</f>
        <v>#REF!</v>
      </c>
      <c r="BC128" s="1" t="e">
        <f>BB128/VLOOKUP(A128,'[56]geoMap (53)'!$A:$B,2,0)*VLOOKUP(A128,'[56]geoMap (53)'!$A:$C,3,0)</f>
        <v>#REF!</v>
      </c>
      <c r="BD128" s="1" t="e">
        <f>BC128/VLOOKUP(A128,'[57]geoMap (54)'!$A:$B,2,0)*VLOOKUP(A128,'[57]geoMap (54)'!$A:$C,3,0)</f>
        <v>#REF!</v>
      </c>
      <c r="BE128" s="1" t="e">
        <f>BD128/VLOOKUP(A128,'[58]geoMap (55)'!$A:$B,2,0)*VLOOKUP(A128,'[58]geoMap (55)'!$A:$C,3,0)</f>
        <v>#REF!</v>
      </c>
      <c r="BF128" s="1" t="e">
        <f>BE128/VLOOKUP(A128,'[59]geoMap (56)'!$A:$B,2,0)*VLOOKUP(A128,'[59]geoMap (56)'!$A:$C,3,0)</f>
        <v>#REF!</v>
      </c>
      <c r="BG128" s="1" t="e">
        <f>BF128/VLOOKUP(A128,'[60]geoMap (57)'!$A:$B,2,0)*VLOOKUP(A128,'[60]geoMap (57)'!$A:$C,3,0)</f>
        <v>#REF!</v>
      </c>
      <c r="BH128" s="1" t="e">
        <f>BG128/VLOOKUP(A128,'[61]geoMap (58)'!$A:$B,2,0)*VLOOKUP(A128,'[61]geoMap (58)'!$A:$C,3,0)</f>
        <v>#REF!</v>
      </c>
      <c r="BI128" s="1" t="e">
        <f>BH128/VLOOKUP(A128,'[62]geoMap (59)'!$A:$B,2,0)*VLOOKUP(A128,'[62]geoMap (59)'!$A:$C,3,0)</f>
        <v>#REF!</v>
      </c>
      <c r="BJ128" s="1" t="e">
        <f>BI128/VLOOKUP(A128,'[63]geoMap (60)'!$A:$B,2,0)*VLOOKUP(A128,'[63]geoMap (60)'!$A:$C,3,0)</f>
        <v>#REF!</v>
      </c>
      <c r="BK128" s="1" t="e">
        <f>BJ128/VLOOKUP(A128,'[64]geoMap (61)'!$A:$B,2,0)*VLOOKUP(A128,'[64]geoMap (61)'!$A:$C,3,0)</f>
        <v>#REF!</v>
      </c>
      <c r="BL128" s="1" t="e">
        <f>BK128/VLOOKUP(A128,'[65]geoMap (62)'!$A:$B,2,0)*VLOOKUP(A128,'[65]geoMap (62)'!$A:$C,3,0)</f>
        <v>#REF!</v>
      </c>
      <c r="BM128" s="1" t="e">
        <f>BL128/VLOOKUP(A128,'[66]geoMap (63)'!$A:$B,2,0)*VLOOKUP(A128,'[66]geoMap (63)'!$A:$C,3,0)</f>
        <v>#REF!</v>
      </c>
      <c r="BN128" s="1" t="e">
        <f>BM128/VLOOKUP(A128,'[67]geoMap (64)'!$A:$B,2,0)*VLOOKUP(A128,'[67]geoMap (64)'!$A:$C,3,0)</f>
        <v>#REF!</v>
      </c>
      <c r="BO128" s="1" t="e">
        <f>BN128/VLOOKUP(A128,'[68]geoMap (65)'!$A:$B,2,0)*VLOOKUP(A128,'[68]geoMap (65)'!$A:$C,3,0)</f>
        <v>#REF!</v>
      </c>
      <c r="BP128" s="1" t="e">
        <f>BO128/VLOOKUP(A128,'[69]geoMap (66)'!$A:$B,2,0)*VLOOKUP(A128,'[69]geoMap (66)'!$A:$C,3,0)</f>
        <v>#REF!</v>
      </c>
    </row>
    <row r="129" spans="1:68" hidden="1" x14ac:dyDescent="0.2">
      <c r="A129" s="1" t="s">
        <v>88</v>
      </c>
      <c r="B129" s="1" t="e">
        <f>VLOOKUP(A129,[3]geoMap!$A:$B,2,0)*Notes!$C$6</f>
        <v>#REF!</v>
      </c>
      <c r="C129" s="1" t="e">
        <f>B129/VLOOKUP(A129,'[4]geoMap (1)'!$A:$B,2,0)*VLOOKUP(A129,'[4]geoMap (1)'!$A:$C,3,0)</f>
        <v>#REF!</v>
      </c>
      <c r="D129" s="1" t="e">
        <f>C129/VLOOKUP(A129,'[5]geoMap (2)'!$A:$B,2,0)*VLOOKUP(A129,'[5]geoMap (2)'!$A:$C,3,0)</f>
        <v>#REF!</v>
      </c>
      <c r="E129" s="1" t="e">
        <f>D129/VLOOKUP(A129,'[6]geoMap (3)'!$A:$B,2,0)*VLOOKUP(A129,'[6]geoMap (3)'!$A:$C,3,0)</f>
        <v>#REF!</v>
      </c>
      <c r="F129" s="1" t="e">
        <f>E129/VLOOKUP(A129,'[7]geoMap (4)'!$A:$B,2,0)*VLOOKUP(A129,'[7]geoMap (4)'!$A:$C,3,0)</f>
        <v>#REF!</v>
      </c>
      <c r="G129" s="1" t="e">
        <f>F129/VLOOKUP(A129,'[8]geoMap (5)'!$A:$B,2,0)*VLOOKUP(A129,'[8]geoMap (5)'!$A:$C,3,0)</f>
        <v>#REF!</v>
      </c>
      <c r="H129" s="1" t="e">
        <f>G129/VLOOKUP(A129,'[9]geoMap (6)'!$A:$B,2,0)*VLOOKUP(A129,'[9]geoMap (6)'!$A:$C,3,0)</f>
        <v>#REF!</v>
      </c>
      <c r="I129" s="1" t="e">
        <f>H129/VLOOKUP(A129,'[10]geoMap (7)'!$A:$B,2,0)*VLOOKUP(A129,'[10]geoMap (7)'!$A:$C,3,0)</f>
        <v>#REF!</v>
      </c>
      <c r="J129" s="1" t="e">
        <f>I129/VLOOKUP(A129,'[11]geoMap (8)'!$A:$B,2,0)*VLOOKUP(A129,'[11]geoMap (8)'!$A:$C,3,0)</f>
        <v>#REF!</v>
      </c>
      <c r="K129" s="1" t="e">
        <f>J129/VLOOKUP(A129,'[12]geoMap (9)'!$A:$B,2,0)*VLOOKUP(A129,'[12]geoMap (9)'!$A:$C,3,0)</f>
        <v>#REF!</v>
      </c>
      <c r="L129" s="1" t="e">
        <f>K129/VLOOKUP(A129,'[13]geoMap (10)'!$A:$B,2,0)*VLOOKUP(A129,'[13]geoMap (10)'!$A:$C,3,0)</f>
        <v>#REF!</v>
      </c>
      <c r="M129" s="1" t="e">
        <f>L129/VLOOKUP(A129,'[14]geoMap (11)'!$A:$B,2,0)*VLOOKUP(A129,'[14]geoMap (11)'!$A:$C,3,0)</f>
        <v>#REF!</v>
      </c>
      <c r="N129" s="1" t="e">
        <f>M129/VLOOKUP(A129,'[15]geoMap (12)'!$A:$B,2,0)*VLOOKUP(A129,'[15]geoMap (12)'!$A:$C,3,0)</f>
        <v>#REF!</v>
      </c>
      <c r="O129" s="1" t="e">
        <f>N129/VLOOKUP(A129,'[16]geoMap (13)'!$A:$B,2,0)*VLOOKUP(A129,'[16]geoMap (13)'!$A:$C,3,0)</f>
        <v>#REF!</v>
      </c>
      <c r="P129" s="1" t="e">
        <f>O129/VLOOKUP(A129,'[17]geoMap (14)'!$A:$B,2,0)*VLOOKUP(A129,'[17]geoMap (14)'!$A:$C,3,0)</f>
        <v>#REF!</v>
      </c>
      <c r="Q129" s="1" t="e">
        <f>P129/VLOOKUP(A129,'[18]geoMap (15)'!$A:$B,2,0)*VLOOKUP(A129,'[18]geoMap (15)'!$A:$C,3,0)</f>
        <v>#REF!</v>
      </c>
      <c r="R129" s="1" t="e">
        <f>Q129/VLOOKUP(A129,'[19]geoMap (16)'!$A:$B,2,0)*VLOOKUP(A129,'[19]geoMap (16)'!$A:$C,3,0)</f>
        <v>#REF!</v>
      </c>
      <c r="S129" s="1" t="e">
        <f>R129/VLOOKUP(A129,'[20]geoMap (17)'!$A:$B,2,0)*VLOOKUP(A129,'[20]geoMap (17)'!$A:$C,3,0)</f>
        <v>#REF!</v>
      </c>
      <c r="T129" s="1" t="e">
        <f>S129/VLOOKUP(A129,'[21]geoMap (18)'!$A:$B,2,0)*VLOOKUP(A129,'[21]geoMap (18)'!$A:$C,3,0)</f>
        <v>#REF!</v>
      </c>
      <c r="U129" s="1" t="e">
        <f>T129/VLOOKUP(A129,'[22]geoMap (19)'!$A:$B,2,0)*VLOOKUP(A129,'[22]geoMap (19)'!$A:$C,3,0)</f>
        <v>#REF!</v>
      </c>
      <c r="V129" s="1" t="e">
        <f>U129/VLOOKUP(A129,'[23]geoMap (20)'!$A:$B,2,0)*VLOOKUP(A129,'[23]geoMap (20)'!$A:$C,3,0)</f>
        <v>#REF!</v>
      </c>
      <c r="W129" s="1" t="e">
        <f>V129/VLOOKUP(A129,'[24]geoMap (21)'!$A:$B,2,0)*VLOOKUP(A129,'[24]geoMap (21)'!$A:$C,3,0)</f>
        <v>#REF!</v>
      </c>
      <c r="X129" s="1" t="e">
        <f>W129/VLOOKUP(A129,'[25]geoMap (22)'!$A:$B,2,0)*VLOOKUP(A129,'[25]geoMap (22)'!$A:$C,3,0)</f>
        <v>#REF!</v>
      </c>
      <c r="Y129" s="1" t="e">
        <f>X129/VLOOKUP(A129,'[26]geoMap (23)'!$A:$B,2,0)*VLOOKUP(A129,'[26]geoMap (23)'!$A:$C,3,0)</f>
        <v>#REF!</v>
      </c>
      <c r="Z129" s="1" t="e">
        <f>Y129/VLOOKUP(A129,'[27]geoMap (24)'!$A:$B,2,0)*VLOOKUP(A129,'[27]geoMap (24)'!$A:$C,3,0)</f>
        <v>#REF!</v>
      </c>
      <c r="AA129" s="1" t="e">
        <f>Z129/VLOOKUP(A129,'[28]geoMap (25)'!$A:$B,2,0)*VLOOKUP(A129,'[28]geoMap (25)'!$A:$C,3,0)</f>
        <v>#REF!</v>
      </c>
      <c r="AB129" s="1" t="e">
        <f>AA129*VLOOKUP(A129,'[29]geoMap (26)'!$A:$B,2,0)*VLOOKUP(A129,'[29]geoMap (26)'!$A:$C,3,0)</f>
        <v>#REF!</v>
      </c>
      <c r="AC129" s="1" t="e">
        <f>AB129/VLOOKUP(A129,'[30]geoMap (27)'!$A:$B,2,0)*VLOOKUP(A129,'[30]geoMap (27)'!$A:$C,3,0)</f>
        <v>#REF!</v>
      </c>
      <c r="AD129" s="1" t="e">
        <f>AC129/VLOOKUP(A129,'[31]geoMap (28)'!$A:$B,2,0)*VLOOKUP(A129,'[31]geoMap (28)'!$A:$C,3,0)</f>
        <v>#REF!</v>
      </c>
      <c r="AE129" s="1" t="e">
        <f>AD129/VLOOKUP(A129,'[32]geoMap (29)'!$A:$B,2,0)*VLOOKUP(A129,'[32]geoMap (29)'!$A:$C,3,0)</f>
        <v>#REF!</v>
      </c>
      <c r="AF129" s="1" t="e">
        <f>AE129/VLOOKUP(A129,'[33]geoMap (30)'!$A:$B,2,0)*VLOOKUP(A129,'[33]geoMap (30)'!$A:$C,3,0)</f>
        <v>#REF!</v>
      </c>
      <c r="AG129" s="1" t="e">
        <f>AF129/VLOOKUP(A129,'[34]geoMap (31)'!$A:$B,2,0)*VLOOKUP(A129,'[34]geoMap (31)'!$A:$C,3,0)</f>
        <v>#REF!</v>
      </c>
      <c r="AH129" s="1" t="e">
        <f>AG129/VLOOKUP(A129,'[35]geoMap (32)'!$A:$B,2,0)*VLOOKUP(A129,'[35]geoMap (32)'!$A:$C,3,0)</f>
        <v>#REF!</v>
      </c>
      <c r="AI129" s="1" t="e">
        <f>AH129/VLOOKUP(A129,'[36]geoMap (33)'!$A:$B,2,0)*VLOOKUP(A129,'[36]geoMap (33)'!$A:$C,3,0)</f>
        <v>#REF!</v>
      </c>
      <c r="AJ129" s="1" t="e">
        <f>AI129/VLOOKUP(A129,'[37]geoMap (34)'!$A:$B,2,0)*VLOOKUP(A129,'[37]geoMap (34)'!$A:$C,3,0)</f>
        <v>#REF!</v>
      </c>
      <c r="AK129" s="1" t="e">
        <f>AJ129/VLOOKUP(A129,'[38]geoMap (35)'!$A:$B,2,0)*VLOOKUP(A129,'[38]geoMap (35)'!$A:$C,3,0)</f>
        <v>#REF!</v>
      </c>
      <c r="AL129" s="1" t="e">
        <f>AK129/VLOOKUP(A129,'[39]geoMap (36)'!$A:$B,2,0)*VLOOKUP(A129,'[39]geoMap (36)'!$A:$C,3,0)</f>
        <v>#REF!</v>
      </c>
      <c r="AM129" s="1" t="e">
        <f>AL129/VLOOKUP(A129,'[40]geoMap (37)'!$A:$B,2,0)*VLOOKUP(A129,'[40]geoMap (37)'!$A:$C,3,0)</f>
        <v>#REF!</v>
      </c>
      <c r="AN129" s="1" t="e">
        <f>AM129/VLOOKUP(A129,'[41]geoMap (38)'!$A:$B,2,0)*VLOOKUP(A129,'[41]geoMap (38)'!$A:$C,3,0)</f>
        <v>#REF!</v>
      </c>
      <c r="AO129" s="1" t="e">
        <f>AN129/VLOOKUP(A129,'[42]geoMap (39)'!$A:$B,2,0)*VLOOKUP(A129,'[42]geoMap (39)'!$A:$C,3,0)</f>
        <v>#REF!</v>
      </c>
      <c r="AP129" s="1" t="e">
        <f>AO129/VLOOKUP(A129,'[43]geoMap (40)'!$A:$B,2,0)*VLOOKUP(A129,'[43]geoMap (40)'!$A:$C,3,0)</f>
        <v>#REF!</v>
      </c>
      <c r="AQ129" s="1" t="e">
        <f>AP129/VLOOKUP(A129,'[44]geoMap (41)'!$A:$B,2,0)*VLOOKUP(A129,'[44]geoMap (41)'!$A:$C,3,0)</f>
        <v>#REF!</v>
      </c>
      <c r="AR129" s="1" t="e">
        <f>AQ129/VLOOKUP(A129,'[45]geoMap (42)'!$A:$B,2,0)*VLOOKUP(A129,'[45]geoMap (42)'!$A:$C,3,0)</f>
        <v>#REF!</v>
      </c>
      <c r="AS129" s="1" t="e">
        <f>AR129/VLOOKUP(A129,'[46]geoMap (43)'!$A:$B,2,0)*VLOOKUP(A129,'[46]geoMap (43)'!$A:$C,3,0)</f>
        <v>#REF!</v>
      </c>
      <c r="AT129" s="1" t="e">
        <f>AS129/VLOOKUP(A129,'[47]geoMap (44)'!$A:$B,2,0)*VLOOKUP(A129,'[47]geoMap (44)'!$A:$C,3,0)</f>
        <v>#REF!</v>
      </c>
      <c r="AU129" s="1" t="e">
        <f>AT129/VLOOKUP(A129,'[48]geoMap (45)'!$A:$B,2,0)*VLOOKUP(A129,'[48]geoMap (45)'!$A:$C,3,0)</f>
        <v>#REF!</v>
      </c>
      <c r="AV129" s="1" t="e">
        <f>AU129/VLOOKUP(A129,'[49]geoMap (46)'!$A:$B,2,0)*VLOOKUP(A129,'[49]geoMap (46)'!$A:$C,3,0)</f>
        <v>#REF!</v>
      </c>
      <c r="AW129" s="1" t="e">
        <f>AV129/VLOOKUP(A129,'[50]geoMap (47)'!$A:$B,2,0)*VLOOKUP(A129,'[50]geoMap (47)'!$A:$C,3,0)</f>
        <v>#REF!</v>
      </c>
      <c r="AX129" s="1" t="e">
        <f>AW129/VLOOKUP(A129,'[51]geoMap (48)'!$A:$B,2,0)*VLOOKUP(A129,'[51]geoMap (48)'!$A:$C,3,0)</f>
        <v>#REF!</v>
      </c>
      <c r="AY129" s="1" t="e">
        <f>AX129/VLOOKUP(A129,'[52]geoMap (49)'!$A:$B,2,0)*VLOOKUP(A129,'[52]geoMap (49)'!$A:$C,3,0)</f>
        <v>#REF!</v>
      </c>
      <c r="AZ129" s="1" t="e">
        <f>AY129/VLOOKUP(A129,'[53]geoMap (50)'!$A:$B,2,0)*VLOOKUP(A129,'[53]geoMap (50)'!$A:$C,3,0)</f>
        <v>#REF!</v>
      </c>
      <c r="BA129" s="1" t="e">
        <f>AZ129/VLOOKUP(A129,'[54]geoMap (51)'!$A:$B,2,0)*VLOOKUP(A129,'[54]geoMap (51)'!$A:$C,3,0)</f>
        <v>#REF!</v>
      </c>
      <c r="BB129" s="1" t="e">
        <f>BA129/VLOOKUP(A129,'[55]geoMap (52)'!$A:$B,2,0)*VLOOKUP(A129,'[55]geoMap (52)'!$A:$C,3,0)</f>
        <v>#REF!</v>
      </c>
      <c r="BC129" s="1" t="e">
        <f>BB129/VLOOKUP(A129,'[56]geoMap (53)'!$A:$B,2,0)*VLOOKUP(A129,'[56]geoMap (53)'!$A:$C,3,0)</f>
        <v>#REF!</v>
      </c>
      <c r="BD129" s="1" t="e">
        <f>BC129/VLOOKUP(A129,'[57]geoMap (54)'!$A:$B,2,0)*VLOOKUP(A129,'[57]geoMap (54)'!$A:$C,3,0)</f>
        <v>#REF!</v>
      </c>
      <c r="BE129" s="1" t="e">
        <f>BD129/VLOOKUP(A129,'[58]geoMap (55)'!$A:$B,2,0)*VLOOKUP(A129,'[58]geoMap (55)'!$A:$C,3,0)</f>
        <v>#REF!</v>
      </c>
      <c r="BF129" s="1" t="e">
        <f>BE129/VLOOKUP(A129,'[59]geoMap (56)'!$A:$B,2,0)*VLOOKUP(A129,'[59]geoMap (56)'!$A:$C,3,0)</f>
        <v>#REF!</v>
      </c>
      <c r="BG129" s="1" t="e">
        <f>BF129/VLOOKUP(A129,'[60]geoMap (57)'!$A:$B,2,0)*VLOOKUP(A129,'[60]geoMap (57)'!$A:$C,3,0)</f>
        <v>#REF!</v>
      </c>
      <c r="BH129" s="1" t="e">
        <f>BG129/VLOOKUP(A129,'[61]geoMap (58)'!$A:$B,2,0)*VLOOKUP(A129,'[61]geoMap (58)'!$A:$C,3,0)</f>
        <v>#REF!</v>
      </c>
      <c r="BI129" s="1" t="e">
        <f>BH129/VLOOKUP(A129,'[62]geoMap (59)'!$A:$B,2,0)*VLOOKUP(A129,'[62]geoMap (59)'!$A:$C,3,0)</f>
        <v>#REF!</v>
      </c>
      <c r="BJ129" s="1" t="e">
        <f>BI129/VLOOKUP(A129,'[63]geoMap (60)'!$A:$B,2,0)*VLOOKUP(A129,'[63]geoMap (60)'!$A:$C,3,0)</f>
        <v>#REF!</v>
      </c>
      <c r="BK129" s="1" t="e">
        <f>BJ129/VLOOKUP(A129,'[64]geoMap (61)'!$A:$B,2,0)*VLOOKUP(A129,'[64]geoMap (61)'!$A:$C,3,0)</f>
        <v>#REF!</v>
      </c>
      <c r="BL129" s="1" t="e">
        <f>BK129/VLOOKUP(A129,'[65]geoMap (62)'!$A:$B,2,0)*VLOOKUP(A129,'[65]geoMap (62)'!$A:$C,3,0)</f>
        <v>#REF!</v>
      </c>
      <c r="BM129" s="1" t="e">
        <f>BL129/VLOOKUP(A129,'[66]geoMap (63)'!$A:$B,2,0)*VLOOKUP(A129,'[66]geoMap (63)'!$A:$C,3,0)</f>
        <v>#REF!</v>
      </c>
      <c r="BN129" s="1" t="e">
        <f>BM129/VLOOKUP(A129,'[67]geoMap (64)'!$A:$B,2,0)*VLOOKUP(A129,'[67]geoMap (64)'!$A:$C,3,0)</f>
        <v>#REF!</v>
      </c>
      <c r="BO129" s="1" t="e">
        <f>BN129/VLOOKUP(A129,'[68]geoMap (65)'!$A:$B,2,0)*VLOOKUP(A129,'[68]geoMap (65)'!$A:$C,3,0)</f>
        <v>#REF!</v>
      </c>
      <c r="BP129" s="1" t="e">
        <f>BO129/VLOOKUP(A129,'[69]geoMap (66)'!$A:$B,2,0)*VLOOKUP(A129,'[69]geoMap (66)'!$A:$C,3,0)</f>
        <v>#REF!</v>
      </c>
    </row>
    <row r="130" spans="1:68" hidden="1" x14ac:dyDescent="0.2">
      <c r="A130" s="1" t="s">
        <v>89</v>
      </c>
      <c r="B130" s="1" t="e">
        <f>VLOOKUP(A130,[3]geoMap!$A:$B,2,0)*Notes!$C$6</f>
        <v>#REF!</v>
      </c>
      <c r="C130" s="1" t="e">
        <f>B130/VLOOKUP(A130,'[4]geoMap (1)'!$A:$B,2,0)*VLOOKUP(A130,'[4]geoMap (1)'!$A:$C,3,0)</f>
        <v>#REF!</v>
      </c>
      <c r="D130" s="1" t="e">
        <f>C130/VLOOKUP(A130,'[5]geoMap (2)'!$A:$B,2,0)*VLOOKUP(A130,'[5]geoMap (2)'!$A:$C,3,0)</f>
        <v>#REF!</v>
      </c>
      <c r="E130" s="1" t="e">
        <f>D130/VLOOKUP(A130,'[6]geoMap (3)'!$A:$B,2,0)*VLOOKUP(A130,'[6]geoMap (3)'!$A:$C,3,0)</f>
        <v>#REF!</v>
      </c>
      <c r="F130" s="1" t="e">
        <f>E130/VLOOKUP(A130,'[7]geoMap (4)'!$A:$B,2,0)*VLOOKUP(A130,'[7]geoMap (4)'!$A:$C,3,0)</f>
        <v>#REF!</v>
      </c>
      <c r="G130" s="1" t="e">
        <f>F130/VLOOKUP(A130,'[8]geoMap (5)'!$A:$B,2,0)*VLOOKUP(A130,'[8]geoMap (5)'!$A:$C,3,0)</f>
        <v>#REF!</v>
      </c>
      <c r="H130" s="1" t="e">
        <f>G130/VLOOKUP(A130,'[9]geoMap (6)'!$A:$B,2,0)*VLOOKUP(A130,'[9]geoMap (6)'!$A:$C,3,0)</f>
        <v>#REF!</v>
      </c>
      <c r="I130" s="1" t="e">
        <f>H130/VLOOKUP(A130,'[10]geoMap (7)'!$A:$B,2,0)*VLOOKUP(A130,'[10]geoMap (7)'!$A:$C,3,0)</f>
        <v>#REF!</v>
      </c>
      <c r="J130" s="1" t="e">
        <f>I130/VLOOKUP(A130,'[11]geoMap (8)'!$A:$B,2,0)*VLOOKUP(A130,'[11]geoMap (8)'!$A:$C,3,0)</f>
        <v>#REF!</v>
      </c>
      <c r="K130" s="1" t="e">
        <f>J130/VLOOKUP(A130,'[12]geoMap (9)'!$A:$B,2,0)*VLOOKUP(A130,'[12]geoMap (9)'!$A:$C,3,0)</f>
        <v>#REF!</v>
      </c>
      <c r="L130" s="1" t="e">
        <f>K130/VLOOKUP(A130,'[13]geoMap (10)'!$A:$B,2,0)*VLOOKUP(A130,'[13]geoMap (10)'!$A:$C,3,0)</f>
        <v>#REF!</v>
      </c>
      <c r="M130" s="1" t="e">
        <f>L130/VLOOKUP(A130,'[14]geoMap (11)'!$A:$B,2,0)*VLOOKUP(A130,'[14]geoMap (11)'!$A:$C,3,0)</f>
        <v>#REF!</v>
      </c>
      <c r="N130" s="1" t="e">
        <f>M130/VLOOKUP(A130,'[15]geoMap (12)'!$A:$B,2,0)*VLOOKUP(A130,'[15]geoMap (12)'!$A:$C,3,0)</f>
        <v>#REF!</v>
      </c>
      <c r="O130" s="1" t="e">
        <f>N130/VLOOKUP(A130,'[16]geoMap (13)'!$A:$B,2,0)*VLOOKUP(A130,'[16]geoMap (13)'!$A:$C,3,0)</f>
        <v>#REF!</v>
      </c>
      <c r="P130" s="1" t="e">
        <f>O130/VLOOKUP(A130,'[17]geoMap (14)'!$A:$B,2,0)*VLOOKUP(A130,'[17]geoMap (14)'!$A:$C,3,0)</f>
        <v>#REF!</v>
      </c>
      <c r="Q130" s="1" t="e">
        <f>P130/VLOOKUP(A130,'[18]geoMap (15)'!$A:$B,2,0)*VLOOKUP(A130,'[18]geoMap (15)'!$A:$C,3,0)</f>
        <v>#REF!</v>
      </c>
      <c r="R130" s="1" t="e">
        <f>Q130/VLOOKUP(A130,'[19]geoMap (16)'!$A:$B,2,0)*VLOOKUP(A130,'[19]geoMap (16)'!$A:$C,3,0)</f>
        <v>#REF!</v>
      </c>
      <c r="S130" s="1" t="e">
        <f>R130/VLOOKUP(A130,'[20]geoMap (17)'!$A:$B,2,0)*VLOOKUP(A130,'[20]geoMap (17)'!$A:$C,3,0)</f>
        <v>#REF!</v>
      </c>
      <c r="T130" s="1" t="e">
        <f>S130/VLOOKUP(A130,'[21]geoMap (18)'!$A:$B,2,0)*VLOOKUP(A130,'[21]geoMap (18)'!$A:$C,3,0)</f>
        <v>#REF!</v>
      </c>
      <c r="U130" s="1" t="e">
        <f>T130/VLOOKUP(A130,'[22]geoMap (19)'!$A:$B,2,0)*VLOOKUP(A130,'[22]geoMap (19)'!$A:$C,3,0)</f>
        <v>#REF!</v>
      </c>
      <c r="V130" s="1" t="e">
        <f>U130/VLOOKUP(A130,'[23]geoMap (20)'!$A:$B,2,0)*VLOOKUP(A130,'[23]geoMap (20)'!$A:$C,3,0)</f>
        <v>#REF!</v>
      </c>
      <c r="W130" s="1" t="e">
        <f>V130/VLOOKUP(A130,'[24]geoMap (21)'!$A:$B,2,0)*VLOOKUP(A130,'[24]geoMap (21)'!$A:$C,3,0)</f>
        <v>#REF!</v>
      </c>
      <c r="X130" s="1" t="e">
        <f>W130/VLOOKUP(A130,'[25]geoMap (22)'!$A:$B,2,0)*VLOOKUP(A130,'[25]geoMap (22)'!$A:$C,3,0)</f>
        <v>#REF!</v>
      </c>
      <c r="Y130" s="1" t="e">
        <f>X130/VLOOKUP(A130,'[26]geoMap (23)'!$A:$B,2,0)*VLOOKUP(A130,'[26]geoMap (23)'!$A:$C,3,0)</f>
        <v>#REF!</v>
      </c>
      <c r="Z130" s="1" t="e">
        <f>Y130/VLOOKUP(A130,'[27]geoMap (24)'!$A:$B,2,0)*VLOOKUP(A130,'[27]geoMap (24)'!$A:$C,3,0)</f>
        <v>#REF!</v>
      </c>
      <c r="AA130" s="1" t="e">
        <f>Z130/VLOOKUP(A130,'[28]geoMap (25)'!$A:$B,2,0)*VLOOKUP(A130,'[28]geoMap (25)'!$A:$C,3,0)</f>
        <v>#REF!</v>
      </c>
      <c r="AB130" s="1" t="e">
        <f>AA130*VLOOKUP(A130,'[29]geoMap (26)'!$A:$B,2,0)*VLOOKUP(A130,'[29]geoMap (26)'!$A:$C,3,0)</f>
        <v>#REF!</v>
      </c>
      <c r="AC130" s="1" t="e">
        <f>AB130/VLOOKUP(A130,'[30]geoMap (27)'!$A:$B,2,0)*VLOOKUP(A130,'[30]geoMap (27)'!$A:$C,3,0)</f>
        <v>#REF!</v>
      </c>
      <c r="AD130" s="1" t="e">
        <f>AC130/VLOOKUP(A130,'[31]geoMap (28)'!$A:$B,2,0)*VLOOKUP(A130,'[31]geoMap (28)'!$A:$C,3,0)</f>
        <v>#REF!</v>
      </c>
      <c r="AE130" s="1" t="e">
        <f>AD130/VLOOKUP(A130,'[32]geoMap (29)'!$A:$B,2,0)*VLOOKUP(A130,'[32]geoMap (29)'!$A:$C,3,0)</f>
        <v>#REF!</v>
      </c>
      <c r="AF130" s="1" t="e">
        <f>AE130/VLOOKUP(A130,'[33]geoMap (30)'!$A:$B,2,0)*VLOOKUP(A130,'[33]geoMap (30)'!$A:$C,3,0)</f>
        <v>#REF!</v>
      </c>
      <c r="AG130" s="1" t="e">
        <f>AF130/VLOOKUP(A130,'[34]geoMap (31)'!$A:$B,2,0)*VLOOKUP(A130,'[34]geoMap (31)'!$A:$C,3,0)</f>
        <v>#REF!</v>
      </c>
      <c r="AH130" s="1" t="e">
        <f>AG130/VLOOKUP(A130,'[35]geoMap (32)'!$A:$B,2,0)*VLOOKUP(A130,'[35]geoMap (32)'!$A:$C,3,0)</f>
        <v>#REF!</v>
      </c>
      <c r="AI130" s="1" t="e">
        <f>AH130/VLOOKUP(A130,'[36]geoMap (33)'!$A:$B,2,0)*VLOOKUP(A130,'[36]geoMap (33)'!$A:$C,3,0)</f>
        <v>#REF!</v>
      </c>
      <c r="AJ130" s="1" t="e">
        <f>AI130/VLOOKUP(A130,'[37]geoMap (34)'!$A:$B,2,0)*VLOOKUP(A130,'[37]geoMap (34)'!$A:$C,3,0)</f>
        <v>#REF!</v>
      </c>
      <c r="AK130" s="1" t="e">
        <f>AJ130/VLOOKUP(A130,'[38]geoMap (35)'!$A:$B,2,0)*VLOOKUP(A130,'[38]geoMap (35)'!$A:$C,3,0)</f>
        <v>#REF!</v>
      </c>
      <c r="AL130" s="1" t="e">
        <f>AK130/VLOOKUP(A130,'[39]geoMap (36)'!$A:$B,2,0)*VLOOKUP(A130,'[39]geoMap (36)'!$A:$C,3,0)</f>
        <v>#REF!</v>
      </c>
      <c r="AM130" s="1" t="e">
        <f>AL130/VLOOKUP(A130,'[40]geoMap (37)'!$A:$B,2,0)*VLOOKUP(A130,'[40]geoMap (37)'!$A:$C,3,0)</f>
        <v>#REF!</v>
      </c>
      <c r="AN130" s="1" t="e">
        <f>AM130/VLOOKUP(A130,'[41]geoMap (38)'!$A:$B,2,0)*VLOOKUP(A130,'[41]geoMap (38)'!$A:$C,3,0)</f>
        <v>#REF!</v>
      </c>
      <c r="AO130" s="1" t="e">
        <f>AN130/VLOOKUP(A130,'[42]geoMap (39)'!$A:$B,2,0)*VLOOKUP(A130,'[42]geoMap (39)'!$A:$C,3,0)</f>
        <v>#REF!</v>
      </c>
      <c r="AP130" s="1" t="e">
        <f>AO130/VLOOKUP(A130,'[43]geoMap (40)'!$A:$B,2,0)*VLOOKUP(A130,'[43]geoMap (40)'!$A:$C,3,0)</f>
        <v>#REF!</v>
      </c>
      <c r="AQ130" s="1" t="e">
        <f>AP130/VLOOKUP(A130,'[44]geoMap (41)'!$A:$B,2,0)*VLOOKUP(A130,'[44]geoMap (41)'!$A:$C,3,0)</f>
        <v>#REF!</v>
      </c>
      <c r="AR130" s="1" t="e">
        <f>AQ130/VLOOKUP(A130,'[45]geoMap (42)'!$A:$B,2,0)*VLOOKUP(A130,'[45]geoMap (42)'!$A:$C,3,0)</f>
        <v>#REF!</v>
      </c>
      <c r="AS130" s="1" t="e">
        <f>AR130/VLOOKUP(A130,'[46]geoMap (43)'!$A:$B,2,0)*VLOOKUP(A130,'[46]geoMap (43)'!$A:$C,3,0)</f>
        <v>#REF!</v>
      </c>
      <c r="AT130" s="1" t="e">
        <f>AS130/VLOOKUP(A130,'[47]geoMap (44)'!$A:$B,2,0)*VLOOKUP(A130,'[47]geoMap (44)'!$A:$C,3,0)</f>
        <v>#REF!</v>
      </c>
      <c r="AU130" s="1" t="e">
        <f>AT130/VLOOKUP(A130,'[48]geoMap (45)'!$A:$B,2,0)*VLOOKUP(A130,'[48]geoMap (45)'!$A:$C,3,0)</f>
        <v>#REF!</v>
      </c>
      <c r="AV130" s="1" t="e">
        <f>AU130/VLOOKUP(A130,'[49]geoMap (46)'!$A:$B,2,0)*VLOOKUP(A130,'[49]geoMap (46)'!$A:$C,3,0)</f>
        <v>#REF!</v>
      </c>
      <c r="AW130" s="1" t="e">
        <f>AV130/VLOOKUP(A130,'[50]geoMap (47)'!$A:$B,2,0)*VLOOKUP(A130,'[50]geoMap (47)'!$A:$C,3,0)</f>
        <v>#REF!</v>
      </c>
      <c r="AX130" s="1" t="e">
        <f>AW130/VLOOKUP(A130,'[51]geoMap (48)'!$A:$B,2,0)*VLOOKUP(A130,'[51]geoMap (48)'!$A:$C,3,0)</f>
        <v>#REF!</v>
      </c>
      <c r="AY130" s="1" t="e">
        <f>AX130/VLOOKUP(A130,'[52]geoMap (49)'!$A:$B,2,0)*VLOOKUP(A130,'[52]geoMap (49)'!$A:$C,3,0)</f>
        <v>#REF!</v>
      </c>
      <c r="AZ130" s="1" t="e">
        <f>AY130/VLOOKUP(A130,'[53]geoMap (50)'!$A:$B,2,0)*VLOOKUP(A130,'[53]geoMap (50)'!$A:$C,3,0)</f>
        <v>#REF!</v>
      </c>
      <c r="BA130" s="1" t="e">
        <f>AZ130/VLOOKUP(A130,'[54]geoMap (51)'!$A:$B,2,0)*VLOOKUP(A130,'[54]geoMap (51)'!$A:$C,3,0)</f>
        <v>#REF!</v>
      </c>
      <c r="BB130" s="1" t="e">
        <f>BA130/VLOOKUP(A130,'[55]geoMap (52)'!$A:$B,2,0)*VLOOKUP(A130,'[55]geoMap (52)'!$A:$C,3,0)</f>
        <v>#REF!</v>
      </c>
      <c r="BC130" s="1" t="e">
        <f>BB130/VLOOKUP(A130,'[56]geoMap (53)'!$A:$B,2,0)*VLOOKUP(A130,'[56]geoMap (53)'!$A:$C,3,0)</f>
        <v>#REF!</v>
      </c>
      <c r="BD130" s="1" t="e">
        <f>BC130/VLOOKUP(A130,'[57]geoMap (54)'!$A:$B,2,0)*VLOOKUP(A130,'[57]geoMap (54)'!$A:$C,3,0)</f>
        <v>#REF!</v>
      </c>
      <c r="BE130" s="1" t="e">
        <f>BD130/VLOOKUP(A130,'[58]geoMap (55)'!$A:$B,2,0)*VLOOKUP(A130,'[58]geoMap (55)'!$A:$C,3,0)</f>
        <v>#REF!</v>
      </c>
      <c r="BF130" s="1" t="e">
        <f>BE130/VLOOKUP(A130,'[59]geoMap (56)'!$A:$B,2,0)*VLOOKUP(A130,'[59]geoMap (56)'!$A:$C,3,0)</f>
        <v>#REF!</v>
      </c>
      <c r="BG130" s="1" t="e">
        <f>BF130/VLOOKUP(A130,'[60]geoMap (57)'!$A:$B,2,0)*VLOOKUP(A130,'[60]geoMap (57)'!$A:$C,3,0)</f>
        <v>#REF!</v>
      </c>
      <c r="BH130" s="1" t="e">
        <f>BG130/VLOOKUP(A130,'[61]geoMap (58)'!$A:$B,2,0)*VLOOKUP(A130,'[61]geoMap (58)'!$A:$C,3,0)</f>
        <v>#REF!</v>
      </c>
      <c r="BI130" s="1" t="e">
        <f>BH130/VLOOKUP(A130,'[62]geoMap (59)'!$A:$B,2,0)*VLOOKUP(A130,'[62]geoMap (59)'!$A:$C,3,0)</f>
        <v>#REF!</v>
      </c>
      <c r="BJ130" s="1" t="e">
        <f>BI130/VLOOKUP(A130,'[63]geoMap (60)'!$A:$B,2,0)*VLOOKUP(A130,'[63]geoMap (60)'!$A:$C,3,0)</f>
        <v>#REF!</v>
      </c>
      <c r="BK130" s="1" t="e">
        <f>BJ130/VLOOKUP(A130,'[64]geoMap (61)'!$A:$B,2,0)*VLOOKUP(A130,'[64]geoMap (61)'!$A:$C,3,0)</f>
        <v>#REF!</v>
      </c>
      <c r="BL130" s="1" t="e">
        <f>BK130/VLOOKUP(A130,'[65]geoMap (62)'!$A:$B,2,0)*VLOOKUP(A130,'[65]geoMap (62)'!$A:$C,3,0)</f>
        <v>#REF!</v>
      </c>
      <c r="BM130" s="1" t="e">
        <f>BL130/VLOOKUP(A130,'[66]geoMap (63)'!$A:$B,2,0)*VLOOKUP(A130,'[66]geoMap (63)'!$A:$C,3,0)</f>
        <v>#REF!</v>
      </c>
      <c r="BN130" s="1" t="e">
        <f>BM130/VLOOKUP(A130,'[67]geoMap (64)'!$A:$B,2,0)*VLOOKUP(A130,'[67]geoMap (64)'!$A:$C,3,0)</f>
        <v>#REF!</v>
      </c>
      <c r="BO130" s="1" t="e">
        <f>BN130/VLOOKUP(A130,'[68]geoMap (65)'!$A:$B,2,0)*VLOOKUP(A130,'[68]geoMap (65)'!$A:$C,3,0)</f>
        <v>#REF!</v>
      </c>
      <c r="BP130" s="1" t="e">
        <f>BO130/VLOOKUP(A130,'[69]geoMap (66)'!$A:$B,2,0)*VLOOKUP(A130,'[69]geoMap (66)'!$A:$C,3,0)</f>
        <v>#REF!</v>
      </c>
    </row>
    <row r="131" spans="1:68" hidden="1" x14ac:dyDescent="0.2">
      <c r="A131" s="1" t="s">
        <v>90</v>
      </c>
      <c r="B131" s="1" t="e">
        <f>VLOOKUP(A131,[3]geoMap!$A:$B,2,0)*Notes!$C$6</f>
        <v>#REF!</v>
      </c>
      <c r="C131" s="1" t="e">
        <f>B131/VLOOKUP(A131,'[4]geoMap (1)'!$A:$B,2,0)*VLOOKUP(A131,'[4]geoMap (1)'!$A:$C,3,0)</f>
        <v>#REF!</v>
      </c>
      <c r="D131" s="1" t="e">
        <f>C131/VLOOKUP(A131,'[5]geoMap (2)'!$A:$B,2,0)*VLOOKUP(A131,'[5]geoMap (2)'!$A:$C,3,0)</f>
        <v>#REF!</v>
      </c>
      <c r="E131" s="1" t="e">
        <f>D131/VLOOKUP(A131,'[6]geoMap (3)'!$A:$B,2,0)*VLOOKUP(A131,'[6]geoMap (3)'!$A:$C,3,0)</f>
        <v>#REF!</v>
      </c>
      <c r="F131" s="1" t="e">
        <f>E131/VLOOKUP(A131,'[7]geoMap (4)'!$A:$B,2,0)*VLOOKUP(A131,'[7]geoMap (4)'!$A:$C,3,0)</f>
        <v>#REF!</v>
      </c>
      <c r="G131" s="1" t="e">
        <f>F131/VLOOKUP(A131,'[8]geoMap (5)'!$A:$B,2,0)*VLOOKUP(A131,'[8]geoMap (5)'!$A:$C,3,0)</f>
        <v>#REF!</v>
      </c>
      <c r="H131" s="1" t="e">
        <f>G131/VLOOKUP(A131,'[9]geoMap (6)'!$A:$B,2,0)*VLOOKUP(A131,'[9]geoMap (6)'!$A:$C,3,0)</f>
        <v>#REF!</v>
      </c>
      <c r="I131" s="1" t="e">
        <f>H131/VLOOKUP(A131,'[10]geoMap (7)'!$A:$B,2,0)*VLOOKUP(A131,'[10]geoMap (7)'!$A:$C,3,0)</f>
        <v>#REF!</v>
      </c>
      <c r="J131" s="1" t="e">
        <f>I131/VLOOKUP(A131,'[11]geoMap (8)'!$A:$B,2,0)*VLOOKUP(A131,'[11]geoMap (8)'!$A:$C,3,0)</f>
        <v>#REF!</v>
      </c>
      <c r="K131" s="1" t="e">
        <f>J131/VLOOKUP(A131,'[12]geoMap (9)'!$A:$B,2,0)*VLOOKUP(A131,'[12]geoMap (9)'!$A:$C,3,0)</f>
        <v>#REF!</v>
      </c>
      <c r="L131" s="1" t="e">
        <f>K131/VLOOKUP(A131,'[13]geoMap (10)'!$A:$B,2,0)*VLOOKUP(A131,'[13]geoMap (10)'!$A:$C,3,0)</f>
        <v>#REF!</v>
      </c>
      <c r="M131" s="1" t="e">
        <f>L131/VLOOKUP(A131,'[14]geoMap (11)'!$A:$B,2,0)*VLOOKUP(A131,'[14]geoMap (11)'!$A:$C,3,0)</f>
        <v>#REF!</v>
      </c>
      <c r="N131" s="1" t="e">
        <f>M131/VLOOKUP(A131,'[15]geoMap (12)'!$A:$B,2,0)*VLOOKUP(A131,'[15]geoMap (12)'!$A:$C,3,0)</f>
        <v>#REF!</v>
      </c>
      <c r="O131" s="1" t="e">
        <f>N131/VLOOKUP(A131,'[16]geoMap (13)'!$A:$B,2,0)*VLOOKUP(A131,'[16]geoMap (13)'!$A:$C,3,0)</f>
        <v>#REF!</v>
      </c>
      <c r="P131" s="1" t="e">
        <f>O131/VLOOKUP(A131,'[17]geoMap (14)'!$A:$B,2,0)*VLOOKUP(A131,'[17]geoMap (14)'!$A:$C,3,0)</f>
        <v>#REF!</v>
      </c>
      <c r="Q131" s="1" t="e">
        <f>P131/VLOOKUP(A131,'[18]geoMap (15)'!$A:$B,2,0)*VLOOKUP(A131,'[18]geoMap (15)'!$A:$C,3,0)</f>
        <v>#REF!</v>
      </c>
      <c r="R131" s="1" t="e">
        <f>Q131/VLOOKUP(A131,'[19]geoMap (16)'!$A:$B,2,0)*VLOOKUP(A131,'[19]geoMap (16)'!$A:$C,3,0)</f>
        <v>#REF!</v>
      </c>
      <c r="S131" s="1" t="e">
        <f>R131/VLOOKUP(A131,'[20]geoMap (17)'!$A:$B,2,0)*VLOOKUP(A131,'[20]geoMap (17)'!$A:$C,3,0)</f>
        <v>#REF!</v>
      </c>
      <c r="T131" s="1" t="e">
        <f>S131/VLOOKUP(A131,'[21]geoMap (18)'!$A:$B,2,0)*VLOOKUP(A131,'[21]geoMap (18)'!$A:$C,3,0)</f>
        <v>#REF!</v>
      </c>
      <c r="U131" s="1" t="e">
        <f>T131/VLOOKUP(A131,'[22]geoMap (19)'!$A:$B,2,0)*VLOOKUP(A131,'[22]geoMap (19)'!$A:$C,3,0)</f>
        <v>#REF!</v>
      </c>
      <c r="V131" s="1" t="e">
        <f>U131/VLOOKUP(A131,'[23]geoMap (20)'!$A:$B,2,0)*VLOOKUP(A131,'[23]geoMap (20)'!$A:$C,3,0)</f>
        <v>#REF!</v>
      </c>
      <c r="W131" s="1" t="e">
        <f>V131/VLOOKUP(A131,'[24]geoMap (21)'!$A:$B,2,0)*VLOOKUP(A131,'[24]geoMap (21)'!$A:$C,3,0)</f>
        <v>#REF!</v>
      </c>
      <c r="X131" s="1" t="e">
        <f>W131/VLOOKUP(A131,'[25]geoMap (22)'!$A:$B,2,0)*VLOOKUP(A131,'[25]geoMap (22)'!$A:$C,3,0)</f>
        <v>#REF!</v>
      </c>
      <c r="Y131" s="1" t="e">
        <f>X131/VLOOKUP(A131,'[26]geoMap (23)'!$A:$B,2,0)*VLOOKUP(A131,'[26]geoMap (23)'!$A:$C,3,0)</f>
        <v>#REF!</v>
      </c>
      <c r="Z131" s="1" t="e">
        <f>Y131/VLOOKUP(A131,'[27]geoMap (24)'!$A:$B,2,0)*VLOOKUP(A131,'[27]geoMap (24)'!$A:$C,3,0)</f>
        <v>#REF!</v>
      </c>
      <c r="AA131" s="1" t="e">
        <f>Z131/VLOOKUP(A131,'[28]geoMap (25)'!$A:$B,2,0)*VLOOKUP(A131,'[28]geoMap (25)'!$A:$C,3,0)</f>
        <v>#REF!</v>
      </c>
      <c r="AB131" s="1" t="e">
        <f>AA131*VLOOKUP(A131,'[29]geoMap (26)'!$A:$B,2,0)*VLOOKUP(A131,'[29]geoMap (26)'!$A:$C,3,0)</f>
        <v>#REF!</v>
      </c>
      <c r="AC131" s="1" t="e">
        <f>AB131/VLOOKUP(A131,'[30]geoMap (27)'!$A:$B,2,0)*VLOOKUP(A131,'[30]geoMap (27)'!$A:$C,3,0)</f>
        <v>#REF!</v>
      </c>
      <c r="AD131" s="1" t="e">
        <f>AC131/VLOOKUP(A131,'[31]geoMap (28)'!$A:$B,2,0)*VLOOKUP(A131,'[31]geoMap (28)'!$A:$C,3,0)</f>
        <v>#REF!</v>
      </c>
      <c r="AE131" s="1" t="e">
        <f>AD131/VLOOKUP(A131,'[32]geoMap (29)'!$A:$B,2,0)*VLOOKUP(A131,'[32]geoMap (29)'!$A:$C,3,0)</f>
        <v>#REF!</v>
      </c>
      <c r="AF131" s="1" t="e">
        <f>AE131/VLOOKUP(A131,'[33]geoMap (30)'!$A:$B,2,0)*VLOOKUP(A131,'[33]geoMap (30)'!$A:$C,3,0)</f>
        <v>#REF!</v>
      </c>
      <c r="AG131" s="1" t="e">
        <f>AF131/VLOOKUP(A131,'[34]geoMap (31)'!$A:$B,2,0)*VLOOKUP(A131,'[34]geoMap (31)'!$A:$C,3,0)</f>
        <v>#REF!</v>
      </c>
      <c r="AH131" s="1" t="e">
        <f>AG131/VLOOKUP(A131,'[35]geoMap (32)'!$A:$B,2,0)*VLOOKUP(A131,'[35]geoMap (32)'!$A:$C,3,0)</f>
        <v>#REF!</v>
      </c>
      <c r="AI131" s="1" t="e">
        <f>AH131/VLOOKUP(A131,'[36]geoMap (33)'!$A:$B,2,0)*VLOOKUP(A131,'[36]geoMap (33)'!$A:$C,3,0)</f>
        <v>#REF!</v>
      </c>
      <c r="AJ131" s="1" t="e">
        <f>AI131/VLOOKUP(A131,'[37]geoMap (34)'!$A:$B,2,0)*VLOOKUP(A131,'[37]geoMap (34)'!$A:$C,3,0)</f>
        <v>#REF!</v>
      </c>
      <c r="AK131" s="1" t="e">
        <f>AJ131/VLOOKUP(A131,'[38]geoMap (35)'!$A:$B,2,0)*VLOOKUP(A131,'[38]geoMap (35)'!$A:$C,3,0)</f>
        <v>#REF!</v>
      </c>
      <c r="AL131" s="1" t="e">
        <f>AK131/VLOOKUP(A131,'[39]geoMap (36)'!$A:$B,2,0)*VLOOKUP(A131,'[39]geoMap (36)'!$A:$C,3,0)</f>
        <v>#REF!</v>
      </c>
      <c r="AM131" s="1" t="e">
        <f>AL131/VLOOKUP(A131,'[40]geoMap (37)'!$A:$B,2,0)*VLOOKUP(A131,'[40]geoMap (37)'!$A:$C,3,0)</f>
        <v>#REF!</v>
      </c>
      <c r="AN131" s="1" t="e">
        <f>AM131/VLOOKUP(A131,'[41]geoMap (38)'!$A:$B,2,0)*VLOOKUP(A131,'[41]geoMap (38)'!$A:$C,3,0)</f>
        <v>#REF!</v>
      </c>
      <c r="AO131" s="1" t="e">
        <f>AN131/VLOOKUP(A131,'[42]geoMap (39)'!$A:$B,2,0)*VLOOKUP(A131,'[42]geoMap (39)'!$A:$C,3,0)</f>
        <v>#REF!</v>
      </c>
      <c r="AP131" s="1" t="e">
        <f>AO131/VLOOKUP(A131,'[43]geoMap (40)'!$A:$B,2,0)*VLOOKUP(A131,'[43]geoMap (40)'!$A:$C,3,0)</f>
        <v>#REF!</v>
      </c>
      <c r="AQ131" s="1" t="e">
        <f>AP131/VLOOKUP(A131,'[44]geoMap (41)'!$A:$B,2,0)*VLOOKUP(A131,'[44]geoMap (41)'!$A:$C,3,0)</f>
        <v>#REF!</v>
      </c>
      <c r="AR131" s="1" t="e">
        <f>AQ131/VLOOKUP(A131,'[45]geoMap (42)'!$A:$B,2,0)*VLOOKUP(A131,'[45]geoMap (42)'!$A:$C,3,0)</f>
        <v>#REF!</v>
      </c>
      <c r="AS131" s="1" t="e">
        <f>AR131/VLOOKUP(A131,'[46]geoMap (43)'!$A:$B,2,0)*VLOOKUP(A131,'[46]geoMap (43)'!$A:$C,3,0)</f>
        <v>#REF!</v>
      </c>
      <c r="AT131" s="1" t="e">
        <f>AS131/VLOOKUP(A131,'[47]geoMap (44)'!$A:$B,2,0)*VLOOKUP(A131,'[47]geoMap (44)'!$A:$C,3,0)</f>
        <v>#REF!</v>
      </c>
      <c r="AU131" s="1" t="e">
        <f>AT131/VLOOKUP(A131,'[48]geoMap (45)'!$A:$B,2,0)*VLOOKUP(A131,'[48]geoMap (45)'!$A:$C,3,0)</f>
        <v>#REF!</v>
      </c>
      <c r="AV131" s="1" t="e">
        <f>AU131/VLOOKUP(A131,'[49]geoMap (46)'!$A:$B,2,0)*VLOOKUP(A131,'[49]geoMap (46)'!$A:$C,3,0)</f>
        <v>#REF!</v>
      </c>
      <c r="AW131" s="1" t="e">
        <f>AV131/VLOOKUP(A131,'[50]geoMap (47)'!$A:$B,2,0)*VLOOKUP(A131,'[50]geoMap (47)'!$A:$C,3,0)</f>
        <v>#REF!</v>
      </c>
      <c r="AX131" s="1" t="e">
        <f>AW131/VLOOKUP(A131,'[51]geoMap (48)'!$A:$B,2,0)*VLOOKUP(A131,'[51]geoMap (48)'!$A:$C,3,0)</f>
        <v>#REF!</v>
      </c>
      <c r="AY131" s="1" t="e">
        <f>AX131/VLOOKUP(A131,'[52]geoMap (49)'!$A:$B,2,0)*VLOOKUP(A131,'[52]geoMap (49)'!$A:$C,3,0)</f>
        <v>#REF!</v>
      </c>
      <c r="AZ131" s="1" t="e">
        <f>AY131/VLOOKUP(A131,'[53]geoMap (50)'!$A:$B,2,0)*VLOOKUP(A131,'[53]geoMap (50)'!$A:$C,3,0)</f>
        <v>#REF!</v>
      </c>
      <c r="BA131" s="1" t="e">
        <f>AZ131/VLOOKUP(A131,'[54]geoMap (51)'!$A:$B,2,0)*VLOOKUP(A131,'[54]geoMap (51)'!$A:$C,3,0)</f>
        <v>#REF!</v>
      </c>
      <c r="BB131" s="1" t="e">
        <f>BA131/VLOOKUP(A131,'[55]geoMap (52)'!$A:$B,2,0)*VLOOKUP(A131,'[55]geoMap (52)'!$A:$C,3,0)</f>
        <v>#REF!</v>
      </c>
      <c r="BC131" s="1" t="e">
        <f>BB131/VLOOKUP(A131,'[56]geoMap (53)'!$A:$B,2,0)*VLOOKUP(A131,'[56]geoMap (53)'!$A:$C,3,0)</f>
        <v>#REF!</v>
      </c>
      <c r="BD131" s="1" t="e">
        <f>BC131/VLOOKUP(A131,'[57]geoMap (54)'!$A:$B,2,0)*VLOOKUP(A131,'[57]geoMap (54)'!$A:$C,3,0)</f>
        <v>#REF!</v>
      </c>
      <c r="BE131" s="1" t="e">
        <f>BD131/VLOOKUP(A131,'[58]geoMap (55)'!$A:$B,2,0)*VLOOKUP(A131,'[58]geoMap (55)'!$A:$C,3,0)</f>
        <v>#REF!</v>
      </c>
      <c r="BF131" s="1" t="e">
        <f>BE131/VLOOKUP(A131,'[59]geoMap (56)'!$A:$B,2,0)*VLOOKUP(A131,'[59]geoMap (56)'!$A:$C,3,0)</f>
        <v>#REF!</v>
      </c>
      <c r="BG131" s="1" t="e">
        <f>BF131/VLOOKUP(A131,'[60]geoMap (57)'!$A:$B,2,0)*VLOOKUP(A131,'[60]geoMap (57)'!$A:$C,3,0)</f>
        <v>#REF!</v>
      </c>
      <c r="BH131" s="1" t="e">
        <f>BG131/VLOOKUP(A131,'[61]geoMap (58)'!$A:$B,2,0)*VLOOKUP(A131,'[61]geoMap (58)'!$A:$C,3,0)</f>
        <v>#REF!</v>
      </c>
      <c r="BI131" s="1" t="e">
        <f>BH131/VLOOKUP(A131,'[62]geoMap (59)'!$A:$B,2,0)*VLOOKUP(A131,'[62]geoMap (59)'!$A:$C,3,0)</f>
        <v>#REF!</v>
      </c>
      <c r="BJ131" s="1" t="e">
        <f>BI131/VLOOKUP(A131,'[63]geoMap (60)'!$A:$B,2,0)*VLOOKUP(A131,'[63]geoMap (60)'!$A:$C,3,0)</f>
        <v>#REF!</v>
      </c>
      <c r="BK131" s="1" t="e">
        <f>BJ131/VLOOKUP(A131,'[64]geoMap (61)'!$A:$B,2,0)*VLOOKUP(A131,'[64]geoMap (61)'!$A:$C,3,0)</f>
        <v>#REF!</v>
      </c>
      <c r="BL131" s="1" t="e">
        <f>BK131/VLOOKUP(A131,'[65]geoMap (62)'!$A:$B,2,0)*VLOOKUP(A131,'[65]geoMap (62)'!$A:$C,3,0)</f>
        <v>#REF!</v>
      </c>
      <c r="BM131" s="1" t="e">
        <f>BL131/VLOOKUP(A131,'[66]geoMap (63)'!$A:$B,2,0)*VLOOKUP(A131,'[66]geoMap (63)'!$A:$C,3,0)</f>
        <v>#REF!</v>
      </c>
      <c r="BN131" s="1" t="e">
        <f>BM131/VLOOKUP(A131,'[67]geoMap (64)'!$A:$B,2,0)*VLOOKUP(A131,'[67]geoMap (64)'!$A:$C,3,0)</f>
        <v>#REF!</v>
      </c>
      <c r="BO131" s="1" t="e">
        <f>BN131/VLOOKUP(A131,'[68]geoMap (65)'!$A:$B,2,0)*VLOOKUP(A131,'[68]geoMap (65)'!$A:$C,3,0)</f>
        <v>#REF!</v>
      </c>
      <c r="BP131" s="1" t="e">
        <f>BO131/VLOOKUP(A131,'[69]geoMap (66)'!$A:$B,2,0)*VLOOKUP(A131,'[69]geoMap (66)'!$A:$C,3,0)</f>
        <v>#REF!</v>
      </c>
    </row>
    <row r="132" spans="1:68" hidden="1" x14ac:dyDescent="0.2">
      <c r="A132" s="1" t="s">
        <v>91</v>
      </c>
      <c r="B132" s="1" t="e">
        <f>VLOOKUP(A132,[3]geoMap!$A:$B,2,0)*Notes!$C$6</f>
        <v>#REF!</v>
      </c>
      <c r="C132" s="1" t="e">
        <f>B132/VLOOKUP(A132,'[4]geoMap (1)'!$A:$B,2,0)*VLOOKUP(A132,'[4]geoMap (1)'!$A:$C,3,0)</f>
        <v>#REF!</v>
      </c>
      <c r="D132" s="1" t="e">
        <f>C132/VLOOKUP(A132,'[5]geoMap (2)'!$A:$B,2,0)*VLOOKUP(A132,'[5]geoMap (2)'!$A:$C,3,0)</f>
        <v>#REF!</v>
      </c>
      <c r="E132" s="1" t="e">
        <f>D132/VLOOKUP(A132,'[6]geoMap (3)'!$A:$B,2,0)*VLOOKUP(A132,'[6]geoMap (3)'!$A:$C,3,0)</f>
        <v>#REF!</v>
      </c>
      <c r="F132" s="1" t="e">
        <f>E132/VLOOKUP(A132,'[7]geoMap (4)'!$A:$B,2,0)*VLOOKUP(A132,'[7]geoMap (4)'!$A:$C,3,0)</f>
        <v>#REF!</v>
      </c>
      <c r="G132" s="1" t="e">
        <f>F132/VLOOKUP(A132,'[8]geoMap (5)'!$A:$B,2,0)*VLOOKUP(A132,'[8]geoMap (5)'!$A:$C,3,0)</f>
        <v>#REF!</v>
      </c>
      <c r="H132" s="1" t="e">
        <f>G132/VLOOKUP(A132,'[9]geoMap (6)'!$A:$B,2,0)*VLOOKUP(A132,'[9]geoMap (6)'!$A:$C,3,0)</f>
        <v>#REF!</v>
      </c>
      <c r="I132" s="1" t="e">
        <f>H132/VLOOKUP(A132,'[10]geoMap (7)'!$A:$B,2,0)*VLOOKUP(A132,'[10]geoMap (7)'!$A:$C,3,0)</f>
        <v>#REF!</v>
      </c>
      <c r="J132" s="1" t="e">
        <f>I132/VLOOKUP(A132,'[11]geoMap (8)'!$A:$B,2,0)*VLOOKUP(A132,'[11]geoMap (8)'!$A:$C,3,0)</f>
        <v>#REF!</v>
      </c>
      <c r="K132" s="1" t="e">
        <f>J132/VLOOKUP(A132,'[12]geoMap (9)'!$A:$B,2,0)*VLOOKUP(A132,'[12]geoMap (9)'!$A:$C,3,0)</f>
        <v>#REF!</v>
      </c>
      <c r="L132" s="1" t="e">
        <f>K132/VLOOKUP(A132,'[13]geoMap (10)'!$A:$B,2,0)*VLOOKUP(A132,'[13]geoMap (10)'!$A:$C,3,0)</f>
        <v>#REF!</v>
      </c>
      <c r="M132" s="1" t="e">
        <f>L132/VLOOKUP(A132,'[14]geoMap (11)'!$A:$B,2,0)*VLOOKUP(A132,'[14]geoMap (11)'!$A:$C,3,0)</f>
        <v>#REF!</v>
      </c>
      <c r="N132" s="1" t="e">
        <f>M132/VLOOKUP(A132,'[15]geoMap (12)'!$A:$B,2,0)*VLOOKUP(A132,'[15]geoMap (12)'!$A:$C,3,0)</f>
        <v>#REF!</v>
      </c>
      <c r="O132" s="1" t="e">
        <f>N132/VLOOKUP(A132,'[16]geoMap (13)'!$A:$B,2,0)*VLOOKUP(A132,'[16]geoMap (13)'!$A:$C,3,0)</f>
        <v>#REF!</v>
      </c>
      <c r="P132" s="1" t="e">
        <f>O132/VLOOKUP(A132,'[17]geoMap (14)'!$A:$B,2,0)*VLOOKUP(A132,'[17]geoMap (14)'!$A:$C,3,0)</f>
        <v>#REF!</v>
      </c>
      <c r="Q132" s="1" t="e">
        <f>P132/VLOOKUP(A132,'[18]geoMap (15)'!$A:$B,2,0)*VLOOKUP(A132,'[18]geoMap (15)'!$A:$C,3,0)</f>
        <v>#REF!</v>
      </c>
      <c r="R132" s="1" t="e">
        <f>Q132/VLOOKUP(A132,'[19]geoMap (16)'!$A:$B,2,0)*VLOOKUP(A132,'[19]geoMap (16)'!$A:$C,3,0)</f>
        <v>#REF!</v>
      </c>
      <c r="S132" s="1" t="e">
        <f>R132/VLOOKUP(A132,'[20]geoMap (17)'!$A:$B,2,0)*VLOOKUP(A132,'[20]geoMap (17)'!$A:$C,3,0)</f>
        <v>#REF!</v>
      </c>
      <c r="T132" s="1" t="e">
        <f>S132/VLOOKUP(A132,'[21]geoMap (18)'!$A:$B,2,0)*VLOOKUP(A132,'[21]geoMap (18)'!$A:$C,3,0)</f>
        <v>#REF!</v>
      </c>
      <c r="U132" s="1" t="e">
        <f>T132/VLOOKUP(A132,'[22]geoMap (19)'!$A:$B,2,0)*VLOOKUP(A132,'[22]geoMap (19)'!$A:$C,3,0)</f>
        <v>#REF!</v>
      </c>
      <c r="V132" s="1" t="e">
        <f>U132/VLOOKUP(A132,'[23]geoMap (20)'!$A:$B,2,0)*VLOOKUP(A132,'[23]geoMap (20)'!$A:$C,3,0)</f>
        <v>#REF!</v>
      </c>
      <c r="W132" s="1" t="e">
        <f>V132/VLOOKUP(A132,'[24]geoMap (21)'!$A:$B,2,0)*VLOOKUP(A132,'[24]geoMap (21)'!$A:$C,3,0)</f>
        <v>#REF!</v>
      </c>
      <c r="X132" s="1" t="e">
        <f>W132/VLOOKUP(A132,'[25]geoMap (22)'!$A:$B,2,0)*VLOOKUP(A132,'[25]geoMap (22)'!$A:$C,3,0)</f>
        <v>#REF!</v>
      </c>
      <c r="Y132" s="1" t="e">
        <f>X132/VLOOKUP(A132,'[26]geoMap (23)'!$A:$B,2,0)*VLOOKUP(A132,'[26]geoMap (23)'!$A:$C,3,0)</f>
        <v>#REF!</v>
      </c>
      <c r="Z132" s="1" t="e">
        <f>Y132/VLOOKUP(A132,'[27]geoMap (24)'!$A:$B,2,0)*VLOOKUP(A132,'[27]geoMap (24)'!$A:$C,3,0)</f>
        <v>#REF!</v>
      </c>
      <c r="AA132" s="1" t="e">
        <f>Z132/VLOOKUP(A132,'[28]geoMap (25)'!$A:$B,2,0)*VLOOKUP(A132,'[28]geoMap (25)'!$A:$C,3,0)</f>
        <v>#REF!</v>
      </c>
      <c r="AB132" s="1" t="e">
        <f>AA132*VLOOKUP(A132,'[29]geoMap (26)'!$A:$B,2,0)*VLOOKUP(A132,'[29]geoMap (26)'!$A:$C,3,0)</f>
        <v>#REF!</v>
      </c>
      <c r="AC132" s="1" t="e">
        <f>AB132/VLOOKUP(A132,'[30]geoMap (27)'!$A:$B,2,0)*VLOOKUP(A132,'[30]geoMap (27)'!$A:$C,3,0)</f>
        <v>#REF!</v>
      </c>
      <c r="AD132" s="1" t="e">
        <f>AC132/VLOOKUP(A132,'[31]geoMap (28)'!$A:$B,2,0)*VLOOKUP(A132,'[31]geoMap (28)'!$A:$C,3,0)</f>
        <v>#REF!</v>
      </c>
      <c r="AE132" s="1" t="e">
        <f>AD132/VLOOKUP(A132,'[32]geoMap (29)'!$A:$B,2,0)*VLOOKUP(A132,'[32]geoMap (29)'!$A:$C,3,0)</f>
        <v>#REF!</v>
      </c>
      <c r="AF132" s="1" t="e">
        <f>AE132/VLOOKUP(A132,'[33]geoMap (30)'!$A:$B,2,0)*VLOOKUP(A132,'[33]geoMap (30)'!$A:$C,3,0)</f>
        <v>#REF!</v>
      </c>
      <c r="AG132" s="1" t="e">
        <f>AF132/VLOOKUP(A132,'[34]geoMap (31)'!$A:$B,2,0)*VLOOKUP(A132,'[34]geoMap (31)'!$A:$C,3,0)</f>
        <v>#REF!</v>
      </c>
      <c r="AH132" s="1" t="e">
        <f>AG132/VLOOKUP(A132,'[35]geoMap (32)'!$A:$B,2,0)*VLOOKUP(A132,'[35]geoMap (32)'!$A:$C,3,0)</f>
        <v>#REF!</v>
      </c>
      <c r="AI132" s="1" t="e">
        <f>AH132/VLOOKUP(A132,'[36]geoMap (33)'!$A:$B,2,0)*VLOOKUP(A132,'[36]geoMap (33)'!$A:$C,3,0)</f>
        <v>#REF!</v>
      </c>
      <c r="AJ132" s="1" t="e">
        <f>AI132/VLOOKUP(A132,'[37]geoMap (34)'!$A:$B,2,0)*VLOOKUP(A132,'[37]geoMap (34)'!$A:$C,3,0)</f>
        <v>#REF!</v>
      </c>
      <c r="AK132" s="1" t="e">
        <f>AJ132/VLOOKUP(A132,'[38]geoMap (35)'!$A:$B,2,0)*VLOOKUP(A132,'[38]geoMap (35)'!$A:$C,3,0)</f>
        <v>#REF!</v>
      </c>
      <c r="AL132" s="1" t="e">
        <f>AK132/VLOOKUP(A132,'[39]geoMap (36)'!$A:$B,2,0)*VLOOKUP(A132,'[39]geoMap (36)'!$A:$C,3,0)</f>
        <v>#REF!</v>
      </c>
      <c r="AM132" s="1" t="e">
        <f>AL132/VLOOKUP(A132,'[40]geoMap (37)'!$A:$B,2,0)*VLOOKUP(A132,'[40]geoMap (37)'!$A:$C,3,0)</f>
        <v>#REF!</v>
      </c>
      <c r="AN132" s="1" t="e">
        <f>AM132/VLOOKUP(A132,'[41]geoMap (38)'!$A:$B,2,0)*VLOOKUP(A132,'[41]geoMap (38)'!$A:$C,3,0)</f>
        <v>#REF!</v>
      </c>
      <c r="AO132" s="1" t="e">
        <f>AN132/VLOOKUP(A132,'[42]geoMap (39)'!$A:$B,2,0)*VLOOKUP(A132,'[42]geoMap (39)'!$A:$C,3,0)</f>
        <v>#REF!</v>
      </c>
      <c r="AP132" s="1" t="e">
        <f>AO132/VLOOKUP(A132,'[43]geoMap (40)'!$A:$B,2,0)*VLOOKUP(A132,'[43]geoMap (40)'!$A:$C,3,0)</f>
        <v>#REF!</v>
      </c>
      <c r="AQ132" s="1" t="e">
        <f>AP132/VLOOKUP(A132,'[44]geoMap (41)'!$A:$B,2,0)*VLOOKUP(A132,'[44]geoMap (41)'!$A:$C,3,0)</f>
        <v>#REF!</v>
      </c>
      <c r="AR132" s="1" t="e">
        <f>AQ132/VLOOKUP(A132,'[45]geoMap (42)'!$A:$B,2,0)*VLOOKUP(A132,'[45]geoMap (42)'!$A:$C,3,0)</f>
        <v>#REF!</v>
      </c>
      <c r="AS132" s="1" t="e">
        <f>AR132/VLOOKUP(A132,'[46]geoMap (43)'!$A:$B,2,0)*VLOOKUP(A132,'[46]geoMap (43)'!$A:$C,3,0)</f>
        <v>#REF!</v>
      </c>
      <c r="AT132" s="1" t="e">
        <f>AS132/VLOOKUP(A132,'[47]geoMap (44)'!$A:$B,2,0)*VLOOKUP(A132,'[47]geoMap (44)'!$A:$C,3,0)</f>
        <v>#REF!</v>
      </c>
      <c r="AU132" s="1" t="e">
        <f>AT132/VLOOKUP(A132,'[48]geoMap (45)'!$A:$B,2,0)*VLOOKUP(A132,'[48]geoMap (45)'!$A:$C,3,0)</f>
        <v>#REF!</v>
      </c>
      <c r="AV132" s="1" t="e">
        <f>AU132/VLOOKUP(A132,'[49]geoMap (46)'!$A:$B,2,0)*VLOOKUP(A132,'[49]geoMap (46)'!$A:$C,3,0)</f>
        <v>#REF!</v>
      </c>
      <c r="AW132" s="1" t="e">
        <f>AV132/VLOOKUP(A132,'[50]geoMap (47)'!$A:$B,2,0)*VLOOKUP(A132,'[50]geoMap (47)'!$A:$C,3,0)</f>
        <v>#REF!</v>
      </c>
      <c r="AX132" s="1" t="e">
        <f>AW132/VLOOKUP(A132,'[51]geoMap (48)'!$A:$B,2,0)*VLOOKUP(A132,'[51]geoMap (48)'!$A:$C,3,0)</f>
        <v>#REF!</v>
      </c>
      <c r="AY132" s="1" t="e">
        <f>AX132/VLOOKUP(A132,'[52]geoMap (49)'!$A:$B,2,0)*VLOOKUP(A132,'[52]geoMap (49)'!$A:$C,3,0)</f>
        <v>#REF!</v>
      </c>
      <c r="AZ132" s="1" t="e">
        <f>AY132/VLOOKUP(A132,'[53]geoMap (50)'!$A:$B,2,0)*VLOOKUP(A132,'[53]geoMap (50)'!$A:$C,3,0)</f>
        <v>#REF!</v>
      </c>
      <c r="BA132" s="1" t="e">
        <f>AZ132/VLOOKUP(A132,'[54]geoMap (51)'!$A:$B,2,0)*VLOOKUP(A132,'[54]geoMap (51)'!$A:$C,3,0)</f>
        <v>#REF!</v>
      </c>
      <c r="BB132" s="1" t="e">
        <f>BA132/VLOOKUP(A132,'[55]geoMap (52)'!$A:$B,2,0)*VLOOKUP(A132,'[55]geoMap (52)'!$A:$C,3,0)</f>
        <v>#REF!</v>
      </c>
      <c r="BC132" s="1" t="e">
        <f>BB132/VLOOKUP(A132,'[56]geoMap (53)'!$A:$B,2,0)*VLOOKUP(A132,'[56]geoMap (53)'!$A:$C,3,0)</f>
        <v>#REF!</v>
      </c>
      <c r="BD132" s="1" t="e">
        <f>BC132/VLOOKUP(A132,'[57]geoMap (54)'!$A:$B,2,0)*VLOOKUP(A132,'[57]geoMap (54)'!$A:$C,3,0)</f>
        <v>#REF!</v>
      </c>
      <c r="BE132" s="1" t="e">
        <f>BD132/VLOOKUP(A132,'[58]geoMap (55)'!$A:$B,2,0)*VLOOKUP(A132,'[58]geoMap (55)'!$A:$C,3,0)</f>
        <v>#REF!</v>
      </c>
      <c r="BF132" s="1" t="e">
        <f>BE132/VLOOKUP(A132,'[59]geoMap (56)'!$A:$B,2,0)*VLOOKUP(A132,'[59]geoMap (56)'!$A:$C,3,0)</f>
        <v>#REF!</v>
      </c>
      <c r="BG132" s="1" t="e">
        <f>BF132/VLOOKUP(A132,'[60]geoMap (57)'!$A:$B,2,0)*VLOOKUP(A132,'[60]geoMap (57)'!$A:$C,3,0)</f>
        <v>#REF!</v>
      </c>
      <c r="BH132" s="1" t="e">
        <f>BG132/VLOOKUP(A132,'[61]geoMap (58)'!$A:$B,2,0)*VLOOKUP(A132,'[61]geoMap (58)'!$A:$C,3,0)</f>
        <v>#REF!</v>
      </c>
      <c r="BI132" s="1" t="e">
        <f>BH132/VLOOKUP(A132,'[62]geoMap (59)'!$A:$B,2,0)*VLOOKUP(A132,'[62]geoMap (59)'!$A:$C,3,0)</f>
        <v>#REF!</v>
      </c>
      <c r="BJ132" s="1" t="e">
        <f>BI132/VLOOKUP(A132,'[63]geoMap (60)'!$A:$B,2,0)*VLOOKUP(A132,'[63]geoMap (60)'!$A:$C,3,0)</f>
        <v>#REF!</v>
      </c>
      <c r="BK132" s="1" t="e">
        <f>BJ132/VLOOKUP(A132,'[64]geoMap (61)'!$A:$B,2,0)*VLOOKUP(A132,'[64]geoMap (61)'!$A:$C,3,0)</f>
        <v>#REF!</v>
      </c>
      <c r="BL132" s="1" t="e">
        <f>BK132/VLOOKUP(A132,'[65]geoMap (62)'!$A:$B,2,0)*VLOOKUP(A132,'[65]geoMap (62)'!$A:$C,3,0)</f>
        <v>#REF!</v>
      </c>
      <c r="BM132" s="1" t="e">
        <f>BL132/VLOOKUP(A132,'[66]geoMap (63)'!$A:$B,2,0)*VLOOKUP(A132,'[66]geoMap (63)'!$A:$C,3,0)</f>
        <v>#REF!</v>
      </c>
      <c r="BN132" s="1" t="e">
        <f>BM132/VLOOKUP(A132,'[67]geoMap (64)'!$A:$B,2,0)*VLOOKUP(A132,'[67]geoMap (64)'!$A:$C,3,0)</f>
        <v>#REF!</v>
      </c>
      <c r="BO132" s="1" t="e">
        <f>BN132/VLOOKUP(A132,'[68]geoMap (65)'!$A:$B,2,0)*VLOOKUP(A132,'[68]geoMap (65)'!$A:$C,3,0)</f>
        <v>#REF!</v>
      </c>
      <c r="BP132" s="1" t="e">
        <f>BO132/VLOOKUP(A132,'[69]geoMap (66)'!$A:$B,2,0)*VLOOKUP(A132,'[69]geoMap (66)'!$A:$C,3,0)</f>
        <v>#REF!</v>
      </c>
    </row>
    <row r="133" spans="1:68" hidden="1" x14ac:dyDescent="0.2">
      <c r="A133" s="1" t="s">
        <v>92</v>
      </c>
      <c r="B133" s="1" t="e">
        <f>VLOOKUP(A133,[3]geoMap!$A:$B,2,0)*Notes!$C$6</f>
        <v>#REF!</v>
      </c>
      <c r="C133" s="1" t="e">
        <f>B133/VLOOKUP(A133,'[4]geoMap (1)'!$A:$B,2,0)*VLOOKUP(A133,'[4]geoMap (1)'!$A:$C,3,0)</f>
        <v>#REF!</v>
      </c>
      <c r="D133" s="1" t="e">
        <f>C133/VLOOKUP(A133,'[5]geoMap (2)'!$A:$B,2,0)*VLOOKUP(A133,'[5]geoMap (2)'!$A:$C,3,0)</f>
        <v>#REF!</v>
      </c>
      <c r="E133" s="1" t="e">
        <f>D133/VLOOKUP(A133,'[6]geoMap (3)'!$A:$B,2,0)*VLOOKUP(A133,'[6]geoMap (3)'!$A:$C,3,0)</f>
        <v>#REF!</v>
      </c>
      <c r="F133" s="1" t="e">
        <f>E133/VLOOKUP(A133,'[7]geoMap (4)'!$A:$B,2,0)*VLOOKUP(A133,'[7]geoMap (4)'!$A:$C,3,0)</f>
        <v>#REF!</v>
      </c>
      <c r="G133" s="1" t="e">
        <f>F133/VLOOKUP(A133,'[8]geoMap (5)'!$A:$B,2,0)*VLOOKUP(A133,'[8]geoMap (5)'!$A:$C,3,0)</f>
        <v>#REF!</v>
      </c>
      <c r="H133" s="1" t="e">
        <f>G133/VLOOKUP(A133,'[9]geoMap (6)'!$A:$B,2,0)*VLOOKUP(A133,'[9]geoMap (6)'!$A:$C,3,0)</f>
        <v>#REF!</v>
      </c>
      <c r="I133" s="1" t="e">
        <f>H133/VLOOKUP(A133,'[10]geoMap (7)'!$A:$B,2,0)*VLOOKUP(A133,'[10]geoMap (7)'!$A:$C,3,0)</f>
        <v>#REF!</v>
      </c>
      <c r="J133" s="1" t="e">
        <f>I133/VLOOKUP(A133,'[11]geoMap (8)'!$A:$B,2,0)*VLOOKUP(A133,'[11]geoMap (8)'!$A:$C,3,0)</f>
        <v>#REF!</v>
      </c>
      <c r="K133" s="1" t="e">
        <f>J133/VLOOKUP(A133,'[12]geoMap (9)'!$A:$B,2,0)*VLOOKUP(A133,'[12]geoMap (9)'!$A:$C,3,0)</f>
        <v>#REF!</v>
      </c>
      <c r="L133" s="1" t="e">
        <f>K133/VLOOKUP(A133,'[13]geoMap (10)'!$A:$B,2,0)*VLOOKUP(A133,'[13]geoMap (10)'!$A:$C,3,0)</f>
        <v>#REF!</v>
      </c>
      <c r="M133" s="1" t="e">
        <f>L133/VLOOKUP(A133,'[14]geoMap (11)'!$A:$B,2,0)*VLOOKUP(A133,'[14]geoMap (11)'!$A:$C,3,0)</f>
        <v>#REF!</v>
      </c>
      <c r="N133" s="1" t="e">
        <f>M133/VLOOKUP(A133,'[15]geoMap (12)'!$A:$B,2,0)*VLOOKUP(A133,'[15]geoMap (12)'!$A:$C,3,0)</f>
        <v>#REF!</v>
      </c>
      <c r="O133" s="1" t="e">
        <f>N133/VLOOKUP(A133,'[16]geoMap (13)'!$A:$B,2,0)*VLOOKUP(A133,'[16]geoMap (13)'!$A:$C,3,0)</f>
        <v>#REF!</v>
      </c>
      <c r="P133" s="1" t="e">
        <f>O133/VLOOKUP(A133,'[17]geoMap (14)'!$A:$B,2,0)*VLOOKUP(A133,'[17]geoMap (14)'!$A:$C,3,0)</f>
        <v>#REF!</v>
      </c>
      <c r="Q133" s="1" t="e">
        <f>P133/VLOOKUP(A133,'[18]geoMap (15)'!$A:$B,2,0)*VLOOKUP(A133,'[18]geoMap (15)'!$A:$C,3,0)</f>
        <v>#REF!</v>
      </c>
      <c r="R133" s="1" t="e">
        <f>Q133/VLOOKUP(A133,'[19]geoMap (16)'!$A:$B,2,0)*VLOOKUP(A133,'[19]geoMap (16)'!$A:$C,3,0)</f>
        <v>#REF!</v>
      </c>
      <c r="S133" s="1" t="e">
        <f>R133/VLOOKUP(A133,'[20]geoMap (17)'!$A:$B,2,0)*VLOOKUP(A133,'[20]geoMap (17)'!$A:$C,3,0)</f>
        <v>#REF!</v>
      </c>
      <c r="T133" s="1" t="e">
        <f>S133/VLOOKUP(A133,'[21]geoMap (18)'!$A:$B,2,0)*VLOOKUP(A133,'[21]geoMap (18)'!$A:$C,3,0)</f>
        <v>#REF!</v>
      </c>
      <c r="U133" s="1" t="e">
        <f>T133/VLOOKUP(A133,'[22]geoMap (19)'!$A:$B,2,0)*VLOOKUP(A133,'[22]geoMap (19)'!$A:$C,3,0)</f>
        <v>#REF!</v>
      </c>
      <c r="V133" s="1" t="e">
        <f>U133/VLOOKUP(A133,'[23]geoMap (20)'!$A:$B,2,0)*VLOOKUP(A133,'[23]geoMap (20)'!$A:$C,3,0)</f>
        <v>#REF!</v>
      </c>
      <c r="W133" s="1" t="e">
        <f>V133/VLOOKUP(A133,'[24]geoMap (21)'!$A:$B,2,0)*VLOOKUP(A133,'[24]geoMap (21)'!$A:$C,3,0)</f>
        <v>#REF!</v>
      </c>
      <c r="X133" s="1" t="e">
        <f>W133/VLOOKUP(A133,'[25]geoMap (22)'!$A:$B,2,0)*VLOOKUP(A133,'[25]geoMap (22)'!$A:$C,3,0)</f>
        <v>#REF!</v>
      </c>
      <c r="Y133" s="1" t="e">
        <f>X133/VLOOKUP(A133,'[26]geoMap (23)'!$A:$B,2,0)*VLOOKUP(A133,'[26]geoMap (23)'!$A:$C,3,0)</f>
        <v>#REF!</v>
      </c>
      <c r="Z133" s="1" t="e">
        <f>Y133/VLOOKUP(A133,'[27]geoMap (24)'!$A:$B,2,0)*VLOOKUP(A133,'[27]geoMap (24)'!$A:$C,3,0)</f>
        <v>#REF!</v>
      </c>
      <c r="AA133" s="1" t="e">
        <f>Z133/VLOOKUP(A133,'[28]geoMap (25)'!$A:$B,2,0)*VLOOKUP(A133,'[28]geoMap (25)'!$A:$C,3,0)</f>
        <v>#REF!</v>
      </c>
      <c r="AB133" s="1" t="e">
        <f>AA133*VLOOKUP(A133,'[29]geoMap (26)'!$A:$B,2,0)*VLOOKUP(A133,'[29]geoMap (26)'!$A:$C,3,0)</f>
        <v>#REF!</v>
      </c>
      <c r="AC133" s="1" t="e">
        <f>AB133/VLOOKUP(A133,'[30]geoMap (27)'!$A:$B,2,0)*VLOOKUP(A133,'[30]geoMap (27)'!$A:$C,3,0)</f>
        <v>#REF!</v>
      </c>
      <c r="AD133" s="1" t="e">
        <f>AC133/VLOOKUP(A133,'[31]geoMap (28)'!$A:$B,2,0)*VLOOKUP(A133,'[31]geoMap (28)'!$A:$C,3,0)</f>
        <v>#REF!</v>
      </c>
      <c r="AE133" s="1" t="e">
        <f>AD133/VLOOKUP(A133,'[32]geoMap (29)'!$A:$B,2,0)*VLOOKUP(A133,'[32]geoMap (29)'!$A:$C,3,0)</f>
        <v>#REF!</v>
      </c>
      <c r="AF133" s="1" t="e">
        <f>AE133/VLOOKUP(A133,'[33]geoMap (30)'!$A:$B,2,0)*VLOOKUP(A133,'[33]geoMap (30)'!$A:$C,3,0)</f>
        <v>#REF!</v>
      </c>
      <c r="AG133" s="1" t="e">
        <f>AF133/VLOOKUP(A133,'[34]geoMap (31)'!$A:$B,2,0)*VLOOKUP(A133,'[34]geoMap (31)'!$A:$C,3,0)</f>
        <v>#REF!</v>
      </c>
      <c r="AH133" s="1" t="e">
        <f>AG133/VLOOKUP(A133,'[35]geoMap (32)'!$A:$B,2,0)*VLOOKUP(A133,'[35]geoMap (32)'!$A:$C,3,0)</f>
        <v>#REF!</v>
      </c>
      <c r="AI133" s="1" t="e">
        <f>AH133/VLOOKUP(A133,'[36]geoMap (33)'!$A:$B,2,0)*VLOOKUP(A133,'[36]geoMap (33)'!$A:$C,3,0)</f>
        <v>#REF!</v>
      </c>
      <c r="AJ133" s="1" t="e">
        <f>AI133/VLOOKUP(A133,'[37]geoMap (34)'!$A:$B,2,0)*VLOOKUP(A133,'[37]geoMap (34)'!$A:$C,3,0)</f>
        <v>#REF!</v>
      </c>
      <c r="AK133" s="1" t="e">
        <f>AJ133/VLOOKUP(A133,'[38]geoMap (35)'!$A:$B,2,0)*VLOOKUP(A133,'[38]geoMap (35)'!$A:$C,3,0)</f>
        <v>#REF!</v>
      </c>
      <c r="AL133" s="1" t="e">
        <f>AK133/VLOOKUP(A133,'[39]geoMap (36)'!$A:$B,2,0)*VLOOKUP(A133,'[39]geoMap (36)'!$A:$C,3,0)</f>
        <v>#REF!</v>
      </c>
      <c r="AM133" s="1" t="e">
        <f>AL133/VLOOKUP(A133,'[40]geoMap (37)'!$A:$B,2,0)*VLOOKUP(A133,'[40]geoMap (37)'!$A:$C,3,0)</f>
        <v>#REF!</v>
      </c>
      <c r="AN133" s="1" t="e">
        <f>AM133/VLOOKUP(A133,'[41]geoMap (38)'!$A:$B,2,0)*VLOOKUP(A133,'[41]geoMap (38)'!$A:$C,3,0)</f>
        <v>#REF!</v>
      </c>
      <c r="AO133" s="1" t="e">
        <f>AN133/VLOOKUP(A133,'[42]geoMap (39)'!$A:$B,2,0)*VLOOKUP(A133,'[42]geoMap (39)'!$A:$C,3,0)</f>
        <v>#REF!</v>
      </c>
      <c r="AP133" s="1" t="e">
        <f>AO133/VLOOKUP(A133,'[43]geoMap (40)'!$A:$B,2,0)*VLOOKUP(A133,'[43]geoMap (40)'!$A:$C,3,0)</f>
        <v>#REF!</v>
      </c>
      <c r="AQ133" s="1" t="e">
        <f>AP133/VLOOKUP(A133,'[44]geoMap (41)'!$A:$B,2,0)*VLOOKUP(A133,'[44]geoMap (41)'!$A:$C,3,0)</f>
        <v>#REF!</v>
      </c>
      <c r="AR133" s="1" t="e">
        <f>AQ133/VLOOKUP(A133,'[45]geoMap (42)'!$A:$B,2,0)*VLOOKUP(A133,'[45]geoMap (42)'!$A:$C,3,0)</f>
        <v>#REF!</v>
      </c>
      <c r="AS133" s="1" t="e">
        <f>AR133/VLOOKUP(A133,'[46]geoMap (43)'!$A:$B,2,0)*VLOOKUP(A133,'[46]geoMap (43)'!$A:$C,3,0)</f>
        <v>#REF!</v>
      </c>
      <c r="AT133" s="1" t="e">
        <f>AS133/VLOOKUP(A133,'[47]geoMap (44)'!$A:$B,2,0)*VLOOKUP(A133,'[47]geoMap (44)'!$A:$C,3,0)</f>
        <v>#REF!</v>
      </c>
      <c r="AU133" s="1" t="e">
        <f>AT133/VLOOKUP(A133,'[48]geoMap (45)'!$A:$B,2,0)*VLOOKUP(A133,'[48]geoMap (45)'!$A:$C,3,0)</f>
        <v>#REF!</v>
      </c>
      <c r="AV133" s="1" t="e">
        <f>AU133/VLOOKUP(A133,'[49]geoMap (46)'!$A:$B,2,0)*VLOOKUP(A133,'[49]geoMap (46)'!$A:$C,3,0)</f>
        <v>#REF!</v>
      </c>
      <c r="AW133" s="1" t="e">
        <f>AV133/VLOOKUP(A133,'[50]geoMap (47)'!$A:$B,2,0)*VLOOKUP(A133,'[50]geoMap (47)'!$A:$C,3,0)</f>
        <v>#REF!</v>
      </c>
      <c r="AX133" s="1" t="e">
        <f>AW133/VLOOKUP(A133,'[51]geoMap (48)'!$A:$B,2,0)*VLOOKUP(A133,'[51]geoMap (48)'!$A:$C,3,0)</f>
        <v>#REF!</v>
      </c>
      <c r="AY133" s="1" t="e">
        <f>AX133/VLOOKUP(A133,'[52]geoMap (49)'!$A:$B,2,0)*VLOOKUP(A133,'[52]geoMap (49)'!$A:$C,3,0)</f>
        <v>#REF!</v>
      </c>
      <c r="AZ133" s="1" t="e">
        <f>AY133/VLOOKUP(A133,'[53]geoMap (50)'!$A:$B,2,0)*VLOOKUP(A133,'[53]geoMap (50)'!$A:$C,3,0)</f>
        <v>#REF!</v>
      </c>
      <c r="BA133" s="1" t="e">
        <f>AZ133/VLOOKUP(A133,'[54]geoMap (51)'!$A:$B,2,0)*VLOOKUP(A133,'[54]geoMap (51)'!$A:$C,3,0)</f>
        <v>#REF!</v>
      </c>
      <c r="BB133" s="1" t="e">
        <f>BA133/VLOOKUP(A133,'[55]geoMap (52)'!$A:$B,2,0)*VLOOKUP(A133,'[55]geoMap (52)'!$A:$C,3,0)</f>
        <v>#REF!</v>
      </c>
      <c r="BC133" s="1" t="e">
        <f>BB133/VLOOKUP(A133,'[56]geoMap (53)'!$A:$B,2,0)*VLOOKUP(A133,'[56]geoMap (53)'!$A:$C,3,0)</f>
        <v>#REF!</v>
      </c>
      <c r="BD133" s="1" t="e">
        <f>BC133/VLOOKUP(A133,'[57]geoMap (54)'!$A:$B,2,0)*VLOOKUP(A133,'[57]geoMap (54)'!$A:$C,3,0)</f>
        <v>#REF!</v>
      </c>
      <c r="BE133" s="1" t="e">
        <f>BD133/VLOOKUP(A133,'[58]geoMap (55)'!$A:$B,2,0)*VLOOKUP(A133,'[58]geoMap (55)'!$A:$C,3,0)</f>
        <v>#REF!</v>
      </c>
      <c r="BF133" s="1" t="e">
        <f>BE133/VLOOKUP(A133,'[59]geoMap (56)'!$A:$B,2,0)*VLOOKUP(A133,'[59]geoMap (56)'!$A:$C,3,0)</f>
        <v>#REF!</v>
      </c>
      <c r="BG133" s="1" t="e">
        <f>BF133/VLOOKUP(A133,'[60]geoMap (57)'!$A:$B,2,0)*VLOOKUP(A133,'[60]geoMap (57)'!$A:$C,3,0)</f>
        <v>#REF!</v>
      </c>
      <c r="BH133" s="1" t="e">
        <f>BG133/VLOOKUP(A133,'[61]geoMap (58)'!$A:$B,2,0)*VLOOKUP(A133,'[61]geoMap (58)'!$A:$C,3,0)</f>
        <v>#REF!</v>
      </c>
      <c r="BI133" s="1" t="e">
        <f>BH133/VLOOKUP(A133,'[62]geoMap (59)'!$A:$B,2,0)*VLOOKUP(A133,'[62]geoMap (59)'!$A:$C,3,0)</f>
        <v>#REF!</v>
      </c>
      <c r="BJ133" s="1" t="e">
        <f>BI133/VLOOKUP(A133,'[63]geoMap (60)'!$A:$B,2,0)*VLOOKUP(A133,'[63]geoMap (60)'!$A:$C,3,0)</f>
        <v>#REF!</v>
      </c>
      <c r="BK133" s="1" t="e">
        <f>BJ133/VLOOKUP(A133,'[64]geoMap (61)'!$A:$B,2,0)*VLOOKUP(A133,'[64]geoMap (61)'!$A:$C,3,0)</f>
        <v>#REF!</v>
      </c>
      <c r="BL133" s="1" t="e">
        <f>BK133/VLOOKUP(A133,'[65]geoMap (62)'!$A:$B,2,0)*VLOOKUP(A133,'[65]geoMap (62)'!$A:$C,3,0)</f>
        <v>#REF!</v>
      </c>
      <c r="BM133" s="1" t="e">
        <f>BL133/VLOOKUP(A133,'[66]geoMap (63)'!$A:$B,2,0)*VLOOKUP(A133,'[66]geoMap (63)'!$A:$C,3,0)</f>
        <v>#REF!</v>
      </c>
      <c r="BN133" s="1" t="e">
        <f>BM133/VLOOKUP(A133,'[67]geoMap (64)'!$A:$B,2,0)*VLOOKUP(A133,'[67]geoMap (64)'!$A:$C,3,0)</f>
        <v>#REF!</v>
      </c>
      <c r="BO133" s="1" t="e">
        <f>BN133/VLOOKUP(A133,'[68]geoMap (65)'!$A:$B,2,0)*VLOOKUP(A133,'[68]geoMap (65)'!$A:$C,3,0)</f>
        <v>#REF!</v>
      </c>
      <c r="BP133" s="1" t="e">
        <f>BO133/VLOOKUP(A133,'[69]geoMap (66)'!$A:$B,2,0)*VLOOKUP(A133,'[69]geoMap (66)'!$A:$C,3,0)</f>
        <v>#REF!</v>
      </c>
    </row>
    <row r="134" spans="1:68" hidden="1" x14ac:dyDescent="0.2">
      <c r="A134" s="1" t="s">
        <v>96</v>
      </c>
      <c r="B134" s="1" t="e">
        <f>VLOOKUP(A134,[3]geoMap!$A:$B,2,0)*Notes!$C$6</f>
        <v>#REF!</v>
      </c>
      <c r="C134" s="1" t="e">
        <f>B134/VLOOKUP(A134,'[4]geoMap (1)'!$A:$B,2,0)*VLOOKUP(A134,'[4]geoMap (1)'!$A:$C,3,0)</f>
        <v>#REF!</v>
      </c>
      <c r="D134" s="1" t="e">
        <f>C134/VLOOKUP(A134,'[5]geoMap (2)'!$A:$B,2,0)*VLOOKUP(A134,'[5]geoMap (2)'!$A:$C,3,0)</f>
        <v>#REF!</v>
      </c>
      <c r="E134" s="1" t="e">
        <f>D134/VLOOKUP(A134,'[6]geoMap (3)'!$A:$B,2,0)*VLOOKUP(A134,'[6]geoMap (3)'!$A:$C,3,0)</f>
        <v>#REF!</v>
      </c>
      <c r="F134" s="1" t="e">
        <f>E134/VLOOKUP(A134,'[7]geoMap (4)'!$A:$B,2,0)*VLOOKUP(A134,'[7]geoMap (4)'!$A:$C,3,0)</f>
        <v>#REF!</v>
      </c>
      <c r="G134" s="1" t="e">
        <f>F134/VLOOKUP(A134,'[8]geoMap (5)'!$A:$B,2,0)*VLOOKUP(A134,'[8]geoMap (5)'!$A:$C,3,0)</f>
        <v>#REF!</v>
      </c>
      <c r="H134" s="1" t="e">
        <f>G134/VLOOKUP(A134,'[9]geoMap (6)'!$A:$B,2,0)*VLOOKUP(A134,'[9]geoMap (6)'!$A:$C,3,0)</f>
        <v>#REF!</v>
      </c>
      <c r="I134" s="1" t="e">
        <f>H134/VLOOKUP(A134,'[10]geoMap (7)'!$A:$B,2,0)*VLOOKUP(A134,'[10]geoMap (7)'!$A:$C,3,0)</f>
        <v>#REF!</v>
      </c>
      <c r="J134" s="1" t="e">
        <f>I134/VLOOKUP(A134,'[11]geoMap (8)'!$A:$B,2,0)*VLOOKUP(A134,'[11]geoMap (8)'!$A:$C,3,0)</f>
        <v>#REF!</v>
      </c>
      <c r="K134" s="1" t="e">
        <f>J134/VLOOKUP(A134,'[12]geoMap (9)'!$A:$B,2,0)*VLOOKUP(A134,'[12]geoMap (9)'!$A:$C,3,0)</f>
        <v>#REF!</v>
      </c>
      <c r="L134" s="1" t="e">
        <f>K134/VLOOKUP(A134,'[13]geoMap (10)'!$A:$B,2,0)*VLOOKUP(A134,'[13]geoMap (10)'!$A:$C,3,0)</f>
        <v>#REF!</v>
      </c>
      <c r="M134" s="1" t="e">
        <f>L134/VLOOKUP(A134,'[14]geoMap (11)'!$A:$B,2,0)*VLOOKUP(A134,'[14]geoMap (11)'!$A:$C,3,0)</f>
        <v>#REF!</v>
      </c>
      <c r="N134" s="1" t="e">
        <f>M134/VLOOKUP(A134,'[15]geoMap (12)'!$A:$B,2,0)*VLOOKUP(A134,'[15]geoMap (12)'!$A:$C,3,0)</f>
        <v>#REF!</v>
      </c>
      <c r="O134" s="1" t="e">
        <f>N134/VLOOKUP(A134,'[16]geoMap (13)'!$A:$B,2,0)*VLOOKUP(A134,'[16]geoMap (13)'!$A:$C,3,0)</f>
        <v>#REF!</v>
      </c>
      <c r="P134" s="1" t="e">
        <f>O134/VLOOKUP(A134,'[17]geoMap (14)'!$A:$B,2,0)*VLOOKUP(A134,'[17]geoMap (14)'!$A:$C,3,0)</f>
        <v>#REF!</v>
      </c>
      <c r="Q134" s="1" t="e">
        <f>P134/VLOOKUP(A134,'[18]geoMap (15)'!$A:$B,2,0)*VLOOKUP(A134,'[18]geoMap (15)'!$A:$C,3,0)</f>
        <v>#REF!</v>
      </c>
      <c r="R134" s="1" t="e">
        <f>Q134/VLOOKUP(A134,'[19]geoMap (16)'!$A:$B,2,0)*VLOOKUP(A134,'[19]geoMap (16)'!$A:$C,3,0)</f>
        <v>#REF!</v>
      </c>
      <c r="S134" s="1" t="e">
        <f>R134/VLOOKUP(A134,'[20]geoMap (17)'!$A:$B,2,0)*VLOOKUP(A134,'[20]geoMap (17)'!$A:$C,3,0)</f>
        <v>#REF!</v>
      </c>
      <c r="T134" s="1" t="e">
        <f>S134/VLOOKUP(A134,'[21]geoMap (18)'!$A:$B,2,0)*VLOOKUP(A134,'[21]geoMap (18)'!$A:$C,3,0)</f>
        <v>#REF!</v>
      </c>
      <c r="U134" s="1" t="e">
        <f>T134/VLOOKUP(A134,'[22]geoMap (19)'!$A:$B,2,0)*VLOOKUP(A134,'[22]geoMap (19)'!$A:$C,3,0)</f>
        <v>#REF!</v>
      </c>
      <c r="V134" s="1" t="e">
        <f>U134/VLOOKUP(A134,'[23]geoMap (20)'!$A:$B,2,0)*VLOOKUP(A134,'[23]geoMap (20)'!$A:$C,3,0)</f>
        <v>#REF!</v>
      </c>
      <c r="W134" s="1" t="e">
        <f>V134/VLOOKUP(A134,'[24]geoMap (21)'!$A:$B,2,0)*VLOOKUP(A134,'[24]geoMap (21)'!$A:$C,3,0)</f>
        <v>#REF!</v>
      </c>
      <c r="X134" s="1" t="e">
        <f>W134/VLOOKUP(A134,'[25]geoMap (22)'!$A:$B,2,0)*VLOOKUP(A134,'[25]geoMap (22)'!$A:$C,3,0)</f>
        <v>#REF!</v>
      </c>
      <c r="Y134" s="1" t="e">
        <f>X134/VLOOKUP(A134,'[26]geoMap (23)'!$A:$B,2,0)*VLOOKUP(A134,'[26]geoMap (23)'!$A:$C,3,0)</f>
        <v>#REF!</v>
      </c>
      <c r="Z134" s="1" t="e">
        <f>Y134/VLOOKUP(A134,'[27]geoMap (24)'!$A:$B,2,0)*VLOOKUP(A134,'[27]geoMap (24)'!$A:$C,3,0)</f>
        <v>#REF!</v>
      </c>
      <c r="AA134" s="1" t="e">
        <f>Z134/VLOOKUP(A134,'[28]geoMap (25)'!$A:$B,2,0)*VLOOKUP(A134,'[28]geoMap (25)'!$A:$C,3,0)</f>
        <v>#REF!</v>
      </c>
      <c r="AB134" s="1" t="e">
        <f>AA134*VLOOKUP(A134,'[29]geoMap (26)'!$A:$B,2,0)*VLOOKUP(A134,'[29]geoMap (26)'!$A:$C,3,0)</f>
        <v>#REF!</v>
      </c>
      <c r="AC134" s="1" t="e">
        <f>AB134/VLOOKUP(A134,'[30]geoMap (27)'!$A:$B,2,0)*VLOOKUP(A134,'[30]geoMap (27)'!$A:$C,3,0)</f>
        <v>#REF!</v>
      </c>
      <c r="AD134" s="1" t="e">
        <f>AC134/VLOOKUP(A134,'[31]geoMap (28)'!$A:$B,2,0)*VLOOKUP(A134,'[31]geoMap (28)'!$A:$C,3,0)</f>
        <v>#REF!</v>
      </c>
      <c r="AE134" s="1" t="e">
        <f>AD134/VLOOKUP(A134,'[32]geoMap (29)'!$A:$B,2,0)*VLOOKUP(A134,'[32]geoMap (29)'!$A:$C,3,0)</f>
        <v>#REF!</v>
      </c>
      <c r="AF134" s="1" t="e">
        <f>AE134/VLOOKUP(A134,'[33]geoMap (30)'!$A:$B,2,0)*VLOOKUP(A134,'[33]geoMap (30)'!$A:$C,3,0)</f>
        <v>#REF!</v>
      </c>
      <c r="AG134" s="1" t="e">
        <f>AF134/VLOOKUP(A134,'[34]geoMap (31)'!$A:$B,2,0)*VLOOKUP(A134,'[34]geoMap (31)'!$A:$C,3,0)</f>
        <v>#REF!</v>
      </c>
      <c r="AH134" s="1" t="e">
        <f>AG134/VLOOKUP(A134,'[35]geoMap (32)'!$A:$B,2,0)*VLOOKUP(A134,'[35]geoMap (32)'!$A:$C,3,0)</f>
        <v>#REF!</v>
      </c>
      <c r="AI134" s="1" t="e">
        <f>AH134/VLOOKUP(A134,'[36]geoMap (33)'!$A:$B,2,0)*VLOOKUP(A134,'[36]geoMap (33)'!$A:$C,3,0)</f>
        <v>#REF!</v>
      </c>
      <c r="AJ134" s="1" t="e">
        <f>AI134/VLOOKUP(A134,'[37]geoMap (34)'!$A:$B,2,0)*VLOOKUP(A134,'[37]geoMap (34)'!$A:$C,3,0)</f>
        <v>#REF!</v>
      </c>
      <c r="AK134" s="1" t="e">
        <f>AJ134/VLOOKUP(A134,'[38]geoMap (35)'!$A:$B,2,0)*VLOOKUP(A134,'[38]geoMap (35)'!$A:$C,3,0)</f>
        <v>#REF!</v>
      </c>
      <c r="AL134" s="1" t="e">
        <f>AK134/VLOOKUP(A134,'[39]geoMap (36)'!$A:$B,2,0)*VLOOKUP(A134,'[39]geoMap (36)'!$A:$C,3,0)</f>
        <v>#REF!</v>
      </c>
      <c r="AM134" s="1" t="e">
        <f>AL134/VLOOKUP(A134,'[40]geoMap (37)'!$A:$B,2,0)*VLOOKUP(A134,'[40]geoMap (37)'!$A:$C,3,0)</f>
        <v>#REF!</v>
      </c>
      <c r="AN134" s="1" t="e">
        <f>AM134/VLOOKUP(A134,'[41]geoMap (38)'!$A:$B,2,0)*VLOOKUP(A134,'[41]geoMap (38)'!$A:$C,3,0)</f>
        <v>#REF!</v>
      </c>
      <c r="AO134" s="1" t="e">
        <f>AN134/VLOOKUP(A134,'[42]geoMap (39)'!$A:$B,2,0)*VLOOKUP(A134,'[42]geoMap (39)'!$A:$C,3,0)</f>
        <v>#REF!</v>
      </c>
      <c r="AP134" s="1" t="e">
        <f>AO134/VLOOKUP(A134,'[43]geoMap (40)'!$A:$B,2,0)*VLOOKUP(A134,'[43]geoMap (40)'!$A:$C,3,0)</f>
        <v>#REF!</v>
      </c>
      <c r="AQ134" s="1" t="e">
        <f>AP134/VLOOKUP(A134,'[44]geoMap (41)'!$A:$B,2,0)*VLOOKUP(A134,'[44]geoMap (41)'!$A:$C,3,0)</f>
        <v>#REF!</v>
      </c>
      <c r="AR134" s="1" t="e">
        <f>AQ134/VLOOKUP(A134,'[45]geoMap (42)'!$A:$B,2,0)*VLOOKUP(A134,'[45]geoMap (42)'!$A:$C,3,0)</f>
        <v>#REF!</v>
      </c>
      <c r="AS134" s="1" t="e">
        <f>AR134/VLOOKUP(A134,'[46]geoMap (43)'!$A:$B,2,0)*VLOOKUP(A134,'[46]geoMap (43)'!$A:$C,3,0)</f>
        <v>#REF!</v>
      </c>
      <c r="AT134" s="1" t="e">
        <f>AS134/VLOOKUP(A134,'[47]geoMap (44)'!$A:$B,2,0)*VLOOKUP(A134,'[47]geoMap (44)'!$A:$C,3,0)</f>
        <v>#REF!</v>
      </c>
      <c r="AU134" s="1" t="e">
        <f>AT134/VLOOKUP(A134,'[48]geoMap (45)'!$A:$B,2,0)*VLOOKUP(A134,'[48]geoMap (45)'!$A:$C,3,0)</f>
        <v>#REF!</v>
      </c>
      <c r="AV134" s="1" t="e">
        <f>AU134/VLOOKUP(A134,'[49]geoMap (46)'!$A:$B,2,0)*VLOOKUP(A134,'[49]geoMap (46)'!$A:$C,3,0)</f>
        <v>#REF!</v>
      </c>
      <c r="AW134" s="1" t="e">
        <f>AV134/VLOOKUP(A134,'[50]geoMap (47)'!$A:$B,2,0)*VLOOKUP(A134,'[50]geoMap (47)'!$A:$C,3,0)</f>
        <v>#REF!</v>
      </c>
      <c r="AX134" s="1" t="e">
        <f>AW134/VLOOKUP(A134,'[51]geoMap (48)'!$A:$B,2,0)*VLOOKUP(A134,'[51]geoMap (48)'!$A:$C,3,0)</f>
        <v>#REF!</v>
      </c>
      <c r="AY134" s="1" t="e">
        <f>AX134/VLOOKUP(A134,'[52]geoMap (49)'!$A:$B,2,0)*VLOOKUP(A134,'[52]geoMap (49)'!$A:$C,3,0)</f>
        <v>#REF!</v>
      </c>
      <c r="AZ134" s="1" t="e">
        <f>AY134/VLOOKUP(A134,'[53]geoMap (50)'!$A:$B,2,0)*VLOOKUP(A134,'[53]geoMap (50)'!$A:$C,3,0)</f>
        <v>#REF!</v>
      </c>
      <c r="BA134" s="1" t="e">
        <f>AZ134/VLOOKUP(A134,'[54]geoMap (51)'!$A:$B,2,0)*VLOOKUP(A134,'[54]geoMap (51)'!$A:$C,3,0)</f>
        <v>#REF!</v>
      </c>
      <c r="BB134" s="1" t="e">
        <f>BA134/VLOOKUP(A134,'[55]geoMap (52)'!$A:$B,2,0)*VLOOKUP(A134,'[55]geoMap (52)'!$A:$C,3,0)</f>
        <v>#REF!</v>
      </c>
      <c r="BC134" s="1" t="e">
        <f>BB134/VLOOKUP(A134,'[56]geoMap (53)'!$A:$B,2,0)*VLOOKUP(A134,'[56]geoMap (53)'!$A:$C,3,0)</f>
        <v>#REF!</v>
      </c>
      <c r="BD134" s="1" t="e">
        <f>BC134/VLOOKUP(A134,'[57]geoMap (54)'!$A:$B,2,0)*VLOOKUP(A134,'[57]geoMap (54)'!$A:$C,3,0)</f>
        <v>#REF!</v>
      </c>
      <c r="BE134" s="1" t="e">
        <f>BD134/VLOOKUP(A134,'[58]geoMap (55)'!$A:$B,2,0)*VLOOKUP(A134,'[58]geoMap (55)'!$A:$C,3,0)</f>
        <v>#REF!</v>
      </c>
      <c r="BF134" s="1" t="e">
        <f>BE134/VLOOKUP(A134,'[59]geoMap (56)'!$A:$B,2,0)*VLOOKUP(A134,'[59]geoMap (56)'!$A:$C,3,0)</f>
        <v>#REF!</v>
      </c>
      <c r="BG134" s="1" t="e">
        <f>BF134/VLOOKUP(A134,'[60]geoMap (57)'!$A:$B,2,0)*VLOOKUP(A134,'[60]geoMap (57)'!$A:$C,3,0)</f>
        <v>#REF!</v>
      </c>
      <c r="BH134" s="1" t="e">
        <f>BG134/VLOOKUP(A134,'[61]geoMap (58)'!$A:$B,2,0)*VLOOKUP(A134,'[61]geoMap (58)'!$A:$C,3,0)</f>
        <v>#REF!</v>
      </c>
      <c r="BI134" s="1" t="e">
        <f>BH134/VLOOKUP(A134,'[62]geoMap (59)'!$A:$B,2,0)*VLOOKUP(A134,'[62]geoMap (59)'!$A:$C,3,0)</f>
        <v>#REF!</v>
      </c>
      <c r="BJ134" s="1" t="e">
        <f>BI134/VLOOKUP(A134,'[63]geoMap (60)'!$A:$B,2,0)*VLOOKUP(A134,'[63]geoMap (60)'!$A:$C,3,0)</f>
        <v>#REF!</v>
      </c>
      <c r="BK134" s="1" t="e">
        <f>BJ134/VLOOKUP(A134,'[64]geoMap (61)'!$A:$B,2,0)*VLOOKUP(A134,'[64]geoMap (61)'!$A:$C,3,0)</f>
        <v>#REF!</v>
      </c>
      <c r="BL134" s="1" t="e">
        <f>BK134/VLOOKUP(A134,'[65]geoMap (62)'!$A:$B,2,0)*VLOOKUP(A134,'[65]geoMap (62)'!$A:$C,3,0)</f>
        <v>#REF!</v>
      </c>
      <c r="BM134" s="1" t="e">
        <f>BL134/VLOOKUP(A134,'[66]geoMap (63)'!$A:$B,2,0)*VLOOKUP(A134,'[66]geoMap (63)'!$A:$C,3,0)</f>
        <v>#REF!</v>
      </c>
      <c r="BN134" s="1" t="e">
        <f>BM134/VLOOKUP(A134,'[67]geoMap (64)'!$A:$B,2,0)*VLOOKUP(A134,'[67]geoMap (64)'!$A:$C,3,0)</f>
        <v>#REF!</v>
      </c>
      <c r="BO134" s="1" t="e">
        <f>BN134/VLOOKUP(A134,'[68]geoMap (65)'!$A:$B,2,0)*VLOOKUP(A134,'[68]geoMap (65)'!$A:$C,3,0)</f>
        <v>#REF!</v>
      </c>
      <c r="BP134" s="1" t="e">
        <f>BO134/VLOOKUP(A134,'[69]geoMap (66)'!$A:$B,2,0)*VLOOKUP(A134,'[69]geoMap (66)'!$A:$C,3,0)</f>
        <v>#REF!</v>
      </c>
    </row>
    <row r="135" spans="1:68" hidden="1" x14ac:dyDescent="0.2">
      <c r="A135" s="1" t="s">
        <v>100</v>
      </c>
      <c r="B135" s="1" t="e">
        <f>VLOOKUP(A135,[3]geoMap!$A:$B,2,0)*Notes!$C$6</f>
        <v>#REF!</v>
      </c>
      <c r="C135" s="1" t="e">
        <f>B135/VLOOKUP(A135,'[4]geoMap (1)'!$A:$B,2,0)*VLOOKUP(A135,'[4]geoMap (1)'!$A:$C,3,0)</f>
        <v>#REF!</v>
      </c>
      <c r="D135" s="1" t="e">
        <f>C135/VLOOKUP(A135,'[5]geoMap (2)'!$A:$B,2,0)*VLOOKUP(A135,'[5]geoMap (2)'!$A:$C,3,0)</f>
        <v>#REF!</v>
      </c>
      <c r="E135" s="1" t="e">
        <f>D135/VLOOKUP(A135,'[6]geoMap (3)'!$A:$B,2,0)*VLOOKUP(A135,'[6]geoMap (3)'!$A:$C,3,0)</f>
        <v>#REF!</v>
      </c>
      <c r="F135" s="1" t="e">
        <f>E135/VLOOKUP(A135,'[7]geoMap (4)'!$A:$B,2,0)*VLOOKUP(A135,'[7]geoMap (4)'!$A:$C,3,0)</f>
        <v>#REF!</v>
      </c>
      <c r="G135" s="1" t="e">
        <f>F135/VLOOKUP(A135,'[8]geoMap (5)'!$A:$B,2,0)*VLOOKUP(A135,'[8]geoMap (5)'!$A:$C,3,0)</f>
        <v>#REF!</v>
      </c>
      <c r="H135" s="1" t="e">
        <f>G135/VLOOKUP(A135,'[9]geoMap (6)'!$A:$B,2,0)*VLOOKUP(A135,'[9]geoMap (6)'!$A:$C,3,0)</f>
        <v>#REF!</v>
      </c>
      <c r="I135" s="1" t="e">
        <f>H135/VLOOKUP(A135,'[10]geoMap (7)'!$A:$B,2,0)*VLOOKUP(A135,'[10]geoMap (7)'!$A:$C,3,0)</f>
        <v>#REF!</v>
      </c>
      <c r="J135" s="1" t="e">
        <f>I135/VLOOKUP(A135,'[11]geoMap (8)'!$A:$B,2,0)*VLOOKUP(A135,'[11]geoMap (8)'!$A:$C,3,0)</f>
        <v>#REF!</v>
      </c>
      <c r="K135" s="1" t="e">
        <f>J135/VLOOKUP(A135,'[12]geoMap (9)'!$A:$B,2,0)*VLOOKUP(A135,'[12]geoMap (9)'!$A:$C,3,0)</f>
        <v>#REF!</v>
      </c>
      <c r="L135" s="1" t="e">
        <f>K135/VLOOKUP(A135,'[13]geoMap (10)'!$A:$B,2,0)*VLOOKUP(A135,'[13]geoMap (10)'!$A:$C,3,0)</f>
        <v>#REF!</v>
      </c>
      <c r="M135" s="1" t="e">
        <f>L135/VLOOKUP(A135,'[14]geoMap (11)'!$A:$B,2,0)*VLOOKUP(A135,'[14]geoMap (11)'!$A:$C,3,0)</f>
        <v>#REF!</v>
      </c>
      <c r="N135" s="1" t="e">
        <f>M135/VLOOKUP(A135,'[15]geoMap (12)'!$A:$B,2,0)*VLOOKUP(A135,'[15]geoMap (12)'!$A:$C,3,0)</f>
        <v>#REF!</v>
      </c>
      <c r="O135" s="1" t="e">
        <f>N135/VLOOKUP(A135,'[16]geoMap (13)'!$A:$B,2,0)*VLOOKUP(A135,'[16]geoMap (13)'!$A:$C,3,0)</f>
        <v>#REF!</v>
      </c>
      <c r="P135" s="1" t="e">
        <f>O135/VLOOKUP(A135,'[17]geoMap (14)'!$A:$B,2,0)*VLOOKUP(A135,'[17]geoMap (14)'!$A:$C,3,0)</f>
        <v>#REF!</v>
      </c>
      <c r="Q135" s="1" t="e">
        <f>P135/VLOOKUP(A135,'[18]geoMap (15)'!$A:$B,2,0)*VLOOKUP(A135,'[18]geoMap (15)'!$A:$C,3,0)</f>
        <v>#REF!</v>
      </c>
      <c r="R135" s="1" t="e">
        <f>Q135/VLOOKUP(A135,'[19]geoMap (16)'!$A:$B,2,0)*VLOOKUP(A135,'[19]geoMap (16)'!$A:$C,3,0)</f>
        <v>#REF!</v>
      </c>
      <c r="S135" s="1" t="e">
        <f>R135/VLOOKUP(A135,'[20]geoMap (17)'!$A:$B,2,0)*VLOOKUP(A135,'[20]geoMap (17)'!$A:$C,3,0)</f>
        <v>#REF!</v>
      </c>
      <c r="T135" s="1" t="e">
        <f>S135/VLOOKUP(A135,'[21]geoMap (18)'!$A:$B,2,0)*VLOOKUP(A135,'[21]geoMap (18)'!$A:$C,3,0)</f>
        <v>#REF!</v>
      </c>
      <c r="U135" s="1" t="e">
        <f>T135/VLOOKUP(A135,'[22]geoMap (19)'!$A:$B,2,0)*VLOOKUP(A135,'[22]geoMap (19)'!$A:$C,3,0)</f>
        <v>#REF!</v>
      </c>
      <c r="V135" s="1" t="e">
        <f>U135/VLOOKUP(A135,'[23]geoMap (20)'!$A:$B,2,0)*VLOOKUP(A135,'[23]geoMap (20)'!$A:$C,3,0)</f>
        <v>#REF!</v>
      </c>
      <c r="W135" s="1" t="e">
        <f>V135/VLOOKUP(A135,'[24]geoMap (21)'!$A:$B,2,0)*VLOOKUP(A135,'[24]geoMap (21)'!$A:$C,3,0)</f>
        <v>#REF!</v>
      </c>
      <c r="X135" s="1" t="e">
        <f>W135/VLOOKUP(A135,'[25]geoMap (22)'!$A:$B,2,0)*VLOOKUP(A135,'[25]geoMap (22)'!$A:$C,3,0)</f>
        <v>#REF!</v>
      </c>
      <c r="Y135" s="1" t="e">
        <f>X135/VLOOKUP(A135,'[26]geoMap (23)'!$A:$B,2,0)*VLOOKUP(A135,'[26]geoMap (23)'!$A:$C,3,0)</f>
        <v>#REF!</v>
      </c>
      <c r="Z135" s="1" t="e">
        <f>Y135/VLOOKUP(A135,'[27]geoMap (24)'!$A:$B,2,0)*VLOOKUP(A135,'[27]geoMap (24)'!$A:$C,3,0)</f>
        <v>#REF!</v>
      </c>
      <c r="AA135" s="1" t="e">
        <f>Z135/VLOOKUP(A135,'[28]geoMap (25)'!$A:$B,2,0)*VLOOKUP(A135,'[28]geoMap (25)'!$A:$C,3,0)</f>
        <v>#REF!</v>
      </c>
      <c r="AB135" s="1" t="e">
        <f>AA135*VLOOKUP(A135,'[29]geoMap (26)'!$A:$B,2,0)*VLOOKUP(A135,'[29]geoMap (26)'!$A:$C,3,0)</f>
        <v>#REF!</v>
      </c>
      <c r="AC135" s="1" t="e">
        <f>AB135/VLOOKUP(A135,'[30]geoMap (27)'!$A:$B,2,0)*VLOOKUP(A135,'[30]geoMap (27)'!$A:$C,3,0)</f>
        <v>#REF!</v>
      </c>
      <c r="AD135" s="1" t="e">
        <f>AC135/VLOOKUP(A135,'[31]geoMap (28)'!$A:$B,2,0)*VLOOKUP(A135,'[31]geoMap (28)'!$A:$C,3,0)</f>
        <v>#REF!</v>
      </c>
      <c r="AE135" s="1" t="e">
        <f>AD135/VLOOKUP(A135,'[32]geoMap (29)'!$A:$B,2,0)*VLOOKUP(A135,'[32]geoMap (29)'!$A:$C,3,0)</f>
        <v>#REF!</v>
      </c>
      <c r="AF135" s="1" t="e">
        <f>AE135/VLOOKUP(A135,'[33]geoMap (30)'!$A:$B,2,0)*VLOOKUP(A135,'[33]geoMap (30)'!$A:$C,3,0)</f>
        <v>#REF!</v>
      </c>
      <c r="AG135" s="1" t="e">
        <f>AF135/VLOOKUP(A135,'[34]geoMap (31)'!$A:$B,2,0)*VLOOKUP(A135,'[34]geoMap (31)'!$A:$C,3,0)</f>
        <v>#REF!</v>
      </c>
      <c r="AH135" s="1" t="e">
        <f>AG135/VLOOKUP(A135,'[35]geoMap (32)'!$A:$B,2,0)*VLOOKUP(A135,'[35]geoMap (32)'!$A:$C,3,0)</f>
        <v>#REF!</v>
      </c>
      <c r="AI135" s="1" t="e">
        <f>AH135/VLOOKUP(A135,'[36]geoMap (33)'!$A:$B,2,0)*VLOOKUP(A135,'[36]geoMap (33)'!$A:$C,3,0)</f>
        <v>#REF!</v>
      </c>
      <c r="AJ135" s="1" t="e">
        <f>AI135/VLOOKUP(A135,'[37]geoMap (34)'!$A:$B,2,0)*VLOOKUP(A135,'[37]geoMap (34)'!$A:$C,3,0)</f>
        <v>#REF!</v>
      </c>
      <c r="AK135" s="1" t="e">
        <f>AJ135/VLOOKUP(A135,'[38]geoMap (35)'!$A:$B,2,0)*VLOOKUP(A135,'[38]geoMap (35)'!$A:$C,3,0)</f>
        <v>#REF!</v>
      </c>
      <c r="AL135" s="1" t="e">
        <f>AK135/VLOOKUP(A135,'[39]geoMap (36)'!$A:$B,2,0)*VLOOKUP(A135,'[39]geoMap (36)'!$A:$C,3,0)</f>
        <v>#REF!</v>
      </c>
      <c r="AM135" s="1" t="e">
        <f>AL135/VLOOKUP(A135,'[40]geoMap (37)'!$A:$B,2,0)*VLOOKUP(A135,'[40]geoMap (37)'!$A:$C,3,0)</f>
        <v>#REF!</v>
      </c>
      <c r="AN135" s="1" t="e">
        <f>AM135/VLOOKUP(A135,'[41]geoMap (38)'!$A:$B,2,0)*VLOOKUP(A135,'[41]geoMap (38)'!$A:$C,3,0)</f>
        <v>#REF!</v>
      </c>
      <c r="AO135" s="1" t="e">
        <f>AN135/VLOOKUP(A135,'[42]geoMap (39)'!$A:$B,2,0)*VLOOKUP(A135,'[42]geoMap (39)'!$A:$C,3,0)</f>
        <v>#REF!</v>
      </c>
      <c r="AP135" s="1" t="e">
        <f>AO135/VLOOKUP(A135,'[43]geoMap (40)'!$A:$B,2,0)*VLOOKUP(A135,'[43]geoMap (40)'!$A:$C,3,0)</f>
        <v>#REF!</v>
      </c>
      <c r="AQ135" s="1" t="e">
        <f>AP135/VLOOKUP(A135,'[44]geoMap (41)'!$A:$B,2,0)*VLOOKUP(A135,'[44]geoMap (41)'!$A:$C,3,0)</f>
        <v>#REF!</v>
      </c>
      <c r="AR135" s="1" t="e">
        <f>AQ135/VLOOKUP(A135,'[45]geoMap (42)'!$A:$B,2,0)*VLOOKUP(A135,'[45]geoMap (42)'!$A:$C,3,0)</f>
        <v>#REF!</v>
      </c>
      <c r="AS135" s="1" t="e">
        <f>AR135/VLOOKUP(A135,'[46]geoMap (43)'!$A:$B,2,0)*VLOOKUP(A135,'[46]geoMap (43)'!$A:$C,3,0)</f>
        <v>#REF!</v>
      </c>
      <c r="AT135" s="1" t="e">
        <f>AS135/VLOOKUP(A135,'[47]geoMap (44)'!$A:$B,2,0)*VLOOKUP(A135,'[47]geoMap (44)'!$A:$C,3,0)</f>
        <v>#REF!</v>
      </c>
      <c r="AU135" s="1" t="e">
        <f>AT135/VLOOKUP(A135,'[48]geoMap (45)'!$A:$B,2,0)*VLOOKUP(A135,'[48]geoMap (45)'!$A:$C,3,0)</f>
        <v>#REF!</v>
      </c>
      <c r="AV135" s="1" t="e">
        <f>AU135/VLOOKUP(A135,'[49]geoMap (46)'!$A:$B,2,0)*VLOOKUP(A135,'[49]geoMap (46)'!$A:$C,3,0)</f>
        <v>#REF!</v>
      </c>
      <c r="AW135" s="1" t="e">
        <f>AV135/VLOOKUP(A135,'[50]geoMap (47)'!$A:$B,2,0)*VLOOKUP(A135,'[50]geoMap (47)'!$A:$C,3,0)</f>
        <v>#REF!</v>
      </c>
      <c r="AX135" s="1" t="e">
        <f>AW135/VLOOKUP(A135,'[51]geoMap (48)'!$A:$B,2,0)*VLOOKUP(A135,'[51]geoMap (48)'!$A:$C,3,0)</f>
        <v>#REF!</v>
      </c>
      <c r="AY135" s="1" t="e">
        <f>AX135/VLOOKUP(A135,'[52]geoMap (49)'!$A:$B,2,0)*VLOOKUP(A135,'[52]geoMap (49)'!$A:$C,3,0)</f>
        <v>#REF!</v>
      </c>
      <c r="AZ135" s="1" t="e">
        <f>AY135/VLOOKUP(A135,'[53]geoMap (50)'!$A:$B,2,0)*VLOOKUP(A135,'[53]geoMap (50)'!$A:$C,3,0)</f>
        <v>#REF!</v>
      </c>
      <c r="BA135" s="1" t="e">
        <f>AZ135/VLOOKUP(A135,'[54]geoMap (51)'!$A:$B,2,0)*VLOOKUP(A135,'[54]geoMap (51)'!$A:$C,3,0)</f>
        <v>#REF!</v>
      </c>
      <c r="BB135" s="1" t="e">
        <f>BA135/VLOOKUP(A135,'[55]geoMap (52)'!$A:$B,2,0)*VLOOKUP(A135,'[55]geoMap (52)'!$A:$C,3,0)</f>
        <v>#REF!</v>
      </c>
      <c r="BC135" s="1" t="e">
        <f>BB135/VLOOKUP(A135,'[56]geoMap (53)'!$A:$B,2,0)*VLOOKUP(A135,'[56]geoMap (53)'!$A:$C,3,0)</f>
        <v>#REF!</v>
      </c>
      <c r="BD135" s="1" t="e">
        <f>BC135/VLOOKUP(A135,'[57]geoMap (54)'!$A:$B,2,0)*VLOOKUP(A135,'[57]geoMap (54)'!$A:$C,3,0)</f>
        <v>#REF!</v>
      </c>
      <c r="BE135" s="1" t="e">
        <f>BD135/VLOOKUP(A135,'[58]geoMap (55)'!$A:$B,2,0)*VLOOKUP(A135,'[58]geoMap (55)'!$A:$C,3,0)</f>
        <v>#REF!</v>
      </c>
      <c r="BF135" s="1" t="e">
        <f>BE135/VLOOKUP(A135,'[59]geoMap (56)'!$A:$B,2,0)*VLOOKUP(A135,'[59]geoMap (56)'!$A:$C,3,0)</f>
        <v>#REF!</v>
      </c>
      <c r="BG135" s="1" t="e">
        <f>BF135/VLOOKUP(A135,'[60]geoMap (57)'!$A:$B,2,0)*VLOOKUP(A135,'[60]geoMap (57)'!$A:$C,3,0)</f>
        <v>#REF!</v>
      </c>
      <c r="BH135" s="1" t="e">
        <f>BG135/VLOOKUP(A135,'[61]geoMap (58)'!$A:$B,2,0)*VLOOKUP(A135,'[61]geoMap (58)'!$A:$C,3,0)</f>
        <v>#REF!</v>
      </c>
      <c r="BI135" s="1" t="e">
        <f>BH135/VLOOKUP(A135,'[62]geoMap (59)'!$A:$B,2,0)*VLOOKUP(A135,'[62]geoMap (59)'!$A:$C,3,0)</f>
        <v>#REF!</v>
      </c>
      <c r="BJ135" s="1" t="e">
        <f>BI135/VLOOKUP(A135,'[63]geoMap (60)'!$A:$B,2,0)*VLOOKUP(A135,'[63]geoMap (60)'!$A:$C,3,0)</f>
        <v>#REF!</v>
      </c>
      <c r="BK135" s="1" t="e">
        <f>BJ135/VLOOKUP(A135,'[64]geoMap (61)'!$A:$B,2,0)*VLOOKUP(A135,'[64]geoMap (61)'!$A:$C,3,0)</f>
        <v>#REF!</v>
      </c>
      <c r="BL135" s="1" t="e">
        <f>BK135/VLOOKUP(A135,'[65]geoMap (62)'!$A:$B,2,0)*VLOOKUP(A135,'[65]geoMap (62)'!$A:$C,3,0)</f>
        <v>#REF!</v>
      </c>
      <c r="BM135" s="1" t="e">
        <f>BL135/VLOOKUP(A135,'[66]geoMap (63)'!$A:$B,2,0)*VLOOKUP(A135,'[66]geoMap (63)'!$A:$C,3,0)</f>
        <v>#REF!</v>
      </c>
      <c r="BN135" s="1" t="e">
        <f>BM135/VLOOKUP(A135,'[67]geoMap (64)'!$A:$B,2,0)*VLOOKUP(A135,'[67]geoMap (64)'!$A:$C,3,0)</f>
        <v>#REF!</v>
      </c>
      <c r="BO135" s="1" t="e">
        <f>BN135/VLOOKUP(A135,'[68]geoMap (65)'!$A:$B,2,0)*VLOOKUP(A135,'[68]geoMap (65)'!$A:$C,3,0)</f>
        <v>#REF!</v>
      </c>
      <c r="BP135" s="1" t="e">
        <f>BO135/VLOOKUP(A135,'[69]geoMap (66)'!$A:$B,2,0)*VLOOKUP(A135,'[69]geoMap (66)'!$A:$C,3,0)</f>
        <v>#REF!</v>
      </c>
    </row>
    <row r="136" spans="1:68" hidden="1" x14ac:dyDescent="0.2">
      <c r="A136" s="1" t="s">
        <v>103</v>
      </c>
      <c r="B136" s="1" t="e">
        <f>VLOOKUP(A136,[3]geoMap!$A:$B,2,0)*Notes!$C$6</f>
        <v>#REF!</v>
      </c>
      <c r="C136" s="1" t="e">
        <f>B136/VLOOKUP(A136,'[4]geoMap (1)'!$A:$B,2,0)*VLOOKUP(A136,'[4]geoMap (1)'!$A:$C,3,0)</f>
        <v>#REF!</v>
      </c>
      <c r="D136" s="1" t="e">
        <f>C136/VLOOKUP(A136,'[5]geoMap (2)'!$A:$B,2,0)*VLOOKUP(A136,'[5]geoMap (2)'!$A:$C,3,0)</f>
        <v>#REF!</v>
      </c>
      <c r="E136" s="1" t="e">
        <f>D136/VLOOKUP(A136,'[6]geoMap (3)'!$A:$B,2,0)*VLOOKUP(A136,'[6]geoMap (3)'!$A:$C,3,0)</f>
        <v>#REF!</v>
      </c>
      <c r="F136" s="1" t="e">
        <f>E136/VLOOKUP(A136,'[7]geoMap (4)'!$A:$B,2,0)*VLOOKUP(A136,'[7]geoMap (4)'!$A:$C,3,0)</f>
        <v>#REF!</v>
      </c>
      <c r="G136" s="1" t="e">
        <f>F136/VLOOKUP(A136,'[8]geoMap (5)'!$A:$B,2,0)*VLOOKUP(A136,'[8]geoMap (5)'!$A:$C,3,0)</f>
        <v>#REF!</v>
      </c>
      <c r="H136" s="1" t="e">
        <f>G136/VLOOKUP(A136,'[9]geoMap (6)'!$A:$B,2,0)*VLOOKUP(A136,'[9]geoMap (6)'!$A:$C,3,0)</f>
        <v>#REF!</v>
      </c>
      <c r="I136" s="1" t="e">
        <f>H136/VLOOKUP(A136,'[10]geoMap (7)'!$A:$B,2,0)*VLOOKUP(A136,'[10]geoMap (7)'!$A:$C,3,0)</f>
        <v>#REF!</v>
      </c>
      <c r="J136" s="1" t="e">
        <f>I136/VLOOKUP(A136,'[11]geoMap (8)'!$A:$B,2,0)*VLOOKUP(A136,'[11]geoMap (8)'!$A:$C,3,0)</f>
        <v>#REF!</v>
      </c>
      <c r="K136" s="1" t="e">
        <f>J136/VLOOKUP(A136,'[12]geoMap (9)'!$A:$B,2,0)*VLOOKUP(A136,'[12]geoMap (9)'!$A:$C,3,0)</f>
        <v>#REF!</v>
      </c>
      <c r="L136" s="1" t="e">
        <f>K136/VLOOKUP(A136,'[13]geoMap (10)'!$A:$B,2,0)*VLOOKUP(A136,'[13]geoMap (10)'!$A:$C,3,0)</f>
        <v>#REF!</v>
      </c>
      <c r="M136" s="1" t="e">
        <f>L136/VLOOKUP(A136,'[14]geoMap (11)'!$A:$B,2,0)*VLOOKUP(A136,'[14]geoMap (11)'!$A:$C,3,0)</f>
        <v>#REF!</v>
      </c>
      <c r="N136" s="1" t="e">
        <f>M136/VLOOKUP(A136,'[15]geoMap (12)'!$A:$B,2,0)*VLOOKUP(A136,'[15]geoMap (12)'!$A:$C,3,0)</f>
        <v>#REF!</v>
      </c>
      <c r="O136" s="1" t="e">
        <f>N136/VLOOKUP(A136,'[16]geoMap (13)'!$A:$B,2,0)*VLOOKUP(A136,'[16]geoMap (13)'!$A:$C,3,0)</f>
        <v>#REF!</v>
      </c>
      <c r="P136" s="1" t="e">
        <f>O136/VLOOKUP(A136,'[17]geoMap (14)'!$A:$B,2,0)*VLOOKUP(A136,'[17]geoMap (14)'!$A:$C,3,0)</f>
        <v>#REF!</v>
      </c>
      <c r="Q136" s="1" t="e">
        <f>P136/VLOOKUP(A136,'[18]geoMap (15)'!$A:$B,2,0)*VLOOKUP(A136,'[18]geoMap (15)'!$A:$C,3,0)</f>
        <v>#REF!</v>
      </c>
      <c r="R136" s="1" t="e">
        <f>Q136/VLOOKUP(A136,'[19]geoMap (16)'!$A:$B,2,0)*VLOOKUP(A136,'[19]geoMap (16)'!$A:$C,3,0)</f>
        <v>#REF!</v>
      </c>
      <c r="S136" s="1" t="e">
        <f>R136/VLOOKUP(A136,'[20]geoMap (17)'!$A:$B,2,0)*VLOOKUP(A136,'[20]geoMap (17)'!$A:$C,3,0)</f>
        <v>#REF!</v>
      </c>
      <c r="T136" s="1" t="e">
        <f>S136/VLOOKUP(A136,'[21]geoMap (18)'!$A:$B,2,0)*VLOOKUP(A136,'[21]geoMap (18)'!$A:$C,3,0)</f>
        <v>#REF!</v>
      </c>
      <c r="U136" s="1" t="e">
        <f>T136/VLOOKUP(A136,'[22]geoMap (19)'!$A:$B,2,0)*VLOOKUP(A136,'[22]geoMap (19)'!$A:$C,3,0)</f>
        <v>#REF!</v>
      </c>
      <c r="V136" s="1" t="e">
        <f>U136/VLOOKUP(A136,'[23]geoMap (20)'!$A:$B,2,0)*VLOOKUP(A136,'[23]geoMap (20)'!$A:$C,3,0)</f>
        <v>#REF!</v>
      </c>
      <c r="W136" s="1" t="e">
        <f>V136/VLOOKUP(A136,'[24]geoMap (21)'!$A:$B,2,0)*VLOOKUP(A136,'[24]geoMap (21)'!$A:$C,3,0)</f>
        <v>#REF!</v>
      </c>
      <c r="X136" s="1" t="e">
        <f>W136/VLOOKUP(A136,'[25]geoMap (22)'!$A:$B,2,0)*VLOOKUP(A136,'[25]geoMap (22)'!$A:$C,3,0)</f>
        <v>#REF!</v>
      </c>
      <c r="Y136" s="1" t="e">
        <f>X136/VLOOKUP(A136,'[26]geoMap (23)'!$A:$B,2,0)*VLOOKUP(A136,'[26]geoMap (23)'!$A:$C,3,0)</f>
        <v>#REF!</v>
      </c>
      <c r="Z136" s="1" t="e">
        <f>Y136/VLOOKUP(A136,'[27]geoMap (24)'!$A:$B,2,0)*VLOOKUP(A136,'[27]geoMap (24)'!$A:$C,3,0)</f>
        <v>#REF!</v>
      </c>
      <c r="AA136" s="1" t="e">
        <f>Z136/VLOOKUP(A136,'[28]geoMap (25)'!$A:$B,2,0)*VLOOKUP(A136,'[28]geoMap (25)'!$A:$C,3,0)</f>
        <v>#REF!</v>
      </c>
      <c r="AB136" s="1" t="e">
        <f>AA136*VLOOKUP(A136,'[29]geoMap (26)'!$A:$B,2,0)*VLOOKUP(A136,'[29]geoMap (26)'!$A:$C,3,0)</f>
        <v>#REF!</v>
      </c>
      <c r="AC136" s="1" t="e">
        <f>AB136/VLOOKUP(A136,'[30]geoMap (27)'!$A:$B,2,0)*VLOOKUP(A136,'[30]geoMap (27)'!$A:$C,3,0)</f>
        <v>#REF!</v>
      </c>
      <c r="AD136" s="1" t="e">
        <f>AC136/VLOOKUP(A136,'[31]geoMap (28)'!$A:$B,2,0)*VLOOKUP(A136,'[31]geoMap (28)'!$A:$C,3,0)</f>
        <v>#REF!</v>
      </c>
      <c r="AE136" s="1" t="e">
        <f>AD136/VLOOKUP(A136,'[32]geoMap (29)'!$A:$B,2,0)*VLOOKUP(A136,'[32]geoMap (29)'!$A:$C,3,0)</f>
        <v>#REF!</v>
      </c>
      <c r="AF136" s="1" t="e">
        <f>AE136/VLOOKUP(A136,'[33]geoMap (30)'!$A:$B,2,0)*VLOOKUP(A136,'[33]geoMap (30)'!$A:$C,3,0)</f>
        <v>#REF!</v>
      </c>
      <c r="AG136" s="1" t="e">
        <f>AF136/VLOOKUP(A136,'[34]geoMap (31)'!$A:$B,2,0)*VLOOKUP(A136,'[34]geoMap (31)'!$A:$C,3,0)</f>
        <v>#REF!</v>
      </c>
      <c r="AH136" s="1" t="e">
        <f>AG136/VLOOKUP(A136,'[35]geoMap (32)'!$A:$B,2,0)*VLOOKUP(A136,'[35]geoMap (32)'!$A:$C,3,0)</f>
        <v>#REF!</v>
      </c>
      <c r="AI136" s="1" t="e">
        <f>AH136/VLOOKUP(A136,'[36]geoMap (33)'!$A:$B,2,0)*VLOOKUP(A136,'[36]geoMap (33)'!$A:$C,3,0)</f>
        <v>#REF!</v>
      </c>
      <c r="AJ136" s="1" t="e">
        <f>AI136/VLOOKUP(A136,'[37]geoMap (34)'!$A:$B,2,0)*VLOOKUP(A136,'[37]geoMap (34)'!$A:$C,3,0)</f>
        <v>#REF!</v>
      </c>
      <c r="AK136" s="1" t="e">
        <f>AJ136/VLOOKUP(A136,'[38]geoMap (35)'!$A:$B,2,0)*VLOOKUP(A136,'[38]geoMap (35)'!$A:$C,3,0)</f>
        <v>#REF!</v>
      </c>
      <c r="AL136" s="1" t="e">
        <f>AK136/VLOOKUP(A136,'[39]geoMap (36)'!$A:$B,2,0)*VLOOKUP(A136,'[39]geoMap (36)'!$A:$C,3,0)</f>
        <v>#REF!</v>
      </c>
      <c r="AM136" s="1" t="e">
        <f>AL136/VLOOKUP(A136,'[40]geoMap (37)'!$A:$B,2,0)*VLOOKUP(A136,'[40]geoMap (37)'!$A:$C,3,0)</f>
        <v>#REF!</v>
      </c>
      <c r="AN136" s="1" t="e">
        <f>AM136/VLOOKUP(A136,'[41]geoMap (38)'!$A:$B,2,0)*VLOOKUP(A136,'[41]geoMap (38)'!$A:$C,3,0)</f>
        <v>#REF!</v>
      </c>
      <c r="AO136" s="1" t="e">
        <f>AN136/VLOOKUP(A136,'[42]geoMap (39)'!$A:$B,2,0)*VLOOKUP(A136,'[42]geoMap (39)'!$A:$C,3,0)</f>
        <v>#REF!</v>
      </c>
      <c r="AP136" s="1" t="e">
        <f>AO136/VLOOKUP(A136,'[43]geoMap (40)'!$A:$B,2,0)*VLOOKUP(A136,'[43]geoMap (40)'!$A:$C,3,0)</f>
        <v>#REF!</v>
      </c>
      <c r="AQ136" s="1" t="e">
        <f>AP136/VLOOKUP(A136,'[44]geoMap (41)'!$A:$B,2,0)*VLOOKUP(A136,'[44]geoMap (41)'!$A:$C,3,0)</f>
        <v>#REF!</v>
      </c>
      <c r="AR136" s="1" t="e">
        <f>AQ136/VLOOKUP(A136,'[45]geoMap (42)'!$A:$B,2,0)*VLOOKUP(A136,'[45]geoMap (42)'!$A:$C,3,0)</f>
        <v>#REF!</v>
      </c>
      <c r="AS136" s="1" t="e">
        <f>AR136/VLOOKUP(A136,'[46]geoMap (43)'!$A:$B,2,0)*VLOOKUP(A136,'[46]geoMap (43)'!$A:$C,3,0)</f>
        <v>#REF!</v>
      </c>
      <c r="AT136" s="1" t="e">
        <f>AS136/VLOOKUP(A136,'[47]geoMap (44)'!$A:$B,2,0)*VLOOKUP(A136,'[47]geoMap (44)'!$A:$C,3,0)</f>
        <v>#REF!</v>
      </c>
      <c r="AU136" s="1" t="e">
        <f>AT136/VLOOKUP(A136,'[48]geoMap (45)'!$A:$B,2,0)*VLOOKUP(A136,'[48]geoMap (45)'!$A:$C,3,0)</f>
        <v>#REF!</v>
      </c>
      <c r="AV136" s="1" t="e">
        <f>AU136/VLOOKUP(A136,'[49]geoMap (46)'!$A:$B,2,0)*VLOOKUP(A136,'[49]geoMap (46)'!$A:$C,3,0)</f>
        <v>#REF!</v>
      </c>
      <c r="AW136" s="1" t="e">
        <f>AV136/VLOOKUP(A136,'[50]geoMap (47)'!$A:$B,2,0)*VLOOKUP(A136,'[50]geoMap (47)'!$A:$C,3,0)</f>
        <v>#REF!</v>
      </c>
      <c r="AX136" s="1" t="e">
        <f>AW136/VLOOKUP(A136,'[51]geoMap (48)'!$A:$B,2,0)*VLOOKUP(A136,'[51]geoMap (48)'!$A:$C,3,0)</f>
        <v>#REF!</v>
      </c>
      <c r="AY136" s="1" t="e">
        <f>AX136/VLOOKUP(A136,'[52]geoMap (49)'!$A:$B,2,0)*VLOOKUP(A136,'[52]geoMap (49)'!$A:$C,3,0)</f>
        <v>#REF!</v>
      </c>
      <c r="AZ136" s="1" t="e">
        <f>AY136/VLOOKUP(A136,'[53]geoMap (50)'!$A:$B,2,0)*VLOOKUP(A136,'[53]geoMap (50)'!$A:$C,3,0)</f>
        <v>#REF!</v>
      </c>
      <c r="BA136" s="1" t="e">
        <f>AZ136/VLOOKUP(A136,'[54]geoMap (51)'!$A:$B,2,0)*VLOOKUP(A136,'[54]geoMap (51)'!$A:$C,3,0)</f>
        <v>#REF!</v>
      </c>
      <c r="BB136" s="1" t="e">
        <f>BA136/VLOOKUP(A136,'[55]geoMap (52)'!$A:$B,2,0)*VLOOKUP(A136,'[55]geoMap (52)'!$A:$C,3,0)</f>
        <v>#REF!</v>
      </c>
      <c r="BC136" s="1" t="e">
        <f>BB136/VLOOKUP(A136,'[56]geoMap (53)'!$A:$B,2,0)*VLOOKUP(A136,'[56]geoMap (53)'!$A:$C,3,0)</f>
        <v>#REF!</v>
      </c>
      <c r="BD136" s="1" t="e">
        <f>BC136/VLOOKUP(A136,'[57]geoMap (54)'!$A:$B,2,0)*VLOOKUP(A136,'[57]geoMap (54)'!$A:$C,3,0)</f>
        <v>#REF!</v>
      </c>
      <c r="BE136" s="1" t="e">
        <f>BD136/VLOOKUP(A136,'[58]geoMap (55)'!$A:$B,2,0)*VLOOKUP(A136,'[58]geoMap (55)'!$A:$C,3,0)</f>
        <v>#REF!</v>
      </c>
      <c r="BF136" s="1" t="e">
        <f>BE136/VLOOKUP(A136,'[59]geoMap (56)'!$A:$B,2,0)*VLOOKUP(A136,'[59]geoMap (56)'!$A:$C,3,0)</f>
        <v>#REF!</v>
      </c>
      <c r="BG136" s="1" t="e">
        <f>BF136/VLOOKUP(A136,'[60]geoMap (57)'!$A:$B,2,0)*VLOOKUP(A136,'[60]geoMap (57)'!$A:$C,3,0)</f>
        <v>#REF!</v>
      </c>
      <c r="BH136" s="1" t="e">
        <f>BG136/VLOOKUP(A136,'[61]geoMap (58)'!$A:$B,2,0)*VLOOKUP(A136,'[61]geoMap (58)'!$A:$C,3,0)</f>
        <v>#REF!</v>
      </c>
      <c r="BI136" s="1" t="e">
        <f>BH136/VLOOKUP(A136,'[62]geoMap (59)'!$A:$B,2,0)*VLOOKUP(A136,'[62]geoMap (59)'!$A:$C,3,0)</f>
        <v>#REF!</v>
      </c>
      <c r="BJ136" s="1" t="e">
        <f>BI136/VLOOKUP(A136,'[63]geoMap (60)'!$A:$B,2,0)*VLOOKUP(A136,'[63]geoMap (60)'!$A:$C,3,0)</f>
        <v>#REF!</v>
      </c>
      <c r="BK136" s="1" t="e">
        <f>BJ136/VLOOKUP(A136,'[64]geoMap (61)'!$A:$B,2,0)*VLOOKUP(A136,'[64]geoMap (61)'!$A:$C,3,0)</f>
        <v>#REF!</v>
      </c>
      <c r="BL136" s="1" t="e">
        <f>BK136/VLOOKUP(A136,'[65]geoMap (62)'!$A:$B,2,0)*VLOOKUP(A136,'[65]geoMap (62)'!$A:$C,3,0)</f>
        <v>#REF!</v>
      </c>
      <c r="BM136" s="1" t="e">
        <f>BL136/VLOOKUP(A136,'[66]geoMap (63)'!$A:$B,2,0)*VLOOKUP(A136,'[66]geoMap (63)'!$A:$C,3,0)</f>
        <v>#REF!</v>
      </c>
      <c r="BN136" s="1" t="e">
        <f>BM136/VLOOKUP(A136,'[67]geoMap (64)'!$A:$B,2,0)*VLOOKUP(A136,'[67]geoMap (64)'!$A:$C,3,0)</f>
        <v>#REF!</v>
      </c>
      <c r="BO136" s="1" t="e">
        <f>BN136/VLOOKUP(A136,'[68]geoMap (65)'!$A:$B,2,0)*VLOOKUP(A136,'[68]geoMap (65)'!$A:$C,3,0)</f>
        <v>#REF!</v>
      </c>
      <c r="BP136" s="1" t="e">
        <f>BO136/VLOOKUP(A136,'[69]geoMap (66)'!$A:$B,2,0)*VLOOKUP(A136,'[69]geoMap (66)'!$A:$C,3,0)</f>
        <v>#REF!</v>
      </c>
    </row>
    <row r="137" spans="1:68" hidden="1" x14ac:dyDescent="0.2">
      <c r="A137" s="1" t="s">
        <v>104</v>
      </c>
      <c r="B137" s="1" t="e">
        <f>VLOOKUP(A137,[3]geoMap!$A:$B,2,0)*Notes!$C$6</f>
        <v>#REF!</v>
      </c>
      <c r="C137" s="1" t="e">
        <f>B137/VLOOKUP(A137,'[4]geoMap (1)'!$A:$B,2,0)*VLOOKUP(A137,'[4]geoMap (1)'!$A:$C,3,0)</f>
        <v>#REF!</v>
      </c>
      <c r="D137" s="1" t="e">
        <f>C137/VLOOKUP(A137,'[5]geoMap (2)'!$A:$B,2,0)*VLOOKUP(A137,'[5]geoMap (2)'!$A:$C,3,0)</f>
        <v>#REF!</v>
      </c>
      <c r="E137" s="1" t="e">
        <f>D137/VLOOKUP(A137,'[6]geoMap (3)'!$A:$B,2,0)*VLOOKUP(A137,'[6]geoMap (3)'!$A:$C,3,0)</f>
        <v>#REF!</v>
      </c>
      <c r="F137" s="1" t="e">
        <f>E137/VLOOKUP(A137,'[7]geoMap (4)'!$A:$B,2,0)*VLOOKUP(A137,'[7]geoMap (4)'!$A:$C,3,0)</f>
        <v>#REF!</v>
      </c>
      <c r="G137" s="1" t="e">
        <f>F137/VLOOKUP(A137,'[8]geoMap (5)'!$A:$B,2,0)*VLOOKUP(A137,'[8]geoMap (5)'!$A:$C,3,0)</f>
        <v>#REF!</v>
      </c>
      <c r="H137" s="1" t="e">
        <f>G137/VLOOKUP(A137,'[9]geoMap (6)'!$A:$B,2,0)*VLOOKUP(A137,'[9]geoMap (6)'!$A:$C,3,0)</f>
        <v>#REF!</v>
      </c>
      <c r="I137" s="1" t="e">
        <f>H137/VLOOKUP(A137,'[10]geoMap (7)'!$A:$B,2,0)*VLOOKUP(A137,'[10]geoMap (7)'!$A:$C,3,0)</f>
        <v>#REF!</v>
      </c>
      <c r="J137" s="1" t="e">
        <f>I137/VLOOKUP(A137,'[11]geoMap (8)'!$A:$B,2,0)*VLOOKUP(A137,'[11]geoMap (8)'!$A:$C,3,0)</f>
        <v>#REF!</v>
      </c>
      <c r="K137" s="1" t="e">
        <f>J137/VLOOKUP(A137,'[12]geoMap (9)'!$A:$B,2,0)*VLOOKUP(A137,'[12]geoMap (9)'!$A:$C,3,0)</f>
        <v>#REF!</v>
      </c>
      <c r="L137" s="1" t="e">
        <f>K137/VLOOKUP(A137,'[13]geoMap (10)'!$A:$B,2,0)*VLOOKUP(A137,'[13]geoMap (10)'!$A:$C,3,0)</f>
        <v>#REF!</v>
      </c>
      <c r="M137" s="1" t="e">
        <f>L137/VLOOKUP(A137,'[14]geoMap (11)'!$A:$B,2,0)*VLOOKUP(A137,'[14]geoMap (11)'!$A:$C,3,0)</f>
        <v>#REF!</v>
      </c>
      <c r="N137" s="1" t="e">
        <f>M137/VLOOKUP(A137,'[15]geoMap (12)'!$A:$B,2,0)*VLOOKUP(A137,'[15]geoMap (12)'!$A:$C,3,0)</f>
        <v>#REF!</v>
      </c>
      <c r="O137" s="1" t="e">
        <f>N137/VLOOKUP(A137,'[16]geoMap (13)'!$A:$B,2,0)*VLOOKUP(A137,'[16]geoMap (13)'!$A:$C,3,0)</f>
        <v>#REF!</v>
      </c>
      <c r="P137" s="1" t="e">
        <f>O137/VLOOKUP(A137,'[17]geoMap (14)'!$A:$B,2,0)*VLOOKUP(A137,'[17]geoMap (14)'!$A:$C,3,0)</f>
        <v>#REF!</v>
      </c>
      <c r="Q137" s="1" t="e">
        <f>P137/VLOOKUP(A137,'[18]geoMap (15)'!$A:$B,2,0)*VLOOKUP(A137,'[18]geoMap (15)'!$A:$C,3,0)</f>
        <v>#REF!</v>
      </c>
      <c r="R137" s="1" t="e">
        <f>Q137/VLOOKUP(A137,'[19]geoMap (16)'!$A:$B,2,0)*VLOOKUP(A137,'[19]geoMap (16)'!$A:$C,3,0)</f>
        <v>#REF!</v>
      </c>
      <c r="S137" s="1" t="e">
        <f>R137/VLOOKUP(A137,'[20]geoMap (17)'!$A:$B,2,0)*VLOOKUP(A137,'[20]geoMap (17)'!$A:$C,3,0)</f>
        <v>#REF!</v>
      </c>
      <c r="T137" s="1" t="e">
        <f>S137/VLOOKUP(A137,'[21]geoMap (18)'!$A:$B,2,0)*VLOOKUP(A137,'[21]geoMap (18)'!$A:$C,3,0)</f>
        <v>#REF!</v>
      </c>
      <c r="U137" s="1" t="e">
        <f>T137/VLOOKUP(A137,'[22]geoMap (19)'!$A:$B,2,0)*VLOOKUP(A137,'[22]geoMap (19)'!$A:$C,3,0)</f>
        <v>#REF!</v>
      </c>
      <c r="V137" s="1" t="e">
        <f>U137/VLOOKUP(A137,'[23]geoMap (20)'!$A:$B,2,0)*VLOOKUP(A137,'[23]geoMap (20)'!$A:$C,3,0)</f>
        <v>#REF!</v>
      </c>
      <c r="W137" s="1" t="e">
        <f>V137/VLOOKUP(A137,'[24]geoMap (21)'!$A:$B,2,0)*VLOOKUP(A137,'[24]geoMap (21)'!$A:$C,3,0)</f>
        <v>#REF!</v>
      </c>
      <c r="X137" s="1" t="e">
        <f>W137/VLOOKUP(A137,'[25]geoMap (22)'!$A:$B,2,0)*VLOOKUP(A137,'[25]geoMap (22)'!$A:$C,3,0)</f>
        <v>#REF!</v>
      </c>
      <c r="Y137" s="1" t="e">
        <f>X137/VLOOKUP(A137,'[26]geoMap (23)'!$A:$B,2,0)*VLOOKUP(A137,'[26]geoMap (23)'!$A:$C,3,0)</f>
        <v>#REF!</v>
      </c>
      <c r="Z137" s="1" t="e">
        <f>Y137/VLOOKUP(A137,'[27]geoMap (24)'!$A:$B,2,0)*VLOOKUP(A137,'[27]geoMap (24)'!$A:$C,3,0)</f>
        <v>#REF!</v>
      </c>
      <c r="AA137" s="1" t="e">
        <f>Z137/VLOOKUP(A137,'[28]geoMap (25)'!$A:$B,2,0)*VLOOKUP(A137,'[28]geoMap (25)'!$A:$C,3,0)</f>
        <v>#REF!</v>
      </c>
      <c r="AB137" s="1" t="e">
        <f>AA137*VLOOKUP(A137,'[29]geoMap (26)'!$A:$B,2,0)*VLOOKUP(A137,'[29]geoMap (26)'!$A:$C,3,0)</f>
        <v>#REF!</v>
      </c>
      <c r="AC137" s="1" t="e">
        <f>AB137/VLOOKUP(A137,'[30]geoMap (27)'!$A:$B,2,0)*VLOOKUP(A137,'[30]geoMap (27)'!$A:$C,3,0)</f>
        <v>#REF!</v>
      </c>
      <c r="AD137" s="1" t="e">
        <f>AC137/VLOOKUP(A137,'[31]geoMap (28)'!$A:$B,2,0)*VLOOKUP(A137,'[31]geoMap (28)'!$A:$C,3,0)</f>
        <v>#REF!</v>
      </c>
      <c r="AE137" s="1" t="e">
        <f>AD137/VLOOKUP(A137,'[32]geoMap (29)'!$A:$B,2,0)*VLOOKUP(A137,'[32]geoMap (29)'!$A:$C,3,0)</f>
        <v>#REF!</v>
      </c>
      <c r="AF137" s="1" t="e">
        <f>AE137/VLOOKUP(A137,'[33]geoMap (30)'!$A:$B,2,0)*VLOOKUP(A137,'[33]geoMap (30)'!$A:$C,3,0)</f>
        <v>#REF!</v>
      </c>
      <c r="AG137" s="1" t="e">
        <f>AF137/VLOOKUP(A137,'[34]geoMap (31)'!$A:$B,2,0)*VLOOKUP(A137,'[34]geoMap (31)'!$A:$C,3,0)</f>
        <v>#REF!</v>
      </c>
      <c r="AH137" s="1" t="e">
        <f>AG137/VLOOKUP(A137,'[35]geoMap (32)'!$A:$B,2,0)*VLOOKUP(A137,'[35]geoMap (32)'!$A:$C,3,0)</f>
        <v>#REF!</v>
      </c>
      <c r="AI137" s="1" t="e">
        <f>AH137/VLOOKUP(A137,'[36]geoMap (33)'!$A:$B,2,0)*VLOOKUP(A137,'[36]geoMap (33)'!$A:$C,3,0)</f>
        <v>#REF!</v>
      </c>
      <c r="AJ137" s="1" t="e">
        <f>AI137/VLOOKUP(A137,'[37]geoMap (34)'!$A:$B,2,0)*VLOOKUP(A137,'[37]geoMap (34)'!$A:$C,3,0)</f>
        <v>#REF!</v>
      </c>
      <c r="AK137" s="1" t="e">
        <f>AJ137/VLOOKUP(A137,'[38]geoMap (35)'!$A:$B,2,0)*VLOOKUP(A137,'[38]geoMap (35)'!$A:$C,3,0)</f>
        <v>#REF!</v>
      </c>
      <c r="AL137" s="1" t="e">
        <f>AK137/VLOOKUP(A137,'[39]geoMap (36)'!$A:$B,2,0)*VLOOKUP(A137,'[39]geoMap (36)'!$A:$C,3,0)</f>
        <v>#REF!</v>
      </c>
      <c r="AM137" s="1" t="e">
        <f>AL137/VLOOKUP(A137,'[40]geoMap (37)'!$A:$B,2,0)*VLOOKUP(A137,'[40]geoMap (37)'!$A:$C,3,0)</f>
        <v>#REF!</v>
      </c>
      <c r="AN137" s="1" t="e">
        <f>AM137/VLOOKUP(A137,'[41]geoMap (38)'!$A:$B,2,0)*VLOOKUP(A137,'[41]geoMap (38)'!$A:$C,3,0)</f>
        <v>#REF!</v>
      </c>
      <c r="AO137" s="1" t="e">
        <f>AN137/VLOOKUP(A137,'[42]geoMap (39)'!$A:$B,2,0)*VLOOKUP(A137,'[42]geoMap (39)'!$A:$C,3,0)</f>
        <v>#REF!</v>
      </c>
      <c r="AP137" s="1" t="e">
        <f>AO137/VLOOKUP(A137,'[43]geoMap (40)'!$A:$B,2,0)*VLOOKUP(A137,'[43]geoMap (40)'!$A:$C,3,0)</f>
        <v>#REF!</v>
      </c>
      <c r="AQ137" s="1" t="e">
        <f>AP137/VLOOKUP(A137,'[44]geoMap (41)'!$A:$B,2,0)*VLOOKUP(A137,'[44]geoMap (41)'!$A:$C,3,0)</f>
        <v>#REF!</v>
      </c>
      <c r="AR137" s="1" t="e">
        <f>AQ137/VLOOKUP(A137,'[45]geoMap (42)'!$A:$B,2,0)*VLOOKUP(A137,'[45]geoMap (42)'!$A:$C,3,0)</f>
        <v>#REF!</v>
      </c>
      <c r="AS137" s="1" t="e">
        <f>AR137/VLOOKUP(A137,'[46]geoMap (43)'!$A:$B,2,0)*VLOOKUP(A137,'[46]geoMap (43)'!$A:$C,3,0)</f>
        <v>#REF!</v>
      </c>
      <c r="AT137" s="1" t="e">
        <f>AS137/VLOOKUP(A137,'[47]geoMap (44)'!$A:$B,2,0)*VLOOKUP(A137,'[47]geoMap (44)'!$A:$C,3,0)</f>
        <v>#REF!</v>
      </c>
      <c r="AU137" s="1" t="e">
        <f>AT137/VLOOKUP(A137,'[48]geoMap (45)'!$A:$B,2,0)*VLOOKUP(A137,'[48]geoMap (45)'!$A:$C,3,0)</f>
        <v>#REF!</v>
      </c>
      <c r="AV137" s="1" t="e">
        <f>AU137/VLOOKUP(A137,'[49]geoMap (46)'!$A:$B,2,0)*VLOOKUP(A137,'[49]geoMap (46)'!$A:$C,3,0)</f>
        <v>#REF!</v>
      </c>
      <c r="AW137" s="1" t="e">
        <f>AV137/VLOOKUP(A137,'[50]geoMap (47)'!$A:$B,2,0)*VLOOKUP(A137,'[50]geoMap (47)'!$A:$C,3,0)</f>
        <v>#REF!</v>
      </c>
      <c r="AX137" s="1" t="e">
        <f>AW137/VLOOKUP(A137,'[51]geoMap (48)'!$A:$B,2,0)*VLOOKUP(A137,'[51]geoMap (48)'!$A:$C,3,0)</f>
        <v>#REF!</v>
      </c>
      <c r="AY137" s="1" t="e">
        <f>AX137/VLOOKUP(A137,'[52]geoMap (49)'!$A:$B,2,0)*VLOOKUP(A137,'[52]geoMap (49)'!$A:$C,3,0)</f>
        <v>#REF!</v>
      </c>
      <c r="AZ137" s="1" t="e">
        <f>AY137/VLOOKUP(A137,'[53]geoMap (50)'!$A:$B,2,0)*VLOOKUP(A137,'[53]geoMap (50)'!$A:$C,3,0)</f>
        <v>#REF!</v>
      </c>
      <c r="BA137" s="1" t="e">
        <f>AZ137/VLOOKUP(A137,'[54]geoMap (51)'!$A:$B,2,0)*VLOOKUP(A137,'[54]geoMap (51)'!$A:$C,3,0)</f>
        <v>#REF!</v>
      </c>
      <c r="BB137" s="1" t="e">
        <f>BA137/VLOOKUP(A137,'[55]geoMap (52)'!$A:$B,2,0)*VLOOKUP(A137,'[55]geoMap (52)'!$A:$C,3,0)</f>
        <v>#REF!</v>
      </c>
      <c r="BC137" s="1" t="e">
        <f>BB137/VLOOKUP(A137,'[56]geoMap (53)'!$A:$B,2,0)*VLOOKUP(A137,'[56]geoMap (53)'!$A:$C,3,0)</f>
        <v>#REF!</v>
      </c>
      <c r="BD137" s="1" t="e">
        <f>BC137/VLOOKUP(A137,'[57]geoMap (54)'!$A:$B,2,0)*VLOOKUP(A137,'[57]geoMap (54)'!$A:$C,3,0)</f>
        <v>#REF!</v>
      </c>
      <c r="BE137" s="1" t="e">
        <f>BD137/VLOOKUP(A137,'[58]geoMap (55)'!$A:$B,2,0)*VLOOKUP(A137,'[58]geoMap (55)'!$A:$C,3,0)</f>
        <v>#REF!</v>
      </c>
      <c r="BF137" s="1" t="e">
        <f>BE137/VLOOKUP(A137,'[59]geoMap (56)'!$A:$B,2,0)*VLOOKUP(A137,'[59]geoMap (56)'!$A:$C,3,0)</f>
        <v>#REF!</v>
      </c>
      <c r="BG137" s="1" t="e">
        <f>BF137/VLOOKUP(A137,'[60]geoMap (57)'!$A:$B,2,0)*VLOOKUP(A137,'[60]geoMap (57)'!$A:$C,3,0)</f>
        <v>#REF!</v>
      </c>
      <c r="BH137" s="1" t="e">
        <f>BG137/VLOOKUP(A137,'[61]geoMap (58)'!$A:$B,2,0)*VLOOKUP(A137,'[61]geoMap (58)'!$A:$C,3,0)</f>
        <v>#REF!</v>
      </c>
      <c r="BI137" s="1" t="e">
        <f>BH137/VLOOKUP(A137,'[62]geoMap (59)'!$A:$B,2,0)*VLOOKUP(A137,'[62]geoMap (59)'!$A:$C,3,0)</f>
        <v>#REF!</v>
      </c>
      <c r="BJ137" s="1" t="e">
        <f>BI137/VLOOKUP(A137,'[63]geoMap (60)'!$A:$B,2,0)*VLOOKUP(A137,'[63]geoMap (60)'!$A:$C,3,0)</f>
        <v>#REF!</v>
      </c>
      <c r="BK137" s="1" t="e">
        <f>BJ137/VLOOKUP(A137,'[64]geoMap (61)'!$A:$B,2,0)*VLOOKUP(A137,'[64]geoMap (61)'!$A:$C,3,0)</f>
        <v>#REF!</v>
      </c>
      <c r="BL137" s="1" t="e">
        <f>BK137/VLOOKUP(A137,'[65]geoMap (62)'!$A:$B,2,0)*VLOOKUP(A137,'[65]geoMap (62)'!$A:$C,3,0)</f>
        <v>#REF!</v>
      </c>
      <c r="BM137" s="1" t="e">
        <f>BL137/VLOOKUP(A137,'[66]geoMap (63)'!$A:$B,2,0)*VLOOKUP(A137,'[66]geoMap (63)'!$A:$C,3,0)</f>
        <v>#REF!</v>
      </c>
      <c r="BN137" s="1" t="e">
        <f>BM137/VLOOKUP(A137,'[67]geoMap (64)'!$A:$B,2,0)*VLOOKUP(A137,'[67]geoMap (64)'!$A:$C,3,0)</f>
        <v>#REF!</v>
      </c>
      <c r="BO137" s="1" t="e">
        <f>BN137/VLOOKUP(A137,'[68]geoMap (65)'!$A:$B,2,0)*VLOOKUP(A137,'[68]geoMap (65)'!$A:$C,3,0)</f>
        <v>#REF!</v>
      </c>
      <c r="BP137" s="1" t="e">
        <f>BO137/VLOOKUP(A137,'[69]geoMap (66)'!$A:$B,2,0)*VLOOKUP(A137,'[69]geoMap (66)'!$A:$C,3,0)</f>
        <v>#REF!</v>
      </c>
    </row>
    <row r="138" spans="1:68" hidden="1" x14ac:dyDescent="0.2">
      <c r="A138" s="1" t="s">
        <v>105</v>
      </c>
      <c r="B138" s="1" t="e">
        <f>VLOOKUP(A138,[3]geoMap!$A:$B,2,0)*Notes!$C$6</f>
        <v>#REF!</v>
      </c>
      <c r="C138" s="1" t="e">
        <f>B138/VLOOKUP(A138,'[4]geoMap (1)'!$A:$B,2,0)*VLOOKUP(A138,'[4]geoMap (1)'!$A:$C,3,0)</f>
        <v>#REF!</v>
      </c>
      <c r="D138" s="1" t="e">
        <f>C138/VLOOKUP(A138,'[5]geoMap (2)'!$A:$B,2,0)*VLOOKUP(A138,'[5]geoMap (2)'!$A:$C,3,0)</f>
        <v>#REF!</v>
      </c>
      <c r="E138" s="1" t="e">
        <f>D138/VLOOKUP(A138,'[6]geoMap (3)'!$A:$B,2,0)*VLOOKUP(A138,'[6]geoMap (3)'!$A:$C,3,0)</f>
        <v>#REF!</v>
      </c>
      <c r="F138" s="1" t="e">
        <f>E138/VLOOKUP(A138,'[7]geoMap (4)'!$A:$B,2,0)*VLOOKUP(A138,'[7]geoMap (4)'!$A:$C,3,0)</f>
        <v>#REF!</v>
      </c>
      <c r="G138" s="1" t="e">
        <f>F138/VLOOKUP(A138,'[8]geoMap (5)'!$A:$B,2,0)*VLOOKUP(A138,'[8]geoMap (5)'!$A:$C,3,0)</f>
        <v>#REF!</v>
      </c>
      <c r="H138" s="1" t="e">
        <f>G138/VLOOKUP(A138,'[9]geoMap (6)'!$A:$B,2,0)*VLOOKUP(A138,'[9]geoMap (6)'!$A:$C,3,0)</f>
        <v>#REF!</v>
      </c>
      <c r="I138" s="1" t="e">
        <f>H138/VLOOKUP(A138,'[10]geoMap (7)'!$A:$B,2,0)*VLOOKUP(A138,'[10]geoMap (7)'!$A:$C,3,0)</f>
        <v>#REF!</v>
      </c>
      <c r="J138" s="1" t="e">
        <f>I138/VLOOKUP(A138,'[11]geoMap (8)'!$A:$B,2,0)*VLOOKUP(A138,'[11]geoMap (8)'!$A:$C,3,0)</f>
        <v>#REF!</v>
      </c>
      <c r="K138" s="1" t="e">
        <f>J138/VLOOKUP(A138,'[12]geoMap (9)'!$A:$B,2,0)*VLOOKUP(A138,'[12]geoMap (9)'!$A:$C,3,0)</f>
        <v>#REF!</v>
      </c>
      <c r="L138" s="1" t="e">
        <f>K138/VLOOKUP(A138,'[13]geoMap (10)'!$A:$B,2,0)*VLOOKUP(A138,'[13]geoMap (10)'!$A:$C,3,0)</f>
        <v>#REF!</v>
      </c>
      <c r="M138" s="1" t="e">
        <f>L138/VLOOKUP(A138,'[14]geoMap (11)'!$A:$B,2,0)*VLOOKUP(A138,'[14]geoMap (11)'!$A:$C,3,0)</f>
        <v>#REF!</v>
      </c>
      <c r="N138" s="1" t="e">
        <f>M138/VLOOKUP(A138,'[15]geoMap (12)'!$A:$B,2,0)*VLOOKUP(A138,'[15]geoMap (12)'!$A:$C,3,0)</f>
        <v>#REF!</v>
      </c>
      <c r="O138" s="1" t="e">
        <f>N138/VLOOKUP(A138,'[16]geoMap (13)'!$A:$B,2,0)*VLOOKUP(A138,'[16]geoMap (13)'!$A:$C,3,0)</f>
        <v>#REF!</v>
      </c>
      <c r="P138" s="1" t="e">
        <f>O138/VLOOKUP(A138,'[17]geoMap (14)'!$A:$B,2,0)*VLOOKUP(A138,'[17]geoMap (14)'!$A:$C,3,0)</f>
        <v>#REF!</v>
      </c>
      <c r="Q138" s="1" t="e">
        <f>P138/VLOOKUP(A138,'[18]geoMap (15)'!$A:$B,2,0)*VLOOKUP(A138,'[18]geoMap (15)'!$A:$C,3,0)</f>
        <v>#REF!</v>
      </c>
      <c r="R138" s="1" t="e">
        <f>Q138/VLOOKUP(A138,'[19]geoMap (16)'!$A:$B,2,0)*VLOOKUP(A138,'[19]geoMap (16)'!$A:$C,3,0)</f>
        <v>#REF!</v>
      </c>
      <c r="S138" s="1" t="e">
        <f>R138/VLOOKUP(A138,'[20]geoMap (17)'!$A:$B,2,0)*VLOOKUP(A138,'[20]geoMap (17)'!$A:$C,3,0)</f>
        <v>#REF!</v>
      </c>
      <c r="T138" s="1" t="e">
        <f>S138/VLOOKUP(A138,'[21]geoMap (18)'!$A:$B,2,0)*VLOOKUP(A138,'[21]geoMap (18)'!$A:$C,3,0)</f>
        <v>#REF!</v>
      </c>
      <c r="U138" s="1" t="e">
        <f>T138/VLOOKUP(A138,'[22]geoMap (19)'!$A:$B,2,0)*VLOOKUP(A138,'[22]geoMap (19)'!$A:$C,3,0)</f>
        <v>#REF!</v>
      </c>
      <c r="V138" s="1" t="e">
        <f>U138/VLOOKUP(A138,'[23]geoMap (20)'!$A:$B,2,0)*VLOOKUP(A138,'[23]geoMap (20)'!$A:$C,3,0)</f>
        <v>#REF!</v>
      </c>
      <c r="W138" s="1" t="e">
        <f>V138/VLOOKUP(A138,'[24]geoMap (21)'!$A:$B,2,0)*VLOOKUP(A138,'[24]geoMap (21)'!$A:$C,3,0)</f>
        <v>#REF!</v>
      </c>
      <c r="X138" s="1" t="e">
        <f>W138/VLOOKUP(A138,'[25]geoMap (22)'!$A:$B,2,0)*VLOOKUP(A138,'[25]geoMap (22)'!$A:$C,3,0)</f>
        <v>#REF!</v>
      </c>
      <c r="Y138" s="1" t="e">
        <f>X138/VLOOKUP(A138,'[26]geoMap (23)'!$A:$B,2,0)*VLOOKUP(A138,'[26]geoMap (23)'!$A:$C,3,0)</f>
        <v>#REF!</v>
      </c>
      <c r="Z138" s="1" t="e">
        <f>Y138/VLOOKUP(A138,'[27]geoMap (24)'!$A:$B,2,0)*VLOOKUP(A138,'[27]geoMap (24)'!$A:$C,3,0)</f>
        <v>#REF!</v>
      </c>
      <c r="AA138" s="1" t="e">
        <f>Z138/VLOOKUP(A138,'[28]geoMap (25)'!$A:$B,2,0)*VLOOKUP(A138,'[28]geoMap (25)'!$A:$C,3,0)</f>
        <v>#REF!</v>
      </c>
      <c r="AB138" s="1" t="e">
        <f>AA138*VLOOKUP(A138,'[29]geoMap (26)'!$A:$B,2,0)*VLOOKUP(A138,'[29]geoMap (26)'!$A:$C,3,0)</f>
        <v>#REF!</v>
      </c>
      <c r="AC138" s="1" t="e">
        <f>AB138/VLOOKUP(A138,'[30]geoMap (27)'!$A:$B,2,0)*VLOOKUP(A138,'[30]geoMap (27)'!$A:$C,3,0)</f>
        <v>#REF!</v>
      </c>
      <c r="AD138" s="1" t="e">
        <f>AC138/VLOOKUP(A138,'[31]geoMap (28)'!$A:$B,2,0)*VLOOKUP(A138,'[31]geoMap (28)'!$A:$C,3,0)</f>
        <v>#REF!</v>
      </c>
      <c r="AE138" s="1" t="e">
        <f>AD138/VLOOKUP(A138,'[32]geoMap (29)'!$A:$B,2,0)*VLOOKUP(A138,'[32]geoMap (29)'!$A:$C,3,0)</f>
        <v>#REF!</v>
      </c>
      <c r="AF138" s="1" t="e">
        <f>AE138/VLOOKUP(A138,'[33]geoMap (30)'!$A:$B,2,0)*VLOOKUP(A138,'[33]geoMap (30)'!$A:$C,3,0)</f>
        <v>#REF!</v>
      </c>
      <c r="AG138" s="1" t="e">
        <f>AF138/VLOOKUP(A138,'[34]geoMap (31)'!$A:$B,2,0)*VLOOKUP(A138,'[34]geoMap (31)'!$A:$C,3,0)</f>
        <v>#REF!</v>
      </c>
      <c r="AH138" s="1" t="e">
        <f>AG138/VLOOKUP(A138,'[35]geoMap (32)'!$A:$B,2,0)*VLOOKUP(A138,'[35]geoMap (32)'!$A:$C,3,0)</f>
        <v>#REF!</v>
      </c>
      <c r="AI138" s="1" t="e">
        <f>AH138/VLOOKUP(A138,'[36]geoMap (33)'!$A:$B,2,0)*VLOOKUP(A138,'[36]geoMap (33)'!$A:$C,3,0)</f>
        <v>#REF!</v>
      </c>
      <c r="AJ138" s="1" t="e">
        <f>AI138/VLOOKUP(A138,'[37]geoMap (34)'!$A:$B,2,0)*VLOOKUP(A138,'[37]geoMap (34)'!$A:$C,3,0)</f>
        <v>#REF!</v>
      </c>
      <c r="AK138" s="1" t="e">
        <f>AJ138/VLOOKUP(A138,'[38]geoMap (35)'!$A:$B,2,0)*VLOOKUP(A138,'[38]geoMap (35)'!$A:$C,3,0)</f>
        <v>#REF!</v>
      </c>
      <c r="AL138" s="1" t="e">
        <f>AK138/VLOOKUP(A138,'[39]geoMap (36)'!$A:$B,2,0)*VLOOKUP(A138,'[39]geoMap (36)'!$A:$C,3,0)</f>
        <v>#REF!</v>
      </c>
      <c r="AM138" s="1" t="e">
        <f>AL138/VLOOKUP(A138,'[40]geoMap (37)'!$A:$B,2,0)*VLOOKUP(A138,'[40]geoMap (37)'!$A:$C,3,0)</f>
        <v>#REF!</v>
      </c>
      <c r="AN138" s="1" t="e">
        <f>AM138/VLOOKUP(A138,'[41]geoMap (38)'!$A:$B,2,0)*VLOOKUP(A138,'[41]geoMap (38)'!$A:$C,3,0)</f>
        <v>#REF!</v>
      </c>
      <c r="AO138" s="1" t="e">
        <f>AN138/VLOOKUP(A138,'[42]geoMap (39)'!$A:$B,2,0)*VLOOKUP(A138,'[42]geoMap (39)'!$A:$C,3,0)</f>
        <v>#REF!</v>
      </c>
      <c r="AP138" s="1" t="e">
        <f>AO138/VLOOKUP(A138,'[43]geoMap (40)'!$A:$B,2,0)*VLOOKUP(A138,'[43]geoMap (40)'!$A:$C,3,0)</f>
        <v>#REF!</v>
      </c>
      <c r="AQ138" s="1" t="e">
        <f>AP138/VLOOKUP(A138,'[44]geoMap (41)'!$A:$B,2,0)*VLOOKUP(A138,'[44]geoMap (41)'!$A:$C,3,0)</f>
        <v>#REF!</v>
      </c>
      <c r="AR138" s="1" t="e">
        <f>AQ138/VLOOKUP(A138,'[45]geoMap (42)'!$A:$B,2,0)*VLOOKUP(A138,'[45]geoMap (42)'!$A:$C,3,0)</f>
        <v>#REF!</v>
      </c>
      <c r="AS138" s="1" t="e">
        <f>AR138/VLOOKUP(A138,'[46]geoMap (43)'!$A:$B,2,0)*VLOOKUP(A138,'[46]geoMap (43)'!$A:$C,3,0)</f>
        <v>#REF!</v>
      </c>
      <c r="AT138" s="1" t="e">
        <f>AS138/VLOOKUP(A138,'[47]geoMap (44)'!$A:$B,2,0)*VLOOKUP(A138,'[47]geoMap (44)'!$A:$C,3,0)</f>
        <v>#REF!</v>
      </c>
      <c r="AU138" s="1" t="e">
        <f>AT138/VLOOKUP(A138,'[48]geoMap (45)'!$A:$B,2,0)*VLOOKUP(A138,'[48]geoMap (45)'!$A:$C,3,0)</f>
        <v>#REF!</v>
      </c>
      <c r="AV138" s="1" t="e">
        <f>AU138/VLOOKUP(A138,'[49]geoMap (46)'!$A:$B,2,0)*VLOOKUP(A138,'[49]geoMap (46)'!$A:$C,3,0)</f>
        <v>#REF!</v>
      </c>
      <c r="AW138" s="1" t="e">
        <f>AV138/VLOOKUP(A138,'[50]geoMap (47)'!$A:$B,2,0)*VLOOKUP(A138,'[50]geoMap (47)'!$A:$C,3,0)</f>
        <v>#REF!</v>
      </c>
      <c r="AX138" s="1" t="e">
        <f>AW138/VLOOKUP(A138,'[51]geoMap (48)'!$A:$B,2,0)*VLOOKUP(A138,'[51]geoMap (48)'!$A:$C,3,0)</f>
        <v>#REF!</v>
      </c>
      <c r="AY138" s="1" t="e">
        <f>AX138/VLOOKUP(A138,'[52]geoMap (49)'!$A:$B,2,0)*VLOOKUP(A138,'[52]geoMap (49)'!$A:$C,3,0)</f>
        <v>#REF!</v>
      </c>
      <c r="AZ138" s="1" t="e">
        <f>AY138/VLOOKUP(A138,'[53]geoMap (50)'!$A:$B,2,0)*VLOOKUP(A138,'[53]geoMap (50)'!$A:$C,3,0)</f>
        <v>#REF!</v>
      </c>
      <c r="BA138" s="1" t="e">
        <f>AZ138/VLOOKUP(A138,'[54]geoMap (51)'!$A:$B,2,0)*VLOOKUP(A138,'[54]geoMap (51)'!$A:$C,3,0)</f>
        <v>#REF!</v>
      </c>
      <c r="BB138" s="1" t="e">
        <f>BA138/VLOOKUP(A138,'[55]geoMap (52)'!$A:$B,2,0)*VLOOKUP(A138,'[55]geoMap (52)'!$A:$C,3,0)</f>
        <v>#REF!</v>
      </c>
      <c r="BC138" s="1" t="e">
        <f>BB138/VLOOKUP(A138,'[56]geoMap (53)'!$A:$B,2,0)*VLOOKUP(A138,'[56]geoMap (53)'!$A:$C,3,0)</f>
        <v>#REF!</v>
      </c>
      <c r="BD138" s="1" t="e">
        <f>BC138/VLOOKUP(A138,'[57]geoMap (54)'!$A:$B,2,0)*VLOOKUP(A138,'[57]geoMap (54)'!$A:$C,3,0)</f>
        <v>#REF!</v>
      </c>
      <c r="BE138" s="1" t="e">
        <f>BD138/VLOOKUP(A138,'[58]geoMap (55)'!$A:$B,2,0)*VLOOKUP(A138,'[58]geoMap (55)'!$A:$C,3,0)</f>
        <v>#REF!</v>
      </c>
      <c r="BF138" s="1" t="e">
        <f>BE138/VLOOKUP(A138,'[59]geoMap (56)'!$A:$B,2,0)*VLOOKUP(A138,'[59]geoMap (56)'!$A:$C,3,0)</f>
        <v>#REF!</v>
      </c>
      <c r="BG138" s="1" t="e">
        <f>BF138/VLOOKUP(A138,'[60]geoMap (57)'!$A:$B,2,0)*VLOOKUP(A138,'[60]geoMap (57)'!$A:$C,3,0)</f>
        <v>#REF!</v>
      </c>
      <c r="BH138" s="1" t="e">
        <f>BG138/VLOOKUP(A138,'[61]geoMap (58)'!$A:$B,2,0)*VLOOKUP(A138,'[61]geoMap (58)'!$A:$C,3,0)</f>
        <v>#REF!</v>
      </c>
      <c r="BI138" s="1" t="e">
        <f>BH138/VLOOKUP(A138,'[62]geoMap (59)'!$A:$B,2,0)*VLOOKUP(A138,'[62]geoMap (59)'!$A:$C,3,0)</f>
        <v>#REF!</v>
      </c>
      <c r="BJ138" s="1" t="e">
        <f>BI138/VLOOKUP(A138,'[63]geoMap (60)'!$A:$B,2,0)*VLOOKUP(A138,'[63]geoMap (60)'!$A:$C,3,0)</f>
        <v>#REF!</v>
      </c>
      <c r="BK138" s="1" t="e">
        <f>BJ138/VLOOKUP(A138,'[64]geoMap (61)'!$A:$B,2,0)*VLOOKUP(A138,'[64]geoMap (61)'!$A:$C,3,0)</f>
        <v>#REF!</v>
      </c>
      <c r="BL138" s="1" t="e">
        <f>BK138/VLOOKUP(A138,'[65]geoMap (62)'!$A:$B,2,0)*VLOOKUP(A138,'[65]geoMap (62)'!$A:$C,3,0)</f>
        <v>#REF!</v>
      </c>
      <c r="BM138" s="1" t="e">
        <f>BL138/VLOOKUP(A138,'[66]geoMap (63)'!$A:$B,2,0)*VLOOKUP(A138,'[66]geoMap (63)'!$A:$C,3,0)</f>
        <v>#REF!</v>
      </c>
      <c r="BN138" s="1" t="e">
        <f>BM138/VLOOKUP(A138,'[67]geoMap (64)'!$A:$B,2,0)*VLOOKUP(A138,'[67]geoMap (64)'!$A:$C,3,0)</f>
        <v>#REF!</v>
      </c>
      <c r="BO138" s="1" t="e">
        <f>BN138/VLOOKUP(A138,'[68]geoMap (65)'!$A:$B,2,0)*VLOOKUP(A138,'[68]geoMap (65)'!$A:$C,3,0)</f>
        <v>#REF!</v>
      </c>
      <c r="BP138" s="1" t="e">
        <f>BO138/VLOOKUP(A138,'[69]geoMap (66)'!$A:$B,2,0)*VLOOKUP(A138,'[69]geoMap (66)'!$A:$C,3,0)</f>
        <v>#REF!</v>
      </c>
    </row>
    <row r="139" spans="1:68" hidden="1" x14ac:dyDescent="0.2">
      <c r="A139" s="1" t="s">
        <v>107</v>
      </c>
      <c r="B139" s="1" t="e">
        <f>VLOOKUP(A139,[3]geoMap!$A:$B,2,0)*Notes!$C$6</f>
        <v>#REF!</v>
      </c>
      <c r="C139" s="1" t="e">
        <f>B139/VLOOKUP(A139,'[4]geoMap (1)'!$A:$B,2,0)*VLOOKUP(A139,'[4]geoMap (1)'!$A:$C,3,0)</f>
        <v>#REF!</v>
      </c>
      <c r="D139" s="1" t="e">
        <f>C139/VLOOKUP(A139,'[5]geoMap (2)'!$A:$B,2,0)*VLOOKUP(A139,'[5]geoMap (2)'!$A:$C,3,0)</f>
        <v>#REF!</v>
      </c>
      <c r="E139" s="1" t="e">
        <f>D139/VLOOKUP(A139,'[6]geoMap (3)'!$A:$B,2,0)*VLOOKUP(A139,'[6]geoMap (3)'!$A:$C,3,0)</f>
        <v>#REF!</v>
      </c>
      <c r="F139" s="1" t="e">
        <f>E139/VLOOKUP(A139,'[7]geoMap (4)'!$A:$B,2,0)*VLOOKUP(A139,'[7]geoMap (4)'!$A:$C,3,0)</f>
        <v>#REF!</v>
      </c>
      <c r="G139" s="1" t="e">
        <f>F139/VLOOKUP(A139,'[8]geoMap (5)'!$A:$B,2,0)*VLOOKUP(A139,'[8]geoMap (5)'!$A:$C,3,0)</f>
        <v>#REF!</v>
      </c>
      <c r="H139" s="1" t="e">
        <f>G139/VLOOKUP(A139,'[9]geoMap (6)'!$A:$B,2,0)*VLOOKUP(A139,'[9]geoMap (6)'!$A:$C,3,0)</f>
        <v>#REF!</v>
      </c>
      <c r="I139" s="1" t="e">
        <f>H139/VLOOKUP(A139,'[10]geoMap (7)'!$A:$B,2,0)*VLOOKUP(A139,'[10]geoMap (7)'!$A:$C,3,0)</f>
        <v>#REF!</v>
      </c>
      <c r="J139" s="1" t="e">
        <f>I139/VLOOKUP(A139,'[11]geoMap (8)'!$A:$B,2,0)*VLOOKUP(A139,'[11]geoMap (8)'!$A:$C,3,0)</f>
        <v>#REF!</v>
      </c>
      <c r="K139" s="1" t="e">
        <f>J139/VLOOKUP(A139,'[12]geoMap (9)'!$A:$B,2,0)*VLOOKUP(A139,'[12]geoMap (9)'!$A:$C,3,0)</f>
        <v>#REF!</v>
      </c>
      <c r="L139" s="1" t="e">
        <f>K139/VLOOKUP(A139,'[13]geoMap (10)'!$A:$B,2,0)*VLOOKUP(A139,'[13]geoMap (10)'!$A:$C,3,0)</f>
        <v>#REF!</v>
      </c>
      <c r="M139" s="1" t="e">
        <f>L139/VLOOKUP(A139,'[14]geoMap (11)'!$A:$B,2,0)*VLOOKUP(A139,'[14]geoMap (11)'!$A:$C,3,0)</f>
        <v>#REF!</v>
      </c>
      <c r="N139" s="1" t="e">
        <f>M139/VLOOKUP(A139,'[15]geoMap (12)'!$A:$B,2,0)*VLOOKUP(A139,'[15]geoMap (12)'!$A:$C,3,0)</f>
        <v>#REF!</v>
      </c>
      <c r="O139" s="1" t="e">
        <f>N139/VLOOKUP(A139,'[16]geoMap (13)'!$A:$B,2,0)*VLOOKUP(A139,'[16]geoMap (13)'!$A:$C,3,0)</f>
        <v>#REF!</v>
      </c>
      <c r="P139" s="1" t="e">
        <f>O139/VLOOKUP(A139,'[17]geoMap (14)'!$A:$B,2,0)*VLOOKUP(A139,'[17]geoMap (14)'!$A:$C,3,0)</f>
        <v>#REF!</v>
      </c>
      <c r="Q139" s="1" t="e">
        <f>P139/VLOOKUP(A139,'[18]geoMap (15)'!$A:$B,2,0)*VLOOKUP(A139,'[18]geoMap (15)'!$A:$C,3,0)</f>
        <v>#REF!</v>
      </c>
      <c r="R139" s="1" t="e">
        <f>Q139/VLOOKUP(A139,'[19]geoMap (16)'!$A:$B,2,0)*VLOOKUP(A139,'[19]geoMap (16)'!$A:$C,3,0)</f>
        <v>#REF!</v>
      </c>
      <c r="S139" s="1" t="e">
        <f>R139/VLOOKUP(A139,'[20]geoMap (17)'!$A:$B,2,0)*VLOOKUP(A139,'[20]geoMap (17)'!$A:$C,3,0)</f>
        <v>#REF!</v>
      </c>
      <c r="T139" s="1" t="e">
        <f>S139/VLOOKUP(A139,'[21]geoMap (18)'!$A:$B,2,0)*VLOOKUP(A139,'[21]geoMap (18)'!$A:$C,3,0)</f>
        <v>#REF!</v>
      </c>
      <c r="U139" s="1" t="e">
        <f>T139/VLOOKUP(A139,'[22]geoMap (19)'!$A:$B,2,0)*VLOOKUP(A139,'[22]geoMap (19)'!$A:$C,3,0)</f>
        <v>#REF!</v>
      </c>
      <c r="V139" s="1" t="e">
        <f>U139/VLOOKUP(A139,'[23]geoMap (20)'!$A:$B,2,0)*VLOOKUP(A139,'[23]geoMap (20)'!$A:$C,3,0)</f>
        <v>#REF!</v>
      </c>
      <c r="W139" s="1" t="e">
        <f>V139/VLOOKUP(A139,'[24]geoMap (21)'!$A:$B,2,0)*VLOOKUP(A139,'[24]geoMap (21)'!$A:$C,3,0)</f>
        <v>#REF!</v>
      </c>
      <c r="X139" s="1" t="e">
        <f>W139/VLOOKUP(A139,'[25]geoMap (22)'!$A:$B,2,0)*VLOOKUP(A139,'[25]geoMap (22)'!$A:$C,3,0)</f>
        <v>#REF!</v>
      </c>
      <c r="Y139" s="1" t="e">
        <f>X139/VLOOKUP(A139,'[26]geoMap (23)'!$A:$B,2,0)*VLOOKUP(A139,'[26]geoMap (23)'!$A:$C,3,0)</f>
        <v>#REF!</v>
      </c>
      <c r="Z139" s="1" t="e">
        <f>Y139/VLOOKUP(A139,'[27]geoMap (24)'!$A:$B,2,0)*VLOOKUP(A139,'[27]geoMap (24)'!$A:$C,3,0)</f>
        <v>#REF!</v>
      </c>
      <c r="AA139" s="1" t="e">
        <f>Z139/VLOOKUP(A139,'[28]geoMap (25)'!$A:$B,2,0)*VLOOKUP(A139,'[28]geoMap (25)'!$A:$C,3,0)</f>
        <v>#REF!</v>
      </c>
      <c r="AB139" s="1" t="e">
        <f>AA139*VLOOKUP(A139,'[29]geoMap (26)'!$A:$B,2,0)*VLOOKUP(A139,'[29]geoMap (26)'!$A:$C,3,0)</f>
        <v>#REF!</v>
      </c>
      <c r="AC139" s="1" t="e">
        <f>AB139/VLOOKUP(A139,'[30]geoMap (27)'!$A:$B,2,0)*VLOOKUP(A139,'[30]geoMap (27)'!$A:$C,3,0)</f>
        <v>#REF!</v>
      </c>
      <c r="AD139" s="1" t="e">
        <f>AC139/VLOOKUP(A139,'[31]geoMap (28)'!$A:$B,2,0)*VLOOKUP(A139,'[31]geoMap (28)'!$A:$C,3,0)</f>
        <v>#REF!</v>
      </c>
      <c r="AE139" s="1" t="e">
        <f>AD139/VLOOKUP(A139,'[32]geoMap (29)'!$A:$B,2,0)*VLOOKUP(A139,'[32]geoMap (29)'!$A:$C,3,0)</f>
        <v>#REF!</v>
      </c>
      <c r="AF139" s="1" t="e">
        <f>AE139/VLOOKUP(A139,'[33]geoMap (30)'!$A:$B,2,0)*VLOOKUP(A139,'[33]geoMap (30)'!$A:$C,3,0)</f>
        <v>#REF!</v>
      </c>
      <c r="AG139" s="1" t="e">
        <f>AF139/VLOOKUP(A139,'[34]geoMap (31)'!$A:$B,2,0)*VLOOKUP(A139,'[34]geoMap (31)'!$A:$C,3,0)</f>
        <v>#REF!</v>
      </c>
      <c r="AH139" s="1" t="e">
        <f>AG139/VLOOKUP(A139,'[35]geoMap (32)'!$A:$B,2,0)*VLOOKUP(A139,'[35]geoMap (32)'!$A:$C,3,0)</f>
        <v>#REF!</v>
      </c>
      <c r="AI139" s="1" t="e">
        <f>AH139/VLOOKUP(A139,'[36]geoMap (33)'!$A:$B,2,0)*VLOOKUP(A139,'[36]geoMap (33)'!$A:$C,3,0)</f>
        <v>#REF!</v>
      </c>
      <c r="AJ139" s="1" t="e">
        <f>AI139/VLOOKUP(A139,'[37]geoMap (34)'!$A:$B,2,0)*VLOOKUP(A139,'[37]geoMap (34)'!$A:$C,3,0)</f>
        <v>#REF!</v>
      </c>
      <c r="AK139" s="1" t="e">
        <f>AJ139/VLOOKUP(A139,'[38]geoMap (35)'!$A:$B,2,0)*VLOOKUP(A139,'[38]geoMap (35)'!$A:$C,3,0)</f>
        <v>#REF!</v>
      </c>
      <c r="AL139" s="1" t="e">
        <f>AK139/VLOOKUP(A139,'[39]geoMap (36)'!$A:$B,2,0)*VLOOKUP(A139,'[39]geoMap (36)'!$A:$C,3,0)</f>
        <v>#REF!</v>
      </c>
      <c r="AM139" s="1" t="e">
        <f>AL139/VLOOKUP(A139,'[40]geoMap (37)'!$A:$B,2,0)*VLOOKUP(A139,'[40]geoMap (37)'!$A:$C,3,0)</f>
        <v>#REF!</v>
      </c>
      <c r="AN139" s="1" t="e">
        <f>AM139/VLOOKUP(A139,'[41]geoMap (38)'!$A:$B,2,0)*VLOOKUP(A139,'[41]geoMap (38)'!$A:$C,3,0)</f>
        <v>#REF!</v>
      </c>
      <c r="AO139" s="1" t="e">
        <f>AN139/VLOOKUP(A139,'[42]geoMap (39)'!$A:$B,2,0)*VLOOKUP(A139,'[42]geoMap (39)'!$A:$C,3,0)</f>
        <v>#REF!</v>
      </c>
      <c r="AP139" s="1" t="e">
        <f>AO139/VLOOKUP(A139,'[43]geoMap (40)'!$A:$B,2,0)*VLOOKUP(A139,'[43]geoMap (40)'!$A:$C,3,0)</f>
        <v>#REF!</v>
      </c>
      <c r="AQ139" s="1" t="e">
        <f>AP139/VLOOKUP(A139,'[44]geoMap (41)'!$A:$B,2,0)*VLOOKUP(A139,'[44]geoMap (41)'!$A:$C,3,0)</f>
        <v>#REF!</v>
      </c>
      <c r="AR139" s="1" t="e">
        <f>AQ139/VLOOKUP(A139,'[45]geoMap (42)'!$A:$B,2,0)*VLOOKUP(A139,'[45]geoMap (42)'!$A:$C,3,0)</f>
        <v>#REF!</v>
      </c>
      <c r="AS139" s="1" t="e">
        <f>AR139/VLOOKUP(A139,'[46]geoMap (43)'!$A:$B,2,0)*VLOOKUP(A139,'[46]geoMap (43)'!$A:$C,3,0)</f>
        <v>#REF!</v>
      </c>
      <c r="AT139" s="1" t="e">
        <f>AS139/VLOOKUP(A139,'[47]geoMap (44)'!$A:$B,2,0)*VLOOKUP(A139,'[47]geoMap (44)'!$A:$C,3,0)</f>
        <v>#REF!</v>
      </c>
      <c r="AU139" s="1" t="e">
        <f>AT139/VLOOKUP(A139,'[48]geoMap (45)'!$A:$B,2,0)*VLOOKUP(A139,'[48]geoMap (45)'!$A:$C,3,0)</f>
        <v>#REF!</v>
      </c>
      <c r="AV139" s="1" t="e">
        <f>AU139/VLOOKUP(A139,'[49]geoMap (46)'!$A:$B,2,0)*VLOOKUP(A139,'[49]geoMap (46)'!$A:$C,3,0)</f>
        <v>#REF!</v>
      </c>
      <c r="AW139" s="1" t="e">
        <f>AV139/VLOOKUP(A139,'[50]geoMap (47)'!$A:$B,2,0)*VLOOKUP(A139,'[50]geoMap (47)'!$A:$C,3,0)</f>
        <v>#REF!</v>
      </c>
      <c r="AX139" s="1" t="e">
        <f>AW139/VLOOKUP(A139,'[51]geoMap (48)'!$A:$B,2,0)*VLOOKUP(A139,'[51]geoMap (48)'!$A:$C,3,0)</f>
        <v>#REF!</v>
      </c>
      <c r="AY139" s="1" t="e">
        <f>AX139/VLOOKUP(A139,'[52]geoMap (49)'!$A:$B,2,0)*VLOOKUP(A139,'[52]geoMap (49)'!$A:$C,3,0)</f>
        <v>#REF!</v>
      </c>
      <c r="AZ139" s="1" t="e">
        <f>AY139/VLOOKUP(A139,'[53]geoMap (50)'!$A:$B,2,0)*VLOOKUP(A139,'[53]geoMap (50)'!$A:$C,3,0)</f>
        <v>#REF!</v>
      </c>
      <c r="BA139" s="1" t="e">
        <f>AZ139/VLOOKUP(A139,'[54]geoMap (51)'!$A:$B,2,0)*VLOOKUP(A139,'[54]geoMap (51)'!$A:$C,3,0)</f>
        <v>#REF!</v>
      </c>
      <c r="BB139" s="1" t="e">
        <f>BA139/VLOOKUP(A139,'[55]geoMap (52)'!$A:$B,2,0)*VLOOKUP(A139,'[55]geoMap (52)'!$A:$C,3,0)</f>
        <v>#REF!</v>
      </c>
      <c r="BC139" s="1" t="e">
        <f>BB139/VLOOKUP(A139,'[56]geoMap (53)'!$A:$B,2,0)*VLOOKUP(A139,'[56]geoMap (53)'!$A:$C,3,0)</f>
        <v>#REF!</v>
      </c>
      <c r="BD139" s="1" t="e">
        <f>BC139/VLOOKUP(A139,'[57]geoMap (54)'!$A:$B,2,0)*VLOOKUP(A139,'[57]geoMap (54)'!$A:$C,3,0)</f>
        <v>#REF!</v>
      </c>
      <c r="BE139" s="1" t="e">
        <f>BD139/VLOOKUP(A139,'[58]geoMap (55)'!$A:$B,2,0)*VLOOKUP(A139,'[58]geoMap (55)'!$A:$C,3,0)</f>
        <v>#REF!</v>
      </c>
      <c r="BF139" s="1" t="e">
        <f>BE139/VLOOKUP(A139,'[59]geoMap (56)'!$A:$B,2,0)*VLOOKUP(A139,'[59]geoMap (56)'!$A:$C,3,0)</f>
        <v>#REF!</v>
      </c>
      <c r="BG139" s="1" t="e">
        <f>BF139/VLOOKUP(A139,'[60]geoMap (57)'!$A:$B,2,0)*VLOOKUP(A139,'[60]geoMap (57)'!$A:$C,3,0)</f>
        <v>#REF!</v>
      </c>
      <c r="BH139" s="1" t="e">
        <f>BG139/VLOOKUP(A139,'[61]geoMap (58)'!$A:$B,2,0)*VLOOKUP(A139,'[61]geoMap (58)'!$A:$C,3,0)</f>
        <v>#REF!</v>
      </c>
      <c r="BI139" s="1" t="e">
        <f>BH139/VLOOKUP(A139,'[62]geoMap (59)'!$A:$B,2,0)*VLOOKUP(A139,'[62]geoMap (59)'!$A:$C,3,0)</f>
        <v>#REF!</v>
      </c>
      <c r="BJ139" s="1" t="e">
        <f>BI139/VLOOKUP(A139,'[63]geoMap (60)'!$A:$B,2,0)*VLOOKUP(A139,'[63]geoMap (60)'!$A:$C,3,0)</f>
        <v>#REF!</v>
      </c>
      <c r="BK139" s="1" t="e">
        <f>BJ139/VLOOKUP(A139,'[64]geoMap (61)'!$A:$B,2,0)*VLOOKUP(A139,'[64]geoMap (61)'!$A:$C,3,0)</f>
        <v>#REF!</v>
      </c>
      <c r="BL139" s="1" t="e">
        <f>BK139/VLOOKUP(A139,'[65]geoMap (62)'!$A:$B,2,0)*VLOOKUP(A139,'[65]geoMap (62)'!$A:$C,3,0)</f>
        <v>#REF!</v>
      </c>
      <c r="BM139" s="1" t="e">
        <f>BL139/VLOOKUP(A139,'[66]geoMap (63)'!$A:$B,2,0)*VLOOKUP(A139,'[66]geoMap (63)'!$A:$C,3,0)</f>
        <v>#REF!</v>
      </c>
      <c r="BN139" s="1" t="e">
        <f>BM139/VLOOKUP(A139,'[67]geoMap (64)'!$A:$B,2,0)*VLOOKUP(A139,'[67]geoMap (64)'!$A:$C,3,0)</f>
        <v>#REF!</v>
      </c>
      <c r="BO139" s="1" t="e">
        <f>BN139/VLOOKUP(A139,'[68]geoMap (65)'!$A:$B,2,0)*VLOOKUP(A139,'[68]geoMap (65)'!$A:$C,3,0)</f>
        <v>#REF!</v>
      </c>
      <c r="BP139" s="1" t="e">
        <f>BO139/VLOOKUP(A139,'[69]geoMap (66)'!$A:$B,2,0)*VLOOKUP(A139,'[69]geoMap (66)'!$A:$C,3,0)</f>
        <v>#REF!</v>
      </c>
    </row>
    <row r="140" spans="1:68" hidden="1" x14ac:dyDescent="0.2">
      <c r="A140" s="1" t="s">
        <v>109</v>
      </c>
      <c r="B140" s="1" t="e">
        <f>VLOOKUP(A140,[3]geoMap!$A:$B,2,0)*Notes!$C$6</f>
        <v>#REF!</v>
      </c>
      <c r="C140" s="1" t="e">
        <f>B140/VLOOKUP(A140,'[4]geoMap (1)'!$A:$B,2,0)*VLOOKUP(A140,'[4]geoMap (1)'!$A:$C,3,0)</f>
        <v>#REF!</v>
      </c>
      <c r="D140" s="1" t="e">
        <f>C140/VLOOKUP(A140,'[5]geoMap (2)'!$A:$B,2,0)*VLOOKUP(A140,'[5]geoMap (2)'!$A:$C,3,0)</f>
        <v>#REF!</v>
      </c>
      <c r="E140" s="1" t="e">
        <f>D140/VLOOKUP(A140,'[6]geoMap (3)'!$A:$B,2,0)*VLOOKUP(A140,'[6]geoMap (3)'!$A:$C,3,0)</f>
        <v>#REF!</v>
      </c>
      <c r="F140" s="1" t="e">
        <f>E140/VLOOKUP(A140,'[7]geoMap (4)'!$A:$B,2,0)*VLOOKUP(A140,'[7]geoMap (4)'!$A:$C,3,0)</f>
        <v>#REF!</v>
      </c>
      <c r="G140" s="1" t="e">
        <f>F140/VLOOKUP(A140,'[8]geoMap (5)'!$A:$B,2,0)*VLOOKUP(A140,'[8]geoMap (5)'!$A:$C,3,0)</f>
        <v>#REF!</v>
      </c>
      <c r="H140" s="1" t="e">
        <f>G140/VLOOKUP(A140,'[9]geoMap (6)'!$A:$B,2,0)*VLOOKUP(A140,'[9]geoMap (6)'!$A:$C,3,0)</f>
        <v>#REF!</v>
      </c>
      <c r="I140" s="1" t="e">
        <f>H140/VLOOKUP(A140,'[10]geoMap (7)'!$A:$B,2,0)*VLOOKUP(A140,'[10]geoMap (7)'!$A:$C,3,0)</f>
        <v>#REF!</v>
      </c>
      <c r="J140" s="1" t="e">
        <f>I140/VLOOKUP(A140,'[11]geoMap (8)'!$A:$B,2,0)*VLOOKUP(A140,'[11]geoMap (8)'!$A:$C,3,0)</f>
        <v>#REF!</v>
      </c>
      <c r="K140" s="1" t="e">
        <f>J140/VLOOKUP(A140,'[12]geoMap (9)'!$A:$B,2,0)*VLOOKUP(A140,'[12]geoMap (9)'!$A:$C,3,0)</f>
        <v>#REF!</v>
      </c>
      <c r="L140" s="1" t="e">
        <f>K140/VLOOKUP(A140,'[13]geoMap (10)'!$A:$B,2,0)*VLOOKUP(A140,'[13]geoMap (10)'!$A:$C,3,0)</f>
        <v>#REF!</v>
      </c>
      <c r="M140" s="1" t="e">
        <f>L140/VLOOKUP(A140,'[14]geoMap (11)'!$A:$B,2,0)*VLOOKUP(A140,'[14]geoMap (11)'!$A:$C,3,0)</f>
        <v>#REF!</v>
      </c>
      <c r="N140" s="1" t="e">
        <f>M140/VLOOKUP(A140,'[15]geoMap (12)'!$A:$B,2,0)*VLOOKUP(A140,'[15]geoMap (12)'!$A:$C,3,0)</f>
        <v>#REF!</v>
      </c>
      <c r="O140" s="1" t="e">
        <f>N140/VLOOKUP(A140,'[16]geoMap (13)'!$A:$B,2,0)*VLOOKUP(A140,'[16]geoMap (13)'!$A:$C,3,0)</f>
        <v>#REF!</v>
      </c>
      <c r="P140" s="1" t="e">
        <f>O140/VLOOKUP(A140,'[17]geoMap (14)'!$A:$B,2,0)*VLOOKUP(A140,'[17]geoMap (14)'!$A:$C,3,0)</f>
        <v>#REF!</v>
      </c>
      <c r="Q140" s="1" t="e">
        <f>P140/VLOOKUP(A140,'[18]geoMap (15)'!$A:$B,2,0)*VLOOKUP(A140,'[18]geoMap (15)'!$A:$C,3,0)</f>
        <v>#REF!</v>
      </c>
      <c r="R140" s="1" t="e">
        <f>Q140/VLOOKUP(A140,'[19]geoMap (16)'!$A:$B,2,0)*VLOOKUP(A140,'[19]geoMap (16)'!$A:$C,3,0)</f>
        <v>#REF!</v>
      </c>
      <c r="S140" s="1" t="e">
        <f>R140/VLOOKUP(A140,'[20]geoMap (17)'!$A:$B,2,0)*VLOOKUP(A140,'[20]geoMap (17)'!$A:$C,3,0)</f>
        <v>#REF!</v>
      </c>
      <c r="T140" s="1" t="e">
        <f>S140/VLOOKUP(A140,'[21]geoMap (18)'!$A:$B,2,0)*VLOOKUP(A140,'[21]geoMap (18)'!$A:$C,3,0)</f>
        <v>#REF!</v>
      </c>
      <c r="U140" s="1" t="e">
        <f>T140/VLOOKUP(A140,'[22]geoMap (19)'!$A:$B,2,0)*VLOOKUP(A140,'[22]geoMap (19)'!$A:$C,3,0)</f>
        <v>#REF!</v>
      </c>
      <c r="V140" s="1" t="e">
        <f>U140/VLOOKUP(A140,'[23]geoMap (20)'!$A:$B,2,0)*VLOOKUP(A140,'[23]geoMap (20)'!$A:$C,3,0)</f>
        <v>#REF!</v>
      </c>
      <c r="W140" s="1" t="e">
        <f>V140/VLOOKUP(A140,'[24]geoMap (21)'!$A:$B,2,0)*VLOOKUP(A140,'[24]geoMap (21)'!$A:$C,3,0)</f>
        <v>#REF!</v>
      </c>
      <c r="X140" s="1" t="e">
        <f>W140/VLOOKUP(A140,'[25]geoMap (22)'!$A:$B,2,0)*VLOOKUP(A140,'[25]geoMap (22)'!$A:$C,3,0)</f>
        <v>#REF!</v>
      </c>
      <c r="Y140" s="1" t="e">
        <f>X140/VLOOKUP(A140,'[26]geoMap (23)'!$A:$B,2,0)*VLOOKUP(A140,'[26]geoMap (23)'!$A:$C,3,0)</f>
        <v>#REF!</v>
      </c>
      <c r="Z140" s="1" t="e">
        <f>Y140/VLOOKUP(A140,'[27]geoMap (24)'!$A:$B,2,0)*VLOOKUP(A140,'[27]geoMap (24)'!$A:$C,3,0)</f>
        <v>#REF!</v>
      </c>
      <c r="AA140" s="1" t="e">
        <f>Z140/VLOOKUP(A140,'[28]geoMap (25)'!$A:$B,2,0)*VLOOKUP(A140,'[28]geoMap (25)'!$A:$C,3,0)</f>
        <v>#REF!</v>
      </c>
      <c r="AB140" s="1" t="e">
        <f>AA140*VLOOKUP(A140,'[29]geoMap (26)'!$A:$B,2,0)*VLOOKUP(A140,'[29]geoMap (26)'!$A:$C,3,0)</f>
        <v>#REF!</v>
      </c>
      <c r="AC140" s="1" t="e">
        <f>AB140/VLOOKUP(A140,'[30]geoMap (27)'!$A:$B,2,0)*VLOOKUP(A140,'[30]geoMap (27)'!$A:$C,3,0)</f>
        <v>#REF!</v>
      </c>
      <c r="AD140" s="1" t="e">
        <f>AC140/VLOOKUP(A140,'[31]geoMap (28)'!$A:$B,2,0)*VLOOKUP(A140,'[31]geoMap (28)'!$A:$C,3,0)</f>
        <v>#REF!</v>
      </c>
      <c r="AE140" s="1" t="e">
        <f>AD140/VLOOKUP(A140,'[32]geoMap (29)'!$A:$B,2,0)*VLOOKUP(A140,'[32]geoMap (29)'!$A:$C,3,0)</f>
        <v>#REF!</v>
      </c>
      <c r="AF140" s="1" t="e">
        <f>AE140/VLOOKUP(A140,'[33]geoMap (30)'!$A:$B,2,0)*VLOOKUP(A140,'[33]geoMap (30)'!$A:$C,3,0)</f>
        <v>#REF!</v>
      </c>
      <c r="AG140" s="1" t="e">
        <f>AF140/VLOOKUP(A140,'[34]geoMap (31)'!$A:$B,2,0)*VLOOKUP(A140,'[34]geoMap (31)'!$A:$C,3,0)</f>
        <v>#REF!</v>
      </c>
      <c r="AH140" s="1" t="e">
        <f>AG140/VLOOKUP(A140,'[35]geoMap (32)'!$A:$B,2,0)*VLOOKUP(A140,'[35]geoMap (32)'!$A:$C,3,0)</f>
        <v>#REF!</v>
      </c>
      <c r="AI140" s="1" t="e">
        <f>AH140/VLOOKUP(A140,'[36]geoMap (33)'!$A:$B,2,0)*VLOOKUP(A140,'[36]geoMap (33)'!$A:$C,3,0)</f>
        <v>#REF!</v>
      </c>
      <c r="AJ140" s="1" t="e">
        <f>AI140/VLOOKUP(A140,'[37]geoMap (34)'!$A:$B,2,0)*VLOOKUP(A140,'[37]geoMap (34)'!$A:$C,3,0)</f>
        <v>#REF!</v>
      </c>
      <c r="AK140" s="1" t="e">
        <f>AJ140/VLOOKUP(A140,'[38]geoMap (35)'!$A:$B,2,0)*VLOOKUP(A140,'[38]geoMap (35)'!$A:$C,3,0)</f>
        <v>#REF!</v>
      </c>
      <c r="AL140" s="1" t="e">
        <f>AK140/VLOOKUP(A140,'[39]geoMap (36)'!$A:$B,2,0)*VLOOKUP(A140,'[39]geoMap (36)'!$A:$C,3,0)</f>
        <v>#REF!</v>
      </c>
      <c r="AM140" s="1" t="e">
        <f>AL140/VLOOKUP(A140,'[40]geoMap (37)'!$A:$B,2,0)*VLOOKUP(A140,'[40]geoMap (37)'!$A:$C,3,0)</f>
        <v>#REF!</v>
      </c>
      <c r="AN140" s="1" t="e">
        <f>AM140/VLOOKUP(A140,'[41]geoMap (38)'!$A:$B,2,0)*VLOOKUP(A140,'[41]geoMap (38)'!$A:$C,3,0)</f>
        <v>#REF!</v>
      </c>
      <c r="AO140" s="1" t="e">
        <f>AN140/VLOOKUP(A140,'[42]geoMap (39)'!$A:$B,2,0)*VLOOKUP(A140,'[42]geoMap (39)'!$A:$C,3,0)</f>
        <v>#REF!</v>
      </c>
      <c r="AP140" s="1" t="e">
        <f>AO140/VLOOKUP(A140,'[43]geoMap (40)'!$A:$B,2,0)*VLOOKUP(A140,'[43]geoMap (40)'!$A:$C,3,0)</f>
        <v>#REF!</v>
      </c>
      <c r="AQ140" s="1" t="e">
        <f>AP140/VLOOKUP(A140,'[44]geoMap (41)'!$A:$B,2,0)*VLOOKUP(A140,'[44]geoMap (41)'!$A:$C,3,0)</f>
        <v>#REF!</v>
      </c>
      <c r="AR140" s="1" t="e">
        <f>AQ140/VLOOKUP(A140,'[45]geoMap (42)'!$A:$B,2,0)*VLOOKUP(A140,'[45]geoMap (42)'!$A:$C,3,0)</f>
        <v>#REF!</v>
      </c>
      <c r="AS140" s="1" t="e">
        <f>AR140/VLOOKUP(A140,'[46]geoMap (43)'!$A:$B,2,0)*VLOOKUP(A140,'[46]geoMap (43)'!$A:$C,3,0)</f>
        <v>#REF!</v>
      </c>
      <c r="AT140" s="1" t="e">
        <f>AS140/VLOOKUP(A140,'[47]geoMap (44)'!$A:$B,2,0)*VLOOKUP(A140,'[47]geoMap (44)'!$A:$C,3,0)</f>
        <v>#REF!</v>
      </c>
      <c r="AU140" s="1" t="e">
        <f>AT140/VLOOKUP(A140,'[48]geoMap (45)'!$A:$B,2,0)*VLOOKUP(A140,'[48]geoMap (45)'!$A:$C,3,0)</f>
        <v>#REF!</v>
      </c>
      <c r="AV140" s="1" t="e">
        <f>AU140/VLOOKUP(A140,'[49]geoMap (46)'!$A:$B,2,0)*VLOOKUP(A140,'[49]geoMap (46)'!$A:$C,3,0)</f>
        <v>#REF!</v>
      </c>
      <c r="AW140" s="1" t="e">
        <f>AV140/VLOOKUP(A140,'[50]geoMap (47)'!$A:$B,2,0)*VLOOKUP(A140,'[50]geoMap (47)'!$A:$C,3,0)</f>
        <v>#REF!</v>
      </c>
      <c r="AX140" s="1" t="e">
        <f>AW140/VLOOKUP(A140,'[51]geoMap (48)'!$A:$B,2,0)*VLOOKUP(A140,'[51]geoMap (48)'!$A:$C,3,0)</f>
        <v>#REF!</v>
      </c>
      <c r="AY140" s="1" t="e">
        <f>AX140/VLOOKUP(A140,'[52]geoMap (49)'!$A:$B,2,0)*VLOOKUP(A140,'[52]geoMap (49)'!$A:$C,3,0)</f>
        <v>#REF!</v>
      </c>
      <c r="AZ140" s="1" t="e">
        <f>AY140/VLOOKUP(A140,'[53]geoMap (50)'!$A:$B,2,0)*VLOOKUP(A140,'[53]geoMap (50)'!$A:$C,3,0)</f>
        <v>#REF!</v>
      </c>
      <c r="BA140" s="1" t="e">
        <f>AZ140/VLOOKUP(A140,'[54]geoMap (51)'!$A:$B,2,0)*VLOOKUP(A140,'[54]geoMap (51)'!$A:$C,3,0)</f>
        <v>#REF!</v>
      </c>
      <c r="BB140" s="1" t="e">
        <f>BA140/VLOOKUP(A140,'[55]geoMap (52)'!$A:$B,2,0)*VLOOKUP(A140,'[55]geoMap (52)'!$A:$C,3,0)</f>
        <v>#REF!</v>
      </c>
      <c r="BC140" s="1" t="e">
        <f>BB140/VLOOKUP(A140,'[56]geoMap (53)'!$A:$B,2,0)*VLOOKUP(A140,'[56]geoMap (53)'!$A:$C,3,0)</f>
        <v>#REF!</v>
      </c>
      <c r="BD140" s="1" t="e">
        <f>BC140/VLOOKUP(A140,'[57]geoMap (54)'!$A:$B,2,0)*VLOOKUP(A140,'[57]geoMap (54)'!$A:$C,3,0)</f>
        <v>#REF!</v>
      </c>
      <c r="BE140" s="1" t="e">
        <f>BD140/VLOOKUP(A140,'[58]geoMap (55)'!$A:$B,2,0)*VLOOKUP(A140,'[58]geoMap (55)'!$A:$C,3,0)</f>
        <v>#REF!</v>
      </c>
      <c r="BF140" s="1" t="e">
        <f>BE140/VLOOKUP(A140,'[59]geoMap (56)'!$A:$B,2,0)*VLOOKUP(A140,'[59]geoMap (56)'!$A:$C,3,0)</f>
        <v>#REF!</v>
      </c>
      <c r="BG140" s="1" t="e">
        <f>BF140/VLOOKUP(A140,'[60]geoMap (57)'!$A:$B,2,0)*VLOOKUP(A140,'[60]geoMap (57)'!$A:$C,3,0)</f>
        <v>#REF!</v>
      </c>
      <c r="BH140" s="1" t="e">
        <f>BG140/VLOOKUP(A140,'[61]geoMap (58)'!$A:$B,2,0)*VLOOKUP(A140,'[61]geoMap (58)'!$A:$C,3,0)</f>
        <v>#REF!</v>
      </c>
      <c r="BI140" s="1" t="e">
        <f>BH140/VLOOKUP(A140,'[62]geoMap (59)'!$A:$B,2,0)*VLOOKUP(A140,'[62]geoMap (59)'!$A:$C,3,0)</f>
        <v>#REF!</v>
      </c>
      <c r="BJ140" s="1" t="e">
        <f>BI140/VLOOKUP(A140,'[63]geoMap (60)'!$A:$B,2,0)*VLOOKUP(A140,'[63]geoMap (60)'!$A:$C,3,0)</f>
        <v>#REF!</v>
      </c>
      <c r="BK140" s="1" t="e">
        <f>BJ140/VLOOKUP(A140,'[64]geoMap (61)'!$A:$B,2,0)*VLOOKUP(A140,'[64]geoMap (61)'!$A:$C,3,0)</f>
        <v>#REF!</v>
      </c>
      <c r="BL140" s="1" t="e">
        <f>BK140/VLOOKUP(A140,'[65]geoMap (62)'!$A:$B,2,0)*VLOOKUP(A140,'[65]geoMap (62)'!$A:$C,3,0)</f>
        <v>#REF!</v>
      </c>
      <c r="BM140" s="1" t="e">
        <f>BL140/VLOOKUP(A140,'[66]geoMap (63)'!$A:$B,2,0)*VLOOKUP(A140,'[66]geoMap (63)'!$A:$C,3,0)</f>
        <v>#REF!</v>
      </c>
      <c r="BN140" s="1" t="e">
        <f>BM140/VLOOKUP(A140,'[67]geoMap (64)'!$A:$B,2,0)*VLOOKUP(A140,'[67]geoMap (64)'!$A:$C,3,0)</f>
        <v>#REF!</v>
      </c>
      <c r="BO140" s="1" t="e">
        <f>BN140/VLOOKUP(A140,'[68]geoMap (65)'!$A:$B,2,0)*VLOOKUP(A140,'[68]geoMap (65)'!$A:$C,3,0)</f>
        <v>#REF!</v>
      </c>
      <c r="BP140" s="1" t="e">
        <f>BO140/VLOOKUP(A140,'[69]geoMap (66)'!$A:$B,2,0)*VLOOKUP(A140,'[69]geoMap (66)'!$A:$C,3,0)</f>
        <v>#REF!</v>
      </c>
    </row>
    <row r="141" spans="1:68" hidden="1" x14ac:dyDescent="0.2">
      <c r="A141" s="1" t="s">
        <v>114</v>
      </c>
      <c r="B141" s="1" t="e">
        <f>VLOOKUP(A141,[3]geoMap!$A:$B,2,0)*Notes!$C$6</f>
        <v>#REF!</v>
      </c>
      <c r="C141" s="1" t="e">
        <f>B141/VLOOKUP(A141,'[4]geoMap (1)'!$A:$B,2,0)*VLOOKUP(A141,'[4]geoMap (1)'!$A:$C,3,0)</f>
        <v>#REF!</v>
      </c>
      <c r="D141" s="1" t="e">
        <f>C141/VLOOKUP(A141,'[5]geoMap (2)'!$A:$B,2,0)*VLOOKUP(A141,'[5]geoMap (2)'!$A:$C,3,0)</f>
        <v>#REF!</v>
      </c>
      <c r="E141" s="1" t="e">
        <f>D141/VLOOKUP(A141,'[6]geoMap (3)'!$A:$B,2,0)*VLOOKUP(A141,'[6]geoMap (3)'!$A:$C,3,0)</f>
        <v>#REF!</v>
      </c>
      <c r="F141" s="1" t="e">
        <f>E141/VLOOKUP(A141,'[7]geoMap (4)'!$A:$B,2,0)*VLOOKUP(A141,'[7]geoMap (4)'!$A:$C,3,0)</f>
        <v>#REF!</v>
      </c>
      <c r="G141" s="1" t="e">
        <f>F141/VLOOKUP(A141,'[8]geoMap (5)'!$A:$B,2,0)*VLOOKUP(A141,'[8]geoMap (5)'!$A:$C,3,0)</f>
        <v>#REF!</v>
      </c>
      <c r="H141" s="1" t="e">
        <f>G141/VLOOKUP(A141,'[9]geoMap (6)'!$A:$B,2,0)*VLOOKUP(A141,'[9]geoMap (6)'!$A:$C,3,0)</f>
        <v>#REF!</v>
      </c>
      <c r="I141" s="1" t="e">
        <f>H141/VLOOKUP(A141,'[10]geoMap (7)'!$A:$B,2,0)*VLOOKUP(A141,'[10]geoMap (7)'!$A:$C,3,0)</f>
        <v>#REF!</v>
      </c>
      <c r="J141" s="1" t="e">
        <f>I141/VLOOKUP(A141,'[11]geoMap (8)'!$A:$B,2,0)*VLOOKUP(A141,'[11]geoMap (8)'!$A:$C,3,0)</f>
        <v>#REF!</v>
      </c>
      <c r="K141" s="1" t="e">
        <f>J141/VLOOKUP(A141,'[12]geoMap (9)'!$A:$B,2,0)*VLOOKUP(A141,'[12]geoMap (9)'!$A:$C,3,0)</f>
        <v>#REF!</v>
      </c>
      <c r="L141" s="1" t="e">
        <f>K141/VLOOKUP(A141,'[13]geoMap (10)'!$A:$B,2,0)*VLOOKUP(A141,'[13]geoMap (10)'!$A:$C,3,0)</f>
        <v>#REF!</v>
      </c>
      <c r="M141" s="1" t="e">
        <f>L141/VLOOKUP(A141,'[14]geoMap (11)'!$A:$B,2,0)*VLOOKUP(A141,'[14]geoMap (11)'!$A:$C,3,0)</f>
        <v>#REF!</v>
      </c>
      <c r="N141" s="1" t="e">
        <f>M141/VLOOKUP(A141,'[15]geoMap (12)'!$A:$B,2,0)*VLOOKUP(A141,'[15]geoMap (12)'!$A:$C,3,0)</f>
        <v>#REF!</v>
      </c>
      <c r="O141" s="1" t="e">
        <f>N141/VLOOKUP(A141,'[16]geoMap (13)'!$A:$B,2,0)*VLOOKUP(A141,'[16]geoMap (13)'!$A:$C,3,0)</f>
        <v>#REF!</v>
      </c>
      <c r="P141" s="1" t="e">
        <f>O141/VLOOKUP(A141,'[17]geoMap (14)'!$A:$B,2,0)*VLOOKUP(A141,'[17]geoMap (14)'!$A:$C,3,0)</f>
        <v>#REF!</v>
      </c>
      <c r="Q141" s="1" t="e">
        <f>P141/VLOOKUP(A141,'[18]geoMap (15)'!$A:$B,2,0)*VLOOKUP(A141,'[18]geoMap (15)'!$A:$C,3,0)</f>
        <v>#REF!</v>
      </c>
      <c r="R141" s="1" t="e">
        <f>Q141/VLOOKUP(A141,'[19]geoMap (16)'!$A:$B,2,0)*VLOOKUP(A141,'[19]geoMap (16)'!$A:$C,3,0)</f>
        <v>#REF!</v>
      </c>
      <c r="S141" s="1" t="e">
        <f>R141/VLOOKUP(A141,'[20]geoMap (17)'!$A:$B,2,0)*VLOOKUP(A141,'[20]geoMap (17)'!$A:$C,3,0)</f>
        <v>#REF!</v>
      </c>
      <c r="T141" s="1" t="e">
        <f>S141/VLOOKUP(A141,'[21]geoMap (18)'!$A:$B,2,0)*VLOOKUP(A141,'[21]geoMap (18)'!$A:$C,3,0)</f>
        <v>#REF!</v>
      </c>
      <c r="U141" s="1" t="e">
        <f>T141/VLOOKUP(A141,'[22]geoMap (19)'!$A:$B,2,0)*VLOOKUP(A141,'[22]geoMap (19)'!$A:$C,3,0)</f>
        <v>#REF!</v>
      </c>
      <c r="V141" s="1" t="e">
        <f>U141/VLOOKUP(A141,'[23]geoMap (20)'!$A:$B,2,0)*VLOOKUP(A141,'[23]geoMap (20)'!$A:$C,3,0)</f>
        <v>#REF!</v>
      </c>
      <c r="W141" s="1" t="e">
        <f>V141/VLOOKUP(A141,'[24]geoMap (21)'!$A:$B,2,0)*VLOOKUP(A141,'[24]geoMap (21)'!$A:$C,3,0)</f>
        <v>#REF!</v>
      </c>
      <c r="X141" s="1" t="e">
        <f>W141/VLOOKUP(A141,'[25]geoMap (22)'!$A:$B,2,0)*VLOOKUP(A141,'[25]geoMap (22)'!$A:$C,3,0)</f>
        <v>#REF!</v>
      </c>
      <c r="Y141" s="1" t="e">
        <f>X141/VLOOKUP(A141,'[26]geoMap (23)'!$A:$B,2,0)*VLOOKUP(A141,'[26]geoMap (23)'!$A:$C,3,0)</f>
        <v>#REF!</v>
      </c>
      <c r="Z141" s="1" t="e">
        <f>Y141/VLOOKUP(A141,'[27]geoMap (24)'!$A:$B,2,0)*VLOOKUP(A141,'[27]geoMap (24)'!$A:$C,3,0)</f>
        <v>#REF!</v>
      </c>
      <c r="AA141" s="1" t="e">
        <f>Z141/VLOOKUP(A141,'[28]geoMap (25)'!$A:$B,2,0)*VLOOKUP(A141,'[28]geoMap (25)'!$A:$C,3,0)</f>
        <v>#REF!</v>
      </c>
      <c r="AB141" s="1" t="e">
        <f>AA141*VLOOKUP(A141,'[29]geoMap (26)'!$A:$B,2,0)*VLOOKUP(A141,'[29]geoMap (26)'!$A:$C,3,0)</f>
        <v>#REF!</v>
      </c>
      <c r="AC141" s="1" t="e">
        <f>AB141/VLOOKUP(A141,'[30]geoMap (27)'!$A:$B,2,0)*VLOOKUP(A141,'[30]geoMap (27)'!$A:$C,3,0)</f>
        <v>#REF!</v>
      </c>
      <c r="AD141" s="1" t="e">
        <f>AC141/VLOOKUP(A141,'[31]geoMap (28)'!$A:$B,2,0)*VLOOKUP(A141,'[31]geoMap (28)'!$A:$C,3,0)</f>
        <v>#REF!</v>
      </c>
      <c r="AE141" s="1" t="e">
        <f>AD141/VLOOKUP(A141,'[32]geoMap (29)'!$A:$B,2,0)*VLOOKUP(A141,'[32]geoMap (29)'!$A:$C,3,0)</f>
        <v>#REF!</v>
      </c>
      <c r="AF141" s="1" t="e">
        <f>AE141/VLOOKUP(A141,'[33]geoMap (30)'!$A:$B,2,0)*VLOOKUP(A141,'[33]geoMap (30)'!$A:$C,3,0)</f>
        <v>#REF!</v>
      </c>
      <c r="AG141" s="1" t="e">
        <f>AF141/VLOOKUP(A141,'[34]geoMap (31)'!$A:$B,2,0)*VLOOKUP(A141,'[34]geoMap (31)'!$A:$C,3,0)</f>
        <v>#REF!</v>
      </c>
      <c r="AH141" s="1" t="e">
        <f>AG141/VLOOKUP(A141,'[35]geoMap (32)'!$A:$B,2,0)*VLOOKUP(A141,'[35]geoMap (32)'!$A:$C,3,0)</f>
        <v>#REF!</v>
      </c>
      <c r="AI141" s="1" t="e">
        <f>AH141/VLOOKUP(A141,'[36]geoMap (33)'!$A:$B,2,0)*VLOOKUP(A141,'[36]geoMap (33)'!$A:$C,3,0)</f>
        <v>#REF!</v>
      </c>
      <c r="AJ141" s="1" t="e">
        <f>AI141/VLOOKUP(A141,'[37]geoMap (34)'!$A:$B,2,0)*VLOOKUP(A141,'[37]geoMap (34)'!$A:$C,3,0)</f>
        <v>#REF!</v>
      </c>
      <c r="AK141" s="1" t="e">
        <f>AJ141/VLOOKUP(A141,'[38]geoMap (35)'!$A:$B,2,0)*VLOOKUP(A141,'[38]geoMap (35)'!$A:$C,3,0)</f>
        <v>#REF!</v>
      </c>
      <c r="AL141" s="1" t="e">
        <f>AK141/VLOOKUP(A141,'[39]geoMap (36)'!$A:$B,2,0)*VLOOKUP(A141,'[39]geoMap (36)'!$A:$C,3,0)</f>
        <v>#REF!</v>
      </c>
      <c r="AM141" s="1" t="e">
        <f>AL141/VLOOKUP(A141,'[40]geoMap (37)'!$A:$B,2,0)*VLOOKUP(A141,'[40]geoMap (37)'!$A:$C,3,0)</f>
        <v>#REF!</v>
      </c>
      <c r="AN141" s="1" t="e">
        <f>AM141/VLOOKUP(A141,'[41]geoMap (38)'!$A:$B,2,0)*VLOOKUP(A141,'[41]geoMap (38)'!$A:$C,3,0)</f>
        <v>#REF!</v>
      </c>
      <c r="AO141" s="1" t="e">
        <f>AN141/VLOOKUP(A141,'[42]geoMap (39)'!$A:$B,2,0)*VLOOKUP(A141,'[42]geoMap (39)'!$A:$C,3,0)</f>
        <v>#REF!</v>
      </c>
      <c r="AP141" s="1" t="e">
        <f>AO141/VLOOKUP(A141,'[43]geoMap (40)'!$A:$B,2,0)*VLOOKUP(A141,'[43]geoMap (40)'!$A:$C,3,0)</f>
        <v>#REF!</v>
      </c>
      <c r="AQ141" s="1" t="e">
        <f>AP141/VLOOKUP(A141,'[44]geoMap (41)'!$A:$B,2,0)*VLOOKUP(A141,'[44]geoMap (41)'!$A:$C,3,0)</f>
        <v>#REF!</v>
      </c>
      <c r="AR141" s="1" t="e">
        <f>AQ141/VLOOKUP(A141,'[45]geoMap (42)'!$A:$B,2,0)*VLOOKUP(A141,'[45]geoMap (42)'!$A:$C,3,0)</f>
        <v>#REF!</v>
      </c>
      <c r="AS141" s="1" t="e">
        <f>AR141/VLOOKUP(A141,'[46]geoMap (43)'!$A:$B,2,0)*VLOOKUP(A141,'[46]geoMap (43)'!$A:$C,3,0)</f>
        <v>#REF!</v>
      </c>
      <c r="AT141" s="1" t="e">
        <f>AS141/VLOOKUP(A141,'[47]geoMap (44)'!$A:$B,2,0)*VLOOKUP(A141,'[47]geoMap (44)'!$A:$C,3,0)</f>
        <v>#REF!</v>
      </c>
      <c r="AU141" s="1" t="e">
        <f>AT141/VLOOKUP(A141,'[48]geoMap (45)'!$A:$B,2,0)*VLOOKUP(A141,'[48]geoMap (45)'!$A:$C,3,0)</f>
        <v>#REF!</v>
      </c>
      <c r="AV141" s="1" t="e">
        <f>AU141/VLOOKUP(A141,'[49]geoMap (46)'!$A:$B,2,0)*VLOOKUP(A141,'[49]geoMap (46)'!$A:$C,3,0)</f>
        <v>#REF!</v>
      </c>
      <c r="AW141" s="1" t="e">
        <f>AV141/VLOOKUP(A141,'[50]geoMap (47)'!$A:$B,2,0)*VLOOKUP(A141,'[50]geoMap (47)'!$A:$C,3,0)</f>
        <v>#REF!</v>
      </c>
      <c r="AX141" s="1" t="e">
        <f>AW141/VLOOKUP(A141,'[51]geoMap (48)'!$A:$B,2,0)*VLOOKUP(A141,'[51]geoMap (48)'!$A:$C,3,0)</f>
        <v>#REF!</v>
      </c>
      <c r="AY141" s="1" t="e">
        <f>AX141/VLOOKUP(A141,'[52]geoMap (49)'!$A:$B,2,0)*VLOOKUP(A141,'[52]geoMap (49)'!$A:$C,3,0)</f>
        <v>#REF!</v>
      </c>
      <c r="AZ141" s="1" t="e">
        <f>AY141/VLOOKUP(A141,'[53]geoMap (50)'!$A:$B,2,0)*VLOOKUP(A141,'[53]geoMap (50)'!$A:$C,3,0)</f>
        <v>#REF!</v>
      </c>
      <c r="BA141" s="1" t="e">
        <f>AZ141/VLOOKUP(A141,'[54]geoMap (51)'!$A:$B,2,0)*VLOOKUP(A141,'[54]geoMap (51)'!$A:$C,3,0)</f>
        <v>#REF!</v>
      </c>
      <c r="BB141" s="1" t="e">
        <f>BA141/VLOOKUP(A141,'[55]geoMap (52)'!$A:$B,2,0)*VLOOKUP(A141,'[55]geoMap (52)'!$A:$C,3,0)</f>
        <v>#REF!</v>
      </c>
      <c r="BC141" s="1" t="e">
        <f>BB141/VLOOKUP(A141,'[56]geoMap (53)'!$A:$B,2,0)*VLOOKUP(A141,'[56]geoMap (53)'!$A:$C,3,0)</f>
        <v>#REF!</v>
      </c>
      <c r="BD141" s="1" t="e">
        <f>BC141/VLOOKUP(A141,'[57]geoMap (54)'!$A:$B,2,0)*VLOOKUP(A141,'[57]geoMap (54)'!$A:$C,3,0)</f>
        <v>#REF!</v>
      </c>
      <c r="BE141" s="1" t="e">
        <f>BD141/VLOOKUP(A141,'[58]geoMap (55)'!$A:$B,2,0)*VLOOKUP(A141,'[58]geoMap (55)'!$A:$C,3,0)</f>
        <v>#REF!</v>
      </c>
      <c r="BF141" s="1" t="e">
        <f>BE141/VLOOKUP(A141,'[59]geoMap (56)'!$A:$B,2,0)*VLOOKUP(A141,'[59]geoMap (56)'!$A:$C,3,0)</f>
        <v>#REF!</v>
      </c>
      <c r="BG141" s="1" t="e">
        <f>BF141/VLOOKUP(A141,'[60]geoMap (57)'!$A:$B,2,0)*VLOOKUP(A141,'[60]geoMap (57)'!$A:$C,3,0)</f>
        <v>#REF!</v>
      </c>
      <c r="BH141" s="1" t="e">
        <f>BG141/VLOOKUP(A141,'[61]geoMap (58)'!$A:$B,2,0)*VLOOKUP(A141,'[61]geoMap (58)'!$A:$C,3,0)</f>
        <v>#REF!</v>
      </c>
      <c r="BI141" s="1" t="e">
        <f>BH141/VLOOKUP(A141,'[62]geoMap (59)'!$A:$B,2,0)*VLOOKUP(A141,'[62]geoMap (59)'!$A:$C,3,0)</f>
        <v>#REF!</v>
      </c>
      <c r="BJ141" s="1" t="e">
        <f>BI141/VLOOKUP(A141,'[63]geoMap (60)'!$A:$B,2,0)*VLOOKUP(A141,'[63]geoMap (60)'!$A:$C,3,0)</f>
        <v>#REF!</v>
      </c>
      <c r="BK141" s="1" t="e">
        <f>BJ141/VLOOKUP(A141,'[64]geoMap (61)'!$A:$B,2,0)*VLOOKUP(A141,'[64]geoMap (61)'!$A:$C,3,0)</f>
        <v>#REF!</v>
      </c>
      <c r="BL141" s="1" t="e">
        <f>BK141/VLOOKUP(A141,'[65]geoMap (62)'!$A:$B,2,0)*VLOOKUP(A141,'[65]geoMap (62)'!$A:$C,3,0)</f>
        <v>#REF!</v>
      </c>
      <c r="BM141" s="1" t="e">
        <f>BL141/VLOOKUP(A141,'[66]geoMap (63)'!$A:$B,2,0)*VLOOKUP(A141,'[66]geoMap (63)'!$A:$C,3,0)</f>
        <v>#REF!</v>
      </c>
      <c r="BN141" s="1" t="e">
        <f>BM141/VLOOKUP(A141,'[67]geoMap (64)'!$A:$B,2,0)*VLOOKUP(A141,'[67]geoMap (64)'!$A:$C,3,0)</f>
        <v>#REF!</v>
      </c>
      <c r="BO141" s="1" t="e">
        <f>BN141/VLOOKUP(A141,'[68]geoMap (65)'!$A:$B,2,0)*VLOOKUP(A141,'[68]geoMap (65)'!$A:$C,3,0)</f>
        <v>#REF!</v>
      </c>
      <c r="BP141" s="1" t="e">
        <f>BO141/VLOOKUP(A141,'[69]geoMap (66)'!$A:$B,2,0)*VLOOKUP(A141,'[69]geoMap (66)'!$A:$C,3,0)</f>
        <v>#REF!</v>
      </c>
    </row>
    <row r="142" spans="1:68" hidden="1" x14ac:dyDescent="0.2">
      <c r="A142" s="1" t="s">
        <v>116</v>
      </c>
      <c r="B142" s="1" t="e">
        <f>VLOOKUP(A142,[3]geoMap!$A:$B,2,0)*Notes!$C$6</f>
        <v>#REF!</v>
      </c>
      <c r="C142" s="1" t="e">
        <f>B142/VLOOKUP(A142,'[4]geoMap (1)'!$A:$B,2,0)*VLOOKUP(A142,'[4]geoMap (1)'!$A:$C,3,0)</f>
        <v>#REF!</v>
      </c>
      <c r="D142" s="1" t="e">
        <f>C142/VLOOKUP(A142,'[5]geoMap (2)'!$A:$B,2,0)*VLOOKUP(A142,'[5]geoMap (2)'!$A:$C,3,0)</f>
        <v>#REF!</v>
      </c>
      <c r="E142" s="1" t="e">
        <f>D142/VLOOKUP(A142,'[6]geoMap (3)'!$A:$B,2,0)*VLOOKUP(A142,'[6]geoMap (3)'!$A:$C,3,0)</f>
        <v>#REF!</v>
      </c>
      <c r="F142" s="1" t="e">
        <f>E142/VLOOKUP(A142,'[7]geoMap (4)'!$A:$B,2,0)*VLOOKUP(A142,'[7]geoMap (4)'!$A:$C,3,0)</f>
        <v>#REF!</v>
      </c>
      <c r="G142" s="1" t="e">
        <f>F142/VLOOKUP(A142,'[8]geoMap (5)'!$A:$B,2,0)*VLOOKUP(A142,'[8]geoMap (5)'!$A:$C,3,0)</f>
        <v>#REF!</v>
      </c>
      <c r="H142" s="1" t="e">
        <f>G142/VLOOKUP(A142,'[9]geoMap (6)'!$A:$B,2,0)*VLOOKUP(A142,'[9]geoMap (6)'!$A:$C,3,0)</f>
        <v>#REF!</v>
      </c>
      <c r="I142" s="1" t="e">
        <f>H142/VLOOKUP(A142,'[10]geoMap (7)'!$A:$B,2,0)*VLOOKUP(A142,'[10]geoMap (7)'!$A:$C,3,0)</f>
        <v>#REF!</v>
      </c>
      <c r="J142" s="1" t="e">
        <f>I142/VLOOKUP(A142,'[11]geoMap (8)'!$A:$B,2,0)*VLOOKUP(A142,'[11]geoMap (8)'!$A:$C,3,0)</f>
        <v>#REF!</v>
      </c>
      <c r="K142" s="1" t="e">
        <f>J142/VLOOKUP(A142,'[12]geoMap (9)'!$A:$B,2,0)*VLOOKUP(A142,'[12]geoMap (9)'!$A:$C,3,0)</f>
        <v>#REF!</v>
      </c>
      <c r="L142" s="1" t="e">
        <f>K142/VLOOKUP(A142,'[13]geoMap (10)'!$A:$B,2,0)*VLOOKUP(A142,'[13]geoMap (10)'!$A:$C,3,0)</f>
        <v>#REF!</v>
      </c>
      <c r="M142" s="1" t="e">
        <f>L142/VLOOKUP(A142,'[14]geoMap (11)'!$A:$B,2,0)*VLOOKUP(A142,'[14]geoMap (11)'!$A:$C,3,0)</f>
        <v>#REF!</v>
      </c>
      <c r="N142" s="1" t="e">
        <f>M142/VLOOKUP(A142,'[15]geoMap (12)'!$A:$B,2,0)*VLOOKUP(A142,'[15]geoMap (12)'!$A:$C,3,0)</f>
        <v>#REF!</v>
      </c>
      <c r="O142" s="1" t="e">
        <f>N142/VLOOKUP(A142,'[16]geoMap (13)'!$A:$B,2,0)*VLOOKUP(A142,'[16]geoMap (13)'!$A:$C,3,0)</f>
        <v>#REF!</v>
      </c>
      <c r="P142" s="1" t="e">
        <f>O142/VLOOKUP(A142,'[17]geoMap (14)'!$A:$B,2,0)*VLOOKUP(A142,'[17]geoMap (14)'!$A:$C,3,0)</f>
        <v>#REF!</v>
      </c>
      <c r="Q142" s="1" t="e">
        <f>P142/VLOOKUP(A142,'[18]geoMap (15)'!$A:$B,2,0)*VLOOKUP(A142,'[18]geoMap (15)'!$A:$C,3,0)</f>
        <v>#REF!</v>
      </c>
      <c r="R142" s="1" t="e">
        <f>Q142/VLOOKUP(A142,'[19]geoMap (16)'!$A:$B,2,0)*VLOOKUP(A142,'[19]geoMap (16)'!$A:$C,3,0)</f>
        <v>#REF!</v>
      </c>
      <c r="S142" s="1" t="e">
        <f>R142/VLOOKUP(A142,'[20]geoMap (17)'!$A:$B,2,0)*VLOOKUP(A142,'[20]geoMap (17)'!$A:$C,3,0)</f>
        <v>#REF!</v>
      </c>
      <c r="T142" s="1" t="e">
        <f>S142/VLOOKUP(A142,'[21]geoMap (18)'!$A:$B,2,0)*VLOOKUP(A142,'[21]geoMap (18)'!$A:$C,3,0)</f>
        <v>#REF!</v>
      </c>
      <c r="U142" s="1" t="e">
        <f>T142/VLOOKUP(A142,'[22]geoMap (19)'!$A:$B,2,0)*VLOOKUP(A142,'[22]geoMap (19)'!$A:$C,3,0)</f>
        <v>#REF!</v>
      </c>
      <c r="V142" s="1" t="e">
        <f>U142/VLOOKUP(A142,'[23]geoMap (20)'!$A:$B,2,0)*VLOOKUP(A142,'[23]geoMap (20)'!$A:$C,3,0)</f>
        <v>#REF!</v>
      </c>
      <c r="W142" s="1" t="e">
        <f>V142/VLOOKUP(A142,'[24]geoMap (21)'!$A:$B,2,0)*VLOOKUP(A142,'[24]geoMap (21)'!$A:$C,3,0)</f>
        <v>#REF!</v>
      </c>
      <c r="X142" s="1" t="e">
        <f>W142/VLOOKUP(A142,'[25]geoMap (22)'!$A:$B,2,0)*VLOOKUP(A142,'[25]geoMap (22)'!$A:$C,3,0)</f>
        <v>#REF!</v>
      </c>
      <c r="Y142" s="1" t="e">
        <f>X142/VLOOKUP(A142,'[26]geoMap (23)'!$A:$B,2,0)*VLOOKUP(A142,'[26]geoMap (23)'!$A:$C,3,0)</f>
        <v>#REF!</v>
      </c>
      <c r="Z142" s="1" t="e">
        <f>Y142/VLOOKUP(A142,'[27]geoMap (24)'!$A:$B,2,0)*VLOOKUP(A142,'[27]geoMap (24)'!$A:$C,3,0)</f>
        <v>#REF!</v>
      </c>
      <c r="AA142" s="1" t="e">
        <f>Z142/VLOOKUP(A142,'[28]geoMap (25)'!$A:$B,2,0)*VLOOKUP(A142,'[28]geoMap (25)'!$A:$C,3,0)</f>
        <v>#REF!</v>
      </c>
      <c r="AB142" s="1" t="e">
        <f>AA142*VLOOKUP(A142,'[29]geoMap (26)'!$A:$B,2,0)*VLOOKUP(A142,'[29]geoMap (26)'!$A:$C,3,0)</f>
        <v>#REF!</v>
      </c>
      <c r="AC142" s="1" t="e">
        <f>AB142/VLOOKUP(A142,'[30]geoMap (27)'!$A:$B,2,0)*VLOOKUP(A142,'[30]geoMap (27)'!$A:$C,3,0)</f>
        <v>#REF!</v>
      </c>
      <c r="AD142" s="1" t="e">
        <f>AC142/VLOOKUP(A142,'[31]geoMap (28)'!$A:$B,2,0)*VLOOKUP(A142,'[31]geoMap (28)'!$A:$C,3,0)</f>
        <v>#REF!</v>
      </c>
      <c r="AE142" s="1" t="e">
        <f>AD142/VLOOKUP(A142,'[32]geoMap (29)'!$A:$B,2,0)*VLOOKUP(A142,'[32]geoMap (29)'!$A:$C,3,0)</f>
        <v>#REF!</v>
      </c>
      <c r="AF142" s="1" t="e">
        <f>AE142/VLOOKUP(A142,'[33]geoMap (30)'!$A:$B,2,0)*VLOOKUP(A142,'[33]geoMap (30)'!$A:$C,3,0)</f>
        <v>#REF!</v>
      </c>
      <c r="AG142" s="1" t="e">
        <f>AF142/VLOOKUP(A142,'[34]geoMap (31)'!$A:$B,2,0)*VLOOKUP(A142,'[34]geoMap (31)'!$A:$C,3,0)</f>
        <v>#REF!</v>
      </c>
      <c r="AH142" s="1" t="e">
        <f>AG142/VLOOKUP(A142,'[35]geoMap (32)'!$A:$B,2,0)*VLOOKUP(A142,'[35]geoMap (32)'!$A:$C,3,0)</f>
        <v>#REF!</v>
      </c>
      <c r="AI142" s="1" t="e">
        <f>AH142/VLOOKUP(A142,'[36]geoMap (33)'!$A:$B,2,0)*VLOOKUP(A142,'[36]geoMap (33)'!$A:$C,3,0)</f>
        <v>#REF!</v>
      </c>
      <c r="AJ142" s="1" t="e">
        <f>AI142/VLOOKUP(A142,'[37]geoMap (34)'!$A:$B,2,0)*VLOOKUP(A142,'[37]geoMap (34)'!$A:$C,3,0)</f>
        <v>#REF!</v>
      </c>
      <c r="AK142" s="1" t="e">
        <f>AJ142/VLOOKUP(A142,'[38]geoMap (35)'!$A:$B,2,0)*VLOOKUP(A142,'[38]geoMap (35)'!$A:$C,3,0)</f>
        <v>#REF!</v>
      </c>
      <c r="AL142" s="1" t="e">
        <f>AK142/VLOOKUP(A142,'[39]geoMap (36)'!$A:$B,2,0)*VLOOKUP(A142,'[39]geoMap (36)'!$A:$C,3,0)</f>
        <v>#REF!</v>
      </c>
      <c r="AM142" s="1" t="e">
        <f>AL142/VLOOKUP(A142,'[40]geoMap (37)'!$A:$B,2,0)*VLOOKUP(A142,'[40]geoMap (37)'!$A:$C,3,0)</f>
        <v>#REF!</v>
      </c>
      <c r="AN142" s="1" t="e">
        <f>AM142/VLOOKUP(A142,'[41]geoMap (38)'!$A:$B,2,0)*VLOOKUP(A142,'[41]geoMap (38)'!$A:$C,3,0)</f>
        <v>#REF!</v>
      </c>
      <c r="AO142" s="1" t="e">
        <f>AN142/VLOOKUP(A142,'[42]geoMap (39)'!$A:$B,2,0)*VLOOKUP(A142,'[42]geoMap (39)'!$A:$C,3,0)</f>
        <v>#REF!</v>
      </c>
      <c r="AP142" s="1" t="e">
        <f>AO142/VLOOKUP(A142,'[43]geoMap (40)'!$A:$B,2,0)*VLOOKUP(A142,'[43]geoMap (40)'!$A:$C,3,0)</f>
        <v>#REF!</v>
      </c>
      <c r="AQ142" s="1" t="e">
        <f>AP142/VLOOKUP(A142,'[44]geoMap (41)'!$A:$B,2,0)*VLOOKUP(A142,'[44]geoMap (41)'!$A:$C,3,0)</f>
        <v>#REF!</v>
      </c>
      <c r="AR142" s="1" t="e">
        <f>AQ142/VLOOKUP(A142,'[45]geoMap (42)'!$A:$B,2,0)*VLOOKUP(A142,'[45]geoMap (42)'!$A:$C,3,0)</f>
        <v>#REF!</v>
      </c>
      <c r="AS142" s="1" t="e">
        <f>AR142/VLOOKUP(A142,'[46]geoMap (43)'!$A:$B,2,0)*VLOOKUP(A142,'[46]geoMap (43)'!$A:$C,3,0)</f>
        <v>#REF!</v>
      </c>
      <c r="AT142" s="1" t="e">
        <f>AS142/VLOOKUP(A142,'[47]geoMap (44)'!$A:$B,2,0)*VLOOKUP(A142,'[47]geoMap (44)'!$A:$C,3,0)</f>
        <v>#REF!</v>
      </c>
      <c r="AU142" s="1" t="e">
        <f>AT142/VLOOKUP(A142,'[48]geoMap (45)'!$A:$B,2,0)*VLOOKUP(A142,'[48]geoMap (45)'!$A:$C,3,0)</f>
        <v>#REF!</v>
      </c>
      <c r="AV142" s="1" t="e">
        <f>AU142/VLOOKUP(A142,'[49]geoMap (46)'!$A:$B,2,0)*VLOOKUP(A142,'[49]geoMap (46)'!$A:$C,3,0)</f>
        <v>#REF!</v>
      </c>
      <c r="AW142" s="1" t="e">
        <f>AV142/VLOOKUP(A142,'[50]geoMap (47)'!$A:$B,2,0)*VLOOKUP(A142,'[50]geoMap (47)'!$A:$C,3,0)</f>
        <v>#REF!</v>
      </c>
      <c r="AX142" s="1" t="e">
        <f>AW142/VLOOKUP(A142,'[51]geoMap (48)'!$A:$B,2,0)*VLOOKUP(A142,'[51]geoMap (48)'!$A:$C,3,0)</f>
        <v>#REF!</v>
      </c>
      <c r="AY142" s="1" t="e">
        <f>AX142/VLOOKUP(A142,'[52]geoMap (49)'!$A:$B,2,0)*VLOOKUP(A142,'[52]geoMap (49)'!$A:$C,3,0)</f>
        <v>#REF!</v>
      </c>
      <c r="AZ142" s="1" t="e">
        <f>AY142/VLOOKUP(A142,'[53]geoMap (50)'!$A:$B,2,0)*VLOOKUP(A142,'[53]geoMap (50)'!$A:$C,3,0)</f>
        <v>#REF!</v>
      </c>
      <c r="BA142" s="1" t="e">
        <f>AZ142/VLOOKUP(A142,'[54]geoMap (51)'!$A:$B,2,0)*VLOOKUP(A142,'[54]geoMap (51)'!$A:$C,3,0)</f>
        <v>#REF!</v>
      </c>
      <c r="BB142" s="1" t="e">
        <f>BA142/VLOOKUP(A142,'[55]geoMap (52)'!$A:$B,2,0)*VLOOKUP(A142,'[55]geoMap (52)'!$A:$C,3,0)</f>
        <v>#REF!</v>
      </c>
      <c r="BC142" s="1" t="e">
        <f>BB142/VLOOKUP(A142,'[56]geoMap (53)'!$A:$B,2,0)*VLOOKUP(A142,'[56]geoMap (53)'!$A:$C,3,0)</f>
        <v>#REF!</v>
      </c>
      <c r="BD142" s="1" t="e">
        <f>BC142/VLOOKUP(A142,'[57]geoMap (54)'!$A:$B,2,0)*VLOOKUP(A142,'[57]geoMap (54)'!$A:$C,3,0)</f>
        <v>#REF!</v>
      </c>
      <c r="BE142" s="1" t="e">
        <f>BD142/VLOOKUP(A142,'[58]geoMap (55)'!$A:$B,2,0)*VLOOKUP(A142,'[58]geoMap (55)'!$A:$C,3,0)</f>
        <v>#REF!</v>
      </c>
      <c r="BF142" s="1" t="e">
        <f>BE142/VLOOKUP(A142,'[59]geoMap (56)'!$A:$B,2,0)*VLOOKUP(A142,'[59]geoMap (56)'!$A:$C,3,0)</f>
        <v>#REF!</v>
      </c>
      <c r="BG142" s="1" t="e">
        <f>BF142/VLOOKUP(A142,'[60]geoMap (57)'!$A:$B,2,0)*VLOOKUP(A142,'[60]geoMap (57)'!$A:$C,3,0)</f>
        <v>#REF!</v>
      </c>
      <c r="BH142" s="1" t="e">
        <f>BG142/VLOOKUP(A142,'[61]geoMap (58)'!$A:$B,2,0)*VLOOKUP(A142,'[61]geoMap (58)'!$A:$C,3,0)</f>
        <v>#REF!</v>
      </c>
      <c r="BI142" s="1" t="e">
        <f>BH142/VLOOKUP(A142,'[62]geoMap (59)'!$A:$B,2,0)*VLOOKUP(A142,'[62]geoMap (59)'!$A:$C,3,0)</f>
        <v>#REF!</v>
      </c>
      <c r="BJ142" s="1" t="e">
        <f>BI142/VLOOKUP(A142,'[63]geoMap (60)'!$A:$B,2,0)*VLOOKUP(A142,'[63]geoMap (60)'!$A:$C,3,0)</f>
        <v>#REF!</v>
      </c>
      <c r="BK142" s="1" t="e">
        <f>BJ142/VLOOKUP(A142,'[64]geoMap (61)'!$A:$B,2,0)*VLOOKUP(A142,'[64]geoMap (61)'!$A:$C,3,0)</f>
        <v>#REF!</v>
      </c>
      <c r="BL142" s="1" t="e">
        <f>BK142/VLOOKUP(A142,'[65]geoMap (62)'!$A:$B,2,0)*VLOOKUP(A142,'[65]geoMap (62)'!$A:$C,3,0)</f>
        <v>#REF!</v>
      </c>
      <c r="BM142" s="1" t="e">
        <f>BL142/VLOOKUP(A142,'[66]geoMap (63)'!$A:$B,2,0)*VLOOKUP(A142,'[66]geoMap (63)'!$A:$C,3,0)</f>
        <v>#REF!</v>
      </c>
      <c r="BN142" s="1" t="e">
        <f>BM142/VLOOKUP(A142,'[67]geoMap (64)'!$A:$B,2,0)*VLOOKUP(A142,'[67]geoMap (64)'!$A:$C,3,0)</f>
        <v>#REF!</v>
      </c>
      <c r="BO142" s="1" t="e">
        <f>BN142/VLOOKUP(A142,'[68]geoMap (65)'!$A:$B,2,0)*VLOOKUP(A142,'[68]geoMap (65)'!$A:$C,3,0)</f>
        <v>#REF!</v>
      </c>
      <c r="BP142" s="1" t="e">
        <f>BO142/VLOOKUP(A142,'[69]geoMap (66)'!$A:$B,2,0)*VLOOKUP(A142,'[69]geoMap (66)'!$A:$C,3,0)</f>
        <v>#REF!</v>
      </c>
    </row>
    <row r="143" spans="1:68" hidden="1" x14ac:dyDescent="0.2">
      <c r="A143" s="1" t="s">
        <v>118</v>
      </c>
      <c r="B143" s="1" t="e">
        <f>VLOOKUP(A143,[3]geoMap!$A:$B,2,0)*Notes!$C$6</f>
        <v>#REF!</v>
      </c>
      <c r="C143" s="1" t="e">
        <f>B143/VLOOKUP(A143,'[4]geoMap (1)'!$A:$B,2,0)*VLOOKUP(A143,'[4]geoMap (1)'!$A:$C,3,0)</f>
        <v>#REF!</v>
      </c>
      <c r="D143" s="1" t="e">
        <f>C143/VLOOKUP(A143,'[5]geoMap (2)'!$A:$B,2,0)*VLOOKUP(A143,'[5]geoMap (2)'!$A:$C,3,0)</f>
        <v>#REF!</v>
      </c>
      <c r="E143" s="1" t="e">
        <f>D143/VLOOKUP(A143,'[6]geoMap (3)'!$A:$B,2,0)*VLOOKUP(A143,'[6]geoMap (3)'!$A:$C,3,0)</f>
        <v>#REF!</v>
      </c>
      <c r="F143" s="1" t="e">
        <f>E143/VLOOKUP(A143,'[7]geoMap (4)'!$A:$B,2,0)*VLOOKUP(A143,'[7]geoMap (4)'!$A:$C,3,0)</f>
        <v>#REF!</v>
      </c>
      <c r="G143" s="1" t="e">
        <f>F143/VLOOKUP(A143,'[8]geoMap (5)'!$A:$B,2,0)*VLOOKUP(A143,'[8]geoMap (5)'!$A:$C,3,0)</f>
        <v>#REF!</v>
      </c>
      <c r="H143" s="1" t="e">
        <f>G143/VLOOKUP(A143,'[9]geoMap (6)'!$A:$B,2,0)*VLOOKUP(A143,'[9]geoMap (6)'!$A:$C,3,0)</f>
        <v>#REF!</v>
      </c>
      <c r="I143" s="1" t="e">
        <f>H143/VLOOKUP(A143,'[10]geoMap (7)'!$A:$B,2,0)*VLOOKUP(A143,'[10]geoMap (7)'!$A:$C,3,0)</f>
        <v>#REF!</v>
      </c>
      <c r="J143" s="1" t="e">
        <f>I143/VLOOKUP(A143,'[11]geoMap (8)'!$A:$B,2,0)*VLOOKUP(A143,'[11]geoMap (8)'!$A:$C,3,0)</f>
        <v>#REF!</v>
      </c>
      <c r="K143" s="1" t="e">
        <f>J143/VLOOKUP(A143,'[12]geoMap (9)'!$A:$B,2,0)*VLOOKUP(A143,'[12]geoMap (9)'!$A:$C,3,0)</f>
        <v>#REF!</v>
      </c>
      <c r="L143" s="1" t="e">
        <f>K143/VLOOKUP(A143,'[13]geoMap (10)'!$A:$B,2,0)*VLOOKUP(A143,'[13]geoMap (10)'!$A:$C,3,0)</f>
        <v>#REF!</v>
      </c>
      <c r="M143" s="1" t="e">
        <f>L143/VLOOKUP(A143,'[14]geoMap (11)'!$A:$B,2,0)*VLOOKUP(A143,'[14]geoMap (11)'!$A:$C,3,0)</f>
        <v>#REF!</v>
      </c>
      <c r="N143" s="1" t="e">
        <f>M143/VLOOKUP(A143,'[15]geoMap (12)'!$A:$B,2,0)*VLOOKUP(A143,'[15]geoMap (12)'!$A:$C,3,0)</f>
        <v>#REF!</v>
      </c>
      <c r="O143" s="1" t="e">
        <f>N143/VLOOKUP(A143,'[16]geoMap (13)'!$A:$B,2,0)*VLOOKUP(A143,'[16]geoMap (13)'!$A:$C,3,0)</f>
        <v>#REF!</v>
      </c>
      <c r="P143" s="1" t="e">
        <f>O143/VLOOKUP(A143,'[17]geoMap (14)'!$A:$B,2,0)*VLOOKUP(A143,'[17]geoMap (14)'!$A:$C,3,0)</f>
        <v>#REF!</v>
      </c>
      <c r="Q143" s="1" t="e">
        <f>P143/VLOOKUP(A143,'[18]geoMap (15)'!$A:$B,2,0)*VLOOKUP(A143,'[18]geoMap (15)'!$A:$C,3,0)</f>
        <v>#REF!</v>
      </c>
      <c r="R143" s="1" t="e">
        <f>Q143/VLOOKUP(A143,'[19]geoMap (16)'!$A:$B,2,0)*VLOOKUP(A143,'[19]geoMap (16)'!$A:$C,3,0)</f>
        <v>#REF!</v>
      </c>
      <c r="S143" s="1" t="e">
        <f>R143/VLOOKUP(A143,'[20]geoMap (17)'!$A:$B,2,0)*VLOOKUP(A143,'[20]geoMap (17)'!$A:$C,3,0)</f>
        <v>#REF!</v>
      </c>
      <c r="T143" s="1" t="e">
        <f>S143/VLOOKUP(A143,'[21]geoMap (18)'!$A:$B,2,0)*VLOOKUP(A143,'[21]geoMap (18)'!$A:$C,3,0)</f>
        <v>#REF!</v>
      </c>
      <c r="U143" s="1" t="e">
        <f>T143/VLOOKUP(A143,'[22]geoMap (19)'!$A:$B,2,0)*VLOOKUP(A143,'[22]geoMap (19)'!$A:$C,3,0)</f>
        <v>#REF!</v>
      </c>
      <c r="V143" s="1" t="e">
        <f>U143/VLOOKUP(A143,'[23]geoMap (20)'!$A:$B,2,0)*VLOOKUP(A143,'[23]geoMap (20)'!$A:$C,3,0)</f>
        <v>#REF!</v>
      </c>
      <c r="W143" s="1" t="e">
        <f>V143/VLOOKUP(A143,'[24]geoMap (21)'!$A:$B,2,0)*VLOOKUP(A143,'[24]geoMap (21)'!$A:$C,3,0)</f>
        <v>#REF!</v>
      </c>
      <c r="X143" s="1" t="e">
        <f>W143/VLOOKUP(A143,'[25]geoMap (22)'!$A:$B,2,0)*VLOOKUP(A143,'[25]geoMap (22)'!$A:$C,3,0)</f>
        <v>#REF!</v>
      </c>
      <c r="Y143" s="1" t="e">
        <f>X143/VLOOKUP(A143,'[26]geoMap (23)'!$A:$B,2,0)*VLOOKUP(A143,'[26]geoMap (23)'!$A:$C,3,0)</f>
        <v>#REF!</v>
      </c>
      <c r="Z143" s="1" t="e">
        <f>Y143/VLOOKUP(A143,'[27]geoMap (24)'!$A:$B,2,0)*VLOOKUP(A143,'[27]geoMap (24)'!$A:$C,3,0)</f>
        <v>#REF!</v>
      </c>
      <c r="AA143" s="1" t="e">
        <f>Z143/VLOOKUP(A143,'[28]geoMap (25)'!$A:$B,2,0)*VLOOKUP(A143,'[28]geoMap (25)'!$A:$C,3,0)</f>
        <v>#REF!</v>
      </c>
      <c r="AB143" s="1" t="e">
        <f>AA143*VLOOKUP(A143,'[29]geoMap (26)'!$A:$B,2,0)*VLOOKUP(A143,'[29]geoMap (26)'!$A:$C,3,0)</f>
        <v>#REF!</v>
      </c>
      <c r="AC143" s="1" t="e">
        <f>AB143/VLOOKUP(A143,'[30]geoMap (27)'!$A:$B,2,0)*VLOOKUP(A143,'[30]geoMap (27)'!$A:$C,3,0)</f>
        <v>#REF!</v>
      </c>
      <c r="AD143" s="1" t="e">
        <f>AC143/VLOOKUP(A143,'[31]geoMap (28)'!$A:$B,2,0)*VLOOKUP(A143,'[31]geoMap (28)'!$A:$C,3,0)</f>
        <v>#REF!</v>
      </c>
      <c r="AE143" s="1" t="e">
        <f>AD143/VLOOKUP(A143,'[32]geoMap (29)'!$A:$B,2,0)*VLOOKUP(A143,'[32]geoMap (29)'!$A:$C,3,0)</f>
        <v>#REF!</v>
      </c>
      <c r="AF143" s="1" t="e">
        <f>AE143/VLOOKUP(A143,'[33]geoMap (30)'!$A:$B,2,0)*VLOOKUP(A143,'[33]geoMap (30)'!$A:$C,3,0)</f>
        <v>#REF!</v>
      </c>
      <c r="AG143" s="1" t="e">
        <f>AF143/VLOOKUP(A143,'[34]geoMap (31)'!$A:$B,2,0)*VLOOKUP(A143,'[34]geoMap (31)'!$A:$C,3,0)</f>
        <v>#REF!</v>
      </c>
      <c r="AH143" s="1" t="e">
        <f>AG143/VLOOKUP(A143,'[35]geoMap (32)'!$A:$B,2,0)*VLOOKUP(A143,'[35]geoMap (32)'!$A:$C,3,0)</f>
        <v>#REF!</v>
      </c>
      <c r="AI143" s="1" t="e">
        <f>AH143/VLOOKUP(A143,'[36]geoMap (33)'!$A:$B,2,0)*VLOOKUP(A143,'[36]geoMap (33)'!$A:$C,3,0)</f>
        <v>#REF!</v>
      </c>
      <c r="AJ143" s="1" t="e">
        <f>AI143/VLOOKUP(A143,'[37]geoMap (34)'!$A:$B,2,0)*VLOOKUP(A143,'[37]geoMap (34)'!$A:$C,3,0)</f>
        <v>#REF!</v>
      </c>
      <c r="AK143" s="1" t="e">
        <f>AJ143/VLOOKUP(A143,'[38]geoMap (35)'!$A:$B,2,0)*VLOOKUP(A143,'[38]geoMap (35)'!$A:$C,3,0)</f>
        <v>#REF!</v>
      </c>
      <c r="AL143" s="1" t="e">
        <f>AK143/VLOOKUP(A143,'[39]geoMap (36)'!$A:$B,2,0)*VLOOKUP(A143,'[39]geoMap (36)'!$A:$C,3,0)</f>
        <v>#REF!</v>
      </c>
      <c r="AM143" s="1" t="e">
        <f>AL143/VLOOKUP(A143,'[40]geoMap (37)'!$A:$B,2,0)*VLOOKUP(A143,'[40]geoMap (37)'!$A:$C,3,0)</f>
        <v>#REF!</v>
      </c>
      <c r="AN143" s="1" t="e">
        <f>AM143/VLOOKUP(A143,'[41]geoMap (38)'!$A:$B,2,0)*VLOOKUP(A143,'[41]geoMap (38)'!$A:$C,3,0)</f>
        <v>#REF!</v>
      </c>
      <c r="AO143" s="1" t="e">
        <f>AN143/VLOOKUP(A143,'[42]geoMap (39)'!$A:$B,2,0)*VLOOKUP(A143,'[42]geoMap (39)'!$A:$C,3,0)</f>
        <v>#REF!</v>
      </c>
      <c r="AP143" s="1" t="e">
        <f>AO143/VLOOKUP(A143,'[43]geoMap (40)'!$A:$B,2,0)*VLOOKUP(A143,'[43]geoMap (40)'!$A:$C,3,0)</f>
        <v>#REF!</v>
      </c>
      <c r="AQ143" s="1" t="e">
        <f>AP143/VLOOKUP(A143,'[44]geoMap (41)'!$A:$B,2,0)*VLOOKUP(A143,'[44]geoMap (41)'!$A:$C,3,0)</f>
        <v>#REF!</v>
      </c>
      <c r="AR143" s="1" t="e">
        <f>AQ143/VLOOKUP(A143,'[45]geoMap (42)'!$A:$B,2,0)*VLOOKUP(A143,'[45]geoMap (42)'!$A:$C,3,0)</f>
        <v>#REF!</v>
      </c>
      <c r="AS143" s="1" t="e">
        <f>AR143/VLOOKUP(A143,'[46]geoMap (43)'!$A:$B,2,0)*VLOOKUP(A143,'[46]geoMap (43)'!$A:$C,3,0)</f>
        <v>#REF!</v>
      </c>
      <c r="AT143" s="1" t="e">
        <f>AS143/VLOOKUP(A143,'[47]geoMap (44)'!$A:$B,2,0)*VLOOKUP(A143,'[47]geoMap (44)'!$A:$C,3,0)</f>
        <v>#REF!</v>
      </c>
      <c r="AU143" s="1" t="e">
        <f>AT143/VLOOKUP(A143,'[48]geoMap (45)'!$A:$B,2,0)*VLOOKUP(A143,'[48]geoMap (45)'!$A:$C,3,0)</f>
        <v>#REF!</v>
      </c>
      <c r="AV143" s="1" t="e">
        <f>AU143/VLOOKUP(A143,'[49]geoMap (46)'!$A:$B,2,0)*VLOOKUP(A143,'[49]geoMap (46)'!$A:$C,3,0)</f>
        <v>#REF!</v>
      </c>
      <c r="AW143" s="1" t="e">
        <f>AV143/VLOOKUP(A143,'[50]geoMap (47)'!$A:$B,2,0)*VLOOKUP(A143,'[50]geoMap (47)'!$A:$C,3,0)</f>
        <v>#REF!</v>
      </c>
      <c r="AX143" s="1" t="e">
        <f>AW143/VLOOKUP(A143,'[51]geoMap (48)'!$A:$B,2,0)*VLOOKUP(A143,'[51]geoMap (48)'!$A:$C,3,0)</f>
        <v>#REF!</v>
      </c>
      <c r="AY143" s="1" t="e">
        <f>AX143/VLOOKUP(A143,'[52]geoMap (49)'!$A:$B,2,0)*VLOOKUP(A143,'[52]geoMap (49)'!$A:$C,3,0)</f>
        <v>#REF!</v>
      </c>
      <c r="AZ143" s="1" t="e">
        <f>AY143/VLOOKUP(A143,'[53]geoMap (50)'!$A:$B,2,0)*VLOOKUP(A143,'[53]geoMap (50)'!$A:$C,3,0)</f>
        <v>#REF!</v>
      </c>
      <c r="BA143" s="1" t="e">
        <f>AZ143/VLOOKUP(A143,'[54]geoMap (51)'!$A:$B,2,0)*VLOOKUP(A143,'[54]geoMap (51)'!$A:$C,3,0)</f>
        <v>#REF!</v>
      </c>
      <c r="BB143" s="1" t="e">
        <f>BA143/VLOOKUP(A143,'[55]geoMap (52)'!$A:$B,2,0)*VLOOKUP(A143,'[55]geoMap (52)'!$A:$C,3,0)</f>
        <v>#REF!</v>
      </c>
      <c r="BC143" s="1" t="e">
        <f>BB143/VLOOKUP(A143,'[56]geoMap (53)'!$A:$B,2,0)*VLOOKUP(A143,'[56]geoMap (53)'!$A:$C,3,0)</f>
        <v>#REF!</v>
      </c>
      <c r="BD143" s="1" t="e">
        <f>BC143/VLOOKUP(A143,'[57]geoMap (54)'!$A:$B,2,0)*VLOOKUP(A143,'[57]geoMap (54)'!$A:$C,3,0)</f>
        <v>#REF!</v>
      </c>
      <c r="BE143" s="1" t="e">
        <f>BD143/VLOOKUP(A143,'[58]geoMap (55)'!$A:$B,2,0)*VLOOKUP(A143,'[58]geoMap (55)'!$A:$C,3,0)</f>
        <v>#REF!</v>
      </c>
      <c r="BF143" s="1" t="e">
        <f>BE143/VLOOKUP(A143,'[59]geoMap (56)'!$A:$B,2,0)*VLOOKUP(A143,'[59]geoMap (56)'!$A:$C,3,0)</f>
        <v>#REF!</v>
      </c>
      <c r="BG143" s="1" t="e">
        <f>BF143/VLOOKUP(A143,'[60]geoMap (57)'!$A:$B,2,0)*VLOOKUP(A143,'[60]geoMap (57)'!$A:$C,3,0)</f>
        <v>#REF!</v>
      </c>
      <c r="BH143" s="1" t="e">
        <f>BG143/VLOOKUP(A143,'[61]geoMap (58)'!$A:$B,2,0)*VLOOKUP(A143,'[61]geoMap (58)'!$A:$C,3,0)</f>
        <v>#REF!</v>
      </c>
      <c r="BI143" s="1" t="e">
        <f>BH143/VLOOKUP(A143,'[62]geoMap (59)'!$A:$B,2,0)*VLOOKUP(A143,'[62]geoMap (59)'!$A:$C,3,0)</f>
        <v>#REF!</v>
      </c>
      <c r="BJ143" s="1" t="e">
        <f>BI143/VLOOKUP(A143,'[63]geoMap (60)'!$A:$B,2,0)*VLOOKUP(A143,'[63]geoMap (60)'!$A:$C,3,0)</f>
        <v>#REF!</v>
      </c>
      <c r="BK143" s="1" t="e">
        <f>BJ143/VLOOKUP(A143,'[64]geoMap (61)'!$A:$B,2,0)*VLOOKUP(A143,'[64]geoMap (61)'!$A:$C,3,0)</f>
        <v>#REF!</v>
      </c>
      <c r="BL143" s="1" t="e">
        <f>BK143/VLOOKUP(A143,'[65]geoMap (62)'!$A:$B,2,0)*VLOOKUP(A143,'[65]geoMap (62)'!$A:$C,3,0)</f>
        <v>#REF!</v>
      </c>
      <c r="BM143" s="1" t="e">
        <f>BL143/VLOOKUP(A143,'[66]geoMap (63)'!$A:$B,2,0)*VLOOKUP(A143,'[66]geoMap (63)'!$A:$C,3,0)</f>
        <v>#REF!</v>
      </c>
      <c r="BN143" s="1" t="e">
        <f>BM143/VLOOKUP(A143,'[67]geoMap (64)'!$A:$B,2,0)*VLOOKUP(A143,'[67]geoMap (64)'!$A:$C,3,0)</f>
        <v>#REF!</v>
      </c>
      <c r="BO143" s="1" t="e">
        <f>BN143/VLOOKUP(A143,'[68]geoMap (65)'!$A:$B,2,0)*VLOOKUP(A143,'[68]geoMap (65)'!$A:$C,3,0)</f>
        <v>#REF!</v>
      </c>
      <c r="BP143" s="1" t="e">
        <f>BO143/VLOOKUP(A143,'[69]geoMap (66)'!$A:$B,2,0)*VLOOKUP(A143,'[69]geoMap (66)'!$A:$C,3,0)</f>
        <v>#REF!</v>
      </c>
    </row>
    <row r="144" spans="1:68" hidden="1" x14ac:dyDescent="0.2">
      <c r="A144" s="1" t="s">
        <v>119</v>
      </c>
      <c r="B144" s="1" t="e">
        <f>VLOOKUP(A144,[3]geoMap!$A:$B,2,0)*Notes!$C$6</f>
        <v>#REF!</v>
      </c>
      <c r="C144" s="1" t="e">
        <f>B144/VLOOKUP(A144,'[4]geoMap (1)'!$A:$B,2,0)*VLOOKUP(A144,'[4]geoMap (1)'!$A:$C,3,0)</f>
        <v>#REF!</v>
      </c>
      <c r="D144" s="1" t="e">
        <f>C144/VLOOKUP(A144,'[5]geoMap (2)'!$A:$B,2,0)*VLOOKUP(A144,'[5]geoMap (2)'!$A:$C,3,0)</f>
        <v>#REF!</v>
      </c>
      <c r="E144" s="1" t="e">
        <f>D144/VLOOKUP(A144,'[6]geoMap (3)'!$A:$B,2,0)*VLOOKUP(A144,'[6]geoMap (3)'!$A:$C,3,0)</f>
        <v>#REF!</v>
      </c>
      <c r="F144" s="1" t="e">
        <f>E144/VLOOKUP(A144,'[7]geoMap (4)'!$A:$B,2,0)*VLOOKUP(A144,'[7]geoMap (4)'!$A:$C,3,0)</f>
        <v>#REF!</v>
      </c>
      <c r="G144" s="1" t="e">
        <f>F144/VLOOKUP(A144,'[8]geoMap (5)'!$A:$B,2,0)*VLOOKUP(A144,'[8]geoMap (5)'!$A:$C,3,0)</f>
        <v>#REF!</v>
      </c>
      <c r="H144" s="1" t="e">
        <f>G144/VLOOKUP(A144,'[9]geoMap (6)'!$A:$B,2,0)*VLOOKUP(A144,'[9]geoMap (6)'!$A:$C,3,0)</f>
        <v>#REF!</v>
      </c>
      <c r="I144" s="1" t="e">
        <f>H144/VLOOKUP(A144,'[10]geoMap (7)'!$A:$B,2,0)*VLOOKUP(A144,'[10]geoMap (7)'!$A:$C,3,0)</f>
        <v>#REF!</v>
      </c>
      <c r="J144" s="1" t="e">
        <f>I144/VLOOKUP(A144,'[11]geoMap (8)'!$A:$B,2,0)*VLOOKUP(A144,'[11]geoMap (8)'!$A:$C,3,0)</f>
        <v>#REF!</v>
      </c>
      <c r="K144" s="1" t="e">
        <f>J144/VLOOKUP(A144,'[12]geoMap (9)'!$A:$B,2,0)*VLOOKUP(A144,'[12]geoMap (9)'!$A:$C,3,0)</f>
        <v>#REF!</v>
      </c>
      <c r="L144" s="1" t="e">
        <f>K144/VLOOKUP(A144,'[13]geoMap (10)'!$A:$B,2,0)*VLOOKUP(A144,'[13]geoMap (10)'!$A:$C,3,0)</f>
        <v>#REF!</v>
      </c>
      <c r="M144" s="1" t="e">
        <f>L144/VLOOKUP(A144,'[14]geoMap (11)'!$A:$B,2,0)*VLOOKUP(A144,'[14]geoMap (11)'!$A:$C,3,0)</f>
        <v>#REF!</v>
      </c>
      <c r="N144" s="1" t="e">
        <f>M144/VLOOKUP(A144,'[15]geoMap (12)'!$A:$B,2,0)*VLOOKUP(A144,'[15]geoMap (12)'!$A:$C,3,0)</f>
        <v>#REF!</v>
      </c>
      <c r="O144" s="1" t="e">
        <f>N144/VLOOKUP(A144,'[16]geoMap (13)'!$A:$B,2,0)*VLOOKUP(A144,'[16]geoMap (13)'!$A:$C,3,0)</f>
        <v>#REF!</v>
      </c>
      <c r="P144" s="1" t="e">
        <f>O144/VLOOKUP(A144,'[17]geoMap (14)'!$A:$B,2,0)*VLOOKUP(A144,'[17]geoMap (14)'!$A:$C,3,0)</f>
        <v>#REF!</v>
      </c>
      <c r="Q144" s="1" t="e">
        <f>P144/VLOOKUP(A144,'[18]geoMap (15)'!$A:$B,2,0)*VLOOKUP(A144,'[18]geoMap (15)'!$A:$C,3,0)</f>
        <v>#REF!</v>
      </c>
      <c r="R144" s="1" t="e">
        <f>Q144/VLOOKUP(A144,'[19]geoMap (16)'!$A:$B,2,0)*VLOOKUP(A144,'[19]geoMap (16)'!$A:$C,3,0)</f>
        <v>#REF!</v>
      </c>
      <c r="S144" s="1" t="e">
        <f>R144/VLOOKUP(A144,'[20]geoMap (17)'!$A:$B,2,0)*VLOOKUP(A144,'[20]geoMap (17)'!$A:$C,3,0)</f>
        <v>#REF!</v>
      </c>
      <c r="T144" s="1" t="e">
        <f>S144/VLOOKUP(A144,'[21]geoMap (18)'!$A:$B,2,0)*VLOOKUP(A144,'[21]geoMap (18)'!$A:$C,3,0)</f>
        <v>#REF!</v>
      </c>
      <c r="U144" s="1" t="e">
        <f>T144/VLOOKUP(A144,'[22]geoMap (19)'!$A:$B,2,0)*VLOOKUP(A144,'[22]geoMap (19)'!$A:$C,3,0)</f>
        <v>#REF!</v>
      </c>
      <c r="V144" s="1" t="e">
        <f>U144/VLOOKUP(A144,'[23]geoMap (20)'!$A:$B,2,0)*VLOOKUP(A144,'[23]geoMap (20)'!$A:$C,3,0)</f>
        <v>#REF!</v>
      </c>
      <c r="W144" s="1" t="e">
        <f>V144/VLOOKUP(A144,'[24]geoMap (21)'!$A:$B,2,0)*VLOOKUP(A144,'[24]geoMap (21)'!$A:$C,3,0)</f>
        <v>#REF!</v>
      </c>
      <c r="X144" s="1" t="e">
        <f>W144/VLOOKUP(A144,'[25]geoMap (22)'!$A:$B,2,0)*VLOOKUP(A144,'[25]geoMap (22)'!$A:$C,3,0)</f>
        <v>#REF!</v>
      </c>
      <c r="Y144" s="1" t="e">
        <f>X144/VLOOKUP(A144,'[26]geoMap (23)'!$A:$B,2,0)*VLOOKUP(A144,'[26]geoMap (23)'!$A:$C,3,0)</f>
        <v>#REF!</v>
      </c>
      <c r="Z144" s="1" t="e">
        <f>Y144/VLOOKUP(A144,'[27]geoMap (24)'!$A:$B,2,0)*VLOOKUP(A144,'[27]geoMap (24)'!$A:$C,3,0)</f>
        <v>#REF!</v>
      </c>
      <c r="AA144" s="1" t="e">
        <f>Z144/VLOOKUP(A144,'[28]geoMap (25)'!$A:$B,2,0)*VLOOKUP(A144,'[28]geoMap (25)'!$A:$C,3,0)</f>
        <v>#REF!</v>
      </c>
      <c r="AB144" s="1" t="e">
        <f>AA144*VLOOKUP(A144,'[29]geoMap (26)'!$A:$B,2,0)*VLOOKUP(A144,'[29]geoMap (26)'!$A:$C,3,0)</f>
        <v>#REF!</v>
      </c>
      <c r="AC144" s="1" t="e">
        <f>AB144/VLOOKUP(A144,'[30]geoMap (27)'!$A:$B,2,0)*VLOOKUP(A144,'[30]geoMap (27)'!$A:$C,3,0)</f>
        <v>#REF!</v>
      </c>
      <c r="AD144" s="1" t="e">
        <f>AC144/VLOOKUP(A144,'[31]geoMap (28)'!$A:$B,2,0)*VLOOKUP(A144,'[31]geoMap (28)'!$A:$C,3,0)</f>
        <v>#REF!</v>
      </c>
      <c r="AE144" s="1" t="e">
        <f>AD144/VLOOKUP(A144,'[32]geoMap (29)'!$A:$B,2,0)*VLOOKUP(A144,'[32]geoMap (29)'!$A:$C,3,0)</f>
        <v>#REF!</v>
      </c>
      <c r="AF144" s="1" t="e">
        <f>AE144/VLOOKUP(A144,'[33]geoMap (30)'!$A:$B,2,0)*VLOOKUP(A144,'[33]geoMap (30)'!$A:$C,3,0)</f>
        <v>#REF!</v>
      </c>
      <c r="AG144" s="1" t="e">
        <f>AF144/VLOOKUP(A144,'[34]geoMap (31)'!$A:$B,2,0)*VLOOKUP(A144,'[34]geoMap (31)'!$A:$C,3,0)</f>
        <v>#REF!</v>
      </c>
      <c r="AH144" s="1" t="e">
        <f>AG144/VLOOKUP(A144,'[35]geoMap (32)'!$A:$B,2,0)*VLOOKUP(A144,'[35]geoMap (32)'!$A:$C,3,0)</f>
        <v>#REF!</v>
      </c>
      <c r="AI144" s="1" t="e">
        <f>AH144/VLOOKUP(A144,'[36]geoMap (33)'!$A:$B,2,0)*VLOOKUP(A144,'[36]geoMap (33)'!$A:$C,3,0)</f>
        <v>#REF!</v>
      </c>
      <c r="AJ144" s="1" t="e">
        <f>AI144/VLOOKUP(A144,'[37]geoMap (34)'!$A:$B,2,0)*VLOOKUP(A144,'[37]geoMap (34)'!$A:$C,3,0)</f>
        <v>#REF!</v>
      </c>
      <c r="AK144" s="1" t="e">
        <f>AJ144/VLOOKUP(A144,'[38]geoMap (35)'!$A:$B,2,0)*VLOOKUP(A144,'[38]geoMap (35)'!$A:$C,3,0)</f>
        <v>#REF!</v>
      </c>
      <c r="AL144" s="1" t="e">
        <f>AK144/VLOOKUP(A144,'[39]geoMap (36)'!$A:$B,2,0)*VLOOKUP(A144,'[39]geoMap (36)'!$A:$C,3,0)</f>
        <v>#REF!</v>
      </c>
      <c r="AM144" s="1" t="e">
        <f>AL144/VLOOKUP(A144,'[40]geoMap (37)'!$A:$B,2,0)*VLOOKUP(A144,'[40]geoMap (37)'!$A:$C,3,0)</f>
        <v>#REF!</v>
      </c>
      <c r="AN144" s="1" t="e">
        <f>AM144/VLOOKUP(A144,'[41]geoMap (38)'!$A:$B,2,0)*VLOOKUP(A144,'[41]geoMap (38)'!$A:$C,3,0)</f>
        <v>#REF!</v>
      </c>
      <c r="AO144" s="1" t="e">
        <f>AN144/VLOOKUP(A144,'[42]geoMap (39)'!$A:$B,2,0)*VLOOKUP(A144,'[42]geoMap (39)'!$A:$C,3,0)</f>
        <v>#REF!</v>
      </c>
      <c r="AP144" s="1" t="e">
        <f>AO144/VLOOKUP(A144,'[43]geoMap (40)'!$A:$B,2,0)*VLOOKUP(A144,'[43]geoMap (40)'!$A:$C,3,0)</f>
        <v>#REF!</v>
      </c>
      <c r="AQ144" s="1" t="e">
        <f>AP144/VLOOKUP(A144,'[44]geoMap (41)'!$A:$B,2,0)*VLOOKUP(A144,'[44]geoMap (41)'!$A:$C,3,0)</f>
        <v>#REF!</v>
      </c>
      <c r="AR144" s="1" t="e">
        <f>AQ144/VLOOKUP(A144,'[45]geoMap (42)'!$A:$B,2,0)*VLOOKUP(A144,'[45]geoMap (42)'!$A:$C,3,0)</f>
        <v>#REF!</v>
      </c>
      <c r="AS144" s="1" t="e">
        <f>AR144/VLOOKUP(A144,'[46]geoMap (43)'!$A:$B,2,0)*VLOOKUP(A144,'[46]geoMap (43)'!$A:$C,3,0)</f>
        <v>#REF!</v>
      </c>
      <c r="AT144" s="1" t="e">
        <f>AS144/VLOOKUP(A144,'[47]geoMap (44)'!$A:$B,2,0)*VLOOKUP(A144,'[47]geoMap (44)'!$A:$C,3,0)</f>
        <v>#REF!</v>
      </c>
      <c r="AU144" s="1" t="e">
        <f>AT144/VLOOKUP(A144,'[48]geoMap (45)'!$A:$B,2,0)*VLOOKUP(A144,'[48]geoMap (45)'!$A:$C,3,0)</f>
        <v>#REF!</v>
      </c>
      <c r="AV144" s="1" t="e">
        <f>AU144/VLOOKUP(A144,'[49]geoMap (46)'!$A:$B,2,0)*VLOOKUP(A144,'[49]geoMap (46)'!$A:$C,3,0)</f>
        <v>#REF!</v>
      </c>
      <c r="AW144" s="1" t="e">
        <f>AV144/VLOOKUP(A144,'[50]geoMap (47)'!$A:$B,2,0)*VLOOKUP(A144,'[50]geoMap (47)'!$A:$C,3,0)</f>
        <v>#REF!</v>
      </c>
      <c r="AX144" s="1" t="e">
        <f>AW144/VLOOKUP(A144,'[51]geoMap (48)'!$A:$B,2,0)*VLOOKUP(A144,'[51]geoMap (48)'!$A:$C,3,0)</f>
        <v>#REF!</v>
      </c>
      <c r="AY144" s="1" t="e">
        <f>AX144/VLOOKUP(A144,'[52]geoMap (49)'!$A:$B,2,0)*VLOOKUP(A144,'[52]geoMap (49)'!$A:$C,3,0)</f>
        <v>#REF!</v>
      </c>
      <c r="AZ144" s="1" t="e">
        <f>AY144/VLOOKUP(A144,'[53]geoMap (50)'!$A:$B,2,0)*VLOOKUP(A144,'[53]geoMap (50)'!$A:$C,3,0)</f>
        <v>#REF!</v>
      </c>
      <c r="BA144" s="1" t="e">
        <f>AZ144/VLOOKUP(A144,'[54]geoMap (51)'!$A:$B,2,0)*VLOOKUP(A144,'[54]geoMap (51)'!$A:$C,3,0)</f>
        <v>#REF!</v>
      </c>
      <c r="BB144" s="1" t="e">
        <f>BA144/VLOOKUP(A144,'[55]geoMap (52)'!$A:$B,2,0)*VLOOKUP(A144,'[55]geoMap (52)'!$A:$C,3,0)</f>
        <v>#REF!</v>
      </c>
      <c r="BC144" s="1" t="e">
        <f>BB144/VLOOKUP(A144,'[56]geoMap (53)'!$A:$B,2,0)*VLOOKUP(A144,'[56]geoMap (53)'!$A:$C,3,0)</f>
        <v>#REF!</v>
      </c>
      <c r="BD144" s="1" t="e">
        <f>BC144/VLOOKUP(A144,'[57]geoMap (54)'!$A:$B,2,0)*VLOOKUP(A144,'[57]geoMap (54)'!$A:$C,3,0)</f>
        <v>#REF!</v>
      </c>
      <c r="BE144" s="1" t="e">
        <f>BD144/VLOOKUP(A144,'[58]geoMap (55)'!$A:$B,2,0)*VLOOKUP(A144,'[58]geoMap (55)'!$A:$C,3,0)</f>
        <v>#REF!</v>
      </c>
      <c r="BF144" s="1" t="e">
        <f>BE144/VLOOKUP(A144,'[59]geoMap (56)'!$A:$B,2,0)*VLOOKUP(A144,'[59]geoMap (56)'!$A:$C,3,0)</f>
        <v>#REF!</v>
      </c>
      <c r="BG144" s="1" t="e">
        <f>BF144/VLOOKUP(A144,'[60]geoMap (57)'!$A:$B,2,0)*VLOOKUP(A144,'[60]geoMap (57)'!$A:$C,3,0)</f>
        <v>#REF!</v>
      </c>
      <c r="BH144" s="1" t="e">
        <f>BG144/VLOOKUP(A144,'[61]geoMap (58)'!$A:$B,2,0)*VLOOKUP(A144,'[61]geoMap (58)'!$A:$C,3,0)</f>
        <v>#REF!</v>
      </c>
      <c r="BI144" s="1" t="e">
        <f>BH144/VLOOKUP(A144,'[62]geoMap (59)'!$A:$B,2,0)*VLOOKUP(A144,'[62]geoMap (59)'!$A:$C,3,0)</f>
        <v>#REF!</v>
      </c>
      <c r="BJ144" s="1" t="e">
        <f>BI144/VLOOKUP(A144,'[63]geoMap (60)'!$A:$B,2,0)*VLOOKUP(A144,'[63]geoMap (60)'!$A:$C,3,0)</f>
        <v>#REF!</v>
      </c>
      <c r="BK144" s="1" t="e">
        <f>BJ144/VLOOKUP(A144,'[64]geoMap (61)'!$A:$B,2,0)*VLOOKUP(A144,'[64]geoMap (61)'!$A:$C,3,0)</f>
        <v>#REF!</v>
      </c>
      <c r="BL144" s="1" t="e">
        <f>BK144/VLOOKUP(A144,'[65]geoMap (62)'!$A:$B,2,0)*VLOOKUP(A144,'[65]geoMap (62)'!$A:$C,3,0)</f>
        <v>#REF!</v>
      </c>
      <c r="BM144" s="1" t="e">
        <f>BL144/VLOOKUP(A144,'[66]geoMap (63)'!$A:$B,2,0)*VLOOKUP(A144,'[66]geoMap (63)'!$A:$C,3,0)</f>
        <v>#REF!</v>
      </c>
      <c r="BN144" s="1" t="e">
        <f>BM144/VLOOKUP(A144,'[67]geoMap (64)'!$A:$B,2,0)*VLOOKUP(A144,'[67]geoMap (64)'!$A:$C,3,0)</f>
        <v>#REF!</v>
      </c>
      <c r="BO144" s="1" t="e">
        <f>BN144/VLOOKUP(A144,'[68]geoMap (65)'!$A:$B,2,0)*VLOOKUP(A144,'[68]geoMap (65)'!$A:$C,3,0)</f>
        <v>#REF!</v>
      </c>
      <c r="BP144" s="1" t="e">
        <f>BO144/VLOOKUP(A144,'[69]geoMap (66)'!$A:$B,2,0)*VLOOKUP(A144,'[69]geoMap (66)'!$A:$C,3,0)</f>
        <v>#REF!</v>
      </c>
    </row>
    <row r="145" spans="1:68" hidden="1" x14ac:dyDescent="0.2">
      <c r="A145" s="1" t="s">
        <v>121</v>
      </c>
      <c r="B145" s="1" t="e">
        <f>VLOOKUP(A145,[3]geoMap!$A:$B,2,0)*Notes!$C$6</f>
        <v>#REF!</v>
      </c>
      <c r="C145" s="1" t="e">
        <f>B145/VLOOKUP(A145,'[4]geoMap (1)'!$A:$B,2,0)*VLOOKUP(A145,'[4]geoMap (1)'!$A:$C,3,0)</f>
        <v>#REF!</v>
      </c>
      <c r="D145" s="1" t="e">
        <f>C145/VLOOKUP(A145,'[5]geoMap (2)'!$A:$B,2,0)*VLOOKUP(A145,'[5]geoMap (2)'!$A:$C,3,0)</f>
        <v>#REF!</v>
      </c>
      <c r="E145" s="1" t="e">
        <f>D145/VLOOKUP(A145,'[6]geoMap (3)'!$A:$B,2,0)*VLOOKUP(A145,'[6]geoMap (3)'!$A:$C,3,0)</f>
        <v>#REF!</v>
      </c>
      <c r="F145" s="1" t="e">
        <f>E145/VLOOKUP(A145,'[7]geoMap (4)'!$A:$B,2,0)*VLOOKUP(A145,'[7]geoMap (4)'!$A:$C,3,0)</f>
        <v>#REF!</v>
      </c>
      <c r="G145" s="1" t="e">
        <f>F145/VLOOKUP(A145,'[8]geoMap (5)'!$A:$B,2,0)*VLOOKUP(A145,'[8]geoMap (5)'!$A:$C,3,0)</f>
        <v>#REF!</v>
      </c>
      <c r="H145" s="1" t="e">
        <f>G145/VLOOKUP(A145,'[9]geoMap (6)'!$A:$B,2,0)*VLOOKUP(A145,'[9]geoMap (6)'!$A:$C,3,0)</f>
        <v>#REF!</v>
      </c>
      <c r="I145" s="1" t="e">
        <f>H145/VLOOKUP(A145,'[10]geoMap (7)'!$A:$B,2,0)*VLOOKUP(A145,'[10]geoMap (7)'!$A:$C,3,0)</f>
        <v>#REF!</v>
      </c>
      <c r="J145" s="1" t="e">
        <f>I145/VLOOKUP(A145,'[11]geoMap (8)'!$A:$B,2,0)*VLOOKUP(A145,'[11]geoMap (8)'!$A:$C,3,0)</f>
        <v>#REF!</v>
      </c>
      <c r="K145" s="1" t="e">
        <f>J145/VLOOKUP(A145,'[12]geoMap (9)'!$A:$B,2,0)*VLOOKUP(A145,'[12]geoMap (9)'!$A:$C,3,0)</f>
        <v>#REF!</v>
      </c>
      <c r="L145" s="1" t="e">
        <f>K145/VLOOKUP(A145,'[13]geoMap (10)'!$A:$B,2,0)*VLOOKUP(A145,'[13]geoMap (10)'!$A:$C,3,0)</f>
        <v>#REF!</v>
      </c>
      <c r="M145" s="1" t="e">
        <f>L145/VLOOKUP(A145,'[14]geoMap (11)'!$A:$B,2,0)*VLOOKUP(A145,'[14]geoMap (11)'!$A:$C,3,0)</f>
        <v>#REF!</v>
      </c>
      <c r="N145" s="1" t="e">
        <f>M145/VLOOKUP(A145,'[15]geoMap (12)'!$A:$B,2,0)*VLOOKUP(A145,'[15]geoMap (12)'!$A:$C,3,0)</f>
        <v>#REF!</v>
      </c>
      <c r="O145" s="1" t="e">
        <f>N145/VLOOKUP(A145,'[16]geoMap (13)'!$A:$B,2,0)*VLOOKUP(A145,'[16]geoMap (13)'!$A:$C,3,0)</f>
        <v>#REF!</v>
      </c>
      <c r="P145" s="1" t="e">
        <f>O145/VLOOKUP(A145,'[17]geoMap (14)'!$A:$B,2,0)*VLOOKUP(A145,'[17]geoMap (14)'!$A:$C,3,0)</f>
        <v>#REF!</v>
      </c>
      <c r="Q145" s="1" t="e">
        <f>P145/VLOOKUP(A145,'[18]geoMap (15)'!$A:$B,2,0)*VLOOKUP(A145,'[18]geoMap (15)'!$A:$C,3,0)</f>
        <v>#REF!</v>
      </c>
      <c r="R145" s="1" t="e">
        <f>Q145/VLOOKUP(A145,'[19]geoMap (16)'!$A:$B,2,0)*VLOOKUP(A145,'[19]geoMap (16)'!$A:$C,3,0)</f>
        <v>#REF!</v>
      </c>
      <c r="S145" s="1" t="e">
        <f>R145/VLOOKUP(A145,'[20]geoMap (17)'!$A:$B,2,0)*VLOOKUP(A145,'[20]geoMap (17)'!$A:$C,3,0)</f>
        <v>#REF!</v>
      </c>
      <c r="T145" s="1" t="e">
        <f>S145/VLOOKUP(A145,'[21]geoMap (18)'!$A:$B,2,0)*VLOOKUP(A145,'[21]geoMap (18)'!$A:$C,3,0)</f>
        <v>#REF!</v>
      </c>
      <c r="U145" s="1" t="e">
        <f>T145/VLOOKUP(A145,'[22]geoMap (19)'!$A:$B,2,0)*VLOOKUP(A145,'[22]geoMap (19)'!$A:$C,3,0)</f>
        <v>#REF!</v>
      </c>
      <c r="V145" s="1" t="e">
        <f>U145/VLOOKUP(A145,'[23]geoMap (20)'!$A:$B,2,0)*VLOOKUP(A145,'[23]geoMap (20)'!$A:$C,3,0)</f>
        <v>#REF!</v>
      </c>
      <c r="W145" s="1" t="e">
        <f>V145/VLOOKUP(A145,'[24]geoMap (21)'!$A:$B,2,0)*VLOOKUP(A145,'[24]geoMap (21)'!$A:$C,3,0)</f>
        <v>#REF!</v>
      </c>
      <c r="X145" s="1" t="e">
        <f>W145/VLOOKUP(A145,'[25]geoMap (22)'!$A:$B,2,0)*VLOOKUP(A145,'[25]geoMap (22)'!$A:$C,3,0)</f>
        <v>#REF!</v>
      </c>
      <c r="Y145" s="1" t="e">
        <f>X145/VLOOKUP(A145,'[26]geoMap (23)'!$A:$B,2,0)*VLOOKUP(A145,'[26]geoMap (23)'!$A:$C,3,0)</f>
        <v>#REF!</v>
      </c>
      <c r="Z145" s="1" t="e">
        <f>Y145/VLOOKUP(A145,'[27]geoMap (24)'!$A:$B,2,0)*VLOOKUP(A145,'[27]geoMap (24)'!$A:$C,3,0)</f>
        <v>#REF!</v>
      </c>
      <c r="AA145" s="1" t="e">
        <f>Z145/VLOOKUP(A145,'[28]geoMap (25)'!$A:$B,2,0)*VLOOKUP(A145,'[28]geoMap (25)'!$A:$C,3,0)</f>
        <v>#REF!</v>
      </c>
      <c r="AB145" s="1" t="e">
        <f>AA145*VLOOKUP(A145,'[29]geoMap (26)'!$A:$B,2,0)*VLOOKUP(A145,'[29]geoMap (26)'!$A:$C,3,0)</f>
        <v>#REF!</v>
      </c>
      <c r="AC145" s="1" t="e">
        <f>AB145/VLOOKUP(A145,'[30]geoMap (27)'!$A:$B,2,0)*VLOOKUP(A145,'[30]geoMap (27)'!$A:$C,3,0)</f>
        <v>#REF!</v>
      </c>
      <c r="AD145" s="1" t="e">
        <f>AC145/VLOOKUP(A145,'[31]geoMap (28)'!$A:$B,2,0)*VLOOKUP(A145,'[31]geoMap (28)'!$A:$C,3,0)</f>
        <v>#REF!</v>
      </c>
      <c r="AE145" s="1" t="e">
        <f>AD145/VLOOKUP(A145,'[32]geoMap (29)'!$A:$B,2,0)*VLOOKUP(A145,'[32]geoMap (29)'!$A:$C,3,0)</f>
        <v>#REF!</v>
      </c>
      <c r="AF145" s="1" t="e">
        <f>AE145/VLOOKUP(A145,'[33]geoMap (30)'!$A:$B,2,0)*VLOOKUP(A145,'[33]geoMap (30)'!$A:$C,3,0)</f>
        <v>#REF!</v>
      </c>
      <c r="AG145" s="1" t="e">
        <f>AF145/VLOOKUP(A145,'[34]geoMap (31)'!$A:$B,2,0)*VLOOKUP(A145,'[34]geoMap (31)'!$A:$C,3,0)</f>
        <v>#REF!</v>
      </c>
      <c r="AH145" s="1" t="e">
        <f>AG145/VLOOKUP(A145,'[35]geoMap (32)'!$A:$B,2,0)*VLOOKUP(A145,'[35]geoMap (32)'!$A:$C,3,0)</f>
        <v>#REF!</v>
      </c>
      <c r="AI145" s="1" t="e">
        <f>AH145/VLOOKUP(A145,'[36]geoMap (33)'!$A:$B,2,0)*VLOOKUP(A145,'[36]geoMap (33)'!$A:$C,3,0)</f>
        <v>#REF!</v>
      </c>
      <c r="AJ145" s="1" t="e">
        <f>AI145/VLOOKUP(A145,'[37]geoMap (34)'!$A:$B,2,0)*VLOOKUP(A145,'[37]geoMap (34)'!$A:$C,3,0)</f>
        <v>#REF!</v>
      </c>
      <c r="AK145" s="1" t="e">
        <f>AJ145/VLOOKUP(A145,'[38]geoMap (35)'!$A:$B,2,0)*VLOOKUP(A145,'[38]geoMap (35)'!$A:$C,3,0)</f>
        <v>#REF!</v>
      </c>
      <c r="AL145" s="1" t="e">
        <f>AK145/VLOOKUP(A145,'[39]geoMap (36)'!$A:$B,2,0)*VLOOKUP(A145,'[39]geoMap (36)'!$A:$C,3,0)</f>
        <v>#REF!</v>
      </c>
      <c r="AM145" s="1" t="e">
        <f>AL145/VLOOKUP(A145,'[40]geoMap (37)'!$A:$B,2,0)*VLOOKUP(A145,'[40]geoMap (37)'!$A:$C,3,0)</f>
        <v>#REF!</v>
      </c>
      <c r="AN145" s="1" t="e">
        <f>AM145/VLOOKUP(A145,'[41]geoMap (38)'!$A:$B,2,0)*VLOOKUP(A145,'[41]geoMap (38)'!$A:$C,3,0)</f>
        <v>#REF!</v>
      </c>
      <c r="AO145" s="1" t="e">
        <f>AN145/VLOOKUP(A145,'[42]geoMap (39)'!$A:$B,2,0)*VLOOKUP(A145,'[42]geoMap (39)'!$A:$C,3,0)</f>
        <v>#REF!</v>
      </c>
      <c r="AP145" s="1" t="e">
        <f>AO145/VLOOKUP(A145,'[43]geoMap (40)'!$A:$B,2,0)*VLOOKUP(A145,'[43]geoMap (40)'!$A:$C,3,0)</f>
        <v>#REF!</v>
      </c>
      <c r="AQ145" s="1" t="e">
        <f>AP145/VLOOKUP(A145,'[44]geoMap (41)'!$A:$B,2,0)*VLOOKUP(A145,'[44]geoMap (41)'!$A:$C,3,0)</f>
        <v>#REF!</v>
      </c>
      <c r="AR145" s="1" t="e">
        <f>AQ145/VLOOKUP(A145,'[45]geoMap (42)'!$A:$B,2,0)*VLOOKUP(A145,'[45]geoMap (42)'!$A:$C,3,0)</f>
        <v>#REF!</v>
      </c>
      <c r="AS145" s="1" t="e">
        <f>AR145/VLOOKUP(A145,'[46]geoMap (43)'!$A:$B,2,0)*VLOOKUP(A145,'[46]geoMap (43)'!$A:$C,3,0)</f>
        <v>#REF!</v>
      </c>
      <c r="AT145" s="1" t="e">
        <f>AS145/VLOOKUP(A145,'[47]geoMap (44)'!$A:$B,2,0)*VLOOKUP(A145,'[47]geoMap (44)'!$A:$C,3,0)</f>
        <v>#REF!</v>
      </c>
      <c r="AU145" s="1" t="e">
        <f>AT145/VLOOKUP(A145,'[48]geoMap (45)'!$A:$B,2,0)*VLOOKUP(A145,'[48]geoMap (45)'!$A:$C,3,0)</f>
        <v>#REF!</v>
      </c>
      <c r="AV145" s="1" t="e">
        <f>AU145/VLOOKUP(A145,'[49]geoMap (46)'!$A:$B,2,0)*VLOOKUP(A145,'[49]geoMap (46)'!$A:$C,3,0)</f>
        <v>#REF!</v>
      </c>
      <c r="AW145" s="1" t="e">
        <f>AV145/VLOOKUP(A145,'[50]geoMap (47)'!$A:$B,2,0)*VLOOKUP(A145,'[50]geoMap (47)'!$A:$C,3,0)</f>
        <v>#REF!</v>
      </c>
      <c r="AX145" s="1" t="e">
        <f>AW145/VLOOKUP(A145,'[51]geoMap (48)'!$A:$B,2,0)*VLOOKUP(A145,'[51]geoMap (48)'!$A:$C,3,0)</f>
        <v>#REF!</v>
      </c>
      <c r="AY145" s="1" t="e">
        <f>AX145/VLOOKUP(A145,'[52]geoMap (49)'!$A:$B,2,0)*VLOOKUP(A145,'[52]geoMap (49)'!$A:$C,3,0)</f>
        <v>#REF!</v>
      </c>
      <c r="AZ145" s="1" t="e">
        <f>AY145/VLOOKUP(A145,'[53]geoMap (50)'!$A:$B,2,0)*VLOOKUP(A145,'[53]geoMap (50)'!$A:$C,3,0)</f>
        <v>#REF!</v>
      </c>
      <c r="BA145" s="1" t="e">
        <f>AZ145/VLOOKUP(A145,'[54]geoMap (51)'!$A:$B,2,0)*VLOOKUP(A145,'[54]geoMap (51)'!$A:$C,3,0)</f>
        <v>#REF!</v>
      </c>
      <c r="BB145" s="1" t="e">
        <f>BA145/VLOOKUP(A145,'[55]geoMap (52)'!$A:$B,2,0)*VLOOKUP(A145,'[55]geoMap (52)'!$A:$C,3,0)</f>
        <v>#REF!</v>
      </c>
      <c r="BC145" s="1" t="e">
        <f>BB145/VLOOKUP(A145,'[56]geoMap (53)'!$A:$B,2,0)*VLOOKUP(A145,'[56]geoMap (53)'!$A:$C,3,0)</f>
        <v>#REF!</v>
      </c>
      <c r="BD145" s="1" t="e">
        <f>BC145/VLOOKUP(A145,'[57]geoMap (54)'!$A:$B,2,0)*VLOOKUP(A145,'[57]geoMap (54)'!$A:$C,3,0)</f>
        <v>#REF!</v>
      </c>
      <c r="BE145" s="1" t="e">
        <f>BD145/VLOOKUP(A145,'[58]geoMap (55)'!$A:$B,2,0)*VLOOKUP(A145,'[58]geoMap (55)'!$A:$C,3,0)</f>
        <v>#REF!</v>
      </c>
      <c r="BF145" s="1" t="e">
        <f>BE145/VLOOKUP(A145,'[59]geoMap (56)'!$A:$B,2,0)*VLOOKUP(A145,'[59]geoMap (56)'!$A:$C,3,0)</f>
        <v>#REF!</v>
      </c>
      <c r="BG145" s="1" t="e">
        <f>BF145/VLOOKUP(A145,'[60]geoMap (57)'!$A:$B,2,0)*VLOOKUP(A145,'[60]geoMap (57)'!$A:$C,3,0)</f>
        <v>#REF!</v>
      </c>
      <c r="BH145" s="1" t="e">
        <f>BG145/VLOOKUP(A145,'[61]geoMap (58)'!$A:$B,2,0)*VLOOKUP(A145,'[61]geoMap (58)'!$A:$C,3,0)</f>
        <v>#REF!</v>
      </c>
      <c r="BI145" s="1" t="e">
        <f>BH145/VLOOKUP(A145,'[62]geoMap (59)'!$A:$B,2,0)*VLOOKUP(A145,'[62]geoMap (59)'!$A:$C,3,0)</f>
        <v>#REF!</v>
      </c>
      <c r="BJ145" s="1" t="e">
        <f>BI145/VLOOKUP(A145,'[63]geoMap (60)'!$A:$B,2,0)*VLOOKUP(A145,'[63]geoMap (60)'!$A:$C,3,0)</f>
        <v>#REF!</v>
      </c>
      <c r="BK145" s="1" t="e">
        <f>BJ145/VLOOKUP(A145,'[64]geoMap (61)'!$A:$B,2,0)*VLOOKUP(A145,'[64]geoMap (61)'!$A:$C,3,0)</f>
        <v>#REF!</v>
      </c>
      <c r="BL145" s="1" t="e">
        <f>BK145/VLOOKUP(A145,'[65]geoMap (62)'!$A:$B,2,0)*VLOOKUP(A145,'[65]geoMap (62)'!$A:$C,3,0)</f>
        <v>#REF!</v>
      </c>
      <c r="BM145" s="1" t="e">
        <f>BL145/VLOOKUP(A145,'[66]geoMap (63)'!$A:$B,2,0)*VLOOKUP(A145,'[66]geoMap (63)'!$A:$C,3,0)</f>
        <v>#REF!</v>
      </c>
      <c r="BN145" s="1" t="e">
        <f>BM145/VLOOKUP(A145,'[67]geoMap (64)'!$A:$B,2,0)*VLOOKUP(A145,'[67]geoMap (64)'!$A:$C,3,0)</f>
        <v>#REF!</v>
      </c>
      <c r="BO145" s="1" t="e">
        <f>BN145/VLOOKUP(A145,'[68]geoMap (65)'!$A:$B,2,0)*VLOOKUP(A145,'[68]geoMap (65)'!$A:$C,3,0)</f>
        <v>#REF!</v>
      </c>
      <c r="BP145" s="1" t="e">
        <f>BO145/VLOOKUP(A145,'[69]geoMap (66)'!$A:$B,2,0)*VLOOKUP(A145,'[69]geoMap (66)'!$A:$C,3,0)</f>
        <v>#REF!</v>
      </c>
    </row>
    <row r="146" spans="1:68" hidden="1" x14ac:dyDescent="0.2">
      <c r="A146" s="1" t="s">
        <v>124</v>
      </c>
      <c r="B146" s="1" t="e">
        <f>VLOOKUP(A146,[3]geoMap!$A:$B,2,0)*Notes!$C$6</f>
        <v>#REF!</v>
      </c>
      <c r="C146" s="1" t="e">
        <f>B146/VLOOKUP(A146,'[4]geoMap (1)'!$A:$B,2,0)*VLOOKUP(A146,'[4]geoMap (1)'!$A:$C,3,0)</f>
        <v>#REF!</v>
      </c>
      <c r="D146" s="1" t="e">
        <f>C146/VLOOKUP(A146,'[5]geoMap (2)'!$A:$B,2,0)*VLOOKUP(A146,'[5]geoMap (2)'!$A:$C,3,0)</f>
        <v>#REF!</v>
      </c>
      <c r="E146" s="1" t="e">
        <f>D146/VLOOKUP(A146,'[6]geoMap (3)'!$A:$B,2,0)*VLOOKUP(A146,'[6]geoMap (3)'!$A:$C,3,0)</f>
        <v>#REF!</v>
      </c>
      <c r="F146" s="1" t="e">
        <f>E146/VLOOKUP(A146,'[7]geoMap (4)'!$A:$B,2,0)*VLOOKUP(A146,'[7]geoMap (4)'!$A:$C,3,0)</f>
        <v>#REF!</v>
      </c>
      <c r="G146" s="1" t="e">
        <f>F146/VLOOKUP(A146,'[8]geoMap (5)'!$A:$B,2,0)*VLOOKUP(A146,'[8]geoMap (5)'!$A:$C,3,0)</f>
        <v>#REF!</v>
      </c>
      <c r="H146" s="1" t="e">
        <f>G146/VLOOKUP(A146,'[9]geoMap (6)'!$A:$B,2,0)*VLOOKUP(A146,'[9]geoMap (6)'!$A:$C,3,0)</f>
        <v>#REF!</v>
      </c>
      <c r="I146" s="1" t="e">
        <f>H146/VLOOKUP(A146,'[10]geoMap (7)'!$A:$B,2,0)*VLOOKUP(A146,'[10]geoMap (7)'!$A:$C,3,0)</f>
        <v>#REF!</v>
      </c>
      <c r="J146" s="1" t="e">
        <f>I146/VLOOKUP(A146,'[11]geoMap (8)'!$A:$B,2,0)*VLOOKUP(A146,'[11]geoMap (8)'!$A:$C,3,0)</f>
        <v>#REF!</v>
      </c>
      <c r="K146" s="1" t="e">
        <f>J146/VLOOKUP(A146,'[12]geoMap (9)'!$A:$B,2,0)*VLOOKUP(A146,'[12]geoMap (9)'!$A:$C,3,0)</f>
        <v>#REF!</v>
      </c>
      <c r="L146" s="1" t="e">
        <f>K146/VLOOKUP(A146,'[13]geoMap (10)'!$A:$B,2,0)*VLOOKUP(A146,'[13]geoMap (10)'!$A:$C,3,0)</f>
        <v>#REF!</v>
      </c>
      <c r="M146" s="1" t="e">
        <f>L146/VLOOKUP(A146,'[14]geoMap (11)'!$A:$B,2,0)*VLOOKUP(A146,'[14]geoMap (11)'!$A:$C,3,0)</f>
        <v>#REF!</v>
      </c>
      <c r="N146" s="1" t="e">
        <f>M146/VLOOKUP(A146,'[15]geoMap (12)'!$A:$B,2,0)*VLOOKUP(A146,'[15]geoMap (12)'!$A:$C,3,0)</f>
        <v>#REF!</v>
      </c>
      <c r="O146" s="1" t="e">
        <f>N146/VLOOKUP(A146,'[16]geoMap (13)'!$A:$B,2,0)*VLOOKUP(A146,'[16]geoMap (13)'!$A:$C,3,0)</f>
        <v>#REF!</v>
      </c>
      <c r="P146" s="1" t="e">
        <f>O146/VLOOKUP(A146,'[17]geoMap (14)'!$A:$B,2,0)*VLOOKUP(A146,'[17]geoMap (14)'!$A:$C,3,0)</f>
        <v>#REF!</v>
      </c>
      <c r="Q146" s="1" t="e">
        <f>P146/VLOOKUP(A146,'[18]geoMap (15)'!$A:$B,2,0)*VLOOKUP(A146,'[18]geoMap (15)'!$A:$C,3,0)</f>
        <v>#REF!</v>
      </c>
      <c r="R146" s="1" t="e">
        <f>Q146/VLOOKUP(A146,'[19]geoMap (16)'!$A:$B,2,0)*VLOOKUP(A146,'[19]geoMap (16)'!$A:$C,3,0)</f>
        <v>#REF!</v>
      </c>
      <c r="S146" s="1" t="e">
        <f>R146/VLOOKUP(A146,'[20]geoMap (17)'!$A:$B,2,0)*VLOOKUP(A146,'[20]geoMap (17)'!$A:$C,3,0)</f>
        <v>#REF!</v>
      </c>
      <c r="T146" s="1" t="e">
        <f>S146/VLOOKUP(A146,'[21]geoMap (18)'!$A:$B,2,0)*VLOOKUP(A146,'[21]geoMap (18)'!$A:$C,3,0)</f>
        <v>#REF!</v>
      </c>
      <c r="U146" s="1" t="e">
        <f>T146/VLOOKUP(A146,'[22]geoMap (19)'!$A:$B,2,0)*VLOOKUP(A146,'[22]geoMap (19)'!$A:$C,3,0)</f>
        <v>#REF!</v>
      </c>
      <c r="V146" s="1" t="e">
        <f>U146/VLOOKUP(A146,'[23]geoMap (20)'!$A:$B,2,0)*VLOOKUP(A146,'[23]geoMap (20)'!$A:$C,3,0)</f>
        <v>#REF!</v>
      </c>
      <c r="W146" s="1" t="e">
        <f>V146/VLOOKUP(A146,'[24]geoMap (21)'!$A:$B,2,0)*VLOOKUP(A146,'[24]geoMap (21)'!$A:$C,3,0)</f>
        <v>#REF!</v>
      </c>
      <c r="X146" s="1" t="e">
        <f>W146/VLOOKUP(A146,'[25]geoMap (22)'!$A:$B,2,0)*VLOOKUP(A146,'[25]geoMap (22)'!$A:$C,3,0)</f>
        <v>#REF!</v>
      </c>
      <c r="Y146" s="1" t="e">
        <f>X146/VLOOKUP(A146,'[26]geoMap (23)'!$A:$B,2,0)*VLOOKUP(A146,'[26]geoMap (23)'!$A:$C,3,0)</f>
        <v>#REF!</v>
      </c>
      <c r="Z146" s="1" t="e">
        <f>Y146/VLOOKUP(A146,'[27]geoMap (24)'!$A:$B,2,0)*VLOOKUP(A146,'[27]geoMap (24)'!$A:$C,3,0)</f>
        <v>#REF!</v>
      </c>
      <c r="AA146" s="1" t="e">
        <f>Z146/VLOOKUP(A146,'[28]geoMap (25)'!$A:$B,2,0)*VLOOKUP(A146,'[28]geoMap (25)'!$A:$C,3,0)</f>
        <v>#REF!</v>
      </c>
      <c r="AB146" s="1" t="e">
        <f>AA146*VLOOKUP(A146,'[29]geoMap (26)'!$A:$B,2,0)*VLOOKUP(A146,'[29]geoMap (26)'!$A:$C,3,0)</f>
        <v>#REF!</v>
      </c>
      <c r="AC146" s="1" t="e">
        <f>AB146/VLOOKUP(A146,'[30]geoMap (27)'!$A:$B,2,0)*VLOOKUP(A146,'[30]geoMap (27)'!$A:$C,3,0)</f>
        <v>#REF!</v>
      </c>
      <c r="AD146" s="1" t="e">
        <f>AC146/VLOOKUP(A146,'[31]geoMap (28)'!$A:$B,2,0)*VLOOKUP(A146,'[31]geoMap (28)'!$A:$C,3,0)</f>
        <v>#REF!</v>
      </c>
      <c r="AE146" s="1" t="e">
        <f>AD146/VLOOKUP(A146,'[32]geoMap (29)'!$A:$B,2,0)*VLOOKUP(A146,'[32]geoMap (29)'!$A:$C,3,0)</f>
        <v>#REF!</v>
      </c>
      <c r="AF146" s="1" t="e">
        <f>AE146/VLOOKUP(A146,'[33]geoMap (30)'!$A:$B,2,0)*VLOOKUP(A146,'[33]geoMap (30)'!$A:$C,3,0)</f>
        <v>#REF!</v>
      </c>
      <c r="AG146" s="1" t="e">
        <f>AF146/VLOOKUP(A146,'[34]geoMap (31)'!$A:$B,2,0)*VLOOKUP(A146,'[34]geoMap (31)'!$A:$C,3,0)</f>
        <v>#REF!</v>
      </c>
      <c r="AH146" s="1" t="e">
        <f>AG146/VLOOKUP(A146,'[35]geoMap (32)'!$A:$B,2,0)*VLOOKUP(A146,'[35]geoMap (32)'!$A:$C,3,0)</f>
        <v>#REF!</v>
      </c>
      <c r="AI146" s="1" t="e">
        <f>AH146/VLOOKUP(A146,'[36]geoMap (33)'!$A:$B,2,0)*VLOOKUP(A146,'[36]geoMap (33)'!$A:$C,3,0)</f>
        <v>#REF!</v>
      </c>
      <c r="AJ146" s="1" t="e">
        <f>AI146/VLOOKUP(A146,'[37]geoMap (34)'!$A:$B,2,0)*VLOOKUP(A146,'[37]geoMap (34)'!$A:$C,3,0)</f>
        <v>#REF!</v>
      </c>
      <c r="AK146" s="1" t="e">
        <f>AJ146/VLOOKUP(A146,'[38]geoMap (35)'!$A:$B,2,0)*VLOOKUP(A146,'[38]geoMap (35)'!$A:$C,3,0)</f>
        <v>#REF!</v>
      </c>
      <c r="AL146" s="1" t="e">
        <f>AK146/VLOOKUP(A146,'[39]geoMap (36)'!$A:$B,2,0)*VLOOKUP(A146,'[39]geoMap (36)'!$A:$C,3,0)</f>
        <v>#REF!</v>
      </c>
      <c r="AM146" s="1" t="e">
        <f>AL146/VLOOKUP(A146,'[40]geoMap (37)'!$A:$B,2,0)*VLOOKUP(A146,'[40]geoMap (37)'!$A:$C,3,0)</f>
        <v>#REF!</v>
      </c>
      <c r="AN146" s="1" t="e">
        <f>AM146/VLOOKUP(A146,'[41]geoMap (38)'!$A:$B,2,0)*VLOOKUP(A146,'[41]geoMap (38)'!$A:$C,3,0)</f>
        <v>#REF!</v>
      </c>
      <c r="AO146" s="1" t="e">
        <f>AN146/VLOOKUP(A146,'[42]geoMap (39)'!$A:$B,2,0)*VLOOKUP(A146,'[42]geoMap (39)'!$A:$C,3,0)</f>
        <v>#REF!</v>
      </c>
      <c r="AP146" s="1" t="e">
        <f>AO146/VLOOKUP(A146,'[43]geoMap (40)'!$A:$B,2,0)*VLOOKUP(A146,'[43]geoMap (40)'!$A:$C,3,0)</f>
        <v>#REF!</v>
      </c>
      <c r="AQ146" s="1" t="e">
        <f>AP146/VLOOKUP(A146,'[44]geoMap (41)'!$A:$B,2,0)*VLOOKUP(A146,'[44]geoMap (41)'!$A:$C,3,0)</f>
        <v>#REF!</v>
      </c>
      <c r="AR146" s="1" t="e">
        <f>AQ146/VLOOKUP(A146,'[45]geoMap (42)'!$A:$B,2,0)*VLOOKUP(A146,'[45]geoMap (42)'!$A:$C,3,0)</f>
        <v>#REF!</v>
      </c>
      <c r="AS146" s="1" t="e">
        <f>AR146/VLOOKUP(A146,'[46]geoMap (43)'!$A:$B,2,0)*VLOOKUP(A146,'[46]geoMap (43)'!$A:$C,3,0)</f>
        <v>#REF!</v>
      </c>
      <c r="AT146" s="1" t="e">
        <f>AS146/VLOOKUP(A146,'[47]geoMap (44)'!$A:$B,2,0)*VLOOKUP(A146,'[47]geoMap (44)'!$A:$C,3,0)</f>
        <v>#REF!</v>
      </c>
      <c r="AU146" s="1" t="e">
        <f>AT146/VLOOKUP(A146,'[48]geoMap (45)'!$A:$B,2,0)*VLOOKUP(A146,'[48]geoMap (45)'!$A:$C,3,0)</f>
        <v>#REF!</v>
      </c>
      <c r="AV146" s="1" t="e">
        <f>AU146/VLOOKUP(A146,'[49]geoMap (46)'!$A:$B,2,0)*VLOOKUP(A146,'[49]geoMap (46)'!$A:$C,3,0)</f>
        <v>#REF!</v>
      </c>
      <c r="AW146" s="1" t="e">
        <f>AV146/VLOOKUP(A146,'[50]geoMap (47)'!$A:$B,2,0)*VLOOKUP(A146,'[50]geoMap (47)'!$A:$C,3,0)</f>
        <v>#REF!</v>
      </c>
      <c r="AX146" s="1" t="e">
        <f>AW146/VLOOKUP(A146,'[51]geoMap (48)'!$A:$B,2,0)*VLOOKUP(A146,'[51]geoMap (48)'!$A:$C,3,0)</f>
        <v>#REF!</v>
      </c>
      <c r="AY146" s="1" t="e">
        <f>AX146/VLOOKUP(A146,'[52]geoMap (49)'!$A:$B,2,0)*VLOOKUP(A146,'[52]geoMap (49)'!$A:$C,3,0)</f>
        <v>#REF!</v>
      </c>
      <c r="AZ146" s="1" t="e">
        <f>AY146/VLOOKUP(A146,'[53]geoMap (50)'!$A:$B,2,0)*VLOOKUP(A146,'[53]geoMap (50)'!$A:$C,3,0)</f>
        <v>#REF!</v>
      </c>
      <c r="BA146" s="1" t="e">
        <f>AZ146/VLOOKUP(A146,'[54]geoMap (51)'!$A:$B,2,0)*VLOOKUP(A146,'[54]geoMap (51)'!$A:$C,3,0)</f>
        <v>#REF!</v>
      </c>
      <c r="BB146" s="1" t="e">
        <f>BA146/VLOOKUP(A146,'[55]geoMap (52)'!$A:$B,2,0)*VLOOKUP(A146,'[55]geoMap (52)'!$A:$C,3,0)</f>
        <v>#REF!</v>
      </c>
      <c r="BC146" s="1" t="e">
        <f>BB146/VLOOKUP(A146,'[56]geoMap (53)'!$A:$B,2,0)*VLOOKUP(A146,'[56]geoMap (53)'!$A:$C,3,0)</f>
        <v>#REF!</v>
      </c>
      <c r="BD146" s="1" t="e">
        <f>BC146/VLOOKUP(A146,'[57]geoMap (54)'!$A:$B,2,0)*VLOOKUP(A146,'[57]geoMap (54)'!$A:$C,3,0)</f>
        <v>#REF!</v>
      </c>
      <c r="BE146" s="1" t="e">
        <f>BD146/VLOOKUP(A146,'[58]geoMap (55)'!$A:$B,2,0)*VLOOKUP(A146,'[58]geoMap (55)'!$A:$C,3,0)</f>
        <v>#REF!</v>
      </c>
      <c r="BF146" s="1" t="e">
        <f>BE146/VLOOKUP(A146,'[59]geoMap (56)'!$A:$B,2,0)*VLOOKUP(A146,'[59]geoMap (56)'!$A:$C,3,0)</f>
        <v>#REF!</v>
      </c>
      <c r="BG146" s="1" t="e">
        <f>BF146/VLOOKUP(A146,'[60]geoMap (57)'!$A:$B,2,0)*VLOOKUP(A146,'[60]geoMap (57)'!$A:$C,3,0)</f>
        <v>#REF!</v>
      </c>
      <c r="BH146" s="1" t="e">
        <f>BG146/VLOOKUP(A146,'[61]geoMap (58)'!$A:$B,2,0)*VLOOKUP(A146,'[61]geoMap (58)'!$A:$C,3,0)</f>
        <v>#REF!</v>
      </c>
      <c r="BI146" s="1" t="e">
        <f>BH146/VLOOKUP(A146,'[62]geoMap (59)'!$A:$B,2,0)*VLOOKUP(A146,'[62]geoMap (59)'!$A:$C,3,0)</f>
        <v>#REF!</v>
      </c>
      <c r="BJ146" s="1" t="e">
        <f>BI146/VLOOKUP(A146,'[63]geoMap (60)'!$A:$B,2,0)*VLOOKUP(A146,'[63]geoMap (60)'!$A:$C,3,0)</f>
        <v>#REF!</v>
      </c>
      <c r="BK146" s="1" t="e">
        <f>BJ146/VLOOKUP(A146,'[64]geoMap (61)'!$A:$B,2,0)*VLOOKUP(A146,'[64]geoMap (61)'!$A:$C,3,0)</f>
        <v>#REF!</v>
      </c>
      <c r="BL146" s="1" t="e">
        <f>BK146/VLOOKUP(A146,'[65]geoMap (62)'!$A:$B,2,0)*VLOOKUP(A146,'[65]geoMap (62)'!$A:$C,3,0)</f>
        <v>#REF!</v>
      </c>
      <c r="BM146" s="1" t="e">
        <f>BL146/VLOOKUP(A146,'[66]geoMap (63)'!$A:$B,2,0)*VLOOKUP(A146,'[66]geoMap (63)'!$A:$C,3,0)</f>
        <v>#REF!</v>
      </c>
      <c r="BN146" s="1" t="e">
        <f>BM146/VLOOKUP(A146,'[67]geoMap (64)'!$A:$B,2,0)*VLOOKUP(A146,'[67]geoMap (64)'!$A:$C,3,0)</f>
        <v>#REF!</v>
      </c>
      <c r="BO146" s="1" t="e">
        <f>BN146/VLOOKUP(A146,'[68]geoMap (65)'!$A:$B,2,0)*VLOOKUP(A146,'[68]geoMap (65)'!$A:$C,3,0)</f>
        <v>#REF!</v>
      </c>
      <c r="BP146" s="1" t="e">
        <f>BO146/VLOOKUP(A146,'[69]geoMap (66)'!$A:$B,2,0)*VLOOKUP(A146,'[69]geoMap (66)'!$A:$C,3,0)</f>
        <v>#REF!</v>
      </c>
    </row>
    <row r="147" spans="1:68" hidden="1" x14ac:dyDescent="0.2">
      <c r="A147" s="1" t="s">
        <v>130</v>
      </c>
      <c r="B147" s="1" t="e">
        <f>VLOOKUP(A147,[3]geoMap!$A:$B,2,0)*Notes!$C$6</f>
        <v>#REF!</v>
      </c>
      <c r="C147" s="1" t="e">
        <f>B147/VLOOKUP(A147,'[4]geoMap (1)'!$A:$B,2,0)*VLOOKUP(A147,'[4]geoMap (1)'!$A:$C,3,0)</f>
        <v>#REF!</v>
      </c>
      <c r="D147" s="1" t="e">
        <f>C147/VLOOKUP(A147,'[5]geoMap (2)'!$A:$B,2,0)*VLOOKUP(A147,'[5]geoMap (2)'!$A:$C,3,0)</f>
        <v>#REF!</v>
      </c>
      <c r="E147" s="1" t="e">
        <f>D147/VLOOKUP(A147,'[6]geoMap (3)'!$A:$B,2,0)*VLOOKUP(A147,'[6]geoMap (3)'!$A:$C,3,0)</f>
        <v>#REF!</v>
      </c>
      <c r="F147" s="1" t="e">
        <f>E147/VLOOKUP(A147,'[7]geoMap (4)'!$A:$B,2,0)*VLOOKUP(A147,'[7]geoMap (4)'!$A:$C,3,0)</f>
        <v>#REF!</v>
      </c>
      <c r="G147" s="1" t="e">
        <f>F147/VLOOKUP(A147,'[8]geoMap (5)'!$A:$B,2,0)*VLOOKUP(A147,'[8]geoMap (5)'!$A:$C,3,0)</f>
        <v>#REF!</v>
      </c>
      <c r="H147" s="1" t="e">
        <f>G147/VLOOKUP(A147,'[9]geoMap (6)'!$A:$B,2,0)*VLOOKUP(A147,'[9]geoMap (6)'!$A:$C,3,0)</f>
        <v>#REF!</v>
      </c>
      <c r="I147" s="1" t="e">
        <f>H147/VLOOKUP(A147,'[10]geoMap (7)'!$A:$B,2,0)*VLOOKUP(A147,'[10]geoMap (7)'!$A:$C,3,0)</f>
        <v>#REF!</v>
      </c>
      <c r="J147" s="1" t="e">
        <f>I147/VLOOKUP(A147,'[11]geoMap (8)'!$A:$B,2,0)*VLOOKUP(A147,'[11]geoMap (8)'!$A:$C,3,0)</f>
        <v>#REF!</v>
      </c>
      <c r="K147" s="1" t="e">
        <f>J147/VLOOKUP(A147,'[12]geoMap (9)'!$A:$B,2,0)*VLOOKUP(A147,'[12]geoMap (9)'!$A:$C,3,0)</f>
        <v>#REF!</v>
      </c>
      <c r="L147" s="1" t="e">
        <f>K147/VLOOKUP(A147,'[13]geoMap (10)'!$A:$B,2,0)*VLOOKUP(A147,'[13]geoMap (10)'!$A:$C,3,0)</f>
        <v>#REF!</v>
      </c>
      <c r="M147" s="1" t="e">
        <f>L147/VLOOKUP(A147,'[14]geoMap (11)'!$A:$B,2,0)*VLOOKUP(A147,'[14]geoMap (11)'!$A:$C,3,0)</f>
        <v>#REF!</v>
      </c>
      <c r="N147" s="1" t="e">
        <f>M147/VLOOKUP(A147,'[15]geoMap (12)'!$A:$B,2,0)*VLOOKUP(A147,'[15]geoMap (12)'!$A:$C,3,0)</f>
        <v>#REF!</v>
      </c>
      <c r="O147" s="1" t="e">
        <f>N147/VLOOKUP(A147,'[16]geoMap (13)'!$A:$B,2,0)*VLOOKUP(A147,'[16]geoMap (13)'!$A:$C,3,0)</f>
        <v>#REF!</v>
      </c>
      <c r="P147" s="1" t="e">
        <f>O147/VLOOKUP(A147,'[17]geoMap (14)'!$A:$B,2,0)*VLOOKUP(A147,'[17]geoMap (14)'!$A:$C,3,0)</f>
        <v>#REF!</v>
      </c>
      <c r="Q147" s="1" t="e">
        <f>P147/VLOOKUP(A147,'[18]geoMap (15)'!$A:$B,2,0)*VLOOKUP(A147,'[18]geoMap (15)'!$A:$C,3,0)</f>
        <v>#REF!</v>
      </c>
      <c r="R147" s="1" t="e">
        <f>Q147/VLOOKUP(A147,'[19]geoMap (16)'!$A:$B,2,0)*VLOOKUP(A147,'[19]geoMap (16)'!$A:$C,3,0)</f>
        <v>#REF!</v>
      </c>
      <c r="S147" s="1" t="e">
        <f>R147/VLOOKUP(A147,'[20]geoMap (17)'!$A:$B,2,0)*VLOOKUP(A147,'[20]geoMap (17)'!$A:$C,3,0)</f>
        <v>#REF!</v>
      </c>
      <c r="T147" s="1" t="e">
        <f>S147/VLOOKUP(A147,'[21]geoMap (18)'!$A:$B,2,0)*VLOOKUP(A147,'[21]geoMap (18)'!$A:$C,3,0)</f>
        <v>#REF!</v>
      </c>
      <c r="U147" s="1" t="e">
        <f>T147/VLOOKUP(A147,'[22]geoMap (19)'!$A:$B,2,0)*VLOOKUP(A147,'[22]geoMap (19)'!$A:$C,3,0)</f>
        <v>#REF!</v>
      </c>
      <c r="V147" s="1" t="e">
        <f>U147/VLOOKUP(A147,'[23]geoMap (20)'!$A:$B,2,0)*VLOOKUP(A147,'[23]geoMap (20)'!$A:$C,3,0)</f>
        <v>#REF!</v>
      </c>
      <c r="W147" s="1" t="e">
        <f>V147/VLOOKUP(A147,'[24]geoMap (21)'!$A:$B,2,0)*VLOOKUP(A147,'[24]geoMap (21)'!$A:$C,3,0)</f>
        <v>#REF!</v>
      </c>
      <c r="X147" s="1" t="e">
        <f>W147/VLOOKUP(A147,'[25]geoMap (22)'!$A:$B,2,0)*VLOOKUP(A147,'[25]geoMap (22)'!$A:$C,3,0)</f>
        <v>#REF!</v>
      </c>
      <c r="Y147" s="1" t="e">
        <f>X147/VLOOKUP(A147,'[26]geoMap (23)'!$A:$B,2,0)*VLOOKUP(A147,'[26]geoMap (23)'!$A:$C,3,0)</f>
        <v>#REF!</v>
      </c>
      <c r="Z147" s="1" t="e">
        <f>Y147/VLOOKUP(A147,'[27]geoMap (24)'!$A:$B,2,0)*VLOOKUP(A147,'[27]geoMap (24)'!$A:$C,3,0)</f>
        <v>#REF!</v>
      </c>
      <c r="AA147" s="1" t="e">
        <f>Z147/VLOOKUP(A147,'[28]geoMap (25)'!$A:$B,2,0)*VLOOKUP(A147,'[28]geoMap (25)'!$A:$C,3,0)</f>
        <v>#REF!</v>
      </c>
      <c r="AB147" s="1" t="e">
        <f>AA147*VLOOKUP(A147,'[29]geoMap (26)'!$A:$B,2,0)*VLOOKUP(A147,'[29]geoMap (26)'!$A:$C,3,0)</f>
        <v>#REF!</v>
      </c>
      <c r="AC147" s="1" t="e">
        <f>AB147/VLOOKUP(A147,'[30]geoMap (27)'!$A:$B,2,0)*VLOOKUP(A147,'[30]geoMap (27)'!$A:$C,3,0)</f>
        <v>#REF!</v>
      </c>
      <c r="AD147" s="1" t="e">
        <f>AC147/VLOOKUP(A147,'[31]geoMap (28)'!$A:$B,2,0)*VLOOKUP(A147,'[31]geoMap (28)'!$A:$C,3,0)</f>
        <v>#REF!</v>
      </c>
      <c r="AE147" s="1" t="e">
        <f>AD147/VLOOKUP(A147,'[32]geoMap (29)'!$A:$B,2,0)*VLOOKUP(A147,'[32]geoMap (29)'!$A:$C,3,0)</f>
        <v>#REF!</v>
      </c>
      <c r="AF147" s="1" t="e">
        <f>AE147/VLOOKUP(A147,'[33]geoMap (30)'!$A:$B,2,0)*VLOOKUP(A147,'[33]geoMap (30)'!$A:$C,3,0)</f>
        <v>#REF!</v>
      </c>
      <c r="AG147" s="1" t="e">
        <f>AF147/VLOOKUP(A147,'[34]geoMap (31)'!$A:$B,2,0)*VLOOKUP(A147,'[34]geoMap (31)'!$A:$C,3,0)</f>
        <v>#REF!</v>
      </c>
      <c r="AH147" s="1" t="e">
        <f>AG147/VLOOKUP(A147,'[35]geoMap (32)'!$A:$B,2,0)*VLOOKUP(A147,'[35]geoMap (32)'!$A:$C,3,0)</f>
        <v>#REF!</v>
      </c>
      <c r="AI147" s="1" t="e">
        <f>AH147/VLOOKUP(A147,'[36]geoMap (33)'!$A:$B,2,0)*VLOOKUP(A147,'[36]geoMap (33)'!$A:$C,3,0)</f>
        <v>#REF!</v>
      </c>
      <c r="AJ147" s="1" t="e">
        <f>AI147/VLOOKUP(A147,'[37]geoMap (34)'!$A:$B,2,0)*VLOOKUP(A147,'[37]geoMap (34)'!$A:$C,3,0)</f>
        <v>#REF!</v>
      </c>
      <c r="AK147" s="1" t="e">
        <f>AJ147/VLOOKUP(A147,'[38]geoMap (35)'!$A:$B,2,0)*VLOOKUP(A147,'[38]geoMap (35)'!$A:$C,3,0)</f>
        <v>#REF!</v>
      </c>
      <c r="AL147" s="1" t="e">
        <f>AK147/VLOOKUP(A147,'[39]geoMap (36)'!$A:$B,2,0)*VLOOKUP(A147,'[39]geoMap (36)'!$A:$C,3,0)</f>
        <v>#REF!</v>
      </c>
      <c r="AM147" s="1" t="e">
        <f>AL147/VLOOKUP(A147,'[40]geoMap (37)'!$A:$B,2,0)*VLOOKUP(A147,'[40]geoMap (37)'!$A:$C,3,0)</f>
        <v>#REF!</v>
      </c>
      <c r="AN147" s="1" t="e">
        <f>AM147/VLOOKUP(A147,'[41]geoMap (38)'!$A:$B,2,0)*VLOOKUP(A147,'[41]geoMap (38)'!$A:$C,3,0)</f>
        <v>#REF!</v>
      </c>
      <c r="AO147" s="1" t="e">
        <f>AN147/VLOOKUP(A147,'[42]geoMap (39)'!$A:$B,2,0)*VLOOKUP(A147,'[42]geoMap (39)'!$A:$C,3,0)</f>
        <v>#REF!</v>
      </c>
      <c r="AP147" s="1" t="e">
        <f>AO147/VLOOKUP(A147,'[43]geoMap (40)'!$A:$B,2,0)*VLOOKUP(A147,'[43]geoMap (40)'!$A:$C,3,0)</f>
        <v>#REF!</v>
      </c>
      <c r="AQ147" s="1" t="e">
        <f>AP147/VLOOKUP(A147,'[44]geoMap (41)'!$A:$B,2,0)*VLOOKUP(A147,'[44]geoMap (41)'!$A:$C,3,0)</f>
        <v>#REF!</v>
      </c>
      <c r="AR147" s="1" t="e">
        <f>AQ147/VLOOKUP(A147,'[45]geoMap (42)'!$A:$B,2,0)*VLOOKUP(A147,'[45]geoMap (42)'!$A:$C,3,0)</f>
        <v>#REF!</v>
      </c>
      <c r="AS147" s="1" t="e">
        <f>AR147/VLOOKUP(A147,'[46]geoMap (43)'!$A:$B,2,0)*VLOOKUP(A147,'[46]geoMap (43)'!$A:$C,3,0)</f>
        <v>#REF!</v>
      </c>
      <c r="AT147" s="1" t="e">
        <f>AS147/VLOOKUP(A147,'[47]geoMap (44)'!$A:$B,2,0)*VLOOKUP(A147,'[47]geoMap (44)'!$A:$C,3,0)</f>
        <v>#REF!</v>
      </c>
      <c r="AU147" s="1" t="e">
        <f>AT147/VLOOKUP(A147,'[48]geoMap (45)'!$A:$B,2,0)*VLOOKUP(A147,'[48]geoMap (45)'!$A:$C,3,0)</f>
        <v>#REF!</v>
      </c>
      <c r="AV147" s="1" t="e">
        <f>AU147/VLOOKUP(A147,'[49]geoMap (46)'!$A:$B,2,0)*VLOOKUP(A147,'[49]geoMap (46)'!$A:$C,3,0)</f>
        <v>#REF!</v>
      </c>
      <c r="AW147" s="1" t="e">
        <f>AV147/VLOOKUP(A147,'[50]geoMap (47)'!$A:$B,2,0)*VLOOKUP(A147,'[50]geoMap (47)'!$A:$C,3,0)</f>
        <v>#REF!</v>
      </c>
      <c r="AX147" s="1" t="e">
        <f>AW147/VLOOKUP(A147,'[51]geoMap (48)'!$A:$B,2,0)*VLOOKUP(A147,'[51]geoMap (48)'!$A:$C,3,0)</f>
        <v>#REF!</v>
      </c>
      <c r="AY147" s="1" t="e">
        <f>AX147/VLOOKUP(A147,'[52]geoMap (49)'!$A:$B,2,0)*VLOOKUP(A147,'[52]geoMap (49)'!$A:$C,3,0)</f>
        <v>#REF!</v>
      </c>
      <c r="AZ147" s="1" t="e">
        <f>AY147/VLOOKUP(A147,'[53]geoMap (50)'!$A:$B,2,0)*VLOOKUP(A147,'[53]geoMap (50)'!$A:$C,3,0)</f>
        <v>#REF!</v>
      </c>
      <c r="BA147" s="1" t="e">
        <f>AZ147/VLOOKUP(A147,'[54]geoMap (51)'!$A:$B,2,0)*VLOOKUP(A147,'[54]geoMap (51)'!$A:$C,3,0)</f>
        <v>#REF!</v>
      </c>
      <c r="BB147" s="1" t="e">
        <f>BA147/VLOOKUP(A147,'[55]geoMap (52)'!$A:$B,2,0)*VLOOKUP(A147,'[55]geoMap (52)'!$A:$C,3,0)</f>
        <v>#REF!</v>
      </c>
      <c r="BC147" s="1" t="e">
        <f>BB147/VLOOKUP(A147,'[56]geoMap (53)'!$A:$B,2,0)*VLOOKUP(A147,'[56]geoMap (53)'!$A:$C,3,0)</f>
        <v>#REF!</v>
      </c>
      <c r="BD147" s="1" t="e">
        <f>BC147/VLOOKUP(A147,'[57]geoMap (54)'!$A:$B,2,0)*VLOOKUP(A147,'[57]geoMap (54)'!$A:$C,3,0)</f>
        <v>#REF!</v>
      </c>
      <c r="BE147" s="1" t="e">
        <f>BD147/VLOOKUP(A147,'[58]geoMap (55)'!$A:$B,2,0)*VLOOKUP(A147,'[58]geoMap (55)'!$A:$C,3,0)</f>
        <v>#REF!</v>
      </c>
      <c r="BF147" s="1" t="e">
        <f>BE147/VLOOKUP(A147,'[59]geoMap (56)'!$A:$B,2,0)*VLOOKUP(A147,'[59]geoMap (56)'!$A:$C,3,0)</f>
        <v>#REF!</v>
      </c>
      <c r="BG147" s="1" t="e">
        <f>BF147/VLOOKUP(A147,'[60]geoMap (57)'!$A:$B,2,0)*VLOOKUP(A147,'[60]geoMap (57)'!$A:$C,3,0)</f>
        <v>#REF!</v>
      </c>
      <c r="BH147" s="1" t="e">
        <f>BG147/VLOOKUP(A147,'[61]geoMap (58)'!$A:$B,2,0)*VLOOKUP(A147,'[61]geoMap (58)'!$A:$C,3,0)</f>
        <v>#REF!</v>
      </c>
      <c r="BI147" s="1" t="e">
        <f>BH147/VLOOKUP(A147,'[62]geoMap (59)'!$A:$B,2,0)*VLOOKUP(A147,'[62]geoMap (59)'!$A:$C,3,0)</f>
        <v>#REF!</v>
      </c>
      <c r="BJ147" s="1" t="e">
        <f>BI147/VLOOKUP(A147,'[63]geoMap (60)'!$A:$B,2,0)*VLOOKUP(A147,'[63]geoMap (60)'!$A:$C,3,0)</f>
        <v>#REF!</v>
      </c>
      <c r="BK147" s="1" t="e">
        <f>BJ147/VLOOKUP(A147,'[64]geoMap (61)'!$A:$B,2,0)*VLOOKUP(A147,'[64]geoMap (61)'!$A:$C,3,0)</f>
        <v>#REF!</v>
      </c>
      <c r="BL147" s="1" t="e">
        <f>BK147/VLOOKUP(A147,'[65]geoMap (62)'!$A:$B,2,0)*VLOOKUP(A147,'[65]geoMap (62)'!$A:$C,3,0)</f>
        <v>#REF!</v>
      </c>
      <c r="BM147" s="1" t="e">
        <f>BL147/VLOOKUP(A147,'[66]geoMap (63)'!$A:$B,2,0)*VLOOKUP(A147,'[66]geoMap (63)'!$A:$C,3,0)</f>
        <v>#REF!</v>
      </c>
      <c r="BN147" s="1" t="e">
        <f>BM147/VLOOKUP(A147,'[67]geoMap (64)'!$A:$B,2,0)*VLOOKUP(A147,'[67]geoMap (64)'!$A:$C,3,0)</f>
        <v>#REF!</v>
      </c>
      <c r="BO147" s="1" t="e">
        <f>BN147/VLOOKUP(A147,'[68]geoMap (65)'!$A:$B,2,0)*VLOOKUP(A147,'[68]geoMap (65)'!$A:$C,3,0)</f>
        <v>#REF!</v>
      </c>
      <c r="BP147" s="1" t="e">
        <f>BO147/VLOOKUP(A147,'[69]geoMap (66)'!$A:$B,2,0)*VLOOKUP(A147,'[69]geoMap (66)'!$A:$C,3,0)</f>
        <v>#REF!</v>
      </c>
    </row>
    <row r="148" spans="1:68" hidden="1" x14ac:dyDescent="0.2">
      <c r="A148" s="1" t="s">
        <v>131</v>
      </c>
      <c r="B148" s="1" t="e">
        <f>VLOOKUP(A148,[3]geoMap!$A:$B,2,0)*Notes!$C$6</f>
        <v>#REF!</v>
      </c>
      <c r="C148" s="1" t="e">
        <f>B148/VLOOKUP(A148,'[4]geoMap (1)'!$A:$B,2,0)*VLOOKUP(A148,'[4]geoMap (1)'!$A:$C,3,0)</f>
        <v>#REF!</v>
      </c>
      <c r="D148" s="1" t="e">
        <f>C148/VLOOKUP(A148,'[5]geoMap (2)'!$A:$B,2,0)*VLOOKUP(A148,'[5]geoMap (2)'!$A:$C,3,0)</f>
        <v>#REF!</v>
      </c>
      <c r="E148" s="1" t="e">
        <f>D148/VLOOKUP(A148,'[6]geoMap (3)'!$A:$B,2,0)*VLOOKUP(A148,'[6]geoMap (3)'!$A:$C,3,0)</f>
        <v>#REF!</v>
      </c>
      <c r="F148" s="1" t="e">
        <f>E148/VLOOKUP(A148,'[7]geoMap (4)'!$A:$B,2,0)*VLOOKUP(A148,'[7]geoMap (4)'!$A:$C,3,0)</f>
        <v>#REF!</v>
      </c>
      <c r="G148" s="1" t="e">
        <f>F148/VLOOKUP(A148,'[8]geoMap (5)'!$A:$B,2,0)*VLOOKUP(A148,'[8]geoMap (5)'!$A:$C,3,0)</f>
        <v>#REF!</v>
      </c>
      <c r="H148" s="1" t="e">
        <f>G148/VLOOKUP(A148,'[9]geoMap (6)'!$A:$B,2,0)*VLOOKUP(A148,'[9]geoMap (6)'!$A:$C,3,0)</f>
        <v>#REF!</v>
      </c>
      <c r="I148" s="1" t="e">
        <f>H148/VLOOKUP(A148,'[10]geoMap (7)'!$A:$B,2,0)*VLOOKUP(A148,'[10]geoMap (7)'!$A:$C,3,0)</f>
        <v>#REF!</v>
      </c>
      <c r="J148" s="1" t="e">
        <f>I148/VLOOKUP(A148,'[11]geoMap (8)'!$A:$B,2,0)*VLOOKUP(A148,'[11]geoMap (8)'!$A:$C,3,0)</f>
        <v>#REF!</v>
      </c>
      <c r="K148" s="1" t="e">
        <f>J148/VLOOKUP(A148,'[12]geoMap (9)'!$A:$B,2,0)*VLOOKUP(A148,'[12]geoMap (9)'!$A:$C,3,0)</f>
        <v>#REF!</v>
      </c>
      <c r="L148" s="1" t="e">
        <f>K148/VLOOKUP(A148,'[13]geoMap (10)'!$A:$B,2,0)*VLOOKUP(A148,'[13]geoMap (10)'!$A:$C,3,0)</f>
        <v>#REF!</v>
      </c>
      <c r="M148" s="1" t="e">
        <f>L148/VLOOKUP(A148,'[14]geoMap (11)'!$A:$B,2,0)*VLOOKUP(A148,'[14]geoMap (11)'!$A:$C,3,0)</f>
        <v>#REF!</v>
      </c>
      <c r="N148" s="1" t="e">
        <f>M148/VLOOKUP(A148,'[15]geoMap (12)'!$A:$B,2,0)*VLOOKUP(A148,'[15]geoMap (12)'!$A:$C,3,0)</f>
        <v>#REF!</v>
      </c>
      <c r="O148" s="1" t="e">
        <f>N148/VLOOKUP(A148,'[16]geoMap (13)'!$A:$B,2,0)*VLOOKUP(A148,'[16]geoMap (13)'!$A:$C,3,0)</f>
        <v>#REF!</v>
      </c>
      <c r="P148" s="1" t="e">
        <f>O148/VLOOKUP(A148,'[17]geoMap (14)'!$A:$B,2,0)*VLOOKUP(A148,'[17]geoMap (14)'!$A:$C,3,0)</f>
        <v>#REF!</v>
      </c>
      <c r="Q148" s="1" t="e">
        <f>P148/VLOOKUP(A148,'[18]geoMap (15)'!$A:$B,2,0)*VLOOKUP(A148,'[18]geoMap (15)'!$A:$C,3,0)</f>
        <v>#REF!</v>
      </c>
      <c r="R148" s="1" t="e">
        <f>Q148/VLOOKUP(A148,'[19]geoMap (16)'!$A:$B,2,0)*VLOOKUP(A148,'[19]geoMap (16)'!$A:$C,3,0)</f>
        <v>#REF!</v>
      </c>
      <c r="S148" s="1" t="e">
        <f>R148/VLOOKUP(A148,'[20]geoMap (17)'!$A:$B,2,0)*VLOOKUP(A148,'[20]geoMap (17)'!$A:$C,3,0)</f>
        <v>#REF!</v>
      </c>
      <c r="T148" s="1" t="e">
        <f>S148/VLOOKUP(A148,'[21]geoMap (18)'!$A:$B,2,0)*VLOOKUP(A148,'[21]geoMap (18)'!$A:$C,3,0)</f>
        <v>#REF!</v>
      </c>
      <c r="U148" s="1" t="e">
        <f>T148/VLOOKUP(A148,'[22]geoMap (19)'!$A:$B,2,0)*VLOOKUP(A148,'[22]geoMap (19)'!$A:$C,3,0)</f>
        <v>#REF!</v>
      </c>
      <c r="V148" s="1" t="e">
        <f>U148/VLOOKUP(A148,'[23]geoMap (20)'!$A:$B,2,0)*VLOOKUP(A148,'[23]geoMap (20)'!$A:$C,3,0)</f>
        <v>#REF!</v>
      </c>
      <c r="W148" s="1" t="e">
        <f>V148/VLOOKUP(A148,'[24]geoMap (21)'!$A:$B,2,0)*VLOOKUP(A148,'[24]geoMap (21)'!$A:$C,3,0)</f>
        <v>#REF!</v>
      </c>
      <c r="X148" s="1" t="e">
        <f>W148/VLOOKUP(A148,'[25]geoMap (22)'!$A:$B,2,0)*VLOOKUP(A148,'[25]geoMap (22)'!$A:$C,3,0)</f>
        <v>#REF!</v>
      </c>
      <c r="Y148" s="1" t="e">
        <f>X148/VLOOKUP(A148,'[26]geoMap (23)'!$A:$B,2,0)*VLOOKUP(A148,'[26]geoMap (23)'!$A:$C,3,0)</f>
        <v>#REF!</v>
      </c>
      <c r="Z148" s="1" t="e">
        <f>Y148/VLOOKUP(A148,'[27]geoMap (24)'!$A:$B,2,0)*VLOOKUP(A148,'[27]geoMap (24)'!$A:$C,3,0)</f>
        <v>#REF!</v>
      </c>
      <c r="AA148" s="1" t="e">
        <f>Z148/VLOOKUP(A148,'[28]geoMap (25)'!$A:$B,2,0)*VLOOKUP(A148,'[28]geoMap (25)'!$A:$C,3,0)</f>
        <v>#REF!</v>
      </c>
      <c r="AB148" s="1" t="e">
        <f>AA148*VLOOKUP(A148,'[29]geoMap (26)'!$A:$B,2,0)*VLOOKUP(A148,'[29]geoMap (26)'!$A:$C,3,0)</f>
        <v>#REF!</v>
      </c>
      <c r="AC148" s="1" t="e">
        <f>AB148/VLOOKUP(A148,'[30]geoMap (27)'!$A:$B,2,0)*VLOOKUP(A148,'[30]geoMap (27)'!$A:$C,3,0)</f>
        <v>#REF!</v>
      </c>
      <c r="AD148" s="1" t="e">
        <f>AC148/VLOOKUP(A148,'[31]geoMap (28)'!$A:$B,2,0)*VLOOKUP(A148,'[31]geoMap (28)'!$A:$C,3,0)</f>
        <v>#REF!</v>
      </c>
      <c r="AE148" s="1" t="e">
        <f>AD148/VLOOKUP(A148,'[32]geoMap (29)'!$A:$B,2,0)*VLOOKUP(A148,'[32]geoMap (29)'!$A:$C,3,0)</f>
        <v>#REF!</v>
      </c>
      <c r="AF148" s="1" t="e">
        <f>AE148/VLOOKUP(A148,'[33]geoMap (30)'!$A:$B,2,0)*VLOOKUP(A148,'[33]geoMap (30)'!$A:$C,3,0)</f>
        <v>#REF!</v>
      </c>
      <c r="AG148" s="1" t="e">
        <f>AF148/VLOOKUP(A148,'[34]geoMap (31)'!$A:$B,2,0)*VLOOKUP(A148,'[34]geoMap (31)'!$A:$C,3,0)</f>
        <v>#REF!</v>
      </c>
      <c r="AH148" s="1" t="e">
        <f>AG148/VLOOKUP(A148,'[35]geoMap (32)'!$A:$B,2,0)*VLOOKUP(A148,'[35]geoMap (32)'!$A:$C,3,0)</f>
        <v>#REF!</v>
      </c>
      <c r="AI148" s="1" t="e">
        <f>AH148/VLOOKUP(A148,'[36]geoMap (33)'!$A:$B,2,0)*VLOOKUP(A148,'[36]geoMap (33)'!$A:$C,3,0)</f>
        <v>#REF!</v>
      </c>
      <c r="AJ148" s="1" t="e">
        <f>AI148/VLOOKUP(A148,'[37]geoMap (34)'!$A:$B,2,0)*VLOOKUP(A148,'[37]geoMap (34)'!$A:$C,3,0)</f>
        <v>#REF!</v>
      </c>
      <c r="AK148" s="1" t="e">
        <f>AJ148/VLOOKUP(A148,'[38]geoMap (35)'!$A:$B,2,0)*VLOOKUP(A148,'[38]geoMap (35)'!$A:$C,3,0)</f>
        <v>#REF!</v>
      </c>
      <c r="AL148" s="1" t="e">
        <f>AK148/VLOOKUP(A148,'[39]geoMap (36)'!$A:$B,2,0)*VLOOKUP(A148,'[39]geoMap (36)'!$A:$C,3,0)</f>
        <v>#REF!</v>
      </c>
      <c r="AM148" s="1" t="e">
        <f>AL148/VLOOKUP(A148,'[40]geoMap (37)'!$A:$B,2,0)*VLOOKUP(A148,'[40]geoMap (37)'!$A:$C,3,0)</f>
        <v>#REF!</v>
      </c>
      <c r="AN148" s="1" t="e">
        <f>AM148/VLOOKUP(A148,'[41]geoMap (38)'!$A:$B,2,0)*VLOOKUP(A148,'[41]geoMap (38)'!$A:$C,3,0)</f>
        <v>#REF!</v>
      </c>
      <c r="AO148" s="1" t="e">
        <f>AN148/VLOOKUP(A148,'[42]geoMap (39)'!$A:$B,2,0)*VLOOKUP(A148,'[42]geoMap (39)'!$A:$C,3,0)</f>
        <v>#REF!</v>
      </c>
      <c r="AP148" s="1" t="e">
        <f>AO148/VLOOKUP(A148,'[43]geoMap (40)'!$A:$B,2,0)*VLOOKUP(A148,'[43]geoMap (40)'!$A:$C,3,0)</f>
        <v>#REF!</v>
      </c>
      <c r="AQ148" s="1" t="e">
        <f>AP148/VLOOKUP(A148,'[44]geoMap (41)'!$A:$B,2,0)*VLOOKUP(A148,'[44]geoMap (41)'!$A:$C,3,0)</f>
        <v>#REF!</v>
      </c>
      <c r="AR148" s="1" t="e">
        <f>AQ148/VLOOKUP(A148,'[45]geoMap (42)'!$A:$B,2,0)*VLOOKUP(A148,'[45]geoMap (42)'!$A:$C,3,0)</f>
        <v>#REF!</v>
      </c>
      <c r="AS148" s="1" t="e">
        <f>AR148/VLOOKUP(A148,'[46]geoMap (43)'!$A:$B,2,0)*VLOOKUP(A148,'[46]geoMap (43)'!$A:$C,3,0)</f>
        <v>#REF!</v>
      </c>
      <c r="AT148" s="1" t="e">
        <f>AS148/VLOOKUP(A148,'[47]geoMap (44)'!$A:$B,2,0)*VLOOKUP(A148,'[47]geoMap (44)'!$A:$C,3,0)</f>
        <v>#REF!</v>
      </c>
      <c r="AU148" s="1" t="e">
        <f>AT148/VLOOKUP(A148,'[48]geoMap (45)'!$A:$B,2,0)*VLOOKUP(A148,'[48]geoMap (45)'!$A:$C,3,0)</f>
        <v>#REF!</v>
      </c>
      <c r="AV148" s="1" t="e">
        <f>AU148/VLOOKUP(A148,'[49]geoMap (46)'!$A:$B,2,0)*VLOOKUP(A148,'[49]geoMap (46)'!$A:$C,3,0)</f>
        <v>#REF!</v>
      </c>
      <c r="AW148" s="1" t="e">
        <f>AV148/VLOOKUP(A148,'[50]geoMap (47)'!$A:$B,2,0)*VLOOKUP(A148,'[50]geoMap (47)'!$A:$C,3,0)</f>
        <v>#REF!</v>
      </c>
      <c r="AX148" s="1" t="e">
        <f>AW148/VLOOKUP(A148,'[51]geoMap (48)'!$A:$B,2,0)*VLOOKUP(A148,'[51]geoMap (48)'!$A:$C,3,0)</f>
        <v>#REF!</v>
      </c>
      <c r="AY148" s="1" t="e">
        <f>AX148/VLOOKUP(A148,'[52]geoMap (49)'!$A:$B,2,0)*VLOOKUP(A148,'[52]geoMap (49)'!$A:$C,3,0)</f>
        <v>#REF!</v>
      </c>
      <c r="AZ148" s="1" t="e">
        <f>AY148/VLOOKUP(A148,'[53]geoMap (50)'!$A:$B,2,0)*VLOOKUP(A148,'[53]geoMap (50)'!$A:$C,3,0)</f>
        <v>#REF!</v>
      </c>
      <c r="BA148" s="1" t="e">
        <f>AZ148/VLOOKUP(A148,'[54]geoMap (51)'!$A:$B,2,0)*VLOOKUP(A148,'[54]geoMap (51)'!$A:$C,3,0)</f>
        <v>#REF!</v>
      </c>
      <c r="BB148" s="1" t="e">
        <f>BA148/VLOOKUP(A148,'[55]geoMap (52)'!$A:$B,2,0)*VLOOKUP(A148,'[55]geoMap (52)'!$A:$C,3,0)</f>
        <v>#REF!</v>
      </c>
      <c r="BC148" s="1" t="e">
        <f>BB148/VLOOKUP(A148,'[56]geoMap (53)'!$A:$B,2,0)*VLOOKUP(A148,'[56]geoMap (53)'!$A:$C,3,0)</f>
        <v>#REF!</v>
      </c>
      <c r="BD148" s="1" t="e">
        <f>BC148/VLOOKUP(A148,'[57]geoMap (54)'!$A:$B,2,0)*VLOOKUP(A148,'[57]geoMap (54)'!$A:$C,3,0)</f>
        <v>#REF!</v>
      </c>
      <c r="BE148" s="1" t="e">
        <f>BD148/VLOOKUP(A148,'[58]geoMap (55)'!$A:$B,2,0)*VLOOKUP(A148,'[58]geoMap (55)'!$A:$C,3,0)</f>
        <v>#REF!</v>
      </c>
      <c r="BF148" s="1" t="e">
        <f>BE148/VLOOKUP(A148,'[59]geoMap (56)'!$A:$B,2,0)*VLOOKUP(A148,'[59]geoMap (56)'!$A:$C,3,0)</f>
        <v>#REF!</v>
      </c>
      <c r="BG148" s="1" t="e">
        <f>BF148/VLOOKUP(A148,'[60]geoMap (57)'!$A:$B,2,0)*VLOOKUP(A148,'[60]geoMap (57)'!$A:$C,3,0)</f>
        <v>#REF!</v>
      </c>
      <c r="BH148" s="1" t="e">
        <f>BG148/VLOOKUP(A148,'[61]geoMap (58)'!$A:$B,2,0)*VLOOKUP(A148,'[61]geoMap (58)'!$A:$C,3,0)</f>
        <v>#REF!</v>
      </c>
      <c r="BI148" s="1" t="e">
        <f>BH148/VLOOKUP(A148,'[62]geoMap (59)'!$A:$B,2,0)*VLOOKUP(A148,'[62]geoMap (59)'!$A:$C,3,0)</f>
        <v>#REF!</v>
      </c>
      <c r="BJ148" s="1" t="e">
        <f>BI148/VLOOKUP(A148,'[63]geoMap (60)'!$A:$B,2,0)*VLOOKUP(A148,'[63]geoMap (60)'!$A:$C,3,0)</f>
        <v>#REF!</v>
      </c>
      <c r="BK148" s="1" t="e">
        <f>BJ148/VLOOKUP(A148,'[64]geoMap (61)'!$A:$B,2,0)*VLOOKUP(A148,'[64]geoMap (61)'!$A:$C,3,0)</f>
        <v>#REF!</v>
      </c>
      <c r="BL148" s="1" t="e">
        <f>BK148/VLOOKUP(A148,'[65]geoMap (62)'!$A:$B,2,0)*VLOOKUP(A148,'[65]geoMap (62)'!$A:$C,3,0)</f>
        <v>#REF!</v>
      </c>
      <c r="BM148" s="1" t="e">
        <f>BL148/VLOOKUP(A148,'[66]geoMap (63)'!$A:$B,2,0)*VLOOKUP(A148,'[66]geoMap (63)'!$A:$C,3,0)</f>
        <v>#REF!</v>
      </c>
      <c r="BN148" s="1" t="e">
        <f>BM148/VLOOKUP(A148,'[67]geoMap (64)'!$A:$B,2,0)*VLOOKUP(A148,'[67]geoMap (64)'!$A:$C,3,0)</f>
        <v>#REF!</v>
      </c>
      <c r="BO148" s="1" t="e">
        <f>BN148/VLOOKUP(A148,'[68]geoMap (65)'!$A:$B,2,0)*VLOOKUP(A148,'[68]geoMap (65)'!$A:$C,3,0)</f>
        <v>#REF!</v>
      </c>
      <c r="BP148" s="1" t="e">
        <f>BO148/VLOOKUP(A148,'[69]geoMap (66)'!$A:$B,2,0)*VLOOKUP(A148,'[69]geoMap (66)'!$A:$C,3,0)</f>
        <v>#REF!</v>
      </c>
    </row>
    <row r="149" spans="1:68" hidden="1" x14ac:dyDescent="0.2">
      <c r="A149" s="1" t="s">
        <v>132</v>
      </c>
      <c r="B149" s="1" t="e">
        <f>VLOOKUP(A149,[3]geoMap!$A:$B,2,0)*Notes!$C$6</f>
        <v>#REF!</v>
      </c>
      <c r="C149" s="1" t="e">
        <f>B149/VLOOKUP(A149,'[4]geoMap (1)'!$A:$B,2,0)*VLOOKUP(A149,'[4]geoMap (1)'!$A:$C,3,0)</f>
        <v>#REF!</v>
      </c>
      <c r="D149" s="1" t="e">
        <f>C149/VLOOKUP(A149,'[5]geoMap (2)'!$A:$B,2,0)*VLOOKUP(A149,'[5]geoMap (2)'!$A:$C,3,0)</f>
        <v>#REF!</v>
      </c>
      <c r="E149" s="1" t="e">
        <f>D149/VLOOKUP(A149,'[6]geoMap (3)'!$A:$B,2,0)*VLOOKUP(A149,'[6]geoMap (3)'!$A:$C,3,0)</f>
        <v>#REF!</v>
      </c>
      <c r="F149" s="1" t="e">
        <f>E149/VLOOKUP(A149,'[7]geoMap (4)'!$A:$B,2,0)*VLOOKUP(A149,'[7]geoMap (4)'!$A:$C,3,0)</f>
        <v>#REF!</v>
      </c>
      <c r="G149" s="1" t="e">
        <f>F149/VLOOKUP(A149,'[8]geoMap (5)'!$A:$B,2,0)*VLOOKUP(A149,'[8]geoMap (5)'!$A:$C,3,0)</f>
        <v>#REF!</v>
      </c>
      <c r="H149" s="1" t="e">
        <f>G149/VLOOKUP(A149,'[9]geoMap (6)'!$A:$B,2,0)*VLOOKUP(A149,'[9]geoMap (6)'!$A:$C,3,0)</f>
        <v>#REF!</v>
      </c>
      <c r="I149" s="1" t="e">
        <f>H149/VLOOKUP(A149,'[10]geoMap (7)'!$A:$B,2,0)*VLOOKUP(A149,'[10]geoMap (7)'!$A:$C,3,0)</f>
        <v>#REF!</v>
      </c>
      <c r="J149" s="1" t="e">
        <f>I149/VLOOKUP(A149,'[11]geoMap (8)'!$A:$B,2,0)*VLOOKUP(A149,'[11]geoMap (8)'!$A:$C,3,0)</f>
        <v>#REF!</v>
      </c>
      <c r="K149" s="1" t="e">
        <f>J149/VLOOKUP(A149,'[12]geoMap (9)'!$A:$B,2,0)*VLOOKUP(A149,'[12]geoMap (9)'!$A:$C,3,0)</f>
        <v>#REF!</v>
      </c>
      <c r="L149" s="1" t="e">
        <f>K149/VLOOKUP(A149,'[13]geoMap (10)'!$A:$B,2,0)*VLOOKUP(A149,'[13]geoMap (10)'!$A:$C,3,0)</f>
        <v>#REF!</v>
      </c>
      <c r="M149" s="1" t="e">
        <f>L149/VLOOKUP(A149,'[14]geoMap (11)'!$A:$B,2,0)*VLOOKUP(A149,'[14]geoMap (11)'!$A:$C,3,0)</f>
        <v>#REF!</v>
      </c>
      <c r="N149" s="1" t="e">
        <f>M149/VLOOKUP(A149,'[15]geoMap (12)'!$A:$B,2,0)*VLOOKUP(A149,'[15]geoMap (12)'!$A:$C,3,0)</f>
        <v>#REF!</v>
      </c>
      <c r="O149" s="1" t="e">
        <f>N149/VLOOKUP(A149,'[16]geoMap (13)'!$A:$B,2,0)*VLOOKUP(A149,'[16]geoMap (13)'!$A:$C,3,0)</f>
        <v>#REF!</v>
      </c>
      <c r="P149" s="1" t="e">
        <f>O149/VLOOKUP(A149,'[17]geoMap (14)'!$A:$B,2,0)*VLOOKUP(A149,'[17]geoMap (14)'!$A:$C,3,0)</f>
        <v>#REF!</v>
      </c>
      <c r="Q149" s="1" t="e">
        <f>P149/VLOOKUP(A149,'[18]geoMap (15)'!$A:$B,2,0)*VLOOKUP(A149,'[18]geoMap (15)'!$A:$C,3,0)</f>
        <v>#REF!</v>
      </c>
      <c r="R149" s="1" t="e">
        <f>Q149/VLOOKUP(A149,'[19]geoMap (16)'!$A:$B,2,0)*VLOOKUP(A149,'[19]geoMap (16)'!$A:$C,3,0)</f>
        <v>#REF!</v>
      </c>
      <c r="S149" s="1" t="e">
        <f>R149/VLOOKUP(A149,'[20]geoMap (17)'!$A:$B,2,0)*VLOOKUP(A149,'[20]geoMap (17)'!$A:$C,3,0)</f>
        <v>#REF!</v>
      </c>
      <c r="T149" s="1" t="e">
        <f>S149/VLOOKUP(A149,'[21]geoMap (18)'!$A:$B,2,0)*VLOOKUP(A149,'[21]geoMap (18)'!$A:$C,3,0)</f>
        <v>#REF!</v>
      </c>
      <c r="U149" s="1" t="e">
        <f>T149/VLOOKUP(A149,'[22]geoMap (19)'!$A:$B,2,0)*VLOOKUP(A149,'[22]geoMap (19)'!$A:$C,3,0)</f>
        <v>#REF!</v>
      </c>
      <c r="V149" s="1" t="e">
        <f>U149/VLOOKUP(A149,'[23]geoMap (20)'!$A:$B,2,0)*VLOOKUP(A149,'[23]geoMap (20)'!$A:$C,3,0)</f>
        <v>#REF!</v>
      </c>
      <c r="W149" s="1" t="e">
        <f>V149/VLOOKUP(A149,'[24]geoMap (21)'!$A:$B,2,0)*VLOOKUP(A149,'[24]geoMap (21)'!$A:$C,3,0)</f>
        <v>#REF!</v>
      </c>
      <c r="X149" s="1" t="e">
        <f>W149/VLOOKUP(A149,'[25]geoMap (22)'!$A:$B,2,0)*VLOOKUP(A149,'[25]geoMap (22)'!$A:$C,3,0)</f>
        <v>#REF!</v>
      </c>
      <c r="Y149" s="1" t="e">
        <f>X149/VLOOKUP(A149,'[26]geoMap (23)'!$A:$B,2,0)*VLOOKUP(A149,'[26]geoMap (23)'!$A:$C,3,0)</f>
        <v>#REF!</v>
      </c>
      <c r="Z149" s="1" t="e">
        <f>Y149/VLOOKUP(A149,'[27]geoMap (24)'!$A:$B,2,0)*VLOOKUP(A149,'[27]geoMap (24)'!$A:$C,3,0)</f>
        <v>#REF!</v>
      </c>
      <c r="AA149" s="1" t="e">
        <f>Z149/VLOOKUP(A149,'[28]geoMap (25)'!$A:$B,2,0)*VLOOKUP(A149,'[28]geoMap (25)'!$A:$C,3,0)</f>
        <v>#REF!</v>
      </c>
      <c r="AB149" s="1" t="e">
        <f>AA149*VLOOKUP(A149,'[29]geoMap (26)'!$A:$B,2,0)*VLOOKUP(A149,'[29]geoMap (26)'!$A:$C,3,0)</f>
        <v>#REF!</v>
      </c>
      <c r="AC149" s="1" t="e">
        <f>AB149/VLOOKUP(A149,'[30]geoMap (27)'!$A:$B,2,0)*VLOOKUP(A149,'[30]geoMap (27)'!$A:$C,3,0)</f>
        <v>#REF!</v>
      </c>
      <c r="AD149" s="1" t="e">
        <f>AC149/VLOOKUP(A149,'[31]geoMap (28)'!$A:$B,2,0)*VLOOKUP(A149,'[31]geoMap (28)'!$A:$C,3,0)</f>
        <v>#REF!</v>
      </c>
      <c r="AE149" s="1" t="e">
        <f>AD149/VLOOKUP(A149,'[32]geoMap (29)'!$A:$B,2,0)*VLOOKUP(A149,'[32]geoMap (29)'!$A:$C,3,0)</f>
        <v>#REF!</v>
      </c>
      <c r="AF149" s="1" t="e">
        <f>AE149/VLOOKUP(A149,'[33]geoMap (30)'!$A:$B,2,0)*VLOOKUP(A149,'[33]geoMap (30)'!$A:$C,3,0)</f>
        <v>#REF!</v>
      </c>
      <c r="AG149" s="1" t="e">
        <f>AF149/VLOOKUP(A149,'[34]geoMap (31)'!$A:$B,2,0)*VLOOKUP(A149,'[34]geoMap (31)'!$A:$C,3,0)</f>
        <v>#REF!</v>
      </c>
      <c r="AH149" s="1" t="e">
        <f>AG149/VLOOKUP(A149,'[35]geoMap (32)'!$A:$B,2,0)*VLOOKUP(A149,'[35]geoMap (32)'!$A:$C,3,0)</f>
        <v>#REF!</v>
      </c>
      <c r="AI149" s="1" t="e">
        <f>AH149/VLOOKUP(A149,'[36]geoMap (33)'!$A:$B,2,0)*VLOOKUP(A149,'[36]geoMap (33)'!$A:$C,3,0)</f>
        <v>#REF!</v>
      </c>
      <c r="AJ149" s="1" t="e">
        <f>AI149/VLOOKUP(A149,'[37]geoMap (34)'!$A:$B,2,0)*VLOOKUP(A149,'[37]geoMap (34)'!$A:$C,3,0)</f>
        <v>#REF!</v>
      </c>
      <c r="AK149" s="1" t="e">
        <f>AJ149/VLOOKUP(A149,'[38]geoMap (35)'!$A:$B,2,0)*VLOOKUP(A149,'[38]geoMap (35)'!$A:$C,3,0)</f>
        <v>#REF!</v>
      </c>
      <c r="AL149" s="1" t="e">
        <f>AK149/VLOOKUP(A149,'[39]geoMap (36)'!$A:$B,2,0)*VLOOKUP(A149,'[39]geoMap (36)'!$A:$C,3,0)</f>
        <v>#REF!</v>
      </c>
      <c r="AM149" s="1" t="e">
        <f>AL149/VLOOKUP(A149,'[40]geoMap (37)'!$A:$B,2,0)*VLOOKUP(A149,'[40]geoMap (37)'!$A:$C,3,0)</f>
        <v>#REF!</v>
      </c>
      <c r="AN149" s="1" t="e">
        <f>AM149/VLOOKUP(A149,'[41]geoMap (38)'!$A:$B,2,0)*VLOOKUP(A149,'[41]geoMap (38)'!$A:$C,3,0)</f>
        <v>#REF!</v>
      </c>
      <c r="AO149" s="1" t="e">
        <f>AN149/VLOOKUP(A149,'[42]geoMap (39)'!$A:$B,2,0)*VLOOKUP(A149,'[42]geoMap (39)'!$A:$C,3,0)</f>
        <v>#REF!</v>
      </c>
      <c r="AP149" s="1" t="e">
        <f>AO149/VLOOKUP(A149,'[43]geoMap (40)'!$A:$B,2,0)*VLOOKUP(A149,'[43]geoMap (40)'!$A:$C,3,0)</f>
        <v>#REF!</v>
      </c>
      <c r="AQ149" s="1" t="e">
        <f>AP149/VLOOKUP(A149,'[44]geoMap (41)'!$A:$B,2,0)*VLOOKUP(A149,'[44]geoMap (41)'!$A:$C,3,0)</f>
        <v>#REF!</v>
      </c>
      <c r="AR149" s="1" t="e">
        <f>AQ149/VLOOKUP(A149,'[45]geoMap (42)'!$A:$B,2,0)*VLOOKUP(A149,'[45]geoMap (42)'!$A:$C,3,0)</f>
        <v>#REF!</v>
      </c>
      <c r="AS149" s="1" t="e">
        <f>AR149/VLOOKUP(A149,'[46]geoMap (43)'!$A:$B,2,0)*VLOOKUP(A149,'[46]geoMap (43)'!$A:$C,3,0)</f>
        <v>#REF!</v>
      </c>
      <c r="AT149" s="1" t="e">
        <f>AS149/VLOOKUP(A149,'[47]geoMap (44)'!$A:$B,2,0)*VLOOKUP(A149,'[47]geoMap (44)'!$A:$C,3,0)</f>
        <v>#REF!</v>
      </c>
      <c r="AU149" s="1" t="e">
        <f>AT149/VLOOKUP(A149,'[48]geoMap (45)'!$A:$B,2,0)*VLOOKUP(A149,'[48]geoMap (45)'!$A:$C,3,0)</f>
        <v>#REF!</v>
      </c>
      <c r="AV149" s="1" t="e">
        <f>AU149/VLOOKUP(A149,'[49]geoMap (46)'!$A:$B,2,0)*VLOOKUP(A149,'[49]geoMap (46)'!$A:$C,3,0)</f>
        <v>#REF!</v>
      </c>
      <c r="AW149" s="1" t="e">
        <f>AV149/VLOOKUP(A149,'[50]geoMap (47)'!$A:$B,2,0)*VLOOKUP(A149,'[50]geoMap (47)'!$A:$C,3,0)</f>
        <v>#REF!</v>
      </c>
      <c r="AX149" s="1" t="e">
        <f>AW149/VLOOKUP(A149,'[51]geoMap (48)'!$A:$B,2,0)*VLOOKUP(A149,'[51]geoMap (48)'!$A:$C,3,0)</f>
        <v>#REF!</v>
      </c>
      <c r="AY149" s="1" t="e">
        <f>AX149/VLOOKUP(A149,'[52]geoMap (49)'!$A:$B,2,0)*VLOOKUP(A149,'[52]geoMap (49)'!$A:$C,3,0)</f>
        <v>#REF!</v>
      </c>
      <c r="AZ149" s="1" t="e">
        <f>AY149/VLOOKUP(A149,'[53]geoMap (50)'!$A:$B,2,0)*VLOOKUP(A149,'[53]geoMap (50)'!$A:$C,3,0)</f>
        <v>#REF!</v>
      </c>
      <c r="BA149" s="1" t="e">
        <f>AZ149/VLOOKUP(A149,'[54]geoMap (51)'!$A:$B,2,0)*VLOOKUP(A149,'[54]geoMap (51)'!$A:$C,3,0)</f>
        <v>#REF!</v>
      </c>
      <c r="BB149" s="1" t="e">
        <f>BA149/VLOOKUP(A149,'[55]geoMap (52)'!$A:$B,2,0)*VLOOKUP(A149,'[55]geoMap (52)'!$A:$C,3,0)</f>
        <v>#REF!</v>
      </c>
      <c r="BC149" s="1" t="e">
        <f>BB149/VLOOKUP(A149,'[56]geoMap (53)'!$A:$B,2,0)*VLOOKUP(A149,'[56]geoMap (53)'!$A:$C,3,0)</f>
        <v>#REF!</v>
      </c>
      <c r="BD149" s="1" t="e">
        <f>BC149/VLOOKUP(A149,'[57]geoMap (54)'!$A:$B,2,0)*VLOOKUP(A149,'[57]geoMap (54)'!$A:$C,3,0)</f>
        <v>#REF!</v>
      </c>
      <c r="BE149" s="1" t="e">
        <f>BD149/VLOOKUP(A149,'[58]geoMap (55)'!$A:$B,2,0)*VLOOKUP(A149,'[58]geoMap (55)'!$A:$C,3,0)</f>
        <v>#REF!</v>
      </c>
      <c r="BF149" s="1" t="e">
        <f>BE149/VLOOKUP(A149,'[59]geoMap (56)'!$A:$B,2,0)*VLOOKUP(A149,'[59]geoMap (56)'!$A:$C,3,0)</f>
        <v>#REF!</v>
      </c>
      <c r="BG149" s="1" t="e">
        <f>BF149/VLOOKUP(A149,'[60]geoMap (57)'!$A:$B,2,0)*VLOOKUP(A149,'[60]geoMap (57)'!$A:$C,3,0)</f>
        <v>#REF!</v>
      </c>
      <c r="BH149" s="1" t="e">
        <f>BG149/VLOOKUP(A149,'[61]geoMap (58)'!$A:$B,2,0)*VLOOKUP(A149,'[61]geoMap (58)'!$A:$C,3,0)</f>
        <v>#REF!</v>
      </c>
      <c r="BI149" s="1" t="e">
        <f>BH149/VLOOKUP(A149,'[62]geoMap (59)'!$A:$B,2,0)*VLOOKUP(A149,'[62]geoMap (59)'!$A:$C,3,0)</f>
        <v>#REF!</v>
      </c>
      <c r="BJ149" s="1" t="e">
        <f>BI149/VLOOKUP(A149,'[63]geoMap (60)'!$A:$B,2,0)*VLOOKUP(A149,'[63]geoMap (60)'!$A:$C,3,0)</f>
        <v>#REF!</v>
      </c>
      <c r="BK149" s="1" t="e">
        <f>BJ149/VLOOKUP(A149,'[64]geoMap (61)'!$A:$B,2,0)*VLOOKUP(A149,'[64]geoMap (61)'!$A:$C,3,0)</f>
        <v>#REF!</v>
      </c>
      <c r="BL149" s="1" t="e">
        <f>BK149/VLOOKUP(A149,'[65]geoMap (62)'!$A:$B,2,0)*VLOOKUP(A149,'[65]geoMap (62)'!$A:$C,3,0)</f>
        <v>#REF!</v>
      </c>
      <c r="BM149" s="1" t="e">
        <f>BL149/VLOOKUP(A149,'[66]geoMap (63)'!$A:$B,2,0)*VLOOKUP(A149,'[66]geoMap (63)'!$A:$C,3,0)</f>
        <v>#REF!</v>
      </c>
      <c r="BN149" s="1" t="e">
        <f>BM149/VLOOKUP(A149,'[67]geoMap (64)'!$A:$B,2,0)*VLOOKUP(A149,'[67]geoMap (64)'!$A:$C,3,0)</f>
        <v>#REF!</v>
      </c>
      <c r="BO149" s="1" t="e">
        <f>BN149/VLOOKUP(A149,'[68]geoMap (65)'!$A:$B,2,0)*VLOOKUP(A149,'[68]geoMap (65)'!$A:$C,3,0)</f>
        <v>#REF!</v>
      </c>
      <c r="BP149" s="1" t="e">
        <f>BO149/VLOOKUP(A149,'[69]geoMap (66)'!$A:$B,2,0)*VLOOKUP(A149,'[69]geoMap (66)'!$A:$C,3,0)</f>
        <v>#REF!</v>
      </c>
    </row>
    <row r="150" spans="1:68" hidden="1" x14ac:dyDescent="0.2">
      <c r="A150" s="1" t="s">
        <v>135</v>
      </c>
      <c r="B150" s="1" t="e">
        <f>VLOOKUP(A150,[3]geoMap!$A:$B,2,0)*Notes!$C$6</f>
        <v>#REF!</v>
      </c>
      <c r="C150" s="1" t="e">
        <f>B150/VLOOKUP(A150,'[4]geoMap (1)'!$A:$B,2,0)*VLOOKUP(A150,'[4]geoMap (1)'!$A:$C,3,0)</f>
        <v>#REF!</v>
      </c>
      <c r="D150" s="1" t="e">
        <f>C150/VLOOKUP(A150,'[5]geoMap (2)'!$A:$B,2,0)*VLOOKUP(A150,'[5]geoMap (2)'!$A:$C,3,0)</f>
        <v>#REF!</v>
      </c>
      <c r="E150" s="1" t="e">
        <f>D150/VLOOKUP(A150,'[6]geoMap (3)'!$A:$B,2,0)*VLOOKUP(A150,'[6]geoMap (3)'!$A:$C,3,0)</f>
        <v>#REF!</v>
      </c>
      <c r="F150" s="1" t="e">
        <f>E150/VLOOKUP(A150,'[7]geoMap (4)'!$A:$B,2,0)*VLOOKUP(A150,'[7]geoMap (4)'!$A:$C,3,0)</f>
        <v>#REF!</v>
      </c>
      <c r="G150" s="1" t="e">
        <f>F150/VLOOKUP(A150,'[8]geoMap (5)'!$A:$B,2,0)*VLOOKUP(A150,'[8]geoMap (5)'!$A:$C,3,0)</f>
        <v>#REF!</v>
      </c>
      <c r="H150" s="1" t="e">
        <f>G150/VLOOKUP(A150,'[9]geoMap (6)'!$A:$B,2,0)*VLOOKUP(A150,'[9]geoMap (6)'!$A:$C,3,0)</f>
        <v>#REF!</v>
      </c>
      <c r="I150" s="1" t="e">
        <f>H150/VLOOKUP(A150,'[10]geoMap (7)'!$A:$B,2,0)*VLOOKUP(A150,'[10]geoMap (7)'!$A:$C,3,0)</f>
        <v>#REF!</v>
      </c>
      <c r="J150" s="1" t="e">
        <f>I150/VLOOKUP(A150,'[11]geoMap (8)'!$A:$B,2,0)*VLOOKUP(A150,'[11]geoMap (8)'!$A:$C,3,0)</f>
        <v>#REF!</v>
      </c>
      <c r="K150" s="1" t="e">
        <f>J150/VLOOKUP(A150,'[12]geoMap (9)'!$A:$B,2,0)*VLOOKUP(A150,'[12]geoMap (9)'!$A:$C,3,0)</f>
        <v>#REF!</v>
      </c>
      <c r="L150" s="1" t="e">
        <f>K150/VLOOKUP(A150,'[13]geoMap (10)'!$A:$B,2,0)*VLOOKUP(A150,'[13]geoMap (10)'!$A:$C,3,0)</f>
        <v>#REF!</v>
      </c>
      <c r="M150" s="1" t="e">
        <f>L150/VLOOKUP(A150,'[14]geoMap (11)'!$A:$B,2,0)*VLOOKUP(A150,'[14]geoMap (11)'!$A:$C,3,0)</f>
        <v>#REF!</v>
      </c>
      <c r="N150" s="1" t="e">
        <f>M150/VLOOKUP(A150,'[15]geoMap (12)'!$A:$B,2,0)*VLOOKUP(A150,'[15]geoMap (12)'!$A:$C,3,0)</f>
        <v>#REF!</v>
      </c>
      <c r="O150" s="1" t="e">
        <f>N150/VLOOKUP(A150,'[16]geoMap (13)'!$A:$B,2,0)*VLOOKUP(A150,'[16]geoMap (13)'!$A:$C,3,0)</f>
        <v>#REF!</v>
      </c>
      <c r="P150" s="1" t="e">
        <f>O150/VLOOKUP(A150,'[17]geoMap (14)'!$A:$B,2,0)*VLOOKUP(A150,'[17]geoMap (14)'!$A:$C,3,0)</f>
        <v>#REF!</v>
      </c>
      <c r="Q150" s="1" t="e">
        <f>P150/VLOOKUP(A150,'[18]geoMap (15)'!$A:$B,2,0)*VLOOKUP(A150,'[18]geoMap (15)'!$A:$C,3,0)</f>
        <v>#REF!</v>
      </c>
      <c r="R150" s="1" t="e">
        <f>Q150/VLOOKUP(A150,'[19]geoMap (16)'!$A:$B,2,0)*VLOOKUP(A150,'[19]geoMap (16)'!$A:$C,3,0)</f>
        <v>#REF!</v>
      </c>
      <c r="S150" s="1" t="e">
        <f>R150/VLOOKUP(A150,'[20]geoMap (17)'!$A:$B,2,0)*VLOOKUP(A150,'[20]geoMap (17)'!$A:$C,3,0)</f>
        <v>#REF!</v>
      </c>
      <c r="T150" s="1" t="e">
        <f>S150/VLOOKUP(A150,'[21]geoMap (18)'!$A:$B,2,0)*VLOOKUP(A150,'[21]geoMap (18)'!$A:$C,3,0)</f>
        <v>#REF!</v>
      </c>
      <c r="U150" s="1" t="e">
        <f>T150/VLOOKUP(A150,'[22]geoMap (19)'!$A:$B,2,0)*VLOOKUP(A150,'[22]geoMap (19)'!$A:$C,3,0)</f>
        <v>#REF!</v>
      </c>
      <c r="V150" s="1" t="e">
        <f>U150/VLOOKUP(A150,'[23]geoMap (20)'!$A:$B,2,0)*VLOOKUP(A150,'[23]geoMap (20)'!$A:$C,3,0)</f>
        <v>#REF!</v>
      </c>
      <c r="W150" s="1" t="e">
        <f>V150/VLOOKUP(A150,'[24]geoMap (21)'!$A:$B,2,0)*VLOOKUP(A150,'[24]geoMap (21)'!$A:$C,3,0)</f>
        <v>#REF!</v>
      </c>
      <c r="X150" s="1" t="e">
        <f>W150/VLOOKUP(A150,'[25]geoMap (22)'!$A:$B,2,0)*VLOOKUP(A150,'[25]geoMap (22)'!$A:$C,3,0)</f>
        <v>#REF!</v>
      </c>
      <c r="Y150" s="1" t="e">
        <f>X150/VLOOKUP(A150,'[26]geoMap (23)'!$A:$B,2,0)*VLOOKUP(A150,'[26]geoMap (23)'!$A:$C,3,0)</f>
        <v>#REF!</v>
      </c>
      <c r="Z150" s="1" t="e">
        <f>Y150/VLOOKUP(A150,'[27]geoMap (24)'!$A:$B,2,0)*VLOOKUP(A150,'[27]geoMap (24)'!$A:$C,3,0)</f>
        <v>#REF!</v>
      </c>
      <c r="AA150" s="1" t="e">
        <f>Z150/VLOOKUP(A150,'[28]geoMap (25)'!$A:$B,2,0)*VLOOKUP(A150,'[28]geoMap (25)'!$A:$C,3,0)</f>
        <v>#REF!</v>
      </c>
      <c r="AB150" s="1" t="e">
        <f>AA150*VLOOKUP(A150,'[29]geoMap (26)'!$A:$B,2,0)*VLOOKUP(A150,'[29]geoMap (26)'!$A:$C,3,0)</f>
        <v>#REF!</v>
      </c>
      <c r="AC150" s="1" t="e">
        <f>AB150/VLOOKUP(A150,'[30]geoMap (27)'!$A:$B,2,0)*VLOOKUP(A150,'[30]geoMap (27)'!$A:$C,3,0)</f>
        <v>#REF!</v>
      </c>
      <c r="AD150" s="1" t="e">
        <f>AC150/VLOOKUP(A150,'[31]geoMap (28)'!$A:$B,2,0)*VLOOKUP(A150,'[31]geoMap (28)'!$A:$C,3,0)</f>
        <v>#REF!</v>
      </c>
      <c r="AE150" s="1" t="e">
        <f>AD150/VLOOKUP(A150,'[32]geoMap (29)'!$A:$B,2,0)*VLOOKUP(A150,'[32]geoMap (29)'!$A:$C,3,0)</f>
        <v>#REF!</v>
      </c>
      <c r="AF150" s="1" t="e">
        <f>AE150/VLOOKUP(A150,'[33]geoMap (30)'!$A:$B,2,0)*VLOOKUP(A150,'[33]geoMap (30)'!$A:$C,3,0)</f>
        <v>#REF!</v>
      </c>
      <c r="AG150" s="1" t="e">
        <f>AF150/VLOOKUP(A150,'[34]geoMap (31)'!$A:$B,2,0)*VLOOKUP(A150,'[34]geoMap (31)'!$A:$C,3,0)</f>
        <v>#REF!</v>
      </c>
      <c r="AH150" s="1" t="e">
        <f>AG150/VLOOKUP(A150,'[35]geoMap (32)'!$A:$B,2,0)*VLOOKUP(A150,'[35]geoMap (32)'!$A:$C,3,0)</f>
        <v>#REF!</v>
      </c>
      <c r="AI150" s="1" t="e">
        <f>AH150/VLOOKUP(A150,'[36]geoMap (33)'!$A:$B,2,0)*VLOOKUP(A150,'[36]geoMap (33)'!$A:$C,3,0)</f>
        <v>#REF!</v>
      </c>
      <c r="AJ150" s="1" t="e">
        <f>AI150/VLOOKUP(A150,'[37]geoMap (34)'!$A:$B,2,0)*VLOOKUP(A150,'[37]geoMap (34)'!$A:$C,3,0)</f>
        <v>#REF!</v>
      </c>
      <c r="AK150" s="1" t="e">
        <f>AJ150/VLOOKUP(A150,'[38]geoMap (35)'!$A:$B,2,0)*VLOOKUP(A150,'[38]geoMap (35)'!$A:$C,3,0)</f>
        <v>#REF!</v>
      </c>
      <c r="AL150" s="1" t="e">
        <f>AK150/VLOOKUP(A150,'[39]geoMap (36)'!$A:$B,2,0)*VLOOKUP(A150,'[39]geoMap (36)'!$A:$C,3,0)</f>
        <v>#REF!</v>
      </c>
      <c r="AM150" s="1" t="e">
        <f>AL150/VLOOKUP(A150,'[40]geoMap (37)'!$A:$B,2,0)*VLOOKUP(A150,'[40]geoMap (37)'!$A:$C,3,0)</f>
        <v>#REF!</v>
      </c>
      <c r="AN150" s="1" t="e">
        <f>AM150/VLOOKUP(A150,'[41]geoMap (38)'!$A:$B,2,0)*VLOOKUP(A150,'[41]geoMap (38)'!$A:$C,3,0)</f>
        <v>#REF!</v>
      </c>
      <c r="AO150" s="1" t="e">
        <f>AN150/VLOOKUP(A150,'[42]geoMap (39)'!$A:$B,2,0)*VLOOKUP(A150,'[42]geoMap (39)'!$A:$C,3,0)</f>
        <v>#REF!</v>
      </c>
      <c r="AP150" s="1" t="e">
        <f>AO150/VLOOKUP(A150,'[43]geoMap (40)'!$A:$B,2,0)*VLOOKUP(A150,'[43]geoMap (40)'!$A:$C,3,0)</f>
        <v>#REF!</v>
      </c>
      <c r="AQ150" s="1" t="e">
        <f>AP150/VLOOKUP(A150,'[44]geoMap (41)'!$A:$B,2,0)*VLOOKUP(A150,'[44]geoMap (41)'!$A:$C,3,0)</f>
        <v>#REF!</v>
      </c>
      <c r="AR150" s="1" t="e">
        <f>AQ150/VLOOKUP(A150,'[45]geoMap (42)'!$A:$B,2,0)*VLOOKUP(A150,'[45]geoMap (42)'!$A:$C,3,0)</f>
        <v>#REF!</v>
      </c>
      <c r="AS150" s="1" t="e">
        <f>AR150/VLOOKUP(A150,'[46]geoMap (43)'!$A:$B,2,0)*VLOOKUP(A150,'[46]geoMap (43)'!$A:$C,3,0)</f>
        <v>#REF!</v>
      </c>
      <c r="AT150" s="1" t="e">
        <f>AS150/VLOOKUP(A150,'[47]geoMap (44)'!$A:$B,2,0)*VLOOKUP(A150,'[47]geoMap (44)'!$A:$C,3,0)</f>
        <v>#REF!</v>
      </c>
      <c r="AU150" s="1" t="e">
        <f>AT150/VLOOKUP(A150,'[48]geoMap (45)'!$A:$B,2,0)*VLOOKUP(A150,'[48]geoMap (45)'!$A:$C,3,0)</f>
        <v>#REF!</v>
      </c>
      <c r="AV150" s="1" t="e">
        <f>AU150/VLOOKUP(A150,'[49]geoMap (46)'!$A:$B,2,0)*VLOOKUP(A150,'[49]geoMap (46)'!$A:$C,3,0)</f>
        <v>#REF!</v>
      </c>
      <c r="AW150" s="1" t="e">
        <f>AV150/VLOOKUP(A150,'[50]geoMap (47)'!$A:$B,2,0)*VLOOKUP(A150,'[50]geoMap (47)'!$A:$C,3,0)</f>
        <v>#REF!</v>
      </c>
      <c r="AX150" s="1" t="e">
        <f>AW150/VLOOKUP(A150,'[51]geoMap (48)'!$A:$B,2,0)*VLOOKUP(A150,'[51]geoMap (48)'!$A:$C,3,0)</f>
        <v>#REF!</v>
      </c>
      <c r="AY150" s="1" t="e">
        <f>AX150/VLOOKUP(A150,'[52]geoMap (49)'!$A:$B,2,0)*VLOOKUP(A150,'[52]geoMap (49)'!$A:$C,3,0)</f>
        <v>#REF!</v>
      </c>
      <c r="AZ150" s="1" t="e">
        <f>AY150/VLOOKUP(A150,'[53]geoMap (50)'!$A:$B,2,0)*VLOOKUP(A150,'[53]geoMap (50)'!$A:$C,3,0)</f>
        <v>#REF!</v>
      </c>
      <c r="BA150" s="1" t="e">
        <f>AZ150/VLOOKUP(A150,'[54]geoMap (51)'!$A:$B,2,0)*VLOOKUP(A150,'[54]geoMap (51)'!$A:$C,3,0)</f>
        <v>#REF!</v>
      </c>
      <c r="BB150" s="1" t="e">
        <f>BA150/VLOOKUP(A150,'[55]geoMap (52)'!$A:$B,2,0)*VLOOKUP(A150,'[55]geoMap (52)'!$A:$C,3,0)</f>
        <v>#REF!</v>
      </c>
      <c r="BC150" s="1" t="e">
        <f>BB150/VLOOKUP(A150,'[56]geoMap (53)'!$A:$B,2,0)*VLOOKUP(A150,'[56]geoMap (53)'!$A:$C,3,0)</f>
        <v>#REF!</v>
      </c>
      <c r="BD150" s="1" t="e">
        <f>BC150/VLOOKUP(A150,'[57]geoMap (54)'!$A:$B,2,0)*VLOOKUP(A150,'[57]geoMap (54)'!$A:$C,3,0)</f>
        <v>#REF!</v>
      </c>
      <c r="BE150" s="1" t="e">
        <f>BD150/VLOOKUP(A150,'[58]geoMap (55)'!$A:$B,2,0)*VLOOKUP(A150,'[58]geoMap (55)'!$A:$C,3,0)</f>
        <v>#REF!</v>
      </c>
      <c r="BF150" s="1" t="e">
        <f>BE150/VLOOKUP(A150,'[59]geoMap (56)'!$A:$B,2,0)*VLOOKUP(A150,'[59]geoMap (56)'!$A:$C,3,0)</f>
        <v>#REF!</v>
      </c>
      <c r="BG150" s="1" t="e">
        <f>BF150/VLOOKUP(A150,'[60]geoMap (57)'!$A:$B,2,0)*VLOOKUP(A150,'[60]geoMap (57)'!$A:$C,3,0)</f>
        <v>#REF!</v>
      </c>
      <c r="BH150" s="1" t="e">
        <f>BG150/VLOOKUP(A150,'[61]geoMap (58)'!$A:$B,2,0)*VLOOKUP(A150,'[61]geoMap (58)'!$A:$C,3,0)</f>
        <v>#REF!</v>
      </c>
      <c r="BI150" s="1" t="e">
        <f>BH150/VLOOKUP(A150,'[62]geoMap (59)'!$A:$B,2,0)*VLOOKUP(A150,'[62]geoMap (59)'!$A:$C,3,0)</f>
        <v>#REF!</v>
      </c>
      <c r="BJ150" s="1" t="e">
        <f>BI150/VLOOKUP(A150,'[63]geoMap (60)'!$A:$B,2,0)*VLOOKUP(A150,'[63]geoMap (60)'!$A:$C,3,0)</f>
        <v>#REF!</v>
      </c>
      <c r="BK150" s="1" t="e">
        <f>BJ150/VLOOKUP(A150,'[64]geoMap (61)'!$A:$B,2,0)*VLOOKUP(A150,'[64]geoMap (61)'!$A:$C,3,0)</f>
        <v>#REF!</v>
      </c>
      <c r="BL150" s="1" t="e">
        <f>BK150/VLOOKUP(A150,'[65]geoMap (62)'!$A:$B,2,0)*VLOOKUP(A150,'[65]geoMap (62)'!$A:$C,3,0)</f>
        <v>#REF!</v>
      </c>
      <c r="BM150" s="1" t="e">
        <f>BL150/VLOOKUP(A150,'[66]geoMap (63)'!$A:$B,2,0)*VLOOKUP(A150,'[66]geoMap (63)'!$A:$C,3,0)</f>
        <v>#REF!</v>
      </c>
      <c r="BN150" s="1" t="e">
        <f>BM150/VLOOKUP(A150,'[67]geoMap (64)'!$A:$B,2,0)*VLOOKUP(A150,'[67]geoMap (64)'!$A:$C,3,0)</f>
        <v>#REF!</v>
      </c>
      <c r="BO150" s="1" t="e">
        <f>BN150/VLOOKUP(A150,'[68]geoMap (65)'!$A:$B,2,0)*VLOOKUP(A150,'[68]geoMap (65)'!$A:$C,3,0)</f>
        <v>#REF!</v>
      </c>
      <c r="BP150" s="1" t="e">
        <f>BO150/VLOOKUP(A150,'[69]geoMap (66)'!$A:$B,2,0)*VLOOKUP(A150,'[69]geoMap (66)'!$A:$C,3,0)</f>
        <v>#REF!</v>
      </c>
    </row>
    <row r="151" spans="1:68" hidden="1" x14ac:dyDescent="0.2">
      <c r="A151" s="1" t="s">
        <v>136</v>
      </c>
      <c r="B151" s="1" t="e">
        <f>VLOOKUP(A151,[3]geoMap!$A:$B,2,0)*Notes!$C$6</f>
        <v>#REF!</v>
      </c>
      <c r="C151" s="1" t="e">
        <f>B151/VLOOKUP(A151,'[4]geoMap (1)'!$A:$B,2,0)*VLOOKUP(A151,'[4]geoMap (1)'!$A:$C,3,0)</f>
        <v>#REF!</v>
      </c>
      <c r="D151" s="1" t="e">
        <f>C151/VLOOKUP(A151,'[5]geoMap (2)'!$A:$B,2,0)*VLOOKUP(A151,'[5]geoMap (2)'!$A:$C,3,0)</f>
        <v>#REF!</v>
      </c>
      <c r="E151" s="1" t="e">
        <f>D151/VLOOKUP(A151,'[6]geoMap (3)'!$A:$B,2,0)*VLOOKUP(A151,'[6]geoMap (3)'!$A:$C,3,0)</f>
        <v>#REF!</v>
      </c>
      <c r="F151" s="1" t="e">
        <f>E151/VLOOKUP(A151,'[7]geoMap (4)'!$A:$B,2,0)*VLOOKUP(A151,'[7]geoMap (4)'!$A:$C,3,0)</f>
        <v>#REF!</v>
      </c>
      <c r="G151" s="1" t="e">
        <f>F151/VLOOKUP(A151,'[8]geoMap (5)'!$A:$B,2,0)*VLOOKUP(A151,'[8]geoMap (5)'!$A:$C,3,0)</f>
        <v>#REF!</v>
      </c>
      <c r="H151" s="1" t="e">
        <f>G151/VLOOKUP(A151,'[9]geoMap (6)'!$A:$B,2,0)*VLOOKUP(A151,'[9]geoMap (6)'!$A:$C,3,0)</f>
        <v>#REF!</v>
      </c>
      <c r="I151" s="1" t="e">
        <f>H151/VLOOKUP(A151,'[10]geoMap (7)'!$A:$B,2,0)*VLOOKUP(A151,'[10]geoMap (7)'!$A:$C,3,0)</f>
        <v>#REF!</v>
      </c>
      <c r="J151" s="1" t="e">
        <f>I151/VLOOKUP(A151,'[11]geoMap (8)'!$A:$B,2,0)*VLOOKUP(A151,'[11]geoMap (8)'!$A:$C,3,0)</f>
        <v>#REF!</v>
      </c>
      <c r="K151" s="1" t="e">
        <f>J151/VLOOKUP(A151,'[12]geoMap (9)'!$A:$B,2,0)*VLOOKUP(A151,'[12]geoMap (9)'!$A:$C,3,0)</f>
        <v>#REF!</v>
      </c>
      <c r="L151" s="1" t="e">
        <f>K151/VLOOKUP(A151,'[13]geoMap (10)'!$A:$B,2,0)*VLOOKUP(A151,'[13]geoMap (10)'!$A:$C,3,0)</f>
        <v>#REF!</v>
      </c>
      <c r="M151" s="1" t="e">
        <f>L151/VLOOKUP(A151,'[14]geoMap (11)'!$A:$B,2,0)*VLOOKUP(A151,'[14]geoMap (11)'!$A:$C,3,0)</f>
        <v>#REF!</v>
      </c>
      <c r="N151" s="1" t="e">
        <f>M151/VLOOKUP(A151,'[15]geoMap (12)'!$A:$B,2,0)*VLOOKUP(A151,'[15]geoMap (12)'!$A:$C,3,0)</f>
        <v>#REF!</v>
      </c>
      <c r="O151" s="1" t="e">
        <f>N151/VLOOKUP(A151,'[16]geoMap (13)'!$A:$B,2,0)*VLOOKUP(A151,'[16]geoMap (13)'!$A:$C,3,0)</f>
        <v>#REF!</v>
      </c>
      <c r="P151" s="1" t="e">
        <f>O151/VLOOKUP(A151,'[17]geoMap (14)'!$A:$B,2,0)*VLOOKUP(A151,'[17]geoMap (14)'!$A:$C,3,0)</f>
        <v>#REF!</v>
      </c>
      <c r="Q151" s="1" t="e">
        <f>P151/VLOOKUP(A151,'[18]geoMap (15)'!$A:$B,2,0)*VLOOKUP(A151,'[18]geoMap (15)'!$A:$C,3,0)</f>
        <v>#REF!</v>
      </c>
      <c r="R151" s="1" t="e">
        <f>Q151/VLOOKUP(A151,'[19]geoMap (16)'!$A:$B,2,0)*VLOOKUP(A151,'[19]geoMap (16)'!$A:$C,3,0)</f>
        <v>#REF!</v>
      </c>
      <c r="S151" s="1" t="e">
        <f>R151/VLOOKUP(A151,'[20]geoMap (17)'!$A:$B,2,0)*VLOOKUP(A151,'[20]geoMap (17)'!$A:$C,3,0)</f>
        <v>#REF!</v>
      </c>
      <c r="T151" s="1" t="e">
        <f>S151/VLOOKUP(A151,'[21]geoMap (18)'!$A:$B,2,0)*VLOOKUP(A151,'[21]geoMap (18)'!$A:$C,3,0)</f>
        <v>#REF!</v>
      </c>
      <c r="U151" s="1" t="e">
        <f>T151/VLOOKUP(A151,'[22]geoMap (19)'!$A:$B,2,0)*VLOOKUP(A151,'[22]geoMap (19)'!$A:$C,3,0)</f>
        <v>#REF!</v>
      </c>
      <c r="V151" s="1" t="e">
        <f>U151/VLOOKUP(A151,'[23]geoMap (20)'!$A:$B,2,0)*VLOOKUP(A151,'[23]geoMap (20)'!$A:$C,3,0)</f>
        <v>#REF!</v>
      </c>
      <c r="W151" s="1" t="e">
        <f>V151/VLOOKUP(A151,'[24]geoMap (21)'!$A:$B,2,0)*VLOOKUP(A151,'[24]geoMap (21)'!$A:$C,3,0)</f>
        <v>#REF!</v>
      </c>
      <c r="X151" s="1" t="e">
        <f>W151/VLOOKUP(A151,'[25]geoMap (22)'!$A:$B,2,0)*VLOOKUP(A151,'[25]geoMap (22)'!$A:$C,3,0)</f>
        <v>#REF!</v>
      </c>
      <c r="Y151" s="1" t="e">
        <f>X151/VLOOKUP(A151,'[26]geoMap (23)'!$A:$B,2,0)*VLOOKUP(A151,'[26]geoMap (23)'!$A:$C,3,0)</f>
        <v>#REF!</v>
      </c>
      <c r="Z151" s="1" t="e">
        <f>Y151/VLOOKUP(A151,'[27]geoMap (24)'!$A:$B,2,0)*VLOOKUP(A151,'[27]geoMap (24)'!$A:$C,3,0)</f>
        <v>#REF!</v>
      </c>
      <c r="AA151" s="1" t="e">
        <f>Z151/VLOOKUP(A151,'[28]geoMap (25)'!$A:$B,2,0)*VLOOKUP(A151,'[28]geoMap (25)'!$A:$C,3,0)</f>
        <v>#REF!</v>
      </c>
      <c r="AB151" s="1" t="e">
        <f>AA151*VLOOKUP(A151,'[29]geoMap (26)'!$A:$B,2,0)*VLOOKUP(A151,'[29]geoMap (26)'!$A:$C,3,0)</f>
        <v>#REF!</v>
      </c>
      <c r="AC151" s="1" t="e">
        <f>AB151/VLOOKUP(A151,'[30]geoMap (27)'!$A:$B,2,0)*VLOOKUP(A151,'[30]geoMap (27)'!$A:$C,3,0)</f>
        <v>#REF!</v>
      </c>
      <c r="AD151" s="1" t="e">
        <f>AC151/VLOOKUP(A151,'[31]geoMap (28)'!$A:$B,2,0)*VLOOKUP(A151,'[31]geoMap (28)'!$A:$C,3,0)</f>
        <v>#REF!</v>
      </c>
      <c r="AE151" s="1" t="e">
        <f>AD151/VLOOKUP(A151,'[32]geoMap (29)'!$A:$B,2,0)*VLOOKUP(A151,'[32]geoMap (29)'!$A:$C,3,0)</f>
        <v>#REF!</v>
      </c>
      <c r="AF151" s="1" t="e">
        <f>AE151/VLOOKUP(A151,'[33]geoMap (30)'!$A:$B,2,0)*VLOOKUP(A151,'[33]geoMap (30)'!$A:$C,3,0)</f>
        <v>#REF!</v>
      </c>
      <c r="AG151" s="1" t="e">
        <f>AF151/VLOOKUP(A151,'[34]geoMap (31)'!$A:$B,2,0)*VLOOKUP(A151,'[34]geoMap (31)'!$A:$C,3,0)</f>
        <v>#REF!</v>
      </c>
      <c r="AH151" s="1" t="e">
        <f>AG151/VLOOKUP(A151,'[35]geoMap (32)'!$A:$B,2,0)*VLOOKUP(A151,'[35]geoMap (32)'!$A:$C,3,0)</f>
        <v>#REF!</v>
      </c>
      <c r="AI151" s="1" t="e">
        <f>AH151/VLOOKUP(A151,'[36]geoMap (33)'!$A:$B,2,0)*VLOOKUP(A151,'[36]geoMap (33)'!$A:$C,3,0)</f>
        <v>#REF!</v>
      </c>
      <c r="AJ151" s="1" t="e">
        <f>AI151/VLOOKUP(A151,'[37]geoMap (34)'!$A:$B,2,0)*VLOOKUP(A151,'[37]geoMap (34)'!$A:$C,3,0)</f>
        <v>#REF!</v>
      </c>
      <c r="AK151" s="1" t="e">
        <f>AJ151/VLOOKUP(A151,'[38]geoMap (35)'!$A:$B,2,0)*VLOOKUP(A151,'[38]geoMap (35)'!$A:$C,3,0)</f>
        <v>#REF!</v>
      </c>
      <c r="AL151" s="1" t="e">
        <f>AK151/VLOOKUP(A151,'[39]geoMap (36)'!$A:$B,2,0)*VLOOKUP(A151,'[39]geoMap (36)'!$A:$C,3,0)</f>
        <v>#REF!</v>
      </c>
      <c r="AM151" s="1" t="e">
        <f>AL151/VLOOKUP(A151,'[40]geoMap (37)'!$A:$B,2,0)*VLOOKUP(A151,'[40]geoMap (37)'!$A:$C,3,0)</f>
        <v>#REF!</v>
      </c>
      <c r="AN151" s="1" t="e">
        <f>AM151/VLOOKUP(A151,'[41]geoMap (38)'!$A:$B,2,0)*VLOOKUP(A151,'[41]geoMap (38)'!$A:$C,3,0)</f>
        <v>#REF!</v>
      </c>
      <c r="AO151" s="1" t="e">
        <f>AN151/VLOOKUP(A151,'[42]geoMap (39)'!$A:$B,2,0)*VLOOKUP(A151,'[42]geoMap (39)'!$A:$C,3,0)</f>
        <v>#REF!</v>
      </c>
      <c r="AP151" s="1" t="e">
        <f>AO151/VLOOKUP(A151,'[43]geoMap (40)'!$A:$B,2,0)*VLOOKUP(A151,'[43]geoMap (40)'!$A:$C,3,0)</f>
        <v>#REF!</v>
      </c>
      <c r="AQ151" s="1" t="e">
        <f>AP151/VLOOKUP(A151,'[44]geoMap (41)'!$A:$B,2,0)*VLOOKUP(A151,'[44]geoMap (41)'!$A:$C,3,0)</f>
        <v>#REF!</v>
      </c>
      <c r="AR151" s="1" t="e">
        <f>AQ151/VLOOKUP(A151,'[45]geoMap (42)'!$A:$B,2,0)*VLOOKUP(A151,'[45]geoMap (42)'!$A:$C,3,0)</f>
        <v>#REF!</v>
      </c>
      <c r="AS151" s="1" t="e">
        <f>AR151/VLOOKUP(A151,'[46]geoMap (43)'!$A:$B,2,0)*VLOOKUP(A151,'[46]geoMap (43)'!$A:$C,3,0)</f>
        <v>#REF!</v>
      </c>
      <c r="AT151" s="1" t="e">
        <f>AS151/VLOOKUP(A151,'[47]geoMap (44)'!$A:$B,2,0)*VLOOKUP(A151,'[47]geoMap (44)'!$A:$C,3,0)</f>
        <v>#REF!</v>
      </c>
      <c r="AU151" s="1" t="e">
        <f>AT151/VLOOKUP(A151,'[48]geoMap (45)'!$A:$B,2,0)*VLOOKUP(A151,'[48]geoMap (45)'!$A:$C,3,0)</f>
        <v>#REF!</v>
      </c>
      <c r="AV151" s="1" t="e">
        <f>AU151/VLOOKUP(A151,'[49]geoMap (46)'!$A:$B,2,0)*VLOOKUP(A151,'[49]geoMap (46)'!$A:$C,3,0)</f>
        <v>#REF!</v>
      </c>
      <c r="AW151" s="1" t="e">
        <f>AV151/VLOOKUP(A151,'[50]geoMap (47)'!$A:$B,2,0)*VLOOKUP(A151,'[50]geoMap (47)'!$A:$C,3,0)</f>
        <v>#REF!</v>
      </c>
      <c r="AX151" s="1" t="e">
        <f>AW151/VLOOKUP(A151,'[51]geoMap (48)'!$A:$B,2,0)*VLOOKUP(A151,'[51]geoMap (48)'!$A:$C,3,0)</f>
        <v>#REF!</v>
      </c>
      <c r="AY151" s="1" t="e">
        <f>AX151/VLOOKUP(A151,'[52]geoMap (49)'!$A:$B,2,0)*VLOOKUP(A151,'[52]geoMap (49)'!$A:$C,3,0)</f>
        <v>#REF!</v>
      </c>
      <c r="AZ151" s="1" t="e">
        <f>AY151/VLOOKUP(A151,'[53]geoMap (50)'!$A:$B,2,0)*VLOOKUP(A151,'[53]geoMap (50)'!$A:$C,3,0)</f>
        <v>#REF!</v>
      </c>
      <c r="BA151" s="1" t="e">
        <f>AZ151/VLOOKUP(A151,'[54]geoMap (51)'!$A:$B,2,0)*VLOOKUP(A151,'[54]geoMap (51)'!$A:$C,3,0)</f>
        <v>#REF!</v>
      </c>
      <c r="BB151" s="1" t="e">
        <f>BA151/VLOOKUP(A151,'[55]geoMap (52)'!$A:$B,2,0)*VLOOKUP(A151,'[55]geoMap (52)'!$A:$C,3,0)</f>
        <v>#REF!</v>
      </c>
      <c r="BC151" s="1" t="e">
        <f>BB151/VLOOKUP(A151,'[56]geoMap (53)'!$A:$B,2,0)*VLOOKUP(A151,'[56]geoMap (53)'!$A:$C,3,0)</f>
        <v>#REF!</v>
      </c>
      <c r="BD151" s="1" t="e">
        <f>BC151/VLOOKUP(A151,'[57]geoMap (54)'!$A:$B,2,0)*VLOOKUP(A151,'[57]geoMap (54)'!$A:$C,3,0)</f>
        <v>#REF!</v>
      </c>
      <c r="BE151" s="1" t="e">
        <f>BD151/VLOOKUP(A151,'[58]geoMap (55)'!$A:$B,2,0)*VLOOKUP(A151,'[58]geoMap (55)'!$A:$C,3,0)</f>
        <v>#REF!</v>
      </c>
      <c r="BF151" s="1" t="e">
        <f>BE151/VLOOKUP(A151,'[59]geoMap (56)'!$A:$B,2,0)*VLOOKUP(A151,'[59]geoMap (56)'!$A:$C,3,0)</f>
        <v>#REF!</v>
      </c>
      <c r="BG151" s="1" t="e">
        <f>BF151/VLOOKUP(A151,'[60]geoMap (57)'!$A:$B,2,0)*VLOOKUP(A151,'[60]geoMap (57)'!$A:$C,3,0)</f>
        <v>#REF!</v>
      </c>
      <c r="BH151" s="1" t="e">
        <f>BG151/VLOOKUP(A151,'[61]geoMap (58)'!$A:$B,2,0)*VLOOKUP(A151,'[61]geoMap (58)'!$A:$C,3,0)</f>
        <v>#REF!</v>
      </c>
      <c r="BI151" s="1" t="e">
        <f>BH151/VLOOKUP(A151,'[62]geoMap (59)'!$A:$B,2,0)*VLOOKUP(A151,'[62]geoMap (59)'!$A:$C,3,0)</f>
        <v>#REF!</v>
      </c>
      <c r="BJ151" s="1" t="e">
        <f>BI151/VLOOKUP(A151,'[63]geoMap (60)'!$A:$B,2,0)*VLOOKUP(A151,'[63]geoMap (60)'!$A:$C,3,0)</f>
        <v>#REF!</v>
      </c>
      <c r="BK151" s="1" t="e">
        <f>BJ151/VLOOKUP(A151,'[64]geoMap (61)'!$A:$B,2,0)*VLOOKUP(A151,'[64]geoMap (61)'!$A:$C,3,0)</f>
        <v>#REF!</v>
      </c>
      <c r="BL151" s="1" t="e">
        <f>BK151/VLOOKUP(A151,'[65]geoMap (62)'!$A:$B,2,0)*VLOOKUP(A151,'[65]geoMap (62)'!$A:$C,3,0)</f>
        <v>#REF!</v>
      </c>
      <c r="BM151" s="1" t="e">
        <f>BL151/VLOOKUP(A151,'[66]geoMap (63)'!$A:$B,2,0)*VLOOKUP(A151,'[66]geoMap (63)'!$A:$C,3,0)</f>
        <v>#REF!</v>
      </c>
      <c r="BN151" s="1" t="e">
        <f>BM151/VLOOKUP(A151,'[67]geoMap (64)'!$A:$B,2,0)*VLOOKUP(A151,'[67]geoMap (64)'!$A:$C,3,0)</f>
        <v>#REF!</v>
      </c>
      <c r="BO151" s="1" t="e">
        <f>BN151/VLOOKUP(A151,'[68]geoMap (65)'!$A:$B,2,0)*VLOOKUP(A151,'[68]geoMap (65)'!$A:$C,3,0)</f>
        <v>#REF!</v>
      </c>
      <c r="BP151" s="1" t="e">
        <f>BO151/VLOOKUP(A151,'[69]geoMap (66)'!$A:$B,2,0)*VLOOKUP(A151,'[69]geoMap (66)'!$A:$C,3,0)</f>
        <v>#REF!</v>
      </c>
    </row>
    <row r="152" spans="1:68" hidden="1" x14ac:dyDescent="0.2">
      <c r="A152" s="1" t="s">
        <v>137</v>
      </c>
      <c r="B152" s="1" t="e">
        <f>VLOOKUP(A152,[3]geoMap!$A:$B,2,0)*Notes!$C$6</f>
        <v>#REF!</v>
      </c>
      <c r="C152" s="1" t="e">
        <f>B152/VLOOKUP(A152,'[4]geoMap (1)'!$A:$B,2,0)*VLOOKUP(A152,'[4]geoMap (1)'!$A:$C,3,0)</f>
        <v>#REF!</v>
      </c>
      <c r="D152" s="1" t="e">
        <f>C152/VLOOKUP(A152,'[5]geoMap (2)'!$A:$B,2,0)*VLOOKUP(A152,'[5]geoMap (2)'!$A:$C,3,0)</f>
        <v>#REF!</v>
      </c>
      <c r="E152" s="1" t="e">
        <f>D152/VLOOKUP(A152,'[6]geoMap (3)'!$A:$B,2,0)*VLOOKUP(A152,'[6]geoMap (3)'!$A:$C,3,0)</f>
        <v>#REF!</v>
      </c>
      <c r="F152" s="1" t="e">
        <f>E152/VLOOKUP(A152,'[7]geoMap (4)'!$A:$B,2,0)*VLOOKUP(A152,'[7]geoMap (4)'!$A:$C,3,0)</f>
        <v>#REF!</v>
      </c>
      <c r="G152" s="1" t="e">
        <f>F152/VLOOKUP(A152,'[8]geoMap (5)'!$A:$B,2,0)*VLOOKUP(A152,'[8]geoMap (5)'!$A:$C,3,0)</f>
        <v>#REF!</v>
      </c>
      <c r="H152" s="1" t="e">
        <f>G152/VLOOKUP(A152,'[9]geoMap (6)'!$A:$B,2,0)*VLOOKUP(A152,'[9]geoMap (6)'!$A:$C,3,0)</f>
        <v>#REF!</v>
      </c>
      <c r="I152" s="1" t="e">
        <f>H152/VLOOKUP(A152,'[10]geoMap (7)'!$A:$B,2,0)*VLOOKUP(A152,'[10]geoMap (7)'!$A:$C,3,0)</f>
        <v>#REF!</v>
      </c>
      <c r="J152" s="1" t="e">
        <f>I152/VLOOKUP(A152,'[11]geoMap (8)'!$A:$B,2,0)*VLOOKUP(A152,'[11]geoMap (8)'!$A:$C,3,0)</f>
        <v>#REF!</v>
      </c>
      <c r="K152" s="1" t="e">
        <f>J152/VLOOKUP(A152,'[12]geoMap (9)'!$A:$B,2,0)*VLOOKUP(A152,'[12]geoMap (9)'!$A:$C,3,0)</f>
        <v>#REF!</v>
      </c>
      <c r="L152" s="1" t="e">
        <f>K152/VLOOKUP(A152,'[13]geoMap (10)'!$A:$B,2,0)*VLOOKUP(A152,'[13]geoMap (10)'!$A:$C,3,0)</f>
        <v>#REF!</v>
      </c>
      <c r="M152" s="1" t="e">
        <f>L152/VLOOKUP(A152,'[14]geoMap (11)'!$A:$B,2,0)*VLOOKUP(A152,'[14]geoMap (11)'!$A:$C,3,0)</f>
        <v>#REF!</v>
      </c>
      <c r="N152" s="1" t="e">
        <f>M152/VLOOKUP(A152,'[15]geoMap (12)'!$A:$B,2,0)*VLOOKUP(A152,'[15]geoMap (12)'!$A:$C,3,0)</f>
        <v>#REF!</v>
      </c>
      <c r="O152" s="1" t="e">
        <f>N152/VLOOKUP(A152,'[16]geoMap (13)'!$A:$B,2,0)*VLOOKUP(A152,'[16]geoMap (13)'!$A:$C,3,0)</f>
        <v>#REF!</v>
      </c>
      <c r="P152" s="1" t="e">
        <f>O152/VLOOKUP(A152,'[17]geoMap (14)'!$A:$B,2,0)*VLOOKUP(A152,'[17]geoMap (14)'!$A:$C,3,0)</f>
        <v>#REF!</v>
      </c>
      <c r="Q152" s="1" t="e">
        <f>P152/VLOOKUP(A152,'[18]geoMap (15)'!$A:$B,2,0)*VLOOKUP(A152,'[18]geoMap (15)'!$A:$C,3,0)</f>
        <v>#REF!</v>
      </c>
      <c r="R152" s="1" t="e">
        <f>Q152/VLOOKUP(A152,'[19]geoMap (16)'!$A:$B,2,0)*VLOOKUP(A152,'[19]geoMap (16)'!$A:$C,3,0)</f>
        <v>#REF!</v>
      </c>
      <c r="S152" s="1" t="e">
        <f>R152/VLOOKUP(A152,'[20]geoMap (17)'!$A:$B,2,0)*VLOOKUP(A152,'[20]geoMap (17)'!$A:$C,3,0)</f>
        <v>#REF!</v>
      </c>
      <c r="T152" s="1" t="e">
        <f>S152/VLOOKUP(A152,'[21]geoMap (18)'!$A:$B,2,0)*VLOOKUP(A152,'[21]geoMap (18)'!$A:$C,3,0)</f>
        <v>#REF!</v>
      </c>
      <c r="U152" s="1" t="e">
        <f>T152/VLOOKUP(A152,'[22]geoMap (19)'!$A:$B,2,0)*VLOOKUP(A152,'[22]geoMap (19)'!$A:$C,3,0)</f>
        <v>#REF!</v>
      </c>
      <c r="V152" s="1" t="e">
        <f>U152/VLOOKUP(A152,'[23]geoMap (20)'!$A:$B,2,0)*VLOOKUP(A152,'[23]geoMap (20)'!$A:$C,3,0)</f>
        <v>#REF!</v>
      </c>
      <c r="W152" s="1" t="e">
        <f>V152/VLOOKUP(A152,'[24]geoMap (21)'!$A:$B,2,0)*VLOOKUP(A152,'[24]geoMap (21)'!$A:$C,3,0)</f>
        <v>#REF!</v>
      </c>
      <c r="X152" s="1" t="e">
        <f>W152/VLOOKUP(A152,'[25]geoMap (22)'!$A:$B,2,0)*VLOOKUP(A152,'[25]geoMap (22)'!$A:$C,3,0)</f>
        <v>#REF!</v>
      </c>
      <c r="Y152" s="1" t="e">
        <f>X152/VLOOKUP(A152,'[26]geoMap (23)'!$A:$B,2,0)*VLOOKUP(A152,'[26]geoMap (23)'!$A:$C,3,0)</f>
        <v>#REF!</v>
      </c>
      <c r="Z152" s="1" t="e">
        <f>Y152/VLOOKUP(A152,'[27]geoMap (24)'!$A:$B,2,0)*VLOOKUP(A152,'[27]geoMap (24)'!$A:$C,3,0)</f>
        <v>#REF!</v>
      </c>
      <c r="AA152" s="1" t="e">
        <f>Z152/VLOOKUP(A152,'[28]geoMap (25)'!$A:$B,2,0)*VLOOKUP(A152,'[28]geoMap (25)'!$A:$C,3,0)</f>
        <v>#REF!</v>
      </c>
      <c r="AB152" s="1" t="e">
        <f>AA152*VLOOKUP(A152,'[29]geoMap (26)'!$A:$B,2,0)*VLOOKUP(A152,'[29]geoMap (26)'!$A:$C,3,0)</f>
        <v>#REF!</v>
      </c>
      <c r="AC152" s="1" t="e">
        <f>AB152/VLOOKUP(A152,'[30]geoMap (27)'!$A:$B,2,0)*VLOOKUP(A152,'[30]geoMap (27)'!$A:$C,3,0)</f>
        <v>#REF!</v>
      </c>
      <c r="AD152" s="1" t="e">
        <f>AC152/VLOOKUP(A152,'[31]geoMap (28)'!$A:$B,2,0)*VLOOKUP(A152,'[31]geoMap (28)'!$A:$C,3,0)</f>
        <v>#REF!</v>
      </c>
      <c r="AE152" s="1" t="e">
        <f>AD152/VLOOKUP(A152,'[32]geoMap (29)'!$A:$B,2,0)*VLOOKUP(A152,'[32]geoMap (29)'!$A:$C,3,0)</f>
        <v>#REF!</v>
      </c>
      <c r="AF152" s="1" t="e">
        <f>AE152/VLOOKUP(A152,'[33]geoMap (30)'!$A:$B,2,0)*VLOOKUP(A152,'[33]geoMap (30)'!$A:$C,3,0)</f>
        <v>#REF!</v>
      </c>
      <c r="AG152" s="1" t="e">
        <f>AF152/VLOOKUP(A152,'[34]geoMap (31)'!$A:$B,2,0)*VLOOKUP(A152,'[34]geoMap (31)'!$A:$C,3,0)</f>
        <v>#REF!</v>
      </c>
      <c r="AH152" s="1" t="e">
        <f>AG152/VLOOKUP(A152,'[35]geoMap (32)'!$A:$B,2,0)*VLOOKUP(A152,'[35]geoMap (32)'!$A:$C,3,0)</f>
        <v>#REF!</v>
      </c>
      <c r="AI152" s="1" t="e">
        <f>AH152/VLOOKUP(A152,'[36]geoMap (33)'!$A:$B,2,0)*VLOOKUP(A152,'[36]geoMap (33)'!$A:$C,3,0)</f>
        <v>#REF!</v>
      </c>
      <c r="AJ152" s="1" t="e">
        <f>AI152/VLOOKUP(A152,'[37]geoMap (34)'!$A:$B,2,0)*VLOOKUP(A152,'[37]geoMap (34)'!$A:$C,3,0)</f>
        <v>#REF!</v>
      </c>
      <c r="AK152" s="1" t="e">
        <f>AJ152/VLOOKUP(A152,'[38]geoMap (35)'!$A:$B,2,0)*VLOOKUP(A152,'[38]geoMap (35)'!$A:$C,3,0)</f>
        <v>#REF!</v>
      </c>
      <c r="AL152" s="1" t="e">
        <f>AK152/VLOOKUP(A152,'[39]geoMap (36)'!$A:$B,2,0)*VLOOKUP(A152,'[39]geoMap (36)'!$A:$C,3,0)</f>
        <v>#REF!</v>
      </c>
      <c r="AM152" s="1" t="e">
        <f>AL152/VLOOKUP(A152,'[40]geoMap (37)'!$A:$B,2,0)*VLOOKUP(A152,'[40]geoMap (37)'!$A:$C,3,0)</f>
        <v>#REF!</v>
      </c>
      <c r="AN152" s="1" t="e">
        <f>AM152/VLOOKUP(A152,'[41]geoMap (38)'!$A:$B,2,0)*VLOOKUP(A152,'[41]geoMap (38)'!$A:$C,3,0)</f>
        <v>#REF!</v>
      </c>
      <c r="AO152" s="1" t="e">
        <f>AN152/VLOOKUP(A152,'[42]geoMap (39)'!$A:$B,2,0)*VLOOKUP(A152,'[42]geoMap (39)'!$A:$C,3,0)</f>
        <v>#REF!</v>
      </c>
      <c r="AP152" s="1" t="e">
        <f>AO152/VLOOKUP(A152,'[43]geoMap (40)'!$A:$B,2,0)*VLOOKUP(A152,'[43]geoMap (40)'!$A:$C,3,0)</f>
        <v>#REF!</v>
      </c>
      <c r="AQ152" s="1" t="e">
        <f>AP152/VLOOKUP(A152,'[44]geoMap (41)'!$A:$B,2,0)*VLOOKUP(A152,'[44]geoMap (41)'!$A:$C,3,0)</f>
        <v>#REF!</v>
      </c>
      <c r="AR152" s="1" t="e">
        <f>AQ152/VLOOKUP(A152,'[45]geoMap (42)'!$A:$B,2,0)*VLOOKUP(A152,'[45]geoMap (42)'!$A:$C,3,0)</f>
        <v>#REF!</v>
      </c>
      <c r="AS152" s="1" t="e">
        <f>AR152/VLOOKUP(A152,'[46]geoMap (43)'!$A:$B,2,0)*VLOOKUP(A152,'[46]geoMap (43)'!$A:$C,3,0)</f>
        <v>#REF!</v>
      </c>
      <c r="AT152" s="1" t="e">
        <f>AS152/VLOOKUP(A152,'[47]geoMap (44)'!$A:$B,2,0)*VLOOKUP(A152,'[47]geoMap (44)'!$A:$C,3,0)</f>
        <v>#REF!</v>
      </c>
      <c r="AU152" s="1" t="e">
        <f>AT152/VLOOKUP(A152,'[48]geoMap (45)'!$A:$B,2,0)*VLOOKUP(A152,'[48]geoMap (45)'!$A:$C,3,0)</f>
        <v>#REF!</v>
      </c>
      <c r="AV152" s="1" t="e">
        <f>AU152/VLOOKUP(A152,'[49]geoMap (46)'!$A:$B,2,0)*VLOOKUP(A152,'[49]geoMap (46)'!$A:$C,3,0)</f>
        <v>#REF!</v>
      </c>
      <c r="AW152" s="1" t="e">
        <f>AV152/VLOOKUP(A152,'[50]geoMap (47)'!$A:$B,2,0)*VLOOKUP(A152,'[50]geoMap (47)'!$A:$C,3,0)</f>
        <v>#REF!</v>
      </c>
      <c r="AX152" s="1" t="e">
        <f>AW152/VLOOKUP(A152,'[51]geoMap (48)'!$A:$B,2,0)*VLOOKUP(A152,'[51]geoMap (48)'!$A:$C,3,0)</f>
        <v>#REF!</v>
      </c>
      <c r="AY152" s="1" t="e">
        <f>AX152/VLOOKUP(A152,'[52]geoMap (49)'!$A:$B,2,0)*VLOOKUP(A152,'[52]geoMap (49)'!$A:$C,3,0)</f>
        <v>#REF!</v>
      </c>
      <c r="AZ152" s="1" t="e">
        <f>AY152/VLOOKUP(A152,'[53]geoMap (50)'!$A:$B,2,0)*VLOOKUP(A152,'[53]geoMap (50)'!$A:$C,3,0)</f>
        <v>#REF!</v>
      </c>
      <c r="BA152" s="1" t="e">
        <f>AZ152/VLOOKUP(A152,'[54]geoMap (51)'!$A:$B,2,0)*VLOOKUP(A152,'[54]geoMap (51)'!$A:$C,3,0)</f>
        <v>#REF!</v>
      </c>
      <c r="BB152" s="1" t="e">
        <f>BA152/VLOOKUP(A152,'[55]geoMap (52)'!$A:$B,2,0)*VLOOKUP(A152,'[55]geoMap (52)'!$A:$C,3,0)</f>
        <v>#REF!</v>
      </c>
      <c r="BC152" s="1" t="e">
        <f>BB152/VLOOKUP(A152,'[56]geoMap (53)'!$A:$B,2,0)*VLOOKUP(A152,'[56]geoMap (53)'!$A:$C,3,0)</f>
        <v>#REF!</v>
      </c>
      <c r="BD152" s="1" t="e">
        <f>BC152/VLOOKUP(A152,'[57]geoMap (54)'!$A:$B,2,0)*VLOOKUP(A152,'[57]geoMap (54)'!$A:$C,3,0)</f>
        <v>#REF!</v>
      </c>
      <c r="BE152" s="1" t="e">
        <f>BD152/VLOOKUP(A152,'[58]geoMap (55)'!$A:$B,2,0)*VLOOKUP(A152,'[58]geoMap (55)'!$A:$C,3,0)</f>
        <v>#REF!</v>
      </c>
      <c r="BF152" s="1" t="e">
        <f>BE152/VLOOKUP(A152,'[59]geoMap (56)'!$A:$B,2,0)*VLOOKUP(A152,'[59]geoMap (56)'!$A:$C,3,0)</f>
        <v>#REF!</v>
      </c>
      <c r="BG152" s="1" t="e">
        <f>BF152/VLOOKUP(A152,'[60]geoMap (57)'!$A:$B,2,0)*VLOOKUP(A152,'[60]geoMap (57)'!$A:$C,3,0)</f>
        <v>#REF!</v>
      </c>
      <c r="BH152" s="1" t="e">
        <f>BG152/VLOOKUP(A152,'[61]geoMap (58)'!$A:$B,2,0)*VLOOKUP(A152,'[61]geoMap (58)'!$A:$C,3,0)</f>
        <v>#REF!</v>
      </c>
      <c r="BI152" s="1" t="e">
        <f>BH152/VLOOKUP(A152,'[62]geoMap (59)'!$A:$B,2,0)*VLOOKUP(A152,'[62]geoMap (59)'!$A:$C,3,0)</f>
        <v>#REF!</v>
      </c>
      <c r="BJ152" s="1" t="e">
        <f>BI152/VLOOKUP(A152,'[63]geoMap (60)'!$A:$B,2,0)*VLOOKUP(A152,'[63]geoMap (60)'!$A:$C,3,0)</f>
        <v>#REF!</v>
      </c>
      <c r="BK152" s="1" t="e">
        <f>BJ152/VLOOKUP(A152,'[64]geoMap (61)'!$A:$B,2,0)*VLOOKUP(A152,'[64]geoMap (61)'!$A:$C,3,0)</f>
        <v>#REF!</v>
      </c>
      <c r="BL152" s="1" t="e">
        <f>BK152/VLOOKUP(A152,'[65]geoMap (62)'!$A:$B,2,0)*VLOOKUP(A152,'[65]geoMap (62)'!$A:$C,3,0)</f>
        <v>#REF!</v>
      </c>
      <c r="BM152" s="1" t="e">
        <f>BL152/VLOOKUP(A152,'[66]geoMap (63)'!$A:$B,2,0)*VLOOKUP(A152,'[66]geoMap (63)'!$A:$C,3,0)</f>
        <v>#REF!</v>
      </c>
      <c r="BN152" s="1" t="e">
        <f>BM152/VLOOKUP(A152,'[67]geoMap (64)'!$A:$B,2,0)*VLOOKUP(A152,'[67]geoMap (64)'!$A:$C,3,0)</f>
        <v>#REF!</v>
      </c>
      <c r="BO152" s="1" t="e">
        <f>BN152/VLOOKUP(A152,'[68]geoMap (65)'!$A:$B,2,0)*VLOOKUP(A152,'[68]geoMap (65)'!$A:$C,3,0)</f>
        <v>#REF!</v>
      </c>
      <c r="BP152" s="1" t="e">
        <f>BO152/VLOOKUP(A152,'[69]geoMap (66)'!$A:$B,2,0)*VLOOKUP(A152,'[69]geoMap (66)'!$A:$C,3,0)</f>
        <v>#REF!</v>
      </c>
    </row>
    <row r="153" spans="1:68" hidden="1" x14ac:dyDescent="0.2">
      <c r="A153" s="1" t="s">
        <v>138</v>
      </c>
      <c r="B153" s="1" t="e">
        <f>VLOOKUP(A153,[3]geoMap!$A:$B,2,0)*Notes!$C$6</f>
        <v>#REF!</v>
      </c>
      <c r="C153" s="1" t="e">
        <f>B153/VLOOKUP(A153,'[4]geoMap (1)'!$A:$B,2,0)*VLOOKUP(A153,'[4]geoMap (1)'!$A:$C,3,0)</f>
        <v>#REF!</v>
      </c>
      <c r="D153" s="1" t="e">
        <f>C153/VLOOKUP(A153,'[5]geoMap (2)'!$A:$B,2,0)*VLOOKUP(A153,'[5]geoMap (2)'!$A:$C,3,0)</f>
        <v>#REF!</v>
      </c>
      <c r="E153" s="1" t="e">
        <f>D153/VLOOKUP(A153,'[6]geoMap (3)'!$A:$B,2,0)*VLOOKUP(A153,'[6]geoMap (3)'!$A:$C,3,0)</f>
        <v>#REF!</v>
      </c>
      <c r="F153" s="1" t="e">
        <f>E153/VLOOKUP(A153,'[7]geoMap (4)'!$A:$B,2,0)*VLOOKUP(A153,'[7]geoMap (4)'!$A:$C,3,0)</f>
        <v>#REF!</v>
      </c>
      <c r="G153" s="1" t="e">
        <f>F153/VLOOKUP(A153,'[8]geoMap (5)'!$A:$B,2,0)*VLOOKUP(A153,'[8]geoMap (5)'!$A:$C,3,0)</f>
        <v>#REF!</v>
      </c>
      <c r="H153" s="1" t="e">
        <f>G153/VLOOKUP(A153,'[9]geoMap (6)'!$A:$B,2,0)*VLOOKUP(A153,'[9]geoMap (6)'!$A:$C,3,0)</f>
        <v>#REF!</v>
      </c>
      <c r="I153" s="1" t="e">
        <f>H153/VLOOKUP(A153,'[10]geoMap (7)'!$A:$B,2,0)*VLOOKUP(A153,'[10]geoMap (7)'!$A:$C,3,0)</f>
        <v>#REF!</v>
      </c>
      <c r="J153" s="1" t="e">
        <f>I153/VLOOKUP(A153,'[11]geoMap (8)'!$A:$B,2,0)*VLOOKUP(A153,'[11]geoMap (8)'!$A:$C,3,0)</f>
        <v>#REF!</v>
      </c>
      <c r="K153" s="1" t="e">
        <f>J153/VLOOKUP(A153,'[12]geoMap (9)'!$A:$B,2,0)*VLOOKUP(A153,'[12]geoMap (9)'!$A:$C,3,0)</f>
        <v>#REF!</v>
      </c>
      <c r="L153" s="1" t="e">
        <f>K153/VLOOKUP(A153,'[13]geoMap (10)'!$A:$B,2,0)*VLOOKUP(A153,'[13]geoMap (10)'!$A:$C,3,0)</f>
        <v>#REF!</v>
      </c>
      <c r="M153" s="1" t="e">
        <f>L153/VLOOKUP(A153,'[14]geoMap (11)'!$A:$B,2,0)*VLOOKUP(A153,'[14]geoMap (11)'!$A:$C,3,0)</f>
        <v>#REF!</v>
      </c>
      <c r="N153" s="1" t="e">
        <f>M153/VLOOKUP(A153,'[15]geoMap (12)'!$A:$B,2,0)*VLOOKUP(A153,'[15]geoMap (12)'!$A:$C,3,0)</f>
        <v>#REF!</v>
      </c>
      <c r="O153" s="1" t="e">
        <f>N153/VLOOKUP(A153,'[16]geoMap (13)'!$A:$B,2,0)*VLOOKUP(A153,'[16]geoMap (13)'!$A:$C,3,0)</f>
        <v>#REF!</v>
      </c>
      <c r="P153" s="1" t="e">
        <f>O153/VLOOKUP(A153,'[17]geoMap (14)'!$A:$B,2,0)*VLOOKUP(A153,'[17]geoMap (14)'!$A:$C,3,0)</f>
        <v>#REF!</v>
      </c>
      <c r="Q153" s="1" t="e">
        <f>P153/VLOOKUP(A153,'[18]geoMap (15)'!$A:$B,2,0)*VLOOKUP(A153,'[18]geoMap (15)'!$A:$C,3,0)</f>
        <v>#REF!</v>
      </c>
      <c r="R153" s="1" t="e">
        <f>Q153/VLOOKUP(A153,'[19]geoMap (16)'!$A:$B,2,0)*VLOOKUP(A153,'[19]geoMap (16)'!$A:$C,3,0)</f>
        <v>#REF!</v>
      </c>
      <c r="S153" s="1" t="e">
        <f>R153/VLOOKUP(A153,'[20]geoMap (17)'!$A:$B,2,0)*VLOOKUP(A153,'[20]geoMap (17)'!$A:$C,3,0)</f>
        <v>#REF!</v>
      </c>
      <c r="T153" s="1" t="e">
        <f>S153/VLOOKUP(A153,'[21]geoMap (18)'!$A:$B,2,0)*VLOOKUP(A153,'[21]geoMap (18)'!$A:$C,3,0)</f>
        <v>#REF!</v>
      </c>
      <c r="U153" s="1" t="e">
        <f>T153/VLOOKUP(A153,'[22]geoMap (19)'!$A:$B,2,0)*VLOOKUP(A153,'[22]geoMap (19)'!$A:$C,3,0)</f>
        <v>#REF!</v>
      </c>
      <c r="V153" s="1" t="e">
        <f>U153/VLOOKUP(A153,'[23]geoMap (20)'!$A:$B,2,0)*VLOOKUP(A153,'[23]geoMap (20)'!$A:$C,3,0)</f>
        <v>#REF!</v>
      </c>
      <c r="W153" s="1" t="e">
        <f>V153/VLOOKUP(A153,'[24]geoMap (21)'!$A:$B,2,0)*VLOOKUP(A153,'[24]geoMap (21)'!$A:$C,3,0)</f>
        <v>#REF!</v>
      </c>
      <c r="X153" s="1" t="e">
        <f>W153/VLOOKUP(A153,'[25]geoMap (22)'!$A:$B,2,0)*VLOOKUP(A153,'[25]geoMap (22)'!$A:$C,3,0)</f>
        <v>#REF!</v>
      </c>
      <c r="Y153" s="1" t="e">
        <f>X153/VLOOKUP(A153,'[26]geoMap (23)'!$A:$B,2,0)*VLOOKUP(A153,'[26]geoMap (23)'!$A:$C,3,0)</f>
        <v>#REF!</v>
      </c>
      <c r="Z153" s="1" t="e">
        <f>Y153/VLOOKUP(A153,'[27]geoMap (24)'!$A:$B,2,0)*VLOOKUP(A153,'[27]geoMap (24)'!$A:$C,3,0)</f>
        <v>#REF!</v>
      </c>
      <c r="AA153" s="1" t="e">
        <f>Z153/VLOOKUP(A153,'[28]geoMap (25)'!$A:$B,2,0)*VLOOKUP(A153,'[28]geoMap (25)'!$A:$C,3,0)</f>
        <v>#REF!</v>
      </c>
      <c r="AB153" s="1" t="e">
        <f>AA153*VLOOKUP(A153,'[29]geoMap (26)'!$A:$B,2,0)*VLOOKUP(A153,'[29]geoMap (26)'!$A:$C,3,0)</f>
        <v>#REF!</v>
      </c>
      <c r="AC153" s="1" t="e">
        <f>AB153/VLOOKUP(A153,'[30]geoMap (27)'!$A:$B,2,0)*VLOOKUP(A153,'[30]geoMap (27)'!$A:$C,3,0)</f>
        <v>#REF!</v>
      </c>
      <c r="AD153" s="1" t="e">
        <f>AC153/VLOOKUP(A153,'[31]geoMap (28)'!$A:$B,2,0)*VLOOKUP(A153,'[31]geoMap (28)'!$A:$C,3,0)</f>
        <v>#REF!</v>
      </c>
      <c r="AE153" s="1" t="e">
        <f>AD153/VLOOKUP(A153,'[32]geoMap (29)'!$A:$B,2,0)*VLOOKUP(A153,'[32]geoMap (29)'!$A:$C,3,0)</f>
        <v>#REF!</v>
      </c>
      <c r="AF153" s="1" t="e">
        <f>AE153/VLOOKUP(A153,'[33]geoMap (30)'!$A:$B,2,0)*VLOOKUP(A153,'[33]geoMap (30)'!$A:$C,3,0)</f>
        <v>#REF!</v>
      </c>
      <c r="AG153" s="1" t="e">
        <f>AF153/VLOOKUP(A153,'[34]geoMap (31)'!$A:$B,2,0)*VLOOKUP(A153,'[34]geoMap (31)'!$A:$C,3,0)</f>
        <v>#REF!</v>
      </c>
      <c r="AH153" s="1" t="e">
        <f>AG153/VLOOKUP(A153,'[35]geoMap (32)'!$A:$B,2,0)*VLOOKUP(A153,'[35]geoMap (32)'!$A:$C,3,0)</f>
        <v>#REF!</v>
      </c>
      <c r="AI153" s="1" t="e">
        <f>AH153/VLOOKUP(A153,'[36]geoMap (33)'!$A:$B,2,0)*VLOOKUP(A153,'[36]geoMap (33)'!$A:$C,3,0)</f>
        <v>#REF!</v>
      </c>
      <c r="AJ153" s="1" t="e">
        <f>AI153/VLOOKUP(A153,'[37]geoMap (34)'!$A:$B,2,0)*VLOOKUP(A153,'[37]geoMap (34)'!$A:$C,3,0)</f>
        <v>#REF!</v>
      </c>
      <c r="AK153" s="1" t="e">
        <f>AJ153/VLOOKUP(A153,'[38]geoMap (35)'!$A:$B,2,0)*VLOOKUP(A153,'[38]geoMap (35)'!$A:$C,3,0)</f>
        <v>#REF!</v>
      </c>
      <c r="AL153" s="1" t="e">
        <f>AK153/VLOOKUP(A153,'[39]geoMap (36)'!$A:$B,2,0)*VLOOKUP(A153,'[39]geoMap (36)'!$A:$C,3,0)</f>
        <v>#REF!</v>
      </c>
      <c r="AM153" s="1" t="e">
        <f>AL153/VLOOKUP(A153,'[40]geoMap (37)'!$A:$B,2,0)*VLOOKUP(A153,'[40]geoMap (37)'!$A:$C,3,0)</f>
        <v>#REF!</v>
      </c>
      <c r="AN153" s="1" t="e">
        <f>AM153/VLOOKUP(A153,'[41]geoMap (38)'!$A:$B,2,0)*VLOOKUP(A153,'[41]geoMap (38)'!$A:$C,3,0)</f>
        <v>#REF!</v>
      </c>
      <c r="AO153" s="1" t="e">
        <f>AN153/VLOOKUP(A153,'[42]geoMap (39)'!$A:$B,2,0)*VLOOKUP(A153,'[42]geoMap (39)'!$A:$C,3,0)</f>
        <v>#REF!</v>
      </c>
      <c r="AP153" s="1" t="e">
        <f>AO153/VLOOKUP(A153,'[43]geoMap (40)'!$A:$B,2,0)*VLOOKUP(A153,'[43]geoMap (40)'!$A:$C,3,0)</f>
        <v>#REF!</v>
      </c>
      <c r="AQ153" s="1" t="e">
        <f>AP153/VLOOKUP(A153,'[44]geoMap (41)'!$A:$B,2,0)*VLOOKUP(A153,'[44]geoMap (41)'!$A:$C,3,0)</f>
        <v>#REF!</v>
      </c>
      <c r="AR153" s="1" t="e">
        <f>AQ153/VLOOKUP(A153,'[45]geoMap (42)'!$A:$B,2,0)*VLOOKUP(A153,'[45]geoMap (42)'!$A:$C,3,0)</f>
        <v>#REF!</v>
      </c>
      <c r="AS153" s="1" t="e">
        <f>AR153/VLOOKUP(A153,'[46]geoMap (43)'!$A:$B,2,0)*VLOOKUP(A153,'[46]geoMap (43)'!$A:$C,3,0)</f>
        <v>#REF!</v>
      </c>
      <c r="AT153" s="1" t="e">
        <f>AS153/VLOOKUP(A153,'[47]geoMap (44)'!$A:$B,2,0)*VLOOKUP(A153,'[47]geoMap (44)'!$A:$C,3,0)</f>
        <v>#REF!</v>
      </c>
      <c r="AU153" s="1" t="e">
        <f>AT153/VLOOKUP(A153,'[48]geoMap (45)'!$A:$B,2,0)*VLOOKUP(A153,'[48]geoMap (45)'!$A:$C,3,0)</f>
        <v>#REF!</v>
      </c>
      <c r="AV153" s="1" t="e">
        <f>AU153/VLOOKUP(A153,'[49]geoMap (46)'!$A:$B,2,0)*VLOOKUP(A153,'[49]geoMap (46)'!$A:$C,3,0)</f>
        <v>#REF!</v>
      </c>
      <c r="AW153" s="1" t="e">
        <f>AV153/VLOOKUP(A153,'[50]geoMap (47)'!$A:$B,2,0)*VLOOKUP(A153,'[50]geoMap (47)'!$A:$C,3,0)</f>
        <v>#REF!</v>
      </c>
      <c r="AX153" s="1" t="e">
        <f>AW153/VLOOKUP(A153,'[51]geoMap (48)'!$A:$B,2,0)*VLOOKUP(A153,'[51]geoMap (48)'!$A:$C,3,0)</f>
        <v>#REF!</v>
      </c>
      <c r="AY153" s="1" t="e">
        <f>AX153/VLOOKUP(A153,'[52]geoMap (49)'!$A:$B,2,0)*VLOOKUP(A153,'[52]geoMap (49)'!$A:$C,3,0)</f>
        <v>#REF!</v>
      </c>
      <c r="AZ153" s="1" t="e">
        <f>AY153/VLOOKUP(A153,'[53]geoMap (50)'!$A:$B,2,0)*VLOOKUP(A153,'[53]geoMap (50)'!$A:$C,3,0)</f>
        <v>#REF!</v>
      </c>
      <c r="BA153" s="1" t="e">
        <f>AZ153/VLOOKUP(A153,'[54]geoMap (51)'!$A:$B,2,0)*VLOOKUP(A153,'[54]geoMap (51)'!$A:$C,3,0)</f>
        <v>#REF!</v>
      </c>
      <c r="BB153" s="1" t="e">
        <f>BA153/VLOOKUP(A153,'[55]geoMap (52)'!$A:$B,2,0)*VLOOKUP(A153,'[55]geoMap (52)'!$A:$C,3,0)</f>
        <v>#REF!</v>
      </c>
      <c r="BC153" s="1" t="e">
        <f>BB153/VLOOKUP(A153,'[56]geoMap (53)'!$A:$B,2,0)*VLOOKUP(A153,'[56]geoMap (53)'!$A:$C,3,0)</f>
        <v>#REF!</v>
      </c>
      <c r="BD153" s="1" t="e">
        <f>BC153/VLOOKUP(A153,'[57]geoMap (54)'!$A:$B,2,0)*VLOOKUP(A153,'[57]geoMap (54)'!$A:$C,3,0)</f>
        <v>#REF!</v>
      </c>
      <c r="BE153" s="1" t="e">
        <f>BD153/VLOOKUP(A153,'[58]geoMap (55)'!$A:$B,2,0)*VLOOKUP(A153,'[58]geoMap (55)'!$A:$C,3,0)</f>
        <v>#REF!</v>
      </c>
      <c r="BF153" s="1" t="e">
        <f>BE153/VLOOKUP(A153,'[59]geoMap (56)'!$A:$B,2,0)*VLOOKUP(A153,'[59]geoMap (56)'!$A:$C,3,0)</f>
        <v>#REF!</v>
      </c>
      <c r="BG153" s="1" t="e">
        <f>BF153/VLOOKUP(A153,'[60]geoMap (57)'!$A:$B,2,0)*VLOOKUP(A153,'[60]geoMap (57)'!$A:$C,3,0)</f>
        <v>#REF!</v>
      </c>
      <c r="BH153" s="1" t="e">
        <f>BG153/VLOOKUP(A153,'[61]geoMap (58)'!$A:$B,2,0)*VLOOKUP(A153,'[61]geoMap (58)'!$A:$C,3,0)</f>
        <v>#REF!</v>
      </c>
      <c r="BI153" s="1" t="e">
        <f>BH153/VLOOKUP(A153,'[62]geoMap (59)'!$A:$B,2,0)*VLOOKUP(A153,'[62]geoMap (59)'!$A:$C,3,0)</f>
        <v>#REF!</v>
      </c>
      <c r="BJ153" s="1" t="e">
        <f>BI153/VLOOKUP(A153,'[63]geoMap (60)'!$A:$B,2,0)*VLOOKUP(A153,'[63]geoMap (60)'!$A:$C,3,0)</f>
        <v>#REF!</v>
      </c>
      <c r="BK153" s="1" t="e">
        <f>BJ153/VLOOKUP(A153,'[64]geoMap (61)'!$A:$B,2,0)*VLOOKUP(A153,'[64]geoMap (61)'!$A:$C,3,0)</f>
        <v>#REF!</v>
      </c>
      <c r="BL153" s="1" t="e">
        <f>BK153/VLOOKUP(A153,'[65]geoMap (62)'!$A:$B,2,0)*VLOOKUP(A153,'[65]geoMap (62)'!$A:$C,3,0)</f>
        <v>#REF!</v>
      </c>
      <c r="BM153" s="1" t="e">
        <f>BL153/VLOOKUP(A153,'[66]geoMap (63)'!$A:$B,2,0)*VLOOKUP(A153,'[66]geoMap (63)'!$A:$C,3,0)</f>
        <v>#REF!</v>
      </c>
      <c r="BN153" s="1" t="e">
        <f>BM153/VLOOKUP(A153,'[67]geoMap (64)'!$A:$B,2,0)*VLOOKUP(A153,'[67]geoMap (64)'!$A:$C,3,0)</f>
        <v>#REF!</v>
      </c>
      <c r="BO153" s="1" t="e">
        <f>BN153/VLOOKUP(A153,'[68]geoMap (65)'!$A:$B,2,0)*VLOOKUP(A153,'[68]geoMap (65)'!$A:$C,3,0)</f>
        <v>#REF!</v>
      </c>
      <c r="BP153" s="1" t="e">
        <f>BO153/VLOOKUP(A153,'[69]geoMap (66)'!$A:$B,2,0)*VLOOKUP(A153,'[69]geoMap (66)'!$A:$C,3,0)</f>
        <v>#REF!</v>
      </c>
    </row>
    <row r="154" spans="1:68" hidden="1" x14ac:dyDescent="0.2">
      <c r="A154" s="1" t="s">
        <v>139</v>
      </c>
      <c r="B154" s="1" t="e">
        <f>VLOOKUP(A154,[3]geoMap!$A:$B,2,0)*Notes!$C$6</f>
        <v>#REF!</v>
      </c>
      <c r="C154" s="1" t="e">
        <f>B154/VLOOKUP(A154,'[4]geoMap (1)'!$A:$B,2,0)*VLOOKUP(A154,'[4]geoMap (1)'!$A:$C,3,0)</f>
        <v>#REF!</v>
      </c>
      <c r="D154" s="1" t="e">
        <f>C154/VLOOKUP(A154,'[5]geoMap (2)'!$A:$B,2,0)*VLOOKUP(A154,'[5]geoMap (2)'!$A:$C,3,0)</f>
        <v>#REF!</v>
      </c>
      <c r="E154" s="1" t="e">
        <f>D154/VLOOKUP(A154,'[6]geoMap (3)'!$A:$B,2,0)*VLOOKUP(A154,'[6]geoMap (3)'!$A:$C,3,0)</f>
        <v>#REF!</v>
      </c>
      <c r="F154" s="1" t="e">
        <f>E154/VLOOKUP(A154,'[7]geoMap (4)'!$A:$B,2,0)*VLOOKUP(A154,'[7]geoMap (4)'!$A:$C,3,0)</f>
        <v>#REF!</v>
      </c>
      <c r="G154" s="1" t="e">
        <f>F154/VLOOKUP(A154,'[8]geoMap (5)'!$A:$B,2,0)*VLOOKUP(A154,'[8]geoMap (5)'!$A:$C,3,0)</f>
        <v>#REF!</v>
      </c>
      <c r="H154" s="1" t="e">
        <f>G154/VLOOKUP(A154,'[9]geoMap (6)'!$A:$B,2,0)*VLOOKUP(A154,'[9]geoMap (6)'!$A:$C,3,0)</f>
        <v>#REF!</v>
      </c>
      <c r="I154" s="1" t="e">
        <f>H154/VLOOKUP(A154,'[10]geoMap (7)'!$A:$B,2,0)*VLOOKUP(A154,'[10]geoMap (7)'!$A:$C,3,0)</f>
        <v>#REF!</v>
      </c>
      <c r="J154" s="1" t="e">
        <f>I154/VLOOKUP(A154,'[11]geoMap (8)'!$A:$B,2,0)*VLOOKUP(A154,'[11]geoMap (8)'!$A:$C,3,0)</f>
        <v>#REF!</v>
      </c>
      <c r="K154" s="1" t="e">
        <f>J154/VLOOKUP(A154,'[12]geoMap (9)'!$A:$B,2,0)*VLOOKUP(A154,'[12]geoMap (9)'!$A:$C,3,0)</f>
        <v>#REF!</v>
      </c>
      <c r="L154" s="1" t="e">
        <f>K154/VLOOKUP(A154,'[13]geoMap (10)'!$A:$B,2,0)*VLOOKUP(A154,'[13]geoMap (10)'!$A:$C,3,0)</f>
        <v>#REF!</v>
      </c>
      <c r="M154" s="1" t="e">
        <f>L154/VLOOKUP(A154,'[14]geoMap (11)'!$A:$B,2,0)*VLOOKUP(A154,'[14]geoMap (11)'!$A:$C,3,0)</f>
        <v>#REF!</v>
      </c>
      <c r="N154" s="1" t="e">
        <f>M154/VLOOKUP(A154,'[15]geoMap (12)'!$A:$B,2,0)*VLOOKUP(A154,'[15]geoMap (12)'!$A:$C,3,0)</f>
        <v>#REF!</v>
      </c>
      <c r="O154" s="1" t="e">
        <f>N154/VLOOKUP(A154,'[16]geoMap (13)'!$A:$B,2,0)*VLOOKUP(A154,'[16]geoMap (13)'!$A:$C,3,0)</f>
        <v>#REF!</v>
      </c>
      <c r="P154" s="1" t="e">
        <f>O154/VLOOKUP(A154,'[17]geoMap (14)'!$A:$B,2,0)*VLOOKUP(A154,'[17]geoMap (14)'!$A:$C,3,0)</f>
        <v>#REF!</v>
      </c>
      <c r="Q154" s="1" t="e">
        <f>P154/VLOOKUP(A154,'[18]geoMap (15)'!$A:$B,2,0)*VLOOKUP(A154,'[18]geoMap (15)'!$A:$C,3,0)</f>
        <v>#REF!</v>
      </c>
      <c r="R154" s="1" t="e">
        <f>Q154/VLOOKUP(A154,'[19]geoMap (16)'!$A:$B,2,0)*VLOOKUP(A154,'[19]geoMap (16)'!$A:$C,3,0)</f>
        <v>#REF!</v>
      </c>
      <c r="S154" s="1" t="e">
        <f>R154/VLOOKUP(A154,'[20]geoMap (17)'!$A:$B,2,0)*VLOOKUP(A154,'[20]geoMap (17)'!$A:$C,3,0)</f>
        <v>#REF!</v>
      </c>
      <c r="T154" s="1" t="e">
        <f>S154/VLOOKUP(A154,'[21]geoMap (18)'!$A:$B,2,0)*VLOOKUP(A154,'[21]geoMap (18)'!$A:$C,3,0)</f>
        <v>#REF!</v>
      </c>
      <c r="U154" s="1" t="e">
        <f>T154/VLOOKUP(A154,'[22]geoMap (19)'!$A:$B,2,0)*VLOOKUP(A154,'[22]geoMap (19)'!$A:$C,3,0)</f>
        <v>#REF!</v>
      </c>
      <c r="V154" s="1" t="e">
        <f>U154/VLOOKUP(A154,'[23]geoMap (20)'!$A:$B,2,0)*VLOOKUP(A154,'[23]geoMap (20)'!$A:$C,3,0)</f>
        <v>#REF!</v>
      </c>
      <c r="W154" s="1" t="e">
        <f>V154/VLOOKUP(A154,'[24]geoMap (21)'!$A:$B,2,0)*VLOOKUP(A154,'[24]geoMap (21)'!$A:$C,3,0)</f>
        <v>#REF!</v>
      </c>
      <c r="X154" s="1" t="e">
        <f>W154/VLOOKUP(A154,'[25]geoMap (22)'!$A:$B,2,0)*VLOOKUP(A154,'[25]geoMap (22)'!$A:$C,3,0)</f>
        <v>#REF!</v>
      </c>
      <c r="Y154" s="1" t="e">
        <f>X154/VLOOKUP(A154,'[26]geoMap (23)'!$A:$B,2,0)*VLOOKUP(A154,'[26]geoMap (23)'!$A:$C,3,0)</f>
        <v>#REF!</v>
      </c>
      <c r="Z154" s="1" t="e">
        <f>Y154/VLOOKUP(A154,'[27]geoMap (24)'!$A:$B,2,0)*VLOOKUP(A154,'[27]geoMap (24)'!$A:$C,3,0)</f>
        <v>#REF!</v>
      </c>
      <c r="AA154" s="1" t="e">
        <f>Z154/VLOOKUP(A154,'[28]geoMap (25)'!$A:$B,2,0)*VLOOKUP(A154,'[28]geoMap (25)'!$A:$C,3,0)</f>
        <v>#REF!</v>
      </c>
      <c r="AB154" s="1" t="e">
        <f>AA154*VLOOKUP(A154,'[29]geoMap (26)'!$A:$B,2,0)*VLOOKUP(A154,'[29]geoMap (26)'!$A:$C,3,0)</f>
        <v>#REF!</v>
      </c>
      <c r="AC154" s="1" t="e">
        <f>AB154/VLOOKUP(A154,'[30]geoMap (27)'!$A:$B,2,0)*VLOOKUP(A154,'[30]geoMap (27)'!$A:$C,3,0)</f>
        <v>#REF!</v>
      </c>
      <c r="AD154" s="1" t="e">
        <f>AC154/VLOOKUP(A154,'[31]geoMap (28)'!$A:$B,2,0)*VLOOKUP(A154,'[31]geoMap (28)'!$A:$C,3,0)</f>
        <v>#REF!</v>
      </c>
      <c r="AE154" s="1" t="e">
        <f>AD154/VLOOKUP(A154,'[32]geoMap (29)'!$A:$B,2,0)*VLOOKUP(A154,'[32]geoMap (29)'!$A:$C,3,0)</f>
        <v>#REF!</v>
      </c>
      <c r="AF154" s="1" t="e">
        <f>AE154/VLOOKUP(A154,'[33]geoMap (30)'!$A:$B,2,0)*VLOOKUP(A154,'[33]geoMap (30)'!$A:$C,3,0)</f>
        <v>#REF!</v>
      </c>
      <c r="AG154" s="1" t="e">
        <f>AF154/VLOOKUP(A154,'[34]geoMap (31)'!$A:$B,2,0)*VLOOKUP(A154,'[34]geoMap (31)'!$A:$C,3,0)</f>
        <v>#REF!</v>
      </c>
      <c r="AH154" s="1" t="e">
        <f>AG154/VLOOKUP(A154,'[35]geoMap (32)'!$A:$B,2,0)*VLOOKUP(A154,'[35]geoMap (32)'!$A:$C,3,0)</f>
        <v>#REF!</v>
      </c>
      <c r="AI154" s="1" t="e">
        <f>AH154/VLOOKUP(A154,'[36]geoMap (33)'!$A:$B,2,0)*VLOOKUP(A154,'[36]geoMap (33)'!$A:$C,3,0)</f>
        <v>#REF!</v>
      </c>
      <c r="AJ154" s="1" t="e">
        <f>AI154/VLOOKUP(A154,'[37]geoMap (34)'!$A:$B,2,0)*VLOOKUP(A154,'[37]geoMap (34)'!$A:$C,3,0)</f>
        <v>#REF!</v>
      </c>
      <c r="AK154" s="1" t="e">
        <f>AJ154/VLOOKUP(A154,'[38]geoMap (35)'!$A:$B,2,0)*VLOOKUP(A154,'[38]geoMap (35)'!$A:$C,3,0)</f>
        <v>#REF!</v>
      </c>
      <c r="AL154" s="1" t="e">
        <f>AK154/VLOOKUP(A154,'[39]geoMap (36)'!$A:$B,2,0)*VLOOKUP(A154,'[39]geoMap (36)'!$A:$C,3,0)</f>
        <v>#REF!</v>
      </c>
      <c r="AM154" s="1" t="e">
        <f>AL154/VLOOKUP(A154,'[40]geoMap (37)'!$A:$B,2,0)*VLOOKUP(A154,'[40]geoMap (37)'!$A:$C,3,0)</f>
        <v>#REF!</v>
      </c>
      <c r="AN154" s="1" t="e">
        <f>AM154/VLOOKUP(A154,'[41]geoMap (38)'!$A:$B,2,0)*VLOOKUP(A154,'[41]geoMap (38)'!$A:$C,3,0)</f>
        <v>#REF!</v>
      </c>
      <c r="AO154" s="1" t="e">
        <f>AN154/VLOOKUP(A154,'[42]geoMap (39)'!$A:$B,2,0)*VLOOKUP(A154,'[42]geoMap (39)'!$A:$C,3,0)</f>
        <v>#REF!</v>
      </c>
      <c r="AP154" s="1" t="e">
        <f>AO154/VLOOKUP(A154,'[43]geoMap (40)'!$A:$B,2,0)*VLOOKUP(A154,'[43]geoMap (40)'!$A:$C,3,0)</f>
        <v>#REF!</v>
      </c>
      <c r="AQ154" s="1" t="e">
        <f>AP154/VLOOKUP(A154,'[44]geoMap (41)'!$A:$B,2,0)*VLOOKUP(A154,'[44]geoMap (41)'!$A:$C,3,0)</f>
        <v>#REF!</v>
      </c>
      <c r="AR154" s="1" t="e">
        <f>AQ154/VLOOKUP(A154,'[45]geoMap (42)'!$A:$B,2,0)*VLOOKUP(A154,'[45]geoMap (42)'!$A:$C,3,0)</f>
        <v>#REF!</v>
      </c>
      <c r="AS154" s="1" t="e">
        <f>AR154/VLOOKUP(A154,'[46]geoMap (43)'!$A:$B,2,0)*VLOOKUP(A154,'[46]geoMap (43)'!$A:$C,3,0)</f>
        <v>#REF!</v>
      </c>
      <c r="AT154" s="1" t="e">
        <f>AS154/VLOOKUP(A154,'[47]geoMap (44)'!$A:$B,2,0)*VLOOKUP(A154,'[47]geoMap (44)'!$A:$C,3,0)</f>
        <v>#REF!</v>
      </c>
      <c r="AU154" s="1" t="e">
        <f>AT154/VLOOKUP(A154,'[48]geoMap (45)'!$A:$B,2,0)*VLOOKUP(A154,'[48]geoMap (45)'!$A:$C,3,0)</f>
        <v>#REF!</v>
      </c>
      <c r="AV154" s="1" t="e">
        <f>AU154/VLOOKUP(A154,'[49]geoMap (46)'!$A:$B,2,0)*VLOOKUP(A154,'[49]geoMap (46)'!$A:$C,3,0)</f>
        <v>#REF!</v>
      </c>
      <c r="AW154" s="1" t="e">
        <f>AV154/VLOOKUP(A154,'[50]geoMap (47)'!$A:$B,2,0)*VLOOKUP(A154,'[50]geoMap (47)'!$A:$C,3,0)</f>
        <v>#REF!</v>
      </c>
      <c r="AX154" s="1" t="e">
        <f>AW154/VLOOKUP(A154,'[51]geoMap (48)'!$A:$B,2,0)*VLOOKUP(A154,'[51]geoMap (48)'!$A:$C,3,0)</f>
        <v>#REF!</v>
      </c>
      <c r="AY154" s="1" t="e">
        <f>AX154/VLOOKUP(A154,'[52]geoMap (49)'!$A:$B,2,0)*VLOOKUP(A154,'[52]geoMap (49)'!$A:$C,3,0)</f>
        <v>#REF!</v>
      </c>
      <c r="AZ154" s="1" t="e">
        <f>AY154/VLOOKUP(A154,'[53]geoMap (50)'!$A:$B,2,0)*VLOOKUP(A154,'[53]geoMap (50)'!$A:$C,3,0)</f>
        <v>#REF!</v>
      </c>
      <c r="BA154" s="1" t="e">
        <f>AZ154/VLOOKUP(A154,'[54]geoMap (51)'!$A:$B,2,0)*VLOOKUP(A154,'[54]geoMap (51)'!$A:$C,3,0)</f>
        <v>#REF!</v>
      </c>
      <c r="BB154" s="1" t="e">
        <f>BA154/VLOOKUP(A154,'[55]geoMap (52)'!$A:$B,2,0)*VLOOKUP(A154,'[55]geoMap (52)'!$A:$C,3,0)</f>
        <v>#REF!</v>
      </c>
      <c r="BC154" s="1" t="e">
        <f>BB154/VLOOKUP(A154,'[56]geoMap (53)'!$A:$B,2,0)*VLOOKUP(A154,'[56]geoMap (53)'!$A:$C,3,0)</f>
        <v>#REF!</v>
      </c>
      <c r="BD154" s="1" t="e">
        <f>BC154/VLOOKUP(A154,'[57]geoMap (54)'!$A:$B,2,0)*VLOOKUP(A154,'[57]geoMap (54)'!$A:$C,3,0)</f>
        <v>#REF!</v>
      </c>
      <c r="BE154" s="1" t="e">
        <f>BD154/VLOOKUP(A154,'[58]geoMap (55)'!$A:$B,2,0)*VLOOKUP(A154,'[58]geoMap (55)'!$A:$C,3,0)</f>
        <v>#REF!</v>
      </c>
      <c r="BF154" s="1" t="e">
        <f>BE154/VLOOKUP(A154,'[59]geoMap (56)'!$A:$B,2,0)*VLOOKUP(A154,'[59]geoMap (56)'!$A:$C,3,0)</f>
        <v>#REF!</v>
      </c>
      <c r="BG154" s="1" t="e">
        <f>BF154/VLOOKUP(A154,'[60]geoMap (57)'!$A:$B,2,0)*VLOOKUP(A154,'[60]geoMap (57)'!$A:$C,3,0)</f>
        <v>#REF!</v>
      </c>
      <c r="BH154" s="1" t="e">
        <f>BG154/VLOOKUP(A154,'[61]geoMap (58)'!$A:$B,2,0)*VLOOKUP(A154,'[61]geoMap (58)'!$A:$C,3,0)</f>
        <v>#REF!</v>
      </c>
      <c r="BI154" s="1" t="e">
        <f>BH154/VLOOKUP(A154,'[62]geoMap (59)'!$A:$B,2,0)*VLOOKUP(A154,'[62]geoMap (59)'!$A:$C,3,0)</f>
        <v>#REF!</v>
      </c>
      <c r="BJ154" s="1" t="e">
        <f>BI154/VLOOKUP(A154,'[63]geoMap (60)'!$A:$B,2,0)*VLOOKUP(A154,'[63]geoMap (60)'!$A:$C,3,0)</f>
        <v>#REF!</v>
      </c>
      <c r="BK154" s="1" t="e">
        <f>BJ154/VLOOKUP(A154,'[64]geoMap (61)'!$A:$B,2,0)*VLOOKUP(A154,'[64]geoMap (61)'!$A:$C,3,0)</f>
        <v>#REF!</v>
      </c>
      <c r="BL154" s="1" t="e">
        <f>BK154/VLOOKUP(A154,'[65]geoMap (62)'!$A:$B,2,0)*VLOOKUP(A154,'[65]geoMap (62)'!$A:$C,3,0)</f>
        <v>#REF!</v>
      </c>
      <c r="BM154" s="1" t="e">
        <f>BL154/VLOOKUP(A154,'[66]geoMap (63)'!$A:$B,2,0)*VLOOKUP(A154,'[66]geoMap (63)'!$A:$C,3,0)</f>
        <v>#REF!</v>
      </c>
      <c r="BN154" s="1" t="e">
        <f>BM154/VLOOKUP(A154,'[67]geoMap (64)'!$A:$B,2,0)*VLOOKUP(A154,'[67]geoMap (64)'!$A:$C,3,0)</f>
        <v>#REF!</v>
      </c>
      <c r="BO154" s="1" t="e">
        <f>BN154/VLOOKUP(A154,'[68]geoMap (65)'!$A:$B,2,0)*VLOOKUP(A154,'[68]geoMap (65)'!$A:$C,3,0)</f>
        <v>#REF!</v>
      </c>
      <c r="BP154" s="1" t="e">
        <f>BO154/VLOOKUP(A154,'[69]geoMap (66)'!$A:$B,2,0)*VLOOKUP(A154,'[69]geoMap (66)'!$A:$C,3,0)</f>
        <v>#REF!</v>
      </c>
    </row>
    <row r="155" spans="1:68" hidden="1" x14ac:dyDescent="0.2">
      <c r="A155" s="1" t="s">
        <v>140</v>
      </c>
      <c r="B155" s="1" t="e">
        <f>VLOOKUP(A155,[3]geoMap!$A:$B,2,0)*Notes!$C$6</f>
        <v>#REF!</v>
      </c>
      <c r="C155" s="1" t="e">
        <f>B155/VLOOKUP(A155,'[4]geoMap (1)'!$A:$B,2,0)*VLOOKUP(A155,'[4]geoMap (1)'!$A:$C,3,0)</f>
        <v>#REF!</v>
      </c>
      <c r="D155" s="1" t="e">
        <f>C155/VLOOKUP(A155,'[5]geoMap (2)'!$A:$B,2,0)*VLOOKUP(A155,'[5]geoMap (2)'!$A:$C,3,0)</f>
        <v>#REF!</v>
      </c>
      <c r="E155" s="1" t="e">
        <f>D155/VLOOKUP(A155,'[6]geoMap (3)'!$A:$B,2,0)*VLOOKUP(A155,'[6]geoMap (3)'!$A:$C,3,0)</f>
        <v>#REF!</v>
      </c>
      <c r="F155" s="1" t="e">
        <f>E155/VLOOKUP(A155,'[7]geoMap (4)'!$A:$B,2,0)*VLOOKUP(A155,'[7]geoMap (4)'!$A:$C,3,0)</f>
        <v>#REF!</v>
      </c>
      <c r="G155" s="1" t="e">
        <f>F155/VLOOKUP(A155,'[8]geoMap (5)'!$A:$B,2,0)*VLOOKUP(A155,'[8]geoMap (5)'!$A:$C,3,0)</f>
        <v>#REF!</v>
      </c>
      <c r="H155" s="1" t="e">
        <f>G155/VLOOKUP(A155,'[9]geoMap (6)'!$A:$B,2,0)*VLOOKUP(A155,'[9]geoMap (6)'!$A:$C,3,0)</f>
        <v>#REF!</v>
      </c>
      <c r="I155" s="1" t="e">
        <f>H155/VLOOKUP(A155,'[10]geoMap (7)'!$A:$B,2,0)*VLOOKUP(A155,'[10]geoMap (7)'!$A:$C,3,0)</f>
        <v>#REF!</v>
      </c>
      <c r="J155" s="1" t="e">
        <f>I155/VLOOKUP(A155,'[11]geoMap (8)'!$A:$B,2,0)*VLOOKUP(A155,'[11]geoMap (8)'!$A:$C,3,0)</f>
        <v>#REF!</v>
      </c>
      <c r="K155" s="1" t="e">
        <f>J155/VLOOKUP(A155,'[12]geoMap (9)'!$A:$B,2,0)*VLOOKUP(A155,'[12]geoMap (9)'!$A:$C,3,0)</f>
        <v>#REF!</v>
      </c>
      <c r="L155" s="1" t="e">
        <f>K155/VLOOKUP(A155,'[13]geoMap (10)'!$A:$B,2,0)*VLOOKUP(A155,'[13]geoMap (10)'!$A:$C,3,0)</f>
        <v>#REF!</v>
      </c>
      <c r="M155" s="1" t="e">
        <f>L155/VLOOKUP(A155,'[14]geoMap (11)'!$A:$B,2,0)*VLOOKUP(A155,'[14]geoMap (11)'!$A:$C,3,0)</f>
        <v>#REF!</v>
      </c>
      <c r="N155" s="1" t="e">
        <f>M155/VLOOKUP(A155,'[15]geoMap (12)'!$A:$B,2,0)*VLOOKUP(A155,'[15]geoMap (12)'!$A:$C,3,0)</f>
        <v>#REF!</v>
      </c>
      <c r="O155" s="1" t="e">
        <f>N155/VLOOKUP(A155,'[16]geoMap (13)'!$A:$B,2,0)*VLOOKUP(A155,'[16]geoMap (13)'!$A:$C,3,0)</f>
        <v>#REF!</v>
      </c>
      <c r="P155" s="1" t="e">
        <f>O155/VLOOKUP(A155,'[17]geoMap (14)'!$A:$B,2,0)*VLOOKUP(A155,'[17]geoMap (14)'!$A:$C,3,0)</f>
        <v>#REF!</v>
      </c>
      <c r="Q155" s="1" t="e">
        <f>P155/VLOOKUP(A155,'[18]geoMap (15)'!$A:$B,2,0)*VLOOKUP(A155,'[18]geoMap (15)'!$A:$C,3,0)</f>
        <v>#REF!</v>
      </c>
      <c r="R155" s="1" t="e">
        <f>Q155/VLOOKUP(A155,'[19]geoMap (16)'!$A:$B,2,0)*VLOOKUP(A155,'[19]geoMap (16)'!$A:$C,3,0)</f>
        <v>#REF!</v>
      </c>
      <c r="S155" s="1" t="e">
        <f>R155/VLOOKUP(A155,'[20]geoMap (17)'!$A:$B,2,0)*VLOOKUP(A155,'[20]geoMap (17)'!$A:$C,3,0)</f>
        <v>#REF!</v>
      </c>
      <c r="T155" s="1" t="e">
        <f>S155/VLOOKUP(A155,'[21]geoMap (18)'!$A:$B,2,0)*VLOOKUP(A155,'[21]geoMap (18)'!$A:$C,3,0)</f>
        <v>#REF!</v>
      </c>
      <c r="U155" s="1" t="e">
        <f>T155/VLOOKUP(A155,'[22]geoMap (19)'!$A:$B,2,0)*VLOOKUP(A155,'[22]geoMap (19)'!$A:$C,3,0)</f>
        <v>#REF!</v>
      </c>
      <c r="V155" s="1" t="e">
        <f>U155/VLOOKUP(A155,'[23]geoMap (20)'!$A:$B,2,0)*VLOOKUP(A155,'[23]geoMap (20)'!$A:$C,3,0)</f>
        <v>#REF!</v>
      </c>
      <c r="W155" s="1" t="e">
        <f>V155/VLOOKUP(A155,'[24]geoMap (21)'!$A:$B,2,0)*VLOOKUP(A155,'[24]geoMap (21)'!$A:$C,3,0)</f>
        <v>#REF!</v>
      </c>
      <c r="X155" s="1" t="e">
        <f>W155/VLOOKUP(A155,'[25]geoMap (22)'!$A:$B,2,0)*VLOOKUP(A155,'[25]geoMap (22)'!$A:$C,3,0)</f>
        <v>#REF!</v>
      </c>
      <c r="Y155" s="1" t="e">
        <f>X155/VLOOKUP(A155,'[26]geoMap (23)'!$A:$B,2,0)*VLOOKUP(A155,'[26]geoMap (23)'!$A:$C,3,0)</f>
        <v>#REF!</v>
      </c>
      <c r="Z155" s="1" t="e">
        <f>Y155/VLOOKUP(A155,'[27]geoMap (24)'!$A:$B,2,0)*VLOOKUP(A155,'[27]geoMap (24)'!$A:$C,3,0)</f>
        <v>#REF!</v>
      </c>
      <c r="AA155" s="1" t="e">
        <f>Z155/VLOOKUP(A155,'[28]geoMap (25)'!$A:$B,2,0)*VLOOKUP(A155,'[28]geoMap (25)'!$A:$C,3,0)</f>
        <v>#REF!</v>
      </c>
      <c r="AB155" s="1" t="e">
        <f>AA155*VLOOKUP(A155,'[29]geoMap (26)'!$A:$B,2,0)*VLOOKUP(A155,'[29]geoMap (26)'!$A:$C,3,0)</f>
        <v>#REF!</v>
      </c>
      <c r="AC155" s="1" t="e">
        <f>AB155/VLOOKUP(A155,'[30]geoMap (27)'!$A:$B,2,0)*VLOOKUP(A155,'[30]geoMap (27)'!$A:$C,3,0)</f>
        <v>#REF!</v>
      </c>
      <c r="AD155" s="1" t="e">
        <f>AC155/VLOOKUP(A155,'[31]geoMap (28)'!$A:$B,2,0)*VLOOKUP(A155,'[31]geoMap (28)'!$A:$C,3,0)</f>
        <v>#REF!</v>
      </c>
      <c r="AE155" s="1" t="e">
        <f>AD155/VLOOKUP(A155,'[32]geoMap (29)'!$A:$B,2,0)*VLOOKUP(A155,'[32]geoMap (29)'!$A:$C,3,0)</f>
        <v>#REF!</v>
      </c>
      <c r="AF155" s="1" t="e">
        <f>AE155/VLOOKUP(A155,'[33]geoMap (30)'!$A:$B,2,0)*VLOOKUP(A155,'[33]geoMap (30)'!$A:$C,3,0)</f>
        <v>#REF!</v>
      </c>
      <c r="AG155" s="1" t="e">
        <f>AF155/VLOOKUP(A155,'[34]geoMap (31)'!$A:$B,2,0)*VLOOKUP(A155,'[34]geoMap (31)'!$A:$C,3,0)</f>
        <v>#REF!</v>
      </c>
      <c r="AH155" s="1" t="e">
        <f>AG155/VLOOKUP(A155,'[35]geoMap (32)'!$A:$B,2,0)*VLOOKUP(A155,'[35]geoMap (32)'!$A:$C,3,0)</f>
        <v>#REF!</v>
      </c>
      <c r="AI155" s="1" t="e">
        <f>AH155/VLOOKUP(A155,'[36]geoMap (33)'!$A:$B,2,0)*VLOOKUP(A155,'[36]geoMap (33)'!$A:$C,3,0)</f>
        <v>#REF!</v>
      </c>
      <c r="AJ155" s="1" t="e">
        <f>AI155/VLOOKUP(A155,'[37]geoMap (34)'!$A:$B,2,0)*VLOOKUP(A155,'[37]geoMap (34)'!$A:$C,3,0)</f>
        <v>#REF!</v>
      </c>
      <c r="AK155" s="1" t="e">
        <f>AJ155/VLOOKUP(A155,'[38]geoMap (35)'!$A:$B,2,0)*VLOOKUP(A155,'[38]geoMap (35)'!$A:$C,3,0)</f>
        <v>#REF!</v>
      </c>
      <c r="AL155" s="1" t="e">
        <f>AK155/VLOOKUP(A155,'[39]geoMap (36)'!$A:$B,2,0)*VLOOKUP(A155,'[39]geoMap (36)'!$A:$C,3,0)</f>
        <v>#REF!</v>
      </c>
      <c r="AM155" s="1" t="e">
        <f>AL155/VLOOKUP(A155,'[40]geoMap (37)'!$A:$B,2,0)*VLOOKUP(A155,'[40]geoMap (37)'!$A:$C,3,0)</f>
        <v>#REF!</v>
      </c>
      <c r="AN155" s="1" t="e">
        <f>AM155/VLOOKUP(A155,'[41]geoMap (38)'!$A:$B,2,0)*VLOOKUP(A155,'[41]geoMap (38)'!$A:$C,3,0)</f>
        <v>#REF!</v>
      </c>
      <c r="AO155" s="1" t="e">
        <f>AN155/VLOOKUP(A155,'[42]geoMap (39)'!$A:$B,2,0)*VLOOKUP(A155,'[42]geoMap (39)'!$A:$C,3,0)</f>
        <v>#REF!</v>
      </c>
      <c r="AP155" s="1" t="e">
        <f>AO155/VLOOKUP(A155,'[43]geoMap (40)'!$A:$B,2,0)*VLOOKUP(A155,'[43]geoMap (40)'!$A:$C,3,0)</f>
        <v>#REF!</v>
      </c>
      <c r="AQ155" s="1" t="e">
        <f>AP155/VLOOKUP(A155,'[44]geoMap (41)'!$A:$B,2,0)*VLOOKUP(A155,'[44]geoMap (41)'!$A:$C,3,0)</f>
        <v>#REF!</v>
      </c>
      <c r="AR155" s="1" t="e">
        <f>AQ155/VLOOKUP(A155,'[45]geoMap (42)'!$A:$B,2,0)*VLOOKUP(A155,'[45]geoMap (42)'!$A:$C,3,0)</f>
        <v>#REF!</v>
      </c>
      <c r="AS155" s="1" t="e">
        <f>AR155/VLOOKUP(A155,'[46]geoMap (43)'!$A:$B,2,0)*VLOOKUP(A155,'[46]geoMap (43)'!$A:$C,3,0)</f>
        <v>#REF!</v>
      </c>
      <c r="AT155" s="1" t="e">
        <f>AS155/VLOOKUP(A155,'[47]geoMap (44)'!$A:$B,2,0)*VLOOKUP(A155,'[47]geoMap (44)'!$A:$C,3,0)</f>
        <v>#REF!</v>
      </c>
      <c r="AU155" s="1" t="e">
        <f>AT155/VLOOKUP(A155,'[48]geoMap (45)'!$A:$B,2,0)*VLOOKUP(A155,'[48]geoMap (45)'!$A:$C,3,0)</f>
        <v>#REF!</v>
      </c>
      <c r="AV155" s="1" t="e">
        <f>AU155/VLOOKUP(A155,'[49]geoMap (46)'!$A:$B,2,0)*VLOOKUP(A155,'[49]geoMap (46)'!$A:$C,3,0)</f>
        <v>#REF!</v>
      </c>
      <c r="AW155" s="1" t="e">
        <f>AV155/VLOOKUP(A155,'[50]geoMap (47)'!$A:$B,2,0)*VLOOKUP(A155,'[50]geoMap (47)'!$A:$C,3,0)</f>
        <v>#REF!</v>
      </c>
      <c r="AX155" s="1" t="e">
        <f>AW155/VLOOKUP(A155,'[51]geoMap (48)'!$A:$B,2,0)*VLOOKUP(A155,'[51]geoMap (48)'!$A:$C,3,0)</f>
        <v>#REF!</v>
      </c>
      <c r="AY155" s="1" t="e">
        <f>AX155/VLOOKUP(A155,'[52]geoMap (49)'!$A:$B,2,0)*VLOOKUP(A155,'[52]geoMap (49)'!$A:$C,3,0)</f>
        <v>#REF!</v>
      </c>
      <c r="AZ155" s="1" t="e">
        <f>AY155/VLOOKUP(A155,'[53]geoMap (50)'!$A:$B,2,0)*VLOOKUP(A155,'[53]geoMap (50)'!$A:$C,3,0)</f>
        <v>#REF!</v>
      </c>
      <c r="BA155" s="1" t="e">
        <f>AZ155/VLOOKUP(A155,'[54]geoMap (51)'!$A:$B,2,0)*VLOOKUP(A155,'[54]geoMap (51)'!$A:$C,3,0)</f>
        <v>#REF!</v>
      </c>
      <c r="BB155" s="1" t="e">
        <f>BA155/VLOOKUP(A155,'[55]geoMap (52)'!$A:$B,2,0)*VLOOKUP(A155,'[55]geoMap (52)'!$A:$C,3,0)</f>
        <v>#REF!</v>
      </c>
      <c r="BC155" s="1" t="e">
        <f>BB155/VLOOKUP(A155,'[56]geoMap (53)'!$A:$B,2,0)*VLOOKUP(A155,'[56]geoMap (53)'!$A:$C,3,0)</f>
        <v>#REF!</v>
      </c>
      <c r="BD155" s="1" t="e">
        <f>BC155/VLOOKUP(A155,'[57]geoMap (54)'!$A:$B,2,0)*VLOOKUP(A155,'[57]geoMap (54)'!$A:$C,3,0)</f>
        <v>#REF!</v>
      </c>
      <c r="BE155" s="1" t="e">
        <f>BD155/VLOOKUP(A155,'[58]geoMap (55)'!$A:$B,2,0)*VLOOKUP(A155,'[58]geoMap (55)'!$A:$C,3,0)</f>
        <v>#REF!</v>
      </c>
      <c r="BF155" s="1" t="e">
        <f>BE155/VLOOKUP(A155,'[59]geoMap (56)'!$A:$B,2,0)*VLOOKUP(A155,'[59]geoMap (56)'!$A:$C,3,0)</f>
        <v>#REF!</v>
      </c>
      <c r="BG155" s="1" t="e">
        <f>BF155/VLOOKUP(A155,'[60]geoMap (57)'!$A:$B,2,0)*VLOOKUP(A155,'[60]geoMap (57)'!$A:$C,3,0)</f>
        <v>#REF!</v>
      </c>
      <c r="BH155" s="1" t="e">
        <f>BG155/VLOOKUP(A155,'[61]geoMap (58)'!$A:$B,2,0)*VLOOKUP(A155,'[61]geoMap (58)'!$A:$C,3,0)</f>
        <v>#REF!</v>
      </c>
      <c r="BI155" s="1" t="e">
        <f>BH155/VLOOKUP(A155,'[62]geoMap (59)'!$A:$B,2,0)*VLOOKUP(A155,'[62]geoMap (59)'!$A:$C,3,0)</f>
        <v>#REF!</v>
      </c>
      <c r="BJ155" s="1" t="e">
        <f>BI155/VLOOKUP(A155,'[63]geoMap (60)'!$A:$B,2,0)*VLOOKUP(A155,'[63]geoMap (60)'!$A:$C,3,0)</f>
        <v>#REF!</v>
      </c>
      <c r="BK155" s="1" t="e">
        <f>BJ155/VLOOKUP(A155,'[64]geoMap (61)'!$A:$B,2,0)*VLOOKUP(A155,'[64]geoMap (61)'!$A:$C,3,0)</f>
        <v>#REF!</v>
      </c>
      <c r="BL155" s="1" t="e">
        <f>BK155/VLOOKUP(A155,'[65]geoMap (62)'!$A:$B,2,0)*VLOOKUP(A155,'[65]geoMap (62)'!$A:$C,3,0)</f>
        <v>#REF!</v>
      </c>
      <c r="BM155" s="1" t="e">
        <f>BL155/VLOOKUP(A155,'[66]geoMap (63)'!$A:$B,2,0)*VLOOKUP(A155,'[66]geoMap (63)'!$A:$C,3,0)</f>
        <v>#REF!</v>
      </c>
      <c r="BN155" s="1" t="e">
        <f>BM155/VLOOKUP(A155,'[67]geoMap (64)'!$A:$B,2,0)*VLOOKUP(A155,'[67]geoMap (64)'!$A:$C,3,0)</f>
        <v>#REF!</v>
      </c>
      <c r="BO155" s="1" t="e">
        <f>BN155/VLOOKUP(A155,'[68]geoMap (65)'!$A:$B,2,0)*VLOOKUP(A155,'[68]geoMap (65)'!$A:$C,3,0)</f>
        <v>#REF!</v>
      </c>
      <c r="BP155" s="1" t="e">
        <f>BO155/VLOOKUP(A155,'[69]geoMap (66)'!$A:$B,2,0)*VLOOKUP(A155,'[69]geoMap (66)'!$A:$C,3,0)</f>
        <v>#REF!</v>
      </c>
    </row>
    <row r="156" spans="1:68" hidden="1" x14ac:dyDescent="0.2">
      <c r="A156" s="1" t="s">
        <v>141</v>
      </c>
      <c r="B156" s="1" t="e">
        <f>VLOOKUP(A156,[3]geoMap!$A:$B,2,0)*Notes!$C$6</f>
        <v>#REF!</v>
      </c>
      <c r="C156" s="1" t="e">
        <f>B156/VLOOKUP(A156,'[4]geoMap (1)'!$A:$B,2,0)*VLOOKUP(A156,'[4]geoMap (1)'!$A:$C,3,0)</f>
        <v>#REF!</v>
      </c>
      <c r="D156" s="1" t="e">
        <f>C156/VLOOKUP(A156,'[5]geoMap (2)'!$A:$B,2,0)*VLOOKUP(A156,'[5]geoMap (2)'!$A:$C,3,0)</f>
        <v>#REF!</v>
      </c>
      <c r="E156" s="1" t="e">
        <f>D156/VLOOKUP(A156,'[6]geoMap (3)'!$A:$B,2,0)*VLOOKUP(A156,'[6]geoMap (3)'!$A:$C,3,0)</f>
        <v>#REF!</v>
      </c>
      <c r="F156" s="1" t="e">
        <f>E156/VLOOKUP(A156,'[7]geoMap (4)'!$A:$B,2,0)*VLOOKUP(A156,'[7]geoMap (4)'!$A:$C,3,0)</f>
        <v>#REF!</v>
      </c>
      <c r="G156" s="1" t="e">
        <f>F156/VLOOKUP(A156,'[8]geoMap (5)'!$A:$B,2,0)*VLOOKUP(A156,'[8]geoMap (5)'!$A:$C,3,0)</f>
        <v>#REF!</v>
      </c>
      <c r="H156" s="1" t="e">
        <f>G156/VLOOKUP(A156,'[9]geoMap (6)'!$A:$B,2,0)*VLOOKUP(A156,'[9]geoMap (6)'!$A:$C,3,0)</f>
        <v>#REF!</v>
      </c>
      <c r="I156" s="1" t="e">
        <f>H156/VLOOKUP(A156,'[10]geoMap (7)'!$A:$B,2,0)*VLOOKUP(A156,'[10]geoMap (7)'!$A:$C,3,0)</f>
        <v>#REF!</v>
      </c>
      <c r="J156" s="1" t="e">
        <f>I156/VLOOKUP(A156,'[11]geoMap (8)'!$A:$B,2,0)*VLOOKUP(A156,'[11]geoMap (8)'!$A:$C,3,0)</f>
        <v>#REF!</v>
      </c>
      <c r="K156" s="1" t="e">
        <f>J156/VLOOKUP(A156,'[12]geoMap (9)'!$A:$B,2,0)*VLOOKUP(A156,'[12]geoMap (9)'!$A:$C,3,0)</f>
        <v>#REF!</v>
      </c>
      <c r="L156" s="1" t="e">
        <f>K156/VLOOKUP(A156,'[13]geoMap (10)'!$A:$B,2,0)*VLOOKUP(A156,'[13]geoMap (10)'!$A:$C,3,0)</f>
        <v>#REF!</v>
      </c>
      <c r="M156" s="1" t="e">
        <f>L156/VLOOKUP(A156,'[14]geoMap (11)'!$A:$B,2,0)*VLOOKUP(A156,'[14]geoMap (11)'!$A:$C,3,0)</f>
        <v>#REF!</v>
      </c>
      <c r="N156" s="1" t="e">
        <f>M156/VLOOKUP(A156,'[15]geoMap (12)'!$A:$B,2,0)*VLOOKUP(A156,'[15]geoMap (12)'!$A:$C,3,0)</f>
        <v>#REF!</v>
      </c>
      <c r="O156" s="1" t="e">
        <f>N156/VLOOKUP(A156,'[16]geoMap (13)'!$A:$B,2,0)*VLOOKUP(A156,'[16]geoMap (13)'!$A:$C,3,0)</f>
        <v>#REF!</v>
      </c>
      <c r="P156" s="1" t="e">
        <f>O156/VLOOKUP(A156,'[17]geoMap (14)'!$A:$B,2,0)*VLOOKUP(A156,'[17]geoMap (14)'!$A:$C,3,0)</f>
        <v>#REF!</v>
      </c>
      <c r="Q156" s="1" t="e">
        <f>P156/VLOOKUP(A156,'[18]geoMap (15)'!$A:$B,2,0)*VLOOKUP(A156,'[18]geoMap (15)'!$A:$C,3,0)</f>
        <v>#REF!</v>
      </c>
      <c r="R156" s="1" t="e">
        <f>Q156/VLOOKUP(A156,'[19]geoMap (16)'!$A:$B,2,0)*VLOOKUP(A156,'[19]geoMap (16)'!$A:$C,3,0)</f>
        <v>#REF!</v>
      </c>
      <c r="S156" s="1" t="e">
        <f>R156/VLOOKUP(A156,'[20]geoMap (17)'!$A:$B,2,0)*VLOOKUP(A156,'[20]geoMap (17)'!$A:$C,3,0)</f>
        <v>#REF!</v>
      </c>
      <c r="T156" s="1" t="e">
        <f>S156/VLOOKUP(A156,'[21]geoMap (18)'!$A:$B,2,0)*VLOOKUP(A156,'[21]geoMap (18)'!$A:$C,3,0)</f>
        <v>#REF!</v>
      </c>
      <c r="U156" s="1" t="e">
        <f>T156/VLOOKUP(A156,'[22]geoMap (19)'!$A:$B,2,0)*VLOOKUP(A156,'[22]geoMap (19)'!$A:$C,3,0)</f>
        <v>#REF!</v>
      </c>
      <c r="V156" s="1" t="e">
        <f>U156/VLOOKUP(A156,'[23]geoMap (20)'!$A:$B,2,0)*VLOOKUP(A156,'[23]geoMap (20)'!$A:$C,3,0)</f>
        <v>#REF!</v>
      </c>
      <c r="W156" s="1" t="e">
        <f>V156/VLOOKUP(A156,'[24]geoMap (21)'!$A:$B,2,0)*VLOOKUP(A156,'[24]geoMap (21)'!$A:$C,3,0)</f>
        <v>#REF!</v>
      </c>
      <c r="X156" s="1" t="e">
        <f>W156/VLOOKUP(A156,'[25]geoMap (22)'!$A:$B,2,0)*VLOOKUP(A156,'[25]geoMap (22)'!$A:$C,3,0)</f>
        <v>#REF!</v>
      </c>
      <c r="Y156" s="1" t="e">
        <f>X156/VLOOKUP(A156,'[26]geoMap (23)'!$A:$B,2,0)*VLOOKUP(A156,'[26]geoMap (23)'!$A:$C,3,0)</f>
        <v>#REF!</v>
      </c>
      <c r="Z156" s="1" t="e">
        <f>Y156/VLOOKUP(A156,'[27]geoMap (24)'!$A:$B,2,0)*VLOOKUP(A156,'[27]geoMap (24)'!$A:$C,3,0)</f>
        <v>#REF!</v>
      </c>
      <c r="AA156" s="1" t="e">
        <f>Z156/VLOOKUP(A156,'[28]geoMap (25)'!$A:$B,2,0)*VLOOKUP(A156,'[28]geoMap (25)'!$A:$C,3,0)</f>
        <v>#REF!</v>
      </c>
      <c r="AB156" s="1" t="e">
        <f>AA156*VLOOKUP(A156,'[29]geoMap (26)'!$A:$B,2,0)*VLOOKUP(A156,'[29]geoMap (26)'!$A:$C,3,0)</f>
        <v>#REF!</v>
      </c>
      <c r="AC156" s="1" t="e">
        <f>AB156/VLOOKUP(A156,'[30]geoMap (27)'!$A:$B,2,0)*VLOOKUP(A156,'[30]geoMap (27)'!$A:$C,3,0)</f>
        <v>#REF!</v>
      </c>
      <c r="AD156" s="1" t="e">
        <f>AC156/VLOOKUP(A156,'[31]geoMap (28)'!$A:$B,2,0)*VLOOKUP(A156,'[31]geoMap (28)'!$A:$C,3,0)</f>
        <v>#REF!</v>
      </c>
      <c r="AE156" s="1" t="e">
        <f>AD156/VLOOKUP(A156,'[32]geoMap (29)'!$A:$B,2,0)*VLOOKUP(A156,'[32]geoMap (29)'!$A:$C,3,0)</f>
        <v>#REF!</v>
      </c>
      <c r="AF156" s="1" t="e">
        <f>AE156/VLOOKUP(A156,'[33]geoMap (30)'!$A:$B,2,0)*VLOOKUP(A156,'[33]geoMap (30)'!$A:$C,3,0)</f>
        <v>#REF!</v>
      </c>
      <c r="AG156" s="1" t="e">
        <f>AF156/VLOOKUP(A156,'[34]geoMap (31)'!$A:$B,2,0)*VLOOKUP(A156,'[34]geoMap (31)'!$A:$C,3,0)</f>
        <v>#REF!</v>
      </c>
      <c r="AH156" s="1" t="e">
        <f>AG156/VLOOKUP(A156,'[35]geoMap (32)'!$A:$B,2,0)*VLOOKUP(A156,'[35]geoMap (32)'!$A:$C,3,0)</f>
        <v>#REF!</v>
      </c>
      <c r="AI156" s="1" t="e">
        <f>AH156/VLOOKUP(A156,'[36]geoMap (33)'!$A:$B,2,0)*VLOOKUP(A156,'[36]geoMap (33)'!$A:$C,3,0)</f>
        <v>#REF!</v>
      </c>
      <c r="AJ156" s="1" t="e">
        <f>AI156/VLOOKUP(A156,'[37]geoMap (34)'!$A:$B,2,0)*VLOOKUP(A156,'[37]geoMap (34)'!$A:$C,3,0)</f>
        <v>#REF!</v>
      </c>
      <c r="AK156" s="1" t="e">
        <f>AJ156/VLOOKUP(A156,'[38]geoMap (35)'!$A:$B,2,0)*VLOOKUP(A156,'[38]geoMap (35)'!$A:$C,3,0)</f>
        <v>#REF!</v>
      </c>
      <c r="AL156" s="1" t="e">
        <f>AK156/VLOOKUP(A156,'[39]geoMap (36)'!$A:$B,2,0)*VLOOKUP(A156,'[39]geoMap (36)'!$A:$C,3,0)</f>
        <v>#REF!</v>
      </c>
      <c r="AM156" s="1" t="e">
        <f>AL156/VLOOKUP(A156,'[40]geoMap (37)'!$A:$B,2,0)*VLOOKUP(A156,'[40]geoMap (37)'!$A:$C,3,0)</f>
        <v>#REF!</v>
      </c>
      <c r="AN156" s="1" t="e">
        <f>AM156/VLOOKUP(A156,'[41]geoMap (38)'!$A:$B,2,0)*VLOOKUP(A156,'[41]geoMap (38)'!$A:$C,3,0)</f>
        <v>#REF!</v>
      </c>
      <c r="AO156" s="1" t="e">
        <f>AN156/VLOOKUP(A156,'[42]geoMap (39)'!$A:$B,2,0)*VLOOKUP(A156,'[42]geoMap (39)'!$A:$C,3,0)</f>
        <v>#REF!</v>
      </c>
      <c r="AP156" s="1" t="e">
        <f>AO156/VLOOKUP(A156,'[43]geoMap (40)'!$A:$B,2,0)*VLOOKUP(A156,'[43]geoMap (40)'!$A:$C,3,0)</f>
        <v>#REF!</v>
      </c>
      <c r="AQ156" s="1" t="e">
        <f>AP156/VLOOKUP(A156,'[44]geoMap (41)'!$A:$B,2,0)*VLOOKUP(A156,'[44]geoMap (41)'!$A:$C,3,0)</f>
        <v>#REF!</v>
      </c>
      <c r="AR156" s="1" t="e">
        <f>AQ156/VLOOKUP(A156,'[45]geoMap (42)'!$A:$B,2,0)*VLOOKUP(A156,'[45]geoMap (42)'!$A:$C,3,0)</f>
        <v>#REF!</v>
      </c>
      <c r="AS156" s="1" t="e">
        <f>AR156/VLOOKUP(A156,'[46]geoMap (43)'!$A:$B,2,0)*VLOOKUP(A156,'[46]geoMap (43)'!$A:$C,3,0)</f>
        <v>#REF!</v>
      </c>
      <c r="AT156" s="1" t="e">
        <f>AS156/VLOOKUP(A156,'[47]geoMap (44)'!$A:$B,2,0)*VLOOKUP(A156,'[47]geoMap (44)'!$A:$C,3,0)</f>
        <v>#REF!</v>
      </c>
      <c r="AU156" s="1" t="e">
        <f>AT156/VLOOKUP(A156,'[48]geoMap (45)'!$A:$B,2,0)*VLOOKUP(A156,'[48]geoMap (45)'!$A:$C,3,0)</f>
        <v>#REF!</v>
      </c>
      <c r="AV156" s="1" t="e">
        <f>AU156/VLOOKUP(A156,'[49]geoMap (46)'!$A:$B,2,0)*VLOOKUP(A156,'[49]geoMap (46)'!$A:$C,3,0)</f>
        <v>#REF!</v>
      </c>
      <c r="AW156" s="1" t="e">
        <f>AV156/VLOOKUP(A156,'[50]geoMap (47)'!$A:$B,2,0)*VLOOKUP(A156,'[50]geoMap (47)'!$A:$C,3,0)</f>
        <v>#REF!</v>
      </c>
      <c r="AX156" s="1" t="e">
        <f>AW156/VLOOKUP(A156,'[51]geoMap (48)'!$A:$B,2,0)*VLOOKUP(A156,'[51]geoMap (48)'!$A:$C,3,0)</f>
        <v>#REF!</v>
      </c>
      <c r="AY156" s="1" t="e">
        <f>AX156/VLOOKUP(A156,'[52]geoMap (49)'!$A:$B,2,0)*VLOOKUP(A156,'[52]geoMap (49)'!$A:$C,3,0)</f>
        <v>#REF!</v>
      </c>
      <c r="AZ156" s="1" t="e">
        <f>AY156/VLOOKUP(A156,'[53]geoMap (50)'!$A:$B,2,0)*VLOOKUP(A156,'[53]geoMap (50)'!$A:$C,3,0)</f>
        <v>#REF!</v>
      </c>
      <c r="BA156" s="1" t="e">
        <f>AZ156/VLOOKUP(A156,'[54]geoMap (51)'!$A:$B,2,0)*VLOOKUP(A156,'[54]geoMap (51)'!$A:$C,3,0)</f>
        <v>#REF!</v>
      </c>
      <c r="BB156" s="1" t="e">
        <f>BA156/VLOOKUP(A156,'[55]geoMap (52)'!$A:$B,2,0)*VLOOKUP(A156,'[55]geoMap (52)'!$A:$C,3,0)</f>
        <v>#REF!</v>
      </c>
      <c r="BC156" s="1" t="e">
        <f>BB156/VLOOKUP(A156,'[56]geoMap (53)'!$A:$B,2,0)*VLOOKUP(A156,'[56]geoMap (53)'!$A:$C,3,0)</f>
        <v>#REF!</v>
      </c>
      <c r="BD156" s="1" t="e">
        <f>BC156/VLOOKUP(A156,'[57]geoMap (54)'!$A:$B,2,0)*VLOOKUP(A156,'[57]geoMap (54)'!$A:$C,3,0)</f>
        <v>#REF!</v>
      </c>
      <c r="BE156" s="1" t="e">
        <f>BD156/VLOOKUP(A156,'[58]geoMap (55)'!$A:$B,2,0)*VLOOKUP(A156,'[58]geoMap (55)'!$A:$C,3,0)</f>
        <v>#REF!</v>
      </c>
      <c r="BF156" s="1" t="e">
        <f>BE156/VLOOKUP(A156,'[59]geoMap (56)'!$A:$B,2,0)*VLOOKUP(A156,'[59]geoMap (56)'!$A:$C,3,0)</f>
        <v>#REF!</v>
      </c>
      <c r="BG156" s="1" t="e">
        <f>BF156/VLOOKUP(A156,'[60]geoMap (57)'!$A:$B,2,0)*VLOOKUP(A156,'[60]geoMap (57)'!$A:$C,3,0)</f>
        <v>#REF!</v>
      </c>
      <c r="BH156" s="1" t="e">
        <f>BG156/VLOOKUP(A156,'[61]geoMap (58)'!$A:$B,2,0)*VLOOKUP(A156,'[61]geoMap (58)'!$A:$C,3,0)</f>
        <v>#REF!</v>
      </c>
      <c r="BI156" s="1" t="e">
        <f>BH156/VLOOKUP(A156,'[62]geoMap (59)'!$A:$B,2,0)*VLOOKUP(A156,'[62]geoMap (59)'!$A:$C,3,0)</f>
        <v>#REF!</v>
      </c>
      <c r="BJ156" s="1" t="e">
        <f>BI156/VLOOKUP(A156,'[63]geoMap (60)'!$A:$B,2,0)*VLOOKUP(A156,'[63]geoMap (60)'!$A:$C,3,0)</f>
        <v>#REF!</v>
      </c>
      <c r="BK156" s="1" t="e">
        <f>BJ156/VLOOKUP(A156,'[64]geoMap (61)'!$A:$B,2,0)*VLOOKUP(A156,'[64]geoMap (61)'!$A:$C,3,0)</f>
        <v>#REF!</v>
      </c>
      <c r="BL156" s="1" t="e">
        <f>BK156/VLOOKUP(A156,'[65]geoMap (62)'!$A:$B,2,0)*VLOOKUP(A156,'[65]geoMap (62)'!$A:$C,3,0)</f>
        <v>#REF!</v>
      </c>
      <c r="BM156" s="1" t="e">
        <f>BL156/VLOOKUP(A156,'[66]geoMap (63)'!$A:$B,2,0)*VLOOKUP(A156,'[66]geoMap (63)'!$A:$C,3,0)</f>
        <v>#REF!</v>
      </c>
      <c r="BN156" s="1" t="e">
        <f>BM156/VLOOKUP(A156,'[67]geoMap (64)'!$A:$B,2,0)*VLOOKUP(A156,'[67]geoMap (64)'!$A:$C,3,0)</f>
        <v>#REF!</v>
      </c>
      <c r="BO156" s="1" t="e">
        <f>BN156/VLOOKUP(A156,'[68]geoMap (65)'!$A:$B,2,0)*VLOOKUP(A156,'[68]geoMap (65)'!$A:$C,3,0)</f>
        <v>#REF!</v>
      </c>
      <c r="BP156" s="1" t="e">
        <f>BO156/VLOOKUP(A156,'[69]geoMap (66)'!$A:$B,2,0)*VLOOKUP(A156,'[69]geoMap (66)'!$A:$C,3,0)</f>
        <v>#REF!</v>
      </c>
    </row>
    <row r="157" spans="1:68" hidden="1" x14ac:dyDescent="0.2">
      <c r="A157" s="1" t="s">
        <v>143</v>
      </c>
      <c r="B157" s="1" t="e">
        <f>VLOOKUP(A157,[3]geoMap!$A:$B,2,0)*Notes!$C$6</f>
        <v>#REF!</v>
      </c>
      <c r="C157" s="1" t="e">
        <f>B157/VLOOKUP(A157,'[4]geoMap (1)'!$A:$B,2,0)*VLOOKUP(A157,'[4]geoMap (1)'!$A:$C,3,0)</f>
        <v>#REF!</v>
      </c>
      <c r="D157" s="1" t="e">
        <f>C157/VLOOKUP(A157,'[5]geoMap (2)'!$A:$B,2,0)*VLOOKUP(A157,'[5]geoMap (2)'!$A:$C,3,0)</f>
        <v>#REF!</v>
      </c>
      <c r="E157" s="1" t="e">
        <f>D157/VLOOKUP(A157,'[6]geoMap (3)'!$A:$B,2,0)*VLOOKUP(A157,'[6]geoMap (3)'!$A:$C,3,0)</f>
        <v>#REF!</v>
      </c>
      <c r="F157" s="1" t="e">
        <f>E157/VLOOKUP(A157,'[7]geoMap (4)'!$A:$B,2,0)*VLOOKUP(A157,'[7]geoMap (4)'!$A:$C,3,0)</f>
        <v>#REF!</v>
      </c>
      <c r="G157" s="1" t="e">
        <f>F157/VLOOKUP(A157,'[8]geoMap (5)'!$A:$B,2,0)*VLOOKUP(A157,'[8]geoMap (5)'!$A:$C,3,0)</f>
        <v>#REF!</v>
      </c>
      <c r="H157" s="1" t="e">
        <f>G157/VLOOKUP(A157,'[9]geoMap (6)'!$A:$B,2,0)*VLOOKUP(A157,'[9]geoMap (6)'!$A:$C,3,0)</f>
        <v>#REF!</v>
      </c>
      <c r="I157" s="1" t="e">
        <f>H157/VLOOKUP(A157,'[10]geoMap (7)'!$A:$B,2,0)*VLOOKUP(A157,'[10]geoMap (7)'!$A:$C,3,0)</f>
        <v>#REF!</v>
      </c>
      <c r="J157" s="1" t="e">
        <f>I157/VLOOKUP(A157,'[11]geoMap (8)'!$A:$B,2,0)*VLOOKUP(A157,'[11]geoMap (8)'!$A:$C,3,0)</f>
        <v>#REF!</v>
      </c>
      <c r="K157" s="1" t="e">
        <f>J157/VLOOKUP(A157,'[12]geoMap (9)'!$A:$B,2,0)*VLOOKUP(A157,'[12]geoMap (9)'!$A:$C,3,0)</f>
        <v>#REF!</v>
      </c>
      <c r="L157" s="1" t="e">
        <f>K157/VLOOKUP(A157,'[13]geoMap (10)'!$A:$B,2,0)*VLOOKUP(A157,'[13]geoMap (10)'!$A:$C,3,0)</f>
        <v>#REF!</v>
      </c>
      <c r="M157" s="1" t="e">
        <f>L157/VLOOKUP(A157,'[14]geoMap (11)'!$A:$B,2,0)*VLOOKUP(A157,'[14]geoMap (11)'!$A:$C,3,0)</f>
        <v>#REF!</v>
      </c>
      <c r="N157" s="1" t="e">
        <f>M157/VLOOKUP(A157,'[15]geoMap (12)'!$A:$B,2,0)*VLOOKUP(A157,'[15]geoMap (12)'!$A:$C,3,0)</f>
        <v>#REF!</v>
      </c>
      <c r="O157" s="1" t="e">
        <f>N157/VLOOKUP(A157,'[16]geoMap (13)'!$A:$B,2,0)*VLOOKUP(A157,'[16]geoMap (13)'!$A:$C,3,0)</f>
        <v>#REF!</v>
      </c>
      <c r="P157" s="1" t="e">
        <f>O157/VLOOKUP(A157,'[17]geoMap (14)'!$A:$B,2,0)*VLOOKUP(A157,'[17]geoMap (14)'!$A:$C,3,0)</f>
        <v>#REF!</v>
      </c>
      <c r="Q157" s="1" t="e">
        <f>P157/VLOOKUP(A157,'[18]geoMap (15)'!$A:$B,2,0)*VLOOKUP(A157,'[18]geoMap (15)'!$A:$C,3,0)</f>
        <v>#REF!</v>
      </c>
      <c r="R157" s="1" t="e">
        <f>Q157/VLOOKUP(A157,'[19]geoMap (16)'!$A:$B,2,0)*VLOOKUP(A157,'[19]geoMap (16)'!$A:$C,3,0)</f>
        <v>#REF!</v>
      </c>
      <c r="S157" s="1" t="e">
        <f>R157/VLOOKUP(A157,'[20]geoMap (17)'!$A:$B,2,0)*VLOOKUP(A157,'[20]geoMap (17)'!$A:$C,3,0)</f>
        <v>#REF!</v>
      </c>
      <c r="T157" s="1" t="e">
        <f>S157/VLOOKUP(A157,'[21]geoMap (18)'!$A:$B,2,0)*VLOOKUP(A157,'[21]geoMap (18)'!$A:$C,3,0)</f>
        <v>#REF!</v>
      </c>
      <c r="U157" s="1" t="e">
        <f>T157/VLOOKUP(A157,'[22]geoMap (19)'!$A:$B,2,0)*VLOOKUP(A157,'[22]geoMap (19)'!$A:$C,3,0)</f>
        <v>#REF!</v>
      </c>
      <c r="V157" s="1" t="e">
        <f>U157/VLOOKUP(A157,'[23]geoMap (20)'!$A:$B,2,0)*VLOOKUP(A157,'[23]geoMap (20)'!$A:$C,3,0)</f>
        <v>#REF!</v>
      </c>
      <c r="W157" s="1" t="e">
        <f>V157/VLOOKUP(A157,'[24]geoMap (21)'!$A:$B,2,0)*VLOOKUP(A157,'[24]geoMap (21)'!$A:$C,3,0)</f>
        <v>#REF!</v>
      </c>
      <c r="X157" s="1" t="e">
        <f>W157/VLOOKUP(A157,'[25]geoMap (22)'!$A:$B,2,0)*VLOOKUP(A157,'[25]geoMap (22)'!$A:$C,3,0)</f>
        <v>#REF!</v>
      </c>
      <c r="Y157" s="1" t="e">
        <f>X157/VLOOKUP(A157,'[26]geoMap (23)'!$A:$B,2,0)*VLOOKUP(A157,'[26]geoMap (23)'!$A:$C,3,0)</f>
        <v>#REF!</v>
      </c>
      <c r="Z157" s="1" t="e">
        <f>Y157/VLOOKUP(A157,'[27]geoMap (24)'!$A:$B,2,0)*VLOOKUP(A157,'[27]geoMap (24)'!$A:$C,3,0)</f>
        <v>#REF!</v>
      </c>
      <c r="AA157" s="1" t="e">
        <f>Z157/VLOOKUP(A157,'[28]geoMap (25)'!$A:$B,2,0)*VLOOKUP(A157,'[28]geoMap (25)'!$A:$C,3,0)</f>
        <v>#REF!</v>
      </c>
      <c r="AB157" s="1" t="e">
        <f>AA157*VLOOKUP(A157,'[29]geoMap (26)'!$A:$B,2,0)*VLOOKUP(A157,'[29]geoMap (26)'!$A:$C,3,0)</f>
        <v>#REF!</v>
      </c>
      <c r="AC157" s="1" t="e">
        <f>AB157/VLOOKUP(A157,'[30]geoMap (27)'!$A:$B,2,0)*VLOOKUP(A157,'[30]geoMap (27)'!$A:$C,3,0)</f>
        <v>#REF!</v>
      </c>
      <c r="AD157" s="1" t="e">
        <f>AC157/VLOOKUP(A157,'[31]geoMap (28)'!$A:$B,2,0)*VLOOKUP(A157,'[31]geoMap (28)'!$A:$C,3,0)</f>
        <v>#REF!</v>
      </c>
      <c r="AE157" s="1" t="e">
        <f>AD157/VLOOKUP(A157,'[32]geoMap (29)'!$A:$B,2,0)*VLOOKUP(A157,'[32]geoMap (29)'!$A:$C,3,0)</f>
        <v>#REF!</v>
      </c>
      <c r="AF157" s="1" t="e">
        <f>AE157/VLOOKUP(A157,'[33]geoMap (30)'!$A:$B,2,0)*VLOOKUP(A157,'[33]geoMap (30)'!$A:$C,3,0)</f>
        <v>#REF!</v>
      </c>
      <c r="AG157" s="1" t="e">
        <f>AF157/VLOOKUP(A157,'[34]geoMap (31)'!$A:$B,2,0)*VLOOKUP(A157,'[34]geoMap (31)'!$A:$C,3,0)</f>
        <v>#REF!</v>
      </c>
      <c r="AH157" s="1" t="e">
        <f>AG157/VLOOKUP(A157,'[35]geoMap (32)'!$A:$B,2,0)*VLOOKUP(A157,'[35]geoMap (32)'!$A:$C,3,0)</f>
        <v>#REF!</v>
      </c>
      <c r="AI157" s="1" t="e">
        <f>AH157/VLOOKUP(A157,'[36]geoMap (33)'!$A:$B,2,0)*VLOOKUP(A157,'[36]geoMap (33)'!$A:$C,3,0)</f>
        <v>#REF!</v>
      </c>
      <c r="AJ157" s="1" t="e">
        <f>AI157/VLOOKUP(A157,'[37]geoMap (34)'!$A:$B,2,0)*VLOOKUP(A157,'[37]geoMap (34)'!$A:$C,3,0)</f>
        <v>#REF!</v>
      </c>
      <c r="AK157" s="1" t="e">
        <f>AJ157/VLOOKUP(A157,'[38]geoMap (35)'!$A:$B,2,0)*VLOOKUP(A157,'[38]geoMap (35)'!$A:$C,3,0)</f>
        <v>#REF!</v>
      </c>
      <c r="AL157" s="1" t="e">
        <f>AK157/VLOOKUP(A157,'[39]geoMap (36)'!$A:$B,2,0)*VLOOKUP(A157,'[39]geoMap (36)'!$A:$C,3,0)</f>
        <v>#REF!</v>
      </c>
      <c r="AM157" s="1" t="e">
        <f>AL157/VLOOKUP(A157,'[40]geoMap (37)'!$A:$B,2,0)*VLOOKUP(A157,'[40]geoMap (37)'!$A:$C,3,0)</f>
        <v>#REF!</v>
      </c>
      <c r="AN157" s="1" t="e">
        <f>AM157/VLOOKUP(A157,'[41]geoMap (38)'!$A:$B,2,0)*VLOOKUP(A157,'[41]geoMap (38)'!$A:$C,3,0)</f>
        <v>#REF!</v>
      </c>
      <c r="AO157" s="1" t="e">
        <f>AN157/VLOOKUP(A157,'[42]geoMap (39)'!$A:$B,2,0)*VLOOKUP(A157,'[42]geoMap (39)'!$A:$C,3,0)</f>
        <v>#REF!</v>
      </c>
      <c r="AP157" s="1" t="e">
        <f>AO157/VLOOKUP(A157,'[43]geoMap (40)'!$A:$B,2,0)*VLOOKUP(A157,'[43]geoMap (40)'!$A:$C,3,0)</f>
        <v>#REF!</v>
      </c>
      <c r="AQ157" s="1" t="e">
        <f>AP157/VLOOKUP(A157,'[44]geoMap (41)'!$A:$B,2,0)*VLOOKUP(A157,'[44]geoMap (41)'!$A:$C,3,0)</f>
        <v>#REF!</v>
      </c>
      <c r="AR157" s="1" t="e">
        <f>AQ157/VLOOKUP(A157,'[45]geoMap (42)'!$A:$B,2,0)*VLOOKUP(A157,'[45]geoMap (42)'!$A:$C,3,0)</f>
        <v>#REF!</v>
      </c>
      <c r="AS157" s="1" t="e">
        <f>AR157/VLOOKUP(A157,'[46]geoMap (43)'!$A:$B,2,0)*VLOOKUP(A157,'[46]geoMap (43)'!$A:$C,3,0)</f>
        <v>#REF!</v>
      </c>
      <c r="AT157" s="1" t="e">
        <f>AS157/VLOOKUP(A157,'[47]geoMap (44)'!$A:$B,2,0)*VLOOKUP(A157,'[47]geoMap (44)'!$A:$C,3,0)</f>
        <v>#REF!</v>
      </c>
      <c r="AU157" s="1" t="e">
        <f>AT157/VLOOKUP(A157,'[48]geoMap (45)'!$A:$B,2,0)*VLOOKUP(A157,'[48]geoMap (45)'!$A:$C,3,0)</f>
        <v>#REF!</v>
      </c>
      <c r="AV157" s="1" t="e">
        <f>AU157/VLOOKUP(A157,'[49]geoMap (46)'!$A:$B,2,0)*VLOOKUP(A157,'[49]geoMap (46)'!$A:$C,3,0)</f>
        <v>#REF!</v>
      </c>
      <c r="AW157" s="1" t="e">
        <f>AV157/VLOOKUP(A157,'[50]geoMap (47)'!$A:$B,2,0)*VLOOKUP(A157,'[50]geoMap (47)'!$A:$C,3,0)</f>
        <v>#REF!</v>
      </c>
      <c r="AX157" s="1" t="e">
        <f>AW157/VLOOKUP(A157,'[51]geoMap (48)'!$A:$B,2,0)*VLOOKUP(A157,'[51]geoMap (48)'!$A:$C,3,0)</f>
        <v>#REF!</v>
      </c>
      <c r="AY157" s="1" t="e">
        <f>AX157/VLOOKUP(A157,'[52]geoMap (49)'!$A:$B,2,0)*VLOOKUP(A157,'[52]geoMap (49)'!$A:$C,3,0)</f>
        <v>#REF!</v>
      </c>
      <c r="AZ157" s="1" t="e">
        <f>AY157/VLOOKUP(A157,'[53]geoMap (50)'!$A:$B,2,0)*VLOOKUP(A157,'[53]geoMap (50)'!$A:$C,3,0)</f>
        <v>#REF!</v>
      </c>
      <c r="BA157" s="1" t="e">
        <f>AZ157/VLOOKUP(A157,'[54]geoMap (51)'!$A:$B,2,0)*VLOOKUP(A157,'[54]geoMap (51)'!$A:$C,3,0)</f>
        <v>#REF!</v>
      </c>
      <c r="BB157" s="1" t="e">
        <f>BA157/VLOOKUP(A157,'[55]geoMap (52)'!$A:$B,2,0)*VLOOKUP(A157,'[55]geoMap (52)'!$A:$C,3,0)</f>
        <v>#REF!</v>
      </c>
      <c r="BC157" s="1" t="e">
        <f>BB157/VLOOKUP(A157,'[56]geoMap (53)'!$A:$B,2,0)*VLOOKUP(A157,'[56]geoMap (53)'!$A:$C,3,0)</f>
        <v>#REF!</v>
      </c>
      <c r="BD157" s="1" t="e">
        <f>BC157/VLOOKUP(A157,'[57]geoMap (54)'!$A:$B,2,0)*VLOOKUP(A157,'[57]geoMap (54)'!$A:$C,3,0)</f>
        <v>#REF!</v>
      </c>
      <c r="BE157" s="1" t="e">
        <f>BD157/VLOOKUP(A157,'[58]geoMap (55)'!$A:$B,2,0)*VLOOKUP(A157,'[58]geoMap (55)'!$A:$C,3,0)</f>
        <v>#REF!</v>
      </c>
      <c r="BF157" s="1" t="e">
        <f>BE157/VLOOKUP(A157,'[59]geoMap (56)'!$A:$B,2,0)*VLOOKUP(A157,'[59]geoMap (56)'!$A:$C,3,0)</f>
        <v>#REF!</v>
      </c>
      <c r="BG157" s="1" t="e">
        <f>BF157/VLOOKUP(A157,'[60]geoMap (57)'!$A:$B,2,0)*VLOOKUP(A157,'[60]geoMap (57)'!$A:$C,3,0)</f>
        <v>#REF!</v>
      </c>
      <c r="BH157" s="1" t="e">
        <f>BG157/VLOOKUP(A157,'[61]geoMap (58)'!$A:$B,2,0)*VLOOKUP(A157,'[61]geoMap (58)'!$A:$C,3,0)</f>
        <v>#REF!</v>
      </c>
      <c r="BI157" s="1" t="e">
        <f>BH157/VLOOKUP(A157,'[62]geoMap (59)'!$A:$B,2,0)*VLOOKUP(A157,'[62]geoMap (59)'!$A:$C,3,0)</f>
        <v>#REF!</v>
      </c>
      <c r="BJ157" s="1" t="e">
        <f>BI157/VLOOKUP(A157,'[63]geoMap (60)'!$A:$B,2,0)*VLOOKUP(A157,'[63]geoMap (60)'!$A:$C,3,0)</f>
        <v>#REF!</v>
      </c>
      <c r="BK157" s="1" t="e">
        <f>BJ157/VLOOKUP(A157,'[64]geoMap (61)'!$A:$B,2,0)*VLOOKUP(A157,'[64]geoMap (61)'!$A:$C,3,0)</f>
        <v>#REF!</v>
      </c>
      <c r="BL157" s="1" t="e">
        <f>BK157/VLOOKUP(A157,'[65]geoMap (62)'!$A:$B,2,0)*VLOOKUP(A157,'[65]geoMap (62)'!$A:$C,3,0)</f>
        <v>#REF!</v>
      </c>
      <c r="BM157" s="1" t="e">
        <f>BL157/VLOOKUP(A157,'[66]geoMap (63)'!$A:$B,2,0)*VLOOKUP(A157,'[66]geoMap (63)'!$A:$C,3,0)</f>
        <v>#REF!</v>
      </c>
      <c r="BN157" s="1" t="e">
        <f>BM157/VLOOKUP(A157,'[67]geoMap (64)'!$A:$B,2,0)*VLOOKUP(A157,'[67]geoMap (64)'!$A:$C,3,0)</f>
        <v>#REF!</v>
      </c>
      <c r="BO157" s="1" t="e">
        <f>BN157/VLOOKUP(A157,'[68]geoMap (65)'!$A:$B,2,0)*VLOOKUP(A157,'[68]geoMap (65)'!$A:$C,3,0)</f>
        <v>#REF!</v>
      </c>
      <c r="BP157" s="1" t="e">
        <f>BO157/VLOOKUP(A157,'[69]geoMap (66)'!$A:$B,2,0)*VLOOKUP(A157,'[69]geoMap (66)'!$A:$C,3,0)</f>
        <v>#REF!</v>
      </c>
    </row>
    <row r="158" spans="1:68" hidden="1" x14ac:dyDescent="0.2">
      <c r="A158" s="1" t="s">
        <v>146</v>
      </c>
      <c r="B158" s="1" t="e">
        <f>VLOOKUP(A158,[3]geoMap!$A:$B,2,0)*Notes!$C$6</f>
        <v>#REF!</v>
      </c>
      <c r="C158" s="1" t="e">
        <f>B158/VLOOKUP(A158,'[4]geoMap (1)'!$A:$B,2,0)*VLOOKUP(A158,'[4]geoMap (1)'!$A:$C,3,0)</f>
        <v>#REF!</v>
      </c>
      <c r="D158" s="1" t="e">
        <f>C158/VLOOKUP(A158,'[5]geoMap (2)'!$A:$B,2,0)*VLOOKUP(A158,'[5]geoMap (2)'!$A:$C,3,0)</f>
        <v>#REF!</v>
      </c>
      <c r="E158" s="1" t="e">
        <f>D158/VLOOKUP(A158,'[6]geoMap (3)'!$A:$B,2,0)*VLOOKUP(A158,'[6]geoMap (3)'!$A:$C,3,0)</f>
        <v>#REF!</v>
      </c>
      <c r="F158" s="1" t="e">
        <f>E158/VLOOKUP(A158,'[7]geoMap (4)'!$A:$B,2,0)*VLOOKUP(A158,'[7]geoMap (4)'!$A:$C,3,0)</f>
        <v>#REF!</v>
      </c>
      <c r="G158" s="1" t="e">
        <f>F158/VLOOKUP(A158,'[8]geoMap (5)'!$A:$B,2,0)*VLOOKUP(A158,'[8]geoMap (5)'!$A:$C,3,0)</f>
        <v>#REF!</v>
      </c>
      <c r="H158" s="1" t="e">
        <f>G158/VLOOKUP(A158,'[9]geoMap (6)'!$A:$B,2,0)*VLOOKUP(A158,'[9]geoMap (6)'!$A:$C,3,0)</f>
        <v>#REF!</v>
      </c>
      <c r="I158" s="1" t="e">
        <f>H158/VLOOKUP(A158,'[10]geoMap (7)'!$A:$B,2,0)*VLOOKUP(A158,'[10]geoMap (7)'!$A:$C,3,0)</f>
        <v>#REF!</v>
      </c>
      <c r="J158" s="1" t="e">
        <f>I158/VLOOKUP(A158,'[11]geoMap (8)'!$A:$B,2,0)*VLOOKUP(A158,'[11]geoMap (8)'!$A:$C,3,0)</f>
        <v>#REF!</v>
      </c>
      <c r="K158" s="1" t="e">
        <f>J158/VLOOKUP(A158,'[12]geoMap (9)'!$A:$B,2,0)*VLOOKUP(A158,'[12]geoMap (9)'!$A:$C,3,0)</f>
        <v>#REF!</v>
      </c>
      <c r="L158" s="1" t="e">
        <f>K158/VLOOKUP(A158,'[13]geoMap (10)'!$A:$B,2,0)*VLOOKUP(A158,'[13]geoMap (10)'!$A:$C,3,0)</f>
        <v>#REF!</v>
      </c>
      <c r="M158" s="1" t="e">
        <f>L158/VLOOKUP(A158,'[14]geoMap (11)'!$A:$B,2,0)*VLOOKUP(A158,'[14]geoMap (11)'!$A:$C,3,0)</f>
        <v>#REF!</v>
      </c>
      <c r="N158" s="1" t="e">
        <f>M158/VLOOKUP(A158,'[15]geoMap (12)'!$A:$B,2,0)*VLOOKUP(A158,'[15]geoMap (12)'!$A:$C,3,0)</f>
        <v>#REF!</v>
      </c>
      <c r="O158" s="1" t="e">
        <f>N158/VLOOKUP(A158,'[16]geoMap (13)'!$A:$B,2,0)*VLOOKUP(A158,'[16]geoMap (13)'!$A:$C,3,0)</f>
        <v>#REF!</v>
      </c>
      <c r="P158" s="1" t="e">
        <f>O158/VLOOKUP(A158,'[17]geoMap (14)'!$A:$B,2,0)*VLOOKUP(A158,'[17]geoMap (14)'!$A:$C,3,0)</f>
        <v>#REF!</v>
      </c>
      <c r="Q158" s="1" t="e">
        <f>P158/VLOOKUP(A158,'[18]geoMap (15)'!$A:$B,2,0)*VLOOKUP(A158,'[18]geoMap (15)'!$A:$C,3,0)</f>
        <v>#REF!</v>
      </c>
      <c r="R158" s="1" t="e">
        <f>Q158/VLOOKUP(A158,'[19]geoMap (16)'!$A:$B,2,0)*VLOOKUP(A158,'[19]geoMap (16)'!$A:$C,3,0)</f>
        <v>#REF!</v>
      </c>
      <c r="S158" s="1" t="e">
        <f>R158/VLOOKUP(A158,'[20]geoMap (17)'!$A:$B,2,0)*VLOOKUP(A158,'[20]geoMap (17)'!$A:$C,3,0)</f>
        <v>#REF!</v>
      </c>
      <c r="T158" s="1" t="e">
        <f>S158/VLOOKUP(A158,'[21]geoMap (18)'!$A:$B,2,0)*VLOOKUP(A158,'[21]geoMap (18)'!$A:$C,3,0)</f>
        <v>#REF!</v>
      </c>
      <c r="U158" s="1" t="e">
        <f>T158/VLOOKUP(A158,'[22]geoMap (19)'!$A:$B,2,0)*VLOOKUP(A158,'[22]geoMap (19)'!$A:$C,3,0)</f>
        <v>#REF!</v>
      </c>
      <c r="V158" s="1" t="e">
        <f>U158/VLOOKUP(A158,'[23]geoMap (20)'!$A:$B,2,0)*VLOOKUP(A158,'[23]geoMap (20)'!$A:$C,3,0)</f>
        <v>#REF!</v>
      </c>
      <c r="W158" s="1" t="e">
        <f>V158/VLOOKUP(A158,'[24]geoMap (21)'!$A:$B,2,0)*VLOOKUP(A158,'[24]geoMap (21)'!$A:$C,3,0)</f>
        <v>#REF!</v>
      </c>
      <c r="X158" s="1" t="e">
        <f>W158/VLOOKUP(A158,'[25]geoMap (22)'!$A:$B,2,0)*VLOOKUP(A158,'[25]geoMap (22)'!$A:$C,3,0)</f>
        <v>#REF!</v>
      </c>
      <c r="Y158" s="1" t="e">
        <f>X158/VLOOKUP(A158,'[26]geoMap (23)'!$A:$B,2,0)*VLOOKUP(A158,'[26]geoMap (23)'!$A:$C,3,0)</f>
        <v>#REF!</v>
      </c>
      <c r="Z158" s="1" t="e">
        <f>Y158/VLOOKUP(A158,'[27]geoMap (24)'!$A:$B,2,0)*VLOOKUP(A158,'[27]geoMap (24)'!$A:$C,3,0)</f>
        <v>#REF!</v>
      </c>
      <c r="AA158" s="1" t="e">
        <f>Z158/VLOOKUP(A158,'[28]geoMap (25)'!$A:$B,2,0)*VLOOKUP(A158,'[28]geoMap (25)'!$A:$C,3,0)</f>
        <v>#REF!</v>
      </c>
      <c r="AB158" s="1" t="e">
        <f>AA158*VLOOKUP(A158,'[29]geoMap (26)'!$A:$B,2,0)*VLOOKUP(A158,'[29]geoMap (26)'!$A:$C,3,0)</f>
        <v>#REF!</v>
      </c>
      <c r="AC158" s="1" t="e">
        <f>AB158/VLOOKUP(A158,'[30]geoMap (27)'!$A:$B,2,0)*VLOOKUP(A158,'[30]geoMap (27)'!$A:$C,3,0)</f>
        <v>#REF!</v>
      </c>
      <c r="AD158" s="1" t="e">
        <f>AC158/VLOOKUP(A158,'[31]geoMap (28)'!$A:$B,2,0)*VLOOKUP(A158,'[31]geoMap (28)'!$A:$C,3,0)</f>
        <v>#REF!</v>
      </c>
      <c r="AE158" s="1" t="e">
        <f>AD158/VLOOKUP(A158,'[32]geoMap (29)'!$A:$B,2,0)*VLOOKUP(A158,'[32]geoMap (29)'!$A:$C,3,0)</f>
        <v>#REF!</v>
      </c>
      <c r="AF158" s="1" t="e">
        <f>AE158/VLOOKUP(A158,'[33]geoMap (30)'!$A:$B,2,0)*VLOOKUP(A158,'[33]geoMap (30)'!$A:$C,3,0)</f>
        <v>#REF!</v>
      </c>
      <c r="AG158" s="1" t="e">
        <f>AF158/VLOOKUP(A158,'[34]geoMap (31)'!$A:$B,2,0)*VLOOKUP(A158,'[34]geoMap (31)'!$A:$C,3,0)</f>
        <v>#REF!</v>
      </c>
      <c r="AH158" s="1" t="e">
        <f>AG158/VLOOKUP(A158,'[35]geoMap (32)'!$A:$B,2,0)*VLOOKUP(A158,'[35]geoMap (32)'!$A:$C,3,0)</f>
        <v>#REF!</v>
      </c>
      <c r="AI158" s="1" t="e">
        <f>AH158/VLOOKUP(A158,'[36]geoMap (33)'!$A:$B,2,0)*VLOOKUP(A158,'[36]geoMap (33)'!$A:$C,3,0)</f>
        <v>#REF!</v>
      </c>
      <c r="AJ158" s="1" t="e">
        <f>AI158/VLOOKUP(A158,'[37]geoMap (34)'!$A:$B,2,0)*VLOOKUP(A158,'[37]geoMap (34)'!$A:$C,3,0)</f>
        <v>#REF!</v>
      </c>
      <c r="AK158" s="1" t="e">
        <f>AJ158/VLOOKUP(A158,'[38]geoMap (35)'!$A:$B,2,0)*VLOOKUP(A158,'[38]geoMap (35)'!$A:$C,3,0)</f>
        <v>#REF!</v>
      </c>
      <c r="AL158" s="1" t="e">
        <f>AK158/VLOOKUP(A158,'[39]geoMap (36)'!$A:$B,2,0)*VLOOKUP(A158,'[39]geoMap (36)'!$A:$C,3,0)</f>
        <v>#REF!</v>
      </c>
      <c r="AM158" s="1" t="e">
        <f>AL158/VLOOKUP(A158,'[40]geoMap (37)'!$A:$B,2,0)*VLOOKUP(A158,'[40]geoMap (37)'!$A:$C,3,0)</f>
        <v>#REF!</v>
      </c>
      <c r="AN158" s="1" t="e">
        <f>AM158/VLOOKUP(A158,'[41]geoMap (38)'!$A:$B,2,0)*VLOOKUP(A158,'[41]geoMap (38)'!$A:$C,3,0)</f>
        <v>#REF!</v>
      </c>
      <c r="AO158" s="1" t="e">
        <f>AN158/VLOOKUP(A158,'[42]geoMap (39)'!$A:$B,2,0)*VLOOKUP(A158,'[42]geoMap (39)'!$A:$C,3,0)</f>
        <v>#REF!</v>
      </c>
      <c r="AP158" s="1" t="e">
        <f>AO158/VLOOKUP(A158,'[43]geoMap (40)'!$A:$B,2,0)*VLOOKUP(A158,'[43]geoMap (40)'!$A:$C,3,0)</f>
        <v>#REF!</v>
      </c>
      <c r="AQ158" s="1" t="e">
        <f>AP158/VLOOKUP(A158,'[44]geoMap (41)'!$A:$B,2,0)*VLOOKUP(A158,'[44]geoMap (41)'!$A:$C,3,0)</f>
        <v>#REF!</v>
      </c>
      <c r="AR158" s="1" t="e">
        <f>AQ158/VLOOKUP(A158,'[45]geoMap (42)'!$A:$B,2,0)*VLOOKUP(A158,'[45]geoMap (42)'!$A:$C,3,0)</f>
        <v>#REF!</v>
      </c>
      <c r="AS158" s="1" t="e">
        <f>AR158/VLOOKUP(A158,'[46]geoMap (43)'!$A:$B,2,0)*VLOOKUP(A158,'[46]geoMap (43)'!$A:$C,3,0)</f>
        <v>#REF!</v>
      </c>
      <c r="AT158" s="1" t="e">
        <f>AS158/VLOOKUP(A158,'[47]geoMap (44)'!$A:$B,2,0)*VLOOKUP(A158,'[47]geoMap (44)'!$A:$C,3,0)</f>
        <v>#REF!</v>
      </c>
      <c r="AU158" s="1" t="e">
        <f>AT158/VLOOKUP(A158,'[48]geoMap (45)'!$A:$B,2,0)*VLOOKUP(A158,'[48]geoMap (45)'!$A:$C,3,0)</f>
        <v>#REF!</v>
      </c>
      <c r="AV158" s="1" t="e">
        <f>AU158/VLOOKUP(A158,'[49]geoMap (46)'!$A:$B,2,0)*VLOOKUP(A158,'[49]geoMap (46)'!$A:$C,3,0)</f>
        <v>#REF!</v>
      </c>
      <c r="AW158" s="1" t="e">
        <f>AV158/VLOOKUP(A158,'[50]geoMap (47)'!$A:$B,2,0)*VLOOKUP(A158,'[50]geoMap (47)'!$A:$C,3,0)</f>
        <v>#REF!</v>
      </c>
      <c r="AX158" s="1" t="e">
        <f>AW158/VLOOKUP(A158,'[51]geoMap (48)'!$A:$B,2,0)*VLOOKUP(A158,'[51]geoMap (48)'!$A:$C,3,0)</f>
        <v>#REF!</v>
      </c>
      <c r="AY158" s="1" t="e">
        <f>AX158/VLOOKUP(A158,'[52]geoMap (49)'!$A:$B,2,0)*VLOOKUP(A158,'[52]geoMap (49)'!$A:$C,3,0)</f>
        <v>#REF!</v>
      </c>
      <c r="AZ158" s="1" t="e">
        <f>AY158/VLOOKUP(A158,'[53]geoMap (50)'!$A:$B,2,0)*VLOOKUP(A158,'[53]geoMap (50)'!$A:$C,3,0)</f>
        <v>#REF!</v>
      </c>
      <c r="BA158" s="1" t="e">
        <f>AZ158/VLOOKUP(A158,'[54]geoMap (51)'!$A:$B,2,0)*VLOOKUP(A158,'[54]geoMap (51)'!$A:$C,3,0)</f>
        <v>#REF!</v>
      </c>
      <c r="BB158" s="1" t="e">
        <f>BA158/VLOOKUP(A158,'[55]geoMap (52)'!$A:$B,2,0)*VLOOKUP(A158,'[55]geoMap (52)'!$A:$C,3,0)</f>
        <v>#REF!</v>
      </c>
      <c r="BC158" s="1" t="e">
        <f>BB158/VLOOKUP(A158,'[56]geoMap (53)'!$A:$B,2,0)*VLOOKUP(A158,'[56]geoMap (53)'!$A:$C,3,0)</f>
        <v>#REF!</v>
      </c>
      <c r="BD158" s="1" t="e">
        <f>BC158/VLOOKUP(A158,'[57]geoMap (54)'!$A:$B,2,0)*VLOOKUP(A158,'[57]geoMap (54)'!$A:$C,3,0)</f>
        <v>#REF!</v>
      </c>
      <c r="BE158" s="1" t="e">
        <f>BD158/VLOOKUP(A158,'[58]geoMap (55)'!$A:$B,2,0)*VLOOKUP(A158,'[58]geoMap (55)'!$A:$C,3,0)</f>
        <v>#REF!</v>
      </c>
      <c r="BF158" s="1" t="e">
        <f>BE158/VLOOKUP(A158,'[59]geoMap (56)'!$A:$B,2,0)*VLOOKUP(A158,'[59]geoMap (56)'!$A:$C,3,0)</f>
        <v>#REF!</v>
      </c>
      <c r="BG158" s="1" t="e">
        <f>BF158/VLOOKUP(A158,'[60]geoMap (57)'!$A:$B,2,0)*VLOOKUP(A158,'[60]geoMap (57)'!$A:$C,3,0)</f>
        <v>#REF!</v>
      </c>
      <c r="BH158" s="1" t="e">
        <f>BG158/VLOOKUP(A158,'[61]geoMap (58)'!$A:$B,2,0)*VLOOKUP(A158,'[61]geoMap (58)'!$A:$C,3,0)</f>
        <v>#REF!</v>
      </c>
      <c r="BI158" s="1" t="e">
        <f>BH158/VLOOKUP(A158,'[62]geoMap (59)'!$A:$B,2,0)*VLOOKUP(A158,'[62]geoMap (59)'!$A:$C,3,0)</f>
        <v>#REF!</v>
      </c>
      <c r="BJ158" s="1" t="e">
        <f>BI158/VLOOKUP(A158,'[63]geoMap (60)'!$A:$B,2,0)*VLOOKUP(A158,'[63]geoMap (60)'!$A:$C,3,0)</f>
        <v>#REF!</v>
      </c>
      <c r="BK158" s="1" t="e">
        <f>BJ158/VLOOKUP(A158,'[64]geoMap (61)'!$A:$B,2,0)*VLOOKUP(A158,'[64]geoMap (61)'!$A:$C,3,0)</f>
        <v>#REF!</v>
      </c>
      <c r="BL158" s="1" t="e">
        <f>BK158/VLOOKUP(A158,'[65]geoMap (62)'!$A:$B,2,0)*VLOOKUP(A158,'[65]geoMap (62)'!$A:$C,3,0)</f>
        <v>#REF!</v>
      </c>
      <c r="BM158" s="1" t="e">
        <f>BL158/VLOOKUP(A158,'[66]geoMap (63)'!$A:$B,2,0)*VLOOKUP(A158,'[66]geoMap (63)'!$A:$C,3,0)</f>
        <v>#REF!</v>
      </c>
      <c r="BN158" s="1" t="e">
        <f>BM158/VLOOKUP(A158,'[67]geoMap (64)'!$A:$B,2,0)*VLOOKUP(A158,'[67]geoMap (64)'!$A:$C,3,0)</f>
        <v>#REF!</v>
      </c>
      <c r="BO158" s="1" t="e">
        <f>BN158/VLOOKUP(A158,'[68]geoMap (65)'!$A:$B,2,0)*VLOOKUP(A158,'[68]geoMap (65)'!$A:$C,3,0)</f>
        <v>#REF!</v>
      </c>
      <c r="BP158" s="1" t="e">
        <f>BO158/VLOOKUP(A158,'[69]geoMap (66)'!$A:$B,2,0)*VLOOKUP(A158,'[69]geoMap (66)'!$A:$C,3,0)</f>
        <v>#REF!</v>
      </c>
    </row>
    <row r="159" spans="1:68" hidden="1" x14ac:dyDescent="0.2">
      <c r="A159" s="1" t="s">
        <v>148</v>
      </c>
      <c r="B159" s="1" t="e">
        <f>VLOOKUP(A159,[3]geoMap!$A:$B,2,0)*Notes!$C$6</f>
        <v>#REF!</v>
      </c>
      <c r="C159" s="1" t="e">
        <f>B159/VLOOKUP(A159,'[4]geoMap (1)'!$A:$B,2,0)*VLOOKUP(A159,'[4]geoMap (1)'!$A:$C,3,0)</f>
        <v>#REF!</v>
      </c>
      <c r="D159" s="1" t="e">
        <f>C159/VLOOKUP(A159,'[5]geoMap (2)'!$A:$B,2,0)*VLOOKUP(A159,'[5]geoMap (2)'!$A:$C,3,0)</f>
        <v>#REF!</v>
      </c>
      <c r="E159" s="1" t="e">
        <f>D159/VLOOKUP(A159,'[6]geoMap (3)'!$A:$B,2,0)*VLOOKUP(A159,'[6]geoMap (3)'!$A:$C,3,0)</f>
        <v>#REF!</v>
      </c>
      <c r="F159" s="1" t="e">
        <f>E159/VLOOKUP(A159,'[7]geoMap (4)'!$A:$B,2,0)*VLOOKUP(A159,'[7]geoMap (4)'!$A:$C,3,0)</f>
        <v>#REF!</v>
      </c>
      <c r="G159" s="1" t="e">
        <f>F159/VLOOKUP(A159,'[8]geoMap (5)'!$A:$B,2,0)*VLOOKUP(A159,'[8]geoMap (5)'!$A:$C,3,0)</f>
        <v>#REF!</v>
      </c>
      <c r="H159" s="1" t="e">
        <f>G159/VLOOKUP(A159,'[9]geoMap (6)'!$A:$B,2,0)*VLOOKUP(A159,'[9]geoMap (6)'!$A:$C,3,0)</f>
        <v>#REF!</v>
      </c>
      <c r="I159" s="1" t="e">
        <f>H159/VLOOKUP(A159,'[10]geoMap (7)'!$A:$B,2,0)*VLOOKUP(A159,'[10]geoMap (7)'!$A:$C,3,0)</f>
        <v>#REF!</v>
      </c>
      <c r="J159" s="1" t="e">
        <f>I159/VLOOKUP(A159,'[11]geoMap (8)'!$A:$B,2,0)*VLOOKUP(A159,'[11]geoMap (8)'!$A:$C,3,0)</f>
        <v>#REF!</v>
      </c>
      <c r="K159" s="1" t="e">
        <f>J159/VLOOKUP(A159,'[12]geoMap (9)'!$A:$B,2,0)*VLOOKUP(A159,'[12]geoMap (9)'!$A:$C,3,0)</f>
        <v>#REF!</v>
      </c>
      <c r="L159" s="1" t="e">
        <f>K159/VLOOKUP(A159,'[13]geoMap (10)'!$A:$B,2,0)*VLOOKUP(A159,'[13]geoMap (10)'!$A:$C,3,0)</f>
        <v>#REF!</v>
      </c>
      <c r="M159" s="1" t="e">
        <f>L159/VLOOKUP(A159,'[14]geoMap (11)'!$A:$B,2,0)*VLOOKUP(A159,'[14]geoMap (11)'!$A:$C,3,0)</f>
        <v>#REF!</v>
      </c>
      <c r="N159" s="1" t="e">
        <f>M159/VLOOKUP(A159,'[15]geoMap (12)'!$A:$B,2,0)*VLOOKUP(A159,'[15]geoMap (12)'!$A:$C,3,0)</f>
        <v>#REF!</v>
      </c>
      <c r="O159" s="1" t="e">
        <f>N159/VLOOKUP(A159,'[16]geoMap (13)'!$A:$B,2,0)*VLOOKUP(A159,'[16]geoMap (13)'!$A:$C,3,0)</f>
        <v>#REF!</v>
      </c>
      <c r="P159" s="1" t="e">
        <f>O159/VLOOKUP(A159,'[17]geoMap (14)'!$A:$B,2,0)*VLOOKUP(A159,'[17]geoMap (14)'!$A:$C,3,0)</f>
        <v>#REF!</v>
      </c>
      <c r="Q159" s="1" t="e">
        <f>P159/VLOOKUP(A159,'[18]geoMap (15)'!$A:$B,2,0)*VLOOKUP(A159,'[18]geoMap (15)'!$A:$C,3,0)</f>
        <v>#REF!</v>
      </c>
      <c r="R159" s="1" t="e">
        <f>Q159/VLOOKUP(A159,'[19]geoMap (16)'!$A:$B,2,0)*VLOOKUP(A159,'[19]geoMap (16)'!$A:$C,3,0)</f>
        <v>#REF!</v>
      </c>
      <c r="S159" s="1" t="e">
        <f>R159/VLOOKUP(A159,'[20]geoMap (17)'!$A:$B,2,0)*VLOOKUP(A159,'[20]geoMap (17)'!$A:$C,3,0)</f>
        <v>#REF!</v>
      </c>
      <c r="T159" s="1" t="e">
        <f>S159/VLOOKUP(A159,'[21]geoMap (18)'!$A:$B,2,0)*VLOOKUP(A159,'[21]geoMap (18)'!$A:$C,3,0)</f>
        <v>#REF!</v>
      </c>
      <c r="U159" s="1" t="e">
        <f>T159/VLOOKUP(A159,'[22]geoMap (19)'!$A:$B,2,0)*VLOOKUP(A159,'[22]geoMap (19)'!$A:$C,3,0)</f>
        <v>#REF!</v>
      </c>
      <c r="V159" s="1" t="e">
        <f>U159/VLOOKUP(A159,'[23]geoMap (20)'!$A:$B,2,0)*VLOOKUP(A159,'[23]geoMap (20)'!$A:$C,3,0)</f>
        <v>#REF!</v>
      </c>
      <c r="W159" s="1" t="e">
        <f>V159/VLOOKUP(A159,'[24]geoMap (21)'!$A:$B,2,0)*VLOOKUP(A159,'[24]geoMap (21)'!$A:$C,3,0)</f>
        <v>#REF!</v>
      </c>
      <c r="X159" s="1" t="e">
        <f>W159/VLOOKUP(A159,'[25]geoMap (22)'!$A:$B,2,0)*VLOOKUP(A159,'[25]geoMap (22)'!$A:$C,3,0)</f>
        <v>#REF!</v>
      </c>
      <c r="Y159" s="1" t="e">
        <f>X159/VLOOKUP(A159,'[26]geoMap (23)'!$A:$B,2,0)*VLOOKUP(A159,'[26]geoMap (23)'!$A:$C,3,0)</f>
        <v>#REF!</v>
      </c>
      <c r="Z159" s="1" t="e">
        <f>Y159/VLOOKUP(A159,'[27]geoMap (24)'!$A:$B,2,0)*VLOOKUP(A159,'[27]geoMap (24)'!$A:$C,3,0)</f>
        <v>#REF!</v>
      </c>
      <c r="AA159" s="1" t="e">
        <f>Z159/VLOOKUP(A159,'[28]geoMap (25)'!$A:$B,2,0)*VLOOKUP(A159,'[28]geoMap (25)'!$A:$C,3,0)</f>
        <v>#REF!</v>
      </c>
      <c r="AB159" s="1" t="e">
        <f>AA159*VLOOKUP(A159,'[29]geoMap (26)'!$A:$B,2,0)*VLOOKUP(A159,'[29]geoMap (26)'!$A:$C,3,0)</f>
        <v>#REF!</v>
      </c>
      <c r="AC159" s="1" t="e">
        <f>AB159/VLOOKUP(A159,'[30]geoMap (27)'!$A:$B,2,0)*VLOOKUP(A159,'[30]geoMap (27)'!$A:$C,3,0)</f>
        <v>#REF!</v>
      </c>
      <c r="AD159" s="1" t="e">
        <f>AC159/VLOOKUP(A159,'[31]geoMap (28)'!$A:$B,2,0)*VLOOKUP(A159,'[31]geoMap (28)'!$A:$C,3,0)</f>
        <v>#REF!</v>
      </c>
      <c r="AE159" s="1" t="e">
        <f>AD159/VLOOKUP(A159,'[32]geoMap (29)'!$A:$B,2,0)*VLOOKUP(A159,'[32]geoMap (29)'!$A:$C,3,0)</f>
        <v>#REF!</v>
      </c>
      <c r="AF159" s="1" t="e">
        <f>AE159/VLOOKUP(A159,'[33]geoMap (30)'!$A:$B,2,0)*VLOOKUP(A159,'[33]geoMap (30)'!$A:$C,3,0)</f>
        <v>#REF!</v>
      </c>
      <c r="AG159" s="1" t="e">
        <f>AF159/VLOOKUP(A159,'[34]geoMap (31)'!$A:$B,2,0)*VLOOKUP(A159,'[34]geoMap (31)'!$A:$C,3,0)</f>
        <v>#REF!</v>
      </c>
      <c r="AH159" s="1" t="e">
        <f>AG159/VLOOKUP(A159,'[35]geoMap (32)'!$A:$B,2,0)*VLOOKUP(A159,'[35]geoMap (32)'!$A:$C,3,0)</f>
        <v>#REF!</v>
      </c>
      <c r="AI159" s="1" t="e">
        <f>AH159/VLOOKUP(A159,'[36]geoMap (33)'!$A:$B,2,0)*VLOOKUP(A159,'[36]geoMap (33)'!$A:$C,3,0)</f>
        <v>#REF!</v>
      </c>
      <c r="AJ159" s="1" t="e">
        <f>AI159/VLOOKUP(A159,'[37]geoMap (34)'!$A:$B,2,0)*VLOOKUP(A159,'[37]geoMap (34)'!$A:$C,3,0)</f>
        <v>#REF!</v>
      </c>
      <c r="AK159" s="1" t="e">
        <f>AJ159/VLOOKUP(A159,'[38]geoMap (35)'!$A:$B,2,0)*VLOOKUP(A159,'[38]geoMap (35)'!$A:$C,3,0)</f>
        <v>#REF!</v>
      </c>
      <c r="AL159" s="1" t="e">
        <f>AK159/VLOOKUP(A159,'[39]geoMap (36)'!$A:$B,2,0)*VLOOKUP(A159,'[39]geoMap (36)'!$A:$C,3,0)</f>
        <v>#REF!</v>
      </c>
      <c r="AM159" s="1" t="e">
        <f>AL159/VLOOKUP(A159,'[40]geoMap (37)'!$A:$B,2,0)*VLOOKUP(A159,'[40]geoMap (37)'!$A:$C,3,0)</f>
        <v>#REF!</v>
      </c>
      <c r="AN159" s="1" t="e">
        <f>AM159/VLOOKUP(A159,'[41]geoMap (38)'!$A:$B,2,0)*VLOOKUP(A159,'[41]geoMap (38)'!$A:$C,3,0)</f>
        <v>#REF!</v>
      </c>
      <c r="AO159" s="1" t="e">
        <f>AN159/VLOOKUP(A159,'[42]geoMap (39)'!$A:$B,2,0)*VLOOKUP(A159,'[42]geoMap (39)'!$A:$C,3,0)</f>
        <v>#REF!</v>
      </c>
      <c r="AP159" s="1" t="e">
        <f>AO159/VLOOKUP(A159,'[43]geoMap (40)'!$A:$B,2,0)*VLOOKUP(A159,'[43]geoMap (40)'!$A:$C,3,0)</f>
        <v>#REF!</v>
      </c>
      <c r="AQ159" s="1" t="e">
        <f>AP159/VLOOKUP(A159,'[44]geoMap (41)'!$A:$B,2,0)*VLOOKUP(A159,'[44]geoMap (41)'!$A:$C,3,0)</f>
        <v>#REF!</v>
      </c>
      <c r="AR159" s="1" t="e">
        <f>AQ159/VLOOKUP(A159,'[45]geoMap (42)'!$A:$B,2,0)*VLOOKUP(A159,'[45]geoMap (42)'!$A:$C,3,0)</f>
        <v>#REF!</v>
      </c>
      <c r="AS159" s="1" t="e">
        <f>AR159/VLOOKUP(A159,'[46]geoMap (43)'!$A:$B,2,0)*VLOOKUP(A159,'[46]geoMap (43)'!$A:$C,3,0)</f>
        <v>#REF!</v>
      </c>
      <c r="AT159" s="1" t="e">
        <f>AS159/VLOOKUP(A159,'[47]geoMap (44)'!$A:$B,2,0)*VLOOKUP(A159,'[47]geoMap (44)'!$A:$C,3,0)</f>
        <v>#REF!</v>
      </c>
      <c r="AU159" s="1" t="e">
        <f>AT159/VLOOKUP(A159,'[48]geoMap (45)'!$A:$B,2,0)*VLOOKUP(A159,'[48]geoMap (45)'!$A:$C,3,0)</f>
        <v>#REF!</v>
      </c>
      <c r="AV159" s="1" t="e">
        <f>AU159/VLOOKUP(A159,'[49]geoMap (46)'!$A:$B,2,0)*VLOOKUP(A159,'[49]geoMap (46)'!$A:$C,3,0)</f>
        <v>#REF!</v>
      </c>
      <c r="AW159" s="1" t="e">
        <f>AV159/VLOOKUP(A159,'[50]geoMap (47)'!$A:$B,2,0)*VLOOKUP(A159,'[50]geoMap (47)'!$A:$C,3,0)</f>
        <v>#REF!</v>
      </c>
      <c r="AX159" s="1" t="e">
        <f>AW159/VLOOKUP(A159,'[51]geoMap (48)'!$A:$B,2,0)*VLOOKUP(A159,'[51]geoMap (48)'!$A:$C,3,0)</f>
        <v>#REF!</v>
      </c>
      <c r="AY159" s="1" t="e">
        <f>AX159/VLOOKUP(A159,'[52]geoMap (49)'!$A:$B,2,0)*VLOOKUP(A159,'[52]geoMap (49)'!$A:$C,3,0)</f>
        <v>#REF!</v>
      </c>
      <c r="AZ159" s="1" t="e">
        <f>AY159/VLOOKUP(A159,'[53]geoMap (50)'!$A:$B,2,0)*VLOOKUP(A159,'[53]geoMap (50)'!$A:$C,3,0)</f>
        <v>#REF!</v>
      </c>
      <c r="BA159" s="1" t="e">
        <f>AZ159/VLOOKUP(A159,'[54]geoMap (51)'!$A:$B,2,0)*VLOOKUP(A159,'[54]geoMap (51)'!$A:$C,3,0)</f>
        <v>#REF!</v>
      </c>
      <c r="BB159" s="1" t="e">
        <f>BA159/VLOOKUP(A159,'[55]geoMap (52)'!$A:$B,2,0)*VLOOKUP(A159,'[55]geoMap (52)'!$A:$C,3,0)</f>
        <v>#REF!</v>
      </c>
      <c r="BC159" s="1" t="e">
        <f>BB159/VLOOKUP(A159,'[56]geoMap (53)'!$A:$B,2,0)*VLOOKUP(A159,'[56]geoMap (53)'!$A:$C,3,0)</f>
        <v>#REF!</v>
      </c>
      <c r="BD159" s="1" t="e">
        <f>BC159/VLOOKUP(A159,'[57]geoMap (54)'!$A:$B,2,0)*VLOOKUP(A159,'[57]geoMap (54)'!$A:$C,3,0)</f>
        <v>#REF!</v>
      </c>
      <c r="BE159" s="1" t="e">
        <f>BD159/VLOOKUP(A159,'[58]geoMap (55)'!$A:$B,2,0)*VLOOKUP(A159,'[58]geoMap (55)'!$A:$C,3,0)</f>
        <v>#REF!</v>
      </c>
      <c r="BF159" s="1" t="e">
        <f>BE159/VLOOKUP(A159,'[59]geoMap (56)'!$A:$B,2,0)*VLOOKUP(A159,'[59]geoMap (56)'!$A:$C,3,0)</f>
        <v>#REF!</v>
      </c>
      <c r="BG159" s="1" t="e">
        <f>BF159/VLOOKUP(A159,'[60]geoMap (57)'!$A:$B,2,0)*VLOOKUP(A159,'[60]geoMap (57)'!$A:$C,3,0)</f>
        <v>#REF!</v>
      </c>
      <c r="BH159" s="1" t="e">
        <f>BG159/VLOOKUP(A159,'[61]geoMap (58)'!$A:$B,2,0)*VLOOKUP(A159,'[61]geoMap (58)'!$A:$C,3,0)</f>
        <v>#REF!</v>
      </c>
      <c r="BI159" s="1" t="e">
        <f>BH159/VLOOKUP(A159,'[62]geoMap (59)'!$A:$B,2,0)*VLOOKUP(A159,'[62]geoMap (59)'!$A:$C,3,0)</f>
        <v>#REF!</v>
      </c>
      <c r="BJ159" s="1" t="e">
        <f>BI159/VLOOKUP(A159,'[63]geoMap (60)'!$A:$B,2,0)*VLOOKUP(A159,'[63]geoMap (60)'!$A:$C,3,0)</f>
        <v>#REF!</v>
      </c>
      <c r="BK159" s="1" t="e">
        <f>BJ159/VLOOKUP(A159,'[64]geoMap (61)'!$A:$B,2,0)*VLOOKUP(A159,'[64]geoMap (61)'!$A:$C,3,0)</f>
        <v>#REF!</v>
      </c>
      <c r="BL159" s="1" t="e">
        <f>BK159/VLOOKUP(A159,'[65]geoMap (62)'!$A:$B,2,0)*VLOOKUP(A159,'[65]geoMap (62)'!$A:$C,3,0)</f>
        <v>#REF!</v>
      </c>
      <c r="BM159" s="1" t="e">
        <f>BL159/VLOOKUP(A159,'[66]geoMap (63)'!$A:$B,2,0)*VLOOKUP(A159,'[66]geoMap (63)'!$A:$C,3,0)</f>
        <v>#REF!</v>
      </c>
      <c r="BN159" s="1" t="e">
        <f>BM159/VLOOKUP(A159,'[67]geoMap (64)'!$A:$B,2,0)*VLOOKUP(A159,'[67]geoMap (64)'!$A:$C,3,0)</f>
        <v>#REF!</v>
      </c>
      <c r="BO159" s="1" t="e">
        <f>BN159/VLOOKUP(A159,'[68]geoMap (65)'!$A:$B,2,0)*VLOOKUP(A159,'[68]geoMap (65)'!$A:$C,3,0)</f>
        <v>#REF!</v>
      </c>
      <c r="BP159" s="1" t="e">
        <f>BO159/VLOOKUP(A159,'[69]geoMap (66)'!$A:$B,2,0)*VLOOKUP(A159,'[69]geoMap (66)'!$A:$C,3,0)</f>
        <v>#REF!</v>
      </c>
    </row>
    <row r="160" spans="1:68" hidden="1" x14ac:dyDescent="0.2">
      <c r="A160" s="1" t="s">
        <v>149</v>
      </c>
      <c r="B160" s="1" t="e">
        <f>VLOOKUP(A160,[3]geoMap!$A:$B,2,0)*Notes!$C$6</f>
        <v>#REF!</v>
      </c>
      <c r="C160" s="1" t="e">
        <f>B160/VLOOKUP(A160,'[4]geoMap (1)'!$A:$B,2,0)*VLOOKUP(A160,'[4]geoMap (1)'!$A:$C,3,0)</f>
        <v>#REF!</v>
      </c>
      <c r="D160" s="1" t="e">
        <f>C160/VLOOKUP(A160,'[5]geoMap (2)'!$A:$B,2,0)*VLOOKUP(A160,'[5]geoMap (2)'!$A:$C,3,0)</f>
        <v>#REF!</v>
      </c>
      <c r="E160" s="1" t="e">
        <f>D160/VLOOKUP(A160,'[6]geoMap (3)'!$A:$B,2,0)*VLOOKUP(A160,'[6]geoMap (3)'!$A:$C,3,0)</f>
        <v>#REF!</v>
      </c>
      <c r="F160" s="1" t="e">
        <f>E160/VLOOKUP(A160,'[7]geoMap (4)'!$A:$B,2,0)*VLOOKUP(A160,'[7]geoMap (4)'!$A:$C,3,0)</f>
        <v>#REF!</v>
      </c>
      <c r="G160" s="1" t="e">
        <f>F160/VLOOKUP(A160,'[8]geoMap (5)'!$A:$B,2,0)*VLOOKUP(A160,'[8]geoMap (5)'!$A:$C,3,0)</f>
        <v>#REF!</v>
      </c>
      <c r="H160" s="1" t="e">
        <f>G160/VLOOKUP(A160,'[9]geoMap (6)'!$A:$B,2,0)*VLOOKUP(A160,'[9]geoMap (6)'!$A:$C,3,0)</f>
        <v>#REF!</v>
      </c>
      <c r="I160" s="1" t="e">
        <f>H160/VLOOKUP(A160,'[10]geoMap (7)'!$A:$B,2,0)*VLOOKUP(A160,'[10]geoMap (7)'!$A:$C,3,0)</f>
        <v>#REF!</v>
      </c>
      <c r="J160" s="1" t="e">
        <f>I160/VLOOKUP(A160,'[11]geoMap (8)'!$A:$B,2,0)*VLOOKUP(A160,'[11]geoMap (8)'!$A:$C,3,0)</f>
        <v>#REF!</v>
      </c>
      <c r="K160" s="1" t="e">
        <f>J160/VLOOKUP(A160,'[12]geoMap (9)'!$A:$B,2,0)*VLOOKUP(A160,'[12]geoMap (9)'!$A:$C,3,0)</f>
        <v>#REF!</v>
      </c>
      <c r="L160" s="1" t="e">
        <f>K160/VLOOKUP(A160,'[13]geoMap (10)'!$A:$B,2,0)*VLOOKUP(A160,'[13]geoMap (10)'!$A:$C,3,0)</f>
        <v>#REF!</v>
      </c>
      <c r="M160" s="1" t="e">
        <f>L160/VLOOKUP(A160,'[14]geoMap (11)'!$A:$B,2,0)*VLOOKUP(A160,'[14]geoMap (11)'!$A:$C,3,0)</f>
        <v>#REF!</v>
      </c>
      <c r="N160" s="1" t="e">
        <f>M160/VLOOKUP(A160,'[15]geoMap (12)'!$A:$B,2,0)*VLOOKUP(A160,'[15]geoMap (12)'!$A:$C,3,0)</f>
        <v>#REF!</v>
      </c>
      <c r="O160" s="1" t="e">
        <f>N160/VLOOKUP(A160,'[16]geoMap (13)'!$A:$B,2,0)*VLOOKUP(A160,'[16]geoMap (13)'!$A:$C,3,0)</f>
        <v>#REF!</v>
      </c>
      <c r="P160" s="1" t="e">
        <f>O160/VLOOKUP(A160,'[17]geoMap (14)'!$A:$B,2,0)*VLOOKUP(A160,'[17]geoMap (14)'!$A:$C,3,0)</f>
        <v>#REF!</v>
      </c>
      <c r="Q160" s="1" t="e">
        <f>P160/VLOOKUP(A160,'[18]geoMap (15)'!$A:$B,2,0)*VLOOKUP(A160,'[18]geoMap (15)'!$A:$C,3,0)</f>
        <v>#REF!</v>
      </c>
      <c r="R160" s="1" t="e">
        <f>Q160/VLOOKUP(A160,'[19]geoMap (16)'!$A:$B,2,0)*VLOOKUP(A160,'[19]geoMap (16)'!$A:$C,3,0)</f>
        <v>#REF!</v>
      </c>
      <c r="S160" s="1" t="e">
        <f>R160/VLOOKUP(A160,'[20]geoMap (17)'!$A:$B,2,0)*VLOOKUP(A160,'[20]geoMap (17)'!$A:$C,3,0)</f>
        <v>#REF!</v>
      </c>
      <c r="T160" s="1" t="e">
        <f>S160/VLOOKUP(A160,'[21]geoMap (18)'!$A:$B,2,0)*VLOOKUP(A160,'[21]geoMap (18)'!$A:$C,3,0)</f>
        <v>#REF!</v>
      </c>
      <c r="U160" s="1" t="e">
        <f>T160/VLOOKUP(A160,'[22]geoMap (19)'!$A:$B,2,0)*VLOOKUP(A160,'[22]geoMap (19)'!$A:$C,3,0)</f>
        <v>#REF!</v>
      </c>
      <c r="V160" s="1" t="e">
        <f>U160/VLOOKUP(A160,'[23]geoMap (20)'!$A:$B,2,0)*VLOOKUP(A160,'[23]geoMap (20)'!$A:$C,3,0)</f>
        <v>#REF!</v>
      </c>
      <c r="W160" s="1" t="e">
        <f>V160/VLOOKUP(A160,'[24]geoMap (21)'!$A:$B,2,0)*VLOOKUP(A160,'[24]geoMap (21)'!$A:$C,3,0)</f>
        <v>#REF!</v>
      </c>
      <c r="X160" s="1" t="e">
        <f>W160/VLOOKUP(A160,'[25]geoMap (22)'!$A:$B,2,0)*VLOOKUP(A160,'[25]geoMap (22)'!$A:$C,3,0)</f>
        <v>#REF!</v>
      </c>
      <c r="Y160" s="1" t="e">
        <f>X160/VLOOKUP(A160,'[26]geoMap (23)'!$A:$B,2,0)*VLOOKUP(A160,'[26]geoMap (23)'!$A:$C,3,0)</f>
        <v>#REF!</v>
      </c>
      <c r="Z160" s="1" t="e">
        <f>Y160/VLOOKUP(A160,'[27]geoMap (24)'!$A:$B,2,0)*VLOOKUP(A160,'[27]geoMap (24)'!$A:$C,3,0)</f>
        <v>#REF!</v>
      </c>
      <c r="AA160" s="1" t="e">
        <f>Z160/VLOOKUP(A160,'[28]geoMap (25)'!$A:$B,2,0)*VLOOKUP(A160,'[28]geoMap (25)'!$A:$C,3,0)</f>
        <v>#REF!</v>
      </c>
      <c r="AB160" s="1" t="e">
        <f>AA160*VLOOKUP(A160,'[29]geoMap (26)'!$A:$B,2,0)*VLOOKUP(A160,'[29]geoMap (26)'!$A:$C,3,0)</f>
        <v>#REF!</v>
      </c>
      <c r="AC160" s="1" t="e">
        <f>AB160/VLOOKUP(A160,'[30]geoMap (27)'!$A:$B,2,0)*VLOOKUP(A160,'[30]geoMap (27)'!$A:$C,3,0)</f>
        <v>#REF!</v>
      </c>
      <c r="AD160" s="1" t="e">
        <f>AC160/VLOOKUP(A160,'[31]geoMap (28)'!$A:$B,2,0)*VLOOKUP(A160,'[31]geoMap (28)'!$A:$C,3,0)</f>
        <v>#REF!</v>
      </c>
      <c r="AE160" s="1" t="e">
        <f>AD160/VLOOKUP(A160,'[32]geoMap (29)'!$A:$B,2,0)*VLOOKUP(A160,'[32]geoMap (29)'!$A:$C,3,0)</f>
        <v>#REF!</v>
      </c>
      <c r="AF160" s="1" t="e">
        <f>AE160/VLOOKUP(A160,'[33]geoMap (30)'!$A:$B,2,0)*VLOOKUP(A160,'[33]geoMap (30)'!$A:$C,3,0)</f>
        <v>#REF!</v>
      </c>
      <c r="AG160" s="1" t="e">
        <f>AF160/VLOOKUP(A160,'[34]geoMap (31)'!$A:$B,2,0)*VLOOKUP(A160,'[34]geoMap (31)'!$A:$C,3,0)</f>
        <v>#REF!</v>
      </c>
      <c r="AH160" s="1" t="e">
        <f>AG160/VLOOKUP(A160,'[35]geoMap (32)'!$A:$B,2,0)*VLOOKUP(A160,'[35]geoMap (32)'!$A:$C,3,0)</f>
        <v>#REF!</v>
      </c>
      <c r="AI160" s="1" t="e">
        <f>AH160/VLOOKUP(A160,'[36]geoMap (33)'!$A:$B,2,0)*VLOOKUP(A160,'[36]geoMap (33)'!$A:$C,3,0)</f>
        <v>#REF!</v>
      </c>
      <c r="AJ160" s="1" t="e">
        <f>AI160/VLOOKUP(A160,'[37]geoMap (34)'!$A:$B,2,0)*VLOOKUP(A160,'[37]geoMap (34)'!$A:$C,3,0)</f>
        <v>#REF!</v>
      </c>
      <c r="AK160" s="1" t="e">
        <f>AJ160/VLOOKUP(A160,'[38]geoMap (35)'!$A:$B,2,0)*VLOOKUP(A160,'[38]geoMap (35)'!$A:$C,3,0)</f>
        <v>#REF!</v>
      </c>
      <c r="AL160" s="1" t="e">
        <f>AK160/VLOOKUP(A160,'[39]geoMap (36)'!$A:$B,2,0)*VLOOKUP(A160,'[39]geoMap (36)'!$A:$C,3,0)</f>
        <v>#REF!</v>
      </c>
      <c r="AM160" s="1" t="e">
        <f>AL160/VLOOKUP(A160,'[40]geoMap (37)'!$A:$B,2,0)*VLOOKUP(A160,'[40]geoMap (37)'!$A:$C,3,0)</f>
        <v>#REF!</v>
      </c>
      <c r="AN160" s="1" t="e">
        <f>AM160/VLOOKUP(A160,'[41]geoMap (38)'!$A:$B,2,0)*VLOOKUP(A160,'[41]geoMap (38)'!$A:$C,3,0)</f>
        <v>#REF!</v>
      </c>
      <c r="AO160" s="1" t="e">
        <f>AN160/VLOOKUP(A160,'[42]geoMap (39)'!$A:$B,2,0)*VLOOKUP(A160,'[42]geoMap (39)'!$A:$C,3,0)</f>
        <v>#REF!</v>
      </c>
      <c r="AP160" s="1" t="e">
        <f>AO160/VLOOKUP(A160,'[43]geoMap (40)'!$A:$B,2,0)*VLOOKUP(A160,'[43]geoMap (40)'!$A:$C,3,0)</f>
        <v>#REF!</v>
      </c>
      <c r="AQ160" s="1" t="e">
        <f>AP160/VLOOKUP(A160,'[44]geoMap (41)'!$A:$B,2,0)*VLOOKUP(A160,'[44]geoMap (41)'!$A:$C,3,0)</f>
        <v>#REF!</v>
      </c>
      <c r="AR160" s="1" t="e">
        <f>AQ160/VLOOKUP(A160,'[45]geoMap (42)'!$A:$B,2,0)*VLOOKUP(A160,'[45]geoMap (42)'!$A:$C,3,0)</f>
        <v>#REF!</v>
      </c>
      <c r="AS160" s="1" t="e">
        <f>AR160/VLOOKUP(A160,'[46]geoMap (43)'!$A:$B,2,0)*VLOOKUP(A160,'[46]geoMap (43)'!$A:$C,3,0)</f>
        <v>#REF!</v>
      </c>
      <c r="AT160" s="1" t="e">
        <f>AS160/VLOOKUP(A160,'[47]geoMap (44)'!$A:$B,2,0)*VLOOKUP(A160,'[47]geoMap (44)'!$A:$C,3,0)</f>
        <v>#REF!</v>
      </c>
      <c r="AU160" s="1" t="e">
        <f>AT160/VLOOKUP(A160,'[48]geoMap (45)'!$A:$B,2,0)*VLOOKUP(A160,'[48]geoMap (45)'!$A:$C,3,0)</f>
        <v>#REF!</v>
      </c>
      <c r="AV160" s="1" t="e">
        <f>AU160/VLOOKUP(A160,'[49]geoMap (46)'!$A:$B,2,0)*VLOOKUP(A160,'[49]geoMap (46)'!$A:$C,3,0)</f>
        <v>#REF!</v>
      </c>
      <c r="AW160" s="1" t="e">
        <f>AV160/VLOOKUP(A160,'[50]geoMap (47)'!$A:$B,2,0)*VLOOKUP(A160,'[50]geoMap (47)'!$A:$C,3,0)</f>
        <v>#REF!</v>
      </c>
      <c r="AX160" s="1" t="e">
        <f>AW160/VLOOKUP(A160,'[51]geoMap (48)'!$A:$B,2,0)*VLOOKUP(A160,'[51]geoMap (48)'!$A:$C,3,0)</f>
        <v>#REF!</v>
      </c>
      <c r="AY160" s="1" t="e">
        <f>AX160/VLOOKUP(A160,'[52]geoMap (49)'!$A:$B,2,0)*VLOOKUP(A160,'[52]geoMap (49)'!$A:$C,3,0)</f>
        <v>#REF!</v>
      </c>
      <c r="AZ160" s="1" t="e">
        <f>AY160/VLOOKUP(A160,'[53]geoMap (50)'!$A:$B,2,0)*VLOOKUP(A160,'[53]geoMap (50)'!$A:$C,3,0)</f>
        <v>#REF!</v>
      </c>
      <c r="BA160" s="1" t="e">
        <f>AZ160/VLOOKUP(A160,'[54]geoMap (51)'!$A:$B,2,0)*VLOOKUP(A160,'[54]geoMap (51)'!$A:$C,3,0)</f>
        <v>#REF!</v>
      </c>
      <c r="BB160" s="1" t="e">
        <f>BA160/VLOOKUP(A160,'[55]geoMap (52)'!$A:$B,2,0)*VLOOKUP(A160,'[55]geoMap (52)'!$A:$C,3,0)</f>
        <v>#REF!</v>
      </c>
      <c r="BC160" s="1" t="e">
        <f>BB160/VLOOKUP(A160,'[56]geoMap (53)'!$A:$B,2,0)*VLOOKUP(A160,'[56]geoMap (53)'!$A:$C,3,0)</f>
        <v>#REF!</v>
      </c>
      <c r="BD160" s="1" t="e">
        <f>BC160/VLOOKUP(A160,'[57]geoMap (54)'!$A:$B,2,0)*VLOOKUP(A160,'[57]geoMap (54)'!$A:$C,3,0)</f>
        <v>#REF!</v>
      </c>
      <c r="BE160" s="1" t="e">
        <f>BD160/VLOOKUP(A160,'[58]geoMap (55)'!$A:$B,2,0)*VLOOKUP(A160,'[58]geoMap (55)'!$A:$C,3,0)</f>
        <v>#REF!</v>
      </c>
      <c r="BF160" s="1" t="e">
        <f>BE160/VLOOKUP(A160,'[59]geoMap (56)'!$A:$B,2,0)*VLOOKUP(A160,'[59]geoMap (56)'!$A:$C,3,0)</f>
        <v>#REF!</v>
      </c>
      <c r="BG160" s="1" t="e">
        <f>BF160/VLOOKUP(A160,'[60]geoMap (57)'!$A:$B,2,0)*VLOOKUP(A160,'[60]geoMap (57)'!$A:$C,3,0)</f>
        <v>#REF!</v>
      </c>
      <c r="BH160" s="1" t="e">
        <f>BG160/VLOOKUP(A160,'[61]geoMap (58)'!$A:$B,2,0)*VLOOKUP(A160,'[61]geoMap (58)'!$A:$C,3,0)</f>
        <v>#REF!</v>
      </c>
      <c r="BI160" s="1" t="e">
        <f>BH160/VLOOKUP(A160,'[62]geoMap (59)'!$A:$B,2,0)*VLOOKUP(A160,'[62]geoMap (59)'!$A:$C,3,0)</f>
        <v>#REF!</v>
      </c>
      <c r="BJ160" s="1" t="e">
        <f>BI160/VLOOKUP(A160,'[63]geoMap (60)'!$A:$B,2,0)*VLOOKUP(A160,'[63]geoMap (60)'!$A:$C,3,0)</f>
        <v>#REF!</v>
      </c>
      <c r="BK160" s="1" t="e">
        <f>BJ160/VLOOKUP(A160,'[64]geoMap (61)'!$A:$B,2,0)*VLOOKUP(A160,'[64]geoMap (61)'!$A:$C,3,0)</f>
        <v>#REF!</v>
      </c>
      <c r="BL160" s="1" t="e">
        <f>BK160/VLOOKUP(A160,'[65]geoMap (62)'!$A:$B,2,0)*VLOOKUP(A160,'[65]geoMap (62)'!$A:$C,3,0)</f>
        <v>#REF!</v>
      </c>
      <c r="BM160" s="1" t="e">
        <f>BL160/VLOOKUP(A160,'[66]geoMap (63)'!$A:$B,2,0)*VLOOKUP(A160,'[66]geoMap (63)'!$A:$C,3,0)</f>
        <v>#REF!</v>
      </c>
      <c r="BN160" s="1" t="e">
        <f>BM160/VLOOKUP(A160,'[67]geoMap (64)'!$A:$B,2,0)*VLOOKUP(A160,'[67]geoMap (64)'!$A:$C,3,0)</f>
        <v>#REF!</v>
      </c>
      <c r="BO160" s="1" t="e">
        <f>BN160/VLOOKUP(A160,'[68]geoMap (65)'!$A:$B,2,0)*VLOOKUP(A160,'[68]geoMap (65)'!$A:$C,3,0)</f>
        <v>#REF!</v>
      </c>
      <c r="BP160" s="1" t="e">
        <f>BO160/VLOOKUP(A160,'[69]geoMap (66)'!$A:$B,2,0)*VLOOKUP(A160,'[69]geoMap (66)'!$A:$C,3,0)</f>
        <v>#REF!</v>
      </c>
    </row>
    <row r="161" spans="1:68" hidden="1" x14ac:dyDescent="0.2">
      <c r="A161" s="1" t="s">
        <v>152</v>
      </c>
      <c r="B161" s="1" t="e">
        <f>VLOOKUP(A161,[3]geoMap!$A:$B,2,0)*Notes!$C$6</f>
        <v>#REF!</v>
      </c>
      <c r="C161" s="1" t="e">
        <f>B161/VLOOKUP(A161,'[4]geoMap (1)'!$A:$B,2,0)*VLOOKUP(A161,'[4]geoMap (1)'!$A:$C,3,0)</f>
        <v>#REF!</v>
      </c>
      <c r="D161" s="1" t="e">
        <f>C161/VLOOKUP(A161,'[5]geoMap (2)'!$A:$B,2,0)*VLOOKUP(A161,'[5]geoMap (2)'!$A:$C,3,0)</f>
        <v>#REF!</v>
      </c>
      <c r="E161" s="1" t="e">
        <f>D161/VLOOKUP(A161,'[6]geoMap (3)'!$A:$B,2,0)*VLOOKUP(A161,'[6]geoMap (3)'!$A:$C,3,0)</f>
        <v>#REF!</v>
      </c>
      <c r="F161" s="1" t="e">
        <f>E161/VLOOKUP(A161,'[7]geoMap (4)'!$A:$B,2,0)*VLOOKUP(A161,'[7]geoMap (4)'!$A:$C,3,0)</f>
        <v>#REF!</v>
      </c>
      <c r="G161" s="1" t="e">
        <f>F161/VLOOKUP(A161,'[8]geoMap (5)'!$A:$B,2,0)*VLOOKUP(A161,'[8]geoMap (5)'!$A:$C,3,0)</f>
        <v>#REF!</v>
      </c>
      <c r="H161" s="1" t="e">
        <f>G161/VLOOKUP(A161,'[9]geoMap (6)'!$A:$B,2,0)*VLOOKUP(A161,'[9]geoMap (6)'!$A:$C,3,0)</f>
        <v>#REF!</v>
      </c>
      <c r="I161" s="1" t="e">
        <f>H161/VLOOKUP(A161,'[10]geoMap (7)'!$A:$B,2,0)*VLOOKUP(A161,'[10]geoMap (7)'!$A:$C,3,0)</f>
        <v>#REF!</v>
      </c>
      <c r="J161" s="1" t="e">
        <f>I161/VLOOKUP(A161,'[11]geoMap (8)'!$A:$B,2,0)*VLOOKUP(A161,'[11]geoMap (8)'!$A:$C,3,0)</f>
        <v>#REF!</v>
      </c>
      <c r="K161" s="1" t="e">
        <f>J161/VLOOKUP(A161,'[12]geoMap (9)'!$A:$B,2,0)*VLOOKUP(A161,'[12]geoMap (9)'!$A:$C,3,0)</f>
        <v>#REF!</v>
      </c>
      <c r="L161" s="1" t="e">
        <f>K161/VLOOKUP(A161,'[13]geoMap (10)'!$A:$B,2,0)*VLOOKUP(A161,'[13]geoMap (10)'!$A:$C,3,0)</f>
        <v>#REF!</v>
      </c>
      <c r="M161" s="1" t="e">
        <f>L161/VLOOKUP(A161,'[14]geoMap (11)'!$A:$B,2,0)*VLOOKUP(A161,'[14]geoMap (11)'!$A:$C,3,0)</f>
        <v>#REF!</v>
      </c>
      <c r="N161" s="1" t="e">
        <f>M161/VLOOKUP(A161,'[15]geoMap (12)'!$A:$B,2,0)*VLOOKUP(A161,'[15]geoMap (12)'!$A:$C,3,0)</f>
        <v>#REF!</v>
      </c>
      <c r="O161" s="1" t="e">
        <f>N161/VLOOKUP(A161,'[16]geoMap (13)'!$A:$B,2,0)*VLOOKUP(A161,'[16]geoMap (13)'!$A:$C,3,0)</f>
        <v>#REF!</v>
      </c>
      <c r="P161" s="1" t="e">
        <f>O161/VLOOKUP(A161,'[17]geoMap (14)'!$A:$B,2,0)*VLOOKUP(A161,'[17]geoMap (14)'!$A:$C,3,0)</f>
        <v>#REF!</v>
      </c>
      <c r="Q161" s="1" t="e">
        <f>P161/VLOOKUP(A161,'[18]geoMap (15)'!$A:$B,2,0)*VLOOKUP(A161,'[18]geoMap (15)'!$A:$C,3,0)</f>
        <v>#REF!</v>
      </c>
      <c r="R161" s="1" t="e">
        <f>Q161/VLOOKUP(A161,'[19]geoMap (16)'!$A:$B,2,0)*VLOOKUP(A161,'[19]geoMap (16)'!$A:$C,3,0)</f>
        <v>#REF!</v>
      </c>
      <c r="S161" s="1" t="e">
        <f>R161/VLOOKUP(A161,'[20]geoMap (17)'!$A:$B,2,0)*VLOOKUP(A161,'[20]geoMap (17)'!$A:$C,3,0)</f>
        <v>#REF!</v>
      </c>
      <c r="T161" s="1" t="e">
        <f>S161/VLOOKUP(A161,'[21]geoMap (18)'!$A:$B,2,0)*VLOOKUP(A161,'[21]geoMap (18)'!$A:$C,3,0)</f>
        <v>#REF!</v>
      </c>
      <c r="U161" s="1" t="e">
        <f>T161/VLOOKUP(A161,'[22]geoMap (19)'!$A:$B,2,0)*VLOOKUP(A161,'[22]geoMap (19)'!$A:$C,3,0)</f>
        <v>#REF!</v>
      </c>
      <c r="V161" s="1" t="e">
        <f>U161/VLOOKUP(A161,'[23]geoMap (20)'!$A:$B,2,0)*VLOOKUP(A161,'[23]geoMap (20)'!$A:$C,3,0)</f>
        <v>#REF!</v>
      </c>
      <c r="W161" s="1" t="e">
        <f>V161/VLOOKUP(A161,'[24]geoMap (21)'!$A:$B,2,0)*VLOOKUP(A161,'[24]geoMap (21)'!$A:$C,3,0)</f>
        <v>#REF!</v>
      </c>
      <c r="X161" s="1" t="e">
        <f>W161/VLOOKUP(A161,'[25]geoMap (22)'!$A:$B,2,0)*VLOOKUP(A161,'[25]geoMap (22)'!$A:$C,3,0)</f>
        <v>#REF!</v>
      </c>
      <c r="Y161" s="1" t="e">
        <f>X161/VLOOKUP(A161,'[26]geoMap (23)'!$A:$B,2,0)*VLOOKUP(A161,'[26]geoMap (23)'!$A:$C,3,0)</f>
        <v>#REF!</v>
      </c>
      <c r="Z161" s="1" t="e">
        <f>Y161/VLOOKUP(A161,'[27]geoMap (24)'!$A:$B,2,0)*VLOOKUP(A161,'[27]geoMap (24)'!$A:$C,3,0)</f>
        <v>#REF!</v>
      </c>
      <c r="AA161" s="1" t="e">
        <f>Z161/VLOOKUP(A161,'[28]geoMap (25)'!$A:$B,2,0)*VLOOKUP(A161,'[28]geoMap (25)'!$A:$C,3,0)</f>
        <v>#REF!</v>
      </c>
      <c r="AB161" s="1" t="e">
        <f>AA161*VLOOKUP(A161,'[29]geoMap (26)'!$A:$B,2,0)*VLOOKUP(A161,'[29]geoMap (26)'!$A:$C,3,0)</f>
        <v>#REF!</v>
      </c>
      <c r="AC161" s="1" t="e">
        <f>AB161/VLOOKUP(A161,'[30]geoMap (27)'!$A:$B,2,0)*VLOOKUP(A161,'[30]geoMap (27)'!$A:$C,3,0)</f>
        <v>#REF!</v>
      </c>
      <c r="AD161" s="1" t="e">
        <f>AC161/VLOOKUP(A161,'[31]geoMap (28)'!$A:$B,2,0)*VLOOKUP(A161,'[31]geoMap (28)'!$A:$C,3,0)</f>
        <v>#REF!</v>
      </c>
      <c r="AE161" s="1" t="e">
        <f>AD161/VLOOKUP(A161,'[32]geoMap (29)'!$A:$B,2,0)*VLOOKUP(A161,'[32]geoMap (29)'!$A:$C,3,0)</f>
        <v>#REF!</v>
      </c>
      <c r="AF161" s="1" t="e">
        <f>AE161/VLOOKUP(A161,'[33]geoMap (30)'!$A:$B,2,0)*VLOOKUP(A161,'[33]geoMap (30)'!$A:$C,3,0)</f>
        <v>#REF!</v>
      </c>
      <c r="AG161" s="1" t="e">
        <f>AF161/VLOOKUP(A161,'[34]geoMap (31)'!$A:$B,2,0)*VLOOKUP(A161,'[34]geoMap (31)'!$A:$C,3,0)</f>
        <v>#REF!</v>
      </c>
      <c r="AH161" s="1" t="e">
        <f>AG161/VLOOKUP(A161,'[35]geoMap (32)'!$A:$B,2,0)*VLOOKUP(A161,'[35]geoMap (32)'!$A:$C,3,0)</f>
        <v>#REF!</v>
      </c>
      <c r="AI161" s="1" t="e">
        <f>AH161/VLOOKUP(A161,'[36]geoMap (33)'!$A:$B,2,0)*VLOOKUP(A161,'[36]geoMap (33)'!$A:$C,3,0)</f>
        <v>#REF!</v>
      </c>
      <c r="AJ161" s="1" t="e">
        <f>AI161/VLOOKUP(A161,'[37]geoMap (34)'!$A:$B,2,0)*VLOOKUP(A161,'[37]geoMap (34)'!$A:$C,3,0)</f>
        <v>#REF!</v>
      </c>
      <c r="AK161" s="1" t="e">
        <f>AJ161/VLOOKUP(A161,'[38]geoMap (35)'!$A:$B,2,0)*VLOOKUP(A161,'[38]geoMap (35)'!$A:$C,3,0)</f>
        <v>#REF!</v>
      </c>
      <c r="AL161" s="1" t="e">
        <f>AK161/VLOOKUP(A161,'[39]geoMap (36)'!$A:$B,2,0)*VLOOKUP(A161,'[39]geoMap (36)'!$A:$C,3,0)</f>
        <v>#REF!</v>
      </c>
      <c r="AM161" s="1" t="e">
        <f>AL161/VLOOKUP(A161,'[40]geoMap (37)'!$A:$B,2,0)*VLOOKUP(A161,'[40]geoMap (37)'!$A:$C,3,0)</f>
        <v>#REF!</v>
      </c>
      <c r="AN161" s="1" t="e">
        <f>AM161/VLOOKUP(A161,'[41]geoMap (38)'!$A:$B,2,0)*VLOOKUP(A161,'[41]geoMap (38)'!$A:$C,3,0)</f>
        <v>#REF!</v>
      </c>
      <c r="AO161" s="1" t="e">
        <f>AN161/VLOOKUP(A161,'[42]geoMap (39)'!$A:$B,2,0)*VLOOKUP(A161,'[42]geoMap (39)'!$A:$C,3,0)</f>
        <v>#REF!</v>
      </c>
      <c r="AP161" s="1" t="e">
        <f>AO161/VLOOKUP(A161,'[43]geoMap (40)'!$A:$B,2,0)*VLOOKUP(A161,'[43]geoMap (40)'!$A:$C,3,0)</f>
        <v>#REF!</v>
      </c>
      <c r="AQ161" s="1" t="e">
        <f>AP161/VLOOKUP(A161,'[44]geoMap (41)'!$A:$B,2,0)*VLOOKUP(A161,'[44]geoMap (41)'!$A:$C,3,0)</f>
        <v>#REF!</v>
      </c>
      <c r="AR161" s="1" t="e">
        <f>AQ161/VLOOKUP(A161,'[45]geoMap (42)'!$A:$B,2,0)*VLOOKUP(A161,'[45]geoMap (42)'!$A:$C,3,0)</f>
        <v>#REF!</v>
      </c>
      <c r="AS161" s="1" t="e">
        <f>AR161/VLOOKUP(A161,'[46]geoMap (43)'!$A:$B,2,0)*VLOOKUP(A161,'[46]geoMap (43)'!$A:$C,3,0)</f>
        <v>#REF!</v>
      </c>
      <c r="AT161" s="1" t="e">
        <f>AS161/VLOOKUP(A161,'[47]geoMap (44)'!$A:$B,2,0)*VLOOKUP(A161,'[47]geoMap (44)'!$A:$C,3,0)</f>
        <v>#REF!</v>
      </c>
      <c r="AU161" s="1" t="e">
        <f>AT161/VLOOKUP(A161,'[48]geoMap (45)'!$A:$B,2,0)*VLOOKUP(A161,'[48]geoMap (45)'!$A:$C,3,0)</f>
        <v>#REF!</v>
      </c>
      <c r="AV161" s="1" t="e">
        <f>AU161/VLOOKUP(A161,'[49]geoMap (46)'!$A:$B,2,0)*VLOOKUP(A161,'[49]geoMap (46)'!$A:$C,3,0)</f>
        <v>#REF!</v>
      </c>
      <c r="AW161" s="1" t="e">
        <f>AV161/VLOOKUP(A161,'[50]geoMap (47)'!$A:$B,2,0)*VLOOKUP(A161,'[50]geoMap (47)'!$A:$C,3,0)</f>
        <v>#REF!</v>
      </c>
      <c r="AX161" s="1" t="e">
        <f>AW161/VLOOKUP(A161,'[51]geoMap (48)'!$A:$B,2,0)*VLOOKUP(A161,'[51]geoMap (48)'!$A:$C,3,0)</f>
        <v>#REF!</v>
      </c>
      <c r="AY161" s="1" t="e">
        <f>AX161/VLOOKUP(A161,'[52]geoMap (49)'!$A:$B,2,0)*VLOOKUP(A161,'[52]geoMap (49)'!$A:$C,3,0)</f>
        <v>#REF!</v>
      </c>
      <c r="AZ161" s="1" t="e">
        <f>AY161/VLOOKUP(A161,'[53]geoMap (50)'!$A:$B,2,0)*VLOOKUP(A161,'[53]geoMap (50)'!$A:$C,3,0)</f>
        <v>#REF!</v>
      </c>
      <c r="BA161" s="1" t="e">
        <f>AZ161/VLOOKUP(A161,'[54]geoMap (51)'!$A:$B,2,0)*VLOOKUP(A161,'[54]geoMap (51)'!$A:$C,3,0)</f>
        <v>#REF!</v>
      </c>
      <c r="BB161" s="1" t="e">
        <f>BA161/VLOOKUP(A161,'[55]geoMap (52)'!$A:$B,2,0)*VLOOKUP(A161,'[55]geoMap (52)'!$A:$C,3,0)</f>
        <v>#REF!</v>
      </c>
      <c r="BC161" s="1" t="e">
        <f>BB161/VLOOKUP(A161,'[56]geoMap (53)'!$A:$B,2,0)*VLOOKUP(A161,'[56]geoMap (53)'!$A:$C,3,0)</f>
        <v>#REF!</v>
      </c>
      <c r="BD161" s="1" t="e">
        <f>BC161/VLOOKUP(A161,'[57]geoMap (54)'!$A:$B,2,0)*VLOOKUP(A161,'[57]geoMap (54)'!$A:$C,3,0)</f>
        <v>#REF!</v>
      </c>
      <c r="BE161" s="1" t="e">
        <f>BD161/VLOOKUP(A161,'[58]geoMap (55)'!$A:$B,2,0)*VLOOKUP(A161,'[58]geoMap (55)'!$A:$C,3,0)</f>
        <v>#REF!</v>
      </c>
      <c r="BF161" s="1" t="e">
        <f>BE161/VLOOKUP(A161,'[59]geoMap (56)'!$A:$B,2,0)*VLOOKUP(A161,'[59]geoMap (56)'!$A:$C,3,0)</f>
        <v>#REF!</v>
      </c>
      <c r="BG161" s="1" t="e">
        <f>BF161/VLOOKUP(A161,'[60]geoMap (57)'!$A:$B,2,0)*VLOOKUP(A161,'[60]geoMap (57)'!$A:$C,3,0)</f>
        <v>#REF!</v>
      </c>
      <c r="BH161" s="1" t="e">
        <f>BG161/VLOOKUP(A161,'[61]geoMap (58)'!$A:$B,2,0)*VLOOKUP(A161,'[61]geoMap (58)'!$A:$C,3,0)</f>
        <v>#REF!</v>
      </c>
      <c r="BI161" s="1" t="e">
        <f>BH161/VLOOKUP(A161,'[62]geoMap (59)'!$A:$B,2,0)*VLOOKUP(A161,'[62]geoMap (59)'!$A:$C,3,0)</f>
        <v>#REF!</v>
      </c>
      <c r="BJ161" s="1" t="e">
        <f>BI161/VLOOKUP(A161,'[63]geoMap (60)'!$A:$B,2,0)*VLOOKUP(A161,'[63]geoMap (60)'!$A:$C,3,0)</f>
        <v>#REF!</v>
      </c>
      <c r="BK161" s="1" t="e">
        <f>BJ161/VLOOKUP(A161,'[64]geoMap (61)'!$A:$B,2,0)*VLOOKUP(A161,'[64]geoMap (61)'!$A:$C,3,0)</f>
        <v>#REF!</v>
      </c>
      <c r="BL161" s="1" t="e">
        <f>BK161/VLOOKUP(A161,'[65]geoMap (62)'!$A:$B,2,0)*VLOOKUP(A161,'[65]geoMap (62)'!$A:$C,3,0)</f>
        <v>#REF!</v>
      </c>
      <c r="BM161" s="1" t="e">
        <f>BL161/VLOOKUP(A161,'[66]geoMap (63)'!$A:$B,2,0)*VLOOKUP(A161,'[66]geoMap (63)'!$A:$C,3,0)</f>
        <v>#REF!</v>
      </c>
      <c r="BN161" s="1" t="e">
        <f>BM161/VLOOKUP(A161,'[67]geoMap (64)'!$A:$B,2,0)*VLOOKUP(A161,'[67]geoMap (64)'!$A:$C,3,0)</f>
        <v>#REF!</v>
      </c>
      <c r="BO161" s="1" t="e">
        <f>BN161/VLOOKUP(A161,'[68]geoMap (65)'!$A:$B,2,0)*VLOOKUP(A161,'[68]geoMap (65)'!$A:$C,3,0)</f>
        <v>#REF!</v>
      </c>
      <c r="BP161" s="1" t="e">
        <f>BO161/VLOOKUP(A161,'[69]geoMap (66)'!$A:$B,2,0)*VLOOKUP(A161,'[69]geoMap (66)'!$A:$C,3,0)</f>
        <v>#REF!</v>
      </c>
    </row>
    <row r="162" spans="1:68" hidden="1" x14ac:dyDescent="0.2">
      <c r="A162" s="1" t="s">
        <v>155</v>
      </c>
      <c r="B162" s="1" t="e">
        <f>VLOOKUP(A162,[3]geoMap!$A:$B,2,0)*Notes!$C$6</f>
        <v>#REF!</v>
      </c>
      <c r="C162" s="1" t="e">
        <f>B162/VLOOKUP(A162,'[4]geoMap (1)'!$A:$B,2,0)*VLOOKUP(A162,'[4]geoMap (1)'!$A:$C,3,0)</f>
        <v>#REF!</v>
      </c>
      <c r="D162" s="1" t="e">
        <f>C162/VLOOKUP(A162,'[5]geoMap (2)'!$A:$B,2,0)*VLOOKUP(A162,'[5]geoMap (2)'!$A:$C,3,0)</f>
        <v>#REF!</v>
      </c>
      <c r="E162" s="1" t="e">
        <f>D162/VLOOKUP(A162,'[6]geoMap (3)'!$A:$B,2,0)*VLOOKUP(A162,'[6]geoMap (3)'!$A:$C,3,0)</f>
        <v>#REF!</v>
      </c>
      <c r="F162" s="1" t="e">
        <f>E162/VLOOKUP(A162,'[7]geoMap (4)'!$A:$B,2,0)*VLOOKUP(A162,'[7]geoMap (4)'!$A:$C,3,0)</f>
        <v>#REF!</v>
      </c>
      <c r="G162" s="1" t="e">
        <f>F162/VLOOKUP(A162,'[8]geoMap (5)'!$A:$B,2,0)*VLOOKUP(A162,'[8]geoMap (5)'!$A:$C,3,0)</f>
        <v>#REF!</v>
      </c>
      <c r="H162" s="1" t="e">
        <f>G162/VLOOKUP(A162,'[9]geoMap (6)'!$A:$B,2,0)*VLOOKUP(A162,'[9]geoMap (6)'!$A:$C,3,0)</f>
        <v>#REF!</v>
      </c>
      <c r="I162" s="1" t="e">
        <f>H162/VLOOKUP(A162,'[10]geoMap (7)'!$A:$B,2,0)*VLOOKUP(A162,'[10]geoMap (7)'!$A:$C,3,0)</f>
        <v>#REF!</v>
      </c>
      <c r="J162" s="1" t="e">
        <f>I162/VLOOKUP(A162,'[11]geoMap (8)'!$A:$B,2,0)*VLOOKUP(A162,'[11]geoMap (8)'!$A:$C,3,0)</f>
        <v>#REF!</v>
      </c>
      <c r="K162" s="1" t="e">
        <f>J162/VLOOKUP(A162,'[12]geoMap (9)'!$A:$B,2,0)*VLOOKUP(A162,'[12]geoMap (9)'!$A:$C,3,0)</f>
        <v>#REF!</v>
      </c>
      <c r="L162" s="1" t="e">
        <f>K162/VLOOKUP(A162,'[13]geoMap (10)'!$A:$B,2,0)*VLOOKUP(A162,'[13]geoMap (10)'!$A:$C,3,0)</f>
        <v>#REF!</v>
      </c>
      <c r="M162" s="1" t="e">
        <f>L162/VLOOKUP(A162,'[14]geoMap (11)'!$A:$B,2,0)*VLOOKUP(A162,'[14]geoMap (11)'!$A:$C,3,0)</f>
        <v>#REF!</v>
      </c>
      <c r="N162" s="1" t="e">
        <f>M162/VLOOKUP(A162,'[15]geoMap (12)'!$A:$B,2,0)*VLOOKUP(A162,'[15]geoMap (12)'!$A:$C,3,0)</f>
        <v>#REF!</v>
      </c>
      <c r="O162" s="1" t="e">
        <f>N162/VLOOKUP(A162,'[16]geoMap (13)'!$A:$B,2,0)*VLOOKUP(A162,'[16]geoMap (13)'!$A:$C,3,0)</f>
        <v>#REF!</v>
      </c>
      <c r="P162" s="1" t="e">
        <f>O162/VLOOKUP(A162,'[17]geoMap (14)'!$A:$B,2,0)*VLOOKUP(A162,'[17]geoMap (14)'!$A:$C,3,0)</f>
        <v>#REF!</v>
      </c>
      <c r="Q162" s="1" t="e">
        <f>P162/VLOOKUP(A162,'[18]geoMap (15)'!$A:$B,2,0)*VLOOKUP(A162,'[18]geoMap (15)'!$A:$C,3,0)</f>
        <v>#REF!</v>
      </c>
      <c r="R162" s="1" t="e">
        <f>Q162/VLOOKUP(A162,'[19]geoMap (16)'!$A:$B,2,0)*VLOOKUP(A162,'[19]geoMap (16)'!$A:$C,3,0)</f>
        <v>#REF!</v>
      </c>
      <c r="S162" s="1" t="e">
        <f>R162/VLOOKUP(A162,'[20]geoMap (17)'!$A:$B,2,0)*VLOOKUP(A162,'[20]geoMap (17)'!$A:$C,3,0)</f>
        <v>#REF!</v>
      </c>
      <c r="T162" s="1" t="e">
        <f>S162/VLOOKUP(A162,'[21]geoMap (18)'!$A:$B,2,0)*VLOOKUP(A162,'[21]geoMap (18)'!$A:$C,3,0)</f>
        <v>#REF!</v>
      </c>
      <c r="U162" s="1" t="e">
        <f>T162/VLOOKUP(A162,'[22]geoMap (19)'!$A:$B,2,0)*VLOOKUP(A162,'[22]geoMap (19)'!$A:$C,3,0)</f>
        <v>#REF!</v>
      </c>
      <c r="V162" s="1" t="e">
        <f>U162/VLOOKUP(A162,'[23]geoMap (20)'!$A:$B,2,0)*VLOOKUP(A162,'[23]geoMap (20)'!$A:$C,3,0)</f>
        <v>#REF!</v>
      </c>
      <c r="W162" s="1" t="e">
        <f>V162/VLOOKUP(A162,'[24]geoMap (21)'!$A:$B,2,0)*VLOOKUP(A162,'[24]geoMap (21)'!$A:$C,3,0)</f>
        <v>#REF!</v>
      </c>
      <c r="X162" s="1" t="e">
        <f>W162/VLOOKUP(A162,'[25]geoMap (22)'!$A:$B,2,0)*VLOOKUP(A162,'[25]geoMap (22)'!$A:$C,3,0)</f>
        <v>#REF!</v>
      </c>
      <c r="Y162" s="1" t="e">
        <f>X162/VLOOKUP(A162,'[26]geoMap (23)'!$A:$B,2,0)*VLOOKUP(A162,'[26]geoMap (23)'!$A:$C,3,0)</f>
        <v>#REF!</v>
      </c>
      <c r="Z162" s="1" t="e">
        <f>Y162/VLOOKUP(A162,'[27]geoMap (24)'!$A:$B,2,0)*VLOOKUP(A162,'[27]geoMap (24)'!$A:$C,3,0)</f>
        <v>#REF!</v>
      </c>
      <c r="AA162" s="1" t="e">
        <f>Z162/VLOOKUP(A162,'[28]geoMap (25)'!$A:$B,2,0)*VLOOKUP(A162,'[28]geoMap (25)'!$A:$C,3,0)</f>
        <v>#REF!</v>
      </c>
      <c r="AB162" s="1" t="e">
        <f>AA162*VLOOKUP(A162,'[29]geoMap (26)'!$A:$B,2,0)*VLOOKUP(A162,'[29]geoMap (26)'!$A:$C,3,0)</f>
        <v>#REF!</v>
      </c>
      <c r="AC162" s="1" t="e">
        <f>AB162/VLOOKUP(A162,'[30]geoMap (27)'!$A:$B,2,0)*VLOOKUP(A162,'[30]geoMap (27)'!$A:$C,3,0)</f>
        <v>#REF!</v>
      </c>
      <c r="AD162" s="1" t="e">
        <f>AC162/VLOOKUP(A162,'[31]geoMap (28)'!$A:$B,2,0)*VLOOKUP(A162,'[31]geoMap (28)'!$A:$C,3,0)</f>
        <v>#REF!</v>
      </c>
      <c r="AE162" s="1" t="e">
        <f>AD162/VLOOKUP(A162,'[32]geoMap (29)'!$A:$B,2,0)*VLOOKUP(A162,'[32]geoMap (29)'!$A:$C,3,0)</f>
        <v>#REF!</v>
      </c>
      <c r="AF162" s="1" t="e">
        <f>AE162/VLOOKUP(A162,'[33]geoMap (30)'!$A:$B,2,0)*VLOOKUP(A162,'[33]geoMap (30)'!$A:$C,3,0)</f>
        <v>#REF!</v>
      </c>
      <c r="AG162" s="1" t="e">
        <f>AF162/VLOOKUP(A162,'[34]geoMap (31)'!$A:$B,2,0)*VLOOKUP(A162,'[34]geoMap (31)'!$A:$C,3,0)</f>
        <v>#REF!</v>
      </c>
      <c r="AH162" s="1" t="e">
        <f>AG162/VLOOKUP(A162,'[35]geoMap (32)'!$A:$B,2,0)*VLOOKUP(A162,'[35]geoMap (32)'!$A:$C,3,0)</f>
        <v>#REF!</v>
      </c>
      <c r="AI162" s="1" t="e">
        <f>AH162/VLOOKUP(A162,'[36]geoMap (33)'!$A:$B,2,0)*VLOOKUP(A162,'[36]geoMap (33)'!$A:$C,3,0)</f>
        <v>#REF!</v>
      </c>
      <c r="AJ162" s="1" t="e">
        <f>AI162/VLOOKUP(A162,'[37]geoMap (34)'!$A:$B,2,0)*VLOOKUP(A162,'[37]geoMap (34)'!$A:$C,3,0)</f>
        <v>#REF!</v>
      </c>
      <c r="AK162" s="1" t="e">
        <f>AJ162/VLOOKUP(A162,'[38]geoMap (35)'!$A:$B,2,0)*VLOOKUP(A162,'[38]geoMap (35)'!$A:$C,3,0)</f>
        <v>#REF!</v>
      </c>
      <c r="AL162" s="1" t="e">
        <f>AK162/VLOOKUP(A162,'[39]geoMap (36)'!$A:$B,2,0)*VLOOKUP(A162,'[39]geoMap (36)'!$A:$C,3,0)</f>
        <v>#REF!</v>
      </c>
      <c r="AM162" s="1" t="e">
        <f>AL162/VLOOKUP(A162,'[40]geoMap (37)'!$A:$B,2,0)*VLOOKUP(A162,'[40]geoMap (37)'!$A:$C,3,0)</f>
        <v>#REF!</v>
      </c>
      <c r="AN162" s="1" t="e">
        <f>AM162/VLOOKUP(A162,'[41]geoMap (38)'!$A:$B,2,0)*VLOOKUP(A162,'[41]geoMap (38)'!$A:$C,3,0)</f>
        <v>#REF!</v>
      </c>
      <c r="AO162" s="1" t="e">
        <f>AN162/VLOOKUP(A162,'[42]geoMap (39)'!$A:$B,2,0)*VLOOKUP(A162,'[42]geoMap (39)'!$A:$C,3,0)</f>
        <v>#REF!</v>
      </c>
      <c r="AP162" s="1" t="e">
        <f>AO162/VLOOKUP(A162,'[43]geoMap (40)'!$A:$B,2,0)*VLOOKUP(A162,'[43]geoMap (40)'!$A:$C,3,0)</f>
        <v>#REF!</v>
      </c>
      <c r="AQ162" s="1" t="e">
        <f>AP162/VLOOKUP(A162,'[44]geoMap (41)'!$A:$B,2,0)*VLOOKUP(A162,'[44]geoMap (41)'!$A:$C,3,0)</f>
        <v>#REF!</v>
      </c>
      <c r="AR162" s="1" t="e">
        <f>AQ162/VLOOKUP(A162,'[45]geoMap (42)'!$A:$B,2,0)*VLOOKUP(A162,'[45]geoMap (42)'!$A:$C,3,0)</f>
        <v>#REF!</v>
      </c>
      <c r="AS162" s="1" t="e">
        <f>AR162/VLOOKUP(A162,'[46]geoMap (43)'!$A:$B,2,0)*VLOOKUP(A162,'[46]geoMap (43)'!$A:$C,3,0)</f>
        <v>#REF!</v>
      </c>
      <c r="AT162" s="1" t="e">
        <f>AS162/VLOOKUP(A162,'[47]geoMap (44)'!$A:$B,2,0)*VLOOKUP(A162,'[47]geoMap (44)'!$A:$C,3,0)</f>
        <v>#REF!</v>
      </c>
      <c r="AU162" s="1" t="e">
        <f>AT162/VLOOKUP(A162,'[48]geoMap (45)'!$A:$B,2,0)*VLOOKUP(A162,'[48]geoMap (45)'!$A:$C,3,0)</f>
        <v>#REF!</v>
      </c>
      <c r="AV162" s="1" t="e">
        <f>AU162/VLOOKUP(A162,'[49]geoMap (46)'!$A:$B,2,0)*VLOOKUP(A162,'[49]geoMap (46)'!$A:$C,3,0)</f>
        <v>#REF!</v>
      </c>
      <c r="AW162" s="1" t="e">
        <f>AV162/VLOOKUP(A162,'[50]geoMap (47)'!$A:$B,2,0)*VLOOKUP(A162,'[50]geoMap (47)'!$A:$C,3,0)</f>
        <v>#REF!</v>
      </c>
      <c r="AX162" s="1" t="e">
        <f>AW162/VLOOKUP(A162,'[51]geoMap (48)'!$A:$B,2,0)*VLOOKUP(A162,'[51]geoMap (48)'!$A:$C,3,0)</f>
        <v>#REF!</v>
      </c>
      <c r="AY162" s="1" t="e">
        <f>AX162/VLOOKUP(A162,'[52]geoMap (49)'!$A:$B,2,0)*VLOOKUP(A162,'[52]geoMap (49)'!$A:$C,3,0)</f>
        <v>#REF!</v>
      </c>
      <c r="AZ162" s="1" t="e">
        <f>AY162/VLOOKUP(A162,'[53]geoMap (50)'!$A:$B,2,0)*VLOOKUP(A162,'[53]geoMap (50)'!$A:$C,3,0)</f>
        <v>#REF!</v>
      </c>
      <c r="BA162" s="1" t="e">
        <f>AZ162/VLOOKUP(A162,'[54]geoMap (51)'!$A:$B,2,0)*VLOOKUP(A162,'[54]geoMap (51)'!$A:$C,3,0)</f>
        <v>#REF!</v>
      </c>
      <c r="BB162" s="1" t="e">
        <f>BA162/VLOOKUP(A162,'[55]geoMap (52)'!$A:$B,2,0)*VLOOKUP(A162,'[55]geoMap (52)'!$A:$C,3,0)</f>
        <v>#REF!</v>
      </c>
      <c r="BC162" s="1" t="e">
        <f>BB162/VLOOKUP(A162,'[56]geoMap (53)'!$A:$B,2,0)*VLOOKUP(A162,'[56]geoMap (53)'!$A:$C,3,0)</f>
        <v>#REF!</v>
      </c>
      <c r="BD162" s="1" t="e">
        <f>BC162/VLOOKUP(A162,'[57]geoMap (54)'!$A:$B,2,0)*VLOOKUP(A162,'[57]geoMap (54)'!$A:$C,3,0)</f>
        <v>#REF!</v>
      </c>
      <c r="BE162" s="1" t="e">
        <f>BD162/VLOOKUP(A162,'[58]geoMap (55)'!$A:$B,2,0)*VLOOKUP(A162,'[58]geoMap (55)'!$A:$C,3,0)</f>
        <v>#REF!</v>
      </c>
      <c r="BF162" s="1" t="e">
        <f>BE162/VLOOKUP(A162,'[59]geoMap (56)'!$A:$B,2,0)*VLOOKUP(A162,'[59]geoMap (56)'!$A:$C,3,0)</f>
        <v>#REF!</v>
      </c>
      <c r="BG162" s="1" t="e">
        <f>BF162/VLOOKUP(A162,'[60]geoMap (57)'!$A:$B,2,0)*VLOOKUP(A162,'[60]geoMap (57)'!$A:$C,3,0)</f>
        <v>#REF!</v>
      </c>
      <c r="BH162" s="1" t="e">
        <f>BG162/VLOOKUP(A162,'[61]geoMap (58)'!$A:$B,2,0)*VLOOKUP(A162,'[61]geoMap (58)'!$A:$C,3,0)</f>
        <v>#REF!</v>
      </c>
      <c r="BI162" s="1" t="e">
        <f>BH162/VLOOKUP(A162,'[62]geoMap (59)'!$A:$B,2,0)*VLOOKUP(A162,'[62]geoMap (59)'!$A:$C,3,0)</f>
        <v>#REF!</v>
      </c>
      <c r="BJ162" s="1" t="e">
        <f>BI162/VLOOKUP(A162,'[63]geoMap (60)'!$A:$B,2,0)*VLOOKUP(A162,'[63]geoMap (60)'!$A:$C,3,0)</f>
        <v>#REF!</v>
      </c>
      <c r="BK162" s="1" t="e">
        <f>BJ162/VLOOKUP(A162,'[64]geoMap (61)'!$A:$B,2,0)*VLOOKUP(A162,'[64]geoMap (61)'!$A:$C,3,0)</f>
        <v>#REF!</v>
      </c>
      <c r="BL162" s="1" t="e">
        <f>BK162/VLOOKUP(A162,'[65]geoMap (62)'!$A:$B,2,0)*VLOOKUP(A162,'[65]geoMap (62)'!$A:$C,3,0)</f>
        <v>#REF!</v>
      </c>
      <c r="BM162" s="1" t="e">
        <f>BL162/VLOOKUP(A162,'[66]geoMap (63)'!$A:$B,2,0)*VLOOKUP(A162,'[66]geoMap (63)'!$A:$C,3,0)</f>
        <v>#REF!</v>
      </c>
      <c r="BN162" s="1" t="e">
        <f>BM162/VLOOKUP(A162,'[67]geoMap (64)'!$A:$B,2,0)*VLOOKUP(A162,'[67]geoMap (64)'!$A:$C,3,0)</f>
        <v>#REF!</v>
      </c>
      <c r="BO162" s="1" t="e">
        <f>BN162/VLOOKUP(A162,'[68]geoMap (65)'!$A:$B,2,0)*VLOOKUP(A162,'[68]geoMap (65)'!$A:$C,3,0)</f>
        <v>#REF!</v>
      </c>
      <c r="BP162" s="1" t="e">
        <f>BO162/VLOOKUP(A162,'[69]geoMap (66)'!$A:$B,2,0)*VLOOKUP(A162,'[69]geoMap (66)'!$A:$C,3,0)</f>
        <v>#REF!</v>
      </c>
    </row>
    <row r="163" spans="1:68" hidden="1" x14ac:dyDescent="0.2">
      <c r="A163" s="1" t="s">
        <v>156</v>
      </c>
      <c r="B163" s="1" t="e">
        <f>VLOOKUP(A163,[3]geoMap!$A:$B,2,0)*Notes!$C$6</f>
        <v>#REF!</v>
      </c>
      <c r="C163" s="1" t="e">
        <f>B163/VLOOKUP(A163,'[4]geoMap (1)'!$A:$B,2,0)*VLOOKUP(A163,'[4]geoMap (1)'!$A:$C,3,0)</f>
        <v>#REF!</v>
      </c>
      <c r="D163" s="1" t="e">
        <f>C163/VLOOKUP(A163,'[5]geoMap (2)'!$A:$B,2,0)*VLOOKUP(A163,'[5]geoMap (2)'!$A:$C,3,0)</f>
        <v>#REF!</v>
      </c>
      <c r="E163" s="1" t="e">
        <f>D163/VLOOKUP(A163,'[6]geoMap (3)'!$A:$B,2,0)*VLOOKUP(A163,'[6]geoMap (3)'!$A:$C,3,0)</f>
        <v>#REF!</v>
      </c>
      <c r="F163" s="1" t="e">
        <f>E163/VLOOKUP(A163,'[7]geoMap (4)'!$A:$B,2,0)*VLOOKUP(A163,'[7]geoMap (4)'!$A:$C,3,0)</f>
        <v>#REF!</v>
      </c>
      <c r="G163" s="1" t="e">
        <f>F163/VLOOKUP(A163,'[8]geoMap (5)'!$A:$B,2,0)*VLOOKUP(A163,'[8]geoMap (5)'!$A:$C,3,0)</f>
        <v>#REF!</v>
      </c>
      <c r="H163" s="1" t="e">
        <f>G163/VLOOKUP(A163,'[9]geoMap (6)'!$A:$B,2,0)*VLOOKUP(A163,'[9]geoMap (6)'!$A:$C,3,0)</f>
        <v>#REF!</v>
      </c>
      <c r="I163" s="1" t="e">
        <f>H163/VLOOKUP(A163,'[10]geoMap (7)'!$A:$B,2,0)*VLOOKUP(A163,'[10]geoMap (7)'!$A:$C,3,0)</f>
        <v>#REF!</v>
      </c>
      <c r="J163" s="1" t="e">
        <f>I163/VLOOKUP(A163,'[11]geoMap (8)'!$A:$B,2,0)*VLOOKUP(A163,'[11]geoMap (8)'!$A:$C,3,0)</f>
        <v>#REF!</v>
      </c>
      <c r="K163" s="1" t="e">
        <f>J163/VLOOKUP(A163,'[12]geoMap (9)'!$A:$B,2,0)*VLOOKUP(A163,'[12]geoMap (9)'!$A:$C,3,0)</f>
        <v>#REF!</v>
      </c>
      <c r="L163" s="1" t="e">
        <f>K163/VLOOKUP(A163,'[13]geoMap (10)'!$A:$B,2,0)*VLOOKUP(A163,'[13]geoMap (10)'!$A:$C,3,0)</f>
        <v>#REF!</v>
      </c>
      <c r="M163" s="1" t="e">
        <f>L163/VLOOKUP(A163,'[14]geoMap (11)'!$A:$B,2,0)*VLOOKUP(A163,'[14]geoMap (11)'!$A:$C,3,0)</f>
        <v>#REF!</v>
      </c>
      <c r="N163" s="1" t="e">
        <f>M163/VLOOKUP(A163,'[15]geoMap (12)'!$A:$B,2,0)*VLOOKUP(A163,'[15]geoMap (12)'!$A:$C,3,0)</f>
        <v>#REF!</v>
      </c>
      <c r="O163" s="1" t="e">
        <f>N163/VLOOKUP(A163,'[16]geoMap (13)'!$A:$B,2,0)*VLOOKUP(A163,'[16]geoMap (13)'!$A:$C,3,0)</f>
        <v>#REF!</v>
      </c>
      <c r="P163" s="1" t="e">
        <f>O163/VLOOKUP(A163,'[17]geoMap (14)'!$A:$B,2,0)*VLOOKUP(A163,'[17]geoMap (14)'!$A:$C,3,0)</f>
        <v>#REF!</v>
      </c>
      <c r="Q163" s="1" t="e">
        <f>P163/VLOOKUP(A163,'[18]geoMap (15)'!$A:$B,2,0)*VLOOKUP(A163,'[18]geoMap (15)'!$A:$C,3,0)</f>
        <v>#REF!</v>
      </c>
      <c r="R163" s="1" t="e">
        <f>Q163/VLOOKUP(A163,'[19]geoMap (16)'!$A:$B,2,0)*VLOOKUP(A163,'[19]geoMap (16)'!$A:$C,3,0)</f>
        <v>#REF!</v>
      </c>
      <c r="S163" s="1" t="e">
        <f>R163/VLOOKUP(A163,'[20]geoMap (17)'!$A:$B,2,0)*VLOOKUP(A163,'[20]geoMap (17)'!$A:$C,3,0)</f>
        <v>#REF!</v>
      </c>
      <c r="T163" s="1" t="e">
        <f>S163/VLOOKUP(A163,'[21]geoMap (18)'!$A:$B,2,0)*VLOOKUP(A163,'[21]geoMap (18)'!$A:$C,3,0)</f>
        <v>#REF!</v>
      </c>
      <c r="U163" s="1" t="e">
        <f>T163/VLOOKUP(A163,'[22]geoMap (19)'!$A:$B,2,0)*VLOOKUP(A163,'[22]geoMap (19)'!$A:$C,3,0)</f>
        <v>#REF!</v>
      </c>
      <c r="V163" s="1" t="e">
        <f>U163/VLOOKUP(A163,'[23]geoMap (20)'!$A:$B,2,0)*VLOOKUP(A163,'[23]geoMap (20)'!$A:$C,3,0)</f>
        <v>#REF!</v>
      </c>
      <c r="W163" s="1" t="e">
        <f>V163/VLOOKUP(A163,'[24]geoMap (21)'!$A:$B,2,0)*VLOOKUP(A163,'[24]geoMap (21)'!$A:$C,3,0)</f>
        <v>#REF!</v>
      </c>
      <c r="X163" s="1" t="e">
        <f>W163/VLOOKUP(A163,'[25]geoMap (22)'!$A:$B,2,0)*VLOOKUP(A163,'[25]geoMap (22)'!$A:$C,3,0)</f>
        <v>#REF!</v>
      </c>
      <c r="Y163" s="1" t="e">
        <f>X163/VLOOKUP(A163,'[26]geoMap (23)'!$A:$B,2,0)*VLOOKUP(A163,'[26]geoMap (23)'!$A:$C,3,0)</f>
        <v>#REF!</v>
      </c>
      <c r="Z163" s="1" t="e">
        <f>Y163/VLOOKUP(A163,'[27]geoMap (24)'!$A:$B,2,0)*VLOOKUP(A163,'[27]geoMap (24)'!$A:$C,3,0)</f>
        <v>#REF!</v>
      </c>
      <c r="AA163" s="1" t="e">
        <f>Z163/VLOOKUP(A163,'[28]geoMap (25)'!$A:$B,2,0)*VLOOKUP(A163,'[28]geoMap (25)'!$A:$C,3,0)</f>
        <v>#REF!</v>
      </c>
      <c r="AB163" s="1" t="e">
        <f>AA163*VLOOKUP(A163,'[29]geoMap (26)'!$A:$B,2,0)*VLOOKUP(A163,'[29]geoMap (26)'!$A:$C,3,0)</f>
        <v>#REF!</v>
      </c>
      <c r="AC163" s="1" t="e">
        <f>AB163/VLOOKUP(A163,'[30]geoMap (27)'!$A:$B,2,0)*VLOOKUP(A163,'[30]geoMap (27)'!$A:$C,3,0)</f>
        <v>#REF!</v>
      </c>
      <c r="AD163" s="1" t="e">
        <f>AC163/VLOOKUP(A163,'[31]geoMap (28)'!$A:$B,2,0)*VLOOKUP(A163,'[31]geoMap (28)'!$A:$C,3,0)</f>
        <v>#REF!</v>
      </c>
      <c r="AE163" s="1" t="e">
        <f>AD163/VLOOKUP(A163,'[32]geoMap (29)'!$A:$B,2,0)*VLOOKUP(A163,'[32]geoMap (29)'!$A:$C,3,0)</f>
        <v>#REF!</v>
      </c>
      <c r="AF163" s="1" t="e">
        <f>AE163/VLOOKUP(A163,'[33]geoMap (30)'!$A:$B,2,0)*VLOOKUP(A163,'[33]geoMap (30)'!$A:$C,3,0)</f>
        <v>#REF!</v>
      </c>
      <c r="AG163" s="1" t="e">
        <f>AF163/VLOOKUP(A163,'[34]geoMap (31)'!$A:$B,2,0)*VLOOKUP(A163,'[34]geoMap (31)'!$A:$C,3,0)</f>
        <v>#REF!</v>
      </c>
      <c r="AH163" s="1" t="e">
        <f>AG163/VLOOKUP(A163,'[35]geoMap (32)'!$A:$B,2,0)*VLOOKUP(A163,'[35]geoMap (32)'!$A:$C,3,0)</f>
        <v>#REF!</v>
      </c>
      <c r="AI163" s="1" t="e">
        <f>AH163/VLOOKUP(A163,'[36]geoMap (33)'!$A:$B,2,0)*VLOOKUP(A163,'[36]geoMap (33)'!$A:$C,3,0)</f>
        <v>#REF!</v>
      </c>
      <c r="AJ163" s="1" t="e">
        <f>AI163/VLOOKUP(A163,'[37]geoMap (34)'!$A:$B,2,0)*VLOOKUP(A163,'[37]geoMap (34)'!$A:$C,3,0)</f>
        <v>#REF!</v>
      </c>
      <c r="AK163" s="1" t="e">
        <f>AJ163/VLOOKUP(A163,'[38]geoMap (35)'!$A:$B,2,0)*VLOOKUP(A163,'[38]geoMap (35)'!$A:$C,3,0)</f>
        <v>#REF!</v>
      </c>
      <c r="AL163" s="1" t="e">
        <f>AK163/VLOOKUP(A163,'[39]geoMap (36)'!$A:$B,2,0)*VLOOKUP(A163,'[39]geoMap (36)'!$A:$C,3,0)</f>
        <v>#REF!</v>
      </c>
      <c r="AM163" s="1" t="e">
        <f>AL163/VLOOKUP(A163,'[40]geoMap (37)'!$A:$B,2,0)*VLOOKUP(A163,'[40]geoMap (37)'!$A:$C,3,0)</f>
        <v>#REF!</v>
      </c>
      <c r="AN163" s="1" t="e">
        <f>AM163/VLOOKUP(A163,'[41]geoMap (38)'!$A:$B,2,0)*VLOOKUP(A163,'[41]geoMap (38)'!$A:$C,3,0)</f>
        <v>#REF!</v>
      </c>
      <c r="AO163" s="1" t="e">
        <f>AN163/VLOOKUP(A163,'[42]geoMap (39)'!$A:$B,2,0)*VLOOKUP(A163,'[42]geoMap (39)'!$A:$C,3,0)</f>
        <v>#REF!</v>
      </c>
      <c r="AP163" s="1" t="e">
        <f>AO163/VLOOKUP(A163,'[43]geoMap (40)'!$A:$B,2,0)*VLOOKUP(A163,'[43]geoMap (40)'!$A:$C,3,0)</f>
        <v>#REF!</v>
      </c>
      <c r="AQ163" s="1" t="e">
        <f>AP163/VLOOKUP(A163,'[44]geoMap (41)'!$A:$B,2,0)*VLOOKUP(A163,'[44]geoMap (41)'!$A:$C,3,0)</f>
        <v>#REF!</v>
      </c>
      <c r="AR163" s="1" t="e">
        <f>AQ163/VLOOKUP(A163,'[45]geoMap (42)'!$A:$B,2,0)*VLOOKUP(A163,'[45]geoMap (42)'!$A:$C,3,0)</f>
        <v>#REF!</v>
      </c>
      <c r="AS163" s="1" t="e">
        <f>AR163/VLOOKUP(A163,'[46]geoMap (43)'!$A:$B,2,0)*VLOOKUP(A163,'[46]geoMap (43)'!$A:$C,3,0)</f>
        <v>#REF!</v>
      </c>
      <c r="AT163" s="1" t="e">
        <f>AS163/VLOOKUP(A163,'[47]geoMap (44)'!$A:$B,2,0)*VLOOKUP(A163,'[47]geoMap (44)'!$A:$C,3,0)</f>
        <v>#REF!</v>
      </c>
      <c r="AU163" s="1" t="e">
        <f>AT163/VLOOKUP(A163,'[48]geoMap (45)'!$A:$B,2,0)*VLOOKUP(A163,'[48]geoMap (45)'!$A:$C,3,0)</f>
        <v>#REF!</v>
      </c>
      <c r="AV163" s="1" t="e">
        <f>AU163/VLOOKUP(A163,'[49]geoMap (46)'!$A:$B,2,0)*VLOOKUP(A163,'[49]geoMap (46)'!$A:$C,3,0)</f>
        <v>#REF!</v>
      </c>
      <c r="AW163" s="1" t="e">
        <f>AV163/VLOOKUP(A163,'[50]geoMap (47)'!$A:$B,2,0)*VLOOKUP(A163,'[50]geoMap (47)'!$A:$C,3,0)</f>
        <v>#REF!</v>
      </c>
      <c r="AX163" s="1" t="e">
        <f>AW163/VLOOKUP(A163,'[51]geoMap (48)'!$A:$B,2,0)*VLOOKUP(A163,'[51]geoMap (48)'!$A:$C,3,0)</f>
        <v>#REF!</v>
      </c>
      <c r="AY163" s="1" t="e">
        <f>AX163/VLOOKUP(A163,'[52]geoMap (49)'!$A:$B,2,0)*VLOOKUP(A163,'[52]geoMap (49)'!$A:$C,3,0)</f>
        <v>#REF!</v>
      </c>
      <c r="AZ163" s="1" t="e">
        <f>AY163/VLOOKUP(A163,'[53]geoMap (50)'!$A:$B,2,0)*VLOOKUP(A163,'[53]geoMap (50)'!$A:$C,3,0)</f>
        <v>#REF!</v>
      </c>
      <c r="BA163" s="1" t="e">
        <f>AZ163/VLOOKUP(A163,'[54]geoMap (51)'!$A:$B,2,0)*VLOOKUP(A163,'[54]geoMap (51)'!$A:$C,3,0)</f>
        <v>#REF!</v>
      </c>
      <c r="BB163" s="1" t="e">
        <f>BA163/VLOOKUP(A163,'[55]geoMap (52)'!$A:$B,2,0)*VLOOKUP(A163,'[55]geoMap (52)'!$A:$C,3,0)</f>
        <v>#REF!</v>
      </c>
      <c r="BC163" s="1" t="e">
        <f>BB163/VLOOKUP(A163,'[56]geoMap (53)'!$A:$B,2,0)*VLOOKUP(A163,'[56]geoMap (53)'!$A:$C,3,0)</f>
        <v>#REF!</v>
      </c>
      <c r="BD163" s="1" t="e">
        <f>BC163/VLOOKUP(A163,'[57]geoMap (54)'!$A:$B,2,0)*VLOOKUP(A163,'[57]geoMap (54)'!$A:$C,3,0)</f>
        <v>#REF!</v>
      </c>
      <c r="BE163" s="1" t="e">
        <f>BD163/VLOOKUP(A163,'[58]geoMap (55)'!$A:$B,2,0)*VLOOKUP(A163,'[58]geoMap (55)'!$A:$C,3,0)</f>
        <v>#REF!</v>
      </c>
      <c r="BF163" s="1" t="e">
        <f>BE163/VLOOKUP(A163,'[59]geoMap (56)'!$A:$B,2,0)*VLOOKUP(A163,'[59]geoMap (56)'!$A:$C,3,0)</f>
        <v>#REF!</v>
      </c>
      <c r="BG163" s="1" t="e">
        <f>BF163/VLOOKUP(A163,'[60]geoMap (57)'!$A:$B,2,0)*VLOOKUP(A163,'[60]geoMap (57)'!$A:$C,3,0)</f>
        <v>#REF!</v>
      </c>
      <c r="BH163" s="1" t="e">
        <f>BG163/VLOOKUP(A163,'[61]geoMap (58)'!$A:$B,2,0)*VLOOKUP(A163,'[61]geoMap (58)'!$A:$C,3,0)</f>
        <v>#REF!</v>
      </c>
      <c r="BI163" s="1" t="e">
        <f>BH163/VLOOKUP(A163,'[62]geoMap (59)'!$A:$B,2,0)*VLOOKUP(A163,'[62]geoMap (59)'!$A:$C,3,0)</f>
        <v>#REF!</v>
      </c>
      <c r="BJ163" s="1" t="e">
        <f>BI163/VLOOKUP(A163,'[63]geoMap (60)'!$A:$B,2,0)*VLOOKUP(A163,'[63]geoMap (60)'!$A:$C,3,0)</f>
        <v>#REF!</v>
      </c>
      <c r="BK163" s="1" t="e">
        <f>BJ163/VLOOKUP(A163,'[64]geoMap (61)'!$A:$B,2,0)*VLOOKUP(A163,'[64]geoMap (61)'!$A:$C,3,0)</f>
        <v>#REF!</v>
      </c>
      <c r="BL163" s="1" t="e">
        <f>BK163/VLOOKUP(A163,'[65]geoMap (62)'!$A:$B,2,0)*VLOOKUP(A163,'[65]geoMap (62)'!$A:$C,3,0)</f>
        <v>#REF!</v>
      </c>
      <c r="BM163" s="1" t="e">
        <f>BL163/VLOOKUP(A163,'[66]geoMap (63)'!$A:$B,2,0)*VLOOKUP(A163,'[66]geoMap (63)'!$A:$C,3,0)</f>
        <v>#REF!</v>
      </c>
      <c r="BN163" s="1" t="e">
        <f>BM163/VLOOKUP(A163,'[67]geoMap (64)'!$A:$B,2,0)*VLOOKUP(A163,'[67]geoMap (64)'!$A:$C,3,0)</f>
        <v>#REF!</v>
      </c>
      <c r="BO163" s="1" t="e">
        <f>BN163/VLOOKUP(A163,'[68]geoMap (65)'!$A:$B,2,0)*VLOOKUP(A163,'[68]geoMap (65)'!$A:$C,3,0)</f>
        <v>#REF!</v>
      </c>
      <c r="BP163" s="1" t="e">
        <f>BO163/VLOOKUP(A163,'[69]geoMap (66)'!$A:$B,2,0)*VLOOKUP(A163,'[69]geoMap (66)'!$A:$C,3,0)</f>
        <v>#REF!</v>
      </c>
    </row>
    <row r="164" spans="1:68" hidden="1" x14ac:dyDescent="0.2">
      <c r="A164" s="1" t="s">
        <v>157</v>
      </c>
      <c r="B164" s="1" t="e">
        <f>VLOOKUP(A164,[3]geoMap!$A:$B,2,0)*Notes!$C$6</f>
        <v>#REF!</v>
      </c>
      <c r="C164" s="1" t="e">
        <f>B164/VLOOKUP(A164,'[4]geoMap (1)'!$A:$B,2,0)*VLOOKUP(A164,'[4]geoMap (1)'!$A:$C,3,0)</f>
        <v>#REF!</v>
      </c>
      <c r="D164" s="1" t="e">
        <f>C164/VLOOKUP(A164,'[5]geoMap (2)'!$A:$B,2,0)*VLOOKUP(A164,'[5]geoMap (2)'!$A:$C,3,0)</f>
        <v>#REF!</v>
      </c>
      <c r="E164" s="1" t="e">
        <f>D164/VLOOKUP(A164,'[6]geoMap (3)'!$A:$B,2,0)*VLOOKUP(A164,'[6]geoMap (3)'!$A:$C,3,0)</f>
        <v>#REF!</v>
      </c>
      <c r="F164" s="1" t="e">
        <f>E164/VLOOKUP(A164,'[7]geoMap (4)'!$A:$B,2,0)*VLOOKUP(A164,'[7]geoMap (4)'!$A:$C,3,0)</f>
        <v>#REF!</v>
      </c>
      <c r="G164" s="1" t="e">
        <f>F164/VLOOKUP(A164,'[8]geoMap (5)'!$A:$B,2,0)*VLOOKUP(A164,'[8]geoMap (5)'!$A:$C,3,0)</f>
        <v>#REF!</v>
      </c>
      <c r="H164" s="1" t="e">
        <f>G164/VLOOKUP(A164,'[9]geoMap (6)'!$A:$B,2,0)*VLOOKUP(A164,'[9]geoMap (6)'!$A:$C,3,0)</f>
        <v>#REF!</v>
      </c>
      <c r="I164" s="1" t="e">
        <f>H164/VLOOKUP(A164,'[10]geoMap (7)'!$A:$B,2,0)*VLOOKUP(A164,'[10]geoMap (7)'!$A:$C,3,0)</f>
        <v>#REF!</v>
      </c>
      <c r="J164" s="1" t="e">
        <f>I164/VLOOKUP(A164,'[11]geoMap (8)'!$A:$B,2,0)*VLOOKUP(A164,'[11]geoMap (8)'!$A:$C,3,0)</f>
        <v>#REF!</v>
      </c>
      <c r="K164" s="1" t="e">
        <f>J164/VLOOKUP(A164,'[12]geoMap (9)'!$A:$B,2,0)*VLOOKUP(A164,'[12]geoMap (9)'!$A:$C,3,0)</f>
        <v>#REF!</v>
      </c>
      <c r="L164" s="1" t="e">
        <f>K164/VLOOKUP(A164,'[13]geoMap (10)'!$A:$B,2,0)*VLOOKUP(A164,'[13]geoMap (10)'!$A:$C,3,0)</f>
        <v>#REF!</v>
      </c>
      <c r="M164" s="1" t="e">
        <f>L164/VLOOKUP(A164,'[14]geoMap (11)'!$A:$B,2,0)*VLOOKUP(A164,'[14]geoMap (11)'!$A:$C,3,0)</f>
        <v>#REF!</v>
      </c>
      <c r="N164" s="1" t="e">
        <f>M164/VLOOKUP(A164,'[15]geoMap (12)'!$A:$B,2,0)*VLOOKUP(A164,'[15]geoMap (12)'!$A:$C,3,0)</f>
        <v>#REF!</v>
      </c>
      <c r="O164" s="1" t="e">
        <f>N164/VLOOKUP(A164,'[16]geoMap (13)'!$A:$B,2,0)*VLOOKUP(A164,'[16]geoMap (13)'!$A:$C,3,0)</f>
        <v>#REF!</v>
      </c>
      <c r="P164" s="1" t="e">
        <f>O164/VLOOKUP(A164,'[17]geoMap (14)'!$A:$B,2,0)*VLOOKUP(A164,'[17]geoMap (14)'!$A:$C,3,0)</f>
        <v>#REF!</v>
      </c>
      <c r="Q164" s="1" t="e">
        <f>P164/VLOOKUP(A164,'[18]geoMap (15)'!$A:$B,2,0)*VLOOKUP(A164,'[18]geoMap (15)'!$A:$C,3,0)</f>
        <v>#REF!</v>
      </c>
      <c r="R164" s="1" t="e">
        <f>Q164/VLOOKUP(A164,'[19]geoMap (16)'!$A:$B,2,0)*VLOOKUP(A164,'[19]geoMap (16)'!$A:$C,3,0)</f>
        <v>#REF!</v>
      </c>
      <c r="S164" s="1" t="e">
        <f>R164/VLOOKUP(A164,'[20]geoMap (17)'!$A:$B,2,0)*VLOOKUP(A164,'[20]geoMap (17)'!$A:$C,3,0)</f>
        <v>#REF!</v>
      </c>
      <c r="T164" s="1" t="e">
        <f>S164/VLOOKUP(A164,'[21]geoMap (18)'!$A:$B,2,0)*VLOOKUP(A164,'[21]geoMap (18)'!$A:$C,3,0)</f>
        <v>#REF!</v>
      </c>
      <c r="U164" s="1" t="e">
        <f>T164/VLOOKUP(A164,'[22]geoMap (19)'!$A:$B,2,0)*VLOOKUP(A164,'[22]geoMap (19)'!$A:$C,3,0)</f>
        <v>#REF!</v>
      </c>
      <c r="V164" s="1" t="e">
        <f>U164/VLOOKUP(A164,'[23]geoMap (20)'!$A:$B,2,0)*VLOOKUP(A164,'[23]geoMap (20)'!$A:$C,3,0)</f>
        <v>#REF!</v>
      </c>
      <c r="W164" s="1" t="e">
        <f>V164/VLOOKUP(A164,'[24]geoMap (21)'!$A:$B,2,0)*VLOOKUP(A164,'[24]geoMap (21)'!$A:$C,3,0)</f>
        <v>#REF!</v>
      </c>
      <c r="X164" s="1" t="e">
        <f>W164/VLOOKUP(A164,'[25]geoMap (22)'!$A:$B,2,0)*VLOOKUP(A164,'[25]geoMap (22)'!$A:$C,3,0)</f>
        <v>#REF!</v>
      </c>
      <c r="Y164" s="1" t="e">
        <f>X164/VLOOKUP(A164,'[26]geoMap (23)'!$A:$B,2,0)*VLOOKUP(A164,'[26]geoMap (23)'!$A:$C,3,0)</f>
        <v>#REF!</v>
      </c>
      <c r="Z164" s="1" t="e">
        <f>Y164/VLOOKUP(A164,'[27]geoMap (24)'!$A:$B,2,0)*VLOOKUP(A164,'[27]geoMap (24)'!$A:$C,3,0)</f>
        <v>#REF!</v>
      </c>
      <c r="AA164" s="1" t="e">
        <f>Z164/VLOOKUP(A164,'[28]geoMap (25)'!$A:$B,2,0)*VLOOKUP(A164,'[28]geoMap (25)'!$A:$C,3,0)</f>
        <v>#REF!</v>
      </c>
      <c r="AB164" s="1" t="e">
        <f>AA164*VLOOKUP(A164,'[29]geoMap (26)'!$A:$B,2,0)*VLOOKUP(A164,'[29]geoMap (26)'!$A:$C,3,0)</f>
        <v>#REF!</v>
      </c>
      <c r="AC164" s="1" t="e">
        <f>AB164/VLOOKUP(A164,'[30]geoMap (27)'!$A:$B,2,0)*VLOOKUP(A164,'[30]geoMap (27)'!$A:$C,3,0)</f>
        <v>#REF!</v>
      </c>
      <c r="AD164" s="1" t="e">
        <f>AC164/VLOOKUP(A164,'[31]geoMap (28)'!$A:$B,2,0)*VLOOKUP(A164,'[31]geoMap (28)'!$A:$C,3,0)</f>
        <v>#REF!</v>
      </c>
      <c r="AE164" s="1" t="e">
        <f>AD164/VLOOKUP(A164,'[32]geoMap (29)'!$A:$B,2,0)*VLOOKUP(A164,'[32]geoMap (29)'!$A:$C,3,0)</f>
        <v>#REF!</v>
      </c>
      <c r="AF164" s="1" t="e">
        <f>AE164/VLOOKUP(A164,'[33]geoMap (30)'!$A:$B,2,0)*VLOOKUP(A164,'[33]geoMap (30)'!$A:$C,3,0)</f>
        <v>#REF!</v>
      </c>
      <c r="AG164" s="1" t="e">
        <f>AF164/VLOOKUP(A164,'[34]geoMap (31)'!$A:$B,2,0)*VLOOKUP(A164,'[34]geoMap (31)'!$A:$C,3,0)</f>
        <v>#REF!</v>
      </c>
      <c r="AH164" s="1" t="e">
        <f>AG164/VLOOKUP(A164,'[35]geoMap (32)'!$A:$B,2,0)*VLOOKUP(A164,'[35]geoMap (32)'!$A:$C,3,0)</f>
        <v>#REF!</v>
      </c>
      <c r="AI164" s="1" t="e">
        <f>AH164/VLOOKUP(A164,'[36]geoMap (33)'!$A:$B,2,0)*VLOOKUP(A164,'[36]geoMap (33)'!$A:$C,3,0)</f>
        <v>#REF!</v>
      </c>
      <c r="AJ164" s="1" t="e">
        <f>AI164/VLOOKUP(A164,'[37]geoMap (34)'!$A:$B,2,0)*VLOOKUP(A164,'[37]geoMap (34)'!$A:$C,3,0)</f>
        <v>#REF!</v>
      </c>
      <c r="AK164" s="1" t="e">
        <f>AJ164/VLOOKUP(A164,'[38]geoMap (35)'!$A:$B,2,0)*VLOOKUP(A164,'[38]geoMap (35)'!$A:$C,3,0)</f>
        <v>#REF!</v>
      </c>
      <c r="AL164" s="1" t="e">
        <f>AK164/VLOOKUP(A164,'[39]geoMap (36)'!$A:$B,2,0)*VLOOKUP(A164,'[39]geoMap (36)'!$A:$C,3,0)</f>
        <v>#REF!</v>
      </c>
      <c r="AM164" s="1" t="e">
        <f>AL164/VLOOKUP(A164,'[40]geoMap (37)'!$A:$B,2,0)*VLOOKUP(A164,'[40]geoMap (37)'!$A:$C,3,0)</f>
        <v>#REF!</v>
      </c>
      <c r="AN164" s="1" t="e">
        <f>AM164/VLOOKUP(A164,'[41]geoMap (38)'!$A:$B,2,0)*VLOOKUP(A164,'[41]geoMap (38)'!$A:$C,3,0)</f>
        <v>#REF!</v>
      </c>
      <c r="AO164" s="1" t="e">
        <f>AN164/VLOOKUP(A164,'[42]geoMap (39)'!$A:$B,2,0)*VLOOKUP(A164,'[42]geoMap (39)'!$A:$C,3,0)</f>
        <v>#REF!</v>
      </c>
      <c r="AP164" s="1" t="e">
        <f>AO164/VLOOKUP(A164,'[43]geoMap (40)'!$A:$B,2,0)*VLOOKUP(A164,'[43]geoMap (40)'!$A:$C,3,0)</f>
        <v>#REF!</v>
      </c>
      <c r="AQ164" s="1" t="e">
        <f>AP164/VLOOKUP(A164,'[44]geoMap (41)'!$A:$B,2,0)*VLOOKUP(A164,'[44]geoMap (41)'!$A:$C,3,0)</f>
        <v>#REF!</v>
      </c>
      <c r="AR164" s="1" t="e">
        <f>AQ164/VLOOKUP(A164,'[45]geoMap (42)'!$A:$B,2,0)*VLOOKUP(A164,'[45]geoMap (42)'!$A:$C,3,0)</f>
        <v>#REF!</v>
      </c>
      <c r="AS164" s="1" t="e">
        <f>AR164/VLOOKUP(A164,'[46]geoMap (43)'!$A:$B,2,0)*VLOOKUP(A164,'[46]geoMap (43)'!$A:$C,3,0)</f>
        <v>#REF!</v>
      </c>
      <c r="AT164" s="1" t="e">
        <f>AS164/VLOOKUP(A164,'[47]geoMap (44)'!$A:$B,2,0)*VLOOKUP(A164,'[47]geoMap (44)'!$A:$C,3,0)</f>
        <v>#REF!</v>
      </c>
      <c r="AU164" s="1" t="e">
        <f>AT164/VLOOKUP(A164,'[48]geoMap (45)'!$A:$B,2,0)*VLOOKUP(A164,'[48]geoMap (45)'!$A:$C,3,0)</f>
        <v>#REF!</v>
      </c>
      <c r="AV164" s="1" t="e">
        <f>AU164/VLOOKUP(A164,'[49]geoMap (46)'!$A:$B,2,0)*VLOOKUP(A164,'[49]geoMap (46)'!$A:$C,3,0)</f>
        <v>#REF!</v>
      </c>
      <c r="AW164" s="1" t="e">
        <f>AV164/VLOOKUP(A164,'[50]geoMap (47)'!$A:$B,2,0)*VLOOKUP(A164,'[50]geoMap (47)'!$A:$C,3,0)</f>
        <v>#REF!</v>
      </c>
      <c r="AX164" s="1" t="e">
        <f>AW164/VLOOKUP(A164,'[51]geoMap (48)'!$A:$B,2,0)*VLOOKUP(A164,'[51]geoMap (48)'!$A:$C,3,0)</f>
        <v>#REF!</v>
      </c>
      <c r="AY164" s="1" t="e">
        <f>AX164/VLOOKUP(A164,'[52]geoMap (49)'!$A:$B,2,0)*VLOOKUP(A164,'[52]geoMap (49)'!$A:$C,3,0)</f>
        <v>#REF!</v>
      </c>
      <c r="AZ164" s="1" t="e">
        <f>AY164/VLOOKUP(A164,'[53]geoMap (50)'!$A:$B,2,0)*VLOOKUP(A164,'[53]geoMap (50)'!$A:$C,3,0)</f>
        <v>#REF!</v>
      </c>
      <c r="BA164" s="1" t="e">
        <f>AZ164/VLOOKUP(A164,'[54]geoMap (51)'!$A:$B,2,0)*VLOOKUP(A164,'[54]geoMap (51)'!$A:$C,3,0)</f>
        <v>#REF!</v>
      </c>
      <c r="BB164" s="1" t="e">
        <f>BA164/VLOOKUP(A164,'[55]geoMap (52)'!$A:$B,2,0)*VLOOKUP(A164,'[55]geoMap (52)'!$A:$C,3,0)</f>
        <v>#REF!</v>
      </c>
      <c r="BC164" s="1" t="e">
        <f>BB164/VLOOKUP(A164,'[56]geoMap (53)'!$A:$B,2,0)*VLOOKUP(A164,'[56]geoMap (53)'!$A:$C,3,0)</f>
        <v>#REF!</v>
      </c>
      <c r="BD164" s="1" t="e">
        <f>BC164/VLOOKUP(A164,'[57]geoMap (54)'!$A:$B,2,0)*VLOOKUP(A164,'[57]geoMap (54)'!$A:$C,3,0)</f>
        <v>#REF!</v>
      </c>
      <c r="BE164" s="1" t="e">
        <f>BD164/VLOOKUP(A164,'[58]geoMap (55)'!$A:$B,2,0)*VLOOKUP(A164,'[58]geoMap (55)'!$A:$C,3,0)</f>
        <v>#REF!</v>
      </c>
      <c r="BF164" s="1" t="e">
        <f>BE164/VLOOKUP(A164,'[59]geoMap (56)'!$A:$B,2,0)*VLOOKUP(A164,'[59]geoMap (56)'!$A:$C,3,0)</f>
        <v>#REF!</v>
      </c>
      <c r="BG164" s="1" t="e">
        <f>BF164/VLOOKUP(A164,'[60]geoMap (57)'!$A:$B,2,0)*VLOOKUP(A164,'[60]geoMap (57)'!$A:$C,3,0)</f>
        <v>#REF!</v>
      </c>
      <c r="BH164" s="1" t="e">
        <f>BG164/VLOOKUP(A164,'[61]geoMap (58)'!$A:$B,2,0)*VLOOKUP(A164,'[61]geoMap (58)'!$A:$C,3,0)</f>
        <v>#REF!</v>
      </c>
      <c r="BI164" s="1" t="e">
        <f>BH164/VLOOKUP(A164,'[62]geoMap (59)'!$A:$B,2,0)*VLOOKUP(A164,'[62]geoMap (59)'!$A:$C,3,0)</f>
        <v>#REF!</v>
      </c>
      <c r="BJ164" s="1" t="e">
        <f>BI164/VLOOKUP(A164,'[63]geoMap (60)'!$A:$B,2,0)*VLOOKUP(A164,'[63]geoMap (60)'!$A:$C,3,0)</f>
        <v>#REF!</v>
      </c>
      <c r="BK164" s="1" t="e">
        <f>BJ164/VLOOKUP(A164,'[64]geoMap (61)'!$A:$B,2,0)*VLOOKUP(A164,'[64]geoMap (61)'!$A:$C,3,0)</f>
        <v>#REF!</v>
      </c>
      <c r="BL164" s="1" t="e">
        <f>BK164/VLOOKUP(A164,'[65]geoMap (62)'!$A:$B,2,0)*VLOOKUP(A164,'[65]geoMap (62)'!$A:$C,3,0)</f>
        <v>#REF!</v>
      </c>
      <c r="BM164" s="1" t="e">
        <f>BL164/VLOOKUP(A164,'[66]geoMap (63)'!$A:$B,2,0)*VLOOKUP(A164,'[66]geoMap (63)'!$A:$C,3,0)</f>
        <v>#REF!</v>
      </c>
      <c r="BN164" s="1" t="e">
        <f>BM164/VLOOKUP(A164,'[67]geoMap (64)'!$A:$B,2,0)*VLOOKUP(A164,'[67]geoMap (64)'!$A:$C,3,0)</f>
        <v>#REF!</v>
      </c>
      <c r="BO164" s="1" t="e">
        <f>BN164/VLOOKUP(A164,'[68]geoMap (65)'!$A:$B,2,0)*VLOOKUP(A164,'[68]geoMap (65)'!$A:$C,3,0)</f>
        <v>#REF!</v>
      </c>
      <c r="BP164" s="1" t="e">
        <f>BO164/VLOOKUP(A164,'[69]geoMap (66)'!$A:$B,2,0)*VLOOKUP(A164,'[69]geoMap (66)'!$A:$C,3,0)</f>
        <v>#REF!</v>
      </c>
    </row>
    <row r="165" spans="1:68" hidden="1" x14ac:dyDescent="0.2">
      <c r="A165" s="1" t="s">
        <v>158</v>
      </c>
      <c r="B165" s="1" t="e">
        <f>VLOOKUP(A165,[3]geoMap!$A:$B,2,0)*Notes!$C$6</f>
        <v>#REF!</v>
      </c>
      <c r="C165" s="1" t="e">
        <f>B165/VLOOKUP(A165,'[4]geoMap (1)'!$A:$B,2,0)*VLOOKUP(A165,'[4]geoMap (1)'!$A:$C,3,0)</f>
        <v>#REF!</v>
      </c>
      <c r="D165" s="1" t="e">
        <f>C165/VLOOKUP(A165,'[5]geoMap (2)'!$A:$B,2,0)*VLOOKUP(A165,'[5]geoMap (2)'!$A:$C,3,0)</f>
        <v>#REF!</v>
      </c>
      <c r="E165" s="1" t="e">
        <f>D165/VLOOKUP(A165,'[6]geoMap (3)'!$A:$B,2,0)*VLOOKUP(A165,'[6]geoMap (3)'!$A:$C,3,0)</f>
        <v>#REF!</v>
      </c>
      <c r="F165" s="1" t="e">
        <f>E165/VLOOKUP(A165,'[7]geoMap (4)'!$A:$B,2,0)*VLOOKUP(A165,'[7]geoMap (4)'!$A:$C,3,0)</f>
        <v>#REF!</v>
      </c>
      <c r="G165" s="1" t="e">
        <f>F165/VLOOKUP(A165,'[8]geoMap (5)'!$A:$B,2,0)*VLOOKUP(A165,'[8]geoMap (5)'!$A:$C,3,0)</f>
        <v>#REF!</v>
      </c>
      <c r="H165" s="1" t="e">
        <f>G165/VLOOKUP(A165,'[9]geoMap (6)'!$A:$B,2,0)*VLOOKUP(A165,'[9]geoMap (6)'!$A:$C,3,0)</f>
        <v>#REF!</v>
      </c>
      <c r="I165" s="1" t="e">
        <f>H165/VLOOKUP(A165,'[10]geoMap (7)'!$A:$B,2,0)*VLOOKUP(A165,'[10]geoMap (7)'!$A:$C,3,0)</f>
        <v>#REF!</v>
      </c>
      <c r="J165" s="1" t="e">
        <f>I165/VLOOKUP(A165,'[11]geoMap (8)'!$A:$B,2,0)*VLOOKUP(A165,'[11]geoMap (8)'!$A:$C,3,0)</f>
        <v>#REF!</v>
      </c>
      <c r="K165" s="1" t="e">
        <f>J165/VLOOKUP(A165,'[12]geoMap (9)'!$A:$B,2,0)*VLOOKUP(A165,'[12]geoMap (9)'!$A:$C,3,0)</f>
        <v>#REF!</v>
      </c>
      <c r="L165" s="1" t="e">
        <f>K165/VLOOKUP(A165,'[13]geoMap (10)'!$A:$B,2,0)*VLOOKUP(A165,'[13]geoMap (10)'!$A:$C,3,0)</f>
        <v>#REF!</v>
      </c>
      <c r="M165" s="1" t="e">
        <f>L165/VLOOKUP(A165,'[14]geoMap (11)'!$A:$B,2,0)*VLOOKUP(A165,'[14]geoMap (11)'!$A:$C,3,0)</f>
        <v>#REF!</v>
      </c>
      <c r="N165" s="1" t="e">
        <f>M165/VLOOKUP(A165,'[15]geoMap (12)'!$A:$B,2,0)*VLOOKUP(A165,'[15]geoMap (12)'!$A:$C,3,0)</f>
        <v>#REF!</v>
      </c>
      <c r="O165" s="1" t="e">
        <f>N165/VLOOKUP(A165,'[16]geoMap (13)'!$A:$B,2,0)*VLOOKUP(A165,'[16]geoMap (13)'!$A:$C,3,0)</f>
        <v>#REF!</v>
      </c>
      <c r="P165" s="1" t="e">
        <f>O165/VLOOKUP(A165,'[17]geoMap (14)'!$A:$B,2,0)*VLOOKUP(A165,'[17]geoMap (14)'!$A:$C,3,0)</f>
        <v>#REF!</v>
      </c>
      <c r="Q165" s="1" t="e">
        <f>P165/VLOOKUP(A165,'[18]geoMap (15)'!$A:$B,2,0)*VLOOKUP(A165,'[18]geoMap (15)'!$A:$C,3,0)</f>
        <v>#REF!</v>
      </c>
      <c r="R165" s="1" t="e">
        <f>Q165/VLOOKUP(A165,'[19]geoMap (16)'!$A:$B,2,0)*VLOOKUP(A165,'[19]geoMap (16)'!$A:$C,3,0)</f>
        <v>#REF!</v>
      </c>
      <c r="S165" s="1" t="e">
        <f>R165/VLOOKUP(A165,'[20]geoMap (17)'!$A:$B,2,0)*VLOOKUP(A165,'[20]geoMap (17)'!$A:$C,3,0)</f>
        <v>#REF!</v>
      </c>
      <c r="T165" s="1" t="e">
        <f>S165/VLOOKUP(A165,'[21]geoMap (18)'!$A:$B,2,0)*VLOOKUP(A165,'[21]geoMap (18)'!$A:$C,3,0)</f>
        <v>#REF!</v>
      </c>
      <c r="U165" s="1" t="e">
        <f>T165/VLOOKUP(A165,'[22]geoMap (19)'!$A:$B,2,0)*VLOOKUP(A165,'[22]geoMap (19)'!$A:$C,3,0)</f>
        <v>#REF!</v>
      </c>
      <c r="V165" s="1" t="e">
        <f>U165/VLOOKUP(A165,'[23]geoMap (20)'!$A:$B,2,0)*VLOOKUP(A165,'[23]geoMap (20)'!$A:$C,3,0)</f>
        <v>#REF!</v>
      </c>
      <c r="W165" s="1" t="e">
        <f>V165/VLOOKUP(A165,'[24]geoMap (21)'!$A:$B,2,0)*VLOOKUP(A165,'[24]geoMap (21)'!$A:$C,3,0)</f>
        <v>#REF!</v>
      </c>
      <c r="X165" s="1" t="e">
        <f>W165/VLOOKUP(A165,'[25]geoMap (22)'!$A:$B,2,0)*VLOOKUP(A165,'[25]geoMap (22)'!$A:$C,3,0)</f>
        <v>#REF!</v>
      </c>
      <c r="Y165" s="1" t="e">
        <f>X165/VLOOKUP(A165,'[26]geoMap (23)'!$A:$B,2,0)*VLOOKUP(A165,'[26]geoMap (23)'!$A:$C,3,0)</f>
        <v>#REF!</v>
      </c>
      <c r="Z165" s="1" t="e">
        <f>Y165/VLOOKUP(A165,'[27]geoMap (24)'!$A:$B,2,0)*VLOOKUP(A165,'[27]geoMap (24)'!$A:$C,3,0)</f>
        <v>#REF!</v>
      </c>
      <c r="AA165" s="1" t="e">
        <f>Z165/VLOOKUP(A165,'[28]geoMap (25)'!$A:$B,2,0)*VLOOKUP(A165,'[28]geoMap (25)'!$A:$C,3,0)</f>
        <v>#REF!</v>
      </c>
      <c r="AB165" s="1" t="e">
        <f>AA165*VLOOKUP(A165,'[29]geoMap (26)'!$A:$B,2,0)*VLOOKUP(A165,'[29]geoMap (26)'!$A:$C,3,0)</f>
        <v>#REF!</v>
      </c>
      <c r="AC165" s="1" t="e">
        <f>AB165/VLOOKUP(A165,'[30]geoMap (27)'!$A:$B,2,0)*VLOOKUP(A165,'[30]geoMap (27)'!$A:$C,3,0)</f>
        <v>#REF!</v>
      </c>
      <c r="AD165" s="1" t="e">
        <f>AC165/VLOOKUP(A165,'[31]geoMap (28)'!$A:$B,2,0)*VLOOKUP(A165,'[31]geoMap (28)'!$A:$C,3,0)</f>
        <v>#REF!</v>
      </c>
      <c r="AE165" s="1" t="e">
        <f>AD165/VLOOKUP(A165,'[32]geoMap (29)'!$A:$B,2,0)*VLOOKUP(A165,'[32]geoMap (29)'!$A:$C,3,0)</f>
        <v>#REF!</v>
      </c>
      <c r="AF165" s="1" t="e">
        <f>AE165/VLOOKUP(A165,'[33]geoMap (30)'!$A:$B,2,0)*VLOOKUP(A165,'[33]geoMap (30)'!$A:$C,3,0)</f>
        <v>#REF!</v>
      </c>
      <c r="AG165" s="1" t="e">
        <f>AF165/VLOOKUP(A165,'[34]geoMap (31)'!$A:$B,2,0)*VLOOKUP(A165,'[34]geoMap (31)'!$A:$C,3,0)</f>
        <v>#REF!</v>
      </c>
      <c r="AH165" s="1" t="e">
        <f>AG165/VLOOKUP(A165,'[35]geoMap (32)'!$A:$B,2,0)*VLOOKUP(A165,'[35]geoMap (32)'!$A:$C,3,0)</f>
        <v>#REF!</v>
      </c>
      <c r="AI165" s="1" t="e">
        <f>AH165/VLOOKUP(A165,'[36]geoMap (33)'!$A:$B,2,0)*VLOOKUP(A165,'[36]geoMap (33)'!$A:$C,3,0)</f>
        <v>#REF!</v>
      </c>
      <c r="AJ165" s="1" t="e">
        <f>AI165/VLOOKUP(A165,'[37]geoMap (34)'!$A:$B,2,0)*VLOOKUP(A165,'[37]geoMap (34)'!$A:$C,3,0)</f>
        <v>#REF!</v>
      </c>
      <c r="AK165" s="1" t="e">
        <f>AJ165/VLOOKUP(A165,'[38]geoMap (35)'!$A:$B,2,0)*VLOOKUP(A165,'[38]geoMap (35)'!$A:$C,3,0)</f>
        <v>#REF!</v>
      </c>
      <c r="AL165" s="1" t="e">
        <f>AK165/VLOOKUP(A165,'[39]geoMap (36)'!$A:$B,2,0)*VLOOKUP(A165,'[39]geoMap (36)'!$A:$C,3,0)</f>
        <v>#REF!</v>
      </c>
      <c r="AM165" s="1" t="e">
        <f>AL165/VLOOKUP(A165,'[40]geoMap (37)'!$A:$B,2,0)*VLOOKUP(A165,'[40]geoMap (37)'!$A:$C,3,0)</f>
        <v>#REF!</v>
      </c>
      <c r="AN165" s="1" t="e">
        <f>AM165/VLOOKUP(A165,'[41]geoMap (38)'!$A:$B,2,0)*VLOOKUP(A165,'[41]geoMap (38)'!$A:$C,3,0)</f>
        <v>#REF!</v>
      </c>
      <c r="AO165" s="1" t="e">
        <f>AN165/VLOOKUP(A165,'[42]geoMap (39)'!$A:$B,2,0)*VLOOKUP(A165,'[42]geoMap (39)'!$A:$C,3,0)</f>
        <v>#REF!</v>
      </c>
      <c r="AP165" s="1" t="e">
        <f>AO165/VLOOKUP(A165,'[43]geoMap (40)'!$A:$B,2,0)*VLOOKUP(A165,'[43]geoMap (40)'!$A:$C,3,0)</f>
        <v>#REF!</v>
      </c>
      <c r="AQ165" s="1" t="e">
        <f>AP165/VLOOKUP(A165,'[44]geoMap (41)'!$A:$B,2,0)*VLOOKUP(A165,'[44]geoMap (41)'!$A:$C,3,0)</f>
        <v>#REF!</v>
      </c>
      <c r="AR165" s="1" t="e">
        <f>AQ165/VLOOKUP(A165,'[45]geoMap (42)'!$A:$B,2,0)*VLOOKUP(A165,'[45]geoMap (42)'!$A:$C,3,0)</f>
        <v>#REF!</v>
      </c>
      <c r="AS165" s="1" t="e">
        <f>AR165/VLOOKUP(A165,'[46]geoMap (43)'!$A:$B,2,0)*VLOOKUP(A165,'[46]geoMap (43)'!$A:$C,3,0)</f>
        <v>#REF!</v>
      </c>
      <c r="AT165" s="1" t="e">
        <f>AS165/VLOOKUP(A165,'[47]geoMap (44)'!$A:$B,2,0)*VLOOKUP(A165,'[47]geoMap (44)'!$A:$C,3,0)</f>
        <v>#REF!</v>
      </c>
      <c r="AU165" s="1" t="e">
        <f>AT165/VLOOKUP(A165,'[48]geoMap (45)'!$A:$B,2,0)*VLOOKUP(A165,'[48]geoMap (45)'!$A:$C,3,0)</f>
        <v>#REF!</v>
      </c>
      <c r="AV165" s="1" t="e">
        <f>AU165/VLOOKUP(A165,'[49]geoMap (46)'!$A:$B,2,0)*VLOOKUP(A165,'[49]geoMap (46)'!$A:$C,3,0)</f>
        <v>#REF!</v>
      </c>
      <c r="AW165" s="1" t="e">
        <f>AV165/VLOOKUP(A165,'[50]geoMap (47)'!$A:$B,2,0)*VLOOKUP(A165,'[50]geoMap (47)'!$A:$C,3,0)</f>
        <v>#REF!</v>
      </c>
      <c r="AX165" s="1" t="e">
        <f>AW165/VLOOKUP(A165,'[51]geoMap (48)'!$A:$B,2,0)*VLOOKUP(A165,'[51]geoMap (48)'!$A:$C,3,0)</f>
        <v>#REF!</v>
      </c>
      <c r="AY165" s="1" t="e">
        <f>AX165/VLOOKUP(A165,'[52]geoMap (49)'!$A:$B,2,0)*VLOOKUP(A165,'[52]geoMap (49)'!$A:$C,3,0)</f>
        <v>#REF!</v>
      </c>
      <c r="AZ165" s="1" t="e">
        <f>AY165/VLOOKUP(A165,'[53]geoMap (50)'!$A:$B,2,0)*VLOOKUP(A165,'[53]geoMap (50)'!$A:$C,3,0)</f>
        <v>#REF!</v>
      </c>
      <c r="BA165" s="1" t="e">
        <f>AZ165/VLOOKUP(A165,'[54]geoMap (51)'!$A:$B,2,0)*VLOOKUP(A165,'[54]geoMap (51)'!$A:$C,3,0)</f>
        <v>#REF!</v>
      </c>
      <c r="BB165" s="1" t="e">
        <f>BA165/VLOOKUP(A165,'[55]geoMap (52)'!$A:$B,2,0)*VLOOKUP(A165,'[55]geoMap (52)'!$A:$C,3,0)</f>
        <v>#REF!</v>
      </c>
      <c r="BC165" s="1" t="e">
        <f>BB165/VLOOKUP(A165,'[56]geoMap (53)'!$A:$B,2,0)*VLOOKUP(A165,'[56]geoMap (53)'!$A:$C,3,0)</f>
        <v>#REF!</v>
      </c>
      <c r="BD165" s="1" t="e">
        <f>BC165/VLOOKUP(A165,'[57]geoMap (54)'!$A:$B,2,0)*VLOOKUP(A165,'[57]geoMap (54)'!$A:$C,3,0)</f>
        <v>#REF!</v>
      </c>
      <c r="BE165" s="1" t="e">
        <f>BD165/VLOOKUP(A165,'[58]geoMap (55)'!$A:$B,2,0)*VLOOKUP(A165,'[58]geoMap (55)'!$A:$C,3,0)</f>
        <v>#REF!</v>
      </c>
      <c r="BF165" s="1" t="e">
        <f>BE165/VLOOKUP(A165,'[59]geoMap (56)'!$A:$B,2,0)*VLOOKUP(A165,'[59]geoMap (56)'!$A:$C,3,0)</f>
        <v>#REF!</v>
      </c>
      <c r="BG165" s="1" t="e">
        <f>BF165/VLOOKUP(A165,'[60]geoMap (57)'!$A:$B,2,0)*VLOOKUP(A165,'[60]geoMap (57)'!$A:$C,3,0)</f>
        <v>#REF!</v>
      </c>
      <c r="BH165" s="1" t="e">
        <f>BG165/VLOOKUP(A165,'[61]geoMap (58)'!$A:$B,2,0)*VLOOKUP(A165,'[61]geoMap (58)'!$A:$C,3,0)</f>
        <v>#REF!</v>
      </c>
      <c r="BI165" s="1" t="e">
        <f>BH165/VLOOKUP(A165,'[62]geoMap (59)'!$A:$B,2,0)*VLOOKUP(A165,'[62]geoMap (59)'!$A:$C,3,0)</f>
        <v>#REF!</v>
      </c>
      <c r="BJ165" s="1" t="e">
        <f>BI165/VLOOKUP(A165,'[63]geoMap (60)'!$A:$B,2,0)*VLOOKUP(A165,'[63]geoMap (60)'!$A:$C,3,0)</f>
        <v>#REF!</v>
      </c>
      <c r="BK165" s="1" t="e">
        <f>BJ165/VLOOKUP(A165,'[64]geoMap (61)'!$A:$B,2,0)*VLOOKUP(A165,'[64]geoMap (61)'!$A:$C,3,0)</f>
        <v>#REF!</v>
      </c>
      <c r="BL165" s="1" t="e">
        <f>BK165/VLOOKUP(A165,'[65]geoMap (62)'!$A:$B,2,0)*VLOOKUP(A165,'[65]geoMap (62)'!$A:$C,3,0)</f>
        <v>#REF!</v>
      </c>
      <c r="BM165" s="1" t="e">
        <f>BL165/VLOOKUP(A165,'[66]geoMap (63)'!$A:$B,2,0)*VLOOKUP(A165,'[66]geoMap (63)'!$A:$C,3,0)</f>
        <v>#REF!</v>
      </c>
      <c r="BN165" s="1" t="e">
        <f>BM165/VLOOKUP(A165,'[67]geoMap (64)'!$A:$B,2,0)*VLOOKUP(A165,'[67]geoMap (64)'!$A:$C,3,0)</f>
        <v>#REF!</v>
      </c>
      <c r="BO165" s="1" t="e">
        <f>BN165/VLOOKUP(A165,'[68]geoMap (65)'!$A:$B,2,0)*VLOOKUP(A165,'[68]geoMap (65)'!$A:$C,3,0)</f>
        <v>#REF!</v>
      </c>
      <c r="BP165" s="1" t="e">
        <f>BO165/VLOOKUP(A165,'[69]geoMap (66)'!$A:$B,2,0)*VLOOKUP(A165,'[69]geoMap (66)'!$A:$C,3,0)</f>
        <v>#REF!</v>
      </c>
    </row>
    <row r="166" spans="1:68" hidden="1" x14ac:dyDescent="0.2">
      <c r="A166" s="1" t="s">
        <v>160</v>
      </c>
      <c r="B166" s="1" t="e">
        <f>VLOOKUP(A166,[3]geoMap!$A:$B,2,0)*Notes!$C$6</f>
        <v>#REF!</v>
      </c>
      <c r="C166" s="1" t="e">
        <f>B166/VLOOKUP(A166,'[4]geoMap (1)'!$A:$B,2,0)*VLOOKUP(A166,'[4]geoMap (1)'!$A:$C,3,0)</f>
        <v>#REF!</v>
      </c>
      <c r="D166" s="1" t="e">
        <f>C166/VLOOKUP(A166,'[5]geoMap (2)'!$A:$B,2,0)*VLOOKUP(A166,'[5]geoMap (2)'!$A:$C,3,0)</f>
        <v>#REF!</v>
      </c>
      <c r="E166" s="1" t="e">
        <f>D166/VLOOKUP(A166,'[6]geoMap (3)'!$A:$B,2,0)*VLOOKUP(A166,'[6]geoMap (3)'!$A:$C,3,0)</f>
        <v>#REF!</v>
      </c>
      <c r="F166" s="1" t="e">
        <f>E166/VLOOKUP(A166,'[7]geoMap (4)'!$A:$B,2,0)*VLOOKUP(A166,'[7]geoMap (4)'!$A:$C,3,0)</f>
        <v>#REF!</v>
      </c>
      <c r="G166" s="1" t="e">
        <f>F166/VLOOKUP(A166,'[8]geoMap (5)'!$A:$B,2,0)*VLOOKUP(A166,'[8]geoMap (5)'!$A:$C,3,0)</f>
        <v>#REF!</v>
      </c>
      <c r="H166" s="1" t="e">
        <f>G166/VLOOKUP(A166,'[9]geoMap (6)'!$A:$B,2,0)*VLOOKUP(A166,'[9]geoMap (6)'!$A:$C,3,0)</f>
        <v>#REF!</v>
      </c>
      <c r="I166" s="1" t="e">
        <f>H166/VLOOKUP(A166,'[10]geoMap (7)'!$A:$B,2,0)*VLOOKUP(A166,'[10]geoMap (7)'!$A:$C,3,0)</f>
        <v>#REF!</v>
      </c>
      <c r="J166" s="1" t="e">
        <f>I166/VLOOKUP(A166,'[11]geoMap (8)'!$A:$B,2,0)*VLOOKUP(A166,'[11]geoMap (8)'!$A:$C,3,0)</f>
        <v>#REF!</v>
      </c>
      <c r="K166" s="1" t="e">
        <f>J166/VLOOKUP(A166,'[12]geoMap (9)'!$A:$B,2,0)*VLOOKUP(A166,'[12]geoMap (9)'!$A:$C,3,0)</f>
        <v>#REF!</v>
      </c>
      <c r="L166" s="1" t="e">
        <f>K166/VLOOKUP(A166,'[13]geoMap (10)'!$A:$B,2,0)*VLOOKUP(A166,'[13]geoMap (10)'!$A:$C,3,0)</f>
        <v>#REF!</v>
      </c>
      <c r="M166" s="1" t="e">
        <f>L166/VLOOKUP(A166,'[14]geoMap (11)'!$A:$B,2,0)*VLOOKUP(A166,'[14]geoMap (11)'!$A:$C,3,0)</f>
        <v>#REF!</v>
      </c>
      <c r="N166" s="1" t="e">
        <f>M166/VLOOKUP(A166,'[15]geoMap (12)'!$A:$B,2,0)*VLOOKUP(A166,'[15]geoMap (12)'!$A:$C,3,0)</f>
        <v>#REF!</v>
      </c>
      <c r="O166" s="1" t="e">
        <f>N166/VLOOKUP(A166,'[16]geoMap (13)'!$A:$B,2,0)*VLOOKUP(A166,'[16]geoMap (13)'!$A:$C,3,0)</f>
        <v>#REF!</v>
      </c>
      <c r="P166" s="1" t="e">
        <f>O166/VLOOKUP(A166,'[17]geoMap (14)'!$A:$B,2,0)*VLOOKUP(A166,'[17]geoMap (14)'!$A:$C,3,0)</f>
        <v>#REF!</v>
      </c>
      <c r="Q166" s="1" t="e">
        <f>P166/VLOOKUP(A166,'[18]geoMap (15)'!$A:$B,2,0)*VLOOKUP(A166,'[18]geoMap (15)'!$A:$C,3,0)</f>
        <v>#REF!</v>
      </c>
      <c r="R166" s="1" t="e">
        <f>Q166/VLOOKUP(A166,'[19]geoMap (16)'!$A:$B,2,0)*VLOOKUP(A166,'[19]geoMap (16)'!$A:$C,3,0)</f>
        <v>#REF!</v>
      </c>
      <c r="S166" s="1" t="e">
        <f>R166/VLOOKUP(A166,'[20]geoMap (17)'!$A:$B,2,0)*VLOOKUP(A166,'[20]geoMap (17)'!$A:$C,3,0)</f>
        <v>#REF!</v>
      </c>
      <c r="T166" s="1" t="e">
        <f>S166/VLOOKUP(A166,'[21]geoMap (18)'!$A:$B,2,0)*VLOOKUP(A166,'[21]geoMap (18)'!$A:$C,3,0)</f>
        <v>#REF!</v>
      </c>
      <c r="U166" s="1" t="e">
        <f>T166/VLOOKUP(A166,'[22]geoMap (19)'!$A:$B,2,0)*VLOOKUP(A166,'[22]geoMap (19)'!$A:$C,3,0)</f>
        <v>#REF!</v>
      </c>
      <c r="V166" s="1" t="e">
        <f>U166/VLOOKUP(A166,'[23]geoMap (20)'!$A:$B,2,0)*VLOOKUP(A166,'[23]geoMap (20)'!$A:$C,3,0)</f>
        <v>#REF!</v>
      </c>
      <c r="W166" s="1" t="e">
        <f>V166/VLOOKUP(A166,'[24]geoMap (21)'!$A:$B,2,0)*VLOOKUP(A166,'[24]geoMap (21)'!$A:$C,3,0)</f>
        <v>#REF!</v>
      </c>
      <c r="X166" s="1" t="e">
        <f>W166/VLOOKUP(A166,'[25]geoMap (22)'!$A:$B,2,0)*VLOOKUP(A166,'[25]geoMap (22)'!$A:$C,3,0)</f>
        <v>#REF!</v>
      </c>
      <c r="Y166" s="1" t="e">
        <f>X166/VLOOKUP(A166,'[26]geoMap (23)'!$A:$B,2,0)*VLOOKUP(A166,'[26]geoMap (23)'!$A:$C,3,0)</f>
        <v>#REF!</v>
      </c>
      <c r="Z166" s="1" t="e">
        <f>Y166/VLOOKUP(A166,'[27]geoMap (24)'!$A:$B,2,0)*VLOOKUP(A166,'[27]geoMap (24)'!$A:$C,3,0)</f>
        <v>#REF!</v>
      </c>
      <c r="AA166" s="1" t="e">
        <f>Z166/VLOOKUP(A166,'[28]geoMap (25)'!$A:$B,2,0)*VLOOKUP(A166,'[28]geoMap (25)'!$A:$C,3,0)</f>
        <v>#REF!</v>
      </c>
      <c r="AB166" s="1" t="e">
        <f>AA166*VLOOKUP(A166,'[29]geoMap (26)'!$A:$B,2,0)*VLOOKUP(A166,'[29]geoMap (26)'!$A:$C,3,0)</f>
        <v>#REF!</v>
      </c>
      <c r="AC166" s="1" t="e">
        <f>AB166/VLOOKUP(A166,'[30]geoMap (27)'!$A:$B,2,0)*VLOOKUP(A166,'[30]geoMap (27)'!$A:$C,3,0)</f>
        <v>#REF!</v>
      </c>
      <c r="AD166" s="1" t="e">
        <f>AC166/VLOOKUP(A166,'[31]geoMap (28)'!$A:$B,2,0)*VLOOKUP(A166,'[31]geoMap (28)'!$A:$C,3,0)</f>
        <v>#REF!</v>
      </c>
      <c r="AE166" s="1" t="e">
        <f>AD166/VLOOKUP(A166,'[32]geoMap (29)'!$A:$B,2,0)*VLOOKUP(A166,'[32]geoMap (29)'!$A:$C,3,0)</f>
        <v>#REF!</v>
      </c>
      <c r="AF166" s="1" t="e">
        <f>AE166/VLOOKUP(A166,'[33]geoMap (30)'!$A:$B,2,0)*VLOOKUP(A166,'[33]geoMap (30)'!$A:$C,3,0)</f>
        <v>#REF!</v>
      </c>
      <c r="AG166" s="1" t="e">
        <f>AF166/VLOOKUP(A166,'[34]geoMap (31)'!$A:$B,2,0)*VLOOKUP(A166,'[34]geoMap (31)'!$A:$C,3,0)</f>
        <v>#REF!</v>
      </c>
      <c r="AH166" s="1" t="e">
        <f>AG166/VLOOKUP(A166,'[35]geoMap (32)'!$A:$B,2,0)*VLOOKUP(A166,'[35]geoMap (32)'!$A:$C,3,0)</f>
        <v>#REF!</v>
      </c>
      <c r="AI166" s="1" t="e">
        <f>AH166/VLOOKUP(A166,'[36]geoMap (33)'!$A:$B,2,0)*VLOOKUP(A166,'[36]geoMap (33)'!$A:$C,3,0)</f>
        <v>#REF!</v>
      </c>
      <c r="AJ166" s="1" t="e">
        <f>AI166/VLOOKUP(A166,'[37]geoMap (34)'!$A:$B,2,0)*VLOOKUP(A166,'[37]geoMap (34)'!$A:$C,3,0)</f>
        <v>#REF!</v>
      </c>
      <c r="AK166" s="1" t="e">
        <f>AJ166/VLOOKUP(A166,'[38]geoMap (35)'!$A:$B,2,0)*VLOOKUP(A166,'[38]geoMap (35)'!$A:$C,3,0)</f>
        <v>#REF!</v>
      </c>
      <c r="AL166" s="1" t="e">
        <f>AK166/VLOOKUP(A166,'[39]geoMap (36)'!$A:$B,2,0)*VLOOKUP(A166,'[39]geoMap (36)'!$A:$C,3,0)</f>
        <v>#REF!</v>
      </c>
      <c r="AM166" s="1" t="e">
        <f>AL166/VLOOKUP(A166,'[40]geoMap (37)'!$A:$B,2,0)*VLOOKUP(A166,'[40]geoMap (37)'!$A:$C,3,0)</f>
        <v>#REF!</v>
      </c>
      <c r="AN166" s="1" t="e">
        <f>AM166/VLOOKUP(A166,'[41]geoMap (38)'!$A:$B,2,0)*VLOOKUP(A166,'[41]geoMap (38)'!$A:$C,3,0)</f>
        <v>#REF!</v>
      </c>
      <c r="AO166" s="1" t="e">
        <f>AN166/VLOOKUP(A166,'[42]geoMap (39)'!$A:$B,2,0)*VLOOKUP(A166,'[42]geoMap (39)'!$A:$C,3,0)</f>
        <v>#REF!</v>
      </c>
      <c r="AP166" s="1" t="e">
        <f>AO166/VLOOKUP(A166,'[43]geoMap (40)'!$A:$B,2,0)*VLOOKUP(A166,'[43]geoMap (40)'!$A:$C,3,0)</f>
        <v>#REF!</v>
      </c>
      <c r="AQ166" s="1" t="e">
        <f>AP166/VLOOKUP(A166,'[44]geoMap (41)'!$A:$B,2,0)*VLOOKUP(A166,'[44]geoMap (41)'!$A:$C,3,0)</f>
        <v>#REF!</v>
      </c>
      <c r="AR166" s="1" t="e">
        <f>AQ166/VLOOKUP(A166,'[45]geoMap (42)'!$A:$B,2,0)*VLOOKUP(A166,'[45]geoMap (42)'!$A:$C,3,0)</f>
        <v>#REF!</v>
      </c>
      <c r="AS166" s="1" t="e">
        <f>AR166/VLOOKUP(A166,'[46]geoMap (43)'!$A:$B,2,0)*VLOOKUP(A166,'[46]geoMap (43)'!$A:$C,3,0)</f>
        <v>#REF!</v>
      </c>
      <c r="AT166" s="1" t="e">
        <f>AS166/VLOOKUP(A166,'[47]geoMap (44)'!$A:$B,2,0)*VLOOKUP(A166,'[47]geoMap (44)'!$A:$C,3,0)</f>
        <v>#REF!</v>
      </c>
      <c r="AU166" s="1" t="e">
        <f>AT166/VLOOKUP(A166,'[48]geoMap (45)'!$A:$B,2,0)*VLOOKUP(A166,'[48]geoMap (45)'!$A:$C,3,0)</f>
        <v>#REF!</v>
      </c>
      <c r="AV166" s="1" t="e">
        <f>AU166/VLOOKUP(A166,'[49]geoMap (46)'!$A:$B,2,0)*VLOOKUP(A166,'[49]geoMap (46)'!$A:$C,3,0)</f>
        <v>#REF!</v>
      </c>
      <c r="AW166" s="1" t="e">
        <f>AV166/VLOOKUP(A166,'[50]geoMap (47)'!$A:$B,2,0)*VLOOKUP(A166,'[50]geoMap (47)'!$A:$C,3,0)</f>
        <v>#REF!</v>
      </c>
      <c r="AX166" s="1" t="e">
        <f>AW166/VLOOKUP(A166,'[51]geoMap (48)'!$A:$B,2,0)*VLOOKUP(A166,'[51]geoMap (48)'!$A:$C,3,0)</f>
        <v>#REF!</v>
      </c>
      <c r="AY166" s="1" t="e">
        <f>AX166/VLOOKUP(A166,'[52]geoMap (49)'!$A:$B,2,0)*VLOOKUP(A166,'[52]geoMap (49)'!$A:$C,3,0)</f>
        <v>#REF!</v>
      </c>
      <c r="AZ166" s="1" t="e">
        <f>AY166/VLOOKUP(A166,'[53]geoMap (50)'!$A:$B,2,0)*VLOOKUP(A166,'[53]geoMap (50)'!$A:$C,3,0)</f>
        <v>#REF!</v>
      </c>
      <c r="BA166" s="1" t="e">
        <f>AZ166/VLOOKUP(A166,'[54]geoMap (51)'!$A:$B,2,0)*VLOOKUP(A166,'[54]geoMap (51)'!$A:$C,3,0)</f>
        <v>#REF!</v>
      </c>
      <c r="BB166" s="1" t="e">
        <f>BA166/VLOOKUP(A166,'[55]geoMap (52)'!$A:$B,2,0)*VLOOKUP(A166,'[55]geoMap (52)'!$A:$C,3,0)</f>
        <v>#REF!</v>
      </c>
      <c r="BC166" s="1" t="e">
        <f>BB166/VLOOKUP(A166,'[56]geoMap (53)'!$A:$B,2,0)*VLOOKUP(A166,'[56]geoMap (53)'!$A:$C,3,0)</f>
        <v>#REF!</v>
      </c>
      <c r="BD166" s="1" t="e">
        <f>BC166/VLOOKUP(A166,'[57]geoMap (54)'!$A:$B,2,0)*VLOOKUP(A166,'[57]geoMap (54)'!$A:$C,3,0)</f>
        <v>#REF!</v>
      </c>
      <c r="BE166" s="1" t="e">
        <f>BD166/VLOOKUP(A166,'[58]geoMap (55)'!$A:$B,2,0)*VLOOKUP(A166,'[58]geoMap (55)'!$A:$C,3,0)</f>
        <v>#REF!</v>
      </c>
      <c r="BF166" s="1" t="e">
        <f>BE166/VLOOKUP(A166,'[59]geoMap (56)'!$A:$B,2,0)*VLOOKUP(A166,'[59]geoMap (56)'!$A:$C,3,0)</f>
        <v>#REF!</v>
      </c>
      <c r="BG166" s="1" t="e">
        <f>BF166/VLOOKUP(A166,'[60]geoMap (57)'!$A:$B,2,0)*VLOOKUP(A166,'[60]geoMap (57)'!$A:$C,3,0)</f>
        <v>#REF!</v>
      </c>
      <c r="BH166" s="1" t="e">
        <f>BG166/VLOOKUP(A166,'[61]geoMap (58)'!$A:$B,2,0)*VLOOKUP(A166,'[61]geoMap (58)'!$A:$C,3,0)</f>
        <v>#REF!</v>
      </c>
      <c r="BI166" s="1" t="e">
        <f>BH166/VLOOKUP(A166,'[62]geoMap (59)'!$A:$B,2,0)*VLOOKUP(A166,'[62]geoMap (59)'!$A:$C,3,0)</f>
        <v>#REF!</v>
      </c>
      <c r="BJ166" s="1" t="e">
        <f>BI166/VLOOKUP(A166,'[63]geoMap (60)'!$A:$B,2,0)*VLOOKUP(A166,'[63]geoMap (60)'!$A:$C,3,0)</f>
        <v>#REF!</v>
      </c>
      <c r="BK166" s="1" t="e">
        <f>BJ166/VLOOKUP(A166,'[64]geoMap (61)'!$A:$B,2,0)*VLOOKUP(A166,'[64]geoMap (61)'!$A:$C,3,0)</f>
        <v>#REF!</v>
      </c>
      <c r="BL166" s="1" t="e">
        <f>BK166/VLOOKUP(A166,'[65]geoMap (62)'!$A:$B,2,0)*VLOOKUP(A166,'[65]geoMap (62)'!$A:$C,3,0)</f>
        <v>#REF!</v>
      </c>
      <c r="BM166" s="1" t="e">
        <f>BL166/VLOOKUP(A166,'[66]geoMap (63)'!$A:$B,2,0)*VLOOKUP(A166,'[66]geoMap (63)'!$A:$C,3,0)</f>
        <v>#REF!</v>
      </c>
      <c r="BN166" s="1" t="e">
        <f>BM166/VLOOKUP(A166,'[67]geoMap (64)'!$A:$B,2,0)*VLOOKUP(A166,'[67]geoMap (64)'!$A:$C,3,0)</f>
        <v>#REF!</v>
      </c>
      <c r="BO166" s="1" t="e">
        <f>BN166/VLOOKUP(A166,'[68]geoMap (65)'!$A:$B,2,0)*VLOOKUP(A166,'[68]geoMap (65)'!$A:$C,3,0)</f>
        <v>#REF!</v>
      </c>
      <c r="BP166" s="1" t="e">
        <f>BO166/VLOOKUP(A166,'[69]geoMap (66)'!$A:$B,2,0)*VLOOKUP(A166,'[69]geoMap (66)'!$A:$C,3,0)</f>
        <v>#REF!</v>
      </c>
    </row>
    <row r="167" spans="1:68" hidden="1" x14ac:dyDescent="0.2">
      <c r="A167" s="1" t="s">
        <v>163</v>
      </c>
      <c r="B167" s="1" t="e">
        <f>VLOOKUP(A167,[3]geoMap!$A:$B,2,0)*Notes!$C$6</f>
        <v>#REF!</v>
      </c>
      <c r="C167" s="1" t="e">
        <f>B167/VLOOKUP(A167,'[4]geoMap (1)'!$A:$B,2,0)*VLOOKUP(A167,'[4]geoMap (1)'!$A:$C,3,0)</f>
        <v>#REF!</v>
      </c>
      <c r="D167" s="1" t="e">
        <f>C167/VLOOKUP(A167,'[5]geoMap (2)'!$A:$B,2,0)*VLOOKUP(A167,'[5]geoMap (2)'!$A:$C,3,0)</f>
        <v>#REF!</v>
      </c>
      <c r="E167" s="1" t="e">
        <f>D167/VLOOKUP(A167,'[6]geoMap (3)'!$A:$B,2,0)*VLOOKUP(A167,'[6]geoMap (3)'!$A:$C,3,0)</f>
        <v>#REF!</v>
      </c>
      <c r="F167" s="1" t="e">
        <f>E167/VLOOKUP(A167,'[7]geoMap (4)'!$A:$B,2,0)*VLOOKUP(A167,'[7]geoMap (4)'!$A:$C,3,0)</f>
        <v>#REF!</v>
      </c>
      <c r="G167" s="1" t="e">
        <f>F167/VLOOKUP(A167,'[8]geoMap (5)'!$A:$B,2,0)*VLOOKUP(A167,'[8]geoMap (5)'!$A:$C,3,0)</f>
        <v>#REF!</v>
      </c>
      <c r="H167" s="1" t="e">
        <f>G167/VLOOKUP(A167,'[9]geoMap (6)'!$A:$B,2,0)*VLOOKUP(A167,'[9]geoMap (6)'!$A:$C,3,0)</f>
        <v>#REF!</v>
      </c>
      <c r="I167" s="1" t="e">
        <f>H167/VLOOKUP(A167,'[10]geoMap (7)'!$A:$B,2,0)*VLOOKUP(A167,'[10]geoMap (7)'!$A:$C,3,0)</f>
        <v>#REF!</v>
      </c>
      <c r="J167" s="1" t="e">
        <f>I167/VLOOKUP(A167,'[11]geoMap (8)'!$A:$B,2,0)*VLOOKUP(A167,'[11]geoMap (8)'!$A:$C,3,0)</f>
        <v>#REF!</v>
      </c>
      <c r="K167" s="1" t="e">
        <f>J167/VLOOKUP(A167,'[12]geoMap (9)'!$A:$B,2,0)*VLOOKUP(A167,'[12]geoMap (9)'!$A:$C,3,0)</f>
        <v>#REF!</v>
      </c>
      <c r="L167" s="1" t="e">
        <f>K167/VLOOKUP(A167,'[13]geoMap (10)'!$A:$B,2,0)*VLOOKUP(A167,'[13]geoMap (10)'!$A:$C,3,0)</f>
        <v>#REF!</v>
      </c>
      <c r="M167" s="1" t="e">
        <f>L167/VLOOKUP(A167,'[14]geoMap (11)'!$A:$B,2,0)*VLOOKUP(A167,'[14]geoMap (11)'!$A:$C,3,0)</f>
        <v>#REF!</v>
      </c>
      <c r="N167" s="1" t="e">
        <f>M167/VLOOKUP(A167,'[15]geoMap (12)'!$A:$B,2,0)*VLOOKUP(A167,'[15]geoMap (12)'!$A:$C,3,0)</f>
        <v>#REF!</v>
      </c>
      <c r="O167" s="1" t="e">
        <f>N167/VLOOKUP(A167,'[16]geoMap (13)'!$A:$B,2,0)*VLOOKUP(A167,'[16]geoMap (13)'!$A:$C,3,0)</f>
        <v>#REF!</v>
      </c>
      <c r="P167" s="1" t="e">
        <f>O167/VLOOKUP(A167,'[17]geoMap (14)'!$A:$B,2,0)*VLOOKUP(A167,'[17]geoMap (14)'!$A:$C,3,0)</f>
        <v>#REF!</v>
      </c>
      <c r="Q167" s="1" t="e">
        <f>P167/VLOOKUP(A167,'[18]geoMap (15)'!$A:$B,2,0)*VLOOKUP(A167,'[18]geoMap (15)'!$A:$C,3,0)</f>
        <v>#REF!</v>
      </c>
      <c r="R167" s="1" t="e">
        <f>Q167/VLOOKUP(A167,'[19]geoMap (16)'!$A:$B,2,0)*VLOOKUP(A167,'[19]geoMap (16)'!$A:$C,3,0)</f>
        <v>#REF!</v>
      </c>
      <c r="S167" s="1" t="e">
        <f>R167/VLOOKUP(A167,'[20]geoMap (17)'!$A:$B,2,0)*VLOOKUP(A167,'[20]geoMap (17)'!$A:$C,3,0)</f>
        <v>#REF!</v>
      </c>
      <c r="T167" s="1" t="e">
        <f>S167/VLOOKUP(A167,'[21]geoMap (18)'!$A:$B,2,0)*VLOOKUP(A167,'[21]geoMap (18)'!$A:$C,3,0)</f>
        <v>#REF!</v>
      </c>
      <c r="U167" s="1" t="e">
        <f>T167/VLOOKUP(A167,'[22]geoMap (19)'!$A:$B,2,0)*VLOOKUP(A167,'[22]geoMap (19)'!$A:$C,3,0)</f>
        <v>#REF!</v>
      </c>
      <c r="V167" s="1" t="e">
        <f>U167/VLOOKUP(A167,'[23]geoMap (20)'!$A:$B,2,0)*VLOOKUP(A167,'[23]geoMap (20)'!$A:$C,3,0)</f>
        <v>#REF!</v>
      </c>
      <c r="W167" s="1" t="e">
        <f>V167/VLOOKUP(A167,'[24]geoMap (21)'!$A:$B,2,0)*VLOOKUP(A167,'[24]geoMap (21)'!$A:$C,3,0)</f>
        <v>#REF!</v>
      </c>
      <c r="X167" s="1" t="e">
        <f>W167/VLOOKUP(A167,'[25]geoMap (22)'!$A:$B,2,0)*VLOOKUP(A167,'[25]geoMap (22)'!$A:$C,3,0)</f>
        <v>#REF!</v>
      </c>
      <c r="Y167" s="1" t="e">
        <f>X167/VLOOKUP(A167,'[26]geoMap (23)'!$A:$B,2,0)*VLOOKUP(A167,'[26]geoMap (23)'!$A:$C,3,0)</f>
        <v>#REF!</v>
      </c>
      <c r="Z167" s="1" t="e">
        <f>Y167/VLOOKUP(A167,'[27]geoMap (24)'!$A:$B,2,0)*VLOOKUP(A167,'[27]geoMap (24)'!$A:$C,3,0)</f>
        <v>#REF!</v>
      </c>
      <c r="AA167" s="1" t="e">
        <f>Z167/VLOOKUP(A167,'[28]geoMap (25)'!$A:$B,2,0)*VLOOKUP(A167,'[28]geoMap (25)'!$A:$C,3,0)</f>
        <v>#REF!</v>
      </c>
      <c r="AB167" s="1" t="e">
        <f>AA167*VLOOKUP(A167,'[29]geoMap (26)'!$A:$B,2,0)*VLOOKUP(A167,'[29]geoMap (26)'!$A:$C,3,0)</f>
        <v>#REF!</v>
      </c>
      <c r="AC167" s="1" t="e">
        <f>AB167/VLOOKUP(A167,'[30]geoMap (27)'!$A:$B,2,0)*VLOOKUP(A167,'[30]geoMap (27)'!$A:$C,3,0)</f>
        <v>#REF!</v>
      </c>
      <c r="AD167" s="1" t="e">
        <f>AC167/VLOOKUP(A167,'[31]geoMap (28)'!$A:$B,2,0)*VLOOKUP(A167,'[31]geoMap (28)'!$A:$C,3,0)</f>
        <v>#REF!</v>
      </c>
      <c r="AE167" s="1" t="e">
        <f>AD167/VLOOKUP(A167,'[32]geoMap (29)'!$A:$B,2,0)*VLOOKUP(A167,'[32]geoMap (29)'!$A:$C,3,0)</f>
        <v>#REF!</v>
      </c>
      <c r="AF167" s="1" t="e">
        <f>AE167/VLOOKUP(A167,'[33]geoMap (30)'!$A:$B,2,0)*VLOOKUP(A167,'[33]geoMap (30)'!$A:$C,3,0)</f>
        <v>#REF!</v>
      </c>
      <c r="AG167" s="1" t="e">
        <f>AF167/VLOOKUP(A167,'[34]geoMap (31)'!$A:$B,2,0)*VLOOKUP(A167,'[34]geoMap (31)'!$A:$C,3,0)</f>
        <v>#REF!</v>
      </c>
      <c r="AH167" s="1" t="e">
        <f>AG167/VLOOKUP(A167,'[35]geoMap (32)'!$A:$B,2,0)*VLOOKUP(A167,'[35]geoMap (32)'!$A:$C,3,0)</f>
        <v>#REF!</v>
      </c>
      <c r="AI167" s="1" t="e">
        <f>AH167/VLOOKUP(A167,'[36]geoMap (33)'!$A:$B,2,0)*VLOOKUP(A167,'[36]geoMap (33)'!$A:$C,3,0)</f>
        <v>#REF!</v>
      </c>
      <c r="AJ167" s="1" t="e">
        <f>AI167/VLOOKUP(A167,'[37]geoMap (34)'!$A:$B,2,0)*VLOOKUP(A167,'[37]geoMap (34)'!$A:$C,3,0)</f>
        <v>#REF!</v>
      </c>
      <c r="AK167" s="1" t="e">
        <f>AJ167/VLOOKUP(A167,'[38]geoMap (35)'!$A:$B,2,0)*VLOOKUP(A167,'[38]geoMap (35)'!$A:$C,3,0)</f>
        <v>#REF!</v>
      </c>
      <c r="AL167" s="1" t="e">
        <f>AK167/VLOOKUP(A167,'[39]geoMap (36)'!$A:$B,2,0)*VLOOKUP(A167,'[39]geoMap (36)'!$A:$C,3,0)</f>
        <v>#REF!</v>
      </c>
      <c r="AM167" s="1" t="e">
        <f>AL167/VLOOKUP(A167,'[40]geoMap (37)'!$A:$B,2,0)*VLOOKUP(A167,'[40]geoMap (37)'!$A:$C,3,0)</f>
        <v>#REF!</v>
      </c>
      <c r="AN167" s="1" t="e">
        <f>AM167/VLOOKUP(A167,'[41]geoMap (38)'!$A:$B,2,0)*VLOOKUP(A167,'[41]geoMap (38)'!$A:$C,3,0)</f>
        <v>#REF!</v>
      </c>
      <c r="AO167" s="1" t="e">
        <f>AN167/VLOOKUP(A167,'[42]geoMap (39)'!$A:$B,2,0)*VLOOKUP(A167,'[42]geoMap (39)'!$A:$C,3,0)</f>
        <v>#REF!</v>
      </c>
      <c r="AP167" s="1" t="e">
        <f>AO167/VLOOKUP(A167,'[43]geoMap (40)'!$A:$B,2,0)*VLOOKUP(A167,'[43]geoMap (40)'!$A:$C,3,0)</f>
        <v>#REF!</v>
      </c>
      <c r="AQ167" s="1" t="e">
        <f>AP167/VLOOKUP(A167,'[44]geoMap (41)'!$A:$B,2,0)*VLOOKUP(A167,'[44]geoMap (41)'!$A:$C,3,0)</f>
        <v>#REF!</v>
      </c>
      <c r="AR167" s="1" t="e">
        <f>AQ167/VLOOKUP(A167,'[45]geoMap (42)'!$A:$B,2,0)*VLOOKUP(A167,'[45]geoMap (42)'!$A:$C,3,0)</f>
        <v>#REF!</v>
      </c>
      <c r="AS167" s="1" t="e">
        <f>AR167/VLOOKUP(A167,'[46]geoMap (43)'!$A:$B,2,0)*VLOOKUP(A167,'[46]geoMap (43)'!$A:$C,3,0)</f>
        <v>#REF!</v>
      </c>
      <c r="AT167" s="1" t="e">
        <f>AS167/VLOOKUP(A167,'[47]geoMap (44)'!$A:$B,2,0)*VLOOKUP(A167,'[47]geoMap (44)'!$A:$C,3,0)</f>
        <v>#REF!</v>
      </c>
      <c r="AU167" s="1" t="e">
        <f>AT167/VLOOKUP(A167,'[48]geoMap (45)'!$A:$B,2,0)*VLOOKUP(A167,'[48]geoMap (45)'!$A:$C,3,0)</f>
        <v>#REF!</v>
      </c>
      <c r="AV167" s="1" t="e">
        <f>AU167/VLOOKUP(A167,'[49]geoMap (46)'!$A:$B,2,0)*VLOOKUP(A167,'[49]geoMap (46)'!$A:$C,3,0)</f>
        <v>#REF!</v>
      </c>
      <c r="AW167" s="1" t="e">
        <f>AV167/VLOOKUP(A167,'[50]geoMap (47)'!$A:$B,2,0)*VLOOKUP(A167,'[50]geoMap (47)'!$A:$C,3,0)</f>
        <v>#REF!</v>
      </c>
      <c r="AX167" s="1" t="e">
        <f>AW167/VLOOKUP(A167,'[51]geoMap (48)'!$A:$B,2,0)*VLOOKUP(A167,'[51]geoMap (48)'!$A:$C,3,0)</f>
        <v>#REF!</v>
      </c>
      <c r="AY167" s="1" t="e">
        <f>AX167/VLOOKUP(A167,'[52]geoMap (49)'!$A:$B,2,0)*VLOOKUP(A167,'[52]geoMap (49)'!$A:$C,3,0)</f>
        <v>#REF!</v>
      </c>
      <c r="AZ167" s="1" t="e">
        <f>AY167/VLOOKUP(A167,'[53]geoMap (50)'!$A:$B,2,0)*VLOOKUP(A167,'[53]geoMap (50)'!$A:$C,3,0)</f>
        <v>#REF!</v>
      </c>
      <c r="BA167" s="1" t="e">
        <f>AZ167/VLOOKUP(A167,'[54]geoMap (51)'!$A:$B,2,0)*VLOOKUP(A167,'[54]geoMap (51)'!$A:$C,3,0)</f>
        <v>#REF!</v>
      </c>
      <c r="BB167" s="1" t="e">
        <f>BA167/VLOOKUP(A167,'[55]geoMap (52)'!$A:$B,2,0)*VLOOKUP(A167,'[55]geoMap (52)'!$A:$C,3,0)</f>
        <v>#REF!</v>
      </c>
      <c r="BC167" s="1" t="e">
        <f>BB167/VLOOKUP(A167,'[56]geoMap (53)'!$A:$B,2,0)*VLOOKUP(A167,'[56]geoMap (53)'!$A:$C,3,0)</f>
        <v>#REF!</v>
      </c>
      <c r="BD167" s="1" t="e">
        <f>BC167/VLOOKUP(A167,'[57]geoMap (54)'!$A:$B,2,0)*VLOOKUP(A167,'[57]geoMap (54)'!$A:$C,3,0)</f>
        <v>#REF!</v>
      </c>
      <c r="BE167" s="1" t="e">
        <f>BD167/VLOOKUP(A167,'[58]geoMap (55)'!$A:$B,2,0)*VLOOKUP(A167,'[58]geoMap (55)'!$A:$C,3,0)</f>
        <v>#REF!</v>
      </c>
      <c r="BF167" s="1" t="e">
        <f>BE167/VLOOKUP(A167,'[59]geoMap (56)'!$A:$B,2,0)*VLOOKUP(A167,'[59]geoMap (56)'!$A:$C,3,0)</f>
        <v>#REF!</v>
      </c>
      <c r="BG167" s="1" t="e">
        <f>BF167/VLOOKUP(A167,'[60]geoMap (57)'!$A:$B,2,0)*VLOOKUP(A167,'[60]geoMap (57)'!$A:$C,3,0)</f>
        <v>#REF!</v>
      </c>
      <c r="BH167" s="1" t="e">
        <f>BG167/VLOOKUP(A167,'[61]geoMap (58)'!$A:$B,2,0)*VLOOKUP(A167,'[61]geoMap (58)'!$A:$C,3,0)</f>
        <v>#REF!</v>
      </c>
      <c r="BI167" s="1" t="e">
        <f>BH167/VLOOKUP(A167,'[62]geoMap (59)'!$A:$B,2,0)*VLOOKUP(A167,'[62]geoMap (59)'!$A:$C,3,0)</f>
        <v>#REF!</v>
      </c>
      <c r="BJ167" s="1" t="e">
        <f>BI167/VLOOKUP(A167,'[63]geoMap (60)'!$A:$B,2,0)*VLOOKUP(A167,'[63]geoMap (60)'!$A:$C,3,0)</f>
        <v>#REF!</v>
      </c>
      <c r="BK167" s="1" t="e">
        <f>BJ167/VLOOKUP(A167,'[64]geoMap (61)'!$A:$B,2,0)*VLOOKUP(A167,'[64]geoMap (61)'!$A:$C,3,0)</f>
        <v>#REF!</v>
      </c>
      <c r="BL167" s="1" t="e">
        <f>BK167/VLOOKUP(A167,'[65]geoMap (62)'!$A:$B,2,0)*VLOOKUP(A167,'[65]geoMap (62)'!$A:$C,3,0)</f>
        <v>#REF!</v>
      </c>
      <c r="BM167" s="1" t="e">
        <f>BL167/VLOOKUP(A167,'[66]geoMap (63)'!$A:$B,2,0)*VLOOKUP(A167,'[66]geoMap (63)'!$A:$C,3,0)</f>
        <v>#REF!</v>
      </c>
      <c r="BN167" s="1" t="e">
        <f>BM167/VLOOKUP(A167,'[67]geoMap (64)'!$A:$B,2,0)*VLOOKUP(A167,'[67]geoMap (64)'!$A:$C,3,0)</f>
        <v>#REF!</v>
      </c>
      <c r="BO167" s="1" t="e">
        <f>BN167/VLOOKUP(A167,'[68]geoMap (65)'!$A:$B,2,0)*VLOOKUP(A167,'[68]geoMap (65)'!$A:$C,3,0)</f>
        <v>#REF!</v>
      </c>
      <c r="BP167" s="1" t="e">
        <f>BO167/VLOOKUP(A167,'[69]geoMap (66)'!$A:$B,2,0)*VLOOKUP(A167,'[69]geoMap (66)'!$A:$C,3,0)</f>
        <v>#REF!</v>
      </c>
    </row>
    <row r="168" spans="1:68" hidden="1" x14ac:dyDescent="0.2">
      <c r="A168" s="1" t="s">
        <v>164</v>
      </c>
      <c r="B168" s="1" t="e">
        <f>VLOOKUP(A168,[3]geoMap!$A:$B,2,0)*Notes!$C$6</f>
        <v>#REF!</v>
      </c>
      <c r="C168" s="1" t="e">
        <f>B168/VLOOKUP(A168,'[4]geoMap (1)'!$A:$B,2,0)*VLOOKUP(A168,'[4]geoMap (1)'!$A:$C,3,0)</f>
        <v>#REF!</v>
      </c>
      <c r="D168" s="1" t="e">
        <f>C168/VLOOKUP(A168,'[5]geoMap (2)'!$A:$B,2,0)*VLOOKUP(A168,'[5]geoMap (2)'!$A:$C,3,0)</f>
        <v>#REF!</v>
      </c>
      <c r="E168" s="1" t="e">
        <f>D168/VLOOKUP(A168,'[6]geoMap (3)'!$A:$B,2,0)*VLOOKUP(A168,'[6]geoMap (3)'!$A:$C,3,0)</f>
        <v>#REF!</v>
      </c>
      <c r="F168" s="1" t="e">
        <f>E168/VLOOKUP(A168,'[7]geoMap (4)'!$A:$B,2,0)*VLOOKUP(A168,'[7]geoMap (4)'!$A:$C,3,0)</f>
        <v>#REF!</v>
      </c>
      <c r="G168" s="1" t="e">
        <f>F168/VLOOKUP(A168,'[8]geoMap (5)'!$A:$B,2,0)*VLOOKUP(A168,'[8]geoMap (5)'!$A:$C,3,0)</f>
        <v>#REF!</v>
      </c>
      <c r="H168" s="1" t="e">
        <f>G168/VLOOKUP(A168,'[9]geoMap (6)'!$A:$B,2,0)*VLOOKUP(A168,'[9]geoMap (6)'!$A:$C,3,0)</f>
        <v>#REF!</v>
      </c>
      <c r="I168" s="1" t="e">
        <f>H168/VLOOKUP(A168,'[10]geoMap (7)'!$A:$B,2,0)*VLOOKUP(A168,'[10]geoMap (7)'!$A:$C,3,0)</f>
        <v>#REF!</v>
      </c>
      <c r="J168" s="1" t="e">
        <f>I168/VLOOKUP(A168,'[11]geoMap (8)'!$A:$B,2,0)*VLOOKUP(A168,'[11]geoMap (8)'!$A:$C,3,0)</f>
        <v>#REF!</v>
      </c>
      <c r="K168" s="1" t="e">
        <f>J168/VLOOKUP(A168,'[12]geoMap (9)'!$A:$B,2,0)*VLOOKUP(A168,'[12]geoMap (9)'!$A:$C,3,0)</f>
        <v>#REF!</v>
      </c>
      <c r="L168" s="1" t="e">
        <f>K168/VLOOKUP(A168,'[13]geoMap (10)'!$A:$B,2,0)*VLOOKUP(A168,'[13]geoMap (10)'!$A:$C,3,0)</f>
        <v>#REF!</v>
      </c>
      <c r="M168" s="1" t="e">
        <f>L168/VLOOKUP(A168,'[14]geoMap (11)'!$A:$B,2,0)*VLOOKUP(A168,'[14]geoMap (11)'!$A:$C,3,0)</f>
        <v>#REF!</v>
      </c>
      <c r="N168" s="1" t="e">
        <f>M168/VLOOKUP(A168,'[15]geoMap (12)'!$A:$B,2,0)*VLOOKUP(A168,'[15]geoMap (12)'!$A:$C,3,0)</f>
        <v>#REF!</v>
      </c>
      <c r="O168" s="1" t="e">
        <f>N168/VLOOKUP(A168,'[16]geoMap (13)'!$A:$B,2,0)*VLOOKUP(A168,'[16]geoMap (13)'!$A:$C,3,0)</f>
        <v>#REF!</v>
      </c>
      <c r="P168" s="1" t="e">
        <f>O168/VLOOKUP(A168,'[17]geoMap (14)'!$A:$B,2,0)*VLOOKUP(A168,'[17]geoMap (14)'!$A:$C,3,0)</f>
        <v>#REF!</v>
      </c>
      <c r="Q168" s="1" t="e">
        <f>P168/VLOOKUP(A168,'[18]geoMap (15)'!$A:$B,2,0)*VLOOKUP(A168,'[18]geoMap (15)'!$A:$C,3,0)</f>
        <v>#REF!</v>
      </c>
      <c r="R168" s="1" t="e">
        <f>Q168/VLOOKUP(A168,'[19]geoMap (16)'!$A:$B,2,0)*VLOOKUP(A168,'[19]geoMap (16)'!$A:$C,3,0)</f>
        <v>#REF!</v>
      </c>
      <c r="S168" s="1" t="e">
        <f>R168/VLOOKUP(A168,'[20]geoMap (17)'!$A:$B,2,0)*VLOOKUP(A168,'[20]geoMap (17)'!$A:$C,3,0)</f>
        <v>#REF!</v>
      </c>
      <c r="T168" s="1" t="e">
        <f>S168/VLOOKUP(A168,'[21]geoMap (18)'!$A:$B,2,0)*VLOOKUP(A168,'[21]geoMap (18)'!$A:$C,3,0)</f>
        <v>#REF!</v>
      </c>
      <c r="U168" s="1" t="e">
        <f>T168/VLOOKUP(A168,'[22]geoMap (19)'!$A:$B,2,0)*VLOOKUP(A168,'[22]geoMap (19)'!$A:$C,3,0)</f>
        <v>#REF!</v>
      </c>
      <c r="V168" s="1" t="e">
        <f>U168/VLOOKUP(A168,'[23]geoMap (20)'!$A:$B,2,0)*VLOOKUP(A168,'[23]geoMap (20)'!$A:$C,3,0)</f>
        <v>#REF!</v>
      </c>
      <c r="W168" s="1" t="e">
        <f>V168/VLOOKUP(A168,'[24]geoMap (21)'!$A:$B,2,0)*VLOOKUP(A168,'[24]geoMap (21)'!$A:$C,3,0)</f>
        <v>#REF!</v>
      </c>
      <c r="X168" s="1" t="e">
        <f>W168/VLOOKUP(A168,'[25]geoMap (22)'!$A:$B,2,0)*VLOOKUP(A168,'[25]geoMap (22)'!$A:$C,3,0)</f>
        <v>#REF!</v>
      </c>
      <c r="Y168" s="1" t="e">
        <f>X168/VLOOKUP(A168,'[26]geoMap (23)'!$A:$B,2,0)*VLOOKUP(A168,'[26]geoMap (23)'!$A:$C,3,0)</f>
        <v>#REF!</v>
      </c>
      <c r="Z168" s="1" t="e">
        <f>Y168/VLOOKUP(A168,'[27]geoMap (24)'!$A:$B,2,0)*VLOOKUP(A168,'[27]geoMap (24)'!$A:$C,3,0)</f>
        <v>#REF!</v>
      </c>
      <c r="AA168" s="1" t="e">
        <f>Z168/VLOOKUP(A168,'[28]geoMap (25)'!$A:$B,2,0)*VLOOKUP(A168,'[28]geoMap (25)'!$A:$C,3,0)</f>
        <v>#REF!</v>
      </c>
      <c r="AB168" s="1" t="e">
        <f>AA168*VLOOKUP(A168,'[29]geoMap (26)'!$A:$B,2,0)*VLOOKUP(A168,'[29]geoMap (26)'!$A:$C,3,0)</f>
        <v>#REF!</v>
      </c>
      <c r="AC168" s="1" t="e">
        <f>AB168/VLOOKUP(A168,'[30]geoMap (27)'!$A:$B,2,0)*VLOOKUP(A168,'[30]geoMap (27)'!$A:$C,3,0)</f>
        <v>#REF!</v>
      </c>
      <c r="AD168" s="1" t="e">
        <f>AC168/VLOOKUP(A168,'[31]geoMap (28)'!$A:$B,2,0)*VLOOKUP(A168,'[31]geoMap (28)'!$A:$C,3,0)</f>
        <v>#REF!</v>
      </c>
      <c r="AE168" s="1" t="e">
        <f>AD168/VLOOKUP(A168,'[32]geoMap (29)'!$A:$B,2,0)*VLOOKUP(A168,'[32]geoMap (29)'!$A:$C,3,0)</f>
        <v>#REF!</v>
      </c>
      <c r="AF168" s="1" t="e">
        <f>AE168/VLOOKUP(A168,'[33]geoMap (30)'!$A:$B,2,0)*VLOOKUP(A168,'[33]geoMap (30)'!$A:$C,3,0)</f>
        <v>#REF!</v>
      </c>
      <c r="AG168" s="1" t="e">
        <f>AF168/VLOOKUP(A168,'[34]geoMap (31)'!$A:$B,2,0)*VLOOKUP(A168,'[34]geoMap (31)'!$A:$C,3,0)</f>
        <v>#REF!</v>
      </c>
      <c r="AH168" s="1" t="e">
        <f>AG168/VLOOKUP(A168,'[35]geoMap (32)'!$A:$B,2,0)*VLOOKUP(A168,'[35]geoMap (32)'!$A:$C,3,0)</f>
        <v>#REF!</v>
      </c>
      <c r="AI168" s="1" t="e">
        <f>AH168/VLOOKUP(A168,'[36]geoMap (33)'!$A:$B,2,0)*VLOOKUP(A168,'[36]geoMap (33)'!$A:$C,3,0)</f>
        <v>#REF!</v>
      </c>
      <c r="AJ168" s="1" t="e">
        <f>AI168/VLOOKUP(A168,'[37]geoMap (34)'!$A:$B,2,0)*VLOOKUP(A168,'[37]geoMap (34)'!$A:$C,3,0)</f>
        <v>#REF!</v>
      </c>
      <c r="AK168" s="1" t="e">
        <f>AJ168/VLOOKUP(A168,'[38]geoMap (35)'!$A:$B,2,0)*VLOOKUP(A168,'[38]geoMap (35)'!$A:$C,3,0)</f>
        <v>#REF!</v>
      </c>
      <c r="AL168" s="1" t="e">
        <f>AK168/VLOOKUP(A168,'[39]geoMap (36)'!$A:$B,2,0)*VLOOKUP(A168,'[39]geoMap (36)'!$A:$C,3,0)</f>
        <v>#REF!</v>
      </c>
      <c r="AM168" s="1" t="e">
        <f>AL168/VLOOKUP(A168,'[40]geoMap (37)'!$A:$B,2,0)*VLOOKUP(A168,'[40]geoMap (37)'!$A:$C,3,0)</f>
        <v>#REF!</v>
      </c>
      <c r="AN168" s="1" t="e">
        <f>AM168/VLOOKUP(A168,'[41]geoMap (38)'!$A:$B,2,0)*VLOOKUP(A168,'[41]geoMap (38)'!$A:$C,3,0)</f>
        <v>#REF!</v>
      </c>
      <c r="AO168" s="1" t="e">
        <f>AN168/VLOOKUP(A168,'[42]geoMap (39)'!$A:$B,2,0)*VLOOKUP(A168,'[42]geoMap (39)'!$A:$C,3,0)</f>
        <v>#REF!</v>
      </c>
      <c r="AP168" s="1" t="e">
        <f>AO168/VLOOKUP(A168,'[43]geoMap (40)'!$A:$B,2,0)*VLOOKUP(A168,'[43]geoMap (40)'!$A:$C,3,0)</f>
        <v>#REF!</v>
      </c>
      <c r="AQ168" s="1" t="e">
        <f>AP168/VLOOKUP(A168,'[44]geoMap (41)'!$A:$B,2,0)*VLOOKUP(A168,'[44]geoMap (41)'!$A:$C,3,0)</f>
        <v>#REF!</v>
      </c>
      <c r="AR168" s="1" t="e">
        <f>AQ168/VLOOKUP(A168,'[45]geoMap (42)'!$A:$B,2,0)*VLOOKUP(A168,'[45]geoMap (42)'!$A:$C,3,0)</f>
        <v>#REF!</v>
      </c>
      <c r="AS168" s="1" t="e">
        <f>AR168/VLOOKUP(A168,'[46]geoMap (43)'!$A:$B,2,0)*VLOOKUP(A168,'[46]geoMap (43)'!$A:$C,3,0)</f>
        <v>#REF!</v>
      </c>
      <c r="AT168" s="1" t="e">
        <f>AS168/VLOOKUP(A168,'[47]geoMap (44)'!$A:$B,2,0)*VLOOKUP(A168,'[47]geoMap (44)'!$A:$C,3,0)</f>
        <v>#REF!</v>
      </c>
      <c r="AU168" s="1" t="e">
        <f>AT168/VLOOKUP(A168,'[48]geoMap (45)'!$A:$B,2,0)*VLOOKUP(A168,'[48]geoMap (45)'!$A:$C,3,0)</f>
        <v>#REF!</v>
      </c>
      <c r="AV168" s="1" t="e">
        <f>AU168/VLOOKUP(A168,'[49]geoMap (46)'!$A:$B,2,0)*VLOOKUP(A168,'[49]geoMap (46)'!$A:$C,3,0)</f>
        <v>#REF!</v>
      </c>
      <c r="AW168" s="1" t="e">
        <f>AV168/VLOOKUP(A168,'[50]geoMap (47)'!$A:$B,2,0)*VLOOKUP(A168,'[50]geoMap (47)'!$A:$C,3,0)</f>
        <v>#REF!</v>
      </c>
      <c r="AX168" s="1" t="e">
        <f>AW168/VLOOKUP(A168,'[51]geoMap (48)'!$A:$B,2,0)*VLOOKUP(A168,'[51]geoMap (48)'!$A:$C,3,0)</f>
        <v>#REF!</v>
      </c>
      <c r="AY168" s="1" t="e">
        <f>AX168/VLOOKUP(A168,'[52]geoMap (49)'!$A:$B,2,0)*VLOOKUP(A168,'[52]geoMap (49)'!$A:$C,3,0)</f>
        <v>#REF!</v>
      </c>
      <c r="AZ168" s="1" t="e">
        <f>AY168/VLOOKUP(A168,'[53]geoMap (50)'!$A:$B,2,0)*VLOOKUP(A168,'[53]geoMap (50)'!$A:$C,3,0)</f>
        <v>#REF!</v>
      </c>
      <c r="BA168" s="1" t="e">
        <f>AZ168/VLOOKUP(A168,'[54]geoMap (51)'!$A:$B,2,0)*VLOOKUP(A168,'[54]geoMap (51)'!$A:$C,3,0)</f>
        <v>#REF!</v>
      </c>
      <c r="BB168" s="1" t="e">
        <f>BA168/VLOOKUP(A168,'[55]geoMap (52)'!$A:$B,2,0)*VLOOKUP(A168,'[55]geoMap (52)'!$A:$C,3,0)</f>
        <v>#REF!</v>
      </c>
      <c r="BC168" s="1" t="e">
        <f>BB168/VLOOKUP(A168,'[56]geoMap (53)'!$A:$B,2,0)*VLOOKUP(A168,'[56]geoMap (53)'!$A:$C,3,0)</f>
        <v>#REF!</v>
      </c>
      <c r="BD168" s="1" t="e">
        <f>BC168/VLOOKUP(A168,'[57]geoMap (54)'!$A:$B,2,0)*VLOOKUP(A168,'[57]geoMap (54)'!$A:$C,3,0)</f>
        <v>#REF!</v>
      </c>
      <c r="BE168" s="1" t="e">
        <f>BD168/VLOOKUP(A168,'[58]geoMap (55)'!$A:$B,2,0)*VLOOKUP(A168,'[58]geoMap (55)'!$A:$C,3,0)</f>
        <v>#REF!</v>
      </c>
      <c r="BF168" s="1" t="e">
        <f>BE168/VLOOKUP(A168,'[59]geoMap (56)'!$A:$B,2,0)*VLOOKUP(A168,'[59]geoMap (56)'!$A:$C,3,0)</f>
        <v>#REF!</v>
      </c>
      <c r="BG168" s="1" t="e">
        <f>BF168/VLOOKUP(A168,'[60]geoMap (57)'!$A:$B,2,0)*VLOOKUP(A168,'[60]geoMap (57)'!$A:$C,3,0)</f>
        <v>#REF!</v>
      </c>
      <c r="BH168" s="1" t="e">
        <f>BG168/VLOOKUP(A168,'[61]geoMap (58)'!$A:$B,2,0)*VLOOKUP(A168,'[61]geoMap (58)'!$A:$C,3,0)</f>
        <v>#REF!</v>
      </c>
      <c r="BI168" s="1" t="e">
        <f>BH168/VLOOKUP(A168,'[62]geoMap (59)'!$A:$B,2,0)*VLOOKUP(A168,'[62]geoMap (59)'!$A:$C,3,0)</f>
        <v>#REF!</v>
      </c>
      <c r="BJ168" s="1" t="e">
        <f>BI168/VLOOKUP(A168,'[63]geoMap (60)'!$A:$B,2,0)*VLOOKUP(A168,'[63]geoMap (60)'!$A:$C,3,0)</f>
        <v>#REF!</v>
      </c>
      <c r="BK168" s="1" t="e">
        <f>BJ168/VLOOKUP(A168,'[64]geoMap (61)'!$A:$B,2,0)*VLOOKUP(A168,'[64]geoMap (61)'!$A:$C,3,0)</f>
        <v>#REF!</v>
      </c>
      <c r="BL168" s="1" t="e">
        <f>BK168/VLOOKUP(A168,'[65]geoMap (62)'!$A:$B,2,0)*VLOOKUP(A168,'[65]geoMap (62)'!$A:$C,3,0)</f>
        <v>#REF!</v>
      </c>
      <c r="BM168" s="1" t="e">
        <f>BL168/VLOOKUP(A168,'[66]geoMap (63)'!$A:$B,2,0)*VLOOKUP(A168,'[66]geoMap (63)'!$A:$C,3,0)</f>
        <v>#REF!</v>
      </c>
      <c r="BN168" s="1" t="e">
        <f>BM168/VLOOKUP(A168,'[67]geoMap (64)'!$A:$B,2,0)*VLOOKUP(A168,'[67]geoMap (64)'!$A:$C,3,0)</f>
        <v>#REF!</v>
      </c>
      <c r="BO168" s="1" t="e">
        <f>BN168/VLOOKUP(A168,'[68]geoMap (65)'!$A:$B,2,0)*VLOOKUP(A168,'[68]geoMap (65)'!$A:$C,3,0)</f>
        <v>#REF!</v>
      </c>
      <c r="BP168" s="1" t="e">
        <f>BO168/VLOOKUP(A168,'[69]geoMap (66)'!$A:$B,2,0)*VLOOKUP(A168,'[69]geoMap (66)'!$A:$C,3,0)</f>
        <v>#REF!</v>
      </c>
    </row>
    <row r="169" spans="1:68" hidden="1" x14ac:dyDescent="0.2">
      <c r="A169" s="1" t="s">
        <v>165</v>
      </c>
      <c r="B169" s="1" t="e">
        <f>VLOOKUP(A169,[3]geoMap!$A:$B,2,0)*Notes!$C$6</f>
        <v>#REF!</v>
      </c>
      <c r="C169" s="1" t="e">
        <f>B169/VLOOKUP(A169,'[4]geoMap (1)'!$A:$B,2,0)*VLOOKUP(A169,'[4]geoMap (1)'!$A:$C,3,0)</f>
        <v>#REF!</v>
      </c>
      <c r="D169" s="1" t="e">
        <f>C169/VLOOKUP(A169,'[5]geoMap (2)'!$A:$B,2,0)*VLOOKUP(A169,'[5]geoMap (2)'!$A:$C,3,0)</f>
        <v>#REF!</v>
      </c>
      <c r="E169" s="1" t="e">
        <f>D169/VLOOKUP(A169,'[6]geoMap (3)'!$A:$B,2,0)*VLOOKUP(A169,'[6]geoMap (3)'!$A:$C,3,0)</f>
        <v>#REF!</v>
      </c>
      <c r="F169" s="1" t="e">
        <f>E169/VLOOKUP(A169,'[7]geoMap (4)'!$A:$B,2,0)*VLOOKUP(A169,'[7]geoMap (4)'!$A:$C,3,0)</f>
        <v>#REF!</v>
      </c>
      <c r="G169" s="1" t="e">
        <f>F169/VLOOKUP(A169,'[8]geoMap (5)'!$A:$B,2,0)*VLOOKUP(A169,'[8]geoMap (5)'!$A:$C,3,0)</f>
        <v>#REF!</v>
      </c>
      <c r="H169" s="1" t="e">
        <f>G169/VLOOKUP(A169,'[9]geoMap (6)'!$A:$B,2,0)*VLOOKUP(A169,'[9]geoMap (6)'!$A:$C,3,0)</f>
        <v>#REF!</v>
      </c>
      <c r="I169" s="1" t="e">
        <f>H169/VLOOKUP(A169,'[10]geoMap (7)'!$A:$B,2,0)*VLOOKUP(A169,'[10]geoMap (7)'!$A:$C,3,0)</f>
        <v>#REF!</v>
      </c>
      <c r="J169" s="1" t="e">
        <f>I169/VLOOKUP(A169,'[11]geoMap (8)'!$A:$B,2,0)*VLOOKUP(A169,'[11]geoMap (8)'!$A:$C,3,0)</f>
        <v>#REF!</v>
      </c>
      <c r="K169" s="1" t="e">
        <f>J169/VLOOKUP(A169,'[12]geoMap (9)'!$A:$B,2,0)*VLOOKUP(A169,'[12]geoMap (9)'!$A:$C,3,0)</f>
        <v>#REF!</v>
      </c>
      <c r="L169" s="1" t="e">
        <f>K169/VLOOKUP(A169,'[13]geoMap (10)'!$A:$B,2,0)*VLOOKUP(A169,'[13]geoMap (10)'!$A:$C,3,0)</f>
        <v>#REF!</v>
      </c>
      <c r="M169" s="1" t="e">
        <f>L169/VLOOKUP(A169,'[14]geoMap (11)'!$A:$B,2,0)*VLOOKUP(A169,'[14]geoMap (11)'!$A:$C,3,0)</f>
        <v>#REF!</v>
      </c>
      <c r="N169" s="1" t="e">
        <f>M169/VLOOKUP(A169,'[15]geoMap (12)'!$A:$B,2,0)*VLOOKUP(A169,'[15]geoMap (12)'!$A:$C,3,0)</f>
        <v>#REF!</v>
      </c>
      <c r="O169" s="1" t="e">
        <f>N169/VLOOKUP(A169,'[16]geoMap (13)'!$A:$B,2,0)*VLOOKUP(A169,'[16]geoMap (13)'!$A:$C,3,0)</f>
        <v>#REF!</v>
      </c>
      <c r="P169" s="1" t="e">
        <f>O169/VLOOKUP(A169,'[17]geoMap (14)'!$A:$B,2,0)*VLOOKUP(A169,'[17]geoMap (14)'!$A:$C,3,0)</f>
        <v>#REF!</v>
      </c>
      <c r="Q169" s="1" t="e">
        <f>P169/VLOOKUP(A169,'[18]geoMap (15)'!$A:$B,2,0)*VLOOKUP(A169,'[18]geoMap (15)'!$A:$C,3,0)</f>
        <v>#REF!</v>
      </c>
      <c r="R169" s="1" t="e">
        <f>Q169/VLOOKUP(A169,'[19]geoMap (16)'!$A:$B,2,0)*VLOOKUP(A169,'[19]geoMap (16)'!$A:$C,3,0)</f>
        <v>#REF!</v>
      </c>
      <c r="S169" s="1" t="e">
        <f>R169/VLOOKUP(A169,'[20]geoMap (17)'!$A:$B,2,0)*VLOOKUP(A169,'[20]geoMap (17)'!$A:$C,3,0)</f>
        <v>#REF!</v>
      </c>
      <c r="T169" s="1" t="e">
        <f>S169/VLOOKUP(A169,'[21]geoMap (18)'!$A:$B,2,0)*VLOOKUP(A169,'[21]geoMap (18)'!$A:$C,3,0)</f>
        <v>#REF!</v>
      </c>
      <c r="U169" s="1" t="e">
        <f>T169/VLOOKUP(A169,'[22]geoMap (19)'!$A:$B,2,0)*VLOOKUP(A169,'[22]geoMap (19)'!$A:$C,3,0)</f>
        <v>#REF!</v>
      </c>
      <c r="V169" s="1" t="e">
        <f>U169/VLOOKUP(A169,'[23]geoMap (20)'!$A:$B,2,0)*VLOOKUP(A169,'[23]geoMap (20)'!$A:$C,3,0)</f>
        <v>#REF!</v>
      </c>
      <c r="W169" s="1" t="e">
        <f>V169/VLOOKUP(A169,'[24]geoMap (21)'!$A:$B,2,0)*VLOOKUP(A169,'[24]geoMap (21)'!$A:$C,3,0)</f>
        <v>#REF!</v>
      </c>
      <c r="X169" s="1" t="e">
        <f>W169/VLOOKUP(A169,'[25]geoMap (22)'!$A:$B,2,0)*VLOOKUP(A169,'[25]geoMap (22)'!$A:$C,3,0)</f>
        <v>#REF!</v>
      </c>
      <c r="Y169" s="1" t="e">
        <f>X169/VLOOKUP(A169,'[26]geoMap (23)'!$A:$B,2,0)*VLOOKUP(A169,'[26]geoMap (23)'!$A:$C,3,0)</f>
        <v>#REF!</v>
      </c>
      <c r="Z169" s="1" t="e">
        <f>Y169/VLOOKUP(A169,'[27]geoMap (24)'!$A:$B,2,0)*VLOOKUP(A169,'[27]geoMap (24)'!$A:$C,3,0)</f>
        <v>#REF!</v>
      </c>
      <c r="AA169" s="1" t="e">
        <f>Z169/VLOOKUP(A169,'[28]geoMap (25)'!$A:$B,2,0)*VLOOKUP(A169,'[28]geoMap (25)'!$A:$C,3,0)</f>
        <v>#REF!</v>
      </c>
      <c r="AB169" s="1" t="e">
        <f>AA169*VLOOKUP(A169,'[29]geoMap (26)'!$A:$B,2,0)*VLOOKUP(A169,'[29]geoMap (26)'!$A:$C,3,0)</f>
        <v>#REF!</v>
      </c>
      <c r="AC169" s="1" t="e">
        <f>AB169/VLOOKUP(A169,'[30]geoMap (27)'!$A:$B,2,0)*VLOOKUP(A169,'[30]geoMap (27)'!$A:$C,3,0)</f>
        <v>#REF!</v>
      </c>
      <c r="AD169" s="1" t="e">
        <f>AC169/VLOOKUP(A169,'[31]geoMap (28)'!$A:$B,2,0)*VLOOKUP(A169,'[31]geoMap (28)'!$A:$C,3,0)</f>
        <v>#REF!</v>
      </c>
      <c r="AE169" s="1" t="e">
        <f>AD169/VLOOKUP(A169,'[32]geoMap (29)'!$A:$B,2,0)*VLOOKUP(A169,'[32]geoMap (29)'!$A:$C,3,0)</f>
        <v>#REF!</v>
      </c>
      <c r="AF169" s="1" t="e">
        <f>AE169/VLOOKUP(A169,'[33]geoMap (30)'!$A:$B,2,0)*VLOOKUP(A169,'[33]geoMap (30)'!$A:$C,3,0)</f>
        <v>#REF!</v>
      </c>
      <c r="AG169" s="1" t="e">
        <f>AF169/VLOOKUP(A169,'[34]geoMap (31)'!$A:$B,2,0)*VLOOKUP(A169,'[34]geoMap (31)'!$A:$C,3,0)</f>
        <v>#REF!</v>
      </c>
      <c r="AH169" s="1" t="e">
        <f>AG169/VLOOKUP(A169,'[35]geoMap (32)'!$A:$B,2,0)*VLOOKUP(A169,'[35]geoMap (32)'!$A:$C,3,0)</f>
        <v>#REF!</v>
      </c>
      <c r="AI169" s="1" t="e">
        <f>AH169/VLOOKUP(A169,'[36]geoMap (33)'!$A:$B,2,0)*VLOOKUP(A169,'[36]geoMap (33)'!$A:$C,3,0)</f>
        <v>#REF!</v>
      </c>
      <c r="AJ169" s="1" t="e">
        <f>AI169/VLOOKUP(A169,'[37]geoMap (34)'!$A:$B,2,0)*VLOOKUP(A169,'[37]geoMap (34)'!$A:$C,3,0)</f>
        <v>#REF!</v>
      </c>
      <c r="AK169" s="1" t="e">
        <f>AJ169/VLOOKUP(A169,'[38]geoMap (35)'!$A:$B,2,0)*VLOOKUP(A169,'[38]geoMap (35)'!$A:$C,3,0)</f>
        <v>#REF!</v>
      </c>
      <c r="AL169" s="1" t="e">
        <f>AK169/VLOOKUP(A169,'[39]geoMap (36)'!$A:$B,2,0)*VLOOKUP(A169,'[39]geoMap (36)'!$A:$C,3,0)</f>
        <v>#REF!</v>
      </c>
      <c r="AM169" s="1" t="e">
        <f>AL169/VLOOKUP(A169,'[40]geoMap (37)'!$A:$B,2,0)*VLOOKUP(A169,'[40]geoMap (37)'!$A:$C,3,0)</f>
        <v>#REF!</v>
      </c>
      <c r="AN169" s="1" t="e">
        <f>AM169/VLOOKUP(A169,'[41]geoMap (38)'!$A:$B,2,0)*VLOOKUP(A169,'[41]geoMap (38)'!$A:$C,3,0)</f>
        <v>#REF!</v>
      </c>
      <c r="AO169" s="1" t="e">
        <f>AN169/VLOOKUP(A169,'[42]geoMap (39)'!$A:$B,2,0)*VLOOKUP(A169,'[42]geoMap (39)'!$A:$C,3,0)</f>
        <v>#REF!</v>
      </c>
      <c r="AP169" s="1" t="e">
        <f>AO169/VLOOKUP(A169,'[43]geoMap (40)'!$A:$B,2,0)*VLOOKUP(A169,'[43]geoMap (40)'!$A:$C,3,0)</f>
        <v>#REF!</v>
      </c>
      <c r="AQ169" s="1" t="e">
        <f>AP169/VLOOKUP(A169,'[44]geoMap (41)'!$A:$B,2,0)*VLOOKUP(A169,'[44]geoMap (41)'!$A:$C,3,0)</f>
        <v>#REF!</v>
      </c>
      <c r="AR169" s="1" t="e">
        <f>AQ169/VLOOKUP(A169,'[45]geoMap (42)'!$A:$B,2,0)*VLOOKUP(A169,'[45]geoMap (42)'!$A:$C,3,0)</f>
        <v>#REF!</v>
      </c>
      <c r="AS169" s="1" t="e">
        <f>AR169/VLOOKUP(A169,'[46]geoMap (43)'!$A:$B,2,0)*VLOOKUP(A169,'[46]geoMap (43)'!$A:$C,3,0)</f>
        <v>#REF!</v>
      </c>
      <c r="AT169" s="1" t="e">
        <f>AS169/VLOOKUP(A169,'[47]geoMap (44)'!$A:$B,2,0)*VLOOKUP(A169,'[47]geoMap (44)'!$A:$C,3,0)</f>
        <v>#REF!</v>
      </c>
      <c r="AU169" s="1" t="e">
        <f>AT169/VLOOKUP(A169,'[48]geoMap (45)'!$A:$B,2,0)*VLOOKUP(A169,'[48]geoMap (45)'!$A:$C,3,0)</f>
        <v>#REF!</v>
      </c>
      <c r="AV169" s="1" t="e">
        <f>AU169/VLOOKUP(A169,'[49]geoMap (46)'!$A:$B,2,0)*VLOOKUP(A169,'[49]geoMap (46)'!$A:$C,3,0)</f>
        <v>#REF!</v>
      </c>
      <c r="AW169" s="1" t="e">
        <f>AV169/VLOOKUP(A169,'[50]geoMap (47)'!$A:$B,2,0)*VLOOKUP(A169,'[50]geoMap (47)'!$A:$C,3,0)</f>
        <v>#REF!</v>
      </c>
      <c r="AX169" s="1" t="e">
        <f>AW169/VLOOKUP(A169,'[51]geoMap (48)'!$A:$B,2,0)*VLOOKUP(A169,'[51]geoMap (48)'!$A:$C,3,0)</f>
        <v>#REF!</v>
      </c>
      <c r="AY169" s="1" t="e">
        <f>AX169/VLOOKUP(A169,'[52]geoMap (49)'!$A:$B,2,0)*VLOOKUP(A169,'[52]geoMap (49)'!$A:$C,3,0)</f>
        <v>#REF!</v>
      </c>
      <c r="AZ169" s="1" t="e">
        <f>AY169/VLOOKUP(A169,'[53]geoMap (50)'!$A:$B,2,0)*VLOOKUP(A169,'[53]geoMap (50)'!$A:$C,3,0)</f>
        <v>#REF!</v>
      </c>
      <c r="BA169" s="1" t="e">
        <f>AZ169/VLOOKUP(A169,'[54]geoMap (51)'!$A:$B,2,0)*VLOOKUP(A169,'[54]geoMap (51)'!$A:$C,3,0)</f>
        <v>#REF!</v>
      </c>
      <c r="BB169" s="1" t="e">
        <f>BA169/VLOOKUP(A169,'[55]geoMap (52)'!$A:$B,2,0)*VLOOKUP(A169,'[55]geoMap (52)'!$A:$C,3,0)</f>
        <v>#REF!</v>
      </c>
      <c r="BC169" s="1" t="e">
        <f>BB169/VLOOKUP(A169,'[56]geoMap (53)'!$A:$B,2,0)*VLOOKUP(A169,'[56]geoMap (53)'!$A:$C,3,0)</f>
        <v>#REF!</v>
      </c>
      <c r="BD169" s="1" t="e">
        <f>BC169/VLOOKUP(A169,'[57]geoMap (54)'!$A:$B,2,0)*VLOOKUP(A169,'[57]geoMap (54)'!$A:$C,3,0)</f>
        <v>#REF!</v>
      </c>
      <c r="BE169" s="1" t="e">
        <f>BD169/VLOOKUP(A169,'[58]geoMap (55)'!$A:$B,2,0)*VLOOKUP(A169,'[58]geoMap (55)'!$A:$C,3,0)</f>
        <v>#REF!</v>
      </c>
      <c r="BF169" s="1" t="e">
        <f>BE169/VLOOKUP(A169,'[59]geoMap (56)'!$A:$B,2,0)*VLOOKUP(A169,'[59]geoMap (56)'!$A:$C,3,0)</f>
        <v>#REF!</v>
      </c>
      <c r="BG169" s="1" t="e">
        <f>BF169/VLOOKUP(A169,'[60]geoMap (57)'!$A:$B,2,0)*VLOOKUP(A169,'[60]geoMap (57)'!$A:$C,3,0)</f>
        <v>#REF!</v>
      </c>
      <c r="BH169" s="1" t="e">
        <f>BG169/VLOOKUP(A169,'[61]geoMap (58)'!$A:$B,2,0)*VLOOKUP(A169,'[61]geoMap (58)'!$A:$C,3,0)</f>
        <v>#REF!</v>
      </c>
      <c r="BI169" s="1" t="e">
        <f>BH169/VLOOKUP(A169,'[62]geoMap (59)'!$A:$B,2,0)*VLOOKUP(A169,'[62]geoMap (59)'!$A:$C,3,0)</f>
        <v>#REF!</v>
      </c>
      <c r="BJ169" s="1" t="e">
        <f>BI169/VLOOKUP(A169,'[63]geoMap (60)'!$A:$B,2,0)*VLOOKUP(A169,'[63]geoMap (60)'!$A:$C,3,0)</f>
        <v>#REF!</v>
      </c>
      <c r="BK169" s="1" t="e">
        <f>BJ169/VLOOKUP(A169,'[64]geoMap (61)'!$A:$B,2,0)*VLOOKUP(A169,'[64]geoMap (61)'!$A:$C,3,0)</f>
        <v>#REF!</v>
      </c>
      <c r="BL169" s="1" t="e">
        <f>BK169/VLOOKUP(A169,'[65]geoMap (62)'!$A:$B,2,0)*VLOOKUP(A169,'[65]geoMap (62)'!$A:$C,3,0)</f>
        <v>#REF!</v>
      </c>
      <c r="BM169" s="1" t="e">
        <f>BL169/VLOOKUP(A169,'[66]geoMap (63)'!$A:$B,2,0)*VLOOKUP(A169,'[66]geoMap (63)'!$A:$C,3,0)</f>
        <v>#REF!</v>
      </c>
      <c r="BN169" s="1" t="e">
        <f>BM169/VLOOKUP(A169,'[67]geoMap (64)'!$A:$B,2,0)*VLOOKUP(A169,'[67]geoMap (64)'!$A:$C,3,0)</f>
        <v>#REF!</v>
      </c>
      <c r="BO169" s="1" t="e">
        <f>BN169/VLOOKUP(A169,'[68]geoMap (65)'!$A:$B,2,0)*VLOOKUP(A169,'[68]geoMap (65)'!$A:$C,3,0)</f>
        <v>#REF!</v>
      </c>
      <c r="BP169" s="1" t="e">
        <f>BO169/VLOOKUP(A169,'[69]geoMap (66)'!$A:$B,2,0)*VLOOKUP(A169,'[69]geoMap (66)'!$A:$C,3,0)</f>
        <v>#REF!</v>
      </c>
    </row>
    <row r="170" spans="1:68" hidden="1" x14ac:dyDescent="0.2">
      <c r="A170" s="1" t="s">
        <v>166</v>
      </c>
      <c r="B170" s="1" t="e">
        <f>VLOOKUP(A170,[3]geoMap!$A:$B,2,0)*Notes!$C$6</f>
        <v>#REF!</v>
      </c>
      <c r="C170" s="1" t="e">
        <f>B170/VLOOKUP(A170,'[4]geoMap (1)'!$A:$B,2,0)*VLOOKUP(A170,'[4]geoMap (1)'!$A:$C,3,0)</f>
        <v>#REF!</v>
      </c>
      <c r="D170" s="1" t="e">
        <f>C170/VLOOKUP(A170,'[5]geoMap (2)'!$A:$B,2,0)*VLOOKUP(A170,'[5]geoMap (2)'!$A:$C,3,0)</f>
        <v>#REF!</v>
      </c>
      <c r="E170" s="1" t="e">
        <f>D170/VLOOKUP(A170,'[6]geoMap (3)'!$A:$B,2,0)*VLOOKUP(A170,'[6]geoMap (3)'!$A:$C,3,0)</f>
        <v>#REF!</v>
      </c>
      <c r="F170" s="1" t="e">
        <f>E170/VLOOKUP(A170,'[7]geoMap (4)'!$A:$B,2,0)*VLOOKUP(A170,'[7]geoMap (4)'!$A:$C,3,0)</f>
        <v>#REF!</v>
      </c>
      <c r="G170" s="1" t="e">
        <f>F170/VLOOKUP(A170,'[8]geoMap (5)'!$A:$B,2,0)*VLOOKUP(A170,'[8]geoMap (5)'!$A:$C,3,0)</f>
        <v>#REF!</v>
      </c>
      <c r="H170" s="1" t="e">
        <f>G170/VLOOKUP(A170,'[9]geoMap (6)'!$A:$B,2,0)*VLOOKUP(A170,'[9]geoMap (6)'!$A:$C,3,0)</f>
        <v>#REF!</v>
      </c>
      <c r="I170" s="1" t="e">
        <f>H170/VLOOKUP(A170,'[10]geoMap (7)'!$A:$B,2,0)*VLOOKUP(A170,'[10]geoMap (7)'!$A:$C,3,0)</f>
        <v>#REF!</v>
      </c>
      <c r="J170" s="1" t="e">
        <f>I170/VLOOKUP(A170,'[11]geoMap (8)'!$A:$B,2,0)*VLOOKUP(A170,'[11]geoMap (8)'!$A:$C,3,0)</f>
        <v>#REF!</v>
      </c>
      <c r="K170" s="1" t="e">
        <f>J170/VLOOKUP(A170,'[12]geoMap (9)'!$A:$B,2,0)*VLOOKUP(A170,'[12]geoMap (9)'!$A:$C,3,0)</f>
        <v>#REF!</v>
      </c>
      <c r="L170" s="1" t="e">
        <f>K170/VLOOKUP(A170,'[13]geoMap (10)'!$A:$B,2,0)*VLOOKUP(A170,'[13]geoMap (10)'!$A:$C,3,0)</f>
        <v>#REF!</v>
      </c>
      <c r="M170" s="1" t="e">
        <f>L170/VLOOKUP(A170,'[14]geoMap (11)'!$A:$B,2,0)*VLOOKUP(A170,'[14]geoMap (11)'!$A:$C,3,0)</f>
        <v>#REF!</v>
      </c>
      <c r="N170" s="1" t="e">
        <f>M170/VLOOKUP(A170,'[15]geoMap (12)'!$A:$B,2,0)*VLOOKUP(A170,'[15]geoMap (12)'!$A:$C,3,0)</f>
        <v>#REF!</v>
      </c>
      <c r="O170" s="1" t="e">
        <f>N170/VLOOKUP(A170,'[16]geoMap (13)'!$A:$B,2,0)*VLOOKUP(A170,'[16]geoMap (13)'!$A:$C,3,0)</f>
        <v>#REF!</v>
      </c>
      <c r="P170" s="1" t="e">
        <f>O170/VLOOKUP(A170,'[17]geoMap (14)'!$A:$B,2,0)*VLOOKUP(A170,'[17]geoMap (14)'!$A:$C,3,0)</f>
        <v>#REF!</v>
      </c>
      <c r="Q170" s="1" t="e">
        <f>P170/VLOOKUP(A170,'[18]geoMap (15)'!$A:$B,2,0)*VLOOKUP(A170,'[18]geoMap (15)'!$A:$C,3,0)</f>
        <v>#REF!</v>
      </c>
      <c r="R170" s="1" t="e">
        <f>Q170/VLOOKUP(A170,'[19]geoMap (16)'!$A:$B,2,0)*VLOOKUP(A170,'[19]geoMap (16)'!$A:$C,3,0)</f>
        <v>#REF!</v>
      </c>
      <c r="S170" s="1" t="e">
        <f>R170/VLOOKUP(A170,'[20]geoMap (17)'!$A:$B,2,0)*VLOOKUP(A170,'[20]geoMap (17)'!$A:$C,3,0)</f>
        <v>#REF!</v>
      </c>
      <c r="T170" s="1" t="e">
        <f>S170/VLOOKUP(A170,'[21]geoMap (18)'!$A:$B,2,0)*VLOOKUP(A170,'[21]geoMap (18)'!$A:$C,3,0)</f>
        <v>#REF!</v>
      </c>
      <c r="U170" s="1" t="e">
        <f>T170/VLOOKUP(A170,'[22]geoMap (19)'!$A:$B,2,0)*VLOOKUP(A170,'[22]geoMap (19)'!$A:$C,3,0)</f>
        <v>#REF!</v>
      </c>
      <c r="V170" s="1" t="e">
        <f>U170/VLOOKUP(A170,'[23]geoMap (20)'!$A:$B,2,0)*VLOOKUP(A170,'[23]geoMap (20)'!$A:$C,3,0)</f>
        <v>#REF!</v>
      </c>
      <c r="W170" s="1" t="e">
        <f>V170/VLOOKUP(A170,'[24]geoMap (21)'!$A:$B,2,0)*VLOOKUP(A170,'[24]geoMap (21)'!$A:$C,3,0)</f>
        <v>#REF!</v>
      </c>
      <c r="X170" s="1" t="e">
        <f>W170/VLOOKUP(A170,'[25]geoMap (22)'!$A:$B,2,0)*VLOOKUP(A170,'[25]geoMap (22)'!$A:$C,3,0)</f>
        <v>#REF!</v>
      </c>
      <c r="Y170" s="1" t="e">
        <f>X170/VLOOKUP(A170,'[26]geoMap (23)'!$A:$B,2,0)*VLOOKUP(A170,'[26]geoMap (23)'!$A:$C,3,0)</f>
        <v>#REF!</v>
      </c>
      <c r="Z170" s="1" t="e">
        <f>Y170/VLOOKUP(A170,'[27]geoMap (24)'!$A:$B,2,0)*VLOOKUP(A170,'[27]geoMap (24)'!$A:$C,3,0)</f>
        <v>#REF!</v>
      </c>
      <c r="AA170" s="1" t="e">
        <f>Z170/VLOOKUP(A170,'[28]geoMap (25)'!$A:$B,2,0)*VLOOKUP(A170,'[28]geoMap (25)'!$A:$C,3,0)</f>
        <v>#REF!</v>
      </c>
      <c r="AB170" s="1" t="e">
        <f>AA170*VLOOKUP(A170,'[29]geoMap (26)'!$A:$B,2,0)*VLOOKUP(A170,'[29]geoMap (26)'!$A:$C,3,0)</f>
        <v>#REF!</v>
      </c>
      <c r="AC170" s="1" t="e">
        <f>AB170/VLOOKUP(A170,'[30]geoMap (27)'!$A:$B,2,0)*VLOOKUP(A170,'[30]geoMap (27)'!$A:$C,3,0)</f>
        <v>#REF!</v>
      </c>
      <c r="AD170" s="1" t="e">
        <f>AC170/VLOOKUP(A170,'[31]geoMap (28)'!$A:$B,2,0)*VLOOKUP(A170,'[31]geoMap (28)'!$A:$C,3,0)</f>
        <v>#REF!</v>
      </c>
      <c r="AE170" s="1" t="e">
        <f>AD170/VLOOKUP(A170,'[32]geoMap (29)'!$A:$B,2,0)*VLOOKUP(A170,'[32]geoMap (29)'!$A:$C,3,0)</f>
        <v>#REF!</v>
      </c>
      <c r="AF170" s="1" t="e">
        <f>AE170/VLOOKUP(A170,'[33]geoMap (30)'!$A:$B,2,0)*VLOOKUP(A170,'[33]geoMap (30)'!$A:$C,3,0)</f>
        <v>#REF!</v>
      </c>
      <c r="AG170" s="1" t="e">
        <f>AF170/VLOOKUP(A170,'[34]geoMap (31)'!$A:$B,2,0)*VLOOKUP(A170,'[34]geoMap (31)'!$A:$C,3,0)</f>
        <v>#REF!</v>
      </c>
      <c r="AH170" s="1" t="e">
        <f>AG170/VLOOKUP(A170,'[35]geoMap (32)'!$A:$B,2,0)*VLOOKUP(A170,'[35]geoMap (32)'!$A:$C,3,0)</f>
        <v>#REF!</v>
      </c>
      <c r="AI170" s="1" t="e">
        <f>AH170/VLOOKUP(A170,'[36]geoMap (33)'!$A:$B,2,0)*VLOOKUP(A170,'[36]geoMap (33)'!$A:$C,3,0)</f>
        <v>#REF!</v>
      </c>
      <c r="AJ170" s="1" t="e">
        <f>AI170/VLOOKUP(A170,'[37]geoMap (34)'!$A:$B,2,0)*VLOOKUP(A170,'[37]geoMap (34)'!$A:$C,3,0)</f>
        <v>#REF!</v>
      </c>
      <c r="AK170" s="1" t="e">
        <f>AJ170/VLOOKUP(A170,'[38]geoMap (35)'!$A:$B,2,0)*VLOOKUP(A170,'[38]geoMap (35)'!$A:$C,3,0)</f>
        <v>#REF!</v>
      </c>
      <c r="AL170" s="1" t="e">
        <f>AK170/VLOOKUP(A170,'[39]geoMap (36)'!$A:$B,2,0)*VLOOKUP(A170,'[39]geoMap (36)'!$A:$C,3,0)</f>
        <v>#REF!</v>
      </c>
      <c r="AM170" s="1" t="e">
        <f>AL170/VLOOKUP(A170,'[40]geoMap (37)'!$A:$B,2,0)*VLOOKUP(A170,'[40]geoMap (37)'!$A:$C,3,0)</f>
        <v>#REF!</v>
      </c>
      <c r="AN170" s="1" t="e">
        <f>AM170/VLOOKUP(A170,'[41]geoMap (38)'!$A:$B,2,0)*VLOOKUP(A170,'[41]geoMap (38)'!$A:$C,3,0)</f>
        <v>#REF!</v>
      </c>
      <c r="AO170" s="1" t="e">
        <f>AN170/VLOOKUP(A170,'[42]geoMap (39)'!$A:$B,2,0)*VLOOKUP(A170,'[42]geoMap (39)'!$A:$C,3,0)</f>
        <v>#REF!</v>
      </c>
      <c r="AP170" s="1" t="e">
        <f>AO170/VLOOKUP(A170,'[43]geoMap (40)'!$A:$B,2,0)*VLOOKUP(A170,'[43]geoMap (40)'!$A:$C,3,0)</f>
        <v>#REF!</v>
      </c>
      <c r="AQ170" s="1" t="e">
        <f>AP170/VLOOKUP(A170,'[44]geoMap (41)'!$A:$B,2,0)*VLOOKUP(A170,'[44]geoMap (41)'!$A:$C,3,0)</f>
        <v>#REF!</v>
      </c>
      <c r="AR170" s="1" t="e">
        <f>AQ170/VLOOKUP(A170,'[45]geoMap (42)'!$A:$B,2,0)*VLOOKUP(A170,'[45]geoMap (42)'!$A:$C,3,0)</f>
        <v>#REF!</v>
      </c>
      <c r="AS170" s="1" t="e">
        <f>AR170/VLOOKUP(A170,'[46]geoMap (43)'!$A:$B,2,0)*VLOOKUP(A170,'[46]geoMap (43)'!$A:$C,3,0)</f>
        <v>#REF!</v>
      </c>
      <c r="AT170" s="1" t="e">
        <f>AS170/VLOOKUP(A170,'[47]geoMap (44)'!$A:$B,2,0)*VLOOKUP(A170,'[47]geoMap (44)'!$A:$C,3,0)</f>
        <v>#REF!</v>
      </c>
      <c r="AU170" s="1" t="e">
        <f>AT170/VLOOKUP(A170,'[48]geoMap (45)'!$A:$B,2,0)*VLOOKUP(A170,'[48]geoMap (45)'!$A:$C,3,0)</f>
        <v>#REF!</v>
      </c>
      <c r="AV170" s="1" t="e">
        <f>AU170/VLOOKUP(A170,'[49]geoMap (46)'!$A:$B,2,0)*VLOOKUP(A170,'[49]geoMap (46)'!$A:$C,3,0)</f>
        <v>#REF!</v>
      </c>
      <c r="AW170" s="1" t="e">
        <f>AV170/VLOOKUP(A170,'[50]geoMap (47)'!$A:$B,2,0)*VLOOKUP(A170,'[50]geoMap (47)'!$A:$C,3,0)</f>
        <v>#REF!</v>
      </c>
      <c r="AX170" s="1" t="e">
        <f>AW170/VLOOKUP(A170,'[51]geoMap (48)'!$A:$B,2,0)*VLOOKUP(A170,'[51]geoMap (48)'!$A:$C,3,0)</f>
        <v>#REF!</v>
      </c>
      <c r="AY170" s="1" t="e">
        <f>AX170/VLOOKUP(A170,'[52]geoMap (49)'!$A:$B,2,0)*VLOOKUP(A170,'[52]geoMap (49)'!$A:$C,3,0)</f>
        <v>#REF!</v>
      </c>
      <c r="AZ170" s="1" t="e">
        <f>AY170/VLOOKUP(A170,'[53]geoMap (50)'!$A:$B,2,0)*VLOOKUP(A170,'[53]geoMap (50)'!$A:$C,3,0)</f>
        <v>#REF!</v>
      </c>
      <c r="BA170" s="1" t="e">
        <f>AZ170/VLOOKUP(A170,'[54]geoMap (51)'!$A:$B,2,0)*VLOOKUP(A170,'[54]geoMap (51)'!$A:$C,3,0)</f>
        <v>#REF!</v>
      </c>
      <c r="BB170" s="1" t="e">
        <f>BA170/VLOOKUP(A170,'[55]geoMap (52)'!$A:$B,2,0)*VLOOKUP(A170,'[55]geoMap (52)'!$A:$C,3,0)</f>
        <v>#REF!</v>
      </c>
      <c r="BC170" s="1" t="e">
        <f>BB170/VLOOKUP(A170,'[56]geoMap (53)'!$A:$B,2,0)*VLOOKUP(A170,'[56]geoMap (53)'!$A:$C,3,0)</f>
        <v>#REF!</v>
      </c>
      <c r="BD170" s="1" t="e">
        <f>BC170/VLOOKUP(A170,'[57]geoMap (54)'!$A:$B,2,0)*VLOOKUP(A170,'[57]geoMap (54)'!$A:$C,3,0)</f>
        <v>#REF!</v>
      </c>
      <c r="BE170" s="1" t="e">
        <f>BD170/VLOOKUP(A170,'[58]geoMap (55)'!$A:$B,2,0)*VLOOKUP(A170,'[58]geoMap (55)'!$A:$C,3,0)</f>
        <v>#REF!</v>
      </c>
      <c r="BF170" s="1" t="e">
        <f>BE170/VLOOKUP(A170,'[59]geoMap (56)'!$A:$B,2,0)*VLOOKUP(A170,'[59]geoMap (56)'!$A:$C,3,0)</f>
        <v>#REF!</v>
      </c>
      <c r="BG170" s="1" t="e">
        <f>BF170/VLOOKUP(A170,'[60]geoMap (57)'!$A:$B,2,0)*VLOOKUP(A170,'[60]geoMap (57)'!$A:$C,3,0)</f>
        <v>#REF!</v>
      </c>
      <c r="BH170" s="1" t="e">
        <f>BG170/VLOOKUP(A170,'[61]geoMap (58)'!$A:$B,2,0)*VLOOKUP(A170,'[61]geoMap (58)'!$A:$C,3,0)</f>
        <v>#REF!</v>
      </c>
      <c r="BI170" s="1" t="e">
        <f>BH170/VLOOKUP(A170,'[62]geoMap (59)'!$A:$B,2,0)*VLOOKUP(A170,'[62]geoMap (59)'!$A:$C,3,0)</f>
        <v>#REF!</v>
      </c>
      <c r="BJ170" s="1" t="e">
        <f>BI170/VLOOKUP(A170,'[63]geoMap (60)'!$A:$B,2,0)*VLOOKUP(A170,'[63]geoMap (60)'!$A:$C,3,0)</f>
        <v>#REF!</v>
      </c>
      <c r="BK170" s="1" t="e">
        <f>BJ170/VLOOKUP(A170,'[64]geoMap (61)'!$A:$B,2,0)*VLOOKUP(A170,'[64]geoMap (61)'!$A:$C,3,0)</f>
        <v>#REF!</v>
      </c>
      <c r="BL170" s="1" t="e">
        <f>BK170/VLOOKUP(A170,'[65]geoMap (62)'!$A:$B,2,0)*VLOOKUP(A170,'[65]geoMap (62)'!$A:$C,3,0)</f>
        <v>#REF!</v>
      </c>
      <c r="BM170" s="1" t="e">
        <f>BL170/VLOOKUP(A170,'[66]geoMap (63)'!$A:$B,2,0)*VLOOKUP(A170,'[66]geoMap (63)'!$A:$C,3,0)</f>
        <v>#REF!</v>
      </c>
      <c r="BN170" s="1" t="e">
        <f>BM170/VLOOKUP(A170,'[67]geoMap (64)'!$A:$B,2,0)*VLOOKUP(A170,'[67]geoMap (64)'!$A:$C,3,0)</f>
        <v>#REF!</v>
      </c>
      <c r="BO170" s="1" t="e">
        <f>BN170/VLOOKUP(A170,'[68]geoMap (65)'!$A:$B,2,0)*VLOOKUP(A170,'[68]geoMap (65)'!$A:$C,3,0)</f>
        <v>#REF!</v>
      </c>
      <c r="BP170" s="1" t="e">
        <f>BO170/VLOOKUP(A170,'[69]geoMap (66)'!$A:$B,2,0)*VLOOKUP(A170,'[69]geoMap (66)'!$A:$C,3,0)</f>
        <v>#REF!</v>
      </c>
    </row>
    <row r="171" spans="1:68" hidden="1" x14ac:dyDescent="0.2">
      <c r="A171" s="1" t="s">
        <v>167</v>
      </c>
      <c r="B171" s="1" t="e">
        <f>VLOOKUP(A171,[3]geoMap!$A:$B,2,0)*Notes!$C$6</f>
        <v>#REF!</v>
      </c>
      <c r="C171" s="1" t="e">
        <f>B171/VLOOKUP(A171,'[4]geoMap (1)'!$A:$B,2,0)*VLOOKUP(A171,'[4]geoMap (1)'!$A:$C,3,0)</f>
        <v>#REF!</v>
      </c>
      <c r="D171" s="1" t="e">
        <f>C171/VLOOKUP(A171,'[5]geoMap (2)'!$A:$B,2,0)*VLOOKUP(A171,'[5]geoMap (2)'!$A:$C,3,0)</f>
        <v>#REF!</v>
      </c>
      <c r="E171" s="1" t="e">
        <f>D171/VLOOKUP(A171,'[6]geoMap (3)'!$A:$B,2,0)*VLOOKUP(A171,'[6]geoMap (3)'!$A:$C,3,0)</f>
        <v>#REF!</v>
      </c>
      <c r="F171" s="1" t="e">
        <f>E171/VLOOKUP(A171,'[7]geoMap (4)'!$A:$B,2,0)*VLOOKUP(A171,'[7]geoMap (4)'!$A:$C,3,0)</f>
        <v>#REF!</v>
      </c>
      <c r="G171" s="1" t="e">
        <f>F171/VLOOKUP(A171,'[8]geoMap (5)'!$A:$B,2,0)*VLOOKUP(A171,'[8]geoMap (5)'!$A:$C,3,0)</f>
        <v>#REF!</v>
      </c>
      <c r="H171" s="1" t="e">
        <f>G171/VLOOKUP(A171,'[9]geoMap (6)'!$A:$B,2,0)*VLOOKUP(A171,'[9]geoMap (6)'!$A:$C,3,0)</f>
        <v>#REF!</v>
      </c>
      <c r="I171" s="1" t="e">
        <f>H171/VLOOKUP(A171,'[10]geoMap (7)'!$A:$B,2,0)*VLOOKUP(A171,'[10]geoMap (7)'!$A:$C,3,0)</f>
        <v>#REF!</v>
      </c>
      <c r="J171" s="1" t="e">
        <f>I171/VLOOKUP(A171,'[11]geoMap (8)'!$A:$B,2,0)*VLOOKUP(A171,'[11]geoMap (8)'!$A:$C,3,0)</f>
        <v>#REF!</v>
      </c>
      <c r="K171" s="1" t="e">
        <f>J171/VLOOKUP(A171,'[12]geoMap (9)'!$A:$B,2,0)*VLOOKUP(A171,'[12]geoMap (9)'!$A:$C,3,0)</f>
        <v>#REF!</v>
      </c>
      <c r="L171" s="1" t="e">
        <f>K171/VLOOKUP(A171,'[13]geoMap (10)'!$A:$B,2,0)*VLOOKUP(A171,'[13]geoMap (10)'!$A:$C,3,0)</f>
        <v>#REF!</v>
      </c>
      <c r="M171" s="1" t="e">
        <f>L171/VLOOKUP(A171,'[14]geoMap (11)'!$A:$B,2,0)*VLOOKUP(A171,'[14]geoMap (11)'!$A:$C,3,0)</f>
        <v>#REF!</v>
      </c>
      <c r="N171" s="1" t="e">
        <f>M171/VLOOKUP(A171,'[15]geoMap (12)'!$A:$B,2,0)*VLOOKUP(A171,'[15]geoMap (12)'!$A:$C,3,0)</f>
        <v>#REF!</v>
      </c>
      <c r="O171" s="1" t="e">
        <f>N171/VLOOKUP(A171,'[16]geoMap (13)'!$A:$B,2,0)*VLOOKUP(A171,'[16]geoMap (13)'!$A:$C,3,0)</f>
        <v>#REF!</v>
      </c>
      <c r="P171" s="1" t="e">
        <f>O171/VLOOKUP(A171,'[17]geoMap (14)'!$A:$B,2,0)*VLOOKUP(A171,'[17]geoMap (14)'!$A:$C,3,0)</f>
        <v>#REF!</v>
      </c>
      <c r="Q171" s="1" t="e">
        <f>P171/VLOOKUP(A171,'[18]geoMap (15)'!$A:$B,2,0)*VLOOKUP(A171,'[18]geoMap (15)'!$A:$C,3,0)</f>
        <v>#REF!</v>
      </c>
      <c r="R171" s="1" t="e">
        <f>Q171/VLOOKUP(A171,'[19]geoMap (16)'!$A:$B,2,0)*VLOOKUP(A171,'[19]geoMap (16)'!$A:$C,3,0)</f>
        <v>#REF!</v>
      </c>
      <c r="S171" s="1" t="e">
        <f>R171/VLOOKUP(A171,'[20]geoMap (17)'!$A:$B,2,0)*VLOOKUP(A171,'[20]geoMap (17)'!$A:$C,3,0)</f>
        <v>#REF!</v>
      </c>
      <c r="T171" s="1" t="e">
        <f>S171/VLOOKUP(A171,'[21]geoMap (18)'!$A:$B,2,0)*VLOOKUP(A171,'[21]geoMap (18)'!$A:$C,3,0)</f>
        <v>#REF!</v>
      </c>
      <c r="U171" s="1" t="e">
        <f>T171/VLOOKUP(A171,'[22]geoMap (19)'!$A:$B,2,0)*VLOOKUP(A171,'[22]geoMap (19)'!$A:$C,3,0)</f>
        <v>#REF!</v>
      </c>
      <c r="V171" s="1" t="e">
        <f>U171/VLOOKUP(A171,'[23]geoMap (20)'!$A:$B,2,0)*VLOOKUP(A171,'[23]geoMap (20)'!$A:$C,3,0)</f>
        <v>#REF!</v>
      </c>
      <c r="W171" s="1" t="e">
        <f>V171/VLOOKUP(A171,'[24]geoMap (21)'!$A:$B,2,0)*VLOOKUP(A171,'[24]geoMap (21)'!$A:$C,3,0)</f>
        <v>#REF!</v>
      </c>
      <c r="X171" s="1" t="e">
        <f>W171/VLOOKUP(A171,'[25]geoMap (22)'!$A:$B,2,0)*VLOOKUP(A171,'[25]geoMap (22)'!$A:$C,3,0)</f>
        <v>#REF!</v>
      </c>
      <c r="Y171" s="1" t="e">
        <f>X171/VLOOKUP(A171,'[26]geoMap (23)'!$A:$B,2,0)*VLOOKUP(A171,'[26]geoMap (23)'!$A:$C,3,0)</f>
        <v>#REF!</v>
      </c>
      <c r="Z171" s="1" t="e">
        <f>Y171/VLOOKUP(A171,'[27]geoMap (24)'!$A:$B,2,0)*VLOOKUP(A171,'[27]geoMap (24)'!$A:$C,3,0)</f>
        <v>#REF!</v>
      </c>
      <c r="AA171" s="1" t="e">
        <f>Z171/VLOOKUP(A171,'[28]geoMap (25)'!$A:$B,2,0)*VLOOKUP(A171,'[28]geoMap (25)'!$A:$C,3,0)</f>
        <v>#REF!</v>
      </c>
      <c r="AB171" s="1" t="e">
        <f>AA171*VLOOKUP(A171,'[29]geoMap (26)'!$A:$B,2,0)*VLOOKUP(A171,'[29]geoMap (26)'!$A:$C,3,0)</f>
        <v>#REF!</v>
      </c>
      <c r="AC171" s="1" t="e">
        <f>AB171/VLOOKUP(A171,'[30]geoMap (27)'!$A:$B,2,0)*VLOOKUP(A171,'[30]geoMap (27)'!$A:$C,3,0)</f>
        <v>#REF!</v>
      </c>
      <c r="AD171" s="1" t="e">
        <f>AC171/VLOOKUP(A171,'[31]geoMap (28)'!$A:$B,2,0)*VLOOKUP(A171,'[31]geoMap (28)'!$A:$C,3,0)</f>
        <v>#REF!</v>
      </c>
      <c r="AE171" s="1" t="e">
        <f>AD171/VLOOKUP(A171,'[32]geoMap (29)'!$A:$B,2,0)*VLOOKUP(A171,'[32]geoMap (29)'!$A:$C,3,0)</f>
        <v>#REF!</v>
      </c>
      <c r="AF171" s="1" t="e">
        <f>AE171/VLOOKUP(A171,'[33]geoMap (30)'!$A:$B,2,0)*VLOOKUP(A171,'[33]geoMap (30)'!$A:$C,3,0)</f>
        <v>#REF!</v>
      </c>
      <c r="AG171" s="1" t="e">
        <f>AF171/VLOOKUP(A171,'[34]geoMap (31)'!$A:$B,2,0)*VLOOKUP(A171,'[34]geoMap (31)'!$A:$C,3,0)</f>
        <v>#REF!</v>
      </c>
      <c r="AH171" s="1" t="e">
        <f>AG171/VLOOKUP(A171,'[35]geoMap (32)'!$A:$B,2,0)*VLOOKUP(A171,'[35]geoMap (32)'!$A:$C,3,0)</f>
        <v>#REF!</v>
      </c>
      <c r="AI171" s="1" t="e">
        <f>AH171/VLOOKUP(A171,'[36]geoMap (33)'!$A:$B,2,0)*VLOOKUP(A171,'[36]geoMap (33)'!$A:$C,3,0)</f>
        <v>#REF!</v>
      </c>
      <c r="AJ171" s="1" t="e">
        <f>AI171/VLOOKUP(A171,'[37]geoMap (34)'!$A:$B,2,0)*VLOOKUP(A171,'[37]geoMap (34)'!$A:$C,3,0)</f>
        <v>#REF!</v>
      </c>
      <c r="AK171" s="1" t="e">
        <f>AJ171/VLOOKUP(A171,'[38]geoMap (35)'!$A:$B,2,0)*VLOOKUP(A171,'[38]geoMap (35)'!$A:$C,3,0)</f>
        <v>#REF!</v>
      </c>
      <c r="AL171" s="1" t="e">
        <f>AK171/VLOOKUP(A171,'[39]geoMap (36)'!$A:$B,2,0)*VLOOKUP(A171,'[39]geoMap (36)'!$A:$C,3,0)</f>
        <v>#REF!</v>
      </c>
      <c r="AM171" s="1" t="e">
        <f>AL171/VLOOKUP(A171,'[40]geoMap (37)'!$A:$B,2,0)*VLOOKUP(A171,'[40]geoMap (37)'!$A:$C,3,0)</f>
        <v>#REF!</v>
      </c>
      <c r="AN171" s="1" t="e">
        <f>AM171/VLOOKUP(A171,'[41]geoMap (38)'!$A:$B,2,0)*VLOOKUP(A171,'[41]geoMap (38)'!$A:$C,3,0)</f>
        <v>#REF!</v>
      </c>
      <c r="AO171" s="1" t="e">
        <f>AN171/VLOOKUP(A171,'[42]geoMap (39)'!$A:$B,2,0)*VLOOKUP(A171,'[42]geoMap (39)'!$A:$C,3,0)</f>
        <v>#REF!</v>
      </c>
      <c r="AP171" s="1" t="e">
        <f>AO171/VLOOKUP(A171,'[43]geoMap (40)'!$A:$B,2,0)*VLOOKUP(A171,'[43]geoMap (40)'!$A:$C,3,0)</f>
        <v>#REF!</v>
      </c>
      <c r="AQ171" s="1" t="e">
        <f>AP171/VLOOKUP(A171,'[44]geoMap (41)'!$A:$B,2,0)*VLOOKUP(A171,'[44]geoMap (41)'!$A:$C,3,0)</f>
        <v>#REF!</v>
      </c>
      <c r="AR171" s="1" t="e">
        <f>AQ171/VLOOKUP(A171,'[45]geoMap (42)'!$A:$B,2,0)*VLOOKUP(A171,'[45]geoMap (42)'!$A:$C,3,0)</f>
        <v>#REF!</v>
      </c>
      <c r="AS171" s="1" t="e">
        <f>AR171/VLOOKUP(A171,'[46]geoMap (43)'!$A:$B,2,0)*VLOOKUP(A171,'[46]geoMap (43)'!$A:$C,3,0)</f>
        <v>#REF!</v>
      </c>
      <c r="AT171" s="1" t="e">
        <f>AS171/VLOOKUP(A171,'[47]geoMap (44)'!$A:$B,2,0)*VLOOKUP(A171,'[47]geoMap (44)'!$A:$C,3,0)</f>
        <v>#REF!</v>
      </c>
      <c r="AU171" s="1" t="e">
        <f>AT171/VLOOKUP(A171,'[48]geoMap (45)'!$A:$B,2,0)*VLOOKUP(A171,'[48]geoMap (45)'!$A:$C,3,0)</f>
        <v>#REF!</v>
      </c>
      <c r="AV171" s="1" t="e">
        <f>AU171/VLOOKUP(A171,'[49]geoMap (46)'!$A:$B,2,0)*VLOOKUP(A171,'[49]geoMap (46)'!$A:$C,3,0)</f>
        <v>#REF!</v>
      </c>
      <c r="AW171" s="1" t="e">
        <f>AV171/VLOOKUP(A171,'[50]geoMap (47)'!$A:$B,2,0)*VLOOKUP(A171,'[50]geoMap (47)'!$A:$C,3,0)</f>
        <v>#REF!</v>
      </c>
      <c r="AX171" s="1" t="e">
        <f>AW171/VLOOKUP(A171,'[51]geoMap (48)'!$A:$B,2,0)*VLOOKUP(A171,'[51]geoMap (48)'!$A:$C,3,0)</f>
        <v>#REF!</v>
      </c>
      <c r="AY171" s="1" t="e">
        <f>AX171/VLOOKUP(A171,'[52]geoMap (49)'!$A:$B,2,0)*VLOOKUP(A171,'[52]geoMap (49)'!$A:$C,3,0)</f>
        <v>#REF!</v>
      </c>
      <c r="AZ171" s="1" t="e">
        <f>AY171/VLOOKUP(A171,'[53]geoMap (50)'!$A:$B,2,0)*VLOOKUP(A171,'[53]geoMap (50)'!$A:$C,3,0)</f>
        <v>#REF!</v>
      </c>
      <c r="BA171" s="1" t="e">
        <f>AZ171/VLOOKUP(A171,'[54]geoMap (51)'!$A:$B,2,0)*VLOOKUP(A171,'[54]geoMap (51)'!$A:$C,3,0)</f>
        <v>#REF!</v>
      </c>
      <c r="BB171" s="1" t="e">
        <f>BA171/VLOOKUP(A171,'[55]geoMap (52)'!$A:$B,2,0)*VLOOKUP(A171,'[55]geoMap (52)'!$A:$C,3,0)</f>
        <v>#REF!</v>
      </c>
      <c r="BC171" s="1" t="e">
        <f>BB171/VLOOKUP(A171,'[56]geoMap (53)'!$A:$B,2,0)*VLOOKUP(A171,'[56]geoMap (53)'!$A:$C,3,0)</f>
        <v>#REF!</v>
      </c>
      <c r="BD171" s="1" t="e">
        <f>BC171/VLOOKUP(A171,'[57]geoMap (54)'!$A:$B,2,0)*VLOOKUP(A171,'[57]geoMap (54)'!$A:$C,3,0)</f>
        <v>#REF!</v>
      </c>
      <c r="BE171" s="1" t="e">
        <f>BD171/VLOOKUP(A171,'[58]geoMap (55)'!$A:$B,2,0)*VLOOKUP(A171,'[58]geoMap (55)'!$A:$C,3,0)</f>
        <v>#REF!</v>
      </c>
      <c r="BF171" s="1" t="e">
        <f>BE171/VLOOKUP(A171,'[59]geoMap (56)'!$A:$B,2,0)*VLOOKUP(A171,'[59]geoMap (56)'!$A:$C,3,0)</f>
        <v>#REF!</v>
      </c>
      <c r="BG171" s="1" t="e">
        <f>BF171/VLOOKUP(A171,'[60]geoMap (57)'!$A:$B,2,0)*VLOOKUP(A171,'[60]geoMap (57)'!$A:$C,3,0)</f>
        <v>#REF!</v>
      </c>
      <c r="BH171" s="1" t="e">
        <f>BG171/VLOOKUP(A171,'[61]geoMap (58)'!$A:$B,2,0)*VLOOKUP(A171,'[61]geoMap (58)'!$A:$C,3,0)</f>
        <v>#REF!</v>
      </c>
      <c r="BI171" s="1" t="e">
        <f>BH171/VLOOKUP(A171,'[62]geoMap (59)'!$A:$B,2,0)*VLOOKUP(A171,'[62]geoMap (59)'!$A:$C,3,0)</f>
        <v>#REF!</v>
      </c>
      <c r="BJ171" s="1" t="e">
        <f>BI171/VLOOKUP(A171,'[63]geoMap (60)'!$A:$B,2,0)*VLOOKUP(A171,'[63]geoMap (60)'!$A:$C,3,0)</f>
        <v>#REF!</v>
      </c>
      <c r="BK171" s="1" t="e">
        <f>BJ171/VLOOKUP(A171,'[64]geoMap (61)'!$A:$B,2,0)*VLOOKUP(A171,'[64]geoMap (61)'!$A:$C,3,0)</f>
        <v>#REF!</v>
      </c>
      <c r="BL171" s="1" t="e">
        <f>BK171/VLOOKUP(A171,'[65]geoMap (62)'!$A:$B,2,0)*VLOOKUP(A171,'[65]geoMap (62)'!$A:$C,3,0)</f>
        <v>#REF!</v>
      </c>
      <c r="BM171" s="1" t="e">
        <f>BL171/VLOOKUP(A171,'[66]geoMap (63)'!$A:$B,2,0)*VLOOKUP(A171,'[66]geoMap (63)'!$A:$C,3,0)</f>
        <v>#REF!</v>
      </c>
      <c r="BN171" s="1" t="e">
        <f>BM171/VLOOKUP(A171,'[67]geoMap (64)'!$A:$B,2,0)*VLOOKUP(A171,'[67]geoMap (64)'!$A:$C,3,0)</f>
        <v>#REF!</v>
      </c>
      <c r="BO171" s="1" t="e">
        <f>BN171/VLOOKUP(A171,'[68]geoMap (65)'!$A:$B,2,0)*VLOOKUP(A171,'[68]geoMap (65)'!$A:$C,3,0)</f>
        <v>#REF!</v>
      </c>
      <c r="BP171" s="1" t="e">
        <f>BO171/VLOOKUP(A171,'[69]geoMap (66)'!$A:$B,2,0)*VLOOKUP(A171,'[69]geoMap (66)'!$A:$C,3,0)</f>
        <v>#REF!</v>
      </c>
    </row>
    <row r="172" spans="1:68" hidden="1" x14ac:dyDescent="0.2">
      <c r="A172" s="1" t="s">
        <v>169</v>
      </c>
      <c r="B172" s="1" t="e">
        <f>VLOOKUP(A172,[3]geoMap!$A:$B,2,0)*Notes!$C$6</f>
        <v>#REF!</v>
      </c>
      <c r="C172" s="1" t="e">
        <f>B172/VLOOKUP(A172,'[4]geoMap (1)'!$A:$B,2,0)*VLOOKUP(A172,'[4]geoMap (1)'!$A:$C,3,0)</f>
        <v>#REF!</v>
      </c>
      <c r="D172" s="1" t="e">
        <f>C172/VLOOKUP(A172,'[5]geoMap (2)'!$A:$B,2,0)*VLOOKUP(A172,'[5]geoMap (2)'!$A:$C,3,0)</f>
        <v>#REF!</v>
      </c>
      <c r="E172" s="1" t="e">
        <f>D172/VLOOKUP(A172,'[6]geoMap (3)'!$A:$B,2,0)*VLOOKUP(A172,'[6]geoMap (3)'!$A:$C,3,0)</f>
        <v>#REF!</v>
      </c>
      <c r="F172" s="1" t="e">
        <f>E172/VLOOKUP(A172,'[7]geoMap (4)'!$A:$B,2,0)*VLOOKUP(A172,'[7]geoMap (4)'!$A:$C,3,0)</f>
        <v>#REF!</v>
      </c>
      <c r="G172" s="1" t="e">
        <f>F172/VLOOKUP(A172,'[8]geoMap (5)'!$A:$B,2,0)*VLOOKUP(A172,'[8]geoMap (5)'!$A:$C,3,0)</f>
        <v>#REF!</v>
      </c>
      <c r="H172" s="1" t="e">
        <f>G172/VLOOKUP(A172,'[9]geoMap (6)'!$A:$B,2,0)*VLOOKUP(A172,'[9]geoMap (6)'!$A:$C,3,0)</f>
        <v>#REF!</v>
      </c>
      <c r="I172" s="1" t="e">
        <f>H172/VLOOKUP(A172,'[10]geoMap (7)'!$A:$B,2,0)*VLOOKUP(A172,'[10]geoMap (7)'!$A:$C,3,0)</f>
        <v>#REF!</v>
      </c>
      <c r="J172" s="1" t="e">
        <f>I172/VLOOKUP(A172,'[11]geoMap (8)'!$A:$B,2,0)*VLOOKUP(A172,'[11]geoMap (8)'!$A:$C,3,0)</f>
        <v>#REF!</v>
      </c>
      <c r="K172" s="1" t="e">
        <f>J172/VLOOKUP(A172,'[12]geoMap (9)'!$A:$B,2,0)*VLOOKUP(A172,'[12]geoMap (9)'!$A:$C,3,0)</f>
        <v>#REF!</v>
      </c>
      <c r="L172" s="1" t="e">
        <f>K172/VLOOKUP(A172,'[13]geoMap (10)'!$A:$B,2,0)*VLOOKUP(A172,'[13]geoMap (10)'!$A:$C,3,0)</f>
        <v>#REF!</v>
      </c>
      <c r="M172" s="1" t="e">
        <f>L172/VLOOKUP(A172,'[14]geoMap (11)'!$A:$B,2,0)*VLOOKUP(A172,'[14]geoMap (11)'!$A:$C,3,0)</f>
        <v>#REF!</v>
      </c>
      <c r="N172" s="1" t="e">
        <f>M172/VLOOKUP(A172,'[15]geoMap (12)'!$A:$B,2,0)*VLOOKUP(A172,'[15]geoMap (12)'!$A:$C,3,0)</f>
        <v>#REF!</v>
      </c>
      <c r="O172" s="1" t="e">
        <f>N172/VLOOKUP(A172,'[16]geoMap (13)'!$A:$B,2,0)*VLOOKUP(A172,'[16]geoMap (13)'!$A:$C,3,0)</f>
        <v>#REF!</v>
      </c>
      <c r="P172" s="1" t="e">
        <f>O172/VLOOKUP(A172,'[17]geoMap (14)'!$A:$B,2,0)*VLOOKUP(A172,'[17]geoMap (14)'!$A:$C,3,0)</f>
        <v>#REF!</v>
      </c>
      <c r="Q172" s="1" t="e">
        <f>P172/VLOOKUP(A172,'[18]geoMap (15)'!$A:$B,2,0)*VLOOKUP(A172,'[18]geoMap (15)'!$A:$C,3,0)</f>
        <v>#REF!</v>
      </c>
      <c r="R172" s="1" t="e">
        <f>Q172/VLOOKUP(A172,'[19]geoMap (16)'!$A:$B,2,0)*VLOOKUP(A172,'[19]geoMap (16)'!$A:$C,3,0)</f>
        <v>#REF!</v>
      </c>
      <c r="S172" s="1" t="e">
        <f>R172/VLOOKUP(A172,'[20]geoMap (17)'!$A:$B,2,0)*VLOOKUP(A172,'[20]geoMap (17)'!$A:$C,3,0)</f>
        <v>#REF!</v>
      </c>
      <c r="T172" s="1" t="e">
        <f>S172/VLOOKUP(A172,'[21]geoMap (18)'!$A:$B,2,0)*VLOOKUP(A172,'[21]geoMap (18)'!$A:$C,3,0)</f>
        <v>#REF!</v>
      </c>
      <c r="U172" s="1" t="e">
        <f>T172/VLOOKUP(A172,'[22]geoMap (19)'!$A:$B,2,0)*VLOOKUP(A172,'[22]geoMap (19)'!$A:$C,3,0)</f>
        <v>#REF!</v>
      </c>
      <c r="V172" s="1" t="e">
        <f>U172/VLOOKUP(A172,'[23]geoMap (20)'!$A:$B,2,0)*VLOOKUP(A172,'[23]geoMap (20)'!$A:$C,3,0)</f>
        <v>#REF!</v>
      </c>
      <c r="W172" s="1" t="e">
        <f>V172/VLOOKUP(A172,'[24]geoMap (21)'!$A:$B,2,0)*VLOOKUP(A172,'[24]geoMap (21)'!$A:$C,3,0)</f>
        <v>#REF!</v>
      </c>
      <c r="X172" s="1" t="e">
        <f>W172/VLOOKUP(A172,'[25]geoMap (22)'!$A:$B,2,0)*VLOOKUP(A172,'[25]geoMap (22)'!$A:$C,3,0)</f>
        <v>#REF!</v>
      </c>
      <c r="Y172" s="1" t="e">
        <f>X172/VLOOKUP(A172,'[26]geoMap (23)'!$A:$B,2,0)*VLOOKUP(A172,'[26]geoMap (23)'!$A:$C,3,0)</f>
        <v>#REF!</v>
      </c>
      <c r="Z172" s="1" t="e">
        <f>Y172/VLOOKUP(A172,'[27]geoMap (24)'!$A:$B,2,0)*VLOOKUP(A172,'[27]geoMap (24)'!$A:$C,3,0)</f>
        <v>#REF!</v>
      </c>
      <c r="AA172" s="1" t="e">
        <f>Z172/VLOOKUP(A172,'[28]geoMap (25)'!$A:$B,2,0)*VLOOKUP(A172,'[28]geoMap (25)'!$A:$C,3,0)</f>
        <v>#REF!</v>
      </c>
      <c r="AB172" s="1" t="e">
        <f>AA172*VLOOKUP(A172,'[29]geoMap (26)'!$A:$B,2,0)*VLOOKUP(A172,'[29]geoMap (26)'!$A:$C,3,0)</f>
        <v>#REF!</v>
      </c>
      <c r="AC172" s="1" t="e">
        <f>AB172/VLOOKUP(A172,'[30]geoMap (27)'!$A:$B,2,0)*VLOOKUP(A172,'[30]geoMap (27)'!$A:$C,3,0)</f>
        <v>#REF!</v>
      </c>
      <c r="AD172" s="1" t="e">
        <f>AC172/VLOOKUP(A172,'[31]geoMap (28)'!$A:$B,2,0)*VLOOKUP(A172,'[31]geoMap (28)'!$A:$C,3,0)</f>
        <v>#REF!</v>
      </c>
      <c r="AE172" s="1" t="e">
        <f>AD172/VLOOKUP(A172,'[32]geoMap (29)'!$A:$B,2,0)*VLOOKUP(A172,'[32]geoMap (29)'!$A:$C,3,0)</f>
        <v>#REF!</v>
      </c>
      <c r="AF172" s="1" t="e">
        <f>AE172/VLOOKUP(A172,'[33]geoMap (30)'!$A:$B,2,0)*VLOOKUP(A172,'[33]geoMap (30)'!$A:$C,3,0)</f>
        <v>#REF!</v>
      </c>
      <c r="AG172" s="1" t="e">
        <f>AF172/VLOOKUP(A172,'[34]geoMap (31)'!$A:$B,2,0)*VLOOKUP(A172,'[34]geoMap (31)'!$A:$C,3,0)</f>
        <v>#REF!</v>
      </c>
      <c r="AH172" s="1" t="e">
        <f>AG172/VLOOKUP(A172,'[35]geoMap (32)'!$A:$B,2,0)*VLOOKUP(A172,'[35]geoMap (32)'!$A:$C,3,0)</f>
        <v>#REF!</v>
      </c>
      <c r="AI172" s="1" t="e">
        <f>AH172/VLOOKUP(A172,'[36]geoMap (33)'!$A:$B,2,0)*VLOOKUP(A172,'[36]geoMap (33)'!$A:$C,3,0)</f>
        <v>#REF!</v>
      </c>
      <c r="AJ172" s="1" t="e">
        <f>AI172/VLOOKUP(A172,'[37]geoMap (34)'!$A:$B,2,0)*VLOOKUP(A172,'[37]geoMap (34)'!$A:$C,3,0)</f>
        <v>#REF!</v>
      </c>
      <c r="AK172" s="1" t="e">
        <f>AJ172/VLOOKUP(A172,'[38]geoMap (35)'!$A:$B,2,0)*VLOOKUP(A172,'[38]geoMap (35)'!$A:$C,3,0)</f>
        <v>#REF!</v>
      </c>
      <c r="AL172" s="1" t="e">
        <f>AK172/VLOOKUP(A172,'[39]geoMap (36)'!$A:$B,2,0)*VLOOKUP(A172,'[39]geoMap (36)'!$A:$C,3,0)</f>
        <v>#REF!</v>
      </c>
      <c r="AM172" s="1" t="e">
        <f>AL172/VLOOKUP(A172,'[40]geoMap (37)'!$A:$B,2,0)*VLOOKUP(A172,'[40]geoMap (37)'!$A:$C,3,0)</f>
        <v>#REF!</v>
      </c>
      <c r="AN172" s="1" t="e">
        <f>AM172/VLOOKUP(A172,'[41]geoMap (38)'!$A:$B,2,0)*VLOOKUP(A172,'[41]geoMap (38)'!$A:$C,3,0)</f>
        <v>#REF!</v>
      </c>
      <c r="AO172" s="1" t="e">
        <f>AN172/VLOOKUP(A172,'[42]geoMap (39)'!$A:$B,2,0)*VLOOKUP(A172,'[42]geoMap (39)'!$A:$C,3,0)</f>
        <v>#REF!</v>
      </c>
      <c r="AP172" s="1" t="e">
        <f>AO172/VLOOKUP(A172,'[43]geoMap (40)'!$A:$B,2,0)*VLOOKUP(A172,'[43]geoMap (40)'!$A:$C,3,0)</f>
        <v>#REF!</v>
      </c>
      <c r="AQ172" s="1" t="e">
        <f>AP172/VLOOKUP(A172,'[44]geoMap (41)'!$A:$B,2,0)*VLOOKUP(A172,'[44]geoMap (41)'!$A:$C,3,0)</f>
        <v>#REF!</v>
      </c>
      <c r="AR172" s="1" t="e">
        <f>AQ172/VLOOKUP(A172,'[45]geoMap (42)'!$A:$B,2,0)*VLOOKUP(A172,'[45]geoMap (42)'!$A:$C,3,0)</f>
        <v>#REF!</v>
      </c>
      <c r="AS172" s="1" t="e">
        <f>AR172/VLOOKUP(A172,'[46]geoMap (43)'!$A:$B,2,0)*VLOOKUP(A172,'[46]geoMap (43)'!$A:$C,3,0)</f>
        <v>#REF!</v>
      </c>
      <c r="AT172" s="1" t="e">
        <f>AS172/VLOOKUP(A172,'[47]geoMap (44)'!$A:$B,2,0)*VLOOKUP(A172,'[47]geoMap (44)'!$A:$C,3,0)</f>
        <v>#REF!</v>
      </c>
      <c r="AU172" s="1" t="e">
        <f>AT172/VLOOKUP(A172,'[48]geoMap (45)'!$A:$B,2,0)*VLOOKUP(A172,'[48]geoMap (45)'!$A:$C,3,0)</f>
        <v>#REF!</v>
      </c>
      <c r="AV172" s="1" t="e">
        <f>AU172/VLOOKUP(A172,'[49]geoMap (46)'!$A:$B,2,0)*VLOOKUP(A172,'[49]geoMap (46)'!$A:$C,3,0)</f>
        <v>#REF!</v>
      </c>
      <c r="AW172" s="1" t="e">
        <f>AV172/VLOOKUP(A172,'[50]geoMap (47)'!$A:$B,2,0)*VLOOKUP(A172,'[50]geoMap (47)'!$A:$C,3,0)</f>
        <v>#REF!</v>
      </c>
      <c r="AX172" s="1" t="e">
        <f>AW172/VLOOKUP(A172,'[51]geoMap (48)'!$A:$B,2,0)*VLOOKUP(A172,'[51]geoMap (48)'!$A:$C,3,0)</f>
        <v>#REF!</v>
      </c>
      <c r="AY172" s="1" t="e">
        <f>AX172/VLOOKUP(A172,'[52]geoMap (49)'!$A:$B,2,0)*VLOOKUP(A172,'[52]geoMap (49)'!$A:$C,3,0)</f>
        <v>#REF!</v>
      </c>
      <c r="AZ172" s="1" t="e">
        <f>AY172/VLOOKUP(A172,'[53]geoMap (50)'!$A:$B,2,0)*VLOOKUP(A172,'[53]geoMap (50)'!$A:$C,3,0)</f>
        <v>#REF!</v>
      </c>
      <c r="BA172" s="1" t="e">
        <f>AZ172/VLOOKUP(A172,'[54]geoMap (51)'!$A:$B,2,0)*VLOOKUP(A172,'[54]geoMap (51)'!$A:$C,3,0)</f>
        <v>#REF!</v>
      </c>
      <c r="BB172" s="1" t="e">
        <f>BA172/VLOOKUP(A172,'[55]geoMap (52)'!$A:$B,2,0)*VLOOKUP(A172,'[55]geoMap (52)'!$A:$C,3,0)</f>
        <v>#REF!</v>
      </c>
      <c r="BC172" s="1" t="e">
        <f>BB172/VLOOKUP(A172,'[56]geoMap (53)'!$A:$B,2,0)*VLOOKUP(A172,'[56]geoMap (53)'!$A:$C,3,0)</f>
        <v>#REF!</v>
      </c>
      <c r="BD172" s="1" t="e">
        <f>BC172/VLOOKUP(A172,'[57]geoMap (54)'!$A:$B,2,0)*VLOOKUP(A172,'[57]geoMap (54)'!$A:$C,3,0)</f>
        <v>#REF!</v>
      </c>
      <c r="BE172" s="1" t="e">
        <f>BD172/VLOOKUP(A172,'[58]geoMap (55)'!$A:$B,2,0)*VLOOKUP(A172,'[58]geoMap (55)'!$A:$C,3,0)</f>
        <v>#REF!</v>
      </c>
      <c r="BF172" s="1" t="e">
        <f>BE172/VLOOKUP(A172,'[59]geoMap (56)'!$A:$B,2,0)*VLOOKUP(A172,'[59]geoMap (56)'!$A:$C,3,0)</f>
        <v>#REF!</v>
      </c>
      <c r="BG172" s="1" t="e">
        <f>BF172/VLOOKUP(A172,'[60]geoMap (57)'!$A:$B,2,0)*VLOOKUP(A172,'[60]geoMap (57)'!$A:$C,3,0)</f>
        <v>#REF!</v>
      </c>
      <c r="BH172" s="1" t="e">
        <f>BG172/VLOOKUP(A172,'[61]geoMap (58)'!$A:$B,2,0)*VLOOKUP(A172,'[61]geoMap (58)'!$A:$C,3,0)</f>
        <v>#REF!</v>
      </c>
      <c r="BI172" s="1" t="e">
        <f>BH172/VLOOKUP(A172,'[62]geoMap (59)'!$A:$B,2,0)*VLOOKUP(A172,'[62]geoMap (59)'!$A:$C,3,0)</f>
        <v>#REF!</v>
      </c>
      <c r="BJ172" s="1" t="e">
        <f>BI172/VLOOKUP(A172,'[63]geoMap (60)'!$A:$B,2,0)*VLOOKUP(A172,'[63]geoMap (60)'!$A:$C,3,0)</f>
        <v>#REF!</v>
      </c>
      <c r="BK172" s="1" t="e">
        <f>BJ172/VLOOKUP(A172,'[64]geoMap (61)'!$A:$B,2,0)*VLOOKUP(A172,'[64]geoMap (61)'!$A:$C,3,0)</f>
        <v>#REF!</v>
      </c>
      <c r="BL172" s="1" t="e">
        <f>BK172/VLOOKUP(A172,'[65]geoMap (62)'!$A:$B,2,0)*VLOOKUP(A172,'[65]geoMap (62)'!$A:$C,3,0)</f>
        <v>#REF!</v>
      </c>
      <c r="BM172" s="1" t="e">
        <f>BL172/VLOOKUP(A172,'[66]geoMap (63)'!$A:$B,2,0)*VLOOKUP(A172,'[66]geoMap (63)'!$A:$C,3,0)</f>
        <v>#REF!</v>
      </c>
      <c r="BN172" s="1" t="e">
        <f>BM172/VLOOKUP(A172,'[67]geoMap (64)'!$A:$B,2,0)*VLOOKUP(A172,'[67]geoMap (64)'!$A:$C,3,0)</f>
        <v>#REF!</v>
      </c>
      <c r="BO172" s="1" t="e">
        <f>BN172/VLOOKUP(A172,'[68]geoMap (65)'!$A:$B,2,0)*VLOOKUP(A172,'[68]geoMap (65)'!$A:$C,3,0)</f>
        <v>#REF!</v>
      </c>
      <c r="BP172" s="1" t="e">
        <f>BO172/VLOOKUP(A172,'[69]geoMap (66)'!$A:$B,2,0)*VLOOKUP(A172,'[69]geoMap (66)'!$A:$C,3,0)</f>
        <v>#REF!</v>
      </c>
    </row>
    <row r="173" spans="1:68" hidden="1" x14ac:dyDescent="0.2">
      <c r="A173" s="1" t="s">
        <v>171</v>
      </c>
      <c r="B173" s="1" t="e">
        <f>VLOOKUP(A173,[3]geoMap!$A:$B,2,0)*Notes!$C$6</f>
        <v>#REF!</v>
      </c>
      <c r="C173" s="1" t="e">
        <f>B173/VLOOKUP(A173,'[4]geoMap (1)'!$A:$B,2,0)*VLOOKUP(A173,'[4]geoMap (1)'!$A:$C,3,0)</f>
        <v>#REF!</v>
      </c>
      <c r="D173" s="1" t="e">
        <f>C173/VLOOKUP(A173,'[5]geoMap (2)'!$A:$B,2,0)*VLOOKUP(A173,'[5]geoMap (2)'!$A:$C,3,0)</f>
        <v>#REF!</v>
      </c>
      <c r="E173" s="1" t="e">
        <f>D173/VLOOKUP(A173,'[6]geoMap (3)'!$A:$B,2,0)*VLOOKUP(A173,'[6]geoMap (3)'!$A:$C,3,0)</f>
        <v>#REF!</v>
      </c>
      <c r="F173" s="1" t="e">
        <f>E173/VLOOKUP(A173,'[7]geoMap (4)'!$A:$B,2,0)*VLOOKUP(A173,'[7]geoMap (4)'!$A:$C,3,0)</f>
        <v>#REF!</v>
      </c>
      <c r="G173" s="1" t="e">
        <f>F173/VLOOKUP(A173,'[8]geoMap (5)'!$A:$B,2,0)*VLOOKUP(A173,'[8]geoMap (5)'!$A:$C,3,0)</f>
        <v>#REF!</v>
      </c>
      <c r="H173" s="1" t="e">
        <f>G173/VLOOKUP(A173,'[9]geoMap (6)'!$A:$B,2,0)*VLOOKUP(A173,'[9]geoMap (6)'!$A:$C,3,0)</f>
        <v>#REF!</v>
      </c>
      <c r="I173" s="1" t="e">
        <f>H173/VLOOKUP(A173,'[10]geoMap (7)'!$A:$B,2,0)*VLOOKUP(A173,'[10]geoMap (7)'!$A:$C,3,0)</f>
        <v>#REF!</v>
      </c>
      <c r="J173" s="1" t="e">
        <f>I173/VLOOKUP(A173,'[11]geoMap (8)'!$A:$B,2,0)*VLOOKUP(A173,'[11]geoMap (8)'!$A:$C,3,0)</f>
        <v>#REF!</v>
      </c>
      <c r="K173" s="1" t="e">
        <f>J173/VLOOKUP(A173,'[12]geoMap (9)'!$A:$B,2,0)*VLOOKUP(A173,'[12]geoMap (9)'!$A:$C,3,0)</f>
        <v>#REF!</v>
      </c>
      <c r="L173" s="1" t="e">
        <f>K173/VLOOKUP(A173,'[13]geoMap (10)'!$A:$B,2,0)*VLOOKUP(A173,'[13]geoMap (10)'!$A:$C,3,0)</f>
        <v>#REF!</v>
      </c>
      <c r="M173" s="1" t="e">
        <f>L173/VLOOKUP(A173,'[14]geoMap (11)'!$A:$B,2,0)*VLOOKUP(A173,'[14]geoMap (11)'!$A:$C,3,0)</f>
        <v>#REF!</v>
      </c>
      <c r="N173" s="1" t="e">
        <f>M173/VLOOKUP(A173,'[15]geoMap (12)'!$A:$B,2,0)*VLOOKUP(A173,'[15]geoMap (12)'!$A:$C,3,0)</f>
        <v>#REF!</v>
      </c>
      <c r="O173" s="1" t="e">
        <f>N173/VLOOKUP(A173,'[16]geoMap (13)'!$A:$B,2,0)*VLOOKUP(A173,'[16]geoMap (13)'!$A:$C,3,0)</f>
        <v>#REF!</v>
      </c>
      <c r="P173" s="1" t="e">
        <f>O173/VLOOKUP(A173,'[17]geoMap (14)'!$A:$B,2,0)*VLOOKUP(A173,'[17]geoMap (14)'!$A:$C,3,0)</f>
        <v>#REF!</v>
      </c>
      <c r="Q173" s="1" t="e">
        <f>P173/VLOOKUP(A173,'[18]geoMap (15)'!$A:$B,2,0)*VLOOKUP(A173,'[18]geoMap (15)'!$A:$C,3,0)</f>
        <v>#REF!</v>
      </c>
      <c r="R173" s="1" t="e">
        <f>Q173/VLOOKUP(A173,'[19]geoMap (16)'!$A:$B,2,0)*VLOOKUP(A173,'[19]geoMap (16)'!$A:$C,3,0)</f>
        <v>#REF!</v>
      </c>
      <c r="S173" s="1" t="e">
        <f>R173/VLOOKUP(A173,'[20]geoMap (17)'!$A:$B,2,0)*VLOOKUP(A173,'[20]geoMap (17)'!$A:$C,3,0)</f>
        <v>#REF!</v>
      </c>
      <c r="T173" s="1" t="e">
        <f>S173/VLOOKUP(A173,'[21]geoMap (18)'!$A:$B,2,0)*VLOOKUP(A173,'[21]geoMap (18)'!$A:$C,3,0)</f>
        <v>#REF!</v>
      </c>
      <c r="U173" s="1" t="e">
        <f>T173/VLOOKUP(A173,'[22]geoMap (19)'!$A:$B,2,0)*VLOOKUP(A173,'[22]geoMap (19)'!$A:$C,3,0)</f>
        <v>#REF!</v>
      </c>
      <c r="V173" s="1" t="e">
        <f>U173/VLOOKUP(A173,'[23]geoMap (20)'!$A:$B,2,0)*VLOOKUP(A173,'[23]geoMap (20)'!$A:$C,3,0)</f>
        <v>#REF!</v>
      </c>
      <c r="W173" s="1" t="e">
        <f>V173/VLOOKUP(A173,'[24]geoMap (21)'!$A:$B,2,0)*VLOOKUP(A173,'[24]geoMap (21)'!$A:$C,3,0)</f>
        <v>#REF!</v>
      </c>
      <c r="X173" s="1" t="e">
        <f>W173/VLOOKUP(A173,'[25]geoMap (22)'!$A:$B,2,0)*VLOOKUP(A173,'[25]geoMap (22)'!$A:$C,3,0)</f>
        <v>#REF!</v>
      </c>
      <c r="Y173" s="1" t="e">
        <f>X173/VLOOKUP(A173,'[26]geoMap (23)'!$A:$B,2,0)*VLOOKUP(A173,'[26]geoMap (23)'!$A:$C,3,0)</f>
        <v>#REF!</v>
      </c>
      <c r="Z173" s="1" t="e">
        <f>Y173/VLOOKUP(A173,'[27]geoMap (24)'!$A:$B,2,0)*VLOOKUP(A173,'[27]geoMap (24)'!$A:$C,3,0)</f>
        <v>#REF!</v>
      </c>
      <c r="AA173" s="1" t="e">
        <f>Z173/VLOOKUP(A173,'[28]geoMap (25)'!$A:$B,2,0)*VLOOKUP(A173,'[28]geoMap (25)'!$A:$C,3,0)</f>
        <v>#REF!</v>
      </c>
      <c r="AB173" s="1" t="e">
        <f>AA173*VLOOKUP(A173,'[29]geoMap (26)'!$A:$B,2,0)*VLOOKUP(A173,'[29]geoMap (26)'!$A:$C,3,0)</f>
        <v>#REF!</v>
      </c>
      <c r="AC173" s="1" t="e">
        <f>AB173/VLOOKUP(A173,'[30]geoMap (27)'!$A:$B,2,0)*VLOOKUP(A173,'[30]geoMap (27)'!$A:$C,3,0)</f>
        <v>#REF!</v>
      </c>
      <c r="AD173" s="1" t="e">
        <f>AC173/VLOOKUP(A173,'[31]geoMap (28)'!$A:$B,2,0)*VLOOKUP(A173,'[31]geoMap (28)'!$A:$C,3,0)</f>
        <v>#REF!</v>
      </c>
      <c r="AE173" s="1" t="e">
        <f>AD173/VLOOKUP(A173,'[32]geoMap (29)'!$A:$B,2,0)*VLOOKUP(A173,'[32]geoMap (29)'!$A:$C,3,0)</f>
        <v>#REF!</v>
      </c>
      <c r="AF173" s="1" t="e">
        <f>AE173/VLOOKUP(A173,'[33]geoMap (30)'!$A:$B,2,0)*VLOOKUP(A173,'[33]geoMap (30)'!$A:$C,3,0)</f>
        <v>#REF!</v>
      </c>
      <c r="AG173" s="1" t="e">
        <f>AF173/VLOOKUP(A173,'[34]geoMap (31)'!$A:$B,2,0)*VLOOKUP(A173,'[34]geoMap (31)'!$A:$C,3,0)</f>
        <v>#REF!</v>
      </c>
      <c r="AH173" s="1" t="e">
        <f>AG173/VLOOKUP(A173,'[35]geoMap (32)'!$A:$B,2,0)*VLOOKUP(A173,'[35]geoMap (32)'!$A:$C,3,0)</f>
        <v>#REF!</v>
      </c>
      <c r="AI173" s="1" t="e">
        <f>AH173/VLOOKUP(A173,'[36]geoMap (33)'!$A:$B,2,0)*VLOOKUP(A173,'[36]geoMap (33)'!$A:$C,3,0)</f>
        <v>#REF!</v>
      </c>
      <c r="AJ173" s="1" t="e">
        <f>AI173/VLOOKUP(A173,'[37]geoMap (34)'!$A:$B,2,0)*VLOOKUP(A173,'[37]geoMap (34)'!$A:$C,3,0)</f>
        <v>#REF!</v>
      </c>
      <c r="AK173" s="1" t="e">
        <f>AJ173/VLOOKUP(A173,'[38]geoMap (35)'!$A:$B,2,0)*VLOOKUP(A173,'[38]geoMap (35)'!$A:$C,3,0)</f>
        <v>#REF!</v>
      </c>
      <c r="AL173" s="1" t="e">
        <f>AK173/VLOOKUP(A173,'[39]geoMap (36)'!$A:$B,2,0)*VLOOKUP(A173,'[39]geoMap (36)'!$A:$C,3,0)</f>
        <v>#REF!</v>
      </c>
      <c r="AM173" s="1" t="e">
        <f>AL173/VLOOKUP(A173,'[40]geoMap (37)'!$A:$B,2,0)*VLOOKUP(A173,'[40]geoMap (37)'!$A:$C,3,0)</f>
        <v>#REF!</v>
      </c>
      <c r="AN173" s="1" t="e">
        <f>AM173/VLOOKUP(A173,'[41]geoMap (38)'!$A:$B,2,0)*VLOOKUP(A173,'[41]geoMap (38)'!$A:$C,3,0)</f>
        <v>#REF!</v>
      </c>
      <c r="AO173" s="1" t="e">
        <f>AN173/VLOOKUP(A173,'[42]geoMap (39)'!$A:$B,2,0)*VLOOKUP(A173,'[42]geoMap (39)'!$A:$C,3,0)</f>
        <v>#REF!</v>
      </c>
      <c r="AP173" s="1" t="e">
        <f>AO173/VLOOKUP(A173,'[43]geoMap (40)'!$A:$B,2,0)*VLOOKUP(A173,'[43]geoMap (40)'!$A:$C,3,0)</f>
        <v>#REF!</v>
      </c>
      <c r="AQ173" s="1" t="e">
        <f>AP173/VLOOKUP(A173,'[44]geoMap (41)'!$A:$B,2,0)*VLOOKUP(A173,'[44]geoMap (41)'!$A:$C,3,0)</f>
        <v>#REF!</v>
      </c>
      <c r="AR173" s="1" t="e">
        <f>AQ173/VLOOKUP(A173,'[45]geoMap (42)'!$A:$B,2,0)*VLOOKUP(A173,'[45]geoMap (42)'!$A:$C,3,0)</f>
        <v>#REF!</v>
      </c>
      <c r="AS173" s="1" t="e">
        <f>AR173/VLOOKUP(A173,'[46]geoMap (43)'!$A:$B,2,0)*VLOOKUP(A173,'[46]geoMap (43)'!$A:$C,3,0)</f>
        <v>#REF!</v>
      </c>
      <c r="AT173" s="1" t="e">
        <f>AS173/VLOOKUP(A173,'[47]geoMap (44)'!$A:$B,2,0)*VLOOKUP(A173,'[47]geoMap (44)'!$A:$C,3,0)</f>
        <v>#REF!</v>
      </c>
      <c r="AU173" s="1" t="e">
        <f>AT173/VLOOKUP(A173,'[48]geoMap (45)'!$A:$B,2,0)*VLOOKUP(A173,'[48]geoMap (45)'!$A:$C,3,0)</f>
        <v>#REF!</v>
      </c>
      <c r="AV173" s="1" t="e">
        <f>AU173/VLOOKUP(A173,'[49]geoMap (46)'!$A:$B,2,0)*VLOOKUP(A173,'[49]geoMap (46)'!$A:$C,3,0)</f>
        <v>#REF!</v>
      </c>
      <c r="AW173" s="1" t="e">
        <f>AV173/VLOOKUP(A173,'[50]geoMap (47)'!$A:$B,2,0)*VLOOKUP(A173,'[50]geoMap (47)'!$A:$C,3,0)</f>
        <v>#REF!</v>
      </c>
      <c r="AX173" s="1" t="e">
        <f>AW173/VLOOKUP(A173,'[51]geoMap (48)'!$A:$B,2,0)*VLOOKUP(A173,'[51]geoMap (48)'!$A:$C,3,0)</f>
        <v>#REF!</v>
      </c>
      <c r="AY173" s="1" t="e">
        <f>AX173/VLOOKUP(A173,'[52]geoMap (49)'!$A:$B,2,0)*VLOOKUP(A173,'[52]geoMap (49)'!$A:$C,3,0)</f>
        <v>#REF!</v>
      </c>
      <c r="AZ173" s="1" t="e">
        <f>AY173/VLOOKUP(A173,'[53]geoMap (50)'!$A:$B,2,0)*VLOOKUP(A173,'[53]geoMap (50)'!$A:$C,3,0)</f>
        <v>#REF!</v>
      </c>
      <c r="BA173" s="1" t="e">
        <f>AZ173/VLOOKUP(A173,'[54]geoMap (51)'!$A:$B,2,0)*VLOOKUP(A173,'[54]geoMap (51)'!$A:$C,3,0)</f>
        <v>#REF!</v>
      </c>
      <c r="BB173" s="1" t="e">
        <f>BA173/VLOOKUP(A173,'[55]geoMap (52)'!$A:$B,2,0)*VLOOKUP(A173,'[55]geoMap (52)'!$A:$C,3,0)</f>
        <v>#REF!</v>
      </c>
      <c r="BC173" s="1" t="e">
        <f>BB173/VLOOKUP(A173,'[56]geoMap (53)'!$A:$B,2,0)*VLOOKUP(A173,'[56]geoMap (53)'!$A:$C,3,0)</f>
        <v>#REF!</v>
      </c>
      <c r="BD173" s="1" t="e">
        <f>BC173/VLOOKUP(A173,'[57]geoMap (54)'!$A:$B,2,0)*VLOOKUP(A173,'[57]geoMap (54)'!$A:$C,3,0)</f>
        <v>#REF!</v>
      </c>
      <c r="BE173" s="1" t="e">
        <f>BD173/VLOOKUP(A173,'[58]geoMap (55)'!$A:$B,2,0)*VLOOKUP(A173,'[58]geoMap (55)'!$A:$C,3,0)</f>
        <v>#REF!</v>
      </c>
      <c r="BF173" s="1" t="e">
        <f>BE173/VLOOKUP(A173,'[59]geoMap (56)'!$A:$B,2,0)*VLOOKUP(A173,'[59]geoMap (56)'!$A:$C,3,0)</f>
        <v>#REF!</v>
      </c>
      <c r="BG173" s="1" t="e">
        <f>BF173/VLOOKUP(A173,'[60]geoMap (57)'!$A:$B,2,0)*VLOOKUP(A173,'[60]geoMap (57)'!$A:$C,3,0)</f>
        <v>#REF!</v>
      </c>
      <c r="BH173" s="1" t="e">
        <f>BG173/VLOOKUP(A173,'[61]geoMap (58)'!$A:$B,2,0)*VLOOKUP(A173,'[61]geoMap (58)'!$A:$C,3,0)</f>
        <v>#REF!</v>
      </c>
      <c r="BI173" s="1" t="e">
        <f>BH173/VLOOKUP(A173,'[62]geoMap (59)'!$A:$B,2,0)*VLOOKUP(A173,'[62]geoMap (59)'!$A:$C,3,0)</f>
        <v>#REF!</v>
      </c>
      <c r="BJ173" s="1" t="e">
        <f>BI173/VLOOKUP(A173,'[63]geoMap (60)'!$A:$B,2,0)*VLOOKUP(A173,'[63]geoMap (60)'!$A:$C,3,0)</f>
        <v>#REF!</v>
      </c>
      <c r="BK173" s="1" t="e">
        <f>BJ173/VLOOKUP(A173,'[64]geoMap (61)'!$A:$B,2,0)*VLOOKUP(A173,'[64]geoMap (61)'!$A:$C,3,0)</f>
        <v>#REF!</v>
      </c>
      <c r="BL173" s="1" t="e">
        <f>BK173/VLOOKUP(A173,'[65]geoMap (62)'!$A:$B,2,0)*VLOOKUP(A173,'[65]geoMap (62)'!$A:$C,3,0)</f>
        <v>#REF!</v>
      </c>
      <c r="BM173" s="1" t="e">
        <f>BL173/VLOOKUP(A173,'[66]geoMap (63)'!$A:$B,2,0)*VLOOKUP(A173,'[66]geoMap (63)'!$A:$C,3,0)</f>
        <v>#REF!</v>
      </c>
      <c r="BN173" s="1" t="e">
        <f>BM173/VLOOKUP(A173,'[67]geoMap (64)'!$A:$B,2,0)*VLOOKUP(A173,'[67]geoMap (64)'!$A:$C,3,0)</f>
        <v>#REF!</v>
      </c>
      <c r="BO173" s="1" t="e">
        <f>BN173/VLOOKUP(A173,'[68]geoMap (65)'!$A:$B,2,0)*VLOOKUP(A173,'[68]geoMap (65)'!$A:$C,3,0)</f>
        <v>#REF!</v>
      </c>
      <c r="BP173" s="1" t="e">
        <f>BO173/VLOOKUP(A173,'[69]geoMap (66)'!$A:$B,2,0)*VLOOKUP(A173,'[69]geoMap (66)'!$A:$C,3,0)</f>
        <v>#REF!</v>
      </c>
    </row>
    <row r="174" spans="1:68" hidden="1" x14ac:dyDescent="0.2">
      <c r="A174" s="1" t="s">
        <v>172</v>
      </c>
      <c r="B174" s="1" t="e">
        <f>VLOOKUP(A174,[3]geoMap!$A:$B,2,0)*Notes!$C$6</f>
        <v>#REF!</v>
      </c>
      <c r="C174" s="1" t="e">
        <f>B174/VLOOKUP(A174,'[4]geoMap (1)'!$A:$B,2,0)*VLOOKUP(A174,'[4]geoMap (1)'!$A:$C,3,0)</f>
        <v>#REF!</v>
      </c>
      <c r="D174" s="1" t="e">
        <f>C174/VLOOKUP(A174,'[5]geoMap (2)'!$A:$B,2,0)*VLOOKUP(A174,'[5]geoMap (2)'!$A:$C,3,0)</f>
        <v>#REF!</v>
      </c>
      <c r="E174" s="1" t="e">
        <f>D174/VLOOKUP(A174,'[6]geoMap (3)'!$A:$B,2,0)*VLOOKUP(A174,'[6]geoMap (3)'!$A:$C,3,0)</f>
        <v>#REF!</v>
      </c>
      <c r="F174" s="1" t="e">
        <f>E174/VLOOKUP(A174,'[7]geoMap (4)'!$A:$B,2,0)*VLOOKUP(A174,'[7]geoMap (4)'!$A:$C,3,0)</f>
        <v>#REF!</v>
      </c>
      <c r="G174" s="1" t="e">
        <f>F174/VLOOKUP(A174,'[8]geoMap (5)'!$A:$B,2,0)*VLOOKUP(A174,'[8]geoMap (5)'!$A:$C,3,0)</f>
        <v>#REF!</v>
      </c>
      <c r="H174" s="1" t="e">
        <f>G174/VLOOKUP(A174,'[9]geoMap (6)'!$A:$B,2,0)*VLOOKUP(A174,'[9]geoMap (6)'!$A:$C,3,0)</f>
        <v>#REF!</v>
      </c>
      <c r="I174" s="1" t="e">
        <f>H174/VLOOKUP(A174,'[10]geoMap (7)'!$A:$B,2,0)*VLOOKUP(A174,'[10]geoMap (7)'!$A:$C,3,0)</f>
        <v>#REF!</v>
      </c>
      <c r="J174" s="1" t="e">
        <f>I174/VLOOKUP(A174,'[11]geoMap (8)'!$A:$B,2,0)*VLOOKUP(A174,'[11]geoMap (8)'!$A:$C,3,0)</f>
        <v>#REF!</v>
      </c>
      <c r="K174" s="1" t="e">
        <f>J174/VLOOKUP(A174,'[12]geoMap (9)'!$A:$B,2,0)*VLOOKUP(A174,'[12]geoMap (9)'!$A:$C,3,0)</f>
        <v>#REF!</v>
      </c>
      <c r="L174" s="1" t="e">
        <f>K174/VLOOKUP(A174,'[13]geoMap (10)'!$A:$B,2,0)*VLOOKUP(A174,'[13]geoMap (10)'!$A:$C,3,0)</f>
        <v>#REF!</v>
      </c>
      <c r="M174" s="1" t="e">
        <f>L174/VLOOKUP(A174,'[14]geoMap (11)'!$A:$B,2,0)*VLOOKUP(A174,'[14]geoMap (11)'!$A:$C,3,0)</f>
        <v>#REF!</v>
      </c>
      <c r="N174" s="1" t="e">
        <f>M174/VLOOKUP(A174,'[15]geoMap (12)'!$A:$B,2,0)*VLOOKUP(A174,'[15]geoMap (12)'!$A:$C,3,0)</f>
        <v>#REF!</v>
      </c>
      <c r="O174" s="1" t="e">
        <f>N174/VLOOKUP(A174,'[16]geoMap (13)'!$A:$B,2,0)*VLOOKUP(A174,'[16]geoMap (13)'!$A:$C,3,0)</f>
        <v>#REF!</v>
      </c>
      <c r="P174" s="1" t="e">
        <f>O174/VLOOKUP(A174,'[17]geoMap (14)'!$A:$B,2,0)*VLOOKUP(A174,'[17]geoMap (14)'!$A:$C,3,0)</f>
        <v>#REF!</v>
      </c>
      <c r="Q174" s="1" t="e">
        <f>P174/VLOOKUP(A174,'[18]geoMap (15)'!$A:$B,2,0)*VLOOKUP(A174,'[18]geoMap (15)'!$A:$C,3,0)</f>
        <v>#REF!</v>
      </c>
      <c r="R174" s="1" t="e">
        <f>Q174/VLOOKUP(A174,'[19]geoMap (16)'!$A:$B,2,0)*VLOOKUP(A174,'[19]geoMap (16)'!$A:$C,3,0)</f>
        <v>#REF!</v>
      </c>
      <c r="S174" s="1" t="e">
        <f>R174/VLOOKUP(A174,'[20]geoMap (17)'!$A:$B,2,0)*VLOOKUP(A174,'[20]geoMap (17)'!$A:$C,3,0)</f>
        <v>#REF!</v>
      </c>
      <c r="T174" s="1" t="e">
        <f>S174/VLOOKUP(A174,'[21]geoMap (18)'!$A:$B,2,0)*VLOOKUP(A174,'[21]geoMap (18)'!$A:$C,3,0)</f>
        <v>#REF!</v>
      </c>
      <c r="U174" s="1" t="e">
        <f>T174/VLOOKUP(A174,'[22]geoMap (19)'!$A:$B,2,0)*VLOOKUP(A174,'[22]geoMap (19)'!$A:$C,3,0)</f>
        <v>#REF!</v>
      </c>
      <c r="V174" s="1" t="e">
        <f>U174/VLOOKUP(A174,'[23]geoMap (20)'!$A:$B,2,0)*VLOOKUP(A174,'[23]geoMap (20)'!$A:$C,3,0)</f>
        <v>#REF!</v>
      </c>
      <c r="W174" s="1" t="e">
        <f>V174/VLOOKUP(A174,'[24]geoMap (21)'!$A:$B,2,0)*VLOOKUP(A174,'[24]geoMap (21)'!$A:$C,3,0)</f>
        <v>#REF!</v>
      </c>
      <c r="X174" s="1" t="e">
        <f>W174/VLOOKUP(A174,'[25]geoMap (22)'!$A:$B,2,0)*VLOOKUP(A174,'[25]geoMap (22)'!$A:$C,3,0)</f>
        <v>#REF!</v>
      </c>
      <c r="Y174" s="1" t="e">
        <f>X174/VLOOKUP(A174,'[26]geoMap (23)'!$A:$B,2,0)*VLOOKUP(A174,'[26]geoMap (23)'!$A:$C,3,0)</f>
        <v>#REF!</v>
      </c>
      <c r="Z174" s="1" t="e">
        <f>Y174/VLOOKUP(A174,'[27]geoMap (24)'!$A:$B,2,0)*VLOOKUP(A174,'[27]geoMap (24)'!$A:$C,3,0)</f>
        <v>#REF!</v>
      </c>
      <c r="AA174" s="1" t="e">
        <f>Z174/VLOOKUP(A174,'[28]geoMap (25)'!$A:$B,2,0)*VLOOKUP(A174,'[28]geoMap (25)'!$A:$C,3,0)</f>
        <v>#REF!</v>
      </c>
      <c r="AB174" s="1" t="e">
        <f>AA174*VLOOKUP(A174,'[29]geoMap (26)'!$A:$B,2,0)*VLOOKUP(A174,'[29]geoMap (26)'!$A:$C,3,0)</f>
        <v>#REF!</v>
      </c>
      <c r="AC174" s="1" t="e">
        <f>AB174/VLOOKUP(A174,'[30]geoMap (27)'!$A:$B,2,0)*VLOOKUP(A174,'[30]geoMap (27)'!$A:$C,3,0)</f>
        <v>#REF!</v>
      </c>
      <c r="AD174" s="1" t="e">
        <f>AC174/VLOOKUP(A174,'[31]geoMap (28)'!$A:$B,2,0)*VLOOKUP(A174,'[31]geoMap (28)'!$A:$C,3,0)</f>
        <v>#REF!</v>
      </c>
      <c r="AE174" s="1" t="e">
        <f>AD174/VLOOKUP(A174,'[32]geoMap (29)'!$A:$B,2,0)*VLOOKUP(A174,'[32]geoMap (29)'!$A:$C,3,0)</f>
        <v>#REF!</v>
      </c>
      <c r="AF174" s="1" t="e">
        <f>AE174/VLOOKUP(A174,'[33]geoMap (30)'!$A:$B,2,0)*VLOOKUP(A174,'[33]geoMap (30)'!$A:$C,3,0)</f>
        <v>#REF!</v>
      </c>
      <c r="AG174" s="1" t="e">
        <f>AF174/VLOOKUP(A174,'[34]geoMap (31)'!$A:$B,2,0)*VLOOKUP(A174,'[34]geoMap (31)'!$A:$C,3,0)</f>
        <v>#REF!</v>
      </c>
      <c r="AH174" s="1" t="e">
        <f>AG174/VLOOKUP(A174,'[35]geoMap (32)'!$A:$B,2,0)*VLOOKUP(A174,'[35]geoMap (32)'!$A:$C,3,0)</f>
        <v>#REF!</v>
      </c>
      <c r="AI174" s="1" t="e">
        <f>AH174/VLOOKUP(A174,'[36]geoMap (33)'!$A:$B,2,0)*VLOOKUP(A174,'[36]geoMap (33)'!$A:$C,3,0)</f>
        <v>#REF!</v>
      </c>
      <c r="AJ174" s="1" t="e">
        <f>AI174/VLOOKUP(A174,'[37]geoMap (34)'!$A:$B,2,0)*VLOOKUP(A174,'[37]geoMap (34)'!$A:$C,3,0)</f>
        <v>#REF!</v>
      </c>
      <c r="AK174" s="1" t="e">
        <f>AJ174/VLOOKUP(A174,'[38]geoMap (35)'!$A:$B,2,0)*VLOOKUP(A174,'[38]geoMap (35)'!$A:$C,3,0)</f>
        <v>#REF!</v>
      </c>
      <c r="AL174" s="1" t="e">
        <f>AK174/VLOOKUP(A174,'[39]geoMap (36)'!$A:$B,2,0)*VLOOKUP(A174,'[39]geoMap (36)'!$A:$C,3,0)</f>
        <v>#REF!</v>
      </c>
      <c r="AM174" s="1" t="e">
        <f>AL174/VLOOKUP(A174,'[40]geoMap (37)'!$A:$B,2,0)*VLOOKUP(A174,'[40]geoMap (37)'!$A:$C,3,0)</f>
        <v>#REF!</v>
      </c>
      <c r="AN174" s="1" t="e">
        <f>AM174/VLOOKUP(A174,'[41]geoMap (38)'!$A:$B,2,0)*VLOOKUP(A174,'[41]geoMap (38)'!$A:$C,3,0)</f>
        <v>#REF!</v>
      </c>
      <c r="AO174" s="1" t="e">
        <f>AN174/VLOOKUP(A174,'[42]geoMap (39)'!$A:$B,2,0)*VLOOKUP(A174,'[42]geoMap (39)'!$A:$C,3,0)</f>
        <v>#REF!</v>
      </c>
      <c r="AP174" s="1" t="e">
        <f>AO174/VLOOKUP(A174,'[43]geoMap (40)'!$A:$B,2,0)*VLOOKUP(A174,'[43]geoMap (40)'!$A:$C,3,0)</f>
        <v>#REF!</v>
      </c>
      <c r="AQ174" s="1" t="e">
        <f>AP174/VLOOKUP(A174,'[44]geoMap (41)'!$A:$B,2,0)*VLOOKUP(A174,'[44]geoMap (41)'!$A:$C,3,0)</f>
        <v>#REF!</v>
      </c>
      <c r="AR174" s="1" t="e">
        <f>AQ174/VLOOKUP(A174,'[45]geoMap (42)'!$A:$B,2,0)*VLOOKUP(A174,'[45]geoMap (42)'!$A:$C,3,0)</f>
        <v>#REF!</v>
      </c>
      <c r="AS174" s="1" t="e">
        <f>AR174/VLOOKUP(A174,'[46]geoMap (43)'!$A:$B,2,0)*VLOOKUP(A174,'[46]geoMap (43)'!$A:$C,3,0)</f>
        <v>#REF!</v>
      </c>
      <c r="AT174" s="1" t="e">
        <f>AS174/VLOOKUP(A174,'[47]geoMap (44)'!$A:$B,2,0)*VLOOKUP(A174,'[47]geoMap (44)'!$A:$C,3,0)</f>
        <v>#REF!</v>
      </c>
      <c r="AU174" s="1" t="e">
        <f>AT174/VLOOKUP(A174,'[48]geoMap (45)'!$A:$B,2,0)*VLOOKUP(A174,'[48]geoMap (45)'!$A:$C,3,0)</f>
        <v>#REF!</v>
      </c>
      <c r="AV174" s="1" t="e">
        <f>AU174/VLOOKUP(A174,'[49]geoMap (46)'!$A:$B,2,0)*VLOOKUP(A174,'[49]geoMap (46)'!$A:$C,3,0)</f>
        <v>#REF!</v>
      </c>
      <c r="AW174" s="1" t="e">
        <f>AV174/VLOOKUP(A174,'[50]geoMap (47)'!$A:$B,2,0)*VLOOKUP(A174,'[50]geoMap (47)'!$A:$C,3,0)</f>
        <v>#REF!</v>
      </c>
      <c r="AX174" s="1" t="e">
        <f>AW174/VLOOKUP(A174,'[51]geoMap (48)'!$A:$B,2,0)*VLOOKUP(A174,'[51]geoMap (48)'!$A:$C,3,0)</f>
        <v>#REF!</v>
      </c>
      <c r="AY174" s="1" t="e">
        <f>AX174/VLOOKUP(A174,'[52]geoMap (49)'!$A:$B,2,0)*VLOOKUP(A174,'[52]geoMap (49)'!$A:$C,3,0)</f>
        <v>#REF!</v>
      </c>
      <c r="AZ174" s="1" t="e">
        <f>AY174/VLOOKUP(A174,'[53]geoMap (50)'!$A:$B,2,0)*VLOOKUP(A174,'[53]geoMap (50)'!$A:$C,3,0)</f>
        <v>#REF!</v>
      </c>
      <c r="BA174" s="1" t="e">
        <f>AZ174/VLOOKUP(A174,'[54]geoMap (51)'!$A:$B,2,0)*VLOOKUP(A174,'[54]geoMap (51)'!$A:$C,3,0)</f>
        <v>#REF!</v>
      </c>
      <c r="BB174" s="1" t="e">
        <f>BA174/VLOOKUP(A174,'[55]geoMap (52)'!$A:$B,2,0)*VLOOKUP(A174,'[55]geoMap (52)'!$A:$C,3,0)</f>
        <v>#REF!</v>
      </c>
      <c r="BC174" s="1" t="e">
        <f>BB174/VLOOKUP(A174,'[56]geoMap (53)'!$A:$B,2,0)*VLOOKUP(A174,'[56]geoMap (53)'!$A:$C,3,0)</f>
        <v>#REF!</v>
      </c>
      <c r="BD174" s="1" t="e">
        <f>BC174/VLOOKUP(A174,'[57]geoMap (54)'!$A:$B,2,0)*VLOOKUP(A174,'[57]geoMap (54)'!$A:$C,3,0)</f>
        <v>#REF!</v>
      </c>
      <c r="BE174" s="1" t="e">
        <f>BD174/VLOOKUP(A174,'[58]geoMap (55)'!$A:$B,2,0)*VLOOKUP(A174,'[58]geoMap (55)'!$A:$C,3,0)</f>
        <v>#REF!</v>
      </c>
      <c r="BF174" s="1" t="e">
        <f>BE174/VLOOKUP(A174,'[59]geoMap (56)'!$A:$B,2,0)*VLOOKUP(A174,'[59]geoMap (56)'!$A:$C,3,0)</f>
        <v>#REF!</v>
      </c>
      <c r="BG174" s="1" t="e">
        <f>BF174/VLOOKUP(A174,'[60]geoMap (57)'!$A:$B,2,0)*VLOOKUP(A174,'[60]geoMap (57)'!$A:$C,3,0)</f>
        <v>#REF!</v>
      </c>
      <c r="BH174" s="1" t="e">
        <f>BG174/VLOOKUP(A174,'[61]geoMap (58)'!$A:$B,2,0)*VLOOKUP(A174,'[61]geoMap (58)'!$A:$C,3,0)</f>
        <v>#REF!</v>
      </c>
      <c r="BI174" s="1" t="e">
        <f>BH174/VLOOKUP(A174,'[62]geoMap (59)'!$A:$B,2,0)*VLOOKUP(A174,'[62]geoMap (59)'!$A:$C,3,0)</f>
        <v>#REF!</v>
      </c>
      <c r="BJ174" s="1" t="e">
        <f>BI174/VLOOKUP(A174,'[63]geoMap (60)'!$A:$B,2,0)*VLOOKUP(A174,'[63]geoMap (60)'!$A:$C,3,0)</f>
        <v>#REF!</v>
      </c>
      <c r="BK174" s="1" t="e">
        <f>BJ174/VLOOKUP(A174,'[64]geoMap (61)'!$A:$B,2,0)*VLOOKUP(A174,'[64]geoMap (61)'!$A:$C,3,0)</f>
        <v>#REF!</v>
      </c>
      <c r="BL174" s="1" t="e">
        <f>BK174/VLOOKUP(A174,'[65]geoMap (62)'!$A:$B,2,0)*VLOOKUP(A174,'[65]geoMap (62)'!$A:$C,3,0)</f>
        <v>#REF!</v>
      </c>
      <c r="BM174" s="1" t="e">
        <f>BL174/VLOOKUP(A174,'[66]geoMap (63)'!$A:$B,2,0)*VLOOKUP(A174,'[66]geoMap (63)'!$A:$C,3,0)</f>
        <v>#REF!</v>
      </c>
      <c r="BN174" s="1" t="e">
        <f>BM174/VLOOKUP(A174,'[67]geoMap (64)'!$A:$B,2,0)*VLOOKUP(A174,'[67]geoMap (64)'!$A:$C,3,0)</f>
        <v>#REF!</v>
      </c>
      <c r="BO174" s="1" t="e">
        <f>BN174/VLOOKUP(A174,'[68]geoMap (65)'!$A:$B,2,0)*VLOOKUP(A174,'[68]geoMap (65)'!$A:$C,3,0)</f>
        <v>#REF!</v>
      </c>
      <c r="BP174" s="1" t="e">
        <f>BO174/VLOOKUP(A174,'[69]geoMap (66)'!$A:$B,2,0)*VLOOKUP(A174,'[69]geoMap (66)'!$A:$C,3,0)</f>
        <v>#REF!</v>
      </c>
    </row>
    <row r="175" spans="1:68" hidden="1" x14ac:dyDescent="0.2">
      <c r="A175" s="1" t="s">
        <v>173</v>
      </c>
      <c r="B175" s="1" t="e">
        <f>VLOOKUP(A175,[3]geoMap!$A:$B,2,0)*Notes!$C$6</f>
        <v>#REF!</v>
      </c>
      <c r="C175" s="1" t="e">
        <f>B175/VLOOKUP(A175,'[4]geoMap (1)'!$A:$B,2,0)*VLOOKUP(A175,'[4]geoMap (1)'!$A:$C,3,0)</f>
        <v>#REF!</v>
      </c>
      <c r="D175" s="1" t="e">
        <f>C175/VLOOKUP(A175,'[5]geoMap (2)'!$A:$B,2,0)*VLOOKUP(A175,'[5]geoMap (2)'!$A:$C,3,0)</f>
        <v>#REF!</v>
      </c>
      <c r="E175" s="1" t="e">
        <f>D175/VLOOKUP(A175,'[6]geoMap (3)'!$A:$B,2,0)*VLOOKUP(A175,'[6]geoMap (3)'!$A:$C,3,0)</f>
        <v>#REF!</v>
      </c>
      <c r="F175" s="1" t="e">
        <f>E175/VLOOKUP(A175,'[7]geoMap (4)'!$A:$B,2,0)*VLOOKUP(A175,'[7]geoMap (4)'!$A:$C,3,0)</f>
        <v>#REF!</v>
      </c>
      <c r="G175" s="1" t="e">
        <f>F175/VLOOKUP(A175,'[8]geoMap (5)'!$A:$B,2,0)*VLOOKUP(A175,'[8]geoMap (5)'!$A:$C,3,0)</f>
        <v>#REF!</v>
      </c>
      <c r="H175" s="1" t="e">
        <f>G175/VLOOKUP(A175,'[9]geoMap (6)'!$A:$B,2,0)*VLOOKUP(A175,'[9]geoMap (6)'!$A:$C,3,0)</f>
        <v>#REF!</v>
      </c>
      <c r="I175" s="1" t="e">
        <f>H175/VLOOKUP(A175,'[10]geoMap (7)'!$A:$B,2,0)*VLOOKUP(A175,'[10]geoMap (7)'!$A:$C,3,0)</f>
        <v>#REF!</v>
      </c>
      <c r="J175" s="1" t="e">
        <f>I175/VLOOKUP(A175,'[11]geoMap (8)'!$A:$B,2,0)*VLOOKUP(A175,'[11]geoMap (8)'!$A:$C,3,0)</f>
        <v>#REF!</v>
      </c>
      <c r="K175" s="1" t="e">
        <f>J175/VLOOKUP(A175,'[12]geoMap (9)'!$A:$B,2,0)*VLOOKUP(A175,'[12]geoMap (9)'!$A:$C,3,0)</f>
        <v>#REF!</v>
      </c>
      <c r="L175" s="1" t="e">
        <f>K175/VLOOKUP(A175,'[13]geoMap (10)'!$A:$B,2,0)*VLOOKUP(A175,'[13]geoMap (10)'!$A:$C,3,0)</f>
        <v>#REF!</v>
      </c>
      <c r="M175" s="1" t="e">
        <f>L175/VLOOKUP(A175,'[14]geoMap (11)'!$A:$B,2,0)*VLOOKUP(A175,'[14]geoMap (11)'!$A:$C,3,0)</f>
        <v>#REF!</v>
      </c>
      <c r="N175" s="1" t="e">
        <f>M175/VLOOKUP(A175,'[15]geoMap (12)'!$A:$B,2,0)*VLOOKUP(A175,'[15]geoMap (12)'!$A:$C,3,0)</f>
        <v>#REF!</v>
      </c>
      <c r="O175" s="1" t="e">
        <f>N175/VLOOKUP(A175,'[16]geoMap (13)'!$A:$B,2,0)*VLOOKUP(A175,'[16]geoMap (13)'!$A:$C,3,0)</f>
        <v>#REF!</v>
      </c>
      <c r="P175" s="1" t="e">
        <f>O175/VLOOKUP(A175,'[17]geoMap (14)'!$A:$B,2,0)*VLOOKUP(A175,'[17]geoMap (14)'!$A:$C,3,0)</f>
        <v>#REF!</v>
      </c>
      <c r="Q175" s="1" t="e">
        <f>P175/VLOOKUP(A175,'[18]geoMap (15)'!$A:$B,2,0)*VLOOKUP(A175,'[18]geoMap (15)'!$A:$C,3,0)</f>
        <v>#REF!</v>
      </c>
      <c r="R175" s="1" t="e">
        <f>Q175/VLOOKUP(A175,'[19]geoMap (16)'!$A:$B,2,0)*VLOOKUP(A175,'[19]geoMap (16)'!$A:$C,3,0)</f>
        <v>#REF!</v>
      </c>
      <c r="S175" s="1" t="e">
        <f>R175/VLOOKUP(A175,'[20]geoMap (17)'!$A:$B,2,0)*VLOOKUP(A175,'[20]geoMap (17)'!$A:$C,3,0)</f>
        <v>#REF!</v>
      </c>
      <c r="T175" s="1" t="e">
        <f>S175/VLOOKUP(A175,'[21]geoMap (18)'!$A:$B,2,0)*VLOOKUP(A175,'[21]geoMap (18)'!$A:$C,3,0)</f>
        <v>#REF!</v>
      </c>
      <c r="U175" s="1" t="e">
        <f>T175/VLOOKUP(A175,'[22]geoMap (19)'!$A:$B,2,0)*VLOOKUP(A175,'[22]geoMap (19)'!$A:$C,3,0)</f>
        <v>#REF!</v>
      </c>
      <c r="V175" s="1" t="e">
        <f>U175/VLOOKUP(A175,'[23]geoMap (20)'!$A:$B,2,0)*VLOOKUP(A175,'[23]geoMap (20)'!$A:$C,3,0)</f>
        <v>#REF!</v>
      </c>
      <c r="W175" s="1" t="e">
        <f>V175/VLOOKUP(A175,'[24]geoMap (21)'!$A:$B,2,0)*VLOOKUP(A175,'[24]geoMap (21)'!$A:$C,3,0)</f>
        <v>#REF!</v>
      </c>
      <c r="X175" s="1" t="e">
        <f>W175/VLOOKUP(A175,'[25]geoMap (22)'!$A:$B,2,0)*VLOOKUP(A175,'[25]geoMap (22)'!$A:$C,3,0)</f>
        <v>#REF!</v>
      </c>
      <c r="Y175" s="1" t="e">
        <f>X175/VLOOKUP(A175,'[26]geoMap (23)'!$A:$B,2,0)*VLOOKUP(A175,'[26]geoMap (23)'!$A:$C,3,0)</f>
        <v>#REF!</v>
      </c>
      <c r="Z175" s="1" t="e">
        <f>Y175/VLOOKUP(A175,'[27]geoMap (24)'!$A:$B,2,0)*VLOOKUP(A175,'[27]geoMap (24)'!$A:$C,3,0)</f>
        <v>#REF!</v>
      </c>
      <c r="AA175" s="1" t="e">
        <f>Z175/VLOOKUP(A175,'[28]geoMap (25)'!$A:$B,2,0)*VLOOKUP(A175,'[28]geoMap (25)'!$A:$C,3,0)</f>
        <v>#REF!</v>
      </c>
      <c r="AB175" s="1" t="e">
        <f>AA175*VLOOKUP(A175,'[29]geoMap (26)'!$A:$B,2,0)*VLOOKUP(A175,'[29]geoMap (26)'!$A:$C,3,0)</f>
        <v>#REF!</v>
      </c>
      <c r="AC175" s="1" t="e">
        <f>AB175/VLOOKUP(A175,'[30]geoMap (27)'!$A:$B,2,0)*VLOOKUP(A175,'[30]geoMap (27)'!$A:$C,3,0)</f>
        <v>#REF!</v>
      </c>
      <c r="AD175" s="1" t="e">
        <f>AC175/VLOOKUP(A175,'[31]geoMap (28)'!$A:$B,2,0)*VLOOKUP(A175,'[31]geoMap (28)'!$A:$C,3,0)</f>
        <v>#REF!</v>
      </c>
      <c r="AE175" s="1" t="e">
        <f>AD175/VLOOKUP(A175,'[32]geoMap (29)'!$A:$B,2,0)*VLOOKUP(A175,'[32]geoMap (29)'!$A:$C,3,0)</f>
        <v>#REF!</v>
      </c>
      <c r="AF175" s="1" t="e">
        <f>AE175/VLOOKUP(A175,'[33]geoMap (30)'!$A:$B,2,0)*VLOOKUP(A175,'[33]geoMap (30)'!$A:$C,3,0)</f>
        <v>#REF!</v>
      </c>
      <c r="AG175" s="1" t="e">
        <f>AF175/VLOOKUP(A175,'[34]geoMap (31)'!$A:$B,2,0)*VLOOKUP(A175,'[34]geoMap (31)'!$A:$C,3,0)</f>
        <v>#REF!</v>
      </c>
      <c r="AH175" s="1" t="e">
        <f>AG175/VLOOKUP(A175,'[35]geoMap (32)'!$A:$B,2,0)*VLOOKUP(A175,'[35]geoMap (32)'!$A:$C,3,0)</f>
        <v>#REF!</v>
      </c>
      <c r="AI175" s="1" t="e">
        <f>AH175/VLOOKUP(A175,'[36]geoMap (33)'!$A:$B,2,0)*VLOOKUP(A175,'[36]geoMap (33)'!$A:$C,3,0)</f>
        <v>#REF!</v>
      </c>
      <c r="AJ175" s="1" t="e">
        <f>AI175/VLOOKUP(A175,'[37]geoMap (34)'!$A:$B,2,0)*VLOOKUP(A175,'[37]geoMap (34)'!$A:$C,3,0)</f>
        <v>#REF!</v>
      </c>
      <c r="AK175" s="1" t="e">
        <f>AJ175/VLOOKUP(A175,'[38]geoMap (35)'!$A:$B,2,0)*VLOOKUP(A175,'[38]geoMap (35)'!$A:$C,3,0)</f>
        <v>#REF!</v>
      </c>
      <c r="AL175" s="1" t="e">
        <f>AK175/VLOOKUP(A175,'[39]geoMap (36)'!$A:$B,2,0)*VLOOKUP(A175,'[39]geoMap (36)'!$A:$C,3,0)</f>
        <v>#REF!</v>
      </c>
      <c r="AM175" s="1" t="e">
        <f>AL175/VLOOKUP(A175,'[40]geoMap (37)'!$A:$B,2,0)*VLOOKUP(A175,'[40]geoMap (37)'!$A:$C,3,0)</f>
        <v>#REF!</v>
      </c>
      <c r="AN175" s="1" t="e">
        <f>AM175/VLOOKUP(A175,'[41]geoMap (38)'!$A:$B,2,0)*VLOOKUP(A175,'[41]geoMap (38)'!$A:$C,3,0)</f>
        <v>#REF!</v>
      </c>
      <c r="AO175" s="1" t="e">
        <f>AN175/VLOOKUP(A175,'[42]geoMap (39)'!$A:$B,2,0)*VLOOKUP(A175,'[42]geoMap (39)'!$A:$C,3,0)</f>
        <v>#REF!</v>
      </c>
      <c r="AP175" s="1" t="e">
        <f>AO175/VLOOKUP(A175,'[43]geoMap (40)'!$A:$B,2,0)*VLOOKUP(A175,'[43]geoMap (40)'!$A:$C,3,0)</f>
        <v>#REF!</v>
      </c>
      <c r="AQ175" s="1" t="e">
        <f>AP175/VLOOKUP(A175,'[44]geoMap (41)'!$A:$B,2,0)*VLOOKUP(A175,'[44]geoMap (41)'!$A:$C,3,0)</f>
        <v>#REF!</v>
      </c>
      <c r="AR175" s="1" t="e">
        <f>AQ175/VLOOKUP(A175,'[45]geoMap (42)'!$A:$B,2,0)*VLOOKUP(A175,'[45]geoMap (42)'!$A:$C,3,0)</f>
        <v>#REF!</v>
      </c>
      <c r="AS175" s="1" t="e">
        <f>AR175/VLOOKUP(A175,'[46]geoMap (43)'!$A:$B,2,0)*VLOOKUP(A175,'[46]geoMap (43)'!$A:$C,3,0)</f>
        <v>#REF!</v>
      </c>
      <c r="AT175" s="1" t="e">
        <f>AS175/VLOOKUP(A175,'[47]geoMap (44)'!$A:$B,2,0)*VLOOKUP(A175,'[47]geoMap (44)'!$A:$C,3,0)</f>
        <v>#REF!</v>
      </c>
      <c r="AU175" s="1" t="e">
        <f>AT175/VLOOKUP(A175,'[48]geoMap (45)'!$A:$B,2,0)*VLOOKUP(A175,'[48]geoMap (45)'!$A:$C,3,0)</f>
        <v>#REF!</v>
      </c>
      <c r="AV175" s="1" t="e">
        <f>AU175/VLOOKUP(A175,'[49]geoMap (46)'!$A:$B,2,0)*VLOOKUP(A175,'[49]geoMap (46)'!$A:$C,3,0)</f>
        <v>#REF!</v>
      </c>
      <c r="AW175" s="1" t="e">
        <f>AV175/VLOOKUP(A175,'[50]geoMap (47)'!$A:$B,2,0)*VLOOKUP(A175,'[50]geoMap (47)'!$A:$C,3,0)</f>
        <v>#REF!</v>
      </c>
      <c r="AX175" s="1" t="e">
        <f>AW175/VLOOKUP(A175,'[51]geoMap (48)'!$A:$B,2,0)*VLOOKUP(A175,'[51]geoMap (48)'!$A:$C,3,0)</f>
        <v>#REF!</v>
      </c>
      <c r="AY175" s="1" t="e">
        <f>AX175/VLOOKUP(A175,'[52]geoMap (49)'!$A:$B,2,0)*VLOOKUP(A175,'[52]geoMap (49)'!$A:$C,3,0)</f>
        <v>#REF!</v>
      </c>
      <c r="AZ175" s="1" t="e">
        <f>AY175/VLOOKUP(A175,'[53]geoMap (50)'!$A:$B,2,0)*VLOOKUP(A175,'[53]geoMap (50)'!$A:$C,3,0)</f>
        <v>#REF!</v>
      </c>
      <c r="BA175" s="1" t="e">
        <f>AZ175/VLOOKUP(A175,'[54]geoMap (51)'!$A:$B,2,0)*VLOOKUP(A175,'[54]geoMap (51)'!$A:$C,3,0)</f>
        <v>#REF!</v>
      </c>
      <c r="BB175" s="1" t="e">
        <f>BA175/VLOOKUP(A175,'[55]geoMap (52)'!$A:$B,2,0)*VLOOKUP(A175,'[55]geoMap (52)'!$A:$C,3,0)</f>
        <v>#REF!</v>
      </c>
      <c r="BC175" s="1" t="e">
        <f>BB175/VLOOKUP(A175,'[56]geoMap (53)'!$A:$B,2,0)*VLOOKUP(A175,'[56]geoMap (53)'!$A:$C,3,0)</f>
        <v>#REF!</v>
      </c>
      <c r="BD175" s="1" t="e">
        <f>BC175/VLOOKUP(A175,'[57]geoMap (54)'!$A:$B,2,0)*VLOOKUP(A175,'[57]geoMap (54)'!$A:$C,3,0)</f>
        <v>#REF!</v>
      </c>
      <c r="BE175" s="1" t="e">
        <f>BD175/VLOOKUP(A175,'[58]geoMap (55)'!$A:$B,2,0)*VLOOKUP(A175,'[58]geoMap (55)'!$A:$C,3,0)</f>
        <v>#REF!</v>
      </c>
      <c r="BF175" s="1" t="e">
        <f>BE175/VLOOKUP(A175,'[59]geoMap (56)'!$A:$B,2,0)*VLOOKUP(A175,'[59]geoMap (56)'!$A:$C,3,0)</f>
        <v>#REF!</v>
      </c>
      <c r="BG175" s="1" t="e">
        <f>BF175/VLOOKUP(A175,'[60]geoMap (57)'!$A:$B,2,0)*VLOOKUP(A175,'[60]geoMap (57)'!$A:$C,3,0)</f>
        <v>#REF!</v>
      </c>
      <c r="BH175" s="1" t="e">
        <f>BG175/VLOOKUP(A175,'[61]geoMap (58)'!$A:$B,2,0)*VLOOKUP(A175,'[61]geoMap (58)'!$A:$C,3,0)</f>
        <v>#REF!</v>
      </c>
      <c r="BI175" s="1" t="e">
        <f>BH175/VLOOKUP(A175,'[62]geoMap (59)'!$A:$B,2,0)*VLOOKUP(A175,'[62]geoMap (59)'!$A:$C,3,0)</f>
        <v>#REF!</v>
      </c>
      <c r="BJ175" s="1" t="e">
        <f>BI175/VLOOKUP(A175,'[63]geoMap (60)'!$A:$B,2,0)*VLOOKUP(A175,'[63]geoMap (60)'!$A:$C,3,0)</f>
        <v>#REF!</v>
      </c>
      <c r="BK175" s="1" t="e">
        <f>BJ175/VLOOKUP(A175,'[64]geoMap (61)'!$A:$B,2,0)*VLOOKUP(A175,'[64]geoMap (61)'!$A:$C,3,0)</f>
        <v>#REF!</v>
      </c>
      <c r="BL175" s="1" t="e">
        <f>BK175/VLOOKUP(A175,'[65]geoMap (62)'!$A:$B,2,0)*VLOOKUP(A175,'[65]geoMap (62)'!$A:$C,3,0)</f>
        <v>#REF!</v>
      </c>
      <c r="BM175" s="1" t="e">
        <f>BL175/VLOOKUP(A175,'[66]geoMap (63)'!$A:$B,2,0)*VLOOKUP(A175,'[66]geoMap (63)'!$A:$C,3,0)</f>
        <v>#REF!</v>
      </c>
      <c r="BN175" s="1" t="e">
        <f>BM175/VLOOKUP(A175,'[67]geoMap (64)'!$A:$B,2,0)*VLOOKUP(A175,'[67]geoMap (64)'!$A:$C,3,0)</f>
        <v>#REF!</v>
      </c>
      <c r="BO175" s="1" t="e">
        <f>BN175/VLOOKUP(A175,'[68]geoMap (65)'!$A:$B,2,0)*VLOOKUP(A175,'[68]geoMap (65)'!$A:$C,3,0)</f>
        <v>#REF!</v>
      </c>
      <c r="BP175" s="1" t="e">
        <f>BO175/VLOOKUP(A175,'[69]geoMap (66)'!$A:$B,2,0)*VLOOKUP(A175,'[69]geoMap (66)'!$A:$C,3,0)</f>
        <v>#REF!</v>
      </c>
    </row>
    <row r="176" spans="1:68" hidden="1" x14ac:dyDescent="0.2">
      <c r="A176" s="1" t="s">
        <v>174</v>
      </c>
      <c r="B176" s="1" t="e">
        <f>VLOOKUP(A176,[3]geoMap!$A:$B,2,0)*Notes!$C$6</f>
        <v>#REF!</v>
      </c>
      <c r="C176" s="1" t="e">
        <f>B176/VLOOKUP(A176,'[4]geoMap (1)'!$A:$B,2,0)*VLOOKUP(A176,'[4]geoMap (1)'!$A:$C,3,0)</f>
        <v>#REF!</v>
      </c>
      <c r="D176" s="1" t="e">
        <f>C176/VLOOKUP(A176,'[5]geoMap (2)'!$A:$B,2,0)*VLOOKUP(A176,'[5]geoMap (2)'!$A:$C,3,0)</f>
        <v>#REF!</v>
      </c>
      <c r="E176" s="1" t="e">
        <f>D176/VLOOKUP(A176,'[6]geoMap (3)'!$A:$B,2,0)*VLOOKUP(A176,'[6]geoMap (3)'!$A:$C,3,0)</f>
        <v>#REF!</v>
      </c>
      <c r="F176" s="1" t="e">
        <f>E176/VLOOKUP(A176,'[7]geoMap (4)'!$A:$B,2,0)*VLOOKUP(A176,'[7]geoMap (4)'!$A:$C,3,0)</f>
        <v>#REF!</v>
      </c>
      <c r="G176" s="1" t="e">
        <f>F176/VLOOKUP(A176,'[8]geoMap (5)'!$A:$B,2,0)*VLOOKUP(A176,'[8]geoMap (5)'!$A:$C,3,0)</f>
        <v>#REF!</v>
      </c>
      <c r="H176" s="1" t="e">
        <f>G176/VLOOKUP(A176,'[9]geoMap (6)'!$A:$B,2,0)*VLOOKUP(A176,'[9]geoMap (6)'!$A:$C,3,0)</f>
        <v>#REF!</v>
      </c>
      <c r="I176" s="1" t="e">
        <f>H176/VLOOKUP(A176,'[10]geoMap (7)'!$A:$B,2,0)*VLOOKUP(A176,'[10]geoMap (7)'!$A:$C,3,0)</f>
        <v>#REF!</v>
      </c>
      <c r="J176" s="1" t="e">
        <f>I176/VLOOKUP(A176,'[11]geoMap (8)'!$A:$B,2,0)*VLOOKUP(A176,'[11]geoMap (8)'!$A:$C,3,0)</f>
        <v>#REF!</v>
      </c>
      <c r="K176" s="1" t="e">
        <f>J176/VLOOKUP(A176,'[12]geoMap (9)'!$A:$B,2,0)*VLOOKUP(A176,'[12]geoMap (9)'!$A:$C,3,0)</f>
        <v>#REF!</v>
      </c>
      <c r="L176" s="1" t="e">
        <f>K176/VLOOKUP(A176,'[13]geoMap (10)'!$A:$B,2,0)*VLOOKUP(A176,'[13]geoMap (10)'!$A:$C,3,0)</f>
        <v>#REF!</v>
      </c>
      <c r="M176" s="1" t="e">
        <f>L176/VLOOKUP(A176,'[14]geoMap (11)'!$A:$B,2,0)*VLOOKUP(A176,'[14]geoMap (11)'!$A:$C,3,0)</f>
        <v>#REF!</v>
      </c>
      <c r="N176" s="1" t="e">
        <f>M176/VLOOKUP(A176,'[15]geoMap (12)'!$A:$B,2,0)*VLOOKUP(A176,'[15]geoMap (12)'!$A:$C,3,0)</f>
        <v>#REF!</v>
      </c>
      <c r="O176" s="1" t="e">
        <f>N176/VLOOKUP(A176,'[16]geoMap (13)'!$A:$B,2,0)*VLOOKUP(A176,'[16]geoMap (13)'!$A:$C,3,0)</f>
        <v>#REF!</v>
      </c>
      <c r="P176" s="1" t="e">
        <f>O176/VLOOKUP(A176,'[17]geoMap (14)'!$A:$B,2,0)*VLOOKUP(A176,'[17]geoMap (14)'!$A:$C,3,0)</f>
        <v>#REF!</v>
      </c>
      <c r="Q176" s="1" t="e">
        <f>P176/VLOOKUP(A176,'[18]geoMap (15)'!$A:$B,2,0)*VLOOKUP(A176,'[18]geoMap (15)'!$A:$C,3,0)</f>
        <v>#REF!</v>
      </c>
      <c r="R176" s="1" t="e">
        <f>Q176/VLOOKUP(A176,'[19]geoMap (16)'!$A:$B,2,0)*VLOOKUP(A176,'[19]geoMap (16)'!$A:$C,3,0)</f>
        <v>#REF!</v>
      </c>
      <c r="S176" s="1" t="e">
        <f>R176/VLOOKUP(A176,'[20]geoMap (17)'!$A:$B,2,0)*VLOOKUP(A176,'[20]geoMap (17)'!$A:$C,3,0)</f>
        <v>#REF!</v>
      </c>
      <c r="T176" s="1" t="e">
        <f>S176/VLOOKUP(A176,'[21]geoMap (18)'!$A:$B,2,0)*VLOOKUP(A176,'[21]geoMap (18)'!$A:$C,3,0)</f>
        <v>#REF!</v>
      </c>
      <c r="U176" s="1" t="e">
        <f>T176/VLOOKUP(A176,'[22]geoMap (19)'!$A:$B,2,0)*VLOOKUP(A176,'[22]geoMap (19)'!$A:$C,3,0)</f>
        <v>#REF!</v>
      </c>
      <c r="V176" s="1" t="e">
        <f>U176/VLOOKUP(A176,'[23]geoMap (20)'!$A:$B,2,0)*VLOOKUP(A176,'[23]geoMap (20)'!$A:$C,3,0)</f>
        <v>#REF!</v>
      </c>
      <c r="W176" s="1" t="e">
        <f>V176/VLOOKUP(A176,'[24]geoMap (21)'!$A:$B,2,0)*VLOOKUP(A176,'[24]geoMap (21)'!$A:$C,3,0)</f>
        <v>#REF!</v>
      </c>
      <c r="X176" s="1" t="e">
        <f>W176/VLOOKUP(A176,'[25]geoMap (22)'!$A:$B,2,0)*VLOOKUP(A176,'[25]geoMap (22)'!$A:$C,3,0)</f>
        <v>#REF!</v>
      </c>
      <c r="Y176" s="1" t="e">
        <f>X176/VLOOKUP(A176,'[26]geoMap (23)'!$A:$B,2,0)*VLOOKUP(A176,'[26]geoMap (23)'!$A:$C,3,0)</f>
        <v>#REF!</v>
      </c>
      <c r="Z176" s="1" t="e">
        <f>Y176/VLOOKUP(A176,'[27]geoMap (24)'!$A:$B,2,0)*VLOOKUP(A176,'[27]geoMap (24)'!$A:$C,3,0)</f>
        <v>#REF!</v>
      </c>
      <c r="AA176" s="1" t="e">
        <f>Z176/VLOOKUP(A176,'[28]geoMap (25)'!$A:$B,2,0)*VLOOKUP(A176,'[28]geoMap (25)'!$A:$C,3,0)</f>
        <v>#REF!</v>
      </c>
      <c r="AB176" s="1" t="e">
        <f>AA176*VLOOKUP(A176,'[29]geoMap (26)'!$A:$B,2,0)*VLOOKUP(A176,'[29]geoMap (26)'!$A:$C,3,0)</f>
        <v>#REF!</v>
      </c>
      <c r="AC176" s="1" t="e">
        <f>AB176/VLOOKUP(A176,'[30]geoMap (27)'!$A:$B,2,0)*VLOOKUP(A176,'[30]geoMap (27)'!$A:$C,3,0)</f>
        <v>#REF!</v>
      </c>
      <c r="AD176" s="1" t="e">
        <f>AC176/VLOOKUP(A176,'[31]geoMap (28)'!$A:$B,2,0)*VLOOKUP(A176,'[31]geoMap (28)'!$A:$C,3,0)</f>
        <v>#REF!</v>
      </c>
      <c r="AE176" s="1" t="e">
        <f>AD176/VLOOKUP(A176,'[32]geoMap (29)'!$A:$B,2,0)*VLOOKUP(A176,'[32]geoMap (29)'!$A:$C,3,0)</f>
        <v>#REF!</v>
      </c>
      <c r="AF176" s="1" t="e">
        <f>AE176/VLOOKUP(A176,'[33]geoMap (30)'!$A:$B,2,0)*VLOOKUP(A176,'[33]geoMap (30)'!$A:$C,3,0)</f>
        <v>#REF!</v>
      </c>
      <c r="AG176" s="1" t="e">
        <f>AF176/VLOOKUP(A176,'[34]geoMap (31)'!$A:$B,2,0)*VLOOKUP(A176,'[34]geoMap (31)'!$A:$C,3,0)</f>
        <v>#REF!</v>
      </c>
      <c r="AH176" s="1" t="e">
        <f>AG176/VLOOKUP(A176,'[35]geoMap (32)'!$A:$B,2,0)*VLOOKUP(A176,'[35]geoMap (32)'!$A:$C,3,0)</f>
        <v>#REF!</v>
      </c>
      <c r="AI176" s="1" t="e">
        <f>AH176/VLOOKUP(A176,'[36]geoMap (33)'!$A:$B,2,0)*VLOOKUP(A176,'[36]geoMap (33)'!$A:$C,3,0)</f>
        <v>#REF!</v>
      </c>
      <c r="AJ176" s="1" t="e">
        <f>AI176/VLOOKUP(A176,'[37]geoMap (34)'!$A:$B,2,0)*VLOOKUP(A176,'[37]geoMap (34)'!$A:$C,3,0)</f>
        <v>#REF!</v>
      </c>
      <c r="AK176" s="1" t="e">
        <f>AJ176/VLOOKUP(A176,'[38]geoMap (35)'!$A:$B,2,0)*VLOOKUP(A176,'[38]geoMap (35)'!$A:$C,3,0)</f>
        <v>#REF!</v>
      </c>
      <c r="AL176" s="1" t="e">
        <f>AK176/VLOOKUP(A176,'[39]geoMap (36)'!$A:$B,2,0)*VLOOKUP(A176,'[39]geoMap (36)'!$A:$C,3,0)</f>
        <v>#REF!</v>
      </c>
      <c r="AM176" s="1" t="e">
        <f>AL176/VLOOKUP(A176,'[40]geoMap (37)'!$A:$B,2,0)*VLOOKUP(A176,'[40]geoMap (37)'!$A:$C,3,0)</f>
        <v>#REF!</v>
      </c>
      <c r="AN176" s="1" t="e">
        <f>AM176/VLOOKUP(A176,'[41]geoMap (38)'!$A:$B,2,0)*VLOOKUP(A176,'[41]geoMap (38)'!$A:$C,3,0)</f>
        <v>#REF!</v>
      </c>
      <c r="AO176" s="1" t="e">
        <f>AN176/VLOOKUP(A176,'[42]geoMap (39)'!$A:$B,2,0)*VLOOKUP(A176,'[42]geoMap (39)'!$A:$C,3,0)</f>
        <v>#REF!</v>
      </c>
      <c r="AP176" s="1" t="e">
        <f>AO176/VLOOKUP(A176,'[43]geoMap (40)'!$A:$B,2,0)*VLOOKUP(A176,'[43]geoMap (40)'!$A:$C,3,0)</f>
        <v>#REF!</v>
      </c>
      <c r="AQ176" s="1" t="e">
        <f>AP176/VLOOKUP(A176,'[44]geoMap (41)'!$A:$B,2,0)*VLOOKUP(A176,'[44]geoMap (41)'!$A:$C,3,0)</f>
        <v>#REF!</v>
      </c>
      <c r="AR176" s="1" t="e">
        <f>AQ176/VLOOKUP(A176,'[45]geoMap (42)'!$A:$B,2,0)*VLOOKUP(A176,'[45]geoMap (42)'!$A:$C,3,0)</f>
        <v>#REF!</v>
      </c>
      <c r="AS176" s="1" t="e">
        <f>AR176/VLOOKUP(A176,'[46]geoMap (43)'!$A:$B,2,0)*VLOOKUP(A176,'[46]geoMap (43)'!$A:$C,3,0)</f>
        <v>#REF!</v>
      </c>
      <c r="AT176" s="1" t="e">
        <f>AS176/VLOOKUP(A176,'[47]geoMap (44)'!$A:$B,2,0)*VLOOKUP(A176,'[47]geoMap (44)'!$A:$C,3,0)</f>
        <v>#REF!</v>
      </c>
      <c r="AU176" s="1" t="e">
        <f>AT176/VLOOKUP(A176,'[48]geoMap (45)'!$A:$B,2,0)*VLOOKUP(A176,'[48]geoMap (45)'!$A:$C,3,0)</f>
        <v>#REF!</v>
      </c>
      <c r="AV176" s="1" t="e">
        <f>AU176/VLOOKUP(A176,'[49]geoMap (46)'!$A:$B,2,0)*VLOOKUP(A176,'[49]geoMap (46)'!$A:$C,3,0)</f>
        <v>#REF!</v>
      </c>
      <c r="AW176" s="1" t="e">
        <f>AV176/VLOOKUP(A176,'[50]geoMap (47)'!$A:$B,2,0)*VLOOKUP(A176,'[50]geoMap (47)'!$A:$C,3,0)</f>
        <v>#REF!</v>
      </c>
      <c r="AX176" s="1" t="e">
        <f>AW176/VLOOKUP(A176,'[51]geoMap (48)'!$A:$B,2,0)*VLOOKUP(A176,'[51]geoMap (48)'!$A:$C,3,0)</f>
        <v>#REF!</v>
      </c>
      <c r="AY176" s="1" t="e">
        <f>AX176/VLOOKUP(A176,'[52]geoMap (49)'!$A:$B,2,0)*VLOOKUP(A176,'[52]geoMap (49)'!$A:$C,3,0)</f>
        <v>#REF!</v>
      </c>
      <c r="AZ176" s="1" t="e">
        <f>AY176/VLOOKUP(A176,'[53]geoMap (50)'!$A:$B,2,0)*VLOOKUP(A176,'[53]geoMap (50)'!$A:$C,3,0)</f>
        <v>#REF!</v>
      </c>
      <c r="BA176" s="1" t="e">
        <f>AZ176/VLOOKUP(A176,'[54]geoMap (51)'!$A:$B,2,0)*VLOOKUP(A176,'[54]geoMap (51)'!$A:$C,3,0)</f>
        <v>#REF!</v>
      </c>
      <c r="BB176" s="1" t="e">
        <f>BA176/VLOOKUP(A176,'[55]geoMap (52)'!$A:$B,2,0)*VLOOKUP(A176,'[55]geoMap (52)'!$A:$C,3,0)</f>
        <v>#REF!</v>
      </c>
      <c r="BC176" s="1" t="e">
        <f>BB176/VLOOKUP(A176,'[56]geoMap (53)'!$A:$B,2,0)*VLOOKUP(A176,'[56]geoMap (53)'!$A:$C,3,0)</f>
        <v>#REF!</v>
      </c>
      <c r="BD176" s="1" t="e">
        <f>BC176/VLOOKUP(A176,'[57]geoMap (54)'!$A:$B,2,0)*VLOOKUP(A176,'[57]geoMap (54)'!$A:$C,3,0)</f>
        <v>#REF!</v>
      </c>
      <c r="BE176" s="1" t="e">
        <f>BD176/VLOOKUP(A176,'[58]geoMap (55)'!$A:$B,2,0)*VLOOKUP(A176,'[58]geoMap (55)'!$A:$C,3,0)</f>
        <v>#REF!</v>
      </c>
      <c r="BF176" s="1" t="e">
        <f>BE176/VLOOKUP(A176,'[59]geoMap (56)'!$A:$B,2,0)*VLOOKUP(A176,'[59]geoMap (56)'!$A:$C,3,0)</f>
        <v>#REF!</v>
      </c>
      <c r="BG176" s="1" t="e">
        <f>BF176/VLOOKUP(A176,'[60]geoMap (57)'!$A:$B,2,0)*VLOOKUP(A176,'[60]geoMap (57)'!$A:$C,3,0)</f>
        <v>#REF!</v>
      </c>
      <c r="BH176" s="1" t="e">
        <f>BG176/VLOOKUP(A176,'[61]geoMap (58)'!$A:$B,2,0)*VLOOKUP(A176,'[61]geoMap (58)'!$A:$C,3,0)</f>
        <v>#REF!</v>
      </c>
      <c r="BI176" s="1" t="e">
        <f>BH176/VLOOKUP(A176,'[62]geoMap (59)'!$A:$B,2,0)*VLOOKUP(A176,'[62]geoMap (59)'!$A:$C,3,0)</f>
        <v>#REF!</v>
      </c>
      <c r="BJ176" s="1" t="e">
        <f>BI176/VLOOKUP(A176,'[63]geoMap (60)'!$A:$B,2,0)*VLOOKUP(A176,'[63]geoMap (60)'!$A:$C,3,0)</f>
        <v>#REF!</v>
      </c>
      <c r="BK176" s="1" t="e">
        <f>BJ176/VLOOKUP(A176,'[64]geoMap (61)'!$A:$B,2,0)*VLOOKUP(A176,'[64]geoMap (61)'!$A:$C,3,0)</f>
        <v>#REF!</v>
      </c>
      <c r="BL176" s="1" t="e">
        <f>BK176/VLOOKUP(A176,'[65]geoMap (62)'!$A:$B,2,0)*VLOOKUP(A176,'[65]geoMap (62)'!$A:$C,3,0)</f>
        <v>#REF!</v>
      </c>
      <c r="BM176" s="1" t="e">
        <f>BL176/VLOOKUP(A176,'[66]geoMap (63)'!$A:$B,2,0)*VLOOKUP(A176,'[66]geoMap (63)'!$A:$C,3,0)</f>
        <v>#REF!</v>
      </c>
      <c r="BN176" s="1" t="e">
        <f>BM176/VLOOKUP(A176,'[67]geoMap (64)'!$A:$B,2,0)*VLOOKUP(A176,'[67]geoMap (64)'!$A:$C,3,0)</f>
        <v>#REF!</v>
      </c>
      <c r="BO176" s="1" t="e">
        <f>BN176/VLOOKUP(A176,'[68]geoMap (65)'!$A:$B,2,0)*VLOOKUP(A176,'[68]geoMap (65)'!$A:$C,3,0)</f>
        <v>#REF!</v>
      </c>
      <c r="BP176" s="1" t="e">
        <f>BO176/VLOOKUP(A176,'[69]geoMap (66)'!$A:$B,2,0)*VLOOKUP(A176,'[69]geoMap (66)'!$A:$C,3,0)</f>
        <v>#REF!</v>
      </c>
    </row>
    <row r="177" spans="1:68" hidden="1" x14ac:dyDescent="0.2">
      <c r="A177" s="1" t="s">
        <v>175</v>
      </c>
      <c r="B177" s="1" t="e">
        <f>VLOOKUP(A177,[3]geoMap!$A:$B,2,0)*Notes!$C$6</f>
        <v>#REF!</v>
      </c>
      <c r="C177" s="1" t="e">
        <f>B177/VLOOKUP(A177,'[4]geoMap (1)'!$A:$B,2,0)*VLOOKUP(A177,'[4]geoMap (1)'!$A:$C,3,0)</f>
        <v>#REF!</v>
      </c>
      <c r="D177" s="1" t="e">
        <f>C177/VLOOKUP(A177,'[5]geoMap (2)'!$A:$B,2,0)*VLOOKUP(A177,'[5]geoMap (2)'!$A:$C,3,0)</f>
        <v>#REF!</v>
      </c>
      <c r="E177" s="1" t="e">
        <f>D177/VLOOKUP(A177,'[6]geoMap (3)'!$A:$B,2,0)*VLOOKUP(A177,'[6]geoMap (3)'!$A:$C,3,0)</f>
        <v>#REF!</v>
      </c>
      <c r="F177" s="1" t="e">
        <f>E177/VLOOKUP(A177,'[7]geoMap (4)'!$A:$B,2,0)*VLOOKUP(A177,'[7]geoMap (4)'!$A:$C,3,0)</f>
        <v>#REF!</v>
      </c>
      <c r="G177" s="1" t="e">
        <f>F177/VLOOKUP(A177,'[8]geoMap (5)'!$A:$B,2,0)*VLOOKUP(A177,'[8]geoMap (5)'!$A:$C,3,0)</f>
        <v>#REF!</v>
      </c>
      <c r="H177" s="1" t="e">
        <f>G177/VLOOKUP(A177,'[9]geoMap (6)'!$A:$B,2,0)*VLOOKUP(A177,'[9]geoMap (6)'!$A:$C,3,0)</f>
        <v>#REF!</v>
      </c>
      <c r="I177" s="1" t="e">
        <f>H177/VLOOKUP(A177,'[10]geoMap (7)'!$A:$B,2,0)*VLOOKUP(A177,'[10]geoMap (7)'!$A:$C,3,0)</f>
        <v>#REF!</v>
      </c>
      <c r="J177" s="1" t="e">
        <f>I177/VLOOKUP(A177,'[11]geoMap (8)'!$A:$B,2,0)*VLOOKUP(A177,'[11]geoMap (8)'!$A:$C,3,0)</f>
        <v>#REF!</v>
      </c>
      <c r="K177" s="1" t="e">
        <f>J177/VLOOKUP(A177,'[12]geoMap (9)'!$A:$B,2,0)*VLOOKUP(A177,'[12]geoMap (9)'!$A:$C,3,0)</f>
        <v>#REF!</v>
      </c>
      <c r="L177" s="1" t="e">
        <f>K177/VLOOKUP(A177,'[13]geoMap (10)'!$A:$B,2,0)*VLOOKUP(A177,'[13]geoMap (10)'!$A:$C,3,0)</f>
        <v>#REF!</v>
      </c>
      <c r="M177" s="1" t="e">
        <f>L177/VLOOKUP(A177,'[14]geoMap (11)'!$A:$B,2,0)*VLOOKUP(A177,'[14]geoMap (11)'!$A:$C,3,0)</f>
        <v>#REF!</v>
      </c>
      <c r="N177" s="1" t="e">
        <f>M177/VLOOKUP(A177,'[15]geoMap (12)'!$A:$B,2,0)*VLOOKUP(A177,'[15]geoMap (12)'!$A:$C,3,0)</f>
        <v>#REF!</v>
      </c>
      <c r="O177" s="1" t="e">
        <f>N177/VLOOKUP(A177,'[16]geoMap (13)'!$A:$B,2,0)*VLOOKUP(A177,'[16]geoMap (13)'!$A:$C,3,0)</f>
        <v>#REF!</v>
      </c>
      <c r="P177" s="1" t="e">
        <f>O177/VLOOKUP(A177,'[17]geoMap (14)'!$A:$B,2,0)*VLOOKUP(A177,'[17]geoMap (14)'!$A:$C,3,0)</f>
        <v>#REF!</v>
      </c>
      <c r="Q177" s="1" t="e">
        <f>P177/VLOOKUP(A177,'[18]geoMap (15)'!$A:$B,2,0)*VLOOKUP(A177,'[18]geoMap (15)'!$A:$C,3,0)</f>
        <v>#REF!</v>
      </c>
      <c r="R177" s="1" t="e">
        <f>Q177/VLOOKUP(A177,'[19]geoMap (16)'!$A:$B,2,0)*VLOOKUP(A177,'[19]geoMap (16)'!$A:$C,3,0)</f>
        <v>#REF!</v>
      </c>
      <c r="S177" s="1" t="e">
        <f>R177/VLOOKUP(A177,'[20]geoMap (17)'!$A:$B,2,0)*VLOOKUP(A177,'[20]geoMap (17)'!$A:$C,3,0)</f>
        <v>#REF!</v>
      </c>
      <c r="T177" s="1" t="e">
        <f>S177/VLOOKUP(A177,'[21]geoMap (18)'!$A:$B,2,0)*VLOOKUP(A177,'[21]geoMap (18)'!$A:$C,3,0)</f>
        <v>#REF!</v>
      </c>
      <c r="U177" s="1" t="e">
        <f>T177/VLOOKUP(A177,'[22]geoMap (19)'!$A:$B,2,0)*VLOOKUP(A177,'[22]geoMap (19)'!$A:$C,3,0)</f>
        <v>#REF!</v>
      </c>
      <c r="V177" s="1" t="e">
        <f>U177/VLOOKUP(A177,'[23]geoMap (20)'!$A:$B,2,0)*VLOOKUP(A177,'[23]geoMap (20)'!$A:$C,3,0)</f>
        <v>#REF!</v>
      </c>
      <c r="W177" s="1" t="e">
        <f>V177/VLOOKUP(A177,'[24]geoMap (21)'!$A:$B,2,0)*VLOOKUP(A177,'[24]geoMap (21)'!$A:$C,3,0)</f>
        <v>#REF!</v>
      </c>
      <c r="X177" s="1" t="e">
        <f>W177/VLOOKUP(A177,'[25]geoMap (22)'!$A:$B,2,0)*VLOOKUP(A177,'[25]geoMap (22)'!$A:$C,3,0)</f>
        <v>#REF!</v>
      </c>
      <c r="Y177" s="1" t="e">
        <f>X177/VLOOKUP(A177,'[26]geoMap (23)'!$A:$B,2,0)*VLOOKUP(A177,'[26]geoMap (23)'!$A:$C,3,0)</f>
        <v>#REF!</v>
      </c>
      <c r="Z177" s="1" t="e">
        <f>Y177/VLOOKUP(A177,'[27]geoMap (24)'!$A:$B,2,0)*VLOOKUP(A177,'[27]geoMap (24)'!$A:$C,3,0)</f>
        <v>#REF!</v>
      </c>
      <c r="AA177" s="1" t="e">
        <f>Z177/VLOOKUP(A177,'[28]geoMap (25)'!$A:$B,2,0)*VLOOKUP(A177,'[28]geoMap (25)'!$A:$C,3,0)</f>
        <v>#REF!</v>
      </c>
      <c r="AB177" s="1" t="e">
        <f>AA177*VLOOKUP(A177,'[29]geoMap (26)'!$A:$B,2,0)*VLOOKUP(A177,'[29]geoMap (26)'!$A:$C,3,0)</f>
        <v>#REF!</v>
      </c>
      <c r="AC177" s="1" t="e">
        <f>AB177/VLOOKUP(A177,'[30]geoMap (27)'!$A:$B,2,0)*VLOOKUP(A177,'[30]geoMap (27)'!$A:$C,3,0)</f>
        <v>#REF!</v>
      </c>
      <c r="AD177" s="1" t="e">
        <f>AC177/VLOOKUP(A177,'[31]geoMap (28)'!$A:$B,2,0)*VLOOKUP(A177,'[31]geoMap (28)'!$A:$C,3,0)</f>
        <v>#REF!</v>
      </c>
      <c r="AE177" s="1" t="e">
        <f>AD177/VLOOKUP(A177,'[32]geoMap (29)'!$A:$B,2,0)*VLOOKUP(A177,'[32]geoMap (29)'!$A:$C,3,0)</f>
        <v>#REF!</v>
      </c>
      <c r="AF177" s="1" t="e">
        <f>AE177/VLOOKUP(A177,'[33]geoMap (30)'!$A:$B,2,0)*VLOOKUP(A177,'[33]geoMap (30)'!$A:$C,3,0)</f>
        <v>#REF!</v>
      </c>
      <c r="AG177" s="1" t="e">
        <f>AF177/VLOOKUP(A177,'[34]geoMap (31)'!$A:$B,2,0)*VLOOKUP(A177,'[34]geoMap (31)'!$A:$C,3,0)</f>
        <v>#REF!</v>
      </c>
      <c r="AH177" s="1" t="e">
        <f>AG177/VLOOKUP(A177,'[35]geoMap (32)'!$A:$B,2,0)*VLOOKUP(A177,'[35]geoMap (32)'!$A:$C,3,0)</f>
        <v>#REF!</v>
      </c>
      <c r="AI177" s="1" t="e">
        <f>AH177/VLOOKUP(A177,'[36]geoMap (33)'!$A:$B,2,0)*VLOOKUP(A177,'[36]geoMap (33)'!$A:$C,3,0)</f>
        <v>#REF!</v>
      </c>
      <c r="AJ177" s="1" t="e">
        <f>AI177/VLOOKUP(A177,'[37]geoMap (34)'!$A:$B,2,0)*VLOOKUP(A177,'[37]geoMap (34)'!$A:$C,3,0)</f>
        <v>#REF!</v>
      </c>
      <c r="AK177" s="1" t="e">
        <f>AJ177/VLOOKUP(A177,'[38]geoMap (35)'!$A:$B,2,0)*VLOOKUP(A177,'[38]geoMap (35)'!$A:$C,3,0)</f>
        <v>#REF!</v>
      </c>
      <c r="AL177" s="1" t="e">
        <f>AK177/VLOOKUP(A177,'[39]geoMap (36)'!$A:$B,2,0)*VLOOKUP(A177,'[39]geoMap (36)'!$A:$C,3,0)</f>
        <v>#REF!</v>
      </c>
      <c r="AM177" s="1" t="e">
        <f>AL177/VLOOKUP(A177,'[40]geoMap (37)'!$A:$B,2,0)*VLOOKUP(A177,'[40]geoMap (37)'!$A:$C,3,0)</f>
        <v>#REF!</v>
      </c>
      <c r="AN177" s="1" t="e">
        <f>AM177/VLOOKUP(A177,'[41]geoMap (38)'!$A:$B,2,0)*VLOOKUP(A177,'[41]geoMap (38)'!$A:$C,3,0)</f>
        <v>#REF!</v>
      </c>
      <c r="AO177" s="1" t="e">
        <f>AN177/VLOOKUP(A177,'[42]geoMap (39)'!$A:$B,2,0)*VLOOKUP(A177,'[42]geoMap (39)'!$A:$C,3,0)</f>
        <v>#REF!</v>
      </c>
      <c r="AP177" s="1" t="e">
        <f>AO177/VLOOKUP(A177,'[43]geoMap (40)'!$A:$B,2,0)*VLOOKUP(A177,'[43]geoMap (40)'!$A:$C,3,0)</f>
        <v>#REF!</v>
      </c>
      <c r="AQ177" s="1" t="e">
        <f>AP177/VLOOKUP(A177,'[44]geoMap (41)'!$A:$B,2,0)*VLOOKUP(A177,'[44]geoMap (41)'!$A:$C,3,0)</f>
        <v>#REF!</v>
      </c>
      <c r="AR177" s="1" t="e">
        <f>AQ177/VLOOKUP(A177,'[45]geoMap (42)'!$A:$B,2,0)*VLOOKUP(A177,'[45]geoMap (42)'!$A:$C,3,0)</f>
        <v>#REF!</v>
      </c>
      <c r="AS177" s="1" t="e">
        <f>AR177/VLOOKUP(A177,'[46]geoMap (43)'!$A:$B,2,0)*VLOOKUP(A177,'[46]geoMap (43)'!$A:$C,3,0)</f>
        <v>#REF!</v>
      </c>
      <c r="AT177" s="1" t="e">
        <f>AS177/VLOOKUP(A177,'[47]geoMap (44)'!$A:$B,2,0)*VLOOKUP(A177,'[47]geoMap (44)'!$A:$C,3,0)</f>
        <v>#REF!</v>
      </c>
      <c r="AU177" s="1" t="e">
        <f>AT177/VLOOKUP(A177,'[48]geoMap (45)'!$A:$B,2,0)*VLOOKUP(A177,'[48]geoMap (45)'!$A:$C,3,0)</f>
        <v>#REF!</v>
      </c>
      <c r="AV177" s="1" t="e">
        <f>AU177/VLOOKUP(A177,'[49]geoMap (46)'!$A:$B,2,0)*VLOOKUP(A177,'[49]geoMap (46)'!$A:$C,3,0)</f>
        <v>#REF!</v>
      </c>
      <c r="AW177" s="1" t="e">
        <f>AV177/VLOOKUP(A177,'[50]geoMap (47)'!$A:$B,2,0)*VLOOKUP(A177,'[50]geoMap (47)'!$A:$C,3,0)</f>
        <v>#REF!</v>
      </c>
      <c r="AX177" s="1" t="e">
        <f>AW177/VLOOKUP(A177,'[51]geoMap (48)'!$A:$B,2,0)*VLOOKUP(A177,'[51]geoMap (48)'!$A:$C,3,0)</f>
        <v>#REF!</v>
      </c>
      <c r="AY177" s="1" t="e">
        <f>AX177/VLOOKUP(A177,'[52]geoMap (49)'!$A:$B,2,0)*VLOOKUP(A177,'[52]geoMap (49)'!$A:$C,3,0)</f>
        <v>#REF!</v>
      </c>
      <c r="AZ177" s="1" t="e">
        <f>AY177/VLOOKUP(A177,'[53]geoMap (50)'!$A:$B,2,0)*VLOOKUP(A177,'[53]geoMap (50)'!$A:$C,3,0)</f>
        <v>#REF!</v>
      </c>
      <c r="BA177" s="1" t="e">
        <f>AZ177/VLOOKUP(A177,'[54]geoMap (51)'!$A:$B,2,0)*VLOOKUP(A177,'[54]geoMap (51)'!$A:$C,3,0)</f>
        <v>#REF!</v>
      </c>
      <c r="BB177" s="1" t="e">
        <f>BA177/VLOOKUP(A177,'[55]geoMap (52)'!$A:$B,2,0)*VLOOKUP(A177,'[55]geoMap (52)'!$A:$C,3,0)</f>
        <v>#REF!</v>
      </c>
      <c r="BC177" s="1" t="e">
        <f>BB177/VLOOKUP(A177,'[56]geoMap (53)'!$A:$B,2,0)*VLOOKUP(A177,'[56]geoMap (53)'!$A:$C,3,0)</f>
        <v>#REF!</v>
      </c>
      <c r="BD177" s="1" t="e">
        <f>BC177/VLOOKUP(A177,'[57]geoMap (54)'!$A:$B,2,0)*VLOOKUP(A177,'[57]geoMap (54)'!$A:$C,3,0)</f>
        <v>#REF!</v>
      </c>
      <c r="BE177" s="1" t="e">
        <f>BD177/VLOOKUP(A177,'[58]geoMap (55)'!$A:$B,2,0)*VLOOKUP(A177,'[58]geoMap (55)'!$A:$C,3,0)</f>
        <v>#REF!</v>
      </c>
      <c r="BF177" s="1" t="e">
        <f>BE177/VLOOKUP(A177,'[59]geoMap (56)'!$A:$B,2,0)*VLOOKUP(A177,'[59]geoMap (56)'!$A:$C,3,0)</f>
        <v>#REF!</v>
      </c>
      <c r="BG177" s="1" t="e">
        <f>BF177/VLOOKUP(A177,'[60]geoMap (57)'!$A:$B,2,0)*VLOOKUP(A177,'[60]geoMap (57)'!$A:$C,3,0)</f>
        <v>#REF!</v>
      </c>
      <c r="BH177" s="1" t="e">
        <f>BG177/VLOOKUP(A177,'[61]geoMap (58)'!$A:$B,2,0)*VLOOKUP(A177,'[61]geoMap (58)'!$A:$C,3,0)</f>
        <v>#REF!</v>
      </c>
      <c r="BI177" s="1" t="e">
        <f>BH177/VLOOKUP(A177,'[62]geoMap (59)'!$A:$B,2,0)*VLOOKUP(A177,'[62]geoMap (59)'!$A:$C,3,0)</f>
        <v>#REF!</v>
      </c>
      <c r="BJ177" s="1" t="e">
        <f>BI177/VLOOKUP(A177,'[63]geoMap (60)'!$A:$B,2,0)*VLOOKUP(A177,'[63]geoMap (60)'!$A:$C,3,0)</f>
        <v>#REF!</v>
      </c>
      <c r="BK177" s="1" t="e">
        <f>BJ177/VLOOKUP(A177,'[64]geoMap (61)'!$A:$B,2,0)*VLOOKUP(A177,'[64]geoMap (61)'!$A:$C,3,0)</f>
        <v>#REF!</v>
      </c>
      <c r="BL177" s="1" t="e">
        <f>BK177/VLOOKUP(A177,'[65]geoMap (62)'!$A:$B,2,0)*VLOOKUP(A177,'[65]geoMap (62)'!$A:$C,3,0)</f>
        <v>#REF!</v>
      </c>
      <c r="BM177" s="1" t="e">
        <f>BL177/VLOOKUP(A177,'[66]geoMap (63)'!$A:$B,2,0)*VLOOKUP(A177,'[66]geoMap (63)'!$A:$C,3,0)</f>
        <v>#REF!</v>
      </c>
      <c r="BN177" s="1" t="e">
        <f>BM177/VLOOKUP(A177,'[67]geoMap (64)'!$A:$B,2,0)*VLOOKUP(A177,'[67]geoMap (64)'!$A:$C,3,0)</f>
        <v>#REF!</v>
      </c>
      <c r="BO177" s="1" t="e">
        <f>BN177/VLOOKUP(A177,'[68]geoMap (65)'!$A:$B,2,0)*VLOOKUP(A177,'[68]geoMap (65)'!$A:$C,3,0)</f>
        <v>#REF!</v>
      </c>
      <c r="BP177" s="1" t="e">
        <f>BO177/VLOOKUP(A177,'[69]geoMap (66)'!$A:$B,2,0)*VLOOKUP(A177,'[69]geoMap (66)'!$A:$C,3,0)</f>
        <v>#REF!</v>
      </c>
    </row>
    <row r="178" spans="1:68" hidden="1" x14ac:dyDescent="0.2">
      <c r="A178" s="1" t="s">
        <v>176</v>
      </c>
      <c r="B178" s="1" t="e">
        <f>VLOOKUP(A178,[3]geoMap!$A:$B,2,0)*Notes!$C$6</f>
        <v>#REF!</v>
      </c>
      <c r="C178" s="1" t="e">
        <f>B178/VLOOKUP(A178,'[4]geoMap (1)'!$A:$B,2,0)*VLOOKUP(A178,'[4]geoMap (1)'!$A:$C,3,0)</f>
        <v>#REF!</v>
      </c>
      <c r="D178" s="1" t="e">
        <f>C178/VLOOKUP(A178,'[5]geoMap (2)'!$A:$B,2,0)*VLOOKUP(A178,'[5]geoMap (2)'!$A:$C,3,0)</f>
        <v>#REF!</v>
      </c>
      <c r="E178" s="1" t="e">
        <f>D178/VLOOKUP(A178,'[6]geoMap (3)'!$A:$B,2,0)*VLOOKUP(A178,'[6]geoMap (3)'!$A:$C,3,0)</f>
        <v>#REF!</v>
      </c>
      <c r="F178" s="1" t="e">
        <f>E178/VLOOKUP(A178,'[7]geoMap (4)'!$A:$B,2,0)*VLOOKUP(A178,'[7]geoMap (4)'!$A:$C,3,0)</f>
        <v>#REF!</v>
      </c>
      <c r="G178" s="1" t="e">
        <f>F178/VLOOKUP(A178,'[8]geoMap (5)'!$A:$B,2,0)*VLOOKUP(A178,'[8]geoMap (5)'!$A:$C,3,0)</f>
        <v>#REF!</v>
      </c>
      <c r="H178" s="1" t="e">
        <f>G178/VLOOKUP(A178,'[9]geoMap (6)'!$A:$B,2,0)*VLOOKUP(A178,'[9]geoMap (6)'!$A:$C,3,0)</f>
        <v>#REF!</v>
      </c>
      <c r="I178" s="1" t="e">
        <f>H178/VLOOKUP(A178,'[10]geoMap (7)'!$A:$B,2,0)*VLOOKUP(A178,'[10]geoMap (7)'!$A:$C,3,0)</f>
        <v>#REF!</v>
      </c>
      <c r="J178" s="1" t="e">
        <f>I178/VLOOKUP(A178,'[11]geoMap (8)'!$A:$B,2,0)*VLOOKUP(A178,'[11]geoMap (8)'!$A:$C,3,0)</f>
        <v>#REF!</v>
      </c>
      <c r="K178" s="1" t="e">
        <f>J178/VLOOKUP(A178,'[12]geoMap (9)'!$A:$B,2,0)*VLOOKUP(A178,'[12]geoMap (9)'!$A:$C,3,0)</f>
        <v>#REF!</v>
      </c>
      <c r="L178" s="1" t="e">
        <f>K178/VLOOKUP(A178,'[13]geoMap (10)'!$A:$B,2,0)*VLOOKUP(A178,'[13]geoMap (10)'!$A:$C,3,0)</f>
        <v>#REF!</v>
      </c>
      <c r="M178" s="1" t="e">
        <f>L178/VLOOKUP(A178,'[14]geoMap (11)'!$A:$B,2,0)*VLOOKUP(A178,'[14]geoMap (11)'!$A:$C,3,0)</f>
        <v>#REF!</v>
      </c>
      <c r="N178" s="1" t="e">
        <f>M178/VLOOKUP(A178,'[15]geoMap (12)'!$A:$B,2,0)*VLOOKUP(A178,'[15]geoMap (12)'!$A:$C,3,0)</f>
        <v>#REF!</v>
      </c>
      <c r="O178" s="1" t="e">
        <f>N178/VLOOKUP(A178,'[16]geoMap (13)'!$A:$B,2,0)*VLOOKUP(A178,'[16]geoMap (13)'!$A:$C,3,0)</f>
        <v>#REF!</v>
      </c>
      <c r="P178" s="1" t="e">
        <f>O178/VLOOKUP(A178,'[17]geoMap (14)'!$A:$B,2,0)*VLOOKUP(A178,'[17]geoMap (14)'!$A:$C,3,0)</f>
        <v>#REF!</v>
      </c>
      <c r="Q178" s="1" t="e">
        <f>P178/VLOOKUP(A178,'[18]geoMap (15)'!$A:$B,2,0)*VLOOKUP(A178,'[18]geoMap (15)'!$A:$C,3,0)</f>
        <v>#REF!</v>
      </c>
      <c r="R178" s="1" t="e">
        <f>Q178/VLOOKUP(A178,'[19]geoMap (16)'!$A:$B,2,0)*VLOOKUP(A178,'[19]geoMap (16)'!$A:$C,3,0)</f>
        <v>#REF!</v>
      </c>
      <c r="S178" s="1" t="e">
        <f>R178/VLOOKUP(A178,'[20]geoMap (17)'!$A:$B,2,0)*VLOOKUP(A178,'[20]geoMap (17)'!$A:$C,3,0)</f>
        <v>#REF!</v>
      </c>
      <c r="T178" s="1" t="e">
        <f>S178/VLOOKUP(A178,'[21]geoMap (18)'!$A:$B,2,0)*VLOOKUP(A178,'[21]geoMap (18)'!$A:$C,3,0)</f>
        <v>#REF!</v>
      </c>
      <c r="U178" s="1" t="e">
        <f>T178/VLOOKUP(A178,'[22]geoMap (19)'!$A:$B,2,0)*VLOOKUP(A178,'[22]geoMap (19)'!$A:$C,3,0)</f>
        <v>#REF!</v>
      </c>
      <c r="V178" s="1" t="e">
        <f>U178/VLOOKUP(A178,'[23]geoMap (20)'!$A:$B,2,0)*VLOOKUP(A178,'[23]geoMap (20)'!$A:$C,3,0)</f>
        <v>#REF!</v>
      </c>
      <c r="W178" s="1" t="e">
        <f>V178/VLOOKUP(A178,'[24]geoMap (21)'!$A:$B,2,0)*VLOOKUP(A178,'[24]geoMap (21)'!$A:$C,3,0)</f>
        <v>#REF!</v>
      </c>
      <c r="X178" s="1" t="e">
        <f>W178/VLOOKUP(A178,'[25]geoMap (22)'!$A:$B,2,0)*VLOOKUP(A178,'[25]geoMap (22)'!$A:$C,3,0)</f>
        <v>#REF!</v>
      </c>
      <c r="Y178" s="1" t="e">
        <f>X178/VLOOKUP(A178,'[26]geoMap (23)'!$A:$B,2,0)*VLOOKUP(A178,'[26]geoMap (23)'!$A:$C,3,0)</f>
        <v>#REF!</v>
      </c>
      <c r="Z178" s="1" t="e">
        <f>Y178/VLOOKUP(A178,'[27]geoMap (24)'!$A:$B,2,0)*VLOOKUP(A178,'[27]geoMap (24)'!$A:$C,3,0)</f>
        <v>#REF!</v>
      </c>
      <c r="AA178" s="1" t="e">
        <f>Z178/VLOOKUP(A178,'[28]geoMap (25)'!$A:$B,2,0)*VLOOKUP(A178,'[28]geoMap (25)'!$A:$C,3,0)</f>
        <v>#REF!</v>
      </c>
      <c r="AB178" s="1" t="e">
        <f>AA178*VLOOKUP(A178,'[29]geoMap (26)'!$A:$B,2,0)*VLOOKUP(A178,'[29]geoMap (26)'!$A:$C,3,0)</f>
        <v>#REF!</v>
      </c>
      <c r="AC178" s="1" t="e">
        <f>AB178/VLOOKUP(A178,'[30]geoMap (27)'!$A:$B,2,0)*VLOOKUP(A178,'[30]geoMap (27)'!$A:$C,3,0)</f>
        <v>#REF!</v>
      </c>
      <c r="AD178" s="1" t="e">
        <f>AC178/VLOOKUP(A178,'[31]geoMap (28)'!$A:$B,2,0)*VLOOKUP(A178,'[31]geoMap (28)'!$A:$C,3,0)</f>
        <v>#REF!</v>
      </c>
      <c r="AE178" s="1" t="e">
        <f>AD178/VLOOKUP(A178,'[32]geoMap (29)'!$A:$B,2,0)*VLOOKUP(A178,'[32]geoMap (29)'!$A:$C,3,0)</f>
        <v>#REF!</v>
      </c>
      <c r="AF178" s="1" t="e">
        <f>AE178/VLOOKUP(A178,'[33]geoMap (30)'!$A:$B,2,0)*VLOOKUP(A178,'[33]geoMap (30)'!$A:$C,3,0)</f>
        <v>#REF!</v>
      </c>
      <c r="AG178" s="1" t="e">
        <f>AF178/VLOOKUP(A178,'[34]geoMap (31)'!$A:$B,2,0)*VLOOKUP(A178,'[34]geoMap (31)'!$A:$C,3,0)</f>
        <v>#REF!</v>
      </c>
      <c r="AH178" s="1" t="e">
        <f>AG178/VLOOKUP(A178,'[35]geoMap (32)'!$A:$B,2,0)*VLOOKUP(A178,'[35]geoMap (32)'!$A:$C,3,0)</f>
        <v>#REF!</v>
      </c>
      <c r="AI178" s="1" t="e">
        <f>AH178/VLOOKUP(A178,'[36]geoMap (33)'!$A:$B,2,0)*VLOOKUP(A178,'[36]geoMap (33)'!$A:$C,3,0)</f>
        <v>#REF!</v>
      </c>
      <c r="AJ178" s="1" t="e">
        <f>AI178/VLOOKUP(A178,'[37]geoMap (34)'!$A:$B,2,0)*VLOOKUP(A178,'[37]geoMap (34)'!$A:$C,3,0)</f>
        <v>#REF!</v>
      </c>
      <c r="AK178" s="1" t="e">
        <f>AJ178/VLOOKUP(A178,'[38]geoMap (35)'!$A:$B,2,0)*VLOOKUP(A178,'[38]geoMap (35)'!$A:$C,3,0)</f>
        <v>#REF!</v>
      </c>
      <c r="AL178" s="1" t="e">
        <f>AK178/VLOOKUP(A178,'[39]geoMap (36)'!$A:$B,2,0)*VLOOKUP(A178,'[39]geoMap (36)'!$A:$C,3,0)</f>
        <v>#REF!</v>
      </c>
      <c r="AM178" s="1" t="e">
        <f>AL178/VLOOKUP(A178,'[40]geoMap (37)'!$A:$B,2,0)*VLOOKUP(A178,'[40]geoMap (37)'!$A:$C,3,0)</f>
        <v>#REF!</v>
      </c>
      <c r="AN178" s="1" t="e">
        <f>AM178/VLOOKUP(A178,'[41]geoMap (38)'!$A:$B,2,0)*VLOOKUP(A178,'[41]geoMap (38)'!$A:$C,3,0)</f>
        <v>#REF!</v>
      </c>
      <c r="AO178" s="1" t="e">
        <f>AN178/VLOOKUP(A178,'[42]geoMap (39)'!$A:$B,2,0)*VLOOKUP(A178,'[42]geoMap (39)'!$A:$C,3,0)</f>
        <v>#REF!</v>
      </c>
      <c r="AP178" s="1" t="e">
        <f>AO178/VLOOKUP(A178,'[43]geoMap (40)'!$A:$B,2,0)*VLOOKUP(A178,'[43]geoMap (40)'!$A:$C,3,0)</f>
        <v>#REF!</v>
      </c>
      <c r="AQ178" s="1" t="e">
        <f>AP178/VLOOKUP(A178,'[44]geoMap (41)'!$A:$B,2,0)*VLOOKUP(A178,'[44]geoMap (41)'!$A:$C,3,0)</f>
        <v>#REF!</v>
      </c>
      <c r="AR178" s="1" t="e">
        <f>AQ178/VLOOKUP(A178,'[45]geoMap (42)'!$A:$B,2,0)*VLOOKUP(A178,'[45]geoMap (42)'!$A:$C,3,0)</f>
        <v>#REF!</v>
      </c>
      <c r="AS178" s="1" t="e">
        <f>AR178/VLOOKUP(A178,'[46]geoMap (43)'!$A:$B,2,0)*VLOOKUP(A178,'[46]geoMap (43)'!$A:$C,3,0)</f>
        <v>#REF!</v>
      </c>
      <c r="AT178" s="1" t="e">
        <f>AS178/VLOOKUP(A178,'[47]geoMap (44)'!$A:$B,2,0)*VLOOKUP(A178,'[47]geoMap (44)'!$A:$C,3,0)</f>
        <v>#REF!</v>
      </c>
      <c r="AU178" s="1" t="e">
        <f>AT178/VLOOKUP(A178,'[48]geoMap (45)'!$A:$B,2,0)*VLOOKUP(A178,'[48]geoMap (45)'!$A:$C,3,0)</f>
        <v>#REF!</v>
      </c>
      <c r="AV178" s="1" t="e">
        <f>AU178/VLOOKUP(A178,'[49]geoMap (46)'!$A:$B,2,0)*VLOOKUP(A178,'[49]geoMap (46)'!$A:$C,3,0)</f>
        <v>#REF!</v>
      </c>
      <c r="AW178" s="1" t="e">
        <f>AV178/VLOOKUP(A178,'[50]geoMap (47)'!$A:$B,2,0)*VLOOKUP(A178,'[50]geoMap (47)'!$A:$C,3,0)</f>
        <v>#REF!</v>
      </c>
      <c r="AX178" s="1" t="e">
        <f>AW178/VLOOKUP(A178,'[51]geoMap (48)'!$A:$B,2,0)*VLOOKUP(A178,'[51]geoMap (48)'!$A:$C,3,0)</f>
        <v>#REF!</v>
      </c>
      <c r="AY178" s="1" t="e">
        <f>AX178/VLOOKUP(A178,'[52]geoMap (49)'!$A:$B,2,0)*VLOOKUP(A178,'[52]geoMap (49)'!$A:$C,3,0)</f>
        <v>#REF!</v>
      </c>
      <c r="AZ178" s="1" t="e">
        <f>AY178/VLOOKUP(A178,'[53]geoMap (50)'!$A:$B,2,0)*VLOOKUP(A178,'[53]geoMap (50)'!$A:$C,3,0)</f>
        <v>#REF!</v>
      </c>
      <c r="BA178" s="1" t="e">
        <f>AZ178/VLOOKUP(A178,'[54]geoMap (51)'!$A:$B,2,0)*VLOOKUP(A178,'[54]geoMap (51)'!$A:$C,3,0)</f>
        <v>#REF!</v>
      </c>
      <c r="BB178" s="1" t="e">
        <f>BA178/VLOOKUP(A178,'[55]geoMap (52)'!$A:$B,2,0)*VLOOKUP(A178,'[55]geoMap (52)'!$A:$C,3,0)</f>
        <v>#REF!</v>
      </c>
      <c r="BC178" s="1" t="e">
        <f>BB178/VLOOKUP(A178,'[56]geoMap (53)'!$A:$B,2,0)*VLOOKUP(A178,'[56]geoMap (53)'!$A:$C,3,0)</f>
        <v>#REF!</v>
      </c>
      <c r="BD178" s="1" t="e">
        <f>BC178/VLOOKUP(A178,'[57]geoMap (54)'!$A:$B,2,0)*VLOOKUP(A178,'[57]geoMap (54)'!$A:$C,3,0)</f>
        <v>#REF!</v>
      </c>
      <c r="BE178" s="1" t="e">
        <f>BD178/VLOOKUP(A178,'[58]geoMap (55)'!$A:$B,2,0)*VLOOKUP(A178,'[58]geoMap (55)'!$A:$C,3,0)</f>
        <v>#REF!</v>
      </c>
      <c r="BF178" s="1" t="e">
        <f>BE178/VLOOKUP(A178,'[59]geoMap (56)'!$A:$B,2,0)*VLOOKUP(A178,'[59]geoMap (56)'!$A:$C,3,0)</f>
        <v>#REF!</v>
      </c>
      <c r="BG178" s="1" t="e">
        <f>BF178/VLOOKUP(A178,'[60]geoMap (57)'!$A:$B,2,0)*VLOOKUP(A178,'[60]geoMap (57)'!$A:$C,3,0)</f>
        <v>#REF!</v>
      </c>
      <c r="BH178" s="1" t="e">
        <f>BG178/VLOOKUP(A178,'[61]geoMap (58)'!$A:$B,2,0)*VLOOKUP(A178,'[61]geoMap (58)'!$A:$C,3,0)</f>
        <v>#REF!</v>
      </c>
      <c r="BI178" s="1" t="e">
        <f>BH178/VLOOKUP(A178,'[62]geoMap (59)'!$A:$B,2,0)*VLOOKUP(A178,'[62]geoMap (59)'!$A:$C,3,0)</f>
        <v>#REF!</v>
      </c>
      <c r="BJ178" s="1" t="e">
        <f>BI178/VLOOKUP(A178,'[63]geoMap (60)'!$A:$B,2,0)*VLOOKUP(A178,'[63]geoMap (60)'!$A:$C,3,0)</f>
        <v>#REF!</v>
      </c>
      <c r="BK178" s="1" t="e">
        <f>BJ178/VLOOKUP(A178,'[64]geoMap (61)'!$A:$B,2,0)*VLOOKUP(A178,'[64]geoMap (61)'!$A:$C,3,0)</f>
        <v>#REF!</v>
      </c>
      <c r="BL178" s="1" t="e">
        <f>BK178/VLOOKUP(A178,'[65]geoMap (62)'!$A:$B,2,0)*VLOOKUP(A178,'[65]geoMap (62)'!$A:$C,3,0)</f>
        <v>#REF!</v>
      </c>
      <c r="BM178" s="1" t="e">
        <f>BL178/VLOOKUP(A178,'[66]geoMap (63)'!$A:$B,2,0)*VLOOKUP(A178,'[66]geoMap (63)'!$A:$C,3,0)</f>
        <v>#REF!</v>
      </c>
      <c r="BN178" s="1" t="e">
        <f>BM178/VLOOKUP(A178,'[67]geoMap (64)'!$A:$B,2,0)*VLOOKUP(A178,'[67]geoMap (64)'!$A:$C,3,0)</f>
        <v>#REF!</v>
      </c>
      <c r="BO178" s="1" t="e">
        <f>BN178/VLOOKUP(A178,'[68]geoMap (65)'!$A:$B,2,0)*VLOOKUP(A178,'[68]geoMap (65)'!$A:$C,3,0)</f>
        <v>#REF!</v>
      </c>
      <c r="BP178" s="1" t="e">
        <f>BO178/VLOOKUP(A178,'[69]geoMap (66)'!$A:$B,2,0)*VLOOKUP(A178,'[69]geoMap (66)'!$A:$C,3,0)</f>
        <v>#REF!</v>
      </c>
    </row>
    <row r="179" spans="1:68" hidden="1" x14ac:dyDescent="0.2">
      <c r="A179" s="1" t="s">
        <v>179</v>
      </c>
      <c r="B179" s="1" t="e">
        <f>VLOOKUP(A179,[3]geoMap!$A:$B,2,0)*Notes!$C$6</f>
        <v>#REF!</v>
      </c>
      <c r="C179" s="1" t="e">
        <f>B179/VLOOKUP(A179,'[4]geoMap (1)'!$A:$B,2,0)*VLOOKUP(A179,'[4]geoMap (1)'!$A:$C,3,0)</f>
        <v>#REF!</v>
      </c>
      <c r="D179" s="1" t="e">
        <f>C179/VLOOKUP(A179,'[5]geoMap (2)'!$A:$B,2,0)*VLOOKUP(A179,'[5]geoMap (2)'!$A:$C,3,0)</f>
        <v>#REF!</v>
      </c>
      <c r="E179" s="1" t="e">
        <f>D179/VLOOKUP(A179,'[6]geoMap (3)'!$A:$B,2,0)*VLOOKUP(A179,'[6]geoMap (3)'!$A:$C,3,0)</f>
        <v>#REF!</v>
      </c>
      <c r="F179" s="1" t="e">
        <f>E179/VLOOKUP(A179,'[7]geoMap (4)'!$A:$B,2,0)*VLOOKUP(A179,'[7]geoMap (4)'!$A:$C,3,0)</f>
        <v>#REF!</v>
      </c>
      <c r="G179" s="1" t="e">
        <f>F179/VLOOKUP(A179,'[8]geoMap (5)'!$A:$B,2,0)*VLOOKUP(A179,'[8]geoMap (5)'!$A:$C,3,0)</f>
        <v>#REF!</v>
      </c>
      <c r="H179" s="1" t="e">
        <f>G179/VLOOKUP(A179,'[9]geoMap (6)'!$A:$B,2,0)*VLOOKUP(A179,'[9]geoMap (6)'!$A:$C,3,0)</f>
        <v>#REF!</v>
      </c>
      <c r="I179" s="1" t="e">
        <f>H179/VLOOKUP(A179,'[10]geoMap (7)'!$A:$B,2,0)*VLOOKUP(A179,'[10]geoMap (7)'!$A:$C,3,0)</f>
        <v>#REF!</v>
      </c>
      <c r="J179" s="1" t="e">
        <f>I179/VLOOKUP(A179,'[11]geoMap (8)'!$A:$B,2,0)*VLOOKUP(A179,'[11]geoMap (8)'!$A:$C,3,0)</f>
        <v>#REF!</v>
      </c>
      <c r="K179" s="1" t="e">
        <f>J179/VLOOKUP(A179,'[12]geoMap (9)'!$A:$B,2,0)*VLOOKUP(A179,'[12]geoMap (9)'!$A:$C,3,0)</f>
        <v>#REF!</v>
      </c>
      <c r="L179" s="1" t="e">
        <f>K179/VLOOKUP(A179,'[13]geoMap (10)'!$A:$B,2,0)*VLOOKUP(A179,'[13]geoMap (10)'!$A:$C,3,0)</f>
        <v>#REF!</v>
      </c>
      <c r="M179" s="1" t="e">
        <f>L179/VLOOKUP(A179,'[14]geoMap (11)'!$A:$B,2,0)*VLOOKUP(A179,'[14]geoMap (11)'!$A:$C,3,0)</f>
        <v>#REF!</v>
      </c>
      <c r="N179" s="1" t="e">
        <f>M179/VLOOKUP(A179,'[15]geoMap (12)'!$A:$B,2,0)*VLOOKUP(A179,'[15]geoMap (12)'!$A:$C,3,0)</f>
        <v>#REF!</v>
      </c>
      <c r="O179" s="1" t="e">
        <f>N179/VLOOKUP(A179,'[16]geoMap (13)'!$A:$B,2,0)*VLOOKUP(A179,'[16]geoMap (13)'!$A:$C,3,0)</f>
        <v>#REF!</v>
      </c>
      <c r="P179" s="1" t="e">
        <f>O179/VLOOKUP(A179,'[17]geoMap (14)'!$A:$B,2,0)*VLOOKUP(A179,'[17]geoMap (14)'!$A:$C,3,0)</f>
        <v>#REF!</v>
      </c>
      <c r="Q179" s="1" t="e">
        <f>P179/VLOOKUP(A179,'[18]geoMap (15)'!$A:$B,2,0)*VLOOKUP(A179,'[18]geoMap (15)'!$A:$C,3,0)</f>
        <v>#REF!</v>
      </c>
      <c r="R179" s="1" t="e">
        <f>Q179/VLOOKUP(A179,'[19]geoMap (16)'!$A:$B,2,0)*VLOOKUP(A179,'[19]geoMap (16)'!$A:$C,3,0)</f>
        <v>#REF!</v>
      </c>
      <c r="S179" s="1" t="e">
        <f>R179/VLOOKUP(A179,'[20]geoMap (17)'!$A:$B,2,0)*VLOOKUP(A179,'[20]geoMap (17)'!$A:$C,3,0)</f>
        <v>#REF!</v>
      </c>
      <c r="T179" s="1" t="e">
        <f>S179/VLOOKUP(A179,'[21]geoMap (18)'!$A:$B,2,0)*VLOOKUP(A179,'[21]geoMap (18)'!$A:$C,3,0)</f>
        <v>#REF!</v>
      </c>
      <c r="U179" s="1" t="e">
        <f>T179/VLOOKUP(A179,'[22]geoMap (19)'!$A:$B,2,0)*VLOOKUP(A179,'[22]geoMap (19)'!$A:$C,3,0)</f>
        <v>#REF!</v>
      </c>
      <c r="V179" s="1" t="e">
        <f>U179/VLOOKUP(A179,'[23]geoMap (20)'!$A:$B,2,0)*VLOOKUP(A179,'[23]geoMap (20)'!$A:$C,3,0)</f>
        <v>#REF!</v>
      </c>
      <c r="W179" s="1" t="e">
        <f>V179/VLOOKUP(A179,'[24]geoMap (21)'!$A:$B,2,0)*VLOOKUP(A179,'[24]geoMap (21)'!$A:$C,3,0)</f>
        <v>#REF!</v>
      </c>
      <c r="X179" s="1" t="e">
        <f>W179/VLOOKUP(A179,'[25]geoMap (22)'!$A:$B,2,0)*VLOOKUP(A179,'[25]geoMap (22)'!$A:$C,3,0)</f>
        <v>#REF!</v>
      </c>
      <c r="Y179" s="1" t="e">
        <f>X179/VLOOKUP(A179,'[26]geoMap (23)'!$A:$B,2,0)*VLOOKUP(A179,'[26]geoMap (23)'!$A:$C,3,0)</f>
        <v>#REF!</v>
      </c>
      <c r="Z179" s="1" t="e">
        <f>Y179/VLOOKUP(A179,'[27]geoMap (24)'!$A:$B,2,0)*VLOOKUP(A179,'[27]geoMap (24)'!$A:$C,3,0)</f>
        <v>#REF!</v>
      </c>
      <c r="AA179" s="1" t="e">
        <f>Z179/VLOOKUP(A179,'[28]geoMap (25)'!$A:$B,2,0)*VLOOKUP(A179,'[28]geoMap (25)'!$A:$C,3,0)</f>
        <v>#REF!</v>
      </c>
      <c r="AB179" s="1" t="e">
        <f>AA179*VLOOKUP(A179,'[29]geoMap (26)'!$A:$B,2,0)*VLOOKUP(A179,'[29]geoMap (26)'!$A:$C,3,0)</f>
        <v>#REF!</v>
      </c>
      <c r="AC179" s="1" t="e">
        <f>AB179/VLOOKUP(A179,'[30]geoMap (27)'!$A:$B,2,0)*VLOOKUP(A179,'[30]geoMap (27)'!$A:$C,3,0)</f>
        <v>#REF!</v>
      </c>
      <c r="AD179" s="1" t="e">
        <f>AC179/VLOOKUP(A179,'[31]geoMap (28)'!$A:$B,2,0)*VLOOKUP(A179,'[31]geoMap (28)'!$A:$C,3,0)</f>
        <v>#REF!</v>
      </c>
      <c r="AE179" s="1" t="e">
        <f>AD179/VLOOKUP(A179,'[32]geoMap (29)'!$A:$B,2,0)*VLOOKUP(A179,'[32]geoMap (29)'!$A:$C,3,0)</f>
        <v>#REF!</v>
      </c>
      <c r="AF179" s="1" t="e">
        <f>AE179/VLOOKUP(A179,'[33]geoMap (30)'!$A:$B,2,0)*VLOOKUP(A179,'[33]geoMap (30)'!$A:$C,3,0)</f>
        <v>#REF!</v>
      </c>
      <c r="AG179" s="1" t="e">
        <f>AF179/VLOOKUP(A179,'[34]geoMap (31)'!$A:$B,2,0)*VLOOKUP(A179,'[34]geoMap (31)'!$A:$C,3,0)</f>
        <v>#REF!</v>
      </c>
      <c r="AH179" s="1" t="e">
        <f>AG179/VLOOKUP(A179,'[35]geoMap (32)'!$A:$B,2,0)*VLOOKUP(A179,'[35]geoMap (32)'!$A:$C,3,0)</f>
        <v>#REF!</v>
      </c>
      <c r="AI179" s="1" t="e">
        <f>AH179/VLOOKUP(A179,'[36]geoMap (33)'!$A:$B,2,0)*VLOOKUP(A179,'[36]geoMap (33)'!$A:$C,3,0)</f>
        <v>#REF!</v>
      </c>
      <c r="AJ179" s="1" t="e">
        <f>AI179/VLOOKUP(A179,'[37]geoMap (34)'!$A:$B,2,0)*VLOOKUP(A179,'[37]geoMap (34)'!$A:$C,3,0)</f>
        <v>#REF!</v>
      </c>
      <c r="AK179" s="1" t="e">
        <f>AJ179/VLOOKUP(A179,'[38]geoMap (35)'!$A:$B,2,0)*VLOOKUP(A179,'[38]geoMap (35)'!$A:$C,3,0)</f>
        <v>#REF!</v>
      </c>
      <c r="AL179" s="1" t="e">
        <f>AK179/VLOOKUP(A179,'[39]geoMap (36)'!$A:$B,2,0)*VLOOKUP(A179,'[39]geoMap (36)'!$A:$C,3,0)</f>
        <v>#REF!</v>
      </c>
      <c r="AM179" s="1" t="e">
        <f>AL179/VLOOKUP(A179,'[40]geoMap (37)'!$A:$B,2,0)*VLOOKUP(A179,'[40]geoMap (37)'!$A:$C,3,0)</f>
        <v>#REF!</v>
      </c>
      <c r="AN179" s="1" t="e">
        <f>AM179/VLOOKUP(A179,'[41]geoMap (38)'!$A:$B,2,0)*VLOOKUP(A179,'[41]geoMap (38)'!$A:$C,3,0)</f>
        <v>#REF!</v>
      </c>
      <c r="AO179" s="1" t="e">
        <f>AN179/VLOOKUP(A179,'[42]geoMap (39)'!$A:$B,2,0)*VLOOKUP(A179,'[42]geoMap (39)'!$A:$C,3,0)</f>
        <v>#REF!</v>
      </c>
      <c r="AP179" s="1" t="e">
        <f>AO179/VLOOKUP(A179,'[43]geoMap (40)'!$A:$B,2,0)*VLOOKUP(A179,'[43]geoMap (40)'!$A:$C,3,0)</f>
        <v>#REF!</v>
      </c>
      <c r="AQ179" s="1" t="e">
        <f>AP179/VLOOKUP(A179,'[44]geoMap (41)'!$A:$B,2,0)*VLOOKUP(A179,'[44]geoMap (41)'!$A:$C,3,0)</f>
        <v>#REF!</v>
      </c>
      <c r="AR179" s="1" t="e">
        <f>AQ179/VLOOKUP(A179,'[45]geoMap (42)'!$A:$B,2,0)*VLOOKUP(A179,'[45]geoMap (42)'!$A:$C,3,0)</f>
        <v>#REF!</v>
      </c>
      <c r="AS179" s="1" t="e">
        <f>AR179/VLOOKUP(A179,'[46]geoMap (43)'!$A:$B,2,0)*VLOOKUP(A179,'[46]geoMap (43)'!$A:$C,3,0)</f>
        <v>#REF!</v>
      </c>
      <c r="AT179" s="1" t="e">
        <f>AS179/VLOOKUP(A179,'[47]geoMap (44)'!$A:$B,2,0)*VLOOKUP(A179,'[47]geoMap (44)'!$A:$C,3,0)</f>
        <v>#REF!</v>
      </c>
      <c r="AU179" s="1" t="e">
        <f>AT179/VLOOKUP(A179,'[48]geoMap (45)'!$A:$B,2,0)*VLOOKUP(A179,'[48]geoMap (45)'!$A:$C,3,0)</f>
        <v>#REF!</v>
      </c>
      <c r="AV179" s="1" t="e">
        <f>AU179/VLOOKUP(A179,'[49]geoMap (46)'!$A:$B,2,0)*VLOOKUP(A179,'[49]geoMap (46)'!$A:$C,3,0)</f>
        <v>#REF!</v>
      </c>
      <c r="AW179" s="1" t="e">
        <f>AV179/VLOOKUP(A179,'[50]geoMap (47)'!$A:$B,2,0)*VLOOKUP(A179,'[50]geoMap (47)'!$A:$C,3,0)</f>
        <v>#REF!</v>
      </c>
      <c r="AX179" s="1" t="e">
        <f>AW179/VLOOKUP(A179,'[51]geoMap (48)'!$A:$B,2,0)*VLOOKUP(A179,'[51]geoMap (48)'!$A:$C,3,0)</f>
        <v>#REF!</v>
      </c>
      <c r="AY179" s="1" t="e">
        <f>AX179/VLOOKUP(A179,'[52]geoMap (49)'!$A:$B,2,0)*VLOOKUP(A179,'[52]geoMap (49)'!$A:$C,3,0)</f>
        <v>#REF!</v>
      </c>
      <c r="AZ179" s="1" t="e">
        <f>AY179/VLOOKUP(A179,'[53]geoMap (50)'!$A:$B,2,0)*VLOOKUP(A179,'[53]geoMap (50)'!$A:$C,3,0)</f>
        <v>#REF!</v>
      </c>
      <c r="BA179" s="1" t="e">
        <f>AZ179/VLOOKUP(A179,'[54]geoMap (51)'!$A:$B,2,0)*VLOOKUP(A179,'[54]geoMap (51)'!$A:$C,3,0)</f>
        <v>#REF!</v>
      </c>
      <c r="BB179" s="1" t="e">
        <f>BA179/VLOOKUP(A179,'[55]geoMap (52)'!$A:$B,2,0)*VLOOKUP(A179,'[55]geoMap (52)'!$A:$C,3,0)</f>
        <v>#REF!</v>
      </c>
      <c r="BC179" s="1" t="e">
        <f>BB179/VLOOKUP(A179,'[56]geoMap (53)'!$A:$B,2,0)*VLOOKUP(A179,'[56]geoMap (53)'!$A:$C,3,0)</f>
        <v>#REF!</v>
      </c>
      <c r="BD179" s="1" t="e">
        <f>BC179/VLOOKUP(A179,'[57]geoMap (54)'!$A:$B,2,0)*VLOOKUP(A179,'[57]geoMap (54)'!$A:$C,3,0)</f>
        <v>#REF!</v>
      </c>
      <c r="BE179" s="1" t="e">
        <f>BD179/VLOOKUP(A179,'[58]geoMap (55)'!$A:$B,2,0)*VLOOKUP(A179,'[58]geoMap (55)'!$A:$C,3,0)</f>
        <v>#REF!</v>
      </c>
      <c r="BF179" s="1" t="e">
        <f>BE179/VLOOKUP(A179,'[59]geoMap (56)'!$A:$B,2,0)*VLOOKUP(A179,'[59]geoMap (56)'!$A:$C,3,0)</f>
        <v>#REF!</v>
      </c>
      <c r="BG179" s="1" t="e">
        <f>BF179/VLOOKUP(A179,'[60]geoMap (57)'!$A:$B,2,0)*VLOOKUP(A179,'[60]geoMap (57)'!$A:$C,3,0)</f>
        <v>#REF!</v>
      </c>
      <c r="BH179" s="1" t="e">
        <f>BG179/VLOOKUP(A179,'[61]geoMap (58)'!$A:$B,2,0)*VLOOKUP(A179,'[61]geoMap (58)'!$A:$C,3,0)</f>
        <v>#REF!</v>
      </c>
      <c r="BI179" s="1" t="e">
        <f>BH179/VLOOKUP(A179,'[62]geoMap (59)'!$A:$B,2,0)*VLOOKUP(A179,'[62]geoMap (59)'!$A:$C,3,0)</f>
        <v>#REF!</v>
      </c>
      <c r="BJ179" s="1" t="e">
        <f>BI179/VLOOKUP(A179,'[63]geoMap (60)'!$A:$B,2,0)*VLOOKUP(A179,'[63]geoMap (60)'!$A:$C,3,0)</f>
        <v>#REF!</v>
      </c>
      <c r="BK179" s="1" t="e">
        <f>BJ179/VLOOKUP(A179,'[64]geoMap (61)'!$A:$B,2,0)*VLOOKUP(A179,'[64]geoMap (61)'!$A:$C,3,0)</f>
        <v>#REF!</v>
      </c>
      <c r="BL179" s="1" t="e">
        <f>BK179/VLOOKUP(A179,'[65]geoMap (62)'!$A:$B,2,0)*VLOOKUP(A179,'[65]geoMap (62)'!$A:$C,3,0)</f>
        <v>#REF!</v>
      </c>
      <c r="BM179" s="1" t="e">
        <f>BL179/VLOOKUP(A179,'[66]geoMap (63)'!$A:$B,2,0)*VLOOKUP(A179,'[66]geoMap (63)'!$A:$C,3,0)</f>
        <v>#REF!</v>
      </c>
      <c r="BN179" s="1" t="e">
        <f>BM179/VLOOKUP(A179,'[67]geoMap (64)'!$A:$B,2,0)*VLOOKUP(A179,'[67]geoMap (64)'!$A:$C,3,0)</f>
        <v>#REF!</v>
      </c>
      <c r="BO179" s="1" t="e">
        <f>BN179/VLOOKUP(A179,'[68]geoMap (65)'!$A:$B,2,0)*VLOOKUP(A179,'[68]geoMap (65)'!$A:$C,3,0)</f>
        <v>#REF!</v>
      </c>
      <c r="BP179" s="1" t="e">
        <f>BO179/VLOOKUP(A179,'[69]geoMap (66)'!$A:$B,2,0)*VLOOKUP(A179,'[69]geoMap (66)'!$A:$C,3,0)</f>
        <v>#REF!</v>
      </c>
    </row>
    <row r="180" spans="1:68" hidden="1" x14ac:dyDescent="0.2">
      <c r="A180" s="1" t="s">
        <v>180</v>
      </c>
      <c r="B180" s="1" t="e">
        <f>VLOOKUP(A180,[3]geoMap!$A:$B,2,0)*Notes!$C$6</f>
        <v>#REF!</v>
      </c>
      <c r="C180" s="1" t="e">
        <f>B180/VLOOKUP(A180,'[4]geoMap (1)'!$A:$B,2,0)*VLOOKUP(A180,'[4]geoMap (1)'!$A:$C,3,0)</f>
        <v>#REF!</v>
      </c>
      <c r="D180" s="1" t="e">
        <f>C180/VLOOKUP(A180,'[5]geoMap (2)'!$A:$B,2,0)*VLOOKUP(A180,'[5]geoMap (2)'!$A:$C,3,0)</f>
        <v>#REF!</v>
      </c>
      <c r="E180" s="1" t="e">
        <f>D180/VLOOKUP(A180,'[6]geoMap (3)'!$A:$B,2,0)*VLOOKUP(A180,'[6]geoMap (3)'!$A:$C,3,0)</f>
        <v>#REF!</v>
      </c>
      <c r="F180" s="1" t="e">
        <f>E180/VLOOKUP(A180,'[7]geoMap (4)'!$A:$B,2,0)*VLOOKUP(A180,'[7]geoMap (4)'!$A:$C,3,0)</f>
        <v>#REF!</v>
      </c>
      <c r="G180" s="1" t="e">
        <f>F180/VLOOKUP(A180,'[8]geoMap (5)'!$A:$B,2,0)*VLOOKUP(A180,'[8]geoMap (5)'!$A:$C,3,0)</f>
        <v>#REF!</v>
      </c>
      <c r="H180" s="1" t="e">
        <f>G180/VLOOKUP(A180,'[9]geoMap (6)'!$A:$B,2,0)*VLOOKUP(A180,'[9]geoMap (6)'!$A:$C,3,0)</f>
        <v>#REF!</v>
      </c>
      <c r="I180" s="1" t="e">
        <f>H180/VLOOKUP(A180,'[10]geoMap (7)'!$A:$B,2,0)*VLOOKUP(A180,'[10]geoMap (7)'!$A:$C,3,0)</f>
        <v>#REF!</v>
      </c>
      <c r="J180" s="1" t="e">
        <f>I180/VLOOKUP(A180,'[11]geoMap (8)'!$A:$B,2,0)*VLOOKUP(A180,'[11]geoMap (8)'!$A:$C,3,0)</f>
        <v>#REF!</v>
      </c>
      <c r="K180" s="1" t="e">
        <f>J180/VLOOKUP(A180,'[12]geoMap (9)'!$A:$B,2,0)*VLOOKUP(A180,'[12]geoMap (9)'!$A:$C,3,0)</f>
        <v>#REF!</v>
      </c>
      <c r="L180" s="1" t="e">
        <f>K180/VLOOKUP(A180,'[13]geoMap (10)'!$A:$B,2,0)*VLOOKUP(A180,'[13]geoMap (10)'!$A:$C,3,0)</f>
        <v>#REF!</v>
      </c>
      <c r="M180" s="1" t="e">
        <f>L180/VLOOKUP(A180,'[14]geoMap (11)'!$A:$B,2,0)*VLOOKUP(A180,'[14]geoMap (11)'!$A:$C,3,0)</f>
        <v>#REF!</v>
      </c>
      <c r="N180" s="1" t="e">
        <f>M180/VLOOKUP(A180,'[15]geoMap (12)'!$A:$B,2,0)*VLOOKUP(A180,'[15]geoMap (12)'!$A:$C,3,0)</f>
        <v>#REF!</v>
      </c>
      <c r="O180" s="1" t="e">
        <f>N180/VLOOKUP(A180,'[16]geoMap (13)'!$A:$B,2,0)*VLOOKUP(A180,'[16]geoMap (13)'!$A:$C,3,0)</f>
        <v>#REF!</v>
      </c>
      <c r="P180" s="1" t="e">
        <f>O180/VLOOKUP(A180,'[17]geoMap (14)'!$A:$B,2,0)*VLOOKUP(A180,'[17]geoMap (14)'!$A:$C,3,0)</f>
        <v>#REF!</v>
      </c>
      <c r="Q180" s="1" t="e">
        <f>P180/VLOOKUP(A180,'[18]geoMap (15)'!$A:$B,2,0)*VLOOKUP(A180,'[18]geoMap (15)'!$A:$C,3,0)</f>
        <v>#REF!</v>
      </c>
      <c r="R180" s="1" t="e">
        <f>Q180/VLOOKUP(A180,'[19]geoMap (16)'!$A:$B,2,0)*VLOOKUP(A180,'[19]geoMap (16)'!$A:$C,3,0)</f>
        <v>#REF!</v>
      </c>
      <c r="S180" s="1" t="e">
        <f>R180/VLOOKUP(A180,'[20]geoMap (17)'!$A:$B,2,0)*VLOOKUP(A180,'[20]geoMap (17)'!$A:$C,3,0)</f>
        <v>#REF!</v>
      </c>
      <c r="T180" s="1" t="e">
        <f>S180/VLOOKUP(A180,'[21]geoMap (18)'!$A:$B,2,0)*VLOOKUP(A180,'[21]geoMap (18)'!$A:$C,3,0)</f>
        <v>#REF!</v>
      </c>
      <c r="U180" s="1" t="e">
        <f>T180/VLOOKUP(A180,'[22]geoMap (19)'!$A:$B,2,0)*VLOOKUP(A180,'[22]geoMap (19)'!$A:$C,3,0)</f>
        <v>#REF!</v>
      </c>
      <c r="V180" s="1" t="e">
        <f>U180/VLOOKUP(A180,'[23]geoMap (20)'!$A:$B,2,0)*VLOOKUP(A180,'[23]geoMap (20)'!$A:$C,3,0)</f>
        <v>#REF!</v>
      </c>
      <c r="W180" s="1" t="e">
        <f>V180/VLOOKUP(A180,'[24]geoMap (21)'!$A:$B,2,0)*VLOOKUP(A180,'[24]geoMap (21)'!$A:$C,3,0)</f>
        <v>#REF!</v>
      </c>
      <c r="X180" s="1" t="e">
        <f>W180/VLOOKUP(A180,'[25]geoMap (22)'!$A:$B,2,0)*VLOOKUP(A180,'[25]geoMap (22)'!$A:$C,3,0)</f>
        <v>#REF!</v>
      </c>
      <c r="Y180" s="1" t="e">
        <f>X180/VLOOKUP(A180,'[26]geoMap (23)'!$A:$B,2,0)*VLOOKUP(A180,'[26]geoMap (23)'!$A:$C,3,0)</f>
        <v>#REF!</v>
      </c>
      <c r="Z180" s="1" t="e">
        <f>Y180/VLOOKUP(A180,'[27]geoMap (24)'!$A:$B,2,0)*VLOOKUP(A180,'[27]geoMap (24)'!$A:$C,3,0)</f>
        <v>#REF!</v>
      </c>
      <c r="AA180" s="1" t="e">
        <f>Z180/VLOOKUP(A180,'[28]geoMap (25)'!$A:$B,2,0)*VLOOKUP(A180,'[28]geoMap (25)'!$A:$C,3,0)</f>
        <v>#REF!</v>
      </c>
      <c r="AB180" s="1" t="e">
        <f>AA180*VLOOKUP(A180,'[29]geoMap (26)'!$A:$B,2,0)*VLOOKUP(A180,'[29]geoMap (26)'!$A:$C,3,0)</f>
        <v>#REF!</v>
      </c>
      <c r="AC180" s="1" t="e">
        <f>AB180/VLOOKUP(A180,'[30]geoMap (27)'!$A:$B,2,0)*VLOOKUP(A180,'[30]geoMap (27)'!$A:$C,3,0)</f>
        <v>#REF!</v>
      </c>
      <c r="AD180" s="1" t="e">
        <f>AC180/VLOOKUP(A180,'[31]geoMap (28)'!$A:$B,2,0)*VLOOKUP(A180,'[31]geoMap (28)'!$A:$C,3,0)</f>
        <v>#REF!</v>
      </c>
      <c r="AE180" s="1" t="e">
        <f>AD180/VLOOKUP(A180,'[32]geoMap (29)'!$A:$B,2,0)*VLOOKUP(A180,'[32]geoMap (29)'!$A:$C,3,0)</f>
        <v>#REF!</v>
      </c>
      <c r="AF180" s="1" t="e">
        <f>AE180/VLOOKUP(A180,'[33]geoMap (30)'!$A:$B,2,0)*VLOOKUP(A180,'[33]geoMap (30)'!$A:$C,3,0)</f>
        <v>#REF!</v>
      </c>
      <c r="AG180" s="1" t="e">
        <f>AF180/VLOOKUP(A180,'[34]geoMap (31)'!$A:$B,2,0)*VLOOKUP(A180,'[34]geoMap (31)'!$A:$C,3,0)</f>
        <v>#REF!</v>
      </c>
      <c r="AH180" s="1" t="e">
        <f>AG180/VLOOKUP(A180,'[35]geoMap (32)'!$A:$B,2,0)*VLOOKUP(A180,'[35]geoMap (32)'!$A:$C,3,0)</f>
        <v>#REF!</v>
      </c>
      <c r="AI180" s="1" t="e">
        <f>AH180/VLOOKUP(A180,'[36]geoMap (33)'!$A:$B,2,0)*VLOOKUP(A180,'[36]geoMap (33)'!$A:$C,3,0)</f>
        <v>#REF!</v>
      </c>
      <c r="AJ180" s="1" t="e">
        <f>AI180/VLOOKUP(A180,'[37]geoMap (34)'!$A:$B,2,0)*VLOOKUP(A180,'[37]geoMap (34)'!$A:$C,3,0)</f>
        <v>#REF!</v>
      </c>
      <c r="AK180" s="1" t="e">
        <f>AJ180/VLOOKUP(A180,'[38]geoMap (35)'!$A:$B,2,0)*VLOOKUP(A180,'[38]geoMap (35)'!$A:$C,3,0)</f>
        <v>#REF!</v>
      </c>
      <c r="AL180" s="1" t="e">
        <f>AK180/VLOOKUP(A180,'[39]geoMap (36)'!$A:$B,2,0)*VLOOKUP(A180,'[39]geoMap (36)'!$A:$C,3,0)</f>
        <v>#REF!</v>
      </c>
      <c r="AM180" s="1" t="e">
        <f>AL180/VLOOKUP(A180,'[40]geoMap (37)'!$A:$B,2,0)*VLOOKUP(A180,'[40]geoMap (37)'!$A:$C,3,0)</f>
        <v>#REF!</v>
      </c>
      <c r="AN180" s="1" t="e">
        <f>AM180/VLOOKUP(A180,'[41]geoMap (38)'!$A:$B,2,0)*VLOOKUP(A180,'[41]geoMap (38)'!$A:$C,3,0)</f>
        <v>#REF!</v>
      </c>
      <c r="AO180" s="1" t="e">
        <f>AN180/VLOOKUP(A180,'[42]geoMap (39)'!$A:$B,2,0)*VLOOKUP(A180,'[42]geoMap (39)'!$A:$C,3,0)</f>
        <v>#REF!</v>
      </c>
      <c r="AP180" s="1" t="e">
        <f>AO180/VLOOKUP(A180,'[43]geoMap (40)'!$A:$B,2,0)*VLOOKUP(A180,'[43]geoMap (40)'!$A:$C,3,0)</f>
        <v>#REF!</v>
      </c>
      <c r="AQ180" s="1" t="e">
        <f>AP180/VLOOKUP(A180,'[44]geoMap (41)'!$A:$B,2,0)*VLOOKUP(A180,'[44]geoMap (41)'!$A:$C,3,0)</f>
        <v>#REF!</v>
      </c>
      <c r="AR180" s="1" t="e">
        <f>AQ180/VLOOKUP(A180,'[45]geoMap (42)'!$A:$B,2,0)*VLOOKUP(A180,'[45]geoMap (42)'!$A:$C,3,0)</f>
        <v>#REF!</v>
      </c>
      <c r="AS180" s="1" t="e">
        <f>AR180/VLOOKUP(A180,'[46]geoMap (43)'!$A:$B,2,0)*VLOOKUP(A180,'[46]geoMap (43)'!$A:$C,3,0)</f>
        <v>#REF!</v>
      </c>
      <c r="AT180" s="1" t="e">
        <f>AS180/VLOOKUP(A180,'[47]geoMap (44)'!$A:$B,2,0)*VLOOKUP(A180,'[47]geoMap (44)'!$A:$C,3,0)</f>
        <v>#REF!</v>
      </c>
      <c r="AU180" s="1" t="e">
        <f>AT180/VLOOKUP(A180,'[48]geoMap (45)'!$A:$B,2,0)*VLOOKUP(A180,'[48]geoMap (45)'!$A:$C,3,0)</f>
        <v>#REF!</v>
      </c>
      <c r="AV180" s="1" t="e">
        <f>AU180/VLOOKUP(A180,'[49]geoMap (46)'!$A:$B,2,0)*VLOOKUP(A180,'[49]geoMap (46)'!$A:$C,3,0)</f>
        <v>#REF!</v>
      </c>
      <c r="AW180" s="1" t="e">
        <f>AV180/VLOOKUP(A180,'[50]geoMap (47)'!$A:$B,2,0)*VLOOKUP(A180,'[50]geoMap (47)'!$A:$C,3,0)</f>
        <v>#REF!</v>
      </c>
      <c r="AX180" s="1" t="e">
        <f>AW180/VLOOKUP(A180,'[51]geoMap (48)'!$A:$B,2,0)*VLOOKUP(A180,'[51]geoMap (48)'!$A:$C,3,0)</f>
        <v>#REF!</v>
      </c>
      <c r="AY180" s="1" t="e">
        <f>AX180/VLOOKUP(A180,'[52]geoMap (49)'!$A:$B,2,0)*VLOOKUP(A180,'[52]geoMap (49)'!$A:$C,3,0)</f>
        <v>#REF!</v>
      </c>
      <c r="AZ180" s="1" t="e">
        <f>AY180/VLOOKUP(A180,'[53]geoMap (50)'!$A:$B,2,0)*VLOOKUP(A180,'[53]geoMap (50)'!$A:$C,3,0)</f>
        <v>#REF!</v>
      </c>
      <c r="BA180" s="1" t="e">
        <f>AZ180/VLOOKUP(A180,'[54]geoMap (51)'!$A:$B,2,0)*VLOOKUP(A180,'[54]geoMap (51)'!$A:$C,3,0)</f>
        <v>#REF!</v>
      </c>
      <c r="BB180" s="1" t="e">
        <f>BA180/VLOOKUP(A180,'[55]geoMap (52)'!$A:$B,2,0)*VLOOKUP(A180,'[55]geoMap (52)'!$A:$C,3,0)</f>
        <v>#REF!</v>
      </c>
      <c r="BC180" s="1" t="e">
        <f>BB180/VLOOKUP(A180,'[56]geoMap (53)'!$A:$B,2,0)*VLOOKUP(A180,'[56]geoMap (53)'!$A:$C,3,0)</f>
        <v>#REF!</v>
      </c>
      <c r="BD180" s="1" t="e">
        <f>BC180/VLOOKUP(A180,'[57]geoMap (54)'!$A:$B,2,0)*VLOOKUP(A180,'[57]geoMap (54)'!$A:$C,3,0)</f>
        <v>#REF!</v>
      </c>
      <c r="BE180" s="1" t="e">
        <f>BD180/VLOOKUP(A180,'[58]geoMap (55)'!$A:$B,2,0)*VLOOKUP(A180,'[58]geoMap (55)'!$A:$C,3,0)</f>
        <v>#REF!</v>
      </c>
      <c r="BF180" s="1" t="e">
        <f>BE180/VLOOKUP(A180,'[59]geoMap (56)'!$A:$B,2,0)*VLOOKUP(A180,'[59]geoMap (56)'!$A:$C,3,0)</f>
        <v>#REF!</v>
      </c>
      <c r="BG180" s="1" t="e">
        <f>BF180/VLOOKUP(A180,'[60]geoMap (57)'!$A:$B,2,0)*VLOOKUP(A180,'[60]geoMap (57)'!$A:$C,3,0)</f>
        <v>#REF!</v>
      </c>
      <c r="BH180" s="1" t="e">
        <f>BG180/VLOOKUP(A180,'[61]geoMap (58)'!$A:$B,2,0)*VLOOKUP(A180,'[61]geoMap (58)'!$A:$C,3,0)</f>
        <v>#REF!</v>
      </c>
      <c r="BI180" s="1" t="e">
        <f>BH180/VLOOKUP(A180,'[62]geoMap (59)'!$A:$B,2,0)*VLOOKUP(A180,'[62]geoMap (59)'!$A:$C,3,0)</f>
        <v>#REF!</v>
      </c>
      <c r="BJ180" s="1" t="e">
        <f>BI180/VLOOKUP(A180,'[63]geoMap (60)'!$A:$B,2,0)*VLOOKUP(A180,'[63]geoMap (60)'!$A:$C,3,0)</f>
        <v>#REF!</v>
      </c>
      <c r="BK180" s="1" t="e">
        <f>BJ180/VLOOKUP(A180,'[64]geoMap (61)'!$A:$B,2,0)*VLOOKUP(A180,'[64]geoMap (61)'!$A:$C,3,0)</f>
        <v>#REF!</v>
      </c>
      <c r="BL180" s="1" t="e">
        <f>BK180/VLOOKUP(A180,'[65]geoMap (62)'!$A:$B,2,0)*VLOOKUP(A180,'[65]geoMap (62)'!$A:$C,3,0)</f>
        <v>#REF!</v>
      </c>
      <c r="BM180" s="1" t="e">
        <f>BL180/VLOOKUP(A180,'[66]geoMap (63)'!$A:$B,2,0)*VLOOKUP(A180,'[66]geoMap (63)'!$A:$C,3,0)</f>
        <v>#REF!</v>
      </c>
      <c r="BN180" s="1" t="e">
        <f>BM180/VLOOKUP(A180,'[67]geoMap (64)'!$A:$B,2,0)*VLOOKUP(A180,'[67]geoMap (64)'!$A:$C,3,0)</f>
        <v>#REF!</v>
      </c>
      <c r="BO180" s="1" t="e">
        <f>BN180/VLOOKUP(A180,'[68]geoMap (65)'!$A:$B,2,0)*VLOOKUP(A180,'[68]geoMap (65)'!$A:$C,3,0)</f>
        <v>#REF!</v>
      </c>
      <c r="BP180" s="1" t="e">
        <f>BO180/VLOOKUP(A180,'[69]geoMap (66)'!$A:$B,2,0)*VLOOKUP(A180,'[69]geoMap (66)'!$A:$C,3,0)</f>
        <v>#REF!</v>
      </c>
    </row>
    <row r="181" spans="1:68" hidden="1" x14ac:dyDescent="0.2">
      <c r="A181" s="1" t="s">
        <v>181</v>
      </c>
      <c r="B181" s="1" t="e">
        <f>VLOOKUP(A181,[3]geoMap!$A:$B,2,0)*Notes!$C$6</f>
        <v>#REF!</v>
      </c>
      <c r="C181" s="1" t="e">
        <f>B181/VLOOKUP(A181,'[4]geoMap (1)'!$A:$B,2,0)*VLOOKUP(A181,'[4]geoMap (1)'!$A:$C,3,0)</f>
        <v>#REF!</v>
      </c>
      <c r="D181" s="1" t="e">
        <f>C181/VLOOKUP(A181,'[5]geoMap (2)'!$A:$B,2,0)*VLOOKUP(A181,'[5]geoMap (2)'!$A:$C,3,0)</f>
        <v>#REF!</v>
      </c>
      <c r="E181" s="1" t="e">
        <f>D181/VLOOKUP(A181,'[6]geoMap (3)'!$A:$B,2,0)*VLOOKUP(A181,'[6]geoMap (3)'!$A:$C,3,0)</f>
        <v>#REF!</v>
      </c>
      <c r="F181" s="1" t="e">
        <f>E181/VLOOKUP(A181,'[7]geoMap (4)'!$A:$B,2,0)*VLOOKUP(A181,'[7]geoMap (4)'!$A:$C,3,0)</f>
        <v>#REF!</v>
      </c>
      <c r="G181" s="1" t="e">
        <f>F181/VLOOKUP(A181,'[8]geoMap (5)'!$A:$B,2,0)*VLOOKUP(A181,'[8]geoMap (5)'!$A:$C,3,0)</f>
        <v>#REF!</v>
      </c>
      <c r="H181" s="1" t="e">
        <f>G181/VLOOKUP(A181,'[9]geoMap (6)'!$A:$B,2,0)*VLOOKUP(A181,'[9]geoMap (6)'!$A:$C,3,0)</f>
        <v>#REF!</v>
      </c>
      <c r="I181" s="1" t="e">
        <f>H181/VLOOKUP(A181,'[10]geoMap (7)'!$A:$B,2,0)*VLOOKUP(A181,'[10]geoMap (7)'!$A:$C,3,0)</f>
        <v>#REF!</v>
      </c>
      <c r="J181" s="1" t="e">
        <f>I181/VLOOKUP(A181,'[11]geoMap (8)'!$A:$B,2,0)*VLOOKUP(A181,'[11]geoMap (8)'!$A:$C,3,0)</f>
        <v>#REF!</v>
      </c>
      <c r="K181" s="1" t="e">
        <f>J181/VLOOKUP(A181,'[12]geoMap (9)'!$A:$B,2,0)*VLOOKUP(A181,'[12]geoMap (9)'!$A:$C,3,0)</f>
        <v>#REF!</v>
      </c>
      <c r="L181" s="1" t="e">
        <f>K181/VLOOKUP(A181,'[13]geoMap (10)'!$A:$B,2,0)*VLOOKUP(A181,'[13]geoMap (10)'!$A:$C,3,0)</f>
        <v>#REF!</v>
      </c>
      <c r="M181" s="1" t="e">
        <f>L181/VLOOKUP(A181,'[14]geoMap (11)'!$A:$B,2,0)*VLOOKUP(A181,'[14]geoMap (11)'!$A:$C,3,0)</f>
        <v>#REF!</v>
      </c>
      <c r="N181" s="1" t="e">
        <f>M181/VLOOKUP(A181,'[15]geoMap (12)'!$A:$B,2,0)*VLOOKUP(A181,'[15]geoMap (12)'!$A:$C,3,0)</f>
        <v>#REF!</v>
      </c>
      <c r="O181" s="1" t="e">
        <f>N181/VLOOKUP(A181,'[16]geoMap (13)'!$A:$B,2,0)*VLOOKUP(A181,'[16]geoMap (13)'!$A:$C,3,0)</f>
        <v>#REF!</v>
      </c>
      <c r="P181" s="1" t="e">
        <f>O181/VLOOKUP(A181,'[17]geoMap (14)'!$A:$B,2,0)*VLOOKUP(A181,'[17]geoMap (14)'!$A:$C,3,0)</f>
        <v>#REF!</v>
      </c>
      <c r="Q181" s="1" t="e">
        <f>P181/VLOOKUP(A181,'[18]geoMap (15)'!$A:$B,2,0)*VLOOKUP(A181,'[18]geoMap (15)'!$A:$C,3,0)</f>
        <v>#REF!</v>
      </c>
      <c r="R181" s="1" t="e">
        <f>Q181/VLOOKUP(A181,'[19]geoMap (16)'!$A:$B,2,0)*VLOOKUP(A181,'[19]geoMap (16)'!$A:$C,3,0)</f>
        <v>#REF!</v>
      </c>
      <c r="S181" s="1" t="e">
        <f>R181/VLOOKUP(A181,'[20]geoMap (17)'!$A:$B,2,0)*VLOOKUP(A181,'[20]geoMap (17)'!$A:$C,3,0)</f>
        <v>#REF!</v>
      </c>
      <c r="T181" s="1" t="e">
        <f>S181/VLOOKUP(A181,'[21]geoMap (18)'!$A:$B,2,0)*VLOOKUP(A181,'[21]geoMap (18)'!$A:$C,3,0)</f>
        <v>#REF!</v>
      </c>
      <c r="U181" s="1" t="e">
        <f>T181/VLOOKUP(A181,'[22]geoMap (19)'!$A:$B,2,0)*VLOOKUP(A181,'[22]geoMap (19)'!$A:$C,3,0)</f>
        <v>#REF!</v>
      </c>
      <c r="V181" s="1" t="e">
        <f>U181/VLOOKUP(A181,'[23]geoMap (20)'!$A:$B,2,0)*VLOOKUP(A181,'[23]geoMap (20)'!$A:$C,3,0)</f>
        <v>#REF!</v>
      </c>
      <c r="W181" s="1" t="e">
        <f>V181/VLOOKUP(A181,'[24]geoMap (21)'!$A:$B,2,0)*VLOOKUP(A181,'[24]geoMap (21)'!$A:$C,3,0)</f>
        <v>#REF!</v>
      </c>
      <c r="X181" s="1" t="e">
        <f>W181/VLOOKUP(A181,'[25]geoMap (22)'!$A:$B,2,0)*VLOOKUP(A181,'[25]geoMap (22)'!$A:$C,3,0)</f>
        <v>#REF!</v>
      </c>
      <c r="Y181" s="1" t="e">
        <f>X181/VLOOKUP(A181,'[26]geoMap (23)'!$A:$B,2,0)*VLOOKUP(A181,'[26]geoMap (23)'!$A:$C,3,0)</f>
        <v>#REF!</v>
      </c>
      <c r="Z181" s="1" t="e">
        <f>Y181/VLOOKUP(A181,'[27]geoMap (24)'!$A:$B,2,0)*VLOOKUP(A181,'[27]geoMap (24)'!$A:$C,3,0)</f>
        <v>#REF!</v>
      </c>
      <c r="AA181" s="1" t="e">
        <f>Z181/VLOOKUP(A181,'[28]geoMap (25)'!$A:$B,2,0)*VLOOKUP(A181,'[28]geoMap (25)'!$A:$C,3,0)</f>
        <v>#REF!</v>
      </c>
      <c r="AB181" s="1" t="e">
        <f>AA181*VLOOKUP(A181,'[29]geoMap (26)'!$A:$B,2,0)*VLOOKUP(A181,'[29]geoMap (26)'!$A:$C,3,0)</f>
        <v>#REF!</v>
      </c>
      <c r="AC181" s="1" t="e">
        <f>AB181/VLOOKUP(A181,'[30]geoMap (27)'!$A:$B,2,0)*VLOOKUP(A181,'[30]geoMap (27)'!$A:$C,3,0)</f>
        <v>#REF!</v>
      </c>
      <c r="AD181" s="1" t="e">
        <f>AC181/VLOOKUP(A181,'[31]geoMap (28)'!$A:$B,2,0)*VLOOKUP(A181,'[31]geoMap (28)'!$A:$C,3,0)</f>
        <v>#REF!</v>
      </c>
      <c r="AE181" s="1" t="e">
        <f>AD181/VLOOKUP(A181,'[32]geoMap (29)'!$A:$B,2,0)*VLOOKUP(A181,'[32]geoMap (29)'!$A:$C,3,0)</f>
        <v>#REF!</v>
      </c>
      <c r="AF181" s="1" t="e">
        <f>AE181/VLOOKUP(A181,'[33]geoMap (30)'!$A:$B,2,0)*VLOOKUP(A181,'[33]geoMap (30)'!$A:$C,3,0)</f>
        <v>#REF!</v>
      </c>
      <c r="AG181" s="1" t="e">
        <f>AF181/VLOOKUP(A181,'[34]geoMap (31)'!$A:$B,2,0)*VLOOKUP(A181,'[34]geoMap (31)'!$A:$C,3,0)</f>
        <v>#REF!</v>
      </c>
      <c r="AH181" s="1" t="e">
        <f>AG181/VLOOKUP(A181,'[35]geoMap (32)'!$A:$B,2,0)*VLOOKUP(A181,'[35]geoMap (32)'!$A:$C,3,0)</f>
        <v>#REF!</v>
      </c>
      <c r="AI181" s="1" t="e">
        <f>AH181/VLOOKUP(A181,'[36]geoMap (33)'!$A:$B,2,0)*VLOOKUP(A181,'[36]geoMap (33)'!$A:$C,3,0)</f>
        <v>#REF!</v>
      </c>
      <c r="AJ181" s="1" t="e">
        <f>AI181/VLOOKUP(A181,'[37]geoMap (34)'!$A:$B,2,0)*VLOOKUP(A181,'[37]geoMap (34)'!$A:$C,3,0)</f>
        <v>#REF!</v>
      </c>
      <c r="AK181" s="1" t="e">
        <f>AJ181/VLOOKUP(A181,'[38]geoMap (35)'!$A:$B,2,0)*VLOOKUP(A181,'[38]geoMap (35)'!$A:$C,3,0)</f>
        <v>#REF!</v>
      </c>
      <c r="AL181" s="1" t="e">
        <f>AK181/VLOOKUP(A181,'[39]geoMap (36)'!$A:$B,2,0)*VLOOKUP(A181,'[39]geoMap (36)'!$A:$C,3,0)</f>
        <v>#REF!</v>
      </c>
      <c r="AM181" s="1" t="e">
        <f>AL181/VLOOKUP(A181,'[40]geoMap (37)'!$A:$B,2,0)*VLOOKUP(A181,'[40]geoMap (37)'!$A:$C,3,0)</f>
        <v>#REF!</v>
      </c>
      <c r="AN181" s="1" t="e">
        <f>AM181/VLOOKUP(A181,'[41]geoMap (38)'!$A:$B,2,0)*VLOOKUP(A181,'[41]geoMap (38)'!$A:$C,3,0)</f>
        <v>#REF!</v>
      </c>
      <c r="AO181" s="1" t="e">
        <f>AN181/VLOOKUP(A181,'[42]geoMap (39)'!$A:$B,2,0)*VLOOKUP(A181,'[42]geoMap (39)'!$A:$C,3,0)</f>
        <v>#REF!</v>
      </c>
      <c r="AP181" s="1" t="e">
        <f>AO181/VLOOKUP(A181,'[43]geoMap (40)'!$A:$B,2,0)*VLOOKUP(A181,'[43]geoMap (40)'!$A:$C,3,0)</f>
        <v>#REF!</v>
      </c>
      <c r="AQ181" s="1" t="e">
        <f>AP181/VLOOKUP(A181,'[44]geoMap (41)'!$A:$B,2,0)*VLOOKUP(A181,'[44]geoMap (41)'!$A:$C,3,0)</f>
        <v>#REF!</v>
      </c>
      <c r="AR181" s="1" t="e">
        <f>AQ181/VLOOKUP(A181,'[45]geoMap (42)'!$A:$B,2,0)*VLOOKUP(A181,'[45]geoMap (42)'!$A:$C,3,0)</f>
        <v>#REF!</v>
      </c>
      <c r="AS181" s="1" t="e">
        <f>AR181/VLOOKUP(A181,'[46]geoMap (43)'!$A:$B,2,0)*VLOOKUP(A181,'[46]geoMap (43)'!$A:$C,3,0)</f>
        <v>#REF!</v>
      </c>
      <c r="AT181" s="1" t="e">
        <f>AS181/VLOOKUP(A181,'[47]geoMap (44)'!$A:$B,2,0)*VLOOKUP(A181,'[47]geoMap (44)'!$A:$C,3,0)</f>
        <v>#REF!</v>
      </c>
      <c r="AU181" s="1" t="e">
        <f>AT181/VLOOKUP(A181,'[48]geoMap (45)'!$A:$B,2,0)*VLOOKUP(A181,'[48]geoMap (45)'!$A:$C,3,0)</f>
        <v>#REF!</v>
      </c>
      <c r="AV181" s="1" t="e">
        <f>AU181/VLOOKUP(A181,'[49]geoMap (46)'!$A:$B,2,0)*VLOOKUP(A181,'[49]geoMap (46)'!$A:$C,3,0)</f>
        <v>#REF!</v>
      </c>
      <c r="AW181" s="1" t="e">
        <f>AV181/VLOOKUP(A181,'[50]geoMap (47)'!$A:$B,2,0)*VLOOKUP(A181,'[50]geoMap (47)'!$A:$C,3,0)</f>
        <v>#REF!</v>
      </c>
      <c r="AX181" s="1" t="e">
        <f>AW181/VLOOKUP(A181,'[51]geoMap (48)'!$A:$B,2,0)*VLOOKUP(A181,'[51]geoMap (48)'!$A:$C,3,0)</f>
        <v>#REF!</v>
      </c>
      <c r="AY181" s="1" t="e">
        <f>AX181/VLOOKUP(A181,'[52]geoMap (49)'!$A:$B,2,0)*VLOOKUP(A181,'[52]geoMap (49)'!$A:$C,3,0)</f>
        <v>#REF!</v>
      </c>
      <c r="AZ181" s="1" t="e">
        <f>AY181/VLOOKUP(A181,'[53]geoMap (50)'!$A:$B,2,0)*VLOOKUP(A181,'[53]geoMap (50)'!$A:$C,3,0)</f>
        <v>#REF!</v>
      </c>
      <c r="BA181" s="1" t="e">
        <f>AZ181/VLOOKUP(A181,'[54]geoMap (51)'!$A:$B,2,0)*VLOOKUP(A181,'[54]geoMap (51)'!$A:$C,3,0)</f>
        <v>#REF!</v>
      </c>
      <c r="BB181" s="1" t="e">
        <f>BA181/VLOOKUP(A181,'[55]geoMap (52)'!$A:$B,2,0)*VLOOKUP(A181,'[55]geoMap (52)'!$A:$C,3,0)</f>
        <v>#REF!</v>
      </c>
      <c r="BC181" s="1" t="e">
        <f>BB181/VLOOKUP(A181,'[56]geoMap (53)'!$A:$B,2,0)*VLOOKUP(A181,'[56]geoMap (53)'!$A:$C,3,0)</f>
        <v>#REF!</v>
      </c>
      <c r="BD181" s="1" t="e">
        <f>BC181/VLOOKUP(A181,'[57]geoMap (54)'!$A:$B,2,0)*VLOOKUP(A181,'[57]geoMap (54)'!$A:$C,3,0)</f>
        <v>#REF!</v>
      </c>
      <c r="BE181" s="1" t="e">
        <f>BD181/VLOOKUP(A181,'[58]geoMap (55)'!$A:$B,2,0)*VLOOKUP(A181,'[58]geoMap (55)'!$A:$C,3,0)</f>
        <v>#REF!</v>
      </c>
      <c r="BF181" s="1" t="e">
        <f>BE181/VLOOKUP(A181,'[59]geoMap (56)'!$A:$B,2,0)*VLOOKUP(A181,'[59]geoMap (56)'!$A:$C,3,0)</f>
        <v>#REF!</v>
      </c>
      <c r="BG181" s="1" t="e">
        <f>BF181/VLOOKUP(A181,'[60]geoMap (57)'!$A:$B,2,0)*VLOOKUP(A181,'[60]geoMap (57)'!$A:$C,3,0)</f>
        <v>#REF!</v>
      </c>
      <c r="BH181" s="1" t="e">
        <f>BG181/VLOOKUP(A181,'[61]geoMap (58)'!$A:$B,2,0)*VLOOKUP(A181,'[61]geoMap (58)'!$A:$C,3,0)</f>
        <v>#REF!</v>
      </c>
      <c r="BI181" s="1" t="e">
        <f>BH181/VLOOKUP(A181,'[62]geoMap (59)'!$A:$B,2,0)*VLOOKUP(A181,'[62]geoMap (59)'!$A:$C,3,0)</f>
        <v>#REF!</v>
      </c>
      <c r="BJ181" s="1" t="e">
        <f>BI181/VLOOKUP(A181,'[63]geoMap (60)'!$A:$B,2,0)*VLOOKUP(A181,'[63]geoMap (60)'!$A:$C,3,0)</f>
        <v>#REF!</v>
      </c>
      <c r="BK181" s="1" t="e">
        <f>BJ181/VLOOKUP(A181,'[64]geoMap (61)'!$A:$B,2,0)*VLOOKUP(A181,'[64]geoMap (61)'!$A:$C,3,0)</f>
        <v>#REF!</v>
      </c>
      <c r="BL181" s="1" t="e">
        <f>BK181/VLOOKUP(A181,'[65]geoMap (62)'!$A:$B,2,0)*VLOOKUP(A181,'[65]geoMap (62)'!$A:$C,3,0)</f>
        <v>#REF!</v>
      </c>
      <c r="BM181" s="1" t="e">
        <f>BL181/VLOOKUP(A181,'[66]geoMap (63)'!$A:$B,2,0)*VLOOKUP(A181,'[66]geoMap (63)'!$A:$C,3,0)</f>
        <v>#REF!</v>
      </c>
      <c r="BN181" s="1" t="e">
        <f>BM181/VLOOKUP(A181,'[67]geoMap (64)'!$A:$B,2,0)*VLOOKUP(A181,'[67]geoMap (64)'!$A:$C,3,0)</f>
        <v>#REF!</v>
      </c>
      <c r="BO181" s="1" t="e">
        <f>BN181/VLOOKUP(A181,'[68]geoMap (65)'!$A:$B,2,0)*VLOOKUP(A181,'[68]geoMap (65)'!$A:$C,3,0)</f>
        <v>#REF!</v>
      </c>
      <c r="BP181" s="1" t="e">
        <f>BO181/VLOOKUP(A181,'[69]geoMap (66)'!$A:$B,2,0)*VLOOKUP(A181,'[69]geoMap (66)'!$A:$C,3,0)</f>
        <v>#REF!</v>
      </c>
    </row>
    <row r="182" spans="1:68" hidden="1" x14ac:dyDescent="0.2">
      <c r="A182" s="1" t="s">
        <v>182</v>
      </c>
      <c r="B182" s="1" t="e">
        <f>VLOOKUP(A182,[3]geoMap!$A:$B,2,0)*Notes!$C$6</f>
        <v>#REF!</v>
      </c>
      <c r="C182" s="1" t="e">
        <f>B182/VLOOKUP(A182,'[4]geoMap (1)'!$A:$B,2,0)*VLOOKUP(A182,'[4]geoMap (1)'!$A:$C,3,0)</f>
        <v>#REF!</v>
      </c>
      <c r="D182" s="1" t="e">
        <f>C182/VLOOKUP(A182,'[5]geoMap (2)'!$A:$B,2,0)*VLOOKUP(A182,'[5]geoMap (2)'!$A:$C,3,0)</f>
        <v>#REF!</v>
      </c>
      <c r="E182" s="1" t="e">
        <f>D182/VLOOKUP(A182,'[6]geoMap (3)'!$A:$B,2,0)*VLOOKUP(A182,'[6]geoMap (3)'!$A:$C,3,0)</f>
        <v>#REF!</v>
      </c>
      <c r="F182" s="1" t="e">
        <f>E182/VLOOKUP(A182,'[7]geoMap (4)'!$A:$B,2,0)*VLOOKUP(A182,'[7]geoMap (4)'!$A:$C,3,0)</f>
        <v>#REF!</v>
      </c>
      <c r="G182" s="1" t="e">
        <f>F182/VLOOKUP(A182,'[8]geoMap (5)'!$A:$B,2,0)*VLOOKUP(A182,'[8]geoMap (5)'!$A:$C,3,0)</f>
        <v>#REF!</v>
      </c>
      <c r="H182" s="1" t="e">
        <f>G182/VLOOKUP(A182,'[9]geoMap (6)'!$A:$B,2,0)*VLOOKUP(A182,'[9]geoMap (6)'!$A:$C,3,0)</f>
        <v>#REF!</v>
      </c>
      <c r="I182" s="1" t="e">
        <f>H182/VLOOKUP(A182,'[10]geoMap (7)'!$A:$B,2,0)*VLOOKUP(A182,'[10]geoMap (7)'!$A:$C,3,0)</f>
        <v>#REF!</v>
      </c>
      <c r="J182" s="1" t="e">
        <f>I182/VLOOKUP(A182,'[11]geoMap (8)'!$A:$B,2,0)*VLOOKUP(A182,'[11]geoMap (8)'!$A:$C,3,0)</f>
        <v>#REF!</v>
      </c>
      <c r="K182" s="1" t="e">
        <f>J182/VLOOKUP(A182,'[12]geoMap (9)'!$A:$B,2,0)*VLOOKUP(A182,'[12]geoMap (9)'!$A:$C,3,0)</f>
        <v>#REF!</v>
      </c>
      <c r="L182" s="1" t="e">
        <f>K182/VLOOKUP(A182,'[13]geoMap (10)'!$A:$B,2,0)*VLOOKUP(A182,'[13]geoMap (10)'!$A:$C,3,0)</f>
        <v>#REF!</v>
      </c>
      <c r="M182" s="1" t="e">
        <f>L182/VLOOKUP(A182,'[14]geoMap (11)'!$A:$B,2,0)*VLOOKUP(A182,'[14]geoMap (11)'!$A:$C,3,0)</f>
        <v>#REF!</v>
      </c>
      <c r="N182" s="1" t="e">
        <f>M182/VLOOKUP(A182,'[15]geoMap (12)'!$A:$B,2,0)*VLOOKUP(A182,'[15]geoMap (12)'!$A:$C,3,0)</f>
        <v>#REF!</v>
      </c>
      <c r="O182" s="1" t="e">
        <f>N182/VLOOKUP(A182,'[16]geoMap (13)'!$A:$B,2,0)*VLOOKUP(A182,'[16]geoMap (13)'!$A:$C,3,0)</f>
        <v>#REF!</v>
      </c>
      <c r="P182" s="1" t="e">
        <f>O182/VLOOKUP(A182,'[17]geoMap (14)'!$A:$B,2,0)*VLOOKUP(A182,'[17]geoMap (14)'!$A:$C,3,0)</f>
        <v>#REF!</v>
      </c>
      <c r="Q182" s="1" t="e">
        <f>P182/VLOOKUP(A182,'[18]geoMap (15)'!$A:$B,2,0)*VLOOKUP(A182,'[18]geoMap (15)'!$A:$C,3,0)</f>
        <v>#REF!</v>
      </c>
      <c r="R182" s="1" t="e">
        <f>Q182/VLOOKUP(A182,'[19]geoMap (16)'!$A:$B,2,0)*VLOOKUP(A182,'[19]geoMap (16)'!$A:$C,3,0)</f>
        <v>#REF!</v>
      </c>
      <c r="S182" s="1" t="e">
        <f>R182/VLOOKUP(A182,'[20]geoMap (17)'!$A:$B,2,0)*VLOOKUP(A182,'[20]geoMap (17)'!$A:$C,3,0)</f>
        <v>#REF!</v>
      </c>
      <c r="T182" s="1" t="e">
        <f>S182/VLOOKUP(A182,'[21]geoMap (18)'!$A:$B,2,0)*VLOOKUP(A182,'[21]geoMap (18)'!$A:$C,3,0)</f>
        <v>#REF!</v>
      </c>
      <c r="U182" s="1" t="e">
        <f>T182/VLOOKUP(A182,'[22]geoMap (19)'!$A:$B,2,0)*VLOOKUP(A182,'[22]geoMap (19)'!$A:$C,3,0)</f>
        <v>#REF!</v>
      </c>
      <c r="V182" s="1" t="e">
        <f>U182/VLOOKUP(A182,'[23]geoMap (20)'!$A:$B,2,0)*VLOOKUP(A182,'[23]geoMap (20)'!$A:$C,3,0)</f>
        <v>#REF!</v>
      </c>
      <c r="W182" s="1" t="e">
        <f>V182/VLOOKUP(A182,'[24]geoMap (21)'!$A:$B,2,0)*VLOOKUP(A182,'[24]geoMap (21)'!$A:$C,3,0)</f>
        <v>#REF!</v>
      </c>
      <c r="X182" s="1" t="e">
        <f>W182/VLOOKUP(A182,'[25]geoMap (22)'!$A:$B,2,0)*VLOOKUP(A182,'[25]geoMap (22)'!$A:$C,3,0)</f>
        <v>#REF!</v>
      </c>
      <c r="Y182" s="1" t="e">
        <f>X182/VLOOKUP(A182,'[26]geoMap (23)'!$A:$B,2,0)*VLOOKUP(A182,'[26]geoMap (23)'!$A:$C,3,0)</f>
        <v>#REF!</v>
      </c>
      <c r="Z182" s="1" t="e">
        <f>Y182/VLOOKUP(A182,'[27]geoMap (24)'!$A:$B,2,0)*VLOOKUP(A182,'[27]geoMap (24)'!$A:$C,3,0)</f>
        <v>#REF!</v>
      </c>
      <c r="AA182" s="1" t="e">
        <f>Z182/VLOOKUP(A182,'[28]geoMap (25)'!$A:$B,2,0)*VLOOKUP(A182,'[28]geoMap (25)'!$A:$C,3,0)</f>
        <v>#REF!</v>
      </c>
      <c r="AB182" s="1" t="e">
        <f>AA182*VLOOKUP(A182,'[29]geoMap (26)'!$A:$B,2,0)*VLOOKUP(A182,'[29]geoMap (26)'!$A:$C,3,0)</f>
        <v>#REF!</v>
      </c>
      <c r="AC182" s="1" t="e">
        <f>AB182/VLOOKUP(A182,'[30]geoMap (27)'!$A:$B,2,0)*VLOOKUP(A182,'[30]geoMap (27)'!$A:$C,3,0)</f>
        <v>#REF!</v>
      </c>
      <c r="AD182" s="1" t="e">
        <f>AC182/VLOOKUP(A182,'[31]geoMap (28)'!$A:$B,2,0)*VLOOKUP(A182,'[31]geoMap (28)'!$A:$C,3,0)</f>
        <v>#REF!</v>
      </c>
      <c r="AE182" s="1" t="e">
        <f>AD182/VLOOKUP(A182,'[32]geoMap (29)'!$A:$B,2,0)*VLOOKUP(A182,'[32]geoMap (29)'!$A:$C,3,0)</f>
        <v>#REF!</v>
      </c>
      <c r="AF182" s="1" t="e">
        <f>AE182/VLOOKUP(A182,'[33]geoMap (30)'!$A:$B,2,0)*VLOOKUP(A182,'[33]geoMap (30)'!$A:$C,3,0)</f>
        <v>#REF!</v>
      </c>
      <c r="AG182" s="1" t="e">
        <f>AF182/VLOOKUP(A182,'[34]geoMap (31)'!$A:$B,2,0)*VLOOKUP(A182,'[34]geoMap (31)'!$A:$C,3,0)</f>
        <v>#REF!</v>
      </c>
      <c r="AH182" s="1" t="e">
        <f>AG182/VLOOKUP(A182,'[35]geoMap (32)'!$A:$B,2,0)*VLOOKUP(A182,'[35]geoMap (32)'!$A:$C,3,0)</f>
        <v>#REF!</v>
      </c>
      <c r="AI182" s="1" t="e">
        <f>AH182/VLOOKUP(A182,'[36]geoMap (33)'!$A:$B,2,0)*VLOOKUP(A182,'[36]geoMap (33)'!$A:$C,3,0)</f>
        <v>#REF!</v>
      </c>
      <c r="AJ182" s="1" t="e">
        <f>AI182/VLOOKUP(A182,'[37]geoMap (34)'!$A:$B,2,0)*VLOOKUP(A182,'[37]geoMap (34)'!$A:$C,3,0)</f>
        <v>#REF!</v>
      </c>
      <c r="AK182" s="1" t="e">
        <f>AJ182/VLOOKUP(A182,'[38]geoMap (35)'!$A:$B,2,0)*VLOOKUP(A182,'[38]geoMap (35)'!$A:$C,3,0)</f>
        <v>#REF!</v>
      </c>
      <c r="AL182" s="1" t="e">
        <f>AK182/VLOOKUP(A182,'[39]geoMap (36)'!$A:$B,2,0)*VLOOKUP(A182,'[39]geoMap (36)'!$A:$C,3,0)</f>
        <v>#REF!</v>
      </c>
      <c r="AM182" s="1" t="e">
        <f>AL182/VLOOKUP(A182,'[40]geoMap (37)'!$A:$B,2,0)*VLOOKUP(A182,'[40]geoMap (37)'!$A:$C,3,0)</f>
        <v>#REF!</v>
      </c>
      <c r="AN182" s="1" t="e">
        <f>AM182/VLOOKUP(A182,'[41]geoMap (38)'!$A:$B,2,0)*VLOOKUP(A182,'[41]geoMap (38)'!$A:$C,3,0)</f>
        <v>#REF!</v>
      </c>
      <c r="AO182" s="1" t="e">
        <f>AN182/VLOOKUP(A182,'[42]geoMap (39)'!$A:$B,2,0)*VLOOKUP(A182,'[42]geoMap (39)'!$A:$C,3,0)</f>
        <v>#REF!</v>
      </c>
      <c r="AP182" s="1" t="e">
        <f>AO182/VLOOKUP(A182,'[43]geoMap (40)'!$A:$B,2,0)*VLOOKUP(A182,'[43]geoMap (40)'!$A:$C,3,0)</f>
        <v>#REF!</v>
      </c>
      <c r="AQ182" s="1" t="e">
        <f>AP182/VLOOKUP(A182,'[44]geoMap (41)'!$A:$B,2,0)*VLOOKUP(A182,'[44]geoMap (41)'!$A:$C,3,0)</f>
        <v>#REF!</v>
      </c>
      <c r="AR182" s="1" t="e">
        <f>AQ182/VLOOKUP(A182,'[45]geoMap (42)'!$A:$B,2,0)*VLOOKUP(A182,'[45]geoMap (42)'!$A:$C,3,0)</f>
        <v>#REF!</v>
      </c>
      <c r="AS182" s="1" t="e">
        <f>AR182/VLOOKUP(A182,'[46]geoMap (43)'!$A:$B,2,0)*VLOOKUP(A182,'[46]geoMap (43)'!$A:$C,3,0)</f>
        <v>#REF!</v>
      </c>
      <c r="AT182" s="1" t="e">
        <f>AS182/VLOOKUP(A182,'[47]geoMap (44)'!$A:$B,2,0)*VLOOKUP(A182,'[47]geoMap (44)'!$A:$C,3,0)</f>
        <v>#REF!</v>
      </c>
      <c r="AU182" s="1" t="e">
        <f>AT182/VLOOKUP(A182,'[48]geoMap (45)'!$A:$B,2,0)*VLOOKUP(A182,'[48]geoMap (45)'!$A:$C,3,0)</f>
        <v>#REF!</v>
      </c>
      <c r="AV182" s="1" t="e">
        <f>AU182/VLOOKUP(A182,'[49]geoMap (46)'!$A:$B,2,0)*VLOOKUP(A182,'[49]geoMap (46)'!$A:$C,3,0)</f>
        <v>#REF!</v>
      </c>
      <c r="AW182" s="1" t="e">
        <f>AV182/VLOOKUP(A182,'[50]geoMap (47)'!$A:$B,2,0)*VLOOKUP(A182,'[50]geoMap (47)'!$A:$C,3,0)</f>
        <v>#REF!</v>
      </c>
      <c r="AX182" s="1" t="e">
        <f>AW182/VLOOKUP(A182,'[51]geoMap (48)'!$A:$B,2,0)*VLOOKUP(A182,'[51]geoMap (48)'!$A:$C,3,0)</f>
        <v>#REF!</v>
      </c>
      <c r="AY182" s="1" t="e">
        <f>AX182/VLOOKUP(A182,'[52]geoMap (49)'!$A:$B,2,0)*VLOOKUP(A182,'[52]geoMap (49)'!$A:$C,3,0)</f>
        <v>#REF!</v>
      </c>
      <c r="AZ182" s="1" t="e">
        <f>AY182/VLOOKUP(A182,'[53]geoMap (50)'!$A:$B,2,0)*VLOOKUP(A182,'[53]geoMap (50)'!$A:$C,3,0)</f>
        <v>#REF!</v>
      </c>
      <c r="BA182" s="1" t="e">
        <f>AZ182/VLOOKUP(A182,'[54]geoMap (51)'!$A:$B,2,0)*VLOOKUP(A182,'[54]geoMap (51)'!$A:$C,3,0)</f>
        <v>#REF!</v>
      </c>
      <c r="BB182" s="1" t="e">
        <f>BA182/VLOOKUP(A182,'[55]geoMap (52)'!$A:$B,2,0)*VLOOKUP(A182,'[55]geoMap (52)'!$A:$C,3,0)</f>
        <v>#REF!</v>
      </c>
      <c r="BC182" s="1" t="e">
        <f>BB182/VLOOKUP(A182,'[56]geoMap (53)'!$A:$B,2,0)*VLOOKUP(A182,'[56]geoMap (53)'!$A:$C,3,0)</f>
        <v>#REF!</v>
      </c>
      <c r="BD182" s="1" t="e">
        <f>BC182/VLOOKUP(A182,'[57]geoMap (54)'!$A:$B,2,0)*VLOOKUP(A182,'[57]geoMap (54)'!$A:$C,3,0)</f>
        <v>#REF!</v>
      </c>
      <c r="BE182" s="1" t="e">
        <f>BD182/VLOOKUP(A182,'[58]geoMap (55)'!$A:$B,2,0)*VLOOKUP(A182,'[58]geoMap (55)'!$A:$C,3,0)</f>
        <v>#REF!</v>
      </c>
      <c r="BF182" s="1" t="e">
        <f>BE182/VLOOKUP(A182,'[59]geoMap (56)'!$A:$B,2,0)*VLOOKUP(A182,'[59]geoMap (56)'!$A:$C,3,0)</f>
        <v>#REF!</v>
      </c>
      <c r="BG182" s="1" t="e">
        <f>BF182/VLOOKUP(A182,'[60]geoMap (57)'!$A:$B,2,0)*VLOOKUP(A182,'[60]geoMap (57)'!$A:$C,3,0)</f>
        <v>#REF!</v>
      </c>
      <c r="BH182" s="1" t="e">
        <f>BG182/VLOOKUP(A182,'[61]geoMap (58)'!$A:$B,2,0)*VLOOKUP(A182,'[61]geoMap (58)'!$A:$C,3,0)</f>
        <v>#REF!</v>
      </c>
      <c r="BI182" s="1" t="e">
        <f>BH182/VLOOKUP(A182,'[62]geoMap (59)'!$A:$B,2,0)*VLOOKUP(A182,'[62]geoMap (59)'!$A:$C,3,0)</f>
        <v>#REF!</v>
      </c>
      <c r="BJ182" s="1" t="e">
        <f>BI182/VLOOKUP(A182,'[63]geoMap (60)'!$A:$B,2,0)*VLOOKUP(A182,'[63]geoMap (60)'!$A:$C,3,0)</f>
        <v>#REF!</v>
      </c>
      <c r="BK182" s="1" t="e">
        <f>BJ182/VLOOKUP(A182,'[64]geoMap (61)'!$A:$B,2,0)*VLOOKUP(A182,'[64]geoMap (61)'!$A:$C,3,0)</f>
        <v>#REF!</v>
      </c>
      <c r="BL182" s="1" t="e">
        <f>BK182/VLOOKUP(A182,'[65]geoMap (62)'!$A:$B,2,0)*VLOOKUP(A182,'[65]geoMap (62)'!$A:$C,3,0)</f>
        <v>#REF!</v>
      </c>
      <c r="BM182" s="1" t="e">
        <f>BL182/VLOOKUP(A182,'[66]geoMap (63)'!$A:$B,2,0)*VLOOKUP(A182,'[66]geoMap (63)'!$A:$C,3,0)</f>
        <v>#REF!</v>
      </c>
      <c r="BN182" s="1" t="e">
        <f>BM182/VLOOKUP(A182,'[67]geoMap (64)'!$A:$B,2,0)*VLOOKUP(A182,'[67]geoMap (64)'!$A:$C,3,0)</f>
        <v>#REF!</v>
      </c>
      <c r="BO182" s="1" t="e">
        <f>BN182/VLOOKUP(A182,'[68]geoMap (65)'!$A:$B,2,0)*VLOOKUP(A182,'[68]geoMap (65)'!$A:$C,3,0)</f>
        <v>#REF!</v>
      </c>
      <c r="BP182" s="1" t="e">
        <f>BO182/VLOOKUP(A182,'[69]geoMap (66)'!$A:$B,2,0)*VLOOKUP(A182,'[69]geoMap (66)'!$A:$C,3,0)</f>
        <v>#REF!</v>
      </c>
    </row>
    <row r="183" spans="1:68" hidden="1" x14ac:dyDescent="0.2">
      <c r="A183" s="1" t="s">
        <v>183</v>
      </c>
      <c r="B183" s="1" t="e">
        <f>VLOOKUP(A183,[3]geoMap!$A:$B,2,0)*Notes!$C$6</f>
        <v>#REF!</v>
      </c>
      <c r="C183" s="1" t="e">
        <f>B183/VLOOKUP(A183,'[4]geoMap (1)'!$A:$B,2,0)*VLOOKUP(A183,'[4]geoMap (1)'!$A:$C,3,0)</f>
        <v>#REF!</v>
      </c>
      <c r="D183" s="1" t="e">
        <f>C183/VLOOKUP(A183,'[5]geoMap (2)'!$A:$B,2,0)*VLOOKUP(A183,'[5]geoMap (2)'!$A:$C,3,0)</f>
        <v>#REF!</v>
      </c>
      <c r="E183" s="1" t="e">
        <f>D183/VLOOKUP(A183,'[6]geoMap (3)'!$A:$B,2,0)*VLOOKUP(A183,'[6]geoMap (3)'!$A:$C,3,0)</f>
        <v>#REF!</v>
      </c>
      <c r="F183" s="1" t="e">
        <f>E183/VLOOKUP(A183,'[7]geoMap (4)'!$A:$B,2,0)*VLOOKUP(A183,'[7]geoMap (4)'!$A:$C,3,0)</f>
        <v>#REF!</v>
      </c>
      <c r="G183" s="1" t="e">
        <f>F183/VLOOKUP(A183,'[8]geoMap (5)'!$A:$B,2,0)*VLOOKUP(A183,'[8]geoMap (5)'!$A:$C,3,0)</f>
        <v>#REF!</v>
      </c>
      <c r="H183" s="1" t="e">
        <f>G183/VLOOKUP(A183,'[9]geoMap (6)'!$A:$B,2,0)*VLOOKUP(A183,'[9]geoMap (6)'!$A:$C,3,0)</f>
        <v>#REF!</v>
      </c>
      <c r="I183" s="1" t="e">
        <f>H183/VLOOKUP(A183,'[10]geoMap (7)'!$A:$B,2,0)*VLOOKUP(A183,'[10]geoMap (7)'!$A:$C,3,0)</f>
        <v>#REF!</v>
      </c>
      <c r="J183" s="1" t="e">
        <f>I183/VLOOKUP(A183,'[11]geoMap (8)'!$A:$B,2,0)*VLOOKUP(A183,'[11]geoMap (8)'!$A:$C,3,0)</f>
        <v>#REF!</v>
      </c>
      <c r="K183" s="1" t="e">
        <f>J183/VLOOKUP(A183,'[12]geoMap (9)'!$A:$B,2,0)*VLOOKUP(A183,'[12]geoMap (9)'!$A:$C,3,0)</f>
        <v>#REF!</v>
      </c>
      <c r="L183" s="1" t="e">
        <f>K183/VLOOKUP(A183,'[13]geoMap (10)'!$A:$B,2,0)*VLOOKUP(A183,'[13]geoMap (10)'!$A:$C,3,0)</f>
        <v>#REF!</v>
      </c>
      <c r="M183" s="1" t="e">
        <f>L183/VLOOKUP(A183,'[14]geoMap (11)'!$A:$B,2,0)*VLOOKUP(A183,'[14]geoMap (11)'!$A:$C,3,0)</f>
        <v>#REF!</v>
      </c>
      <c r="N183" s="1" t="e">
        <f>M183/VLOOKUP(A183,'[15]geoMap (12)'!$A:$B,2,0)*VLOOKUP(A183,'[15]geoMap (12)'!$A:$C,3,0)</f>
        <v>#REF!</v>
      </c>
      <c r="O183" s="1" t="e">
        <f>N183/VLOOKUP(A183,'[16]geoMap (13)'!$A:$B,2,0)*VLOOKUP(A183,'[16]geoMap (13)'!$A:$C,3,0)</f>
        <v>#REF!</v>
      </c>
      <c r="P183" s="1" t="e">
        <f>O183/VLOOKUP(A183,'[17]geoMap (14)'!$A:$B,2,0)*VLOOKUP(A183,'[17]geoMap (14)'!$A:$C,3,0)</f>
        <v>#REF!</v>
      </c>
      <c r="Q183" s="1" t="e">
        <f>P183/VLOOKUP(A183,'[18]geoMap (15)'!$A:$B,2,0)*VLOOKUP(A183,'[18]geoMap (15)'!$A:$C,3,0)</f>
        <v>#REF!</v>
      </c>
      <c r="R183" s="1" t="e">
        <f>Q183/VLOOKUP(A183,'[19]geoMap (16)'!$A:$B,2,0)*VLOOKUP(A183,'[19]geoMap (16)'!$A:$C,3,0)</f>
        <v>#REF!</v>
      </c>
      <c r="S183" s="1" t="e">
        <f>R183/VLOOKUP(A183,'[20]geoMap (17)'!$A:$B,2,0)*VLOOKUP(A183,'[20]geoMap (17)'!$A:$C,3,0)</f>
        <v>#REF!</v>
      </c>
      <c r="T183" s="1" t="e">
        <f>S183/VLOOKUP(A183,'[21]geoMap (18)'!$A:$B,2,0)*VLOOKUP(A183,'[21]geoMap (18)'!$A:$C,3,0)</f>
        <v>#REF!</v>
      </c>
      <c r="U183" s="1" t="e">
        <f>T183/VLOOKUP(A183,'[22]geoMap (19)'!$A:$B,2,0)*VLOOKUP(A183,'[22]geoMap (19)'!$A:$C,3,0)</f>
        <v>#REF!</v>
      </c>
      <c r="V183" s="1" t="e">
        <f>U183/VLOOKUP(A183,'[23]geoMap (20)'!$A:$B,2,0)*VLOOKUP(A183,'[23]geoMap (20)'!$A:$C,3,0)</f>
        <v>#REF!</v>
      </c>
      <c r="W183" s="1" t="e">
        <f>V183/VLOOKUP(A183,'[24]geoMap (21)'!$A:$B,2,0)*VLOOKUP(A183,'[24]geoMap (21)'!$A:$C,3,0)</f>
        <v>#REF!</v>
      </c>
      <c r="X183" s="1" t="e">
        <f>W183/VLOOKUP(A183,'[25]geoMap (22)'!$A:$B,2,0)*VLOOKUP(A183,'[25]geoMap (22)'!$A:$C,3,0)</f>
        <v>#REF!</v>
      </c>
      <c r="Y183" s="1" t="e">
        <f>X183/VLOOKUP(A183,'[26]geoMap (23)'!$A:$B,2,0)*VLOOKUP(A183,'[26]geoMap (23)'!$A:$C,3,0)</f>
        <v>#REF!</v>
      </c>
      <c r="Z183" s="1" t="e">
        <f>Y183/VLOOKUP(A183,'[27]geoMap (24)'!$A:$B,2,0)*VLOOKUP(A183,'[27]geoMap (24)'!$A:$C,3,0)</f>
        <v>#REF!</v>
      </c>
      <c r="AA183" s="1" t="e">
        <f>Z183/VLOOKUP(A183,'[28]geoMap (25)'!$A:$B,2,0)*VLOOKUP(A183,'[28]geoMap (25)'!$A:$C,3,0)</f>
        <v>#REF!</v>
      </c>
      <c r="AB183" s="1" t="e">
        <f>AA183*VLOOKUP(A183,'[29]geoMap (26)'!$A:$B,2,0)*VLOOKUP(A183,'[29]geoMap (26)'!$A:$C,3,0)</f>
        <v>#REF!</v>
      </c>
      <c r="AC183" s="1" t="e">
        <f>AB183/VLOOKUP(A183,'[30]geoMap (27)'!$A:$B,2,0)*VLOOKUP(A183,'[30]geoMap (27)'!$A:$C,3,0)</f>
        <v>#REF!</v>
      </c>
      <c r="AD183" s="1" t="e">
        <f>AC183/VLOOKUP(A183,'[31]geoMap (28)'!$A:$B,2,0)*VLOOKUP(A183,'[31]geoMap (28)'!$A:$C,3,0)</f>
        <v>#REF!</v>
      </c>
      <c r="AE183" s="1" t="e">
        <f>AD183/VLOOKUP(A183,'[32]geoMap (29)'!$A:$B,2,0)*VLOOKUP(A183,'[32]geoMap (29)'!$A:$C,3,0)</f>
        <v>#REF!</v>
      </c>
      <c r="AF183" s="1" t="e">
        <f>AE183/VLOOKUP(A183,'[33]geoMap (30)'!$A:$B,2,0)*VLOOKUP(A183,'[33]geoMap (30)'!$A:$C,3,0)</f>
        <v>#REF!</v>
      </c>
      <c r="AG183" s="1" t="e">
        <f>AF183/VLOOKUP(A183,'[34]geoMap (31)'!$A:$B,2,0)*VLOOKUP(A183,'[34]geoMap (31)'!$A:$C,3,0)</f>
        <v>#REF!</v>
      </c>
      <c r="AH183" s="1" t="e">
        <f>AG183/VLOOKUP(A183,'[35]geoMap (32)'!$A:$B,2,0)*VLOOKUP(A183,'[35]geoMap (32)'!$A:$C,3,0)</f>
        <v>#REF!</v>
      </c>
      <c r="AI183" s="1" t="e">
        <f>AH183/VLOOKUP(A183,'[36]geoMap (33)'!$A:$B,2,0)*VLOOKUP(A183,'[36]geoMap (33)'!$A:$C,3,0)</f>
        <v>#REF!</v>
      </c>
      <c r="AJ183" s="1" t="e">
        <f>AI183/VLOOKUP(A183,'[37]geoMap (34)'!$A:$B,2,0)*VLOOKUP(A183,'[37]geoMap (34)'!$A:$C,3,0)</f>
        <v>#REF!</v>
      </c>
      <c r="AK183" s="1" t="e">
        <f>AJ183/VLOOKUP(A183,'[38]geoMap (35)'!$A:$B,2,0)*VLOOKUP(A183,'[38]geoMap (35)'!$A:$C,3,0)</f>
        <v>#REF!</v>
      </c>
      <c r="AL183" s="1" t="e">
        <f>AK183/VLOOKUP(A183,'[39]geoMap (36)'!$A:$B,2,0)*VLOOKUP(A183,'[39]geoMap (36)'!$A:$C,3,0)</f>
        <v>#REF!</v>
      </c>
      <c r="AM183" s="1" t="e">
        <f>AL183/VLOOKUP(A183,'[40]geoMap (37)'!$A:$B,2,0)*VLOOKUP(A183,'[40]geoMap (37)'!$A:$C,3,0)</f>
        <v>#REF!</v>
      </c>
      <c r="AN183" s="1" t="e">
        <f>AM183/VLOOKUP(A183,'[41]geoMap (38)'!$A:$B,2,0)*VLOOKUP(A183,'[41]geoMap (38)'!$A:$C,3,0)</f>
        <v>#REF!</v>
      </c>
      <c r="AO183" s="1" t="e">
        <f>AN183/VLOOKUP(A183,'[42]geoMap (39)'!$A:$B,2,0)*VLOOKUP(A183,'[42]geoMap (39)'!$A:$C,3,0)</f>
        <v>#REF!</v>
      </c>
      <c r="AP183" s="1" t="e">
        <f>AO183/VLOOKUP(A183,'[43]geoMap (40)'!$A:$B,2,0)*VLOOKUP(A183,'[43]geoMap (40)'!$A:$C,3,0)</f>
        <v>#REF!</v>
      </c>
      <c r="AQ183" s="1" t="e">
        <f>AP183/VLOOKUP(A183,'[44]geoMap (41)'!$A:$B,2,0)*VLOOKUP(A183,'[44]geoMap (41)'!$A:$C,3,0)</f>
        <v>#REF!</v>
      </c>
      <c r="AR183" s="1" t="e">
        <f>AQ183/VLOOKUP(A183,'[45]geoMap (42)'!$A:$B,2,0)*VLOOKUP(A183,'[45]geoMap (42)'!$A:$C,3,0)</f>
        <v>#REF!</v>
      </c>
      <c r="AS183" s="1" t="e">
        <f>AR183/VLOOKUP(A183,'[46]geoMap (43)'!$A:$B,2,0)*VLOOKUP(A183,'[46]geoMap (43)'!$A:$C,3,0)</f>
        <v>#REF!</v>
      </c>
      <c r="AT183" s="1" t="e">
        <f>AS183/VLOOKUP(A183,'[47]geoMap (44)'!$A:$B,2,0)*VLOOKUP(A183,'[47]geoMap (44)'!$A:$C,3,0)</f>
        <v>#REF!</v>
      </c>
      <c r="AU183" s="1" t="e">
        <f>AT183/VLOOKUP(A183,'[48]geoMap (45)'!$A:$B,2,0)*VLOOKUP(A183,'[48]geoMap (45)'!$A:$C,3,0)</f>
        <v>#REF!</v>
      </c>
      <c r="AV183" s="1" t="e">
        <f>AU183/VLOOKUP(A183,'[49]geoMap (46)'!$A:$B,2,0)*VLOOKUP(A183,'[49]geoMap (46)'!$A:$C,3,0)</f>
        <v>#REF!</v>
      </c>
      <c r="AW183" s="1" t="e">
        <f>AV183/VLOOKUP(A183,'[50]geoMap (47)'!$A:$B,2,0)*VLOOKUP(A183,'[50]geoMap (47)'!$A:$C,3,0)</f>
        <v>#REF!</v>
      </c>
      <c r="AX183" s="1" t="e">
        <f>AW183/VLOOKUP(A183,'[51]geoMap (48)'!$A:$B,2,0)*VLOOKUP(A183,'[51]geoMap (48)'!$A:$C,3,0)</f>
        <v>#REF!</v>
      </c>
      <c r="AY183" s="1" t="e">
        <f>AX183/VLOOKUP(A183,'[52]geoMap (49)'!$A:$B,2,0)*VLOOKUP(A183,'[52]geoMap (49)'!$A:$C,3,0)</f>
        <v>#REF!</v>
      </c>
      <c r="AZ183" s="1" t="e">
        <f>AY183/VLOOKUP(A183,'[53]geoMap (50)'!$A:$B,2,0)*VLOOKUP(A183,'[53]geoMap (50)'!$A:$C,3,0)</f>
        <v>#REF!</v>
      </c>
      <c r="BA183" s="1" t="e">
        <f>AZ183/VLOOKUP(A183,'[54]geoMap (51)'!$A:$B,2,0)*VLOOKUP(A183,'[54]geoMap (51)'!$A:$C,3,0)</f>
        <v>#REF!</v>
      </c>
      <c r="BB183" s="1" t="e">
        <f>BA183/VLOOKUP(A183,'[55]geoMap (52)'!$A:$B,2,0)*VLOOKUP(A183,'[55]geoMap (52)'!$A:$C,3,0)</f>
        <v>#REF!</v>
      </c>
      <c r="BC183" s="1" t="e">
        <f>BB183/VLOOKUP(A183,'[56]geoMap (53)'!$A:$B,2,0)*VLOOKUP(A183,'[56]geoMap (53)'!$A:$C,3,0)</f>
        <v>#REF!</v>
      </c>
      <c r="BD183" s="1" t="e">
        <f>BC183/VLOOKUP(A183,'[57]geoMap (54)'!$A:$B,2,0)*VLOOKUP(A183,'[57]geoMap (54)'!$A:$C,3,0)</f>
        <v>#REF!</v>
      </c>
      <c r="BE183" s="1" t="e">
        <f>BD183/VLOOKUP(A183,'[58]geoMap (55)'!$A:$B,2,0)*VLOOKUP(A183,'[58]geoMap (55)'!$A:$C,3,0)</f>
        <v>#REF!</v>
      </c>
      <c r="BF183" s="1" t="e">
        <f>BE183/VLOOKUP(A183,'[59]geoMap (56)'!$A:$B,2,0)*VLOOKUP(A183,'[59]geoMap (56)'!$A:$C,3,0)</f>
        <v>#REF!</v>
      </c>
      <c r="BG183" s="1" t="e">
        <f>BF183/VLOOKUP(A183,'[60]geoMap (57)'!$A:$B,2,0)*VLOOKUP(A183,'[60]geoMap (57)'!$A:$C,3,0)</f>
        <v>#REF!</v>
      </c>
      <c r="BH183" s="1" t="e">
        <f>BG183/VLOOKUP(A183,'[61]geoMap (58)'!$A:$B,2,0)*VLOOKUP(A183,'[61]geoMap (58)'!$A:$C,3,0)</f>
        <v>#REF!</v>
      </c>
      <c r="BI183" s="1" t="e">
        <f>BH183/VLOOKUP(A183,'[62]geoMap (59)'!$A:$B,2,0)*VLOOKUP(A183,'[62]geoMap (59)'!$A:$C,3,0)</f>
        <v>#REF!</v>
      </c>
      <c r="BJ183" s="1" t="e">
        <f>BI183/VLOOKUP(A183,'[63]geoMap (60)'!$A:$B,2,0)*VLOOKUP(A183,'[63]geoMap (60)'!$A:$C,3,0)</f>
        <v>#REF!</v>
      </c>
      <c r="BK183" s="1" t="e">
        <f>BJ183/VLOOKUP(A183,'[64]geoMap (61)'!$A:$B,2,0)*VLOOKUP(A183,'[64]geoMap (61)'!$A:$C,3,0)</f>
        <v>#REF!</v>
      </c>
      <c r="BL183" s="1" t="e">
        <f>BK183/VLOOKUP(A183,'[65]geoMap (62)'!$A:$B,2,0)*VLOOKUP(A183,'[65]geoMap (62)'!$A:$C,3,0)</f>
        <v>#REF!</v>
      </c>
      <c r="BM183" s="1" t="e">
        <f>BL183/VLOOKUP(A183,'[66]geoMap (63)'!$A:$B,2,0)*VLOOKUP(A183,'[66]geoMap (63)'!$A:$C,3,0)</f>
        <v>#REF!</v>
      </c>
      <c r="BN183" s="1" t="e">
        <f>BM183/VLOOKUP(A183,'[67]geoMap (64)'!$A:$B,2,0)*VLOOKUP(A183,'[67]geoMap (64)'!$A:$C,3,0)</f>
        <v>#REF!</v>
      </c>
      <c r="BO183" s="1" t="e">
        <f>BN183/VLOOKUP(A183,'[68]geoMap (65)'!$A:$B,2,0)*VLOOKUP(A183,'[68]geoMap (65)'!$A:$C,3,0)</f>
        <v>#REF!</v>
      </c>
      <c r="BP183" s="1" t="e">
        <f>BO183/VLOOKUP(A183,'[69]geoMap (66)'!$A:$B,2,0)*VLOOKUP(A183,'[69]geoMap (66)'!$A:$C,3,0)</f>
        <v>#REF!</v>
      </c>
    </row>
    <row r="184" spans="1:68" hidden="1" x14ac:dyDescent="0.2">
      <c r="A184" s="1" t="s">
        <v>185</v>
      </c>
      <c r="B184" s="1" t="e">
        <f>VLOOKUP(A184,[3]geoMap!$A:$B,2,0)*Notes!$C$6</f>
        <v>#REF!</v>
      </c>
      <c r="C184" s="1" t="e">
        <f>B184/VLOOKUP(A184,'[4]geoMap (1)'!$A:$B,2,0)*VLOOKUP(A184,'[4]geoMap (1)'!$A:$C,3,0)</f>
        <v>#REF!</v>
      </c>
      <c r="D184" s="1" t="e">
        <f>C184/VLOOKUP(A184,'[5]geoMap (2)'!$A:$B,2,0)*VLOOKUP(A184,'[5]geoMap (2)'!$A:$C,3,0)</f>
        <v>#REF!</v>
      </c>
      <c r="E184" s="1" t="e">
        <f>D184/VLOOKUP(A184,'[6]geoMap (3)'!$A:$B,2,0)*VLOOKUP(A184,'[6]geoMap (3)'!$A:$C,3,0)</f>
        <v>#REF!</v>
      </c>
      <c r="F184" s="1" t="e">
        <f>E184/VLOOKUP(A184,'[7]geoMap (4)'!$A:$B,2,0)*VLOOKUP(A184,'[7]geoMap (4)'!$A:$C,3,0)</f>
        <v>#REF!</v>
      </c>
      <c r="G184" s="1" t="e">
        <f>F184/VLOOKUP(A184,'[8]geoMap (5)'!$A:$B,2,0)*VLOOKUP(A184,'[8]geoMap (5)'!$A:$C,3,0)</f>
        <v>#REF!</v>
      </c>
      <c r="H184" s="1" t="e">
        <f>G184/VLOOKUP(A184,'[9]geoMap (6)'!$A:$B,2,0)*VLOOKUP(A184,'[9]geoMap (6)'!$A:$C,3,0)</f>
        <v>#REF!</v>
      </c>
      <c r="I184" s="1" t="e">
        <f>H184/VLOOKUP(A184,'[10]geoMap (7)'!$A:$B,2,0)*VLOOKUP(A184,'[10]geoMap (7)'!$A:$C,3,0)</f>
        <v>#REF!</v>
      </c>
      <c r="J184" s="1" t="e">
        <f>I184/VLOOKUP(A184,'[11]geoMap (8)'!$A:$B,2,0)*VLOOKUP(A184,'[11]geoMap (8)'!$A:$C,3,0)</f>
        <v>#REF!</v>
      </c>
      <c r="K184" s="1" t="e">
        <f>J184/VLOOKUP(A184,'[12]geoMap (9)'!$A:$B,2,0)*VLOOKUP(A184,'[12]geoMap (9)'!$A:$C,3,0)</f>
        <v>#REF!</v>
      </c>
      <c r="L184" s="1" t="e">
        <f>K184/VLOOKUP(A184,'[13]geoMap (10)'!$A:$B,2,0)*VLOOKUP(A184,'[13]geoMap (10)'!$A:$C,3,0)</f>
        <v>#REF!</v>
      </c>
      <c r="M184" s="1" t="e">
        <f>L184/VLOOKUP(A184,'[14]geoMap (11)'!$A:$B,2,0)*VLOOKUP(A184,'[14]geoMap (11)'!$A:$C,3,0)</f>
        <v>#REF!</v>
      </c>
      <c r="N184" s="1" t="e">
        <f>M184/VLOOKUP(A184,'[15]geoMap (12)'!$A:$B,2,0)*VLOOKUP(A184,'[15]geoMap (12)'!$A:$C,3,0)</f>
        <v>#REF!</v>
      </c>
      <c r="O184" s="1" t="e">
        <f>N184/VLOOKUP(A184,'[16]geoMap (13)'!$A:$B,2,0)*VLOOKUP(A184,'[16]geoMap (13)'!$A:$C,3,0)</f>
        <v>#REF!</v>
      </c>
      <c r="P184" s="1" t="e">
        <f>O184/VLOOKUP(A184,'[17]geoMap (14)'!$A:$B,2,0)*VLOOKUP(A184,'[17]geoMap (14)'!$A:$C,3,0)</f>
        <v>#REF!</v>
      </c>
      <c r="Q184" s="1" t="e">
        <f>P184/VLOOKUP(A184,'[18]geoMap (15)'!$A:$B,2,0)*VLOOKUP(A184,'[18]geoMap (15)'!$A:$C,3,0)</f>
        <v>#REF!</v>
      </c>
      <c r="R184" s="1" t="e">
        <f>Q184/VLOOKUP(A184,'[19]geoMap (16)'!$A:$B,2,0)*VLOOKUP(A184,'[19]geoMap (16)'!$A:$C,3,0)</f>
        <v>#REF!</v>
      </c>
      <c r="S184" s="1" t="e">
        <f>R184/VLOOKUP(A184,'[20]geoMap (17)'!$A:$B,2,0)*VLOOKUP(A184,'[20]geoMap (17)'!$A:$C,3,0)</f>
        <v>#REF!</v>
      </c>
      <c r="T184" s="1" t="e">
        <f>S184/VLOOKUP(A184,'[21]geoMap (18)'!$A:$B,2,0)*VLOOKUP(A184,'[21]geoMap (18)'!$A:$C,3,0)</f>
        <v>#REF!</v>
      </c>
      <c r="U184" s="1" t="e">
        <f>T184/VLOOKUP(A184,'[22]geoMap (19)'!$A:$B,2,0)*VLOOKUP(A184,'[22]geoMap (19)'!$A:$C,3,0)</f>
        <v>#REF!</v>
      </c>
      <c r="V184" s="1" t="e">
        <f>U184/VLOOKUP(A184,'[23]geoMap (20)'!$A:$B,2,0)*VLOOKUP(A184,'[23]geoMap (20)'!$A:$C,3,0)</f>
        <v>#REF!</v>
      </c>
      <c r="W184" s="1" t="e">
        <f>V184/VLOOKUP(A184,'[24]geoMap (21)'!$A:$B,2,0)*VLOOKUP(A184,'[24]geoMap (21)'!$A:$C,3,0)</f>
        <v>#REF!</v>
      </c>
      <c r="X184" s="1" t="e">
        <f>W184/VLOOKUP(A184,'[25]geoMap (22)'!$A:$B,2,0)*VLOOKUP(A184,'[25]geoMap (22)'!$A:$C,3,0)</f>
        <v>#REF!</v>
      </c>
      <c r="Y184" s="1" t="e">
        <f>X184/VLOOKUP(A184,'[26]geoMap (23)'!$A:$B,2,0)*VLOOKUP(A184,'[26]geoMap (23)'!$A:$C,3,0)</f>
        <v>#REF!</v>
      </c>
      <c r="Z184" s="1" t="e">
        <f>Y184/VLOOKUP(A184,'[27]geoMap (24)'!$A:$B,2,0)*VLOOKUP(A184,'[27]geoMap (24)'!$A:$C,3,0)</f>
        <v>#REF!</v>
      </c>
      <c r="AA184" s="1" t="e">
        <f>Z184/VLOOKUP(A184,'[28]geoMap (25)'!$A:$B,2,0)*VLOOKUP(A184,'[28]geoMap (25)'!$A:$C,3,0)</f>
        <v>#REF!</v>
      </c>
      <c r="AB184" s="1" t="e">
        <f>AA184*VLOOKUP(A184,'[29]geoMap (26)'!$A:$B,2,0)*VLOOKUP(A184,'[29]geoMap (26)'!$A:$C,3,0)</f>
        <v>#REF!</v>
      </c>
      <c r="AC184" s="1" t="e">
        <f>AB184/VLOOKUP(A184,'[30]geoMap (27)'!$A:$B,2,0)*VLOOKUP(A184,'[30]geoMap (27)'!$A:$C,3,0)</f>
        <v>#REF!</v>
      </c>
      <c r="AD184" s="1" t="e">
        <f>AC184/VLOOKUP(A184,'[31]geoMap (28)'!$A:$B,2,0)*VLOOKUP(A184,'[31]geoMap (28)'!$A:$C,3,0)</f>
        <v>#REF!</v>
      </c>
      <c r="AE184" s="1" t="e">
        <f>AD184/VLOOKUP(A184,'[32]geoMap (29)'!$A:$B,2,0)*VLOOKUP(A184,'[32]geoMap (29)'!$A:$C,3,0)</f>
        <v>#REF!</v>
      </c>
      <c r="AF184" s="1" t="e">
        <f>AE184/VLOOKUP(A184,'[33]geoMap (30)'!$A:$B,2,0)*VLOOKUP(A184,'[33]geoMap (30)'!$A:$C,3,0)</f>
        <v>#REF!</v>
      </c>
      <c r="AG184" s="1" t="e">
        <f>AF184/VLOOKUP(A184,'[34]geoMap (31)'!$A:$B,2,0)*VLOOKUP(A184,'[34]geoMap (31)'!$A:$C,3,0)</f>
        <v>#REF!</v>
      </c>
      <c r="AH184" s="1" t="e">
        <f>AG184/VLOOKUP(A184,'[35]geoMap (32)'!$A:$B,2,0)*VLOOKUP(A184,'[35]geoMap (32)'!$A:$C,3,0)</f>
        <v>#REF!</v>
      </c>
      <c r="AI184" s="1" t="e">
        <f>AH184/VLOOKUP(A184,'[36]geoMap (33)'!$A:$B,2,0)*VLOOKUP(A184,'[36]geoMap (33)'!$A:$C,3,0)</f>
        <v>#REF!</v>
      </c>
      <c r="AJ184" s="1" t="e">
        <f>AI184/VLOOKUP(A184,'[37]geoMap (34)'!$A:$B,2,0)*VLOOKUP(A184,'[37]geoMap (34)'!$A:$C,3,0)</f>
        <v>#REF!</v>
      </c>
      <c r="AK184" s="1" t="e">
        <f>AJ184/VLOOKUP(A184,'[38]geoMap (35)'!$A:$B,2,0)*VLOOKUP(A184,'[38]geoMap (35)'!$A:$C,3,0)</f>
        <v>#REF!</v>
      </c>
      <c r="AL184" s="1" t="e">
        <f>AK184/VLOOKUP(A184,'[39]geoMap (36)'!$A:$B,2,0)*VLOOKUP(A184,'[39]geoMap (36)'!$A:$C,3,0)</f>
        <v>#REF!</v>
      </c>
      <c r="AM184" s="1" t="e">
        <f>AL184/VLOOKUP(A184,'[40]geoMap (37)'!$A:$B,2,0)*VLOOKUP(A184,'[40]geoMap (37)'!$A:$C,3,0)</f>
        <v>#REF!</v>
      </c>
      <c r="AN184" s="1" t="e">
        <f>AM184/VLOOKUP(A184,'[41]geoMap (38)'!$A:$B,2,0)*VLOOKUP(A184,'[41]geoMap (38)'!$A:$C,3,0)</f>
        <v>#REF!</v>
      </c>
      <c r="AO184" s="1" t="e">
        <f>AN184/VLOOKUP(A184,'[42]geoMap (39)'!$A:$B,2,0)*VLOOKUP(A184,'[42]geoMap (39)'!$A:$C,3,0)</f>
        <v>#REF!</v>
      </c>
      <c r="AP184" s="1" t="e">
        <f>AO184/VLOOKUP(A184,'[43]geoMap (40)'!$A:$B,2,0)*VLOOKUP(A184,'[43]geoMap (40)'!$A:$C,3,0)</f>
        <v>#REF!</v>
      </c>
      <c r="AQ184" s="1" t="e">
        <f>AP184/VLOOKUP(A184,'[44]geoMap (41)'!$A:$B,2,0)*VLOOKUP(A184,'[44]geoMap (41)'!$A:$C,3,0)</f>
        <v>#REF!</v>
      </c>
      <c r="AR184" s="1" t="e">
        <f>AQ184/VLOOKUP(A184,'[45]geoMap (42)'!$A:$B,2,0)*VLOOKUP(A184,'[45]geoMap (42)'!$A:$C,3,0)</f>
        <v>#REF!</v>
      </c>
      <c r="AS184" s="1" t="e">
        <f>AR184/VLOOKUP(A184,'[46]geoMap (43)'!$A:$B,2,0)*VLOOKUP(A184,'[46]geoMap (43)'!$A:$C,3,0)</f>
        <v>#REF!</v>
      </c>
      <c r="AT184" s="1" t="e">
        <f>AS184/VLOOKUP(A184,'[47]geoMap (44)'!$A:$B,2,0)*VLOOKUP(A184,'[47]geoMap (44)'!$A:$C,3,0)</f>
        <v>#REF!</v>
      </c>
      <c r="AU184" s="1" t="e">
        <f>AT184/VLOOKUP(A184,'[48]geoMap (45)'!$A:$B,2,0)*VLOOKUP(A184,'[48]geoMap (45)'!$A:$C,3,0)</f>
        <v>#REF!</v>
      </c>
      <c r="AV184" s="1" t="e">
        <f>AU184/VLOOKUP(A184,'[49]geoMap (46)'!$A:$B,2,0)*VLOOKUP(A184,'[49]geoMap (46)'!$A:$C,3,0)</f>
        <v>#REF!</v>
      </c>
      <c r="AW184" s="1" t="e">
        <f>AV184/VLOOKUP(A184,'[50]geoMap (47)'!$A:$B,2,0)*VLOOKUP(A184,'[50]geoMap (47)'!$A:$C,3,0)</f>
        <v>#REF!</v>
      </c>
      <c r="AX184" s="1" t="e">
        <f>AW184/VLOOKUP(A184,'[51]geoMap (48)'!$A:$B,2,0)*VLOOKUP(A184,'[51]geoMap (48)'!$A:$C,3,0)</f>
        <v>#REF!</v>
      </c>
      <c r="AY184" s="1" t="e">
        <f>AX184/VLOOKUP(A184,'[52]geoMap (49)'!$A:$B,2,0)*VLOOKUP(A184,'[52]geoMap (49)'!$A:$C,3,0)</f>
        <v>#REF!</v>
      </c>
      <c r="AZ184" s="1" t="e">
        <f>AY184/VLOOKUP(A184,'[53]geoMap (50)'!$A:$B,2,0)*VLOOKUP(A184,'[53]geoMap (50)'!$A:$C,3,0)</f>
        <v>#REF!</v>
      </c>
      <c r="BA184" s="1" t="e">
        <f>AZ184/VLOOKUP(A184,'[54]geoMap (51)'!$A:$B,2,0)*VLOOKUP(A184,'[54]geoMap (51)'!$A:$C,3,0)</f>
        <v>#REF!</v>
      </c>
      <c r="BB184" s="1" t="e">
        <f>BA184/VLOOKUP(A184,'[55]geoMap (52)'!$A:$B,2,0)*VLOOKUP(A184,'[55]geoMap (52)'!$A:$C,3,0)</f>
        <v>#REF!</v>
      </c>
      <c r="BC184" s="1" t="e">
        <f>BB184/VLOOKUP(A184,'[56]geoMap (53)'!$A:$B,2,0)*VLOOKUP(A184,'[56]geoMap (53)'!$A:$C,3,0)</f>
        <v>#REF!</v>
      </c>
      <c r="BD184" s="1" t="e">
        <f>BC184/VLOOKUP(A184,'[57]geoMap (54)'!$A:$B,2,0)*VLOOKUP(A184,'[57]geoMap (54)'!$A:$C,3,0)</f>
        <v>#REF!</v>
      </c>
      <c r="BE184" s="1" t="e">
        <f>BD184/VLOOKUP(A184,'[58]geoMap (55)'!$A:$B,2,0)*VLOOKUP(A184,'[58]geoMap (55)'!$A:$C,3,0)</f>
        <v>#REF!</v>
      </c>
      <c r="BF184" s="1" t="e">
        <f>BE184/VLOOKUP(A184,'[59]geoMap (56)'!$A:$B,2,0)*VLOOKUP(A184,'[59]geoMap (56)'!$A:$C,3,0)</f>
        <v>#REF!</v>
      </c>
      <c r="BG184" s="1" t="e">
        <f>BF184/VLOOKUP(A184,'[60]geoMap (57)'!$A:$B,2,0)*VLOOKUP(A184,'[60]geoMap (57)'!$A:$C,3,0)</f>
        <v>#REF!</v>
      </c>
      <c r="BH184" s="1" t="e">
        <f>BG184/VLOOKUP(A184,'[61]geoMap (58)'!$A:$B,2,0)*VLOOKUP(A184,'[61]geoMap (58)'!$A:$C,3,0)</f>
        <v>#REF!</v>
      </c>
      <c r="BI184" s="1" t="e">
        <f>BH184/VLOOKUP(A184,'[62]geoMap (59)'!$A:$B,2,0)*VLOOKUP(A184,'[62]geoMap (59)'!$A:$C,3,0)</f>
        <v>#REF!</v>
      </c>
      <c r="BJ184" s="1" t="e">
        <f>BI184/VLOOKUP(A184,'[63]geoMap (60)'!$A:$B,2,0)*VLOOKUP(A184,'[63]geoMap (60)'!$A:$C,3,0)</f>
        <v>#REF!</v>
      </c>
      <c r="BK184" s="1" t="e">
        <f>BJ184/VLOOKUP(A184,'[64]geoMap (61)'!$A:$B,2,0)*VLOOKUP(A184,'[64]geoMap (61)'!$A:$C,3,0)</f>
        <v>#REF!</v>
      </c>
      <c r="BL184" s="1" t="e">
        <f>BK184/VLOOKUP(A184,'[65]geoMap (62)'!$A:$B,2,0)*VLOOKUP(A184,'[65]geoMap (62)'!$A:$C,3,0)</f>
        <v>#REF!</v>
      </c>
      <c r="BM184" s="1" t="e">
        <f>BL184/VLOOKUP(A184,'[66]geoMap (63)'!$A:$B,2,0)*VLOOKUP(A184,'[66]geoMap (63)'!$A:$C,3,0)</f>
        <v>#REF!</v>
      </c>
      <c r="BN184" s="1" t="e">
        <f>BM184/VLOOKUP(A184,'[67]geoMap (64)'!$A:$B,2,0)*VLOOKUP(A184,'[67]geoMap (64)'!$A:$C,3,0)</f>
        <v>#REF!</v>
      </c>
      <c r="BO184" s="1" t="e">
        <f>BN184/VLOOKUP(A184,'[68]geoMap (65)'!$A:$B,2,0)*VLOOKUP(A184,'[68]geoMap (65)'!$A:$C,3,0)</f>
        <v>#REF!</v>
      </c>
      <c r="BP184" s="1" t="e">
        <f>BO184/VLOOKUP(A184,'[69]geoMap (66)'!$A:$B,2,0)*VLOOKUP(A184,'[69]geoMap (66)'!$A:$C,3,0)</f>
        <v>#REF!</v>
      </c>
    </row>
    <row r="185" spans="1:68" hidden="1" x14ac:dyDescent="0.2">
      <c r="A185" s="1" t="s">
        <v>186</v>
      </c>
      <c r="B185" s="1" t="e">
        <f>VLOOKUP(A185,[3]geoMap!$A:$B,2,0)*Notes!$C$6</f>
        <v>#REF!</v>
      </c>
      <c r="C185" s="1" t="e">
        <f>B185/VLOOKUP(A185,'[4]geoMap (1)'!$A:$B,2,0)*VLOOKUP(A185,'[4]geoMap (1)'!$A:$C,3,0)</f>
        <v>#REF!</v>
      </c>
      <c r="D185" s="1" t="e">
        <f>C185/VLOOKUP(A185,'[5]geoMap (2)'!$A:$B,2,0)*VLOOKUP(A185,'[5]geoMap (2)'!$A:$C,3,0)</f>
        <v>#REF!</v>
      </c>
      <c r="E185" s="1" t="e">
        <f>D185/VLOOKUP(A185,'[6]geoMap (3)'!$A:$B,2,0)*VLOOKUP(A185,'[6]geoMap (3)'!$A:$C,3,0)</f>
        <v>#REF!</v>
      </c>
      <c r="F185" s="1" t="e">
        <f>E185/VLOOKUP(A185,'[7]geoMap (4)'!$A:$B,2,0)*VLOOKUP(A185,'[7]geoMap (4)'!$A:$C,3,0)</f>
        <v>#REF!</v>
      </c>
      <c r="G185" s="1" t="e">
        <f>F185/VLOOKUP(A185,'[8]geoMap (5)'!$A:$B,2,0)*VLOOKUP(A185,'[8]geoMap (5)'!$A:$C,3,0)</f>
        <v>#REF!</v>
      </c>
      <c r="H185" s="1" t="e">
        <f>G185/VLOOKUP(A185,'[9]geoMap (6)'!$A:$B,2,0)*VLOOKUP(A185,'[9]geoMap (6)'!$A:$C,3,0)</f>
        <v>#REF!</v>
      </c>
      <c r="I185" s="1" t="e">
        <f>H185/VLOOKUP(A185,'[10]geoMap (7)'!$A:$B,2,0)*VLOOKUP(A185,'[10]geoMap (7)'!$A:$C,3,0)</f>
        <v>#REF!</v>
      </c>
      <c r="J185" s="1" t="e">
        <f>I185/VLOOKUP(A185,'[11]geoMap (8)'!$A:$B,2,0)*VLOOKUP(A185,'[11]geoMap (8)'!$A:$C,3,0)</f>
        <v>#REF!</v>
      </c>
      <c r="K185" s="1" t="e">
        <f>J185/VLOOKUP(A185,'[12]geoMap (9)'!$A:$B,2,0)*VLOOKUP(A185,'[12]geoMap (9)'!$A:$C,3,0)</f>
        <v>#REF!</v>
      </c>
      <c r="L185" s="1" t="e">
        <f>K185/VLOOKUP(A185,'[13]geoMap (10)'!$A:$B,2,0)*VLOOKUP(A185,'[13]geoMap (10)'!$A:$C,3,0)</f>
        <v>#REF!</v>
      </c>
      <c r="M185" s="1" t="e">
        <f>L185/VLOOKUP(A185,'[14]geoMap (11)'!$A:$B,2,0)*VLOOKUP(A185,'[14]geoMap (11)'!$A:$C,3,0)</f>
        <v>#REF!</v>
      </c>
      <c r="N185" s="1" t="e">
        <f>M185/VLOOKUP(A185,'[15]geoMap (12)'!$A:$B,2,0)*VLOOKUP(A185,'[15]geoMap (12)'!$A:$C,3,0)</f>
        <v>#REF!</v>
      </c>
      <c r="O185" s="1" t="e">
        <f>N185/VLOOKUP(A185,'[16]geoMap (13)'!$A:$B,2,0)*VLOOKUP(A185,'[16]geoMap (13)'!$A:$C,3,0)</f>
        <v>#REF!</v>
      </c>
      <c r="P185" s="1" t="e">
        <f>O185/VLOOKUP(A185,'[17]geoMap (14)'!$A:$B,2,0)*VLOOKUP(A185,'[17]geoMap (14)'!$A:$C,3,0)</f>
        <v>#REF!</v>
      </c>
      <c r="Q185" s="1" t="e">
        <f>P185/VLOOKUP(A185,'[18]geoMap (15)'!$A:$B,2,0)*VLOOKUP(A185,'[18]geoMap (15)'!$A:$C,3,0)</f>
        <v>#REF!</v>
      </c>
      <c r="R185" s="1" t="e">
        <f>Q185/VLOOKUP(A185,'[19]geoMap (16)'!$A:$B,2,0)*VLOOKUP(A185,'[19]geoMap (16)'!$A:$C,3,0)</f>
        <v>#REF!</v>
      </c>
      <c r="S185" s="1" t="e">
        <f>R185/VLOOKUP(A185,'[20]geoMap (17)'!$A:$B,2,0)*VLOOKUP(A185,'[20]geoMap (17)'!$A:$C,3,0)</f>
        <v>#REF!</v>
      </c>
      <c r="T185" s="1" t="e">
        <f>S185/VLOOKUP(A185,'[21]geoMap (18)'!$A:$B,2,0)*VLOOKUP(A185,'[21]geoMap (18)'!$A:$C,3,0)</f>
        <v>#REF!</v>
      </c>
      <c r="U185" s="1" t="e">
        <f>T185/VLOOKUP(A185,'[22]geoMap (19)'!$A:$B,2,0)*VLOOKUP(A185,'[22]geoMap (19)'!$A:$C,3,0)</f>
        <v>#REF!</v>
      </c>
      <c r="V185" s="1" t="e">
        <f>U185/VLOOKUP(A185,'[23]geoMap (20)'!$A:$B,2,0)*VLOOKUP(A185,'[23]geoMap (20)'!$A:$C,3,0)</f>
        <v>#REF!</v>
      </c>
      <c r="W185" s="1" t="e">
        <f>V185/VLOOKUP(A185,'[24]geoMap (21)'!$A:$B,2,0)*VLOOKUP(A185,'[24]geoMap (21)'!$A:$C,3,0)</f>
        <v>#REF!</v>
      </c>
      <c r="X185" s="1" t="e">
        <f>W185/VLOOKUP(A185,'[25]geoMap (22)'!$A:$B,2,0)*VLOOKUP(A185,'[25]geoMap (22)'!$A:$C,3,0)</f>
        <v>#REF!</v>
      </c>
      <c r="Y185" s="1" t="e">
        <f>X185/VLOOKUP(A185,'[26]geoMap (23)'!$A:$B,2,0)*VLOOKUP(A185,'[26]geoMap (23)'!$A:$C,3,0)</f>
        <v>#REF!</v>
      </c>
      <c r="Z185" s="1" t="e">
        <f>Y185/VLOOKUP(A185,'[27]geoMap (24)'!$A:$B,2,0)*VLOOKUP(A185,'[27]geoMap (24)'!$A:$C,3,0)</f>
        <v>#REF!</v>
      </c>
      <c r="AA185" s="1" t="e">
        <f>Z185/VLOOKUP(A185,'[28]geoMap (25)'!$A:$B,2,0)*VLOOKUP(A185,'[28]geoMap (25)'!$A:$C,3,0)</f>
        <v>#REF!</v>
      </c>
      <c r="AB185" s="1" t="e">
        <f>AA185*VLOOKUP(A185,'[29]geoMap (26)'!$A:$B,2,0)*VLOOKUP(A185,'[29]geoMap (26)'!$A:$C,3,0)</f>
        <v>#REF!</v>
      </c>
      <c r="AC185" s="1" t="e">
        <f>AB185/VLOOKUP(A185,'[30]geoMap (27)'!$A:$B,2,0)*VLOOKUP(A185,'[30]geoMap (27)'!$A:$C,3,0)</f>
        <v>#REF!</v>
      </c>
      <c r="AD185" s="1" t="e">
        <f>AC185/VLOOKUP(A185,'[31]geoMap (28)'!$A:$B,2,0)*VLOOKUP(A185,'[31]geoMap (28)'!$A:$C,3,0)</f>
        <v>#REF!</v>
      </c>
      <c r="AE185" s="1" t="e">
        <f>AD185/VLOOKUP(A185,'[32]geoMap (29)'!$A:$B,2,0)*VLOOKUP(A185,'[32]geoMap (29)'!$A:$C,3,0)</f>
        <v>#REF!</v>
      </c>
      <c r="AF185" s="1" t="e">
        <f>AE185/VLOOKUP(A185,'[33]geoMap (30)'!$A:$B,2,0)*VLOOKUP(A185,'[33]geoMap (30)'!$A:$C,3,0)</f>
        <v>#REF!</v>
      </c>
      <c r="AG185" s="1" t="e">
        <f>AF185/VLOOKUP(A185,'[34]geoMap (31)'!$A:$B,2,0)*VLOOKUP(A185,'[34]geoMap (31)'!$A:$C,3,0)</f>
        <v>#REF!</v>
      </c>
      <c r="AH185" s="1" t="e">
        <f>AG185/VLOOKUP(A185,'[35]geoMap (32)'!$A:$B,2,0)*VLOOKUP(A185,'[35]geoMap (32)'!$A:$C,3,0)</f>
        <v>#REF!</v>
      </c>
      <c r="AI185" s="1" t="e">
        <f>AH185/VLOOKUP(A185,'[36]geoMap (33)'!$A:$B,2,0)*VLOOKUP(A185,'[36]geoMap (33)'!$A:$C,3,0)</f>
        <v>#REF!</v>
      </c>
      <c r="AJ185" s="1" t="e">
        <f>AI185/VLOOKUP(A185,'[37]geoMap (34)'!$A:$B,2,0)*VLOOKUP(A185,'[37]geoMap (34)'!$A:$C,3,0)</f>
        <v>#REF!</v>
      </c>
      <c r="AK185" s="1" t="e">
        <f>AJ185/VLOOKUP(A185,'[38]geoMap (35)'!$A:$B,2,0)*VLOOKUP(A185,'[38]geoMap (35)'!$A:$C,3,0)</f>
        <v>#REF!</v>
      </c>
      <c r="AL185" s="1" t="e">
        <f>AK185/VLOOKUP(A185,'[39]geoMap (36)'!$A:$B,2,0)*VLOOKUP(A185,'[39]geoMap (36)'!$A:$C,3,0)</f>
        <v>#REF!</v>
      </c>
      <c r="AM185" s="1" t="e">
        <f>AL185/VLOOKUP(A185,'[40]geoMap (37)'!$A:$B,2,0)*VLOOKUP(A185,'[40]geoMap (37)'!$A:$C,3,0)</f>
        <v>#REF!</v>
      </c>
      <c r="AN185" s="1" t="e">
        <f>AM185/VLOOKUP(A185,'[41]geoMap (38)'!$A:$B,2,0)*VLOOKUP(A185,'[41]geoMap (38)'!$A:$C,3,0)</f>
        <v>#REF!</v>
      </c>
      <c r="AO185" s="1" t="e">
        <f>AN185/VLOOKUP(A185,'[42]geoMap (39)'!$A:$B,2,0)*VLOOKUP(A185,'[42]geoMap (39)'!$A:$C,3,0)</f>
        <v>#REF!</v>
      </c>
      <c r="AP185" s="1" t="e">
        <f>AO185/VLOOKUP(A185,'[43]geoMap (40)'!$A:$B,2,0)*VLOOKUP(A185,'[43]geoMap (40)'!$A:$C,3,0)</f>
        <v>#REF!</v>
      </c>
      <c r="AQ185" s="1" t="e">
        <f>AP185/VLOOKUP(A185,'[44]geoMap (41)'!$A:$B,2,0)*VLOOKUP(A185,'[44]geoMap (41)'!$A:$C,3,0)</f>
        <v>#REF!</v>
      </c>
      <c r="AR185" s="1" t="e">
        <f>AQ185/VLOOKUP(A185,'[45]geoMap (42)'!$A:$B,2,0)*VLOOKUP(A185,'[45]geoMap (42)'!$A:$C,3,0)</f>
        <v>#REF!</v>
      </c>
      <c r="AS185" s="1" t="e">
        <f>AR185/VLOOKUP(A185,'[46]geoMap (43)'!$A:$B,2,0)*VLOOKUP(A185,'[46]geoMap (43)'!$A:$C,3,0)</f>
        <v>#REF!</v>
      </c>
      <c r="AT185" s="1" t="e">
        <f>AS185/VLOOKUP(A185,'[47]geoMap (44)'!$A:$B,2,0)*VLOOKUP(A185,'[47]geoMap (44)'!$A:$C,3,0)</f>
        <v>#REF!</v>
      </c>
      <c r="AU185" s="1" t="e">
        <f>AT185/VLOOKUP(A185,'[48]geoMap (45)'!$A:$B,2,0)*VLOOKUP(A185,'[48]geoMap (45)'!$A:$C,3,0)</f>
        <v>#REF!</v>
      </c>
      <c r="AV185" s="1" t="e">
        <f>AU185/VLOOKUP(A185,'[49]geoMap (46)'!$A:$B,2,0)*VLOOKUP(A185,'[49]geoMap (46)'!$A:$C,3,0)</f>
        <v>#REF!</v>
      </c>
      <c r="AW185" s="1" t="e">
        <f>AV185/VLOOKUP(A185,'[50]geoMap (47)'!$A:$B,2,0)*VLOOKUP(A185,'[50]geoMap (47)'!$A:$C,3,0)</f>
        <v>#REF!</v>
      </c>
      <c r="AX185" s="1" t="e">
        <f>AW185/VLOOKUP(A185,'[51]geoMap (48)'!$A:$B,2,0)*VLOOKUP(A185,'[51]geoMap (48)'!$A:$C,3,0)</f>
        <v>#REF!</v>
      </c>
      <c r="AY185" s="1" t="e">
        <f>AX185/VLOOKUP(A185,'[52]geoMap (49)'!$A:$B,2,0)*VLOOKUP(A185,'[52]geoMap (49)'!$A:$C,3,0)</f>
        <v>#REF!</v>
      </c>
      <c r="AZ185" s="1" t="e">
        <f>AY185/VLOOKUP(A185,'[53]geoMap (50)'!$A:$B,2,0)*VLOOKUP(A185,'[53]geoMap (50)'!$A:$C,3,0)</f>
        <v>#REF!</v>
      </c>
      <c r="BA185" s="1" t="e">
        <f>AZ185/VLOOKUP(A185,'[54]geoMap (51)'!$A:$B,2,0)*VLOOKUP(A185,'[54]geoMap (51)'!$A:$C,3,0)</f>
        <v>#REF!</v>
      </c>
      <c r="BB185" s="1" t="e">
        <f>BA185/VLOOKUP(A185,'[55]geoMap (52)'!$A:$B,2,0)*VLOOKUP(A185,'[55]geoMap (52)'!$A:$C,3,0)</f>
        <v>#REF!</v>
      </c>
      <c r="BC185" s="1" t="e">
        <f>BB185/VLOOKUP(A185,'[56]geoMap (53)'!$A:$B,2,0)*VLOOKUP(A185,'[56]geoMap (53)'!$A:$C,3,0)</f>
        <v>#REF!</v>
      </c>
      <c r="BD185" s="1" t="e">
        <f>BC185/VLOOKUP(A185,'[57]geoMap (54)'!$A:$B,2,0)*VLOOKUP(A185,'[57]geoMap (54)'!$A:$C,3,0)</f>
        <v>#REF!</v>
      </c>
      <c r="BE185" s="1" t="e">
        <f>BD185/VLOOKUP(A185,'[58]geoMap (55)'!$A:$B,2,0)*VLOOKUP(A185,'[58]geoMap (55)'!$A:$C,3,0)</f>
        <v>#REF!</v>
      </c>
      <c r="BF185" s="1" t="e">
        <f>BE185/VLOOKUP(A185,'[59]geoMap (56)'!$A:$B,2,0)*VLOOKUP(A185,'[59]geoMap (56)'!$A:$C,3,0)</f>
        <v>#REF!</v>
      </c>
      <c r="BG185" s="1" t="e">
        <f>BF185/VLOOKUP(A185,'[60]geoMap (57)'!$A:$B,2,0)*VLOOKUP(A185,'[60]geoMap (57)'!$A:$C,3,0)</f>
        <v>#REF!</v>
      </c>
      <c r="BH185" s="1" t="e">
        <f>BG185/VLOOKUP(A185,'[61]geoMap (58)'!$A:$B,2,0)*VLOOKUP(A185,'[61]geoMap (58)'!$A:$C,3,0)</f>
        <v>#REF!</v>
      </c>
      <c r="BI185" s="1" t="e">
        <f>BH185/VLOOKUP(A185,'[62]geoMap (59)'!$A:$B,2,0)*VLOOKUP(A185,'[62]geoMap (59)'!$A:$C,3,0)</f>
        <v>#REF!</v>
      </c>
      <c r="BJ185" s="1" t="e">
        <f>BI185/VLOOKUP(A185,'[63]geoMap (60)'!$A:$B,2,0)*VLOOKUP(A185,'[63]geoMap (60)'!$A:$C,3,0)</f>
        <v>#REF!</v>
      </c>
      <c r="BK185" s="1" t="e">
        <f>BJ185/VLOOKUP(A185,'[64]geoMap (61)'!$A:$B,2,0)*VLOOKUP(A185,'[64]geoMap (61)'!$A:$C,3,0)</f>
        <v>#REF!</v>
      </c>
      <c r="BL185" s="1" t="e">
        <f>BK185/VLOOKUP(A185,'[65]geoMap (62)'!$A:$B,2,0)*VLOOKUP(A185,'[65]geoMap (62)'!$A:$C,3,0)</f>
        <v>#REF!</v>
      </c>
      <c r="BM185" s="1" t="e">
        <f>BL185/VLOOKUP(A185,'[66]geoMap (63)'!$A:$B,2,0)*VLOOKUP(A185,'[66]geoMap (63)'!$A:$C,3,0)</f>
        <v>#REF!</v>
      </c>
      <c r="BN185" s="1" t="e">
        <f>BM185/VLOOKUP(A185,'[67]geoMap (64)'!$A:$B,2,0)*VLOOKUP(A185,'[67]geoMap (64)'!$A:$C,3,0)</f>
        <v>#REF!</v>
      </c>
      <c r="BO185" s="1" t="e">
        <f>BN185/VLOOKUP(A185,'[68]geoMap (65)'!$A:$B,2,0)*VLOOKUP(A185,'[68]geoMap (65)'!$A:$C,3,0)</f>
        <v>#REF!</v>
      </c>
      <c r="BP185" s="1" t="e">
        <f>BO185/VLOOKUP(A185,'[69]geoMap (66)'!$A:$B,2,0)*VLOOKUP(A185,'[69]geoMap (66)'!$A:$C,3,0)</f>
        <v>#REF!</v>
      </c>
    </row>
    <row r="186" spans="1:68" hidden="1" x14ac:dyDescent="0.2">
      <c r="A186" s="1" t="s">
        <v>187</v>
      </c>
      <c r="B186" s="1" t="e">
        <f>VLOOKUP(A186,[3]geoMap!$A:$B,2,0)*Notes!$C$6</f>
        <v>#REF!</v>
      </c>
      <c r="C186" s="1" t="e">
        <f>B186/VLOOKUP(A186,'[4]geoMap (1)'!$A:$B,2,0)*VLOOKUP(A186,'[4]geoMap (1)'!$A:$C,3,0)</f>
        <v>#REF!</v>
      </c>
      <c r="D186" s="1" t="e">
        <f>C186/VLOOKUP(A186,'[5]geoMap (2)'!$A:$B,2,0)*VLOOKUP(A186,'[5]geoMap (2)'!$A:$C,3,0)</f>
        <v>#REF!</v>
      </c>
      <c r="E186" s="1" t="e">
        <f>D186/VLOOKUP(A186,'[6]geoMap (3)'!$A:$B,2,0)*VLOOKUP(A186,'[6]geoMap (3)'!$A:$C,3,0)</f>
        <v>#REF!</v>
      </c>
      <c r="F186" s="1" t="e">
        <f>E186/VLOOKUP(A186,'[7]geoMap (4)'!$A:$B,2,0)*VLOOKUP(A186,'[7]geoMap (4)'!$A:$C,3,0)</f>
        <v>#REF!</v>
      </c>
      <c r="G186" s="1" t="e">
        <f>F186/VLOOKUP(A186,'[8]geoMap (5)'!$A:$B,2,0)*VLOOKUP(A186,'[8]geoMap (5)'!$A:$C,3,0)</f>
        <v>#REF!</v>
      </c>
      <c r="H186" s="1" t="e">
        <f>G186/VLOOKUP(A186,'[9]geoMap (6)'!$A:$B,2,0)*VLOOKUP(A186,'[9]geoMap (6)'!$A:$C,3,0)</f>
        <v>#REF!</v>
      </c>
      <c r="I186" s="1" t="e">
        <f>H186/VLOOKUP(A186,'[10]geoMap (7)'!$A:$B,2,0)*VLOOKUP(A186,'[10]geoMap (7)'!$A:$C,3,0)</f>
        <v>#REF!</v>
      </c>
      <c r="J186" s="1" t="e">
        <f>I186/VLOOKUP(A186,'[11]geoMap (8)'!$A:$B,2,0)*VLOOKUP(A186,'[11]geoMap (8)'!$A:$C,3,0)</f>
        <v>#REF!</v>
      </c>
      <c r="K186" s="1" t="e">
        <f>J186/VLOOKUP(A186,'[12]geoMap (9)'!$A:$B,2,0)*VLOOKUP(A186,'[12]geoMap (9)'!$A:$C,3,0)</f>
        <v>#REF!</v>
      </c>
      <c r="L186" s="1" t="e">
        <f>K186/VLOOKUP(A186,'[13]geoMap (10)'!$A:$B,2,0)*VLOOKUP(A186,'[13]geoMap (10)'!$A:$C,3,0)</f>
        <v>#REF!</v>
      </c>
      <c r="M186" s="1" t="e">
        <f>L186/VLOOKUP(A186,'[14]geoMap (11)'!$A:$B,2,0)*VLOOKUP(A186,'[14]geoMap (11)'!$A:$C,3,0)</f>
        <v>#REF!</v>
      </c>
      <c r="N186" s="1" t="e">
        <f>M186/VLOOKUP(A186,'[15]geoMap (12)'!$A:$B,2,0)*VLOOKUP(A186,'[15]geoMap (12)'!$A:$C,3,0)</f>
        <v>#REF!</v>
      </c>
      <c r="O186" s="1" t="e">
        <f>N186/VLOOKUP(A186,'[16]geoMap (13)'!$A:$B,2,0)*VLOOKUP(A186,'[16]geoMap (13)'!$A:$C,3,0)</f>
        <v>#REF!</v>
      </c>
      <c r="P186" s="1" t="e">
        <f>O186/VLOOKUP(A186,'[17]geoMap (14)'!$A:$B,2,0)*VLOOKUP(A186,'[17]geoMap (14)'!$A:$C,3,0)</f>
        <v>#REF!</v>
      </c>
      <c r="Q186" s="1" t="e">
        <f>P186/VLOOKUP(A186,'[18]geoMap (15)'!$A:$B,2,0)*VLOOKUP(A186,'[18]geoMap (15)'!$A:$C,3,0)</f>
        <v>#REF!</v>
      </c>
      <c r="R186" s="1" t="e">
        <f>Q186/VLOOKUP(A186,'[19]geoMap (16)'!$A:$B,2,0)*VLOOKUP(A186,'[19]geoMap (16)'!$A:$C,3,0)</f>
        <v>#REF!</v>
      </c>
      <c r="S186" s="1" t="e">
        <f>R186/VLOOKUP(A186,'[20]geoMap (17)'!$A:$B,2,0)*VLOOKUP(A186,'[20]geoMap (17)'!$A:$C,3,0)</f>
        <v>#REF!</v>
      </c>
      <c r="T186" s="1" t="e">
        <f>S186/VLOOKUP(A186,'[21]geoMap (18)'!$A:$B,2,0)*VLOOKUP(A186,'[21]geoMap (18)'!$A:$C,3,0)</f>
        <v>#REF!</v>
      </c>
      <c r="U186" s="1" t="e">
        <f>T186/VLOOKUP(A186,'[22]geoMap (19)'!$A:$B,2,0)*VLOOKUP(A186,'[22]geoMap (19)'!$A:$C,3,0)</f>
        <v>#REF!</v>
      </c>
      <c r="V186" s="1" t="e">
        <f>U186/VLOOKUP(A186,'[23]geoMap (20)'!$A:$B,2,0)*VLOOKUP(A186,'[23]geoMap (20)'!$A:$C,3,0)</f>
        <v>#REF!</v>
      </c>
      <c r="W186" s="1" t="e">
        <f>V186/VLOOKUP(A186,'[24]geoMap (21)'!$A:$B,2,0)*VLOOKUP(A186,'[24]geoMap (21)'!$A:$C,3,0)</f>
        <v>#REF!</v>
      </c>
      <c r="X186" s="1" t="e">
        <f>W186/VLOOKUP(A186,'[25]geoMap (22)'!$A:$B,2,0)*VLOOKUP(A186,'[25]geoMap (22)'!$A:$C,3,0)</f>
        <v>#REF!</v>
      </c>
      <c r="Y186" s="1" t="e">
        <f>X186/VLOOKUP(A186,'[26]geoMap (23)'!$A:$B,2,0)*VLOOKUP(A186,'[26]geoMap (23)'!$A:$C,3,0)</f>
        <v>#REF!</v>
      </c>
      <c r="Z186" s="1" t="e">
        <f>Y186/VLOOKUP(A186,'[27]geoMap (24)'!$A:$B,2,0)*VLOOKUP(A186,'[27]geoMap (24)'!$A:$C,3,0)</f>
        <v>#REF!</v>
      </c>
      <c r="AA186" s="1" t="e">
        <f>Z186/VLOOKUP(A186,'[28]geoMap (25)'!$A:$B,2,0)*VLOOKUP(A186,'[28]geoMap (25)'!$A:$C,3,0)</f>
        <v>#REF!</v>
      </c>
      <c r="AB186" s="1" t="e">
        <f>AA186*VLOOKUP(A186,'[29]geoMap (26)'!$A:$B,2,0)*VLOOKUP(A186,'[29]geoMap (26)'!$A:$C,3,0)</f>
        <v>#REF!</v>
      </c>
      <c r="AC186" s="1" t="e">
        <f>AB186/VLOOKUP(A186,'[30]geoMap (27)'!$A:$B,2,0)*VLOOKUP(A186,'[30]geoMap (27)'!$A:$C,3,0)</f>
        <v>#REF!</v>
      </c>
      <c r="AD186" s="1" t="e">
        <f>AC186/VLOOKUP(A186,'[31]geoMap (28)'!$A:$B,2,0)*VLOOKUP(A186,'[31]geoMap (28)'!$A:$C,3,0)</f>
        <v>#REF!</v>
      </c>
      <c r="AE186" s="1" t="e">
        <f>AD186/VLOOKUP(A186,'[32]geoMap (29)'!$A:$B,2,0)*VLOOKUP(A186,'[32]geoMap (29)'!$A:$C,3,0)</f>
        <v>#REF!</v>
      </c>
      <c r="AF186" s="1" t="e">
        <f>AE186/VLOOKUP(A186,'[33]geoMap (30)'!$A:$B,2,0)*VLOOKUP(A186,'[33]geoMap (30)'!$A:$C,3,0)</f>
        <v>#REF!</v>
      </c>
      <c r="AG186" s="1" t="e">
        <f>AF186/VLOOKUP(A186,'[34]geoMap (31)'!$A:$B,2,0)*VLOOKUP(A186,'[34]geoMap (31)'!$A:$C,3,0)</f>
        <v>#REF!</v>
      </c>
      <c r="AH186" s="1" t="e">
        <f>AG186/VLOOKUP(A186,'[35]geoMap (32)'!$A:$B,2,0)*VLOOKUP(A186,'[35]geoMap (32)'!$A:$C,3,0)</f>
        <v>#REF!</v>
      </c>
      <c r="AI186" s="1" t="e">
        <f>AH186/VLOOKUP(A186,'[36]geoMap (33)'!$A:$B,2,0)*VLOOKUP(A186,'[36]geoMap (33)'!$A:$C,3,0)</f>
        <v>#REF!</v>
      </c>
      <c r="AJ186" s="1" t="e">
        <f>AI186/VLOOKUP(A186,'[37]geoMap (34)'!$A:$B,2,0)*VLOOKUP(A186,'[37]geoMap (34)'!$A:$C,3,0)</f>
        <v>#REF!</v>
      </c>
      <c r="AK186" s="1" t="e">
        <f>AJ186/VLOOKUP(A186,'[38]geoMap (35)'!$A:$B,2,0)*VLOOKUP(A186,'[38]geoMap (35)'!$A:$C,3,0)</f>
        <v>#REF!</v>
      </c>
      <c r="AL186" s="1" t="e">
        <f>AK186/VLOOKUP(A186,'[39]geoMap (36)'!$A:$B,2,0)*VLOOKUP(A186,'[39]geoMap (36)'!$A:$C,3,0)</f>
        <v>#REF!</v>
      </c>
      <c r="AM186" s="1" t="e">
        <f>AL186/VLOOKUP(A186,'[40]geoMap (37)'!$A:$B,2,0)*VLOOKUP(A186,'[40]geoMap (37)'!$A:$C,3,0)</f>
        <v>#REF!</v>
      </c>
      <c r="AN186" s="1" t="e">
        <f>AM186/VLOOKUP(A186,'[41]geoMap (38)'!$A:$B,2,0)*VLOOKUP(A186,'[41]geoMap (38)'!$A:$C,3,0)</f>
        <v>#REF!</v>
      </c>
      <c r="AO186" s="1" t="e">
        <f>AN186/VLOOKUP(A186,'[42]geoMap (39)'!$A:$B,2,0)*VLOOKUP(A186,'[42]geoMap (39)'!$A:$C,3,0)</f>
        <v>#REF!</v>
      </c>
      <c r="AP186" s="1" t="e">
        <f>AO186/VLOOKUP(A186,'[43]geoMap (40)'!$A:$B,2,0)*VLOOKUP(A186,'[43]geoMap (40)'!$A:$C,3,0)</f>
        <v>#REF!</v>
      </c>
      <c r="AQ186" s="1" t="e">
        <f>AP186/VLOOKUP(A186,'[44]geoMap (41)'!$A:$B,2,0)*VLOOKUP(A186,'[44]geoMap (41)'!$A:$C,3,0)</f>
        <v>#REF!</v>
      </c>
      <c r="AR186" s="1" t="e">
        <f>AQ186/VLOOKUP(A186,'[45]geoMap (42)'!$A:$B,2,0)*VLOOKUP(A186,'[45]geoMap (42)'!$A:$C,3,0)</f>
        <v>#REF!</v>
      </c>
      <c r="AS186" s="1" t="e">
        <f>AR186/VLOOKUP(A186,'[46]geoMap (43)'!$A:$B,2,0)*VLOOKUP(A186,'[46]geoMap (43)'!$A:$C,3,0)</f>
        <v>#REF!</v>
      </c>
      <c r="AT186" s="1" t="e">
        <f>AS186/VLOOKUP(A186,'[47]geoMap (44)'!$A:$B,2,0)*VLOOKUP(A186,'[47]geoMap (44)'!$A:$C,3,0)</f>
        <v>#REF!</v>
      </c>
      <c r="AU186" s="1" t="e">
        <f>AT186/VLOOKUP(A186,'[48]geoMap (45)'!$A:$B,2,0)*VLOOKUP(A186,'[48]geoMap (45)'!$A:$C,3,0)</f>
        <v>#REF!</v>
      </c>
      <c r="AV186" s="1" t="e">
        <f>AU186/VLOOKUP(A186,'[49]geoMap (46)'!$A:$B,2,0)*VLOOKUP(A186,'[49]geoMap (46)'!$A:$C,3,0)</f>
        <v>#REF!</v>
      </c>
      <c r="AW186" s="1" t="e">
        <f>AV186/VLOOKUP(A186,'[50]geoMap (47)'!$A:$B,2,0)*VLOOKUP(A186,'[50]geoMap (47)'!$A:$C,3,0)</f>
        <v>#REF!</v>
      </c>
      <c r="AX186" s="1" t="e">
        <f>AW186/VLOOKUP(A186,'[51]geoMap (48)'!$A:$B,2,0)*VLOOKUP(A186,'[51]geoMap (48)'!$A:$C,3,0)</f>
        <v>#REF!</v>
      </c>
      <c r="AY186" s="1" t="e">
        <f>AX186/VLOOKUP(A186,'[52]geoMap (49)'!$A:$B,2,0)*VLOOKUP(A186,'[52]geoMap (49)'!$A:$C,3,0)</f>
        <v>#REF!</v>
      </c>
      <c r="AZ186" s="1" t="e">
        <f>AY186/VLOOKUP(A186,'[53]geoMap (50)'!$A:$B,2,0)*VLOOKUP(A186,'[53]geoMap (50)'!$A:$C,3,0)</f>
        <v>#REF!</v>
      </c>
      <c r="BA186" s="1" t="e">
        <f>AZ186/VLOOKUP(A186,'[54]geoMap (51)'!$A:$B,2,0)*VLOOKUP(A186,'[54]geoMap (51)'!$A:$C,3,0)</f>
        <v>#REF!</v>
      </c>
      <c r="BB186" s="1" t="e">
        <f>BA186/VLOOKUP(A186,'[55]geoMap (52)'!$A:$B,2,0)*VLOOKUP(A186,'[55]geoMap (52)'!$A:$C,3,0)</f>
        <v>#REF!</v>
      </c>
      <c r="BC186" s="1" t="e">
        <f>BB186/VLOOKUP(A186,'[56]geoMap (53)'!$A:$B,2,0)*VLOOKUP(A186,'[56]geoMap (53)'!$A:$C,3,0)</f>
        <v>#REF!</v>
      </c>
      <c r="BD186" s="1" t="e">
        <f>BC186/VLOOKUP(A186,'[57]geoMap (54)'!$A:$B,2,0)*VLOOKUP(A186,'[57]geoMap (54)'!$A:$C,3,0)</f>
        <v>#REF!</v>
      </c>
      <c r="BE186" s="1" t="e">
        <f>BD186/VLOOKUP(A186,'[58]geoMap (55)'!$A:$B,2,0)*VLOOKUP(A186,'[58]geoMap (55)'!$A:$C,3,0)</f>
        <v>#REF!</v>
      </c>
      <c r="BF186" s="1" t="e">
        <f>BE186/VLOOKUP(A186,'[59]geoMap (56)'!$A:$B,2,0)*VLOOKUP(A186,'[59]geoMap (56)'!$A:$C,3,0)</f>
        <v>#REF!</v>
      </c>
      <c r="BG186" s="1" t="e">
        <f>BF186/VLOOKUP(A186,'[60]geoMap (57)'!$A:$B,2,0)*VLOOKUP(A186,'[60]geoMap (57)'!$A:$C,3,0)</f>
        <v>#REF!</v>
      </c>
      <c r="BH186" s="1" t="e">
        <f>BG186/VLOOKUP(A186,'[61]geoMap (58)'!$A:$B,2,0)*VLOOKUP(A186,'[61]geoMap (58)'!$A:$C,3,0)</f>
        <v>#REF!</v>
      </c>
      <c r="BI186" s="1" t="e">
        <f>BH186/VLOOKUP(A186,'[62]geoMap (59)'!$A:$B,2,0)*VLOOKUP(A186,'[62]geoMap (59)'!$A:$C,3,0)</f>
        <v>#REF!</v>
      </c>
      <c r="BJ186" s="1" t="e">
        <f>BI186/VLOOKUP(A186,'[63]geoMap (60)'!$A:$B,2,0)*VLOOKUP(A186,'[63]geoMap (60)'!$A:$C,3,0)</f>
        <v>#REF!</v>
      </c>
      <c r="BK186" s="1" t="e">
        <f>BJ186/VLOOKUP(A186,'[64]geoMap (61)'!$A:$B,2,0)*VLOOKUP(A186,'[64]geoMap (61)'!$A:$C,3,0)</f>
        <v>#REF!</v>
      </c>
      <c r="BL186" s="1" t="e">
        <f>BK186/VLOOKUP(A186,'[65]geoMap (62)'!$A:$B,2,0)*VLOOKUP(A186,'[65]geoMap (62)'!$A:$C,3,0)</f>
        <v>#REF!</v>
      </c>
      <c r="BM186" s="1" t="e">
        <f>BL186/VLOOKUP(A186,'[66]geoMap (63)'!$A:$B,2,0)*VLOOKUP(A186,'[66]geoMap (63)'!$A:$C,3,0)</f>
        <v>#REF!</v>
      </c>
      <c r="BN186" s="1" t="e">
        <f>BM186/VLOOKUP(A186,'[67]geoMap (64)'!$A:$B,2,0)*VLOOKUP(A186,'[67]geoMap (64)'!$A:$C,3,0)</f>
        <v>#REF!</v>
      </c>
      <c r="BO186" s="1" t="e">
        <f>BN186/VLOOKUP(A186,'[68]geoMap (65)'!$A:$B,2,0)*VLOOKUP(A186,'[68]geoMap (65)'!$A:$C,3,0)</f>
        <v>#REF!</v>
      </c>
      <c r="BP186" s="1" t="e">
        <f>BO186/VLOOKUP(A186,'[69]geoMap (66)'!$A:$B,2,0)*VLOOKUP(A186,'[69]geoMap (66)'!$A:$C,3,0)</f>
        <v>#REF!</v>
      </c>
    </row>
    <row r="187" spans="1:68" hidden="1" x14ac:dyDescent="0.2">
      <c r="A187" s="1" t="s">
        <v>188</v>
      </c>
      <c r="B187" s="1" t="e">
        <f>VLOOKUP(A187,[3]geoMap!$A:$B,2,0)*Notes!$C$6</f>
        <v>#REF!</v>
      </c>
      <c r="C187" s="1" t="e">
        <f>B187/VLOOKUP(A187,'[4]geoMap (1)'!$A:$B,2,0)*VLOOKUP(A187,'[4]geoMap (1)'!$A:$C,3,0)</f>
        <v>#REF!</v>
      </c>
      <c r="D187" s="1" t="e">
        <f>C187/VLOOKUP(A187,'[5]geoMap (2)'!$A:$B,2,0)*VLOOKUP(A187,'[5]geoMap (2)'!$A:$C,3,0)</f>
        <v>#REF!</v>
      </c>
      <c r="E187" s="1" t="e">
        <f>D187/VLOOKUP(A187,'[6]geoMap (3)'!$A:$B,2,0)*VLOOKUP(A187,'[6]geoMap (3)'!$A:$C,3,0)</f>
        <v>#REF!</v>
      </c>
      <c r="F187" s="1" t="e">
        <f>E187/VLOOKUP(A187,'[7]geoMap (4)'!$A:$B,2,0)*VLOOKUP(A187,'[7]geoMap (4)'!$A:$C,3,0)</f>
        <v>#REF!</v>
      </c>
      <c r="G187" s="1" t="e">
        <f>F187/VLOOKUP(A187,'[8]geoMap (5)'!$A:$B,2,0)*VLOOKUP(A187,'[8]geoMap (5)'!$A:$C,3,0)</f>
        <v>#REF!</v>
      </c>
      <c r="H187" s="1" t="e">
        <f>G187/VLOOKUP(A187,'[9]geoMap (6)'!$A:$B,2,0)*VLOOKUP(A187,'[9]geoMap (6)'!$A:$C,3,0)</f>
        <v>#REF!</v>
      </c>
      <c r="I187" s="1" t="e">
        <f>H187/VLOOKUP(A187,'[10]geoMap (7)'!$A:$B,2,0)*VLOOKUP(A187,'[10]geoMap (7)'!$A:$C,3,0)</f>
        <v>#REF!</v>
      </c>
      <c r="J187" s="1" t="e">
        <f>I187/VLOOKUP(A187,'[11]geoMap (8)'!$A:$B,2,0)*VLOOKUP(A187,'[11]geoMap (8)'!$A:$C,3,0)</f>
        <v>#REF!</v>
      </c>
      <c r="K187" s="1" t="e">
        <f>J187/VLOOKUP(A187,'[12]geoMap (9)'!$A:$B,2,0)*VLOOKUP(A187,'[12]geoMap (9)'!$A:$C,3,0)</f>
        <v>#REF!</v>
      </c>
      <c r="L187" s="1" t="e">
        <f>K187/VLOOKUP(A187,'[13]geoMap (10)'!$A:$B,2,0)*VLOOKUP(A187,'[13]geoMap (10)'!$A:$C,3,0)</f>
        <v>#REF!</v>
      </c>
      <c r="M187" s="1" t="e">
        <f>L187/VLOOKUP(A187,'[14]geoMap (11)'!$A:$B,2,0)*VLOOKUP(A187,'[14]geoMap (11)'!$A:$C,3,0)</f>
        <v>#REF!</v>
      </c>
      <c r="N187" s="1" t="e">
        <f>M187/VLOOKUP(A187,'[15]geoMap (12)'!$A:$B,2,0)*VLOOKUP(A187,'[15]geoMap (12)'!$A:$C,3,0)</f>
        <v>#REF!</v>
      </c>
      <c r="O187" s="1" t="e">
        <f>N187/VLOOKUP(A187,'[16]geoMap (13)'!$A:$B,2,0)*VLOOKUP(A187,'[16]geoMap (13)'!$A:$C,3,0)</f>
        <v>#REF!</v>
      </c>
      <c r="P187" s="1" t="e">
        <f>O187/VLOOKUP(A187,'[17]geoMap (14)'!$A:$B,2,0)*VLOOKUP(A187,'[17]geoMap (14)'!$A:$C,3,0)</f>
        <v>#REF!</v>
      </c>
      <c r="Q187" s="1" t="e">
        <f>P187/VLOOKUP(A187,'[18]geoMap (15)'!$A:$B,2,0)*VLOOKUP(A187,'[18]geoMap (15)'!$A:$C,3,0)</f>
        <v>#REF!</v>
      </c>
      <c r="R187" s="1" t="e">
        <f>Q187/VLOOKUP(A187,'[19]geoMap (16)'!$A:$B,2,0)*VLOOKUP(A187,'[19]geoMap (16)'!$A:$C,3,0)</f>
        <v>#REF!</v>
      </c>
      <c r="S187" s="1" t="e">
        <f>R187/VLOOKUP(A187,'[20]geoMap (17)'!$A:$B,2,0)*VLOOKUP(A187,'[20]geoMap (17)'!$A:$C,3,0)</f>
        <v>#REF!</v>
      </c>
      <c r="T187" s="1" t="e">
        <f>S187/VLOOKUP(A187,'[21]geoMap (18)'!$A:$B,2,0)*VLOOKUP(A187,'[21]geoMap (18)'!$A:$C,3,0)</f>
        <v>#REF!</v>
      </c>
      <c r="U187" s="1" t="e">
        <f>T187/VLOOKUP(A187,'[22]geoMap (19)'!$A:$B,2,0)*VLOOKUP(A187,'[22]geoMap (19)'!$A:$C,3,0)</f>
        <v>#REF!</v>
      </c>
      <c r="V187" s="1" t="e">
        <f>U187/VLOOKUP(A187,'[23]geoMap (20)'!$A:$B,2,0)*VLOOKUP(A187,'[23]geoMap (20)'!$A:$C,3,0)</f>
        <v>#REF!</v>
      </c>
      <c r="W187" s="1" t="e">
        <f>V187/VLOOKUP(A187,'[24]geoMap (21)'!$A:$B,2,0)*VLOOKUP(A187,'[24]geoMap (21)'!$A:$C,3,0)</f>
        <v>#REF!</v>
      </c>
      <c r="X187" s="1" t="e">
        <f>W187/VLOOKUP(A187,'[25]geoMap (22)'!$A:$B,2,0)*VLOOKUP(A187,'[25]geoMap (22)'!$A:$C,3,0)</f>
        <v>#REF!</v>
      </c>
      <c r="Y187" s="1" t="e">
        <f>X187/VLOOKUP(A187,'[26]geoMap (23)'!$A:$B,2,0)*VLOOKUP(A187,'[26]geoMap (23)'!$A:$C,3,0)</f>
        <v>#REF!</v>
      </c>
      <c r="Z187" s="1" t="e">
        <f>Y187/VLOOKUP(A187,'[27]geoMap (24)'!$A:$B,2,0)*VLOOKUP(A187,'[27]geoMap (24)'!$A:$C,3,0)</f>
        <v>#REF!</v>
      </c>
      <c r="AA187" s="1" t="e">
        <f>Z187/VLOOKUP(A187,'[28]geoMap (25)'!$A:$B,2,0)*VLOOKUP(A187,'[28]geoMap (25)'!$A:$C,3,0)</f>
        <v>#REF!</v>
      </c>
      <c r="AB187" s="1" t="e">
        <f>AA187*VLOOKUP(A187,'[29]geoMap (26)'!$A:$B,2,0)*VLOOKUP(A187,'[29]geoMap (26)'!$A:$C,3,0)</f>
        <v>#REF!</v>
      </c>
      <c r="AC187" s="1" t="e">
        <f>AB187/VLOOKUP(A187,'[30]geoMap (27)'!$A:$B,2,0)*VLOOKUP(A187,'[30]geoMap (27)'!$A:$C,3,0)</f>
        <v>#REF!</v>
      </c>
      <c r="AD187" s="1" t="e">
        <f>AC187/VLOOKUP(A187,'[31]geoMap (28)'!$A:$B,2,0)*VLOOKUP(A187,'[31]geoMap (28)'!$A:$C,3,0)</f>
        <v>#REF!</v>
      </c>
      <c r="AE187" s="1" t="e">
        <f>AD187/VLOOKUP(A187,'[32]geoMap (29)'!$A:$B,2,0)*VLOOKUP(A187,'[32]geoMap (29)'!$A:$C,3,0)</f>
        <v>#REF!</v>
      </c>
      <c r="AF187" s="1" t="e">
        <f>AE187/VLOOKUP(A187,'[33]geoMap (30)'!$A:$B,2,0)*VLOOKUP(A187,'[33]geoMap (30)'!$A:$C,3,0)</f>
        <v>#REF!</v>
      </c>
      <c r="AG187" s="1" t="e">
        <f>AF187/VLOOKUP(A187,'[34]geoMap (31)'!$A:$B,2,0)*VLOOKUP(A187,'[34]geoMap (31)'!$A:$C,3,0)</f>
        <v>#REF!</v>
      </c>
      <c r="AH187" s="1" t="e">
        <f>AG187/VLOOKUP(A187,'[35]geoMap (32)'!$A:$B,2,0)*VLOOKUP(A187,'[35]geoMap (32)'!$A:$C,3,0)</f>
        <v>#REF!</v>
      </c>
      <c r="AI187" s="1" t="e">
        <f>AH187/VLOOKUP(A187,'[36]geoMap (33)'!$A:$B,2,0)*VLOOKUP(A187,'[36]geoMap (33)'!$A:$C,3,0)</f>
        <v>#REF!</v>
      </c>
      <c r="AJ187" s="1" t="e">
        <f>AI187/VLOOKUP(A187,'[37]geoMap (34)'!$A:$B,2,0)*VLOOKUP(A187,'[37]geoMap (34)'!$A:$C,3,0)</f>
        <v>#REF!</v>
      </c>
      <c r="AK187" s="1" t="e">
        <f>AJ187/VLOOKUP(A187,'[38]geoMap (35)'!$A:$B,2,0)*VLOOKUP(A187,'[38]geoMap (35)'!$A:$C,3,0)</f>
        <v>#REF!</v>
      </c>
      <c r="AL187" s="1" t="e">
        <f>AK187/VLOOKUP(A187,'[39]geoMap (36)'!$A:$B,2,0)*VLOOKUP(A187,'[39]geoMap (36)'!$A:$C,3,0)</f>
        <v>#REF!</v>
      </c>
      <c r="AM187" s="1" t="e">
        <f>AL187/VLOOKUP(A187,'[40]geoMap (37)'!$A:$B,2,0)*VLOOKUP(A187,'[40]geoMap (37)'!$A:$C,3,0)</f>
        <v>#REF!</v>
      </c>
      <c r="AN187" s="1" t="e">
        <f>AM187/VLOOKUP(A187,'[41]geoMap (38)'!$A:$B,2,0)*VLOOKUP(A187,'[41]geoMap (38)'!$A:$C,3,0)</f>
        <v>#REF!</v>
      </c>
      <c r="AO187" s="1" t="e">
        <f>AN187/VLOOKUP(A187,'[42]geoMap (39)'!$A:$B,2,0)*VLOOKUP(A187,'[42]geoMap (39)'!$A:$C,3,0)</f>
        <v>#REF!</v>
      </c>
      <c r="AP187" s="1" t="e">
        <f>AO187/VLOOKUP(A187,'[43]geoMap (40)'!$A:$B,2,0)*VLOOKUP(A187,'[43]geoMap (40)'!$A:$C,3,0)</f>
        <v>#REF!</v>
      </c>
      <c r="AQ187" s="1" t="e">
        <f>AP187/VLOOKUP(A187,'[44]geoMap (41)'!$A:$B,2,0)*VLOOKUP(A187,'[44]geoMap (41)'!$A:$C,3,0)</f>
        <v>#REF!</v>
      </c>
      <c r="AR187" s="1" t="e">
        <f>AQ187/VLOOKUP(A187,'[45]geoMap (42)'!$A:$B,2,0)*VLOOKUP(A187,'[45]geoMap (42)'!$A:$C,3,0)</f>
        <v>#REF!</v>
      </c>
      <c r="AS187" s="1" t="e">
        <f>AR187/VLOOKUP(A187,'[46]geoMap (43)'!$A:$B,2,0)*VLOOKUP(A187,'[46]geoMap (43)'!$A:$C,3,0)</f>
        <v>#REF!</v>
      </c>
      <c r="AT187" s="1" t="e">
        <f>AS187/VLOOKUP(A187,'[47]geoMap (44)'!$A:$B,2,0)*VLOOKUP(A187,'[47]geoMap (44)'!$A:$C,3,0)</f>
        <v>#REF!</v>
      </c>
      <c r="AU187" s="1" t="e">
        <f>AT187/VLOOKUP(A187,'[48]geoMap (45)'!$A:$B,2,0)*VLOOKUP(A187,'[48]geoMap (45)'!$A:$C,3,0)</f>
        <v>#REF!</v>
      </c>
      <c r="AV187" s="1" t="e">
        <f>AU187/VLOOKUP(A187,'[49]geoMap (46)'!$A:$B,2,0)*VLOOKUP(A187,'[49]geoMap (46)'!$A:$C,3,0)</f>
        <v>#REF!</v>
      </c>
      <c r="AW187" s="1" t="e">
        <f>AV187/VLOOKUP(A187,'[50]geoMap (47)'!$A:$B,2,0)*VLOOKUP(A187,'[50]geoMap (47)'!$A:$C,3,0)</f>
        <v>#REF!</v>
      </c>
      <c r="AX187" s="1" t="e">
        <f>AW187/VLOOKUP(A187,'[51]geoMap (48)'!$A:$B,2,0)*VLOOKUP(A187,'[51]geoMap (48)'!$A:$C,3,0)</f>
        <v>#REF!</v>
      </c>
      <c r="AY187" s="1" t="e">
        <f>AX187/VLOOKUP(A187,'[52]geoMap (49)'!$A:$B,2,0)*VLOOKUP(A187,'[52]geoMap (49)'!$A:$C,3,0)</f>
        <v>#REF!</v>
      </c>
      <c r="AZ187" s="1" t="e">
        <f>AY187/VLOOKUP(A187,'[53]geoMap (50)'!$A:$B,2,0)*VLOOKUP(A187,'[53]geoMap (50)'!$A:$C,3,0)</f>
        <v>#REF!</v>
      </c>
      <c r="BA187" s="1" t="e">
        <f>AZ187/VLOOKUP(A187,'[54]geoMap (51)'!$A:$B,2,0)*VLOOKUP(A187,'[54]geoMap (51)'!$A:$C,3,0)</f>
        <v>#REF!</v>
      </c>
      <c r="BB187" s="1" t="e">
        <f>BA187/VLOOKUP(A187,'[55]geoMap (52)'!$A:$B,2,0)*VLOOKUP(A187,'[55]geoMap (52)'!$A:$C,3,0)</f>
        <v>#REF!</v>
      </c>
      <c r="BC187" s="1" t="e">
        <f>BB187/VLOOKUP(A187,'[56]geoMap (53)'!$A:$B,2,0)*VLOOKUP(A187,'[56]geoMap (53)'!$A:$C,3,0)</f>
        <v>#REF!</v>
      </c>
      <c r="BD187" s="1" t="e">
        <f>BC187/VLOOKUP(A187,'[57]geoMap (54)'!$A:$B,2,0)*VLOOKUP(A187,'[57]geoMap (54)'!$A:$C,3,0)</f>
        <v>#REF!</v>
      </c>
      <c r="BE187" s="1" t="e">
        <f>BD187/VLOOKUP(A187,'[58]geoMap (55)'!$A:$B,2,0)*VLOOKUP(A187,'[58]geoMap (55)'!$A:$C,3,0)</f>
        <v>#REF!</v>
      </c>
      <c r="BF187" s="1" t="e">
        <f>BE187/VLOOKUP(A187,'[59]geoMap (56)'!$A:$B,2,0)*VLOOKUP(A187,'[59]geoMap (56)'!$A:$C,3,0)</f>
        <v>#REF!</v>
      </c>
      <c r="BG187" s="1" t="e">
        <f>BF187/VLOOKUP(A187,'[60]geoMap (57)'!$A:$B,2,0)*VLOOKUP(A187,'[60]geoMap (57)'!$A:$C,3,0)</f>
        <v>#REF!</v>
      </c>
      <c r="BH187" s="1" t="e">
        <f>BG187/VLOOKUP(A187,'[61]geoMap (58)'!$A:$B,2,0)*VLOOKUP(A187,'[61]geoMap (58)'!$A:$C,3,0)</f>
        <v>#REF!</v>
      </c>
      <c r="BI187" s="1" t="e">
        <f>BH187/VLOOKUP(A187,'[62]geoMap (59)'!$A:$B,2,0)*VLOOKUP(A187,'[62]geoMap (59)'!$A:$C,3,0)</f>
        <v>#REF!</v>
      </c>
      <c r="BJ187" s="1" t="e">
        <f>BI187/VLOOKUP(A187,'[63]geoMap (60)'!$A:$B,2,0)*VLOOKUP(A187,'[63]geoMap (60)'!$A:$C,3,0)</f>
        <v>#REF!</v>
      </c>
      <c r="BK187" s="1" t="e">
        <f>BJ187/VLOOKUP(A187,'[64]geoMap (61)'!$A:$B,2,0)*VLOOKUP(A187,'[64]geoMap (61)'!$A:$C,3,0)</f>
        <v>#REF!</v>
      </c>
      <c r="BL187" s="1" t="e">
        <f>BK187/VLOOKUP(A187,'[65]geoMap (62)'!$A:$B,2,0)*VLOOKUP(A187,'[65]geoMap (62)'!$A:$C,3,0)</f>
        <v>#REF!</v>
      </c>
      <c r="BM187" s="1" t="e">
        <f>BL187/VLOOKUP(A187,'[66]geoMap (63)'!$A:$B,2,0)*VLOOKUP(A187,'[66]geoMap (63)'!$A:$C,3,0)</f>
        <v>#REF!</v>
      </c>
      <c r="BN187" s="1" t="e">
        <f>BM187/VLOOKUP(A187,'[67]geoMap (64)'!$A:$B,2,0)*VLOOKUP(A187,'[67]geoMap (64)'!$A:$C,3,0)</f>
        <v>#REF!</v>
      </c>
      <c r="BO187" s="1" t="e">
        <f>BN187/VLOOKUP(A187,'[68]geoMap (65)'!$A:$B,2,0)*VLOOKUP(A187,'[68]geoMap (65)'!$A:$C,3,0)</f>
        <v>#REF!</v>
      </c>
      <c r="BP187" s="1" t="e">
        <f>BO187/VLOOKUP(A187,'[69]geoMap (66)'!$A:$B,2,0)*VLOOKUP(A187,'[69]geoMap (66)'!$A:$C,3,0)</f>
        <v>#REF!</v>
      </c>
    </row>
    <row r="188" spans="1:68" hidden="1" x14ac:dyDescent="0.2">
      <c r="A188" s="1" t="s">
        <v>190</v>
      </c>
      <c r="B188" s="1" t="e">
        <f>VLOOKUP(A188,[3]geoMap!$A:$B,2,0)*Notes!$C$6</f>
        <v>#REF!</v>
      </c>
      <c r="C188" s="1" t="e">
        <f>B188/VLOOKUP(A188,'[4]geoMap (1)'!$A:$B,2,0)*VLOOKUP(A188,'[4]geoMap (1)'!$A:$C,3,0)</f>
        <v>#REF!</v>
      </c>
      <c r="D188" s="1" t="e">
        <f>C188/VLOOKUP(A188,'[5]geoMap (2)'!$A:$B,2,0)*VLOOKUP(A188,'[5]geoMap (2)'!$A:$C,3,0)</f>
        <v>#REF!</v>
      </c>
      <c r="E188" s="1" t="e">
        <f>D188/VLOOKUP(A188,'[6]geoMap (3)'!$A:$B,2,0)*VLOOKUP(A188,'[6]geoMap (3)'!$A:$C,3,0)</f>
        <v>#REF!</v>
      </c>
      <c r="F188" s="1" t="e">
        <f>E188/VLOOKUP(A188,'[7]geoMap (4)'!$A:$B,2,0)*VLOOKUP(A188,'[7]geoMap (4)'!$A:$C,3,0)</f>
        <v>#REF!</v>
      </c>
      <c r="G188" s="1" t="e">
        <f>F188/VLOOKUP(A188,'[8]geoMap (5)'!$A:$B,2,0)*VLOOKUP(A188,'[8]geoMap (5)'!$A:$C,3,0)</f>
        <v>#REF!</v>
      </c>
      <c r="H188" s="1" t="e">
        <f>G188/VLOOKUP(A188,'[9]geoMap (6)'!$A:$B,2,0)*VLOOKUP(A188,'[9]geoMap (6)'!$A:$C,3,0)</f>
        <v>#REF!</v>
      </c>
      <c r="I188" s="1" t="e">
        <f>H188/VLOOKUP(A188,'[10]geoMap (7)'!$A:$B,2,0)*VLOOKUP(A188,'[10]geoMap (7)'!$A:$C,3,0)</f>
        <v>#REF!</v>
      </c>
      <c r="J188" s="1" t="e">
        <f>I188/VLOOKUP(A188,'[11]geoMap (8)'!$A:$B,2,0)*VLOOKUP(A188,'[11]geoMap (8)'!$A:$C,3,0)</f>
        <v>#REF!</v>
      </c>
      <c r="K188" s="1" t="e">
        <f>J188/VLOOKUP(A188,'[12]geoMap (9)'!$A:$B,2,0)*VLOOKUP(A188,'[12]geoMap (9)'!$A:$C,3,0)</f>
        <v>#REF!</v>
      </c>
      <c r="L188" s="1" t="e">
        <f>K188/VLOOKUP(A188,'[13]geoMap (10)'!$A:$B,2,0)*VLOOKUP(A188,'[13]geoMap (10)'!$A:$C,3,0)</f>
        <v>#REF!</v>
      </c>
      <c r="M188" s="1" t="e">
        <f>L188/VLOOKUP(A188,'[14]geoMap (11)'!$A:$B,2,0)*VLOOKUP(A188,'[14]geoMap (11)'!$A:$C,3,0)</f>
        <v>#REF!</v>
      </c>
      <c r="N188" s="1" t="e">
        <f>M188/VLOOKUP(A188,'[15]geoMap (12)'!$A:$B,2,0)*VLOOKUP(A188,'[15]geoMap (12)'!$A:$C,3,0)</f>
        <v>#REF!</v>
      </c>
      <c r="O188" s="1" t="e">
        <f>N188/VLOOKUP(A188,'[16]geoMap (13)'!$A:$B,2,0)*VLOOKUP(A188,'[16]geoMap (13)'!$A:$C,3,0)</f>
        <v>#REF!</v>
      </c>
      <c r="P188" s="1" t="e">
        <f>O188/VLOOKUP(A188,'[17]geoMap (14)'!$A:$B,2,0)*VLOOKUP(A188,'[17]geoMap (14)'!$A:$C,3,0)</f>
        <v>#REF!</v>
      </c>
      <c r="Q188" s="1" t="e">
        <f>P188/VLOOKUP(A188,'[18]geoMap (15)'!$A:$B,2,0)*VLOOKUP(A188,'[18]geoMap (15)'!$A:$C,3,0)</f>
        <v>#REF!</v>
      </c>
      <c r="R188" s="1" t="e">
        <f>Q188/VLOOKUP(A188,'[19]geoMap (16)'!$A:$B,2,0)*VLOOKUP(A188,'[19]geoMap (16)'!$A:$C,3,0)</f>
        <v>#REF!</v>
      </c>
      <c r="S188" s="1" t="e">
        <f>R188/VLOOKUP(A188,'[20]geoMap (17)'!$A:$B,2,0)*VLOOKUP(A188,'[20]geoMap (17)'!$A:$C,3,0)</f>
        <v>#REF!</v>
      </c>
      <c r="T188" s="1" t="e">
        <f>S188/VLOOKUP(A188,'[21]geoMap (18)'!$A:$B,2,0)*VLOOKUP(A188,'[21]geoMap (18)'!$A:$C,3,0)</f>
        <v>#REF!</v>
      </c>
      <c r="U188" s="1" t="e">
        <f>T188/VLOOKUP(A188,'[22]geoMap (19)'!$A:$B,2,0)*VLOOKUP(A188,'[22]geoMap (19)'!$A:$C,3,0)</f>
        <v>#REF!</v>
      </c>
      <c r="V188" s="1" t="e">
        <f>U188/VLOOKUP(A188,'[23]geoMap (20)'!$A:$B,2,0)*VLOOKUP(A188,'[23]geoMap (20)'!$A:$C,3,0)</f>
        <v>#REF!</v>
      </c>
      <c r="W188" s="1" t="e">
        <f>V188/VLOOKUP(A188,'[24]geoMap (21)'!$A:$B,2,0)*VLOOKUP(A188,'[24]geoMap (21)'!$A:$C,3,0)</f>
        <v>#REF!</v>
      </c>
      <c r="X188" s="1" t="e">
        <f>W188/VLOOKUP(A188,'[25]geoMap (22)'!$A:$B,2,0)*VLOOKUP(A188,'[25]geoMap (22)'!$A:$C,3,0)</f>
        <v>#REF!</v>
      </c>
      <c r="Y188" s="1" t="e">
        <f>X188/VLOOKUP(A188,'[26]geoMap (23)'!$A:$B,2,0)*VLOOKUP(A188,'[26]geoMap (23)'!$A:$C,3,0)</f>
        <v>#REF!</v>
      </c>
      <c r="Z188" s="1" t="e">
        <f>Y188/VLOOKUP(A188,'[27]geoMap (24)'!$A:$B,2,0)*VLOOKUP(A188,'[27]geoMap (24)'!$A:$C,3,0)</f>
        <v>#REF!</v>
      </c>
      <c r="AA188" s="1" t="e">
        <f>Z188/VLOOKUP(A188,'[28]geoMap (25)'!$A:$B,2,0)*VLOOKUP(A188,'[28]geoMap (25)'!$A:$C,3,0)</f>
        <v>#REF!</v>
      </c>
      <c r="AB188" s="1" t="e">
        <f>AA188*VLOOKUP(A188,'[29]geoMap (26)'!$A:$B,2,0)*VLOOKUP(A188,'[29]geoMap (26)'!$A:$C,3,0)</f>
        <v>#REF!</v>
      </c>
      <c r="AC188" s="1" t="e">
        <f>AB188/VLOOKUP(A188,'[30]geoMap (27)'!$A:$B,2,0)*VLOOKUP(A188,'[30]geoMap (27)'!$A:$C,3,0)</f>
        <v>#REF!</v>
      </c>
      <c r="AD188" s="1" t="e">
        <f>AC188/VLOOKUP(A188,'[31]geoMap (28)'!$A:$B,2,0)*VLOOKUP(A188,'[31]geoMap (28)'!$A:$C,3,0)</f>
        <v>#REF!</v>
      </c>
      <c r="AE188" s="1" t="e">
        <f>AD188/VLOOKUP(A188,'[32]geoMap (29)'!$A:$B,2,0)*VLOOKUP(A188,'[32]geoMap (29)'!$A:$C,3,0)</f>
        <v>#REF!</v>
      </c>
      <c r="AF188" s="1" t="e">
        <f>AE188/VLOOKUP(A188,'[33]geoMap (30)'!$A:$B,2,0)*VLOOKUP(A188,'[33]geoMap (30)'!$A:$C,3,0)</f>
        <v>#REF!</v>
      </c>
      <c r="AG188" s="1" t="e">
        <f>AF188/VLOOKUP(A188,'[34]geoMap (31)'!$A:$B,2,0)*VLOOKUP(A188,'[34]geoMap (31)'!$A:$C,3,0)</f>
        <v>#REF!</v>
      </c>
      <c r="AH188" s="1" t="e">
        <f>AG188/VLOOKUP(A188,'[35]geoMap (32)'!$A:$B,2,0)*VLOOKUP(A188,'[35]geoMap (32)'!$A:$C,3,0)</f>
        <v>#REF!</v>
      </c>
      <c r="AI188" s="1" t="e">
        <f>AH188/VLOOKUP(A188,'[36]geoMap (33)'!$A:$B,2,0)*VLOOKUP(A188,'[36]geoMap (33)'!$A:$C,3,0)</f>
        <v>#REF!</v>
      </c>
      <c r="AJ188" s="1" t="e">
        <f>AI188/VLOOKUP(A188,'[37]geoMap (34)'!$A:$B,2,0)*VLOOKUP(A188,'[37]geoMap (34)'!$A:$C,3,0)</f>
        <v>#REF!</v>
      </c>
      <c r="AK188" s="1" t="e">
        <f>AJ188/VLOOKUP(A188,'[38]geoMap (35)'!$A:$B,2,0)*VLOOKUP(A188,'[38]geoMap (35)'!$A:$C,3,0)</f>
        <v>#REF!</v>
      </c>
      <c r="AL188" s="1" t="e">
        <f>AK188/VLOOKUP(A188,'[39]geoMap (36)'!$A:$B,2,0)*VLOOKUP(A188,'[39]geoMap (36)'!$A:$C,3,0)</f>
        <v>#REF!</v>
      </c>
      <c r="AM188" s="1" t="e">
        <f>AL188/VLOOKUP(A188,'[40]geoMap (37)'!$A:$B,2,0)*VLOOKUP(A188,'[40]geoMap (37)'!$A:$C,3,0)</f>
        <v>#REF!</v>
      </c>
      <c r="AN188" s="1" t="e">
        <f>AM188/VLOOKUP(A188,'[41]geoMap (38)'!$A:$B,2,0)*VLOOKUP(A188,'[41]geoMap (38)'!$A:$C,3,0)</f>
        <v>#REF!</v>
      </c>
      <c r="AO188" s="1" t="e">
        <f>AN188/VLOOKUP(A188,'[42]geoMap (39)'!$A:$B,2,0)*VLOOKUP(A188,'[42]geoMap (39)'!$A:$C,3,0)</f>
        <v>#REF!</v>
      </c>
      <c r="AP188" s="1" t="e">
        <f>AO188/VLOOKUP(A188,'[43]geoMap (40)'!$A:$B,2,0)*VLOOKUP(A188,'[43]geoMap (40)'!$A:$C,3,0)</f>
        <v>#REF!</v>
      </c>
      <c r="AQ188" s="1" t="e">
        <f>AP188/VLOOKUP(A188,'[44]geoMap (41)'!$A:$B,2,0)*VLOOKUP(A188,'[44]geoMap (41)'!$A:$C,3,0)</f>
        <v>#REF!</v>
      </c>
      <c r="AR188" s="1" t="e">
        <f>AQ188/VLOOKUP(A188,'[45]geoMap (42)'!$A:$B,2,0)*VLOOKUP(A188,'[45]geoMap (42)'!$A:$C,3,0)</f>
        <v>#REF!</v>
      </c>
      <c r="AS188" s="1" t="e">
        <f>AR188/VLOOKUP(A188,'[46]geoMap (43)'!$A:$B,2,0)*VLOOKUP(A188,'[46]geoMap (43)'!$A:$C,3,0)</f>
        <v>#REF!</v>
      </c>
      <c r="AT188" s="1" t="e">
        <f>AS188/VLOOKUP(A188,'[47]geoMap (44)'!$A:$B,2,0)*VLOOKUP(A188,'[47]geoMap (44)'!$A:$C,3,0)</f>
        <v>#REF!</v>
      </c>
      <c r="AU188" s="1" t="e">
        <f>AT188/VLOOKUP(A188,'[48]geoMap (45)'!$A:$B,2,0)*VLOOKUP(A188,'[48]geoMap (45)'!$A:$C,3,0)</f>
        <v>#REF!</v>
      </c>
      <c r="AV188" s="1" t="e">
        <f>AU188/VLOOKUP(A188,'[49]geoMap (46)'!$A:$B,2,0)*VLOOKUP(A188,'[49]geoMap (46)'!$A:$C,3,0)</f>
        <v>#REF!</v>
      </c>
      <c r="AW188" s="1" t="e">
        <f>AV188/VLOOKUP(A188,'[50]geoMap (47)'!$A:$B,2,0)*VLOOKUP(A188,'[50]geoMap (47)'!$A:$C,3,0)</f>
        <v>#REF!</v>
      </c>
      <c r="AX188" s="1" t="e">
        <f>AW188/VLOOKUP(A188,'[51]geoMap (48)'!$A:$B,2,0)*VLOOKUP(A188,'[51]geoMap (48)'!$A:$C,3,0)</f>
        <v>#REF!</v>
      </c>
      <c r="AY188" s="1" t="e">
        <f>AX188/VLOOKUP(A188,'[52]geoMap (49)'!$A:$B,2,0)*VLOOKUP(A188,'[52]geoMap (49)'!$A:$C,3,0)</f>
        <v>#REF!</v>
      </c>
      <c r="AZ188" s="1" t="e">
        <f>AY188/VLOOKUP(A188,'[53]geoMap (50)'!$A:$B,2,0)*VLOOKUP(A188,'[53]geoMap (50)'!$A:$C,3,0)</f>
        <v>#REF!</v>
      </c>
      <c r="BA188" s="1" t="e">
        <f>AZ188/VLOOKUP(A188,'[54]geoMap (51)'!$A:$B,2,0)*VLOOKUP(A188,'[54]geoMap (51)'!$A:$C,3,0)</f>
        <v>#REF!</v>
      </c>
      <c r="BB188" s="1" t="e">
        <f>BA188/VLOOKUP(A188,'[55]geoMap (52)'!$A:$B,2,0)*VLOOKUP(A188,'[55]geoMap (52)'!$A:$C,3,0)</f>
        <v>#REF!</v>
      </c>
      <c r="BC188" s="1" t="e">
        <f>BB188/VLOOKUP(A188,'[56]geoMap (53)'!$A:$B,2,0)*VLOOKUP(A188,'[56]geoMap (53)'!$A:$C,3,0)</f>
        <v>#REF!</v>
      </c>
      <c r="BD188" s="1" t="e">
        <f>BC188/VLOOKUP(A188,'[57]geoMap (54)'!$A:$B,2,0)*VLOOKUP(A188,'[57]geoMap (54)'!$A:$C,3,0)</f>
        <v>#REF!</v>
      </c>
      <c r="BE188" s="1" t="e">
        <f>BD188/VLOOKUP(A188,'[58]geoMap (55)'!$A:$B,2,0)*VLOOKUP(A188,'[58]geoMap (55)'!$A:$C,3,0)</f>
        <v>#REF!</v>
      </c>
      <c r="BF188" s="1" t="e">
        <f>BE188/VLOOKUP(A188,'[59]geoMap (56)'!$A:$B,2,0)*VLOOKUP(A188,'[59]geoMap (56)'!$A:$C,3,0)</f>
        <v>#REF!</v>
      </c>
      <c r="BG188" s="1" t="e">
        <f>BF188/VLOOKUP(A188,'[60]geoMap (57)'!$A:$B,2,0)*VLOOKUP(A188,'[60]geoMap (57)'!$A:$C,3,0)</f>
        <v>#REF!</v>
      </c>
      <c r="BH188" s="1" t="e">
        <f>BG188/VLOOKUP(A188,'[61]geoMap (58)'!$A:$B,2,0)*VLOOKUP(A188,'[61]geoMap (58)'!$A:$C,3,0)</f>
        <v>#REF!</v>
      </c>
      <c r="BI188" s="1" t="e">
        <f>BH188/VLOOKUP(A188,'[62]geoMap (59)'!$A:$B,2,0)*VLOOKUP(A188,'[62]geoMap (59)'!$A:$C,3,0)</f>
        <v>#REF!</v>
      </c>
      <c r="BJ188" s="1" t="e">
        <f>BI188/VLOOKUP(A188,'[63]geoMap (60)'!$A:$B,2,0)*VLOOKUP(A188,'[63]geoMap (60)'!$A:$C,3,0)</f>
        <v>#REF!</v>
      </c>
      <c r="BK188" s="1" t="e">
        <f>BJ188/VLOOKUP(A188,'[64]geoMap (61)'!$A:$B,2,0)*VLOOKUP(A188,'[64]geoMap (61)'!$A:$C,3,0)</f>
        <v>#REF!</v>
      </c>
      <c r="BL188" s="1" t="e">
        <f>BK188/VLOOKUP(A188,'[65]geoMap (62)'!$A:$B,2,0)*VLOOKUP(A188,'[65]geoMap (62)'!$A:$C,3,0)</f>
        <v>#REF!</v>
      </c>
      <c r="BM188" s="1" t="e">
        <f>BL188/VLOOKUP(A188,'[66]geoMap (63)'!$A:$B,2,0)*VLOOKUP(A188,'[66]geoMap (63)'!$A:$C,3,0)</f>
        <v>#REF!</v>
      </c>
      <c r="BN188" s="1" t="e">
        <f>BM188/VLOOKUP(A188,'[67]geoMap (64)'!$A:$B,2,0)*VLOOKUP(A188,'[67]geoMap (64)'!$A:$C,3,0)</f>
        <v>#REF!</v>
      </c>
      <c r="BO188" s="1" t="e">
        <f>BN188/VLOOKUP(A188,'[68]geoMap (65)'!$A:$B,2,0)*VLOOKUP(A188,'[68]geoMap (65)'!$A:$C,3,0)</f>
        <v>#REF!</v>
      </c>
      <c r="BP188" s="1" t="e">
        <f>BO188/VLOOKUP(A188,'[69]geoMap (66)'!$A:$B,2,0)*VLOOKUP(A188,'[69]geoMap (66)'!$A:$C,3,0)</f>
        <v>#REF!</v>
      </c>
    </row>
    <row r="189" spans="1:68" hidden="1" x14ac:dyDescent="0.2">
      <c r="A189" s="1" t="s">
        <v>191</v>
      </c>
      <c r="B189" s="1" t="e">
        <f>VLOOKUP(A189,[3]geoMap!$A:$B,2,0)*Notes!$C$6</f>
        <v>#REF!</v>
      </c>
      <c r="C189" s="1" t="e">
        <f>B189/VLOOKUP(A189,'[4]geoMap (1)'!$A:$B,2,0)*VLOOKUP(A189,'[4]geoMap (1)'!$A:$C,3,0)</f>
        <v>#REF!</v>
      </c>
      <c r="D189" s="1" t="e">
        <f>C189/VLOOKUP(A189,'[5]geoMap (2)'!$A:$B,2,0)*VLOOKUP(A189,'[5]geoMap (2)'!$A:$C,3,0)</f>
        <v>#REF!</v>
      </c>
      <c r="E189" s="1" t="e">
        <f>D189/VLOOKUP(A189,'[6]geoMap (3)'!$A:$B,2,0)*VLOOKUP(A189,'[6]geoMap (3)'!$A:$C,3,0)</f>
        <v>#REF!</v>
      </c>
      <c r="F189" s="1" t="e">
        <f>E189/VLOOKUP(A189,'[7]geoMap (4)'!$A:$B,2,0)*VLOOKUP(A189,'[7]geoMap (4)'!$A:$C,3,0)</f>
        <v>#REF!</v>
      </c>
      <c r="G189" s="1" t="e">
        <f>F189/VLOOKUP(A189,'[8]geoMap (5)'!$A:$B,2,0)*VLOOKUP(A189,'[8]geoMap (5)'!$A:$C,3,0)</f>
        <v>#REF!</v>
      </c>
      <c r="H189" s="1" t="e">
        <f>G189/VLOOKUP(A189,'[9]geoMap (6)'!$A:$B,2,0)*VLOOKUP(A189,'[9]geoMap (6)'!$A:$C,3,0)</f>
        <v>#REF!</v>
      </c>
      <c r="I189" s="1" t="e">
        <f>H189/VLOOKUP(A189,'[10]geoMap (7)'!$A:$B,2,0)*VLOOKUP(A189,'[10]geoMap (7)'!$A:$C,3,0)</f>
        <v>#REF!</v>
      </c>
      <c r="J189" s="1" t="e">
        <f>I189/VLOOKUP(A189,'[11]geoMap (8)'!$A:$B,2,0)*VLOOKUP(A189,'[11]geoMap (8)'!$A:$C,3,0)</f>
        <v>#REF!</v>
      </c>
      <c r="K189" s="1" t="e">
        <f>J189/VLOOKUP(A189,'[12]geoMap (9)'!$A:$B,2,0)*VLOOKUP(A189,'[12]geoMap (9)'!$A:$C,3,0)</f>
        <v>#REF!</v>
      </c>
      <c r="L189" s="1" t="e">
        <f>K189/VLOOKUP(A189,'[13]geoMap (10)'!$A:$B,2,0)*VLOOKUP(A189,'[13]geoMap (10)'!$A:$C,3,0)</f>
        <v>#REF!</v>
      </c>
      <c r="M189" s="1" t="e">
        <f>L189/VLOOKUP(A189,'[14]geoMap (11)'!$A:$B,2,0)*VLOOKUP(A189,'[14]geoMap (11)'!$A:$C,3,0)</f>
        <v>#REF!</v>
      </c>
      <c r="N189" s="1" t="e">
        <f>M189/VLOOKUP(A189,'[15]geoMap (12)'!$A:$B,2,0)*VLOOKUP(A189,'[15]geoMap (12)'!$A:$C,3,0)</f>
        <v>#REF!</v>
      </c>
      <c r="O189" s="1" t="e">
        <f>N189/VLOOKUP(A189,'[16]geoMap (13)'!$A:$B,2,0)*VLOOKUP(A189,'[16]geoMap (13)'!$A:$C,3,0)</f>
        <v>#REF!</v>
      </c>
      <c r="P189" s="1" t="e">
        <f>O189/VLOOKUP(A189,'[17]geoMap (14)'!$A:$B,2,0)*VLOOKUP(A189,'[17]geoMap (14)'!$A:$C,3,0)</f>
        <v>#REF!</v>
      </c>
      <c r="Q189" s="1" t="e">
        <f>P189/VLOOKUP(A189,'[18]geoMap (15)'!$A:$B,2,0)*VLOOKUP(A189,'[18]geoMap (15)'!$A:$C,3,0)</f>
        <v>#REF!</v>
      </c>
      <c r="R189" s="1" t="e">
        <f>Q189/VLOOKUP(A189,'[19]geoMap (16)'!$A:$B,2,0)*VLOOKUP(A189,'[19]geoMap (16)'!$A:$C,3,0)</f>
        <v>#REF!</v>
      </c>
      <c r="S189" s="1" t="e">
        <f>R189/VLOOKUP(A189,'[20]geoMap (17)'!$A:$B,2,0)*VLOOKUP(A189,'[20]geoMap (17)'!$A:$C,3,0)</f>
        <v>#REF!</v>
      </c>
      <c r="T189" s="1" t="e">
        <f>S189/VLOOKUP(A189,'[21]geoMap (18)'!$A:$B,2,0)*VLOOKUP(A189,'[21]geoMap (18)'!$A:$C,3,0)</f>
        <v>#REF!</v>
      </c>
      <c r="U189" s="1" t="e">
        <f>T189/VLOOKUP(A189,'[22]geoMap (19)'!$A:$B,2,0)*VLOOKUP(A189,'[22]geoMap (19)'!$A:$C,3,0)</f>
        <v>#REF!</v>
      </c>
      <c r="V189" s="1" t="e">
        <f>U189/VLOOKUP(A189,'[23]geoMap (20)'!$A:$B,2,0)*VLOOKUP(A189,'[23]geoMap (20)'!$A:$C,3,0)</f>
        <v>#REF!</v>
      </c>
      <c r="W189" s="1" t="e">
        <f>V189/VLOOKUP(A189,'[24]geoMap (21)'!$A:$B,2,0)*VLOOKUP(A189,'[24]geoMap (21)'!$A:$C,3,0)</f>
        <v>#REF!</v>
      </c>
      <c r="X189" s="1" t="e">
        <f>W189/VLOOKUP(A189,'[25]geoMap (22)'!$A:$B,2,0)*VLOOKUP(A189,'[25]geoMap (22)'!$A:$C,3,0)</f>
        <v>#REF!</v>
      </c>
      <c r="Y189" s="1" t="e">
        <f>X189/VLOOKUP(A189,'[26]geoMap (23)'!$A:$B,2,0)*VLOOKUP(A189,'[26]geoMap (23)'!$A:$C,3,0)</f>
        <v>#REF!</v>
      </c>
      <c r="Z189" s="1" t="e">
        <f>Y189/VLOOKUP(A189,'[27]geoMap (24)'!$A:$B,2,0)*VLOOKUP(A189,'[27]geoMap (24)'!$A:$C,3,0)</f>
        <v>#REF!</v>
      </c>
      <c r="AA189" s="1" t="e">
        <f>Z189/VLOOKUP(A189,'[28]geoMap (25)'!$A:$B,2,0)*VLOOKUP(A189,'[28]geoMap (25)'!$A:$C,3,0)</f>
        <v>#REF!</v>
      </c>
      <c r="AB189" s="1" t="e">
        <f>AA189*VLOOKUP(A189,'[29]geoMap (26)'!$A:$B,2,0)*VLOOKUP(A189,'[29]geoMap (26)'!$A:$C,3,0)</f>
        <v>#REF!</v>
      </c>
      <c r="AC189" s="1" t="e">
        <f>AB189/VLOOKUP(A189,'[30]geoMap (27)'!$A:$B,2,0)*VLOOKUP(A189,'[30]geoMap (27)'!$A:$C,3,0)</f>
        <v>#REF!</v>
      </c>
      <c r="AD189" s="1" t="e">
        <f>AC189/VLOOKUP(A189,'[31]geoMap (28)'!$A:$B,2,0)*VLOOKUP(A189,'[31]geoMap (28)'!$A:$C,3,0)</f>
        <v>#REF!</v>
      </c>
      <c r="AE189" s="1" t="e">
        <f>AD189/VLOOKUP(A189,'[32]geoMap (29)'!$A:$B,2,0)*VLOOKUP(A189,'[32]geoMap (29)'!$A:$C,3,0)</f>
        <v>#REF!</v>
      </c>
      <c r="AF189" s="1" t="e">
        <f>AE189/VLOOKUP(A189,'[33]geoMap (30)'!$A:$B,2,0)*VLOOKUP(A189,'[33]geoMap (30)'!$A:$C,3,0)</f>
        <v>#REF!</v>
      </c>
      <c r="AG189" s="1" t="e">
        <f>AF189/VLOOKUP(A189,'[34]geoMap (31)'!$A:$B,2,0)*VLOOKUP(A189,'[34]geoMap (31)'!$A:$C,3,0)</f>
        <v>#REF!</v>
      </c>
      <c r="AH189" s="1" t="e">
        <f>AG189/VLOOKUP(A189,'[35]geoMap (32)'!$A:$B,2,0)*VLOOKUP(A189,'[35]geoMap (32)'!$A:$C,3,0)</f>
        <v>#REF!</v>
      </c>
      <c r="AI189" s="1" t="e">
        <f>AH189/VLOOKUP(A189,'[36]geoMap (33)'!$A:$B,2,0)*VLOOKUP(A189,'[36]geoMap (33)'!$A:$C,3,0)</f>
        <v>#REF!</v>
      </c>
      <c r="AJ189" s="1" t="e">
        <f>AI189/VLOOKUP(A189,'[37]geoMap (34)'!$A:$B,2,0)*VLOOKUP(A189,'[37]geoMap (34)'!$A:$C,3,0)</f>
        <v>#REF!</v>
      </c>
      <c r="AK189" s="1" t="e">
        <f>AJ189/VLOOKUP(A189,'[38]geoMap (35)'!$A:$B,2,0)*VLOOKUP(A189,'[38]geoMap (35)'!$A:$C,3,0)</f>
        <v>#REF!</v>
      </c>
      <c r="AL189" s="1" t="e">
        <f>AK189/VLOOKUP(A189,'[39]geoMap (36)'!$A:$B,2,0)*VLOOKUP(A189,'[39]geoMap (36)'!$A:$C,3,0)</f>
        <v>#REF!</v>
      </c>
      <c r="AM189" s="1" t="e">
        <f>AL189/VLOOKUP(A189,'[40]geoMap (37)'!$A:$B,2,0)*VLOOKUP(A189,'[40]geoMap (37)'!$A:$C,3,0)</f>
        <v>#REF!</v>
      </c>
      <c r="AN189" s="1" t="e">
        <f>AM189/VLOOKUP(A189,'[41]geoMap (38)'!$A:$B,2,0)*VLOOKUP(A189,'[41]geoMap (38)'!$A:$C,3,0)</f>
        <v>#REF!</v>
      </c>
      <c r="AO189" s="1" t="e">
        <f>AN189/VLOOKUP(A189,'[42]geoMap (39)'!$A:$B,2,0)*VLOOKUP(A189,'[42]geoMap (39)'!$A:$C,3,0)</f>
        <v>#REF!</v>
      </c>
      <c r="AP189" s="1" t="e">
        <f>AO189/VLOOKUP(A189,'[43]geoMap (40)'!$A:$B,2,0)*VLOOKUP(A189,'[43]geoMap (40)'!$A:$C,3,0)</f>
        <v>#REF!</v>
      </c>
      <c r="AQ189" s="1" t="e">
        <f>AP189/VLOOKUP(A189,'[44]geoMap (41)'!$A:$B,2,0)*VLOOKUP(A189,'[44]geoMap (41)'!$A:$C,3,0)</f>
        <v>#REF!</v>
      </c>
      <c r="AR189" s="1" t="e">
        <f>AQ189/VLOOKUP(A189,'[45]geoMap (42)'!$A:$B,2,0)*VLOOKUP(A189,'[45]geoMap (42)'!$A:$C,3,0)</f>
        <v>#REF!</v>
      </c>
      <c r="AS189" s="1" t="e">
        <f>AR189/VLOOKUP(A189,'[46]geoMap (43)'!$A:$B,2,0)*VLOOKUP(A189,'[46]geoMap (43)'!$A:$C,3,0)</f>
        <v>#REF!</v>
      </c>
      <c r="AT189" s="1" t="e">
        <f>AS189/VLOOKUP(A189,'[47]geoMap (44)'!$A:$B,2,0)*VLOOKUP(A189,'[47]geoMap (44)'!$A:$C,3,0)</f>
        <v>#REF!</v>
      </c>
      <c r="AU189" s="1" t="e">
        <f>AT189/VLOOKUP(A189,'[48]geoMap (45)'!$A:$B,2,0)*VLOOKUP(A189,'[48]geoMap (45)'!$A:$C,3,0)</f>
        <v>#REF!</v>
      </c>
      <c r="AV189" s="1" t="e">
        <f>AU189/VLOOKUP(A189,'[49]geoMap (46)'!$A:$B,2,0)*VLOOKUP(A189,'[49]geoMap (46)'!$A:$C,3,0)</f>
        <v>#REF!</v>
      </c>
      <c r="AW189" s="1" t="e">
        <f>AV189/VLOOKUP(A189,'[50]geoMap (47)'!$A:$B,2,0)*VLOOKUP(A189,'[50]geoMap (47)'!$A:$C,3,0)</f>
        <v>#REF!</v>
      </c>
      <c r="AX189" s="1" t="e">
        <f>AW189/VLOOKUP(A189,'[51]geoMap (48)'!$A:$B,2,0)*VLOOKUP(A189,'[51]geoMap (48)'!$A:$C,3,0)</f>
        <v>#REF!</v>
      </c>
      <c r="AY189" s="1" t="e">
        <f>AX189/VLOOKUP(A189,'[52]geoMap (49)'!$A:$B,2,0)*VLOOKUP(A189,'[52]geoMap (49)'!$A:$C,3,0)</f>
        <v>#REF!</v>
      </c>
      <c r="AZ189" s="1" t="e">
        <f>AY189/VLOOKUP(A189,'[53]geoMap (50)'!$A:$B,2,0)*VLOOKUP(A189,'[53]geoMap (50)'!$A:$C,3,0)</f>
        <v>#REF!</v>
      </c>
      <c r="BA189" s="1" t="e">
        <f>AZ189/VLOOKUP(A189,'[54]geoMap (51)'!$A:$B,2,0)*VLOOKUP(A189,'[54]geoMap (51)'!$A:$C,3,0)</f>
        <v>#REF!</v>
      </c>
      <c r="BB189" s="1" t="e">
        <f>BA189/VLOOKUP(A189,'[55]geoMap (52)'!$A:$B,2,0)*VLOOKUP(A189,'[55]geoMap (52)'!$A:$C,3,0)</f>
        <v>#REF!</v>
      </c>
      <c r="BC189" s="1" t="e">
        <f>BB189/VLOOKUP(A189,'[56]geoMap (53)'!$A:$B,2,0)*VLOOKUP(A189,'[56]geoMap (53)'!$A:$C,3,0)</f>
        <v>#REF!</v>
      </c>
      <c r="BD189" s="1" t="e">
        <f>BC189/VLOOKUP(A189,'[57]geoMap (54)'!$A:$B,2,0)*VLOOKUP(A189,'[57]geoMap (54)'!$A:$C,3,0)</f>
        <v>#REF!</v>
      </c>
      <c r="BE189" s="1" t="e">
        <f>BD189/VLOOKUP(A189,'[58]geoMap (55)'!$A:$B,2,0)*VLOOKUP(A189,'[58]geoMap (55)'!$A:$C,3,0)</f>
        <v>#REF!</v>
      </c>
      <c r="BF189" s="1" t="e">
        <f>BE189/VLOOKUP(A189,'[59]geoMap (56)'!$A:$B,2,0)*VLOOKUP(A189,'[59]geoMap (56)'!$A:$C,3,0)</f>
        <v>#REF!</v>
      </c>
      <c r="BG189" s="1" t="e">
        <f>BF189/VLOOKUP(A189,'[60]geoMap (57)'!$A:$B,2,0)*VLOOKUP(A189,'[60]geoMap (57)'!$A:$C,3,0)</f>
        <v>#REF!</v>
      </c>
      <c r="BH189" s="1" t="e">
        <f>BG189/VLOOKUP(A189,'[61]geoMap (58)'!$A:$B,2,0)*VLOOKUP(A189,'[61]geoMap (58)'!$A:$C,3,0)</f>
        <v>#REF!</v>
      </c>
      <c r="BI189" s="1" t="e">
        <f>BH189/VLOOKUP(A189,'[62]geoMap (59)'!$A:$B,2,0)*VLOOKUP(A189,'[62]geoMap (59)'!$A:$C,3,0)</f>
        <v>#REF!</v>
      </c>
      <c r="BJ189" s="1" t="e">
        <f>BI189/VLOOKUP(A189,'[63]geoMap (60)'!$A:$B,2,0)*VLOOKUP(A189,'[63]geoMap (60)'!$A:$C,3,0)</f>
        <v>#REF!</v>
      </c>
      <c r="BK189" s="1" t="e">
        <f>BJ189/VLOOKUP(A189,'[64]geoMap (61)'!$A:$B,2,0)*VLOOKUP(A189,'[64]geoMap (61)'!$A:$C,3,0)</f>
        <v>#REF!</v>
      </c>
      <c r="BL189" s="1" t="e">
        <f>BK189/VLOOKUP(A189,'[65]geoMap (62)'!$A:$B,2,0)*VLOOKUP(A189,'[65]geoMap (62)'!$A:$C,3,0)</f>
        <v>#REF!</v>
      </c>
      <c r="BM189" s="1" t="e">
        <f>BL189/VLOOKUP(A189,'[66]geoMap (63)'!$A:$B,2,0)*VLOOKUP(A189,'[66]geoMap (63)'!$A:$C,3,0)</f>
        <v>#REF!</v>
      </c>
      <c r="BN189" s="1" t="e">
        <f>BM189/VLOOKUP(A189,'[67]geoMap (64)'!$A:$B,2,0)*VLOOKUP(A189,'[67]geoMap (64)'!$A:$C,3,0)</f>
        <v>#REF!</v>
      </c>
      <c r="BO189" s="1" t="e">
        <f>BN189/VLOOKUP(A189,'[68]geoMap (65)'!$A:$B,2,0)*VLOOKUP(A189,'[68]geoMap (65)'!$A:$C,3,0)</f>
        <v>#REF!</v>
      </c>
      <c r="BP189" s="1" t="e">
        <f>BO189/VLOOKUP(A189,'[69]geoMap (66)'!$A:$B,2,0)*VLOOKUP(A189,'[69]geoMap (66)'!$A:$C,3,0)</f>
        <v>#REF!</v>
      </c>
    </row>
    <row r="190" spans="1:68" hidden="1" x14ac:dyDescent="0.2">
      <c r="A190" s="1" t="s">
        <v>192</v>
      </c>
      <c r="B190" s="1" t="e">
        <f>VLOOKUP(A190,[3]geoMap!$A:$B,2,0)*Notes!$C$6</f>
        <v>#REF!</v>
      </c>
      <c r="C190" s="1" t="e">
        <f>B190/VLOOKUP(A190,'[4]geoMap (1)'!$A:$B,2,0)*VLOOKUP(A190,'[4]geoMap (1)'!$A:$C,3,0)</f>
        <v>#REF!</v>
      </c>
      <c r="D190" s="1" t="e">
        <f>C190/VLOOKUP(A190,'[5]geoMap (2)'!$A:$B,2,0)*VLOOKUP(A190,'[5]geoMap (2)'!$A:$C,3,0)</f>
        <v>#REF!</v>
      </c>
      <c r="E190" s="1" t="e">
        <f>D190/VLOOKUP(A190,'[6]geoMap (3)'!$A:$B,2,0)*VLOOKUP(A190,'[6]geoMap (3)'!$A:$C,3,0)</f>
        <v>#REF!</v>
      </c>
      <c r="F190" s="1" t="e">
        <f>E190/VLOOKUP(A190,'[7]geoMap (4)'!$A:$B,2,0)*VLOOKUP(A190,'[7]geoMap (4)'!$A:$C,3,0)</f>
        <v>#REF!</v>
      </c>
      <c r="G190" s="1" t="e">
        <f>F190/VLOOKUP(A190,'[8]geoMap (5)'!$A:$B,2,0)*VLOOKUP(A190,'[8]geoMap (5)'!$A:$C,3,0)</f>
        <v>#REF!</v>
      </c>
      <c r="H190" s="1" t="e">
        <f>G190/VLOOKUP(A190,'[9]geoMap (6)'!$A:$B,2,0)*VLOOKUP(A190,'[9]geoMap (6)'!$A:$C,3,0)</f>
        <v>#REF!</v>
      </c>
      <c r="I190" s="1" t="e">
        <f>H190/VLOOKUP(A190,'[10]geoMap (7)'!$A:$B,2,0)*VLOOKUP(A190,'[10]geoMap (7)'!$A:$C,3,0)</f>
        <v>#REF!</v>
      </c>
      <c r="J190" s="1" t="e">
        <f>I190/VLOOKUP(A190,'[11]geoMap (8)'!$A:$B,2,0)*VLOOKUP(A190,'[11]geoMap (8)'!$A:$C,3,0)</f>
        <v>#REF!</v>
      </c>
      <c r="K190" s="1" t="e">
        <f>J190/VLOOKUP(A190,'[12]geoMap (9)'!$A:$B,2,0)*VLOOKUP(A190,'[12]geoMap (9)'!$A:$C,3,0)</f>
        <v>#REF!</v>
      </c>
      <c r="L190" s="1" t="e">
        <f>K190/VLOOKUP(A190,'[13]geoMap (10)'!$A:$B,2,0)*VLOOKUP(A190,'[13]geoMap (10)'!$A:$C,3,0)</f>
        <v>#REF!</v>
      </c>
      <c r="M190" s="1" t="e">
        <f>L190/VLOOKUP(A190,'[14]geoMap (11)'!$A:$B,2,0)*VLOOKUP(A190,'[14]geoMap (11)'!$A:$C,3,0)</f>
        <v>#REF!</v>
      </c>
      <c r="N190" s="1" t="e">
        <f>M190/VLOOKUP(A190,'[15]geoMap (12)'!$A:$B,2,0)*VLOOKUP(A190,'[15]geoMap (12)'!$A:$C,3,0)</f>
        <v>#REF!</v>
      </c>
      <c r="O190" s="1" t="e">
        <f>N190/VLOOKUP(A190,'[16]geoMap (13)'!$A:$B,2,0)*VLOOKUP(A190,'[16]geoMap (13)'!$A:$C,3,0)</f>
        <v>#REF!</v>
      </c>
      <c r="P190" s="1" t="e">
        <f>O190/VLOOKUP(A190,'[17]geoMap (14)'!$A:$B,2,0)*VLOOKUP(A190,'[17]geoMap (14)'!$A:$C,3,0)</f>
        <v>#REF!</v>
      </c>
      <c r="Q190" s="1" t="e">
        <f>P190/VLOOKUP(A190,'[18]geoMap (15)'!$A:$B,2,0)*VLOOKUP(A190,'[18]geoMap (15)'!$A:$C,3,0)</f>
        <v>#REF!</v>
      </c>
      <c r="R190" s="1" t="e">
        <f>Q190/VLOOKUP(A190,'[19]geoMap (16)'!$A:$B,2,0)*VLOOKUP(A190,'[19]geoMap (16)'!$A:$C,3,0)</f>
        <v>#REF!</v>
      </c>
      <c r="S190" s="1" t="e">
        <f>R190/VLOOKUP(A190,'[20]geoMap (17)'!$A:$B,2,0)*VLOOKUP(A190,'[20]geoMap (17)'!$A:$C,3,0)</f>
        <v>#REF!</v>
      </c>
      <c r="T190" s="1" t="e">
        <f>S190/VLOOKUP(A190,'[21]geoMap (18)'!$A:$B,2,0)*VLOOKUP(A190,'[21]geoMap (18)'!$A:$C,3,0)</f>
        <v>#REF!</v>
      </c>
      <c r="U190" s="1" t="e">
        <f>T190/VLOOKUP(A190,'[22]geoMap (19)'!$A:$B,2,0)*VLOOKUP(A190,'[22]geoMap (19)'!$A:$C,3,0)</f>
        <v>#REF!</v>
      </c>
      <c r="V190" s="1" t="e">
        <f>U190/VLOOKUP(A190,'[23]geoMap (20)'!$A:$B,2,0)*VLOOKUP(A190,'[23]geoMap (20)'!$A:$C,3,0)</f>
        <v>#REF!</v>
      </c>
      <c r="W190" s="1" t="e">
        <f>V190/VLOOKUP(A190,'[24]geoMap (21)'!$A:$B,2,0)*VLOOKUP(A190,'[24]geoMap (21)'!$A:$C,3,0)</f>
        <v>#REF!</v>
      </c>
      <c r="X190" s="1" t="e">
        <f>W190/VLOOKUP(A190,'[25]geoMap (22)'!$A:$B,2,0)*VLOOKUP(A190,'[25]geoMap (22)'!$A:$C,3,0)</f>
        <v>#REF!</v>
      </c>
      <c r="Y190" s="1" t="e">
        <f>X190/VLOOKUP(A190,'[26]geoMap (23)'!$A:$B,2,0)*VLOOKUP(A190,'[26]geoMap (23)'!$A:$C,3,0)</f>
        <v>#REF!</v>
      </c>
      <c r="Z190" s="1" t="e">
        <f>Y190/VLOOKUP(A190,'[27]geoMap (24)'!$A:$B,2,0)*VLOOKUP(A190,'[27]geoMap (24)'!$A:$C,3,0)</f>
        <v>#REF!</v>
      </c>
      <c r="AA190" s="1" t="e">
        <f>Z190/VLOOKUP(A190,'[28]geoMap (25)'!$A:$B,2,0)*VLOOKUP(A190,'[28]geoMap (25)'!$A:$C,3,0)</f>
        <v>#REF!</v>
      </c>
      <c r="AB190" s="1" t="e">
        <f>AA190*VLOOKUP(A190,'[29]geoMap (26)'!$A:$B,2,0)*VLOOKUP(A190,'[29]geoMap (26)'!$A:$C,3,0)</f>
        <v>#REF!</v>
      </c>
      <c r="AC190" s="1" t="e">
        <f>AB190/VLOOKUP(A190,'[30]geoMap (27)'!$A:$B,2,0)*VLOOKUP(A190,'[30]geoMap (27)'!$A:$C,3,0)</f>
        <v>#REF!</v>
      </c>
      <c r="AD190" s="1" t="e">
        <f>AC190/VLOOKUP(A190,'[31]geoMap (28)'!$A:$B,2,0)*VLOOKUP(A190,'[31]geoMap (28)'!$A:$C,3,0)</f>
        <v>#REF!</v>
      </c>
      <c r="AE190" s="1" t="e">
        <f>AD190/VLOOKUP(A190,'[32]geoMap (29)'!$A:$B,2,0)*VLOOKUP(A190,'[32]geoMap (29)'!$A:$C,3,0)</f>
        <v>#REF!</v>
      </c>
      <c r="AF190" s="1" t="e">
        <f>AE190/VLOOKUP(A190,'[33]geoMap (30)'!$A:$B,2,0)*VLOOKUP(A190,'[33]geoMap (30)'!$A:$C,3,0)</f>
        <v>#REF!</v>
      </c>
      <c r="AG190" s="1" t="e">
        <f>AF190/VLOOKUP(A190,'[34]geoMap (31)'!$A:$B,2,0)*VLOOKUP(A190,'[34]geoMap (31)'!$A:$C,3,0)</f>
        <v>#REF!</v>
      </c>
      <c r="AH190" s="1" t="e">
        <f>AG190/VLOOKUP(A190,'[35]geoMap (32)'!$A:$B,2,0)*VLOOKUP(A190,'[35]geoMap (32)'!$A:$C,3,0)</f>
        <v>#REF!</v>
      </c>
      <c r="AI190" s="1" t="e">
        <f>AH190/VLOOKUP(A190,'[36]geoMap (33)'!$A:$B,2,0)*VLOOKUP(A190,'[36]geoMap (33)'!$A:$C,3,0)</f>
        <v>#REF!</v>
      </c>
      <c r="AJ190" s="1" t="e">
        <f>AI190/VLOOKUP(A190,'[37]geoMap (34)'!$A:$B,2,0)*VLOOKUP(A190,'[37]geoMap (34)'!$A:$C,3,0)</f>
        <v>#REF!</v>
      </c>
      <c r="AK190" s="1" t="e">
        <f>AJ190/VLOOKUP(A190,'[38]geoMap (35)'!$A:$B,2,0)*VLOOKUP(A190,'[38]geoMap (35)'!$A:$C,3,0)</f>
        <v>#REF!</v>
      </c>
      <c r="AL190" s="1" t="e">
        <f>AK190/VLOOKUP(A190,'[39]geoMap (36)'!$A:$B,2,0)*VLOOKUP(A190,'[39]geoMap (36)'!$A:$C,3,0)</f>
        <v>#REF!</v>
      </c>
      <c r="AM190" s="1" t="e">
        <f>AL190/VLOOKUP(A190,'[40]geoMap (37)'!$A:$B,2,0)*VLOOKUP(A190,'[40]geoMap (37)'!$A:$C,3,0)</f>
        <v>#REF!</v>
      </c>
      <c r="AN190" s="1" t="e">
        <f>AM190/VLOOKUP(A190,'[41]geoMap (38)'!$A:$B,2,0)*VLOOKUP(A190,'[41]geoMap (38)'!$A:$C,3,0)</f>
        <v>#REF!</v>
      </c>
      <c r="AO190" s="1" t="e">
        <f>AN190/VLOOKUP(A190,'[42]geoMap (39)'!$A:$B,2,0)*VLOOKUP(A190,'[42]geoMap (39)'!$A:$C,3,0)</f>
        <v>#REF!</v>
      </c>
      <c r="AP190" s="1" t="e">
        <f>AO190/VLOOKUP(A190,'[43]geoMap (40)'!$A:$B,2,0)*VLOOKUP(A190,'[43]geoMap (40)'!$A:$C,3,0)</f>
        <v>#REF!</v>
      </c>
      <c r="AQ190" s="1" t="e">
        <f>AP190/VLOOKUP(A190,'[44]geoMap (41)'!$A:$B,2,0)*VLOOKUP(A190,'[44]geoMap (41)'!$A:$C,3,0)</f>
        <v>#REF!</v>
      </c>
      <c r="AR190" s="1" t="e">
        <f>AQ190/VLOOKUP(A190,'[45]geoMap (42)'!$A:$B,2,0)*VLOOKUP(A190,'[45]geoMap (42)'!$A:$C,3,0)</f>
        <v>#REF!</v>
      </c>
      <c r="AS190" s="1" t="e">
        <f>AR190/VLOOKUP(A190,'[46]geoMap (43)'!$A:$B,2,0)*VLOOKUP(A190,'[46]geoMap (43)'!$A:$C,3,0)</f>
        <v>#REF!</v>
      </c>
      <c r="AT190" s="1" t="e">
        <f>AS190/VLOOKUP(A190,'[47]geoMap (44)'!$A:$B,2,0)*VLOOKUP(A190,'[47]geoMap (44)'!$A:$C,3,0)</f>
        <v>#REF!</v>
      </c>
      <c r="AU190" s="1" t="e">
        <f>AT190/VLOOKUP(A190,'[48]geoMap (45)'!$A:$B,2,0)*VLOOKUP(A190,'[48]geoMap (45)'!$A:$C,3,0)</f>
        <v>#REF!</v>
      </c>
      <c r="AV190" s="1" t="e">
        <f>AU190/VLOOKUP(A190,'[49]geoMap (46)'!$A:$B,2,0)*VLOOKUP(A190,'[49]geoMap (46)'!$A:$C,3,0)</f>
        <v>#REF!</v>
      </c>
      <c r="AW190" s="1" t="e">
        <f>AV190/VLOOKUP(A190,'[50]geoMap (47)'!$A:$B,2,0)*VLOOKUP(A190,'[50]geoMap (47)'!$A:$C,3,0)</f>
        <v>#REF!</v>
      </c>
      <c r="AX190" s="1" t="e">
        <f>AW190/VLOOKUP(A190,'[51]geoMap (48)'!$A:$B,2,0)*VLOOKUP(A190,'[51]geoMap (48)'!$A:$C,3,0)</f>
        <v>#REF!</v>
      </c>
      <c r="AY190" s="1" t="e">
        <f>AX190/VLOOKUP(A190,'[52]geoMap (49)'!$A:$B,2,0)*VLOOKUP(A190,'[52]geoMap (49)'!$A:$C,3,0)</f>
        <v>#REF!</v>
      </c>
      <c r="AZ190" s="1" t="e">
        <f>AY190/VLOOKUP(A190,'[53]geoMap (50)'!$A:$B,2,0)*VLOOKUP(A190,'[53]geoMap (50)'!$A:$C,3,0)</f>
        <v>#REF!</v>
      </c>
      <c r="BA190" s="1" t="e">
        <f>AZ190/VLOOKUP(A190,'[54]geoMap (51)'!$A:$B,2,0)*VLOOKUP(A190,'[54]geoMap (51)'!$A:$C,3,0)</f>
        <v>#REF!</v>
      </c>
      <c r="BB190" s="1" t="e">
        <f>BA190/VLOOKUP(A190,'[55]geoMap (52)'!$A:$B,2,0)*VLOOKUP(A190,'[55]geoMap (52)'!$A:$C,3,0)</f>
        <v>#REF!</v>
      </c>
      <c r="BC190" s="1" t="e">
        <f>BB190/VLOOKUP(A190,'[56]geoMap (53)'!$A:$B,2,0)*VLOOKUP(A190,'[56]geoMap (53)'!$A:$C,3,0)</f>
        <v>#REF!</v>
      </c>
      <c r="BD190" s="1" t="e">
        <f>BC190/VLOOKUP(A190,'[57]geoMap (54)'!$A:$B,2,0)*VLOOKUP(A190,'[57]geoMap (54)'!$A:$C,3,0)</f>
        <v>#REF!</v>
      </c>
      <c r="BE190" s="1" t="e">
        <f>BD190/VLOOKUP(A190,'[58]geoMap (55)'!$A:$B,2,0)*VLOOKUP(A190,'[58]geoMap (55)'!$A:$C,3,0)</f>
        <v>#REF!</v>
      </c>
      <c r="BF190" s="1" t="e">
        <f>BE190/VLOOKUP(A190,'[59]geoMap (56)'!$A:$B,2,0)*VLOOKUP(A190,'[59]geoMap (56)'!$A:$C,3,0)</f>
        <v>#REF!</v>
      </c>
      <c r="BG190" s="1" t="e">
        <f>BF190/VLOOKUP(A190,'[60]geoMap (57)'!$A:$B,2,0)*VLOOKUP(A190,'[60]geoMap (57)'!$A:$C,3,0)</f>
        <v>#REF!</v>
      </c>
      <c r="BH190" s="1" t="e">
        <f>BG190/VLOOKUP(A190,'[61]geoMap (58)'!$A:$B,2,0)*VLOOKUP(A190,'[61]geoMap (58)'!$A:$C,3,0)</f>
        <v>#REF!</v>
      </c>
      <c r="BI190" s="1" t="e">
        <f>BH190/VLOOKUP(A190,'[62]geoMap (59)'!$A:$B,2,0)*VLOOKUP(A190,'[62]geoMap (59)'!$A:$C,3,0)</f>
        <v>#REF!</v>
      </c>
      <c r="BJ190" s="1" t="e">
        <f>BI190/VLOOKUP(A190,'[63]geoMap (60)'!$A:$B,2,0)*VLOOKUP(A190,'[63]geoMap (60)'!$A:$C,3,0)</f>
        <v>#REF!</v>
      </c>
      <c r="BK190" s="1" t="e">
        <f>BJ190/VLOOKUP(A190,'[64]geoMap (61)'!$A:$B,2,0)*VLOOKUP(A190,'[64]geoMap (61)'!$A:$C,3,0)</f>
        <v>#REF!</v>
      </c>
      <c r="BL190" s="1" t="e">
        <f>BK190/VLOOKUP(A190,'[65]geoMap (62)'!$A:$B,2,0)*VLOOKUP(A190,'[65]geoMap (62)'!$A:$C,3,0)</f>
        <v>#REF!</v>
      </c>
      <c r="BM190" s="1" t="e">
        <f>BL190/VLOOKUP(A190,'[66]geoMap (63)'!$A:$B,2,0)*VLOOKUP(A190,'[66]geoMap (63)'!$A:$C,3,0)</f>
        <v>#REF!</v>
      </c>
      <c r="BN190" s="1" t="e">
        <f>BM190/VLOOKUP(A190,'[67]geoMap (64)'!$A:$B,2,0)*VLOOKUP(A190,'[67]geoMap (64)'!$A:$C,3,0)</f>
        <v>#REF!</v>
      </c>
      <c r="BO190" s="1" t="e">
        <f>BN190/VLOOKUP(A190,'[68]geoMap (65)'!$A:$B,2,0)*VLOOKUP(A190,'[68]geoMap (65)'!$A:$C,3,0)</f>
        <v>#REF!</v>
      </c>
      <c r="BP190" s="1" t="e">
        <f>BO190/VLOOKUP(A190,'[69]geoMap (66)'!$A:$B,2,0)*VLOOKUP(A190,'[69]geoMap (66)'!$A:$C,3,0)</f>
        <v>#REF!</v>
      </c>
    </row>
    <row r="191" spans="1:68" hidden="1" x14ac:dyDescent="0.2">
      <c r="A191" s="1" t="s">
        <v>193</v>
      </c>
      <c r="B191" s="1" t="e">
        <f>VLOOKUP(A191,[3]geoMap!$A:$B,2,0)*Notes!$C$6</f>
        <v>#REF!</v>
      </c>
      <c r="C191" s="1" t="e">
        <f>B191/VLOOKUP(A191,'[4]geoMap (1)'!$A:$B,2,0)*VLOOKUP(A191,'[4]geoMap (1)'!$A:$C,3,0)</f>
        <v>#REF!</v>
      </c>
      <c r="D191" s="1" t="e">
        <f>C191/VLOOKUP(A191,'[5]geoMap (2)'!$A:$B,2,0)*VLOOKUP(A191,'[5]geoMap (2)'!$A:$C,3,0)</f>
        <v>#REF!</v>
      </c>
      <c r="E191" s="1" t="e">
        <f>D191/VLOOKUP(A191,'[6]geoMap (3)'!$A:$B,2,0)*VLOOKUP(A191,'[6]geoMap (3)'!$A:$C,3,0)</f>
        <v>#REF!</v>
      </c>
      <c r="F191" s="1" t="e">
        <f>E191/VLOOKUP(A191,'[7]geoMap (4)'!$A:$B,2,0)*VLOOKUP(A191,'[7]geoMap (4)'!$A:$C,3,0)</f>
        <v>#REF!</v>
      </c>
      <c r="G191" s="1" t="e">
        <f>F191/VLOOKUP(A191,'[8]geoMap (5)'!$A:$B,2,0)*VLOOKUP(A191,'[8]geoMap (5)'!$A:$C,3,0)</f>
        <v>#REF!</v>
      </c>
      <c r="H191" s="1" t="e">
        <f>G191/VLOOKUP(A191,'[9]geoMap (6)'!$A:$B,2,0)*VLOOKUP(A191,'[9]geoMap (6)'!$A:$C,3,0)</f>
        <v>#REF!</v>
      </c>
      <c r="I191" s="1" t="e">
        <f>H191/VLOOKUP(A191,'[10]geoMap (7)'!$A:$B,2,0)*VLOOKUP(A191,'[10]geoMap (7)'!$A:$C,3,0)</f>
        <v>#REF!</v>
      </c>
      <c r="J191" s="1" t="e">
        <f>I191/VLOOKUP(A191,'[11]geoMap (8)'!$A:$B,2,0)*VLOOKUP(A191,'[11]geoMap (8)'!$A:$C,3,0)</f>
        <v>#REF!</v>
      </c>
      <c r="K191" s="1" t="e">
        <f>J191/VLOOKUP(A191,'[12]geoMap (9)'!$A:$B,2,0)*VLOOKUP(A191,'[12]geoMap (9)'!$A:$C,3,0)</f>
        <v>#REF!</v>
      </c>
      <c r="L191" s="1" t="e">
        <f>K191/VLOOKUP(A191,'[13]geoMap (10)'!$A:$B,2,0)*VLOOKUP(A191,'[13]geoMap (10)'!$A:$C,3,0)</f>
        <v>#REF!</v>
      </c>
      <c r="M191" s="1" t="e">
        <f>L191/VLOOKUP(A191,'[14]geoMap (11)'!$A:$B,2,0)*VLOOKUP(A191,'[14]geoMap (11)'!$A:$C,3,0)</f>
        <v>#REF!</v>
      </c>
      <c r="N191" s="1" t="e">
        <f>M191/VLOOKUP(A191,'[15]geoMap (12)'!$A:$B,2,0)*VLOOKUP(A191,'[15]geoMap (12)'!$A:$C,3,0)</f>
        <v>#REF!</v>
      </c>
      <c r="O191" s="1" t="e">
        <f>N191/VLOOKUP(A191,'[16]geoMap (13)'!$A:$B,2,0)*VLOOKUP(A191,'[16]geoMap (13)'!$A:$C,3,0)</f>
        <v>#REF!</v>
      </c>
      <c r="P191" s="1" t="e">
        <f>O191/VLOOKUP(A191,'[17]geoMap (14)'!$A:$B,2,0)*VLOOKUP(A191,'[17]geoMap (14)'!$A:$C,3,0)</f>
        <v>#REF!</v>
      </c>
      <c r="Q191" s="1" t="e">
        <f>P191/VLOOKUP(A191,'[18]geoMap (15)'!$A:$B,2,0)*VLOOKUP(A191,'[18]geoMap (15)'!$A:$C,3,0)</f>
        <v>#REF!</v>
      </c>
      <c r="R191" s="1" t="e">
        <f>Q191/VLOOKUP(A191,'[19]geoMap (16)'!$A:$B,2,0)*VLOOKUP(A191,'[19]geoMap (16)'!$A:$C,3,0)</f>
        <v>#REF!</v>
      </c>
      <c r="S191" s="1" t="e">
        <f>R191/VLOOKUP(A191,'[20]geoMap (17)'!$A:$B,2,0)*VLOOKUP(A191,'[20]geoMap (17)'!$A:$C,3,0)</f>
        <v>#REF!</v>
      </c>
      <c r="T191" s="1" t="e">
        <f>S191/VLOOKUP(A191,'[21]geoMap (18)'!$A:$B,2,0)*VLOOKUP(A191,'[21]geoMap (18)'!$A:$C,3,0)</f>
        <v>#REF!</v>
      </c>
      <c r="U191" s="1" t="e">
        <f>T191/VLOOKUP(A191,'[22]geoMap (19)'!$A:$B,2,0)*VLOOKUP(A191,'[22]geoMap (19)'!$A:$C,3,0)</f>
        <v>#REF!</v>
      </c>
      <c r="V191" s="1" t="e">
        <f>U191/VLOOKUP(A191,'[23]geoMap (20)'!$A:$B,2,0)*VLOOKUP(A191,'[23]geoMap (20)'!$A:$C,3,0)</f>
        <v>#REF!</v>
      </c>
      <c r="W191" s="1" t="e">
        <f>V191/VLOOKUP(A191,'[24]geoMap (21)'!$A:$B,2,0)*VLOOKUP(A191,'[24]geoMap (21)'!$A:$C,3,0)</f>
        <v>#REF!</v>
      </c>
      <c r="X191" s="1" t="e">
        <f>W191/VLOOKUP(A191,'[25]geoMap (22)'!$A:$B,2,0)*VLOOKUP(A191,'[25]geoMap (22)'!$A:$C,3,0)</f>
        <v>#REF!</v>
      </c>
      <c r="Y191" s="1" t="e">
        <f>X191/VLOOKUP(A191,'[26]geoMap (23)'!$A:$B,2,0)*VLOOKUP(A191,'[26]geoMap (23)'!$A:$C,3,0)</f>
        <v>#REF!</v>
      </c>
      <c r="Z191" s="1" t="e">
        <f>Y191/VLOOKUP(A191,'[27]geoMap (24)'!$A:$B,2,0)*VLOOKUP(A191,'[27]geoMap (24)'!$A:$C,3,0)</f>
        <v>#REF!</v>
      </c>
      <c r="AA191" s="1" t="e">
        <f>Z191/VLOOKUP(A191,'[28]geoMap (25)'!$A:$B,2,0)*VLOOKUP(A191,'[28]geoMap (25)'!$A:$C,3,0)</f>
        <v>#REF!</v>
      </c>
      <c r="AB191" s="1" t="e">
        <f>AA191*VLOOKUP(A191,'[29]geoMap (26)'!$A:$B,2,0)*VLOOKUP(A191,'[29]geoMap (26)'!$A:$C,3,0)</f>
        <v>#REF!</v>
      </c>
      <c r="AC191" s="1" t="e">
        <f>AB191/VLOOKUP(A191,'[30]geoMap (27)'!$A:$B,2,0)*VLOOKUP(A191,'[30]geoMap (27)'!$A:$C,3,0)</f>
        <v>#REF!</v>
      </c>
      <c r="AD191" s="1" t="e">
        <f>AC191/VLOOKUP(A191,'[31]geoMap (28)'!$A:$B,2,0)*VLOOKUP(A191,'[31]geoMap (28)'!$A:$C,3,0)</f>
        <v>#REF!</v>
      </c>
      <c r="AE191" s="1" t="e">
        <f>AD191/VLOOKUP(A191,'[32]geoMap (29)'!$A:$B,2,0)*VLOOKUP(A191,'[32]geoMap (29)'!$A:$C,3,0)</f>
        <v>#REF!</v>
      </c>
      <c r="AF191" s="1" t="e">
        <f>AE191/VLOOKUP(A191,'[33]geoMap (30)'!$A:$B,2,0)*VLOOKUP(A191,'[33]geoMap (30)'!$A:$C,3,0)</f>
        <v>#REF!</v>
      </c>
      <c r="AG191" s="1" t="e">
        <f>AF191/VLOOKUP(A191,'[34]geoMap (31)'!$A:$B,2,0)*VLOOKUP(A191,'[34]geoMap (31)'!$A:$C,3,0)</f>
        <v>#REF!</v>
      </c>
      <c r="AH191" s="1" t="e">
        <f>AG191/VLOOKUP(A191,'[35]geoMap (32)'!$A:$B,2,0)*VLOOKUP(A191,'[35]geoMap (32)'!$A:$C,3,0)</f>
        <v>#REF!</v>
      </c>
      <c r="AI191" s="1" t="e">
        <f>AH191/VLOOKUP(A191,'[36]geoMap (33)'!$A:$B,2,0)*VLOOKUP(A191,'[36]geoMap (33)'!$A:$C,3,0)</f>
        <v>#REF!</v>
      </c>
      <c r="AJ191" s="1" t="e">
        <f>AI191/VLOOKUP(A191,'[37]geoMap (34)'!$A:$B,2,0)*VLOOKUP(A191,'[37]geoMap (34)'!$A:$C,3,0)</f>
        <v>#REF!</v>
      </c>
      <c r="AK191" s="1" t="e">
        <f>AJ191/VLOOKUP(A191,'[38]geoMap (35)'!$A:$B,2,0)*VLOOKUP(A191,'[38]geoMap (35)'!$A:$C,3,0)</f>
        <v>#REF!</v>
      </c>
      <c r="AL191" s="1" t="e">
        <f>AK191/VLOOKUP(A191,'[39]geoMap (36)'!$A:$B,2,0)*VLOOKUP(A191,'[39]geoMap (36)'!$A:$C,3,0)</f>
        <v>#REF!</v>
      </c>
      <c r="AM191" s="1" t="e">
        <f>AL191/VLOOKUP(A191,'[40]geoMap (37)'!$A:$B,2,0)*VLOOKUP(A191,'[40]geoMap (37)'!$A:$C,3,0)</f>
        <v>#REF!</v>
      </c>
      <c r="AN191" s="1" t="e">
        <f>AM191/VLOOKUP(A191,'[41]geoMap (38)'!$A:$B,2,0)*VLOOKUP(A191,'[41]geoMap (38)'!$A:$C,3,0)</f>
        <v>#REF!</v>
      </c>
      <c r="AO191" s="1" t="e">
        <f>AN191/VLOOKUP(A191,'[42]geoMap (39)'!$A:$B,2,0)*VLOOKUP(A191,'[42]geoMap (39)'!$A:$C,3,0)</f>
        <v>#REF!</v>
      </c>
      <c r="AP191" s="1" t="e">
        <f>AO191/VLOOKUP(A191,'[43]geoMap (40)'!$A:$B,2,0)*VLOOKUP(A191,'[43]geoMap (40)'!$A:$C,3,0)</f>
        <v>#REF!</v>
      </c>
      <c r="AQ191" s="1" t="e">
        <f>AP191/VLOOKUP(A191,'[44]geoMap (41)'!$A:$B,2,0)*VLOOKUP(A191,'[44]geoMap (41)'!$A:$C,3,0)</f>
        <v>#REF!</v>
      </c>
      <c r="AR191" s="1" t="e">
        <f>AQ191/VLOOKUP(A191,'[45]geoMap (42)'!$A:$B,2,0)*VLOOKUP(A191,'[45]geoMap (42)'!$A:$C,3,0)</f>
        <v>#REF!</v>
      </c>
      <c r="AS191" s="1" t="e">
        <f>AR191/VLOOKUP(A191,'[46]geoMap (43)'!$A:$B,2,0)*VLOOKUP(A191,'[46]geoMap (43)'!$A:$C,3,0)</f>
        <v>#REF!</v>
      </c>
      <c r="AT191" s="1" t="e">
        <f>AS191/VLOOKUP(A191,'[47]geoMap (44)'!$A:$B,2,0)*VLOOKUP(A191,'[47]geoMap (44)'!$A:$C,3,0)</f>
        <v>#REF!</v>
      </c>
      <c r="AU191" s="1" t="e">
        <f>AT191/VLOOKUP(A191,'[48]geoMap (45)'!$A:$B,2,0)*VLOOKUP(A191,'[48]geoMap (45)'!$A:$C,3,0)</f>
        <v>#REF!</v>
      </c>
      <c r="AV191" s="1" t="e">
        <f>AU191/VLOOKUP(A191,'[49]geoMap (46)'!$A:$B,2,0)*VLOOKUP(A191,'[49]geoMap (46)'!$A:$C,3,0)</f>
        <v>#REF!</v>
      </c>
      <c r="AW191" s="1" t="e">
        <f>AV191/VLOOKUP(A191,'[50]geoMap (47)'!$A:$B,2,0)*VLOOKUP(A191,'[50]geoMap (47)'!$A:$C,3,0)</f>
        <v>#REF!</v>
      </c>
      <c r="AX191" s="1" t="e">
        <f>AW191/VLOOKUP(A191,'[51]geoMap (48)'!$A:$B,2,0)*VLOOKUP(A191,'[51]geoMap (48)'!$A:$C,3,0)</f>
        <v>#REF!</v>
      </c>
      <c r="AY191" s="1" t="e">
        <f>AX191/VLOOKUP(A191,'[52]geoMap (49)'!$A:$B,2,0)*VLOOKUP(A191,'[52]geoMap (49)'!$A:$C,3,0)</f>
        <v>#REF!</v>
      </c>
      <c r="AZ191" s="1" t="e">
        <f>AY191/VLOOKUP(A191,'[53]geoMap (50)'!$A:$B,2,0)*VLOOKUP(A191,'[53]geoMap (50)'!$A:$C,3,0)</f>
        <v>#REF!</v>
      </c>
      <c r="BA191" s="1" t="e">
        <f>AZ191/VLOOKUP(A191,'[54]geoMap (51)'!$A:$B,2,0)*VLOOKUP(A191,'[54]geoMap (51)'!$A:$C,3,0)</f>
        <v>#REF!</v>
      </c>
      <c r="BB191" s="1" t="e">
        <f>BA191/VLOOKUP(A191,'[55]geoMap (52)'!$A:$B,2,0)*VLOOKUP(A191,'[55]geoMap (52)'!$A:$C,3,0)</f>
        <v>#REF!</v>
      </c>
      <c r="BC191" s="1" t="e">
        <f>BB191/VLOOKUP(A191,'[56]geoMap (53)'!$A:$B,2,0)*VLOOKUP(A191,'[56]geoMap (53)'!$A:$C,3,0)</f>
        <v>#REF!</v>
      </c>
      <c r="BD191" s="1" t="e">
        <f>BC191/VLOOKUP(A191,'[57]geoMap (54)'!$A:$B,2,0)*VLOOKUP(A191,'[57]geoMap (54)'!$A:$C,3,0)</f>
        <v>#REF!</v>
      </c>
      <c r="BE191" s="1" t="e">
        <f>BD191/VLOOKUP(A191,'[58]geoMap (55)'!$A:$B,2,0)*VLOOKUP(A191,'[58]geoMap (55)'!$A:$C,3,0)</f>
        <v>#REF!</v>
      </c>
      <c r="BF191" s="1" t="e">
        <f>BE191/VLOOKUP(A191,'[59]geoMap (56)'!$A:$B,2,0)*VLOOKUP(A191,'[59]geoMap (56)'!$A:$C,3,0)</f>
        <v>#REF!</v>
      </c>
      <c r="BG191" s="1" t="e">
        <f>BF191/VLOOKUP(A191,'[60]geoMap (57)'!$A:$B,2,0)*VLOOKUP(A191,'[60]geoMap (57)'!$A:$C,3,0)</f>
        <v>#REF!</v>
      </c>
      <c r="BH191" s="1" t="e">
        <f>BG191/VLOOKUP(A191,'[61]geoMap (58)'!$A:$B,2,0)*VLOOKUP(A191,'[61]geoMap (58)'!$A:$C,3,0)</f>
        <v>#REF!</v>
      </c>
      <c r="BI191" s="1" t="e">
        <f>BH191/VLOOKUP(A191,'[62]geoMap (59)'!$A:$B,2,0)*VLOOKUP(A191,'[62]geoMap (59)'!$A:$C,3,0)</f>
        <v>#REF!</v>
      </c>
      <c r="BJ191" s="1" t="e">
        <f>BI191/VLOOKUP(A191,'[63]geoMap (60)'!$A:$B,2,0)*VLOOKUP(A191,'[63]geoMap (60)'!$A:$C,3,0)</f>
        <v>#REF!</v>
      </c>
      <c r="BK191" s="1" t="e">
        <f>BJ191/VLOOKUP(A191,'[64]geoMap (61)'!$A:$B,2,0)*VLOOKUP(A191,'[64]geoMap (61)'!$A:$C,3,0)</f>
        <v>#REF!</v>
      </c>
      <c r="BL191" s="1" t="e">
        <f>BK191/VLOOKUP(A191,'[65]geoMap (62)'!$A:$B,2,0)*VLOOKUP(A191,'[65]geoMap (62)'!$A:$C,3,0)</f>
        <v>#REF!</v>
      </c>
      <c r="BM191" s="1" t="e">
        <f>BL191/VLOOKUP(A191,'[66]geoMap (63)'!$A:$B,2,0)*VLOOKUP(A191,'[66]geoMap (63)'!$A:$C,3,0)</f>
        <v>#REF!</v>
      </c>
      <c r="BN191" s="1" t="e">
        <f>BM191/VLOOKUP(A191,'[67]geoMap (64)'!$A:$B,2,0)*VLOOKUP(A191,'[67]geoMap (64)'!$A:$C,3,0)</f>
        <v>#REF!</v>
      </c>
      <c r="BO191" s="1" t="e">
        <f>BN191/VLOOKUP(A191,'[68]geoMap (65)'!$A:$B,2,0)*VLOOKUP(A191,'[68]geoMap (65)'!$A:$C,3,0)</f>
        <v>#REF!</v>
      </c>
      <c r="BP191" s="1" t="e">
        <f>BO191/VLOOKUP(A191,'[69]geoMap (66)'!$A:$B,2,0)*VLOOKUP(A191,'[69]geoMap (66)'!$A:$C,3,0)</f>
        <v>#REF!</v>
      </c>
    </row>
    <row r="192" spans="1:68" hidden="1" x14ac:dyDescent="0.2">
      <c r="A192" s="1" t="s">
        <v>194</v>
      </c>
      <c r="B192" s="1" t="e">
        <f>VLOOKUP(A192,[3]geoMap!$A:$B,2,0)*Notes!$C$6</f>
        <v>#REF!</v>
      </c>
      <c r="C192" s="1" t="e">
        <f>B192/VLOOKUP(A192,'[4]geoMap (1)'!$A:$B,2,0)*VLOOKUP(A192,'[4]geoMap (1)'!$A:$C,3,0)</f>
        <v>#REF!</v>
      </c>
      <c r="D192" s="1" t="e">
        <f>C192/VLOOKUP(A192,'[5]geoMap (2)'!$A:$B,2,0)*VLOOKUP(A192,'[5]geoMap (2)'!$A:$C,3,0)</f>
        <v>#REF!</v>
      </c>
      <c r="E192" s="1" t="e">
        <f>D192/VLOOKUP(A192,'[6]geoMap (3)'!$A:$B,2,0)*VLOOKUP(A192,'[6]geoMap (3)'!$A:$C,3,0)</f>
        <v>#REF!</v>
      </c>
      <c r="F192" s="1" t="e">
        <f>E192/VLOOKUP(A192,'[7]geoMap (4)'!$A:$B,2,0)*VLOOKUP(A192,'[7]geoMap (4)'!$A:$C,3,0)</f>
        <v>#REF!</v>
      </c>
      <c r="G192" s="1" t="e">
        <f>F192/VLOOKUP(A192,'[8]geoMap (5)'!$A:$B,2,0)*VLOOKUP(A192,'[8]geoMap (5)'!$A:$C,3,0)</f>
        <v>#REF!</v>
      </c>
      <c r="H192" s="1" t="e">
        <f>G192/VLOOKUP(A192,'[9]geoMap (6)'!$A:$B,2,0)*VLOOKUP(A192,'[9]geoMap (6)'!$A:$C,3,0)</f>
        <v>#REF!</v>
      </c>
      <c r="I192" s="1" t="e">
        <f>H192/VLOOKUP(A192,'[10]geoMap (7)'!$A:$B,2,0)*VLOOKUP(A192,'[10]geoMap (7)'!$A:$C,3,0)</f>
        <v>#REF!</v>
      </c>
      <c r="J192" s="1" t="e">
        <f>I192/VLOOKUP(A192,'[11]geoMap (8)'!$A:$B,2,0)*VLOOKUP(A192,'[11]geoMap (8)'!$A:$C,3,0)</f>
        <v>#REF!</v>
      </c>
      <c r="K192" s="1" t="e">
        <f>J192/VLOOKUP(A192,'[12]geoMap (9)'!$A:$B,2,0)*VLOOKUP(A192,'[12]geoMap (9)'!$A:$C,3,0)</f>
        <v>#REF!</v>
      </c>
      <c r="L192" s="1" t="e">
        <f>K192/VLOOKUP(A192,'[13]geoMap (10)'!$A:$B,2,0)*VLOOKUP(A192,'[13]geoMap (10)'!$A:$C,3,0)</f>
        <v>#REF!</v>
      </c>
      <c r="M192" s="1" t="e">
        <f>L192/VLOOKUP(A192,'[14]geoMap (11)'!$A:$B,2,0)*VLOOKUP(A192,'[14]geoMap (11)'!$A:$C,3,0)</f>
        <v>#REF!</v>
      </c>
      <c r="N192" s="1" t="e">
        <f>M192/VLOOKUP(A192,'[15]geoMap (12)'!$A:$B,2,0)*VLOOKUP(A192,'[15]geoMap (12)'!$A:$C,3,0)</f>
        <v>#REF!</v>
      </c>
      <c r="O192" s="1" t="e">
        <f>N192/VLOOKUP(A192,'[16]geoMap (13)'!$A:$B,2,0)*VLOOKUP(A192,'[16]geoMap (13)'!$A:$C,3,0)</f>
        <v>#REF!</v>
      </c>
      <c r="P192" s="1" t="e">
        <f>O192/VLOOKUP(A192,'[17]geoMap (14)'!$A:$B,2,0)*VLOOKUP(A192,'[17]geoMap (14)'!$A:$C,3,0)</f>
        <v>#REF!</v>
      </c>
      <c r="Q192" s="1" t="e">
        <f>P192/VLOOKUP(A192,'[18]geoMap (15)'!$A:$B,2,0)*VLOOKUP(A192,'[18]geoMap (15)'!$A:$C,3,0)</f>
        <v>#REF!</v>
      </c>
      <c r="R192" s="1" t="e">
        <f>Q192/VLOOKUP(A192,'[19]geoMap (16)'!$A:$B,2,0)*VLOOKUP(A192,'[19]geoMap (16)'!$A:$C,3,0)</f>
        <v>#REF!</v>
      </c>
      <c r="S192" s="1" t="e">
        <f>R192/VLOOKUP(A192,'[20]geoMap (17)'!$A:$B,2,0)*VLOOKUP(A192,'[20]geoMap (17)'!$A:$C,3,0)</f>
        <v>#REF!</v>
      </c>
      <c r="T192" s="1" t="e">
        <f>S192/VLOOKUP(A192,'[21]geoMap (18)'!$A:$B,2,0)*VLOOKUP(A192,'[21]geoMap (18)'!$A:$C,3,0)</f>
        <v>#REF!</v>
      </c>
      <c r="U192" s="1" t="e">
        <f>T192/VLOOKUP(A192,'[22]geoMap (19)'!$A:$B,2,0)*VLOOKUP(A192,'[22]geoMap (19)'!$A:$C,3,0)</f>
        <v>#REF!</v>
      </c>
      <c r="V192" s="1" t="e">
        <f>U192/VLOOKUP(A192,'[23]geoMap (20)'!$A:$B,2,0)*VLOOKUP(A192,'[23]geoMap (20)'!$A:$C,3,0)</f>
        <v>#REF!</v>
      </c>
      <c r="W192" s="1" t="e">
        <f>V192/VLOOKUP(A192,'[24]geoMap (21)'!$A:$B,2,0)*VLOOKUP(A192,'[24]geoMap (21)'!$A:$C,3,0)</f>
        <v>#REF!</v>
      </c>
      <c r="X192" s="1" t="e">
        <f>W192/VLOOKUP(A192,'[25]geoMap (22)'!$A:$B,2,0)*VLOOKUP(A192,'[25]geoMap (22)'!$A:$C,3,0)</f>
        <v>#REF!</v>
      </c>
      <c r="Y192" s="1" t="e">
        <f>X192/VLOOKUP(A192,'[26]geoMap (23)'!$A:$B,2,0)*VLOOKUP(A192,'[26]geoMap (23)'!$A:$C,3,0)</f>
        <v>#REF!</v>
      </c>
      <c r="Z192" s="1" t="e">
        <f>Y192/VLOOKUP(A192,'[27]geoMap (24)'!$A:$B,2,0)*VLOOKUP(A192,'[27]geoMap (24)'!$A:$C,3,0)</f>
        <v>#REF!</v>
      </c>
      <c r="AA192" s="1" t="e">
        <f>Z192/VLOOKUP(A192,'[28]geoMap (25)'!$A:$B,2,0)*VLOOKUP(A192,'[28]geoMap (25)'!$A:$C,3,0)</f>
        <v>#REF!</v>
      </c>
      <c r="AB192" s="1" t="e">
        <f>AA192*VLOOKUP(A192,'[29]geoMap (26)'!$A:$B,2,0)*VLOOKUP(A192,'[29]geoMap (26)'!$A:$C,3,0)</f>
        <v>#REF!</v>
      </c>
      <c r="AC192" s="1" t="e">
        <f>AB192/VLOOKUP(A192,'[30]geoMap (27)'!$A:$B,2,0)*VLOOKUP(A192,'[30]geoMap (27)'!$A:$C,3,0)</f>
        <v>#REF!</v>
      </c>
      <c r="AD192" s="1" t="e">
        <f>AC192/VLOOKUP(A192,'[31]geoMap (28)'!$A:$B,2,0)*VLOOKUP(A192,'[31]geoMap (28)'!$A:$C,3,0)</f>
        <v>#REF!</v>
      </c>
      <c r="AE192" s="1" t="e">
        <f>AD192/VLOOKUP(A192,'[32]geoMap (29)'!$A:$B,2,0)*VLOOKUP(A192,'[32]geoMap (29)'!$A:$C,3,0)</f>
        <v>#REF!</v>
      </c>
      <c r="AF192" s="1" t="e">
        <f>AE192/VLOOKUP(A192,'[33]geoMap (30)'!$A:$B,2,0)*VLOOKUP(A192,'[33]geoMap (30)'!$A:$C,3,0)</f>
        <v>#REF!</v>
      </c>
      <c r="AG192" s="1" t="e">
        <f>AF192/VLOOKUP(A192,'[34]geoMap (31)'!$A:$B,2,0)*VLOOKUP(A192,'[34]geoMap (31)'!$A:$C,3,0)</f>
        <v>#REF!</v>
      </c>
      <c r="AH192" s="1" t="e">
        <f>AG192/VLOOKUP(A192,'[35]geoMap (32)'!$A:$B,2,0)*VLOOKUP(A192,'[35]geoMap (32)'!$A:$C,3,0)</f>
        <v>#REF!</v>
      </c>
      <c r="AI192" s="1" t="e">
        <f>AH192/VLOOKUP(A192,'[36]geoMap (33)'!$A:$B,2,0)*VLOOKUP(A192,'[36]geoMap (33)'!$A:$C,3,0)</f>
        <v>#REF!</v>
      </c>
      <c r="AJ192" s="1" t="e">
        <f>AI192/VLOOKUP(A192,'[37]geoMap (34)'!$A:$B,2,0)*VLOOKUP(A192,'[37]geoMap (34)'!$A:$C,3,0)</f>
        <v>#REF!</v>
      </c>
      <c r="AK192" s="1" t="e">
        <f>AJ192/VLOOKUP(A192,'[38]geoMap (35)'!$A:$B,2,0)*VLOOKUP(A192,'[38]geoMap (35)'!$A:$C,3,0)</f>
        <v>#REF!</v>
      </c>
      <c r="AL192" s="1" t="e">
        <f>AK192/VLOOKUP(A192,'[39]geoMap (36)'!$A:$B,2,0)*VLOOKUP(A192,'[39]geoMap (36)'!$A:$C,3,0)</f>
        <v>#REF!</v>
      </c>
      <c r="AM192" s="1" t="e">
        <f>AL192/VLOOKUP(A192,'[40]geoMap (37)'!$A:$B,2,0)*VLOOKUP(A192,'[40]geoMap (37)'!$A:$C,3,0)</f>
        <v>#REF!</v>
      </c>
      <c r="AN192" s="1" t="e">
        <f>AM192/VLOOKUP(A192,'[41]geoMap (38)'!$A:$B,2,0)*VLOOKUP(A192,'[41]geoMap (38)'!$A:$C,3,0)</f>
        <v>#REF!</v>
      </c>
      <c r="AO192" s="1" t="e">
        <f>AN192/VLOOKUP(A192,'[42]geoMap (39)'!$A:$B,2,0)*VLOOKUP(A192,'[42]geoMap (39)'!$A:$C,3,0)</f>
        <v>#REF!</v>
      </c>
      <c r="AP192" s="1" t="e">
        <f>AO192/VLOOKUP(A192,'[43]geoMap (40)'!$A:$B,2,0)*VLOOKUP(A192,'[43]geoMap (40)'!$A:$C,3,0)</f>
        <v>#REF!</v>
      </c>
      <c r="AQ192" s="1" t="e">
        <f>AP192/VLOOKUP(A192,'[44]geoMap (41)'!$A:$B,2,0)*VLOOKUP(A192,'[44]geoMap (41)'!$A:$C,3,0)</f>
        <v>#REF!</v>
      </c>
      <c r="AR192" s="1" t="e">
        <f>AQ192/VLOOKUP(A192,'[45]geoMap (42)'!$A:$B,2,0)*VLOOKUP(A192,'[45]geoMap (42)'!$A:$C,3,0)</f>
        <v>#REF!</v>
      </c>
      <c r="AS192" s="1" t="e">
        <f>AR192/VLOOKUP(A192,'[46]geoMap (43)'!$A:$B,2,0)*VLOOKUP(A192,'[46]geoMap (43)'!$A:$C,3,0)</f>
        <v>#REF!</v>
      </c>
      <c r="AT192" s="1" t="e">
        <f>AS192/VLOOKUP(A192,'[47]geoMap (44)'!$A:$B,2,0)*VLOOKUP(A192,'[47]geoMap (44)'!$A:$C,3,0)</f>
        <v>#REF!</v>
      </c>
      <c r="AU192" s="1" t="e">
        <f>AT192/VLOOKUP(A192,'[48]geoMap (45)'!$A:$B,2,0)*VLOOKUP(A192,'[48]geoMap (45)'!$A:$C,3,0)</f>
        <v>#REF!</v>
      </c>
      <c r="AV192" s="1" t="e">
        <f>AU192/VLOOKUP(A192,'[49]geoMap (46)'!$A:$B,2,0)*VLOOKUP(A192,'[49]geoMap (46)'!$A:$C,3,0)</f>
        <v>#REF!</v>
      </c>
      <c r="AW192" s="1" t="e">
        <f>AV192/VLOOKUP(A192,'[50]geoMap (47)'!$A:$B,2,0)*VLOOKUP(A192,'[50]geoMap (47)'!$A:$C,3,0)</f>
        <v>#REF!</v>
      </c>
      <c r="AX192" s="1" t="e">
        <f>AW192/VLOOKUP(A192,'[51]geoMap (48)'!$A:$B,2,0)*VLOOKUP(A192,'[51]geoMap (48)'!$A:$C,3,0)</f>
        <v>#REF!</v>
      </c>
      <c r="AY192" s="1" t="e">
        <f>AX192/VLOOKUP(A192,'[52]geoMap (49)'!$A:$B,2,0)*VLOOKUP(A192,'[52]geoMap (49)'!$A:$C,3,0)</f>
        <v>#REF!</v>
      </c>
      <c r="AZ192" s="1" t="e">
        <f>AY192/VLOOKUP(A192,'[53]geoMap (50)'!$A:$B,2,0)*VLOOKUP(A192,'[53]geoMap (50)'!$A:$C,3,0)</f>
        <v>#REF!</v>
      </c>
      <c r="BA192" s="1" t="e">
        <f>AZ192/VLOOKUP(A192,'[54]geoMap (51)'!$A:$B,2,0)*VLOOKUP(A192,'[54]geoMap (51)'!$A:$C,3,0)</f>
        <v>#REF!</v>
      </c>
      <c r="BB192" s="1" t="e">
        <f>BA192/VLOOKUP(A192,'[55]geoMap (52)'!$A:$B,2,0)*VLOOKUP(A192,'[55]geoMap (52)'!$A:$C,3,0)</f>
        <v>#REF!</v>
      </c>
      <c r="BC192" s="1" t="e">
        <f>BB192/VLOOKUP(A192,'[56]geoMap (53)'!$A:$B,2,0)*VLOOKUP(A192,'[56]geoMap (53)'!$A:$C,3,0)</f>
        <v>#REF!</v>
      </c>
      <c r="BD192" s="1" t="e">
        <f>BC192/VLOOKUP(A192,'[57]geoMap (54)'!$A:$B,2,0)*VLOOKUP(A192,'[57]geoMap (54)'!$A:$C,3,0)</f>
        <v>#REF!</v>
      </c>
      <c r="BE192" s="1" t="e">
        <f>BD192/VLOOKUP(A192,'[58]geoMap (55)'!$A:$B,2,0)*VLOOKUP(A192,'[58]geoMap (55)'!$A:$C,3,0)</f>
        <v>#REF!</v>
      </c>
      <c r="BF192" s="1" t="e">
        <f>BE192/VLOOKUP(A192,'[59]geoMap (56)'!$A:$B,2,0)*VLOOKUP(A192,'[59]geoMap (56)'!$A:$C,3,0)</f>
        <v>#REF!</v>
      </c>
      <c r="BG192" s="1" t="e">
        <f>BF192/VLOOKUP(A192,'[60]geoMap (57)'!$A:$B,2,0)*VLOOKUP(A192,'[60]geoMap (57)'!$A:$C,3,0)</f>
        <v>#REF!</v>
      </c>
      <c r="BH192" s="1" t="e">
        <f>BG192/VLOOKUP(A192,'[61]geoMap (58)'!$A:$B,2,0)*VLOOKUP(A192,'[61]geoMap (58)'!$A:$C,3,0)</f>
        <v>#REF!</v>
      </c>
      <c r="BI192" s="1" t="e">
        <f>BH192/VLOOKUP(A192,'[62]geoMap (59)'!$A:$B,2,0)*VLOOKUP(A192,'[62]geoMap (59)'!$A:$C,3,0)</f>
        <v>#REF!</v>
      </c>
      <c r="BJ192" s="1" t="e">
        <f>BI192/VLOOKUP(A192,'[63]geoMap (60)'!$A:$B,2,0)*VLOOKUP(A192,'[63]geoMap (60)'!$A:$C,3,0)</f>
        <v>#REF!</v>
      </c>
      <c r="BK192" s="1" t="e">
        <f>BJ192/VLOOKUP(A192,'[64]geoMap (61)'!$A:$B,2,0)*VLOOKUP(A192,'[64]geoMap (61)'!$A:$C,3,0)</f>
        <v>#REF!</v>
      </c>
      <c r="BL192" s="1" t="e">
        <f>BK192/VLOOKUP(A192,'[65]geoMap (62)'!$A:$B,2,0)*VLOOKUP(A192,'[65]geoMap (62)'!$A:$C,3,0)</f>
        <v>#REF!</v>
      </c>
      <c r="BM192" s="1" t="e">
        <f>BL192/VLOOKUP(A192,'[66]geoMap (63)'!$A:$B,2,0)*VLOOKUP(A192,'[66]geoMap (63)'!$A:$C,3,0)</f>
        <v>#REF!</v>
      </c>
      <c r="BN192" s="1" t="e">
        <f>BM192/VLOOKUP(A192,'[67]geoMap (64)'!$A:$B,2,0)*VLOOKUP(A192,'[67]geoMap (64)'!$A:$C,3,0)</f>
        <v>#REF!</v>
      </c>
      <c r="BO192" s="1" t="e">
        <f>BN192/VLOOKUP(A192,'[68]geoMap (65)'!$A:$B,2,0)*VLOOKUP(A192,'[68]geoMap (65)'!$A:$C,3,0)</f>
        <v>#REF!</v>
      </c>
      <c r="BP192" s="1" t="e">
        <f>BO192/VLOOKUP(A192,'[69]geoMap (66)'!$A:$B,2,0)*VLOOKUP(A192,'[69]geoMap (66)'!$A:$C,3,0)</f>
        <v>#REF!</v>
      </c>
    </row>
    <row r="193" spans="1:68" hidden="1" x14ac:dyDescent="0.2">
      <c r="A193" s="1" t="s">
        <v>195</v>
      </c>
      <c r="B193" s="1" t="e">
        <f>VLOOKUP(A193,[3]geoMap!$A:$B,2,0)*Notes!$C$6</f>
        <v>#REF!</v>
      </c>
      <c r="C193" s="1" t="e">
        <f>B193/VLOOKUP(A193,'[4]geoMap (1)'!$A:$B,2,0)*VLOOKUP(A193,'[4]geoMap (1)'!$A:$C,3,0)</f>
        <v>#REF!</v>
      </c>
      <c r="D193" s="1" t="e">
        <f>C193/VLOOKUP(A193,'[5]geoMap (2)'!$A:$B,2,0)*VLOOKUP(A193,'[5]geoMap (2)'!$A:$C,3,0)</f>
        <v>#REF!</v>
      </c>
      <c r="E193" s="1" t="e">
        <f>D193/VLOOKUP(A193,'[6]geoMap (3)'!$A:$B,2,0)*VLOOKUP(A193,'[6]geoMap (3)'!$A:$C,3,0)</f>
        <v>#REF!</v>
      </c>
      <c r="F193" s="1" t="e">
        <f>E193/VLOOKUP(A193,'[7]geoMap (4)'!$A:$B,2,0)*VLOOKUP(A193,'[7]geoMap (4)'!$A:$C,3,0)</f>
        <v>#REF!</v>
      </c>
      <c r="G193" s="1" t="e">
        <f>F193/VLOOKUP(A193,'[8]geoMap (5)'!$A:$B,2,0)*VLOOKUP(A193,'[8]geoMap (5)'!$A:$C,3,0)</f>
        <v>#REF!</v>
      </c>
      <c r="H193" s="1" t="e">
        <f>G193/VLOOKUP(A193,'[9]geoMap (6)'!$A:$B,2,0)*VLOOKUP(A193,'[9]geoMap (6)'!$A:$C,3,0)</f>
        <v>#REF!</v>
      </c>
      <c r="I193" s="1" t="e">
        <f>H193/VLOOKUP(A193,'[10]geoMap (7)'!$A:$B,2,0)*VLOOKUP(A193,'[10]geoMap (7)'!$A:$C,3,0)</f>
        <v>#REF!</v>
      </c>
      <c r="J193" s="1" t="e">
        <f>I193/VLOOKUP(A193,'[11]geoMap (8)'!$A:$B,2,0)*VLOOKUP(A193,'[11]geoMap (8)'!$A:$C,3,0)</f>
        <v>#REF!</v>
      </c>
      <c r="K193" s="1" t="e">
        <f>J193/VLOOKUP(A193,'[12]geoMap (9)'!$A:$B,2,0)*VLOOKUP(A193,'[12]geoMap (9)'!$A:$C,3,0)</f>
        <v>#REF!</v>
      </c>
      <c r="L193" s="1" t="e">
        <f>K193/VLOOKUP(A193,'[13]geoMap (10)'!$A:$B,2,0)*VLOOKUP(A193,'[13]geoMap (10)'!$A:$C,3,0)</f>
        <v>#REF!</v>
      </c>
      <c r="M193" s="1" t="e">
        <f>L193/VLOOKUP(A193,'[14]geoMap (11)'!$A:$B,2,0)*VLOOKUP(A193,'[14]geoMap (11)'!$A:$C,3,0)</f>
        <v>#REF!</v>
      </c>
      <c r="N193" s="1" t="e">
        <f>M193/VLOOKUP(A193,'[15]geoMap (12)'!$A:$B,2,0)*VLOOKUP(A193,'[15]geoMap (12)'!$A:$C,3,0)</f>
        <v>#REF!</v>
      </c>
      <c r="O193" s="1" t="e">
        <f>N193/VLOOKUP(A193,'[16]geoMap (13)'!$A:$B,2,0)*VLOOKUP(A193,'[16]geoMap (13)'!$A:$C,3,0)</f>
        <v>#REF!</v>
      </c>
      <c r="P193" s="1" t="e">
        <f>O193/VLOOKUP(A193,'[17]geoMap (14)'!$A:$B,2,0)*VLOOKUP(A193,'[17]geoMap (14)'!$A:$C,3,0)</f>
        <v>#REF!</v>
      </c>
      <c r="Q193" s="1" t="e">
        <f>P193/VLOOKUP(A193,'[18]geoMap (15)'!$A:$B,2,0)*VLOOKUP(A193,'[18]geoMap (15)'!$A:$C,3,0)</f>
        <v>#REF!</v>
      </c>
      <c r="R193" s="1" t="e">
        <f>Q193/VLOOKUP(A193,'[19]geoMap (16)'!$A:$B,2,0)*VLOOKUP(A193,'[19]geoMap (16)'!$A:$C,3,0)</f>
        <v>#REF!</v>
      </c>
      <c r="S193" s="1" t="e">
        <f>R193/VLOOKUP(A193,'[20]geoMap (17)'!$A:$B,2,0)*VLOOKUP(A193,'[20]geoMap (17)'!$A:$C,3,0)</f>
        <v>#REF!</v>
      </c>
      <c r="T193" s="1" t="e">
        <f>S193/VLOOKUP(A193,'[21]geoMap (18)'!$A:$B,2,0)*VLOOKUP(A193,'[21]geoMap (18)'!$A:$C,3,0)</f>
        <v>#REF!</v>
      </c>
      <c r="U193" s="1" t="e">
        <f>T193/VLOOKUP(A193,'[22]geoMap (19)'!$A:$B,2,0)*VLOOKUP(A193,'[22]geoMap (19)'!$A:$C,3,0)</f>
        <v>#REF!</v>
      </c>
      <c r="V193" s="1" t="e">
        <f>U193/VLOOKUP(A193,'[23]geoMap (20)'!$A:$B,2,0)*VLOOKUP(A193,'[23]geoMap (20)'!$A:$C,3,0)</f>
        <v>#REF!</v>
      </c>
      <c r="W193" s="1" t="e">
        <f>V193/VLOOKUP(A193,'[24]geoMap (21)'!$A:$B,2,0)*VLOOKUP(A193,'[24]geoMap (21)'!$A:$C,3,0)</f>
        <v>#REF!</v>
      </c>
      <c r="X193" s="1" t="e">
        <f>W193/VLOOKUP(A193,'[25]geoMap (22)'!$A:$B,2,0)*VLOOKUP(A193,'[25]geoMap (22)'!$A:$C,3,0)</f>
        <v>#REF!</v>
      </c>
      <c r="Y193" s="1" t="e">
        <f>X193/VLOOKUP(A193,'[26]geoMap (23)'!$A:$B,2,0)*VLOOKUP(A193,'[26]geoMap (23)'!$A:$C,3,0)</f>
        <v>#REF!</v>
      </c>
      <c r="Z193" s="1" t="e">
        <f>Y193/VLOOKUP(A193,'[27]geoMap (24)'!$A:$B,2,0)*VLOOKUP(A193,'[27]geoMap (24)'!$A:$C,3,0)</f>
        <v>#REF!</v>
      </c>
      <c r="AA193" s="1" t="e">
        <f>Z193/VLOOKUP(A193,'[28]geoMap (25)'!$A:$B,2,0)*VLOOKUP(A193,'[28]geoMap (25)'!$A:$C,3,0)</f>
        <v>#REF!</v>
      </c>
      <c r="AB193" s="1" t="e">
        <f>AA193*VLOOKUP(A193,'[29]geoMap (26)'!$A:$B,2,0)*VLOOKUP(A193,'[29]geoMap (26)'!$A:$C,3,0)</f>
        <v>#REF!</v>
      </c>
      <c r="AC193" s="1" t="e">
        <f>AB193/VLOOKUP(A193,'[30]geoMap (27)'!$A:$B,2,0)*VLOOKUP(A193,'[30]geoMap (27)'!$A:$C,3,0)</f>
        <v>#REF!</v>
      </c>
      <c r="AD193" s="1" t="e">
        <f>AC193/VLOOKUP(A193,'[31]geoMap (28)'!$A:$B,2,0)*VLOOKUP(A193,'[31]geoMap (28)'!$A:$C,3,0)</f>
        <v>#REF!</v>
      </c>
      <c r="AE193" s="1" t="e">
        <f>AD193/VLOOKUP(A193,'[32]geoMap (29)'!$A:$B,2,0)*VLOOKUP(A193,'[32]geoMap (29)'!$A:$C,3,0)</f>
        <v>#REF!</v>
      </c>
      <c r="AF193" s="1" t="e">
        <f>AE193/VLOOKUP(A193,'[33]geoMap (30)'!$A:$B,2,0)*VLOOKUP(A193,'[33]geoMap (30)'!$A:$C,3,0)</f>
        <v>#REF!</v>
      </c>
      <c r="AG193" s="1" t="e">
        <f>AF193/VLOOKUP(A193,'[34]geoMap (31)'!$A:$B,2,0)*VLOOKUP(A193,'[34]geoMap (31)'!$A:$C,3,0)</f>
        <v>#REF!</v>
      </c>
      <c r="AH193" s="1" t="e">
        <f>AG193/VLOOKUP(A193,'[35]geoMap (32)'!$A:$B,2,0)*VLOOKUP(A193,'[35]geoMap (32)'!$A:$C,3,0)</f>
        <v>#REF!</v>
      </c>
      <c r="AI193" s="1" t="e">
        <f>AH193/VLOOKUP(A193,'[36]geoMap (33)'!$A:$B,2,0)*VLOOKUP(A193,'[36]geoMap (33)'!$A:$C,3,0)</f>
        <v>#REF!</v>
      </c>
      <c r="AJ193" s="1" t="e">
        <f>AI193/VLOOKUP(A193,'[37]geoMap (34)'!$A:$B,2,0)*VLOOKUP(A193,'[37]geoMap (34)'!$A:$C,3,0)</f>
        <v>#REF!</v>
      </c>
      <c r="AK193" s="1" t="e">
        <f>AJ193/VLOOKUP(A193,'[38]geoMap (35)'!$A:$B,2,0)*VLOOKUP(A193,'[38]geoMap (35)'!$A:$C,3,0)</f>
        <v>#REF!</v>
      </c>
      <c r="AL193" s="1" t="e">
        <f>AK193/VLOOKUP(A193,'[39]geoMap (36)'!$A:$B,2,0)*VLOOKUP(A193,'[39]geoMap (36)'!$A:$C,3,0)</f>
        <v>#REF!</v>
      </c>
      <c r="AM193" s="1" t="e">
        <f>AL193/VLOOKUP(A193,'[40]geoMap (37)'!$A:$B,2,0)*VLOOKUP(A193,'[40]geoMap (37)'!$A:$C,3,0)</f>
        <v>#REF!</v>
      </c>
      <c r="AN193" s="1" t="e">
        <f>AM193/VLOOKUP(A193,'[41]geoMap (38)'!$A:$B,2,0)*VLOOKUP(A193,'[41]geoMap (38)'!$A:$C,3,0)</f>
        <v>#REF!</v>
      </c>
      <c r="AO193" s="1" t="e">
        <f>AN193/VLOOKUP(A193,'[42]geoMap (39)'!$A:$B,2,0)*VLOOKUP(A193,'[42]geoMap (39)'!$A:$C,3,0)</f>
        <v>#REF!</v>
      </c>
      <c r="AP193" s="1" t="e">
        <f>AO193/VLOOKUP(A193,'[43]geoMap (40)'!$A:$B,2,0)*VLOOKUP(A193,'[43]geoMap (40)'!$A:$C,3,0)</f>
        <v>#REF!</v>
      </c>
      <c r="AQ193" s="1" t="e">
        <f>AP193/VLOOKUP(A193,'[44]geoMap (41)'!$A:$B,2,0)*VLOOKUP(A193,'[44]geoMap (41)'!$A:$C,3,0)</f>
        <v>#REF!</v>
      </c>
      <c r="AR193" s="1" t="e">
        <f>AQ193/VLOOKUP(A193,'[45]geoMap (42)'!$A:$B,2,0)*VLOOKUP(A193,'[45]geoMap (42)'!$A:$C,3,0)</f>
        <v>#REF!</v>
      </c>
      <c r="AS193" s="1" t="e">
        <f>AR193/VLOOKUP(A193,'[46]geoMap (43)'!$A:$B,2,0)*VLOOKUP(A193,'[46]geoMap (43)'!$A:$C,3,0)</f>
        <v>#REF!</v>
      </c>
      <c r="AT193" s="1" t="e">
        <f>AS193/VLOOKUP(A193,'[47]geoMap (44)'!$A:$B,2,0)*VLOOKUP(A193,'[47]geoMap (44)'!$A:$C,3,0)</f>
        <v>#REF!</v>
      </c>
      <c r="AU193" s="1" t="e">
        <f>AT193/VLOOKUP(A193,'[48]geoMap (45)'!$A:$B,2,0)*VLOOKUP(A193,'[48]geoMap (45)'!$A:$C,3,0)</f>
        <v>#REF!</v>
      </c>
      <c r="AV193" s="1" t="e">
        <f>AU193/VLOOKUP(A193,'[49]geoMap (46)'!$A:$B,2,0)*VLOOKUP(A193,'[49]geoMap (46)'!$A:$C,3,0)</f>
        <v>#REF!</v>
      </c>
      <c r="AW193" s="1" t="e">
        <f>AV193/VLOOKUP(A193,'[50]geoMap (47)'!$A:$B,2,0)*VLOOKUP(A193,'[50]geoMap (47)'!$A:$C,3,0)</f>
        <v>#REF!</v>
      </c>
      <c r="AX193" s="1" t="e">
        <f>AW193/VLOOKUP(A193,'[51]geoMap (48)'!$A:$B,2,0)*VLOOKUP(A193,'[51]geoMap (48)'!$A:$C,3,0)</f>
        <v>#REF!</v>
      </c>
      <c r="AY193" s="1" t="e">
        <f>AX193/VLOOKUP(A193,'[52]geoMap (49)'!$A:$B,2,0)*VLOOKUP(A193,'[52]geoMap (49)'!$A:$C,3,0)</f>
        <v>#REF!</v>
      </c>
      <c r="AZ193" s="1" t="e">
        <f>AY193/VLOOKUP(A193,'[53]geoMap (50)'!$A:$B,2,0)*VLOOKUP(A193,'[53]geoMap (50)'!$A:$C,3,0)</f>
        <v>#REF!</v>
      </c>
      <c r="BA193" s="1" t="e">
        <f>AZ193/VLOOKUP(A193,'[54]geoMap (51)'!$A:$B,2,0)*VLOOKUP(A193,'[54]geoMap (51)'!$A:$C,3,0)</f>
        <v>#REF!</v>
      </c>
      <c r="BB193" s="1" t="e">
        <f>BA193/VLOOKUP(A193,'[55]geoMap (52)'!$A:$B,2,0)*VLOOKUP(A193,'[55]geoMap (52)'!$A:$C,3,0)</f>
        <v>#REF!</v>
      </c>
      <c r="BC193" s="1" t="e">
        <f>BB193/VLOOKUP(A193,'[56]geoMap (53)'!$A:$B,2,0)*VLOOKUP(A193,'[56]geoMap (53)'!$A:$C,3,0)</f>
        <v>#REF!</v>
      </c>
      <c r="BD193" s="1" t="e">
        <f>BC193/VLOOKUP(A193,'[57]geoMap (54)'!$A:$B,2,0)*VLOOKUP(A193,'[57]geoMap (54)'!$A:$C,3,0)</f>
        <v>#REF!</v>
      </c>
      <c r="BE193" s="1" t="e">
        <f>BD193/VLOOKUP(A193,'[58]geoMap (55)'!$A:$B,2,0)*VLOOKUP(A193,'[58]geoMap (55)'!$A:$C,3,0)</f>
        <v>#REF!</v>
      </c>
      <c r="BF193" s="1" t="e">
        <f>BE193/VLOOKUP(A193,'[59]geoMap (56)'!$A:$B,2,0)*VLOOKUP(A193,'[59]geoMap (56)'!$A:$C,3,0)</f>
        <v>#REF!</v>
      </c>
      <c r="BG193" s="1" t="e">
        <f>BF193/VLOOKUP(A193,'[60]geoMap (57)'!$A:$B,2,0)*VLOOKUP(A193,'[60]geoMap (57)'!$A:$C,3,0)</f>
        <v>#REF!</v>
      </c>
      <c r="BH193" s="1" t="e">
        <f>BG193/VLOOKUP(A193,'[61]geoMap (58)'!$A:$B,2,0)*VLOOKUP(A193,'[61]geoMap (58)'!$A:$C,3,0)</f>
        <v>#REF!</v>
      </c>
      <c r="BI193" s="1" t="e">
        <f>BH193/VLOOKUP(A193,'[62]geoMap (59)'!$A:$B,2,0)*VLOOKUP(A193,'[62]geoMap (59)'!$A:$C,3,0)</f>
        <v>#REF!</v>
      </c>
      <c r="BJ193" s="1" t="e">
        <f>BI193/VLOOKUP(A193,'[63]geoMap (60)'!$A:$B,2,0)*VLOOKUP(A193,'[63]geoMap (60)'!$A:$C,3,0)</f>
        <v>#REF!</v>
      </c>
      <c r="BK193" s="1" t="e">
        <f>BJ193/VLOOKUP(A193,'[64]geoMap (61)'!$A:$B,2,0)*VLOOKUP(A193,'[64]geoMap (61)'!$A:$C,3,0)</f>
        <v>#REF!</v>
      </c>
      <c r="BL193" s="1" t="e">
        <f>BK193/VLOOKUP(A193,'[65]geoMap (62)'!$A:$B,2,0)*VLOOKUP(A193,'[65]geoMap (62)'!$A:$C,3,0)</f>
        <v>#REF!</v>
      </c>
      <c r="BM193" s="1" t="e">
        <f>BL193/VLOOKUP(A193,'[66]geoMap (63)'!$A:$B,2,0)*VLOOKUP(A193,'[66]geoMap (63)'!$A:$C,3,0)</f>
        <v>#REF!</v>
      </c>
      <c r="BN193" s="1" t="e">
        <f>BM193/VLOOKUP(A193,'[67]geoMap (64)'!$A:$B,2,0)*VLOOKUP(A193,'[67]geoMap (64)'!$A:$C,3,0)</f>
        <v>#REF!</v>
      </c>
      <c r="BO193" s="1" t="e">
        <f>BN193/VLOOKUP(A193,'[68]geoMap (65)'!$A:$B,2,0)*VLOOKUP(A193,'[68]geoMap (65)'!$A:$C,3,0)</f>
        <v>#REF!</v>
      </c>
      <c r="BP193" s="1" t="e">
        <f>BO193/VLOOKUP(A193,'[69]geoMap (66)'!$A:$B,2,0)*VLOOKUP(A193,'[69]geoMap (66)'!$A:$C,3,0)</f>
        <v>#REF!</v>
      </c>
    </row>
    <row r="194" spans="1:68" hidden="1" x14ac:dyDescent="0.2">
      <c r="A194" s="1" t="s">
        <v>196</v>
      </c>
      <c r="B194" s="1" t="e">
        <f>VLOOKUP(A194,[3]geoMap!$A:$B,2,0)*Notes!$C$6</f>
        <v>#REF!</v>
      </c>
      <c r="C194" s="1" t="e">
        <f>B194/VLOOKUP(A194,'[4]geoMap (1)'!$A:$B,2,0)*VLOOKUP(A194,'[4]geoMap (1)'!$A:$C,3,0)</f>
        <v>#REF!</v>
      </c>
      <c r="D194" s="1" t="e">
        <f>C194/VLOOKUP(A194,'[5]geoMap (2)'!$A:$B,2,0)*VLOOKUP(A194,'[5]geoMap (2)'!$A:$C,3,0)</f>
        <v>#REF!</v>
      </c>
      <c r="E194" s="1" t="e">
        <f>D194/VLOOKUP(A194,'[6]geoMap (3)'!$A:$B,2,0)*VLOOKUP(A194,'[6]geoMap (3)'!$A:$C,3,0)</f>
        <v>#REF!</v>
      </c>
      <c r="F194" s="1" t="e">
        <f>E194/VLOOKUP(A194,'[7]geoMap (4)'!$A:$B,2,0)*VLOOKUP(A194,'[7]geoMap (4)'!$A:$C,3,0)</f>
        <v>#REF!</v>
      </c>
      <c r="G194" s="1" t="e">
        <f>F194/VLOOKUP(A194,'[8]geoMap (5)'!$A:$B,2,0)*VLOOKUP(A194,'[8]geoMap (5)'!$A:$C,3,0)</f>
        <v>#REF!</v>
      </c>
      <c r="H194" s="1" t="e">
        <f>G194/VLOOKUP(A194,'[9]geoMap (6)'!$A:$B,2,0)*VLOOKUP(A194,'[9]geoMap (6)'!$A:$C,3,0)</f>
        <v>#REF!</v>
      </c>
      <c r="I194" s="1" t="e">
        <f>H194/VLOOKUP(A194,'[10]geoMap (7)'!$A:$B,2,0)*VLOOKUP(A194,'[10]geoMap (7)'!$A:$C,3,0)</f>
        <v>#REF!</v>
      </c>
      <c r="J194" s="1" t="e">
        <f>I194/VLOOKUP(A194,'[11]geoMap (8)'!$A:$B,2,0)*VLOOKUP(A194,'[11]geoMap (8)'!$A:$C,3,0)</f>
        <v>#REF!</v>
      </c>
      <c r="K194" s="1" t="e">
        <f>J194/VLOOKUP(A194,'[12]geoMap (9)'!$A:$B,2,0)*VLOOKUP(A194,'[12]geoMap (9)'!$A:$C,3,0)</f>
        <v>#REF!</v>
      </c>
      <c r="L194" s="1" t="e">
        <f>K194/VLOOKUP(A194,'[13]geoMap (10)'!$A:$B,2,0)*VLOOKUP(A194,'[13]geoMap (10)'!$A:$C,3,0)</f>
        <v>#REF!</v>
      </c>
      <c r="M194" s="1" t="e">
        <f>L194/VLOOKUP(A194,'[14]geoMap (11)'!$A:$B,2,0)*VLOOKUP(A194,'[14]geoMap (11)'!$A:$C,3,0)</f>
        <v>#REF!</v>
      </c>
      <c r="N194" s="1" t="e">
        <f>M194/VLOOKUP(A194,'[15]geoMap (12)'!$A:$B,2,0)*VLOOKUP(A194,'[15]geoMap (12)'!$A:$C,3,0)</f>
        <v>#REF!</v>
      </c>
      <c r="O194" s="1" t="e">
        <f>N194/VLOOKUP(A194,'[16]geoMap (13)'!$A:$B,2,0)*VLOOKUP(A194,'[16]geoMap (13)'!$A:$C,3,0)</f>
        <v>#REF!</v>
      </c>
      <c r="P194" s="1" t="e">
        <f>O194/VLOOKUP(A194,'[17]geoMap (14)'!$A:$B,2,0)*VLOOKUP(A194,'[17]geoMap (14)'!$A:$C,3,0)</f>
        <v>#REF!</v>
      </c>
      <c r="Q194" s="1" t="e">
        <f>P194/VLOOKUP(A194,'[18]geoMap (15)'!$A:$B,2,0)*VLOOKUP(A194,'[18]geoMap (15)'!$A:$C,3,0)</f>
        <v>#REF!</v>
      </c>
      <c r="R194" s="1" t="e">
        <f>Q194/VLOOKUP(A194,'[19]geoMap (16)'!$A:$B,2,0)*VLOOKUP(A194,'[19]geoMap (16)'!$A:$C,3,0)</f>
        <v>#REF!</v>
      </c>
      <c r="S194" s="1" t="e">
        <f>R194/VLOOKUP(A194,'[20]geoMap (17)'!$A:$B,2,0)*VLOOKUP(A194,'[20]geoMap (17)'!$A:$C,3,0)</f>
        <v>#REF!</v>
      </c>
      <c r="T194" s="1" t="e">
        <f>S194/VLOOKUP(A194,'[21]geoMap (18)'!$A:$B,2,0)*VLOOKUP(A194,'[21]geoMap (18)'!$A:$C,3,0)</f>
        <v>#REF!</v>
      </c>
      <c r="U194" s="1" t="e">
        <f>T194/VLOOKUP(A194,'[22]geoMap (19)'!$A:$B,2,0)*VLOOKUP(A194,'[22]geoMap (19)'!$A:$C,3,0)</f>
        <v>#REF!</v>
      </c>
      <c r="V194" s="1" t="e">
        <f>U194/VLOOKUP(A194,'[23]geoMap (20)'!$A:$B,2,0)*VLOOKUP(A194,'[23]geoMap (20)'!$A:$C,3,0)</f>
        <v>#REF!</v>
      </c>
      <c r="W194" s="1" t="e">
        <f>V194/VLOOKUP(A194,'[24]geoMap (21)'!$A:$B,2,0)*VLOOKUP(A194,'[24]geoMap (21)'!$A:$C,3,0)</f>
        <v>#REF!</v>
      </c>
      <c r="X194" s="1" t="e">
        <f>W194/VLOOKUP(A194,'[25]geoMap (22)'!$A:$B,2,0)*VLOOKUP(A194,'[25]geoMap (22)'!$A:$C,3,0)</f>
        <v>#REF!</v>
      </c>
      <c r="Y194" s="1" t="e">
        <f>X194/VLOOKUP(A194,'[26]geoMap (23)'!$A:$B,2,0)*VLOOKUP(A194,'[26]geoMap (23)'!$A:$C,3,0)</f>
        <v>#REF!</v>
      </c>
      <c r="Z194" s="1" t="e">
        <f>Y194/VLOOKUP(A194,'[27]geoMap (24)'!$A:$B,2,0)*VLOOKUP(A194,'[27]geoMap (24)'!$A:$C,3,0)</f>
        <v>#REF!</v>
      </c>
      <c r="AA194" s="1" t="e">
        <f>Z194/VLOOKUP(A194,'[28]geoMap (25)'!$A:$B,2,0)*VLOOKUP(A194,'[28]geoMap (25)'!$A:$C,3,0)</f>
        <v>#REF!</v>
      </c>
      <c r="AB194" s="1" t="e">
        <f>AA194*VLOOKUP(A194,'[29]geoMap (26)'!$A:$B,2,0)*VLOOKUP(A194,'[29]geoMap (26)'!$A:$C,3,0)</f>
        <v>#REF!</v>
      </c>
      <c r="AC194" s="1" t="e">
        <f>AB194/VLOOKUP(A194,'[30]geoMap (27)'!$A:$B,2,0)*VLOOKUP(A194,'[30]geoMap (27)'!$A:$C,3,0)</f>
        <v>#REF!</v>
      </c>
      <c r="AD194" s="1" t="e">
        <f>AC194/VLOOKUP(A194,'[31]geoMap (28)'!$A:$B,2,0)*VLOOKUP(A194,'[31]geoMap (28)'!$A:$C,3,0)</f>
        <v>#REF!</v>
      </c>
      <c r="AE194" s="1" t="e">
        <f>AD194/VLOOKUP(A194,'[32]geoMap (29)'!$A:$B,2,0)*VLOOKUP(A194,'[32]geoMap (29)'!$A:$C,3,0)</f>
        <v>#REF!</v>
      </c>
      <c r="AF194" s="1" t="e">
        <f>AE194/VLOOKUP(A194,'[33]geoMap (30)'!$A:$B,2,0)*VLOOKUP(A194,'[33]geoMap (30)'!$A:$C,3,0)</f>
        <v>#REF!</v>
      </c>
      <c r="AG194" s="1" t="e">
        <f>AF194/VLOOKUP(A194,'[34]geoMap (31)'!$A:$B,2,0)*VLOOKUP(A194,'[34]geoMap (31)'!$A:$C,3,0)</f>
        <v>#REF!</v>
      </c>
      <c r="AH194" s="1" t="e">
        <f>AG194/VLOOKUP(A194,'[35]geoMap (32)'!$A:$B,2,0)*VLOOKUP(A194,'[35]geoMap (32)'!$A:$C,3,0)</f>
        <v>#REF!</v>
      </c>
      <c r="AI194" s="1" t="e">
        <f>AH194/VLOOKUP(A194,'[36]geoMap (33)'!$A:$B,2,0)*VLOOKUP(A194,'[36]geoMap (33)'!$A:$C,3,0)</f>
        <v>#REF!</v>
      </c>
      <c r="AJ194" s="1" t="e">
        <f>AI194/VLOOKUP(A194,'[37]geoMap (34)'!$A:$B,2,0)*VLOOKUP(A194,'[37]geoMap (34)'!$A:$C,3,0)</f>
        <v>#REF!</v>
      </c>
      <c r="AK194" s="1" t="e">
        <f>AJ194/VLOOKUP(A194,'[38]geoMap (35)'!$A:$B,2,0)*VLOOKUP(A194,'[38]geoMap (35)'!$A:$C,3,0)</f>
        <v>#REF!</v>
      </c>
      <c r="AL194" s="1" t="e">
        <f>AK194/VLOOKUP(A194,'[39]geoMap (36)'!$A:$B,2,0)*VLOOKUP(A194,'[39]geoMap (36)'!$A:$C,3,0)</f>
        <v>#REF!</v>
      </c>
      <c r="AM194" s="1" t="e">
        <f>AL194/VLOOKUP(A194,'[40]geoMap (37)'!$A:$B,2,0)*VLOOKUP(A194,'[40]geoMap (37)'!$A:$C,3,0)</f>
        <v>#REF!</v>
      </c>
      <c r="AN194" s="1" t="e">
        <f>AM194/VLOOKUP(A194,'[41]geoMap (38)'!$A:$B,2,0)*VLOOKUP(A194,'[41]geoMap (38)'!$A:$C,3,0)</f>
        <v>#REF!</v>
      </c>
      <c r="AO194" s="1" t="e">
        <f>AN194/VLOOKUP(A194,'[42]geoMap (39)'!$A:$B,2,0)*VLOOKUP(A194,'[42]geoMap (39)'!$A:$C,3,0)</f>
        <v>#REF!</v>
      </c>
      <c r="AP194" s="1" t="e">
        <f>AO194/VLOOKUP(A194,'[43]geoMap (40)'!$A:$B,2,0)*VLOOKUP(A194,'[43]geoMap (40)'!$A:$C,3,0)</f>
        <v>#REF!</v>
      </c>
      <c r="AQ194" s="1" t="e">
        <f>AP194/VLOOKUP(A194,'[44]geoMap (41)'!$A:$B,2,0)*VLOOKUP(A194,'[44]geoMap (41)'!$A:$C,3,0)</f>
        <v>#REF!</v>
      </c>
      <c r="AR194" s="1" t="e">
        <f>AQ194/VLOOKUP(A194,'[45]geoMap (42)'!$A:$B,2,0)*VLOOKUP(A194,'[45]geoMap (42)'!$A:$C,3,0)</f>
        <v>#REF!</v>
      </c>
      <c r="AS194" s="1" t="e">
        <f>AR194/VLOOKUP(A194,'[46]geoMap (43)'!$A:$B,2,0)*VLOOKUP(A194,'[46]geoMap (43)'!$A:$C,3,0)</f>
        <v>#REF!</v>
      </c>
      <c r="AT194" s="1" t="e">
        <f>AS194/VLOOKUP(A194,'[47]geoMap (44)'!$A:$B,2,0)*VLOOKUP(A194,'[47]geoMap (44)'!$A:$C,3,0)</f>
        <v>#REF!</v>
      </c>
      <c r="AU194" s="1" t="e">
        <f>AT194/VLOOKUP(A194,'[48]geoMap (45)'!$A:$B,2,0)*VLOOKUP(A194,'[48]geoMap (45)'!$A:$C,3,0)</f>
        <v>#REF!</v>
      </c>
      <c r="AV194" s="1" t="e">
        <f>AU194/VLOOKUP(A194,'[49]geoMap (46)'!$A:$B,2,0)*VLOOKUP(A194,'[49]geoMap (46)'!$A:$C,3,0)</f>
        <v>#REF!</v>
      </c>
      <c r="AW194" s="1" t="e">
        <f>AV194/VLOOKUP(A194,'[50]geoMap (47)'!$A:$B,2,0)*VLOOKUP(A194,'[50]geoMap (47)'!$A:$C,3,0)</f>
        <v>#REF!</v>
      </c>
      <c r="AX194" s="1" t="e">
        <f>AW194/VLOOKUP(A194,'[51]geoMap (48)'!$A:$B,2,0)*VLOOKUP(A194,'[51]geoMap (48)'!$A:$C,3,0)</f>
        <v>#REF!</v>
      </c>
      <c r="AY194" s="1" t="e">
        <f>AX194/VLOOKUP(A194,'[52]geoMap (49)'!$A:$B,2,0)*VLOOKUP(A194,'[52]geoMap (49)'!$A:$C,3,0)</f>
        <v>#REF!</v>
      </c>
      <c r="AZ194" s="1" t="e">
        <f>AY194/VLOOKUP(A194,'[53]geoMap (50)'!$A:$B,2,0)*VLOOKUP(A194,'[53]geoMap (50)'!$A:$C,3,0)</f>
        <v>#REF!</v>
      </c>
      <c r="BA194" s="1" t="e">
        <f>AZ194/VLOOKUP(A194,'[54]geoMap (51)'!$A:$B,2,0)*VLOOKUP(A194,'[54]geoMap (51)'!$A:$C,3,0)</f>
        <v>#REF!</v>
      </c>
      <c r="BB194" s="1" t="e">
        <f>BA194/VLOOKUP(A194,'[55]geoMap (52)'!$A:$B,2,0)*VLOOKUP(A194,'[55]geoMap (52)'!$A:$C,3,0)</f>
        <v>#REF!</v>
      </c>
      <c r="BC194" s="1" t="e">
        <f>BB194/VLOOKUP(A194,'[56]geoMap (53)'!$A:$B,2,0)*VLOOKUP(A194,'[56]geoMap (53)'!$A:$C,3,0)</f>
        <v>#REF!</v>
      </c>
      <c r="BD194" s="1" t="e">
        <f>BC194/VLOOKUP(A194,'[57]geoMap (54)'!$A:$B,2,0)*VLOOKUP(A194,'[57]geoMap (54)'!$A:$C,3,0)</f>
        <v>#REF!</v>
      </c>
      <c r="BE194" s="1" t="e">
        <f>BD194/VLOOKUP(A194,'[58]geoMap (55)'!$A:$B,2,0)*VLOOKUP(A194,'[58]geoMap (55)'!$A:$C,3,0)</f>
        <v>#REF!</v>
      </c>
      <c r="BF194" s="1" t="e">
        <f>BE194/VLOOKUP(A194,'[59]geoMap (56)'!$A:$B,2,0)*VLOOKUP(A194,'[59]geoMap (56)'!$A:$C,3,0)</f>
        <v>#REF!</v>
      </c>
      <c r="BG194" s="1" t="e">
        <f>BF194/VLOOKUP(A194,'[60]geoMap (57)'!$A:$B,2,0)*VLOOKUP(A194,'[60]geoMap (57)'!$A:$C,3,0)</f>
        <v>#REF!</v>
      </c>
      <c r="BH194" s="1" t="e">
        <f>BG194/VLOOKUP(A194,'[61]geoMap (58)'!$A:$B,2,0)*VLOOKUP(A194,'[61]geoMap (58)'!$A:$C,3,0)</f>
        <v>#REF!</v>
      </c>
      <c r="BI194" s="1" t="e">
        <f>BH194/VLOOKUP(A194,'[62]geoMap (59)'!$A:$B,2,0)*VLOOKUP(A194,'[62]geoMap (59)'!$A:$C,3,0)</f>
        <v>#REF!</v>
      </c>
      <c r="BJ194" s="1" t="e">
        <f>BI194/VLOOKUP(A194,'[63]geoMap (60)'!$A:$B,2,0)*VLOOKUP(A194,'[63]geoMap (60)'!$A:$C,3,0)</f>
        <v>#REF!</v>
      </c>
      <c r="BK194" s="1" t="e">
        <f>BJ194/VLOOKUP(A194,'[64]geoMap (61)'!$A:$B,2,0)*VLOOKUP(A194,'[64]geoMap (61)'!$A:$C,3,0)</f>
        <v>#REF!</v>
      </c>
      <c r="BL194" s="1" t="e">
        <f>BK194/VLOOKUP(A194,'[65]geoMap (62)'!$A:$B,2,0)*VLOOKUP(A194,'[65]geoMap (62)'!$A:$C,3,0)</f>
        <v>#REF!</v>
      </c>
      <c r="BM194" s="1" t="e">
        <f>BL194/VLOOKUP(A194,'[66]geoMap (63)'!$A:$B,2,0)*VLOOKUP(A194,'[66]geoMap (63)'!$A:$C,3,0)</f>
        <v>#REF!</v>
      </c>
      <c r="BN194" s="1" t="e">
        <f>BM194/VLOOKUP(A194,'[67]geoMap (64)'!$A:$B,2,0)*VLOOKUP(A194,'[67]geoMap (64)'!$A:$C,3,0)</f>
        <v>#REF!</v>
      </c>
      <c r="BO194" s="1" t="e">
        <f>BN194/VLOOKUP(A194,'[68]geoMap (65)'!$A:$B,2,0)*VLOOKUP(A194,'[68]geoMap (65)'!$A:$C,3,0)</f>
        <v>#REF!</v>
      </c>
      <c r="BP194" s="1" t="e">
        <f>BO194/VLOOKUP(A194,'[69]geoMap (66)'!$A:$B,2,0)*VLOOKUP(A194,'[69]geoMap (66)'!$A:$C,3,0)</f>
        <v>#REF!</v>
      </c>
    </row>
    <row r="195" spans="1:68" hidden="1" x14ac:dyDescent="0.2">
      <c r="A195" s="1" t="s">
        <v>197</v>
      </c>
      <c r="B195" s="1" t="e">
        <f>VLOOKUP(A195,[3]geoMap!$A:$B,2,0)*Notes!$C$6</f>
        <v>#REF!</v>
      </c>
      <c r="C195" s="1" t="e">
        <f>B195/VLOOKUP(A195,'[4]geoMap (1)'!$A:$B,2,0)*VLOOKUP(A195,'[4]geoMap (1)'!$A:$C,3,0)</f>
        <v>#REF!</v>
      </c>
      <c r="D195" s="1" t="e">
        <f>C195/VLOOKUP(A195,'[5]geoMap (2)'!$A:$B,2,0)*VLOOKUP(A195,'[5]geoMap (2)'!$A:$C,3,0)</f>
        <v>#REF!</v>
      </c>
      <c r="E195" s="1" t="e">
        <f>D195/VLOOKUP(A195,'[6]geoMap (3)'!$A:$B,2,0)*VLOOKUP(A195,'[6]geoMap (3)'!$A:$C,3,0)</f>
        <v>#REF!</v>
      </c>
      <c r="F195" s="1" t="e">
        <f>E195/VLOOKUP(A195,'[7]geoMap (4)'!$A:$B,2,0)*VLOOKUP(A195,'[7]geoMap (4)'!$A:$C,3,0)</f>
        <v>#REF!</v>
      </c>
      <c r="G195" s="1" t="e">
        <f>F195/VLOOKUP(A195,'[8]geoMap (5)'!$A:$B,2,0)*VLOOKUP(A195,'[8]geoMap (5)'!$A:$C,3,0)</f>
        <v>#REF!</v>
      </c>
      <c r="H195" s="1" t="e">
        <f>G195/VLOOKUP(A195,'[9]geoMap (6)'!$A:$B,2,0)*VLOOKUP(A195,'[9]geoMap (6)'!$A:$C,3,0)</f>
        <v>#REF!</v>
      </c>
      <c r="I195" s="1" t="e">
        <f>H195/VLOOKUP(A195,'[10]geoMap (7)'!$A:$B,2,0)*VLOOKUP(A195,'[10]geoMap (7)'!$A:$C,3,0)</f>
        <v>#REF!</v>
      </c>
      <c r="J195" s="1" t="e">
        <f>I195/VLOOKUP(A195,'[11]geoMap (8)'!$A:$B,2,0)*VLOOKUP(A195,'[11]geoMap (8)'!$A:$C,3,0)</f>
        <v>#REF!</v>
      </c>
      <c r="K195" s="1" t="e">
        <f>J195/VLOOKUP(A195,'[12]geoMap (9)'!$A:$B,2,0)*VLOOKUP(A195,'[12]geoMap (9)'!$A:$C,3,0)</f>
        <v>#REF!</v>
      </c>
      <c r="L195" s="1" t="e">
        <f>K195/VLOOKUP(A195,'[13]geoMap (10)'!$A:$B,2,0)*VLOOKUP(A195,'[13]geoMap (10)'!$A:$C,3,0)</f>
        <v>#REF!</v>
      </c>
      <c r="M195" s="1" t="e">
        <f>L195/VLOOKUP(A195,'[14]geoMap (11)'!$A:$B,2,0)*VLOOKUP(A195,'[14]geoMap (11)'!$A:$C,3,0)</f>
        <v>#REF!</v>
      </c>
      <c r="N195" s="1" t="e">
        <f>M195/VLOOKUP(A195,'[15]geoMap (12)'!$A:$B,2,0)*VLOOKUP(A195,'[15]geoMap (12)'!$A:$C,3,0)</f>
        <v>#REF!</v>
      </c>
      <c r="O195" s="1" t="e">
        <f>N195/VLOOKUP(A195,'[16]geoMap (13)'!$A:$B,2,0)*VLOOKUP(A195,'[16]geoMap (13)'!$A:$C,3,0)</f>
        <v>#REF!</v>
      </c>
      <c r="P195" s="1" t="e">
        <f>O195/VLOOKUP(A195,'[17]geoMap (14)'!$A:$B,2,0)*VLOOKUP(A195,'[17]geoMap (14)'!$A:$C,3,0)</f>
        <v>#REF!</v>
      </c>
      <c r="Q195" s="1" t="e">
        <f>P195/VLOOKUP(A195,'[18]geoMap (15)'!$A:$B,2,0)*VLOOKUP(A195,'[18]geoMap (15)'!$A:$C,3,0)</f>
        <v>#REF!</v>
      </c>
      <c r="R195" s="1" t="e">
        <f>Q195/VLOOKUP(A195,'[19]geoMap (16)'!$A:$B,2,0)*VLOOKUP(A195,'[19]geoMap (16)'!$A:$C,3,0)</f>
        <v>#REF!</v>
      </c>
      <c r="S195" s="1" t="e">
        <f>R195/VLOOKUP(A195,'[20]geoMap (17)'!$A:$B,2,0)*VLOOKUP(A195,'[20]geoMap (17)'!$A:$C,3,0)</f>
        <v>#REF!</v>
      </c>
      <c r="T195" s="1" t="e">
        <f>S195/VLOOKUP(A195,'[21]geoMap (18)'!$A:$B,2,0)*VLOOKUP(A195,'[21]geoMap (18)'!$A:$C,3,0)</f>
        <v>#REF!</v>
      </c>
      <c r="U195" s="1" t="e">
        <f>T195/VLOOKUP(A195,'[22]geoMap (19)'!$A:$B,2,0)*VLOOKUP(A195,'[22]geoMap (19)'!$A:$C,3,0)</f>
        <v>#REF!</v>
      </c>
      <c r="V195" s="1" t="e">
        <f>U195/VLOOKUP(A195,'[23]geoMap (20)'!$A:$B,2,0)*VLOOKUP(A195,'[23]geoMap (20)'!$A:$C,3,0)</f>
        <v>#REF!</v>
      </c>
      <c r="W195" s="1" t="e">
        <f>V195/VLOOKUP(A195,'[24]geoMap (21)'!$A:$B,2,0)*VLOOKUP(A195,'[24]geoMap (21)'!$A:$C,3,0)</f>
        <v>#REF!</v>
      </c>
      <c r="X195" s="1" t="e">
        <f>W195/VLOOKUP(A195,'[25]geoMap (22)'!$A:$B,2,0)*VLOOKUP(A195,'[25]geoMap (22)'!$A:$C,3,0)</f>
        <v>#REF!</v>
      </c>
      <c r="Y195" s="1" t="e">
        <f>X195/VLOOKUP(A195,'[26]geoMap (23)'!$A:$B,2,0)*VLOOKUP(A195,'[26]geoMap (23)'!$A:$C,3,0)</f>
        <v>#REF!</v>
      </c>
      <c r="Z195" s="1" t="e">
        <f>Y195/VLOOKUP(A195,'[27]geoMap (24)'!$A:$B,2,0)*VLOOKUP(A195,'[27]geoMap (24)'!$A:$C,3,0)</f>
        <v>#REF!</v>
      </c>
      <c r="AA195" s="1" t="e">
        <f>Z195/VLOOKUP(A195,'[28]geoMap (25)'!$A:$B,2,0)*VLOOKUP(A195,'[28]geoMap (25)'!$A:$C,3,0)</f>
        <v>#REF!</v>
      </c>
      <c r="AB195" s="1" t="e">
        <f>AA195*VLOOKUP(A195,'[29]geoMap (26)'!$A:$B,2,0)*VLOOKUP(A195,'[29]geoMap (26)'!$A:$C,3,0)</f>
        <v>#REF!</v>
      </c>
      <c r="AC195" s="1" t="e">
        <f>AB195/VLOOKUP(A195,'[30]geoMap (27)'!$A:$B,2,0)*VLOOKUP(A195,'[30]geoMap (27)'!$A:$C,3,0)</f>
        <v>#REF!</v>
      </c>
      <c r="AD195" s="1" t="e">
        <f>AC195/VLOOKUP(A195,'[31]geoMap (28)'!$A:$B,2,0)*VLOOKUP(A195,'[31]geoMap (28)'!$A:$C,3,0)</f>
        <v>#REF!</v>
      </c>
      <c r="AE195" s="1" t="e">
        <f>AD195/VLOOKUP(A195,'[32]geoMap (29)'!$A:$B,2,0)*VLOOKUP(A195,'[32]geoMap (29)'!$A:$C,3,0)</f>
        <v>#REF!</v>
      </c>
      <c r="AF195" s="1" t="e">
        <f>AE195/VLOOKUP(A195,'[33]geoMap (30)'!$A:$B,2,0)*VLOOKUP(A195,'[33]geoMap (30)'!$A:$C,3,0)</f>
        <v>#REF!</v>
      </c>
      <c r="AG195" s="1" t="e">
        <f>AF195/VLOOKUP(A195,'[34]geoMap (31)'!$A:$B,2,0)*VLOOKUP(A195,'[34]geoMap (31)'!$A:$C,3,0)</f>
        <v>#REF!</v>
      </c>
      <c r="AH195" s="1" t="e">
        <f>AG195/VLOOKUP(A195,'[35]geoMap (32)'!$A:$B,2,0)*VLOOKUP(A195,'[35]geoMap (32)'!$A:$C,3,0)</f>
        <v>#REF!</v>
      </c>
      <c r="AI195" s="1" t="e">
        <f>AH195/VLOOKUP(A195,'[36]geoMap (33)'!$A:$B,2,0)*VLOOKUP(A195,'[36]geoMap (33)'!$A:$C,3,0)</f>
        <v>#REF!</v>
      </c>
      <c r="AJ195" s="1" t="e">
        <f>AI195/VLOOKUP(A195,'[37]geoMap (34)'!$A:$B,2,0)*VLOOKUP(A195,'[37]geoMap (34)'!$A:$C,3,0)</f>
        <v>#REF!</v>
      </c>
      <c r="AK195" s="1" t="e">
        <f>AJ195/VLOOKUP(A195,'[38]geoMap (35)'!$A:$B,2,0)*VLOOKUP(A195,'[38]geoMap (35)'!$A:$C,3,0)</f>
        <v>#REF!</v>
      </c>
      <c r="AL195" s="1" t="e">
        <f>AK195/VLOOKUP(A195,'[39]geoMap (36)'!$A:$B,2,0)*VLOOKUP(A195,'[39]geoMap (36)'!$A:$C,3,0)</f>
        <v>#REF!</v>
      </c>
      <c r="AM195" s="1" t="e">
        <f>AL195/VLOOKUP(A195,'[40]geoMap (37)'!$A:$B,2,0)*VLOOKUP(A195,'[40]geoMap (37)'!$A:$C,3,0)</f>
        <v>#REF!</v>
      </c>
      <c r="AN195" s="1" t="e">
        <f>AM195/VLOOKUP(A195,'[41]geoMap (38)'!$A:$B,2,0)*VLOOKUP(A195,'[41]geoMap (38)'!$A:$C,3,0)</f>
        <v>#REF!</v>
      </c>
      <c r="AO195" s="1" t="e">
        <f>AN195/VLOOKUP(A195,'[42]geoMap (39)'!$A:$B,2,0)*VLOOKUP(A195,'[42]geoMap (39)'!$A:$C,3,0)</f>
        <v>#REF!</v>
      </c>
      <c r="AP195" s="1" t="e">
        <f>AO195/VLOOKUP(A195,'[43]geoMap (40)'!$A:$B,2,0)*VLOOKUP(A195,'[43]geoMap (40)'!$A:$C,3,0)</f>
        <v>#REF!</v>
      </c>
      <c r="AQ195" s="1" t="e">
        <f>AP195/VLOOKUP(A195,'[44]geoMap (41)'!$A:$B,2,0)*VLOOKUP(A195,'[44]geoMap (41)'!$A:$C,3,0)</f>
        <v>#REF!</v>
      </c>
      <c r="AR195" s="1" t="e">
        <f>AQ195/VLOOKUP(A195,'[45]geoMap (42)'!$A:$B,2,0)*VLOOKUP(A195,'[45]geoMap (42)'!$A:$C,3,0)</f>
        <v>#REF!</v>
      </c>
      <c r="AS195" s="1" t="e">
        <f>AR195/VLOOKUP(A195,'[46]geoMap (43)'!$A:$B,2,0)*VLOOKUP(A195,'[46]geoMap (43)'!$A:$C,3,0)</f>
        <v>#REF!</v>
      </c>
      <c r="AT195" s="1" t="e">
        <f>AS195/VLOOKUP(A195,'[47]geoMap (44)'!$A:$B,2,0)*VLOOKUP(A195,'[47]geoMap (44)'!$A:$C,3,0)</f>
        <v>#REF!</v>
      </c>
      <c r="AU195" s="1" t="e">
        <f>AT195/VLOOKUP(A195,'[48]geoMap (45)'!$A:$B,2,0)*VLOOKUP(A195,'[48]geoMap (45)'!$A:$C,3,0)</f>
        <v>#REF!</v>
      </c>
      <c r="AV195" s="1" t="e">
        <f>AU195/VLOOKUP(A195,'[49]geoMap (46)'!$A:$B,2,0)*VLOOKUP(A195,'[49]geoMap (46)'!$A:$C,3,0)</f>
        <v>#REF!</v>
      </c>
      <c r="AW195" s="1" t="e">
        <f>AV195/VLOOKUP(A195,'[50]geoMap (47)'!$A:$B,2,0)*VLOOKUP(A195,'[50]geoMap (47)'!$A:$C,3,0)</f>
        <v>#REF!</v>
      </c>
      <c r="AX195" s="1" t="e">
        <f>AW195/VLOOKUP(A195,'[51]geoMap (48)'!$A:$B,2,0)*VLOOKUP(A195,'[51]geoMap (48)'!$A:$C,3,0)</f>
        <v>#REF!</v>
      </c>
      <c r="AY195" s="1" t="e">
        <f>AX195/VLOOKUP(A195,'[52]geoMap (49)'!$A:$B,2,0)*VLOOKUP(A195,'[52]geoMap (49)'!$A:$C,3,0)</f>
        <v>#REF!</v>
      </c>
      <c r="AZ195" s="1" t="e">
        <f>AY195/VLOOKUP(A195,'[53]geoMap (50)'!$A:$B,2,0)*VLOOKUP(A195,'[53]geoMap (50)'!$A:$C,3,0)</f>
        <v>#REF!</v>
      </c>
      <c r="BA195" s="1" t="e">
        <f>AZ195/VLOOKUP(A195,'[54]geoMap (51)'!$A:$B,2,0)*VLOOKUP(A195,'[54]geoMap (51)'!$A:$C,3,0)</f>
        <v>#REF!</v>
      </c>
      <c r="BB195" s="1" t="e">
        <f>BA195/VLOOKUP(A195,'[55]geoMap (52)'!$A:$B,2,0)*VLOOKUP(A195,'[55]geoMap (52)'!$A:$C,3,0)</f>
        <v>#REF!</v>
      </c>
      <c r="BC195" s="1" t="e">
        <f>BB195/VLOOKUP(A195,'[56]geoMap (53)'!$A:$B,2,0)*VLOOKUP(A195,'[56]geoMap (53)'!$A:$C,3,0)</f>
        <v>#REF!</v>
      </c>
      <c r="BD195" s="1" t="e">
        <f>BC195/VLOOKUP(A195,'[57]geoMap (54)'!$A:$B,2,0)*VLOOKUP(A195,'[57]geoMap (54)'!$A:$C,3,0)</f>
        <v>#REF!</v>
      </c>
      <c r="BE195" s="1" t="e">
        <f>BD195/VLOOKUP(A195,'[58]geoMap (55)'!$A:$B,2,0)*VLOOKUP(A195,'[58]geoMap (55)'!$A:$C,3,0)</f>
        <v>#REF!</v>
      </c>
      <c r="BF195" s="1" t="e">
        <f>BE195/VLOOKUP(A195,'[59]geoMap (56)'!$A:$B,2,0)*VLOOKUP(A195,'[59]geoMap (56)'!$A:$C,3,0)</f>
        <v>#REF!</v>
      </c>
      <c r="BG195" s="1" t="e">
        <f>BF195/VLOOKUP(A195,'[60]geoMap (57)'!$A:$B,2,0)*VLOOKUP(A195,'[60]geoMap (57)'!$A:$C,3,0)</f>
        <v>#REF!</v>
      </c>
      <c r="BH195" s="1" t="e">
        <f>BG195/VLOOKUP(A195,'[61]geoMap (58)'!$A:$B,2,0)*VLOOKUP(A195,'[61]geoMap (58)'!$A:$C,3,0)</f>
        <v>#REF!</v>
      </c>
      <c r="BI195" s="1" t="e">
        <f>BH195/VLOOKUP(A195,'[62]geoMap (59)'!$A:$B,2,0)*VLOOKUP(A195,'[62]geoMap (59)'!$A:$C,3,0)</f>
        <v>#REF!</v>
      </c>
      <c r="BJ195" s="1" t="e">
        <f>BI195/VLOOKUP(A195,'[63]geoMap (60)'!$A:$B,2,0)*VLOOKUP(A195,'[63]geoMap (60)'!$A:$C,3,0)</f>
        <v>#REF!</v>
      </c>
      <c r="BK195" s="1" t="e">
        <f>BJ195/VLOOKUP(A195,'[64]geoMap (61)'!$A:$B,2,0)*VLOOKUP(A195,'[64]geoMap (61)'!$A:$C,3,0)</f>
        <v>#REF!</v>
      </c>
      <c r="BL195" s="1" t="e">
        <f>BK195/VLOOKUP(A195,'[65]geoMap (62)'!$A:$B,2,0)*VLOOKUP(A195,'[65]geoMap (62)'!$A:$C,3,0)</f>
        <v>#REF!</v>
      </c>
      <c r="BM195" s="1" t="e">
        <f>BL195/VLOOKUP(A195,'[66]geoMap (63)'!$A:$B,2,0)*VLOOKUP(A195,'[66]geoMap (63)'!$A:$C,3,0)</f>
        <v>#REF!</v>
      </c>
      <c r="BN195" s="1" t="e">
        <f>BM195/VLOOKUP(A195,'[67]geoMap (64)'!$A:$B,2,0)*VLOOKUP(A195,'[67]geoMap (64)'!$A:$C,3,0)</f>
        <v>#REF!</v>
      </c>
      <c r="BO195" s="1" t="e">
        <f>BN195/VLOOKUP(A195,'[68]geoMap (65)'!$A:$B,2,0)*VLOOKUP(A195,'[68]geoMap (65)'!$A:$C,3,0)</f>
        <v>#REF!</v>
      </c>
      <c r="BP195" s="1" t="e">
        <f>BO195/VLOOKUP(A195,'[69]geoMap (66)'!$A:$B,2,0)*VLOOKUP(A195,'[69]geoMap (66)'!$A:$C,3,0)</f>
        <v>#REF!</v>
      </c>
    </row>
    <row r="196" spans="1:68" hidden="1" x14ac:dyDescent="0.2">
      <c r="A196" s="1" t="s">
        <v>198</v>
      </c>
      <c r="B196" s="1" t="e">
        <f>VLOOKUP(A196,[3]geoMap!$A:$B,2,0)*Notes!$C$6</f>
        <v>#REF!</v>
      </c>
      <c r="C196" s="1" t="e">
        <f>B196/VLOOKUP(A196,'[4]geoMap (1)'!$A:$B,2,0)*VLOOKUP(A196,'[4]geoMap (1)'!$A:$C,3,0)</f>
        <v>#REF!</v>
      </c>
      <c r="D196" s="1" t="e">
        <f>C196/VLOOKUP(A196,'[5]geoMap (2)'!$A:$B,2,0)*VLOOKUP(A196,'[5]geoMap (2)'!$A:$C,3,0)</f>
        <v>#REF!</v>
      </c>
      <c r="E196" s="1" t="e">
        <f>D196/VLOOKUP(A196,'[6]geoMap (3)'!$A:$B,2,0)*VLOOKUP(A196,'[6]geoMap (3)'!$A:$C,3,0)</f>
        <v>#REF!</v>
      </c>
      <c r="F196" s="1" t="e">
        <f>E196/VLOOKUP(A196,'[7]geoMap (4)'!$A:$B,2,0)*VLOOKUP(A196,'[7]geoMap (4)'!$A:$C,3,0)</f>
        <v>#REF!</v>
      </c>
      <c r="G196" s="1" t="e">
        <f>F196/VLOOKUP(A196,'[8]geoMap (5)'!$A:$B,2,0)*VLOOKUP(A196,'[8]geoMap (5)'!$A:$C,3,0)</f>
        <v>#REF!</v>
      </c>
      <c r="H196" s="1" t="e">
        <f>G196/VLOOKUP(A196,'[9]geoMap (6)'!$A:$B,2,0)*VLOOKUP(A196,'[9]geoMap (6)'!$A:$C,3,0)</f>
        <v>#REF!</v>
      </c>
      <c r="I196" s="1" t="e">
        <f>H196/VLOOKUP(A196,'[10]geoMap (7)'!$A:$B,2,0)*VLOOKUP(A196,'[10]geoMap (7)'!$A:$C,3,0)</f>
        <v>#REF!</v>
      </c>
      <c r="J196" s="1" t="e">
        <f>I196/VLOOKUP(A196,'[11]geoMap (8)'!$A:$B,2,0)*VLOOKUP(A196,'[11]geoMap (8)'!$A:$C,3,0)</f>
        <v>#REF!</v>
      </c>
      <c r="K196" s="1" t="e">
        <f>J196/VLOOKUP(A196,'[12]geoMap (9)'!$A:$B,2,0)*VLOOKUP(A196,'[12]geoMap (9)'!$A:$C,3,0)</f>
        <v>#REF!</v>
      </c>
      <c r="L196" s="1" t="e">
        <f>K196/VLOOKUP(A196,'[13]geoMap (10)'!$A:$B,2,0)*VLOOKUP(A196,'[13]geoMap (10)'!$A:$C,3,0)</f>
        <v>#REF!</v>
      </c>
      <c r="M196" s="1" t="e">
        <f>L196/VLOOKUP(A196,'[14]geoMap (11)'!$A:$B,2,0)*VLOOKUP(A196,'[14]geoMap (11)'!$A:$C,3,0)</f>
        <v>#REF!</v>
      </c>
      <c r="N196" s="1" t="e">
        <f>M196/VLOOKUP(A196,'[15]geoMap (12)'!$A:$B,2,0)*VLOOKUP(A196,'[15]geoMap (12)'!$A:$C,3,0)</f>
        <v>#REF!</v>
      </c>
      <c r="O196" s="1" t="e">
        <f>N196/VLOOKUP(A196,'[16]geoMap (13)'!$A:$B,2,0)*VLOOKUP(A196,'[16]geoMap (13)'!$A:$C,3,0)</f>
        <v>#REF!</v>
      </c>
      <c r="P196" s="1" t="e">
        <f>O196/VLOOKUP(A196,'[17]geoMap (14)'!$A:$B,2,0)*VLOOKUP(A196,'[17]geoMap (14)'!$A:$C,3,0)</f>
        <v>#REF!</v>
      </c>
      <c r="Q196" s="1" t="e">
        <f>P196/VLOOKUP(A196,'[18]geoMap (15)'!$A:$B,2,0)*VLOOKUP(A196,'[18]geoMap (15)'!$A:$C,3,0)</f>
        <v>#REF!</v>
      </c>
      <c r="R196" s="1" t="e">
        <f>Q196/VLOOKUP(A196,'[19]geoMap (16)'!$A:$B,2,0)*VLOOKUP(A196,'[19]geoMap (16)'!$A:$C,3,0)</f>
        <v>#REF!</v>
      </c>
      <c r="S196" s="1" t="e">
        <f>R196/VLOOKUP(A196,'[20]geoMap (17)'!$A:$B,2,0)*VLOOKUP(A196,'[20]geoMap (17)'!$A:$C,3,0)</f>
        <v>#REF!</v>
      </c>
      <c r="T196" s="1" t="e">
        <f>S196/VLOOKUP(A196,'[21]geoMap (18)'!$A:$B,2,0)*VLOOKUP(A196,'[21]geoMap (18)'!$A:$C,3,0)</f>
        <v>#REF!</v>
      </c>
      <c r="U196" s="1" t="e">
        <f>T196/VLOOKUP(A196,'[22]geoMap (19)'!$A:$B,2,0)*VLOOKUP(A196,'[22]geoMap (19)'!$A:$C,3,0)</f>
        <v>#REF!</v>
      </c>
      <c r="V196" s="1" t="e">
        <f>U196/VLOOKUP(A196,'[23]geoMap (20)'!$A:$B,2,0)*VLOOKUP(A196,'[23]geoMap (20)'!$A:$C,3,0)</f>
        <v>#REF!</v>
      </c>
      <c r="W196" s="1" t="e">
        <f>V196/VLOOKUP(A196,'[24]geoMap (21)'!$A:$B,2,0)*VLOOKUP(A196,'[24]geoMap (21)'!$A:$C,3,0)</f>
        <v>#REF!</v>
      </c>
      <c r="X196" s="1" t="e">
        <f>W196/VLOOKUP(A196,'[25]geoMap (22)'!$A:$B,2,0)*VLOOKUP(A196,'[25]geoMap (22)'!$A:$C,3,0)</f>
        <v>#REF!</v>
      </c>
      <c r="Y196" s="1" t="e">
        <f>X196/VLOOKUP(A196,'[26]geoMap (23)'!$A:$B,2,0)*VLOOKUP(A196,'[26]geoMap (23)'!$A:$C,3,0)</f>
        <v>#REF!</v>
      </c>
      <c r="Z196" s="1" t="e">
        <f>Y196/VLOOKUP(A196,'[27]geoMap (24)'!$A:$B,2,0)*VLOOKUP(A196,'[27]geoMap (24)'!$A:$C,3,0)</f>
        <v>#REF!</v>
      </c>
      <c r="AA196" s="1" t="e">
        <f>Z196/VLOOKUP(A196,'[28]geoMap (25)'!$A:$B,2,0)*VLOOKUP(A196,'[28]geoMap (25)'!$A:$C,3,0)</f>
        <v>#REF!</v>
      </c>
      <c r="AB196" s="1" t="e">
        <f>AA196*VLOOKUP(A196,'[29]geoMap (26)'!$A:$B,2,0)*VLOOKUP(A196,'[29]geoMap (26)'!$A:$C,3,0)</f>
        <v>#REF!</v>
      </c>
      <c r="AC196" s="1" t="e">
        <f>AB196/VLOOKUP(A196,'[30]geoMap (27)'!$A:$B,2,0)*VLOOKUP(A196,'[30]geoMap (27)'!$A:$C,3,0)</f>
        <v>#REF!</v>
      </c>
      <c r="AD196" s="1" t="e">
        <f>AC196/VLOOKUP(A196,'[31]geoMap (28)'!$A:$B,2,0)*VLOOKUP(A196,'[31]geoMap (28)'!$A:$C,3,0)</f>
        <v>#REF!</v>
      </c>
      <c r="AE196" s="1" t="e">
        <f>AD196/VLOOKUP(A196,'[32]geoMap (29)'!$A:$B,2,0)*VLOOKUP(A196,'[32]geoMap (29)'!$A:$C,3,0)</f>
        <v>#REF!</v>
      </c>
      <c r="AF196" s="1" t="e">
        <f>AE196/VLOOKUP(A196,'[33]geoMap (30)'!$A:$B,2,0)*VLOOKUP(A196,'[33]geoMap (30)'!$A:$C,3,0)</f>
        <v>#REF!</v>
      </c>
      <c r="AG196" s="1" t="e">
        <f>AF196/VLOOKUP(A196,'[34]geoMap (31)'!$A:$B,2,0)*VLOOKUP(A196,'[34]geoMap (31)'!$A:$C,3,0)</f>
        <v>#REF!</v>
      </c>
      <c r="AH196" s="1" t="e">
        <f>AG196/VLOOKUP(A196,'[35]geoMap (32)'!$A:$B,2,0)*VLOOKUP(A196,'[35]geoMap (32)'!$A:$C,3,0)</f>
        <v>#REF!</v>
      </c>
      <c r="AI196" s="1" t="e">
        <f>AH196/VLOOKUP(A196,'[36]geoMap (33)'!$A:$B,2,0)*VLOOKUP(A196,'[36]geoMap (33)'!$A:$C,3,0)</f>
        <v>#REF!</v>
      </c>
      <c r="AJ196" s="1" t="e">
        <f>AI196/VLOOKUP(A196,'[37]geoMap (34)'!$A:$B,2,0)*VLOOKUP(A196,'[37]geoMap (34)'!$A:$C,3,0)</f>
        <v>#REF!</v>
      </c>
      <c r="AK196" s="1" t="e">
        <f>AJ196/VLOOKUP(A196,'[38]geoMap (35)'!$A:$B,2,0)*VLOOKUP(A196,'[38]geoMap (35)'!$A:$C,3,0)</f>
        <v>#REF!</v>
      </c>
      <c r="AL196" s="1" t="e">
        <f>AK196/VLOOKUP(A196,'[39]geoMap (36)'!$A:$B,2,0)*VLOOKUP(A196,'[39]geoMap (36)'!$A:$C,3,0)</f>
        <v>#REF!</v>
      </c>
      <c r="AM196" s="1" t="e">
        <f>AL196/VLOOKUP(A196,'[40]geoMap (37)'!$A:$B,2,0)*VLOOKUP(A196,'[40]geoMap (37)'!$A:$C,3,0)</f>
        <v>#REF!</v>
      </c>
      <c r="AN196" s="1" t="e">
        <f>AM196/VLOOKUP(A196,'[41]geoMap (38)'!$A:$B,2,0)*VLOOKUP(A196,'[41]geoMap (38)'!$A:$C,3,0)</f>
        <v>#REF!</v>
      </c>
      <c r="AO196" s="1" t="e">
        <f>AN196/VLOOKUP(A196,'[42]geoMap (39)'!$A:$B,2,0)*VLOOKUP(A196,'[42]geoMap (39)'!$A:$C,3,0)</f>
        <v>#REF!</v>
      </c>
      <c r="AP196" s="1" t="e">
        <f>AO196/VLOOKUP(A196,'[43]geoMap (40)'!$A:$B,2,0)*VLOOKUP(A196,'[43]geoMap (40)'!$A:$C,3,0)</f>
        <v>#REF!</v>
      </c>
      <c r="AQ196" s="1" t="e">
        <f>AP196/VLOOKUP(A196,'[44]geoMap (41)'!$A:$B,2,0)*VLOOKUP(A196,'[44]geoMap (41)'!$A:$C,3,0)</f>
        <v>#REF!</v>
      </c>
      <c r="AR196" s="1" t="e">
        <f>AQ196/VLOOKUP(A196,'[45]geoMap (42)'!$A:$B,2,0)*VLOOKUP(A196,'[45]geoMap (42)'!$A:$C,3,0)</f>
        <v>#REF!</v>
      </c>
      <c r="AS196" s="1" t="e">
        <f>AR196/VLOOKUP(A196,'[46]geoMap (43)'!$A:$B,2,0)*VLOOKUP(A196,'[46]geoMap (43)'!$A:$C,3,0)</f>
        <v>#REF!</v>
      </c>
      <c r="AT196" s="1" t="e">
        <f>AS196/VLOOKUP(A196,'[47]geoMap (44)'!$A:$B,2,0)*VLOOKUP(A196,'[47]geoMap (44)'!$A:$C,3,0)</f>
        <v>#REF!</v>
      </c>
      <c r="AU196" s="1" t="e">
        <f>AT196/VLOOKUP(A196,'[48]geoMap (45)'!$A:$B,2,0)*VLOOKUP(A196,'[48]geoMap (45)'!$A:$C,3,0)</f>
        <v>#REF!</v>
      </c>
      <c r="AV196" s="1" t="e">
        <f>AU196/VLOOKUP(A196,'[49]geoMap (46)'!$A:$B,2,0)*VLOOKUP(A196,'[49]geoMap (46)'!$A:$C,3,0)</f>
        <v>#REF!</v>
      </c>
      <c r="AW196" s="1" t="e">
        <f>AV196/VLOOKUP(A196,'[50]geoMap (47)'!$A:$B,2,0)*VLOOKUP(A196,'[50]geoMap (47)'!$A:$C,3,0)</f>
        <v>#REF!</v>
      </c>
      <c r="AX196" s="1" t="e">
        <f>AW196/VLOOKUP(A196,'[51]geoMap (48)'!$A:$B,2,0)*VLOOKUP(A196,'[51]geoMap (48)'!$A:$C,3,0)</f>
        <v>#REF!</v>
      </c>
      <c r="AY196" s="1" t="e">
        <f>AX196/VLOOKUP(A196,'[52]geoMap (49)'!$A:$B,2,0)*VLOOKUP(A196,'[52]geoMap (49)'!$A:$C,3,0)</f>
        <v>#REF!</v>
      </c>
      <c r="AZ196" s="1" t="e">
        <f>AY196/VLOOKUP(A196,'[53]geoMap (50)'!$A:$B,2,0)*VLOOKUP(A196,'[53]geoMap (50)'!$A:$C,3,0)</f>
        <v>#REF!</v>
      </c>
      <c r="BA196" s="1" t="e">
        <f>AZ196/VLOOKUP(A196,'[54]geoMap (51)'!$A:$B,2,0)*VLOOKUP(A196,'[54]geoMap (51)'!$A:$C,3,0)</f>
        <v>#REF!</v>
      </c>
      <c r="BB196" s="1" t="e">
        <f>BA196/VLOOKUP(A196,'[55]geoMap (52)'!$A:$B,2,0)*VLOOKUP(A196,'[55]geoMap (52)'!$A:$C,3,0)</f>
        <v>#REF!</v>
      </c>
      <c r="BC196" s="1" t="e">
        <f>BB196/VLOOKUP(A196,'[56]geoMap (53)'!$A:$B,2,0)*VLOOKUP(A196,'[56]geoMap (53)'!$A:$C,3,0)</f>
        <v>#REF!</v>
      </c>
      <c r="BD196" s="1" t="e">
        <f>BC196/VLOOKUP(A196,'[57]geoMap (54)'!$A:$B,2,0)*VLOOKUP(A196,'[57]geoMap (54)'!$A:$C,3,0)</f>
        <v>#REF!</v>
      </c>
      <c r="BE196" s="1" t="e">
        <f>BD196/VLOOKUP(A196,'[58]geoMap (55)'!$A:$B,2,0)*VLOOKUP(A196,'[58]geoMap (55)'!$A:$C,3,0)</f>
        <v>#REF!</v>
      </c>
      <c r="BF196" s="1" t="e">
        <f>BE196/VLOOKUP(A196,'[59]geoMap (56)'!$A:$B,2,0)*VLOOKUP(A196,'[59]geoMap (56)'!$A:$C,3,0)</f>
        <v>#REF!</v>
      </c>
      <c r="BG196" s="1" t="e">
        <f>BF196/VLOOKUP(A196,'[60]geoMap (57)'!$A:$B,2,0)*VLOOKUP(A196,'[60]geoMap (57)'!$A:$C,3,0)</f>
        <v>#REF!</v>
      </c>
      <c r="BH196" s="1" t="e">
        <f>BG196/VLOOKUP(A196,'[61]geoMap (58)'!$A:$B,2,0)*VLOOKUP(A196,'[61]geoMap (58)'!$A:$C,3,0)</f>
        <v>#REF!</v>
      </c>
      <c r="BI196" s="1" t="e">
        <f>BH196/VLOOKUP(A196,'[62]geoMap (59)'!$A:$B,2,0)*VLOOKUP(A196,'[62]geoMap (59)'!$A:$C,3,0)</f>
        <v>#REF!</v>
      </c>
      <c r="BJ196" s="1" t="e">
        <f>BI196/VLOOKUP(A196,'[63]geoMap (60)'!$A:$B,2,0)*VLOOKUP(A196,'[63]geoMap (60)'!$A:$C,3,0)</f>
        <v>#REF!</v>
      </c>
      <c r="BK196" s="1" t="e">
        <f>BJ196/VLOOKUP(A196,'[64]geoMap (61)'!$A:$B,2,0)*VLOOKUP(A196,'[64]geoMap (61)'!$A:$C,3,0)</f>
        <v>#REF!</v>
      </c>
      <c r="BL196" s="1" t="e">
        <f>BK196/VLOOKUP(A196,'[65]geoMap (62)'!$A:$B,2,0)*VLOOKUP(A196,'[65]geoMap (62)'!$A:$C,3,0)</f>
        <v>#REF!</v>
      </c>
      <c r="BM196" s="1" t="e">
        <f>BL196/VLOOKUP(A196,'[66]geoMap (63)'!$A:$B,2,0)*VLOOKUP(A196,'[66]geoMap (63)'!$A:$C,3,0)</f>
        <v>#REF!</v>
      </c>
      <c r="BN196" s="1" t="e">
        <f>BM196/VLOOKUP(A196,'[67]geoMap (64)'!$A:$B,2,0)*VLOOKUP(A196,'[67]geoMap (64)'!$A:$C,3,0)</f>
        <v>#REF!</v>
      </c>
      <c r="BO196" s="1" t="e">
        <f>BN196/VLOOKUP(A196,'[68]geoMap (65)'!$A:$B,2,0)*VLOOKUP(A196,'[68]geoMap (65)'!$A:$C,3,0)</f>
        <v>#REF!</v>
      </c>
      <c r="BP196" s="1" t="e">
        <f>BO196/VLOOKUP(A196,'[69]geoMap (66)'!$A:$B,2,0)*VLOOKUP(A196,'[69]geoMap (66)'!$A:$C,3,0)</f>
        <v>#REF!</v>
      </c>
    </row>
    <row r="197" spans="1:68" hidden="1" x14ac:dyDescent="0.2">
      <c r="A197" s="1" t="s">
        <v>199</v>
      </c>
      <c r="B197" s="1" t="e">
        <f>VLOOKUP(A197,[3]geoMap!$A:$B,2,0)*Notes!$C$6</f>
        <v>#REF!</v>
      </c>
      <c r="C197" s="1" t="e">
        <f>B197/VLOOKUP(A197,'[4]geoMap (1)'!$A:$B,2,0)*VLOOKUP(A197,'[4]geoMap (1)'!$A:$C,3,0)</f>
        <v>#REF!</v>
      </c>
      <c r="D197" s="1" t="e">
        <f>C197/VLOOKUP(A197,'[5]geoMap (2)'!$A:$B,2,0)*VLOOKUP(A197,'[5]geoMap (2)'!$A:$C,3,0)</f>
        <v>#REF!</v>
      </c>
      <c r="E197" s="1" t="e">
        <f>D197/VLOOKUP(A197,'[6]geoMap (3)'!$A:$B,2,0)*VLOOKUP(A197,'[6]geoMap (3)'!$A:$C,3,0)</f>
        <v>#REF!</v>
      </c>
      <c r="F197" s="1" t="e">
        <f>E197/VLOOKUP(A197,'[7]geoMap (4)'!$A:$B,2,0)*VLOOKUP(A197,'[7]geoMap (4)'!$A:$C,3,0)</f>
        <v>#REF!</v>
      </c>
      <c r="G197" s="1" t="e">
        <f>F197/VLOOKUP(A197,'[8]geoMap (5)'!$A:$B,2,0)*VLOOKUP(A197,'[8]geoMap (5)'!$A:$C,3,0)</f>
        <v>#REF!</v>
      </c>
      <c r="H197" s="1" t="e">
        <f>G197/VLOOKUP(A197,'[9]geoMap (6)'!$A:$B,2,0)*VLOOKUP(A197,'[9]geoMap (6)'!$A:$C,3,0)</f>
        <v>#REF!</v>
      </c>
      <c r="I197" s="1" t="e">
        <f>H197/VLOOKUP(A197,'[10]geoMap (7)'!$A:$B,2,0)*VLOOKUP(A197,'[10]geoMap (7)'!$A:$C,3,0)</f>
        <v>#REF!</v>
      </c>
      <c r="J197" s="1" t="e">
        <f>I197/VLOOKUP(A197,'[11]geoMap (8)'!$A:$B,2,0)*VLOOKUP(A197,'[11]geoMap (8)'!$A:$C,3,0)</f>
        <v>#REF!</v>
      </c>
      <c r="K197" s="1" t="e">
        <f>J197/VLOOKUP(A197,'[12]geoMap (9)'!$A:$B,2,0)*VLOOKUP(A197,'[12]geoMap (9)'!$A:$C,3,0)</f>
        <v>#REF!</v>
      </c>
      <c r="L197" s="1" t="e">
        <f>K197/VLOOKUP(A197,'[13]geoMap (10)'!$A:$B,2,0)*VLOOKUP(A197,'[13]geoMap (10)'!$A:$C,3,0)</f>
        <v>#REF!</v>
      </c>
      <c r="M197" s="1" t="e">
        <f>L197/VLOOKUP(A197,'[14]geoMap (11)'!$A:$B,2,0)*VLOOKUP(A197,'[14]geoMap (11)'!$A:$C,3,0)</f>
        <v>#REF!</v>
      </c>
      <c r="N197" s="1" t="e">
        <f>M197/VLOOKUP(A197,'[15]geoMap (12)'!$A:$B,2,0)*VLOOKUP(A197,'[15]geoMap (12)'!$A:$C,3,0)</f>
        <v>#REF!</v>
      </c>
      <c r="O197" s="1" t="e">
        <f>N197/VLOOKUP(A197,'[16]geoMap (13)'!$A:$B,2,0)*VLOOKUP(A197,'[16]geoMap (13)'!$A:$C,3,0)</f>
        <v>#REF!</v>
      </c>
      <c r="P197" s="1" t="e">
        <f>O197/VLOOKUP(A197,'[17]geoMap (14)'!$A:$B,2,0)*VLOOKUP(A197,'[17]geoMap (14)'!$A:$C,3,0)</f>
        <v>#REF!</v>
      </c>
      <c r="Q197" s="1" t="e">
        <f>P197/VLOOKUP(A197,'[18]geoMap (15)'!$A:$B,2,0)*VLOOKUP(A197,'[18]geoMap (15)'!$A:$C,3,0)</f>
        <v>#REF!</v>
      </c>
      <c r="R197" s="1" t="e">
        <f>Q197/VLOOKUP(A197,'[19]geoMap (16)'!$A:$B,2,0)*VLOOKUP(A197,'[19]geoMap (16)'!$A:$C,3,0)</f>
        <v>#REF!</v>
      </c>
      <c r="S197" s="1" t="e">
        <f>R197/VLOOKUP(A197,'[20]geoMap (17)'!$A:$B,2,0)*VLOOKUP(A197,'[20]geoMap (17)'!$A:$C,3,0)</f>
        <v>#REF!</v>
      </c>
      <c r="T197" s="1" t="e">
        <f>S197/VLOOKUP(A197,'[21]geoMap (18)'!$A:$B,2,0)*VLOOKUP(A197,'[21]geoMap (18)'!$A:$C,3,0)</f>
        <v>#REF!</v>
      </c>
      <c r="U197" s="1" t="e">
        <f>T197/VLOOKUP(A197,'[22]geoMap (19)'!$A:$B,2,0)*VLOOKUP(A197,'[22]geoMap (19)'!$A:$C,3,0)</f>
        <v>#REF!</v>
      </c>
      <c r="V197" s="1" t="e">
        <f>U197/VLOOKUP(A197,'[23]geoMap (20)'!$A:$B,2,0)*VLOOKUP(A197,'[23]geoMap (20)'!$A:$C,3,0)</f>
        <v>#REF!</v>
      </c>
      <c r="W197" s="1" t="e">
        <f>V197/VLOOKUP(A197,'[24]geoMap (21)'!$A:$B,2,0)*VLOOKUP(A197,'[24]geoMap (21)'!$A:$C,3,0)</f>
        <v>#REF!</v>
      </c>
      <c r="X197" s="1" t="e">
        <f>W197/VLOOKUP(A197,'[25]geoMap (22)'!$A:$B,2,0)*VLOOKUP(A197,'[25]geoMap (22)'!$A:$C,3,0)</f>
        <v>#REF!</v>
      </c>
      <c r="Y197" s="1" t="e">
        <f>X197/VLOOKUP(A197,'[26]geoMap (23)'!$A:$B,2,0)*VLOOKUP(A197,'[26]geoMap (23)'!$A:$C,3,0)</f>
        <v>#REF!</v>
      </c>
      <c r="Z197" s="1" t="e">
        <f>Y197/VLOOKUP(A197,'[27]geoMap (24)'!$A:$B,2,0)*VLOOKUP(A197,'[27]geoMap (24)'!$A:$C,3,0)</f>
        <v>#REF!</v>
      </c>
      <c r="AA197" s="1" t="e">
        <f>Z197/VLOOKUP(A197,'[28]geoMap (25)'!$A:$B,2,0)*VLOOKUP(A197,'[28]geoMap (25)'!$A:$C,3,0)</f>
        <v>#REF!</v>
      </c>
      <c r="AB197" s="1" t="e">
        <f>AA197*VLOOKUP(A197,'[29]geoMap (26)'!$A:$B,2,0)*VLOOKUP(A197,'[29]geoMap (26)'!$A:$C,3,0)</f>
        <v>#REF!</v>
      </c>
      <c r="AC197" s="1" t="e">
        <f>AB197/VLOOKUP(A197,'[30]geoMap (27)'!$A:$B,2,0)*VLOOKUP(A197,'[30]geoMap (27)'!$A:$C,3,0)</f>
        <v>#REF!</v>
      </c>
      <c r="AD197" s="1" t="e">
        <f>AC197/VLOOKUP(A197,'[31]geoMap (28)'!$A:$B,2,0)*VLOOKUP(A197,'[31]geoMap (28)'!$A:$C,3,0)</f>
        <v>#REF!</v>
      </c>
      <c r="AE197" s="1" t="e">
        <f>AD197/VLOOKUP(A197,'[32]geoMap (29)'!$A:$B,2,0)*VLOOKUP(A197,'[32]geoMap (29)'!$A:$C,3,0)</f>
        <v>#REF!</v>
      </c>
      <c r="AF197" s="1" t="e">
        <f>AE197/VLOOKUP(A197,'[33]geoMap (30)'!$A:$B,2,0)*VLOOKUP(A197,'[33]geoMap (30)'!$A:$C,3,0)</f>
        <v>#REF!</v>
      </c>
      <c r="AG197" s="1" t="e">
        <f>AF197/VLOOKUP(A197,'[34]geoMap (31)'!$A:$B,2,0)*VLOOKUP(A197,'[34]geoMap (31)'!$A:$C,3,0)</f>
        <v>#REF!</v>
      </c>
      <c r="AH197" s="1" t="e">
        <f>AG197/VLOOKUP(A197,'[35]geoMap (32)'!$A:$B,2,0)*VLOOKUP(A197,'[35]geoMap (32)'!$A:$C,3,0)</f>
        <v>#REF!</v>
      </c>
      <c r="AI197" s="1" t="e">
        <f>AH197/VLOOKUP(A197,'[36]geoMap (33)'!$A:$B,2,0)*VLOOKUP(A197,'[36]geoMap (33)'!$A:$C,3,0)</f>
        <v>#REF!</v>
      </c>
      <c r="AJ197" s="1" t="e">
        <f>AI197/VLOOKUP(A197,'[37]geoMap (34)'!$A:$B,2,0)*VLOOKUP(A197,'[37]geoMap (34)'!$A:$C,3,0)</f>
        <v>#REF!</v>
      </c>
      <c r="AK197" s="1" t="e">
        <f>AJ197/VLOOKUP(A197,'[38]geoMap (35)'!$A:$B,2,0)*VLOOKUP(A197,'[38]geoMap (35)'!$A:$C,3,0)</f>
        <v>#REF!</v>
      </c>
      <c r="AL197" s="1" t="e">
        <f>AK197/VLOOKUP(A197,'[39]geoMap (36)'!$A:$B,2,0)*VLOOKUP(A197,'[39]geoMap (36)'!$A:$C,3,0)</f>
        <v>#REF!</v>
      </c>
      <c r="AM197" s="1" t="e">
        <f>AL197/VLOOKUP(A197,'[40]geoMap (37)'!$A:$B,2,0)*VLOOKUP(A197,'[40]geoMap (37)'!$A:$C,3,0)</f>
        <v>#REF!</v>
      </c>
      <c r="AN197" s="1" t="e">
        <f>AM197/VLOOKUP(A197,'[41]geoMap (38)'!$A:$B,2,0)*VLOOKUP(A197,'[41]geoMap (38)'!$A:$C,3,0)</f>
        <v>#REF!</v>
      </c>
      <c r="AO197" s="1" t="e">
        <f>AN197/VLOOKUP(A197,'[42]geoMap (39)'!$A:$B,2,0)*VLOOKUP(A197,'[42]geoMap (39)'!$A:$C,3,0)</f>
        <v>#REF!</v>
      </c>
      <c r="AP197" s="1" t="e">
        <f>AO197/VLOOKUP(A197,'[43]geoMap (40)'!$A:$B,2,0)*VLOOKUP(A197,'[43]geoMap (40)'!$A:$C,3,0)</f>
        <v>#REF!</v>
      </c>
      <c r="AQ197" s="1" t="e">
        <f>AP197/VLOOKUP(A197,'[44]geoMap (41)'!$A:$B,2,0)*VLOOKUP(A197,'[44]geoMap (41)'!$A:$C,3,0)</f>
        <v>#REF!</v>
      </c>
      <c r="AR197" s="1" t="e">
        <f>AQ197/VLOOKUP(A197,'[45]geoMap (42)'!$A:$B,2,0)*VLOOKUP(A197,'[45]geoMap (42)'!$A:$C,3,0)</f>
        <v>#REF!</v>
      </c>
      <c r="AS197" s="1" t="e">
        <f>AR197/VLOOKUP(A197,'[46]geoMap (43)'!$A:$B,2,0)*VLOOKUP(A197,'[46]geoMap (43)'!$A:$C,3,0)</f>
        <v>#REF!</v>
      </c>
      <c r="AT197" s="1" t="e">
        <f>AS197/VLOOKUP(A197,'[47]geoMap (44)'!$A:$B,2,0)*VLOOKUP(A197,'[47]geoMap (44)'!$A:$C,3,0)</f>
        <v>#REF!</v>
      </c>
      <c r="AU197" s="1" t="e">
        <f>AT197/VLOOKUP(A197,'[48]geoMap (45)'!$A:$B,2,0)*VLOOKUP(A197,'[48]geoMap (45)'!$A:$C,3,0)</f>
        <v>#REF!</v>
      </c>
      <c r="AV197" s="1" t="e">
        <f>AU197/VLOOKUP(A197,'[49]geoMap (46)'!$A:$B,2,0)*VLOOKUP(A197,'[49]geoMap (46)'!$A:$C,3,0)</f>
        <v>#REF!</v>
      </c>
      <c r="AW197" s="1" t="e">
        <f>AV197/VLOOKUP(A197,'[50]geoMap (47)'!$A:$B,2,0)*VLOOKUP(A197,'[50]geoMap (47)'!$A:$C,3,0)</f>
        <v>#REF!</v>
      </c>
      <c r="AX197" s="1" t="e">
        <f>AW197/VLOOKUP(A197,'[51]geoMap (48)'!$A:$B,2,0)*VLOOKUP(A197,'[51]geoMap (48)'!$A:$C,3,0)</f>
        <v>#REF!</v>
      </c>
      <c r="AY197" s="1" t="e">
        <f>AX197/VLOOKUP(A197,'[52]geoMap (49)'!$A:$B,2,0)*VLOOKUP(A197,'[52]geoMap (49)'!$A:$C,3,0)</f>
        <v>#REF!</v>
      </c>
      <c r="AZ197" s="1" t="e">
        <f>AY197/VLOOKUP(A197,'[53]geoMap (50)'!$A:$B,2,0)*VLOOKUP(A197,'[53]geoMap (50)'!$A:$C,3,0)</f>
        <v>#REF!</v>
      </c>
      <c r="BA197" s="1" t="e">
        <f>AZ197/VLOOKUP(A197,'[54]geoMap (51)'!$A:$B,2,0)*VLOOKUP(A197,'[54]geoMap (51)'!$A:$C,3,0)</f>
        <v>#REF!</v>
      </c>
      <c r="BB197" s="1" t="e">
        <f>BA197/VLOOKUP(A197,'[55]geoMap (52)'!$A:$B,2,0)*VLOOKUP(A197,'[55]geoMap (52)'!$A:$C,3,0)</f>
        <v>#REF!</v>
      </c>
      <c r="BC197" s="1" t="e">
        <f>BB197/VLOOKUP(A197,'[56]geoMap (53)'!$A:$B,2,0)*VLOOKUP(A197,'[56]geoMap (53)'!$A:$C,3,0)</f>
        <v>#REF!</v>
      </c>
      <c r="BD197" s="1" t="e">
        <f>BC197/VLOOKUP(A197,'[57]geoMap (54)'!$A:$B,2,0)*VLOOKUP(A197,'[57]geoMap (54)'!$A:$C,3,0)</f>
        <v>#REF!</v>
      </c>
      <c r="BE197" s="1" t="e">
        <f>BD197/VLOOKUP(A197,'[58]geoMap (55)'!$A:$B,2,0)*VLOOKUP(A197,'[58]geoMap (55)'!$A:$C,3,0)</f>
        <v>#REF!</v>
      </c>
      <c r="BF197" s="1" t="e">
        <f>BE197/VLOOKUP(A197,'[59]geoMap (56)'!$A:$B,2,0)*VLOOKUP(A197,'[59]geoMap (56)'!$A:$C,3,0)</f>
        <v>#REF!</v>
      </c>
      <c r="BG197" s="1" t="e">
        <f>BF197/VLOOKUP(A197,'[60]geoMap (57)'!$A:$B,2,0)*VLOOKUP(A197,'[60]geoMap (57)'!$A:$C,3,0)</f>
        <v>#REF!</v>
      </c>
      <c r="BH197" s="1" t="e">
        <f>BG197/VLOOKUP(A197,'[61]geoMap (58)'!$A:$B,2,0)*VLOOKUP(A197,'[61]geoMap (58)'!$A:$C,3,0)</f>
        <v>#REF!</v>
      </c>
      <c r="BI197" s="1" t="e">
        <f>BH197/VLOOKUP(A197,'[62]geoMap (59)'!$A:$B,2,0)*VLOOKUP(A197,'[62]geoMap (59)'!$A:$C,3,0)</f>
        <v>#REF!</v>
      </c>
      <c r="BJ197" s="1" t="e">
        <f>BI197/VLOOKUP(A197,'[63]geoMap (60)'!$A:$B,2,0)*VLOOKUP(A197,'[63]geoMap (60)'!$A:$C,3,0)</f>
        <v>#REF!</v>
      </c>
      <c r="BK197" s="1" t="e">
        <f>BJ197/VLOOKUP(A197,'[64]geoMap (61)'!$A:$B,2,0)*VLOOKUP(A197,'[64]geoMap (61)'!$A:$C,3,0)</f>
        <v>#REF!</v>
      </c>
      <c r="BL197" s="1" t="e">
        <f>BK197/VLOOKUP(A197,'[65]geoMap (62)'!$A:$B,2,0)*VLOOKUP(A197,'[65]geoMap (62)'!$A:$C,3,0)</f>
        <v>#REF!</v>
      </c>
      <c r="BM197" s="1" t="e">
        <f>BL197/VLOOKUP(A197,'[66]geoMap (63)'!$A:$B,2,0)*VLOOKUP(A197,'[66]geoMap (63)'!$A:$C,3,0)</f>
        <v>#REF!</v>
      </c>
      <c r="BN197" s="1" t="e">
        <f>BM197/VLOOKUP(A197,'[67]geoMap (64)'!$A:$B,2,0)*VLOOKUP(A197,'[67]geoMap (64)'!$A:$C,3,0)</f>
        <v>#REF!</v>
      </c>
      <c r="BO197" s="1" t="e">
        <f>BN197/VLOOKUP(A197,'[68]geoMap (65)'!$A:$B,2,0)*VLOOKUP(A197,'[68]geoMap (65)'!$A:$C,3,0)</f>
        <v>#REF!</v>
      </c>
      <c r="BP197" s="1" t="e">
        <f>BO197/VLOOKUP(A197,'[69]geoMap (66)'!$A:$B,2,0)*VLOOKUP(A197,'[69]geoMap (66)'!$A:$C,3,0)</f>
        <v>#REF!</v>
      </c>
    </row>
    <row r="198" spans="1:68" hidden="1" x14ac:dyDescent="0.2">
      <c r="A198" s="1" t="s">
        <v>200</v>
      </c>
      <c r="B198" s="1" t="e">
        <f>VLOOKUP(A198,[3]geoMap!$A:$B,2,0)*Notes!$C$6</f>
        <v>#REF!</v>
      </c>
      <c r="C198" s="1" t="e">
        <f>B198/VLOOKUP(A198,'[4]geoMap (1)'!$A:$B,2,0)*VLOOKUP(A198,'[4]geoMap (1)'!$A:$C,3,0)</f>
        <v>#REF!</v>
      </c>
      <c r="D198" s="1" t="e">
        <f>C198/VLOOKUP(A198,'[5]geoMap (2)'!$A:$B,2,0)*VLOOKUP(A198,'[5]geoMap (2)'!$A:$C,3,0)</f>
        <v>#REF!</v>
      </c>
      <c r="E198" s="1" t="e">
        <f>D198/VLOOKUP(A198,'[6]geoMap (3)'!$A:$B,2,0)*VLOOKUP(A198,'[6]geoMap (3)'!$A:$C,3,0)</f>
        <v>#REF!</v>
      </c>
      <c r="F198" s="1" t="e">
        <f>E198/VLOOKUP(A198,'[7]geoMap (4)'!$A:$B,2,0)*VLOOKUP(A198,'[7]geoMap (4)'!$A:$C,3,0)</f>
        <v>#REF!</v>
      </c>
      <c r="G198" s="1" t="e">
        <f>F198/VLOOKUP(A198,'[8]geoMap (5)'!$A:$B,2,0)*VLOOKUP(A198,'[8]geoMap (5)'!$A:$C,3,0)</f>
        <v>#REF!</v>
      </c>
      <c r="H198" s="1" t="e">
        <f>G198/VLOOKUP(A198,'[9]geoMap (6)'!$A:$B,2,0)*VLOOKUP(A198,'[9]geoMap (6)'!$A:$C,3,0)</f>
        <v>#REF!</v>
      </c>
      <c r="I198" s="1" t="e">
        <f>H198/VLOOKUP(A198,'[10]geoMap (7)'!$A:$B,2,0)*VLOOKUP(A198,'[10]geoMap (7)'!$A:$C,3,0)</f>
        <v>#REF!</v>
      </c>
      <c r="J198" s="1" t="e">
        <f>I198/VLOOKUP(A198,'[11]geoMap (8)'!$A:$B,2,0)*VLOOKUP(A198,'[11]geoMap (8)'!$A:$C,3,0)</f>
        <v>#REF!</v>
      </c>
      <c r="K198" s="1" t="e">
        <f>J198/VLOOKUP(A198,'[12]geoMap (9)'!$A:$B,2,0)*VLOOKUP(A198,'[12]geoMap (9)'!$A:$C,3,0)</f>
        <v>#REF!</v>
      </c>
      <c r="L198" s="1" t="e">
        <f>K198/VLOOKUP(A198,'[13]geoMap (10)'!$A:$B,2,0)*VLOOKUP(A198,'[13]geoMap (10)'!$A:$C,3,0)</f>
        <v>#REF!</v>
      </c>
      <c r="M198" s="1" t="e">
        <f>L198/VLOOKUP(A198,'[14]geoMap (11)'!$A:$B,2,0)*VLOOKUP(A198,'[14]geoMap (11)'!$A:$C,3,0)</f>
        <v>#REF!</v>
      </c>
      <c r="N198" s="1" t="e">
        <f>M198/VLOOKUP(A198,'[15]geoMap (12)'!$A:$B,2,0)*VLOOKUP(A198,'[15]geoMap (12)'!$A:$C,3,0)</f>
        <v>#REF!</v>
      </c>
      <c r="O198" s="1" t="e">
        <f>N198/VLOOKUP(A198,'[16]geoMap (13)'!$A:$B,2,0)*VLOOKUP(A198,'[16]geoMap (13)'!$A:$C,3,0)</f>
        <v>#REF!</v>
      </c>
      <c r="P198" s="1" t="e">
        <f>O198/VLOOKUP(A198,'[17]geoMap (14)'!$A:$B,2,0)*VLOOKUP(A198,'[17]geoMap (14)'!$A:$C,3,0)</f>
        <v>#REF!</v>
      </c>
      <c r="Q198" s="1" t="e">
        <f>P198/VLOOKUP(A198,'[18]geoMap (15)'!$A:$B,2,0)*VLOOKUP(A198,'[18]geoMap (15)'!$A:$C,3,0)</f>
        <v>#REF!</v>
      </c>
      <c r="R198" s="1" t="e">
        <f>Q198/VLOOKUP(A198,'[19]geoMap (16)'!$A:$B,2,0)*VLOOKUP(A198,'[19]geoMap (16)'!$A:$C,3,0)</f>
        <v>#REF!</v>
      </c>
      <c r="S198" s="1" t="e">
        <f>R198/VLOOKUP(A198,'[20]geoMap (17)'!$A:$B,2,0)*VLOOKUP(A198,'[20]geoMap (17)'!$A:$C,3,0)</f>
        <v>#REF!</v>
      </c>
      <c r="T198" s="1" t="e">
        <f>S198/VLOOKUP(A198,'[21]geoMap (18)'!$A:$B,2,0)*VLOOKUP(A198,'[21]geoMap (18)'!$A:$C,3,0)</f>
        <v>#REF!</v>
      </c>
      <c r="U198" s="1" t="e">
        <f>T198/VLOOKUP(A198,'[22]geoMap (19)'!$A:$B,2,0)*VLOOKUP(A198,'[22]geoMap (19)'!$A:$C,3,0)</f>
        <v>#REF!</v>
      </c>
      <c r="V198" s="1" t="e">
        <f>U198/VLOOKUP(A198,'[23]geoMap (20)'!$A:$B,2,0)*VLOOKUP(A198,'[23]geoMap (20)'!$A:$C,3,0)</f>
        <v>#REF!</v>
      </c>
      <c r="W198" s="1" t="e">
        <f>V198/VLOOKUP(A198,'[24]geoMap (21)'!$A:$B,2,0)*VLOOKUP(A198,'[24]geoMap (21)'!$A:$C,3,0)</f>
        <v>#REF!</v>
      </c>
      <c r="X198" s="1" t="e">
        <f>W198/VLOOKUP(A198,'[25]geoMap (22)'!$A:$B,2,0)*VLOOKUP(A198,'[25]geoMap (22)'!$A:$C,3,0)</f>
        <v>#REF!</v>
      </c>
      <c r="Y198" s="1" t="e">
        <f>X198/VLOOKUP(A198,'[26]geoMap (23)'!$A:$B,2,0)*VLOOKUP(A198,'[26]geoMap (23)'!$A:$C,3,0)</f>
        <v>#REF!</v>
      </c>
      <c r="Z198" s="1" t="e">
        <f>Y198/VLOOKUP(A198,'[27]geoMap (24)'!$A:$B,2,0)*VLOOKUP(A198,'[27]geoMap (24)'!$A:$C,3,0)</f>
        <v>#REF!</v>
      </c>
      <c r="AA198" s="1" t="e">
        <f>Z198/VLOOKUP(A198,'[28]geoMap (25)'!$A:$B,2,0)*VLOOKUP(A198,'[28]geoMap (25)'!$A:$C,3,0)</f>
        <v>#REF!</v>
      </c>
      <c r="AB198" s="1" t="e">
        <f>AA198*VLOOKUP(A198,'[29]geoMap (26)'!$A:$B,2,0)*VLOOKUP(A198,'[29]geoMap (26)'!$A:$C,3,0)</f>
        <v>#REF!</v>
      </c>
      <c r="AC198" s="1" t="e">
        <f>AB198/VLOOKUP(A198,'[30]geoMap (27)'!$A:$B,2,0)*VLOOKUP(A198,'[30]geoMap (27)'!$A:$C,3,0)</f>
        <v>#REF!</v>
      </c>
      <c r="AD198" s="1" t="e">
        <f>AC198/VLOOKUP(A198,'[31]geoMap (28)'!$A:$B,2,0)*VLOOKUP(A198,'[31]geoMap (28)'!$A:$C,3,0)</f>
        <v>#REF!</v>
      </c>
      <c r="AE198" s="1" t="e">
        <f>AD198/VLOOKUP(A198,'[32]geoMap (29)'!$A:$B,2,0)*VLOOKUP(A198,'[32]geoMap (29)'!$A:$C,3,0)</f>
        <v>#REF!</v>
      </c>
      <c r="AF198" s="1" t="e">
        <f>AE198/VLOOKUP(A198,'[33]geoMap (30)'!$A:$B,2,0)*VLOOKUP(A198,'[33]geoMap (30)'!$A:$C,3,0)</f>
        <v>#REF!</v>
      </c>
      <c r="AG198" s="1" t="e">
        <f>AF198/VLOOKUP(A198,'[34]geoMap (31)'!$A:$B,2,0)*VLOOKUP(A198,'[34]geoMap (31)'!$A:$C,3,0)</f>
        <v>#REF!</v>
      </c>
      <c r="AH198" s="1" t="e">
        <f>AG198/VLOOKUP(A198,'[35]geoMap (32)'!$A:$B,2,0)*VLOOKUP(A198,'[35]geoMap (32)'!$A:$C,3,0)</f>
        <v>#REF!</v>
      </c>
      <c r="AI198" s="1" t="e">
        <f>AH198/VLOOKUP(A198,'[36]geoMap (33)'!$A:$B,2,0)*VLOOKUP(A198,'[36]geoMap (33)'!$A:$C,3,0)</f>
        <v>#REF!</v>
      </c>
      <c r="AJ198" s="1" t="e">
        <f>AI198/VLOOKUP(A198,'[37]geoMap (34)'!$A:$B,2,0)*VLOOKUP(A198,'[37]geoMap (34)'!$A:$C,3,0)</f>
        <v>#REF!</v>
      </c>
      <c r="AK198" s="1" t="e">
        <f>AJ198/VLOOKUP(A198,'[38]geoMap (35)'!$A:$B,2,0)*VLOOKUP(A198,'[38]geoMap (35)'!$A:$C,3,0)</f>
        <v>#REF!</v>
      </c>
      <c r="AL198" s="1" t="e">
        <f>AK198/VLOOKUP(A198,'[39]geoMap (36)'!$A:$B,2,0)*VLOOKUP(A198,'[39]geoMap (36)'!$A:$C,3,0)</f>
        <v>#REF!</v>
      </c>
      <c r="AM198" s="1" t="e">
        <f>AL198/VLOOKUP(A198,'[40]geoMap (37)'!$A:$B,2,0)*VLOOKUP(A198,'[40]geoMap (37)'!$A:$C,3,0)</f>
        <v>#REF!</v>
      </c>
      <c r="AN198" s="1" t="e">
        <f>AM198/VLOOKUP(A198,'[41]geoMap (38)'!$A:$B,2,0)*VLOOKUP(A198,'[41]geoMap (38)'!$A:$C,3,0)</f>
        <v>#REF!</v>
      </c>
      <c r="AO198" s="1" t="e">
        <f>AN198/VLOOKUP(A198,'[42]geoMap (39)'!$A:$B,2,0)*VLOOKUP(A198,'[42]geoMap (39)'!$A:$C,3,0)</f>
        <v>#REF!</v>
      </c>
      <c r="AP198" s="1" t="e">
        <f>AO198/VLOOKUP(A198,'[43]geoMap (40)'!$A:$B,2,0)*VLOOKUP(A198,'[43]geoMap (40)'!$A:$C,3,0)</f>
        <v>#REF!</v>
      </c>
      <c r="AQ198" s="1" t="e">
        <f>AP198/VLOOKUP(A198,'[44]geoMap (41)'!$A:$B,2,0)*VLOOKUP(A198,'[44]geoMap (41)'!$A:$C,3,0)</f>
        <v>#REF!</v>
      </c>
      <c r="AR198" s="1" t="e">
        <f>AQ198/VLOOKUP(A198,'[45]geoMap (42)'!$A:$B,2,0)*VLOOKUP(A198,'[45]geoMap (42)'!$A:$C,3,0)</f>
        <v>#REF!</v>
      </c>
      <c r="AS198" s="1" t="e">
        <f>AR198/VLOOKUP(A198,'[46]geoMap (43)'!$A:$B,2,0)*VLOOKUP(A198,'[46]geoMap (43)'!$A:$C,3,0)</f>
        <v>#REF!</v>
      </c>
      <c r="AT198" s="1" t="e">
        <f>AS198/VLOOKUP(A198,'[47]geoMap (44)'!$A:$B,2,0)*VLOOKUP(A198,'[47]geoMap (44)'!$A:$C,3,0)</f>
        <v>#REF!</v>
      </c>
      <c r="AU198" s="1" t="e">
        <f>AT198/VLOOKUP(A198,'[48]geoMap (45)'!$A:$B,2,0)*VLOOKUP(A198,'[48]geoMap (45)'!$A:$C,3,0)</f>
        <v>#REF!</v>
      </c>
      <c r="AV198" s="1" t="e">
        <f>AU198/VLOOKUP(A198,'[49]geoMap (46)'!$A:$B,2,0)*VLOOKUP(A198,'[49]geoMap (46)'!$A:$C,3,0)</f>
        <v>#REF!</v>
      </c>
      <c r="AW198" s="1" t="e">
        <f>AV198/VLOOKUP(A198,'[50]geoMap (47)'!$A:$B,2,0)*VLOOKUP(A198,'[50]geoMap (47)'!$A:$C,3,0)</f>
        <v>#REF!</v>
      </c>
      <c r="AX198" s="1" t="e">
        <f>AW198/VLOOKUP(A198,'[51]geoMap (48)'!$A:$B,2,0)*VLOOKUP(A198,'[51]geoMap (48)'!$A:$C,3,0)</f>
        <v>#REF!</v>
      </c>
      <c r="AY198" s="1" t="e">
        <f>AX198/VLOOKUP(A198,'[52]geoMap (49)'!$A:$B,2,0)*VLOOKUP(A198,'[52]geoMap (49)'!$A:$C,3,0)</f>
        <v>#REF!</v>
      </c>
      <c r="AZ198" s="1" t="e">
        <f>AY198/VLOOKUP(A198,'[53]geoMap (50)'!$A:$B,2,0)*VLOOKUP(A198,'[53]geoMap (50)'!$A:$C,3,0)</f>
        <v>#REF!</v>
      </c>
      <c r="BA198" s="1" t="e">
        <f>AZ198/VLOOKUP(A198,'[54]geoMap (51)'!$A:$B,2,0)*VLOOKUP(A198,'[54]geoMap (51)'!$A:$C,3,0)</f>
        <v>#REF!</v>
      </c>
      <c r="BB198" s="1" t="e">
        <f>BA198/VLOOKUP(A198,'[55]geoMap (52)'!$A:$B,2,0)*VLOOKUP(A198,'[55]geoMap (52)'!$A:$C,3,0)</f>
        <v>#REF!</v>
      </c>
      <c r="BC198" s="1" t="e">
        <f>BB198/VLOOKUP(A198,'[56]geoMap (53)'!$A:$B,2,0)*VLOOKUP(A198,'[56]geoMap (53)'!$A:$C,3,0)</f>
        <v>#REF!</v>
      </c>
      <c r="BD198" s="1" t="e">
        <f>BC198/VLOOKUP(A198,'[57]geoMap (54)'!$A:$B,2,0)*VLOOKUP(A198,'[57]geoMap (54)'!$A:$C,3,0)</f>
        <v>#REF!</v>
      </c>
      <c r="BE198" s="1" t="e">
        <f>BD198/VLOOKUP(A198,'[58]geoMap (55)'!$A:$B,2,0)*VLOOKUP(A198,'[58]geoMap (55)'!$A:$C,3,0)</f>
        <v>#REF!</v>
      </c>
      <c r="BF198" s="1" t="e">
        <f>BE198/VLOOKUP(A198,'[59]geoMap (56)'!$A:$B,2,0)*VLOOKUP(A198,'[59]geoMap (56)'!$A:$C,3,0)</f>
        <v>#REF!</v>
      </c>
      <c r="BG198" s="1" t="e">
        <f>BF198/VLOOKUP(A198,'[60]geoMap (57)'!$A:$B,2,0)*VLOOKUP(A198,'[60]geoMap (57)'!$A:$C,3,0)</f>
        <v>#REF!</v>
      </c>
      <c r="BH198" s="1" t="e">
        <f>BG198/VLOOKUP(A198,'[61]geoMap (58)'!$A:$B,2,0)*VLOOKUP(A198,'[61]geoMap (58)'!$A:$C,3,0)</f>
        <v>#REF!</v>
      </c>
      <c r="BI198" s="1" t="e">
        <f>BH198/VLOOKUP(A198,'[62]geoMap (59)'!$A:$B,2,0)*VLOOKUP(A198,'[62]geoMap (59)'!$A:$C,3,0)</f>
        <v>#REF!</v>
      </c>
      <c r="BJ198" s="1" t="e">
        <f>BI198/VLOOKUP(A198,'[63]geoMap (60)'!$A:$B,2,0)*VLOOKUP(A198,'[63]geoMap (60)'!$A:$C,3,0)</f>
        <v>#REF!</v>
      </c>
      <c r="BK198" s="1" t="e">
        <f>BJ198/VLOOKUP(A198,'[64]geoMap (61)'!$A:$B,2,0)*VLOOKUP(A198,'[64]geoMap (61)'!$A:$C,3,0)</f>
        <v>#REF!</v>
      </c>
      <c r="BL198" s="1" t="e">
        <f>BK198/VLOOKUP(A198,'[65]geoMap (62)'!$A:$B,2,0)*VLOOKUP(A198,'[65]geoMap (62)'!$A:$C,3,0)</f>
        <v>#REF!</v>
      </c>
      <c r="BM198" s="1" t="e">
        <f>BL198/VLOOKUP(A198,'[66]geoMap (63)'!$A:$B,2,0)*VLOOKUP(A198,'[66]geoMap (63)'!$A:$C,3,0)</f>
        <v>#REF!</v>
      </c>
      <c r="BN198" s="1" t="e">
        <f>BM198/VLOOKUP(A198,'[67]geoMap (64)'!$A:$B,2,0)*VLOOKUP(A198,'[67]geoMap (64)'!$A:$C,3,0)</f>
        <v>#REF!</v>
      </c>
      <c r="BO198" s="1" t="e">
        <f>BN198/VLOOKUP(A198,'[68]geoMap (65)'!$A:$B,2,0)*VLOOKUP(A198,'[68]geoMap (65)'!$A:$C,3,0)</f>
        <v>#REF!</v>
      </c>
      <c r="BP198" s="1" t="e">
        <f>BO198/VLOOKUP(A198,'[69]geoMap (66)'!$A:$B,2,0)*VLOOKUP(A198,'[69]geoMap (66)'!$A:$C,3,0)</f>
        <v>#REF!</v>
      </c>
    </row>
    <row r="199" spans="1:68" hidden="1" x14ac:dyDescent="0.2">
      <c r="A199" s="1" t="s">
        <v>201</v>
      </c>
      <c r="B199" s="1" t="e">
        <f>VLOOKUP(A199,[3]geoMap!$A:$B,2,0)*Notes!$C$6</f>
        <v>#REF!</v>
      </c>
      <c r="C199" s="1" t="e">
        <f>B199/VLOOKUP(A199,'[4]geoMap (1)'!$A:$B,2,0)*VLOOKUP(A199,'[4]geoMap (1)'!$A:$C,3,0)</f>
        <v>#REF!</v>
      </c>
      <c r="D199" s="1" t="e">
        <f>C199/VLOOKUP(A199,'[5]geoMap (2)'!$A:$B,2,0)*VLOOKUP(A199,'[5]geoMap (2)'!$A:$C,3,0)</f>
        <v>#REF!</v>
      </c>
      <c r="E199" s="1" t="e">
        <f>D199/VLOOKUP(A199,'[6]geoMap (3)'!$A:$B,2,0)*VLOOKUP(A199,'[6]geoMap (3)'!$A:$C,3,0)</f>
        <v>#REF!</v>
      </c>
      <c r="F199" s="1" t="e">
        <f>E199/VLOOKUP(A199,'[7]geoMap (4)'!$A:$B,2,0)*VLOOKUP(A199,'[7]geoMap (4)'!$A:$C,3,0)</f>
        <v>#REF!</v>
      </c>
      <c r="G199" s="1" t="e">
        <f>F199/VLOOKUP(A199,'[8]geoMap (5)'!$A:$B,2,0)*VLOOKUP(A199,'[8]geoMap (5)'!$A:$C,3,0)</f>
        <v>#REF!</v>
      </c>
      <c r="H199" s="1" t="e">
        <f>G199/VLOOKUP(A199,'[9]geoMap (6)'!$A:$B,2,0)*VLOOKUP(A199,'[9]geoMap (6)'!$A:$C,3,0)</f>
        <v>#REF!</v>
      </c>
      <c r="I199" s="1" t="e">
        <f>H199/VLOOKUP(A199,'[10]geoMap (7)'!$A:$B,2,0)*VLOOKUP(A199,'[10]geoMap (7)'!$A:$C,3,0)</f>
        <v>#REF!</v>
      </c>
      <c r="J199" s="1" t="e">
        <f>I199/VLOOKUP(A199,'[11]geoMap (8)'!$A:$B,2,0)*VLOOKUP(A199,'[11]geoMap (8)'!$A:$C,3,0)</f>
        <v>#REF!</v>
      </c>
      <c r="K199" s="1" t="e">
        <f>J199/VLOOKUP(A199,'[12]geoMap (9)'!$A:$B,2,0)*VLOOKUP(A199,'[12]geoMap (9)'!$A:$C,3,0)</f>
        <v>#REF!</v>
      </c>
      <c r="L199" s="1" t="e">
        <f>K199/VLOOKUP(A199,'[13]geoMap (10)'!$A:$B,2,0)*VLOOKUP(A199,'[13]geoMap (10)'!$A:$C,3,0)</f>
        <v>#REF!</v>
      </c>
      <c r="M199" s="1" t="e">
        <f>L199/VLOOKUP(A199,'[14]geoMap (11)'!$A:$B,2,0)*VLOOKUP(A199,'[14]geoMap (11)'!$A:$C,3,0)</f>
        <v>#REF!</v>
      </c>
      <c r="N199" s="1" t="e">
        <f>M199/VLOOKUP(A199,'[15]geoMap (12)'!$A:$B,2,0)*VLOOKUP(A199,'[15]geoMap (12)'!$A:$C,3,0)</f>
        <v>#REF!</v>
      </c>
      <c r="O199" s="1" t="e">
        <f>N199/VLOOKUP(A199,'[16]geoMap (13)'!$A:$B,2,0)*VLOOKUP(A199,'[16]geoMap (13)'!$A:$C,3,0)</f>
        <v>#REF!</v>
      </c>
      <c r="P199" s="1" t="e">
        <f>O199/VLOOKUP(A199,'[17]geoMap (14)'!$A:$B,2,0)*VLOOKUP(A199,'[17]geoMap (14)'!$A:$C,3,0)</f>
        <v>#REF!</v>
      </c>
      <c r="Q199" s="1" t="e">
        <f>P199/VLOOKUP(A199,'[18]geoMap (15)'!$A:$B,2,0)*VLOOKUP(A199,'[18]geoMap (15)'!$A:$C,3,0)</f>
        <v>#REF!</v>
      </c>
      <c r="R199" s="1" t="e">
        <f>Q199/VLOOKUP(A199,'[19]geoMap (16)'!$A:$B,2,0)*VLOOKUP(A199,'[19]geoMap (16)'!$A:$C,3,0)</f>
        <v>#REF!</v>
      </c>
      <c r="S199" s="1" t="e">
        <f>R199/VLOOKUP(A199,'[20]geoMap (17)'!$A:$B,2,0)*VLOOKUP(A199,'[20]geoMap (17)'!$A:$C,3,0)</f>
        <v>#REF!</v>
      </c>
      <c r="T199" s="1" t="e">
        <f>S199/VLOOKUP(A199,'[21]geoMap (18)'!$A:$B,2,0)*VLOOKUP(A199,'[21]geoMap (18)'!$A:$C,3,0)</f>
        <v>#REF!</v>
      </c>
      <c r="U199" s="1" t="e">
        <f>T199/VLOOKUP(A199,'[22]geoMap (19)'!$A:$B,2,0)*VLOOKUP(A199,'[22]geoMap (19)'!$A:$C,3,0)</f>
        <v>#REF!</v>
      </c>
      <c r="V199" s="1" t="e">
        <f>U199/VLOOKUP(A199,'[23]geoMap (20)'!$A:$B,2,0)*VLOOKUP(A199,'[23]geoMap (20)'!$A:$C,3,0)</f>
        <v>#REF!</v>
      </c>
      <c r="W199" s="1" t="e">
        <f>V199/VLOOKUP(A199,'[24]geoMap (21)'!$A:$B,2,0)*VLOOKUP(A199,'[24]geoMap (21)'!$A:$C,3,0)</f>
        <v>#REF!</v>
      </c>
      <c r="X199" s="1" t="e">
        <f>W199/VLOOKUP(A199,'[25]geoMap (22)'!$A:$B,2,0)*VLOOKUP(A199,'[25]geoMap (22)'!$A:$C,3,0)</f>
        <v>#REF!</v>
      </c>
      <c r="Y199" s="1" t="e">
        <f>X199/VLOOKUP(A199,'[26]geoMap (23)'!$A:$B,2,0)*VLOOKUP(A199,'[26]geoMap (23)'!$A:$C,3,0)</f>
        <v>#REF!</v>
      </c>
      <c r="Z199" s="1" t="e">
        <f>Y199/VLOOKUP(A199,'[27]geoMap (24)'!$A:$B,2,0)*VLOOKUP(A199,'[27]geoMap (24)'!$A:$C,3,0)</f>
        <v>#REF!</v>
      </c>
      <c r="AA199" s="1" t="e">
        <f>Z199/VLOOKUP(A199,'[28]geoMap (25)'!$A:$B,2,0)*VLOOKUP(A199,'[28]geoMap (25)'!$A:$C,3,0)</f>
        <v>#REF!</v>
      </c>
      <c r="AB199" s="1" t="e">
        <f>AA199*VLOOKUP(A199,'[29]geoMap (26)'!$A:$B,2,0)*VLOOKUP(A199,'[29]geoMap (26)'!$A:$C,3,0)</f>
        <v>#REF!</v>
      </c>
      <c r="AC199" s="1" t="e">
        <f>AB199/VLOOKUP(A199,'[30]geoMap (27)'!$A:$B,2,0)*VLOOKUP(A199,'[30]geoMap (27)'!$A:$C,3,0)</f>
        <v>#REF!</v>
      </c>
      <c r="AD199" s="1" t="e">
        <f>AC199/VLOOKUP(A199,'[31]geoMap (28)'!$A:$B,2,0)*VLOOKUP(A199,'[31]geoMap (28)'!$A:$C,3,0)</f>
        <v>#REF!</v>
      </c>
      <c r="AE199" s="1" t="e">
        <f>AD199/VLOOKUP(A199,'[32]geoMap (29)'!$A:$B,2,0)*VLOOKUP(A199,'[32]geoMap (29)'!$A:$C,3,0)</f>
        <v>#REF!</v>
      </c>
      <c r="AF199" s="1" t="e">
        <f>AE199/VLOOKUP(A199,'[33]geoMap (30)'!$A:$B,2,0)*VLOOKUP(A199,'[33]geoMap (30)'!$A:$C,3,0)</f>
        <v>#REF!</v>
      </c>
      <c r="AG199" s="1" t="e">
        <f>AF199/VLOOKUP(A199,'[34]geoMap (31)'!$A:$B,2,0)*VLOOKUP(A199,'[34]geoMap (31)'!$A:$C,3,0)</f>
        <v>#REF!</v>
      </c>
      <c r="AH199" s="1" t="e">
        <f>AG199/VLOOKUP(A199,'[35]geoMap (32)'!$A:$B,2,0)*VLOOKUP(A199,'[35]geoMap (32)'!$A:$C,3,0)</f>
        <v>#REF!</v>
      </c>
      <c r="AI199" s="1" t="e">
        <f>AH199/VLOOKUP(A199,'[36]geoMap (33)'!$A:$B,2,0)*VLOOKUP(A199,'[36]geoMap (33)'!$A:$C,3,0)</f>
        <v>#REF!</v>
      </c>
      <c r="AJ199" s="1" t="e">
        <f>AI199/VLOOKUP(A199,'[37]geoMap (34)'!$A:$B,2,0)*VLOOKUP(A199,'[37]geoMap (34)'!$A:$C,3,0)</f>
        <v>#REF!</v>
      </c>
      <c r="AK199" s="1" t="e">
        <f>AJ199/VLOOKUP(A199,'[38]geoMap (35)'!$A:$B,2,0)*VLOOKUP(A199,'[38]geoMap (35)'!$A:$C,3,0)</f>
        <v>#REF!</v>
      </c>
      <c r="AL199" s="1" t="e">
        <f>AK199/VLOOKUP(A199,'[39]geoMap (36)'!$A:$B,2,0)*VLOOKUP(A199,'[39]geoMap (36)'!$A:$C,3,0)</f>
        <v>#REF!</v>
      </c>
      <c r="AM199" s="1" t="e">
        <f>AL199/VLOOKUP(A199,'[40]geoMap (37)'!$A:$B,2,0)*VLOOKUP(A199,'[40]geoMap (37)'!$A:$C,3,0)</f>
        <v>#REF!</v>
      </c>
      <c r="AN199" s="1" t="e">
        <f>AM199/VLOOKUP(A199,'[41]geoMap (38)'!$A:$B,2,0)*VLOOKUP(A199,'[41]geoMap (38)'!$A:$C,3,0)</f>
        <v>#REF!</v>
      </c>
      <c r="AO199" s="1" t="e">
        <f>AN199/VLOOKUP(A199,'[42]geoMap (39)'!$A:$B,2,0)*VLOOKUP(A199,'[42]geoMap (39)'!$A:$C,3,0)</f>
        <v>#REF!</v>
      </c>
      <c r="AP199" s="1" t="e">
        <f>AO199/VLOOKUP(A199,'[43]geoMap (40)'!$A:$B,2,0)*VLOOKUP(A199,'[43]geoMap (40)'!$A:$C,3,0)</f>
        <v>#REF!</v>
      </c>
      <c r="AQ199" s="1" t="e">
        <f>AP199/VLOOKUP(A199,'[44]geoMap (41)'!$A:$B,2,0)*VLOOKUP(A199,'[44]geoMap (41)'!$A:$C,3,0)</f>
        <v>#REF!</v>
      </c>
      <c r="AR199" s="1" t="e">
        <f>AQ199/VLOOKUP(A199,'[45]geoMap (42)'!$A:$B,2,0)*VLOOKUP(A199,'[45]geoMap (42)'!$A:$C,3,0)</f>
        <v>#REF!</v>
      </c>
      <c r="AS199" s="1" t="e">
        <f>AR199/VLOOKUP(A199,'[46]geoMap (43)'!$A:$B,2,0)*VLOOKUP(A199,'[46]geoMap (43)'!$A:$C,3,0)</f>
        <v>#REF!</v>
      </c>
      <c r="AT199" s="1" t="e">
        <f>AS199/VLOOKUP(A199,'[47]geoMap (44)'!$A:$B,2,0)*VLOOKUP(A199,'[47]geoMap (44)'!$A:$C,3,0)</f>
        <v>#REF!</v>
      </c>
      <c r="AU199" s="1" t="e">
        <f>AT199/VLOOKUP(A199,'[48]geoMap (45)'!$A:$B,2,0)*VLOOKUP(A199,'[48]geoMap (45)'!$A:$C,3,0)</f>
        <v>#REF!</v>
      </c>
      <c r="AV199" s="1" t="e">
        <f>AU199/VLOOKUP(A199,'[49]geoMap (46)'!$A:$B,2,0)*VLOOKUP(A199,'[49]geoMap (46)'!$A:$C,3,0)</f>
        <v>#REF!</v>
      </c>
      <c r="AW199" s="1" t="e">
        <f>AV199/VLOOKUP(A199,'[50]geoMap (47)'!$A:$B,2,0)*VLOOKUP(A199,'[50]geoMap (47)'!$A:$C,3,0)</f>
        <v>#REF!</v>
      </c>
      <c r="AX199" s="1" t="e">
        <f>AW199/VLOOKUP(A199,'[51]geoMap (48)'!$A:$B,2,0)*VLOOKUP(A199,'[51]geoMap (48)'!$A:$C,3,0)</f>
        <v>#REF!</v>
      </c>
      <c r="AY199" s="1" t="e">
        <f>AX199/VLOOKUP(A199,'[52]geoMap (49)'!$A:$B,2,0)*VLOOKUP(A199,'[52]geoMap (49)'!$A:$C,3,0)</f>
        <v>#REF!</v>
      </c>
      <c r="AZ199" s="1" t="e">
        <f>AY199/VLOOKUP(A199,'[53]geoMap (50)'!$A:$B,2,0)*VLOOKUP(A199,'[53]geoMap (50)'!$A:$C,3,0)</f>
        <v>#REF!</v>
      </c>
      <c r="BA199" s="1" t="e">
        <f>AZ199/VLOOKUP(A199,'[54]geoMap (51)'!$A:$B,2,0)*VLOOKUP(A199,'[54]geoMap (51)'!$A:$C,3,0)</f>
        <v>#REF!</v>
      </c>
      <c r="BB199" s="1" t="e">
        <f>BA199/VLOOKUP(A199,'[55]geoMap (52)'!$A:$B,2,0)*VLOOKUP(A199,'[55]geoMap (52)'!$A:$C,3,0)</f>
        <v>#REF!</v>
      </c>
      <c r="BC199" s="1" t="e">
        <f>BB199/VLOOKUP(A199,'[56]geoMap (53)'!$A:$B,2,0)*VLOOKUP(A199,'[56]geoMap (53)'!$A:$C,3,0)</f>
        <v>#REF!</v>
      </c>
      <c r="BD199" s="1" t="e">
        <f>BC199/VLOOKUP(A199,'[57]geoMap (54)'!$A:$B,2,0)*VLOOKUP(A199,'[57]geoMap (54)'!$A:$C,3,0)</f>
        <v>#REF!</v>
      </c>
      <c r="BE199" s="1" t="e">
        <f>BD199/VLOOKUP(A199,'[58]geoMap (55)'!$A:$B,2,0)*VLOOKUP(A199,'[58]geoMap (55)'!$A:$C,3,0)</f>
        <v>#REF!</v>
      </c>
      <c r="BF199" s="1" t="e">
        <f>BE199/VLOOKUP(A199,'[59]geoMap (56)'!$A:$B,2,0)*VLOOKUP(A199,'[59]geoMap (56)'!$A:$C,3,0)</f>
        <v>#REF!</v>
      </c>
      <c r="BG199" s="1" t="e">
        <f>BF199/VLOOKUP(A199,'[60]geoMap (57)'!$A:$B,2,0)*VLOOKUP(A199,'[60]geoMap (57)'!$A:$C,3,0)</f>
        <v>#REF!</v>
      </c>
      <c r="BH199" s="1" t="e">
        <f>BG199/VLOOKUP(A199,'[61]geoMap (58)'!$A:$B,2,0)*VLOOKUP(A199,'[61]geoMap (58)'!$A:$C,3,0)</f>
        <v>#REF!</v>
      </c>
      <c r="BI199" s="1" t="e">
        <f>BH199/VLOOKUP(A199,'[62]geoMap (59)'!$A:$B,2,0)*VLOOKUP(A199,'[62]geoMap (59)'!$A:$C,3,0)</f>
        <v>#REF!</v>
      </c>
      <c r="BJ199" s="1" t="e">
        <f>BI199/VLOOKUP(A199,'[63]geoMap (60)'!$A:$B,2,0)*VLOOKUP(A199,'[63]geoMap (60)'!$A:$C,3,0)</f>
        <v>#REF!</v>
      </c>
      <c r="BK199" s="1" t="e">
        <f>BJ199/VLOOKUP(A199,'[64]geoMap (61)'!$A:$B,2,0)*VLOOKUP(A199,'[64]geoMap (61)'!$A:$C,3,0)</f>
        <v>#REF!</v>
      </c>
      <c r="BL199" s="1" t="e">
        <f>BK199/VLOOKUP(A199,'[65]geoMap (62)'!$A:$B,2,0)*VLOOKUP(A199,'[65]geoMap (62)'!$A:$C,3,0)</f>
        <v>#REF!</v>
      </c>
      <c r="BM199" s="1" t="e">
        <f>BL199/VLOOKUP(A199,'[66]geoMap (63)'!$A:$B,2,0)*VLOOKUP(A199,'[66]geoMap (63)'!$A:$C,3,0)</f>
        <v>#REF!</v>
      </c>
      <c r="BN199" s="1" t="e">
        <f>BM199/VLOOKUP(A199,'[67]geoMap (64)'!$A:$B,2,0)*VLOOKUP(A199,'[67]geoMap (64)'!$A:$C,3,0)</f>
        <v>#REF!</v>
      </c>
      <c r="BO199" s="1" t="e">
        <f>BN199/VLOOKUP(A199,'[68]geoMap (65)'!$A:$B,2,0)*VLOOKUP(A199,'[68]geoMap (65)'!$A:$C,3,0)</f>
        <v>#REF!</v>
      </c>
      <c r="BP199" s="1" t="e">
        <f>BO199/VLOOKUP(A199,'[69]geoMap (66)'!$A:$B,2,0)*VLOOKUP(A199,'[69]geoMap (66)'!$A:$C,3,0)</f>
        <v>#REF!</v>
      </c>
    </row>
    <row r="200" spans="1:68" hidden="1" x14ac:dyDescent="0.2">
      <c r="A200" s="1" t="s">
        <v>202</v>
      </c>
      <c r="B200" s="1" t="e">
        <f>VLOOKUP(A200,[3]geoMap!$A:$B,2,0)*Notes!$C$6</f>
        <v>#REF!</v>
      </c>
      <c r="C200" s="1" t="e">
        <f>B200/VLOOKUP(A200,'[4]geoMap (1)'!$A:$B,2,0)*VLOOKUP(A200,'[4]geoMap (1)'!$A:$C,3,0)</f>
        <v>#REF!</v>
      </c>
      <c r="D200" s="1" t="e">
        <f>C200/VLOOKUP(A200,'[5]geoMap (2)'!$A:$B,2,0)*VLOOKUP(A200,'[5]geoMap (2)'!$A:$C,3,0)</f>
        <v>#REF!</v>
      </c>
      <c r="E200" s="1" t="e">
        <f>D200/VLOOKUP(A200,'[6]geoMap (3)'!$A:$B,2,0)*VLOOKUP(A200,'[6]geoMap (3)'!$A:$C,3,0)</f>
        <v>#REF!</v>
      </c>
      <c r="F200" s="1" t="e">
        <f>E200/VLOOKUP(A200,'[7]geoMap (4)'!$A:$B,2,0)*VLOOKUP(A200,'[7]geoMap (4)'!$A:$C,3,0)</f>
        <v>#REF!</v>
      </c>
      <c r="G200" s="1" t="e">
        <f>F200/VLOOKUP(A200,'[8]geoMap (5)'!$A:$B,2,0)*VLOOKUP(A200,'[8]geoMap (5)'!$A:$C,3,0)</f>
        <v>#REF!</v>
      </c>
      <c r="H200" s="1" t="e">
        <f>G200/VLOOKUP(A200,'[9]geoMap (6)'!$A:$B,2,0)*VLOOKUP(A200,'[9]geoMap (6)'!$A:$C,3,0)</f>
        <v>#REF!</v>
      </c>
      <c r="I200" s="1" t="e">
        <f>H200/VLOOKUP(A200,'[10]geoMap (7)'!$A:$B,2,0)*VLOOKUP(A200,'[10]geoMap (7)'!$A:$C,3,0)</f>
        <v>#REF!</v>
      </c>
      <c r="J200" s="1" t="e">
        <f>I200/VLOOKUP(A200,'[11]geoMap (8)'!$A:$B,2,0)*VLOOKUP(A200,'[11]geoMap (8)'!$A:$C,3,0)</f>
        <v>#REF!</v>
      </c>
      <c r="K200" s="1" t="e">
        <f>J200/VLOOKUP(A200,'[12]geoMap (9)'!$A:$B,2,0)*VLOOKUP(A200,'[12]geoMap (9)'!$A:$C,3,0)</f>
        <v>#REF!</v>
      </c>
      <c r="L200" s="1" t="e">
        <f>K200/VLOOKUP(A200,'[13]geoMap (10)'!$A:$B,2,0)*VLOOKUP(A200,'[13]geoMap (10)'!$A:$C,3,0)</f>
        <v>#REF!</v>
      </c>
      <c r="M200" s="1" t="e">
        <f>L200/VLOOKUP(A200,'[14]geoMap (11)'!$A:$B,2,0)*VLOOKUP(A200,'[14]geoMap (11)'!$A:$C,3,0)</f>
        <v>#REF!</v>
      </c>
      <c r="N200" s="1" t="e">
        <f>M200/VLOOKUP(A200,'[15]geoMap (12)'!$A:$B,2,0)*VLOOKUP(A200,'[15]geoMap (12)'!$A:$C,3,0)</f>
        <v>#REF!</v>
      </c>
      <c r="O200" s="1" t="e">
        <f>N200/VLOOKUP(A200,'[16]geoMap (13)'!$A:$B,2,0)*VLOOKUP(A200,'[16]geoMap (13)'!$A:$C,3,0)</f>
        <v>#REF!</v>
      </c>
      <c r="P200" s="1" t="e">
        <f>O200/VLOOKUP(A200,'[17]geoMap (14)'!$A:$B,2,0)*VLOOKUP(A200,'[17]geoMap (14)'!$A:$C,3,0)</f>
        <v>#REF!</v>
      </c>
      <c r="Q200" s="1" t="e">
        <f>P200/VLOOKUP(A200,'[18]geoMap (15)'!$A:$B,2,0)*VLOOKUP(A200,'[18]geoMap (15)'!$A:$C,3,0)</f>
        <v>#REF!</v>
      </c>
      <c r="R200" s="1" t="e">
        <f>Q200/VLOOKUP(A200,'[19]geoMap (16)'!$A:$B,2,0)*VLOOKUP(A200,'[19]geoMap (16)'!$A:$C,3,0)</f>
        <v>#REF!</v>
      </c>
      <c r="S200" s="1" t="e">
        <f>R200/VLOOKUP(A200,'[20]geoMap (17)'!$A:$B,2,0)*VLOOKUP(A200,'[20]geoMap (17)'!$A:$C,3,0)</f>
        <v>#REF!</v>
      </c>
      <c r="T200" s="1" t="e">
        <f>S200/VLOOKUP(A200,'[21]geoMap (18)'!$A:$B,2,0)*VLOOKUP(A200,'[21]geoMap (18)'!$A:$C,3,0)</f>
        <v>#REF!</v>
      </c>
      <c r="U200" s="1" t="e">
        <f>T200/VLOOKUP(A200,'[22]geoMap (19)'!$A:$B,2,0)*VLOOKUP(A200,'[22]geoMap (19)'!$A:$C,3,0)</f>
        <v>#REF!</v>
      </c>
      <c r="V200" s="1" t="e">
        <f>U200/VLOOKUP(A200,'[23]geoMap (20)'!$A:$B,2,0)*VLOOKUP(A200,'[23]geoMap (20)'!$A:$C,3,0)</f>
        <v>#REF!</v>
      </c>
      <c r="W200" s="1" t="e">
        <f>V200/VLOOKUP(A200,'[24]geoMap (21)'!$A:$B,2,0)*VLOOKUP(A200,'[24]geoMap (21)'!$A:$C,3,0)</f>
        <v>#REF!</v>
      </c>
      <c r="X200" s="1" t="e">
        <f>W200/VLOOKUP(A200,'[25]geoMap (22)'!$A:$B,2,0)*VLOOKUP(A200,'[25]geoMap (22)'!$A:$C,3,0)</f>
        <v>#REF!</v>
      </c>
      <c r="Y200" s="1" t="e">
        <f>X200/VLOOKUP(A200,'[26]geoMap (23)'!$A:$B,2,0)*VLOOKUP(A200,'[26]geoMap (23)'!$A:$C,3,0)</f>
        <v>#REF!</v>
      </c>
      <c r="Z200" s="1" t="e">
        <f>Y200/VLOOKUP(A200,'[27]geoMap (24)'!$A:$B,2,0)*VLOOKUP(A200,'[27]geoMap (24)'!$A:$C,3,0)</f>
        <v>#REF!</v>
      </c>
      <c r="AA200" s="1" t="e">
        <f>Z200/VLOOKUP(A200,'[28]geoMap (25)'!$A:$B,2,0)*VLOOKUP(A200,'[28]geoMap (25)'!$A:$C,3,0)</f>
        <v>#REF!</v>
      </c>
      <c r="AB200" s="1" t="e">
        <f>AA200*VLOOKUP(A200,'[29]geoMap (26)'!$A:$B,2,0)*VLOOKUP(A200,'[29]geoMap (26)'!$A:$C,3,0)</f>
        <v>#REF!</v>
      </c>
      <c r="AC200" s="1" t="e">
        <f>AB200/VLOOKUP(A200,'[30]geoMap (27)'!$A:$B,2,0)*VLOOKUP(A200,'[30]geoMap (27)'!$A:$C,3,0)</f>
        <v>#REF!</v>
      </c>
      <c r="AD200" s="1" t="e">
        <f>AC200/VLOOKUP(A200,'[31]geoMap (28)'!$A:$B,2,0)*VLOOKUP(A200,'[31]geoMap (28)'!$A:$C,3,0)</f>
        <v>#REF!</v>
      </c>
      <c r="AE200" s="1" t="e">
        <f>AD200/VLOOKUP(A200,'[32]geoMap (29)'!$A:$B,2,0)*VLOOKUP(A200,'[32]geoMap (29)'!$A:$C,3,0)</f>
        <v>#REF!</v>
      </c>
      <c r="AF200" s="1" t="e">
        <f>AE200/VLOOKUP(A200,'[33]geoMap (30)'!$A:$B,2,0)*VLOOKUP(A200,'[33]geoMap (30)'!$A:$C,3,0)</f>
        <v>#REF!</v>
      </c>
      <c r="AG200" s="1" t="e">
        <f>AF200/VLOOKUP(A200,'[34]geoMap (31)'!$A:$B,2,0)*VLOOKUP(A200,'[34]geoMap (31)'!$A:$C,3,0)</f>
        <v>#REF!</v>
      </c>
      <c r="AH200" s="1" t="e">
        <f>AG200/VLOOKUP(A200,'[35]geoMap (32)'!$A:$B,2,0)*VLOOKUP(A200,'[35]geoMap (32)'!$A:$C,3,0)</f>
        <v>#REF!</v>
      </c>
      <c r="AI200" s="1" t="e">
        <f>AH200/VLOOKUP(A200,'[36]geoMap (33)'!$A:$B,2,0)*VLOOKUP(A200,'[36]geoMap (33)'!$A:$C,3,0)</f>
        <v>#REF!</v>
      </c>
      <c r="AJ200" s="1" t="e">
        <f>AI200/VLOOKUP(A200,'[37]geoMap (34)'!$A:$B,2,0)*VLOOKUP(A200,'[37]geoMap (34)'!$A:$C,3,0)</f>
        <v>#REF!</v>
      </c>
      <c r="AK200" s="1" t="e">
        <f>AJ200/VLOOKUP(A200,'[38]geoMap (35)'!$A:$B,2,0)*VLOOKUP(A200,'[38]geoMap (35)'!$A:$C,3,0)</f>
        <v>#REF!</v>
      </c>
      <c r="AL200" s="1" t="e">
        <f>AK200/VLOOKUP(A200,'[39]geoMap (36)'!$A:$B,2,0)*VLOOKUP(A200,'[39]geoMap (36)'!$A:$C,3,0)</f>
        <v>#REF!</v>
      </c>
      <c r="AM200" s="1" t="e">
        <f>AL200/VLOOKUP(A200,'[40]geoMap (37)'!$A:$B,2,0)*VLOOKUP(A200,'[40]geoMap (37)'!$A:$C,3,0)</f>
        <v>#REF!</v>
      </c>
      <c r="AN200" s="1" t="e">
        <f>AM200/VLOOKUP(A200,'[41]geoMap (38)'!$A:$B,2,0)*VLOOKUP(A200,'[41]geoMap (38)'!$A:$C,3,0)</f>
        <v>#REF!</v>
      </c>
      <c r="AO200" s="1" t="e">
        <f>AN200/VLOOKUP(A200,'[42]geoMap (39)'!$A:$B,2,0)*VLOOKUP(A200,'[42]geoMap (39)'!$A:$C,3,0)</f>
        <v>#REF!</v>
      </c>
      <c r="AP200" s="1" t="e">
        <f>AO200/VLOOKUP(A200,'[43]geoMap (40)'!$A:$B,2,0)*VLOOKUP(A200,'[43]geoMap (40)'!$A:$C,3,0)</f>
        <v>#REF!</v>
      </c>
      <c r="AQ200" s="1" t="e">
        <f>AP200/VLOOKUP(A200,'[44]geoMap (41)'!$A:$B,2,0)*VLOOKUP(A200,'[44]geoMap (41)'!$A:$C,3,0)</f>
        <v>#REF!</v>
      </c>
      <c r="AR200" s="1" t="e">
        <f>AQ200/VLOOKUP(A200,'[45]geoMap (42)'!$A:$B,2,0)*VLOOKUP(A200,'[45]geoMap (42)'!$A:$C,3,0)</f>
        <v>#REF!</v>
      </c>
      <c r="AS200" s="1" t="e">
        <f>AR200/VLOOKUP(A200,'[46]geoMap (43)'!$A:$B,2,0)*VLOOKUP(A200,'[46]geoMap (43)'!$A:$C,3,0)</f>
        <v>#REF!</v>
      </c>
      <c r="AT200" s="1" t="e">
        <f>AS200/VLOOKUP(A200,'[47]geoMap (44)'!$A:$B,2,0)*VLOOKUP(A200,'[47]geoMap (44)'!$A:$C,3,0)</f>
        <v>#REF!</v>
      </c>
      <c r="AU200" s="1" t="e">
        <f>AT200/VLOOKUP(A200,'[48]geoMap (45)'!$A:$B,2,0)*VLOOKUP(A200,'[48]geoMap (45)'!$A:$C,3,0)</f>
        <v>#REF!</v>
      </c>
      <c r="AV200" s="1" t="e">
        <f>AU200/VLOOKUP(A200,'[49]geoMap (46)'!$A:$B,2,0)*VLOOKUP(A200,'[49]geoMap (46)'!$A:$C,3,0)</f>
        <v>#REF!</v>
      </c>
      <c r="AW200" s="1" t="e">
        <f>AV200/VLOOKUP(A200,'[50]geoMap (47)'!$A:$B,2,0)*VLOOKUP(A200,'[50]geoMap (47)'!$A:$C,3,0)</f>
        <v>#REF!</v>
      </c>
      <c r="AX200" s="1" t="e">
        <f>AW200/VLOOKUP(A200,'[51]geoMap (48)'!$A:$B,2,0)*VLOOKUP(A200,'[51]geoMap (48)'!$A:$C,3,0)</f>
        <v>#REF!</v>
      </c>
      <c r="AY200" s="1" t="e">
        <f>AX200/VLOOKUP(A200,'[52]geoMap (49)'!$A:$B,2,0)*VLOOKUP(A200,'[52]geoMap (49)'!$A:$C,3,0)</f>
        <v>#REF!</v>
      </c>
      <c r="AZ200" s="1" t="e">
        <f>AY200/VLOOKUP(A200,'[53]geoMap (50)'!$A:$B,2,0)*VLOOKUP(A200,'[53]geoMap (50)'!$A:$C,3,0)</f>
        <v>#REF!</v>
      </c>
      <c r="BA200" s="1" t="e">
        <f>AZ200/VLOOKUP(A200,'[54]geoMap (51)'!$A:$B,2,0)*VLOOKUP(A200,'[54]geoMap (51)'!$A:$C,3,0)</f>
        <v>#REF!</v>
      </c>
      <c r="BB200" s="1" t="e">
        <f>BA200/VLOOKUP(A200,'[55]geoMap (52)'!$A:$B,2,0)*VLOOKUP(A200,'[55]geoMap (52)'!$A:$C,3,0)</f>
        <v>#REF!</v>
      </c>
      <c r="BC200" s="1" t="e">
        <f>BB200/VLOOKUP(A200,'[56]geoMap (53)'!$A:$B,2,0)*VLOOKUP(A200,'[56]geoMap (53)'!$A:$C,3,0)</f>
        <v>#REF!</v>
      </c>
      <c r="BD200" s="1" t="e">
        <f>BC200/VLOOKUP(A200,'[57]geoMap (54)'!$A:$B,2,0)*VLOOKUP(A200,'[57]geoMap (54)'!$A:$C,3,0)</f>
        <v>#REF!</v>
      </c>
      <c r="BE200" s="1" t="e">
        <f>BD200/VLOOKUP(A200,'[58]geoMap (55)'!$A:$B,2,0)*VLOOKUP(A200,'[58]geoMap (55)'!$A:$C,3,0)</f>
        <v>#REF!</v>
      </c>
      <c r="BF200" s="1" t="e">
        <f>BE200/VLOOKUP(A200,'[59]geoMap (56)'!$A:$B,2,0)*VLOOKUP(A200,'[59]geoMap (56)'!$A:$C,3,0)</f>
        <v>#REF!</v>
      </c>
      <c r="BG200" s="1" t="e">
        <f>BF200/VLOOKUP(A200,'[60]geoMap (57)'!$A:$B,2,0)*VLOOKUP(A200,'[60]geoMap (57)'!$A:$C,3,0)</f>
        <v>#REF!</v>
      </c>
      <c r="BH200" s="1" t="e">
        <f>BG200/VLOOKUP(A200,'[61]geoMap (58)'!$A:$B,2,0)*VLOOKUP(A200,'[61]geoMap (58)'!$A:$C,3,0)</f>
        <v>#REF!</v>
      </c>
      <c r="BI200" s="1" t="e">
        <f>BH200/VLOOKUP(A200,'[62]geoMap (59)'!$A:$B,2,0)*VLOOKUP(A200,'[62]geoMap (59)'!$A:$C,3,0)</f>
        <v>#REF!</v>
      </c>
      <c r="BJ200" s="1" t="e">
        <f>BI200/VLOOKUP(A200,'[63]geoMap (60)'!$A:$B,2,0)*VLOOKUP(A200,'[63]geoMap (60)'!$A:$C,3,0)</f>
        <v>#REF!</v>
      </c>
      <c r="BK200" s="1" t="e">
        <f>BJ200/VLOOKUP(A200,'[64]geoMap (61)'!$A:$B,2,0)*VLOOKUP(A200,'[64]geoMap (61)'!$A:$C,3,0)</f>
        <v>#REF!</v>
      </c>
      <c r="BL200" s="1" t="e">
        <f>BK200/VLOOKUP(A200,'[65]geoMap (62)'!$A:$B,2,0)*VLOOKUP(A200,'[65]geoMap (62)'!$A:$C,3,0)</f>
        <v>#REF!</v>
      </c>
      <c r="BM200" s="1" t="e">
        <f>BL200/VLOOKUP(A200,'[66]geoMap (63)'!$A:$B,2,0)*VLOOKUP(A200,'[66]geoMap (63)'!$A:$C,3,0)</f>
        <v>#REF!</v>
      </c>
      <c r="BN200" s="1" t="e">
        <f>BM200/VLOOKUP(A200,'[67]geoMap (64)'!$A:$B,2,0)*VLOOKUP(A200,'[67]geoMap (64)'!$A:$C,3,0)</f>
        <v>#REF!</v>
      </c>
      <c r="BO200" s="1" t="e">
        <f>BN200/VLOOKUP(A200,'[68]geoMap (65)'!$A:$B,2,0)*VLOOKUP(A200,'[68]geoMap (65)'!$A:$C,3,0)</f>
        <v>#REF!</v>
      </c>
      <c r="BP200" s="1" t="e">
        <f>BO200/VLOOKUP(A200,'[69]geoMap (66)'!$A:$B,2,0)*VLOOKUP(A200,'[69]geoMap (66)'!$A:$C,3,0)</f>
        <v>#REF!</v>
      </c>
    </row>
    <row r="201" spans="1:68" hidden="1" x14ac:dyDescent="0.2">
      <c r="A201" s="1" t="s">
        <v>203</v>
      </c>
      <c r="B201" s="1" t="e">
        <f>VLOOKUP(A201,[3]geoMap!$A:$B,2,0)*Notes!$C$6</f>
        <v>#REF!</v>
      </c>
      <c r="C201" s="1" t="e">
        <f>B201/VLOOKUP(A201,'[4]geoMap (1)'!$A:$B,2,0)*VLOOKUP(A201,'[4]geoMap (1)'!$A:$C,3,0)</f>
        <v>#REF!</v>
      </c>
      <c r="D201" s="1" t="e">
        <f>C201/VLOOKUP(A201,'[5]geoMap (2)'!$A:$B,2,0)*VLOOKUP(A201,'[5]geoMap (2)'!$A:$C,3,0)</f>
        <v>#REF!</v>
      </c>
      <c r="E201" s="1" t="e">
        <f>D201/VLOOKUP(A201,'[6]geoMap (3)'!$A:$B,2,0)*VLOOKUP(A201,'[6]geoMap (3)'!$A:$C,3,0)</f>
        <v>#REF!</v>
      </c>
      <c r="F201" s="1" t="e">
        <f>E201/VLOOKUP(A201,'[7]geoMap (4)'!$A:$B,2,0)*VLOOKUP(A201,'[7]geoMap (4)'!$A:$C,3,0)</f>
        <v>#REF!</v>
      </c>
      <c r="G201" s="1" t="e">
        <f>F201/VLOOKUP(A201,'[8]geoMap (5)'!$A:$B,2,0)*VLOOKUP(A201,'[8]geoMap (5)'!$A:$C,3,0)</f>
        <v>#REF!</v>
      </c>
      <c r="H201" s="1" t="e">
        <f>G201/VLOOKUP(A201,'[9]geoMap (6)'!$A:$B,2,0)*VLOOKUP(A201,'[9]geoMap (6)'!$A:$C,3,0)</f>
        <v>#REF!</v>
      </c>
      <c r="I201" s="1" t="e">
        <f>H201/VLOOKUP(A201,'[10]geoMap (7)'!$A:$B,2,0)*VLOOKUP(A201,'[10]geoMap (7)'!$A:$C,3,0)</f>
        <v>#REF!</v>
      </c>
      <c r="J201" s="1" t="e">
        <f>I201/VLOOKUP(A201,'[11]geoMap (8)'!$A:$B,2,0)*VLOOKUP(A201,'[11]geoMap (8)'!$A:$C,3,0)</f>
        <v>#REF!</v>
      </c>
      <c r="K201" s="1" t="e">
        <f>J201/VLOOKUP(A201,'[12]geoMap (9)'!$A:$B,2,0)*VLOOKUP(A201,'[12]geoMap (9)'!$A:$C,3,0)</f>
        <v>#REF!</v>
      </c>
      <c r="L201" s="1" t="e">
        <f>K201/VLOOKUP(A201,'[13]geoMap (10)'!$A:$B,2,0)*VLOOKUP(A201,'[13]geoMap (10)'!$A:$C,3,0)</f>
        <v>#REF!</v>
      </c>
      <c r="M201" s="1" t="e">
        <f>L201/VLOOKUP(A201,'[14]geoMap (11)'!$A:$B,2,0)*VLOOKUP(A201,'[14]geoMap (11)'!$A:$C,3,0)</f>
        <v>#REF!</v>
      </c>
      <c r="N201" s="1" t="e">
        <f>M201/VLOOKUP(A201,'[15]geoMap (12)'!$A:$B,2,0)*VLOOKUP(A201,'[15]geoMap (12)'!$A:$C,3,0)</f>
        <v>#REF!</v>
      </c>
      <c r="O201" s="1" t="e">
        <f>N201/VLOOKUP(A201,'[16]geoMap (13)'!$A:$B,2,0)*VLOOKUP(A201,'[16]geoMap (13)'!$A:$C,3,0)</f>
        <v>#REF!</v>
      </c>
      <c r="P201" s="1" t="e">
        <f>O201/VLOOKUP(A201,'[17]geoMap (14)'!$A:$B,2,0)*VLOOKUP(A201,'[17]geoMap (14)'!$A:$C,3,0)</f>
        <v>#REF!</v>
      </c>
      <c r="Q201" s="1" t="e">
        <f>P201/VLOOKUP(A201,'[18]geoMap (15)'!$A:$B,2,0)*VLOOKUP(A201,'[18]geoMap (15)'!$A:$C,3,0)</f>
        <v>#REF!</v>
      </c>
      <c r="R201" s="1" t="e">
        <f>Q201/VLOOKUP(A201,'[19]geoMap (16)'!$A:$B,2,0)*VLOOKUP(A201,'[19]geoMap (16)'!$A:$C,3,0)</f>
        <v>#REF!</v>
      </c>
      <c r="S201" s="1" t="e">
        <f>R201/VLOOKUP(A201,'[20]geoMap (17)'!$A:$B,2,0)*VLOOKUP(A201,'[20]geoMap (17)'!$A:$C,3,0)</f>
        <v>#REF!</v>
      </c>
      <c r="T201" s="1" t="e">
        <f>S201/VLOOKUP(A201,'[21]geoMap (18)'!$A:$B,2,0)*VLOOKUP(A201,'[21]geoMap (18)'!$A:$C,3,0)</f>
        <v>#REF!</v>
      </c>
      <c r="U201" s="1" t="e">
        <f>T201/VLOOKUP(A201,'[22]geoMap (19)'!$A:$B,2,0)*VLOOKUP(A201,'[22]geoMap (19)'!$A:$C,3,0)</f>
        <v>#REF!</v>
      </c>
      <c r="V201" s="1" t="e">
        <f>U201/VLOOKUP(A201,'[23]geoMap (20)'!$A:$B,2,0)*VLOOKUP(A201,'[23]geoMap (20)'!$A:$C,3,0)</f>
        <v>#REF!</v>
      </c>
      <c r="W201" s="1" t="e">
        <f>V201/VLOOKUP(A201,'[24]geoMap (21)'!$A:$B,2,0)*VLOOKUP(A201,'[24]geoMap (21)'!$A:$C,3,0)</f>
        <v>#REF!</v>
      </c>
      <c r="X201" s="1" t="e">
        <f>W201/VLOOKUP(A201,'[25]geoMap (22)'!$A:$B,2,0)*VLOOKUP(A201,'[25]geoMap (22)'!$A:$C,3,0)</f>
        <v>#REF!</v>
      </c>
      <c r="Y201" s="1" t="e">
        <f>X201/VLOOKUP(A201,'[26]geoMap (23)'!$A:$B,2,0)*VLOOKUP(A201,'[26]geoMap (23)'!$A:$C,3,0)</f>
        <v>#REF!</v>
      </c>
      <c r="Z201" s="1" t="e">
        <f>Y201/VLOOKUP(A201,'[27]geoMap (24)'!$A:$B,2,0)*VLOOKUP(A201,'[27]geoMap (24)'!$A:$C,3,0)</f>
        <v>#REF!</v>
      </c>
      <c r="AA201" s="1" t="e">
        <f>Z201/VLOOKUP(A201,'[28]geoMap (25)'!$A:$B,2,0)*VLOOKUP(A201,'[28]geoMap (25)'!$A:$C,3,0)</f>
        <v>#REF!</v>
      </c>
      <c r="AB201" s="1" t="e">
        <f>AA201*VLOOKUP(A201,'[29]geoMap (26)'!$A:$B,2,0)*VLOOKUP(A201,'[29]geoMap (26)'!$A:$C,3,0)</f>
        <v>#REF!</v>
      </c>
      <c r="AC201" s="1" t="e">
        <f>AB201/VLOOKUP(A201,'[30]geoMap (27)'!$A:$B,2,0)*VLOOKUP(A201,'[30]geoMap (27)'!$A:$C,3,0)</f>
        <v>#REF!</v>
      </c>
      <c r="AD201" s="1" t="e">
        <f>AC201/VLOOKUP(A201,'[31]geoMap (28)'!$A:$B,2,0)*VLOOKUP(A201,'[31]geoMap (28)'!$A:$C,3,0)</f>
        <v>#REF!</v>
      </c>
      <c r="AE201" s="1" t="e">
        <f>AD201/VLOOKUP(A201,'[32]geoMap (29)'!$A:$B,2,0)*VLOOKUP(A201,'[32]geoMap (29)'!$A:$C,3,0)</f>
        <v>#REF!</v>
      </c>
      <c r="AF201" s="1" t="e">
        <f>AE201/VLOOKUP(A201,'[33]geoMap (30)'!$A:$B,2,0)*VLOOKUP(A201,'[33]geoMap (30)'!$A:$C,3,0)</f>
        <v>#REF!</v>
      </c>
      <c r="AG201" s="1" t="e">
        <f>AF201/VLOOKUP(A201,'[34]geoMap (31)'!$A:$B,2,0)*VLOOKUP(A201,'[34]geoMap (31)'!$A:$C,3,0)</f>
        <v>#REF!</v>
      </c>
      <c r="AH201" s="1" t="e">
        <f>AG201/VLOOKUP(A201,'[35]geoMap (32)'!$A:$B,2,0)*VLOOKUP(A201,'[35]geoMap (32)'!$A:$C,3,0)</f>
        <v>#REF!</v>
      </c>
      <c r="AI201" s="1" t="e">
        <f>AH201/VLOOKUP(A201,'[36]geoMap (33)'!$A:$B,2,0)*VLOOKUP(A201,'[36]geoMap (33)'!$A:$C,3,0)</f>
        <v>#REF!</v>
      </c>
      <c r="AJ201" s="1" t="e">
        <f>AI201/VLOOKUP(A201,'[37]geoMap (34)'!$A:$B,2,0)*VLOOKUP(A201,'[37]geoMap (34)'!$A:$C,3,0)</f>
        <v>#REF!</v>
      </c>
      <c r="AK201" s="1" t="e">
        <f>AJ201/VLOOKUP(A201,'[38]geoMap (35)'!$A:$B,2,0)*VLOOKUP(A201,'[38]geoMap (35)'!$A:$C,3,0)</f>
        <v>#REF!</v>
      </c>
      <c r="AL201" s="1" t="e">
        <f>AK201/VLOOKUP(A201,'[39]geoMap (36)'!$A:$B,2,0)*VLOOKUP(A201,'[39]geoMap (36)'!$A:$C,3,0)</f>
        <v>#REF!</v>
      </c>
      <c r="AM201" s="1" t="e">
        <f>AL201/VLOOKUP(A201,'[40]geoMap (37)'!$A:$B,2,0)*VLOOKUP(A201,'[40]geoMap (37)'!$A:$C,3,0)</f>
        <v>#REF!</v>
      </c>
      <c r="AN201" s="1" t="e">
        <f>AM201/VLOOKUP(A201,'[41]geoMap (38)'!$A:$B,2,0)*VLOOKUP(A201,'[41]geoMap (38)'!$A:$C,3,0)</f>
        <v>#REF!</v>
      </c>
      <c r="AO201" s="1" t="e">
        <f>AN201/VLOOKUP(A201,'[42]geoMap (39)'!$A:$B,2,0)*VLOOKUP(A201,'[42]geoMap (39)'!$A:$C,3,0)</f>
        <v>#REF!</v>
      </c>
      <c r="AP201" s="1" t="e">
        <f>AO201/VLOOKUP(A201,'[43]geoMap (40)'!$A:$B,2,0)*VLOOKUP(A201,'[43]geoMap (40)'!$A:$C,3,0)</f>
        <v>#REF!</v>
      </c>
      <c r="AQ201" s="1" t="e">
        <f>AP201/VLOOKUP(A201,'[44]geoMap (41)'!$A:$B,2,0)*VLOOKUP(A201,'[44]geoMap (41)'!$A:$C,3,0)</f>
        <v>#REF!</v>
      </c>
      <c r="AR201" s="1" t="e">
        <f>AQ201/VLOOKUP(A201,'[45]geoMap (42)'!$A:$B,2,0)*VLOOKUP(A201,'[45]geoMap (42)'!$A:$C,3,0)</f>
        <v>#REF!</v>
      </c>
      <c r="AS201" s="1" t="e">
        <f>AR201/VLOOKUP(A201,'[46]geoMap (43)'!$A:$B,2,0)*VLOOKUP(A201,'[46]geoMap (43)'!$A:$C,3,0)</f>
        <v>#REF!</v>
      </c>
      <c r="AT201" s="1" t="e">
        <f>AS201/VLOOKUP(A201,'[47]geoMap (44)'!$A:$B,2,0)*VLOOKUP(A201,'[47]geoMap (44)'!$A:$C,3,0)</f>
        <v>#REF!</v>
      </c>
      <c r="AU201" s="1" t="e">
        <f>AT201/VLOOKUP(A201,'[48]geoMap (45)'!$A:$B,2,0)*VLOOKUP(A201,'[48]geoMap (45)'!$A:$C,3,0)</f>
        <v>#REF!</v>
      </c>
      <c r="AV201" s="1" t="e">
        <f>AU201/VLOOKUP(A201,'[49]geoMap (46)'!$A:$B,2,0)*VLOOKUP(A201,'[49]geoMap (46)'!$A:$C,3,0)</f>
        <v>#REF!</v>
      </c>
      <c r="AW201" s="1" t="e">
        <f>AV201/VLOOKUP(A201,'[50]geoMap (47)'!$A:$B,2,0)*VLOOKUP(A201,'[50]geoMap (47)'!$A:$C,3,0)</f>
        <v>#REF!</v>
      </c>
      <c r="AX201" s="1" t="e">
        <f>AW201/VLOOKUP(A201,'[51]geoMap (48)'!$A:$B,2,0)*VLOOKUP(A201,'[51]geoMap (48)'!$A:$C,3,0)</f>
        <v>#REF!</v>
      </c>
      <c r="AY201" s="1" t="e">
        <f>AX201/VLOOKUP(A201,'[52]geoMap (49)'!$A:$B,2,0)*VLOOKUP(A201,'[52]geoMap (49)'!$A:$C,3,0)</f>
        <v>#REF!</v>
      </c>
      <c r="AZ201" s="1" t="e">
        <f>AY201/VLOOKUP(A201,'[53]geoMap (50)'!$A:$B,2,0)*VLOOKUP(A201,'[53]geoMap (50)'!$A:$C,3,0)</f>
        <v>#REF!</v>
      </c>
      <c r="BA201" s="1" t="e">
        <f>AZ201/VLOOKUP(A201,'[54]geoMap (51)'!$A:$B,2,0)*VLOOKUP(A201,'[54]geoMap (51)'!$A:$C,3,0)</f>
        <v>#REF!</v>
      </c>
      <c r="BB201" s="1" t="e">
        <f>BA201/VLOOKUP(A201,'[55]geoMap (52)'!$A:$B,2,0)*VLOOKUP(A201,'[55]geoMap (52)'!$A:$C,3,0)</f>
        <v>#REF!</v>
      </c>
      <c r="BC201" s="1" t="e">
        <f>BB201/VLOOKUP(A201,'[56]geoMap (53)'!$A:$B,2,0)*VLOOKUP(A201,'[56]geoMap (53)'!$A:$C,3,0)</f>
        <v>#REF!</v>
      </c>
      <c r="BD201" s="1" t="e">
        <f>BC201/VLOOKUP(A201,'[57]geoMap (54)'!$A:$B,2,0)*VLOOKUP(A201,'[57]geoMap (54)'!$A:$C,3,0)</f>
        <v>#REF!</v>
      </c>
      <c r="BE201" s="1" t="e">
        <f>BD201/VLOOKUP(A201,'[58]geoMap (55)'!$A:$B,2,0)*VLOOKUP(A201,'[58]geoMap (55)'!$A:$C,3,0)</f>
        <v>#REF!</v>
      </c>
      <c r="BF201" s="1" t="e">
        <f>BE201/VLOOKUP(A201,'[59]geoMap (56)'!$A:$B,2,0)*VLOOKUP(A201,'[59]geoMap (56)'!$A:$C,3,0)</f>
        <v>#REF!</v>
      </c>
      <c r="BG201" s="1" t="e">
        <f>BF201/VLOOKUP(A201,'[60]geoMap (57)'!$A:$B,2,0)*VLOOKUP(A201,'[60]geoMap (57)'!$A:$C,3,0)</f>
        <v>#REF!</v>
      </c>
      <c r="BH201" s="1" t="e">
        <f>BG201/VLOOKUP(A201,'[61]geoMap (58)'!$A:$B,2,0)*VLOOKUP(A201,'[61]geoMap (58)'!$A:$C,3,0)</f>
        <v>#REF!</v>
      </c>
      <c r="BI201" s="1" t="e">
        <f>BH201/VLOOKUP(A201,'[62]geoMap (59)'!$A:$B,2,0)*VLOOKUP(A201,'[62]geoMap (59)'!$A:$C,3,0)</f>
        <v>#REF!</v>
      </c>
      <c r="BJ201" s="1" t="e">
        <f>BI201/VLOOKUP(A201,'[63]geoMap (60)'!$A:$B,2,0)*VLOOKUP(A201,'[63]geoMap (60)'!$A:$C,3,0)</f>
        <v>#REF!</v>
      </c>
      <c r="BK201" s="1" t="e">
        <f>BJ201/VLOOKUP(A201,'[64]geoMap (61)'!$A:$B,2,0)*VLOOKUP(A201,'[64]geoMap (61)'!$A:$C,3,0)</f>
        <v>#REF!</v>
      </c>
      <c r="BL201" s="1" t="e">
        <f>BK201/VLOOKUP(A201,'[65]geoMap (62)'!$A:$B,2,0)*VLOOKUP(A201,'[65]geoMap (62)'!$A:$C,3,0)</f>
        <v>#REF!</v>
      </c>
      <c r="BM201" s="1" t="e">
        <f>BL201/VLOOKUP(A201,'[66]geoMap (63)'!$A:$B,2,0)*VLOOKUP(A201,'[66]geoMap (63)'!$A:$C,3,0)</f>
        <v>#REF!</v>
      </c>
      <c r="BN201" s="1" t="e">
        <f>BM201/VLOOKUP(A201,'[67]geoMap (64)'!$A:$B,2,0)*VLOOKUP(A201,'[67]geoMap (64)'!$A:$C,3,0)</f>
        <v>#REF!</v>
      </c>
      <c r="BO201" s="1" t="e">
        <f>BN201/VLOOKUP(A201,'[68]geoMap (65)'!$A:$B,2,0)*VLOOKUP(A201,'[68]geoMap (65)'!$A:$C,3,0)</f>
        <v>#REF!</v>
      </c>
      <c r="BP201" s="1" t="e">
        <f>BO201/VLOOKUP(A201,'[69]geoMap (66)'!$A:$B,2,0)*VLOOKUP(A201,'[69]geoMap (66)'!$A:$C,3,0)</f>
        <v>#REF!</v>
      </c>
    </row>
    <row r="202" spans="1:68" hidden="1" x14ac:dyDescent="0.2">
      <c r="A202" s="1" t="s">
        <v>204</v>
      </c>
      <c r="B202" s="1" t="e">
        <f>VLOOKUP(A202,[3]geoMap!$A:$B,2,0)*Notes!$C$6</f>
        <v>#REF!</v>
      </c>
      <c r="C202" s="1" t="e">
        <f>B202/VLOOKUP(A202,'[4]geoMap (1)'!$A:$B,2,0)*VLOOKUP(A202,'[4]geoMap (1)'!$A:$C,3,0)</f>
        <v>#REF!</v>
      </c>
      <c r="D202" s="1" t="e">
        <f>C202/VLOOKUP(A202,'[5]geoMap (2)'!$A:$B,2,0)*VLOOKUP(A202,'[5]geoMap (2)'!$A:$C,3,0)</f>
        <v>#REF!</v>
      </c>
      <c r="E202" s="1" t="e">
        <f>D202/VLOOKUP(A202,'[6]geoMap (3)'!$A:$B,2,0)*VLOOKUP(A202,'[6]geoMap (3)'!$A:$C,3,0)</f>
        <v>#REF!</v>
      </c>
      <c r="F202" s="1" t="e">
        <f>E202/VLOOKUP(A202,'[7]geoMap (4)'!$A:$B,2,0)*VLOOKUP(A202,'[7]geoMap (4)'!$A:$C,3,0)</f>
        <v>#REF!</v>
      </c>
      <c r="G202" s="1" t="e">
        <f>F202/VLOOKUP(A202,'[8]geoMap (5)'!$A:$B,2,0)*VLOOKUP(A202,'[8]geoMap (5)'!$A:$C,3,0)</f>
        <v>#REF!</v>
      </c>
      <c r="H202" s="1" t="e">
        <f>G202/VLOOKUP(A202,'[9]geoMap (6)'!$A:$B,2,0)*VLOOKUP(A202,'[9]geoMap (6)'!$A:$C,3,0)</f>
        <v>#REF!</v>
      </c>
      <c r="I202" s="1" t="e">
        <f>H202/VLOOKUP(A202,'[10]geoMap (7)'!$A:$B,2,0)*VLOOKUP(A202,'[10]geoMap (7)'!$A:$C,3,0)</f>
        <v>#REF!</v>
      </c>
      <c r="J202" s="1" t="e">
        <f>I202/VLOOKUP(A202,'[11]geoMap (8)'!$A:$B,2,0)*VLOOKUP(A202,'[11]geoMap (8)'!$A:$C,3,0)</f>
        <v>#REF!</v>
      </c>
      <c r="K202" s="1" t="e">
        <f>J202/VLOOKUP(A202,'[12]geoMap (9)'!$A:$B,2,0)*VLOOKUP(A202,'[12]geoMap (9)'!$A:$C,3,0)</f>
        <v>#REF!</v>
      </c>
      <c r="L202" s="1" t="e">
        <f>K202/VLOOKUP(A202,'[13]geoMap (10)'!$A:$B,2,0)*VLOOKUP(A202,'[13]geoMap (10)'!$A:$C,3,0)</f>
        <v>#REF!</v>
      </c>
      <c r="M202" s="1" t="e">
        <f>L202/VLOOKUP(A202,'[14]geoMap (11)'!$A:$B,2,0)*VLOOKUP(A202,'[14]geoMap (11)'!$A:$C,3,0)</f>
        <v>#REF!</v>
      </c>
      <c r="N202" s="1" t="e">
        <f>M202/VLOOKUP(A202,'[15]geoMap (12)'!$A:$B,2,0)*VLOOKUP(A202,'[15]geoMap (12)'!$A:$C,3,0)</f>
        <v>#REF!</v>
      </c>
      <c r="O202" s="1" t="e">
        <f>N202/VLOOKUP(A202,'[16]geoMap (13)'!$A:$B,2,0)*VLOOKUP(A202,'[16]geoMap (13)'!$A:$C,3,0)</f>
        <v>#REF!</v>
      </c>
      <c r="P202" s="1" t="e">
        <f>O202/VLOOKUP(A202,'[17]geoMap (14)'!$A:$B,2,0)*VLOOKUP(A202,'[17]geoMap (14)'!$A:$C,3,0)</f>
        <v>#REF!</v>
      </c>
      <c r="Q202" s="1" t="e">
        <f>P202/VLOOKUP(A202,'[18]geoMap (15)'!$A:$B,2,0)*VLOOKUP(A202,'[18]geoMap (15)'!$A:$C,3,0)</f>
        <v>#REF!</v>
      </c>
      <c r="R202" s="1" t="e">
        <f>Q202/VLOOKUP(A202,'[19]geoMap (16)'!$A:$B,2,0)*VLOOKUP(A202,'[19]geoMap (16)'!$A:$C,3,0)</f>
        <v>#REF!</v>
      </c>
      <c r="S202" s="1" t="e">
        <f>R202/VLOOKUP(A202,'[20]geoMap (17)'!$A:$B,2,0)*VLOOKUP(A202,'[20]geoMap (17)'!$A:$C,3,0)</f>
        <v>#REF!</v>
      </c>
      <c r="T202" s="1" t="e">
        <f>S202/VLOOKUP(A202,'[21]geoMap (18)'!$A:$B,2,0)*VLOOKUP(A202,'[21]geoMap (18)'!$A:$C,3,0)</f>
        <v>#REF!</v>
      </c>
      <c r="U202" s="1" t="e">
        <f>T202/VLOOKUP(A202,'[22]geoMap (19)'!$A:$B,2,0)*VLOOKUP(A202,'[22]geoMap (19)'!$A:$C,3,0)</f>
        <v>#REF!</v>
      </c>
      <c r="V202" s="1" t="e">
        <f>U202/VLOOKUP(A202,'[23]geoMap (20)'!$A:$B,2,0)*VLOOKUP(A202,'[23]geoMap (20)'!$A:$C,3,0)</f>
        <v>#REF!</v>
      </c>
      <c r="W202" s="1" t="e">
        <f>V202/VLOOKUP(A202,'[24]geoMap (21)'!$A:$B,2,0)*VLOOKUP(A202,'[24]geoMap (21)'!$A:$C,3,0)</f>
        <v>#REF!</v>
      </c>
      <c r="X202" s="1" t="e">
        <f>W202/VLOOKUP(A202,'[25]geoMap (22)'!$A:$B,2,0)*VLOOKUP(A202,'[25]geoMap (22)'!$A:$C,3,0)</f>
        <v>#REF!</v>
      </c>
      <c r="Y202" s="1" t="e">
        <f>X202/VLOOKUP(A202,'[26]geoMap (23)'!$A:$B,2,0)*VLOOKUP(A202,'[26]geoMap (23)'!$A:$C,3,0)</f>
        <v>#REF!</v>
      </c>
      <c r="Z202" s="1" t="e">
        <f>Y202/VLOOKUP(A202,'[27]geoMap (24)'!$A:$B,2,0)*VLOOKUP(A202,'[27]geoMap (24)'!$A:$C,3,0)</f>
        <v>#REF!</v>
      </c>
      <c r="AA202" s="1" t="e">
        <f>Z202/VLOOKUP(A202,'[28]geoMap (25)'!$A:$B,2,0)*VLOOKUP(A202,'[28]geoMap (25)'!$A:$C,3,0)</f>
        <v>#REF!</v>
      </c>
      <c r="AB202" s="1" t="e">
        <f>AA202*VLOOKUP(A202,'[29]geoMap (26)'!$A:$B,2,0)*VLOOKUP(A202,'[29]geoMap (26)'!$A:$C,3,0)</f>
        <v>#REF!</v>
      </c>
      <c r="AC202" s="1" t="e">
        <f>AB202/VLOOKUP(A202,'[30]geoMap (27)'!$A:$B,2,0)*VLOOKUP(A202,'[30]geoMap (27)'!$A:$C,3,0)</f>
        <v>#REF!</v>
      </c>
      <c r="AD202" s="1" t="e">
        <f>AC202/VLOOKUP(A202,'[31]geoMap (28)'!$A:$B,2,0)*VLOOKUP(A202,'[31]geoMap (28)'!$A:$C,3,0)</f>
        <v>#REF!</v>
      </c>
      <c r="AE202" s="1" t="e">
        <f>AD202/VLOOKUP(A202,'[32]geoMap (29)'!$A:$B,2,0)*VLOOKUP(A202,'[32]geoMap (29)'!$A:$C,3,0)</f>
        <v>#REF!</v>
      </c>
      <c r="AF202" s="1" t="e">
        <f>AE202/VLOOKUP(A202,'[33]geoMap (30)'!$A:$B,2,0)*VLOOKUP(A202,'[33]geoMap (30)'!$A:$C,3,0)</f>
        <v>#REF!</v>
      </c>
      <c r="AG202" s="1" t="e">
        <f>AF202/VLOOKUP(A202,'[34]geoMap (31)'!$A:$B,2,0)*VLOOKUP(A202,'[34]geoMap (31)'!$A:$C,3,0)</f>
        <v>#REF!</v>
      </c>
      <c r="AH202" s="1" t="e">
        <f>AG202/VLOOKUP(A202,'[35]geoMap (32)'!$A:$B,2,0)*VLOOKUP(A202,'[35]geoMap (32)'!$A:$C,3,0)</f>
        <v>#REF!</v>
      </c>
      <c r="AI202" s="1" t="e">
        <f>AH202/VLOOKUP(A202,'[36]geoMap (33)'!$A:$B,2,0)*VLOOKUP(A202,'[36]geoMap (33)'!$A:$C,3,0)</f>
        <v>#REF!</v>
      </c>
      <c r="AJ202" s="1" t="e">
        <f>AI202/VLOOKUP(A202,'[37]geoMap (34)'!$A:$B,2,0)*VLOOKUP(A202,'[37]geoMap (34)'!$A:$C,3,0)</f>
        <v>#REF!</v>
      </c>
      <c r="AK202" s="1" t="e">
        <f>AJ202/VLOOKUP(A202,'[38]geoMap (35)'!$A:$B,2,0)*VLOOKUP(A202,'[38]geoMap (35)'!$A:$C,3,0)</f>
        <v>#REF!</v>
      </c>
      <c r="AL202" s="1" t="e">
        <f>AK202/VLOOKUP(A202,'[39]geoMap (36)'!$A:$B,2,0)*VLOOKUP(A202,'[39]geoMap (36)'!$A:$C,3,0)</f>
        <v>#REF!</v>
      </c>
      <c r="AM202" s="1" t="e">
        <f>AL202/VLOOKUP(A202,'[40]geoMap (37)'!$A:$B,2,0)*VLOOKUP(A202,'[40]geoMap (37)'!$A:$C,3,0)</f>
        <v>#REF!</v>
      </c>
      <c r="AN202" s="1" t="e">
        <f>AM202/VLOOKUP(A202,'[41]geoMap (38)'!$A:$B,2,0)*VLOOKUP(A202,'[41]geoMap (38)'!$A:$C,3,0)</f>
        <v>#REF!</v>
      </c>
      <c r="AO202" s="1" t="e">
        <f>AN202/VLOOKUP(A202,'[42]geoMap (39)'!$A:$B,2,0)*VLOOKUP(A202,'[42]geoMap (39)'!$A:$C,3,0)</f>
        <v>#REF!</v>
      </c>
      <c r="AP202" s="1" t="e">
        <f>AO202/VLOOKUP(A202,'[43]geoMap (40)'!$A:$B,2,0)*VLOOKUP(A202,'[43]geoMap (40)'!$A:$C,3,0)</f>
        <v>#REF!</v>
      </c>
      <c r="AQ202" s="1" t="e">
        <f>AP202/VLOOKUP(A202,'[44]geoMap (41)'!$A:$B,2,0)*VLOOKUP(A202,'[44]geoMap (41)'!$A:$C,3,0)</f>
        <v>#REF!</v>
      </c>
      <c r="AR202" s="1" t="e">
        <f>AQ202/VLOOKUP(A202,'[45]geoMap (42)'!$A:$B,2,0)*VLOOKUP(A202,'[45]geoMap (42)'!$A:$C,3,0)</f>
        <v>#REF!</v>
      </c>
      <c r="AS202" s="1" t="e">
        <f>AR202/VLOOKUP(A202,'[46]geoMap (43)'!$A:$B,2,0)*VLOOKUP(A202,'[46]geoMap (43)'!$A:$C,3,0)</f>
        <v>#REF!</v>
      </c>
      <c r="AT202" s="1" t="e">
        <f>AS202/VLOOKUP(A202,'[47]geoMap (44)'!$A:$B,2,0)*VLOOKUP(A202,'[47]geoMap (44)'!$A:$C,3,0)</f>
        <v>#REF!</v>
      </c>
      <c r="AU202" s="1" t="e">
        <f>AT202/VLOOKUP(A202,'[48]geoMap (45)'!$A:$B,2,0)*VLOOKUP(A202,'[48]geoMap (45)'!$A:$C,3,0)</f>
        <v>#REF!</v>
      </c>
      <c r="AV202" s="1" t="e">
        <f>AU202/VLOOKUP(A202,'[49]geoMap (46)'!$A:$B,2,0)*VLOOKUP(A202,'[49]geoMap (46)'!$A:$C,3,0)</f>
        <v>#REF!</v>
      </c>
      <c r="AW202" s="1" t="e">
        <f>AV202/VLOOKUP(A202,'[50]geoMap (47)'!$A:$B,2,0)*VLOOKUP(A202,'[50]geoMap (47)'!$A:$C,3,0)</f>
        <v>#REF!</v>
      </c>
      <c r="AX202" s="1" t="e">
        <f>AW202/VLOOKUP(A202,'[51]geoMap (48)'!$A:$B,2,0)*VLOOKUP(A202,'[51]geoMap (48)'!$A:$C,3,0)</f>
        <v>#REF!</v>
      </c>
      <c r="AY202" s="1" t="e">
        <f>AX202/VLOOKUP(A202,'[52]geoMap (49)'!$A:$B,2,0)*VLOOKUP(A202,'[52]geoMap (49)'!$A:$C,3,0)</f>
        <v>#REF!</v>
      </c>
      <c r="AZ202" s="1" t="e">
        <f>AY202/VLOOKUP(A202,'[53]geoMap (50)'!$A:$B,2,0)*VLOOKUP(A202,'[53]geoMap (50)'!$A:$C,3,0)</f>
        <v>#REF!</v>
      </c>
      <c r="BA202" s="1" t="e">
        <f>AZ202/VLOOKUP(A202,'[54]geoMap (51)'!$A:$B,2,0)*VLOOKUP(A202,'[54]geoMap (51)'!$A:$C,3,0)</f>
        <v>#REF!</v>
      </c>
      <c r="BB202" s="1" t="e">
        <f>BA202/VLOOKUP(A202,'[55]geoMap (52)'!$A:$B,2,0)*VLOOKUP(A202,'[55]geoMap (52)'!$A:$C,3,0)</f>
        <v>#REF!</v>
      </c>
      <c r="BC202" s="1" t="e">
        <f>BB202/VLOOKUP(A202,'[56]geoMap (53)'!$A:$B,2,0)*VLOOKUP(A202,'[56]geoMap (53)'!$A:$C,3,0)</f>
        <v>#REF!</v>
      </c>
      <c r="BD202" s="1" t="e">
        <f>BC202/VLOOKUP(A202,'[57]geoMap (54)'!$A:$B,2,0)*VLOOKUP(A202,'[57]geoMap (54)'!$A:$C,3,0)</f>
        <v>#REF!</v>
      </c>
      <c r="BE202" s="1" t="e">
        <f>BD202/VLOOKUP(A202,'[58]geoMap (55)'!$A:$B,2,0)*VLOOKUP(A202,'[58]geoMap (55)'!$A:$C,3,0)</f>
        <v>#REF!</v>
      </c>
      <c r="BF202" s="1" t="e">
        <f>BE202/VLOOKUP(A202,'[59]geoMap (56)'!$A:$B,2,0)*VLOOKUP(A202,'[59]geoMap (56)'!$A:$C,3,0)</f>
        <v>#REF!</v>
      </c>
      <c r="BG202" s="1" t="e">
        <f>BF202/VLOOKUP(A202,'[60]geoMap (57)'!$A:$B,2,0)*VLOOKUP(A202,'[60]geoMap (57)'!$A:$C,3,0)</f>
        <v>#REF!</v>
      </c>
      <c r="BH202" s="1" t="e">
        <f>BG202/VLOOKUP(A202,'[61]geoMap (58)'!$A:$B,2,0)*VLOOKUP(A202,'[61]geoMap (58)'!$A:$C,3,0)</f>
        <v>#REF!</v>
      </c>
      <c r="BI202" s="1" t="e">
        <f>BH202/VLOOKUP(A202,'[62]geoMap (59)'!$A:$B,2,0)*VLOOKUP(A202,'[62]geoMap (59)'!$A:$C,3,0)</f>
        <v>#REF!</v>
      </c>
      <c r="BJ202" s="1" t="e">
        <f>BI202/VLOOKUP(A202,'[63]geoMap (60)'!$A:$B,2,0)*VLOOKUP(A202,'[63]geoMap (60)'!$A:$C,3,0)</f>
        <v>#REF!</v>
      </c>
      <c r="BK202" s="1" t="e">
        <f>BJ202/VLOOKUP(A202,'[64]geoMap (61)'!$A:$B,2,0)*VLOOKUP(A202,'[64]geoMap (61)'!$A:$C,3,0)</f>
        <v>#REF!</v>
      </c>
      <c r="BL202" s="1" t="e">
        <f>BK202/VLOOKUP(A202,'[65]geoMap (62)'!$A:$B,2,0)*VLOOKUP(A202,'[65]geoMap (62)'!$A:$C,3,0)</f>
        <v>#REF!</v>
      </c>
      <c r="BM202" s="1" t="e">
        <f>BL202/VLOOKUP(A202,'[66]geoMap (63)'!$A:$B,2,0)*VLOOKUP(A202,'[66]geoMap (63)'!$A:$C,3,0)</f>
        <v>#REF!</v>
      </c>
      <c r="BN202" s="1" t="e">
        <f>BM202/VLOOKUP(A202,'[67]geoMap (64)'!$A:$B,2,0)*VLOOKUP(A202,'[67]geoMap (64)'!$A:$C,3,0)</f>
        <v>#REF!</v>
      </c>
      <c r="BO202" s="1" t="e">
        <f>BN202/VLOOKUP(A202,'[68]geoMap (65)'!$A:$B,2,0)*VLOOKUP(A202,'[68]geoMap (65)'!$A:$C,3,0)</f>
        <v>#REF!</v>
      </c>
      <c r="BP202" s="1" t="e">
        <f>BO202/VLOOKUP(A202,'[69]geoMap (66)'!$A:$B,2,0)*VLOOKUP(A202,'[69]geoMap (66)'!$A:$C,3,0)</f>
        <v>#REF!</v>
      </c>
    </row>
    <row r="203" spans="1:68" hidden="1" x14ac:dyDescent="0.2">
      <c r="A203" s="1" t="s">
        <v>205</v>
      </c>
      <c r="B203" s="1" t="e">
        <f>VLOOKUP(A203,[3]geoMap!$A:$B,2,0)*Notes!$C$6</f>
        <v>#REF!</v>
      </c>
      <c r="C203" s="1" t="e">
        <f>B203/VLOOKUP(A203,'[4]geoMap (1)'!$A:$B,2,0)*VLOOKUP(A203,'[4]geoMap (1)'!$A:$C,3,0)</f>
        <v>#REF!</v>
      </c>
      <c r="D203" s="1" t="e">
        <f>C203/VLOOKUP(A203,'[5]geoMap (2)'!$A:$B,2,0)*VLOOKUP(A203,'[5]geoMap (2)'!$A:$C,3,0)</f>
        <v>#REF!</v>
      </c>
      <c r="E203" s="1" t="e">
        <f>D203/VLOOKUP(A203,'[6]geoMap (3)'!$A:$B,2,0)*VLOOKUP(A203,'[6]geoMap (3)'!$A:$C,3,0)</f>
        <v>#REF!</v>
      </c>
      <c r="F203" s="1" t="e">
        <f>E203/VLOOKUP(A203,'[7]geoMap (4)'!$A:$B,2,0)*VLOOKUP(A203,'[7]geoMap (4)'!$A:$C,3,0)</f>
        <v>#REF!</v>
      </c>
      <c r="G203" s="1" t="e">
        <f>F203/VLOOKUP(A203,'[8]geoMap (5)'!$A:$B,2,0)*VLOOKUP(A203,'[8]geoMap (5)'!$A:$C,3,0)</f>
        <v>#REF!</v>
      </c>
      <c r="H203" s="1" t="e">
        <f>G203/VLOOKUP(A203,'[9]geoMap (6)'!$A:$B,2,0)*VLOOKUP(A203,'[9]geoMap (6)'!$A:$C,3,0)</f>
        <v>#REF!</v>
      </c>
      <c r="I203" s="1" t="e">
        <f>H203/VLOOKUP(A203,'[10]geoMap (7)'!$A:$B,2,0)*VLOOKUP(A203,'[10]geoMap (7)'!$A:$C,3,0)</f>
        <v>#REF!</v>
      </c>
      <c r="J203" s="1" t="e">
        <f>I203/VLOOKUP(A203,'[11]geoMap (8)'!$A:$B,2,0)*VLOOKUP(A203,'[11]geoMap (8)'!$A:$C,3,0)</f>
        <v>#REF!</v>
      </c>
      <c r="K203" s="1" t="e">
        <f>J203/VLOOKUP(A203,'[12]geoMap (9)'!$A:$B,2,0)*VLOOKUP(A203,'[12]geoMap (9)'!$A:$C,3,0)</f>
        <v>#REF!</v>
      </c>
      <c r="L203" s="1" t="e">
        <f>K203/VLOOKUP(A203,'[13]geoMap (10)'!$A:$B,2,0)*VLOOKUP(A203,'[13]geoMap (10)'!$A:$C,3,0)</f>
        <v>#REF!</v>
      </c>
      <c r="M203" s="1" t="e">
        <f>L203/VLOOKUP(A203,'[14]geoMap (11)'!$A:$B,2,0)*VLOOKUP(A203,'[14]geoMap (11)'!$A:$C,3,0)</f>
        <v>#REF!</v>
      </c>
      <c r="N203" s="1" t="e">
        <f>M203/VLOOKUP(A203,'[15]geoMap (12)'!$A:$B,2,0)*VLOOKUP(A203,'[15]geoMap (12)'!$A:$C,3,0)</f>
        <v>#REF!</v>
      </c>
      <c r="O203" s="1" t="e">
        <f>N203/VLOOKUP(A203,'[16]geoMap (13)'!$A:$B,2,0)*VLOOKUP(A203,'[16]geoMap (13)'!$A:$C,3,0)</f>
        <v>#REF!</v>
      </c>
      <c r="P203" s="1" t="e">
        <f>O203/VLOOKUP(A203,'[17]geoMap (14)'!$A:$B,2,0)*VLOOKUP(A203,'[17]geoMap (14)'!$A:$C,3,0)</f>
        <v>#REF!</v>
      </c>
      <c r="Q203" s="1" t="e">
        <f>P203/VLOOKUP(A203,'[18]geoMap (15)'!$A:$B,2,0)*VLOOKUP(A203,'[18]geoMap (15)'!$A:$C,3,0)</f>
        <v>#REF!</v>
      </c>
      <c r="R203" s="1" t="e">
        <f>Q203/VLOOKUP(A203,'[19]geoMap (16)'!$A:$B,2,0)*VLOOKUP(A203,'[19]geoMap (16)'!$A:$C,3,0)</f>
        <v>#REF!</v>
      </c>
      <c r="S203" s="1" t="e">
        <f>R203/VLOOKUP(A203,'[20]geoMap (17)'!$A:$B,2,0)*VLOOKUP(A203,'[20]geoMap (17)'!$A:$C,3,0)</f>
        <v>#REF!</v>
      </c>
      <c r="T203" s="1" t="e">
        <f>S203/VLOOKUP(A203,'[21]geoMap (18)'!$A:$B,2,0)*VLOOKUP(A203,'[21]geoMap (18)'!$A:$C,3,0)</f>
        <v>#REF!</v>
      </c>
      <c r="U203" s="1" t="e">
        <f>T203/VLOOKUP(A203,'[22]geoMap (19)'!$A:$B,2,0)*VLOOKUP(A203,'[22]geoMap (19)'!$A:$C,3,0)</f>
        <v>#REF!</v>
      </c>
      <c r="V203" s="1" t="e">
        <f>U203/VLOOKUP(A203,'[23]geoMap (20)'!$A:$B,2,0)*VLOOKUP(A203,'[23]geoMap (20)'!$A:$C,3,0)</f>
        <v>#REF!</v>
      </c>
      <c r="W203" s="1" t="e">
        <f>V203/VLOOKUP(A203,'[24]geoMap (21)'!$A:$B,2,0)*VLOOKUP(A203,'[24]geoMap (21)'!$A:$C,3,0)</f>
        <v>#REF!</v>
      </c>
      <c r="X203" s="1" t="e">
        <f>W203/VLOOKUP(A203,'[25]geoMap (22)'!$A:$B,2,0)*VLOOKUP(A203,'[25]geoMap (22)'!$A:$C,3,0)</f>
        <v>#REF!</v>
      </c>
      <c r="Y203" s="1" t="e">
        <f>X203/VLOOKUP(A203,'[26]geoMap (23)'!$A:$B,2,0)*VLOOKUP(A203,'[26]geoMap (23)'!$A:$C,3,0)</f>
        <v>#REF!</v>
      </c>
      <c r="Z203" s="1" t="e">
        <f>Y203/VLOOKUP(A203,'[27]geoMap (24)'!$A:$B,2,0)*VLOOKUP(A203,'[27]geoMap (24)'!$A:$C,3,0)</f>
        <v>#REF!</v>
      </c>
      <c r="AA203" s="1" t="e">
        <f>Z203/VLOOKUP(A203,'[28]geoMap (25)'!$A:$B,2,0)*VLOOKUP(A203,'[28]geoMap (25)'!$A:$C,3,0)</f>
        <v>#REF!</v>
      </c>
      <c r="AB203" s="1" t="e">
        <f>AA203*VLOOKUP(A203,'[29]geoMap (26)'!$A:$B,2,0)*VLOOKUP(A203,'[29]geoMap (26)'!$A:$C,3,0)</f>
        <v>#REF!</v>
      </c>
      <c r="AC203" s="1" t="e">
        <f>AB203/VLOOKUP(A203,'[30]geoMap (27)'!$A:$B,2,0)*VLOOKUP(A203,'[30]geoMap (27)'!$A:$C,3,0)</f>
        <v>#REF!</v>
      </c>
      <c r="AD203" s="1" t="e">
        <f>AC203/VLOOKUP(A203,'[31]geoMap (28)'!$A:$B,2,0)*VLOOKUP(A203,'[31]geoMap (28)'!$A:$C,3,0)</f>
        <v>#REF!</v>
      </c>
      <c r="AE203" s="1" t="e">
        <f>AD203/VLOOKUP(A203,'[32]geoMap (29)'!$A:$B,2,0)*VLOOKUP(A203,'[32]geoMap (29)'!$A:$C,3,0)</f>
        <v>#REF!</v>
      </c>
      <c r="AF203" s="1" t="e">
        <f>AE203/VLOOKUP(A203,'[33]geoMap (30)'!$A:$B,2,0)*VLOOKUP(A203,'[33]geoMap (30)'!$A:$C,3,0)</f>
        <v>#REF!</v>
      </c>
      <c r="AG203" s="1" t="e">
        <f>AF203/VLOOKUP(A203,'[34]geoMap (31)'!$A:$B,2,0)*VLOOKUP(A203,'[34]geoMap (31)'!$A:$C,3,0)</f>
        <v>#REF!</v>
      </c>
      <c r="AH203" s="1" t="e">
        <f>AG203/VLOOKUP(A203,'[35]geoMap (32)'!$A:$B,2,0)*VLOOKUP(A203,'[35]geoMap (32)'!$A:$C,3,0)</f>
        <v>#REF!</v>
      </c>
      <c r="AI203" s="1" t="e">
        <f>AH203/VLOOKUP(A203,'[36]geoMap (33)'!$A:$B,2,0)*VLOOKUP(A203,'[36]geoMap (33)'!$A:$C,3,0)</f>
        <v>#REF!</v>
      </c>
      <c r="AJ203" s="1" t="e">
        <f>AI203/VLOOKUP(A203,'[37]geoMap (34)'!$A:$B,2,0)*VLOOKUP(A203,'[37]geoMap (34)'!$A:$C,3,0)</f>
        <v>#REF!</v>
      </c>
      <c r="AK203" s="1" t="e">
        <f>AJ203/VLOOKUP(A203,'[38]geoMap (35)'!$A:$B,2,0)*VLOOKUP(A203,'[38]geoMap (35)'!$A:$C,3,0)</f>
        <v>#REF!</v>
      </c>
      <c r="AL203" s="1" t="e">
        <f>AK203/VLOOKUP(A203,'[39]geoMap (36)'!$A:$B,2,0)*VLOOKUP(A203,'[39]geoMap (36)'!$A:$C,3,0)</f>
        <v>#REF!</v>
      </c>
      <c r="AM203" s="1" t="e">
        <f>AL203/VLOOKUP(A203,'[40]geoMap (37)'!$A:$B,2,0)*VLOOKUP(A203,'[40]geoMap (37)'!$A:$C,3,0)</f>
        <v>#REF!</v>
      </c>
      <c r="AN203" s="1" t="e">
        <f>AM203/VLOOKUP(A203,'[41]geoMap (38)'!$A:$B,2,0)*VLOOKUP(A203,'[41]geoMap (38)'!$A:$C,3,0)</f>
        <v>#REF!</v>
      </c>
      <c r="AO203" s="1" t="e">
        <f>AN203/VLOOKUP(A203,'[42]geoMap (39)'!$A:$B,2,0)*VLOOKUP(A203,'[42]geoMap (39)'!$A:$C,3,0)</f>
        <v>#REF!</v>
      </c>
      <c r="AP203" s="1" t="e">
        <f>AO203/VLOOKUP(A203,'[43]geoMap (40)'!$A:$B,2,0)*VLOOKUP(A203,'[43]geoMap (40)'!$A:$C,3,0)</f>
        <v>#REF!</v>
      </c>
      <c r="AQ203" s="1" t="e">
        <f>AP203/VLOOKUP(A203,'[44]geoMap (41)'!$A:$B,2,0)*VLOOKUP(A203,'[44]geoMap (41)'!$A:$C,3,0)</f>
        <v>#REF!</v>
      </c>
      <c r="AR203" s="1" t="e">
        <f>AQ203/VLOOKUP(A203,'[45]geoMap (42)'!$A:$B,2,0)*VLOOKUP(A203,'[45]geoMap (42)'!$A:$C,3,0)</f>
        <v>#REF!</v>
      </c>
      <c r="AS203" s="1" t="e">
        <f>AR203/VLOOKUP(A203,'[46]geoMap (43)'!$A:$B,2,0)*VLOOKUP(A203,'[46]geoMap (43)'!$A:$C,3,0)</f>
        <v>#REF!</v>
      </c>
      <c r="AT203" s="1" t="e">
        <f>AS203/VLOOKUP(A203,'[47]geoMap (44)'!$A:$B,2,0)*VLOOKUP(A203,'[47]geoMap (44)'!$A:$C,3,0)</f>
        <v>#REF!</v>
      </c>
      <c r="AU203" s="1" t="e">
        <f>AT203/VLOOKUP(A203,'[48]geoMap (45)'!$A:$B,2,0)*VLOOKUP(A203,'[48]geoMap (45)'!$A:$C,3,0)</f>
        <v>#REF!</v>
      </c>
      <c r="AV203" s="1" t="e">
        <f>AU203/VLOOKUP(A203,'[49]geoMap (46)'!$A:$B,2,0)*VLOOKUP(A203,'[49]geoMap (46)'!$A:$C,3,0)</f>
        <v>#REF!</v>
      </c>
      <c r="AW203" s="1" t="e">
        <f>AV203/VLOOKUP(A203,'[50]geoMap (47)'!$A:$B,2,0)*VLOOKUP(A203,'[50]geoMap (47)'!$A:$C,3,0)</f>
        <v>#REF!</v>
      </c>
      <c r="AX203" s="1" t="e">
        <f>AW203/VLOOKUP(A203,'[51]geoMap (48)'!$A:$B,2,0)*VLOOKUP(A203,'[51]geoMap (48)'!$A:$C,3,0)</f>
        <v>#REF!</v>
      </c>
      <c r="AY203" s="1" t="e">
        <f>AX203/VLOOKUP(A203,'[52]geoMap (49)'!$A:$B,2,0)*VLOOKUP(A203,'[52]geoMap (49)'!$A:$C,3,0)</f>
        <v>#REF!</v>
      </c>
      <c r="AZ203" s="1" t="e">
        <f>AY203/VLOOKUP(A203,'[53]geoMap (50)'!$A:$B,2,0)*VLOOKUP(A203,'[53]geoMap (50)'!$A:$C,3,0)</f>
        <v>#REF!</v>
      </c>
      <c r="BA203" s="1" t="e">
        <f>AZ203/VLOOKUP(A203,'[54]geoMap (51)'!$A:$B,2,0)*VLOOKUP(A203,'[54]geoMap (51)'!$A:$C,3,0)</f>
        <v>#REF!</v>
      </c>
      <c r="BB203" s="1" t="e">
        <f>BA203/VLOOKUP(A203,'[55]geoMap (52)'!$A:$B,2,0)*VLOOKUP(A203,'[55]geoMap (52)'!$A:$C,3,0)</f>
        <v>#REF!</v>
      </c>
      <c r="BC203" s="1" t="e">
        <f>BB203/VLOOKUP(A203,'[56]geoMap (53)'!$A:$B,2,0)*VLOOKUP(A203,'[56]geoMap (53)'!$A:$C,3,0)</f>
        <v>#REF!</v>
      </c>
      <c r="BD203" s="1" t="e">
        <f>BC203/VLOOKUP(A203,'[57]geoMap (54)'!$A:$B,2,0)*VLOOKUP(A203,'[57]geoMap (54)'!$A:$C,3,0)</f>
        <v>#REF!</v>
      </c>
      <c r="BE203" s="1" t="e">
        <f>BD203/VLOOKUP(A203,'[58]geoMap (55)'!$A:$B,2,0)*VLOOKUP(A203,'[58]geoMap (55)'!$A:$C,3,0)</f>
        <v>#REF!</v>
      </c>
      <c r="BF203" s="1" t="e">
        <f>BE203/VLOOKUP(A203,'[59]geoMap (56)'!$A:$B,2,0)*VLOOKUP(A203,'[59]geoMap (56)'!$A:$C,3,0)</f>
        <v>#REF!</v>
      </c>
      <c r="BG203" s="1" t="e">
        <f>BF203/VLOOKUP(A203,'[60]geoMap (57)'!$A:$B,2,0)*VLOOKUP(A203,'[60]geoMap (57)'!$A:$C,3,0)</f>
        <v>#REF!</v>
      </c>
      <c r="BH203" s="1" t="e">
        <f>BG203/VLOOKUP(A203,'[61]geoMap (58)'!$A:$B,2,0)*VLOOKUP(A203,'[61]geoMap (58)'!$A:$C,3,0)</f>
        <v>#REF!</v>
      </c>
      <c r="BI203" s="1" t="e">
        <f>BH203/VLOOKUP(A203,'[62]geoMap (59)'!$A:$B,2,0)*VLOOKUP(A203,'[62]geoMap (59)'!$A:$C,3,0)</f>
        <v>#REF!</v>
      </c>
      <c r="BJ203" s="1" t="e">
        <f>BI203/VLOOKUP(A203,'[63]geoMap (60)'!$A:$B,2,0)*VLOOKUP(A203,'[63]geoMap (60)'!$A:$C,3,0)</f>
        <v>#REF!</v>
      </c>
      <c r="BK203" s="1" t="e">
        <f>BJ203/VLOOKUP(A203,'[64]geoMap (61)'!$A:$B,2,0)*VLOOKUP(A203,'[64]geoMap (61)'!$A:$C,3,0)</f>
        <v>#REF!</v>
      </c>
      <c r="BL203" s="1" t="e">
        <f>BK203/VLOOKUP(A203,'[65]geoMap (62)'!$A:$B,2,0)*VLOOKUP(A203,'[65]geoMap (62)'!$A:$C,3,0)</f>
        <v>#REF!</v>
      </c>
      <c r="BM203" s="1" t="e">
        <f>BL203/VLOOKUP(A203,'[66]geoMap (63)'!$A:$B,2,0)*VLOOKUP(A203,'[66]geoMap (63)'!$A:$C,3,0)</f>
        <v>#REF!</v>
      </c>
      <c r="BN203" s="1" t="e">
        <f>BM203/VLOOKUP(A203,'[67]geoMap (64)'!$A:$B,2,0)*VLOOKUP(A203,'[67]geoMap (64)'!$A:$C,3,0)</f>
        <v>#REF!</v>
      </c>
      <c r="BO203" s="1" t="e">
        <f>BN203/VLOOKUP(A203,'[68]geoMap (65)'!$A:$B,2,0)*VLOOKUP(A203,'[68]geoMap (65)'!$A:$C,3,0)</f>
        <v>#REF!</v>
      </c>
      <c r="BP203" s="1" t="e">
        <f>BO203/VLOOKUP(A203,'[69]geoMap (66)'!$A:$B,2,0)*VLOOKUP(A203,'[69]geoMap (66)'!$A:$C,3,0)</f>
        <v>#REF!</v>
      </c>
    </row>
    <row r="204" spans="1:68" hidden="1" x14ac:dyDescent="0.2">
      <c r="A204" s="1" t="s">
        <v>206</v>
      </c>
      <c r="B204" s="1" t="e">
        <f>VLOOKUP(A204,[3]geoMap!$A:$B,2,0)*Notes!$C$6</f>
        <v>#REF!</v>
      </c>
      <c r="C204" s="1" t="e">
        <f>B204/VLOOKUP(A204,'[4]geoMap (1)'!$A:$B,2,0)*VLOOKUP(A204,'[4]geoMap (1)'!$A:$C,3,0)</f>
        <v>#REF!</v>
      </c>
      <c r="D204" s="1" t="e">
        <f>C204/VLOOKUP(A204,'[5]geoMap (2)'!$A:$B,2,0)*VLOOKUP(A204,'[5]geoMap (2)'!$A:$C,3,0)</f>
        <v>#REF!</v>
      </c>
      <c r="E204" s="1" t="e">
        <f>D204/VLOOKUP(A204,'[6]geoMap (3)'!$A:$B,2,0)*VLOOKUP(A204,'[6]geoMap (3)'!$A:$C,3,0)</f>
        <v>#REF!</v>
      </c>
      <c r="F204" s="1" t="e">
        <f>E204/VLOOKUP(A204,'[7]geoMap (4)'!$A:$B,2,0)*VLOOKUP(A204,'[7]geoMap (4)'!$A:$C,3,0)</f>
        <v>#REF!</v>
      </c>
      <c r="G204" s="1" t="e">
        <f>F204/VLOOKUP(A204,'[8]geoMap (5)'!$A:$B,2,0)*VLOOKUP(A204,'[8]geoMap (5)'!$A:$C,3,0)</f>
        <v>#REF!</v>
      </c>
      <c r="H204" s="1" t="e">
        <f>G204/VLOOKUP(A204,'[9]geoMap (6)'!$A:$B,2,0)*VLOOKUP(A204,'[9]geoMap (6)'!$A:$C,3,0)</f>
        <v>#REF!</v>
      </c>
      <c r="I204" s="1" t="e">
        <f>H204/VLOOKUP(A204,'[10]geoMap (7)'!$A:$B,2,0)*VLOOKUP(A204,'[10]geoMap (7)'!$A:$C,3,0)</f>
        <v>#REF!</v>
      </c>
      <c r="J204" s="1" t="e">
        <f>I204/VLOOKUP(A204,'[11]geoMap (8)'!$A:$B,2,0)*VLOOKUP(A204,'[11]geoMap (8)'!$A:$C,3,0)</f>
        <v>#REF!</v>
      </c>
      <c r="K204" s="1" t="e">
        <f>J204/VLOOKUP(A204,'[12]geoMap (9)'!$A:$B,2,0)*VLOOKUP(A204,'[12]geoMap (9)'!$A:$C,3,0)</f>
        <v>#REF!</v>
      </c>
      <c r="L204" s="1" t="e">
        <f>K204/VLOOKUP(A204,'[13]geoMap (10)'!$A:$B,2,0)*VLOOKUP(A204,'[13]geoMap (10)'!$A:$C,3,0)</f>
        <v>#REF!</v>
      </c>
      <c r="M204" s="1" t="e">
        <f>L204/VLOOKUP(A204,'[14]geoMap (11)'!$A:$B,2,0)*VLOOKUP(A204,'[14]geoMap (11)'!$A:$C,3,0)</f>
        <v>#REF!</v>
      </c>
      <c r="N204" s="1" t="e">
        <f>M204/VLOOKUP(A204,'[15]geoMap (12)'!$A:$B,2,0)*VLOOKUP(A204,'[15]geoMap (12)'!$A:$C,3,0)</f>
        <v>#REF!</v>
      </c>
      <c r="O204" s="1" t="e">
        <f>N204/VLOOKUP(A204,'[16]geoMap (13)'!$A:$B,2,0)*VLOOKUP(A204,'[16]geoMap (13)'!$A:$C,3,0)</f>
        <v>#REF!</v>
      </c>
      <c r="P204" s="1" t="e">
        <f>O204/VLOOKUP(A204,'[17]geoMap (14)'!$A:$B,2,0)*VLOOKUP(A204,'[17]geoMap (14)'!$A:$C,3,0)</f>
        <v>#REF!</v>
      </c>
      <c r="Q204" s="1" t="e">
        <f>P204/VLOOKUP(A204,'[18]geoMap (15)'!$A:$B,2,0)*VLOOKUP(A204,'[18]geoMap (15)'!$A:$C,3,0)</f>
        <v>#REF!</v>
      </c>
      <c r="R204" s="1" t="e">
        <f>Q204/VLOOKUP(A204,'[19]geoMap (16)'!$A:$B,2,0)*VLOOKUP(A204,'[19]geoMap (16)'!$A:$C,3,0)</f>
        <v>#REF!</v>
      </c>
      <c r="S204" s="1" t="e">
        <f>R204/VLOOKUP(A204,'[20]geoMap (17)'!$A:$B,2,0)*VLOOKUP(A204,'[20]geoMap (17)'!$A:$C,3,0)</f>
        <v>#REF!</v>
      </c>
      <c r="T204" s="1" t="e">
        <f>S204/VLOOKUP(A204,'[21]geoMap (18)'!$A:$B,2,0)*VLOOKUP(A204,'[21]geoMap (18)'!$A:$C,3,0)</f>
        <v>#REF!</v>
      </c>
      <c r="U204" s="1" t="e">
        <f>T204/VLOOKUP(A204,'[22]geoMap (19)'!$A:$B,2,0)*VLOOKUP(A204,'[22]geoMap (19)'!$A:$C,3,0)</f>
        <v>#REF!</v>
      </c>
      <c r="V204" s="1" t="e">
        <f>U204/VLOOKUP(A204,'[23]geoMap (20)'!$A:$B,2,0)*VLOOKUP(A204,'[23]geoMap (20)'!$A:$C,3,0)</f>
        <v>#REF!</v>
      </c>
      <c r="W204" s="1" t="e">
        <f>V204/VLOOKUP(A204,'[24]geoMap (21)'!$A:$B,2,0)*VLOOKUP(A204,'[24]geoMap (21)'!$A:$C,3,0)</f>
        <v>#REF!</v>
      </c>
      <c r="X204" s="1" t="e">
        <f>W204/VLOOKUP(A204,'[25]geoMap (22)'!$A:$B,2,0)*VLOOKUP(A204,'[25]geoMap (22)'!$A:$C,3,0)</f>
        <v>#REF!</v>
      </c>
      <c r="Y204" s="1" t="e">
        <f>X204/VLOOKUP(A204,'[26]geoMap (23)'!$A:$B,2,0)*VLOOKUP(A204,'[26]geoMap (23)'!$A:$C,3,0)</f>
        <v>#REF!</v>
      </c>
      <c r="Z204" s="1" t="e">
        <f>Y204/VLOOKUP(A204,'[27]geoMap (24)'!$A:$B,2,0)*VLOOKUP(A204,'[27]geoMap (24)'!$A:$C,3,0)</f>
        <v>#REF!</v>
      </c>
      <c r="AA204" s="1" t="e">
        <f>Z204/VLOOKUP(A204,'[28]geoMap (25)'!$A:$B,2,0)*VLOOKUP(A204,'[28]geoMap (25)'!$A:$C,3,0)</f>
        <v>#REF!</v>
      </c>
      <c r="AB204" s="1" t="e">
        <f>AA204*VLOOKUP(A204,'[29]geoMap (26)'!$A:$B,2,0)*VLOOKUP(A204,'[29]geoMap (26)'!$A:$C,3,0)</f>
        <v>#REF!</v>
      </c>
      <c r="AC204" s="1" t="e">
        <f>AB204/VLOOKUP(A204,'[30]geoMap (27)'!$A:$B,2,0)*VLOOKUP(A204,'[30]geoMap (27)'!$A:$C,3,0)</f>
        <v>#REF!</v>
      </c>
      <c r="AD204" s="1" t="e">
        <f>AC204/VLOOKUP(A204,'[31]geoMap (28)'!$A:$B,2,0)*VLOOKUP(A204,'[31]geoMap (28)'!$A:$C,3,0)</f>
        <v>#REF!</v>
      </c>
      <c r="AE204" s="1" t="e">
        <f>AD204/VLOOKUP(A204,'[32]geoMap (29)'!$A:$B,2,0)*VLOOKUP(A204,'[32]geoMap (29)'!$A:$C,3,0)</f>
        <v>#REF!</v>
      </c>
      <c r="AF204" s="1" t="e">
        <f>AE204/VLOOKUP(A204,'[33]geoMap (30)'!$A:$B,2,0)*VLOOKUP(A204,'[33]geoMap (30)'!$A:$C,3,0)</f>
        <v>#REF!</v>
      </c>
      <c r="AG204" s="1" t="e">
        <f>AF204/VLOOKUP(A204,'[34]geoMap (31)'!$A:$B,2,0)*VLOOKUP(A204,'[34]geoMap (31)'!$A:$C,3,0)</f>
        <v>#REF!</v>
      </c>
      <c r="AH204" s="1" t="e">
        <f>AG204/VLOOKUP(A204,'[35]geoMap (32)'!$A:$B,2,0)*VLOOKUP(A204,'[35]geoMap (32)'!$A:$C,3,0)</f>
        <v>#REF!</v>
      </c>
      <c r="AI204" s="1" t="e">
        <f>AH204/VLOOKUP(A204,'[36]geoMap (33)'!$A:$B,2,0)*VLOOKUP(A204,'[36]geoMap (33)'!$A:$C,3,0)</f>
        <v>#REF!</v>
      </c>
      <c r="AJ204" s="1" t="e">
        <f>AI204/VLOOKUP(A204,'[37]geoMap (34)'!$A:$B,2,0)*VLOOKUP(A204,'[37]geoMap (34)'!$A:$C,3,0)</f>
        <v>#REF!</v>
      </c>
      <c r="AK204" s="1" t="e">
        <f>AJ204/VLOOKUP(A204,'[38]geoMap (35)'!$A:$B,2,0)*VLOOKUP(A204,'[38]geoMap (35)'!$A:$C,3,0)</f>
        <v>#REF!</v>
      </c>
      <c r="AL204" s="1" t="e">
        <f>AK204/VLOOKUP(A204,'[39]geoMap (36)'!$A:$B,2,0)*VLOOKUP(A204,'[39]geoMap (36)'!$A:$C,3,0)</f>
        <v>#REF!</v>
      </c>
      <c r="AM204" s="1" t="e">
        <f>AL204/VLOOKUP(A204,'[40]geoMap (37)'!$A:$B,2,0)*VLOOKUP(A204,'[40]geoMap (37)'!$A:$C,3,0)</f>
        <v>#REF!</v>
      </c>
      <c r="AN204" s="1" t="e">
        <f>AM204/VLOOKUP(A204,'[41]geoMap (38)'!$A:$B,2,0)*VLOOKUP(A204,'[41]geoMap (38)'!$A:$C,3,0)</f>
        <v>#REF!</v>
      </c>
      <c r="AO204" s="1" t="e">
        <f>AN204/VLOOKUP(A204,'[42]geoMap (39)'!$A:$B,2,0)*VLOOKUP(A204,'[42]geoMap (39)'!$A:$C,3,0)</f>
        <v>#REF!</v>
      </c>
      <c r="AP204" s="1" t="e">
        <f>AO204/VLOOKUP(A204,'[43]geoMap (40)'!$A:$B,2,0)*VLOOKUP(A204,'[43]geoMap (40)'!$A:$C,3,0)</f>
        <v>#REF!</v>
      </c>
      <c r="AQ204" s="1" t="e">
        <f>AP204/VLOOKUP(A204,'[44]geoMap (41)'!$A:$B,2,0)*VLOOKUP(A204,'[44]geoMap (41)'!$A:$C,3,0)</f>
        <v>#REF!</v>
      </c>
      <c r="AR204" s="1" t="e">
        <f>AQ204/VLOOKUP(A204,'[45]geoMap (42)'!$A:$B,2,0)*VLOOKUP(A204,'[45]geoMap (42)'!$A:$C,3,0)</f>
        <v>#REF!</v>
      </c>
      <c r="AS204" s="1" t="e">
        <f>AR204/VLOOKUP(A204,'[46]geoMap (43)'!$A:$B,2,0)*VLOOKUP(A204,'[46]geoMap (43)'!$A:$C,3,0)</f>
        <v>#REF!</v>
      </c>
      <c r="AT204" s="1" t="e">
        <f>AS204/VLOOKUP(A204,'[47]geoMap (44)'!$A:$B,2,0)*VLOOKUP(A204,'[47]geoMap (44)'!$A:$C,3,0)</f>
        <v>#REF!</v>
      </c>
      <c r="AU204" s="1" t="e">
        <f>AT204/VLOOKUP(A204,'[48]geoMap (45)'!$A:$B,2,0)*VLOOKUP(A204,'[48]geoMap (45)'!$A:$C,3,0)</f>
        <v>#REF!</v>
      </c>
      <c r="AV204" s="1" t="e">
        <f>AU204/VLOOKUP(A204,'[49]geoMap (46)'!$A:$B,2,0)*VLOOKUP(A204,'[49]geoMap (46)'!$A:$C,3,0)</f>
        <v>#REF!</v>
      </c>
      <c r="AW204" s="1" t="e">
        <f>AV204/VLOOKUP(A204,'[50]geoMap (47)'!$A:$B,2,0)*VLOOKUP(A204,'[50]geoMap (47)'!$A:$C,3,0)</f>
        <v>#REF!</v>
      </c>
      <c r="AX204" s="1" t="e">
        <f>AW204/VLOOKUP(A204,'[51]geoMap (48)'!$A:$B,2,0)*VLOOKUP(A204,'[51]geoMap (48)'!$A:$C,3,0)</f>
        <v>#REF!</v>
      </c>
      <c r="AY204" s="1" t="e">
        <f>AX204/VLOOKUP(A204,'[52]geoMap (49)'!$A:$B,2,0)*VLOOKUP(A204,'[52]geoMap (49)'!$A:$C,3,0)</f>
        <v>#REF!</v>
      </c>
      <c r="AZ204" s="1" t="e">
        <f>AY204/VLOOKUP(A204,'[53]geoMap (50)'!$A:$B,2,0)*VLOOKUP(A204,'[53]geoMap (50)'!$A:$C,3,0)</f>
        <v>#REF!</v>
      </c>
      <c r="BA204" s="1" t="e">
        <f>AZ204/VLOOKUP(A204,'[54]geoMap (51)'!$A:$B,2,0)*VLOOKUP(A204,'[54]geoMap (51)'!$A:$C,3,0)</f>
        <v>#REF!</v>
      </c>
      <c r="BB204" s="1" t="e">
        <f>BA204/VLOOKUP(A204,'[55]geoMap (52)'!$A:$B,2,0)*VLOOKUP(A204,'[55]geoMap (52)'!$A:$C,3,0)</f>
        <v>#REF!</v>
      </c>
      <c r="BC204" s="1" t="e">
        <f>BB204/VLOOKUP(A204,'[56]geoMap (53)'!$A:$B,2,0)*VLOOKUP(A204,'[56]geoMap (53)'!$A:$C,3,0)</f>
        <v>#REF!</v>
      </c>
      <c r="BD204" s="1" t="e">
        <f>BC204/VLOOKUP(A204,'[57]geoMap (54)'!$A:$B,2,0)*VLOOKUP(A204,'[57]geoMap (54)'!$A:$C,3,0)</f>
        <v>#REF!</v>
      </c>
      <c r="BE204" s="1" t="e">
        <f>BD204/VLOOKUP(A204,'[58]geoMap (55)'!$A:$B,2,0)*VLOOKUP(A204,'[58]geoMap (55)'!$A:$C,3,0)</f>
        <v>#REF!</v>
      </c>
      <c r="BF204" s="1" t="e">
        <f>BE204/VLOOKUP(A204,'[59]geoMap (56)'!$A:$B,2,0)*VLOOKUP(A204,'[59]geoMap (56)'!$A:$C,3,0)</f>
        <v>#REF!</v>
      </c>
      <c r="BG204" s="1" t="e">
        <f>BF204/VLOOKUP(A204,'[60]geoMap (57)'!$A:$B,2,0)*VLOOKUP(A204,'[60]geoMap (57)'!$A:$C,3,0)</f>
        <v>#REF!</v>
      </c>
      <c r="BH204" s="1" t="e">
        <f>BG204/VLOOKUP(A204,'[61]geoMap (58)'!$A:$B,2,0)*VLOOKUP(A204,'[61]geoMap (58)'!$A:$C,3,0)</f>
        <v>#REF!</v>
      </c>
      <c r="BI204" s="1" t="e">
        <f>BH204/VLOOKUP(A204,'[62]geoMap (59)'!$A:$B,2,0)*VLOOKUP(A204,'[62]geoMap (59)'!$A:$C,3,0)</f>
        <v>#REF!</v>
      </c>
      <c r="BJ204" s="1" t="e">
        <f>BI204/VLOOKUP(A204,'[63]geoMap (60)'!$A:$B,2,0)*VLOOKUP(A204,'[63]geoMap (60)'!$A:$C,3,0)</f>
        <v>#REF!</v>
      </c>
      <c r="BK204" s="1" t="e">
        <f>BJ204/VLOOKUP(A204,'[64]geoMap (61)'!$A:$B,2,0)*VLOOKUP(A204,'[64]geoMap (61)'!$A:$C,3,0)</f>
        <v>#REF!</v>
      </c>
      <c r="BL204" s="1" t="e">
        <f>BK204/VLOOKUP(A204,'[65]geoMap (62)'!$A:$B,2,0)*VLOOKUP(A204,'[65]geoMap (62)'!$A:$C,3,0)</f>
        <v>#REF!</v>
      </c>
      <c r="BM204" s="1" t="e">
        <f>BL204/VLOOKUP(A204,'[66]geoMap (63)'!$A:$B,2,0)*VLOOKUP(A204,'[66]geoMap (63)'!$A:$C,3,0)</f>
        <v>#REF!</v>
      </c>
      <c r="BN204" s="1" t="e">
        <f>BM204/VLOOKUP(A204,'[67]geoMap (64)'!$A:$B,2,0)*VLOOKUP(A204,'[67]geoMap (64)'!$A:$C,3,0)</f>
        <v>#REF!</v>
      </c>
      <c r="BO204" s="1" t="e">
        <f>BN204/VLOOKUP(A204,'[68]geoMap (65)'!$A:$B,2,0)*VLOOKUP(A204,'[68]geoMap (65)'!$A:$C,3,0)</f>
        <v>#REF!</v>
      </c>
      <c r="BP204" s="1" t="e">
        <f>BO204/VLOOKUP(A204,'[69]geoMap (66)'!$A:$B,2,0)*VLOOKUP(A204,'[69]geoMap (66)'!$A:$C,3,0)</f>
        <v>#REF!</v>
      </c>
    </row>
    <row r="205" spans="1:68" hidden="1" x14ac:dyDescent="0.2">
      <c r="A205" s="1" t="s">
        <v>207</v>
      </c>
      <c r="B205" s="1" t="e">
        <f>VLOOKUP(A205,[3]geoMap!$A:$B,2,0)*Notes!$C$6</f>
        <v>#REF!</v>
      </c>
      <c r="C205" s="1" t="e">
        <f>B205/VLOOKUP(A205,'[4]geoMap (1)'!$A:$B,2,0)*VLOOKUP(A205,'[4]geoMap (1)'!$A:$C,3,0)</f>
        <v>#REF!</v>
      </c>
      <c r="D205" s="1" t="e">
        <f>C205/VLOOKUP(A205,'[5]geoMap (2)'!$A:$B,2,0)*VLOOKUP(A205,'[5]geoMap (2)'!$A:$C,3,0)</f>
        <v>#REF!</v>
      </c>
      <c r="E205" s="1" t="e">
        <f>D205/VLOOKUP(A205,'[6]geoMap (3)'!$A:$B,2,0)*VLOOKUP(A205,'[6]geoMap (3)'!$A:$C,3,0)</f>
        <v>#REF!</v>
      </c>
      <c r="F205" s="1" t="e">
        <f>E205/VLOOKUP(A205,'[7]geoMap (4)'!$A:$B,2,0)*VLOOKUP(A205,'[7]geoMap (4)'!$A:$C,3,0)</f>
        <v>#REF!</v>
      </c>
      <c r="G205" s="1" t="e">
        <f>F205/VLOOKUP(A205,'[8]geoMap (5)'!$A:$B,2,0)*VLOOKUP(A205,'[8]geoMap (5)'!$A:$C,3,0)</f>
        <v>#REF!</v>
      </c>
      <c r="H205" s="1" t="e">
        <f>G205/VLOOKUP(A205,'[9]geoMap (6)'!$A:$B,2,0)*VLOOKUP(A205,'[9]geoMap (6)'!$A:$C,3,0)</f>
        <v>#REF!</v>
      </c>
      <c r="I205" s="1" t="e">
        <f>H205/VLOOKUP(A205,'[10]geoMap (7)'!$A:$B,2,0)*VLOOKUP(A205,'[10]geoMap (7)'!$A:$C,3,0)</f>
        <v>#REF!</v>
      </c>
      <c r="J205" s="1" t="e">
        <f>I205/VLOOKUP(A205,'[11]geoMap (8)'!$A:$B,2,0)*VLOOKUP(A205,'[11]geoMap (8)'!$A:$C,3,0)</f>
        <v>#REF!</v>
      </c>
      <c r="K205" s="1" t="e">
        <f>J205/VLOOKUP(A205,'[12]geoMap (9)'!$A:$B,2,0)*VLOOKUP(A205,'[12]geoMap (9)'!$A:$C,3,0)</f>
        <v>#REF!</v>
      </c>
      <c r="L205" s="1" t="e">
        <f>K205/VLOOKUP(A205,'[13]geoMap (10)'!$A:$B,2,0)*VLOOKUP(A205,'[13]geoMap (10)'!$A:$C,3,0)</f>
        <v>#REF!</v>
      </c>
      <c r="M205" s="1" t="e">
        <f>L205/VLOOKUP(A205,'[14]geoMap (11)'!$A:$B,2,0)*VLOOKUP(A205,'[14]geoMap (11)'!$A:$C,3,0)</f>
        <v>#REF!</v>
      </c>
      <c r="N205" s="1" t="e">
        <f>M205/VLOOKUP(A205,'[15]geoMap (12)'!$A:$B,2,0)*VLOOKUP(A205,'[15]geoMap (12)'!$A:$C,3,0)</f>
        <v>#REF!</v>
      </c>
      <c r="O205" s="1" t="e">
        <f>N205/VLOOKUP(A205,'[16]geoMap (13)'!$A:$B,2,0)*VLOOKUP(A205,'[16]geoMap (13)'!$A:$C,3,0)</f>
        <v>#REF!</v>
      </c>
      <c r="P205" s="1" t="e">
        <f>O205/VLOOKUP(A205,'[17]geoMap (14)'!$A:$B,2,0)*VLOOKUP(A205,'[17]geoMap (14)'!$A:$C,3,0)</f>
        <v>#REF!</v>
      </c>
      <c r="Q205" s="1" t="e">
        <f>P205/VLOOKUP(A205,'[18]geoMap (15)'!$A:$B,2,0)*VLOOKUP(A205,'[18]geoMap (15)'!$A:$C,3,0)</f>
        <v>#REF!</v>
      </c>
      <c r="R205" s="1" t="e">
        <f>Q205/VLOOKUP(A205,'[19]geoMap (16)'!$A:$B,2,0)*VLOOKUP(A205,'[19]geoMap (16)'!$A:$C,3,0)</f>
        <v>#REF!</v>
      </c>
      <c r="S205" s="1" t="e">
        <f>R205/VLOOKUP(A205,'[20]geoMap (17)'!$A:$B,2,0)*VLOOKUP(A205,'[20]geoMap (17)'!$A:$C,3,0)</f>
        <v>#REF!</v>
      </c>
      <c r="T205" s="1" t="e">
        <f>S205/VLOOKUP(A205,'[21]geoMap (18)'!$A:$B,2,0)*VLOOKUP(A205,'[21]geoMap (18)'!$A:$C,3,0)</f>
        <v>#REF!</v>
      </c>
      <c r="U205" s="1" t="e">
        <f>T205/VLOOKUP(A205,'[22]geoMap (19)'!$A:$B,2,0)*VLOOKUP(A205,'[22]geoMap (19)'!$A:$C,3,0)</f>
        <v>#REF!</v>
      </c>
      <c r="V205" s="1" t="e">
        <f>U205/VLOOKUP(A205,'[23]geoMap (20)'!$A:$B,2,0)*VLOOKUP(A205,'[23]geoMap (20)'!$A:$C,3,0)</f>
        <v>#REF!</v>
      </c>
      <c r="W205" s="1" t="e">
        <f>V205/VLOOKUP(A205,'[24]geoMap (21)'!$A:$B,2,0)*VLOOKUP(A205,'[24]geoMap (21)'!$A:$C,3,0)</f>
        <v>#REF!</v>
      </c>
      <c r="X205" s="1" t="e">
        <f>W205/VLOOKUP(A205,'[25]geoMap (22)'!$A:$B,2,0)*VLOOKUP(A205,'[25]geoMap (22)'!$A:$C,3,0)</f>
        <v>#REF!</v>
      </c>
      <c r="Y205" s="1" t="e">
        <f>X205/VLOOKUP(A205,'[26]geoMap (23)'!$A:$B,2,0)*VLOOKUP(A205,'[26]geoMap (23)'!$A:$C,3,0)</f>
        <v>#REF!</v>
      </c>
      <c r="Z205" s="1" t="e">
        <f>Y205/VLOOKUP(A205,'[27]geoMap (24)'!$A:$B,2,0)*VLOOKUP(A205,'[27]geoMap (24)'!$A:$C,3,0)</f>
        <v>#REF!</v>
      </c>
      <c r="AA205" s="1" t="e">
        <f>Z205/VLOOKUP(A205,'[28]geoMap (25)'!$A:$B,2,0)*VLOOKUP(A205,'[28]geoMap (25)'!$A:$C,3,0)</f>
        <v>#REF!</v>
      </c>
      <c r="AB205" s="1" t="e">
        <f>AA205*VLOOKUP(A205,'[29]geoMap (26)'!$A:$B,2,0)*VLOOKUP(A205,'[29]geoMap (26)'!$A:$C,3,0)</f>
        <v>#REF!</v>
      </c>
      <c r="AC205" s="1" t="e">
        <f>AB205/VLOOKUP(A205,'[30]geoMap (27)'!$A:$B,2,0)*VLOOKUP(A205,'[30]geoMap (27)'!$A:$C,3,0)</f>
        <v>#REF!</v>
      </c>
      <c r="AD205" s="1" t="e">
        <f>AC205/VLOOKUP(A205,'[31]geoMap (28)'!$A:$B,2,0)*VLOOKUP(A205,'[31]geoMap (28)'!$A:$C,3,0)</f>
        <v>#REF!</v>
      </c>
      <c r="AE205" s="1" t="e">
        <f>AD205/VLOOKUP(A205,'[32]geoMap (29)'!$A:$B,2,0)*VLOOKUP(A205,'[32]geoMap (29)'!$A:$C,3,0)</f>
        <v>#REF!</v>
      </c>
      <c r="AF205" s="1" t="e">
        <f>AE205/VLOOKUP(A205,'[33]geoMap (30)'!$A:$B,2,0)*VLOOKUP(A205,'[33]geoMap (30)'!$A:$C,3,0)</f>
        <v>#REF!</v>
      </c>
      <c r="AG205" s="1" t="e">
        <f>AF205/VLOOKUP(A205,'[34]geoMap (31)'!$A:$B,2,0)*VLOOKUP(A205,'[34]geoMap (31)'!$A:$C,3,0)</f>
        <v>#REF!</v>
      </c>
      <c r="AH205" s="1" t="e">
        <f>AG205/VLOOKUP(A205,'[35]geoMap (32)'!$A:$B,2,0)*VLOOKUP(A205,'[35]geoMap (32)'!$A:$C,3,0)</f>
        <v>#REF!</v>
      </c>
      <c r="AI205" s="1" t="e">
        <f>AH205/VLOOKUP(A205,'[36]geoMap (33)'!$A:$B,2,0)*VLOOKUP(A205,'[36]geoMap (33)'!$A:$C,3,0)</f>
        <v>#REF!</v>
      </c>
      <c r="AJ205" s="1" t="e">
        <f>AI205/VLOOKUP(A205,'[37]geoMap (34)'!$A:$B,2,0)*VLOOKUP(A205,'[37]geoMap (34)'!$A:$C,3,0)</f>
        <v>#REF!</v>
      </c>
      <c r="AK205" s="1" t="e">
        <f>AJ205/VLOOKUP(A205,'[38]geoMap (35)'!$A:$B,2,0)*VLOOKUP(A205,'[38]geoMap (35)'!$A:$C,3,0)</f>
        <v>#REF!</v>
      </c>
      <c r="AL205" s="1" t="e">
        <f>AK205/VLOOKUP(A205,'[39]geoMap (36)'!$A:$B,2,0)*VLOOKUP(A205,'[39]geoMap (36)'!$A:$C,3,0)</f>
        <v>#REF!</v>
      </c>
      <c r="AM205" s="1" t="e">
        <f>AL205/VLOOKUP(A205,'[40]geoMap (37)'!$A:$B,2,0)*VLOOKUP(A205,'[40]geoMap (37)'!$A:$C,3,0)</f>
        <v>#REF!</v>
      </c>
      <c r="AN205" s="1" t="e">
        <f>AM205/VLOOKUP(A205,'[41]geoMap (38)'!$A:$B,2,0)*VLOOKUP(A205,'[41]geoMap (38)'!$A:$C,3,0)</f>
        <v>#REF!</v>
      </c>
      <c r="AO205" s="1" t="e">
        <f>AN205/VLOOKUP(A205,'[42]geoMap (39)'!$A:$B,2,0)*VLOOKUP(A205,'[42]geoMap (39)'!$A:$C,3,0)</f>
        <v>#REF!</v>
      </c>
      <c r="AP205" s="1" t="e">
        <f>AO205/VLOOKUP(A205,'[43]geoMap (40)'!$A:$B,2,0)*VLOOKUP(A205,'[43]geoMap (40)'!$A:$C,3,0)</f>
        <v>#REF!</v>
      </c>
      <c r="AQ205" s="1" t="e">
        <f>AP205/VLOOKUP(A205,'[44]geoMap (41)'!$A:$B,2,0)*VLOOKUP(A205,'[44]geoMap (41)'!$A:$C,3,0)</f>
        <v>#REF!</v>
      </c>
      <c r="AR205" s="1" t="e">
        <f>AQ205/VLOOKUP(A205,'[45]geoMap (42)'!$A:$B,2,0)*VLOOKUP(A205,'[45]geoMap (42)'!$A:$C,3,0)</f>
        <v>#REF!</v>
      </c>
      <c r="AS205" s="1" t="e">
        <f>AR205/VLOOKUP(A205,'[46]geoMap (43)'!$A:$B,2,0)*VLOOKUP(A205,'[46]geoMap (43)'!$A:$C,3,0)</f>
        <v>#REF!</v>
      </c>
      <c r="AT205" s="1" t="e">
        <f>AS205/VLOOKUP(A205,'[47]geoMap (44)'!$A:$B,2,0)*VLOOKUP(A205,'[47]geoMap (44)'!$A:$C,3,0)</f>
        <v>#REF!</v>
      </c>
      <c r="AU205" s="1" t="e">
        <f>AT205/VLOOKUP(A205,'[48]geoMap (45)'!$A:$B,2,0)*VLOOKUP(A205,'[48]geoMap (45)'!$A:$C,3,0)</f>
        <v>#REF!</v>
      </c>
      <c r="AV205" s="1" t="e">
        <f>AU205/VLOOKUP(A205,'[49]geoMap (46)'!$A:$B,2,0)*VLOOKUP(A205,'[49]geoMap (46)'!$A:$C,3,0)</f>
        <v>#REF!</v>
      </c>
      <c r="AW205" s="1" t="e">
        <f>AV205/VLOOKUP(A205,'[50]geoMap (47)'!$A:$B,2,0)*VLOOKUP(A205,'[50]geoMap (47)'!$A:$C,3,0)</f>
        <v>#REF!</v>
      </c>
      <c r="AX205" s="1" t="e">
        <f>AW205/VLOOKUP(A205,'[51]geoMap (48)'!$A:$B,2,0)*VLOOKUP(A205,'[51]geoMap (48)'!$A:$C,3,0)</f>
        <v>#REF!</v>
      </c>
      <c r="AY205" s="1" t="e">
        <f>AX205/VLOOKUP(A205,'[52]geoMap (49)'!$A:$B,2,0)*VLOOKUP(A205,'[52]geoMap (49)'!$A:$C,3,0)</f>
        <v>#REF!</v>
      </c>
      <c r="AZ205" s="1" t="e">
        <f>AY205/VLOOKUP(A205,'[53]geoMap (50)'!$A:$B,2,0)*VLOOKUP(A205,'[53]geoMap (50)'!$A:$C,3,0)</f>
        <v>#REF!</v>
      </c>
      <c r="BA205" s="1" t="e">
        <f>AZ205/VLOOKUP(A205,'[54]geoMap (51)'!$A:$B,2,0)*VLOOKUP(A205,'[54]geoMap (51)'!$A:$C,3,0)</f>
        <v>#REF!</v>
      </c>
      <c r="BB205" s="1" t="e">
        <f>BA205/VLOOKUP(A205,'[55]geoMap (52)'!$A:$B,2,0)*VLOOKUP(A205,'[55]geoMap (52)'!$A:$C,3,0)</f>
        <v>#REF!</v>
      </c>
      <c r="BC205" s="1" t="e">
        <f>BB205/VLOOKUP(A205,'[56]geoMap (53)'!$A:$B,2,0)*VLOOKUP(A205,'[56]geoMap (53)'!$A:$C,3,0)</f>
        <v>#REF!</v>
      </c>
      <c r="BD205" s="1" t="e">
        <f>BC205/VLOOKUP(A205,'[57]geoMap (54)'!$A:$B,2,0)*VLOOKUP(A205,'[57]geoMap (54)'!$A:$C,3,0)</f>
        <v>#REF!</v>
      </c>
      <c r="BE205" s="1" t="e">
        <f>BD205/VLOOKUP(A205,'[58]geoMap (55)'!$A:$B,2,0)*VLOOKUP(A205,'[58]geoMap (55)'!$A:$C,3,0)</f>
        <v>#REF!</v>
      </c>
      <c r="BF205" s="1" t="e">
        <f>BE205/VLOOKUP(A205,'[59]geoMap (56)'!$A:$B,2,0)*VLOOKUP(A205,'[59]geoMap (56)'!$A:$C,3,0)</f>
        <v>#REF!</v>
      </c>
      <c r="BG205" s="1" t="e">
        <f>BF205/VLOOKUP(A205,'[60]geoMap (57)'!$A:$B,2,0)*VLOOKUP(A205,'[60]geoMap (57)'!$A:$C,3,0)</f>
        <v>#REF!</v>
      </c>
      <c r="BH205" s="1" t="e">
        <f>BG205/VLOOKUP(A205,'[61]geoMap (58)'!$A:$B,2,0)*VLOOKUP(A205,'[61]geoMap (58)'!$A:$C,3,0)</f>
        <v>#REF!</v>
      </c>
      <c r="BI205" s="1" t="e">
        <f>BH205/VLOOKUP(A205,'[62]geoMap (59)'!$A:$B,2,0)*VLOOKUP(A205,'[62]geoMap (59)'!$A:$C,3,0)</f>
        <v>#REF!</v>
      </c>
      <c r="BJ205" s="1" t="e">
        <f>BI205/VLOOKUP(A205,'[63]geoMap (60)'!$A:$B,2,0)*VLOOKUP(A205,'[63]geoMap (60)'!$A:$C,3,0)</f>
        <v>#REF!</v>
      </c>
      <c r="BK205" s="1" t="e">
        <f>BJ205/VLOOKUP(A205,'[64]geoMap (61)'!$A:$B,2,0)*VLOOKUP(A205,'[64]geoMap (61)'!$A:$C,3,0)</f>
        <v>#REF!</v>
      </c>
      <c r="BL205" s="1" t="e">
        <f>BK205/VLOOKUP(A205,'[65]geoMap (62)'!$A:$B,2,0)*VLOOKUP(A205,'[65]geoMap (62)'!$A:$C,3,0)</f>
        <v>#REF!</v>
      </c>
      <c r="BM205" s="1" t="e">
        <f>BL205/VLOOKUP(A205,'[66]geoMap (63)'!$A:$B,2,0)*VLOOKUP(A205,'[66]geoMap (63)'!$A:$C,3,0)</f>
        <v>#REF!</v>
      </c>
      <c r="BN205" s="1" t="e">
        <f>BM205/VLOOKUP(A205,'[67]geoMap (64)'!$A:$B,2,0)*VLOOKUP(A205,'[67]geoMap (64)'!$A:$C,3,0)</f>
        <v>#REF!</v>
      </c>
      <c r="BO205" s="1" t="e">
        <f>BN205/VLOOKUP(A205,'[68]geoMap (65)'!$A:$B,2,0)*VLOOKUP(A205,'[68]geoMap (65)'!$A:$C,3,0)</f>
        <v>#REF!</v>
      </c>
      <c r="BP205" s="1" t="e">
        <f>BO205/VLOOKUP(A205,'[69]geoMap (66)'!$A:$B,2,0)*VLOOKUP(A205,'[69]geoMap (66)'!$A:$C,3,0)</f>
        <v>#REF!</v>
      </c>
    </row>
    <row r="206" spans="1:68" hidden="1" x14ac:dyDescent="0.2">
      <c r="A206" s="1" t="s">
        <v>208</v>
      </c>
      <c r="B206" s="1" t="e">
        <f>VLOOKUP(A206,[3]geoMap!$A:$B,2,0)*Notes!$C$6</f>
        <v>#REF!</v>
      </c>
      <c r="C206" s="1" t="e">
        <f>B206/VLOOKUP(A206,'[4]geoMap (1)'!$A:$B,2,0)*VLOOKUP(A206,'[4]geoMap (1)'!$A:$C,3,0)</f>
        <v>#REF!</v>
      </c>
      <c r="D206" s="1" t="e">
        <f>C206/VLOOKUP(A206,'[5]geoMap (2)'!$A:$B,2,0)*VLOOKUP(A206,'[5]geoMap (2)'!$A:$C,3,0)</f>
        <v>#REF!</v>
      </c>
      <c r="E206" s="1" t="e">
        <f>D206/VLOOKUP(A206,'[6]geoMap (3)'!$A:$B,2,0)*VLOOKUP(A206,'[6]geoMap (3)'!$A:$C,3,0)</f>
        <v>#REF!</v>
      </c>
      <c r="F206" s="1" t="e">
        <f>E206/VLOOKUP(A206,'[7]geoMap (4)'!$A:$B,2,0)*VLOOKUP(A206,'[7]geoMap (4)'!$A:$C,3,0)</f>
        <v>#REF!</v>
      </c>
      <c r="G206" s="1" t="e">
        <f>F206/VLOOKUP(A206,'[8]geoMap (5)'!$A:$B,2,0)*VLOOKUP(A206,'[8]geoMap (5)'!$A:$C,3,0)</f>
        <v>#REF!</v>
      </c>
      <c r="H206" s="1" t="e">
        <f>G206/VLOOKUP(A206,'[9]geoMap (6)'!$A:$B,2,0)*VLOOKUP(A206,'[9]geoMap (6)'!$A:$C,3,0)</f>
        <v>#REF!</v>
      </c>
      <c r="I206" s="1" t="e">
        <f>H206/VLOOKUP(A206,'[10]geoMap (7)'!$A:$B,2,0)*VLOOKUP(A206,'[10]geoMap (7)'!$A:$C,3,0)</f>
        <v>#REF!</v>
      </c>
      <c r="J206" s="1" t="e">
        <f>I206/VLOOKUP(A206,'[11]geoMap (8)'!$A:$B,2,0)*VLOOKUP(A206,'[11]geoMap (8)'!$A:$C,3,0)</f>
        <v>#REF!</v>
      </c>
      <c r="K206" s="1" t="e">
        <f>J206/VLOOKUP(A206,'[12]geoMap (9)'!$A:$B,2,0)*VLOOKUP(A206,'[12]geoMap (9)'!$A:$C,3,0)</f>
        <v>#REF!</v>
      </c>
      <c r="L206" s="1" t="e">
        <f>K206/VLOOKUP(A206,'[13]geoMap (10)'!$A:$B,2,0)*VLOOKUP(A206,'[13]geoMap (10)'!$A:$C,3,0)</f>
        <v>#REF!</v>
      </c>
      <c r="M206" s="1" t="e">
        <f>L206/VLOOKUP(A206,'[14]geoMap (11)'!$A:$B,2,0)*VLOOKUP(A206,'[14]geoMap (11)'!$A:$C,3,0)</f>
        <v>#REF!</v>
      </c>
      <c r="N206" s="1" t="e">
        <f>M206/VLOOKUP(A206,'[15]geoMap (12)'!$A:$B,2,0)*VLOOKUP(A206,'[15]geoMap (12)'!$A:$C,3,0)</f>
        <v>#REF!</v>
      </c>
      <c r="O206" s="1" t="e">
        <f>N206/VLOOKUP(A206,'[16]geoMap (13)'!$A:$B,2,0)*VLOOKUP(A206,'[16]geoMap (13)'!$A:$C,3,0)</f>
        <v>#REF!</v>
      </c>
      <c r="P206" s="1" t="e">
        <f>O206/VLOOKUP(A206,'[17]geoMap (14)'!$A:$B,2,0)*VLOOKUP(A206,'[17]geoMap (14)'!$A:$C,3,0)</f>
        <v>#REF!</v>
      </c>
      <c r="Q206" s="1" t="e">
        <f>P206/VLOOKUP(A206,'[18]geoMap (15)'!$A:$B,2,0)*VLOOKUP(A206,'[18]geoMap (15)'!$A:$C,3,0)</f>
        <v>#REF!</v>
      </c>
      <c r="R206" s="1" t="e">
        <f>Q206/VLOOKUP(A206,'[19]geoMap (16)'!$A:$B,2,0)*VLOOKUP(A206,'[19]geoMap (16)'!$A:$C,3,0)</f>
        <v>#REF!</v>
      </c>
      <c r="S206" s="1" t="e">
        <f>R206/VLOOKUP(A206,'[20]geoMap (17)'!$A:$B,2,0)*VLOOKUP(A206,'[20]geoMap (17)'!$A:$C,3,0)</f>
        <v>#REF!</v>
      </c>
      <c r="T206" s="1" t="e">
        <f>S206/VLOOKUP(A206,'[21]geoMap (18)'!$A:$B,2,0)*VLOOKUP(A206,'[21]geoMap (18)'!$A:$C,3,0)</f>
        <v>#REF!</v>
      </c>
      <c r="U206" s="1" t="e">
        <f>T206/VLOOKUP(A206,'[22]geoMap (19)'!$A:$B,2,0)*VLOOKUP(A206,'[22]geoMap (19)'!$A:$C,3,0)</f>
        <v>#REF!</v>
      </c>
      <c r="V206" s="1" t="e">
        <f>U206/VLOOKUP(A206,'[23]geoMap (20)'!$A:$B,2,0)*VLOOKUP(A206,'[23]geoMap (20)'!$A:$C,3,0)</f>
        <v>#REF!</v>
      </c>
      <c r="W206" s="1" t="e">
        <f>V206/VLOOKUP(A206,'[24]geoMap (21)'!$A:$B,2,0)*VLOOKUP(A206,'[24]geoMap (21)'!$A:$C,3,0)</f>
        <v>#REF!</v>
      </c>
      <c r="X206" s="1" t="e">
        <f>W206/VLOOKUP(A206,'[25]geoMap (22)'!$A:$B,2,0)*VLOOKUP(A206,'[25]geoMap (22)'!$A:$C,3,0)</f>
        <v>#REF!</v>
      </c>
      <c r="Y206" s="1" t="e">
        <f>X206/VLOOKUP(A206,'[26]geoMap (23)'!$A:$B,2,0)*VLOOKUP(A206,'[26]geoMap (23)'!$A:$C,3,0)</f>
        <v>#REF!</v>
      </c>
      <c r="Z206" s="1" t="e">
        <f>Y206/VLOOKUP(A206,'[27]geoMap (24)'!$A:$B,2,0)*VLOOKUP(A206,'[27]geoMap (24)'!$A:$C,3,0)</f>
        <v>#REF!</v>
      </c>
      <c r="AA206" s="1" t="e">
        <f>Z206/VLOOKUP(A206,'[28]geoMap (25)'!$A:$B,2,0)*VLOOKUP(A206,'[28]geoMap (25)'!$A:$C,3,0)</f>
        <v>#REF!</v>
      </c>
      <c r="AB206" s="1" t="e">
        <f>AA206*VLOOKUP(A206,'[29]geoMap (26)'!$A:$B,2,0)*VLOOKUP(A206,'[29]geoMap (26)'!$A:$C,3,0)</f>
        <v>#REF!</v>
      </c>
      <c r="AC206" s="1" t="e">
        <f>AB206/VLOOKUP(A206,'[30]geoMap (27)'!$A:$B,2,0)*VLOOKUP(A206,'[30]geoMap (27)'!$A:$C,3,0)</f>
        <v>#REF!</v>
      </c>
      <c r="AD206" s="1" t="e">
        <f>AC206/VLOOKUP(A206,'[31]geoMap (28)'!$A:$B,2,0)*VLOOKUP(A206,'[31]geoMap (28)'!$A:$C,3,0)</f>
        <v>#REF!</v>
      </c>
      <c r="AE206" s="1" t="e">
        <f>AD206/VLOOKUP(A206,'[32]geoMap (29)'!$A:$B,2,0)*VLOOKUP(A206,'[32]geoMap (29)'!$A:$C,3,0)</f>
        <v>#REF!</v>
      </c>
      <c r="AF206" s="1" t="e">
        <f>AE206/VLOOKUP(A206,'[33]geoMap (30)'!$A:$B,2,0)*VLOOKUP(A206,'[33]geoMap (30)'!$A:$C,3,0)</f>
        <v>#REF!</v>
      </c>
      <c r="AG206" s="1" t="e">
        <f>AF206/VLOOKUP(A206,'[34]geoMap (31)'!$A:$B,2,0)*VLOOKUP(A206,'[34]geoMap (31)'!$A:$C,3,0)</f>
        <v>#REF!</v>
      </c>
      <c r="AH206" s="1" t="e">
        <f>AG206/VLOOKUP(A206,'[35]geoMap (32)'!$A:$B,2,0)*VLOOKUP(A206,'[35]geoMap (32)'!$A:$C,3,0)</f>
        <v>#REF!</v>
      </c>
      <c r="AI206" s="1" t="e">
        <f>AH206/VLOOKUP(A206,'[36]geoMap (33)'!$A:$B,2,0)*VLOOKUP(A206,'[36]geoMap (33)'!$A:$C,3,0)</f>
        <v>#REF!</v>
      </c>
      <c r="AJ206" s="1" t="e">
        <f>AI206/VLOOKUP(A206,'[37]geoMap (34)'!$A:$B,2,0)*VLOOKUP(A206,'[37]geoMap (34)'!$A:$C,3,0)</f>
        <v>#REF!</v>
      </c>
      <c r="AK206" s="1" t="e">
        <f>AJ206/VLOOKUP(A206,'[38]geoMap (35)'!$A:$B,2,0)*VLOOKUP(A206,'[38]geoMap (35)'!$A:$C,3,0)</f>
        <v>#REF!</v>
      </c>
      <c r="AL206" s="1" t="e">
        <f>AK206/VLOOKUP(A206,'[39]geoMap (36)'!$A:$B,2,0)*VLOOKUP(A206,'[39]geoMap (36)'!$A:$C,3,0)</f>
        <v>#REF!</v>
      </c>
      <c r="AM206" s="1" t="e">
        <f>AL206/VLOOKUP(A206,'[40]geoMap (37)'!$A:$B,2,0)*VLOOKUP(A206,'[40]geoMap (37)'!$A:$C,3,0)</f>
        <v>#REF!</v>
      </c>
      <c r="AN206" s="1" t="e">
        <f>AM206/VLOOKUP(A206,'[41]geoMap (38)'!$A:$B,2,0)*VLOOKUP(A206,'[41]geoMap (38)'!$A:$C,3,0)</f>
        <v>#REF!</v>
      </c>
      <c r="AO206" s="1" t="e">
        <f>AN206/VLOOKUP(A206,'[42]geoMap (39)'!$A:$B,2,0)*VLOOKUP(A206,'[42]geoMap (39)'!$A:$C,3,0)</f>
        <v>#REF!</v>
      </c>
      <c r="AP206" s="1" t="e">
        <f>AO206/VLOOKUP(A206,'[43]geoMap (40)'!$A:$B,2,0)*VLOOKUP(A206,'[43]geoMap (40)'!$A:$C,3,0)</f>
        <v>#REF!</v>
      </c>
      <c r="AQ206" s="1" t="e">
        <f>AP206/VLOOKUP(A206,'[44]geoMap (41)'!$A:$B,2,0)*VLOOKUP(A206,'[44]geoMap (41)'!$A:$C,3,0)</f>
        <v>#REF!</v>
      </c>
      <c r="AR206" s="1" t="e">
        <f>AQ206/VLOOKUP(A206,'[45]geoMap (42)'!$A:$B,2,0)*VLOOKUP(A206,'[45]geoMap (42)'!$A:$C,3,0)</f>
        <v>#REF!</v>
      </c>
      <c r="AS206" s="1" t="e">
        <f>AR206/VLOOKUP(A206,'[46]geoMap (43)'!$A:$B,2,0)*VLOOKUP(A206,'[46]geoMap (43)'!$A:$C,3,0)</f>
        <v>#REF!</v>
      </c>
      <c r="AT206" s="1" t="e">
        <f>AS206/VLOOKUP(A206,'[47]geoMap (44)'!$A:$B,2,0)*VLOOKUP(A206,'[47]geoMap (44)'!$A:$C,3,0)</f>
        <v>#REF!</v>
      </c>
      <c r="AU206" s="1" t="e">
        <f>AT206/VLOOKUP(A206,'[48]geoMap (45)'!$A:$B,2,0)*VLOOKUP(A206,'[48]geoMap (45)'!$A:$C,3,0)</f>
        <v>#REF!</v>
      </c>
      <c r="AV206" s="1" t="e">
        <f>AU206/VLOOKUP(A206,'[49]geoMap (46)'!$A:$B,2,0)*VLOOKUP(A206,'[49]geoMap (46)'!$A:$C,3,0)</f>
        <v>#REF!</v>
      </c>
      <c r="AW206" s="1" t="e">
        <f>AV206/VLOOKUP(A206,'[50]geoMap (47)'!$A:$B,2,0)*VLOOKUP(A206,'[50]geoMap (47)'!$A:$C,3,0)</f>
        <v>#REF!</v>
      </c>
      <c r="AX206" s="1" t="e">
        <f>AW206/VLOOKUP(A206,'[51]geoMap (48)'!$A:$B,2,0)*VLOOKUP(A206,'[51]geoMap (48)'!$A:$C,3,0)</f>
        <v>#REF!</v>
      </c>
      <c r="AY206" s="1" t="e">
        <f>AX206/VLOOKUP(A206,'[52]geoMap (49)'!$A:$B,2,0)*VLOOKUP(A206,'[52]geoMap (49)'!$A:$C,3,0)</f>
        <v>#REF!</v>
      </c>
      <c r="AZ206" s="1" t="e">
        <f>AY206/VLOOKUP(A206,'[53]geoMap (50)'!$A:$B,2,0)*VLOOKUP(A206,'[53]geoMap (50)'!$A:$C,3,0)</f>
        <v>#REF!</v>
      </c>
      <c r="BA206" s="1" t="e">
        <f>AZ206/VLOOKUP(A206,'[54]geoMap (51)'!$A:$B,2,0)*VLOOKUP(A206,'[54]geoMap (51)'!$A:$C,3,0)</f>
        <v>#REF!</v>
      </c>
      <c r="BB206" s="1" t="e">
        <f>BA206/VLOOKUP(A206,'[55]geoMap (52)'!$A:$B,2,0)*VLOOKUP(A206,'[55]geoMap (52)'!$A:$C,3,0)</f>
        <v>#REF!</v>
      </c>
      <c r="BC206" s="1" t="e">
        <f>BB206/VLOOKUP(A206,'[56]geoMap (53)'!$A:$B,2,0)*VLOOKUP(A206,'[56]geoMap (53)'!$A:$C,3,0)</f>
        <v>#REF!</v>
      </c>
      <c r="BD206" s="1" t="e">
        <f>BC206/VLOOKUP(A206,'[57]geoMap (54)'!$A:$B,2,0)*VLOOKUP(A206,'[57]geoMap (54)'!$A:$C,3,0)</f>
        <v>#REF!</v>
      </c>
      <c r="BE206" s="1" t="e">
        <f>BD206/VLOOKUP(A206,'[58]geoMap (55)'!$A:$B,2,0)*VLOOKUP(A206,'[58]geoMap (55)'!$A:$C,3,0)</f>
        <v>#REF!</v>
      </c>
      <c r="BF206" s="1" t="e">
        <f>BE206/VLOOKUP(A206,'[59]geoMap (56)'!$A:$B,2,0)*VLOOKUP(A206,'[59]geoMap (56)'!$A:$C,3,0)</f>
        <v>#REF!</v>
      </c>
      <c r="BG206" s="1" t="e">
        <f>BF206/VLOOKUP(A206,'[60]geoMap (57)'!$A:$B,2,0)*VLOOKUP(A206,'[60]geoMap (57)'!$A:$C,3,0)</f>
        <v>#REF!</v>
      </c>
      <c r="BH206" s="1" t="e">
        <f>BG206/VLOOKUP(A206,'[61]geoMap (58)'!$A:$B,2,0)*VLOOKUP(A206,'[61]geoMap (58)'!$A:$C,3,0)</f>
        <v>#REF!</v>
      </c>
      <c r="BI206" s="1" t="e">
        <f>BH206/VLOOKUP(A206,'[62]geoMap (59)'!$A:$B,2,0)*VLOOKUP(A206,'[62]geoMap (59)'!$A:$C,3,0)</f>
        <v>#REF!</v>
      </c>
      <c r="BJ206" s="1" t="e">
        <f>BI206/VLOOKUP(A206,'[63]geoMap (60)'!$A:$B,2,0)*VLOOKUP(A206,'[63]geoMap (60)'!$A:$C,3,0)</f>
        <v>#REF!</v>
      </c>
      <c r="BK206" s="1" t="e">
        <f>BJ206/VLOOKUP(A206,'[64]geoMap (61)'!$A:$B,2,0)*VLOOKUP(A206,'[64]geoMap (61)'!$A:$C,3,0)</f>
        <v>#REF!</v>
      </c>
      <c r="BL206" s="1" t="e">
        <f>BK206/VLOOKUP(A206,'[65]geoMap (62)'!$A:$B,2,0)*VLOOKUP(A206,'[65]geoMap (62)'!$A:$C,3,0)</f>
        <v>#REF!</v>
      </c>
      <c r="BM206" s="1" t="e">
        <f>BL206/VLOOKUP(A206,'[66]geoMap (63)'!$A:$B,2,0)*VLOOKUP(A206,'[66]geoMap (63)'!$A:$C,3,0)</f>
        <v>#REF!</v>
      </c>
      <c r="BN206" s="1" t="e">
        <f>BM206/VLOOKUP(A206,'[67]geoMap (64)'!$A:$B,2,0)*VLOOKUP(A206,'[67]geoMap (64)'!$A:$C,3,0)</f>
        <v>#REF!</v>
      </c>
      <c r="BO206" s="1" t="e">
        <f>BN206/VLOOKUP(A206,'[68]geoMap (65)'!$A:$B,2,0)*VLOOKUP(A206,'[68]geoMap (65)'!$A:$C,3,0)</f>
        <v>#REF!</v>
      </c>
      <c r="BP206" s="1" t="e">
        <f>BO206/VLOOKUP(A206,'[69]geoMap (66)'!$A:$B,2,0)*VLOOKUP(A206,'[69]geoMap (66)'!$A:$C,3,0)</f>
        <v>#REF!</v>
      </c>
    </row>
    <row r="207" spans="1:68" hidden="1" x14ac:dyDescent="0.2">
      <c r="A207" s="1" t="s">
        <v>209</v>
      </c>
      <c r="B207" s="1" t="e">
        <f>VLOOKUP(A207,[3]geoMap!$A:$B,2,0)*Notes!$C$6</f>
        <v>#REF!</v>
      </c>
      <c r="C207" s="1" t="e">
        <f>B207/VLOOKUP(A207,'[4]geoMap (1)'!$A:$B,2,0)*VLOOKUP(A207,'[4]geoMap (1)'!$A:$C,3,0)</f>
        <v>#REF!</v>
      </c>
      <c r="D207" s="1" t="e">
        <f>C207/VLOOKUP(A207,'[5]geoMap (2)'!$A:$B,2,0)*VLOOKUP(A207,'[5]geoMap (2)'!$A:$C,3,0)</f>
        <v>#REF!</v>
      </c>
      <c r="E207" s="1" t="e">
        <f>D207/VLOOKUP(A207,'[6]geoMap (3)'!$A:$B,2,0)*VLOOKUP(A207,'[6]geoMap (3)'!$A:$C,3,0)</f>
        <v>#REF!</v>
      </c>
      <c r="F207" s="1" t="e">
        <f>E207/VLOOKUP(A207,'[7]geoMap (4)'!$A:$B,2,0)*VLOOKUP(A207,'[7]geoMap (4)'!$A:$C,3,0)</f>
        <v>#REF!</v>
      </c>
      <c r="G207" s="1" t="e">
        <f>F207/VLOOKUP(A207,'[8]geoMap (5)'!$A:$B,2,0)*VLOOKUP(A207,'[8]geoMap (5)'!$A:$C,3,0)</f>
        <v>#REF!</v>
      </c>
      <c r="H207" s="1" t="e">
        <f>G207/VLOOKUP(A207,'[9]geoMap (6)'!$A:$B,2,0)*VLOOKUP(A207,'[9]geoMap (6)'!$A:$C,3,0)</f>
        <v>#REF!</v>
      </c>
      <c r="I207" s="1" t="e">
        <f>H207/VLOOKUP(A207,'[10]geoMap (7)'!$A:$B,2,0)*VLOOKUP(A207,'[10]geoMap (7)'!$A:$C,3,0)</f>
        <v>#REF!</v>
      </c>
      <c r="J207" s="1" t="e">
        <f>I207/VLOOKUP(A207,'[11]geoMap (8)'!$A:$B,2,0)*VLOOKUP(A207,'[11]geoMap (8)'!$A:$C,3,0)</f>
        <v>#REF!</v>
      </c>
      <c r="K207" s="1" t="e">
        <f>J207/VLOOKUP(A207,'[12]geoMap (9)'!$A:$B,2,0)*VLOOKUP(A207,'[12]geoMap (9)'!$A:$C,3,0)</f>
        <v>#REF!</v>
      </c>
      <c r="L207" s="1" t="e">
        <f>K207/VLOOKUP(A207,'[13]geoMap (10)'!$A:$B,2,0)*VLOOKUP(A207,'[13]geoMap (10)'!$A:$C,3,0)</f>
        <v>#REF!</v>
      </c>
      <c r="M207" s="1" t="e">
        <f>L207/VLOOKUP(A207,'[14]geoMap (11)'!$A:$B,2,0)*VLOOKUP(A207,'[14]geoMap (11)'!$A:$C,3,0)</f>
        <v>#REF!</v>
      </c>
      <c r="N207" s="1" t="e">
        <f>M207/VLOOKUP(A207,'[15]geoMap (12)'!$A:$B,2,0)*VLOOKUP(A207,'[15]geoMap (12)'!$A:$C,3,0)</f>
        <v>#REF!</v>
      </c>
      <c r="O207" s="1" t="e">
        <f>N207/VLOOKUP(A207,'[16]geoMap (13)'!$A:$B,2,0)*VLOOKUP(A207,'[16]geoMap (13)'!$A:$C,3,0)</f>
        <v>#REF!</v>
      </c>
      <c r="P207" s="1" t="e">
        <f>O207/VLOOKUP(A207,'[17]geoMap (14)'!$A:$B,2,0)*VLOOKUP(A207,'[17]geoMap (14)'!$A:$C,3,0)</f>
        <v>#REF!</v>
      </c>
      <c r="Q207" s="1" t="e">
        <f>P207/VLOOKUP(A207,'[18]geoMap (15)'!$A:$B,2,0)*VLOOKUP(A207,'[18]geoMap (15)'!$A:$C,3,0)</f>
        <v>#REF!</v>
      </c>
      <c r="R207" s="1" t="e">
        <f>Q207/VLOOKUP(A207,'[19]geoMap (16)'!$A:$B,2,0)*VLOOKUP(A207,'[19]geoMap (16)'!$A:$C,3,0)</f>
        <v>#REF!</v>
      </c>
      <c r="S207" s="1" t="e">
        <f>R207/VLOOKUP(A207,'[20]geoMap (17)'!$A:$B,2,0)*VLOOKUP(A207,'[20]geoMap (17)'!$A:$C,3,0)</f>
        <v>#REF!</v>
      </c>
      <c r="T207" s="1" t="e">
        <f>S207/VLOOKUP(A207,'[21]geoMap (18)'!$A:$B,2,0)*VLOOKUP(A207,'[21]geoMap (18)'!$A:$C,3,0)</f>
        <v>#REF!</v>
      </c>
      <c r="U207" s="1" t="e">
        <f>T207/VLOOKUP(A207,'[22]geoMap (19)'!$A:$B,2,0)*VLOOKUP(A207,'[22]geoMap (19)'!$A:$C,3,0)</f>
        <v>#REF!</v>
      </c>
      <c r="V207" s="1" t="e">
        <f>U207/VLOOKUP(A207,'[23]geoMap (20)'!$A:$B,2,0)*VLOOKUP(A207,'[23]geoMap (20)'!$A:$C,3,0)</f>
        <v>#REF!</v>
      </c>
      <c r="W207" s="1" t="e">
        <f>V207/VLOOKUP(A207,'[24]geoMap (21)'!$A:$B,2,0)*VLOOKUP(A207,'[24]geoMap (21)'!$A:$C,3,0)</f>
        <v>#REF!</v>
      </c>
      <c r="X207" s="1" t="e">
        <f>W207/VLOOKUP(A207,'[25]geoMap (22)'!$A:$B,2,0)*VLOOKUP(A207,'[25]geoMap (22)'!$A:$C,3,0)</f>
        <v>#REF!</v>
      </c>
      <c r="Y207" s="1" t="e">
        <f>X207/VLOOKUP(A207,'[26]geoMap (23)'!$A:$B,2,0)*VLOOKUP(A207,'[26]geoMap (23)'!$A:$C,3,0)</f>
        <v>#REF!</v>
      </c>
      <c r="Z207" s="1" t="e">
        <f>Y207/VLOOKUP(A207,'[27]geoMap (24)'!$A:$B,2,0)*VLOOKUP(A207,'[27]geoMap (24)'!$A:$C,3,0)</f>
        <v>#REF!</v>
      </c>
      <c r="AA207" s="1" t="e">
        <f>Z207/VLOOKUP(A207,'[28]geoMap (25)'!$A:$B,2,0)*VLOOKUP(A207,'[28]geoMap (25)'!$A:$C,3,0)</f>
        <v>#REF!</v>
      </c>
      <c r="AB207" s="1" t="e">
        <f>AA207*VLOOKUP(A207,'[29]geoMap (26)'!$A:$B,2,0)*VLOOKUP(A207,'[29]geoMap (26)'!$A:$C,3,0)</f>
        <v>#REF!</v>
      </c>
      <c r="AC207" s="1" t="e">
        <f>AB207/VLOOKUP(A207,'[30]geoMap (27)'!$A:$B,2,0)*VLOOKUP(A207,'[30]geoMap (27)'!$A:$C,3,0)</f>
        <v>#REF!</v>
      </c>
      <c r="AD207" s="1" t="e">
        <f>AC207/VLOOKUP(A207,'[31]geoMap (28)'!$A:$B,2,0)*VLOOKUP(A207,'[31]geoMap (28)'!$A:$C,3,0)</f>
        <v>#REF!</v>
      </c>
      <c r="AE207" s="1" t="e">
        <f>AD207/VLOOKUP(A207,'[32]geoMap (29)'!$A:$B,2,0)*VLOOKUP(A207,'[32]geoMap (29)'!$A:$C,3,0)</f>
        <v>#REF!</v>
      </c>
      <c r="AF207" s="1" t="e">
        <f>AE207/VLOOKUP(A207,'[33]geoMap (30)'!$A:$B,2,0)*VLOOKUP(A207,'[33]geoMap (30)'!$A:$C,3,0)</f>
        <v>#REF!</v>
      </c>
      <c r="AG207" s="1" t="e">
        <f>AF207/VLOOKUP(A207,'[34]geoMap (31)'!$A:$B,2,0)*VLOOKUP(A207,'[34]geoMap (31)'!$A:$C,3,0)</f>
        <v>#REF!</v>
      </c>
      <c r="AH207" s="1" t="e">
        <f>AG207/VLOOKUP(A207,'[35]geoMap (32)'!$A:$B,2,0)*VLOOKUP(A207,'[35]geoMap (32)'!$A:$C,3,0)</f>
        <v>#REF!</v>
      </c>
      <c r="AI207" s="1" t="e">
        <f>AH207/VLOOKUP(A207,'[36]geoMap (33)'!$A:$B,2,0)*VLOOKUP(A207,'[36]geoMap (33)'!$A:$C,3,0)</f>
        <v>#REF!</v>
      </c>
      <c r="AJ207" s="1" t="e">
        <f>AI207/VLOOKUP(A207,'[37]geoMap (34)'!$A:$B,2,0)*VLOOKUP(A207,'[37]geoMap (34)'!$A:$C,3,0)</f>
        <v>#REF!</v>
      </c>
      <c r="AK207" s="1" t="e">
        <f>AJ207/VLOOKUP(A207,'[38]geoMap (35)'!$A:$B,2,0)*VLOOKUP(A207,'[38]geoMap (35)'!$A:$C,3,0)</f>
        <v>#REF!</v>
      </c>
      <c r="AL207" s="1" t="e">
        <f>AK207/VLOOKUP(A207,'[39]geoMap (36)'!$A:$B,2,0)*VLOOKUP(A207,'[39]geoMap (36)'!$A:$C,3,0)</f>
        <v>#REF!</v>
      </c>
      <c r="AM207" s="1" t="e">
        <f>AL207/VLOOKUP(A207,'[40]geoMap (37)'!$A:$B,2,0)*VLOOKUP(A207,'[40]geoMap (37)'!$A:$C,3,0)</f>
        <v>#REF!</v>
      </c>
      <c r="AN207" s="1" t="e">
        <f>AM207/VLOOKUP(A207,'[41]geoMap (38)'!$A:$B,2,0)*VLOOKUP(A207,'[41]geoMap (38)'!$A:$C,3,0)</f>
        <v>#REF!</v>
      </c>
      <c r="AO207" s="1" t="e">
        <f>AN207/VLOOKUP(A207,'[42]geoMap (39)'!$A:$B,2,0)*VLOOKUP(A207,'[42]geoMap (39)'!$A:$C,3,0)</f>
        <v>#REF!</v>
      </c>
      <c r="AP207" s="1" t="e">
        <f>AO207/VLOOKUP(A207,'[43]geoMap (40)'!$A:$B,2,0)*VLOOKUP(A207,'[43]geoMap (40)'!$A:$C,3,0)</f>
        <v>#REF!</v>
      </c>
      <c r="AQ207" s="1" t="e">
        <f>AP207/VLOOKUP(A207,'[44]geoMap (41)'!$A:$B,2,0)*VLOOKUP(A207,'[44]geoMap (41)'!$A:$C,3,0)</f>
        <v>#REF!</v>
      </c>
      <c r="AR207" s="1" t="e">
        <f>AQ207/VLOOKUP(A207,'[45]geoMap (42)'!$A:$B,2,0)*VLOOKUP(A207,'[45]geoMap (42)'!$A:$C,3,0)</f>
        <v>#REF!</v>
      </c>
      <c r="AS207" s="1" t="e">
        <f>AR207/VLOOKUP(A207,'[46]geoMap (43)'!$A:$B,2,0)*VLOOKUP(A207,'[46]geoMap (43)'!$A:$C,3,0)</f>
        <v>#REF!</v>
      </c>
      <c r="AT207" s="1" t="e">
        <f>AS207/VLOOKUP(A207,'[47]geoMap (44)'!$A:$B,2,0)*VLOOKUP(A207,'[47]geoMap (44)'!$A:$C,3,0)</f>
        <v>#REF!</v>
      </c>
      <c r="AU207" s="1" t="e">
        <f>AT207/VLOOKUP(A207,'[48]geoMap (45)'!$A:$B,2,0)*VLOOKUP(A207,'[48]geoMap (45)'!$A:$C,3,0)</f>
        <v>#REF!</v>
      </c>
      <c r="AV207" s="1" t="e">
        <f>AU207/VLOOKUP(A207,'[49]geoMap (46)'!$A:$B,2,0)*VLOOKUP(A207,'[49]geoMap (46)'!$A:$C,3,0)</f>
        <v>#REF!</v>
      </c>
      <c r="AW207" s="1" t="e">
        <f>AV207/VLOOKUP(A207,'[50]geoMap (47)'!$A:$B,2,0)*VLOOKUP(A207,'[50]geoMap (47)'!$A:$C,3,0)</f>
        <v>#REF!</v>
      </c>
      <c r="AX207" s="1" t="e">
        <f>AW207/VLOOKUP(A207,'[51]geoMap (48)'!$A:$B,2,0)*VLOOKUP(A207,'[51]geoMap (48)'!$A:$C,3,0)</f>
        <v>#REF!</v>
      </c>
      <c r="AY207" s="1" t="e">
        <f>AX207/VLOOKUP(A207,'[52]geoMap (49)'!$A:$B,2,0)*VLOOKUP(A207,'[52]geoMap (49)'!$A:$C,3,0)</f>
        <v>#REF!</v>
      </c>
      <c r="AZ207" s="1" t="e">
        <f>AY207/VLOOKUP(A207,'[53]geoMap (50)'!$A:$B,2,0)*VLOOKUP(A207,'[53]geoMap (50)'!$A:$C,3,0)</f>
        <v>#REF!</v>
      </c>
      <c r="BA207" s="1" t="e">
        <f>AZ207/VLOOKUP(A207,'[54]geoMap (51)'!$A:$B,2,0)*VLOOKUP(A207,'[54]geoMap (51)'!$A:$C,3,0)</f>
        <v>#REF!</v>
      </c>
      <c r="BB207" s="1" t="e">
        <f>BA207/VLOOKUP(A207,'[55]geoMap (52)'!$A:$B,2,0)*VLOOKUP(A207,'[55]geoMap (52)'!$A:$C,3,0)</f>
        <v>#REF!</v>
      </c>
      <c r="BC207" s="1" t="e">
        <f>BB207/VLOOKUP(A207,'[56]geoMap (53)'!$A:$B,2,0)*VLOOKUP(A207,'[56]geoMap (53)'!$A:$C,3,0)</f>
        <v>#REF!</v>
      </c>
      <c r="BD207" s="1" t="e">
        <f>BC207/VLOOKUP(A207,'[57]geoMap (54)'!$A:$B,2,0)*VLOOKUP(A207,'[57]geoMap (54)'!$A:$C,3,0)</f>
        <v>#REF!</v>
      </c>
      <c r="BE207" s="1" t="e">
        <f>BD207/VLOOKUP(A207,'[58]geoMap (55)'!$A:$B,2,0)*VLOOKUP(A207,'[58]geoMap (55)'!$A:$C,3,0)</f>
        <v>#REF!</v>
      </c>
      <c r="BF207" s="1" t="e">
        <f>BE207/VLOOKUP(A207,'[59]geoMap (56)'!$A:$B,2,0)*VLOOKUP(A207,'[59]geoMap (56)'!$A:$C,3,0)</f>
        <v>#REF!</v>
      </c>
      <c r="BG207" s="1" t="e">
        <f>BF207/VLOOKUP(A207,'[60]geoMap (57)'!$A:$B,2,0)*VLOOKUP(A207,'[60]geoMap (57)'!$A:$C,3,0)</f>
        <v>#REF!</v>
      </c>
      <c r="BH207" s="1" t="e">
        <f>BG207/VLOOKUP(A207,'[61]geoMap (58)'!$A:$B,2,0)*VLOOKUP(A207,'[61]geoMap (58)'!$A:$C,3,0)</f>
        <v>#REF!</v>
      </c>
      <c r="BI207" s="1" t="e">
        <f>BH207/VLOOKUP(A207,'[62]geoMap (59)'!$A:$B,2,0)*VLOOKUP(A207,'[62]geoMap (59)'!$A:$C,3,0)</f>
        <v>#REF!</v>
      </c>
      <c r="BJ207" s="1" t="e">
        <f>BI207/VLOOKUP(A207,'[63]geoMap (60)'!$A:$B,2,0)*VLOOKUP(A207,'[63]geoMap (60)'!$A:$C,3,0)</f>
        <v>#REF!</v>
      </c>
      <c r="BK207" s="1" t="e">
        <f>BJ207/VLOOKUP(A207,'[64]geoMap (61)'!$A:$B,2,0)*VLOOKUP(A207,'[64]geoMap (61)'!$A:$C,3,0)</f>
        <v>#REF!</v>
      </c>
      <c r="BL207" s="1" t="e">
        <f>BK207/VLOOKUP(A207,'[65]geoMap (62)'!$A:$B,2,0)*VLOOKUP(A207,'[65]geoMap (62)'!$A:$C,3,0)</f>
        <v>#REF!</v>
      </c>
      <c r="BM207" s="1" t="e">
        <f>BL207/VLOOKUP(A207,'[66]geoMap (63)'!$A:$B,2,0)*VLOOKUP(A207,'[66]geoMap (63)'!$A:$C,3,0)</f>
        <v>#REF!</v>
      </c>
      <c r="BN207" s="1" t="e">
        <f>BM207/VLOOKUP(A207,'[67]geoMap (64)'!$A:$B,2,0)*VLOOKUP(A207,'[67]geoMap (64)'!$A:$C,3,0)</f>
        <v>#REF!</v>
      </c>
      <c r="BO207" s="1" t="e">
        <f>BN207/VLOOKUP(A207,'[68]geoMap (65)'!$A:$B,2,0)*VLOOKUP(A207,'[68]geoMap (65)'!$A:$C,3,0)</f>
        <v>#REF!</v>
      </c>
      <c r="BP207" s="1" t="e">
        <f>BO207/VLOOKUP(A207,'[69]geoMap (66)'!$A:$B,2,0)*VLOOKUP(A207,'[69]geoMap (66)'!$A:$C,3,0)</f>
        <v>#REF!</v>
      </c>
    </row>
    <row r="208" spans="1:68" hidden="1" x14ac:dyDescent="0.2">
      <c r="A208" s="1" t="s">
        <v>210</v>
      </c>
      <c r="B208" s="1" t="e">
        <f>VLOOKUP(A208,[3]geoMap!$A:$B,2,0)*Notes!$C$6</f>
        <v>#REF!</v>
      </c>
      <c r="C208" s="1" t="e">
        <f>B208/VLOOKUP(A208,'[4]geoMap (1)'!$A:$B,2,0)*VLOOKUP(A208,'[4]geoMap (1)'!$A:$C,3,0)</f>
        <v>#REF!</v>
      </c>
      <c r="D208" s="1" t="e">
        <f>C208/VLOOKUP(A208,'[5]geoMap (2)'!$A:$B,2,0)*VLOOKUP(A208,'[5]geoMap (2)'!$A:$C,3,0)</f>
        <v>#REF!</v>
      </c>
      <c r="E208" s="1" t="e">
        <f>D208/VLOOKUP(A208,'[6]geoMap (3)'!$A:$B,2,0)*VLOOKUP(A208,'[6]geoMap (3)'!$A:$C,3,0)</f>
        <v>#REF!</v>
      </c>
      <c r="F208" s="1" t="e">
        <f>E208/VLOOKUP(A208,'[7]geoMap (4)'!$A:$B,2,0)*VLOOKUP(A208,'[7]geoMap (4)'!$A:$C,3,0)</f>
        <v>#REF!</v>
      </c>
      <c r="G208" s="1" t="e">
        <f>F208/VLOOKUP(A208,'[8]geoMap (5)'!$A:$B,2,0)*VLOOKUP(A208,'[8]geoMap (5)'!$A:$C,3,0)</f>
        <v>#REF!</v>
      </c>
      <c r="H208" s="1" t="e">
        <f>G208/VLOOKUP(A208,'[9]geoMap (6)'!$A:$B,2,0)*VLOOKUP(A208,'[9]geoMap (6)'!$A:$C,3,0)</f>
        <v>#REF!</v>
      </c>
      <c r="I208" s="1" t="e">
        <f>H208/VLOOKUP(A208,'[10]geoMap (7)'!$A:$B,2,0)*VLOOKUP(A208,'[10]geoMap (7)'!$A:$C,3,0)</f>
        <v>#REF!</v>
      </c>
      <c r="J208" s="1" t="e">
        <f>I208/VLOOKUP(A208,'[11]geoMap (8)'!$A:$B,2,0)*VLOOKUP(A208,'[11]geoMap (8)'!$A:$C,3,0)</f>
        <v>#REF!</v>
      </c>
      <c r="K208" s="1" t="e">
        <f>J208/VLOOKUP(A208,'[12]geoMap (9)'!$A:$B,2,0)*VLOOKUP(A208,'[12]geoMap (9)'!$A:$C,3,0)</f>
        <v>#REF!</v>
      </c>
      <c r="L208" s="1" t="e">
        <f>K208/VLOOKUP(A208,'[13]geoMap (10)'!$A:$B,2,0)*VLOOKUP(A208,'[13]geoMap (10)'!$A:$C,3,0)</f>
        <v>#REF!</v>
      </c>
      <c r="M208" s="1" t="e">
        <f>L208/VLOOKUP(A208,'[14]geoMap (11)'!$A:$B,2,0)*VLOOKUP(A208,'[14]geoMap (11)'!$A:$C,3,0)</f>
        <v>#REF!</v>
      </c>
      <c r="N208" s="1" t="e">
        <f>M208/VLOOKUP(A208,'[15]geoMap (12)'!$A:$B,2,0)*VLOOKUP(A208,'[15]geoMap (12)'!$A:$C,3,0)</f>
        <v>#REF!</v>
      </c>
      <c r="O208" s="1" t="e">
        <f>N208/VLOOKUP(A208,'[16]geoMap (13)'!$A:$B,2,0)*VLOOKUP(A208,'[16]geoMap (13)'!$A:$C,3,0)</f>
        <v>#REF!</v>
      </c>
      <c r="P208" s="1" t="e">
        <f>O208/VLOOKUP(A208,'[17]geoMap (14)'!$A:$B,2,0)*VLOOKUP(A208,'[17]geoMap (14)'!$A:$C,3,0)</f>
        <v>#REF!</v>
      </c>
      <c r="Q208" s="1" t="e">
        <f>P208/VLOOKUP(A208,'[18]geoMap (15)'!$A:$B,2,0)*VLOOKUP(A208,'[18]geoMap (15)'!$A:$C,3,0)</f>
        <v>#REF!</v>
      </c>
      <c r="R208" s="1" t="e">
        <f>Q208/VLOOKUP(A208,'[19]geoMap (16)'!$A:$B,2,0)*VLOOKUP(A208,'[19]geoMap (16)'!$A:$C,3,0)</f>
        <v>#REF!</v>
      </c>
      <c r="S208" s="1" t="e">
        <f>R208/VLOOKUP(A208,'[20]geoMap (17)'!$A:$B,2,0)*VLOOKUP(A208,'[20]geoMap (17)'!$A:$C,3,0)</f>
        <v>#REF!</v>
      </c>
      <c r="T208" s="1" t="e">
        <f>S208/VLOOKUP(A208,'[21]geoMap (18)'!$A:$B,2,0)*VLOOKUP(A208,'[21]geoMap (18)'!$A:$C,3,0)</f>
        <v>#REF!</v>
      </c>
      <c r="U208" s="1" t="e">
        <f>T208/VLOOKUP(A208,'[22]geoMap (19)'!$A:$B,2,0)*VLOOKUP(A208,'[22]geoMap (19)'!$A:$C,3,0)</f>
        <v>#REF!</v>
      </c>
      <c r="V208" s="1" t="e">
        <f>U208/VLOOKUP(A208,'[23]geoMap (20)'!$A:$B,2,0)*VLOOKUP(A208,'[23]geoMap (20)'!$A:$C,3,0)</f>
        <v>#REF!</v>
      </c>
      <c r="W208" s="1" t="e">
        <f>V208/VLOOKUP(A208,'[24]geoMap (21)'!$A:$B,2,0)*VLOOKUP(A208,'[24]geoMap (21)'!$A:$C,3,0)</f>
        <v>#REF!</v>
      </c>
      <c r="X208" s="1" t="e">
        <f>W208/VLOOKUP(A208,'[25]geoMap (22)'!$A:$B,2,0)*VLOOKUP(A208,'[25]geoMap (22)'!$A:$C,3,0)</f>
        <v>#REF!</v>
      </c>
      <c r="Y208" s="1" t="e">
        <f>X208/VLOOKUP(A208,'[26]geoMap (23)'!$A:$B,2,0)*VLOOKUP(A208,'[26]geoMap (23)'!$A:$C,3,0)</f>
        <v>#REF!</v>
      </c>
      <c r="Z208" s="1" t="e">
        <f>Y208/VLOOKUP(A208,'[27]geoMap (24)'!$A:$B,2,0)*VLOOKUP(A208,'[27]geoMap (24)'!$A:$C,3,0)</f>
        <v>#REF!</v>
      </c>
      <c r="AA208" s="1" t="e">
        <f>Z208/VLOOKUP(A208,'[28]geoMap (25)'!$A:$B,2,0)*VLOOKUP(A208,'[28]geoMap (25)'!$A:$C,3,0)</f>
        <v>#REF!</v>
      </c>
      <c r="AB208" s="1" t="e">
        <f>AA208*VLOOKUP(A208,'[29]geoMap (26)'!$A:$B,2,0)*VLOOKUP(A208,'[29]geoMap (26)'!$A:$C,3,0)</f>
        <v>#REF!</v>
      </c>
      <c r="AC208" s="1" t="e">
        <f>AB208/VLOOKUP(A208,'[30]geoMap (27)'!$A:$B,2,0)*VLOOKUP(A208,'[30]geoMap (27)'!$A:$C,3,0)</f>
        <v>#REF!</v>
      </c>
      <c r="AD208" s="1" t="e">
        <f>AC208/VLOOKUP(A208,'[31]geoMap (28)'!$A:$B,2,0)*VLOOKUP(A208,'[31]geoMap (28)'!$A:$C,3,0)</f>
        <v>#REF!</v>
      </c>
      <c r="AE208" s="1" t="e">
        <f>AD208/VLOOKUP(A208,'[32]geoMap (29)'!$A:$B,2,0)*VLOOKUP(A208,'[32]geoMap (29)'!$A:$C,3,0)</f>
        <v>#REF!</v>
      </c>
      <c r="AF208" s="1" t="e">
        <f>AE208/VLOOKUP(A208,'[33]geoMap (30)'!$A:$B,2,0)*VLOOKUP(A208,'[33]geoMap (30)'!$A:$C,3,0)</f>
        <v>#REF!</v>
      </c>
      <c r="AG208" s="1" t="e">
        <f>AF208/VLOOKUP(A208,'[34]geoMap (31)'!$A:$B,2,0)*VLOOKUP(A208,'[34]geoMap (31)'!$A:$C,3,0)</f>
        <v>#REF!</v>
      </c>
      <c r="AH208" s="1" t="e">
        <f>AG208/VLOOKUP(A208,'[35]geoMap (32)'!$A:$B,2,0)*VLOOKUP(A208,'[35]geoMap (32)'!$A:$C,3,0)</f>
        <v>#REF!</v>
      </c>
      <c r="AI208" s="1" t="e">
        <f>AH208/VLOOKUP(A208,'[36]geoMap (33)'!$A:$B,2,0)*VLOOKUP(A208,'[36]geoMap (33)'!$A:$C,3,0)</f>
        <v>#REF!</v>
      </c>
      <c r="AJ208" s="1" t="e">
        <f>AI208/VLOOKUP(A208,'[37]geoMap (34)'!$A:$B,2,0)*VLOOKUP(A208,'[37]geoMap (34)'!$A:$C,3,0)</f>
        <v>#REF!</v>
      </c>
      <c r="AK208" s="1" t="e">
        <f>AJ208/VLOOKUP(A208,'[38]geoMap (35)'!$A:$B,2,0)*VLOOKUP(A208,'[38]geoMap (35)'!$A:$C,3,0)</f>
        <v>#REF!</v>
      </c>
      <c r="AL208" s="1" t="e">
        <f>AK208/VLOOKUP(A208,'[39]geoMap (36)'!$A:$B,2,0)*VLOOKUP(A208,'[39]geoMap (36)'!$A:$C,3,0)</f>
        <v>#REF!</v>
      </c>
      <c r="AM208" s="1" t="e">
        <f>AL208/VLOOKUP(A208,'[40]geoMap (37)'!$A:$B,2,0)*VLOOKUP(A208,'[40]geoMap (37)'!$A:$C,3,0)</f>
        <v>#REF!</v>
      </c>
      <c r="AN208" s="1" t="e">
        <f>AM208/VLOOKUP(A208,'[41]geoMap (38)'!$A:$B,2,0)*VLOOKUP(A208,'[41]geoMap (38)'!$A:$C,3,0)</f>
        <v>#REF!</v>
      </c>
      <c r="AO208" s="1" t="e">
        <f>AN208/VLOOKUP(A208,'[42]geoMap (39)'!$A:$B,2,0)*VLOOKUP(A208,'[42]geoMap (39)'!$A:$C,3,0)</f>
        <v>#REF!</v>
      </c>
      <c r="AP208" s="1" t="e">
        <f>AO208/VLOOKUP(A208,'[43]geoMap (40)'!$A:$B,2,0)*VLOOKUP(A208,'[43]geoMap (40)'!$A:$C,3,0)</f>
        <v>#REF!</v>
      </c>
      <c r="AQ208" s="1" t="e">
        <f>AP208/VLOOKUP(A208,'[44]geoMap (41)'!$A:$B,2,0)*VLOOKUP(A208,'[44]geoMap (41)'!$A:$C,3,0)</f>
        <v>#REF!</v>
      </c>
      <c r="AR208" s="1" t="e">
        <f>AQ208/VLOOKUP(A208,'[45]geoMap (42)'!$A:$B,2,0)*VLOOKUP(A208,'[45]geoMap (42)'!$A:$C,3,0)</f>
        <v>#REF!</v>
      </c>
      <c r="AS208" s="1" t="e">
        <f>AR208/VLOOKUP(A208,'[46]geoMap (43)'!$A:$B,2,0)*VLOOKUP(A208,'[46]geoMap (43)'!$A:$C,3,0)</f>
        <v>#REF!</v>
      </c>
      <c r="AT208" s="1" t="e">
        <f>AS208/VLOOKUP(A208,'[47]geoMap (44)'!$A:$B,2,0)*VLOOKUP(A208,'[47]geoMap (44)'!$A:$C,3,0)</f>
        <v>#REF!</v>
      </c>
      <c r="AU208" s="1" t="e">
        <f>AT208/VLOOKUP(A208,'[48]geoMap (45)'!$A:$B,2,0)*VLOOKUP(A208,'[48]geoMap (45)'!$A:$C,3,0)</f>
        <v>#REF!</v>
      </c>
      <c r="AV208" s="1" t="e">
        <f>AU208/VLOOKUP(A208,'[49]geoMap (46)'!$A:$B,2,0)*VLOOKUP(A208,'[49]geoMap (46)'!$A:$C,3,0)</f>
        <v>#REF!</v>
      </c>
      <c r="AW208" s="1" t="e">
        <f>AV208/VLOOKUP(A208,'[50]geoMap (47)'!$A:$B,2,0)*VLOOKUP(A208,'[50]geoMap (47)'!$A:$C,3,0)</f>
        <v>#REF!</v>
      </c>
      <c r="AX208" s="1" t="e">
        <f>AW208/VLOOKUP(A208,'[51]geoMap (48)'!$A:$B,2,0)*VLOOKUP(A208,'[51]geoMap (48)'!$A:$C,3,0)</f>
        <v>#REF!</v>
      </c>
      <c r="AY208" s="1" t="e">
        <f>AX208/VLOOKUP(A208,'[52]geoMap (49)'!$A:$B,2,0)*VLOOKUP(A208,'[52]geoMap (49)'!$A:$C,3,0)</f>
        <v>#REF!</v>
      </c>
      <c r="AZ208" s="1" t="e">
        <f>AY208/VLOOKUP(A208,'[53]geoMap (50)'!$A:$B,2,0)*VLOOKUP(A208,'[53]geoMap (50)'!$A:$C,3,0)</f>
        <v>#REF!</v>
      </c>
      <c r="BA208" s="1" t="e">
        <f>AZ208/VLOOKUP(A208,'[54]geoMap (51)'!$A:$B,2,0)*VLOOKUP(A208,'[54]geoMap (51)'!$A:$C,3,0)</f>
        <v>#REF!</v>
      </c>
      <c r="BB208" s="1" t="e">
        <f>BA208/VLOOKUP(A208,'[55]geoMap (52)'!$A:$B,2,0)*VLOOKUP(A208,'[55]geoMap (52)'!$A:$C,3,0)</f>
        <v>#REF!</v>
      </c>
      <c r="BC208" s="1" t="e">
        <f>BB208/VLOOKUP(A208,'[56]geoMap (53)'!$A:$B,2,0)*VLOOKUP(A208,'[56]geoMap (53)'!$A:$C,3,0)</f>
        <v>#REF!</v>
      </c>
      <c r="BD208" s="1" t="e">
        <f>BC208/VLOOKUP(A208,'[57]geoMap (54)'!$A:$B,2,0)*VLOOKUP(A208,'[57]geoMap (54)'!$A:$C,3,0)</f>
        <v>#REF!</v>
      </c>
      <c r="BE208" s="1" t="e">
        <f>BD208/VLOOKUP(A208,'[58]geoMap (55)'!$A:$B,2,0)*VLOOKUP(A208,'[58]geoMap (55)'!$A:$C,3,0)</f>
        <v>#REF!</v>
      </c>
      <c r="BF208" s="1" t="e">
        <f>BE208/VLOOKUP(A208,'[59]geoMap (56)'!$A:$B,2,0)*VLOOKUP(A208,'[59]geoMap (56)'!$A:$C,3,0)</f>
        <v>#REF!</v>
      </c>
      <c r="BG208" s="1" t="e">
        <f>BF208/VLOOKUP(A208,'[60]geoMap (57)'!$A:$B,2,0)*VLOOKUP(A208,'[60]geoMap (57)'!$A:$C,3,0)</f>
        <v>#REF!</v>
      </c>
      <c r="BH208" s="1" t="e">
        <f>BG208/VLOOKUP(A208,'[61]geoMap (58)'!$A:$B,2,0)*VLOOKUP(A208,'[61]geoMap (58)'!$A:$C,3,0)</f>
        <v>#REF!</v>
      </c>
      <c r="BI208" s="1" t="e">
        <f>BH208/VLOOKUP(A208,'[62]geoMap (59)'!$A:$B,2,0)*VLOOKUP(A208,'[62]geoMap (59)'!$A:$C,3,0)</f>
        <v>#REF!</v>
      </c>
      <c r="BJ208" s="1" t="e">
        <f>BI208/VLOOKUP(A208,'[63]geoMap (60)'!$A:$B,2,0)*VLOOKUP(A208,'[63]geoMap (60)'!$A:$C,3,0)</f>
        <v>#REF!</v>
      </c>
      <c r="BK208" s="1" t="e">
        <f>BJ208/VLOOKUP(A208,'[64]geoMap (61)'!$A:$B,2,0)*VLOOKUP(A208,'[64]geoMap (61)'!$A:$C,3,0)</f>
        <v>#REF!</v>
      </c>
      <c r="BL208" s="1" t="e">
        <f>BK208/VLOOKUP(A208,'[65]geoMap (62)'!$A:$B,2,0)*VLOOKUP(A208,'[65]geoMap (62)'!$A:$C,3,0)</f>
        <v>#REF!</v>
      </c>
      <c r="BM208" s="1" t="e">
        <f>BL208/VLOOKUP(A208,'[66]geoMap (63)'!$A:$B,2,0)*VLOOKUP(A208,'[66]geoMap (63)'!$A:$C,3,0)</f>
        <v>#REF!</v>
      </c>
      <c r="BN208" s="1" t="e">
        <f>BM208/VLOOKUP(A208,'[67]geoMap (64)'!$A:$B,2,0)*VLOOKUP(A208,'[67]geoMap (64)'!$A:$C,3,0)</f>
        <v>#REF!</v>
      </c>
      <c r="BO208" s="1" t="e">
        <f>BN208/VLOOKUP(A208,'[68]geoMap (65)'!$A:$B,2,0)*VLOOKUP(A208,'[68]geoMap (65)'!$A:$C,3,0)</f>
        <v>#REF!</v>
      </c>
      <c r="BP208" s="1" t="e">
        <f>BO208/VLOOKUP(A208,'[69]geoMap (66)'!$A:$B,2,0)*VLOOKUP(A208,'[69]geoMap (66)'!$A:$C,3,0)</f>
        <v>#REF!</v>
      </c>
    </row>
    <row r="209" spans="1:68" hidden="1" x14ac:dyDescent="0.2">
      <c r="A209" s="1" t="s">
        <v>211</v>
      </c>
      <c r="B209" s="1" t="e">
        <f>VLOOKUP(A209,[3]geoMap!$A:$B,2,0)*Notes!$C$6</f>
        <v>#REF!</v>
      </c>
      <c r="C209" s="1" t="e">
        <f>B209/VLOOKUP(A209,'[4]geoMap (1)'!$A:$B,2,0)*VLOOKUP(A209,'[4]geoMap (1)'!$A:$C,3,0)</f>
        <v>#REF!</v>
      </c>
      <c r="D209" s="1" t="e">
        <f>C209/VLOOKUP(A209,'[5]geoMap (2)'!$A:$B,2,0)*VLOOKUP(A209,'[5]geoMap (2)'!$A:$C,3,0)</f>
        <v>#REF!</v>
      </c>
      <c r="E209" s="1" t="e">
        <f>D209/VLOOKUP(A209,'[6]geoMap (3)'!$A:$B,2,0)*VLOOKUP(A209,'[6]geoMap (3)'!$A:$C,3,0)</f>
        <v>#REF!</v>
      </c>
      <c r="F209" s="1" t="e">
        <f>E209/VLOOKUP(A209,'[7]geoMap (4)'!$A:$B,2,0)*VLOOKUP(A209,'[7]geoMap (4)'!$A:$C,3,0)</f>
        <v>#REF!</v>
      </c>
      <c r="G209" s="1" t="e">
        <f>F209/VLOOKUP(A209,'[8]geoMap (5)'!$A:$B,2,0)*VLOOKUP(A209,'[8]geoMap (5)'!$A:$C,3,0)</f>
        <v>#REF!</v>
      </c>
      <c r="H209" s="1" t="e">
        <f>G209/VLOOKUP(A209,'[9]geoMap (6)'!$A:$B,2,0)*VLOOKUP(A209,'[9]geoMap (6)'!$A:$C,3,0)</f>
        <v>#REF!</v>
      </c>
      <c r="I209" s="1" t="e">
        <f>H209/VLOOKUP(A209,'[10]geoMap (7)'!$A:$B,2,0)*VLOOKUP(A209,'[10]geoMap (7)'!$A:$C,3,0)</f>
        <v>#REF!</v>
      </c>
      <c r="J209" s="1" t="e">
        <f>I209/VLOOKUP(A209,'[11]geoMap (8)'!$A:$B,2,0)*VLOOKUP(A209,'[11]geoMap (8)'!$A:$C,3,0)</f>
        <v>#REF!</v>
      </c>
      <c r="K209" s="1" t="e">
        <f>J209/VLOOKUP(A209,'[12]geoMap (9)'!$A:$B,2,0)*VLOOKUP(A209,'[12]geoMap (9)'!$A:$C,3,0)</f>
        <v>#REF!</v>
      </c>
      <c r="L209" s="1" t="e">
        <f>K209/VLOOKUP(A209,'[13]geoMap (10)'!$A:$B,2,0)*VLOOKUP(A209,'[13]geoMap (10)'!$A:$C,3,0)</f>
        <v>#REF!</v>
      </c>
      <c r="M209" s="1" t="e">
        <f>L209/VLOOKUP(A209,'[14]geoMap (11)'!$A:$B,2,0)*VLOOKUP(A209,'[14]geoMap (11)'!$A:$C,3,0)</f>
        <v>#REF!</v>
      </c>
      <c r="N209" s="1" t="e">
        <f>M209/VLOOKUP(A209,'[15]geoMap (12)'!$A:$B,2,0)*VLOOKUP(A209,'[15]geoMap (12)'!$A:$C,3,0)</f>
        <v>#REF!</v>
      </c>
      <c r="O209" s="1" t="e">
        <f>N209/VLOOKUP(A209,'[16]geoMap (13)'!$A:$B,2,0)*VLOOKUP(A209,'[16]geoMap (13)'!$A:$C,3,0)</f>
        <v>#REF!</v>
      </c>
      <c r="P209" s="1" t="e">
        <f>O209/VLOOKUP(A209,'[17]geoMap (14)'!$A:$B,2,0)*VLOOKUP(A209,'[17]geoMap (14)'!$A:$C,3,0)</f>
        <v>#REF!</v>
      </c>
      <c r="Q209" s="1" t="e">
        <f>P209/VLOOKUP(A209,'[18]geoMap (15)'!$A:$B,2,0)*VLOOKUP(A209,'[18]geoMap (15)'!$A:$C,3,0)</f>
        <v>#REF!</v>
      </c>
      <c r="R209" s="1" t="e">
        <f>Q209/VLOOKUP(A209,'[19]geoMap (16)'!$A:$B,2,0)*VLOOKUP(A209,'[19]geoMap (16)'!$A:$C,3,0)</f>
        <v>#REF!</v>
      </c>
      <c r="S209" s="1" t="e">
        <f>R209/VLOOKUP(A209,'[20]geoMap (17)'!$A:$B,2,0)*VLOOKUP(A209,'[20]geoMap (17)'!$A:$C,3,0)</f>
        <v>#REF!</v>
      </c>
      <c r="T209" s="1" t="e">
        <f>S209/VLOOKUP(A209,'[21]geoMap (18)'!$A:$B,2,0)*VLOOKUP(A209,'[21]geoMap (18)'!$A:$C,3,0)</f>
        <v>#REF!</v>
      </c>
      <c r="U209" s="1" t="e">
        <f>T209/VLOOKUP(A209,'[22]geoMap (19)'!$A:$B,2,0)*VLOOKUP(A209,'[22]geoMap (19)'!$A:$C,3,0)</f>
        <v>#REF!</v>
      </c>
      <c r="V209" s="1" t="e">
        <f>U209/VLOOKUP(A209,'[23]geoMap (20)'!$A:$B,2,0)*VLOOKUP(A209,'[23]geoMap (20)'!$A:$C,3,0)</f>
        <v>#REF!</v>
      </c>
      <c r="W209" s="1" t="e">
        <f>V209/VLOOKUP(A209,'[24]geoMap (21)'!$A:$B,2,0)*VLOOKUP(A209,'[24]geoMap (21)'!$A:$C,3,0)</f>
        <v>#REF!</v>
      </c>
      <c r="X209" s="1" t="e">
        <f>W209/VLOOKUP(A209,'[25]geoMap (22)'!$A:$B,2,0)*VLOOKUP(A209,'[25]geoMap (22)'!$A:$C,3,0)</f>
        <v>#REF!</v>
      </c>
      <c r="Y209" s="1" t="e">
        <f>X209/VLOOKUP(A209,'[26]geoMap (23)'!$A:$B,2,0)*VLOOKUP(A209,'[26]geoMap (23)'!$A:$C,3,0)</f>
        <v>#REF!</v>
      </c>
      <c r="Z209" s="1" t="e">
        <f>Y209/VLOOKUP(A209,'[27]geoMap (24)'!$A:$B,2,0)*VLOOKUP(A209,'[27]geoMap (24)'!$A:$C,3,0)</f>
        <v>#REF!</v>
      </c>
      <c r="AA209" s="1" t="e">
        <f>Z209/VLOOKUP(A209,'[28]geoMap (25)'!$A:$B,2,0)*VLOOKUP(A209,'[28]geoMap (25)'!$A:$C,3,0)</f>
        <v>#REF!</v>
      </c>
      <c r="AB209" s="1" t="e">
        <f>AA209*VLOOKUP(A209,'[29]geoMap (26)'!$A:$B,2,0)*VLOOKUP(A209,'[29]geoMap (26)'!$A:$C,3,0)</f>
        <v>#REF!</v>
      </c>
      <c r="AC209" s="1" t="e">
        <f>AB209/VLOOKUP(A209,'[30]geoMap (27)'!$A:$B,2,0)*VLOOKUP(A209,'[30]geoMap (27)'!$A:$C,3,0)</f>
        <v>#REF!</v>
      </c>
      <c r="AD209" s="1" t="e">
        <f>AC209/VLOOKUP(A209,'[31]geoMap (28)'!$A:$B,2,0)*VLOOKUP(A209,'[31]geoMap (28)'!$A:$C,3,0)</f>
        <v>#REF!</v>
      </c>
      <c r="AE209" s="1" t="e">
        <f>AD209/VLOOKUP(A209,'[32]geoMap (29)'!$A:$B,2,0)*VLOOKUP(A209,'[32]geoMap (29)'!$A:$C,3,0)</f>
        <v>#REF!</v>
      </c>
      <c r="AF209" s="1" t="e">
        <f>AE209/VLOOKUP(A209,'[33]geoMap (30)'!$A:$B,2,0)*VLOOKUP(A209,'[33]geoMap (30)'!$A:$C,3,0)</f>
        <v>#REF!</v>
      </c>
      <c r="AG209" s="1" t="e">
        <f>AF209/VLOOKUP(A209,'[34]geoMap (31)'!$A:$B,2,0)*VLOOKUP(A209,'[34]geoMap (31)'!$A:$C,3,0)</f>
        <v>#REF!</v>
      </c>
      <c r="AH209" s="1" t="e">
        <f>AG209/VLOOKUP(A209,'[35]geoMap (32)'!$A:$B,2,0)*VLOOKUP(A209,'[35]geoMap (32)'!$A:$C,3,0)</f>
        <v>#REF!</v>
      </c>
      <c r="AI209" s="1" t="e">
        <f>AH209/VLOOKUP(A209,'[36]geoMap (33)'!$A:$B,2,0)*VLOOKUP(A209,'[36]geoMap (33)'!$A:$C,3,0)</f>
        <v>#REF!</v>
      </c>
      <c r="AJ209" s="1" t="e">
        <f>AI209/VLOOKUP(A209,'[37]geoMap (34)'!$A:$B,2,0)*VLOOKUP(A209,'[37]geoMap (34)'!$A:$C,3,0)</f>
        <v>#REF!</v>
      </c>
      <c r="AK209" s="1" t="e">
        <f>AJ209/VLOOKUP(A209,'[38]geoMap (35)'!$A:$B,2,0)*VLOOKUP(A209,'[38]geoMap (35)'!$A:$C,3,0)</f>
        <v>#REF!</v>
      </c>
      <c r="AL209" s="1" t="e">
        <f>AK209/VLOOKUP(A209,'[39]geoMap (36)'!$A:$B,2,0)*VLOOKUP(A209,'[39]geoMap (36)'!$A:$C,3,0)</f>
        <v>#REF!</v>
      </c>
      <c r="AM209" s="1" t="e">
        <f>AL209/VLOOKUP(A209,'[40]geoMap (37)'!$A:$B,2,0)*VLOOKUP(A209,'[40]geoMap (37)'!$A:$C,3,0)</f>
        <v>#REF!</v>
      </c>
      <c r="AN209" s="1" t="e">
        <f>AM209/VLOOKUP(A209,'[41]geoMap (38)'!$A:$B,2,0)*VLOOKUP(A209,'[41]geoMap (38)'!$A:$C,3,0)</f>
        <v>#REF!</v>
      </c>
      <c r="AO209" s="1" t="e">
        <f>AN209/VLOOKUP(A209,'[42]geoMap (39)'!$A:$B,2,0)*VLOOKUP(A209,'[42]geoMap (39)'!$A:$C,3,0)</f>
        <v>#REF!</v>
      </c>
      <c r="AP209" s="1" t="e">
        <f>AO209/VLOOKUP(A209,'[43]geoMap (40)'!$A:$B,2,0)*VLOOKUP(A209,'[43]geoMap (40)'!$A:$C,3,0)</f>
        <v>#REF!</v>
      </c>
      <c r="AQ209" s="1" t="e">
        <f>AP209/VLOOKUP(A209,'[44]geoMap (41)'!$A:$B,2,0)*VLOOKUP(A209,'[44]geoMap (41)'!$A:$C,3,0)</f>
        <v>#REF!</v>
      </c>
      <c r="AR209" s="1" t="e">
        <f>AQ209/VLOOKUP(A209,'[45]geoMap (42)'!$A:$B,2,0)*VLOOKUP(A209,'[45]geoMap (42)'!$A:$C,3,0)</f>
        <v>#REF!</v>
      </c>
      <c r="AS209" s="1" t="e">
        <f>AR209/VLOOKUP(A209,'[46]geoMap (43)'!$A:$B,2,0)*VLOOKUP(A209,'[46]geoMap (43)'!$A:$C,3,0)</f>
        <v>#REF!</v>
      </c>
      <c r="AT209" s="1" t="e">
        <f>AS209/VLOOKUP(A209,'[47]geoMap (44)'!$A:$B,2,0)*VLOOKUP(A209,'[47]geoMap (44)'!$A:$C,3,0)</f>
        <v>#REF!</v>
      </c>
      <c r="AU209" s="1" t="e">
        <f>AT209/VLOOKUP(A209,'[48]geoMap (45)'!$A:$B,2,0)*VLOOKUP(A209,'[48]geoMap (45)'!$A:$C,3,0)</f>
        <v>#REF!</v>
      </c>
      <c r="AV209" s="1" t="e">
        <f>AU209/VLOOKUP(A209,'[49]geoMap (46)'!$A:$B,2,0)*VLOOKUP(A209,'[49]geoMap (46)'!$A:$C,3,0)</f>
        <v>#REF!</v>
      </c>
      <c r="AW209" s="1" t="e">
        <f>AV209/VLOOKUP(A209,'[50]geoMap (47)'!$A:$B,2,0)*VLOOKUP(A209,'[50]geoMap (47)'!$A:$C,3,0)</f>
        <v>#REF!</v>
      </c>
      <c r="AX209" s="1" t="e">
        <f>AW209/VLOOKUP(A209,'[51]geoMap (48)'!$A:$B,2,0)*VLOOKUP(A209,'[51]geoMap (48)'!$A:$C,3,0)</f>
        <v>#REF!</v>
      </c>
      <c r="AY209" s="1" t="e">
        <f>AX209/VLOOKUP(A209,'[52]geoMap (49)'!$A:$B,2,0)*VLOOKUP(A209,'[52]geoMap (49)'!$A:$C,3,0)</f>
        <v>#REF!</v>
      </c>
      <c r="AZ209" s="1" t="e">
        <f>AY209/VLOOKUP(A209,'[53]geoMap (50)'!$A:$B,2,0)*VLOOKUP(A209,'[53]geoMap (50)'!$A:$C,3,0)</f>
        <v>#REF!</v>
      </c>
      <c r="BA209" s="1" t="e">
        <f>AZ209/VLOOKUP(A209,'[54]geoMap (51)'!$A:$B,2,0)*VLOOKUP(A209,'[54]geoMap (51)'!$A:$C,3,0)</f>
        <v>#REF!</v>
      </c>
      <c r="BB209" s="1" t="e">
        <f>BA209/VLOOKUP(A209,'[55]geoMap (52)'!$A:$B,2,0)*VLOOKUP(A209,'[55]geoMap (52)'!$A:$C,3,0)</f>
        <v>#REF!</v>
      </c>
      <c r="BC209" s="1" t="e">
        <f>BB209/VLOOKUP(A209,'[56]geoMap (53)'!$A:$B,2,0)*VLOOKUP(A209,'[56]geoMap (53)'!$A:$C,3,0)</f>
        <v>#REF!</v>
      </c>
      <c r="BD209" s="1" t="e">
        <f>BC209/VLOOKUP(A209,'[57]geoMap (54)'!$A:$B,2,0)*VLOOKUP(A209,'[57]geoMap (54)'!$A:$C,3,0)</f>
        <v>#REF!</v>
      </c>
      <c r="BE209" s="1" t="e">
        <f>BD209/VLOOKUP(A209,'[58]geoMap (55)'!$A:$B,2,0)*VLOOKUP(A209,'[58]geoMap (55)'!$A:$C,3,0)</f>
        <v>#REF!</v>
      </c>
      <c r="BF209" s="1" t="e">
        <f>BE209/VLOOKUP(A209,'[59]geoMap (56)'!$A:$B,2,0)*VLOOKUP(A209,'[59]geoMap (56)'!$A:$C,3,0)</f>
        <v>#REF!</v>
      </c>
      <c r="BG209" s="1" t="e">
        <f>BF209/VLOOKUP(A209,'[60]geoMap (57)'!$A:$B,2,0)*VLOOKUP(A209,'[60]geoMap (57)'!$A:$C,3,0)</f>
        <v>#REF!</v>
      </c>
      <c r="BH209" s="1" t="e">
        <f>BG209/VLOOKUP(A209,'[61]geoMap (58)'!$A:$B,2,0)*VLOOKUP(A209,'[61]geoMap (58)'!$A:$C,3,0)</f>
        <v>#REF!</v>
      </c>
      <c r="BI209" s="1" t="e">
        <f>BH209/VLOOKUP(A209,'[62]geoMap (59)'!$A:$B,2,0)*VLOOKUP(A209,'[62]geoMap (59)'!$A:$C,3,0)</f>
        <v>#REF!</v>
      </c>
      <c r="BJ209" s="1" t="e">
        <f>BI209/VLOOKUP(A209,'[63]geoMap (60)'!$A:$B,2,0)*VLOOKUP(A209,'[63]geoMap (60)'!$A:$C,3,0)</f>
        <v>#REF!</v>
      </c>
      <c r="BK209" s="1" t="e">
        <f>BJ209/VLOOKUP(A209,'[64]geoMap (61)'!$A:$B,2,0)*VLOOKUP(A209,'[64]geoMap (61)'!$A:$C,3,0)</f>
        <v>#REF!</v>
      </c>
      <c r="BL209" s="1" t="e">
        <f>BK209/VLOOKUP(A209,'[65]geoMap (62)'!$A:$B,2,0)*VLOOKUP(A209,'[65]geoMap (62)'!$A:$C,3,0)</f>
        <v>#REF!</v>
      </c>
      <c r="BM209" s="1" t="e">
        <f>BL209/VLOOKUP(A209,'[66]geoMap (63)'!$A:$B,2,0)*VLOOKUP(A209,'[66]geoMap (63)'!$A:$C,3,0)</f>
        <v>#REF!</v>
      </c>
      <c r="BN209" s="1" t="e">
        <f>BM209/VLOOKUP(A209,'[67]geoMap (64)'!$A:$B,2,0)*VLOOKUP(A209,'[67]geoMap (64)'!$A:$C,3,0)</f>
        <v>#REF!</v>
      </c>
      <c r="BO209" s="1" t="e">
        <f>BN209/VLOOKUP(A209,'[68]geoMap (65)'!$A:$B,2,0)*VLOOKUP(A209,'[68]geoMap (65)'!$A:$C,3,0)</f>
        <v>#REF!</v>
      </c>
      <c r="BP209" s="1" t="e">
        <f>BO209/VLOOKUP(A209,'[69]geoMap (66)'!$A:$B,2,0)*VLOOKUP(A209,'[69]geoMap (66)'!$A:$C,3,0)</f>
        <v>#REF!</v>
      </c>
    </row>
    <row r="210" spans="1:68" hidden="1" x14ac:dyDescent="0.2">
      <c r="A210" s="1" t="s">
        <v>212</v>
      </c>
      <c r="B210" s="1" t="e">
        <f>VLOOKUP(A210,[3]geoMap!$A:$B,2,0)*Notes!$C$6</f>
        <v>#REF!</v>
      </c>
      <c r="C210" s="1" t="e">
        <f>B210/VLOOKUP(A210,'[4]geoMap (1)'!$A:$B,2,0)*VLOOKUP(A210,'[4]geoMap (1)'!$A:$C,3,0)</f>
        <v>#REF!</v>
      </c>
      <c r="D210" s="1" t="e">
        <f>C210/VLOOKUP(A210,'[5]geoMap (2)'!$A:$B,2,0)*VLOOKUP(A210,'[5]geoMap (2)'!$A:$C,3,0)</f>
        <v>#REF!</v>
      </c>
      <c r="E210" s="1" t="e">
        <f>D210/VLOOKUP(A210,'[6]geoMap (3)'!$A:$B,2,0)*VLOOKUP(A210,'[6]geoMap (3)'!$A:$C,3,0)</f>
        <v>#REF!</v>
      </c>
      <c r="F210" s="1" t="e">
        <f>E210/VLOOKUP(A210,'[7]geoMap (4)'!$A:$B,2,0)*VLOOKUP(A210,'[7]geoMap (4)'!$A:$C,3,0)</f>
        <v>#REF!</v>
      </c>
      <c r="G210" s="1" t="e">
        <f>F210/VLOOKUP(A210,'[8]geoMap (5)'!$A:$B,2,0)*VLOOKUP(A210,'[8]geoMap (5)'!$A:$C,3,0)</f>
        <v>#REF!</v>
      </c>
      <c r="H210" s="1" t="e">
        <f>G210/VLOOKUP(A210,'[9]geoMap (6)'!$A:$B,2,0)*VLOOKUP(A210,'[9]geoMap (6)'!$A:$C,3,0)</f>
        <v>#REF!</v>
      </c>
      <c r="I210" s="1" t="e">
        <f>H210/VLOOKUP(A210,'[10]geoMap (7)'!$A:$B,2,0)*VLOOKUP(A210,'[10]geoMap (7)'!$A:$C,3,0)</f>
        <v>#REF!</v>
      </c>
      <c r="J210" s="1" t="e">
        <f>I210/VLOOKUP(A210,'[11]geoMap (8)'!$A:$B,2,0)*VLOOKUP(A210,'[11]geoMap (8)'!$A:$C,3,0)</f>
        <v>#REF!</v>
      </c>
      <c r="K210" s="1" t="e">
        <f>J210/VLOOKUP(A210,'[12]geoMap (9)'!$A:$B,2,0)*VLOOKUP(A210,'[12]geoMap (9)'!$A:$C,3,0)</f>
        <v>#REF!</v>
      </c>
      <c r="L210" s="1" t="e">
        <f>K210/VLOOKUP(A210,'[13]geoMap (10)'!$A:$B,2,0)*VLOOKUP(A210,'[13]geoMap (10)'!$A:$C,3,0)</f>
        <v>#REF!</v>
      </c>
      <c r="M210" s="1" t="e">
        <f>L210/VLOOKUP(A210,'[14]geoMap (11)'!$A:$B,2,0)*VLOOKUP(A210,'[14]geoMap (11)'!$A:$C,3,0)</f>
        <v>#REF!</v>
      </c>
      <c r="N210" s="1" t="e">
        <f>M210/VLOOKUP(A210,'[15]geoMap (12)'!$A:$B,2,0)*VLOOKUP(A210,'[15]geoMap (12)'!$A:$C,3,0)</f>
        <v>#REF!</v>
      </c>
      <c r="O210" s="1" t="e">
        <f>N210/VLOOKUP(A210,'[16]geoMap (13)'!$A:$B,2,0)*VLOOKUP(A210,'[16]geoMap (13)'!$A:$C,3,0)</f>
        <v>#REF!</v>
      </c>
      <c r="P210" s="1" t="e">
        <f>O210/VLOOKUP(A210,'[17]geoMap (14)'!$A:$B,2,0)*VLOOKUP(A210,'[17]geoMap (14)'!$A:$C,3,0)</f>
        <v>#REF!</v>
      </c>
      <c r="Q210" s="1" t="e">
        <f>P210/VLOOKUP(A210,'[18]geoMap (15)'!$A:$B,2,0)*VLOOKUP(A210,'[18]geoMap (15)'!$A:$C,3,0)</f>
        <v>#REF!</v>
      </c>
      <c r="R210" s="1" t="e">
        <f>Q210/VLOOKUP(A210,'[19]geoMap (16)'!$A:$B,2,0)*VLOOKUP(A210,'[19]geoMap (16)'!$A:$C,3,0)</f>
        <v>#REF!</v>
      </c>
      <c r="S210" s="1" t="e">
        <f>R210/VLOOKUP(A210,'[20]geoMap (17)'!$A:$B,2,0)*VLOOKUP(A210,'[20]geoMap (17)'!$A:$C,3,0)</f>
        <v>#REF!</v>
      </c>
      <c r="T210" s="1" t="e">
        <f>S210/VLOOKUP(A210,'[21]geoMap (18)'!$A:$B,2,0)*VLOOKUP(A210,'[21]geoMap (18)'!$A:$C,3,0)</f>
        <v>#REF!</v>
      </c>
      <c r="U210" s="1" t="e">
        <f>T210/VLOOKUP(A210,'[22]geoMap (19)'!$A:$B,2,0)*VLOOKUP(A210,'[22]geoMap (19)'!$A:$C,3,0)</f>
        <v>#REF!</v>
      </c>
      <c r="V210" s="1" t="e">
        <f>U210/VLOOKUP(A210,'[23]geoMap (20)'!$A:$B,2,0)*VLOOKUP(A210,'[23]geoMap (20)'!$A:$C,3,0)</f>
        <v>#REF!</v>
      </c>
      <c r="W210" s="1" t="e">
        <f>V210/VLOOKUP(A210,'[24]geoMap (21)'!$A:$B,2,0)*VLOOKUP(A210,'[24]geoMap (21)'!$A:$C,3,0)</f>
        <v>#REF!</v>
      </c>
      <c r="X210" s="1" t="e">
        <f>W210/VLOOKUP(A210,'[25]geoMap (22)'!$A:$B,2,0)*VLOOKUP(A210,'[25]geoMap (22)'!$A:$C,3,0)</f>
        <v>#REF!</v>
      </c>
      <c r="Y210" s="1" t="e">
        <f>X210/VLOOKUP(A210,'[26]geoMap (23)'!$A:$B,2,0)*VLOOKUP(A210,'[26]geoMap (23)'!$A:$C,3,0)</f>
        <v>#REF!</v>
      </c>
      <c r="Z210" s="1" t="e">
        <f>Y210/VLOOKUP(A210,'[27]geoMap (24)'!$A:$B,2,0)*VLOOKUP(A210,'[27]geoMap (24)'!$A:$C,3,0)</f>
        <v>#REF!</v>
      </c>
      <c r="AA210" s="1" t="e">
        <f>Z210/VLOOKUP(A210,'[28]geoMap (25)'!$A:$B,2,0)*VLOOKUP(A210,'[28]geoMap (25)'!$A:$C,3,0)</f>
        <v>#REF!</v>
      </c>
      <c r="AB210" s="1" t="e">
        <f>AA210*VLOOKUP(A210,'[29]geoMap (26)'!$A:$B,2,0)*VLOOKUP(A210,'[29]geoMap (26)'!$A:$C,3,0)</f>
        <v>#REF!</v>
      </c>
      <c r="AC210" s="1" t="e">
        <f>AB210/VLOOKUP(A210,'[30]geoMap (27)'!$A:$B,2,0)*VLOOKUP(A210,'[30]geoMap (27)'!$A:$C,3,0)</f>
        <v>#REF!</v>
      </c>
      <c r="AD210" s="1" t="e">
        <f>AC210/VLOOKUP(A210,'[31]geoMap (28)'!$A:$B,2,0)*VLOOKUP(A210,'[31]geoMap (28)'!$A:$C,3,0)</f>
        <v>#REF!</v>
      </c>
      <c r="AE210" s="1" t="e">
        <f>AD210/VLOOKUP(A210,'[32]geoMap (29)'!$A:$B,2,0)*VLOOKUP(A210,'[32]geoMap (29)'!$A:$C,3,0)</f>
        <v>#REF!</v>
      </c>
      <c r="AF210" s="1" t="e">
        <f>AE210/VLOOKUP(A210,'[33]geoMap (30)'!$A:$B,2,0)*VLOOKUP(A210,'[33]geoMap (30)'!$A:$C,3,0)</f>
        <v>#REF!</v>
      </c>
      <c r="AG210" s="1" t="e">
        <f>AF210/VLOOKUP(A210,'[34]geoMap (31)'!$A:$B,2,0)*VLOOKUP(A210,'[34]geoMap (31)'!$A:$C,3,0)</f>
        <v>#REF!</v>
      </c>
      <c r="AH210" s="1" t="e">
        <f>AG210/VLOOKUP(A210,'[35]geoMap (32)'!$A:$B,2,0)*VLOOKUP(A210,'[35]geoMap (32)'!$A:$C,3,0)</f>
        <v>#REF!</v>
      </c>
      <c r="AI210" s="1" t="e">
        <f>AH210/VLOOKUP(A210,'[36]geoMap (33)'!$A:$B,2,0)*VLOOKUP(A210,'[36]geoMap (33)'!$A:$C,3,0)</f>
        <v>#REF!</v>
      </c>
      <c r="AJ210" s="1" t="e">
        <f>AI210/VLOOKUP(A210,'[37]geoMap (34)'!$A:$B,2,0)*VLOOKUP(A210,'[37]geoMap (34)'!$A:$C,3,0)</f>
        <v>#REF!</v>
      </c>
      <c r="AK210" s="1" t="e">
        <f>AJ210/VLOOKUP(A210,'[38]geoMap (35)'!$A:$B,2,0)*VLOOKUP(A210,'[38]geoMap (35)'!$A:$C,3,0)</f>
        <v>#REF!</v>
      </c>
      <c r="AL210" s="1" t="e">
        <f>AK210/VLOOKUP(A210,'[39]geoMap (36)'!$A:$B,2,0)*VLOOKUP(A210,'[39]geoMap (36)'!$A:$C,3,0)</f>
        <v>#REF!</v>
      </c>
      <c r="AM210" s="1" t="e">
        <f>AL210/VLOOKUP(A210,'[40]geoMap (37)'!$A:$B,2,0)*VLOOKUP(A210,'[40]geoMap (37)'!$A:$C,3,0)</f>
        <v>#REF!</v>
      </c>
      <c r="AN210" s="1" t="e">
        <f>AM210/VLOOKUP(A210,'[41]geoMap (38)'!$A:$B,2,0)*VLOOKUP(A210,'[41]geoMap (38)'!$A:$C,3,0)</f>
        <v>#REF!</v>
      </c>
      <c r="AO210" s="1" t="e">
        <f>AN210/VLOOKUP(A210,'[42]geoMap (39)'!$A:$B,2,0)*VLOOKUP(A210,'[42]geoMap (39)'!$A:$C,3,0)</f>
        <v>#REF!</v>
      </c>
      <c r="AP210" s="1" t="e">
        <f>AO210/VLOOKUP(A210,'[43]geoMap (40)'!$A:$B,2,0)*VLOOKUP(A210,'[43]geoMap (40)'!$A:$C,3,0)</f>
        <v>#REF!</v>
      </c>
      <c r="AQ210" s="1" t="e">
        <f>AP210/VLOOKUP(A210,'[44]geoMap (41)'!$A:$B,2,0)*VLOOKUP(A210,'[44]geoMap (41)'!$A:$C,3,0)</f>
        <v>#REF!</v>
      </c>
      <c r="AR210" s="1" t="e">
        <f>AQ210/VLOOKUP(A210,'[45]geoMap (42)'!$A:$B,2,0)*VLOOKUP(A210,'[45]geoMap (42)'!$A:$C,3,0)</f>
        <v>#REF!</v>
      </c>
      <c r="AS210" s="1" t="e">
        <f>AR210/VLOOKUP(A210,'[46]geoMap (43)'!$A:$B,2,0)*VLOOKUP(A210,'[46]geoMap (43)'!$A:$C,3,0)</f>
        <v>#REF!</v>
      </c>
      <c r="AT210" s="1" t="e">
        <f>AS210/VLOOKUP(A210,'[47]geoMap (44)'!$A:$B,2,0)*VLOOKUP(A210,'[47]geoMap (44)'!$A:$C,3,0)</f>
        <v>#REF!</v>
      </c>
      <c r="AU210" s="1" t="e">
        <f>AT210/VLOOKUP(A210,'[48]geoMap (45)'!$A:$B,2,0)*VLOOKUP(A210,'[48]geoMap (45)'!$A:$C,3,0)</f>
        <v>#REF!</v>
      </c>
      <c r="AV210" s="1" t="e">
        <f>AU210/VLOOKUP(A210,'[49]geoMap (46)'!$A:$B,2,0)*VLOOKUP(A210,'[49]geoMap (46)'!$A:$C,3,0)</f>
        <v>#REF!</v>
      </c>
      <c r="AW210" s="1" t="e">
        <f>AV210/VLOOKUP(A210,'[50]geoMap (47)'!$A:$B,2,0)*VLOOKUP(A210,'[50]geoMap (47)'!$A:$C,3,0)</f>
        <v>#REF!</v>
      </c>
      <c r="AX210" s="1" t="e">
        <f>AW210/VLOOKUP(A210,'[51]geoMap (48)'!$A:$B,2,0)*VLOOKUP(A210,'[51]geoMap (48)'!$A:$C,3,0)</f>
        <v>#REF!</v>
      </c>
      <c r="AY210" s="1" t="e">
        <f>AX210/VLOOKUP(A210,'[52]geoMap (49)'!$A:$B,2,0)*VLOOKUP(A210,'[52]geoMap (49)'!$A:$C,3,0)</f>
        <v>#REF!</v>
      </c>
      <c r="AZ210" s="1" t="e">
        <f>AY210/VLOOKUP(A210,'[53]geoMap (50)'!$A:$B,2,0)*VLOOKUP(A210,'[53]geoMap (50)'!$A:$C,3,0)</f>
        <v>#REF!</v>
      </c>
      <c r="BA210" s="1" t="e">
        <f>AZ210/VLOOKUP(A210,'[54]geoMap (51)'!$A:$B,2,0)*VLOOKUP(A210,'[54]geoMap (51)'!$A:$C,3,0)</f>
        <v>#REF!</v>
      </c>
      <c r="BB210" s="1" t="e">
        <f>BA210/VLOOKUP(A210,'[55]geoMap (52)'!$A:$B,2,0)*VLOOKUP(A210,'[55]geoMap (52)'!$A:$C,3,0)</f>
        <v>#REF!</v>
      </c>
      <c r="BC210" s="1" t="e">
        <f>BB210/VLOOKUP(A210,'[56]geoMap (53)'!$A:$B,2,0)*VLOOKUP(A210,'[56]geoMap (53)'!$A:$C,3,0)</f>
        <v>#REF!</v>
      </c>
      <c r="BD210" s="1" t="e">
        <f>BC210/VLOOKUP(A210,'[57]geoMap (54)'!$A:$B,2,0)*VLOOKUP(A210,'[57]geoMap (54)'!$A:$C,3,0)</f>
        <v>#REF!</v>
      </c>
      <c r="BE210" s="1" t="e">
        <f>BD210/VLOOKUP(A210,'[58]geoMap (55)'!$A:$B,2,0)*VLOOKUP(A210,'[58]geoMap (55)'!$A:$C,3,0)</f>
        <v>#REF!</v>
      </c>
      <c r="BF210" s="1" t="e">
        <f>BE210/VLOOKUP(A210,'[59]geoMap (56)'!$A:$B,2,0)*VLOOKUP(A210,'[59]geoMap (56)'!$A:$C,3,0)</f>
        <v>#REF!</v>
      </c>
      <c r="BG210" s="1" t="e">
        <f>BF210/VLOOKUP(A210,'[60]geoMap (57)'!$A:$B,2,0)*VLOOKUP(A210,'[60]geoMap (57)'!$A:$C,3,0)</f>
        <v>#REF!</v>
      </c>
      <c r="BH210" s="1" t="e">
        <f>BG210/VLOOKUP(A210,'[61]geoMap (58)'!$A:$B,2,0)*VLOOKUP(A210,'[61]geoMap (58)'!$A:$C,3,0)</f>
        <v>#REF!</v>
      </c>
      <c r="BI210" s="1" t="e">
        <f>BH210/VLOOKUP(A210,'[62]geoMap (59)'!$A:$B,2,0)*VLOOKUP(A210,'[62]geoMap (59)'!$A:$C,3,0)</f>
        <v>#REF!</v>
      </c>
      <c r="BJ210" s="1" t="e">
        <f>BI210/VLOOKUP(A210,'[63]geoMap (60)'!$A:$B,2,0)*VLOOKUP(A210,'[63]geoMap (60)'!$A:$C,3,0)</f>
        <v>#REF!</v>
      </c>
      <c r="BK210" s="1" t="e">
        <f>BJ210/VLOOKUP(A210,'[64]geoMap (61)'!$A:$B,2,0)*VLOOKUP(A210,'[64]geoMap (61)'!$A:$C,3,0)</f>
        <v>#REF!</v>
      </c>
      <c r="BL210" s="1" t="e">
        <f>BK210/VLOOKUP(A210,'[65]geoMap (62)'!$A:$B,2,0)*VLOOKUP(A210,'[65]geoMap (62)'!$A:$C,3,0)</f>
        <v>#REF!</v>
      </c>
      <c r="BM210" s="1" t="e">
        <f>BL210/VLOOKUP(A210,'[66]geoMap (63)'!$A:$B,2,0)*VLOOKUP(A210,'[66]geoMap (63)'!$A:$C,3,0)</f>
        <v>#REF!</v>
      </c>
      <c r="BN210" s="1" t="e">
        <f>BM210/VLOOKUP(A210,'[67]geoMap (64)'!$A:$B,2,0)*VLOOKUP(A210,'[67]geoMap (64)'!$A:$C,3,0)</f>
        <v>#REF!</v>
      </c>
      <c r="BO210" s="1" t="e">
        <f>BN210/VLOOKUP(A210,'[68]geoMap (65)'!$A:$B,2,0)*VLOOKUP(A210,'[68]geoMap (65)'!$A:$C,3,0)</f>
        <v>#REF!</v>
      </c>
      <c r="BP210" s="1" t="e">
        <f>BO210/VLOOKUP(A210,'[69]geoMap (66)'!$A:$B,2,0)*VLOOKUP(A210,'[69]geoMap (66)'!$A:$C,3,0)</f>
        <v>#REF!</v>
      </c>
    </row>
    <row r="211" spans="1:68" hidden="1" x14ac:dyDescent="0.2">
      <c r="A211" s="1" t="s">
        <v>213</v>
      </c>
      <c r="B211" s="1" t="e">
        <f>VLOOKUP(A211,[3]geoMap!$A:$B,2,0)*Notes!$C$6</f>
        <v>#REF!</v>
      </c>
      <c r="C211" s="1" t="e">
        <f>B211/VLOOKUP(A211,'[4]geoMap (1)'!$A:$B,2,0)*VLOOKUP(A211,'[4]geoMap (1)'!$A:$C,3,0)</f>
        <v>#REF!</v>
      </c>
      <c r="D211" s="1" t="e">
        <f>C211/VLOOKUP(A211,'[5]geoMap (2)'!$A:$B,2,0)*VLOOKUP(A211,'[5]geoMap (2)'!$A:$C,3,0)</f>
        <v>#REF!</v>
      </c>
      <c r="E211" s="1" t="e">
        <f>D211/VLOOKUP(A211,'[6]geoMap (3)'!$A:$B,2,0)*VLOOKUP(A211,'[6]geoMap (3)'!$A:$C,3,0)</f>
        <v>#REF!</v>
      </c>
      <c r="F211" s="1" t="e">
        <f>E211/VLOOKUP(A211,'[7]geoMap (4)'!$A:$B,2,0)*VLOOKUP(A211,'[7]geoMap (4)'!$A:$C,3,0)</f>
        <v>#REF!</v>
      </c>
      <c r="G211" s="1" t="e">
        <f>F211/VLOOKUP(A211,'[8]geoMap (5)'!$A:$B,2,0)*VLOOKUP(A211,'[8]geoMap (5)'!$A:$C,3,0)</f>
        <v>#REF!</v>
      </c>
      <c r="H211" s="1" t="e">
        <f>G211/VLOOKUP(A211,'[9]geoMap (6)'!$A:$B,2,0)*VLOOKUP(A211,'[9]geoMap (6)'!$A:$C,3,0)</f>
        <v>#REF!</v>
      </c>
      <c r="I211" s="1" t="e">
        <f>H211/VLOOKUP(A211,'[10]geoMap (7)'!$A:$B,2,0)*VLOOKUP(A211,'[10]geoMap (7)'!$A:$C,3,0)</f>
        <v>#REF!</v>
      </c>
      <c r="J211" s="1" t="e">
        <f>I211/VLOOKUP(A211,'[11]geoMap (8)'!$A:$B,2,0)*VLOOKUP(A211,'[11]geoMap (8)'!$A:$C,3,0)</f>
        <v>#REF!</v>
      </c>
      <c r="K211" s="1" t="e">
        <f>J211/VLOOKUP(A211,'[12]geoMap (9)'!$A:$B,2,0)*VLOOKUP(A211,'[12]geoMap (9)'!$A:$C,3,0)</f>
        <v>#REF!</v>
      </c>
      <c r="L211" s="1" t="e">
        <f>K211/VLOOKUP(A211,'[13]geoMap (10)'!$A:$B,2,0)*VLOOKUP(A211,'[13]geoMap (10)'!$A:$C,3,0)</f>
        <v>#REF!</v>
      </c>
      <c r="M211" s="1" t="e">
        <f>L211/VLOOKUP(A211,'[14]geoMap (11)'!$A:$B,2,0)*VLOOKUP(A211,'[14]geoMap (11)'!$A:$C,3,0)</f>
        <v>#REF!</v>
      </c>
      <c r="N211" s="1" t="e">
        <f>M211/VLOOKUP(A211,'[15]geoMap (12)'!$A:$B,2,0)*VLOOKUP(A211,'[15]geoMap (12)'!$A:$C,3,0)</f>
        <v>#REF!</v>
      </c>
      <c r="O211" s="1" t="e">
        <f>N211/VLOOKUP(A211,'[16]geoMap (13)'!$A:$B,2,0)*VLOOKUP(A211,'[16]geoMap (13)'!$A:$C,3,0)</f>
        <v>#REF!</v>
      </c>
      <c r="P211" s="1" t="e">
        <f>O211/VLOOKUP(A211,'[17]geoMap (14)'!$A:$B,2,0)*VLOOKUP(A211,'[17]geoMap (14)'!$A:$C,3,0)</f>
        <v>#REF!</v>
      </c>
      <c r="Q211" s="1" t="e">
        <f>P211/VLOOKUP(A211,'[18]geoMap (15)'!$A:$B,2,0)*VLOOKUP(A211,'[18]geoMap (15)'!$A:$C,3,0)</f>
        <v>#REF!</v>
      </c>
      <c r="R211" s="1" t="e">
        <f>Q211/VLOOKUP(A211,'[19]geoMap (16)'!$A:$B,2,0)*VLOOKUP(A211,'[19]geoMap (16)'!$A:$C,3,0)</f>
        <v>#REF!</v>
      </c>
      <c r="S211" s="1" t="e">
        <f>R211/VLOOKUP(A211,'[20]geoMap (17)'!$A:$B,2,0)*VLOOKUP(A211,'[20]geoMap (17)'!$A:$C,3,0)</f>
        <v>#REF!</v>
      </c>
      <c r="T211" s="1" t="e">
        <f>S211/VLOOKUP(A211,'[21]geoMap (18)'!$A:$B,2,0)*VLOOKUP(A211,'[21]geoMap (18)'!$A:$C,3,0)</f>
        <v>#REF!</v>
      </c>
      <c r="U211" s="1" t="e">
        <f>T211/VLOOKUP(A211,'[22]geoMap (19)'!$A:$B,2,0)*VLOOKUP(A211,'[22]geoMap (19)'!$A:$C,3,0)</f>
        <v>#REF!</v>
      </c>
      <c r="V211" s="1" t="e">
        <f>U211/VLOOKUP(A211,'[23]geoMap (20)'!$A:$B,2,0)*VLOOKUP(A211,'[23]geoMap (20)'!$A:$C,3,0)</f>
        <v>#REF!</v>
      </c>
      <c r="W211" s="1" t="e">
        <f>V211/VLOOKUP(A211,'[24]geoMap (21)'!$A:$B,2,0)*VLOOKUP(A211,'[24]geoMap (21)'!$A:$C,3,0)</f>
        <v>#REF!</v>
      </c>
      <c r="X211" s="1" t="e">
        <f>W211/VLOOKUP(A211,'[25]geoMap (22)'!$A:$B,2,0)*VLOOKUP(A211,'[25]geoMap (22)'!$A:$C,3,0)</f>
        <v>#REF!</v>
      </c>
      <c r="Y211" s="1" t="e">
        <f>X211/VLOOKUP(A211,'[26]geoMap (23)'!$A:$B,2,0)*VLOOKUP(A211,'[26]geoMap (23)'!$A:$C,3,0)</f>
        <v>#REF!</v>
      </c>
      <c r="Z211" s="1" t="e">
        <f>Y211/VLOOKUP(A211,'[27]geoMap (24)'!$A:$B,2,0)*VLOOKUP(A211,'[27]geoMap (24)'!$A:$C,3,0)</f>
        <v>#REF!</v>
      </c>
      <c r="AA211" s="1" t="e">
        <f>Z211/VLOOKUP(A211,'[28]geoMap (25)'!$A:$B,2,0)*VLOOKUP(A211,'[28]geoMap (25)'!$A:$C,3,0)</f>
        <v>#REF!</v>
      </c>
      <c r="AB211" s="1" t="e">
        <f>AA211*VLOOKUP(A211,'[29]geoMap (26)'!$A:$B,2,0)*VLOOKUP(A211,'[29]geoMap (26)'!$A:$C,3,0)</f>
        <v>#REF!</v>
      </c>
      <c r="AC211" s="1" t="e">
        <f>AB211/VLOOKUP(A211,'[30]geoMap (27)'!$A:$B,2,0)*VLOOKUP(A211,'[30]geoMap (27)'!$A:$C,3,0)</f>
        <v>#REF!</v>
      </c>
      <c r="AD211" s="1" t="e">
        <f>AC211/VLOOKUP(A211,'[31]geoMap (28)'!$A:$B,2,0)*VLOOKUP(A211,'[31]geoMap (28)'!$A:$C,3,0)</f>
        <v>#REF!</v>
      </c>
      <c r="AE211" s="1" t="e">
        <f>AD211/VLOOKUP(A211,'[32]geoMap (29)'!$A:$B,2,0)*VLOOKUP(A211,'[32]geoMap (29)'!$A:$C,3,0)</f>
        <v>#REF!</v>
      </c>
      <c r="AF211" s="1" t="e">
        <f>AE211/VLOOKUP(A211,'[33]geoMap (30)'!$A:$B,2,0)*VLOOKUP(A211,'[33]geoMap (30)'!$A:$C,3,0)</f>
        <v>#REF!</v>
      </c>
      <c r="AG211" s="1" t="e">
        <f>AF211/VLOOKUP(A211,'[34]geoMap (31)'!$A:$B,2,0)*VLOOKUP(A211,'[34]geoMap (31)'!$A:$C,3,0)</f>
        <v>#REF!</v>
      </c>
      <c r="AH211" s="1" t="e">
        <f>AG211/VLOOKUP(A211,'[35]geoMap (32)'!$A:$B,2,0)*VLOOKUP(A211,'[35]geoMap (32)'!$A:$C,3,0)</f>
        <v>#REF!</v>
      </c>
      <c r="AI211" s="1" t="e">
        <f>AH211/VLOOKUP(A211,'[36]geoMap (33)'!$A:$B,2,0)*VLOOKUP(A211,'[36]geoMap (33)'!$A:$C,3,0)</f>
        <v>#REF!</v>
      </c>
      <c r="AJ211" s="1" t="e">
        <f>AI211/VLOOKUP(A211,'[37]geoMap (34)'!$A:$B,2,0)*VLOOKUP(A211,'[37]geoMap (34)'!$A:$C,3,0)</f>
        <v>#REF!</v>
      </c>
      <c r="AK211" s="1" t="e">
        <f>AJ211/VLOOKUP(A211,'[38]geoMap (35)'!$A:$B,2,0)*VLOOKUP(A211,'[38]geoMap (35)'!$A:$C,3,0)</f>
        <v>#REF!</v>
      </c>
      <c r="AL211" s="1" t="e">
        <f>AK211/VLOOKUP(A211,'[39]geoMap (36)'!$A:$B,2,0)*VLOOKUP(A211,'[39]geoMap (36)'!$A:$C,3,0)</f>
        <v>#REF!</v>
      </c>
      <c r="AM211" s="1" t="e">
        <f>AL211/VLOOKUP(A211,'[40]geoMap (37)'!$A:$B,2,0)*VLOOKUP(A211,'[40]geoMap (37)'!$A:$C,3,0)</f>
        <v>#REF!</v>
      </c>
      <c r="AN211" s="1" t="e">
        <f>AM211/VLOOKUP(A211,'[41]geoMap (38)'!$A:$B,2,0)*VLOOKUP(A211,'[41]geoMap (38)'!$A:$C,3,0)</f>
        <v>#REF!</v>
      </c>
      <c r="AO211" s="1" t="e">
        <f>AN211/VLOOKUP(A211,'[42]geoMap (39)'!$A:$B,2,0)*VLOOKUP(A211,'[42]geoMap (39)'!$A:$C,3,0)</f>
        <v>#REF!</v>
      </c>
      <c r="AP211" s="1" t="e">
        <f>AO211/VLOOKUP(A211,'[43]geoMap (40)'!$A:$B,2,0)*VLOOKUP(A211,'[43]geoMap (40)'!$A:$C,3,0)</f>
        <v>#REF!</v>
      </c>
      <c r="AQ211" s="1" t="e">
        <f>AP211/VLOOKUP(A211,'[44]geoMap (41)'!$A:$B,2,0)*VLOOKUP(A211,'[44]geoMap (41)'!$A:$C,3,0)</f>
        <v>#REF!</v>
      </c>
      <c r="AR211" s="1" t="e">
        <f>AQ211/VLOOKUP(A211,'[45]geoMap (42)'!$A:$B,2,0)*VLOOKUP(A211,'[45]geoMap (42)'!$A:$C,3,0)</f>
        <v>#REF!</v>
      </c>
      <c r="AS211" s="1" t="e">
        <f>AR211/VLOOKUP(A211,'[46]geoMap (43)'!$A:$B,2,0)*VLOOKUP(A211,'[46]geoMap (43)'!$A:$C,3,0)</f>
        <v>#REF!</v>
      </c>
      <c r="AT211" s="1" t="e">
        <f>AS211/VLOOKUP(A211,'[47]geoMap (44)'!$A:$B,2,0)*VLOOKUP(A211,'[47]geoMap (44)'!$A:$C,3,0)</f>
        <v>#REF!</v>
      </c>
      <c r="AU211" s="1" t="e">
        <f>AT211/VLOOKUP(A211,'[48]geoMap (45)'!$A:$B,2,0)*VLOOKUP(A211,'[48]geoMap (45)'!$A:$C,3,0)</f>
        <v>#REF!</v>
      </c>
      <c r="AV211" s="1" t="e">
        <f>AU211/VLOOKUP(A211,'[49]geoMap (46)'!$A:$B,2,0)*VLOOKUP(A211,'[49]geoMap (46)'!$A:$C,3,0)</f>
        <v>#REF!</v>
      </c>
      <c r="AW211" s="1" t="e">
        <f>AV211/VLOOKUP(A211,'[50]geoMap (47)'!$A:$B,2,0)*VLOOKUP(A211,'[50]geoMap (47)'!$A:$C,3,0)</f>
        <v>#REF!</v>
      </c>
      <c r="AX211" s="1" t="e">
        <f>AW211/VLOOKUP(A211,'[51]geoMap (48)'!$A:$B,2,0)*VLOOKUP(A211,'[51]geoMap (48)'!$A:$C,3,0)</f>
        <v>#REF!</v>
      </c>
      <c r="AY211" s="1" t="e">
        <f>AX211/VLOOKUP(A211,'[52]geoMap (49)'!$A:$B,2,0)*VLOOKUP(A211,'[52]geoMap (49)'!$A:$C,3,0)</f>
        <v>#REF!</v>
      </c>
      <c r="AZ211" s="1" t="e">
        <f>AY211/VLOOKUP(A211,'[53]geoMap (50)'!$A:$B,2,0)*VLOOKUP(A211,'[53]geoMap (50)'!$A:$C,3,0)</f>
        <v>#REF!</v>
      </c>
      <c r="BA211" s="1" t="e">
        <f>AZ211/VLOOKUP(A211,'[54]geoMap (51)'!$A:$B,2,0)*VLOOKUP(A211,'[54]geoMap (51)'!$A:$C,3,0)</f>
        <v>#REF!</v>
      </c>
      <c r="BB211" s="1" t="e">
        <f>BA211/VLOOKUP(A211,'[55]geoMap (52)'!$A:$B,2,0)*VLOOKUP(A211,'[55]geoMap (52)'!$A:$C,3,0)</f>
        <v>#REF!</v>
      </c>
      <c r="BC211" s="1" t="e">
        <f>BB211/VLOOKUP(A211,'[56]geoMap (53)'!$A:$B,2,0)*VLOOKUP(A211,'[56]geoMap (53)'!$A:$C,3,0)</f>
        <v>#REF!</v>
      </c>
      <c r="BD211" s="1" t="e">
        <f>BC211/VLOOKUP(A211,'[57]geoMap (54)'!$A:$B,2,0)*VLOOKUP(A211,'[57]geoMap (54)'!$A:$C,3,0)</f>
        <v>#REF!</v>
      </c>
      <c r="BE211" s="1" t="e">
        <f>BD211/VLOOKUP(A211,'[58]geoMap (55)'!$A:$B,2,0)*VLOOKUP(A211,'[58]geoMap (55)'!$A:$C,3,0)</f>
        <v>#REF!</v>
      </c>
      <c r="BF211" s="1" t="e">
        <f>BE211/VLOOKUP(A211,'[59]geoMap (56)'!$A:$B,2,0)*VLOOKUP(A211,'[59]geoMap (56)'!$A:$C,3,0)</f>
        <v>#REF!</v>
      </c>
      <c r="BG211" s="1" t="e">
        <f>BF211/VLOOKUP(A211,'[60]geoMap (57)'!$A:$B,2,0)*VLOOKUP(A211,'[60]geoMap (57)'!$A:$C,3,0)</f>
        <v>#REF!</v>
      </c>
      <c r="BH211" s="1" t="e">
        <f>BG211/VLOOKUP(A211,'[61]geoMap (58)'!$A:$B,2,0)*VLOOKUP(A211,'[61]geoMap (58)'!$A:$C,3,0)</f>
        <v>#REF!</v>
      </c>
      <c r="BI211" s="1" t="e">
        <f>BH211/VLOOKUP(A211,'[62]geoMap (59)'!$A:$B,2,0)*VLOOKUP(A211,'[62]geoMap (59)'!$A:$C,3,0)</f>
        <v>#REF!</v>
      </c>
      <c r="BJ211" s="1" t="e">
        <f>BI211/VLOOKUP(A211,'[63]geoMap (60)'!$A:$B,2,0)*VLOOKUP(A211,'[63]geoMap (60)'!$A:$C,3,0)</f>
        <v>#REF!</v>
      </c>
      <c r="BK211" s="1" t="e">
        <f>BJ211/VLOOKUP(A211,'[64]geoMap (61)'!$A:$B,2,0)*VLOOKUP(A211,'[64]geoMap (61)'!$A:$C,3,0)</f>
        <v>#REF!</v>
      </c>
      <c r="BL211" s="1" t="e">
        <f>BK211/VLOOKUP(A211,'[65]geoMap (62)'!$A:$B,2,0)*VLOOKUP(A211,'[65]geoMap (62)'!$A:$C,3,0)</f>
        <v>#REF!</v>
      </c>
      <c r="BM211" s="1" t="e">
        <f>BL211/VLOOKUP(A211,'[66]geoMap (63)'!$A:$B,2,0)*VLOOKUP(A211,'[66]geoMap (63)'!$A:$C,3,0)</f>
        <v>#REF!</v>
      </c>
      <c r="BN211" s="1" t="e">
        <f>BM211/VLOOKUP(A211,'[67]geoMap (64)'!$A:$B,2,0)*VLOOKUP(A211,'[67]geoMap (64)'!$A:$C,3,0)</f>
        <v>#REF!</v>
      </c>
      <c r="BO211" s="1" t="e">
        <f>BN211/VLOOKUP(A211,'[68]geoMap (65)'!$A:$B,2,0)*VLOOKUP(A211,'[68]geoMap (65)'!$A:$C,3,0)</f>
        <v>#REF!</v>
      </c>
      <c r="BP211" s="1" t="e">
        <f>BO211/VLOOKUP(A211,'[69]geoMap (66)'!$A:$B,2,0)*VLOOKUP(A211,'[69]geoMap (66)'!$A:$C,3,0)</f>
        <v>#REF!</v>
      </c>
    </row>
    <row r="212" spans="1:68" hidden="1" x14ac:dyDescent="0.2">
      <c r="A212" s="1" t="s">
        <v>214</v>
      </c>
      <c r="B212" s="1" t="e">
        <f>VLOOKUP(A212,[3]geoMap!$A:$B,2,0)*Notes!$C$6</f>
        <v>#REF!</v>
      </c>
      <c r="C212" s="1" t="e">
        <f>B212/VLOOKUP(A212,'[4]geoMap (1)'!$A:$B,2,0)*VLOOKUP(A212,'[4]geoMap (1)'!$A:$C,3,0)</f>
        <v>#REF!</v>
      </c>
      <c r="D212" s="1" t="e">
        <f>C212/VLOOKUP(A212,'[5]geoMap (2)'!$A:$B,2,0)*VLOOKUP(A212,'[5]geoMap (2)'!$A:$C,3,0)</f>
        <v>#REF!</v>
      </c>
      <c r="E212" s="1" t="e">
        <f>D212/VLOOKUP(A212,'[6]geoMap (3)'!$A:$B,2,0)*VLOOKUP(A212,'[6]geoMap (3)'!$A:$C,3,0)</f>
        <v>#REF!</v>
      </c>
      <c r="F212" s="1" t="e">
        <f>E212/VLOOKUP(A212,'[7]geoMap (4)'!$A:$B,2,0)*VLOOKUP(A212,'[7]geoMap (4)'!$A:$C,3,0)</f>
        <v>#REF!</v>
      </c>
      <c r="G212" s="1" t="e">
        <f>F212/VLOOKUP(A212,'[8]geoMap (5)'!$A:$B,2,0)*VLOOKUP(A212,'[8]geoMap (5)'!$A:$C,3,0)</f>
        <v>#REF!</v>
      </c>
      <c r="H212" s="1" t="e">
        <f>G212/VLOOKUP(A212,'[9]geoMap (6)'!$A:$B,2,0)*VLOOKUP(A212,'[9]geoMap (6)'!$A:$C,3,0)</f>
        <v>#REF!</v>
      </c>
      <c r="I212" s="1" t="e">
        <f>H212/VLOOKUP(A212,'[10]geoMap (7)'!$A:$B,2,0)*VLOOKUP(A212,'[10]geoMap (7)'!$A:$C,3,0)</f>
        <v>#REF!</v>
      </c>
      <c r="J212" s="1" t="e">
        <f>I212/VLOOKUP(A212,'[11]geoMap (8)'!$A:$B,2,0)*VLOOKUP(A212,'[11]geoMap (8)'!$A:$C,3,0)</f>
        <v>#REF!</v>
      </c>
      <c r="K212" s="1" t="e">
        <f>J212/VLOOKUP(A212,'[12]geoMap (9)'!$A:$B,2,0)*VLOOKUP(A212,'[12]geoMap (9)'!$A:$C,3,0)</f>
        <v>#REF!</v>
      </c>
      <c r="L212" s="1" t="e">
        <f>K212/VLOOKUP(A212,'[13]geoMap (10)'!$A:$B,2,0)*VLOOKUP(A212,'[13]geoMap (10)'!$A:$C,3,0)</f>
        <v>#REF!</v>
      </c>
      <c r="M212" s="1" t="e">
        <f>L212/VLOOKUP(A212,'[14]geoMap (11)'!$A:$B,2,0)*VLOOKUP(A212,'[14]geoMap (11)'!$A:$C,3,0)</f>
        <v>#REF!</v>
      </c>
      <c r="N212" s="1" t="e">
        <f>M212/VLOOKUP(A212,'[15]geoMap (12)'!$A:$B,2,0)*VLOOKUP(A212,'[15]geoMap (12)'!$A:$C,3,0)</f>
        <v>#REF!</v>
      </c>
      <c r="O212" s="1" t="e">
        <f>N212/VLOOKUP(A212,'[16]geoMap (13)'!$A:$B,2,0)*VLOOKUP(A212,'[16]geoMap (13)'!$A:$C,3,0)</f>
        <v>#REF!</v>
      </c>
      <c r="P212" s="1" t="e">
        <f>O212/VLOOKUP(A212,'[17]geoMap (14)'!$A:$B,2,0)*VLOOKUP(A212,'[17]geoMap (14)'!$A:$C,3,0)</f>
        <v>#REF!</v>
      </c>
      <c r="Q212" s="1" t="e">
        <f>P212/VLOOKUP(A212,'[18]geoMap (15)'!$A:$B,2,0)*VLOOKUP(A212,'[18]geoMap (15)'!$A:$C,3,0)</f>
        <v>#REF!</v>
      </c>
      <c r="R212" s="1" t="e">
        <f>Q212/VLOOKUP(A212,'[19]geoMap (16)'!$A:$B,2,0)*VLOOKUP(A212,'[19]geoMap (16)'!$A:$C,3,0)</f>
        <v>#REF!</v>
      </c>
      <c r="S212" s="1" t="e">
        <f>R212/VLOOKUP(A212,'[20]geoMap (17)'!$A:$B,2,0)*VLOOKUP(A212,'[20]geoMap (17)'!$A:$C,3,0)</f>
        <v>#REF!</v>
      </c>
      <c r="T212" s="1" t="e">
        <f>S212/VLOOKUP(A212,'[21]geoMap (18)'!$A:$B,2,0)*VLOOKUP(A212,'[21]geoMap (18)'!$A:$C,3,0)</f>
        <v>#REF!</v>
      </c>
      <c r="U212" s="1" t="e">
        <f>T212/VLOOKUP(A212,'[22]geoMap (19)'!$A:$B,2,0)*VLOOKUP(A212,'[22]geoMap (19)'!$A:$C,3,0)</f>
        <v>#REF!</v>
      </c>
      <c r="V212" s="1" t="e">
        <f>U212/VLOOKUP(A212,'[23]geoMap (20)'!$A:$B,2,0)*VLOOKUP(A212,'[23]geoMap (20)'!$A:$C,3,0)</f>
        <v>#REF!</v>
      </c>
      <c r="W212" s="1" t="e">
        <f>V212/VLOOKUP(A212,'[24]geoMap (21)'!$A:$B,2,0)*VLOOKUP(A212,'[24]geoMap (21)'!$A:$C,3,0)</f>
        <v>#REF!</v>
      </c>
      <c r="X212" s="1" t="e">
        <f>W212/VLOOKUP(A212,'[25]geoMap (22)'!$A:$B,2,0)*VLOOKUP(A212,'[25]geoMap (22)'!$A:$C,3,0)</f>
        <v>#REF!</v>
      </c>
      <c r="Y212" s="1" t="e">
        <f>X212/VLOOKUP(A212,'[26]geoMap (23)'!$A:$B,2,0)*VLOOKUP(A212,'[26]geoMap (23)'!$A:$C,3,0)</f>
        <v>#REF!</v>
      </c>
      <c r="Z212" s="1" t="e">
        <f>Y212/VLOOKUP(A212,'[27]geoMap (24)'!$A:$B,2,0)*VLOOKUP(A212,'[27]geoMap (24)'!$A:$C,3,0)</f>
        <v>#REF!</v>
      </c>
      <c r="AA212" s="1" t="e">
        <f>Z212/VLOOKUP(A212,'[28]geoMap (25)'!$A:$B,2,0)*VLOOKUP(A212,'[28]geoMap (25)'!$A:$C,3,0)</f>
        <v>#REF!</v>
      </c>
      <c r="AB212" s="1" t="e">
        <f>AA212*VLOOKUP(A212,'[29]geoMap (26)'!$A:$B,2,0)*VLOOKUP(A212,'[29]geoMap (26)'!$A:$C,3,0)</f>
        <v>#REF!</v>
      </c>
      <c r="AC212" s="1" t="e">
        <f>AB212/VLOOKUP(A212,'[30]geoMap (27)'!$A:$B,2,0)*VLOOKUP(A212,'[30]geoMap (27)'!$A:$C,3,0)</f>
        <v>#REF!</v>
      </c>
      <c r="AD212" s="1" t="e">
        <f>AC212/VLOOKUP(A212,'[31]geoMap (28)'!$A:$B,2,0)*VLOOKUP(A212,'[31]geoMap (28)'!$A:$C,3,0)</f>
        <v>#REF!</v>
      </c>
      <c r="AE212" s="1" t="e">
        <f>AD212/VLOOKUP(A212,'[32]geoMap (29)'!$A:$B,2,0)*VLOOKUP(A212,'[32]geoMap (29)'!$A:$C,3,0)</f>
        <v>#REF!</v>
      </c>
      <c r="AF212" s="1" t="e">
        <f>AE212/VLOOKUP(A212,'[33]geoMap (30)'!$A:$B,2,0)*VLOOKUP(A212,'[33]geoMap (30)'!$A:$C,3,0)</f>
        <v>#REF!</v>
      </c>
      <c r="AG212" s="1" t="e">
        <f>AF212/VLOOKUP(A212,'[34]geoMap (31)'!$A:$B,2,0)*VLOOKUP(A212,'[34]geoMap (31)'!$A:$C,3,0)</f>
        <v>#REF!</v>
      </c>
      <c r="AH212" s="1" t="e">
        <f>AG212/VLOOKUP(A212,'[35]geoMap (32)'!$A:$B,2,0)*VLOOKUP(A212,'[35]geoMap (32)'!$A:$C,3,0)</f>
        <v>#REF!</v>
      </c>
      <c r="AI212" s="1" t="e">
        <f>AH212/VLOOKUP(A212,'[36]geoMap (33)'!$A:$B,2,0)*VLOOKUP(A212,'[36]geoMap (33)'!$A:$C,3,0)</f>
        <v>#REF!</v>
      </c>
      <c r="AJ212" s="1" t="e">
        <f>AI212/VLOOKUP(A212,'[37]geoMap (34)'!$A:$B,2,0)*VLOOKUP(A212,'[37]geoMap (34)'!$A:$C,3,0)</f>
        <v>#REF!</v>
      </c>
      <c r="AK212" s="1" t="e">
        <f>AJ212/VLOOKUP(A212,'[38]geoMap (35)'!$A:$B,2,0)*VLOOKUP(A212,'[38]geoMap (35)'!$A:$C,3,0)</f>
        <v>#REF!</v>
      </c>
      <c r="AL212" s="1" t="e">
        <f>AK212/VLOOKUP(A212,'[39]geoMap (36)'!$A:$B,2,0)*VLOOKUP(A212,'[39]geoMap (36)'!$A:$C,3,0)</f>
        <v>#REF!</v>
      </c>
      <c r="AM212" s="1" t="e">
        <f>AL212/VLOOKUP(A212,'[40]geoMap (37)'!$A:$B,2,0)*VLOOKUP(A212,'[40]geoMap (37)'!$A:$C,3,0)</f>
        <v>#REF!</v>
      </c>
      <c r="AN212" s="1" t="e">
        <f>AM212/VLOOKUP(A212,'[41]geoMap (38)'!$A:$B,2,0)*VLOOKUP(A212,'[41]geoMap (38)'!$A:$C,3,0)</f>
        <v>#REF!</v>
      </c>
      <c r="AO212" s="1" t="e">
        <f>AN212/VLOOKUP(A212,'[42]geoMap (39)'!$A:$B,2,0)*VLOOKUP(A212,'[42]geoMap (39)'!$A:$C,3,0)</f>
        <v>#REF!</v>
      </c>
      <c r="AP212" s="1" t="e">
        <f>AO212/VLOOKUP(A212,'[43]geoMap (40)'!$A:$B,2,0)*VLOOKUP(A212,'[43]geoMap (40)'!$A:$C,3,0)</f>
        <v>#REF!</v>
      </c>
      <c r="AQ212" s="1" t="e">
        <f>AP212/VLOOKUP(A212,'[44]geoMap (41)'!$A:$B,2,0)*VLOOKUP(A212,'[44]geoMap (41)'!$A:$C,3,0)</f>
        <v>#REF!</v>
      </c>
      <c r="AR212" s="1" t="e">
        <f>AQ212/VLOOKUP(A212,'[45]geoMap (42)'!$A:$B,2,0)*VLOOKUP(A212,'[45]geoMap (42)'!$A:$C,3,0)</f>
        <v>#REF!</v>
      </c>
      <c r="AS212" s="1" t="e">
        <f>AR212/VLOOKUP(A212,'[46]geoMap (43)'!$A:$B,2,0)*VLOOKUP(A212,'[46]geoMap (43)'!$A:$C,3,0)</f>
        <v>#REF!</v>
      </c>
      <c r="AT212" s="1" t="e">
        <f>AS212/VLOOKUP(A212,'[47]geoMap (44)'!$A:$B,2,0)*VLOOKUP(A212,'[47]geoMap (44)'!$A:$C,3,0)</f>
        <v>#REF!</v>
      </c>
      <c r="AU212" s="1" t="e">
        <f>AT212/VLOOKUP(A212,'[48]geoMap (45)'!$A:$B,2,0)*VLOOKUP(A212,'[48]geoMap (45)'!$A:$C,3,0)</f>
        <v>#REF!</v>
      </c>
      <c r="AV212" s="1" t="e">
        <f>AU212/VLOOKUP(A212,'[49]geoMap (46)'!$A:$B,2,0)*VLOOKUP(A212,'[49]geoMap (46)'!$A:$C,3,0)</f>
        <v>#REF!</v>
      </c>
      <c r="AW212" s="1" t="e">
        <f>AV212/VLOOKUP(A212,'[50]geoMap (47)'!$A:$B,2,0)*VLOOKUP(A212,'[50]geoMap (47)'!$A:$C,3,0)</f>
        <v>#REF!</v>
      </c>
      <c r="AX212" s="1" t="e">
        <f>AW212/VLOOKUP(A212,'[51]geoMap (48)'!$A:$B,2,0)*VLOOKUP(A212,'[51]geoMap (48)'!$A:$C,3,0)</f>
        <v>#REF!</v>
      </c>
      <c r="AY212" s="1" t="e">
        <f>AX212/VLOOKUP(A212,'[52]geoMap (49)'!$A:$B,2,0)*VLOOKUP(A212,'[52]geoMap (49)'!$A:$C,3,0)</f>
        <v>#REF!</v>
      </c>
      <c r="AZ212" s="1" t="e">
        <f>AY212/VLOOKUP(A212,'[53]geoMap (50)'!$A:$B,2,0)*VLOOKUP(A212,'[53]geoMap (50)'!$A:$C,3,0)</f>
        <v>#REF!</v>
      </c>
      <c r="BA212" s="1" t="e">
        <f>AZ212/VLOOKUP(A212,'[54]geoMap (51)'!$A:$B,2,0)*VLOOKUP(A212,'[54]geoMap (51)'!$A:$C,3,0)</f>
        <v>#REF!</v>
      </c>
      <c r="BB212" s="1" t="e">
        <f>BA212/VLOOKUP(A212,'[55]geoMap (52)'!$A:$B,2,0)*VLOOKUP(A212,'[55]geoMap (52)'!$A:$C,3,0)</f>
        <v>#REF!</v>
      </c>
      <c r="BC212" s="1" t="e">
        <f>BB212/VLOOKUP(A212,'[56]geoMap (53)'!$A:$B,2,0)*VLOOKUP(A212,'[56]geoMap (53)'!$A:$C,3,0)</f>
        <v>#REF!</v>
      </c>
      <c r="BD212" s="1" t="e">
        <f>BC212/VLOOKUP(A212,'[57]geoMap (54)'!$A:$B,2,0)*VLOOKUP(A212,'[57]geoMap (54)'!$A:$C,3,0)</f>
        <v>#REF!</v>
      </c>
      <c r="BE212" s="1" t="e">
        <f>BD212/VLOOKUP(A212,'[58]geoMap (55)'!$A:$B,2,0)*VLOOKUP(A212,'[58]geoMap (55)'!$A:$C,3,0)</f>
        <v>#REF!</v>
      </c>
      <c r="BF212" s="1" t="e">
        <f>BE212/VLOOKUP(A212,'[59]geoMap (56)'!$A:$B,2,0)*VLOOKUP(A212,'[59]geoMap (56)'!$A:$C,3,0)</f>
        <v>#REF!</v>
      </c>
      <c r="BG212" s="1" t="e">
        <f>BF212/VLOOKUP(A212,'[60]geoMap (57)'!$A:$B,2,0)*VLOOKUP(A212,'[60]geoMap (57)'!$A:$C,3,0)</f>
        <v>#REF!</v>
      </c>
      <c r="BH212" s="1" t="e">
        <f>BG212/VLOOKUP(A212,'[61]geoMap (58)'!$A:$B,2,0)*VLOOKUP(A212,'[61]geoMap (58)'!$A:$C,3,0)</f>
        <v>#REF!</v>
      </c>
      <c r="BI212" s="1" t="e">
        <f>BH212/VLOOKUP(A212,'[62]geoMap (59)'!$A:$B,2,0)*VLOOKUP(A212,'[62]geoMap (59)'!$A:$C,3,0)</f>
        <v>#REF!</v>
      </c>
      <c r="BJ212" s="1" t="e">
        <f>BI212/VLOOKUP(A212,'[63]geoMap (60)'!$A:$B,2,0)*VLOOKUP(A212,'[63]geoMap (60)'!$A:$C,3,0)</f>
        <v>#REF!</v>
      </c>
      <c r="BK212" s="1" t="e">
        <f>BJ212/VLOOKUP(A212,'[64]geoMap (61)'!$A:$B,2,0)*VLOOKUP(A212,'[64]geoMap (61)'!$A:$C,3,0)</f>
        <v>#REF!</v>
      </c>
      <c r="BL212" s="1" t="e">
        <f>BK212/VLOOKUP(A212,'[65]geoMap (62)'!$A:$B,2,0)*VLOOKUP(A212,'[65]geoMap (62)'!$A:$C,3,0)</f>
        <v>#REF!</v>
      </c>
      <c r="BM212" s="1" t="e">
        <f>BL212/VLOOKUP(A212,'[66]geoMap (63)'!$A:$B,2,0)*VLOOKUP(A212,'[66]geoMap (63)'!$A:$C,3,0)</f>
        <v>#REF!</v>
      </c>
      <c r="BN212" s="1" t="e">
        <f>BM212/VLOOKUP(A212,'[67]geoMap (64)'!$A:$B,2,0)*VLOOKUP(A212,'[67]geoMap (64)'!$A:$C,3,0)</f>
        <v>#REF!</v>
      </c>
      <c r="BO212" s="1" t="e">
        <f>BN212/VLOOKUP(A212,'[68]geoMap (65)'!$A:$B,2,0)*VLOOKUP(A212,'[68]geoMap (65)'!$A:$C,3,0)</f>
        <v>#REF!</v>
      </c>
      <c r="BP212" s="1" t="e">
        <f>BO212/VLOOKUP(A212,'[69]geoMap (66)'!$A:$B,2,0)*VLOOKUP(A212,'[69]geoMap (66)'!$A:$C,3,0)</f>
        <v>#REF!</v>
      </c>
    </row>
    <row r="213" spans="1:68" hidden="1" x14ac:dyDescent="0.2">
      <c r="A213" s="1" t="s">
        <v>215</v>
      </c>
      <c r="B213" s="1" t="e">
        <f>VLOOKUP(A213,[3]geoMap!$A:$B,2,0)*Notes!$C$6</f>
        <v>#REF!</v>
      </c>
      <c r="C213" s="1" t="e">
        <f>B213/VLOOKUP(A213,'[4]geoMap (1)'!$A:$B,2,0)*VLOOKUP(A213,'[4]geoMap (1)'!$A:$C,3,0)</f>
        <v>#REF!</v>
      </c>
      <c r="D213" s="1" t="e">
        <f>C213/VLOOKUP(A213,'[5]geoMap (2)'!$A:$B,2,0)*VLOOKUP(A213,'[5]geoMap (2)'!$A:$C,3,0)</f>
        <v>#REF!</v>
      </c>
      <c r="E213" s="1" t="e">
        <f>D213/VLOOKUP(A213,'[6]geoMap (3)'!$A:$B,2,0)*VLOOKUP(A213,'[6]geoMap (3)'!$A:$C,3,0)</f>
        <v>#REF!</v>
      </c>
      <c r="F213" s="1" t="e">
        <f>E213/VLOOKUP(A213,'[7]geoMap (4)'!$A:$B,2,0)*VLOOKUP(A213,'[7]geoMap (4)'!$A:$C,3,0)</f>
        <v>#REF!</v>
      </c>
      <c r="G213" s="1" t="e">
        <f>F213/VLOOKUP(A213,'[8]geoMap (5)'!$A:$B,2,0)*VLOOKUP(A213,'[8]geoMap (5)'!$A:$C,3,0)</f>
        <v>#REF!</v>
      </c>
      <c r="H213" s="1" t="e">
        <f>G213/VLOOKUP(A213,'[9]geoMap (6)'!$A:$B,2,0)*VLOOKUP(A213,'[9]geoMap (6)'!$A:$C,3,0)</f>
        <v>#REF!</v>
      </c>
      <c r="I213" s="1" t="e">
        <f>H213/VLOOKUP(A213,'[10]geoMap (7)'!$A:$B,2,0)*VLOOKUP(A213,'[10]geoMap (7)'!$A:$C,3,0)</f>
        <v>#REF!</v>
      </c>
      <c r="J213" s="1" t="e">
        <f>I213/VLOOKUP(A213,'[11]geoMap (8)'!$A:$B,2,0)*VLOOKUP(A213,'[11]geoMap (8)'!$A:$C,3,0)</f>
        <v>#REF!</v>
      </c>
      <c r="K213" s="1" t="e">
        <f>J213/VLOOKUP(A213,'[12]geoMap (9)'!$A:$B,2,0)*VLOOKUP(A213,'[12]geoMap (9)'!$A:$C,3,0)</f>
        <v>#REF!</v>
      </c>
      <c r="L213" s="1" t="e">
        <f>K213/VLOOKUP(A213,'[13]geoMap (10)'!$A:$B,2,0)*VLOOKUP(A213,'[13]geoMap (10)'!$A:$C,3,0)</f>
        <v>#REF!</v>
      </c>
      <c r="M213" s="1" t="e">
        <f>L213/VLOOKUP(A213,'[14]geoMap (11)'!$A:$B,2,0)*VLOOKUP(A213,'[14]geoMap (11)'!$A:$C,3,0)</f>
        <v>#REF!</v>
      </c>
      <c r="N213" s="1" t="e">
        <f>M213/VLOOKUP(A213,'[15]geoMap (12)'!$A:$B,2,0)*VLOOKUP(A213,'[15]geoMap (12)'!$A:$C,3,0)</f>
        <v>#REF!</v>
      </c>
      <c r="O213" s="1" t="e">
        <f>N213/VLOOKUP(A213,'[16]geoMap (13)'!$A:$B,2,0)*VLOOKUP(A213,'[16]geoMap (13)'!$A:$C,3,0)</f>
        <v>#REF!</v>
      </c>
      <c r="P213" s="1" t="e">
        <f>O213/VLOOKUP(A213,'[17]geoMap (14)'!$A:$B,2,0)*VLOOKUP(A213,'[17]geoMap (14)'!$A:$C,3,0)</f>
        <v>#REF!</v>
      </c>
      <c r="Q213" s="1" t="e">
        <f>P213/VLOOKUP(A213,'[18]geoMap (15)'!$A:$B,2,0)*VLOOKUP(A213,'[18]geoMap (15)'!$A:$C,3,0)</f>
        <v>#REF!</v>
      </c>
      <c r="R213" s="1" t="e">
        <f>Q213/VLOOKUP(A213,'[19]geoMap (16)'!$A:$B,2,0)*VLOOKUP(A213,'[19]geoMap (16)'!$A:$C,3,0)</f>
        <v>#REF!</v>
      </c>
      <c r="S213" s="1" t="e">
        <f>R213/VLOOKUP(A213,'[20]geoMap (17)'!$A:$B,2,0)*VLOOKUP(A213,'[20]geoMap (17)'!$A:$C,3,0)</f>
        <v>#REF!</v>
      </c>
      <c r="T213" s="1" t="e">
        <f>S213/VLOOKUP(A213,'[21]geoMap (18)'!$A:$B,2,0)*VLOOKUP(A213,'[21]geoMap (18)'!$A:$C,3,0)</f>
        <v>#REF!</v>
      </c>
      <c r="U213" s="1" t="e">
        <f>T213/VLOOKUP(A213,'[22]geoMap (19)'!$A:$B,2,0)*VLOOKUP(A213,'[22]geoMap (19)'!$A:$C,3,0)</f>
        <v>#REF!</v>
      </c>
      <c r="V213" s="1" t="e">
        <f>U213/VLOOKUP(A213,'[23]geoMap (20)'!$A:$B,2,0)*VLOOKUP(A213,'[23]geoMap (20)'!$A:$C,3,0)</f>
        <v>#REF!</v>
      </c>
      <c r="W213" s="1" t="e">
        <f>V213/VLOOKUP(A213,'[24]geoMap (21)'!$A:$B,2,0)*VLOOKUP(A213,'[24]geoMap (21)'!$A:$C,3,0)</f>
        <v>#REF!</v>
      </c>
      <c r="X213" s="1" t="e">
        <f>W213/VLOOKUP(A213,'[25]geoMap (22)'!$A:$B,2,0)*VLOOKUP(A213,'[25]geoMap (22)'!$A:$C,3,0)</f>
        <v>#REF!</v>
      </c>
      <c r="Y213" s="1" t="e">
        <f>X213/VLOOKUP(A213,'[26]geoMap (23)'!$A:$B,2,0)*VLOOKUP(A213,'[26]geoMap (23)'!$A:$C,3,0)</f>
        <v>#REF!</v>
      </c>
      <c r="Z213" s="1" t="e">
        <f>Y213/VLOOKUP(A213,'[27]geoMap (24)'!$A:$B,2,0)*VLOOKUP(A213,'[27]geoMap (24)'!$A:$C,3,0)</f>
        <v>#REF!</v>
      </c>
      <c r="AA213" s="1" t="e">
        <f>Z213/VLOOKUP(A213,'[28]geoMap (25)'!$A:$B,2,0)*VLOOKUP(A213,'[28]geoMap (25)'!$A:$C,3,0)</f>
        <v>#REF!</v>
      </c>
      <c r="AB213" s="1" t="e">
        <f>AA213*VLOOKUP(A213,'[29]geoMap (26)'!$A:$B,2,0)*VLOOKUP(A213,'[29]geoMap (26)'!$A:$C,3,0)</f>
        <v>#REF!</v>
      </c>
      <c r="AC213" s="1" t="e">
        <f>AB213/VLOOKUP(A213,'[30]geoMap (27)'!$A:$B,2,0)*VLOOKUP(A213,'[30]geoMap (27)'!$A:$C,3,0)</f>
        <v>#REF!</v>
      </c>
      <c r="AD213" s="1" t="e">
        <f>AC213/VLOOKUP(A213,'[31]geoMap (28)'!$A:$B,2,0)*VLOOKUP(A213,'[31]geoMap (28)'!$A:$C,3,0)</f>
        <v>#REF!</v>
      </c>
      <c r="AE213" s="1" t="e">
        <f>AD213/VLOOKUP(A213,'[32]geoMap (29)'!$A:$B,2,0)*VLOOKUP(A213,'[32]geoMap (29)'!$A:$C,3,0)</f>
        <v>#REF!</v>
      </c>
      <c r="AF213" s="1" t="e">
        <f>AE213/VLOOKUP(A213,'[33]geoMap (30)'!$A:$B,2,0)*VLOOKUP(A213,'[33]geoMap (30)'!$A:$C,3,0)</f>
        <v>#REF!</v>
      </c>
      <c r="AG213" s="1" t="e">
        <f>AF213/VLOOKUP(A213,'[34]geoMap (31)'!$A:$B,2,0)*VLOOKUP(A213,'[34]geoMap (31)'!$A:$C,3,0)</f>
        <v>#REF!</v>
      </c>
      <c r="AH213" s="1" t="e">
        <f>AG213/VLOOKUP(A213,'[35]geoMap (32)'!$A:$B,2,0)*VLOOKUP(A213,'[35]geoMap (32)'!$A:$C,3,0)</f>
        <v>#REF!</v>
      </c>
      <c r="AI213" s="1" t="e">
        <f>AH213/VLOOKUP(A213,'[36]geoMap (33)'!$A:$B,2,0)*VLOOKUP(A213,'[36]geoMap (33)'!$A:$C,3,0)</f>
        <v>#REF!</v>
      </c>
      <c r="AJ213" s="1" t="e">
        <f>AI213/VLOOKUP(A213,'[37]geoMap (34)'!$A:$B,2,0)*VLOOKUP(A213,'[37]geoMap (34)'!$A:$C,3,0)</f>
        <v>#REF!</v>
      </c>
      <c r="AK213" s="1" t="e">
        <f>AJ213/VLOOKUP(A213,'[38]geoMap (35)'!$A:$B,2,0)*VLOOKUP(A213,'[38]geoMap (35)'!$A:$C,3,0)</f>
        <v>#REF!</v>
      </c>
      <c r="AL213" s="1" t="e">
        <f>AK213/VLOOKUP(A213,'[39]geoMap (36)'!$A:$B,2,0)*VLOOKUP(A213,'[39]geoMap (36)'!$A:$C,3,0)</f>
        <v>#REF!</v>
      </c>
      <c r="AM213" s="1" t="e">
        <f>AL213/VLOOKUP(A213,'[40]geoMap (37)'!$A:$B,2,0)*VLOOKUP(A213,'[40]geoMap (37)'!$A:$C,3,0)</f>
        <v>#REF!</v>
      </c>
      <c r="AN213" s="1" t="e">
        <f>AM213/VLOOKUP(A213,'[41]geoMap (38)'!$A:$B,2,0)*VLOOKUP(A213,'[41]geoMap (38)'!$A:$C,3,0)</f>
        <v>#REF!</v>
      </c>
      <c r="AO213" s="1" t="e">
        <f>AN213/VLOOKUP(A213,'[42]geoMap (39)'!$A:$B,2,0)*VLOOKUP(A213,'[42]geoMap (39)'!$A:$C,3,0)</f>
        <v>#REF!</v>
      </c>
      <c r="AP213" s="1" t="e">
        <f>AO213/VLOOKUP(A213,'[43]geoMap (40)'!$A:$B,2,0)*VLOOKUP(A213,'[43]geoMap (40)'!$A:$C,3,0)</f>
        <v>#REF!</v>
      </c>
      <c r="AQ213" s="1" t="e">
        <f>AP213/VLOOKUP(A213,'[44]geoMap (41)'!$A:$B,2,0)*VLOOKUP(A213,'[44]geoMap (41)'!$A:$C,3,0)</f>
        <v>#REF!</v>
      </c>
      <c r="AR213" s="1" t="e">
        <f>AQ213/VLOOKUP(A213,'[45]geoMap (42)'!$A:$B,2,0)*VLOOKUP(A213,'[45]geoMap (42)'!$A:$C,3,0)</f>
        <v>#REF!</v>
      </c>
      <c r="AS213" s="1" t="e">
        <f>AR213/VLOOKUP(A213,'[46]geoMap (43)'!$A:$B,2,0)*VLOOKUP(A213,'[46]geoMap (43)'!$A:$C,3,0)</f>
        <v>#REF!</v>
      </c>
      <c r="AT213" s="1" t="e">
        <f>AS213/VLOOKUP(A213,'[47]geoMap (44)'!$A:$B,2,0)*VLOOKUP(A213,'[47]geoMap (44)'!$A:$C,3,0)</f>
        <v>#REF!</v>
      </c>
      <c r="AU213" s="1" t="e">
        <f>AT213/VLOOKUP(A213,'[48]geoMap (45)'!$A:$B,2,0)*VLOOKUP(A213,'[48]geoMap (45)'!$A:$C,3,0)</f>
        <v>#REF!</v>
      </c>
      <c r="AV213" s="1" t="e">
        <f>AU213/VLOOKUP(A213,'[49]geoMap (46)'!$A:$B,2,0)*VLOOKUP(A213,'[49]geoMap (46)'!$A:$C,3,0)</f>
        <v>#REF!</v>
      </c>
      <c r="AW213" s="1" t="e">
        <f>AV213/VLOOKUP(A213,'[50]geoMap (47)'!$A:$B,2,0)*VLOOKUP(A213,'[50]geoMap (47)'!$A:$C,3,0)</f>
        <v>#REF!</v>
      </c>
      <c r="AX213" s="1" t="e">
        <f>AW213/VLOOKUP(A213,'[51]geoMap (48)'!$A:$B,2,0)*VLOOKUP(A213,'[51]geoMap (48)'!$A:$C,3,0)</f>
        <v>#REF!</v>
      </c>
      <c r="AY213" s="1" t="e">
        <f>AX213/VLOOKUP(A213,'[52]geoMap (49)'!$A:$B,2,0)*VLOOKUP(A213,'[52]geoMap (49)'!$A:$C,3,0)</f>
        <v>#REF!</v>
      </c>
      <c r="AZ213" s="1" t="e">
        <f>AY213/VLOOKUP(A213,'[53]geoMap (50)'!$A:$B,2,0)*VLOOKUP(A213,'[53]geoMap (50)'!$A:$C,3,0)</f>
        <v>#REF!</v>
      </c>
      <c r="BA213" s="1" t="e">
        <f>AZ213/VLOOKUP(A213,'[54]geoMap (51)'!$A:$B,2,0)*VLOOKUP(A213,'[54]geoMap (51)'!$A:$C,3,0)</f>
        <v>#REF!</v>
      </c>
      <c r="BB213" s="1" t="e">
        <f>BA213/VLOOKUP(A213,'[55]geoMap (52)'!$A:$B,2,0)*VLOOKUP(A213,'[55]geoMap (52)'!$A:$C,3,0)</f>
        <v>#REF!</v>
      </c>
      <c r="BC213" s="1" t="e">
        <f>BB213/VLOOKUP(A213,'[56]geoMap (53)'!$A:$B,2,0)*VLOOKUP(A213,'[56]geoMap (53)'!$A:$C,3,0)</f>
        <v>#REF!</v>
      </c>
      <c r="BD213" s="1" t="e">
        <f>BC213/VLOOKUP(A213,'[57]geoMap (54)'!$A:$B,2,0)*VLOOKUP(A213,'[57]geoMap (54)'!$A:$C,3,0)</f>
        <v>#REF!</v>
      </c>
      <c r="BE213" s="1" t="e">
        <f>BD213/VLOOKUP(A213,'[58]geoMap (55)'!$A:$B,2,0)*VLOOKUP(A213,'[58]geoMap (55)'!$A:$C,3,0)</f>
        <v>#REF!</v>
      </c>
      <c r="BF213" s="1" t="e">
        <f>BE213/VLOOKUP(A213,'[59]geoMap (56)'!$A:$B,2,0)*VLOOKUP(A213,'[59]geoMap (56)'!$A:$C,3,0)</f>
        <v>#REF!</v>
      </c>
      <c r="BG213" s="1" t="e">
        <f>BF213/VLOOKUP(A213,'[60]geoMap (57)'!$A:$B,2,0)*VLOOKUP(A213,'[60]geoMap (57)'!$A:$C,3,0)</f>
        <v>#REF!</v>
      </c>
      <c r="BH213" s="1" t="e">
        <f>BG213/VLOOKUP(A213,'[61]geoMap (58)'!$A:$B,2,0)*VLOOKUP(A213,'[61]geoMap (58)'!$A:$C,3,0)</f>
        <v>#REF!</v>
      </c>
      <c r="BI213" s="1" t="e">
        <f>BH213/VLOOKUP(A213,'[62]geoMap (59)'!$A:$B,2,0)*VLOOKUP(A213,'[62]geoMap (59)'!$A:$C,3,0)</f>
        <v>#REF!</v>
      </c>
      <c r="BJ213" s="1" t="e">
        <f>BI213/VLOOKUP(A213,'[63]geoMap (60)'!$A:$B,2,0)*VLOOKUP(A213,'[63]geoMap (60)'!$A:$C,3,0)</f>
        <v>#REF!</v>
      </c>
      <c r="BK213" s="1" t="e">
        <f>BJ213/VLOOKUP(A213,'[64]geoMap (61)'!$A:$B,2,0)*VLOOKUP(A213,'[64]geoMap (61)'!$A:$C,3,0)</f>
        <v>#REF!</v>
      </c>
      <c r="BL213" s="1" t="e">
        <f>BK213/VLOOKUP(A213,'[65]geoMap (62)'!$A:$B,2,0)*VLOOKUP(A213,'[65]geoMap (62)'!$A:$C,3,0)</f>
        <v>#REF!</v>
      </c>
      <c r="BM213" s="1" t="e">
        <f>BL213/VLOOKUP(A213,'[66]geoMap (63)'!$A:$B,2,0)*VLOOKUP(A213,'[66]geoMap (63)'!$A:$C,3,0)</f>
        <v>#REF!</v>
      </c>
      <c r="BN213" s="1" t="e">
        <f>BM213/VLOOKUP(A213,'[67]geoMap (64)'!$A:$B,2,0)*VLOOKUP(A213,'[67]geoMap (64)'!$A:$C,3,0)</f>
        <v>#REF!</v>
      </c>
      <c r="BO213" s="1" t="e">
        <f>BN213/VLOOKUP(A213,'[68]geoMap (65)'!$A:$B,2,0)*VLOOKUP(A213,'[68]geoMap (65)'!$A:$C,3,0)</f>
        <v>#REF!</v>
      </c>
      <c r="BP213" s="1" t="e">
        <f>BO213/VLOOKUP(A213,'[69]geoMap (66)'!$A:$B,2,0)*VLOOKUP(A213,'[69]geoMap (66)'!$A:$C,3,0)</f>
        <v>#REF!</v>
      </c>
    </row>
    <row r="214" spans="1:68" hidden="1" x14ac:dyDescent="0.2">
      <c r="A214" s="1" t="s">
        <v>216</v>
      </c>
      <c r="B214" s="1" t="e">
        <f>VLOOKUP(A214,[3]geoMap!$A:$B,2,0)*Notes!$C$6</f>
        <v>#REF!</v>
      </c>
      <c r="C214" s="1" t="e">
        <f>B214/VLOOKUP(A214,'[4]geoMap (1)'!$A:$B,2,0)*VLOOKUP(A214,'[4]geoMap (1)'!$A:$C,3,0)</f>
        <v>#REF!</v>
      </c>
      <c r="D214" s="1" t="e">
        <f>C214/VLOOKUP(A214,'[5]geoMap (2)'!$A:$B,2,0)*VLOOKUP(A214,'[5]geoMap (2)'!$A:$C,3,0)</f>
        <v>#REF!</v>
      </c>
      <c r="E214" s="1" t="e">
        <f>D214/VLOOKUP(A214,'[6]geoMap (3)'!$A:$B,2,0)*VLOOKUP(A214,'[6]geoMap (3)'!$A:$C,3,0)</f>
        <v>#REF!</v>
      </c>
      <c r="F214" s="1" t="e">
        <f>E214/VLOOKUP(A214,'[7]geoMap (4)'!$A:$B,2,0)*VLOOKUP(A214,'[7]geoMap (4)'!$A:$C,3,0)</f>
        <v>#REF!</v>
      </c>
      <c r="G214" s="1" t="e">
        <f>F214/VLOOKUP(A214,'[8]geoMap (5)'!$A:$B,2,0)*VLOOKUP(A214,'[8]geoMap (5)'!$A:$C,3,0)</f>
        <v>#REF!</v>
      </c>
      <c r="H214" s="1" t="e">
        <f>G214/VLOOKUP(A214,'[9]geoMap (6)'!$A:$B,2,0)*VLOOKUP(A214,'[9]geoMap (6)'!$A:$C,3,0)</f>
        <v>#REF!</v>
      </c>
      <c r="I214" s="1" t="e">
        <f>H214/VLOOKUP(A214,'[10]geoMap (7)'!$A:$B,2,0)*VLOOKUP(A214,'[10]geoMap (7)'!$A:$C,3,0)</f>
        <v>#REF!</v>
      </c>
      <c r="J214" s="1" t="e">
        <f>I214/VLOOKUP(A214,'[11]geoMap (8)'!$A:$B,2,0)*VLOOKUP(A214,'[11]geoMap (8)'!$A:$C,3,0)</f>
        <v>#REF!</v>
      </c>
      <c r="K214" s="1" t="e">
        <f>J214/VLOOKUP(A214,'[12]geoMap (9)'!$A:$B,2,0)*VLOOKUP(A214,'[12]geoMap (9)'!$A:$C,3,0)</f>
        <v>#REF!</v>
      </c>
      <c r="L214" s="1" t="e">
        <f>K214/VLOOKUP(A214,'[13]geoMap (10)'!$A:$B,2,0)*VLOOKUP(A214,'[13]geoMap (10)'!$A:$C,3,0)</f>
        <v>#REF!</v>
      </c>
      <c r="M214" s="1" t="e">
        <f>L214/VLOOKUP(A214,'[14]geoMap (11)'!$A:$B,2,0)*VLOOKUP(A214,'[14]geoMap (11)'!$A:$C,3,0)</f>
        <v>#REF!</v>
      </c>
      <c r="N214" s="1" t="e">
        <f>M214/VLOOKUP(A214,'[15]geoMap (12)'!$A:$B,2,0)*VLOOKUP(A214,'[15]geoMap (12)'!$A:$C,3,0)</f>
        <v>#REF!</v>
      </c>
      <c r="O214" s="1" t="e">
        <f>N214/VLOOKUP(A214,'[16]geoMap (13)'!$A:$B,2,0)*VLOOKUP(A214,'[16]geoMap (13)'!$A:$C,3,0)</f>
        <v>#REF!</v>
      </c>
      <c r="P214" s="1" t="e">
        <f>O214/VLOOKUP(A214,'[17]geoMap (14)'!$A:$B,2,0)*VLOOKUP(A214,'[17]geoMap (14)'!$A:$C,3,0)</f>
        <v>#REF!</v>
      </c>
      <c r="Q214" s="1" t="e">
        <f>P214/VLOOKUP(A214,'[18]geoMap (15)'!$A:$B,2,0)*VLOOKUP(A214,'[18]geoMap (15)'!$A:$C,3,0)</f>
        <v>#REF!</v>
      </c>
      <c r="R214" s="1" t="e">
        <f>Q214/VLOOKUP(A214,'[19]geoMap (16)'!$A:$B,2,0)*VLOOKUP(A214,'[19]geoMap (16)'!$A:$C,3,0)</f>
        <v>#REF!</v>
      </c>
      <c r="S214" s="1" t="e">
        <f>R214/VLOOKUP(A214,'[20]geoMap (17)'!$A:$B,2,0)*VLOOKUP(A214,'[20]geoMap (17)'!$A:$C,3,0)</f>
        <v>#REF!</v>
      </c>
      <c r="T214" s="1" t="e">
        <f>S214/VLOOKUP(A214,'[21]geoMap (18)'!$A:$B,2,0)*VLOOKUP(A214,'[21]geoMap (18)'!$A:$C,3,0)</f>
        <v>#REF!</v>
      </c>
      <c r="U214" s="1" t="e">
        <f>T214/VLOOKUP(A214,'[22]geoMap (19)'!$A:$B,2,0)*VLOOKUP(A214,'[22]geoMap (19)'!$A:$C,3,0)</f>
        <v>#REF!</v>
      </c>
      <c r="V214" s="1" t="e">
        <f>U214/VLOOKUP(A214,'[23]geoMap (20)'!$A:$B,2,0)*VLOOKUP(A214,'[23]geoMap (20)'!$A:$C,3,0)</f>
        <v>#REF!</v>
      </c>
      <c r="W214" s="1" t="e">
        <f>V214/VLOOKUP(A214,'[24]geoMap (21)'!$A:$B,2,0)*VLOOKUP(A214,'[24]geoMap (21)'!$A:$C,3,0)</f>
        <v>#REF!</v>
      </c>
      <c r="X214" s="1" t="e">
        <f>W214/VLOOKUP(A214,'[25]geoMap (22)'!$A:$B,2,0)*VLOOKUP(A214,'[25]geoMap (22)'!$A:$C,3,0)</f>
        <v>#REF!</v>
      </c>
      <c r="Y214" s="1" t="e">
        <f>X214/VLOOKUP(A214,'[26]geoMap (23)'!$A:$B,2,0)*VLOOKUP(A214,'[26]geoMap (23)'!$A:$C,3,0)</f>
        <v>#REF!</v>
      </c>
      <c r="Z214" s="1" t="e">
        <f>Y214/VLOOKUP(A214,'[27]geoMap (24)'!$A:$B,2,0)*VLOOKUP(A214,'[27]geoMap (24)'!$A:$C,3,0)</f>
        <v>#REF!</v>
      </c>
      <c r="AA214" s="1" t="e">
        <f>Z214/VLOOKUP(A214,'[28]geoMap (25)'!$A:$B,2,0)*VLOOKUP(A214,'[28]geoMap (25)'!$A:$C,3,0)</f>
        <v>#REF!</v>
      </c>
      <c r="AB214" s="1" t="e">
        <f>AA214*VLOOKUP(A214,'[29]geoMap (26)'!$A:$B,2,0)*VLOOKUP(A214,'[29]geoMap (26)'!$A:$C,3,0)</f>
        <v>#REF!</v>
      </c>
      <c r="AC214" s="1" t="e">
        <f>AB214/VLOOKUP(A214,'[30]geoMap (27)'!$A:$B,2,0)*VLOOKUP(A214,'[30]geoMap (27)'!$A:$C,3,0)</f>
        <v>#REF!</v>
      </c>
      <c r="AD214" s="1" t="e">
        <f>AC214/VLOOKUP(A214,'[31]geoMap (28)'!$A:$B,2,0)*VLOOKUP(A214,'[31]geoMap (28)'!$A:$C,3,0)</f>
        <v>#REF!</v>
      </c>
      <c r="AE214" s="1" t="e">
        <f>AD214/VLOOKUP(A214,'[32]geoMap (29)'!$A:$B,2,0)*VLOOKUP(A214,'[32]geoMap (29)'!$A:$C,3,0)</f>
        <v>#REF!</v>
      </c>
      <c r="AF214" s="1" t="e">
        <f>AE214/VLOOKUP(A214,'[33]geoMap (30)'!$A:$B,2,0)*VLOOKUP(A214,'[33]geoMap (30)'!$A:$C,3,0)</f>
        <v>#REF!</v>
      </c>
      <c r="AG214" s="1" t="e">
        <f>AF214/VLOOKUP(A214,'[34]geoMap (31)'!$A:$B,2,0)*VLOOKUP(A214,'[34]geoMap (31)'!$A:$C,3,0)</f>
        <v>#REF!</v>
      </c>
      <c r="AH214" s="1" t="e">
        <f>AG214/VLOOKUP(A214,'[35]geoMap (32)'!$A:$B,2,0)*VLOOKUP(A214,'[35]geoMap (32)'!$A:$C,3,0)</f>
        <v>#REF!</v>
      </c>
      <c r="AI214" s="1" t="e">
        <f>AH214/VLOOKUP(A214,'[36]geoMap (33)'!$A:$B,2,0)*VLOOKUP(A214,'[36]geoMap (33)'!$A:$C,3,0)</f>
        <v>#REF!</v>
      </c>
      <c r="AJ214" s="1" t="e">
        <f>AI214/VLOOKUP(A214,'[37]geoMap (34)'!$A:$B,2,0)*VLOOKUP(A214,'[37]geoMap (34)'!$A:$C,3,0)</f>
        <v>#REF!</v>
      </c>
      <c r="AK214" s="1" t="e">
        <f>AJ214/VLOOKUP(A214,'[38]geoMap (35)'!$A:$B,2,0)*VLOOKUP(A214,'[38]geoMap (35)'!$A:$C,3,0)</f>
        <v>#REF!</v>
      </c>
      <c r="AL214" s="1" t="e">
        <f>AK214/VLOOKUP(A214,'[39]geoMap (36)'!$A:$B,2,0)*VLOOKUP(A214,'[39]geoMap (36)'!$A:$C,3,0)</f>
        <v>#REF!</v>
      </c>
      <c r="AM214" s="1" t="e">
        <f>AL214/VLOOKUP(A214,'[40]geoMap (37)'!$A:$B,2,0)*VLOOKUP(A214,'[40]geoMap (37)'!$A:$C,3,0)</f>
        <v>#REF!</v>
      </c>
      <c r="AN214" s="1" t="e">
        <f>AM214/VLOOKUP(A214,'[41]geoMap (38)'!$A:$B,2,0)*VLOOKUP(A214,'[41]geoMap (38)'!$A:$C,3,0)</f>
        <v>#REF!</v>
      </c>
      <c r="AO214" s="1" t="e">
        <f>AN214/VLOOKUP(A214,'[42]geoMap (39)'!$A:$B,2,0)*VLOOKUP(A214,'[42]geoMap (39)'!$A:$C,3,0)</f>
        <v>#REF!</v>
      </c>
      <c r="AP214" s="1" t="e">
        <f>AO214/VLOOKUP(A214,'[43]geoMap (40)'!$A:$B,2,0)*VLOOKUP(A214,'[43]geoMap (40)'!$A:$C,3,0)</f>
        <v>#REF!</v>
      </c>
      <c r="AQ214" s="1" t="e">
        <f>AP214/VLOOKUP(A214,'[44]geoMap (41)'!$A:$B,2,0)*VLOOKUP(A214,'[44]geoMap (41)'!$A:$C,3,0)</f>
        <v>#REF!</v>
      </c>
      <c r="AR214" s="1" t="e">
        <f>AQ214/VLOOKUP(A214,'[45]geoMap (42)'!$A:$B,2,0)*VLOOKUP(A214,'[45]geoMap (42)'!$A:$C,3,0)</f>
        <v>#REF!</v>
      </c>
      <c r="AS214" s="1" t="e">
        <f>AR214/VLOOKUP(A214,'[46]geoMap (43)'!$A:$B,2,0)*VLOOKUP(A214,'[46]geoMap (43)'!$A:$C,3,0)</f>
        <v>#REF!</v>
      </c>
      <c r="AT214" s="1" t="e">
        <f>AS214/VLOOKUP(A214,'[47]geoMap (44)'!$A:$B,2,0)*VLOOKUP(A214,'[47]geoMap (44)'!$A:$C,3,0)</f>
        <v>#REF!</v>
      </c>
      <c r="AU214" s="1" t="e">
        <f>AT214/VLOOKUP(A214,'[48]geoMap (45)'!$A:$B,2,0)*VLOOKUP(A214,'[48]geoMap (45)'!$A:$C,3,0)</f>
        <v>#REF!</v>
      </c>
      <c r="AV214" s="1" t="e">
        <f>AU214/VLOOKUP(A214,'[49]geoMap (46)'!$A:$B,2,0)*VLOOKUP(A214,'[49]geoMap (46)'!$A:$C,3,0)</f>
        <v>#REF!</v>
      </c>
      <c r="AW214" s="1" t="e">
        <f>AV214/VLOOKUP(A214,'[50]geoMap (47)'!$A:$B,2,0)*VLOOKUP(A214,'[50]geoMap (47)'!$A:$C,3,0)</f>
        <v>#REF!</v>
      </c>
      <c r="AX214" s="1" t="e">
        <f>AW214/VLOOKUP(A214,'[51]geoMap (48)'!$A:$B,2,0)*VLOOKUP(A214,'[51]geoMap (48)'!$A:$C,3,0)</f>
        <v>#REF!</v>
      </c>
      <c r="AY214" s="1" t="e">
        <f>AX214/VLOOKUP(A214,'[52]geoMap (49)'!$A:$B,2,0)*VLOOKUP(A214,'[52]geoMap (49)'!$A:$C,3,0)</f>
        <v>#REF!</v>
      </c>
      <c r="AZ214" s="1" t="e">
        <f>AY214/VLOOKUP(A214,'[53]geoMap (50)'!$A:$B,2,0)*VLOOKUP(A214,'[53]geoMap (50)'!$A:$C,3,0)</f>
        <v>#REF!</v>
      </c>
      <c r="BA214" s="1" t="e">
        <f>AZ214/VLOOKUP(A214,'[54]geoMap (51)'!$A:$B,2,0)*VLOOKUP(A214,'[54]geoMap (51)'!$A:$C,3,0)</f>
        <v>#REF!</v>
      </c>
      <c r="BB214" s="1" t="e">
        <f>BA214/VLOOKUP(A214,'[55]geoMap (52)'!$A:$B,2,0)*VLOOKUP(A214,'[55]geoMap (52)'!$A:$C,3,0)</f>
        <v>#REF!</v>
      </c>
      <c r="BC214" s="1" t="e">
        <f>BB214/VLOOKUP(A214,'[56]geoMap (53)'!$A:$B,2,0)*VLOOKUP(A214,'[56]geoMap (53)'!$A:$C,3,0)</f>
        <v>#REF!</v>
      </c>
      <c r="BD214" s="1" t="e">
        <f>BC214/VLOOKUP(A214,'[57]geoMap (54)'!$A:$B,2,0)*VLOOKUP(A214,'[57]geoMap (54)'!$A:$C,3,0)</f>
        <v>#REF!</v>
      </c>
      <c r="BE214" s="1" t="e">
        <f>BD214/VLOOKUP(A214,'[58]geoMap (55)'!$A:$B,2,0)*VLOOKUP(A214,'[58]geoMap (55)'!$A:$C,3,0)</f>
        <v>#REF!</v>
      </c>
      <c r="BF214" s="1" t="e">
        <f>BE214/VLOOKUP(A214,'[59]geoMap (56)'!$A:$B,2,0)*VLOOKUP(A214,'[59]geoMap (56)'!$A:$C,3,0)</f>
        <v>#REF!</v>
      </c>
      <c r="BG214" s="1" t="e">
        <f>BF214/VLOOKUP(A214,'[60]geoMap (57)'!$A:$B,2,0)*VLOOKUP(A214,'[60]geoMap (57)'!$A:$C,3,0)</f>
        <v>#REF!</v>
      </c>
      <c r="BH214" s="1" t="e">
        <f>BG214/VLOOKUP(A214,'[61]geoMap (58)'!$A:$B,2,0)*VLOOKUP(A214,'[61]geoMap (58)'!$A:$C,3,0)</f>
        <v>#REF!</v>
      </c>
      <c r="BI214" s="1" t="e">
        <f>BH214/VLOOKUP(A214,'[62]geoMap (59)'!$A:$B,2,0)*VLOOKUP(A214,'[62]geoMap (59)'!$A:$C,3,0)</f>
        <v>#REF!</v>
      </c>
      <c r="BJ214" s="1" t="e">
        <f>BI214/VLOOKUP(A214,'[63]geoMap (60)'!$A:$B,2,0)*VLOOKUP(A214,'[63]geoMap (60)'!$A:$C,3,0)</f>
        <v>#REF!</v>
      </c>
      <c r="BK214" s="1" t="e">
        <f>BJ214/VLOOKUP(A214,'[64]geoMap (61)'!$A:$B,2,0)*VLOOKUP(A214,'[64]geoMap (61)'!$A:$C,3,0)</f>
        <v>#REF!</v>
      </c>
      <c r="BL214" s="1" t="e">
        <f>BK214/VLOOKUP(A214,'[65]geoMap (62)'!$A:$B,2,0)*VLOOKUP(A214,'[65]geoMap (62)'!$A:$C,3,0)</f>
        <v>#REF!</v>
      </c>
      <c r="BM214" s="1" t="e">
        <f>BL214/VLOOKUP(A214,'[66]geoMap (63)'!$A:$B,2,0)*VLOOKUP(A214,'[66]geoMap (63)'!$A:$C,3,0)</f>
        <v>#REF!</v>
      </c>
      <c r="BN214" s="1" t="e">
        <f>BM214/VLOOKUP(A214,'[67]geoMap (64)'!$A:$B,2,0)*VLOOKUP(A214,'[67]geoMap (64)'!$A:$C,3,0)</f>
        <v>#REF!</v>
      </c>
      <c r="BO214" s="1" t="e">
        <f>BN214/VLOOKUP(A214,'[68]geoMap (65)'!$A:$B,2,0)*VLOOKUP(A214,'[68]geoMap (65)'!$A:$C,3,0)</f>
        <v>#REF!</v>
      </c>
      <c r="BP214" s="1" t="e">
        <f>BO214/VLOOKUP(A214,'[69]geoMap (66)'!$A:$B,2,0)*VLOOKUP(A214,'[69]geoMap (66)'!$A:$C,3,0)</f>
        <v>#REF!</v>
      </c>
    </row>
    <row r="215" spans="1:68" hidden="1" x14ac:dyDescent="0.2">
      <c r="A215" s="1" t="s">
        <v>217</v>
      </c>
      <c r="B215" s="1" t="e">
        <f>VLOOKUP(A215,[3]geoMap!$A:$B,2,0)*Notes!$C$6</f>
        <v>#REF!</v>
      </c>
      <c r="C215" s="1" t="e">
        <f>B215/VLOOKUP(A215,'[4]geoMap (1)'!$A:$B,2,0)*VLOOKUP(A215,'[4]geoMap (1)'!$A:$C,3,0)</f>
        <v>#REF!</v>
      </c>
      <c r="D215" s="1" t="e">
        <f>C215/VLOOKUP(A215,'[5]geoMap (2)'!$A:$B,2,0)*VLOOKUP(A215,'[5]geoMap (2)'!$A:$C,3,0)</f>
        <v>#REF!</v>
      </c>
      <c r="E215" s="1" t="e">
        <f>D215/VLOOKUP(A215,'[6]geoMap (3)'!$A:$B,2,0)*VLOOKUP(A215,'[6]geoMap (3)'!$A:$C,3,0)</f>
        <v>#REF!</v>
      </c>
      <c r="F215" s="1" t="e">
        <f>E215/VLOOKUP(A215,'[7]geoMap (4)'!$A:$B,2,0)*VLOOKUP(A215,'[7]geoMap (4)'!$A:$C,3,0)</f>
        <v>#REF!</v>
      </c>
      <c r="G215" s="1" t="e">
        <f>F215/VLOOKUP(A215,'[8]geoMap (5)'!$A:$B,2,0)*VLOOKUP(A215,'[8]geoMap (5)'!$A:$C,3,0)</f>
        <v>#REF!</v>
      </c>
      <c r="H215" s="1" t="e">
        <f>G215/VLOOKUP(A215,'[9]geoMap (6)'!$A:$B,2,0)*VLOOKUP(A215,'[9]geoMap (6)'!$A:$C,3,0)</f>
        <v>#REF!</v>
      </c>
      <c r="I215" s="1" t="e">
        <f>H215/VLOOKUP(A215,'[10]geoMap (7)'!$A:$B,2,0)*VLOOKUP(A215,'[10]geoMap (7)'!$A:$C,3,0)</f>
        <v>#REF!</v>
      </c>
      <c r="J215" s="1" t="e">
        <f>I215/VLOOKUP(A215,'[11]geoMap (8)'!$A:$B,2,0)*VLOOKUP(A215,'[11]geoMap (8)'!$A:$C,3,0)</f>
        <v>#REF!</v>
      </c>
      <c r="K215" s="1" t="e">
        <f>J215/VLOOKUP(A215,'[12]geoMap (9)'!$A:$B,2,0)*VLOOKUP(A215,'[12]geoMap (9)'!$A:$C,3,0)</f>
        <v>#REF!</v>
      </c>
      <c r="L215" s="1" t="e">
        <f>K215/VLOOKUP(A215,'[13]geoMap (10)'!$A:$B,2,0)*VLOOKUP(A215,'[13]geoMap (10)'!$A:$C,3,0)</f>
        <v>#REF!</v>
      </c>
      <c r="M215" s="1" t="e">
        <f>L215/VLOOKUP(A215,'[14]geoMap (11)'!$A:$B,2,0)*VLOOKUP(A215,'[14]geoMap (11)'!$A:$C,3,0)</f>
        <v>#REF!</v>
      </c>
      <c r="N215" s="1" t="e">
        <f>M215/VLOOKUP(A215,'[15]geoMap (12)'!$A:$B,2,0)*VLOOKUP(A215,'[15]geoMap (12)'!$A:$C,3,0)</f>
        <v>#REF!</v>
      </c>
      <c r="O215" s="1" t="e">
        <f>N215/VLOOKUP(A215,'[16]geoMap (13)'!$A:$B,2,0)*VLOOKUP(A215,'[16]geoMap (13)'!$A:$C,3,0)</f>
        <v>#REF!</v>
      </c>
      <c r="P215" s="1" t="e">
        <f>O215/VLOOKUP(A215,'[17]geoMap (14)'!$A:$B,2,0)*VLOOKUP(A215,'[17]geoMap (14)'!$A:$C,3,0)</f>
        <v>#REF!</v>
      </c>
      <c r="Q215" s="1" t="e">
        <f>P215/VLOOKUP(A215,'[18]geoMap (15)'!$A:$B,2,0)*VLOOKUP(A215,'[18]geoMap (15)'!$A:$C,3,0)</f>
        <v>#REF!</v>
      </c>
      <c r="R215" s="1" t="e">
        <f>Q215/VLOOKUP(A215,'[19]geoMap (16)'!$A:$B,2,0)*VLOOKUP(A215,'[19]geoMap (16)'!$A:$C,3,0)</f>
        <v>#REF!</v>
      </c>
      <c r="S215" s="1" t="e">
        <f>R215/VLOOKUP(A215,'[20]geoMap (17)'!$A:$B,2,0)*VLOOKUP(A215,'[20]geoMap (17)'!$A:$C,3,0)</f>
        <v>#REF!</v>
      </c>
      <c r="T215" s="1" t="e">
        <f>S215/VLOOKUP(A215,'[21]geoMap (18)'!$A:$B,2,0)*VLOOKUP(A215,'[21]geoMap (18)'!$A:$C,3,0)</f>
        <v>#REF!</v>
      </c>
      <c r="U215" s="1" t="e">
        <f>T215/VLOOKUP(A215,'[22]geoMap (19)'!$A:$B,2,0)*VLOOKUP(A215,'[22]geoMap (19)'!$A:$C,3,0)</f>
        <v>#REF!</v>
      </c>
      <c r="V215" s="1" t="e">
        <f>U215/VLOOKUP(A215,'[23]geoMap (20)'!$A:$B,2,0)*VLOOKUP(A215,'[23]geoMap (20)'!$A:$C,3,0)</f>
        <v>#REF!</v>
      </c>
      <c r="W215" s="1" t="e">
        <f>V215/VLOOKUP(A215,'[24]geoMap (21)'!$A:$B,2,0)*VLOOKUP(A215,'[24]geoMap (21)'!$A:$C,3,0)</f>
        <v>#REF!</v>
      </c>
      <c r="X215" s="1" t="e">
        <f>W215/VLOOKUP(A215,'[25]geoMap (22)'!$A:$B,2,0)*VLOOKUP(A215,'[25]geoMap (22)'!$A:$C,3,0)</f>
        <v>#REF!</v>
      </c>
      <c r="Y215" s="1" t="e">
        <f>X215/VLOOKUP(A215,'[26]geoMap (23)'!$A:$B,2,0)*VLOOKUP(A215,'[26]geoMap (23)'!$A:$C,3,0)</f>
        <v>#REF!</v>
      </c>
      <c r="Z215" s="1" t="e">
        <f>Y215/VLOOKUP(A215,'[27]geoMap (24)'!$A:$B,2,0)*VLOOKUP(A215,'[27]geoMap (24)'!$A:$C,3,0)</f>
        <v>#REF!</v>
      </c>
      <c r="AA215" s="1" t="e">
        <f>Z215/VLOOKUP(A215,'[28]geoMap (25)'!$A:$B,2,0)*VLOOKUP(A215,'[28]geoMap (25)'!$A:$C,3,0)</f>
        <v>#REF!</v>
      </c>
      <c r="AB215" s="1" t="e">
        <f>AA215*VLOOKUP(A215,'[29]geoMap (26)'!$A:$B,2,0)*VLOOKUP(A215,'[29]geoMap (26)'!$A:$C,3,0)</f>
        <v>#REF!</v>
      </c>
      <c r="AC215" s="1" t="e">
        <f>AB215/VLOOKUP(A215,'[30]geoMap (27)'!$A:$B,2,0)*VLOOKUP(A215,'[30]geoMap (27)'!$A:$C,3,0)</f>
        <v>#REF!</v>
      </c>
      <c r="AD215" s="1" t="e">
        <f>AC215/VLOOKUP(A215,'[31]geoMap (28)'!$A:$B,2,0)*VLOOKUP(A215,'[31]geoMap (28)'!$A:$C,3,0)</f>
        <v>#REF!</v>
      </c>
      <c r="AE215" s="1" t="e">
        <f>AD215/VLOOKUP(A215,'[32]geoMap (29)'!$A:$B,2,0)*VLOOKUP(A215,'[32]geoMap (29)'!$A:$C,3,0)</f>
        <v>#REF!</v>
      </c>
      <c r="AF215" s="1" t="e">
        <f>AE215/VLOOKUP(A215,'[33]geoMap (30)'!$A:$B,2,0)*VLOOKUP(A215,'[33]geoMap (30)'!$A:$C,3,0)</f>
        <v>#REF!</v>
      </c>
      <c r="AG215" s="1" t="e">
        <f>AF215/VLOOKUP(A215,'[34]geoMap (31)'!$A:$B,2,0)*VLOOKUP(A215,'[34]geoMap (31)'!$A:$C,3,0)</f>
        <v>#REF!</v>
      </c>
      <c r="AH215" s="1" t="e">
        <f>AG215/VLOOKUP(A215,'[35]geoMap (32)'!$A:$B,2,0)*VLOOKUP(A215,'[35]geoMap (32)'!$A:$C,3,0)</f>
        <v>#REF!</v>
      </c>
      <c r="AI215" s="1" t="e">
        <f>AH215/VLOOKUP(A215,'[36]geoMap (33)'!$A:$B,2,0)*VLOOKUP(A215,'[36]geoMap (33)'!$A:$C,3,0)</f>
        <v>#REF!</v>
      </c>
      <c r="AJ215" s="1" t="e">
        <f>AI215/VLOOKUP(A215,'[37]geoMap (34)'!$A:$B,2,0)*VLOOKUP(A215,'[37]geoMap (34)'!$A:$C,3,0)</f>
        <v>#REF!</v>
      </c>
      <c r="AK215" s="1" t="e">
        <f>AJ215/VLOOKUP(A215,'[38]geoMap (35)'!$A:$B,2,0)*VLOOKUP(A215,'[38]geoMap (35)'!$A:$C,3,0)</f>
        <v>#REF!</v>
      </c>
      <c r="AL215" s="1" t="e">
        <f>AK215/VLOOKUP(A215,'[39]geoMap (36)'!$A:$B,2,0)*VLOOKUP(A215,'[39]geoMap (36)'!$A:$C,3,0)</f>
        <v>#REF!</v>
      </c>
      <c r="AM215" s="1" t="e">
        <f>AL215/VLOOKUP(A215,'[40]geoMap (37)'!$A:$B,2,0)*VLOOKUP(A215,'[40]geoMap (37)'!$A:$C,3,0)</f>
        <v>#REF!</v>
      </c>
      <c r="AN215" s="1" t="e">
        <f>AM215/VLOOKUP(A215,'[41]geoMap (38)'!$A:$B,2,0)*VLOOKUP(A215,'[41]geoMap (38)'!$A:$C,3,0)</f>
        <v>#REF!</v>
      </c>
      <c r="AO215" s="1" t="e">
        <f>AN215/VLOOKUP(A215,'[42]geoMap (39)'!$A:$B,2,0)*VLOOKUP(A215,'[42]geoMap (39)'!$A:$C,3,0)</f>
        <v>#REF!</v>
      </c>
      <c r="AP215" s="1" t="e">
        <f>AO215/VLOOKUP(A215,'[43]geoMap (40)'!$A:$B,2,0)*VLOOKUP(A215,'[43]geoMap (40)'!$A:$C,3,0)</f>
        <v>#REF!</v>
      </c>
      <c r="AQ215" s="1" t="e">
        <f>AP215/VLOOKUP(A215,'[44]geoMap (41)'!$A:$B,2,0)*VLOOKUP(A215,'[44]geoMap (41)'!$A:$C,3,0)</f>
        <v>#REF!</v>
      </c>
      <c r="AR215" s="1" t="e">
        <f>AQ215/VLOOKUP(A215,'[45]geoMap (42)'!$A:$B,2,0)*VLOOKUP(A215,'[45]geoMap (42)'!$A:$C,3,0)</f>
        <v>#REF!</v>
      </c>
      <c r="AS215" s="1" t="e">
        <f>AR215/VLOOKUP(A215,'[46]geoMap (43)'!$A:$B,2,0)*VLOOKUP(A215,'[46]geoMap (43)'!$A:$C,3,0)</f>
        <v>#REF!</v>
      </c>
      <c r="AT215" s="1" t="e">
        <f>AS215/VLOOKUP(A215,'[47]geoMap (44)'!$A:$B,2,0)*VLOOKUP(A215,'[47]geoMap (44)'!$A:$C,3,0)</f>
        <v>#REF!</v>
      </c>
      <c r="AU215" s="1" t="e">
        <f>AT215/VLOOKUP(A215,'[48]geoMap (45)'!$A:$B,2,0)*VLOOKUP(A215,'[48]geoMap (45)'!$A:$C,3,0)</f>
        <v>#REF!</v>
      </c>
      <c r="AV215" s="1" t="e">
        <f>AU215/VLOOKUP(A215,'[49]geoMap (46)'!$A:$B,2,0)*VLOOKUP(A215,'[49]geoMap (46)'!$A:$C,3,0)</f>
        <v>#REF!</v>
      </c>
      <c r="AW215" s="1" t="e">
        <f>AV215/VLOOKUP(A215,'[50]geoMap (47)'!$A:$B,2,0)*VLOOKUP(A215,'[50]geoMap (47)'!$A:$C,3,0)</f>
        <v>#REF!</v>
      </c>
      <c r="AX215" s="1" t="e">
        <f>AW215/VLOOKUP(A215,'[51]geoMap (48)'!$A:$B,2,0)*VLOOKUP(A215,'[51]geoMap (48)'!$A:$C,3,0)</f>
        <v>#REF!</v>
      </c>
      <c r="AY215" s="1" t="e">
        <f>AX215/VLOOKUP(A215,'[52]geoMap (49)'!$A:$B,2,0)*VLOOKUP(A215,'[52]geoMap (49)'!$A:$C,3,0)</f>
        <v>#REF!</v>
      </c>
      <c r="AZ215" s="1" t="e">
        <f>AY215/VLOOKUP(A215,'[53]geoMap (50)'!$A:$B,2,0)*VLOOKUP(A215,'[53]geoMap (50)'!$A:$C,3,0)</f>
        <v>#REF!</v>
      </c>
      <c r="BA215" s="1" t="e">
        <f>AZ215/VLOOKUP(A215,'[54]geoMap (51)'!$A:$B,2,0)*VLOOKUP(A215,'[54]geoMap (51)'!$A:$C,3,0)</f>
        <v>#REF!</v>
      </c>
      <c r="BB215" s="1" t="e">
        <f>BA215/VLOOKUP(A215,'[55]geoMap (52)'!$A:$B,2,0)*VLOOKUP(A215,'[55]geoMap (52)'!$A:$C,3,0)</f>
        <v>#REF!</v>
      </c>
      <c r="BC215" s="1" t="e">
        <f>BB215/VLOOKUP(A215,'[56]geoMap (53)'!$A:$B,2,0)*VLOOKUP(A215,'[56]geoMap (53)'!$A:$C,3,0)</f>
        <v>#REF!</v>
      </c>
      <c r="BD215" s="1" t="e">
        <f>BC215/VLOOKUP(A215,'[57]geoMap (54)'!$A:$B,2,0)*VLOOKUP(A215,'[57]geoMap (54)'!$A:$C,3,0)</f>
        <v>#REF!</v>
      </c>
      <c r="BE215" s="1" t="e">
        <f>BD215/VLOOKUP(A215,'[58]geoMap (55)'!$A:$B,2,0)*VLOOKUP(A215,'[58]geoMap (55)'!$A:$C,3,0)</f>
        <v>#REF!</v>
      </c>
      <c r="BF215" s="1" t="e">
        <f>BE215/VLOOKUP(A215,'[59]geoMap (56)'!$A:$B,2,0)*VLOOKUP(A215,'[59]geoMap (56)'!$A:$C,3,0)</f>
        <v>#REF!</v>
      </c>
      <c r="BG215" s="1" t="e">
        <f>BF215/VLOOKUP(A215,'[60]geoMap (57)'!$A:$B,2,0)*VLOOKUP(A215,'[60]geoMap (57)'!$A:$C,3,0)</f>
        <v>#REF!</v>
      </c>
      <c r="BH215" s="1" t="e">
        <f>BG215/VLOOKUP(A215,'[61]geoMap (58)'!$A:$B,2,0)*VLOOKUP(A215,'[61]geoMap (58)'!$A:$C,3,0)</f>
        <v>#REF!</v>
      </c>
      <c r="BI215" s="1" t="e">
        <f>BH215/VLOOKUP(A215,'[62]geoMap (59)'!$A:$B,2,0)*VLOOKUP(A215,'[62]geoMap (59)'!$A:$C,3,0)</f>
        <v>#REF!</v>
      </c>
      <c r="BJ215" s="1" t="e">
        <f>BI215/VLOOKUP(A215,'[63]geoMap (60)'!$A:$B,2,0)*VLOOKUP(A215,'[63]geoMap (60)'!$A:$C,3,0)</f>
        <v>#REF!</v>
      </c>
      <c r="BK215" s="1" t="e">
        <f>BJ215/VLOOKUP(A215,'[64]geoMap (61)'!$A:$B,2,0)*VLOOKUP(A215,'[64]geoMap (61)'!$A:$C,3,0)</f>
        <v>#REF!</v>
      </c>
      <c r="BL215" s="1" t="e">
        <f>BK215/VLOOKUP(A215,'[65]geoMap (62)'!$A:$B,2,0)*VLOOKUP(A215,'[65]geoMap (62)'!$A:$C,3,0)</f>
        <v>#REF!</v>
      </c>
      <c r="BM215" s="1" t="e">
        <f>BL215/VLOOKUP(A215,'[66]geoMap (63)'!$A:$B,2,0)*VLOOKUP(A215,'[66]geoMap (63)'!$A:$C,3,0)</f>
        <v>#REF!</v>
      </c>
      <c r="BN215" s="1" t="e">
        <f>BM215/VLOOKUP(A215,'[67]geoMap (64)'!$A:$B,2,0)*VLOOKUP(A215,'[67]geoMap (64)'!$A:$C,3,0)</f>
        <v>#REF!</v>
      </c>
      <c r="BO215" s="1" t="e">
        <f>BN215/VLOOKUP(A215,'[68]geoMap (65)'!$A:$B,2,0)*VLOOKUP(A215,'[68]geoMap (65)'!$A:$C,3,0)</f>
        <v>#REF!</v>
      </c>
      <c r="BP215" s="1" t="e">
        <f>BO215/VLOOKUP(A215,'[69]geoMap (66)'!$A:$B,2,0)*VLOOKUP(A215,'[69]geoMap (66)'!$A:$C,3,0)</f>
        <v>#REF!</v>
      </c>
    </row>
    <row r="216" spans="1:68" hidden="1" x14ac:dyDescent="0.2">
      <c r="A216" s="1" t="s">
        <v>218</v>
      </c>
      <c r="B216" s="1" t="e">
        <f>VLOOKUP(A216,[3]geoMap!$A:$B,2,0)*Notes!$C$6</f>
        <v>#REF!</v>
      </c>
      <c r="C216" s="1" t="e">
        <f>B216/VLOOKUP(A216,'[4]geoMap (1)'!$A:$B,2,0)*VLOOKUP(A216,'[4]geoMap (1)'!$A:$C,3,0)</f>
        <v>#REF!</v>
      </c>
      <c r="D216" s="1" t="e">
        <f>C216/VLOOKUP(A216,'[5]geoMap (2)'!$A:$B,2,0)*VLOOKUP(A216,'[5]geoMap (2)'!$A:$C,3,0)</f>
        <v>#REF!</v>
      </c>
      <c r="E216" s="1" t="e">
        <f>D216/VLOOKUP(A216,'[6]geoMap (3)'!$A:$B,2,0)*VLOOKUP(A216,'[6]geoMap (3)'!$A:$C,3,0)</f>
        <v>#REF!</v>
      </c>
      <c r="F216" s="1" t="e">
        <f>E216/VLOOKUP(A216,'[7]geoMap (4)'!$A:$B,2,0)*VLOOKUP(A216,'[7]geoMap (4)'!$A:$C,3,0)</f>
        <v>#REF!</v>
      </c>
      <c r="G216" s="1" t="e">
        <f>F216/VLOOKUP(A216,'[8]geoMap (5)'!$A:$B,2,0)*VLOOKUP(A216,'[8]geoMap (5)'!$A:$C,3,0)</f>
        <v>#REF!</v>
      </c>
      <c r="H216" s="1" t="e">
        <f>G216/VLOOKUP(A216,'[9]geoMap (6)'!$A:$B,2,0)*VLOOKUP(A216,'[9]geoMap (6)'!$A:$C,3,0)</f>
        <v>#REF!</v>
      </c>
      <c r="I216" s="1" t="e">
        <f>H216/VLOOKUP(A216,'[10]geoMap (7)'!$A:$B,2,0)*VLOOKUP(A216,'[10]geoMap (7)'!$A:$C,3,0)</f>
        <v>#REF!</v>
      </c>
      <c r="J216" s="1" t="e">
        <f>I216/VLOOKUP(A216,'[11]geoMap (8)'!$A:$B,2,0)*VLOOKUP(A216,'[11]geoMap (8)'!$A:$C,3,0)</f>
        <v>#REF!</v>
      </c>
      <c r="K216" s="1" t="e">
        <f>J216/VLOOKUP(A216,'[12]geoMap (9)'!$A:$B,2,0)*VLOOKUP(A216,'[12]geoMap (9)'!$A:$C,3,0)</f>
        <v>#REF!</v>
      </c>
      <c r="L216" s="1" t="e">
        <f>K216/VLOOKUP(A216,'[13]geoMap (10)'!$A:$B,2,0)*VLOOKUP(A216,'[13]geoMap (10)'!$A:$C,3,0)</f>
        <v>#REF!</v>
      </c>
      <c r="M216" s="1" t="e">
        <f>L216/VLOOKUP(A216,'[14]geoMap (11)'!$A:$B,2,0)*VLOOKUP(A216,'[14]geoMap (11)'!$A:$C,3,0)</f>
        <v>#REF!</v>
      </c>
      <c r="N216" s="1" t="e">
        <f>M216/VLOOKUP(A216,'[15]geoMap (12)'!$A:$B,2,0)*VLOOKUP(A216,'[15]geoMap (12)'!$A:$C,3,0)</f>
        <v>#REF!</v>
      </c>
      <c r="O216" s="1" t="e">
        <f>N216/VLOOKUP(A216,'[16]geoMap (13)'!$A:$B,2,0)*VLOOKUP(A216,'[16]geoMap (13)'!$A:$C,3,0)</f>
        <v>#REF!</v>
      </c>
      <c r="P216" s="1" t="e">
        <f>O216/VLOOKUP(A216,'[17]geoMap (14)'!$A:$B,2,0)*VLOOKUP(A216,'[17]geoMap (14)'!$A:$C,3,0)</f>
        <v>#REF!</v>
      </c>
      <c r="Q216" s="1" t="e">
        <f>P216/VLOOKUP(A216,'[18]geoMap (15)'!$A:$B,2,0)*VLOOKUP(A216,'[18]geoMap (15)'!$A:$C,3,0)</f>
        <v>#REF!</v>
      </c>
      <c r="R216" s="1" t="e">
        <f>Q216/VLOOKUP(A216,'[19]geoMap (16)'!$A:$B,2,0)*VLOOKUP(A216,'[19]geoMap (16)'!$A:$C,3,0)</f>
        <v>#REF!</v>
      </c>
      <c r="S216" s="1" t="e">
        <f>R216/VLOOKUP(A216,'[20]geoMap (17)'!$A:$B,2,0)*VLOOKUP(A216,'[20]geoMap (17)'!$A:$C,3,0)</f>
        <v>#REF!</v>
      </c>
      <c r="T216" s="1" t="e">
        <f>S216/VLOOKUP(A216,'[21]geoMap (18)'!$A:$B,2,0)*VLOOKUP(A216,'[21]geoMap (18)'!$A:$C,3,0)</f>
        <v>#REF!</v>
      </c>
      <c r="U216" s="1" t="e">
        <f>T216/VLOOKUP(A216,'[22]geoMap (19)'!$A:$B,2,0)*VLOOKUP(A216,'[22]geoMap (19)'!$A:$C,3,0)</f>
        <v>#REF!</v>
      </c>
      <c r="V216" s="1" t="e">
        <f>U216/VLOOKUP(A216,'[23]geoMap (20)'!$A:$B,2,0)*VLOOKUP(A216,'[23]geoMap (20)'!$A:$C,3,0)</f>
        <v>#REF!</v>
      </c>
      <c r="W216" s="1" t="e">
        <f>V216/VLOOKUP(A216,'[24]geoMap (21)'!$A:$B,2,0)*VLOOKUP(A216,'[24]geoMap (21)'!$A:$C,3,0)</f>
        <v>#REF!</v>
      </c>
      <c r="X216" s="1" t="e">
        <f>W216/VLOOKUP(A216,'[25]geoMap (22)'!$A:$B,2,0)*VLOOKUP(A216,'[25]geoMap (22)'!$A:$C,3,0)</f>
        <v>#REF!</v>
      </c>
      <c r="Y216" s="1" t="e">
        <f>X216/VLOOKUP(A216,'[26]geoMap (23)'!$A:$B,2,0)*VLOOKUP(A216,'[26]geoMap (23)'!$A:$C,3,0)</f>
        <v>#REF!</v>
      </c>
      <c r="Z216" s="1" t="e">
        <f>Y216/VLOOKUP(A216,'[27]geoMap (24)'!$A:$B,2,0)*VLOOKUP(A216,'[27]geoMap (24)'!$A:$C,3,0)</f>
        <v>#REF!</v>
      </c>
      <c r="AA216" s="1" t="e">
        <f>Z216/VLOOKUP(A216,'[28]geoMap (25)'!$A:$B,2,0)*VLOOKUP(A216,'[28]geoMap (25)'!$A:$C,3,0)</f>
        <v>#REF!</v>
      </c>
      <c r="AB216" s="1" t="e">
        <f>AA216*VLOOKUP(A216,'[29]geoMap (26)'!$A:$B,2,0)*VLOOKUP(A216,'[29]geoMap (26)'!$A:$C,3,0)</f>
        <v>#REF!</v>
      </c>
      <c r="AC216" s="1" t="e">
        <f>AB216/VLOOKUP(A216,'[30]geoMap (27)'!$A:$B,2,0)*VLOOKUP(A216,'[30]geoMap (27)'!$A:$C,3,0)</f>
        <v>#REF!</v>
      </c>
      <c r="AD216" s="1" t="e">
        <f>AC216/VLOOKUP(A216,'[31]geoMap (28)'!$A:$B,2,0)*VLOOKUP(A216,'[31]geoMap (28)'!$A:$C,3,0)</f>
        <v>#REF!</v>
      </c>
      <c r="AE216" s="1" t="e">
        <f>AD216/VLOOKUP(A216,'[32]geoMap (29)'!$A:$B,2,0)*VLOOKUP(A216,'[32]geoMap (29)'!$A:$C,3,0)</f>
        <v>#REF!</v>
      </c>
      <c r="AF216" s="1" t="e">
        <f>AE216/VLOOKUP(A216,'[33]geoMap (30)'!$A:$B,2,0)*VLOOKUP(A216,'[33]geoMap (30)'!$A:$C,3,0)</f>
        <v>#REF!</v>
      </c>
      <c r="AG216" s="1" t="e">
        <f>AF216/VLOOKUP(A216,'[34]geoMap (31)'!$A:$B,2,0)*VLOOKUP(A216,'[34]geoMap (31)'!$A:$C,3,0)</f>
        <v>#REF!</v>
      </c>
      <c r="AH216" s="1" t="e">
        <f>AG216/VLOOKUP(A216,'[35]geoMap (32)'!$A:$B,2,0)*VLOOKUP(A216,'[35]geoMap (32)'!$A:$C,3,0)</f>
        <v>#REF!</v>
      </c>
      <c r="AI216" s="1" t="e">
        <f>AH216/VLOOKUP(A216,'[36]geoMap (33)'!$A:$B,2,0)*VLOOKUP(A216,'[36]geoMap (33)'!$A:$C,3,0)</f>
        <v>#REF!</v>
      </c>
      <c r="AJ216" s="1" t="e">
        <f>AI216/VLOOKUP(A216,'[37]geoMap (34)'!$A:$B,2,0)*VLOOKUP(A216,'[37]geoMap (34)'!$A:$C,3,0)</f>
        <v>#REF!</v>
      </c>
      <c r="AK216" s="1" t="e">
        <f>AJ216/VLOOKUP(A216,'[38]geoMap (35)'!$A:$B,2,0)*VLOOKUP(A216,'[38]geoMap (35)'!$A:$C,3,0)</f>
        <v>#REF!</v>
      </c>
      <c r="AL216" s="1" t="e">
        <f>AK216/VLOOKUP(A216,'[39]geoMap (36)'!$A:$B,2,0)*VLOOKUP(A216,'[39]geoMap (36)'!$A:$C,3,0)</f>
        <v>#REF!</v>
      </c>
      <c r="AM216" s="1" t="e">
        <f>AL216/VLOOKUP(A216,'[40]geoMap (37)'!$A:$B,2,0)*VLOOKUP(A216,'[40]geoMap (37)'!$A:$C,3,0)</f>
        <v>#REF!</v>
      </c>
      <c r="AN216" s="1" t="e">
        <f>AM216/VLOOKUP(A216,'[41]geoMap (38)'!$A:$B,2,0)*VLOOKUP(A216,'[41]geoMap (38)'!$A:$C,3,0)</f>
        <v>#REF!</v>
      </c>
      <c r="AO216" s="1" t="e">
        <f>AN216/VLOOKUP(A216,'[42]geoMap (39)'!$A:$B,2,0)*VLOOKUP(A216,'[42]geoMap (39)'!$A:$C,3,0)</f>
        <v>#REF!</v>
      </c>
      <c r="AP216" s="1" t="e">
        <f>AO216/VLOOKUP(A216,'[43]geoMap (40)'!$A:$B,2,0)*VLOOKUP(A216,'[43]geoMap (40)'!$A:$C,3,0)</f>
        <v>#REF!</v>
      </c>
      <c r="AQ216" s="1" t="e">
        <f>AP216/VLOOKUP(A216,'[44]geoMap (41)'!$A:$B,2,0)*VLOOKUP(A216,'[44]geoMap (41)'!$A:$C,3,0)</f>
        <v>#REF!</v>
      </c>
      <c r="AR216" s="1" t="e">
        <f>AQ216/VLOOKUP(A216,'[45]geoMap (42)'!$A:$B,2,0)*VLOOKUP(A216,'[45]geoMap (42)'!$A:$C,3,0)</f>
        <v>#REF!</v>
      </c>
      <c r="AS216" s="1" t="e">
        <f>AR216/VLOOKUP(A216,'[46]geoMap (43)'!$A:$B,2,0)*VLOOKUP(A216,'[46]geoMap (43)'!$A:$C,3,0)</f>
        <v>#REF!</v>
      </c>
      <c r="AT216" s="1" t="e">
        <f>AS216/VLOOKUP(A216,'[47]geoMap (44)'!$A:$B,2,0)*VLOOKUP(A216,'[47]geoMap (44)'!$A:$C,3,0)</f>
        <v>#REF!</v>
      </c>
      <c r="AU216" s="1" t="e">
        <f>AT216/VLOOKUP(A216,'[48]geoMap (45)'!$A:$B,2,0)*VLOOKUP(A216,'[48]geoMap (45)'!$A:$C,3,0)</f>
        <v>#REF!</v>
      </c>
      <c r="AV216" s="1" t="e">
        <f>AU216/VLOOKUP(A216,'[49]geoMap (46)'!$A:$B,2,0)*VLOOKUP(A216,'[49]geoMap (46)'!$A:$C,3,0)</f>
        <v>#REF!</v>
      </c>
      <c r="AW216" s="1" t="e">
        <f>AV216/VLOOKUP(A216,'[50]geoMap (47)'!$A:$B,2,0)*VLOOKUP(A216,'[50]geoMap (47)'!$A:$C,3,0)</f>
        <v>#REF!</v>
      </c>
      <c r="AX216" s="1" t="e">
        <f>AW216/VLOOKUP(A216,'[51]geoMap (48)'!$A:$B,2,0)*VLOOKUP(A216,'[51]geoMap (48)'!$A:$C,3,0)</f>
        <v>#REF!</v>
      </c>
      <c r="AY216" s="1" t="e">
        <f>AX216/VLOOKUP(A216,'[52]geoMap (49)'!$A:$B,2,0)*VLOOKUP(A216,'[52]geoMap (49)'!$A:$C,3,0)</f>
        <v>#REF!</v>
      </c>
      <c r="AZ216" s="1" t="e">
        <f>AY216/VLOOKUP(A216,'[53]geoMap (50)'!$A:$B,2,0)*VLOOKUP(A216,'[53]geoMap (50)'!$A:$C,3,0)</f>
        <v>#REF!</v>
      </c>
      <c r="BA216" s="1" t="e">
        <f>AZ216/VLOOKUP(A216,'[54]geoMap (51)'!$A:$B,2,0)*VLOOKUP(A216,'[54]geoMap (51)'!$A:$C,3,0)</f>
        <v>#REF!</v>
      </c>
      <c r="BB216" s="1" t="e">
        <f>BA216/VLOOKUP(A216,'[55]geoMap (52)'!$A:$B,2,0)*VLOOKUP(A216,'[55]geoMap (52)'!$A:$C,3,0)</f>
        <v>#REF!</v>
      </c>
      <c r="BC216" s="1" t="e">
        <f>BB216/VLOOKUP(A216,'[56]geoMap (53)'!$A:$B,2,0)*VLOOKUP(A216,'[56]geoMap (53)'!$A:$C,3,0)</f>
        <v>#REF!</v>
      </c>
      <c r="BD216" s="1" t="e">
        <f>BC216/VLOOKUP(A216,'[57]geoMap (54)'!$A:$B,2,0)*VLOOKUP(A216,'[57]geoMap (54)'!$A:$C,3,0)</f>
        <v>#REF!</v>
      </c>
      <c r="BE216" s="1" t="e">
        <f>BD216/VLOOKUP(A216,'[58]geoMap (55)'!$A:$B,2,0)*VLOOKUP(A216,'[58]geoMap (55)'!$A:$C,3,0)</f>
        <v>#REF!</v>
      </c>
      <c r="BF216" s="1" t="e">
        <f>BE216/VLOOKUP(A216,'[59]geoMap (56)'!$A:$B,2,0)*VLOOKUP(A216,'[59]geoMap (56)'!$A:$C,3,0)</f>
        <v>#REF!</v>
      </c>
      <c r="BG216" s="1" t="e">
        <f>BF216/VLOOKUP(A216,'[60]geoMap (57)'!$A:$B,2,0)*VLOOKUP(A216,'[60]geoMap (57)'!$A:$C,3,0)</f>
        <v>#REF!</v>
      </c>
      <c r="BH216" s="1" t="e">
        <f>BG216/VLOOKUP(A216,'[61]geoMap (58)'!$A:$B,2,0)*VLOOKUP(A216,'[61]geoMap (58)'!$A:$C,3,0)</f>
        <v>#REF!</v>
      </c>
      <c r="BI216" s="1" t="e">
        <f>BH216/VLOOKUP(A216,'[62]geoMap (59)'!$A:$B,2,0)*VLOOKUP(A216,'[62]geoMap (59)'!$A:$C,3,0)</f>
        <v>#REF!</v>
      </c>
      <c r="BJ216" s="1" t="e">
        <f>BI216/VLOOKUP(A216,'[63]geoMap (60)'!$A:$B,2,0)*VLOOKUP(A216,'[63]geoMap (60)'!$A:$C,3,0)</f>
        <v>#REF!</v>
      </c>
      <c r="BK216" s="1" t="e">
        <f>BJ216/VLOOKUP(A216,'[64]geoMap (61)'!$A:$B,2,0)*VLOOKUP(A216,'[64]geoMap (61)'!$A:$C,3,0)</f>
        <v>#REF!</v>
      </c>
      <c r="BL216" s="1" t="e">
        <f>BK216/VLOOKUP(A216,'[65]geoMap (62)'!$A:$B,2,0)*VLOOKUP(A216,'[65]geoMap (62)'!$A:$C,3,0)</f>
        <v>#REF!</v>
      </c>
      <c r="BM216" s="1" t="e">
        <f>BL216/VLOOKUP(A216,'[66]geoMap (63)'!$A:$B,2,0)*VLOOKUP(A216,'[66]geoMap (63)'!$A:$C,3,0)</f>
        <v>#REF!</v>
      </c>
      <c r="BN216" s="1" t="e">
        <f>BM216/VLOOKUP(A216,'[67]geoMap (64)'!$A:$B,2,0)*VLOOKUP(A216,'[67]geoMap (64)'!$A:$C,3,0)</f>
        <v>#REF!</v>
      </c>
      <c r="BO216" s="1" t="e">
        <f>BN216/VLOOKUP(A216,'[68]geoMap (65)'!$A:$B,2,0)*VLOOKUP(A216,'[68]geoMap (65)'!$A:$C,3,0)</f>
        <v>#REF!</v>
      </c>
      <c r="BP216" s="1" t="e">
        <f>BO216/VLOOKUP(A216,'[69]geoMap (66)'!$A:$B,2,0)*VLOOKUP(A216,'[69]geoMap (66)'!$A:$C,3,0)</f>
        <v>#REF!</v>
      </c>
    </row>
    <row r="217" spans="1:68" hidden="1" x14ac:dyDescent="0.2">
      <c r="A217" s="1" t="s">
        <v>219</v>
      </c>
      <c r="B217" s="1" t="e">
        <f>VLOOKUP(A217,[3]geoMap!$A:$B,2,0)*Notes!$C$6</f>
        <v>#REF!</v>
      </c>
      <c r="C217" s="1" t="e">
        <f>B217/VLOOKUP(A217,'[4]geoMap (1)'!$A:$B,2,0)*VLOOKUP(A217,'[4]geoMap (1)'!$A:$C,3,0)</f>
        <v>#REF!</v>
      </c>
      <c r="D217" s="1" t="e">
        <f>C217/VLOOKUP(A217,'[5]geoMap (2)'!$A:$B,2,0)*VLOOKUP(A217,'[5]geoMap (2)'!$A:$C,3,0)</f>
        <v>#REF!</v>
      </c>
      <c r="E217" s="1" t="e">
        <f>D217/VLOOKUP(A217,'[6]geoMap (3)'!$A:$B,2,0)*VLOOKUP(A217,'[6]geoMap (3)'!$A:$C,3,0)</f>
        <v>#REF!</v>
      </c>
      <c r="F217" s="1" t="e">
        <f>E217/VLOOKUP(A217,'[7]geoMap (4)'!$A:$B,2,0)*VLOOKUP(A217,'[7]geoMap (4)'!$A:$C,3,0)</f>
        <v>#REF!</v>
      </c>
      <c r="G217" s="1" t="e">
        <f>F217/VLOOKUP(A217,'[8]geoMap (5)'!$A:$B,2,0)*VLOOKUP(A217,'[8]geoMap (5)'!$A:$C,3,0)</f>
        <v>#REF!</v>
      </c>
      <c r="H217" s="1" t="e">
        <f>G217/VLOOKUP(A217,'[9]geoMap (6)'!$A:$B,2,0)*VLOOKUP(A217,'[9]geoMap (6)'!$A:$C,3,0)</f>
        <v>#REF!</v>
      </c>
      <c r="I217" s="1" t="e">
        <f>H217/VLOOKUP(A217,'[10]geoMap (7)'!$A:$B,2,0)*VLOOKUP(A217,'[10]geoMap (7)'!$A:$C,3,0)</f>
        <v>#REF!</v>
      </c>
      <c r="J217" s="1" t="e">
        <f>I217/VLOOKUP(A217,'[11]geoMap (8)'!$A:$B,2,0)*VLOOKUP(A217,'[11]geoMap (8)'!$A:$C,3,0)</f>
        <v>#REF!</v>
      </c>
      <c r="K217" s="1" t="e">
        <f>J217/VLOOKUP(A217,'[12]geoMap (9)'!$A:$B,2,0)*VLOOKUP(A217,'[12]geoMap (9)'!$A:$C,3,0)</f>
        <v>#REF!</v>
      </c>
      <c r="L217" s="1" t="e">
        <f>K217/VLOOKUP(A217,'[13]geoMap (10)'!$A:$B,2,0)*VLOOKUP(A217,'[13]geoMap (10)'!$A:$C,3,0)</f>
        <v>#REF!</v>
      </c>
      <c r="M217" s="1" t="e">
        <f>L217/VLOOKUP(A217,'[14]geoMap (11)'!$A:$B,2,0)*VLOOKUP(A217,'[14]geoMap (11)'!$A:$C,3,0)</f>
        <v>#REF!</v>
      </c>
      <c r="N217" s="1" t="e">
        <f>M217/VLOOKUP(A217,'[15]geoMap (12)'!$A:$B,2,0)*VLOOKUP(A217,'[15]geoMap (12)'!$A:$C,3,0)</f>
        <v>#REF!</v>
      </c>
      <c r="O217" s="1" t="e">
        <f>N217/VLOOKUP(A217,'[16]geoMap (13)'!$A:$B,2,0)*VLOOKUP(A217,'[16]geoMap (13)'!$A:$C,3,0)</f>
        <v>#REF!</v>
      </c>
      <c r="P217" s="1" t="e">
        <f>O217/VLOOKUP(A217,'[17]geoMap (14)'!$A:$B,2,0)*VLOOKUP(A217,'[17]geoMap (14)'!$A:$C,3,0)</f>
        <v>#REF!</v>
      </c>
      <c r="Q217" s="1" t="e">
        <f>P217/VLOOKUP(A217,'[18]geoMap (15)'!$A:$B,2,0)*VLOOKUP(A217,'[18]geoMap (15)'!$A:$C,3,0)</f>
        <v>#REF!</v>
      </c>
      <c r="R217" s="1" t="e">
        <f>Q217/VLOOKUP(A217,'[19]geoMap (16)'!$A:$B,2,0)*VLOOKUP(A217,'[19]geoMap (16)'!$A:$C,3,0)</f>
        <v>#REF!</v>
      </c>
      <c r="S217" s="1" t="e">
        <f>R217/VLOOKUP(A217,'[20]geoMap (17)'!$A:$B,2,0)*VLOOKUP(A217,'[20]geoMap (17)'!$A:$C,3,0)</f>
        <v>#REF!</v>
      </c>
      <c r="T217" s="1" t="e">
        <f>S217/VLOOKUP(A217,'[21]geoMap (18)'!$A:$B,2,0)*VLOOKUP(A217,'[21]geoMap (18)'!$A:$C,3,0)</f>
        <v>#REF!</v>
      </c>
      <c r="U217" s="1" t="e">
        <f>T217/VLOOKUP(A217,'[22]geoMap (19)'!$A:$B,2,0)*VLOOKUP(A217,'[22]geoMap (19)'!$A:$C,3,0)</f>
        <v>#REF!</v>
      </c>
      <c r="V217" s="1" t="e">
        <f>U217/VLOOKUP(A217,'[23]geoMap (20)'!$A:$B,2,0)*VLOOKUP(A217,'[23]geoMap (20)'!$A:$C,3,0)</f>
        <v>#REF!</v>
      </c>
      <c r="W217" s="1" t="e">
        <f>V217/VLOOKUP(A217,'[24]geoMap (21)'!$A:$B,2,0)*VLOOKUP(A217,'[24]geoMap (21)'!$A:$C,3,0)</f>
        <v>#REF!</v>
      </c>
      <c r="X217" s="1" t="e">
        <f>W217/VLOOKUP(A217,'[25]geoMap (22)'!$A:$B,2,0)*VLOOKUP(A217,'[25]geoMap (22)'!$A:$C,3,0)</f>
        <v>#REF!</v>
      </c>
      <c r="Y217" s="1" t="e">
        <f>X217/VLOOKUP(A217,'[26]geoMap (23)'!$A:$B,2,0)*VLOOKUP(A217,'[26]geoMap (23)'!$A:$C,3,0)</f>
        <v>#REF!</v>
      </c>
      <c r="Z217" s="1" t="e">
        <f>Y217/VLOOKUP(A217,'[27]geoMap (24)'!$A:$B,2,0)*VLOOKUP(A217,'[27]geoMap (24)'!$A:$C,3,0)</f>
        <v>#REF!</v>
      </c>
      <c r="AA217" s="1" t="e">
        <f>Z217/VLOOKUP(A217,'[28]geoMap (25)'!$A:$B,2,0)*VLOOKUP(A217,'[28]geoMap (25)'!$A:$C,3,0)</f>
        <v>#REF!</v>
      </c>
      <c r="AB217" s="1" t="e">
        <f>AA217*VLOOKUP(A217,'[29]geoMap (26)'!$A:$B,2,0)*VLOOKUP(A217,'[29]geoMap (26)'!$A:$C,3,0)</f>
        <v>#REF!</v>
      </c>
      <c r="AC217" s="1" t="e">
        <f>AB217/VLOOKUP(A217,'[30]geoMap (27)'!$A:$B,2,0)*VLOOKUP(A217,'[30]geoMap (27)'!$A:$C,3,0)</f>
        <v>#REF!</v>
      </c>
      <c r="AD217" s="1" t="e">
        <f>AC217/VLOOKUP(A217,'[31]geoMap (28)'!$A:$B,2,0)*VLOOKUP(A217,'[31]geoMap (28)'!$A:$C,3,0)</f>
        <v>#REF!</v>
      </c>
      <c r="AE217" s="1" t="e">
        <f>AD217/VLOOKUP(A217,'[32]geoMap (29)'!$A:$B,2,0)*VLOOKUP(A217,'[32]geoMap (29)'!$A:$C,3,0)</f>
        <v>#REF!</v>
      </c>
      <c r="AF217" s="1" t="e">
        <f>AE217/VLOOKUP(A217,'[33]geoMap (30)'!$A:$B,2,0)*VLOOKUP(A217,'[33]geoMap (30)'!$A:$C,3,0)</f>
        <v>#REF!</v>
      </c>
      <c r="AG217" s="1" t="e">
        <f>AF217/VLOOKUP(A217,'[34]geoMap (31)'!$A:$B,2,0)*VLOOKUP(A217,'[34]geoMap (31)'!$A:$C,3,0)</f>
        <v>#REF!</v>
      </c>
      <c r="AH217" s="1" t="e">
        <f>AG217/VLOOKUP(A217,'[35]geoMap (32)'!$A:$B,2,0)*VLOOKUP(A217,'[35]geoMap (32)'!$A:$C,3,0)</f>
        <v>#REF!</v>
      </c>
      <c r="AI217" s="1" t="e">
        <f>AH217/VLOOKUP(A217,'[36]geoMap (33)'!$A:$B,2,0)*VLOOKUP(A217,'[36]geoMap (33)'!$A:$C,3,0)</f>
        <v>#REF!</v>
      </c>
      <c r="AJ217" s="1" t="e">
        <f>AI217/VLOOKUP(A217,'[37]geoMap (34)'!$A:$B,2,0)*VLOOKUP(A217,'[37]geoMap (34)'!$A:$C,3,0)</f>
        <v>#REF!</v>
      </c>
      <c r="AK217" s="1" t="e">
        <f>AJ217/VLOOKUP(A217,'[38]geoMap (35)'!$A:$B,2,0)*VLOOKUP(A217,'[38]geoMap (35)'!$A:$C,3,0)</f>
        <v>#REF!</v>
      </c>
      <c r="AL217" s="1" t="e">
        <f>AK217/VLOOKUP(A217,'[39]geoMap (36)'!$A:$B,2,0)*VLOOKUP(A217,'[39]geoMap (36)'!$A:$C,3,0)</f>
        <v>#REF!</v>
      </c>
      <c r="AM217" s="1" t="e">
        <f>AL217/VLOOKUP(A217,'[40]geoMap (37)'!$A:$B,2,0)*VLOOKUP(A217,'[40]geoMap (37)'!$A:$C,3,0)</f>
        <v>#REF!</v>
      </c>
      <c r="AN217" s="1" t="e">
        <f>AM217/VLOOKUP(A217,'[41]geoMap (38)'!$A:$B,2,0)*VLOOKUP(A217,'[41]geoMap (38)'!$A:$C,3,0)</f>
        <v>#REF!</v>
      </c>
      <c r="AO217" s="1" t="e">
        <f>AN217/VLOOKUP(A217,'[42]geoMap (39)'!$A:$B,2,0)*VLOOKUP(A217,'[42]geoMap (39)'!$A:$C,3,0)</f>
        <v>#REF!</v>
      </c>
      <c r="AP217" s="1" t="e">
        <f>AO217/VLOOKUP(A217,'[43]geoMap (40)'!$A:$B,2,0)*VLOOKUP(A217,'[43]geoMap (40)'!$A:$C,3,0)</f>
        <v>#REF!</v>
      </c>
      <c r="AQ217" s="1" t="e">
        <f>AP217/VLOOKUP(A217,'[44]geoMap (41)'!$A:$B,2,0)*VLOOKUP(A217,'[44]geoMap (41)'!$A:$C,3,0)</f>
        <v>#REF!</v>
      </c>
      <c r="AR217" s="1" t="e">
        <f>AQ217/VLOOKUP(A217,'[45]geoMap (42)'!$A:$B,2,0)*VLOOKUP(A217,'[45]geoMap (42)'!$A:$C,3,0)</f>
        <v>#REF!</v>
      </c>
      <c r="AS217" s="1" t="e">
        <f>AR217/VLOOKUP(A217,'[46]geoMap (43)'!$A:$B,2,0)*VLOOKUP(A217,'[46]geoMap (43)'!$A:$C,3,0)</f>
        <v>#REF!</v>
      </c>
      <c r="AT217" s="1" t="e">
        <f>AS217/VLOOKUP(A217,'[47]geoMap (44)'!$A:$B,2,0)*VLOOKUP(A217,'[47]geoMap (44)'!$A:$C,3,0)</f>
        <v>#REF!</v>
      </c>
      <c r="AU217" s="1" t="e">
        <f>AT217/VLOOKUP(A217,'[48]geoMap (45)'!$A:$B,2,0)*VLOOKUP(A217,'[48]geoMap (45)'!$A:$C,3,0)</f>
        <v>#REF!</v>
      </c>
      <c r="AV217" s="1" t="e">
        <f>AU217/VLOOKUP(A217,'[49]geoMap (46)'!$A:$B,2,0)*VLOOKUP(A217,'[49]geoMap (46)'!$A:$C,3,0)</f>
        <v>#REF!</v>
      </c>
      <c r="AW217" s="1" t="e">
        <f>AV217/VLOOKUP(A217,'[50]geoMap (47)'!$A:$B,2,0)*VLOOKUP(A217,'[50]geoMap (47)'!$A:$C,3,0)</f>
        <v>#REF!</v>
      </c>
      <c r="AX217" s="1" t="e">
        <f>AW217/VLOOKUP(A217,'[51]geoMap (48)'!$A:$B,2,0)*VLOOKUP(A217,'[51]geoMap (48)'!$A:$C,3,0)</f>
        <v>#REF!</v>
      </c>
      <c r="AY217" s="1" t="e">
        <f>AX217/VLOOKUP(A217,'[52]geoMap (49)'!$A:$B,2,0)*VLOOKUP(A217,'[52]geoMap (49)'!$A:$C,3,0)</f>
        <v>#REF!</v>
      </c>
      <c r="AZ217" s="1" t="e">
        <f>AY217/VLOOKUP(A217,'[53]geoMap (50)'!$A:$B,2,0)*VLOOKUP(A217,'[53]geoMap (50)'!$A:$C,3,0)</f>
        <v>#REF!</v>
      </c>
      <c r="BA217" s="1" t="e">
        <f>AZ217/VLOOKUP(A217,'[54]geoMap (51)'!$A:$B,2,0)*VLOOKUP(A217,'[54]geoMap (51)'!$A:$C,3,0)</f>
        <v>#REF!</v>
      </c>
      <c r="BB217" s="1" t="e">
        <f>BA217/VLOOKUP(A217,'[55]geoMap (52)'!$A:$B,2,0)*VLOOKUP(A217,'[55]geoMap (52)'!$A:$C,3,0)</f>
        <v>#REF!</v>
      </c>
      <c r="BC217" s="1" t="e">
        <f>BB217/VLOOKUP(A217,'[56]geoMap (53)'!$A:$B,2,0)*VLOOKUP(A217,'[56]geoMap (53)'!$A:$C,3,0)</f>
        <v>#REF!</v>
      </c>
      <c r="BD217" s="1" t="e">
        <f>BC217/VLOOKUP(A217,'[57]geoMap (54)'!$A:$B,2,0)*VLOOKUP(A217,'[57]geoMap (54)'!$A:$C,3,0)</f>
        <v>#REF!</v>
      </c>
      <c r="BE217" s="1" t="e">
        <f>BD217/VLOOKUP(A217,'[58]geoMap (55)'!$A:$B,2,0)*VLOOKUP(A217,'[58]geoMap (55)'!$A:$C,3,0)</f>
        <v>#REF!</v>
      </c>
      <c r="BF217" s="1" t="e">
        <f>BE217/VLOOKUP(A217,'[59]geoMap (56)'!$A:$B,2,0)*VLOOKUP(A217,'[59]geoMap (56)'!$A:$C,3,0)</f>
        <v>#REF!</v>
      </c>
      <c r="BG217" s="1" t="e">
        <f>BF217/VLOOKUP(A217,'[60]geoMap (57)'!$A:$B,2,0)*VLOOKUP(A217,'[60]geoMap (57)'!$A:$C,3,0)</f>
        <v>#REF!</v>
      </c>
      <c r="BH217" s="1" t="e">
        <f>BG217/VLOOKUP(A217,'[61]geoMap (58)'!$A:$B,2,0)*VLOOKUP(A217,'[61]geoMap (58)'!$A:$C,3,0)</f>
        <v>#REF!</v>
      </c>
      <c r="BI217" s="1" t="e">
        <f>BH217/VLOOKUP(A217,'[62]geoMap (59)'!$A:$B,2,0)*VLOOKUP(A217,'[62]geoMap (59)'!$A:$C,3,0)</f>
        <v>#REF!</v>
      </c>
      <c r="BJ217" s="1" t="e">
        <f>BI217/VLOOKUP(A217,'[63]geoMap (60)'!$A:$B,2,0)*VLOOKUP(A217,'[63]geoMap (60)'!$A:$C,3,0)</f>
        <v>#REF!</v>
      </c>
      <c r="BK217" s="1" t="e">
        <f>BJ217/VLOOKUP(A217,'[64]geoMap (61)'!$A:$B,2,0)*VLOOKUP(A217,'[64]geoMap (61)'!$A:$C,3,0)</f>
        <v>#REF!</v>
      </c>
      <c r="BL217" s="1" t="e">
        <f>BK217/VLOOKUP(A217,'[65]geoMap (62)'!$A:$B,2,0)*VLOOKUP(A217,'[65]geoMap (62)'!$A:$C,3,0)</f>
        <v>#REF!</v>
      </c>
      <c r="BM217" s="1" t="e">
        <f>BL217/VLOOKUP(A217,'[66]geoMap (63)'!$A:$B,2,0)*VLOOKUP(A217,'[66]geoMap (63)'!$A:$C,3,0)</f>
        <v>#REF!</v>
      </c>
      <c r="BN217" s="1" t="e">
        <f>BM217/VLOOKUP(A217,'[67]geoMap (64)'!$A:$B,2,0)*VLOOKUP(A217,'[67]geoMap (64)'!$A:$C,3,0)</f>
        <v>#REF!</v>
      </c>
      <c r="BO217" s="1" t="e">
        <f>BN217/VLOOKUP(A217,'[68]geoMap (65)'!$A:$B,2,0)*VLOOKUP(A217,'[68]geoMap (65)'!$A:$C,3,0)</f>
        <v>#REF!</v>
      </c>
      <c r="BP217" s="1" t="e">
        <f>BO217/VLOOKUP(A217,'[69]geoMap (66)'!$A:$B,2,0)*VLOOKUP(A217,'[69]geoMap (66)'!$A:$C,3,0)</f>
        <v>#REF!</v>
      </c>
    </row>
    <row r="218" spans="1:68" hidden="1" x14ac:dyDescent="0.2">
      <c r="A218" s="1" t="s">
        <v>220</v>
      </c>
      <c r="B218" s="1" t="e">
        <f>VLOOKUP(A218,[3]geoMap!$A:$B,2,0)*Notes!$C$6</f>
        <v>#REF!</v>
      </c>
      <c r="C218" s="1" t="e">
        <f>B218/VLOOKUP(A218,'[4]geoMap (1)'!$A:$B,2,0)*VLOOKUP(A218,'[4]geoMap (1)'!$A:$C,3,0)</f>
        <v>#REF!</v>
      </c>
      <c r="D218" s="1" t="e">
        <f>C218/VLOOKUP(A218,'[5]geoMap (2)'!$A:$B,2,0)*VLOOKUP(A218,'[5]geoMap (2)'!$A:$C,3,0)</f>
        <v>#REF!</v>
      </c>
      <c r="E218" s="1" t="e">
        <f>D218/VLOOKUP(A218,'[6]geoMap (3)'!$A:$B,2,0)*VLOOKUP(A218,'[6]geoMap (3)'!$A:$C,3,0)</f>
        <v>#REF!</v>
      </c>
      <c r="F218" s="1" t="e">
        <f>E218/VLOOKUP(A218,'[7]geoMap (4)'!$A:$B,2,0)*VLOOKUP(A218,'[7]geoMap (4)'!$A:$C,3,0)</f>
        <v>#REF!</v>
      </c>
      <c r="G218" s="1" t="e">
        <f>F218/VLOOKUP(A218,'[8]geoMap (5)'!$A:$B,2,0)*VLOOKUP(A218,'[8]geoMap (5)'!$A:$C,3,0)</f>
        <v>#REF!</v>
      </c>
      <c r="H218" s="1" t="e">
        <f>G218/VLOOKUP(A218,'[9]geoMap (6)'!$A:$B,2,0)*VLOOKUP(A218,'[9]geoMap (6)'!$A:$C,3,0)</f>
        <v>#REF!</v>
      </c>
      <c r="I218" s="1" t="e">
        <f>H218/VLOOKUP(A218,'[10]geoMap (7)'!$A:$B,2,0)*VLOOKUP(A218,'[10]geoMap (7)'!$A:$C,3,0)</f>
        <v>#REF!</v>
      </c>
      <c r="J218" s="1" t="e">
        <f>I218/VLOOKUP(A218,'[11]geoMap (8)'!$A:$B,2,0)*VLOOKUP(A218,'[11]geoMap (8)'!$A:$C,3,0)</f>
        <v>#REF!</v>
      </c>
      <c r="K218" s="1" t="e">
        <f>J218/VLOOKUP(A218,'[12]geoMap (9)'!$A:$B,2,0)*VLOOKUP(A218,'[12]geoMap (9)'!$A:$C,3,0)</f>
        <v>#REF!</v>
      </c>
      <c r="L218" s="1" t="e">
        <f>K218/VLOOKUP(A218,'[13]geoMap (10)'!$A:$B,2,0)*VLOOKUP(A218,'[13]geoMap (10)'!$A:$C,3,0)</f>
        <v>#REF!</v>
      </c>
      <c r="M218" s="1" t="e">
        <f>L218/VLOOKUP(A218,'[14]geoMap (11)'!$A:$B,2,0)*VLOOKUP(A218,'[14]geoMap (11)'!$A:$C,3,0)</f>
        <v>#REF!</v>
      </c>
      <c r="N218" s="1" t="e">
        <f>M218/VLOOKUP(A218,'[15]geoMap (12)'!$A:$B,2,0)*VLOOKUP(A218,'[15]geoMap (12)'!$A:$C,3,0)</f>
        <v>#REF!</v>
      </c>
      <c r="O218" s="1" t="e">
        <f>N218/VLOOKUP(A218,'[16]geoMap (13)'!$A:$B,2,0)*VLOOKUP(A218,'[16]geoMap (13)'!$A:$C,3,0)</f>
        <v>#REF!</v>
      </c>
      <c r="P218" s="1" t="e">
        <f>O218/VLOOKUP(A218,'[17]geoMap (14)'!$A:$B,2,0)*VLOOKUP(A218,'[17]geoMap (14)'!$A:$C,3,0)</f>
        <v>#REF!</v>
      </c>
      <c r="Q218" s="1" t="e">
        <f>P218/VLOOKUP(A218,'[18]geoMap (15)'!$A:$B,2,0)*VLOOKUP(A218,'[18]geoMap (15)'!$A:$C,3,0)</f>
        <v>#REF!</v>
      </c>
      <c r="R218" s="1" t="e">
        <f>Q218/VLOOKUP(A218,'[19]geoMap (16)'!$A:$B,2,0)*VLOOKUP(A218,'[19]geoMap (16)'!$A:$C,3,0)</f>
        <v>#REF!</v>
      </c>
      <c r="S218" s="1" t="e">
        <f>R218/VLOOKUP(A218,'[20]geoMap (17)'!$A:$B,2,0)*VLOOKUP(A218,'[20]geoMap (17)'!$A:$C,3,0)</f>
        <v>#REF!</v>
      </c>
      <c r="T218" s="1" t="e">
        <f>S218/VLOOKUP(A218,'[21]geoMap (18)'!$A:$B,2,0)*VLOOKUP(A218,'[21]geoMap (18)'!$A:$C,3,0)</f>
        <v>#REF!</v>
      </c>
      <c r="U218" s="1" t="e">
        <f>T218/VLOOKUP(A218,'[22]geoMap (19)'!$A:$B,2,0)*VLOOKUP(A218,'[22]geoMap (19)'!$A:$C,3,0)</f>
        <v>#REF!</v>
      </c>
      <c r="V218" s="1" t="e">
        <f>U218/VLOOKUP(A218,'[23]geoMap (20)'!$A:$B,2,0)*VLOOKUP(A218,'[23]geoMap (20)'!$A:$C,3,0)</f>
        <v>#REF!</v>
      </c>
      <c r="W218" s="1" t="e">
        <f>V218/VLOOKUP(A218,'[24]geoMap (21)'!$A:$B,2,0)*VLOOKUP(A218,'[24]geoMap (21)'!$A:$C,3,0)</f>
        <v>#REF!</v>
      </c>
      <c r="X218" s="1" t="e">
        <f>W218/VLOOKUP(A218,'[25]geoMap (22)'!$A:$B,2,0)*VLOOKUP(A218,'[25]geoMap (22)'!$A:$C,3,0)</f>
        <v>#REF!</v>
      </c>
      <c r="Y218" s="1" t="e">
        <f>X218/VLOOKUP(A218,'[26]geoMap (23)'!$A:$B,2,0)*VLOOKUP(A218,'[26]geoMap (23)'!$A:$C,3,0)</f>
        <v>#REF!</v>
      </c>
      <c r="Z218" s="1" t="e">
        <f>Y218/VLOOKUP(A218,'[27]geoMap (24)'!$A:$B,2,0)*VLOOKUP(A218,'[27]geoMap (24)'!$A:$C,3,0)</f>
        <v>#REF!</v>
      </c>
      <c r="AA218" s="1" t="e">
        <f>Z218/VLOOKUP(A218,'[28]geoMap (25)'!$A:$B,2,0)*VLOOKUP(A218,'[28]geoMap (25)'!$A:$C,3,0)</f>
        <v>#REF!</v>
      </c>
      <c r="AB218" s="1" t="e">
        <f>AA218*VLOOKUP(A218,'[29]geoMap (26)'!$A:$B,2,0)*VLOOKUP(A218,'[29]geoMap (26)'!$A:$C,3,0)</f>
        <v>#REF!</v>
      </c>
      <c r="AC218" s="1" t="e">
        <f>AB218/VLOOKUP(A218,'[30]geoMap (27)'!$A:$B,2,0)*VLOOKUP(A218,'[30]geoMap (27)'!$A:$C,3,0)</f>
        <v>#REF!</v>
      </c>
      <c r="AD218" s="1" t="e">
        <f>AC218/VLOOKUP(A218,'[31]geoMap (28)'!$A:$B,2,0)*VLOOKUP(A218,'[31]geoMap (28)'!$A:$C,3,0)</f>
        <v>#REF!</v>
      </c>
      <c r="AE218" s="1" t="e">
        <f>AD218/VLOOKUP(A218,'[32]geoMap (29)'!$A:$B,2,0)*VLOOKUP(A218,'[32]geoMap (29)'!$A:$C,3,0)</f>
        <v>#REF!</v>
      </c>
      <c r="AF218" s="1" t="e">
        <f>AE218/VLOOKUP(A218,'[33]geoMap (30)'!$A:$B,2,0)*VLOOKUP(A218,'[33]geoMap (30)'!$A:$C,3,0)</f>
        <v>#REF!</v>
      </c>
      <c r="AG218" s="1" t="e">
        <f>AF218/VLOOKUP(A218,'[34]geoMap (31)'!$A:$B,2,0)*VLOOKUP(A218,'[34]geoMap (31)'!$A:$C,3,0)</f>
        <v>#REF!</v>
      </c>
      <c r="AH218" s="1" t="e">
        <f>AG218/VLOOKUP(A218,'[35]geoMap (32)'!$A:$B,2,0)*VLOOKUP(A218,'[35]geoMap (32)'!$A:$C,3,0)</f>
        <v>#REF!</v>
      </c>
      <c r="AI218" s="1" t="e">
        <f>AH218/VLOOKUP(A218,'[36]geoMap (33)'!$A:$B,2,0)*VLOOKUP(A218,'[36]geoMap (33)'!$A:$C,3,0)</f>
        <v>#REF!</v>
      </c>
      <c r="AJ218" s="1" t="e">
        <f>AI218/VLOOKUP(A218,'[37]geoMap (34)'!$A:$B,2,0)*VLOOKUP(A218,'[37]geoMap (34)'!$A:$C,3,0)</f>
        <v>#REF!</v>
      </c>
      <c r="AK218" s="1" t="e">
        <f>AJ218/VLOOKUP(A218,'[38]geoMap (35)'!$A:$B,2,0)*VLOOKUP(A218,'[38]geoMap (35)'!$A:$C,3,0)</f>
        <v>#REF!</v>
      </c>
      <c r="AL218" s="1" t="e">
        <f>AK218/VLOOKUP(A218,'[39]geoMap (36)'!$A:$B,2,0)*VLOOKUP(A218,'[39]geoMap (36)'!$A:$C,3,0)</f>
        <v>#REF!</v>
      </c>
      <c r="AM218" s="1" t="e">
        <f>AL218/VLOOKUP(A218,'[40]geoMap (37)'!$A:$B,2,0)*VLOOKUP(A218,'[40]geoMap (37)'!$A:$C,3,0)</f>
        <v>#REF!</v>
      </c>
      <c r="AN218" s="1" t="e">
        <f>AM218/VLOOKUP(A218,'[41]geoMap (38)'!$A:$B,2,0)*VLOOKUP(A218,'[41]geoMap (38)'!$A:$C,3,0)</f>
        <v>#REF!</v>
      </c>
      <c r="AO218" s="1" t="e">
        <f>AN218/VLOOKUP(A218,'[42]geoMap (39)'!$A:$B,2,0)*VLOOKUP(A218,'[42]geoMap (39)'!$A:$C,3,0)</f>
        <v>#REF!</v>
      </c>
      <c r="AP218" s="1" t="e">
        <f>AO218/VLOOKUP(A218,'[43]geoMap (40)'!$A:$B,2,0)*VLOOKUP(A218,'[43]geoMap (40)'!$A:$C,3,0)</f>
        <v>#REF!</v>
      </c>
      <c r="AQ218" s="1" t="e">
        <f>AP218/VLOOKUP(A218,'[44]geoMap (41)'!$A:$B,2,0)*VLOOKUP(A218,'[44]geoMap (41)'!$A:$C,3,0)</f>
        <v>#REF!</v>
      </c>
      <c r="AR218" s="1" t="e">
        <f>AQ218/VLOOKUP(A218,'[45]geoMap (42)'!$A:$B,2,0)*VLOOKUP(A218,'[45]geoMap (42)'!$A:$C,3,0)</f>
        <v>#REF!</v>
      </c>
      <c r="AS218" s="1" t="e">
        <f>AR218/VLOOKUP(A218,'[46]geoMap (43)'!$A:$B,2,0)*VLOOKUP(A218,'[46]geoMap (43)'!$A:$C,3,0)</f>
        <v>#REF!</v>
      </c>
      <c r="AT218" s="1" t="e">
        <f>AS218/VLOOKUP(A218,'[47]geoMap (44)'!$A:$B,2,0)*VLOOKUP(A218,'[47]geoMap (44)'!$A:$C,3,0)</f>
        <v>#REF!</v>
      </c>
      <c r="AU218" s="1" t="e">
        <f>AT218/VLOOKUP(A218,'[48]geoMap (45)'!$A:$B,2,0)*VLOOKUP(A218,'[48]geoMap (45)'!$A:$C,3,0)</f>
        <v>#REF!</v>
      </c>
      <c r="AV218" s="1" t="e">
        <f>AU218/VLOOKUP(A218,'[49]geoMap (46)'!$A:$B,2,0)*VLOOKUP(A218,'[49]geoMap (46)'!$A:$C,3,0)</f>
        <v>#REF!</v>
      </c>
      <c r="AW218" s="1" t="e">
        <f>AV218/VLOOKUP(A218,'[50]geoMap (47)'!$A:$B,2,0)*VLOOKUP(A218,'[50]geoMap (47)'!$A:$C,3,0)</f>
        <v>#REF!</v>
      </c>
      <c r="AX218" s="1" t="e">
        <f>AW218/VLOOKUP(A218,'[51]geoMap (48)'!$A:$B,2,0)*VLOOKUP(A218,'[51]geoMap (48)'!$A:$C,3,0)</f>
        <v>#REF!</v>
      </c>
      <c r="AY218" s="1" t="e">
        <f>AX218/VLOOKUP(A218,'[52]geoMap (49)'!$A:$B,2,0)*VLOOKUP(A218,'[52]geoMap (49)'!$A:$C,3,0)</f>
        <v>#REF!</v>
      </c>
      <c r="AZ218" s="1" t="e">
        <f>AY218/VLOOKUP(A218,'[53]geoMap (50)'!$A:$B,2,0)*VLOOKUP(A218,'[53]geoMap (50)'!$A:$C,3,0)</f>
        <v>#REF!</v>
      </c>
      <c r="BA218" s="1" t="e">
        <f>AZ218/VLOOKUP(A218,'[54]geoMap (51)'!$A:$B,2,0)*VLOOKUP(A218,'[54]geoMap (51)'!$A:$C,3,0)</f>
        <v>#REF!</v>
      </c>
      <c r="BB218" s="1" t="e">
        <f>BA218/VLOOKUP(A218,'[55]geoMap (52)'!$A:$B,2,0)*VLOOKUP(A218,'[55]geoMap (52)'!$A:$C,3,0)</f>
        <v>#REF!</v>
      </c>
      <c r="BC218" s="1" t="e">
        <f>BB218/VLOOKUP(A218,'[56]geoMap (53)'!$A:$B,2,0)*VLOOKUP(A218,'[56]geoMap (53)'!$A:$C,3,0)</f>
        <v>#REF!</v>
      </c>
      <c r="BD218" s="1" t="e">
        <f>BC218/VLOOKUP(A218,'[57]geoMap (54)'!$A:$B,2,0)*VLOOKUP(A218,'[57]geoMap (54)'!$A:$C,3,0)</f>
        <v>#REF!</v>
      </c>
      <c r="BE218" s="1" t="e">
        <f>BD218/VLOOKUP(A218,'[58]geoMap (55)'!$A:$B,2,0)*VLOOKUP(A218,'[58]geoMap (55)'!$A:$C,3,0)</f>
        <v>#REF!</v>
      </c>
      <c r="BF218" s="1" t="e">
        <f>BE218/VLOOKUP(A218,'[59]geoMap (56)'!$A:$B,2,0)*VLOOKUP(A218,'[59]geoMap (56)'!$A:$C,3,0)</f>
        <v>#REF!</v>
      </c>
      <c r="BG218" s="1" t="e">
        <f>BF218/VLOOKUP(A218,'[60]geoMap (57)'!$A:$B,2,0)*VLOOKUP(A218,'[60]geoMap (57)'!$A:$C,3,0)</f>
        <v>#REF!</v>
      </c>
      <c r="BH218" s="1" t="e">
        <f>BG218/VLOOKUP(A218,'[61]geoMap (58)'!$A:$B,2,0)*VLOOKUP(A218,'[61]geoMap (58)'!$A:$C,3,0)</f>
        <v>#REF!</v>
      </c>
      <c r="BI218" s="1" t="e">
        <f>BH218/VLOOKUP(A218,'[62]geoMap (59)'!$A:$B,2,0)*VLOOKUP(A218,'[62]geoMap (59)'!$A:$C,3,0)</f>
        <v>#REF!</v>
      </c>
      <c r="BJ218" s="1" t="e">
        <f>BI218/VLOOKUP(A218,'[63]geoMap (60)'!$A:$B,2,0)*VLOOKUP(A218,'[63]geoMap (60)'!$A:$C,3,0)</f>
        <v>#REF!</v>
      </c>
      <c r="BK218" s="1" t="e">
        <f>BJ218/VLOOKUP(A218,'[64]geoMap (61)'!$A:$B,2,0)*VLOOKUP(A218,'[64]geoMap (61)'!$A:$C,3,0)</f>
        <v>#REF!</v>
      </c>
      <c r="BL218" s="1" t="e">
        <f>BK218/VLOOKUP(A218,'[65]geoMap (62)'!$A:$B,2,0)*VLOOKUP(A218,'[65]geoMap (62)'!$A:$C,3,0)</f>
        <v>#REF!</v>
      </c>
      <c r="BM218" s="1" t="e">
        <f>BL218/VLOOKUP(A218,'[66]geoMap (63)'!$A:$B,2,0)*VLOOKUP(A218,'[66]geoMap (63)'!$A:$C,3,0)</f>
        <v>#REF!</v>
      </c>
      <c r="BN218" s="1" t="e">
        <f>BM218/VLOOKUP(A218,'[67]geoMap (64)'!$A:$B,2,0)*VLOOKUP(A218,'[67]geoMap (64)'!$A:$C,3,0)</f>
        <v>#REF!</v>
      </c>
      <c r="BO218" s="1" t="e">
        <f>BN218/VLOOKUP(A218,'[68]geoMap (65)'!$A:$B,2,0)*VLOOKUP(A218,'[68]geoMap (65)'!$A:$C,3,0)</f>
        <v>#REF!</v>
      </c>
      <c r="BP218" s="1" t="e">
        <f>BO218/VLOOKUP(A218,'[69]geoMap (66)'!$A:$B,2,0)*VLOOKUP(A218,'[69]geoMap (66)'!$A:$C,3,0)</f>
        <v>#REF!</v>
      </c>
    </row>
    <row r="219" spans="1:68" hidden="1" x14ac:dyDescent="0.2">
      <c r="A219" s="1" t="s">
        <v>221</v>
      </c>
      <c r="B219" s="1" t="e">
        <f>VLOOKUP(A219,[3]geoMap!$A:$B,2,0)*Notes!$C$6</f>
        <v>#REF!</v>
      </c>
      <c r="C219" s="1" t="e">
        <f>B219/VLOOKUP(A219,'[4]geoMap (1)'!$A:$B,2,0)*VLOOKUP(A219,'[4]geoMap (1)'!$A:$C,3,0)</f>
        <v>#REF!</v>
      </c>
      <c r="D219" s="1" t="e">
        <f>C219/VLOOKUP(A219,'[5]geoMap (2)'!$A:$B,2,0)*VLOOKUP(A219,'[5]geoMap (2)'!$A:$C,3,0)</f>
        <v>#REF!</v>
      </c>
      <c r="E219" s="1" t="e">
        <f>D219/VLOOKUP(A219,'[6]geoMap (3)'!$A:$B,2,0)*VLOOKUP(A219,'[6]geoMap (3)'!$A:$C,3,0)</f>
        <v>#REF!</v>
      </c>
      <c r="F219" s="1" t="e">
        <f>E219/VLOOKUP(A219,'[7]geoMap (4)'!$A:$B,2,0)*VLOOKUP(A219,'[7]geoMap (4)'!$A:$C,3,0)</f>
        <v>#REF!</v>
      </c>
      <c r="G219" s="1" t="e">
        <f>F219/VLOOKUP(A219,'[8]geoMap (5)'!$A:$B,2,0)*VLOOKUP(A219,'[8]geoMap (5)'!$A:$C,3,0)</f>
        <v>#REF!</v>
      </c>
      <c r="H219" s="1" t="e">
        <f>G219/VLOOKUP(A219,'[9]geoMap (6)'!$A:$B,2,0)*VLOOKUP(A219,'[9]geoMap (6)'!$A:$C,3,0)</f>
        <v>#REF!</v>
      </c>
      <c r="I219" s="1" t="e">
        <f>H219/VLOOKUP(A219,'[10]geoMap (7)'!$A:$B,2,0)*VLOOKUP(A219,'[10]geoMap (7)'!$A:$C,3,0)</f>
        <v>#REF!</v>
      </c>
      <c r="J219" s="1" t="e">
        <f>I219/VLOOKUP(A219,'[11]geoMap (8)'!$A:$B,2,0)*VLOOKUP(A219,'[11]geoMap (8)'!$A:$C,3,0)</f>
        <v>#REF!</v>
      </c>
      <c r="K219" s="1" t="e">
        <f>J219/VLOOKUP(A219,'[12]geoMap (9)'!$A:$B,2,0)*VLOOKUP(A219,'[12]geoMap (9)'!$A:$C,3,0)</f>
        <v>#REF!</v>
      </c>
      <c r="L219" s="1" t="e">
        <f>K219/VLOOKUP(A219,'[13]geoMap (10)'!$A:$B,2,0)*VLOOKUP(A219,'[13]geoMap (10)'!$A:$C,3,0)</f>
        <v>#REF!</v>
      </c>
      <c r="M219" s="1" t="e">
        <f>L219/VLOOKUP(A219,'[14]geoMap (11)'!$A:$B,2,0)*VLOOKUP(A219,'[14]geoMap (11)'!$A:$C,3,0)</f>
        <v>#REF!</v>
      </c>
      <c r="N219" s="1" t="e">
        <f>M219/VLOOKUP(A219,'[15]geoMap (12)'!$A:$B,2,0)*VLOOKUP(A219,'[15]geoMap (12)'!$A:$C,3,0)</f>
        <v>#REF!</v>
      </c>
      <c r="O219" s="1" t="e">
        <f>N219/VLOOKUP(A219,'[16]geoMap (13)'!$A:$B,2,0)*VLOOKUP(A219,'[16]geoMap (13)'!$A:$C,3,0)</f>
        <v>#REF!</v>
      </c>
      <c r="P219" s="1" t="e">
        <f>O219/VLOOKUP(A219,'[17]geoMap (14)'!$A:$B,2,0)*VLOOKUP(A219,'[17]geoMap (14)'!$A:$C,3,0)</f>
        <v>#REF!</v>
      </c>
      <c r="Q219" s="1" t="e">
        <f>P219/VLOOKUP(A219,'[18]geoMap (15)'!$A:$B,2,0)*VLOOKUP(A219,'[18]geoMap (15)'!$A:$C,3,0)</f>
        <v>#REF!</v>
      </c>
      <c r="R219" s="1" t="e">
        <f>Q219/VLOOKUP(A219,'[19]geoMap (16)'!$A:$B,2,0)*VLOOKUP(A219,'[19]geoMap (16)'!$A:$C,3,0)</f>
        <v>#REF!</v>
      </c>
      <c r="S219" s="1" t="e">
        <f>R219/VLOOKUP(A219,'[20]geoMap (17)'!$A:$B,2,0)*VLOOKUP(A219,'[20]geoMap (17)'!$A:$C,3,0)</f>
        <v>#REF!</v>
      </c>
      <c r="T219" s="1" t="e">
        <f>S219/VLOOKUP(A219,'[21]geoMap (18)'!$A:$B,2,0)*VLOOKUP(A219,'[21]geoMap (18)'!$A:$C,3,0)</f>
        <v>#REF!</v>
      </c>
      <c r="U219" s="1" t="e">
        <f>T219/VLOOKUP(A219,'[22]geoMap (19)'!$A:$B,2,0)*VLOOKUP(A219,'[22]geoMap (19)'!$A:$C,3,0)</f>
        <v>#REF!</v>
      </c>
      <c r="V219" s="1" t="e">
        <f>U219/VLOOKUP(A219,'[23]geoMap (20)'!$A:$B,2,0)*VLOOKUP(A219,'[23]geoMap (20)'!$A:$C,3,0)</f>
        <v>#REF!</v>
      </c>
      <c r="W219" s="1" t="e">
        <f>V219/VLOOKUP(A219,'[24]geoMap (21)'!$A:$B,2,0)*VLOOKUP(A219,'[24]geoMap (21)'!$A:$C,3,0)</f>
        <v>#REF!</v>
      </c>
      <c r="X219" s="1" t="e">
        <f>W219/VLOOKUP(A219,'[25]geoMap (22)'!$A:$B,2,0)*VLOOKUP(A219,'[25]geoMap (22)'!$A:$C,3,0)</f>
        <v>#REF!</v>
      </c>
      <c r="Y219" s="1" t="e">
        <f>X219/VLOOKUP(A219,'[26]geoMap (23)'!$A:$B,2,0)*VLOOKUP(A219,'[26]geoMap (23)'!$A:$C,3,0)</f>
        <v>#REF!</v>
      </c>
      <c r="Z219" s="1" t="e">
        <f>Y219/VLOOKUP(A219,'[27]geoMap (24)'!$A:$B,2,0)*VLOOKUP(A219,'[27]geoMap (24)'!$A:$C,3,0)</f>
        <v>#REF!</v>
      </c>
      <c r="AA219" s="1" t="e">
        <f>Z219/VLOOKUP(A219,'[28]geoMap (25)'!$A:$B,2,0)*VLOOKUP(A219,'[28]geoMap (25)'!$A:$C,3,0)</f>
        <v>#REF!</v>
      </c>
      <c r="AB219" s="1" t="e">
        <f>AA219*VLOOKUP(A219,'[29]geoMap (26)'!$A:$B,2,0)*VLOOKUP(A219,'[29]geoMap (26)'!$A:$C,3,0)</f>
        <v>#REF!</v>
      </c>
      <c r="AC219" s="1" t="e">
        <f>AB219/VLOOKUP(A219,'[30]geoMap (27)'!$A:$B,2,0)*VLOOKUP(A219,'[30]geoMap (27)'!$A:$C,3,0)</f>
        <v>#REF!</v>
      </c>
      <c r="AD219" s="1" t="e">
        <f>AC219/VLOOKUP(A219,'[31]geoMap (28)'!$A:$B,2,0)*VLOOKUP(A219,'[31]geoMap (28)'!$A:$C,3,0)</f>
        <v>#REF!</v>
      </c>
      <c r="AE219" s="1" t="e">
        <f>AD219/VLOOKUP(A219,'[32]geoMap (29)'!$A:$B,2,0)*VLOOKUP(A219,'[32]geoMap (29)'!$A:$C,3,0)</f>
        <v>#REF!</v>
      </c>
      <c r="AF219" s="1" t="e">
        <f>AE219/VLOOKUP(A219,'[33]geoMap (30)'!$A:$B,2,0)*VLOOKUP(A219,'[33]geoMap (30)'!$A:$C,3,0)</f>
        <v>#REF!</v>
      </c>
      <c r="AG219" s="1" t="e">
        <f>AF219/VLOOKUP(A219,'[34]geoMap (31)'!$A:$B,2,0)*VLOOKUP(A219,'[34]geoMap (31)'!$A:$C,3,0)</f>
        <v>#REF!</v>
      </c>
      <c r="AH219" s="1" t="e">
        <f>AG219/VLOOKUP(A219,'[35]geoMap (32)'!$A:$B,2,0)*VLOOKUP(A219,'[35]geoMap (32)'!$A:$C,3,0)</f>
        <v>#REF!</v>
      </c>
      <c r="AI219" s="1" t="e">
        <f>AH219/VLOOKUP(A219,'[36]geoMap (33)'!$A:$B,2,0)*VLOOKUP(A219,'[36]geoMap (33)'!$A:$C,3,0)</f>
        <v>#REF!</v>
      </c>
      <c r="AJ219" s="1" t="e">
        <f>AI219/VLOOKUP(A219,'[37]geoMap (34)'!$A:$B,2,0)*VLOOKUP(A219,'[37]geoMap (34)'!$A:$C,3,0)</f>
        <v>#REF!</v>
      </c>
      <c r="AK219" s="1" t="e">
        <f>AJ219/VLOOKUP(A219,'[38]geoMap (35)'!$A:$B,2,0)*VLOOKUP(A219,'[38]geoMap (35)'!$A:$C,3,0)</f>
        <v>#REF!</v>
      </c>
      <c r="AL219" s="1" t="e">
        <f>AK219/VLOOKUP(A219,'[39]geoMap (36)'!$A:$B,2,0)*VLOOKUP(A219,'[39]geoMap (36)'!$A:$C,3,0)</f>
        <v>#REF!</v>
      </c>
      <c r="AM219" s="1" t="e">
        <f>AL219/VLOOKUP(A219,'[40]geoMap (37)'!$A:$B,2,0)*VLOOKUP(A219,'[40]geoMap (37)'!$A:$C,3,0)</f>
        <v>#REF!</v>
      </c>
      <c r="AN219" s="1" t="e">
        <f>AM219/VLOOKUP(A219,'[41]geoMap (38)'!$A:$B,2,0)*VLOOKUP(A219,'[41]geoMap (38)'!$A:$C,3,0)</f>
        <v>#REF!</v>
      </c>
      <c r="AO219" s="1" t="e">
        <f>AN219/VLOOKUP(A219,'[42]geoMap (39)'!$A:$B,2,0)*VLOOKUP(A219,'[42]geoMap (39)'!$A:$C,3,0)</f>
        <v>#REF!</v>
      </c>
      <c r="AP219" s="1" t="e">
        <f>AO219/VLOOKUP(A219,'[43]geoMap (40)'!$A:$B,2,0)*VLOOKUP(A219,'[43]geoMap (40)'!$A:$C,3,0)</f>
        <v>#REF!</v>
      </c>
      <c r="AQ219" s="1" t="e">
        <f>AP219/VLOOKUP(A219,'[44]geoMap (41)'!$A:$B,2,0)*VLOOKUP(A219,'[44]geoMap (41)'!$A:$C,3,0)</f>
        <v>#REF!</v>
      </c>
      <c r="AR219" s="1" t="e">
        <f>AQ219/VLOOKUP(A219,'[45]geoMap (42)'!$A:$B,2,0)*VLOOKUP(A219,'[45]geoMap (42)'!$A:$C,3,0)</f>
        <v>#REF!</v>
      </c>
      <c r="AS219" s="1" t="e">
        <f>AR219/VLOOKUP(A219,'[46]geoMap (43)'!$A:$B,2,0)*VLOOKUP(A219,'[46]geoMap (43)'!$A:$C,3,0)</f>
        <v>#REF!</v>
      </c>
      <c r="AT219" s="1" t="e">
        <f>AS219/VLOOKUP(A219,'[47]geoMap (44)'!$A:$B,2,0)*VLOOKUP(A219,'[47]geoMap (44)'!$A:$C,3,0)</f>
        <v>#REF!</v>
      </c>
      <c r="AU219" s="1" t="e">
        <f>AT219/VLOOKUP(A219,'[48]geoMap (45)'!$A:$B,2,0)*VLOOKUP(A219,'[48]geoMap (45)'!$A:$C,3,0)</f>
        <v>#REF!</v>
      </c>
      <c r="AV219" s="1" t="e">
        <f>AU219/VLOOKUP(A219,'[49]geoMap (46)'!$A:$B,2,0)*VLOOKUP(A219,'[49]geoMap (46)'!$A:$C,3,0)</f>
        <v>#REF!</v>
      </c>
      <c r="AW219" s="1" t="e">
        <f>AV219/VLOOKUP(A219,'[50]geoMap (47)'!$A:$B,2,0)*VLOOKUP(A219,'[50]geoMap (47)'!$A:$C,3,0)</f>
        <v>#REF!</v>
      </c>
      <c r="AX219" s="1" t="e">
        <f>AW219/VLOOKUP(A219,'[51]geoMap (48)'!$A:$B,2,0)*VLOOKUP(A219,'[51]geoMap (48)'!$A:$C,3,0)</f>
        <v>#REF!</v>
      </c>
      <c r="AY219" s="1" t="e">
        <f>AX219/VLOOKUP(A219,'[52]geoMap (49)'!$A:$B,2,0)*VLOOKUP(A219,'[52]geoMap (49)'!$A:$C,3,0)</f>
        <v>#REF!</v>
      </c>
      <c r="AZ219" s="1" t="e">
        <f>AY219/VLOOKUP(A219,'[53]geoMap (50)'!$A:$B,2,0)*VLOOKUP(A219,'[53]geoMap (50)'!$A:$C,3,0)</f>
        <v>#REF!</v>
      </c>
      <c r="BA219" s="1" t="e">
        <f>AZ219/VLOOKUP(A219,'[54]geoMap (51)'!$A:$B,2,0)*VLOOKUP(A219,'[54]geoMap (51)'!$A:$C,3,0)</f>
        <v>#REF!</v>
      </c>
      <c r="BB219" s="1" t="e">
        <f>BA219/VLOOKUP(A219,'[55]geoMap (52)'!$A:$B,2,0)*VLOOKUP(A219,'[55]geoMap (52)'!$A:$C,3,0)</f>
        <v>#REF!</v>
      </c>
      <c r="BC219" s="1" t="e">
        <f>BB219/VLOOKUP(A219,'[56]geoMap (53)'!$A:$B,2,0)*VLOOKUP(A219,'[56]geoMap (53)'!$A:$C,3,0)</f>
        <v>#REF!</v>
      </c>
      <c r="BD219" s="1" t="e">
        <f>BC219/VLOOKUP(A219,'[57]geoMap (54)'!$A:$B,2,0)*VLOOKUP(A219,'[57]geoMap (54)'!$A:$C,3,0)</f>
        <v>#REF!</v>
      </c>
      <c r="BE219" s="1" t="e">
        <f>BD219/VLOOKUP(A219,'[58]geoMap (55)'!$A:$B,2,0)*VLOOKUP(A219,'[58]geoMap (55)'!$A:$C,3,0)</f>
        <v>#REF!</v>
      </c>
      <c r="BF219" s="1" t="e">
        <f>BE219/VLOOKUP(A219,'[59]geoMap (56)'!$A:$B,2,0)*VLOOKUP(A219,'[59]geoMap (56)'!$A:$C,3,0)</f>
        <v>#REF!</v>
      </c>
      <c r="BG219" s="1" t="e">
        <f>BF219/VLOOKUP(A219,'[60]geoMap (57)'!$A:$B,2,0)*VLOOKUP(A219,'[60]geoMap (57)'!$A:$C,3,0)</f>
        <v>#REF!</v>
      </c>
      <c r="BH219" s="1" t="e">
        <f>BG219/VLOOKUP(A219,'[61]geoMap (58)'!$A:$B,2,0)*VLOOKUP(A219,'[61]geoMap (58)'!$A:$C,3,0)</f>
        <v>#REF!</v>
      </c>
      <c r="BI219" s="1" t="e">
        <f>BH219/VLOOKUP(A219,'[62]geoMap (59)'!$A:$B,2,0)*VLOOKUP(A219,'[62]geoMap (59)'!$A:$C,3,0)</f>
        <v>#REF!</v>
      </c>
      <c r="BJ219" s="1" t="e">
        <f>BI219/VLOOKUP(A219,'[63]geoMap (60)'!$A:$B,2,0)*VLOOKUP(A219,'[63]geoMap (60)'!$A:$C,3,0)</f>
        <v>#REF!</v>
      </c>
      <c r="BK219" s="1" t="e">
        <f>BJ219/VLOOKUP(A219,'[64]geoMap (61)'!$A:$B,2,0)*VLOOKUP(A219,'[64]geoMap (61)'!$A:$C,3,0)</f>
        <v>#REF!</v>
      </c>
      <c r="BL219" s="1" t="e">
        <f>BK219/VLOOKUP(A219,'[65]geoMap (62)'!$A:$B,2,0)*VLOOKUP(A219,'[65]geoMap (62)'!$A:$C,3,0)</f>
        <v>#REF!</v>
      </c>
      <c r="BM219" s="1" t="e">
        <f>BL219/VLOOKUP(A219,'[66]geoMap (63)'!$A:$B,2,0)*VLOOKUP(A219,'[66]geoMap (63)'!$A:$C,3,0)</f>
        <v>#REF!</v>
      </c>
      <c r="BN219" s="1" t="e">
        <f>BM219/VLOOKUP(A219,'[67]geoMap (64)'!$A:$B,2,0)*VLOOKUP(A219,'[67]geoMap (64)'!$A:$C,3,0)</f>
        <v>#REF!</v>
      </c>
      <c r="BO219" s="1" t="e">
        <f>BN219/VLOOKUP(A219,'[68]geoMap (65)'!$A:$B,2,0)*VLOOKUP(A219,'[68]geoMap (65)'!$A:$C,3,0)</f>
        <v>#REF!</v>
      </c>
      <c r="BP219" s="1" t="e">
        <f>BO219/VLOOKUP(A219,'[69]geoMap (66)'!$A:$B,2,0)*VLOOKUP(A219,'[69]geoMap (66)'!$A:$C,3,0)</f>
        <v>#REF!</v>
      </c>
    </row>
    <row r="220" spans="1:68" hidden="1" x14ac:dyDescent="0.2">
      <c r="A220" s="1" t="s">
        <v>222</v>
      </c>
      <c r="B220" s="1" t="e">
        <f>VLOOKUP(A220,[3]geoMap!$A:$B,2,0)*Notes!$C$6</f>
        <v>#REF!</v>
      </c>
      <c r="C220" s="1" t="e">
        <f>B220/VLOOKUP(A220,'[4]geoMap (1)'!$A:$B,2,0)*VLOOKUP(A220,'[4]geoMap (1)'!$A:$C,3,0)</f>
        <v>#REF!</v>
      </c>
      <c r="D220" s="1" t="e">
        <f>C220/VLOOKUP(A220,'[5]geoMap (2)'!$A:$B,2,0)*VLOOKUP(A220,'[5]geoMap (2)'!$A:$C,3,0)</f>
        <v>#REF!</v>
      </c>
      <c r="E220" s="1" t="e">
        <f>D220/VLOOKUP(A220,'[6]geoMap (3)'!$A:$B,2,0)*VLOOKUP(A220,'[6]geoMap (3)'!$A:$C,3,0)</f>
        <v>#REF!</v>
      </c>
      <c r="F220" s="1" t="e">
        <f>E220/VLOOKUP(A220,'[7]geoMap (4)'!$A:$B,2,0)*VLOOKUP(A220,'[7]geoMap (4)'!$A:$C,3,0)</f>
        <v>#REF!</v>
      </c>
      <c r="G220" s="1" t="e">
        <f>F220/VLOOKUP(A220,'[8]geoMap (5)'!$A:$B,2,0)*VLOOKUP(A220,'[8]geoMap (5)'!$A:$C,3,0)</f>
        <v>#REF!</v>
      </c>
      <c r="H220" s="1" t="e">
        <f>G220/VLOOKUP(A220,'[9]geoMap (6)'!$A:$B,2,0)*VLOOKUP(A220,'[9]geoMap (6)'!$A:$C,3,0)</f>
        <v>#REF!</v>
      </c>
      <c r="I220" s="1" t="e">
        <f>H220/VLOOKUP(A220,'[10]geoMap (7)'!$A:$B,2,0)*VLOOKUP(A220,'[10]geoMap (7)'!$A:$C,3,0)</f>
        <v>#REF!</v>
      </c>
      <c r="J220" s="1" t="e">
        <f>I220/VLOOKUP(A220,'[11]geoMap (8)'!$A:$B,2,0)*VLOOKUP(A220,'[11]geoMap (8)'!$A:$C,3,0)</f>
        <v>#REF!</v>
      </c>
      <c r="K220" s="1" t="e">
        <f>J220/VLOOKUP(A220,'[12]geoMap (9)'!$A:$B,2,0)*VLOOKUP(A220,'[12]geoMap (9)'!$A:$C,3,0)</f>
        <v>#REF!</v>
      </c>
      <c r="L220" s="1" t="e">
        <f>K220/VLOOKUP(A220,'[13]geoMap (10)'!$A:$B,2,0)*VLOOKUP(A220,'[13]geoMap (10)'!$A:$C,3,0)</f>
        <v>#REF!</v>
      </c>
      <c r="M220" s="1" t="e">
        <f>L220/VLOOKUP(A220,'[14]geoMap (11)'!$A:$B,2,0)*VLOOKUP(A220,'[14]geoMap (11)'!$A:$C,3,0)</f>
        <v>#REF!</v>
      </c>
      <c r="N220" s="1" t="e">
        <f>M220/VLOOKUP(A220,'[15]geoMap (12)'!$A:$B,2,0)*VLOOKUP(A220,'[15]geoMap (12)'!$A:$C,3,0)</f>
        <v>#REF!</v>
      </c>
      <c r="O220" s="1" t="e">
        <f>N220/VLOOKUP(A220,'[16]geoMap (13)'!$A:$B,2,0)*VLOOKUP(A220,'[16]geoMap (13)'!$A:$C,3,0)</f>
        <v>#REF!</v>
      </c>
      <c r="P220" s="1" t="e">
        <f>O220/VLOOKUP(A220,'[17]geoMap (14)'!$A:$B,2,0)*VLOOKUP(A220,'[17]geoMap (14)'!$A:$C,3,0)</f>
        <v>#REF!</v>
      </c>
      <c r="Q220" s="1" t="e">
        <f>P220/VLOOKUP(A220,'[18]geoMap (15)'!$A:$B,2,0)*VLOOKUP(A220,'[18]geoMap (15)'!$A:$C,3,0)</f>
        <v>#REF!</v>
      </c>
      <c r="R220" s="1" t="e">
        <f>Q220/VLOOKUP(A220,'[19]geoMap (16)'!$A:$B,2,0)*VLOOKUP(A220,'[19]geoMap (16)'!$A:$C,3,0)</f>
        <v>#REF!</v>
      </c>
      <c r="S220" s="1" t="e">
        <f>R220/VLOOKUP(A220,'[20]geoMap (17)'!$A:$B,2,0)*VLOOKUP(A220,'[20]geoMap (17)'!$A:$C,3,0)</f>
        <v>#REF!</v>
      </c>
      <c r="T220" s="1" t="e">
        <f>S220/VLOOKUP(A220,'[21]geoMap (18)'!$A:$B,2,0)*VLOOKUP(A220,'[21]geoMap (18)'!$A:$C,3,0)</f>
        <v>#REF!</v>
      </c>
      <c r="U220" s="1" t="e">
        <f>T220/VLOOKUP(A220,'[22]geoMap (19)'!$A:$B,2,0)*VLOOKUP(A220,'[22]geoMap (19)'!$A:$C,3,0)</f>
        <v>#REF!</v>
      </c>
      <c r="V220" s="1" t="e">
        <f>U220/VLOOKUP(A220,'[23]geoMap (20)'!$A:$B,2,0)*VLOOKUP(A220,'[23]geoMap (20)'!$A:$C,3,0)</f>
        <v>#REF!</v>
      </c>
      <c r="W220" s="1" t="e">
        <f>V220/VLOOKUP(A220,'[24]geoMap (21)'!$A:$B,2,0)*VLOOKUP(A220,'[24]geoMap (21)'!$A:$C,3,0)</f>
        <v>#REF!</v>
      </c>
      <c r="X220" s="1" t="e">
        <f>W220/VLOOKUP(A220,'[25]geoMap (22)'!$A:$B,2,0)*VLOOKUP(A220,'[25]geoMap (22)'!$A:$C,3,0)</f>
        <v>#REF!</v>
      </c>
      <c r="Y220" s="1" t="e">
        <f>X220/VLOOKUP(A220,'[26]geoMap (23)'!$A:$B,2,0)*VLOOKUP(A220,'[26]geoMap (23)'!$A:$C,3,0)</f>
        <v>#REF!</v>
      </c>
      <c r="Z220" s="1" t="e">
        <f>Y220/VLOOKUP(A220,'[27]geoMap (24)'!$A:$B,2,0)*VLOOKUP(A220,'[27]geoMap (24)'!$A:$C,3,0)</f>
        <v>#REF!</v>
      </c>
      <c r="AA220" s="1" t="e">
        <f>Z220/VLOOKUP(A220,'[28]geoMap (25)'!$A:$B,2,0)*VLOOKUP(A220,'[28]geoMap (25)'!$A:$C,3,0)</f>
        <v>#REF!</v>
      </c>
      <c r="AB220" s="1" t="e">
        <f>AA220*VLOOKUP(A220,'[29]geoMap (26)'!$A:$B,2,0)*VLOOKUP(A220,'[29]geoMap (26)'!$A:$C,3,0)</f>
        <v>#REF!</v>
      </c>
      <c r="AC220" s="1" t="e">
        <f>AB220/VLOOKUP(A220,'[30]geoMap (27)'!$A:$B,2,0)*VLOOKUP(A220,'[30]geoMap (27)'!$A:$C,3,0)</f>
        <v>#REF!</v>
      </c>
      <c r="AD220" s="1" t="e">
        <f>AC220/VLOOKUP(A220,'[31]geoMap (28)'!$A:$B,2,0)*VLOOKUP(A220,'[31]geoMap (28)'!$A:$C,3,0)</f>
        <v>#REF!</v>
      </c>
      <c r="AE220" s="1" t="e">
        <f>AD220/VLOOKUP(A220,'[32]geoMap (29)'!$A:$B,2,0)*VLOOKUP(A220,'[32]geoMap (29)'!$A:$C,3,0)</f>
        <v>#REF!</v>
      </c>
      <c r="AF220" s="1" t="e">
        <f>AE220/VLOOKUP(A220,'[33]geoMap (30)'!$A:$B,2,0)*VLOOKUP(A220,'[33]geoMap (30)'!$A:$C,3,0)</f>
        <v>#REF!</v>
      </c>
      <c r="AG220" s="1" t="e">
        <f>AF220/VLOOKUP(A220,'[34]geoMap (31)'!$A:$B,2,0)*VLOOKUP(A220,'[34]geoMap (31)'!$A:$C,3,0)</f>
        <v>#REF!</v>
      </c>
      <c r="AH220" s="1" t="e">
        <f>AG220/VLOOKUP(A220,'[35]geoMap (32)'!$A:$B,2,0)*VLOOKUP(A220,'[35]geoMap (32)'!$A:$C,3,0)</f>
        <v>#REF!</v>
      </c>
      <c r="AI220" s="1" t="e">
        <f>AH220/VLOOKUP(A220,'[36]geoMap (33)'!$A:$B,2,0)*VLOOKUP(A220,'[36]geoMap (33)'!$A:$C,3,0)</f>
        <v>#REF!</v>
      </c>
      <c r="AJ220" s="1" t="e">
        <f>AI220/VLOOKUP(A220,'[37]geoMap (34)'!$A:$B,2,0)*VLOOKUP(A220,'[37]geoMap (34)'!$A:$C,3,0)</f>
        <v>#REF!</v>
      </c>
      <c r="AK220" s="1" t="e">
        <f>AJ220/VLOOKUP(A220,'[38]geoMap (35)'!$A:$B,2,0)*VLOOKUP(A220,'[38]geoMap (35)'!$A:$C,3,0)</f>
        <v>#REF!</v>
      </c>
      <c r="AL220" s="1" t="e">
        <f>AK220/VLOOKUP(A220,'[39]geoMap (36)'!$A:$B,2,0)*VLOOKUP(A220,'[39]geoMap (36)'!$A:$C,3,0)</f>
        <v>#REF!</v>
      </c>
      <c r="AM220" s="1" t="e">
        <f>AL220/VLOOKUP(A220,'[40]geoMap (37)'!$A:$B,2,0)*VLOOKUP(A220,'[40]geoMap (37)'!$A:$C,3,0)</f>
        <v>#REF!</v>
      </c>
      <c r="AN220" s="1" t="e">
        <f>AM220/VLOOKUP(A220,'[41]geoMap (38)'!$A:$B,2,0)*VLOOKUP(A220,'[41]geoMap (38)'!$A:$C,3,0)</f>
        <v>#REF!</v>
      </c>
      <c r="AO220" s="1" t="e">
        <f>AN220/VLOOKUP(A220,'[42]geoMap (39)'!$A:$B,2,0)*VLOOKUP(A220,'[42]geoMap (39)'!$A:$C,3,0)</f>
        <v>#REF!</v>
      </c>
      <c r="AP220" s="1" t="e">
        <f>AO220/VLOOKUP(A220,'[43]geoMap (40)'!$A:$B,2,0)*VLOOKUP(A220,'[43]geoMap (40)'!$A:$C,3,0)</f>
        <v>#REF!</v>
      </c>
      <c r="AQ220" s="1" t="e">
        <f>AP220/VLOOKUP(A220,'[44]geoMap (41)'!$A:$B,2,0)*VLOOKUP(A220,'[44]geoMap (41)'!$A:$C,3,0)</f>
        <v>#REF!</v>
      </c>
      <c r="AR220" s="1" t="e">
        <f>AQ220/VLOOKUP(A220,'[45]geoMap (42)'!$A:$B,2,0)*VLOOKUP(A220,'[45]geoMap (42)'!$A:$C,3,0)</f>
        <v>#REF!</v>
      </c>
      <c r="AS220" s="1" t="e">
        <f>AR220/VLOOKUP(A220,'[46]geoMap (43)'!$A:$B,2,0)*VLOOKUP(A220,'[46]geoMap (43)'!$A:$C,3,0)</f>
        <v>#REF!</v>
      </c>
      <c r="AT220" s="1" t="e">
        <f>AS220/VLOOKUP(A220,'[47]geoMap (44)'!$A:$B,2,0)*VLOOKUP(A220,'[47]geoMap (44)'!$A:$C,3,0)</f>
        <v>#REF!</v>
      </c>
      <c r="AU220" s="1" t="e">
        <f>AT220/VLOOKUP(A220,'[48]geoMap (45)'!$A:$B,2,0)*VLOOKUP(A220,'[48]geoMap (45)'!$A:$C,3,0)</f>
        <v>#REF!</v>
      </c>
      <c r="AV220" s="1" t="e">
        <f>AU220/VLOOKUP(A220,'[49]geoMap (46)'!$A:$B,2,0)*VLOOKUP(A220,'[49]geoMap (46)'!$A:$C,3,0)</f>
        <v>#REF!</v>
      </c>
      <c r="AW220" s="1" t="e">
        <f>AV220/VLOOKUP(A220,'[50]geoMap (47)'!$A:$B,2,0)*VLOOKUP(A220,'[50]geoMap (47)'!$A:$C,3,0)</f>
        <v>#REF!</v>
      </c>
      <c r="AX220" s="1" t="e">
        <f>AW220/VLOOKUP(A220,'[51]geoMap (48)'!$A:$B,2,0)*VLOOKUP(A220,'[51]geoMap (48)'!$A:$C,3,0)</f>
        <v>#REF!</v>
      </c>
      <c r="AY220" s="1" t="e">
        <f>AX220/VLOOKUP(A220,'[52]geoMap (49)'!$A:$B,2,0)*VLOOKUP(A220,'[52]geoMap (49)'!$A:$C,3,0)</f>
        <v>#REF!</v>
      </c>
      <c r="AZ220" s="1" t="e">
        <f>AY220/VLOOKUP(A220,'[53]geoMap (50)'!$A:$B,2,0)*VLOOKUP(A220,'[53]geoMap (50)'!$A:$C,3,0)</f>
        <v>#REF!</v>
      </c>
      <c r="BA220" s="1" t="e">
        <f>AZ220/VLOOKUP(A220,'[54]geoMap (51)'!$A:$B,2,0)*VLOOKUP(A220,'[54]geoMap (51)'!$A:$C,3,0)</f>
        <v>#REF!</v>
      </c>
      <c r="BB220" s="1" t="e">
        <f>BA220/VLOOKUP(A220,'[55]geoMap (52)'!$A:$B,2,0)*VLOOKUP(A220,'[55]geoMap (52)'!$A:$C,3,0)</f>
        <v>#REF!</v>
      </c>
      <c r="BC220" s="1" t="e">
        <f>BB220/VLOOKUP(A220,'[56]geoMap (53)'!$A:$B,2,0)*VLOOKUP(A220,'[56]geoMap (53)'!$A:$C,3,0)</f>
        <v>#REF!</v>
      </c>
      <c r="BD220" s="1" t="e">
        <f>BC220/VLOOKUP(A220,'[57]geoMap (54)'!$A:$B,2,0)*VLOOKUP(A220,'[57]geoMap (54)'!$A:$C,3,0)</f>
        <v>#REF!</v>
      </c>
      <c r="BE220" s="1" t="e">
        <f>BD220/VLOOKUP(A220,'[58]geoMap (55)'!$A:$B,2,0)*VLOOKUP(A220,'[58]geoMap (55)'!$A:$C,3,0)</f>
        <v>#REF!</v>
      </c>
      <c r="BF220" s="1" t="e">
        <f>BE220/VLOOKUP(A220,'[59]geoMap (56)'!$A:$B,2,0)*VLOOKUP(A220,'[59]geoMap (56)'!$A:$C,3,0)</f>
        <v>#REF!</v>
      </c>
      <c r="BG220" s="1" t="e">
        <f>BF220/VLOOKUP(A220,'[60]geoMap (57)'!$A:$B,2,0)*VLOOKUP(A220,'[60]geoMap (57)'!$A:$C,3,0)</f>
        <v>#REF!</v>
      </c>
      <c r="BH220" s="1" t="e">
        <f>BG220/VLOOKUP(A220,'[61]geoMap (58)'!$A:$B,2,0)*VLOOKUP(A220,'[61]geoMap (58)'!$A:$C,3,0)</f>
        <v>#REF!</v>
      </c>
      <c r="BI220" s="1" t="e">
        <f>BH220/VLOOKUP(A220,'[62]geoMap (59)'!$A:$B,2,0)*VLOOKUP(A220,'[62]geoMap (59)'!$A:$C,3,0)</f>
        <v>#REF!</v>
      </c>
      <c r="BJ220" s="1" t="e">
        <f>BI220/VLOOKUP(A220,'[63]geoMap (60)'!$A:$B,2,0)*VLOOKUP(A220,'[63]geoMap (60)'!$A:$C,3,0)</f>
        <v>#REF!</v>
      </c>
      <c r="BK220" s="1" t="e">
        <f>BJ220/VLOOKUP(A220,'[64]geoMap (61)'!$A:$B,2,0)*VLOOKUP(A220,'[64]geoMap (61)'!$A:$C,3,0)</f>
        <v>#REF!</v>
      </c>
      <c r="BL220" s="1" t="e">
        <f>BK220/VLOOKUP(A220,'[65]geoMap (62)'!$A:$B,2,0)*VLOOKUP(A220,'[65]geoMap (62)'!$A:$C,3,0)</f>
        <v>#REF!</v>
      </c>
      <c r="BM220" s="1" t="e">
        <f>BL220/VLOOKUP(A220,'[66]geoMap (63)'!$A:$B,2,0)*VLOOKUP(A220,'[66]geoMap (63)'!$A:$C,3,0)</f>
        <v>#REF!</v>
      </c>
      <c r="BN220" s="1" t="e">
        <f>BM220/VLOOKUP(A220,'[67]geoMap (64)'!$A:$B,2,0)*VLOOKUP(A220,'[67]geoMap (64)'!$A:$C,3,0)</f>
        <v>#REF!</v>
      </c>
      <c r="BO220" s="1" t="e">
        <f>BN220/VLOOKUP(A220,'[68]geoMap (65)'!$A:$B,2,0)*VLOOKUP(A220,'[68]geoMap (65)'!$A:$C,3,0)</f>
        <v>#REF!</v>
      </c>
      <c r="BP220" s="1" t="e">
        <f>BO220/VLOOKUP(A220,'[69]geoMap (66)'!$A:$B,2,0)*VLOOKUP(A220,'[69]geoMap (66)'!$A:$C,3,0)</f>
        <v>#REF!</v>
      </c>
    </row>
    <row r="221" spans="1:68" hidden="1" x14ac:dyDescent="0.2">
      <c r="A221" s="1" t="s">
        <v>223</v>
      </c>
      <c r="B221" s="1" t="e">
        <f>VLOOKUP(A221,[3]geoMap!$A:$B,2,0)*Notes!$C$6</f>
        <v>#REF!</v>
      </c>
      <c r="C221" s="1" t="e">
        <f>B221/VLOOKUP(A221,'[4]geoMap (1)'!$A:$B,2,0)*VLOOKUP(A221,'[4]geoMap (1)'!$A:$C,3,0)</f>
        <v>#REF!</v>
      </c>
      <c r="D221" s="1" t="e">
        <f>C221/VLOOKUP(A221,'[5]geoMap (2)'!$A:$B,2,0)*VLOOKUP(A221,'[5]geoMap (2)'!$A:$C,3,0)</f>
        <v>#REF!</v>
      </c>
      <c r="E221" s="1" t="e">
        <f>D221/VLOOKUP(A221,'[6]geoMap (3)'!$A:$B,2,0)*VLOOKUP(A221,'[6]geoMap (3)'!$A:$C,3,0)</f>
        <v>#REF!</v>
      </c>
      <c r="F221" s="1" t="e">
        <f>E221/VLOOKUP(A221,'[7]geoMap (4)'!$A:$B,2,0)*VLOOKUP(A221,'[7]geoMap (4)'!$A:$C,3,0)</f>
        <v>#REF!</v>
      </c>
      <c r="G221" s="1" t="e">
        <f>F221/VLOOKUP(A221,'[8]geoMap (5)'!$A:$B,2,0)*VLOOKUP(A221,'[8]geoMap (5)'!$A:$C,3,0)</f>
        <v>#REF!</v>
      </c>
      <c r="H221" s="1" t="e">
        <f>G221/VLOOKUP(A221,'[9]geoMap (6)'!$A:$B,2,0)*VLOOKUP(A221,'[9]geoMap (6)'!$A:$C,3,0)</f>
        <v>#REF!</v>
      </c>
      <c r="I221" s="1" t="e">
        <f>H221/VLOOKUP(A221,'[10]geoMap (7)'!$A:$B,2,0)*VLOOKUP(A221,'[10]geoMap (7)'!$A:$C,3,0)</f>
        <v>#REF!</v>
      </c>
      <c r="J221" s="1" t="e">
        <f>I221/VLOOKUP(A221,'[11]geoMap (8)'!$A:$B,2,0)*VLOOKUP(A221,'[11]geoMap (8)'!$A:$C,3,0)</f>
        <v>#REF!</v>
      </c>
      <c r="K221" s="1" t="e">
        <f>J221/VLOOKUP(A221,'[12]geoMap (9)'!$A:$B,2,0)*VLOOKUP(A221,'[12]geoMap (9)'!$A:$C,3,0)</f>
        <v>#REF!</v>
      </c>
      <c r="L221" s="1" t="e">
        <f>K221/VLOOKUP(A221,'[13]geoMap (10)'!$A:$B,2,0)*VLOOKUP(A221,'[13]geoMap (10)'!$A:$C,3,0)</f>
        <v>#REF!</v>
      </c>
      <c r="M221" s="1" t="e">
        <f>L221/VLOOKUP(A221,'[14]geoMap (11)'!$A:$B,2,0)*VLOOKUP(A221,'[14]geoMap (11)'!$A:$C,3,0)</f>
        <v>#REF!</v>
      </c>
      <c r="N221" s="1" t="e">
        <f>M221/VLOOKUP(A221,'[15]geoMap (12)'!$A:$B,2,0)*VLOOKUP(A221,'[15]geoMap (12)'!$A:$C,3,0)</f>
        <v>#REF!</v>
      </c>
      <c r="O221" s="1" t="e">
        <f>N221/VLOOKUP(A221,'[16]geoMap (13)'!$A:$B,2,0)*VLOOKUP(A221,'[16]geoMap (13)'!$A:$C,3,0)</f>
        <v>#REF!</v>
      </c>
      <c r="P221" s="1" t="e">
        <f>O221/VLOOKUP(A221,'[17]geoMap (14)'!$A:$B,2,0)*VLOOKUP(A221,'[17]geoMap (14)'!$A:$C,3,0)</f>
        <v>#REF!</v>
      </c>
      <c r="Q221" s="1" t="e">
        <f>P221/VLOOKUP(A221,'[18]geoMap (15)'!$A:$B,2,0)*VLOOKUP(A221,'[18]geoMap (15)'!$A:$C,3,0)</f>
        <v>#REF!</v>
      </c>
      <c r="R221" s="1" t="e">
        <f>Q221/VLOOKUP(A221,'[19]geoMap (16)'!$A:$B,2,0)*VLOOKUP(A221,'[19]geoMap (16)'!$A:$C,3,0)</f>
        <v>#REF!</v>
      </c>
      <c r="S221" s="1" t="e">
        <f>R221/VLOOKUP(A221,'[20]geoMap (17)'!$A:$B,2,0)*VLOOKUP(A221,'[20]geoMap (17)'!$A:$C,3,0)</f>
        <v>#REF!</v>
      </c>
      <c r="T221" s="1" t="e">
        <f>S221/VLOOKUP(A221,'[21]geoMap (18)'!$A:$B,2,0)*VLOOKUP(A221,'[21]geoMap (18)'!$A:$C,3,0)</f>
        <v>#REF!</v>
      </c>
      <c r="U221" s="1" t="e">
        <f>T221/VLOOKUP(A221,'[22]geoMap (19)'!$A:$B,2,0)*VLOOKUP(A221,'[22]geoMap (19)'!$A:$C,3,0)</f>
        <v>#REF!</v>
      </c>
      <c r="V221" s="1" t="e">
        <f>U221/VLOOKUP(A221,'[23]geoMap (20)'!$A:$B,2,0)*VLOOKUP(A221,'[23]geoMap (20)'!$A:$C,3,0)</f>
        <v>#REF!</v>
      </c>
      <c r="W221" s="1" t="e">
        <f>V221/VLOOKUP(A221,'[24]geoMap (21)'!$A:$B,2,0)*VLOOKUP(A221,'[24]geoMap (21)'!$A:$C,3,0)</f>
        <v>#REF!</v>
      </c>
      <c r="X221" s="1" t="e">
        <f>W221/VLOOKUP(A221,'[25]geoMap (22)'!$A:$B,2,0)*VLOOKUP(A221,'[25]geoMap (22)'!$A:$C,3,0)</f>
        <v>#REF!</v>
      </c>
      <c r="Y221" s="1" t="e">
        <f>X221/VLOOKUP(A221,'[26]geoMap (23)'!$A:$B,2,0)*VLOOKUP(A221,'[26]geoMap (23)'!$A:$C,3,0)</f>
        <v>#REF!</v>
      </c>
      <c r="Z221" s="1" t="e">
        <f>Y221/VLOOKUP(A221,'[27]geoMap (24)'!$A:$B,2,0)*VLOOKUP(A221,'[27]geoMap (24)'!$A:$C,3,0)</f>
        <v>#REF!</v>
      </c>
      <c r="AA221" s="1" t="e">
        <f>Z221/VLOOKUP(A221,'[28]geoMap (25)'!$A:$B,2,0)*VLOOKUP(A221,'[28]geoMap (25)'!$A:$C,3,0)</f>
        <v>#REF!</v>
      </c>
      <c r="AB221" s="1" t="e">
        <f>AA221*VLOOKUP(A221,'[29]geoMap (26)'!$A:$B,2,0)*VLOOKUP(A221,'[29]geoMap (26)'!$A:$C,3,0)</f>
        <v>#REF!</v>
      </c>
      <c r="AC221" s="1" t="e">
        <f>AB221/VLOOKUP(A221,'[30]geoMap (27)'!$A:$B,2,0)*VLOOKUP(A221,'[30]geoMap (27)'!$A:$C,3,0)</f>
        <v>#REF!</v>
      </c>
      <c r="AD221" s="1" t="e">
        <f>AC221/VLOOKUP(A221,'[31]geoMap (28)'!$A:$B,2,0)*VLOOKUP(A221,'[31]geoMap (28)'!$A:$C,3,0)</f>
        <v>#REF!</v>
      </c>
      <c r="AE221" s="1" t="e">
        <f>AD221/VLOOKUP(A221,'[32]geoMap (29)'!$A:$B,2,0)*VLOOKUP(A221,'[32]geoMap (29)'!$A:$C,3,0)</f>
        <v>#REF!</v>
      </c>
      <c r="AF221" s="1" t="e">
        <f>AE221/VLOOKUP(A221,'[33]geoMap (30)'!$A:$B,2,0)*VLOOKUP(A221,'[33]geoMap (30)'!$A:$C,3,0)</f>
        <v>#REF!</v>
      </c>
      <c r="AG221" s="1" t="e">
        <f>AF221/VLOOKUP(A221,'[34]geoMap (31)'!$A:$B,2,0)*VLOOKUP(A221,'[34]geoMap (31)'!$A:$C,3,0)</f>
        <v>#REF!</v>
      </c>
      <c r="AH221" s="1" t="e">
        <f>AG221/VLOOKUP(A221,'[35]geoMap (32)'!$A:$B,2,0)*VLOOKUP(A221,'[35]geoMap (32)'!$A:$C,3,0)</f>
        <v>#REF!</v>
      </c>
      <c r="AI221" s="1" t="e">
        <f>AH221/VLOOKUP(A221,'[36]geoMap (33)'!$A:$B,2,0)*VLOOKUP(A221,'[36]geoMap (33)'!$A:$C,3,0)</f>
        <v>#REF!</v>
      </c>
      <c r="AJ221" s="1" t="e">
        <f>AI221/VLOOKUP(A221,'[37]geoMap (34)'!$A:$B,2,0)*VLOOKUP(A221,'[37]geoMap (34)'!$A:$C,3,0)</f>
        <v>#REF!</v>
      </c>
      <c r="AK221" s="1" t="e">
        <f>AJ221/VLOOKUP(A221,'[38]geoMap (35)'!$A:$B,2,0)*VLOOKUP(A221,'[38]geoMap (35)'!$A:$C,3,0)</f>
        <v>#REF!</v>
      </c>
      <c r="AL221" s="1" t="e">
        <f>AK221/VLOOKUP(A221,'[39]geoMap (36)'!$A:$B,2,0)*VLOOKUP(A221,'[39]geoMap (36)'!$A:$C,3,0)</f>
        <v>#REF!</v>
      </c>
      <c r="AM221" s="1" t="e">
        <f>AL221/VLOOKUP(A221,'[40]geoMap (37)'!$A:$B,2,0)*VLOOKUP(A221,'[40]geoMap (37)'!$A:$C,3,0)</f>
        <v>#REF!</v>
      </c>
      <c r="AN221" s="1" t="e">
        <f>AM221/VLOOKUP(A221,'[41]geoMap (38)'!$A:$B,2,0)*VLOOKUP(A221,'[41]geoMap (38)'!$A:$C,3,0)</f>
        <v>#REF!</v>
      </c>
      <c r="AO221" s="1" t="e">
        <f>AN221/VLOOKUP(A221,'[42]geoMap (39)'!$A:$B,2,0)*VLOOKUP(A221,'[42]geoMap (39)'!$A:$C,3,0)</f>
        <v>#REF!</v>
      </c>
      <c r="AP221" s="1" t="e">
        <f>AO221/VLOOKUP(A221,'[43]geoMap (40)'!$A:$B,2,0)*VLOOKUP(A221,'[43]geoMap (40)'!$A:$C,3,0)</f>
        <v>#REF!</v>
      </c>
      <c r="AQ221" s="1" t="e">
        <f>AP221/VLOOKUP(A221,'[44]geoMap (41)'!$A:$B,2,0)*VLOOKUP(A221,'[44]geoMap (41)'!$A:$C,3,0)</f>
        <v>#REF!</v>
      </c>
      <c r="AR221" s="1" t="e">
        <f>AQ221/VLOOKUP(A221,'[45]geoMap (42)'!$A:$B,2,0)*VLOOKUP(A221,'[45]geoMap (42)'!$A:$C,3,0)</f>
        <v>#REF!</v>
      </c>
      <c r="AS221" s="1" t="e">
        <f>AR221/VLOOKUP(A221,'[46]geoMap (43)'!$A:$B,2,0)*VLOOKUP(A221,'[46]geoMap (43)'!$A:$C,3,0)</f>
        <v>#REF!</v>
      </c>
      <c r="AT221" s="1" t="e">
        <f>AS221/VLOOKUP(A221,'[47]geoMap (44)'!$A:$B,2,0)*VLOOKUP(A221,'[47]geoMap (44)'!$A:$C,3,0)</f>
        <v>#REF!</v>
      </c>
      <c r="AU221" s="1" t="e">
        <f>AT221/VLOOKUP(A221,'[48]geoMap (45)'!$A:$B,2,0)*VLOOKUP(A221,'[48]geoMap (45)'!$A:$C,3,0)</f>
        <v>#REF!</v>
      </c>
      <c r="AV221" s="1" t="e">
        <f>AU221/VLOOKUP(A221,'[49]geoMap (46)'!$A:$B,2,0)*VLOOKUP(A221,'[49]geoMap (46)'!$A:$C,3,0)</f>
        <v>#REF!</v>
      </c>
      <c r="AW221" s="1" t="e">
        <f>AV221/VLOOKUP(A221,'[50]geoMap (47)'!$A:$B,2,0)*VLOOKUP(A221,'[50]geoMap (47)'!$A:$C,3,0)</f>
        <v>#REF!</v>
      </c>
      <c r="AX221" s="1" t="e">
        <f>AW221/VLOOKUP(A221,'[51]geoMap (48)'!$A:$B,2,0)*VLOOKUP(A221,'[51]geoMap (48)'!$A:$C,3,0)</f>
        <v>#REF!</v>
      </c>
      <c r="AY221" s="1" t="e">
        <f>AX221/VLOOKUP(A221,'[52]geoMap (49)'!$A:$B,2,0)*VLOOKUP(A221,'[52]geoMap (49)'!$A:$C,3,0)</f>
        <v>#REF!</v>
      </c>
      <c r="AZ221" s="1" t="e">
        <f>AY221/VLOOKUP(A221,'[53]geoMap (50)'!$A:$B,2,0)*VLOOKUP(A221,'[53]geoMap (50)'!$A:$C,3,0)</f>
        <v>#REF!</v>
      </c>
      <c r="BA221" s="1" t="e">
        <f>AZ221/VLOOKUP(A221,'[54]geoMap (51)'!$A:$B,2,0)*VLOOKUP(A221,'[54]geoMap (51)'!$A:$C,3,0)</f>
        <v>#REF!</v>
      </c>
      <c r="BB221" s="1" t="e">
        <f>BA221/VLOOKUP(A221,'[55]geoMap (52)'!$A:$B,2,0)*VLOOKUP(A221,'[55]geoMap (52)'!$A:$C,3,0)</f>
        <v>#REF!</v>
      </c>
      <c r="BC221" s="1" t="e">
        <f>BB221/VLOOKUP(A221,'[56]geoMap (53)'!$A:$B,2,0)*VLOOKUP(A221,'[56]geoMap (53)'!$A:$C,3,0)</f>
        <v>#REF!</v>
      </c>
      <c r="BD221" s="1" t="e">
        <f>BC221/VLOOKUP(A221,'[57]geoMap (54)'!$A:$B,2,0)*VLOOKUP(A221,'[57]geoMap (54)'!$A:$C,3,0)</f>
        <v>#REF!</v>
      </c>
      <c r="BE221" s="1" t="e">
        <f>BD221/VLOOKUP(A221,'[58]geoMap (55)'!$A:$B,2,0)*VLOOKUP(A221,'[58]geoMap (55)'!$A:$C,3,0)</f>
        <v>#REF!</v>
      </c>
      <c r="BF221" s="1" t="e">
        <f>BE221/VLOOKUP(A221,'[59]geoMap (56)'!$A:$B,2,0)*VLOOKUP(A221,'[59]geoMap (56)'!$A:$C,3,0)</f>
        <v>#REF!</v>
      </c>
      <c r="BG221" s="1" t="e">
        <f>BF221/VLOOKUP(A221,'[60]geoMap (57)'!$A:$B,2,0)*VLOOKUP(A221,'[60]geoMap (57)'!$A:$C,3,0)</f>
        <v>#REF!</v>
      </c>
      <c r="BH221" s="1" t="e">
        <f>BG221/VLOOKUP(A221,'[61]geoMap (58)'!$A:$B,2,0)*VLOOKUP(A221,'[61]geoMap (58)'!$A:$C,3,0)</f>
        <v>#REF!</v>
      </c>
      <c r="BI221" s="1" t="e">
        <f>BH221/VLOOKUP(A221,'[62]geoMap (59)'!$A:$B,2,0)*VLOOKUP(A221,'[62]geoMap (59)'!$A:$C,3,0)</f>
        <v>#REF!</v>
      </c>
      <c r="BJ221" s="1" t="e">
        <f>BI221/VLOOKUP(A221,'[63]geoMap (60)'!$A:$B,2,0)*VLOOKUP(A221,'[63]geoMap (60)'!$A:$C,3,0)</f>
        <v>#REF!</v>
      </c>
      <c r="BK221" s="1" t="e">
        <f>BJ221/VLOOKUP(A221,'[64]geoMap (61)'!$A:$B,2,0)*VLOOKUP(A221,'[64]geoMap (61)'!$A:$C,3,0)</f>
        <v>#REF!</v>
      </c>
      <c r="BL221" s="1" t="e">
        <f>BK221/VLOOKUP(A221,'[65]geoMap (62)'!$A:$B,2,0)*VLOOKUP(A221,'[65]geoMap (62)'!$A:$C,3,0)</f>
        <v>#REF!</v>
      </c>
      <c r="BM221" s="1" t="e">
        <f>BL221/VLOOKUP(A221,'[66]geoMap (63)'!$A:$B,2,0)*VLOOKUP(A221,'[66]geoMap (63)'!$A:$C,3,0)</f>
        <v>#REF!</v>
      </c>
      <c r="BN221" s="1" t="e">
        <f>BM221/VLOOKUP(A221,'[67]geoMap (64)'!$A:$B,2,0)*VLOOKUP(A221,'[67]geoMap (64)'!$A:$C,3,0)</f>
        <v>#REF!</v>
      </c>
      <c r="BO221" s="1" t="e">
        <f>BN221/VLOOKUP(A221,'[68]geoMap (65)'!$A:$B,2,0)*VLOOKUP(A221,'[68]geoMap (65)'!$A:$C,3,0)</f>
        <v>#REF!</v>
      </c>
      <c r="BP221" s="1" t="e">
        <f>BO221/VLOOKUP(A221,'[69]geoMap (66)'!$A:$B,2,0)*VLOOKUP(A221,'[69]geoMap (66)'!$A:$C,3,0)</f>
        <v>#REF!</v>
      </c>
    </row>
    <row r="222" spans="1:68" hidden="1" x14ac:dyDescent="0.2">
      <c r="A222" s="1" t="s">
        <v>224</v>
      </c>
      <c r="B222" s="1" t="e">
        <f>VLOOKUP(A222,[3]geoMap!$A:$B,2,0)*Notes!$C$6</f>
        <v>#REF!</v>
      </c>
      <c r="C222" s="1" t="e">
        <f>B222/VLOOKUP(A222,'[4]geoMap (1)'!$A:$B,2,0)*VLOOKUP(A222,'[4]geoMap (1)'!$A:$C,3,0)</f>
        <v>#REF!</v>
      </c>
      <c r="D222" s="1" t="e">
        <f>C222/VLOOKUP(A222,'[5]geoMap (2)'!$A:$B,2,0)*VLOOKUP(A222,'[5]geoMap (2)'!$A:$C,3,0)</f>
        <v>#REF!</v>
      </c>
      <c r="E222" s="1" t="e">
        <f>D222/VLOOKUP(A222,'[6]geoMap (3)'!$A:$B,2,0)*VLOOKUP(A222,'[6]geoMap (3)'!$A:$C,3,0)</f>
        <v>#REF!</v>
      </c>
      <c r="F222" s="1" t="e">
        <f>E222/VLOOKUP(A222,'[7]geoMap (4)'!$A:$B,2,0)*VLOOKUP(A222,'[7]geoMap (4)'!$A:$C,3,0)</f>
        <v>#REF!</v>
      </c>
      <c r="G222" s="1" t="e">
        <f>F222/VLOOKUP(A222,'[8]geoMap (5)'!$A:$B,2,0)*VLOOKUP(A222,'[8]geoMap (5)'!$A:$C,3,0)</f>
        <v>#REF!</v>
      </c>
      <c r="H222" s="1" t="e">
        <f>G222/VLOOKUP(A222,'[9]geoMap (6)'!$A:$B,2,0)*VLOOKUP(A222,'[9]geoMap (6)'!$A:$C,3,0)</f>
        <v>#REF!</v>
      </c>
      <c r="I222" s="1" t="e">
        <f>H222/VLOOKUP(A222,'[10]geoMap (7)'!$A:$B,2,0)*VLOOKUP(A222,'[10]geoMap (7)'!$A:$C,3,0)</f>
        <v>#REF!</v>
      </c>
      <c r="J222" s="1" t="e">
        <f>I222/VLOOKUP(A222,'[11]geoMap (8)'!$A:$B,2,0)*VLOOKUP(A222,'[11]geoMap (8)'!$A:$C,3,0)</f>
        <v>#REF!</v>
      </c>
      <c r="K222" s="1" t="e">
        <f>J222/VLOOKUP(A222,'[12]geoMap (9)'!$A:$B,2,0)*VLOOKUP(A222,'[12]geoMap (9)'!$A:$C,3,0)</f>
        <v>#REF!</v>
      </c>
      <c r="L222" s="1" t="e">
        <f>K222/VLOOKUP(A222,'[13]geoMap (10)'!$A:$B,2,0)*VLOOKUP(A222,'[13]geoMap (10)'!$A:$C,3,0)</f>
        <v>#REF!</v>
      </c>
      <c r="M222" s="1" t="e">
        <f>L222/VLOOKUP(A222,'[14]geoMap (11)'!$A:$B,2,0)*VLOOKUP(A222,'[14]geoMap (11)'!$A:$C,3,0)</f>
        <v>#REF!</v>
      </c>
      <c r="N222" s="1" t="e">
        <f>M222/VLOOKUP(A222,'[15]geoMap (12)'!$A:$B,2,0)*VLOOKUP(A222,'[15]geoMap (12)'!$A:$C,3,0)</f>
        <v>#REF!</v>
      </c>
      <c r="O222" s="1" t="e">
        <f>N222/VLOOKUP(A222,'[16]geoMap (13)'!$A:$B,2,0)*VLOOKUP(A222,'[16]geoMap (13)'!$A:$C,3,0)</f>
        <v>#REF!</v>
      </c>
      <c r="P222" s="1" t="e">
        <f>O222/VLOOKUP(A222,'[17]geoMap (14)'!$A:$B,2,0)*VLOOKUP(A222,'[17]geoMap (14)'!$A:$C,3,0)</f>
        <v>#REF!</v>
      </c>
      <c r="Q222" s="1" t="e">
        <f>P222/VLOOKUP(A222,'[18]geoMap (15)'!$A:$B,2,0)*VLOOKUP(A222,'[18]geoMap (15)'!$A:$C,3,0)</f>
        <v>#REF!</v>
      </c>
      <c r="R222" s="1" t="e">
        <f>Q222/VLOOKUP(A222,'[19]geoMap (16)'!$A:$B,2,0)*VLOOKUP(A222,'[19]geoMap (16)'!$A:$C,3,0)</f>
        <v>#REF!</v>
      </c>
      <c r="S222" s="1" t="e">
        <f>R222/VLOOKUP(A222,'[20]geoMap (17)'!$A:$B,2,0)*VLOOKUP(A222,'[20]geoMap (17)'!$A:$C,3,0)</f>
        <v>#REF!</v>
      </c>
      <c r="T222" s="1" t="e">
        <f>S222/VLOOKUP(A222,'[21]geoMap (18)'!$A:$B,2,0)*VLOOKUP(A222,'[21]geoMap (18)'!$A:$C,3,0)</f>
        <v>#REF!</v>
      </c>
      <c r="U222" s="1" t="e">
        <f>T222/VLOOKUP(A222,'[22]geoMap (19)'!$A:$B,2,0)*VLOOKUP(A222,'[22]geoMap (19)'!$A:$C,3,0)</f>
        <v>#REF!</v>
      </c>
      <c r="V222" s="1" t="e">
        <f>U222/VLOOKUP(A222,'[23]geoMap (20)'!$A:$B,2,0)*VLOOKUP(A222,'[23]geoMap (20)'!$A:$C,3,0)</f>
        <v>#REF!</v>
      </c>
      <c r="W222" s="1" t="e">
        <f>V222/VLOOKUP(A222,'[24]geoMap (21)'!$A:$B,2,0)*VLOOKUP(A222,'[24]geoMap (21)'!$A:$C,3,0)</f>
        <v>#REF!</v>
      </c>
      <c r="X222" s="1" t="e">
        <f>W222/VLOOKUP(A222,'[25]geoMap (22)'!$A:$B,2,0)*VLOOKUP(A222,'[25]geoMap (22)'!$A:$C,3,0)</f>
        <v>#REF!</v>
      </c>
      <c r="Y222" s="1" t="e">
        <f>X222/VLOOKUP(A222,'[26]geoMap (23)'!$A:$B,2,0)*VLOOKUP(A222,'[26]geoMap (23)'!$A:$C,3,0)</f>
        <v>#REF!</v>
      </c>
      <c r="Z222" s="1" t="e">
        <f>Y222/VLOOKUP(A222,'[27]geoMap (24)'!$A:$B,2,0)*VLOOKUP(A222,'[27]geoMap (24)'!$A:$C,3,0)</f>
        <v>#REF!</v>
      </c>
      <c r="AA222" s="1" t="e">
        <f>Z222/VLOOKUP(A222,'[28]geoMap (25)'!$A:$B,2,0)*VLOOKUP(A222,'[28]geoMap (25)'!$A:$C,3,0)</f>
        <v>#REF!</v>
      </c>
      <c r="AB222" s="1" t="e">
        <f>AA222*VLOOKUP(A222,'[29]geoMap (26)'!$A:$B,2,0)*VLOOKUP(A222,'[29]geoMap (26)'!$A:$C,3,0)</f>
        <v>#REF!</v>
      </c>
      <c r="AC222" s="1" t="e">
        <f>AB222/VLOOKUP(A222,'[30]geoMap (27)'!$A:$B,2,0)*VLOOKUP(A222,'[30]geoMap (27)'!$A:$C,3,0)</f>
        <v>#REF!</v>
      </c>
      <c r="AD222" s="1" t="e">
        <f>AC222/VLOOKUP(A222,'[31]geoMap (28)'!$A:$B,2,0)*VLOOKUP(A222,'[31]geoMap (28)'!$A:$C,3,0)</f>
        <v>#REF!</v>
      </c>
      <c r="AE222" s="1" t="e">
        <f>AD222/VLOOKUP(A222,'[32]geoMap (29)'!$A:$B,2,0)*VLOOKUP(A222,'[32]geoMap (29)'!$A:$C,3,0)</f>
        <v>#REF!</v>
      </c>
      <c r="AF222" s="1" t="e">
        <f>AE222/VLOOKUP(A222,'[33]geoMap (30)'!$A:$B,2,0)*VLOOKUP(A222,'[33]geoMap (30)'!$A:$C,3,0)</f>
        <v>#REF!</v>
      </c>
      <c r="AG222" s="1" t="e">
        <f>AF222/VLOOKUP(A222,'[34]geoMap (31)'!$A:$B,2,0)*VLOOKUP(A222,'[34]geoMap (31)'!$A:$C,3,0)</f>
        <v>#REF!</v>
      </c>
      <c r="AH222" s="1" t="e">
        <f>AG222/VLOOKUP(A222,'[35]geoMap (32)'!$A:$B,2,0)*VLOOKUP(A222,'[35]geoMap (32)'!$A:$C,3,0)</f>
        <v>#REF!</v>
      </c>
      <c r="AI222" s="1" t="e">
        <f>AH222/VLOOKUP(A222,'[36]geoMap (33)'!$A:$B,2,0)*VLOOKUP(A222,'[36]geoMap (33)'!$A:$C,3,0)</f>
        <v>#REF!</v>
      </c>
      <c r="AJ222" s="1" t="e">
        <f>AI222/VLOOKUP(A222,'[37]geoMap (34)'!$A:$B,2,0)*VLOOKUP(A222,'[37]geoMap (34)'!$A:$C,3,0)</f>
        <v>#REF!</v>
      </c>
      <c r="AK222" s="1" t="e">
        <f>AJ222/VLOOKUP(A222,'[38]geoMap (35)'!$A:$B,2,0)*VLOOKUP(A222,'[38]geoMap (35)'!$A:$C,3,0)</f>
        <v>#REF!</v>
      </c>
      <c r="AL222" s="1" t="e">
        <f>AK222/VLOOKUP(A222,'[39]geoMap (36)'!$A:$B,2,0)*VLOOKUP(A222,'[39]geoMap (36)'!$A:$C,3,0)</f>
        <v>#REF!</v>
      </c>
      <c r="AM222" s="1" t="e">
        <f>AL222/VLOOKUP(A222,'[40]geoMap (37)'!$A:$B,2,0)*VLOOKUP(A222,'[40]geoMap (37)'!$A:$C,3,0)</f>
        <v>#REF!</v>
      </c>
      <c r="AN222" s="1" t="e">
        <f>AM222/VLOOKUP(A222,'[41]geoMap (38)'!$A:$B,2,0)*VLOOKUP(A222,'[41]geoMap (38)'!$A:$C,3,0)</f>
        <v>#REF!</v>
      </c>
      <c r="AO222" s="1" t="e">
        <f>AN222/VLOOKUP(A222,'[42]geoMap (39)'!$A:$B,2,0)*VLOOKUP(A222,'[42]geoMap (39)'!$A:$C,3,0)</f>
        <v>#REF!</v>
      </c>
      <c r="AP222" s="1" t="e">
        <f>AO222/VLOOKUP(A222,'[43]geoMap (40)'!$A:$B,2,0)*VLOOKUP(A222,'[43]geoMap (40)'!$A:$C,3,0)</f>
        <v>#REF!</v>
      </c>
      <c r="AQ222" s="1" t="e">
        <f>AP222/VLOOKUP(A222,'[44]geoMap (41)'!$A:$B,2,0)*VLOOKUP(A222,'[44]geoMap (41)'!$A:$C,3,0)</f>
        <v>#REF!</v>
      </c>
      <c r="AR222" s="1" t="e">
        <f>AQ222/VLOOKUP(A222,'[45]geoMap (42)'!$A:$B,2,0)*VLOOKUP(A222,'[45]geoMap (42)'!$A:$C,3,0)</f>
        <v>#REF!</v>
      </c>
      <c r="AS222" s="1" t="e">
        <f>AR222/VLOOKUP(A222,'[46]geoMap (43)'!$A:$B,2,0)*VLOOKUP(A222,'[46]geoMap (43)'!$A:$C,3,0)</f>
        <v>#REF!</v>
      </c>
      <c r="AT222" s="1" t="e">
        <f>AS222/VLOOKUP(A222,'[47]geoMap (44)'!$A:$B,2,0)*VLOOKUP(A222,'[47]geoMap (44)'!$A:$C,3,0)</f>
        <v>#REF!</v>
      </c>
      <c r="AU222" s="1" t="e">
        <f>AT222/VLOOKUP(A222,'[48]geoMap (45)'!$A:$B,2,0)*VLOOKUP(A222,'[48]geoMap (45)'!$A:$C,3,0)</f>
        <v>#REF!</v>
      </c>
      <c r="AV222" s="1" t="e">
        <f>AU222/VLOOKUP(A222,'[49]geoMap (46)'!$A:$B,2,0)*VLOOKUP(A222,'[49]geoMap (46)'!$A:$C,3,0)</f>
        <v>#REF!</v>
      </c>
      <c r="AW222" s="1" t="e">
        <f>AV222/VLOOKUP(A222,'[50]geoMap (47)'!$A:$B,2,0)*VLOOKUP(A222,'[50]geoMap (47)'!$A:$C,3,0)</f>
        <v>#REF!</v>
      </c>
      <c r="AX222" s="1" t="e">
        <f>AW222/VLOOKUP(A222,'[51]geoMap (48)'!$A:$B,2,0)*VLOOKUP(A222,'[51]geoMap (48)'!$A:$C,3,0)</f>
        <v>#REF!</v>
      </c>
      <c r="AY222" s="1" t="e">
        <f>AX222/VLOOKUP(A222,'[52]geoMap (49)'!$A:$B,2,0)*VLOOKUP(A222,'[52]geoMap (49)'!$A:$C,3,0)</f>
        <v>#REF!</v>
      </c>
      <c r="AZ222" s="1" t="e">
        <f>AY222/VLOOKUP(A222,'[53]geoMap (50)'!$A:$B,2,0)*VLOOKUP(A222,'[53]geoMap (50)'!$A:$C,3,0)</f>
        <v>#REF!</v>
      </c>
      <c r="BA222" s="1" t="e">
        <f>AZ222/VLOOKUP(A222,'[54]geoMap (51)'!$A:$B,2,0)*VLOOKUP(A222,'[54]geoMap (51)'!$A:$C,3,0)</f>
        <v>#REF!</v>
      </c>
      <c r="BB222" s="1" t="e">
        <f>BA222/VLOOKUP(A222,'[55]geoMap (52)'!$A:$B,2,0)*VLOOKUP(A222,'[55]geoMap (52)'!$A:$C,3,0)</f>
        <v>#REF!</v>
      </c>
      <c r="BC222" s="1" t="e">
        <f>BB222/VLOOKUP(A222,'[56]geoMap (53)'!$A:$B,2,0)*VLOOKUP(A222,'[56]geoMap (53)'!$A:$C,3,0)</f>
        <v>#REF!</v>
      </c>
      <c r="BD222" s="1" t="e">
        <f>BC222/VLOOKUP(A222,'[57]geoMap (54)'!$A:$B,2,0)*VLOOKUP(A222,'[57]geoMap (54)'!$A:$C,3,0)</f>
        <v>#REF!</v>
      </c>
      <c r="BE222" s="1" t="e">
        <f>BD222/VLOOKUP(A222,'[58]geoMap (55)'!$A:$B,2,0)*VLOOKUP(A222,'[58]geoMap (55)'!$A:$C,3,0)</f>
        <v>#REF!</v>
      </c>
      <c r="BF222" s="1" t="e">
        <f>BE222/VLOOKUP(A222,'[59]geoMap (56)'!$A:$B,2,0)*VLOOKUP(A222,'[59]geoMap (56)'!$A:$C,3,0)</f>
        <v>#REF!</v>
      </c>
      <c r="BG222" s="1" t="e">
        <f>BF222/VLOOKUP(A222,'[60]geoMap (57)'!$A:$B,2,0)*VLOOKUP(A222,'[60]geoMap (57)'!$A:$C,3,0)</f>
        <v>#REF!</v>
      </c>
      <c r="BH222" s="1" t="e">
        <f>BG222/VLOOKUP(A222,'[61]geoMap (58)'!$A:$B,2,0)*VLOOKUP(A222,'[61]geoMap (58)'!$A:$C,3,0)</f>
        <v>#REF!</v>
      </c>
      <c r="BI222" s="1" t="e">
        <f>BH222/VLOOKUP(A222,'[62]geoMap (59)'!$A:$B,2,0)*VLOOKUP(A222,'[62]geoMap (59)'!$A:$C,3,0)</f>
        <v>#REF!</v>
      </c>
      <c r="BJ222" s="1" t="e">
        <f>BI222/VLOOKUP(A222,'[63]geoMap (60)'!$A:$B,2,0)*VLOOKUP(A222,'[63]geoMap (60)'!$A:$C,3,0)</f>
        <v>#REF!</v>
      </c>
      <c r="BK222" s="1" t="e">
        <f>BJ222/VLOOKUP(A222,'[64]geoMap (61)'!$A:$B,2,0)*VLOOKUP(A222,'[64]geoMap (61)'!$A:$C,3,0)</f>
        <v>#REF!</v>
      </c>
      <c r="BL222" s="1" t="e">
        <f>BK222/VLOOKUP(A222,'[65]geoMap (62)'!$A:$B,2,0)*VLOOKUP(A222,'[65]geoMap (62)'!$A:$C,3,0)</f>
        <v>#REF!</v>
      </c>
      <c r="BM222" s="1" t="e">
        <f>BL222/VLOOKUP(A222,'[66]geoMap (63)'!$A:$B,2,0)*VLOOKUP(A222,'[66]geoMap (63)'!$A:$C,3,0)</f>
        <v>#REF!</v>
      </c>
      <c r="BN222" s="1" t="e">
        <f>BM222/VLOOKUP(A222,'[67]geoMap (64)'!$A:$B,2,0)*VLOOKUP(A222,'[67]geoMap (64)'!$A:$C,3,0)</f>
        <v>#REF!</v>
      </c>
      <c r="BO222" s="1" t="e">
        <f>BN222/VLOOKUP(A222,'[68]geoMap (65)'!$A:$B,2,0)*VLOOKUP(A222,'[68]geoMap (65)'!$A:$C,3,0)</f>
        <v>#REF!</v>
      </c>
      <c r="BP222" s="1" t="e">
        <f>BO222/VLOOKUP(A222,'[69]geoMap (66)'!$A:$B,2,0)*VLOOKUP(A222,'[69]geoMap (66)'!$A:$C,3,0)</f>
        <v>#REF!</v>
      </c>
    </row>
    <row r="223" spans="1:68" hidden="1" x14ac:dyDescent="0.2">
      <c r="A223" s="1" t="s">
        <v>225</v>
      </c>
      <c r="B223" s="1" t="e">
        <f>VLOOKUP(A223,[3]geoMap!$A:$B,2,0)*Notes!$C$6</f>
        <v>#REF!</v>
      </c>
      <c r="C223" s="1" t="e">
        <f>B223/VLOOKUP(A223,'[4]geoMap (1)'!$A:$B,2,0)*VLOOKUP(A223,'[4]geoMap (1)'!$A:$C,3,0)</f>
        <v>#REF!</v>
      </c>
      <c r="D223" s="1" t="e">
        <f>C223/VLOOKUP(A223,'[5]geoMap (2)'!$A:$B,2,0)*VLOOKUP(A223,'[5]geoMap (2)'!$A:$C,3,0)</f>
        <v>#REF!</v>
      </c>
      <c r="E223" s="1" t="e">
        <f>D223/VLOOKUP(A223,'[6]geoMap (3)'!$A:$B,2,0)*VLOOKUP(A223,'[6]geoMap (3)'!$A:$C,3,0)</f>
        <v>#REF!</v>
      </c>
      <c r="F223" s="1" t="e">
        <f>E223/VLOOKUP(A223,'[7]geoMap (4)'!$A:$B,2,0)*VLOOKUP(A223,'[7]geoMap (4)'!$A:$C,3,0)</f>
        <v>#REF!</v>
      </c>
      <c r="G223" s="1" t="e">
        <f>F223/VLOOKUP(A223,'[8]geoMap (5)'!$A:$B,2,0)*VLOOKUP(A223,'[8]geoMap (5)'!$A:$C,3,0)</f>
        <v>#REF!</v>
      </c>
      <c r="H223" s="1" t="e">
        <f>G223/VLOOKUP(A223,'[9]geoMap (6)'!$A:$B,2,0)*VLOOKUP(A223,'[9]geoMap (6)'!$A:$C,3,0)</f>
        <v>#REF!</v>
      </c>
      <c r="I223" s="1" t="e">
        <f>H223/VLOOKUP(A223,'[10]geoMap (7)'!$A:$B,2,0)*VLOOKUP(A223,'[10]geoMap (7)'!$A:$C,3,0)</f>
        <v>#REF!</v>
      </c>
      <c r="J223" s="1" t="e">
        <f>I223/VLOOKUP(A223,'[11]geoMap (8)'!$A:$B,2,0)*VLOOKUP(A223,'[11]geoMap (8)'!$A:$C,3,0)</f>
        <v>#REF!</v>
      </c>
      <c r="K223" s="1" t="e">
        <f>J223/VLOOKUP(A223,'[12]geoMap (9)'!$A:$B,2,0)*VLOOKUP(A223,'[12]geoMap (9)'!$A:$C,3,0)</f>
        <v>#REF!</v>
      </c>
      <c r="L223" s="1" t="e">
        <f>K223/VLOOKUP(A223,'[13]geoMap (10)'!$A:$B,2,0)*VLOOKUP(A223,'[13]geoMap (10)'!$A:$C,3,0)</f>
        <v>#REF!</v>
      </c>
      <c r="M223" s="1" t="e">
        <f>L223/VLOOKUP(A223,'[14]geoMap (11)'!$A:$B,2,0)*VLOOKUP(A223,'[14]geoMap (11)'!$A:$C,3,0)</f>
        <v>#REF!</v>
      </c>
      <c r="N223" s="1" t="e">
        <f>M223/VLOOKUP(A223,'[15]geoMap (12)'!$A:$B,2,0)*VLOOKUP(A223,'[15]geoMap (12)'!$A:$C,3,0)</f>
        <v>#REF!</v>
      </c>
      <c r="O223" s="1" t="e">
        <f>N223/VLOOKUP(A223,'[16]geoMap (13)'!$A:$B,2,0)*VLOOKUP(A223,'[16]geoMap (13)'!$A:$C,3,0)</f>
        <v>#REF!</v>
      </c>
      <c r="P223" s="1" t="e">
        <f>O223/VLOOKUP(A223,'[17]geoMap (14)'!$A:$B,2,0)*VLOOKUP(A223,'[17]geoMap (14)'!$A:$C,3,0)</f>
        <v>#REF!</v>
      </c>
      <c r="Q223" s="1" t="e">
        <f>P223/VLOOKUP(A223,'[18]geoMap (15)'!$A:$B,2,0)*VLOOKUP(A223,'[18]geoMap (15)'!$A:$C,3,0)</f>
        <v>#REF!</v>
      </c>
      <c r="R223" s="1" t="e">
        <f>Q223/VLOOKUP(A223,'[19]geoMap (16)'!$A:$B,2,0)*VLOOKUP(A223,'[19]geoMap (16)'!$A:$C,3,0)</f>
        <v>#REF!</v>
      </c>
      <c r="S223" s="1" t="e">
        <f>R223/VLOOKUP(A223,'[20]geoMap (17)'!$A:$B,2,0)*VLOOKUP(A223,'[20]geoMap (17)'!$A:$C,3,0)</f>
        <v>#REF!</v>
      </c>
      <c r="T223" s="1" t="e">
        <f>S223/VLOOKUP(A223,'[21]geoMap (18)'!$A:$B,2,0)*VLOOKUP(A223,'[21]geoMap (18)'!$A:$C,3,0)</f>
        <v>#REF!</v>
      </c>
      <c r="U223" s="1" t="e">
        <f>T223/VLOOKUP(A223,'[22]geoMap (19)'!$A:$B,2,0)*VLOOKUP(A223,'[22]geoMap (19)'!$A:$C,3,0)</f>
        <v>#REF!</v>
      </c>
      <c r="V223" s="1" t="e">
        <f>U223/VLOOKUP(A223,'[23]geoMap (20)'!$A:$B,2,0)*VLOOKUP(A223,'[23]geoMap (20)'!$A:$C,3,0)</f>
        <v>#REF!</v>
      </c>
      <c r="W223" s="1" t="e">
        <f>V223/VLOOKUP(A223,'[24]geoMap (21)'!$A:$B,2,0)*VLOOKUP(A223,'[24]geoMap (21)'!$A:$C,3,0)</f>
        <v>#REF!</v>
      </c>
      <c r="X223" s="1" t="e">
        <f>W223/VLOOKUP(A223,'[25]geoMap (22)'!$A:$B,2,0)*VLOOKUP(A223,'[25]geoMap (22)'!$A:$C,3,0)</f>
        <v>#REF!</v>
      </c>
      <c r="Y223" s="1" t="e">
        <f>X223/VLOOKUP(A223,'[26]geoMap (23)'!$A:$B,2,0)*VLOOKUP(A223,'[26]geoMap (23)'!$A:$C,3,0)</f>
        <v>#REF!</v>
      </c>
      <c r="Z223" s="1" t="e">
        <f>Y223/VLOOKUP(A223,'[27]geoMap (24)'!$A:$B,2,0)*VLOOKUP(A223,'[27]geoMap (24)'!$A:$C,3,0)</f>
        <v>#REF!</v>
      </c>
      <c r="AA223" s="1" t="e">
        <f>Z223/VLOOKUP(A223,'[28]geoMap (25)'!$A:$B,2,0)*VLOOKUP(A223,'[28]geoMap (25)'!$A:$C,3,0)</f>
        <v>#REF!</v>
      </c>
      <c r="AB223" s="1" t="e">
        <f>AA223*VLOOKUP(A223,'[29]geoMap (26)'!$A:$B,2,0)*VLOOKUP(A223,'[29]geoMap (26)'!$A:$C,3,0)</f>
        <v>#REF!</v>
      </c>
      <c r="AC223" s="1" t="e">
        <f>AB223/VLOOKUP(A223,'[30]geoMap (27)'!$A:$B,2,0)*VLOOKUP(A223,'[30]geoMap (27)'!$A:$C,3,0)</f>
        <v>#REF!</v>
      </c>
      <c r="AD223" s="1" t="e">
        <f>AC223/VLOOKUP(A223,'[31]geoMap (28)'!$A:$B,2,0)*VLOOKUP(A223,'[31]geoMap (28)'!$A:$C,3,0)</f>
        <v>#REF!</v>
      </c>
      <c r="AE223" s="1" t="e">
        <f>AD223/VLOOKUP(A223,'[32]geoMap (29)'!$A:$B,2,0)*VLOOKUP(A223,'[32]geoMap (29)'!$A:$C,3,0)</f>
        <v>#REF!</v>
      </c>
      <c r="AF223" s="1" t="e">
        <f>AE223/VLOOKUP(A223,'[33]geoMap (30)'!$A:$B,2,0)*VLOOKUP(A223,'[33]geoMap (30)'!$A:$C,3,0)</f>
        <v>#REF!</v>
      </c>
      <c r="AG223" s="1" t="e">
        <f>AF223/VLOOKUP(A223,'[34]geoMap (31)'!$A:$B,2,0)*VLOOKUP(A223,'[34]geoMap (31)'!$A:$C,3,0)</f>
        <v>#REF!</v>
      </c>
      <c r="AH223" s="1" t="e">
        <f>AG223/VLOOKUP(A223,'[35]geoMap (32)'!$A:$B,2,0)*VLOOKUP(A223,'[35]geoMap (32)'!$A:$C,3,0)</f>
        <v>#REF!</v>
      </c>
      <c r="AI223" s="1" t="e">
        <f>AH223/VLOOKUP(A223,'[36]geoMap (33)'!$A:$B,2,0)*VLOOKUP(A223,'[36]geoMap (33)'!$A:$C,3,0)</f>
        <v>#REF!</v>
      </c>
      <c r="AJ223" s="1" t="e">
        <f>AI223/VLOOKUP(A223,'[37]geoMap (34)'!$A:$B,2,0)*VLOOKUP(A223,'[37]geoMap (34)'!$A:$C,3,0)</f>
        <v>#REF!</v>
      </c>
      <c r="AK223" s="1" t="e">
        <f>AJ223/VLOOKUP(A223,'[38]geoMap (35)'!$A:$B,2,0)*VLOOKUP(A223,'[38]geoMap (35)'!$A:$C,3,0)</f>
        <v>#REF!</v>
      </c>
      <c r="AL223" s="1" t="e">
        <f>AK223/VLOOKUP(A223,'[39]geoMap (36)'!$A:$B,2,0)*VLOOKUP(A223,'[39]geoMap (36)'!$A:$C,3,0)</f>
        <v>#REF!</v>
      </c>
      <c r="AM223" s="1" t="e">
        <f>AL223/VLOOKUP(A223,'[40]geoMap (37)'!$A:$B,2,0)*VLOOKUP(A223,'[40]geoMap (37)'!$A:$C,3,0)</f>
        <v>#REF!</v>
      </c>
      <c r="AN223" s="1" t="e">
        <f>AM223/VLOOKUP(A223,'[41]geoMap (38)'!$A:$B,2,0)*VLOOKUP(A223,'[41]geoMap (38)'!$A:$C,3,0)</f>
        <v>#REF!</v>
      </c>
      <c r="AO223" s="1" t="e">
        <f>AN223/VLOOKUP(A223,'[42]geoMap (39)'!$A:$B,2,0)*VLOOKUP(A223,'[42]geoMap (39)'!$A:$C,3,0)</f>
        <v>#REF!</v>
      </c>
      <c r="AP223" s="1" t="e">
        <f>AO223/VLOOKUP(A223,'[43]geoMap (40)'!$A:$B,2,0)*VLOOKUP(A223,'[43]geoMap (40)'!$A:$C,3,0)</f>
        <v>#REF!</v>
      </c>
      <c r="AQ223" s="1" t="e">
        <f>AP223/VLOOKUP(A223,'[44]geoMap (41)'!$A:$B,2,0)*VLOOKUP(A223,'[44]geoMap (41)'!$A:$C,3,0)</f>
        <v>#REF!</v>
      </c>
      <c r="AR223" s="1" t="e">
        <f>AQ223/VLOOKUP(A223,'[45]geoMap (42)'!$A:$B,2,0)*VLOOKUP(A223,'[45]geoMap (42)'!$A:$C,3,0)</f>
        <v>#REF!</v>
      </c>
      <c r="AS223" s="1" t="e">
        <f>AR223/VLOOKUP(A223,'[46]geoMap (43)'!$A:$B,2,0)*VLOOKUP(A223,'[46]geoMap (43)'!$A:$C,3,0)</f>
        <v>#REF!</v>
      </c>
      <c r="AT223" s="1" t="e">
        <f>AS223/VLOOKUP(A223,'[47]geoMap (44)'!$A:$B,2,0)*VLOOKUP(A223,'[47]geoMap (44)'!$A:$C,3,0)</f>
        <v>#REF!</v>
      </c>
      <c r="AU223" s="1" t="e">
        <f>AT223/VLOOKUP(A223,'[48]geoMap (45)'!$A:$B,2,0)*VLOOKUP(A223,'[48]geoMap (45)'!$A:$C,3,0)</f>
        <v>#REF!</v>
      </c>
      <c r="AV223" s="1" t="e">
        <f>AU223/VLOOKUP(A223,'[49]geoMap (46)'!$A:$B,2,0)*VLOOKUP(A223,'[49]geoMap (46)'!$A:$C,3,0)</f>
        <v>#REF!</v>
      </c>
      <c r="AW223" s="1" t="e">
        <f>AV223/VLOOKUP(A223,'[50]geoMap (47)'!$A:$B,2,0)*VLOOKUP(A223,'[50]geoMap (47)'!$A:$C,3,0)</f>
        <v>#REF!</v>
      </c>
      <c r="AX223" s="1" t="e">
        <f>AW223/VLOOKUP(A223,'[51]geoMap (48)'!$A:$B,2,0)*VLOOKUP(A223,'[51]geoMap (48)'!$A:$C,3,0)</f>
        <v>#REF!</v>
      </c>
      <c r="AY223" s="1" t="e">
        <f>AX223/VLOOKUP(A223,'[52]geoMap (49)'!$A:$B,2,0)*VLOOKUP(A223,'[52]geoMap (49)'!$A:$C,3,0)</f>
        <v>#REF!</v>
      </c>
      <c r="AZ223" s="1" t="e">
        <f>AY223/VLOOKUP(A223,'[53]geoMap (50)'!$A:$B,2,0)*VLOOKUP(A223,'[53]geoMap (50)'!$A:$C,3,0)</f>
        <v>#REF!</v>
      </c>
      <c r="BA223" s="1" t="e">
        <f>AZ223/VLOOKUP(A223,'[54]geoMap (51)'!$A:$B,2,0)*VLOOKUP(A223,'[54]geoMap (51)'!$A:$C,3,0)</f>
        <v>#REF!</v>
      </c>
      <c r="BB223" s="1" t="e">
        <f>BA223/VLOOKUP(A223,'[55]geoMap (52)'!$A:$B,2,0)*VLOOKUP(A223,'[55]geoMap (52)'!$A:$C,3,0)</f>
        <v>#REF!</v>
      </c>
      <c r="BC223" s="1" t="e">
        <f>BB223/VLOOKUP(A223,'[56]geoMap (53)'!$A:$B,2,0)*VLOOKUP(A223,'[56]geoMap (53)'!$A:$C,3,0)</f>
        <v>#REF!</v>
      </c>
      <c r="BD223" s="1" t="e">
        <f>BC223/VLOOKUP(A223,'[57]geoMap (54)'!$A:$B,2,0)*VLOOKUP(A223,'[57]geoMap (54)'!$A:$C,3,0)</f>
        <v>#REF!</v>
      </c>
      <c r="BE223" s="1" t="e">
        <f>BD223/VLOOKUP(A223,'[58]geoMap (55)'!$A:$B,2,0)*VLOOKUP(A223,'[58]geoMap (55)'!$A:$C,3,0)</f>
        <v>#REF!</v>
      </c>
      <c r="BF223" s="1" t="e">
        <f>BE223/VLOOKUP(A223,'[59]geoMap (56)'!$A:$B,2,0)*VLOOKUP(A223,'[59]geoMap (56)'!$A:$C,3,0)</f>
        <v>#REF!</v>
      </c>
      <c r="BG223" s="1" t="e">
        <f>BF223/VLOOKUP(A223,'[60]geoMap (57)'!$A:$B,2,0)*VLOOKUP(A223,'[60]geoMap (57)'!$A:$C,3,0)</f>
        <v>#REF!</v>
      </c>
      <c r="BH223" s="1" t="e">
        <f>BG223/VLOOKUP(A223,'[61]geoMap (58)'!$A:$B,2,0)*VLOOKUP(A223,'[61]geoMap (58)'!$A:$C,3,0)</f>
        <v>#REF!</v>
      </c>
      <c r="BI223" s="1" t="e">
        <f>BH223/VLOOKUP(A223,'[62]geoMap (59)'!$A:$B,2,0)*VLOOKUP(A223,'[62]geoMap (59)'!$A:$C,3,0)</f>
        <v>#REF!</v>
      </c>
      <c r="BJ223" s="1" t="e">
        <f>BI223/VLOOKUP(A223,'[63]geoMap (60)'!$A:$B,2,0)*VLOOKUP(A223,'[63]geoMap (60)'!$A:$C,3,0)</f>
        <v>#REF!</v>
      </c>
      <c r="BK223" s="1" t="e">
        <f>BJ223/VLOOKUP(A223,'[64]geoMap (61)'!$A:$B,2,0)*VLOOKUP(A223,'[64]geoMap (61)'!$A:$C,3,0)</f>
        <v>#REF!</v>
      </c>
      <c r="BL223" s="1" t="e">
        <f>BK223/VLOOKUP(A223,'[65]geoMap (62)'!$A:$B,2,0)*VLOOKUP(A223,'[65]geoMap (62)'!$A:$C,3,0)</f>
        <v>#REF!</v>
      </c>
      <c r="BM223" s="1" t="e">
        <f>BL223/VLOOKUP(A223,'[66]geoMap (63)'!$A:$B,2,0)*VLOOKUP(A223,'[66]geoMap (63)'!$A:$C,3,0)</f>
        <v>#REF!</v>
      </c>
      <c r="BN223" s="1" t="e">
        <f>BM223/VLOOKUP(A223,'[67]geoMap (64)'!$A:$B,2,0)*VLOOKUP(A223,'[67]geoMap (64)'!$A:$C,3,0)</f>
        <v>#REF!</v>
      </c>
      <c r="BO223" s="1" t="e">
        <f>BN223/VLOOKUP(A223,'[68]geoMap (65)'!$A:$B,2,0)*VLOOKUP(A223,'[68]geoMap (65)'!$A:$C,3,0)</f>
        <v>#REF!</v>
      </c>
      <c r="BP223" s="1" t="e">
        <f>BO223/VLOOKUP(A223,'[69]geoMap (66)'!$A:$B,2,0)*VLOOKUP(A223,'[69]geoMap (66)'!$A:$C,3,0)</f>
        <v>#REF!</v>
      </c>
    </row>
    <row r="224" spans="1:68" hidden="1" x14ac:dyDescent="0.2">
      <c r="A224" s="1" t="s">
        <v>226</v>
      </c>
      <c r="B224" s="1" t="e">
        <f>VLOOKUP(A224,[3]geoMap!$A:$B,2,0)*Notes!$C$6</f>
        <v>#REF!</v>
      </c>
      <c r="C224" s="1" t="e">
        <f>B224/VLOOKUP(A224,'[4]geoMap (1)'!$A:$B,2,0)*VLOOKUP(A224,'[4]geoMap (1)'!$A:$C,3,0)</f>
        <v>#REF!</v>
      </c>
      <c r="D224" s="1" t="e">
        <f>C224/VLOOKUP(A224,'[5]geoMap (2)'!$A:$B,2,0)*VLOOKUP(A224,'[5]geoMap (2)'!$A:$C,3,0)</f>
        <v>#REF!</v>
      </c>
      <c r="E224" s="1" t="e">
        <f>D224/VLOOKUP(A224,'[6]geoMap (3)'!$A:$B,2,0)*VLOOKUP(A224,'[6]geoMap (3)'!$A:$C,3,0)</f>
        <v>#REF!</v>
      </c>
      <c r="F224" s="1" t="e">
        <f>E224/VLOOKUP(A224,'[7]geoMap (4)'!$A:$B,2,0)*VLOOKUP(A224,'[7]geoMap (4)'!$A:$C,3,0)</f>
        <v>#REF!</v>
      </c>
      <c r="G224" s="1" t="e">
        <f>F224/VLOOKUP(A224,'[8]geoMap (5)'!$A:$B,2,0)*VLOOKUP(A224,'[8]geoMap (5)'!$A:$C,3,0)</f>
        <v>#REF!</v>
      </c>
      <c r="H224" s="1" t="e">
        <f>G224/VLOOKUP(A224,'[9]geoMap (6)'!$A:$B,2,0)*VLOOKUP(A224,'[9]geoMap (6)'!$A:$C,3,0)</f>
        <v>#REF!</v>
      </c>
      <c r="I224" s="1" t="e">
        <f>H224/VLOOKUP(A224,'[10]geoMap (7)'!$A:$B,2,0)*VLOOKUP(A224,'[10]geoMap (7)'!$A:$C,3,0)</f>
        <v>#REF!</v>
      </c>
      <c r="J224" s="1" t="e">
        <f>I224/VLOOKUP(A224,'[11]geoMap (8)'!$A:$B,2,0)*VLOOKUP(A224,'[11]geoMap (8)'!$A:$C,3,0)</f>
        <v>#REF!</v>
      </c>
      <c r="K224" s="1" t="e">
        <f>J224/VLOOKUP(A224,'[12]geoMap (9)'!$A:$B,2,0)*VLOOKUP(A224,'[12]geoMap (9)'!$A:$C,3,0)</f>
        <v>#REF!</v>
      </c>
      <c r="L224" s="1" t="e">
        <f>K224/VLOOKUP(A224,'[13]geoMap (10)'!$A:$B,2,0)*VLOOKUP(A224,'[13]geoMap (10)'!$A:$C,3,0)</f>
        <v>#REF!</v>
      </c>
      <c r="M224" s="1" t="e">
        <f>L224/VLOOKUP(A224,'[14]geoMap (11)'!$A:$B,2,0)*VLOOKUP(A224,'[14]geoMap (11)'!$A:$C,3,0)</f>
        <v>#REF!</v>
      </c>
      <c r="N224" s="1" t="e">
        <f>M224/VLOOKUP(A224,'[15]geoMap (12)'!$A:$B,2,0)*VLOOKUP(A224,'[15]geoMap (12)'!$A:$C,3,0)</f>
        <v>#REF!</v>
      </c>
      <c r="O224" s="1" t="e">
        <f>N224/VLOOKUP(A224,'[16]geoMap (13)'!$A:$B,2,0)*VLOOKUP(A224,'[16]geoMap (13)'!$A:$C,3,0)</f>
        <v>#REF!</v>
      </c>
      <c r="P224" s="1" t="e">
        <f>O224/VLOOKUP(A224,'[17]geoMap (14)'!$A:$B,2,0)*VLOOKUP(A224,'[17]geoMap (14)'!$A:$C,3,0)</f>
        <v>#REF!</v>
      </c>
      <c r="Q224" s="1" t="e">
        <f>P224/VLOOKUP(A224,'[18]geoMap (15)'!$A:$B,2,0)*VLOOKUP(A224,'[18]geoMap (15)'!$A:$C,3,0)</f>
        <v>#REF!</v>
      </c>
      <c r="R224" s="1" t="e">
        <f>Q224/VLOOKUP(A224,'[19]geoMap (16)'!$A:$B,2,0)*VLOOKUP(A224,'[19]geoMap (16)'!$A:$C,3,0)</f>
        <v>#REF!</v>
      </c>
      <c r="S224" s="1" t="e">
        <f>R224/VLOOKUP(A224,'[20]geoMap (17)'!$A:$B,2,0)*VLOOKUP(A224,'[20]geoMap (17)'!$A:$C,3,0)</f>
        <v>#REF!</v>
      </c>
      <c r="T224" s="1" t="e">
        <f>S224/VLOOKUP(A224,'[21]geoMap (18)'!$A:$B,2,0)*VLOOKUP(A224,'[21]geoMap (18)'!$A:$C,3,0)</f>
        <v>#REF!</v>
      </c>
      <c r="U224" s="1" t="e">
        <f>T224/VLOOKUP(A224,'[22]geoMap (19)'!$A:$B,2,0)*VLOOKUP(A224,'[22]geoMap (19)'!$A:$C,3,0)</f>
        <v>#REF!</v>
      </c>
      <c r="V224" s="1" t="e">
        <f>U224/VLOOKUP(A224,'[23]geoMap (20)'!$A:$B,2,0)*VLOOKUP(A224,'[23]geoMap (20)'!$A:$C,3,0)</f>
        <v>#REF!</v>
      </c>
      <c r="W224" s="1" t="e">
        <f>V224/VLOOKUP(A224,'[24]geoMap (21)'!$A:$B,2,0)*VLOOKUP(A224,'[24]geoMap (21)'!$A:$C,3,0)</f>
        <v>#REF!</v>
      </c>
      <c r="X224" s="1" t="e">
        <f>W224/VLOOKUP(A224,'[25]geoMap (22)'!$A:$B,2,0)*VLOOKUP(A224,'[25]geoMap (22)'!$A:$C,3,0)</f>
        <v>#REF!</v>
      </c>
      <c r="Y224" s="1" t="e">
        <f>X224/VLOOKUP(A224,'[26]geoMap (23)'!$A:$B,2,0)*VLOOKUP(A224,'[26]geoMap (23)'!$A:$C,3,0)</f>
        <v>#REF!</v>
      </c>
      <c r="Z224" s="1" t="e">
        <f>Y224/VLOOKUP(A224,'[27]geoMap (24)'!$A:$B,2,0)*VLOOKUP(A224,'[27]geoMap (24)'!$A:$C,3,0)</f>
        <v>#REF!</v>
      </c>
      <c r="AA224" s="1" t="e">
        <f>Z224/VLOOKUP(A224,'[28]geoMap (25)'!$A:$B,2,0)*VLOOKUP(A224,'[28]geoMap (25)'!$A:$C,3,0)</f>
        <v>#REF!</v>
      </c>
      <c r="AB224" s="1" t="e">
        <f>AA224*VLOOKUP(A224,'[29]geoMap (26)'!$A:$B,2,0)*VLOOKUP(A224,'[29]geoMap (26)'!$A:$C,3,0)</f>
        <v>#REF!</v>
      </c>
      <c r="AC224" s="1" t="e">
        <f>AB224/VLOOKUP(A224,'[30]geoMap (27)'!$A:$B,2,0)*VLOOKUP(A224,'[30]geoMap (27)'!$A:$C,3,0)</f>
        <v>#REF!</v>
      </c>
      <c r="AD224" s="1" t="e">
        <f>AC224/VLOOKUP(A224,'[31]geoMap (28)'!$A:$B,2,0)*VLOOKUP(A224,'[31]geoMap (28)'!$A:$C,3,0)</f>
        <v>#REF!</v>
      </c>
      <c r="AE224" s="1" t="e">
        <f>AD224/VLOOKUP(A224,'[32]geoMap (29)'!$A:$B,2,0)*VLOOKUP(A224,'[32]geoMap (29)'!$A:$C,3,0)</f>
        <v>#REF!</v>
      </c>
      <c r="AF224" s="1" t="e">
        <f>AE224/VLOOKUP(A224,'[33]geoMap (30)'!$A:$B,2,0)*VLOOKUP(A224,'[33]geoMap (30)'!$A:$C,3,0)</f>
        <v>#REF!</v>
      </c>
      <c r="AG224" s="1" t="e">
        <f>AF224/VLOOKUP(A224,'[34]geoMap (31)'!$A:$B,2,0)*VLOOKUP(A224,'[34]geoMap (31)'!$A:$C,3,0)</f>
        <v>#REF!</v>
      </c>
      <c r="AH224" s="1" t="e">
        <f>AG224/VLOOKUP(A224,'[35]geoMap (32)'!$A:$B,2,0)*VLOOKUP(A224,'[35]geoMap (32)'!$A:$C,3,0)</f>
        <v>#REF!</v>
      </c>
      <c r="AI224" s="1" t="e">
        <f>AH224/VLOOKUP(A224,'[36]geoMap (33)'!$A:$B,2,0)*VLOOKUP(A224,'[36]geoMap (33)'!$A:$C,3,0)</f>
        <v>#REF!</v>
      </c>
      <c r="AJ224" s="1" t="e">
        <f>AI224/VLOOKUP(A224,'[37]geoMap (34)'!$A:$B,2,0)*VLOOKUP(A224,'[37]geoMap (34)'!$A:$C,3,0)</f>
        <v>#REF!</v>
      </c>
      <c r="AK224" s="1" t="e">
        <f>AJ224/VLOOKUP(A224,'[38]geoMap (35)'!$A:$B,2,0)*VLOOKUP(A224,'[38]geoMap (35)'!$A:$C,3,0)</f>
        <v>#REF!</v>
      </c>
      <c r="AL224" s="1" t="e">
        <f>AK224/VLOOKUP(A224,'[39]geoMap (36)'!$A:$B,2,0)*VLOOKUP(A224,'[39]geoMap (36)'!$A:$C,3,0)</f>
        <v>#REF!</v>
      </c>
      <c r="AM224" s="1" t="e">
        <f>AL224/VLOOKUP(A224,'[40]geoMap (37)'!$A:$B,2,0)*VLOOKUP(A224,'[40]geoMap (37)'!$A:$C,3,0)</f>
        <v>#REF!</v>
      </c>
      <c r="AN224" s="1" t="e">
        <f>AM224/VLOOKUP(A224,'[41]geoMap (38)'!$A:$B,2,0)*VLOOKUP(A224,'[41]geoMap (38)'!$A:$C,3,0)</f>
        <v>#REF!</v>
      </c>
      <c r="AO224" s="1" t="e">
        <f>AN224/VLOOKUP(A224,'[42]geoMap (39)'!$A:$B,2,0)*VLOOKUP(A224,'[42]geoMap (39)'!$A:$C,3,0)</f>
        <v>#REF!</v>
      </c>
      <c r="AP224" s="1" t="e">
        <f>AO224/VLOOKUP(A224,'[43]geoMap (40)'!$A:$B,2,0)*VLOOKUP(A224,'[43]geoMap (40)'!$A:$C,3,0)</f>
        <v>#REF!</v>
      </c>
      <c r="AQ224" s="1" t="e">
        <f>AP224/VLOOKUP(A224,'[44]geoMap (41)'!$A:$B,2,0)*VLOOKUP(A224,'[44]geoMap (41)'!$A:$C,3,0)</f>
        <v>#REF!</v>
      </c>
      <c r="AR224" s="1" t="e">
        <f>AQ224/VLOOKUP(A224,'[45]geoMap (42)'!$A:$B,2,0)*VLOOKUP(A224,'[45]geoMap (42)'!$A:$C,3,0)</f>
        <v>#REF!</v>
      </c>
      <c r="AS224" s="1" t="e">
        <f>AR224/VLOOKUP(A224,'[46]geoMap (43)'!$A:$B,2,0)*VLOOKUP(A224,'[46]geoMap (43)'!$A:$C,3,0)</f>
        <v>#REF!</v>
      </c>
      <c r="AT224" s="1" t="e">
        <f>AS224/VLOOKUP(A224,'[47]geoMap (44)'!$A:$B,2,0)*VLOOKUP(A224,'[47]geoMap (44)'!$A:$C,3,0)</f>
        <v>#REF!</v>
      </c>
      <c r="AU224" s="1" t="e">
        <f>AT224/VLOOKUP(A224,'[48]geoMap (45)'!$A:$B,2,0)*VLOOKUP(A224,'[48]geoMap (45)'!$A:$C,3,0)</f>
        <v>#REF!</v>
      </c>
      <c r="AV224" s="1" t="e">
        <f>AU224/VLOOKUP(A224,'[49]geoMap (46)'!$A:$B,2,0)*VLOOKUP(A224,'[49]geoMap (46)'!$A:$C,3,0)</f>
        <v>#REF!</v>
      </c>
      <c r="AW224" s="1" t="e">
        <f>AV224/VLOOKUP(A224,'[50]geoMap (47)'!$A:$B,2,0)*VLOOKUP(A224,'[50]geoMap (47)'!$A:$C,3,0)</f>
        <v>#REF!</v>
      </c>
      <c r="AX224" s="1" t="e">
        <f>AW224/VLOOKUP(A224,'[51]geoMap (48)'!$A:$B,2,0)*VLOOKUP(A224,'[51]geoMap (48)'!$A:$C,3,0)</f>
        <v>#REF!</v>
      </c>
      <c r="AY224" s="1" t="e">
        <f>AX224/VLOOKUP(A224,'[52]geoMap (49)'!$A:$B,2,0)*VLOOKUP(A224,'[52]geoMap (49)'!$A:$C,3,0)</f>
        <v>#REF!</v>
      </c>
      <c r="AZ224" s="1" t="e">
        <f>AY224/VLOOKUP(A224,'[53]geoMap (50)'!$A:$B,2,0)*VLOOKUP(A224,'[53]geoMap (50)'!$A:$C,3,0)</f>
        <v>#REF!</v>
      </c>
      <c r="BA224" s="1" t="e">
        <f>AZ224/VLOOKUP(A224,'[54]geoMap (51)'!$A:$B,2,0)*VLOOKUP(A224,'[54]geoMap (51)'!$A:$C,3,0)</f>
        <v>#REF!</v>
      </c>
      <c r="BB224" s="1" t="e">
        <f>BA224/VLOOKUP(A224,'[55]geoMap (52)'!$A:$B,2,0)*VLOOKUP(A224,'[55]geoMap (52)'!$A:$C,3,0)</f>
        <v>#REF!</v>
      </c>
      <c r="BC224" s="1" t="e">
        <f>BB224/VLOOKUP(A224,'[56]geoMap (53)'!$A:$B,2,0)*VLOOKUP(A224,'[56]geoMap (53)'!$A:$C,3,0)</f>
        <v>#REF!</v>
      </c>
      <c r="BD224" s="1" t="e">
        <f>BC224/VLOOKUP(A224,'[57]geoMap (54)'!$A:$B,2,0)*VLOOKUP(A224,'[57]geoMap (54)'!$A:$C,3,0)</f>
        <v>#REF!</v>
      </c>
      <c r="BE224" s="1" t="e">
        <f>BD224/VLOOKUP(A224,'[58]geoMap (55)'!$A:$B,2,0)*VLOOKUP(A224,'[58]geoMap (55)'!$A:$C,3,0)</f>
        <v>#REF!</v>
      </c>
      <c r="BF224" s="1" t="e">
        <f>BE224/VLOOKUP(A224,'[59]geoMap (56)'!$A:$B,2,0)*VLOOKUP(A224,'[59]geoMap (56)'!$A:$C,3,0)</f>
        <v>#REF!</v>
      </c>
      <c r="BG224" s="1" t="e">
        <f>BF224/VLOOKUP(A224,'[60]geoMap (57)'!$A:$B,2,0)*VLOOKUP(A224,'[60]geoMap (57)'!$A:$C,3,0)</f>
        <v>#REF!</v>
      </c>
      <c r="BH224" s="1" t="e">
        <f>BG224/VLOOKUP(A224,'[61]geoMap (58)'!$A:$B,2,0)*VLOOKUP(A224,'[61]geoMap (58)'!$A:$C,3,0)</f>
        <v>#REF!</v>
      </c>
      <c r="BI224" s="1" t="e">
        <f>BH224/VLOOKUP(A224,'[62]geoMap (59)'!$A:$B,2,0)*VLOOKUP(A224,'[62]geoMap (59)'!$A:$C,3,0)</f>
        <v>#REF!</v>
      </c>
      <c r="BJ224" s="1" t="e">
        <f>BI224/VLOOKUP(A224,'[63]geoMap (60)'!$A:$B,2,0)*VLOOKUP(A224,'[63]geoMap (60)'!$A:$C,3,0)</f>
        <v>#REF!</v>
      </c>
      <c r="BK224" s="1" t="e">
        <f>BJ224/VLOOKUP(A224,'[64]geoMap (61)'!$A:$B,2,0)*VLOOKUP(A224,'[64]geoMap (61)'!$A:$C,3,0)</f>
        <v>#REF!</v>
      </c>
      <c r="BL224" s="1" t="e">
        <f>BK224/VLOOKUP(A224,'[65]geoMap (62)'!$A:$B,2,0)*VLOOKUP(A224,'[65]geoMap (62)'!$A:$C,3,0)</f>
        <v>#REF!</v>
      </c>
      <c r="BM224" s="1" t="e">
        <f>BL224/VLOOKUP(A224,'[66]geoMap (63)'!$A:$B,2,0)*VLOOKUP(A224,'[66]geoMap (63)'!$A:$C,3,0)</f>
        <v>#REF!</v>
      </c>
      <c r="BN224" s="1" t="e">
        <f>BM224/VLOOKUP(A224,'[67]geoMap (64)'!$A:$B,2,0)*VLOOKUP(A224,'[67]geoMap (64)'!$A:$C,3,0)</f>
        <v>#REF!</v>
      </c>
      <c r="BO224" s="1" t="e">
        <f>BN224/VLOOKUP(A224,'[68]geoMap (65)'!$A:$B,2,0)*VLOOKUP(A224,'[68]geoMap (65)'!$A:$C,3,0)</f>
        <v>#REF!</v>
      </c>
      <c r="BP224" s="1" t="e">
        <f>BO224/VLOOKUP(A224,'[69]geoMap (66)'!$A:$B,2,0)*VLOOKUP(A224,'[69]geoMap (66)'!$A:$C,3,0)</f>
        <v>#REF!</v>
      </c>
    </row>
    <row r="225" spans="1:68" hidden="1" x14ac:dyDescent="0.2">
      <c r="A225" s="1" t="s">
        <v>227</v>
      </c>
      <c r="B225" s="1" t="e">
        <f>VLOOKUP(A225,[3]geoMap!$A:$B,2,0)*Notes!$C$6</f>
        <v>#REF!</v>
      </c>
      <c r="C225" s="1" t="e">
        <f>B225/VLOOKUP(A225,'[4]geoMap (1)'!$A:$B,2,0)*VLOOKUP(A225,'[4]geoMap (1)'!$A:$C,3,0)</f>
        <v>#REF!</v>
      </c>
      <c r="D225" s="1" t="e">
        <f>C225/VLOOKUP(A225,'[5]geoMap (2)'!$A:$B,2,0)*VLOOKUP(A225,'[5]geoMap (2)'!$A:$C,3,0)</f>
        <v>#REF!</v>
      </c>
      <c r="E225" s="1" t="e">
        <f>D225/VLOOKUP(A225,'[6]geoMap (3)'!$A:$B,2,0)*VLOOKUP(A225,'[6]geoMap (3)'!$A:$C,3,0)</f>
        <v>#REF!</v>
      </c>
      <c r="F225" s="1" t="e">
        <f>E225/VLOOKUP(A225,'[7]geoMap (4)'!$A:$B,2,0)*VLOOKUP(A225,'[7]geoMap (4)'!$A:$C,3,0)</f>
        <v>#REF!</v>
      </c>
      <c r="G225" s="1" t="e">
        <f>F225/VLOOKUP(A225,'[8]geoMap (5)'!$A:$B,2,0)*VLOOKUP(A225,'[8]geoMap (5)'!$A:$C,3,0)</f>
        <v>#REF!</v>
      </c>
      <c r="H225" s="1" t="e">
        <f>G225/VLOOKUP(A225,'[9]geoMap (6)'!$A:$B,2,0)*VLOOKUP(A225,'[9]geoMap (6)'!$A:$C,3,0)</f>
        <v>#REF!</v>
      </c>
      <c r="I225" s="1" t="e">
        <f>H225/VLOOKUP(A225,'[10]geoMap (7)'!$A:$B,2,0)*VLOOKUP(A225,'[10]geoMap (7)'!$A:$C,3,0)</f>
        <v>#REF!</v>
      </c>
      <c r="J225" s="1" t="e">
        <f>I225/VLOOKUP(A225,'[11]geoMap (8)'!$A:$B,2,0)*VLOOKUP(A225,'[11]geoMap (8)'!$A:$C,3,0)</f>
        <v>#REF!</v>
      </c>
      <c r="K225" s="1" t="e">
        <f>J225/VLOOKUP(A225,'[12]geoMap (9)'!$A:$B,2,0)*VLOOKUP(A225,'[12]geoMap (9)'!$A:$C,3,0)</f>
        <v>#REF!</v>
      </c>
      <c r="L225" s="1" t="e">
        <f>K225/VLOOKUP(A225,'[13]geoMap (10)'!$A:$B,2,0)*VLOOKUP(A225,'[13]geoMap (10)'!$A:$C,3,0)</f>
        <v>#REF!</v>
      </c>
      <c r="M225" s="1" t="e">
        <f>L225/VLOOKUP(A225,'[14]geoMap (11)'!$A:$B,2,0)*VLOOKUP(A225,'[14]geoMap (11)'!$A:$C,3,0)</f>
        <v>#REF!</v>
      </c>
      <c r="N225" s="1" t="e">
        <f>M225/VLOOKUP(A225,'[15]geoMap (12)'!$A:$B,2,0)*VLOOKUP(A225,'[15]geoMap (12)'!$A:$C,3,0)</f>
        <v>#REF!</v>
      </c>
      <c r="O225" s="1" t="e">
        <f>N225/VLOOKUP(A225,'[16]geoMap (13)'!$A:$B,2,0)*VLOOKUP(A225,'[16]geoMap (13)'!$A:$C,3,0)</f>
        <v>#REF!</v>
      </c>
      <c r="P225" s="1" t="e">
        <f>O225/VLOOKUP(A225,'[17]geoMap (14)'!$A:$B,2,0)*VLOOKUP(A225,'[17]geoMap (14)'!$A:$C,3,0)</f>
        <v>#REF!</v>
      </c>
      <c r="Q225" s="1" t="e">
        <f>P225/VLOOKUP(A225,'[18]geoMap (15)'!$A:$B,2,0)*VLOOKUP(A225,'[18]geoMap (15)'!$A:$C,3,0)</f>
        <v>#REF!</v>
      </c>
      <c r="R225" s="1" t="e">
        <f>Q225/VLOOKUP(A225,'[19]geoMap (16)'!$A:$B,2,0)*VLOOKUP(A225,'[19]geoMap (16)'!$A:$C,3,0)</f>
        <v>#REF!</v>
      </c>
      <c r="S225" s="1" t="e">
        <f>R225/VLOOKUP(A225,'[20]geoMap (17)'!$A:$B,2,0)*VLOOKUP(A225,'[20]geoMap (17)'!$A:$C,3,0)</f>
        <v>#REF!</v>
      </c>
      <c r="T225" s="1" t="e">
        <f>S225/VLOOKUP(A225,'[21]geoMap (18)'!$A:$B,2,0)*VLOOKUP(A225,'[21]geoMap (18)'!$A:$C,3,0)</f>
        <v>#REF!</v>
      </c>
      <c r="U225" s="1" t="e">
        <f>T225/VLOOKUP(A225,'[22]geoMap (19)'!$A:$B,2,0)*VLOOKUP(A225,'[22]geoMap (19)'!$A:$C,3,0)</f>
        <v>#REF!</v>
      </c>
      <c r="V225" s="1" t="e">
        <f>U225/VLOOKUP(A225,'[23]geoMap (20)'!$A:$B,2,0)*VLOOKUP(A225,'[23]geoMap (20)'!$A:$C,3,0)</f>
        <v>#REF!</v>
      </c>
      <c r="W225" s="1" t="e">
        <f>V225/VLOOKUP(A225,'[24]geoMap (21)'!$A:$B,2,0)*VLOOKUP(A225,'[24]geoMap (21)'!$A:$C,3,0)</f>
        <v>#REF!</v>
      </c>
      <c r="X225" s="1" t="e">
        <f>W225/VLOOKUP(A225,'[25]geoMap (22)'!$A:$B,2,0)*VLOOKUP(A225,'[25]geoMap (22)'!$A:$C,3,0)</f>
        <v>#REF!</v>
      </c>
      <c r="Y225" s="1" t="e">
        <f>X225/VLOOKUP(A225,'[26]geoMap (23)'!$A:$B,2,0)*VLOOKUP(A225,'[26]geoMap (23)'!$A:$C,3,0)</f>
        <v>#REF!</v>
      </c>
      <c r="Z225" s="1" t="e">
        <f>Y225/VLOOKUP(A225,'[27]geoMap (24)'!$A:$B,2,0)*VLOOKUP(A225,'[27]geoMap (24)'!$A:$C,3,0)</f>
        <v>#REF!</v>
      </c>
      <c r="AA225" s="1" t="e">
        <f>Z225/VLOOKUP(A225,'[28]geoMap (25)'!$A:$B,2,0)*VLOOKUP(A225,'[28]geoMap (25)'!$A:$C,3,0)</f>
        <v>#REF!</v>
      </c>
      <c r="AB225" s="1" t="e">
        <f>AA225*VLOOKUP(A225,'[29]geoMap (26)'!$A:$B,2,0)*VLOOKUP(A225,'[29]geoMap (26)'!$A:$C,3,0)</f>
        <v>#REF!</v>
      </c>
      <c r="AC225" s="1" t="e">
        <f>AB225/VLOOKUP(A225,'[30]geoMap (27)'!$A:$B,2,0)*VLOOKUP(A225,'[30]geoMap (27)'!$A:$C,3,0)</f>
        <v>#REF!</v>
      </c>
      <c r="AD225" s="1" t="e">
        <f>AC225/VLOOKUP(A225,'[31]geoMap (28)'!$A:$B,2,0)*VLOOKUP(A225,'[31]geoMap (28)'!$A:$C,3,0)</f>
        <v>#REF!</v>
      </c>
      <c r="AE225" s="1" t="e">
        <f>AD225/VLOOKUP(A225,'[32]geoMap (29)'!$A:$B,2,0)*VLOOKUP(A225,'[32]geoMap (29)'!$A:$C,3,0)</f>
        <v>#REF!</v>
      </c>
      <c r="AF225" s="1" t="e">
        <f>AE225/VLOOKUP(A225,'[33]geoMap (30)'!$A:$B,2,0)*VLOOKUP(A225,'[33]geoMap (30)'!$A:$C,3,0)</f>
        <v>#REF!</v>
      </c>
      <c r="AG225" s="1" t="e">
        <f>AF225/VLOOKUP(A225,'[34]geoMap (31)'!$A:$B,2,0)*VLOOKUP(A225,'[34]geoMap (31)'!$A:$C,3,0)</f>
        <v>#REF!</v>
      </c>
      <c r="AH225" s="1" t="e">
        <f>AG225/VLOOKUP(A225,'[35]geoMap (32)'!$A:$B,2,0)*VLOOKUP(A225,'[35]geoMap (32)'!$A:$C,3,0)</f>
        <v>#REF!</v>
      </c>
      <c r="AI225" s="1" t="e">
        <f>AH225/VLOOKUP(A225,'[36]geoMap (33)'!$A:$B,2,0)*VLOOKUP(A225,'[36]geoMap (33)'!$A:$C,3,0)</f>
        <v>#REF!</v>
      </c>
      <c r="AJ225" s="1" t="e">
        <f>AI225/VLOOKUP(A225,'[37]geoMap (34)'!$A:$B,2,0)*VLOOKUP(A225,'[37]geoMap (34)'!$A:$C,3,0)</f>
        <v>#REF!</v>
      </c>
      <c r="AK225" s="1" t="e">
        <f>AJ225/VLOOKUP(A225,'[38]geoMap (35)'!$A:$B,2,0)*VLOOKUP(A225,'[38]geoMap (35)'!$A:$C,3,0)</f>
        <v>#REF!</v>
      </c>
      <c r="AL225" s="1" t="e">
        <f>AK225/VLOOKUP(A225,'[39]geoMap (36)'!$A:$B,2,0)*VLOOKUP(A225,'[39]geoMap (36)'!$A:$C,3,0)</f>
        <v>#REF!</v>
      </c>
      <c r="AM225" s="1" t="e">
        <f>AL225/VLOOKUP(A225,'[40]geoMap (37)'!$A:$B,2,0)*VLOOKUP(A225,'[40]geoMap (37)'!$A:$C,3,0)</f>
        <v>#REF!</v>
      </c>
      <c r="AN225" s="1" t="e">
        <f>AM225/VLOOKUP(A225,'[41]geoMap (38)'!$A:$B,2,0)*VLOOKUP(A225,'[41]geoMap (38)'!$A:$C,3,0)</f>
        <v>#REF!</v>
      </c>
      <c r="AO225" s="1" t="e">
        <f>AN225/VLOOKUP(A225,'[42]geoMap (39)'!$A:$B,2,0)*VLOOKUP(A225,'[42]geoMap (39)'!$A:$C,3,0)</f>
        <v>#REF!</v>
      </c>
      <c r="AP225" s="1" t="e">
        <f>AO225/VLOOKUP(A225,'[43]geoMap (40)'!$A:$B,2,0)*VLOOKUP(A225,'[43]geoMap (40)'!$A:$C,3,0)</f>
        <v>#REF!</v>
      </c>
      <c r="AQ225" s="1" t="e">
        <f>AP225/VLOOKUP(A225,'[44]geoMap (41)'!$A:$B,2,0)*VLOOKUP(A225,'[44]geoMap (41)'!$A:$C,3,0)</f>
        <v>#REF!</v>
      </c>
      <c r="AR225" s="1" t="e">
        <f>AQ225/VLOOKUP(A225,'[45]geoMap (42)'!$A:$B,2,0)*VLOOKUP(A225,'[45]geoMap (42)'!$A:$C,3,0)</f>
        <v>#REF!</v>
      </c>
      <c r="AS225" s="1" t="e">
        <f>AR225/VLOOKUP(A225,'[46]geoMap (43)'!$A:$B,2,0)*VLOOKUP(A225,'[46]geoMap (43)'!$A:$C,3,0)</f>
        <v>#REF!</v>
      </c>
      <c r="AT225" s="1" t="e">
        <f>AS225/VLOOKUP(A225,'[47]geoMap (44)'!$A:$B,2,0)*VLOOKUP(A225,'[47]geoMap (44)'!$A:$C,3,0)</f>
        <v>#REF!</v>
      </c>
      <c r="AU225" s="1" t="e">
        <f>AT225/VLOOKUP(A225,'[48]geoMap (45)'!$A:$B,2,0)*VLOOKUP(A225,'[48]geoMap (45)'!$A:$C,3,0)</f>
        <v>#REF!</v>
      </c>
      <c r="AV225" s="1" t="e">
        <f>AU225/VLOOKUP(A225,'[49]geoMap (46)'!$A:$B,2,0)*VLOOKUP(A225,'[49]geoMap (46)'!$A:$C,3,0)</f>
        <v>#REF!</v>
      </c>
      <c r="AW225" s="1" t="e">
        <f>AV225/VLOOKUP(A225,'[50]geoMap (47)'!$A:$B,2,0)*VLOOKUP(A225,'[50]geoMap (47)'!$A:$C,3,0)</f>
        <v>#REF!</v>
      </c>
      <c r="AX225" s="1" t="e">
        <f>AW225/VLOOKUP(A225,'[51]geoMap (48)'!$A:$B,2,0)*VLOOKUP(A225,'[51]geoMap (48)'!$A:$C,3,0)</f>
        <v>#REF!</v>
      </c>
      <c r="AY225" s="1" t="e">
        <f>AX225/VLOOKUP(A225,'[52]geoMap (49)'!$A:$B,2,0)*VLOOKUP(A225,'[52]geoMap (49)'!$A:$C,3,0)</f>
        <v>#REF!</v>
      </c>
      <c r="AZ225" s="1" t="e">
        <f>AY225/VLOOKUP(A225,'[53]geoMap (50)'!$A:$B,2,0)*VLOOKUP(A225,'[53]geoMap (50)'!$A:$C,3,0)</f>
        <v>#REF!</v>
      </c>
      <c r="BA225" s="1" t="e">
        <f>AZ225/VLOOKUP(A225,'[54]geoMap (51)'!$A:$B,2,0)*VLOOKUP(A225,'[54]geoMap (51)'!$A:$C,3,0)</f>
        <v>#REF!</v>
      </c>
      <c r="BB225" s="1" t="e">
        <f>BA225/VLOOKUP(A225,'[55]geoMap (52)'!$A:$B,2,0)*VLOOKUP(A225,'[55]geoMap (52)'!$A:$C,3,0)</f>
        <v>#REF!</v>
      </c>
      <c r="BC225" s="1" t="e">
        <f>BB225/VLOOKUP(A225,'[56]geoMap (53)'!$A:$B,2,0)*VLOOKUP(A225,'[56]geoMap (53)'!$A:$C,3,0)</f>
        <v>#REF!</v>
      </c>
      <c r="BD225" s="1" t="e">
        <f>BC225/VLOOKUP(A225,'[57]geoMap (54)'!$A:$B,2,0)*VLOOKUP(A225,'[57]geoMap (54)'!$A:$C,3,0)</f>
        <v>#REF!</v>
      </c>
      <c r="BE225" s="1" t="e">
        <f>BD225/VLOOKUP(A225,'[58]geoMap (55)'!$A:$B,2,0)*VLOOKUP(A225,'[58]geoMap (55)'!$A:$C,3,0)</f>
        <v>#REF!</v>
      </c>
      <c r="BF225" s="1" t="e">
        <f>BE225/VLOOKUP(A225,'[59]geoMap (56)'!$A:$B,2,0)*VLOOKUP(A225,'[59]geoMap (56)'!$A:$C,3,0)</f>
        <v>#REF!</v>
      </c>
      <c r="BG225" s="1" t="e">
        <f>BF225/VLOOKUP(A225,'[60]geoMap (57)'!$A:$B,2,0)*VLOOKUP(A225,'[60]geoMap (57)'!$A:$C,3,0)</f>
        <v>#REF!</v>
      </c>
      <c r="BH225" s="1" t="e">
        <f>BG225/VLOOKUP(A225,'[61]geoMap (58)'!$A:$B,2,0)*VLOOKUP(A225,'[61]geoMap (58)'!$A:$C,3,0)</f>
        <v>#REF!</v>
      </c>
      <c r="BI225" s="1" t="e">
        <f>BH225/VLOOKUP(A225,'[62]geoMap (59)'!$A:$B,2,0)*VLOOKUP(A225,'[62]geoMap (59)'!$A:$C,3,0)</f>
        <v>#REF!</v>
      </c>
      <c r="BJ225" s="1" t="e">
        <f>BI225/VLOOKUP(A225,'[63]geoMap (60)'!$A:$B,2,0)*VLOOKUP(A225,'[63]geoMap (60)'!$A:$C,3,0)</f>
        <v>#REF!</v>
      </c>
      <c r="BK225" s="1" t="e">
        <f>BJ225/VLOOKUP(A225,'[64]geoMap (61)'!$A:$B,2,0)*VLOOKUP(A225,'[64]geoMap (61)'!$A:$C,3,0)</f>
        <v>#REF!</v>
      </c>
      <c r="BL225" s="1" t="e">
        <f>BK225/VLOOKUP(A225,'[65]geoMap (62)'!$A:$B,2,0)*VLOOKUP(A225,'[65]geoMap (62)'!$A:$C,3,0)</f>
        <v>#REF!</v>
      </c>
      <c r="BM225" s="1" t="e">
        <f>BL225/VLOOKUP(A225,'[66]geoMap (63)'!$A:$B,2,0)*VLOOKUP(A225,'[66]geoMap (63)'!$A:$C,3,0)</f>
        <v>#REF!</v>
      </c>
      <c r="BN225" s="1" t="e">
        <f>BM225/VLOOKUP(A225,'[67]geoMap (64)'!$A:$B,2,0)*VLOOKUP(A225,'[67]geoMap (64)'!$A:$C,3,0)</f>
        <v>#REF!</v>
      </c>
      <c r="BO225" s="1" t="e">
        <f>BN225/VLOOKUP(A225,'[68]geoMap (65)'!$A:$B,2,0)*VLOOKUP(A225,'[68]geoMap (65)'!$A:$C,3,0)</f>
        <v>#REF!</v>
      </c>
      <c r="BP225" s="1" t="e">
        <f>BO225/VLOOKUP(A225,'[69]geoMap (66)'!$A:$B,2,0)*VLOOKUP(A225,'[69]geoMap (66)'!$A:$C,3,0)</f>
        <v>#REF!</v>
      </c>
    </row>
    <row r="226" spans="1:68" hidden="1" x14ac:dyDescent="0.2">
      <c r="A226" s="1" t="s">
        <v>228</v>
      </c>
      <c r="B226" s="1" t="e">
        <f>VLOOKUP(A226,[3]geoMap!$A:$B,2,0)*Notes!$C$6</f>
        <v>#REF!</v>
      </c>
      <c r="C226" s="1" t="e">
        <f>B226/VLOOKUP(A226,'[4]geoMap (1)'!$A:$B,2,0)*VLOOKUP(A226,'[4]geoMap (1)'!$A:$C,3,0)</f>
        <v>#REF!</v>
      </c>
      <c r="D226" s="1" t="e">
        <f>C226/VLOOKUP(A226,'[5]geoMap (2)'!$A:$B,2,0)*VLOOKUP(A226,'[5]geoMap (2)'!$A:$C,3,0)</f>
        <v>#REF!</v>
      </c>
      <c r="E226" s="1" t="e">
        <f>D226/VLOOKUP(A226,'[6]geoMap (3)'!$A:$B,2,0)*VLOOKUP(A226,'[6]geoMap (3)'!$A:$C,3,0)</f>
        <v>#REF!</v>
      </c>
      <c r="F226" s="1" t="e">
        <f>E226/VLOOKUP(A226,'[7]geoMap (4)'!$A:$B,2,0)*VLOOKUP(A226,'[7]geoMap (4)'!$A:$C,3,0)</f>
        <v>#REF!</v>
      </c>
      <c r="G226" s="1" t="e">
        <f>F226/VLOOKUP(A226,'[8]geoMap (5)'!$A:$B,2,0)*VLOOKUP(A226,'[8]geoMap (5)'!$A:$C,3,0)</f>
        <v>#REF!</v>
      </c>
      <c r="H226" s="1" t="e">
        <f>G226/VLOOKUP(A226,'[9]geoMap (6)'!$A:$B,2,0)*VLOOKUP(A226,'[9]geoMap (6)'!$A:$C,3,0)</f>
        <v>#REF!</v>
      </c>
      <c r="I226" s="1" t="e">
        <f>H226/VLOOKUP(A226,'[10]geoMap (7)'!$A:$B,2,0)*VLOOKUP(A226,'[10]geoMap (7)'!$A:$C,3,0)</f>
        <v>#REF!</v>
      </c>
      <c r="J226" s="1" t="e">
        <f>I226/VLOOKUP(A226,'[11]geoMap (8)'!$A:$B,2,0)*VLOOKUP(A226,'[11]geoMap (8)'!$A:$C,3,0)</f>
        <v>#REF!</v>
      </c>
      <c r="K226" s="1" t="e">
        <f>J226/VLOOKUP(A226,'[12]geoMap (9)'!$A:$B,2,0)*VLOOKUP(A226,'[12]geoMap (9)'!$A:$C,3,0)</f>
        <v>#REF!</v>
      </c>
      <c r="L226" s="1" t="e">
        <f>K226/VLOOKUP(A226,'[13]geoMap (10)'!$A:$B,2,0)*VLOOKUP(A226,'[13]geoMap (10)'!$A:$C,3,0)</f>
        <v>#REF!</v>
      </c>
      <c r="M226" s="1" t="e">
        <f>L226/VLOOKUP(A226,'[14]geoMap (11)'!$A:$B,2,0)*VLOOKUP(A226,'[14]geoMap (11)'!$A:$C,3,0)</f>
        <v>#REF!</v>
      </c>
      <c r="N226" s="1" t="e">
        <f>M226/VLOOKUP(A226,'[15]geoMap (12)'!$A:$B,2,0)*VLOOKUP(A226,'[15]geoMap (12)'!$A:$C,3,0)</f>
        <v>#REF!</v>
      </c>
      <c r="O226" s="1" t="e">
        <f>N226/VLOOKUP(A226,'[16]geoMap (13)'!$A:$B,2,0)*VLOOKUP(A226,'[16]geoMap (13)'!$A:$C,3,0)</f>
        <v>#REF!</v>
      </c>
      <c r="P226" s="1" t="e">
        <f>O226/VLOOKUP(A226,'[17]geoMap (14)'!$A:$B,2,0)*VLOOKUP(A226,'[17]geoMap (14)'!$A:$C,3,0)</f>
        <v>#REF!</v>
      </c>
      <c r="Q226" s="1" t="e">
        <f>P226/VLOOKUP(A226,'[18]geoMap (15)'!$A:$B,2,0)*VLOOKUP(A226,'[18]geoMap (15)'!$A:$C,3,0)</f>
        <v>#REF!</v>
      </c>
      <c r="R226" s="1" t="e">
        <f>Q226/VLOOKUP(A226,'[19]geoMap (16)'!$A:$B,2,0)*VLOOKUP(A226,'[19]geoMap (16)'!$A:$C,3,0)</f>
        <v>#REF!</v>
      </c>
      <c r="S226" s="1" t="e">
        <f>R226/VLOOKUP(A226,'[20]geoMap (17)'!$A:$B,2,0)*VLOOKUP(A226,'[20]geoMap (17)'!$A:$C,3,0)</f>
        <v>#REF!</v>
      </c>
      <c r="T226" s="1" t="e">
        <f>S226/VLOOKUP(A226,'[21]geoMap (18)'!$A:$B,2,0)*VLOOKUP(A226,'[21]geoMap (18)'!$A:$C,3,0)</f>
        <v>#REF!</v>
      </c>
      <c r="U226" s="1" t="e">
        <f>T226/VLOOKUP(A226,'[22]geoMap (19)'!$A:$B,2,0)*VLOOKUP(A226,'[22]geoMap (19)'!$A:$C,3,0)</f>
        <v>#REF!</v>
      </c>
      <c r="V226" s="1" t="e">
        <f>U226/VLOOKUP(A226,'[23]geoMap (20)'!$A:$B,2,0)*VLOOKUP(A226,'[23]geoMap (20)'!$A:$C,3,0)</f>
        <v>#REF!</v>
      </c>
      <c r="W226" s="1" t="e">
        <f>V226/VLOOKUP(A226,'[24]geoMap (21)'!$A:$B,2,0)*VLOOKUP(A226,'[24]geoMap (21)'!$A:$C,3,0)</f>
        <v>#REF!</v>
      </c>
      <c r="X226" s="1" t="e">
        <f>W226/VLOOKUP(A226,'[25]geoMap (22)'!$A:$B,2,0)*VLOOKUP(A226,'[25]geoMap (22)'!$A:$C,3,0)</f>
        <v>#REF!</v>
      </c>
      <c r="Y226" s="1" t="e">
        <f>X226/VLOOKUP(A226,'[26]geoMap (23)'!$A:$B,2,0)*VLOOKUP(A226,'[26]geoMap (23)'!$A:$C,3,0)</f>
        <v>#REF!</v>
      </c>
      <c r="Z226" s="1" t="e">
        <f>Y226/VLOOKUP(A226,'[27]geoMap (24)'!$A:$B,2,0)*VLOOKUP(A226,'[27]geoMap (24)'!$A:$C,3,0)</f>
        <v>#REF!</v>
      </c>
      <c r="AA226" s="1" t="e">
        <f>Z226/VLOOKUP(A226,'[28]geoMap (25)'!$A:$B,2,0)*VLOOKUP(A226,'[28]geoMap (25)'!$A:$C,3,0)</f>
        <v>#REF!</v>
      </c>
      <c r="AB226" s="1" t="e">
        <f>AA226*VLOOKUP(A226,'[29]geoMap (26)'!$A:$B,2,0)*VLOOKUP(A226,'[29]geoMap (26)'!$A:$C,3,0)</f>
        <v>#REF!</v>
      </c>
      <c r="AC226" s="1" t="e">
        <f>AB226/VLOOKUP(A226,'[30]geoMap (27)'!$A:$B,2,0)*VLOOKUP(A226,'[30]geoMap (27)'!$A:$C,3,0)</f>
        <v>#REF!</v>
      </c>
      <c r="AD226" s="1" t="e">
        <f>AC226/VLOOKUP(A226,'[31]geoMap (28)'!$A:$B,2,0)*VLOOKUP(A226,'[31]geoMap (28)'!$A:$C,3,0)</f>
        <v>#REF!</v>
      </c>
      <c r="AE226" s="1" t="e">
        <f>AD226/VLOOKUP(A226,'[32]geoMap (29)'!$A:$B,2,0)*VLOOKUP(A226,'[32]geoMap (29)'!$A:$C,3,0)</f>
        <v>#REF!</v>
      </c>
      <c r="AF226" s="1" t="e">
        <f>AE226/VLOOKUP(A226,'[33]geoMap (30)'!$A:$B,2,0)*VLOOKUP(A226,'[33]geoMap (30)'!$A:$C,3,0)</f>
        <v>#REF!</v>
      </c>
      <c r="AG226" s="1" t="e">
        <f>AF226/VLOOKUP(A226,'[34]geoMap (31)'!$A:$B,2,0)*VLOOKUP(A226,'[34]geoMap (31)'!$A:$C,3,0)</f>
        <v>#REF!</v>
      </c>
      <c r="AH226" s="1" t="e">
        <f>AG226/VLOOKUP(A226,'[35]geoMap (32)'!$A:$B,2,0)*VLOOKUP(A226,'[35]geoMap (32)'!$A:$C,3,0)</f>
        <v>#REF!</v>
      </c>
      <c r="AI226" s="1" t="e">
        <f>AH226/VLOOKUP(A226,'[36]geoMap (33)'!$A:$B,2,0)*VLOOKUP(A226,'[36]geoMap (33)'!$A:$C,3,0)</f>
        <v>#REF!</v>
      </c>
      <c r="AJ226" s="1" t="e">
        <f>AI226/VLOOKUP(A226,'[37]geoMap (34)'!$A:$B,2,0)*VLOOKUP(A226,'[37]geoMap (34)'!$A:$C,3,0)</f>
        <v>#REF!</v>
      </c>
      <c r="AK226" s="1" t="e">
        <f>AJ226/VLOOKUP(A226,'[38]geoMap (35)'!$A:$B,2,0)*VLOOKUP(A226,'[38]geoMap (35)'!$A:$C,3,0)</f>
        <v>#REF!</v>
      </c>
      <c r="AL226" s="1" t="e">
        <f>AK226/VLOOKUP(A226,'[39]geoMap (36)'!$A:$B,2,0)*VLOOKUP(A226,'[39]geoMap (36)'!$A:$C,3,0)</f>
        <v>#REF!</v>
      </c>
      <c r="AM226" s="1" t="e">
        <f>AL226/VLOOKUP(A226,'[40]geoMap (37)'!$A:$B,2,0)*VLOOKUP(A226,'[40]geoMap (37)'!$A:$C,3,0)</f>
        <v>#REF!</v>
      </c>
      <c r="AN226" s="1" t="e">
        <f>AM226/VLOOKUP(A226,'[41]geoMap (38)'!$A:$B,2,0)*VLOOKUP(A226,'[41]geoMap (38)'!$A:$C,3,0)</f>
        <v>#REF!</v>
      </c>
      <c r="AO226" s="1" t="e">
        <f>AN226/VLOOKUP(A226,'[42]geoMap (39)'!$A:$B,2,0)*VLOOKUP(A226,'[42]geoMap (39)'!$A:$C,3,0)</f>
        <v>#REF!</v>
      </c>
      <c r="AP226" s="1" t="e">
        <f>AO226/VLOOKUP(A226,'[43]geoMap (40)'!$A:$B,2,0)*VLOOKUP(A226,'[43]geoMap (40)'!$A:$C,3,0)</f>
        <v>#REF!</v>
      </c>
      <c r="AQ226" s="1" t="e">
        <f>AP226/VLOOKUP(A226,'[44]geoMap (41)'!$A:$B,2,0)*VLOOKUP(A226,'[44]geoMap (41)'!$A:$C,3,0)</f>
        <v>#REF!</v>
      </c>
      <c r="AR226" s="1" t="e">
        <f>AQ226/VLOOKUP(A226,'[45]geoMap (42)'!$A:$B,2,0)*VLOOKUP(A226,'[45]geoMap (42)'!$A:$C,3,0)</f>
        <v>#REF!</v>
      </c>
      <c r="AS226" s="1" t="e">
        <f>AR226/VLOOKUP(A226,'[46]geoMap (43)'!$A:$B,2,0)*VLOOKUP(A226,'[46]geoMap (43)'!$A:$C,3,0)</f>
        <v>#REF!</v>
      </c>
      <c r="AT226" s="1" t="e">
        <f>AS226/VLOOKUP(A226,'[47]geoMap (44)'!$A:$B,2,0)*VLOOKUP(A226,'[47]geoMap (44)'!$A:$C,3,0)</f>
        <v>#REF!</v>
      </c>
      <c r="AU226" s="1" t="e">
        <f>AT226/VLOOKUP(A226,'[48]geoMap (45)'!$A:$B,2,0)*VLOOKUP(A226,'[48]geoMap (45)'!$A:$C,3,0)</f>
        <v>#REF!</v>
      </c>
      <c r="AV226" s="1" t="e">
        <f>AU226/VLOOKUP(A226,'[49]geoMap (46)'!$A:$B,2,0)*VLOOKUP(A226,'[49]geoMap (46)'!$A:$C,3,0)</f>
        <v>#REF!</v>
      </c>
      <c r="AW226" s="1" t="e">
        <f>AV226/VLOOKUP(A226,'[50]geoMap (47)'!$A:$B,2,0)*VLOOKUP(A226,'[50]geoMap (47)'!$A:$C,3,0)</f>
        <v>#REF!</v>
      </c>
      <c r="AX226" s="1" t="e">
        <f>AW226/VLOOKUP(A226,'[51]geoMap (48)'!$A:$B,2,0)*VLOOKUP(A226,'[51]geoMap (48)'!$A:$C,3,0)</f>
        <v>#REF!</v>
      </c>
      <c r="AY226" s="1" t="e">
        <f>AX226/VLOOKUP(A226,'[52]geoMap (49)'!$A:$B,2,0)*VLOOKUP(A226,'[52]geoMap (49)'!$A:$C,3,0)</f>
        <v>#REF!</v>
      </c>
      <c r="AZ226" s="1" t="e">
        <f>AY226/VLOOKUP(A226,'[53]geoMap (50)'!$A:$B,2,0)*VLOOKUP(A226,'[53]geoMap (50)'!$A:$C,3,0)</f>
        <v>#REF!</v>
      </c>
      <c r="BA226" s="1" t="e">
        <f>AZ226/VLOOKUP(A226,'[54]geoMap (51)'!$A:$B,2,0)*VLOOKUP(A226,'[54]geoMap (51)'!$A:$C,3,0)</f>
        <v>#REF!</v>
      </c>
      <c r="BB226" s="1" t="e">
        <f>BA226/VLOOKUP(A226,'[55]geoMap (52)'!$A:$B,2,0)*VLOOKUP(A226,'[55]geoMap (52)'!$A:$C,3,0)</f>
        <v>#REF!</v>
      </c>
      <c r="BC226" s="1" t="e">
        <f>BB226/VLOOKUP(A226,'[56]geoMap (53)'!$A:$B,2,0)*VLOOKUP(A226,'[56]geoMap (53)'!$A:$C,3,0)</f>
        <v>#REF!</v>
      </c>
      <c r="BD226" s="1" t="e">
        <f>BC226/VLOOKUP(A226,'[57]geoMap (54)'!$A:$B,2,0)*VLOOKUP(A226,'[57]geoMap (54)'!$A:$C,3,0)</f>
        <v>#REF!</v>
      </c>
      <c r="BE226" s="1" t="e">
        <f>BD226/VLOOKUP(A226,'[58]geoMap (55)'!$A:$B,2,0)*VLOOKUP(A226,'[58]geoMap (55)'!$A:$C,3,0)</f>
        <v>#REF!</v>
      </c>
      <c r="BF226" s="1" t="e">
        <f>BE226/VLOOKUP(A226,'[59]geoMap (56)'!$A:$B,2,0)*VLOOKUP(A226,'[59]geoMap (56)'!$A:$C,3,0)</f>
        <v>#REF!</v>
      </c>
      <c r="BG226" s="1" t="e">
        <f>BF226/VLOOKUP(A226,'[60]geoMap (57)'!$A:$B,2,0)*VLOOKUP(A226,'[60]geoMap (57)'!$A:$C,3,0)</f>
        <v>#REF!</v>
      </c>
      <c r="BH226" s="1" t="e">
        <f>BG226/VLOOKUP(A226,'[61]geoMap (58)'!$A:$B,2,0)*VLOOKUP(A226,'[61]geoMap (58)'!$A:$C,3,0)</f>
        <v>#REF!</v>
      </c>
      <c r="BI226" s="1" t="e">
        <f>BH226/VLOOKUP(A226,'[62]geoMap (59)'!$A:$B,2,0)*VLOOKUP(A226,'[62]geoMap (59)'!$A:$C,3,0)</f>
        <v>#REF!</v>
      </c>
      <c r="BJ226" s="1" t="e">
        <f>BI226/VLOOKUP(A226,'[63]geoMap (60)'!$A:$B,2,0)*VLOOKUP(A226,'[63]geoMap (60)'!$A:$C,3,0)</f>
        <v>#REF!</v>
      </c>
      <c r="BK226" s="1" t="e">
        <f>BJ226/VLOOKUP(A226,'[64]geoMap (61)'!$A:$B,2,0)*VLOOKUP(A226,'[64]geoMap (61)'!$A:$C,3,0)</f>
        <v>#REF!</v>
      </c>
      <c r="BL226" s="1" t="e">
        <f>BK226/VLOOKUP(A226,'[65]geoMap (62)'!$A:$B,2,0)*VLOOKUP(A226,'[65]geoMap (62)'!$A:$C,3,0)</f>
        <v>#REF!</v>
      </c>
      <c r="BM226" s="1" t="e">
        <f>BL226/VLOOKUP(A226,'[66]geoMap (63)'!$A:$B,2,0)*VLOOKUP(A226,'[66]geoMap (63)'!$A:$C,3,0)</f>
        <v>#REF!</v>
      </c>
      <c r="BN226" s="1" t="e">
        <f>BM226/VLOOKUP(A226,'[67]geoMap (64)'!$A:$B,2,0)*VLOOKUP(A226,'[67]geoMap (64)'!$A:$C,3,0)</f>
        <v>#REF!</v>
      </c>
      <c r="BO226" s="1" t="e">
        <f>BN226/VLOOKUP(A226,'[68]geoMap (65)'!$A:$B,2,0)*VLOOKUP(A226,'[68]geoMap (65)'!$A:$C,3,0)</f>
        <v>#REF!</v>
      </c>
      <c r="BP226" s="1" t="e">
        <f>BO226/VLOOKUP(A226,'[69]geoMap (66)'!$A:$B,2,0)*VLOOKUP(A226,'[69]geoMap (66)'!$A:$C,3,0)</f>
        <v>#REF!</v>
      </c>
    </row>
    <row r="227" spans="1:68" hidden="1" x14ac:dyDescent="0.2">
      <c r="A227" s="1" t="s">
        <v>229</v>
      </c>
      <c r="B227" s="1" t="e">
        <f>VLOOKUP(A227,[3]geoMap!$A:$B,2,0)*Notes!$C$6</f>
        <v>#REF!</v>
      </c>
      <c r="C227" s="1" t="e">
        <f>B227/VLOOKUP(A227,'[4]geoMap (1)'!$A:$B,2,0)*VLOOKUP(A227,'[4]geoMap (1)'!$A:$C,3,0)</f>
        <v>#REF!</v>
      </c>
      <c r="D227" s="1" t="e">
        <f>C227/VLOOKUP(A227,'[5]geoMap (2)'!$A:$B,2,0)*VLOOKUP(A227,'[5]geoMap (2)'!$A:$C,3,0)</f>
        <v>#REF!</v>
      </c>
      <c r="E227" s="1" t="e">
        <f>D227/VLOOKUP(A227,'[6]geoMap (3)'!$A:$B,2,0)*VLOOKUP(A227,'[6]geoMap (3)'!$A:$C,3,0)</f>
        <v>#REF!</v>
      </c>
      <c r="F227" s="1" t="e">
        <f>E227/VLOOKUP(A227,'[7]geoMap (4)'!$A:$B,2,0)*VLOOKUP(A227,'[7]geoMap (4)'!$A:$C,3,0)</f>
        <v>#REF!</v>
      </c>
      <c r="G227" s="1" t="e">
        <f>F227/VLOOKUP(A227,'[8]geoMap (5)'!$A:$B,2,0)*VLOOKUP(A227,'[8]geoMap (5)'!$A:$C,3,0)</f>
        <v>#REF!</v>
      </c>
      <c r="H227" s="1" t="e">
        <f>G227/VLOOKUP(A227,'[9]geoMap (6)'!$A:$B,2,0)*VLOOKUP(A227,'[9]geoMap (6)'!$A:$C,3,0)</f>
        <v>#REF!</v>
      </c>
      <c r="I227" s="1" t="e">
        <f>H227/VLOOKUP(A227,'[10]geoMap (7)'!$A:$B,2,0)*VLOOKUP(A227,'[10]geoMap (7)'!$A:$C,3,0)</f>
        <v>#REF!</v>
      </c>
      <c r="J227" s="1" t="e">
        <f>I227/VLOOKUP(A227,'[11]geoMap (8)'!$A:$B,2,0)*VLOOKUP(A227,'[11]geoMap (8)'!$A:$C,3,0)</f>
        <v>#REF!</v>
      </c>
      <c r="K227" s="1" t="e">
        <f>J227/VLOOKUP(A227,'[12]geoMap (9)'!$A:$B,2,0)*VLOOKUP(A227,'[12]geoMap (9)'!$A:$C,3,0)</f>
        <v>#REF!</v>
      </c>
      <c r="L227" s="1" t="e">
        <f>K227/VLOOKUP(A227,'[13]geoMap (10)'!$A:$B,2,0)*VLOOKUP(A227,'[13]geoMap (10)'!$A:$C,3,0)</f>
        <v>#REF!</v>
      </c>
      <c r="M227" s="1" t="e">
        <f>L227/VLOOKUP(A227,'[14]geoMap (11)'!$A:$B,2,0)*VLOOKUP(A227,'[14]geoMap (11)'!$A:$C,3,0)</f>
        <v>#REF!</v>
      </c>
      <c r="N227" s="1" t="e">
        <f>M227/VLOOKUP(A227,'[15]geoMap (12)'!$A:$B,2,0)*VLOOKUP(A227,'[15]geoMap (12)'!$A:$C,3,0)</f>
        <v>#REF!</v>
      </c>
      <c r="O227" s="1" t="e">
        <f>N227/VLOOKUP(A227,'[16]geoMap (13)'!$A:$B,2,0)*VLOOKUP(A227,'[16]geoMap (13)'!$A:$C,3,0)</f>
        <v>#REF!</v>
      </c>
      <c r="P227" s="1" t="e">
        <f>O227/VLOOKUP(A227,'[17]geoMap (14)'!$A:$B,2,0)*VLOOKUP(A227,'[17]geoMap (14)'!$A:$C,3,0)</f>
        <v>#REF!</v>
      </c>
      <c r="Q227" s="1" t="e">
        <f>P227/VLOOKUP(A227,'[18]geoMap (15)'!$A:$B,2,0)*VLOOKUP(A227,'[18]geoMap (15)'!$A:$C,3,0)</f>
        <v>#REF!</v>
      </c>
      <c r="R227" s="1" t="e">
        <f>Q227/VLOOKUP(A227,'[19]geoMap (16)'!$A:$B,2,0)*VLOOKUP(A227,'[19]geoMap (16)'!$A:$C,3,0)</f>
        <v>#REF!</v>
      </c>
      <c r="S227" s="1" t="e">
        <f>R227/VLOOKUP(A227,'[20]geoMap (17)'!$A:$B,2,0)*VLOOKUP(A227,'[20]geoMap (17)'!$A:$C,3,0)</f>
        <v>#REF!</v>
      </c>
      <c r="T227" s="1" t="e">
        <f>S227/VLOOKUP(A227,'[21]geoMap (18)'!$A:$B,2,0)*VLOOKUP(A227,'[21]geoMap (18)'!$A:$C,3,0)</f>
        <v>#REF!</v>
      </c>
      <c r="U227" s="1" t="e">
        <f>T227/VLOOKUP(A227,'[22]geoMap (19)'!$A:$B,2,0)*VLOOKUP(A227,'[22]geoMap (19)'!$A:$C,3,0)</f>
        <v>#REF!</v>
      </c>
      <c r="V227" s="1" t="e">
        <f>U227/VLOOKUP(A227,'[23]geoMap (20)'!$A:$B,2,0)*VLOOKUP(A227,'[23]geoMap (20)'!$A:$C,3,0)</f>
        <v>#REF!</v>
      </c>
      <c r="W227" s="1" t="e">
        <f>V227/VLOOKUP(A227,'[24]geoMap (21)'!$A:$B,2,0)*VLOOKUP(A227,'[24]geoMap (21)'!$A:$C,3,0)</f>
        <v>#REF!</v>
      </c>
      <c r="X227" s="1" t="e">
        <f>W227/VLOOKUP(A227,'[25]geoMap (22)'!$A:$B,2,0)*VLOOKUP(A227,'[25]geoMap (22)'!$A:$C,3,0)</f>
        <v>#REF!</v>
      </c>
      <c r="Y227" s="1" t="e">
        <f>X227/VLOOKUP(A227,'[26]geoMap (23)'!$A:$B,2,0)*VLOOKUP(A227,'[26]geoMap (23)'!$A:$C,3,0)</f>
        <v>#REF!</v>
      </c>
      <c r="Z227" s="1" t="e">
        <f>Y227/VLOOKUP(A227,'[27]geoMap (24)'!$A:$B,2,0)*VLOOKUP(A227,'[27]geoMap (24)'!$A:$C,3,0)</f>
        <v>#REF!</v>
      </c>
      <c r="AA227" s="1" t="e">
        <f>Z227/VLOOKUP(A227,'[28]geoMap (25)'!$A:$B,2,0)*VLOOKUP(A227,'[28]geoMap (25)'!$A:$C,3,0)</f>
        <v>#REF!</v>
      </c>
      <c r="AB227" s="1" t="e">
        <f>AA227*VLOOKUP(A227,'[29]geoMap (26)'!$A:$B,2,0)*VLOOKUP(A227,'[29]geoMap (26)'!$A:$C,3,0)</f>
        <v>#REF!</v>
      </c>
      <c r="AC227" s="1" t="e">
        <f>AB227/VLOOKUP(A227,'[30]geoMap (27)'!$A:$B,2,0)*VLOOKUP(A227,'[30]geoMap (27)'!$A:$C,3,0)</f>
        <v>#REF!</v>
      </c>
      <c r="AD227" s="1" t="e">
        <f>AC227/VLOOKUP(A227,'[31]geoMap (28)'!$A:$B,2,0)*VLOOKUP(A227,'[31]geoMap (28)'!$A:$C,3,0)</f>
        <v>#REF!</v>
      </c>
      <c r="AE227" s="1" t="e">
        <f>AD227/VLOOKUP(A227,'[32]geoMap (29)'!$A:$B,2,0)*VLOOKUP(A227,'[32]geoMap (29)'!$A:$C,3,0)</f>
        <v>#REF!</v>
      </c>
      <c r="AF227" s="1" t="e">
        <f>AE227/VLOOKUP(A227,'[33]geoMap (30)'!$A:$B,2,0)*VLOOKUP(A227,'[33]geoMap (30)'!$A:$C,3,0)</f>
        <v>#REF!</v>
      </c>
      <c r="AG227" s="1" t="e">
        <f>AF227/VLOOKUP(A227,'[34]geoMap (31)'!$A:$B,2,0)*VLOOKUP(A227,'[34]geoMap (31)'!$A:$C,3,0)</f>
        <v>#REF!</v>
      </c>
      <c r="AH227" s="1" t="e">
        <f>AG227/VLOOKUP(A227,'[35]geoMap (32)'!$A:$B,2,0)*VLOOKUP(A227,'[35]geoMap (32)'!$A:$C,3,0)</f>
        <v>#REF!</v>
      </c>
      <c r="AI227" s="1" t="e">
        <f>AH227/VLOOKUP(A227,'[36]geoMap (33)'!$A:$B,2,0)*VLOOKUP(A227,'[36]geoMap (33)'!$A:$C,3,0)</f>
        <v>#REF!</v>
      </c>
      <c r="AJ227" s="1" t="e">
        <f>AI227/VLOOKUP(A227,'[37]geoMap (34)'!$A:$B,2,0)*VLOOKUP(A227,'[37]geoMap (34)'!$A:$C,3,0)</f>
        <v>#REF!</v>
      </c>
      <c r="AK227" s="1" t="e">
        <f>AJ227/VLOOKUP(A227,'[38]geoMap (35)'!$A:$B,2,0)*VLOOKUP(A227,'[38]geoMap (35)'!$A:$C,3,0)</f>
        <v>#REF!</v>
      </c>
      <c r="AL227" s="1" t="e">
        <f>AK227/VLOOKUP(A227,'[39]geoMap (36)'!$A:$B,2,0)*VLOOKUP(A227,'[39]geoMap (36)'!$A:$C,3,0)</f>
        <v>#REF!</v>
      </c>
      <c r="AM227" s="1" t="e">
        <f>AL227/VLOOKUP(A227,'[40]geoMap (37)'!$A:$B,2,0)*VLOOKUP(A227,'[40]geoMap (37)'!$A:$C,3,0)</f>
        <v>#REF!</v>
      </c>
      <c r="AN227" s="1" t="e">
        <f>AM227/VLOOKUP(A227,'[41]geoMap (38)'!$A:$B,2,0)*VLOOKUP(A227,'[41]geoMap (38)'!$A:$C,3,0)</f>
        <v>#REF!</v>
      </c>
      <c r="AO227" s="1" t="e">
        <f>AN227/VLOOKUP(A227,'[42]geoMap (39)'!$A:$B,2,0)*VLOOKUP(A227,'[42]geoMap (39)'!$A:$C,3,0)</f>
        <v>#REF!</v>
      </c>
      <c r="AP227" s="1" t="e">
        <f>AO227/VLOOKUP(A227,'[43]geoMap (40)'!$A:$B,2,0)*VLOOKUP(A227,'[43]geoMap (40)'!$A:$C,3,0)</f>
        <v>#REF!</v>
      </c>
      <c r="AQ227" s="1" t="e">
        <f>AP227/VLOOKUP(A227,'[44]geoMap (41)'!$A:$B,2,0)*VLOOKUP(A227,'[44]geoMap (41)'!$A:$C,3,0)</f>
        <v>#REF!</v>
      </c>
      <c r="AR227" s="1" t="e">
        <f>AQ227/VLOOKUP(A227,'[45]geoMap (42)'!$A:$B,2,0)*VLOOKUP(A227,'[45]geoMap (42)'!$A:$C,3,0)</f>
        <v>#REF!</v>
      </c>
      <c r="AS227" s="1" t="e">
        <f>AR227/VLOOKUP(A227,'[46]geoMap (43)'!$A:$B,2,0)*VLOOKUP(A227,'[46]geoMap (43)'!$A:$C,3,0)</f>
        <v>#REF!</v>
      </c>
      <c r="AT227" s="1" t="e">
        <f>AS227/VLOOKUP(A227,'[47]geoMap (44)'!$A:$B,2,0)*VLOOKUP(A227,'[47]geoMap (44)'!$A:$C,3,0)</f>
        <v>#REF!</v>
      </c>
      <c r="AU227" s="1" t="e">
        <f>AT227/VLOOKUP(A227,'[48]geoMap (45)'!$A:$B,2,0)*VLOOKUP(A227,'[48]geoMap (45)'!$A:$C,3,0)</f>
        <v>#REF!</v>
      </c>
      <c r="AV227" s="1" t="e">
        <f>AU227/VLOOKUP(A227,'[49]geoMap (46)'!$A:$B,2,0)*VLOOKUP(A227,'[49]geoMap (46)'!$A:$C,3,0)</f>
        <v>#REF!</v>
      </c>
      <c r="AW227" s="1" t="e">
        <f>AV227/VLOOKUP(A227,'[50]geoMap (47)'!$A:$B,2,0)*VLOOKUP(A227,'[50]geoMap (47)'!$A:$C,3,0)</f>
        <v>#REF!</v>
      </c>
      <c r="AX227" s="1" t="e">
        <f>AW227/VLOOKUP(A227,'[51]geoMap (48)'!$A:$B,2,0)*VLOOKUP(A227,'[51]geoMap (48)'!$A:$C,3,0)</f>
        <v>#REF!</v>
      </c>
      <c r="AY227" s="1" t="e">
        <f>AX227/VLOOKUP(A227,'[52]geoMap (49)'!$A:$B,2,0)*VLOOKUP(A227,'[52]geoMap (49)'!$A:$C,3,0)</f>
        <v>#REF!</v>
      </c>
      <c r="AZ227" s="1" t="e">
        <f>AY227/VLOOKUP(A227,'[53]geoMap (50)'!$A:$B,2,0)*VLOOKUP(A227,'[53]geoMap (50)'!$A:$C,3,0)</f>
        <v>#REF!</v>
      </c>
      <c r="BA227" s="1" t="e">
        <f>AZ227/VLOOKUP(A227,'[54]geoMap (51)'!$A:$B,2,0)*VLOOKUP(A227,'[54]geoMap (51)'!$A:$C,3,0)</f>
        <v>#REF!</v>
      </c>
      <c r="BB227" s="1" t="e">
        <f>BA227/VLOOKUP(A227,'[55]geoMap (52)'!$A:$B,2,0)*VLOOKUP(A227,'[55]geoMap (52)'!$A:$C,3,0)</f>
        <v>#REF!</v>
      </c>
      <c r="BC227" s="1" t="e">
        <f>BB227/VLOOKUP(A227,'[56]geoMap (53)'!$A:$B,2,0)*VLOOKUP(A227,'[56]geoMap (53)'!$A:$C,3,0)</f>
        <v>#REF!</v>
      </c>
      <c r="BD227" s="1" t="e">
        <f>BC227/VLOOKUP(A227,'[57]geoMap (54)'!$A:$B,2,0)*VLOOKUP(A227,'[57]geoMap (54)'!$A:$C,3,0)</f>
        <v>#REF!</v>
      </c>
      <c r="BE227" s="1" t="e">
        <f>BD227/VLOOKUP(A227,'[58]geoMap (55)'!$A:$B,2,0)*VLOOKUP(A227,'[58]geoMap (55)'!$A:$C,3,0)</f>
        <v>#REF!</v>
      </c>
      <c r="BF227" s="1" t="e">
        <f>BE227/VLOOKUP(A227,'[59]geoMap (56)'!$A:$B,2,0)*VLOOKUP(A227,'[59]geoMap (56)'!$A:$C,3,0)</f>
        <v>#REF!</v>
      </c>
      <c r="BG227" s="1" t="e">
        <f>BF227/VLOOKUP(A227,'[60]geoMap (57)'!$A:$B,2,0)*VLOOKUP(A227,'[60]geoMap (57)'!$A:$C,3,0)</f>
        <v>#REF!</v>
      </c>
      <c r="BH227" s="1" t="e">
        <f>BG227/VLOOKUP(A227,'[61]geoMap (58)'!$A:$B,2,0)*VLOOKUP(A227,'[61]geoMap (58)'!$A:$C,3,0)</f>
        <v>#REF!</v>
      </c>
      <c r="BI227" s="1" t="e">
        <f>BH227/VLOOKUP(A227,'[62]geoMap (59)'!$A:$B,2,0)*VLOOKUP(A227,'[62]geoMap (59)'!$A:$C,3,0)</f>
        <v>#REF!</v>
      </c>
      <c r="BJ227" s="1" t="e">
        <f>BI227/VLOOKUP(A227,'[63]geoMap (60)'!$A:$B,2,0)*VLOOKUP(A227,'[63]geoMap (60)'!$A:$C,3,0)</f>
        <v>#REF!</v>
      </c>
      <c r="BK227" s="1" t="e">
        <f>BJ227/VLOOKUP(A227,'[64]geoMap (61)'!$A:$B,2,0)*VLOOKUP(A227,'[64]geoMap (61)'!$A:$C,3,0)</f>
        <v>#REF!</v>
      </c>
      <c r="BL227" s="1" t="e">
        <f>BK227/VLOOKUP(A227,'[65]geoMap (62)'!$A:$B,2,0)*VLOOKUP(A227,'[65]geoMap (62)'!$A:$C,3,0)</f>
        <v>#REF!</v>
      </c>
      <c r="BM227" s="1" t="e">
        <f>BL227/VLOOKUP(A227,'[66]geoMap (63)'!$A:$B,2,0)*VLOOKUP(A227,'[66]geoMap (63)'!$A:$C,3,0)</f>
        <v>#REF!</v>
      </c>
      <c r="BN227" s="1" t="e">
        <f>BM227/VLOOKUP(A227,'[67]geoMap (64)'!$A:$B,2,0)*VLOOKUP(A227,'[67]geoMap (64)'!$A:$C,3,0)</f>
        <v>#REF!</v>
      </c>
      <c r="BO227" s="1" t="e">
        <f>BN227/VLOOKUP(A227,'[68]geoMap (65)'!$A:$B,2,0)*VLOOKUP(A227,'[68]geoMap (65)'!$A:$C,3,0)</f>
        <v>#REF!</v>
      </c>
      <c r="BP227" s="1" t="e">
        <f>BO227/VLOOKUP(A227,'[69]geoMap (66)'!$A:$B,2,0)*VLOOKUP(A227,'[69]geoMap (66)'!$A:$C,3,0)</f>
        <v>#REF!</v>
      </c>
    </row>
    <row r="228" spans="1:68" hidden="1" x14ac:dyDescent="0.2">
      <c r="A228" s="1" t="s">
        <v>230</v>
      </c>
      <c r="B228" s="1" t="e">
        <f>VLOOKUP(A228,[3]geoMap!$A:$B,2,0)*Notes!$C$6</f>
        <v>#REF!</v>
      </c>
      <c r="C228" s="1" t="e">
        <f>B228/VLOOKUP(A228,'[4]geoMap (1)'!$A:$B,2,0)*VLOOKUP(A228,'[4]geoMap (1)'!$A:$C,3,0)</f>
        <v>#REF!</v>
      </c>
      <c r="D228" s="1" t="e">
        <f>C228/VLOOKUP(A228,'[5]geoMap (2)'!$A:$B,2,0)*VLOOKUP(A228,'[5]geoMap (2)'!$A:$C,3,0)</f>
        <v>#REF!</v>
      </c>
      <c r="E228" s="1" t="e">
        <f>D228/VLOOKUP(A228,'[6]geoMap (3)'!$A:$B,2,0)*VLOOKUP(A228,'[6]geoMap (3)'!$A:$C,3,0)</f>
        <v>#REF!</v>
      </c>
      <c r="F228" s="1" t="e">
        <f>E228/VLOOKUP(A228,'[7]geoMap (4)'!$A:$B,2,0)*VLOOKUP(A228,'[7]geoMap (4)'!$A:$C,3,0)</f>
        <v>#REF!</v>
      </c>
      <c r="G228" s="1" t="e">
        <f>F228/VLOOKUP(A228,'[8]geoMap (5)'!$A:$B,2,0)*VLOOKUP(A228,'[8]geoMap (5)'!$A:$C,3,0)</f>
        <v>#REF!</v>
      </c>
      <c r="H228" s="1" t="e">
        <f>G228/VLOOKUP(A228,'[9]geoMap (6)'!$A:$B,2,0)*VLOOKUP(A228,'[9]geoMap (6)'!$A:$C,3,0)</f>
        <v>#REF!</v>
      </c>
      <c r="I228" s="1" t="e">
        <f>H228/VLOOKUP(A228,'[10]geoMap (7)'!$A:$B,2,0)*VLOOKUP(A228,'[10]geoMap (7)'!$A:$C,3,0)</f>
        <v>#REF!</v>
      </c>
      <c r="J228" s="1" t="e">
        <f>I228/VLOOKUP(A228,'[11]geoMap (8)'!$A:$B,2,0)*VLOOKUP(A228,'[11]geoMap (8)'!$A:$C,3,0)</f>
        <v>#REF!</v>
      </c>
      <c r="K228" s="1" t="e">
        <f>J228/VLOOKUP(A228,'[12]geoMap (9)'!$A:$B,2,0)*VLOOKUP(A228,'[12]geoMap (9)'!$A:$C,3,0)</f>
        <v>#REF!</v>
      </c>
      <c r="L228" s="1" t="e">
        <f>K228/VLOOKUP(A228,'[13]geoMap (10)'!$A:$B,2,0)*VLOOKUP(A228,'[13]geoMap (10)'!$A:$C,3,0)</f>
        <v>#REF!</v>
      </c>
      <c r="M228" s="1" t="e">
        <f>L228/VLOOKUP(A228,'[14]geoMap (11)'!$A:$B,2,0)*VLOOKUP(A228,'[14]geoMap (11)'!$A:$C,3,0)</f>
        <v>#REF!</v>
      </c>
      <c r="N228" s="1" t="e">
        <f>M228/VLOOKUP(A228,'[15]geoMap (12)'!$A:$B,2,0)*VLOOKUP(A228,'[15]geoMap (12)'!$A:$C,3,0)</f>
        <v>#REF!</v>
      </c>
      <c r="O228" s="1" t="e">
        <f>N228/VLOOKUP(A228,'[16]geoMap (13)'!$A:$B,2,0)*VLOOKUP(A228,'[16]geoMap (13)'!$A:$C,3,0)</f>
        <v>#REF!</v>
      </c>
      <c r="P228" s="1" t="e">
        <f>O228/VLOOKUP(A228,'[17]geoMap (14)'!$A:$B,2,0)*VLOOKUP(A228,'[17]geoMap (14)'!$A:$C,3,0)</f>
        <v>#REF!</v>
      </c>
      <c r="Q228" s="1" t="e">
        <f>P228/VLOOKUP(A228,'[18]geoMap (15)'!$A:$B,2,0)*VLOOKUP(A228,'[18]geoMap (15)'!$A:$C,3,0)</f>
        <v>#REF!</v>
      </c>
      <c r="R228" s="1" t="e">
        <f>Q228/VLOOKUP(A228,'[19]geoMap (16)'!$A:$B,2,0)*VLOOKUP(A228,'[19]geoMap (16)'!$A:$C,3,0)</f>
        <v>#REF!</v>
      </c>
      <c r="S228" s="1" t="e">
        <f>R228/VLOOKUP(A228,'[20]geoMap (17)'!$A:$B,2,0)*VLOOKUP(A228,'[20]geoMap (17)'!$A:$C,3,0)</f>
        <v>#REF!</v>
      </c>
      <c r="T228" s="1" t="e">
        <f>S228/VLOOKUP(A228,'[21]geoMap (18)'!$A:$B,2,0)*VLOOKUP(A228,'[21]geoMap (18)'!$A:$C,3,0)</f>
        <v>#REF!</v>
      </c>
      <c r="U228" s="1" t="e">
        <f>T228/VLOOKUP(A228,'[22]geoMap (19)'!$A:$B,2,0)*VLOOKUP(A228,'[22]geoMap (19)'!$A:$C,3,0)</f>
        <v>#REF!</v>
      </c>
      <c r="V228" s="1" t="e">
        <f>U228/VLOOKUP(A228,'[23]geoMap (20)'!$A:$B,2,0)*VLOOKUP(A228,'[23]geoMap (20)'!$A:$C,3,0)</f>
        <v>#REF!</v>
      </c>
      <c r="W228" s="1" t="e">
        <f>V228/VLOOKUP(A228,'[24]geoMap (21)'!$A:$B,2,0)*VLOOKUP(A228,'[24]geoMap (21)'!$A:$C,3,0)</f>
        <v>#REF!</v>
      </c>
      <c r="X228" s="1" t="e">
        <f>W228/VLOOKUP(A228,'[25]geoMap (22)'!$A:$B,2,0)*VLOOKUP(A228,'[25]geoMap (22)'!$A:$C,3,0)</f>
        <v>#REF!</v>
      </c>
      <c r="Y228" s="1" t="e">
        <f>X228/VLOOKUP(A228,'[26]geoMap (23)'!$A:$B,2,0)*VLOOKUP(A228,'[26]geoMap (23)'!$A:$C,3,0)</f>
        <v>#REF!</v>
      </c>
      <c r="Z228" s="1" t="e">
        <f>Y228/VLOOKUP(A228,'[27]geoMap (24)'!$A:$B,2,0)*VLOOKUP(A228,'[27]geoMap (24)'!$A:$C,3,0)</f>
        <v>#REF!</v>
      </c>
      <c r="AA228" s="1" t="e">
        <f>Z228/VLOOKUP(A228,'[28]geoMap (25)'!$A:$B,2,0)*VLOOKUP(A228,'[28]geoMap (25)'!$A:$C,3,0)</f>
        <v>#REF!</v>
      </c>
      <c r="AB228" s="1" t="e">
        <f>AA228*VLOOKUP(A228,'[29]geoMap (26)'!$A:$B,2,0)*VLOOKUP(A228,'[29]geoMap (26)'!$A:$C,3,0)</f>
        <v>#REF!</v>
      </c>
      <c r="AC228" s="1" t="e">
        <f>AB228/VLOOKUP(A228,'[30]geoMap (27)'!$A:$B,2,0)*VLOOKUP(A228,'[30]geoMap (27)'!$A:$C,3,0)</f>
        <v>#REF!</v>
      </c>
      <c r="AD228" s="1" t="e">
        <f>AC228/VLOOKUP(A228,'[31]geoMap (28)'!$A:$B,2,0)*VLOOKUP(A228,'[31]geoMap (28)'!$A:$C,3,0)</f>
        <v>#REF!</v>
      </c>
      <c r="AE228" s="1" t="e">
        <f>AD228/VLOOKUP(A228,'[32]geoMap (29)'!$A:$B,2,0)*VLOOKUP(A228,'[32]geoMap (29)'!$A:$C,3,0)</f>
        <v>#REF!</v>
      </c>
      <c r="AF228" s="1" t="e">
        <f>AE228/VLOOKUP(A228,'[33]geoMap (30)'!$A:$B,2,0)*VLOOKUP(A228,'[33]geoMap (30)'!$A:$C,3,0)</f>
        <v>#REF!</v>
      </c>
      <c r="AG228" s="1" t="e">
        <f>AF228/VLOOKUP(A228,'[34]geoMap (31)'!$A:$B,2,0)*VLOOKUP(A228,'[34]geoMap (31)'!$A:$C,3,0)</f>
        <v>#REF!</v>
      </c>
      <c r="AH228" s="1" t="e">
        <f>AG228/VLOOKUP(A228,'[35]geoMap (32)'!$A:$B,2,0)*VLOOKUP(A228,'[35]geoMap (32)'!$A:$C,3,0)</f>
        <v>#REF!</v>
      </c>
      <c r="AI228" s="1" t="e">
        <f>AH228/VLOOKUP(A228,'[36]geoMap (33)'!$A:$B,2,0)*VLOOKUP(A228,'[36]geoMap (33)'!$A:$C,3,0)</f>
        <v>#REF!</v>
      </c>
      <c r="AJ228" s="1" t="e">
        <f>AI228/VLOOKUP(A228,'[37]geoMap (34)'!$A:$B,2,0)*VLOOKUP(A228,'[37]geoMap (34)'!$A:$C,3,0)</f>
        <v>#REF!</v>
      </c>
      <c r="AK228" s="1" t="e">
        <f>AJ228/VLOOKUP(A228,'[38]geoMap (35)'!$A:$B,2,0)*VLOOKUP(A228,'[38]geoMap (35)'!$A:$C,3,0)</f>
        <v>#REF!</v>
      </c>
      <c r="AL228" s="1" t="e">
        <f>AK228/VLOOKUP(A228,'[39]geoMap (36)'!$A:$B,2,0)*VLOOKUP(A228,'[39]geoMap (36)'!$A:$C,3,0)</f>
        <v>#REF!</v>
      </c>
      <c r="AM228" s="1" t="e">
        <f>AL228/VLOOKUP(A228,'[40]geoMap (37)'!$A:$B,2,0)*VLOOKUP(A228,'[40]geoMap (37)'!$A:$C,3,0)</f>
        <v>#REF!</v>
      </c>
      <c r="AN228" s="1" t="e">
        <f>AM228/VLOOKUP(A228,'[41]geoMap (38)'!$A:$B,2,0)*VLOOKUP(A228,'[41]geoMap (38)'!$A:$C,3,0)</f>
        <v>#REF!</v>
      </c>
      <c r="AO228" s="1" t="e">
        <f>AN228/VLOOKUP(A228,'[42]geoMap (39)'!$A:$B,2,0)*VLOOKUP(A228,'[42]geoMap (39)'!$A:$C,3,0)</f>
        <v>#REF!</v>
      </c>
      <c r="AP228" s="1" t="e">
        <f>AO228/VLOOKUP(A228,'[43]geoMap (40)'!$A:$B,2,0)*VLOOKUP(A228,'[43]geoMap (40)'!$A:$C,3,0)</f>
        <v>#REF!</v>
      </c>
      <c r="AQ228" s="1" t="e">
        <f>AP228/VLOOKUP(A228,'[44]geoMap (41)'!$A:$B,2,0)*VLOOKUP(A228,'[44]geoMap (41)'!$A:$C,3,0)</f>
        <v>#REF!</v>
      </c>
      <c r="AR228" s="1" t="e">
        <f>AQ228/VLOOKUP(A228,'[45]geoMap (42)'!$A:$B,2,0)*VLOOKUP(A228,'[45]geoMap (42)'!$A:$C,3,0)</f>
        <v>#REF!</v>
      </c>
      <c r="AS228" s="1" t="e">
        <f>AR228/VLOOKUP(A228,'[46]geoMap (43)'!$A:$B,2,0)*VLOOKUP(A228,'[46]geoMap (43)'!$A:$C,3,0)</f>
        <v>#REF!</v>
      </c>
      <c r="AT228" s="1" t="e">
        <f>AS228/VLOOKUP(A228,'[47]geoMap (44)'!$A:$B,2,0)*VLOOKUP(A228,'[47]geoMap (44)'!$A:$C,3,0)</f>
        <v>#REF!</v>
      </c>
      <c r="AU228" s="1" t="e">
        <f>AT228/VLOOKUP(A228,'[48]geoMap (45)'!$A:$B,2,0)*VLOOKUP(A228,'[48]geoMap (45)'!$A:$C,3,0)</f>
        <v>#REF!</v>
      </c>
      <c r="AV228" s="1" t="e">
        <f>AU228/VLOOKUP(A228,'[49]geoMap (46)'!$A:$B,2,0)*VLOOKUP(A228,'[49]geoMap (46)'!$A:$C,3,0)</f>
        <v>#REF!</v>
      </c>
      <c r="AW228" s="1" t="e">
        <f>AV228/VLOOKUP(A228,'[50]geoMap (47)'!$A:$B,2,0)*VLOOKUP(A228,'[50]geoMap (47)'!$A:$C,3,0)</f>
        <v>#REF!</v>
      </c>
      <c r="AX228" s="1" t="e">
        <f>AW228/VLOOKUP(A228,'[51]geoMap (48)'!$A:$B,2,0)*VLOOKUP(A228,'[51]geoMap (48)'!$A:$C,3,0)</f>
        <v>#REF!</v>
      </c>
      <c r="AY228" s="1" t="e">
        <f>AX228/VLOOKUP(A228,'[52]geoMap (49)'!$A:$B,2,0)*VLOOKUP(A228,'[52]geoMap (49)'!$A:$C,3,0)</f>
        <v>#REF!</v>
      </c>
      <c r="AZ228" s="1" t="e">
        <f>AY228/VLOOKUP(A228,'[53]geoMap (50)'!$A:$B,2,0)*VLOOKUP(A228,'[53]geoMap (50)'!$A:$C,3,0)</f>
        <v>#REF!</v>
      </c>
      <c r="BA228" s="1" t="e">
        <f>AZ228/VLOOKUP(A228,'[54]geoMap (51)'!$A:$B,2,0)*VLOOKUP(A228,'[54]geoMap (51)'!$A:$C,3,0)</f>
        <v>#REF!</v>
      </c>
      <c r="BB228" s="1" t="e">
        <f>BA228/VLOOKUP(A228,'[55]geoMap (52)'!$A:$B,2,0)*VLOOKUP(A228,'[55]geoMap (52)'!$A:$C,3,0)</f>
        <v>#REF!</v>
      </c>
      <c r="BC228" s="1" t="e">
        <f>BB228/VLOOKUP(A228,'[56]geoMap (53)'!$A:$B,2,0)*VLOOKUP(A228,'[56]geoMap (53)'!$A:$C,3,0)</f>
        <v>#REF!</v>
      </c>
      <c r="BD228" s="1" t="e">
        <f>BC228/VLOOKUP(A228,'[57]geoMap (54)'!$A:$B,2,0)*VLOOKUP(A228,'[57]geoMap (54)'!$A:$C,3,0)</f>
        <v>#REF!</v>
      </c>
      <c r="BE228" s="1" t="e">
        <f>BD228/VLOOKUP(A228,'[58]geoMap (55)'!$A:$B,2,0)*VLOOKUP(A228,'[58]geoMap (55)'!$A:$C,3,0)</f>
        <v>#REF!</v>
      </c>
      <c r="BF228" s="1" t="e">
        <f>BE228/VLOOKUP(A228,'[59]geoMap (56)'!$A:$B,2,0)*VLOOKUP(A228,'[59]geoMap (56)'!$A:$C,3,0)</f>
        <v>#REF!</v>
      </c>
      <c r="BG228" s="1" t="e">
        <f>BF228/VLOOKUP(A228,'[60]geoMap (57)'!$A:$B,2,0)*VLOOKUP(A228,'[60]geoMap (57)'!$A:$C,3,0)</f>
        <v>#REF!</v>
      </c>
      <c r="BH228" s="1" t="e">
        <f>BG228/VLOOKUP(A228,'[61]geoMap (58)'!$A:$B,2,0)*VLOOKUP(A228,'[61]geoMap (58)'!$A:$C,3,0)</f>
        <v>#REF!</v>
      </c>
      <c r="BI228" s="1" t="e">
        <f>BH228/VLOOKUP(A228,'[62]geoMap (59)'!$A:$B,2,0)*VLOOKUP(A228,'[62]geoMap (59)'!$A:$C,3,0)</f>
        <v>#REF!</v>
      </c>
      <c r="BJ228" s="1" t="e">
        <f>BI228/VLOOKUP(A228,'[63]geoMap (60)'!$A:$B,2,0)*VLOOKUP(A228,'[63]geoMap (60)'!$A:$C,3,0)</f>
        <v>#REF!</v>
      </c>
      <c r="BK228" s="1" t="e">
        <f>BJ228/VLOOKUP(A228,'[64]geoMap (61)'!$A:$B,2,0)*VLOOKUP(A228,'[64]geoMap (61)'!$A:$C,3,0)</f>
        <v>#REF!</v>
      </c>
      <c r="BL228" s="1" t="e">
        <f>BK228/VLOOKUP(A228,'[65]geoMap (62)'!$A:$B,2,0)*VLOOKUP(A228,'[65]geoMap (62)'!$A:$C,3,0)</f>
        <v>#REF!</v>
      </c>
      <c r="BM228" s="1" t="e">
        <f>BL228/VLOOKUP(A228,'[66]geoMap (63)'!$A:$B,2,0)*VLOOKUP(A228,'[66]geoMap (63)'!$A:$C,3,0)</f>
        <v>#REF!</v>
      </c>
      <c r="BN228" s="1" t="e">
        <f>BM228/VLOOKUP(A228,'[67]geoMap (64)'!$A:$B,2,0)*VLOOKUP(A228,'[67]geoMap (64)'!$A:$C,3,0)</f>
        <v>#REF!</v>
      </c>
      <c r="BO228" s="1" t="e">
        <f>BN228/VLOOKUP(A228,'[68]geoMap (65)'!$A:$B,2,0)*VLOOKUP(A228,'[68]geoMap (65)'!$A:$C,3,0)</f>
        <v>#REF!</v>
      </c>
      <c r="BP228" s="1" t="e">
        <f>BO228/VLOOKUP(A228,'[69]geoMap (66)'!$A:$B,2,0)*VLOOKUP(A228,'[69]geoMap (66)'!$A:$C,3,0)</f>
        <v>#REF!</v>
      </c>
    </row>
    <row r="229" spans="1:68" hidden="1" x14ac:dyDescent="0.2">
      <c r="A229" s="1" t="s">
        <v>231</v>
      </c>
      <c r="B229" s="1" t="e">
        <f>VLOOKUP(A229,[3]geoMap!$A:$B,2,0)*Notes!$C$6</f>
        <v>#REF!</v>
      </c>
      <c r="C229" s="1" t="e">
        <f>B229/VLOOKUP(A229,'[4]geoMap (1)'!$A:$B,2,0)*VLOOKUP(A229,'[4]geoMap (1)'!$A:$C,3,0)</f>
        <v>#REF!</v>
      </c>
      <c r="D229" s="1" t="e">
        <f>C229/VLOOKUP(A229,'[5]geoMap (2)'!$A:$B,2,0)*VLOOKUP(A229,'[5]geoMap (2)'!$A:$C,3,0)</f>
        <v>#REF!</v>
      </c>
      <c r="E229" s="1" t="e">
        <f>D229/VLOOKUP(A229,'[6]geoMap (3)'!$A:$B,2,0)*VLOOKUP(A229,'[6]geoMap (3)'!$A:$C,3,0)</f>
        <v>#REF!</v>
      </c>
      <c r="F229" s="1" t="e">
        <f>E229/VLOOKUP(A229,'[7]geoMap (4)'!$A:$B,2,0)*VLOOKUP(A229,'[7]geoMap (4)'!$A:$C,3,0)</f>
        <v>#REF!</v>
      </c>
      <c r="G229" s="1" t="e">
        <f>F229/VLOOKUP(A229,'[8]geoMap (5)'!$A:$B,2,0)*VLOOKUP(A229,'[8]geoMap (5)'!$A:$C,3,0)</f>
        <v>#REF!</v>
      </c>
      <c r="H229" s="1" t="e">
        <f>G229/VLOOKUP(A229,'[9]geoMap (6)'!$A:$B,2,0)*VLOOKUP(A229,'[9]geoMap (6)'!$A:$C,3,0)</f>
        <v>#REF!</v>
      </c>
      <c r="I229" s="1" t="e">
        <f>H229/VLOOKUP(A229,'[10]geoMap (7)'!$A:$B,2,0)*VLOOKUP(A229,'[10]geoMap (7)'!$A:$C,3,0)</f>
        <v>#REF!</v>
      </c>
      <c r="J229" s="1" t="e">
        <f>I229/VLOOKUP(A229,'[11]geoMap (8)'!$A:$B,2,0)*VLOOKUP(A229,'[11]geoMap (8)'!$A:$C,3,0)</f>
        <v>#REF!</v>
      </c>
      <c r="K229" s="1" t="e">
        <f>J229/VLOOKUP(A229,'[12]geoMap (9)'!$A:$B,2,0)*VLOOKUP(A229,'[12]geoMap (9)'!$A:$C,3,0)</f>
        <v>#REF!</v>
      </c>
      <c r="L229" s="1" t="e">
        <f>K229/VLOOKUP(A229,'[13]geoMap (10)'!$A:$B,2,0)*VLOOKUP(A229,'[13]geoMap (10)'!$A:$C,3,0)</f>
        <v>#REF!</v>
      </c>
      <c r="M229" s="1" t="e">
        <f>L229/VLOOKUP(A229,'[14]geoMap (11)'!$A:$B,2,0)*VLOOKUP(A229,'[14]geoMap (11)'!$A:$C,3,0)</f>
        <v>#REF!</v>
      </c>
      <c r="N229" s="1" t="e">
        <f>M229/VLOOKUP(A229,'[15]geoMap (12)'!$A:$B,2,0)*VLOOKUP(A229,'[15]geoMap (12)'!$A:$C,3,0)</f>
        <v>#REF!</v>
      </c>
      <c r="O229" s="1" t="e">
        <f>N229/VLOOKUP(A229,'[16]geoMap (13)'!$A:$B,2,0)*VLOOKUP(A229,'[16]geoMap (13)'!$A:$C,3,0)</f>
        <v>#REF!</v>
      </c>
      <c r="P229" s="1" t="e">
        <f>O229/VLOOKUP(A229,'[17]geoMap (14)'!$A:$B,2,0)*VLOOKUP(A229,'[17]geoMap (14)'!$A:$C,3,0)</f>
        <v>#REF!</v>
      </c>
      <c r="Q229" s="1" t="e">
        <f>P229/VLOOKUP(A229,'[18]geoMap (15)'!$A:$B,2,0)*VLOOKUP(A229,'[18]geoMap (15)'!$A:$C,3,0)</f>
        <v>#REF!</v>
      </c>
      <c r="R229" s="1" t="e">
        <f>Q229/VLOOKUP(A229,'[19]geoMap (16)'!$A:$B,2,0)*VLOOKUP(A229,'[19]geoMap (16)'!$A:$C,3,0)</f>
        <v>#REF!</v>
      </c>
      <c r="S229" s="1" t="e">
        <f>R229/VLOOKUP(A229,'[20]geoMap (17)'!$A:$B,2,0)*VLOOKUP(A229,'[20]geoMap (17)'!$A:$C,3,0)</f>
        <v>#REF!</v>
      </c>
      <c r="T229" s="1" t="e">
        <f>S229/VLOOKUP(A229,'[21]geoMap (18)'!$A:$B,2,0)*VLOOKUP(A229,'[21]geoMap (18)'!$A:$C,3,0)</f>
        <v>#REF!</v>
      </c>
      <c r="U229" s="1" t="e">
        <f>T229/VLOOKUP(A229,'[22]geoMap (19)'!$A:$B,2,0)*VLOOKUP(A229,'[22]geoMap (19)'!$A:$C,3,0)</f>
        <v>#REF!</v>
      </c>
      <c r="V229" s="1" t="e">
        <f>U229/VLOOKUP(A229,'[23]geoMap (20)'!$A:$B,2,0)*VLOOKUP(A229,'[23]geoMap (20)'!$A:$C,3,0)</f>
        <v>#REF!</v>
      </c>
      <c r="W229" s="1" t="e">
        <f>V229/VLOOKUP(A229,'[24]geoMap (21)'!$A:$B,2,0)*VLOOKUP(A229,'[24]geoMap (21)'!$A:$C,3,0)</f>
        <v>#REF!</v>
      </c>
      <c r="X229" s="1" t="e">
        <f>W229/VLOOKUP(A229,'[25]geoMap (22)'!$A:$B,2,0)*VLOOKUP(A229,'[25]geoMap (22)'!$A:$C,3,0)</f>
        <v>#REF!</v>
      </c>
      <c r="Y229" s="1" t="e">
        <f>X229/VLOOKUP(A229,'[26]geoMap (23)'!$A:$B,2,0)*VLOOKUP(A229,'[26]geoMap (23)'!$A:$C,3,0)</f>
        <v>#REF!</v>
      </c>
      <c r="Z229" s="1" t="e">
        <f>Y229/VLOOKUP(A229,'[27]geoMap (24)'!$A:$B,2,0)*VLOOKUP(A229,'[27]geoMap (24)'!$A:$C,3,0)</f>
        <v>#REF!</v>
      </c>
      <c r="AA229" s="1" t="e">
        <f>Z229/VLOOKUP(A229,'[28]geoMap (25)'!$A:$B,2,0)*VLOOKUP(A229,'[28]geoMap (25)'!$A:$C,3,0)</f>
        <v>#REF!</v>
      </c>
      <c r="AB229" s="1" t="e">
        <f>AA229*VLOOKUP(A229,'[29]geoMap (26)'!$A:$B,2,0)*VLOOKUP(A229,'[29]geoMap (26)'!$A:$C,3,0)</f>
        <v>#REF!</v>
      </c>
      <c r="AC229" s="1" t="e">
        <f>AB229/VLOOKUP(A229,'[30]geoMap (27)'!$A:$B,2,0)*VLOOKUP(A229,'[30]geoMap (27)'!$A:$C,3,0)</f>
        <v>#REF!</v>
      </c>
      <c r="AD229" s="1" t="e">
        <f>AC229/VLOOKUP(A229,'[31]geoMap (28)'!$A:$B,2,0)*VLOOKUP(A229,'[31]geoMap (28)'!$A:$C,3,0)</f>
        <v>#REF!</v>
      </c>
      <c r="AE229" s="1" t="e">
        <f>AD229/VLOOKUP(A229,'[32]geoMap (29)'!$A:$B,2,0)*VLOOKUP(A229,'[32]geoMap (29)'!$A:$C,3,0)</f>
        <v>#REF!</v>
      </c>
      <c r="AF229" s="1" t="e">
        <f>AE229/VLOOKUP(A229,'[33]geoMap (30)'!$A:$B,2,0)*VLOOKUP(A229,'[33]geoMap (30)'!$A:$C,3,0)</f>
        <v>#REF!</v>
      </c>
      <c r="AG229" s="1" t="e">
        <f>AF229/VLOOKUP(A229,'[34]geoMap (31)'!$A:$B,2,0)*VLOOKUP(A229,'[34]geoMap (31)'!$A:$C,3,0)</f>
        <v>#REF!</v>
      </c>
      <c r="AH229" s="1" t="e">
        <f>AG229/VLOOKUP(A229,'[35]geoMap (32)'!$A:$B,2,0)*VLOOKUP(A229,'[35]geoMap (32)'!$A:$C,3,0)</f>
        <v>#REF!</v>
      </c>
      <c r="AI229" s="1" t="e">
        <f>AH229/VLOOKUP(A229,'[36]geoMap (33)'!$A:$B,2,0)*VLOOKUP(A229,'[36]geoMap (33)'!$A:$C,3,0)</f>
        <v>#REF!</v>
      </c>
      <c r="AJ229" s="1" t="e">
        <f>AI229/VLOOKUP(A229,'[37]geoMap (34)'!$A:$B,2,0)*VLOOKUP(A229,'[37]geoMap (34)'!$A:$C,3,0)</f>
        <v>#REF!</v>
      </c>
      <c r="AK229" s="1" t="e">
        <f>AJ229/VLOOKUP(A229,'[38]geoMap (35)'!$A:$B,2,0)*VLOOKUP(A229,'[38]geoMap (35)'!$A:$C,3,0)</f>
        <v>#REF!</v>
      </c>
      <c r="AL229" s="1" t="e">
        <f>AK229/VLOOKUP(A229,'[39]geoMap (36)'!$A:$B,2,0)*VLOOKUP(A229,'[39]geoMap (36)'!$A:$C,3,0)</f>
        <v>#REF!</v>
      </c>
      <c r="AM229" s="1" t="e">
        <f>AL229/VLOOKUP(A229,'[40]geoMap (37)'!$A:$B,2,0)*VLOOKUP(A229,'[40]geoMap (37)'!$A:$C,3,0)</f>
        <v>#REF!</v>
      </c>
      <c r="AN229" s="1" t="e">
        <f>AM229/VLOOKUP(A229,'[41]geoMap (38)'!$A:$B,2,0)*VLOOKUP(A229,'[41]geoMap (38)'!$A:$C,3,0)</f>
        <v>#REF!</v>
      </c>
      <c r="AO229" s="1" t="e">
        <f>AN229/VLOOKUP(A229,'[42]geoMap (39)'!$A:$B,2,0)*VLOOKUP(A229,'[42]geoMap (39)'!$A:$C,3,0)</f>
        <v>#REF!</v>
      </c>
      <c r="AP229" s="1" t="e">
        <f>AO229/VLOOKUP(A229,'[43]geoMap (40)'!$A:$B,2,0)*VLOOKUP(A229,'[43]geoMap (40)'!$A:$C,3,0)</f>
        <v>#REF!</v>
      </c>
      <c r="AQ229" s="1" t="e">
        <f>AP229/VLOOKUP(A229,'[44]geoMap (41)'!$A:$B,2,0)*VLOOKUP(A229,'[44]geoMap (41)'!$A:$C,3,0)</f>
        <v>#REF!</v>
      </c>
      <c r="AR229" s="1" t="e">
        <f>AQ229/VLOOKUP(A229,'[45]geoMap (42)'!$A:$B,2,0)*VLOOKUP(A229,'[45]geoMap (42)'!$A:$C,3,0)</f>
        <v>#REF!</v>
      </c>
      <c r="AS229" s="1" t="e">
        <f>AR229/VLOOKUP(A229,'[46]geoMap (43)'!$A:$B,2,0)*VLOOKUP(A229,'[46]geoMap (43)'!$A:$C,3,0)</f>
        <v>#REF!</v>
      </c>
      <c r="AT229" s="1" t="e">
        <f>AS229/VLOOKUP(A229,'[47]geoMap (44)'!$A:$B,2,0)*VLOOKUP(A229,'[47]geoMap (44)'!$A:$C,3,0)</f>
        <v>#REF!</v>
      </c>
      <c r="AU229" s="1" t="e">
        <f>AT229/VLOOKUP(A229,'[48]geoMap (45)'!$A:$B,2,0)*VLOOKUP(A229,'[48]geoMap (45)'!$A:$C,3,0)</f>
        <v>#REF!</v>
      </c>
      <c r="AV229" s="1" t="e">
        <f>AU229/VLOOKUP(A229,'[49]geoMap (46)'!$A:$B,2,0)*VLOOKUP(A229,'[49]geoMap (46)'!$A:$C,3,0)</f>
        <v>#REF!</v>
      </c>
      <c r="AW229" s="1" t="e">
        <f>AV229/VLOOKUP(A229,'[50]geoMap (47)'!$A:$B,2,0)*VLOOKUP(A229,'[50]geoMap (47)'!$A:$C,3,0)</f>
        <v>#REF!</v>
      </c>
      <c r="AX229" s="1" t="e">
        <f>AW229/VLOOKUP(A229,'[51]geoMap (48)'!$A:$B,2,0)*VLOOKUP(A229,'[51]geoMap (48)'!$A:$C,3,0)</f>
        <v>#REF!</v>
      </c>
      <c r="AY229" s="1" t="e">
        <f>AX229/VLOOKUP(A229,'[52]geoMap (49)'!$A:$B,2,0)*VLOOKUP(A229,'[52]geoMap (49)'!$A:$C,3,0)</f>
        <v>#REF!</v>
      </c>
      <c r="AZ229" s="1" t="e">
        <f>AY229/VLOOKUP(A229,'[53]geoMap (50)'!$A:$B,2,0)*VLOOKUP(A229,'[53]geoMap (50)'!$A:$C,3,0)</f>
        <v>#REF!</v>
      </c>
      <c r="BA229" s="1" t="e">
        <f>AZ229/VLOOKUP(A229,'[54]geoMap (51)'!$A:$B,2,0)*VLOOKUP(A229,'[54]geoMap (51)'!$A:$C,3,0)</f>
        <v>#REF!</v>
      </c>
      <c r="BB229" s="1" t="e">
        <f>BA229/VLOOKUP(A229,'[55]geoMap (52)'!$A:$B,2,0)*VLOOKUP(A229,'[55]geoMap (52)'!$A:$C,3,0)</f>
        <v>#REF!</v>
      </c>
      <c r="BC229" s="1" t="e">
        <f>BB229/VLOOKUP(A229,'[56]geoMap (53)'!$A:$B,2,0)*VLOOKUP(A229,'[56]geoMap (53)'!$A:$C,3,0)</f>
        <v>#REF!</v>
      </c>
      <c r="BD229" s="1" t="e">
        <f>BC229/VLOOKUP(A229,'[57]geoMap (54)'!$A:$B,2,0)*VLOOKUP(A229,'[57]geoMap (54)'!$A:$C,3,0)</f>
        <v>#REF!</v>
      </c>
      <c r="BE229" s="1" t="e">
        <f>BD229/VLOOKUP(A229,'[58]geoMap (55)'!$A:$B,2,0)*VLOOKUP(A229,'[58]geoMap (55)'!$A:$C,3,0)</f>
        <v>#REF!</v>
      </c>
      <c r="BF229" s="1" t="e">
        <f>BE229/VLOOKUP(A229,'[59]geoMap (56)'!$A:$B,2,0)*VLOOKUP(A229,'[59]geoMap (56)'!$A:$C,3,0)</f>
        <v>#REF!</v>
      </c>
      <c r="BG229" s="1" t="e">
        <f>BF229/VLOOKUP(A229,'[60]geoMap (57)'!$A:$B,2,0)*VLOOKUP(A229,'[60]geoMap (57)'!$A:$C,3,0)</f>
        <v>#REF!</v>
      </c>
      <c r="BH229" s="1" t="e">
        <f>BG229/VLOOKUP(A229,'[61]geoMap (58)'!$A:$B,2,0)*VLOOKUP(A229,'[61]geoMap (58)'!$A:$C,3,0)</f>
        <v>#REF!</v>
      </c>
      <c r="BI229" s="1" t="e">
        <f>BH229/VLOOKUP(A229,'[62]geoMap (59)'!$A:$B,2,0)*VLOOKUP(A229,'[62]geoMap (59)'!$A:$C,3,0)</f>
        <v>#REF!</v>
      </c>
      <c r="BJ229" s="1" t="e">
        <f>BI229/VLOOKUP(A229,'[63]geoMap (60)'!$A:$B,2,0)*VLOOKUP(A229,'[63]geoMap (60)'!$A:$C,3,0)</f>
        <v>#REF!</v>
      </c>
      <c r="BK229" s="1" t="e">
        <f>BJ229/VLOOKUP(A229,'[64]geoMap (61)'!$A:$B,2,0)*VLOOKUP(A229,'[64]geoMap (61)'!$A:$C,3,0)</f>
        <v>#REF!</v>
      </c>
      <c r="BL229" s="1" t="e">
        <f>BK229/VLOOKUP(A229,'[65]geoMap (62)'!$A:$B,2,0)*VLOOKUP(A229,'[65]geoMap (62)'!$A:$C,3,0)</f>
        <v>#REF!</v>
      </c>
      <c r="BM229" s="1" t="e">
        <f>BL229/VLOOKUP(A229,'[66]geoMap (63)'!$A:$B,2,0)*VLOOKUP(A229,'[66]geoMap (63)'!$A:$C,3,0)</f>
        <v>#REF!</v>
      </c>
      <c r="BN229" s="1" t="e">
        <f>BM229/VLOOKUP(A229,'[67]geoMap (64)'!$A:$B,2,0)*VLOOKUP(A229,'[67]geoMap (64)'!$A:$C,3,0)</f>
        <v>#REF!</v>
      </c>
      <c r="BO229" s="1" t="e">
        <f>BN229/VLOOKUP(A229,'[68]geoMap (65)'!$A:$B,2,0)*VLOOKUP(A229,'[68]geoMap (65)'!$A:$C,3,0)</f>
        <v>#REF!</v>
      </c>
      <c r="BP229" s="1" t="e">
        <f>BO229/VLOOKUP(A229,'[69]geoMap (66)'!$A:$B,2,0)*VLOOKUP(A229,'[69]geoMap (66)'!$A:$C,3,0)</f>
        <v>#REF!</v>
      </c>
    </row>
    <row r="230" spans="1:68" hidden="1" x14ac:dyDescent="0.2">
      <c r="A230" s="1" t="s">
        <v>232</v>
      </c>
      <c r="B230" s="1" t="e">
        <f>VLOOKUP(A230,[3]geoMap!$A:$B,2,0)*Notes!$C$6</f>
        <v>#REF!</v>
      </c>
      <c r="C230" s="1" t="e">
        <f>B230/VLOOKUP(A230,'[4]geoMap (1)'!$A:$B,2,0)*VLOOKUP(A230,'[4]geoMap (1)'!$A:$C,3,0)</f>
        <v>#REF!</v>
      </c>
      <c r="D230" s="1" t="e">
        <f>C230/VLOOKUP(A230,'[5]geoMap (2)'!$A:$B,2,0)*VLOOKUP(A230,'[5]geoMap (2)'!$A:$C,3,0)</f>
        <v>#REF!</v>
      </c>
      <c r="E230" s="1" t="e">
        <f>D230/VLOOKUP(A230,'[6]geoMap (3)'!$A:$B,2,0)*VLOOKUP(A230,'[6]geoMap (3)'!$A:$C,3,0)</f>
        <v>#REF!</v>
      </c>
      <c r="F230" s="1" t="e">
        <f>E230/VLOOKUP(A230,'[7]geoMap (4)'!$A:$B,2,0)*VLOOKUP(A230,'[7]geoMap (4)'!$A:$C,3,0)</f>
        <v>#REF!</v>
      </c>
      <c r="G230" s="1" t="e">
        <f>F230/VLOOKUP(A230,'[8]geoMap (5)'!$A:$B,2,0)*VLOOKUP(A230,'[8]geoMap (5)'!$A:$C,3,0)</f>
        <v>#REF!</v>
      </c>
      <c r="H230" s="1" t="e">
        <f>G230/VLOOKUP(A230,'[9]geoMap (6)'!$A:$B,2,0)*VLOOKUP(A230,'[9]geoMap (6)'!$A:$C,3,0)</f>
        <v>#REF!</v>
      </c>
      <c r="I230" s="1" t="e">
        <f>H230/VLOOKUP(A230,'[10]geoMap (7)'!$A:$B,2,0)*VLOOKUP(A230,'[10]geoMap (7)'!$A:$C,3,0)</f>
        <v>#REF!</v>
      </c>
      <c r="J230" s="1" t="e">
        <f>I230/VLOOKUP(A230,'[11]geoMap (8)'!$A:$B,2,0)*VLOOKUP(A230,'[11]geoMap (8)'!$A:$C,3,0)</f>
        <v>#REF!</v>
      </c>
      <c r="K230" s="1" t="e">
        <f>J230/VLOOKUP(A230,'[12]geoMap (9)'!$A:$B,2,0)*VLOOKUP(A230,'[12]geoMap (9)'!$A:$C,3,0)</f>
        <v>#REF!</v>
      </c>
      <c r="L230" s="1" t="e">
        <f>K230/VLOOKUP(A230,'[13]geoMap (10)'!$A:$B,2,0)*VLOOKUP(A230,'[13]geoMap (10)'!$A:$C,3,0)</f>
        <v>#REF!</v>
      </c>
      <c r="M230" s="1" t="e">
        <f>L230/VLOOKUP(A230,'[14]geoMap (11)'!$A:$B,2,0)*VLOOKUP(A230,'[14]geoMap (11)'!$A:$C,3,0)</f>
        <v>#REF!</v>
      </c>
      <c r="N230" s="1" t="e">
        <f>M230/VLOOKUP(A230,'[15]geoMap (12)'!$A:$B,2,0)*VLOOKUP(A230,'[15]geoMap (12)'!$A:$C,3,0)</f>
        <v>#REF!</v>
      </c>
      <c r="O230" s="1" t="e">
        <f>N230/VLOOKUP(A230,'[16]geoMap (13)'!$A:$B,2,0)*VLOOKUP(A230,'[16]geoMap (13)'!$A:$C,3,0)</f>
        <v>#REF!</v>
      </c>
      <c r="P230" s="1" t="e">
        <f>O230/VLOOKUP(A230,'[17]geoMap (14)'!$A:$B,2,0)*VLOOKUP(A230,'[17]geoMap (14)'!$A:$C,3,0)</f>
        <v>#REF!</v>
      </c>
      <c r="Q230" s="1" t="e">
        <f>P230/VLOOKUP(A230,'[18]geoMap (15)'!$A:$B,2,0)*VLOOKUP(A230,'[18]geoMap (15)'!$A:$C,3,0)</f>
        <v>#REF!</v>
      </c>
      <c r="R230" s="1" t="e">
        <f>Q230/VLOOKUP(A230,'[19]geoMap (16)'!$A:$B,2,0)*VLOOKUP(A230,'[19]geoMap (16)'!$A:$C,3,0)</f>
        <v>#REF!</v>
      </c>
      <c r="S230" s="1" t="e">
        <f>R230/VLOOKUP(A230,'[20]geoMap (17)'!$A:$B,2,0)*VLOOKUP(A230,'[20]geoMap (17)'!$A:$C,3,0)</f>
        <v>#REF!</v>
      </c>
      <c r="T230" s="1" t="e">
        <f>S230/VLOOKUP(A230,'[21]geoMap (18)'!$A:$B,2,0)*VLOOKUP(A230,'[21]geoMap (18)'!$A:$C,3,0)</f>
        <v>#REF!</v>
      </c>
      <c r="U230" s="1" t="e">
        <f>T230/VLOOKUP(A230,'[22]geoMap (19)'!$A:$B,2,0)*VLOOKUP(A230,'[22]geoMap (19)'!$A:$C,3,0)</f>
        <v>#REF!</v>
      </c>
      <c r="V230" s="1" t="e">
        <f>U230/VLOOKUP(A230,'[23]geoMap (20)'!$A:$B,2,0)*VLOOKUP(A230,'[23]geoMap (20)'!$A:$C,3,0)</f>
        <v>#REF!</v>
      </c>
      <c r="W230" s="1" t="e">
        <f>V230/VLOOKUP(A230,'[24]geoMap (21)'!$A:$B,2,0)*VLOOKUP(A230,'[24]geoMap (21)'!$A:$C,3,0)</f>
        <v>#REF!</v>
      </c>
      <c r="X230" s="1" t="e">
        <f>W230/VLOOKUP(A230,'[25]geoMap (22)'!$A:$B,2,0)*VLOOKUP(A230,'[25]geoMap (22)'!$A:$C,3,0)</f>
        <v>#REF!</v>
      </c>
      <c r="Y230" s="1" t="e">
        <f>X230/VLOOKUP(A230,'[26]geoMap (23)'!$A:$B,2,0)*VLOOKUP(A230,'[26]geoMap (23)'!$A:$C,3,0)</f>
        <v>#REF!</v>
      </c>
      <c r="Z230" s="1" t="e">
        <f>Y230/VLOOKUP(A230,'[27]geoMap (24)'!$A:$B,2,0)*VLOOKUP(A230,'[27]geoMap (24)'!$A:$C,3,0)</f>
        <v>#REF!</v>
      </c>
      <c r="AA230" s="1" t="e">
        <f>Z230/VLOOKUP(A230,'[28]geoMap (25)'!$A:$B,2,0)*VLOOKUP(A230,'[28]geoMap (25)'!$A:$C,3,0)</f>
        <v>#REF!</v>
      </c>
      <c r="AB230" s="1" t="e">
        <f>AA230*VLOOKUP(A230,'[29]geoMap (26)'!$A:$B,2,0)*VLOOKUP(A230,'[29]geoMap (26)'!$A:$C,3,0)</f>
        <v>#REF!</v>
      </c>
      <c r="AC230" s="1" t="e">
        <f>AB230/VLOOKUP(A230,'[30]geoMap (27)'!$A:$B,2,0)*VLOOKUP(A230,'[30]geoMap (27)'!$A:$C,3,0)</f>
        <v>#REF!</v>
      </c>
      <c r="AD230" s="1" t="e">
        <f>AC230/VLOOKUP(A230,'[31]geoMap (28)'!$A:$B,2,0)*VLOOKUP(A230,'[31]geoMap (28)'!$A:$C,3,0)</f>
        <v>#REF!</v>
      </c>
      <c r="AE230" s="1" t="e">
        <f>AD230/VLOOKUP(A230,'[32]geoMap (29)'!$A:$B,2,0)*VLOOKUP(A230,'[32]geoMap (29)'!$A:$C,3,0)</f>
        <v>#REF!</v>
      </c>
      <c r="AF230" s="1" t="e">
        <f>AE230/VLOOKUP(A230,'[33]geoMap (30)'!$A:$B,2,0)*VLOOKUP(A230,'[33]geoMap (30)'!$A:$C,3,0)</f>
        <v>#REF!</v>
      </c>
      <c r="AG230" s="1" t="e">
        <f>AF230/VLOOKUP(A230,'[34]geoMap (31)'!$A:$B,2,0)*VLOOKUP(A230,'[34]geoMap (31)'!$A:$C,3,0)</f>
        <v>#REF!</v>
      </c>
      <c r="AH230" s="1" t="e">
        <f>AG230/VLOOKUP(A230,'[35]geoMap (32)'!$A:$B,2,0)*VLOOKUP(A230,'[35]geoMap (32)'!$A:$C,3,0)</f>
        <v>#REF!</v>
      </c>
      <c r="AI230" s="1" t="e">
        <f>AH230/VLOOKUP(A230,'[36]geoMap (33)'!$A:$B,2,0)*VLOOKUP(A230,'[36]geoMap (33)'!$A:$C,3,0)</f>
        <v>#REF!</v>
      </c>
      <c r="AJ230" s="1" t="e">
        <f>AI230/VLOOKUP(A230,'[37]geoMap (34)'!$A:$B,2,0)*VLOOKUP(A230,'[37]geoMap (34)'!$A:$C,3,0)</f>
        <v>#REF!</v>
      </c>
      <c r="AK230" s="1" t="e">
        <f>AJ230/VLOOKUP(A230,'[38]geoMap (35)'!$A:$B,2,0)*VLOOKUP(A230,'[38]geoMap (35)'!$A:$C,3,0)</f>
        <v>#REF!</v>
      </c>
      <c r="AL230" s="1" t="e">
        <f>AK230/VLOOKUP(A230,'[39]geoMap (36)'!$A:$B,2,0)*VLOOKUP(A230,'[39]geoMap (36)'!$A:$C,3,0)</f>
        <v>#REF!</v>
      </c>
      <c r="AM230" s="1" t="e">
        <f>AL230/VLOOKUP(A230,'[40]geoMap (37)'!$A:$B,2,0)*VLOOKUP(A230,'[40]geoMap (37)'!$A:$C,3,0)</f>
        <v>#REF!</v>
      </c>
      <c r="AN230" s="1" t="e">
        <f>AM230/VLOOKUP(A230,'[41]geoMap (38)'!$A:$B,2,0)*VLOOKUP(A230,'[41]geoMap (38)'!$A:$C,3,0)</f>
        <v>#REF!</v>
      </c>
      <c r="AO230" s="1" t="e">
        <f>AN230/VLOOKUP(A230,'[42]geoMap (39)'!$A:$B,2,0)*VLOOKUP(A230,'[42]geoMap (39)'!$A:$C,3,0)</f>
        <v>#REF!</v>
      </c>
      <c r="AP230" s="1" t="e">
        <f>AO230/VLOOKUP(A230,'[43]geoMap (40)'!$A:$B,2,0)*VLOOKUP(A230,'[43]geoMap (40)'!$A:$C,3,0)</f>
        <v>#REF!</v>
      </c>
      <c r="AQ230" s="1" t="e">
        <f>AP230/VLOOKUP(A230,'[44]geoMap (41)'!$A:$B,2,0)*VLOOKUP(A230,'[44]geoMap (41)'!$A:$C,3,0)</f>
        <v>#REF!</v>
      </c>
      <c r="AR230" s="1" t="e">
        <f>AQ230/VLOOKUP(A230,'[45]geoMap (42)'!$A:$B,2,0)*VLOOKUP(A230,'[45]geoMap (42)'!$A:$C,3,0)</f>
        <v>#REF!</v>
      </c>
      <c r="AS230" s="1" t="e">
        <f>AR230/VLOOKUP(A230,'[46]geoMap (43)'!$A:$B,2,0)*VLOOKUP(A230,'[46]geoMap (43)'!$A:$C,3,0)</f>
        <v>#REF!</v>
      </c>
      <c r="AT230" s="1" t="e">
        <f>AS230/VLOOKUP(A230,'[47]geoMap (44)'!$A:$B,2,0)*VLOOKUP(A230,'[47]geoMap (44)'!$A:$C,3,0)</f>
        <v>#REF!</v>
      </c>
      <c r="AU230" s="1" t="e">
        <f>AT230/VLOOKUP(A230,'[48]geoMap (45)'!$A:$B,2,0)*VLOOKUP(A230,'[48]geoMap (45)'!$A:$C,3,0)</f>
        <v>#REF!</v>
      </c>
      <c r="AV230" s="1" t="e">
        <f>AU230/VLOOKUP(A230,'[49]geoMap (46)'!$A:$B,2,0)*VLOOKUP(A230,'[49]geoMap (46)'!$A:$C,3,0)</f>
        <v>#REF!</v>
      </c>
      <c r="AW230" s="1" t="e">
        <f>AV230/VLOOKUP(A230,'[50]geoMap (47)'!$A:$B,2,0)*VLOOKUP(A230,'[50]geoMap (47)'!$A:$C,3,0)</f>
        <v>#REF!</v>
      </c>
      <c r="AX230" s="1" t="e">
        <f>AW230/VLOOKUP(A230,'[51]geoMap (48)'!$A:$B,2,0)*VLOOKUP(A230,'[51]geoMap (48)'!$A:$C,3,0)</f>
        <v>#REF!</v>
      </c>
      <c r="AY230" s="1" t="e">
        <f>AX230/VLOOKUP(A230,'[52]geoMap (49)'!$A:$B,2,0)*VLOOKUP(A230,'[52]geoMap (49)'!$A:$C,3,0)</f>
        <v>#REF!</v>
      </c>
      <c r="AZ230" s="1" t="e">
        <f>AY230/VLOOKUP(A230,'[53]geoMap (50)'!$A:$B,2,0)*VLOOKUP(A230,'[53]geoMap (50)'!$A:$C,3,0)</f>
        <v>#REF!</v>
      </c>
      <c r="BA230" s="1" t="e">
        <f>AZ230/VLOOKUP(A230,'[54]geoMap (51)'!$A:$B,2,0)*VLOOKUP(A230,'[54]geoMap (51)'!$A:$C,3,0)</f>
        <v>#REF!</v>
      </c>
      <c r="BB230" s="1" t="e">
        <f>BA230/VLOOKUP(A230,'[55]geoMap (52)'!$A:$B,2,0)*VLOOKUP(A230,'[55]geoMap (52)'!$A:$C,3,0)</f>
        <v>#REF!</v>
      </c>
      <c r="BC230" s="1" t="e">
        <f>BB230/VLOOKUP(A230,'[56]geoMap (53)'!$A:$B,2,0)*VLOOKUP(A230,'[56]geoMap (53)'!$A:$C,3,0)</f>
        <v>#REF!</v>
      </c>
      <c r="BD230" s="1" t="e">
        <f>BC230/VLOOKUP(A230,'[57]geoMap (54)'!$A:$B,2,0)*VLOOKUP(A230,'[57]geoMap (54)'!$A:$C,3,0)</f>
        <v>#REF!</v>
      </c>
      <c r="BE230" s="1" t="e">
        <f>BD230/VLOOKUP(A230,'[58]geoMap (55)'!$A:$B,2,0)*VLOOKUP(A230,'[58]geoMap (55)'!$A:$C,3,0)</f>
        <v>#REF!</v>
      </c>
      <c r="BF230" s="1" t="e">
        <f>BE230/VLOOKUP(A230,'[59]geoMap (56)'!$A:$B,2,0)*VLOOKUP(A230,'[59]geoMap (56)'!$A:$C,3,0)</f>
        <v>#REF!</v>
      </c>
      <c r="BG230" s="1" t="e">
        <f>BF230/VLOOKUP(A230,'[60]geoMap (57)'!$A:$B,2,0)*VLOOKUP(A230,'[60]geoMap (57)'!$A:$C,3,0)</f>
        <v>#REF!</v>
      </c>
      <c r="BH230" s="1" t="e">
        <f>BG230/VLOOKUP(A230,'[61]geoMap (58)'!$A:$B,2,0)*VLOOKUP(A230,'[61]geoMap (58)'!$A:$C,3,0)</f>
        <v>#REF!</v>
      </c>
      <c r="BI230" s="1" t="e">
        <f>BH230/VLOOKUP(A230,'[62]geoMap (59)'!$A:$B,2,0)*VLOOKUP(A230,'[62]geoMap (59)'!$A:$C,3,0)</f>
        <v>#REF!</v>
      </c>
      <c r="BJ230" s="1" t="e">
        <f>BI230/VLOOKUP(A230,'[63]geoMap (60)'!$A:$B,2,0)*VLOOKUP(A230,'[63]geoMap (60)'!$A:$C,3,0)</f>
        <v>#REF!</v>
      </c>
      <c r="BK230" s="1" t="e">
        <f>BJ230/VLOOKUP(A230,'[64]geoMap (61)'!$A:$B,2,0)*VLOOKUP(A230,'[64]geoMap (61)'!$A:$C,3,0)</f>
        <v>#REF!</v>
      </c>
      <c r="BL230" s="1" t="e">
        <f>BK230/VLOOKUP(A230,'[65]geoMap (62)'!$A:$B,2,0)*VLOOKUP(A230,'[65]geoMap (62)'!$A:$C,3,0)</f>
        <v>#REF!</v>
      </c>
      <c r="BM230" s="1" t="e">
        <f>BL230/VLOOKUP(A230,'[66]geoMap (63)'!$A:$B,2,0)*VLOOKUP(A230,'[66]geoMap (63)'!$A:$C,3,0)</f>
        <v>#REF!</v>
      </c>
      <c r="BN230" s="1" t="e">
        <f>BM230/VLOOKUP(A230,'[67]geoMap (64)'!$A:$B,2,0)*VLOOKUP(A230,'[67]geoMap (64)'!$A:$C,3,0)</f>
        <v>#REF!</v>
      </c>
      <c r="BO230" s="1" t="e">
        <f>BN230/VLOOKUP(A230,'[68]geoMap (65)'!$A:$B,2,0)*VLOOKUP(A230,'[68]geoMap (65)'!$A:$C,3,0)</f>
        <v>#REF!</v>
      </c>
      <c r="BP230" s="1" t="e">
        <f>BO230/VLOOKUP(A230,'[69]geoMap (66)'!$A:$B,2,0)*VLOOKUP(A230,'[69]geoMap (66)'!$A:$C,3,0)</f>
        <v>#REF!</v>
      </c>
    </row>
    <row r="231" spans="1:68" hidden="1" x14ac:dyDescent="0.2">
      <c r="A231" s="1" t="s">
        <v>233</v>
      </c>
      <c r="B231" s="1" t="e">
        <f>VLOOKUP(A231,[3]geoMap!$A:$B,2,0)*Notes!$C$6</f>
        <v>#REF!</v>
      </c>
      <c r="C231" s="1" t="e">
        <f>B231/VLOOKUP(A231,'[4]geoMap (1)'!$A:$B,2,0)*VLOOKUP(A231,'[4]geoMap (1)'!$A:$C,3,0)</f>
        <v>#REF!</v>
      </c>
      <c r="D231" s="1" t="e">
        <f>C231/VLOOKUP(A231,'[5]geoMap (2)'!$A:$B,2,0)*VLOOKUP(A231,'[5]geoMap (2)'!$A:$C,3,0)</f>
        <v>#REF!</v>
      </c>
      <c r="E231" s="1" t="e">
        <f>D231/VLOOKUP(A231,'[6]geoMap (3)'!$A:$B,2,0)*VLOOKUP(A231,'[6]geoMap (3)'!$A:$C,3,0)</f>
        <v>#REF!</v>
      </c>
      <c r="F231" s="1" t="e">
        <f>E231/VLOOKUP(A231,'[7]geoMap (4)'!$A:$B,2,0)*VLOOKUP(A231,'[7]geoMap (4)'!$A:$C,3,0)</f>
        <v>#REF!</v>
      </c>
      <c r="G231" s="1" t="e">
        <f>F231/VLOOKUP(A231,'[8]geoMap (5)'!$A:$B,2,0)*VLOOKUP(A231,'[8]geoMap (5)'!$A:$C,3,0)</f>
        <v>#REF!</v>
      </c>
      <c r="H231" s="1" t="e">
        <f>G231/VLOOKUP(A231,'[9]geoMap (6)'!$A:$B,2,0)*VLOOKUP(A231,'[9]geoMap (6)'!$A:$C,3,0)</f>
        <v>#REF!</v>
      </c>
      <c r="I231" s="1" t="e">
        <f>H231/VLOOKUP(A231,'[10]geoMap (7)'!$A:$B,2,0)*VLOOKUP(A231,'[10]geoMap (7)'!$A:$C,3,0)</f>
        <v>#REF!</v>
      </c>
      <c r="J231" s="1" t="e">
        <f>I231/VLOOKUP(A231,'[11]geoMap (8)'!$A:$B,2,0)*VLOOKUP(A231,'[11]geoMap (8)'!$A:$C,3,0)</f>
        <v>#REF!</v>
      </c>
      <c r="K231" s="1" t="e">
        <f>J231/VLOOKUP(A231,'[12]geoMap (9)'!$A:$B,2,0)*VLOOKUP(A231,'[12]geoMap (9)'!$A:$C,3,0)</f>
        <v>#REF!</v>
      </c>
      <c r="L231" s="1" t="e">
        <f>K231/VLOOKUP(A231,'[13]geoMap (10)'!$A:$B,2,0)*VLOOKUP(A231,'[13]geoMap (10)'!$A:$C,3,0)</f>
        <v>#REF!</v>
      </c>
      <c r="M231" s="1" t="e">
        <f>L231/VLOOKUP(A231,'[14]geoMap (11)'!$A:$B,2,0)*VLOOKUP(A231,'[14]geoMap (11)'!$A:$C,3,0)</f>
        <v>#REF!</v>
      </c>
      <c r="N231" s="1" t="e">
        <f>M231/VLOOKUP(A231,'[15]geoMap (12)'!$A:$B,2,0)*VLOOKUP(A231,'[15]geoMap (12)'!$A:$C,3,0)</f>
        <v>#REF!</v>
      </c>
      <c r="O231" s="1" t="e">
        <f>N231/VLOOKUP(A231,'[16]geoMap (13)'!$A:$B,2,0)*VLOOKUP(A231,'[16]geoMap (13)'!$A:$C,3,0)</f>
        <v>#REF!</v>
      </c>
      <c r="P231" s="1" t="e">
        <f>O231/VLOOKUP(A231,'[17]geoMap (14)'!$A:$B,2,0)*VLOOKUP(A231,'[17]geoMap (14)'!$A:$C,3,0)</f>
        <v>#REF!</v>
      </c>
      <c r="Q231" s="1" t="e">
        <f>P231/VLOOKUP(A231,'[18]geoMap (15)'!$A:$B,2,0)*VLOOKUP(A231,'[18]geoMap (15)'!$A:$C,3,0)</f>
        <v>#REF!</v>
      </c>
      <c r="R231" s="1" t="e">
        <f>Q231/VLOOKUP(A231,'[19]geoMap (16)'!$A:$B,2,0)*VLOOKUP(A231,'[19]geoMap (16)'!$A:$C,3,0)</f>
        <v>#REF!</v>
      </c>
      <c r="S231" s="1" t="e">
        <f>R231/VLOOKUP(A231,'[20]geoMap (17)'!$A:$B,2,0)*VLOOKUP(A231,'[20]geoMap (17)'!$A:$C,3,0)</f>
        <v>#REF!</v>
      </c>
      <c r="T231" s="1" t="e">
        <f>S231/VLOOKUP(A231,'[21]geoMap (18)'!$A:$B,2,0)*VLOOKUP(A231,'[21]geoMap (18)'!$A:$C,3,0)</f>
        <v>#REF!</v>
      </c>
      <c r="U231" s="1" t="e">
        <f>T231/VLOOKUP(A231,'[22]geoMap (19)'!$A:$B,2,0)*VLOOKUP(A231,'[22]geoMap (19)'!$A:$C,3,0)</f>
        <v>#REF!</v>
      </c>
      <c r="V231" s="1" t="e">
        <f>U231/VLOOKUP(A231,'[23]geoMap (20)'!$A:$B,2,0)*VLOOKUP(A231,'[23]geoMap (20)'!$A:$C,3,0)</f>
        <v>#REF!</v>
      </c>
      <c r="W231" s="1" t="e">
        <f>V231/VLOOKUP(A231,'[24]geoMap (21)'!$A:$B,2,0)*VLOOKUP(A231,'[24]geoMap (21)'!$A:$C,3,0)</f>
        <v>#REF!</v>
      </c>
      <c r="X231" s="1" t="e">
        <f>W231/VLOOKUP(A231,'[25]geoMap (22)'!$A:$B,2,0)*VLOOKUP(A231,'[25]geoMap (22)'!$A:$C,3,0)</f>
        <v>#REF!</v>
      </c>
      <c r="Y231" s="1" t="e">
        <f>X231/VLOOKUP(A231,'[26]geoMap (23)'!$A:$B,2,0)*VLOOKUP(A231,'[26]geoMap (23)'!$A:$C,3,0)</f>
        <v>#REF!</v>
      </c>
      <c r="Z231" s="1" t="e">
        <f>Y231/VLOOKUP(A231,'[27]geoMap (24)'!$A:$B,2,0)*VLOOKUP(A231,'[27]geoMap (24)'!$A:$C,3,0)</f>
        <v>#REF!</v>
      </c>
      <c r="AA231" s="1" t="e">
        <f>Z231/VLOOKUP(A231,'[28]geoMap (25)'!$A:$B,2,0)*VLOOKUP(A231,'[28]geoMap (25)'!$A:$C,3,0)</f>
        <v>#REF!</v>
      </c>
      <c r="AB231" s="1" t="e">
        <f>AA231*VLOOKUP(A231,'[29]geoMap (26)'!$A:$B,2,0)*VLOOKUP(A231,'[29]geoMap (26)'!$A:$C,3,0)</f>
        <v>#REF!</v>
      </c>
      <c r="AC231" s="1" t="e">
        <f>AB231/VLOOKUP(A231,'[30]geoMap (27)'!$A:$B,2,0)*VLOOKUP(A231,'[30]geoMap (27)'!$A:$C,3,0)</f>
        <v>#REF!</v>
      </c>
      <c r="AD231" s="1" t="e">
        <f>AC231/VLOOKUP(A231,'[31]geoMap (28)'!$A:$B,2,0)*VLOOKUP(A231,'[31]geoMap (28)'!$A:$C,3,0)</f>
        <v>#REF!</v>
      </c>
      <c r="AE231" s="1" t="e">
        <f>AD231/VLOOKUP(A231,'[32]geoMap (29)'!$A:$B,2,0)*VLOOKUP(A231,'[32]geoMap (29)'!$A:$C,3,0)</f>
        <v>#REF!</v>
      </c>
      <c r="AF231" s="1" t="e">
        <f>AE231/VLOOKUP(A231,'[33]geoMap (30)'!$A:$B,2,0)*VLOOKUP(A231,'[33]geoMap (30)'!$A:$C,3,0)</f>
        <v>#REF!</v>
      </c>
      <c r="AG231" s="1" t="e">
        <f>AF231/VLOOKUP(A231,'[34]geoMap (31)'!$A:$B,2,0)*VLOOKUP(A231,'[34]geoMap (31)'!$A:$C,3,0)</f>
        <v>#REF!</v>
      </c>
      <c r="AH231" s="1" t="e">
        <f>AG231/VLOOKUP(A231,'[35]geoMap (32)'!$A:$B,2,0)*VLOOKUP(A231,'[35]geoMap (32)'!$A:$C,3,0)</f>
        <v>#REF!</v>
      </c>
      <c r="AI231" s="1" t="e">
        <f>AH231/VLOOKUP(A231,'[36]geoMap (33)'!$A:$B,2,0)*VLOOKUP(A231,'[36]geoMap (33)'!$A:$C,3,0)</f>
        <v>#REF!</v>
      </c>
      <c r="AJ231" s="1" t="e">
        <f>AI231/VLOOKUP(A231,'[37]geoMap (34)'!$A:$B,2,0)*VLOOKUP(A231,'[37]geoMap (34)'!$A:$C,3,0)</f>
        <v>#REF!</v>
      </c>
      <c r="AK231" s="1" t="e">
        <f>AJ231/VLOOKUP(A231,'[38]geoMap (35)'!$A:$B,2,0)*VLOOKUP(A231,'[38]geoMap (35)'!$A:$C,3,0)</f>
        <v>#REF!</v>
      </c>
      <c r="AL231" s="1" t="e">
        <f>AK231/VLOOKUP(A231,'[39]geoMap (36)'!$A:$B,2,0)*VLOOKUP(A231,'[39]geoMap (36)'!$A:$C,3,0)</f>
        <v>#REF!</v>
      </c>
      <c r="AM231" s="1" t="e">
        <f>AL231/VLOOKUP(A231,'[40]geoMap (37)'!$A:$B,2,0)*VLOOKUP(A231,'[40]geoMap (37)'!$A:$C,3,0)</f>
        <v>#REF!</v>
      </c>
      <c r="AN231" s="1" t="e">
        <f>AM231/VLOOKUP(A231,'[41]geoMap (38)'!$A:$B,2,0)*VLOOKUP(A231,'[41]geoMap (38)'!$A:$C,3,0)</f>
        <v>#REF!</v>
      </c>
      <c r="AO231" s="1" t="e">
        <f>AN231/VLOOKUP(A231,'[42]geoMap (39)'!$A:$B,2,0)*VLOOKUP(A231,'[42]geoMap (39)'!$A:$C,3,0)</f>
        <v>#REF!</v>
      </c>
      <c r="AP231" s="1" t="e">
        <f>AO231/VLOOKUP(A231,'[43]geoMap (40)'!$A:$B,2,0)*VLOOKUP(A231,'[43]geoMap (40)'!$A:$C,3,0)</f>
        <v>#REF!</v>
      </c>
      <c r="AQ231" s="1" t="e">
        <f>AP231/VLOOKUP(A231,'[44]geoMap (41)'!$A:$B,2,0)*VLOOKUP(A231,'[44]geoMap (41)'!$A:$C,3,0)</f>
        <v>#REF!</v>
      </c>
      <c r="AR231" s="1" t="e">
        <f>AQ231/VLOOKUP(A231,'[45]geoMap (42)'!$A:$B,2,0)*VLOOKUP(A231,'[45]geoMap (42)'!$A:$C,3,0)</f>
        <v>#REF!</v>
      </c>
      <c r="AS231" s="1" t="e">
        <f>AR231/VLOOKUP(A231,'[46]geoMap (43)'!$A:$B,2,0)*VLOOKUP(A231,'[46]geoMap (43)'!$A:$C,3,0)</f>
        <v>#REF!</v>
      </c>
      <c r="AT231" s="1" t="e">
        <f>AS231/VLOOKUP(A231,'[47]geoMap (44)'!$A:$B,2,0)*VLOOKUP(A231,'[47]geoMap (44)'!$A:$C,3,0)</f>
        <v>#REF!</v>
      </c>
      <c r="AU231" s="1" t="e">
        <f>AT231/VLOOKUP(A231,'[48]geoMap (45)'!$A:$B,2,0)*VLOOKUP(A231,'[48]geoMap (45)'!$A:$C,3,0)</f>
        <v>#REF!</v>
      </c>
      <c r="AV231" s="1" t="e">
        <f>AU231/VLOOKUP(A231,'[49]geoMap (46)'!$A:$B,2,0)*VLOOKUP(A231,'[49]geoMap (46)'!$A:$C,3,0)</f>
        <v>#REF!</v>
      </c>
      <c r="AW231" s="1" t="e">
        <f>AV231/VLOOKUP(A231,'[50]geoMap (47)'!$A:$B,2,0)*VLOOKUP(A231,'[50]geoMap (47)'!$A:$C,3,0)</f>
        <v>#REF!</v>
      </c>
      <c r="AX231" s="1" t="e">
        <f>AW231/VLOOKUP(A231,'[51]geoMap (48)'!$A:$B,2,0)*VLOOKUP(A231,'[51]geoMap (48)'!$A:$C,3,0)</f>
        <v>#REF!</v>
      </c>
      <c r="AY231" s="1" t="e">
        <f>AX231/VLOOKUP(A231,'[52]geoMap (49)'!$A:$B,2,0)*VLOOKUP(A231,'[52]geoMap (49)'!$A:$C,3,0)</f>
        <v>#REF!</v>
      </c>
      <c r="AZ231" s="1" t="e">
        <f>AY231/VLOOKUP(A231,'[53]geoMap (50)'!$A:$B,2,0)*VLOOKUP(A231,'[53]geoMap (50)'!$A:$C,3,0)</f>
        <v>#REF!</v>
      </c>
      <c r="BA231" s="1" t="e">
        <f>AZ231/VLOOKUP(A231,'[54]geoMap (51)'!$A:$B,2,0)*VLOOKUP(A231,'[54]geoMap (51)'!$A:$C,3,0)</f>
        <v>#REF!</v>
      </c>
      <c r="BB231" s="1" t="e">
        <f>BA231/VLOOKUP(A231,'[55]geoMap (52)'!$A:$B,2,0)*VLOOKUP(A231,'[55]geoMap (52)'!$A:$C,3,0)</f>
        <v>#REF!</v>
      </c>
      <c r="BC231" s="1" t="e">
        <f>BB231/VLOOKUP(A231,'[56]geoMap (53)'!$A:$B,2,0)*VLOOKUP(A231,'[56]geoMap (53)'!$A:$C,3,0)</f>
        <v>#REF!</v>
      </c>
      <c r="BD231" s="1" t="e">
        <f>BC231/VLOOKUP(A231,'[57]geoMap (54)'!$A:$B,2,0)*VLOOKUP(A231,'[57]geoMap (54)'!$A:$C,3,0)</f>
        <v>#REF!</v>
      </c>
      <c r="BE231" s="1" t="e">
        <f>BD231/VLOOKUP(A231,'[58]geoMap (55)'!$A:$B,2,0)*VLOOKUP(A231,'[58]geoMap (55)'!$A:$C,3,0)</f>
        <v>#REF!</v>
      </c>
      <c r="BF231" s="1" t="e">
        <f>BE231/VLOOKUP(A231,'[59]geoMap (56)'!$A:$B,2,0)*VLOOKUP(A231,'[59]geoMap (56)'!$A:$C,3,0)</f>
        <v>#REF!</v>
      </c>
      <c r="BG231" s="1" t="e">
        <f>BF231/VLOOKUP(A231,'[60]geoMap (57)'!$A:$B,2,0)*VLOOKUP(A231,'[60]geoMap (57)'!$A:$C,3,0)</f>
        <v>#REF!</v>
      </c>
      <c r="BH231" s="1" t="e">
        <f>BG231/VLOOKUP(A231,'[61]geoMap (58)'!$A:$B,2,0)*VLOOKUP(A231,'[61]geoMap (58)'!$A:$C,3,0)</f>
        <v>#REF!</v>
      </c>
      <c r="BI231" s="1" t="e">
        <f>BH231/VLOOKUP(A231,'[62]geoMap (59)'!$A:$B,2,0)*VLOOKUP(A231,'[62]geoMap (59)'!$A:$C,3,0)</f>
        <v>#REF!</v>
      </c>
      <c r="BJ231" s="1" t="e">
        <f>BI231/VLOOKUP(A231,'[63]geoMap (60)'!$A:$B,2,0)*VLOOKUP(A231,'[63]geoMap (60)'!$A:$C,3,0)</f>
        <v>#REF!</v>
      </c>
      <c r="BK231" s="1" t="e">
        <f>BJ231/VLOOKUP(A231,'[64]geoMap (61)'!$A:$B,2,0)*VLOOKUP(A231,'[64]geoMap (61)'!$A:$C,3,0)</f>
        <v>#REF!</v>
      </c>
      <c r="BL231" s="1" t="e">
        <f>BK231/VLOOKUP(A231,'[65]geoMap (62)'!$A:$B,2,0)*VLOOKUP(A231,'[65]geoMap (62)'!$A:$C,3,0)</f>
        <v>#REF!</v>
      </c>
      <c r="BM231" s="1" t="e">
        <f>BL231/VLOOKUP(A231,'[66]geoMap (63)'!$A:$B,2,0)*VLOOKUP(A231,'[66]geoMap (63)'!$A:$C,3,0)</f>
        <v>#REF!</v>
      </c>
      <c r="BN231" s="1" t="e">
        <f>BM231/VLOOKUP(A231,'[67]geoMap (64)'!$A:$B,2,0)*VLOOKUP(A231,'[67]geoMap (64)'!$A:$C,3,0)</f>
        <v>#REF!</v>
      </c>
      <c r="BO231" s="1" t="e">
        <f>BN231/VLOOKUP(A231,'[68]geoMap (65)'!$A:$B,2,0)*VLOOKUP(A231,'[68]geoMap (65)'!$A:$C,3,0)</f>
        <v>#REF!</v>
      </c>
      <c r="BP231" s="1" t="e">
        <f>BO231/VLOOKUP(A231,'[69]geoMap (66)'!$A:$B,2,0)*VLOOKUP(A231,'[69]geoMap (66)'!$A:$C,3,0)</f>
        <v>#REF!</v>
      </c>
    </row>
    <row r="232" spans="1:68" hidden="1" x14ac:dyDescent="0.2">
      <c r="A232" s="1" t="s">
        <v>234</v>
      </c>
      <c r="B232" s="1" t="e">
        <f>VLOOKUP(A232,[3]geoMap!$A:$B,2,0)*Notes!$C$6</f>
        <v>#REF!</v>
      </c>
      <c r="C232" s="1" t="e">
        <f>B232/VLOOKUP(A232,'[4]geoMap (1)'!$A:$B,2,0)*VLOOKUP(A232,'[4]geoMap (1)'!$A:$C,3,0)</f>
        <v>#REF!</v>
      </c>
      <c r="D232" s="1" t="e">
        <f>C232/VLOOKUP(A232,'[5]geoMap (2)'!$A:$B,2,0)*VLOOKUP(A232,'[5]geoMap (2)'!$A:$C,3,0)</f>
        <v>#REF!</v>
      </c>
      <c r="E232" s="1" t="e">
        <f>D232/VLOOKUP(A232,'[6]geoMap (3)'!$A:$B,2,0)*VLOOKUP(A232,'[6]geoMap (3)'!$A:$C,3,0)</f>
        <v>#REF!</v>
      </c>
      <c r="F232" s="1" t="e">
        <f>E232/VLOOKUP(A232,'[7]geoMap (4)'!$A:$B,2,0)*VLOOKUP(A232,'[7]geoMap (4)'!$A:$C,3,0)</f>
        <v>#REF!</v>
      </c>
      <c r="G232" s="1" t="e">
        <f>F232/VLOOKUP(A232,'[8]geoMap (5)'!$A:$B,2,0)*VLOOKUP(A232,'[8]geoMap (5)'!$A:$C,3,0)</f>
        <v>#REF!</v>
      </c>
      <c r="H232" s="1" t="e">
        <f>G232/VLOOKUP(A232,'[9]geoMap (6)'!$A:$B,2,0)*VLOOKUP(A232,'[9]geoMap (6)'!$A:$C,3,0)</f>
        <v>#REF!</v>
      </c>
      <c r="I232" s="1" t="e">
        <f>H232/VLOOKUP(A232,'[10]geoMap (7)'!$A:$B,2,0)*VLOOKUP(A232,'[10]geoMap (7)'!$A:$C,3,0)</f>
        <v>#REF!</v>
      </c>
      <c r="J232" s="1" t="e">
        <f>I232/VLOOKUP(A232,'[11]geoMap (8)'!$A:$B,2,0)*VLOOKUP(A232,'[11]geoMap (8)'!$A:$C,3,0)</f>
        <v>#REF!</v>
      </c>
      <c r="K232" s="1" t="e">
        <f>J232/VLOOKUP(A232,'[12]geoMap (9)'!$A:$B,2,0)*VLOOKUP(A232,'[12]geoMap (9)'!$A:$C,3,0)</f>
        <v>#REF!</v>
      </c>
      <c r="L232" s="1" t="e">
        <f>K232/VLOOKUP(A232,'[13]geoMap (10)'!$A:$B,2,0)*VLOOKUP(A232,'[13]geoMap (10)'!$A:$C,3,0)</f>
        <v>#REF!</v>
      </c>
      <c r="M232" s="1" t="e">
        <f>L232/VLOOKUP(A232,'[14]geoMap (11)'!$A:$B,2,0)*VLOOKUP(A232,'[14]geoMap (11)'!$A:$C,3,0)</f>
        <v>#REF!</v>
      </c>
      <c r="N232" s="1" t="e">
        <f>M232/VLOOKUP(A232,'[15]geoMap (12)'!$A:$B,2,0)*VLOOKUP(A232,'[15]geoMap (12)'!$A:$C,3,0)</f>
        <v>#REF!</v>
      </c>
      <c r="O232" s="1" t="e">
        <f>N232/VLOOKUP(A232,'[16]geoMap (13)'!$A:$B,2,0)*VLOOKUP(A232,'[16]geoMap (13)'!$A:$C,3,0)</f>
        <v>#REF!</v>
      </c>
      <c r="P232" s="1" t="e">
        <f>O232/VLOOKUP(A232,'[17]geoMap (14)'!$A:$B,2,0)*VLOOKUP(A232,'[17]geoMap (14)'!$A:$C,3,0)</f>
        <v>#REF!</v>
      </c>
      <c r="Q232" s="1" t="e">
        <f>P232/VLOOKUP(A232,'[18]geoMap (15)'!$A:$B,2,0)*VLOOKUP(A232,'[18]geoMap (15)'!$A:$C,3,0)</f>
        <v>#REF!</v>
      </c>
      <c r="R232" s="1" t="e">
        <f>Q232/VLOOKUP(A232,'[19]geoMap (16)'!$A:$B,2,0)*VLOOKUP(A232,'[19]geoMap (16)'!$A:$C,3,0)</f>
        <v>#REF!</v>
      </c>
      <c r="S232" s="1" t="e">
        <f>R232/VLOOKUP(A232,'[20]geoMap (17)'!$A:$B,2,0)*VLOOKUP(A232,'[20]geoMap (17)'!$A:$C,3,0)</f>
        <v>#REF!</v>
      </c>
      <c r="T232" s="1" t="e">
        <f>S232/VLOOKUP(A232,'[21]geoMap (18)'!$A:$B,2,0)*VLOOKUP(A232,'[21]geoMap (18)'!$A:$C,3,0)</f>
        <v>#REF!</v>
      </c>
      <c r="U232" s="1" t="e">
        <f>T232/VLOOKUP(A232,'[22]geoMap (19)'!$A:$B,2,0)*VLOOKUP(A232,'[22]geoMap (19)'!$A:$C,3,0)</f>
        <v>#REF!</v>
      </c>
      <c r="V232" s="1" t="e">
        <f>U232/VLOOKUP(A232,'[23]geoMap (20)'!$A:$B,2,0)*VLOOKUP(A232,'[23]geoMap (20)'!$A:$C,3,0)</f>
        <v>#REF!</v>
      </c>
      <c r="W232" s="1" t="e">
        <f>V232/VLOOKUP(A232,'[24]geoMap (21)'!$A:$B,2,0)*VLOOKUP(A232,'[24]geoMap (21)'!$A:$C,3,0)</f>
        <v>#REF!</v>
      </c>
      <c r="X232" s="1" t="e">
        <f>W232/VLOOKUP(A232,'[25]geoMap (22)'!$A:$B,2,0)*VLOOKUP(A232,'[25]geoMap (22)'!$A:$C,3,0)</f>
        <v>#REF!</v>
      </c>
      <c r="Y232" s="1" t="e">
        <f>X232/VLOOKUP(A232,'[26]geoMap (23)'!$A:$B,2,0)*VLOOKUP(A232,'[26]geoMap (23)'!$A:$C,3,0)</f>
        <v>#REF!</v>
      </c>
      <c r="Z232" s="1" t="e">
        <f>Y232/VLOOKUP(A232,'[27]geoMap (24)'!$A:$B,2,0)*VLOOKUP(A232,'[27]geoMap (24)'!$A:$C,3,0)</f>
        <v>#REF!</v>
      </c>
      <c r="AA232" s="1" t="e">
        <f>Z232/VLOOKUP(A232,'[28]geoMap (25)'!$A:$B,2,0)*VLOOKUP(A232,'[28]geoMap (25)'!$A:$C,3,0)</f>
        <v>#REF!</v>
      </c>
      <c r="AB232" s="1" t="e">
        <f>AA232*VLOOKUP(A232,'[29]geoMap (26)'!$A:$B,2,0)*VLOOKUP(A232,'[29]geoMap (26)'!$A:$C,3,0)</f>
        <v>#REF!</v>
      </c>
      <c r="AC232" s="1" t="e">
        <f>AB232/VLOOKUP(A232,'[30]geoMap (27)'!$A:$B,2,0)*VLOOKUP(A232,'[30]geoMap (27)'!$A:$C,3,0)</f>
        <v>#REF!</v>
      </c>
      <c r="AD232" s="1" t="e">
        <f>AC232/VLOOKUP(A232,'[31]geoMap (28)'!$A:$B,2,0)*VLOOKUP(A232,'[31]geoMap (28)'!$A:$C,3,0)</f>
        <v>#REF!</v>
      </c>
      <c r="AE232" s="1" t="e">
        <f>AD232/VLOOKUP(A232,'[32]geoMap (29)'!$A:$B,2,0)*VLOOKUP(A232,'[32]geoMap (29)'!$A:$C,3,0)</f>
        <v>#REF!</v>
      </c>
      <c r="AF232" s="1" t="e">
        <f>AE232/VLOOKUP(A232,'[33]geoMap (30)'!$A:$B,2,0)*VLOOKUP(A232,'[33]geoMap (30)'!$A:$C,3,0)</f>
        <v>#REF!</v>
      </c>
      <c r="AG232" s="1" t="e">
        <f>AF232/VLOOKUP(A232,'[34]geoMap (31)'!$A:$B,2,0)*VLOOKUP(A232,'[34]geoMap (31)'!$A:$C,3,0)</f>
        <v>#REF!</v>
      </c>
      <c r="AH232" s="1" t="e">
        <f>AG232/VLOOKUP(A232,'[35]geoMap (32)'!$A:$B,2,0)*VLOOKUP(A232,'[35]geoMap (32)'!$A:$C,3,0)</f>
        <v>#REF!</v>
      </c>
      <c r="AI232" s="1" t="e">
        <f>AH232/VLOOKUP(A232,'[36]geoMap (33)'!$A:$B,2,0)*VLOOKUP(A232,'[36]geoMap (33)'!$A:$C,3,0)</f>
        <v>#REF!</v>
      </c>
      <c r="AJ232" s="1" t="e">
        <f>AI232/VLOOKUP(A232,'[37]geoMap (34)'!$A:$B,2,0)*VLOOKUP(A232,'[37]geoMap (34)'!$A:$C,3,0)</f>
        <v>#REF!</v>
      </c>
      <c r="AK232" s="1" t="e">
        <f>AJ232/VLOOKUP(A232,'[38]geoMap (35)'!$A:$B,2,0)*VLOOKUP(A232,'[38]geoMap (35)'!$A:$C,3,0)</f>
        <v>#REF!</v>
      </c>
      <c r="AL232" s="1" t="e">
        <f>AK232/VLOOKUP(A232,'[39]geoMap (36)'!$A:$B,2,0)*VLOOKUP(A232,'[39]geoMap (36)'!$A:$C,3,0)</f>
        <v>#REF!</v>
      </c>
      <c r="AM232" s="1" t="e">
        <f>AL232/VLOOKUP(A232,'[40]geoMap (37)'!$A:$B,2,0)*VLOOKUP(A232,'[40]geoMap (37)'!$A:$C,3,0)</f>
        <v>#REF!</v>
      </c>
      <c r="AN232" s="1" t="e">
        <f>AM232/VLOOKUP(A232,'[41]geoMap (38)'!$A:$B,2,0)*VLOOKUP(A232,'[41]geoMap (38)'!$A:$C,3,0)</f>
        <v>#REF!</v>
      </c>
      <c r="AO232" s="1" t="e">
        <f>AN232/VLOOKUP(A232,'[42]geoMap (39)'!$A:$B,2,0)*VLOOKUP(A232,'[42]geoMap (39)'!$A:$C,3,0)</f>
        <v>#REF!</v>
      </c>
      <c r="AP232" s="1" t="e">
        <f>AO232/VLOOKUP(A232,'[43]geoMap (40)'!$A:$B,2,0)*VLOOKUP(A232,'[43]geoMap (40)'!$A:$C,3,0)</f>
        <v>#REF!</v>
      </c>
      <c r="AQ232" s="1" t="e">
        <f>AP232/VLOOKUP(A232,'[44]geoMap (41)'!$A:$B,2,0)*VLOOKUP(A232,'[44]geoMap (41)'!$A:$C,3,0)</f>
        <v>#REF!</v>
      </c>
      <c r="AR232" s="1" t="e">
        <f>AQ232/VLOOKUP(A232,'[45]geoMap (42)'!$A:$B,2,0)*VLOOKUP(A232,'[45]geoMap (42)'!$A:$C,3,0)</f>
        <v>#REF!</v>
      </c>
      <c r="AS232" s="1" t="e">
        <f>AR232/VLOOKUP(A232,'[46]geoMap (43)'!$A:$B,2,0)*VLOOKUP(A232,'[46]geoMap (43)'!$A:$C,3,0)</f>
        <v>#REF!</v>
      </c>
      <c r="AT232" s="1" t="e">
        <f>AS232/VLOOKUP(A232,'[47]geoMap (44)'!$A:$B,2,0)*VLOOKUP(A232,'[47]geoMap (44)'!$A:$C,3,0)</f>
        <v>#REF!</v>
      </c>
      <c r="AU232" s="1" t="e">
        <f>AT232/VLOOKUP(A232,'[48]geoMap (45)'!$A:$B,2,0)*VLOOKUP(A232,'[48]geoMap (45)'!$A:$C,3,0)</f>
        <v>#REF!</v>
      </c>
      <c r="AV232" s="1" t="e">
        <f>AU232/VLOOKUP(A232,'[49]geoMap (46)'!$A:$B,2,0)*VLOOKUP(A232,'[49]geoMap (46)'!$A:$C,3,0)</f>
        <v>#REF!</v>
      </c>
      <c r="AW232" s="1" t="e">
        <f>AV232/VLOOKUP(A232,'[50]geoMap (47)'!$A:$B,2,0)*VLOOKUP(A232,'[50]geoMap (47)'!$A:$C,3,0)</f>
        <v>#REF!</v>
      </c>
      <c r="AX232" s="1" t="e">
        <f>AW232/VLOOKUP(A232,'[51]geoMap (48)'!$A:$B,2,0)*VLOOKUP(A232,'[51]geoMap (48)'!$A:$C,3,0)</f>
        <v>#REF!</v>
      </c>
      <c r="AY232" s="1" t="e">
        <f>AX232/VLOOKUP(A232,'[52]geoMap (49)'!$A:$B,2,0)*VLOOKUP(A232,'[52]geoMap (49)'!$A:$C,3,0)</f>
        <v>#REF!</v>
      </c>
      <c r="AZ232" s="1" t="e">
        <f>AY232/VLOOKUP(A232,'[53]geoMap (50)'!$A:$B,2,0)*VLOOKUP(A232,'[53]geoMap (50)'!$A:$C,3,0)</f>
        <v>#REF!</v>
      </c>
      <c r="BA232" s="1" t="e">
        <f>AZ232/VLOOKUP(A232,'[54]geoMap (51)'!$A:$B,2,0)*VLOOKUP(A232,'[54]geoMap (51)'!$A:$C,3,0)</f>
        <v>#REF!</v>
      </c>
      <c r="BB232" s="1" t="e">
        <f>BA232/VLOOKUP(A232,'[55]geoMap (52)'!$A:$B,2,0)*VLOOKUP(A232,'[55]geoMap (52)'!$A:$C,3,0)</f>
        <v>#REF!</v>
      </c>
      <c r="BC232" s="1" t="e">
        <f>BB232/VLOOKUP(A232,'[56]geoMap (53)'!$A:$B,2,0)*VLOOKUP(A232,'[56]geoMap (53)'!$A:$C,3,0)</f>
        <v>#REF!</v>
      </c>
      <c r="BD232" s="1" t="e">
        <f>BC232/VLOOKUP(A232,'[57]geoMap (54)'!$A:$B,2,0)*VLOOKUP(A232,'[57]geoMap (54)'!$A:$C,3,0)</f>
        <v>#REF!</v>
      </c>
      <c r="BE232" s="1" t="e">
        <f>BD232/VLOOKUP(A232,'[58]geoMap (55)'!$A:$B,2,0)*VLOOKUP(A232,'[58]geoMap (55)'!$A:$C,3,0)</f>
        <v>#REF!</v>
      </c>
      <c r="BF232" s="1" t="e">
        <f>BE232/VLOOKUP(A232,'[59]geoMap (56)'!$A:$B,2,0)*VLOOKUP(A232,'[59]geoMap (56)'!$A:$C,3,0)</f>
        <v>#REF!</v>
      </c>
      <c r="BG232" s="1" t="e">
        <f>BF232/VLOOKUP(A232,'[60]geoMap (57)'!$A:$B,2,0)*VLOOKUP(A232,'[60]geoMap (57)'!$A:$C,3,0)</f>
        <v>#REF!</v>
      </c>
      <c r="BH232" s="1" t="e">
        <f>BG232/VLOOKUP(A232,'[61]geoMap (58)'!$A:$B,2,0)*VLOOKUP(A232,'[61]geoMap (58)'!$A:$C,3,0)</f>
        <v>#REF!</v>
      </c>
      <c r="BI232" s="1" t="e">
        <f>BH232/VLOOKUP(A232,'[62]geoMap (59)'!$A:$B,2,0)*VLOOKUP(A232,'[62]geoMap (59)'!$A:$C,3,0)</f>
        <v>#REF!</v>
      </c>
      <c r="BJ232" s="1" t="e">
        <f>BI232/VLOOKUP(A232,'[63]geoMap (60)'!$A:$B,2,0)*VLOOKUP(A232,'[63]geoMap (60)'!$A:$C,3,0)</f>
        <v>#REF!</v>
      </c>
      <c r="BK232" s="1" t="e">
        <f>BJ232/VLOOKUP(A232,'[64]geoMap (61)'!$A:$B,2,0)*VLOOKUP(A232,'[64]geoMap (61)'!$A:$C,3,0)</f>
        <v>#REF!</v>
      </c>
      <c r="BL232" s="1" t="e">
        <f>BK232/VLOOKUP(A232,'[65]geoMap (62)'!$A:$B,2,0)*VLOOKUP(A232,'[65]geoMap (62)'!$A:$C,3,0)</f>
        <v>#REF!</v>
      </c>
      <c r="BM232" s="1" t="e">
        <f>BL232/VLOOKUP(A232,'[66]geoMap (63)'!$A:$B,2,0)*VLOOKUP(A232,'[66]geoMap (63)'!$A:$C,3,0)</f>
        <v>#REF!</v>
      </c>
      <c r="BN232" s="1" t="e">
        <f>BM232/VLOOKUP(A232,'[67]geoMap (64)'!$A:$B,2,0)*VLOOKUP(A232,'[67]geoMap (64)'!$A:$C,3,0)</f>
        <v>#REF!</v>
      </c>
      <c r="BO232" s="1" t="e">
        <f>BN232/VLOOKUP(A232,'[68]geoMap (65)'!$A:$B,2,0)*VLOOKUP(A232,'[68]geoMap (65)'!$A:$C,3,0)</f>
        <v>#REF!</v>
      </c>
      <c r="BP232" s="1" t="e">
        <f>BO232/VLOOKUP(A232,'[69]geoMap (66)'!$A:$B,2,0)*VLOOKUP(A232,'[69]geoMap (66)'!$A:$C,3,0)</f>
        <v>#REF!</v>
      </c>
    </row>
    <row r="233" spans="1:68" hidden="1" x14ac:dyDescent="0.2">
      <c r="A233" s="1" t="s">
        <v>235</v>
      </c>
      <c r="B233" s="1" t="e">
        <f>VLOOKUP(A233,[3]geoMap!$A:$B,2,0)*Notes!$C$6</f>
        <v>#REF!</v>
      </c>
      <c r="C233" s="1" t="e">
        <f>B233/VLOOKUP(A233,'[4]geoMap (1)'!$A:$B,2,0)*VLOOKUP(A233,'[4]geoMap (1)'!$A:$C,3,0)</f>
        <v>#REF!</v>
      </c>
      <c r="D233" s="1" t="e">
        <f>C233/VLOOKUP(A233,'[5]geoMap (2)'!$A:$B,2,0)*VLOOKUP(A233,'[5]geoMap (2)'!$A:$C,3,0)</f>
        <v>#REF!</v>
      </c>
      <c r="E233" s="1" t="e">
        <f>D233/VLOOKUP(A233,'[6]geoMap (3)'!$A:$B,2,0)*VLOOKUP(A233,'[6]geoMap (3)'!$A:$C,3,0)</f>
        <v>#REF!</v>
      </c>
      <c r="F233" s="1" t="e">
        <f>E233/VLOOKUP(A233,'[7]geoMap (4)'!$A:$B,2,0)*VLOOKUP(A233,'[7]geoMap (4)'!$A:$C,3,0)</f>
        <v>#REF!</v>
      </c>
      <c r="G233" s="1" t="e">
        <f>F233/VLOOKUP(A233,'[8]geoMap (5)'!$A:$B,2,0)*VLOOKUP(A233,'[8]geoMap (5)'!$A:$C,3,0)</f>
        <v>#REF!</v>
      </c>
      <c r="H233" s="1" t="e">
        <f>G233/VLOOKUP(A233,'[9]geoMap (6)'!$A:$B,2,0)*VLOOKUP(A233,'[9]geoMap (6)'!$A:$C,3,0)</f>
        <v>#REF!</v>
      </c>
      <c r="I233" s="1" t="e">
        <f>H233/VLOOKUP(A233,'[10]geoMap (7)'!$A:$B,2,0)*VLOOKUP(A233,'[10]geoMap (7)'!$A:$C,3,0)</f>
        <v>#REF!</v>
      </c>
      <c r="J233" s="1" t="e">
        <f>I233/VLOOKUP(A233,'[11]geoMap (8)'!$A:$B,2,0)*VLOOKUP(A233,'[11]geoMap (8)'!$A:$C,3,0)</f>
        <v>#REF!</v>
      </c>
      <c r="K233" s="1" t="e">
        <f>J233/VLOOKUP(A233,'[12]geoMap (9)'!$A:$B,2,0)*VLOOKUP(A233,'[12]geoMap (9)'!$A:$C,3,0)</f>
        <v>#REF!</v>
      </c>
      <c r="L233" s="1" t="e">
        <f>K233/VLOOKUP(A233,'[13]geoMap (10)'!$A:$B,2,0)*VLOOKUP(A233,'[13]geoMap (10)'!$A:$C,3,0)</f>
        <v>#REF!</v>
      </c>
      <c r="M233" s="1" t="e">
        <f>L233/VLOOKUP(A233,'[14]geoMap (11)'!$A:$B,2,0)*VLOOKUP(A233,'[14]geoMap (11)'!$A:$C,3,0)</f>
        <v>#REF!</v>
      </c>
      <c r="N233" s="1" t="e">
        <f>M233/VLOOKUP(A233,'[15]geoMap (12)'!$A:$B,2,0)*VLOOKUP(A233,'[15]geoMap (12)'!$A:$C,3,0)</f>
        <v>#REF!</v>
      </c>
      <c r="O233" s="1" t="e">
        <f>N233/VLOOKUP(A233,'[16]geoMap (13)'!$A:$B,2,0)*VLOOKUP(A233,'[16]geoMap (13)'!$A:$C,3,0)</f>
        <v>#REF!</v>
      </c>
      <c r="P233" s="1" t="e">
        <f>O233/VLOOKUP(A233,'[17]geoMap (14)'!$A:$B,2,0)*VLOOKUP(A233,'[17]geoMap (14)'!$A:$C,3,0)</f>
        <v>#REF!</v>
      </c>
      <c r="Q233" s="1" t="e">
        <f>P233/VLOOKUP(A233,'[18]geoMap (15)'!$A:$B,2,0)*VLOOKUP(A233,'[18]geoMap (15)'!$A:$C,3,0)</f>
        <v>#REF!</v>
      </c>
      <c r="R233" s="1" t="e">
        <f>Q233/VLOOKUP(A233,'[19]geoMap (16)'!$A:$B,2,0)*VLOOKUP(A233,'[19]geoMap (16)'!$A:$C,3,0)</f>
        <v>#REF!</v>
      </c>
      <c r="S233" s="1" t="e">
        <f>R233/VLOOKUP(A233,'[20]geoMap (17)'!$A:$B,2,0)*VLOOKUP(A233,'[20]geoMap (17)'!$A:$C,3,0)</f>
        <v>#REF!</v>
      </c>
      <c r="T233" s="1" t="e">
        <f>S233/VLOOKUP(A233,'[21]geoMap (18)'!$A:$B,2,0)*VLOOKUP(A233,'[21]geoMap (18)'!$A:$C,3,0)</f>
        <v>#REF!</v>
      </c>
      <c r="U233" s="1" t="e">
        <f>T233/VLOOKUP(A233,'[22]geoMap (19)'!$A:$B,2,0)*VLOOKUP(A233,'[22]geoMap (19)'!$A:$C,3,0)</f>
        <v>#REF!</v>
      </c>
      <c r="V233" s="1" t="e">
        <f>U233/VLOOKUP(A233,'[23]geoMap (20)'!$A:$B,2,0)*VLOOKUP(A233,'[23]geoMap (20)'!$A:$C,3,0)</f>
        <v>#REF!</v>
      </c>
      <c r="W233" s="1" t="e">
        <f>V233/VLOOKUP(A233,'[24]geoMap (21)'!$A:$B,2,0)*VLOOKUP(A233,'[24]geoMap (21)'!$A:$C,3,0)</f>
        <v>#REF!</v>
      </c>
      <c r="X233" s="1" t="e">
        <f>W233/VLOOKUP(A233,'[25]geoMap (22)'!$A:$B,2,0)*VLOOKUP(A233,'[25]geoMap (22)'!$A:$C,3,0)</f>
        <v>#REF!</v>
      </c>
      <c r="Y233" s="1" t="e">
        <f>X233/VLOOKUP(A233,'[26]geoMap (23)'!$A:$B,2,0)*VLOOKUP(A233,'[26]geoMap (23)'!$A:$C,3,0)</f>
        <v>#REF!</v>
      </c>
      <c r="Z233" s="1" t="e">
        <f>Y233/VLOOKUP(A233,'[27]geoMap (24)'!$A:$B,2,0)*VLOOKUP(A233,'[27]geoMap (24)'!$A:$C,3,0)</f>
        <v>#REF!</v>
      </c>
      <c r="AA233" s="1" t="e">
        <f>Z233/VLOOKUP(A233,'[28]geoMap (25)'!$A:$B,2,0)*VLOOKUP(A233,'[28]geoMap (25)'!$A:$C,3,0)</f>
        <v>#REF!</v>
      </c>
      <c r="AB233" s="1" t="e">
        <f>AA233*VLOOKUP(A233,'[29]geoMap (26)'!$A:$B,2,0)*VLOOKUP(A233,'[29]geoMap (26)'!$A:$C,3,0)</f>
        <v>#REF!</v>
      </c>
      <c r="AC233" s="1" t="e">
        <f>AB233/VLOOKUP(A233,'[30]geoMap (27)'!$A:$B,2,0)*VLOOKUP(A233,'[30]geoMap (27)'!$A:$C,3,0)</f>
        <v>#REF!</v>
      </c>
      <c r="AD233" s="1" t="e">
        <f>AC233/VLOOKUP(A233,'[31]geoMap (28)'!$A:$B,2,0)*VLOOKUP(A233,'[31]geoMap (28)'!$A:$C,3,0)</f>
        <v>#REF!</v>
      </c>
      <c r="AE233" s="1" t="e">
        <f>AD233/VLOOKUP(A233,'[32]geoMap (29)'!$A:$B,2,0)*VLOOKUP(A233,'[32]geoMap (29)'!$A:$C,3,0)</f>
        <v>#REF!</v>
      </c>
      <c r="AF233" s="1" t="e">
        <f>AE233/VLOOKUP(A233,'[33]geoMap (30)'!$A:$B,2,0)*VLOOKUP(A233,'[33]geoMap (30)'!$A:$C,3,0)</f>
        <v>#REF!</v>
      </c>
      <c r="AG233" s="1" t="e">
        <f>AF233/VLOOKUP(A233,'[34]geoMap (31)'!$A:$B,2,0)*VLOOKUP(A233,'[34]geoMap (31)'!$A:$C,3,0)</f>
        <v>#REF!</v>
      </c>
      <c r="AH233" s="1" t="e">
        <f>AG233/VLOOKUP(A233,'[35]geoMap (32)'!$A:$B,2,0)*VLOOKUP(A233,'[35]geoMap (32)'!$A:$C,3,0)</f>
        <v>#REF!</v>
      </c>
      <c r="AI233" s="1" t="e">
        <f>AH233/VLOOKUP(A233,'[36]geoMap (33)'!$A:$B,2,0)*VLOOKUP(A233,'[36]geoMap (33)'!$A:$C,3,0)</f>
        <v>#REF!</v>
      </c>
      <c r="AJ233" s="1" t="e">
        <f>AI233/VLOOKUP(A233,'[37]geoMap (34)'!$A:$B,2,0)*VLOOKUP(A233,'[37]geoMap (34)'!$A:$C,3,0)</f>
        <v>#REF!</v>
      </c>
      <c r="AK233" s="1" t="e">
        <f>AJ233/VLOOKUP(A233,'[38]geoMap (35)'!$A:$B,2,0)*VLOOKUP(A233,'[38]geoMap (35)'!$A:$C,3,0)</f>
        <v>#REF!</v>
      </c>
      <c r="AL233" s="1" t="e">
        <f>AK233/VLOOKUP(A233,'[39]geoMap (36)'!$A:$B,2,0)*VLOOKUP(A233,'[39]geoMap (36)'!$A:$C,3,0)</f>
        <v>#REF!</v>
      </c>
      <c r="AM233" s="1" t="e">
        <f>AL233/VLOOKUP(A233,'[40]geoMap (37)'!$A:$B,2,0)*VLOOKUP(A233,'[40]geoMap (37)'!$A:$C,3,0)</f>
        <v>#REF!</v>
      </c>
      <c r="AN233" s="1" t="e">
        <f>AM233/VLOOKUP(A233,'[41]geoMap (38)'!$A:$B,2,0)*VLOOKUP(A233,'[41]geoMap (38)'!$A:$C,3,0)</f>
        <v>#REF!</v>
      </c>
      <c r="AO233" s="1" t="e">
        <f>AN233/VLOOKUP(A233,'[42]geoMap (39)'!$A:$B,2,0)*VLOOKUP(A233,'[42]geoMap (39)'!$A:$C,3,0)</f>
        <v>#REF!</v>
      </c>
      <c r="AP233" s="1" t="e">
        <f>AO233/VLOOKUP(A233,'[43]geoMap (40)'!$A:$B,2,0)*VLOOKUP(A233,'[43]geoMap (40)'!$A:$C,3,0)</f>
        <v>#REF!</v>
      </c>
      <c r="AQ233" s="1" t="e">
        <f>AP233/VLOOKUP(A233,'[44]geoMap (41)'!$A:$B,2,0)*VLOOKUP(A233,'[44]geoMap (41)'!$A:$C,3,0)</f>
        <v>#REF!</v>
      </c>
      <c r="AR233" s="1" t="e">
        <f>AQ233/VLOOKUP(A233,'[45]geoMap (42)'!$A:$B,2,0)*VLOOKUP(A233,'[45]geoMap (42)'!$A:$C,3,0)</f>
        <v>#REF!</v>
      </c>
      <c r="AS233" s="1" t="e">
        <f>AR233/VLOOKUP(A233,'[46]geoMap (43)'!$A:$B,2,0)*VLOOKUP(A233,'[46]geoMap (43)'!$A:$C,3,0)</f>
        <v>#REF!</v>
      </c>
      <c r="AT233" s="1" t="e">
        <f>AS233/VLOOKUP(A233,'[47]geoMap (44)'!$A:$B,2,0)*VLOOKUP(A233,'[47]geoMap (44)'!$A:$C,3,0)</f>
        <v>#REF!</v>
      </c>
      <c r="AU233" s="1" t="e">
        <f>AT233/VLOOKUP(A233,'[48]geoMap (45)'!$A:$B,2,0)*VLOOKUP(A233,'[48]geoMap (45)'!$A:$C,3,0)</f>
        <v>#REF!</v>
      </c>
      <c r="AV233" s="1" t="e">
        <f>AU233/VLOOKUP(A233,'[49]geoMap (46)'!$A:$B,2,0)*VLOOKUP(A233,'[49]geoMap (46)'!$A:$C,3,0)</f>
        <v>#REF!</v>
      </c>
      <c r="AW233" s="1" t="e">
        <f>AV233/VLOOKUP(A233,'[50]geoMap (47)'!$A:$B,2,0)*VLOOKUP(A233,'[50]geoMap (47)'!$A:$C,3,0)</f>
        <v>#REF!</v>
      </c>
      <c r="AX233" s="1" t="e">
        <f>AW233/VLOOKUP(A233,'[51]geoMap (48)'!$A:$B,2,0)*VLOOKUP(A233,'[51]geoMap (48)'!$A:$C,3,0)</f>
        <v>#REF!</v>
      </c>
      <c r="AY233" s="1" t="e">
        <f>AX233/VLOOKUP(A233,'[52]geoMap (49)'!$A:$B,2,0)*VLOOKUP(A233,'[52]geoMap (49)'!$A:$C,3,0)</f>
        <v>#REF!</v>
      </c>
      <c r="AZ233" s="1" t="e">
        <f>AY233/VLOOKUP(A233,'[53]geoMap (50)'!$A:$B,2,0)*VLOOKUP(A233,'[53]geoMap (50)'!$A:$C,3,0)</f>
        <v>#REF!</v>
      </c>
      <c r="BA233" s="1" t="e">
        <f>AZ233/VLOOKUP(A233,'[54]geoMap (51)'!$A:$B,2,0)*VLOOKUP(A233,'[54]geoMap (51)'!$A:$C,3,0)</f>
        <v>#REF!</v>
      </c>
      <c r="BB233" s="1" t="e">
        <f>BA233/VLOOKUP(A233,'[55]geoMap (52)'!$A:$B,2,0)*VLOOKUP(A233,'[55]geoMap (52)'!$A:$C,3,0)</f>
        <v>#REF!</v>
      </c>
      <c r="BC233" s="1" t="e">
        <f>BB233/VLOOKUP(A233,'[56]geoMap (53)'!$A:$B,2,0)*VLOOKUP(A233,'[56]geoMap (53)'!$A:$C,3,0)</f>
        <v>#REF!</v>
      </c>
      <c r="BD233" s="1" t="e">
        <f>BC233/VLOOKUP(A233,'[57]geoMap (54)'!$A:$B,2,0)*VLOOKUP(A233,'[57]geoMap (54)'!$A:$C,3,0)</f>
        <v>#REF!</v>
      </c>
      <c r="BE233" s="1" t="e">
        <f>BD233/VLOOKUP(A233,'[58]geoMap (55)'!$A:$B,2,0)*VLOOKUP(A233,'[58]geoMap (55)'!$A:$C,3,0)</f>
        <v>#REF!</v>
      </c>
      <c r="BF233" s="1" t="e">
        <f>BE233/VLOOKUP(A233,'[59]geoMap (56)'!$A:$B,2,0)*VLOOKUP(A233,'[59]geoMap (56)'!$A:$C,3,0)</f>
        <v>#REF!</v>
      </c>
      <c r="BG233" s="1" t="e">
        <f>BF233/VLOOKUP(A233,'[60]geoMap (57)'!$A:$B,2,0)*VLOOKUP(A233,'[60]geoMap (57)'!$A:$C,3,0)</f>
        <v>#REF!</v>
      </c>
      <c r="BH233" s="1" t="e">
        <f>BG233/VLOOKUP(A233,'[61]geoMap (58)'!$A:$B,2,0)*VLOOKUP(A233,'[61]geoMap (58)'!$A:$C,3,0)</f>
        <v>#REF!</v>
      </c>
      <c r="BI233" s="1" t="e">
        <f>BH233/VLOOKUP(A233,'[62]geoMap (59)'!$A:$B,2,0)*VLOOKUP(A233,'[62]geoMap (59)'!$A:$C,3,0)</f>
        <v>#REF!</v>
      </c>
      <c r="BJ233" s="1" t="e">
        <f>BI233/VLOOKUP(A233,'[63]geoMap (60)'!$A:$B,2,0)*VLOOKUP(A233,'[63]geoMap (60)'!$A:$C,3,0)</f>
        <v>#REF!</v>
      </c>
      <c r="BK233" s="1" t="e">
        <f>BJ233/VLOOKUP(A233,'[64]geoMap (61)'!$A:$B,2,0)*VLOOKUP(A233,'[64]geoMap (61)'!$A:$C,3,0)</f>
        <v>#REF!</v>
      </c>
      <c r="BL233" s="1" t="e">
        <f>BK233/VLOOKUP(A233,'[65]geoMap (62)'!$A:$B,2,0)*VLOOKUP(A233,'[65]geoMap (62)'!$A:$C,3,0)</f>
        <v>#REF!</v>
      </c>
      <c r="BM233" s="1" t="e">
        <f>BL233/VLOOKUP(A233,'[66]geoMap (63)'!$A:$B,2,0)*VLOOKUP(A233,'[66]geoMap (63)'!$A:$C,3,0)</f>
        <v>#REF!</v>
      </c>
      <c r="BN233" s="1" t="e">
        <f>BM233/VLOOKUP(A233,'[67]geoMap (64)'!$A:$B,2,0)*VLOOKUP(A233,'[67]geoMap (64)'!$A:$C,3,0)</f>
        <v>#REF!</v>
      </c>
      <c r="BO233" s="1" t="e">
        <f>BN233/VLOOKUP(A233,'[68]geoMap (65)'!$A:$B,2,0)*VLOOKUP(A233,'[68]geoMap (65)'!$A:$C,3,0)</f>
        <v>#REF!</v>
      </c>
      <c r="BP233" s="1" t="e">
        <f>BO233/VLOOKUP(A233,'[69]geoMap (66)'!$A:$B,2,0)*VLOOKUP(A233,'[69]geoMap (66)'!$A:$C,3,0)</f>
        <v>#REF!</v>
      </c>
    </row>
    <row r="234" spans="1:68" hidden="1" x14ac:dyDescent="0.2">
      <c r="A234" s="1" t="s">
        <v>236</v>
      </c>
      <c r="B234" s="1" t="e">
        <f>VLOOKUP(A234,[3]geoMap!$A:$B,2,0)*Notes!$C$6</f>
        <v>#REF!</v>
      </c>
      <c r="C234" s="1" t="e">
        <f>B234/VLOOKUP(A234,'[4]geoMap (1)'!$A:$B,2,0)*VLOOKUP(A234,'[4]geoMap (1)'!$A:$C,3,0)</f>
        <v>#REF!</v>
      </c>
      <c r="D234" s="1" t="e">
        <f>C234/VLOOKUP(A234,'[5]geoMap (2)'!$A:$B,2,0)*VLOOKUP(A234,'[5]geoMap (2)'!$A:$C,3,0)</f>
        <v>#REF!</v>
      </c>
      <c r="E234" s="1" t="e">
        <f>D234/VLOOKUP(A234,'[6]geoMap (3)'!$A:$B,2,0)*VLOOKUP(A234,'[6]geoMap (3)'!$A:$C,3,0)</f>
        <v>#REF!</v>
      </c>
      <c r="F234" s="1" t="e">
        <f>E234/VLOOKUP(A234,'[7]geoMap (4)'!$A:$B,2,0)*VLOOKUP(A234,'[7]geoMap (4)'!$A:$C,3,0)</f>
        <v>#REF!</v>
      </c>
      <c r="G234" s="1" t="e">
        <f>F234/VLOOKUP(A234,'[8]geoMap (5)'!$A:$B,2,0)*VLOOKUP(A234,'[8]geoMap (5)'!$A:$C,3,0)</f>
        <v>#REF!</v>
      </c>
      <c r="H234" s="1" t="e">
        <f>G234/VLOOKUP(A234,'[9]geoMap (6)'!$A:$B,2,0)*VLOOKUP(A234,'[9]geoMap (6)'!$A:$C,3,0)</f>
        <v>#REF!</v>
      </c>
      <c r="I234" s="1" t="e">
        <f>H234/VLOOKUP(A234,'[10]geoMap (7)'!$A:$B,2,0)*VLOOKUP(A234,'[10]geoMap (7)'!$A:$C,3,0)</f>
        <v>#REF!</v>
      </c>
      <c r="J234" s="1" t="e">
        <f>I234/VLOOKUP(A234,'[11]geoMap (8)'!$A:$B,2,0)*VLOOKUP(A234,'[11]geoMap (8)'!$A:$C,3,0)</f>
        <v>#REF!</v>
      </c>
      <c r="K234" s="1" t="e">
        <f>J234/VLOOKUP(A234,'[12]geoMap (9)'!$A:$B,2,0)*VLOOKUP(A234,'[12]geoMap (9)'!$A:$C,3,0)</f>
        <v>#REF!</v>
      </c>
      <c r="L234" s="1" t="e">
        <f>K234/VLOOKUP(A234,'[13]geoMap (10)'!$A:$B,2,0)*VLOOKUP(A234,'[13]geoMap (10)'!$A:$C,3,0)</f>
        <v>#REF!</v>
      </c>
      <c r="M234" s="1" t="e">
        <f>L234/VLOOKUP(A234,'[14]geoMap (11)'!$A:$B,2,0)*VLOOKUP(A234,'[14]geoMap (11)'!$A:$C,3,0)</f>
        <v>#REF!</v>
      </c>
      <c r="N234" s="1" t="e">
        <f>M234/VLOOKUP(A234,'[15]geoMap (12)'!$A:$B,2,0)*VLOOKUP(A234,'[15]geoMap (12)'!$A:$C,3,0)</f>
        <v>#REF!</v>
      </c>
      <c r="O234" s="1" t="e">
        <f>N234/VLOOKUP(A234,'[16]geoMap (13)'!$A:$B,2,0)*VLOOKUP(A234,'[16]geoMap (13)'!$A:$C,3,0)</f>
        <v>#REF!</v>
      </c>
      <c r="P234" s="1" t="e">
        <f>O234/VLOOKUP(A234,'[17]geoMap (14)'!$A:$B,2,0)*VLOOKUP(A234,'[17]geoMap (14)'!$A:$C,3,0)</f>
        <v>#REF!</v>
      </c>
      <c r="Q234" s="1" t="e">
        <f>P234/VLOOKUP(A234,'[18]geoMap (15)'!$A:$B,2,0)*VLOOKUP(A234,'[18]geoMap (15)'!$A:$C,3,0)</f>
        <v>#REF!</v>
      </c>
      <c r="R234" s="1" t="e">
        <f>Q234/VLOOKUP(A234,'[19]geoMap (16)'!$A:$B,2,0)*VLOOKUP(A234,'[19]geoMap (16)'!$A:$C,3,0)</f>
        <v>#REF!</v>
      </c>
      <c r="S234" s="1" t="e">
        <f>R234/VLOOKUP(A234,'[20]geoMap (17)'!$A:$B,2,0)*VLOOKUP(A234,'[20]geoMap (17)'!$A:$C,3,0)</f>
        <v>#REF!</v>
      </c>
      <c r="T234" s="1" t="e">
        <f>S234/VLOOKUP(A234,'[21]geoMap (18)'!$A:$B,2,0)*VLOOKUP(A234,'[21]geoMap (18)'!$A:$C,3,0)</f>
        <v>#REF!</v>
      </c>
      <c r="U234" s="1" t="e">
        <f>T234/VLOOKUP(A234,'[22]geoMap (19)'!$A:$B,2,0)*VLOOKUP(A234,'[22]geoMap (19)'!$A:$C,3,0)</f>
        <v>#REF!</v>
      </c>
      <c r="V234" s="1" t="e">
        <f>U234/VLOOKUP(A234,'[23]geoMap (20)'!$A:$B,2,0)*VLOOKUP(A234,'[23]geoMap (20)'!$A:$C,3,0)</f>
        <v>#REF!</v>
      </c>
      <c r="W234" s="1" t="e">
        <f>V234/VLOOKUP(A234,'[24]geoMap (21)'!$A:$B,2,0)*VLOOKUP(A234,'[24]geoMap (21)'!$A:$C,3,0)</f>
        <v>#REF!</v>
      </c>
      <c r="X234" s="1" t="e">
        <f>W234/VLOOKUP(A234,'[25]geoMap (22)'!$A:$B,2,0)*VLOOKUP(A234,'[25]geoMap (22)'!$A:$C,3,0)</f>
        <v>#REF!</v>
      </c>
      <c r="Y234" s="1" t="e">
        <f>X234/VLOOKUP(A234,'[26]geoMap (23)'!$A:$B,2,0)*VLOOKUP(A234,'[26]geoMap (23)'!$A:$C,3,0)</f>
        <v>#REF!</v>
      </c>
      <c r="Z234" s="1" t="e">
        <f>Y234/VLOOKUP(A234,'[27]geoMap (24)'!$A:$B,2,0)*VLOOKUP(A234,'[27]geoMap (24)'!$A:$C,3,0)</f>
        <v>#REF!</v>
      </c>
      <c r="AA234" s="1" t="e">
        <f>Z234/VLOOKUP(A234,'[28]geoMap (25)'!$A:$B,2,0)*VLOOKUP(A234,'[28]geoMap (25)'!$A:$C,3,0)</f>
        <v>#REF!</v>
      </c>
      <c r="AB234" s="1" t="e">
        <f>AA234*VLOOKUP(A234,'[29]geoMap (26)'!$A:$B,2,0)*VLOOKUP(A234,'[29]geoMap (26)'!$A:$C,3,0)</f>
        <v>#REF!</v>
      </c>
      <c r="AC234" s="1" t="e">
        <f>AB234/VLOOKUP(A234,'[30]geoMap (27)'!$A:$B,2,0)*VLOOKUP(A234,'[30]geoMap (27)'!$A:$C,3,0)</f>
        <v>#REF!</v>
      </c>
      <c r="AD234" s="1" t="e">
        <f>AC234/VLOOKUP(A234,'[31]geoMap (28)'!$A:$B,2,0)*VLOOKUP(A234,'[31]geoMap (28)'!$A:$C,3,0)</f>
        <v>#REF!</v>
      </c>
      <c r="AE234" s="1" t="e">
        <f>AD234/VLOOKUP(A234,'[32]geoMap (29)'!$A:$B,2,0)*VLOOKUP(A234,'[32]geoMap (29)'!$A:$C,3,0)</f>
        <v>#REF!</v>
      </c>
      <c r="AF234" s="1" t="e">
        <f>AE234/VLOOKUP(A234,'[33]geoMap (30)'!$A:$B,2,0)*VLOOKUP(A234,'[33]geoMap (30)'!$A:$C,3,0)</f>
        <v>#REF!</v>
      </c>
      <c r="AG234" s="1" t="e">
        <f>AF234/VLOOKUP(A234,'[34]geoMap (31)'!$A:$B,2,0)*VLOOKUP(A234,'[34]geoMap (31)'!$A:$C,3,0)</f>
        <v>#REF!</v>
      </c>
      <c r="AH234" s="1" t="e">
        <f>AG234/VLOOKUP(A234,'[35]geoMap (32)'!$A:$B,2,0)*VLOOKUP(A234,'[35]geoMap (32)'!$A:$C,3,0)</f>
        <v>#REF!</v>
      </c>
      <c r="AI234" s="1" t="e">
        <f>AH234/VLOOKUP(A234,'[36]geoMap (33)'!$A:$B,2,0)*VLOOKUP(A234,'[36]geoMap (33)'!$A:$C,3,0)</f>
        <v>#REF!</v>
      </c>
      <c r="AJ234" s="1" t="e">
        <f>AI234/VLOOKUP(A234,'[37]geoMap (34)'!$A:$B,2,0)*VLOOKUP(A234,'[37]geoMap (34)'!$A:$C,3,0)</f>
        <v>#REF!</v>
      </c>
      <c r="AK234" s="1" t="e">
        <f>AJ234/VLOOKUP(A234,'[38]geoMap (35)'!$A:$B,2,0)*VLOOKUP(A234,'[38]geoMap (35)'!$A:$C,3,0)</f>
        <v>#REF!</v>
      </c>
      <c r="AL234" s="1" t="e">
        <f>AK234/VLOOKUP(A234,'[39]geoMap (36)'!$A:$B,2,0)*VLOOKUP(A234,'[39]geoMap (36)'!$A:$C,3,0)</f>
        <v>#REF!</v>
      </c>
      <c r="AM234" s="1" t="e">
        <f>AL234/VLOOKUP(A234,'[40]geoMap (37)'!$A:$B,2,0)*VLOOKUP(A234,'[40]geoMap (37)'!$A:$C,3,0)</f>
        <v>#REF!</v>
      </c>
      <c r="AN234" s="1" t="e">
        <f>AM234/VLOOKUP(A234,'[41]geoMap (38)'!$A:$B,2,0)*VLOOKUP(A234,'[41]geoMap (38)'!$A:$C,3,0)</f>
        <v>#REF!</v>
      </c>
      <c r="AO234" s="1" t="e">
        <f>AN234/VLOOKUP(A234,'[42]geoMap (39)'!$A:$B,2,0)*VLOOKUP(A234,'[42]geoMap (39)'!$A:$C,3,0)</f>
        <v>#REF!</v>
      </c>
      <c r="AP234" s="1" t="e">
        <f>AO234/VLOOKUP(A234,'[43]geoMap (40)'!$A:$B,2,0)*VLOOKUP(A234,'[43]geoMap (40)'!$A:$C,3,0)</f>
        <v>#REF!</v>
      </c>
      <c r="AQ234" s="1" t="e">
        <f>AP234/VLOOKUP(A234,'[44]geoMap (41)'!$A:$B,2,0)*VLOOKUP(A234,'[44]geoMap (41)'!$A:$C,3,0)</f>
        <v>#REF!</v>
      </c>
      <c r="AR234" s="1" t="e">
        <f>AQ234/VLOOKUP(A234,'[45]geoMap (42)'!$A:$B,2,0)*VLOOKUP(A234,'[45]geoMap (42)'!$A:$C,3,0)</f>
        <v>#REF!</v>
      </c>
      <c r="AS234" s="1" t="e">
        <f>AR234/VLOOKUP(A234,'[46]geoMap (43)'!$A:$B,2,0)*VLOOKUP(A234,'[46]geoMap (43)'!$A:$C,3,0)</f>
        <v>#REF!</v>
      </c>
      <c r="AT234" s="1" t="e">
        <f>AS234/VLOOKUP(A234,'[47]geoMap (44)'!$A:$B,2,0)*VLOOKUP(A234,'[47]geoMap (44)'!$A:$C,3,0)</f>
        <v>#REF!</v>
      </c>
      <c r="AU234" s="1" t="e">
        <f>AT234/VLOOKUP(A234,'[48]geoMap (45)'!$A:$B,2,0)*VLOOKUP(A234,'[48]geoMap (45)'!$A:$C,3,0)</f>
        <v>#REF!</v>
      </c>
      <c r="AV234" s="1" t="e">
        <f>AU234/VLOOKUP(A234,'[49]geoMap (46)'!$A:$B,2,0)*VLOOKUP(A234,'[49]geoMap (46)'!$A:$C,3,0)</f>
        <v>#REF!</v>
      </c>
      <c r="AW234" s="1" t="e">
        <f>AV234/VLOOKUP(A234,'[50]geoMap (47)'!$A:$B,2,0)*VLOOKUP(A234,'[50]geoMap (47)'!$A:$C,3,0)</f>
        <v>#REF!</v>
      </c>
      <c r="AX234" s="1" t="e">
        <f>AW234/VLOOKUP(A234,'[51]geoMap (48)'!$A:$B,2,0)*VLOOKUP(A234,'[51]geoMap (48)'!$A:$C,3,0)</f>
        <v>#REF!</v>
      </c>
      <c r="AY234" s="1" t="e">
        <f>AX234/VLOOKUP(A234,'[52]geoMap (49)'!$A:$B,2,0)*VLOOKUP(A234,'[52]geoMap (49)'!$A:$C,3,0)</f>
        <v>#REF!</v>
      </c>
      <c r="AZ234" s="1" t="e">
        <f>AY234/VLOOKUP(A234,'[53]geoMap (50)'!$A:$B,2,0)*VLOOKUP(A234,'[53]geoMap (50)'!$A:$C,3,0)</f>
        <v>#REF!</v>
      </c>
      <c r="BA234" s="1" t="e">
        <f>AZ234/VLOOKUP(A234,'[54]geoMap (51)'!$A:$B,2,0)*VLOOKUP(A234,'[54]geoMap (51)'!$A:$C,3,0)</f>
        <v>#REF!</v>
      </c>
      <c r="BB234" s="1" t="e">
        <f>BA234/VLOOKUP(A234,'[55]geoMap (52)'!$A:$B,2,0)*VLOOKUP(A234,'[55]geoMap (52)'!$A:$C,3,0)</f>
        <v>#REF!</v>
      </c>
      <c r="BC234" s="1" t="e">
        <f>BB234/VLOOKUP(A234,'[56]geoMap (53)'!$A:$B,2,0)*VLOOKUP(A234,'[56]geoMap (53)'!$A:$C,3,0)</f>
        <v>#REF!</v>
      </c>
      <c r="BD234" s="1" t="e">
        <f>BC234/VLOOKUP(A234,'[57]geoMap (54)'!$A:$B,2,0)*VLOOKUP(A234,'[57]geoMap (54)'!$A:$C,3,0)</f>
        <v>#REF!</v>
      </c>
      <c r="BE234" s="1" t="e">
        <f>BD234/VLOOKUP(A234,'[58]geoMap (55)'!$A:$B,2,0)*VLOOKUP(A234,'[58]geoMap (55)'!$A:$C,3,0)</f>
        <v>#REF!</v>
      </c>
      <c r="BF234" s="1" t="e">
        <f>BE234/VLOOKUP(A234,'[59]geoMap (56)'!$A:$B,2,0)*VLOOKUP(A234,'[59]geoMap (56)'!$A:$C,3,0)</f>
        <v>#REF!</v>
      </c>
      <c r="BG234" s="1" t="e">
        <f>BF234/VLOOKUP(A234,'[60]geoMap (57)'!$A:$B,2,0)*VLOOKUP(A234,'[60]geoMap (57)'!$A:$C,3,0)</f>
        <v>#REF!</v>
      </c>
      <c r="BH234" s="1" t="e">
        <f>BG234/VLOOKUP(A234,'[61]geoMap (58)'!$A:$B,2,0)*VLOOKUP(A234,'[61]geoMap (58)'!$A:$C,3,0)</f>
        <v>#REF!</v>
      </c>
      <c r="BI234" s="1" t="e">
        <f>BH234/VLOOKUP(A234,'[62]geoMap (59)'!$A:$B,2,0)*VLOOKUP(A234,'[62]geoMap (59)'!$A:$C,3,0)</f>
        <v>#REF!</v>
      </c>
      <c r="BJ234" s="1" t="e">
        <f>BI234/VLOOKUP(A234,'[63]geoMap (60)'!$A:$B,2,0)*VLOOKUP(A234,'[63]geoMap (60)'!$A:$C,3,0)</f>
        <v>#REF!</v>
      </c>
      <c r="BK234" s="1" t="e">
        <f>BJ234/VLOOKUP(A234,'[64]geoMap (61)'!$A:$B,2,0)*VLOOKUP(A234,'[64]geoMap (61)'!$A:$C,3,0)</f>
        <v>#REF!</v>
      </c>
      <c r="BL234" s="1" t="e">
        <f>BK234/VLOOKUP(A234,'[65]geoMap (62)'!$A:$B,2,0)*VLOOKUP(A234,'[65]geoMap (62)'!$A:$C,3,0)</f>
        <v>#REF!</v>
      </c>
      <c r="BM234" s="1" t="e">
        <f>BL234/VLOOKUP(A234,'[66]geoMap (63)'!$A:$B,2,0)*VLOOKUP(A234,'[66]geoMap (63)'!$A:$C,3,0)</f>
        <v>#REF!</v>
      </c>
      <c r="BN234" s="1" t="e">
        <f>BM234/VLOOKUP(A234,'[67]geoMap (64)'!$A:$B,2,0)*VLOOKUP(A234,'[67]geoMap (64)'!$A:$C,3,0)</f>
        <v>#REF!</v>
      </c>
      <c r="BO234" s="1" t="e">
        <f>BN234/VLOOKUP(A234,'[68]geoMap (65)'!$A:$B,2,0)*VLOOKUP(A234,'[68]geoMap (65)'!$A:$C,3,0)</f>
        <v>#REF!</v>
      </c>
      <c r="BP234" s="1" t="e">
        <f>BO234/VLOOKUP(A234,'[69]geoMap (66)'!$A:$B,2,0)*VLOOKUP(A234,'[69]geoMap (66)'!$A:$C,3,0)</f>
        <v>#REF!</v>
      </c>
    </row>
    <row r="235" spans="1:68" hidden="1" x14ac:dyDescent="0.2">
      <c r="A235" s="1" t="s">
        <v>237</v>
      </c>
      <c r="B235" s="1" t="e">
        <f>VLOOKUP(A235,[3]geoMap!$A:$B,2,0)*Notes!$C$6</f>
        <v>#REF!</v>
      </c>
      <c r="C235" s="1" t="e">
        <f>B235/VLOOKUP(A235,'[4]geoMap (1)'!$A:$B,2,0)*VLOOKUP(A235,'[4]geoMap (1)'!$A:$C,3,0)</f>
        <v>#REF!</v>
      </c>
      <c r="D235" s="1" t="e">
        <f>C235/VLOOKUP(A235,'[5]geoMap (2)'!$A:$B,2,0)*VLOOKUP(A235,'[5]geoMap (2)'!$A:$C,3,0)</f>
        <v>#REF!</v>
      </c>
      <c r="E235" s="1" t="e">
        <f>D235/VLOOKUP(A235,'[6]geoMap (3)'!$A:$B,2,0)*VLOOKUP(A235,'[6]geoMap (3)'!$A:$C,3,0)</f>
        <v>#REF!</v>
      </c>
      <c r="F235" s="1" t="e">
        <f>E235/VLOOKUP(A235,'[7]geoMap (4)'!$A:$B,2,0)*VLOOKUP(A235,'[7]geoMap (4)'!$A:$C,3,0)</f>
        <v>#REF!</v>
      </c>
      <c r="G235" s="1" t="e">
        <f>F235/VLOOKUP(A235,'[8]geoMap (5)'!$A:$B,2,0)*VLOOKUP(A235,'[8]geoMap (5)'!$A:$C,3,0)</f>
        <v>#REF!</v>
      </c>
      <c r="H235" s="1" t="e">
        <f>G235/VLOOKUP(A235,'[9]geoMap (6)'!$A:$B,2,0)*VLOOKUP(A235,'[9]geoMap (6)'!$A:$C,3,0)</f>
        <v>#REF!</v>
      </c>
      <c r="I235" s="1" t="e">
        <f>H235/VLOOKUP(A235,'[10]geoMap (7)'!$A:$B,2,0)*VLOOKUP(A235,'[10]geoMap (7)'!$A:$C,3,0)</f>
        <v>#REF!</v>
      </c>
      <c r="J235" s="1" t="e">
        <f>I235/VLOOKUP(A235,'[11]geoMap (8)'!$A:$B,2,0)*VLOOKUP(A235,'[11]geoMap (8)'!$A:$C,3,0)</f>
        <v>#REF!</v>
      </c>
      <c r="K235" s="1" t="e">
        <f>J235/VLOOKUP(A235,'[12]geoMap (9)'!$A:$B,2,0)*VLOOKUP(A235,'[12]geoMap (9)'!$A:$C,3,0)</f>
        <v>#REF!</v>
      </c>
      <c r="L235" s="1" t="e">
        <f>K235/VLOOKUP(A235,'[13]geoMap (10)'!$A:$B,2,0)*VLOOKUP(A235,'[13]geoMap (10)'!$A:$C,3,0)</f>
        <v>#REF!</v>
      </c>
      <c r="M235" s="1" t="e">
        <f>L235/VLOOKUP(A235,'[14]geoMap (11)'!$A:$B,2,0)*VLOOKUP(A235,'[14]geoMap (11)'!$A:$C,3,0)</f>
        <v>#REF!</v>
      </c>
      <c r="N235" s="1" t="e">
        <f>M235/VLOOKUP(A235,'[15]geoMap (12)'!$A:$B,2,0)*VLOOKUP(A235,'[15]geoMap (12)'!$A:$C,3,0)</f>
        <v>#REF!</v>
      </c>
      <c r="O235" s="1" t="e">
        <f>N235/VLOOKUP(A235,'[16]geoMap (13)'!$A:$B,2,0)*VLOOKUP(A235,'[16]geoMap (13)'!$A:$C,3,0)</f>
        <v>#REF!</v>
      </c>
      <c r="P235" s="1" t="e">
        <f>O235/VLOOKUP(A235,'[17]geoMap (14)'!$A:$B,2,0)*VLOOKUP(A235,'[17]geoMap (14)'!$A:$C,3,0)</f>
        <v>#REF!</v>
      </c>
      <c r="Q235" s="1" t="e">
        <f>P235/VLOOKUP(A235,'[18]geoMap (15)'!$A:$B,2,0)*VLOOKUP(A235,'[18]geoMap (15)'!$A:$C,3,0)</f>
        <v>#REF!</v>
      </c>
      <c r="R235" s="1" t="e">
        <f>Q235/VLOOKUP(A235,'[19]geoMap (16)'!$A:$B,2,0)*VLOOKUP(A235,'[19]geoMap (16)'!$A:$C,3,0)</f>
        <v>#REF!</v>
      </c>
      <c r="S235" s="1" t="e">
        <f>R235/VLOOKUP(A235,'[20]geoMap (17)'!$A:$B,2,0)*VLOOKUP(A235,'[20]geoMap (17)'!$A:$C,3,0)</f>
        <v>#REF!</v>
      </c>
      <c r="T235" s="1" t="e">
        <f>S235/VLOOKUP(A235,'[21]geoMap (18)'!$A:$B,2,0)*VLOOKUP(A235,'[21]geoMap (18)'!$A:$C,3,0)</f>
        <v>#REF!</v>
      </c>
      <c r="U235" s="1" t="e">
        <f>T235/VLOOKUP(A235,'[22]geoMap (19)'!$A:$B,2,0)*VLOOKUP(A235,'[22]geoMap (19)'!$A:$C,3,0)</f>
        <v>#REF!</v>
      </c>
      <c r="V235" s="1" t="e">
        <f>U235/VLOOKUP(A235,'[23]geoMap (20)'!$A:$B,2,0)*VLOOKUP(A235,'[23]geoMap (20)'!$A:$C,3,0)</f>
        <v>#REF!</v>
      </c>
      <c r="W235" s="1" t="e">
        <f>V235/VLOOKUP(A235,'[24]geoMap (21)'!$A:$B,2,0)*VLOOKUP(A235,'[24]geoMap (21)'!$A:$C,3,0)</f>
        <v>#REF!</v>
      </c>
      <c r="X235" s="1" t="e">
        <f>W235/VLOOKUP(A235,'[25]geoMap (22)'!$A:$B,2,0)*VLOOKUP(A235,'[25]geoMap (22)'!$A:$C,3,0)</f>
        <v>#REF!</v>
      </c>
      <c r="Y235" s="1" t="e">
        <f>X235/VLOOKUP(A235,'[26]geoMap (23)'!$A:$B,2,0)*VLOOKUP(A235,'[26]geoMap (23)'!$A:$C,3,0)</f>
        <v>#REF!</v>
      </c>
      <c r="Z235" s="1" t="e">
        <f>Y235/VLOOKUP(A235,'[27]geoMap (24)'!$A:$B,2,0)*VLOOKUP(A235,'[27]geoMap (24)'!$A:$C,3,0)</f>
        <v>#REF!</v>
      </c>
      <c r="AA235" s="1" t="e">
        <f>Z235/VLOOKUP(A235,'[28]geoMap (25)'!$A:$B,2,0)*VLOOKUP(A235,'[28]geoMap (25)'!$A:$C,3,0)</f>
        <v>#REF!</v>
      </c>
      <c r="AB235" s="1" t="e">
        <f>AA235*VLOOKUP(A235,'[29]geoMap (26)'!$A:$B,2,0)*VLOOKUP(A235,'[29]geoMap (26)'!$A:$C,3,0)</f>
        <v>#REF!</v>
      </c>
      <c r="AC235" s="1" t="e">
        <f>AB235/VLOOKUP(A235,'[30]geoMap (27)'!$A:$B,2,0)*VLOOKUP(A235,'[30]geoMap (27)'!$A:$C,3,0)</f>
        <v>#REF!</v>
      </c>
      <c r="AD235" s="1" t="e">
        <f>AC235/VLOOKUP(A235,'[31]geoMap (28)'!$A:$B,2,0)*VLOOKUP(A235,'[31]geoMap (28)'!$A:$C,3,0)</f>
        <v>#REF!</v>
      </c>
      <c r="AE235" s="1" t="e">
        <f>AD235/VLOOKUP(A235,'[32]geoMap (29)'!$A:$B,2,0)*VLOOKUP(A235,'[32]geoMap (29)'!$A:$C,3,0)</f>
        <v>#REF!</v>
      </c>
      <c r="AF235" s="1" t="e">
        <f>AE235/VLOOKUP(A235,'[33]geoMap (30)'!$A:$B,2,0)*VLOOKUP(A235,'[33]geoMap (30)'!$A:$C,3,0)</f>
        <v>#REF!</v>
      </c>
      <c r="AG235" s="1" t="e">
        <f>AF235/VLOOKUP(A235,'[34]geoMap (31)'!$A:$B,2,0)*VLOOKUP(A235,'[34]geoMap (31)'!$A:$C,3,0)</f>
        <v>#REF!</v>
      </c>
      <c r="AH235" s="1" t="e">
        <f>AG235/VLOOKUP(A235,'[35]geoMap (32)'!$A:$B,2,0)*VLOOKUP(A235,'[35]geoMap (32)'!$A:$C,3,0)</f>
        <v>#REF!</v>
      </c>
      <c r="AI235" s="1" t="e">
        <f>AH235/VLOOKUP(A235,'[36]geoMap (33)'!$A:$B,2,0)*VLOOKUP(A235,'[36]geoMap (33)'!$A:$C,3,0)</f>
        <v>#REF!</v>
      </c>
      <c r="AJ235" s="1" t="e">
        <f>AI235/VLOOKUP(A235,'[37]geoMap (34)'!$A:$B,2,0)*VLOOKUP(A235,'[37]geoMap (34)'!$A:$C,3,0)</f>
        <v>#REF!</v>
      </c>
      <c r="AK235" s="1" t="e">
        <f>AJ235/VLOOKUP(A235,'[38]geoMap (35)'!$A:$B,2,0)*VLOOKUP(A235,'[38]geoMap (35)'!$A:$C,3,0)</f>
        <v>#REF!</v>
      </c>
      <c r="AL235" s="1" t="e">
        <f>AK235/VLOOKUP(A235,'[39]geoMap (36)'!$A:$B,2,0)*VLOOKUP(A235,'[39]geoMap (36)'!$A:$C,3,0)</f>
        <v>#REF!</v>
      </c>
      <c r="AM235" s="1" t="e">
        <f>AL235/VLOOKUP(A235,'[40]geoMap (37)'!$A:$B,2,0)*VLOOKUP(A235,'[40]geoMap (37)'!$A:$C,3,0)</f>
        <v>#REF!</v>
      </c>
      <c r="AN235" s="1" t="e">
        <f>AM235/VLOOKUP(A235,'[41]geoMap (38)'!$A:$B,2,0)*VLOOKUP(A235,'[41]geoMap (38)'!$A:$C,3,0)</f>
        <v>#REF!</v>
      </c>
      <c r="AO235" s="1" t="e">
        <f>AN235/VLOOKUP(A235,'[42]geoMap (39)'!$A:$B,2,0)*VLOOKUP(A235,'[42]geoMap (39)'!$A:$C,3,0)</f>
        <v>#REF!</v>
      </c>
      <c r="AP235" s="1" t="e">
        <f>AO235/VLOOKUP(A235,'[43]geoMap (40)'!$A:$B,2,0)*VLOOKUP(A235,'[43]geoMap (40)'!$A:$C,3,0)</f>
        <v>#REF!</v>
      </c>
      <c r="AQ235" s="1" t="e">
        <f>AP235/VLOOKUP(A235,'[44]geoMap (41)'!$A:$B,2,0)*VLOOKUP(A235,'[44]geoMap (41)'!$A:$C,3,0)</f>
        <v>#REF!</v>
      </c>
      <c r="AR235" s="1" t="e">
        <f>AQ235/VLOOKUP(A235,'[45]geoMap (42)'!$A:$B,2,0)*VLOOKUP(A235,'[45]geoMap (42)'!$A:$C,3,0)</f>
        <v>#REF!</v>
      </c>
      <c r="AS235" s="1" t="e">
        <f>AR235/VLOOKUP(A235,'[46]geoMap (43)'!$A:$B,2,0)*VLOOKUP(A235,'[46]geoMap (43)'!$A:$C,3,0)</f>
        <v>#REF!</v>
      </c>
      <c r="AT235" s="1" t="e">
        <f>AS235/VLOOKUP(A235,'[47]geoMap (44)'!$A:$B,2,0)*VLOOKUP(A235,'[47]geoMap (44)'!$A:$C,3,0)</f>
        <v>#REF!</v>
      </c>
      <c r="AU235" s="1" t="e">
        <f>AT235/VLOOKUP(A235,'[48]geoMap (45)'!$A:$B,2,0)*VLOOKUP(A235,'[48]geoMap (45)'!$A:$C,3,0)</f>
        <v>#REF!</v>
      </c>
      <c r="AV235" s="1" t="e">
        <f>AU235/VLOOKUP(A235,'[49]geoMap (46)'!$A:$B,2,0)*VLOOKUP(A235,'[49]geoMap (46)'!$A:$C,3,0)</f>
        <v>#REF!</v>
      </c>
      <c r="AW235" s="1" t="e">
        <f>AV235/VLOOKUP(A235,'[50]geoMap (47)'!$A:$B,2,0)*VLOOKUP(A235,'[50]geoMap (47)'!$A:$C,3,0)</f>
        <v>#REF!</v>
      </c>
      <c r="AX235" s="1" t="e">
        <f>AW235/VLOOKUP(A235,'[51]geoMap (48)'!$A:$B,2,0)*VLOOKUP(A235,'[51]geoMap (48)'!$A:$C,3,0)</f>
        <v>#REF!</v>
      </c>
      <c r="AY235" s="1" t="e">
        <f>AX235/VLOOKUP(A235,'[52]geoMap (49)'!$A:$B,2,0)*VLOOKUP(A235,'[52]geoMap (49)'!$A:$C,3,0)</f>
        <v>#REF!</v>
      </c>
      <c r="AZ235" s="1" t="e">
        <f>AY235/VLOOKUP(A235,'[53]geoMap (50)'!$A:$B,2,0)*VLOOKUP(A235,'[53]geoMap (50)'!$A:$C,3,0)</f>
        <v>#REF!</v>
      </c>
      <c r="BA235" s="1" t="e">
        <f>AZ235/VLOOKUP(A235,'[54]geoMap (51)'!$A:$B,2,0)*VLOOKUP(A235,'[54]geoMap (51)'!$A:$C,3,0)</f>
        <v>#REF!</v>
      </c>
      <c r="BB235" s="1" t="e">
        <f>BA235/VLOOKUP(A235,'[55]geoMap (52)'!$A:$B,2,0)*VLOOKUP(A235,'[55]geoMap (52)'!$A:$C,3,0)</f>
        <v>#REF!</v>
      </c>
      <c r="BC235" s="1" t="e">
        <f>BB235/VLOOKUP(A235,'[56]geoMap (53)'!$A:$B,2,0)*VLOOKUP(A235,'[56]geoMap (53)'!$A:$C,3,0)</f>
        <v>#REF!</v>
      </c>
      <c r="BD235" s="1" t="e">
        <f>BC235/VLOOKUP(A235,'[57]geoMap (54)'!$A:$B,2,0)*VLOOKUP(A235,'[57]geoMap (54)'!$A:$C,3,0)</f>
        <v>#REF!</v>
      </c>
      <c r="BE235" s="1" t="e">
        <f>BD235/VLOOKUP(A235,'[58]geoMap (55)'!$A:$B,2,0)*VLOOKUP(A235,'[58]geoMap (55)'!$A:$C,3,0)</f>
        <v>#REF!</v>
      </c>
      <c r="BF235" s="1" t="e">
        <f>BE235/VLOOKUP(A235,'[59]geoMap (56)'!$A:$B,2,0)*VLOOKUP(A235,'[59]geoMap (56)'!$A:$C,3,0)</f>
        <v>#REF!</v>
      </c>
      <c r="BG235" s="1" t="e">
        <f>BF235/VLOOKUP(A235,'[60]geoMap (57)'!$A:$B,2,0)*VLOOKUP(A235,'[60]geoMap (57)'!$A:$C,3,0)</f>
        <v>#REF!</v>
      </c>
      <c r="BH235" s="1" t="e">
        <f>BG235/VLOOKUP(A235,'[61]geoMap (58)'!$A:$B,2,0)*VLOOKUP(A235,'[61]geoMap (58)'!$A:$C,3,0)</f>
        <v>#REF!</v>
      </c>
      <c r="BI235" s="1" t="e">
        <f>BH235/VLOOKUP(A235,'[62]geoMap (59)'!$A:$B,2,0)*VLOOKUP(A235,'[62]geoMap (59)'!$A:$C,3,0)</f>
        <v>#REF!</v>
      </c>
      <c r="BJ235" s="1" t="e">
        <f>BI235/VLOOKUP(A235,'[63]geoMap (60)'!$A:$B,2,0)*VLOOKUP(A235,'[63]geoMap (60)'!$A:$C,3,0)</f>
        <v>#REF!</v>
      </c>
      <c r="BK235" s="1" t="e">
        <f>BJ235/VLOOKUP(A235,'[64]geoMap (61)'!$A:$B,2,0)*VLOOKUP(A235,'[64]geoMap (61)'!$A:$C,3,0)</f>
        <v>#REF!</v>
      </c>
      <c r="BL235" s="1" t="e">
        <f>BK235/VLOOKUP(A235,'[65]geoMap (62)'!$A:$B,2,0)*VLOOKUP(A235,'[65]geoMap (62)'!$A:$C,3,0)</f>
        <v>#REF!</v>
      </c>
      <c r="BM235" s="1" t="e">
        <f>BL235/VLOOKUP(A235,'[66]geoMap (63)'!$A:$B,2,0)*VLOOKUP(A235,'[66]geoMap (63)'!$A:$C,3,0)</f>
        <v>#REF!</v>
      </c>
      <c r="BN235" s="1" t="e">
        <f>BM235/VLOOKUP(A235,'[67]geoMap (64)'!$A:$B,2,0)*VLOOKUP(A235,'[67]geoMap (64)'!$A:$C,3,0)</f>
        <v>#REF!</v>
      </c>
      <c r="BO235" s="1" t="e">
        <f>BN235/VLOOKUP(A235,'[68]geoMap (65)'!$A:$B,2,0)*VLOOKUP(A235,'[68]geoMap (65)'!$A:$C,3,0)</f>
        <v>#REF!</v>
      </c>
      <c r="BP235" s="1" t="e">
        <f>BO235/VLOOKUP(A235,'[69]geoMap (66)'!$A:$B,2,0)*VLOOKUP(A235,'[69]geoMap (66)'!$A:$C,3,0)</f>
        <v>#REF!</v>
      </c>
    </row>
    <row r="236" spans="1:68" hidden="1" x14ac:dyDescent="0.2">
      <c r="A236" s="1" t="s">
        <v>238</v>
      </c>
      <c r="B236" s="1" t="e">
        <f>VLOOKUP(A236,[3]geoMap!$A:$B,2,0)*Notes!$C$6</f>
        <v>#REF!</v>
      </c>
      <c r="C236" s="1" t="e">
        <f>B236/VLOOKUP(A236,'[4]geoMap (1)'!$A:$B,2,0)*VLOOKUP(A236,'[4]geoMap (1)'!$A:$C,3,0)</f>
        <v>#REF!</v>
      </c>
      <c r="D236" s="1" t="e">
        <f>C236/VLOOKUP(A236,'[5]geoMap (2)'!$A:$B,2,0)*VLOOKUP(A236,'[5]geoMap (2)'!$A:$C,3,0)</f>
        <v>#REF!</v>
      </c>
      <c r="E236" s="1" t="e">
        <f>D236/VLOOKUP(A236,'[6]geoMap (3)'!$A:$B,2,0)*VLOOKUP(A236,'[6]geoMap (3)'!$A:$C,3,0)</f>
        <v>#REF!</v>
      </c>
      <c r="F236" s="1" t="e">
        <f>E236/VLOOKUP(A236,'[7]geoMap (4)'!$A:$B,2,0)*VLOOKUP(A236,'[7]geoMap (4)'!$A:$C,3,0)</f>
        <v>#REF!</v>
      </c>
      <c r="G236" s="1" t="e">
        <f>F236/VLOOKUP(A236,'[8]geoMap (5)'!$A:$B,2,0)*VLOOKUP(A236,'[8]geoMap (5)'!$A:$C,3,0)</f>
        <v>#REF!</v>
      </c>
      <c r="H236" s="1" t="e">
        <f>G236/VLOOKUP(A236,'[9]geoMap (6)'!$A:$B,2,0)*VLOOKUP(A236,'[9]geoMap (6)'!$A:$C,3,0)</f>
        <v>#REF!</v>
      </c>
      <c r="I236" s="1" t="e">
        <f>H236/VLOOKUP(A236,'[10]geoMap (7)'!$A:$B,2,0)*VLOOKUP(A236,'[10]geoMap (7)'!$A:$C,3,0)</f>
        <v>#REF!</v>
      </c>
      <c r="J236" s="1" t="e">
        <f>I236/VLOOKUP(A236,'[11]geoMap (8)'!$A:$B,2,0)*VLOOKUP(A236,'[11]geoMap (8)'!$A:$C,3,0)</f>
        <v>#REF!</v>
      </c>
      <c r="K236" s="1" t="e">
        <f>J236/VLOOKUP(A236,'[12]geoMap (9)'!$A:$B,2,0)*VLOOKUP(A236,'[12]geoMap (9)'!$A:$C,3,0)</f>
        <v>#REF!</v>
      </c>
      <c r="L236" s="1" t="e">
        <f>K236/VLOOKUP(A236,'[13]geoMap (10)'!$A:$B,2,0)*VLOOKUP(A236,'[13]geoMap (10)'!$A:$C,3,0)</f>
        <v>#REF!</v>
      </c>
      <c r="M236" s="1" t="e">
        <f>L236/VLOOKUP(A236,'[14]geoMap (11)'!$A:$B,2,0)*VLOOKUP(A236,'[14]geoMap (11)'!$A:$C,3,0)</f>
        <v>#REF!</v>
      </c>
      <c r="N236" s="1" t="e">
        <f>M236/VLOOKUP(A236,'[15]geoMap (12)'!$A:$B,2,0)*VLOOKUP(A236,'[15]geoMap (12)'!$A:$C,3,0)</f>
        <v>#REF!</v>
      </c>
      <c r="O236" s="1" t="e">
        <f>N236/VLOOKUP(A236,'[16]geoMap (13)'!$A:$B,2,0)*VLOOKUP(A236,'[16]geoMap (13)'!$A:$C,3,0)</f>
        <v>#REF!</v>
      </c>
      <c r="P236" s="1" t="e">
        <f>O236/VLOOKUP(A236,'[17]geoMap (14)'!$A:$B,2,0)*VLOOKUP(A236,'[17]geoMap (14)'!$A:$C,3,0)</f>
        <v>#REF!</v>
      </c>
      <c r="Q236" s="1" t="e">
        <f>P236/VLOOKUP(A236,'[18]geoMap (15)'!$A:$B,2,0)*VLOOKUP(A236,'[18]geoMap (15)'!$A:$C,3,0)</f>
        <v>#REF!</v>
      </c>
      <c r="R236" s="1" t="e">
        <f>Q236/VLOOKUP(A236,'[19]geoMap (16)'!$A:$B,2,0)*VLOOKUP(A236,'[19]geoMap (16)'!$A:$C,3,0)</f>
        <v>#REF!</v>
      </c>
      <c r="S236" s="1" t="e">
        <f>R236/VLOOKUP(A236,'[20]geoMap (17)'!$A:$B,2,0)*VLOOKUP(A236,'[20]geoMap (17)'!$A:$C,3,0)</f>
        <v>#REF!</v>
      </c>
      <c r="T236" s="1" t="e">
        <f>S236/VLOOKUP(A236,'[21]geoMap (18)'!$A:$B,2,0)*VLOOKUP(A236,'[21]geoMap (18)'!$A:$C,3,0)</f>
        <v>#REF!</v>
      </c>
      <c r="U236" s="1" t="e">
        <f>T236/VLOOKUP(A236,'[22]geoMap (19)'!$A:$B,2,0)*VLOOKUP(A236,'[22]geoMap (19)'!$A:$C,3,0)</f>
        <v>#REF!</v>
      </c>
      <c r="V236" s="1" t="e">
        <f>U236/VLOOKUP(A236,'[23]geoMap (20)'!$A:$B,2,0)*VLOOKUP(A236,'[23]geoMap (20)'!$A:$C,3,0)</f>
        <v>#REF!</v>
      </c>
      <c r="W236" s="1" t="e">
        <f>V236/VLOOKUP(A236,'[24]geoMap (21)'!$A:$B,2,0)*VLOOKUP(A236,'[24]geoMap (21)'!$A:$C,3,0)</f>
        <v>#REF!</v>
      </c>
      <c r="X236" s="1" t="e">
        <f>W236/VLOOKUP(A236,'[25]geoMap (22)'!$A:$B,2,0)*VLOOKUP(A236,'[25]geoMap (22)'!$A:$C,3,0)</f>
        <v>#REF!</v>
      </c>
      <c r="Y236" s="1" t="e">
        <f>X236/VLOOKUP(A236,'[26]geoMap (23)'!$A:$B,2,0)*VLOOKUP(A236,'[26]geoMap (23)'!$A:$C,3,0)</f>
        <v>#REF!</v>
      </c>
      <c r="Z236" s="1" t="e">
        <f>Y236/VLOOKUP(A236,'[27]geoMap (24)'!$A:$B,2,0)*VLOOKUP(A236,'[27]geoMap (24)'!$A:$C,3,0)</f>
        <v>#REF!</v>
      </c>
      <c r="AA236" s="1" t="e">
        <f>Z236/VLOOKUP(A236,'[28]geoMap (25)'!$A:$B,2,0)*VLOOKUP(A236,'[28]geoMap (25)'!$A:$C,3,0)</f>
        <v>#REF!</v>
      </c>
      <c r="AB236" s="1" t="e">
        <f>AA236*VLOOKUP(A236,'[29]geoMap (26)'!$A:$B,2,0)*VLOOKUP(A236,'[29]geoMap (26)'!$A:$C,3,0)</f>
        <v>#REF!</v>
      </c>
      <c r="AC236" s="1" t="e">
        <f>AB236/VLOOKUP(A236,'[30]geoMap (27)'!$A:$B,2,0)*VLOOKUP(A236,'[30]geoMap (27)'!$A:$C,3,0)</f>
        <v>#REF!</v>
      </c>
      <c r="AD236" s="1" t="e">
        <f>AC236/VLOOKUP(A236,'[31]geoMap (28)'!$A:$B,2,0)*VLOOKUP(A236,'[31]geoMap (28)'!$A:$C,3,0)</f>
        <v>#REF!</v>
      </c>
      <c r="AE236" s="1" t="e">
        <f>AD236/VLOOKUP(A236,'[32]geoMap (29)'!$A:$B,2,0)*VLOOKUP(A236,'[32]geoMap (29)'!$A:$C,3,0)</f>
        <v>#REF!</v>
      </c>
      <c r="AF236" s="1" t="e">
        <f>AE236/VLOOKUP(A236,'[33]geoMap (30)'!$A:$B,2,0)*VLOOKUP(A236,'[33]geoMap (30)'!$A:$C,3,0)</f>
        <v>#REF!</v>
      </c>
      <c r="AG236" s="1" t="e">
        <f>AF236/VLOOKUP(A236,'[34]geoMap (31)'!$A:$B,2,0)*VLOOKUP(A236,'[34]geoMap (31)'!$A:$C,3,0)</f>
        <v>#REF!</v>
      </c>
      <c r="AH236" s="1" t="e">
        <f>AG236/VLOOKUP(A236,'[35]geoMap (32)'!$A:$B,2,0)*VLOOKUP(A236,'[35]geoMap (32)'!$A:$C,3,0)</f>
        <v>#REF!</v>
      </c>
      <c r="AI236" s="1" t="e">
        <f>AH236/VLOOKUP(A236,'[36]geoMap (33)'!$A:$B,2,0)*VLOOKUP(A236,'[36]geoMap (33)'!$A:$C,3,0)</f>
        <v>#REF!</v>
      </c>
      <c r="AJ236" s="1" t="e">
        <f>AI236/VLOOKUP(A236,'[37]geoMap (34)'!$A:$B,2,0)*VLOOKUP(A236,'[37]geoMap (34)'!$A:$C,3,0)</f>
        <v>#REF!</v>
      </c>
      <c r="AK236" s="1" t="e">
        <f>AJ236/VLOOKUP(A236,'[38]geoMap (35)'!$A:$B,2,0)*VLOOKUP(A236,'[38]geoMap (35)'!$A:$C,3,0)</f>
        <v>#REF!</v>
      </c>
      <c r="AL236" s="1" t="e">
        <f>AK236/VLOOKUP(A236,'[39]geoMap (36)'!$A:$B,2,0)*VLOOKUP(A236,'[39]geoMap (36)'!$A:$C,3,0)</f>
        <v>#REF!</v>
      </c>
      <c r="AM236" s="1" t="e">
        <f>AL236/VLOOKUP(A236,'[40]geoMap (37)'!$A:$B,2,0)*VLOOKUP(A236,'[40]geoMap (37)'!$A:$C,3,0)</f>
        <v>#REF!</v>
      </c>
      <c r="AN236" s="1" t="e">
        <f>AM236/VLOOKUP(A236,'[41]geoMap (38)'!$A:$B,2,0)*VLOOKUP(A236,'[41]geoMap (38)'!$A:$C,3,0)</f>
        <v>#REF!</v>
      </c>
      <c r="AO236" s="1" t="e">
        <f>AN236/VLOOKUP(A236,'[42]geoMap (39)'!$A:$B,2,0)*VLOOKUP(A236,'[42]geoMap (39)'!$A:$C,3,0)</f>
        <v>#REF!</v>
      </c>
      <c r="AP236" s="1" t="e">
        <f>AO236/VLOOKUP(A236,'[43]geoMap (40)'!$A:$B,2,0)*VLOOKUP(A236,'[43]geoMap (40)'!$A:$C,3,0)</f>
        <v>#REF!</v>
      </c>
      <c r="AQ236" s="1" t="e">
        <f>AP236/VLOOKUP(A236,'[44]geoMap (41)'!$A:$B,2,0)*VLOOKUP(A236,'[44]geoMap (41)'!$A:$C,3,0)</f>
        <v>#REF!</v>
      </c>
      <c r="AR236" s="1" t="e">
        <f>AQ236/VLOOKUP(A236,'[45]geoMap (42)'!$A:$B,2,0)*VLOOKUP(A236,'[45]geoMap (42)'!$A:$C,3,0)</f>
        <v>#REF!</v>
      </c>
      <c r="AS236" s="1" t="e">
        <f>AR236/VLOOKUP(A236,'[46]geoMap (43)'!$A:$B,2,0)*VLOOKUP(A236,'[46]geoMap (43)'!$A:$C,3,0)</f>
        <v>#REF!</v>
      </c>
      <c r="AT236" s="1" t="e">
        <f>AS236/VLOOKUP(A236,'[47]geoMap (44)'!$A:$B,2,0)*VLOOKUP(A236,'[47]geoMap (44)'!$A:$C,3,0)</f>
        <v>#REF!</v>
      </c>
      <c r="AU236" s="1" t="e">
        <f>AT236/VLOOKUP(A236,'[48]geoMap (45)'!$A:$B,2,0)*VLOOKUP(A236,'[48]geoMap (45)'!$A:$C,3,0)</f>
        <v>#REF!</v>
      </c>
      <c r="AV236" s="1" t="e">
        <f>AU236/VLOOKUP(A236,'[49]geoMap (46)'!$A:$B,2,0)*VLOOKUP(A236,'[49]geoMap (46)'!$A:$C,3,0)</f>
        <v>#REF!</v>
      </c>
      <c r="AW236" s="1" t="e">
        <f>AV236/VLOOKUP(A236,'[50]geoMap (47)'!$A:$B,2,0)*VLOOKUP(A236,'[50]geoMap (47)'!$A:$C,3,0)</f>
        <v>#REF!</v>
      </c>
      <c r="AX236" s="1" t="e">
        <f>AW236/VLOOKUP(A236,'[51]geoMap (48)'!$A:$B,2,0)*VLOOKUP(A236,'[51]geoMap (48)'!$A:$C,3,0)</f>
        <v>#REF!</v>
      </c>
      <c r="AY236" s="1" t="e">
        <f>AX236/VLOOKUP(A236,'[52]geoMap (49)'!$A:$B,2,0)*VLOOKUP(A236,'[52]geoMap (49)'!$A:$C,3,0)</f>
        <v>#REF!</v>
      </c>
      <c r="AZ236" s="1" t="e">
        <f>AY236/VLOOKUP(A236,'[53]geoMap (50)'!$A:$B,2,0)*VLOOKUP(A236,'[53]geoMap (50)'!$A:$C,3,0)</f>
        <v>#REF!</v>
      </c>
      <c r="BA236" s="1" t="e">
        <f>AZ236/VLOOKUP(A236,'[54]geoMap (51)'!$A:$B,2,0)*VLOOKUP(A236,'[54]geoMap (51)'!$A:$C,3,0)</f>
        <v>#REF!</v>
      </c>
      <c r="BB236" s="1" t="e">
        <f>BA236/VLOOKUP(A236,'[55]geoMap (52)'!$A:$B,2,0)*VLOOKUP(A236,'[55]geoMap (52)'!$A:$C,3,0)</f>
        <v>#REF!</v>
      </c>
      <c r="BC236" s="1" t="e">
        <f>BB236/VLOOKUP(A236,'[56]geoMap (53)'!$A:$B,2,0)*VLOOKUP(A236,'[56]geoMap (53)'!$A:$C,3,0)</f>
        <v>#REF!</v>
      </c>
      <c r="BD236" s="1" t="e">
        <f>BC236/VLOOKUP(A236,'[57]geoMap (54)'!$A:$B,2,0)*VLOOKUP(A236,'[57]geoMap (54)'!$A:$C,3,0)</f>
        <v>#REF!</v>
      </c>
      <c r="BE236" s="1" t="e">
        <f>BD236/VLOOKUP(A236,'[58]geoMap (55)'!$A:$B,2,0)*VLOOKUP(A236,'[58]geoMap (55)'!$A:$C,3,0)</f>
        <v>#REF!</v>
      </c>
      <c r="BF236" s="1" t="e">
        <f>BE236/VLOOKUP(A236,'[59]geoMap (56)'!$A:$B,2,0)*VLOOKUP(A236,'[59]geoMap (56)'!$A:$C,3,0)</f>
        <v>#REF!</v>
      </c>
      <c r="BG236" s="1" t="e">
        <f>BF236/VLOOKUP(A236,'[60]geoMap (57)'!$A:$B,2,0)*VLOOKUP(A236,'[60]geoMap (57)'!$A:$C,3,0)</f>
        <v>#REF!</v>
      </c>
      <c r="BH236" s="1" t="e">
        <f>BG236/VLOOKUP(A236,'[61]geoMap (58)'!$A:$B,2,0)*VLOOKUP(A236,'[61]geoMap (58)'!$A:$C,3,0)</f>
        <v>#REF!</v>
      </c>
      <c r="BI236" s="1" t="e">
        <f>BH236/VLOOKUP(A236,'[62]geoMap (59)'!$A:$B,2,0)*VLOOKUP(A236,'[62]geoMap (59)'!$A:$C,3,0)</f>
        <v>#REF!</v>
      </c>
      <c r="BJ236" s="1" t="e">
        <f>BI236/VLOOKUP(A236,'[63]geoMap (60)'!$A:$B,2,0)*VLOOKUP(A236,'[63]geoMap (60)'!$A:$C,3,0)</f>
        <v>#REF!</v>
      </c>
      <c r="BK236" s="1" t="e">
        <f>BJ236/VLOOKUP(A236,'[64]geoMap (61)'!$A:$B,2,0)*VLOOKUP(A236,'[64]geoMap (61)'!$A:$C,3,0)</f>
        <v>#REF!</v>
      </c>
      <c r="BL236" s="1" t="e">
        <f>BK236/VLOOKUP(A236,'[65]geoMap (62)'!$A:$B,2,0)*VLOOKUP(A236,'[65]geoMap (62)'!$A:$C,3,0)</f>
        <v>#REF!</v>
      </c>
      <c r="BM236" s="1" t="e">
        <f>BL236/VLOOKUP(A236,'[66]geoMap (63)'!$A:$B,2,0)*VLOOKUP(A236,'[66]geoMap (63)'!$A:$C,3,0)</f>
        <v>#REF!</v>
      </c>
      <c r="BN236" s="1" t="e">
        <f>BM236/VLOOKUP(A236,'[67]geoMap (64)'!$A:$B,2,0)*VLOOKUP(A236,'[67]geoMap (64)'!$A:$C,3,0)</f>
        <v>#REF!</v>
      </c>
      <c r="BO236" s="1" t="e">
        <f>BN236/VLOOKUP(A236,'[68]geoMap (65)'!$A:$B,2,0)*VLOOKUP(A236,'[68]geoMap (65)'!$A:$C,3,0)</f>
        <v>#REF!</v>
      </c>
      <c r="BP236" s="1" t="e">
        <f>BO236/VLOOKUP(A236,'[69]geoMap (66)'!$A:$B,2,0)*VLOOKUP(A236,'[69]geoMap (66)'!$A:$C,3,0)</f>
        <v>#REF!</v>
      </c>
    </row>
    <row r="237" spans="1:68" hidden="1" x14ac:dyDescent="0.2">
      <c r="A237" s="1" t="s">
        <v>239</v>
      </c>
      <c r="B237" s="1" t="e">
        <f>VLOOKUP(A237,[3]geoMap!$A:$B,2,0)*Notes!$C$6</f>
        <v>#REF!</v>
      </c>
      <c r="C237" s="1" t="e">
        <f>B237/VLOOKUP(A237,'[4]geoMap (1)'!$A:$B,2,0)*VLOOKUP(A237,'[4]geoMap (1)'!$A:$C,3,0)</f>
        <v>#REF!</v>
      </c>
      <c r="D237" s="1" t="e">
        <f>C237/VLOOKUP(A237,'[5]geoMap (2)'!$A:$B,2,0)*VLOOKUP(A237,'[5]geoMap (2)'!$A:$C,3,0)</f>
        <v>#REF!</v>
      </c>
      <c r="E237" s="1" t="e">
        <f>D237/VLOOKUP(A237,'[6]geoMap (3)'!$A:$B,2,0)*VLOOKUP(A237,'[6]geoMap (3)'!$A:$C,3,0)</f>
        <v>#REF!</v>
      </c>
      <c r="F237" s="1" t="e">
        <f>E237/VLOOKUP(A237,'[7]geoMap (4)'!$A:$B,2,0)*VLOOKUP(A237,'[7]geoMap (4)'!$A:$C,3,0)</f>
        <v>#REF!</v>
      </c>
      <c r="G237" s="1" t="e">
        <f>F237/VLOOKUP(A237,'[8]geoMap (5)'!$A:$B,2,0)*VLOOKUP(A237,'[8]geoMap (5)'!$A:$C,3,0)</f>
        <v>#REF!</v>
      </c>
      <c r="H237" s="1" t="e">
        <f>G237/VLOOKUP(A237,'[9]geoMap (6)'!$A:$B,2,0)*VLOOKUP(A237,'[9]geoMap (6)'!$A:$C,3,0)</f>
        <v>#REF!</v>
      </c>
      <c r="I237" s="1" t="e">
        <f>H237/VLOOKUP(A237,'[10]geoMap (7)'!$A:$B,2,0)*VLOOKUP(A237,'[10]geoMap (7)'!$A:$C,3,0)</f>
        <v>#REF!</v>
      </c>
      <c r="J237" s="1" t="e">
        <f>I237/VLOOKUP(A237,'[11]geoMap (8)'!$A:$B,2,0)*VLOOKUP(A237,'[11]geoMap (8)'!$A:$C,3,0)</f>
        <v>#REF!</v>
      </c>
      <c r="K237" s="1" t="e">
        <f>J237/VLOOKUP(A237,'[12]geoMap (9)'!$A:$B,2,0)*VLOOKUP(A237,'[12]geoMap (9)'!$A:$C,3,0)</f>
        <v>#REF!</v>
      </c>
      <c r="L237" s="1" t="e">
        <f>K237/VLOOKUP(A237,'[13]geoMap (10)'!$A:$B,2,0)*VLOOKUP(A237,'[13]geoMap (10)'!$A:$C,3,0)</f>
        <v>#REF!</v>
      </c>
      <c r="M237" s="1" t="e">
        <f>L237/VLOOKUP(A237,'[14]geoMap (11)'!$A:$B,2,0)*VLOOKUP(A237,'[14]geoMap (11)'!$A:$C,3,0)</f>
        <v>#REF!</v>
      </c>
      <c r="N237" s="1" t="e">
        <f>M237/VLOOKUP(A237,'[15]geoMap (12)'!$A:$B,2,0)*VLOOKUP(A237,'[15]geoMap (12)'!$A:$C,3,0)</f>
        <v>#REF!</v>
      </c>
      <c r="O237" s="1" t="e">
        <f>N237/VLOOKUP(A237,'[16]geoMap (13)'!$A:$B,2,0)*VLOOKUP(A237,'[16]geoMap (13)'!$A:$C,3,0)</f>
        <v>#REF!</v>
      </c>
      <c r="P237" s="1" t="e">
        <f>O237/VLOOKUP(A237,'[17]geoMap (14)'!$A:$B,2,0)*VLOOKUP(A237,'[17]geoMap (14)'!$A:$C,3,0)</f>
        <v>#REF!</v>
      </c>
      <c r="Q237" s="1" t="e">
        <f>P237/VLOOKUP(A237,'[18]geoMap (15)'!$A:$B,2,0)*VLOOKUP(A237,'[18]geoMap (15)'!$A:$C,3,0)</f>
        <v>#REF!</v>
      </c>
      <c r="R237" s="1" t="e">
        <f>Q237/VLOOKUP(A237,'[19]geoMap (16)'!$A:$B,2,0)*VLOOKUP(A237,'[19]geoMap (16)'!$A:$C,3,0)</f>
        <v>#REF!</v>
      </c>
      <c r="S237" s="1" t="e">
        <f>R237/VLOOKUP(A237,'[20]geoMap (17)'!$A:$B,2,0)*VLOOKUP(A237,'[20]geoMap (17)'!$A:$C,3,0)</f>
        <v>#REF!</v>
      </c>
      <c r="T237" s="1" t="e">
        <f>S237/VLOOKUP(A237,'[21]geoMap (18)'!$A:$B,2,0)*VLOOKUP(A237,'[21]geoMap (18)'!$A:$C,3,0)</f>
        <v>#REF!</v>
      </c>
      <c r="U237" s="1" t="e">
        <f>T237/VLOOKUP(A237,'[22]geoMap (19)'!$A:$B,2,0)*VLOOKUP(A237,'[22]geoMap (19)'!$A:$C,3,0)</f>
        <v>#REF!</v>
      </c>
      <c r="V237" s="1" t="e">
        <f>U237/VLOOKUP(A237,'[23]geoMap (20)'!$A:$B,2,0)*VLOOKUP(A237,'[23]geoMap (20)'!$A:$C,3,0)</f>
        <v>#REF!</v>
      </c>
      <c r="W237" s="1" t="e">
        <f>V237/VLOOKUP(A237,'[24]geoMap (21)'!$A:$B,2,0)*VLOOKUP(A237,'[24]geoMap (21)'!$A:$C,3,0)</f>
        <v>#REF!</v>
      </c>
      <c r="X237" s="1" t="e">
        <f>W237/VLOOKUP(A237,'[25]geoMap (22)'!$A:$B,2,0)*VLOOKUP(A237,'[25]geoMap (22)'!$A:$C,3,0)</f>
        <v>#REF!</v>
      </c>
      <c r="Y237" s="1" t="e">
        <f>X237/VLOOKUP(A237,'[26]geoMap (23)'!$A:$B,2,0)*VLOOKUP(A237,'[26]geoMap (23)'!$A:$C,3,0)</f>
        <v>#REF!</v>
      </c>
      <c r="Z237" s="1" t="e">
        <f>Y237/VLOOKUP(A237,'[27]geoMap (24)'!$A:$B,2,0)*VLOOKUP(A237,'[27]geoMap (24)'!$A:$C,3,0)</f>
        <v>#REF!</v>
      </c>
      <c r="AA237" s="1" t="e">
        <f>Z237/VLOOKUP(A237,'[28]geoMap (25)'!$A:$B,2,0)*VLOOKUP(A237,'[28]geoMap (25)'!$A:$C,3,0)</f>
        <v>#REF!</v>
      </c>
      <c r="AB237" s="1" t="e">
        <f>AA237*VLOOKUP(A237,'[29]geoMap (26)'!$A:$B,2,0)*VLOOKUP(A237,'[29]geoMap (26)'!$A:$C,3,0)</f>
        <v>#REF!</v>
      </c>
      <c r="AC237" s="1" t="e">
        <f>AB237/VLOOKUP(A237,'[30]geoMap (27)'!$A:$B,2,0)*VLOOKUP(A237,'[30]geoMap (27)'!$A:$C,3,0)</f>
        <v>#REF!</v>
      </c>
      <c r="AD237" s="1" t="e">
        <f>AC237/VLOOKUP(A237,'[31]geoMap (28)'!$A:$B,2,0)*VLOOKUP(A237,'[31]geoMap (28)'!$A:$C,3,0)</f>
        <v>#REF!</v>
      </c>
      <c r="AE237" s="1" t="e">
        <f>AD237/VLOOKUP(A237,'[32]geoMap (29)'!$A:$B,2,0)*VLOOKUP(A237,'[32]geoMap (29)'!$A:$C,3,0)</f>
        <v>#REF!</v>
      </c>
      <c r="AF237" s="1" t="e">
        <f>AE237/VLOOKUP(A237,'[33]geoMap (30)'!$A:$B,2,0)*VLOOKUP(A237,'[33]geoMap (30)'!$A:$C,3,0)</f>
        <v>#REF!</v>
      </c>
      <c r="AG237" s="1" t="e">
        <f>AF237/VLOOKUP(A237,'[34]geoMap (31)'!$A:$B,2,0)*VLOOKUP(A237,'[34]geoMap (31)'!$A:$C,3,0)</f>
        <v>#REF!</v>
      </c>
      <c r="AH237" s="1" t="e">
        <f>AG237/VLOOKUP(A237,'[35]geoMap (32)'!$A:$B,2,0)*VLOOKUP(A237,'[35]geoMap (32)'!$A:$C,3,0)</f>
        <v>#REF!</v>
      </c>
      <c r="AI237" s="1" t="e">
        <f>AH237/VLOOKUP(A237,'[36]geoMap (33)'!$A:$B,2,0)*VLOOKUP(A237,'[36]geoMap (33)'!$A:$C,3,0)</f>
        <v>#REF!</v>
      </c>
      <c r="AJ237" s="1" t="e">
        <f>AI237/VLOOKUP(A237,'[37]geoMap (34)'!$A:$B,2,0)*VLOOKUP(A237,'[37]geoMap (34)'!$A:$C,3,0)</f>
        <v>#REF!</v>
      </c>
      <c r="AK237" s="1" t="e">
        <f>AJ237/VLOOKUP(A237,'[38]geoMap (35)'!$A:$B,2,0)*VLOOKUP(A237,'[38]geoMap (35)'!$A:$C,3,0)</f>
        <v>#REF!</v>
      </c>
      <c r="AL237" s="1" t="e">
        <f>AK237/VLOOKUP(A237,'[39]geoMap (36)'!$A:$B,2,0)*VLOOKUP(A237,'[39]geoMap (36)'!$A:$C,3,0)</f>
        <v>#REF!</v>
      </c>
      <c r="AM237" s="1" t="e">
        <f>AL237/VLOOKUP(A237,'[40]geoMap (37)'!$A:$B,2,0)*VLOOKUP(A237,'[40]geoMap (37)'!$A:$C,3,0)</f>
        <v>#REF!</v>
      </c>
      <c r="AN237" s="1" t="e">
        <f>AM237/VLOOKUP(A237,'[41]geoMap (38)'!$A:$B,2,0)*VLOOKUP(A237,'[41]geoMap (38)'!$A:$C,3,0)</f>
        <v>#REF!</v>
      </c>
      <c r="AO237" s="1" t="e">
        <f>AN237/VLOOKUP(A237,'[42]geoMap (39)'!$A:$B,2,0)*VLOOKUP(A237,'[42]geoMap (39)'!$A:$C,3,0)</f>
        <v>#REF!</v>
      </c>
      <c r="AP237" s="1" t="e">
        <f>AO237/VLOOKUP(A237,'[43]geoMap (40)'!$A:$B,2,0)*VLOOKUP(A237,'[43]geoMap (40)'!$A:$C,3,0)</f>
        <v>#REF!</v>
      </c>
      <c r="AQ237" s="1" t="e">
        <f>AP237/VLOOKUP(A237,'[44]geoMap (41)'!$A:$B,2,0)*VLOOKUP(A237,'[44]geoMap (41)'!$A:$C,3,0)</f>
        <v>#REF!</v>
      </c>
      <c r="AR237" s="1" t="e">
        <f>AQ237/VLOOKUP(A237,'[45]geoMap (42)'!$A:$B,2,0)*VLOOKUP(A237,'[45]geoMap (42)'!$A:$C,3,0)</f>
        <v>#REF!</v>
      </c>
      <c r="AS237" s="1" t="e">
        <f>AR237/VLOOKUP(A237,'[46]geoMap (43)'!$A:$B,2,0)*VLOOKUP(A237,'[46]geoMap (43)'!$A:$C,3,0)</f>
        <v>#REF!</v>
      </c>
      <c r="AT237" s="1" t="e">
        <f>AS237/VLOOKUP(A237,'[47]geoMap (44)'!$A:$B,2,0)*VLOOKUP(A237,'[47]geoMap (44)'!$A:$C,3,0)</f>
        <v>#REF!</v>
      </c>
      <c r="AU237" s="1" t="e">
        <f>AT237/VLOOKUP(A237,'[48]geoMap (45)'!$A:$B,2,0)*VLOOKUP(A237,'[48]geoMap (45)'!$A:$C,3,0)</f>
        <v>#REF!</v>
      </c>
      <c r="AV237" s="1" t="e">
        <f>AU237/VLOOKUP(A237,'[49]geoMap (46)'!$A:$B,2,0)*VLOOKUP(A237,'[49]geoMap (46)'!$A:$C,3,0)</f>
        <v>#REF!</v>
      </c>
      <c r="AW237" s="1" t="e">
        <f>AV237/VLOOKUP(A237,'[50]geoMap (47)'!$A:$B,2,0)*VLOOKUP(A237,'[50]geoMap (47)'!$A:$C,3,0)</f>
        <v>#REF!</v>
      </c>
      <c r="AX237" s="1" t="e">
        <f>AW237/VLOOKUP(A237,'[51]geoMap (48)'!$A:$B,2,0)*VLOOKUP(A237,'[51]geoMap (48)'!$A:$C,3,0)</f>
        <v>#REF!</v>
      </c>
      <c r="AY237" s="1" t="e">
        <f>AX237/VLOOKUP(A237,'[52]geoMap (49)'!$A:$B,2,0)*VLOOKUP(A237,'[52]geoMap (49)'!$A:$C,3,0)</f>
        <v>#REF!</v>
      </c>
      <c r="AZ237" s="1" t="e">
        <f>AY237/VLOOKUP(A237,'[53]geoMap (50)'!$A:$B,2,0)*VLOOKUP(A237,'[53]geoMap (50)'!$A:$C,3,0)</f>
        <v>#REF!</v>
      </c>
      <c r="BA237" s="1" t="e">
        <f>AZ237/VLOOKUP(A237,'[54]geoMap (51)'!$A:$B,2,0)*VLOOKUP(A237,'[54]geoMap (51)'!$A:$C,3,0)</f>
        <v>#REF!</v>
      </c>
      <c r="BB237" s="1" t="e">
        <f>BA237/VLOOKUP(A237,'[55]geoMap (52)'!$A:$B,2,0)*VLOOKUP(A237,'[55]geoMap (52)'!$A:$C,3,0)</f>
        <v>#REF!</v>
      </c>
      <c r="BC237" s="1" t="e">
        <f>BB237/VLOOKUP(A237,'[56]geoMap (53)'!$A:$B,2,0)*VLOOKUP(A237,'[56]geoMap (53)'!$A:$C,3,0)</f>
        <v>#REF!</v>
      </c>
      <c r="BD237" s="1" t="e">
        <f>BC237/VLOOKUP(A237,'[57]geoMap (54)'!$A:$B,2,0)*VLOOKUP(A237,'[57]geoMap (54)'!$A:$C,3,0)</f>
        <v>#REF!</v>
      </c>
      <c r="BE237" s="1" t="e">
        <f>BD237/VLOOKUP(A237,'[58]geoMap (55)'!$A:$B,2,0)*VLOOKUP(A237,'[58]geoMap (55)'!$A:$C,3,0)</f>
        <v>#REF!</v>
      </c>
      <c r="BF237" s="1" t="e">
        <f>BE237/VLOOKUP(A237,'[59]geoMap (56)'!$A:$B,2,0)*VLOOKUP(A237,'[59]geoMap (56)'!$A:$C,3,0)</f>
        <v>#REF!</v>
      </c>
      <c r="BG237" s="1" t="e">
        <f>BF237/VLOOKUP(A237,'[60]geoMap (57)'!$A:$B,2,0)*VLOOKUP(A237,'[60]geoMap (57)'!$A:$C,3,0)</f>
        <v>#REF!</v>
      </c>
      <c r="BH237" s="1" t="e">
        <f>BG237/VLOOKUP(A237,'[61]geoMap (58)'!$A:$B,2,0)*VLOOKUP(A237,'[61]geoMap (58)'!$A:$C,3,0)</f>
        <v>#REF!</v>
      </c>
      <c r="BI237" s="1" t="e">
        <f>BH237/VLOOKUP(A237,'[62]geoMap (59)'!$A:$B,2,0)*VLOOKUP(A237,'[62]geoMap (59)'!$A:$C,3,0)</f>
        <v>#REF!</v>
      </c>
      <c r="BJ237" s="1" t="e">
        <f>BI237/VLOOKUP(A237,'[63]geoMap (60)'!$A:$B,2,0)*VLOOKUP(A237,'[63]geoMap (60)'!$A:$C,3,0)</f>
        <v>#REF!</v>
      </c>
      <c r="BK237" s="1" t="e">
        <f>BJ237/VLOOKUP(A237,'[64]geoMap (61)'!$A:$B,2,0)*VLOOKUP(A237,'[64]geoMap (61)'!$A:$C,3,0)</f>
        <v>#REF!</v>
      </c>
      <c r="BL237" s="1" t="e">
        <f>BK237/VLOOKUP(A237,'[65]geoMap (62)'!$A:$B,2,0)*VLOOKUP(A237,'[65]geoMap (62)'!$A:$C,3,0)</f>
        <v>#REF!</v>
      </c>
      <c r="BM237" s="1" t="e">
        <f>BL237/VLOOKUP(A237,'[66]geoMap (63)'!$A:$B,2,0)*VLOOKUP(A237,'[66]geoMap (63)'!$A:$C,3,0)</f>
        <v>#REF!</v>
      </c>
      <c r="BN237" s="1" t="e">
        <f>BM237/VLOOKUP(A237,'[67]geoMap (64)'!$A:$B,2,0)*VLOOKUP(A237,'[67]geoMap (64)'!$A:$C,3,0)</f>
        <v>#REF!</v>
      </c>
      <c r="BO237" s="1" t="e">
        <f>BN237/VLOOKUP(A237,'[68]geoMap (65)'!$A:$B,2,0)*VLOOKUP(A237,'[68]geoMap (65)'!$A:$C,3,0)</f>
        <v>#REF!</v>
      </c>
      <c r="BP237" s="1" t="e">
        <f>BO237/VLOOKUP(A237,'[69]geoMap (66)'!$A:$B,2,0)*VLOOKUP(A237,'[69]geoMap (66)'!$A:$C,3,0)</f>
        <v>#REF!</v>
      </c>
    </row>
    <row r="238" spans="1:68" hidden="1" x14ac:dyDescent="0.2">
      <c r="A238" s="1" t="s">
        <v>240</v>
      </c>
      <c r="B238" s="1" t="e">
        <f>VLOOKUP(A238,[3]geoMap!$A:$B,2,0)*Notes!$C$6</f>
        <v>#REF!</v>
      </c>
      <c r="C238" s="1" t="e">
        <f>B238/VLOOKUP(A238,'[4]geoMap (1)'!$A:$B,2,0)*VLOOKUP(A238,'[4]geoMap (1)'!$A:$C,3,0)</f>
        <v>#REF!</v>
      </c>
      <c r="D238" s="1" t="e">
        <f>C238/VLOOKUP(A238,'[5]geoMap (2)'!$A:$B,2,0)*VLOOKUP(A238,'[5]geoMap (2)'!$A:$C,3,0)</f>
        <v>#REF!</v>
      </c>
      <c r="E238" s="1" t="e">
        <f>D238/VLOOKUP(A238,'[6]geoMap (3)'!$A:$B,2,0)*VLOOKUP(A238,'[6]geoMap (3)'!$A:$C,3,0)</f>
        <v>#REF!</v>
      </c>
      <c r="F238" s="1" t="e">
        <f>E238/VLOOKUP(A238,'[7]geoMap (4)'!$A:$B,2,0)*VLOOKUP(A238,'[7]geoMap (4)'!$A:$C,3,0)</f>
        <v>#REF!</v>
      </c>
      <c r="G238" s="1" t="e">
        <f>F238/VLOOKUP(A238,'[8]geoMap (5)'!$A:$B,2,0)*VLOOKUP(A238,'[8]geoMap (5)'!$A:$C,3,0)</f>
        <v>#REF!</v>
      </c>
      <c r="H238" s="1" t="e">
        <f>G238/VLOOKUP(A238,'[9]geoMap (6)'!$A:$B,2,0)*VLOOKUP(A238,'[9]geoMap (6)'!$A:$C,3,0)</f>
        <v>#REF!</v>
      </c>
      <c r="I238" s="1" t="e">
        <f>H238/VLOOKUP(A238,'[10]geoMap (7)'!$A:$B,2,0)*VLOOKUP(A238,'[10]geoMap (7)'!$A:$C,3,0)</f>
        <v>#REF!</v>
      </c>
      <c r="J238" s="1" t="e">
        <f>I238/VLOOKUP(A238,'[11]geoMap (8)'!$A:$B,2,0)*VLOOKUP(A238,'[11]geoMap (8)'!$A:$C,3,0)</f>
        <v>#REF!</v>
      </c>
      <c r="K238" s="1" t="e">
        <f>J238/VLOOKUP(A238,'[12]geoMap (9)'!$A:$B,2,0)*VLOOKUP(A238,'[12]geoMap (9)'!$A:$C,3,0)</f>
        <v>#REF!</v>
      </c>
      <c r="L238" s="1" t="e">
        <f>K238/VLOOKUP(A238,'[13]geoMap (10)'!$A:$B,2,0)*VLOOKUP(A238,'[13]geoMap (10)'!$A:$C,3,0)</f>
        <v>#REF!</v>
      </c>
      <c r="M238" s="1" t="e">
        <f>L238/VLOOKUP(A238,'[14]geoMap (11)'!$A:$B,2,0)*VLOOKUP(A238,'[14]geoMap (11)'!$A:$C,3,0)</f>
        <v>#REF!</v>
      </c>
      <c r="N238" s="1" t="e">
        <f>M238/VLOOKUP(A238,'[15]geoMap (12)'!$A:$B,2,0)*VLOOKUP(A238,'[15]geoMap (12)'!$A:$C,3,0)</f>
        <v>#REF!</v>
      </c>
      <c r="O238" s="1" t="e">
        <f>N238/VLOOKUP(A238,'[16]geoMap (13)'!$A:$B,2,0)*VLOOKUP(A238,'[16]geoMap (13)'!$A:$C,3,0)</f>
        <v>#REF!</v>
      </c>
      <c r="P238" s="1" t="e">
        <f>O238/VLOOKUP(A238,'[17]geoMap (14)'!$A:$B,2,0)*VLOOKUP(A238,'[17]geoMap (14)'!$A:$C,3,0)</f>
        <v>#REF!</v>
      </c>
      <c r="Q238" s="1" t="e">
        <f>P238/VLOOKUP(A238,'[18]geoMap (15)'!$A:$B,2,0)*VLOOKUP(A238,'[18]geoMap (15)'!$A:$C,3,0)</f>
        <v>#REF!</v>
      </c>
      <c r="R238" s="1" t="e">
        <f>Q238/VLOOKUP(A238,'[19]geoMap (16)'!$A:$B,2,0)*VLOOKUP(A238,'[19]geoMap (16)'!$A:$C,3,0)</f>
        <v>#REF!</v>
      </c>
      <c r="S238" s="1" t="e">
        <f>R238/VLOOKUP(A238,'[20]geoMap (17)'!$A:$B,2,0)*VLOOKUP(A238,'[20]geoMap (17)'!$A:$C,3,0)</f>
        <v>#REF!</v>
      </c>
      <c r="T238" s="1" t="e">
        <f>S238/VLOOKUP(A238,'[21]geoMap (18)'!$A:$B,2,0)*VLOOKUP(A238,'[21]geoMap (18)'!$A:$C,3,0)</f>
        <v>#REF!</v>
      </c>
      <c r="U238" s="1" t="e">
        <f>T238/VLOOKUP(A238,'[22]geoMap (19)'!$A:$B,2,0)*VLOOKUP(A238,'[22]geoMap (19)'!$A:$C,3,0)</f>
        <v>#REF!</v>
      </c>
      <c r="V238" s="1" t="e">
        <f>U238/VLOOKUP(A238,'[23]geoMap (20)'!$A:$B,2,0)*VLOOKUP(A238,'[23]geoMap (20)'!$A:$C,3,0)</f>
        <v>#REF!</v>
      </c>
      <c r="W238" s="1" t="e">
        <f>V238/VLOOKUP(A238,'[24]geoMap (21)'!$A:$B,2,0)*VLOOKUP(A238,'[24]geoMap (21)'!$A:$C,3,0)</f>
        <v>#REF!</v>
      </c>
      <c r="X238" s="1" t="e">
        <f>W238/VLOOKUP(A238,'[25]geoMap (22)'!$A:$B,2,0)*VLOOKUP(A238,'[25]geoMap (22)'!$A:$C,3,0)</f>
        <v>#REF!</v>
      </c>
      <c r="Y238" s="1" t="e">
        <f>X238/VLOOKUP(A238,'[26]geoMap (23)'!$A:$B,2,0)*VLOOKUP(A238,'[26]geoMap (23)'!$A:$C,3,0)</f>
        <v>#REF!</v>
      </c>
      <c r="Z238" s="1" t="e">
        <f>Y238/VLOOKUP(A238,'[27]geoMap (24)'!$A:$B,2,0)*VLOOKUP(A238,'[27]geoMap (24)'!$A:$C,3,0)</f>
        <v>#REF!</v>
      </c>
      <c r="AA238" s="1" t="e">
        <f>Z238/VLOOKUP(A238,'[28]geoMap (25)'!$A:$B,2,0)*VLOOKUP(A238,'[28]geoMap (25)'!$A:$C,3,0)</f>
        <v>#REF!</v>
      </c>
      <c r="AB238" s="1" t="e">
        <f>AA238*VLOOKUP(A238,'[29]geoMap (26)'!$A:$B,2,0)*VLOOKUP(A238,'[29]geoMap (26)'!$A:$C,3,0)</f>
        <v>#REF!</v>
      </c>
      <c r="AC238" s="1" t="e">
        <f>AB238/VLOOKUP(A238,'[30]geoMap (27)'!$A:$B,2,0)*VLOOKUP(A238,'[30]geoMap (27)'!$A:$C,3,0)</f>
        <v>#REF!</v>
      </c>
      <c r="AD238" s="1" t="e">
        <f>AC238/VLOOKUP(A238,'[31]geoMap (28)'!$A:$B,2,0)*VLOOKUP(A238,'[31]geoMap (28)'!$A:$C,3,0)</f>
        <v>#REF!</v>
      </c>
      <c r="AE238" s="1" t="e">
        <f>AD238/VLOOKUP(A238,'[32]geoMap (29)'!$A:$B,2,0)*VLOOKUP(A238,'[32]geoMap (29)'!$A:$C,3,0)</f>
        <v>#REF!</v>
      </c>
      <c r="AF238" s="1" t="e">
        <f>AE238/VLOOKUP(A238,'[33]geoMap (30)'!$A:$B,2,0)*VLOOKUP(A238,'[33]geoMap (30)'!$A:$C,3,0)</f>
        <v>#REF!</v>
      </c>
      <c r="AG238" s="1" t="e">
        <f>AF238/VLOOKUP(A238,'[34]geoMap (31)'!$A:$B,2,0)*VLOOKUP(A238,'[34]geoMap (31)'!$A:$C,3,0)</f>
        <v>#REF!</v>
      </c>
      <c r="AH238" s="1" t="e">
        <f>AG238/VLOOKUP(A238,'[35]geoMap (32)'!$A:$B,2,0)*VLOOKUP(A238,'[35]geoMap (32)'!$A:$C,3,0)</f>
        <v>#REF!</v>
      </c>
      <c r="AI238" s="1" t="e">
        <f>AH238/VLOOKUP(A238,'[36]geoMap (33)'!$A:$B,2,0)*VLOOKUP(A238,'[36]geoMap (33)'!$A:$C,3,0)</f>
        <v>#REF!</v>
      </c>
      <c r="AJ238" s="1" t="e">
        <f>AI238/VLOOKUP(A238,'[37]geoMap (34)'!$A:$B,2,0)*VLOOKUP(A238,'[37]geoMap (34)'!$A:$C,3,0)</f>
        <v>#REF!</v>
      </c>
      <c r="AK238" s="1" t="e">
        <f>AJ238/VLOOKUP(A238,'[38]geoMap (35)'!$A:$B,2,0)*VLOOKUP(A238,'[38]geoMap (35)'!$A:$C,3,0)</f>
        <v>#REF!</v>
      </c>
      <c r="AL238" s="1" t="e">
        <f>AK238/VLOOKUP(A238,'[39]geoMap (36)'!$A:$B,2,0)*VLOOKUP(A238,'[39]geoMap (36)'!$A:$C,3,0)</f>
        <v>#REF!</v>
      </c>
      <c r="AM238" s="1" t="e">
        <f>AL238/VLOOKUP(A238,'[40]geoMap (37)'!$A:$B,2,0)*VLOOKUP(A238,'[40]geoMap (37)'!$A:$C,3,0)</f>
        <v>#REF!</v>
      </c>
      <c r="AN238" s="1" t="e">
        <f>AM238/VLOOKUP(A238,'[41]geoMap (38)'!$A:$B,2,0)*VLOOKUP(A238,'[41]geoMap (38)'!$A:$C,3,0)</f>
        <v>#REF!</v>
      </c>
      <c r="AO238" s="1" t="e">
        <f>AN238/VLOOKUP(A238,'[42]geoMap (39)'!$A:$B,2,0)*VLOOKUP(A238,'[42]geoMap (39)'!$A:$C,3,0)</f>
        <v>#REF!</v>
      </c>
      <c r="AP238" s="1" t="e">
        <f>AO238/VLOOKUP(A238,'[43]geoMap (40)'!$A:$B,2,0)*VLOOKUP(A238,'[43]geoMap (40)'!$A:$C,3,0)</f>
        <v>#REF!</v>
      </c>
      <c r="AQ238" s="1" t="e">
        <f>AP238/VLOOKUP(A238,'[44]geoMap (41)'!$A:$B,2,0)*VLOOKUP(A238,'[44]geoMap (41)'!$A:$C,3,0)</f>
        <v>#REF!</v>
      </c>
      <c r="AR238" s="1" t="e">
        <f>AQ238/VLOOKUP(A238,'[45]geoMap (42)'!$A:$B,2,0)*VLOOKUP(A238,'[45]geoMap (42)'!$A:$C,3,0)</f>
        <v>#REF!</v>
      </c>
      <c r="AS238" s="1" t="e">
        <f>AR238/VLOOKUP(A238,'[46]geoMap (43)'!$A:$B,2,0)*VLOOKUP(A238,'[46]geoMap (43)'!$A:$C,3,0)</f>
        <v>#REF!</v>
      </c>
      <c r="AT238" s="1" t="e">
        <f>AS238/VLOOKUP(A238,'[47]geoMap (44)'!$A:$B,2,0)*VLOOKUP(A238,'[47]geoMap (44)'!$A:$C,3,0)</f>
        <v>#REF!</v>
      </c>
      <c r="AU238" s="1" t="e">
        <f>AT238/VLOOKUP(A238,'[48]geoMap (45)'!$A:$B,2,0)*VLOOKUP(A238,'[48]geoMap (45)'!$A:$C,3,0)</f>
        <v>#REF!</v>
      </c>
      <c r="AV238" s="1" t="e">
        <f>AU238/VLOOKUP(A238,'[49]geoMap (46)'!$A:$B,2,0)*VLOOKUP(A238,'[49]geoMap (46)'!$A:$C,3,0)</f>
        <v>#REF!</v>
      </c>
      <c r="AW238" s="1" t="e">
        <f>AV238/VLOOKUP(A238,'[50]geoMap (47)'!$A:$B,2,0)*VLOOKUP(A238,'[50]geoMap (47)'!$A:$C,3,0)</f>
        <v>#REF!</v>
      </c>
      <c r="AX238" s="1" t="e">
        <f>AW238/VLOOKUP(A238,'[51]geoMap (48)'!$A:$B,2,0)*VLOOKUP(A238,'[51]geoMap (48)'!$A:$C,3,0)</f>
        <v>#REF!</v>
      </c>
      <c r="AY238" s="1" t="e">
        <f>AX238/VLOOKUP(A238,'[52]geoMap (49)'!$A:$B,2,0)*VLOOKUP(A238,'[52]geoMap (49)'!$A:$C,3,0)</f>
        <v>#REF!</v>
      </c>
      <c r="AZ238" s="1" t="e">
        <f>AY238/VLOOKUP(A238,'[53]geoMap (50)'!$A:$B,2,0)*VLOOKUP(A238,'[53]geoMap (50)'!$A:$C,3,0)</f>
        <v>#REF!</v>
      </c>
      <c r="BA238" s="1" t="e">
        <f>AZ238/VLOOKUP(A238,'[54]geoMap (51)'!$A:$B,2,0)*VLOOKUP(A238,'[54]geoMap (51)'!$A:$C,3,0)</f>
        <v>#REF!</v>
      </c>
      <c r="BB238" s="1" t="e">
        <f>BA238/VLOOKUP(A238,'[55]geoMap (52)'!$A:$B,2,0)*VLOOKUP(A238,'[55]geoMap (52)'!$A:$C,3,0)</f>
        <v>#REF!</v>
      </c>
      <c r="BC238" s="1" t="e">
        <f>BB238/VLOOKUP(A238,'[56]geoMap (53)'!$A:$B,2,0)*VLOOKUP(A238,'[56]geoMap (53)'!$A:$C,3,0)</f>
        <v>#REF!</v>
      </c>
      <c r="BD238" s="1" t="e">
        <f>BC238/VLOOKUP(A238,'[57]geoMap (54)'!$A:$B,2,0)*VLOOKUP(A238,'[57]geoMap (54)'!$A:$C,3,0)</f>
        <v>#REF!</v>
      </c>
      <c r="BE238" s="1" t="e">
        <f>BD238/VLOOKUP(A238,'[58]geoMap (55)'!$A:$B,2,0)*VLOOKUP(A238,'[58]geoMap (55)'!$A:$C,3,0)</f>
        <v>#REF!</v>
      </c>
      <c r="BF238" s="1" t="e">
        <f>BE238/VLOOKUP(A238,'[59]geoMap (56)'!$A:$B,2,0)*VLOOKUP(A238,'[59]geoMap (56)'!$A:$C,3,0)</f>
        <v>#REF!</v>
      </c>
      <c r="BG238" s="1" t="e">
        <f>BF238/VLOOKUP(A238,'[60]geoMap (57)'!$A:$B,2,0)*VLOOKUP(A238,'[60]geoMap (57)'!$A:$C,3,0)</f>
        <v>#REF!</v>
      </c>
      <c r="BH238" s="1" t="e">
        <f>BG238/VLOOKUP(A238,'[61]geoMap (58)'!$A:$B,2,0)*VLOOKUP(A238,'[61]geoMap (58)'!$A:$C,3,0)</f>
        <v>#REF!</v>
      </c>
      <c r="BI238" s="1" t="e">
        <f>BH238/VLOOKUP(A238,'[62]geoMap (59)'!$A:$B,2,0)*VLOOKUP(A238,'[62]geoMap (59)'!$A:$C,3,0)</f>
        <v>#REF!</v>
      </c>
      <c r="BJ238" s="1" t="e">
        <f>BI238/VLOOKUP(A238,'[63]geoMap (60)'!$A:$B,2,0)*VLOOKUP(A238,'[63]geoMap (60)'!$A:$C,3,0)</f>
        <v>#REF!</v>
      </c>
      <c r="BK238" s="1" t="e">
        <f>BJ238/VLOOKUP(A238,'[64]geoMap (61)'!$A:$B,2,0)*VLOOKUP(A238,'[64]geoMap (61)'!$A:$C,3,0)</f>
        <v>#REF!</v>
      </c>
      <c r="BL238" s="1" t="e">
        <f>BK238/VLOOKUP(A238,'[65]geoMap (62)'!$A:$B,2,0)*VLOOKUP(A238,'[65]geoMap (62)'!$A:$C,3,0)</f>
        <v>#REF!</v>
      </c>
      <c r="BM238" s="1" t="e">
        <f>BL238/VLOOKUP(A238,'[66]geoMap (63)'!$A:$B,2,0)*VLOOKUP(A238,'[66]geoMap (63)'!$A:$C,3,0)</f>
        <v>#REF!</v>
      </c>
      <c r="BN238" s="1" t="e">
        <f>BM238/VLOOKUP(A238,'[67]geoMap (64)'!$A:$B,2,0)*VLOOKUP(A238,'[67]geoMap (64)'!$A:$C,3,0)</f>
        <v>#REF!</v>
      </c>
      <c r="BO238" s="1" t="e">
        <f>BN238/VLOOKUP(A238,'[68]geoMap (65)'!$A:$B,2,0)*VLOOKUP(A238,'[68]geoMap (65)'!$A:$C,3,0)</f>
        <v>#REF!</v>
      </c>
      <c r="BP238" s="1" t="e">
        <f>BO238/VLOOKUP(A238,'[69]geoMap (66)'!$A:$B,2,0)*VLOOKUP(A238,'[69]geoMap (66)'!$A:$C,3,0)</f>
        <v>#REF!</v>
      </c>
    </row>
    <row r="239" spans="1:68" hidden="1" x14ac:dyDescent="0.2">
      <c r="A239" s="1" t="s">
        <v>241</v>
      </c>
      <c r="B239" s="1" t="e">
        <f>VLOOKUP(A239,[3]geoMap!$A:$B,2,0)*Notes!$C$6</f>
        <v>#REF!</v>
      </c>
      <c r="C239" s="1" t="e">
        <f>B239/VLOOKUP(A239,'[4]geoMap (1)'!$A:$B,2,0)*VLOOKUP(A239,'[4]geoMap (1)'!$A:$C,3,0)</f>
        <v>#REF!</v>
      </c>
      <c r="D239" s="1" t="e">
        <f>C239/VLOOKUP(A239,'[5]geoMap (2)'!$A:$B,2,0)*VLOOKUP(A239,'[5]geoMap (2)'!$A:$C,3,0)</f>
        <v>#REF!</v>
      </c>
      <c r="E239" s="1" t="e">
        <f>D239/VLOOKUP(A239,'[6]geoMap (3)'!$A:$B,2,0)*VLOOKUP(A239,'[6]geoMap (3)'!$A:$C,3,0)</f>
        <v>#REF!</v>
      </c>
      <c r="F239" s="1" t="e">
        <f>E239/VLOOKUP(A239,'[7]geoMap (4)'!$A:$B,2,0)*VLOOKUP(A239,'[7]geoMap (4)'!$A:$C,3,0)</f>
        <v>#REF!</v>
      </c>
      <c r="G239" s="1" t="e">
        <f>F239/VLOOKUP(A239,'[8]geoMap (5)'!$A:$B,2,0)*VLOOKUP(A239,'[8]geoMap (5)'!$A:$C,3,0)</f>
        <v>#REF!</v>
      </c>
      <c r="H239" s="1" t="e">
        <f>G239/VLOOKUP(A239,'[9]geoMap (6)'!$A:$B,2,0)*VLOOKUP(A239,'[9]geoMap (6)'!$A:$C,3,0)</f>
        <v>#REF!</v>
      </c>
      <c r="I239" s="1" t="e">
        <f>H239/VLOOKUP(A239,'[10]geoMap (7)'!$A:$B,2,0)*VLOOKUP(A239,'[10]geoMap (7)'!$A:$C,3,0)</f>
        <v>#REF!</v>
      </c>
      <c r="J239" s="1" t="e">
        <f>I239/VLOOKUP(A239,'[11]geoMap (8)'!$A:$B,2,0)*VLOOKUP(A239,'[11]geoMap (8)'!$A:$C,3,0)</f>
        <v>#REF!</v>
      </c>
      <c r="K239" s="1" t="e">
        <f>J239/VLOOKUP(A239,'[12]geoMap (9)'!$A:$B,2,0)*VLOOKUP(A239,'[12]geoMap (9)'!$A:$C,3,0)</f>
        <v>#REF!</v>
      </c>
      <c r="L239" s="1" t="e">
        <f>K239/VLOOKUP(A239,'[13]geoMap (10)'!$A:$B,2,0)*VLOOKUP(A239,'[13]geoMap (10)'!$A:$C,3,0)</f>
        <v>#REF!</v>
      </c>
      <c r="M239" s="1" t="e">
        <f>L239/VLOOKUP(A239,'[14]geoMap (11)'!$A:$B,2,0)*VLOOKUP(A239,'[14]geoMap (11)'!$A:$C,3,0)</f>
        <v>#REF!</v>
      </c>
      <c r="N239" s="1" t="e">
        <f>M239/VLOOKUP(A239,'[15]geoMap (12)'!$A:$B,2,0)*VLOOKUP(A239,'[15]geoMap (12)'!$A:$C,3,0)</f>
        <v>#REF!</v>
      </c>
      <c r="O239" s="1" t="e">
        <f>N239/VLOOKUP(A239,'[16]geoMap (13)'!$A:$B,2,0)*VLOOKUP(A239,'[16]geoMap (13)'!$A:$C,3,0)</f>
        <v>#REF!</v>
      </c>
      <c r="P239" s="1" t="e">
        <f>O239/VLOOKUP(A239,'[17]geoMap (14)'!$A:$B,2,0)*VLOOKUP(A239,'[17]geoMap (14)'!$A:$C,3,0)</f>
        <v>#REF!</v>
      </c>
      <c r="Q239" s="1" t="e">
        <f>P239/VLOOKUP(A239,'[18]geoMap (15)'!$A:$B,2,0)*VLOOKUP(A239,'[18]geoMap (15)'!$A:$C,3,0)</f>
        <v>#REF!</v>
      </c>
      <c r="R239" s="1" t="e">
        <f>Q239/VLOOKUP(A239,'[19]geoMap (16)'!$A:$B,2,0)*VLOOKUP(A239,'[19]geoMap (16)'!$A:$C,3,0)</f>
        <v>#REF!</v>
      </c>
      <c r="S239" s="1" t="e">
        <f>R239/VLOOKUP(A239,'[20]geoMap (17)'!$A:$B,2,0)*VLOOKUP(A239,'[20]geoMap (17)'!$A:$C,3,0)</f>
        <v>#REF!</v>
      </c>
      <c r="T239" s="1" t="e">
        <f>S239/VLOOKUP(A239,'[21]geoMap (18)'!$A:$B,2,0)*VLOOKUP(A239,'[21]geoMap (18)'!$A:$C,3,0)</f>
        <v>#REF!</v>
      </c>
      <c r="U239" s="1" t="e">
        <f>T239/VLOOKUP(A239,'[22]geoMap (19)'!$A:$B,2,0)*VLOOKUP(A239,'[22]geoMap (19)'!$A:$C,3,0)</f>
        <v>#REF!</v>
      </c>
      <c r="V239" s="1" t="e">
        <f>U239/VLOOKUP(A239,'[23]geoMap (20)'!$A:$B,2,0)*VLOOKUP(A239,'[23]geoMap (20)'!$A:$C,3,0)</f>
        <v>#REF!</v>
      </c>
      <c r="W239" s="1" t="e">
        <f>V239/VLOOKUP(A239,'[24]geoMap (21)'!$A:$B,2,0)*VLOOKUP(A239,'[24]geoMap (21)'!$A:$C,3,0)</f>
        <v>#REF!</v>
      </c>
      <c r="X239" s="1" t="e">
        <f>W239/VLOOKUP(A239,'[25]geoMap (22)'!$A:$B,2,0)*VLOOKUP(A239,'[25]geoMap (22)'!$A:$C,3,0)</f>
        <v>#REF!</v>
      </c>
      <c r="Y239" s="1" t="e">
        <f>X239/VLOOKUP(A239,'[26]geoMap (23)'!$A:$B,2,0)*VLOOKUP(A239,'[26]geoMap (23)'!$A:$C,3,0)</f>
        <v>#REF!</v>
      </c>
      <c r="Z239" s="1" t="e">
        <f>Y239/VLOOKUP(A239,'[27]geoMap (24)'!$A:$B,2,0)*VLOOKUP(A239,'[27]geoMap (24)'!$A:$C,3,0)</f>
        <v>#REF!</v>
      </c>
      <c r="AA239" s="1" t="e">
        <f>Z239/VLOOKUP(A239,'[28]geoMap (25)'!$A:$B,2,0)*VLOOKUP(A239,'[28]geoMap (25)'!$A:$C,3,0)</f>
        <v>#REF!</v>
      </c>
      <c r="AB239" s="1" t="e">
        <f>AA239*VLOOKUP(A239,'[29]geoMap (26)'!$A:$B,2,0)*VLOOKUP(A239,'[29]geoMap (26)'!$A:$C,3,0)</f>
        <v>#REF!</v>
      </c>
      <c r="AC239" s="1" t="e">
        <f>AB239/VLOOKUP(A239,'[30]geoMap (27)'!$A:$B,2,0)*VLOOKUP(A239,'[30]geoMap (27)'!$A:$C,3,0)</f>
        <v>#REF!</v>
      </c>
      <c r="AD239" s="1" t="e">
        <f>AC239/VLOOKUP(A239,'[31]geoMap (28)'!$A:$B,2,0)*VLOOKUP(A239,'[31]geoMap (28)'!$A:$C,3,0)</f>
        <v>#REF!</v>
      </c>
      <c r="AE239" s="1" t="e">
        <f>AD239/VLOOKUP(A239,'[32]geoMap (29)'!$A:$B,2,0)*VLOOKUP(A239,'[32]geoMap (29)'!$A:$C,3,0)</f>
        <v>#REF!</v>
      </c>
      <c r="AF239" s="1" t="e">
        <f>AE239/VLOOKUP(A239,'[33]geoMap (30)'!$A:$B,2,0)*VLOOKUP(A239,'[33]geoMap (30)'!$A:$C,3,0)</f>
        <v>#REF!</v>
      </c>
      <c r="AG239" s="1" t="e">
        <f>AF239/VLOOKUP(A239,'[34]geoMap (31)'!$A:$B,2,0)*VLOOKUP(A239,'[34]geoMap (31)'!$A:$C,3,0)</f>
        <v>#REF!</v>
      </c>
      <c r="AH239" s="1" t="e">
        <f>AG239/VLOOKUP(A239,'[35]geoMap (32)'!$A:$B,2,0)*VLOOKUP(A239,'[35]geoMap (32)'!$A:$C,3,0)</f>
        <v>#REF!</v>
      </c>
      <c r="AI239" s="1" t="e">
        <f>AH239/VLOOKUP(A239,'[36]geoMap (33)'!$A:$B,2,0)*VLOOKUP(A239,'[36]geoMap (33)'!$A:$C,3,0)</f>
        <v>#REF!</v>
      </c>
      <c r="AJ239" s="1" t="e">
        <f>AI239/VLOOKUP(A239,'[37]geoMap (34)'!$A:$B,2,0)*VLOOKUP(A239,'[37]geoMap (34)'!$A:$C,3,0)</f>
        <v>#REF!</v>
      </c>
      <c r="AK239" s="1" t="e">
        <f>AJ239/VLOOKUP(A239,'[38]geoMap (35)'!$A:$B,2,0)*VLOOKUP(A239,'[38]geoMap (35)'!$A:$C,3,0)</f>
        <v>#REF!</v>
      </c>
      <c r="AL239" s="1" t="e">
        <f>AK239/VLOOKUP(A239,'[39]geoMap (36)'!$A:$B,2,0)*VLOOKUP(A239,'[39]geoMap (36)'!$A:$C,3,0)</f>
        <v>#REF!</v>
      </c>
      <c r="AM239" s="1" t="e">
        <f>AL239/VLOOKUP(A239,'[40]geoMap (37)'!$A:$B,2,0)*VLOOKUP(A239,'[40]geoMap (37)'!$A:$C,3,0)</f>
        <v>#REF!</v>
      </c>
      <c r="AN239" s="1" t="e">
        <f>AM239/VLOOKUP(A239,'[41]geoMap (38)'!$A:$B,2,0)*VLOOKUP(A239,'[41]geoMap (38)'!$A:$C,3,0)</f>
        <v>#REF!</v>
      </c>
      <c r="AO239" s="1" t="e">
        <f>AN239/VLOOKUP(A239,'[42]geoMap (39)'!$A:$B,2,0)*VLOOKUP(A239,'[42]geoMap (39)'!$A:$C,3,0)</f>
        <v>#REF!</v>
      </c>
      <c r="AP239" s="1" t="e">
        <f>AO239/VLOOKUP(A239,'[43]geoMap (40)'!$A:$B,2,0)*VLOOKUP(A239,'[43]geoMap (40)'!$A:$C,3,0)</f>
        <v>#REF!</v>
      </c>
      <c r="AQ239" s="1" t="e">
        <f>AP239/VLOOKUP(A239,'[44]geoMap (41)'!$A:$B,2,0)*VLOOKUP(A239,'[44]geoMap (41)'!$A:$C,3,0)</f>
        <v>#REF!</v>
      </c>
      <c r="AR239" s="1" t="e">
        <f>AQ239/VLOOKUP(A239,'[45]geoMap (42)'!$A:$B,2,0)*VLOOKUP(A239,'[45]geoMap (42)'!$A:$C,3,0)</f>
        <v>#REF!</v>
      </c>
      <c r="AS239" s="1" t="e">
        <f>AR239/VLOOKUP(A239,'[46]geoMap (43)'!$A:$B,2,0)*VLOOKUP(A239,'[46]geoMap (43)'!$A:$C,3,0)</f>
        <v>#REF!</v>
      </c>
      <c r="AT239" s="1" t="e">
        <f>AS239/VLOOKUP(A239,'[47]geoMap (44)'!$A:$B,2,0)*VLOOKUP(A239,'[47]geoMap (44)'!$A:$C,3,0)</f>
        <v>#REF!</v>
      </c>
      <c r="AU239" s="1" t="e">
        <f>AT239/VLOOKUP(A239,'[48]geoMap (45)'!$A:$B,2,0)*VLOOKUP(A239,'[48]geoMap (45)'!$A:$C,3,0)</f>
        <v>#REF!</v>
      </c>
      <c r="AV239" s="1" t="e">
        <f>AU239/VLOOKUP(A239,'[49]geoMap (46)'!$A:$B,2,0)*VLOOKUP(A239,'[49]geoMap (46)'!$A:$C,3,0)</f>
        <v>#REF!</v>
      </c>
      <c r="AW239" s="1" t="e">
        <f>AV239/VLOOKUP(A239,'[50]geoMap (47)'!$A:$B,2,0)*VLOOKUP(A239,'[50]geoMap (47)'!$A:$C,3,0)</f>
        <v>#REF!</v>
      </c>
      <c r="AX239" s="1" t="e">
        <f>AW239/VLOOKUP(A239,'[51]geoMap (48)'!$A:$B,2,0)*VLOOKUP(A239,'[51]geoMap (48)'!$A:$C,3,0)</f>
        <v>#REF!</v>
      </c>
      <c r="AY239" s="1" t="e">
        <f>AX239/VLOOKUP(A239,'[52]geoMap (49)'!$A:$B,2,0)*VLOOKUP(A239,'[52]geoMap (49)'!$A:$C,3,0)</f>
        <v>#REF!</v>
      </c>
      <c r="AZ239" s="1" t="e">
        <f>AY239/VLOOKUP(A239,'[53]geoMap (50)'!$A:$B,2,0)*VLOOKUP(A239,'[53]geoMap (50)'!$A:$C,3,0)</f>
        <v>#REF!</v>
      </c>
      <c r="BA239" s="1" t="e">
        <f>AZ239/VLOOKUP(A239,'[54]geoMap (51)'!$A:$B,2,0)*VLOOKUP(A239,'[54]geoMap (51)'!$A:$C,3,0)</f>
        <v>#REF!</v>
      </c>
      <c r="BB239" s="1" t="e">
        <f>BA239/VLOOKUP(A239,'[55]geoMap (52)'!$A:$B,2,0)*VLOOKUP(A239,'[55]geoMap (52)'!$A:$C,3,0)</f>
        <v>#REF!</v>
      </c>
      <c r="BC239" s="1" t="e">
        <f>BB239/VLOOKUP(A239,'[56]geoMap (53)'!$A:$B,2,0)*VLOOKUP(A239,'[56]geoMap (53)'!$A:$C,3,0)</f>
        <v>#REF!</v>
      </c>
      <c r="BD239" s="1" t="e">
        <f>BC239/VLOOKUP(A239,'[57]geoMap (54)'!$A:$B,2,0)*VLOOKUP(A239,'[57]geoMap (54)'!$A:$C,3,0)</f>
        <v>#REF!</v>
      </c>
      <c r="BE239" s="1" t="e">
        <f>BD239/VLOOKUP(A239,'[58]geoMap (55)'!$A:$B,2,0)*VLOOKUP(A239,'[58]geoMap (55)'!$A:$C,3,0)</f>
        <v>#REF!</v>
      </c>
      <c r="BF239" s="1" t="e">
        <f>BE239/VLOOKUP(A239,'[59]geoMap (56)'!$A:$B,2,0)*VLOOKUP(A239,'[59]geoMap (56)'!$A:$C,3,0)</f>
        <v>#REF!</v>
      </c>
      <c r="BG239" s="1" t="e">
        <f>BF239/VLOOKUP(A239,'[60]geoMap (57)'!$A:$B,2,0)*VLOOKUP(A239,'[60]geoMap (57)'!$A:$C,3,0)</f>
        <v>#REF!</v>
      </c>
      <c r="BH239" s="1" t="e">
        <f>BG239/VLOOKUP(A239,'[61]geoMap (58)'!$A:$B,2,0)*VLOOKUP(A239,'[61]geoMap (58)'!$A:$C,3,0)</f>
        <v>#REF!</v>
      </c>
      <c r="BI239" s="1" t="e">
        <f>BH239/VLOOKUP(A239,'[62]geoMap (59)'!$A:$B,2,0)*VLOOKUP(A239,'[62]geoMap (59)'!$A:$C,3,0)</f>
        <v>#REF!</v>
      </c>
      <c r="BJ239" s="1" t="e">
        <f>BI239/VLOOKUP(A239,'[63]geoMap (60)'!$A:$B,2,0)*VLOOKUP(A239,'[63]geoMap (60)'!$A:$C,3,0)</f>
        <v>#REF!</v>
      </c>
      <c r="BK239" s="1" t="e">
        <f>BJ239/VLOOKUP(A239,'[64]geoMap (61)'!$A:$B,2,0)*VLOOKUP(A239,'[64]geoMap (61)'!$A:$C,3,0)</f>
        <v>#REF!</v>
      </c>
      <c r="BL239" s="1" t="e">
        <f>BK239/VLOOKUP(A239,'[65]geoMap (62)'!$A:$B,2,0)*VLOOKUP(A239,'[65]geoMap (62)'!$A:$C,3,0)</f>
        <v>#REF!</v>
      </c>
      <c r="BM239" s="1" t="e">
        <f>BL239/VLOOKUP(A239,'[66]geoMap (63)'!$A:$B,2,0)*VLOOKUP(A239,'[66]geoMap (63)'!$A:$C,3,0)</f>
        <v>#REF!</v>
      </c>
      <c r="BN239" s="1" t="e">
        <f>BM239/VLOOKUP(A239,'[67]geoMap (64)'!$A:$B,2,0)*VLOOKUP(A239,'[67]geoMap (64)'!$A:$C,3,0)</f>
        <v>#REF!</v>
      </c>
      <c r="BO239" s="1" t="e">
        <f>BN239/VLOOKUP(A239,'[68]geoMap (65)'!$A:$B,2,0)*VLOOKUP(A239,'[68]geoMap (65)'!$A:$C,3,0)</f>
        <v>#REF!</v>
      </c>
      <c r="BP239" s="1" t="e">
        <f>BO239/VLOOKUP(A239,'[69]geoMap (66)'!$A:$B,2,0)*VLOOKUP(A239,'[69]geoMap (66)'!$A:$C,3,0)</f>
        <v>#REF!</v>
      </c>
    </row>
    <row r="240" spans="1:68" hidden="1" x14ac:dyDescent="0.2">
      <c r="A240" s="1" t="s">
        <v>242</v>
      </c>
      <c r="B240" s="1" t="e">
        <f>VLOOKUP(A240,[3]geoMap!$A:$B,2,0)*Notes!$C$6</f>
        <v>#REF!</v>
      </c>
      <c r="C240" s="1" t="e">
        <f>B240/VLOOKUP(A240,'[4]geoMap (1)'!$A:$B,2,0)*VLOOKUP(A240,'[4]geoMap (1)'!$A:$C,3,0)</f>
        <v>#REF!</v>
      </c>
      <c r="D240" s="1" t="e">
        <f>C240/VLOOKUP(A240,'[5]geoMap (2)'!$A:$B,2,0)*VLOOKUP(A240,'[5]geoMap (2)'!$A:$C,3,0)</f>
        <v>#REF!</v>
      </c>
      <c r="E240" s="1" t="e">
        <f>D240/VLOOKUP(A240,'[6]geoMap (3)'!$A:$B,2,0)*VLOOKUP(A240,'[6]geoMap (3)'!$A:$C,3,0)</f>
        <v>#REF!</v>
      </c>
      <c r="F240" s="1" t="e">
        <f>E240/VLOOKUP(A240,'[7]geoMap (4)'!$A:$B,2,0)*VLOOKUP(A240,'[7]geoMap (4)'!$A:$C,3,0)</f>
        <v>#REF!</v>
      </c>
      <c r="G240" s="1" t="e">
        <f>F240/VLOOKUP(A240,'[8]geoMap (5)'!$A:$B,2,0)*VLOOKUP(A240,'[8]geoMap (5)'!$A:$C,3,0)</f>
        <v>#REF!</v>
      </c>
      <c r="H240" s="1" t="e">
        <f>G240/VLOOKUP(A240,'[9]geoMap (6)'!$A:$B,2,0)*VLOOKUP(A240,'[9]geoMap (6)'!$A:$C,3,0)</f>
        <v>#REF!</v>
      </c>
      <c r="I240" s="1" t="e">
        <f>H240/VLOOKUP(A240,'[10]geoMap (7)'!$A:$B,2,0)*VLOOKUP(A240,'[10]geoMap (7)'!$A:$C,3,0)</f>
        <v>#REF!</v>
      </c>
      <c r="J240" s="1" t="e">
        <f>I240/VLOOKUP(A240,'[11]geoMap (8)'!$A:$B,2,0)*VLOOKUP(A240,'[11]geoMap (8)'!$A:$C,3,0)</f>
        <v>#REF!</v>
      </c>
      <c r="K240" s="1" t="e">
        <f>J240/VLOOKUP(A240,'[12]geoMap (9)'!$A:$B,2,0)*VLOOKUP(A240,'[12]geoMap (9)'!$A:$C,3,0)</f>
        <v>#REF!</v>
      </c>
      <c r="L240" s="1" t="e">
        <f>K240/VLOOKUP(A240,'[13]geoMap (10)'!$A:$B,2,0)*VLOOKUP(A240,'[13]geoMap (10)'!$A:$C,3,0)</f>
        <v>#REF!</v>
      </c>
      <c r="M240" s="1" t="e">
        <f>L240/VLOOKUP(A240,'[14]geoMap (11)'!$A:$B,2,0)*VLOOKUP(A240,'[14]geoMap (11)'!$A:$C,3,0)</f>
        <v>#REF!</v>
      </c>
      <c r="N240" s="1" t="e">
        <f>M240/VLOOKUP(A240,'[15]geoMap (12)'!$A:$B,2,0)*VLOOKUP(A240,'[15]geoMap (12)'!$A:$C,3,0)</f>
        <v>#REF!</v>
      </c>
      <c r="O240" s="1" t="e">
        <f>N240/VLOOKUP(A240,'[16]geoMap (13)'!$A:$B,2,0)*VLOOKUP(A240,'[16]geoMap (13)'!$A:$C,3,0)</f>
        <v>#REF!</v>
      </c>
      <c r="P240" s="1" t="e">
        <f>O240/VLOOKUP(A240,'[17]geoMap (14)'!$A:$B,2,0)*VLOOKUP(A240,'[17]geoMap (14)'!$A:$C,3,0)</f>
        <v>#REF!</v>
      </c>
      <c r="Q240" s="1" t="e">
        <f>P240/VLOOKUP(A240,'[18]geoMap (15)'!$A:$B,2,0)*VLOOKUP(A240,'[18]geoMap (15)'!$A:$C,3,0)</f>
        <v>#REF!</v>
      </c>
      <c r="R240" s="1" t="e">
        <f>Q240/VLOOKUP(A240,'[19]geoMap (16)'!$A:$B,2,0)*VLOOKUP(A240,'[19]geoMap (16)'!$A:$C,3,0)</f>
        <v>#REF!</v>
      </c>
      <c r="S240" s="1" t="e">
        <f>R240/VLOOKUP(A240,'[20]geoMap (17)'!$A:$B,2,0)*VLOOKUP(A240,'[20]geoMap (17)'!$A:$C,3,0)</f>
        <v>#REF!</v>
      </c>
      <c r="T240" s="1" t="e">
        <f>S240/VLOOKUP(A240,'[21]geoMap (18)'!$A:$B,2,0)*VLOOKUP(A240,'[21]geoMap (18)'!$A:$C,3,0)</f>
        <v>#REF!</v>
      </c>
      <c r="U240" s="1" t="e">
        <f>T240/VLOOKUP(A240,'[22]geoMap (19)'!$A:$B,2,0)*VLOOKUP(A240,'[22]geoMap (19)'!$A:$C,3,0)</f>
        <v>#REF!</v>
      </c>
      <c r="V240" s="1" t="e">
        <f>U240/VLOOKUP(A240,'[23]geoMap (20)'!$A:$B,2,0)*VLOOKUP(A240,'[23]geoMap (20)'!$A:$C,3,0)</f>
        <v>#REF!</v>
      </c>
      <c r="W240" s="1" t="e">
        <f>V240/VLOOKUP(A240,'[24]geoMap (21)'!$A:$B,2,0)*VLOOKUP(A240,'[24]geoMap (21)'!$A:$C,3,0)</f>
        <v>#REF!</v>
      </c>
      <c r="X240" s="1" t="e">
        <f>W240/VLOOKUP(A240,'[25]geoMap (22)'!$A:$B,2,0)*VLOOKUP(A240,'[25]geoMap (22)'!$A:$C,3,0)</f>
        <v>#REF!</v>
      </c>
      <c r="Y240" s="1" t="e">
        <f>X240/VLOOKUP(A240,'[26]geoMap (23)'!$A:$B,2,0)*VLOOKUP(A240,'[26]geoMap (23)'!$A:$C,3,0)</f>
        <v>#REF!</v>
      </c>
      <c r="Z240" s="1" t="e">
        <f>Y240/VLOOKUP(A240,'[27]geoMap (24)'!$A:$B,2,0)*VLOOKUP(A240,'[27]geoMap (24)'!$A:$C,3,0)</f>
        <v>#REF!</v>
      </c>
      <c r="AA240" s="1" t="e">
        <f>Z240/VLOOKUP(A240,'[28]geoMap (25)'!$A:$B,2,0)*VLOOKUP(A240,'[28]geoMap (25)'!$A:$C,3,0)</f>
        <v>#REF!</v>
      </c>
      <c r="AB240" s="1" t="e">
        <f>AA240*VLOOKUP(A240,'[29]geoMap (26)'!$A:$B,2,0)*VLOOKUP(A240,'[29]geoMap (26)'!$A:$C,3,0)</f>
        <v>#REF!</v>
      </c>
      <c r="AC240" s="1" t="e">
        <f>AB240/VLOOKUP(A240,'[30]geoMap (27)'!$A:$B,2,0)*VLOOKUP(A240,'[30]geoMap (27)'!$A:$C,3,0)</f>
        <v>#REF!</v>
      </c>
      <c r="AD240" s="1" t="e">
        <f>AC240/VLOOKUP(A240,'[31]geoMap (28)'!$A:$B,2,0)*VLOOKUP(A240,'[31]geoMap (28)'!$A:$C,3,0)</f>
        <v>#REF!</v>
      </c>
      <c r="AE240" s="1" t="e">
        <f>AD240/VLOOKUP(A240,'[32]geoMap (29)'!$A:$B,2,0)*VLOOKUP(A240,'[32]geoMap (29)'!$A:$C,3,0)</f>
        <v>#REF!</v>
      </c>
      <c r="AF240" s="1" t="e">
        <f>AE240/VLOOKUP(A240,'[33]geoMap (30)'!$A:$B,2,0)*VLOOKUP(A240,'[33]geoMap (30)'!$A:$C,3,0)</f>
        <v>#REF!</v>
      </c>
      <c r="AG240" s="1" t="e">
        <f>AF240/VLOOKUP(A240,'[34]geoMap (31)'!$A:$B,2,0)*VLOOKUP(A240,'[34]geoMap (31)'!$A:$C,3,0)</f>
        <v>#REF!</v>
      </c>
      <c r="AH240" s="1" t="e">
        <f>AG240/VLOOKUP(A240,'[35]geoMap (32)'!$A:$B,2,0)*VLOOKUP(A240,'[35]geoMap (32)'!$A:$C,3,0)</f>
        <v>#REF!</v>
      </c>
      <c r="AI240" s="1" t="e">
        <f>AH240/VLOOKUP(A240,'[36]geoMap (33)'!$A:$B,2,0)*VLOOKUP(A240,'[36]geoMap (33)'!$A:$C,3,0)</f>
        <v>#REF!</v>
      </c>
      <c r="AJ240" s="1" t="e">
        <f>AI240/VLOOKUP(A240,'[37]geoMap (34)'!$A:$B,2,0)*VLOOKUP(A240,'[37]geoMap (34)'!$A:$C,3,0)</f>
        <v>#REF!</v>
      </c>
      <c r="AK240" s="1" t="e">
        <f>AJ240/VLOOKUP(A240,'[38]geoMap (35)'!$A:$B,2,0)*VLOOKUP(A240,'[38]geoMap (35)'!$A:$C,3,0)</f>
        <v>#REF!</v>
      </c>
      <c r="AL240" s="1" t="e">
        <f>AK240/VLOOKUP(A240,'[39]geoMap (36)'!$A:$B,2,0)*VLOOKUP(A240,'[39]geoMap (36)'!$A:$C,3,0)</f>
        <v>#REF!</v>
      </c>
      <c r="AM240" s="1" t="e">
        <f>AL240/VLOOKUP(A240,'[40]geoMap (37)'!$A:$B,2,0)*VLOOKUP(A240,'[40]geoMap (37)'!$A:$C,3,0)</f>
        <v>#REF!</v>
      </c>
      <c r="AN240" s="1" t="e">
        <f>AM240/VLOOKUP(A240,'[41]geoMap (38)'!$A:$B,2,0)*VLOOKUP(A240,'[41]geoMap (38)'!$A:$C,3,0)</f>
        <v>#REF!</v>
      </c>
      <c r="AO240" s="1" t="e">
        <f>AN240/VLOOKUP(A240,'[42]geoMap (39)'!$A:$B,2,0)*VLOOKUP(A240,'[42]geoMap (39)'!$A:$C,3,0)</f>
        <v>#REF!</v>
      </c>
      <c r="AP240" s="1" t="e">
        <f>AO240/VLOOKUP(A240,'[43]geoMap (40)'!$A:$B,2,0)*VLOOKUP(A240,'[43]geoMap (40)'!$A:$C,3,0)</f>
        <v>#REF!</v>
      </c>
      <c r="AQ240" s="1" t="e">
        <f>AP240/VLOOKUP(A240,'[44]geoMap (41)'!$A:$B,2,0)*VLOOKUP(A240,'[44]geoMap (41)'!$A:$C,3,0)</f>
        <v>#REF!</v>
      </c>
      <c r="AR240" s="1" t="e">
        <f>AQ240/VLOOKUP(A240,'[45]geoMap (42)'!$A:$B,2,0)*VLOOKUP(A240,'[45]geoMap (42)'!$A:$C,3,0)</f>
        <v>#REF!</v>
      </c>
      <c r="AS240" s="1" t="e">
        <f>AR240/VLOOKUP(A240,'[46]geoMap (43)'!$A:$B,2,0)*VLOOKUP(A240,'[46]geoMap (43)'!$A:$C,3,0)</f>
        <v>#REF!</v>
      </c>
      <c r="AT240" s="1" t="e">
        <f>AS240/VLOOKUP(A240,'[47]geoMap (44)'!$A:$B,2,0)*VLOOKUP(A240,'[47]geoMap (44)'!$A:$C,3,0)</f>
        <v>#REF!</v>
      </c>
      <c r="AU240" s="1" t="e">
        <f>AT240/VLOOKUP(A240,'[48]geoMap (45)'!$A:$B,2,0)*VLOOKUP(A240,'[48]geoMap (45)'!$A:$C,3,0)</f>
        <v>#REF!</v>
      </c>
      <c r="AV240" s="1" t="e">
        <f>AU240/VLOOKUP(A240,'[49]geoMap (46)'!$A:$B,2,0)*VLOOKUP(A240,'[49]geoMap (46)'!$A:$C,3,0)</f>
        <v>#REF!</v>
      </c>
      <c r="AW240" s="1" t="e">
        <f>AV240/VLOOKUP(A240,'[50]geoMap (47)'!$A:$B,2,0)*VLOOKUP(A240,'[50]geoMap (47)'!$A:$C,3,0)</f>
        <v>#REF!</v>
      </c>
      <c r="AX240" s="1" t="e">
        <f>AW240/VLOOKUP(A240,'[51]geoMap (48)'!$A:$B,2,0)*VLOOKUP(A240,'[51]geoMap (48)'!$A:$C,3,0)</f>
        <v>#REF!</v>
      </c>
      <c r="AY240" s="1" t="e">
        <f>AX240/VLOOKUP(A240,'[52]geoMap (49)'!$A:$B,2,0)*VLOOKUP(A240,'[52]geoMap (49)'!$A:$C,3,0)</f>
        <v>#REF!</v>
      </c>
      <c r="AZ240" s="1" t="e">
        <f>AY240/VLOOKUP(A240,'[53]geoMap (50)'!$A:$B,2,0)*VLOOKUP(A240,'[53]geoMap (50)'!$A:$C,3,0)</f>
        <v>#REF!</v>
      </c>
      <c r="BA240" s="1" t="e">
        <f>AZ240/VLOOKUP(A240,'[54]geoMap (51)'!$A:$B,2,0)*VLOOKUP(A240,'[54]geoMap (51)'!$A:$C,3,0)</f>
        <v>#REF!</v>
      </c>
      <c r="BB240" s="1" t="e">
        <f>BA240/VLOOKUP(A240,'[55]geoMap (52)'!$A:$B,2,0)*VLOOKUP(A240,'[55]geoMap (52)'!$A:$C,3,0)</f>
        <v>#REF!</v>
      </c>
      <c r="BC240" s="1" t="e">
        <f>BB240/VLOOKUP(A240,'[56]geoMap (53)'!$A:$B,2,0)*VLOOKUP(A240,'[56]geoMap (53)'!$A:$C,3,0)</f>
        <v>#REF!</v>
      </c>
      <c r="BD240" s="1" t="e">
        <f>BC240/VLOOKUP(A240,'[57]geoMap (54)'!$A:$B,2,0)*VLOOKUP(A240,'[57]geoMap (54)'!$A:$C,3,0)</f>
        <v>#REF!</v>
      </c>
      <c r="BE240" s="1" t="e">
        <f>BD240/VLOOKUP(A240,'[58]geoMap (55)'!$A:$B,2,0)*VLOOKUP(A240,'[58]geoMap (55)'!$A:$C,3,0)</f>
        <v>#REF!</v>
      </c>
      <c r="BF240" s="1" t="e">
        <f>BE240/VLOOKUP(A240,'[59]geoMap (56)'!$A:$B,2,0)*VLOOKUP(A240,'[59]geoMap (56)'!$A:$C,3,0)</f>
        <v>#REF!</v>
      </c>
      <c r="BG240" s="1" t="e">
        <f>BF240/VLOOKUP(A240,'[60]geoMap (57)'!$A:$B,2,0)*VLOOKUP(A240,'[60]geoMap (57)'!$A:$C,3,0)</f>
        <v>#REF!</v>
      </c>
      <c r="BH240" s="1" t="e">
        <f>BG240/VLOOKUP(A240,'[61]geoMap (58)'!$A:$B,2,0)*VLOOKUP(A240,'[61]geoMap (58)'!$A:$C,3,0)</f>
        <v>#REF!</v>
      </c>
      <c r="BI240" s="1" t="e">
        <f>BH240/VLOOKUP(A240,'[62]geoMap (59)'!$A:$B,2,0)*VLOOKUP(A240,'[62]geoMap (59)'!$A:$C,3,0)</f>
        <v>#REF!</v>
      </c>
      <c r="BJ240" s="1" t="e">
        <f>BI240/VLOOKUP(A240,'[63]geoMap (60)'!$A:$B,2,0)*VLOOKUP(A240,'[63]geoMap (60)'!$A:$C,3,0)</f>
        <v>#REF!</v>
      </c>
      <c r="BK240" s="1" t="e">
        <f>BJ240/VLOOKUP(A240,'[64]geoMap (61)'!$A:$B,2,0)*VLOOKUP(A240,'[64]geoMap (61)'!$A:$C,3,0)</f>
        <v>#REF!</v>
      </c>
      <c r="BL240" s="1" t="e">
        <f>BK240/VLOOKUP(A240,'[65]geoMap (62)'!$A:$B,2,0)*VLOOKUP(A240,'[65]geoMap (62)'!$A:$C,3,0)</f>
        <v>#REF!</v>
      </c>
      <c r="BM240" s="1" t="e">
        <f>BL240/VLOOKUP(A240,'[66]geoMap (63)'!$A:$B,2,0)*VLOOKUP(A240,'[66]geoMap (63)'!$A:$C,3,0)</f>
        <v>#REF!</v>
      </c>
      <c r="BN240" s="1" t="e">
        <f>BM240/VLOOKUP(A240,'[67]geoMap (64)'!$A:$B,2,0)*VLOOKUP(A240,'[67]geoMap (64)'!$A:$C,3,0)</f>
        <v>#REF!</v>
      </c>
      <c r="BO240" s="1" t="e">
        <f>BN240/VLOOKUP(A240,'[68]geoMap (65)'!$A:$B,2,0)*VLOOKUP(A240,'[68]geoMap (65)'!$A:$C,3,0)</f>
        <v>#REF!</v>
      </c>
      <c r="BP240" s="1" t="e">
        <f>BO240/VLOOKUP(A240,'[69]geoMap (66)'!$A:$B,2,0)*VLOOKUP(A240,'[69]geoMap (66)'!$A:$C,3,0)</f>
        <v>#REF!</v>
      </c>
    </row>
    <row r="241" spans="1:68" hidden="1" x14ac:dyDescent="0.2">
      <c r="A241" s="1" t="s">
        <v>243</v>
      </c>
      <c r="B241" s="1" t="e">
        <f>VLOOKUP(A241,[3]geoMap!$A:$B,2,0)*Notes!$C$6</f>
        <v>#REF!</v>
      </c>
      <c r="C241" s="1" t="e">
        <f>B241/VLOOKUP(A241,'[4]geoMap (1)'!$A:$B,2,0)*VLOOKUP(A241,'[4]geoMap (1)'!$A:$C,3,0)</f>
        <v>#REF!</v>
      </c>
      <c r="D241" s="1" t="e">
        <f>C241/VLOOKUP(A241,'[5]geoMap (2)'!$A:$B,2,0)*VLOOKUP(A241,'[5]geoMap (2)'!$A:$C,3,0)</f>
        <v>#REF!</v>
      </c>
      <c r="E241" s="1" t="e">
        <f>D241/VLOOKUP(A241,'[6]geoMap (3)'!$A:$B,2,0)*VLOOKUP(A241,'[6]geoMap (3)'!$A:$C,3,0)</f>
        <v>#REF!</v>
      </c>
      <c r="F241" s="1" t="e">
        <f>E241/VLOOKUP(A241,'[7]geoMap (4)'!$A:$B,2,0)*VLOOKUP(A241,'[7]geoMap (4)'!$A:$C,3,0)</f>
        <v>#REF!</v>
      </c>
      <c r="G241" s="1" t="e">
        <f>F241/VLOOKUP(A241,'[8]geoMap (5)'!$A:$B,2,0)*VLOOKUP(A241,'[8]geoMap (5)'!$A:$C,3,0)</f>
        <v>#REF!</v>
      </c>
      <c r="H241" s="1" t="e">
        <f>G241/VLOOKUP(A241,'[9]geoMap (6)'!$A:$B,2,0)*VLOOKUP(A241,'[9]geoMap (6)'!$A:$C,3,0)</f>
        <v>#REF!</v>
      </c>
      <c r="I241" s="1" t="e">
        <f>H241/VLOOKUP(A241,'[10]geoMap (7)'!$A:$B,2,0)*VLOOKUP(A241,'[10]geoMap (7)'!$A:$C,3,0)</f>
        <v>#REF!</v>
      </c>
      <c r="J241" s="1" t="e">
        <f>I241/VLOOKUP(A241,'[11]geoMap (8)'!$A:$B,2,0)*VLOOKUP(A241,'[11]geoMap (8)'!$A:$C,3,0)</f>
        <v>#REF!</v>
      </c>
      <c r="K241" s="1" t="e">
        <f>J241/VLOOKUP(A241,'[12]geoMap (9)'!$A:$B,2,0)*VLOOKUP(A241,'[12]geoMap (9)'!$A:$C,3,0)</f>
        <v>#REF!</v>
      </c>
      <c r="L241" s="1" t="e">
        <f>K241/VLOOKUP(A241,'[13]geoMap (10)'!$A:$B,2,0)*VLOOKUP(A241,'[13]geoMap (10)'!$A:$C,3,0)</f>
        <v>#REF!</v>
      </c>
      <c r="M241" s="1" t="e">
        <f>L241/VLOOKUP(A241,'[14]geoMap (11)'!$A:$B,2,0)*VLOOKUP(A241,'[14]geoMap (11)'!$A:$C,3,0)</f>
        <v>#REF!</v>
      </c>
      <c r="N241" s="1" t="e">
        <f>M241/VLOOKUP(A241,'[15]geoMap (12)'!$A:$B,2,0)*VLOOKUP(A241,'[15]geoMap (12)'!$A:$C,3,0)</f>
        <v>#REF!</v>
      </c>
      <c r="O241" s="1" t="e">
        <f>N241/VLOOKUP(A241,'[16]geoMap (13)'!$A:$B,2,0)*VLOOKUP(A241,'[16]geoMap (13)'!$A:$C,3,0)</f>
        <v>#REF!</v>
      </c>
      <c r="P241" s="1" t="e">
        <f>O241/VLOOKUP(A241,'[17]geoMap (14)'!$A:$B,2,0)*VLOOKUP(A241,'[17]geoMap (14)'!$A:$C,3,0)</f>
        <v>#REF!</v>
      </c>
      <c r="Q241" s="1" t="e">
        <f>P241/VLOOKUP(A241,'[18]geoMap (15)'!$A:$B,2,0)*VLOOKUP(A241,'[18]geoMap (15)'!$A:$C,3,0)</f>
        <v>#REF!</v>
      </c>
      <c r="R241" s="1" t="e">
        <f>Q241/VLOOKUP(A241,'[19]geoMap (16)'!$A:$B,2,0)*VLOOKUP(A241,'[19]geoMap (16)'!$A:$C,3,0)</f>
        <v>#REF!</v>
      </c>
      <c r="S241" s="1" t="e">
        <f>R241/VLOOKUP(A241,'[20]geoMap (17)'!$A:$B,2,0)*VLOOKUP(A241,'[20]geoMap (17)'!$A:$C,3,0)</f>
        <v>#REF!</v>
      </c>
      <c r="T241" s="1" t="e">
        <f>S241/VLOOKUP(A241,'[21]geoMap (18)'!$A:$B,2,0)*VLOOKUP(A241,'[21]geoMap (18)'!$A:$C,3,0)</f>
        <v>#REF!</v>
      </c>
      <c r="U241" s="1" t="e">
        <f>T241/VLOOKUP(A241,'[22]geoMap (19)'!$A:$B,2,0)*VLOOKUP(A241,'[22]geoMap (19)'!$A:$C,3,0)</f>
        <v>#REF!</v>
      </c>
      <c r="V241" s="1" t="e">
        <f>U241/VLOOKUP(A241,'[23]geoMap (20)'!$A:$B,2,0)*VLOOKUP(A241,'[23]geoMap (20)'!$A:$C,3,0)</f>
        <v>#REF!</v>
      </c>
      <c r="W241" s="1" t="e">
        <f>V241/VLOOKUP(A241,'[24]geoMap (21)'!$A:$B,2,0)*VLOOKUP(A241,'[24]geoMap (21)'!$A:$C,3,0)</f>
        <v>#REF!</v>
      </c>
      <c r="X241" s="1" t="e">
        <f>W241/VLOOKUP(A241,'[25]geoMap (22)'!$A:$B,2,0)*VLOOKUP(A241,'[25]geoMap (22)'!$A:$C,3,0)</f>
        <v>#REF!</v>
      </c>
      <c r="Y241" s="1" t="e">
        <f>X241/VLOOKUP(A241,'[26]geoMap (23)'!$A:$B,2,0)*VLOOKUP(A241,'[26]geoMap (23)'!$A:$C,3,0)</f>
        <v>#REF!</v>
      </c>
      <c r="Z241" s="1" t="e">
        <f>Y241/VLOOKUP(A241,'[27]geoMap (24)'!$A:$B,2,0)*VLOOKUP(A241,'[27]geoMap (24)'!$A:$C,3,0)</f>
        <v>#REF!</v>
      </c>
      <c r="AA241" s="1" t="e">
        <f>Z241/VLOOKUP(A241,'[28]geoMap (25)'!$A:$B,2,0)*VLOOKUP(A241,'[28]geoMap (25)'!$A:$C,3,0)</f>
        <v>#REF!</v>
      </c>
      <c r="AB241" s="1" t="e">
        <f>AA241*VLOOKUP(A241,'[29]geoMap (26)'!$A:$B,2,0)*VLOOKUP(A241,'[29]geoMap (26)'!$A:$C,3,0)</f>
        <v>#REF!</v>
      </c>
      <c r="AC241" s="1" t="e">
        <f>AB241/VLOOKUP(A241,'[30]geoMap (27)'!$A:$B,2,0)*VLOOKUP(A241,'[30]geoMap (27)'!$A:$C,3,0)</f>
        <v>#REF!</v>
      </c>
      <c r="AD241" s="1" t="e">
        <f>AC241/VLOOKUP(A241,'[31]geoMap (28)'!$A:$B,2,0)*VLOOKUP(A241,'[31]geoMap (28)'!$A:$C,3,0)</f>
        <v>#REF!</v>
      </c>
      <c r="AE241" s="1" t="e">
        <f>AD241/VLOOKUP(A241,'[32]geoMap (29)'!$A:$B,2,0)*VLOOKUP(A241,'[32]geoMap (29)'!$A:$C,3,0)</f>
        <v>#REF!</v>
      </c>
      <c r="AF241" s="1" t="e">
        <f>AE241/VLOOKUP(A241,'[33]geoMap (30)'!$A:$B,2,0)*VLOOKUP(A241,'[33]geoMap (30)'!$A:$C,3,0)</f>
        <v>#REF!</v>
      </c>
      <c r="AG241" s="1" t="e">
        <f>AF241/VLOOKUP(A241,'[34]geoMap (31)'!$A:$B,2,0)*VLOOKUP(A241,'[34]geoMap (31)'!$A:$C,3,0)</f>
        <v>#REF!</v>
      </c>
      <c r="AH241" s="1" t="e">
        <f>AG241/VLOOKUP(A241,'[35]geoMap (32)'!$A:$B,2,0)*VLOOKUP(A241,'[35]geoMap (32)'!$A:$C,3,0)</f>
        <v>#REF!</v>
      </c>
      <c r="AI241" s="1" t="e">
        <f>AH241/VLOOKUP(A241,'[36]geoMap (33)'!$A:$B,2,0)*VLOOKUP(A241,'[36]geoMap (33)'!$A:$C,3,0)</f>
        <v>#REF!</v>
      </c>
      <c r="AJ241" s="1" t="e">
        <f>AI241/VLOOKUP(A241,'[37]geoMap (34)'!$A:$B,2,0)*VLOOKUP(A241,'[37]geoMap (34)'!$A:$C,3,0)</f>
        <v>#REF!</v>
      </c>
      <c r="AK241" s="1" t="e">
        <f>AJ241/VLOOKUP(A241,'[38]geoMap (35)'!$A:$B,2,0)*VLOOKUP(A241,'[38]geoMap (35)'!$A:$C,3,0)</f>
        <v>#REF!</v>
      </c>
      <c r="AL241" s="1" t="e">
        <f>AK241/VLOOKUP(A241,'[39]geoMap (36)'!$A:$B,2,0)*VLOOKUP(A241,'[39]geoMap (36)'!$A:$C,3,0)</f>
        <v>#REF!</v>
      </c>
      <c r="AM241" s="1" t="e">
        <f>AL241/VLOOKUP(A241,'[40]geoMap (37)'!$A:$B,2,0)*VLOOKUP(A241,'[40]geoMap (37)'!$A:$C,3,0)</f>
        <v>#REF!</v>
      </c>
      <c r="AN241" s="1" t="e">
        <f>AM241/VLOOKUP(A241,'[41]geoMap (38)'!$A:$B,2,0)*VLOOKUP(A241,'[41]geoMap (38)'!$A:$C,3,0)</f>
        <v>#REF!</v>
      </c>
      <c r="AO241" s="1" t="e">
        <f>AN241/VLOOKUP(A241,'[42]geoMap (39)'!$A:$B,2,0)*VLOOKUP(A241,'[42]geoMap (39)'!$A:$C,3,0)</f>
        <v>#REF!</v>
      </c>
      <c r="AP241" s="1" t="e">
        <f>AO241/VLOOKUP(A241,'[43]geoMap (40)'!$A:$B,2,0)*VLOOKUP(A241,'[43]geoMap (40)'!$A:$C,3,0)</f>
        <v>#REF!</v>
      </c>
      <c r="AQ241" s="1" t="e">
        <f>AP241/VLOOKUP(A241,'[44]geoMap (41)'!$A:$B,2,0)*VLOOKUP(A241,'[44]geoMap (41)'!$A:$C,3,0)</f>
        <v>#REF!</v>
      </c>
      <c r="AR241" s="1" t="e">
        <f>AQ241/VLOOKUP(A241,'[45]geoMap (42)'!$A:$B,2,0)*VLOOKUP(A241,'[45]geoMap (42)'!$A:$C,3,0)</f>
        <v>#REF!</v>
      </c>
      <c r="AS241" s="1" t="e">
        <f>AR241/VLOOKUP(A241,'[46]geoMap (43)'!$A:$B,2,0)*VLOOKUP(A241,'[46]geoMap (43)'!$A:$C,3,0)</f>
        <v>#REF!</v>
      </c>
      <c r="AT241" s="1" t="e">
        <f>AS241/VLOOKUP(A241,'[47]geoMap (44)'!$A:$B,2,0)*VLOOKUP(A241,'[47]geoMap (44)'!$A:$C,3,0)</f>
        <v>#REF!</v>
      </c>
      <c r="AU241" s="1" t="e">
        <f>AT241/VLOOKUP(A241,'[48]geoMap (45)'!$A:$B,2,0)*VLOOKUP(A241,'[48]geoMap (45)'!$A:$C,3,0)</f>
        <v>#REF!</v>
      </c>
      <c r="AV241" s="1" t="e">
        <f>AU241/VLOOKUP(A241,'[49]geoMap (46)'!$A:$B,2,0)*VLOOKUP(A241,'[49]geoMap (46)'!$A:$C,3,0)</f>
        <v>#REF!</v>
      </c>
      <c r="AW241" s="1" t="e">
        <f>AV241/VLOOKUP(A241,'[50]geoMap (47)'!$A:$B,2,0)*VLOOKUP(A241,'[50]geoMap (47)'!$A:$C,3,0)</f>
        <v>#REF!</v>
      </c>
      <c r="AX241" s="1" t="e">
        <f>AW241/VLOOKUP(A241,'[51]geoMap (48)'!$A:$B,2,0)*VLOOKUP(A241,'[51]geoMap (48)'!$A:$C,3,0)</f>
        <v>#REF!</v>
      </c>
      <c r="AY241" s="1" t="e">
        <f>AX241/VLOOKUP(A241,'[52]geoMap (49)'!$A:$B,2,0)*VLOOKUP(A241,'[52]geoMap (49)'!$A:$C,3,0)</f>
        <v>#REF!</v>
      </c>
      <c r="AZ241" s="1" t="e">
        <f>AY241/VLOOKUP(A241,'[53]geoMap (50)'!$A:$B,2,0)*VLOOKUP(A241,'[53]geoMap (50)'!$A:$C,3,0)</f>
        <v>#REF!</v>
      </c>
      <c r="BA241" s="1" t="e">
        <f>AZ241/VLOOKUP(A241,'[54]geoMap (51)'!$A:$B,2,0)*VLOOKUP(A241,'[54]geoMap (51)'!$A:$C,3,0)</f>
        <v>#REF!</v>
      </c>
      <c r="BB241" s="1" t="e">
        <f>BA241/VLOOKUP(A241,'[55]geoMap (52)'!$A:$B,2,0)*VLOOKUP(A241,'[55]geoMap (52)'!$A:$C,3,0)</f>
        <v>#REF!</v>
      </c>
      <c r="BC241" s="1" t="e">
        <f>BB241/VLOOKUP(A241,'[56]geoMap (53)'!$A:$B,2,0)*VLOOKUP(A241,'[56]geoMap (53)'!$A:$C,3,0)</f>
        <v>#REF!</v>
      </c>
      <c r="BD241" s="1" t="e">
        <f>BC241/VLOOKUP(A241,'[57]geoMap (54)'!$A:$B,2,0)*VLOOKUP(A241,'[57]geoMap (54)'!$A:$C,3,0)</f>
        <v>#REF!</v>
      </c>
      <c r="BE241" s="1" t="e">
        <f>BD241/VLOOKUP(A241,'[58]geoMap (55)'!$A:$B,2,0)*VLOOKUP(A241,'[58]geoMap (55)'!$A:$C,3,0)</f>
        <v>#REF!</v>
      </c>
      <c r="BF241" s="1" t="e">
        <f>BE241/VLOOKUP(A241,'[59]geoMap (56)'!$A:$B,2,0)*VLOOKUP(A241,'[59]geoMap (56)'!$A:$C,3,0)</f>
        <v>#REF!</v>
      </c>
      <c r="BG241" s="1" t="e">
        <f>BF241/VLOOKUP(A241,'[60]geoMap (57)'!$A:$B,2,0)*VLOOKUP(A241,'[60]geoMap (57)'!$A:$C,3,0)</f>
        <v>#REF!</v>
      </c>
      <c r="BH241" s="1" t="e">
        <f>BG241/VLOOKUP(A241,'[61]geoMap (58)'!$A:$B,2,0)*VLOOKUP(A241,'[61]geoMap (58)'!$A:$C,3,0)</f>
        <v>#REF!</v>
      </c>
      <c r="BI241" s="1" t="e">
        <f>BH241/VLOOKUP(A241,'[62]geoMap (59)'!$A:$B,2,0)*VLOOKUP(A241,'[62]geoMap (59)'!$A:$C,3,0)</f>
        <v>#REF!</v>
      </c>
      <c r="BJ241" s="1" t="e">
        <f>BI241/VLOOKUP(A241,'[63]geoMap (60)'!$A:$B,2,0)*VLOOKUP(A241,'[63]geoMap (60)'!$A:$C,3,0)</f>
        <v>#REF!</v>
      </c>
      <c r="BK241" s="1" t="e">
        <f>BJ241/VLOOKUP(A241,'[64]geoMap (61)'!$A:$B,2,0)*VLOOKUP(A241,'[64]geoMap (61)'!$A:$C,3,0)</f>
        <v>#REF!</v>
      </c>
      <c r="BL241" s="1" t="e">
        <f>BK241/VLOOKUP(A241,'[65]geoMap (62)'!$A:$B,2,0)*VLOOKUP(A241,'[65]geoMap (62)'!$A:$C,3,0)</f>
        <v>#REF!</v>
      </c>
      <c r="BM241" s="1" t="e">
        <f>BL241/VLOOKUP(A241,'[66]geoMap (63)'!$A:$B,2,0)*VLOOKUP(A241,'[66]geoMap (63)'!$A:$C,3,0)</f>
        <v>#REF!</v>
      </c>
      <c r="BN241" s="1" t="e">
        <f>BM241/VLOOKUP(A241,'[67]geoMap (64)'!$A:$B,2,0)*VLOOKUP(A241,'[67]geoMap (64)'!$A:$C,3,0)</f>
        <v>#REF!</v>
      </c>
      <c r="BO241" s="1" t="e">
        <f>BN241/VLOOKUP(A241,'[68]geoMap (65)'!$A:$B,2,0)*VLOOKUP(A241,'[68]geoMap (65)'!$A:$C,3,0)</f>
        <v>#REF!</v>
      </c>
      <c r="BP241" s="1" t="e">
        <f>BO241/VLOOKUP(A241,'[69]geoMap (66)'!$A:$B,2,0)*VLOOKUP(A241,'[69]geoMap (66)'!$A:$C,3,0)</f>
        <v>#REF!</v>
      </c>
    </row>
    <row r="242" spans="1:68" hidden="1" x14ac:dyDescent="0.2">
      <c r="A242" s="1" t="s">
        <v>244</v>
      </c>
      <c r="B242" s="1" t="e">
        <f>VLOOKUP(A242,[3]geoMap!$A:$B,2,0)*Notes!$C$6</f>
        <v>#REF!</v>
      </c>
      <c r="C242" s="1" t="e">
        <f>B242/VLOOKUP(A242,'[4]geoMap (1)'!$A:$B,2,0)*VLOOKUP(A242,'[4]geoMap (1)'!$A:$C,3,0)</f>
        <v>#REF!</v>
      </c>
      <c r="D242" s="1" t="e">
        <f>C242/VLOOKUP(A242,'[5]geoMap (2)'!$A:$B,2,0)*VLOOKUP(A242,'[5]geoMap (2)'!$A:$C,3,0)</f>
        <v>#REF!</v>
      </c>
      <c r="E242" s="1" t="e">
        <f>D242/VLOOKUP(A242,'[6]geoMap (3)'!$A:$B,2,0)*VLOOKUP(A242,'[6]geoMap (3)'!$A:$C,3,0)</f>
        <v>#REF!</v>
      </c>
      <c r="F242" s="1" t="e">
        <f>E242/VLOOKUP(A242,'[7]geoMap (4)'!$A:$B,2,0)*VLOOKUP(A242,'[7]geoMap (4)'!$A:$C,3,0)</f>
        <v>#REF!</v>
      </c>
      <c r="G242" s="1" t="e">
        <f>F242/VLOOKUP(A242,'[8]geoMap (5)'!$A:$B,2,0)*VLOOKUP(A242,'[8]geoMap (5)'!$A:$C,3,0)</f>
        <v>#REF!</v>
      </c>
      <c r="H242" s="1" t="e">
        <f>G242/VLOOKUP(A242,'[9]geoMap (6)'!$A:$B,2,0)*VLOOKUP(A242,'[9]geoMap (6)'!$A:$C,3,0)</f>
        <v>#REF!</v>
      </c>
      <c r="I242" s="1" t="e">
        <f>H242/VLOOKUP(A242,'[10]geoMap (7)'!$A:$B,2,0)*VLOOKUP(A242,'[10]geoMap (7)'!$A:$C,3,0)</f>
        <v>#REF!</v>
      </c>
      <c r="J242" s="1" t="e">
        <f>I242/VLOOKUP(A242,'[11]geoMap (8)'!$A:$B,2,0)*VLOOKUP(A242,'[11]geoMap (8)'!$A:$C,3,0)</f>
        <v>#REF!</v>
      </c>
      <c r="K242" s="1" t="e">
        <f>J242/VLOOKUP(A242,'[12]geoMap (9)'!$A:$B,2,0)*VLOOKUP(A242,'[12]geoMap (9)'!$A:$C,3,0)</f>
        <v>#REF!</v>
      </c>
      <c r="L242" s="1" t="e">
        <f>K242/VLOOKUP(A242,'[13]geoMap (10)'!$A:$B,2,0)*VLOOKUP(A242,'[13]geoMap (10)'!$A:$C,3,0)</f>
        <v>#REF!</v>
      </c>
      <c r="M242" s="1" t="e">
        <f>L242/VLOOKUP(A242,'[14]geoMap (11)'!$A:$B,2,0)*VLOOKUP(A242,'[14]geoMap (11)'!$A:$C,3,0)</f>
        <v>#REF!</v>
      </c>
      <c r="N242" s="1" t="e">
        <f>M242/VLOOKUP(A242,'[15]geoMap (12)'!$A:$B,2,0)*VLOOKUP(A242,'[15]geoMap (12)'!$A:$C,3,0)</f>
        <v>#REF!</v>
      </c>
      <c r="O242" s="1" t="e">
        <f>N242/VLOOKUP(A242,'[16]geoMap (13)'!$A:$B,2,0)*VLOOKUP(A242,'[16]geoMap (13)'!$A:$C,3,0)</f>
        <v>#REF!</v>
      </c>
      <c r="P242" s="1" t="e">
        <f>O242/VLOOKUP(A242,'[17]geoMap (14)'!$A:$B,2,0)*VLOOKUP(A242,'[17]geoMap (14)'!$A:$C,3,0)</f>
        <v>#REF!</v>
      </c>
      <c r="Q242" s="1" t="e">
        <f>P242/VLOOKUP(A242,'[18]geoMap (15)'!$A:$B,2,0)*VLOOKUP(A242,'[18]geoMap (15)'!$A:$C,3,0)</f>
        <v>#REF!</v>
      </c>
      <c r="R242" s="1" t="e">
        <f>Q242/VLOOKUP(A242,'[19]geoMap (16)'!$A:$B,2,0)*VLOOKUP(A242,'[19]geoMap (16)'!$A:$C,3,0)</f>
        <v>#REF!</v>
      </c>
      <c r="S242" s="1" t="e">
        <f>R242/VLOOKUP(A242,'[20]geoMap (17)'!$A:$B,2,0)*VLOOKUP(A242,'[20]geoMap (17)'!$A:$C,3,0)</f>
        <v>#REF!</v>
      </c>
      <c r="T242" s="1" t="e">
        <f>S242/VLOOKUP(A242,'[21]geoMap (18)'!$A:$B,2,0)*VLOOKUP(A242,'[21]geoMap (18)'!$A:$C,3,0)</f>
        <v>#REF!</v>
      </c>
      <c r="U242" s="1" t="e">
        <f>T242/VLOOKUP(A242,'[22]geoMap (19)'!$A:$B,2,0)*VLOOKUP(A242,'[22]geoMap (19)'!$A:$C,3,0)</f>
        <v>#REF!</v>
      </c>
      <c r="V242" s="1" t="e">
        <f>U242/VLOOKUP(A242,'[23]geoMap (20)'!$A:$B,2,0)*VLOOKUP(A242,'[23]geoMap (20)'!$A:$C,3,0)</f>
        <v>#REF!</v>
      </c>
      <c r="W242" s="1" t="e">
        <f>V242/VLOOKUP(A242,'[24]geoMap (21)'!$A:$B,2,0)*VLOOKUP(A242,'[24]geoMap (21)'!$A:$C,3,0)</f>
        <v>#REF!</v>
      </c>
      <c r="X242" s="1" t="e">
        <f>W242/VLOOKUP(A242,'[25]geoMap (22)'!$A:$B,2,0)*VLOOKUP(A242,'[25]geoMap (22)'!$A:$C,3,0)</f>
        <v>#REF!</v>
      </c>
      <c r="Y242" s="1" t="e">
        <f>X242/VLOOKUP(A242,'[26]geoMap (23)'!$A:$B,2,0)*VLOOKUP(A242,'[26]geoMap (23)'!$A:$C,3,0)</f>
        <v>#REF!</v>
      </c>
      <c r="Z242" s="1" t="e">
        <f>Y242/VLOOKUP(A242,'[27]geoMap (24)'!$A:$B,2,0)*VLOOKUP(A242,'[27]geoMap (24)'!$A:$C,3,0)</f>
        <v>#REF!</v>
      </c>
      <c r="AA242" s="1" t="e">
        <f>Z242/VLOOKUP(A242,'[28]geoMap (25)'!$A:$B,2,0)*VLOOKUP(A242,'[28]geoMap (25)'!$A:$C,3,0)</f>
        <v>#REF!</v>
      </c>
      <c r="AB242" s="1" t="e">
        <f>AA242*VLOOKUP(A242,'[29]geoMap (26)'!$A:$B,2,0)*VLOOKUP(A242,'[29]geoMap (26)'!$A:$C,3,0)</f>
        <v>#REF!</v>
      </c>
      <c r="AC242" s="1" t="e">
        <f>AB242/VLOOKUP(A242,'[30]geoMap (27)'!$A:$B,2,0)*VLOOKUP(A242,'[30]geoMap (27)'!$A:$C,3,0)</f>
        <v>#REF!</v>
      </c>
      <c r="AD242" s="1" t="e">
        <f>AC242/VLOOKUP(A242,'[31]geoMap (28)'!$A:$B,2,0)*VLOOKUP(A242,'[31]geoMap (28)'!$A:$C,3,0)</f>
        <v>#REF!</v>
      </c>
      <c r="AE242" s="1" t="e">
        <f>AD242/VLOOKUP(A242,'[32]geoMap (29)'!$A:$B,2,0)*VLOOKUP(A242,'[32]geoMap (29)'!$A:$C,3,0)</f>
        <v>#REF!</v>
      </c>
      <c r="AF242" s="1" t="e">
        <f>AE242/VLOOKUP(A242,'[33]geoMap (30)'!$A:$B,2,0)*VLOOKUP(A242,'[33]geoMap (30)'!$A:$C,3,0)</f>
        <v>#REF!</v>
      </c>
      <c r="AG242" s="1" t="e">
        <f>AF242/VLOOKUP(A242,'[34]geoMap (31)'!$A:$B,2,0)*VLOOKUP(A242,'[34]geoMap (31)'!$A:$C,3,0)</f>
        <v>#REF!</v>
      </c>
      <c r="AH242" s="1" t="e">
        <f>AG242/VLOOKUP(A242,'[35]geoMap (32)'!$A:$B,2,0)*VLOOKUP(A242,'[35]geoMap (32)'!$A:$C,3,0)</f>
        <v>#REF!</v>
      </c>
      <c r="AI242" s="1" t="e">
        <f>AH242/VLOOKUP(A242,'[36]geoMap (33)'!$A:$B,2,0)*VLOOKUP(A242,'[36]geoMap (33)'!$A:$C,3,0)</f>
        <v>#REF!</v>
      </c>
      <c r="AJ242" s="1" t="e">
        <f>AI242/VLOOKUP(A242,'[37]geoMap (34)'!$A:$B,2,0)*VLOOKUP(A242,'[37]geoMap (34)'!$A:$C,3,0)</f>
        <v>#REF!</v>
      </c>
      <c r="AK242" s="1" t="e">
        <f>AJ242/VLOOKUP(A242,'[38]geoMap (35)'!$A:$B,2,0)*VLOOKUP(A242,'[38]geoMap (35)'!$A:$C,3,0)</f>
        <v>#REF!</v>
      </c>
      <c r="AL242" s="1" t="e">
        <f>AK242/VLOOKUP(A242,'[39]geoMap (36)'!$A:$B,2,0)*VLOOKUP(A242,'[39]geoMap (36)'!$A:$C,3,0)</f>
        <v>#REF!</v>
      </c>
      <c r="AM242" s="1" t="e">
        <f>AL242/VLOOKUP(A242,'[40]geoMap (37)'!$A:$B,2,0)*VLOOKUP(A242,'[40]geoMap (37)'!$A:$C,3,0)</f>
        <v>#REF!</v>
      </c>
      <c r="AN242" s="1" t="e">
        <f>AM242/VLOOKUP(A242,'[41]geoMap (38)'!$A:$B,2,0)*VLOOKUP(A242,'[41]geoMap (38)'!$A:$C,3,0)</f>
        <v>#REF!</v>
      </c>
      <c r="AO242" s="1" t="e">
        <f>AN242/VLOOKUP(A242,'[42]geoMap (39)'!$A:$B,2,0)*VLOOKUP(A242,'[42]geoMap (39)'!$A:$C,3,0)</f>
        <v>#REF!</v>
      </c>
      <c r="AP242" s="1" t="e">
        <f>AO242/VLOOKUP(A242,'[43]geoMap (40)'!$A:$B,2,0)*VLOOKUP(A242,'[43]geoMap (40)'!$A:$C,3,0)</f>
        <v>#REF!</v>
      </c>
      <c r="AQ242" s="1" t="e">
        <f>AP242/VLOOKUP(A242,'[44]geoMap (41)'!$A:$B,2,0)*VLOOKUP(A242,'[44]geoMap (41)'!$A:$C,3,0)</f>
        <v>#REF!</v>
      </c>
      <c r="AR242" s="1" t="e">
        <f>AQ242/VLOOKUP(A242,'[45]geoMap (42)'!$A:$B,2,0)*VLOOKUP(A242,'[45]geoMap (42)'!$A:$C,3,0)</f>
        <v>#REF!</v>
      </c>
      <c r="AS242" s="1" t="e">
        <f>AR242/VLOOKUP(A242,'[46]geoMap (43)'!$A:$B,2,0)*VLOOKUP(A242,'[46]geoMap (43)'!$A:$C,3,0)</f>
        <v>#REF!</v>
      </c>
      <c r="AT242" s="1" t="e">
        <f>AS242/VLOOKUP(A242,'[47]geoMap (44)'!$A:$B,2,0)*VLOOKUP(A242,'[47]geoMap (44)'!$A:$C,3,0)</f>
        <v>#REF!</v>
      </c>
      <c r="AU242" s="1" t="e">
        <f>AT242/VLOOKUP(A242,'[48]geoMap (45)'!$A:$B,2,0)*VLOOKUP(A242,'[48]geoMap (45)'!$A:$C,3,0)</f>
        <v>#REF!</v>
      </c>
      <c r="AV242" s="1" t="e">
        <f>AU242/VLOOKUP(A242,'[49]geoMap (46)'!$A:$B,2,0)*VLOOKUP(A242,'[49]geoMap (46)'!$A:$C,3,0)</f>
        <v>#REF!</v>
      </c>
      <c r="AW242" s="1" t="e">
        <f>AV242/VLOOKUP(A242,'[50]geoMap (47)'!$A:$B,2,0)*VLOOKUP(A242,'[50]geoMap (47)'!$A:$C,3,0)</f>
        <v>#REF!</v>
      </c>
      <c r="AX242" s="1" t="e">
        <f>AW242/VLOOKUP(A242,'[51]geoMap (48)'!$A:$B,2,0)*VLOOKUP(A242,'[51]geoMap (48)'!$A:$C,3,0)</f>
        <v>#REF!</v>
      </c>
      <c r="AY242" s="1" t="e">
        <f>AX242/VLOOKUP(A242,'[52]geoMap (49)'!$A:$B,2,0)*VLOOKUP(A242,'[52]geoMap (49)'!$A:$C,3,0)</f>
        <v>#REF!</v>
      </c>
      <c r="AZ242" s="1" t="e">
        <f>AY242/VLOOKUP(A242,'[53]geoMap (50)'!$A:$B,2,0)*VLOOKUP(A242,'[53]geoMap (50)'!$A:$C,3,0)</f>
        <v>#REF!</v>
      </c>
      <c r="BA242" s="1" t="e">
        <f>AZ242/VLOOKUP(A242,'[54]geoMap (51)'!$A:$B,2,0)*VLOOKUP(A242,'[54]geoMap (51)'!$A:$C,3,0)</f>
        <v>#REF!</v>
      </c>
      <c r="BB242" s="1" t="e">
        <f>BA242/VLOOKUP(A242,'[55]geoMap (52)'!$A:$B,2,0)*VLOOKUP(A242,'[55]geoMap (52)'!$A:$C,3,0)</f>
        <v>#REF!</v>
      </c>
      <c r="BC242" s="1" t="e">
        <f>BB242/VLOOKUP(A242,'[56]geoMap (53)'!$A:$B,2,0)*VLOOKUP(A242,'[56]geoMap (53)'!$A:$C,3,0)</f>
        <v>#REF!</v>
      </c>
      <c r="BD242" s="1" t="e">
        <f>BC242/VLOOKUP(A242,'[57]geoMap (54)'!$A:$B,2,0)*VLOOKUP(A242,'[57]geoMap (54)'!$A:$C,3,0)</f>
        <v>#REF!</v>
      </c>
      <c r="BE242" s="1" t="e">
        <f>BD242/VLOOKUP(A242,'[58]geoMap (55)'!$A:$B,2,0)*VLOOKUP(A242,'[58]geoMap (55)'!$A:$C,3,0)</f>
        <v>#REF!</v>
      </c>
      <c r="BF242" s="1" t="e">
        <f>BE242/VLOOKUP(A242,'[59]geoMap (56)'!$A:$B,2,0)*VLOOKUP(A242,'[59]geoMap (56)'!$A:$C,3,0)</f>
        <v>#REF!</v>
      </c>
      <c r="BG242" s="1" t="e">
        <f>BF242/VLOOKUP(A242,'[60]geoMap (57)'!$A:$B,2,0)*VLOOKUP(A242,'[60]geoMap (57)'!$A:$C,3,0)</f>
        <v>#REF!</v>
      </c>
      <c r="BH242" s="1" t="e">
        <f>BG242/VLOOKUP(A242,'[61]geoMap (58)'!$A:$B,2,0)*VLOOKUP(A242,'[61]geoMap (58)'!$A:$C,3,0)</f>
        <v>#REF!</v>
      </c>
      <c r="BI242" s="1" t="e">
        <f>BH242/VLOOKUP(A242,'[62]geoMap (59)'!$A:$B,2,0)*VLOOKUP(A242,'[62]geoMap (59)'!$A:$C,3,0)</f>
        <v>#REF!</v>
      </c>
      <c r="BJ242" s="1" t="e">
        <f>BI242/VLOOKUP(A242,'[63]geoMap (60)'!$A:$B,2,0)*VLOOKUP(A242,'[63]geoMap (60)'!$A:$C,3,0)</f>
        <v>#REF!</v>
      </c>
      <c r="BK242" s="1" t="e">
        <f>BJ242/VLOOKUP(A242,'[64]geoMap (61)'!$A:$B,2,0)*VLOOKUP(A242,'[64]geoMap (61)'!$A:$C,3,0)</f>
        <v>#REF!</v>
      </c>
      <c r="BL242" s="1" t="e">
        <f>BK242/VLOOKUP(A242,'[65]geoMap (62)'!$A:$B,2,0)*VLOOKUP(A242,'[65]geoMap (62)'!$A:$C,3,0)</f>
        <v>#REF!</v>
      </c>
      <c r="BM242" s="1" t="e">
        <f>BL242/VLOOKUP(A242,'[66]geoMap (63)'!$A:$B,2,0)*VLOOKUP(A242,'[66]geoMap (63)'!$A:$C,3,0)</f>
        <v>#REF!</v>
      </c>
      <c r="BN242" s="1" t="e">
        <f>BM242/VLOOKUP(A242,'[67]geoMap (64)'!$A:$B,2,0)*VLOOKUP(A242,'[67]geoMap (64)'!$A:$C,3,0)</f>
        <v>#REF!</v>
      </c>
      <c r="BO242" s="1" t="e">
        <f>BN242/VLOOKUP(A242,'[68]geoMap (65)'!$A:$B,2,0)*VLOOKUP(A242,'[68]geoMap (65)'!$A:$C,3,0)</f>
        <v>#REF!</v>
      </c>
      <c r="BP242" s="1" t="e">
        <f>BO242/VLOOKUP(A242,'[69]geoMap (66)'!$A:$B,2,0)*VLOOKUP(A242,'[69]geoMap (66)'!$A:$C,3,0)</f>
        <v>#REF!</v>
      </c>
    </row>
    <row r="243" spans="1:68" hidden="1" x14ac:dyDescent="0.2">
      <c r="A243" s="1" t="s">
        <v>245</v>
      </c>
      <c r="B243" s="1" t="e">
        <f>VLOOKUP(A243,[3]geoMap!$A:$B,2,0)*Notes!$C$6</f>
        <v>#REF!</v>
      </c>
      <c r="C243" s="1" t="e">
        <f>B243/VLOOKUP(A243,'[4]geoMap (1)'!$A:$B,2,0)*VLOOKUP(A243,'[4]geoMap (1)'!$A:$C,3,0)</f>
        <v>#REF!</v>
      </c>
      <c r="D243" s="1" t="e">
        <f>C243/VLOOKUP(A243,'[5]geoMap (2)'!$A:$B,2,0)*VLOOKUP(A243,'[5]geoMap (2)'!$A:$C,3,0)</f>
        <v>#REF!</v>
      </c>
      <c r="E243" s="1" t="e">
        <f>D243/VLOOKUP(A243,'[6]geoMap (3)'!$A:$B,2,0)*VLOOKUP(A243,'[6]geoMap (3)'!$A:$C,3,0)</f>
        <v>#REF!</v>
      </c>
      <c r="F243" s="1" t="e">
        <f>E243/VLOOKUP(A243,'[7]geoMap (4)'!$A:$B,2,0)*VLOOKUP(A243,'[7]geoMap (4)'!$A:$C,3,0)</f>
        <v>#REF!</v>
      </c>
      <c r="G243" s="1" t="e">
        <f>F243/VLOOKUP(A243,'[8]geoMap (5)'!$A:$B,2,0)*VLOOKUP(A243,'[8]geoMap (5)'!$A:$C,3,0)</f>
        <v>#REF!</v>
      </c>
      <c r="H243" s="1" t="e">
        <f>G243/VLOOKUP(A243,'[9]geoMap (6)'!$A:$B,2,0)*VLOOKUP(A243,'[9]geoMap (6)'!$A:$C,3,0)</f>
        <v>#REF!</v>
      </c>
      <c r="I243" s="1" t="e">
        <f>H243/VLOOKUP(A243,'[10]geoMap (7)'!$A:$B,2,0)*VLOOKUP(A243,'[10]geoMap (7)'!$A:$C,3,0)</f>
        <v>#REF!</v>
      </c>
      <c r="J243" s="1" t="e">
        <f>I243/VLOOKUP(A243,'[11]geoMap (8)'!$A:$B,2,0)*VLOOKUP(A243,'[11]geoMap (8)'!$A:$C,3,0)</f>
        <v>#REF!</v>
      </c>
      <c r="K243" s="1" t="e">
        <f>J243/VLOOKUP(A243,'[12]geoMap (9)'!$A:$B,2,0)*VLOOKUP(A243,'[12]geoMap (9)'!$A:$C,3,0)</f>
        <v>#REF!</v>
      </c>
      <c r="L243" s="1" t="e">
        <f>K243/VLOOKUP(A243,'[13]geoMap (10)'!$A:$B,2,0)*VLOOKUP(A243,'[13]geoMap (10)'!$A:$C,3,0)</f>
        <v>#REF!</v>
      </c>
      <c r="M243" s="1" t="e">
        <f>L243/VLOOKUP(A243,'[14]geoMap (11)'!$A:$B,2,0)*VLOOKUP(A243,'[14]geoMap (11)'!$A:$C,3,0)</f>
        <v>#REF!</v>
      </c>
      <c r="N243" s="1" t="e">
        <f>M243/VLOOKUP(A243,'[15]geoMap (12)'!$A:$B,2,0)*VLOOKUP(A243,'[15]geoMap (12)'!$A:$C,3,0)</f>
        <v>#REF!</v>
      </c>
      <c r="O243" s="1" t="e">
        <f>N243/VLOOKUP(A243,'[16]geoMap (13)'!$A:$B,2,0)*VLOOKUP(A243,'[16]geoMap (13)'!$A:$C,3,0)</f>
        <v>#REF!</v>
      </c>
      <c r="P243" s="1" t="e">
        <f>O243/VLOOKUP(A243,'[17]geoMap (14)'!$A:$B,2,0)*VLOOKUP(A243,'[17]geoMap (14)'!$A:$C,3,0)</f>
        <v>#REF!</v>
      </c>
      <c r="Q243" s="1" t="e">
        <f>P243/VLOOKUP(A243,'[18]geoMap (15)'!$A:$B,2,0)*VLOOKUP(A243,'[18]geoMap (15)'!$A:$C,3,0)</f>
        <v>#REF!</v>
      </c>
      <c r="R243" s="1" t="e">
        <f>Q243/VLOOKUP(A243,'[19]geoMap (16)'!$A:$B,2,0)*VLOOKUP(A243,'[19]geoMap (16)'!$A:$C,3,0)</f>
        <v>#REF!</v>
      </c>
      <c r="S243" s="1" t="e">
        <f>R243/VLOOKUP(A243,'[20]geoMap (17)'!$A:$B,2,0)*VLOOKUP(A243,'[20]geoMap (17)'!$A:$C,3,0)</f>
        <v>#REF!</v>
      </c>
      <c r="T243" s="1" t="e">
        <f>S243/VLOOKUP(A243,'[21]geoMap (18)'!$A:$B,2,0)*VLOOKUP(A243,'[21]geoMap (18)'!$A:$C,3,0)</f>
        <v>#REF!</v>
      </c>
      <c r="U243" s="1" t="e">
        <f>T243/VLOOKUP(A243,'[22]geoMap (19)'!$A:$B,2,0)*VLOOKUP(A243,'[22]geoMap (19)'!$A:$C,3,0)</f>
        <v>#REF!</v>
      </c>
      <c r="V243" s="1" t="e">
        <f>U243/VLOOKUP(A243,'[23]geoMap (20)'!$A:$B,2,0)*VLOOKUP(A243,'[23]geoMap (20)'!$A:$C,3,0)</f>
        <v>#REF!</v>
      </c>
      <c r="W243" s="1" t="e">
        <f>V243/VLOOKUP(A243,'[24]geoMap (21)'!$A:$B,2,0)*VLOOKUP(A243,'[24]geoMap (21)'!$A:$C,3,0)</f>
        <v>#REF!</v>
      </c>
      <c r="X243" s="1" t="e">
        <f>W243/VLOOKUP(A243,'[25]geoMap (22)'!$A:$B,2,0)*VLOOKUP(A243,'[25]geoMap (22)'!$A:$C,3,0)</f>
        <v>#REF!</v>
      </c>
      <c r="Y243" s="1" t="e">
        <f>X243/VLOOKUP(A243,'[26]geoMap (23)'!$A:$B,2,0)*VLOOKUP(A243,'[26]geoMap (23)'!$A:$C,3,0)</f>
        <v>#REF!</v>
      </c>
      <c r="Z243" s="1" t="e">
        <f>Y243/VLOOKUP(A243,'[27]geoMap (24)'!$A:$B,2,0)*VLOOKUP(A243,'[27]geoMap (24)'!$A:$C,3,0)</f>
        <v>#REF!</v>
      </c>
      <c r="AA243" s="1" t="e">
        <f>Z243/VLOOKUP(A243,'[28]geoMap (25)'!$A:$B,2,0)*VLOOKUP(A243,'[28]geoMap (25)'!$A:$C,3,0)</f>
        <v>#REF!</v>
      </c>
      <c r="AB243" s="1" t="e">
        <f>AA243*VLOOKUP(A243,'[29]geoMap (26)'!$A:$B,2,0)*VLOOKUP(A243,'[29]geoMap (26)'!$A:$C,3,0)</f>
        <v>#REF!</v>
      </c>
      <c r="AC243" s="1" t="e">
        <f>AB243/VLOOKUP(A243,'[30]geoMap (27)'!$A:$B,2,0)*VLOOKUP(A243,'[30]geoMap (27)'!$A:$C,3,0)</f>
        <v>#REF!</v>
      </c>
      <c r="AD243" s="1" t="e">
        <f>AC243/VLOOKUP(A243,'[31]geoMap (28)'!$A:$B,2,0)*VLOOKUP(A243,'[31]geoMap (28)'!$A:$C,3,0)</f>
        <v>#REF!</v>
      </c>
      <c r="AE243" s="1" t="e">
        <f>AD243/VLOOKUP(A243,'[32]geoMap (29)'!$A:$B,2,0)*VLOOKUP(A243,'[32]geoMap (29)'!$A:$C,3,0)</f>
        <v>#REF!</v>
      </c>
      <c r="AF243" s="1" t="e">
        <f>AE243/VLOOKUP(A243,'[33]geoMap (30)'!$A:$B,2,0)*VLOOKUP(A243,'[33]geoMap (30)'!$A:$C,3,0)</f>
        <v>#REF!</v>
      </c>
      <c r="AG243" s="1" t="e">
        <f>AF243/VLOOKUP(A243,'[34]geoMap (31)'!$A:$B,2,0)*VLOOKUP(A243,'[34]geoMap (31)'!$A:$C,3,0)</f>
        <v>#REF!</v>
      </c>
      <c r="AH243" s="1" t="e">
        <f>AG243/VLOOKUP(A243,'[35]geoMap (32)'!$A:$B,2,0)*VLOOKUP(A243,'[35]geoMap (32)'!$A:$C,3,0)</f>
        <v>#REF!</v>
      </c>
      <c r="AI243" s="1" t="e">
        <f>AH243/VLOOKUP(A243,'[36]geoMap (33)'!$A:$B,2,0)*VLOOKUP(A243,'[36]geoMap (33)'!$A:$C,3,0)</f>
        <v>#REF!</v>
      </c>
      <c r="AJ243" s="1" t="e">
        <f>AI243/VLOOKUP(A243,'[37]geoMap (34)'!$A:$B,2,0)*VLOOKUP(A243,'[37]geoMap (34)'!$A:$C,3,0)</f>
        <v>#REF!</v>
      </c>
      <c r="AK243" s="1" t="e">
        <f>AJ243/VLOOKUP(A243,'[38]geoMap (35)'!$A:$B,2,0)*VLOOKUP(A243,'[38]geoMap (35)'!$A:$C,3,0)</f>
        <v>#REF!</v>
      </c>
      <c r="AL243" s="1" t="e">
        <f>AK243/VLOOKUP(A243,'[39]geoMap (36)'!$A:$B,2,0)*VLOOKUP(A243,'[39]geoMap (36)'!$A:$C,3,0)</f>
        <v>#REF!</v>
      </c>
      <c r="AM243" s="1" t="e">
        <f>AL243/VLOOKUP(A243,'[40]geoMap (37)'!$A:$B,2,0)*VLOOKUP(A243,'[40]geoMap (37)'!$A:$C,3,0)</f>
        <v>#REF!</v>
      </c>
      <c r="AN243" s="1" t="e">
        <f>AM243/VLOOKUP(A243,'[41]geoMap (38)'!$A:$B,2,0)*VLOOKUP(A243,'[41]geoMap (38)'!$A:$C,3,0)</f>
        <v>#REF!</v>
      </c>
      <c r="AO243" s="1" t="e">
        <f>AN243/VLOOKUP(A243,'[42]geoMap (39)'!$A:$B,2,0)*VLOOKUP(A243,'[42]geoMap (39)'!$A:$C,3,0)</f>
        <v>#REF!</v>
      </c>
      <c r="AP243" s="1" t="e">
        <f>AO243/VLOOKUP(A243,'[43]geoMap (40)'!$A:$B,2,0)*VLOOKUP(A243,'[43]geoMap (40)'!$A:$C,3,0)</f>
        <v>#REF!</v>
      </c>
      <c r="AQ243" s="1" t="e">
        <f>AP243/VLOOKUP(A243,'[44]geoMap (41)'!$A:$B,2,0)*VLOOKUP(A243,'[44]geoMap (41)'!$A:$C,3,0)</f>
        <v>#REF!</v>
      </c>
      <c r="AR243" s="1" t="e">
        <f>AQ243/VLOOKUP(A243,'[45]geoMap (42)'!$A:$B,2,0)*VLOOKUP(A243,'[45]geoMap (42)'!$A:$C,3,0)</f>
        <v>#REF!</v>
      </c>
      <c r="AS243" s="1" t="e">
        <f>AR243/VLOOKUP(A243,'[46]geoMap (43)'!$A:$B,2,0)*VLOOKUP(A243,'[46]geoMap (43)'!$A:$C,3,0)</f>
        <v>#REF!</v>
      </c>
      <c r="AT243" s="1" t="e">
        <f>AS243/VLOOKUP(A243,'[47]geoMap (44)'!$A:$B,2,0)*VLOOKUP(A243,'[47]geoMap (44)'!$A:$C,3,0)</f>
        <v>#REF!</v>
      </c>
      <c r="AU243" s="1" t="e">
        <f>AT243/VLOOKUP(A243,'[48]geoMap (45)'!$A:$B,2,0)*VLOOKUP(A243,'[48]geoMap (45)'!$A:$C,3,0)</f>
        <v>#REF!</v>
      </c>
      <c r="AV243" s="1" t="e">
        <f>AU243/VLOOKUP(A243,'[49]geoMap (46)'!$A:$B,2,0)*VLOOKUP(A243,'[49]geoMap (46)'!$A:$C,3,0)</f>
        <v>#REF!</v>
      </c>
      <c r="AW243" s="1" t="e">
        <f>AV243/VLOOKUP(A243,'[50]geoMap (47)'!$A:$B,2,0)*VLOOKUP(A243,'[50]geoMap (47)'!$A:$C,3,0)</f>
        <v>#REF!</v>
      </c>
      <c r="AX243" s="1" t="e">
        <f>AW243/VLOOKUP(A243,'[51]geoMap (48)'!$A:$B,2,0)*VLOOKUP(A243,'[51]geoMap (48)'!$A:$C,3,0)</f>
        <v>#REF!</v>
      </c>
      <c r="AY243" s="1" t="e">
        <f>AX243/VLOOKUP(A243,'[52]geoMap (49)'!$A:$B,2,0)*VLOOKUP(A243,'[52]geoMap (49)'!$A:$C,3,0)</f>
        <v>#REF!</v>
      </c>
      <c r="AZ243" s="1" t="e">
        <f>AY243/VLOOKUP(A243,'[53]geoMap (50)'!$A:$B,2,0)*VLOOKUP(A243,'[53]geoMap (50)'!$A:$C,3,0)</f>
        <v>#REF!</v>
      </c>
      <c r="BA243" s="1" t="e">
        <f>AZ243/VLOOKUP(A243,'[54]geoMap (51)'!$A:$B,2,0)*VLOOKUP(A243,'[54]geoMap (51)'!$A:$C,3,0)</f>
        <v>#REF!</v>
      </c>
      <c r="BB243" s="1" t="e">
        <f>BA243/VLOOKUP(A243,'[55]geoMap (52)'!$A:$B,2,0)*VLOOKUP(A243,'[55]geoMap (52)'!$A:$C,3,0)</f>
        <v>#REF!</v>
      </c>
      <c r="BC243" s="1" t="e">
        <f>BB243/VLOOKUP(A243,'[56]geoMap (53)'!$A:$B,2,0)*VLOOKUP(A243,'[56]geoMap (53)'!$A:$C,3,0)</f>
        <v>#REF!</v>
      </c>
      <c r="BD243" s="1" t="e">
        <f>BC243/VLOOKUP(A243,'[57]geoMap (54)'!$A:$B,2,0)*VLOOKUP(A243,'[57]geoMap (54)'!$A:$C,3,0)</f>
        <v>#REF!</v>
      </c>
      <c r="BE243" s="1" t="e">
        <f>BD243/VLOOKUP(A243,'[58]geoMap (55)'!$A:$B,2,0)*VLOOKUP(A243,'[58]geoMap (55)'!$A:$C,3,0)</f>
        <v>#REF!</v>
      </c>
      <c r="BF243" s="1" t="e">
        <f>BE243/VLOOKUP(A243,'[59]geoMap (56)'!$A:$B,2,0)*VLOOKUP(A243,'[59]geoMap (56)'!$A:$C,3,0)</f>
        <v>#REF!</v>
      </c>
      <c r="BG243" s="1" t="e">
        <f>BF243/VLOOKUP(A243,'[60]geoMap (57)'!$A:$B,2,0)*VLOOKUP(A243,'[60]geoMap (57)'!$A:$C,3,0)</f>
        <v>#REF!</v>
      </c>
      <c r="BH243" s="1" t="e">
        <f>BG243/VLOOKUP(A243,'[61]geoMap (58)'!$A:$B,2,0)*VLOOKUP(A243,'[61]geoMap (58)'!$A:$C,3,0)</f>
        <v>#REF!</v>
      </c>
      <c r="BI243" s="1" t="e">
        <f>BH243/VLOOKUP(A243,'[62]geoMap (59)'!$A:$B,2,0)*VLOOKUP(A243,'[62]geoMap (59)'!$A:$C,3,0)</f>
        <v>#REF!</v>
      </c>
      <c r="BJ243" s="1" t="e">
        <f>BI243/VLOOKUP(A243,'[63]geoMap (60)'!$A:$B,2,0)*VLOOKUP(A243,'[63]geoMap (60)'!$A:$C,3,0)</f>
        <v>#REF!</v>
      </c>
      <c r="BK243" s="1" t="e">
        <f>BJ243/VLOOKUP(A243,'[64]geoMap (61)'!$A:$B,2,0)*VLOOKUP(A243,'[64]geoMap (61)'!$A:$C,3,0)</f>
        <v>#REF!</v>
      </c>
      <c r="BL243" s="1" t="e">
        <f>BK243/VLOOKUP(A243,'[65]geoMap (62)'!$A:$B,2,0)*VLOOKUP(A243,'[65]geoMap (62)'!$A:$C,3,0)</f>
        <v>#REF!</v>
      </c>
      <c r="BM243" s="1" t="e">
        <f>BL243/VLOOKUP(A243,'[66]geoMap (63)'!$A:$B,2,0)*VLOOKUP(A243,'[66]geoMap (63)'!$A:$C,3,0)</f>
        <v>#REF!</v>
      </c>
      <c r="BN243" s="1" t="e">
        <f>BM243/VLOOKUP(A243,'[67]geoMap (64)'!$A:$B,2,0)*VLOOKUP(A243,'[67]geoMap (64)'!$A:$C,3,0)</f>
        <v>#REF!</v>
      </c>
      <c r="BO243" s="1" t="e">
        <f>BN243/VLOOKUP(A243,'[68]geoMap (65)'!$A:$B,2,0)*VLOOKUP(A243,'[68]geoMap (65)'!$A:$C,3,0)</f>
        <v>#REF!</v>
      </c>
      <c r="BP243" s="1" t="e">
        <f>BO243/VLOOKUP(A243,'[69]geoMap (66)'!$A:$B,2,0)*VLOOKUP(A243,'[69]geoMap (66)'!$A:$C,3,0)</f>
        <v>#REF!</v>
      </c>
    </row>
    <row r="244" spans="1:68" hidden="1" x14ac:dyDescent="0.2">
      <c r="A244" s="1" t="s">
        <v>246</v>
      </c>
      <c r="B244" s="1" t="e">
        <f>VLOOKUP(A244,[3]geoMap!$A:$B,2,0)*Notes!$C$6</f>
        <v>#REF!</v>
      </c>
      <c r="C244" s="1" t="e">
        <f>B244/VLOOKUP(A244,'[4]geoMap (1)'!$A:$B,2,0)*VLOOKUP(A244,'[4]geoMap (1)'!$A:$C,3,0)</f>
        <v>#REF!</v>
      </c>
      <c r="D244" s="1" t="e">
        <f>C244/VLOOKUP(A244,'[5]geoMap (2)'!$A:$B,2,0)*VLOOKUP(A244,'[5]geoMap (2)'!$A:$C,3,0)</f>
        <v>#REF!</v>
      </c>
      <c r="E244" s="1" t="e">
        <f>D244/VLOOKUP(A244,'[6]geoMap (3)'!$A:$B,2,0)*VLOOKUP(A244,'[6]geoMap (3)'!$A:$C,3,0)</f>
        <v>#REF!</v>
      </c>
      <c r="F244" s="1" t="e">
        <f>E244/VLOOKUP(A244,'[7]geoMap (4)'!$A:$B,2,0)*VLOOKUP(A244,'[7]geoMap (4)'!$A:$C,3,0)</f>
        <v>#REF!</v>
      </c>
      <c r="G244" s="1" t="e">
        <f>F244/VLOOKUP(A244,'[8]geoMap (5)'!$A:$B,2,0)*VLOOKUP(A244,'[8]geoMap (5)'!$A:$C,3,0)</f>
        <v>#REF!</v>
      </c>
      <c r="H244" s="1" t="e">
        <f>G244/VLOOKUP(A244,'[9]geoMap (6)'!$A:$B,2,0)*VLOOKUP(A244,'[9]geoMap (6)'!$A:$C,3,0)</f>
        <v>#REF!</v>
      </c>
      <c r="I244" s="1" t="e">
        <f>H244/VLOOKUP(A244,'[10]geoMap (7)'!$A:$B,2,0)*VLOOKUP(A244,'[10]geoMap (7)'!$A:$C,3,0)</f>
        <v>#REF!</v>
      </c>
      <c r="J244" s="1" t="e">
        <f>I244/VLOOKUP(A244,'[11]geoMap (8)'!$A:$B,2,0)*VLOOKUP(A244,'[11]geoMap (8)'!$A:$C,3,0)</f>
        <v>#REF!</v>
      </c>
      <c r="K244" s="1" t="e">
        <f>J244/VLOOKUP(A244,'[12]geoMap (9)'!$A:$B,2,0)*VLOOKUP(A244,'[12]geoMap (9)'!$A:$C,3,0)</f>
        <v>#REF!</v>
      </c>
      <c r="L244" s="1" t="e">
        <f>K244/VLOOKUP(A244,'[13]geoMap (10)'!$A:$B,2,0)*VLOOKUP(A244,'[13]geoMap (10)'!$A:$C,3,0)</f>
        <v>#REF!</v>
      </c>
      <c r="M244" s="1" t="e">
        <f>L244/VLOOKUP(A244,'[14]geoMap (11)'!$A:$B,2,0)*VLOOKUP(A244,'[14]geoMap (11)'!$A:$C,3,0)</f>
        <v>#REF!</v>
      </c>
      <c r="N244" s="1" t="e">
        <f>M244/VLOOKUP(A244,'[15]geoMap (12)'!$A:$B,2,0)*VLOOKUP(A244,'[15]geoMap (12)'!$A:$C,3,0)</f>
        <v>#REF!</v>
      </c>
      <c r="O244" s="1" t="e">
        <f>N244/VLOOKUP(A244,'[16]geoMap (13)'!$A:$B,2,0)*VLOOKUP(A244,'[16]geoMap (13)'!$A:$C,3,0)</f>
        <v>#REF!</v>
      </c>
      <c r="P244" s="1" t="e">
        <f>O244/VLOOKUP(A244,'[17]geoMap (14)'!$A:$B,2,0)*VLOOKUP(A244,'[17]geoMap (14)'!$A:$C,3,0)</f>
        <v>#REF!</v>
      </c>
      <c r="Q244" s="1" t="e">
        <f>P244/VLOOKUP(A244,'[18]geoMap (15)'!$A:$B,2,0)*VLOOKUP(A244,'[18]geoMap (15)'!$A:$C,3,0)</f>
        <v>#REF!</v>
      </c>
      <c r="R244" s="1" t="e">
        <f>Q244/VLOOKUP(A244,'[19]geoMap (16)'!$A:$B,2,0)*VLOOKUP(A244,'[19]geoMap (16)'!$A:$C,3,0)</f>
        <v>#REF!</v>
      </c>
      <c r="S244" s="1" t="e">
        <f>R244/VLOOKUP(A244,'[20]geoMap (17)'!$A:$B,2,0)*VLOOKUP(A244,'[20]geoMap (17)'!$A:$C,3,0)</f>
        <v>#REF!</v>
      </c>
      <c r="T244" s="1" t="e">
        <f>S244/VLOOKUP(A244,'[21]geoMap (18)'!$A:$B,2,0)*VLOOKUP(A244,'[21]geoMap (18)'!$A:$C,3,0)</f>
        <v>#REF!</v>
      </c>
      <c r="U244" s="1" t="e">
        <f>T244/VLOOKUP(A244,'[22]geoMap (19)'!$A:$B,2,0)*VLOOKUP(A244,'[22]geoMap (19)'!$A:$C,3,0)</f>
        <v>#REF!</v>
      </c>
      <c r="V244" s="1" t="e">
        <f>U244/VLOOKUP(A244,'[23]geoMap (20)'!$A:$B,2,0)*VLOOKUP(A244,'[23]geoMap (20)'!$A:$C,3,0)</f>
        <v>#REF!</v>
      </c>
      <c r="W244" s="1" t="e">
        <f>V244/VLOOKUP(A244,'[24]geoMap (21)'!$A:$B,2,0)*VLOOKUP(A244,'[24]geoMap (21)'!$A:$C,3,0)</f>
        <v>#REF!</v>
      </c>
      <c r="X244" s="1" t="e">
        <f>W244/VLOOKUP(A244,'[25]geoMap (22)'!$A:$B,2,0)*VLOOKUP(A244,'[25]geoMap (22)'!$A:$C,3,0)</f>
        <v>#REF!</v>
      </c>
      <c r="Y244" s="1" t="e">
        <f>X244/VLOOKUP(A244,'[26]geoMap (23)'!$A:$B,2,0)*VLOOKUP(A244,'[26]geoMap (23)'!$A:$C,3,0)</f>
        <v>#REF!</v>
      </c>
      <c r="Z244" s="1" t="e">
        <f>Y244/VLOOKUP(A244,'[27]geoMap (24)'!$A:$B,2,0)*VLOOKUP(A244,'[27]geoMap (24)'!$A:$C,3,0)</f>
        <v>#REF!</v>
      </c>
      <c r="AA244" s="1" t="e">
        <f>Z244/VLOOKUP(A244,'[28]geoMap (25)'!$A:$B,2,0)*VLOOKUP(A244,'[28]geoMap (25)'!$A:$C,3,0)</f>
        <v>#REF!</v>
      </c>
      <c r="AB244" s="1" t="e">
        <f>AA244*VLOOKUP(A244,'[29]geoMap (26)'!$A:$B,2,0)*VLOOKUP(A244,'[29]geoMap (26)'!$A:$C,3,0)</f>
        <v>#REF!</v>
      </c>
      <c r="AC244" s="1" t="e">
        <f>AB244/VLOOKUP(A244,'[30]geoMap (27)'!$A:$B,2,0)*VLOOKUP(A244,'[30]geoMap (27)'!$A:$C,3,0)</f>
        <v>#REF!</v>
      </c>
      <c r="AD244" s="1" t="e">
        <f>AC244/VLOOKUP(A244,'[31]geoMap (28)'!$A:$B,2,0)*VLOOKUP(A244,'[31]geoMap (28)'!$A:$C,3,0)</f>
        <v>#REF!</v>
      </c>
      <c r="AE244" s="1" t="e">
        <f>AD244/VLOOKUP(A244,'[32]geoMap (29)'!$A:$B,2,0)*VLOOKUP(A244,'[32]geoMap (29)'!$A:$C,3,0)</f>
        <v>#REF!</v>
      </c>
      <c r="AF244" s="1" t="e">
        <f>AE244/VLOOKUP(A244,'[33]geoMap (30)'!$A:$B,2,0)*VLOOKUP(A244,'[33]geoMap (30)'!$A:$C,3,0)</f>
        <v>#REF!</v>
      </c>
      <c r="AG244" s="1" t="e">
        <f>AF244/VLOOKUP(A244,'[34]geoMap (31)'!$A:$B,2,0)*VLOOKUP(A244,'[34]geoMap (31)'!$A:$C,3,0)</f>
        <v>#REF!</v>
      </c>
      <c r="AH244" s="1" t="e">
        <f>AG244/VLOOKUP(A244,'[35]geoMap (32)'!$A:$B,2,0)*VLOOKUP(A244,'[35]geoMap (32)'!$A:$C,3,0)</f>
        <v>#REF!</v>
      </c>
      <c r="AI244" s="1" t="e">
        <f>AH244/VLOOKUP(A244,'[36]geoMap (33)'!$A:$B,2,0)*VLOOKUP(A244,'[36]geoMap (33)'!$A:$C,3,0)</f>
        <v>#REF!</v>
      </c>
      <c r="AJ244" s="1" t="e">
        <f>AI244/VLOOKUP(A244,'[37]geoMap (34)'!$A:$B,2,0)*VLOOKUP(A244,'[37]geoMap (34)'!$A:$C,3,0)</f>
        <v>#REF!</v>
      </c>
      <c r="AK244" s="1" t="e">
        <f>AJ244/VLOOKUP(A244,'[38]geoMap (35)'!$A:$B,2,0)*VLOOKUP(A244,'[38]geoMap (35)'!$A:$C,3,0)</f>
        <v>#REF!</v>
      </c>
      <c r="AL244" s="1" t="e">
        <f>AK244/VLOOKUP(A244,'[39]geoMap (36)'!$A:$B,2,0)*VLOOKUP(A244,'[39]geoMap (36)'!$A:$C,3,0)</f>
        <v>#REF!</v>
      </c>
      <c r="AM244" s="1" t="e">
        <f>AL244/VLOOKUP(A244,'[40]geoMap (37)'!$A:$B,2,0)*VLOOKUP(A244,'[40]geoMap (37)'!$A:$C,3,0)</f>
        <v>#REF!</v>
      </c>
      <c r="AN244" s="1" t="e">
        <f>AM244/VLOOKUP(A244,'[41]geoMap (38)'!$A:$B,2,0)*VLOOKUP(A244,'[41]geoMap (38)'!$A:$C,3,0)</f>
        <v>#REF!</v>
      </c>
      <c r="AO244" s="1" t="e">
        <f>AN244/VLOOKUP(A244,'[42]geoMap (39)'!$A:$B,2,0)*VLOOKUP(A244,'[42]geoMap (39)'!$A:$C,3,0)</f>
        <v>#REF!</v>
      </c>
      <c r="AP244" s="1" t="e">
        <f>AO244/VLOOKUP(A244,'[43]geoMap (40)'!$A:$B,2,0)*VLOOKUP(A244,'[43]geoMap (40)'!$A:$C,3,0)</f>
        <v>#REF!</v>
      </c>
      <c r="AQ244" s="1" t="e">
        <f>AP244/VLOOKUP(A244,'[44]geoMap (41)'!$A:$B,2,0)*VLOOKUP(A244,'[44]geoMap (41)'!$A:$C,3,0)</f>
        <v>#REF!</v>
      </c>
      <c r="AR244" s="1" t="e">
        <f>AQ244/VLOOKUP(A244,'[45]geoMap (42)'!$A:$B,2,0)*VLOOKUP(A244,'[45]geoMap (42)'!$A:$C,3,0)</f>
        <v>#REF!</v>
      </c>
      <c r="AS244" s="1" t="e">
        <f>AR244/VLOOKUP(A244,'[46]geoMap (43)'!$A:$B,2,0)*VLOOKUP(A244,'[46]geoMap (43)'!$A:$C,3,0)</f>
        <v>#REF!</v>
      </c>
      <c r="AT244" s="1" t="e">
        <f>AS244/VLOOKUP(A244,'[47]geoMap (44)'!$A:$B,2,0)*VLOOKUP(A244,'[47]geoMap (44)'!$A:$C,3,0)</f>
        <v>#REF!</v>
      </c>
      <c r="AU244" s="1" t="e">
        <f>AT244/VLOOKUP(A244,'[48]geoMap (45)'!$A:$B,2,0)*VLOOKUP(A244,'[48]geoMap (45)'!$A:$C,3,0)</f>
        <v>#REF!</v>
      </c>
      <c r="AV244" s="1" t="e">
        <f>AU244/VLOOKUP(A244,'[49]geoMap (46)'!$A:$B,2,0)*VLOOKUP(A244,'[49]geoMap (46)'!$A:$C,3,0)</f>
        <v>#REF!</v>
      </c>
      <c r="AW244" s="1" t="e">
        <f>AV244/VLOOKUP(A244,'[50]geoMap (47)'!$A:$B,2,0)*VLOOKUP(A244,'[50]geoMap (47)'!$A:$C,3,0)</f>
        <v>#REF!</v>
      </c>
      <c r="AX244" s="1" t="e">
        <f>AW244/VLOOKUP(A244,'[51]geoMap (48)'!$A:$B,2,0)*VLOOKUP(A244,'[51]geoMap (48)'!$A:$C,3,0)</f>
        <v>#REF!</v>
      </c>
      <c r="AY244" s="1" t="e">
        <f>AX244/VLOOKUP(A244,'[52]geoMap (49)'!$A:$B,2,0)*VLOOKUP(A244,'[52]geoMap (49)'!$A:$C,3,0)</f>
        <v>#REF!</v>
      </c>
      <c r="AZ244" s="1" t="e">
        <f>AY244/VLOOKUP(A244,'[53]geoMap (50)'!$A:$B,2,0)*VLOOKUP(A244,'[53]geoMap (50)'!$A:$C,3,0)</f>
        <v>#REF!</v>
      </c>
      <c r="BA244" s="1" t="e">
        <f>AZ244/VLOOKUP(A244,'[54]geoMap (51)'!$A:$B,2,0)*VLOOKUP(A244,'[54]geoMap (51)'!$A:$C,3,0)</f>
        <v>#REF!</v>
      </c>
      <c r="BB244" s="1" t="e">
        <f>BA244/VLOOKUP(A244,'[55]geoMap (52)'!$A:$B,2,0)*VLOOKUP(A244,'[55]geoMap (52)'!$A:$C,3,0)</f>
        <v>#REF!</v>
      </c>
      <c r="BC244" s="1" t="e">
        <f>BB244/VLOOKUP(A244,'[56]geoMap (53)'!$A:$B,2,0)*VLOOKUP(A244,'[56]geoMap (53)'!$A:$C,3,0)</f>
        <v>#REF!</v>
      </c>
      <c r="BD244" s="1" t="e">
        <f>BC244/VLOOKUP(A244,'[57]geoMap (54)'!$A:$B,2,0)*VLOOKUP(A244,'[57]geoMap (54)'!$A:$C,3,0)</f>
        <v>#REF!</v>
      </c>
      <c r="BE244" s="1" t="e">
        <f>BD244/VLOOKUP(A244,'[58]geoMap (55)'!$A:$B,2,0)*VLOOKUP(A244,'[58]geoMap (55)'!$A:$C,3,0)</f>
        <v>#REF!</v>
      </c>
      <c r="BF244" s="1" t="e">
        <f>BE244/VLOOKUP(A244,'[59]geoMap (56)'!$A:$B,2,0)*VLOOKUP(A244,'[59]geoMap (56)'!$A:$C,3,0)</f>
        <v>#REF!</v>
      </c>
      <c r="BG244" s="1" t="e">
        <f>BF244/VLOOKUP(A244,'[60]geoMap (57)'!$A:$B,2,0)*VLOOKUP(A244,'[60]geoMap (57)'!$A:$C,3,0)</f>
        <v>#REF!</v>
      </c>
      <c r="BH244" s="1" t="e">
        <f>BG244/VLOOKUP(A244,'[61]geoMap (58)'!$A:$B,2,0)*VLOOKUP(A244,'[61]geoMap (58)'!$A:$C,3,0)</f>
        <v>#REF!</v>
      </c>
      <c r="BI244" s="1" t="e">
        <f>BH244/VLOOKUP(A244,'[62]geoMap (59)'!$A:$B,2,0)*VLOOKUP(A244,'[62]geoMap (59)'!$A:$C,3,0)</f>
        <v>#REF!</v>
      </c>
      <c r="BJ244" s="1" t="e">
        <f>BI244/VLOOKUP(A244,'[63]geoMap (60)'!$A:$B,2,0)*VLOOKUP(A244,'[63]geoMap (60)'!$A:$C,3,0)</f>
        <v>#REF!</v>
      </c>
      <c r="BK244" s="1" t="e">
        <f>BJ244/VLOOKUP(A244,'[64]geoMap (61)'!$A:$B,2,0)*VLOOKUP(A244,'[64]geoMap (61)'!$A:$C,3,0)</f>
        <v>#REF!</v>
      </c>
      <c r="BL244" s="1" t="e">
        <f>BK244/VLOOKUP(A244,'[65]geoMap (62)'!$A:$B,2,0)*VLOOKUP(A244,'[65]geoMap (62)'!$A:$C,3,0)</f>
        <v>#REF!</v>
      </c>
      <c r="BM244" s="1" t="e">
        <f>BL244/VLOOKUP(A244,'[66]geoMap (63)'!$A:$B,2,0)*VLOOKUP(A244,'[66]geoMap (63)'!$A:$C,3,0)</f>
        <v>#REF!</v>
      </c>
      <c r="BN244" s="1" t="e">
        <f>BM244/VLOOKUP(A244,'[67]geoMap (64)'!$A:$B,2,0)*VLOOKUP(A244,'[67]geoMap (64)'!$A:$C,3,0)</f>
        <v>#REF!</v>
      </c>
      <c r="BO244" s="1" t="e">
        <f>BN244/VLOOKUP(A244,'[68]geoMap (65)'!$A:$B,2,0)*VLOOKUP(A244,'[68]geoMap (65)'!$A:$C,3,0)</f>
        <v>#REF!</v>
      </c>
      <c r="BP244" s="1" t="e">
        <f>BO244/VLOOKUP(A244,'[69]geoMap (66)'!$A:$B,2,0)*VLOOKUP(A244,'[69]geoMap (66)'!$A:$C,3,0)</f>
        <v>#REF!</v>
      </c>
    </row>
    <row r="245" spans="1:68" hidden="1" x14ac:dyDescent="0.2">
      <c r="A245" s="1" t="s">
        <v>247</v>
      </c>
      <c r="B245" s="1" t="e">
        <f>VLOOKUP(A245,[3]geoMap!$A:$B,2,0)*Notes!$C$6</f>
        <v>#REF!</v>
      </c>
      <c r="C245" s="1" t="e">
        <f>B245/VLOOKUP(A245,'[4]geoMap (1)'!$A:$B,2,0)*VLOOKUP(A245,'[4]geoMap (1)'!$A:$C,3,0)</f>
        <v>#REF!</v>
      </c>
      <c r="D245" s="1" t="e">
        <f>C245/VLOOKUP(A245,'[5]geoMap (2)'!$A:$B,2,0)*VLOOKUP(A245,'[5]geoMap (2)'!$A:$C,3,0)</f>
        <v>#REF!</v>
      </c>
      <c r="E245" s="1" t="e">
        <f>D245/VLOOKUP(A245,'[6]geoMap (3)'!$A:$B,2,0)*VLOOKUP(A245,'[6]geoMap (3)'!$A:$C,3,0)</f>
        <v>#REF!</v>
      </c>
      <c r="F245" s="1" t="e">
        <f>E245/VLOOKUP(A245,'[7]geoMap (4)'!$A:$B,2,0)*VLOOKUP(A245,'[7]geoMap (4)'!$A:$C,3,0)</f>
        <v>#REF!</v>
      </c>
      <c r="G245" s="1" t="e">
        <f>F245/VLOOKUP(A245,'[8]geoMap (5)'!$A:$B,2,0)*VLOOKUP(A245,'[8]geoMap (5)'!$A:$C,3,0)</f>
        <v>#REF!</v>
      </c>
      <c r="H245" s="1" t="e">
        <f>G245/VLOOKUP(A245,'[9]geoMap (6)'!$A:$B,2,0)*VLOOKUP(A245,'[9]geoMap (6)'!$A:$C,3,0)</f>
        <v>#REF!</v>
      </c>
      <c r="I245" s="1" t="e">
        <f>H245/VLOOKUP(A245,'[10]geoMap (7)'!$A:$B,2,0)*VLOOKUP(A245,'[10]geoMap (7)'!$A:$C,3,0)</f>
        <v>#REF!</v>
      </c>
      <c r="J245" s="1" t="e">
        <f>I245/VLOOKUP(A245,'[11]geoMap (8)'!$A:$B,2,0)*VLOOKUP(A245,'[11]geoMap (8)'!$A:$C,3,0)</f>
        <v>#REF!</v>
      </c>
      <c r="K245" s="1" t="e">
        <f>J245/VLOOKUP(A245,'[12]geoMap (9)'!$A:$B,2,0)*VLOOKUP(A245,'[12]geoMap (9)'!$A:$C,3,0)</f>
        <v>#REF!</v>
      </c>
      <c r="L245" s="1" t="e">
        <f>K245/VLOOKUP(A245,'[13]geoMap (10)'!$A:$B,2,0)*VLOOKUP(A245,'[13]geoMap (10)'!$A:$C,3,0)</f>
        <v>#REF!</v>
      </c>
      <c r="M245" s="1" t="e">
        <f>L245/VLOOKUP(A245,'[14]geoMap (11)'!$A:$B,2,0)*VLOOKUP(A245,'[14]geoMap (11)'!$A:$C,3,0)</f>
        <v>#REF!</v>
      </c>
      <c r="N245" s="1" t="e">
        <f>M245/VLOOKUP(A245,'[15]geoMap (12)'!$A:$B,2,0)*VLOOKUP(A245,'[15]geoMap (12)'!$A:$C,3,0)</f>
        <v>#REF!</v>
      </c>
      <c r="O245" s="1" t="e">
        <f>N245/VLOOKUP(A245,'[16]geoMap (13)'!$A:$B,2,0)*VLOOKUP(A245,'[16]geoMap (13)'!$A:$C,3,0)</f>
        <v>#REF!</v>
      </c>
      <c r="P245" s="1" t="e">
        <f>O245/VLOOKUP(A245,'[17]geoMap (14)'!$A:$B,2,0)*VLOOKUP(A245,'[17]geoMap (14)'!$A:$C,3,0)</f>
        <v>#REF!</v>
      </c>
      <c r="Q245" s="1" t="e">
        <f>P245/VLOOKUP(A245,'[18]geoMap (15)'!$A:$B,2,0)*VLOOKUP(A245,'[18]geoMap (15)'!$A:$C,3,0)</f>
        <v>#REF!</v>
      </c>
      <c r="R245" s="1" t="e">
        <f>Q245/VLOOKUP(A245,'[19]geoMap (16)'!$A:$B,2,0)*VLOOKUP(A245,'[19]geoMap (16)'!$A:$C,3,0)</f>
        <v>#REF!</v>
      </c>
      <c r="S245" s="1" t="e">
        <f>R245/VLOOKUP(A245,'[20]geoMap (17)'!$A:$B,2,0)*VLOOKUP(A245,'[20]geoMap (17)'!$A:$C,3,0)</f>
        <v>#REF!</v>
      </c>
      <c r="T245" s="1" t="e">
        <f>S245/VLOOKUP(A245,'[21]geoMap (18)'!$A:$B,2,0)*VLOOKUP(A245,'[21]geoMap (18)'!$A:$C,3,0)</f>
        <v>#REF!</v>
      </c>
      <c r="U245" s="1" t="e">
        <f>T245/VLOOKUP(A245,'[22]geoMap (19)'!$A:$B,2,0)*VLOOKUP(A245,'[22]geoMap (19)'!$A:$C,3,0)</f>
        <v>#REF!</v>
      </c>
      <c r="V245" s="1" t="e">
        <f>U245/VLOOKUP(A245,'[23]geoMap (20)'!$A:$B,2,0)*VLOOKUP(A245,'[23]geoMap (20)'!$A:$C,3,0)</f>
        <v>#REF!</v>
      </c>
      <c r="W245" s="1" t="e">
        <f>V245/VLOOKUP(A245,'[24]geoMap (21)'!$A:$B,2,0)*VLOOKUP(A245,'[24]geoMap (21)'!$A:$C,3,0)</f>
        <v>#REF!</v>
      </c>
      <c r="X245" s="1" t="e">
        <f>W245/VLOOKUP(A245,'[25]geoMap (22)'!$A:$B,2,0)*VLOOKUP(A245,'[25]geoMap (22)'!$A:$C,3,0)</f>
        <v>#REF!</v>
      </c>
      <c r="Y245" s="1" t="e">
        <f>X245/VLOOKUP(A245,'[26]geoMap (23)'!$A:$B,2,0)*VLOOKUP(A245,'[26]geoMap (23)'!$A:$C,3,0)</f>
        <v>#REF!</v>
      </c>
      <c r="Z245" s="1" t="e">
        <f>Y245/VLOOKUP(A245,'[27]geoMap (24)'!$A:$B,2,0)*VLOOKUP(A245,'[27]geoMap (24)'!$A:$C,3,0)</f>
        <v>#REF!</v>
      </c>
      <c r="AA245" s="1" t="e">
        <f>Z245/VLOOKUP(A245,'[28]geoMap (25)'!$A:$B,2,0)*VLOOKUP(A245,'[28]geoMap (25)'!$A:$C,3,0)</f>
        <v>#REF!</v>
      </c>
      <c r="AB245" s="1" t="e">
        <f>AA245*VLOOKUP(A245,'[29]geoMap (26)'!$A:$B,2,0)*VLOOKUP(A245,'[29]geoMap (26)'!$A:$C,3,0)</f>
        <v>#REF!</v>
      </c>
      <c r="AC245" s="1" t="e">
        <f>AB245/VLOOKUP(A245,'[30]geoMap (27)'!$A:$B,2,0)*VLOOKUP(A245,'[30]geoMap (27)'!$A:$C,3,0)</f>
        <v>#REF!</v>
      </c>
      <c r="AD245" s="1" t="e">
        <f>AC245/VLOOKUP(A245,'[31]geoMap (28)'!$A:$B,2,0)*VLOOKUP(A245,'[31]geoMap (28)'!$A:$C,3,0)</f>
        <v>#REF!</v>
      </c>
      <c r="AE245" s="1" t="e">
        <f>AD245/VLOOKUP(A245,'[32]geoMap (29)'!$A:$B,2,0)*VLOOKUP(A245,'[32]geoMap (29)'!$A:$C,3,0)</f>
        <v>#REF!</v>
      </c>
      <c r="AF245" s="1" t="e">
        <f>AE245/VLOOKUP(A245,'[33]geoMap (30)'!$A:$B,2,0)*VLOOKUP(A245,'[33]geoMap (30)'!$A:$C,3,0)</f>
        <v>#REF!</v>
      </c>
      <c r="AG245" s="1" t="e">
        <f>AF245/VLOOKUP(A245,'[34]geoMap (31)'!$A:$B,2,0)*VLOOKUP(A245,'[34]geoMap (31)'!$A:$C,3,0)</f>
        <v>#REF!</v>
      </c>
      <c r="AH245" s="1" t="e">
        <f>AG245/VLOOKUP(A245,'[35]geoMap (32)'!$A:$B,2,0)*VLOOKUP(A245,'[35]geoMap (32)'!$A:$C,3,0)</f>
        <v>#REF!</v>
      </c>
      <c r="AI245" s="1" t="e">
        <f>AH245/VLOOKUP(A245,'[36]geoMap (33)'!$A:$B,2,0)*VLOOKUP(A245,'[36]geoMap (33)'!$A:$C,3,0)</f>
        <v>#REF!</v>
      </c>
      <c r="AJ245" s="1" t="e">
        <f>AI245/VLOOKUP(A245,'[37]geoMap (34)'!$A:$B,2,0)*VLOOKUP(A245,'[37]geoMap (34)'!$A:$C,3,0)</f>
        <v>#REF!</v>
      </c>
      <c r="AK245" s="1" t="e">
        <f>AJ245/VLOOKUP(A245,'[38]geoMap (35)'!$A:$B,2,0)*VLOOKUP(A245,'[38]geoMap (35)'!$A:$C,3,0)</f>
        <v>#REF!</v>
      </c>
      <c r="AL245" s="1" t="e">
        <f>AK245/VLOOKUP(A245,'[39]geoMap (36)'!$A:$B,2,0)*VLOOKUP(A245,'[39]geoMap (36)'!$A:$C,3,0)</f>
        <v>#REF!</v>
      </c>
      <c r="AM245" s="1" t="e">
        <f>AL245/VLOOKUP(A245,'[40]geoMap (37)'!$A:$B,2,0)*VLOOKUP(A245,'[40]geoMap (37)'!$A:$C,3,0)</f>
        <v>#REF!</v>
      </c>
      <c r="AN245" s="1" t="e">
        <f>AM245/VLOOKUP(A245,'[41]geoMap (38)'!$A:$B,2,0)*VLOOKUP(A245,'[41]geoMap (38)'!$A:$C,3,0)</f>
        <v>#REF!</v>
      </c>
      <c r="AO245" s="1" t="e">
        <f>AN245/VLOOKUP(A245,'[42]geoMap (39)'!$A:$B,2,0)*VLOOKUP(A245,'[42]geoMap (39)'!$A:$C,3,0)</f>
        <v>#REF!</v>
      </c>
      <c r="AP245" s="1" t="e">
        <f>AO245/VLOOKUP(A245,'[43]geoMap (40)'!$A:$B,2,0)*VLOOKUP(A245,'[43]geoMap (40)'!$A:$C,3,0)</f>
        <v>#REF!</v>
      </c>
      <c r="AQ245" s="1" t="e">
        <f>AP245/VLOOKUP(A245,'[44]geoMap (41)'!$A:$B,2,0)*VLOOKUP(A245,'[44]geoMap (41)'!$A:$C,3,0)</f>
        <v>#REF!</v>
      </c>
      <c r="AR245" s="1" t="e">
        <f>AQ245/VLOOKUP(A245,'[45]geoMap (42)'!$A:$B,2,0)*VLOOKUP(A245,'[45]geoMap (42)'!$A:$C,3,0)</f>
        <v>#REF!</v>
      </c>
      <c r="AS245" s="1" t="e">
        <f>AR245/VLOOKUP(A245,'[46]geoMap (43)'!$A:$B,2,0)*VLOOKUP(A245,'[46]geoMap (43)'!$A:$C,3,0)</f>
        <v>#REF!</v>
      </c>
      <c r="AT245" s="1" t="e">
        <f>AS245/VLOOKUP(A245,'[47]geoMap (44)'!$A:$B,2,0)*VLOOKUP(A245,'[47]geoMap (44)'!$A:$C,3,0)</f>
        <v>#REF!</v>
      </c>
      <c r="AU245" s="1" t="e">
        <f>AT245/VLOOKUP(A245,'[48]geoMap (45)'!$A:$B,2,0)*VLOOKUP(A245,'[48]geoMap (45)'!$A:$C,3,0)</f>
        <v>#REF!</v>
      </c>
      <c r="AV245" s="1" t="e">
        <f>AU245/VLOOKUP(A245,'[49]geoMap (46)'!$A:$B,2,0)*VLOOKUP(A245,'[49]geoMap (46)'!$A:$C,3,0)</f>
        <v>#REF!</v>
      </c>
      <c r="AW245" s="1" t="e">
        <f>AV245/VLOOKUP(A245,'[50]geoMap (47)'!$A:$B,2,0)*VLOOKUP(A245,'[50]geoMap (47)'!$A:$C,3,0)</f>
        <v>#REF!</v>
      </c>
      <c r="AX245" s="1" t="e">
        <f>AW245/VLOOKUP(A245,'[51]geoMap (48)'!$A:$B,2,0)*VLOOKUP(A245,'[51]geoMap (48)'!$A:$C,3,0)</f>
        <v>#REF!</v>
      </c>
      <c r="AY245" s="1" t="e">
        <f>AX245/VLOOKUP(A245,'[52]geoMap (49)'!$A:$B,2,0)*VLOOKUP(A245,'[52]geoMap (49)'!$A:$C,3,0)</f>
        <v>#REF!</v>
      </c>
      <c r="AZ245" s="1" t="e">
        <f>AY245/VLOOKUP(A245,'[53]geoMap (50)'!$A:$B,2,0)*VLOOKUP(A245,'[53]geoMap (50)'!$A:$C,3,0)</f>
        <v>#REF!</v>
      </c>
      <c r="BA245" s="1" t="e">
        <f>AZ245/VLOOKUP(A245,'[54]geoMap (51)'!$A:$B,2,0)*VLOOKUP(A245,'[54]geoMap (51)'!$A:$C,3,0)</f>
        <v>#REF!</v>
      </c>
      <c r="BB245" s="1" t="e">
        <f>BA245/VLOOKUP(A245,'[55]geoMap (52)'!$A:$B,2,0)*VLOOKUP(A245,'[55]geoMap (52)'!$A:$C,3,0)</f>
        <v>#REF!</v>
      </c>
      <c r="BC245" s="1" t="e">
        <f>BB245/VLOOKUP(A245,'[56]geoMap (53)'!$A:$B,2,0)*VLOOKUP(A245,'[56]geoMap (53)'!$A:$C,3,0)</f>
        <v>#REF!</v>
      </c>
      <c r="BD245" s="1" t="e">
        <f>BC245/VLOOKUP(A245,'[57]geoMap (54)'!$A:$B,2,0)*VLOOKUP(A245,'[57]geoMap (54)'!$A:$C,3,0)</f>
        <v>#REF!</v>
      </c>
      <c r="BE245" s="1" t="e">
        <f>BD245/VLOOKUP(A245,'[58]geoMap (55)'!$A:$B,2,0)*VLOOKUP(A245,'[58]geoMap (55)'!$A:$C,3,0)</f>
        <v>#REF!</v>
      </c>
      <c r="BF245" s="1" t="e">
        <f>BE245/VLOOKUP(A245,'[59]geoMap (56)'!$A:$B,2,0)*VLOOKUP(A245,'[59]geoMap (56)'!$A:$C,3,0)</f>
        <v>#REF!</v>
      </c>
      <c r="BG245" s="1" t="e">
        <f>BF245/VLOOKUP(A245,'[60]geoMap (57)'!$A:$B,2,0)*VLOOKUP(A245,'[60]geoMap (57)'!$A:$C,3,0)</f>
        <v>#REF!</v>
      </c>
      <c r="BH245" s="1" t="e">
        <f>BG245/VLOOKUP(A245,'[61]geoMap (58)'!$A:$B,2,0)*VLOOKUP(A245,'[61]geoMap (58)'!$A:$C,3,0)</f>
        <v>#REF!</v>
      </c>
      <c r="BI245" s="1" t="e">
        <f>BH245/VLOOKUP(A245,'[62]geoMap (59)'!$A:$B,2,0)*VLOOKUP(A245,'[62]geoMap (59)'!$A:$C,3,0)</f>
        <v>#REF!</v>
      </c>
      <c r="BJ245" s="1" t="e">
        <f>BI245/VLOOKUP(A245,'[63]geoMap (60)'!$A:$B,2,0)*VLOOKUP(A245,'[63]geoMap (60)'!$A:$C,3,0)</f>
        <v>#REF!</v>
      </c>
      <c r="BK245" s="1" t="e">
        <f>BJ245/VLOOKUP(A245,'[64]geoMap (61)'!$A:$B,2,0)*VLOOKUP(A245,'[64]geoMap (61)'!$A:$C,3,0)</f>
        <v>#REF!</v>
      </c>
      <c r="BL245" s="1" t="e">
        <f>BK245/VLOOKUP(A245,'[65]geoMap (62)'!$A:$B,2,0)*VLOOKUP(A245,'[65]geoMap (62)'!$A:$C,3,0)</f>
        <v>#REF!</v>
      </c>
      <c r="BM245" s="1" t="e">
        <f>BL245/VLOOKUP(A245,'[66]geoMap (63)'!$A:$B,2,0)*VLOOKUP(A245,'[66]geoMap (63)'!$A:$C,3,0)</f>
        <v>#REF!</v>
      </c>
      <c r="BN245" s="1" t="e">
        <f>BM245/VLOOKUP(A245,'[67]geoMap (64)'!$A:$B,2,0)*VLOOKUP(A245,'[67]geoMap (64)'!$A:$C,3,0)</f>
        <v>#REF!</v>
      </c>
      <c r="BO245" s="1" t="e">
        <f>BN245/VLOOKUP(A245,'[68]geoMap (65)'!$A:$B,2,0)*VLOOKUP(A245,'[68]geoMap (65)'!$A:$C,3,0)</f>
        <v>#REF!</v>
      </c>
      <c r="BP245" s="1" t="e">
        <f>BO245/VLOOKUP(A245,'[69]geoMap (66)'!$A:$B,2,0)*VLOOKUP(A245,'[69]geoMap (66)'!$A:$C,3,0)</f>
        <v>#REF!</v>
      </c>
    </row>
    <row r="246" spans="1:68" hidden="1" x14ac:dyDescent="0.2">
      <c r="A246" s="1" t="s">
        <v>248</v>
      </c>
      <c r="B246" s="1" t="e">
        <f>VLOOKUP(A246,[3]geoMap!$A:$B,2,0)*Notes!$C$6</f>
        <v>#REF!</v>
      </c>
      <c r="C246" s="1" t="e">
        <f>B246/VLOOKUP(A246,'[4]geoMap (1)'!$A:$B,2,0)*VLOOKUP(A246,'[4]geoMap (1)'!$A:$C,3,0)</f>
        <v>#REF!</v>
      </c>
      <c r="D246" s="1" t="e">
        <f>C246/VLOOKUP(A246,'[5]geoMap (2)'!$A:$B,2,0)*VLOOKUP(A246,'[5]geoMap (2)'!$A:$C,3,0)</f>
        <v>#REF!</v>
      </c>
      <c r="E246" s="1" t="e">
        <f>D246/VLOOKUP(A246,'[6]geoMap (3)'!$A:$B,2,0)*VLOOKUP(A246,'[6]geoMap (3)'!$A:$C,3,0)</f>
        <v>#REF!</v>
      </c>
      <c r="F246" s="1" t="e">
        <f>E246/VLOOKUP(A246,'[7]geoMap (4)'!$A:$B,2,0)*VLOOKUP(A246,'[7]geoMap (4)'!$A:$C,3,0)</f>
        <v>#REF!</v>
      </c>
      <c r="G246" s="1" t="e">
        <f>F246/VLOOKUP(A246,'[8]geoMap (5)'!$A:$B,2,0)*VLOOKUP(A246,'[8]geoMap (5)'!$A:$C,3,0)</f>
        <v>#REF!</v>
      </c>
      <c r="H246" s="1" t="e">
        <f>G246/VLOOKUP(A246,'[9]geoMap (6)'!$A:$B,2,0)*VLOOKUP(A246,'[9]geoMap (6)'!$A:$C,3,0)</f>
        <v>#REF!</v>
      </c>
      <c r="I246" s="1" t="e">
        <f>H246/VLOOKUP(A246,'[10]geoMap (7)'!$A:$B,2,0)*VLOOKUP(A246,'[10]geoMap (7)'!$A:$C,3,0)</f>
        <v>#REF!</v>
      </c>
      <c r="J246" s="1" t="e">
        <f>I246/VLOOKUP(A246,'[11]geoMap (8)'!$A:$B,2,0)*VLOOKUP(A246,'[11]geoMap (8)'!$A:$C,3,0)</f>
        <v>#REF!</v>
      </c>
      <c r="K246" s="1" t="e">
        <f>J246/VLOOKUP(A246,'[12]geoMap (9)'!$A:$B,2,0)*VLOOKUP(A246,'[12]geoMap (9)'!$A:$C,3,0)</f>
        <v>#REF!</v>
      </c>
      <c r="L246" s="1" t="e">
        <f>K246/VLOOKUP(A246,'[13]geoMap (10)'!$A:$B,2,0)*VLOOKUP(A246,'[13]geoMap (10)'!$A:$C,3,0)</f>
        <v>#REF!</v>
      </c>
      <c r="M246" s="1" t="e">
        <f>L246/VLOOKUP(A246,'[14]geoMap (11)'!$A:$B,2,0)*VLOOKUP(A246,'[14]geoMap (11)'!$A:$C,3,0)</f>
        <v>#REF!</v>
      </c>
      <c r="N246" s="1" t="e">
        <f>M246/VLOOKUP(A246,'[15]geoMap (12)'!$A:$B,2,0)*VLOOKUP(A246,'[15]geoMap (12)'!$A:$C,3,0)</f>
        <v>#REF!</v>
      </c>
      <c r="O246" s="1" t="e">
        <f>N246/VLOOKUP(A246,'[16]geoMap (13)'!$A:$B,2,0)*VLOOKUP(A246,'[16]geoMap (13)'!$A:$C,3,0)</f>
        <v>#REF!</v>
      </c>
      <c r="P246" s="1" t="e">
        <f>O246/VLOOKUP(A246,'[17]geoMap (14)'!$A:$B,2,0)*VLOOKUP(A246,'[17]geoMap (14)'!$A:$C,3,0)</f>
        <v>#REF!</v>
      </c>
      <c r="Q246" s="1" t="e">
        <f>P246/VLOOKUP(A246,'[18]geoMap (15)'!$A:$B,2,0)*VLOOKUP(A246,'[18]geoMap (15)'!$A:$C,3,0)</f>
        <v>#REF!</v>
      </c>
      <c r="R246" s="1" t="e">
        <f>Q246/VLOOKUP(A246,'[19]geoMap (16)'!$A:$B,2,0)*VLOOKUP(A246,'[19]geoMap (16)'!$A:$C,3,0)</f>
        <v>#REF!</v>
      </c>
      <c r="S246" s="1" t="e">
        <f>R246/VLOOKUP(A246,'[20]geoMap (17)'!$A:$B,2,0)*VLOOKUP(A246,'[20]geoMap (17)'!$A:$C,3,0)</f>
        <v>#REF!</v>
      </c>
      <c r="T246" s="1" t="e">
        <f>S246/VLOOKUP(A246,'[21]geoMap (18)'!$A:$B,2,0)*VLOOKUP(A246,'[21]geoMap (18)'!$A:$C,3,0)</f>
        <v>#REF!</v>
      </c>
      <c r="U246" s="1" t="e">
        <f>T246/VLOOKUP(A246,'[22]geoMap (19)'!$A:$B,2,0)*VLOOKUP(A246,'[22]geoMap (19)'!$A:$C,3,0)</f>
        <v>#REF!</v>
      </c>
      <c r="V246" s="1" t="e">
        <f>U246/VLOOKUP(A246,'[23]geoMap (20)'!$A:$B,2,0)*VLOOKUP(A246,'[23]geoMap (20)'!$A:$C,3,0)</f>
        <v>#REF!</v>
      </c>
      <c r="W246" s="1" t="e">
        <f>V246/VLOOKUP(A246,'[24]geoMap (21)'!$A:$B,2,0)*VLOOKUP(A246,'[24]geoMap (21)'!$A:$C,3,0)</f>
        <v>#REF!</v>
      </c>
      <c r="X246" s="1" t="e">
        <f>W246/VLOOKUP(A246,'[25]geoMap (22)'!$A:$B,2,0)*VLOOKUP(A246,'[25]geoMap (22)'!$A:$C,3,0)</f>
        <v>#REF!</v>
      </c>
      <c r="Y246" s="1" t="e">
        <f>X246/VLOOKUP(A246,'[26]geoMap (23)'!$A:$B,2,0)*VLOOKUP(A246,'[26]geoMap (23)'!$A:$C,3,0)</f>
        <v>#REF!</v>
      </c>
      <c r="Z246" s="1" t="e">
        <f>Y246/VLOOKUP(A246,'[27]geoMap (24)'!$A:$B,2,0)*VLOOKUP(A246,'[27]geoMap (24)'!$A:$C,3,0)</f>
        <v>#REF!</v>
      </c>
      <c r="AA246" s="1" t="e">
        <f>Z246/VLOOKUP(A246,'[28]geoMap (25)'!$A:$B,2,0)*VLOOKUP(A246,'[28]geoMap (25)'!$A:$C,3,0)</f>
        <v>#REF!</v>
      </c>
      <c r="AB246" s="1" t="e">
        <f>AA246*VLOOKUP(A246,'[29]geoMap (26)'!$A:$B,2,0)*VLOOKUP(A246,'[29]geoMap (26)'!$A:$C,3,0)</f>
        <v>#REF!</v>
      </c>
      <c r="AC246" s="1" t="e">
        <f>AB246/VLOOKUP(A246,'[30]geoMap (27)'!$A:$B,2,0)*VLOOKUP(A246,'[30]geoMap (27)'!$A:$C,3,0)</f>
        <v>#REF!</v>
      </c>
      <c r="AD246" s="1" t="e">
        <f>AC246/VLOOKUP(A246,'[31]geoMap (28)'!$A:$B,2,0)*VLOOKUP(A246,'[31]geoMap (28)'!$A:$C,3,0)</f>
        <v>#REF!</v>
      </c>
      <c r="AE246" s="1" t="e">
        <f>AD246/VLOOKUP(A246,'[32]geoMap (29)'!$A:$B,2,0)*VLOOKUP(A246,'[32]geoMap (29)'!$A:$C,3,0)</f>
        <v>#REF!</v>
      </c>
      <c r="AF246" s="1" t="e">
        <f>AE246/VLOOKUP(A246,'[33]geoMap (30)'!$A:$B,2,0)*VLOOKUP(A246,'[33]geoMap (30)'!$A:$C,3,0)</f>
        <v>#REF!</v>
      </c>
      <c r="AG246" s="1" t="e">
        <f>AF246/VLOOKUP(A246,'[34]geoMap (31)'!$A:$B,2,0)*VLOOKUP(A246,'[34]geoMap (31)'!$A:$C,3,0)</f>
        <v>#REF!</v>
      </c>
      <c r="AH246" s="1" t="e">
        <f>AG246/VLOOKUP(A246,'[35]geoMap (32)'!$A:$B,2,0)*VLOOKUP(A246,'[35]geoMap (32)'!$A:$C,3,0)</f>
        <v>#REF!</v>
      </c>
      <c r="AI246" s="1" t="e">
        <f>AH246/VLOOKUP(A246,'[36]geoMap (33)'!$A:$B,2,0)*VLOOKUP(A246,'[36]geoMap (33)'!$A:$C,3,0)</f>
        <v>#REF!</v>
      </c>
      <c r="AJ246" s="1" t="e">
        <f>AI246/VLOOKUP(A246,'[37]geoMap (34)'!$A:$B,2,0)*VLOOKUP(A246,'[37]geoMap (34)'!$A:$C,3,0)</f>
        <v>#REF!</v>
      </c>
      <c r="AK246" s="1" t="e">
        <f>AJ246/VLOOKUP(A246,'[38]geoMap (35)'!$A:$B,2,0)*VLOOKUP(A246,'[38]geoMap (35)'!$A:$C,3,0)</f>
        <v>#REF!</v>
      </c>
      <c r="AL246" s="1" t="e">
        <f>AK246/VLOOKUP(A246,'[39]geoMap (36)'!$A:$B,2,0)*VLOOKUP(A246,'[39]geoMap (36)'!$A:$C,3,0)</f>
        <v>#REF!</v>
      </c>
      <c r="AM246" s="1" t="e">
        <f>AL246/VLOOKUP(A246,'[40]geoMap (37)'!$A:$B,2,0)*VLOOKUP(A246,'[40]geoMap (37)'!$A:$C,3,0)</f>
        <v>#REF!</v>
      </c>
      <c r="AN246" s="1" t="e">
        <f>AM246/VLOOKUP(A246,'[41]geoMap (38)'!$A:$B,2,0)*VLOOKUP(A246,'[41]geoMap (38)'!$A:$C,3,0)</f>
        <v>#REF!</v>
      </c>
      <c r="AO246" s="1" t="e">
        <f>AN246/VLOOKUP(A246,'[42]geoMap (39)'!$A:$B,2,0)*VLOOKUP(A246,'[42]geoMap (39)'!$A:$C,3,0)</f>
        <v>#REF!</v>
      </c>
      <c r="AP246" s="1" t="e">
        <f>AO246/VLOOKUP(A246,'[43]geoMap (40)'!$A:$B,2,0)*VLOOKUP(A246,'[43]geoMap (40)'!$A:$C,3,0)</f>
        <v>#REF!</v>
      </c>
      <c r="AQ246" s="1" t="e">
        <f>AP246/VLOOKUP(A246,'[44]geoMap (41)'!$A:$B,2,0)*VLOOKUP(A246,'[44]geoMap (41)'!$A:$C,3,0)</f>
        <v>#REF!</v>
      </c>
      <c r="AR246" s="1" t="e">
        <f>AQ246/VLOOKUP(A246,'[45]geoMap (42)'!$A:$B,2,0)*VLOOKUP(A246,'[45]geoMap (42)'!$A:$C,3,0)</f>
        <v>#REF!</v>
      </c>
      <c r="AS246" s="1" t="e">
        <f>AR246/VLOOKUP(A246,'[46]geoMap (43)'!$A:$B,2,0)*VLOOKUP(A246,'[46]geoMap (43)'!$A:$C,3,0)</f>
        <v>#REF!</v>
      </c>
      <c r="AT246" s="1" t="e">
        <f>AS246/VLOOKUP(A246,'[47]geoMap (44)'!$A:$B,2,0)*VLOOKUP(A246,'[47]geoMap (44)'!$A:$C,3,0)</f>
        <v>#REF!</v>
      </c>
      <c r="AU246" s="1" t="e">
        <f>AT246/VLOOKUP(A246,'[48]geoMap (45)'!$A:$B,2,0)*VLOOKUP(A246,'[48]geoMap (45)'!$A:$C,3,0)</f>
        <v>#REF!</v>
      </c>
      <c r="AV246" s="1" t="e">
        <f>AU246/VLOOKUP(A246,'[49]geoMap (46)'!$A:$B,2,0)*VLOOKUP(A246,'[49]geoMap (46)'!$A:$C,3,0)</f>
        <v>#REF!</v>
      </c>
      <c r="AW246" s="1" t="e">
        <f>AV246/VLOOKUP(A246,'[50]geoMap (47)'!$A:$B,2,0)*VLOOKUP(A246,'[50]geoMap (47)'!$A:$C,3,0)</f>
        <v>#REF!</v>
      </c>
      <c r="AX246" s="1" t="e">
        <f>AW246/VLOOKUP(A246,'[51]geoMap (48)'!$A:$B,2,0)*VLOOKUP(A246,'[51]geoMap (48)'!$A:$C,3,0)</f>
        <v>#REF!</v>
      </c>
      <c r="AY246" s="1" t="e">
        <f>AX246/VLOOKUP(A246,'[52]geoMap (49)'!$A:$B,2,0)*VLOOKUP(A246,'[52]geoMap (49)'!$A:$C,3,0)</f>
        <v>#REF!</v>
      </c>
      <c r="AZ246" s="1" t="e">
        <f>AY246/VLOOKUP(A246,'[53]geoMap (50)'!$A:$B,2,0)*VLOOKUP(A246,'[53]geoMap (50)'!$A:$C,3,0)</f>
        <v>#REF!</v>
      </c>
      <c r="BA246" s="1" t="e">
        <f>AZ246/VLOOKUP(A246,'[54]geoMap (51)'!$A:$B,2,0)*VLOOKUP(A246,'[54]geoMap (51)'!$A:$C,3,0)</f>
        <v>#REF!</v>
      </c>
      <c r="BB246" s="1" t="e">
        <f>BA246/VLOOKUP(A246,'[55]geoMap (52)'!$A:$B,2,0)*VLOOKUP(A246,'[55]geoMap (52)'!$A:$C,3,0)</f>
        <v>#REF!</v>
      </c>
      <c r="BC246" s="1" t="e">
        <f>BB246/VLOOKUP(A246,'[56]geoMap (53)'!$A:$B,2,0)*VLOOKUP(A246,'[56]geoMap (53)'!$A:$C,3,0)</f>
        <v>#REF!</v>
      </c>
      <c r="BD246" s="1" t="e">
        <f>BC246/VLOOKUP(A246,'[57]geoMap (54)'!$A:$B,2,0)*VLOOKUP(A246,'[57]geoMap (54)'!$A:$C,3,0)</f>
        <v>#REF!</v>
      </c>
      <c r="BE246" s="1" t="e">
        <f>BD246/VLOOKUP(A246,'[58]geoMap (55)'!$A:$B,2,0)*VLOOKUP(A246,'[58]geoMap (55)'!$A:$C,3,0)</f>
        <v>#REF!</v>
      </c>
      <c r="BF246" s="1" t="e">
        <f>BE246/VLOOKUP(A246,'[59]geoMap (56)'!$A:$B,2,0)*VLOOKUP(A246,'[59]geoMap (56)'!$A:$C,3,0)</f>
        <v>#REF!</v>
      </c>
      <c r="BG246" s="1" t="e">
        <f>BF246/VLOOKUP(A246,'[60]geoMap (57)'!$A:$B,2,0)*VLOOKUP(A246,'[60]geoMap (57)'!$A:$C,3,0)</f>
        <v>#REF!</v>
      </c>
      <c r="BH246" s="1" t="e">
        <f>BG246/VLOOKUP(A246,'[61]geoMap (58)'!$A:$B,2,0)*VLOOKUP(A246,'[61]geoMap (58)'!$A:$C,3,0)</f>
        <v>#REF!</v>
      </c>
      <c r="BI246" s="1" t="e">
        <f>BH246/VLOOKUP(A246,'[62]geoMap (59)'!$A:$B,2,0)*VLOOKUP(A246,'[62]geoMap (59)'!$A:$C,3,0)</f>
        <v>#REF!</v>
      </c>
      <c r="BJ246" s="1" t="e">
        <f>BI246/VLOOKUP(A246,'[63]geoMap (60)'!$A:$B,2,0)*VLOOKUP(A246,'[63]geoMap (60)'!$A:$C,3,0)</f>
        <v>#REF!</v>
      </c>
      <c r="BK246" s="1" t="e">
        <f>BJ246/VLOOKUP(A246,'[64]geoMap (61)'!$A:$B,2,0)*VLOOKUP(A246,'[64]geoMap (61)'!$A:$C,3,0)</f>
        <v>#REF!</v>
      </c>
      <c r="BL246" s="1" t="e">
        <f>BK246/VLOOKUP(A246,'[65]geoMap (62)'!$A:$B,2,0)*VLOOKUP(A246,'[65]geoMap (62)'!$A:$C,3,0)</f>
        <v>#REF!</v>
      </c>
      <c r="BM246" s="1" t="e">
        <f>BL246/VLOOKUP(A246,'[66]geoMap (63)'!$A:$B,2,0)*VLOOKUP(A246,'[66]geoMap (63)'!$A:$C,3,0)</f>
        <v>#REF!</v>
      </c>
      <c r="BN246" s="1" t="e">
        <f>BM246/VLOOKUP(A246,'[67]geoMap (64)'!$A:$B,2,0)*VLOOKUP(A246,'[67]geoMap (64)'!$A:$C,3,0)</f>
        <v>#REF!</v>
      </c>
      <c r="BO246" s="1" t="e">
        <f>BN246/VLOOKUP(A246,'[68]geoMap (65)'!$A:$B,2,0)*VLOOKUP(A246,'[68]geoMap (65)'!$A:$C,3,0)</f>
        <v>#REF!</v>
      </c>
      <c r="BP246" s="1" t="e">
        <f>BO246/VLOOKUP(A246,'[69]geoMap (66)'!$A:$B,2,0)*VLOOKUP(A246,'[69]geoMap (66)'!$A:$C,3,0)</f>
        <v>#REF!</v>
      </c>
    </row>
    <row r="247" spans="1:68" hidden="1" x14ac:dyDescent="0.2">
      <c r="A247" s="1" t="s">
        <v>249</v>
      </c>
      <c r="B247" s="1" t="e">
        <f>VLOOKUP(A247,[3]geoMap!$A:$B,2,0)*Notes!$C$6</f>
        <v>#REF!</v>
      </c>
      <c r="C247" s="1" t="e">
        <f>B247/VLOOKUP(A247,'[4]geoMap (1)'!$A:$B,2,0)*VLOOKUP(A247,'[4]geoMap (1)'!$A:$C,3,0)</f>
        <v>#REF!</v>
      </c>
      <c r="D247" s="1" t="e">
        <f>C247/VLOOKUP(A247,'[5]geoMap (2)'!$A:$B,2,0)*VLOOKUP(A247,'[5]geoMap (2)'!$A:$C,3,0)</f>
        <v>#REF!</v>
      </c>
      <c r="E247" s="1" t="e">
        <f>D247/VLOOKUP(A247,'[6]geoMap (3)'!$A:$B,2,0)*VLOOKUP(A247,'[6]geoMap (3)'!$A:$C,3,0)</f>
        <v>#REF!</v>
      </c>
      <c r="F247" s="1" t="e">
        <f>E247/VLOOKUP(A247,'[7]geoMap (4)'!$A:$B,2,0)*VLOOKUP(A247,'[7]geoMap (4)'!$A:$C,3,0)</f>
        <v>#REF!</v>
      </c>
      <c r="G247" s="1" t="e">
        <f>F247/VLOOKUP(A247,'[8]geoMap (5)'!$A:$B,2,0)*VLOOKUP(A247,'[8]geoMap (5)'!$A:$C,3,0)</f>
        <v>#REF!</v>
      </c>
      <c r="H247" s="1" t="e">
        <f>G247/VLOOKUP(A247,'[9]geoMap (6)'!$A:$B,2,0)*VLOOKUP(A247,'[9]geoMap (6)'!$A:$C,3,0)</f>
        <v>#REF!</v>
      </c>
      <c r="I247" s="1" t="e">
        <f>H247/VLOOKUP(A247,'[10]geoMap (7)'!$A:$B,2,0)*VLOOKUP(A247,'[10]geoMap (7)'!$A:$C,3,0)</f>
        <v>#REF!</v>
      </c>
      <c r="J247" s="1" t="e">
        <f>I247/VLOOKUP(A247,'[11]geoMap (8)'!$A:$B,2,0)*VLOOKUP(A247,'[11]geoMap (8)'!$A:$C,3,0)</f>
        <v>#REF!</v>
      </c>
      <c r="K247" s="1" t="e">
        <f>J247/VLOOKUP(A247,'[12]geoMap (9)'!$A:$B,2,0)*VLOOKUP(A247,'[12]geoMap (9)'!$A:$C,3,0)</f>
        <v>#REF!</v>
      </c>
      <c r="L247" s="1" t="e">
        <f>K247/VLOOKUP(A247,'[13]geoMap (10)'!$A:$B,2,0)*VLOOKUP(A247,'[13]geoMap (10)'!$A:$C,3,0)</f>
        <v>#REF!</v>
      </c>
      <c r="M247" s="1" t="e">
        <f>L247/VLOOKUP(A247,'[14]geoMap (11)'!$A:$B,2,0)*VLOOKUP(A247,'[14]geoMap (11)'!$A:$C,3,0)</f>
        <v>#REF!</v>
      </c>
      <c r="N247" s="1" t="e">
        <f>M247/VLOOKUP(A247,'[15]geoMap (12)'!$A:$B,2,0)*VLOOKUP(A247,'[15]geoMap (12)'!$A:$C,3,0)</f>
        <v>#REF!</v>
      </c>
      <c r="O247" s="1" t="e">
        <f>N247/VLOOKUP(A247,'[16]geoMap (13)'!$A:$B,2,0)*VLOOKUP(A247,'[16]geoMap (13)'!$A:$C,3,0)</f>
        <v>#REF!</v>
      </c>
      <c r="P247" s="1" t="e">
        <f>O247/VLOOKUP(A247,'[17]geoMap (14)'!$A:$B,2,0)*VLOOKUP(A247,'[17]geoMap (14)'!$A:$C,3,0)</f>
        <v>#REF!</v>
      </c>
      <c r="Q247" s="1" t="e">
        <f>P247/VLOOKUP(A247,'[18]geoMap (15)'!$A:$B,2,0)*VLOOKUP(A247,'[18]geoMap (15)'!$A:$C,3,0)</f>
        <v>#REF!</v>
      </c>
      <c r="R247" s="1" t="e">
        <f>Q247/VLOOKUP(A247,'[19]geoMap (16)'!$A:$B,2,0)*VLOOKUP(A247,'[19]geoMap (16)'!$A:$C,3,0)</f>
        <v>#REF!</v>
      </c>
      <c r="S247" s="1" t="e">
        <f>R247/VLOOKUP(A247,'[20]geoMap (17)'!$A:$B,2,0)*VLOOKUP(A247,'[20]geoMap (17)'!$A:$C,3,0)</f>
        <v>#REF!</v>
      </c>
      <c r="T247" s="1" t="e">
        <f>S247/VLOOKUP(A247,'[21]geoMap (18)'!$A:$B,2,0)*VLOOKUP(A247,'[21]geoMap (18)'!$A:$C,3,0)</f>
        <v>#REF!</v>
      </c>
      <c r="U247" s="1" t="e">
        <f>T247/VLOOKUP(A247,'[22]geoMap (19)'!$A:$B,2,0)*VLOOKUP(A247,'[22]geoMap (19)'!$A:$C,3,0)</f>
        <v>#REF!</v>
      </c>
      <c r="V247" s="1" t="e">
        <f>U247/VLOOKUP(A247,'[23]geoMap (20)'!$A:$B,2,0)*VLOOKUP(A247,'[23]geoMap (20)'!$A:$C,3,0)</f>
        <v>#REF!</v>
      </c>
      <c r="W247" s="1" t="e">
        <f>V247/VLOOKUP(A247,'[24]geoMap (21)'!$A:$B,2,0)*VLOOKUP(A247,'[24]geoMap (21)'!$A:$C,3,0)</f>
        <v>#REF!</v>
      </c>
      <c r="X247" s="1" t="e">
        <f>W247/VLOOKUP(A247,'[25]geoMap (22)'!$A:$B,2,0)*VLOOKUP(A247,'[25]geoMap (22)'!$A:$C,3,0)</f>
        <v>#REF!</v>
      </c>
      <c r="Y247" s="1" t="e">
        <f>X247/VLOOKUP(A247,'[26]geoMap (23)'!$A:$B,2,0)*VLOOKUP(A247,'[26]geoMap (23)'!$A:$C,3,0)</f>
        <v>#REF!</v>
      </c>
      <c r="Z247" s="1" t="e">
        <f>Y247/VLOOKUP(A247,'[27]geoMap (24)'!$A:$B,2,0)*VLOOKUP(A247,'[27]geoMap (24)'!$A:$C,3,0)</f>
        <v>#REF!</v>
      </c>
      <c r="AA247" s="1" t="e">
        <f>Z247/VLOOKUP(A247,'[28]geoMap (25)'!$A:$B,2,0)*VLOOKUP(A247,'[28]geoMap (25)'!$A:$C,3,0)</f>
        <v>#REF!</v>
      </c>
      <c r="AB247" s="1" t="e">
        <f>AA247*VLOOKUP(A247,'[29]geoMap (26)'!$A:$B,2,0)*VLOOKUP(A247,'[29]geoMap (26)'!$A:$C,3,0)</f>
        <v>#REF!</v>
      </c>
      <c r="AC247" s="1" t="e">
        <f>AB247/VLOOKUP(A247,'[30]geoMap (27)'!$A:$B,2,0)*VLOOKUP(A247,'[30]geoMap (27)'!$A:$C,3,0)</f>
        <v>#REF!</v>
      </c>
      <c r="AD247" s="1" t="e">
        <f>AC247/VLOOKUP(A247,'[31]geoMap (28)'!$A:$B,2,0)*VLOOKUP(A247,'[31]geoMap (28)'!$A:$C,3,0)</f>
        <v>#REF!</v>
      </c>
      <c r="AE247" s="1" t="e">
        <f>AD247/VLOOKUP(A247,'[32]geoMap (29)'!$A:$B,2,0)*VLOOKUP(A247,'[32]geoMap (29)'!$A:$C,3,0)</f>
        <v>#REF!</v>
      </c>
      <c r="AF247" s="1" t="e">
        <f>AE247/VLOOKUP(A247,'[33]geoMap (30)'!$A:$B,2,0)*VLOOKUP(A247,'[33]geoMap (30)'!$A:$C,3,0)</f>
        <v>#REF!</v>
      </c>
      <c r="AG247" s="1" t="e">
        <f>AF247/VLOOKUP(A247,'[34]geoMap (31)'!$A:$B,2,0)*VLOOKUP(A247,'[34]geoMap (31)'!$A:$C,3,0)</f>
        <v>#REF!</v>
      </c>
      <c r="AH247" s="1" t="e">
        <f>AG247/VLOOKUP(A247,'[35]geoMap (32)'!$A:$B,2,0)*VLOOKUP(A247,'[35]geoMap (32)'!$A:$C,3,0)</f>
        <v>#REF!</v>
      </c>
      <c r="AI247" s="1" t="e">
        <f>AH247/VLOOKUP(A247,'[36]geoMap (33)'!$A:$B,2,0)*VLOOKUP(A247,'[36]geoMap (33)'!$A:$C,3,0)</f>
        <v>#REF!</v>
      </c>
      <c r="AJ247" s="1" t="e">
        <f>AI247/VLOOKUP(A247,'[37]geoMap (34)'!$A:$B,2,0)*VLOOKUP(A247,'[37]geoMap (34)'!$A:$C,3,0)</f>
        <v>#REF!</v>
      </c>
      <c r="AK247" s="1" t="e">
        <f>AJ247/VLOOKUP(A247,'[38]geoMap (35)'!$A:$B,2,0)*VLOOKUP(A247,'[38]geoMap (35)'!$A:$C,3,0)</f>
        <v>#REF!</v>
      </c>
      <c r="AL247" s="1" t="e">
        <f>AK247/VLOOKUP(A247,'[39]geoMap (36)'!$A:$B,2,0)*VLOOKUP(A247,'[39]geoMap (36)'!$A:$C,3,0)</f>
        <v>#REF!</v>
      </c>
      <c r="AM247" s="1" t="e">
        <f>AL247/VLOOKUP(A247,'[40]geoMap (37)'!$A:$B,2,0)*VLOOKUP(A247,'[40]geoMap (37)'!$A:$C,3,0)</f>
        <v>#REF!</v>
      </c>
      <c r="AN247" s="1" t="e">
        <f>AM247/VLOOKUP(A247,'[41]geoMap (38)'!$A:$B,2,0)*VLOOKUP(A247,'[41]geoMap (38)'!$A:$C,3,0)</f>
        <v>#REF!</v>
      </c>
      <c r="AO247" s="1" t="e">
        <f>AN247/VLOOKUP(A247,'[42]geoMap (39)'!$A:$B,2,0)*VLOOKUP(A247,'[42]geoMap (39)'!$A:$C,3,0)</f>
        <v>#REF!</v>
      </c>
      <c r="AP247" s="1" t="e">
        <f>AO247/VLOOKUP(A247,'[43]geoMap (40)'!$A:$B,2,0)*VLOOKUP(A247,'[43]geoMap (40)'!$A:$C,3,0)</f>
        <v>#REF!</v>
      </c>
      <c r="AQ247" s="1" t="e">
        <f>AP247/VLOOKUP(A247,'[44]geoMap (41)'!$A:$B,2,0)*VLOOKUP(A247,'[44]geoMap (41)'!$A:$C,3,0)</f>
        <v>#REF!</v>
      </c>
      <c r="AR247" s="1" t="e">
        <f>AQ247/VLOOKUP(A247,'[45]geoMap (42)'!$A:$B,2,0)*VLOOKUP(A247,'[45]geoMap (42)'!$A:$C,3,0)</f>
        <v>#REF!</v>
      </c>
      <c r="AS247" s="1" t="e">
        <f>AR247/VLOOKUP(A247,'[46]geoMap (43)'!$A:$B,2,0)*VLOOKUP(A247,'[46]geoMap (43)'!$A:$C,3,0)</f>
        <v>#REF!</v>
      </c>
      <c r="AT247" s="1" t="e">
        <f>AS247/VLOOKUP(A247,'[47]geoMap (44)'!$A:$B,2,0)*VLOOKUP(A247,'[47]geoMap (44)'!$A:$C,3,0)</f>
        <v>#REF!</v>
      </c>
      <c r="AU247" s="1" t="e">
        <f>AT247/VLOOKUP(A247,'[48]geoMap (45)'!$A:$B,2,0)*VLOOKUP(A247,'[48]geoMap (45)'!$A:$C,3,0)</f>
        <v>#REF!</v>
      </c>
      <c r="AV247" s="1" t="e">
        <f>AU247/VLOOKUP(A247,'[49]geoMap (46)'!$A:$B,2,0)*VLOOKUP(A247,'[49]geoMap (46)'!$A:$C,3,0)</f>
        <v>#REF!</v>
      </c>
      <c r="AW247" s="1" t="e">
        <f>AV247/VLOOKUP(A247,'[50]geoMap (47)'!$A:$B,2,0)*VLOOKUP(A247,'[50]geoMap (47)'!$A:$C,3,0)</f>
        <v>#REF!</v>
      </c>
      <c r="AX247" s="1" t="e">
        <f>AW247/VLOOKUP(A247,'[51]geoMap (48)'!$A:$B,2,0)*VLOOKUP(A247,'[51]geoMap (48)'!$A:$C,3,0)</f>
        <v>#REF!</v>
      </c>
      <c r="AY247" s="1" t="e">
        <f>AX247/VLOOKUP(A247,'[52]geoMap (49)'!$A:$B,2,0)*VLOOKUP(A247,'[52]geoMap (49)'!$A:$C,3,0)</f>
        <v>#REF!</v>
      </c>
      <c r="AZ247" s="1" t="e">
        <f>AY247/VLOOKUP(A247,'[53]geoMap (50)'!$A:$B,2,0)*VLOOKUP(A247,'[53]geoMap (50)'!$A:$C,3,0)</f>
        <v>#REF!</v>
      </c>
      <c r="BA247" s="1" t="e">
        <f>AZ247/VLOOKUP(A247,'[54]geoMap (51)'!$A:$B,2,0)*VLOOKUP(A247,'[54]geoMap (51)'!$A:$C,3,0)</f>
        <v>#REF!</v>
      </c>
      <c r="BB247" s="1" t="e">
        <f>BA247/VLOOKUP(A247,'[55]geoMap (52)'!$A:$B,2,0)*VLOOKUP(A247,'[55]geoMap (52)'!$A:$C,3,0)</f>
        <v>#REF!</v>
      </c>
      <c r="BC247" s="1" t="e">
        <f>BB247/VLOOKUP(A247,'[56]geoMap (53)'!$A:$B,2,0)*VLOOKUP(A247,'[56]geoMap (53)'!$A:$C,3,0)</f>
        <v>#REF!</v>
      </c>
      <c r="BD247" s="1" t="e">
        <f>BC247/VLOOKUP(A247,'[57]geoMap (54)'!$A:$B,2,0)*VLOOKUP(A247,'[57]geoMap (54)'!$A:$C,3,0)</f>
        <v>#REF!</v>
      </c>
      <c r="BE247" s="1" t="e">
        <f>BD247/VLOOKUP(A247,'[58]geoMap (55)'!$A:$B,2,0)*VLOOKUP(A247,'[58]geoMap (55)'!$A:$C,3,0)</f>
        <v>#REF!</v>
      </c>
      <c r="BF247" s="1" t="e">
        <f>BE247/VLOOKUP(A247,'[59]geoMap (56)'!$A:$B,2,0)*VLOOKUP(A247,'[59]geoMap (56)'!$A:$C,3,0)</f>
        <v>#REF!</v>
      </c>
      <c r="BG247" s="1" t="e">
        <f>BF247/VLOOKUP(A247,'[60]geoMap (57)'!$A:$B,2,0)*VLOOKUP(A247,'[60]geoMap (57)'!$A:$C,3,0)</f>
        <v>#REF!</v>
      </c>
      <c r="BH247" s="1" t="e">
        <f>BG247/VLOOKUP(A247,'[61]geoMap (58)'!$A:$B,2,0)*VLOOKUP(A247,'[61]geoMap (58)'!$A:$C,3,0)</f>
        <v>#REF!</v>
      </c>
      <c r="BI247" s="1" t="e">
        <f>BH247/VLOOKUP(A247,'[62]geoMap (59)'!$A:$B,2,0)*VLOOKUP(A247,'[62]geoMap (59)'!$A:$C,3,0)</f>
        <v>#REF!</v>
      </c>
      <c r="BJ247" s="1" t="e">
        <f>BI247/VLOOKUP(A247,'[63]geoMap (60)'!$A:$B,2,0)*VLOOKUP(A247,'[63]geoMap (60)'!$A:$C,3,0)</f>
        <v>#REF!</v>
      </c>
      <c r="BK247" s="1" t="e">
        <f>BJ247/VLOOKUP(A247,'[64]geoMap (61)'!$A:$B,2,0)*VLOOKUP(A247,'[64]geoMap (61)'!$A:$C,3,0)</f>
        <v>#REF!</v>
      </c>
      <c r="BL247" s="1" t="e">
        <f>BK247/VLOOKUP(A247,'[65]geoMap (62)'!$A:$B,2,0)*VLOOKUP(A247,'[65]geoMap (62)'!$A:$C,3,0)</f>
        <v>#REF!</v>
      </c>
      <c r="BM247" s="1" t="e">
        <f>BL247/VLOOKUP(A247,'[66]geoMap (63)'!$A:$B,2,0)*VLOOKUP(A247,'[66]geoMap (63)'!$A:$C,3,0)</f>
        <v>#REF!</v>
      </c>
      <c r="BN247" s="1" t="e">
        <f>BM247/VLOOKUP(A247,'[67]geoMap (64)'!$A:$B,2,0)*VLOOKUP(A247,'[67]geoMap (64)'!$A:$C,3,0)</f>
        <v>#REF!</v>
      </c>
      <c r="BO247" s="1" t="e">
        <f>BN247/VLOOKUP(A247,'[68]geoMap (65)'!$A:$B,2,0)*VLOOKUP(A247,'[68]geoMap (65)'!$A:$C,3,0)</f>
        <v>#REF!</v>
      </c>
      <c r="BP247" s="1" t="e">
        <f>BO247/VLOOKUP(A247,'[69]geoMap (66)'!$A:$B,2,0)*VLOOKUP(A247,'[69]geoMap (66)'!$A:$C,3,0)</f>
        <v>#REF!</v>
      </c>
    </row>
    <row r="248" spans="1:68" hidden="1" x14ac:dyDescent="0.2">
      <c r="A248" s="1" t="s">
        <v>250</v>
      </c>
      <c r="B248" s="1" t="e">
        <f>VLOOKUP(A248,[3]geoMap!$A:$B,2,0)*Notes!$C$6</f>
        <v>#REF!</v>
      </c>
      <c r="C248" s="1" t="e">
        <f>B248/VLOOKUP(A248,'[4]geoMap (1)'!$A:$B,2,0)*VLOOKUP(A248,'[4]geoMap (1)'!$A:$C,3,0)</f>
        <v>#REF!</v>
      </c>
      <c r="D248" s="1" t="e">
        <f>C248/VLOOKUP(A248,'[5]geoMap (2)'!$A:$B,2,0)*VLOOKUP(A248,'[5]geoMap (2)'!$A:$C,3,0)</f>
        <v>#REF!</v>
      </c>
      <c r="E248" s="1" t="e">
        <f>D248/VLOOKUP(A248,'[6]geoMap (3)'!$A:$B,2,0)*VLOOKUP(A248,'[6]geoMap (3)'!$A:$C,3,0)</f>
        <v>#REF!</v>
      </c>
      <c r="F248" s="1" t="e">
        <f>E248/VLOOKUP(A248,'[7]geoMap (4)'!$A:$B,2,0)*VLOOKUP(A248,'[7]geoMap (4)'!$A:$C,3,0)</f>
        <v>#REF!</v>
      </c>
      <c r="G248" s="1" t="e">
        <f>F248/VLOOKUP(A248,'[8]geoMap (5)'!$A:$B,2,0)*VLOOKUP(A248,'[8]geoMap (5)'!$A:$C,3,0)</f>
        <v>#REF!</v>
      </c>
      <c r="H248" s="1" t="e">
        <f>G248/VLOOKUP(A248,'[9]geoMap (6)'!$A:$B,2,0)*VLOOKUP(A248,'[9]geoMap (6)'!$A:$C,3,0)</f>
        <v>#REF!</v>
      </c>
      <c r="I248" s="1" t="e">
        <f>H248/VLOOKUP(A248,'[10]geoMap (7)'!$A:$B,2,0)*VLOOKUP(A248,'[10]geoMap (7)'!$A:$C,3,0)</f>
        <v>#REF!</v>
      </c>
      <c r="J248" s="1" t="e">
        <f>I248/VLOOKUP(A248,'[11]geoMap (8)'!$A:$B,2,0)*VLOOKUP(A248,'[11]geoMap (8)'!$A:$C,3,0)</f>
        <v>#REF!</v>
      </c>
      <c r="K248" s="1" t="e">
        <f>J248/VLOOKUP(A248,'[12]geoMap (9)'!$A:$B,2,0)*VLOOKUP(A248,'[12]geoMap (9)'!$A:$C,3,0)</f>
        <v>#REF!</v>
      </c>
      <c r="L248" s="1" t="e">
        <f>K248/VLOOKUP(A248,'[13]geoMap (10)'!$A:$B,2,0)*VLOOKUP(A248,'[13]geoMap (10)'!$A:$C,3,0)</f>
        <v>#REF!</v>
      </c>
      <c r="M248" s="1" t="e">
        <f>L248/VLOOKUP(A248,'[14]geoMap (11)'!$A:$B,2,0)*VLOOKUP(A248,'[14]geoMap (11)'!$A:$C,3,0)</f>
        <v>#REF!</v>
      </c>
      <c r="N248" s="1" t="e">
        <f>M248/VLOOKUP(A248,'[15]geoMap (12)'!$A:$B,2,0)*VLOOKUP(A248,'[15]geoMap (12)'!$A:$C,3,0)</f>
        <v>#REF!</v>
      </c>
      <c r="O248" s="1" t="e">
        <f>N248/VLOOKUP(A248,'[16]geoMap (13)'!$A:$B,2,0)*VLOOKUP(A248,'[16]geoMap (13)'!$A:$C,3,0)</f>
        <v>#REF!</v>
      </c>
      <c r="P248" s="1" t="e">
        <f>O248/VLOOKUP(A248,'[17]geoMap (14)'!$A:$B,2,0)*VLOOKUP(A248,'[17]geoMap (14)'!$A:$C,3,0)</f>
        <v>#REF!</v>
      </c>
      <c r="Q248" s="1" t="e">
        <f>P248/VLOOKUP(A248,'[18]geoMap (15)'!$A:$B,2,0)*VLOOKUP(A248,'[18]geoMap (15)'!$A:$C,3,0)</f>
        <v>#REF!</v>
      </c>
      <c r="R248" s="1" t="e">
        <f>Q248/VLOOKUP(A248,'[19]geoMap (16)'!$A:$B,2,0)*VLOOKUP(A248,'[19]geoMap (16)'!$A:$C,3,0)</f>
        <v>#REF!</v>
      </c>
      <c r="S248" s="1" t="e">
        <f>R248/VLOOKUP(A248,'[20]geoMap (17)'!$A:$B,2,0)*VLOOKUP(A248,'[20]geoMap (17)'!$A:$C,3,0)</f>
        <v>#REF!</v>
      </c>
      <c r="T248" s="1" t="e">
        <f>S248/VLOOKUP(A248,'[21]geoMap (18)'!$A:$B,2,0)*VLOOKUP(A248,'[21]geoMap (18)'!$A:$C,3,0)</f>
        <v>#REF!</v>
      </c>
      <c r="U248" s="1" t="e">
        <f>T248/VLOOKUP(A248,'[22]geoMap (19)'!$A:$B,2,0)*VLOOKUP(A248,'[22]geoMap (19)'!$A:$C,3,0)</f>
        <v>#REF!</v>
      </c>
      <c r="V248" s="1" t="e">
        <f>U248/VLOOKUP(A248,'[23]geoMap (20)'!$A:$B,2,0)*VLOOKUP(A248,'[23]geoMap (20)'!$A:$C,3,0)</f>
        <v>#REF!</v>
      </c>
      <c r="W248" s="1" t="e">
        <f>V248/VLOOKUP(A248,'[24]geoMap (21)'!$A:$B,2,0)*VLOOKUP(A248,'[24]geoMap (21)'!$A:$C,3,0)</f>
        <v>#REF!</v>
      </c>
      <c r="X248" s="1" t="e">
        <f>W248/VLOOKUP(A248,'[25]geoMap (22)'!$A:$B,2,0)*VLOOKUP(A248,'[25]geoMap (22)'!$A:$C,3,0)</f>
        <v>#REF!</v>
      </c>
      <c r="Y248" s="1" t="e">
        <f>X248/VLOOKUP(A248,'[26]geoMap (23)'!$A:$B,2,0)*VLOOKUP(A248,'[26]geoMap (23)'!$A:$C,3,0)</f>
        <v>#REF!</v>
      </c>
      <c r="Z248" s="1" t="e">
        <f>Y248/VLOOKUP(A248,'[27]geoMap (24)'!$A:$B,2,0)*VLOOKUP(A248,'[27]geoMap (24)'!$A:$C,3,0)</f>
        <v>#REF!</v>
      </c>
      <c r="AA248" s="1" t="e">
        <f>Z248/VLOOKUP(A248,'[28]geoMap (25)'!$A:$B,2,0)*VLOOKUP(A248,'[28]geoMap (25)'!$A:$C,3,0)</f>
        <v>#REF!</v>
      </c>
      <c r="AB248" s="1" t="e">
        <f>AA248*VLOOKUP(A248,'[29]geoMap (26)'!$A:$B,2,0)*VLOOKUP(A248,'[29]geoMap (26)'!$A:$C,3,0)</f>
        <v>#REF!</v>
      </c>
      <c r="AC248" s="1" t="e">
        <f>AB248/VLOOKUP(A248,'[30]geoMap (27)'!$A:$B,2,0)*VLOOKUP(A248,'[30]geoMap (27)'!$A:$C,3,0)</f>
        <v>#REF!</v>
      </c>
      <c r="AD248" s="1" t="e">
        <f>AC248/VLOOKUP(A248,'[31]geoMap (28)'!$A:$B,2,0)*VLOOKUP(A248,'[31]geoMap (28)'!$A:$C,3,0)</f>
        <v>#REF!</v>
      </c>
      <c r="AE248" s="1" t="e">
        <f>AD248/VLOOKUP(A248,'[32]geoMap (29)'!$A:$B,2,0)*VLOOKUP(A248,'[32]geoMap (29)'!$A:$C,3,0)</f>
        <v>#REF!</v>
      </c>
      <c r="AF248" s="1" t="e">
        <f>AE248/VLOOKUP(A248,'[33]geoMap (30)'!$A:$B,2,0)*VLOOKUP(A248,'[33]geoMap (30)'!$A:$C,3,0)</f>
        <v>#REF!</v>
      </c>
      <c r="AG248" s="1" t="e">
        <f>AF248/VLOOKUP(A248,'[34]geoMap (31)'!$A:$B,2,0)*VLOOKUP(A248,'[34]geoMap (31)'!$A:$C,3,0)</f>
        <v>#REF!</v>
      </c>
      <c r="AH248" s="1" t="e">
        <f>AG248/VLOOKUP(A248,'[35]geoMap (32)'!$A:$B,2,0)*VLOOKUP(A248,'[35]geoMap (32)'!$A:$C,3,0)</f>
        <v>#REF!</v>
      </c>
      <c r="AI248" s="1" t="e">
        <f>AH248/VLOOKUP(A248,'[36]geoMap (33)'!$A:$B,2,0)*VLOOKUP(A248,'[36]geoMap (33)'!$A:$C,3,0)</f>
        <v>#REF!</v>
      </c>
      <c r="AJ248" s="1" t="e">
        <f>AI248/VLOOKUP(A248,'[37]geoMap (34)'!$A:$B,2,0)*VLOOKUP(A248,'[37]geoMap (34)'!$A:$C,3,0)</f>
        <v>#REF!</v>
      </c>
      <c r="AK248" s="1" t="e">
        <f>AJ248/VLOOKUP(A248,'[38]geoMap (35)'!$A:$B,2,0)*VLOOKUP(A248,'[38]geoMap (35)'!$A:$C,3,0)</f>
        <v>#REF!</v>
      </c>
      <c r="AL248" s="1" t="e">
        <f>AK248/VLOOKUP(A248,'[39]geoMap (36)'!$A:$B,2,0)*VLOOKUP(A248,'[39]geoMap (36)'!$A:$C,3,0)</f>
        <v>#REF!</v>
      </c>
      <c r="AM248" s="1" t="e">
        <f>AL248/VLOOKUP(A248,'[40]geoMap (37)'!$A:$B,2,0)*VLOOKUP(A248,'[40]geoMap (37)'!$A:$C,3,0)</f>
        <v>#REF!</v>
      </c>
      <c r="AN248" s="1" t="e">
        <f>AM248/VLOOKUP(A248,'[41]geoMap (38)'!$A:$B,2,0)*VLOOKUP(A248,'[41]geoMap (38)'!$A:$C,3,0)</f>
        <v>#REF!</v>
      </c>
      <c r="AO248" s="1" t="e">
        <f>AN248/VLOOKUP(A248,'[42]geoMap (39)'!$A:$B,2,0)*VLOOKUP(A248,'[42]geoMap (39)'!$A:$C,3,0)</f>
        <v>#REF!</v>
      </c>
      <c r="AP248" s="1" t="e">
        <f>AO248/VLOOKUP(A248,'[43]geoMap (40)'!$A:$B,2,0)*VLOOKUP(A248,'[43]geoMap (40)'!$A:$C,3,0)</f>
        <v>#REF!</v>
      </c>
      <c r="AQ248" s="1" t="e">
        <f>AP248/VLOOKUP(A248,'[44]geoMap (41)'!$A:$B,2,0)*VLOOKUP(A248,'[44]geoMap (41)'!$A:$C,3,0)</f>
        <v>#REF!</v>
      </c>
      <c r="AR248" s="1" t="e">
        <f>AQ248/VLOOKUP(A248,'[45]geoMap (42)'!$A:$B,2,0)*VLOOKUP(A248,'[45]geoMap (42)'!$A:$C,3,0)</f>
        <v>#REF!</v>
      </c>
      <c r="AS248" s="1" t="e">
        <f>AR248/VLOOKUP(A248,'[46]geoMap (43)'!$A:$B,2,0)*VLOOKUP(A248,'[46]geoMap (43)'!$A:$C,3,0)</f>
        <v>#REF!</v>
      </c>
      <c r="AT248" s="1" t="e">
        <f>AS248/VLOOKUP(A248,'[47]geoMap (44)'!$A:$B,2,0)*VLOOKUP(A248,'[47]geoMap (44)'!$A:$C,3,0)</f>
        <v>#REF!</v>
      </c>
      <c r="AU248" s="1" t="e">
        <f>AT248/VLOOKUP(A248,'[48]geoMap (45)'!$A:$B,2,0)*VLOOKUP(A248,'[48]geoMap (45)'!$A:$C,3,0)</f>
        <v>#REF!</v>
      </c>
      <c r="AV248" s="1" t="e">
        <f>AU248/VLOOKUP(A248,'[49]geoMap (46)'!$A:$B,2,0)*VLOOKUP(A248,'[49]geoMap (46)'!$A:$C,3,0)</f>
        <v>#REF!</v>
      </c>
      <c r="AW248" s="1" t="e">
        <f>AV248/VLOOKUP(A248,'[50]geoMap (47)'!$A:$B,2,0)*VLOOKUP(A248,'[50]geoMap (47)'!$A:$C,3,0)</f>
        <v>#REF!</v>
      </c>
      <c r="AX248" s="1" t="e">
        <f>AW248/VLOOKUP(A248,'[51]geoMap (48)'!$A:$B,2,0)*VLOOKUP(A248,'[51]geoMap (48)'!$A:$C,3,0)</f>
        <v>#REF!</v>
      </c>
      <c r="AY248" s="1" t="e">
        <f>AX248/VLOOKUP(A248,'[52]geoMap (49)'!$A:$B,2,0)*VLOOKUP(A248,'[52]geoMap (49)'!$A:$C,3,0)</f>
        <v>#REF!</v>
      </c>
      <c r="AZ248" s="1" t="e">
        <f>AY248/VLOOKUP(A248,'[53]geoMap (50)'!$A:$B,2,0)*VLOOKUP(A248,'[53]geoMap (50)'!$A:$C,3,0)</f>
        <v>#REF!</v>
      </c>
      <c r="BA248" s="1" t="e">
        <f>AZ248/VLOOKUP(A248,'[54]geoMap (51)'!$A:$B,2,0)*VLOOKUP(A248,'[54]geoMap (51)'!$A:$C,3,0)</f>
        <v>#REF!</v>
      </c>
      <c r="BB248" s="1" t="e">
        <f>BA248/VLOOKUP(A248,'[55]geoMap (52)'!$A:$B,2,0)*VLOOKUP(A248,'[55]geoMap (52)'!$A:$C,3,0)</f>
        <v>#REF!</v>
      </c>
      <c r="BC248" s="1" t="e">
        <f>BB248/VLOOKUP(A248,'[56]geoMap (53)'!$A:$B,2,0)*VLOOKUP(A248,'[56]geoMap (53)'!$A:$C,3,0)</f>
        <v>#REF!</v>
      </c>
      <c r="BD248" s="1" t="e">
        <f>BC248/VLOOKUP(A248,'[57]geoMap (54)'!$A:$B,2,0)*VLOOKUP(A248,'[57]geoMap (54)'!$A:$C,3,0)</f>
        <v>#REF!</v>
      </c>
      <c r="BE248" s="1" t="e">
        <f>BD248/VLOOKUP(A248,'[58]geoMap (55)'!$A:$B,2,0)*VLOOKUP(A248,'[58]geoMap (55)'!$A:$C,3,0)</f>
        <v>#REF!</v>
      </c>
      <c r="BF248" s="1" t="e">
        <f>BE248/VLOOKUP(A248,'[59]geoMap (56)'!$A:$B,2,0)*VLOOKUP(A248,'[59]geoMap (56)'!$A:$C,3,0)</f>
        <v>#REF!</v>
      </c>
      <c r="BG248" s="1" t="e">
        <f>BF248/VLOOKUP(A248,'[60]geoMap (57)'!$A:$B,2,0)*VLOOKUP(A248,'[60]geoMap (57)'!$A:$C,3,0)</f>
        <v>#REF!</v>
      </c>
      <c r="BH248" s="1" t="e">
        <f>BG248/VLOOKUP(A248,'[61]geoMap (58)'!$A:$B,2,0)*VLOOKUP(A248,'[61]geoMap (58)'!$A:$C,3,0)</f>
        <v>#REF!</v>
      </c>
      <c r="BI248" s="1" t="e">
        <f>BH248/VLOOKUP(A248,'[62]geoMap (59)'!$A:$B,2,0)*VLOOKUP(A248,'[62]geoMap (59)'!$A:$C,3,0)</f>
        <v>#REF!</v>
      </c>
      <c r="BJ248" s="1" t="e">
        <f>BI248/VLOOKUP(A248,'[63]geoMap (60)'!$A:$B,2,0)*VLOOKUP(A248,'[63]geoMap (60)'!$A:$C,3,0)</f>
        <v>#REF!</v>
      </c>
      <c r="BK248" s="1" t="e">
        <f>BJ248/VLOOKUP(A248,'[64]geoMap (61)'!$A:$B,2,0)*VLOOKUP(A248,'[64]geoMap (61)'!$A:$C,3,0)</f>
        <v>#REF!</v>
      </c>
      <c r="BL248" s="1" t="e">
        <f>BK248/VLOOKUP(A248,'[65]geoMap (62)'!$A:$B,2,0)*VLOOKUP(A248,'[65]geoMap (62)'!$A:$C,3,0)</f>
        <v>#REF!</v>
      </c>
      <c r="BM248" s="1" t="e">
        <f>BL248/VLOOKUP(A248,'[66]geoMap (63)'!$A:$B,2,0)*VLOOKUP(A248,'[66]geoMap (63)'!$A:$C,3,0)</f>
        <v>#REF!</v>
      </c>
      <c r="BN248" s="1" t="e">
        <f>BM248/VLOOKUP(A248,'[67]geoMap (64)'!$A:$B,2,0)*VLOOKUP(A248,'[67]geoMap (64)'!$A:$C,3,0)</f>
        <v>#REF!</v>
      </c>
      <c r="BO248" s="1" t="e">
        <f>BN248/VLOOKUP(A248,'[68]geoMap (65)'!$A:$B,2,0)*VLOOKUP(A248,'[68]geoMap (65)'!$A:$C,3,0)</f>
        <v>#REF!</v>
      </c>
      <c r="BP248" s="1" t="e">
        <f>BO248/VLOOKUP(A248,'[69]geoMap (66)'!$A:$B,2,0)*VLOOKUP(A248,'[69]geoMap (66)'!$A:$C,3,0)</f>
        <v>#REF!</v>
      </c>
    </row>
    <row r="249" spans="1:68" hidden="1" x14ac:dyDescent="0.2">
      <c r="A249" s="1" t="s">
        <v>251</v>
      </c>
      <c r="B249" s="1" t="e">
        <f>VLOOKUP(A249,[3]geoMap!$A:$B,2,0)*Notes!$C$6</f>
        <v>#REF!</v>
      </c>
      <c r="C249" s="1" t="e">
        <f>B249/VLOOKUP(A249,'[4]geoMap (1)'!$A:$B,2,0)*VLOOKUP(A249,'[4]geoMap (1)'!$A:$C,3,0)</f>
        <v>#REF!</v>
      </c>
      <c r="D249" s="1" t="e">
        <f>C249/VLOOKUP(A249,'[5]geoMap (2)'!$A:$B,2,0)*VLOOKUP(A249,'[5]geoMap (2)'!$A:$C,3,0)</f>
        <v>#REF!</v>
      </c>
      <c r="E249" s="1" t="e">
        <f>D249/VLOOKUP(A249,'[6]geoMap (3)'!$A:$B,2,0)*VLOOKUP(A249,'[6]geoMap (3)'!$A:$C,3,0)</f>
        <v>#REF!</v>
      </c>
      <c r="F249" s="1" t="e">
        <f>E249/VLOOKUP(A249,'[7]geoMap (4)'!$A:$B,2,0)*VLOOKUP(A249,'[7]geoMap (4)'!$A:$C,3,0)</f>
        <v>#REF!</v>
      </c>
      <c r="G249" s="1" t="e">
        <f>F249/VLOOKUP(A249,'[8]geoMap (5)'!$A:$B,2,0)*VLOOKUP(A249,'[8]geoMap (5)'!$A:$C,3,0)</f>
        <v>#REF!</v>
      </c>
      <c r="H249" s="1" t="e">
        <f>G249/VLOOKUP(A249,'[9]geoMap (6)'!$A:$B,2,0)*VLOOKUP(A249,'[9]geoMap (6)'!$A:$C,3,0)</f>
        <v>#REF!</v>
      </c>
      <c r="I249" s="1" t="e">
        <f>H249/VLOOKUP(A249,'[10]geoMap (7)'!$A:$B,2,0)*VLOOKUP(A249,'[10]geoMap (7)'!$A:$C,3,0)</f>
        <v>#REF!</v>
      </c>
      <c r="J249" s="1" t="e">
        <f>I249/VLOOKUP(A249,'[11]geoMap (8)'!$A:$B,2,0)*VLOOKUP(A249,'[11]geoMap (8)'!$A:$C,3,0)</f>
        <v>#REF!</v>
      </c>
      <c r="K249" s="1" t="e">
        <f>J249/VLOOKUP(A249,'[12]geoMap (9)'!$A:$B,2,0)*VLOOKUP(A249,'[12]geoMap (9)'!$A:$C,3,0)</f>
        <v>#REF!</v>
      </c>
      <c r="L249" s="1" t="e">
        <f>K249/VLOOKUP(A249,'[13]geoMap (10)'!$A:$B,2,0)*VLOOKUP(A249,'[13]geoMap (10)'!$A:$C,3,0)</f>
        <v>#REF!</v>
      </c>
      <c r="M249" s="1" t="e">
        <f>L249/VLOOKUP(A249,'[14]geoMap (11)'!$A:$B,2,0)*VLOOKUP(A249,'[14]geoMap (11)'!$A:$C,3,0)</f>
        <v>#REF!</v>
      </c>
      <c r="N249" s="1" t="e">
        <f>M249/VLOOKUP(A249,'[15]geoMap (12)'!$A:$B,2,0)*VLOOKUP(A249,'[15]geoMap (12)'!$A:$C,3,0)</f>
        <v>#REF!</v>
      </c>
      <c r="O249" s="1" t="e">
        <f>N249/VLOOKUP(A249,'[16]geoMap (13)'!$A:$B,2,0)*VLOOKUP(A249,'[16]geoMap (13)'!$A:$C,3,0)</f>
        <v>#REF!</v>
      </c>
      <c r="P249" s="1" t="e">
        <f>O249/VLOOKUP(A249,'[17]geoMap (14)'!$A:$B,2,0)*VLOOKUP(A249,'[17]geoMap (14)'!$A:$C,3,0)</f>
        <v>#REF!</v>
      </c>
      <c r="Q249" s="1" t="e">
        <f>P249/VLOOKUP(A249,'[18]geoMap (15)'!$A:$B,2,0)*VLOOKUP(A249,'[18]geoMap (15)'!$A:$C,3,0)</f>
        <v>#REF!</v>
      </c>
      <c r="R249" s="1" t="e">
        <f>Q249/VLOOKUP(A249,'[19]geoMap (16)'!$A:$B,2,0)*VLOOKUP(A249,'[19]geoMap (16)'!$A:$C,3,0)</f>
        <v>#REF!</v>
      </c>
      <c r="S249" s="1" t="e">
        <f>R249/VLOOKUP(A249,'[20]geoMap (17)'!$A:$B,2,0)*VLOOKUP(A249,'[20]geoMap (17)'!$A:$C,3,0)</f>
        <v>#REF!</v>
      </c>
      <c r="T249" s="1" t="e">
        <f>S249/VLOOKUP(A249,'[21]geoMap (18)'!$A:$B,2,0)*VLOOKUP(A249,'[21]geoMap (18)'!$A:$C,3,0)</f>
        <v>#REF!</v>
      </c>
      <c r="U249" s="1" t="e">
        <f>T249/VLOOKUP(A249,'[22]geoMap (19)'!$A:$B,2,0)*VLOOKUP(A249,'[22]geoMap (19)'!$A:$C,3,0)</f>
        <v>#REF!</v>
      </c>
      <c r="V249" s="1" t="e">
        <f>U249/VLOOKUP(A249,'[23]geoMap (20)'!$A:$B,2,0)*VLOOKUP(A249,'[23]geoMap (20)'!$A:$C,3,0)</f>
        <v>#REF!</v>
      </c>
      <c r="W249" s="1" t="e">
        <f>V249/VLOOKUP(A249,'[24]geoMap (21)'!$A:$B,2,0)*VLOOKUP(A249,'[24]geoMap (21)'!$A:$C,3,0)</f>
        <v>#REF!</v>
      </c>
      <c r="X249" s="1" t="e">
        <f>W249/VLOOKUP(A249,'[25]geoMap (22)'!$A:$B,2,0)*VLOOKUP(A249,'[25]geoMap (22)'!$A:$C,3,0)</f>
        <v>#REF!</v>
      </c>
      <c r="Y249" s="1" t="e">
        <f>X249/VLOOKUP(A249,'[26]geoMap (23)'!$A:$B,2,0)*VLOOKUP(A249,'[26]geoMap (23)'!$A:$C,3,0)</f>
        <v>#REF!</v>
      </c>
      <c r="Z249" s="1" t="e">
        <f>Y249/VLOOKUP(A249,'[27]geoMap (24)'!$A:$B,2,0)*VLOOKUP(A249,'[27]geoMap (24)'!$A:$C,3,0)</f>
        <v>#REF!</v>
      </c>
      <c r="AA249" s="1" t="e">
        <f>Z249/VLOOKUP(A249,'[28]geoMap (25)'!$A:$B,2,0)*VLOOKUP(A249,'[28]geoMap (25)'!$A:$C,3,0)</f>
        <v>#REF!</v>
      </c>
      <c r="AB249" s="1" t="e">
        <f>AA249*VLOOKUP(A249,'[29]geoMap (26)'!$A:$B,2,0)*VLOOKUP(A249,'[29]geoMap (26)'!$A:$C,3,0)</f>
        <v>#REF!</v>
      </c>
      <c r="AC249" s="1" t="e">
        <f>AB249/VLOOKUP(A249,'[30]geoMap (27)'!$A:$B,2,0)*VLOOKUP(A249,'[30]geoMap (27)'!$A:$C,3,0)</f>
        <v>#REF!</v>
      </c>
      <c r="AD249" s="1" t="e">
        <f>AC249/VLOOKUP(A249,'[31]geoMap (28)'!$A:$B,2,0)*VLOOKUP(A249,'[31]geoMap (28)'!$A:$C,3,0)</f>
        <v>#REF!</v>
      </c>
      <c r="AE249" s="1" t="e">
        <f>AD249/VLOOKUP(A249,'[32]geoMap (29)'!$A:$B,2,0)*VLOOKUP(A249,'[32]geoMap (29)'!$A:$C,3,0)</f>
        <v>#REF!</v>
      </c>
      <c r="AF249" s="1" t="e">
        <f>AE249/VLOOKUP(A249,'[33]geoMap (30)'!$A:$B,2,0)*VLOOKUP(A249,'[33]geoMap (30)'!$A:$C,3,0)</f>
        <v>#REF!</v>
      </c>
      <c r="AG249" s="1" t="e">
        <f>AF249/VLOOKUP(A249,'[34]geoMap (31)'!$A:$B,2,0)*VLOOKUP(A249,'[34]geoMap (31)'!$A:$C,3,0)</f>
        <v>#REF!</v>
      </c>
      <c r="AH249" s="1" t="e">
        <f>AG249/VLOOKUP(A249,'[35]geoMap (32)'!$A:$B,2,0)*VLOOKUP(A249,'[35]geoMap (32)'!$A:$C,3,0)</f>
        <v>#REF!</v>
      </c>
      <c r="AI249" s="1" t="e">
        <f>AH249/VLOOKUP(A249,'[36]geoMap (33)'!$A:$B,2,0)*VLOOKUP(A249,'[36]geoMap (33)'!$A:$C,3,0)</f>
        <v>#REF!</v>
      </c>
      <c r="AJ249" s="1" t="e">
        <f>AI249/VLOOKUP(A249,'[37]geoMap (34)'!$A:$B,2,0)*VLOOKUP(A249,'[37]geoMap (34)'!$A:$C,3,0)</f>
        <v>#REF!</v>
      </c>
      <c r="AK249" s="1" t="e">
        <f>AJ249/VLOOKUP(A249,'[38]geoMap (35)'!$A:$B,2,0)*VLOOKUP(A249,'[38]geoMap (35)'!$A:$C,3,0)</f>
        <v>#REF!</v>
      </c>
      <c r="AL249" s="1" t="e">
        <f>AK249/VLOOKUP(A249,'[39]geoMap (36)'!$A:$B,2,0)*VLOOKUP(A249,'[39]geoMap (36)'!$A:$C,3,0)</f>
        <v>#REF!</v>
      </c>
      <c r="AM249" s="1" t="e">
        <f>AL249/VLOOKUP(A249,'[40]geoMap (37)'!$A:$B,2,0)*VLOOKUP(A249,'[40]geoMap (37)'!$A:$C,3,0)</f>
        <v>#REF!</v>
      </c>
      <c r="AN249" s="1" t="e">
        <f>AM249/VLOOKUP(A249,'[41]geoMap (38)'!$A:$B,2,0)*VLOOKUP(A249,'[41]geoMap (38)'!$A:$C,3,0)</f>
        <v>#REF!</v>
      </c>
      <c r="AO249" s="1" t="e">
        <f>AN249/VLOOKUP(A249,'[42]geoMap (39)'!$A:$B,2,0)*VLOOKUP(A249,'[42]geoMap (39)'!$A:$C,3,0)</f>
        <v>#REF!</v>
      </c>
      <c r="AP249" s="1" t="e">
        <f>AO249/VLOOKUP(A249,'[43]geoMap (40)'!$A:$B,2,0)*VLOOKUP(A249,'[43]geoMap (40)'!$A:$C,3,0)</f>
        <v>#REF!</v>
      </c>
      <c r="AQ249" s="1" t="e">
        <f>AP249/VLOOKUP(A249,'[44]geoMap (41)'!$A:$B,2,0)*VLOOKUP(A249,'[44]geoMap (41)'!$A:$C,3,0)</f>
        <v>#REF!</v>
      </c>
      <c r="AR249" s="1" t="e">
        <f>AQ249/VLOOKUP(A249,'[45]geoMap (42)'!$A:$B,2,0)*VLOOKUP(A249,'[45]geoMap (42)'!$A:$C,3,0)</f>
        <v>#REF!</v>
      </c>
      <c r="AS249" s="1" t="e">
        <f>AR249/VLOOKUP(A249,'[46]geoMap (43)'!$A:$B,2,0)*VLOOKUP(A249,'[46]geoMap (43)'!$A:$C,3,0)</f>
        <v>#REF!</v>
      </c>
      <c r="AT249" s="1" t="e">
        <f>AS249/VLOOKUP(A249,'[47]geoMap (44)'!$A:$B,2,0)*VLOOKUP(A249,'[47]geoMap (44)'!$A:$C,3,0)</f>
        <v>#REF!</v>
      </c>
      <c r="AU249" s="1" t="e">
        <f>AT249/VLOOKUP(A249,'[48]geoMap (45)'!$A:$B,2,0)*VLOOKUP(A249,'[48]geoMap (45)'!$A:$C,3,0)</f>
        <v>#REF!</v>
      </c>
      <c r="AV249" s="1" t="e">
        <f>AU249/VLOOKUP(A249,'[49]geoMap (46)'!$A:$B,2,0)*VLOOKUP(A249,'[49]geoMap (46)'!$A:$C,3,0)</f>
        <v>#REF!</v>
      </c>
      <c r="AW249" s="1" t="e">
        <f>AV249/VLOOKUP(A249,'[50]geoMap (47)'!$A:$B,2,0)*VLOOKUP(A249,'[50]geoMap (47)'!$A:$C,3,0)</f>
        <v>#REF!</v>
      </c>
      <c r="AX249" s="1" t="e">
        <f>AW249/VLOOKUP(A249,'[51]geoMap (48)'!$A:$B,2,0)*VLOOKUP(A249,'[51]geoMap (48)'!$A:$C,3,0)</f>
        <v>#REF!</v>
      </c>
      <c r="AY249" s="1" t="e">
        <f>AX249/VLOOKUP(A249,'[52]geoMap (49)'!$A:$B,2,0)*VLOOKUP(A249,'[52]geoMap (49)'!$A:$C,3,0)</f>
        <v>#REF!</v>
      </c>
      <c r="AZ249" s="1" t="e">
        <f>AY249/VLOOKUP(A249,'[53]geoMap (50)'!$A:$B,2,0)*VLOOKUP(A249,'[53]geoMap (50)'!$A:$C,3,0)</f>
        <v>#REF!</v>
      </c>
      <c r="BA249" s="1" t="e">
        <f>AZ249/VLOOKUP(A249,'[54]geoMap (51)'!$A:$B,2,0)*VLOOKUP(A249,'[54]geoMap (51)'!$A:$C,3,0)</f>
        <v>#REF!</v>
      </c>
      <c r="BB249" s="1" t="e">
        <f>BA249/VLOOKUP(A249,'[55]geoMap (52)'!$A:$B,2,0)*VLOOKUP(A249,'[55]geoMap (52)'!$A:$C,3,0)</f>
        <v>#REF!</v>
      </c>
      <c r="BC249" s="1" t="e">
        <f>BB249/VLOOKUP(A249,'[56]geoMap (53)'!$A:$B,2,0)*VLOOKUP(A249,'[56]geoMap (53)'!$A:$C,3,0)</f>
        <v>#REF!</v>
      </c>
      <c r="BD249" s="1" t="e">
        <f>BC249/VLOOKUP(A249,'[57]geoMap (54)'!$A:$B,2,0)*VLOOKUP(A249,'[57]geoMap (54)'!$A:$C,3,0)</f>
        <v>#REF!</v>
      </c>
      <c r="BE249" s="1" t="e">
        <f>BD249/VLOOKUP(A249,'[58]geoMap (55)'!$A:$B,2,0)*VLOOKUP(A249,'[58]geoMap (55)'!$A:$C,3,0)</f>
        <v>#REF!</v>
      </c>
      <c r="BF249" s="1" t="e">
        <f>BE249/VLOOKUP(A249,'[59]geoMap (56)'!$A:$B,2,0)*VLOOKUP(A249,'[59]geoMap (56)'!$A:$C,3,0)</f>
        <v>#REF!</v>
      </c>
      <c r="BG249" s="1" t="e">
        <f>BF249/VLOOKUP(A249,'[60]geoMap (57)'!$A:$B,2,0)*VLOOKUP(A249,'[60]geoMap (57)'!$A:$C,3,0)</f>
        <v>#REF!</v>
      </c>
      <c r="BH249" s="1" t="e">
        <f>BG249/VLOOKUP(A249,'[61]geoMap (58)'!$A:$B,2,0)*VLOOKUP(A249,'[61]geoMap (58)'!$A:$C,3,0)</f>
        <v>#REF!</v>
      </c>
      <c r="BI249" s="1" t="e">
        <f>BH249/VLOOKUP(A249,'[62]geoMap (59)'!$A:$B,2,0)*VLOOKUP(A249,'[62]geoMap (59)'!$A:$C,3,0)</f>
        <v>#REF!</v>
      </c>
      <c r="BJ249" s="1" t="e">
        <f>BI249/VLOOKUP(A249,'[63]geoMap (60)'!$A:$B,2,0)*VLOOKUP(A249,'[63]geoMap (60)'!$A:$C,3,0)</f>
        <v>#REF!</v>
      </c>
      <c r="BK249" s="1" t="e">
        <f>BJ249/VLOOKUP(A249,'[64]geoMap (61)'!$A:$B,2,0)*VLOOKUP(A249,'[64]geoMap (61)'!$A:$C,3,0)</f>
        <v>#REF!</v>
      </c>
      <c r="BL249" s="1" t="e">
        <f>BK249/VLOOKUP(A249,'[65]geoMap (62)'!$A:$B,2,0)*VLOOKUP(A249,'[65]geoMap (62)'!$A:$C,3,0)</f>
        <v>#REF!</v>
      </c>
      <c r="BM249" s="1" t="e">
        <f>BL249/VLOOKUP(A249,'[66]geoMap (63)'!$A:$B,2,0)*VLOOKUP(A249,'[66]geoMap (63)'!$A:$C,3,0)</f>
        <v>#REF!</v>
      </c>
      <c r="BN249" s="1" t="e">
        <f>BM249/VLOOKUP(A249,'[67]geoMap (64)'!$A:$B,2,0)*VLOOKUP(A249,'[67]geoMap (64)'!$A:$C,3,0)</f>
        <v>#REF!</v>
      </c>
      <c r="BO249" s="1" t="e">
        <f>BN249/VLOOKUP(A249,'[68]geoMap (65)'!$A:$B,2,0)*VLOOKUP(A249,'[68]geoMap (65)'!$A:$C,3,0)</f>
        <v>#REF!</v>
      </c>
      <c r="BP249" s="1" t="e">
        <f>BO249/VLOOKUP(A249,'[69]geoMap (66)'!$A:$B,2,0)*VLOOKUP(A249,'[69]geoMap (66)'!$A:$C,3,0)</f>
        <v>#REF!</v>
      </c>
    </row>
    <row r="250" spans="1:68" hidden="1" x14ac:dyDescent="0.2">
      <c r="A250" s="1" t="s">
        <v>252</v>
      </c>
      <c r="B250" s="1" t="e">
        <f>VLOOKUP(A250,[3]geoMap!$A:$B,2,0)*Notes!$C$6</f>
        <v>#REF!</v>
      </c>
      <c r="C250" s="1" t="e">
        <f>B250/VLOOKUP(A250,'[4]geoMap (1)'!$A:$B,2,0)*VLOOKUP(A250,'[4]geoMap (1)'!$A:$C,3,0)</f>
        <v>#REF!</v>
      </c>
      <c r="D250" s="1" t="e">
        <f>C250/VLOOKUP(A250,'[5]geoMap (2)'!$A:$B,2,0)*VLOOKUP(A250,'[5]geoMap (2)'!$A:$C,3,0)</f>
        <v>#REF!</v>
      </c>
      <c r="E250" s="1" t="e">
        <f>D250/VLOOKUP(A250,'[6]geoMap (3)'!$A:$B,2,0)*VLOOKUP(A250,'[6]geoMap (3)'!$A:$C,3,0)</f>
        <v>#REF!</v>
      </c>
      <c r="F250" s="1" t="e">
        <f>E250/VLOOKUP(A250,'[7]geoMap (4)'!$A:$B,2,0)*VLOOKUP(A250,'[7]geoMap (4)'!$A:$C,3,0)</f>
        <v>#REF!</v>
      </c>
      <c r="G250" s="1" t="e">
        <f>F250/VLOOKUP(A250,'[8]geoMap (5)'!$A:$B,2,0)*VLOOKUP(A250,'[8]geoMap (5)'!$A:$C,3,0)</f>
        <v>#REF!</v>
      </c>
      <c r="H250" s="1" t="e">
        <f>G250/VLOOKUP(A250,'[9]geoMap (6)'!$A:$B,2,0)*VLOOKUP(A250,'[9]geoMap (6)'!$A:$C,3,0)</f>
        <v>#REF!</v>
      </c>
      <c r="I250" s="1" t="e">
        <f>H250/VLOOKUP(A250,'[10]geoMap (7)'!$A:$B,2,0)*VLOOKUP(A250,'[10]geoMap (7)'!$A:$C,3,0)</f>
        <v>#REF!</v>
      </c>
      <c r="J250" s="1" t="e">
        <f>I250/VLOOKUP(A250,'[11]geoMap (8)'!$A:$B,2,0)*VLOOKUP(A250,'[11]geoMap (8)'!$A:$C,3,0)</f>
        <v>#REF!</v>
      </c>
      <c r="K250" s="1" t="e">
        <f>J250/VLOOKUP(A250,'[12]geoMap (9)'!$A:$B,2,0)*VLOOKUP(A250,'[12]geoMap (9)'!$A:$C,3,0)</f>
        <v>#REF!</v>
      </c>
      <c r="L250" s="1" t="e">
        <f>K250/VLOOKUP(A250,'[13]geoMap (10)'!$A:$B,2,0)*VLOOKUP(A250,'[13]geoMap (10)'!$A:$C,3,0)</f>
        <v>#REF!</v>
      </c>
      <c r="M250" s="1" t="e">
        <f>L250/VLOOKUP(A250,'[14]geoMap (11)'!$A:$B,2,0)*VLOOKUP(A250,'[14]geoMap (11)'!$A:$C,3,0)</f>
        <v>#REF!</v>
      </c>
      <c r="N250" s="1" t="e">
        <f>M250/VLOOKUP(A250,'[15]geoMap (12)'!$A:$B,2,0)*VLOOKUP(A250,'[15]geoMap (12)'!$A:$C,3,0)</f>
        <v>#REF!</v>
      </c>
      <c r="O250" s="1" t="e">
        <f>N250/VLOOKUP(A250,'[16]geoMap (13)'!$A:$B,2,0)*VLOOKUP(A250,'[16]geoMap (13)'!$A:$C,3,0)</f>
        <v>#REF!</v>
      </c>
      <c r="P250" s="1" t="e">
        <f>O250/VLOOKUP(A250,'[17]geoMap (14)'!$A:$B,2,0)*VLOOKUP(A250,'[17]geoMap (14)'!$A:$C,3,0)</f>
        <v>#REF!</v>
      </c>
      <c r="Q250" s="1" t="e">
        <f>P250/VLOOKUP(A250,'[18]geoMap (15)'!$A:$B,2,0)*VLOOKUP(A250,'[18]geoMap (15)'!$A:$C,3,0)</f>
        <v>#REF!</v>
      </c>
      <c r="R250" s="1" t="e">
        <f>Q250/VLOOKUP(A250,'[19]geoMap (16)'!$A:$B,2,0)*VLOOKUP(A250,'[19]geoMap (16)'!$A:$C,3,0)</f>
        <v>#REF!</v>
      </c>
      <c r="S250" s="1" t="e">
        <f>R250/VLOOKUP(A250,'[20]geoMap (17)'!$A:$B,2,0)*VLOOKUP(A250,'[20]geoMap (17)'!$A:$C,3,0)</f>
        <v>#REF!</v>
      </c>
      <c r="T250" s="1" t="e">
        <f>S250/VLOOKUP(A250,'[21]geoMap (18)'!$A:$B,2,0)*VLOOKUP(A250,'[21]geoMap (18)'!$A:$C,3,0)</f>
        <v>#REF!</v>
      </c>
      <c r="U250" s="1" t="e">
        <f>T250/VLOOKUP(A250,'[22]geoMap (19)'!$A:$B,2,0)*VLOOKUP(A250,'[22]geoMap (19)'!$A:$C,3,0)</f>
        <v>#REF!</v>
      </c>
      <c r="V250" s="1" t="e">
        <f>U250/VLOOKUP(A250,'[23]geoMap (20)'!$A:$B,2,0)*VLOOKUP(A250,'[23]geoMap (20)'!$A:$C,3,0)</f>
        <v>#REF!</v>
      </c>
      <c r="W250" s="1" t="e">
        <f>V250/VLOOKUP(A250,'[24]geoMap (21)'!$A:$B,2,0)*VLOOKUP(A250,'[24]geoMap (21)'!$A:$C,3,0)</f>
        <v>#REF!</v>
      </c>
      <c r="X250" s="1" t="e">
        <f>W250/VLOOKUP(A250,'[25]geoMap (22)'!$A:$B,2,0)*VLOOKUP(A250,'[25]geoMap (22)'!$A:$C,3,0)</f>
        <v>#REF!</v>
      </c>
      <c r="Y250" s="1" t="e">
        <f>X250/VLOOKUP(A250,'[26]geoMap (23)'!$A:$B,2,0)*VLOOKUP(A250,'[26]geoMap (23)'!$A:$C,3,0)</f>
        <v>#REF!</v>
      </c>
      <c r="Z250" s="1" t="e">
        <f>Y250/VLOOKUP(A250,'[27]geoMap (24)'!$A:$B,2,0)*VLOOKUP(A250,'[27]geoMap (24)'!$A:$C,3,0)</f>
        <v>#REF!</v>
      </c>
      <c r="AA250" s="1" t="e">
        <f>Z250/VLOOKUP(A250,'[28]geoMap (25)'!$A:$B,2,0)*VLOOKUP(A250,'[28]geoMap (25)'!$A:$C,3,0)</f>
        <v>#REF!</v>
      </c>
      <c r="AB250" s="1" t="e">
        <f>AA250*VLOOKUP(A250,'[29]geoMap (26)'!$A:$B,2,0)*VLOOKUP(A250,'[29]geoMap (26)'!$A:$C,3,0)</f>
        <v>#REF!</v>
      </c>
      <c r="AC250" s="1" t="e">
        <f>AB250/VLOOKUP(A250,'[30]geoMap (27)'!$A:$B,2,0)*VLOOKUP(A250,'[30]geoMap (27)'!$A:$C,3,0)</f>
        <v>#REF!</v>
      </c>
      <c r="AD250" s="1" t="e">
        <f>AC250/VLOOKUP(A250,'[31]geoMap (28)'!$A:$B,2,0)*VLOOKUP(A250,'[31]geoMap (28)'!$A:$C,3,0)</f>
        <v>#REF!</v>
      </c>
      <c r="AE250" s="1" t="e">
        <f>AD250/VLOOKUP(A250,'[32]geoMap (29)'!$A:$B,2,0)*VLOOKUP(A250,'[32]geoMap (29)'!$A:$C,3,0)</f>
        <v>#REF!</v>
      </c>
      <c r="AF250" s="1" t="e">
        <f>AE250/VLOOKUP(A250,'[33]geoMap (30)'!$A:$B,2,0)*VLOOKUP(A250,'[33]geoMap (30)'!$A:$C,3,0)</f>
        <v>#REF!</v>
      </c>
      <c r="AG250" s="1" t="e">
        <f>AF250/VLOOKUP(A250,'[34]geoMap (31)'!$A:$B,2,0)*VLOOKUP(A250,'[34]geoMap (31)'!$A:$C,3,0)</f>
        <v>#REF!</v>
      </c>
      <c r="AH250" s="1" t="e">
        <f>AG250/VLOOKUP(A250,'[35]geoMap (32)'!$A:$B,2,0)*VLOOKUP(A250,'[35]geoMap (32)'!$A:$C,3,0)</f>
        <v>#REF!</v>
      </c>
      <c r="AI250" s="1" t="e">
        <f>AH250/VLOOKUP(A250,'[36]geoMap (33)'!$A:$B,2,0)*VLOOKUP(A250,'[36]geoMap (33)'!$A:$C,3,0)</f>
        <v>#REF!</v>
      </c>
      <c r="AJ250" s="1" t="e">
        <f>AI250/VLOOKUP(A250,'[37]geoMap (34)'!$A:$B,2,0)*VLOOKUP(A250,'[37]geoMap (34)'!$A:$C,3,0)</f>
        <v>#REF!</v>
      </c>
      <c r="AK250" s="1" t="e">
        <f>AJ250/VLOOKUP(A250,'[38]geoMap (35)'!$A:$B,2,0)*VLOOKUP(A250,'[38]geoMap (35)'!$A:$C,3,0)</f>
        <v>#REF!</v>
      </c>
      <c r="AL250" s="1" t="e">
        <f>AK250/VLOOKUP(A250,'[39]geoMap (36)'!$A:$B,2,0)*VLOOKUP(A250,'[39]geoMap (36)'!$A:$C,3,0)</f>
        <v>#REF!</v>
      </c>
      <c r="AM250" s="1" t="e">
        <f>AL250/VLOOKUP(A250,'[40]geoMap (37)'!$A:$B,2,0)*VLOOKUP(A250,'[40]geoMap (37)'!$A:$C,3,0)</f>
        <v>#REF!</v>
      </c>
      <c r="AN250" s="1" t="e">
        <f>AM250/VLOOKUP(A250,'[41]geoMap (38)'!$A:$B,2,0)*VLOOKUP(A250,'[41]geoMap (38)'!$A:$C,3,0)</f>
        <v>#REF!</v>
      </c>
      <c r="AO250" s="1" t="e">
        <f>AN250/VLOOKUP(A250,'[42]geoMap (39)'!$A:$B,2,0)*VLOOKUP(A250,'[42]geoMap (39)'!$A:$C,3,0)</f>
        <v>#REF!</v>
      </c>
      <c r="AP250" s="1" t="e">
        <f>AO250/VLOOKUP(A250,'[43]geoMap (40)'!$A:$B,2,0)*VLOOKUP(A250,'[43]geoMap (40)'!$A:$C,3,0)</f>
        <v>#REF!</v>
      </c>
      <c r="AQ250" s="1" t="e">
        <f>AP250/VLOOKUP(A250,'[44]geoMap (41)'!$A:$B,2,0)*VLOOKUP(A250,'[44]geoMap (41)'!$A:$C,3,0)</f>
        <v>#REF!</v>
      </c>
      <c r="AR250" s="1" t="e">
        <f>AQ250/VLOOKUP(A250,'[45]geoMap (42)'!$A:$B,2,0)*VLOOKUP(A250,'[45]geoMap (42)'!$A:$C,3,0)</f>
        <v>#REF!</v>
      </c>
      <c r="AS250" s="1" t="e">
        <f>AR250/VLOOKUP(A250,'[46]geoMap (43)'!$A:$B,2,0)*VLOOKUP(A250,'[46]geoMap (43)'!$A:$C,3,0)</f>
        <v>#REF!</v>
      </c>
      <c r="AT250" s="1" t="e">
        <f>AS250/VLOOKUP(A250,'[47]geoMap (44)'!$A:$B,2,0)*VLOOKUP(A250,'[47]geoMap (44)'!$A:$C,3,0)</f>
        <v>#REF!</v>
      </c>
      <c r="AU250" s="1" t="e">
        <f>AT250/VLOOKUP(A250,'[48]geoMap (45)'!$A:$B,2,0)*VLOOKUP(A250,'[48]geoMap (45)'!$A:$C,3,0)</f>
        <v>#REF!</v>
      </c>
      <c r="AV250" s="1" t="e">
        <f>AU250/VLOOKUP(A250,'[49]geoMap (46)'!$A:$B,2,0)*VLOOKUP(A250,'[49]geoMap (46)'!$A:$C,3,0)</f>
        <v>#REF!</v>
      </c>
      <c r="AW250" s="1" t="e">
        <f>AV250/VLOOKUP(A250,'[50]geoMap (47)'!$A:$B,2,0)*VLOOKUP(A250,'[50]geoMap (47)'!$A:$C,3,0)</f>
        <v>#REF!</v>
      </c>
      <c r="AX250" s="1" t="e">
        <f>AW250/VLOOKUP(A250,'[51]geoMap (48)'!$A:$B,2,0)*VLOOKUP(A250,'[51]geoMap (48)'!$A:$C,3,0)</f>
        <v>#REF!</v>
      </c>
      <c r="AY250" s="1" t="e">
        <f>AX250/VLOOKUP(A250,'[52]geoMap (49)'!$A:$B,2,0)*VLOOKUP(A250,'[52]geoMap (49)'!$A:$C,3,0)</f>
        <v>#REF!</v>
      </c>
      <c r="AZ250" s="1" t="e">
        <f>AY250/VLOOKUP(A250,'[53]geoMap (50)'!$A:$B,2,0)*VLOOKUP(A250,'[53]geoMap (50)'!$A:$C,3,0)</f>
        <v>#REF!</v>
      </c>
      <c r="BA250" s="1" t="e">
        <f>AZ250/VLOOKUP(A250,'[54]geoMap (51)'!$A:$B,2,0)*VLOOKUP(A250,'[54]geoMap (51)'!$A:$C,3,0)</f>
        <v>#REF!</v>
      </c>
      <c r="BB250" s="1" t="e">
        <f>BA250/VLOOKUP(A250,'[55]geoMap (52)'!$A:$B,2,0)*VLOOKUP(A250,'[55]geoMap (52)'!$A:$C,3,0)</f>
        <v>#REF!</v>
      </c>
      <c r="BC250" s="1" t="e">
        <f>BB250/VLOOKUP(A250,'[56]geoMap (53)'!$A:$B,2,0)*VLOOKUP(A250,'[56]geoMap (53)'!$A:$C,3,0)</f>
        <v>#REF!</v>
      </c>
      <c r="BD250" s="1" t="e">
        <f>BC250/VLOOKUP(A250,'[57]geoMap (54)'!$A:$B,2,0)*VLOOKUP(A250,'[57]geoMap (54)'!$A:$C,3,0)</f>
        <v>#REF!</v>
      </c>
      <c r="BE250" s="1" t="e">
        <f>BD250/VLOOKUP(A250,'[58]geoMap (55)'!$A:$B,2,0)*VLOOKUP(A250,'[58]geoMap (55)'!$A:$C,3,0)</f>
        <v>#REF!</v>
      </c>
      <c r="BF250" s="1" t="e">
        <f>BE250/VLOOKUP(A250,'[59]geoMap (56)'!$A:$B,2,0)*VLOOKUP(A250,'[59]geoMap (56)'!$A:$C,3,0)</f>
        <v>#REF!</v>
      </c>
      <c r="BG250" s="1" t="e">
        <f>BF250/VLOOKUP(A250,'[60]geoMap (57)'!$A:$B,2,0)*VLOOKUP(A250,'[60]geoMap (57)'!$A:$C,3,0)</f>
        <v>#REF!</v>
      </c>
      <c r="BH250" s="1" t="e">
        <f>BG250/VLOOKUP(A250,'[61]geoMap (58)'!$A:$B,2,0)*VLOOKUP(A250,'[61]geoMap (58)'!$A:$C,3,0)</f>
        <v>#REF!</v>
      </c>
      <c r="BI250" s="1" t="e">
        <f>BH250/VLOOKUP(A250,'[62]geoMap (59)'!$A:$B,2,0)*VLOOKUP(A250,'[62]geoMap (59)'!$A:$C,3,0)</f>
        <v>#REF!</v>
      </c>
      <c r="BJ250" s="1" t="e">
        <f>BI250/VLOOKUP(A250,'[63]geoMap (60)'!$A:$B,2,0)*VLOOKUP(A250,'[63]geoMap (60)'!$A:$C,3,0)</f>
        <v>#REF!</v>
      </c>
      <c r="BK250" s="1" t="e">
        <f>BJ250/VLOOKUP(A250,'[64]geoMap (61)'!$A:$B,2,0)*VLOOKUP(A250,'[64]geoMap (61)'!$A:$C,3,0)</f>
        <v>#REF!</v>
      </c>
      <c r="BL250" s="1" t="e">
        <f>BK250/VLOOKUP(A250,'[65]geoMap (62)'!$A:$B,2,0)*VLOOKUP(A250,'[65]geoMap (62)'!$A:$C,3,0)</f>
        <v>#REF!</v>
      </c>
      <c r="BM250" s="1" t="e">
        <f>BL250/VLOOKUP(A250,'[66]geoMap (63)'!$A:$B,2,0)*VLOOKUP(A250,'[66]geoMap (63)'!$A:$C,3,0)</f>
        <v>#REF!</v>
      </c>
      <c r="BN250" s="1" t="e">
        <f>BM250/VLOOKUP(A250,'[67]geoMap (64)'!$A:$B,2,0)*VLOOKUP(A250,'[67]geoMap (64)'!$A:$C,3,0)</f>
        <v>#REF!</v>
      </c>
      <c r="BO250" s="1" t="e">
        <f>BN250/VLOOKUP(A250,'[68]geoMap (65)'!$A:$B,2,0)*VLOOKUP(A250,'[68]geoMap (65)'!$A:$C,3,0)</f>
        <v>#REF!</v>
      </c>
      <c r="BP250" s="1" t="e">
        <f>BO250/VLOOKUP(A250,'[69]geoMap (66)'!$A:$B,2,0)*VLOOKUP(A250,'[69]geoMap (66)'!$A:$C,3,0)</f>
        <v>#REF!</v>
      </c>
    </row>
    <row r="251" spans="1:68" hidden="1" x14ac:dyDescent="0.2">
      <c r="A251" s="1" t="s">
        <v>253</v>
      </c>
      <c r="B251" s="1" t="e">
        <f>VLOOKUP(A251,[3]geoMap!$A:$B,2,0)*Notes!$C$6</f>
        <v>#REF!</v>
      </c>
      <c r="C251" s="1" t="e">
        <f>B251/VLOOKUP(A251,'[4]geoMap (1)'!$A:$B,2,0)*VLOOKUP(A251,'[4]geoMap (1)'!$A:$C,3,0)</f>
        <v>#REF!</v>
      </c>
      <c r="D251" s="1" t="e">
        <f>C251/VLOOKUP(A251,'[5]geoMap (2)'!$A:$B,2,0)*VLOOKUP(A251,'[5]geoMap (2)'!$A:$C,3,0)</f>
        <v>#REF!</v>
      </c>
      <c r="E251" s="1" t="e">
        <f>D251/VLOOKUP(A251,'[6]geoMap (3)'!$A:$B,2,0)*VLOOKUP(A251,'[6]geoMap (3)'!$A:$C,3,0)</f>
        <v>#REF!</v>
      </c>
      <c r="F251" s="1" t="e">
        <f>E251/VLOOKUP(A251,'[7]geoMap (4)'!$A:$B,2,0)*VLOOKUP(A251,'[7]geoMap (4)'!$A:$C,3,0)</f>
        <v>#REF!</v>
      </c>
      <c r="G251" s="1" t="e">
        <f>F251/VLOOKUP(A251,'[8]geoMap (5)'!$A:$B,2,0)*VLOOKUP(A251,'[8]geoMap (5)'!$A:$C,3,0)</f>
        <v>#REF!</v>
      </c>
      <c r="H251" s="1" t="e">
        <f>G251/VLOOKUP(A251,'[9]geoMap (6)'!$A:$B,2,0)*VLOOKUP(A251,'[9]geoMap (6)'!$A:$C,3,0)</f>
        <v>#REF!</v>
      </c>
      <c r="I251" s="1" t="e">
        <f>H251/VLOOKUP(A251,'[10]geoMap (7)'!$A:$B,2,0)*VLOOKUP(A251,'[10]geoMap (7)'!$A:$C,3,0)</f>
        <v>#REF!</v>
      </c>
      <c r="J251" s="1" t="e">
        <f>I251/VLOOKUP(A251,'[11]geoMap (8)'!$A:$B,2,0)*VLOOKUP(A251,'[11]geoMap (8)'!$A:$C,3,0)</f>
        <v>#REF!</v>
      </c>
      <c r="K251" s="1" t="e">
        <f>J251/VLOOKUP(A251,'[12]geoMap (9)'!$A:$B,2,0)*VLOOKUP(A251,'[12]geoMap (9)'!$A:$C,3,0)</f>
        <v>#REF!</v>
      </c>
      <c r="L251" s="1" t="e">
        <f>K251/VLOOKUP(A251,'[13]geoMap (10)'!$A:$B,2,0)*VLOOKUP(A251,'[13]geoMap (10)'!$A:$C,3,0)</f>
        <v>#REF!</v>
      </c>
      <c r="M251" s="1" t="e">
        <f>L251/VLOOKUP(A251,'[14]geoMap (11)'!$A:$B,2,0)*VLOOKUP(A251,'[14]geoMap (11)'!$A:$C,3,0)</f>
        <v>#REF!</v>
      </c>
      <c r="N251" s="1" t="e">
        <f>M251/VLOOKUP(A251,'[15]geoMap (12)'!$A:$B,2,0)*VLOOKUP(A251,'[15]geoMap (12)'!$A:$C,3,0)</f>
        <v>#REF!</v>
      </c>
      <c r="O251" s="1" t="e">
        <f>N251/VLOOKUP(A251,'[16]geoMap (13)'!$A:$B,2,0)*VLOOKUP(A251,'[16]geoMap (13)'!$A:$C,3,0)</f>
        <v>#REF!</v>
      </c>
      <c r="P251" s="1" t="e">
        <f>O251/VLOOKUP(A251,'[17]geoMap (14)'!$A:$B,2,0)*VLOOKUP(A251,'[17]geoMap (14)'!$A:$C,3,0)</f>
        <v>#REF!</v>
      </c>
      <c r="Q251" s="1" t="e">
        <f>P251/VLOOKUP(A251,'[18]geoMap (15)'!$A:$B,2,0)*VLOOKUP(A251,'[18]geoMap (15)'!$A:$C,3,0)</f>
        <v>#REF!</v>
      </c>
      <c r="R251" s="1" t="e">
        <f>Q251/VLOOKUP(A251,'[19]geoMap (16)'!$A:$B,2,0)*VLOOKUP(A251,'[19]geoMap (16)'!$A:$C,3,0)</f>
        <v>#REF!</v>
      </c>
      <c r="S251" s="1" t="e">
        <f>R251/VLOOKUP(A251,'[20]geoMap (17)'!$A:$B,2,0)*VLOOKUP(A251,'[20]geoMap (17)'!$A:$C,3,0)</f>
        <v>#REF!</v>
      </c>
      <c r="T251" s="1" t="e">
        <f>S251/VLOOKUP(A251,'[21]geoMap (18)'!$A:$B,2,0)*VLOOKUP(A251,'[21]geoMap (18)'!$A:$C,3,0)</f>
        <v>#REF!</v>
      </c>
      <c r="U251" s="1" t="e">
        <f>T251/VLOOKUP(A251,'[22]geoMap (19)'!$A:$B,2,0)*VLOOKUP(A251,'[22]geoMap (19)'!$A:$C,3,0)</f>
        <v>#REF!</v>
      </c>
      <c r="V251" s="1" t="e">
        <f>U251/VLOOKUP(A251,'[23]geoMap (20)'!$A:$B,2,0)*VLOOKUP(A251,'[23]geoMap (20)'!$A:$C,3,0)</f>
        <v>#REF!</v>
      </c>
      <c r="W251" s="1" t="e">
        <f>V251/VLOOKUP(A251,'[24]geoMap (21)'!$A:$B,2,0)*VLOOKUP(A251,'[24]geoMap (21)'!$A:$C,3,0)</f>
        <v>#REF!</v>
      </c>
      <c r="X251" s="1" t="e">
        <f>W251/VLOOKUP(A251,'[25]geoMap (22)'!$A:$B,2,0)*VLOOKUP(A251,'[25]geoMap (22)'!$A:$C,3,0)</f>
        <v>#REF!</v>
      </c>
      <c r="Y251" s="1" t="e">
        <f>X251/VLOOKUP(A251,'[26]geoMap (23)'!$A:$B,2,0)*VLOOKUP(A251,'[26]geoMap (23)'!$A:$C,3,0)</f>
        <v>#REF!</v>
      </c>
      <c r="Z251" s="1" t="e">
        <f>Y251/VLOOKUP(A251,'[27]geoMap (24)'!$A:$B,2,0)*VLOOKUP(A251,'[27]geoMap (24)'!$A:$C,3,0)</f>
        <v>#REF!</v>
      </c>
      <c r="AA251" s="1" t="e">
        <f>Z251/VLOOKUP(A251,'[28]geoMap (25)'!$A:$B,2,0)*VLOOKUP(A251,'[28]geoMap (25)'!$A:$C,3,0)</f>
        <v>#REF!</v>
      </c>
      <c r="AB251" s="1" t="e">
        <f>AA251*VLOOKUP(A251,'[29]geoMap (26)'!$A:$B,2,0)*VLOOKUP(A251,'[29]geoMap (26)'!$A:$C,3,0)</f>
        <v>#REF!</v>
      </c>
      <c r="AC251" s="1" t="e">
        <f>AB251/VLOOKUP(A251,'[30]geoMap (27)'!$A:$B,2,0)*VLOOKUP(A251,'[30]geoMap (27)'!$A:$C,3,0)</f>
        <v>#REF!</v>
      </c>
      <c r="AD251" s="1" t="e">
        <f>AC251/VLOOKUP(A251,'[31]geoMap (28)'!$A:$B,2,0)*VLOOKUP(A251,'[31]geoMap (28)'!$A:$C,3,0)</f>
        <v>#REF!</v>
      </c>
      <c r="AE251" s="1" t="e">
        <f>AD251/VLOOKUP(A251,'[32]geoMap (29)'!$A:$B,2,0)*VLOOKUP(A251,'[32]geoMap (29)'!$A:$C,3,0)</f>
        <v>#REF!</v>
      </c>
      <c r="AF251" s="1" t="e">
        <f>AE251/VLOOKUP(A251,'[33]geoMap (30)'!$A:$B,2,0)*VLOOKUP(A251,'[33]geoMap (30)'!$A:$C,3,0)</f>
        <v>#REF!</v>
      </c>
      <c r="AG251" s="1" t="e">
        <f>AF251/VLOOKUP(A251,'[34]geoMap (31)'!$A:$B,2,0)*VLOOKUP(A251,'[34]geoMap (31)'!$A:$C,3,0)</f>
        <v>#REF!</v>
      </c>
      <c r="AH251" s="1" t="e">
        <f>AG251/VLOOKUP(A251,'[35]geoMap (32)'!$A:$B,2,0)*VLOOKUP(A251,'[35]geoMap (32)'!$A:$C,3,0)</f>
        <v>#REF!</v>
      </c>
      <c r="AI251" s="1" t="e">
        <f>AH251/VLOOKUP(A251,'[36]geoMap (33)'!$A:$B,2,0)*VLOOKUP(A251,'[36]geoMap (33)'!$A:$C,3,0)</f>
        <v>#REF!</v>
      </c>
      <c r="AJ251" s="1" t="e">
        <f>AI251/VLOOKUP(A251,'[37]geoMap (34)'!$A:$B,2,0)*VLOOKUP(A251,'[37]geoMap (34)'!$A:$C,3,0)</f>
        <v>#REF!</v>
      </c>
      <c r="AK251" s="1" t="e">
        <f>AJ251/VLOOKUP(A251,'[38]geoMap (35)'!$A:$B,2,0)*VLOOKUP(A251,'[38]geoMap (35)'!$A:$C,3,0)</f>
        <v>#REF!</v>
      </c>
      <c r="AL251" s="1" t="e">
        <f>AK251/VLOOKUP(A251,'[39]geoMap (36)'!$A:$B,2,0)*VLOOKUP(A251,'[39]geoMap (36)'!$A:$C,3,0)</f>
        <v>#REF!</v>
      </c>
      <c r="AM251" s="1" t="e">
        <f>AL251/VLOOKUP(A251,'[40]geoMap (37)'!$A:$B,2,0)*VLOOKUP(A251,'[40]geoMap (37)'!$A:$C,3,0)</f>
        <v>#REF!</v>
      </c>
      <c r="AN251" s="1" t="e">
        <f>AM251/VLOOKUP(A251,'[41]geoMap (38)'!$A:$B,2,0)*VLOOKUP(A251,'[41]geoMap (38)'!$A:$C,3,0)</f>
        <v>#REF!</v>
      </c>
      <c r="AO251" s="1" t="e">
        <f>AN251/VLOOKUP(A251,'[42]geoMap (39)'!$A:$B,2,0)*VLOOKUP(A251,'[42]geoMap (39)'!$A:$C,3,0)</f>
        <v>#REF!</v>
      </c>
      <c r="AP251" s="1" t="e">
        <f>AO251/VLOOKUP(A251,'[43]geoMap (40)'!$A:$B,2,0)*VLOOKUP(A251,'[43]geoMap (40)'!$A:$C,3,0)</f>
        <v>#REF!</v>
      </c>
      <c r="AQ251" s="1" t="e">
        <f>AP251/VLOOKUP(A251,'[44]geoMap (41)'!$A:$B,2,0)*VLOOKUP(A251,'[44]geoMap (41)'!$A:$C,3,0)</f>
        <v>#REF!</v>
      </c>
      <c r="AR251" s="1" t="e">
        <f>AQ251/VLOOKUP(A251,'[45]geoMap (42)'!$A:$B,2,0)*VLOOKUP(A251,'[45]geoMap (42)'!$A:$C,3,0)</f>
        <v>#REF!</v>
      </c>
      <c r="AS251" s="1" t="e">
        <f>AR251/VLOOKUP(A251,'[46]geoMap (43)'!$A:$B,2,0)*VLOOKUP(A251,'[46]geoMap (43)'!$A:$C,3,0)</f>
        <v>#REF!</v>
      </c>
      <c r="AT251" s="1" t="e">
        <f>AS251/VLOOKUP(A251,'[47]geoMap (44)'!$A:$B,2,0)*VLOOKUP(A251,'[47]geoMap (44)'!$A:$C,3,0)</f>
        <v>#REF!</v>
      </c>
      <c r="AU251" s="1" t="e">
        <f>AT251/VLOOKUP(A251,'[48]geoMap (45)'!$A:$B,2,0)*VLOOKUP(A251,'[48]geoMap (45)'!$A:$C,3,0)</f>
        <v>#REF!</v>
      </c>
      <c r="AV251" s="1" t="e">
        <f>AU251/VLOOKUP(A251,'[49]geoMap (46)'!$A:$B,2,0)*VLOOKUP(A251,'[49]geoMap (46)'!$A:$C,3,0)</f>
        <v>#REF!</v>
      </c>
      <c r="AW251" s="1" t="e">
        <f>AV251/VLOOKUP(A251,'[50]geoMap (47)'!$A:$B,2,0)*VLOOKUP(A251,'[50]geoMap (47)'!$A:$C,3,0)</f>
        <v>#REF!</v>
      </c>
      <c r="AX251" s="1" t="e">
        <f>AW251/VLOOKUP(A251,'[51]geoMap (48)'!$A:$B,2,0)*VLOOKUP(A251,'[51]geoMap (48)'!$A:$C,3,0)</f>
        <v>#REF!</v>
      </c>
      <c r="AY251" s="1" t="e">
        <f>AX251/VLOOKUP(A251,'[52]geoMap (49)'!$A:$B,2,0)*VLOOKUP(A251,'[52]geoMap (49)'!$A:$C,3,0)</f>
        <v>#REF!</v>
      </c>
      <c r="AZ251" s="1" t="e">
        <f>AY251/VLOOKUP(A251,'[53]geoMap (50)'!$A:$B,2,0)*VLOOKUP(A251,'[53]geoMap (50)'!$A:$C,3,0)</f>
        <v>#REF!</v>
      </c>
      <c r="BA251" s="1" t="e">
        <f>AZ251/VLOOKUP(A251,'[54]geoMap (51)'!$A:$B,2,0)*VLOOKUP(A251,'[54]geoMap (51)'!$A:$C,3,0)</f>
        <v>#REF!</v>
      </c>
      <c r="BB251" s="1" t="e">
        <f>BA251/VLOOKUP(A251,'[55]geoMap (52)'!$A:$B,2,0)*VLOOKUP(A251,'[55]geoMap (52)'!$A:$C,3,0)</f>
        <v>#REF!</v>
      </c>
      <c r="BC251" s="1" t="e">
        <f>BB251/VLOOKUP(A251,'[56]geoMap (53)'!$A:$B,2,0)*VLOOKUP(A251,'[56]geoMap (53)'!$A:$C,3,0)</f>
        <v>#REF!</v>
      </c>
      <c r="BD251" s="1" t="e">
        <f>BC251/VLOOKUP(A251,'[57]geoMap (54)'!$A:$B,2,0)*VLOOKUP(A251,'[57]geoMap (54)'!$A:$C,3,0)</f>
        <v>#REF!</v>
      </c>
      <c r="BE251" s="1" t="e">
        <f>BD251/VLOOKUP(A251,'[58]geoMap (55)'!$A:$B,2,0)*VLOOKUP(A251,'[58]geoMap (55)'!$A:$C,3,0)</f>
        <v>#REF!</v>
      </c>
      <c r="BF251" s="1" t="e">
        <f>BE251/VLOOKUP(A251,'[59]geoMap (56)'!$A:$B,2,0)*VLOOKUP(A251,'[59]geoMap (56)'!$A:$C,3,0)</f>
        <v>#REF!</v>
      </c>
      <c r="BG251" s="1" t="e">
        <f>BF251/VLOOKUP(A251,'[60]geoMap (57)'!$A:$B,2,0)*VLOOKUP(A251,'[60]geoMap (57)'!$A:$C,3,0)</f>
        <v>#REF!</v>
      </c>
      <c r="BH251" s="1" t="e">
        <f>BG251/VLOOKUP(A251,'[61]geoMap (58)'!$A:$B,2,0)*VLOOKUP(A251,'[61]geoMap (58)'!$A:$C,3,0)</f>
        <v>#REF!</v>
      </c>
      <c r="BI251" s="1" t="e">
        <f>BH251/VLOOKUP(A251,'[62]geoMap (59)'!$A:$B,2,0)*VLOOKUP(A251,'[62]geoMap (59)'!$A:$C,3,0)</f>
        <v>#REF!</v>
      </c>
      <c r="BJ251" s="1" t="e">
        <f>BI251/VLOOKUP(A251,'[63]geoMap (60)'!$A:$B,2,0)*VLOOKUP(A251,'[63]geoMap (60)'!$A:$C,3,0)</f>
        <v>#REF!</v>
      </c>
      <c r="BK251" s="1" t="e">
        <f>BJ251/VLOOKUP(A251,'[64]geoMap (61)'!$A:$B,2,0)*VLOOKUP(A251,'[64]geoMap (61)'!$A:$C,3,0)</f>
        <v>#REF!</v>
      </c>
      <c r="BL251" s="1" t="e">
        <f>BK251/VLOOKUP(A251,'[65]geoMap (62)'!$A:$B,2,0)*VLOOKUP(A251,'[65]geoMap (62)'!$A:$C,3,0)</f>
        <v>#REF!</v>
      </c>
      <c r="BM251" s="1" t="e">
        <f>BL251/VLOOKUP(A251,'[66]geoMap (63)'!$A:$B,2,0)*VLOOKUP(A251,'[66]geoMap (63)'!$A:$C,3,0)</f>
        <v>#REF!</v>
      </c>
      <c r="BN251" s="1" t="e">
        <f>BM251/VLOOKUP(A251,'[67]geoMap (64)'!$A:$B,2,0)*VLOOKUP(A251,'[67]geoMap (64)'!$A:$C,3,0)</f>
        <v>#REF!</v>
      </c>
      <c r="BO251" s="1" t="e">
        <f>BN251/VLOOKUP(A251,'[68]geoMap (65)'!$A:$B,2,0)*VLOOKUP(A251,'[68]geoMap (65)'!$A:$C,3,0)</f>
        <v>#REF!</v>
      </c>
      <c r="BP251" s="1" t="e">
        <f>BO251/VLOOKUP(A251,'[69]geoMap (66)'!$A:$B,2,0)*VLOOKUP(A251,'[69]geoMap (66)'!$A:$C,3,0)</f>
        <v>#REF!</v>
      </c>
    </row>
  </sheetData>
  <autoFilter ref="A1:M1" xr:uid="{00000000-0009-0000-0000-000006000000}">
    <sortState xmlns:xlrd2="http://schemas.microsoft.com/office/spreadsheetml/2017/richdata2" ref="A2:M251">
      <sortCondition descending="1" ref="B1"/>
    </sortState>
  </autoFilter>
  <conditionalFormatting sqref="A1:XFD1048576">
    <cfRule type="colorScale" priority="1">
      <colorScale>
        <cfvo type="min"/>
        <cfvo type="max"/>
        <color rgb="FFFFEF9C"/>
        <color rgb="FF63BE7B"/>
      </colorScale>
    </cfRule>
    <cfRule type="cellIs" dxfId="24" priority="2" operator="equal">
      <formula>#DIV/0!</formula>
    </cfRule>
  </conditionalFormatting>
  <pageMargins left="0.7" right="0.7" top="0.75" bottom="0.75" header="0.3" footer="0.3"/>
  <pageSetup orientation="portrait" horizontalDpi="4294967295" verticalDpi="4294967295"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P68"/>
  <sheetViews>
    <sheetView zoomScale="70" zoomScaleNormal="70"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8.83203125" defaultRowHeight="15" x14ac:dyDescent="0.2"/>
  <cols>
    <col min="1" max="1" width="21.5" bestFit="1" customWidth="1"/>
    <col min="2" max="3" width="16.5" bestFit="1" customWidth="1"/>
    <col min="4" max="11" width="15.5" bestFit="1" customWidth="1"/>
    <col min="12" max="13" width="14" bestFit="1" customWidth="1"/>
    <col min="14" max="14" width="15.5" bestFit="1" customWidth="1"/>
    <col min="15" max="16" width="14" bestFit="1" customWidth="1"/>
    <col min="17" max="17" width="15.5" bestFit="1" customWidth="1"/>
    <col min="18" max="21" width="14" bestFit="1" customWidth="1"/>
    <col min="22" max="22" width="12.83203125" bestFit="1" customWidth="1"/>
    <col min="23" max="23" width="14" bestFit="1" customWidth="1"/>
    <col min="24" max="24" width="12.83203125" bestFit="1" customWidth="1"/>
    <col min="25" max="26" width="14" bestFit="1" customWidth="1"/>
    <col min="27" max="30" width="12.83203125" bestFit="1" customWidth="1"/>
    <col min="31" max="31" width="11.83203125" bestFit="1" customWidth="1"/>
    <col min="32" max="32" width="12.83203125" bestFit="1" customWidth="1"/>
    <col min="33" max="34" width="11.83203125" bestFit="1" customWidth="1"/>
    <col min="35" max="36" width="12.83203125" bestFit="1" customWidth="1"/>
    <col min="37" max="37" width="11.83203125" bestFit="1" customWidth="1"/>
    <col min="38" max="38" width="12.83203125" bestFit="1" customWidth="1"/>
    <col min="39" max="41" width="11.83203125" bestFit="1" customWidth="1"/>
    <col min="42" max="42" width="12.83203125" bestFit="1" customWidth="1"/>
    <col min="43" max="46" width="11.83203125" bestFit="1" customWidth="1"/>
    <col min="47" max="47" width="10.33203125" bestFit="1" customWidth="1"/>
    <col min="48" max="50" width="11.83203125" bestFit="1" customWidth="1"/>
    <col min="51" max="51" width="10.33203125" bestFit="1" customWidth="1"/>
    <col min="52" max="53" width="11.83203125" bestFit="1" customWidth="1"/>
    <col min="54" max="57" width="10.33203125" bestFit="1" customWidth="1"/>
    <col min="58" max="58" width="11.83203125" bestFit="1" customWidth="1"/>
    <col min="59" max="60" width="10.33203125" bestFit="1" customWidth="1"/>
    <col min="61" max="63" width="9.33203125" bestFit="1" customWidth="1"/>
    <col min="64" max="64" width="10.33203125" bestFit="1" customWidth="1"/>
    <col min="65" max="66" width="9.33203125" bestFit="1" customWidth="1"/>
    <col min="67" max="67" width="8.33203125" bestFit="1" customWidth="1"/>
    <col min="68" max="68" width="7.5" bestFit="1" customWidth="1"/>
  </cols>
  <sheetData>
    <row r="1" spans="1:68" s="3" customFormat="1" ht="79.5" customHeight="1" x14ac:dyDescent="0.2">
      <c r="A1" s="2" t="s">
        <v>0</v>
      </c>
      <c r="B1" s="3" t="s">
        <v>254</v>
      </c>
      <c r="C1" s="3" t="s">
        <v>255</v>
      </c>
      <c r="D1" s="3" t="s">
        <v>256</v>
      </c>
      <c r="E1" s="3" t="s">
        <v>257</v>
      </c>
      <c r="F1" s="3" t="s">
        <v>258</v>
      </c>
      <c r="G1" s="3" t="s">
        <v>259</v>
      </c>
      <c r="H1" s="3" t="s">
        <v>260</v>
      </c>
      <c r="I1" s="3" t="s">
        <v>261</v>
      </c>
      <c r="J1" s="3" t="s">
        <v>262</v>
      </c>
      <c r="K1" s="3" t="s">
        <v>263</v>
      </c>
      <c r="L1" s="3" t="s">
        <v>264</v>
      </c>
      <c r="M1" s="3" t="s">
        <v>265</v>
      </c>
      <c r="N1" s="3" t="s">
        <v>266</v>
      </c>
      <c r="O1" s="3" t="s">
        <v>267</v>
      </c>
      <c r="P1" s="3" t="s">
        <v>268</v>
      </c>
      <c r="Q1" s="3" t="s">
        <v>269</v>
      </c>
      <c r="R1" s="3" t="s">
        <v>270</v>
      </c>
      <c r="S1" s="3" t="s">
        <v>271</v>
      </c>
      <c r="T1" s="3" t="s">
        <v>272</v>
      </c>
      <c r="U1" s="3" t="s">
        <v>273</v>
      </c>
      <c r="V1" s="3" t="s">
        <v>274</v>
      </c>
      <c r="W1" s="3" t="s">
        <v>275</v>
      </c>
      <c r="X1" s="3" t="s">
        <v>276</v>
      </c>
      <c r="Y1" s="3" t="s">
        <v>277</v>
      </c>
      <c r="Z1" s="3" t="s">
        <v>278</v>
      </c>
      <c r="AA1" s="3" t="s">
        <v>279</v>
      </c>
      <c r="AB1" s="3" t="s">
        <v>280</v>
      </c>
      <c r="AC1" s="3" t="s">
        <v>281</v>
      </c>
      <c r="AD1" s="3" t="s">
        <v>282</v>
      </c>
      <c r="AE1" s="3" t="s">
        <v>283</v>
      </c>
      <c r="AF1" s="3" t="s">
        <v>284</v>
      </c>
      <c r="AG1" s="3" t="s">
        <v>285</v>
      </c>
      <c r="AH1" s="3" t="s">
        <v>286</v>
      </c>
      <c r="AI1" s="3" t="s">
        <v>287</v>
      </c>
      <c r="AJ1" s="3" t="s">
        <v>288</v>
      </c>
      <c r="AK1" s="3" t="s">
        <v>289</v>
      </c>
      <c r="AL1" s="3" t="s">
        <v>290</v>
      </c>
      <c r="AM1" s="3" t="s">
        <v>291</v>
      </c>
      <c r="AN1" s="3" t="s">
        <v>292</v>
      </c>
      <c r="AO1" s="3" t="s">
        <v>293</v>
      </c>
      <c r="AP1" s="3" t="s">
        <v>294</v>
      </c>
      <c r="AQ1" s="3" t="s">
        <v>295</v>
      </c>
      <c r="AR1" s="3" t="s">
        <v>296</v>
      </c>
      <c r="AS1" s="3" t="s">
        <v>297</v>
      </c>
      <c r="AT1" s="3" t="s">
        <v>298</v>
      </c>
      <c r="AU1" s="3" t="s">
        <v>299</v>
      </c>
      <c r="AV1" s="3" t="s">
        <v>300</v>
      </c>
      <c r="AW1" s="3" t="s">
        <v>301</v>
      </c>
      <c r="AX1" s="3" t="s">
        <v>302</v>
      </c>
      <c r="AY1" s="3" t="s">
        <v>303</v>
      </c>
      <c r="AZ1" s="3" t="s">
        <v>304</v>
      </c>
      <c r="BA1" s="3" t="s">
        <v>305</v>
      </c>
      <c r="BB1" s="3" t="s">
        <v>306</v>
      </c>
      <c r="BC1" s="3" t="s">
        <v>307</v>
      </c>
      <c r="BD1" s="3" t="s">
        <v>308</v>
      </c>
      <c r="BE1" s="3" t="s">
        <v>309</v>
      </c>
      <c r="BF1" s="3" t="s">
        <v>310</v>
      </c>
      <c r="BG1" s="3" t="s">
        <v>311</v>
      </c>
      <c r="BH1" s="3" t="s">
        <v>312</v>
      </c>
      <c r="BI1" s="3" t="s">
        <v>313</v>
      </c>
      <c r="BJ1" s="3" t="s">
        <v>314</v>
      </c>
      <c r="BK1" s="3" t="s">
        <v>315</v>
      </c>
      <c r="BL1" s="3" t="s">
        <v>316</v>
      </c>
      <c r="BM1" s="3" t="s">
        <v>317</v>
      </c>
      <c r="BN1" s="3" t="s">
        <v>318</v>
      </c>
      <c r="BO1" s="3" t="s">
        <v>319</v>
      </c>
      <c r="BP1" s="3" t="s">
        <v>320</v>
      </c>
    </row>
    <row r="2" spans="1:68" x14ac:dyDescent="0.2">
      <c r="A2" s="1" t="s">
        <v>4</v>
      </c>
      <c r="B2" s="1">
        <v>10000000</v>
      </c>
      <c r="C2" s="1">
        <v>17027027.027027026</v>
      </c>
      <c r="D2" s="1">
        <v>8771498.7714987714</v>
      </c>
      <c r="E2" s="1">
        <v>2620058.0746035292</v>
      </c>
      <c r="F2" s="1">
        <v>2620058.0746035292</v>
      </c>
      <c r="G2" s="1">
        <v>5831742.1660530157</v>
      </c>
      <c r="H2" s="1">
        <v>4399384.4410575386</v>
      </c>
      <c r="I2" s="1">
        <v>3747623.7831230885</v>
      </c>
      <c r="J2" s="1">
        <v>1386107.4266345671</v>
      </c>
      <c r="K2" s="1">
        <v>1914148.3510667831</v>
      </c>
      <c r="L2" s="1">
        <v>820349.29331433563</v>
      </c>
      <c r="M2" s="1">
        <v>788178.73279220471</v>
      </c>
      <c r="N2" s="1">
        <v>1600241.6696084156</v>
      </c>
      <c r="O2" s="1">
        <v>753054.90334513667</v>
      </c>
      <c r="P2" s="1">
        <v>176642.50819206907</v>
      </c>
      <c r="Q2" s="1">
        <v>1295378.3934085064</v>
      </c>
      <c r="R2" s="1">
        <v>977215.27923799609</v>
      </c>
      <c r="S2" s="1">
        <v>308594.29870673554</v>
      </c>
      <c r="T2" s="1">
        <v>308594.29870673554</v>
      </c>
      <c r="U2" s="1">
        <v>181237.92146268595</v>
      </c>
      <c r="V2" s="1">
        <v>24714.262017638994</v>
      </c>
      <c r="W2" s="1">
        <v>222428.35815875095</v>
      </c>
      <c r="X2" s="1">
        <v>82268.022880633915</v>
      </c>
      <c r="Y2" s="1">
        <v>109052.96056270077</v>
      </c>
      <c r="Z2" s="1">
        <v>144558.5756296266</v>
      </c>
      <c r="AA2" s="1">
        <v>71200.4924742937</v>
      </c>
      <c r="AB2" s="1">
        <v>15977.390511231508</v>
      </c>
      <c r="AC2" s="1">
        <v>18017.057385005744</v>
      </c>
      <c r="AD2" s="1">
        <v>25926.985017447289</v>
      </c>
      <c r="AE2" s="1">
        <v>6081.6384608826975</v>
      </c>
      <c r="AF2" s="1">
        <v>27705.241877354507</v>
      </c>
      <c r="AG2" s="1">
        <v>1768.4196942992237</v>
      </c>
      <c r="AH2" s="1">
        <v>1994.1753999544442</v>
      </c>
      <c r="AI2" s="1">
        <v>17947.578599589997</v>
      </c>
      <c r="AJ2" s="1">
        <v>12996.522434185861</v>
      </c>
      <c r="AK2" s="1">
        <v>9804.3941170174039</v>
      </c>
      <c r="AL2" s="1">
        <v>1211.7790481706904</v>
      </c>
      <c r="AM2" s="1">
        <v>8109.5982454500045</v>
      </c>
      <c r="AN2" s="1">
        <v>7791.5747848441224</v>
      </c>
      <c r="AO2" s="1">
        <v>5877.8546622508302</v>
      </c>
      <c r="AP2" s="1">
        <v>13082.966828880881</v>
      </c>
      <c r="AQ2" s="1">
        <v>1453.6629809867645</v>
      </c>
      <c r="AR2" s="1">
        <v>3089.0338345968748</v>
      </c>
      <c r="AS2" s="1">
        <v>545.1236178700367</v>
      </c>
      <c r="AT2" s="1">
        <v>639.92772532569529</v>
      </c>
      <c r="AU2" s="1">
        <v>590.70251568525714</v>
      </c>
      <c r="AV2" s="1">
        <v>1870.5579663366477</v>
      </c>
      <c r="AW2" s="1">
        <v>0</v>
      </c>
      <c r="AX2" s="1">
        <v>4981.4986329331277</v>
      </c>
      <c r="AY2" s="1">
        <v>553.49984810368085</v>
      </c>
      <c r="AZ2" s="1">
        <v>0</v>
      </c>
      <c r="BA2" s="1">
        <v>1374.9837855607275</v>
      </c>
      <c r="BB2" s="1">
        <v>0</v>
      </c>
      <c r="BC2" s="1">
        <v>0</v>
      </c>
      <c r="BD2" s="1">
        <v>0</v>
      </c>
      <c r="BE2" s="1">
        <v>59.372269315664951</v>
      </c>
      <c r="BF2" s="1">
        <v>1164.2583011836045</v>
      </c>
      <c r="BG2" s="1">
        <v>221.76348593973421</v>
      </c>
      <c r="BH2" s="1">
        <v>0</v>
      </c>
      <c r="BI2" s="1">
        <v>0</v>
      </c>
      <c r="BJ2" s="1">
        <v>0</v>
      </c>
      <c r="BK2" s="1">
        <v>0</v>
      </c>
      <c r="BL2" s="1">
        <v>0</v>
      </c>
      <c r="BM2" s="1">
        <v>0</v>
      </c>
      <c r="BN2" s="1">
        <v>0</v>
      </c>
      <c r="BO2" s="1">
        <v>0</v>
      </c>
      <c r="BP2" s="1">
        <v>0</v>
      </c>
    </row>
    <row r="3" spans="1:68" x14ac:dyDescent="0.2">
      <c r="A3" s="1" t="s">
        <v>8</v>
      </c>
      <c r="B3" s="1">
        <v>2500000</v>
      </c>
      <c r="C3" s="1">
        <v>2307692.3076923075</v>
      </c>
      <c r="D3" s="1">
        <v>1538461.5384615385</v>
      </c>
      <c r="E3" s="1">
        <v>2039355.9928443648</v>
      </c>
      <c r="F3" s="1">
        <v>1147137.7459749551</v>
      </c>
      <c r="G3" s="1">
        <v>1293580.8624823964</v>
      </c>
      <c r="H3" s="1">
        <v>431193.62082746549</v>
      </c>
      <c r="I3" s="1">
        <v>448793.36045307637</v>
      </c>
      <c r="J3" s="1">
        <v>311873.35217925644</v>
      </c>
      <c r="K3" s="1">
        <v>366112.19603651843</v>
      </c>
      <c r="L3" s="1">
        <v>215018.27386271718</v>
      </c>
      <c r="M3" s="1">
        <v>137470.69968272085</v>
      </c>
      <c r="N3" s="1">
        <v>279107.178143706</v>
      </c>
      <c r="O3" s="1">
        <v>119617.3620615883</v>
      </c>
      <c r="P3" s="1">
        <v>48857.795771634657</v>
      </c>
      <c r="Q3" s="1">
        <v>62182.649163898655</v>
      </c>
      <c r="R3" s="1">
        <v>55143.103975532758</v>
      </c>
      <c r="S3" s="1">
        <v>46973.755238416794</v>
      </c>
      <c r="T3" s="1">
        <v>45131.647189851428</v>
      </c>
      <c r="U3" s="1">
        <v>20276.537143266585</v>
      </c>
      <c r="V3" s="1">
        <v>21966.248571872136</v>
      </c>
      <c r="W3" s="1">
        <v>19479.503450528122</v>
      </c>
      <c r="X3" s="1">
        <v>34630.228356494437</v>
      </c>
      <c r="Y3" s="1">
        <v>11543.409452164813</v>
      </c>
      <c r="Z3" s="1">
        <v>9833.2747185107655</v>
      </c>
      <c r="AA3" s="1">
        <v>7726.1444216870295</v>
      </c>
      <c r="AB3" s="1">
        <v>1854.2746612048873</v>
      </c>
      <c r="AC3" s="1">
        <v>1711.6381488045113</v>
      </c>
      <c r="AD3" s="1">
        <v>2363.6907769205154</v>
      </c>
      <c r="AE3" s="1">
        <v>746.42866639595229</v>
      </c>
      <c r="AF3" s="1">
        <v>1919.387999303877</v>
      </c>
      <c r="AG3" s="1">
        <v>1570.4083630668083</v>
      </c>
      <c r="AH3" s="1">
        <v>1184.6940282784697</v>
      </c>
      <c r="AI3" s="1">
        <v>726.10279152551368</v>
      </c>
      <c r="AJ3" s="1">
        <v>670.24873063893563</v>
      </c>
      <c r="AK3" s="1">
        <v>594.37151584962214</v>
      </c>
      <c r="AL3" s="1">
        <v>594.37151584962214</v>
      </c>
      <c r="AM3" s="1">
        <v>643.90247550375727</v>
      </c>
      <c r="AN3" s="1">
        <v>526.8292981394377</v>
      </c>
      <c r="AO3" s="1">
        <v>283.67731438277411</v>
      </c>
      <c r="AP3" s="1">
        <v>376.03737022832843</v>
      </c>
      <c r="AQ3" s="1">
        <v>185.21243608260954</v>
      </c>
      <c r="AR3" s="1">
        <v>656.66227338379747</v>
      </c>
      <c r="AS3" s="1">
        <v>0</v>
      </c>
      <c r="AT3" s="1">
        <v>0</v>
      </c>
      <c r="AU3" s="1">
        <v>0</v>
      </c>
      <c r="AV3" s="1">
        <v>0</v>
      </c>
      <c r="AW3" s="1">
        <v>0</v>
      </c>
      <c r="AX3" s="1">
        <v>0</v>
      </c>
      <c r="AY3" s="1">
        <v>0</v>
      </c>
      <c r="AZ3" s="1">
        <v>0</v>
      </c>
      <c r="BA3" s="1">
        <v>0</v>
      </c>
      <c r="BB3" s="1">
        <v>0</v>
      </c>
      <c r="BC3" s="1">
        <v>0</v>
      </c>
      <c r="BD3" s="1">
        <v>0</v>
      </c>
      <c r="BE3" s="1">
        <v>0</v>
      </c>
      <c r="BF3" s="1">
        <v>0</v>
      </c>
      <c r="BG3" s="1">
        <v>0</v>
      </c>
      <c r="BH3" s="1">
        <v>0</v>
      </c>
      <c r="BI3" s="1">
        <v>0</v>
      </c>
      <c r="BJ3" s="1">
        <v>0</v>
      </c>
      <c r="BK3" s="1">
        <v>0</v>
      </c>
      <c r="BL3" s="1">
        <v>0</v>
      </c>
      <c r="BM3" s="1">
        <v>0</v>
      </c>
      <c r="BN3" s="1">
        <v>0</v>
      </c>
      <c r="BO3" s="1">
        <v>0</v>
      </c>
      <c r="BP3" s="1">
        <v>0</v>
      </c>
    </row>
    <row r="4" spans="1:68" x14ac:dyDescent="0.2">
      <c r="A4" s="1" t="s">
        <v>7</v>
      </c>
      <c r="B4" s="1">
        <v>2500000</v>
      </c>
      <c r="C4" s="1">
        <v>308988.76404494379</v>
      </c>
      <c r="D4" s="1">
        <v>483290.11812157877</v>
      </c>
      <c r="E4" s="1">
        <v>283837.05349997483</v>
      </c>
      <c r="F4" s="1">
        <v>333200.0193260574</v>
      </c>
      <c r="G4" s="1">
        <v>204219.36668371261</v>
      </c>
      <c r="H4" s="1">
        <v>270709.39304585155</v>
      </c>
      <c r="I4" s="1">
        <v>105275.87507338672</v>
      </c>
      <c r="J4" s="1">
        <v>70183.916715591142</v>
      </c>
      <c r="K4" s="1">
        <v>114510.60095701712</v>
      </c>
      <c r="L4" s="1">
        <v>53887.341626831585</v>
      </c>
      <c r="M4" s="1">
        <v>37447.135706781271</v>
      </c>
      <c r="N4" s="1">
        <v>23941.611353515895</v>
      </c>
      <c r="O4" s="1">
        <v>26997.987270986014</v>
      </c>
      <c r="P4" s="1">
        <v>16547.153488668846</v>
      </c>
      <c r="Q4" s="1">
        <v>32120.945007415994</v>
      </c>
      <c r="R4" s="1">
        <v>13766.119288892569</v>
      </c>
      <c r="S4" s="1">
        <v>12707.187035900832</v>
      </c>
      <c r="T4" s="1">
        <v>5190.2594935369589</v>
      </c>
      <c r="U4" s="1">
        <v>7468.9100028946486</v>
      </c>
      <c r="V4" s="1">
        <f>U4/44*11</f>
        <v>1867.2275007236622</v>
      </c>
      <c r="W4" s="1">
        <v>1690.5760530218945</v>
      </c>
      <c r="X4" s="1">
        <v>2535.8640795328415</v>
      </c>
      <c r="Y4" s="1">
        <v>3099.38943054014</v>
      </c>
      <c r="Z4" s="1">
        <v>6586.2025398977976</v>
      </c>
      <c r="AA4" s="1">
        <v>1750.7627004791611</v>
      </c>
      <c r="AB4" s="1">
        <v>436.99037003959864</v>
      </c>
      <c r="AC4" s="1">
        <v>1243.7418224203959</v>
      </c>
      <c r="AD4" s="1">
        <f>AC4/24*3</f>
        <v>155.46772780254949</v>
      </c>
      <c r="AE4" s="1">
        <v>1462.9677605673519</v>
      </c>
      <c r="AF4" s="1">
        <v>258.17078127659147</v>
      </c>
      <c r="AG4" s="1">
        <v>602.3984896453801</v>
      </c>
      <c r="AH4" s="1">
        <v>436.21959595010287</v>
      </c>
      <c r="AI4" s="1">
        <v>267.36039751780498</v>
      </c>
      <c r="AJ4" s="1">
        <v>760.94882370452183</v>
      </c>
      <c r="AK4" s="1">
        <v>267.36039751780498</v>
      </c>
      <c r="AL4" s="1">
        <v>201.69293146080028</v>
      </c>
      <c r="AM4" s="1">
        <v>391.52157283567107</v>
      </c>
      <c r="AN4" s="1">
        <v>295.35837950761152</v>
      </c>
      <c r="AO4" s="1">
        <v>1111.1100943381578</v>
      </c>
      <c r="AP4" s="1">
        <v>0</v>
      </c>
      <c r="AQ4" s="1">
        <v>0</v>
      </c>
      <c r="AR4" s="1">
        <v>0</v>
      </c>
      <c r="AS4" s="1">
        <v>465.3926165830681</v>
      </c>
      <c r="AT4" s="1">
        <v>209.08943643587122</v>
      </c>
      <c r="AU4" s="1">
        <v>0</v>
      </c>
      <c r="AV4" s="1">
        <v>759.49297587671526</v>
      </c>
      <c r="AW4" s="1">
        <v>0</v>
      </c>
      <c r="AX4" s="1">
        <v>0</v>
      </c>
      <c r="AY4" s="1">
        <v>0</v>
      </c>
      <c r="AZ4" s="1">
        <v>0</v>
      </c>
      <c r="BA4" s="1">
        <v>0</v>
      </c>
      <c r="BB4" s="1">
        <v>0</v>
      </c>
      <c r="BC4" s="1">
        <v>0</v>
      </c>
      <c r="BD4" s="1">
        <v>0</v>
      </c>
      <c r="BE4" s="1">
        <v>0</v>
      </c>
      <c r="BF4" s="1">
        <v>0</v>
      </c>
      <c r="BG4" s="1">
        <v>0</v>
      </c>
      <c r="BH4" s="1">
        <v>0</v>
      </c>
      <c r="BI4" s="1">
        <v>0</v>
      </c>
      <c r="BJ4" s="1">
        <v>0</v>
      </c>
      <c r="BK4" s="1">
        <v>0</v>
      </c>
      <c r="BL4" s="1">
        <v>0</v>
      </c>
      <c r="BM4" s="1">
        <v>0</v>
      </c>
      <c r="BN4" s="1">
        <v>0</v>
      </c>
      <c r="BO4" s="1">
        <v>0</v>
      </c>
      <c r="BP4" s="1">
        <v>0</v>
      </c>
    </row>
    <row r="5" spans="1:68" x14ac:dyDescent="0.2">
      <c r="A5" s="1" t="s">
        <v>11</v>
      </c>
      <c r="B5" s="1">
        <v>2100000</v>
      </c>
      <c r="C5" s="1">
        <v>1788888.8888888888</v>
      </c>
      <c r="D5" s="1">
        <v>1523868.3127572015</v>
      </c>
      <c r="E5" s="1">
        <v>481221.57244964252</v>
      </c>
      <c r="F5" s="1">
        <v>564912.28070175427</v>
      </c>
      <c r="G5" s="1">
        <v>847368.42105263134</v>
      </c>
      <c r="H5" s="1">
        <v>665789.47368421033</v>
      </c>
      <c r="I5" s="1">
        <v>285338.34586466156</v>
      </c>
      <c r="J5" s="1">
        <v>160502.81954887212</v>
      </c>
      <c r="K5" s="1">
        <v>240754.22932330816</v>
      </c>
      <c r="L5" s="1">
        <v>231312.88699690392</v>
      </c>
      <c r="M5" s="1">
        <v>160742.85367581461</v>
      </c>
      <c r="N5" s="1">
        <v>160742.85367581461</v>
      </c>
      <c r="O5" s="1">
        <v>116399.99748938299</v>
      </c>
      <c r="P5" s="1">
        <v>27303.703114793541</v>
      </c>
      <c r="Q5" s="1">
        <v>133306.3152075214</v>
      </c>
      <c r="R5" s="1">
        <v>176708.37132159813</v>
      </c>
      <c r="S5" s="1">
        <v>72176.658708821764</v>
      </c>
      <c r="T5" s="1">
        <v>40599.370523712241</v>
      </c>
      <c r="U5" s="1">
        <v>34584.648964643762</v>
      </c>
      <c r="V5" s="1">
        <v>10921.468094098031</v>
      </c>
      <c r="W5" s="1">
        <v>15716.258964677654</v>
      </c>
      <c r="X5" s="1">
        <v>8096.2546181672769</v>
      </c>
      <c r="Y5" s="1">
        <v>11180.542091754811</v>
      </c>
      <c r="Z5" s="1">
        <v>13665.107001033657</v>
      </c>
      <c r="AA5" s="1">
        <v>9895.4223110933381</v>
      </c>
      <c r="AB5" s="1">
        <v>2393.7026570534781</v>
      </c>
      <c r="AC5" s="1">
        <v>1805.7756886543782</v>
      </c>
      <c r="AD5" s="1">
        <v>3666.2718527225256</v>
      </c>
      <c r="AE5" s="1">
        <v>750.92315055762583</v>
      </c>
      <c r="AF5" s="1">
        <v>1278.598877976498</v>
      </c>
      <c r="AG5" s="1">
        <v>547.97094770421347</v>
      </c>
      <c r="AH5" s="1">
        <v>192.53033297715612</v>
      </c>
      <c r="AI5" s="1">
        <v>1557.7454213606268</v>
      </c>
      <c r="AJ5" s="1">
        <v>802.47491403426227</v>
      </c>
      <c r="AK5" s="1">
        <v>1154.7809738541823</v>
      </c>
      <c r="AL5" s="1">
        <v>100.41573685688542</v>
      </c>
      <c r="AM5" s="1">
        <v>672.01300819607934</v>
      </c>
      <c r="AN5" s="1">
        <v>224.00433606535978</v>
      </c>
      <c r="AO5" s="1">
        <v>476.0092141388896</v>
      </c>
      <c r="AP5" s="1">
        <v>846.23860291358153</v>
      </c>
      <c r="AQ5" s="1">
        <v>267.23324302534149</v>
      </c>
      <c r="AR5" s="1">
        <v>209.96897666276831</v>
      </c>
      <c r="AS5" s="1">
        <v>193.81751691947844</v>
      </c>
      <c r="AT5" s="1">
        <v>54.666479131134942</v>
      </c>
      <c r="AU5" s="1">
        <v>66.814585604720492</v>
      </c>
      <c r="AV5" s="1">
        <v>96.147818309231923</v>
      </c>
      <c r="AW5" s="1">
        <v>45.246032145520907</v>
      </c>
      <c r="AX5" s="1">
        <v>28.927791043857631</v>
      </c>
      <c r="AY5" s="1">
        <v>86.783373131572887</v>
      </c>
      <c r="AZ5" s="1">
        <v>15.314712905571685</v>
      </c>
      <c r="BA5" s="1">
        <v>41.406446003953072</v>
      </c>
      <c r="BB5" s="1">
        <v>23.2911258772236</v>
      </c>
      <c r="BC5" s="1">
        <v>10.960529824575811</v>
      </c>
      <c r="BD5" s="1">
        <v>0</v>
      </c>
      <c r="BE5" s="1">
        <v>9.3335140027233248</v>
      </c>
      <c r="BF5" s="1">
        <v>0</v>
      </c>
      <c r="BG5" s="1">
        <v>0</v>
      </c>
      <c r="BH5" s="1">
        <v>19.478637918726935</v>
      </c>
      <c r="BI5" s="1">
        <v>22.154274995475141</v>
      </c>
      <c r="BJ5" s="1">
        <v>22.154274995475141</v>
      </c>
      <c r="BK5" s="1">
        <v>0</v>
      </c>
      <c r="BL5" s="1">
        <v>11.789701898176832</v>
      </c>
      <c r="BM5" s="1">
        <v>0</v>
      </c>
      <c r="BN5" s="1">
        <v>0</v>
      </c>
      <c r="BO5" s="1">
        <v>0</v>
      </c>
      <c r="BP5" s="1">
        <v>0</v>
      </c>
    </row>
    <row r="6" spans="1:68" x14ac:dyDescent="0.2">
      <c r="A6" s="1" t="s">
        <v>16</v>
      </c>
      <c r="B6" s="1">
        <v>1500000</v>
      </c>
      <c r="C6" s="1">
        <v>642857.14285714296</v>
      </c>
      <c r="D6" s="1">
        <v>724924.01215805486</v>
      </c>
      <c r="E6" s="1">
        <v>696495.61952440557</v>
      </c>
      <c r="F6" s="1">
        <v>426884.41196657112</v>
      </c>
      <c r="G6" s="1">
        <v>426884.41196657112</v>
      </c>
      <c r="H6" s="1">
        <v>309123.19487234461</v>
      </c>
      <c r="I6" s="1">
        <v>166450.95108510862</v>
      </c>
      <c r="J6" s="1">
        <v>85747.459649904442</v>
      </c>
      <c r="K6" s="1">
        <v>123392.68583766738</v>
      </c>
      <c r="L6" s="1">
        <v>89353.324227276389</v>
      </c>
      <c r="M6" s="1">
        <v>70206.183321431439</v>
      </c>
      <c r="N6" s="1">
        <v>59805.267273811965</v>
      </c>
      <c r="O6" s="1">
        <v>46989.852857995109</v>
      </c>
      <c r="P6" s="1">
        <v>34027.134828203358</v>
      </c>
      <c r="Q6" s="1">
        <v>38371.024380739967</v>
      </c>
      <c r="R6" s="1">
        <v>23517.724620453529</v>
      </c>
      <c r="S6" s="1">
        <v>27607.763684880229</v>
      </c>
      <c r="T6" s="1">
        <v>28734.611182222281</v>
      </c>
      <c r="U6" s="1">
        <v>9578.2037274074264</v>
      </c>
      <c r="V6" s="1">
        <v>5625.2942526043607</v>
      </c>
      <c r="W6" s="1">
        <v>8437.9413789065402</v>
      </c>
      <c r="X6" s="1">
        <v>12656.912068359808</v>
      </c>
      <c r="Y6" s="1">
        <v>6234.0014665055769</v>
      </c>
      <c r="Z6" s="1">
        <v>11577.43129493893</v>
      </c>
      <c r="AA6" s="1">
        <v>7718.287529959287</v>
      </c>
      <c r="AB6" s="1">
        <v>1706.5133728739986</v>
      </c>
      <c r="AC6" s="1">
        <v>3169.2391210517121</v>
      </c>
      <c r="AD6" s="1">
        <v>1491.4066452008055</v>
      </c>
      <c r="AE6" s="1">
        <v>2332.7129578781828</v>
      </c>
      <c r="AF6" s="1">
        <v>3499.069436817274</v>
      </c>
      <c r="AG6" s="1">
        <v>1884.114312132378</v>
      </c>
      <c r="AH6" s="1">
        <v>1739.1824419683489</v>
      </c>
      <c r="AI6" s="1">
        <v>1111.9363153568133</v>
      </c>
      <c r="AJ6" s="1">
        <v>1814.2118829505903</v>
      </c>
      <c r="AK6" s="1">
        <v>705.52684336967411</v>
      </c>
      <c r="AL6" s="1">
        <v>577.24923548427876</v>
      </c>
      <c r="AM6" s="1">
        <v>1642.9401317629472</v>
      </c>
      <c r="AN6" s="1">
        <v>607.66278846026819</v>
      </c>
      <c r="AO6" s="1">
        <v>839.15337454037035</v>
      </c>
      <c r="AP6" s="1">
        <v>377.01093638770266</v>
      </c>
      <c r="AQ6" s="1">
        <v>879.69218490463959</v>
      </c>
      <c r="AR6" s="1">
        <v>97.743576100515511</v>
      </c>
      <c r="AS6" s="1">
        <v>309.52132431829915</v>
      </c>
      <c r="AT6" s="1">
        <v>688.93456057944002</v>
      </c>
      <c r="AU6" s="1">
        <v>112.15213776874607</v>
      </c>
      <c r="AV6" s="1">
        <v>822.44901030413791</v>
      </c>
      <c r="AW6" s="1">
        <v>335.92987744816901</v>
      </c>
      <c r="AX6" s="1">
        <v>747.71488851366644</v>
      </c>
      <c r="AY6" s="1">
        <v>198.75965390869612</v>
      </c>
      <c r="AZ6" s="1">
        <v>81.183520610594186</v>
      </c>
      <c r="BA6" s="1">
        <v>66.422880499577062</v>
      </c>
      <c r="BB6" s="1">
        <v>71.958120541208487</v>
      </c>
      <c r="BC6" s="1">
        <v>25.282582892857036</v>
      </c>
      <c r="BD6" s="1">
        <v>58.99269341666642</v>
      </c>
      <c r="BE6" s="1">
        <v>22.941602995370278</v>
      </c>
      <c r="BF6" s="1">
        <v>11.299595505182374</v>
      </c>
      <c r="BG6" s="1">
        <v>24.011640448512548</v>
      </c>
      <c r="BH6" s="1">
        <v>85.132179771999034</v>
      </c>
      <c r="BI6" s="1">
        <v>69.653601631635567</v>
      </c>
      <c r="BJ6" s="1">
        <v>61.768288239374932</v>
      </c>
      <c r="BK6" s="1">
        <v>14.488857735162021</v>
      </c>
      <c r="BL6" s="1">
        <v>29.416771765328953</v>
      </c>
      <c r="BM6" s="1">
        <v>4.7887767990070396</v>
      </c>
      <c r="BN6" s="1">
        <v>0</v>
      </c>
      <c r="BO6" s="1">
        <v>0</v>
      </c>
      <c r="BP6" s="1">
        <v>0</v>
      </c>
    </row>
    <row r="7" spans="1:68" x14ac:dyDescent="0.2">
      <c r="A7" s="1" t="s">
        <v>18</v>
      </c>
      <c r="B7" s="1">
        <v>1400000</v>
      </c>
      <c r="C7" s="1">
        <v>466666.66666666669</v>
      </c>
      <c r="D7" s="1">
        <v>700000</v>
      </c>
      <c r="E7" s="1">
        <v>620754.71698113205</v>
      </c>
      <c r="F7" s="1">
        <v>550480.59807760757</v>
      </c>
      <c r="G7" s="1">
        <v>351946.61188568355</v>
      </c>
      <c r="H7" s="1">
        <v>181305.83036535216</v>
      </c>
      <c r="I7" s="1">
        <v>271958.74554802821</v>
      </c>
      <c r="J7" s="1">
        <v>95553.072760118012</v>
      </c>
      <c r="K7" s="1">
        <v>121613.00169469567</v>
      </c>
      <c r="L7" s="1">
        <v>99501.546841114628</v>
      </c>
      <c r="M7" s="1">
        <v>58437.416398749854</v>
      </c>
      <c r="N7" s="1">
        <v>47812.431598977149</v>
      </c>
      <c r="O7" s="1">
        <v>42399.703493432557</v>
      </c>
      <c r="P7" s="1">
        <v>69178.463594547851</v>
      </c>
      <c r="Q7" s="1">
        <v>26902.735842324168</v>
      </c>
      <c r="R7" s="1">
        <v>13512.555743855075</v>
      </c>
      <c r="S7" s="1">
        <v>17318.18875083865</v>
      </c>
      <c r="T7" s="1">
        <v>14169.427159777077</v>
      </c>
      <c r="U7" s="1">
        <v>5510.3327843577526</v>
      </c>
      <c r="V7" s="1">
        <f>U7/27*18</f>
        <v>3673.5551895718349</v>
      </c>
      <c r="W7" s="1">
        <v>4747.541619233677</v>
      </c>
      <c r="X7" s="1">
        <v>6293.2528441004551</v>
      </c>
      <c r="Y7" s="1">
        <v>2961.5307501649199</v>
      </c>
      <c r="Z7" s="1">
        <v>3619.6486946460136</v>
      </c>
      <c r="AA7" s="1">
        <v>2125.8254238397221</v>
      </c>
      <c r="AB7" s="1">
        <v>0</v>
      </c>
      <c r="AC7" s="1">
        <v>4261.7149819446413</v>
      </c>
      <c r="AD7" s="1">
        <v>2841.1433212964275</v>
      </c>
      <c r="AE7" s="1">
        <v>4088.4745355241271</v>
      </c>
      <c r="AF7" s="1">
        <v>2401.1675843554399</v>
      </c>
      <c r="AG7" s="1">
        <v>4268.7423721874493</v>
      </c>
      <c r="AH7" s="1">
        <v>2199.0491008238373</v>
      </c>
      <c r="AI7" s="1">
        <v>0</v>
      </c>
      <c r="AJ7" s="1">
        <v>650.09211588986057</v>
      </c>
      <c r="AK7" s="1">
        <f>AF7/15*7</f>
        <v>1120.5448726992051</v>
      </c>
      <c r="AL7" s="1">
        <v>741.37382902388242</v>
      </c>
      <c r="AM7" s="1">
        <v>684.34507294512218</v>
      </c>
      <c r="AN7" s="1">
        <v>322.04474020946924</v>
      </c>
      <c r="AO7" s="1">
        <v>548.34644954585303</v>
      </c>
      <c r="AP7" s="1">
        <v>0</v>
      </c>
      <c r="AQ7" s="1">
        <v>1410.2095336690677</v>
      </c>
      <c r="AR7" s="1">
        <v>0</v>
      </c>
      <c r="AS7" s="1">
        <v>0</v>
      </c>
      <c r="AT7" s="1">
        <v>752.06734975493669</v>
      </c>
      <c r="AU7" s="1">
        <v>0</v>
      </c>
      <c r="AV7" s="1">
        <v>363.15683470429514</v>
      </c>
      <c r="AW7" s="1">
        <v>0</v>
      </c>
      <c r="AX7" s="1">
        <v>933.67098165915525</v>
      </c>
      <c r="AY7" s="1">
        <v>0</v>
      </c>
      <c r="AZ7" s="1">
        <v>0</v>
      </c>
      <c r="BA7" s="1">
        <v>0</v>
      </c>
      <c r="BB7" s="1">
        <v>0</v>
      </c>
      <c r="BC7" s="1">
        <v>0</v>
      </c>
      <c r="BD7" s="1">
        <v>0</v>
      </c>
      <c r="BE7" s="1">
        <v>0</v>
      </c>
      <c r="BF7" s="1">
        <v>0</v>
      </c>
      <c r="BG7" s="1">
        <v>0</v>
      </c>
      <c r="BH7" s="1">
        <v>0</v>
      </c>
      <c r="BI7" s="1">
        <v>0</v>
      </c>
      <c r="BJ7" s="1">
        <v>0</v>
      </c>
      <c r="BK7" s="1">
        <v>0</v>
      </c>
      <c r="BL7" s="1">
        <v>0</v>
      </c>
      <c r="BM7" s="1">
        <v>0</v>
      </c>
      <c r="BN7" s="1">
        <v>0</v>
      </c>
      <c r="BO7" s="1">
        <v>0</v>
      </c>
      <c r="BP7" s="1">
        <v>0</v>
      </c>
    </row>
    <row r="8" spans="1:68" x14ac:dyDescent="0.2">
      <c r="A8" s="1" t="s">
        <v>20</v>
      </c>
      <c r="B8" s="1">
        <v>1300000</v>
      </c>
      <c r="C8" s="1">
        <v>266265.06024096388</v>
      </c>
      <c r="D8" s="1">
        <v>288453.81526104425</v>
      </c>
      <c r="E8" s="1">
        <v>129595.19236365757</v>
      </c>
      <c r="F8" s="1">
        <v>350387.00157581485</v>
      </c>
      <c r="G8" s="1">
        <v>98827.103008563165</v>
      </c>
      <c r="H8" s="1">
        <v>84186.050710998257</v>
      </c>
      <c r="I8" s="1">
        <v>98827.103008563165</v>
      </c>
      <c r="J8" s="1">
        <v>50910.931852896181</v>
      </c>
      <c r="K8" s="1">
        <v>161217.95086750458</v>
      </c>
      <c r="L8" s="1">
        <v>21984.266027386988</v>
      </c>
      <c r="M8" s="1">
        <v>24790.768073436393</v>
      </c>
      <c r="N8" s="1">
        <f>M8/48*25</f>
        <v>12911.858371581453</v>
      </c>
      <c r="O8" s="1">
        <v>22378.570442164091</v>
      </c>
      <c r="P8" s="1">
        <v>57544.895422707654</v>
      </c>
      <c r="Q8" s="1">
        <v>30985.712919919501</v>
      </c>
      <c r="R8" s="1">
        <v>7746.4282299798761</v>
      </c>
      <c r="S8" s="1">
        <v>12638.909217335586</v>
      </c>
      <c r="T8" s="1">
        <f>S8/46*10</f>
        <v>2747.5889602903449</v>
      </c>
      <c r="U8" s="1">
        <v>8277.0055060058985</v>
      </c>
      <c r="V8" s="1">
        <v>2759.0018353352993</v>
      </c>
      <c r="W8" s="1">
        <f>V8/26*9</f>
        <v>955.03909684683435</v>
      </c>
      <c r="X8" s="1">
        <f>W8/10*23</f>
        <v>2196.5899227477189</v>
      </c>
      <c r="Y8" s="1">
        <v>3051.623242113285</v>
      </c>
      <c r="Z8" s="1">
        <v>1572.0483368462378</v>
      </c>
      <c r="AA8" s="1">
        <v>1048.0322245641587</v>
      </c>
      <c r="AB8" s="1">
        <v>0</v>
      </c>
      <c r="AC8" s="1">
        <v>2599.5309099483538</v>
      </c>
      <c r="AD8" s="1">
        <f>AC8/31*8</f>
        <v>670.84668643828491</v>
      </c>
      <c r="AE8" s="1">
        <f>AC8/31*9</f>
        <v>754.70252224307046</v>
      </c>
      <c r="AF8" s="1">
        <v>963.67049750945841</v>
      </c>
      <c r="AG8" s="1">
        <v>2248.5644941887363</v>
      </c>
      <c r="AH8" s="1">
        <v>1562.5617671481048</v>
      </c>
      <c r="AI8" s="1">
        <v>0</v>
      </c>
      <c r="AJ8" s="1">
        <v>1017.207747371095</v>
      </c>
      <c r="AK8" s="1">
        <v>2895.1297425177318</v>
      </c>
      <c r="AL8" s="1">
        <v>592.97838099760781</v>
      </c>
      <c r="AM8" s="1">
        <v>230.0558541726202</v>
      </c>
      <c r="AN8" s="1">
        <v>212.35925000549557</v>
      </c>
      <c r="AO8" s="1">
        <v>0</v>
      </c>
      <c r="AP8" s="1">
        <v>0</v>
      </c>
      <c r="AQ8" s="1">
        <v>1713.1919955723706</v>
      </c>
      <c r="AR8" s="1">
        <v>0</v>
      </c>
      <c r="AS8" s="1">
        <v>91.133236918622501</v>
      </c>
      <c r="AT8" s="1">
        <v>148.69107076196303</v>
      </c>
      <c r="AU8" s="1">
        <v>0</v>
      </c>
      <c r="AV8" s="1">
        <f>AN8/13*0</f>
        <v>0</v>
      </c>
      <c r="AW8" s="1">
        <v>0</v>
      </c>
      <c r="AX8" s="1">
        <v>141.57283333699704</v>
      </c>
      <c r="AY8" s="1">
        <v>141.57283333699704</v>
      </c>
      <c r="AZ8" s="1">
        <v>0</v>
      </c>
      <c r="BA8" s="1">
        <v>0</v>
      </c>
      <c r="BB8" s="1">
        <v>0</v>
      </c>
      <c r="BC8" s="1">
        <v>0</v>
      </c>
      <c r="BD8" s="1">
        <v>0</v>
      </c>
      <c r="BE8" s="1">
        <v>0</v>
      </c>
      <c r="BF8" s="1">
        <v>0</v>
      </c>
      <c r="BG8" s="1">
        <v>0</v>
      </c>
      <c r="BH8" s="1">
        <v>0</v>
      </c>
      <c r="BI8" s="1">
        <v>0</v>
      </c>
      <c r="BJ8" s="1">
        <v>0</v>
      </c>
      <c r="BK8" s="1">
        <v>0</v>
      </c>
      <c r="BL8" s="1">
        <v>0</v>
      </c>
      <c r="BM8" s="1">
        <v>0</v>
      </c>
      <c r="BN8" s="1">
        <v>0</v>
      </c>
      <c r="BO8" s="1">
        <v>0</v>
      </c>
      <c r="BP8" s="1">
        <v>0</v>
      </c>
    </row>
    <row r="9" spans="1:68" x14ac:dyDescent="0.2">
      <c r="A9" s="1" t="s">
        <v>32</v>
      </c>
      <c r="B9" s="1">
        <v>1100000</v>
      </c>
      <c r="C9" s="1">
        <v>1582926.8292682928</v>
      </c>
      <c r="D9" s="1">
        <v>890396.3414634146</v>
      </c>
      <c r="E9" s="1">
        <v>890396.3414634146</v>
      </c>
      <c r="F9" s="1">
        <v>593597.5609756097</v>
      </c>
      <c r="G9" s="1">
        <v>725508.13008130086</v>
      </c>
      <c r="H9" s="1">
        <v>325952.92800754099</v>
      </c>
      <c r="I9" s="1">
        <v>339257.12915070599</v>
      </c>
      <c r="J9" s="1">
        <v>235754.95415557534</v>
      </c>
      <c r="K9" s="1">
        <v>265851.33128181903</v>
      </c>
      <c r="L9" s="1">
        <v>162941.13852756651</v>
      </c>
      <c r="M9" s="1">
        <v>150407.20479467674</v>
      </c>
      <c r="N9" s="1">
        <v>113465.08431879123</v>
      </c>
      <c r="O9" s="1">
        <v>89151.13767905024</v>
      </c>
      <c r="P9" s="1">
        <v>70047.322462110897</v>
      </c>
      <c r="Q9" s="1">
        <v>78989.533840252727</v>
      </c>
      <c r="R9" s="1">
        <v>75891.905062203587</v>
      </c>
      <c r="S9" s="1">
        <v>35713.837676331103</v>
      </c>
      <c r="T9" s="1">
        <v>29220.412644270898</v>
      </c>
      <c r="U9" s="1">
        <v>25912.441401523247</v>
      </c>
      <c r="V9" s="1">
        <v>40529.716038279948</v>
      </c>
      <c r="W9" s="1">
        <v>8896.7669352321846</v>
      </c>
      <c r="X9" s="1">
        <v>15148.549105935881</v>
      </c>
      <c r="Y9" s="1">
        <v>28133.01976816664</v>
      </c>
      <c r="Z9" s="1">
        <v>12057.008472071419</v>
      </c>
      <c r="AA9" s="1">
        <v>4924.6936012686074</v>
      </c>
      <c r="AB9" s="1">
        <v>1218.8616663139803</v>
      </c>
      <c r="AC9" s="1">
        <v>2366.0255875506678</v>
      </c>
      <c r="AD9" s="1">
        <v>1330.8893929972505</v>
      </c>
      <c r="AE9" s="1">
        <v>1385.2114090379546</v>
      </c>
      <c r="AF9" s="1">
        <v>1228.3950231091294</v>
      </c>
      <c r="AG9" s="1">
        <v>1842.5925346636941</v>
      </c>
      <c r="AH9" s="1">
        <v>489.80307883465281</v>
      </c>
      <c r="AI9" s="1">
        <v>1199.173055077943</v>
      </c>
      <c r="AJ9" s="1">
        <v>1248.1188940607162</v>
      </c>
      <c r="AK9" s="1">
        <v>980.66484533341975</v>
      </c>
      <c r="AL9" s="1">
        <v>0</v>
      </c>
      <c r="AM9" s="1">
        <v>1555.1664004006127</v>
      </c>
      <c r="AN9" s="1">
        <v>837.3972925234068</v>
      </c>
      <c r="AO9" s="1">
        <v>2651.7580929907886</v>
      </c>
      <c r="AP9" s="1">
        <v>4515.1556718491802</v>
      </c>
      <c r="AQ9" s="1">
        <v>1059.1105896930176</v>
      </c>
      <c r="AR9" s="1">
        <v>1462.5812905284527</v>
      </c>
      <c r="AS9" s="1">
        <v>822.70197592225463</v>
      </c>
      <c r="AT9" s="1">
        <v>274.23399197408486</v>
      </c>
      <c r="AU9" s="1">
        <v>274.23399197408486</v>
      </c>
      <c r="AV9" s="1">
        <v>671.40046310896639</v>
      </c>
      <c r="AW9" s="1">
        <v>549.32765163460886</v>
      </c>
      <c r="AX9" s="1">
        <v>671.40046310896639</v>
      </c>
      <c r="AY9" s="1">
        <v>274.23399197408486</v>
      </c>
      <c r="AZ9" s="1">
        <v>1031.6421602834621</v>
      </c>
      <c r="BA9" s="1">
        <v>0</v>
      </c>
      <c r="BB9" s="1">
        <v>381.56627846100656</v>
      </c>
      <c r="BC9" s="1">
        <v>0</v>
      </c>
      <c r="BD9" s="1">
        <v>0</v>
      </c>
      <c r="BE9" s="1">
        <v>125.12833106671597</v>
      </c>
      <c r="BF9" s="1">
        <v>0</v>
      </c>
      <c r="BG9" s="1">
        <v>0</v>
      </c>
      <c r="BH9" s="1">
        <v>0</v>
      </c>
      <c r="BI9" s="1">
        <v>0</v>
      </c>
      <c r="BJ9" s="1">
        <v>0</v>
      </c>
      <c r="BK9" s="1">
        <v>0</v>
      </c>
      <c r="BL9" s="1">
        <v>0</v>
      </c>
      <c r="BM9" s="1">
        <v>0</v>
      </c>
      <c r="BN9" s="1">
        <v>0</v>
      </c>
      <c r="BO9" s="1">
        <v>0</v>
      </c>
      <c r="BP9" s="1">
        <v>0</v>
      </c>
    </row>
    <row r="10" spans="1:68" x14ac:dyDescent="0.2">
      <c r="A10" s="1" t="s">
        <v>37</v>
      </c>
      <c r="B10" s="1">
        <v>1000000</v>
      </c>
      <c r="C10" s="1">
        <v>515151.5151515152</v>
      </c>
      <c r="D10" s="1">
        <v>741315.59497413167</v>
      </c>
      <c r="E10" s="1">
        <v>536814.74118816433</v>
      </c>
      <c r="F10" s="1">
        <v>457286.63138251036</v>
      </c>
      <c r="G10" s="1">
        <v>304857.75425500696</v>
      </c>
      <c r="H10" s="1">
        <v>203238.50283667131</v>
      </c>
      <c r="I10" s="1">
        <v>187604.77184923505</v>
      </c>
      <c r="J10" s="1">
        <v>125069.84789949004</v>
      </c>
      <c r="K10" s="1">
        <v>102329.87555412822</v>
      </c>
      <c r="L10" s="1">
        <v>62718.310823497937</v>
      </c>
      <c r="M10" s="1">
        <f>L10/56*28</f>
        <v>31359.155411748969</v>
      </c>
      <c r="N10" s="1">
        <f>M10/28*31</f>
        <v>34719.064920150646</v>
      </c>
      <c r="O10" s="1">
        <v>44613.329890976631</v>
      </c>
      <c r="P10" s="1">
        <f>O10/40*14</f>
        <v>15614.66546184182</v>
      </c>
      <c r="Q10" s="1">
        <v>34419.42386750078</v>
      </c>
      <c r="R10" s="1">
        <v>34419.42386750078</v>
      </c>
      <c r="S10" s="1">
        <f>R10/45*14</f>
        <v>10708.265203222465</v>
      </c>
      <c r="T10" s="1">
        <f>S10/28*29</f>
        <v>11090.703246194696</v>
      </c>
      <c r="U10" s="1">
        <v>7872.9405689958767</v>
      </c>
      <c r="V10" s="1">
        <v>7267.3297559961939</v>
      </c>
      <c r="W10" s="1">
        <f>V10/20*6</f>
        <v>2180.1989267988583</v>
      </c>
      <c r="X10" s="1">
        <f>W10/12*17</f>
        <v>3088.6151462983826</v>
      </c>
      <c r="Y10" s="1">
        <v>7872.9405689958767</v>
      </c>
      <c r="Z10" s="1">
        <v>6981.664278166154</v>
      </c>
      <c r="AA10" s="1">
        <v>5947.3436443637611</v>
      </c>
      <c r="AB10" s="1">
        <v>1370.2679756614104</v>
      </c>
      <c r="AC10" s="1">
        <v>1674.7719702528352</v>
      </c>
      <c r="AD10" s="1">
        <f>AC10/26*11</f>
        <v>708.55737203004571</v>
      </c>
      <c r="AE10" s="1">
        <v>2235.7003813423012</v>
      </c>
      <c r="AF10" s="1">
        <v>3217.2273780291653</v>
      </c>
      <c r="AG10" s="1">
        <v>0</v>
      </c>
      <c r="AH10" s="1">
        <f>AF10/29*14</f>
        <v>1553.1442514623557</v>
      </c>
      <c r="AI10" s="1">
        <v>0</v>
      </c>
      <c r="AJ10" s="1">
        <v>3374.117386712519</v>
      </c>
      <c r="AK10" s="1">
        <v>1176.416406861453</v>
      </c>
      <c r="AL10" s="1">
        <v>0</v>
      </c>
      <c r="AM10" s="1">
        <f>AK10/5*11</f>
        <v>2588.1160950951967</v>
      </c>
      <c r="AN10" s="1">
        <v>295.54799475050032</v>
      </c>
      <c r="AO10" s="1">
        <v>548.87484739378635</v>
      </c>
      <c r="AP10" s="1">
        <v>0</v>
      </c>
      <c r="AQ10" s="1">
        <v>0</v>
      </c>
      <c r="AR10" s="1">
        <v>0</v>
      </c>
      <c r="AS10" s="1">
        <v>0</v>
      </c>
      <c r="AT10" s="1">
        <v>0</v>
      </c>
      <c r="AU10" s="1">
        <v>0</v>
      </c>
      <c r="AV10" s="1">
        <v>0</v>
      </c>
      <c r="AW10" s="1">
        <f>AO10/19*0</f>
        <v>0</v>
      </c>
      <c r="AX10" s="1">
        <v>0</v>
      </c>
      <c r="AY10" s="1">
        <f>AO10/10*0</f>
        <v>0</v>
      </c>
      <c r="AZ10" s="1">
        <v>0</v>
      </c>
      <c r="BA10" s="1">
        <f>AO10/8*0</f>
        <v>0</v>
      </c>
      <c r="BB10" s="1">
        <v>0</v>
      </c>
      <c r="BC10" s="1">
        <f>AO10/10*0</f>
        <v>0</v>
      </c>
      <c r="BD10" s="1">
        <f>AO10/10*0</f>
        <v>0</v>
      </c>
      <c r="BE10" s="1">
        <v>0</v>
      </c>
      <c r="BF10" s="1">
        <v>0</v>
      </c>
      <c r="BG10" s="1">
        <v>0</v>
      </c>
      <c r="BH10" s="1">
        <v>0</v>
      </c>
      <c r="BI10" s="1">
        <v>0</v>
      </c>
      <c r="BJ10" s="1">
        <v>0</v>
      </c>
      <c r="BK10" s="1">
        <v>0</v>
      </c>
      <c r="BL10" s="1">
        <v>0</v>
      </c>
      <c r="BM10" s="1">
        <v>0</v>
      </c>
      <c r="BN10" s="1">
        <v>0</v>
      </c>
      <c r="BO10" s="1">
        <v>0</v>
      </c>
      <c r="BP10" s="1">
        <v>0</v>
      </c>
    </row>
    <row r="11" spans="1:68" x14ac:dyDescent="0.2">
      <c r="A11" s="1" t="s">
        <v>42</v>
      </c>
      <c r="B11" s="1">
        <v>900000</v>
      </c>
      <c r="C11" s="1">
        <v>1600000</v>
      </c>
      <c r="D11" s="1">
        <v>1066666.6666666667</v>
      </c>
      <c r="E11" s="1">
        <v>574358.97435897426</v>
      </c>
      <c r="F11" s="1">
        <v>258045.33630620583</v>
      </c>
      <c r="G11" s="1">
        <v>774136.0089186175</v>
      </c>
      <c r="H11" s="1">
        <v>347800.23589097313</v>
      </c>
      <c r="I11" s="1">
        <v>361996.16388652311</v>
      </c>
      <c r="J11" s="1">
        <v>133888.99212241266</v>
      </c>
      <c r="K11" s="1">
        <v>192669.52524932552</v>
      </c>
      <c r="L11" s="1">
        <v>94896.930346682711</v>
      </c>
      <c r="M11" s="1">
        <v>87597.166473860954</v>
      </c>
      <c r="N11" s="1">
        <v>137010.95268988507</v>
      </c>
      <c r="O11" s="1">
        <v>58718.979724236466</v>
      </c>
      <c r="P11" s="1">
        <v>18542.835702390461</v>
      </c>
      <c r="Q11" s="1">
        <v>41272.763337578763</v>
      </c>
      <c r="R11" s="1">
        <v>44712.160282377001</v>
      </c>
      <c r="S11" s="1">
        <v>33730.226177933531</v>
      </c>
      <c r="T11" s="1">
        <v>24425.33619781394</v>
      </c>
      <c r="U11" s="1">
        <v>10468.001227634546</v>
      </c>
      <c r="V11" s="1">
        <v>2952.5131667687183</v>
      </c>
      <c r="W11" s="1">
        <v>10468.001227634546</v>
      </c>
      <c r="X11" s="1">
        <v>13876.187673841141</v>
      </c>
      <c r="Y11" s="1">
        <v>24668.778086828697</v>
      </c>
      <c r="Z11" s="1">
        <v>7790.1404484722198</v>
      </c>
      <c r="AA11" s="1">
        <v>10326.46524564922</v>
      </c>
      <c r="AB11" s="1">
        <v>2577.4857253140458</v>
      </c>
      <c r="AC11" s="1">
        <v>3025.7441123251842</v>
      </c>
      <c r="AD11" s="1">
        <v>3149.2438720119267</v>
      </c>
      <c r="AE11" s="1">
        <v>2099.4959146746182</v>
      </c>
      <c r="AF11" s="1">
        <v>2185.1896254776643</v>
      </c>
      <c r="AG11" s="1">
        <v>1937.8096678764191</v>
      </c>
      <c r="AH11" s="1">
        <v>1138.0786938321826</v>
      </c>
      <c r="AI11" s="1">
        <v>1508.6159429868464</v>
      </c>
      <c r="AJ11" s="1">
        <v>1920.056654710532</v>
      </c>
      <c r="AK11" s="1">
        <v>510.39480694836925</v>
      </c>
      <c r="AL11" s="1">
        <v>240.18579150511493</v>
      </c>
      <c r="AM11" s="1">
        <v>1172.6718055837962</v>
      </c>
      <c r="AN11" s="1">
        <v>1433.2655401579732</v>
      </c>
      <c r="AO11" s="1">
        <v>585.41831921945379</v>
      </c>
      <c r="AP11" s="1">
        <v>745.07786082475945</v>
      </c>
      <c r="AQ11" s="1">
        <v>0</v>
      </c>
      <c r="AR11" s="1">
        <v>543.49817082364314</v>
      </c>
      <c r="AS11" s="1">
        <v>850.08688257031361</v>
      </c>
      <c r="AT11" s="1">
        <v>0</v>
      </c>
      <c r="AU11" s="1">
        <v>177.14517912064838</v>
      </c>
      <c r="AV11" s="1">
        <v>177.14517912064838</v>
      </c>
      <c r="AW11" s="1">
        <v>199.75945730626307</v>
      </c>
      <c r="AX11" s="1">
        <v>0</v>
      </c>
      <c r="AY11" s="1">
        <v>503.57978437982842</v>
      </c>
      <c r="AZ11" s="1">
        <v>0</v>
      </c>
      <c r="BA11" s="1">
        <v>0</v>
      </c>
      <c r="BB11" s="1">
        <v>0</v>
      </c>
      <c r="BC11" s="1">
        <v>404.25438312147963</v>
      </c>
      <c r="BD11" s="1">
        <v>0</v>
      </c>
      <c r="BE11" s="1">
        <v>0</v>
      </c>
      <c r="BF11" s="1">
        <v>0</v>
      </c>
      <c r="BG11" s="1">
        <v>0</v>
      </c>
      <c r="BH11" s="1">
        <v>177.14517912064838</v>
      </c>
      <c r="BI11" s="1">
        <v>0</v>
      </c>
      <c r="BJ11" s="1">
        <v>0</v>
      </c>
      <c r="BK11" s="1">
        <v>0</v>
      </c>
      <c r="BL11" s="1">
        <v>0</v>
      </c>
      <c r="BM11" s="1">
        <v>0</v>
      </c>
      <c r="BN11" s="1">
        <v>0</v>
      </c>
      <c r="BO11" s="1">
        <v>0</v>
      </c>
      <c r="BP11" s="1">
        <v>0</v>
      </c>
    </row>
    <row r="12" spans="1:68" x14ac:dyDescent="0.2">
      <c r="A12" s="1" t="s">
        <v>43</v>
      </c>
      <c r="B12" s="1">
        <v>900000</v>
      </c>
      <c r="C12" s="1">
        <v>443283.58208955225</v>
      </c>
      <c r="D12" s="1">
        <v>1034328.3582089551</v>
      </c>
      <c r="E12" s="1">
        <v>382559.80372112046</v>
      </c>
      <c r="F12" s="1">
        <v>325884.2772439174</v>
      </c>
      <c r="G12" s="1">
        <v>468955.42335100309</v>
      </c>
      <c r="H12" s="1">
        <v>339588.41001279536</v>
      </c>
      <c r="I12" s="1">
        <v>301144.43906795059</v>
      </c>
      <c r="J12" s="1">
        <v>289334.85322214861</v>
      </c>
      <c r="K12" s="1">
        <v>129991.02101284938</v>
      </c>
      <c r="L12" s="1">
        <v>43330.340337616457</v>
      </c>
      <c r="M12" s="1">
        <v>50866.051700680189</v>
      </c>
      <c r="N12" s="1">
        <v>90428.536356764787</v>
      </c>
      <c r="O12" s="1">
        <v>30142.845452254929</v>
      </c>
      <c r="P12" s="1">
        <v>26730.447853886442</v>
      </c>
      <c r="Q12" s="1">
        <v>32670.547376972321</v>
      </c>
      <c r="R12" s="1">
        <f>Q12/49*13</f>
        <v>8667.6962428702082</v>
      </c>
      <c r="S12" s="1">
        <v>24662.328097299487</v>
      </c>
      <c r="T12" s="1">
        <v>14484.224438096524</v>
      </c>
      <c r="U12" s="1">
        <f>T12/46*13</f>
        <v>4093.3677759838001</v>
      </c>
      <c r="V12" s="1">
        <f>U12/24*22</f>
        <v>3752.2537946518164</v>
      </c>
      <c r="W12" s="1">
        <v>6691.5578964883071</v>
      </c>
      <c r="X12" s="1">
        <v>3447.1661891000367</v>
      </c>
      <c r="Y12" s="1">
        <v>4960.5562233390774</v>
      </c>
      <c r="Z12" s="1">
        <f>Y12/24*6</f>
        <v>1240.1390558347694</v>
      </c>
      <c r="AA12" s="1">
        <v>2459.0734584817878</v>
      </c>
      <c r="AB12" s="1">
        <v>610.83384708687618</v>
      </c>
      <c r="AC12" s="1">
        <v>300.85846199801364</v>
      </c>
      <c r="AD12" s="1">
        <v>702.00307799536517</v>
      </c>
      <c r="AE12" s="1">
        <v>598.00262199605174</v>
      </c>
      <c r="AF12" s="1">
        <v>351.2078891087923</v>
      </c>
      <c r="AG12" s="1">
        <v>0</v>
      </c>
      <c r="AH12" s="1">
        <v>2334.3793992183892</v>
      </c>
      <c r="AI12" s="1">
        <v>1149.7689578239826</v>
      </c>
      <c r="AJ12" s="1">
        <v>425.25701179791145</v>
      </c>
      <c r="AK12" s="1">
        <v>0</v>
      </c>
      <c r="AL12" s="1">
        <v>0</v>
      </c>
      <c r="AM12" s="1">
        <v>819.69115282726261</v>
      </c>
      <c r="AN12" s="1">
        <v>2595.6886506196652</v>
      </c>
      <c r="AO12" s="1">
        <v>0</v>
      </c>
      <c r="AP12" s="1">
        <v>0</v>
      </c>
      <c r="AQ12" s="1">
        <v>82.382097445272265</v>
      </c>
      <c r="AR12" s="1">
        <v>0</v>
      </c>
      <c r="AS12" s="1">
        <v>185.09155063841413</v>
      </c>
      <c r="AT12" s="1">
        <v>151.43854143142974</v>
      </c>
      <c r="AU12" s="1">
        <v>185.09155063841413</v>
      </c>
      <c r="AV12" s="1">
        <v>0</v>
      </c>
      <c r="AW12" s="1">
        <v>0</v>
      </c>
      <c r="AX12" s="1">
        <v>0</v>
      </c>
      <c r="AY12" s="1">
        <v>0</v>
      </c>
      <c r="AZ12" s="1">
        <v>0</v>
      </c>
      <c r="BA12" s="1">
        <v>0</v>
      </c>
      <c r="BB12" s="1">
        <v>0</v>
      </c>
      <c r="BC12" s="1">
        <v>0</v>
      </c>
      <c r="BD12" s="1">
        <v>0</v>
      </c>
      <c r="BE12" s="1">
        <v>0</v>
      </c>
      <c r="BF12" s="1">
        <v>0</v>
      </c>
      <c r="BG12" s="1">
        <v>0</v>
      </c>
      <c r="BH12" s="1">
        <v>0</v>
      </c>
      <c r="BI12" s="1">
        <v>0</v>
      </c>
      <c r="BJ12" s="1">
        <v>0</v>
      </c>
      <c r="BK12" s="1">
        <v>0</v>
      </c>
      <c r="BL12" s="1">
        <v>0</v>
      </c>
      <c r="BM12" s="1">
        <v>0</v>
      </c>
      <c r="BN12" s="1">
        <v>0</v>
      </c>
      <c r="BO12" s="1">
        <v>0</v>
      </c>
      <c r="BP12" s="1">
        <v>0</v>
      </c>
    </row>
    <row r="13" spans="1:68" x14ac:dyDescent="0.2">
      <c r="A13" s="1" t="s">
        <v>48</v>
      </c>
      <c r="B13" s="1">
        <v>800000</v>
      </c>
      <c r="C13" s="1">
        <v>939130.43478260876</v>
      </c>
      <c r="D13" s="1">
        <v>800000</v>
      </c>
      <c r="E13" s="1">
        <v>555932.20338983054</v>
      </c>
      <c r="F13" s="1">
        <v>419387.45168004761</v>
      </c>
      <c r="G13" s="1">
        <v>492324.39979831676</v>
      </c>
      <c r="H13" s="1">
        <v>221189.22309779451</v>
      </c>
      <c r="I13" s="1">
        <v>345962.63099911442</v>
      </c>
      <c r="J13" s="1">
        <v>141308.68026724391</v>
      </c>
      <c r="K13" s="1">
        <v>147076.38150264163</v>
      </c>
      <c r="L13" s="1">
        <v>115560.01403778984</v>
      </c>
      <c r="M13" s="1">
        <v>130312.35625538003</v>
      </c>
      <c r="N13" s="1">
        <v>76532.653673794615</v>
      </c>
      <c r="O13" s="1">
        <v>53183.708485179312</v>
      </c>
      <c r="P13" s="1">
        <v>27397.668007516619</v>
      </c>
      <c r="Q13" s="1">
        <v>48706.965346696212</v>
      </c>
      <c r="R13" s="1">
        <v>41491.118628667144</v>
      </c>
      <c r="S13" s="1">
        <v>38299.494118769668</v>
      </c>
      <c r="T13" s="1">
        <v>13456.579014702858</v>
      </c>
      <c r="U13" s="1">
        <v>15796.853625955529</v>
      </c>
      <c r="V13" s="1">
        <v>14008.530573960561</v>
      </c>
      <c r="W13" s="1">
        <v>6293.687649170688</v>
      </c>
      <c r="X13" s="1">
        <v>6293.687649170688</v>
      </c>
      <c r="Y13" s="1">
        <v>11188.778042970114</v>
      </c>
      <c r="Z13" s="1">
        <v>7153.4810438661389</v>
      </c>
      <c r="AA13" s="1">
        <v>2921.8443700298312</v>
      </c>
      <c r="AB13" s="1">
        <v>711.76128853926684</v>
      </c>
      <c r="AC13" s="1">
        <v>1161.294733932488</v>
      </c>
      <c r="AD13" s="1">
        <v>912.44586237552619</v>
      </c>
      <c r="AE13" s="1">
        <v>491.317002817591</v>
      </c>
      <c r="AF13" s="1">
        <v>801.62247828133263</v>
      </c>
      <c r="AG13" s="1">
        <v>534.41498552088842</v>
      </c>
      <c r="AH13" s="1">
        <v>178.13832850696281</v>
      </c>
      <c r="AI13" s="1">
        <v>869.73419212223007</v>
      </c>
      <c r="AJ13" s="1">
        <v>711.60070264546096</v>
      </c>
      <c r="AK13" s="1">
        <v>770.90076119924936</v>
      </c>
      <c r="AL13" s="1">
        <f>AK13/31*4</f>
        <v>99.47106596119346</v>
      </c>
      <c r="AM13" s="1">
        <v>1374.9855858963911</v>
      </c>
      <c r="AN13" s="1">
        <v>995.67921737324866</v>
      </c>
      <c r="AO13" s="1">
        <v>1168.8408203946831</v>
      </c>
      <c r="AP13" s="1">
        <v>2483.7867433387019</v>
      </c>
      <c r="AQ13" s="1">
        <v>1522.3209072075915</v>
      </c>
      <c r="AR13" s="1">
        <v>1584.4564544405544</v>
      </c>
      <c r="AS13" s="1">
        <v>816.23514319664923</v>
      </c>
      <c r="AT13" s="1">
        <v>257.75846627262604</v>
      </c>
      <c r="AU13" s="1">
        <v>355.95216770981688</v>
      </c>
      <c r="AV13" s="1">
        <v>401.3928699706446</v>
      </c>
      <c r="AW13" s="1">
        <v>355.95216770981688</v>
      </c>
      <c r="AX13" s="1">
        <v>401.3928699706446</v>
      </c>
      <c r="AY13" s="1">
        <v>0</v>
      </c>
      <c r="AZ13" s="1">
        <v>0</v>
      </c>
      <c r="BA13" s="1">
        <v>0</v>
      </c>
      <c r="BB13" s="1">
        <v>162.08731445611025</v>
      </c>
      <c r="BC13" s="1">
        <v>0</v>
      </c>
      <c r="BD13" s="1">
        <v>0</v>
      </c>
      <c r="BE13" s="1">
        <v>0</v>
      </c>
      <c r="BF13" s="1">
        <v>0</v>
      </c>
      <c r="BG13" s="1">
        <v>0</v>
      </c>
      <c r="BH13" s="1">
        <v>0</v>
      </c>
      <c r="BI13" s="1">
        <v>0</v>
      </c>
      <c r="BJ13" s="1">
        <v>0</v>
      </c>
      <c r="BK13" s="1">
        <v>0</v>
      </c>
      <c r="BL13" s="1">
        <v>0</v>
      </c>
      <c r="BM13" s="1">
        <v>0</v>
      </c>
      <c r="BN13" s="1">
        <v>0</v>
      </c>
      <c r="BO13" s="1">
        <v>0</v>
      </c>
      <c r="BP13" s="1">
        <v>0</v>
      </c>
    </row>
    <row r="14" spans="1:68" x14ac:dyDescent="0.2">
      <c r="A14" s="1" t="s">
        <v>44</v>
      </c>
      <c r="B14" s="1">
        <v>800000</v>
      </c>
      <c r="C14" s="1">
        <v>376470.5882352941</v>
      </c>
      <c r="D14" s="1">
        <v>564705.88235294109</v>
      </c>
      <c r="E14" s="1">
        <v>462032.0855614972</v>
      </c>
      <c r="F14" s="1">
        <v>500534.75935828866</v>
      </c>
      <c r="G14" s="1">
        <v>293964.85867074091</v>
      </c>
      <c r="H14" s="1">
        <v>596837.74336180731</v>
      </c>
      <c r="I14" s="1">
        <v>168338.8506917918</v>
      </c>
      <c r="J14" s="1">
        <v>86720.013992741224</v>
      </c>
      <c r="K14" s="1">
        <v>80049.243685607289</v>
      </c>
      <c r="L14" s="1">
        <v>93970.851283104217</v>
      </c>
      <c r="M14" s="1">
        <v>68047.857825696163</v>
      </c>
      <c r="N14" s="1">
        <v>43506.007462330337</v>
      </c>
      <c r="O14" s="1">
        <v>38580.799070368405</v>
      </c>
      <c r="P14" s="1">
        <v>34213.161439760661</v>
      </c>
      <c r="Q14" s="1">
        <v>40163.276472762518</v>
      </c>
      <c r="R14" s="1">
        <v>18900.365398947066</v>
      </c>
      <c r="S14" s="1">
        <v>38373.469143316768</v>
      </c>
      <c r="T14" s="1">
        <v>9001.1841200372673</v>
      </c>
      <c r="U14" s="1">
        <v>7667.6753615132284</v>
      </c>
      <c r="V14" s="1">
        <v>2555.891787171076</v>
      </c>
      <c r="W14" s="1">
        <v>2177.2411520346204</v>
      </c>
      <c r="X14" s="1">
        <v>5598.6201052318802</v>
      </c>
      <c r="Y14" s="1">
        <v>5827.1352115678756</v>
      </c>
      <c r="Z14" s="1">
        <v>8385.3896946952354</v>
      </c>
      <c r="AA14" s="1">
        <v>3260.9848812703699</v>
      </c>
      <c r="AB14" s="1">
        <v>709.59031016443259</v>
      </c>
      <c r="AC14" s="1">
        <v>3725.3491283632711</v>
      </c>
      <c r="AD14" s="1">
        <v>606.45218368704423</v>
      </c>
      <c r="AE14" s="1">
        <v>2030.2964410392349</v>
      </c>
      <c r="AF14" s="1">
        <v>912.16216916255485</v>
      </c>
      <c r="AG14" s="1">
        <v>1312.623609282701</v>
      </c>
      <c r="AH14" s="1">
        <v>1312.623609282701</v>
      </c>
      <c r="AI14" s="1">
        <v>738.35078022151924</v>
      </c>
      <c r="AJ14" s="1">
        <v>1312.623609282701</v>
      </c>
      <c r="AK14" s="1">
        <v>461.19207893716521</v>
      </c>
      <c r="AL14" s="1">
        <v>248.33419635078124</v>
      </c>
      <c r="AM14" s="1">
        <v>638.57364775915175</v>
      </c>
      <c r="AN14" s="1">
        <v>443.75456878178346</v>
      </c>
      <c r="AO14" s="1">
        <v>755.58210360141504</v>
      </c>
      <c r="AP14" s="1">
        <v>225.69335562120187</v>
      </c>
      <c r="AQ14" s="1">
        <v>438.11063149998012</v>
      </c>
      <c r="AR14" s="1">
        <v>109.52765787499503</v>
      </c>
      <c r="AS14" s="1">
        <v>255.56453504165506</v>
      </c>
      <c r="AT14" s="1">
        <v>454.33695118516459</v>
      </c>
      <c r="AU14" s="1">
        <v>0</v>
      </c>
      <c r="AV14" s="1">
        <v>588.23280047817798</v>
      </c>
      <c r="AW14" s="1">
        <v>137.98053344549854</v>
      </c>
      <c r="AX14" s="1">
        <v>461.9348293610168</v>
      </c>
      <c r="AY14" s="1">
        <v>75.198693151793449</v>
      </c>
      <c r="AZ14" s="1">
        <v>342.57182435817015</v>
      </c>
      <c r="BA14" s="1">
        <v>0</v>
      </c>
      <c r="BB14" s="1">
        <v>125.16154504101584</v>
      </c>
      <c r="BC14" s="1">
        <v>0</v>
      </c>
      <c r="BD14" s="1">
        <v>0</v>
      </c>
      <c r="BE14" s="1">
        <v>0</v>
      </c>
      <c r="BF14" s="1">
        <v>0</v>
      </c>
      <c r="BG14" s="1">
        <v>0</v>
      </c>
      <c r="BH14" s="1">
        <v>0</v>
      </c>
      <c r="BI14" s="1">
        <v>0</v>
      </c>
      <c r="BJ14" s="1">
        <v>43.887814494901662</v>
      </c>
      <c r="BK14" s="1">
        <v>0</v>
      </c>
      <c r="BL14" s="1">
        <v>0</v>
      </c>
      <c r="BM14" s="1">
        <v>0</v>
      </c>
      <c r="BN14" s="1">
        <v>0</v>
      </c>
      <c r="BO14" s="1">
        <v>0</v>
      </c>
      <c r="BP14" s="1">
        <v>0</v>
      </c>
    </row>
    <row r="15" spans="1:68" x14ac:dyDescent="0.2">
      <c r="A15" s="1" t="s">
        <v>55</v>
      </c>
      <c r="B15" s="1">
        <v>700000</v>
      </c>
      <c r="C15" s="1">
        <v>821739.13043478259</v>
      </c>
      <c r="D15" s="1">
        <v>571039.05674281507</v>
      </c>
      <c r="E15" s="1">
        <v>467213.77369866689</v>
      </c>
      <c r="F15" s="1">
        <v>352459.51349197677</v>
      </c>
      <c r="G15" s="1">
        <v>430783.84982352721</v>
      </c>
      <c r="H15" s="1">
        <v>202721.81168165986</v>
      </c>
      <c r="I15" s="1">
        <v>129609.02714073336</v>
      </c>
      <c r="J15" s="1">
        <v>146154.86039274189</v>
      </c>
      <c r="K15" s="1">
        <v>134912.17882406941</v>
      </c>
      <c r="L15" s="1">
        <v>79234.136769691569</v>
      </c>
      <c r="M15" s="1">
        <v>48562.858020133543</v>
      </c>
      <c r="N15" s="1">
        <v>86333.969813570759</v>
      </c>
      <c r="O15" s="1">
        <v>46487.522207307331</v>
      </c>
      <c r="P15" s="1">
        <v>27302.195582069387</v>
      </c>
      <c r="Q15" s="1">
        <v>32050.403509385804</v>
      </c>
      <c r="R15" s="1">
        <v>29584.987854817664</v>
      </c>
      <c r="S15" s="1">
        <v>12084.009123798764</v>
      </c>
      <c r="T15" s="1">
        <v>11610.126413061558</v>
      </c>
      <c r="U15" s="1">
        <v>11610.126413061558</v>
      </c>
      <c r="V15" s="1">
        <v>17415.189619592336</v>
      </c>
      <c r="W15" s="1">
        <v>4629.3542026764435</v>
      </c>
      <c r="X15" s="1">
        <v>6392.917708457946</v>
      </c>
      <c r="Y15" s="1">
        <v>5230.5690341928648</v>
      </c>
      <c r="Z15" s="1">
        <v>4109.7328125801077</v>
      </c>
      <c r="AA15" s="1">
        <v>5675.3453126106251</v>
      </c>
      <c r="AB15" s="1">
        <v>1416.566190027612</v>
      </c>
      <c r="AC15" s="1">
        <v>1534.613372529913</v>
      </c>
      <c r="AD15" s="1">
        <v>1205.7676498449316</v>
      </c>
      <c r="AE15" s="1">
        <v>947.38886773530328</v>
      </c>
      <c r="AF15" s="1">
        <v>605.7076367488005</v>
      </c>
      <c r="AG15" s="1">
        <v>711.04809531380931</v>
      </c>
      <c r="AH15" s="1">
        <v>770.30210325662676</v>
      </c>
      <c r="AI15" s="1">
        <v>980.38449505388871</v>
      </c>
      <c r="AJ15" s="1">
        <v>770.30210325662676</v>
      </c>
      <c r="AK15" s="1">
        <v>1714.5433911195885</v>
      </c>
      <c r="AL15" s="1">
        <v>149.0907296625729</v>
      </c>
      <c r="AM15" s="1">
        <v>331.84710795862998</v>
      </c>
      <c r="AN15" s="1">
        <v>422.35086467462003</v>
      </c>
      <c r="AO15" s="1">
        <v>516.2066123800912</v>
      </c>
      <c r="AP15" s="1">
        <v>537.2762700282583</v>
      </c>
      <c r="AQ15" s="1">
        <v>87.463578841809507</v>
      </c>
      <c r="AR15" s="1">
        <v>585.33318147980208</v>
      </c>
      <c r="AS15" s="1">
        <v>227.62957057547862</v>
      </c>
      <c r="AT15" s="1">
        <v>0</v>
      </c>
      <c r="AU15" s="1">
        <v>258.86020738121869</v>
      </c>
      <c r="AV15" s="1">
        <v>303.87937388230023</v>
      </c>
      <c r="AW15" s="1">
        <v>0</v>
      </c>
      <c r="AX15" s="1">
        <v>0</v>
      </c>
      <c r="AY15" s="1">
        <v>112.27048301477241</v>
      </c>
      <c r="AZ15" s="1">
        <v>0</v>
      </c>
      <c r="BA15" s="1">
        <v>0</v>
      </c>
      <c r="BB15" s="1">
        <v>0</v>
      </c>
      <c r="BC15" s="1">
        <v>133.37395726566947</v>
      </c>
      <c r="BD15" s="1">
        <v>0</v>
      </c>
      <c r="BE15" s="1">
        <v>0</v>
      </c>
      <c r="BF15" s="1">
        <v>0</v>
      </c>
      <c r="BG15" s="1">
        <v>0</v>
      </c>
      <c r="BH15" s="1">
        <v>0</v>
      </c>
      <c r="BI15" s="1">
        <v>0</v>
      </c>
      <c r="BJ15" s="1">
        <v>0</v>
      </c>
      <c r="BK15" s="1">
        <v>0</v>
      </c>
      <c r="BL15" s="1">
        <v>0</v>
      </c>
      <c r="BM15" s="1">
        <v>0</v>
      </c>
      <c r="BN15" s="1">
        <v>0</v>
      </c>
      <c r="BO15" s="1">
        <v>0</v>
      </c>
      <c r="BP15" s="1">
        <v>0</v>
      </c>
    </row>
    <row r="16" spans="1:68" x14ac:dyDescent="0.2">
      <c r="A16" s="1" t="s">
        <v>60</v>
      </c>
      <c r="B16" s="1">
        <v>700000</v>
      </c>
      <c r="C16" s="1">
        <v>596296.29629629629</v>
      </c>
      <c r="D16" s="1">
        <v>487878.78787878784</v>
      </c>
      <c r="E16" s="1">
        <v>339034.41191576782</v>
      </c>
      <c r="F16" s="1">
        <v>339034.41191576782</v>
      </c>
      <c r="G16" s="1">
        <v>367287.27957541519</v>
      </c>
      <c r="H16" s="1">
        <v>234823.01481051138</v>
      </c>
      <c r="I16" s="1">
        <v>105500.19505979498</v>
      </c>
      <c r="J16" s="1">
        <v>139849.09577693752</v>
      </c>
      <c r="K16" s="1">
        <v>145557.22213517988</v>
      </c>
      <c r="L16" s="1">
        <v>62381.666629362808</v>
      </c>
      <c r="M16" s="1">
        <v>45172.931007469619</v>
      </c>
      <c r="N16" s="1">
        <v>70655.097216811453</v>
      </c>
      <c r="O16" s="1">
        <v>39743.492184456438</v>
      </c>
      <c r="P16" s="1">
        <v>26495.661456304297</v>
      </c>
      <c r="Q16" s="1">
        <v>25456.615908998247</v>
      </c>
      <c r="R16" s="1">
        <v>19204.113755910959</v>
      </c>
      <c r="S16" s="1">
        <v>10802.313987699914</v>
      </c>
      <c r="T16" s="1">
        <v>10802.313987699914</v>
      </c>
      <c r="U16" s="1">
        <v>7506.6927711134995</v>
      </c>
      <c r="V16" s="1">
        <v>15951.722138616187</v>
      </c>
      <c r="W16" s="1">
        <v>3741.7619831321917</v>
      </c>
      <c r="X16" s="1">
        <v>4573.2646460504566</v>
      </c>
      <c r="Y16" s="1">
        <v>5157.0856646951961</v>
      </c>
      <c r="Z16" s="1">
        <v>3160.7944396518942</v>
      </c>
      <c r="AA16" s="1">
        <v>3710.4978204609192</v>
      </c>
      <c r="AB16" s="1">
        <v>864.9170419494402</v>
      </c>
      <c r="AC16" s="1">
        <v>707.65939795863278</v>
      </c>
      <c r="AD16" s="1">
        <v>452.43797574404397</v>
      </c>
      <c r="AE16" s="1">
        <v>531.12284109083419</v>
      </c>
      <c r="AF16" s="1">
        <v>238.62040686689653</v>
      </c>
      <c r="AG16" s="1">
        <v>269.08258646692593</v>
      </c>
      <c r="AH16" s="1">
        <v>765.85043840586604</v>
      </c>
      <c r="AI16" s="1">
        <v>394.52901372423401</v>
      </c>
      <c r="AJ16" s="1">
        <v>309.9870822118981</v>
      </c>
      <c r="AK16" s="1">
        <v>233.84990412476523</v>
      </c>
      <c r="AL16" s="1">
        <v>110.04701370577186</v>
      </c>
      <c r="AM16" s="1">
        <v>213.62067366414536</v>
      </c>
      <c r="AN16" s="1">
        <v>307.4053596630385</v>
      </c>
      <c r="AO16" s="1">
        <v>151.40860998328762</v>
      </c>
      <c r="AP16" s="1">
        <v>134.268012626689</v>
      </c>
      <c r="AQ16" s="1">
        <v>66.132006219115468</v>
      </c>
      <c r="AR16" s="1">
        <v>95.165569925068596</v>
      </c>
      <c r="AS16" s="1">
        <v>193.21494499938169</v>
      </c>
      <c r="AT16" s="1">
        <v>19.109170384554233</v>
      </c>
      <c r="AU16" s="1">
        <v>76.436681538216931</v>
      </c>
      <c r="AV16" s="1">
        <v>31.220616402933675</v>
      </c>
      <c r="AW16" s="1">
        <v>10.969405763192913</v>
      </c>
      <c r="AX16" s="1">
        <v>12.877128504617767</v>
      </c>
      <c r="AY16" s="1">
        <v>67.604924649243273</v>
      </c>
      <c r="AZ16" s="1">
        <v>22.534974883081091</v>
      </c>
      <c r="BA16" s="1">
        <v>21.651250377862226</v>
      </c>
      <c r="BB16" s="1">
        <v>20.802181735593116</v>
      </c>
      <c r="BC16" s="1">
        <v>13.299755535871009</v>
      </c>
      <c r="BD16" s="1">
        <v>11.329421382408636</v>
      </c>
      <c r="BE16" s="1">
        <v>24.075020437618353</v>
      </c>
      <c r="BF16" s="1">
        <v>0</v>
      </c>
      <c r="BG16" s="1">
        <v>0</v>
      </c>
      <c r="BH16" s="1">
        <v>3.105104643060995</v>
      </c>
      <c r="BI16" s="1">
        <v>0</v>
      </c>
      <c r="BJ16" s="1">
        <v>9.5073822576197475</v>
      </c>
      <c r="BK16" s="1">
        <v>6.0784902958552482</v>
      </c>
      <c r="BL16" s="1">
        <v>0.90828015915078431</v>
      </c>
      <c r="BM16" s="1">
        <v>0.60552010610052287</v>
      </c>
      <c r="BN16" s="1">
        <v>0</v>
      </c>
      <c r="BO16" s="1">
        <v>0</v>
      </c>
      <c r="BP16" s="1">
        <v>0</v>
      </c>
    </row>
    <row r="17" spans="1:68" x14ac:dyDescent="0.2">
      <c r="A17" s="1" t="s">
        <v>61</v>
      </c>
      <c r="B17" s="1">
        <v>700000</v>
      </c>
      <c r="C17" s="1">
        <v>393750</v>
      </c>
      <c r="D17" s="1">
        <v>799431.81818181823</v>
      </c>
      <c r="E17" s="1">
        <v>393750</v>
      </c>
      <c r="F17" s="1">
        <v>297039.47368421056</v>
      </c>
      <c r="G17" s="1">
        <v>321792.76315789483</v>
      </c>
      <c r="H17" s="1">
        <v>197227.82258064521</v>
      </c>
      <c r="I17" s="1">
        <v>231528.31346423569</v>
      </c>
      <c r="J17" s="1">
        <v>81347.785811758484</v>
      </c>
      <c r="K17" s="1">
        <v>84668.103599993541</v>
      </c>
      <c r="L17" s="1">
        <v>38039.292921736233</v>
      </c>
      <c r="M17" s="1">
        <v>59497.355595536159</v>
      </c>
      <c r="N17" s="1">
        <v>50682.932544345618</v>
      </c>
      <c r="O17" s="1">
        <v>24963.235432289632</v>
      </c>
      <c r="P17" s="1">
        <f>O17/52*20</f>
        <v>9601.2443970344739</v>
      </c>
      <c r="Q17" s="1">
        <v>12376.644736842109</v>
      </c>
      <c r="R17" s="1">
        <f>Q17/45*29</f>
        <v>7976.0599415204706</v>
      </c>
      <c r="S17" s="1">
        <v>15300.047523016225</v>
      </c>
      <c r="T17" s="1">
        <v>11079.344758046231</v>
      </c>
      <c r="U17" s="1">
        <f>T17/43*19</f>
        <v>4895.5244279739163</v>
      </c>
      <c r="V17" s="1">
        <f>U17/28*12</f>
        <v>2098.0818977031067</v>
      </c>
      <c r="W17" s="1">
        <f>V17/15*22</f>
        <v>3077.1867832978901</v>
      </c>
      <c r="X17" s="1">
        <v>5479.7346070879676</v>
      </c>
      <c r="Y17" s="1">
        <v>3807.9511676374009</v>
      </c>
      <c r="Z17" s="1">
        <v>2757.4818800132907</v>
      </c>
      <c r="AA17" s="1">
        <v>3807.9511676374013</v>
      </c>
      <c r="AB17" s="1">
        <v>951.60699679258664</v>
      </c>
      <c r="AC17" s="1">
        <v>747.69121176560373</v>
      </c>
      <c r="AD17" s="1">
        <v>747.69121176560373</v>
      </c>
      <c r="AE17" s="1">
        <v>519.58202851508054</v>
      </c>
      <c r="AF17" s="1">
        <v>376.24905513161008</v>
      </c>
      <c r="AG17" s="1">
        <v>0</v>
      </c>
      <c r="AH17" s="1">
        <v>2236.4157651203782</v>
      </c>
      <c r="AI17" s="1">
        <v>0</v>
      </c>
      <c r="AJ17" s="1">
        <v>0</v>
      </c>
      <c r="AK17" s="1">
        <v>0</v>
      </c>
      <c r="AL17" s="1">
        <v>0</v>
      </c>
      <c r="AM17" s="1">
        <v>1875.558037791556</v>
      </c>
      <c r="AN17" s="1">
        <v>1414.8946600883669</v>
      </c>
      <c r="AO17" s="1">
        <v>0</v>
      </c>
      <c r="AP17" s="1">
        <v>0</v>
      </c>
      <c r="AQ17" s="1">
        <v>0</v>
      </c>
      <c r="AR17" s="1">
        <v>0</v>
      </c>
      <c r="AS17" s="1">
        <v>779.94180541970877</v>
      </c>
      <c r="AT17" s="1">
        <v>0</v>
      </c>
      <c r="AU17" s="1">
        <v>0</v>
      </c>
      <c r="AV17" s="1">
        <v>0</v>
      </c>
      <c r="AW17" s="1">
        <v>0</v>
      </c>
      <c r="AX17" s="1">
        <v>0</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row>
    <row r="18" spans="1:68" x14ac:dyDescent="0.2">
      <c r="A18" s="1" t="s">
        <v>57</v>
      </c>
      <c r="B18" s="1">
        <v>700000</v>
      </c>
      <c r="C18" s="1">
        <v>209090.90909090909</v>
      </c>
      <c r="D18" s="1">
        <v>226515.15151515152</v>
      </c>
      <c r="E18" s="1">
        <v>354292.9292929293</v>
      </c>
      <c r="F18" s="1">
        <v>354292.9292929293</v>
      </c>
      <c r="G18" s="1">
        <v>124481.29948129949</v>
      </c>
      <c r="H18" s="1">
        <v>186721.94922194921</v>
      </c>
      <c r="I18" s="1">
        <v>49634.948527353583</v>
      </c>
      <c r="J18" s="1">
        <v>63171.752671177288</v>
      </c>
      <c r="K18" s="1">
        <v>117318.96924647212</v>
      </c>
      <c r="L18" s="1">
        <v>41220.178383895611</v>
      </c>
      <c r="M18" s="1">
        <f>L18/47*17</f>
        <v>14909.426223962242</v>
      </c>
      <c r="N18" s="1">
        <f>M18/46*47</f>
        <v>15233.544185352725</v>
      </c>
      <c r="O18" s="1">
        <v>32950.932215638095</v>
      </c>
      <c r="P18" s="1">
        <v>24857.720794253302</v>
      </c>
      <c r="Q18" s="1">
        <v>11697.750962001553</v>
      </c>
      <c r="R18" s="1">
        <f>Q18/49*16</f>
        <v>3819.6737835107115</v>
      </c>
      <c r="S18" s="1">
        <f>R18/22*29</f>
        <v>5035.0245328095743</v>
      </c>
      <c r="T18" s="1">
        <f>S18/29*21</f>
        <v>3646.0522478965881</v>
      </c>
      <c r="U18" s="1">
        <v>2480.1776936501792</v>
      </c>
      <c r="V18" s="1">
        <v>9920.7107746007168</v>
      </c>
      <c r="W18" s="1">
        <v>12626.359167673641</v>
      </c>
      <c r="X18" s="1">
        <v>0</v>
      </c>
      <c r="Y18" s="1">
        <v>2103.250992487538</v>
      </c>
      <c r="Z18" s="1">
        <v>1791.6582528597544</v>
      </c>
      <c r="AA18" s="1">
        <v>0</v>
      </c>
      <c r="AB18" s="1">
        <v>0</v>
      </c>
      <c r="AC18" s="1">
        <v>3581.211149370673</v>
      </c>
      <c r="AD18" s="1">
        <v>0</v>
      </c>
      <c r="AE18" s="1">
        <f>AC18/17*13</f>
        <v>2738.573231871691</v>
      </c>
      <c r="AF18" s="1">
        <v>1235.24264638157</v>
      </c>
      <c r="AG18" s="1">
        <v>0</v>
      </c>
      <c r="AH18" s="1">
        <v>2469.0337737897185</v>
      </c>
      <c r="AI18" s="1">
        <v>0</v>
      </c>
      <c r="AJ18" s="1">
        <v>0</v>
      </c>
      <c r="AK18" s="1">
        <f>AF18/8*1</f>
        <v>154.40533079769625</v>
      </c>
      <c r="AL18" s="1">
        <v>4469.4083590360187</v>
      </c>
      <c r="AM18" s="1">
        <v>915.4209892001486</v>
      </c>
      <c r="AN18" s="1">
        <v>434.00417305298407</v>
      </c>
      <c r="AO18" s="1">
        <v>0</v>
      </c>
      <c r="AP18" s="1">
        <v>0</v>
      </c>
      <c r="AQ18" s="1">
        <v>0</v>
      </c>
      <c r="AR18" s="1">
        <v>0</v>
      </c>
      <c r="AS18" s="1">
        <v>314.27888393491952</v>
      </c>
      <c r="AT18" s="1">
        <v>0</v>
      </c>
      <c r="AU18" s="1">
        <v>0</v>
      </c>
      <c r="AV18" s="1">
        <v>0</v>
      </c>
      <c r="AW18" s="1">
        <f>AS18/7*0</f>
        <v>0</v>
      </c>
      <c r="AX18" s="1">
        <v>0</v>
      </c>
      <c r="AY18" s="1">
        <v>0</v>
      </c>
      <c r="AZ18" s="1">
        <v>0</v>
      </c>
      <c r="BA18" s="1">
        <v>0</v>
      </c>
      <c r="BB18" s="1">
        <v>0</v>
      </c>
      <c r="BC18" s="1">
        <v>0</v>
      </c>
      <c r="BD18" s="1">
        <f>AS18/7*0</f>
        <v>0</v>
      </c>
      <c r="BE18" s="1">
        <v>0</v>
      </c>
      <c r="BF18" s="1">
        <f>AS18/9*0</f>
        <v>0</v>
      </c>
      <c r="BG18" s="1">
        <v>0</v>
      </c>
      <c r="BH18" s="1">
        <v>0</v>
      </c>
      <c r="BI18" s="1">
        <v>0</v>
      </c>
      <c r="BJ18" s="1">
        <v>0</v>
      </c>
      <c r="BK18" s="1">
        <v>0</v>
      </c>
      <c r="BL18" s="1">
        <v>0</v>
      </c>
      <c r="BM18" s="1">
        <v>0</v>
      </c>
      <c r="BN18" s="1">
        <v>0</v>
      </c>
      <c r="BO18" s="1">
        <v>0</v>
      </c>
      <c r="BP18" s="1">
        <v>0</v>
      </c>
    </row>
    <row r="19" spans="1:68" x14ac:dyDescent="0.2">
      <c r="A19" s="1" t="s">
        <v>71</v>
      </c>
      <c r="B19" s="1">
        <v>600000</v>
      </c>
      <c r="C19" s="1">
        <v>650000</v>
      </c>
      <c r="D19" s="1">
        <v>490350.87719298247</v>
      </c>
      <c r="E19" s="1">
        <v>434839.45713339956</v>
      </c>
      <c r="F19" s="1">
        <v>355777.73765459965</v>
      </c>
      <c r="G19" s="1">
        <v>328410.21937347663</v>
      </c>
      <c r="H19" s="1">
        <v>92628.523413031857</v>
      </c>
      <c r="I19" s="1">
        <v>122786.64731494921</v>
      </c>
      <c r="J19" s="1">
        <v>133018.86792452831</v>
      </c>
      <c r="K19" s="1">
        <v>92436.840422129855</v>
      </c>
      <c r="L19" s="1">
        <v>61624.560281419908</v>
      </c>
      <c r="M19" s="1">
        <v>64139.848456171749</v>
      </c>
      <c r="N19" s="1">
        <v>61624.560281419908</v>
      </c>
      <c r="O19" s="1">
        <v>37769.891785386397</v>
      </c>
      <c r="P19" s="1">
        <v>23149.28851362392</v>
      </c>
      <c r="Q19" s="1">
        <v>22241.473277795529</v>
      </c>
      <c r="R19" s="1">
        <v>17475.443289696486</v>
      </c>
      <c r="S19" s="1">
        <v>15497.091219164808</v>
      </c>
      <c r="T19" s="1">
        <v>11222.031572498654</v>
      </c>
      <c r="U19" s="1">
        <v>10358.79837461414</v>
      </c>
      <c r="V19" s="1">
        <v>9186.1042189974432</v>
      </c>
      <c r="W19" s="1">
        <v>5395.0135889350058</v>
      </c>
      <c r="X19" s="1">
        <v>9186.1042189974432</v>
      </c>
      <c r="Y19" s="1">
        <v>4322.8725736458555</v>
      </c>
      <c r="Z19" s="1">
        <v>4499.3163521620127</v>
      </c>
      <c r="AA19" s="1">
        <v>3832.7509666565288</v>
      </c>
      <c r="AB19" s="1">
        <v>952.05534011748182</v>
      </c>
      <c r="AC19" s="1">
        <v>1370.0308552910105</v>
      </c>
      <c r="AD19" s="1">
        <v>1167.0633211738239</v>
      </c>
      <c r="AE19" s="1">
        <v>1121.2961321081837</v>
      </c>
      <c r="AF19" s="1">
        <v>1829.4831629133521</v>
      </c>
      <c r="AG19" s="1">
        <v>1121.2961321081837</v>
      </c>
      <c r="AH19" s="1">
        <v>414.72596667015017</v>
      </c>
      <c r="AI19" s="1">
        <v>622.08895000522523</v>
      </c>
      <c r="AJ19" s="1">
        <v>414.72596667015017</v>
      </c>
      <c r="AK19" s="1">
        <v>967.69392223035038</v>
      </c>
      <c r="AL19" s="1">
        <v>0</v>
      </c>
      <c r="AM19" s="1">
        <v>1081.0323239287645</v>
      </c>
      <c r="AN19" s="1">
        <v>782.81651043117438</v>
      </c>
      <c r="AO19" s="1">
        <v>640.48623580732442</v>
      </c>
      <c r="AP19" s="1">
        <v>849.0166381631974</v>
      </c>
      <c r="AQ19" s="1">
        <v>0</v>
      </c>
      <c r="AR19" s="1">
        <v>623.93620387431872</v>
      </c>
      <c r="AS19" s="1">
        <v>415.95746924954585</v>
      </c>
      <c r="AT19" s="1">
        <v>72.106887120579515</v>
      </c>
      <c r="AU19" s="1">
        <v>666.84369407100041</v>
      </c>
      <c r="AV19" s="1">
        <v>1000.2655411065006</v>
      </c>
      <c r="AW19" s="1">
        <v>449.39466339567417</v>
      </c>
      <c r="AX19" s="1">
        <v>1155.586277303162</v>
      </c>
      <c r="AY19" s="1">
        <v>345.1751217918536</v>
      </c>
      <c r="AZ19" s="1">
        <v>933.2512552150115</v>
      </c>
      <c r="BA19" s="1">
        <v>0</v>
      </c>
      <c r="BB19" s="1">
        <v>0</v>
      </c>
      <c r="BC19" s="1">
        <v>0</v>
      </c>
      <c r="BD19" s="1">
        <v>0</v>
      </c>
      <c r="BE19" s="1">
        <v>0</v>
      </c>
      <c r="BF19" s="1">
        <v>0</v>
      </c>
      <c r="BG19" s="1">
        <v>0</v>
      </c>
      <c r="BH19" s="1">
        <v>0</v>
      </c>
      <c r="BI19" s="1">
        <v>0</v>
      </c>
      <c r="BJ19" s="1">
        <v>0</v>
      </c>
      <c r="BK19" s="1">
        <v>0</v>
      </c>
      <c r="BL19" s="1">
        <v>0</v>
      </c>
      <c r="BM19" s="1">
        <v>0</v>
      </c>
      <c r="BN19" s="1">
        <v>0</v>
      </c>
      <c r="BO19" s="1">
        <v>0</v>
      </c>
      <c r="BP19" s="1">
        <v>0</v>
      </c>
    </row>
    <row r="20" spans="1:68" x14ac:dyDescent="0.2">
      <c r="A20" s="1" t="s">
        <v>79</v>
      </c>
      <c r="B20" s="1">
        <v>600000</v>
      </c>
      <c r="C20" s="1">
        <v>624489.79591836734</v>
      </c>
      <c r="D20" s="1">
        <v>624489.79591836734</v>
      </c>
      <c r="E20" s="1">
        <v>399263.96788223484</v>
      </c>
      <c r="F20" s="1">
        <v>289122.18363885971</v>
      </c>
      <c r="G20" s="1">
        <v>353371.55778082856</v>
      </c>
      <c r="H20" s="1">
        <v>207535.6767919152</v>
      </c>
      <c r="I20" s="1">
        <v>264136.315916983</v>
      </c>
      <c r="J20" s="1">
        <v>136070.22335117307</v>
      </c>
      <c r="K20" s="1">
        <v>98533.610012918434</v>
      </c>
      <c r="L20" s="1">
        <v>53056.559237725312</v>
      </c>
      <c r="M20" s="1">
        <v>73268.581804477813</v>
      </c>
      <c r="N20" s="1">
        <v>76259.136163844261</v>
      </c>
      <c r="O20" s="1">
        <v>37560.470050848664</v>
      </c>
      <c r="P20" s="1">
        <v>15341.600443304384</v>
      </c>
      <c r="Q20" s="1">
        <v>23995.83659080942</v>
      </c>
      <c r="R20" s="1">
        <v>17376.295462310271</v>
      </c>
      <c r="S20" s="1">
        <v>13108.433418935818</v>
      </c>
      <c r="T20" s="1">
        <v>12100.092386709986</v>
      </c>
      <c r="U20" s="1">
        <v>9900.0755891263525</v>
      </c>
      <c r="V20" s="1">
        <v>5330.8099326064967</v>
      </c>
      <c r="W20" s="1">
        <v>2998.580587091154</v>
      </c>
      <c r="X20" s="1">
        <v>6674.2600164286969</v>
      </c>
      <c r="Y20" s="1">
        <v>3438.2551599784197</v>
      </c>
      <c r="Z20" s="1">
        <v>2019.292713003199</v>
      </c>
      <c r="AA20" s="1">
        <v>2905.8114650533839</v>
      </c>
      <c r="AB20" s="1">
        <v>691.2925475362</v>
      </c>
      <c r="AC20" s="1">
        <v>310.58070976264059</v>
      </c>
      <c r="AD20" s="1">
        <v>630.57295618475518</v>
      </c>
      <c r="AE20" s="1">
        <v>456.62179585792614</v>
      </c>
      <c r="AF20" s="1">
        <v>205.14892277674946</v>
      </c>
      <c r="AG20" s="1">
        <v>334.71666347785435</v>
      </c>
      <c r="AH20" s="1">
        <v>308.96922782571164</v>
      </c>
      <c r="AI20" s="1">
        <v>233.08204906150178</v>
      </c>
      <c r="AJ20" s="1">
        <v>114.80160625417251</v>
      </c>
      <c r="AK20" s="1">
        <v>928.84935969285027</v>
      </c>
      <c r="AL20" s="1">
        <v>0</v>
      </c>
      <c r="AM20" s="1">
        <v>595.16620368563292</v>
      </c>
      <c r="AN20" s="1">
        <v>1208.367746876891</v>
      </c>
      <c r="AO20" s="1">
        <v>679.70685761825121</v>
      </c>
      <c r="AP20" s="1">
        <v>1157.3387035121575</v>
      </c>
      <c r="AQ20" s="1">
        <v>365.47538005647078</v>
      </c>
      <c r="AR20" s="1">
        <v>742.02577162980435</v>
      </c>
      <c r="AS20" s="1">
        <v>559.77382772072963</v>
      </c>
      <c r="AT20" s="1">
        <v>217.6898218913949</v>
      </c>
      <c r="AU20" s="1">
        <v>588.5687777063639</v>
      </c>
      <c r="AV20" s="1">
        <v>166.00657832743596</v>
      </c>
      <c r="AW20" s="1">
        <v>166.00657832743596</v>
      </c>
      <c r="AX20" s="1">
        <v>0</v>
      </c>
      <c r="AY20" s="1">
        <v>180.5606978091906</v>
      </c>
      <c r="AZ20" s="1">
        <v>464.29893722363289</v>
      </c>
      <c r="BA20" s="1">
        <v>0</v>
      </c>
      <c r="BB20" s="1">
        <v>0</v>
      </c>
      <c r="BC20" s="1">
        <v>0</v>
      </c>
      <c r="BD20" s="1">
        <v>0</v>
      </c>
      <c r="BE20" s="1">
        <v>90.952411055249868</v>
      </c>
      <c r="BF20" s="1">
        <v>0</v>
      </c>
      <c r="BG20" s="1">
        <v>0</v>
      </c>
      <c r="BH20" s="1">
        <v>0</v>
      </c>
      <c r="BI20" s="1">
        <v>0</v>
      </c>
      <c r="BJ20" s="1">
        <v>0</v>
      </c>
      <c r="BK20" s="1">
        <v>0</v>
      </c>
      <c r="BL20" s="1">
        <v>0</v>
      </c>
      <c r="BM20" s="1">
        <v>0</v>
      </c>
      <c r="BN20" s="1">
        <v>0</v>
      </c>
      <c r="BO20" s="1">
        <v>0</v>
      </c>
      <c r="BP20" s="1">
        <v>0</v>
      </c>
    </row>
    <row r="21" spans="1:68" x14ac:dyDescent="0.2">
      <c r="A21" s="1" t="s">
        <v>94</v>
      </c>
      <c r="B21" s="1">
        <v>600000</v>
      </c>
      <c r="C21" s="1">
        <v>576470.5882352941</v>
      </c>
      <c r="D21" s="1">
        <v>532126.69683257921</v>
      </c>
      <c r="E21" s="1">
        <v>418099.54751131224</v>
      </c>
      <c r="F21" s="1">
        <v>356158.87380593264</v>
      </c>
      <c r="G21" s="1">
        <v>418099.54751131224</v>
      </c>
      <c r="H21" s="1">
        <v>179185.52036199096</v>
      </c>
      <c r="I21" s="1">
        <v>62957.074721780606</v>
      </c>
      <c r="J21" s="1">
        <v>199364.06995230529</v>
      </c>
      <c r="K21" s="1">
        <v>122190.88158367098</v>
      </c>
      <c r="L21" s="1">
        <v>96007.121244312904</v>
      </c>
      <c r="M21" s="1">
        <v>66716.813068081843</v>
      </c>
      <c r="N21" s="1">
        <v>108853.74763739669</v>
      </c>
      <c r="O21" s="1">
        <v>46651.606130312874</v>
      </c>
      <c r="P21" s="1">
        <v>36654.833388102968</v>
      </c>
      <c r="Q21" s="1">
        <v>25472.002862919009</v>
      </c>
      <c r="R21" s="1">
        <v>51715.884600471923</v>
      </c>
      <c r="S21" s="1">
        <v>9850.6446858041763</v>
      </c>
      <c r="T21" s="1">
        <v>8391.2899175368912</v>
      </c>
      <c r="U21" s="1">
        <v>7441.3325683817711</v>
      </c>
      <c r="V21" s="1">
        <v>6868.9223708139416</v>
      </c>
      <c r="W21" s="1">
        <v>8742.2648355813817</v>
      </c>
      <c r="X21" s="1">
        <v>1919.0337443959131</v>
      </c>
      <c r="Y21" s="1">
        <v>2650.0942184514988</v>
      </c>
      <c r="Z21" s="1">
        <v>3239.0040447740544</v>
      </c>
      <c r="AA21" s="1">
        <v>3958.7827213905111</v>
      </c>
      <c r="AB21" s="1">
        <v>986.13277589837628</v>
      </c>
      <c r="AC21" s="1">
        <v>464.06248277570648</v>
      </c>
      <c r="AD21" s="1">
        <v>1978.371637096433</v>
      </c>
      <c r="AE21" s="1">
        <v>295.61875037073139</v>
      </c>
      <c r="AF21" s="1">
        <v>262.15247674385614</v>
      </c>
      <c r="AG21" s="1">
        <v>42.675984586209147</v>
      </c>
      <c r="AH21" s="1">
        <v>2091.1232447242478</v>
      </c>
      <c r="AI21" s="1">
        <v>398.30918947128526</v>
      </c>
      <c r="AJ21" s="1">
        <v>300.478862232724</v>
      </c>
      <c r="AK21" s="1">
        <v>192.10943650944648</v>
      </c>
      <c r="AL21" s="1">
        <v>112.82617699761143</v>
      </c>
      <c r="AM21" s="1">
        <v>305.04855262317164</v>
      </c>
      <c r="AN21" s="1">
        <v>965.98708330671025</v>
      </c>
      <c r="AO21" s="1">
        <v>433.99419684794236</v>
      </c>
      <c r="AP21" s="1">
        <v>451.70824569887884</v>
      </c>
      <c r="AQ21" s="1">
        <v>127.40488981250429</v>
      </c>
      <c r="AR21" s="1">
        <v>426.5294137201231</v>
      </c>
      <c r="AS21" s="1">
        <v>120.30316797234241</v>
      </c>
      <c r="AT21" s="1">
        <v>244.25188648930126</v>
      </c>
      <c r="AU21" s="1">
        <v>114.9420642302594</v>
      </c>
      <c r="AV21" s="1">
        <v>8.6515532216324296</v>
      </c>
      <c r="AW21" s="1">
        <v>9.7560068243940172</v>
      </c>
      <c r="AX21" s="1">
        <v>17.344012132256033</v>
      </c>
      <c r="AY21" s="1">
        <v>65.246521830867948</v>
      </c>
      <c r="AZ21" s="1">
        <v>0</v>
      </c>
      <c r="BA21" s="1">
        <v>40.249461804446263</v>
      </c>
      <c r="BB21" s="1">
        <v>51.226587751113428</v>
      </c>
      <c r="BC21" s="1">
        <v>0</v>
      </c>
      <c r="BD21" s="1">
        <v>0</v>
      </c>
      <c r="BE21" s="1">
        <v>4.3837797661408322</v>
      </c>
      <c r="BF21" s="1">
        <v>13.151339298422496</v>
      </c>
      <c r="BG21" s="1">
        <v>0</v>
      </c>
      <c r="BH21" s="1">
        <v>0</v>
      </c>
      <c r="BI21" s="1">
        <v>0</v>
      </c>
      <c r="BJ21" s="1">
        <v>0</v>
      </c>
      <c r="BK21" s="1">
        <v>6.3317456827548639</v>
      </c>
      <c r="BL21" s="1">
        <v>0</v>
      </c>
      <c r="BM21" s="1">
        <v>0</v>
      </c>
      <c r="BN21" s="1">
        <v>0</v>
      </c>
      <c r="BO21" s="1">
        <v>0</v>
      </c>
      <c r="BP21" s="1">
        <v>0</v>
      </c>
    </row>
    <row r="22" spans="1:68" x14ac:dyDescent="0.2">
      <c r="A22" s="1" t="s">
        <v>78</v>
      </c>
      <c r="B22" s="1">
        <v>600000</v>
      </c>
      <c r="C22" s="1">
        <v>553846.15384615376</v>
      </c>
      <c r="D22" s="1">
        <v>624549.9181669394</v>
      </c>
      <c r="E22" s="1">
        <v>434009.26516685623</v>
      </c>
      <c r="F22" s="1">
        <v>434009.26516685623</v>
      </c>
      <c r="G22" s="1">
        <v>451723.92905121774</v>
      </c>
      <c r="H22" s="1">
        <v>254094.71009130997</v>
      </c>
      <c r="I22" s="1">
        <v>207895.67189288998</v>
      </c>
      <c r="J22" s="1">
        <v>122097.45809582427</v>
      </c>
      <c r="K22" s="1">
        <v>122097.45809582427</v>
      </c>
      <c r="L22" s="1">
        <v>28640.1444916131</v>
      </c>
      <c r="M22" s="1">
        <v>150360.75858096874</v>
      </c>
      <c r="N22" s="1">
        <v>92156.593968980844</v>
      </c>
      <c r="O22" s="1">
        <v>54123.713918290341</v>
      </c>
      <c r="P22" s="1">
        <v>19016.440025345255</v>
      </c>
      <c r="Q22" s="1">
        <v>36914.265931552553</v>
      </c>
      <c r="R22" s="1">
        <v>10411.716031976361</v>
      </c>
      <c r="S22" s="1">
        <v>22124.896567949767</v>
      </c>
      <c r="T22" s="1">
        <v>10897.337115557348</v>
      </c>
      <c r="U22" s="1">
        <v>5613.7797261962096</v>
      </c>
      <c r="V22" s="1">
        <v>2891.9471316768349</v>
      </c>
      <c r="W22" s="1">
        <v>6145.3876548132748</v>
      </c>
      <c r="X22" s="1">
        <v>8486.4877137897602</v>
      </c>
      <c r="Y22" s="1">
        <v>7229.2302747097956</v>
      </c>
      <c r="Z22" s="1">
        <v>3724.1489293959553</v>
      </c>
      <c r="AA22" s="1">
        <v>5359.141142301497</v>
      </c>
      <c r="AB22" s="1">
        <v>1249.2158002704789</v>
      </c>
      <c r="AC22" s="1">
        <v>416.40526675682628</v>
      </c>
      <c r="AD22" s="1">
        <v>884.86119185825578</v>
      </c>
      <c r="AE22" s="1">
        <v>640.76155272494384</v>
      </c>
      <c r="AF22" s="1">
        <v>274.61209402497593</v>
      </c>
      <c r="AG22" s="1">
        <v>215.76664530533819</v>
      </c>
      <c r="AH22" s="1">
        <v>263.71478870652447</v>
      </c>
      <c r="AI22" s="1">
        <v>102.55575116364842</v>
      </c>
      <c r="AJ22" s="1">
        <v>190.46068073248995</v>
      </c>
      <c r="AK22" s="1">
        <v>168.89909423447222</v>
      </c>
      <c r="AL22" s="1">
        <v>1942.3395836964305</v>
      </c>
      <c r="AM22" s="1">
        <v>397.82858943179906</v>
      </c>
      <c r="AN22" s="1">
        <v>486.23494263886556</v>
      </c>
      <c r="AO22" s="1">
        <v>189.09136658178107</v>
      </c>
      <c r="AP22" s="1">
        <v>0</v>
      </c>
      <c r="AQ22" s="1">
        <v>0</v>
      </c>
      <c r="AR22" s="1">
        <v>0</v>
      </c>
      <c r="AS22" s="1">
        <v>2188.9449736161046</v>
      </c>
      <c r="AT22" s="1">
        <v>0</v>
      </c>
      <c r="AU22" s="1">
        <v>228.81644359476024</v>
      </c>
      <c r="AV22" s="1">
        <v>0</v>
      </c>
      <c r="AW22" s="1">
        <v>0</v>
      </c>
      <c r="AX22" s="1">
        <v>0</v>
      </c>
      <c r="AY22" s="1">
        <v>92.616179550260114</v>
      </c>
      <c r="AZ22" s="1">
        <v>0</v>
      </c>
      <c r="BA22" s="1">
        <v>0</v>
      </c>
      <c r="BB22" s="1">
        <v>0</v>
      </c>
      <c r="BC22" s="1">
        <v>0</v>
      </c>
      <c r="BD22" s="1">
        <v>0</v>
      </c>
      <c r="BE22" s="1">
        <v>0</v>
      </c>
      <c r="BF22" s="1">
        <v>0</v>
      </c>
      <c r="BG22" s="1">
        <v>0</v>
      </c>
      <c r="BH22" s="1">
        <v>0</v>
      </c>
      <c r="BI22" s="1">
        <v>0</v>
      </c>
      <c r="BJ22" s="1">
        <v>0</v>
      </c>
      <c r="BK22" s="1">
        <v>0</v>
      </c>
      <c r="BL22" s="1">
        <v>0</v>
      </c>
      <c r="BM22" s="1">
        <v>0</v>
      </c>
      <c r="BN22" s="1">
        <v>0</v>
      </c>
      <c r="BO22" s="1">
        <v>0</v>
      </c>
      <c r="BP22" s="1">
        <v>0</v>
      </c>
    </row>
    <row r="23" spans="1:68" x14ac:dyDescent="0.2">
      <c r="A23" s="1" t="s">
        <v>81</v>
      </c>
      <c r="B23" s="1">
        <v>600000</v>
      </c>
      <c r="C23" s="1">
        <v>490909.09090909088</v>
      </c>
      <c r="D23" s="1">
        <v>471657.75401069509</v>
      </c>
      <c r="E23" s="1">
        <v>355811.98986771738</v>
      </c>
      <c r="F23" s="1">
        <v>328441.8368009699</v>
      </c>
      <c r="G23" s="1">
        <v>370370.58192449796</v>
      </c>
      <c r="H23" s="1">
        <v>208333.45233253008</v>
      </c>
      <c r="I23" s="1">
        <v>98039.2716858965</v>
      </c>
      <c r="J23" s="1">
        <v>129959.03456037441</v>
      </c>
      <c r="K23" s="1">
        <v>129959.03456037441</v>
      </c>
      <c r="L23" s="1">
        <v>61157.192734293836</v>
      </c>
      <c r="M23" s="1">
        <v>44286.243014488646</v>
      </c>
      <c r="N23" s="1">
        <v>66429.364521732961</v>
      </c>
      <c r="O23" s="1">
        <v>40714.771803642783</v>
      </c>
      <c r="P23" s="1">
        <v>20053.544321197191</v>
      </c>
      <c r="Q23" s="1">
        <v>16407.445353706793</v>
      </c>
      <c r="R23" s="1">
        <v>13424.273471214647</v>
      </c>
      <c r="S23" s="1">
        <v>8582.7322193011678</v>
      </c>
      <c r="T23" s="1">
        <v>8582.7322193011678</v>
      </c>
      <c r="U23" s="1">
        <v>5964.2715422262354</v>
      </c>
      <c r="V23" s="1">
        <v>9328.7324122000082</v>
      </c>
      <c r="W23" s="1">
        <v>3810.3273232929614</v>
      </c>
      <c r="X23" s="1">
        <v>4849.5075023728605</v>
      </c>
      <c r="Y23" s="1">
        <v>5253.6331275705998</v>
      </c>
      <c r="Z23" s="1">
        <v>3358.8801963156293</v>
      </c>
      <c r="AA23" s="1">
        <v>3943.0332739357386</v>
      </c>
      <c r="AB23" s="1">
        <v>897.0400698203805</v>
      </c>
      <c r="AC23" s="1">
        <v>598.02671321358707</v>
      </c>
      <c r="AD23" s="1">
        <v>451.14295909095171</v>
      </c>
      <c r="AE23" s="1">
        <v>416.43965454549385</v>
      </c>
      <c r="AF23" s="1">
        <v>154.02562565381282</v>
      </c>
      <c r="AG23" s="1">
        <v>273.82333449566727</v>
      </c>
      <c r="AH23" s="1">
        <v>3148.9683467001737</v>
      </c>
      <c r="AI23" s="1">
        <v>273.82333449566727</v>
      </c>
      <c r="AJ23" s="1">
        <v>284.99979712814354</v>
      </c>
      <c r="AK23" s="1">
        <v>198.05070647887939</v>
      </c>
      <c r="AL23" s="1">
        <v>93.200332460649122</v>
      </c>
      <c r="AM23" s="1">
        <v>228.18012430020994</v>
      </c>
      <c r="AN23" s="1">
        <v>267.86362417850734</v>
      </c>
      <c r="AO23" s="1">
        <v>94.114246332989069</v>
      </c>
      <c r="AP23" s="1">
        <v>65.40142541783986</v>
      </c>
      <c r="AQ23" s="1">
        <v>0</v>
      </c>
      <c r="AR23" s="1">
        <v>487.34119116059691</v>
      </c>
      <c r="AS23" s="1">
        <v>1253.1630629843919</v>
      </c>
      <c r="AT23" s="1">
        <v>0</v>
      </c>
      <c r="AU23" s="1">
        <v>54.863633867887053</v>
      </c>
      <c r="AV23" s="1">
        <v>12.043236702706913</v>
      </c>
      <c r="AW23" s="1">
        <v>0</v>
      </c>
      <c r="AX23" s="1">
        <v>0</v>
      </c>
      <c r="AY23" s="1">
        <v>47.270051325618944</v>
      </c>
      <c r="AZ23" s="1">
        <v>37.140754612986314</v>
      </c>
      <c r="BA23" s="1">
        <v>0</v>
      </c>
      <c r="BB23" s="1">
        <v>62.832208140637512</v>
      </c>
      <c r="BC23" s="1">
        <v>0</v>
      </c>
      <c r="BD23" s="1">
        <v>0</v>
      </c>
      <c r="BE23" s="1">
        <v>0</v>
      </c>
      <c r="BF23" s="1">
        <v>0</v>
      </c>
      <c r="BG23" s="1">
        <v>0</v>
      </c>
      <c r="BH23" s="1">
        <v>0</v>
      </c>
      <c r="BI23" s="1">
        <v>0</v>
      </c>
      <c r="BJ23" s="1">
        <v>0</v>
      </c>
      <c r="BK23" s="1">
        <v>0</v>
      </c>
      <c r="BL23" s="1">
        <v>0</v>
      </c>
      <c r="BM23" s="1">
        <v>0</v>
      </c>
      <c r="BN23" s="1">
        <v>0</v>
      </c>
      <c r="BO23" s="1">
        <v>0</v>
      </c>
      <c r="BP23" s="1">
        <v>0</v>
      </c>
    </row>
    <row r="24" spans="1:68" x14ac:dyDescent="0.2">
      <c r="A24" s="1" t="s">
        <v>73</v>
      </c>
      <c r="B24" s="1">
        <v>600000</v>
      </c>
      <c r="C24" s="1">
        <v>416949.15254237287</v>
      </c>
      <c r="D24" s="1">
        <v>552700.03941663378</v>
      </c>
      <c r="E24" s="1">
        <v>490130.22363361856</v>
      </c>
      <c r="F24" s="1">
        <v>313361.94625755947</v>
      </c>
      <c r="G24" s="1">
        <v>339475.4417790228</v>
      </c>
      <c r="H24" s="1">
        <v>125559.40997306323</v>
      </c>
      <c r="I24" s="1">
        <v>166439.21787126988</v>
      </c>
      <c r="J24" s="1">
        <v>120524.95087229888</v>
      </c>
      <c r="K24" s="1">
        <v>102669.40259492127</v>
      </c>
      <c r="L24" s="1">
        <v>55283.524474188365</v>
      </c>
      <c r="M24" s="1">
        <v>36855.682982792248</v>
      </c>
      <c r="N24" s="1">
        <v>50895.943166713107</v>
      </c>
      <c r="O24" s="1">
        <v>32540.029237734612</v>
      </c>
      <c r="P24" s="1">
        <v>41414.582666207694</v>
      </c>
      <c r="Q24" s="1">
        <v>15317.722355994629</v>
      </c>
      <c r="R24" s="1">
        <v>10211.814903996419</v>
      </c>
      <c r="S24" s="1">
        <v>7703.6498398569483</v>
      </c>
      <c r="T24" s="1">
        <v>9804.6452507270242</v>
      </c>
      <c r="U24" s="1">
        <v>5515.1129535339514</v>
      </c>
      <c r="V24" s="1">
        <v>9390.5977316929439</v>
      </c>
      <c r="W24" s="1">
        <v>2347.649432923236</v>
      </c>
      <c r="X24" s="1">
        <v>4359.9203754288674</v>
      </c>
      <c r="Y24" s="1">
        <v>3866.3444838708824</v>
      </c>
      <c r="Z24" s="1">
        <v>4188.53985752679</v>
      </c>
      <c r="AA24" s="1">
        <v>2677.9189253040131</v>
      </c>
      <c r="AB24" s="1">
        <v>652.34105020405752</v>
      </c>
      <c r="AC24" s="1">
        <v>555.69793165530825</v>
      </c>
      <c r="AD24" s="1">
        <v>340.58905488551147</v>
      </c>
      <c r="AE24" s="1">
        <v>256.93560280836834</v>
      </c>
      <c r="AF24" s="1">
        <v>144.5262765797072</v>
      </c>
      <c r="AG24" s="1">
        <v>176.64322693075326</v>
      </c>
      <c r="AH24" s="1">
        <v>234.1549752337892</v>
      </c>
      <c r="AI24" s="1">
        <v>115.33006242858274</v>
      </c>
      <c r="AJ24" s="1">
        <v>90.616477622457865</v>
      </c>
      <c r="AK24" s="1">
        <v>183.97890911226293</v>
      </c>
      <c r="AL24" s="1">
        <v>965.88927283938028</v>
      </c>
      <c r="AM24" s="1">
        <v>61.652506776981717</v>
      </c>
      <c r="AN24" s="1">
        <v>137.22654734231412</v>
      </c>
      <c r="AO24" s="1">
        <v>50.75502435948605</v>
      </c>
      <c r="AP24" s="1">
        <v>41.526838112306763</v>
      </c>
      <c r="AQ24" s="1">
        <v>0</v>
      </c>
      <c r="AR24" s="1">
        <v>0</v>
      </c>
      <c r="AS24" s="1">
        <v>297.54654725600147</v>
      </c>
      <c r="AT24" s="1">
        <v>0</v>
      </c>
      <c r="AU24" s="1">
        <v>48.214732850002264</v>
      </c>
      <c r="AV24" s="1">
        <v>20.663456935715256</v>
      </c>
      <c r="AW24" s="1">
        <v>0</v>
      </c>
      <c r="AX24" s="1">
        <v>0</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0</v>
      </c>
      <c r="BP24" s="1">
        <v>0</v>
      </c>
    </row>
    <row r="25" spans="1:68" x14ac:dyDescent="0.2">
      <c r="A25" s="1" t="s">
        <v>85</v>
      </c>
      <c r="B25" s="1">
        <v>600000</v>
      </c>
      <c r="C25" s="1">
        <v>383606.55737704923</v>
      </c>
      <c r="D25" s="1">
        <v>488226.52757078997</v>
      </c>
      <c r="E25" s="1">
        <v>339276.06153224385</v>
      </c>
      <c r="F25" s="1">
        <v>289012.94130524475</v>
      </c>
      <c r="G25" s="1">
        <v>236465.13379520024</v>
      </c>
      <c r="H25" s="1">
        <v>300955.62483025488</v>
      </c>
      <c r="I25" s="1">
        <v>141626.17639070816</v>
      </c>
      <c r="J25" s="1">
        <v>79664.724219773343</v>
      </c>
      <c r="K25" s="1">
        <v>79664.724219773343</v>
      </c>
      <c r="L25" s="1">
        <v>30980.726085467413</v>
      </c>
      <c r="M25" s="1">
        <v>46471.089128201114</v>
      </c>
      <c r="N25" s="1">
        <v>54553.017672236092</v>
      </c>
      <c r="O25" s="1">
        <v>28103.069709939802</v>
      </c>
      <c r="P25" s="1">
        <v>54553.017672236085</v>
      </c>
      <c r="Q25" s="1">
        <v>18184.339224078696</v>
      </c>
      <c r="R25" s="1">
        <v>7427.4061619476361</v>
      </c>
      <c r="S25" s="1">
        <v>9077.9408646026677</v>
      </c>
      <c r="T25" s="1">
        <v>7733.0607365133837</v>
      </c>
      <c r="U25" s="1">
        <v>2717.0213398560536</v>
      </c>
      <c r="V25" s="1">
        <v>6047.5636274215385</v>
      </c>
      <c r="W25" s="1">
        <v>3256.3804147654437</v>
      </c>
      <c r="X25" s="1">
        <v>3128.6792220295438</v>
      </c>
      <c r="Y25" s="1">
        <v>2360.2316938117615</v>
      </c>
      <c r="Z25" s="1">
        <v>1386.1678201751615</v>
      </c>
      <c r="AA25" s="1">
        <v>1994.7293022032811</v>
      </c>
      <c r="AB25" s="1">
        <v>426.67259774128178</v>
      </c>
      <c r="AC25" s="1">
        <v>157.81041286321383</v>
      </c>
      <c r="AD25" s="1">
        <v>236.7156192948207</v>
      </c>
      <c r="AE25" s="1">
        <v>266.93463452394678</v>
      </c>
      <c r="AF25" s="1">
        <v>103.80791342597932</v>
      </c>
      <c r="AG25" s="1">
        <v>95.822689316288589</v>
      </c>
      <c r="AH25" s="1">
        <v>72.28729194035806</v>
      </c>
      <c r="AI25" s="1">
        <v>72.28729194035806</v>
      </c>
      <c r="AJ25" s="1">
        <v>44.305114415058171</v>
      </c>
      <c r="AK25" s="1">
        <v>46.11348643199932</v>
      </c>
      <c r="AL25" s="1">
        <v>48.16799375126044</v>
      </c>
      <c r="AM25" s="1">
        <v>896.18272997538725</v>
      </c>
      <c r="AN25" s="1">
        <v>1525.9327564445784</v>
      </c>
      <c r="AO25" s="1">
        <v>405.62769475109042</v>
      </c>
      <c r="AP25" s="1">
        <v>293.73039964734136</v>
      </c>
      <c r="AQ25" s="1">
        <v>344.81394741209635</v>
      </c>
      <c r="AR25" s="1">
        <v>270.92524439521856</v>
      </c>
      <c r="AS25" s="1">
        <v>212.86983488195742</v>
      </c>
      <c r="AT25" s="1">
        <v>100.17403994445054</v>
      </c>
      <c r="AU25" s="1">
        <v>734.60962625930404</v>
      </c>
      <c r="AV25" s="1">
        <v>81.62329180658935</v>
      </c>
      <c r="AW25" s="1">
        <v>1084.4237340018299</v>
      </c>
      <c r="AX25" s="1">
        <v>0</v>
      </c>
      <c r="AY25" s="1">
        <v>132.6898049082242</v>
      </c>
      <c r="AZ25" s="1">
        <v>0</v>
      </c>
      <c r="BA25" s="1">
        <v>0</v>
      </c>
      <c r="BB25" s="1">
        <v>0</v>
      </c>
      <c r="BC25" s="1">
        <v>0</v>
      </c>
      <c r="BD25" s="1">
        <v>0</v>
      </c>
      <c r="BE25" s="1">
        <v>47.193796591069436</v>
      </c>
      <c r="BF25" s="1">
        <v>0</v>
      </c>
      <c r="BG25" s="1">
        <v>0</v>
      </c>
      <c r="BH25" s="1">
        <v>0</v>
      </c>
      <c r="BI25" s="1">
        <v>0</v>
      </c>
      <c r="BJ25" s="1">
        <v>0</v>
      </c>
      <c r="BK25" s="1">
        <v>0</v>
      </c>
      <c r="BL25" s="1">
        <v>0</v>
      </c>
      <c r="BM25" s="1">
        <v>0</v>
      </c>
      <c r="BN25" s="1">
        <v>0</v>
      </c>
      <c r="BO25" s="1">
        <v>0</v>
      </c>
      <c r="BP25" s="1">
        <v>0</v>
      </c>
    </row>
    <row r="26" spans="1:68" x14ac:dyDescent="0.2">
      <c r="A26" s="1" t="s">
        <v>70</v>
      </c>
      <c r="B26" s="1">
        <v>600000</v>
      </c>
      <c r="C26" s="1">
        <v>337500</v>
      </c>
      <c r="D26" s="1">
        <v>311538.4615384615</v>
      </c>
      <c r="E26" s="1">
        <v>254008.43881856548</v>
      </c>
      <c r="F26" s="1">
        <v>434482.75862068968</v>
      </c>
      <c r="G26" s="1">
        <f>F26/69*17</f>
        <v>107046.4767616192</v>
      </c>
      <c r="H26" s="1">
        <v>159493.67088607594</v>
      </c>
      <c r="I26" s="1">
        <v>106329.11392405065</v>
      </c>
      <c r="J26" s="1">
        <v>80213.191205862779</v>
      </c>
      <c r="K26" s="1">
        <v>142601.22881042273</v>
      </c>
      <c r="L26" s="1">
        <v>40220.859408067947</v>
      </c>
      <c r="M26" s="1">
        <v>38643.570803829993</v>
      </c>
      <c r="N26" s="1">
        <f>M26/41*22</f>
        <v>20735.574577664876</v>
      </c>
      <c r="O26" s="1">
        <v>30379.746835443038</v>
      </c>
      <c r="P26" s="1">
        <v>15650.17261219793</v>
      </c>
      <c r="Q26" s="1">
        <v>24478.475111386506</v>
      </c>
      <c r="R26" s="1">
        <f>Q26/50*20</f>
        <v>9791.3900445546024</v>
      </c>
      <c r="S26" s="1">
        <v>13648.871766648324</v>
      </c>
      <c r="T26" s="1">
        <f>S26/26*11</f>
        <v>5774.52267050506</v>
      </c>
      <c r="U26" s="1">
        <v>13648.871766648324</v>
      </c>
      <c r="V26" s="1">
        <v>9883.6657620556834</v>
      </c>
      <c r="W26" s="1">
        <v>5091.5853925741403</v>
      </c>
      <c r="X26" s="1">
        <v>3337.9738788254326</v>
      </c>
      <c r="Y26" s="1">
        <v>3754.8001706727355</v>
      </c>
      <c r="Z26" s="1">
        <f>Y26/28*24</f>
        <v>3218.4001462909159</v>
      </c>
      <c r="AA26" s="1">
        <v>2128.563053164044</v>
      </c>
      <c r="AB26" s="1">
        <v>0</v>
      </c>
      <c r="AC26" s="1">
        <v>1353.4594081526195</v>
      </c>
      <c r="AD26" s="1">
        <v>0</v>
      </c>
      <c r="AE26" s="1">
        <f>AC26/21*20</f>
        <v>1289.0089601453519</v>
      </c>
      <c r="AF26" s="1">
        <v>0</v>
      </c>
      <c r="AG26" s="1">
        <v>1609.200073145458</v>
      </c>
      <c r="AH26" s="1">
        <f>AG26/14*6</f>
        <v>689.65717420519627</v>
      </c>
      <c r="AI26" s="1">
        <v>0</v>
      </c>
      <c r="AJ26" s="1">
        <v>0</v>
      </c>
      <c r="AK26" s="1">
        <v>1934.2909970132273</v>
      </c>
      <c r="AL26" s="1">
        <v>1715.3146577287107</v>
      </c>
      <c r="AM26" s="1">
        <v>0</v>
      </c>
      <c r="AN26" s="1">
        <v>3025.429508148894</v>
      </c>
      <c r="AO26" s="1">
        <v>0</v>
      </c>
      <c r="AP26" s="1">
        <v>0</v>
      </c>
      <c r="AQ26" s="1">
        <v>0</v>
      </c>
      <c r="AR26" s="1">
        <v>0</v>
      </c>
      <c r="AS26" s="1">
        <v>0</v>
      </c>
      <c r="AT26" s="1">
        <v>1235.7388131875764</v>
      </c>
      <c r="AU26" s="1">
        <v>0</v>
      </c>
      <c r="AV26" s="1">
        <v>0</v>
      </c>
      <c r="AW26" s="1">
        <v>0</v>
      </c>
      <c r="AX26" s="1">
        <v>2475.3514157581858</v>
      </c>
      <c r="AY26" s="1">
        <v>0</v>
      </c>
      <c r="AZ26" s="1">
        <v>756.3573770372235</v>
      </c>
      <c r="BA26" s="1">
        <v>0</v>
      </c>
      <c r="BB26" s="1">
        <v>0</v>
      </c>
      <c r="BC26" s="1">
        <v>0</v>
      </c>
      <c r="BD26" s="1">
        <v>412.55856929303098</v>
      </c>
      <c r="BE26" s="1">
        <v>0</v>
      </c>
      <c r="BF26" s="1">
        <v>0</v>
      </c>
      <c r="BG26" s="1">
        <v>0</v>
      </c>
      <c r="BH26" s="1">
        <v>0</v>
      </c>
      <c r="BI26" s="1">
        <v>0</v>
      </c>
      <c r="BJ26" s="1">
        <v>0</v>
      </c>
      <c r="BK26" s="1">
        <v>0</v>
      </c>
      <c r="BL26" s="1">
        <v>0</v>
      </c>
      <c r="BM26" s="1">
        <v>0</v>
      </c>
      <c r="BN26" s="1">
        <v>0</v>
      </c>
      <c r="BO26" s="1">
        <v>0</v>
      </c>
      <c r="BP26" s="1">
        <v>0</v>
      </c>
    </row>
    <row r="27" spans="1:68" x14ac:dyDescent="0.2">
      <c r="A27" s="1" t="s">
        <v>67</v>
      </c>
      <c r="B27" s="1">
        <v>600000</v>
      </c>
      <c r="C27" s="1">
        <v>323076.92307692301</v>
      </c>
      <c r="D27" s="1">
        <v>428264.75849731651</v>
      </c>
      <c r="E27" s="1">
        <v>273808.61608844827</v>
      </c>
      <c r="F27" s="1">
        <v>273808.61608844827</v>
      </c>
      <c r="G27" s="1">
        <v>263071.02330066595</v>
      </c>
      <c r="H27" s="1">
        <v>161237.07879718236</v>
      </c>
      <c r="I27" s="1">
        <v>83061.525440972735</v>
      </c>
      <c r="J27" s="1">
        <v>76672.177330128674</v>
      </c>
      <c r="K27" s="1">
        <v>76672.177330128674</v>
      </c>
      <c r="L27" s="1">
        <v>21625.485913626035</v>
      </c>
      <c r="M27" s="1">
        <v>24386.186243025106</v>
      </c>
      <c r="N27" s="1">
        <v>49511.347826747944</v>
      </c>
      <c r="O27" s="1">
        <v>29078.093168090061</v>
      </c>
      <c r="P27" s="1">
        <v>8201.5134576664277</v>
      </c>
      <c r="Q27" s="1">
        <v>12302.270186499642</v>
      </c>
      <c r="R27" s="1">
        <v>9280.6599652541172</v>
      </c>
      <c r="S27" s="1">
        <v>10465.425067201451</v>
      </c>
      <c r="T27" s="1">
        <v>6976.9500448009685</v>
      </c>
      <c r="U27" s="1">
        <v>2849.7401591440575</v>
      </c>
      <c r="V27" s="1">
        <v>2149.8039797051665</v>
      </c>
      <c r="W27" s="1">
        <v>3093.6203610391422</v>
      </c>
      <c r="X27" s="1">
        <v>1816.8881485467975</v>
      </c>
      <c r="Y27" s="1">
        <v>2220.6410704460859</v>
      </c>
      <c r="Z27" s="1">
        <v>1304.186025500082</v>
      </c>
      <c r="AA27" s="1">
        <v>2647.8928396516817</v>
      </c>
      <c r="AB27" s="1">
        <v>661.97320991292042</v>
      </c>
      <c r="AC27" s="1">
        <v>186.71039253954166</v>
      </c>
      <c r="AD27" s="1">
        <v>591.24957637521527</v>
      </c>
      <c r="AE27" s="1">
        <v>850.82256112530979</v>
      </c>
      <c r="AF27" s="1">
        <v>347.51907426245049</v>
      </c>
      <c r="AG27" s="1">
        <v>0</v>
      </c>
      <c r="AH27" s="1">
        <v>520.89111528982266</v>
      </c>
      <c r="AI27" s="1">
        <v>0</v>
      </c>
      <c r="AJ27" s="1">
        <v>219.62384213203046</v>
      </c>
      <c r="AK27" s="1">
        <v>193.09922351705092</v>
      </c>
      <c r="AL27" s="1">
        <f>AK27/11*11</f>
        <v>193.09922351705092</v>
      </c>
      <c r="AM27" s="1">
        <v>431.0523227339948</v>
      </c>
      <c r="AN27" s="1">
        <v>595.26273139456418</v>
      </c>
      <c r="AO27" s="1">
        <v>280.1236383033243</v>
      </c>
      <c r="AP27" s="1">
        <v>0</v>
      </c>
      <c r="AQ27" s="1">
        <v>0</v>
      </c>
      <c r="AR27" s="1">
        <v>0</v>
      </c>
      <c r="AS27" s="1">
        <v>230.25155127405927</v>
      </c>
      <c r="AT27" s="1">
        <v>0</v>
      </c>
      <c r="AU27" s="1">
        <v>105.04636436374662</v>
      </c>
      <c r="AV27" s="1">
        <v>0</v>
      </c>
      <c r="AW27" s="1">
        <v>0</v>
      </c>
      <c r="AX27" s="1">
        <v>0</v>
      </c>
      <c r="AY27" s="1">
        <v>0</v>
      </c>
      <c r="AZ27" s="1">
        <v>0</v>
      </c>
      <c r="BA27" s="1">
        <v>0</v>
      </c>
      <c r="BB27" s="1">
        <v>0</v>
      </c>
      <c r="BC27" s="1">
        <v>0</v>
      </c>
      <c r="BD27" s="1">
        <v>0</v>
      </c>
      <c r="BE27" s="1">
        <v>0</v>
      </c>
      <c r="BF27" s="1">
        <v>0</v>
      </c>
      <c r="BG27" s="1">
        <v>0</v>
      </c>
      <c r="BH27" s="1">
        <v>0</v>
      </c>
      <c r="BI27" s="1">
        <v>0</v>
      </c>
      <c r="BJ27" s="1">
        <v>0</v>
      </c>
      <c r="BK27" s="1">
        <v>0</v>
      </c>
      <c r="BL27" s="1">
        <v>0</v>
      </c>
      <c r="BM27" s="1">
        <v>0</v>
      </c>
      <c r="BN27" s="1">
        <v>0</v>
      </c>
      <c r="BO27" s="1">
        <v>0</v>
      </c>
      <c r="BP27" s="1">
        <v>0</v>
      </c>
    </row>
    <row r="28" spans="1:68" x14ac:dyDescent="0.2">
      <c r="A28" s="1" t="s">
        <v>77</v>
      </c>
      <c r="B28" s="1">
        <v>600000</v>
      </c>
      <c r="C28" s="1">
        <v>323076.92307692301</v>
      </c>
      <c r="D28" s="1">
        <v>527125.50607287441</v>
      </c>
      <c r="E28" s="1">
        <v>337014.66781708365</v>
      </c>
      <c r="F28" s="1">
        <v>264797.23899913713</v>
      </c>
      <c r="G28" s="1">
        <v>286863.6755823986</v>
      </c>
      <c r="H28" s="1">
        <v>380261.15135341207</v>
      </c>
      <c r="I28" s="1">
        <v>147879.33663743804</v>
      </c>
      <c r="J28" s="1">
        <v>102763.60681584677</v>
      </c>
      <c r="K28" s="1">
        <v>102763.60681584677</v>
      </c>
      <c r="L28" s="1">
        <v>19574.020345875579</v>
      </c>
      <c r="M28" s="1">
        <v>45672.714140376353</v>
      </c>
      <c r="N28" s="1">
        <v>45672.714140376353</v>
      </c>
      <c r="O28" s="1">
        <v>26823.65751101468</v>
      </c>
      <c r="P28" s="1">
        <v>59704.269943871383</v>
      </c>
      <c r="Q28" s="1">
        <v>14926.067485967847</v>
      </c>
      <c r="R28" s="1">
        <v>8037.1132616749937</v>
      </c>
      <c r="S28" s="1">
        <v>11565.60201070304</v>
      </c>
      <c r="T28" s="1">
        <v>9852.1794905988863</v>
      </c>
      <c r="U28" s="1">
        <v>2311.0050656960348</v>
      </c>
      <c r="V28" s="1">
        <v>3325.5926555138062</v>
      </c>
      <c r="W28" s="1">
        <v>2408.187785027239</v>
      </c>
      <c r="X28" s="1">
        <v>4674.7174650528759</v>
      </c>
      <c r="Y28" s="1">
        <v>4865.5222595448304</v>
      </c>
      <c r="Z28" s="1">
        <v>1293.3666765878663</v>
      </c>
      <c r="AA28" s="1">
        <v>1786.0777914784821</v>
      </c>
      <c r="AB28" s="1">
        <v>400.79585640777145</v>
      </c>
      <c r="AC28" s="1">
        <v>267.19723760518099</v>
      </c>
      <c r="AD28" s="1">
        <v>236.94849372534915</v>
      </c>
      <c r="AE28" s="1">
        <v>403.45284066748638</v>
      </c>
      <c r="AF28" s="1">
        <v>120.51188747210632</v>
      </c>
      <c r="AG28" s="1">
        <v>180.76783120815946</v>
      </c>
      <c r="AH28" s="1">
        <v>160.30354842987725</v>
      </c>
      <c r="AI28" s="1">
        <v>75.436963967001063</v>
      </c>
      <c r="AJ28" s="1">
        <v>85.067214686192685</v>
      </c>
      <c r="AK28" s="1">
        <v>45.805423292565287</v>
      </c>
      <c r="AL28" s="1">
        <f>AK28/14*8</f>
        <v>26.174527595751591</v>
      </c>
      <c r="AM28" s="1">
        <v>627.54084565460187</v>
      </c>
      <c r="AN28" s="1">
        <v>220.48732414891415</v>
      </c>
      <c r="AO28" s="1">
        <v>330.73098622337119</v>
      </c>
      <c r="AP28" s="1">
        <v>0</v>
      </c>
      <c r="AQ28" s="1">
        <v>0</v>
      </c>
      <c r="AR28" s="1">
        <v>0</v>
      </c>
      <c r="AS28" s="1">
        <v>176.64505630006965</v>
      </c>
      <c r="AT28" s="1">
        <v>0</v>
      </c>
      <c r="AU28" s="1">
        <v>514.47042301413296</v>
      </c>
      <c r="AV28" s="1">
        <v>0</v>
      </c>
      <c r="AW28" s="1">
        <v>0</v>
      </c>
      <c r="AX28" s="1">
        <v>0</v>
      </c>
      <c r="AY28" s="1">
        <v>81.550106192064149</v>
      </c>
      <c r="AZ28" s="1">
        <v>0</v>
      </c>
      <c r="BA28" s="1">
        <v>0</v>
      </c>
      <c r="BB28" s="1">
        <v>32.946381769377979</v>
      </c>
      <c r="BC28" s="1">
        <v>0</v>
      </c>
      <c r="BD28" s="1">
        <v>0</v>
      </c>
      <c r="BE28" s="1">
        <v>0</v>
      </c>
      <c r="BF28" s="1">
        <v>0</v>
      </c>
      <c r="BG28" s="1">
        <v>0</v>
      </c>
      <c r="BH28" s="1">
        <v>0</v>
      </c>
      <c r="BI28" s="1">
        <v>0</v>
      </c>
      <c r="BJ28" s="1">
        <v>0</v>
      </c>
      <c r="BK28" s="1">
        <v>0</v>
      </c>
      <c r="BL28" s="1">
        <v>0</v>
      </c>
      <c r="BM28" s="1">
        <v>0</v>
      </c>
      <c r="BN28" s="1">
        <v>0</v>
      </c>
      <c r="BO28" s="1">
        <v>0</v>
      </c>
      <c r="BP28" s="1">
        <v>0</v>
      </c>
    </row>
    <row r="29" spans="1:68" x14ac:dyDescent="0.2">
      <c r="A29" s="1" t="s">
        <v>93</v>
      </c>
      <c r="B29" s="1">
        <v>600000</v>
      </c>
      <c r="C29" s="1">
        <v>282352.94117647054</v>
      </c>
      <c r="D29" s="1">
        <v>573262.03208556143</v>
      </c>
      <c r="E29" s="1">
        <v>432460.83122244111</v>
      </c>
      <c r="F29" s="1">
        <v>415501.58293920808</v>
      </c>
      <c r="G29" s="1">
        <v>277001.05529280537</v>
      </c>
      <c r="H29" s="1">
        <v>200586.97107410044</v>
      </c>
      <c r="I29" s="1">
        <v>145252.63422607275</v>
      </c>
      <c r="J29" s="1">
        <v>157357.02041157882</v>
      </c>
      <c r="K29" s="1">
        <v>151186.15686602669</v>
      </c>
      <c r="L29" s="1">
        <v>81407.930620168219</v>
      </c>
      <c r="M29" s="1">
        <v>66606.488689228543</v>
      </c>
      <c r="N29" s="1">
        <v>34312.433567178341</v>
      </c>
      <c r="O29" s="1">
        <v>35712.941059716228</v>
      </c>
      <c r="P29" s="1">
        <v>31669.966600125706</v>
      </c>
      <c r="Q29" s="1">
        <v>22007.942891612776</v>
      </c>
      <c r="R29" s="1">
        <v>6949.8767026145606</v>
      </c>
      <c r="S29" s="1">
        <v>17871.111521008868</v>
      </c>
      <c r="T29" s="1">
        <v>5338.1242205610906</v>
      </c>
      <c r="U29" s="1">
        <v>5338.1242205610906</v>
      </c>
      <c r="V29" s="1">
        <v>6524.374047352444</v>
      </c>
      <c r="W29" s="1">
        <v>6268.5162415739169</v>
      </c>
      <c r="X29" s="1">
        <v>6022.6920752376855</v>
      </c>
      <c r="Y29" s="1">
        <v>2966.4005743708003</v>
      </c>
      <c r="Z29" s="1">
        <v>2330.7433084342001</v>
      </c>
      <c r="AA29" s="1">
        <v>2966.4005743708003</v>
      </c>
      <c r="AB29" s="1">
        <v>740.41358336295173</v>
      </c>
      <c r="AC29" s="1">
        <v>630.72268212399592</v>
      </c>
      <c r="AD29" s="1">
        <v>516.04583082872387</v>
      </c>
      <c r="AE29" s="1">
        <v>476.34999768805278</v>
      </c>
      <c r="AF29" s="1">
        <v>134.35512755304052</v>
      </c>
      <c r="AG29" s="1">
        <v>655.96915217072717</v>
      </c>
      <c r="AH29" s="1">
        <v>710.6332481849546</v>
      </c>
      <c r="AI29" s="1">
        <v>177.65831204623865</v>
      </c>
      <c r="AJ29" s="1">
        <v>277.8758214056553</v>
      </c>
      <c r="AK29" s="1">
        <v>416.8137321084829</v>
      </c>
      <c r="AL29" s="1">
        <v>79.393091830187231</v>
      </c>
      <c r="AM29" s="1">
        <v>141.14327436477731</v>
      </c>
      <c r="AN29" s="1">
        <v>57.650069810965377</v>
      </c>
      <c r="AO29" s="1">
        <v>128.31789732118099</v>
      </c>
      <c r="AP29" s="1">
        <v>184.65258394999216</v>
      </c>
      <c r="AQ29" s="1">
        <v>123.10172263332811</v>
      </c>
      <c r="AR29" s="1">
        <v>25.213605840561179</v>
      </c>
      <c r="AS29" s="1">
        <v>71.761801238520277</v>
      </c>
      <c r="AT29" s="1">
        <v>80.922882247693096</v>
      </c>
      <c r="AU29" s="1">
        <v>34.68123524901133</v>
      </c>
      <c r="AV29" s="1">
        <v>44.139753953287155</v>
      </c>
      <c r="AW29" s="1">
        <v>49.774616160089778</v>
      </c>
      <c r="AX29" s="1">
        <v>34.589140043452218</v>
      </c>
      <c r="AY29" s="1">
        <v>9.755911294307035</v>
      </c>
      <c r="AZ29" s="1">
        <v>39.02364517722814</v>
      </c>
      <c r="BA29" s="1">
        <v>0</v>
      </c>
      <c r="BB29" s="1">
        <v>12.654893373138743</v>
      </c>
      <c r="BC29" s="1">
        <v>0</v>
      </c>
      <c r="BD29" s="1">
        <v>0</v>
      </c>
      <c r="BE29" s="1">
        <v>25.900756002027926</v>
      </c>
      <c r="BF29" s="1">
        <v>0</v>
      </c>
      <c r="BG29" s="1">
        <v>0</v>
      </c>
      <c r="BH29" s="1">
        <v>0</v>
      </c>
      <c r="BI29" s="1">
        <v>0</v>
      </c>
      <c r="BJ29" s="1">
        <v>0</v>
      </c>
      <c r="BK29" s="1">
        <v>0</v>
      </c>
      <c r="BL29" s="1">
        <v>0</v>
      </c>
      <c r="BM29" s="1">
        <v>0</v>
      </c>
      <c r="BN29" s="1">
        <v>0</v>
      </c>
      <c r="BO29" s="1">
        <v>0</v>
      </c>
      <c r="BP29" s="1">
        <v>0</v>
      </c>
    </row>
    <row r="30" spans="1:68" x14ac:dyDescent="0.2">
      <c r="A30" s="1" t="s">
        <v>68</v>
      </c>
      <c r="B30" s="1">
        <v>600000</v>
      </c>
      <c r="C30" s="1">
        <v>269565.21739130438</v>
      </c>
      <c r="D30" s="1">
        <v>659970.0149925038</v>
      </c>
      <c r="E30" s="1">
        <v>296508.26760532783</v>
      </c>
      <c r="F30" s="1">
        <v>232970.78168990041</v>
      </c>
      <c r="G30" s="1">
        <v>349456.1725348506</v>
      </c>
      <c r="H30" s="1">
        <v>242842.42498184534</v>
      </c>
      <c r="I30" s="1">
        <v>175851.4111937501</v>
      </c>
      <c r="J30" s="1">
        <v>122201.82811769073</v>
      </c>
      <c r="K30" s="1">
        <v>74897.894652778195</v>
      </c>
      <c r="L30" s="1">
        <v>24965.9648842594</v>
      </c>
      <c r="M30" s="1">
        <v>61123.569199393707</v>
      </c>
      <c r="N30" s="1">
        <v>68926.578033358863</v>
      </c>
      <c r="O30" s="1">
        <v>30967.013319335143</v>
      </c>
      <c r="P30" s="1">
        <v>32230.973046654944</v>
      </c>
      <c r="Q30" s="1">
        <v>15167.516727837619</v>
      </c>
      <c r="R30" s="1">
        <f>Q30/42*25</f>
        <v>9028.2837665700117</v>
      </c>
      <c r="S30" s="1">
        <v>10880.301977063698</v>
      </c>
      <c r="T30" s="1">
        <v>8902.0652539612074</v>
      </c>
      <c r="U30" s="1">
        <f>T30/45*16</f>
        <v>3165.1787569639851</v>
      </c>
      <c r="V30" s="1">
        <f>U30/22*19</f>
        <v>2733.5634719234417</v>
      </c>
      <c r="W30" s="1">
        <v>4278.0175386208666</v>
      </c>
      <c r="X30" s="1">
        <v>5444.7495946083764</v>
      </c>
      <c r="Y30" s="1">
        <v>6929.6813022288434</v>
      </c>
      <c r="Z30" s="1">
        <v>2969.8634152409327</v>
      </c>
      <c r="AA30" s="1">
        <v>2469.1306301131012</v>
      </c>
      <c r="AB30" s="1">
        <v>0</v>
      </c>
      <c r="AC30" s="1">
        <v>0</v>
      </c>
      <c r="AD30" s="1">
        <v>0</v>
      </c>
      <c r="AE30" s="1">
        <v>0</v>
      </c>
      <c r="AF30" s="1">
        <v>0</v>
      </c>
      <c r="AG30" s="1">
        <v>0</v>
      </c>
      <c r="AH30" s="1">
        <v>2694.8760619778836</v>
      </c>
      <c r="AI30" s="1">
        <v>0</v>
      </c>
      <c r="AJ30" s="1">
        <v>0</v>
      </c>
      <c r="AK30" s="1">
        <v>0</v>
      </c>
      <c r="AL30" s="1">
        <v>0</v>
      </c>
      <c r="AM30" s="1">
        <v>1109.3195584566108</v>
      </c>
      <c r="AN30" s="1">
        <v>1023.9872847291792</v>
      </c>
      <c r="AO30" s="1">
        <v>0</v>
      </c>
      <c r="AP30" s="1">
        <v>0</v>
      </c>
      <c r="AQ30" s="1">
        <v>0</v>
      </c>
      <c r="AR30" s="1">
        <v>0</v>
      </c>
      <c r="AS30" s="1">
        <f>AN30/12*5</f>
        <v>426.66136863715798</v>
      </c>
      <c r="AT30" s="1">
        <v>0</v>
      </c>
      <c r="AU30" s="1">
        <v>0</v>
      </c>
      <c r="AV30" s="1">
        <v>0</v>
      </c>
      <c r="AW30" s="1">
        <v>0</v>
      </c>
      <c r="AX30" s="1">
        <v>0</v>
      </c>
      <c r="AY30" s="1">
        <v>0</v>
      </c>
      <c r="AZ30" s="1">
        <v>0</v>
      </c>
      <c r="BA30" s="1">
        <v>0</v>
      </c>
      <c r="BB30" s="1">
        <v>0</v>
      </c>
      <c r="BC30" s="1">
        <v>0</v>
      </c>
      <c r="BD30" s="1">
        <v>0</v>
      </c>
      <c r="BE30" s="1">
        <v>0</v>
      </c>
      <c r="BF30" s="1">
        <v>0</v>
      </c>
      <c r="BG30" s="1">
        <v>0</v>
      </c>
      <c r="BH30" s="1">
        <v>0</v>
      </c>
      <c r="BI30" s="1">
        <v>0</v>
      </c>
      <c r="BJ30" s="1">
        <v>0</v>
      </c>
      <c r="BK30" s="1">
        <v>0</v>
      </c>
      <c r="BL30" s="1">
        <v>0</v>
      </c>
      <c r="BM30" s="1">
        <v>0</v>
      </c>
      <c r="BN30" s="1">
        <v>0</v>
      </c>
      <c r="BO30" s="1">
        <v>0</v>
      </c>
      <c r="BP30" s="1">
        <v>0</v>
      </c>
    </row>
    <row r="31" spans="1:68" x14ac:dyDescent="0.2">
      <c r="A31" s="1" t="s">
        <v>95</v>
      </c>
      <c r="B31" s="1">
        <v>600000</v>
      </c>
      <c r="C31" s="1">
        <v>189473.68421052629</v>
      </c>
      <c r="D31" s="1">
        <v>384688.99521531095</v>
      </c>
      <c r="E31" s="1">
        <v>290203.97884663811</v>
      </c>
      <c r="F31" s="1">
        <v>237439.61905634025</v>
      </c>
      <c r="G31" s="1">
        <v>186559.70068712448</v>
      </c>
      <c r="H31" s="1">
        <v>179243.63399351176</v>
      </c>
      <c r="I31" s="1">
        <v>194180.60349297107</v>
      </c>
      <c r="J31" s="1">
        <v>58001.998445952398</v>
      </c>
      <c r="K31" s="1">
        <v>51435.734470938914</v>
      </c>
      <c r="L31" s="1">
        <v>12065.172283306658</v>
      </c>
      <c r="M31" s="1">
        <v>25638.491102026648</v>
      </c>
      <c r="N31" s="1">
        <v>27775.032027195539</v>
      </c>
      <c r="O31" s="1">
        <v>20112.954226589874</v>
      </c>
      <c r="P31" s="1">
        <v>31458.723277486726</v>
      </c>
      <c r="Q31" s="1">
        <v>8872.9732321116408</v>
      </c>
      <c r="R31" s="1">
        <v>12253.153511011313</v>
      </c>
      <c r="S31" s="1">
        <v>7196.2965064669606</v>
      </c>
      <c r="T31" s="1">
        <v>6130.1785055088922</v>
      </c>
      <c r="U31" s="1">
        <v>2153.8465019355567</v>
      </c>
      <c r="V31" s="1">
        <v>1264.9574693907239</v>
      </c>
      <c r="W31" s="1">
        <v>3420.0701950193638</v>
      </c>
      <c r="X31" s="1">
        <v>4352.8166118428271</v>
      </c>
      <c r="Y31" s="1">
        <v>1529.3679987555879</v>
      </c>
      <c r="Z31" s="1">
        <v>1869.2275540346075</v>
      </c>
      <c r="AA31" s="1">
        <v>1657.6168875401233</v>
      </c>
      <c r="AB31" s="1">
        <v>414.23846019627678</v>
      </c>
      <c r="AC31" s="1">
        <v>804.10995214571381</v>
      </c>
      <c r="AD31" s="1">
        <v>414.23846019627683</v>
      </c>
      <c r="AE31" s="1">
        <v>705.32494573960651</v>
      </c>
      <c r="AF31" s="1">
        <v>302.28211960268851</v>
      </c>
      <c r="AG31" s="1">
        <v>228.03738847220362</v>
      </c>
      <c r="AH31" s="1">
        <v>442.66081291663056</v>
      </c>
      <c r="AI31" s="1">
        <v>248.99670726560467</v>
      </c>
      <c r="AJ31" s="1">
        <v>195.64026999440364</v>
      </c>
      <c r="AK31" s="1">
        <v>180.59101845637258</v>
      </c>
      <c r="AL31" s="1">
        <v>73.762528665278936</v>
      </c>
      <c r="AM31" s="1">
        <v>387.25327549271441</v>
      </c>
      <c r="AN31" s="1">
        <v>199.49411161745894</v>
      </c>
      <c r="AO31" s="1">
        <v>234.18873972484309</v>
      </c>
      <c r="AP31" s="1">
        <v>115.34669270029586</v>
      </c>
      <c r="AQ31" s="1">
        <v>64.882514643916423</v>
      </c>
      <c r="AR31" s="1">
        <v>53.085693799567984</v>
      </c>
      <c r="AS31" s="1">
        <v>41.710187985374844</v>
      </c>
      <c r="AT31" s="1">
        <v>0</v>
      </c>
      <c r="AU31" s="1">
        <v>27.203742493289855</v>
      </c>
      <c r="AV31" s="1">
        <v>63.475399151009661</v>
      </c>
      <c r="AW31" s="1">
        <v>190.42619745302898</v>
      </c>
      <c r="AX31" s="1">
        <v>98.098344142469472</v>
      </c>
      <c r="AY31" s="1">
        <v>98.098344142469472</v>
      </c>
      <c r="AZ31" s="1">
        <v>0</v>
      </c>
      <c r="BA31" s="1">
        <v>0</v>
      </c>
      <c r="BB31" s="1">
        <v>0</v>
      </c>
      <c r="BC31" s="1">
        <v>0</v>
      </c>
      <c r="BD31" s="1">
        <v>0</v>
      </c>
      <c r="BE31" s="1">
        <v>0</v>
      </c>
      <c r="BF31" s="1">
        <v>0</v>
      </c>
      <c r="BG31" s="1">
        <v>0</v>
      </c>
      <c r="BH31" s="1">
        <v>0</v>
      </c>
      <c r="BI31" s="1">
        <v>0</v>
      </c>
      <c r="BJ31" s="1">
        <v>0</v>
      </c>
      <c r="BK31" s="1">
        <v>0</v>
      </c>
      <c r="BL31" s="1">
        <v>0</v>
      </c>
      <c r="BM31" s="1">
        <v>0</v>
      </c>
      <c r="BN31" s="1">
        <v>0</v>
      </c>
      <c r="BO31" s="1">
        <v>0</v>
      </c>
      <c r="BP31" s="1">
        <v>0</v>
      </c>
    </row>
    <row r="32" spans="1:68" x14ac:dyDescent="0.2">
      <c r="A32" s="1" t="s">
        <v>108</v>
      </c>
      <c r="B32" s="1">
        <v>500000</v>
      </c>
      <c r="C32" s="1">
        <v>851351.35135135148</v>
      </c>
      <c r="D32" s="1">
        <v>567567.56756756769</v>
      </c>
      <c r="E32" s="1">
        <v>428165.00711237564</v>
      </c>
      <c r="F32" s="1">
        <v>364733.15420683846</v>
      </c>
      <c r="G32" s="1">
        <v>395127.583724075</v>
      </c>
      <c r="H32" s="1">
        <v>298078.70351114433</v>
      </c>
      <c r="I32" s="1">
        <v>133919.41751949964</v>
      </c>
      <c r="J32" s="1">
        <v>101026.92900593833</v>
      </c>
      <c r="K32" s="1">
        <v>118596.82970262328</v>
      </c>
      <c r="L32" s="1">
        <v>75824.202596759147</v>
      </c>
      <c r="M32" s="1">
        <v>215807.34585231449</v>
      </c>
      <c r="N32" s="1">
        <v>53951.836463078624</v>
      </c>
      <c r="O32" s="1">
        <v>45958.971801881788</v>
      </c>
      <c r="P32" s="1">
        <v>14513.359516383722</v>
      </c>
      <c r="Q32" s="1">
        <v>48588.203598328109</v>
      </c>
      <c r="R32" s="1">
        <v>52637.220564855452</v>
      </c>
      <c r="S32" s="1">
        <v>52637.220564855452</v>
      </c>
      <c r="T32" s="1">
        <v>8568.8498593950735</v>
      </c>
      <c r="U32" s="1">
        <v>9282.9206810113301</v>
      </c>
      <c r="V32" s="1">
        <v>7907.6731727133547</v>
      </c>
      <c r="W32" s="1">
        <v>5965.437656608321</v>
      </c>
      <c r="X32" s="1">
        <v>1883.8224178763119</v>
      </c>
      <c r="Y32" s="1">
        <v>4844.1147888248015</v>
      </c>
      <c r="Z32" s="1">
        <v>5920.5847418969797</v>
      </c>
      <c r="AA32" s="1">
        <v>4466.4060333608795</v>
      </c>
      <c r="AB32" s="1">
        <v>1116.1548677368837</v>
      </c>
      <c r="AC32" s="1">
        <v>1258.6427231926564</v>
      </c>
      <c r="AD32" s="1">
        <v>874.65002798133753</v>
      </c>
      <c r="AE32" s="1">
        <v>536.075823601465</v>
      </c>
      <c r="AF32" s="1">
        <v>515.05324228376037</v>
      </c>
      <c r="AG32" s="1">
        <v>329.2963352306009</v>
      </c>
      <c r="AH32" s="1">
        <v>402.47329861517892</v>
      </c>
      <c r="AI32" s="1">
        <v>855.25575955725526</v>
      </c>
      <c r="AJ32" s="1">
        <v>332.59946205004377</v>
      </c>
      <c r="AK32" s="1">
        <v>899.2503973945627</v>
      </c>
      <c r="AL32" s="1">
        <v>146.38959957585908</v>
      </c>
      <c r="AM32" s="1">
        <v>284.16804623549115</v>
      </c>
      <c r="AN32" s="1">
        <v>632.50307065318998</v>
      </c>
      <c r="AO32" s="1">
        <v>297.64850383679527</v>
      </c>
      <c r="AP32" s="1">
        <v>604.31665930500856</v>
      </c>
      <c r="AQ32" s="1">
        <v>535.90345259123399</v>
      </c>
      <c r="AR32" s="1">
        <v>125.70574813868451</v>
      </c>
      <c r="AS32" s="1">
        <v>64.757506616898084</v>
      </c>
      <c r="AT32" s="1">
        <v>0</v>
      </c>
      <c r="AU32" s="1">
        <v>40.372536424671701</v>
      </c>
      <c r="AV32" s="1">
        <v>53.517083167588069</v>
      </c>
      <c r="AW32" s="1">
        <v>5.9463425741764517</v>
      </c>
      <c r="AX32" s="1">
        <v>21.082487308443785</v>
      </c>
      <c r="AY32" s="1">
        <v>51.615744789638228</v>
      </c>
      <c r="AZ32" s="1">
        <v>0</v>
      </c>
      <c r="BA32" s="1">
        <v>47.607758006154086</v>
      </c>
      <c r="BB32" s="1">
        <v>47.607758006154086</v>
      </c>
      <c r="BC32" s="1">
        <v>15.869252668718028</v>
      </c>
      <c r="BD32" s="1">
        <v>0</v>
      </c>
      <c r="BE32" s="1">
        <v>6.3889199055877768</v>
      </c>
      <c r="BF32" s="1">
        <v>0</v>
      </c>
      <c r="BG32" s="1">
        <v>0</v>
      </c>
      <c r="BH32" s="1">
        <v>0</v>
      </c>
      <c r="BI32" s="1">
        <v>0</v>
      </c>
      <c r="BJ32" s="1">
        <v>0</v>
      </c>
      <c r="BK32" s="1">
        <v>0</v>
      </c>
      <c r="BL32" s="1">
        <v>0</v>
      </c>
      <c r="BM32" s="1">
        <v>0</v>
      </c>
      <c r="BN32" s="1">
        <v>0</v>
      </c>
      <c r="BO32" s="1">
        <v>0</v>
      </c>
      <c r="BP32" s="1">
        <v>0</v>
      </c>
    </row>
    <row r="33" spans="1:68" x14ac:dyDescent="0.2">
      <c r="A33" s="1" t="s">
        <v>112</v>
      </c>
      <c r="B33" s="1">
        <v>500000</v>
      </c>
      <c r="C33" s="1">
        <v>690476.19047619042</v>
      </c>
      <c r="D33" s="1">
        <v>663398.69281045743</v>
      </c>
      <c r="E33" s="1">
        <v>326748.60989171785</v>
      </c>
      <c r="F33" s="1">
        <v>278341.40842627815</v>
      </c>
      <c r="G33" s="1">
        <v>368964.19256506633</v>
      </c>
      <c r="H33" s="1">
        <v>181728.63215891327</v>
      </c>
      <c r="I33" s="1">
        <v>272592.94823836989</v>
      </c>
      <c r="J33" s="1">
        <v>122469.2955853546</v>
      </c>
      <c r="K33" s="1">
        <v>104325.69623937615</v>
      </c>
      <c r="L33" s="1">
        <v>56175.374898125614</v>
      </c>
      <c r="M33" s="1">
        <v>58468.247342947063</v>
      </c>
      <c r="N33" s="1">
        <v>60854.706418169393</v>
      </c>
      <c r="O33" s="1">
        <v>32767.918840552746</v>
      </c>
      <c r="P33" s="1">
        <v>20949.980898058311</v>
      </c>
      <c r="Q33" s="1">
        <v>21805.08215920355</v>
      </c>
      <c r="R33" s="1">
        <v>10739.816585876375</v>
      </c>
      <c r="S33" s="1">
        <v>13126.442493848905</v>
      </c>
      <c r="T33" s="1">
        <v>9121.7651228441537</v>
      </c>
      <c r="U33" s="1">
        <v>7770.3925120524264</v>
      </c>
      <c r="V33" s="1">
        <v>6357.5938734974388</v>
      </c>
      <c r="W33" s="1">
        <v>2856.3102909916029</v>
      </c>
      <c r="X33" s="1">
        <v>5544.6023295719342</v>
      </c>
      <c r="Y33" s="1">
        <v>4015.056859345194</v>
      </c>
      <c r="Z33" s="1">
        <v>4015.056859345194</v>
      </c>
      <c r="AA33" s="1">
        <v>2676.7045728967964</v>
      </c>
      <c r="AB33" s="1">
        <v>551.1334715594503</v>
      </c>
      <c r="AC33" s="1">
        <v>259.35692779268248</v>
      </c>
      <c r="AD33" s="1">
        <v>551.1334715594503</v>
      </c>
      <c r="AE33" s="1">
        <v>337.79148256869536</v>
      </c>
      <c r="AF33" s="1">
        <v>225.19432171246359</v>
      </c>
      <c r="AG33" s="1">
        <v>199.70062491482616</v>
      </c>
      <c r="AH33" s="1">
        <v>199.70062491482616</v>
      </c>
      <c r="AI33" s="1">
        <v>225.19432171246359</v>
      </c>
      <c r="AJ33" s="1">
        <v>138.02232621086478</v>
      </c>
      <c r="AK33" s="1">
        <v>225.19432171246359</v>
      </c>
      <c r="AL33" s="1">
        <v>0</v>
      </c>
      <c r="AM33" s="1">
        <v>509.84849007558029</v>
      </c>
      <c r="AN33" s="1">
        <v>1918.0014626652783</v>
      </c>
      <c r="AO33" s="1">
        <v>745.88945770316388</v>
      </c>
      <c r="AP33" s="1">
        <v>911.6426705260892</v>
      </c>
      <c r="AQ33" s="1">
        <v>0</v>
      </c>
      <c r="AR33" s="1">
        <v>1259.6256813631983</v>
      </c>
      <c r="AS33" s="1">
        <v>239.92870121203779</v>
      </c>
      <c r="AT33" s="1">
        <v>0</v>
      </c>
      <c r="AU33" s="1">
        <v>540.97477152097599</v>
      </c>
      <c r="AV33" s="1">
        <v>95.466136150760462</v>
      </c>
      <c r="AW33" s="1">
        <v>0</v>
      </c>
      <c r="AX33" s="1">
        <v>0</v>
      </c>
      <c r="AY33" s="1">
        <v>338.47084635269619</v>
      </c>
      <c r="AZ33" s="1">
        <v>0</v>
      </c>
      <c r="BA33" s="1">
        <v>0</v>
      </c>
      <c r="BB33" s="1">
        <v>0</v>
      </c>
      <c r="BC33" s="1">
        <v>0</v>
      </c>
      <c r="BD33" s="1">
        <v>0</v>
      </c>
      <c r="BE33" s="1">
        <v>0</v>
      </c>
      <c r="BF33" s="1">
        <v>0</v>
      </c>
      <c r="BG33" s="1">
        <v>0</v>
      </c>
      <c r="BH33" s="1">
        <v>0</v>
      </c>
      <c r="BI33" s="1">
        <v>0</v>
      </c>
      <c r="BJ33" s="1">
        <v>0</v>
      </c>
      <c r="BK33" s="1">
        <v>0</v>
      </c>
      <c r="BL33" s="1">
        <v>0</v>
      </c>
      <c r="BM33" s="1">
        <v>0</v>
      </c>
      <c r="BN33" s="1">
        <v>0</v>
      </c>
      <c r="BO33" s="1">
        <v>0</v>
      </c>
      <c r="BP33" s="1">
        <v>0</v>
      </c>
    </row>
    <row r="34" spans="1:68" x14ac:dyDescent="0.2">
      <c r="A34" s="1" t="s">
        <v>117</v>
      </c>
      <c r="B34" s="1">
        <v>500000</v>
      </c>
      <c r="C34" s="1">
        <v>690476.19047619042</v>
      </c>
      <c r="D34" s="1">
        <v>564935.06493506487</v>
      </c>
      <c r="E34" s="1">
        <v>376623.37662337662</v>
      </c>
      <c r="F34" s="1">
        <v>272727.27272727276</v>
      </c>
      <c r="G34" s="1">
        <v>376623.37662337668</v>
      </c>
      <c r="H34" s="1">
        <v>169207.60399021272</v>
      </c>
      <c r="I34" s="1">
        <v>264658.04726674297</v>
      </c>
      <c r="J34" s="1">
        <v>113424.8774000327</v>
      </c>
      <c r="K34" s="1">
        <v>100584.32524153842</v>
      </c>
      <c r="L34" s="1">
        <v>49541.533327921905</v>
      </c>
      <c r="M34" s="1">
        <v>63052.860599173342</v>
      </c>
      <c r="N34" s="1">
        <v>63052.860599173342</v>
      </c>
      <c r="O34" s="1">
        <v>35467.234087035002</v>
      </c>
      <c r="P34" s="1">
        <v>11822.411362345001</v>
      </c>
      <c r="Q34" s="1">
        <v>22949.386762199119</v>
      </c>
      <c r="R34" s="1">
        <v>14672.558749602716</v>
      </c>
      <c r="S34" s="1">
        <v>11068.772390051174</v>
      </c>
      <c r="T34" s="1">
        <v>8350.1265398631676</v>
      </c>
      <c r="U34" s="1">
        <v>8022.6705971234351</v>
      </c>
      <c r="V34" s="1">
        <v>9805.4862853730883</v>
      </c>
      <c r="W34" s="1">
        <v>5051.3111167073484</v>
      </c>
      <c r="X34" s="1">
        <v>3367.5407444715661</v>
      </c>
      <c r="Y34" s="1">
        <v>4845.973266434693</v>
      </c>
      <c r="Z34" s="1">
        <v>2609.3702203879111</v>
      </c>
      <c r="AA34" s="1">
        <v>2313.969818079845</v>
      </c>
      <c r="AB34" s="1">
        <v>539.38636459441193</v>
      </c>
      <c r="AC34" s="1">
        <v>303.40483008435672</v>
      </c>
      <c r="AD34" s="1">
        <v>495.02893329552933</v>
      </c>
      <c r="AE34" s="1">
        <v>388.95130473220155</v>
      </c>
      <c r="AF34" s="1">
        <v>166.69341631380067</v>
      </c>
      <c r="AG34" s="1">
        <v>212.15525712665541</v>
      </c>
      <c r="AH34" s="1">
        <v>166.69341631380067</v>
      </c>
      <c r="AI34" s="1">
        <v>220.9656913927125</v>
      </c>
      <c r="AJ34" s="1">
        <v>129.77350129413273</v>
      </c>
      <c r="AK34" s="1">
        <v>1492.3952648825264</v>
      </c>
      <c r="AL34" s="1">
        <v>0</v>
      </c>
      <c r="AM34" s="1">
        <v>652.65815381739219</v>
      </c>
      <c r="AN34" s="1">
        <v>1111.2828024458299</v>
      </c>
      <c r="AO34" s="1">
        <v>432.16553428448947</v>
      </c>
      <c r="AP34" s="1">
        <v>550.02886181662302</v>
      </c>
      <c r="AQ34" s="1">
        <v>0</v>
      </c>
      <c r="AR34" s="1">
        <v>991.70135060564792</v>
      </c>
      <c r="AS34" s="1">
        <v>1164.1711507109781</v>
      </c>
      <c r="AT34" s="1">
        <v>0</v>
      </c>
      <c r="AU34" s="1">
        <v>313.43873915138789</v>
      </c>
      <c r="AV34" s="1">
        <v>121.89284300331752</v>
      </c>
      <c r="AW34" s="1">
        <v>893.88084869099521</v>
      </c>
      <c r="AX34" s="1">
        <v>0</v>
      </c>
      <c r="AY34" s="1">
        <v>96.633287169202603</v>
      </c>
      <c r="AZ34" s="1">
        <v>0</v>
      </c>
      <c r="BA34" s="1">
        <v>0</v>
      </c>
      <c r="BB34" s="1">
        <v>0</v>
      </c>
      <c r="BC34" s="1">
        <v>0</v>
      </c>
      <c r="BD34" s="1">
        <v>0</v>
      </c>
      <c r="BE34" s="1">
        <v>0</v>
      </c>
      <c r="BF34" s="1">
        <v>0</v>
      </c>
      <c r="BG34" s="1">
        <v>0</v>
      </c>
      <c r="BH34" s="1">
        <v>0</v>
      </c>
      <c r="BI34" s="1">
        <v>70.932944836967863</v>
      </c>
      <c r="BJ34" s="1">
        <v>0</v>
      </c>
      <c r="BK34" s="1">
        <v>0</v>
      </c>
      <c r="BL34" s="1">
        <v>0</v>
      </c>
      <c r="BM34" s="1">
        <v>0</v>
      </c>
      <c r="BN34" s="1">
        <v>0</v>
      </c>
      <c r="BO34" s="1">
        <v>0</v>
      </c>
      <c r="BP34" s="1">
        <v>0</v>
      </c>
    </row>
    <row r="35" spans="1:68" x14ac:dyDescent="0.2">
      <c r="A35" s="1" t="s">
        <v>99</v>
      </c>
      <c r="B35" s="1">
        <v>500000</v>
      </c>
      <c r="C35" s="1">
        <v>636363.63636363647</v>
      </c>
      <c r="D35" s="1">
        <v>424242.42424242431</v>
      </c>
      <c r="E35" s="1">
        <v>407605.46642899595</v>
      </c>
      <c r="F35" s="1">
        <v>320261.43790849677</v>
      </c>
      <c r="G35" s="1">
        <v>346949.89106753824</v>
      </c>
      <c r="H35" s="1">
        <v>155876.03801585053</v>
      </c>
      <c r="I35" s="1">
        <v>132783.29164313193</v>
      </c>
      <c r="J35" s="1">
        <v>127576.10373555814</v>
      </c>
      <c r="K35" s="1">
        <v>74925.648225645244</v>
      </c>
      <c r="L35" s="1">
        <v>66443.49936991182</v>
      </c>
      <c r="M35" s="1">
        <v>69155.478936030675</v>
      </c>
      <c r="N35" s="1">
        <v>52169.922706128411</v>
      </c>
      <c r="O35" s="1">
        <v>30639.478414710338</v>
      </c>
      <c r="P35" s="1">
        <v>17234.706608274562</v>
      </c>
      <c r="Q35" s="1">
        <v>26956.848797557646</v>
      </c>
      <c r="R35" s="1">
        <v>17971.232531705096</v>
      </c>
      <c r="S35" s="1">
        <v>22872.47776762467</v>
      </c>
      <c r="T35" s="1">
        <v>14018.615405963506</v>
      </c>
      <c r="U35" s="1">
        <v>11941.783493968913</v>
      </c>
      <c r="V35" s="1">
        <v>5365.1491059860336</v>
      </c>
      <c r="W35" s="1">
        <v>6828.3715894367706</v>
      </c>
      <c r="X35" s="1">
        <v>9826.1932628480354</v>
      </c>
      <c r="Y35" s="1">
        <v>6022.5055481971831</v>
      </c>
      <c r="Z35" s="1">
        <v>5786.3288600325868</v>
      </c>
      <c r="AA35" s="1">
        <v>3699.4561564142768</v>
      </c>
      <c r="AB35" s="1">
        <v>918.94490925330638</v>
      </c>
      <c r="AC35" s="1">
        <v>882.90785398847083</v>
      </c>
      <c r="AD35" s="1">
        <v>848.28401657715813</v>
      </c>
      <c r="AE35" s="1">
        <v>694.0505590176748</v>
      </c>
      <c r="AF35" s="1">
        <v>782.6527580412079</v>
      </c>
      <c r="AG35" s="1">
        <v>782.6527580412079</v>
      </c>
      <c r="AH35" s="1">
        <v>304.36496146046977</v>
      </c>
      <c r="AI35" s="1">
        <v>541.09326481861297</v>
      </c>
      <c r="AJ35" s="1">
        <v>360.72884321240872</v>
      </c>
      <c r="AK35" s="1">
        <v>375.45246946597649</v>
      </c>
      <c r="AL35" s="1">
        <v>99.803820997284873</v>
      </c>
      <c r="AM35" s="1">
        <v>256.63839685016109</v>
      </c>
      <c r="AN35" s="1">
        <v>76.658222435762411</v>
      </c>
      <c r="AO35" s="1">
        <v>155.63942130897217</v>
      </c>
      <c r="AP35" s="1">
        <v>223.96892334705751</v>
      </c>
      <c r="AQ35" s="1">
        <v>149.31261556470503</v>
      </c>
      <c r="AR35" s="1">
        <v>161.75533352843047</v>
      </c>
      <c r="AS35" s="1">
        <v>149.31261556470503</v>
      </c>
      <c r="AT35" s="1">
        <v>70.264760265743533</v>
      </c>
      <c r="AU35" s="1">
        <v>93.141658956915848</v>
      </c>
      <c r="AV35" s="1">
        <v>45.875742471316762</v>
      </c>
      <c r="AW35" s="1">
        <v>29.330392727563176</v>
      </c>
      <c r="AX35" s="1">
        <v>30.527551614402487</v>
      </c>
      <c r="AY35" s="1">
        <v>49.808110528761951</v>
      </c>
      <c r="AZ35" s="1">
        <v>47.854851292339909</v>
      </c>
      <c r="BA35" s="1">
        <v>40.765243693474737</v>
      </c>
      <c r="BB35" s="1">
        <v>29.51965922630929</v>
      </c>
      <c r="BC35" s="1">
        <v>33.288126361582819</v>
      </c>
      <c r="BD35" s="1">
        <v>17.148428731724483</v>
      </c>
      <c r="BE35" s="1">
        <v>17.848364598325485</v>
      </c>
      <c r="BF35" s="1">
        <v>17.148428731724483</v>
      </c>
      <c r="BG35" s="1">
        <v>15.829318829284137</v>
      </c>
      <c r="BH35" s="1">
        <v>6.1558462113882761</v>
      </c>
      <c r="BI35" s="1">
        <v>2.8968688053591887</v>
      </c>
      <c r="BJ35" s="1">
        <v>3.5406174287723418</v>
      </c>
      <c r="BK35" s="1">
        <v>6.5754323677200643</v>
      </c>
      <c r="BL35" s="1">
        <v>3.5406174287723422</v>
      </c>
      <c r="BM35" s="1">
        <v>11.853371391976973</v>
      </c>
      <c r="BN35" s="1">
        <v>1.7711934263873637</v>
      </c>
      <c r="BO35" s="1">
        <v>1.7711934263873637</v>
      </c>
      <c r="BP35" s="1">
        <v>0</v>
      </c>
    </row>
    <row r="36" spans="1:68" x14ac:dyDescent="0.2">
      <c r="A36" s="1" t="s">
        <v>97</v>
      </c>
      <c r="B36" s="1">
        <v>500000</v>
      </c>
      <c r="C36" s="1">
        <v>611111.11111111112</v>
      </c>
      <c r="D36" s="1">
        <v>520576.13168724277</v>
      </c>
      <c r="E36" s="1">
        <v>409024.10346854787</v>
      </c>
      <c r="F36" s="1">
        <v>362719.48798154242</v>
      </c>
      <c r="G36" s="1">
        <v>334817.9889060391</v>
      </c>
      <c r="H36" s="1">
        <v>172481.99428492924</v>
      </c>
      <c r="I36" s="1">
        <v>165717.99450904963</v>
      </c>
      <c r="J36" s="1">
        <v>141167.18050770895</v>
      </c>
      <c r="K36" s="1">
        <v>82907.709187067172</v>
      </c>
      <c r="L36" s="1">
        <v>73521.930788531259</v>
      </c>
      <c r="M36" s="1">
        <v>76522.825922757038</v>
      </c>
      <c r="N36" s="1">
        <v>60125.077510737668</v>
      </c>
      <c r="O36" s="1">
        <v>32375.041736551051</v>
      </c>
      <c r="P36" s="1">
        <v>19013.913400831567</v>
      </c>
      <c r="Q36" s="1">
        <v>29739.710703864759</v>
      </c>
      <c r="R36" s="1">
        <v>19826.473802576511</v>
      </c>
      <c r="S36" s="1">
        <v>15577.9437020244</v>
      </c>
      <c r="T36" s="1">
        <v>11751.782091000865</v>
      </c>
      <c r="U36" s="1">
        <v>10421.391665604539</v>
      </c>
      <c r="V36" s="1">
        <v>7546.5249992308727</v>
      </c>
      <c r="W36" s="1">
        <v>16036.365623365606</v>
      </c>
      <c r="X36" s="1">
        <v>7898.5084413591785</v>
      </c>
      <c r="Y36" s="1">
        <v>4841.0213027685286</v>
      </c>
      <c r="Z36" s="1">
        <v>4292.981155285298</v>
      </c>
      <c r="AA36" s="1">
        <v>3512.4391270516076</v>
      </c>
      <c r="AB36" s="1">
        <v>869.32868394527293</v>
      </c>
      <c r="AC36" s="1">
        <v>683.04396595700007</v>
      </c>
      <c r="AD36" s="1">
        <v>770.24106799406388</v>
      </c>
      <c r="AE36" s="1">
        <v>656.13128014309143</v>
      </c>
      <c r="AF36" s="1">
        <v>494.97622887987609</v>
      </c>
      <c r="AG36" s="1">
        <v>604.97094640873752</v>
      </c>
      <c r="AH36" s="1">
        <v>311.65169966510717</v>
      </c>
      <c r="AI36" s="1">
        <v>448.47439707905664</v>
      </c>
      <c r="AJ36" s="1">
        <v>338.32279077893753</v>
      </c>
      <c r="AK36" s="1">
        <v>381.51293428263176</v>
      </c>
      <c r="AL36" s="1">
        <v>67.325811932229129</v>
      </c>
      <c r="AM36" s="1">
        <v>201.97743579668739</v>
      </c>
      <c r="AN36" s="1">
        <v>86.561758198580321</v>
      </c>
      <c r="AO36" s="1">
        <v>201.97743579668742</v>
      </c>
      <c r="AP36" s="1">
        <v>201.97743579668742</v>
      </c>
      <c r="AQ36" s="1">
        <v>152.36894279399226</v>
      </c>
      <c r="AR36" s="1">
        <v>146.39369013540434</v>
      </c>
      <c r="AS36" s="1">
        <v>140.65276111048652</v>
      </c>
      <c r="AT36" s="1">
        <v>66.189534640228956</v>
      </c>
      <c r="AU36" s="1">
        <v>128.48556724279737</v>
      </c>
      <c r="AV36" s="1">
        <v>60.463796349551707</v>
      </c>
      <c r="AW36" s="1">
        <v>37.058455827144591</v>
      </c>
      <c r="AX36" s="1">
        <v>22.713247119862814</v>
      </c>
      <c r="AY36" s="1">
        <v>76.040001227366801</v>
      </c>
      <c r="AZ36" s="1">
        <v>55.063449164644922</v>
      </c>
      <c r="BA36" s="1">
        <v>19.346617274064432</v>
      </c>
      <c r="BB36" s="1">
        <v>34.393986265003434</v>
      </c>
      <c r="BC36" s="1">
        <v>27.023846351074123</v>
      </c>
      <c r="BD36" s="1">
        <v>42.268067369628753</v>
      </c>
      <c r="BE36" s="1">
        <v>27.023846351074123</v>
      </c>
      <c r="BF36" s="1">
        <v>0</v>
      </c>
      <c r="BG36" s="1">
        <v>16.487953942586728</v>
      </c>
      <c r="BH36" s="1">
        <v>5.7930648987466888</v>
      </c>
      <c r="BI36" s="1">
        <v>7.0804126540237311</v>
      </c>
      <c r="BJ36" s="1">
        <v>7.0804126540237311</v>
      </c>
      <c r="BK36" s="1">
        <v>18.206775396061019</v>
      </c>
      <c r="BL36" s="1">
        <v>8.9675162398509496</v>
      </c>
      <c r="BM36" s="1">
        <v>0</v>
      </c>
      <c r="BN36" s="1">
        <v>0</v>
      </c>
      <c r="BO36" s="1">
        <v>0</v>
      </c>
      <c r="BP36" s="1">
        <v>0</v>
      </c>
    </row>
    <row r="37" spans="1:68" x14ac:dyDescent="0.2">
      <c r="A37" s="1" t="s">
        <v>125</v>
      </c>
      <c r="B37" s="1">
        <v>500000</v>
      </c>
      <c r="C37" s="1">
        <v>586956.52173913049</v>
      </c>
      <c r="D37" s="1">
        <v>563938.61892583116</v>
      </c>
      <c r="E37" s="1">
        <v>500096.51112290687</v>
      </c>
      <c r="F37" s="1">
        <v>347524.69417015562</v>
      </c>
      <c r="G37" s="1">
        <v>391889.54874506913</v>
      </c>
      <c r="H37" s="1">
        <v>117057.91715761805</v>
      </c>
      <c r="I37" s="1">
        <v>175586.87573642706</v>
      </c>
      <c r="J37" s="1">
        <v>117057.91715761805</v>
      </c>
      <c r="K37" s="1">
        <v>95774.659492596576</v>
      </c>
      <c r="L37" s="1">
        <v>47172.593481428165</v>
      </c>
      <c r="M37" s="1">
        <v>55376.522782546112</v>
      </c>
      <c r="N37" s="1">
        <v>59991.233014424964</v>
      </c>
      <c r="O37" s="1">
        <v>32302.971623151901</v>
      </c>
      <c r="P37" s="1">
        <v>37920.879731526147</v>
      </c>
      <c r="Q37" s="1">
        <v>24244.496877533114</v>
      </c>
      <c r="R37" s="1">
        <v>14859.530344294491</v>
      </c>
      <c r="S37" s="1">
        <v>22289.295516441736</v>
      </c>
      <c r="T37" s="1">
        <v>10014.031318981071</v>
      </c>
      <c r="U37" s="1">
        <v>13828.900392878622</v>
      </c>
      <c r="V37" s="1">
        <v>13828.900392878622</v>
      </c>
      <c r="W37" s="1">
        <v>3457.2250982196551</v>
      </c>
      <c r="X37" s="1">
        <v>3898.5729830987607</v>
      </c>
      <c r="Y37" s="1">
        <v>3745.68776807528</v>
      </c>
      <c r="Z37" s="1">
        <v>4057.8284154148873</v>
      </c>
      <c r="AA37" s="1">
        <v>2705.2189436099252</v>
      </c>
      <c r="AB37" s="1">
        <v>671.97638559270547</v>
      </c>
      <c r="AC37" s="1">
        <v>572.42432846786016</v>
      </c>
      <c r="AD37" s="1">
        <v>671.97638559270547</v>
      </c>
      <c r="AE37" s="1">
        <v>671.97638559270547</v>
      </c>
      <c r="AF37" s="1">
        <v>274.46922791814728</v>
      </c>
      <c r="AG37" s="1">
        <v>285.67205354745937</v>
      </c>
      <c r="AH37" s="1">
        <v>507.8614285288167</v>
      </c>
      <c r="AI37" s="1">
        <v>487.94529407670626</v>
      </c>
      <c r="AJ37" s="1">
        <v>229.62131485962647</v>
      </c>
      <c r="AK37" s="1">
        <v>1410.5309341377053</v>
      </c>
      <c r="AL37" s="1">
        <v>0</v>
      </c>
      <c r="AM37" s="1">
        <v>808.05241172763999</v>
      </c>
      <c r="AN37" s="1">
        <v>43.085702142742164</v>
      </c>
      <c r="AO37" s="1">
        <v>948.58326594114271</v>
      </c>
      <c r="AP37" s="1">
        <v>533.57808709189283</v>
      </c>
      <c r="AQ37" s="1">
        <v>679.09938357150008</v>
      </c>
      <c r="AR37" s="1">
        <v>937.80391064635717</v>
      </c>
      <c r="AS37" s="1">
        <v>312.60130354878572</v>
      </c>
      <c r="AT37" s="1">
        <v>0</v>
      </c>
      <c r="AU37" s="1">
        <v>136.4380567853502</v>
      </c>
      <c r="AV37" s="1">
        <v>58.473452908007225</v>
      </c>
      <c r="AW37" s="1">
        <v>136.4380567853502</v>
      </c>
      <c r="AX37" s="1">
        <v>0</v>
      </c>
      <c r="AY37" s="1">
        <v>35.251938116789042</v>
      </c>
      <c r="AZ37" s="1">
        <v>0</v>
      </c>
      <c r="BA37" s="1">
        <v>0</v>
      </c>
      <c r="BB37" s="1">
        <v>0</v>
      </c>
      <c r="BC37" s="1">
        <v>0</v>
      </c>
      <c r="BD37" s="1">
        <v>0</v>
      </c>
      <c r="BE37" s="1">
        <v>0</v>
      </c>
      <c r="BF37" s="1">
        <v>0</v>
      </c>
      <c r="BG37" s="1">
        <v>0</v>
      </c>
      <c r="BH37" s="1">
        <v>0</v>
      </c>
      <c r="BI37" s="1">
        <v>0</v>
      </c>
      <c r="BJ37" s="1">
        <v>0</v>
      </c>
      <c r="BK37" s="1">
        <v>0</v>
      </c>
      <c r="BL37" s="1">
        <v>0</v>
      </c>
      <c r="BM37" s="1">
        <v>0</v>
      </c>
      <c r="BN37" s="1">
        <v>0</v>
      </c>
      <c r="BO37" s="1">
        <v>0</v>
      </c>
      <c r="BP37" s="1">
        <v>0</v>
      </c>
    </row>
    <row r="38" spans="1:68" x14ac:dyDescent="0.2">
      <c r="A38" s="1" t="s">
        <v>120</v>
      </c>
      <c r="B38" s="1">
        <v>500000</v>
      </c>
      <c r="C38" s="1">
        <v>480392.15686274506</v>
      </c>
      <c r="D38" s="1">
        <v>461553.24875048053</v>
      </c>
      <c r="E38" s="1">
        <v>362648.98116109183</v>
      </c>
      <c r="F38" s="1">
        <v>308923.20617426338</v>
      </c>
      <c r="G38" s="1">
        <v>308923.20617426338</v>
      </c>
      <c r="H38" s="1">
        <v>102974.4020580878</v>
      </c>
      <c r="I38" s="1">
        <v>120882.99372036394</v>
      </c>
      <c r="J38" s="1">
        <v>120882.99372036394</v>
      </c>
      <c r="K38" s="1">
        <v>80588.662480242638</v>
      </c>
      <c r="L38" s="1">
        <v>43393.895181669111</v>
      </c>
      <c r="M38" s="1">
        <v>40055.903244617642</v>
      </c>
      <c r="N38" s="1">
        <v>55315.294956852937</v>
      </c>
      <c r="O38" s="1">
        <v>33902.922715490509</v>
      </c>
      <c r="P38" s="1">
        <v>48787.132688144884</v>
      </c>
      <c r="Q38" s="1">
        <v>15406.462954151015</v>
      </c>
      <c r="R38" s="1">
        <v>12605.287871578103</v>
      </c>
      <c r="S38" s="1">
        <v>8059.1184752712461</v>
      </c>
      <c r="T38" s="1">
        <v>6865.1749974532831</v>
      </c>
      <c r="U38" s="1">
        <v>8390.7694413317913</v>
      </c>
      <c r="V38" s="1">
        <v>5364.5902985563916</v>
      </c>
      <c r="W38" s="1">
        <v>2763.5768204684441</v>
      </c>
      <c r="X38" s="1">
        <v>3116.3738613793098</v>
      </c>
      <c r="Y38" s="1">
        <v>2350.9487024440409</v>
      </c>
      <c r="Z38" s="1">
        <v>2002.6600057856645</v>
      </c>
      <c r="AA38" s="1">
        <v>4457.533561264866</v>
      </c>
      <c r="AB38" s="1">
        <v>1078.277368469971</v>
      </c>
      <c r="AC38" s="1">
        <v>749.31139164862395</v>
      </c>
      <c r="AD38" s="1">
        <v>811.75400761934259</v>
      </c>
      <c r="AE38" s="1">
        <v>719.85732751149237</v>
      </c>
      <c r="AF38" s="1">
        <v>422.77335107817805</v>
      </c>
      <c r="AG38" s="1">
        <v>516.72298465110657</v>
      </c>
      <c r="AH38" s="1">
        <v>458.22604299249065</v>
      </c>
      <c r="AI38" s="1">
        <v>458.22604299249065</v>
      </c>
      <c r="AJ38" s="1">
        <v>814.62407643109464</v>
      </c>
      <c r="AK38" s="1">
        <v>166.8507144497423</v>
      </c>
      <c r="AL38" s="1">
        <v>106.67504694327786</v>
      </c>
      <c r="AM38" s="1">
        <v>274.30726356842877</v>
      </c>
      <c r="AN38" s="1">
        <v>182.87150904561918</v>
      </c>
      <c r="AO38" s="1">
        <v>354.98587050031955</v>
      </c>
      <c r="AP38" s="1">
        <v>226.9581795002043</v>
      </c>
      <c r="AQ38" s="1">
        <v>0</v>
      </c>
      <c r="AR38" s="1">
        <v>550.93111431363502</v>
      </c>
      <c r="AS38" s="1">
        <v>382.85043537049211</v>
      </c>
      <c r="AT38" s="1">
        <v>0</v>
      </c>
      <c r="AU38" s="1">
        <v>149.6221437645975</v>
      </c>
      <c r="AV38" s="1">
        <v>58.186389241787928</v>
      </c>
      <c r="AW38" s="1">
        <v>0</v>
      </c>
      <c r="AX38" s="1">
        <v>0</v>
      </c>
      <c r="AY38" s="1">
        <v>86.057180727350186</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row>
    <row r="39" spans="1:68" x14ac:dyDescent="0.2">
      <c r="A39" s="1" t="s">
        <v>123</v>
      </c>
      <c r="B39" s="1">
        <v>500000</v>
      </c>
      <c r="C39" s="1">
        <v>409090.90909090906</v>
      </c>
      <c r="D39" s="1">
        <v>393048.12834224594</v>
      </c>
      <c r="E39" s="1">
        <v>308823.52941176464</v>
      </c>
      <c r="F39" s="1">
        <v>242647.05882352934</v>
      </c>
      <c r="G39" s="1">
        <v>262867.6470588235</v>
      </c>
      <c r="H39" s="1">
        <v>175245.09803921566</v>
      </c>
      <c r="I39" s="1">
        <v>155406.03033666295</v>
      </c>
      <c r="J39" s="1">
        <v>91270.208292960771</v>
      </c>
      <c r="K39" s="1">
        <v>74675.624966967895</v>
      </c>
      <c r="L39" s="1">
        <v>33549.918463420363</v>
      </c>
      <c r="M39" s="1">
        <v>52475.513494067745</v>
      </c>
      <c r="N39" s="1">
        <v>50417.650219790572</v>
      </c>
      <c r="O39" s="1">
        <v>33611.766813193717</v>
      </c>
      <c r="P39" s="1">
        <v>31026.246289101888</v>
      </c>
      <c r="Q39" s="1">
        <v>48528.23137526193</v>
      </c>
      <c r="R39" s="1">
        <v>12132.057843815483</v>
      </c>
      <c r="S39" s="1">
        <v>12132.057843815483</v>
      </c>
      <c r="T39" s="1">
        <v>9152.2541628783474</v>
      </c>
      <c r="U39" s="1">
        <f>T39/33*14</f>
        <v>3882.7744933423292</v>
      </c>
      <c r="V39" s="1">
        <v>5471.6829695896749</v>
      </c>
      <c r="W39" s="1">
        <f>V39/27*18</f>
        <v>3647.7886463931168</v>
      </c>
      <c r="X39" s="1">
        <v>5931.4882611518324</v>
      </c>
      <c r="Y39" s="1">
        <v>8191.1028368287207</v>
      </c>
      <c r="Z39" s="1">
        <f>Y39/22*13</f>
        <v>4840.1971308533348</v>
      </c>
      <c r="AA39" s="1">
        <v>2554.1174408032598</v>
      </c>
      <c r="AB39" s="1">
        <v>622.18300857967404</v>
      </c>
      <c r="AC39" s="1">
        <v>622.18300857967404</v>
      </c>
      <c r="AD39" s="1">
        <v>597.78367490988296</v>
      </c>
      <c r="AE39" s="1">
        <v>574.34117785459341</v>
      </c>
      <c r="AF39" s="1">
        <f>AE39/16*10</f>
        <v>358.96323615912087</v>
      </c>
      <c r="AG39" s="1">
        <v>0</v>
      </c>
      <c r="AH39" s="1">
        <v>3029.5859807448692</v>
      </c>
      <c r="AI39" s="1">
        <v>0</v>
      </c>
      <c r="AJ39" s="1">
        <v>0</v>
      </c>
      <c r="AK39" s="1">
        <v>0</v>
      </c>
      <c r="AL39" s="1">
        <v>0</v>
      </c>
      <c r="AM39" s="1">
        <v>1632.9603310053631</v>
      </c>
      <c r="AN39" s="1">
        <v>1231.8823549689582</v>
      </c>
      <c r="AO39" s="1">
        <v>0</v>
      </c>
      <c r="AP39" s="1">
        <v>0</v>
      </c>
      <c r="AQ39" s="1">
        <v>0</v>
      </c>
      <c r="AR39" s="1">
        <v>0</v>
      </c>
      <c r="AS39" s="1">
        <v>851.3724802677533</v>
      </c>
      <c r="AT39" s="1">
        <v>0</v>
      </c>
      <c r="AU39" s="1">
        <v>0</v>
      </c>
      <c r="AV39" s="1">
        <v>0</v>
      </c>
      <c r="AW39" s="1">
        <v>0</v>
      </c>
      <c r="AX39" s="1">
        <v>0</v>
      </c>
      <c r="AY39" s="1">
        <v>0</v>
      </c>
      <c r="AZ39" s="1">
        <v>0</v>
      </c>
      <c r="BA39" s="1">
        <v>0</v>
      </c>
      <c r="BB39" s="1">
        <v>0</v>
      </c>
      <c r="BC39" s="1">
        <v>0</v>
      </c>
      <c r="BD39" s="1">
        <v>0</v>
      </c>
      <c r="BE39" s="1">
        <v>0</v>
      </c>
      <c r="BF39" s="1">
        <v>0</v>
      </c>
      <c r="BG39" s="1">
        <v>0</v>
      </c>
      <c r="BH39" s="1">
        <v>0</v>
      </c>
      <c r="BI39" s="1">
        <v>0</v>
      </c>
      <c r="BJ39" s="1">
        <v>0</v>
      </c>
      <c r="BK39" s="1">
        <v>0</v>
      </c>
      <c r="BL39" s="1">
        <v>0</v>
      </c>
      <c r="BM39" s="1">
        <v>0</v>
      </c>
      <c r="BN39" s="1">
        <v>0</v>
      </c>
      <c r="BO39" s="1">
        <v>0</v>
      </c>
      <c r="BP39" s="1">
        <v>0</v>
      </c>
    </row>
    <row r="40" spans="1:68" x14ac:dyDescent="0.2">
      <c r="A40" s="1" t="s">
        <v>126</v>
      </c>
      <c r="B40" s="1">
        <v>500000</v>
      </c>
      <c r="C40" s="1">
        <v>377192.98245614039</v>
      </c>
      <c r="D40" s="1">
        <v>392588.6143931257</v>
      </c>
      <c r="E40" s="1">
        <v>542146.18178098311</v>
      </c>
      <c r="F40" s="1">
        <v>520885.54720133671</v>
      </c>
      <c r="G40" s="1">
        <v>305916.90867380088</v>
      </c>
      <c r="H40" s="1">
        <v>124951.97678225669</v>
      </c>
      <c r="I40" s="1">
        <v>110806.46997671819</v>
      </c>
      <c r="J40" s="1">
        <v>106461.11821292533</v>
      </c>
      <c r="K40" s="1">
        <v>98271.801427315688</v>
      </c>
      <c r="L40" s="1">
        <v>60231.104100612836</v>
      </c>
      <c r="M40" s="1">
        <v>53412.488542052888</v>
      </c>
      <c r="N40" s="1">
        <v>32736.686525774352</v>
      </c>
      <c r="O40" s="1">
        <v>30218.479869945553</v>
      </c>
      <c r="P40" s="1">
        <v>45327.719804918328</v>
      </c>
      <c r="Q40" s="1">
        <v>22325.593336750819</v>
      </c>
      <c r="R40" s="1">
        <v>10030.339035351817</v>
      </c>
      <c r="S40" s="1">
        <v>12259.30326543</v>
      </c>
      <c r="T40" s="1">
        <v>4767.5068254450007</v>
      </c>
      <c r="U40" s="1">
        <v>7778.5637678313169</v>
      </c>
      <c r="V40" s="1">
        <v>9131.3574665845899</v>
      </c>
      <c r="W40" s="1">
        <v>2282.8393666461475</v>
      </c>
      <c r="X40" s="1">
        <v>4431.3940646660512</v>
      </c>
      <c r="Y40" s="1">
        <v>2833.1863692127217</v>
      </c>
      <c r="Z40" s="1">
        <v>2512.448289679206</v>
      </c>
      <c r="AA40" s="1">
        <v>1895.3557273018573</v>
      </c>
      <c r="AB40" s="1">
        <v>461.70865517073241</v>
      </c>
      <c r="AC40" s="1">
        <v>377.76162695787195</v>
      </c>
      <c r="AD40" s="1">
        <v>309.07769478371341</v>
      </c>
      <c r="AE40" s="1">
        <v>233.16387501227507</v>
      </c>
      <c r="AF40" s="1">
        <v>183.20018750964468</v>
      </c>
      <c r="AG40" s="1">
        <v>649.52793753419473</v>
      </c>
      <c r="AH40" s="1">
        <v>240.2363604578529</v>
      </c>
      <c r="AI40" s="1">
        <v>196.55702219278874</v>
      </c>
      <c r="AJ40" s="1">
        <v>136.59047304922606</v>
      </c>
      <c r="AK40" s="1">
        <v>369.3001678738334</v>
      </c>
      <c r="AL40" s="1">
        <f>AK40/34*4</f>
        <v>43.447078573392162</v>
      </c>
      <c r="AM40" s="1">
        <v>598.53338756900757</v>
      </c>
      <c r="AN40" s="1">
        <v>244.47138365494675</v>
      </c>
      <c r="AO40" s="1">
        <v>398.87436280543943</v>
      </c>
      <c r="AP40" s="1">
        <v>244.47138365494675</v>
      </c>
      <c r="AQ40" s="1">
        <v>0</v>
      </c>
      <c r="AR40" s="1">
        <v>308.54628118867447</v>
      </c>
      <c r="AS40" s="1">
        <v>1234.1851247546979</v>
      </c>
      <c r="AT40" s="1">
        <v>479.9608818490492</v>
      </c>
      <c r="AU40" s="1">
        <v>236.39864329878543</v>
      </c>
      <c r="AV40" s="1">
        <v>0</v>
      </c>
      <c r="AW40" s="1">
        <v>216.79537795816032</v>
      </c>
      <c r="AX40" s="1">
        <v>369.13807598281346</v>
      </c>
      <c r="AY40" s="1">
        <v>0</v>
      </c>
      <c r="AZ40" s="1">
        <v>169.88689372631893</v>
      </c>
      <c r="BA40" s="1">
        <v>0</v>
      </c>
      <c r="BB40" s="1">
        <v>0</v>
      </c>
      <c r="BC40" s="1">
        <v>0</v>
      </c>
      <c r="BD40" s="1">
        <v>0</v>
      </c>
      <c r="BE40" s="1">
        <v>0</v>
      </c>
      <c r="BF40" s="1">
        <v>0</v>
      </c>
      <c r="BG40" s="1">
        <v>0</v>
      </c>
      <c r="BH40" s="1">
        <v>0</v>
      </c>
      <c r="BI40" s="1">
        <v>0</v>
      </c>
      <c r="BJ40" s="1">
        <v>0</v>
      </c>
      <c r="BK40" s="1">
        <v>0</v>
      </c>
      <c r="BL40" s="1">
        <v>0</v>
      </c>
      <c r="BM40" s="1">
        <v>0</v>
      </c>
      <c r="BN40" s="1">
        <v>0</v>
      </c>
      <c r="BO40" s="1">
        <v>0</v>
      </c>
      <c r="BP40" s="1">
        <v>0</v>
      </c>
    </row>
    <row r="41" spans="1:68" x14ac:dyDescent="0.2">
      <c r="A41" s="1" t="s">
        <v>122</v>
      </c>
      <c r="B41" s="1">
        <v>500000</v>
      </c>
      <c r="C41" s="1">
        <v>362068.96551724139</v>
      </c>
      <c r="D41" s="1">
        <v>460815.04702194367</v>
      </c>
      <c r="E41" s="1">
        <v>282435.028819901</v>
      </c>
      <c r="F41" s="1">
        <v>293962.98917989695</v>
      </c>
      <c r="G41" s="1">
        <v>305961.47853417852</v>
      </c>
      <c r="H41" s="1">
        <v>187524.77716610942</v>
      </c>
      <c r="I41" s="1">
        <v>125016.51811073963</v>
      </c>
      <c r="J41" s="1">
        <v>86875.88546678517</v>
      </c>
      <c r="K41" s="1">
        <v>101984.73511318259</v>
      </c>
      <c r="L41" s="1">
        <f>K41/56*15</f>
        <v>27317.339762459622</v>
      </c>
      <c r="M41" s="1">
        <v>103284.29349563947</v>
      </c>
      <c r="N41" s="1">
        <v>53207.060285632462</v>
      </c>
      <c r="O41" s="1">
        <v>29928.971410668259</v>
      </c>
      <c r="P41" s="1">
        <f>O41/49*9</f>
        <v>5497.158014204374</v>
      </c>
      <c r="Q41" s="1">
        <v>15471.736272626156</v>
      </c>
      <c r="R41" s="1">
        <f>Q41/33*14</f>
        <v>6563.7669035383697</v>
      </c>
      <c r="S41" s="1">
        <v>11069.619562849904</v>
      </c>
      <c r="T41" s="1">
        <v>6784.6055385209102</v>
      </c>
      <c r="U41" s="1">
        <f>T41/35*16</f>
        <v>3101.533960466702</v>
      </c>
      <c r="V41" s="1">
        <f>U41/15*8</f>
        <v>1654.151445582241</v>
      </c>
      <c r="W41" s="1">
        <f>V41/8*14</f>
        <v>2894.7650297689215</v>
      </c>
      <c r="X41" s="1">
        <f>W41/22*24</f>
        <v>3157.9254870206414</v>
      </c>
      <c r="Y41" s="1">
        <v>3699.086354127538</v>
      </c>
      <c r="Z41" s="1">
        <f>Y41/27*3</f>
        <v>411.00959490305979</v>
      </c>
      <c r="AA41" s="1">
        <v>12156.364214206265</v>
      </c>
      <c r="AB41" s="1">
        <v>2152.8921023359298</v>
      </c>
      <c r="AC41" s="1">
        <v>1661.9083619993289</v>
      </c>
      <c r="AD41" s="1">
        <v>2492.8625429989934</v>
      </c>
      <c r="AE41" s="1">
        <v>1593.7973635567337</v>
      </c>
      <c r="AF41" s="1">
        <f>AE41/17*7</f>
        <v>656.26950264100799</v>
      </c>
      <c r="AG41" s="1">
        <v>0</v>
      </c>
      <c r="AH41" s="1">
        <f>AF41/11*14</f>
        <v>835.25209427037385</v>
      </c>
      <c r="AI41" s="1">
        <v>0</v>
      </c>
      <c r="AJ41" s="1">
        <v>0</v>
      </c>
      <c r="AK41" s="1">
        <v>0</v>
      </c>
      <c r="AL41" s="1">
        <v>0</v>
      </c>
      <c r="AM41" s="1">
        <v>0</v>
      </c>
      <c r="AN41" s="1">
        <v>1018.9851996510265</v>
      </c>
      <c r="AO41" s="1">
        <v>0</v>
      </c>
      <c r="AP41" s="1">
        <v>0</v>
      </c>
      <c r="AQ41" s="1">
        <v>0</v>
      </c>
      <c r="AR41" s="1">
        <v>0</v>
      </c>
      <c r="AS41" s="1">
        <f>AN41/12*1</f>
        <v>84.915433304252204</v>
      </c>
      <c r="AT41" s="1">
        <v>0</v>
      </c>
      <c r="AU41" s="1">
        <v>0</v>
      </c>
      <c r="AV41" s="1">
        <v>0</v>
      </c>
      <c r="AW41" s="1">
        <v>0</v>
      </c>
      <c r="AX41" s="1">
        <v>0</v>
      </c>
      <c r="AY41" s="1">
        <v>0</v>
      </c>
      <c r="AZ41" s="1">
        <v>0</v>
      </c>
      <c r="BA41" s="1">
        <v>0</v>
      </c>
      <c r="BB41" s="1">
        <v>0</v>
      </c>
      <c r="BC41" s="1">
        <v>0</v>
      </c>
      <c r="BD41" s="1">
        <v>0</v>
      </c>
      <c r="BE41" s="1">
        <v>0</v>
      </c>
      <c r="BF41" s="1">
        <v>0</v>
      </c>
      <c r="BG41" s="1">
        <v>0</v>
      </c>
      <c r="BH41" s="1">
        <v>0</v>
      </c>
      <c r="BI41" s="1">
        <v>0</v>
      </c>
      <c r="BJ41" s="1">
        <v>0</v>
      </c>
      <c r="BK41" s="1">
        <v>0</v>
      </c>
      <c r="BL41" s="1">
        <v>0</v>
      </c>
      <c r="BM41" s="1">
        <v>0</v>
      </c>
      <c r="BN41" s="1">
        <v>0</v>
      </c>
      <c r="BO41" s="1">
        <v>0</v>
      </c>
      <c r="BP41" s="1">
        <v>0</v>
      </c>
    </row>
    <row r="42" spans="1:68" x14ac:dyDescent="0.2">
      <c r="A42" s="1" t="s">
        <v>98</v>
      </c>
      <c r="B42" s="1">
        <v>500000</v>
      </c>
      <c r="C42" s="1">
        <v>319672.13114754099</v>
      </c>
      <c r="D42" s="1">
        <v>711528.29190904275</v>
      </c>
      <c r="E42" s="1">
        <v>212534.42485594784</v>
      </c>
      <c r="F42" s="1">
        <v>230245.62692727684</v>
      </c>
      <c r="G42" s="1">
        <v>270288.34465375979</v>
      </c>
      <c r="H42" s="1">
        <v>203901.7336861697</v>
      </c>
      <c r="I42" s="1">
        <v>195905.58726710422</v>
      </c>
      <c r="J42" s="1">
        <v>195905.58726710422</v>
      </c>
      <c r="K42" s="1">
        <v>105487.62391305612</v>
      </c>
      <c r="L42" s="1">
        <v>31509.290259744033</v>
      </c>
      <c r="M42" s="1">
        <v>34135.064448056037</v>
      </c>
      <c r="N42" s="1">
        <v>58121.866492635956</v>
      </c>
      <c r="O42" s="1">
        <v>20421.196335250472</v>
      </c>
      <c r="P42" s="1">
        <v>16708.251547023112</v>
      </c>
      <c r="Q42" s="1">
        <v>21265.047423483964</v>
      </c>
      <c r="R42" s="1">
        <v>3461.7519061485523</v>
      </c>
      <c r="S42" s="1">
        <v>18174.197507279896</v>
      </c>
      <c r="T42" s="1">
        <v>8165.2191699373452</v>
      </c>
      <c r="U42" s="1">
        <v>1672.3942878184928</v>
      </c>
      <c r="V42" s="1">
        <v>1811.7604784700341</v>
      </c>
      <c r="W42" s="1">
        <v>3220.9075172800608</v>
      </c>
      <c r="X42" s="1">
        <v>2147.271678186707</v>
      </c>
      <c r="Y42" s="1">
        <v>3503.4432644098902</v>
      </c>
      <c r="Z42" s="1">
        <v>1501.4756847470958</v>
      </c>
      <c r="AA42" s="1">
        <v>1835.1369480242281</v>
      </c>
      <c r="AB42" s="1">
        <v>427.77042258444754</v>
      </c>
      <c r="AC42" s="1">
        <v>262.18187190659688</v>
      </c>
      <c r="AD42" s="1">
        <v>466.10110561172786</v>
      </c>
      <c r="AE42" s="1">
        <v>351.62013230358423</v>
      </c>
      <c r="AF42" s="1">
        <v>234.41342153572282</v>
      </c>
      <c r="AG42" s="1">
        <v>120.75842927597843</v>
      </c>
      <c r="AH42" s="1">
        <v>382.40169270726506</v>
      </c>
      <c r="AI42" s="1">
        <v>163.88643973168504</v>
      </c>
      <c r="AJ42" s="1">
        <v>80.720186733516513</v>
      </c>
      <c r="AK42" s="1">
        <v>49.473662836671409</v>
      </c>
      <c r="AL42" s="1">
        <v>0</v>
      </c>
      <c r="AM42" s="1">
        <v>644.77784660310715</v>
      </c>
      <c r="AN42" s="1">
        <v>1251.6275845825021</v>
      </c>
      <c r="AO42" s="1">
        <v>220.87545610279449</v>
      </c>
      <c r="AP42" s="1">
        <v>195.87068748738375</v>
      </c>
      <c r="AQ42" s="1">
        <v>397.67685035317305</v>
      </c>
      <c r="AR42" s="1">
        <v>0</v>
      </c>
      <c r="AS42" s="1">
        <v>159.57712591515028</v>
      </c>
      <c r="AT42" s="1">
        <v>271.71240358525586</v>
      </c>
      <c r="AU42" s="1">
        <v>222.31014838793661</v>
      </c>
      <c r="AV42" s="1">
        <v>0</v>
      </c>
      <c r="AW42" s="1">
        <v>0</v>
      </c>
      <c r="AX42" s="1">
        <v>0</v>
      </c>
      <c r="AY42" s="1">
        <v>0</v>
      </c>
      <c r="AZ42" s="1">
        <v>0</v>
      </c>
      <c r="BA42" s="1">
        <v>0</v>
      </c>
      <c r="BB42" s="1">
        <v>25.543420093520453</v>
      </c>
      <c r="BC42" s="1">
        <v>0</v>
      </c>
      <c r="BD42" s="1">
        <v>52.151149357604254</v>
      </c>
      <c r="BE42" s="1">
        <v>0</v>
      </c>
      <c r="BF42" s="1">
        <v>0</v>
      </c>
      <c r="BG42" s="1">
        <v>0</v>
      </c>
      <c r="BH42" s="1">
        <v>12.642702874570729</v>
      </c>
      <c r="BI42" s="1">
        <v>0</v>
      </c>
      <c r="BJ42" s="1">
        <v>0</v>
      </c>
      <c r="BK42" s="1">
        <v>0</v>
      </c>
      <c r="BL42" s="1">
        <v>0</v>
      </c>
      <c r="BM42" s="1">
        <v>0</v>
      </c>
      <c r="BN42" s="1">
        <v>0</v>
      </c>
      <c r="BO42" s="1">
        <v>0</v>
      </c>
      <c r="BP42" s="1">
        <v>0</v>
      </c>
    </row>
    <row r="43" spans="1:68" x14ac:dyDescent="0.2">
      <c r="A43" s="1" t="s">
        <v>113</v>
      </c>
      <c r="B43" s="1">
        <v>500000</v>
      </c>
      <c r="C43" s="1">
        <v>306451.61290322582</v>
      </c>
      <c r="D43" s="1">
        <v>374551.9713261649</v>
      </c>
      <c r="E43" s="1">
        <v>260281.87837919936</v>
      </c>
      <c r="F43" s="1">
        <v>230816.00535513903</v>
      </c>
      <c r="G43" s="1">
        <v>196621.04159882214</v>
      </c>
      <c r="H43" s="1">
        <v>88336.989703818646</v>
      </c>
      <c r="I43" s="1">
        <v>72275.718848578894</v>
      </c>
      <c r="J43" s="1">
        <v>104006.52224551597</v>
      </c>
      <c r="K43" s="1">
        <v>78461.060641354154</v>
      </c>
      <c r="L43" s="1">
        <v>36922.852066519605</v>
      </c>
      <c r="M43" s="1">
        <v>18185.882361121596</v>
      </c>
      <c r="N43" s="1">
        <v>32330.457530882839</v>
      </c>
      <c r="O43" s="1">
        <v>28670.405734933836</v>
      </c>
      <c r="P43" s="1">
        <v>21628.551694774651</v>
      </c>
      <c r="Q43" s="1">
        <v>11646.143220263271</v>
      </c>
      <c r="R43" s="1">
        <v>8433.4140560527139</v>
      </c>
      <c r="S43" s="1">
        <v>4541.069107105307</v>
      </c>
      <c r="T43" s="1">
        <v>5120.780056948538</v>
      </c>
      <c r="U43" s="1">
        <v>3558.508175167628</v>
      </c>
      <c r="V43" s="1">
        <v>6907.692340031278</v>
      </c>
      <c r="W43" s="1">
        <v>1620.3228945752378</v>
      </c>
      <c r="X43" s="1">
        <v>1495.682671915604</v>
      </c>
      <c r="Y43" s="1">
        <v>1326.3601052836486</v>
      </c>
      <c r="Z43" s="1">
        <v>1831.6401453917051</v>
      </c>
      <c r="AA43" s="1">
        <v>1272.8346773061</v>
      </c>
      <c r="AB43" s="1">
        <v>299.87984997331716</v>
      </c>
      <c r="AC43" s="1">
        <v>449.81977495997569</v>
      </c>
      <c r="AD43" s="1">
        <v>192.77990355427531</v>
      </c>
      <c r="AE43" s="1">
        <v>217.39010400801263</v>
      </c>
      <c r="AF43" s="1">
        <v>245.14203217924833</v>
      </c>
      <c r="AG43" s="1">
        <v>81.714010726416106</v>
      </c>
      <c r="AH43" s="1">
        <v>85.049276470351472</v>
      </c>
      <c r="AI43" s="1">
        <v>88.520675509957655</v>
      </c>
      <c r="AJ43" s="1">
        <v>85.049276470351472</v>
      </c>
      <c r="AK43" s="1">
        <v>122.38798321343261</v>
      </c>
      <c r="AL43" s="1">
        <v>1101.4918489208935</v>
      </c>
      <c r="AM43" s="1">
        <v>82.907988628454348</v>
      </c>
      <c r="AN43" s="1">
        <v>160.93903674935254</v>
      </c>
      <c r="AO43" s="1">
        <v>65.735662897622873</v>
      </c>
      <c r="AP43" s="1">
        <v>87.137971748011708</v>
      </c>
      <c r="AQ43" s="1">
        <v>53.407143974587818</v>
      </c>
      <c r="AR43" s="1">
        <v>65.275398191162893</v>
      </c>
      <c r="AS43" s="1">
        <v>79.781042233643547</v>
      </c>
      <c r="AT43" s="1">
        <v>26.59368074454785</v>
      </c>
      <c r="AU43" s="1">
        <v>47.277654656973958</v>
      </c>
      <c r="AV43" s="1">
        <v>11.819413664243489</v>
      </c>
      <c r="AW43" s="1">
        <v>35.458240992730467</v>
      </c>
      <c r="AX43" s="1">
        <v>0</v>
      </c>
      <c r="AY43" s="1">
        <v>21.946232284002615</v>
      </c>
      <c r="AZ43" s="1">
        <v>0</v>
      </c>
      <c r="BA43" s="1">
        <v>0</v>
      </c>
      <c r="BB43" s="1">
        <v>0</v>
      </c>
      <c r="BC43" s="1">
        <v>0</v>
      </c>
      <c r="BD43" s="1">
        <v>13.994698847769785</v>
      </c>
      <c r="BE43" s="1">
        <v>3.0720070641445867</v>
      </c>
      <c r="BF43" s="1">
        <v>0</v>
      </c>
      <c r="BG43" s="1">
        <v>0</v>
      </c>
      <c r="BH43" s="1">
        <v>0</v>
      </c>
      <c r="BI43" s="1">
        <v>0</v>
      </c>
      <c r="BJ43" s="1">
        <v>0</v>
      </c>
      <c r="BK43" s="1">
        <v>0</v>
      </c>
      <c r="BL43" s="1">
        <v>0</v>
      </c>
      <c r="BM43" s="1">
        <v>0</v>
      </c>
      <c r="BN43" s="1">
        <v>0</v>
      </c>
      <c r="BO43" s="1">
        <v>0</v>
      </c>
      <c r="BP43" s="1">
        <v>0</v>
      </c>
    </row>
    <row r="44" spans="1:68" x14ac:dyDescent="0.2">
      <c r="A44" s="1" t="s">
        <v>110</v>
      </c>
      <c r="B44" s="1">
        <v>500000</v>
      </c>
      <c r="C44" s="1">
        <v>269230.76923076925</v>
      </c>
      <c r="D44" s="1">
        <v>316053.51170568564</v>
      </c>
      <c r="E44" s="1">
        <v>291741.70311294054</v>
      </c>
      <c r="F44" s="1">
        <v>248520.71005917157</v>
      </c>
      <c r="G44" s="1">
        <v>111117.94115236455</v>
      </c>
      <c r="H44" s="1">
        <v>102409.63855421689</v>
      </c>
      <c r="I44" s="1">
        <v>80464.716006884686</v>
      </c>
      <c r="J44" s="1">
        <v>55916.158581055453</v>
      </c>
      <c r="K44" s="1">
        <v>60575.838462810076</v>
      </c>
      <c r="L44" s="1">
        <v>25961.073626918605</v>
      </c>
      <c r="M44" s="1">
        <f>L44/48*22</f>
        <v>11898.825412337694</v>
      </c>
      <c r="N44" s="1">
        <v>18094.081618761451</v>
      </c>
      <c r="O44" s="1">
        <v>24987.065092575336</v>
      </c>
      <c r="P44" s="1">
        <v>10205.98433358711</v>
      </c>
      <c r="Q44" s="1">
        <v>15308.976500380662</v>
      </c>
      <c r="R44" s="1">
        <v>11085.81056924117</v>
      </c>
      <c r="S44" s="1">
        <v>6235.7684451981577</v>
      </c>
      <c r="T44" s="1">
        <v>3986.8027764381668</v>
      </c>
      <c r="U44" s="1">
        <v>3132.4878957728447</v>
      </c>
      <c r="V44" s="1">
        <v>3532.3799675736341</v>
      </c>
      <c r="W44" s="1">
        <f>V44/31*8</f>
        <v>911.58192711577658</v>
      </c>
      <c r="X44" s="1">
        <f>W44/10*18</f>
        <v>1640.8474688083977</v>
      </c>
      <c r="Y44" s="1">
        <v>1218.1897372449951</v>
      </c>
      <c r="Z44" s="1">
        <v>3407.3270580784547</v>
      </c>
      <c r="AA44" s="1">
        <v>2088.3617452738918</v>
      </c>
      <c r="AB44" s="1">
        <v>511.85746376663087</v>
      </c>
      <c r="AC44" s="1">
        <v>678.50873103948743</v>
      </c>
      <c r="AD44" s="1">
        <v>0</v>
      </c>
      <c r="AE44" s="1">
        <v>950.5924327094574</v>
      </c>
      <c r="AF44" s="1">
        <v>1115.912855789363</v>
      </c>
      <c r="AG44" s="1">
        <v>0</v>
      </c>
      <c r="AH44" s="1">
        <f>AF44/24*7</f>
        <v>325.4745829385642</v>
      </c>
      <c r="AI44" s="1">
        <v>627.55228888378531</v>
      </c>
      <c r="AJ44" s="1">
        <v>1115.6485135711739</v>
      </c>
      <c r="AK44" s="1">
        <v>0</v>
      </c>
      <c r="AL44" s="1">
        <v>0</v>
      </c>
      <c r="AM44" s="1">
        <v>0</v>
      </c>
      <c r="AN44" s="1">
        <v>180.36308040290172</v>
      </c>
      <c r="AO44" s="1">
        <v>278.91212839279348</v>
      </c>
      <c r="AP44" s="1">
        <v>0</v>
      </c>
      <c r="AQ44" s="1">
        <v>0</v>
      </c>
      <c r="AR44" s="1">
        <v>0</v>
      </c>
      <c r="AS44" s="1">
        <v>0</v>
      </c>
      <c r="AT44" s="1">
        <v>0</v>
      </c>
      <c r="AU44" s="1">
        <v>0</v>
      </c>
      <c r="AV44" s="1">
        <v>0</v>
      </c>
      <c r="AW44" s="1">
        <v>0</v>
      </c>
      <c r="AX44" s="1">
        <v>0</v>
      </c>
      <c r="AY44" s="1">
        <v>0</v>
      </c>
      <c r="AZ44" s="1">
        <v>0</v>
      </c>
      <c r="BA44" s="1">
        <v>0</v>
      </c>
      <c r="BB44" s="1">
        <v>0</v>
      </c>
      <c r="BC44" s="1">
        <v>0</v>
      </c>
      <c r="BD44" s="1">
        <v>0</v>
      </c>
      <c r="BE44" s="1">
        <v>0</v>
      </c>
      <c r="BF44" s="1">
        <v>0</v>
      </c>
      <c r="BG44" s="1">
        <v>0</v>
      </c>
      <c r="BH44" s="1">
        <v>0</v>
      </c>
      <c r="BI44" s="1">
        <v>0</v>
      </c>
      <c r="BJ44" s="1">
        <v>0</v>
      </c>
      <c r="BK44" s="1">
        <v>0</v>
      </c>
      <c r="BL44" s="1">
        <v>0</v>
      </c>
      <c r="BM44" s="1">
        <v>0</v>
      </c>
      <c r="BN44" s="1">
        <v>0</v>
      </c>
      <c r="BO44" s="1">
        <v>0</v>
      </c>
      <c r="BP44" s="1">
        <v>0</v>
      </c>
    </row>
    <row r="45" spans="1:68" x14ac:dyDescent="0.2">
      <c r="A45" s="1" t="s">
        <v>101</v>
      </c>
      <c r="B45" s="1">
        <v>500000</v>
      </c>
      <c r="C45" s="1">
        <v>214285.71428571429</v>
      </c>
      <c r="D45" s="1">
        <v>321428.57142857142</v>
      </c>
      <c r="E45" s="1">
        <v>334548.10495626827</v>
      </c>
      <c r="F45" s="1">
        <v>443470.7437792393</v>
      </c>
      <c r="G45" s="1">
        <v>125081.49183517005</v>
      </c>
      <c r="H45" s="1">
        <v>106550.90045218189</v>
      </c>
      <c r="I45" s="1">
        <v>65305.390599724386</v>
      </c>
      <c r="J45" s="1">
        <v>67970.916746651914</v>
      </c>
      <c r="K45" s="1">
        <v>76648.055054735145</v>
      </c>
      <c r="L45" s="1">
        <v>37752.027116511345</v>
      </c>
      <c r="M45" s="1">
        <v>12584.009038837115</v>
      </c>
      <c r="N45" s="1">
        <v>20531.804221260558</v>
      </c>
      <c r="O45" s="1">
        <v>29545.767050106657</v>
      </c>
      <c r="P45" s="1">
        <v>23214.53125365523</v>
      </c>
      <c r="Q45" s="1">
        <v>13058.173830181067</v>
      </c>
      <c r="R45" s="1">
        <v>4352.7246100603561</v>
      </c>
      <c r="S45" s="1">
        <v>3283.6343549578128</v>
      </c>
      <c r="T45" s="1">
        <v>3283.6343549578128</v>
      </c>
      <c r="U45" s="1">
        <v>4013.3308782817712</v>
      </c>
      <c r="V45" s="1">
        <v>13435.933809899843</v>
      </c>
      <c r="W45" s="1">
        <v>5487.916626578809</v>
      </c>
      <c r="X45" s="1">
        <v>1045.3174526816779</v>
      </c>
      <c r="Y45" s="1">
        <v>1779.8648518633977</v>
      </c>
      <c r="Z45" s="1">
        <v>1928.1869228520145</v>
      </c>
      <c r="AA45" s="1">
        <v>423.26054404068617</v>
      </c>
      <c r="AB45" s="1">
        <v>88.884714248544086</v>
      </c>
      <c r="AC45" s="1">
        <v>172.54091589423263</v>
      </c>
      <c r="AD45" s="1">
        <v>40.472560518400243</v>
      </c>
      <c r="AE45" s="1">
        <v>143.49362365614633</v>
      </c>
      <c r="AF45" s="1">
        <v>73.920957641045078</v>
      </c>
      <c r="AG45" s="1">
        <v>38.080493330235349</v>
      </c>
      <c r="AH45" s="1">
        <v>120.58822887907861</v>
      </c>
      <c r="AI45" s="1">
        <v>21.280275684543287</v>
      </c>
      <c r="AJ45" s="1">
        <v>10.481329814775052</v>
      </c>
      <c r="AK45" s="1">
        <v>726.98705216955682</v>
      </c>
      <c r="AL45" s="1">
        <v>4119.5932956274892</v>
      </c>
      <c r="AM45" s="1">
        <v>407.43230396315823</v>
      </c>
      <c r="AN45" s="1">
        <v>295.03718562849389</v>
      </c>
      <c r="AO45" s="1">
        <v>319.6236177642017</v>
      </c>
      <c r="AP45" s="1">
        <v>0</v>
      </c>
      <c r="AQ45" s="1">
        <v>0</v>
      </c>
      <c r="AR45" s="1">
        <v>294.13020857064635</v>
      </c>
      <c r="AS45" s="1">
        <v>406.17981183565445</v>
      </c>
      <c r="AT45" s="1">
        <v>0</v>
      </c>
      <c r="AU45" s="1">
        <v>375.50187261808315</v>
      </c>
      <c r="AV45" s="1">
        <v>0</v>
      </c>
      <c r="AW45" s="1">
        <v>0</v>
      </c>
      <c r="AX45" s="1">
        <v>0</v>
      </c>
      <c r="AY45" s="1">
        <v>0</v>
      </c>
      <c r="AZ45" s="1">
        <v>0</v>
      </c>
      <c r="BA45" s="1">
        <v>0</v>
      </c>
      <c r="BB45" s="1">
        <v>0</v>
      </c>
      <c r="BC45" s="1">
        <v>0</v>
      </c>
      <c r="BD45" s="1">
        <v>52.065385699145978</v>
      </c>
      <c r="BE45" s="1">
        <v>0</v>
      </c>
      <c r="BF45" s="1">
        <v>0</v>
      </c>
      <c r="BG45" s="1">
        <v>0</v>
      </c>
      <c r="BH45" s="1">
        <v>0</v>
      </c>
      <c r="BI45" s="1">
        <v>0</v>
      </c>
      <c r="BJ45" s="1">
        <v>0</v>
      </c>
      <c r="BK45" s="1">
        <v>0</v>
      </c>
      <c r="BL45" s="1">
        <v>0</v>
      </c>
      <c r="BM45" s="1">
        <v>0</v>
      </c>
      <c r="BN45" s="1">
        <v>0</v>
      </c>
      <c r="BO45" s="1">
        <v>0</v>
      </c>
      <c r="BP45" s="1">
        <v>0</v>
      </c>
    </row>
    <row r="46" spans="1:68" x14ac:dyDescent="0.2">
      <c r="A46" s="1" t="s">
        <v>115</v>
      </c>
      <c r="B46" s="1">
        <v>500000</v>
      </c>
      <c r="C46" s="1">
        <v>166666.66666666666</v>
      </c>
      <c r="D46" s="1">
        <v>283783.78378378379</v>
      </c>
      <c r="E46" s="1">
        <v>504504.5045045045</v>
      </c>
      <c r="F46" s="1">
        <v>336336.33633633633</v>
      </c>
      <c r="G46" s="1">
        <v>118172.22628033439</v>
      </c>
      <c r="H46" s="1">
        <v>144432.72100929762</v>
      </c>
      <c r="I46" s="1">
        <v>45610.332950304502</v>
      </c>
      <c r="J46" s="1">
        <v>96921.957519397081</v>
      </c>
      <c r="K46" s="1">
        <v>85949.660441729473</v>
      </c>
      <c r="L46" s="1">
        <v>33424.867949561463</v>
      </c>
      <c r="M46" s="1">
        <v>12362.622392303556</v>
      </c>
      <c r="N46" s="1">
        <v>13940.829506214648</v>
      </c>
      <c r="O46" s="1">
        <v>25890.111940112922</v>
      </c>
      <c r="P46" s="1">
        <v>30392.74010361082</v>
      </c>
      <c r="Q46" s="1">
        <v>14969.558558494882</v>
      </c>
      <c r="R46" s="1">
        <v>5259.5746286603644</v>
      </c>
      <c r="S46" s="1">
        <v>3362.6788609467908</v>
      </c>
      <c r="T46" s="1">
        <v>1974.9066326195439</v>
      </c>
      <c r="U46" s="1">
        <v>5339.5623770824695</v>
      </c>
      <c r="V46" s="1">
        <v>32800.168887792308</v>
      </c>
      <c r="W46" s="1">
        <v>4472.7503028807687</v>
      </c>
      <c r="X46" s="1">
        <f>W46/37*9</f>
        <v>1087.9662898899167</v>
      </c>
      <c r="Y46" s="1">
        <v>1652.5603366029525</v>
      </c>
      <c r="Z46" s="1">
        <v>2190.6032368922856</v>
      </c>
      <c r="AA46" s="1">
        <f>Z46/28*10</f>
        <v>782.35829889010211</v>
      </c>
      <c r="AB46" s="1">
        <v>1352.0948208569612</v>
      </c>
      <c r="AC46" s="1">
        <v>1945.6974251356271</v>
      </c>
      <c r="AD46" s="1">
        <v>0</v>
      </c>
      <c r="AE46" s="1">
        <v>2302.2155057834743</v>
      </c>
      <c r="AF46" s="1">
        <v>808.88652905905849</v>
      </c>
      <c r="AG46" s="1">
        <v>0</v>
      </c>
      <c r="AH46" s="1">
        <v>2103.2586102219398</v>
      </c>
      <c r="AI46" s="1">
        <v>0</v>
      </c>
      <c r="AJ46" s="1">
        <v>269.02145014466669</v>
      </c>
      <c r="AK46" s="1">
        <v>742.45464398103661</v>
      </c>
      <c r="AL46" s="1">
        <v>6007.1330285738413</v>
      </c>
      <c r="AM46" s="1">
        <v>594.11205777103919</v>
      </c>
      <c r="AN46" s="1">
        <v>448.18979796762613</v>
      </c>
      <c r="AO46" s="1">
        <v>0</v>
      </c>
      <c r="AP46" s="1">
        <v>0</v>
      </c>
      <c r="AQ46" s="1">
        <v>0</v>
      </c>
      <c r="AR46" s="1">
        <v>0</v>
      </c>
      <c r="AS46" s="1">
        <v>1211.7724167272854</v>
      </c>
      <c r="AT46" s="1">
        <v>248.19435041402235</v>
      </c>
      <c r="AU46" s="1">
        <v>248.19435041402235</v>
      </c>
      <c r="AV46" s="1">
        <v>0</v>
      </c>
      <c r="AW46" s="1">
        <v>0</v>
      </c>
      <c r="AX46" s="1">
        <v>0</v>
      </c>
      <c r="AY46" s="1">
        <v>112.04744949190655</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row>
    <row r="47" spans="1:68" x14ac:dyDescent="0.2">
      <c r="A47" s="1" t="s">
        <v>111</v>
      </c>
      <c r="B47" s="1">
        <v>500000</v>
      </c>
      <c r="C47" s="1">
        <v>157894.73684210525</v>
      </c>
      <c r="D47" s="1">
        <v>268847.79516358464</v>
      </c>
      <c r="E47" s="1">
        <v>342169.92111728957</v>
      </c>
      <c r="F47" s="1">
        <v>315849.15795442113</v>
      </c>
      <c r="G47" s="1">
        <v>129008.81099546779</v>
      </c>
      <c r="H47" s="1">
        <v>157677.43566112733</v>
      </c>
      <c r="I47" s="1">
        <v>52559.145220375773</v>
      </c>
      <c r="J47" s="1">
        <v>69671.425059567875</v>
      </c>
      <c r="K47" s="1">
        <v>135244.53099798469</v>
      </c>
      <c r="L47" s="1">
        <v>38145.893358405941</v>
      </c>
      <c r="M47" s="1">
        <v>14108.755077766582</v>
      </c>
      <c r="N47" s="1">
        <v>18702.303242620816</v>
      </c>
      <c r="O47" s="1">
        <v>26913.070519868979</v>
      </c>
      <c r="P47" s="1">
        <v>47845.458701989301</v>
      </c>
      <c r="Q47" s="1">
        <v>11223.008831330824</v>
      </c>
      <c r="R47" s="1">
        <v>3165.4640293497196</v>
      </c>
      <c r="S47" s="1">
        <v>3715.9795127148886</v>
      </c>
      <c r="T47" s="1">
        <v>3040.3468740394542</v>
      </c>
      <c r="U47" s="1">
        <v>2293.5950102402903</v>
      </c>
      <c r="V47" s="1">
        <v>7678.5572081957534</v>
      </c>
      <c r="W47" s="1">
        <v>10178.552578305997</v>
      </c>
      <c r="X47" s="1">
        <v>1006.6700352170765</v>
      </c>
      <c r="Y47" s="1">
        <v>2139.1738248362876</v>
      </c>
      <c r="Z47" s="1">
        <v>1256.3401828403594</v>
      </c>
      <c r="AA47" s="1">
        <v>538.43150693158259</v>
      </c>
      <c r="AB47" s="1">
        <v>89.325786999949543</v>
      </c>
      <c r="AC47" s="1">
        <v>100.72907895738993</v>
      </c>
      <c r="AD47" s="1">
        <v>22.111261234549008</v>
      </c>
      <c r="AE47" s="1">
        <v>100.72907895738992</v>
      </c>
      <c r="AF47" s="1">
        <v>35.39129801205592</v>
      </c>
      <c r="AG47" s="1">
        <v>35.39129801205592</v>
      </c>
      <c r="AH47" s="1">
        <v>118.4839107360133</v>
      </c>
      <c r="AI47" s="1">
        <v>20.908925424002348</v>
      </c>
      <c r="AJ47" s="1">
        <v>12.815147840517568</v>
      </c>
      <c r="AK47" s="1">
        <v>51.260591362070272</v>
      </c>
      <c r="AL47" s="1">
        <v>375.91100332184868</v>
      </c>
      <c r="AM47" s="1">
        <v>32.687913332334666</v>
      </c>
      <c r="AN47" s="1">
        <v>43.330489766118042</v>
      </c>
      <c r="AO47" s="1">
        <v>25.448065418196311</v>
      </c>
      <c r="AP47" s="1">
        <v>11.975560196798263</v>
      </c>
      <c r="AQ47" s="1">
        <v>17.963340295197394</v>
      </c>
      <c r="AR47" s="1">
        <v>19.460285319797176</v>
      </c>
      <c r="AS47" s="1">
        <v>36.14052987962333</v>
      </c>
      <c r="AT47" s="1">
        <v>13.367045297942875</v>
      </c>
      <c r="AU47" s="1">
        <v>15.691748828019897</v>
      </c>
      <c r="AV47" s="1">
        <v>0</v>
      </c>
      <c r="AW47" s="1">
        <v>10.83262244152951</v>
      </c>
      <c r="AX47" s="1">
        <v>0</v>
      </c>
      <c r="AY47" s="1">
        <v>5.908703149925187</v>
      </c>
      <c r="AZ47" s="1">
        <v>0</v>
      </c>
      <c r="BA47" s="1">
        <v>0</v>
      </c>
      <c r="BB47" s="1">
        <v>5.3554537913179603</v>
      </c>
      <c r="BC47" s="1">
        <v>0</v>
      </c>
      <c r="BD47" s="1">
        <v>3.2614347135787773</v>
      </c>
      <c r="BE47" s="1">
        <v>0</v>
      </c>
      <c r="BF47" s="1">
        <v>0</v>
      </c>
      <c r="BG47" s="1">
        <v>0</v>
      </c>
      <c r="BH47" s="1">
        <v>0</v>
      </c>
      <c r="BI47" s="1">
        <v>0</v>
      </c>
      <c r="BJ47" s="1">
        <v>0</v>
      </c>
      <c r="BK47" s="1">
        <v>0</v>
      </c>
      <c r="BL47" s="1">
        <v>0</v>
      </c>
      <c r="BM47" s="1">
        <v>0</v>
      </c>
      <c r="BN47" s="1">
        <v>0</v>
      </c>
      <c r="BO47" s="1">
        <v>0</v>
      </c>
      <c r="BP47" s="1">
        <v>0</v>
      </c>
    </row>
    <row r="48" spans="1:68" x14ac:dyDescent="0.2">
      <c r="A48" s="1" t="s">
        <v>127</v>
      </c>
      <c r="B48" s="1">
        <v>400000</v>
      </c>
      <c r="C48" s="1">
        <v>575609.75609756098</v>
      </c>
      <c r="D48" s="1">
        <v>510446.38748274272</v>
      </c>
      <c r="E48" s="1">
        <v>369633.59093577927</v>
      </c>
      <c r="F48" s="1">
        <v>290426.39287811227</v>
      </c>
      <c r="G48" s="1">
        <v>327502.10260723298</v>
      </c>
      <c r="H48" s="1">
        <v>109167.36753574433</v>
      </c>
      <c r="I48" s="1">
        <v>128152.99667239551</v>
      </c>
      <c r="J48" s="1">
        <v>123127.38895975256</v>
      </c>
      <c r="K48" s="1">
        <v>85563.100802539906</v>
      </c>
      <c r="L48" s="1">
        <v>48129.244201428693</v>
      </c>
      <c r="M48" s="1">
        <v>61255.401710909253</v>
      </c>
      <c r="N48" s="1">
        <v>58853.229094795162</v>
      </c>
      <c r="O48" s="1">
        <v>31690.200281812777</v>
      </c>
      <c r="P48" s="1">
        <v>24899.443078567179</v>
      </c>
      <c r="Q48" s="1">
        <v>20372.271609736781</v>
      </c>
      <c r="R48" s="1">
        <v>14157.002305071321</v>
      </c>
      <c r="S48" s="1">
        <v>8314.4299252006167</v>
      </c>
      <c r="T48" s="1">
        <v>7082.662528874599</v>
      </c>
      <c r="U48" s="1">
        <v>13748.697850168339</v>
      </c>
      <c r="V48" s="1">
        <v>11711.853724217473</v>
      </c>
      <c r="W48" s="1">
        <v>3498.3459176234014</v>
      </c>
      <c r="X48" s="1">
        <v>4831.0491243370789</v>
      </c>
      <c r="Y48" s="1">
        <v>3357.1697304715294</v>
      </c>
      <c r="Z48" s="1">
        <v>3357.1697304715294</v>
      </c>
      <c r="AA48" s="1">
        <v>2532.6017264960665</v>
      </c>
      <c r="AB48" s="1">
        <v>576.16689277785508</v>
      </c>
      <c r="AC48" s="1">
        <v>368.36899702190738</v>
      </c>
      <c r="AD48" s="1">
        <v>468.83326893697307</v>
      </c>
      <c r="AE48" s="1">
        <v>870.69035659723579</v>
      </c>
      <c r="AF48" s="1">
        <v>217.67258914930895</v>
      </c>
      <c r="AG48" s="1">
        <v>255.52869161005833</v>
      </c>
      <c r="AH48" s="1">
        <v>226.60091520137246</v>
      </c>
      <c r="AI48" s="1">
        <v>255.52869161005833</v>
      </c>
      <c r="AJ48" s="1">
        <v>542.99846967137398</v>
      </c>
      <c r="AK48" s="1">
        <v>481.52694480291655</v>
      </c>
      <c r="AL48" s="1">
        <v>59.514566211596424</v>
      </c>
      <c r="AM48" s="1">
        <v>101.33561273866418</v>
      </c>
      <c r="AN48" s="1">
        <v>128.97259803102716</v>
      </c>
      <c r="AO48" s="1">
        <v>85.981732020684774</v>
      </c>
      <c r="AP48" s="1">
        <v>70.348689835105716</v>
      </c>
      <c r="AQ48" s="1">
        <v>36.240234157478703</v>
      </c>
      <c r="AR48" s="1">
        <v>70.348689835105716</v>
      </c>
      <c r="AS48" s="1">
        <v>55.273970584725909</v>
      </c>
      <c r="AT48" s="1">
        <v>23.688844536311102</v>
      </c>
      <c r="AU48" s="1">
        <v>52.726783000176319</v>
      </c>
      <c r="AV48" s="1">
        <v>22.597192714361277</v>
      </c>
      <c r="AW48" s="1">
        <v>32.517911467007693</v>
      </c>
      <c r="AX48" s="1">
        <v>26.605563927551746</v>
      </c>
      <c r="AY48" s="1">
        <v>22.663998901247783</v>
      </c>
      <c r="AZ48" s="1">
        <v>22.663998901247783</v>
      </c>
      <c r="BA48" s="1">
        <v>0</v>
      </c>
      <c r="BB48" s="1">
        <v>11.215008524437144</v>
      </c>
      <c r="BC48" s="1">
        <v>0</v>
      </c>
      <c r="BD48" s="1">
        <v>5.3738582512927984</v>
      </c>
      <c r="BE48" s="1">
        <v>5.3738582512927984</v>
      </c>
      <c r="BF48" s="1">
        <v>0</v>
      </c>
      <c r="BG48" s="1">
        <v>0</v>
      </c>
      <c r="BH48" s="1">
        <v>0</v>
      </c>
      <c r="BI48" s="1">
        <v>0</v>
      </c>
      <c r="BJ48" s="1">
        <v>0</v>
      </c>
      <c r="BK48" s="1">
        <v>0</v>
      </c>
      <c r="BL48" s="1">
        <v>0</v>
      </c>
      <c r="BM48" s="1">
        <v>0</v>
      </c>
      <c r="BN48" s="1">
        <v>0</v>
      </c>
      <c r="BO48" s="1">
        <v>0</v>
      </c>
      <c r="BP48" s="1">
        <v>0</v>
      </c>
    </row>
    <row r="49" spans="1:68" x14ac:dyDescent="0.2">
      <c r="A49" s="1" t="s">
        <v>133</v>
      </c>
      <c r="B49" s="1">
        <v>400000</v>
      </c>
      <c r="C49" s="1">
        <v>575609.75609756098</v>
      </c>
      <c r="D49" s="1">
        <v>623577.23577235779</v>
      </c>
      <c r="E49" s="1">
        <v>575609.75609756098</v>
      </c>
      <c r="F49" s="1">
        <v>452264.80836236925</v>
      </c>
      <c r="G49" s="1">
        <v>401065.01873644063</v>
      </c>
      <c r="H49" s="1">
        <v>126652.1111799286</v>
      </c>
      <c r="I49" s="1">
        <v>257142.16512288532</v>
      </c>
      <c r="J49" s="1">
        <v>178692.01305149656</v>
      </c>
      <c r="K49" s="1">
        <v>119128.00870099771</v>
      </c>
      <c r="L49" s="1">
        <v>79418.672467331809</v>
      </c>
      <c r="M49" s="1">
        <v>89557.226399331616</v>
      </c>
      <c r="N49" s="1">
        <v>70366.392170903404</v>
      </c>
      <c r="O49" s="1">
        <v>37889.595784332603</v>
      </c>
      <c r="P49" s="1">
        <v>26330.058087417572</v>
      </c>
      <c r="Q49" s="1">
        <v>27404.754335883597</v>
      </c>
      <c r="R49" s="1">
        <v>16796.462334896401</v>
      </c>
      <c r="S49" s="1">
        <v>41122.373302677399</v>
      </c>
      <c r="T49" s="1">
        <v>10931.263789319308</v>
      </c>
      <c r="U49" s="1">
        <v>10502.586777973453</v>
      </c>
      <c r="V49" s="1">
        <v>13922.033635918297</v>
      </c>
      <c r="W49" s="1">
        <v>5149.2453173944386</v>
      </c>
      <c r="X49" s="1">
        <v>10454.528371679618</v>
      </c>
      <c r="Y49" s="1">
        <v>8214.2722920339857</v>
      </c>
      <c r="Z49" s="1">
        <v>5251.7478588414015</v>
      </c>
      <c r="AA49" s="1">
        <v>3802.9898288161871</v>
      </c>
      <c r="AB49" s="1">
        <v>932.11280704284741</v>
      </c>
      <c r="AC49" s="1">
        <v>524.31345396160168</v>
      </c>
      <c r="AD49" s="1">
        <v>615.49840247666282</v>
      </c>
      <c r="AE49" s="1">
        <v>483.60588766023506</v>
      </c>
      <c r="AF49" s="1">
        <v>322.40392510682341</v>
      </c>
      <c r="AG49" s="1">
        <v>483.60588766023511</v>
      </c>
      <c r="AH49" s="1">
        <v>272.02831180888222</v>
      </c>
      <c r="AI49" s="1">
        <v>166.72702981834718</v>
      </c>
      <c r="AJ49" s="1">
        <v>173.53221470889198</v>
      </c>
      <c r="AK49" s="1">
        <v>187.99323260129964</v>
      </c>
      <c r="AL49" s="1">
        <v>0</v>
      </c>
      <c r="AM49" s="1">
        <v>671.11585214403306</v>
      </c>
      <c r="AN49" s="1">
        <v>45.592474257530583</v>
      </c>
      <c r="AO49" s="1">
        <v>698.50833590501395</v>
      </c>
      <c r="AP49" s="1">
        <v>0</v>
      </c>
      <c r="AQ49" s="1">
        <v>0</v>
      </c>
      <c r="AR49" s="1">
        <v>242.74403162656512</v>
      </c>
      <c r="AS49" s="1">
        <v>155.19700382682032</v>
      </c>
      <c r="AT49" s="1">
        <v>155.19700382682032</v>
      </c>
      <c r="AU49" s="1">
        <v>155.19700382682032</v>
      </c>
      <c r="AV49" s="1">
        <v>223.33227379957069</v>
      </c>
      <c r="AW49" s="1">
        <v>66.709640225845789</v>
      </c>
      <c r="AX49" s="1">
        <v>0</v>
      </c>
      <c r="AY49" s="1">
        <v>313.82258569645552</v>
      </c>
      <c r="AZ49" s="1">
        <v>470.73387854468325</v>
      </c>
      <c r="BA49" s="1">
        <v>0</v>
      </c>
      <c r="BB49" s="1">
        <v>0</v>
      </c>
      <c r="BC49" s="1">
        <v>0</v>
      </c>
      <c r="BD49" s="1">
        <v>0</v>
      </c>
      <c r="BE49" s="1">
        <v>0</v>
      </c>
      <c r="BF49" s="1">
        <v>0</v>
      </c>
      <c r="BG49" s="1">
        <v>0</v>
      </c>
      <c r="BH49" s="1">
        <v>0</v>
      </c>
      <c r="BI49" s="1">
        <v>0</v>
      </c>
      <c r="BJ49" s="1">
        <v>0</v>
      </c>
      <c r="BK49" s="1">
        <v>0</v>
      </c>
      <c r="BL49" s="1">
        <v>0</v>
      </c>
      <c r="BM49" s="1">
        <v>0</v>
      </c>
      <c r="BN49" s="1">
        <v>0</v>
      </c>
      <c r="BO49" s="1">
        <v>0</v>
      </c>
      <c r="BP49" s="1">
        <v>0</v>
      </c>
    </row>
    <row r="50" spans="1:68" x14ac:dyDescent="0.2">
      <c r="A50" s="1" t="s">
        <v>145</v>
      </c>
      <c r="B50" s="1">
        <v>400000</v>
      </c>
      <c r="C50" s="1">
        <v>575609.75609756098</v>
      </c>
      <c r="D50" s="1">
        <v>490334.23667570006</v>
      </c>
      <c r="E50" s="1">
        <v>471105.44308057451</v>
      </c>
      <c r="F50" s="1">
        <v>385449.90797501552</v>
      </c>
      <c r="G50" s="1">
        <v>355799.91505386046</v>
      </c>
      <c r="H50" s="1">
        <v>100353.82219467859</v>
      </c>
      <c r="I50" s="1">
        <v>178406.79501276196</v>
      </c>
      <c r="J50" s="1">
        <v>151976.15871457499</v>
      </c>
      <c r="K50" s="1">
        <v>89255.839245067851</v>
      </c>
      <c r="L50" s="1">
        <v>64633.538763669829</v>
      </c>
      <c r="M50" s="1">
        <v>78996.547377818686</v>
      </c>
      <c r="N50" s="1">
        <v>59593.886618354452</v>
      </c>
      <c r="O50" s="1">
        <v>41412.700870381908</v>
      </c>
      <c r="P50" s="1">
        <v>46699.42864106896</v>
      </c>
      <c r="Q50" s="1">
        <v>26268.428610601291</v>
      </c>
      <c r="R50" s="1">
        <v>16794.56911169591</v>
      </c>
      <c r="S50" s="1">
        <v>31189.914064578119</v>
      </c>
      <c r="T50" s="1">
        <v>9316.4678374713876</v>
      </c>
      <c r="U50" s="1">
        <v>11386.794023576142</v>
      </c>
      <c r="V50" s="1">
        <v>13917.192695481952</v>
      </c>
      <c r="W50" s="1">
        <v>10934.937117878675</v>
      </c>
      <c r="X50" s="1">
        <v>8249.1630889260177</v>
      </c>
      <c r="Y50" s="1">
        <v>6223.0528565582244</v>
      </c>
      <c r="Z50" s="1">
        <v>4694.5837338948013</v>
      </c>
      <c r="AA50" s="1">
        <v>28838.157222496633</v>
      </c>
      <c r="AB50" s="1">
        <v>3045.3094026956446</v>
      </c>
      <c r="AC50" s="1">
        <v>2392.7431021180064</v>
      </c>
      <c r="AD50" s="1">
        <v>3304.2642838772467</v>
      </c>
      <c r="AE50" s="1">
        <v>2814.7436492287657</v>
      </c>
      <c r="AF50" s="1">
        <v>2397.7445900837633</v>
      </c>
      <c r="AG50" s="1">
        <v>2597.5566392574106</v>
      </c>
      <c r="AH50" s="1">
        <v>1592.0508434158323</v>
      </c>
      <c r="AI50" s="1">
        <v>1411.8186724630964</v>
      </c>
      <c r="AJ50" s="1">
        <v>1529.4702285016879</v>
      </c>
      <c r="AK50" s="1">
        <v>2968.9716200326884</v>
      </c>
      <c r="AL50" s="1">
        <v>223.47098215299806</v>
      </c>
      <c r="AM50" s="1">
        <v>707.65811015116049</v>
      </c>
      <c r="AN50" s="1">
        <v>317.93335383602863</v>
      </c>
      <c r="AO50" s="1">
        <v>565.21485126405094</v>
      </c>
      <c r="AP50" s="1">
        <v>612.31608886938864</v>
      </c>
      <c r="AQ50" s="1">
        <v>612.31608886938864</v>
      </c>
      <c r="AR50" s="1">
        <v>779.31138583376742</v>
      </c>
      <c r="AS50" s="1">
        <v>438.36265453149417</v>
      </c>
      <c r="AT50" s="1">
        <v>196.94554044168578</v>
      </c>
      <c r="AU50" s="1">
        <v>382.30604909268419</v>
      </c>
      <c r="AV50" s="1">
        <v>254.87069939512281</v>
      </c>
      <c r="AW50" s="1">
        <v>217.11207726251203</v>
      </c>
      <c r="AX50" s="1">
        <v>133.0686925157332</v>
      </c>
      <c r="AY50" s="1">
        <v>208.13308316563396</v>
      </c>
      <c r="AZ50" s="1">
        <v>339.58555674392909</v>
      </c>
      <c r="BA50" s="1">
        <v>113.1951855813097</v>
      </c>
      <c r="BB50" s="1">
        <v>18.427123234166697</v>
      </c>
      <c r="BC50" s="1">
        <v>0</v>
      </c>
      <c r="BD50" s="1">
        <v>47.507282757107724</v>
      </c>
      <c r="BE50" s="1">
        <v>47.507282757107724</v>
      </c>
      <c r="BF50" s="1">
        <v>0</v>
      </c>
      <c r="BG50" s="1">
        <v>0</v>
      </c>
      <c r="BH50" s="1">
        <v>0</v>
      </c>
      <c r="BI50" s="1">
        <v>43.354548250367536</v>
      </c>
      <c r="BJ50" s="1">
        <v>0</v>
      </c>
      <c r="BK50" s="1">
        <v>43.354548250367536</v>
      </c>
      <c r="BL50" s="1">
        <v>20.293618329959276</v>
      </c>
      <c r="BM50" s="1">
        <v>0</v>
      </c>
      <c r="BN50" s="1">
        <v>0</v>
      </c>
      <c r="BO50" s="1">
        <v>0</v>
      </c>
      <c r="BP50" s="1">
        <v>0</v>
      </c>
    </row>
    <row r="51" spans="1:68" x14ac:dyDescent="0.2">
      <c r="A51" s="1" t="s">
        <v>142</v>
      </c>
      <c r="B51" s="1">
        <v>400000</v>
      </c>
      <c r="C51" s="1">
        <v>469565.21739130438</v>
      </c>
      <c r="D51" s="1">
        <v>416406.89089417557</v>
      </c>
      <c r="E51" s="1">
        <v>266227.35647332534</v>
      </c>
      <c r="F51" s="1">
        <v>209178.63722904134</v>
      </c>
      <c r="G51" s="1">
        <v>185498.03678801775</v>
      </c>
      <c r="H51" s="1">
        <v>108943.29144693105</v>
      </c>
      <c r="I51" s="1">
        <v>118021.89906750864</v>
      </c>
      <c r="J51" s="1">
        <v>92731.492124471071</v>
      </c>
      <c r="K51" s="1">
        <v>75871.220829112688</v>
      </c>
      <c r="L51" s="1">
        <v>42677.561716375887</v>
      </c>
      <c r="M51" s="1">
        <v>14225.853905458629</v>
      </c>
      <c r="N51" s="1">
        <v>47625.684813926709</v>
      </c>
      <c r="O51" s="1">
        <v>25644.599515191305</v>
      </c>
      <c r="P51" s="1">
        <v>17096.399676794204</v>
      </c>
      <c r="Q51" s="1">
        <v>13432.885460338302</v>
      </c>
      <c r="R51" s="1">
        <v>14552.29258203316</v>
      </c>
      <c r="S51" s="1">
        <v>7167.5470926431981</v>
      </c>
      <c r="T51" s="1">
        <v>6105.6882641034645</v>
      </c>
      <c r="U51" s="1">
        <v>4070.458842735643</v>
      </c>
      <c r="V51" s="1">
        <v>7559.4235650804803</v>
      </c>
      <c r="W51" s="1">
        <v>2656.0136850282765</v>
      </c>
      <c r="X51" s="1">
        <v>2451.7049400261017</v>
      </c>
      <c r="Y51" s="1">
        <v>1775.3725427775219</v>
      </c>
      <c r="Z51" s="1">
        <v>3297.1204365868266</v>
      </c>
      <c r="AA51" s="1">
        <v>13188.481746347308</v>
      </c>
      <c r="AB51" s="1">
        <v>2472.8403274401203</v>
      </c>
      <c r="AC51" s="1">
        <v>1110.9862340673005</v>
      </c>
      <c r="AD51" s="1">
        <v>1252.8142639482328</v>
      </c>
      <c r="AE51" s="1">
        <v>2044.0653780208006</v>
      </c>
      <c r="AF51" s="1">
        <v>1149.7867751367003</v>
      </c>
      <c r="AG51" s="1">
        <v>832.60421647830015</v>
      </c>
      <c r="AH51" s="1">
        <v>340.07777856155923</v>
      </c>
      <c r="AI51" s="1">
        <v>874.48571630115214</v>
      </c>
      <c r="AJ51" s="1">
        <v>607.69346387029213</v>
      </c>
      <c r="AK51" s="1">
        <v>658.33458585948324</v>
      </c>
      <c r="AL51" s="1">
        <v>231.30674638306166</v>
      </c>
      <c r="AM51" s="1">
        <v>319.42360214803756</v>
      </c>
      <c r="AN51" s="1">
        <v>332.4613001948963</v>
      </c>
      <c r="AO51" s="1">
        <v>283.20777424009685</v>
      </c>
      <c r="AP51" s="1">
        <v>462.0758421812107</v>
      </c>
      <c r="AQ51" s="1">
        <v>51.341760242356749</v>
      </c>
      <c r="AR51" s="1">
        <v>376.50624177728281</v>
      </c>
      <c r="AS51" s="1">
        <v>125.5020805924276</v>
      </c>
      <c r="AT51" s="1">
        <v>130.62461449415935</v>
      </c>
      <c r="AU51" s="1">
        <v>437.30849200218563</v>
      </c>
      <c r="AV51" s="1">
        <v>23.016236421167665</v>
      </c>
      <c r="AW51" s="1">
        <v>11.33635525221691</v>
      </c>
      <c r="AX51" s="1">
        <v>17.004532878325364</v>
      </c>
      <c r="AY51" s="1">
        <v>225.91736538346552</v>
      </c>
      <c r="AZ51" s="1">
        <v>0</v>
      </c>
      <c r="BA51" s="1">
        <v>104.98777900891461</v>
      </c>
      <c r="BB51" s="1">
        <v>47.168422453280478</v>
      </c>
      <c r="BC51" s="1">
        <v>30.156860257015389</v>
      </c>
      <c r="BD51" s="1">
        <v>67.123334120453606</v>
      </c>
      <c r="BE51" s="1">
        <v>92.694128071102597</v>
      </c>
      <c r="BF51" s="1">
        <v>30.898042690367532</v>
      </c>
      <c r="BG51" s="1">
        <v>0</v>
      </c>
      <c r="BH51" s="1">
        <v>0</v>
      </c>
      <c r="BI51" s="1">
        <v>0</v>
      </c>
      <c r="BJ51" s="1">
        <v>0</v>
      </c>
      <c r="BK51" s="1">
        <v>0</v>
      </c>
      <c r="BL51" s="1">
        <v>0</v>
      </c>
      <c r="BM51" s="1">
        <v>0</v>
      </c>
      <c r="BN51" s="1">
        <v>0</v>
      </c>
      <c r="BO51" s="1">
        <v>0</v>
      </c>
      <c r="BP51" s="1">
        <v>0</v>
      </c>
    </row>
    <row r="52" spans="1:68" x14ac:dyDescent="0.2">
      <c r="A52" s="1" t="s">
        <v>128</v>
      </c>
      <c r="B52" s="1">
        <v>400000</v>
      </c>
      <c r="C52" s="1">
        <v>451063.82978723408</v>
      </c>
      <c r="D52" s="1">
        <v>488652.48226950364</v>
      </c>
      <c r="E52" s="1">
        <v>263120.56737588655</v>
      </c>
      <c r="F52" s="1">
        <v>252802.11375330275</v>
      </c>
      <c r="G52" s="1">
        <v>321748.1447769308</v>
      </c>
      <c r="H52" s="1">
        <v>242722.28465628118</v>
      </c>
      <c r="I52" s="1">
        <v>109049.14238180748</v>
      </c>
      <c r="J52" s="1">
        <v>193865.14201210221</v>
      </c>
      <c r="K52" s="1">
        <v>91230.65506451868</v>
      </c>
      <c r="L52" s="1">
        <v>35478.588080646157</v>
      </c>
      <c r="M52" s="1">
        <v>36926.693716590897</v>
      </c>
      <c r="N52" s="1">
        <v>55390.040574886334</v>
      </c>
      <c r="O52" s="1">
        <v>31156.897823373562</v>
      </c>
      <c r="P52" s="1">
        <v>28760.21337542175</v>
      </c>
      <c r="Q52" s="1">
        <v>35151.371903293249</v>
      </c>
      <c r="R52" s="1">
        <v>4793.3688959036244</v>
      </c>
      <c r="S52" s="1">
        <v>20434.888450957558</v>
      </c>
      <c r="T52" s="1">
        <v>6811.6294836525194</v>
      </c>
      <c r="U52" s="1">
        <v>2919.2697787082229</v>
      </c>
      <c r="V52" s="1">
        <v>1642.0892505233753</v>
      </c>
      <c r="W52" s="1">
        <v>3187.5850157218465</v>
      </c>
      <c r="X52" s="1">
        <v>1239.6163950029404</v>
      </c>
      <c r="Y52" s="1">
        <v>4395.0035822831524</v>
      </c>
      <c r="Z52" s="1">
        <v>1387.8958680894166</v>
      </c>
      <c r="AA52" s="1">
        <v>1839.7689414208544</v>
      </c>
      <c r="AB52" s="1">
        <v>412.84415045483973</v>
      </c>
      <c r="AC52" s="1">
        <v>194.27960021404223</v>
      </c>
      <c r="AD52" s="1">
        <v>291.41940032106334</v>
      </c>
      <c r="AE52" s="1">
        <v>258.42852481301838</v>
      </c>
      <c r="AF52" s="1">
        <v>172.28568320867896</v>
      </c>
      <c r="AG52" s="1">
        <v>70.37020863453084</v>
      </c>
      <c r="AH52" s="1">
        <v>264.72602295847315</v>
      </c>
      <c r="AI52" s="1">
        <v>162.25143342616099</v>
      </c>
      <c r="AJ52" s="1">
        <v>51.237294766156104</v>
      </c>
      <c r="AK52" s="1">
        <v>38.652696051661621</v>
      </c>
      <c r="AL52" s="1">
        <v>18.189504024311351</v>
      </c>
      <c r="AM52" s="1">
        <v>121.72975770116058</v>
      </c>
      <c r="AN52" s="1">
        <v>216.40845813539659</v>
      </c>
      <c r="AO52" s="1">
        <v>35.229283882506422</v>
      </c>
      <c r="AP52" s="1">
        <v>36.667213836894447</v>
      </c>
      <c r="AQ52" s="1">
        <v>62.43336410065811</v>
      </c>
      <c r="AR52" s="1">
        <v>16.596210710301524</v>
      </c>
      <c r="AS52" s="1">
        <v>17.273607065824034</v>
      </c>
      <c r="AT52" s="1">
        <v>44.417846740690365</v>
      </c>
      <c r="AU52" s="1">
        <v>34.899736724828138</v>
      </c>
      <c r="AV52" s="1">
        <v>10.424596684039573</v>
      </c>
      <c r="AW52" s="1">
        <v>5.1345028443777005</v>
      </c>
      <c r="AX52" s="1">
        <v>0</v>
      </c>
      <c r="AY52" s="1">
        <v>9.0170190889748589</v>
      </c>
      <c r="AZ52" s="1">
        <v>0</v>
      </c>
      <c r="BA52" s="1">
        <v>0</v>
      </c>
      <c r="BB52" s="1">
        <v>4.4164991456203389</v>
      </c>
      <c r="BC52" s="1">
        <v>0</v>
      </c>
      <c r="BD52" s="1">
        <v>13.813305838429569</v>
      </c>
      <c r="BE52" s="1">
        <v>5.6420544973867246</v>
      </c>
      <c r="BF52" s="1">
        <v>0</v>
      </c>
      <c r="BG52" s="1">
        <v>0</v>
      </c>
      <c r="BH52" s="1">
        <v>6.6930450969710291</v>
      </c>
      <c r="BI52" s="1">
        <v>0</v>
      </c>
      <c r="BJ52" s="1">
        <v>0</v>
      </c>
      <c r="BK52" s="1">
        <v>0</v>
      </c>
      <c r="BL52" s="1">
        <v>0</v>
      </c>
      <c r="BM52" s="1">
        <v>0</v>
      </c>
      <c r="BN52" s="1">
        <v>11.3899188492314</v>
      </c>
      <c r="BO52" s="1">
        <v>0</v>
      </c>
      <c r="BP52" s="1">
        <v>0</v>
      </c>
    </row>
    <row r="53" spans="1:68" x14ac:dyDescent="0.2">
      <c r="A53" s="1" t="s">
        <v>154</v>
      </c>
      <c r="B53" s="1">
        <v>400000</v>
      </c>
      <c r="C53" s="1">
        <v>369230.76923076925</v>
      </c>
      <c r="D53" s="1">
        <v>314529.91452991456</v>
      </c>
      <c r="E53" s="1">
        <v>257342.65734265733</v>
      </c>
      <c r="F53" s="1">
        <v>202197.80219780217</v>
      </c>
      <c r="G53" s="1">
        <v>158869.70172684456</v>
      </c>
      <c r="H53" s="1">
        <v>119849.07323253187</v>
      </c>
      <c r="I53" s="1">
        <v>79899.382155021245</v>
      </c>
      <c r="J53" s="1">
        <v>76766.073050902749</v>
      </c>
      <c r="K53" s="1">
        <v>49079.948344019795</v>
      </c>
      <c r="L53" s="1">
        <v>25283.609752979894</v>
      </c>
      <c r="M53" s="1">
        <v>49079.948344019795</v>
      </c>
      <c r="N53" s="1">
        <v>27607.470943511133</v>
      </c>
      <c r="O53" s="1">
        <v>25483.819332471812</v>
      </c>
      <c r="P53" s="1">
        <v>24484.453868453307</v>
      </c>
      <c r="Q53" s="1">
        <v>23524.279206945332</v>
      </c>
      <c r="R53" s="1">
        <v>11586.585281032776</v>
      </c>
      <c r="S53" s="1">
        <v>13065.723827547599</v>
      </c>
      <c r="T53" s="1">
        <v>7349.4696529955236</v>
      </c>
      <c r="U53" s="1">
        <v>5107.2585724206183</v>
      </c>
      <c r="V53" s="1">
        <v>2086.0633605661683</v>
      </c>
      <c r="W53" s="1">
        <v>2880.7541645913752</v>
      </c>
      <c r="X53" s="1">
        <v>2554.6310516187668</v>
      </c>
      <c r="Y53" s="1">
        <v>4349.7771959995216</v>
      </c>
      <c r="Z53" s="1">
        <v>4527.31912236685</v>
      </c>
      <c r="AA53" s="1">
        <v>3018.2127482445667</v>
      </c>
      <c r="AB53" s="1">
        <v>751.83679558772155</v>
      </c>
      <c r="AC53" s="1">
        <v>722.35299968232061</v>
      </c>
      <c r="AD53" s="1">
        <v>615.33774047012491</v>
      </c>
      <c r="AE53" s="1">
        <v>923.0066107051872</v>
      </c>
      <c r="AF53" s="1">
        <v>475.48825399964193</v>
      </c>
      <c r="AG53" s="1">
        <v>267.46214287479853</v>
      </c>
      <c r="AH53" s="1">
        <v>369.35248301757889</v>
      </c>
      <c r="AI53" s="1">
        <v>470.08497838600954</v>
      </c>
      <c r="AJ53" s="1">
        <v>201.46499073686124</v>
      </c>
      <c r="AK53" s="1">
        <v>428.11310531583013</v>
      </c>
      <c r="AL53" s="1">
        <v>1950.2930353276704</v>
      </c>
      <c r="AM53" s="1">
        <v>487.57325883191766</v>
      </c>
      <c r="AN53" s="1">
        <v>298.83522315504632</v>
      </c>
      <c r="AO53" s="1">
        <v>207.66515507384574</v>
      </c>
      <c r="AP53" s="1">
        <v>0</v>
      </c>
      <c r="AQ53" s="1">
        <v>0</v>
      </c>
      <c r="AR53" s="1">
        <v>707.97582983514519</v>
      </c>
      <c r="AS53" s="1">
        <v>512.67215263924311</v>
      </c>
      <c r="AT53" s="1">
        <v>0</v>
      </c>
      <c r="AU53" s="1">
        <v>265.00482053372031</v>
      </c>
      <c r="AV53" s="1">
        <v>265.00482053372031</v>
      </c>
      <c r="AW53" s="1">
        <v>0</v>
      </c>
      <c r="AX53" s="1">
        <v>0</v>
      </c>
      <c r="AY53" s="1">
        <v>134.25930315661503</v>
      </c>
      <c r="AZ53" s="1">
        <v>0</v>
      </c>
      <c r="BA53" s="1">
        <v>0</v>
      </c>
      <c r="BB53" s="1">
        <v>0</v>
      </c>
      <c r="BC53" s="1">
        <v>0</v>
      </c>
      <c r="BD53" s="1">
        <v>0</v>
      </c>
      <c r="BE53" s="1">
        <v>0</v>
      </c>
      <c r="BF53" s="1">
        <v>0</v>
      </c>
      <c r="BG53" s="1">
        <v>0</v>
      </c>
      <c r="BH53" s="1">
        <v>0</v>
      </c>
      <c r="BI53" s="1">
        <v>0</v>
      </c>
      <c r="BJ53" s="1">
        <v>0</v>
      </c>
      <c r="BK53" s="1">
        <v>0</v>
      </c>
      <c r="BL53" s="1">
        <v>140.62834030825709</v>
      </c>
      <c r="BM53" s="1">
        <v>0</v>
      </c>
      <c r="BN53" s="1">
        <v>0</v>
      </c>
      <c r="BO53" s="1">
        <v>0</v>
      </c>
      <c r="BP53" s="1">
        <v>0</v>
      </c>
    </row>
    <row r="54" spans="1:68" x14ac:dyDescent="0.2">
      <c r="A54" s="1" t="s">
        <v>147</v>
      </c>
      <c r="B54" s="1">
        <v>400000</v>
      </c>
      <c r="C54" s="1">
        <v>340740.74074074073</v>
      </c>
      <c r="D54" s="1">
        <v>369135.80246913579</v>
      </c>
      <c r="E54" s="1">
        <v>489319.55211024976</v>
      </c>
      <c r="F54" s="1">
        <v>354334.84807983605</v>
      </c>
      <c r="G54" s="1">
        <v>226541.95205104275</v>
      </c>
      <c r="H54" s="1">
        <v>111580.3644430509</v>
      </c>
      <c r="I54" s="1">
        <v>95049.940081117427</v>
      </c>
      <c r="J54" s="1">
        <v>120972.65101233128</v>
      </c>
      <c r="K54" s="1">
        <v>77343.170319359342</v>
      </c>
      <c r="L54" s="1">
        <v>43505.533304639626</v>
      </c>
      <c r="M54" s="1">
        <v>49059.431173317033</v>
      </c>
      <c r="N54" s="1">
        <v>27595.93003499083</v>
      </c>
      <c r="O54" s="1">
        <v>39711.216391816073</v>
      </c>
      <c r="P54" s="1">
        <v>28756.398076832327</v>
      </c>
      <c r="Q54" s="1">
        <v>19170.932051221553</v>
      </c>
      <c r="R54" s="1">
        <v>13322.1731203404</v>
      </c>
      <c r="S54" s="1">
        <v>15639.07279344308</v>
      </c>
      <c r="T54" s="1">
        <v>5213.0242644810269</v>
      </c>
      <c r="U54" s="1">
        <v>3774.9486053138471</v>
      </c>
      <c r="V54" s="1">
        <v>11954.003916827183</v>
      </c>
      <c r="W54" s="1">
        <v>2804.0256101199566</v>
      </c>
      <c r="X54" s="1">
        <v>3872.2258425466066</v>
      </c>
      <c r="Y54" s="1">
        <v>3298.5627547619242</v>
      </c>
      <c r="Z54" s="1">
        <v>5616.4717175676014</v>
      </c>
      <c r="AA54" s="1">
        <v>1973.3549277940222</v>
      </c>
      <c r="AB54" s="1">
        <v>486.23465420844713</v>
      </c>
      <c r="AC54" s="1">
        <v>943.86726993404443</v>
      </c>
      <c r="AD54" s="1">
        <v>629.2448466226964</v>
      </c>
      <c r="AE54" s="1">
        <v>296.1152219400924</v>
      </c>
      <c r="AF54" s="1">
        <v>504.19618870880595</v>
      </c>
      <c r="AG54" s="1">
        <v>668.35308735818455</v>
      </c>
      <c r="AH54" s="1">
        <v>616.94131140755496</v>
      </c>
      <c r="AI54" s="1">
        <v>0</v>
      </c>
      <c r="AJ54" s="1">
        <v>1699.2596009379608</v>
      </c>
      <c r="AK54" s="1">
        <v>3450.0119170558601</v>
      </c>
      <c r="AL54" s="1">
        <v>0</v>
      </c>
      <c r="AM54" s="1">
        <v>928.63761307953973</v>
      </c>
      <c r="AN54" s="1">
        <v>645.3244429874768</v>
      </c>
      <c r="AO54" s="1">
        <v>1505.7570336374458</v>
      </c>
      <c r="AP54" s="1">
        <v>0</v>
      </c>
      <c r="AQ54" s="1">
        <v>0</v>
      </c>
      <c r="AR54" s="1">
        <v>0</v>
      </c>
      <c r="AS54" s="1">
        <v>493.33873194850548</v>
      </c>
      <c r="AT54" s="1">
        <v>0</v>
      </c>
      <c r="AU54" s="1">
        <v>0</v>
      </c>
      <c r="AV54" s="1">
        <v>0</v>
      </c>
      <c r="AW54" s="1">
        <f>AS54/6*0</f>
        <v>0</v>
      </c>
      <c r="AX54" s="1">
        <v>0</v>
      </c>
      <c r="AY54" s="1">
        <v>0</v>
      </c>
      <c r="AZ54" s="1">
        <v>0</v>
      </c>
      <c r="BA54" s="1">
        <f>AS54/8*0</f>
        <v>0</v>
      </c>
      <c r="BB54" s="1">
        <v>286.81086354998973</v>
      </c>
      <c r="BC54" s="1">
        <v>0</v>
      </c>
      <c r="BD54" s="1">
        <f>AO54/9*0</f>
        <v>0</v>
      </c>
      <c r="BE54" s="1">
        <v>0</v>
      </c>
      <c r="BF54" s="1">
        <v>0</v>
      </c>
      <c r="BG54" s="1">
        <v>0</v>
      </c>
      <c r="BH54" s="1">
        <v>0</v>
      </c>
      <c r="BI54" s="1">
        <v>0</v>
      </c>
      <c r="BJ54" s="1">
        <v>0</v>
      </c>
      <c r="BK54" s="1">
        <v>0</v>
      </c>
      <c r="BL54" s="1">
        <v>0</v>
      </c>
      <c r="BM54" s="1">
        <v>0</v>
      </c>
      <c r="BN54" s="1">
        <v>0</v>
      </c>
      <c r="BO54" s="1">
        <v>0</v>
      </c>
      <c r="BP54" s="1">
        <v>0</v>
      </c>
    </row>
    <row r="55" spans="1:68" x14ac:dyDescent="0.2">
      <c r="A55" s="1" t="s">
        <v>150</v>
      </c>
      <c r="B55" s="1">
        <v>400000</v>
      </c>
      <c r="C55" s="1">
        <v>277966.10169491527</v>
      </c>
      <c r="D55" s="1">
        <v>353775.03852080129</v>
      </c>
      <c r="E55" s="1">
        <v>398937.80939579726</v>
      </c>
      <c r="F55" s="1">
        <v>383293.18941949151</v>
      </c>
      <c r="G55" s="1">
        <v>215602.41904846395</v>
      </c>
      <c r="H55" s="1">
        <v>176401.97922147048</v>
      </c>
      <c r="I55" s="1">
        <v>112781.59327274344</v>
      </c>
      <c r="J55" s="1">
        <v>104106.08609791701</v>
      </c>
      <c r="K55" s="1">
        <v>88682.962231558922</v>
      </c>
      <c r="L55" s="1">
        <v>56698.943066078653</v>
      </c>
      <c r="M55" s="1">
        <v>56698.943066078653</v>
      </c>
      <c r="N55" s="1">
        <v>25473.438189107801</v>
      </c>
      <c r="O55" s="1">
        <v>32420.739513409932</v>
      </c>
      <c r="P55" s="1">
        <v>31149.337963864444</v>
      </c>
      <c r="Q55" s="1">
        <v>25485.821970434543</v>
      </c>
      <c r="R55" s="1">
        <v>15620.342498008267</v>
      </c>
      <c r="S55" s="1">
        <v>15007.780047105982</v>
      </c>
      <c r="T55" s="1">
        <v>4232.9636030298925</v>
      </c>
      <c r="U55" s="1">
        <v>6906.4142996803503</v>
      </c>
      <c r="V55" s="1">
        <v>9155.0143042274412</v>
      </c>
      <c r="W55" s="1">
        <v>2582.1835217051757</v>
      </c>
      <c r="X55" s="1">
        <v>3715.8250678196432</v>
      </c>
      <c r="Y55" s="1">
        <v>6326.9453857469598</v>
      </c>
      <c r="Z55" s="1">
        <v>3116.2566825320846</v>
      </c>
      <c r="AA55" s="1">
        <v>1752.8943839242975</v>
      </c>
      <c r="AB55" s="1">
        <v>438.04830654268193</v>
      </c>
      <c r="AC55" s="1">
        <v>745.86603546456649</v>
      </c>
      <c r="AD55" s="1">
        <v>419.54964494881864</v>
      </c>
      <c r="AE55" s="1">
        <v>436.67412025285211</v>
      </c>
      <c r="AF55" s="1">
        <v>403.08380331032498</v>
      </c>
      <c r="AG55" s="1">
        <v>716.59342810724445</v>
      </c>
      <c r="AH55" s="1">
        <v>439.20242367863369</v>
      </c>
      <c r="AI55" s="1">
        <v>179.39253924901939</v>
      </c>
      <c r="AJ55" s="1">
        <v>568.07637428856151</v>
      </c>
      <c r="AK55" s="1">
        <v>428.54884376154644</v>
      </c>
      <c r="AL55" s="1">
        <v>87.775064384895074</v>
      </c>
      <c r="AM55" s="1">
        <v>103.04029297357248</v>
      </c>
      <c r="AN55" s="1">
        <v>84.30569425110474</v>
      </c>
      <c r="AO55" s="1">
        <v>359.40848601786757</v>
      </c>
      <c r="AP55" s="1">
        <v>107.3557815378046</v>
      </c>
      <c r="AQ55" s="1">
        <v>276.05772395435469</v>
      </c>
      <c r="AR55" s="1">
        <v>874.18279252212324</v>
      </c>
      <c r="AS55" s="1">
        <v>142.30882668964799</v>
      </c>
      <c r="AT55" s="1">
        <v>58.126140478870305</v>
      </c>
      <c r="AU55" s="1">
        <v>32.695954019364542</v>
      </c>
      <c r="AV55" s="1">
        <v>84.075310335508817</v>
      </c>
      <c r="AW55" s="1">
        <v>102.75871263228856</v>
      </c>
      <c r="AX55" s="1">
        <v>50.612500251724221</v>
      </c>
      <c r="AY55" s="1">
        <v>33.741666834482821</v>
      </c>
      <c r="AZ55" s="1">
        <v>303.67500151034534</v>
      </c>
      <c r="BA55" s="1">
        <v>0</v>
      </c>
      <c r="BB55" s="1">
        <v>68.977386205449321</v>
      </c>
      <c r="BC55" s="1">
        <v>0</v>
      </c>
      <c r="BD55" s="1">
        <v>0</v>
      </c>
      <c r="BE55" s="1">
        <v>29.620919601739505</v>
      </c>
      <c r="BF55" s="1">
        <v>0</v>
      </c>
      <c r="BG55" s="1">
        <v>0</v>
      </c>
      <c r="BH55" s="1">
        <v>0</v>
      </c>
      <c r="BI55" s="1">
        <v>0</v>
      </c>
      <c r="BJ55" s="1">
        <v>0</v>
      </c>
      <c r="BK55" s="1">
        <v>0</v>
      </c>
      <c r="BL55" s="1">
        <v>0</v>
      </c>
      <c r="BM55" s="1">
        <v>0</v>
      </c>
      <c r="BN55" s="1">
        <v>0</v>
      </c>
      <c r="BO55" s="1">
        <v>0</v>
      </c>
      <c r="BP55" s="1">
        <v>0</v>
      </c>
    </row>
    <row r="56" spans="1:68" x14ac:dyDescent="0.2">
      <c r="A56" s="1" t="s">
        <v>153</v>
      </c>
      <c r="B56" s="1">
        <v>400000</v>
      </c>
      <c r="C56" s="1">
        <v>277966.10169491527</v>
      </c>
      <c r="D56" s="1">
        <v>236785.93848085374</v>
      </c>
      <c r="E56" s="1">
        <v>289405.03592104348</v>
      </c>
      <c r="F56" s="1">
        <v>192936.69061402901</v>
      </c>
      <c r="G56" s="1">
        <v>192936.69061402901</v>
      </c>
      <c r="H56" s="1">
        <v>245555.78805421878</v>
      </c>
      <c r="I56" s="1">
        <v>81851.929351406259</v>
      </c>
      <c r="J56" s="1">
        <v>56880.154295045031</v>
      </c>
      <c r="K56" s="1">
        <v>69520.188582832823</v>
      </c>
      <c r="L56" s="1">
        <v>16307.204729306462</v>
      </c>
      <c r="M56" s="1">
        <v>57816.453131177455</v>
      </c>
      <c r="N56" s="1">
        <v>18257.827304582352</v>
      </c>
      <c r="O56" s="1">
        <v>19779.312913297552</v>
      </c>
      <c r="P56" s="1">
        <v>6246.0988147255421</v>
      </c>
      <c r="Q56" s="1">
        <v>32792.018777309095</v>
      </c>
      <c r="R56" s="1">
        <v>17657.24088008951</v>
      </c>
      <c r="S56" s="1">
        <v>31390.650453492464</v>
      </c>
      <c r="T56" s="1">
        <v>2362.7371309080349</v>
      </c>
      <c r="U56" s="1">
        <v>4586.4897247038325</v>
      </c>
      <c r="V56" s="1">
        <v>1006.790427374012</v>
      </c>
      <c r="W56" s="1">
        <v>967.30844982993301</v>
      </c>
      <c r="X56" s="1">
        <v>1877.7164026110465</v>
      </c>
      <c r="Y56" s="1">
        <v>1599.5361948168174</v>
      </c>
      <c r="Z56" s="1">
        <v>3399.0144139857371</v>
      </c>
      <c r="AA56" s="1">
        <v>903.53547713544901</v>
      </c>
      <c r="AB56" s="1">
        <v>220.10124223019537</v>
      </c>
      <c r="AC56" s="1">
        <v>374.7669800135759</v>
      </c>
      <c r="AD56" s="1">
        <v>184.58672149922396</v>
      </c>
      <c r="AE56" s="1">
        <v>276.88008224883589</v>
      </c>
      <c r="AF56" s="1">
        <v>177.0216919295836</v>
      </c>
      <c r="AG56" s="1">
        <v>177.0216919295836</v>
      </c>
      <c r="AH56" s="1">
        <v>207.80807313472857</v>
      </c>
      <c r="AI56" s="1">
        <v>163.27777174871528</v>
      </c>
      <c r="AJ56" s="1">
        <v>278.01350324781254</v>
      </c>
      <c r="AK56" s="1">
        <v>69.503375811953134</v>
      </c>
      <c r="AL56" s="1">
        <v>16.303260992927278</v>
      </c>
      <c r="AM56" s="1">
        <v>2212.1040991936857</v>
      </c>
      <c r="AN56" s="1">
        <v>218.77952629388096</v>
      </c>
      <c r="AO56" s="1">
        <v>732.43580541864492</v>
      </c>
      <c r="AP56" s="1">
        <v>270.90091433292349</v>
      </c>
      <c r="AQ56" s="1">
        <v>0</v>
      </c>
      <c r="AR56" s="1">
        <v>1300.209589048573</v>
      </c>
      <c r="AS56" s="1">
        <v>0</v>
      </c>
      <c r="AT56" s="1">
        <v>19.724577895451365</v>
      </c>
      <c r="AU56" s="1">
        <v>0</v>
      </c>
      <c r="AV56" s="1">
        <v>0</v>
      </c>
      <c r="AW56" s="1">
        <v>72.926508764626988</v>
      </c>
      <c r="AX56" s="1">
        <v>332.22076214996741</v>
      </c>
      <c r="AY56" s="1">
        <v>0</v>
      </c>
      <c r="AZ56" s="1">
        <v>0</v>
      </c>
      <c r="BA56" s="1">
        <v>145.85301752925398</v>
      </c>
      <c r="BB56" s="1">
        <v>0</v>
      </c>
      <c r="BC56" s="1">
        <v>0</v>
      </c>
      <c r="BD56" s="1">
        <v>0</v>
      </c>
      <c r="BE56" s="1">
        <v>0</v>
      </c>
      <c r="BF56" s="1">
        <v>0</v>
      </c>
      <c r="BG56" s="1">
        <v>0</v>
      </c>
      <c r="BH56" s="1">
        <v>0</v>
      </c>
      <c r="BI56" s="1">
        <v>0</v>
      </c>
      <c r="BJ56" s="1">
        <v>0</v>
      </c>
      <c r="BK56" s="1">
        <v>0</v>
      </c>
      <c r="BL56" s="1">
        <v>0</v>
      </c>
      <c r="BM56" s="1">
        <v>0</v>
      </c>
      <c r="BN56" s="1">
        <v>0</v>
      </c>
      <c r="BO56" s="1">
        <v>0</v>
      </c>
      <c r="BP56" s="1">
        <v>0</v>
      </c>
    </row>
    <row r="57" spans="1:68" x14ac:dyDescent="0.2">
      <c r="A57" s="1" t="s">
        <v>129</v>
      </c>
      <c r="B57" s="1">
        <v>400000</v>
      </c>
      <c r="C57" s="1">
        <v>255737.70491803277</v>
      </c>
      <c r="D57" s="1">
        <v>288385.07150331361</v>
      </c>
      <c r="E57" s="1">
        <v>192256.71433554241</v>
      </c>
      <c r="F57" s="1">
        <v>225692.66465476717</v>
      </c>
      <c r="G57" s="1">
        <v>192256.71433554241</v>
      </c>
      <c r="H57" s="1">
        <v>200103.92716556456</v>
      </c>
      <c r="I57" s="1">
        <v>66701.309055188191</v>
      </c>
      <c r="J57" s="1">
        <v>250923.97215999369</v>
      </c>
      <c r="K57" s="1">
        <v>58858.709519010859</v>
      </c>
      <c r="L57" s="1">
        <v>28990.11065861729</v>
      </c>
      <c r="M57" s="1">
        <v>20992.838752791831</v>
      </c>
      <c r="N57" s="1">
        <v>18616.290969456903</v>
      </c>
      <c r="O57" s="1">
        <v>19376.139580455143</v>
      </c>
      <c r="P57" s="1">
        <v>22745.902985751691</v>
      </c>
      <c r="Q57" s="1">
        <v>15806.474956200327</v>
      </c>
      <c r="R57" s="1">
        <f>Q57/51*19</f>
        <v>5888.686748388357</v>
      </c>
      <c r="S57" s="1">
        <v>16505.600383350677</v>
      </c>
      <c r="T57" s="1">
        <v>4930.2442703515007</v>
      </c>
      <c r="U57" s="1">
        <v>1451.8661480267035</v>
      </c>
      <c r="V57" s="1">
        <v>2152.9043978283494</v>
      </c>
      <c r="W57" s="1">
        <f>V57/20*15</f>
        <v>1614.6782983712619</v>
      </c>
      <c r="X57" s="1">
        <v>0</v>
      </c>
      <c r="Y57" s="1">
        <v>1236.7748668375623</v>
      </c>
      <c r="Z57" s="1">
        <v>758.0233054810866</v>
      </c>
      <c r="AA57" s="1">
        <v>1046.7940885215005</v>
      </c>
      <c r="AB57" s="1">
        <v>254.9990399638375</v>
      </c>
      <c r="AC57" s="1">
        <v>217.22140441363936</v>
      </c>
      <c r="AD57" s="1">
        <v>127.57447560801042</v>
      </c>
      <c r="AE57" s="1">
        <v>117.76105440739421</v>
      </c>
      <c r="AF57" s="1">
        <v>0</v>
      </c>
      <c r="AG57" s="1">
        <v>0</v>
      </c>
      <c r="AH57" s="1">
        <v>695.6858625961288</v>
      </c>
      <c r="AI57" s="1">
        <v>546.61032061124399</v>
      </c>
      <c r="AJ57" s="1">
        <v>0</v>
      </c>
      <c r="AK57" s="1">
        <v>0</v>
      </c>
      <c r="AL57" s="1">
        <v>0</v>
      </c>
      <c r="AM57" s="1">
        <v>0</v>
      </c>
      <c r="AN57" s="1">
        <v>68.596232972728217</v>
      </c>
      <c r="AO57" s="1">
        <v>0</v>
      </c>
      <c r="AP57" s="1">
        <v>0</v>
      </c>
      <c r="AQ57" s="1">
        <v>67.558578951951503</v>
      </c>
      <c r="AR57" s="1">
        <v>0</v>
      </c>
      <c r="AS57" s="1">
        <v>0</v>
      </c>
      <c r="AT57" s="1">
        <v>0</v>
      </c>
      <c r="AU57" s="1">
        <v>18.234441676294839</v>
      </c>
      <c r="AV57" s="1">
        <v>0</v>
      </c>
      <c r="AW57" s="1">
        <v>0</v>
      </c>
      <c r="AX57" s="1">
        <v>0</v>
      </c>
      <c r="AY57" s="1">
        <v>0</v>
      </c>
      <c r="AZ57" s="1">
        <v>0</v>
      </c>
      <c r="BA57" s="1">
        <v>0</v>
      </c>
      <c r="BB57" s="1">
        <v>0</v>
      </c>
      <c r="BC57" s="1">
        <v>0</v>
      </c>
      <c r="BD57" s="1">
        <v>0</v>
      </c>
      <c r="BE57" s="1">
        <v>0</v>
      </c>
      <c r="BF57" s="1">
        <v>0</v>
      </c>
      <c r="BG57" s="1">
        <v>0</v>
      </c>
      <c r="BH57" s="1">
        <v>0</v>
      </c>
      <c r="BI57" s="1">
        <v>0</v>
      </c>
      <c r="BJ57" s="1">
        <v>0</v>
      </c>
      <c r="BK57" s="1">
        <v>0</v>
      </c>
      <c r="BL57" s="1">
        <v>0</v>
      </c>
      <c r="BM57" s="1">
        <v>0</v>
      </c>
      <c r="BN57" s="1">
        <v>0</v>
      </c>
      <c r="BO57" s="1">
        <v>0</v>
      </c>
      <c r="BP57" s="1">
        <v>0</v>
      </c>
    </row>
    <row r="58" spans="1:68" x14ac:dyDescent="0.2">
      <c r="A58" s="1" t="s">
        <v>144</v>
      </c>
      <c r="B58" s="1">
        <v>400000</v>
      </c>
      <c r="C58" s="1">
        <v>197014.92537313435</v>
      </c>
      <c r="D58" s="1">
        <v>250746.26865671645</v>
      </c>
      <c r="E58" s="1">
        <v>213598.67330016586</v>
      </c>
      <c r="F58" s="1">
        <v>161135.84126152864</v>
      </c>
      <c r="G58" s="1">
        <v>116684.5747066242</v>
      </c>
      <c r="H58" s="1">
        <v>62830.155611259186</v>
      </c>
      <c r="I58" s="1">
        <v>83286.485345157533</v>
      </c>
      <c r="J58" s="1">
        <v>93918.802623262745</v>
      </c>
      <c r="K58" s="1">
        <v>83286.485345157533</v>
      </c>
      <c r="L58" s="1">
        <v>20821.621336289383</v>
      </c>
      <c r="M58" s="1">
        <v>12761.638883532201</v>
      </c>
      <c r="N58" s="1">
        <v>19960.512099883697</v>
      </c>
      <c r="O58" s="1">
        <v>25404.28812712471</v>
      </c>
      <c r="P58" s="1">
        <v>56545.028411987252</v>
      </c>
      <c r="Q58" s="1">
        <v>8449.257119032578</v>
      </c>
      <c r="R58" s="1">
        <v>4161.5744019115682</v>
      </c>
      <c r="S58" s="1">
        <v>4161.5744019115682</v>
      </c>
      <c r="T58" s="1">
        <v>2660.6787159762489</v>
      </c>
      <c r="U58" s="1">
        <v>2090.533276838481</v>
      </c>
      <c r="V58" s="1">
        <v>15330.577363482194</v>
      </c>
      <c r="W58" s="1">
        <v>1153.9144252083372</v>
      </c>
      <c r="X58" s="1">
        <v>835.59320446120967</v>
      </c>
      <c r="Y58" s="1">
        <v>1253.3898066918143</v>
      </c>
      <c r="Z58" s="1">
        <v>1156.9752061770594</v>
      </c>
      <c r="AA58" s="1">
        <v>472.56733773429181</v>
      </c>
      <c r="AB58" s="1">
        <v>83.691675512743089</v>
      </c>
      <c r="AC58" s="1">
        <v>55.794450341828728</v>
      </c>
      <c r="AD58" s="1">
        <v>35.671861693956075</v>
      </c>
      <c r="AE58" s="1">
        <v>58.201458553296746</v>
      </c>
      <c r="AF58" s="1">
        <v>34.181808991618723</v>
      </c>
      <c r="AG58" s="1">
        <v>31.552439069186509</v>
      </c>
      <c r="AH58" s="1">
        <v>30.315088517453706</v>
      </c>
      <c r="AI58" s="1">
        <v>15.616863781718576</v>
      </c>
      <c r="AJ58" s="1">
        <v>8.7844858772166976</v>
      </c>
      <c r="AK58" s="1">
        <v>35.13794350886679</v>
      </c>
      <c r="AL58" s="1">
        <v>466.83267804637302</v>
      </c>
      <c r="AM58" s="1">
        <v>29.797830513598278</v>
      </c>
      <c r="AN58" s="1">
        <v>19.865220342398857</v>
      </c>
      <c r="AO58" s="1">
        <v>6.6217401141329519</v>
      </c>
      <c r="AP58" s="1">
        <v>10.803891765164289</v>
      </c>
      <c r="AQ58" s="1">
        <v>0</v>
      </c>
      <c r="AR58" s="1">
        <v>356.49816706271139</v>
      </c>
      <c r="AS58" s="1">
        <v>386.20634765127073</v>
      </c>
      <c r="AT58" s="1">
        <v>24.651468999017283</v>
      </c>
      <c r="AU58" s="1">
        <v>164.97521560880796</v>
      </c>
      <c r="AV58" s="1">
        <v>38.697890081078405</v>
      </c>
      <c r="AW58" s="1">
        <v>75.119433686799255</v>
      </c>
      <c r="AX58" s="1">
        <v>0</v>
      </c>
      <c r="AY58" s="1">
        <v>2.9683662580595995</v>
      </c>
      <c r="AZ58" s="1">
        <v>0</v>
      </c>
      <c r="BA58" s="1">
        <v>0</v>
      </c>
      <c r="BB58" s="1">
        <v>0.8277175142666191</v>
      </c>
      <c r="BC58" s="1">
        <v>0</v>
      </c>
      <c r="BD58" s="1">
        <v>1.4952316386751829</v>
      </c>
      <c r="BE58" s="1">
        <v>0.24340980164479725</v>
      </c>
      <c r="BF58" s="1">
        <v>0</v>
      </c>
      <c r="BG58" s="1">
        <v>0</v>
      </c>
      <c r="BH58" s="1">
        <v>0</v>
      </c>
      <c r="BI58" s="1">
        <v>0</v>
      </c>
      <c r="BJ58" s="1">
        <v>0</v>
      </c>
      <c r="BK58" s="1">
        <v>0.20065879133736217</v>
      </c>
      <c r="BL58" s="1">
        <v>0</v>
      </c>
      <c r="BM58" s="1">
        <v>0</v>
      </c>
      <c r="BN58" s="1">
        <v>0</v>
      </c>
      <c r="BO58" s="1">
        <v>0</v>
      </c>
      <c r="BP58" s="1">
        <v>0</v>
      </c>
    </row>
    <row r="59" spans="1:68" x14ac:dyDescent="0.2">
      <c r="A59" s="1" t="s">
        <v>134</v>
      </c>
      <c r="B59" s="1">
        <v>400000</v>
      </c>
      <c r="C59" s="1">
        <v>179710.14492753622</v>
      </c>
      <c r="D59" s="1">
        <f>C59/72*58</f>
        <v>144766.50563607085</v>
      </c>
      <c r="E59" s="1">
        <v>171428.57142857145</v>
      </c>
      <c r="F59" s="1">
        <v>193313.06990881465</v>
      </c>
      <c r="G59" s="1">
        <f>F59/66*24</f>
        <v>70295.661785023505</v>
      </c>
      <c r="H59" s="1">
        <v>100000</v>
      </c>
      <c r="I59" s="1">
        <f>H59/64*17</f>
        <v>26562.5</v>
      </c>
      <c r="J59" s="1">
        <v>39594.243234335532</v>
      </c>
      <c r="K59" s="1">
        <v>42893.763503863491</v>
      </c>
      <c r="L59" s="1">
        <f>K59/40*15</f>
        <v>16085.161313948809</v>
      </c>
      <c r="M59" s="1">
        <f>L59/29*18</f>
        <v>9983.8932293475373</v>
      </c>
      <c r="N59" s="1">
        <f>M59/31*35</f>
        <v>11272.137517005285</v>
      </c>
      <c r="O59" s="1">
        <v>19047.61904761905</v>
      </c>
      <c r="P59" s="1">
        <f>O59/46*18</f>
        <v>7453.4161490683246</v>
      </c>
      <c r="Q59" s="1">
        <v>16809.832165983884</v>
      </c>
      <c r="R59" s="1">
        <v>9051.4480893759355</v>
      </c>
      <c r="S59" s="1">
        <f>R59/43*24</f>
        <v>5051.9710266284292</v>
      </c>
      <c r="T59" s="1">
        <f>S59/36*15</f>
        <v>2104.9879277618452</v>
      </c>
      <c r="U59" s="1">
        <f>T59/21*27</f>
        <v>2706.4130499795151</v>
      </c>
      <c r="V59" s="1">
        <f>U59/32*11</f>
        <v>930.3294859304583</v>
      </c>
      <c r="W59" s="1">
        <v>0</v>
      </c>
      <c r="X59" s="1">
        <v>0</v>
      </c>
      <c r="Y59" s="1">
        <v>1234.2883758239911</v>
      </c>
      <c r="Z59" s="1">
        <v>3100.7751937984503</v>
      </c>
      <c r="AA59" s="1">
        <v>4110.3299080584111</v>
      </c>
      <c r="AB59" s="1">
        <v>790.82747431043822</v>
      </c>
      <c r="AC59" s="1">
        <v>1605.6194175393746</v>
      </c>
      <c r="AD59" s="1">
        <v>0</v>
      </c>
      <c r="AE59" s="1">
        <v>966.56691304609114</v>
      </c>
      <c r="AF59" s="1">
        <v>823.37181481704056</v>
      </c>
      <c r="AG59" s="1">
        <v>0</v>
      </c>
      <c r="AH59" s="1">
        <f>AF59/17*0</f>
        <v>0</v>
      </c>
      <c r="AI59" s="1">
        <f>AF59/19*9</f>
        <v>390.01822807122971</v>
      </c>
      <c r="AJ59" s="1">
        <f>AF59/17*21</f>
        <v>1017.1063594798736</v>
      </c>
      <c r="AK59" s="1">
        <f>AF59/17*0</f>
        <v>0</v>
      </c>
      <c r="AL59" s="1">
        <v>0</v>
      </c>
      <c r="AM59" s="1">
        <v>782.91998248731647</v>
      </c>
      <c r="AN59" s="1">
        <v>1589.564812928794</v>
      </c>
      <c r="AO59" s="1">
        <v>1409.614079389685</v>
      </c>
      <c r="AP59" s="1">
        <v>0</v>
      </c>
      <c r="AQ59" s="1">
        <v>0</v>
      </c>
      <c r="AR59" s="1">
        <v>0</v>
      </c>
      <c r="AS59" s="1">
        <v>0</v>
      </c>
      <c r="AT59" s="1">
        <v>0</v>
      </c>
      <c r="AU59" s="1">
        <v>748.03050020178534</v>
      </c>
      <c r="AV59" s="1">
        <v>0</v>
      </c>
      <c r="AW59" s="1">
        <v>0</v>
      </c>
      <c r="AX59" s="1">
        <v>0</v>
      </c>
      <c r="AY59" s="1">
        <v>0</v>
      </c>
      <c r="AZ59" s="1">
        <v>0</v>
      </c>
      <c r="BA59" s="1">
        <v>0</v>
      </c>
      <c r="BB59" s="1">
        <v>0</v>
      </c>
      <c r="BC59" s="1">
        <v>0</v>
      </c>
      <c r="BD59" s="1">
        <v>0</v>
      </c>
      <c r="BE59" s="1">
        <v>0</v>
      </c>
      <c r="BF59" s="1">
        <v>0</v>
      </c>
      <c r="BG59" s="1">
        <v>0</v>
      </c>
      <c r="BH59" s="1">
        <v>0</v>
      </c>
      <c r="BI59" s="1">
        <v>0</v>
      </c>
      <c r="BJ59" s="1">
        <v>0</v>
      </c>
      <c r="BK59" s="1">
        <v>0</v>
      </c>
      <c r="BL59" s="1">
        <v>0</v>
      </c>
      <c r="BM59" s="1">
        <v>0</v>
      </c>
      <c r="BN59" s="1">
        <v>0</v>
      </c>
      <c r="BO59" s="1">
        <v>0</v>
      </c>
      <c r="BP59" s="1">
        <v>0</v>
      </c>
    </row>
    <row r="60" spans="1:68" x14ac:dyDescent="0.2">
      <c r="A60" s="1" t="s">
        <v>151</v>
      </c>
      <c r="B60" s="1">
        <v>400000</v>
      </c>
      <c r="C60" s="1">
        <v>119480.51948051948</v>
      </c>
      <c r="D60" s="1">
        <v>203439.80343980345</v>
      </c>
      <c r="E60" s="1">
        <v>159845.55984555982</v>
      </c>
      <c r="F60" s="1">
        <v>339671.81467181462</v>
      </c>
      <c r="G60" s="1">
        <v>95804.870804870792</v>
      </c>
      <c r="H60" s="1">
        <v>112466.58746658744</v>
      </c>
      <c r="I60" s="1">
        <v>68931.134253714888</v>
      </c>
      <c r="J60" s="1">
        <v>74675.395441524466</v>
      </c>
      <c r="K60" s="1">
        <v>98988.314887602188</v>
      </c>
      <c r="L60" s="1">
        <v>6318.4030779320547</v>
      </c>
      <c r="M60" s="1">
        <v>21152.914652207313</v>
      </c>
      <c r="N60" s="1">
        <v>9503.4833944699531</v>
      </c>
      <c r="O60" s="1">
        <v>22174.794587096556</v>
      </c>
      <c r="P60" s="1">
        <v>8623.5312283153289</v>
      </c>
      <c r="Q60" s="1">
        <v>21112.783352082359</v>
      </c>
      <c r="R60" s="1">
        <v>4021.4825432537828</v>
      </c>
      <c r="S60" s="1">
        <v>3863.7773454791241</v>
      </c>
      <c r="T60" s="1">
        <v>1655.9045766339102</v>
      </c>
      <c r="U60" s="1">
        <v>7059.3826688077224</v>
      </c>
      <c r="V60" s="1">
        <v>2745.3154823141144</v>
      </c>
      <c r="W60" s="1">
        <v>964.57030459685109</v>
      </c>
      <c r="X60" s="1">
        <v>1508.686886677126</v>
      </c>
      <c r="Y60" s="1">
        <v>2263.0303300156888</v>
      </c>
      <c r="Z60" s="1">
        <v>4594.6373366985199</v>
      </c>
      <c r="AA60" s="1">
        <v>1969.1302871565085</v>
      </c>
      <c r="AB60" s="1">
        <v>479.68013795132543</v>
      </c>
      <c r="AC60" s="1">
        <v>635.85506658664065</v>
      </c>
      <c r="AD60" s="1">
        <v>272.50931425141744</v>
      </c>
      <c r="AE60" s="1">
        <v>775.60343286941884</v>
      </c>
      <c r="AF60" s="1">
        <v>181.93166943850562</v>
      </c>
      <c r="AG60" s="1">
        <v>309.77554526015825</v>
      </c>
      <c r="AH60" s="1">
        <v>198.05321746141266</v>
      </c>
      <c r="AI60" s="1">
        <v>97.548599645173397</v>
      </c>
      <c r="AJ60" s="1">
        <v>166.09626426070065</v>
      </c>
      <c r="AK60" s="1">
        <v>337.22574865051342</v>
      </c>
      <c r="AL60" s="1">
        <v>37.469527627834822</v>
      </c>
      <c r="AM60" s="1">
        <v>250.75760797089455</v>
      </c>
      <c r="AN60" s="1">
        <v>240.92397628576143</v>
      </c>
      <c r="AO60" s="1">
        <v>282.82379824850256</v>
      </c>
      <c r="AP60" s="1">
        <v>21.287812771392666</v>
      </c>
      <c r="AQ60" s="1">
        <v>60.5883901955022</v>
      </c>
      <c r="AR60" s="1">
        <v>24.747370643233292</v>
      </c>
      <c r="AS60" s="1">
        <v>50.2446616089888</v>
      </c>
      <c r="AT60" s="1">
        <v>46.379687639066582</v>
      </c>
      <c r="AU60" s="1">
        <v>13.85367293114976</v>
      </c>
      <c r="AV60" s="1">
        <v>112.08880826112078</v>
      </c>
      <c r="AW60" s="1">
        <v>60.355512140603487</v>
      </c>
      <c r="AX60" s="1">
        <v>45.531351263964041</v>
      </c>
      <c r="AY60" s="1">
        <v>7.4120804383197285</v>
      </c>
      <c r="AZ60" s="1">
        <v>66.708723944877562</v>
      </c>
      <c r="BA60" s="1">
        <v>0</v>
      </c>
      <c r="BB60" s="1">
        <v>49.345874660939089</v>
      </c>
      <c r="BC60" s="1">
        <v>0</v>
      </c>
      <c r="BD60" s="1">
        <v>0</v>
      </c>
      <c r="BE60" s="1">
        <v>0</v>
      </c>
      <c r="BF60" s="1">
        <v>0</v>
      </c>
      <c r="BG60" s="1">
        <v>0</v>
      </c>
      <c r="BH60" s="1">
        <v>0</v>
      </c>
      <c r="BI60" s="1">
        <v>0</v>
      </c>
      <c r="BJ60" s="1">
        <v>0</v>
      </c>
      <c r="BK60" s="1">
        <v>0</v>
      </c>
      <c r="BL60" s="1">
        <v>0</v>
      </c>
      <c r="BM60" s="1">
        <v>0</v>
      </c>
      <c r="BN60" s="1">
        <v>0</v>
      </c>
      <c r="BO60" s="1">
        <v>0</v>
      </c>
      <c r="BP60" s="1">
        <v>0</v>
      </c>
    </row>
    <row r="61" spans="1:68" x14ac:dyDescent="0.2">
      <c r="A61" s="1" t="s">
        <v>162</v>
      </c>
      <c r="B61" s="1">
        <v>300000</v>
      </c>
      <c r="C61" s="1">
        <v>489473.68421052629</v>
      </c>
      <c r="D61" s="1">
        <v>384586.46616541344</v>
      </c>
      <c r="E61" s="1">
        <v>369504.64396284817</v>
      </c>
      <c r="F61" s="1">
        <v>290325.07739938068</v>
      </c>
      <c r="G61" s="1">
        <v>267992.37913788989</v>
      </c>
      <c r="H61" s="1">
        <v>94159.484561961319</v>
      </c>
      <c r="I61" s="1">
        <v>124816.06093097197</v>
      </c>
      <c r="J61" s="1">
        <v>135217.39934188631</v>
      </c>
      <c r="K61" s="1">
        <v>72809.368876400316</v>
      </c>
      <c r="L61" s="1">
        <v>54926.365994477434</v>
      </c>
      <c r="M61" s="1">
        <v>67132.225104361307</v>
      </c>
      <c r="N61" s="1">
        <v>48612.990592813359</v>
      </c>
      <c r="O61" s="1">
        <v>33781.908717039791</v>
      </c>
      <c r="P61" s="1">
        <v>36597.067776793112</v>
      </c>
      <c r="Q61" s="1">
        <v>23398.125299916908</v>
      </c>
      <c r="R61" s="1">
        <v>14340.786474142622</v>
      </c>
      <c r="S61" s="1">
        <v>19803.943226196956</v>
      </c>
      <c r="T61" s="1">
        <v>7324.7461247577785</v>
      </c>
      <c r="U61" s="1">
        <v>9322.4041587826287</v>
      </c>
      <c r="V61" s="1">
        <v>3807.7425437281158</v>
      </c>
      <c r="W61" s="1">
        <v>3658.41930671917</v>
      </c>
      <c r="X61" s="1">
        <v>7101.6374777489773</v>
      </c>
      <c r="Y61" s="1">
        <v>5810.4306636127994</v>
      </c>
      <c r="Z61" s="1">
        <v>4037.7569018326235</v>
      </c>
      <c r="AA61" s="1">
        <v>3879.4134939176188</v>
      </c>
      <c r="AB61" s="1">
        <v>966.36190133487878</v>
      </c>
      <c r="AC61" s="1">
        <v>892.02637046296502</v>
      </c>
      <c r="AD61" s="1">
        <v>892.02637046296502</v>
      </c>
      <c r="AE61" s="1">
        <v>729.83975765151672</v>
      </c>
      <c r="AF61" s="1">
        <v>486.55983843434456</v>
      </c>
      <c r="AG61" s="1">
        <v>903.6111285209256</v>
      </c>
      <c r="AH61" s="1">
        <v>425.22876636278852</v>
      </c>
      <c r="AI61" s="1">
        <v>392.51886125795863</v>
      </c>
      <c r="AJ61" s="1">
        <v>362.32510269965405</v>
      </c>
      <c r="AK61" s="1">
        <v>500.35371325190323</v>
      </c>
      <c r="AL61" s="1">
        <v>61.841470177201522</v>
      </c>
      <c r="AM61" s="1">
        <v>207.03448711497902</v>
      </c>
      <c r="AN61" s="1">
        <v>69.01149570499301</v>
      </c>
      <c r="AO61" s="1">
        <v>231.03848562106353</v>
      </c>
      <c r="AP61" s="1">
        <v>221.97815285161008</v>
      </c>
      <c r="AQ61" s="1">
        <v>181.61848869677186</v>
      </c>
      <c r="AR61" s="1">
        <v>240.75008966781385</v>
      </c>
      <c r="AS61" s="1">
        <v>118.57840237369936</v>
      </c>
      <c r="AT61" s="1">
        <v>63.849908970453498</v>
      </c>
      <c r="AU61" s="1">
        <v>164.18548020973753</v>
      </c>
      <c r="AV61" s="1">
        <v>38.51264350598781</v>
      </c>
      <c r="AW61" s="1">
        <v>311.60229745753776</v>
      </c>
      <c r="AX61" s="1">
        <v>12.983429060730742</v>
      </c>
      <c r="AY61" s="1">
        <v>73.572764677474211</v>
      </c>
      <c r="AZ61" s="1">
        <v>86.368028099643638</v>
      </c>
      <c r="BA61" s="1">
        <v>24.360213053745642</v>
      </c>
      <c r="BB61" s="1">
        <v>12.549200664050785</v>
      </c>
      <c r="BC61" s="1">
        <v>11.128536437931826</v>
      </c>
      <c r="BD61" s="1">
        <v>15.367978890477282</v>
      </c>
      <c r="BE61" s="1">
        <v>22.114896452150237</v>
      </c>
      <c r="BF61" s="1">
        <v>0</v>
      </c>
      <c r="BG61" s="1">
        <v>13.14504680095105</v>
      </c>
      <c r="BH61" s="1">
        <v>4.3816822669836837</v>
      </c>
      <c r="BI61" s="1">
        <v>0</v>
      </c>
      <c r="BJ61" s="1">
        <v>5.194413655214527</v>
      </c>
      <c r="BK61" s="1">
        <v>13.357063684837355</v>
      </c>
      <c r="BL61" s="1">
        <v>0</v>
      </c>
      <c r="BM61" s="1">
        <v>0</v>
      </c>
      <c r="BN61" s="1">
        <v>0</v>
      </c>
      <c r="BO61" s="1">
        <v>0</v>
      </c>
      <c r="BP61" s="1">
        <v>0</v>
      </c>
    </row>
    <row r="62" spans="1:68" x14ac:dyDescent="0.2">
      <c r="A62" s="1" t="s">
        <v>159</v>
      </c>
      <c r="B62" s="1">
        <v>300000</v>
      </c>
      <c r="C62" s="1">
        <v>266037.73584905663</v>
      </c>
      <c r="D62" s="1">
        <v>255604.8834628191</v>
      </c>
      <c r="E62" s="1">
        <v>312405.9686767789</v>
      </c>
      <c r="F62" s="1">
        <v>199734.96358023569</v>
      </c>
      <c r="G62" s="1">
        <v>127699.40294474087</v>
      </c>
      <c r="H62" s="1">
        <v>54728.31554774609</v>
      </c>
      <c r="I62" s="1">
        <v>61714.909021926454</v>
      </c>
      <c r="J62" s="1">
        <v>59294.716511262675</v>
      </c>
      <c r="K62" s="1">
        <v>52582.107094893312</v>
      </c>
      <c r="L62" s="1">
        <v>30881.5549604929</v>
      </c>
      <c r="M62" s="1">
        <v>13874.321793844638</v>
      </c>
      <c r="N62" s="1">
        <v>18391.542843003357</v>
      </c>
      <c r="O62" s="1">
        <v>17670.305868767929</v>
      </c>
      <c r="P62" s="1">
        <v>62649.266261995392</v>
      </c>
      <c r="Q62" s="1">
        <v>11055.752869763892</v>
      </c>
      <c r="R62" s="1">
        <v>6218.8609892421882</v>
      </c>
      <c r="S62" s="1">
        <v>3811.5599611484377</v>
      </c>
      <c r="T62" s="1">
        <v>2875.3873391119796</v>
      </c>
      <c r="U62" s="1">
        <v>4895.9297936231005</v>
      </c>
      <c r="V62" s="1">
        <v>13237.143516092085</v>
      </c>
      <c r="W62" s="1">
        <v>8113.0879614757941</v>
      </c>
      <c r="X62" s="1">
        <v>736.26274453199721</v>
      </c>
      <c r="Y62" s="1">
        <v>736.26274453199721</v>
      </c>
      <c r="Z62" s="1">
        <v>1494.8364813225398</v>
      </c>
      <c r="AA62" s="1">
        <v>421.62054601404964</v>
      </c>
      <c r="AB62" s="1">
        <v>0</v>
      </c>
      <c r="AC62" s="1">
        <v>0</v>
      </c>
      <c r="AD62" s="1">
        <v>0</v>
      </c>
      <c r="AE62" s="1">
        <v>0</v>
      </c>
      <c r="AF62" s="1">
        <v>0</v>
      </c>
      <c r="AG62" s="1">
        <v>0</v>
      </c>
      <c r="AH62" s="1">
        <v>0</v>
      </c>
      <c r="AI62" s="1">
        <v>300.72703649898472</v>
      </c>
      <c r="AJ62" s="1">
        <v>512.04873782259563</v>
      </c>
      <c r="AK62" s="1">
        <v>1253.636565013941</v>
      </c>
      <c r="AL62" s="1">
        <v>12675.658601807625</v>
      </c>
      <c r="AM62" s="1">
        <v>954.0818302435847</v>
      </c>
      <c r="AN62" s="1">
        <v>609.98674392622627</v>
      </c>
      <c r="AO62" s="1">
        <v>0</v>
      </c>
      <c r="AP62" s="1">
        <v>373.862843051558</v>
      </c>
      <c r="AQ62" s="1">
        <v>0</v>
      </c>
      <c r="AR62" s="1">
        <v>247.61841591301325</v>
      </c>
      <c r="AS62" s="1">
        <v>247.61841591301325</v>
      </c>
      <c r="AT62" s="1">
        <v>0</v>
      </c>
      <c r="AU62" s="1">
        <v>540.9316408402384</v>
      </c>
      <c r="AV62" s="1">
        <v>0</v>
      </c>
      <c r="AW62" s="1">
        <v>2600.4698030539121</v>
      </c>
      <c r="AX62" s="1">
        <v>0</v>
      </c>
      <c r="AY62" s="1">
        <v>0</v>
      </c>
      <c r="AZ62" s="1">
        <v>0</v>
      </c>
      <c r="BA62" s="1">
        <v>0</v>
      </c>
      <c r="BB62" s="1">
        <v>0</v>
      </c>
      <c r="BC62" s="1">
        <v>0</v>
      </c>
      <c r="BD62" s="1">
        <v>0</v>
      </c>
      <c r="BE62" s="1">
        <v>0</v>
      </c>
      <c r="BF62" s="1">
        <v>0</v>
      </c>
      <c r="BG62" s="1">
        <v>0</v>
      </c>
      <c r="BH62" s="1">
        <v>0</v>
      </c>
      <c r="BI62" s="1">
        <v>0</v>
      </c>
      <c r="BJ62" s="1">
        <v>0</v>
      </c>
      <c r="BK62" s="1">
        <v>0</v>
      </c>
      <c r="BL62" s="1">
        <v>0</v>
      </c>
      <c r="BM62" s="1">
        <v>0</v>
      </c>
      <c r="BN62" s="1">
        <v>0</v>
      </c>
      <c r="BO62" s="1">
        <v>0</v>
      </c>
      <c r="BP62" s="1">
        <v>0</v>
      </c>
    </row>
    <row r="63" spans="1:68" x14ac:dyDescent="0.2">
      <c r="A63" s="1" t="s">
        <v>168</v>
      </c>
      <c r="B63" s="1">
        <v>300000</v>
      </c>
      <c r="C63" s="1">
        <v>208474.57627118644</v>
      </c>
      <c r="D63" s="1">
        <v>225847.45762711865</v>
      </c>
      <c r="E63" s="1">
        <v>200279.82091461463</v>
      </c>
      <c r="F63" s="1">
        <v>192425.7102905121</v>
      </c>
      <c r="G63" s="1">
        <v>108239.46203841305</v>
      </c>
      <c r="H63" s="1">
        <v>143480.21712068707</v>
      </c>
      <c r="I63" s="1">
        <v>58604.595725351057</v>
      </c>
      <c r="J63" s="1">
        <v>35918.945767150653</v>
      </c>
      <c r="K63" s="1">
        <v>53878.418650725973</v>
      </c>
      <c r="L63" s="1">
        <v>20952.718364171214</v>
      </c>
      <c r="M63" s="1">
        <v>20952.718364171214</v>
      </c>
      <c r="N63" s="1">
        <v>15172.658125779157</v>
      </c>
      <c r="O63" s="1">
        <v>13454.99871531359</v>
      </c>
      <c r="P63" s="1">
        <v>7244.9993082457786</v>
      </c>
      <c r="Q63" s="1">
        <v>14709.544050074763</v>
      </c>
      <c r="R63" s="1">
        <v>13578.040661607471</v>
      </c>
      <c r="S63" s="1">
        <v>6389.6661936976334</v>
      </c>
      <c r="T63" s="1">
        <v>4440.2765074847957</v>
      </c>
      <c r="U63" s="1">
        <v>3349.6822775762498</v>
      </c>
      <c r="V63" s="1">
        <v>1967.2737185765277</v>
      </c>
      <c r="W63" s="1">
        <v>1367.088516298943</v>
      </c>
      <c r="X63" s="1">
        <v>1212.323778604723</v>
      </c>
      <c r="Y63" s="1">
        <v>1032.7202558484678</v>
      </c>
      <c r="Z63" s="1">
        <v>1212.3237786047232</v>
      </c>
      <c r="AA63" s="1">
        <v>952.54011176085385</v>
      </c>
      <c r="AB63" s="1">
        <v>238.03977392903735</v>
      </c>
      <c r="AC63" s="1">
        <v>483.29287434077276</v>
      </c>
      <c r="AD63" s="1">
        <v>85.286977824842239</v>
      </c>
      <c r="AE63" s="1">
        <v>199.00294825796522</v>
      </c>
      <c r="AF63" s="1">
        <v>169.52102999752591</v>
      </c>
      <c r="AG63" s="1">
        <v>243.94489682570804</v>
      </c>
      <c r="AH63" s="1">
        <v>253.90183139002266</v>
      </c>
      <c r="AI63" s="1">
        <v>93.908896541515233</v>
      </c>
      <c r="AJ63" s="1">
        <v>314.39065363898578</v>
      </c>
      <c r="AK63" s="1">
        <v>99.281259043890245</v>
      </c>
      <c r="AL63" s="1">
        <v>0</v>
      </c>
      <c r="AM63" s="1">
        <v>389.06567945161635</v>
      </c>
      <c r="AN63" s="1">
        <v>14.835130661730727</v>
      </c>
      <c r="AO63" s="1">
        <v>456.72927587798443</v>
      </c>
      <c r="AP63" s="1">
        <v>0</v>
      </c>
      <c r="AQ63" s="1">
        <v>47.813623845456029</v>
      </c>
      <c r="AR63" s="1">
        <v>0</v>
      </c>
      <c r="AS63" s="1">
        <v>82.829574935726413</v>
      </c>
      <c r="AT63" s="1">
        <v>168.16913699071728</v>
      </c>
      <c r="AU63" s="1">
        <v>168.16913699071728</v>
      </c>
      <c r="AV63" s="1">
        <v>0</v>
      </c>
      <c r="AW63" s="1">
        <v>9.8900871078204844</v>
      </c>
      <c r="AX63" s="1">
        <v>0</v>
      </c>
      <c r="AY63" s="1">
        <v>14.835130661730727</v>
      </c>
      <c r="AZ63" s="1">
        <v>1.8335554750453704</v>
      </c>
      <c r="BA63" s="1">
        <v>0</v>
      </c>
      <c r="BB63" s="1">
        <v>14.835130661730727</v>
      </c>
      <c r="BC63" s="1">
        <v>0</v>
      </c>
      <c r="BD63" s="1">
        <v>0</v>
      </c>
      <c r="BE63" s="1">
        <v>0</v>
      </c>
      <c r="BF63" s="1">
        <v>0</v>
      </c>
      <c r="BG63" s="1">
        <v>0</v>
      </c>
      <c r="BH63" s="1">
        <v>0</v>
      </c>
      <c r="BI63" s="1">
        <v>0</v>
      </c>
      <c r="BJ63" s="1">
        <v>0</v>
      </c>
      <c r="BK63" s="1">
        <v>0</v>
      </c>
      <c r="BL63" s="1">
        <v>0</v>
      </c>
      <c r="BM63" s="1">
        <v>0</v>
      </c>
      <c r="BN63" s="1">
        <v>0</v>
      </c>
      <c r="BO63" s="1">
        <v>0</v>
      </c>
      <c r="BP63" s="1">
        <v>0</v>
      </c>
    </row>
    <row r="64" spans="1:68" x14ac:dyDescent="0.2">
      <c r="A64" s="1" t="s">
        <v>161</v>
      </c>
      <c r="B64" s="1">
        <v>300000</v>
      </c>
      <c r="C64" s="1">
        <v>183870.96774193548</v>
      </c>
      <c r="D64" s="1">
        <v>215848.52734922862</v>
      </c>
      <c r="E64" s="1">
        <v>169595.2714886796</v>
      </c>
      <c r="F64" s="1">
        <v>215848.52734922862</v>
      </c>
      <c r="G64" s="1">
        <v>149996.43425963345</v>
      </c>
      <c r="H64" s="1">
        <v>88093.143930260907</v>
      </c>
      <c r="I64" s="1">
        <v>37754.204541540392</v>
      </c>
      <c r="J64" s="1">
        <v>70114.951291432168</v>
      </c>
      <c r="K64" s="1">
        <v>42973.679823781007</v>
      </c>
      <c r="L64" s="1">
        <v>22137.956272856882</v>
      </c>
      <c r="M64" s="1">
        <v>20435.036559560194</v>
      </c>
      <c r="N64" s="1">
        <v>19633.662576832343</v>
      </c>
      <c r="O64" s="1">
        <v>20435.036559560198</v>
      </c>
      <c r="P64" s="1">
        <v>7558.1642069606214</v>
      </c>
      <c r="Q64" s="1">
        <v>10437.464857231333</v>
      </c>
      <c r="R64" s="1">
        <v>5871.0739821926236</v>
      </c>
      <c r="S64" s="1">
        <v>4251.4673664153479</v>
      </c>
      <c r="T64" s="1">
        <v>3340.4386450406305</v>
      </c>
      <c r="U64" s="1">
        <v>2519.980030469248</v>
      </c>
      <c r="V64" s="1">
        <v>2622.8363582435031</v>
      </c>
      <c r="W64" s="1">
        <v>1071.2993575924168</v>
      </c>
      <c r="X64" s="1">
        <v>912.58834165279939</v>
      </c>
      <c r="Y64" s="1">
        <v>1694.806920212342</v>
      </c>
      <c r="Z64" s="1">
        <v>1129.8712801415613</v>
      </c>
      <c r="AA64" s="1">
        <v>1085.5626024889511</v>
      </c>
      <c r="AB64" s="1">
        <v>255.75854914639689</v>
      </c>
      <c r="AC64" s="1">
        <v>156.75523979940454</v>
      </c>
      <c r="AD64" s="1">
        <v>104.50349319960304</v>
      </c>
      <c r="AE64" s="1">
        <v>144.31434775183277</v>
      </c>
      <c r="AF64" s="1">
        <v>77.707725712525331</v>
      </c>
      <c r="AG64" s="1">
        <v>61.056070202698471</v>
      </c>
      <c r="AH64" s="1">
        <v>37.421462382299062</v>
      </c>
      <c r="AI64" s="1">
        <v>66.527044235198332</v>
      </c>
      <c r="AJ64" s="1">
        <v>29.888961902770269</v>
      </c>
      <c r="AK64" s="1">
        <v>69.740911106463955</v>
      </c>
      <c r="AL64" s="1">
        <v>27.12146543029154</v>
      </c>
      <c r="AM64" s="1">
        <v>46.179792489415327</v>
      </c>
      <c r="AN64" s="1">
        <v>66.453847728670837</v>
      </c>
      <c r="AO64" s="1">
        <v>20.98542559852763</v>
      </c>
      <c r="AP64" s="1">
        <v>18.609717040203744</v>
      </c>
      <c r="AQ64" s="1">
        <v>8.3608873658886385</v>
      </c>
      <c r="AR64" s="1">
        <v>29.643146115423356</v>
      </c>
      <c r="AS64" s="1">
        <v>18.168379877194958</v>
      </c>
      <c r="AT64" s="1">
        <v>7.7864485187978394</v>
      </c>
      <c r="AU64" s="1">
        <v>26.067675475975374</v>
      </c>
      <c r="AV64" s="1">
        <v>7.7864485187978385</v>
      </c>
      <c r="AW64" s="1">
        <v>8.1042627440548927</v>
      </c>
      <c r="AX64" s="1">
        <v>0</v>
      </c>
      <c r="AY64" s="1">
        <v>9.0618883266369323</v>
      </c>
      <c r="AZ64" s="1">
        <v>0</v>
      </c>
      <c r="BA64" s="1">
        <v>0</v>
      </c>
      <c r="BB64" s="1">
        <v>5.001902517211783</v>
      </c>
      <c r="BC64" s="1">
        <v>0</v>
      </c>
      <c r="BD64" s="1">
        <v>5.001902517211783</v>
      </c>
      <c r="BE64" s="1">
        <v>4.0924656959005494</v>
      </c>
      <c r="BF64" s="1">
        <v>0</v>
      </c>
      <c r="BG64" s="1">
        <v>0</v>
      </c>
      <c r="BH64" s="1">
        <v>0</v>
      </c>
      <c r="BI64" s="1">
        <v>0</v>
      </c>
      <c r="BJ64" s="1">
        <v>0</v>
      </c>
      <c r="BK64" s="1">
        <v>0</v>
      </c>
      <c r="BL64" s="1">
        <v>0</v>
      </c>
      <c r="BM64" s="1">
        <v>0</v>
      </c>
      <c r="BN64" s="1">
        <v>0</v>
      </c>
      <c r="BO64" s="1">
        <v>0</v>
      </c>
      <c r="BP64" s="1">
        <v>0</v>
      </c>
    </row>
    <row r="65" spans="1:68" x14ac:dyDescent="0.2">
      <c r="A65" s="1" t="s">
        <v>177</v>
      </c>
      <c r="B65" s="1">
        <v>300000</v>
      </c>
      <c r="C65" s="1">
        <v>168750</v>
      </c>
      <c r="D65" s="1">
        <v>263942.30769230769</v>
      </c>
      <c r="E65" s="1">
        <v>207383.24175824175</v>
      </c>
      <c r="F65" s="1">
        <v>156447.00694042799</v>
      </c>
      <c r="G65" s="1">
        <v>128002.0965876229</v>
      </c>
      <c r="H65" s="1">
        <v>68924.205854873857</v>
      </c>
      <c r="I65" s="1">
        <v>99183.613303355058</v>
      </c>
      <c r="J65" s="1">
        <v>74822.725825338028</v>
      </c>
      <c r="K65" s="1">
        <v>71888.501283167905</v>
      </c>
      <c r="L65" s="1">
        <v>26588.897734870323</v>
      </c>
      <c r="M65" s="1">
        <v>13697.310954327135</v>
      </c>
      <c r="N65" s="1">
        <v>23322.448381692149</v>
      </c>
      <c r="O65" s="1">
        <v>34983.67257253822</v>
      </c>
      <c r="P65" s="1">
        <v>15717.302170270796</v>
      </c>
      <c r="Q65" s="1">
        <v>7061.396627223111</v>
      </c>
      <c r="R65" s="1">
        <v>3972.035602813</v>
      </c>
      <c r="S65" s="1">
        <v>3522.3711949473773</v>
      </c>
      <c r="T65" s="1">
        <v>3666.1414478023726</v>
      </c>
      <c r="U65" s="1">
        <v>1647.1070272735299</v>
      </c>
      <c r="V65" s="1">
        <v>5215.8389196995113</v>
      </c>
      <c r="W65" s="1">
        <v>9272.6025239102437</v>
      </c>
      <c r="X65" s="1">
        <v>1509.4934341249234</v>
      </c>
      <c r="Y65" s="1">
        <v>1393.3785545768521</v>
      </c>
      <c r="Z65" s="1">
        <v>1051.1452253825378</v>
      </c>
      <c r="AA65" s="1">
        <v>1051.1452253825378</v>
      </c>
      <c r="AB65" s="1">
        <v>245.02195203666955</v>
      </c>
      <c r="AC65" s="1">
        <v>150.17474479666842</v>
      </c>
      <c r="AD65" s="1">
        <v>169.34598881326443</v>
      </c>
      <c r="AE65" s="1">
        <v>183.45815454770312</v>
      </c>
      <c r="AF65" s="1">
        <v>103.195211933083</v>
      </c>
      <c r="AG65" s="1">
        <v>74.727567261887685</v>
      </c>
      <c r="AH65" s="1">
        <v>182.95369915841468</v>
      </c>
      <c r="AI65" s="1">
        <v>0</v>
      </c>
      <c r="AJ65" s="1">
        <f>AF65/26*8</f>
        <v>31.752372902487078</v>
      </c>
      <c r="AK65" s="1">
        <v>750.28076015676641</v>
      </c>
      <c r="AL65" s="1">
        <v>3198.5653459314781</v>
      </c>
      <c r="AM65" s="1">
        <v>355.39614954794206</v>
      </c>
      <c r="AN65" s="1">
        <v>452.32237215192634</v>
      </c>
      <c r="AO65" s="1">
        <v>0</v>
      </c>
      <c r="AP65" s="1">
        <v>0</v>
      </c>
      <c r="AQ65" s="1">
        <v>0</v>
      </c>
      <c r="AR65" s="1">
        <v>246.56492941071872</v>
      </c>
      <c r="AS65" s="1">
        <v>313.8099101590966</v>
      </c>
      <c r="AT65" s="1">
        <v>0</v>
      </c>
      <c r="AU65" s="1">
        <v>184.75139144233611</v>
      </c>
      <c r="AV65" s="1">
        <v>0</v>
      </c>
      <c r="AW65" s="1">
        <v>254.43133433545856</v>
      </c>
      <c r="AX65" s="1">
        <v>0</v>
      </c>
      <c r="AY65" s="1">
        <v>0</v>
      </c>
      <c r="AZ65" s="1">
        <v>0</v>
      </c>
      <c r="BA65" s="1">
        <v>0</v>
      </c>
      <c r="BB65" s="1">
        <v>50.258041350214036</v>
      </c>
      <c r="BC65" s="1">
        <v>0</v>
      </c>
      <c r="BD65" s="1">
        <v>0</v>
      </c>
      <c r="BE65" s="1">
        <v>0</v>
      </c>
      <c r="BF65" s="1">
        <v>0</v>
      </c>
      <c r="BG65" s="1">
        <v>0</v>
      </c>
      <c r="BH65" s="1">
        <v>0</v>
      </c>
      <c r="BI65" s="1">
        <v>0</v>
      </c>
      <c r="BJ65" s="1">
        <v>0</v>
      </c>
      <c r="BK65" s="1">
        <v>0</v>
      </c>
      <c r="BL65" s="1">
        <v>0</v>
      </c>
      <c r="BM65" s="1">
        <v>0</v>
      </c>
      <c r="BN65" s="1">
        <v>0</v>
      </c>
      <c r="BO65" s="1">
        <v>0</v>
      </c>
      <c r="BP65" s="1">
        <v>0</v>
      </c>
    </row>
    <row r="66" spans="1:68" x14ac:dyDescent="0.2">
      <c r="A66" s="1" t="s">
        <v>178</v>
      </c>
      <c r="B66" s="1">
        <v>300000</v>
      </c>
      <c r="C66" s="1">
        <v>161538.4615384615</v>
      </c>
      <c r="D66" s="1">
        <v>161538.4615384615</v>
      </c>
      <c r="E66" s="1">
        <v>197435.89743589741</v>
      </c>
      <c r="F66" s="1">
        <v>115954.41595441593</v>
      </c>
      <c r="G66" s="1">
        <v>87474.383965612025</v>
      </c>
      <c r="H66" s="1">
        <v>77571.623516674808</v>
      </c>
      <c r="I66" s="1">
        <v>49594.972412300289</v>
      </c>
      <c r="J66" s="1">
        <v>30396.918575280823</v>
      </c>
      <c r="K66" s="1">
        <v>25893.67137894292</v>
      </c>
      <c r="L66" s="1">
        <v>22057.57191539582</v>
      </c>
      <c r="M66" s="1">
        <v>14705.047943597216</v>
      </c>
      <c r="N66" s="1">
        <v>10648.482993639363</v>
      </c>
      <c r="O66" s="1">
        <v>12500.393079489688</v>
      </c>
      <c r="P66" s="1">
        <v>6439.5964348886273</v>
      </c>
      <c r="Q66" s="1">
        <v>10964.718253999556</v>
      </c>
      <c r="R66" s="1">
        <v>8271.629560034753</v>
      </c>
      <c r="S66" s="1">
        <v>6240.0012470437614</v>
      </c>
      <c r="T66" s="1">
        <v>2192.432870582943</v>
      </c>
      <c r="U66" s="1">
        <v>2192.432870582943</v>
      </c>
      <c r="V66" s="1">
        <v>1233.2434897029052</v>
      </c>
      <c r="W66" s="1">
        <v>4128.684726396682</v>
      </c>
      <c r="X66" s="1">
        <v>1032.1711815991705</v>
      </c>
      <c r="Y66" s="1">
        <v>2790.6850465459052</v>
      </c>
      <c r="Z66" s="1">
        <v>1437.6256300387995</v>
      </c>
      <c r="AA66" s="1">
        <v>881.12538615281255</v>
      </c>
      <c r="AB66" s="1">
        <v>211.47009267667502</v>
      </c>
      <c r="AC66" s="1">
        <v>140.98006178445004</v>
      </c>
      <c r="AD66" s="1">
        <v>102.0890102577052</v>
      </c>
      <c r="AE66" s="1">
        <v>146.90857573669771</v>
      </c>
      <c r="AF66" s="1">
        <v>75.680175379510942</v>
      </c>
      <c r="AG66" s="1">
        <v>54.802885619645856</v>
      </c>
      <c r="AH66" s="1">
        <v>148.17076482348693</v>
      </c>
      <c r="AI66" s="1">
        <v>72.979630435448783</v>
      </c>
      <c r="AJ66" s="1">
        <v>50.714658438193219</v>
      </c>
      <c r="AK66" s="1">
        <v>36.724407834553709</v>
      </c>
      <c r="AL66" s="1">
        <v>21.568303013944242</v>
      </c>
      <c r="AM66" s="1">
        <v>33.735038047451248</v>
      </c>
      <c r="AN66" s="1">
        <v>11.245012682483749</v>
      </c>
      <c r="AO66" s="1">
        <v>51.227279997981519</v>
      </c>
      <c r="AP66" s="1">
        <v>26.389810908051086</v>
      </c>
      <c r="AQ66" s="1">
        <v>8.3336244972792901</v>
      </c>
      <c r="AR66" s="1">
        <v>19.445123826985011</v>
      </c>
      <c r="AS66" s="1">
        <v>18.682569951416973</v>
      </c>
      <c r="AT66" s="1">
        <v>3.0413485967422984</v>
      </c>
      <c r="AU66" s="1">
        <v>9.1240457902268943</v>
      </c>
      <c r="AV66" s="1">
        <v>4.4939330011565302</v>
      </c>
      <c r="AW66" s="1">
        <v>8.3458755735764143</v>
      </c>
      <c r="AX66" s="1">
        <v>2.2185238866468948</v>
      </c>
      <c r="AY66" s="1">
        <v>2.2185238866468948</v>
      </c>
      <c r="AZ66" s="1">
        <v>0</v>
      </c>
      <c r="BA66" s="1">
        <v>0</v>
      </c>
      <c r="BB66" s="1">
        <v>1.3898330281721487</v>
      </c>
      <c r="BC66" s="1">
        <v>0</v>
      </c>
      <c r="BD66" s="1">
        <v>1.9844140027912498</v>
      </c>
      <c r="BE66" s="1">
        <v>5.9532420083737492</v>
      </c>
      <c r="BF66" s="1">
        <v>0</v>
      </c>
      <c r="BG66" s="1">
        <v>0</v>
      </c>
      <c r="BH66" s="1">
        <v>0</v>
      </c>
      <c r="BI66" s="1">
        <v>2.8112531706209372</v>
      </c>
      <c r="BJ66" s="1">
        <v>0</v>
      </c>
      <c r="BK66" s="1">
        <v>0</v>
      </c>
      <c r="BL66" s="1">
        <v>1.5334108203386929</v>
      </c>
      <c r="BM66" s="1">
        <v>0</v>
      </c>
      <c r="BN66" s="1">
        <v>0</v>
      </c>
      <c r="BO66" s="1">
        <v>0</v>
      </c>
      <c r="BP66" s="1">
        <v>0</v>
      </c>
    </row>
    <row r="67" spans="1:68" x14ac:dyDescent="0.2">
      <c r="A67" s="1" t="s">
        <v>184</v>
      </c>
      <c r="B67" s="1">
        <v>300000</v>
      </c>
      <c r="C67" s="1">
        <v>154545.45454545456</v>
      </c>
      <c r="D67" s="1">
        <v>131649.83164983167</v>
      </c>
      <c r="E67" s="1">
        <v>234044.14515525632</v>
      </c>
      <c r="F67" s="1">
        <v>216040.74937408272</v>
      </c>
      <c r="G67" s="1">
        <v>79905.482645208671</v>
      </c>
      <c r="H67" s="1">
        <v>76771.934306180876</v>
      </c>
      <c r="I67" s="1">
        <v>28395.098989957314</v>
      </c>
      <c r="J67" s="1">
        <v>30761.357239120425</v>
      </c>
      <c r="K67" s="1">
        <v>50189.582863828058</v>
      </c>
      <c r="L67" s="1">
        <v>17634.177762966614</v>
      </c>
      <c r="M67" s="1">
        <v>26451.266644449915</v>
      </c>
      <c r="N67" s="1">
        <v>12447.654891505843</v>
      </c>
      <c r="O67" s="1">
        <v>21653.62249661512</v>
      </c>
      <c r="P67" s="1">
        <v>10189.939998407115</v>
      </c>
      <c r="Q67" s="1">
        <v>10605.855916709448</v>
      </c>
      <c r="R67" s="1">
        <v>8333.1725059859946</v>
      </c>
      <c r="S67" s="1">
        <v>7098.6284310251058</v>
      </c>
      <c r="T67" s="1">
        <f>S67/38*18</f>
        <v>3362.5082041697869</v>
      </c>
      <c r="U67" s="1">
        <v>2676.2904209299586</v>
      </c>
      <c r="V67" s="1">
        <v>2189.6921625790569</v>
      </c>
      <c r="W67" s="1">
        <f>V67/26*12</f>
        <v>1010.6271519595648</v>
      </c>
      <c r="X67" s="1">
        <v>1882.9236953578366</v>
      </c>
      <c r="Y67" s="1">
        <v>1479.4400463525856</v>
      </c>
      <c r="Z67" s="1">
        <v>3003.7116092613105</v>
      </c>
      <c r="AA67" s="1">
        <v>1287.3049753977045</v>
      </c>
      <c r="AB67" s="1">
        <v>321.31132185926703</v>
      </c>
      <c r="AC67" s="1">
        <v>571.22012774980806</v>
      </c>
      <c r="AD67" s="1">
        <f>AC67/20*13</f>
        <v>371.2930830373752</v>
      </c>
      <c r="AE67" s="1">
        <v>462.374829016994</v>
      </c>
      <c r="AF67" s="1">
        <v>823.03104984443405</v>
      </c>
      <c r="AG67" s="1">
        <v>1479.4400463525856</v>
      </c>
      <c r="AH67" s="1">
        <v>1311.9562675202171</v>
      </c>
      <c r="AI67" s="1">
        <v>675.85625902556637</v>
      </c>
      <c r="AJ67" s="1">
        <v>675.85625902556637</v>
      </c>
      <c r="AK67" s="1">
        <v>703.44222878171206</v>
      </c>
      <c r="AL67" s="1">
        <v>793.24336437086697</v>
      </c>
      <c r="AM67" s="1">
        <v>1051.5086457939399</v>
      </c>
      <c r="AN67" s="1">
        <v>85.354731732729945</v>
      </c>
      <c r="AO67" s="1">
        <v>541.68627207566601</v>
      </c>
      <c r="AP67" s="1">
        <v>0</v>
      </c>
      <c r="AQ67" s="1">
        <v>0</v>
      </c>
      <c r="AR67" s="1">
        <v>0</v>
      </c>
      <c r="AS67" s="1">
        <v>342.19499346014925</v>
      </c>
      <c r="AT67" s="1">
        <v>133.07583079005806</v>
      </c>
      <c r="AU67" s="1">
        <v>0</v>
      </c>
      <c r="AV67" s="1">
        <v>541.68627207566601</v>
      </c>
      <c r="AW67" s="1">
        <v>662.06099920359179</v>
      </c>
      <c r="AX67" s="1">
        <v>777.20204254334692</v>
      </c>
      <c r="AY67" s="1">
        <v>0</v>
      </c>
      <c r="AZ67" s="1">
        <v>318.13320740951815</v>
      </c>
      <c r="BA67" s="1">
        <v>0</v>
      </c>
      <c r="BB67" s="1">
        <v>392.25557633065472</v>
      </c>
      <c r="BC67" s="1">
        <v>0</v>
      </c>
      <c r="BD67" s="1">
        <v>0</v>
      </c>
      <c r="BE67" s="1">
        <v>0</v>
      </c>
      <c r="BF67" s="1">
        <v>0</v>
      </c>
      <c r="BG67" s="1">
        <v>0</v>
      </c>
      <c r="BH67" s="1">
        <v>0</v>
      </c>
      <c r="BI67" s="1">
        <v>0</v>
      </c>
      <c r="BJ67" s="1">
        <v>0</v>
      </c>
      <c r="BK67" s="1">
        <v>0</v>
      </c>
      <c r="BL67" s="1">
        <v>0</v>
      </c>
      <c r="BM67" s="1">
        <v>0</v>
      </c>
      <c r="BN67" s="1">
        <v>0</v>
      </c>
      <c r="BO67" s="1">
        <v>0</v>
      </c>
      <c r="BP67" s="1">
        <v>0</v>
      </c>
    </row>
    <row r="68" spans="1:68" x14ac:dyDescent="0.2">
      <c r="A68" s="1" t="s">
        <v>189</v>
      </c>
      <c r="B68" s="1">
        <v>200000</v>
      </c>
      <c r="C68" s="1">
        <v>157142.85714285713</v>
      </c>
      <c r="D68" s="1">
        <v>192063.49206349207</v>
      </c>
      <c r="E68" s="1">
        <v>184531.59041394334</v>
      </c>
      <c r="F68" s="1">
        <v>199909.2229484386</v>
      </c>
      <c r="G68" s="1">
        <v>98462.751601469761</v>
      </c>
      <c r="H68" s="1">
        <v>65641.834400979846</v>
      </c>
      <c r="I68" s="1">
        <v>80228.908712308708</v>
      </c>
      <c r="J68" s="1">
        <v>83503.558047504979</v>
      </c>
      <c r="K68" s="1">
        <v>37516.091296705134</v>
      </c>
      <c r="L68" s="1">
        <v>17654.631198449471</v>
      </c>
      <c r="M68" s="1">
        <v>24380.204988334983</v>
      </c>
      <c r="N68" s="1">
        <v>12559.499539445294</v>
      </c>
      <c r="O68" s="1">
        <v>18073.426166518839</v>
      </c>
      <c r="P68" s="1">
        <v>10166.302218666846</v>
      </c>
      <c r="Q68" s="1">
        <v>9767.6237002877533</v>
      </c>
      <c r="R68" s="1">
        <v>6244.8741690364332</v>
      </c>
      <c r="S68" s="1">
        <v>7948.0216696827347</v>
      </c>
      <c r="T68" s="1">
        <v>1744.6876835888929</v>
      </c>
      <c r="U68" s="1">
        <v>4070.9379283740836</v>
      </c>
      <c r="V68" s="1">
        <v>5858.1789700992913</v>
      </c>
      <c r="W68" s="1">
        <v>650.90877445547676</v>
      </c>
      <c r="X68" s="1">
        <v>1208.8305811315997</v>
      </c>
      <c r="Y68" s="1">
        <v>1419.0619865457911</v>
      </c>
      <c r="Z68" s="1">
        <v>1881.0821682118624</v>
      </c>
      <c r="AA68" s="1">
        <v>695.74271974959299</v>
      </c>
      <c r="AB68" s="1">
        <v>156.12466631180868</v>
      </c>
      <c r="AC68" s="1">
        <v>183.27678219212322</v>
      </c>
      <c r="AD68" s="1">
        <v>112.33093102097875</v>
      </c>
      <c r="AE68" s="1">
        <v>91.907125380800792</v>
      </c>
      <c r="AF68" s="1">
        <v>103.63994989749877</v>
      </c>
      <c r="AG68" s="1">
        <v>81.431389205177595</v>
      </c>
      <c r="AH68" s="1">
        <v>88.217338305609076</v>
      </c>
      <c r="AI68" s="1">
        <v>63.881520841992781</v>
      </c>
      <c r="AJ68" s="1">
        <v>81.303753798899919</v>
      </c>
      <c r="AK68" s="1">
        <v>66.521253108190834</v>
      </c>
      <c r="AL68" s="1">
        <v>78.378423675494275</v>
      </c>
      <c r="AM68" s="1">
        <v>391.35527985914604</v>
      </c>
      <c r="AN68" s="1">
        <v>347.05090855433701</v>
      </c>
      <c r="AO68" s="1">
        <v>499.41472206599713</v>
      </c>
      <c r="AP68" s="1">
        <v>268.91561957399847</v>
      </c>
      <c r="AQ68" s="1">
        <v>0</v>
      </c>
      <c r="AR68" s="1">
        <v>94.874007238580859</v>
      </c>
      <c r="AS68" s="1">
        <v>154.7944328629477</v>
      </c>
      <c r="AT68" s="1">
        <v>7.6365325913384678</v>
      </c>
      <c r="AU68" s="1">
        <v>0</v>
      </c>
      <c r="AV68" s="1">
        <v>212.70862137201303</v>
      </c>
      <c r="AW68" s="1">
        <v>395.03029683373853</v>
      </c>
      <c r="AX68" s="1">
        <v>323.20660650033153</v>
      </c>
      <c r="AY68" s="1">
        <v>0</v>
      </c>
      <c r="AZ68" s="1">
        <v>0</v>
      </c>
      <c r="BA68" s="1">
        <v>0</v>
      </c>
      <c r="BB68" s="1">
        <v>76.18190675583007</v>
      </c>
      <c r="BC68" s="1">
        <v>0</v>
      </c>
      <c r="BD68" s="1">
        <v>0</v>
      </c>
      <c r="BE68" s="1">
        <v>0</v>
      </c>
      <c r="BF68" s="1">
        <v>0</v>
      </c>
      <c r="BG68" s="1">
        <v>0</v>
      </c>
      <c r="BH68" s="1">
        <v>0</v>
      </c>
      <c r="BI68" s="1">
        <v>0</v>
      </c>
      <c r="BJ68" s="1">
        <v>0</v>
      </c>
      <c r="BK68" s="1">
        <v>0</v>
      </c>
      <c r="BL68" s="1">
        <v>0</v>
      </c>
      <c r="BM68" s="1">
        <v>0</v>
      </c>
      <c r="BN68" s="1">
        <v>0</v>
      </c>
      <c r="BO68" s="1">
        <v>0</v>
      </c>
      <c r="BP68" s="1">
        <v>0</v>
      </c>
    </row>
  </sheetData>
  <conditionalFormatting sqref="A2:BP68">
    <cfRule type="colorScale" priority="3">
      <colorScale>
        <cfvo type="min"/>
        <cfvo type="max"/>
        <color rgb="FFFFEF9C"/>
        <color rgb="FF63BE7B"/>
      </colorScale>
    </cfRule>
    <cfRule type="cellIs" dxfId="23" priority="4" operator="equal">
      <formula>#DIV/0!</formula>
    </cfRule>
  </conditionalFormatting>
  <conditionalFormatting sqref="A1:XFD1">
    <cfRule type="colorScale" priority="1">
      <colorScale>
        <cfvo type="min"/>
        <cfvo type="max"/>
        <color rgb="FFFFEF9C"/>
        <color rgb="FF63BE7B"/>
      </colorScale>
    </cfRule>
    <cfRule type="cellIs" dxfId="22" priority="2" operator="equal">
      <formula>#DIV/0!</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filterMode="1"/>
  <dimension ref="A36:H148"/>
  <sheetViews>
    <sheetView topLeftCell="AX1" workbookViewId="0">
      <selection activeCell="O137" sqref="O137"/>
    </sheetView>
  </sheetViews>
  <sheetFormatPr baseColWidth="10" defaultColWidth="8.83203125" defaultRowHeight="15" x14ac:dyDescent="0.2"/>
  <cols>
    <col min="1" max="1" width="12.1640625" style="70" bestFit="1" customWidth="1"/>
    <col min="2" max="2" width="7.1640625" style="72" customWidth="1"/>
    <col min="3" max="6" width="7.1640625" style="74" customWidth="1"/>
    <col min="7" max="7" width="6.83203125" hidden="1" customWidth="1"/>
    <col min="8" max="8" width="12.33203125" bestFit="1" customWidth="1"/>
    <col min="9" max="9" width="5.33203125" bestFit="1" customWidth="1"/>
    <col min="10" max="10" width="7.33203125" bestFit="1" customWidth="1"/>
    <col min="11" max="11" width="6.6640625" bestFit="1" customWidth="1"/>
    <col min="12" max="12" width="5.1640625" bestFit="1" customWidth="1"/>
    <col min="13" max="13" width="8.5" bestFit="1" customWidth="1"/>
    <col min="14" max="14" width="6.6640625" bestFit="1" customWidth="1"/>
    <col min="15" max="15" width="7" bestFit="1" customWidth="1"/>
    <col min="16" max="16" width="8.1640625" bestFit="1" customWidth="1"/>
    <col min="17" max="17" width="7.33203125" bestFit="1" customWidth="1"/>
    <col min="18" max="18" width="5.33203125" bestFit="1" customWidth="1"/>
    <col min="19" max="19" width="6.83203125" bestFit="1" customWidth="1"/>
    <col min="20" max="20" width="6.33203125" bestFit="1" customWidth="1"/>
    <col min="21" max="21" width="8.1640625" bestFit="1" customWidth="1"/>
    <col min="22" max="22" width="6.83203125" bestFit="1" customWidth="1"/>
    <col min="23" max="23" width="9.33203125" bestFit="1" customWidth="1"/>
    <col min="24" max="24" width="7.5" bestFit="1" customWidth="1"/>
    <col min="25" max="25" width="5" bestFit="1" customWidth="1"/>
    <col min="26" max="26" width="8.6640625" bestFit="1" customWidth="1"/>
    <col min="27" max="27" width="4.1640625" bestFit="1" customWidth="1"/>
    <col min="28" max="28" width="6.6640625" bestFit="1" customWidth="1"/>
    <col min="29" max="29" width="5.33203125" bestFit="1" customWidth="1"/>
    <col min="30" max="30" width="4.5" bestFit="1" customWidth="1"/>
    <col min="31" max="31" width="5.5" bestFit="1" customWidth="1"/>
    <col min="32" max="32" width="9.5" bestFit="1" customWidth="1"/>
    <col min="33" max="33" width="5.83203125" bestFit="1" customWidth="1"/>
    <col min="34" max="34" width="7.83203125" bestFit="1" customWidth="1"/>
    <col min="35" max="35" width="7" bestFit="1" customWidth="1"/>
    <col min="36" max="36" width="8.1640625" bestFit="1" customWidth="1"/>
    <col min="37" max="37" width="10.6640625" bestFit="1" customWidth="1"/>
    <col min="38" max="38" width="11" bestFit="1" customWidth="1"/>
    <col min="39" max="39" width="6.6640625" bestFit="1" customWidth="1"/>
    <col min="40" max="40" width="7" bestFit="1" customWidth="1"/>
    <col min="41" max="41" width="7.5" bestFit="1" customWidth="1"/>
    <col min="42" max="42" width="4.83203125" bestFit="1" customWidth="1"/>
    <col min="43" max="43" width="9.83203125" bestFit="1" customWidth="1"/>
    <col min="44" max="44" width="6.5" bestFit="1" customWidth="1"/>
    <col min="45" max="45" width="7.6640625" bestFit="1" customWidth="1"/>
    <col min="46" max="46" width="7.83203125" bestFit="1" customWidth="1"/>
    <col min="47" max="47" width="5.83203125" bestFit="1" customWidth="1"/>
    <col min="48" max="48" width="10.6640625" bestFit="1" customWidth="1"/>
    <col min="49" max="49" width="6" bestFit="1" customWidth="1"/>
    <col min="50" max="50" width="8.83203125" bestFit="1" customWidth="1"/>
    <col min="51" max="51" width="7.33203125" bestFit="1" customWidth="1"/>
    <col min="52" max="53" width="10.5" bestFit="1" customWidth="1"/>
    <col min="54" max="54" width="5.33203125" bestFit="1" customWidth="1"/>
    <col min="55" max="55" width="7.83203125" bestFit="1" customWidth="1"/>
    <col min="56" max="56" width="7.33203125" bestFit="1" customWidth="1"/>
    <col min="57" max="57" width="10.1640625" bestFit="1" customWidth="1"/>
    <col min="58" max="58" width="6.5" bestFit="1" customWidth="1"/>
    <col min="59" max="59" width="7.6640625" bestFit="1" customWidth="1"/>
    <col min="60" max="60" width="6.5" bestFit="1" customWidth="1"/>
    <col min="61" max="61" width="6.33203125" bestFit="1" customWidth="1"/>
    <col min="62" max="62" width="7.1640625" bestFit="1" customWidth="1"/>
    <col min="63" max="63" width="17.6640625" bestFit="1" customWidth="1"/>
    <col min="64" max="64" width="13.6640625" bestFit="1" customWidth="1"/>
    <col min="65" max="65" width="11.5" bestFit="1" customWidth="1"/>
    <col min="66" max="66" width="7.83203125" bestFit="1" customWidth="1"/>
    <col min="67" max="67" width="6.33203125" bestFit="1" customWidth="1"/>
    <col min="68" max="68" width="10" bestFit="1" customWidth="1"/>
  </cols>
  <sheetData>
    <row r="36" spans="1:8" x14ac:dyDescent="0.2">
      <c r="B36" s="97">
        <v>2014</v>
      </c>
      <c r="C36" s="98">
        <v>2015</v>
      </c>
      <c r="D36" s="98">
        <v>2016</v>
      </c>
      <c r="E36" s="98">
        <v>2017</v>
      </c>
      <c r="F36" s="98">
        <v>2018</v>
      </c>
    </row>
    <row r="37" spans="1:8" ht="33" thickBot="1" x14ac:dyDescent="0.25">
      <c r="A37" s="81" t="str">
        <f>CSLI!B2</f>
        <v>Region</v>
      </c>
      <c r="B37" s="57" t="s">
        <v>1365</v>
      </c>
      <c r="C37" s="57" t="s">
        <v>1366</v>
      </c>
      <c r="D37" s="57" t="s">
        <v>1367</v>
      </c>
      <c r="E37" s="57" t="s">
        <v>1368</v>
      </c>
      <c r="F37" s="57" t="s">
        <v>1369</v>
      </c>
      <c r="G37" s="96" t="s">
        <v>1355</v>
      </c>
      <c r="H37" s="96" t="s">
        <v>1364</v>
      </c>
    </row>
    <row r="38" spans="1:8" hidden="1" x14ac:dyDescent="0.2">
      <c r="A38" s="82" t="str">
        <f>CSLI!B31</f>
        <v>Japan</v>
      </c>
      <c r="B38" s="62">
        <f>CSLI!F31</f>
        <v>0</v>
      </c>
      <c r="C38" s="62">
        <f>CSLI!K31</f>
        <v>0.22647669041866353</v>
      </c>
      <c r="D38" s="62">
        <f>CSLI!P31</f>
        <v>0.53586632965848813</v>
      </c>
      <c r="E38" s="62">
        <f>CSLI!U31</f>
        <v>0.32558652835321755</v>
      </c>
      <c r="F38" s="62">
        <f>CSLI!AB31</f>
        <v>0.44542802199438453</v>
      </c>
      <c r="G38">
        <f>SLOPE(B38:F38,B$36:F$36)</f>
        <v>9.8996588192332313E-2</v>
      </c>
      <c r="H38" t="s">
        <v>1357</v>
      </c>
    </row>
    <row r="39" spans="1:8" hidden="1" x14ac:dyDescent="0.2">
      <c r="A39" s="82" t="str">
        <f>CSLI!B58</f>
        <v>Kenya</v>
      </c>
      <c r="B39" s="62">
        <f>CSLI!F58</f>
        <v>7.753450245336424E-2</v>
      </c>
      <c r="C39" s="62">
        <f>CSLI!K58</f>
        <v>8.5383722631159883E-2</v>
      </c>
      <c r="D39" s="62">
        <f>CSLI!P58</f>
        <v>0.14284243384668432</v>
      </c>
      <c r="E39" s="62">
        <f>CSLI!U58</f>
        <v>0.11241947649709783</v>
      </c>
      <c r="F39" s="62">
        <f>CSLI!AB58</f>
        <v>0.5544345316765662</v>
      </c>
      <c r="G39">
        <f t="shared" ref="G39:G102" si="0">SLOPE(B39:F39,B$36:F$36)</f>
        <v>9.8083581231234201E-2</v>
      </c>
      <c r="H39" t="s">
        <v>1358</v>
      </c>
    </row>
    <row r="40" spans="1:8" hidden="1" x14ac:dyDescent="0.2">
      <c r="A40" s="82" t="str">
        <f>CSLI!B6</f>
        <v>Singapore</v>
      </c>
      <c r="B40" s="62">
        <f>CSLI!F6</f>
        <v>0.55125275860644474</v>
      </c>
      <c r="C40" s="62">
        <f>CSLI!K6</f>
        <v>0.83736580648857128</v>
      </c>
      <c r="D40" s="62">
        <f>CSLI!P6</f>
        <v>0.8276957465272351</v>
      </c>
      <c r="E40" s="62">
        <f>CSLI!U6</f>
        <v>0.93714108560452358</v>
      </c>
      <c r="F40" s="62">
        <f>CSLI!AB6</f>
        <v>0.98450649247766664</v>
      </c>
      <c r="G40">
        <f t="shared" si="0"/>
        <v>9.6628274685839607E-2</v>
      </c>
      <c r="H40" t="s">
        <v>1357</v>
      </c>
    </row>
    <row r="41" spans="1:8" hidden="1" x14ac:dyDescent="0.2">
      <c r="A41" s="82" t="str">
        <f>CSLI!B21</f>
        <v>Romania</v>
      </c>
      <c r="B41" s="62">
        <f>CSLI!F21</f>
        <v>0.14200797722293643</v>
      </c>
      <c r="C41" s="62">
        <f>CSLI!K21</f>
        <v>0.39906523714017522</v>
      </c>
      <c r="D41" s="62">
        <f>CSLI!P21</f>
        <v>0.36475551922231358</v>
      </c>
      <c r="E41" s="62">
        <f>CSLI!U21</f>
        <v>0.42548516771310702</v>
      </c>
      <c r="F41" s="62">
        <f>CSLI!AB21</f>
        <v>0.53397853123527783</v>
      </c>
      <c r="G41">
        <f t="shared" si="0"/>
        <v>8.1036103859761455E-2</v>
      </c>
      <c r="H41" t="s">
        <v>1359</v>
      </c>
    </row>
    <row r="42" spans="1:8" hidden="1" x14ac:dyDescent="0.2">
      <c r="A42" s="82" t="str">
        <f>CSLI!B25</f>
        <v>Saudi Arabia</v>
      </c>
      <c r="B42" s="62">
        <f>CSLI!F25</f>
        <v>0.25951332855872822</v>
      </c>
      <c r="C42" s="62">
        <f>CSLI!K25</f>
        <v>0.16197593087463227</v>
      </c>
      <c r="D42" s="62">
        <f>CSLI!P25</f>
        <v>0.37468324956818017</v>
      </c>
      <c r="E42" s="62">
        <f>CSLI!U25</f>
        <v>0.42162390121461119</v>
      </c>
      <c r="F42" s="62">
        <f>CSLI!AB25</f>
        <v>0.49271456066510838</v>
      </c>
      <c r="G42">
        <f t="shared" si="0"/>
        <v>7.2605043455273924E-2</v>
      </c>
      <c r="H42" t="s">
        <v>1357</v>
      </c>
    </row>
    <row r="43" spans="1:8" hidden="1" x14ac:dyDescent="0.2">
      <c r="A43" s="82" t="str">
        <f>CSLI!B16</f>
        <v>Serbia</v>
      </c>
      <c r="B43" s="62">
        <f>CSLI!F16</f>
        <v>0.33081731040931817</v>
      </c>
      <c r="C43" s="62">
        <f>CSLI!K16</f>
        <v>0.38502160505558514</v>
      </c>
      <c r="D43" s="62">
        <f>CSLI!P16</f>
        <v>0.48000268385202088</v>
      </c>
      <c r="E43" s="62">
        <f>CSLI!U16</f>
        <v>0.63309199198175925</v>
      </c>
      <c r="F43" s="62">
        <f>CSLI!AB16</f>
        <v>0.55872417636985494</v>
      </c>
      <c r="G43">
        <f t="shared" si="0"/>
        <v>7.0388411884724764E-2</v>
      </c>
      <c r="H43" t="s">
        <v>1359</v>
      </c>
    </row>
    <row r="44" spans="1:8" hidden="1" x14ac:dyDescent="0.2">
      <c r="A44" s="82" t="str">
        <f>CSLI!B47</f>
        <v>Canada</v>
      </c>
      <c r="B44" s="62">
        <f>CSLI!F47</f>
        <v>8.0199114409708297E-2</v>
      </c>
      <c r="C44" s="62">
        <f>CSLI!K47</f>
        <v>0.1786616259617288</v>
      </c>
      <c r="D44" s="62">
        <f>CSLI!P47</f>
        <v>0.27965670975264861</v>
      </c>
      <c r="E44" s="62">
        <f>CSLI!U47</f>
        <v>0.25903850042707638</v>
      </c>
      <c r="F44" s="62">
        <f>CSLI!AB47</f>
        <v>0.37696239829909667</v>
      </c>
      <c r="G44">
        <f t="shared" si="0"/>
        <v>6.7390344224412438E-2</v>
      </c>
      <c r="H44" t="s">
        <v>1360</v>
      </c>
    </row>
    <row r="45" spans="1:8" x14ac:dyDescent="0.2">
      <c r="A45" s="82" t="str">
        <f>CSLI!B24</f>
        <v>Turkey</v>
      </c>
      <c r="B45" s="62">
        <f>CSLI!F24</f>
        <v>0.21259367305676546</v>
      </c>
      <c r="C45" s="62">
        <f>CSLI!K24</f>
        <v>0.24902756041191751</v>
      </c>
      <c r="D45" s="62">
        <f>CSLI!P24</f>
        <v>0.40060132331152509</v>
      </c>
      <c r="E45" s="62">
        <f>CSLI!U24</f>
        <v>0.36510479957710135</v>
      </c>
      <c r="F45" s="62">
        <f>CSLI!AB24</f>
        <v>0.48527252781194113</v>
      </c>
      <c r="G45">
        <f t="shared" si="0"/>
        <v>6.6143494867553512E-2</v>
      </c>
      <c r="H45" t="s">
        <v>1363</v>
      </c>
    </row>
    <row r="46" spans="1:8" hidden="1" x14ac:dyDescent="0.2">
      <c r="A46" s="82" t="str">
        <f>CSLI!B10</f>
        <v>United Kingdom</v>
      </c>
      <c r="B46" s="62">
        <f>CSLI!F10</f>
        <v>0.33479664661521319</v>
      </c>
      <c r="C46" s="62">
        <f>CSLI!K10</f>
        <v>0.67358539784011173</v>
      </c>
      <c r="D46" s="62">
        <f>CSLI!P10</f>
        <v>0.56612985784730951</v>
      </c>
      <c r="E46" s="62">
        <f>CSLI!U10</f>
        <v>0.65022910000554357</v>
      </c>
      <c r="F46" s="62">
        <f>CSLI!AB10</f>
        <v>0.65480202898121764</v>
      </c>
      <c r="G46">
        <f t="shared" si="0"/>
        <v>6.1665446689744073E-2</v>
      </c>
      <c r="H46" t="s">
        <v>1359</v>
      </c>
    </row>
    <row r="47" spans="1:8" hidden="1" x14ac:dyDescent="0.2">
      <c r="A47" s="82" t="str">
        <f>CSLI!B22</f>
        <v>Denmark</v>
      </c>
      <c r="B47" s="62">
        <f>CSLI!F22</f>
        <v>0.34501775199813806</v>
      </c>
      <c r="C47" s="62">
        <f>CSLI!K22</f>
        <v>0.14073432456446996</v>
      </c>
      <c r="D47" s="62">
        <f>CSLI!P22</f>
        <v>0.34994426884482144</v>
      </c>
      <c r="E47" s="62">
        <f>CSLI!U22</f>
        <v>0.38567421939345142</v>
      </c>
      <c r="F47" s="62">
        <f>CSLI!AB22</f>
        <v>0.52643757141059644</v>
      </c>
      <c r="G47">
        <f t="shared" si="0"/>
        <v>6.0777953365389825E-2</v>
      </c>
      <c r="H47" t="s">
        <v>1359</v>
      </c>
    </row>
    <row r="48" spans="1:8" hidden="1" x14ac:dyDescent="0.2">
      <c r="A48" s="82" t="str">
        <f>CSLI!B40</f>
        <v>Bulgaria</v>
      </c>
      <c r="B48" s="62">
        <f>CSLI!F40</f>
        <v>0.23401262922139493</v>
      </c>
      <c r="C48" s="62">
        <f>CSLI!K40</f>
        <v>0.12322441595388207</v>
      </c>
      <c r="D48" s="62">
        <f>CSLI!P40</f>
        <v>0.3624740497686168</v>
      </c>
      <c r="E48" s="62">
        <f>CSLI!U40</f>
        <v>0.28965046115063342</v>
      </c>
      <c r="F48" s="62">
        <f>CSLI!AB40</f>
        <v>0.44369847740656598</v>
      </c>
      <c r="G48">
        <f t="shared" si="0"/>
        <v>5.8579774156709341E-2</v>
      </c>
      <c r="H48" t="s">
        <v>1359</v>
      </c>
    </row>
    <row r="49" spans="1:8" hidden="1" x14ac:dyDescent="0.2">
      <c r="A49" s="82" t="str">
        <f>CSLI!B15</f>
        <v>Malaysia</v>
      </c>
      <c r="B49" s="62">
        <f>CSLI!F15</f>
        <v>0.40130682170200416</v>
      </c>
      <c r="C49" s="62">
        <f>CSLI!K15</f>
        <v>0.39671109046768216</v>
      </c>
      <c r="D49" s="62">
        <f>CSLI!P15</f>
        <v>0.37765739660759529</v>
      </c>
      <c r="E49" s="62">
        <f>CSLI!U15</f>
        <v>0.4639751313193497</v>
      </c>
      <c r="F49" s="62">
        <f>CSLI!AB15</f>
        <v>0.61780543030197543</v>
      </c>
      <c r="G49">
        <f t="shared" si="0"/>
        <v>5.0026125805161012E-2</v>
      </c>
      <c r="H49" t="s">
        <v>1357</v>
      </c>
    </row>
    <row r="50" spans="1:8" hidden="1" x14ac:dyDescent="0.2">
      <c r="A50" s="82" t="str">
        <f>CSLI!B48</f>
        <v>Ukraine</v>
      </c>
      <c r="B50" s="62">
        <f>CSLI!F48</f>
        <v>0.13743377419054337</v>
      </c>
      <c r="C50" s="62">
        <f>CSLI!K48</f>
        <v>0.1657669678957695</v>
      </c>
      <c r="D50" s="62">
        <f>CSLI!P48</f>
        <v>0.2335695606514368</v>
      </c>
      <c r="E50" s="62">
        <f>CSLI!U48</f>
        <v>0.2905362709659049</v>
      </c>
      <c r="F50" s="62">
        <f>CSLI!AB48</f>
        <v>0.30801241282627395</v>
      </c>
      <c r="G50">
        <f t="shared" si="0"/>
        <v>4.6592658034159656E-2</v>
      </c>
      <c r="H50" t="s">
        <v>1359</v>
      </c>
    </row>
    <row r="51" spans="1:8" hidden="1" x14ac:dyDescent="0.2">
      <c r="A51" s="82" t="str">
        <f>CSLI!B52</f>
        <v>Vietnam</v>
      </c>
      <c r="B51" s="62">
        <f>CSLI!F52</f>
        <v>0.1229544287835168</v>
      </c>
      <c r="C51" s="62">
        <f>CSLI!K52</f>
        <v>0.1294260993509829</v>
      </c>
      <c r="D51" s="62">
        <f>CSLI!P52</f>
        <v>0.23947193535833503</v>
      </c>
      <c r="E51" s="62">
        <f>CSLI!U52</f>
        <v>0.30273297594577009</v>
      </c>
      <c r="F51" s="62">
        <f>CSLI!AB52</f>
        <v>0.26540207816413852</v>
      </c>
      <c r="G51">
        <f t="shared" si="0"/>
        <v>4.5820217535603065E-2</v>
      </c>
      <c r="H51" t="s">
        <v>1357</v>
      </c>
    </row>
    <row r="52" spans="1:8" hidden="1" x14ac:dyDescent="0.2">
      <c r="A52" s="82" t="str">
        <f>CSLI!B18</f>
        <v>Poland</v>
      </c>
      <c r="B52" s="62">
        <f>CSLI!F18</f>
        <v>0.28348933771903129</v>
      </c>
      <c r="C52" s="62">
        <f>CSLI!K18</f>
        <v>0.44797321442809718</v>
      </c>
      <c r="D52" s="62">
        <f>CSLI!P18</f>
        <v>0.41797620474128161</v>
      </c>
      <c r="E52" s="62">
        <f>CSLI!U18</f>
        <v>0.54447571343960499</v>
      </c>
      <c r="F52" s="62">
        <f>CSLI!AB18</f>
        <v>0.4640978719150452</v>
      </c>
      <c r="G52">
        <f t="shared" si="0"/>
        <v>4.5771956740353566E-2</v>
      </c>
      <c r="H52" t="s">
        <v>1359</v>
      </c>
    </row>
    <row r="53" spans="1:8" hidden="1" x14ac:dyDescent="0.2">
      <c r="A53" s="82" t="str">
        <f>CSLI!B9</f>
        <v>Slovakia</v>
      </c>
      <c r="B53" s="62">
        <f>CSLI!F9</f>
        <v>0.40992236001124976</v>
      </c>
      <c r="C53" s="62">
        <f>CSLI!K9</f>
        <v>0.7096305068454607</v>
      </c>
      <c r="D53" s="62">
        <f>CSLI!P9</f>
        <v>0.70657681101777692</v>
      </c>
      <c r="E53" s="62">
        <f>CSLI!U9</f>
        <v>0.51194895461100609</v>
      </c>
      <c r="F53" s="62">
        <f>CSLI!AB9</f>
        <v>0.72357981394232695</v>
      </c>
      <c r="G53">
        <f t="shared" si="0"/>
        <v>4.2963335562769975E-2</v>
      </c>
      <c r="H53" t="s">
        <v>1359</v>
      </c>
    </row>
    <row r="54" spans="1:8" hidden="1" x14ac:dyDescent="0.2">
      <c r="A54" s="82" t="str">
        <f>CSLI!B38</f>
        <v>Belarus</v>
      </c>
      <c r="B54" s="62">
        <f>CSLI!F38</f>
        <v>0.19833992873253448</v>
      </c>
      <c r="C54" s="62">
        <f>CSLI!K38</f>
        <v>0.3235224286690444</v>
      </c>
      <c r="D54" s="62">
        <f>CSLI!P38</f>
        <v>0.2306096853854222</v>
      </c>
      <c r="E54" s="62">
        <f>CSLI!U38</f>
        <v>0.30366630947759382</v>
      </c>
      <c r="F54" s="62">
        <f>CSLI!AB38</f>
        <v>0.41788686253319329</v>
      </c>
      <c r="G54">
        <f t="shared" si="0"/>
        <v>4.1923774840986708E-2</v>
      </c>
      <c r="H54" t="s">
        <v>1359</v>
      </c>
    </row>
    <row r="55" spans="1:8" hidden="1" x14ac:dyDescent="0.2">
      <c r="A55" s="82" t="str">
        <f>CSLI!B45</f>
        <v>Mexico</v>
      </c>
      <c r="B55" s="62">
        <f>CSLI!F45</f>
        <v>0.13700457030834923</v>
      </c>
      <c r="C55" s="62">
        <f>CSLI!K45</f>
        <v>0.31429605383274017</v>
      </c>
      <c r="D55" s="62">
        <f>CSLI!P45</f>
        <v>0.23179947761368419</v>
      </c>
      <c r="E55" s="62">
        <f>CSLI!U45</f>
        <v>0.25137423760718031</v>
      </c>
      <c r="F55" s="62">
        <f>CSLI!AB45</f>
        <v>0.33561158789489542</v>
      </c>
      <c r="G55">
        <f t="shared" si="0"/>
        <v>3.3429221894753253E-2</v>
      </c>
      <c r="H55" t="s">
        <v>1360</v>
      </c>
    </row>
    <row r="56" spans="1:8" x14ac:dyDescent="0.2">
      <c r="A56" s="82" t="str">
        <f>CSLI!B59</f>
        <v>Egypt</v>
      </c>
      <c r="B56" s="62">
        <f>CSLI!F59</f>
        <v>0.13014789053874143</v>
      </c>
      <c r="C56" s="62">
        <f>CSLI!K59</f>
        <v>0.1627870457012052</v>
      </c>
      <c r="D56" s="62">
        <f>CSLI!P59</f>
        <v>0.19188015618808363</v>
      </c>
      <c r="E56" s="62">
        <f>CSLI!U59</f>
        <v>0.192772568353511</v>
      </c>
      <c r="F56" s="62">
        <f>CSLI!AB59</f>
        <v>0.2724985155011565</v>
      </c>
      <c r="G56">
        <f t="shared" si="0"/>
        <v>3.1468677257713594E-2</v>
      </c>
      <c r="H56" t="s">
        <v>1363</v>
      </c>
    </row>
    <row r="57" spans="1:8" hidden="1" x14ac:dyDescent="0.2">
      <c r="A57" s="82" t="str">
        <f>CSLI!B66</f>
        <v>Bangladesh</v>
      </c>
      <c r="B57" s="62">
        <f>CSLI!F66</f>
        <v>5.2504735791855911E-2</v>
      </c>
      <c r="C57" s="62">
        <f>CSLI!K66</f>
        <v>7.0404572579152336E-2</v>
      </c>
      <c r="D57" s="62">
        <f>CSLI!P66</f>
        <v>6.4203563783901116E-2</v>
      </c>
      <c r="E57" s="62">
        <f>CSLI!U66</f>
        <v>4.8016709881023571E-2</v>
      </c>
      <c r="F57" s="62">
        <f>CSLI!AB66</f>
        <v>0.20952663585386122</v>
      </c>
      <c r="G57">
        <f t="shared" si="0"/>
        <v>2.9165593742588185E-2</v>
      </c>
      <c r="H57" t="s">
        <v>1357</v>
      </c>
    </row>
    <row r="58" spans="1:8" hidden="1" x14ac:dyDescent="0.2">
      <c r="A58" s="82" t="str">
        <f>CSLI!B35</f>
        <v>New Zealand</v>
      </c>
      <c r="B58" s="62">
        <f>CSLI!F35</f>
        <v>0.31908744118457655</v>
      </c>
      <c r="C58" s="62">
        <f>CSLI!K35</f>
        <v>0.24050363428588514</v>
      </c>
      <c r="D58" s="62">
        <f>CSLI!P35</f>
        <v>0.28140138405792092</v>
      </c>
      <c r="E58" s="62">
        <f>CSLI!U35</f>
        <v>0.16537148322921832</v>
      </c>
      <c r="F58" s="62">
        <f>CSLI!AB35</f>
        <v>0.49786150750280245</v>
      </c>
      <c r="G58">
        <f t="shared" si="0"/>
        <v>2.8241598157978498E-2</v>
      </c>
      <c r="H58" t="s">
        <v>1361</v>
      </c>
    </row>
    <row r="59" spans="1:8" hidden="1" x14ac:dyDescent="0.2">
      <c r="A59" s="82" t="str">
        <f>CSLI!B43</f>
        <v>Chile</v>
      </c>
      <c r="B59" s="62">
        <f>CSLI!F43</f>
        <v>0.27855604456980559</v>
      </c>
      <c r="C59" s="62">
        <f>CSLI!K43</f>
        <v>0.22115972754079355</v>
      </c>
      <c r="D59" s="62">
        <f>CSLI!P43</f>
        <v>0.14767095263865987</v>
      </c>
      <c r="E59" s="62">
        <f>CSLI!U43</f>
        <v>0.28019102170127985</v>
      </c>
      <c r="F59" s="62">
        <f>CSLI!AB43</f>
        <v>0.38793359530080651</v>
      </c>
      <c r="G59">
        <f t="shared" si="0"/>
        <v>2.7778639562248814E-2</v>
      </c>
      <c r="H59" t="s">
        <v>1362</v>
      </c>
    </row>
    <row r="60" spans="1:8" hidden="1" x14ac:dyDescent="0.2">
      <c r="A60" s="82" t="str">
        <f>CSLI!B57</f>
        <v>Ecuador</v>
      </c>
      <c r="B60" s="62">
        <f>CSLI!F57</f>
        <v>0.23880320242302588</v>
      </c>
      <c r="C60" s="62">
        <f>CSLI!K57</f>
        <v>0.11015885916153441</v>
      </c>
      <c r="D60" s="62">
        <f>CSLI!P57</f>
        <v>0.18550146186147307</v>
      </c>
      <c r="E60" s="62">
        <f>CSLI!U57</f>
        <v>0.16717415184203552</v>
      </c>
      <c r="F60" s="62">
        <f>CSLI!AB57</f>
        <v>0.34068131589781708</v>
      </c>
      <c r="G60">
        <f t="shared" si="0"/>
        <v>2.607715196300835E-2</v>
      </c>
      <c r="H60" t="s">
        <v>1362</v>
      </c>
    </row>
    <row r="61" spans="1:8" hidden="1" x14ac:dyDescent="0.2">
      <c r="A61" s="82" t="str">
        <f>CSLI!B54</f>
        <v>Thailand</v>
      </c>
      <c r="B61" s="62">
        <f>CSLI!F54</f>
        <v>0.11537609825600324</v>
      </c>
      <c r="C61" s="62">
        <f>CSLI!K54</f>
        <v>0.1755950505416588</v>
      </c>
      <c r="D61" s="62">
        <f>CSLI!P54</f>
        <v>0.29004329349272234</v>
      </c>
      <c r="E61" s="62">
        <f>CSLI!U54</f>
        <v>0.17739022823938272</v>
      </c>
      <c r="F61" s="62">
        <f>CSLI!AB54</f>
        <v>0.2414727348621597</v>
      </c>
      <c r="G61">
        <f t="shared" si="0"/>
        <v>2.5398845091003687E-2</v>
      </c>
      <c r="H61" t="s">
        <v>1357</v>
      </c>
    </row>
    <row r="62" spans="1:8" hidden="1" x14ac:dyDescent="0.2">
      <c r="A62" s="82" t="str">
        <f>CSLI!B33</f>
        <v>Morocco</v>
      </c>
      <c r="B62" s="62">
        <f>CSLI!F33</f>
        <v>0.19489788991596713</v>
      </c>
      <c r="C62" s="62">
        <f>CSLI!K33</f>
        <v>0.33217987574839014</v>
      </c>
      <c r="D62" s="62">
        <f>CSLI!P33</f>
        <v>0.32906836553873814</v>
      </c>
      <c r="E62" s="62">
        <f>CSLI!U33</f>
        <v>0.39387578503069398</v>
      </c>
      <c r="F62" s="62">
        <f>CSLI!AB33</f>
        <v>0.28406525817436323</v>
      </c>
      <c r="G62">
        <f t="shared" si="0"/>
        <v>2.4003064579909604E-2</v>
      </c>
      <c r="H62" t="s">
        <v>1358</v>
      </c>
    </row>
    <row r="63" spans="1:8" hidden="1" x14ac:dyDescent="0.2">
      <c r="A63" s="82" t="str">
        <f>CSLI!B19</f>
        <v>Greece</v>
      </c>
      <c r="B63" s="62">
        <f>CSLI!F19</f>
        <v>0.36261054897121786</v>
      </c>
      <c r="C63" s="62">
        <f>CSLI!K19</f>
        <v>0.35640212727985859</v>
      </c>
      <c r="D63" s="62">
        <f>CSLI!P19</f>
        <v>0.38259220643592323</v>
      </c>
      <c r="E63" s="62">
        <f>CSLI!U19</f>
        <v>0.32065522012587599</v>
      </c>
      <c r="F63" s="62">
        <f>CSLI!AB19</f>
        <v>0.49981702718119453</v>
      </c>
      <c r="G63">
        <f t="shared" si="0"/>
        <v>2.3866604926597073E-2</v>
      </c>
      <c r="H63" t="s">
        <v>1359</v>
      </c>
    </row>
    <row r="64" spans="1:8" hidden="1" x14ac:dyDescent="0.2">
      <c r="A64" s="82" t="str">
        <f>CSLI!B27</f>
        <v>Ireland</v>
      </c>
      <c r="B64" s="62">
        <f>CSLI!F27</f>
        <v>0.21689936502285873</v>
      </c>
      <c r="C64" s="62">
        <f>CSLI!K27</f>
        <v>0.3548028143582882</v>
      </c>
      <c r="D64" s="62">
        <f>CSLI!P27</f>
        <v>0.51424491655297755</v>
      </c>
      <c r="E64" s="62">
        <f>CSLI!U27</f>
        <v>0.30623218401948626</v>
      </c>
      <c r="F64" s="62">
        <f>CSLI!AB27</f>
        <v>0.34897407394556873</v>
      </c>
      <c r="G64">
        <f t="shared" si="0"/>
        <v>2.1557878750661806E-2</v>
      </c>
      <c r="H64" t="s">
        <v>1359</v>
      </c>
    </row>
    <row r="65" spans="1:8" hidden="1" x14ac:dyDescent="0.2">
      <c r="A65" s="82" t="str">
        <f>CSLI!B12</f>
        <v>United States</v>
      </c>
      <c r="B65" s="62">
        <f>CSLI!F12</f>
        <v>0.43235249357528932</v>
      </c>
      <c r="C65" s="62">
        <f>CSLI!K12</f>
        <v>0.46447807607555258</v>
      </c>
      <c r="D65" s="62">
        <f>CSLI!P12</f>
        <v>0.55317978815275337</v>
      </c>
      <c r="E65" s="62">
        <f>CSLI!U12</f>
        <v>0.5225782733581068</v>
      </c>
      <c r="F65" s="62">
        <f>CSLI!AB12</f>
        <v>0.4936850548002325</v>
      </c>
      <c r="G65">
        <f t="shared" si="0"/>
        <v>1.8076531973244058E-2</v>
      </c>
      <c r="H65" t="s">
        <v>1360</v>
      </c>
    </row>
    <row r="66" spans="1:8" hidden="1" x14ac:dyDescent="0.2">
      <c r="A66" s="82" t="str">
        <f>CSLI!B8</f>
        <v>Taiwan</v>
      </c>
      <c r="B66" s="62">
        <f>CSLI!F8</f>
        <v>0.66003885361085823</v>
      </c>
      <c r="C66" s="62">
        <f>CSLI!K8</f>
        <v>0.58967159488768273</v>
      </c>
      <c r="D66" s="62">
        <f>CSLI!P8</f>
        <v>0.63432068708724509</v>
      </c>
      <c r="E66" s="62">
        <f>CSLI!U8</f>
        <v>0.71360841233078964</v>
      </c>
      <c r="F66" s="62">
        <f>CSLI!AB8</f>
        <v>0.6857664774359622</v>
      </c>
      <c r="G66">
        <f t="shared" si="0"/>
        <v>1.7539206509331485E-2</v>
      </c>
      <c r="H66" t="s">
        <v>1357</v>
      </c>
    </row>
    <row r="67" spans="1:8" hidden="1" x14ac:dyDescent="0.2">
      <c r="A67" s="82" t="str">
        <f>CSLI!B62</f>
        <v>Nigeria</v>
      </c>
      <c r="B67" s="62">
        <f>CSLI!F62</f>
        <v>9.2913681650418523E-2</v>
      </c>
      <c r="C67" s="62">
        <f>CSLI!K62</f>
        <v>0.2901176414599807</v>
      </c>
      <c r="D67" s="62">
        <f>CSLI!P62</f>
        <v>0.13115641897863817</v>
      </c>
      <c r="E67" s="62">
        <f>CSLI!U62</f>
        <v>0.1996869728501707</v>
      </c>
      <c r="F67" s="62">
        <f>CSLI!AB62</f>
        <v>0.22219209385655944</v>
      </c>
      <c r="G67">
        <f t="shared" si="0"/>
        <v>1.6812615580247183E-2</v>
      </c>
      <c r="H67" t="s">
        <v>1358</v>
      </c>
    </row>
    <row r="68" spans="1:8" hidden="1" x14ac:dyDescent="0.2">
      <c r="A68" s="82" t="str">
        <f>CSLI!B49</f>
        <v>India</v>
      </c>
      <c r="B68" s="62">
        <f>CSLI!F49</f>
        <v>0.22519933140953008</v>
      </c>
      <c r="C68" s="62">
        <f>CSLI!K49</f>
        <v>0.18308447754303164</v>
      </c>
      <c r="D68" s="62">
        <f>CSLI!P49</f>
        <v>0.20655541965565002</v>
      </c>
      <c r="E68" s="62">
        <f>CSLI!U49</f>
        <v>0.2619151161843169</v>
      </c>
      <c r="F68" s="62">
        <f>CSLI!AB49</f>
        <v>0.2665237865571306</v>
      </c>
      <c r="G68">
        <f t="shared" si="0"/>
        <v>1.614795489364863E-2</v>
      </c>
      <c r="H68" t="s">
        <v>1357</v>
      </c>
    </row>
    <row r="69" spans="1:8" hidden="1" x14ac:dyDescent="0.2">
      <c r="A69" s="82" t="str">
        <f>CSLI!B39</f>
        <v>Hungary</v>
      </c>
      <c r="B69" s="62">
        <f>CSLI!F39</f>
        <v>0.49020344605190574</v>
      </c>
      <c r="C69" s="62">
        <f>CSLI!K39</f>
        <v>8.4285216096302101E-2</v>
      </c>
      <c r="D69" s="62">
        <f>CSLI!P39</f>
        <v>7.4338857693780555E-2</v>
      </c>
      <c r="E69" s="62">
        <f>CSLI!U39</f>
        <v>0.48150321265652446</v>
      </c>
      <c r="F69" s="62">
        <f>CSLI!AB39</f>
        <v>0.37203974706525539</v>
      </c>
      <c r="G69">
        <f t="shared" si="0"/>
        <v>1.6089059858692165E-2</v>
      </c>
      <c r="H69" t="s">
        <v>1359</v>
      </c>
    </row>
    <row r="70" spans="1:8" hidden="1" x14ac:dyDescent="0.2">
      <c r="A70" s="82" t="str">
        <f>CSLI!B23</f>
        <v>Tunisia</v>
      </c>
      <c r="B70" s="62">
        <f>CSLI!F23</f>
        <v>0.49031468432959824</v>
      </c>
      <c r="C70" s="62">
        <f>CSLI!K23</f>
        <v>0.17848471514855507</v>
      </c>
      <c r="D70" s="62">
        <f>CSLI!P23</f>
        <v>0.27595672372280078</v>
      </c>
      <c r="E70" s="62">
        <f>CSLI!U23</f>
        <v>0.2730251890361689</v>
      </c>
      <c r="F70" s="62">
        <f>CSLI!AB23</f>
        <v>0.52005504606534048</v>
      </c>
      <c r="G70">
        <f t="shared" si="0"/>
        <v>1.540211973590983E-2</v>
      </c>
      <c r="H70" t="s">
        <v>1358</v>
      </c>
    </row>
    <row r="71" spans="1:8" hidden="1" x14ac:dyDescent="0.2">
      <c r="A71" s="82" t="str">
        <f>CSLI!B41</f>
        <v>Philippines</v>
      </c>
      <c r="B71" s="62">
        <f>CSLI!F41</f>
        <v>0.34073186583066495</v>
      </c>
      <c r="C71" s="62">
        <f>CSLI!K41</f>
        <v>0.13403543595580561</v>
      </c>
      <c r="D71" s="62">
        <f>CSLI!P41</f>
        <v>0.21418671972073569</v>
      </c>
      <c r="E71" s="62">
        <f>CSLI!U41</f>
        <v>0.3292711932271668</v>
      </c>
      <c r="F71" s="62">
        <f>CSLI!AB41</f>
        <v>0.31763530295012937</v>
      </c>
      <c r="G71">
        <f t="shared" si="0"/>
        <v>1.4904263151029004E-2</v>
      </c>
      <c r="H71" t="s">
        <v>1357</v>
      </c>
    </row>
    <row r="72" spans="1:8" hidden="1" x14ac:dyDescent="0.2">
      <c r="A72" s="82" t="str">
        <f>CSLI!B51</f>
        <v>Colombia</v>
      </c>
      <c r="B72" s="62">
        <f>CSLI!F51</f>
        <v>0.24812751241097164</v>
      </c>
      <c r="C72" s="62">
        <f>CSLI!K51</f>
        <v>0.13290444369600207</v>
      </c>
      <c r="D72" s="62">
        <f>CSLI!P51</f>
        <v>0.20861286306071311</v>
      </c>
      <c r="E72" s="62">
        <f>CSLI!U51</f>
        <v>0.24191039947299134</v>
      </c>
      <c r="F72" s="62">
        <f>CSLI!AB51</f>
        <v>0.26790866657322826</v>
      </c>
      <c r="G72">
        <f t="shared" si="0"/>
        <v>1.4856826410150251E-2</v>
      </c>
      <c r="H72" t="s">
        <v>1362</v>
      </c>
    </row>
    <row r="73" spans="1:8" hidden="1" x14ac:dyDescent="0.2">
      <c r="A73" s="82" t="str">
        <f>CSLI!B61</f>
        <v>Algeria</v>
      </c>
      <c r="B73" s="62">
        <f>CSLI!F61</f>
        <v>0.19220971262392161</v>
      </c>
      <c r="C73" s="62">
        <f>CSLI!K61</f>
        <v>0.15908320923888861</v>
      </c>
      <c r="D73" s="62">
        <f>CSLI!P61</f>
        <v>0.17212982730953716</v>
      </c>
      <c r="E73" s="62">
        <f>CSLI!U61</f>
        <v>0.10216687707383834</v>
      </c>
      <c r="F73" s="62">
        <f>CSLI!AB61</f>
        <v>0.29210867764229242</v>
      </c>
      <c r="G73">
        <f t="shared" si="0"/>
        <v>1.4288159787169135E-2</v>
      </c>
      <c r="H73" t="s">
        <v>1358</v>
      </c>
    </row>
    <row r="74" spans="1:8" hidden="1" x14ac:dyDescent="0.2">
      <c r="A74" s="82" t="str">
        <f>CSLI!B17</f>
        <v>Netherlands</v>
      </c>
      <c r="B74" s="62">
        <f>CSLI!F17</f>
        <v>0.38097448391980926</v>
      </c>
      <c r="C74" s="62">
        <f>CSLI!K17</f>
        <v>0.45108701049292338</v>
      </c>
      <c r="D74" s="62">
        <f>CSLI!P17</f>
        <v>0.45533985579804698</v>
      </c>
      <c r="E74" s="62">
        <f>CSLI!U17</f>
        <v>0.41061187561275952</v>
      </c>
      <c r="F74" s="62">
        <f>CSLI!AB17</f>
        <v>0.46783497102041027</v>
      </c>
      <c r="G74">
        <f t="shared" si="0"/>
        <v>1.3324583932103817E-2</v>
      </c>
      <c r="H74" t="s">
        <v>1359</v>
      </c>
    </row>
    <row r="75" spans="1:8" hidden="1" x14ac:dyDescent="0.2">
      <c r="A75" s="82" t="str">
        <f>CSLI!B53</f>
        <v>Spain</v>
      </c>
      <c r="B75" s="62">
        <f>CSLI!F53</f>
        <v>0.32146905351557992</v>
      </c>
      <c r="C75" s="62">
        <f>CSLI!K53</f>
        <v>6.9295885102135482E-2</v>
      </c>
      <c r="D75" s="62">
        <f>CSLI!P53</f>
        <v>0.11253381861182317</v>
      </c>
      <c r="E75" s="62">
        <f>CSLI!U53</f>
        <v>0.21365819135636105</v>
      </c>
      <c r="F75" s="62">
        <f>CSLI!AB53</f>
        <v>0.31162498927262061</v>
      </c>
      <c r="G75">
        <f t="shared" si="0"/>
        <v>1.2467417776830697E-2</v>
      </c>
      <c r="H75" t="s">
        <v>1359</v>
      </c>
    </row>
    <row r="76" spans="1:8" hidden="1" x14ac:dyDescent="0.2">
      <c r="A76" s="82" t="str">
        <f>CSLI!B55</f>
        <v>Russia</v>
      </c>
      <c r="B76" s="62">
        <f>CSLI!F55</f>
        <v>0.24301266128971633</v>
      </c>
      <c r="C76" s="62">
        <f>CSLI!K55</f>
        <v>0.15225798024628467</v>
      </c>
      <c r="D76" s="62">
        <f>CSLI!P55</f>
        <v>0.193046479065201</v>
      </c>
      <c r="E76" s="62">
        <f>CSLI!U55</f>
        <v>0.16900150181290274</v>
      </c>
      <c r="F76" s="62">
        <f>CSLI!AB55</f>
        <v>0.29025186640678374</v>
      </c>
      <c r="G76">
        <f t="shared" si="0"/>
        <v>1.112219318007529E-2</v>
      </c>
      <c r="H76" t="s">
        <v>1359</v>
      </c>
    </row>
    <row r="77" spans="1:8" x14ac:dyDescent="0.2">
      <c r="A77" s="82" t="str">
        <f>CSLI!B42</f>
        <v>Iran</v>
      </c>
      <c r="B77" s="62">
        <f>CSLI!F42</f>
        <v>0.27806250919712167</v>
      </c>
      <c r="C77" s="62">
        <f>CSLI!K42</f>
        <v>0.19090563319527126</v>
      </c>
      <c r="D77" s="62">
        <f>CSLI!P42</f>
        <v>0.26238486338517936</v>
      </c>
      <c r="E77" s="62">
        <f>CSLI!U42</f>
        <v>0.2990133373457709</v>
      </c>
      <c r="F77" s="62">
        <f>CSLI!AB42</f>
        <v>0.27685995997562152</v>
      </c>
      <c r="G77">
        <f t="shared" si="0"/>
        <v>1.0570260570749935E-2</v>
      </c>
      <c r="H77" t="s">
        <v>1363</v>
      </c>
    </row>
    <row r="78" spans="1:8" hidden="1" x14ac:dyDescent="0.2">
      <c r="A78" s="82" t="str">
        <f>CSLI!B34</f>
        <v>Portugal</v>
      </c>
      <c r="B78" s="62">
        <f>CSLI!F34</f>
        <v>0.27451450284237855</v>
      </c>
      <c r="C78" s="62">
        <f>CSLI!K34</f>
        <v>0.31587103701725677</v>
      </c>
      <c r="D78" s="62">
        <f>CSLI!P34</f>
        <v>0.2317434853148487</v>
      </c>
      <c r="E78" s="62">
        <f>CSLI!U34</f>
        <v>0.34081563574591767</v>
      </c>
      <c r="F78" s="62">
        <f>CSLI!AB34</f>
        <v>0.30785151411857981</v>
      </c>
      <c r="G78">
        <f t="shared" si="0"/>
        <v>9.1618621281063413E-3</v>
      </c>
      <c r="H78" t="s">
        <v>1359</v>
      </c>
    </row>
    <row r="79" spans="1:8" hidden="1" x14ac:dyDescent="0.2">
      <c r="A79" s="82" t="str">
        <f>CSLI!B14</f>
        <v>Sweden</v>
      </c>
      <c r="B79" s="62">
        <f>CSLI!F14</f>
        <v>0.33241448725770001</v>
      </c>
      <c r="C79" s="62">
        <f>CSLI!K14</f>
        <v>0.72533755959464041</v>
      </c>
      <c r="D79" s="62">
        <f>CSLI!P14</f>
        <v>0.54040281087661346</v>
      </c>
      <c r="E79" s="62">
        <f>CSLI!U14</f>
        <v>0.56753564893809705</v>
      </c>
      <c r="F79" s="62">
        <f>CSLI!AB14</f>
        <v>0.45588924023747007</v>
      </c>
      <c r="G79">
        <f t="shared" si="0"/>
        <v>8.914759530299677E-3</v>
      </c>
      <c r="H79" t="s">
        <v>1359</v>
      </c>
    </row>
    <row r="80" spans="1:8" hidden="1" x14ac:dyDescent="0.2">
      <c r="A80" s="82" t="str">
        <f>CSLI!B65</f>
        <v>Pakistan</v>
      </c>
      <c r="B80" s="62">
        <f>CSLI!F65</f>
        <v>9.2585369705333417E-2</v>
      </c>
      <c r="C80" s="62">
        <f>CSLI!K65</f>
        <v>0.10481706384777817</v>
      </c>
      <c r="D80" s="62">
        <f>CSLI!P65</f>
        <v>8.8887175972038809E-2</v>
      </c>
      <c r="E80" s="62">
        <f>CSLI!U65</f>
        <v>9.1535852572628612E-2</v>
      </c>
      <c r="F80" s="62">
        <f>CSLI!AB65</f>
        <v>0.14217755278434357</v>
      </c>
      <c r="G80">
        <f t="shared" si="0"/>
        <v>8.5903154882870751E-3</v>
      </c>
      <c r="H80" t="s">
        <v>1357</v>
      </c>
    </row>
    <row r="81" spans="1:8" hidden="1" x14ac:dyDescent="0.2">
      <c r="A81" s="82" t="str">
        <f>CSLI!B11</f>
        <v>Belgium</v>
      </c>
      <c r="B81" s="62">
        <f>CSLI!F11</f>
        <v>0.44436278734361567</v>
      </c>
      <c r="C81" s="62">
        <f>CSLI!K11</f>
        <v>0.6215054135799154</v>
      </c>
      <c r="D81" s="62">
        <f>CSLI!P11</f>
        <v>0.5605117801028241</v>
      </c>
      <c r="E81" s="62">
        <f>CSLI!U11</f>
        <v>0.60789452712833847</v>
      </c>
      <c r="F81" s="62">
        <f>CSLI!AB11</f>
        <v>0.48499154031854774</v>
      </c>
      <c r="G81">
        <f t="shared" si="0"/>
        <v>6.7646619498287208E-3</v>
      </c>
      <c r="H81" t="s">
        <v>1359</v>
      </c>
    </row>
    <row r="82" spans="1:8" hidden="1" x14ac:dyDescent="0.2">
      <c r="A82" s="82" t="str">
        <f>CSLI!B50</f>
        <v>Argentina</v>
      </c>
      <c r="B82" s="62">
        <f>CSLI!F50</f>
        <v>0.31968528878897179</v>
      </c>
      <c r="C82" s="62">
        <f>CSLI!K50</f>
        <v>0.12059856172617905</v>
      </c>
      <c r="D82" s="62">
        <f>CSLI!P50</f>
        <v>0.19773709636831985</v>
      </c>
      <c r="E82" s="62">
        <f>CSLI!U50</f>
        <v>0.20558315883900086</v>
      </c>
      <c r="F82" s="62">
        <f>CSLI!AB50</f>
        <v>0.29604949756601023</v>
      </c>
      <c r="G82">
        <f t="shared" si="0"/>
        <v>3.7713014666898694E-3</v>
      </c>
      <c r="H82" t="s">
        <v>1362</v>
      </c>
    </row>
    <row r="83" spans="1:8" hidden="1" x14ac:dyDescent="0.2">
      <c r="A83" s="82" t="str">
        <f>CSLI!B67</f>
        <v>Indonesia</v>
      </c>
      <c r="B83" s="62">
        <f>CSLI!F67</f>
        <v>8.308750912224179E-2</v>
      </c>
      <c r="C83" s="62">
        <f>CSLI!K67</f>
        <v>0</v>
      </c>
      <c r="D83" s="62">
        <f>CSLI!P67</f>
        <v>0</v>
      </c>
      <c r="E83" s="62">
        <f>CSLI!U67</f>
        <v>4.2891363724655851E-2</v>
      </c>
      <c r="F83" s="62">
        <f>CSLI!AB67</f>
        <v>7.1152883089829685E-2</v>
      </c>
      <c r="G83">
        <f t="shared" si="0"/>
        <v>1.9022111659831643E-3</v>
      </c>
      <c r="H83" t="s">
        <v>1357</v>
      </c>
    </row>
    <row r="84" spans="1:8" hidden="1" x14ac:dyDescent="0.2">
      <c r="A84" s="82" t="str">
        <f>CSLI!B63</f>
        <v>Sri Lanka</v>
      </c>
      <c r="B84" s="62">
        <f>CSLI!F63</f>
        <v>0.21852074570671629</v>
      </c>
      <c r="C84" s="62">
        <f>CSLI!K63</f>
        <v>6.0170160288232098E-2</v>
      </c>
      <c r="D84" s="62">
        <f>CSLI!P63</f>
        <v>0.10045552557836582</v>
      </c>
      <c r="E84" s="62">
        <f>CSLI!U63</f>
        <v>0.1519636377963906</v>
      </c>
      <c r="F84" s="62">
        <f>CSLI!AB63</f>
        <v>0.1820406718888232</v>
      </c>
      <c r="G84">
        <f t="shared" si="0"/>
        <v>1.8833329872372322E-3</v>
      </c>
      <c r="H84" t="s">
        <v>1357</v>
      </c>
    </row>
    <row r="85" spans="1:8" hidden="1" x14ac:dyDescent="0.2">
      <c r="A85" s="82" t="str">
        <f>CSLI!B32</f>
        <v>South Africa</v>
      </c>
      <c r="B85" s="62">
        <f>CSLI!F32</f>
        <v>0.22452155838010654</v>
      </c>
      <c r="C85" s="62">
        <f>CSLI!K32</f>
        <v>0.44028150652378084</v>
      </c>
      <c r="D85" s="62">
        <f>CSLI!P32</f>
        <v>0.28211736753554106</v>
      </c>
      <c r="E85" s="62">
        <f>CSLI!U32</f>
        <v>0.33030841186710946</v>
      </c>
      <c r="F85" s="62">
        <f>CSLI!AB32</f>
        <v>0.28854559410818836</v>
      </c>
      <c r="G85">
        <f t="shared" si="0"/>
        <v>1.8074976799492271E-3</v>
      </c>
      <c r="H85" t="s">
        <v>1358</v>
      </c>
    </row>
    <row r="86" spans="1:8" hidden="1" x14ac:dyDescent="0.2">
      <c r="A86" s="82" t="str">
        <f>CSLI!B3</f>
        <v>Australia</v>
      </c>
      <c r="B86" s="62">
        <f>CSLI!F3</f>
        <v>1</v>
      </c>
      <c r="C86" s="62">
        <f>CSLI!K3</f>
        <v>1</v>
      </c>
      <c r="D86" s="62">
        <f>CSLI!P3</f>
        <v>1</v>
      </c>
      <c r="E86" s="62">
        <f>CSLI!U3</f>
        <v>1</v>
      </c>
      <c r="F86" s="62">
        <f>CSLI!AB3</f>
        <v>1</v>
      </c>
      <c r="G86">
        <f t="shared" si="0"/>
        <v>0</v>
      </c>
      <c r="H86" t="s">
        <v>1361</v>
      </c>
    </row>
    <row r="87" spans="1:8" hidden="1" x14ac:dyDescent="0.2">
      <c r="A87" s="82" t="str">
        <f>CSLI!B37</f>
        <v>Italy</v>
      </c>
      <c r="B87" s="62">
        <f>CSLI!F37</f>
        <v>0.37661576657043905</v>
      </c>
      <c r="C87" s="62">
        <f>CSLI!K37</f>
        <v>0.16301993496371653</v>
      </c>
      <c r="D87" s="62">
        <f>CSLI!P37</f>
        <v>0.28431773747836225</v>
      </c>
      <c r="E87" s="62">
        <f>CSLI!U37</f>
        <v>0.23058632911823435</v>
      </c>
      <c r="F87" s="62">
        <f>CSLI!AB37</f>
        <v>0.33081940988073999</v>
      </c>
      <c r="G87">
        <f t="shared" si="0"/>
        <v>-2.4026319224880301E-3</v>
      </c>
      <c r="H87" t="s">
        <v>1359</v>
      </c>
    </row>
    <row r="88" spans="1:8" hidden="1" x14ac:dyDescent="0.2">
      <c r="A88" s="82" t="str">
        <f>CSLI!B36</f>
        <v>Peru</v>
      </c>
      <c r="B88" s="62">
        <f>CSLI!F36</f>
        <v>0.25948955424572512</v>
      </c>
      <c r="C88" s="62">
        <f>CSLI!K36</f>
        <v>0.3384575774138846</v>
      </c>
      <c r="D88" s="62">
        <f>CSLI!P36</f>
        <v>0.36604725618382306</v>
      </c>
      <c r="E88" s="62">
        <f>CSLI!U36</f>
        <v>0.2974910992351873</v>
      </c>
      <c r="F88" s="62">
        <f>CSLI!AB36</f>
        <v>0.25704596663158574</v>
      </c>
      <c r="G88">
        <f t="shared" si="0"/>
        <v>-4.5853653406976056E-3</v>
      </c>
      <c r="H88" t="s">
        <v>1362</v>
      </c>
    </row>
    <row r="89" spans="1:8" hidden="1" x14ac:dyDescent="0.2">
      <c r="A89" s="82" t="str">
        <f>CSLI!B4</f>
        <v>South Korea</v>
      </c>
      <c r="B89" s="62">
        <f>CSLI!F4</f>
        <v>0.87967808606658227</v>
      </c>
      <c r="C89" s="62">
        <f>CSLI!K4</f>
        <v>0.93602390818145109</v>
      </c>
      <c r="D89" s="62">
        <f>CSLI!P4</f>
        <v>0.87882304093807995</v>
      </c>
      <c r="E89" s="62">
        <f>CSLI!U4</f>
        <v>0.85553159123350953</v>
      </c>
      <c r="F89" s="62">
        <f>CSLI!AB4</f>
        <v>0.88416226724465086</v>
      </c>
      <c r="G89">
        <f t="shared" si="0"/>
        <v>-7.1523954591804382E-3</v>
      </c>
      <c r="H89" t="s">
        <v>1357</v>
      </c>
    </row>
    <row r="90" spans="1:8" x14ac:dyDescent="0.2">
      <c r="A90" s="82" t="str">
        <f>CSLI!B29</f>
        <v>United Arab Emirates</v>
      </c>
      <c r="B90" s="62">
        <f>CSLI!F29</f>
        <v>0.39511549123351541</v>
      </c>
      <c r="C90" s="62">
        <f>CSLI!K29</f>
        <v>0.26628060485739447</v>
      </c>
      <c r="D90" s="62">
        <f>CSLI!P29</f>
        <v>0.2213779864559493</v>
      </c>
      <c r="E90" s="62">
        <f>CSLI!U29</f>
        <v>0.31032507131174097</v>
      </c>
      <c r="F90" s="62">
        <f>CSLI!AB29</f>
        <v>0.31722072943644375</v>
      </c>
      <c r="G90">
        <f t="shared" si="0"/>
        <v>-1.1174505713979682E-2</v>
      </c>
      <c r="H90" t="s">
        <v>1363</v>
      </c>
    </row>
    <row r="91" spans="1:8" hidden="1" x14ac:dyDescent="0.2">
      <c r="A91" s="82" t="str">
        <f>CSLI!B64</f>
        <v>Brazil</v>
      </c>
      <c r="B91" s="62">
        <f>CSLI!F64</f>
        <v>0.24619456464560927</v>
      </c>
      <c r="C91" s="62">
        <f>CSLI!K64</f>
        <v>3.4514496533594764E-2</v>
      </c>
      <c r="D91" s="62">
        <f>CSLI!P64</f>
        <v>0.13220353488522829</v>
      </c>
      <c r="E91" s="62">
        <f>CSLI!U64</f>
        <v>4.7634657168541808E-3</v>
      </c>
      <c r="F91" s="62">
        <f>CSLI!AB64</f>
        <v>0.18195587838247948</v>
      </c>
      <c r="G91">
        <f t="shared" si="0"/>
        <v>-1.5822840334300012E-2</v>
      </c>
      <c r="H91" t="s">
        <v>1362</v>
      </c>
    </row>
    <row r="92" spans="1:8" hidden="1" x14ac:dyDescent="0.2">
      <c r="A92" s="82" t="str">
        <f>CSLI!B46</f>
        <v>Switzerland</v>
      </c>
      <c r="B92" s="62">
        <f>CSLI!F46</f>
        <v>0.36022797015220032</v>
      </c>
      <c r="C92" s="62">
        <f>CSLI!K46</f>
        <v>0.17943656107509501</v>
      </c>
      <c r="D92" s="62">
        <f>CSLI!P46</f>
        <v>0.231805281664927</v>
      </c>
      <c r="E92" s="62">
        <f>CSLI!U46</f>
        <v>0.20675019298035113</v>
      </c>
      <c r="F92" s="62">
        <f>CSLI!AB46</f>
        <v>0.25837463164668661</v>
      </c>
      <c r="G92">
        <f t="shared" si="0"/>
        <v>-1.7639304510577127E-2</v>
      </c>
      <c r="H92" t="s">
        <v>1359</v>
      </c>
    </row>
    <row r="93" spans="1:8" hidden="1" x14ac:dyDescent="0.2">
      <c r="A93" s="82" t="str">
        <f>CSLI!B26</f>
        <v>Kazakhstan</v>
      </c>
      <c r="B93" s="62">
        <f>CSLI!F26</f>
        <v>0.3424197369082122</v>
      </c>
      <c r="C93" s="62">
        <f>CSLI!K26</f>
        <v>0.44564152564372816</v>
      </c>
      <c r="D93" s="62">
        <f>CSLI!P26</f>
        <v>0.2626367023710538</v>
      </c>
      <c r="E93" s="62">
        <f>CSLI!U26</f>
        <v>0.33816345525568037</v>
      </c>
      <c r="F93" s="62">
        <f>CSLI!AB26</f>
        <v>0.30601684845212812</v>
      </c>
      <c r="G93">
        <f t="shared" si="0"/>
        <v>-1.8028384730021597E-2</v>
      </c>
      <c r="H93" t="s">
        <v>1357</v>
      </c>
    </row>
    <row r="94" spans="1:8" x14ac:dyDescent="0.2">
      <c r="A94" s="82" t="str">
        <f>CSLI!B5</f>
        <v>Israel</v>
      </c>
      <c r="B94" s="62">
        <f>CSLI!F5</f>
        <v>0.87665820680545414</v>
      </c>
      <c r="C94" s="62">
        <f>CSLI!K5</f>
        <v>0.8079677273840955</v>
      </c>
      <c r="D94" s="62">
        <f>CSLI!P5</f>
        <v>0.95963266611617104</v>
      </c>
      <c r="E94" s="62">
        <f>CSLI!U5</f>
        <v>0.80760692803925338</v>
      </c>
      <c r="F94" s="62">
        <f>CSLI!AB5</f>
        <v>0.77969273774657033</v>
      </c>
      <c r="G94">
        <f t="shared" si="0"/>
        <v>-1.9429173746260974E-2</v>
      </c>
      <c r="H94" t="s">
        <v>1363</v>
      </c>
    </row>
    <row r="95" spans="1:8" hidden="1" x14ac:dyDescent="0.2">
      <c r="A95" s="82" t="str">
        <f>CSLI!B44</f>
        <v>Austria</v>
      </c>
      <c r="B95" s="62">
        <f>CSLI!F44</f>
        <v>0.36501027262243158</v>
      </c>
      <c r="C95" s="62">
        <f>CSLI!K44</f>
        <v>0.25689511616689753</v>
      </c>
      <c r="D95" s="62">
        <f>CSLI!P44</f>
        <v>0.20687270924978898</v>
      </c>
      <c r="E95" s="62">
        <f>CSLI!U44</f>
        <v>0.2232861689631078</v>
      </c>
      <c r="F95" s="62">
        <f>CSLI!AB44</f>
        <v>0.26890629167222846</v>
      </c>
      <c r="G95">
        <f t="shared" si="0"/>
        <v>-2.2581690910419595E-2</v>
      </c>
      <c r="H95" t="s">
        <v>1359</v>
      </c>
    </row>
    <row r="96" spans="1:8" hidden="1" x14ac:dyDescent="0.2">
      <c r="A96" s="82" t="str">
        <f>CSLI!B13</f>
        <v>France</v>
      </c>
      <c r="B96" s="62">
        <f>CSLI!F13</f>
        <v>0.44601552294795105</v>
      </c>
      <c r="C96" s="62">
        <f>CSLI!K13</f>
        <v>0.75475857230686305</v>
      </c>
      <c r="D96" s="62">
        <f>CSLI!P13</f>
        <v>0.40468249156707697</v>
      </c>
      <c r="E96" s="62">
        <f>CSLI!U13</f>
        <v>0.49319843139477576</v>
      </c>
      <c r="F96" s="62">
        <f>CSLI!AB13</f>
        <v>0.45513966431501163</v>
      </c>
      <c r="G96">
        <f t="shared" si="0"/>
        <v>-2.4331185817796613E-2</v>
      </c>
      <c r="H96" t="s">
        <v>1359</v>
      </c>
    </row>
    <row r="97" spans="1:8" hidden="1" x14ac:dyDescent="0.2">
      <c r="A97" s="82" t="str">
        <f>CSLI!B60</f>
        <v>Germany</v>
      </c>
      <c r="B97" s="62">
        <f>CSLI!F60</f>
        <v>0.39181134620373226</v>
      </c>
      <c r="C97" s="62">
        <f>CSLI!K60</f>
        <v>6.2682054559678596E-2</v>
      </c>
      <c r="D97" s="62">
        <f>CSLI!P60</f>
        <v>0.16205097441054631</v>
      </c>
      <c r="E97" s="62">
        <f>CSLI!U60</f>
        <v>0.10355485846103701</v>
      </c>
      <c r="F97" s="62">
        <f>CSLI!AB60</f>
        <v>0.20952556784293724</v>
      </c>
      <c r="G97">
        <f t="shared" si="0"/>
        <v>-3.2369875282023161E-2</v>
      </c>
      <c r="H97" t="s">
        <v>1359</v>
      </c>
    </row>
    <row r="98" spans="1:8" hidden="1" x14ac:dyDescent="0.2">
      <c r="A98" s="82" t="str">
        <f>CSLI!B20</f>
        <v>Czechia</v>
      </c>
      <c r="B98" s="62">
        <f>CSLI!F20</f>
        <v>0.52934979065923227</v>
      </c>
      <c r="C98" s="62">
        <f>CSLI!K20</f>
        <v>0.45511706451794759</v>
      </c>
      <c r="D98" s="62">
        <f>CSLI!P20</f>
        <v>0.37613244004098839</v>
      </c>
      <c r="E98" s="62">
        <f>CSLI!U20</f>
        <v>0.27039100891744222</v>
      </c>
      <c r="F98" s="62">
        <f>CSLI!AB20</f>
        <v>0.356683741645411</v>
      </c>
      <c r="G98">
        <f t="shared" si="0"/>
        <v>-5.300581536281479E-2</v>
      </c>
      <c r="H98" t="s">
        <v>1359</v>
      </c>
    </row>
    <row r="99" spans="1:8" hidden="1" x14ac:dyDescent="0.2">
      <c r="A99" s="82" t="str">
        <f>CSLI!B7</f>
        <v>Hong Kong</v>
      </c>
      <c r="B99" s="62">
        <f>CSLI!F7</f>
        <v>0.76908086881214555</v>
      </c>
      <c r="C99" s="62">
        <f>CSLI!K7</f>
        <v>0.93282907415431415</v>
      </c>
      <c r="D99" s="62">
        <f>CSLI!P7</f>
        <v>0.57108163175721649</v>
      </c>
      <c r="E99" s="62">
        <f>CSLI!U7</f>
        <v>0.76373446596361205</v>
      </c>
      <c r="F99" s="62">
        <f>CSLI!AB7</f>
        <v>0.5426648898337656</v>
      </c>
      <c r="G99">
        <f t="shared" si="0"/>
        <v>-6.2192656614746197E-2</v>
      </c>
      <c r="H99" t="s">
        <v>1357</v>
      </c>
    </row>
    <row r="100" spans="1:8" hidden="1" x14ac:dyDescent="0.2">
      <c r="A100" s="82" t="str">
        <f>CSLI!B28</f>
        <v>Croatia</v>
      </c>
      <c r="B100" s="62">
        <f>CSLI!F28</f>
        <v>0.61701155082512915</v>
      </c>
      <c r="C100" s="62">
        <f>CSLI!K28</f>
        <v>0.41801048071622421</v>
      </c>
      <c r="D100" s="62">
        <f>CSLI!P28</f>
        <v>0.2904608791046141</v>
      </c>
      <c r="E100" s="62">
        <f>CSLI!U28</f>
        <v>0.21124744923803668</v>
      </c>
      <c r="F100" s="62">
        <f>CSLI!AB28</f>
        <v>0.22454496755342701</v>
      </c>
      <c r="G100">
        <f t="shared" si="0"/>
        <v>-9.9169619802159187E-2</v>
      </c>
      <c r="H100" t="s">
        <v>1359</v>
      </c>
    </row>
    <row r="101" spans="1:8" hidden="1" x14ac:dyDescent="0.2">
      <c r="A101" s="82" t="str">
        <f>CSLI!B30</f>
        <v>Norway</v>
      </c>
      <c r="B101" s="62">
        <f>CSLI!F30</f>
        <v>0.67096774530724479</v>
      </c>
      <c r="C101" s="62">
        <f>CSLI!K30</f>
        <v>0.42747566517081798</v>
      </c>
      <c r="D101" s="62">
        <f>CSLI!P30</f>
        <v>0.30721544742631957</v>
      </c>
      <c r="E101" s="62">
        <f>CSLI!U30</f>
        <v>0.20973308929701401</v>
      </c>
      <c r="F101" s="62">
        <f>CSLI!AB30</f>
        <v>0.14452420197881902</v>
      </c>
      <c r="G101">
        <f t="shared" si="0"/>
        <v>-0.12706296625306554</v>
      </c>
      <c r="H101" t="s">
        <v>1359</v>
      </c>
    </row>
    <row r="102" spans="1:8" ht="16" hidden="1" thickBot="1" x14ac:dyDescent="0.25">
      <c r="A102" s="83" t="str">
        <f>CSLI!B56</f>
        <v>Finland</v>
      </c>
      <c r="B102" s="62">
        <f>CSLI!F56</f>
        <v>0.65602651920739741</v>
      </c>
      <c r="C102" s="62">
        <f>CSLI!K56</f>
        <v>0.11815064986615705</v>
      </c>
      <c r="D102" s="62">
        <f>CSLI!P56</f>
        <v>0.20743250562120302</v>
      </c>
      <c r="E102" s="62">
        <f>CSLI!U56</f>
        <v>0</v>
      </c>
      <c r="F102" s="62">
        <f>CSLI!AB56</f>
        <v>0</v>
      </c>
      <c r="G102">
        <f t="shared" si="0"/>
        <v>-0.14302036882809518</v>
      </c>
      <c r="H102" t="s">
        <v>1359</v>
      </c>
    </row>
    <row r="104" spans="1:8" x14ac:dyDescent="0.2">
      <c r="A104" s="75" t="s">
        <v>1335</v>
      </c>
      <c r="B104" s="95">
        <f>CSLI!F69</f>
        <v>0.20765997873119138</v>
      </c>
      <c r="C104" s="95">
        <f>CSLI!K69</f>
        <v>0.24579217050804714</v>
      </c>
      <c r="D104" s="95">
        <f>CSLI!P69</f>
        <v>0.2120954160698951</v>
      </c>
      <c r="E104" s="95">
        <f>CSLI!U69</f>
        <v>0.219243938662186</v>
      </c>
      <c r="F104" s="95">
        <f>CSLI!AB69</f>
        <v>0.19725287448229833</v>
      </c>
    </row>
    <row r="105" spans="1:8" x14ac:dyDescent="0.2">
      <c r="A105" s="75"/>
      <c r="B105" s="95">
        <f>B104/SQRT(65)</f>
        <v>2.5757050346723997E-2</v>
      </c>
      <c r="C105" s="95">
        <f t="shared" ref="C105:F105" si="1">C104/SQRT(65)</f>
        <v>3.0486766633071097E-2</v>
      </c>
      <c r="D105" s="95">
        <f t="shared" si="1"/>
        <v>2.6307198639817179E-2</v>
      </c>
      <c r="E105" s="95">
        <f t="shared" si="1"/>
        <v>2.7193863742256942E-2</v>
      </c>
      <c r="F105" s="95">
        <f t="shared" si="1"/>
        <v>2.4466207933370326E-2</v>
      </c>
    </row>
    <row r="106" spans="1:8" x14ac:dyDescent="0.2">
      <c r="A106" s="75" t="s">
        <v>1356</v>
      </c>
      <c r="B106" s="95">
        <f>CSLI!F70</f>
        <v>0.33437008711459587</v>
      </c>
      <c r="C106" s="95">
        <f>CSLI!K70</f>
        <v>0.32365193878854626</v>
      </c>
      <c r="D106" s="95">
        <f>CSLI!P70</f>
        <v>0.33641985220596587</v>
      </c>
      <c r="E106" s="95">
        <f>CSLI!U70</f>
        <v>0.34474271648865989</v>
      </c>
      <c r="F106" s="95">
        <f>CSLI!AB70</f>
        <v>0.3969638302788015</v>
      </c>
    </row>
    <row r="107" spans="1:8" x14ac:dyDescent="0.2">
      <c r="A107" s="75" t="s">
        <v>1358</v>
      </c>
      <c r="B107" s="95">
        <f>AVERAGE(B85,B73,B70,B67,B62,B39)</f>
        <v>0.2120653382255627</v>
      </c>
      <c r="C107" s="95">
        <f t="shared" ref="C107:F107" si="2">AVERAGE(C85,C73,C70,C67,C62,C39)</f>
        <v>0.24758844512512582</v>
      </c>
      <c r="D107" s="95">
        <f t="shared" si="2"/>
        <v>0.22221185615532327</v>
      </c>
      <c r="E107" s="95">
        <f t="shared" si="2"/>
        <v>0.23524711872584655</v>
      </c>
      <c r="F107" s="95">
        <f t="shared" si="2"/>
        <v>0.36023353358721838</v>
      </c>
    </row>
    <row r="108" spans="1:8" x14ac:dyDescent="0.2">
      <c r="A108" s="75" t="s">
        <v>1357</v>
      </c>
      <c r="B108" s="95">
        <f>AVERAGE(B99,B93,B89,B84,B83,B80,B71,B68,B66,B61,B57,B51,B49,B42,B40,B38)</f>
        <v>0.31964065867942731</v>
      </c>
      <c r="C108" s="95">
        <f t="shared" ref="C108:F108" si="3">AVERAGE(C99,C93,C89,C84,C83,C80,C71,C68,C66,C61,C57,C51,C49,C42,C40,C38)</f>
        <v>0.3365142800764605</v>
      </c>
      <c r="D108" s="95">
        <f t="shared" si="3"/>
        <v>0.3541605261298027</v>
      </c>
      <c r="E108" s="95">
        <f t="shared" si="3"/>
        <v>0.38906760305291427</v>
      </c>
      <c r="F108" s="95">
        <f t="shared" si="3"/>
        <v>0.41593728965975352</v>
      </c>
    </row>
    <row r="109" spans="1:8" x14ac:dyDescent="0.2">
      <c r="A109" s="75" t="s">
        <v>1359</v>
      </c>
      <c r="B109" s="95">
        <f>AVERAGE(B102,B101,B100,B98,B97,B96,B95,B92,B87,B81,B78,B79,B76,B74,B75,B69,B64,B63,B54,B53,B52,B50,B48,B47,B46,B41,B43)</f>
        <v>0.36649390877151483</v>
      </c>
      <c r="C109" s="95">
        <f t="shared" ref="C109:F109" si="4">AVERAGE(C102,C101,C100,C98,C97,C96,C95,C92,C87,C81,C78,C79,C76,C74,C75,C69,C64,C63,C54,C53,C52,C50,C48,C47,C46,C41,C43)</f>
        <v>0.34573760153717031</v>
      </c>
      <c r="D109" s="95">
        <f t="shared" si="4"/>
        <v>0.34250975253136534</v>
      </c>
      <c r="E109" s="95">
        <f t="shared" si="4"/>
        <v>0.34820050794462465</v>
      </c>
      <c r="F109" s="95">
        <f t="shared" si="4"/>
        <v>0.38588930343414973</v>
      </c>
    </row>
    <row r="110" spans="1:8" x14ac:dyDescent="0.2">
      <c r="A110" s="75" t="s">
        <v>1363</v>
      </c>
      <c r="B110" s="95">
        <f>AVERAGE(B94,B90,B77,B56,B45)</f>
        <v>0.3785155541663196</v>
      </c>
      <c r="C110" s="95">
        <f t="shared" ref="C110:F110" si="5">AVERAGE(C94,C90,C77,C56,C45)</f>
        <v>0.33539371430997678</v>
      </c>
      <c r="D110" s="95">
        <f t="shared" si="5"/>
        <v>0.40717539909138167</v>
      </c>
      <c r="E110" s="95">
        <f t="shared" si="5"/>
        <v>0.3949645409254755</v>
      </c>
      <c r="F110" s="95">
        <f t="shared" si="5"/>
        <v>0.42630889409434658</v>
      </c>
    </row>
    <row r="111" spans="1:8" x14ac:dyDescent="0.2">
      <c r="A111" s="75" t="s">
        <v>1360</v>
      </c>
      <c r="B111" s="95">
        <f>AVERAGE(B65,B55,B44)</f>
        <v>0.21651872609778225</v>
      </c>
      <c r="C111" s="95">
        <f t="shared" ref="C111:F111" si="6">AVERAGE(C65,C55,C44)</f>
        <v>0.31914525195667381</v>
      </c>
      <c r="D111" s="95">
        <f t="shared" si="6"/>
        <v>0.35487865850636208</v>
      </c>
      <c r="E111" s="95">
        <f t="shared" si="6"/>
        <v>0.34433033713078781</v>
      </c>
      <c r="F111" s="95">
        <f t="shared" si="6"/>
        <v>0.40208634699807488</v>
      </c>
      <c r="H111" s="100"/>
    </row>
    <row r="112" spans="1:8" x14ac:dyDescent="0.2">
      <c r="A112" s="75" t="s">
        <v>1361</v>
      </c>
      <c r="B112" s="95">
        <f>AVERAGE(B86,B58)</f>
        <v>0.65954372059228827</v>
      </c>
      <c r="C112" s="95">
        <f t="shared" ref="C112:F112" si="7">AVERAGE(C86,C58)</f>
        <v>0.62025181714294253</v>
      </c>
      <c r="D112" s="95">
        <f t="shared" si="7"/>
        <v>0.64070069202896041</v>
      </c>
      <c r="E112" s="95">
        <f t="shared" si="7"/>
        <v>0.58268574161460918</v>
      </c>
      <c r="F112" s="95">
        <f t="shared" si="7"/>
        <v>0.74893075375140117</v>
      </c>
    </row>
    <row r="113" spans="1:6" x14ac:dyDescent="0.2">
      <c r="A113" s="99" t="s">
        <v>1362</v>
      </c>
      <c r="B113" s="95">
        <f>AVERAGE(B91,B88,B82,B72,B60,B59)</f>
        <v>0.26514269451401823</v>
      </c>
      <c r="C113" s="95">
        <f t="shared" ref="C113:F113" si="8">AVERAGE(C91,C88,C82,C72,C60,C59)</f>
        <v>0.15963227767866475</v>
      </c>
      <c r="D113" s="95">
        <f t="shared" si="8"/>
        <v>0.2062955274997029</v>
      </c>
      <c r="E113" s="95">
        <f t="shared" si="8"/>
        <v>0.19951888280122484</v>
      </c>
      <c r="F113" s="95">
        <f t="shared" si="8"/>
        <v>0.28859582005865453</v>
      </c>
    </row>
    <row r="114" spans="1:6" x14ac:dyDescent="0.2">
      <c r="A114" s="99"/>
    </row>
    <row r="129" spans="1:6" x14ac:dyDescent="0.2">
      <c r="A129"/>
      <c r="B129"/>
    </row>
    <row r="131" spans="1:6" x14ac:dyDescent="0.2">
      <c r="A131"/>
      <c r="B131"/>
      <c r="C131"/>
      <c r="D131"/>
      <c r="E131"/>
      <c r="F131"/>
    </row>
    <row r="132" spans="1:6" x14ac:dyDescent="0.2">
      <c r="A132"/>
      <c r="B132"/>
      <c r="C132"/>
      <c r="D132"/>
      <c r="E132"/>
      <c r="F132"/>
    </row>
    <row r="133" spans="1:6" x14ac:dyDescent="0.2">
      <c r="A133"/>
      <c r="B133"/>
      <c r="C133"/>
      <c r="D133"/>
      <c r="E133"/>
      <c r="F133"/>
    </row>
    <row r="134" spans="1:6" x14ac:dyDescent="0.2">
      <c r="A134"/>
      <c r="B134"/>
      <c r="C134"/>
      <c r="D134"/>
      <c r="E134"/>
      <c r="F134"/>
    </row>
    <row r="135" spans="1:6" x14ac:dyDescent="0.2">
      <c r="A135"/>
      <c r="B135"/>
      <c r="C135"/>
      <c r="D135"/>
      <c r="E135"/>
      <c r="F135"/>
    </row>
    <row r="136" spans="1:6" x14ac:dyDescent="0.2">
      <c r="A136"/>
      <c r="B136"/>
      <c r="C136"/>
      <c r="D136"/>
      <c r="E136"/>
      <c r="F136"/>
    </row>
    <row r="137" spans="1:6" x14ac:dyDescent="0.2">
      <c r="A137"/>
      <c r="B137"/>
      <c r="C137"/>
      <c r="D137"/>
      <c r="E137"/>
      <c r="F137"/>
    </row>
    <row r="138" spans="1:6" x14ac:dyDescent="0.2">
      <c r="A138"/>
      <c r="B138"/>
      <c r="C138"/>
      <c r="D138"/>
      <c r="E138"/>
      <c r="F138"/>
    </row>
    <row r="139" spans="1:6" x14ac:dyDescent="0.2">
      <c r="A139"/>
      <c r="B139"/>
      <c r="C139"/>
      <c r="D139"/>
      <c r="E139"/>
      <c r="F139"/>
    </row>
    <row r="140" spans="1:6" x14ac:dyDescent="0.2">
      <c r="A140"/>
      <c r="B140"/>
      <c r="C140"/>
      <c r="D140"/>
      <c r="E140"/>
      <c r="F140"/>
    </row>
    <row r="141" spans="1:6" x14ac:dyDescent="0.2">
      <c r="A141"/>
      <c r="B141"/>
      <c r="C141"/>
      <c r="D141"/>
      <c r="E141"/>
      <c r="F141"/>
    </row>
    <row r="142" spans="1:6" x14ac:dyDescent="0.2">
      <c r="A142"/>
      <c r="B142"/>
      <c r="C142"/>
    </row>
    <row r="143" spans="1:6" x14ac:dyDescent="0.2">
      <c r="A143"/>
      <c r="B143"/>
      <c r="C143"/>
    </row>
    <row r="144" spans="1:6" x14ac:dyDescent="0.2">
      <c r="A144"/>
      <c r="B144"/>
      <c r="C144"/>
    </row>
    <row r="145" spans="1:3" x14ac:dyDescent="0.2">
      <c r="A145"/>
      <c r="B145"/>
      <c r="C145"/>
    </row>
    <row r="146" spans="1:3" x14ac:dyDescent="0.2">
      <c r="A146"/>
      <c r="B146"/>
      <c r="C146"/>
    </row>
    <row r="147" spans="1:3" x14ac:dyDescent="0.2">
      <c r="A147"/>
      <c r="B147"/>
      <c r="C147"/>
    </row>
    <row r="148" spans="1:3" x14ac:dyDescent="0.2">
      <c r="A148"/>
      <c r="B148"/>
      <c r="C148"/>
    </row>
  </sheetData>
  <autoFilter ref="A37:H102" xr:uid="{C73CEAD0-8D12-FB4D-8392-4AC559E8D379}">
    <filterColumn colId="7">
      <filters>
        <filter val="Middle East"/>
      </filters>
    </filterColumn>
  </autoFilter>
  <conditionalFormatting sqref="B38:B102">
    <cfRule type="colorScale" priority="11">
      <colorScale>
        <cfvo type="min"/>
        <cfvo type="percentile" val="50"/>
        <cfvo type="max"/>
        <color rgb="FFF8696B"/>
        <color rgb="FFFFEB84"/>
        <color rgb="FF63BE7B"/>
      </colorScale>
    </cfRule>
  </conditionalFormatting>
  <conditionalFormatting sqref="C38:C102">
    <cfRule type="colorScale" priority="9">
      <colorScale>
        <cfvo type="min"/>
        <cfvo type="percentile" val="50"/>
        <cfvo type="max"/>
        <color rgb="FFF8696B"/>
        <color rgb="FFFFEB84"/>
        <color rgb="FF63BE7B"/>
      </colorScale>
    </cfRule>
  </conditionalFormatting>
  <conditionalFormatting sqref="D38:D102">
    <cfRule type="colorScale" priority="7">
      <colorScale>
        <cfvo type="min"/>
        <cfvo type="percentile" val="50"/>
        <cfvo type="max"/>
        <color rgb="FFF8696B"/>
        <color rgb="FFFFEB84"/>
        <color rgb="FF63BE7B"/>
      </colorScale>
    </cfRule>
  </conditionalFormatting>
  <conditionalFormatting sqref="E38:E102">
    <cfRule type="colorScale" priority="5">
      <colorScale>
        <cfvo type="min"/>
        <cfvo type="percentile" val="50"/>
        <cfvo type="max"/>
        <color rgb="FFF8696B"/>
        <color rgb="FFFFEB84"/>
        <color rgb="FF63BE7B"/>
      </colorScale>
    </cfRule>
  </conditionalFormatting>
  <conditionalFormatting sqref="F38:F102">
    <cfRule type="colorScale" priority="3">
      <colorScale>
        <cfvo type="min"/>
        <cfvo type="percentile" val="50"/>
        <cfvo type="max"/>
        <color rgb="FFF8696B"/>
        <color rgb="FFFFEB84"/>
        <color rgb="FF63BE7B"/>
      </colorScale>
    </cfRule>
  </conditionalFormatting>
  <conditionalFormatting sqref="G38:G102">
    <cfRule type="colorScale" priority="1">
      <colorScale>
        <cfvo type="min"/>
        <cfvo type="percentile" val="50"/>
        <cfvo type="max"/>
        <color rgb="FFF8696B"/>
        <color rgb="FFFFEB84"/>
        <color rgb="FF63BE7B"/>
      </colorScale>
    </cfRule>
  </conditionalFormatting>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O130"/>
  <sheetViews>
    <sheetView zoomScale="70" zoomScaleNormal="70" workbookViewId="0">
      <pane xSplit="1" ySplit="1" topLeftCell="B3" activePane="bottomRight" state="frozen"/>
      <selection pane="topRight" activeCell="B1" sqref="B1"/>
      <selection pane="bottomLeft" activeCell="A2" sqref="A2"/>
      <selection pane="bottomRight"/>
    </sheetView>
  </sheetViews>
  <sheetFormatPr baseColWidth="10" defaultColWidth="9.1640625" defaultRowHeight="15" x14ac:dyDescent="0.2"/>
  <cols>
    <col min="1" max="1" width="21.5" style="5" customWidth="1"/>
    <col min="2" max="3" width="17.1640625" style="5" bestFit="1" customWidth="1"/>
    <col min="4" max="9" width="16" style="5" bestFit="1" customWidth="1"/>
    <col min="10" max="10" width="14.5" style="5" bestFit="1" customWidth="1"/>
    <col min="11" max="11" width="16" style="5" bestFit="1" customWidth="1"/>
    <col min="12" max="21" width="14.5" style="5" bestFit="1" customWidth="1"/>
    <col min="22" max="24" width="13.1640625" style="5" bestFit="1" customWidth="1"/>
    <col min="25" max="25" width="14.5" style="5" bestFit="1" customWidth="1"/>
    <col min="26" max="27" width="13.1640625" style="5" bestFit="1" customWidth="1"/>
    <col min="28" max="30" width="10.5" style="5" bestFit="1" customWidth="1"/>
    <col min="31" max="31" width="9.5" style="5" bestFit="1" customWidth="1"/>
    <col min="32" max="32" width="10.5" style="5" bestFit="1" customWidth="1"/>
    <col min="33" max="34" width="9.5" style="5" bestFit="1" customWidth="1"/>
    <col min="35" max="36" width="10.5" style="5" bestFit="1" customWidth="1"/>
    <col min="37" max="37" width="9.5" style="5" bestFit="1" customWidth="1"/>
    <col min="38" max="38" width="10.5" style="5" bestFit="1" customWidth="1"/>
    <col min="39" max="41" width="9.5" style="5" bestFit="1" customWidth="1"/>
    <col min="42" max="42" width="10.5" style="5" bestFit="1" customWidth="1"/>
    <col min="43" max="46" width="9.5" style="5" bestFit="1" customWidth="1"/>
    <col min="47" max="47" width="8.5" style="5" bestFit="1" customWidth="1"/>
    <col min="48" max="50" width="9.5" style="5" bestFit="1" customWidth="1"/>
    <col min="51" max="51" width="8.5" style="5" bestFit="1" customWidth="1"/>
    <col min="52" max="53" width="9.5" style="5" bestFit="1" customWidth="1"/>
    <col min="54" max="57" width="8.5" style="5" bestFit="1" customWidth="1"/>
    <col min="58" max="58" width="9.5" style="5" bestFit="1" customWidth="1"/>
    <col min="59" max="61" width="8.5" style="5" bestFit="1" customWidth="1"/>
    <col min="62" max="62" width="9.6640625" style="5" bestFit="1" customWidth="1"/>
    <col min="63" max="67" width="8.5" style="5" bestFit="1" customWidth="1"/>
    <col min="68" max="16384" width="9.1640625" style="5"/>
  </cols>
  <sheetData>
    <row r="1" spans="1:67" ht="100.5" customHeight="1" x14ac:dyDescent="0.2">
      <c r="A1" s="43" t="s">
        <v>0</v>
      </c>
      <c r="B1" s="3" t="s">
        <v>254</v>
      </c>
      <c r="C1" s="3" t="s">
        <v>255</v>
      </c>
      <c r="D1" s="3" t="s">
        <v>256</v>
      </c>
      <c r="E1" s="3" t="s">
        <v>257</v>
      </c>
      <c r="F1" s="3" t="s">
        <v>258</v>
      </c>
      <c r="G1" s="3" t="s">
        <v>259</v>
      </c>
      <c r="H1" s="3" t="s">
        <v>260</v>
      </c>
      <c r="I1" s="3" t="s">
        <v>261</v>
      </c>
      <c r="J1" s="3" t="s">
        <v>262</v>
      </c>
      <c r="K1" s="3" t="s">
        <v>263</v>
      </c>
      <c r="L1" s="3" t="s">
        <v>264</v>
      </c>
      <c r="M1" s="3" t="s">
        <v>265</v>
      </c>
      <c r="N1" s="3" t="s">
        <v>266</v>
      </c>
      <c r="O1" s="3" t="s">
        <v>267</v>
      </c>
      <c r="P1" s="3" t="s">
        <v>268</v>
      </c>
      <c r="Q1" s="3" t="s">
        <v>269</v>
      </c>
      <c r="R1" s="3" t="s">
        <v>270</v>
      </c>
      <c r="S1" s="3" t="s">
        <v>271</v>
      </c>
      <c r="T1" s="3" t="s">
        <v>272</v>
      </c>
      <c r="U1" s="3" t="s">
        <v>273</v>
      </c>
      <c r="V1" s="3" t="s">
        <v>274</v>
      </c>
      <c r="W1" s="3" t="s">
        <v>275</v>
      </c>
      <c r="X1" s="3" t="s">
        <v>276</v>
      </c>
      <c r="Y1" s="3" t="s">
        <v>277</v>
      </c>
      <c r="Z1" s="3" t="s">
        <v>278</v>
      </c>
      <c r="AA1" s="3" t="s">
        <v>279</v>
      </c>
      <c r="AB1" s="3" t="s">
        <v>280</v>
      </c>
      <c r="AC1" s="3" t="s">
        <v>281</v>
      </c>
      <c r="AD1" s="3" t="s">
        <v>282</v>
      </c>
      <c r="AE1" s="3" t="s">
        <v>283</v>
      </c>
      <c r="AF1" s="3" t="s">
        <v>284</v>
      </c>
      <c r="AG1" s="3" t="s">
        <v>285</v>
      </c>
      <c r="AH1" s="3" t="s">
        <v>286</v>
      </c>
      <c r="AI1" s="3" t="s">
        <v>287</v>
      </c>
      <c r="AJ1" s="3" t="s">
        <v>288</v>
      </c>
      <c r="AK1" s="3" t="s">
        <v>289</v>
      </c>
      <c r="AL1" s="3" t="s">
        <v>290</v>
      </c>
      <c r="AM1" s="3" t="s">
        <v>291</v>
      </c>
      <c r="AN1" s="3" t="s">
        <v>292</v>
      </c>
      <c r="AO1" s="3" t="s">
        <v>293</v>
      </c>
      <c r="AP1" s="3" t="s">
        <v>294</v>
      </c>
      <c r="AQ1" s="3" t="s">
        <v>295</v>
      </c>
      <c r="AR1" s="3" t="s">
        <v>296</v>
      </c>
      <c r="AS1" s="3" t="s">
        <v>297</v>
      </c>
      <c r="AT1" s="3" t="s">
        <v>298</v>
      </c>
      <c r="AU1" s="3" t="s">
        <v>299</v>
      </c>
      <c r="AV1" s="3" t="s">
        <v>300</v>
      </c>
      <c r="AW1" s="3" t="s">
        <v>301</v>
      </c>
      <c r="AX1" s="3" t="s">
        <v>302</v>
      </c>
      <c r="AY1" s="3" t="s">
        <v>303</v>
      </c>
      <c r="AZ1" s="3" t="s">
        <v>304</v>
      </c>
      <c r="BA1" s="3" t="s">
        <v>305</v>
      </c>
      <c r="BB1" s="3" t="s">
        <v>306</v>
      </c>
      <c r="BC1" s="3" t="s">
        <v>307</v>
      </c>
      <c r="BD1" s="3" t="s">
        <v>308</v>
      </c>
      <c r="BE1" s="3" t="s">
        <v>309</v>
      </c>
      <c r="BF1" s="3" t="s">
        <v>310</v>
      </c>
      <c r="BG1" s="3" t="s">
        <v>311</v>
      </c>
      <c r="BH1" s="3" t="s">
        <v>312</v>
      </c>
      <c r="BI1" s="3" t="s">
        <v>313</v>
      </c>
      <c r="BJ1" s="3" t="s">
        <v>314</v>
      </c>
      <c r="BK1" s="3" t="s">
        <v>315</v>
      </c>
      <c r="BL1" s="3" t="s">
        <v>316</v>
      </c>
      <c r="BM1" s="3" t="s">
        <v>317</v>
      </c>
      <c r="BN1" s="3" t="s">
        <v>318</v>
      </c>
      <c r="BO1" s="3" t="s">
        <v>319</v>
      </c>
    </row>
    <row r="2" spans="1:67" hidden="1" x14ac:dyDescent="0.2">
      <c r="A2" s="34" t="s">
        <v>8</v>
      </c>
      <c r="B2" s="32">
        <f>'Data_Raw++ (2018)'!B3/100</f>
        <v>25000</v>
      </c>
      <c r="C2" s="32">
        <f>'Data_Raw++ (2018)'!C3/100</f>
        <v>23076.923076923074</v>
      </c>
      <c r="D2" s="32">
        <f>'Data_Raw++ (2018)'!D3/100</f>
        <v>15384.615384615385</v>
      </c>
      <c r="E2" s="32">
        <f>'Data_Raw++ (2018)'!E3/100</f>
        <v>20393.559928443647</v>
      </c>
      <c r="F2" s="32">
        <f>'Data_Raw++ (2018)'!F3/100</f>
        <v>11471.377459749552</v>
      </c>
      <c r="G2" s="32">
        <f>'Data_Raw++ (2018)'!G3/100</f>
        <v>12935.808624823963</v>
      </c>
      <c r="H2" s="32">
        <f>'Data_Raw++ (2018)'!H3/100</f>
        <v>4311.9362082746547</v>
      </c>
      <c r="I2" s="32">
        <f>'Data_Raw++ (2018)'!I3/100</f>
        <v>4487.9336045307637</v>
      </c>
      <c r="J2" s="32">
        <f>'Data_Raw++ (2018)'!J3/100</f>
        <v>3118.7335217925643</v>
      </c>
      <c r="K2" s="32">
        <f>'Data_Raw++ (2018)'!K3/100</f>
        <v>3661.1219603651843</v>
      </c>
      <c r="L2" s="32">
        <f>'Data_Raw++ (2018)'!L3/100</f>
        <v>2150.1827386271716</v>
      </c>
      <c r="M2" s="32">
        <f>'Data_Raw++ (2018)'!M3/100</f>
        <v>1374.7069968272085</v>
      </c>
      <c r="N2" s="32">
        <f>'Data_Raw++ (2018)'!N3/100</f>
        <v>2791.0717814370601</v>
      </c>
      <c r="O2" s="32">
        <f>'Data_Raw++ (2018)'!O3/100</f>
        <v>1196.173620615883</v>
      </c>
      <c r="P2" s="32">
        <f>'Data_Raw++ (2018)'!P3/100</f>
        <v>488.57795771634659</v>
      </c>
      <c r="Q2" s="32">
        <f>'Data_Raw++ (2018)'!Q3/100</f>
        <v>621.82649163898657</v>
      </c>
      <c r="R2" s="32">
        <f>'Data_Raw++ (2018)'!R3/100</f>
        <v>551.43103975532756</v>
      </c>
      <c r="S2" s="32">
        <f>'Data_Raw++ (2018)'!S3/100</f>
        <v>469.73755238416794</v>
      </c>
      <c r="T2" s="32">
        <f>'Data_Raw++ (2018)'!T3/100</f>
        <v>451.31647189851429</v>
      </c>
      <c r="U2" s="32">
        <f>'Data_Raw++ (2018)'!U3/100</f>
        <v>202.76537143266586</v>
      </c>
      <c r="V2" s="32">
        <f>'Data_Raw++ (2018)'!V3/100</f>
        <v>219.66248571872137</v>
      </c>
      <c r="W2" s="32">
        <f>'Data_Raw++ (2018)'!W3/100</f>
        <v>194.79503450528122</v>
      </c>
      <c r="X2" s="32">
        <f>'Data_Raw++ (2018)'!X3/100</f>
        <v>346.30228356494439</v>
      </c>
      <c r="Y2" s="32">
        <f>'Data_Raw++ (2018)'!Y3/100</f>
        <v>115.43409452164813</v>
      </c>
      <c r="Z2" s="32">
        <f>'Data_Raw++ (2018)'!Z3/100</f>
        <v>98.33274718510765</v>
      </c>
      <c r="AA2" s="32">
        <f>'Data_Raw++ (2018)'!AA3/100</f>
        <v>77.261444216870302</v>
      </c>
      <c r="AB2" s="32">
        <f>'Data_Raw++ (2018)'!AB3/100</f>
        <v>18.542746612048873</v>
      </c>
      <c r="AC2" s="32">
        <f>'Data_Raw++ (2018)'!AC3/100</f>
        <v>17.116381488045114</v>
      </c>
      <c r="AD2" s="32">
        <f>'Data_Raw++ (2018)'!AD3/100</f>
        <v>23.636907769205155</v>
      </c>
      <c r="AE2" s="32">
        <f>'Data_Raw++ (2018)'!AE3/100</f>
        <v>7.4642866639595233</v>
      </c>
      <c r="AF2" s="32">
        <f>'Data_Raw++ (2018)'!AF3/100</f>
        <v>19.19387999303877</v>
      </c>
      <c r="AG2" s="32">
        <f>'Data_Raw++ (2018)'!AG3/100</f>
        <v>15.704083630668084</v>
      </c>
      <c r="AH2" s="32">
        <f>'Data_Raw++ (2018)'!AH3/100</f>
        <v>11.846940282784697</v>
      </c>
      <c r="AI2" s="32">
        <f>'Data_Raw++ (2018)'!AI3/100</f>
        <v>7.2610279152551369</v>
      </c>
      <c r="AJ2" s="32">
        <f>'Data_Raw++ (2018)'!AJ3/100</f>
        <v>6.7024873063893562</v>
      </c>
      <c r="AK2" s="32">
        <f>'Data_Raw++ (2018)'!AK3/100</f>
        <v>5.9437151584962216</v>
      </c>
      <c r="AL2" s="32">
        <f>'Data_Raw++ (2018)'!AL3/100</f>
        <v>5.9437151584962216</v>
      </c>
      <c r="AM2" s="32">
        <f>'Data_Raw++ (2018)'!AM3/100</f>
        <v>6.4390247550375728</v>
      </c>
      <c r="AN2" s="32">
        <f>'Data_Raw++ (2018)'!AN3/100</f>
        <v>5.2682929813943771</v>
      </c>
      <c r="AO2" s="32">
        <f>'Data_Raw++ (2018)'!AO3/100</f>
        <v>2.8367731438277413</v>
      </c>
      <c r="AP2" s="32">
        <f>'Data_Raw++ (2018)'!AP3/100</f>
        <v>3.7603737022832844</v>
      </c>
      <c r="AQ2" s="32">
        <f>'Data_Raw++ (2018)'!AQ3/100</f>
        <v>1.8521243608260953</v>
      </c>
      <c r="AR2" s="32">
        <f>'Data_Raw++ (2018)'!AR3/100</f>
        <v>6.566622733837975</v>
      </c>
      <c r="AS2" s="32">
        <f>'Data_Raw++ (2018)'!AS3/100</f>
        <v>0</v>
      </c>
      <c r="AT2" s="32">
        <f>'Data_Raw++ (2018)'!AT3/100</f>
        <v>0</v>
      </c>
      <c r="AU2" s="32">
        <f>'Data_Raw++ (2018)'!AU3/100</f>
        <v>0</v>
      </c>
      <c r="AV2" s="32">
        <f>'Data_Raw++ (2018)'!AV3/100</f>
        <v>0</v>
      </c>
      <c r="AW2" s="32">
        <f>'Data_Raw++ (2018)'!AW3/100</f>
        <v>0</v>
      </c>
      <c r="AX2" s="32">
        <f>'Data_Raw++ (2018)'!AX3/100</f>
        <v>0</v>
      </c>
      <c r="AY2" s="32">
        <f>'Data_Raw++ (2018)'!AY3/100</f>
        <v>0</v>
      </c>
      <c r="AZ2" s="32">
        <f>'Data_Raw++ (2018)'!AZ3/100</f>
        <v>0</v>
      </c>
      <c r="BA2" s="32">
        <f>'Data_Raw++ (2018)'!BA3/100</f>
        <v>0</v>
      </c>
      <c r="BB2" s="32">
        <f>'Data_Raw++ (2018)'!BB3/100</f>
        <v>0</v>
      </c>
      <c r="BC2" s="32">
        <f>'Data_Raw++ (2018)'!BC3/100</f>
        <v>0</v>
      </c>
      <c r="BD2" s="32">
        <f>'Data_Raw++ (2018)'!BD3/100</f>
        <v>0</v>
      </c>
      <c r="BE2" s="32">
        <f>'Data_Raw++ (2018)'!BE3/100</f>
        <v>0</v>
      </c>
      <c r="BF2" s="32">
        <f>'Data_Raw++ (2018)'!BF3/100</f>
        <v>0</v>
      </c>
      <c r="BG2" s="32">
        <f>'Data_Raw++ (2018)'!BG3/100</f>
        <v>0</v>
      </c>
      <c r="BH2" s="32">
        <f>'Data_Raw++ (2018)'!BH3/100</f>
        <v>0</v>
      </c>
      <c r="BI2" s="32">
        <f>'Data_Raw++ (2018)'!BI3/100</f>
        <v>0</v>
      </c>
      <c r="BJ2" s="32">
        <f>'Data_Raw++ (2018)'!BJ3/100</f>
        <v>0</v>
      </c>
      <c r="BK2" s="32">
        <f>'Data_Raw++ (2018)'!BK3/100</f>
        <v>0</v>
      </c>
      <c r="BL2" s="32">
        <f>'Data_Raw++ (2018)'!BL3/100</f>
        <v>0</v>
      </c>
      <c r="BM2" s="32">
        <f>'Data_Raw++ (2018)'!BM3/100</f>
        <v>0</v>
      </c>
      <c r="BN2" s="32">
        <f>'Data_Raw++ (2018)'!BN3/100</f>
        <v>0</v>
      </c>
      <c r="BO2" s="32">
        <f>'Data_Raw++ (2018)'!BO3/100</f>
        <v>0</v>
      </c>
    </row>
    <row r="3" spans="1:67" x14ac:dyDescent="0.2">
      <c r="A3" s="34" t="s">
        <v>7</v>
      </c>
      <c r="B3" s="32">
        <f>'Data_Raw++ (2018)'!B4/100</f>
        <v>25000</v>
      </c>
      <c r="C3" s="32">
        <f>'Data_Raw++ (2018)'!C4/100</f>
        <v>3089.8876404494381</v>
      </c>
      <c r="D3" s="32">
        <f>'Data_Raw++ (2018)'!D4/100</f>
        <v>4832.9011812157878</v>
      </c>
      <c r="E3" s="32">
        <f>'Data_Raw++ (2018)'!E4/100</f>
        <v>2838.3705349997485</v>
      </c>
      <c r="F3" s="32">
        <f>'Data_Raw++ (2018)'!F4/100</f>
        <v>3332.0001932605742</v>
      </c>
      <c r="G3" s="32">
        <f>'Data_Raw++ (2018)'!G4/100</f>
        <v>2042.1936668371261</v>
      </c>
      <c r="H3" s="32">
        <f>'Data_Raw++ (2018)'!H4/100</f>
        <v>2707.0939304585154</v>
      </c>
      <c r="I3" s="32">
        <f>'Data_Raw++ (2018)'!I4/100</f>
        <v>1052.7587507338671</v>
      </c>
      <c r="J3" s="32">
        <f>'Data_Raw++ (2018)'!J4/100</f>
        <v>701.83916715591147</v>
      </c>
      <c r="K3" s="32">
        <f>'Data_Raw++ (2018)'!K4/100</f>
        <v>1145.1060095701712</v>
      </c>
      <c r="L3" s="32">
        <f>'Data_Raw++ (2018)'!L4/100</f>
        <v>538.87341626831585</v>
      </c>
      <c r="M3" s="32">
        <f>'Data_Raw++ (2018)'!M4/100</f>
        <v>374.47135706781273</v>
      </c>
      <c r="N3" s="32">
        <f>'Data_Raw++ (2018)'!N4/100</f>
        <v>239.41611353515896</v>
      </c>
      <c r="O3" s="32">
        <f>'Data_Raw++ (2018)'!O4/100</f>
        <v>269.97987270986016</v>
      </c>
      <c r="P3" s="32">
        <f>'Data_Raw++ (2018)'!P4/100</f>
        <v>165.47153488668846</v>
      </c>
      <c r="Q3" s="32">
        <f>'Data_Raw++ (2018)'!Q4/100</f>
        <v>321.20945007415992</v>
      </c>
      <c r="R3" s="32">
        <f>'Data_Raw++ (2018)'!R4/100</f>
        <v>137.66119288892568</v>
      </c>
      <c r="S3" s="32">
        <f>'Data_Raw++ (2018)'!S4/100</f>
        <v>127.07187035900832</v>
      </c>
      <c r="T3" s="32">
        <f>'Data_Raw++ (2018)'!T4/100</f>
        <v>51.902594935369592</v>
      </c>
      <c r="U3" s="32">
        <f>'Data_Raw++ (2018)'!U4/100</f>
        <v>74.689100028946484</v>
      </c>
      <c r="V3" s="32">
        <f>'Data_Raw++ (2018)'!V4/100</f>
        <v>18.672275007236621</v>
      </c>
      <c r="W3" s="32">
        <f>'Data_Raw++ (2018)'!W4/100</f>
        <v>16.905760530218945</v>
      </c>
      <c r="X3" s="32">
        <f>'Data_Raw++ (2018)'!X4/100</f>
        <v>25.358640795328416</v>
      </c>
      <c r="Y3" s="32">
        <f>'Data_Raw++ (2018)'!Y4/100</f>
        <v>30.993894305401401</v>
      </c>
      <c r="Z3" s="32">
        <f>'Data_Raw++ (2018)'!Z4/100</f>
        <v>65.862025398977977</v>
      </c>
      <c r="AA3" s="32">
        <f>'Data_Raw++ (2018)'!AA4/100</f>
        <v>17.507627004791612</v>
      </c>
      <c r="AB3" s="32">
        <f>'Data_Raw++ (2018)'!AB4/100</f>
        <v>4.3699037003959864</v>
      </c>
      <c r="AC3" s="32">
        <f>'Data_Raw++ (2018)'!AC4/100</f>
        <v>12.437418224203959</v>
      </c>
      <c r="AD3" s="32">
        <f>'Data_Raw++ (2018)'!AD4/100</f>
        <v>1.5546772780254949</v>
      </c>
      <c r="AE3" s="32">
        <f>'Data_Raw++ (2018)'!AE4/100</f>
        <v>14.629677605673519</v>
      </c>
      <c r="AF3" s="32">
        <f>'Data_Raw++ (2018)'!AF4/100</f>
        <v>2.5817078127659148</v>
      </c>
      <c r="AG3" s="32">
        <f>'Data_Raw++ (2018)'!AG4/100</f>
        <v>6.0239848964538005</v>
      </c>
      <c r="AH3" s="32">
        <f>'Data_Raw++ (2018)'!AH4/100</f>
        <v>4.3621959595010287</v>
      </c>
      <c r="AI3" s="32">
        <f>'Data_Raw++ (2018)'!AI4/100</f>
        <v>2.6736039751780498</v>
      </c>
      <c r="AJ3" s="32">
        <f>'Data_Raw++ (2018)'!AJ4/100</f>
        <v>7.6094882370452179</v>
      </c>
      <c r="AK3" s="32">
        <f>'Data_Raw++ (2018)'!AK4/100</f>
        <v>2.6736039751780498</v>
      </c>
      <c r="AL3" s="32">
        <f>'Data_Raw++ (2018)'!AL4/100</f>
        <v>2.016929314608003</v>
      </c>
      <c r="AM3" s="32">
        <f>'Data_Raw++ (2018)'!AM4/100</f>
        <v>3.9152157283567108</v>
      </c>
      <c r="AN3" s="32">
        <f>'Data_Raw++ (2018)'!AN4/100</f>
        <v>2.9535837950761152</v>
      </c>
      <c r="AO3" s="32">
        <f>'Data_Raw++ (2018)'!AO4/100</f>
        <v>11.111100943381578</v>
      </c>
      <c r="AP3" s="32">
        <f>'Data_Raw++ (2018)'!AP4/100</f>
        <v>0</v>
      </c>
      <c r="AQ3" s="32">
        <f>'Data_Raw++ (2018)'!AQ4/100</f>
        <v>0</v>
      </c>
      <c r="AR3" s="32">
        <f>'Data_Raw++ (2018)'!AR4/100</f>
        <v>0</v>
      </c>
      <c r="AS3" s="32">
        <f>'Data_Raw++ (2018)'!AS4/100</f>
        <v>4.653926165830681</v>
      </c>
      <c r="AT3" s="32">
        <f>'Data_Raw++ (2018)'!AT4/100</f>
        <v>2.0908943643587121</v>
      </c>
      <c r="AU3" s="32">
        <f>'Data_Raw++ (2018)'!AU4/100</f>
        <v>0</v>
      </c>
      <c r="AV3" s="32">
        <f>'Data_Raw++ (2018)'!AV4/100</f>
        <v>7.5949297587671527</v>
      </c>
      <c r="AW3" s="32">
        <f>'Data_Raw++ (2018)'!AW4/100</f>
        <v>0</v>
      </c>
      <c r="AX3" s="32">
        <f>'Data_Raw++ (2018)'!AX4/100</f>
        <v>0</v>
      </c>
      <c r="AY3" s="32">
        <f>'Data_Raw++ (2018)'!AY4/100</f>
        <v>0</v>
      </c>
      <c r="AZ3" s="32">
        <f>'Data_Raw++ (2018)'!AZ4/100</f>
        <v>0</v>
      </c>
      <c r="BA3" s="32">
        <f>'Data_Raw++ (2018)'!BA4/100</f>
        <v>0</v>
      </c>
      <c r="BB3" s="32">
        <f>'Data_Raw++ (2018)'!BB4/100</f>
        <v>0</v>
      </c>
      <c r="BC3" s="32">
        <f>'Data_Raw++ (2018)'!BC4/100</f>
        <v>0</v>
      </c>
      <c r="BD3" s="32">
        <f>'Data_Raw++ (2018)'!BD4/100</f>
        <v>0</v>
      </c>
      <c r="BE3" s="32">
        <f>'Data_Raw++ (2018)'!BE4/100</f>
        <v>0</v>
      </c>
      <c r="BF3" s="32">
        <f>'Data_Raw++ (2018)'!BF4/100</f>
        <v>0</v>
      </c>
      <c r="BG3" s="32">
        <f>'Data_Raw++ (2018)'!BG4/100</f>
        <v>0</v>
      </c>
      <c r="BH3" s="32">
        <f>'Data_Raw++ (2018)'!BH4/100</f>
        <v>0</v>
      </c>
      <c r="BI3" s="32">
        <f>'Data_Raw++ (2018)'!BI4/100</f>
        <v>0</v>
      </c>
      <c r="BJ3" s="32">
        <f>'Data_Raw++ (2018)'!BJ4/100</f>
        <v>0</v>
      </c>
      <c r="BK3" s="32">
        <f>'Data_Raw++ (2018)'!BK4/100</f>
        <v>0</v>
      </c>
      <c r="BL3" s="32">
        <f>'Data_Raw++ (2018)'!BL4/100</f>
        <v>0</v>
      </c>
      <c r="BM3" s="32">
        <f>'Data_Raw++ (2018)'!BM4/100</f>
        <v>0</v>
      </c>
      <c r="BN3" s="32">
        <f>'Data_Raw++ (2018)'!BN4/100</f>
        <v>0</v>
      </c>
      <c r="BO3" s="32">
        <f>'Data_Raw++ (2018)'!BO4/100</f>
        <v>0</v>
      </c>
    </row>
    <row r="4" spans="1:67" x14ac:dyDescent="0.2">
      <c r="A4" s="34" t="s">
        <v>11</v>
      </c>
      <c r="B4" s="32">
        <f>'Data_Raw++ (2018)'!B5/100</f>
        <v>21000</v>
      </c>
      <c r="C4" s="32">
        <f>'Data_Raw++ (2018)'!C5/100</f>
        <v>17888.888888888887</v>
      </c>
      <c r="D4" s="32">
        <f>'Data_Raw++ (2018)'!D5/100</f>
        <v>15238.683127572014</v>
      </c>
      <c r="E4" s="32">
        <f>'Data_Raw++ (2018)'!E5/100</f>
        <v>4812.2157244964255</v>
      </c>
      <c r="F4" s="32">
        <f>'Data_Raw++ (2018)'!F5/100</f>
        <v>5649.122807017543</v>
      </c>
      <c r="G4" s="32">
        <f>'Data_Raw++ (2018)'!G5/100</f>
        <v>8473.6842105263131</v>
      </c>
      <c r="H4" s="32">
        <f>'Data_Raw++ (2018)'!H5/100</f>
        <v>6657.8947368421032</v>
      </c>
      <c r="I4" s="32">
        <f>'Data_Raw++ (2018)'!I5/100</f>
        <v>2853.3834586466155</v>
      </c>
      <c r="J4" s="32">
        <f>'Data_Raw++ (2018)'!J5/100</f>
        <v>1605.0281954887212</v>
      </c>
      <c r="K4" s="32">
        <f>'Data_Raw++ (2018)'!K5/100</f>
        <v>2407.5422932330816</v>
      </c>
      <c r="L4" s="32">
        <f>'Data_Raw++ (2018)'!L5/100</f>
        <v>2313.1288699690394</v>
      </c>
      <c r="M4" s="32">
        <f>'Data_Raw++ (2018)'!M5/100</f>
        <v>1607.428536758146</v>
      </c>
      <c r="N4" s="32">
        <f>'Data_Raw++ (2018)'!N5/100</f>
        <v>1607.428536758146</v>
      </c>
      <c r="O4" s="32">
        <f>'Data_Raw++ (2018)'!O5/100</f>
        <v>1163.9999748938299</v>
      </c>
      <c r="P4" s="32">
        <f>'Data_Raw++ (2018)'!P5/100</f>
        <v>273.03703114793541</v>
      </c>
      <c r="Q4" s="32">
        <f>'Data_Raw++ (2018)'!Q5/100</f>
        <v>1333.063152075214</v>
      </c>
      <c r="R4" s="32">
        <f>'Data_Raw++ (2018)'!R5/100</f>
        <v>1767.0837132159813</v>
      </c>
      <c r="S4" s="32">
        <f>'Data_Raw++ (2018)'!S5/100</f>
        <v>721.76658708821765</v>
      </c>
      <c r="T4" s="32">
        <f>'Data_Raw++ (2018)'!T5/100</f>
        <v>405.99370523712241</v>
      </c>
      <c r="U4" s="32">
        <f>'Data_Raw++ (2018)'!U5/100</f>
        <v>345.84648964643765</v>
      </c>
      <c r="V4" s="32">
        <f>'Data_Raw++ (2018)'!V5/100</f>
        <v>109.2146809409803</v>
      </c>
      <c r="W4" s="32">
        <f>'Data_Raw++ (2018)'!W5/100</f>
        <v>157.16258964677655</v>
      </c>
      <c r="X4" s="32">
        <f>'Data_Raw++ (2018)'!X5/100</f>
        <v>80.962546181672764</v>
      </c>
      <c r="Y4" s="32">
        <f>'Data_Raw++ (2018)'!Y5/100</f>
        <v>111.8054209175481</v>
      </c>
      <c r="Z4" s="32">
        <f>'Data_Raw++ (2018)'!Z5/100</f>
        <v>136.65107001033658</v>
      </c>
      <c r="AA4" s="32">
        <f>'Data_Raw++ (2018)'!AA5/100</f>
        <v>98.954223110933384</v>
      </c>
      <c r="AB4" s="32">
        <f>'Data_Raw++ (2018)'!AB5/100</f>
        <v>23.93702657053478</v>
      </c>
      <c r="AC4" s="32">
        <f>'Data_Raw++ (2018)'!AC5/100</f>
        <v>18.057756886543782</v>
      </c>
      <c r="AD4" s="32">
        <f>'Data_Raw++ (2018)'!AD5/100</f>
        <v>36.662718527225259</v>
      </c>
      <c r="AE4" s="32">
        <f>'Data_Raw++ (2018)'!AE5/100</f>
        <v>7.509231505576258</v>
      </c>
      <c r="AF4" s="32">
        <f>'Data_Raw++ (2018)'!AF5/100</f>
        <v>12.785988779764979</v>
      </c>
      <c r="AG4" s="32">
        <f>'Data_Raw++ (2018)'!AG5/100</f>
        <v>5.4797094770421344</v>
      </c>
      <c r="AH4" s="32">
        <f>'Data_Raw++ (2018)'!AH5/100</f>
        <v>1.9253033297715612</v>
      </c>
      <c r="AI4" s="32">
        <f>'Data_Raw++ (2018)'!AI5/100</f>
        <v>15.577454213606268</v>
      </c>
      <c r="AJ4" s="32">
        <f>'Data_Raw++ (2018)'!AJ5/100</f>
        <v>8.0247491403426228</v>
      </c>
      <c r="AK4" s="32">
        <f>'Data_Raw++ (2018)'!AK5/100</f>
        <v>11.547809738541822</v>
      </c>
      <c r="AL4" s="32">
        <f>'Data_Raw++ (2018)'!AL5/100</f>
        <v>1.0041573685688541</v>
      </c>
      <c r="AM4" s="32">
        <f>'Data_Raw++ (2018)'!AM5/100</f>
        <v>6.720130081960793</v>
      </c>
      <c r="AN4" s="32">
        <f>'Data_Raw++ (2018)'!AN5/100</f>
        <v>2.2400433606535977</v>
      </c>
      <c r="AO4" s="32">
        <f>'Data_Raw++ (2018)'!AO5/100</f>
        <v>4.7600921413888964</v>
      </c>
      <c r="AP4" s="32">
        <f>'Data_Raw++ (2018)'!AP5/100</f>
        <v>8.4623860291358159</v>
      </c>
      <c r="AQ4" s="32">
        <f>'Data_Raw++ (2018)'!AQ5/100</f>
        <v>2.672332430253415</v>
      </c>
      <c r="AR4" s="32">
        <f>'Data_Raw++ (2018)'!AR5/100</f>
        <v>2.0996897666276833</v>
      </c>
      <c r="AS4" s="32">
        <f>'Data_Raw++ (2018)'!AS5/100</f>
        <v>1.9381751691947844</v>
      </c>
      <c r="AT4" s="32">
        <f>'Data_Raw++ (2018)'!AT5/100</f>
        <v>0.54666479131134937</v>
      </c>
      <c r="AU4" s="32">
        <f>'Data_Raw++ (2018)'!AU5/100</f>
        <v>0.66814585604720489</v>
      </c>
      <c r="AV4" s="32">
        <f>'Data_Raw++ (2018)'!AV5/100</f>
        <v>0.96147818309231925</v>
      </c>
      <c r="AW4" s="32">
        <f>'Data_Raw++ (2018)'!AW5/100</f>
        <v>0.45246032145520909</v>
      </c>
      <c r="AX4" s="32">
        <f>'Data_Raw++ (2018)'!AX5/100</f>
        <v>0.28927791043857631</v>
      </c>
      <c r="AY4" s="32">
        <f>'Data_Raw++ (2018)'!AY5/100</f>
        <v>0.86783373131572883</v>
      </c>
      <c r="AZ4" s="32">
        <f>'Data_Raw++ (2018)'!AZ5/100</f>
        <v>0.15314712905571684</v>
      </c>
      <c r="BA4" s="32">
        <f>'Data_Raw++ (2018)'!BA5/100</f>
        <v>0.41406446003953074</v>
      </c>
      <c r="BB4" s="32">
        <f>'Data_Raw++ (2018)'!BB5/100</f>
        <v>0.23291125877223601</v>
      </c>
      <c r="BC4" s="32">
        <f>'Data_Raw++ (2018)'!BC5/100</f>
        <v>0.10960529824575811</v>
      </c>
      <c r="BD4" s="32">
        <f>'Data_Raw++ (2018)'!BD5/100</f>
        <v>0</v>
      </c>
      <c r="BE4" s="32">
        <f>'Data_Raw++ (2018)'!BE5/100</f>
        <v>9.3335140027233254E-2</v>
      </c>
      <c r="BF4" s="32">
        <f>'Data_Raw++ (2018)'!BF5/100</f>
        <v>0</v>
      </c>
      <c r="BG4" s="32">
        <f>'Data_Raw++ (2018)'!BG5/100</f>
        <v>0</v>
      </c>
      <c r="BH4" s="32">
        <f>'Data_Raw++ (2018)'!BH5/100</f>
        <v>0.19478637918726935</v>
      </c>
      <c r="BI4" s="32">
        <f>'Data_Raw++ (2018)'!BI5/100</f>
        <v>0.22154274995475143</v>
      </c>
      <c r="BJ4" s="32">
        <f>'Data_Raw++ (2018)'!BJ5/100</f>
        <v>0.22154274995475143</v>
      </c>
      <c r="BK4" s="32">
        <f>'Data_Raw++ (2018)'!BK5/100</f>
        <v>0</v>
      </c>
      <c r="BL4" s="32">
        <f>'Data_Raw++ (2018)'!BL5/100</f>
        <v>0.11789701898176831</v>
      </c>
      <c r="BM4" s="32">
        <f>'Data_Raw++ (2018)'!BM5/100</f>
        <v>0</v>
      </c>
      <c r="BN4" s="32">
        <f>'Data_Raw++ (2018)'!BN5/100</f>
        <v>0</v>
      </c>
      <c r="BO4" s="32">
        <f>'Data_Raw++ (2018)'!BO5/100</f>
        <v>0</v>
      </c>
    </row>
    <row r="5" spans="1:67" x14ac:dyDescent="0.2">
      <c r="A5" s="34" t="s">
        <v>16</v>
      </c>
      <c r="B5" s="32">
        <f>'Data_Raw++ (2018)'!B6/100</f>
        <v>15000</v>
      </c>
      <c r="C5" s="32">
        <f>'Data_Raw++ (2018)'!C6/100</f>
        <v>6428.5714285714294</v>
      </c>
      <c r="D5" s="32">
        <f>'Data_Raw++ (2018)'!D6/100</f>
        <v>7249.2401215805485</v>
      </c>
      <c r="E5" s="32">
        <f>'Data_Raw++ (2018)'!E6/100</f>
        <v>6964.9561952440554</v>
      </c>
      <c r="F5" s="32">
        <f>'Data_Raw++ (2018)'!F6/100</f>
        <v>4268.8441196657113</v>
      </c>
      <c r="G5" s="32">
        <f>'Data_Raw++ (2018)'!G6/100</f>
        <v>4268.8441196657113</v>
      </c>
      <c r="H5" s="32">
        <f>'Data_Raw++ (2018)'!H6/100</f>
        <v>3091.2319487234463</v>
      </c>
      <c r="I5" s="32">
        <f>'Data_Raw++ (2018)'!I6/100</f>
        <v>1664.5095108510861</v>
      </c>
      <c r="J5" s="32">
        <f>'Data_Raw++ (2018)'!J6/100</f>
        <v>857.47459649904442</v>
      </c>
      <c r="K5" s="32">
        <f>'Data_Raw++ (2018)'!K6/100</f>
        <v>1233.9268583766739</v>
      </c>
      <c r="L5" s="32">
        <f>'Data_Raw++ (2018)'!L6/100</f>
        <v>893.53324227276391</v>
      </c>
      <c r="M5" s="32">
        <f>'Data_Raw++ (2018)'!M6/100</f>
        <v>702.06183321431445</v>
      </c>
      <c r="N5" s="32">
        <f>'Data_Raw++ (2018)'!N6/100</f>
        <v>598.05267273811967</v>
      </c>
      <c r="O5" s="32">
        <f>'Data_Raw++ (2018)'!O6/100</f>
        <v>469.89852857995106</v>
      </c>
      <c r="P5" s="32">
        <f>'Data_Raw++ (2018)'!P6/100</f>
        <v>340.27134828203356</v>
      </c>
      <c r="Q5" s="32">
        <f>'Data_Raw++ (2018)'!Q6/100</f>
        <v>383.71024380739965</v>
      </c>
      <c r="R5" s="32">
        <f>'Data_Raw++ (2018)'!R6/100</f>
        <v>235.17724620453529</v>
      </c>
      <c r="S5" s="32">
        <f>'Data_Raw++ (2018)'!S6/100</f>
        <v>276.07763684880229</v>
      </c>
      <c r="T5" s="32">
        <f>'Data_Raw++ (2018)'!T6/100</f>
        <v>287.34611182222284</v>
      </c>
      <c r="U5" s="32">
        <f>'Data_Raw++ (2018)'!U6/100</f>
        <v>95.78203727407427</v>
      </c>
      <c r="V5" s="32">
        <f>'Data_Raw++ (2018)'!V6/100</f>
        <v>56.252942526043604</v>
      </c>
      <c r="W5" s="32">
        <f>'Data_Raw++ (2018)'!W6/100</f>
        <v>84.379413789065396</v>
      </c>
      <c r="X5" s="32">
        <f>'Data_Raw++ (2018)'!X6/100</f>
        <v>126.56912068359809</v>
      </c>
      <c r="Y5" s="32">
        <f>'Data_Raw++ (2018)'!Y6/100</f>
        <v>62.340014665055769</v>
      </c>
      <c r="Z5" s="32">
        <f>'Data_Raw++ (2018)'!Z6/100</f>
        <v>115.7743129493893</v>
      </c>
      <c r="AA5" s="32">
        <f>'Data_Raw++ (2018)'!AA6/100</f>
        <v>77.182875299592865</v>
      </c>
      <c r="AB5" s="32">
        <f>'Data_Raw++ (2018)'!AB6/100</f>
        <v>17.065133728739987</v>
      </c>
      <c r="AC5" s="32">
        <f>'Data_Raw++ (2018)'!AC6/100</f>
        <v>31.692391210517123</v>
      </c>
      <c r="AD5" s="32">
        <f>'Data_Raw++ (2018)'!AD6/100</f>
        <v>14.914066452008056</v>
      </c>
      <c r="AE5" s="32">
        <f>'Data_Raw++ (2018)'!AE6/100</f>
        <v>23.327129578781829</v>
      </c>
      <c r="AF5" s="32">
        <f>'Data_Raw++ (2018)'!AF6/100</f>
        <v>34.99069436817274</v>
      </c>
      <c r="AG5" s="32">
        <f>'Data_Raw++ (2018)'!AG6/100</f>
        <v>18.841143121323782</v>
      </c>
      <c r="AH5" s="32">
        <f>'Data_Raw++ (2018)'!AH6/100</f>
        <v>17.391824419683488</v>
      </c>
      <c r="AI5" s="32">
        <f>'Data_Raw++ (2018)'!AI6/100</f>
        <v>11.119363153568134</v>
      </c>
      <c r="AJ5" s="32">
        <f>'Data_Raw++ (2018)'!AJ6/100</f>
        <v>18.142118829505904</v>
      </c>
      <c r="AK5" s="32">
        <f>'Data_Raw++ (2018)'!AK6/100</f>
        <v>7.0552684336967415</v>
      </c>
      <c r="AL5" s="32">
        <f>'Data_Raw++ (2018)'!AL6/100</f>
        <v>5.7724923548427878</v>
      </c>
      <c r="AM5" s="32">
        <f>'Data_Raw++ (2018)'!AM6/100</f>
        <v>16.429401317629473</v>
      </c>
      <c r="AN5" s="32">
        <f>'Data_Raw++ (2018)'!AN6/100</f>
        <v>6.076627884602682</v>
      </c>
      <c r="AO5" s="32">
        <f>'Data_Raw++ (2018)'!AO6/100</f>
        <v>8.391533745403704</v>
      </c>
      <c r="AP5" s="32">
        <f>'Data_Raw++ (2018)'!AP6/100</f>
        <v>3.7701093638770264</v>
      </c>
      <c r="AQ5" s="32">
        <f>'Data_Raw++ (2018)'!AQ6/100</f>
        <v>8.7969218490463952</v>
      </c>
      <c r="AR5" s="32">
        <f>'Data_Raw++ (2018)'!AR6/100</f>
        <v>0.97743576100515517</v>
      </c>
      <c r="AS5" s="32">
        <f>'Data_Raw++ (2018)'!AS6/100</f>
        <v>3.0952132431829913</v>
      </c>
      <c r="AT5" s="32">
        <f>'Data_Raw++ (2018)'!AT6/100</f>
        <v>6.8893456057944</v>
      </c>
      <c r="AU5" s="32">
        <f>'Data_Raw++ (2018)'!AU6/100</f>
        <v>1.1215213776874606</v>
      </c>
      <c r="AV5" s="32">
        <f>'Data_Raw++ (2018)'!AV6/100</f>
        <v>8.2244901030413793</v>
      </c>
      <c r="AW5" s="32">
        <f>'Data_Raw++ (2018)'!AW6/100</f>
        <v>3.3592987744816902</v>
      </c>
      <c r="AX5" s="32">
        <f>'Data_Raw++ (2018)'!AX6/100</f>
        <v>7.4771488851366641</v>
      </c>
      <c r="AY5" s="32">
        <f>'Data_Raw++ (2018)'!AY6/100</f>
        <v>1.9875965390869612</v>
      </c>
      <c r="AZ5" s="32">
        <f>'Data_Raw++ (2018)'!AZ6/100</f>
        <v>0.81183520610594184</v>
      </c>
      <c r="BA5" s="32">
        <f>'Data_Raw++ (2018)'!BA6/100</f>
        <v>0.66422880499577064</v>
      </c>
      <c r="BB5" s="32">
        <f>'Data_Raw++ (2018)'!BB6/100</f>
        <v>0.71958120541208492</v>
      </c>
      <c r="BC5" s="32">
        <f>'Data_Raw++ (2018)'!BC6/100</f>
        <v>0.25282582892857036</v>
      </c>
      <c r="BD5" s="32">
        <f>'Data_Raw++ (2018)'!BD6/100</f>
        <v>0.5899269341666642</v>
      </c>
      <c r="BE5" s="32">
        <f>'Data_Raw++ (2018)'!BE6/100</f>
        <v>0.22941602995370278</v>
      </c>
      <c r="BF5" s="32">
        <f>'Data_Raw++ (2018)'!BF6/100</f>
        <v>0.11299595505182375</v>
      </c>
      <c r="BG5" s="32">
        <f>'Data_Raw++ (2018)'!BG6/100</f>
        <v>0.24011640448512547</v>
      </c>
      <c r="BH5" s="32">
        <f>'Data_Raw++ (2018)'!BH6/100</f>
        <v>0.85132179771999039</v>
      </c>
      <c r="BI5" s="32">
        <f>'Data_Raw++ (2018)'!BI6/100</f>
        <v>0.69653601631635564</v>
      </c>
      <c r="BJ5" s="32">
        <f>'Data_Raw++ (2018)'!BJ6/100</f>
        <v>0.61768288239374936</v>
      </c>
      <c r="BK5" s="32">
        <f>'Data_Raw++ (2018)'!BK6/100</f>
        <v>0.14488857735162022</v>
      </c>
      <c r="BL5" s="32">
        <f>'Data_Raw++ (2018)'!BL6/100</f>
        <v>0.29416771765328953</v>
      </c>
      <c r="BM5" s="32">
        <f>'Data_Raw++ (2018)'!BM6/100</f>
        <v>4.7887767990070398E-2</v>
      </c>
      <c r="BN5" s="32">
        <f>'Data_Raw++ (2018)'!BN6/100</f>
        <v>0</v>
      </c>
      <c r="BO5" s="32">
        <f>'Data_Raw++ (2018)'!BO6/100</f>
        <v>0</v>
      </c>
    </row>
    <row r="6" spans="1:67" x14ac:dyDescent="0.2">
      <c r="A6" s="34" t="s">
        <v>18</v>
      </c>
      <c r="B6" s="32">
        <f>'Data_Raw++ (2018)'!B7/100</f>
        <v>14000</v>
      </c>
      <c r="C6" s="32">
        <f>'Data_Raw++ (2018)'!C7/100</f>
        <v>4666.666666666667</v>
      </c>
      <c r="D6" s="32">
        <f>'Data_Raw++ (2018)'!D7/100</f>
        <v>7000</v>
      </c>
      <c r="E6" s="32">
        <f>'Data_Raw++ (2018)'!E7/100</f>
        <v>6207.5471698113206</v>
      </c>
      <c r="F6" s="32">
        <f>'Data_Raw++ (2018)'!F7/100</f>
        <v>5504.8059807760756</v>
      </c>
      <c r="G6" s="32">
        <f>'Data_Raw++ (2018)'!G7/100</f>
        <v>3519.4661188568357</v>
      </c>
      <c r="H6" s="32">
        <f>'Data_Raw++ (2018)'!H7/100</f>
        <v>1813.0583036535215</v>
      </c>
      <c r="I6" s="32">
        <f>'Data_Raw++ (2018)'!I7/100</f>
        <v>2719.5874554802822</v>
      </c>
      <c r="J6" s="32">
        <f>'Data_Raw++ (2018)'!J7/100</f>
        <v>955.53072760118016</v>
      </c>
      <c r="K6" s="32">
        <f>'Data_Raw++ (2018)'!K7/100</f>
        <v>1216.1300169469569</v>
      </c>
      <c r="L6" s="32">
        <f>'Data_Raw++ (2018)'!L7/100</f>
        <v>995.01546841114623</v>
      </c>
      <c r="M6" s="32">
        <f>'Data_Raw++ (2018)'!M7/100</f>
        <v>584.37416398749849</v>
      </c>
      <c r="N6" s="32">
        <f>'Data_Raw++ (2018)'!N7/100</f>
        <v>478.1243159897715</v>
      </c>
      <c r="O6" s="32">
        <f>'Data_Raw++ (2018)'!O7/100</f>
        <v>423.99703493432554</v>
      </c>
      <c r="P6" s="32">
        <f>'Data_Raw++ (2018)'!P7/100</f>
        <v>691.7846359454785</v>
      </c>
      <c r="Q6" s="32">
        <f>'Data_Raw++ (2018)'!Q7/100</f>
        <v>269.02735842324165</v>
      </c>
      <c r="R6" s="32">
        <f>'Data_Raw++ (2018)'!R7/100</f>
        <v>135.12555743855074</v>
      </c>
      <c r="S6" s="32">
        <f>'Data_Raw++ (2018)'!S7/100</f>
        <v>173.1818875083865</v>
      </c>
      <c r="T6" s="32">
        <f>'Data_Raw++ (2018)'!T7/100</f>
        <v>141.69427159777078</v>
      </c>
      <c r="U6" s="32">
        <f>'Data_Raw++ (2018)'!U7/100</f>
        <v>55.103327843577524</v>
      </c>
      <c r="V6" s="32">
        <f>'Data_Raw++ (2018)'!V7/100</f>
        <v>36.735551895718352</v>
      </c>
      <c r="W6" s="32">
        <f>'Data_Raw++ (2018)'!W7/100</f>
        <v>47.475416192336773</v>
      </c>
      <c r="X6" s="32">
        <f>'Data_Raw++ (2018)'!X7/100</f>
        <v>62.93252844100455</v>
      </c>
      <c r="Y6" s="32">
        <f>'Data_Raw++ (2018)'!Y7/100</f>
        <v>29.615307501649198</v>
      </c>
      <c r="Z6" s="32">
        <f>'Data_Raw++ (2018)'!Z7/100</f>
        <v>36.196486946460134</v>
      </c>
      <c r="AA6" s="32">
        <f>'Data_Raw++ (2018)'!AA7/100</f>
        <v>21.258254238397221</v>
      </c>
      <c r="AB6" s="32">
        <f>'Data_Raw++ (2018)'!AB7/100</f>
        <v>0</v>
      </c>
      <c r="AC6" s="32">
        <f>'Data_Raw++ (2018)'!AC7/100</f>
        <v>42.617149819446411</v>
      </c>
      <c r="AD6" s="32">
        <f>'Data_Raw++ (2018)'!AD7/100</f>
        <v>28.411433212964276</v>
      </c>
      <c r="AE6" s="32">
        <f>'Data_Raw++ (2018)'!AE7/100</f>
        <v>40.884745355241272</v>
      </c>
      <c r="AF6" s="32">
        <f>'Data_Raw++ (2018)'!AF7/100</f>
        <v>24.0116758435544</v>
      </c>
      <c r="AG6" s="32">
        <f>'Data_Raw++ (2018)'!AG7/100</f>
        <v>42.687423721874495</v>
      </c>
      <c r="AH6" s="32">
        <f>'Data_Raw++ (2018)'!AH7/100</f>
        <v>21.990491008238372</v>
      </c>
      <c r="AI6" s="32">
        <f>'Data_Raw++ (2018)'!AI7/100</f>
        <v>0</v>
      </c>
      <c r="AJ6" s="32">
        <f>'Data_Raw++ (2018)'!AJ7/100</f>
        <v>6.5009211588986053</v>
      </c>
      <c r="AK6" s="32">
        <f>'Data_Raw++ (2018)'!AK7/100</f>
        <v>11.205448726992051</v>
      </c>
      <c r="AL6" s="32">
        <f>'Data_Raw++ (2018)'!AL7/100</f>
        <v>7.4137382902388245</v>
      </c>
      <c r="AM6" s="32">
        <f>'Data_Raw++ (2018)'!AM7/100</f>
        <v>6.8434507294512219</v>
      </c>
      <c r="AN6" s="32">
        <f>'Data_Raw++ (2018)'!AN7/100</f>
        <v>3.2204474020946923</v>
      </c>
      <c r="AO6" s="32">
        <f>'Data_Raw++ (2018)'!AO7/100</f>
        <v>5.4834644954585308</v>
      </c>
      <c r="AP6" s="32">
        <f>'Data_Raw++ (2018)'!AP7/100</f>
        <v>0</v>
      </c>
      <c r="AQ6" s="32">
        <f>'Data_Raw++ (2018)'!AQ7/100</f>
        <v>14.102095336690677</v>
      </c>
      <c r="AR6" s="32">
        <f>'Data_Raw++ (2018)'!AR7/100</f>
        <v>0</v>
      </c>
      <c r="AS6" s="32">
        <f>'Data_Raw++ (2018)'!AS7/100</f>
        <v>0</v>
      </c>
      <c r="AT6" s="32">
        <f>'Data_Raw++ (2018)'!AT7/100</f>
        <v>7.5206734975493665</v>
      </c>
      <c r="AU6" s="32">
        <f>'Data_Raw++ (2018)'!AU7/100</f>
        <v>0</v>
      </c>
      <c r="AV6" s="32">
        <f>'Data_Raw++ (2018)'!AV7/100</f>
        <v>3.6315683470429514</v>
      </c>
      <c r="AW6" s="32">
        <f>'Data_Raw++ (2018)'!AW7/100</f>
        <v>0</v>
      </c>
      <c r="AX6" s="32">
        <f>'Data_Raw++ (2018)'!AX7/100</f>
        <v>9.3367098165915525</v>
      </c>
      <c r="AY6" s="32">
        <f>'Data_Raw++ (2018)'!AY7/100</f>
        <v>0</v>
      </c>
      <c r="AZ6" s="32">
        <f>'Data_Raw++ (2018)'!AZ7/100</f>
        <v>0</v>
      </c>
      <c r="BA6" s="32">
        <f>'Data_Raw++ (2018)'!BA7/100</f>
        <v>0</v>
      </c>
      <c r="BB6" s="32">
        <f>'Data_Raw++ (2018)'!BB7/100</f>
        <v>0</v>
      </c>
      <c r="BC6" s="32">
        <f>'Data_Raw++ (2018)'!BC7/100</f>
        <v>0</v>
      </c>
      <c r="BD6" s="32">
        <f>'Data_Raw++ (2018)'!BD7/100</f>
        <v>0</v>
      </c>
      <c r="BE6" s="32">
        <f>'Data_Raw++ (2018)'!BE7/100</f>
        <v>0</v>
      </c>
      <c r="BF6" s="32">
        <f>'Data_Raw++ (2018)'!BF7/100</f>
        <v>0</v>
      </c>
      <c r="BG6" s="32">
        <f>'Data_Raw++ (2018)'!BG7/100</f>
        <v>0</v>
      </c>
      <c r="BH6" s="32">
        <f>'Data_Raw++ (2018)'!BH7/100</f>
        <v>0</v>
      </c>
      <c r="BI6" s="32">
        <f>'Data_Raw++ (2018)'!BI7/100</f>
        <v>0</v>
      </c>
      <c r="BJ6" s="32">
        <f>'Data_Raw++ (2018)'!BJ7/100</f>
        <v>0</v>
      </c>
      <c r="BK6" s="32">
        <f>'Data_Raw++ (2018)'!BK7/100</f>
        <v>0</v>
      </c>
      <c r="BL6" s="32">
        <f>'Data_Raw++ (2018)'!BL7/100</f>
        <v>0</v>
      </c>
      <c r="BM6" s="32">
        <f>'Data_Raw++ (2018)'!BM7/100</f>
        <v>0</v>
      </c>
      <c r="BN6" s="32">
        <f>'Data_Raw++ (2018)'!BN7/100</f>
        <v>0</v>
      </c>
      <c r="BO6" s="32">
        <f>'Data_Raw++ (2018)'!BO7/100</f>
        <v>0</v>
      </c>
    </row>
    <row r="7" spans="1:67" x14ac:dyDescent="0.2">
      <c r="A7" s="34" t="s">
        <v>20</v>
      </c>
      <c r="B7" s="32">
        <f>'Data_Raw++ (2018)'!B8/100</f>
        <v>13000</v>
      </c>
      <c r="C7" s="32">
        <f>'Data_Raw++ (2018)'!C8/100</f>
        <v>2662.6506024096389</v>
      </c>
      <c r="D7" s="32">
        <f>'Data_Raw++ (2018)'!D8/100</f>
        <v>2884.5381526104425</v>
      </c>
      <c r="E7" s="32">
        <f>'Data_Raw++ (2018)'!E8/100</f>
        <v>1295.9519236365757</v>
      </c>
      <c r="F7" s="32">
        <f>'Data_Raw++ (2018)'!F8/100</f>
        <v>3503.8700157581484</v>
      </c>
      <c r="G7" s="32">
        <f>'Data_Raw++ (2018)'!G8/100</f>
        <v>988.27103008563165</v>
      </c>
      <c r="H7" s="32">
        <f>'Data_Raw++ (2018)'!H8/100</f>
        <v>841.86050710998256</v>
      </c>
      <c r="I7" s="32">
        <f>'Data_Raw++ (2018)'!I8/100</f>
        <v>988.27103008563165</v>
      </c>
      <c r="J7" s="32">
        <f>'Data_Raw++ (2018)'!J8/100</f>
        <v>509.10931852896181</v>
      </c>
      <c r="K7" s="32">
        <f>'Data_Raw++ (2018)'!K8/100</f>
        <v>1612.1795086750458</v>
      </c>
      <c r="L7" s="32">
        <f>'Data_Raw++ (2018)'!L8/100</f>
        <v>219.84266027386988</v>
      </c>
      <c r="M7" s="32">
        <f>'Data_Raw++ (2018)'!M8/100</f>
        <v>247.90768073436394</v>
      </c>
      <c r="N7" s="32">
        <f>'Data_Raw++ (2018)'!N8/100</f>
        <v>129.11858371581454</v>
      </c>
      <c r="O7" s="32">
        <f>'Data_Raw++ (2018)'!O8/100</f>
        <v>223.7857044216409</v>
      </c>
      <c r="P7" s="32">
        <f>'Data_Raw++ (2018)'!P8/100</f>
        <v>575.44895422707657</v>
      </c>
      <c r="Q7" s="32">
        <f>'Data_Raw++ (2018)'!Q8/100</f>
        <v>309.85712919919501</v>
      </c>
      <c r="R7" s="32">
        <f>'Data_Raw++ (2018)'!R8/100</f>
        <v>77.464282299798754</v>
      </c>
      <c r="S7" s="32">
        <f>'Data_Raw++ (2018)'!S8/100</f>
        <v>126.38909217335586</v>
      </c>
      <c r="T7" s="32">
        <f>'Data_Raw++ (2018)'!T8/100</f>
        <v>27.47588960290345</v>
      </c>
      <c r="U7" s="32">
        <f>'Data_Raw++ (2018)'!U8/100</f>
        <v>82.770055060058979</v>
      </c>
      <c r="V7" s="32">
        <f>'Data_Raw++ (2018)'!V8/100</f>
        <v>27.590018353352992</v>
      </c>
      <c r="W7" s="32">
        <f>'Data_Raw++ (2018)'!W8/100</f>
        <v>9.5503909684683439</v>
      </c>
      <c r="X7" s="32">
        <f>'Data_Raw++ (2018)'!X8/100</f>
        <v>21.965899227477188</v>
      </c>
      <c r="Y7" s="32">
        <f>'Data_Raw++ (2018)'!Y8/100</f>
        <v>30.516232421132848</v>
      </c>
      <c r="Z7" s="32">
        <f>'Data_Raw++ (2018)'!Z8/100</f>
        <v>15.720483368462379</v>
      </c>
      <c r="AA7" s="32">
        <f>'Data_Raw++ (2018)'!AA8/100</f>
        <v>10.480322245641586</v>
      </c>
      <c r="AB7" s="32">
        <f>'Data_Raw++ (2018)'!AB8/100</f>
        <v>0</v>
      </c>
      <c r="AC7" s="32">
        <f>'Data_Raw++ (2018)'!AC8/100</f>
        <v>25.995309099483539</v>
      </c>
      <c r="AD7" s="32">
        <f>'Data_Raw++ (2018)'!AD8/100</f>
        <v>6.7084668643828493</v>
      </c>
      <c r="AE7" s="32">
        <f>'Data_Raw++ (2018)'!AE8/100</f>
        <v>7.5470252224307046</v>
      </c>
      <c r="AF7" s="32">
        <f>'Data_Raw++ (2018)'!AF8/100</f>
        <v>9.6367049750945846</v>
      </c>
      <c r="AG7" s="32">
        <f>'Data_Raw++ (2018)'!AG8/100</f>
        <v>22.485644941887362</v>
      </c>
      <c r="AH7" s="32">
        <f>'Data_Raw++ (2018)'!AH8/100</f>
        <v>15.625617671481047</v>
      </c>
      <c r="AI7" s="32">
        <f>'Data_Raw++ (2018)'!AI8/100</f>
        <v>0</v>
      </c>
      <c r="AJ7" s="32">
        <f>'Data_Raw++ (2018)'!AJ8/100</f>
        <v>10.172077473710949</v>
      </c>
      <c r="AK7" s="32">
        <f>'Data_Raw++ (2018)'!AK8/100</f>
        <v>28.951297425177316</v>
      </c>
      <c r="AL7" s="32">
        <f>'Data_Raw++ (2018)'!AL8/100</f>
        <v>5.9297838099760778</v>
      </c>
      <c r="AM7" s="32">
        <f>'Data_Raw++ (2018)'!AM8/100</f>
        <v>2.3005585417262022</v>
      </c>
      <c r="AN7" s="32">
        <f>'Data_Raw++ (2018)'!AN8/100</f>
        <v>2.1235925000549556</v>
      </c>
      <c r="AO7" s="32">
        <f>'Data_Raw++ (2018)'!AO8/100</f>
        <v>0</v>
      </c>
      <c r="AP7" s="32">
        <f>'Data_Raw++ (2018)'!AP8/100</f>
        <v>0</v>
      </c>
      <c r="AQ7" s="32">
        <f>'Data_Raw++ (2018)'!AQ8/100</f>
        <v>17.131919955723706</v>
      </c>
      <c r="AR7" s="32">
        <f>'Data_Raw++ (2018)'!AR8/100</f>
        <v>0</v>
      </c>
      <c r="AS7" s="32">
        <f>'Data_Raw++ (2018)'!AS8/100</f>
        <v>0.91133236918622496</v>
      </c>
      <c r="AT7" s="32">
        <f>'Data_Raw++ (2018)'!AT8/100</f>
        <v>1.4869107076196304</v>
      </c>
      <c r="AU7" s="32">
        <f>'Data_Raw++ (2018)'!AU8/100</f>
        <v>0</v>
      </c>
      <c r="AV7" s="32">
        <f>'Data_Raw++ (2018)'!AV8/100</f>
        <v>0</v>
      </c>
      <c r="AW7" s="32">
        <f>'Data_Raw++ (2018)'!AW8/100</f>
        <v>0</v>
      </c>
      <c r="AX7" s="32">
        <f>'Data_Raw++ (2018)'!AX8/100</f>
        <v>1.4157283333699704</v>
      </c>
      <c r="AY7" s="32">
        <f>'Data_Raw++ (2018)'!AY8/100</f>
        <v>1.4157283333699704</v>
      </c>
      <c r="AZ7" s="32">
        <f>'Data_Raw++ (2018)'!AZ8/100</f>
        <v>0</v>
      </c>
      <c r="BA7" s="32">
        <f>'Data_Raw++ (2018)'!BA8/100</f>
        <v>0</v>
      </c>
      <c r="BB7" s="32">
        <f>'Data_Raw++ (2018)'!BB8/100</f>
        <v>0</v>
      </c>
      <c r="BC7" s="32">
        <f>'Data_Raw++ (2018)'!BC8/100</f>
        <v>0</v>
      </c>
      <c r="BD7" s="32">
        <f>'Data_Raw++ (2018)'!BD8/100</f>
        <v>0</v>
      </c>
      <c r="BE7" s="32">
        <f>'Data_Raw++ (2018)'!BE8/100</f>
        <v>0</v>
      </c>
      <c r="BF7" s="32">
        <f>'Data_Raw++ (2018)'!BF8/100</f>
        <v>0</v>
      </c>
      <c r="BG7" s="32">
        <f>'Data_Raw++ (2018)'!BG8/100</f>
        <v>0</v>
      </c>
      <c r="BH7" s="32">
        <f>'Data_Raw++ (2018)'!BH8/100</f>
        <v>0</v>
      </c>
      <c r="BI7" s="32">
        <f>'Data_Raw++ (2018)'!BI8/100</f>
        <v>0</v>
      </c>
      <c r="BJ7" s="32">
        <f>'Data_Raw++ (2018)'!BJ8/100</f>
        <v>0</v>
      </c>
      <c r="BK7" s="32">
        <f>'Data_Raw++ (2018)'!BK8/100</f>
        <v>0</v>
      </c>
      <c r="BL7" s="32">
        <f>'Data_Raw++ (2018)'!BL8/100</f>
        <v>0</v>
      </c>
      <c r="BM7" s="32">
        <f>'Data_Raw++ (2018)'!BM8/100</f>
        <v>0</v>
      </c>
      <c r="BN7" s="32">
        <f>'Data_Raw++ (2018)'!BN8/100</f>
        <v>0</v>
      </c>
      <c r="BO7" s="32">
        <f>'Data_Raw++ (2018)'!BO8/100</f>
        <v>0</v>
      </c>
    </row>
    <row r="8" spans="1:67" x14ac:dyDescent="0.2">
      <c r="A8" s="34" t="s">
        <v>32</v>
      </c>
      <c r="B8" s="32">
        <f>'Data_Raw++ (2018)'!B9/100</f>
        <v>11000</v>
      </c>
      <c r="C8" s="32">
        <f>'Data_Raw++ (2018)'!C9/100</f>
        <v>15829.268292682927</v>
      </c>
      <c r="D8" s="32">
        <f>'Data_Raw++ (2018)'!D9/100</f>
        <v>8903.9634146341468</v>
      </c>
      <c r="E8" s="32">
        <f>'Data_Raw++ (2018)'!E9/100</f>
        <v>8903.9634146341468</v>
      </c>
      <c r="F8" s="32">
        <f>'Data_Raw++ (2018)'!F9/100</f>
        <v>5935.9756097560967</v>
      </c>
      <c r="G8" s="32">
        <f>'Data_Raw++ (2018)'!G9/100</f>
        <v>7255.081300813009</v>
      </c>
      <c r="H8" s="32">
        <f>'Data_Raw++ (2018)'!H9/100</f>
        <v>3259.52928007541</v>
      </c>
      <c r="I8" s="32">
        <f>'Data_Raw++ (2018)'!I9/100</f>
        <v>3392.5712915070599</v>
      </c>
      <c r="J8" s="32">
        <f>'Data_Raw++ (2018)'!J9/100</f>
        <v>2357.5495415557534</v>
      </c>
      <c r="K8" s="32">
        <f>'Data_Raw++ (2018)'!K9/100</f>
        <v>2658.5133128181901</v>
      </c>
      <c r="L8" s="32">
        <f>'Data_Raw++ (2018)'!L9/100</f>
        <v>1629.411385275665</v>
      </c>
      <c r="M8" s="32">
        <f>'Data_Raw++ (2018)'!M9/100</f>
        <v>1504.0720479467675</v>
      </c>
      <c r="N8" s="32">
        <f>'Data_Raw++ (2018)'!N9/100</f>
        <v>1134.6508431879122</v>
      </c>
      <c r="O8" s="32">
        <f>'Data_Raw++ (2018)'!O9/100</f>
        <v>891.51137679050237</v>
      </c>
      <c r="P8" s="32">
        <f>'Data_Raw++ (2018)'!P9/100</f>
        <v>700.47322462110901</v>
      </c>
      <c r="Q8" s="32">
        <f>'Data_Raw++ (2018)'!Q9/100</f>
        <v>789.89533840252727</v>
      </c>
      <c r="R8" s="32">
        <f>'Data_Raw++ (2018)'!R9/100</f>
        <v>758.91905062203591</v>
      </c>
      <c r="S8" s="32">
        <f>'Data_Raw++ (2018)'!S9/100</f>
        <v>357.13837676331104</v>
      </c>
      <c r="T8" s="32">
        <f>'Data_Raw++ (2018)'!T9/100</f>
        <v>292.20412644270897</v>
      </c>
      <c r="U8" s="32">
        <f>'Data_Raw++ (2018)'!U9/100</f>
        <v>259.12441401523245</v>
      </c>
      <c r="V8" s="32">
        <f>'Data_Raw++ (2018)'!V9/100</f>
        <v>405.29716038279946</v>
      </c>
      <c r="W8" s="32">
        <f>'Data_Raw++ (2018)'!W9/100</f>
        <v>88.967669352321849</v>
      </c>
      <c r="X8" s="32">
        <f>'Data_Raw++ (2018)'!X9/100</f>
        <v>151.48549105935882</v>
      </c>
      <c r="Y8" s="32">
        <f>'Data_Raw++ (2018)'!Y9/100</f>
        <v>281.33019768166639</v>
      </c>
      <c r="Z8" s="32">
        <f>'Data_Raw++ (2018)'!Z9/100</f>
        <v>120.57008472071419</v>
      </c>
      <c r="AA8" s="32">
        <f>'Data_Raw++ (2018)'!AA9/100</f>
        <v>49.246936012686071</v>
      </c>
      <c r="AB8" s="32">
        <f>'Data_Raw++ (2018)'!AB9/100</f>
        <v>12.188616663139804</v>
      </c>
      <c r="AC8" s="32">
        <f>'Data_Raw++ (2018)'!AC9/100</f>
        <v>23.660255875506678</v>
      </c>
      <c r="AD8" s="32">
        <f>'Data_Raw++ (2018)'!AD9/100</f>
        <v>13.308893929972506</v>
      </c>
      <c r="AE8" s="32">
        <f>'Data_Raw++ (2018)'!AE9/100</f>
        <v>13.852114090379546</v>
      </c>
      <c r="AF8" s="32">
        <f>'Data_Raw++ (2018)'!AF9/100</f>
        <v>12.283950231091294</v>
      </c>
      <c r="AG8" s="32">
        <f>'Data_Raw++ (2018)'!AG9/100</f>
        <v>18.425925346636941</v>
      </c>
      <c r="AH8" s="32">
        <f>'Data_Raw++ (2018)'!AH9/100</f>
        <v>4.8980307883465279</v>
      </c>
      <c r="AI8" s="32">
        <f>'Data_Raw++ (2018)'!AI9/100</f>
        <v>11.99173055077943</v>
      </c>
      <c r="AJ8" s="32">
        <f>'Data_Raw++ (2018)'!AJ9/100</f>
        <v>12.481188940607161</v>
      </c>
      <c r="AK8" s="32">
        <f>'Data_Raw++ (2018)'!AK9/100</f>
        <v>9.8066484533341978</v>
      </c>
      <c r="AL8" s="32">
        <f>'Data_Raw++ (2018)'!AL9/100</f>
        <v>0</v>
      </c>
      <c r="AM8" s="32">
        <f>'Data_Raw++ (2018)'!AM9/100</f>
        <v>15.551664004006128</v>
      </c>
      <c r="AN8" s="32">
        <f>'Data_Raw++ (2018)'!AN9/100</f>
        <v>8.3739729252340673</v>
      </c>
      <c r="AO8" s="32">
        <f>'Data_Raw++ (2018)'!AO9/100</f>
        <v>26.517580929907886</v>
      </c>
      <c r="AP8" s="32">
        <f>'Data_Raw++ (2018)'!AP9/100</f>
        <v>45.151556718491804</v>
      </c>
      <c r="AQ8" s="32">
        <f>'Data_Raw++ (2018)'!AQ9/100</f>
        <v>10.591105896930175</v>
      </c>
      <c r="AR8" s="32">
        <f>'Data_Raw++ (2018)'!AR9/100</f>
        <v>14.625812905284526</v>
      </c>
      <c r="AS8" s="32">
        <f>'Data_Raw++ (2018)'!AS9/100</f>
        <v>8.2270197592225465</v>
      </c>
      <c r="AT8" s="32">
        <f>'Data_Raw++ (2018)'!AT9/100</f>
        <v>2.7423399197408487</v>
      </c>
      <c r="AU8" s="32">
        <f>'Data_Raw++ (2018)'!AU9/100</f>
        <v>2.7423399197408487</v>
      </c>
      <c r="AV8" s="32">
        <f>'Data_Raw++ (2018)'!AV9/100</f>
        <v>6.7140046310896642</v>
      </c>
      <c r="AW8" s="32">
        <f>'Data_Raw++ (2018)'!AW9/100</f>
        <v>5.4932765163460884</v>
      </c>
      <c r="AX8" s="32">
        <f>'Data_Raw++ (2018)'!AX9/100</f>
        <v>6.7140046310896642</v>
      </c>
      <c r="AY8" s="32">
        <f>'Data_Raw++ (2018)'!AY9/100</f>
        <v>2.7423399197408487</v>
      </c>
      <c r="AZ8" s="32">
        <f>'Data_Raw++ (2018)'!AZ9/100</f>
        <v>10.316421602834621</v>
      </c>
      <c r="BA8" s="32">
        <f>'Data_Raw++ (2018)'!BA9/100</f>
        <v>0</v>
      </c>
      <c r="BB8" s="32">
        <f>'Data_Raw++ (2018)'!BB9/100</f>
        <v>3.8156627846100655</v>
      </c>
      <c r="BC8" s="32">
        <f>'Data_Raw++ (2018)'!BC9/100</f>
        <v>0</v>
      </c>
      <c r="BD8" s="32">
        <f>'Data_Raw++ (2018)'!BD9/100</f>
        <v>0</v>
      </c>
      <c r="BE8" s="32">
        <f>'Data_Raw++ (2018)'!BE9/100</f>
        <v>1.2512833106671597</v>
      </c>
      <c r="BF8" s="32">
        <f>'Data_Raw++ (2018)'!BF9/100</f>
        <v>0</v>
      </c>
      <c r="BG8" s="32">
        <f>'Data_Raw++ (2018)'!BG9/100</f>
        <v>0</v>
      </c>
      <c r="BH8" s="32">
        <f>'Data_Raw++ (2018)'!BH9/100</f>
        <v>0</v>
      </c>
      <c r="BI8" s="32">
        <f>'Data_Raw++ (2018)'!BI9/100</f>
        <v>0</v>
      </c>
      <c r="BJ8" s="32">
        <f>'Data_Raw++ (2018)'!BJ9/100</f>
        <v>0</v>
      </c>
      <c r="BK8" s="32">
        <f>'Data_Raw++ (2018)'!BK9/100</f>
        <v>0</v>
      </c>
      <c r="BL8" s="32">
        <f>'Data_Raw++ (2018)'!BL9/100</f>
        <v>0</v>
      </c>
      <c r="BM8" s="32">
        <f>'Data_Raw++ (2018)'!BM9/100</f>
        <v>0</v>
      </c>
      <c r="BN8" s="32">
        <f>'Data_Raw++ (2018)'!BN9/100</f>
        <v>0</v>
      </c>
      <c r="BO8" s="32">
        <f>'Data_Raw++ (2018)'!BO9/100</f>
        <v>0</v>
      </c>
    </row>
    <row r="9" spans="1:67" x14ac:dyDescent="0.2">
      <c r="A9" s="34" t="s">
        <v>37</v>
      </c>
      <c r="B9" s="32">
        <f>'Data_Raw++ (2018)'!B10/100</f>
        <v>10000</v>
      </c>
      <c r="C9" s="32">
        <f>'Data_Raw++ (2018)'!C10/100</f>
        <v>5151.515151515152</v>
      </c>
      <c r="D9" s="32">
        <f>'Data_Raw++ (2018)'!D10/100</f>
        <v>7413.1559497413164</v>
      </c>
      <c r="E9" s="32">
        <f>'Data_Raw++ (2018)'!E10/100</f>
        <v>5368.1474118816432</v>
      </c>
      <c r="F9" s="32">
        <f>'Data_Raw++ (2018)'!F10/100</f>
        <v>4572.8663138251031</v>
      </c>
      <c r="G9" s="32">
        <f>'Data_Raw++ (2018)'!G10/100</f>
        <v>3048.5775425500697</v>
      </c>
      <c r="H9" s="32">
        <f>'Data_Raw++ (2018)'!H10/100</f>
        <v>2032.3850283667132</v>
      </c>
      <c r="I9" s="32">
        <f>'Data_Raw++ (2018)'!I10/100</f>
        <v>1876.0477184923504</v>
      </c>
      <c r="J9" s="32">
        <f>'Data_Raw++ (2018)'!J10/100</f>
        <v>1250.6984789949004</v>
      </c>
      <c r="K9" s="32">
        <f>'Data_Raw++ (2018)'!K10/100</f>
        <v>1023.2987555412822</v>
      </c>
      <c r="L9" s="32">
        <f>'Data_Raw++ (2018)'!L10/100</f>
        <v>627.18310823497939</v>
      </c>
      <c r="M9" s="32">
        <f>'Data_Raw++ (2018)'!M10/100</f>
        <v>313.59155411748969</v>
      </c>
      <c r="N9" s="32">
        <f>'Data_Raw++ (2018)'!N10/100</f>
        <v>347.19064920150646</v>
      </c>
      <c r="O9" s="32">
        <f>'Data_Raw++ (2018)'!O10/100</f>
        <v>446.13329890976632</v>
      </c>
      <c r="P9" s="32">
        <f>'Data_Raw++ (2018)'!P10/100</f>
        <v>156.14665461841821</v>
      </c>
      <c r="Q9" s="32">
        <f>'Data_Raw++ (2018)'!Q10/100</f>
        <v>344.1942386750078</v>
      </c>
      <c r="R9" s="32">
        <f>'Data_Raw++ (2018)'!R10/100</f>
        <v>344.1942386750078</v>
      </c>
      <c r="S9" s="32">
        <f>'Data_Raw++ (2018)'!S10/100</f>
        <v>107.08265203222464</v>
      </c>
      <c r="T9" s="32">
        <f>'Data_Raw++ (2018)'!T10/100</f>
        <v>110.90703246194697</v>
      </c>
      <c r="U9" s="32">
        <f>'Data_Raw++ (2018)'!U10/100</f>
        <v>78.729405689958767</v>
      </c>
      <c r="V9" s="32">
        <f>'Data_Raw++ (2018)'!V10/100</f>
        <v>72.673297559961938</v>
      </c>
      <c r="W9" s="32">
        <f>'Data_Raw++ (2018)'!W10/100</f>
        <v>21.801989267988585</v>
      </c>
      <c r="X9" s="32">
        <f>'Data_Raw++ (2018)'!X10/100</f>
        <v>30.886151462983825</v>
      </c>
      <c r="Y9" s="32">
        <f>'Data_Raw++ (2018)'!Y10/100</f>
        <v>78.729405689958767</v>
      </c>
      <c r="Z9" s="32">
        <f>'Data_Raw++ (2018)'!Z10/100</f>
        <v>69.816642781661542</v>
      </c>
      <c r="AA9" s="32">
        <f>'Data_Raw++ (2018)'!AA10/100</f>
        <v>59.47343644363761</v>
      </c>
      <c r="AB9" s="32">
        <f>'Data_Raw++ (2018)'!AB10/100</f>
        <v>13.702679756614105</v>
      </c>
      <c r="AC9" s="32">
        <f>'Data_Raw++ (2018)'!AC10/100</f>
        <v>16.747719702528354</v>
      </c>
      <c r="AD9" s="32">
        <f>'Data_Raw++ (2018)'!AD10/100</f>
        <v>7.0855737203004567</v>
      </c>
      <c r="AE9" s="32">
        <f>'Data_Raw++ (2018)'!AE10/100</f>
        <v>22.357003813423013</v>
      </c>
      <c r="AF9" s="32">
        <f>'Data_Raw++ (2018)'!AF10/100</f>
        <v>32.172273780291654</v>
      </c>
      <c r="AG9" s="32">
        <f>'Data_Raw++ (2018)'!AG10/100</f>
        <v>0</v>
      </c>
      <c r="AH9" s="32">
        <f>'Data_Raw++ (2018)'!AH10/100</f>
        <v>15.531442514623556</v>
      </c>
      <c r="AI9" s="32">
        <f>'Data_Raw++ (2018)'!AI10/100</f>
        <v>0</v>
      </c>
      <c r="AJ9" s="32">
        <f>'Data_Raw++ (2018)'!AJ10/100</f>
        <v>33.741173867125191</v>
      </c>
      <c r="AK9" s="32">
        <f>'Data_Raw++ (2018)'!AK10/100</f>
        <v>11.76416406861453</v>
      </c>
      <c r="AL9" s="32">
        <f>'Data_Raw++ (2018)'!AL10/100</f>
        <v>0</v>
      </c>
      <c r="AM9" s="32">
        <f>'Data_Raw++ (2018)'!AM10/100</f>
        <v>25.881160950951966</v>
      </c>
      <c r="AN9" s="32">
        <f>'Data_Raw++ (2018)'!AN10/100</f>
        <v>2.9554799475050033</v>
      </c>
      <c r="AO9" s="32">
        <f>'Data_Raw++ (2018)'!AO10/100</f>
        <v>5.4887484739378634</v>
      </c>
      <c r="AP9" s="32">
        <f>'Data_Raw++ (2018)'!AP10/100</f>
        <v>0</v>
      </c>
      <c r="AQ9" s="32">
        <f>'Data_Raw++ (2018)'!AQ10/100</f>
        <v>0</v>
      </c>
      <c r="AR9" s="32">
        <f>'Data_Raw++ (2018)'!AR10/100</f>
        <v>0</v>
      </c>
      <c r="AS9" s="32">
        <f>'Data_Raw++ (2018)'!AS10/100</f>
        <v>0</v>
      </c>
      <c r="AT9" s="32">
        <f>'Data_Raw++ (2018)'!AT10/100</f>
        <v>0</v>
      </c>
      <c r="AU9" s="32">
        <f>'Data_Raw++ (2018)'!AU10/100</f>
        <v>0</v>
      </c>
      <c r="AV9" s="32">
        <f>'Data_Raw++ (2018)'!AV10/100</f>
        <v>0</v>
      </c>
      <c r="AW9" s="32">
        <f>'Data_Raw++ (2018)'!AW10/100</f>
        <v>0</v>
      </c>
      <c r="AX9" s="32">
        <f>'Data_Raw++ (2018)'!AX10/100</f>
        <v>0</v>
      </c>
      <c r="AY9" s="32">
        <f>'Data_Raw++ (2018)'!AY10/100</f>
        <v>0</v>
      </c>
      <c r="AZ9" s="32">
        <f>'Data_Raw++ (2018)'!AZ10/100</f>
        <v>0</v>
      </c>
      <c r="BA9" s="32">
        <f>'Data_Raw++ (2018)'!BA10/100</f>
        <v>0</v>
      </c>
      <c r="BB9" s="32">
        <f>'Data_Raw++ (2018)'!BB10/100</f>
        <v>0</v>
      </c>
      <c r="BC9" s="32">
        <f>'Data_Raw++ (2018)'!BC10/100</f>
        <v>0</v>
      </c>
      <c r="BD9" s="32">
        <f>'Data_Raw++ (2018)'!BD10/100</f>
        <v>0</v>
      </c>
      <c r="BE9" s="32">
        <f>'Data_Raw++ (2018)'!BE10/100</f>
        <v>0</v>
      </c>
      <c r="BF9" s="32">
        <f>'Data_Raw++ (2018)'!BF10/100</f>
        <v>0</v>
      </c>
      <c r="BG9" s="32">
        <f>'Data_Raw++ (2018)'!BG10/100</f>
        <v>0</v>
      </c>
      <c r="BH9" s="32">
        <f>'Data_Raw++ (2018)'!BH10/100</f>
        <v>0</v>
      </c>
      <c r="BI9" s="32">
        <f>'Data_Raw++ (2018)'!BI10/100</f>
        <v>0</v>
      </c>
      <c r="BJ9" s="32">
        <f>'Data_Raw++ (2018)'!BJ10/100</f>
        <v>0</v>
      </c>
      <c r="BK9" s="32">
        <f>'Data_Raw++ (2018)'!BK10/100</f>
        <v>0</v>
      </c>
      <c r="BL9" s="32">
        <f>'Data_Raw++ (2018)'!BL10/100</f>
        <v>0</v>
      </c>
      <c r="BM9" s="32">
        <f>'Data_Raw++ (2018)'!BM10/100</f>
        <v>0</v>
      </c>
      <c r="BN9" s="32">
        <f>'Data_Raw++ (2018)'!BN10/100</f>
        <v>0</v>
      </c>
      <c r="BO9" s="32">
        <f>'Data_Raw++ (2018)'!BO10/100</f>
        <v>0</v>
      </c>
    </row>
    <row r="10" spans="1:67" x14ac:dyDescent="0.2">
      <c r="A10" s="34" t="s">
        <v>42</v>
      </c>
      <c r="B10" s="32">
        <f>'Data_Raw++ (2018)'!B11/100</f>
        <v>9000</v>
      </c>
      <c r="C10" s="32">
        <f>'Data_Raw++ (2018)'!C11/100</f>
        <v>16000</v>
      </c>
      <c r="D10" s="32">
        <f>'Data_Raw++ (2018)'!D11/100</f>
        <v>10666.666666666668</v>
      </c>
      <c r="E10" s="32">
        <f>'Data_Raw++ (2018)'!E11/100</f>
        <v>5743.5897435897423</v>
      </c>
      <c r="F10" s="32">
        <f>'Data_Raw++ (2018)'!F11/100</f>
        <v>2580.4533630620585</v>
      </c>
      <c r="G10" s="32">
        <f>'Data_Raw++ (2018)'!G11/100</f>
        <v>7741.3600891861752</v>
      </c>
      <c r="H10" s="32">
        <f>'Data_Raw++ (2018)'!H11/100</f>
        <v>3478.0023589097314</v>
      </c>
      <c r="I10" s="32">
        <f>'Data_Raw++ (2018)'!I11/100</f>
        <v>3619.9616388652312</v>
      </c>
      <c r="J10" s="32">
        <f>'Data_Raw++ (2018)'!J11/100</f>
        <v>1338.8899212241265</v>
      </c>
      <c r="K10" s="32">
        <f>'Data_Raw++ (2018)'!K11/100</f>
        <v>1926.6952524932553</v>
      </c>
      <c r="L10" s="32">
        <f>'Data_Raw++ (2018)'!L11/100</f>
        <v>948.96930346682711</v>
      </c>
      <c r="M10" s="32">
        <f>'Data_Raw++ (2018)'!M11/100</f>
        <v>875.97166473860955</v>
      </c>
      <c r="N10" s="32">
        <f>'Data_Raw++ (2018)'!N11/100</f>
        <v>1370.1095268988508</v>
      </c>
      <c r="O10" s="32">
        <f>'Data_Raw++ (2018)'!O11/100</f>
        <v>587.18979724236465</v>
      </c>
      <c r="P10" s="32">
        <f>'Data_Raw++ (2018)'!P11/100</f>
        <v>185.4283570239046</v>
      </c>
      <c r="Q10" s="32">
        <f>'Data_Raw++ (2018)'!Q11/100</f>
        <v>412.7276333757876</v>
      </c>
      <c r="R10" s="32">
        <f>'Data_Raw++ (2018)'!R11/100</f>
        <v>447.12160282376999</v>
      </c>
      <c r="S10" s="32">
        <f>'Data_Raw++ (2018)'!S11/100</f>
        <v>337.30226177933531</v>
      </c>
      <c r="T10" s="32">
        <f>'Data_Raw++ (2018)'!T11/100</f>
        <v>244.2533619781394</v>
      </c>
      <c r="U10" s="32">
        <f>'Data_Raw++ (2018)'!U11/100</f>
        <v>104.68001227634547</v>
      </c>
      <c r="V10" s="32">
        <f>'Data_Raw++ (2018)'!V11/100</f>
        <v>29.525131667687184</v>
      </c>
      <c r="W10" s="32">
        <f>'Data_Raw++ (2018)'!W11/100</f>
        <v>104.68001227634547</v>
      </c>
      <c r="X10" s="32">
        <f>'Data_Raw++ (2018)'!X11/100</f>
        <v>138.76187673841142</v>
      </c>
      <c r="Y10" s="32">
        <f>'Data_Raw++ (2018)'!Y11/100</f>
        <v>246.68778086828698</v>
      </c>
      <c r="Z10" s="32">
        <f>'Data_Raw++ (2018)'!Z11/100</f>
        <v>77.901404484722192</v>
      </c>
      <c r="AA10" s="32">
        <f>'Data_Raw++ (2018)'!AA11/100</f>
        <v>103.2646524564922</v>
      </c>
      <c r="AB10" s="32">
        <f>'Data_Raw++ (2018)'!AB11/100</f>
        <v>25.774857253140457</v>
      </c>
      <c r="AC10" s="32">
        <f>'Data_Raw++ (2018)'!AC11/100</f>
        <v>30.257441123251841</v>
      </c>
      <c r="AD10" s="32">
        <f>'Data_Raw++ (2018)'!AD11/100</f>
        <v>31.492438720119267</v>
      </c>
      <c r="AE10" s="32">
        <f>'Data_Raw++ (2018)'!AE11/100</f>
        <v>20.994959146746183</v>
      </c>
      <c r="AF10" s="32">
        <f>'Data_Raw++ (2018)'!AF11/100</f>
        <v>21.851896254776644</v>
      </c>
      <c r="AG10" s="32">
        <f>'Data_Raw++ (2018)'!AG11/100</f>
        <v>19.378096678764191</v>
      </c>
      <c r="AH10" s="32">
        <f>'Data_Raw++ (2018)'!AH11/100</f>
        <v>11.380786938321826</v>
      </c>
      <c r="AI10" s="32">
        <f>'Data_Raw++ (2018)'!AI11/100</f>
        <v>15.086159429868465</v>
      </c>
      <c r="AJ10" s="32">
        <f>'Data_Raw++ (2018)'!AJ11/100</f>
        <v>19.200566547105321</v>
      </c>
      <c r="AK10" s="32">
        <f>'Data_Raw++ (2018)'!AK11/100</f>
        <v>5.1039480694836925</v>
      </c>
      <c r="AL10" s="32">
        <f>'Data_Raw++ (2018)'!AL11/100</f>
        <v>2.4018579150511492</v>
      </c>
      <c r="AM10" s="32">
        <f>'Data_Raw++ (2018)'!AM11/100</f>
        <v>11.726718055837962</v>
      </c>
      <c r="AN10" s="32">
        <f>'Data_Raw++ (2018)'!AN11/100</f>
        <v>14.332655401579732</v>
      </c>
      <c r="AO10" s="32">
        <f>'Data_Raw++ (2018)'!AO11/100</f>
        <v>5.8541831921945375</v>
      </c>
      <c r="AP10" s="32">
        <f>'Data_Raw++ (2018)'!AP11/100</f>
        <v>7.4507786082475942</v>
      </c>
      <c r="AQ10" s="32">
        <f>'Data_Raw++ (2018)'!AQ11/100</f>
        <v>0</v>
      </c>
      <c r="AR10" s="32">
        <f>'Data_Raw++ (2018)'!AR11/100</f>
        <v>5.4349817082364318</v>
      </c>
      <c r="AS10" s="32">
        <f>'Data_Raw++ (2018)'!AS11/100</f>
        <v>8.5008688257031366</v>
      </c>
      <c r="AT10" s="32">
        <f>'Data_Raw++ (2018)'!AT11/100</f>
        <v>0</v>
      </c>
      <c r="AU10" s="32">
        <f>'Data_Raw++ (2018)'!AU11/100</f>
        <v>1.7714517912064838</v>
      </c>
      <c r="AV10" s="32">
        <f>'Data_Raw++ (2018)'!AV11/100</f>
        <v>1.7714517912064838</v>
      </c>
      <c r="AW10" s="32">
        <f>'Data_Raw++ (2018)'!AW11/100</f>
        <v>1.9975945730626308</v>
      </c>
      <c r="AX10" s="32">
        <f>'Data_Raw++ (2018)'!AX11/100</f>
        <v>0</v>
      </c>
      <c r="AY10" s="32">
        <f>'Data_Raw++ (2018)'!AY11/100</f>
        <v>5.0357978437982842</v>
      </c>
      <c r="AZ10" s="32">
        <f>'Data_Raw++ (2018)'!AZ11/100</f>
        <v>0</v>
      </c>
      <c r="BA10" s="32">
        <f>'Data_Raw++ (2018)'!BA11/100</f>
        <v>0</v>
      </c>
      <c r="BB10" s="32">
        <f>'Data_Raw++ (2018)'!BB11/100</f>
        <v>0</v>
      </c>
      <c r="BC10" s="32">
        <f>'Data_Raw++ (2018)'!BC11/100</f>
        <v>4.0425438312147968</v>
      </c>
      <c r="BD10" s="32">
        <f>'Data_Raw++ (2018)'!BD11/100</f>
        <v>0</v>
      </c>
      <c r="BE10" s="32">
        <f>'Data_Raw++ (2018)'!BE11/100</f>
        <v>0</v>
      </c>
      <c r="BF10" s="32">
        <f>'Data_Raw++ (2018)'!BF11/100</f>
        <v>0</v>
      </c>
      <c r="BG10" s="32">
        <f>'Data_Raw++ (2018)'!BG11/100</f>
        <v>0</v>
      </c>
      <c r="BH10" s="32">
        <f>'Data_Raw++ (2018)'!BH11/100</f>
        <v>1.7714517912064838</v>
      </c>
      <c r="BI10" s="32">
        <f>'Data_Raw++ (2018)'!BI11/100</f>
        <v>0</v>
      </c>
      <c r="BJ10" s="32">
        <f>'Data_Raw++ (2018)'!BJ11/100</f>
        <v>0</v>
      </c>
      <c r="BK10" s="32">
        <f>'Data_Raw++ (2018)'!BK11/100</f>
        <v>0</v>
      </c>
      <c r="BL10" s="32">
        <f>'Data_Raw++ (2018)'!BL11/100</f>
        <v>0</v>
      </c>
      <c r="BM10" s="32">
        <f>'Data_Raw++ (2018)'!BM11/100</f>
        <v>0</v>
      </c>
      <c r="BN10" s="32">
        <f>'Data_Raw++ (2018)'!BN11/100</f>
        <v>0</v>
      </c>
      <c r="BO10" s="32">
        <f>'Data_Raw++ (2018)'!BO11/100</f>
        <v>0</v>
      </c>
    </row>
    <row r="11" spans="1:67" x14ac:dyDescent="0.2">
      <c r="A11" s="34" t="s">
        <v>43</v>
      </c>
      <c r="B11" s="32">
        <f>'Data_Raw++ (2018)'!B12/100</f>
        <v>9000</v>
      </c>
      <c r="C11" s="32">
        <f>'Data_Raw++ (2018)'!C12/100</f>
        <v>4432.8358208955224</v>
      </c>
      <c r="D11" s="32">
        <f>'Data_Raw++ (2018)'!D12/100</f>
        <v>10343.283582089551</v>
      </c>
      <c r="E11" s="32">
        <f>'Data_Raw++ (2018)'!E12/100</f>
        <v>3825.5980372112044</v>
      </c>
      <c r="F11" s="32">
        <f>'Data_Raw++ (2018)'!F12/100</f>
        <v>3258.842772439174</v>
      </c>
      <c r="G11" s="32">
        <f>'Data_Raw++ (2018)'!G12/100</f>
        <v>4689.5542335100308</v>
      </c>
      <c r="H11" s="32">
        <f>'Data_Raw++ (2018)'!H12/100</f>
        <v>3395.8841001279534</v>
      </c>
      <c r="I11" s="32">
        <f>'Data_Raw++ (2018)'!I12/100</f>
        <v>3011.4443906795059</v>
      </c>
      <c r="J11" s="32">
        <f>'Data_Raw++ (2018)'!J12/100</f>
        <v>2893.348532221486</v>
      </c>
      <c r="K11" s="32">
        <f>'Data_Raw++ (2018)'!K12/100</f>
        <v>1299.9102101284939</v>
      </c>
      <c r="L11" s="32">
        <f>'Data_Raw++ (2018)'!L12/100</f>
        <v>433.30340337616457</v>
      </c>
      <c r="M11" s="32">
        <f>'Data_Raw++ (2018)'!M12/100</f>
        <v>508.66051700680191</v>
      </c>
      <c r="N11" s="32">
        <f>'Data_Raw++ (2018)'!N12/100</f>
        <v>904.28536356764789</v>
      </c>
      <c r="O11" s="32">
        <f>'Data_Raw++ (2018)'!O12/100</f>
        <v>301.42845452254932</v>
      </c>
      <c r="P11" s="32">
        <f>'Data_Raw++ (2018)'!P12/100</f>
        <v>267.30447853886443</v>
      </c>
      <c r="Q11" s="32">
        <f>'Data_Raw++ (2018)'!Q12/100</f>
        <v>326.7054737697232</v>
      </c>
      <c r="R11" s="32">
        <f>'Data_Raw++ (2018)'!R12/100</f>
        <v>86.676962428702083</v>
      </c>
      <c r="S11" s="32">
        <f>'Data_Raw++ (2018)'!S12/100</f>
        <v>246.62328097299488</v>
      </c>
      <c r="T11" s="32">
        <f>'Data_Raw++ (2018)'!T12/100</f>
        <v>144.84224438096524</v>
      </c>
      <c r="U11" s="32">
        <f>'Data_Raw++ (2018)'!U12/100</f>
        <v>40.933677759837998</v>
      </c>
      <c r="V11" s="32">
        <f>'Data_Raw++ (2018)'!V12/100</f>
        <v>37.522537946518163</v>
      </c>
      <c r="W11" s="32">
        <f>'Data_Raw++ (2018)'!W12/100</f>
        <v>66.915578964883068</v>
      </c>
      <c r="X11" s="32">
        <f>'Data_Raw++ (2018)'!X12/100</f>
        <v>34.471661891000366</v>
      </c>
      <c r="Y11" s="32">
        <f>'Data_Raw++ (2018)'!Y12/100</f>
        <v>49.605562233390771</v>
      </c>
      <c r="Z11" s="32">
        <f>'Data_Raw++ (2018)'!Z12/100</f>
        <v>12.401390558347693</v>
      </c>
      <c r="AA11" s="32">
        <f>'Data_Raw++ (2018)'!AA12/100</f>
        <v>24.590734584817877</v>
      </c>
      <c r="AB11" s="32">
        <f>'Data_Raw++ (2018)'!AB12/100</f>
        <v>6.1083384708687616</v>
      </c>
      <c r="AC11" s="32">
        <f>'Data_Raw++ (2018)'!AC12/100</f>
        <v>3.0085846199801365</v>
      </c>
      <c r="AD11" s="32">
        <f>'Data_Raw++ (2018)'!AD12/100</f>
        <v>7.0200307799536521</v>
      </c>
      <c r="AE11" s="32">
        <f>'Data_Raw++ (2018)'!AE12/100</f>
        <v>5.9800262199605179</v>
      </c>
      <c r="AF11" s="32">
        <f>'Data_Raw++ (2018)'!AF12/100</f>
        <v>3.5120788910879228</v>
      </c>
      <c r="AG11" s="32">
        <f>'Data_Raw++ (2018)'!AG12/100</f>
        <v>0</v>
      </c>
      <c r="AH11" s="32">
        <f>'Data_Raw++ (2018)'!AH12/100</f>
        <v>23.34379399218389</v>
      </c>
      <c r="AI11" s="32">
        <f>'Data_Raw++ (2018)'!AI12/100</f>
        <v>11.497689578239827</v>
      </c>
      <c r="AJ11" s="32">
        <f>'Data_Raw++ (2018)'!AJ12/100</f>
        <v>4.2525701179791149</v>
      </c>
      <c r="AK11" s="32">
        <f>'Data_Raw++ (2018)'!AK12/100</f>
        <v>0</v>
      </c>
      <c r="AL11" s="32">
        <f>'Data_Raw++ (2018)'!AL12/100</f>
        <v>0</v>
      </c>
      <c r="AM11" s="32">
        <f>'Data_Raw++ (2018)'!AM12/100</f>
        <v>8.1969115282726257</v>
      </c>
      <c r="AN11" s="32">
        <f>'Data_Raw++ (2018)'!AN12/100</f>
        <v>25.956886506196653</v>
      </c>
      <c r="AO11" s="32">
        <f>'Data_Raw++ (2018)'!AO12/100</f>
        <v>0</v>
      </c>
      <c r="AP11" s="32">
        <f>'Data_Raw++ (2018)'!AP12/100</f>
        <v>0</v>
      </c>
      <c r="AQ11" s="32">
        <f>'Data_Raw++ (2018)'!AQ12/100</f>
        <v>0.82382097445272262</v>
      </c>
      <c r="AR11" s="32">
        <f>'Data_Raw++ (2018)'!AR12/100</f>
        <v>0</v>
      </c>
      <c r="AS11" s="32">
        <f>'Data_Raw++ (2018)'!AS12/100</f>
        <v>1.8509155063841414</v>
      </c>
      <c r="AT11" s="32">
        <f>'Data_Raw++ (2018)'!AT12/100</f>
        <v>1.5143854143142974</v>
      </c>
      <c r="AU11" s="32">
        <f>'Data_Raw++ (2018)'!AU12/100</f>
        <v>1.8509155063841414</v>
      </c>
      <c r="AV11" s="32">
        <f>'Data_Raw++ (2018)'!AV12/100</f>
        <v>0</v>
      </c>
      <c r="AW11" s="32">
        <f>'Data_Raw++ (2018)'!AW12/100</f>
        <v>0</v>
      </c>
      <c r="AX11" s="32">
        <f>'Data_Raw++ (2018)'!AX12/100</f>
        <v>0</v>
      </c>
      <c r="AY11" s="32">
        <f>'Data_Raw++ (2018)'!AY12/100</f>
        <v>0</v>
      </c>
      <c r="AZ11" s="32">
        <f>'Data_Raw++ (2018)'!AZ12/100</f>
        <v>0</v>
      </c>
      <c r="BA11" s="32">
        <f>'Data_Raw++ (2018)'!BA12/100</f>
        <v>0</v>
      </c>
      <c r="BB11" s="32">
        <f>'Data_Raw++ (2018)'!BB12/100</f>
        <v>0</v>
      </c>
      <c r="BC11" s="32">
        <f>'Data_Raw++ (2018)'!BC12/100</f>
        <v>0</v>
      </c>
      <c r="BD11" s="32">
        <f>'Data_Raw++ (2018)'!BD12/100</f>
        <v>0</v>
      </c>
      <c r="BE11" s="32">
        <f>'Data_Raw++ (2018)'!BE12/100</f>
        <v>0</v>
      </c>
      <c r="BF11" s="32">
        <f>'Data_Raw++ (2018)'!BF12/100</f>
        <v>0</v>
      </c>
      <c r="BG11" s="32">
        <f>'Data_Raw++ (2018)'!BG12/100</f>
        <v>0</v>
      </c>
      <c r="BH11" s="32">
        <f>'Data_Raw++ (2018)'!BH12/100</f>
        <v>0</v>
      </c>
      <c r="BI11" s="32">
        <f>'Data_Raw++ (2018)'!BI12/100</f>
        <v>0</v>
      </c>
      <c r="BJ11" s="32">
        <f>'Data_Raw++ (2018)'!BJ12/100</f>
        <v>0</v>
      </c>
      <c r="BK11" s="32">
        <f>'Data_Raw++ (2018)'!BK12/100</f>
        <v>0</v>
      </c>
      <c r="BL11" s="32">
        <f>'Data_Raw++ (2018)'!BL12/100</f>
        <v>0</v>
      </c>
      <c r="BM11" s="32">
        <f>'Data_Raw++ (2018)'!BM12/100</f>
        <v>0</v>
      </c>
      <c r="BN11" s="32">
        <f>'Data_Raw++ (2018)'!BN12/100</f>
        <v>0</v>
      </c>
      <c r="BO11" s="32">
        <f>'Data_Raw++ (2018)'!BO12/100</f>
        <v>0</v>
      </c>
    </row>
    <row r="12" spans="1:67" x14ac:dyDescent="0.2">
      <c r="A12" s="34" t="s">
        <v>48</v>
      </c>
      <c r="B12" s="32">
        <f>'Data_Raw++ (2018)'!B13/100</f>
        <v>8000</v>
      </c>
      <c r="C12" s="32">
        <f>'Data_Raw++ (2018)'!C13/100</f>
        <v>9391.3043478260879</v>
      </c>
      <c r="D12" s="32">
        <f>'Data_Raw++ (2018)'!D13/100</f>
        <v>8000</v>
      </c>
      <c r="E12" s="32">
        <f>'Data_Raw++ (2018)'!E13/100</f>
        <v>5559.3220338983056</v>
      </c>
      <c r="F12" s="32">
        <f>'Data_Raw++ (2018)'!F13/100</f>
        <v>4193.8745168004762</v>
      </c>
      <c r="G12" s="32">
        <f>'Data_Raw++ (2018)'!G13/100</f>
        <v>4923.2439979831679</v>
      </c>
      <c r="H12" s="32">
        <f>'Data_Raw++ (2018)'!H13/100</f>
        <v>2211.892230977945</v>
      </c>
      <c r="I12" s="32">
        <f>'Data_Raw++ (2018)'!I13/100</f>
        <v>3459.6263099911444</v>
      </c>
      <c r="J12" s="32">
        <f>'Data_Raw++ (2018)'!J13/100</f>
        <v>1413.086802672439</v>
      </c>
      <c r="K12" s="32">
        <f>'Data_Raw++ (2018)'!K13/100</f>
        <v>1470.7638150264163</v>
      </c>
      <c r="L12" s="32">
        <f>'Data_Raw++ (2018)'!L13/100</f>
        <v>1155.6001403778982</v>
      </c>
      <c r="M12" s="32">
        <f>'Data_Raw++ (2018)'!M13/100</f>
        <v>1303.1235625538002</v>
      </c>
      <c r="N12" s="32">
        <f>'Data_Raw++ (2018)'!N13/100</f>
        <v>765.32653673794618</v>
      </c>
      <c r="O12" s="32">
        <f>'Data_Raw++ (2018)'!O13/100</f>
        <v>531.83708485179307</v>
      </c>
      <c r="P12" s="32">
        <f>'Data_Raw++ (2018)'!P13/100</f>
        <v>273.9766800751662</v>
      </c>
      <c r="Q12" s="32">
        <f>'Data_Raw++ (2018)'!Q13/100</f>
        <v>487.06965346696211</v>
      </c>
      <c r="R12" s="32">
        <f>'Data_Raw++ (2018)'!R13/100</f>
        <v>414.91118628667141</v>
      </c>
      <c r="S12" s="32">
        <f>'Data_Raw++ (2018)'!S13/100</f>
        <v>382.99494118769667</v>
      </c>
      <c r="T12" s="32">
        <f>'Data_Raw++ (2018)'!T13/100</f>
        <v>134.56579014702859</v>
      </c>
      <c r="U12" s="32">
        <f>'Data_Raw++ (2018)'!U13/100</f>
        <v>157.96853625955529</v>
      </c>
      <c r="V12" s="32">
        <f>'Data_Raw++ (2018)'!V13/100</f>
        <v>140.08530573960562</v>
      </c>
      <c r="W12" s="32">
        <f>'Data_Raw++ (2018)'!W13/100</f>
        <v>62.936876491706883</v>
      </c>
      <c r="X12" s="32">
        <f>'Data_Raw++ (2018)'!X13/100</f>
        <v>62.936876491706883</v>
      </c>
      <c r="Y12" s="32">
        <f>'Data_Raw++ (2018)'!Y13/100</f>
        <v>111.88778042970114</v>
      </c>
      <c r="Z12" s="32">
        <f>'Data_Raw++ (2018)'!Z13/100</f>
        <v>71.534810438661395</v>
      </c>
      <c r="AA12" s="32">
        <f>'Data_Raw++ (2018)'!AA13/100</f>
        <v>29.218443700298312</v>
      </c>
      <c r="AB12" s="32">
        <f>'Data_Raw++ (2018)'!AB13/100</f>
        <v>7.1176128853926688</v>
      </c>
      <c r="AC12" s="32">
        <f>'Data_Raw++ (2018)'!AC13/100</f>
        <v>11.612947339324881</v>
      </c>
      <c r="AD12" s="32">
        <f>'Data_Raw++ (2018)'!AD13/100</f>
        <v>9.1244586237552614</v>
      </c>
      <c r="AE12" s="32">
        <f>'Data_Raw++ (2018)'!AE13/100</f>
        <v>4.9131700281759096</v>
      </c>
      <c r="AF12" s="32">
        <f>'Data_Raw++ (2018)'!AF13/100</f>
        <v>8.0162247828133264</v>
      </c>
      <c r="AG12" s="32">
        <f>'Data_Raw++ (2018)'!AG13/100</f>
        <v>5.344149855208884</v>
      </c>
      <c r="AH12" s="32">
        <f>'Data_Raw++ (2018)'!AH13/100</f>
        <v>1.7813832850696281</v>
      </c>
      <c r="AI12" s="32">
        <f>'Data_Raw++ (2018)'!AI13/100</f>
        <v>8.6973419212223</v>
      </c>
      <c r="AJ12" s="32">
        <f>'Data_Raw++ (2018)'!AJ13/100</f>
        <v>7.1160070264546098</v>
      </c>
      <c r="AK12" s="32">
        <f>'Data_Raw++ (2018)'!AK13/100</f>
        <v>7.7090076119924937</v>
      </c>
      <c r="AL12" s="32">
        <f>'Data_Raw++ (2018)'!AL13/100</f>
        <v>0.99471065961193461</v>
      </c>
      <c r="AM12" s="32">
        <f>'Data_Raw++ (2018)'!AM13/100</f>
        <v>13.74985585896391</v>
      </c>
      <c r="AN12" s="32">
        <f>'Data_Raw++ (2018)'!AN13/100</f>
        <v>9.9567921737324863</v>
      </c>
      <c r="AO12" s="32">
        <f>'Data_Raw++ (2018)'!AO13/100</f>
        <v>11.68840820394683</v>
      </c>
      <c r="AP12" s="32">
        <f>'Data_Raw++ (2018)'!AP13/100</f>
        <v>24.837867433387018</v>
      </c>
      <c r="AQ12" s="32">
        <f>'Data_Raw++ (2018)'!AQ13/100</f>
        <v>15.223209072075916</v>
      </c>
      <c r="AR12" s="32">
        <f>'Data_Raw++ (2018)'!AR13/100</f>
        <v>15.844564544405543</v>
      </c>
      <c r="AS12" s="32">
        <f>'Data_Raw++ (2018)'!AS13/100</f>
        <v>8.162351431966492</v>
      </c>
      <c r="AT12" s="32">
        <f>'Data_Raw++ (2018)'!AT13/100</f>
        <v>2.5775846627262604</v>
      </c>
      <c r="AU12" s="32">
        <f>'Data_Raw++ (2018)'!AU13/100</f>
        <v>3.5595216770981688</v>
      </c>
      <c r="AV12" s="32">
        <f>'Data_Raw++ (2018)'!AV13/100</f>
        <v>4.0139286997064456</v>
      </c>
      <c r="AW12" s="32">
        <f>'Data_Raw++ (2018)'!AW13/100</f>
        <v>3.5595216770981688</v>
      </c>
      <c r="AX12" s="32">
        <f>'Data_Raw++ (2018)'!AX13/100</f>
        <v>4.0139286997064456</v>
      </c>
      <c r="AY12" s="32">
        <f>'Data_Raw++ (2018)'!AY13/100</f>
        <v>0</v>
      </c>
      <c r="AZ12" s="32">
        <f>'Data_Raw++ (2018)'!AZ13/100</f>
        <v>0</v>
      </c>
      <c r="BA12" s="32">
        <f>'Data_Raw++ (2018)'!BA13/100</f>
        <v>0</v>
      </c>
      <c r="BB12" s="32">
        <f>'Data_Raw++ (2018)'!BB13/100</f>
        <v>1.6208731445611024</v>
      </c>
      <c r="BC12" s="32">
        <f>'Data_Raw++ (2018)'!BC13/100</f>
        <v>0</v>
      </c>
      <c r="BD12" s="32">
        <f>'Data_Raw++ (2018)'!BD13/100</f>
        <v>0</v>
      </c>
      <c r="BE12" s="32">
        <f>'Data_Raw++ (2018)'!BE13/100</f>
        <v>0</v>
      </c>
      <c r="BF12" s="32">
        <f>'Data_Raw++ (2018)'!BF13/100</f>
        <v>0</v>
      </c>
      <c r="BG12" s="32">
        <f>'Data_Raw++ (2018)'!BG13/100</f>
        <v>0</v>
      </c>
      <c r="BH12" s="32">
        <f>'Data_Raw++ (2018)'!BH13/100</f>
        <v>0</v>
      </c>
      <c r="BI12" s="32">
        <f>'Data_Raw++ (2018)'!BI13/100</f>
        <v>0</v>
      </c>
      <c r="BJ12" s="32">
        <f>'Data_Raw++ (2018)'!BJ13/100</f>
        <v>0</v>
      </c>
      <c r="BK12" s="32">
        <f>'Data_Raw++ (2018)'!BK13/100</f>
        <v>0</v>
      </c>
      <c r="BL12" s="32">
        <f>'Data_Raw++ (2018)'!BL13/100</f>
        <v>0</v>
      </c>
      <c r="BM12" s="32">
        <f>'Data_Raw++ (2018)'!BM13/100</f>
        <v>0</v>
      </c>
      <c r="BN12" s="32">
        <f>'Data_Raw++ (2018)'!BN13/100</f>
        <v>0</v>
      </c>
      <c r="BO12" s="32">
        <f>'Data_Raw++ (2018)'!BO13/100</f>
        <v>0</v>
      </c>
    </row>
    <row r="13" spans="1:67" x14ac:dyDescent="0.2">
      <c r="A13" s="34" t="s">
        <v>44</v>
      </c>
      <c r="B13" s="32">
        <f>'Data_Raw++ (2018)'!B14/100</f>
        <v>8000</v>
      </c>
      <c r="C13" s="32">
        <f>'Data_Raw++ (2018)'!C14/100</f>
        <v>3764.705882352941</v>
      </c>
      <c r="D13" s="32">
        <f>'Data_Raw++ (2018)'!D14/100</f>
        <v>5647.0588235294108</v>
      </c>
      <c r="E13" s="32">
        <f>'Data_Raw++ (2018)'!E14/100</f>
        <v>4620.3208556149721</v>
      </c>
      <c r="F13" s="32">
        <f>'Data_Raw++ (2018)'!F14/100</f>
        <v>5005.3475935828865</v>
      </c>
      <c r="G13" s="32">
        <f>'Data_Raw++ (2018)'!G14/100</f>
        <v>2939.6485867074093</v>
      </c>
      <c r="H13" s="32">
        <f>'Data_Raw++ (2018)'!H14/100</f>
        <v>5968.3774336180732</v>
      </c>
      <c r="I13" s="32">
        <f>'Data_Raw++ (2018)'!I14/100</f>
        <v>1683.388506917918</v>
      </c>
      <c r="J13" s="32">
        <f>'Data_Raw++ (2018)'!J14/100</f>
        <v>867.20013992741224</v>
      </c>
      <c r="K13" s="32">
        <f>'Data_Raw++ (2018)'!K14/100</f>
        <v>800.49243685607291</v>
      </c>
      <c r="L13" s="32">
        <f>'Data_Raw++ (2018)'!L14/100</f>
        <v>939.70851283104219</v>
      </c>
      <c r="M13" s="32">
        <f>'Data_Raw++ (2018)'!M14/100</f>
        <v>680.47857825696167</v>
      </c>
      <c r="N13" s="32">
        <f>'Data_Raw++ (2018)'!N14/100</f>
        <v>435.06007462330336</v>
      </c>
      <c r="O13" s="32">
        <f>'Data_Raw++ (2018)'!O14/100</f>
        <v>385.80799070368403</v>
      </c>
      <c r="P13" s="32">
        <f>'Data_Raw++ (2018)'!P14/100</f>
        <v>342.1316143976066</v>
      </c>
      <c r="Q13" s="32">
        <f>'Data_Raw++ (2018)'!Q14/100</f>
        <v>401.63276472762516</v>
      </c>
      <c r="R13" s="32">
        <f>'Data_Raw++ (2018)'!R14/100</f>
        <v>189.00365398947065</v>
      </c>
      <c r="S13" s="32">
        <f>'Data_Raw++ (2018)'!S14/100</f>
        <v>383.73469143316765</v>
      </c>
      <c r="T13" s="32">
        <f>'Data_Raw++ (2018)'!T14/100</f>
        <v>90.011841200372672</v>
      </c>
      <c r="U13" s="32">
        <f>'Data_Raw++ (2018)'!U14/100</f>
        <v>76.676753615132284</v>
      </c>
      <c r="V13" s="32">
        <f>'Data_Raw++ (2018)'!V14/100</f>
        <v>25.558917871710761</v>
      </c>
      <c r="W13" s="32">
        <f>'Data_Raw++ (2018)'!W14/100</f>
        <v>21.772411520346203</v>
      </c>
      <c r="X13" s="32">
        <f>'Data_Raw++ (2018)'!X14/100</f>
        <v>55.986201052318805</v>
      </c>
      <c r="Y13" s="32">
        <f>'Data_Raw++ (2018)'!Y14/100</f>
        <v>58.271352115678752</v>
      </c>
      <c r="Z13" s="32">
        <f>'Data_Raw++ (2018)'!Z14/100</f>
        <v>83.853896946952361</v>
      </c>
      <c r="AA13" s="32">
        <f>'Data_Raw++ (2018)'!AA14/100</f>
        <v>32.609848812703696</v>
      </c>
      <c r="AB13" s="32">
        <f>'Data_Raw++ (2018)'!AB14/100</f>
        <v>7.0959031016443257</v>
      </c>
      <c r="AC13" s="32">
        <f>'Data_Raw++ (2018)'!AC14/100</f>
        <v>37.253491283632712</v>
      </c>
      <c r="AD13" s="32">
        <f>'Data_Raw++ (2018)'!AD14/100</f>
        <v>6.0645218368704423</v>
      </c>
      <c r="AE13" s="32">
        <f>'Data_Raw++ (2018)'!AE14/100</f>
        <v>20.302964410392349</v>
      </c>
      <c r="AF13" s="32">
        <f>'Data_Raw++ (2018)'!AF14/100</f>
        <v>9.121621691625549</v>
      </c>
      <c r="AG13" s="32">
        <f>'Data_Raw++ (2018)'!AG14/100</f>
        <v>13.126236092827009</v>
      </c>
      <c r="AH13" s="32">
        <f>'Data_Raw++ (2018)'!AH14/100</f>
        <v>13.126236092827009</v>
      </c>
      <c r="AI13" s="32">
        <f>'Data_Raw++ (2018)'!AI14/100</f>
        <v>7.3835078022151928</v>
      </c>
      <c r="AJ13" s="32">
        <f>'Data_Raw++ (2018)'!AJ14/100</f>
        <v>13.126236092827009</v>
      </c>
      <c r="AK13" s="32">
        <f>'Data_Raw++ (2018)'!AK14/100</f>
        <v>4.6119207893716521</v>
      </c>
      <c r="AL13" s="32">
        <f>'Data_Raw++ (2018)'!AL14/100</f>
        <v>2.4833419635078124</v>
      </c>
      <c r="AM13" s="32">
        <f>'Data_Raw++ (2018)'!AM14/100</f>
        <v>6.385736477591518</v>
      </c>
      <c r="AN13" s="32">
        <f>'Data_Raw++ (2018)'!AN14/100</f>
        <v>4.4375456878178348</v>
      </c>
      <c r="AO13" s="32">
        <f>'Data_Raw++ (2018)'!AO14/100</f>
        <v>7.5558210360141507</v>
      </c>
      <c r="AP13" s="32">
        <f>'Data_Raw++ (2018)'!AP14/100</f>
        <v>2.2569335562120187</v>
      </c>
      <c r="AQ13" s="32">
        <f>'Data_Raw++ (2018)'!AQ14/100</f>
        <v>4.3811063149998013</v>
      </c>
      <c r="AR13" s="32">
        <f>'Data_Raw++ (2018)'!AR14/100</f>
        <v>1.0952765787499503</v>
      </c>
      <c r="AS13" s="32">
        <f>'Data_Raw++ (2018)'!AS14/100</f>
        <v>2.5556453504165506</v>
      </c>
      <c r="AT13" s="32">
        <f>'Data_Raw++ (2018)'!AT14/100</f>
        <v>4.5433695118516457</v>
      </c>
      <c r="AU13" s="32">
        <f>'Data_Raw++ (2018)'!AU14/100</f>
        <v>0</v>
      </c>
      <c r="AV13" s="32">
        <f>'Data_Raw++ (2018)'!AV14/100</f>
        <v>5.8823280047817796</v>
      </c>
      <c r="AW13" s="32">
        <f>'Data_Raw++ (2018)'!AW14/100</f>
        <v>1.3798053344549854</v>
      </c>
      <c r="AX13" s="32">
        <f>'Data_Raw++ (2018)'!AX14/100</f>
        <v>4.6193482936101677</v>
      </c>
      <c r="AY13" s="32">
        <f>'Data_Raw++ (2018)'!AY14/100</f>
        <v>0.7519869315179345</v>
      </c>
      <c r="AZ13" s="32">
        <f>'Data_Raw++ (2018)'!AZ14/100</f>
        <v>3.4257182435817013</v>
      </c>
      <c r="BA13" s="32">
        <f>'Data_Raw++ (2018)'!BA14/100</f>
        <v>0</v>
      </c>
      <c r="BB13" s="32">
        <f>'Data_Raw++ (2018)'!BB14/100</f>
        <v>1.2516154504101584</v>
      </c>
      <c r="BC13" s="32">
        <f>'Data_Raw++ (2018)'!BC14/100</f>
        <v>0</v>
      </c>
      <c r="BD13" s="32">
        <f>'Data_Raw++ (2018)'!BD14/100</f>
        <v>0</v>
      </c>
      <c r="BE13" s="32">
        <f>'Data_Raw++ (2018)'!BE14/100</f>
        <v>0</v>
      </c>
      <c r="BF13" s="32">
        <f>'Data_Raw++ (2018)'!BF14/100</f>
        <v>0</v>
      </c>
      <c r="BG13" s="32">
        <f>'Data_Raw++ (2018)'!BG14/100</f>
        <v>0</v>
      </c>
      <c r="BH13" s="32">
        <f>'Data_Raw++ (2018)'!BH14/100</f>
        <v>0</v>
      </c>
      <c r="BI13" s="32">
        <f>'Data_Raw++ (2018)'!BI14/100</f>
        <v>0</v>
      </c>
      <c r="BJ13" s="32">
        <f>'Data_Raw++ (2018)'!BJ14/100</f>
        <v>0.43887814494901661</v>
      </c>
      <c r="BK13" s="32">
        <f>'Data_Raw++ (2018)'!BK14/100</f>
        <v>0</v>
      </c>
      <c r="BL13" s="32">
        <f>'Data_Raw++ (2018)'!BL14/100</f>
        <v>0</v>
      </c>
      <c r="BM13" s="32">
        <f>'Data_Raw++ (2018)'!BM14/100</f>
        <v>0</v>
      </c>
      <c r="BN13" s="32">
        <f>'Data_Raw++ (2018)'!BN14/100</f>
        <v>0</v>
      </c>
      <c r="BO13" s="32">
        <f>'Data_Raw++ (2018)'!BO14/100</f>
        <v>0</v>
      </c>
    </row>
    <row r="14" spans="1:67" x14ac:dyDescent="0.2">
      <c r="A14" s="34" t="s">
        <v>55</v>
      </c>
      <c r="B14" s="32">
        <f>'Data_Raw++ (2018)'!B15/100</f>
        <v>7000</v>
      </c>
      <c r="C14" s="32">
        <f>'Data_Raw++ (2018)'!C15/100</f>
        <v>8217.391304347826</v>
      </c>
      <c r="D14" s="32">
        <f>'Data_Raw++ (2018)'!D15/100</f>
        <v>5710.3905674281505</v>
      </c>
      <c r="E14" s="32">
        <f>'Data_Raw++ (2018)'!E15/100</f>
        <v>4672.1377369866686</v>
      </c>
      <c r="F14" s="32">
        <f>'Data_Raw++ (2018)'!F15/100</f>
        <v>3524.5951349197676</v>
      </c>
      <c r="G14" s="32">
        <f>'Data_Raw++ (2018)'!G15/100</f>
        <v>4307.8384982352718</v>
      </c>
      <c r="H14" s="32">
        <f>'Data_Raw++ (2018)'!H15/100</f>
        <v>2027.2181168165987</v>
      </c>
      <c r="I14" s="32">
        <f>'Data_Raw++ (2018)'!I15/100</f>
        <v>1296.0902714073336</v>
      </c>
      <c r="J14" s="32">
        <f>'Data_Raw++ (2018)'!J15/100</f>
        <v>1461.548603927419</v>
      </c>
      <c r="K14" s="32">
        <f>'Data_Raw++ (2018)'!K15/100</f>
        <v>1349.1217882406941</v>
      </c>
      <c r="L14" s="32">
        <f>'Data_Raw++ (2018)'!L15/100</f>
        <v>792.34136769691565</v>
      </c>
      <c r="M14" s="32">
        <f>'Data_Raw++ (2018)'!M15/100</f>
        <v>485.62858020133541</v>
      </c>
      <c r="N14" s="32">
        <f>'Data_Raw++ (2018)'!N15/100</f>
        <v>863.33969813570764</v>
      </c>
      <c r="O14" s="32">
        <f>'Data_Raw++ (2018)'!O15/100</f>
        <v>464.8752220730733</v>
      </c>
      <c r="P14" s="32">
        <f>'Data_Raw++ (2018)'!P15/100</f>
        <v>273.02195582069385</v>
      </c>
      <c r="Q14" s="32">
        <f>'Data_Raw++ (2018)'!Q15/100</f>
        <v>320.50403509385802</v>
      </c>
      <c r="R14" s="32">
        <f>'Data_Raw++ (2018)'!R15/100</f>
        <v>295.84987854817666</v>
      </c>
      <c r="S14" s="32">
        <f>'Data_Raw++ (2018)'!S15/100</f>
        <v>120.84009123798764</v>
      </c>
      <c r="T14" s="32">
        <f>'Data_Raw++ (2018)'!T15/100</f>
        <v>116.10126413061558</v>
      </c>
      <c r="U14" s="32">
        <f>'Data_Raw++ (2018)'!U15/100</f>
        <v>116.10126413061558</v>
      </c>
      <c r="V14" s="32">
        <f>'Data_Raw++ (2018)'!V15/100</f>
        <v>174.15189619592337</v>
      </c>
      <c r="W14" s="32">
        <f>'Data_Raw++ (2018)'!W15/100</f>
        <v>46.293542026764435</v>
      </c>
      <c r="X14" s="32">
        <f>'Data_Raw++ (2018)'!X15/100</f>
        <v>63.929177084579457</v>
      </c>
      <c r="Y14" s="32">
        <f>'Data_Raw++ (2018)'!Y15/100</f>
        <v>52.305690341928646</v>
      </c>
      <c r="Z14" s="32">
        <f>'Data_Raw++ (2018)'!Z15/100</f>
        <v>41.097328125801077</v>
      </c>
      <c r="AA14" s="32">
        <f>'Data_Raw++ (2018)'!AA15/100</f>
        <v>56.753453126106251</v>
      </c>
      <c r="AB14" s="32">
        <f>'Data_Raw++ (2018)'!AB15/100</f>
        <v>14.16566190027612</v>
      </c>
      <c r="AC14" s="32">
        <f>'Data_Raw++ (2018)'!AC15/100</f>
        <v>15.346133725299131</v>
      </c>
      <c r="AD14" s="32">
        <f>'Data_Raw++ (2018)'!AD15/100</f>
        <v>12.057676498449316</v>
      </c>
      <c r="AE14" s="32">
        <f>'Data_Raw++ (2018)'!AE15/100</f>
        <v>9.4738886773530329</v>
      </c>
      <c r="AF14" s="32">
        <f>'Data_Raw++ (2018)'!AF15/100</f>
        <v>6.0570763674880048</v>
      </c>
      <c r="AG14" s="32">
        <f>'Data_Raw++ (2018)'!AG15/100</f>
        <v>7.1104809531380928</v>
      </c>
      <c r="AH14" s="32">
        <f>'Data_Raw++ (2018)'!AH15/100</f>
        <v>7.7030210325662676</v>
      </c>
      <c r="AI14" s="32">
        <f>'Data_Raw++ (2018)'!AI15/100</f>
        <v>9.8038449505388865</v>
      </c>
      <c r="AJ14" s="32">
        <f>'Data_Raw++ (2018)'!AJ15/100</f>
        <v>7.7030210325662676</v>
      </c>
      <c r="AK14" s="32">
        <f>'Data_Raw++ (2018)'!AK15/100</f>
        <v>17.145433911195884</v>
      </c>
      <c r="AL14" s="32">
        <f>'Data_Raw++ (2018)'!AL15/100</f>
        <v>1.4909072966257291</v>
      </c>
      <c r="AM14" s="32">
        <f>'Data_Raw++ (2018)'!AM15/100</f>
        <v>3.3184710795862999</v>
      </c>
      <c r="AN14" s="32">
        <f>'Data_Raw++ (2018)'!AN15/100</f>
        <v>4.2235086467462004</v>
      </c>
      <c r="AO14" s="32">
        <f>'Data_Raw++ (2018)'!AO15/100</f>
        <v>5.162066123800912</v>
      </c>
      <c r="AP14" s="32">
        <f>'Data_Raw++ (2018)'!AP15/100</f>
        <v>5.3727627002825828</v>
      </c>
      <c r="AQ14" s="32">
        <f>'Data_Raw++ (2018)'!AQ15/100</f>
        <v>0.87463578841809508</v>
      </c>
      <c r="AR14" s="32">
        <f>'Data_Raw++ (2018)'!AR15/100</f>
        <v>5.8533318147980209</v>
      </c>
      <c r="AS14" s="32">
        <f>'Data_Raw++ (2018)'!AS15/100</f>
        <v>2.2762957057547863</v>
      </c>
      <c r="AT14" s="32">
        <f>'Data_Raw++ (2018)'!AT15/100</f>
        <v>0</v>
      </c>
      <c r="AU14" s="32">
        <f>'Data_Raw++ (2018)'!AU15/100</f>
        <v>2.5886020738121869</v>
      </c>
      <c r="AV14" s="32">
        <f>'Data_Raw++ (2018)'!AV15/100</f>
        <v>3.0387937388230024</v>
      </c>
      <c r="AW14" s="32">
        <f>'Data_Raw++ (2018)'!AW15/100</f>
        <v>0</v>
      </c>
      <c r="AX14" s="32">
        <f>'Data_Raw++ (2018)'!AX15/100</f>
        <v>0</v>
      </c>
      <c r="AY14" s="32">
        <f>'Data_Raw++ (2018)'!AY15/100</f>
        <v>1.122704830147724</v>
      </c>
      <c r="AZ14" s="32">
        <f>'Data_Raw++ (2018)'!AZ15/100</f>
        <v>0</v>
      </c>
      <c r="BA14" s="32">
        <f>'Data_Raw++ (2018)'!BA15/100</f>
        <v>0</v>
      </c>
      <c r="BB14" s="32">
        <f>'Data_Raw++ (2018)'!BB15/100</f>
        <v>0</v>
      </c>
      <c r="BC14" s="32">
        <f>'Data_Raw++ (2018)'!BC15/100</f>
        <v>1.3337395726566947</v>
      </c>
      <c r="BD14" s="32">
        <f>'Data_Raw++ (2018)'!BD15/100</f>
        <v>0</v>
      </c>
      <c r="BE14" s="32">
        <f>'Data_Raw++ (2018)'!BE15/100</f>
        <v>0</v>
      </c>
      <c r="BF14" s="32">
        <f>'Data_Raw++ (2018)'!BF15/100</f>
        <v>0</v>
      </c>
      <c r="BG14" s="32">
        <f>'Data_Raw++ (2018)'!BG15/100</f>
        <v>0</v>
      </c>
      <c r="BH14" s="32">
        <f>'Data_Raw++ (2018)'!BH15/100</f>
        <v>0</v>
      </c>
      <c r="BI14" s="32">
        <f>'Data_Raw++ (2018)'!BI15/100</f>
        <v>0</v>
      </c>
      <c r="BJ14" s="32">
        <f>'Data_Raw++ (2018)'!BJ15/100</f>
        <v>0</v>
      </c>
      <c r="BK14" s="32">
        <f>'Data_Raw++ (2018)'!BK15/100</f>
        <v>0</v>
      </c>
      <c r="BL14" s="32">
        <f>'Data_Raw++ (2018)'!BL15/100</f>
        <v>0</v>
      </c>
      <c r="BM14" s="32">
        <f>'Data_Raw++ (2018)'!BM15/100</f>
        <v>0</v>
      </c>
      <c r="BN14" s="32">
        <f>'Data_Raw++ (2018)'!BN15/100</f>
        <v>0</v>
      </c>
      <c r="BO14" s="32">
        <f>'Data_Raw++ (2018)'!BO15/100</f>
        <v>0</v>
      </c>
    </row>
    <row r="15" spans="1:67" x14ac:dyDescent="0.2">
      <c r="A15" s="34" t="s">
        <v>60</v>
      </c>
      <c r="B15" s="32">
        <f>'Data_Raw++ (2018)'!B16/100</f>
        <v>7000</v>
      </c>
      <c r="C15" s="32">
        <f>'Data_Raw++ (2018)'!C16/100</f>
        <v>5962.9629629629626</v>
      </c>
      <c r="D15" s="32">
        <f>'Data_Raw++ (2018)'!D16/100</f>
        <v>4878.7878787878781</v>
      </c>
      <c r="E15" s="32">
        <f>'Data_Raw++ (2018)'!E16/100</f>
        <v>3390.3441191576781</v>
      </c>
      <c r="F15" s="32">
        <f>'Data_Raw++ (2018)'!F16/100</f>
        <v>3390.3441191576781</v>
      </c>
      <c r="G15" s="32">
        <f>'Data_Raw++ (2018)'!G16/100</f>
        <v>3672.8727957541519</v>
      </c>
      <c r="H15" s="32">
        <f>'Data_Raw++ (2018)'!H16/100</f>
        <v>2348.2301481051136</v>
      </c>
      <c r="I15" s="32">
        <f>'Data_Raw++ (2018)'!I16/100</f>
        <v>1055.0019505979499</v>
      </c>
      <c r="J15" s="32">
        <f>'Data_Raw++ (2018)'!J16/100</f>
        <v>1398.4909577693752</v>
      </c>
      <c r="K15" s="32">
        <f>'Data_Raw++ (2018)'!K16/100</f>
        <v>1455.5722213517988</v>
      </c>
      <c r="L15" s="32">
        <f>'Data_Raw++ (2018)'!L16/100</f>
        <v>623.81666629362803</v>
      </c>
      <c r="M15" s="32">
        <f>'Data_Raw++ (2018)'!M16/100</f>
        <v>451.72931007469617</v>
      </c>
      <c r="N15" s="32">
        <f>'Data_Raw++ (2018)'!N16/100</f>
        <v>706.55097216811453</v>
      </c>
      <c r="O15" s="32">
        <f>'Data_Raw++ (2018)'!O16/100</f>
        <v>397.43492184456437</v>
      </c>
      <c r="P15" s="32">
        <f>'Data_Raw++ (2018)'!P16/100</f>
        <v>264.95661456304299</v>
      </c>
      <c r="Q15" s="32">
        <f>'Data_Raw++ (2018)'!Q16/100</f>
        <v>254.56615908998248</v>
      </c>
      <c r="R15" s="32">
        <f>'Data_Raw++ (2018)'!R16/100</f>
        <v>192.04113755910959</v>
      </c>
      <c r="S15" s="32">
        <f>'Data_Raw++ (2018)'!S16/100</f>
        <v>108.02313987699914</v>
      </c>
      <c r="T15" s="32">
        <f>'Data_Raw++ (2018)'!T16/100</f>
        <v>108.02313987699914</v>
      </c>
      <c r="U15" s="32">
        <f>'Data_Raw++ (2018)'!U16/100</f>
        <v>75.066927711134994</v>
      </c>
      <c r="V15" s="32">
        <f>'Data_Raw++ (2018)'!V16/100</f>
        <v>159.51722138616188</v>
      </c>
      <c r="W15" s="32">
        <f>'Data_Raw++ (2018)'!W16/100</f>
        <v>37.417619831321915</v>
      </c>
      <c r="X15" s="32">
        <f>'Data_Raw++ (2018)'!X16/100</f>
        <v>45.732646460504569</v>
      </c>
      <c r="Y15" s="32">
        <f>'Data_Raw++ (2018)'!Y16/100</f>
        <v>51.57085664695196</v>
      </c>
      <c r="Z15" s="32">
        <f>'Data_Raw++ (2018)'!Z16/100</f>
        <v>31.607944396518942</v>
      </c>
      <c r="AA15" s="32">
        <f>'Data_Raw++ (2018)'!AA16/100</f>
        <v>37.104978204609189</v>
      </c>
      <c r="AB15" s="32">
        <f>'Data_Raw++ (2018)'!AB16/100</f>
        <v>8.6491704194944017</v>
      </c>
      <c r="AC15" s="32">
        <f>'Data_Raw++ (2018)'!AC16/100</f>
        <v>7.0765939795863275</v>
      </c>
      <c r="AD15" s="32">
        <f>'Data_Raw++ (2018)'!AD16/100</f>
        <v>4.5243797574404399</v>
      </c>
      <c r="AE15" s="32">
        <f>'Data_Raw++ (2018)'!AE16/100</f>
        <v>5.3112284109083419</v>
      </c>
      <c r="AF15" s="32">
        <f>'Data_Raw++ (2018)'!AF16/100</f>
        <v>2.3862040686689654</v>
      </c>
      <c r="AG15" s="32">
        <f>'Data_Raw++ (2018)'!AG16/100</f>
        <v>2.6908258646692591</v>
      </c>
      <c r="AH15" s="32">
        <f>'Data_Raw++ (2018)'!AH16/100</f>
        <v>7.6585043840586602</v>
      </c>
      <c r="AI15" s="32">
        <f>'Data_Raw++ (2018)'!AI16/100</f>
        <v>3.9452901372423401</v>
      </c>
      <c r="AJ15" s="32">
        <f>'Data_Raw++ (2018)'!AJ16/100</f>
        <v>3.099870822118981</v>
      </c>
      <c r="AK15" s="32">
        <f>'Data_Raw++ (2018)'!AK16/100</f>
        <v>2.3384990412476525</v>
      </c>
      <c r="AL15" s="32">
        <f>'Data_Raw++ (2018)'!AL16/100</f>
        <v>1.1004701370577186</v>
      </c>
      <c r="AM15" s="32">
        <f>'Data_Raw++ (2018)'!AM16/100</f>
        <v>2.1362067366414537</v>
      </c>
      <c r="AN15" s="32">
        <f>'Data_Raw++ (2018)'!AN16/100</f>
        <v>3.0740535966303848</v>
      </c>
      <c r="AO15" s="32">
        <f>'Data_Raw++ (2018)'!AO16/100</f>
        <v>1.5140860998328762</v>
      </c>
      <c r="AP15" s="32">
        <f>'Data_Raw++ (2018)'!AP16/100</f>
        <v>1.3426801262668899</v>
      </c>
      <c r="AQ15" s="32">
        <f>'Data_Raw++ (2018)'!AQ16/100</f>
        <v>0.66132006219115469</v>
      </c>
      <c r="AR15" s="32">
        <f>'Data_Raw++ (2018)'!AR16/100</f>
        <v>0.95165569925068594</v>
      </c>
      <c r="AS15" s="32">
        <f>'Data_Raw++ (2018)'!AS16/100</f>
        <v>1.9321494499938168</v>
      </c>
      <c r="AT15" s="32">
        <f>'Data_Raw++ (2018)'!AT16/100</f>
        <v>0.19109170384554233</v>
      </c>
      <c r="AU15" s="32">
        <f>'Data_Raw++ (2018)'!AU16/100</f>
        <v>0.76436681538216933</v>
      </c>
      <c r="AV15" s="32">
        <f>'Data_Raw++ (2018)'!AV16/100</f>
        <v>0.31220616402933676</v>
      </c>
      <c r="AW15" s="32">
        <f>'Data_Raw++ (2018)'!AW16/100</f>
        <v>0.10969405763192913</v>
      </c>
      <c r="AX15" s="32">
        <f>'Data_Raw++ (2018)'!AX16/100</f>
        <v>0.12877128504617766</v>
      </c>
      <c r="AY15" s="32">
        <f>'Data_Raw++ (2018)'!AY16/100</f>
        <v>0.6760492464924327</v>
      </c>
      <c r="AZ15" s="32">
        <f>'Data_Raw++ (2018)'!AZ16/100</f>
        <v>0.22534974883081091</v>
      </c>
      <c r="BA15" s="32">
        <f>'Data_Raw++ (2018)'!BA16/100</f>
        <v>0.21651250377862227</v>
      </c>
      <c r="BB15" s="32">
        <f>'Data_Raw++ (2018)'!BB16/100</f>
        <v>0.20802181735593117</v>
      </c>
      <c r="BC15" s="32">
        <f>'Data_Raw++ (2018)'!BC16/100</f>
        <v>0.13299755535871008</v>
      </c>
      <c r="BD15" s="32">
        <f>'Data_Raw++ (2018)'!BD16/100</f>
        <v>0.11329421382408636</v>
      </c>
      <c r="BE15" s="32">
        <f>'Data_Raw++ (2018)'!BE16/100</f>
        <v>0.24075020437618352</v>
      </c>
      <c r="BF15" s="32">
        <f>'Data_Raw++ (2018)'!BF16/100</f>
        <v>0</v>
      </c>
      <c r="BG15" s="32">
        <f>'Data_Raw++ (2018)'!BG16/100</f>
        <v>0</v>
      </c>
      <c r="BH15" s="32">
        <f>'Data_Raw++ (2018)'!BH16/100</f>
        <v>3.1051046430609949E-2</v>
      </c>
      <c r="BI15" s="32">
        <f>'Data_Raw++ (2018)'!BI16/100</f>
        <v>0</v>
      </c>
      <c r="BJ15" s="32">
        <f>'Data_Raw++ (2018)'!BJ16/100</f>
        <v>9.5073822576197481E-2</v>
      </c>
      <c r="BK15" s="32">
        <f>'Data_Raw++ (2018)'!BK16/100</f>
        <v>6.0784902958552482E-2</v>
      </c>
      <c r="BL15" s="32">
        <f>'Data_Raw++ (2018)'!BL16/100</f>
        <v>9.0828015915078424E-3</v>
      </c>
      <c r="BM15" s="32">
        <f>'Data_Raw++ (2018)'!BM16/100</f>
        <v>6.0552010610052283E-3</v>
      </c>
      <c r="BN15" s="32">
        <f>'Data_Raw++ (2018)'!BN16/100</f>
        <v>0</v>
      </c>
      <c r="BO15" s="32">
        <f>'Data_Raw++ (2018)'!BO16/100</f>
        <v>0</v>
      </c>
    </row>
    <row r="16" spans="1:67" x14ac:dyDescent="0.2">
      <c r="A16" s="34" t="s">
        <v>61</v>
      </c>
      <c r="B16" s="32">
        <f>'Data_Raw++ (2018)'!B17/100</f>
        <v>7000</v>
      </c>
      <c r="C16" s="32">
        <f>'Data_Raw++ (2018)'!C17/100</f>
        <v>3937.5</v>
      </c>
      <c r="D16" s="32">
        <f>'Data_Raw++ (2018)'!D17/100</f>
        <v>7994.318181818182</v>
      </c>
      <c r="E16" s="32">
        <f>'Data_Raw++ (2018)'!E17/100</f>
        <v>3937.5</v>
      </c>
      <c r="F16" s="32">
        <f>'Data_Raw++ (2018)'!F17/100</f>
        <v>2970.3947368421054</v>
      </c>
      <c r="G16" s="32">
        <f>'Data_Raw++ (2018)'!G17/100</f>
        <v>3217.9276315789484</v>
      </c>
      <c r="H16" s="32">
        <f>'Data_Raw++ (2018)'!H17/100</f>
        <v>1972.2782258064522</v>
      </c>
      <c r="I16" s="32">
        <f>'Data_Raw++ (2018)'!I17/100</f>
        <v>2315.2831346423568</v>
      </c>
      <c r="J16" s="32">
        <f>'Data_Raw++ (2018)'!J17/100</f>
        <v>813.47785811758479</v>
      </c>
      <c r="K16" s="32">
        <f>'Data_Raw++ (2018)'!K17/100</f>
        <v>846.68103599993538</v>
      </c>
      <c r="L16" s="32">
        <f>'Data_Raw++ (2018)'!L17/100</f>
        <v>380.39292921736234</v>
      </c>
      <c r="M16" s="32">
        <f>'Data_Raw++ (2018)'!M17/100</f>
        <v>594.97355595536158</v>
      </c>
      <c r="N16" s="32">
        <f>'Data_Raw++ (2018)'!N17/100</f>
        <v>506.82932544345618</v>
      </c>
      <c r="O16" s="32">
        <f>'Data_Raw++ (2018)'!O17/100</f>
        <v>249.6323543228963</v>
      </c>
      <c r="P16" s="32">
        <f>'Data_Raw++ (2018)'!P17/100</f>
        <v>96.012443970344734</v>
      </c>
      <c r="Q16" s="32">
        <f>'Data_Raw++ (2018)'!Q17/100</f>
        <v>123.76644736842108</v>
      </c>
      <c r="R16" s="32">
        <f>'Data_Raw++ (2018)'!R17/100</f>
        <v>79.760599415204709</v>
      </c>
      <c r="S16" s="32">
        <f>'Data_Raw++ (2018)'!S17/100</f>
        <v>153.00047523016224</v>
      </c>
      <c r="T16" s="32">
        <f>'Data_Raw++ (2018)'!T17/100</f>
        <v>110.79344758046231</v>
      </c>
      <c r="U16" s="32">
        <f>'Data_Raw++ (2018)'!U17/100</f>
        <v>48.955244279739162</v>
      </c>
      <c r="V16" s="32">
        <f>'Data_Raw++ (2018)'!V17/100</f>
        <v>20.980818977031067</v>
      </c>
      <c r="W16" s="32">
        <f>'Data_Raw++ (2018)'!W17/100</f>
        <v>30.771867832978902</v>
      </c>
      <c r="X16" s="32">
        <f>'Data_Raw++ (2018)'!X17/100</f>
        <v>54.797346070879676</v>
      </c>
      <c r="Y16" s="32">
        <f>'Data_Raw++ (2018)'!Y17/100</f>
        <v>38.079511676374011</v>
      </c>
      <c r="Z16" s="32">
        <f>'Data_Raw++ (2018)'!Z17/100</f>
        <v>27.574818800132906</v>
      </c>
      <c r="AA16" s="32">
        <f>'Data_Raw++ (2018)'!AA17/100</f>
        <v>38.079511676374011</v>
      </c>
      <c r="AB16" s="32">
        <f>'Data_Raw++ (2018)'!AB17/100</f>
        <v>9.5160699679258656</v>
      </c>
      <c r="AC16" s="32">
        <f>'Data_Raw++ (2018)'!AC17/100</f>
        <v>7.4769121176560374</v>
      </c>
      <c r="AD16" s="32">
        <f>'Data_Raw++ (2018)'!AD17/100</f>
        <v>7.4769121176560374</v>
      </c>
      <c r="AE16" s="32">
        <f>'Data_Raw++ (2018)'!AE17/100</f>
        <v>5.1958202851508055</v>
      </c>
      <c r="AF16" s="32">
        <f>'Data_Raw++ (2018)'!AF17/100</f>
        <v>3.7624905513161009</v>
      </c>
      <c r="AG16" s="32">
        <f>'Data_Raw++ (2018)'!AG17/100</f>
        <v>0</v>
      </c>
      <c r="AH16" s="32">
        <f>'Data_Raw++ (2018)'!AH17/100</f>
        <v>22.364157651203783</v>
      </c>
      <c r="AI16" s="32">
        <f>'Data_Raw++ (2018)'!AI17/100</f>
        <v>0</v>
      </c>
      <c r="AJ16" s="32">
        <f>'Data_Raw++ (2018)'!AJ17/100</f>
        <v>0</v>
      </c>
      <c r="AK16" s="32">
        <f>'Data_Raw++ (2018)'!AK17/100</f>
        <v>0</v>
      </c>
      <c r="AL16" s="32">
        <f>'Data_Raw++ (2018)'!AL17/100</f>
        <v>0</v>
      </c>
      <c r="AM16" s="32">
        <f>'Data_Raw++ (2018)'!AM17/100</f>
        <v>18.75558037791556</v>
      </c>
      <c r="AN16" s="32">
        <f>'Data_Raw++ (2018)'!AN17/100</f>
        <v>14.148946600883669</v>
      </c>
      <c r="AO16" s="32">
        <f>'Data_Raw++ (2018)'!AO17/100</f>
        <v>0</v>
      </c>
      <c r="AP16" s="32">
        <f>'Data_Raw++ (2018)'!AP17/100</f>
        <v>0</v>
      </c>
      <c r="AQ16" s="32">
        <f>'Data_Raw++ (2018)'!AQ17/100</f>
        <v>0</v>
      </c>
      <c r="AR16" s="32">
        <f>'Data_Raw++ (2018)'!AR17/100</f>
        <v>0</v>
      </c>
      <c r="AS16" s="32">
        <f>'Data_Raw++ (2018)'!AS17/100</f>
        <v>7.7994180541970879</v>
      </c>
      <c r="AT16" s="32">
        <f>'Data_Raw++ (2018)'!AT17/100</f>
        <v>0</v>
      </c>
      <c r="AU16" s="32">
        <f>'Data_Raw++ (2018)'!AU17/100</f>
        <v>0</v>
      </c>
      <c r="AV16" s="32">
        <f>'Data_Raw++ (2018)'!AV17/100</f>
        <v>0</v>
      </c>
      <c r="AW16" s="32">
        <f>'Data_Raw++ (2018)'!AW17/100</f>
        <v>0</v>
      </c>
      <c r="AX16" s="32">
        <f>'Data_Raw++ (2018)'!AX17/100</f>
        <v>0</v>
      </c>
      <c r="AY16" s="32">
        <f>'Data_Raw++ (2018)'!AY17/100</f>
        <v>0</v>
      </c>
      <c r="AZ16" s="32">
        <f>'Data_Raw++ (2018)'!AZ17/100</f>
        <v>0</v>
      </c>
      <c r="BA16" s="32">
        <f>'Data_Raw++ (2018)'!BA17/100</f>
        <v>0</v>
      </c>
      <c r="BB16" s="32">
        <f>'Data_Raw++ (2018)'!BB17/100</f>
        <v>0</v>
      </c>
      <c r="BC16" s="32">
        <f>'Data_Raw++ (2018)'!BC17/100</f>
        <v>0</v>
      </c>
      <c r="BD16" s="32">
        <f>'Data_Raw++ (2018)'!BD17/100</f>
        <v>0</v>
      </c>
      <c r="BE16" s="32">
        <f>'Data_Raw++ (2018)'!BE17/100</f>
        <v>0</v>
      </c>
      <c r="BF16" s="32">
        <f>'Data_Raw++ (2018)'!BF17/100</f>
        <v>0</v>
      </c>
      <c r="BG16" s="32">
        <f>'Data_Raw++ (2018)'!BG17/100</f>
        <v>0</v>
      </c>
      <c r="BH16" s="32">
        <f>'Data_Raw++ (2018)'!BH17/100</f>
        <v>0</v>
      </c>
      <c r="BI16" s="32">
        <f>'Data_Raw++ (2018)'!BI17/100</f>
        <v>0</v>
      </c>
      <c r="BJ16" s="32">
        <f>'Data_Raw++ (2018)'!BJ17/100</f>
        <v>0</v>
      </c>
      <c r="BK16" s="32">
        <f>'Data_Raw++ (2018)'!BK17/100</f>
        <v>0</v>
      </c>
      <c r="BL16" s="32">
        <f>'Data_Raw++ (2018)'!BL17/100</f>
        <v>0</v>
      </c>
      <c r="BM16" s="32">
        <f>'Data_Raw++ (2018)'!BM17/100</f>
        <v>0</v>
      </c>
      <c r="BN16" s="32">
        <f>'Data_Raw++ (2018)'!BN17/100</f>
        <v>0</v>
      </c>
      <c r="BO16" s="32">
        <f>'Data_Raw++ (2018)'!BO17/100</f>
        <v>0</v>
      </c>
    </row>
    <row r="17" spans="1:67" x14ac:dyDescent="0.2">
      <c r="A17" s="34" t="s">
        <v>57</v>
      </c>
      <c r="B17" s="32">
        <f>'Data_Raw++ (2018)'!B18/100</f>
        <v>7000</v>
      </c>
      <c r="C17" s="32">
        <f>'Data_Raw++ (2018)'!C18/100</f>
        <v>2090.909090909091</v>
      </c>
      <c r="D17" s="32">
        <f>'Data_Raw++ (2018)'!D18/100</f>
        <v>2265.151515151515</v>
      </c>
      <c r="E17" s="32">
        <f>'Data_Raw++ (2018)'!E18/100</f>
        <v>3542.9292929292928</v>
      </c>
      <c r="F17" s="32">
        <f>'Data_Raw++ (2018)'!F18/100</f>
        <v>3542.9292929292928</v>
      </c>
      <c r="G17" s="32">
        <f>'Data_Raw++ (2018)'!G18/100</f>
        <v>1244.8129948129949</v>
      </c>
      <c r="H17" s="32">
        <f>'Data_Raw++ (2018)'!H18/100</f>
        <v>1867.2194922194922</v>
      </c>
      <c r="I17" s="32">
        <f>'Data_Raw++ (2018)'!I18/100</f>
        <v>496.34948527353583</v>
      </c>
      <c r="J17" s="32">
        <f>'Data_Raw++ (2018)'!J18/100</f>
        <v>631.71752671177285</v>
      </c>
      <c r="K17" s="32">
        <f>'Data_Raw++ (2018)'!K18/100</f>
        <v>1173.1896924647212</v>
      </c>
      <c r="L17" s="32">
        <f>'Data_Raw++ (2018)'!L18/100</f>
        <v>412.20178383895609</v>
      </c>
      <c r="M17" s="32">
        <f>'Data_Raw++ (2018)'!M18/100</f>
        <v>149.09426223962242</v>
      </c>
      <c r="N17" s="32">
        <f>'Data_Raw++ (2018)'!N18/100</f>
        <v>152.33544185352724</v>
      </c>
      <c r="O17" s="32">
        <f>'Data_Raw++ (2018)'!O18/100</f>
        <v>329.50932215638096</v>
      </c>
      <c r="P17" s="32">
        <f>'Data_Raw++ (2018)'!P18/100</f>
        <v>248.57720794253302</v>
      </c>
      <c r="Q17" s="32">
        <f>'Data_Raw++ (2018)'!Q18/100</f>
        <v>116.97750962001554</v>
      </c>
      <c r="R17" s="32">
        <f>'Data_Raw++ (2018)'!R18/100</f>
        <v>38.196737835107115</v>
      </c>
      <c r="S17" s="32">
        <f>'Data_Raw++ (2018)'!S18/100</f>
        <v>50.350245328095745</v>
      </c>
      <c r="T17" s="32">
        <f>'Data_Raw++ (2018)'!T18/100</f>
        <v>36.460522478965885</v>
      </c>
      <c r="U17" s="32">
        <f>'Data_Raw++ (2018)'!U18/100</f>
        <v>24.801776936501792</v>
      </c>
      <c r="V17" s="32">
        <f>'Data_Raw++ (2018)'!V18/100</f>
        <v>99.207107746007168</v>
      </c>
      <c r="W17" s="32">
        <f>'Data_Raw++ (2018)'!W18/100</f>
        <v>126.26359167673641</v>
      </c>
      <c r="X17" s="32">
        <f>'Data_Raw++ (2018)'!X18/100</f>
        <v>0</v>
      </c>
      <c r="Y17" s="32">
        <f>'Data_Raw++ (2018)'!Y18/100</f>
        <v>21.032509924875381</v>
      </c>
      <c r="Z17" s="32">
        <f>'Data_Raw++ (2018)'!Z18/100</f>
        <v>17.916582528597544</v>
      </c>
      <c r="AA17" s="32">
        <f>'Data_Raw++ (2018)'!AA18/100</f>
        <v>0</v>
      </c>
      <c r="AB17" s="32">
        <f>'Data_Raw++ (2018)'!AB18/100</f>
        <v>0</v>
      </c>
      <c r="AC17" s="32">
        <f>'Data_Raw++ (2018)'!AC18/100</f>
        <v>35.81211149370673</v>
      </c>
      <c r="AD17" s="32">
        <f>'Data_Raw++ (2018)'!AD18/100</f>
        <v>0</v>
      </c>
      <c r="AE17" s="32">
        <f>'Data_Raw++ (2018)'!AE18/100</f>
        <v>27.385732318716908</v>
      </c>
      <c r="AF17" s="32">
        <f>'Data_Raw++ (2018)'!AF18/100</f>
        <v>12.3524264638157</v>
      </c>
      <c r="AG17" s="32">
        <f>'Data_Raw++ (2018)'!AG18/100</f>
        <v>0</v>
      </c>
      <c r="AH17" s="32">
        <f>'Data_Raw++ (2018)'!AH18/100</f>
        <v>24.690337737897185</v>
      </c>
      <c r="AI17" s="32">
        <f>'Data_Raw++ (2018)'!AI18/100</f>
        <v>0</v>
      </c>
      <c r="AJ17" s="32">
        <f>'Data_Raw++ (2018)'!AJ18/100</f>
        <v>0</v>
      </c>
      <c r="AK17" s="32">
        <f>'Data_Raw++ (2018)'!AK18/100</f>
        <v>1.5440533079769625</v>
      </c>
      <c r="AL17" s="32">
        <f>'Data_Raw++ (2018)'!AL18/100</f>
        <v>44.694083590360187</v>
      </c>
      <c r="AM17" s="32">
        <f>'Data_Raw++ (2018)'!AM18/100</f>
        <v>9.1542098920014858</v>
      </c>
      <c r="AN17" s="32">
        <f>'Data_Raw++ (2018)'!AN18/100</f>
        <v>4.3400417305298404</v>
      </c>
      <c r="AO17" s="32">
        <f>'Data_Raw++ (2018)'!AO18/100</f>
        <v>0</v>
      </c>
      <c r="AP17" s="32">
        <f>'Data_Raw++ (2018)'!AP18/100</f>
        <v>0</v>
      </c>
      <c r="AQ17" s="32">
        <f>'Data_Raw++ (2018)'!AQ18/100</f>
        <v>0</v>
      </c>
      <c r="AR17" s="32">
        <f>'Data_Raw++ (2018)'!AR18/100</f>
        <v>0</v>
      </c>
      <c r="AS17" s="32">
        <f>'Data_Raw++ (2018)'!AS18/100</f>
        <v>3.1427888393491954</v>
      </c>
      <c r="AT17" s="32">
        <f>'Data_Raw++ (2018)'!AT18/100</f>
        <v>0</v>
      </c>
      <c r="AU17" s="32">
        <f>'Data_Raw++ (2018)'!AU18/100</f>
        <v>0</v>
      </c>
      <c r="AV17" s="32">
        <f>'Data_Raw++ (2018)'!AV18/100</f>
        <v>0</v>
      </c>
      <c r="AW17" s="32">
        <f>'Data_Raw++ (2018)'!AW18/100</f>
        <v>0</v>
      </c>
      <c r="AX17" s="32">
        <f>'Data_Raw++ (2018)'!AX18/100</f>
        <v>0</v>
      </c>
      <c r="AY17" s="32">
        <f>'Data_Raw++ (2018)'!AY18/100</f>
        <v>0</v>
      </c>
      <c r="AZ17" s="32">
        <f>'Data_Raw++ (2018)'!AZ18/100</f>
        <v>0</v>
      </c>
      <c r="BA17" s="32">
        <f>'Data_Raw++ (2018)'!BA18/100</f>
        <v>0</v>
      </c>
      <c r="BB17" s="32">
        <f>'Data_Raw++ (2018)'!BB18/100</f>
        <v>0</v>
      </c>
      <c r="BC17" s="32">
        <f>'Data_Raw++ (2018)'!BC18/100</f>
        <v>0</v>
      </c>
      <c r="BD17" s="32">
        <f>'Data_Raw++ (2018)'!BD18/100</f>
        <v>0</v>
      </c>
      <c r="BE17" s="32">
        <f>'Data_Raw++ (2018)'!BE18/100</f>
        <v>0</v>
      </c>
      <c r="BF17" s="32">
        <f>'Data_Raw++ (2018)'!BF18/100</f>
        <v>0</v>
      </c>
      <c r="BG17" s="32">
        <f>'Data_Raw++ (2018)'!BG18/100</f>
        <v>0</v>
      </c>
      <c r="BH17" s="32">
        <f>'Data_Raw++ (2018)'!BH18/100</f>
        <v>0</v>
      </c>
      <c r="BI17" s="32">
        <f>'Data_Raw++ (2018)'!BI18/100</f>
        <v>0</v>
      </c>
      <c r="BJ17" s="32">
        <f>'Data_Raw++ (2018)'!BJ18/100</f>
        <v>0</v>
      </c>
      <c r="BK17" s="32">
        <f>'Data_Raw++ (2018)'!BK18/100</f>
        <v>0</v>
      </c>
      <c r="BL17" s="32">
        <f>'Data_Raw++ (2018)'!BL18/100</f>
        <v>0</v>
      </c>
      <c r="BM17" s="32">
        <f>'Data_Raw++ (2018)'!BM18/100</f>
        <v>0</v>
      </c>
      <c r="BN17" s="32">
        <f>'Data_Raw++ (2018)'!BN18/100</f>
        <v>0</v>
      </c>
      <c r="BO17" s="32">
        <f>'Data_Raw++ (2018)'!BO18/100</f>
        <v>0</v>
      </c>
    </row>
    <row r="18" spans="1:67" x14ac:dyDescent="0.2">
      <c r="A18" s="34" t="s">
        <v>71</v>
      </c>
      <c r="B18" s="32">
        <f>'Data_Raw++ (2018)'!B19/100</f>
        <v>6000</v>
      </c>
      <c r="C18" s="32">
        <f>'Data_Raw++ (2018)'!C19/100</f>
        <v>6500</v>
      </c>
      <c r="D18" s="32">
        <f>'Data_Raw++ (2018)'!D19/100</f>
        <v>4903.5087719298244</v>
      </c>
      <c r="E18" s="32">
        <f>'Data_Raw++ (2018)'!E19/100</f>
        <v>4348.3945713339954</v>
      </c>
      <c r="F18" s="32">
        <f>'Data_Raw++ (2018)'!F19/100</f>
        <v>3557.7773765459965</v>
      </c>
      <c r="G18" s="32">
        <f>'Data_Raw++ (2018)'!G19/100</f>
        <v>3284.1021937347664</v>
      </c>
      <c r="H18" s="32">
        <f>'Data_Raw++ (2018)'!H19/100</f>
        <v>926.2852341303186</v>
      </c>
      <c r="I18" s="32">
        <f>'Data_Raw++ (2018)'!I19/100</f>
        <v>1227.8664731494921</v>
      </c>
      <c r="J18" s="32">
        <f>'Data_Raw++ (2018)'!J19/100</f>
        <v>1330.1886792452831</v>
      </c>
      <c r="K18" s="32">
        <f>'Data_Raw++ (2018)'!K19/100</f>
        <v>924.36840422129853</v>
      </c>
      <c r="L18" s="32">
        <f>'Data_Raw++ (2018)'!L19/100</f>
        <v>616.24560281419906</v>
      </c>
      <c r="M18" s="32">
        <f>'Data_Raw++ (2018)'!M19/100</f>
        <v>641.39848456171751</v>
      </c>
      <c r="N18" s="32">
        <f>'Data_Raw++ (2018)'!N19/100</f>
        <v>616.24560281419906</v>
      </c>
      <c r="O18" s="32">
        <f>'Data_Raw++ (2018)'!O19/100</f>
        <v>377.69891785386397</v>
      </c>
      <c r="P18" s="32">
        <f>'Data_Raw++ (2018)'!P19/100</f>
        <v>231.49288513623921</v>
      </c>
      <c r="Q18" s="32">
        <f>'Data_Raw++ (2018)'!Q19/100</f>
        <v>222.41473277795529</v>
      </c>
      <c r="R18" s="32">
        <f>'Data_Raw++ (2018)'!R19/100</f>
        <v>174.75443289696486</v>
      </c>
      <c r="S18" s="32">
        <f>'Data_Raw++ (2018)'!S19/100</f>
        <v>154.97091219164807</v>
      </c>
      <c r="T18" s="32">
        <f>'Data_Raw++ (2018)'!T19/100</f>
        <v>112.22031572498653</v>
      </c>
      <c r="U18" s="32">
        <f>'Data_Raw++ (2018)'!U19/100</f>
        <v>103.5879837461414</v>
      </c>
      <c r="V18" s="32">
        <f>'Data_Raw++ (2018)'!V19/100</f>
        <v>91.861042189974427</v>
      </c>
      <c r="W18" s="32">
        <f>'Data_Raw++ (2018)'!W19/100</f>
        <v>53.950135889350058</v>
      </c>
      <c r="X18" s="32">
        <f>'Data_Raw++ (2018)'!X19/100</f>
        <v>91.861042189974427</v>
      </c>
      <c r="Y18" s="32">
        <f>'Data_Raw++ (2018)'!Y19/100</f>
        <v>43.228725736458557</v>
      </c>
      <c r="Z18" s="32">
        <f>'Data_Raw++ (2018)'!Z19/100</f>
        <v>44.993163521620126</v>
      </c>
      <c r="AA18" s="32">
        <f>'Data_Raw++ (2018)'!AA19/100</f>
        <v>38.327509666565291</v>
      </c>
      <c r="AB18" s="32">
        <f>'Data_Raw++ (2018)'!AB19/100</f>
        <v>9.5205534011748174</v>
      </c>
      <c r="AC18" s="32">
        <f>'Data_Raw++ (2018)'!AC19/100</f>
        <v>13.700308552910105</v>
      </c>
      <c r="AD18" s="32">
        <f>'Data_Raw++ (2018)'!AD19/100</f>
        <v>11.670633211738238</v>
      </c>
      <c r="AE18" s="32">
        <f>'Data_Raw++ (2018)'!AE19/100</f>
        <v>11.212961321081837</v>
      </c>
      <c r="AF18" s="32">
        <f>'Data_Raw++ (2018)'!AF19/100</f>
        <v>18.294831629133522</v>
      </c>
      <c r="AG18" s="32">
        <f>'Data_Raw++ (2018)'!AG19/100</f>
        <v>11.212961321081837</v>
      </c>
      <c r="AH18" s="32">
        <f>'Data_Raw++ (2018)'!AH19/100</f>
        <v>4.147259666701502</v>
      </c>
      <c r="AI18" s="32">
        <f>'Data_Raw++ (2018)'!AI19/100</f>
        <v>6.2208895000522526</v>
      </c>
      <c r="AJ18" s="32">
        <f>'Data_Raw++ (2018)'!AJ19/100</f>
        <v>4.147259666701502</v>
      </c>
      <c r="AK18" s="32">
        <f>'Data_Raw++ (2018)'!AK19/100</f>
        <v>9.6769392223035045</v>
      </c>
      <c r="AL18" s="32">
        <f>'Data_Raw++ (2018)'!AL19/100</f>
        <v>0</v>
      </c>
      <c r="AM18" s="32">
        <f>'Data_Raw++ (2018)'!AM19/100</f>
        <v>10.810323239287646</v>
      </c>
      <c r="AN18" s="32">
        <f>'Data_Raw++ (2018)'!AN19/100</f>
        <v>7.8281651043117435</v>
      </c>
      <c r="AO18" s="32">
        <f>'Data_Raw++ (2018)'!AO19/100</f>
        <v>6.4048623580732444</v>
      </c>
      <c r="AP18" s="32">
        <f>'Data_Raw++ (2018)'!AP19/100</f>
        <v>8.4901663816319743</v>
      </c>
      <c r="AQ18" s="32">
        <f>'Data_Raw++ (2018)'!AQ19/100</f>
        <v>0</v>
      </c>
      <c r="AR18" s="32">
        <f>'Data_Raw++ (2018)'!AR19/100</f>
        <v>6.2393620387431872</v>
      </c>
      <c r="AS18" s="32">
        <f>'Data_Raw++ (2018)'!AS19/100</f>
        <v>4.1595746924954584</v>
      </c>
      <c r="AT18" s="32">
        <f>'Data_Raw++ (2018)'!AT19/100</f>
        <v>0.7210688712057951</v>
      </c>
      <c r="AU18" s="32">
        <f>'Data_Raw++ (2018)'!AU19/100</f>
        <v>6.6684369407100039</v>
      </c>
      <c r="AV18" s="32">
        <f>'Data_Raw++ (2018)'!AV19/100</f>
        <v>10.002655411065005</v>
      </c>
      <c r="AW18" s="32">
        <f>'Data_Raw++ (2018)'!AW19/100</f>
        <v>4.4939466339567415</v>
      </c>
      <c r="AX18" s="32">
        <f>'Data_Raw++ (2018)'!AX19/100</f>
        <v>11.55586277303162</v>
      </c>
      <c r="AY18" s="32">
        <f>'Data_Raw++ (2018)'!AY19/100</f>
        <v>3.4517512179185359</v>
      </c>
      <c r="AZ18" s="32">
        <f>'Data_Raw++ (2018)'!AZ19/100</f>
        <v>9.3325125521501153</v>
      </c>
      <c r="BA18" s="32">
        <f>'Data_Raw++ (2018)'!BA19/100</f>
        <v>0</v>
      </c>
      <c r="BB18" s="32">
        <f>'Data_Raw++ (2018)'!BB19/100</f>
        <v>0</v>
      </c>
      <c r="BC18" s="32">
        <f>'Data_Raw++ (2018)'!BC19/100</f>
        <v>0</v>
      </c>
      <c r="BD18" s="32">
        <f>'Data_Raw++ (2018)'!BD19/100</f>
        <v>0</v>
      </c>
      <c r="BE18" s="32">
        <f>'Data_Raw++ (2018)'!BE19/100</f>
        <v>0</v>
      </c>
      <c r="BF18" s="32">
        <f>'Data_Raw++ (2018)'!BF19/100</f>
        <v>0</v>
      </c>
      <c r="BG18" s="32">
        <f>'Data_Raw++ (2018)'!BG19/100</f>
        <v>0</v>
      </c>
      <c r="BH18" s="32">
        <f>'Data_Raw++ (2018)'!BH19/100</f>
        <v>0</v>
      </c>
      <c r="BI18" s="32">
        <f>'Data_Raw++ (2018)'!BI19/100</f>
        <v>0</v>
      </c>
      <c r="BJ18" s="32">
        <f>'Data_Raw++ (2018)'!BJ19/100</f>
        <v>0</v>
      </c>
      <c r="BK18" s="32">
        <f>'Data_Raw++ (2018)'!BK19/100</f>
        <v>0</v>
      </c>
      <c r="BL18" s="32">
        <f>'Data_Raw++ (2018)'!BL19/100</f>
        <v>0</v>
      </c>
      <c r="BM18" s="32">
        <f>'Data_Raw++ (2018)'!BM19/100</f>
        <v>0</v>
      </c>
      <c r="BN18" s="32">
        <f>'Data_Raw++ (2018)'!BN19/100</f>
        <v>0</v>
      </c>
      <c r="BO18" s="32">
        <f>'Data_Raw++ (2018)'!BO19/100</f>
        <v>0</v>
      </c>
    </row>
    <row r="19" spans="1:67" x14ac:dyDescent="0.2">
      <c r="A19" s="34" t="s">
        <v>79</v>
      </c>
      <c r="B19" s="32">
        <f>'Data_Raw++ (2018)'!B20/100</f>
        <v>6000</v>
      </c>
      <c r="C19" s="32">
        <f>'Data_Raw++ (2018)'!C20/100</f>
        <v>6244.8979591836733</v>
      </c>
      <c r="D19" s="32">
        <f>'Data_Raw++ (2018)'!D20/100</f>
        <v>6244.8979591836733</v>
      </c>
      <c r="E19" s="32">
        <f>'Data_Raw++ (2018)'!E20/100</f>
        <v>3992.6396788223483</v>
      </c>
      <c r="F19" s="32">
        <f>'Data_Raw++ (2018)'!F20/100</f>
        <v>2891.2218363885972</v>
      </c>
      <c r="G19" s="32">
        <f>'Data_Raw++ (2018)'!G20/100</f>
        <v>3533.7155778082856</v>
      </c>
      <c r="H19" s="32">
        <f>'Data_Raw++ (2018)'!H20/100</f>
        <v>2075.3567679191519</v>
      </c>
      <c r="I19" s="32">
        <f>'Data_Raw++ (2018)'!I20/100</f>
        <v>2641.3631591698299</v>
      </c>
      <c r="J19" s="32">
        <f>'Data_Raw++ (2018)'!J20/100</f>
        <v>1360.7022335117308</v>
      </c>
      <c r="K19" s="32">
        <f>'Data_Raw++ (2018)'!K20/100</f>
        <v>985.33610012918439</v>
      </c>
      <c r="L19" s="32">
        <f>'Data_Raw++ (2018)'!L20/100</f>
        <v>530.5655923772531</v>
      </c>
      <c r="M19" s="32">
        <f>'Data_Raw++ (2018)'!M20/100</f>
        <v>732.6858180447781</v>
      </c>
      <c r="N19" s="32">
        <f>'Data_Raw++ (2018)'!N20/100</f>
        <v>762.59136163844266</v>
      </c>
      <c r="O19" s="32">
        <f>'Data_Raw++ (2018)'!O20/100</f>
        <v>375.60470050848664</v>
      </c>
      <c r="P19" s="32">
        <f>'Data_Raw++ (2018)'!P20/100</f>
        <v>153.41600443304384</v>
      </c>
      <c r="Q19" s="32">
        <f>'Data_Raw++ (2018)'!Q20/100</f>
        <v>239.95836590809421</v>
      </c>
      <c r="R19" s="32">
        <f>'Data_Raw++ (2018)'!R20/100</f>
        <v>173.7629546231027</v>
      </c>
      <c r="S19" s="32">
        <f>'Data_Raw++ (2018)'!S20/100</f>
        <v>131.08433418935817</v>
      </c>
      <c r="T19" s="32">
        <f>'Data_Raw++ (2018)'!T20/100</f>
        <v>121.00092386709986</v>
      </c>
      <c r="U19" s="32">
        <f>'Data_Raw++ (2018)'!U20/100</f>
        <v>99.000755891263523</v>
      </c>
      <c r="V19" s="32">
        <f>'Data_Raw++ (2018)'!V20/100</f>
        <v>53.308099326064969</v>
      </c>
      <c r="W19" s="32">
        <f>'Data_Raw++ (2018)'!W20/100</f>
        <v>29.985805870911541</v>
      </c>
      <c r="X19" s="32">
        <f>'Data_Raw++ (2018)'!X20/100</f>
        <v>66.742600164286969</v>
      </c>
      <c r="Y19" s="32">
        <f>'Data_Raw++ (2018)'!Y20/100</f>
        <v>34.382551599784193</v>
      </c>
      <c r="Z19" s="32">
        <f>'Data_Raw++ (2018)'!Z20/100</f>
        <v>20.19292713003199</v>
      </c>
      <c r="AA19" s="32">
        <f>'Data_Raw++ (2018)'!AA20/100</f>
        <v>29.058114650533838</v>
      </c>
      <c r="AB19" s="32">
        <f>'Data_Raw++ (2018)'!AB20/100</f>
        <v>6.912925475362</v>
      </c>
      <c r="AC19" s="32">
        <f>'Data_Raw++ (2018)'!AC20/100</f>
        <v>3.1058070976264061</v>
      </c>
      <c r="AD19" s="32">
        <f>'Data_Raw++ (2018)'!AD20/100</f>
        <v>6.305729561847552</v>
      </c>
      <c r="AE19" s="32">
        <f>'Data_Raw++ (2018)'!AE20/100</f>
        <v>4.5662179585792613</v>
      </c>
      <c r="AF19" s="32">
        <f>'Data_Raw++ (2018)'!AF20/100</f>
        <v>2.0514892277674948</v>
      </c>
      <c r="AG19" s="32">
        <f>'Data_Raw++ (2018)'!AG20/100</f>
        <v>3.3471666347785436</v>
      </c>
      <c r="AH19" s="32">
        <f>'Data_Raw++ (2018)'!AH20/100</f>
        <v>3.0896922782571163</v>
      </c>
      <c r="AI19" s="32">
        <f>'Data_Raw++ (2018)'!AI20/100</f>
        <v>2.3308204906150176</v>
      </c>
      <c r="AJ19" s="32">
        <f>'Data_Raw++ (2018)'!AJ20/100</f>
        <v>1.1480160625417251</v>
      </c>
      <c r="AK19" s="32">
        <f>'Data_Raw++ (2018)'!AK20/100</f>
        <v>9.2884935969285021</v>
      </c>
      <c r="AL19" s="32">
        <f>'Data_Raw++ (2018)'!AL20/100</f>
        <v>0</v>
      </c>
      <c r="AM19" s="32">
        <f>'Data_Raw++ (2018)'!AM20/100</f>
        <v>5.9516620368563293</v>
      </c>
      <c r="AN19" s="32">
        <f>'Data_Raw++ (2018)'!AN20/100</f>
        <v>12.08367746876891</v>
      </c>
      <c r="AO19" s="32">
        <f>'Data_Raw++ (2018)'!AO20/100</f>
        <v>6.7970685761825118</v>
      </c>
      <c r="AP19" s="32">
        <f>'Data_Raw++ (2018)'!AP20/100</f>
        <v>11.573387035121575</v>
      </c>
      <c r="AQ19" s="32">
        <f>'Data_Raw++ (2018)'!AQ20/100</f>
        <v>3.6547538005647078</v>
      </c>
      <c r="AR19" s="32">
        <f>'Data_Raw++ (2018)'!AR20/100</f>
        <v>7.4202577162980434</v>
      </c>
      <c r="AS19" s="32">
        <f>'Data_Raw++ (2018)'!AS20/100</f>
        <v>5.5977382772072959</v>
      </c>
      <c r="AT19" s="32">
        <f>'Data_Raw++ (2018)'!AT20/100</f>
        <v>2.1768982189139492</v>
      </c>
      <c r="AU19" s="32">
        <f>'Data_Raw++ (2018)'!AU20/100</f>
        <v>5.8856877770636391</v>
      </c>
      <c r="AV19" s="32">
        <f>'Data_Raw++ (2018)'!AV20/100</f>
        <v>1.6600657832743595</v>
      </c>
      <c r="AW19" s="32">
        <f>'Data_Raw++ (2018)'!AW20/100</f>
        <v>1.6600657832743595</v>
      </c>
      <c r="AX19" s="32">
        <f>'Data_Raw++ (2018)'!AX20/100</f>
        <v>0</v>
      </c>
      <c r="AY19" s="32">
        <f>'Data_Raw++ (2018)'!AY20/100</f>
        <v>1.805606978091906</v>
      </c>
      <c r="AZ19" s="32">
        <f>'Data_Raw++ (2018)'!AZ20/100</f>
        <v>4.6429893722363289</v>
      </c>
      <c r="BA19" s="32">
        <f>'Data_Raw++ (2018)'!BA20/100</f>
        <v>0</v>
      </c>
      <c r="BB19" s="32">
        <f>'Data_Raw++ (2018)'!BB20/100</f>
        <v>0</v>
      </c>
      <c r="BC19" s="32">
        <f>'Data_Raw++ (2018)'!BC20/100</f>
        <v>0</v>
      </c>
      <c r="BD19" s="32">
        <f>'Data_Raw++ (2018)'!BD20/100</f>
        <v>0</v>
      </c>
      <c r="BE19" s="32">
        <f>'Data_Raw++ (2018)'!BE20/100</f>
        <v>0.90952411055249871</v>
      </c>
      <c r="BF19" s="32">
        <f>'Data_Raw++ (2018)'!BF20/100</f>
        <v>0</v>
      </c>
      <c r="BG19" s="32">
        <f>'Data_Raw++ (2018)'!BG20/100</f>
        <v>0</v>
      </c>
      <c r="BH19" s="32">
        <f>'Data_Raw++ (2018)'!BH20/100</f>
        <v>0</v>
      </c>
      <c r="BI19" s="32">
        <f>'Data_Raw++ (2018)'!BI20/100</f>
        <v>0</v>
      </c>
      <c r="BJ19" s="32">
        <f>'Data_Raw++ (2018)'!BJ20/100</f>
        <v>0</v>
      </c>
      <c r="BK19" s="32">
        <f>'Data_Raw++ (2018)'!BK20/100</f>
        <v>0</v>
      </c>
      <c r="BL19" s="32">
        <f>'Data_Raw++ (2018)'!BL20/100</f>
        <v>0</v>
      </c>
      <c r="BM19" s="32">
        <f>'Data_Raw++ (2018)'!BM20/100</f>
        <v>0</v>
      </c>
      <c r="BN19" s="32">
        <f>'Data_Raw++ (2018)'!BN20/100</f>
        <v>0</v>
      </c>
      <c r="BO19" s="32">
        <f>'Data_Raw++ (2018)'!BO20/100</f>
        <v>0</v>
      </c>
    </row>
    <row r="20" spans="1:67" x14ac:dyDescent="0.2">
      <c r="A20" s="34" t="s">
        <v>94</v>
      </c>
      <c r="B20" s="32">
        <f>'Data_Raw++ (2018)'!B21/100</f>
        <v>6000</v>
      </c>
      <c r="C20" s="32">
        <f>'Data_Raw++ (2018)'!C21/100</f>
        <v>5764.7058823529405</v>
      </c>
      <c r="D20" s="32">
        <f>'Data_Raw++ (2018)'!D21/100</f>
        <v>5321.2669683257918</v>
      </c>
      <c r="E20" s="32">
        <f>'Data_Raw++ (2018)'!E21/100</f>
        <v>4180.9954751131227</v>
      </c>
      <c r="F20" s="32">
        <f>'Data_Raw++ (2018)'!F21/100</f>
        <v>3561.5887380593263</v>
      </c>
      <c r="G20" s="32">
        <f>'Data_Raw++ (2018)'!G21/100</f>
        <v>4180.9954751131227</v>
      </c>
      <c r="H20" s="32">
        <f>'Data_Raw++ (2018)'!H21/100</f>
        <v>1791.8552036199096</v>
      </c>
      <c r="I20" s="32">
        <f>'Data_Raw++ (2018)'!I21/100</f>
        <v>629.570747217806</v>
      </c>
      <c r="J20" s="32">
        <f>'Data_Raw++ (2018)'!J21/100</f>
        <v>1993.6406995230529</v>
      </c>
      <c r="K20" s="32">
        <f>'Data_Raw++ (2018)'!K21/100</f>
        <v>1221.9088158367099</v>
      </c>
      <c r="L20" s="32">
        <f>'Data_Raw++ (2018)'!L21/100</f>
        <v>960.07121244312907</v>
      </c>
      <c r="M20" s="32">
        <f>'Data_Raw++ (2018)'!M21/100</f>
        <v>667.16813068081842</v>
      </c>
      <c r="N20" s="32">
        <f>'Data_Raw++ (2018)'!N21/100</f>
        <v>1088.5374763739669</v>
      </c>
      <c r="O20" s="32">
        <f>'Data_Raw++ (2018)'!O21/100</f>
        <v>466.51606130312871</v>
      </c>
      <c r="P20" s="32">
        <f>'Data_Raw++ (2018)'!P21/100</f>
        <v>366.54833388102969</v>
      </c>
      <c r="Q20" s="32">
        <f>'Data_Raw++ (2018)'!Q21/100</f>
        <v>254.7200286291901</v>
      </c>
      <c r="R20" s="32">
        <f>'Data_Raw++ (2018)'!R21/100</f>
        <v>517.15884600471918</v>
      </c>
      <c r="S20" s="32">
        <f>'Data_Raw++ (2018)'!S21/100</f>
        <v>98.50644685804177</v>
      </c>
      <c r="T20" s="32">
        <f>'Data_Raw++ (2018)'!T21/100</f>
        <v>83.912899175368906</v>
      </c>
      <c r="U20" s="32">
        <f>'Data_Raw++ (2018)'!U21/100</f>
        <v>74.413325683817718</v>
      </c>
      <c r="V20" s="32">
        <f>'Data_Raw++ (2018)'!V21/100</f>
        <v>68.689223708139423</v>
      </c>
      <c r="W20" s="32">
        <f>'Data_Raw++ (2018)'!W21/100</f>
        <v>87.42264835581382</v>
      </c>
      <c r="X20" s="32">
        <f>'Data_Raw++ (2018)'!X21/100</f>
        <v>19.19033744395913</v>
      </c>
      <c r="Y20" s="32">
        <f>'Data_Raw++ (2018)'!Y21/100</f>
        <v>26.500942184514987</v>
      </c>
      <c r="Z20" s="32">
        <f>'Data_Raw++ (2018)'!Z21/100</f>
        <v>32.390040447740546</v>
      </c>
      <c r="AA20" s="32">
        <f>'Data_Raw++ (2018)'!AA21/100</f>
        <v>39.587827213905115</v>
      </c>
      <c r="AB20" s="32">
        <f>'Data_Raw++ (2018)'!AB21/100</f>
        <v>9.8613277589837622</v>
      </c>
      <c r="AC20" s="32">
        <f>'Data_Raw++ (2018)'!AC21/100</f>
        <v>4.6406248277570645</v>
      </c>
      <c r="AD20" s="32">
        <f>'Data_Raw++ (2018)'!AD21/100</f>
        <v>19.783716370964331</v>
      </c>
      <c r="AE20" s="32">
        <f>'Data_Raw++ (2018)'!AE21/100</f>
        <v>2.956187503707314</v>
      </c>
      <c r="AF20" s="32">
        <f>'Data_Raw++ (2018)'!AF21/100</f>
        <v>2.6215247674385616</v>
      </c>
      <c r="AG20" s="32">
        <f>'Data_Raw++ (2018)'!AG21/100</f>
        <v>0.42675984586209148</v>
      </c>
      <c r="AH20" s="32">
        <f>'Data_Raw++ (2018)'!AH21/100</f>
        <v>20.91123244724248</v>
      </c>
      <c r="AI20" s="32">
        <f>'Data_Raw++ (2018)'!AI21/100</f>
        <v>3.9830918947128526</v>
      </c>
      <c r="AJ20" s="32">
        <f>'Data_Raw++ (2018)'!AJ21/100</f>
        <v>3.00478862232724</v>
      </c>
      <c r="AK20" s="32">
        <f>'Data_Raw++ (2018)'!AK21/100</f>
        <v>1.9210943650944647</v>
      </c>
      <c r="AL20" s="32">
        <f>'Data_Raw++ (2018)'!AL21/100</f>
        <v>1.1282617699761142</v>
      </c>
      <c r="AM20" s="32">
        <f>'Data_Raw++ (2018)'!AM21/100</f>
        <v>3.0504855262317165</v>
      </c>
      <c r="AN20" s="32">
        <f>'Data_Raw++ (2018)'!AN21/100</f>
        <v>9.659870833067103</v>
      </c>
      <c r="AO20" s="32">
        <f>'Data_Raw++ (2018)'!AO21/100</f>
        <v>4.3399419684794234</v>
      </c>
      <c r="AP20" s="32">
        <f>'Data_Raw++ (2018)'!AP21/100</f>
        <v>4.5170824569887884</v>
      </c>
      <c r="AQ20" s="32">
        <f>'Data_Raw++ (2018)'!AQ21/100</f>
        <v>1.2740488981250429</v>
      </c>
      <c r="AR20" s="32">
        <f>'Data_Raw++ (2018)'!AR21/100</f>
        <v>4.2652941372012307</v>
      </c>
      <c r="AS20" s="32">
        <f>'Data_Raw++ (2018)'!AS21/100</f>
        <v>1.2030316797234242</v>
      </c>
      <c r="AT20" s="32">
        <f>'Data_Raw++ (2018)'!AT21/100</f>
        <v>2.4425188648930125</v>
      </c>
      <c r="AU20" s="32">
        <f>'Data_Raw++ (2018)'!AU21/100</f>
        <v>1.1494206423025941</v>
      </c>
      <c r="AV20" s="32">
        <f>'Data_Raw++ (2018)'!AV21/100</f>
        <v>8.6515532216324298E-2</v>
      </c>
      <c r="AW20" s="32">
        <f>'Data_Raw++ (2018)'!AW21/100</f>
        <v>9.7560068243940173E-2</v>
      </c>
      <c r="AX20" s="32">
        <f>'Data_Raw++ (2018)'!AX21/100</f>
        <v>0.17344012132256034</v>
      </c>
      <c r="AY20" s="32">
        <f>'Data_Raw++ (2018)'!AY21/100</f>
        <v>0.65246521830867943</v>
      </c>
      <c r="AZ20" s="32">
        <f>'Data_Raw++ (2018)'!AZ21/100</f>
        <v>0</v>
      </c>
      <c r="BA20" s="32">
        <f>'Data_Raw++ (2018)'!BA21/100</f>
        <v>0.40249461804446263</v>
      </c>
      <c r="BB20" s="32">
        <f>'Data_Raw++ (2018)'!BB21/100</f>
        <v>0.51226587751113428</v>
      </c>
      <c r="BC20" s="32">
        <f>'Data_Raw++ (2018)'!BC21/100</f>
        <v>0</v>
      </c>
      <c r="BD20" s="32">
        <f>'Data_Raw++ (2018)'!BD21/100</f>
        <v>0</v>
      </c>
      <c r="BE20" s="32">
        <f>'Data_Raw++ (2018)'!BE21/100</f>
        <v>4.3837797661408322E-2</v>
      </c>
      <c r="BF20" s="32">
        <f>'Data_Raw++ (2018)'!BF21/100</f>
        <v>0.13151339298422496</v>
      </c>
      <c r="BG20" s="32">
        <f>'Data_Raw++ (2018)'!BG21/100</f>
        <v>0</v>
      </c>
      <c r="BH20" s="32">
        <f>'Data_Raw++ (2018)'!BH21/100</f>
        <v>0</v>
      </c>
      <c r="BI20" s="32">
        <f>'Data_Raw++ (2018)'!BI21/100</f>
        <v>0</v>
      </c>
      <c r="BJ20" s="32">
        <f>'Data_Raw++ (2018)'!BJ21/100</f>
        <v>0</v>
      </c>
      <c r="BK20" s="32">
        <f>'Data_Raw++ (2018)'!BK21/100</f>
        <v>6.3317456827548635E-2</v>
      </c>
      <c r="BL20" s="32">
        <f>'Data_Raw++ (2018)'!BL21/100</f>
        <v>0</v>
      </c>
      <c r="BM20" s="32">
        <f>'Data_Raw++ (2018)'!BM21/100</f>
        <v>0</v>
      </c>
      <c r="BN20" s="32">
        <f>'Data_Raw++ (2018)'!BN21/100</f>
        <v>0</v>
      </c>
      <c r="BO20" s="32">
        <f>'Data_Raw++ (2018)'!BO21/100</f>
        <v>0</v>
      </c>
    </row>
    <row r="21" spans="1:67" x14ac:dyDescent="0.2">
      <c r="A21" s="34" t="s">
        <v>78</v>
      </c>
      <c r="B21" s="32">
        <f>'Data_Raw++ (2018)'!B22/100</f>
        <v>6000</v>
      </c>
      <c r="C21" s="32">
        <f>'Data_Raw++ (2018)'!C22/100</f>
        <v>5538.4615384615372</v>
      </c>
      <c r="D21" s="32">
        <f>'Data_Raw++ (2018)'!D22/100</f>
        <v>6245.4991816693937</v>
      </c>
      <c r="E21" s="32">
        <f>'Data_Raw++ (2018)'!E22/100</f>
        <v>4340.0926516685622</v>
      </c>
      <c r="F21" s="32">
        <f>'Data_Raw++ (2018)'!F22/100</f>
        <v>4340.0926516685622</v>
      </c>
      <c r="G21" s="32">
        <f>'Data_Raw++ (2018)'!G22/100</f>
        <v>4517.2392905121778</v>
      </c>
      <c r="H21" s="32">
        <f>'Data_Raw++ (2018)'!H22/100</f>
        <v>2540.9471009130998</v>
      </c>
      <c r="I21" s="32">
        <f>'Data_Raw++ (2018)'!I22/100</f>
        <v>2078.9567189288996</v>
      </c>
      <c r="J21" s="32">
        <f>'Data_Raw++ (2018)'!J22/100</f>
        <v>1220.9745809582428</v>
      </c>
      <c r="K21" s="32">
        <f>'Data_Raw++ (2018)'!K22/100</f>
        <v>1220.9745809582428</v>
      </c>
      <c r="L21" s="32">
        <f>'Data_Raw++ (2018)'!L22/100</f>
        <v>286.40144491613103</v>
      </c>
      <c r="M21" s="32">
        <f>'Data_Raw++ (2018)'!M22/100</f>
        <v>1503.6075858096874</v>
      </c>
      <c r="N21" s="32">
        <f>'Data_Raw++ (2018)'!N22/100</f>
        <v>921.56593968980849</v>
      </c>
      <c r="O21" s="32">
        <f>'Data_Raw++ (2018)'!O22/100</f>
        <v>541.23713918290343</v>
      </c>
      <c r="P21" s="32">
        <f>'Data_Raw++ (2018)'!P22/100</f>
        <v>190.16440025345256</v>
      </c>
      <c r="Q21" s="32">
        <f>'Data_Raw++ (2018)'!Q22/100</f>
        <v>369.14265931552552</v>
      </c>
      <c r="R21" s="32">
        <f>'Data_Raw++ (2018)'!R22/100</f>
        <v>104.11716031976361</v>
      </c>
      <c r="S21" s="32">
        <f>'Data_Raw++ (2018)'!S22/100</f>
        <v>221.24896567949767</v>
      </c>
      <c r="T21" s="32">
        <f>'Data_Raw++ (2018)'!T22/100</f>
        <v>108.97337115557347</v>
      </c>
      <c r="U21" s="32">
        <f>'Data_Raw++ (2018)'!U22/100</f>
        <v>56.137797261962099</v>
      </c>
      <c r="V21" s="32">
        <f>'Data_Raw++ (2018)'!V22/100</f>
        <v>28.919471316768348</v>
      </c>
      <c r="W21" s="32">
        <f>'Data_Raw++ (2018)'!W22/100</f>
        <v>61.453876548132747</v>
      </c>
      <c r="X21" s="32">
        <f>'Data_Raw++ (2018)'!X22/100</f>
        <v>84.864877137897608</v>
      </c>
      <c r="Y21" s="32">
        <f>'Data_Raw++ (2018)'!Y22/100</f>
        <v>72.292302747097949</v>
      </c>
      <c r="Z21" s="32">
        <f>'Data_Raw++ (2018)'!Z22/100</f>
        <v>37.241489293959553</v>
      </c>
      <c r="AA21" s="32">
        <f>'Data_Raw++ (2018)'!AA22/100</f>
        <v>53.591411423014968</v>
      </c>
      <c r="AB21" s="32">
        <f>'Data_Raw++ (2018)'!AB22/100</f>
        <v>12.492158002704789</v>
      </c>
      <c r="AC21" s="32">
        <f>'Data_Raw++ (2018)'!AC22/100</f>
        <v>4.1640526675682628</v>
      </c>
      <c r="AD21" s="32">
        <f>'Data_Raw++ (2018)'!AD22/100</f>
        <v>8.8486119185825576</v>
      </c>
      <c r="AE21" s="32">
        <f>'Data_Raw++ (2018)'!AE22/100</f>
        <v>6.4076155272494386</v>
      </c>
      <c r="AF21" s="32">
        <f>'Data_Raw++ (2018)'!AF22/100</f>
        <v>2.7461209402497593</v>
      </c>
      <c r="AG21" s="32">
        <f>'Data_Raw++ (2018)'!AG22/100</f>
        <v>2.1576664530533818</v>
      </c>
      <c r="AH21" s="32">
        <f>'Data_Raw++ (2018)'!AH22/100</f>
        <v>2.6371478870652449</v>
      </c>
      <c r="AI21" s="32">
        <f>'Data_Raw++ (2018)'!AI22/100</f>
        <v>1.0255575116364843</v>
      </c>
      <c r="AJ21" s="32">
        <f>'Data_Raw++ (2018)'!AJ22/100</f>
        <v>1.9046068073248994</v>
      </c>
      <c r="AK21" s="32">
        <f>'Data_Raw++ (2018)'!AK22/100</f>
        <v>1.6889909423447222</v>
      </c>
      <c r="AL21" s="32">
        <f>'Data_Raw++ (2018)'!AL22/100</f>
        <v>19.423395836964303</v>
      </c>
      <c r="AM21" s="32">
        <f>'Data_Raw++ (2018)'!AM22/100</f>
        <v>3.9782858943179904</v>
      </c>
      <c r="AN21" s="32">
        <f>'Data_Raw++ (2018)'!AN22/100</f>
        <v>4.862349426388656</v>
      </c>
      <c r="AO21" s="32">
        <f>'Data_Raw++ (2018)'!AO22/100</f>
        <v>1.8909136658178107</v>
      </c>
      <c r="AP21" s="32">
        <f>'Data_Raw++ (2018)'!AP22/100</f>
        <v>0</v>
      </c>
      <c r="AQ21" s="32">
        <f>'Data_Raw++ (2018)'!AQ22/100</f>
        <v>0</v>
      </c>
      <c r="AR21" s="32">
        <f>'Data_Raw++ (2018)'!AR22/100</f>
        <v>0</v>
      </c>
      <c r="AS21" s="32">
        <f>'Data_Raw++ (2018)'!AS22/100</f>
        <v>21.889449736161044</v>
      </c>
      <c r="AT21" s="32">
        <f>'Data_Raw++ (2018)'!AT22/100</f>
        <v>0</v>
      </c>
      <c r="AU21" s="32">
        <f>'Data_Raw++ (2018)'!AU22/100</f>
        <v>2.2881644359476025</v>
      </c>
      <c r="AV21" s="32">
        <f>'Data_Raw++ (2018)'!AV22/100</f>
        <v>0</v>
      </c>
      <c r="AW21" s="32">
        <f>'Data_Raw++ (2018)'!AW22/100</f>
        <v>0</v>
      </c>
      <c r="AX21" s="32">
        <f>'Data_Raw++ (2018)'!AX22/100</f>
        <v>0</v>
      </c>
      <c r="AY21" s="32">
        <f>'Data_Raw++ (2018)'!AY22/100</f>
        <v>0.92616179550260114</v>
      </c>
      <c r="AZ21" s="32">
        <f>'Data_Raw++ (2018)'!AZ22/100</f>
        <v>0</v>
      </c>
      <c r="BA21" s="32">
        <f>'Data_Raw++ (2018)'!BA22/100</f>
        <v>0</v>
      </c>
      <c r="BB21" s="32">
        <f>'Data_Raw++ (2018)'!BB22/100</f>
        <v>0</v>
      </c>
      <c r="BC21" s="32">
        <f>'Data_Raw++ (2018)'!BC22/100</f>
        <v>0</v>
      </c>
      <c r="BD21" s="32">
        <f>'Data_Raw++ (2018)'!BD22/100</f>
        <v>0</v>
      </c>
      <c r="BE21" s="32">
        <f>'Data_Raw++ (2018)'!BE22/100</f>
        <v>0</v>
      </c>
      <c r="BF21" s="32">
        <f>'Data_Raw++ (2018)'!BF22/100</f>
        <v>0</v>
      </c>
      <c r="BG21" s="32">
        <f>'Data_Raw++ (2018)'!BG22/100</f>
        <v>0</v>
      </c>
      <c r="BH21" s="32">
        <f>'Data_Raw++ (2018)'!BH22/100</f>
        <v>0</v>
      </c>
      <c r="BI21" s="32">
        <f>'Data_Raw++ (2018)'!BI22/100</f>
        <v>0</v>
      </c>
      <c r="BJ21" s="32">
        <f>'Data_Raw++ (2018)'!BJ22/100</f>
        <v>0</v>
      </c>
      <c r="BK21" s="32">
        <f>'Data_Raw++ (2018)'!BK22/100</f>
        <v>0</v>
      </c>
      <c r="BL21" s="32">
        <f>'Data_Raw++ (2018)'!BL22/100</f>
        <v>0</v>
      </c>
      <c r="BM21" s="32">
        <f>'Data_Raw++ (2018)'!BM22/100</f>
        <v>0</v>
      </c>
      <c r="BN21" s="32">
        <f>'Data_Raw++ (2018)'!BN22/100</f>
        <v>0</v>
      </c>
      <c r="BO21" s="32">
        <f>'Data_Raw++ (2018)'!BO22/100</f>
        <v>0</v>
      </c>
    </row>
    <row r="22" spans="1:67" x14ac:dyDescent="0.2">
      <c r="A22" s="34" t="s">
        <v>81</v>
      </c>
      <c r="B22" s="32">
        <f>'Data_Raw++ (2018)'!B23/100</f>
        <v>6000</v>
      </c>
      <c r="C22" s="32">
        <f>'Data_Raw++ (2018)'!C23/100</f>
        <v>4909.090909090909</v>
      </c>
      <c r="D22" s="32">
        <f>'Data_Raw++ (2018)'!D23/100</f>
        <v>4716.5775401069513</v>
      </c>
      <c r="E22" s="32">
        <f>'Data_Raw++ (2018)'!E23/100</f>
        <v>3558.1198986771738</v>
      </c>
      <c r="F22" s="32">
        <f>'Data_Raw++ (2018)'!F23/100</f>
        <v>3284.418368009699</v>
      </c>
      <c r="G22" s="32">
        <f>'Data_Raw++ (2018)'!G23/100</f>
        <v>3703.7058192449795</v>
      </c>
      <c r="H22" s="32">
        <f>'Data_Raw++ (2018)'!H23/100</f>
        <v>2083.3345233253008</v>
      </c>
      <c r="I22" s="32">
        <f>'Data_Raw++ (2018)'!I23/100</f>
        <v>980.39271685896495</v>
      </c>
      <c r="J22" s="32">
        <f>'Data_Raw++ (2018)'!J23/100</f>
        <v>1299.590345603744</v>
      </c>
      <c r="K22" s="32">
        <f>'Data_Raw++ (2018)'!K23/100</f>
        <v>1299.590345603744</v>
      </c>
      <c r="L22" s="32">
        <f>'Data_Raw++ (2018)'!L23/100</f>
        <v>611.57192734293835</v>
      </c>
      <c r="M22" s="32">
        <f>'Data_Raw++ (2018)'!M23/100</f>
        <v>442.86243014488645</v>
      </c>
      <c r="N22" s="32">
        <f>'Data_Raw++ (2018)'!N23/100</f>
        <v>664.29364521732964</v>
      </c>
      <c r="O22" s="32">
        <f>'Data_Raw++ (2018)'!O23/100</f>
        <v>407.14771803642782</v>
      </c>
      <c r="P22" s="32">
        <f>'Data_Raw++ (2018)'!P23/100</f>
        <v>200.53544321197191</v>
      </c>
      <c r="Q22" s="32">
        <f>'Data_Raw++ (2018)'!Q23/100</f>
        <v>164.07445353706794</v>
      </c>
      <c r="R22" s="32">
        <f>'Data_Raw++ (2018)'!R23/100</f>
        <v>134.24273471214647</v>
      </c>
      <c r="S22" s="32">
        <f>'Data_Raw++ (2018)'!S23/100</f>
        <v>85.827322193011682</v>
      </c>
      <c r="T22" s="32">
        <f>'Data_Raw++ (2018)'!T23/100</f>
        <v>85.827322193011682</v>
      </c>
      <c r="U22" s="32">
        <f>'Data_Raw++ (2018)'!U23/100</f>
        <v>59.642715422262356</v>
      </c>
      <c r="V22" s="32">
        <f>'Data_Raw++ (2018)'!V23/100</f>
        <v>93.287324122000086</v>
      </c>
      <c r="W22" s="32">
        <f>'Data_Raw++ (2018)'!W23/100</f>
        <v>38.103273232929617</v>
      </c>
      <c r="X22" s="32">
        <f>'Data_Raw++ (2018)'!X23/100</f>
        <v>48.495075023728603</v>
      </c>
      <c r="Y22" s="32">
        <f>'Data_Raw++ (2018)'!Y23/100</f>
        <v>52.536331275705997</v>
      </c>
      <c r="Z22" s="32">
        <f>'Data_Raw++ (2018)'!Z23/100</f>
        <v>33.588801963156293</v>
      </c>
      <c r="AA22" s="32">
        <f>'Data_Raw++ (2018)'!AA23/100</f>
        <v>39.430332739357389</v>
      </c>
      <c r="AB22" s="32">
        <f>'Data_Raw++ (2018)'!AB23/100</f>
        <v>8.9704006982038056</v>
      </c>
      <c r="AC22" s="32">
        <f>'Data_Raw++ (2018)'!AC23/100</f>
        <v>5.9802671321358707</v>
      </c>
      <c r="AD22" s="32">
        <f>'Data_Raw++ (2018)'!AD23/100</f>
        <v>4.5114295909095175</v>
      </c>
      <c r="AE22" s="32">
        <f>'Data_Raw++ (2018)'!AE23/100</f>
        <v>4.1643965454549381</v>
      </c>
      <c r="AF22" s="32">
        <f>'Data_Raw++ (2018)'!AF23/100</f>
        <v>1.5402562565381281</v>
      </c>
      <c r="AG22" s="32">
        <f>'Data_Raw++ (2018)'!AG23/100</f>
        <v>2.7382333449566727</v>
      </c>
      <c r="AH22" s="32">
        <f>'Data_Raw++ (2018)'!AH23/100</f>
        <v>31.489683467001736</v>
      </c>
      <c r="AI22" s="32">
        <f>'Data_Raw++ (2018)'!AI23/100</f>
        <v>2.7382333449566727</v>
      </c>
      <c r="AJ22" s="32">
        <f>'Data_Raw++ (2018)'!AJ23/100</f>
        <v>2.8499979712814354</v>
      </c>
      <c r="AK22" s="32">
        <f>'Data_Raw++ (2018)'!AK23/100</f>
        <v>1.9805070647887939</v>
      </c>
      <c r="AL22" s="32">
        <f>'Data_Raw++ (2018)'!AL23/100</f>
        <v>0.93200332460649127</v>
      </c>
      <c r="AM22" s="32">
        <f>'Data_Raw++ (2018)'!AM23/100</f>
        <v>2.2818012430020995</v>
      </c>
      <c r="AN22" s="32">
        <f>'Data_Raw++ (2018)'!AN23/100</f>
        <v>2.6786362417850733</v>
      </c>
      <c r="AO22" s="32">
        <f>'Data_Raw++ (2018)'!AO23/100</f>
        <v>0.94114246332989071</v>
      </c>
      <c r="AP22" s="32">
        <f>'Data_Raw++ (2018)'!AP23/100</f>
        <v>0.65401425417839865</v>
      </c>
      <c r="AQ22" s="32">
        <f>'Data_Raw++ (2018)'!AQ23/100</f>
        <v>0</v>
      </c>
      <c r="AR22" s="32">
        <f>'Data_Raw++ (2018)'!AR23/100</f>
        <v>4.8734119116059693</v>
      </c>
      <c r="AS22" s="32">
        <f>'Data_Raw++ (2018)'!AS23/100</f>
        <v>12.531630629843919</v>
      </c>
      <c r="AT22" s="32">
        <f>'Data_Raw++ (2018)'!AT23/100</f>
        <v>0</v>
      </c>
      <c r="AU22" s="32">
        <f>'Data_Raw++ (2018)'!AU23/100</f>
        <v>0.54863633867887052</v>
      </c>
      <c r="AV22" s="32">
        <f>'Data_Raw++ (2018)'!AV23/100</f>
        <v>0.12043236702706914</v>
      </c>
      <c r="AW22" s="32">
        <f>'Data_Raw++ (2018)'!AW23/100</f>
        <v>0</v>
      </c>
      <c r="AX22" s="32">
        <f>'Data_Raw++ (2018)'!AX23/100</f>
        <v>0</v>
      </c>
      <c r="AY22" s="32">
        <f>'Data_Raw++ (2018)'!AY23/100</f>
        <v>0.47270051325618945</v>
      </c>
      <c r="AZ22" s="32">
        <f>'Data_Raw++ (2018)'!AZ23/100</f>
        <v>0.37140754612986315</v>
      </c>
      <c r="BA22" s="32">
        <f>'Data_Raw++ (2018)'!BA23/100</f>
        <v>0</v>
      </c>
      <c r="BB22" s="32">
        <f>'Data_Raw++ (2018)'!BB23/100</f>
        <v>0.62832208140637513</v>
      </c>
      <c r="BC22" s="32">
        <f>'Data_Raw++ (2018)'!BC23/100</f>
        <v>0</v>
      </c>
      <c r="BD22" s="32">
        <f>'Data_Raw++ (2018)'!BD23/100</f>
        <v>0</v>
      </c>
      <c r="BE22" s="32">
        <f>'Data_Raw++ (2018)'!BE23/100</f>
        <v>0</v>
      </c>
      <c r="BF22" s="32">
        <f>'Data_Raw++ (2018)'!BF23/100</f>
        <v>0</v>
      </c>
      <c r="BG22" s="32">
        <f>'Data_Raw++ (2018)'!BG23/100</f>
        <v>0</v>
      </c>
      <c r="BH22" s="32">
        <f>'Data_Raw++ (2018)'!BH23/100</f>
        <v>0</v>
      </c>
      <c r="BI22" s="32">
        <f>'Data_Raw++ (2018)'!BI23/100</f>
        <v>0</v>
      </c>
      <c r="BJ22" s="32">
        <f>'Data_Raw++ (2018)'!BJ23/100</f>
        <v>0</v>
      </c>
      <c r="BK22" s="32">
        <f>'Data_Raw++ (2018)'!BK23/100</f>
        <v>0</v>
      </c>
      <c r="BL22" s="32">
        <f>'Data_Raw++ (2018)'!BL23/100</f>
        <v>0</v>
      </c>
      <c r="BM22" s="32">
        <f>'Data_Raw++ (2018)'!BM23/100</f>
        <v>0</v>
      </c>
      <c r="BN22" s="32">
        <f>'Data_Raw++ (2018)'!BN23/100</f>
        <v>0</v>
      </c>
      <c r="BO22" s="32">
        <f>'Data_Raw++ (2018)'!BO23/100</f>
        <v>0</v>
      </c>
    </row>
    <row r="23" spans="1:67" x14ac:dyDescent="0.2">
      <c r="A23" s="34" t="s">
        <v>73</v>
      </c>
      <c r="B23" s="32">
        <f>'Data_Raw++ (2018)'!B24/100</f>
        <v>6000</v>
      </c>
      <c r="C23" s="32">
        <f>'Data_Raw++ (2018)'!C24/100</f>
        <v>4169.4915254237285</v>
      </c>
      <c r="D23" s="32">
        <f>'Data_Raw++ (2018)'!D24/100</f>
        <v>5527.0003941663381</v>
      </c>
      <c r="E23" s="32">
        <f>'Data_Raw++ (2018)'!E24/100</f>
        <v>4901.3022363361852</v>
      </c>
      <c r="F23" s="32">
        <f>'Data_Raw++ (2018)'!F24/100</f>
        <v>3133.6194625755948</v>
      </c>
      <c r="G23" s="32">
        <f>'Data_Raw++ (2018)'!G24/100</f>
        <v>3394.7544177902282</v>
      </c>
      <c r="H23" s="32">
        <f>'Data_Raw++ (2018)'!H24/100</f>
        <v>1255.5940997306323</v>
      </c>
      <c r="I23" s="32">
        <f>'Data_Raw++ (2018)'!I24/100</f>
        <v>1664.3921787126988</v>
      </c>
      <c r="J23" s="32">
        <f>'Data_Raw++ (2018)'!J24/100</f>
        <v>1205.2495087229888</v>
      </c>
      <c r="K23" s="32">
        <f>'Data_Raw++ (2018)'!K24/100</f>
        <v>1026.6940259492126</v>
      </c>
      <c r="L23" s="32">
        <f>'Data_Raw++ (2018)'!L24/100</f>
        <v>552.83524474188368</v>
      </c>
      <c r="M23" s="32">
        <f>'Data_Raw++ (2018)'!M24/100</f>
        <v>368.55682982792246</v>
      </c>
      <c r="N23" s="32">
        <f>'Data_Raw++ (2018)'!N24/100</f>
        <v>508.95943166713107</v>
      </c>
      <c r="O23" s="32">
        <f>'Data_Raw++ (2018)'!O24/100</f>
        <v>325.40029237734615</v>
      </c>
      <c r="P23" s="32">
        <f>'Data_Raw++ (2018)'!P24/100</f>
        <v>414.14582666207696</v>
      </c>
      <c r="Q23" s="32">
        <f>'Data_Raw++ (2018)'!Q24/100</f>
        <v>153.1772235599463</v>
      </c>
      <c r="R23" s="32">
        <f>'Data_Raw++ (2018)'!R24/100</f>
        <v>102.11814903996419</v>
      </c>
      <c r="S23" s="32">
        <f>'Data_Raw++ (2018)'!S24/100</f>
        <v>77.036498398569478</v>
      </c>
      <c r="T23" s="32">
        <f>'Data_Raw++ (2018)'!T24/100</f>
        <v>98.046452507270246</v>
      </c>
      <c r="U23" s="32">
        <f>'Data_Raw++ (2018)'!U24/100</f>
        <v>55.151129535339514</v>
      </c>
      <c r="V23" s="32">
        <f>'Data_Raw++ (2018)'!V24/100</f>
        <v>93.905977316929437</v>
      </c>
      <c r="W23" s="32">
        <f>'Data_Raw++ (2018)'!W24/100</f>
        <v>23.476494329232359</v>
      </c>
      <c r="X23" s="32">
        <f>'Data_Raw++ (2018)'!X24/100</f>
        <v>43.599203754288673</v>
      </c>
      <c r="Y23" s="32">
        <f>'Data_Raw++ (2018)'!Y24/100</f>
        <v>38.663444838708827</v>
      </c>
      <c r="Z23" s="32">
        <f>'Data_Raw++ (2018)'!Z24/100</f>
        <v>41.885398575267899</v>
      </c>
      <c r="AA23" s="32">
        <f>'Data_Raw++ (2018)'!AA24/100</f>
        <v>26.77918925304013</v>
      </c>
      <c r="AB23" s="32">
        <f>'Data_Raw++ (2018)'!AB24/100</f>
        <v>6.5234105020405755</v>
      </c>
      <c r="AC23" s="32">
        <f>'Data_Raw++ (2018)'!AC24/100</f>
        <v>5.5569793165530825</v>
      </c>
      <c r="AD23" s="32">
        <f>'Data_Raw++ (2018)'!AD24/100</f>
        <v>3.4058905488551146</v>
      </c>
      <c r="AE23" s="32">
        <f>'Data_Raw++ (2018)'!AE24/100</f>
        <v>2.5693560280836834</v>
      </c>
      <c r="AF23" s="32">
        <f>'Data_Raw++ (2018)'!AF24/100</f>
        <v>1.445262765797072</v>
      </c>
      <c r="AG23" s="32">
        <f>'Data_Raw++ (2018)'!AG24/100</f>
        <v>1.7664322693075325</v>
      </c>
      <c r="AH23" s="32">
        <f>'Data_Raw++ (2018)'!AH24/100</f>
        <v>2.3415497523378921</v>
      </c>
      <c r="AI23" s="32">
        <f>'Data_Raw++ (2018)'!AI24/100</f>
        <v>1.1533006242858272</v>
      </c>
      <c r="AJ23" s="32">
        <f>'Data_Raw++ (2018)'!AJ24/100</f>
        <v>0.90616477622457869</v>
      </c>
      <c r="AK23" s="32">
        <f>'Data_Raw++ (2018)'!AK24/100</f>
        <v>1.8397890911226293</v>
      </c>
      <c r="AL23" s="32">
        <f>'Data_Raw++ (2018)'!AL24/100</f>
        <v>9.658892728393802</v>
      </c>
      <c r="AM23" s="32">
        <f>'Data_Raw++ (2018)'!AM24/100</f>
        <v>0.61652506776981719</v>
      </c>
      <c r="AN23" s="32">
        <f>'Data_Raw++ (2018)'!AN24/100</f>
        <v>1.3722654734231412</v>
      </c>
      <c r="AO23" s="32">
        <f>'Data_Raw++ (2018)'!AO24/100</f>
        <v>0.50755024359486045</v>
      </c>
      <c r="AP23" s="32">
        <f>'Data_Raw++ (2018)'!AP24/100</f>
        <v>0.41526838112306763</v>
      </c>
      <c r="AQ23" s="32">
        <f>'Data_Raw++ (2018)'!AQ24/100</f>
        <v>0</v>
      </c>
      <c r="AR23" s="32">
        <f>'Data_Raw++ (2018)'!AR24/100</f>
        <v>0</v>
      </c>
      <c r="AS23" s="32">
        <f>'Data_Raw++ (2018)'!AS24/100</f>
        <v>2.9754654725600149</v>
      </c>
      <c r="AT23" s="32">
        <f>'Data_Raw++ (2018)'!AT24/100</f>
        <v>0</v>
      </c>
      <c r="AU23" s="32">
        <f>'Data_Raw++ (2018)'!AU24/100</f>
        <v>0.48214732850002262</v>
      </c>
      <c r="AV23" s="32">
        <f>'Data_Raw++ (2018)'!AV24/100</f>
        <v>0.20663456935715258</v>
      </c>
      <c r="AW23" s="32">
        <f>'Data_Raw++ (2018)'!AW24/100</f>
        <v>0</v>
      </c>
      <c r="AX23" s="32">
        <f>'Data_Raw++ (2018)'!AX24/100</f>
        <v>0</v>
      </c>
      <c r="AY23" s="32">
        <f>'Data_Raw++ (2018)'!AY24/100</f>
        <v>0</v>
      </c>
      <c r="AZ23" s="32">
        <f>'Data_Raw++ (2018)'!AZ24/100</f>
        <v>0</v>
      </c>
      <c r="BA23" s="32">
        <f>'Data_Raw++ (2018)'!BA24/100</f>
        <v>0</v>
      </c>
      <c r="BB23" s="32">
        <f>'Data_Raw++ (2018)'!BB24/100</f>
        <v>0</v>
      </c>
      <c r="BC23" s="32">
        <f>'Data_Raw++ (2018)'!BC24/100</f>
        <v>0</v>
      </c>
      <c r="BD23" s="32">
        <f>'Data_Raw++ (2018)'!BD24/100</f>
        <v>0</v>
      </c>
      <c r="BE23" s="32">
        <f>'Data_Raw++ (2018)'!BE24/100</f>
        <v>0</v>
      </c>
      <c r="BF23" s="32">
        <f>'Data_Raw++ (2018)'!BF24/100</f>
        <v>0</v>
      </c>
      <c r="BG23" s="32">
        <f>'Data_Raw++ (2018)'!BG24/100</f>
        <v>0</v>
      </c>
      <c r="BH23" s="32">
        <f>'Data_Raw++ (2018)'!BH24/100</f>
        <v>0</v>
      </c>
      <c r="BI23" s="32">
        <f>'Data_Raw++ (2018)'!BI24/100</f>
        <v>0</v>
      </c>
      <c r="BJ23" s="32">
        <f>'Data_Raw++ (2018)'!BJ24/100</f>
        <v>0</v>
      </c>
      <c r="BK23" s="32">
        <f>'Data_Raw++ (2018)'!BK24/100</f>
        <v>0</v>
      </c>
      <c r="BL23" s="32">
        <f>'Data_Raw++ (2018)'!BL24/100</f>
        <v>0</v>
      </c>
      <c r="BM23" s="32">
        <f>'Data_Raw++ (2018)'!BM24/100</f>
        <v>0</v>
      </c>
      <c r="BN23" s="32">
        <f>'Data_Raw++ (2018)'!BN24/100</f>
        <v>0</v>
      </c>
      <c r="BO23" s="32">
        <f>'Data_Raw++ (2018)'!BO24/100</f>
        <v>0</v>
      </c>
    </row>
    <row r="24" spans="1:67" x14ac:dyDescent="0.2">
      <c r="A24" s="34" t="s">
        <v>85</v>
      </c>
      <c r="B24" s="32">
        <f>'Data_Raw++ (2018)'!B25/100</f>
        <v>6000</v>
      </c>
      <c r="C24" s="32">
        <f>'Data_Raw++ (2018)'!C25/100</f>
        <v>3836.0655737704924</v>
      </c>
      <c r="D24" s="32">
        <f>'Data_Raw++ (2018)'!D25/100</f>
        <v>4882.2652757078995</v>
      </c>
      <c r="E24" s="32">
        <f>'Data_Raw++ (2018)'!E25/100</f>
        <v>3392.7606153224388</v>
      </c>
      <c r="F24" s="32">
        <f>'Data_Raw++ (2018)'!F25/100</f>
        <v>2890.1294130524475</v>
      </c>
      <c r="G24" s="32">
        <f>'Data_Raw++ (2018)'!G25/100</f>
        <v>2364.6513379520025</v>
      </c>
      <c r="H24" s="32">
        <f>'Data_Raw++ (2018)'!H25/100</f>
        <v>3009.5562483025487</v>
      </c>
      <c r="I24" s="32">
        <f>'Data_Raw++ (2018)'!I25/100</f>
        <v>1416.2617639070816</v>
      </c>
      <c r="J24" s="32">
        <f>'Data_Raw++ (2018)'!J25/100</f>
        <v>796.64724219773348</v>
      </c>
      <c r="K24" s="32">
        <f>'Data_Raw++ (2018)'!K25/100</f>
        <v>796.64724219773348</v>
      </c>
      <c r="L24" s="32">
        <f>'Data_Raw++ (2018)'!L25/100</f>
        <v>309.80726085467415</v>
      </c>
      <c r="M24" s="32">
        <f>'Data_Raw++ (2018)'!M25/100</f>
        <v>464.71089128201112</v>
      </c>
      <c r="N24" s="32">
        <f>'Data_Raw++ (2018)'!N25/100</f>
        <v>545.53017672236092</v>
      </c>
      <c r="O24" s="32">
        <f>'Data_Raw++ (2018)'!O25/100</f>
        <v>281.03069709939803</v>
      </c>
      <c r="P24" s="32">
        <f>'Data_Raw++ (2018)'!P25/100</f>
        <v>545.53017672236081</v>
      </c>
      <c r="Q24" s="32">
        <f>'Data_Raw++ (2018)'!Q25/100</f>
        <v>181.84339224078695</v>
      </c>
      <c r="R24" s="32">
        <f>'Data_Raw++ (2018)'!R25/100</f>
        <v>74.274061619476356</v>
      </c>
      <c r="S24" s="32">
        <f>'Data_Raw++ (2018)'!S25/100</f>
        <v>90.779408646026681</v>
      </c>
      <c r="T24" s="32">
        <f>'Data_Raw++ (2018)'!T25/100</f>
        <v>77.330607365133844</v>
      </c>
      <c r="U24" s="32">
        <f>'Data_Raw++ (2018)'!U25/100</f>
        <v>27.170213398560534</v>
      </c>
      <c r="V24" s="32">
        <f>'Data_Raw++ (2018)'!V25/100</f>
        <v>60.475636274215383</v>
      </c>
      <c r="W24" s="32">
        <f>'Data_Raw++ (2018)'!W25/100</f>
        <v>32.563804147654437</v>
      </c>
      <c r="X24" s="32">
        <f>'Data_Raw++ (2018)'!X25/100</f>
        <v>31.286792220295439</v>
      </c>
      <c r="Y24" s="32">
        <f>'Data_Raw++ (2018)'!Y25/100</f>
        <v>23.602316938117614</v>
      </c>
      <c r="Z24" s="32">
        <f>'Data_Raw++ (2018)'!Z25/100</f>
        <v>13.861678201751616</v>
      </c>
      <c r="AA24" s="32">
        <f>'Data_Raw++ (2018)'!AA25/100</f>
        <v>19.94729302203281</v>
      </c>
      <c r="AB24" s="32">
        <f>'Data_Raw++ (2018)'!AB25/100</f>
        <v>4.2667259774128174</v>
      </c>
      <c r="AC24" s="32">
        <f>'Data_Raw++ (2018)'!AC25/100</f>
        <v>1.5781041286321382</v>
      </c>
      <c r="AD24" s="32">
        <f>'Data_Raw++ (2018)'!AD25/100</f>
        <v>2.3671561929482068</v>
      </c>
      <c r="AE24" s="32">
        <f>'Data_Raw++ (2018)'!AE25/100</f>
        <v>2.6693463452394677</v>
      </c>
      <c r="AF24" s="32">
        <f>'Data_Raw++ (2018)'!AF25/100</f>
        <v>1.0380791342597933</v>
      </c>
      <c r="AG24" s="32">
        <f>'Data_Raw++ (2018)'!AG25/100</f>
        <v>0.9582268931628859</v>
      </c>
      <c r="AH24" s="32">
        <f>'Data_Raw++ (2018)'!AH25/100</f>
        <v>0.72287291940358056</v>
      </c>
      <c r="AI24" s="32">
        <f>'Data_Raw++ (2018)'!AI25/100</f>
        <v>0.72287291940358056</v>
      </c>
      <c r="AJ24" s="32">
        <f>'Data_Raw++ (2018)'!AJ25/100</f>
        <v>0.44305114415058172</v>
      </c>
      <c r="AK24" s="32">
        <f>'Data_Raw++ (2018)'!AK25/100</f>
        <v>0.46113486431999318</v>
      </c>
      <c r="AL24" s="32">
        <f>'Data_Raw++ (2018)'!AL25/100</f>
        <v>0.48167993751260441</v>
      </c>
      <c r="AM24" s="32">
        <f>'Data_Raw++ (2018)'!AM25/100</f>
        <v>8.9618272997538728</v>
      </c>
      <c r="AN24" s="32">
        <f>'Data_Raw++ (2018)'!AN25/100</f>
        <v>15.259327564445785</v>
      </c>
      <c r="AO24" s="32">
        <f>'Data_Raw++ (2018)'!AO25/100</f>
        <v>4.056276947510904</v>
      </c>
      <c r="AP24" s="32">
        <f>'Data_Raw++ (2018)'!AP25/100</f>
        <v>2.9373039964734136</v>
      </c>
      <c r="AQ24" s="32">
        <f>'Data_Raw++ (2018)'!AQ25/100</f>
        <v>3.4481394741209637</v>
      </c>
      <c r="AR24" s="32">
        <f>'Data_Raw++ (2018)'!AR25/100</f>
        <v>2.7092524439521855</v>
      </c>
      <c r="AS24" s="32">
        <f>'Data_Raw++ (2018)'!AS25/100</f>
        <v>2.1286983488195741</v>
      </c>
      <c r="AT24" s="32">
        <f>'Data_Raw++ (2018)'!AT25/100</f>
        <v>1.0017403994445053</v>
      </c>
      <c r="AU24" s="32">
        <f>'Data_Raw++ (2018)'!AU25/100</f>
        <v>7.3460962625930399</v>
      </c>
      <c r="AV24" s="32">
        <f>'Data_Raw++ (2018)'!AV25/100</f>
        <v>0.81623291806589349</v>
      </c>
      <c r="AW24" s="32">
        <f>'Data_Raw++ (2018)'!AW25/100</f>
        <v>10.844237340018299</v>
      </c>
      <c r="AX24" s="32">
        <f>'Data_Raw++ (2018)'!AX25/100</f>
        <v>0</v>
      </c>
      <c r="AY24" s="32">
        <f>'Data_Raw++ (2018)'!AY25/100</f>
        <v>1.326898049082242</v>
      </c>
      <c r="AZ24" s="32">
        <f>'Data_Raw++ (2018)'!AZ25/100</f>
        <v>0</v>
      </c>
      <c r="BA24" s="32">
        <f>'Data_Raw++ (2018)'!BA25/100</f>
        <v>0</v>
      </c>
      <c r="BB24" s="32">
        <f>'Data_Raw++ (2018)'!BB25/100</f>
        <v>0</v>
      </c>
      <c r="BC24" s="32">
        <f>'Data_Raw++ (2018)'!BC25/100</f>
        <v>0</v>
      </c>
      <c r="BD24" s="32">
        <f>'Data_Raw++ (2018)'!BD25/100</f>
        <v>0</v>
      </c>
      <c r="BE24" s="32">
        <f>'Data_Raw++ (2018)'!BE25/100</f>
        <v>0.47193796591069437</v>
      </c>
      <c r="BF24" s="32">
        <f>'Data_Raw++ (2018)'!BF25/100</f>
        <v>0</v>
      </c>
      <c r="BG24" s="32">
        <f>'Data_Raw++ (2018)'!BG25/100</f>
        <v>0</v>
      </c>
      <c r="BH24" s="32">
        <f>'Data_Raw++ (2018)'!BH25/100</f>
        <v>0</v>
      </c>
      <c r="BI24" s="32">
        <f>'Data_Raw++ (2018)'!BI25/100</f>
        <v>0</v>
      </c>
      <c r="BJ24" s="32">
        <f>'Data_Raw++ (2018)'!BJ25/100</f>
        <v>0</v>
      </c>
      <c r="BK24" s="32">
        <f>'Data_Raw++ (2018)'!BK25/100</f>
        <v>0</v>
      </c>
      <c r="BL24" s="32">
        <f>'Data_Raw++ (2018)'!BL25/100</f>
        <v>0</v>
      </c>
      <c r="BM24" s="32">
        <f>'Data_Raw++ (2018)'!BM25/100</f>
        <v>0</v>
      </c>
      <c r="BN24" s="32">
        <f>'Data_Raw++ (2018)'!BN25/100</f>
        <v>0</v>
      </c>
      <c r="BO24" s="32">
        <f>'Data_Raw++ (2018)'!BO25/100</f>
        <v>0</v>
      </c>
    </row>
    <row r="25" spans="1:67" x14ac:dyDescent="0.2">
      <c r="A25" s="34" t="s">
        <v>70</v>
      </c>
      <c r="B25" s="32">
        <f>'Data_Raw++ (2018)'!B26/100</f>
        <v>6000</v>
      </c>
      <c r="C25" s="32">
        <f>'Data_Raw++ (2018)'!C26/100</f>
        <v>3375</v>
      </c>
      <c r="D25" s="32">
        <f>'Data_Raw++ (2018)'!D26/100</f>
        <v>3115.3846153846152</v>
      </c>
      <c r="E25" s="32">
        <f>'Data_Raw++ (2018)'!E26/100</f>
        <v>2540.0843881856549</v>
      </c>
      <c r="F25" s="32">
        <f>'Data_Raw++ (2018)'!F26/100</f>
        <v>4344.8275862068967</v>
      </c>
      <c r="G25" s="32">
        <f>'Data_Raw++ (2018)'!G26/100</f>
        <v>1070.4647676161919</v>
      </c>
      <c r="H25" s="32">
        <f>'Data_Raw++ (2018)'!H26/100</f>
        <v>1594.9367088607594</v>
      </c>
      <c r="I25" s="32">
        <f>'Data_Raw++ (2018)'!I26/100</f>
        <v>1063.2911392405065</v>
      </c>
      <c r="J25" s="32">
        <f>'Data_Raw++ (2018)'!J26/100</f>
        <v>802.13191205862779</v>
      </c>
      <c r="K25" s="32">
        <f>'Data_Raw++ (2018)'!K26/100</f>
        <v>1426.0122881042273</v>
      </c>
      <c r="L25" s="32">
        <f>'Data_Raw++ (2018)'!L26/100</f>
        <v>402.20859408067946</v>
      </c>
      <c r="M25" s="32">
        <f>'Data_Raw++ (2018)'!M26/100</f>
        <v>386.43570803829994</v>
      </c>
      <c r="N25" s="32">
        <f>'Data_Raw++ (2018)'!N26/100</f>
        <v>207.35574577664877</v>
      </c>
      <c r="O25" s="32">
        <f>'Data_Raw++ (2018)'!O26/100</f>
        <v>303.79746835443041</v>
      </c>
      <c r="P25" s="32">
        <f>'Data_Raw++ (2018)'!P26/100</f>
        <v>156.50172612197929</v>
      </c>
      <c r="Q25" s="32">
        <f>'Data_Raw++ (2018)'!Q26/100</f>
        <v>244.78475111386507</v>
      </c>
      <c r="R25" s="32">
        <f>'Data_Raw++ (2018)'!R26/100</f>
        <v>97.91390044554602</v>
      </c>
      <c r="S25" s="32">
        <f>'Data_Raw++ (2018)'!S26/100</f>
        <v>136.48871766648324</v>
      </c>
      <c r="T25" s="32">
        <f>'Data_Raw++ (2018)'!T26/100</f>
        <v>57.745226705050598</v>
      </c>
      <c r="U25" s="32">
        <f>'Data_Raw++ (2018)'!U26/100</f>
        <v>136.48871766648324</v>
      </c>
      <c r="V25" s="32">
        <f>'Data_Raw++ (2018)'!V26/100</f>
        <v>98.836657620556835</v>
      </c>
      <c r="W25" s="32">
        <f>'Data_Raw++ (2018)'!W26/100</f>
        <v>50.915853925741402</v>
      </c>
      <c r="X25" s="32">
        <f>'Data_Raw++ (2018)'!X26/100</f>
        <v>33.379738788254329</v>
      </c>
      <c r="Y25" s="32">
        <f>'Data_Raw++ (2018)'!Y26/100</f>
        <v>37.548001706727355</v>
      </c>
      <c r="Z25" s="32">
        <f>'Data_Raw++ (2018)'!Z26/100</f>
        <v>32.184001462909158</v>
      </c>
      <c r="AA25" s="32">
        <f>'Data_Raw++ (2018)'!AA26/100</f>
        <v>21.28563053164044</v>
      </c>
      <c r="AB25" s="32">
        <f>'Data_Raw++ (2018)'!AB26/100</f>
        <v>0</v>
      </c>
      <c r="AC25" s="32">
        <f>'Data_Raw++ (2018)'!AC26/100</f>
        <v>13.534594081526196</v>
      </c>
      <c r="AD25" s="32">
        <f>'Data_Raw++ (2018)'!AD26/100</f>
        <v>0</v>
      </c>
      <c r="AE25" s="32">
        <f>'Data_Raw++ (2018)'!AE26/100</f>
        <v>12.89008960145352</v>
      </c>
      <c r="AF25" s="32">
        <f>'Data_Raw++ (2018)'!AF26/100</f>
        <v>0</v>
      </c>
      <c r="AG25" s="32">
        <f>'Data_Raw++ (2018)'!AG26/100</f>
        <v>16.092000731454579</v>
      </c>
      <c r="AH25" s="32">
        <f>'Data_Raw++ (2018)'!AH26/100</f>
        <v>6.8965717420519628</v>
      </c>
      <c r="AI25" s="32">
        <f>'Data_Raw++ (2018)'!AI26/100</f>
        <v>0</v>
      </c>
      <c r="AJ25" s="32">
        <f>'Data_Raw++ (2018)'!AJ26/100</f>
        <v>0</v>
      </c>
      <c r="AK25" s="32">
        <f>'Data_Raw++ (2018)'!AK26/100</f>
        <v>19.342909970132272</v>
      </c>
      <c r="AL25" s="32">
        <f>'Data_Raw++ (2018)'!AL26/100</f>
        <v>17.153146577287107</v>
      </c>
      <c r="AM25" s="32">
        <f>'Data_Raw++ (2018)'!AM26/100</f>
        <v>0</v>
      </c>
      <c r="AN25" s="32">
        <f>'Data_Raw++ (2018)'!AN26/100</f>
        <v>30.254295081488941</v>
      </c>
      <c r="AO25" s="32">
        <f>'Data_Raw++ (2018)'!AO26/100</f>
        <v>0</v>
      </c>
      <c r="AP25" s="32">
        <f>'Data_Raw++ (2018)'!AP26/100</f>
        <v>0</v>
      </c>
      <c r="AQ25" s="32">
        <f>'Data_Raw++ (2018)'!AQ26/100</f>
        <v>0</v>
      </c>
      <c r="AR25" s="32">
        <f>'Data_Raw++ (2018)'!AR26/100</f>
        <v>0</v>
      </c>
      <c r="AS25" s="32">
        <f>'Data_Raw++ (2018)'!AS26/100</f>
        <v>0</v>
      </c>
      <c r="AT25" s="32">
        <f>'Data_Raw++ (2018)'!AT26/100</f>
        <v>12.357388131875764</v>
      </c>
      <c r="AU25" s="32">
        <f>'Data_Raw++ (2018)'!AU26/100</f>
        <v>0</v>
      </c>
      <c r="AV25" s="32">
        <f>'Data_Raw++ (2018)'!AV26/100</f>
        <v>0</v>
      </c>
      <c r="AW25" s="32">
        <f>'Data_Raw++ (2018)'!AW26/100</f>
        <v>0</v>
      </c>
      <c r="AX25" s="32">
        <f>'Data_Raw++ (2018)'!AX26/100</f>
        <v>24.753514157581858</v>
      </c>
      <c r="AY25" s="32">
        <f>'Data_Raw++ (2018)'!AY26/100</f>
        <v>0</v>
      </c>
      <c r="AZ25" s="32">
        <f>'Data_Raw++ (2018)'!AZ26/100</f>
        <v>7.5635737703722352</v>
      </c>
      <c r="BA25" s="32">
        <f>'Data_Raw++ (2018)'!BA26/100</f>
        <v>0</v>
      </c>
      <c r="BB25" s="32">
        <f>'Data_Raw++ (2018)'!BB26/100</f>
        <v>0</v>
      </c>
      <c r="BC25" s="32">
        <f>'Data_Raw++ (2018)'!BC26/100</f>
        <v>0</v>
      </c>
      <c r="BD25" s="32">
        <f>'Data_Raw++ (2018)'!BD26/100</f>
        <v>4.1255856929303096</v>
      </c>
      <c r="BE25" s="32">
        <f>'Data_Raw++ (2018)'!BE26/100</f>
        <v>0</v>
      </c>
      <c r="BF25" s="32">
        <f>'Data_Raw++ (2018)'!BF26/100</f>
        <v>0</v>
      </c>
      <c r="BG25" s="32">
        <f>'Data_Raw++ (2018)'!BG26/100</f>
        <v>0</v>
      </c>
      <c r="BH25" s="32">
        <f>'Data_Raw++ (2018)'!BH26/100</f>
        <v>0</v>
      </c>
      <c r="BI25" s="32">
        <f>'Data_Raw++ (2018)'!BI26/100</f>
        <v>0</v>
      </c>
      <c r="BJ25" s="32">
        <f>'Data_Raw++ (2018)'!BJ26/100</f>
        <v>0</v>
      </c>
      <c r="BK25" s="32">
        <f>'Data_Raw++ (2018)'!BK26/100</f>
        <v>0</v>
      </c>
      <c r="BL25" s="32">
        <f>'Data_Raw++ (2018)'!BL26/100</f>
        <v>0</v>
      </c>
      <c r="BM25" s="32">
        <f>'Data_Raw++ (2018)'!BM26/100</f>
        <v>0</v>
      </c>
      <c r="BN25" s="32">
        <f>'Data_Raw++ (2018)'!BN26/100</f>
        <v>0</v>
      </c>
      <c r="BO25" s="32">
        <f>'Data_Raw++ (2018)'!BO26/100</f>
        <v>0</v>
      </c>
    </row>
    <row r="26" spans="1:67" x14ac:dyDescent="0.2">
      <c r="A26" s="34" t="s">
        <v>67</v>
      </c>
      <c r="B26" s="32">
        <f>'Data_Raw++ (2018)'!B27/100</f>
        <v>6000</v>
      </c>
      <c r="C26" s="32">
        <f>'Data_Raw++ (2018)'!C27/100</f>
        <v>3230.76923076923</v>
      </c>
      <c r="D26" s="32">
        <f>'Data_Raw++ (2018)'!D27/100</f>
        <v>4282.6475849731651</v>
      </c>
      <c r="E26" s="32">
        <f>'Data_Raw++ (2018)'!E27/100</f>
        <v>2738.0861608844825</v>
      </c>
      <c r="F26" s="32">
        <f>'Data_Raw++ (2018)'!F27/100</f>
        <v>2738.0861608844825</v>
      </c>
      <c r="G26" s="32">
        <f>'Data_Raw++ (2018)'!G27/100</f>
        <v>2630.7102330066596</v>
      </c>
      <c r="H26" s="32">
        <f>'Data_Raw++ (2018)'!H27/100</f>
        <v>1612.3707879718236</v>
      </c>
      <c r="I26" s="32">
        <f>'Data_Raw++ (2018)'!I27/100</f>
        <v>830.6152544097273</v>
      </c>
      <c r="J26" s="32">
        <f>'Data_Raw++ (2018)'!J27/100</f>
        <v>766.7217733012867</v>
      </c>
      <c r="K26" s="32">
        <f>'Data_Raw++ (2018)'!K27/100</f>
        <v>766.7217733012867</v>
      </c>
      <c r="L26" s="32">
        <f>'Data_Raw++ (2018)'!L27/100</f>
        <v>216.25485913626034</v>
      </c>
      <c r="M26" s="32">
        <f>'Data_Raw++ (2018)'!M27/100</f>
        <v>243.86186243025105</v>
      </c>
      <c r="N26" s="32">
        <f>'Data_Raw++ (2018)'!N27/100</f>
        <v>495.11347826747942</v>
      </c>
      <c r="O26" s="32">
        <f>'Data_Raw++ (2018)'!O27/100</f>
        <v>290.78093168090061</v>
      </c>
      <c r="P26" s="32">
        <f>'Data_Raw++ (2018)'!P27/100</f>
        <v>82.015134576664281</v>
      </c>
      <c r="Q26" s="32">
        <f>'Data_Raw++ (2018)'!Q27/100</f>
        <v>123.02270186499642</v>
      </c>
      <c r="R26" s="32">
        <f>'Data_Raw++ (2018)'!R27/100</f>
        <v>92.806599652541166</v>
      </c>
      <c r="S26" s="32">
        <f>'Data_Raw++ (2018)'!S27/100</f>
        <v>104.65425067201451</v>
      </c>
      <c r="T26" s="32">
        <f>'Data_Raw++ (2018)'!T27/100</f>
        <v>69.76950044800968</v>
      </c>
      <c r="U26" s="32">
        <f>'Data_Raw++ (2018)'!U27/100</f>
        <v>28.497401591440575</v>
      </c>
      <c r="V26" s="32">
        <f>'Data_Raw++ (2018)'!V27/100</f>
        <v>21.498039797051664</v>
      </c>
      <c r="W26" s="32">
        <f>'Data_Raw++ (2018)'!W27/100</f>
        <v>30.93620361039142</v>
      </c>
      <c r="X26" s="32">
        <f>'Data_Raw++ (2018)'!X27/100</f>
        <v>18.168881485467974</v>
      </c>
      <c r="Y26" s="32">
        <f>'Data_Raw++ (2018)'!Y27/100</f>
        <v>22.206410704460858</v>
      </c>
      <c r="Z26" s="32">
        <f>'Data_Raw++ (2018)'!Z27/100</f>
        <v>13.04186025500082</v>
      </c>
      <c r="AA26" s="32">
        <f>'Data_Raw++ (2018)'!AA27/100</f>
        <v>26.478928396516817</v>
      </c>
      <c r="AB26" s="32">
        <f>'Data_Raw++ (2018)'!AB27/100</f>
        <v>6.6197320991292044</v>
      </c>
      <c r="AC26" s="32">
        <f>'Data_Raw++ (2018)'!AC27/100</f>
        <v>1.8671039253954165</v>
      </c>
      <c r="AD26" s="32">
        <f>'Data_Raw++ (2018)'!AD27/100</f>
        <v>5.9124957637521529</v>
      </c>
      <c r="AE26" s="32">
        <f>'Data_Raw++ (2018)'!AE27/100</f>
        <v>8.5082256112530974</v>
      </c>
      <c r="AF26" s="32">
        <f>'Data_Raw++ (2018)'!AF27/100</f>
        <v>3.475190742624505</v>
      </c>
      <c r="AG26" s="32">
        <f>'Data_Raw++ (2018)'!AG27/100</f>
        <v>0</v>
      </c>
      <c r="AH26" s="32">
        <f>'Data_Raw++ (2018)'!AH27/100</f>
        <v>5.208911152898227</v>
      </c>
      <c r="AI26" s="32">
        <f>'Data_Raw++ (2018)'!AI27/100</f>
        <v>0</v>
      </c>
      <c r="AJ26" s="32">
        <f>'Data_Raw++ (2018)'!AJ27/100</f>
        <v>2.1962384213203046</v>
      </c>
      <c r="AK26" s="32">
        <f>'Data_Raw++ (2018)'!AK27/100</f>
        <v>1.9309922351705091</v>
      </c>
      <c r="AL26" s="32">
        <f>'Data_Raw++ (2018)'!AL27/100</f>
        <v>1.9309922351705091</v>
      </c>
      <c r="AM26" s="32">
        <f>'Data_Raw++ (2018)'!AM27/100</f>
        <v>4.3105232273399476</v>
      </c>
      <c r="AN26" s="32">
        <f>'Data_Raw++ (2018)'!AN27/100</f>
        <v>5.9526273139456416</v>
      </c>
      <c r="AO26" s="32">
        <f>'Data_Raw++ (2018)'!AO27/100</f>
        <v>2.8012363830332432</v>
      </c>
      <c r="AP26" s="32">
        <f>'Data_Raw++ (2018)'!AP27/100</f>
        <v>0</v>
      </c>
      <c r="AQ26" s="32">
        <f>'Data_Raw++ (2018)'!AQ27/100</f>
        <v>0</v>
      </c>
      <c r="AR26" s="32">
        <f>'Data_Raw++ (2018)'!AR27/100</f>
        <v>0</v>
      </c>
      <c r="AS26" s="32">
        <f>'Data_Raw++ (2018)'!AS27/100</f>
        <v>2.3025155127405927</v>
      </c>
      <c r="AT26" s="32">
        <f>'Data_Raw++ (2018)'!AT27/100</f>
        <v>0</v>
      </c>
      <c r="AU26" s="32">
        <f>'Data_Raw++ (2018)'!AU27/100</f>
        <v>1.0504636436374661</v>
      </c>
      <c r="AV26" s="32">
        <f>'Data_Raw++ (2018)'!AV27/100</f>
        <v>0</v>
      </c>
      <c r="AW26" s="32">
        <f>'Data_Raw++ (2018)'!AW27/100</f>
        <v>0</v>
      </c>
      <c r="AX26" s="32">
        <f>'Data_Raw++ (2018)'!AX27/100</f>
        <v>0</v>
      </c>
      <c r="AY26" s="32">
        <f>'Data_Raw++ (2018)'!AY27/100</f>
        <v>0</v>
      </c>
      <c r="AZ26" s="32">
        <f>'Data_Raw++ (2018)'!AZ27/100</f>
        <v>0</v>
      </c>
      <c r="BA26" s="32">
        <f>'Data_Raw++ (2018)'!BA27/100</f>
        <v>0</v>
      </c>
      <c r="BB26" s="32">
        <f>'Data_Raw++ (2018)'!BB27/100</f>
        <v>0</v>
      </c>
      <c r="BC26" s="32">
        <f>'Data_Raw++ (2018)'!BC27/100</f>
        <v>0</v>
      </c>
      <c r="BD26" s="32">
        <f>'Data_Raw++ (2018)'!BD27/100</f>
        <v>0</v>
      </c>
      <c r="BE26" s="32">
        <f>'Data_Raw++ (2018)'!BE27/100</f>
        <v>0</v>
      </c>
      <c r="BF26" s="32">
        <f>'Data_Raw++ (2018)'!BF27/100</f>
        <v>0</v>
      </c>
      <c r="BG26" s="32">
        <f>'Data_Raw++ (2018)'!BG27/100</f>
        <v>0</v>
      </c>
      <c r="BH26" s="32">
        <f>'Data_Raw++ (2018)'!BH27/100</f>
        <v>0</v>
      </c>
      <c r="BI26" s="32">
        <f>'Data_Raw++ (2018)'!BI27/100</f>
        <v>0</v>
      </c>
      <c r="BJ26" s="32">
        <f>'Data_Raw++ (2018)'!BJ27/100</f>
        <v>0</v>
      </c>
      <c r="BK26" s="32">
        <f>'Data_Raw++ (2018)'!BK27/100</f>
        <v>0</v>
      </c>
      <c r="BL26" s="32">
        <f>'Data_Raw++ (2018)'!BL27/100</f>
        <v>0</v>
      </c>
      <c r="BM26" s="32">
        <f>'Data_Raw++ (2018)'!BM27/100</f>
        <v>0</v>
      </c>
      <c r="BN26" s="32">
        <f>'Data_Raw++ (2018)'!BN27/100</f>
        <v>0</v>
      </c>
      <c r="BO26" s="32">
        <f>'Data_Raw++ (2018)'!BO27/100</f>
        <v>0</v>
      </c>
    </row>
    <row r="27" spans="1:67" x14ac:dyDescent="0.2">
      <c r="A27" s="34" t="s">
        <v>77</v>
      </c>
      <c r="B27" s="32">
        <f>'Data_Raw++ (2018)'!B28/100</f>
        <v>6000</v>
      </c>
      <c r="C27" s="32">
        <f>'Data_Raw++ (2018)'!C28/100</f>
        <v>3230.76923076923</v>
      </c>
      <c r="D27" s="32">
        <f>'Data_Raw++ (2018)'!D28/100</f>
        <v>5271.255060728744</v>
      </c>
      <c r="E27" s="32">
        <f>'Data_Raw++ (2018)'!E28/100</f>
        <v>3370.1466781708364</v>
      </c>
      <c r="F27" s="32">
        <f>'Data_Raw++ (2018)'!F28/100</f>
        <v>2647.9723899913715</v>
      </c>
      <c r="G27" s="32">
        <f>'Data_Raw++ (2018)'!G28/100</f>
        <v>2868.6367558239858</v>
      </c>
      <c r="H27" s="32">
        <f>'Data_Raw++ (2018)'!H28/100</f>
        <v>3802.6115135341206</v>
      </c>
      <c r="I27" s="32">
        <f>'Data_Raw++ (2018)'!I28/100</f>
        <v>1478.7933663743804</v>
      </c>
      <c r="J27" s="32">
        <f>'Data_Raw++ (2018)'!J28/100</f>
        <v>1027.6360681584677</v>
      </c>
      <c r="K27" s="32">
        <f>'Data_Raw++ (2018)'!K28/100</f>
        <v>1027.6360681584677</v>
      </c>
      <c r="L27" s="32">
        <f>'Data_Raw++ (2018)'!L28/100</f>
        <v>195.74020345875579</v>
      </c>
      <c r="M27" s="32">
        <f>'Data_Raw++ (2018)'!M28/100</f>
        <v>456.72714140376354</v>
      </c>
      <c r="N27" s="32">
        <f>'Data_Raw++ (2018)'!N28/100</f>
        <v>456.72714140376354</v>
      </c>
      <c r="O27" s="32">
        <f>'Data_Raw++ (2018)'!O28/100</f>
        <v>268.23657511014682</v>
      </c>
      <c r="P27" s="32">
        <f>'Data_Raw++ (2018)'!P28/100</f>
        <v>597.04269943871384</v>
      </c>
      <c r="Q27" s="32">
        <f>'Data_Raw++ (2018)'!Q28/100</f>
        <v>149.26067485967849</v>
      </c>
      <c r="R27" s="32">
        <f>'Data_Raw++ (2018)'!R28/100</f>
        <v>80.371132616749932</v>
      </c>
      <c r="S27" s="32">
        <f>'Data_Raw++ (2018)'!S28/100</f>
        <v>115.6560201070304</v>
      </c>
      <c r="T27" s="32">
        <f>'Data_Raw++ (2018)'!T28/100</f>
        <v>98.52179490598887</v>
      </c>
      <c r="U27" s="32">
        <f>'Data_Raw++ (2018)'!U28/100</f>
        <v>23.110050656960347</v>
      </c>
      <c r="V27" s="32">
        <f>'Data_Raw++ (2018)'!V28/100</f>
        <v>33.255926555138061</v>
      </c>
      <c r="W27" s="32">
        <f>'Data_Raw++ (2018)'!W28/100</f>
        <v>24.081877850272392</v>
      </c>
      <c r="X27" s="32">
        <f>'Data_Raw++ (2018)'!X28/100</f>
        <v>46.747174650528763</v>
      </c>
      <c r="Y27" s="32">
        <f>'Data_Raw++ (2018)'!Y28/100</f>
        <v>48.655222595448301</v>
      </c>
      <c r="Z27" s="32">
        <f>'Data_Raw++ (2018)'!Z28/100</f>
        <v>12.933666765878662</v>
      </c>
      <c r="AA27" s="32">
        <f>'Data_Raw++ (2018)'!AA28/100</f>
        <v>17.860777914784823</v>
      </c>
      <c r="AB27" s="32">
        <f>'Data_Raw++ (2018)'!AB28/100</f>
        <v>4.0079585640777147</v>
      </c>
      <c r="AC27" s="32">
        <f>'Data_Raw++ (2018)'!AC28/100</f>
        <v>2.6719723760518099</v>
      </c>
      <c r="AD27" s="32">
        <f>'Data_Raw++ (2018)'!AD28/100</f>
        <v>2.3694849372534916</v>
      </c>
      <c r="AE27" s="32">
        <f>'Data_Raw++ (2018)'!AE28/100</f>
        <v>4.0345284066748635</v>
      </c>
      <c r="AF27" s="32">
        <f>'Data_Raw++ (2018)'!AF28/100</f>
        <v>1.2051188747210633</v>
      </c>
      <c r="AG27" s="32">
        <f>'Data_Raw++ (2018)'!AG28/100</f>
        <v>1.8076783120815947</v>
      </c>
      <c r="AH27" s="32">
        <f>'Data_Raw++ (2018)'!AH28/100</f>
        <v>1.6030354842987726</v>
      </c>
      <c r="AI27" s="32">
        <f>'Data_Raw++ (2018)'!AI28/100</f>
        <v>0.75436963967001058</v>
      </c>
      <c r="AJ27" s="32">
        <f>'Data_Raw++ (2018)'!AJ28/100</f>
        <v>0.85067214686192683</v>
      </c>
      <c r="AK27" s="32">
        <f>'Data_Raw++ (2018)'!AK28/100</f>
        <v>0.45805423292565289</v>
      </c>
      <c r="AL27" s="32">
        <f>'Data_Raw++ (2018)'!AL28/100</f>
        <v>0.2617452759575159</v>
      </c>
      <c r="AM27" s="32">
        <f>'Data_Raw++ (2018)'!AM28/100</f>
        <v>6.2754084565460184</v>
      </c>
      <c r="AN27" s="32">
        <f>'Data_Raw++ (2018)'!AN28/100</f>
        <v>2.2048732414891417</v>
      </c>
      <c r="AO27" s="32">
        <f>'Data_Raw++ (2018)'!AO28/100</f>
        <v>3.307309862233712</v>
      </c>
      <c r="AP27" s="32">
        <f>'Data_Raw++ (2018)'!AP28/100</f>
        <v>0</v>
      </c>
      <c r="AQ27" s="32">
        <f>'Data_Raw++ (2018)'!AQ28/100</f>
        <v>0</v>
      </c>
      <c r="AR27" s="32">
        <f>'Data_Raw++ (2018)'!AR28/100</f>
        <v>0</v>
      </c>
      <c r="AS27" s="32">
        <f>'Data_Raw++ (2018)'!AS28/100</f>
        <v>1.7664505630006966</v>
      </c>
      <c r="AT27" s="32">
        <f>'Data_Raw++ (2018)'!AT28/100</f>
        <v>0</v>
      </c>
      <c r="AU27" s="32">
        <f>'Data_Raw++ (2018)'!AU28/100</f>
        <v>5.1447042301413299</v>
      </c>
      <c r="AV27" s="32">
        <f>'Data_Raw++ (2018)'!AV28/100</f>
        <v>0</v>
      </c>
      <c r="AW27" s="32">
        <f>'Data_Raw++ (2018)'!AW28/100</f>
        <v>0</v>
      </c>
      <c r="AX27" s="32">
        <f>'Data_Raw++ (2018)'!AX28/100</f>
        <v>0</v>
      </c>
      <c r="AY27" s="32">
        <f>'Data_Raw++ (2018)'!AY28/100</f>
        <v>0.81550106192064153</v>
      </c>
      <c r="AZ27" s="32">
        <f>'Data_Raw++ (2018)'!AZ28/100</f>
        <v>0</v>
      </c>
      <c r="BA27" s="32">
        <f>'Data_Raw++ (2018)'!BA28/100</f>
        <v>0</v>
      </c>
      <c r="BB27" s="32">
        <f>'Data_Raw++ (2018)'!BB28/100</f>
        <v>0.3294638176937798</v>
      </c>
      <c r="BC27" s="32">
        <f>'Data_Raw++ (2018)'!BC28/100</f>
        <v>0</v>
      </c>
      <c r="BD27" s="32">
        <f>'Data_Raw++ (2018)'!BD28/100</f>
        <v>0</v>
      </c>
      <c r="BE27" s="32">
        <f>'Data_Raw++ (2018)'!BE28/100</f>
        <v>0</v>
      </c>
      <c r="BF27" s="32">
        <f>'Data_Raw++ (2018)'!BF28/100</f>
        <v>0</v>
      </c>
      <c r="BG27" s="32">
        <f>'Data_Raw++ (2018)'!BG28/100</f>
        <v>0</v>
      </c>
      <c r="BH27" s="32">
        <f>'Data_Raw++ (2018)'!BH28/100</f>
        <v>0</v>
      </c>
      <c r="BI27" s="32">
        <f>'Data_Raw++ (2018)'!BI28/100</f>
        <v>0</v>
      </c>
      <c r="BJ27" s="32">
        <f>'Data_Raw++ (2018)'!BJ28/100</f>
        <v>0</v>
      </c>
      <c r="BK27" s="32">
        <f>'Data_Raw++ (2018)'!BK28/100</f>
        <v>0</v>
      </c>
      <c r="BL27" s="32">
        <f>'Data_Raw++ (2018)'!BL28/100</f>
        <v>0</v>
      </c>
      <c r="BM27" s="32">
        <f>'Data_Raw++ (2018)'!BM28/100</f>
        <v>0</v>
      </c>
      <c r="BN27" s="32">
        <f>'Data_Raw++ (2018)'!BN28/100</f>
        <v>0</v>
      </c>
      <c r="BO27" s="32">
        <f>'Data_Raw++ (2018)'!BO28/100</f>
        <v>0</v>
      </c>
    </row>
    <row r="28" spans="1:67" x14ac:dyDescent="0.2">
      <c r="A28" s="34" t="s">
        <v>93</v>
      </c>
      <c r="B28" s="32">
        <f>'Data_Raw++ (2018)'!B29/100</f>
        <v>6000</v>
      </c>
      <c r="C28" s="32">
        <f>'Data_Raw++ (2018)'!C29/100</f>
        <v>2823.5294117647054</v>
      </c>
      <c r="D28" s="32">
        <f>'Data_Raw++ (2018)'!D29/100</f>
        <v>5732.6203208556144</v>
      </c>
      <c r="E28" s="32">
        <f>'Data_Raw++ (2018)'!E29/100</f>
        <v>4324.6083122244108</v>
      </c>
      <c r="F28" s="32">
        <f>'Data_Raw++ (2018)'!F29/100</f>
        <v>4155.0158293920804</v>
      </c>
      <c r="G28" s="32">
        <f>'Data_Raw++ (2018)'!G29/100</f>
        <v>2770.0105529280536</v>
      </c>
      <c r="H28" s="32">
        <f>'Data_Raw++ (2018)'!H29/100</f>
        <v>2005.8697107410044</v>
      </c>
      <c r="I28" s="32">
        <f>'Data_Raw++ (2018)'!I29/100</f>
        <v>1452.5263422607275</v>
      </c>
      <c r="J28" s="32">
        <f>'Data_Raw++ (2018)'!J29/100</f>
        <v>1573.5702041157883</v>
      </c>
      <c r="K28" s="32">
        <f>'Data_Raw++ (2018)'!K29/100</f>
        <v>1511.861568660267</v>
      </c>
      <c r="L28" s="32">
        <f>'Data_Raw++ (2018)'!L29/100</f>
        <v>814.07930620168224</v>
      </c>
      <c r="M28" s="32">
        <f>'Data_Raw++ (2018)'!M29/100</f>
        <v>666.06488689228547</v>
      </c>
      <c r="N28" s="32">
        <f>'Data_Raw++ (2018)'!N29/100</f>
        <v>343.1243356717834</v>
      </c>
      <c r="O28" s="32">
        <f>'Data_Raw++ (2018)'!O29/100</f>
        <v>357.12941059716229</v>
      </c>
      <c r="P28" s="32">
        <f>'Data_Raw++ (2018)'!P29/100</f>
        <v>316.69966600125707</v>
      </c>
      <c r="Q28" s="32">
        <f>'Data_Raw++ (2018)'!Q29/100</f>
        <v>220.07942891612777</v>
      </c>
      <c r="R28" s="32">
        <f>'Data_Raw++ (2018)'!R29/100</f>
        <v>69.4987670261456</v>
      </c>
      <c r="S28" s="32">
        <f>'Data_Raw++ (2018)'!S29/100</f>
        <v>178.71111521008868</v>
      </c>
      <c r="T28" s="32">
        <f>'Data_Raw++ (2018)'!T29/100</f>
        <v>53.381242205610903</v>
      </c>
      <c r="U28" s="32">
        <f>'Data_Raw++ (2018)'!U29/100</f>
        <v>53.381242205610903</v>
      </c>
      <c r="V28" s="32">
        <f>'Data_Raw++ (2018)'!V29/100</f>
        <v>65.24374047352444</v>
      </c>
      <c r="W28" s="32">
        <f>'Data_Raw++ (2018)'!W29/100</f>
        <v>62.685162415739171</v>
      </c>
      <c r="X28" s="32">
        <f>'Data_Raw++ (2018)'!X29/100</f>
        <v>60.226920752376856</v>
      </c>
      <c r="Y28" s="32">
        <f>'Data_Raw++ (2018)'!Y29/100</f>
        <v>29.664005743708003</v>
      </c>
      <c r="Z28" s="32">
        <f>'Data_Raw++ (2018)'!Z29/100</f>
        <v>23.307433084342001</v>
      </c>
      <c r="AA28" s="32">
        <f>'Data_Raw++ (2018)'!AA29/100</f>
        <v>29.664005743708003</v>
      </c>
      <c r="AB28" s="32">
        <f>'Data_Raw++ (2018)'!AB29/100</f>
        <v>7.4041358336295175</v>
      </c>
      <c r="AC28" s="32">
        <f>'Data_Raw++ (2018)'!AC29/100</f>
        <v>6.3072268212399596</v>
      </c>
      <c r="AD28" s="32">
        <f>'Data_Raw++ (2018)'!AD29/100</f>
        <v>5.1604583082872386</v>
      </c>
      <c r="AE28" s="32">
        <f>'Data_Raw++ (2018)'!AE29/100</f>
        <v>4.763499976880528</v>
      </c>
      <c r="AF28" s="32">
        <f>'Data_Raw++ (2018)'!AF29/100</f>
        <v>1.3435512755304051</v>
      </c>
      <c r="AG28" s="32">
        <f>'Data_Raw++ (2018)'!AG29/100</f>
        <v>6.559691521707272</v>
      </c>
      <c r="AH28" s="32">
        <f>'Data_Raw++ (2018)'!AH29/100</f>
        <v>7.1063324818495461</v>
      </c>
      <c r="AI28" s="32">
        <f>'Data_Raw++ (2018)'!AI29/100</f>
        <v>1.7765831204623865</v>
      </c>
      <c r="AJ28" s="32">
        <f>'Data_Raw++ (2018)'!AJ29/100</f>
        <v>2.7787582140565532</v>
      </c>
      <c r="AK28" s="32">
        <f>'Data_Raw++ (2018)'!AK29/100</f>
        <v>4.1681373210848287</v>
      </c>
      <c r="AL28" s="32">
        <f>'Data_Raw++ (2018)'!AL29/100</f>
        <v>0.79393091830187235</v>
      </c>
      <c r="AM28" s="32">
        <f>'Data_Raw++ (2018)'!AM29/100</f>
        <v>1.4114327436477732</v>
      </c>
      <c r="AN28" s="32">
        <f>'Data_Raw++ (2018)'!AN29/100</f>
        <v>0.57650069810965376</v>
      </c>
      <c r="AO28" s="32">
        <f>'Data_Raw++ (2018)'!AO29/100</f>
        <v>1.28317897321181</v>
      </c>
      <c r="AP28" s="32">
        <f>'Data_Raw++ (2018)'!AP29/100</f>
        <v>1.8465258394999216</v>
      </c>
      <c r="AQ28" s="32">
        <f>'Data_Raw++ (2018)'!AQ29/100</f>
        <v>1.231017226333281</v>
      </c>
      <c r="AR28" s="32">
        <f>'Data_Raw++ (2018)'!AR29/100</f>
        <v>0.25213605840561182</v>
      </c>
      <c r="AS28" s="32">
        <f>'Data_Raw++ (2018)'!AS29/100</f>
        <v>0.71761801238520273</v>
      </c>
      <c r="AT28" s="32">
        <f>'Data_Raw++ (2018)'!AT29/100</f>
        <v>0.80922882247693095</v>
      </c>
      <c r="AU28" s="32">
        <f>'Data_Raw++ (2018)'!AU29/100</f>
        <v>0.34681235249011327</v>
      </c>
      <c r="AV28" s="32">
        <f>'Data_Raw++ (2018)'!AV29/100</f>
        <v>0.44139753953287153</v>
      </c>
      <c r="AW28" s="32">
        <f>'Data_Raw++ (2018)'!AW29/100</f>
        <v>0.4977461616008978</v>
      </c>
      <c r="AX28" s="32">
        <f>'Data_Raw++ (2018)'!AX29/100</f>
        <v>0.34589140043452216</v>
      </c>
      <c r="AY28" s="32">
        <f>'Data_Raw++ (2018)'!AY29/100</f>
        <v>9.7559112943070347E-2</v>
      </c>
      <c r="AZ28" s="32">
        <f>'Data_Raw++ (2018)'!AZ29/100</f>
        <v>0.39023645177228139</v>
      </c>
      <c r="BA28" s="32">
        <f>'Data_Raw++ (2018)'!BA29/100</f>
        <v>0</v>
      </c>
      <c r="BB28" s="32">
        <f>'Data_Raw++ (2018)'!BB29/100</f>
        <v>0.12654893373138743</v>
      </c>
      <c r="BC28" s="32">
        <f>'Data_Raw++ (2018)'!BC29/100</f>
        <v>0</v>
      </c>
      <c r="BD28" s="32">
        <f>'Data_Raw++ (2018)'!BD29/100</f>
        <v>0</v>
      </c>
      <c r="BE28" s="32">
        <f>'Data_Raw++ (2018)'!BE29/100</f>
        <v>0.25900756002027925</v>
      </c>
      <c r="BF28" s="32">
        <f>'Data_Raw++ (2018)'!BF29/100</f>
        <v>0</v>
      </c>
      <c r="BG28" s="32">
        <f>'Data_Raw++ (2018)'!BG29/100</f>
        <v>0</v>
      </c>
      <c r="BH28" s="32">
        <f>'Data_Raw++ (2018)'!BH29/100</f>
        <v>0</v>
      </c>
      <c r="BI28" s="32">
        <f>'Data_Raw++ (2018)'!BI29/100</f>
        <v>0</v>
      </c>
      <c r="BJ28" s="32">
        <f>'Data_Raw++ (2018)'!BJ29/100</f>
        <v>0</v>
      </c>
      <c r="BK28" s="32">
        <f>'Data_Raw++ (2018)'!BK29/100</f>
        <v>0</v>
      </c>
      <c r="BL28" s="32">
        <f>'Data_Raw++ (2018)'!BL29/100</f>
        <v>0</v>
      </c>
      <c r="BM28" s="32">
        <f>'Data_Raw++ (2018)'!BM29/100</f>
        <v>0</v>
      </c>
      <c r="BN28" s="32">
        <f>'Data_Raw++ (2018)'!BN29/100</f>
        <v>0</v>
      </c>
      <c r="BO28" s="32">
        <f>'Data_Raw++ (2018)'!BO29/100</f>
        <v>0</v>
      </c>
    </row>
    <row r="29" spans="1:67" x14ac:dyDescent="0.2">
      <c r="A29" s="34" t="s">
        <v>68</v>
      </c>
      <c r="B29" s="32">
        <f>'Data_Raw++ (2018)'!B30/100</f>
        <v>6000</v>
      </c>
      <c r="C29" s="32">
        <f>'Data_Raw++ (2018)'!C30/100</f>
        <v>2695.652173913044</v>
      </c>
      <c r="D29" s="32">
        <f>'Data_Raw++ (2018)'!D30/100</f>
        <v>6599.7001499250382</v>
      </c>
      <c r="E29" s="32">
        <f>'Data_Raw++ (2018)'!E30/100</f>
        <v>2965.0826760532782</v>
      </c>
      <c r="F29" s="32">
        <f>'Data_Raw++ (2018)'!F30/100</f>
        <v>2329.7078168990042</v>
      </c>
      <c r="G29" s="32">
        <f>'Data_Raw++ (2018)'!G30/100</f>
        <v>3494.5617253485061</v>
      </c>
      <c r="H29" s="32">
        <f>'Data_Raw++ (2018)'!H30/100</f>
        <v>2428.4242498184535</v>
      </c>
      <c r="I29" s="32">
        <f>'Data_Raw++ (2018)'!I30/100</f>
        <v>1758.514111937501</v>
      </c>
      <c r="J29" s="32">
        <f>'Data_Raw++ (2018)'!J30/100</f>
        <v>1222.0182811769073</v>
      </c>
      <c r="K29" s="32">
        <f>'Data_Raw++ (2018)'!K30/100</f>
        <v>748.978946527782</v>
      </c>
      <c r="L29" s="32">
        <f>'Data_Raw++ (2018)'!L30/100</f>
        <v>249.65964884259401</v>
      </c>
      <c r="M29" s="32">
        <f>'Data_Raw++ (2018)'!M30/100</f>
        <v>611.23569199393705</v>
      </c>
      <c r="N29" s="32">
        <f>'Data_Raw++ (2018)'!N30/100</f>
        <v>689.26578033358862</v>
      </c>
      <c r="O29" s="32">
        <f>'Data_Raw++ (2018)'!O30/100</f>
        <v>309.67013319335143</v>
      </c>
      <c r="P29" s="32">
        <f>'Data_Raw++ (2018)'!P30/100</f>
        <v>322.30973046654947</v>
      </c>
      <c r="Q29" s="32">
        <f>'Data_Raw++ (2018)'!Q30/100</f>
        <v>151.67516727837619</v>
      </c>
      <c r="R29" s="32">
        <f>'Data_Raw++ (2018)'!R30/100</f>
        <v>90.282837665700114</v>
      </c>
      <c r="S29" s="32">
        <f>'Data_Raw++ (2018)'!S30/100</f>
        <v>108.80301977063698</v>
      </c>
      <c r="T29" s="32">
        <f>'Data_Raw++ (2018)'!T30/100</f>
        <v>89.020652539612072</v>
      </c>
      <c r="U29" s="32">
        <f>'Data_Raw++ (2018)'!U30/100</f>
        <v>31.651787569639851</v>
      </c>
      <c r="V29" s="32">
        <f>'Data_Raw++ (2018)'!V30/100</f>
        <v>27.335634719234417</v>
      </c>
      <c r="W29" s="32">
        <f>'Data_Raw++ (2018)'!W30/100</f>
        <v>42.780175386208668</v>
      </c>
      <c r="X29" s="32">
        <f>'Data_Raw++ (2018)'!X30/100</f>
        <v>54.447495946083762</v>
      </c>
      <c r="Y29" s="32">
        <f>'Data_Raw++ (2018)'!Y30/100</f>
        <v>69.296813022288433</v>
      </c>
      <c r="Z29" s="32">
        <f>'Data_Raw++ (2018)'!Z30/100</f>
        <v>29.698634152409326</v>
      </c>
      <c r="AA29" s="32">
        <f>'Data_Raw++ (2018)'!AA30/100</f>
        <v>24.691306301131011</v>
      </c>
      <c r="AB29" s="32">
        <f>'Data_Raw++ (2018)'!AB30/100</f>
        <v>0</v>
      </c>
      <c r="AC29" s="32">
        <f>'Data_Raw++ (2018)'!AC30/100</f>
        <v>0</v>
      </c>
      <c r="AD29" s="32">
        <f>'Data_Raw++ (2018)'!AD30/100</f>
        <v>0</v>
      </c>
      <c r="AE29" s="32">
        <f>'Data_Raw++ (2018)'!AE30/100</f>
        <v>0</v>
      </c>
      <c r="AF29" s="32">
        <f>'Data_Raw++ (2018)'!AF30/100</f>
        <v>0</v>
      </c>
      <c r="AG29" s="32">
        <f>'Data_Raw++ (2018)'!AG30/100</f>
        <v>0</v>
      </c>
      <c r="AH29" s="32">
        <f>'Data_Raw++ (2018)'!AH30/100</f>
        <v>26.948760619778838</v>
      </c>
      <c r="AI29" s="32">
        <f>'Data_Raw++ (2018)'!AI30/100</f>
        <v>0</v>
      </c>
      <c r="AJ29" s="32">
        <f>'Data_Raw++ (2018)'!AJ30/100</f>
        <v>0</v>
      </c>
      <c r="AK29" s="32">
        <f>'Data_Raw++ (2018)'!AK30/100</f>
        <v>0</v>
      </c>
      <c r="AL29" s="32">
        <f>'Data_Raw++ (2018)'!AL30/100</f>
        <v>0</v>
      </c>
      <c r="AM29" s="32">
        <f>'Data_Raw++ (2018)'!AM30/100</f>
        <v>11.093195584566109</v>
      </c>
      <c r="AN29" s="32">
        <f>'Data_Raw++ (2018)'!AN30/100</f>
        <v>10.239872847291792</v>
      </c>
      <c r="AO29" s="32">
        <f>'Data_Raw++ (2018)'!AO30/100</f>
        <v>0</v>
      </c>
      <c r="AP29" s="32">
        <f>'Data_Raw++ (2018)'!AP30/100</f>
        <v>0</v>
      </c>
      <c r="AQ29" s="32">
        <f>'Data_Raw++ (2018)'!AQ30/100</f>
        <v>0</v>
      </c>
      <c r="AR29" s="32">
        <f>'Data_Raw++ (2018)'!AR30/100</f>
        <v>0</v>
      </c>
      <c r="AS29" s="32">
        <f>'Data_Raw++ (2018)'!AS30/100</f>
        <v>4.2666136863715796</v>
      </c>
      <c r="AT29" s="32">
        <f>'Data_Raw++ (2018)'!AT30/100</f>
        <v>0</v>
      </c>
      <c r="AU29" s="32">
        <f>'Data_Raw++ (2018)'!AU30/100</f>
        <v>0</v>
      </c>
      <c r="AV29" s="32">
        <f>'Data_Raw++ (2018)'!AV30/100</f>
        <v>0</v>
      </c>
      <c r="AW29" s="32">
        <f>'Data_Raw++ (2018)'!AW30/100</f>
        <v>0</v>
      </c>
      <c r="AX29" s="32">
        <f>'Data_Raw++ (2018)'!AX30/100</f>
        <v>0</v>
      </c>
      <c r="AY29" s="32">
        <f>'Data_Raw++ (2018)'!AY30/100</f>
        <v>0</v>
      </c>
      <c r="AZ29" s="32">
        <f>'Data_Raw++ (2018)'!AZ30/100</f>
        <v>0</v>
      </c>
      <c r="BA29" s="32">
        <f>'Data_Raw++ (2018)'!BA30/100</f>
        <v>0</v>
      </c>
      <c r="BB29" s="32">
        <f>'Data_Raw++ (2018)'!BB30/100</f>
        <v>0</v>
      </c>
      <c r="BC29" s="32">
        <f>'Data_Raw++ (2018)'!BC30/100</f>
        <v>0</v>
      </c>
      <c r="BD29" s="32">
        <f>'Data_Raw++ (2018)'!BD30/100</f>
        <v>0</v>
      </c>
      <c r="BE29" s="32">
        <f>'Data_Raw++ (2018)'!BE30/100</f>
        <v>0</v>
      </c>
      <c r="BF29" s="32">
        <f>'Data_Raw++ (2018)'!BF30/100</f>
        <v>0</v>
      </c>
      <c r="BG29" s="32">
        <f>'Data_Raw++ (2018)'!BG30/100</f>
        <v>0</v>
      </c>
      <c r="BH29" s="32">
        <f>'Data_Raw++ (2018)'!BH30/100</f>
        <v>0</v>
      </c>
      <c r="BI29" s="32">
        <f>'Data_Raw++ (2018)'!BI30/100</f>
        <v>0</v>
      </c>
      <c r="BJ29" s="32">
        <f>'Data_Raw++ (2018)'!BJ30/100</f>
        <v>0</v>
      </c>
      <c r="BK29" s="32">
        <f>'Data_Raw++ (2018)'!BK30/100</f>
        <v>0</v>
      </c>
      <c r="BL29" s="32">
        <f>'Data_Raw++ (2018)'!BL30/100</f>
        <v>0</v>
      </c>
      <c r="BM29" s="32">
        <f>'Data_Raw++ (2018)'!BM30/100</f>
        <v>0</v>
      </c>
      <c r="BN29" s="32">
        <f>'Data_Raw++ (2018)'!BN30/100</f>
        <v>0</v>
      </c>
      <c r="BO29" s="32">
        <f>'Data_Raw++ (2018)'!BO30/100</f>
        <v>0</v>
      </c>
    </row>
    <row r="30" spans="1:67" x14ac:dyDescent="0.2">
      <c r="A30" s="34" t="s">
        <v>95</v>
      </c>
      <c r="B30" s="32">
        <f>'Data_Raw++ (2018)'!B31/100</f>
        <v>6000</v>
      </c>
      <c r="C30" s="32">
        <f>'Data_Raw++ (2018)'!C31/100</f>
        <v>1894.7368421052629</v>
      </c>
      <c r="D30" s="32">
        <f>'Data_Raw++ (2018)'!D31/100</f>
        <v>3846.8899521531093</v>
      </c>
      <c r="E30" s="32">
        <f>'Data_Raw++ (2018)'!E31/100</f>
        <v>2902.0397884663812</v>
      </c>
      <c r="F30" s="32">
        <f>'Data_Raw++ (2018)'!F31/100</f>
        <v>2374.3961905634023</v>
      </c>
      <c r="G30" s="32">
        <f>'Data_Raw++ (2018)'!G31/100</f>
        <v>1865.5970068712447</v>
      </c>
      <c r="H30" s="32">
        <f>'Data_Raw++ (2018)'!H31/100</f>
        <v>1792.4363399351175</v>
      </c>
      <c r="I30" s="32">
        <f>'Data_Raw++ (2018)'!I31/100</f>
        <v>1941.8060349297107</v>
      </c>
      <c r="J30" s="32">
        <f>'Data_Raw++ (2018)'!J31/100</f>
        <v>580.01998445952404</v>
      </c>
      <c r="K30" s="32">
        <f>'Data_Raw++ (2018)'!K31/100</f>
        <v>514.35734470938917</v>
      </c>
      <c r="L30" s="32">
        <f>'Data_Raw++ (2018)'!L31/100</f>
        <v>120.65172283306657</v>
      </c>
      <c r="M30" s="32">
        <f>'Data_Raw++ (2018)'!M31/100</f>
        <v>256.38491102026649</v>
      </c>
      <c r="N30" s="32">
        <f>'Data_Raw++ (2018)'!N31/100</f>
        <v>277.75032027195539</v>
      </c>
      <c r="O30" s="32">
        <f>'Data_Raw++ (2018)'!O31/100</f>
        <v>201.12954226589875</v>
      </c>
      <c r="P30" s="32">
        <f>'Data_Raw++ (2018)'!P31/100</f>
        <v>314.58723277486729</v>
      </c>
      <c r="Q30" s="32">
        <f>'Data_Raw++ (2018)'!Q31/100</f>
        <v>88.729732321116401</v>
      </c>
      <c r="R30" s="32">
        <f>'Data_Raw++ (2018)'!R31/100</f>
        <v>122.53153511011313</v>
      </c>
      <c r="S30" s="32">
        <f>'Data_Raw++ (2018)'!S31/100</f>
        <v>71.962965064669604</v>
      </c>
      <c r="T30" s="32">
        <f>'Data_Raw++ (2018)'!T31/100</f>
        <v>61.301785055088921</v>
      </c>
      <c r="U30" s="32">
        <f>'Data_Raw++ (2018)'!U31/100</f>
        <v>21.538465019355566</v>
      </c>
      <c r="V30" s="32">
        <f>'Data_Raw++ (2018)'!V31/100</f>
        <v>12.649574693907239</v>
      </c>
      <c r="W30" s="32">
        <f>'Data_Raw++ (2018)'!W31/100</f>
        <v>34.20070195019364</v>
      </c>
      <c r="X30" s="32">
        <f>'Data_Raw++ (2018)'!X31/100</f>
        <v>43.528166118428274</v>
      </c>
      <c r="Y30" s="32">
        <f>'Data_Raw++ (2018)'!Y31/100</f>
        <v>15.29367998755588</v>
      </c>
      <c r="Z30" s="32">
        <f>'Data_Raw++ (2018)'!Z31/100</f>
        <v>18.692275540346074</v>
      </c>
      <c r="AA30" s="32">
        <f>'Data_Raw++ (2018)'!AA31/100</f>
        <v>16.576168875401233</v>
      </c>
      <c r="AB30" s="32">
        <f>'Data_Raw++ (2018)'!AB31/100</f>
        <v>4.1423846019627675</v>
      </c>
      <c r="AC30" s="32">
        <f>'Data_Raw++ (2018)'!AC31/100</f>
        <v>8.0410995214571379</v>
      </c>
      <c r="AD30" s="32">
        <f>'Data_Raw++ (2018)'!AD31/100</f>
        <v>4.1423846019627684</v>
      </c>
      <c r="AE30" s="32">
        <f>'Data_Raw++ (2018)'!AE31/100</f>
        <v>7.0532494573960651</v>
      </c>
      <c r="AF30" s="32">
        <f>'Data_Raw++ (2018)'!AF31/100</f>
        <v>3.0228211960268849</v>
      </c>
      <c r="AG30" s="32">
        <f>'Data_Raw++ (2018)'!AG31/100</f>
        <v>2.2803738847220361</v>
      </c>
      <c r="AH30" s="32">
        <f>'Data_Raw++ (2018)'!AH31/100</f>
        <v>4.426608129166306</v>
      </c>
      <c r="AI30" s="32">
        <f>'Data_Raw++ (2018)'!AI31/100</f>
        <v>2.4899670726560466</v>
      </c>
      <c r="AJ30" s="32">
        <f>'Data_Raw++ (2018)'!AJ31/100</f>
        <v>1.9564026999440365</v>
      </c>
      <c r="AK30" s="32">
        <f>'Data_Raw++ (2018)'!AK31/100</f>
        <v>1.8059101845637258</v>
      </c>
      <c r="AL30" s="32">
        <f>'Data_Raw++ (2018)'!AL31/100</f>
        <v>0.73762528665278937</v>
      </c>
      <c r="AM30" s="32">
        <f>'Data_Raw++ (2018)'!AM31/100</f>
        <v>3.872532754927144</v>
      </c>
      <c r="AN30" s="32">
        <f>'Data_Raw++ (2018)'!AN31/100</f>
        <v>1.9949411161745894</v>
      </c>
      <c r="AO30" s="32">
        <f>'Data_Raw++ (2018)'!AO31/100</f>
        <v>2.3418873972484309</v>
      </c>
      <c r="AP30" s="32">
        <f>'Data_Raw++ (2018)'!AP31/100</f>
        <v>1.1534669270029587</v>
      </c>
      <c r="AQ30" s="32">
        <f>'Data_Raw++ (2018)'!AQ31/100</f>
        <v>0.64882514643916422</v>
      </c>
      <c r="AR30" s="32">
        <f>'Data_Raw++ (2018)'!AR31/100</f>
        <v>0.53085693799567979</v>
      </c>
      <c r="AS30" s="32">
        <f>'Data_Raw++ (2018)'!AS31/100</f>
        <v>0.41710187985374847</v>
      </c>
      <c r="AT30" s="32">
        <f>'Data_Raw++ (2018)'!AT31/100</f>
        <v>0</v>
      </c>
      <c r="AU30" s="32">
        <f>'Data_Raw++ (2018)'!AU31/100</f>
        <v>0.27203742493289856</v>
      </c>
      <c r="AV30" s="32">
        <f>'Data_Raw++ (2018)'!AV31/100</f>
        <v>0.63475399151009659</v>
      </c>
      <c r="AW30" s="32">
        <f>'Data_Raw++ (2018)'!AW31/100</f>
        <v>1.9042619745302898</v>
      </c>
      <c r="AX30" s="32">
        <f>'Data_Raw++ (2018)'!AX31/100</f>
        <v>0.98098344142469474</v>
      </c>
      <c r="AY30" s="32">
        <f>'Data_Raw++ (2018)'!AY31/100</f>
        <v>0.98098344142469474</v>
      </c>
      <c r="AZ30" s="32">
        <f>'Data_Raw++ (2018)'!AZ31/100</f>
        <v>0</v>
      </c>
      <c r="BA30" s="32">
        <f>'Data_Raw++ (2018)'!BA31/100</f>
        <v>0</v>
      </c>
      <c r="BB30" s="32">
        <f>'Data_Raw++ (2018)'!BB31/100</f>
        <v>0</v>
      </c>
      <c r="BC30" s="32">
        <f>'Data_Raw++ (2018)'!BC31/100</f>
        <v>0</v>
      </c>
      <c r="BD30" s="32">
        <f>'Data_Raw++ (2018)'!BD31/100</f>
        <v>0</v>
      </c>
      <c r="BE30" s="32">
        <f>'Data_Raw++ (2018)'!BE31/100</f>
        <v>0</v>
      </c>
      <c r="BF30" s="32">
        <f>'Data_Raw++ (2018)'!BF31/100</f>
        <v>0</v>
      </c>
      <c r="BG30" s="32">
        <f>'Data_Raw++ (2018)'!BG31/100</f>
        <v>0</v>
      </c>
      <c r="BH30" s="32">
        <f>'Data_Raw++ (2018)'!BH31/100</f>
        <v>0</v>
      </c>
      <c r="BI30" s="32">
        <f>'Data_Raw++ (2018)'!BI31/100</f>
        <v>0</v>
      </c>
      <c r="BJ30" s="32">
        <f>'Data_Raw++ (2018)'!BJ31/100</f>
        <v>0</v>
      </c>
      <c r="BK30" s="32">
        <f>'Data_Raw++ (2018)'!BK31/100</f>
        <v>0</v>
      </c>
      <c r="BL30" s="32">
        <f>'Data_Raw++ (2018)'!BL31/100</f>
        <v>0</v>
      </c>
      <c r="BM30" s="32">
        <f>'Data_Raw++ (2018)'!BM31/100</f>
        <v>0</v>
      </c>
      <c r="BN30" s="32">
        <f>'Data_Raw++ (2018)'!BN31/100</f>
        <v>0</v>
      </c>
      <c r="BO30" s="32">
        <f>'Data_Raw++ (2018)'!BO31/100</f>
        <v>0</v>
      </c>
    </row>
    <row r="31" spans="1:67" x14ac:dyDescent="0.2">
      <c r="A31" s="34" t="s">
        <v>108</v>
      </c>
      <c r="B31" s="32">
        <f>'Data_Raw++ (2018)'!B32/100</f>
        <v>5000</v>
      </c>
      <c r="C31" s="32">
        <f>'Data_Raw++ (2018)'!C32/100</f>
        <v>8513.5135135135151</v>
      </c>
      <c r="D31" s="32">
        <f>'Data_Raw++ (2018)'!D32/100</f>
        <v>5675.6756756756768</v>
      </c>
      <c r="E31" s="32">
        <f>'Data_Raw++ (2018)'!E32/100</f>
        <v>4281.6500711237568</v>
      </c>
      <c r="F31" s="32">
        <f>'Data_Raw++ (2018)'!F32/100</f>
        <v>3647.3315420683848</v>
      </c>
      <c r="G31" s="32">
        <f>'Data_Raw++ (2018)'!G32/100</f>
        <v>3951.2758372407498</v>
      </c>
      <c r="H31" s="32">
        <f>'Data_Raw++ (2018)'!H32/100</f>
        <v>2980.7870351114434</v>
      </c>
      <c r="I31" s="32">
        <f>'Data_Raw++ (2018)'!I32/100</f>
        <v>1339.1941751949964</v>
      </c>
      <c r="J31" s="32">
        <f>'Data_Raw++ (2018)'!J32/100</f>
        <v>1010.2692900593834</v>
      </c>
      <c r="K31" s="32">
        <f>'Data_Raw++ (2018)'!K32/100</f>
        <v>1185.9682970262327</v>
      </c>
      <c r="L31" s="32">
        <f>'Data_Raw++ (2018)'!L32/100</f>
        <v>758.24202596759142</v>
      </c>
      <c r="M31" s="32">
        <f>'Data_Raw++ (2018)'!M32/100</f>
        <v>2158.0734585231448</v>
      </c>
      <c r="N31" s="32">
        <f>'Data_Raw++ (2018)'!N32/100</f>
        <v>539.51836463078621</v>
      </c>
      <c r="O31" s="32">
        <f>'Data_Raw++ (2018)'!O32/100</f>
        <v>459.58971801881785</v>
      </c>
      <c r="P31" s="32">
        <f>'Data_Raw++ (2018)'!P32/100</f>
        <v>145.13359516383721</v>
      </c>
      <c r="Q31" s="32">
        <f>'Data_Raw++ (2018)'!Q32/100</f>
        <v>485.88203598328107</v>
      </c>
      <c r="R31" s="32">
        <f>'Data_Raw++ (2018)'!R32/100</f>
        <v>526.37220564855454</v>
      </c>
      <c r="S31" s="32">
        <f>'Data_Raw++ (2018)'!S32/100</f>
        <v>526.37220564855454</v>
      </c>
      <c r="T31" s="32">
        <f>'Data_Raw++ (2018)'!T32/100</f>
        <v>85.68849859395074</v>
      </c>
      <c r="U31" s="32">
        <f>'Data_Raw++ (2018)'!U32/100</f>
        <v>92.829206810113305</v>
      </c>
      <c r="V31" s="32">
        <f>'Data_Raw++ (2018)'!V32/100</f>
        <v>79.076731727133549</v>
      </c>
      <c r="W31" s="32">
        <f>'Data_Raw++ (2018)'!W32/100</f>
        <v>59.654376566083208</v>
      </c>
      <c r="X31" s="32">
        <f>'Data_Raw++ (2018)'!X32/100</f>
        <v>18.83822417876312</v>
      </c>
      <c r="Y31" s="32">
        <f>'Data_Raw++ (2018)'!Y32/100</f>
        <v>48.441147888248018</v>
      </c>
      <c r="Z31" s="32">
        <f>'Data_Raw++ (2018)'!Z32/100</f>
        <v>59.205847418969796</v>
      </c>
      <c r="AA31" s="32">
        <f>'Data_Raw++ (2018)'!AA32/100</f>
        <v>44.664060333608795</v>
      </c>
      <c r="AB31" s="32">
        <f>'Data_Raw++ (2018)'!AB32/100</f>
        <v>11.161548677368836</v>
      </c>
      <c r="AC31" s="32">
        <f>'Data_Raw++ (2018)'!AC32/100</f>
        <v>12.586427231926564</v>
      </c>
      <c r="AD31" s="32">
        <f>'Data_Raw++ (2018)'!AD32/100</f>
        <v>8.7465002798133753</v>
      </c>
      <c r="AE31" s="32">
        <f>'Data_Raw++ (2018)'!AE32/100</f>
        <v>5.3607582360146502</v>
      </c>
      <c r="AF31" s="32">
        <f>'Data_Raw++ (2018)'!AF32/100</f>
        <v>5.1505324228376033</v>
      </c>
      <c r="AG31" s="32">
        <f>'Data_Raw++ (2018)'!AG32/100</f>
        <v>3.2929633523060091</v>
      </c>
      <c r="AH31" s="32">
        <f>'Data_Raw++ (2018)'!AH32/100</f>
        <v>4.0247329861517889</v>
      </c>
      <c r="AI31" s="32">
        <f>'Data_Raw++ (2018)'!AI32/100</f>
        <v>8.5525575955725532</v>
      </c>
      <c r="AJ31" s="32">
        <f>'Data_Raw++ (2018)'!AJ32/100</f>
        <v>3.3259946205004378</v>
      </c>
      <c r="AK31" s="32">
        <f>'Data_Raw++ (2018)'!AK32/100</f>
        <v>8.9925039739456274</v>
      </c>
      <c r="AL31" s="32">
        <f>'Data_Raw++ (2018)'!AL32/100</f>
        <v>1.4638959957585909</v>
      </c>
      <c r="AM31" s="32">
        <f>'Data_Raw++ (2018)'!AM32/100</f>
        <v>2.8416804623549115</v>
      </c>
      <c r="AN31" s="32">
        <f>'Data_Raw++ (2018)'!AN32/100</f>
        <v>6.3250307065318996</v>
      </c>
      <c r="AO31" s="32">
        <f>'Data_Raw++ (2018)'!AO32/100</f>
        <v>2.9764850383679526</v>
      </c>
      <c r="AP31" s="32">
        <f>'Data_Raw++ (2018)'!AP32/100</f>
        <v>6.0431665930500857</v>
      </c>
      <c r="AQ31" s="32">
        <f>'Data_Raw++ (2018)'!AQ32/100</f>
        <v>5.3590345259123398</v>
      </c>
      <c r="AR31" s="32">
        <f>'Data_Raw++ (2018)'!AR32/100</f>
        <v>1.2570574813868451</v>
      </c>
      <c r="AS31" s="32">
        <f>'Data_Raw++ (2018)'!AS32/100</f>
        <v>0.64757506616898086</v>
      </c>
      <c r="AT31" s="32">
        <f>'Data_Raw++ (2018)'!AT32/100</f>
        <v>0</v>
      </c>
      <c r="AU31" s="32">
        <f>'Data_Raw++ (2018)'!AU32/100</f>
        <v>0.40372536424671701</v>
      </c>
      <c r="AV31" s="32">
        <f>'Data_Raw++ (2018)'!AV32/100</f>
        <v>0.53517083167588064</v>
      </c>
      <c r="AW31" s="32">
        <f>'Data_Raw++ (2018)'!AW32/100</f>
        <v>5.9463425741764518E-2</v>
      </c>
      <c r="AX31" s="32">
        <f>'Data_Raw++ (2018)'!AX32/100</f>
        <v>0.21082487308443784</v>
      </c>
      <c r="AY31" s="32">
        <f>'Data_Raw++ (2018)'!AY32/100</f>
        <v>0.51615744789638229</v>
      </c>
      <c r="AZ31" s="32">
        <f>'Data_Raw++ (2018)'!AZ32/100</f>
        <v>0</v>
      </c>
      <c r="BA31" s="32">
        <f>'Data_Raw++ (2018)'!BA32/100</f>
        <v>0.47607758006154088</v>
      </c>
      <c r="BB31" s="32">
        <f>'Data_Raw++ (2018)'!BB32/100</f>
        <v>0.47607758006154088</v>
      </c>
      <c r="BC31" s="32">
        <f>'Data_Raw++ (2018)'!BC32/100</f>
        <v>0.15869252668718029</v>
      </c>
      <c r="BD31" s="32">
        <f>'Data_Raw++ (2018)'!BD32/100</f>
        <v>0</v>
      </c>
      <c r="BE31" s="32">
        <f>'Data_Raw++ (2018)'!BE32/100</f>
        <v>6.3889199055877768E-2</v>
      </c>
      <c r="BF31" s="32">
        <f>'Data_Raw++ (2018)'!BF32/100</f>
        <v>0</v>
      </c>
      <c r="BG31" s="32">
        <f>'Data_Raw++ (2018)'!BG32/100</f>
        <v>0</v>
      </c>
      <c r="BH31" s="32">
        <f>'Data_Raw++ (2018)'!BH32/100</f>
        <v>0</v>
      </c>
      <c r="BI31" s="32">
        <f>'Data_Raw++ (2018)'!BI32/100</f>
        <v>0</v>
      </c>
      <c r="BJ31" s="32">
        <f>'Data_Raw++ (2018)'!BJ32/100</f>
        <v>0</v>
      </c>
      <c r="BK31" s="32">
        <f>'Data_Raw++ (2018)'!BK32/100</f>
        <v>0</v>
      </c>
      <c r="BL31" s="32">
        <f>'Data_Raw++ (2018)'!BL32/100</f>
        <v>0</v>
      </c>
      <c r="BM31" s="32">
        <f>'Data_Raw++ (2018)'!BM32/100</f>
        <v>0</v>
      </c>
      <c r="BN31" s="32">
        <f>'Data_Raw++ (2018)'!BN32/100</f>
        <v>0</v>
      </c>
      <c r="BO31" s="32">
        <f>'Data_Raw++ (2018)'!BO32/100</f>
        <v>0</v>
      </c>
    </row>
    <row r="32" spans="1:67" x14ac:dyDescent="0.2">
      <c r="A32" s="34" t="s">
        <v>112</v>
      </c>
      <c r="B32" s="32">
        <f>'Data_Raw++ (2018)'!B33/100</f>
        <v>5000</v>
      </c>
      <c r="C32" s="32">
        <f>'Data_Raw++ (2018)'!C33/100</f>
        <v>6904.7619047619046</v>
      </c>
      <c r="D32" s="32">
        <f>'Data_Raw++ (2018)'!D33/100</f>
        <v>6633.986928104574</v>
      </c>
      <c r="E32" s="32">
        <f>'Data_Raw++ (2018)'!E33/100</f>
        <v>3267.4860989171784</v>
      </c>
      <c r="F32" s="32">
        <f>'Data_Raw++ (2018)'!F33/100</f>
        <v>2783.4140842627817</v>
      </c>
      <c r="G32" s="32">
        <f>'Data_Raw++ (2018)'!G33/100</f>
        <v>3689.6419256506633</v>
      </c>
      <c r="H32" s="32">
        <f>'Data_Raw++ (2018)'!H33/100</f>
        <v>1817.2863215891327</v>
      </c>
      <c r="I32" s="32">
        <f>'Data_Raw++ (2018)'!I33/100</f>
        <v>2725.929482383699</v>
      </c>
      <c r="J32" s="32">
        <f>'Data_Raw++ (2018)'!J33/100</f>
        <v>1224.692955853546</v>
      </c>
      <c r="K32" s="32">
        <f>'Data_Raw++ (2018)'!K33/100</f>
        <v>1043.2569623937616</v>
      </c>
      <c r="L32" s="32">
        <f>'Data_Raw++ (2018)'!L33/100</f>
        <v>561.75374898125619</v>
      </c>
      <c r="M32" s="32">
        <f>'Data_Raw++ (2018)'!M33/100</f>
        <v>584.68247342947063</v>
      </c>
      <c r="N32" s="32">
        <f>'Data_Raw++ (2018)'!N33/100</f>
        <v>608.54706418169394</v>
      </c>
      <c r="O32" s="32">
        <f>'Data_Raw++ (2018)'!O33/100</f>
        <v>327.67918840552744</v>
      </c>
      <c r="P32" s="32">
        <f>'Data_Raw++ (2018)'!P33/100</f>
        <v>209.49980898058311</v>
      </c>
      <c r="Q32" s="32">
        <f>'Data_Raw++ (2018)'!Q33/100</f>
        <v>218.0508215920355</v>
      </c>
      <c r="R32" s="32">
        <f>'Data_Raw++ (2018)'!R33/100</f>
        <v>107.39816585876375</v>
      </c>
      <c r="S32" s="32">
        <f>'Data_Raw++ (2018)'!S33/100</f>
        <v>131.26442493848904</v>
      </c>
      <c r="T32" s="32">
        <f>'Data_Raw++ (2018)'!T33/100</f>
        <v>91.21765122844154</v>
      </c>
      <c r="U32" s="32">
        <f>'Data_Raw++ (2018)'!U33/100</f>
        <v>77.703925120524261</v>
      </c>
      <c r="V32" s="32">
        <f>'Data_Raw++ (2018)'!V33/100</f>
        <v>63.575938734974386</v>
      </c>
      <c r="W32" s="32">
        <f>'Data_Raw++ (2018)'!W33/100</f>
        <v>28.563102909916029</v>
      </c>
      <c r="X32" s="32">
        <f>'Data_Raw++ (2018)'!X33/100</f>
        <v>55.446023295719343</v>
      </c>
      <c r="Y32" s="32">
        <f>'Data_Raw++ (2018)'!Y33/100</f>
        <v>40.150568593451936</v>
      </c>
      <c r="Z32" s="32">
        <f>'Data_Raw++ (2018)'!Z33/100</f>
        <v>40.150568593451936</v>
      </c>
      <c r="AA32" s="32">
        <f>'Data_Raw++ (2018)'!AA33/100</f>
        <v>26.767045728967965</v>
      </c>
      <c r="AB32" s="32">
        <f>'Data_Raw++ (2018)'!AB33/100</f>
        <v>5.5113347155945034</v>
      </c>
      <c r="AC32" s="32">
        <f>'Data_Raw++ (2018)'!AC33/100</f>
        <v>2.5935692779268247</v>
      </c>
      <c r="AD32" s="32">
        <f>'Data_Raw++ (2018)'!AD33/100</f>
        <v>5.5113347155945034</v>
      </c>
      <c r="AE32" s="32">
        <f>'Data_Raw++ (2018)'!AE33/100</f>
        <v>3.3779148256869536</v>
      </c>
      <c r="AF32" s="32">
        <f>'Data_Raw++ (2018)'!AF33/100</f>
        <v>2.2519432171246359</v>
      </c>
      <c r="AG32" s="32">
        <f>'Data_Raw++ (2018)'!AG33/100</f>
        <v>1.9970062491482616</v>
      </c>
      <c r="AH32" s="32">
        <f>'Data_Raw++ (2018)'!AH33/100</f>
        <v>1.9970062491482616</v>
      </c>
      <c r="AI32" s="32">
        <f>'Data_Raw++ (2018)'!AI33/100</f>
        <v>2.2519432171246359</v>
      </c>
      <c r="AJ32" s="32">
        <f>'Data_Raw++ (2018)'!AJ33/100</f>
        <v>1.3802232621086477</v>
      </c>
      <c r="AK32" s="32">
        <f>'Data_Raw++ (2018)'!AK33/100</f>
        <v>2.2519432171246359</v>
      </c>
      <c r="AL32" s="32">
        <f>'Data_Raw++ (2018)'!AL33/100</f>
        <v>0</v>
      </c>
      <c r="AM32" s="32">
        <f>'Data_Raw++ (2018)'!AM33/100</f>
        <v>5.0984849007558033</v>
      </c>
      <c r="AN32" s="32">
        <f>'Data_Raw++ (2018)'!AN33/100</f>
        <v>19.180014626652781</v>
      </c>
      <c r="AO32" s="32">
        <f>'Data_Raw++ (2018)'!AO33/100</f>
        <v>7.4588945770316393</v>
      </c>
      <c r="AP32" s="32">
        <f>'Data_Raw++ (2018)'!AP33/100</f>
        <v>9.116426705260892</v>
      </c>
      <c r="AQ32" s="32">
        <f>'Data_Raw++ (2018)'!AQ33/100</f>
        <v>0</v>
      </c>
      <c r="AR32" s="32">
        <f>'Data_Raw++ (2018)'!AR33/100</f>
        <v>12.596256813631983</v>
      </c>
      <c r="AS32" s="32">
        <f>'Data_Raw++ (2018)'!AS33/100</f>
        <v>2.3992870121203778</v>
      </c>
      <c r="AT32" s="32">
        <f>'Data_Raw++ (2018)'!AT33/100</f>
        <v>0</v>
      </c>
      <c r="AU32" s="32">
        <f>'Data_Raw++ (2018)'!AU33/100</f>
        <v>5.4097477152097602</v>
      </c>
      <c r="AV32" s="32">
        <f>'Data_Raw++ (2018)'!AV33/100</f>
        <v>0.95466136150760461</v>
      </c>
      <c r="AW32" s="32">
        <f>'Data_Raw++ (2018)'!AW33/100</f>
        <v>0</v>
      </c>
      <c r="AX32" s="32">
        <f>'Data_Raw++ (2018)'!AX33/100</f>
        <v>0</v>
      </c>
      <c r="AY32" s="32">
        <f>'Data_Raw++ (2018)'!AY33/100</f>
        <v>3.384708463526962</v>
      </c>
      <c r="AZ32" s="32">
        <f>'Data_Raw++ (2018)'!AZ33/100</f>
        <v>0</v>
      </c>
      <c r="BA32" s="32">
        <f>'Data_Raw++ (2018)'!BA33/100</f>
        <v>0</v>
      </c>
      <c r="BB32" s="32">
        <f>'Data_Raw++ (2018)'!BB33/100</f>
        <v>0</v>
      </c>
      <c r="BC32" s="32">
        <f>'Data_Raw++ (2018)'!BC33/100</f>
        <v>0</v>
      </c>
      <c r="BD32" s="32">
        <f>'Data_Raw++ (2018)'!BD33/100</f>
        <v>0</v>
      </c>
      <c r="BE32" s="32">
        <f>'Data_Raw++ (2018)'!BE33/100</f>
        <v>0</v>
      </c>
      <c r="BF32" s="32">
        <f>'Data_Raw++ (2018)'!BF33/100</f>
        <v>0</v>
      </c>
      <c r="BG32" s="32">
        <f>'Data_Raw++ (2018)'!BG33/100</f>
        <v>0</v>
      </c>
      <c r="BH32" s="32">
        <f>'Data_Raw++ (2018)'!BH33/100</f>
        <v>0</v>
      </c>
      <c r="BI32" s="32">
        <f>'Data_Raw++ (2018)'!BI33/100</f>
        <v>0</v>
      </c>
      <c r="BJ32" s="32">
        <f>'Data_Raw++ (2018)'!BJ33/100</f>
        <v>0</v>
      </c>
      <c r="BK32" s="32">
        <f>'Data_Raw++ (2018)'!BK33/100</f>
        <v>0</v>
      </c>
      <c r="BL32" s="32">
        <f>'Data_Raw++ (2018)'!BL33/100</f>
        <v>0</v>
      </c>
      <c r="BM32" s="32">
        <f>'Data_Raw++ (2018)'!BM33/100</f>
        <v>0</v>
      </c>
      <c r="BN32" s="32">
        <f>'Data_Raw++ (2018)'!BN33/100</f>
        <v>0</v>
      </c>
      <c r="BO32" s="32">
        <f>'Data_Raw++ (2018)'!BO33/100</f>
        <v>0</v>
      </c>
    </row>
    <row r="33" spans="1:67" x14ac:dyDescent="0.2">
      <c r="A33" s="34" t="s">
        <v>117</v>
      </c>
      <c r="B33" s="32">
        <f>'Data_Raw++ (2018)'!B34/100</f>
        <v>5000</v>
      </c>
      <c r="C33" s="32">
        <f>'Data_Raw++ (2018)'!C34/100</f>
        <v>6904.7619047619046</v>
      </c>
      <c r="D33" s="32">
        <f>'Data_Raw++ (2018)'!D34/100</f>
        <v>5649.3506493506484</v>
      </c>
      <c r="E33" s="32">
        <f>'Data_Raw++ (2018)'!E34/100</f>
        <v>3766.2337662337663</v>
      </c>
      <c r="F33" s="32">
        <f>'Data_Raw++ (2018)'!F34/100</f>
        <v>2727.2727272727275</v>
      </c>
      <c r="G33" s="32">
        <f>'Data_Raw++ (2018)'!G34/100</f>
        <v>3766.2337662337668</v>
      </c>
      <c r="H33" s="32">
        <f>'Data_Raw++ (2018)'!H34/100</f>
        <v>1692.0760399021271</v>
      </c>
      <c r="I33" s="32">
        <f>'Data_Raw++ (2018)'!I34/100</f>
        <v>2646.5804726674296</v>
      </c>
      <c r="J33" s="32">
        <f>'Data_Raw++ (2018)'!J34/100</f>
        <v>1134.2487740003269</v>
      </c>
      <c r="K33" s="32">
        <f>'Data_Raw++ (2018)'!K34/100</f>
        <v>1005.8432524153842</v>
      </c>
      <c r="L33" s="32">
        <f>'Data_Raw++ (2018)'!L34/100</f>
        <v>495.41533327921906</v>
      </c>
      <c r="M33" s="32">
        <f>'Data_Raw++ (2018)'!M34/100</f>
        <v>630.52860599173346</v>
      </c>
      <c r="N33" s="32">
        <f>'Data_Raw++ (2018)'!N34/100</f>
        <v>630.52860599173346</v>
      </c>
      <c r="O33" s="32">
        <f>'Data_Raw++ (2018)'!O34/100</f>
        <v>354.67234087035001</v>
      </c>
      <c r="P33" s="32">
        <f>'Data_Raw++ (2018)'!P34/100</f>
        <v>118.22411362345001</v>
      </c>
      <c r="Q33" s="32">
        <f>'Data_Raw++ (2018)'!Q34/100</f>
        <v>229.4938676219912</v>
      </c>
      <c r="R33" s="32">
        <f>'Data_Raw++ (2018)'!R34/100</f>
        <v>146.72558749602717</v>
      </c>
      <c r="S33" s="32">
        <f>'Data_Raw++ (2018)'!S34/100</f>
        <v>110.68772390051174</v>
      </c>
      <c r="T33" s="32">
        <f>'Data_Raw++ (2018)'!T34/100</f>
        <v>83.501265398631674</v>
      </c>
      <c r="U33" s="32">
        <f>'Data_Raw++ (2018)'!U34/100</f>
        <v>80.226705971234352</v>
      </c>
      <c r="V33" s="32">
        <f>'Data_Raw++ (2018)'!V34/100</f>
        <v>98.054862853730882</v>
      </c>
      <c r="W33" s="32">
        <f>'Data_Raw++ (2018)'!W34/100</f>
        <v>50.513111167073482</v>
      </c>
      <c r="X33" s="32">
        <f>'Data_Raw++ (2018)'!X34/100</f>
        <v>33.67540744471566</v>
      </c>
      <c r="Y33" s="32">
        <f>'Data_Raw++ (2018)'!Y34/100</f>
        <v>48.45973266434693</v>
      </c>
      <c r="Z33" s="32">
        <f>'Data_Raw++ (2018)'!Z34/100</f>
        <v>26.093702203879111</v>
      </c>
      <c r="AA33" s="32">
        <f>'Data_Raw++ (2018)'!AA34/100</f>
        <v>23.139698180798451</v>
      </c>
      <c r="AB33" s="32">
        <f>'Data_Raw++ (2018)'!AB34/100</f>
        <v>5.3938636459441192</v>
      </c>
      <c r="AC33" s="32">
        <f>'Data_Raw++ (2018)'!AC34/100</f>
        <v>3.0340483008435672</v>
      </c>
      <c r="AD33" s="32">
        <f>'Data_Raw++ (2018)'!AD34/100</f>
        <v>4.9502893329552933</v>
      </c>
      <c r="AE33" s="32">
        <f>'Data_Raw++ (2018)'!AE34/100</f>
        <v>3.8895130473220156</v>
      </c>
      <c r="AF33" s="32">
        <f>'Data_Raw++ (2018)'!AF34/100</f>
        <v>1.6669341631380066</v>
      </c>
      <c r="AG33" s="32">
        <f>'Data_Raw++ (2018)'!AG34/100</f>
        <v>2.1215525712665539</v>
      </c>
      <c r="AH33" s="32">
        <f>'Data_Raw++ (2018)'!AH34/100</f>
        <v>1.6669341631380066</v>
      </c>
      <c r="AI33" s="32">
        <f>'Data_Raw++ (2018)'!AI34/100</f>
        <v>2.2096569139271249</v>
      </c>
      <c r="AJ33" s="32">
        <f>'Data_Raw++ (2018)'!AJ34/100</f>
        <v>1.2977350129413272</v>
      </c>
      <c r="AK33" s="32">
        <f>'Data_Raw++ (2018)'!AK34/100</f>
        <v>14.923952648825264</v>
      </c>
      <c r="AL33" s="32">
        <f>'Data_Raw++ (2018)'!AL34/100</f>
        <v>0</v>
      </c>
      <c r="AM33" s="32">
        <f>'Data_Raw++ (2018)'!AM34/100</f>
        <v>6.5265815381739216</v>
      </c>
      <c r="AN33" s="32">
        <f>'Data_Raw++ (2018)'!AN34/100</f>
        <v>11.112828024458299</v>
      </c>
      <c r="AO33" s="32">
        <f>'Data_Raw++ (2018)'!AO34/100</f>
        <v>4.3216553428448945</v>
      </c>
      <c r="AP33" s="32">
        <f>'Data_Raw++ (2018)'!AP34/100</f>
        <v>5.5002886181662305</v>
      </c>
      <c r="AQ33" s="32">
        <f>'Data_Raw++ (2018)'!AQ34/100</f>
        <v>0</v>
      </c>
      <c r="AR33" s="32">
        <f>'Data_Raw++ (2018)'!AR34/100</f>
        <v>9.9170135060564792</v>
      </c>
      <c r="AS33" s="32">
        <f>'Data_Raw++ (2018)'!AS34/100</f>
        <v>11.641711507109781</v>
      </c>
      <c r="AT33" s="32">
        <f>'Data_Raw++ (2018)'!AT34/100</f>
        <v>0</v>
      </c>
      <c r="AU33" s="32">
        <f>'Data_Raw++ (2018)'!AU34/100</f>
        <v>3.1343873915138789</v>
      </c>
      <c r="AV33" s="32">
        <f>'Data_Raw++ (2018)'!AV34/100</f>
        <v>1.2189284300331753</v>
      </c>
      <c r="AW33" s="32">
        <f>'Data_Raw++ (2018)'!AW34/100</f>
        <v>8.9388084869099522</v>
      </c>
      <c r="AX33" s="32">
        <f>'Data_Raw++ (2018)'!AX34/100</f>
        <v>0</v>
      </c>
      <c r="AY33" s="32">
        <f>'Data_Raw++ (2018)'!AY34/100</f>
        <v>0.96633287169202609</v>
      </c>
      <c r="AZ33" s="32">
        <f>'Data_Raw++ (2018)'!AZ34/100</f>
        <v>0</v>
      </c>
      <c r="BA33" s="32">
        <f>'Data_Raw++ (2018)'!BA34/100</f>
        <v>0</v>
      </c>
      <c r="BB33" s="32">
        <f>'Data_Raw++ (2018)'!BB34/100</f>
        <v>0</v>
      </c>
      <c r="BC33" s="32">
        <f>'Data_Raw++ (2018)'!BC34/100</f>
        <v>0</v>
      </c>
      <c r="BD33" s="32">
        <f>'Data_Raw++ (2018)'!BD34/100</f>
        <v>0</v>
      </c>
      <c r="BE33" s="32">
        <f>'Data_Raw++ (2018)'!BE34/100</f>
        <v>0</v>
      </c>
      <c r="BF33" s="32">
        <f>'Data_Raw++ (2018)'!BF34/100</f>
        <v>0</v>
      </c>
      <c r="BG33" s="32">
        <f>'Data_Raw++ (2018)'!BG34/100</f>
        <v>0</v>
      </c>
      <c r="BH33" s="32">
        <f>'Data_Raw++ (2018)'!BH34/100</f>
        <v>0</v>
      </c>
      <c r="BI33" s="32">
        <f>'Data_Raw++ (2018)'!BI34/100</f>
        <v>0.70932944836967859</v>
      </c>
      <c r="BJ33" s="32">
        <f>'Data_Raw++ (2018)'!BJ34/100</f>
        <v>0</v>
      </c>
      <c r="BK33" s="32">
        <f>'Data_Raw++ (2018)'!BK34/100</f>
        <v>0</v>
      </c>
      <c r="BL33" s="32">
        <f>'Data_Raw++ (2018)'!BL34/100</f>
        <v>0</v>
      </c>
      <c r="BM33" s="32">
        <f>'Data_Raw++ (2018)'!BM34/100</f>
        <v>0</v>
      </c>
      <c r="BN33" s="32">
        <f>'Data_Raw++ (2018)'!BN34/100</f>
        <v>0</v>
      </c>
      <c r="BO33" s="32">
        <f>'Data_Raw++ (2018)'!BO34/100</f>
        <v>0</v>
      </c>
    </row>
    <row r="34" spans="1:67" x14ac:dyDescent="0.2">
      <c r="A34" s="34" t="s">
        <v>99</v>
      </c>
      <c r="B34" s="32">
        <f>'Data_Raw++ (2018)'!B35/100</f>
        <v>5000</v>
      </c>
      <c r="C34" s="32">
        <f>'Data_Raw++ (2018)'!C35/100</f>
        <v>6363.6363636363649</v>
      </c>
      <c r="D34" s="32">
        <f>'Data_Raw++ (2018)'!D35/100</f>
        <v>4242.4242424242429</v>
      </c>
      <c r="E34" s="32">
        <f>'Data_Raw++ (2018)'!E35/100</f>
        <v>4076.0546642899594</v>
      </c>
      <c r="F34" s="32">
        <f>'Data_Raw++ (2018)'!F35/100</f>
        <v>3202.6143790849678</v>
      </c>
      <c r="G34" s="32">
        <f>'Data_Raw++ (2018)'!G35/100</f>
        <v>3469.4989106753824</v>
      </c>
      <c r="H34" s="32">
        <f>'Data_Raw++ (2018)'!H35/100</f>
        <v>1558.7603801585053</v>
      </c>
      <c r="I34" s="32">
        <f>'Data_Raw++ (2018)'!I35/100</f>
        <v>1327.8329164313193</v>
      </c>
      <c r="J34" s="32">
        <f>'Data_Raw++ (2018)'!J35/100</f>
        <v>1275.7610373555813</v>
      </c>
      <c r="K34" s="32">
        <f>'Data_Raw++ (2018)'!K35/100</f>
        <v>749.25648225645239</v>
      </c>
      <c r="L34" s="32">
        <f>'Data_Raw++ (2018)'!L35/100</f>
        <v>664.43499369911819</v>
      </c>
      <c r="M34" s="32">
        <f>'Data_Raw++ (2018)'!M35/100</f>
        <v>691.5547893603067</v>
      </c>
      <c r="N34" s="32">
        <f>'Data_Raw++ (2018)'!N35/100</f>
        <v>521.69922706128409</v>
      </c>
      <c r="O34" s="32">
        <f>'Data_Raw++ (2018)'!O35/100</f>
        <v>306.39478414710339</v>
      </c>
      <c r="P34" s="32">
        <f>'Data_Raw++ (2018)'!P35/100</f>
        <v>172.34706608274561</v>
      </c>
      <c r="Q34" s="32">
        <f>'Data_Raw++ (2018)'!Q35/100</f>
        <v>269.56848797557649</v>
      </c>
      <c r="R34" s="32">
        <f>'Data_Raw++ (2018)'!R35/100</f>
        <v>179.71232531705095</v>
      </c>
      <c r="S34" s="32">
        <f>'Data_Raw++ (2018)'!S35/100</f>
        <v>228.7247776762467</v>
      </c>
      <c r="T34" s="32">
        <f>'Data_Raw++ (2018)'!T35/100</f>
        <v>140.18615405963507</v>
      </c>
      <c r="U34" s="32">
        <f>'Data_Raw++ (2018)'!U35/100</f>
        <v>119.41783493968913</v>
      </c>
      <c r="V34" s="32">
        <f>'Data_Raw++ (2018)'!V35/100</f>
        <v>53.651491059860334</v>
      </c>
      <c r="W34" s="32">
        <f>'Data_Raw++ (2018)'!W35/100</f>
        <v>68.283715894367703</v>
      </c>
      <c r="X34" s="32">
        <f>'Data_Raw++ (2018)'!X35/100</f>
        <v>98.261932628480352</v>
      </c>
      <c r="Y34" s="32">
        <f>'Data_Raw++ (2018)'!Y35/100</f>
        <v>60.225055481971829</v>
      </c>
      <c r="Z34" s="32">
        <f>'Data_Raw++ (2018)'!Z35/100</f>
        <v>57.863288600325866</v>
      </c>
      <c r="AA34" s="32">
        <f>'Data_Raw++ (2018)'!AA35/100</f>
        <v>36.994561564142771</v>
      </c>
      <c r="AB34" s="32">
        <f>'Data_Raw++ (2018)'!AB35/100</f>
        <v>9.1894490925330636</v>
      </c>
      <c r="AC34" s="32">
        <f>'Data_Raw++ (2018)'!AC35/100</f>
        <v>8.8290785398847085</v>
      </c>
      <c r="AD34" s="32">
        <f>'Data_Raw++ (2018)'!AD35/100</f>
        <v>8.4828401657715808</v>
      </c>
      <c r="AE34" s="32">
        <f>'Data_Raw++ (2018)'!AE35/100</f>
        <v>6.9405055901767483</v>
      </c>
      <c r="AF34" s="32">
        <f>'Data_Raw++ (2018)'!AF35/100</f>
        <v>7.8265275804120789</v>
      </c>
      <c r="AG34" s="32">
        <f>'Data_Raw++ (2018)'!AG35/100</f>
        <v>7.8265275804120789</v>
      </c>
      <c r="AH34" s="32">
        <f>'Data_Raw++ (2018)'!AH35/100</f>
        <v>3.0436496146046976</v>
      </c>
      <c r="AI34" s="32">
        <f>'Data_Raw++ (2018)'!AI35/100</f>
        <v>5.4109326481861295</v>
      </c>
      <c r="AJ34" s="32">
        <f>'Data_Raw++ (2018)'!AJ35/100</f>
        <v>3.6072884321240872</v>
      </c>
      <c r="AK34" s="32">
        <f>'Data_Raw++ (2018)'!AK35/100</f>
        <v>3.7545246946597648</v>
      </c>
      <c r="AL34" s="32">
        <f>'Data_Raw++ (2018)'!AL35/100</f>
        <v>0.99803820997284876</v>
      </c>
      <c r="AM34" s="32">
        <f>'Data_Raw++ (2018)'!AM35/100</f>
        <v>2.566383968501611</v>
      </c>
      <c r="AN34" s="32">
        <f>'Data_Raw++ (2018)'!AN35/100</f>
        <v>0.76658222435762413</v>
      </c>
      <c r="AO34" s="32">
        <f>'Data_Raw++ (2018)'!AO35/100</f>
        <v>1.5563942130897217</v>
      </c>
      <c r="AP34" s="32">
        <f>'Data_Raw++ (2018)'!AP35/100</f>
        <v>2.2396892334705751</v>
      </c>
      <c r="AQ34" s="32">
        <f>'Data_Raw++ (2018)'!AQ35/100</f>
        <v>1.4931261556470503</v>
      </c>
      <c r="AR34" s="32">
        <f>'Data_Raw++ (2018)'!AR35/100</f>
        <v>1.6175533352843048</v>
      </c>
      <c r="AS34" s="32">
        <f>'Data_Raw++ (2018)'!AS35/100</f>
        <v>1.4931261556470503</v>
      </c>
      <c r="AT34" s="32">
        <f>'Data_Raw++ (2018)'!AT35/100</f>
        <v>0.70264760265743531</v>
      </c>
      <c r="AU34" s="32">
        <f>'Data_Raw++ (2018)'!AU35/100</f>
        <v>0.93141658956915852</v>
      </c>
      <c r="AV34" s="32">
        <f>'Data_Raw++ (2018)'!AV35/100</f>
        <v>0.45875742471316761</v>
      </c>
      <c r="AW34" s="32">
        <f>'Data_Raw++ (2018)'!AW35/100</f>
        <v>0.29330392727563176</v>
      </c>
      <c r="AX34" s="32">
        <f>'Data_Raw++ (2018)'!AX35/100</f>
        <v>0.30527551614402487</v>
      </c>
      <c r="AY34" s="32">
        <f>'Data_Raw++ (2018)'!AY35/100</f>
        <v>0.49808110528761951</v>
      </c>
      <c r="AZ34" s="32">
        <f>'Data_Raw++ (2018)'!AZ35/100</f>
        <v>0.47854851292339906</v>
      </c>
      <c r="BA34" s="32">
        <f>'Data_Raw++ (2018)'!BA35/100</f>
        <v>0.4076524369347474</v>
      </c>
      <c r="BB34" s="32">
        <f>'Data_Raw++ (2018)'!BB35/100</f>
        <v>0.29519659226309292</v>
      </c>
      <c r="BC34" s="32">
        <f>'Data_Raw++ (2018)'!BC35/100</f>
        <v>0.3328812636158282</v>
      </c>
      <c r="BD34" s="32">
        <f>'Data_Raw++ (2018)'!BD35/100</f>
        <v>0.17148428731724483</v>
      </c>
      <c r="BE34" s="32">
        <f>'Data_Raw++ (2018)'!BE35/100</f>
        <v>0.17848364598325486</v>
      </c>
      <c r="BF34" s="32">
        <f>'Data_Raw++ (2018)'!BF35/100</f>
        <v>0.17148428731724483</v>
      </c>
      <c r="BG34" s="32">
        <f>'Data_Raw++ (2018)'!BG35/100</f>
        <v>0.15829318829284136</v>
      </c>
      <c r="BH34" s="32">
        <f>'Data_Raw++ (2018)'!BH35/100</f>
        <v>6.1558462113882759E-2</v>
      </c>
      <c r="BI34" s="32">
        <f>'Data_Raw++ (2018)'!BI35/100</f>
        <v>2.8968688053591887E-2</v>
      </c>
      <c r="BJ34" s="32">
        <f>'Data_Raw++ (2018)'!BJ35/100</f>
        <v>3.540617428772342E-2</v>
      </c>
      <c r="BK34" s="32">
        <f>'Data_Raw++ (2018)'!BK35/100</f>
        <v>6.5754323677200646E-2</v>
      </c>
      <c r="BL34" s="32">
        <f>'Data_Raw++ (2018)'!BL35/100</f>
        <v>3.540617428772342E-2</v>
      </c>
      <c r="BM34" s="32">
        <f>'Data_Raw++ (2018)'!BM35/100</f>
        <v>0.11853371391976973</v>
      </c>
      <c r="BN34" s="32">
        <f>'Data_Raw++ (2018)'!BN35/100</f>
        <v>1.7711934263873637E-2</v>
      </c>
      <c r="BO34" s="32">
        <f>'Data_Raw++ (2018)'!BO35/100</f>
        <v>1.7711934263873637E-2</v>
      </c>
    </row>
    <row r="35" spans="1:67" x14ac:dyDescent="0.2">
      <c r="A35" s="34" t="s">
        <v>97</v>
      </c>
      <c r="B35" s="32">
        <f>'Data_Raw++ (2018)'!B36/100</f>
        <v>5000</v>
      </c>
      <c r="C35" s="32">
        <f>'Data_Raw++ (2018)'!C36/100</f>
        <v>6111.1111111111113</v>
      </c>
      <c r="D35" s="32">
        <f>'Data_Raw++ (2018)'!D36/100</f>
        <v>5205.7613168724274</v>
      </c>
      <c r="E35" s="32">
        <f>'Data_Raw++ (2018)'!E36/100</f>
        <v>4090.2410346854786</v>
      </c>
      <c r="F35" s="32">
        <f>'Data_Raw++ (2018)'!F36/100</f>
        <v>3627.1948798154244</v>
      </c>
      <c r="G35" s="32">
        <f>'Data_Raw++ (2018)'!G36/100</f>
        <v>3348.1798890603909</v>
      </c>
      <c r="H35" s="32">
        <f>'Data_Raw++ (2018)'!H36/100</f>
        <v>1724.8199428492924</v>
      </c>
      <c r="I35" s="32">
        <f>'Data_Raw++ (2018)'!I36/100</f>
        <v>1657.1799450904964</v>
      </c>
      <c r="J35" s="32">
        <f>'Data_Raw++ (2018)'!J36/100</f>
        <v>1411.6718050770896</v>
      </c>
      <c r="K35" s="32">
        <f>'Data_Raw++ (2018)'!K36/100</f>
        <v>829.07709187067167</v>
      </c>
      <c r="L35" s="32">
        <f>'Data_Raw++ (2018)'!L36/100</f>
        <v>735.21930788531256</v>
      </c>
      <c r="M35" s="32">
        <f>'Data_Raw++ (2018)'!M36/100</f>
        <v>765.22825922757033</v>
      </c>
      <c r="N35" s="32">
        <f>'Data_Raw++ (2018)'!N36/100</f>
        <v>601.25077510737674</v>
      </c>
      <c r="O35" s="32">
        <f>'Data_Raw++ (2018)'!O36/100</f>
        <v>323.75041736551049</v>
      </c>
      <c r="P35" s="32">
        <f>'Data_Raw++ (2018)'!P36/100</f>
        <v>190.13913400831566</v>
      </c>
      <c r="Q35" s="32">
        <f>'Data_Raw++ (2018)'!Q36/100</f>
        <v>297.39710703864762</v>
      </c>
      <c r="R35" s="32">
        <f>'Data_Raw++ (2018)'!R36/100</f>
        <v>198.2647380257651</v>
      </c>
      <c r="S35" s="32">
        <f>'Data_Raw++ (2018)'!S36/100</f>
        <v>155.77943702024402</v>
      </c>
      <c r="T35" s="32">
        <f>'Data_Raw++ (2018)'!T36/100</f>
        <v>117.51782091000865</v>
      </c>
      <c r="U35" s="32">
        <f>'Data_Raw++ (2018)'!U36/100</f>
        <v>104.21391665604538</v>
      </c>
      <c r="V35" s="32">
        <f>'Data_Raw++ (2018)'!V36/100</f>
        <v>75.465249992308728</v>
      </c>
      <c r="W35" s="32">
        <f>'Data_Raw++ (2018)'!W36/100</f>
        <v>160.36365623365606</v>
      </c>
      <c r="X35" s="32">
        <f>'Data_Raw++ (2018)'!X36/100</f>
        <v>78.985084413591778</v>
      </c>
      <c r="Y35" s="32">
        <f>'Data_Raw++ (2018)'!Y36/100</f>
        <v>48.410213027685288</v>
      </c>
      <c r="Z35" s="32">
        <f>'Data_Raw++ (2018)'!Z36/100</f>
        <v>42.929811552852982</v>
      </c>
      <c r="AA35" s="32">
        <f>'Data_Raw++ (2018)'!AA36/100</f>
        <v>35.124391270516078</v>
      </c>
      <c r="AB35" s="32">
        <f>'Data_Raw++ (2018)'!AB36/100</f>
        <v>8.6932868394527301</v>
      </c>
      <c r="AC35" s="32">
        <f>'Data_Raw++ (2018)'!AC36/100</f>
        <v>6.8304396595700005</v>
      </c>
      <c r="AD35" s="32">
        <f>'Data_Raw++ (2018)'!AD36/100</f>
        <v>7.7024106799406384</v>
      </c>
      <c r="AE35" s="32">
        <f>'Data_Raw++ (2018)'!AE36/100</f>
        <v>6.5613128014309146</v>
      </c>
      <c r="AF35" s="32">
        <f>'Data_Raw++ (2018)'!AF36/100</f>
        <v>4.9497622887987607</v>
      </c>
      <c r="AG35" s="32">
        <f>'Data_Raw++ (2018)'!AG36/100</f>
        <v>6.0497094640873748</v>
      </c>
      <c r="AH35" s="32">
        <f>'Data_Raw++ (2018)'!AH36/100</f>
        <v>3.1165169966510717</v>
      </c>
      <c r="AI35" s="32">
        <f>'Data_Raw++ (2018)'!AI36/100</f>
        <v>4.4847439707905661</v>
      </c>
      <c r="AJ35" s="32">
        <f>'Data_Raw++ (2018)'!AJ36/100</f>
        <v>3.3832279077893754</v>
      </c>
      <c r="AK35" s="32">
        <f>'Data_Raw++ (2018)'!AK36/100</f>
        <v>3.8151293428263178</v>
      </c>
      <c r="AL35" s="32">
        <f>'Data_Raw++ (2018)'!AL36/100</f>
        <v>0.67325811932229129</v>
      </c>
      <c r="AM35" s="32">
        <f>'Data_Raw++ (2018)'!AM36/100</f>
        <v>2.0197743579668739</v>
      </c>
      <c r="AN35" s="32">
        <f>'Data_Raw++ (2018)'!AN36/100</f>
        <v>0.86561758198580319</v>
      </c>
      <c r="AO35" s="32">
        <f>'Data_Raw++ (2018)'!AO36/100</f>
        <v>2.0197743579668743</v>
      </c>
      <c r="AP35" s="32">
        <f>'Data_Raw++ (2018)'!AP36/100</f>
        <v>2.0197743579668743</v>
      </c>
      <c r="AQ35" s="32">
        <f>'Data_Raw++ (2018)'!AQ36/100</f>
        <v>1.5236894279399227</v>
      </c>
      <c r="AR35" s="32">
        <f>'Data_Raw++ (2018)'!AR36/100</f>
        <v>1.4639369013540433</v>
      </c>
      <c r="AS35" s="32">
        <f>'Data_Raw++ (2018)'!AS36/100</f>
        <v>1.4065276111048652</v>
      </c>
      <c r="AT35" s="32">
        <f>'Data_Raw++ (2018)'!AT36/100</f>
        <v>0.66189534640228953</v>
      </c>
      <c r="AU35" s="32">
        <f>'Data_Raw++ (2018)'!AU36/100</f>
        <v>1.2848556724279738</v>
      </c>
      <c r="AV35" s="32">
        <f>'Data_Raw++ (2018)'!AV36/100</f>
        <v>0.60463796349551702</v>
      </c>
      <c r="AW35" s="32">
        <f>'Data_Raw++ (2018)'!AW36/100</f>
        <v>0.37058455827144593</v>
      </c>
      <c r="AX35" s="32">
        <f>'Data_Raw++ (2018)'!AX36/100</f>
        <v>0.22713247119862814</v>
      </c>
      <c r="AY35" s="32">
        <f>'Data_Raw++ (2018)'!AY36/100</f>
        <v>0.76040001227366805</v>
      </c>
      <c r="AZ35" s="32">
        <f>'Data_Raw++ (2018)'!AZ36/100</f>
        <v>0.55063449164644918</v>
      </c>
      <c r="BA35" s="32">
        <f>'Data_Raw++ (2018)'!BA36/100</f>
        <v>0.19346617274064432</v>
      </c>
      <c r="BB35" s="32">
        <f>'Data_Raw++ (2018)'!BB36/100</f>
        <v>0.34393986265003434</v>
      </c>
      <c r="BC35" s="32">
        <f>'Data_Raw++ (2018)'!BC36/100</f>
        <v>0.27023846351074121</v>
      </c>
      <c r="BD35" s="32">
        <f>'Data_Raw++ (2018)'!BD36/100</f>
        <v>0.42268067369628753</v>
      </c>
      <c r="BE35" s="32">
        <f>'Data_Raw++ (2018)'!BE36/100</f>
        <v>0.27023846351074121</v>
      </c>
      <c r="BF35" s="32">
        <f>'Data_Raw++ (2018)'!BF36/100</f>
        <v>0</v>
      </c>
      <c r="BG35" s="32">
        <f>'Data_Raw++ (2018)'!BG36/100</f>
        <v>0.16487953942586728</v>
      </c>
      <c r="BH35" s="32">
        <f>'Data_Raw++ (2018)'!BH36/100</f>
        <v>5.7930648987466887E-2</v>
      </c>
      <c r="BI35" s="32">
        <f>'Data_Raw++ (2018)'!BI36/100</f>
        <v>7.0804126540237308E-2</v>
      </c>
      <c r="BJ35" s="32">
        <f>'Data_Raw++ (2018)'!BJ36/100</f>
        <v>7.0804126540237308E-2</v>
      </c>
      <c r="BK35" s="32">
        <f>'Data_Raw++ (2018)'!BK36/100</f>
        <v>0.1820677539606102</v>
      </c>
      <c r="BL35" s="32">
        <f>'Data_Raw++ (2018)'!BL36/100</f>
        <v>8.9675162398509492E-2</v>
      </c>
      <c r="BM35" s="32">
        <f>'Data_Raw++ (2018)'!BM36/100</f>
        <v>0</v>
      </c>
      <c r="BN35" s="32">
        <f>'Data_Raw++ (2018)'!BN36/100</f>
        <v>0</v>
      </c>
      <c r="BO35" s="32">
        <f>'Data_Raw++ (2018)'!BO36/100</f>
        <v>0</v>
      </c>
    </row>
    <row r="36" spans="1:67" x14ac:dyDescent="0.2">
      <c r="A36" s="34" t="s">
        <v>125</v>
      </c>
      <c r="B36" s="32">
        <f>'Data_Raw++ (2018)'!B37/100</f>
        <v>5000</v>
      </c>
      <c r="C36" s="32">
        <f>'Data_Raw++ (2018)'!C37/100</f>
        <v>5869.5652173913049</v>
      </c>
      <c r="D36" s="32">
        <f>'Data_Raw++ (2018)'!D37/100</f>
        <v>5639.3861892583118</v>
      </c>
      <c r="E36" s="32">
        <f>'Data_Raw++ (2018)'!E37/100</f>
        <v>5000.9651112290685</v>
      </c>
      <c r="F36" s="32">
        <f>'Data_Raw++ (2018)'!F37/100</f>
        <v>3475.2469417015564</v>
      </c>
      <c r="G36" s="32">
        <f>'Data_Raw++ (2018)'!G37/100</f>
        <v>3918.8954874506912</v>
      </c>
      <c r="H36" s="32">
        <f>'Data_Raw++ (2018)'!H37/100</f>
        <v>1170.5791715761804</v>
      </c>
      <c r="I36" s="32">
        <f>'Data_Raw++ (2018)'!I37/100</f>
        <v>1755.8687573642706</v>
      </c>
      <c r="J36" s="32">
        <f>'Data_Raw++ (2018)'!J37/100</f>
        <v>1170.5791715761804</v>
      </c>
      <c r="K36" s="32">
        <f>'Data_Raw++ (2018)'!K37/100</f>
        <v>957.74659492596572</v>
      </c>
      <c r="L36" s="32">
        <f>'Data_Raw++ (2018)'!L37/100</f>
        <v>471.72593481428163</v>
      </c>
      <c r="M36" s="32">
        <f>'Data_Raw++ (2018)'!M37/100</f>
        <v>553.76522782546112</v>
      </c>
      <c r="N36" s="32">
        <f>'Data_Raw++ (2018)'!N37/100</f>
        <v>599.91233014424961</v>
      </c>
      <c r="O36" s="32">
        <f>'Data_Raw++ (2018)'!O37/100</f>
        <v>323.02971623151899</v>
      </c>
      <c r="P36" s="32">
        <f>'Data_Raw++ (2018)'!P37/100</f>
        <v>379.20879731526145</v>
      </c>
      <c r="Q36" s="32">
        <f>'Data_Raw++ (2018)'!Q37/100</f>
        <v>242.44496877533115</v>
      </c>
      <c r="R36" s="32">
        <f>'Data_Raw++ (2018)'!R37/100</f>
        <v>148.59530344294492</v>
      </c>
      <c r="S36" s="32">
        <f>'Data_Raw++ (2018)'!S37/100</f>
        <v>222.89295516441737</v>
      </c>
      <c r="T36" s="32">
        <f>'Data_Raw++ (2018)'!T37/100</f>
        <v>100.14031318981071</v>
      </c>
      <c r="U36" s="32">
        <f>'Data_Raw++ (2018)'!U37/100</f>
        <v>138.28900392878623</v>
      </c>
      <c r="V36" s="32">
        <f>'Data_Raw++ (2018)'!V37/100</f>
        <v>138.28900392878623</v>
      </c>
      <c r="W36" s="32">
        <f>'Data_Raw++ (2018)'!W37/100</f>
        <v>34.57225098219655</v>
      </c>
      <c r="X36" s="32">
        <f>'Data_Raw++ (2018)'!X37/100</f>
        <v>38.985729830987609</v>
      </c>
      <c r="Y36" s="32">
        <f>'Data_Raw++ (2018)'!Y37/100</f>
        <v>37.456877680752797</v>
      </c>
      <c r="Z36" s="32">
        <f>'Data_Raw++ (2018)'!Z37/100</f>
        <v>40.578284154148875</v>
      </c>
      <c r="AA36" s="32">
        <f>'Data_Raw++ (2018)'!AA37/100</f>
        <v>27.052189436099251</v>
      </c>
      <c r="AB36" s="32">
        <f>'Data_Raw++ (2018)'!AB37/100</f>
        <v>6.7197638559270549</v>
      </c>
      <c r="AC36" s="32">
        <f>'Data_Raw++ (2018)'!AC37/100</f>
        <v>5.724243284678602</v>
      </c>
      <c r="AD36" s="32">
        <f>'Data_Raw++ (2018)'!AD37/100</f>
        <v>6.7197638559270549</v>
      </c>
      <c r="AE36" s="32">
        <f>'Data_Raw++ (2018)'!AE37/100</f>
        <v>6.7197638559270549</v>
      </c>
      <c r="AF36" s="32">
        <f>'Data_Raw++ (2018)'!AF37/100</f>
        <v>2.7446922791814727</v>
      </c>
      <c r="AG36" s="32">
        <f>'Data_Raw++ (2018)'!AG37/100</f>
        <v>2.8567205354745937</v>
      </c>
      <c r="AH36" s="32">
        <f>'Data_Raw++ (2018)'!AH37/100</f>
        <v>5.0786142852881673</v>
      </c>
      <c r="AI36" s="32">
        <f>'Data_Raw++ (2018)'!AI37/100</f>
        <v>4.879452940767063</v>
      </c>
      <c r="AJ36" s="32">
        <f>'Data_Raw++ (2018)'!AJ37/100</f>
        <v>2.2962131485962645</v>
      </c>
      <c r="AK36" s="32">
        <f>'Data_Raw++ (2018)'!AK37/100</f>
        <v>14.105309341377053</v>
      </c>
      <c r="AL36" s="32">
        <f>'Data_Raw++ (2018)'!AL37/100</f>
        <v>0</v>
      </c>
      <c r="AM36" s="32">
        <f>'Data_Raw++ (2018)'!AM37/100</f>
        <v>8.0805241172764006</v>
      </c>
      <c r="AN36" s="32">
        <f>'Data_Raw++ (2018)'!AN37/100</f>
        <v>0.43085702142742166</v>
      </c>
      <c r="AO36" s="32">
        <f>'Data_Raw++ (2018)'!AO37/100</f>
        <v>9.4858326594114271</v>
      </c>
      <c r="AP36" s="32">
        <f>'Data_Raw++ (2018)'!AP37/100</f>
        <v>5.3357808709189278</v>
      </c>
      <c r="AQ36" s="32">
        <f>'Data_Raw++ (2018)'!AQ37/100</f>
        <v>6.7909938357150006</v>
      </c>
      <c r="AR36" s="32">
        <f>'Data_Raw++ (2018)'!AR37/100</f>
        <v>9.3780391064635715</v>
      </c>
      <c r="AS36" s="32">
        <f>'Data_Raw++ (2018)'!AS37/100</f>
        <v>3.126013035487857</v>
      </c>
      <c r="AT36" s="32">
        <f>'Data_Raw++ (2018)'!AT37/100</f>
        <v>0</v>
      </c>
      <c r="AU36" s="32">
        <f>'Data_Raw++ (2018)'!AU37/100</f>
        <v>1.3643805678535019</v>
      </c>
      <c r="AV36" s="32">
        <f>'Data_Raw++ (2018)'!AV37/100</f>
        <v>0.58473452908007229</v>
      </c>
      <c r="AW36" s="32">
        <f>'Data_Raw++ (2018)'!AW37/100</f>
        <v>1.3643805678535019</v>
      </c>
      <c r="AX36" s="32">
        <f>'Data_Raw++ (2018)'!AX37/100</f>
        <v>0</v>
      </c>
      <c r="AY36" s="32">
        <f>'Data_Raw++ (2018)'!AY37/100</f>
        <v>0.35251938116789039</v>
      </c>
      <c r="AZ36" s="32">
        <f>'Data_Raw++ (2018)'!AZ37/100</f>
        <v>0</v>
      </c>
      <c r="BA36" s="32">
        <f>'Data_Raw++ (2018)'!BA37/100</f>
        <v>0</v>
      </c>
      <c r="BB36" s="32">
        <f>'Data_Raw++ (2018)'!BB37/100</f>
        <v>0</v>
      </c>
      <c r="BC36" s="32">
        <f>'Data_Raw++ (2018)'!BC37/100</f>
        <v>0</v>
      </c>
      <c r="BD36" s="32">
        <f>'Data_Raw++ (2018)'!BD37/100</f>
        <v>0</v>
      </c>
      <c r="BE36" s="32">
        <f>'Data_Raw++ (2018)'!BE37/100</f>
        <v>0</v>
      </c>
      <c r="BF36" s="32">
        <f>'Data_Raw++ (2018)'!BF37/100</f>
        <v>0</v>
      </c>
      <c r="BG36" s="32">
        <f>'Data_Raw++ (2018)'!BG37/100</f>
        <v>0</v>
      </c>
      <c r="BH36" s="32">
        <f>'Data_Raw++ (2018)'!BH37/100</f>
        <v>0</v>
      </c>
      <c r="BI36" s="32">
        <f>'Data_Raw++ (2018)'!BI37/100</f>
        <v>0</v>
      </c>
      <c r="BJ36" s="32">
        <f>'Data_Raw++ (2018)'!BJ37/100</f>
        <v>0</v>
      </c>
      <c r="BK36" s="32">
        <f>'Data_Raw++ (2018)'!BK37/100</f>
        <v>0</v>
      </c>
      <c r="BL36" s="32">
        <f>'Data_Raw++ (2018)'!BL37/100</f>
        <v>0</v>
      </c>
      <c r="BM36" s="32">
        <f>'Data_Raw++ (2018)'!BM37/100</f>
        <v>0</v>
      </c>
      <c r="BN36" s="32">
        <f>'Data_Raw++ (2018)'!BN37/100</f>
        <v>0</v>
      </c>
      <c r="BO36" s="32">
        <f>'Data_Raw++ (2018)'!BO37/100</f>
        <v>0</v>
      </c>
    </row>
    <row r="37" spans="1:67" x14ac:dyDescent="0.2">
      <c r="A37" s="34" t="s">
        <v>120</v>
      </c>
      <c r="B37" s="32">
        <f>'Data_Raw++ (2018)'!B38/100</f>
        <v>5000</v>
      </c>
      <c r="C37" s="32">
        <f>'Data_Raw++ (2018)'!C38/100</f>
        <v>4803.9215686274511</v>
      </c>
      <c r="D37" s="32">
        <f>'Data_Raw++ (2018)'!D38/100</f>
        <v>4615.5324875048054</v>
      </c>
      <c r="E37" s="32">
        <f>'Data_Raw++ (2018)'!E38/100</f>
        <v>3626.4898116109184</v>
      </c>
      <c r="F37" s="32">
        <f>'Data_Raw++ (2018)'!F38/100</f>
        <v>3089.232061742634</v>
      </c>
      <c r="G37" s="32">
        <f>'Data_Raw++ (2018)'!G38/100</f>
        <v>3089.232061742634</v>
      </c>
      <c r="H37" s="32">
        <f>'Data_Raw++ (2018)'!H38/100</f>
        <v>1029.744020580878</v>
      </c>
      <c r="I37" s="32">
        <f>'Data_Raw++ (2018)'!I38/100</f>
        <v>1208.8299372036395</v>
      </c>
      <c r="J37" s="32">
        <f>'Data_Raw++ (2018)'!J38/100</f>
        <v>1208.8299372036395</v>
      </c>
      <c r="K37" s="32">
        <f>'Data_Raw++ (2018)'!K38/100</f>
        <v>805.88662480242635</v>
      </c>
      <c r="L37" s="32">
        <f>'Data_Raw++ (2018)'!L38/100</f>
        <v>433.93895181669109</v>
      </c>
      <c r="M37" s="32">
        <f>'Data_Raw++ (2018)'!M38/100</f>
        <v>400.55903244617645</v>
      </c>
      <c r="N37" s="32">
        <f>'Data_Raw++ (2018)'!N38/100</f>
        <v>553.15294956852938</v>
      </c>
      <c r="O37" s="32">
        <f>'Data_Raw++ (2018)'!O38/100</f>
        <v>339.02922715490507</v>
      </c>
      <c r="P37" s="32">
        <f>'Data_Raw++ (2018)'!P38/100</f>
        <v>487.87132688144885</v>
      </c>
      <c r="Q37" s="32">
        <f>'Data_Raw++ (2018)'!Q38/100</f>
        <v>154.06462954151016</v>
      </c>
      <c r="R37" s="32">
        <f>'Data_Raw++ (2018)'!R38/100</f>
        <v>126.05287871578102</v>
      </c>
      <c r="S37" s="32">
        <f>'Data_Raw++ (2018)'!S38/100</f>
        <v>80.591184752712465</v>
      </c>
      <c r="T37" s="32">
        <f>'Data_Raw++ (2018)'!T38/100</f>
        <v>68.651749974532834</v>
      </c>
      <c r="U37" s="32">
        <f>'Data_Raw++ (2018)'!U38/100</f>
        <v>83.907694413317913</v>
      </c>
      <c r="V37" s="32">
        <f>'Data_Raw++ (2018)'!V38/100</f>
        <v>53.645902985563914</v>
      </c>
      <c r="W37" s="32">
        <f>'Data_Raw++ (2018)'!W38/100</f>
        <v>27.635768204684442</v>
      </c>
      <c r="X37" s="32">
        <f>'Data_Raw++ (2018)'!X38/100</f>
        <v>31.163738613793097</v>
      </c>
      <c r="Y37" s="32">
        <f>'Data_Raw++ (2018)'!Y38/100</f>
        <v>23.509487024440411</v>
      </c>
      <c r="Z37" s="32">
        <f>'Data_Raw++ (2018)'!Z38/100</f>
        <v>20.026600057856644</v>
      </c>
      <c r="AA37" s="32">
        <f>'Data_Raw++ (2018)'!AA38/100</f>
        <v>44.575335612648658</v>
      </c>
      <c r="AB37" s="32">
        <f>'Data_Raw++ (2018)'!AB38/100</f>
        <v>10.782773684699709</v>
      </c>
      <c r="AC37" s="32">
        <f>'Data_Raw++ (2018)'!AC38/100</f>
        <v>7.4931139164862399</v>
      </c>
      <c r="AD37" s="32">
        <f>'Data_Raw++ (2018)'!AD38/100</f>
        <v>8.1175400761934267</v>
      </c>
      <c r="AE37" s="32">
        <f>'Data_Raw++ (2018)'!AE38/100</f>
        <v>7.1985732751149234</v>
      </c>
      <c r="AF37" s="32">
        <f>'Data_Raw++ (2018)'!AF38/100</f>
        <v>4.2277335107817802</v>
      </c>
      <c r="AG37" s="32">
        <f>'Data_Raw++ (2018)'!AG38/100</f>
        <v>5.1672298465110655</v>
      </c>
      <c r="AH37" s="32">
        <f>'Data_Raw++ (2018)'!AH38/100</f>
        <v>4.5822604299249061</v>
      </c>
      <c r="AI37" s="32">
        <f>'Data_Raw++ (2018)'!AI38/100</f>
        <v>4.5822604299249061</v>
      </c>
      <c r="AJ37" s="32">
        <f>'Data_Raw++ (2018)'!AJ38/100</f>
        <v>8.1462407643109458</v>
      </c>
      <c r="AK37" s="32">
        <f>'Data_Raw++ (2018)'!AK38/100</f>
        <v>1.6685071444974229</v>
      </c>
      <c r="AL37" s="32">
        <f>'Data_Raw++ (2018)'!AL38/100</f>
        <v>1.0667504694327787</v>
      </c>
      <c r="AM37" s="32">
        <f>'Data_Raw++ (2018)'!AM38/100</f>
        <v>2.7430726356842876</v>
      </c>
      <c r="AN37" s="32">
        <f>'Data_Raw++ (2018)'!AN38/100</f>
        <v>1.8287150904561917</v>
      </c>
      <c r="AO37" s="32">
        <f>'Data_Raw++ (2018)'!AO38/100</f>
        <v>3.5498587050031953</v>
      </c>
      <c r="AP37" s="32">
        <f>'Data_Raw++ (2018)'!AP38/100</f>
        <v>2.2695817950020429</v>
      </c>
      <c r="AQ37" s="32">
        <f>'Data_Raw++ (2018)'!AQ38/100</f>
        <v>0</v>
      </c>
      <c r="AR37" s="32">
        <f>'Data_Raw++ (2018)'!AR38/100</f>
        <v>5.5093111431363502</v>
      </c>
      <c r="AS37" s="32">
        <f>'Data_Raw++ (2018)'!AS38/100</f>
        <v>3.828504353704921</v>
      </c>
      <c r="AT37" s="32">
        <f>'Data_Raw++ (2018)'!AT38/100</f>
        <v>0</v>
      </c>
      <c r="AU37" s="32">
        <f>'Data_Raw++ (2018)'!AU38/100</f>
        <v>1.496221437645975</v>
      </c>
      <c r="AV37" s="32">
        <f>'Data_Raw++ (2018)'!AV38/100</f>
        <v>0.58186389241787928</v>
      </c>
      <c r="AW37" s="32">
        <f>'Data_Raw++ (2018)'!AW38/100</f>
        <v>0</v>
      </c>
      <c r="AX37" s="32">
        <f>'Data_Raw++ (2018)'!AX38/100</f>
        <v>0</v>
      </c>
      <c r="AY37" s="32">
        <f>'Data_Raw++ (2018)'!AY38/100</f>
        <v>0.86057180727350191</v>
      </c>
      <c r="AZ37" s="32">
        <f>'Data_Raw++ (2018)'!AZ38/100</f>
        <v>0</v>
      </c>
      <c r="BA37" s="32">
        <f>'Data_Raw++ (2018)'!BA38/100</f>
        <v>0</v>
      </c>
      <c r="BB37" s="32">
        <f>'Data_Raw++ (2018)'!BB38/100</f>
        <v>0</v>
      </c>
      <c r="BC37" s="32">
        <f>'Data_Raw++ (2018)'!BC38/100</f>
        <v>0</v>
      </c>
      <c r="BD37" s="32">
        <f>'Data_Raw++ (2018)'!BD38/100</f>
        <v>0</v>
      </c>
      <c r="BE37" s="32">
        <f>'Data_Raw++ (2018)'!BE38/100</f>
        <v>0</v>
      </c>
      <c r="BF37" s="32">
        <f>'Data_Raw++ (2018)'!BF38/100</f>
        <v>0</v>
      </c>
      <c r="BG37" s="32">
        <f>'Data_Raw++ (2018)'!BG38/100</f>
        <v>0</v>
      </c>
      <c r="BH37" s="32">
        <f>'Data_Raw++ (2018)'!BH38/100</f>
        <v>0</v>
      </c>
      <c r="BI37" s="32">
        <f>'Data_Raw++ (2018)'!BI38/100</f>
        <v>0</v>
      </c>
      <c r="BJ37" s="32">
        <f>'Data_Raw++ (2018)'!BJ38/100</f>
        <v>0</v>
      </c>
      <c r="BK37" s="32">
        <f>'Data_Raw++ (2018)'!BK38/100</f>
        <v>0</v>
      </c>
      <c r="BL37" s="32">
        <f>'Data_Raw++ (2018)'!BL38/100</f>
        <v>0</v>
      </c>
      <c r="BM37" s="32">
        <f>'Data_Raw++ (2018)'!BM38/100</f>
        <v>0</v>
      </c>
      <c r="BN37" s="32">
        <f>'Data_Raw++ (2018)'!BN38/100</f>
        <v>0</v>
      </c>
      <c r="BO37" s="32">
        <f>'Data_Raw++ (2018)'!BO38/100</f>
        <v>0</v>
      </c>
    </row>
    <row r="38" spans="1:67" x14ac:dyDescent="0.2">
      <c r="A38" s="34" t="s">
        <v>123</v>
      </c>
      <c r="B38" s="32">
        <f>'Data_Raw++ (2018)'!B39/100</f>
        <v>5000</v>
      </c>
      <c r="C38" s="32">
        <f>'Data_Raw++ (2018)'!C39/100</f>
        <v>4090.9090909090905</v>
      </c>
      <c r="D38" s="32">
        <f>'Data_Raw++ (2018)'!D39/100</f>
        <v>3930.4812834224595</v>
      </c>
      <c r="E38" s="32">
        <f>'Data_Raw++ (2018)'!E39/100</f>
        <v>3088.2352941176464</v>
      </c>
      <c r="F38" s="32">
        <f>'Data_Raw++ (2018)'!F39/100</f>
        <v>2426.4705882352932</v>
      </c>
      <c r="G38" s="32">
        <f>'Data_Raw++ (2018)'!G39/100</f>
        <v>2628.6764705882351</v>
      </c>
      <c r="H38" s="32">
        <f>'Data_Raw++ (2018)'!H39/100</f>
        <v>1752.4509803921567</v>
      </c>
      <c r="I38" s="32">
        <f>'Data_Raw++ (2018)'!I39/100</f>
        <v>1554.0603033666296</v>
      </c>
      <c r="J38" s="32">
        <f>'Data_Raw++ (2018)'!J39/100</f>
        <v>912.70208292960774</v>
      </c>
      <c r="K38" s="32">
        <f>'Data_Raw++ (2018)'!K39/100</f>
        <v>746.75624966967894</v>
      </c>
      <c r="L38" s="32">
        <f>'Data_Raw++ (2018)'!L39/100</f>
        <v>335.49918463420363</v>
      </c>
      <c r="M38" s="32">
        <f>'Data_Raw++ (2018)'!M39/100</f>
        <v>524.75513494067741</v>
      </c>
      <c r="N38" s="32">
        <f>'Data_Raw++ (2018)'!N39/100</f>
        <v>504.17650219790573</v>
      </c>
      <c r="O38" s="32">
        <f>'Data_Raw++ (2018)'!O39/100</f>
        <v>336.11766813193719</v>
      </c>
      <c r="P38" s="32">
        <f>'Data_Raw++ (2018)'!P39/100</f>
        <v>310.26246289101886</v>
      </c>
      <c r="Q38" s="32">
        <f>'Data_Raw++ (2018)'!Q39/100</f>
        <v>485.2823137526193</v>
      </c>
      <c r="R38" s="32">
        <f>'Data_Raw++ (2018)'!R39/100</f>
        <v>121.32057843815483</v>
      </c>
      <c r="S38" s="32">
        <f>'Data_Raw++ (2018)'!S39/100</f>
        <v>121.32057843815483</v>
      </c>
      <c r="T38" s="32">
        <f>'Data_Raw++ (2018)'!T39/100</f>
        <v>91.522541628783472</v>
      </c>
      <c r="U38" s="32">
        <f>'Data_Raw++ (2018)'!U39/100</f>
        <v>38.82774493342329</v>
      </c>
      <c r="V38" s="32">
        <f>'Data_Raw++ (2018)'!V39/100</f>
        <v>54.716829695896749</v>
      </c>
      <c r="W38" s="32">
        <f>'Data_Raw++ (2018)'!W39/100</f>
        <v>36.477886463931171</v>
      </c>
      <c r="X38" s="32">
        <f>'Data_Raw++ (2018)'!X39/100</f>
        <v>59.314882611518321</v>
      </c>
      <c r="Y38" s="32">
        <f>'Data_Raw++ (2018)'!Y39/100</f>
        <v>81.911028368287205</v>
      </c>
      <c r="Z38" s="32">
        <f>'Data_Raw++ (2018)'!Z39/100</f>
        <v>48.401971308533348</v>
      </c>
      <c r="AA38" s="32">
        <f>'Data_Raw++ (2018)'!AA39/100</f>
        <v>25.5411744080326</v>
      </c>
      <c r="AB38" s="32">
        <f>'Data_Raw++ (2018)'!AB39/100</f>
        <v>6.2218300857967401</v>
      </c>
      <c r="AC38" s="32">
        <f>'Data_Raw++ (2018)'!AC39/100</f>
        <v>6.2218300857967401</v>
      </c>
      <c r="AD38" s="32">
        <f>'Data_Raw++ (2018)'!AD39/100</f>
        <v>5.97783674909883</v>
      </c>
      <c r="AE38" s="32">
        <f>'Data_Raw++ (2018)'!AE39/100</f>
        <v>5.7434117785459344</v>
      </c>
      <c r="AF38" s="32">
        <f>'Data_Raw++ (2018)'!AF39/100</f>
        <v>3.5896323615912085</v>
      </c>
      <c r="AG38" s="32">
        <f>'Data_Raw++ (2018)'!AG39/100</f>
        <v>0</v>
      </c>
      <c r="AH38" s="32">
        <f>'Data_Raw++ (2018)'!AH39/100</f>
        <v>30.295859807448693</v>
      </c>
      <c r="AI38" s="32">
        <f>'Data_Raw++ (2018)'!AI39/100</f>
        <v>0</v>
      </c>
      <c r="AJ38" s="32">
        <f>'Data_Raw++ (2018)'!AJ39/100</f>
        <v>0</v>
      </c>
      <c r="AK38" s="32">
        <f>'Data_Raw++ (2018)'!AK39/100</f>
        <v>0</v>
      </c>
      <c r="AL38" s="32">
        <f>'Data_Raw++ (2018)'!AL39/100</f>
        <v>0</v>
      </c>
      <c r="AM38" s="32">
        <f>'Data_Raw++ (2018)'!AM39/100</f>
        <v>16.329603310053631</v>
      </c>
      <c r="AN38" s="32">
        <f>'Data_Raw++ (2018)'!AN39/100</f>
        <v>12.318823549689583</v>
      </c>
      <c r="AO38" s="32">
        <f>'Data_Raw++ (2018)'!AO39/100</f>
        <v>0</v>
      </c>
      <c r="AP38" s="32">
        <f>'Data_Raw++ (2018)'!AP39/100</f>
        <v>0</v>
      </c>
      <c r="AQ38" s="32">
        <f>'Data_Raw++ (2018)'!AQ39/100</f>
        <v>0</v>
      </c>
      <c r="AR38" s="32">
        <f>'Data_Raw++ (2018)'!AR39/100</f>
        <v>0</v>
      </c>
      <c r="AS38" s="32">
        <f>'Data_Raw++ (2018)'!AS39/100</f>
        <v>8.5137248026775332</v>
      </c>
      <c r="AT38" s="32">
        <f>'Data_Raw++ (2018)'!AT39/100</f>
        <v>0</v>
      </c>
      <c r="AU38" s="32">
        <f>'Data_Raw++ (2018)'!AU39/100</f>
        <v>0</v>
      </c>
      <c r="AV38" s="32">
        <f>'Data_Raw++ (2018)'!AV39/100</f>
        <v>0</v>
      </c>
      <c r="AW38" s="32">
        <f>'Data_Raw++ (2018)'!AW39/100</f>
        <v>0</v>
      </c>
      <c r="AX38" s="32">
        <f>'Data_Raw++ (2018)'!AX39/100</f>
        <v>0</v>
      </c>
      <c r="AY38" s="32">
        <f>'Data_Raw++ (2018)'!AY39/100</f>
        <v>0</v>
      </c>
      <c r="AZ38" s="32">
        <f>'Data_Raw++ (2018)'!AZ39/100</f>
        <v>0</v>
      </c>
      <c r="BA38" s="32">
        <f>'Data_Raw++ (2018)'!BA39/100</f>
        <v>0</v>
      </c>
      <c r="BB38" s="32">
        <f>'Data_Raw++ (2018)'!BB39/100</f>
        <v>0</v>
      </c>
      <c r="BC38" s="32">
        <f>'Data_Raw++ (2018)'!BC39/100</f>
        <v>0</v>
      </c>
      <c r="BD38" s="32">
        <f>'Data_Raw++ (2018)'!BD39/100</f>
        <v>0</v>
      </c>
      <c r="BE38" s="32">
        <f>'Data_Raw++ (2018)'!BE39/100</f>
        <v>0</v>
      </c>
      <c r="BF38" s="32">
        <f>'Data_Raw++ (2018)'!BF39/100</f>
        <v>0</v>
      </c>
      <c r="BG38" s="32">
        <f>'Data_Raw++ (2018)'!BG39/100</f>
        <v>0</v>
      </c>
      <c r="BH38" s="32">
        <f>'Data_Raw++ (2018)'!BH39/100</f>
        <v>0</v>
      </c>
      <c r="BI38" s="32">
        <f>'Data_Raw++ (2018)'!BI39/100</f>
        <v>0</v>
      </c>
      <c r="BJ38" s="32">
        <f>'Data_Raw++ (2018)'!BJ39/100</f>
        <v>0</v>
      </c>
      <c r="BK38" s="32">
        <f>'Data_Raw++ (2018)'!BK39/100</f>
        <v>0</v>
      </c>
      <c r="BL38" s="32">
        <f>'Data_Raw++ (2018)'!BL39/100</f>
        <v>0</v>
      </c>
      <c r="BM38" s="32">
        <f>'Data_Raw++ (2018)'!BM39/100</f>
        <v>0</v>
      </c>
      <c r="BN38" s="32">
        <f>'Data_Raw++ (2018)'!BN39/100</f>
        <v>0</v>
      </c>
      <c r="BO38" s="32">
        <f>'Data_Raw++ (2018)'!BO39/100</f>
        <v>0</v>
      </c>
    </row>
    <row r="39" spans="1:67" x14ac:dyDescent="0.2">
      <c r="A39" s="34" t="s">
        <v>126</v>
      </c>
      <c r="B39" s="32">
        <f>'Data_Raw++ (2018)'!B40/100</f>
        <v>5000</v>
      </c>
      <c r="C39" s="32">
        <f>'Data_Raw++ (2018)'!C40/100</f>
        <v>3771.9298245614041</v>
      </c>
      <c r="D39" s="32">
        <f>'Data_Raw++ (2018)'!D40/100</f>
        <v>3925.8861439312568</v>
      </c>
      <c r="E39" s="32">
        <f>'Data_Raw++ (2018)'!E40/100</f>
        <v>5421.4618178098308</v>
      </c>
      <c r="F39" s="32">
        <f>'Data_Raw++ (2018)'!F40/100</f>
        <v>5208.855472013367</v>
      </c>
      <c r="G39" s="32">
        <f>'Data_Raw++ (2018)'!G40/100</f>
        <v>3059.1690867380089</v>
      </c>
      <c r="H39" s="32">
        <f>'Data_Raw++ (2018)'!H40/100</f>
        <v>1249.519767822567</v>
      </c>
      <c r="I39" s="32">
        <f>'Data_Raw++ (2018)'!I40/100</f>
        <v>1108.064699767182</v>
      </c>
      <c r="J39" s="32">
        <f>'Data_Raw++ (2018)'!J40/100</f>
        <v>1064.6111821292534</v>
      </c>
      <c r="K39" s="32">
        <f>'Data_Raw++ (2018)'!K40/100</f>
        <v>982.71801427315688</v>
      </c>
      <c r="L39" s="32">
        <f>'Data_Raw++ (2018)'!L40/100</f>
        <v>602.31104100612833</v>
      </c>
      <c r="M39" s="32">
        <f>'Data_Raw++ (2018)'!M40/100</f>
        <v>534.12488542052893</v>
      </c>
      <c r="N39" s="32">
        <f>'Data_Raw++ (2018)'!N40/100</f>
        <v>327.36686525774354</v>
      </c>
      <c r="O39" s="32">
        <f>'Data_Raw++ (2018)'!O40/100</f>
        <v>302.18479869945554</v>
      </c>
      <c r="P39" s="32">
        <f>'Data_Raw++ (2018)'!P40/100</f>
        <v>453.27719804918326</v>
      </c>
      <c r="Q39" s="32">
        <f>'Data_Raw++ (2018)'!Q40/100</f>
        <v>223.25593336750819</v>
      </c>
      <c r="R39" s="32">
        <f>'Data_Raw++ (2018)'!R40/100</f>
        <v>100.30339035351817</v>
      </c>
      <c r="S39" s="32">
        <f>'Data_Raw++ (2018)'!S40/100</f>
        <v>122.5930326543</v>
      </c>
      <c r="T39" s="32">
        <f>'Data_Raw++ (2018)'!T40/100</f>
        <v>47.675068254450004</v>
      </c>
      <c r="U39" s="32">
        <f>'Data_Raw++ (2018)'!U40/100</f>
        <v>77.785637678313165</v>
      </c>
      <c r="V39" s="32">
        <f>'Data_Raw++ (2018)'!V40/100</f>
        <v>91.313574665845906</v>
      </c>
      <c r="W39" s="32">
        <f>'Data_Raw++ (2018)'!W40/100</f>
        <v>22.828393666461476</v>
      </c>
      <c r="X39" s="32">
        <f>'Data_Raw++ (2018)'!X40/100</f>
        <v>44.313940646660512</v>
      </c>
      <c r="Y39" s="32">
        <f>'Data_Raw++ (2018)'!Y40/100</f>
        <v>28.331863692127218</v>
      </c>
      <c r="Z39" s="32">
        <f>'Data_Raw++ (2018)'!Z40/100</f>
        <v>25.12448289679206</v>
      </c>
      <c r="AA39" s="32">
        <f>'Data_Raw++ (2018)'!AA40/100</f>
        <v>18.953557273018575</v>
      </c>
      <c r="AB39" s="32">
        <f>'Data_Raw++ (2018)'!AB40/100</f>
        <v>4.6170865517073238</v>
      </c>
      <c r="AC39" s="32">
        <f>'Data_Raw++ (2018)'!AC40/100</f>
        <v>3.7776162695787194</v>
      </c>
      <c r="AD39" s="32">
        <f>'Data_Raw++ (2018)'!AD40/100</f>
        <v>3.0907769478371341</v>
      </c>
      <c r="AE39" s="32">
        <f>'Data_Raw++ (2018)'!AE40/100</f>
        <v>2.3316387501227509</v>
      </c>
      <c r="AF39" s="32">
        <f>'Data_Raw++ (2018)'!AF40/100</f>
        <v>1.8320018750964469</v>
      </c>
      <c r="AG39" s="32">
        <f>'Data_Raw++ (2018)'!AG40/100</f>
        <v>6.4952793753419478</v>
      </c>
      <c r="AH39" s="32">
        <f>'Data_Raw++ (2018)'!AH40/100</f>
        <v>2.4023636045785288</v>
      </c>
      <c r="AI39" s="32">
        <f>'Data_Raw++ (2018)'!AI40/100</f>
        <v>1.9655702219278874</v>
      </c>
      <c r="AJ39" s="32">
        <f>'Data_Raw++ (2018)'!AJ40/100</f>
        <v>1.3659047304922607</v>
      </c>
      <c r="AK39" s="32">
        <f>'Data_Raw++ (2018)'!AK40/100</f>
        <v>3.6930016787383342</v>
      </c>
      <c r="AL39" s="32">
        <f>'Data_Raw++ (2018)'!AL40/100</f>
        <v>0.43447078573392162</v>
      </c>
      <c r="AM39" s="32">
        <f>'Data_Raw++ (2018)'!AM40/100</f>
        <v>5.9853338756900758</v>
      </c>
      <c r="AN39" s="32">
        <f>'Data_Raw++ (2018)'!AN40/100</f>
        <v>2.4447138365494676</v>
      </c>
      <c r="AO39" s="32">
        <f>'Data_Raw++ (2018)'!AO40/100</f>
        <v>3.9887436280543942</v>
      </c>
      <c r="AP39" s="32">
        <f>'Data_Raw++ (2018)'!AP40/100</f>
        <v>2.4447138365494676</v>
      </c>
      <c r="AQ39" s="32">
        <f>'Data_Raw++ (2018)'!AQ40/100</f>
        <v>0</v>
      </c>
      <c r="AR39" s="32">
        <f>'Data_Raw++ (2018)'!AR40/100</f>
        <v>3.0854628118867446</v>
      </c>
      <c r="AS39" s="32">
        <f>'Data_Raw++ (2018)'!AS40/100</f>
        <v>12.341851247546979</v>
      </c>
      <c r="AT39" s="32">
        <f>'Data_Raw++ (2018)'!AT40/100</f>
        <v>4.7996088184904924</v>
      </c>
      <c r="AU39" s="32">
        <f>'Data_Raw++ (2018)'!AU40/100</f>
        <v>2.3639864329878542</v>
      </c>
      <c r="AV39" s="32">
        <f>'Data_Raw++ (2018)'!AV40/100</f>
        <v>0</v>
      </c>
      <c r="AW39" s="32">
        <f>'Data_Raw++ (2018)'!AW40/100</f>
        <v>2.1679537795816031</v>
      </c>
      <c r="AX39" s="32">
        <f>'Data_Raw++ (2018)'!AX40/100</f>
        <v>3.6913807598281347</v>
      </c>
      <c r="AY39" s="32">
        <f>'Data_Raw++ (2018)'!AY40/100</f>
        <v>0</v>
      </c>
      <c r="AZ39" s="32">
        <f>'Data_Raw++ (2018)'!AZ40/100</f>
        <v>1.6988689372631893</v>
      </c>
      <c r="BA39" s="32">
        <f>'Data_Raw++ (2018)'!BA40/100</f>
        <v>0</v>
      </c>
      <c r="BB39" s="32">
        <f>'Data_Raw++ (2018)'!BB40/100</f>
        <v>0</v>
      </c>
      <c r="BC39" s="32">
        <f>'Data_Raw++ (2018)'!BC40/100</f>
        <v>0</v>
      </c>
      <c r="BD39" s="32">
        <f>'Data_Raw++ (2018)'!BD40/100</f>
        <v>0</v>
      </c>
      <c r="BE39" s="32">
        <f>'Data_Raw++ (2018)'!BE40/100</f>
        <v>0</v>
      </c>
      <c r="BF39" s="32">
        <f>'Data_Raw++ (2018)'!BF40/100</f>
        <v>0</v>
      </c>
      <c r="BG39" s="32">
        <f>'Data_Raw++ (2018)'!BG40/100</f>
        <v>0</v>
      </c>
      <c r="BH39" s="32">
        <f>'Data_Raw++ (2018)'!BH40/100</f>
        <v>0</v>
      </c>
      <c r="BI39" s="32">
        <f>'Data_Raw++ (2018)'!BI40/100</f>
        <v>0</v>
      </c>
      <c r="BJ39" s="32">
        <f>'Data_Raw++ (2018)'!BJ40/100</f>
        <v>0</v>
      </c>
      <c r="BK39" s="32">
        <f>'Data_Raw++ (2018)'!BK40/100</f>
        <v>0</v>
      </c>
      <c r="BL39" s="32">
        <f>'Data_Raw++ (2018)'!BL40/100</f>
        <v>0</v>
      </c>
      <c r="BM39" s="32">
        <f>'Data_Raw++ (2018)'!BM40/100</f>
        <v>0</v>
      </c>
      <c r="BN39" s="32">
        <f>'Data_Raw++ (2018)'!BN40/100</f>
        <v>0</v>
      </c>
      <c r="BO39" s="32">
        <f>'Data_Raw++ (2018)'!BO40/100</f>
        <v>0</v>
      </c>
    </row>
    <row r="40" spans="1:67" x14ac:dyDescent="0.2">
      <c r="A40" s="34" t="s">
        <v>122</v>
      </c>
      <c r="B40" s="32">
        <f>'Data_Raw++ (2018)'!B41/100</f>
        <v>5000</v>
      </c>
      <c r="C40" s="32">
        <f>'Data_Raw++ (2018)'!C41/100</f>
        <v>3620.6896551724139</v>
      </c>
      <c r="D40" s="32">
        <f>'Data_Raw++ (2018)'!D41/100</f>
        <v>4608.150470219437</v>
      </c>
      <c r="E40" s="32">
        <f>'Data_Raw++ (2018)'!E41/100</f>
        <v>2824.3502881990098</v>
      </c>
      <c r="F40" s="32">
        <f>'Data_Raw++ (2018)'!F41/100</f>
        <v>2939.6298917989693</v>
      </c>
      <c r="G40" s="32">
        <f>'Data_Raw++ (2018)'!G41/100</f>
        <v>3059.6147853417851</v>
      </c>
      <c r="H40" s="32">
        <f>'Data_Raw++ (2018)'!H41/100</f>
        <v>1875.2477716610942</v>
      </c>
      <c r="I40" s="32">
        <f>'Data_Raw++ (2018)'!I41/100</f>
        <v>1250.1651811073964</v>
      </c>
      <c r="J40" s="32">
        <f>'Data_Raw++ (2018)'!J41/100</f>
        <v>868.75885466785166</v>
      </c>
      <c r="K40" s="32">
        <f>'Data_Raw++ (2018)'!K41/100</f>
        <v>1019.8473511318258</v>
      </c>
      <c r="L40" s="32">
        <f>'Data_Raw++ (2018)'!L41/100</f>
        <v>273.17339762459619</v>
      </c>
      <c r="M40" s="32">
        <f>'Data_Raw++ (2018)'!M41/100</f>
        <v>1032.8429349563949</v>
      </c>
      <c r="N40" s="32">
        <f>'Data_Raw++ (2018)'!N41/100</f>
        <v>532.07060285632463</v>
      </c>
      <c r="O40" s="32">
        <f>'Data_Raw++ (2018)'!O41/100</f>
        <v>299.2897141066826</v>
      </c>
      <c r="P40" s="32">
        <f>'Data_Raw++ (2018)'!P41/100</f>
        <v>54.971580142043742</v>
      </c>
      <c r="Q40" s="32">
        <f>'Data_Raw++ (2018)'!Q41/100</f>
        <v>154.71736272626157</v>
      </c>
      <c r="R40" s="32">
        <f>'Data_Raw++ (2018)'!R41/100</f>
        <v>65.637669035383695</v>
      </c>
      <c r="S40" s="32">
        <f>'Data_Raw++ (2018)'!S41/100</f>
        <v>110.69619562849904</v>
      </c>
      <c r="T40" s="32">
        <f>'Data_Raw++ (2018)'!T41/100</f>
        <v>67.846055385209098</v>
      </c>
      <c r="U40" s="32">
        <f>'Data_Raw++ (2018)'!U41/100</f>
        <v>31.01533960466702</v>
      </c>
      <c r="V40" s="32">
        <f>'Data_Raw++ (2018)'!V41/100</f>
        <v>16.541514455822409</v>
      </c>
      <c r="W40" s="32">
        <f>'Data_Raw++ (2018)'!W41/100</f>
        <v>28.947650297689215</v>
      </c>
      <c r="X40" s="32">
        <f>'Data_Raw++ (2018)'!X41/100</f>
        <v>31.579254870206412</v>
      </c>
      <c r="Y40" s="32">
        <f>'Data_Raw++ (2018)'!Y41/100</f>
        <v>36.990863541275381</v>
      </c>
      <c r="Z40" s="32">
        <f>'Data_Raw++ (2018)'!Z41/100</f>
        <v>4.1100959490305975</v>
      </c>
      <c r="AA40" s="32">
        <f>'Data_Raw++ (2018)'!AA41/100</f>
        <v>121.56364214206265</v>
      </c>
      <c r="AB40" s="32">
        <f>'Data_Raw++ (2018)'!AB41/100</f>
        <v>21.528921023359299</v>
      </c>
      <c r="AC40" s="32">
        <f>'Data_Raw++ (2018)'!AC41/100</f>
        <v>16.61908361999329</v>
      </c>
      <c r="AD40" s="32">
        <f>'Data_Raw++ (2018)'!AD41/100</f>
        <v>24.928625429989935</v>
      </c>
      <c r="AE40" s="32">
        <f>'Data_Raw++ (2018)'!AE41/100</f>
        <v>15.937973635567337</v>
      </c>
      <c r="AF40" s="32">
        <f>'Data_Raw++ (2018)'!AF41/100</f>
        <v>6.5626950264100801</v>
      </c>
      <c r="AG40" s="32">
        <f>'Data_Raw++ (2018)'!AG41/100</f>
        <v>0</v>
      </c>
      <c r="AH40" s="32">
        <f>'Data_Raw++ (2018)'!AH41/100</f>
        <v>8.3525209427037392</v>
      </c>
      <c r="AI40" s="32">
        <f>'Data_Raw++ (2018)'!AI41/100</f>
        <v>0</v>
      </c>
      <c r="AJ40" s="32">
        <f>'Data_Raw++ (2018)'!AJ41/100</f>
        <v>0</v>
      </c>
      <c r="AK40" s="32">
        <f>'Data_Raw++ (2018)'!AK41/100</f>
        <v>0</v>
      </c>
      <c r="AL40" s="32">
        <f>'Data_Raw++ (2018)'!AL41/100</f>
        <v>0</v>
      </c>
      <c r="AM40" s="32">
        <f>'Data_Raw++ (2018)'!AM41/100</f>
        <v>0</v>
      </c>
      <c r="AN40" s="32">
        <f>'Data_Raw++ (2018)'!AN41/100</f>
        <v>10.189851996510265</v>
      </c>
      <c r="AO40" s="32">
        <f>'Data_Raw++ (2018)'!AO41/100</f>
        <v>0</v>
      </c>
      <c r="AP40" s="32">
        <f>'Data_Raw++ (2018)'!AP41/100</f>
        <v>0</v>
      </c>
      <c r="AQ40" s="32">
        <f>'Data_Raw++ (2018)'!AQ41/100</f>
        <v>0</v>
      </c>
      <c r="AR40" s="32">
        <f>'Data_Raw++ (2018)'!AR41/100</f>
        <v>0</v>
      </c>
      <c r="AS40" s="32">
        <f>'Data_Raw++ (2018)'!AS41/100</f>
        <v>0.84915433304252208</v>
      </c>
      <c r="AT40" s="32">
        <f>'Data_Raw++ (2018)'!AT41/100</f>
        <v>0</v>
      </c>
      <c r="AU40" s="32">
        <f>'Data_Raw++ (2018)'!AU41/100</f>
        <v>0</v>
      </c>
      <c r="AV40" s="32">
        <f>'Data_Raw++ (2018)'!AV41/100</f>
        <v>0</v>
      </c>
      <c r="AW40" s="32">
        <f>'Data_Raw++ (2018)'!AW41/100</f>
        <v>0</v>
      </c>
      <c r="AX40" s="32">
        <f>'Data_Raw++ (2018)'!AX41/100</f>
        <v>0</v>
      </c>
      <c r="AY40" s="32">
        <f>'Data_Raw++ (2018)'!AY41/100</f>
        <v>0</v>
      </c>
      <c r="AZ40" s="32">
        <f>'Data_Raw++ (2018)'!AZ41/100</f>
        <v>0</v>
      </c>
      <c r="BA40" s="32">
        <f>'Data_Raw++ (2018)'!BA41/100</f>
        <v>0</v>
      </c>
      <c r="BB40" s="32">
        <f>'Data_Raw++ (2018)'!BB41/100</f>
        <v>0</v>
      </c>
      <c r="BC40" s="32">
        <f>'Data_Raw++ (2018)'!BC41/100</f>
        <v>0</v>
      </c>
      <c r="BD40" s="32">
        <f>'Data_Raw++ (2018)'!BD41/100</f>
        <v>0</v>
      </c>
      <c r="BE40" s="32">
        <f>'Data_Raw++ (2018)'!BE41/100</f>
        <v>0</v>
      </c>
      <c r="BF40" s="32">
        <f>'Data_Raw++ (2018)'!BF41/100</f>
        <v>0</v>
      </c>
      <c r="BG40" s="32">
        <f>'Data_Raw++ (2018)'!BG41/100</f>
        <v>0</v>
      </c>
      <c r="BH40" s="32">
        <f>'Data_Raw++ (2018)'!BH41/100</f>
        <v>0</v>
      </c>
      <c r="BI40" s="32">
        <f>'Data_Raw++ (2018)'!BI41/100</f>
        <v>0</v>
      </c>
      <c r="BJ40" s="32">
        <f>'Data_Raw++ (2018)'!BJ41/100</f>
        <v>0</v>
      </c>
      <c r="BK40" s="32">
        <f>'Data_Raw++ (2018)'!BK41/100</f>
        <v>0</v>
      </c>
      <c r="BL40" s="32">
        <f>'Data_Raw++ (2018)'!BL41/100</f>
        <v>0</v>
      </c>
      <c r="BM40" s="32">
        <f>'Data_Raw++ (2018)'!BM41/100</f>
        <v>0</v>
      </c>
      <c r="BN40" s="32">
        <f>'Data_Raw++ (2018)'!BN41/100</f>
        <v>0</v>
      </c>
      <c r="BO40" s="32">
        <f>'Data_Raw++ (2018)'!BO41/100</f>
        <v>0</v>
      </c>
    </row>
    <row r="41" spans="1:67" x14ac:dyDescent="0.2">
      <c r="A41" s="34" t="s">
        <v>98</v>
      </c>
      <c r="B41" s="32">
        <f>'Data_Raw++ (2018)'!B42/100</f>
        <v>5000</v>
      </c>
      <c r="C41" s="32">
        <f>'Data_Raw++ (2018)'!C42/100</f>
        <v>3196.7213114754099</v>
      </c>
      <c r="D41" s="32">
        <f>'Data_Raw++ (2018)'!D42/100</f>
        <v>7115.2829190904276</v>
      </c>
      <c r="E41" s="32">
        <f>'Data_Raw++ (2018)'!E42/100</f>
        <v>2125.3442485594783</v>
      </c>
      <c r="F41" s="32">
        <f>'Data_Raw++ (2018)'!F42/100</f>
        <v>2302.4562692727686</v>
      </c>
      <c r="G41" s="32">
        <f>'Data_Raw++ (2018)'!G42/100</f>
        <v>2702.883446537598</v>
      </c>
      <c r="H41" s="32">
        <f>'Data_Raw++ (2018)'!H42/100</f>
        <v>2039.017336861697</v>
      </c>
      <c r="I41" s="32">
        <f>'Data_Raw++ (2018)'!I42/100</f>
        <v>1959.0558726710422</v>
      </c>
      <c r="J41" s="32">
        <f>'Data_Raw++ (2018)'!J42/100</f>
        <v>1959.0558726710422</v>
      </c>
      <c r="K41" s="32">
        <f>'Data_Raw++ (2018)'!K42/100</f>
        <v>1054.8762391305611</v>
      </c>
      <c r="L41" s="32">
        <f>'Data_Raw++ (2018)'!L42/100</f>
        <v>315.09290259744034</v>
      </c>
      <c r="M41" s="32">
        <f>'Data_Raw++ (2018)'!M42/100</f>
        <v>341.35064448056039</v>
      </c>
      <c r="N41" s="32">
        <f>'Data_Raw++ (2018)'!N42/100</f>
        <v>581.21866492635957</v>
      </c>
      <c r="O41" s="32">
        <f>'Data_Raw++ (2018)'!O42/100</f>
        <v>204.21196335250471</v>
      </c>
      <c r="P41" s="32">
        <f>'Data_Raw++ (2018)'!P42/100</f>
        <v>167.08251547023113</v>
      </c>
      <c r="Q41" s="32">
        <f>'Data_Raw++ (2018)'!Q42/100</f>
        <v>212.65047423483963</v>
      </c>
      <c r="R41" s="32">
        <f>'Data_Raw++ (2018)'!R42/100</f>
        <v>34.617519061485524</v>
      </c>
      <c r="S41" s="32">
        <f>'Data_Raw++ (2018)'!S42/100</f>
        <v>181.74197507279897</v>
      </c>
      <c r="T41" s="32">
        <f>'Data_Raw++ (2018)'!T42/100</f>
        <v>81.652191699373446</v>
      </c>
      <c r="U41" s="32">
        <f>'Data_Raw++ (2018)'!U42/100</f>
        <v>16.723942878184928</v>
      </c>
      <c r="V41" s="32">
        <f>'Data_Raw++ (2018)'!V42/100</f>
        <v>18.11760478470034</v>
      </c>
      <c r="W41" s="32">
        <f>'Data_Raw++ (2018)'!W42/100</f>
        <v>32.20907517280061</v>
      </c>
      <c r="X41" s="32">
        <f>'Data_Raw++ (2018)'!X42/100</f>
        <v>21.472716781867071</v>
      </c>
      <c r="Y41" s="32">
        <f>'Data_Raw++ (2018)'!Y42/100</f>
        <v>35.034432644098899</v>
      </c>
      <c r="Z41" s="32">
        <f>'Data_Raw++ (2018)'!Z42/100</f>
        <v>15.014756847470958</v>
      </c>
      <c r="AA41" s="32">
        <f>'Data_Raw++ (2018)'!AA42/100</f>
        <v>18.35136948024228</v>
      </c>
      <c r="AB41" s="32">
        <f>'Data_Raw++ (2018)'!AB42/100</f>
        <v>4.2777042258444755</v>
      </c>
      <c r="AC41" s="32">
        <f>'Data_Raw++ (2018)'!AC42/100</f>
        <v>2.6218187190659688</v>
      </c>
      <c r="AD41" s="32">
        <f>'Data_Raw++ (2018)'!AD42/100</f>
        <v>4.6610110561172782</v>
      </c>
      <c r="AE41" s="32">
        <f>'Data_Raw++ (2018)'!AE42/100</f>
        <v>3.5162013230358422</v>
      </c>
      <c r="AF41" s="32">
        <f>'Data_Raw++ (2018)'!AF42/100</f>
        <v>2.344134215357228</v>
      </c>
      <c r="AG41" s="32">
        <f>'Data_Raw++ (2018)'!AG42/100</f>
        <v>1.2075842927597842</v>
      </c>
      <c r="AH41" s="32">
        <f>'Data_Raw++ (2018)'!AH42/100</f>
        <v>3.8240169270726505</v>
      </c>
      <c r="AI41" s="32">
        <f>'Data_Raw++ (2018)'!AI42/100</f>
        <v>1.6388643973168504</v>
      </c>
      <c r="AJ41" s="32">
        <f>'Data_Raw++ (2018)'!AJ42/100</f>
        <v>0.80720186733516508</v>
      </c>
      <c r="AK41" s="32">
        <f>'Data_Raw++ (2018)'!AK42/100</f>
        <v>0.49473662836671406</v>
      </c>
      <c r="AL41" s="32">
        <f>'Data_Raw++ (2018)'!AL42/100</f>
        <v>0</v>
      </c>
      <c r="AM41" s="32">
        <f>'Data_Raw++ (2018)'!AM42/100</f>
        <v>6.4477784660310711</v>
      </c>
      <c r="AN41" s="32">
        <f>'Data_Raw++ (2018)'!AN42/100</f>
        <v>12.516275845825021</v>
      </c>
      <c r="AO41" s="32">
        <f>'Data_Raw++ (2018)'!AO42/100</f>
        <v>2.2087545610279449</v>
      </c>
      <c r="AP41" s="32">
        <f>'Data_Raw++ (2018)'!AP42/100</f>
        <v>1.9587068748738374</v>
      </c>
      <c r="AQ41" s="32">
        <f>'Data_Raw++ (2018)'!AQ42/100</f>
        <v>3.9767685035317304</v>
      </c>
      <c r="AR41" s="32">
        <f>'Data_Raw++ (2018)'!AR42/100</f>
        <v>0</v>
      </c>
      <c r="AS41" s="32">
        <f>'Data_Raw++ (2018)'!AS42/100</f>
        <v>1.5957712591515028</v>
      </c>
      <c r="AT41" s="32">
        <f>'Data_Raw++ (2018)'!AT42/100</f>
        <v>2.7171240358525584</v>
      </c>
      <c r="AU41" s="32">
        <f>'Data_Raw++ (2018)'!AU42/100</f>
        <v>2.2231014838793661</v>
      </c>
      <c r="AV41" s="32">
        <f>'Data_Raw++ (2018)'!AV42/100</f>
        <v>0</v>
      </c>
      <c r="AW41" s="32">
        <f>'Data_Raw++ (2018)'!AW42/100</f>
        <v>0</v>
      </c>
      <c r="AX41" s="32">
        <f>'Data_Raw++ (2018)'!AX42/100</f>
        <v>0</v>
      </c>
      <c r="AY41" s="32">
        <f>'Data_Raw++ (2018)'!AY42/100</f>
        <v>0</v>
      </c>
      <c r="AZ41" s="32">
        <f>'Data_Raw++ (2018)'!AZ42/100</f>
        <v>0</v>
      </c>
      <c r="BA41" s="32">
        <f>'Data_Raw++ (2018)'!BA42/100</f>
        <v>0</v>
      </c>
      <c r="BB41" s="32">
        <f>'Data_Raw++ (2018)'!BB42/100</f>
        <v>0.25543420093520453</v>
      </c>
      <c r="BC41" s="32">
        <f>'Data_Raw++ (2018)'!BC42/100</f>
        <v>0</v>
      </c>
      <c r="BD41" s="32">
        <f>'Data_Raw++ (2018)'!BD42/100</f>
        <v>0.52151149357604254</v>
      </c>
      <c r="BE41" s="32">
        <f>'Data_Raw++ (2018)'!BE42/100</f>
        <v>0</v>
      </c>
      <c r="BF41" s="32">
        <f>'Data_Raw++ (2018)'!BF42/100</f>
        <v>0</v>
      </c>
      <c r="BG41" s="32">
        <f>'Data_Raw++ (2018)'!BG42/100</f>
        <v>0</v>
      </c>
      <c r="BH41" s="32">
        <f>'Data_Raw++ (2018)'!BH42/100</f>
        <v>0.1264270287457073</v>
      </c>
      <c r="BI41" s="32">
        <f>'Data_Raw++ (2018)'!BI42/100</f>
        <v>0</v>
      </c>
      <c r="BJ41" s="32">
        <f>'Data_Raw++ (2018)'!BJ42/100</f>
        <v>0</v>
      </c>
      <c r="BK41" s="32">
        <f>'Data_Raw++ (2018)'!BK42/100</f>
        <v>0</v>
      </c>
      <c r="BL41" s="32">
        <f>'Data_Raw++ (2018)'!BL42/100</f>
        <v>0</v>
      </c>
      <c r="BM41" s="32">
        <f>'Data_Raw++ (2018)'!BM42/100</f>
        <v>0</v>
      </c>
      <c r="BN41" s="32">
        <f>'Data_Raw++ (2018)'!BN42/100</f>
        <v>0</v>
      </c>
      <c r="BO41" s="32">
        <f>'Data_Raw++ (2018)'!BO42/100</f>
        <v>0</v>
      </c>
    </row>
    <row r="42" spans="1:67" x14ac:dyDescent="0.2">
      <c r="A42" s="34" t="s">
        <v>113</v>
      </c>
      <c r="B42" s="32">
        <f>'Data_Raw++ (2018)'!B43/100</f>
        <v>5000</v>
      </c>
      <c r="C42" s="32">
        <f>'Data_Raw++ (2018)'!C43/100</f>
        <v>3064.516129032258</v>
      </c>
      <c r="D42" s="32">
        <f>'Data_Raw++ (2018)'!D43/100</f>
        <v>3745.519713261649</v>
      </c>
      <c r="E42" s="32">
        <f>'Data_Raw++ (2018)'!E43/100</f>
        <v>2602.8187837919936</v>
      </c>
      <c r="F42" s="32">
        <f>'Data_Raw++ (2018)'!F43/100</f>
        <v>2308.1600535513903</v>
      </c>
      <c r="G42" s="32">
        <f>'Data_Raw++ (2018)'!G43/100</f>
        <v>1966.2104159882213</v>
      </c>
      <c r="H42" s="32">
        <f>'Data_Raw++ (2018)'!H43/100</f>
        <v>883.36989703818642</v>
      </c>
      <c r="I42" s="32">
        <f>'Data_Raw++ (2018)'!I43/100</f>
        <v>722.7571884857889</v>
      </c>
      <c r="J42" s="32">
        <f>'Data_Raw++ (2018)'!J43/100</f>
        <v>1040.0652224551598</v>
      </c>
      <c r="K42" s="32">
        <f>'Data_Raw++ (2018)'!K43/100</f>
        <v>784.61060641354152</v>
      </c>
      <c r="L42" s="32">
        <f>'Data_Raw++ (2018)'!L43/100</f>
        <v>369.22852066519607</v>
      </c>
      <c r="M42" s="32">
        <f>'Data_Raw++ (2018)'!M43/100</f>
        <v>181.85882361121597</v>
      </c>
      <c r="N42" s="32">
        <f>'Data_Raw++ (2018)'!N43/100</f>
        <v>323.30457530882836</v>
      </c>
      <c r="O42" s="32">
        <f>'Data_Raw++ (2018)'!O43/100</f>
        <v>286.70405734933837</v>
      </c>
      <c r="P42" s="32">
        <f>'Data_Raw++ (2018)'!P43/100</f>
        <v>216.28551694774652</v>
      </c>
      <c r="Q42" s="32">
        <f>'Data_Raw++ (2018)'!Q43/100</f>
        <v>116.46143220263271</v>
      </c>
      <c r="R42" s="32">
        <f>'Data_Raw++ (2018)'!R43/100</f>
        <v>84.334140560527146</v>
      </c>
      <c r="S42" s="32">
        <f>'Data_Raw++ (2018)'!S43/100</f>
        <v>45.410691071053073</v>
      </c>
      <c r="T42" s="32">
        <f>'Data_Raw++ (2018)'!T43/100</f>
        <v>51.207800569485379</v>
      </c>
      <c r="U42" s="32">
        <f>'Data_Raw++ (2018)'!U43/100</f>
        <v>35.585081751676277</v>
      </c>
      <c r="V42" s="32">
        <f>'Data_Raw++ (2018)'!V43/100</f>
        <v>69.076923400312779</v>
      </c>
      <c r="W42" s="32">
        <f>'Data_Raw++ (2018)'!W43/100</f>
        <v>16.203228945752379</v>
      </c>
      <c r="X42" s="32">
        <f>'Data_Raw++ (2018)'!X43/100</f>
        <v>14.956826719156041</v>
      </c>
      <c r="Y42" s="32">
        <f>'Data_Raw++ (2018)'!Y43/100</f>
        <v>13.263601052836487</v>
      </c>
      <c r="Z42" s="32">
        <f>'Data_Raw++ (2018)'!Z43/100</f>
        <v>18.316401453917052</v>
      </c>
      <c r="AA42" s="32">
        <f>'Data_Raw++ (2018)'!AA43/100</f>
        <v>12.728346773061</v>
      </c>
      <c r="AB42" s="32">
        <f>'Data_Raw++ (2018)'!AB43/100</f>
        <v>2.9987984997331716</v>
      </c>
      <c r="AC42" s="32">
        <f>'Data_Raw++ (2018)'!AC43/100</f>
        <v>4.4981977495997567</v>
      </c>
      <c r="AD42" s="32">
        <f>'Data_Raw++ (2018)'!AD43/100</f>
        <v>1.927799035542753</v>
      </c>
      <c r="AE42" s="32">
        <f>'Data_Raw++ (2018)'!AE43/100</f>
        <v>2.1739010400801262</v>
      </c>
      <c r="AF42" s="32">
        <f>'Data_Raw++ (2018)'!AF43/100</f>
        <v>2.4514203217924835</v>
      </c>
      <c r="AG42" s="32">
        <f>'Data_Raw++ (2018)'!AG43/100</f>
        <v>0.81714010726416109</v>
      </c>
      <c r="AH42" s="32">
        <f>'Data_Raw++ (2018)'!AH43/100</f>
        <v>0.85049276470351476</v>
      </c>
      <c r="AI42" s="32">
        <f>'Data_Raw++ (2018)'!AI43/100</f>
        <v>0.88520675509957658</v>
      </c>
      <c r="AJ42" s="32">
        <f>'Data_Raw++ (2018)'!AJ43/100</f>
        <v>0.85049276470351476</v>
      </c>
      <c r="AK42" s="32">
        <f>'Data_Raw++ (2018)'!AK43/100</f>
        <v>1.2238798321343261</v>
      </c>
      <c r="AL42" s="32">
        <f>'Data_Raw++ (2018)'!AL43/100</f>
        <v>11.014918489208934</v>
      </c>
      <c r="AM42" s="32">
        <f>'Data_Raw++ (2018)'!AM43/100</f>
        <v>0.82907988628454343</v>
      </c>
      <c r="AN42" s="32">
        <f>'Data_Raw++ (2018)'!AN43/100</f>
        <v>1.6093903674935255</v>
      </c>
      <c r="AO42" s="32">
        <f>'Data_Raw++ (2018)'!AO43/100</f>
        <v>0.65735662897622871</v>
      </c>
      <c r="AP42" s="32">
        <f>'Data_Raw++ (2018)'!AP43/100</f>
        <v>0.87137971748011711</v>
      </c>
      <c r="AQ42" s="32">
        <f>'Data_Raw++ (2018)'!AQ43/100</f>
        <v>0.53407143974587823</v>
      </c>
      <c r="AR42" s="32">
        <f>'Data_Raw++ (2018)'!AR43/100</f>
        <v>0.65275398191162892</v>
      </c>
      <c r="AS42" s="32">
        <f>'Data_Raw++ (2018)'!AS43/100</f>
        <v>0.79781042233643551</v>
      </c>
      <c r="AT42" s="32">
        <f>'Data_Raw++ (2018)'!AT43/100</f>
        <v>0.26593680744547848</v>
      </c>
      <c r="AU42" s="32">
        <f>'Data_Raw++ (2018)'!AU43/100</f>
        <v>0.47277654656973955</v>
      </c>
      <c r="AV42" s="32">
        <f>'Data_Raw++ (2018)'!AV43/100</f>
        <v>0.11819413664243489</v>
      </c>
      <c r="AW42" s="32">
        <f>'Data_Raw++ (2018)'!AW43/100</f>
        <v>0.35458240992730466</v>
      </c>
      <c r="AX42" s="32">
        <f>'Data_Raw++ (2018)'!AX43/100</f>
        <v>0</v>
      </c>
      <c r="AY42" s="32">
        <f>'Data_Raw++ (2018)'!AY43/100</f>
        <v>0.21946232284002615</v>
      </c>
      <c r="AZ42" s="32">
        <f>'Data_Raw++ (2018)'!AZ43/100</f>
        <v>0</v>
      </c>
      <c r="BA42" s="32">
        <f>'Data_Raw++ (2018)'!BA43/100</f>
        <v>0</v>
      </c>
      <c r="BB42" s="32">
        <f>'Data_Raw++ (2018)'!BB43/100</f>
        <v>0</v>
      </c>
      <c r="BC42" s="32">
        <f>'Data_Raw++ (2018)'!BC43/100</f>
        <v>0</v>
      </c>
      <c r="BD42" s="32">
        <f>'Data_Raw++ (2018)'!BD43/100</f>
        <v>0.13994698847769785</v>
      </c>
      <c r="BE42" s="32">
        <f>'Data_Raw++ (2018)'!BE43/100</f>
        <v>3.0720070641445867E-2</v>
      </c>
      <c r="BF42" s="32">
        <f>'Data_Raw++ (2018)'!BF43/100</f>
        <v>0</v>
      </c>
      <c r="BG42" s="32">
        <f>'Data_Raw++ (2018)'!BG43/100</f>
        <v>0</v>
      </c>
      <c r="BH42" s="32">
        <f>'Data_Raw++ (2018)'!BH43/100</f>
        <v>0</v>
      </c>
      <c r="BI42" s="32">
        <f>'Data_Raw++ (2018)'!BI43/100</f>
        <v>0</v>
      </c>
      <c r="BJ42" s="32">
        <f>'Data_Raw++ (2018)'!BJ43/100</f>
        <v>0</v>
      </c>
      <c r="BK42" s="32">
        <f>'Data_Raw++ (2018)'!BK43/100</f>
        <v>0</v>
      </c>
      <c r="BL42" s="32">
        <f>'Data_Raw++ (2018)'!BL43/100</f>
        <v>0</v>
      </c>
      <c r="BM42" s="32">
        <f>'Data_Raw++ (2018)'!BM43/100</f>
        <v>0</v>
      </c>
      <c r="BN42" s="32">
        <f>'Data_Raw++ (2018)'!BN43/100</f>
        <v>0</v>
      </c>
      <c r="BO42" s="32">
        <f>'Data_Raw++ (2018)'!BO43/100</f>
        <v>0</v>
      </c>
    </row>
    <row r="43" spans="1:67" x14ac:dyDescent="0.2">
      <c r="A43" s="34" t="s">
        <v>110</v>
      </c>
      <c r="B43" s="32">
        <f>'Data_Raw++ (2018)'!B44/100</f>
        <v>5000</v>
      </c>
      <c r="C43" s="32">
        <f>'Data_Raw++ (2018)'!C44/100</f>
        <v>2692.3076923076924</v>
      </c>
      <c r="D43" s="32">
        <f>'Data_Raw++ (2018)'!D44/100</f>
        <v>3160.5351170568565</v>
      </c>
      <c r="E43" s="32">
        <f>'Data_Raw++ (2018)'!E44/100</f>
        <v>2917.4170311294056</v>
      </c>
      <c r="F43" s="32">
        <f>'Data_Raw++ (2018)'!F44/100</f>
        <v>2485.2071005917155</v>
      </c>
      <c r="G43" s="32">
        <f>'Data_Raw++ (2018)'!G44/100</f>
        <v>1111.1794115236455</v>
      </c>
      <c r="H43" s="32">
        <f>'Data_Raw++ (2018)'!H44/100</f>
        <v>1024.0963855421689</v>
      </c>
      <c r="I43" s="32">
        <f>'Data_Raw++ (2018)'!I44/100</f>
        <v>804.64716006884692</v>
      </c>
      <c r="J43" s="32">
        <f>'Data_Raw++ (2018)'!J44/100</f>
        <v>559.16158581055458</v>
      </c>
      <c r="K43" s="32">
        <f>'Data_Raw++ (2018)'!K44/100</f>
        <v>605.75838462810077</v>
      </c>
      <c r="L43" s="32">
        <f>'Data_Raw++ (2018)'!L44/100</f>
        <v>259.61073626918608</v>
      </c>
      <c r="M43" s="32">
        <f>'Data_Raw++ (2018)'!M44/100</f>
        <v>118.98825412337693</v>
      </c>
      <c r="N43" s="32">
        <f>'Data_Raw++ (2018)'!N44/100</f>
        <v>180.9408161876145</v>
      </c>
      <c r="O43" s="32">
        <f>'Data_Raw++ (2018)'!O44/100</f>
        <v>249.87065092575335</v>
      </c>
      <c r="P43" s="32">
        <f>'Data_Raw++ (2018)'!P44/100</f>
        <v>102.05984333587111</v>
      </c>
      <c r="Q43" s="32">
        <f>'Data_Raw++ (2018)'!Q44/100</f>
        <v>153.08976500380663</v>
      </c>
      <c r="R43" s="32">
        <f>'Data_Raw++ (2018)'!R44/100</f>
        <v>110.8581056924117</v>
      </c>
      <c r="S43" s="32">
        <f>'Data_Raw++ (2018)'!S44/100</f>
        <v>62.357684451981577</v>
      </c>
      <c r="T43" s="32">
        <f>'Data_Raw++ (2018)'!T44/100</f>
        <v>39.868027764381665</v>
      </c>
      <c r="U43" s="32">
        <f>'Data_Raw++ (2018)'!U44/100</f>
        <v>31.324878957728448</v>
      </c>
      <c r="V43" s="32">
        <f>'Data_Raw++ (2018)'!V44/100</f>
        <v>35.323799675736339</v>
      </c>
      <c r="W43" s="32">
        <f>'Data_Raw++ (2018)'!W44/100</f>
        <v>9.1158192711577666</v>
      </c>
      <c r="X43" s="32">
        <f>'Data_Raw++ (2018)'!X44/100</f>
        <v>16.408474688083977</v>
      </c>
      <c r="Y43" s="32">
        <f>'Data_Raw++ (2018)'!Y44/100</f>
        <v>12.181897372449951</v>
      </c>
      <c r="Z43" s="32">
        <f>'Data_Raw++ (2018)'!Z44/100</f>
        <v>34.073270580784545</v>
      </c>
      <c r="AA43" s="32">
        <f>'Data_Raw++ (2018)'!AA44/100</f>
        <v>20.883617452738918</v>
      </c>
      <c r="AB43" s="32">
        <f>'Data_Raw++ (2018)'!AB44/100</f>
        <v>5.1185746376663088</v>
      </c>
      <c r="AC43" s="32">
        <f>'Data_Raw++ (2018)'!AC44/100</f>
        <v>6.7850873103948741</v>
      </c>
      <c r="AD43" s="32">
        <f>'Data_Raw++ (2018)'!AD44/100</f>
        <v>0</v>
      </c>
      <c r="AE43" s="32">
        <f>'Data_Raw++ (2018)'!AE44/100</f>
        <v>9.5059243270945739</v>
      </c>
      <c r="AF43" s="32">
        <f>'Data_Raw++ (2018)'!AF44/100</f>
        <v>11.159128557893631</v>
      </c>
      <c r="AG43" s="32">
        <f>'Data_Raw++ (2018)'!AG44/100</f>
        <v>0</v>
      </c>
      <c r="AH43" s="32">
        <f>'Data_Raw++ (2018)'!AH44/100</f>
        <v>3.2547458293856422</v>
      </c>
      <c r="AI43" s="32">
        <f>'Data_Raw++ (2018)'!AI44/100</f>
        <v>6.2755228888378527</v>
      </c>
      <c r="AJ43" s="32">
        <f>'Data_Raw++ (2018)'!AJ44/100</f>
        <v>11.156485135711739</v>
      </c>
      <c r="AK43" s="32">
        <f>'Data_Raw++ (2018)'!AK44/100</f>
        <v>0</v>
      </c>
      <c r="AL43" s="32">
        <f>'Data_Raw++ (2018)'!AL44/100</f>
        <v>0</v>
      </c>
      <c r="AM43" s="32">
        <f>'Data_Raw++ (2018)'!AM44/100</f>
        <v>0</v>
      </c>
      <c r="AN43" s="32">
        <f>'Data_Raw++ (2018)'!AN44/100</f>
        <v>1.8036308040290172</v>
      </c>
      <c r="AO43" s="32">
        <f>'Data_Raw++ (2018)'!AO44/100</f>
        <v>2.7891212839279347</v>
      </c>
      <c r="AP43" s="32">
        <f>'Data_Raw++ (2018)'!AP44/100</f>
        <v>0</v>
      </c>
      <c r="AQ43" s="32">
        <f>'Data_Raw++ (2018)'!AQ44/100</f>
        <v>0</v>
      </c>
      <c r="AR43" s="32">
        <f>'Data_Raw++ (2018)'!AR44/100</f>
        <v>0</v>
      </c>
      <c r="AS43" s="32">
        <f>'Data_Raw++ (2018)'!AS44/100</f>
        <v>0</v>
      </c>
      <c r="AT43" s="32">
        <f>'Data_Raw++ (2018)'!AT44/100</f>
        <v>0</v>
      </c>
      <c r="AU43" s="32">
        <f>'Data_Raw++ (2018)'!AU44/100</f>
        <v>0</v>
      </c>
      <c r="AV43" s="32">
        <f>'Data_Raw++ (2018)'!AV44/100</f>
        <v>0</v>
      </c>
      <c r="AW43" s="32">
        <f>'Data_Raw++ (2018)'!AW44/100</f>
        <v>0</v>
      </c>
      <c r="AX43" s="32">
        <f>'Data_Raw++ (2018)'!AX44/100</f>
        <v>0</v>
      </c>
      <c r="AY43" s="32">
        <f>'Data_Raw++ (2018)'!AY44/100</f>
        <v>0</v>
      </c>
      <c r="AZ43" s="32">
        <f>'Data_Raw++ (2018)'!AZ44/100</f>
        <v>0</v>
      </c>
      <c r="BA43" s="32">
        <f>'Data_Raw++ (2018)'!BA44/100</f>
        <v>0</v>
      </c>
      <c r="BB43" s="32">
        <f>'Data_Raw++ (2018)'!BB44/100</f>
        <v>0</v>
      </c>
      <c r="BC43" s="32">
        <f>'Data_Raw++ (2018)'!BC44/100</f>
        <v>0</v>
      </c>
      <c r="BD43" s="32">
        <f>'Data_Raw++ (2018)'!BD44/100</f>
        <v>0</v>
      </c>
      <c r="BE43" s="32">
        <f>'Data_Raw++ (2018)'!BE44/100</f>
        <v>0</v>
      </c>
      <c r="BF43" s="32">
        <f>'Data_Raw++ (2018)'!BF44/100</f>
        <v>0</v>
      </c>
      <c r="BG43" s="32">
        <f>'Data_Raw++ (2018)'!BG44/100</f>
        <v>0</v>
      </c>
      <c r="BH43" s="32">
        <f>'Data_Raw++ (2018)'!BH44/100</f>
        <v>0</v>
      </c>
      <c r="BI43" s="32">
        <f>'Data_Raw++ (2018)'!BI44/100</f>
        <v>0</v>
      </c>
      <c r="BJ43" s="32">
        <f>'Data_Raw++ (2018)'!BJ44/100</f>
        <v>0</v>
      </c>
      <c r="BK43" s="32">
        <f>'Data_Raw++ (2018)'!BK44/100</f>
        <v>0</v>
      </c>
      <c r="BL43" s="32">
        <f>'Data_Raw++ (2018)'!BL44/100</f>
        <v>0</v>
      </c>
      <c r="BM43" s="32">
        <f>'Data_Raw++ (2018)'!BM44/100</f>
        <v>0</v>
      </c>
      <c r="BN43" s="32">
        <f>'Data_Raw++ (2018)'!BN44/100</f>
        <v>0</v>
      </c>
      <c r="BO43" s="32">
        <f>'Data_Raw++ (2018)'!BO44/100</f>
        <v>0</v>
      </c>
    </row>
    <row r="44" spans="1:67" x14ac:dyDescent="0.2">
      <c r="A44" s="34" t="s">
        <v>101</v>
      </c>
      <c r="B44" s="32">
        <f>'Data_Raw++ (2018)'!B45/100</f>
        <v>5000</v>
      </c>
      <c r="C44" s="32">
        <f>'Data_Raw++ (2018)'!C45/100</f>
        <v>2142.8571428571431</v>
      </c>
      <c r="D44" s="32">
        <f>'Data_Raw++ (2018)'!D45/100</f>
        <v>3214.2857142857142</v>
      </c>
      <c r="E44" s="32">
        <f>'Data_Raw++ (2018)'!E45/100</f>
        <v>3345.4810495626825</v>
      </c>
      <c r="F44" s="32">
        <f>'Data_Raw++ (2018)'!F45/100</f>
        <v>4434.7074377923927</v>
      </c>
      <c r="G44" s="32">
        <f>'Data_Raw++ (2018)'!G45/100</f>
        <v>1250.8149183517005</v>
      </c>
      <c r="H44" s="32">
        <f>'Data_Raw++ (2018)'!H45/100</f>
        <v>1065.509004521819</v>
      </c>
      <c r="I44" s="32">
        <f>'Data_Raw++ (2018)'!I45/100</f>
        <v>653.05390599724387</v>
      </c>
      <c r="J44" s="32">
        <f>'Data_Raw++ (2018)'!J45/100</f>
        <v>679.70916746651915</v>
      </c>
      <c r="K44" s="32">
        <f>'Data_Raw++ (2018)'!K45/100</f>
        <v>766.48055054735141</v>
      </c>
      <c r="L44" s="32">
        <f>'Data_Raw++ (2018)'!L45/100</f>
        <v>377.52027116511346</v>
      </c>
      <c r="M44" s="32">
        <f>'Data_Raw++ (2018)'!M45/100</f>
        <v>125.84009038837115</v>
      </c>
      <c r="N44" s="32">
        <f>'Data_Raw++ (2018)'!N45/100</f>
        <v>205.31804221260558</v>
      </c>
      <c r="O44" s="32">
        <f>'Data_Raw++ (2018)'!O45/100</f>
        <v>295.45767050106656</v>
      </c>
      <c r="P44" s="32">
        <f>'Data_Raw++ (2018)'!P45/100</f>
        <v>232.1453125365523</v>
      </c>
      <c r="Q44" s="32">
        <f>'Data_Raw++ (2018)'!Q45/100</f>
        <v>130.58173830181067</v>
      </c>
      <c r="R44" s="32">
        <f>'Data_Raw++ (2018)'!R45/100</f>
        <v>43.527246100603563</v>
      </c>
      <c r="S44" s="32">
        <f>'Data_Raw++ (2018)'!S45/100</f>
        <v>32.836343549578125</v>
      </c>
      <c r="T44" s="32">
        <f>'Data_Raw++ (2018)'!T45/100</f>
        <v>32.836343549578125</v>
      </c>
      <c r="U44" s="32">
        <f>'Data_Raw++ (2018)'!U45/100</f>
        <v>40.133308782817714</v>
      </c>
      <c r="V44" s="32">
        <f>'Data_Raw++ (2018)'!V45/100</f>
        <v>134.35933809899842</v>
      </c>
      <c r="W44" s="32">
        <f>'Data_Raw++ (2018)'!W45/100</f>
        <v>54.879166265788086</v>
      </c>
      <c r="X44" s="32">
        <f>'Data_Raw++ (2018)'!X45/100</f>
        <v>10.453174526816779</v>
      </c>
      <c r="Y44" s="32">
        <f>'Data_Raw++ (2018)'!Y45/100</f>
        <v>17.798648518633978</v>
      </c>
      <c r="Z44" s="32">
        <f>'Data_Raw++ (2018)'!Z45/100</f>
        <v>19.281869228520144</v>
      </c>
      <c r="AA44" s="32">
        <f>'Data_Raw++ (2018)'!AA45/100</f>
        <v>4.2326054404068616</v>
      </c>
      <c r="AB44" s="32">
        <f>'Data_Raw++ (2018)'!AB45/100</f>
        <v>0.88884714248544083</v>
      </c>
      <c r="AC44" s="32">
        <f>'Data_Raw++ (2018)'!AC45/100</f>
        <v>1.7254091589423262</v>
      </c>
      <c r="AD44" s="32">
        <f>'Data_Raw++ (2018)'!AD45/100</f>
        <v>0.40472560518400241</v>
      </c>
      <c r="AE44" s="32">
        <f>'Data_Raw++ (2018)'!AE45/100</f>
        <v>1.4349362365614633</v>
      </c>
      <c r="AF44" s="32">
        <f>'Data_Raw++ (2018)'!AF45/100</f>
        <v>0.73920957641045082</v>
      </c>
      <c r="AG44" s="32">
        <f>'Data_Raw++ (2018)'!AG45/100</f>
        <v>0.38080493330235349</v>
      </c>
      <c r="AH44" s="32">
        <f>'Data_Raw++ (2018)'!AH45/100</f>
        <v>1.2058822887907861</v>
      </c>
      <c r="AI44" s="32">
        <f>'Data_Raw++ (2018)'!AI45/100</f>
        <v>0.21280275684543287</v>
      </c>
      <c r="AJ44" s="32">
        <f>'Data_Raw++ (2018)'!AJ45/100</f>
        <v>0.10481329814775052</v>
      </c>
      <c r="AK44" s="32">
        <f>'Data_Raw++ (2018)'!AK45/100</f>
        <v>7.2698705216955686</v>
      </c>
      <c r="AL44" s="32">
        <f>'Data_Raw++ (2018)'!AL45/100</f>
        <v>41.195932956274895</v>
      </c>
      <c r="AM44" s="32">
        <f>'Data_Raw++ (2018)'!AM45/100</f>
        <v>4.0743230396315822</v>
      </c>
      <c r="AN44" s="32">
        <f>'Data_Raw++ (2018)'!AN45/100</f>
        <v>2.950371856284939</v>
      </c>
      <c r="AO44" s="32">
        <f>'Data_Raw++ (2018)'!AO45/100</f>
        <v>3.196236177642017</v>
      </c>
      <c r="AP44" s="32">
        <f>'Data_Raw++ (2018)'!AP45/100</f>
        <v>0</v>
      </c>
      <c r="AQ44" s="32">
        <f>'Data_Raw++ (2018)'!AQ45/100</f>
        <v>0</v>
      </c>
      <c r="AR44" s="32">
        <f>'Data_Raw++ (2018)'!AR45/100</f>
        <v>2.9413020857064636</v>
      </c>
      <c r="AS44" s="32">
        <f>'Data_Raw++ (2018)'!AS45/100</f>
        <v>4.0617981183565446</v>
      </c>
      <c r="AT44" s="32">
        <f>'Data_Raw++ (2018)'!AT45/100</f>
        <v>0</v>
      </c>
      <c r="AU44" s="32">
        <f>'Data_Raw++ (2018)'!AU45/100</f>
        <v>3.7550187261808317</v>
      </c>
      <c r="AV44" s="32">
        <f>'Data_Raw++ (2018)'!AV45/100</f>
        <v>0</v>
      </c>
      <c r="AW44" s="32">
        <f>'Data_Raw++ (2018)'!AW45/100</f>
        <v>0</v>
      </c>
      <c r="AX44" s="32">
        <f>'Data_Raw++ (2018)'!AX45/100</f>
        <v>0</v>
      </c>
      <c r="AY44" s="32">
        <f>'Data_Raw++ (2018)'!AY45/100</f>
        <v>0</v>
      </c>
      <c r="AZ44" s="32">
        <f>'Data_Raw++ (2018)'!AZ45/100</f>
        <v>0</v>
      </c>
      <c r="BA44" s="32">
        <f>'Data_Raw++ (2018)'!BA45/100</f>
        <v>0</v>
      </c>
      <c r="BB44" s="32">
        <f>'Data_Raw++ (2018)'!BB45/100</f>
        <v>0</v>
      </c>
      <c r="BC44" s="32">
        <f>'Data_Raw++ (2018)'!BC45/100</f>
        <v>0</v>
      </c>
      <c r="BD44" s="32">
        <f>'Data_Raw++ (2018)'!BD45/100</f>
        <v>0.52065385699145983</v>
      </c>
      <c r="BE44" s="32">
        <f>'Data_Raw++ (2018)'!BE45/100</f>
        <v>0</v>
      </c>
      <c r="BF44" s="32">
        <f>'Data_Raw++ (2018)'!BF45/100</f>
        <v>0</v>
      </c>
      <c r="BG44" s="32">
        <f>'Data_Raw++ (2018)'!BG45/100</f>
        <v>0</v>
      </c>
      <c r="BH44" s="32">
        <f>'Data_Raw++ (2018)'!BH45/100</f>
        <v>0</v>
      </c>
      <c r="BI44" s="32">
        <f>'Data_Raw++ (2018)'!BI45/100</f>
        <v>0</v>
      </c>
      <c r="BJ44" s="32">
        <f>'Data_Raw++ (2018)'!BJ45/100</f>
        <v>0</v>
      </c>
      <c r="BK44" s="32">
        <f>'Data_Raw++ (2018)'!BK45/100</f>
        <v>0</v>
      </c>
      <c r="BL44" s="32">
        <f>'Data_Raw++ (2018)'!BL45/100</f>
        <v>0</v>
      </c>
      <c r="BM44" s="32">
        <f>'Data_Raw++ (2018)'!BM45/100</f>
        <v>0</v>
      </c>
      <c r="BN44" s="32">
        <f>'Data_Raw++ (2018)'!BN45/100</f>
        <v>0</v>
      </c>
      <c r="BO44" s="32">
        <f>'Data_Raw++ (2018)'!BO45/100</f>
        <v>0</v>
      </c>
    </row>
    <row r="45" spans="1:67" x14ac:dyDescent="0.2">
      <c r="A45" s="34" t="s">
        <v>115</v>
      </c>
      <c r="B45" s="32">
        <f>'Data_Raw++ (2018)'!B46/100</f>
        <v>5000</v>
      </c>
      <c r="C45" s="32">
        <f>'Data_Raw++ (2018)'!C46/100</f>
        <v>1666.6666666666665</v>
      </c>
      <c r="D45" s="32">
        <f>'Data_Raw++ (2018)'!D46/100</f>
        <v>2837.8378378378379</v>
      </c>
      <c r="E45" s="32">
        <f>'Data_Raw++ (2018)'!E46/100</f>
        <v>5045.0450450450453</v>
      </c>
      <c r="F45" s="32">
        <f>'Data_Raw++ (2018)'!F46/100</f>
        <v>3363.3633633633635</v>
      </c>
      <c r="G45" s="32">
        <f>'Data_Raw++ (2018)'!G46/100</f>
        <v>1181.7222628033439</v>
      </c>
      <c r="H45" s="32">
        <f>'Data_Raw++ (2018)'!H46/100</f>
        <v>1444.3272100929762</v>
      </c>
      <c r="I45" s="32">
        <f>'Data_Raw++ (2018)'!I46/100</f>
        <v>456.10332950304502</v>
      </c>
      <c r="J45" s="32">
        <f>'Data_Raw++ (2018)'!J46/100</f>
        <v>969.21957519397085</v>
      </c>
      <c r="K45" s="32">
        <f>'Data_Raw++ (2018)'!K46/100</f>
        <v>859.49660441729475</v>
      </c>
      <c r="L45" s="32">
        <f>'Data_Raw++ (2018)'!L46/100</f>
        <v>334.24867949561462</v>
      </c>
      <c r="M45" s="32">
        <f>'Data_Raw++ (2018)'!M46/100</f>
        <v>123.62622392303555</v>
      </c>
      <c r="N45" s="32">
        <f>'Data_Raw++ (2018)'!N46/100</f>
        <v>139.40829506214649</v>
      </c>
      <c r="O45" s="32">
        <f>'Data_Raw++ (2018)'!O46/100</f>
        <v>258.90111940112922</v>
      </c>
      <c r="P45" s="32">
        <f>'Data_Raw++ (2018)'!P46/100</f>
        <v>303.92740103610822</v>
      </c>
      <c r="Q45" s="32">
        <f>'Data_Raw++ (2018)'!Q46/100</f>
        <v>149.69558558494882</v>
      </c>
      <c r="R45" s="32">
        <f>'Data_Raw++ (2018)'!R46/100</f>
        <v>52.595746286603642</v>
      </c>
      <c r="S45" s="32">
        <f>'Data_Raw++ (2018)'!S46/100</f>
        <v>33.626788609467908</v>
      </c>
      <c r="T45" s="32">
        <f>'Data_Raw++ (2018)'!T46/100</f>
        <v>19.74906632619544</v>
      </c>
      <c r="U45" s="32">
        <f>'Data_Raw++ (2018)'!U46/100</f>
        <v>53.395623770824699</v>
      </c>
      <c r="V45" s="32">
        <f>'Data_Raw++ (2018)'!V46/100</f>
        <v>328.00168887792307</v>
      </c>
      <c r="W45" s="32">
        <f>'Data_Raw++ (2018)'!W46/100</f>
        <v>44.727503028807689</v>
      </c>
      <c r="X45" s="32">
        <f>'Data_Raw++ (2018)'!X46/100</f>
        <v>10.879662898899166</v>
      </c>
      <c r="Y45" s="32">
        <f>'Data_Raw++ (2018)'!Y46/100</f>
        <v>16.525603366029525</v>
      </c>
      <c r="Z45" s="32">
        <f>'Data_Raw++ (2018)'!Z46/100</f>
        <v>21.906032368922855</v>
      </c>
      <c r="AA45" s="32">
        <f>'Data_Raw++ (2018)'!AA46/100</f>
        <v>7.8235829889010207</v>
      </c>
      <c r="AB45" s="32">
        <f>'Data_Raw++ (2018)'!AB46/100</f>
        <v>13.520948208569612</v>
      </c>
      <c r="AC45" s="32">
        <f>'Data_Raw++ (2018)'!AC46/100</f>
        <v>19.456974251356272</v>
      </c>
      <c r="AD45" s="32">
        <f>'Data_Raw++ (2018)'!AD46/100</f>
        <v>0</v>
      </c>
      <c r="AE45" s="32">
        <f>'Data_Raw++ (2018)'!AE46/100</f>
        <v>23.022155057834745</v>
      </c>
      <c r="AF45" s="32">
        <f>'Data_Raw++ (2018)'!AF46/100</f>
        <v>8.0888652905905847</v>
      </c>
      <c r="AG45" s="32">
        <f>'Data_Raw++ (2018)'!AG46/100</f>
        <v>0</v>
      </c>
      <c r="AH45" s="32">
        <f>'Data_Raw++ (2018)'!AH46/100</f>
        <v>21.032586102219398</v>
      </c>
      <c r="AI45" s="32">
        <f>'Data_Raw++ (2018)'!AI46/100</f>
        <v>0</v>
      </c>
      <c r="AJ45" s="32">
        <f>'Data_Raw++ (2018)'!AJ46/100</f>
        <v>2.690214501446667</v>
      </c>
      <c r="AK45" s="32">
        <f>'Data_Raw++ (2018)'!AK46/100</f>
        <v>7.4245464398103662</v>
      </c>
      <c r="AL45" s="32">
        <f>'Data_Raw++ (2018)'!AL46/100</f>
        <v>60.071330285738412</v>
      </c>
      <c r="AM45" s="32">
        <f>'Data_Raw++ (2018)'!AM46/100</f>
        <v>5.9411205777103921</v>
      </c>
      <c r="AN45" s="32">
        <f>'Data_Raw++ (2018)'!AN46/100</f>
        <v>4.481897979676261</v>
      </c>
      <c r="AO45" s="32">
        <f>'Data_Raw++ (2018)'!AO46/100</f>
        <v>0</v>
      </c>
      <c r="AP45" s="32">
        <f>'Data_Raw++ (2018)'!AP46/100</f>
        <v>0</v>
      </c>
      <c r="AQ45" s="32">
        <f>'Data_Raw++ (2018)'!AQ46/100</f>
        <v>0</v>
      </c>
      <c r="AR45" s="32">
        <f>'Data_Raw++ (2018)'!AR46/100</f>
        <v>0</v>
      </c>
      <c r="AS45" s="32">
        <f>'Data_Raw++ (2018)'!AS46/100</f>
        <v>12.117724167272854</v>
      </c>
      <c r="AT45" s="32">
        <f>'Data_Raw++ (2018)'!AT46/100</f>
        <v>2.4819435041402236</v>
      </c>
      <c r="AU45" s="32">
        <f>'Data_Raw++ (2018)'!AU46/100</f>
        <v>2.4819435041402236</v>
      </c>
      <c r="AV45" s="32">
        <f>'Data_Raw++ (2018)'!AV46/100</f>
        <v>0</v>
      </c>
      <c r="AW45" s="32">
        <f>'Data_Raw++ (2018)'!AW46/100</f>
        <v>0</v>
      </c>
      <c r="AX45" s="32">
        <f>'Data_Raw++ (2018)'!AX46/100</f>
        <v>0</v>
      </c>
      <c r="AY45" s="32">
        <f>'Data_Raw++ (2018)'!AY46/100</f>
        <v>1.1204744949190655</v>
      </c>
      <c r="AZ45" s="32">
        <f>'Data_Raw++ (2018)'!AZ46/100</f>
        <v>0</v>
      </c>
      <c r="BA45" s="32">
        <f>'Data_Raw++ (2018)'!BA46/100</f>
        <v>0</v>
      </c>
      <c r="BB45" s="32">
        <f>'Data_Raw++ (2018)'!BB46/100</f>
        <v>0</v>
      </c>
      <c r="BC45" s="32">
        <f>'Data_Raw++ (2018)'!BC46/100</f>
        <v>0</v>
      </c>
      <c r="BD45" s="32">
        <f>'Data_Raw++ (2018)'!BD46/100</f>
        <v>0</v>
      </c>
      <c r="BE45" s="32">
        <f>'Data_Raw++ (2018)'!BE46/100</f>
        <v>0</v>
      </c>
      <c r="BF45" s="32">
        <f>'Data_Raw++ (2018)'!BF46/100</f>
        <v>0</v>
      </c>
      <c r="BG45" s="32">
        <f>'Data_Raw++ (2018)'!BG46/100</f>
        <v>0</v>
      </c>
      <c r="BH45" s="32">
        <f>'Data_Raw++ (2018)'!BH46/100</f>
        <v>0</v>
      </c>
      <c r="BI45" s="32">
        <f>'Data_Raw++ (2018)'!BI46/100</f>
        <v>0</v>
      </c>
      <c r="BJ45" s="32">
        <f>'Data_Raw++ (2018)'!BJ46/100</f>
        <v>0</v>
      </c>
      <c r="BK45" s="32">
        <f>'Data_Raw++ (2018)'!BK46/100</f>
        <v>0</v>
      </c>
      <c r="BL45" s="32">
        <f>'Data_Raw++ (2018)'!BL46/100</f>
        <v>0</v>
      </c>
      <c r="BM45" s="32">
        <f>'Data_Raw++ (2018)'!BM46/100</f>
        <v>0</v>
      </c>
      <c r="BN45" s="32">
        <f>'Data_Raw++ (2018)'!BN46/100</f>
        <v>0</v>
      </c>
      <c r="BO45" s="32">
        <f>'Data_Raw++ (2018)'!BO46/100</f>
        <v>0</v>
      </c>
    </row>
    <row r="46" spans="1:67" x14ac:dyDescent="0.2">
      <c r="A46" s="34" t="s">
        <v>111</v>
      </c>
      <c r="B46" s="32">
        <f>'Data_Raw++ (2018)'!B47/100</f>
        <v>5000</v>
      </c>
      <c r="C46" s="32">
        <f>'Data_Raw++ (2018)'!C47/100</f>
        <v>1578.9473684210525</v>
      </c>
      <c r="D46" s="32">
        <f>'Data_Raw++ (2018)'!D47/100</f>
        <v>2688.4779516358462</v>
      </c>
      <c r="E46" s="32">
        <f>'Data_Raw++ (2018)'!E47/100</f>
        <v>3421.699211172896</v>
      </c>
      <c r="F46" s="32">
        <f>'Data_Raw++ (2018)'!F47/100</f>
        <v>3158.4915795442112</v>
      </c>
      <c r="G46" s="32">
        <f>'Data_Raw++ (2018)'!G47/100</f>
        <v>1290.088109954678</v>
      </c>
      <c r="H46" s="32">
        <f>'Data_Raw++ (2018)'!H47/100</f>
        <v>1576.7743566112733</v>
      </c>
      <c r="I46" s="32">
        <f>'Data_Raw++ (2018)'!I47/100</f>
        <v>525.59145220375774</v>
      </c>
      <c r="J46" s="32">
        <f>'Data_Raw++ (2018)'!J47/100</f>
        <v>696.71425059567878</v>
      </c>
      <c r="K46" s="32">
        <f>'Data_Raw++ (2018)'!K47/100</f>
        <v>1352.445309979847</v>
      </c>
      <c r="L46" s="32">
        <f>'Data_Raw++ (2018)'!L47/100</f>
        <v>381.45893358405942</v>
      </c>
      <c r="M46" s="32">
        <f>'Data_Raw++ (2018)'!M47/100</f>
        <v>141.08755077766583</v>
      </c>
      <c r="N46" s="32">
        <f>'Data_Raw++ (2018)'!N47/100</f>
        <v>187.02303242620815</v>
      </c>
      <c r="O46" s="32">
        <f>'Data_Raw++ (2018)'!O47/100</f>
        <v>269.13070519868978</v>
      </c>
      <c r="P46" s="32">
        <f>'Data_Raw++ (2018)'!P47/100</f>
        <v>478.45458701989298</v>
      </c>
      <c r="Q46" s="32">
        <f>'Data_Raw++ (2018)'!Q47/100</f>
        <v>112.23008831330824</v>
      </c>
      <c r="R46" s="32">
        <f>'Data_Raw++ (2018)'!R47/100</f>
        <v>31.654640293497195</v>
      </c>
      <c r="S46" s="32">
        <f>'Data_Raw++ (2018)'!S47/100</f>
        <v>37.15979512714889</v>
      </c>
      <c r="T46" s="32">
        <f>'Data_Raw++ (2018)'!T47/100</f>
        <v>30.403468740394541</v>
      </c>
      <c r="U46" s="32">
        <f>'Data_Raw++ (2018)'!U47/100</f>
        <v>22.935950102402902</v>
      </c>
      <c r="V46" s="32">
        <f>'Data_Raw++ (2018)'!V47/100</f>
        <v>76.78557208195754</v>
      </c>
      <c r="W46" s="32">
        <f>'Data_Raw++ (2018)'!W47/100</f>
        <v>101.78552578305997</v>
      </c>
      <c r="X46" s="32">
        <f>'Data_Raw++ (2018)'!X47/100</f>
        <v>10.066700352170765</v>
      </c>
      <c r="Y46" s="32">
        <f>'Data_Raw++ (2018)'!Y47/100</f>
        <v>21.391738248362877</v>
      </c>
      <c r="Z46" s="32">
        <f>'Data_Raw++ (2018)'!Z47/100</f>
        <v>12.563401828403594</v>
      </c>
      <c r="AA46" s="32">
        <f>'Data_Raw++ (2018)'!AA47/100</f>
        <v>5.3843150693158259</v>
      </c>
      <c r="AB46" s="32">
        <f>'Data_Raw++ (2018)'!AB47/100</f>
        <v>0.89325786999949541</v>
      </c>
      <c r="AC46" s="32">
        <f>'Data_Raw++ (2018)'!AC47/100</f>
        <v>1.0072907895738994</v>
      </c>
      <c r="AD46" s="32">
        <f>'Data_Raw++ (2018)'!AD47/100</f>
        <v>0.22111261234549009</v>
      </c>
      <c r="AE46" s="32">
        <f>'Data_Raw++ (2018)'!AE47/100</f>
        <v>1.0072907895738992</v>
      </c>
      <c r="AF46" s="32">
        <f>'Data_Raw++ (2018)'!AF47/100</f>
        <v>0.35391298012055922</v>
      </c>
      <c r="AG46" s="32">
        <f>'Data_Raw++ (2018)'!AG47/100</f>
        <v>0.35391298012055922</v>
      </c>
      <c r="AH46" s="32">
        <f>'Data_Raw++ (2018)'!AH47/100</f>
        <v>1.184839107360133</v>
      </c>
      <c r="AI46" s="32">
        <f>'Data_Raw++ (2018)'!AI47/100</f>
        <v>0.20908925424002348</v>
      </c>
      <c r="AJ46" s="32">
        <f>'Data_Raw++ (2018)'!AJ47/100</f>
        <v>0.12815147840517568</v>
      </c>
      <c r="AK46" s="32">
        <f>'Data_Raw++ (2018)'!AK47/100</f>
        <v>0.51260591362070274</v>
      </c>
      <c r="AL46" s="32">
        <f>'Data_Raw++ (2018)'!AL47/100</f>
        <v>3.7591100332184868</v>
      </c>
      <c r="AM46" s="32">
        <f>'Data_Raw++ (2018)'!AM47/100</f>
        <v>0.32687913332334667</v>
      </c>
      <c r="AN46" s="32">
        <f>'Data_Raw++ (2018)'!AN47/100</f>
        <v>0.43330489766118041</v>
      </c>
      <c r="AO46" s="32">
        <f>'Data_Raw++ (2018)'!AO47/100</f>
        <v>0.25448065418196308</v>
      </c>
      <c r="AP46" s="32">
        <f>'Data_Raw++ (2018)'!AP47/100</f>
        <v>0.11975560196798263</v>
      </c>
      <c r="AQ46" s="32">
        <f>'Data_Raw++ (2018)'!AQ47/100</f>
        <v>0.17963340295197394</v>
      </c>
      <c r="AR46" s="32">
        <f>'Data_Raw++ (2018)'!AR47/100</f>
        <v>0.19460285319797177</v>
      </c>
      <c r="AS46" s="32">
        <f>'Data_Raw++ (2018)'!AS47/100</f>
        <v>0.36140529879623329</v>
      </c>
      <c r="AT46" s="32">
        <f>'Data_Raw++ (2018)'!AT47/100</f>
        <v>0.13367045297942876</v>
      </c>
      <c r="AU46" s="32">
        <f>'Data_Raw++ (2018)'!AU47/100</f>
        <v>0.15691748828019897</v>
      </c>
      <c r="AV46" s="32">
        <f>'Data_Raw++ (2018)'!AV47/100</f>
        <v>0</v>
      </c>
      <c r="AW46" s="32">
        <f>'Data_Raw++ (2018)'!AW47/100</f>
        <v>0.1083262244152951</v>
      </c>
      <c r="AX46" s="32">
        <f>'Data_Raw++ (2018)'!AX47/100</f>
        <v>0</v>
      </c>
      <c r="AY46" s="32">
        <f>'Data_Raw++ (2018)'!AY47/100</f>
        <v>5.9087031499251867E-2</v>
      </c>
      <c r="AZ46" s="32">
        <f>'Data_Raw++ (2018)'!AZ47/100</f>
        <v>0</v>
      </c>
      <c r="BA46" s="32">
        <f>'Data_Raw++ (2018)'!BA47/100</f>
        <v>0</v>
      </c>
      <c r="BB46" s="32">
        <f>'Data_Raw++ (2018)'!BB47/100</f>
        <v>5.3554537913179601E-2</v>
      </c>
      <c r="BC46" s="32">
        <f>'Data_Raw++ (2018)'!BC47/100</f>
        <v>0</v>
      </c>
      <c r="BD46" s="32">
        <f>'Data_Raw++ (2018)'!BD47/100</f>
        <v>3.2614347135787772E-2</v>
      </c>
      <c r="BE46" s="32">
        <f>'Data_Raw++ (2018)'!BE47/100</f>
        <v>0</v>
      </c>
      <c r="BF46" s="32">
        <f>'Data_Raw++ (2018)'!BF47/100</f>
        <v>0</v>
      </c>
      <c r="BG46" s="32">
        <f>'Data_Raw++ (2018)'!BG47/100</f>
        <v>0</v>
      </c>
      <c r="BH46" s="32">
        <f>'Data_Raw++ (2018)'!BH47/100</f>
        <v>0</v>
      </c>
      <c r="BI46" s="32">
        <f>'Data_Raw++ (2018)'!BI47/100</f>
        <v>0</v>
      </c>
      <c r="BJ46" s="32">
        <f>'Data_Raw++ (2018)'!BJ47/100</f>
        <v>0</v>
      </c>
      <c r="BK46" s="32">
        <f>'Data_Raw++ (2018)'!BK47/100</f>
        <v>0</v>
      </c>
      <c r="BL46" s="32">
        <f>'Data_Raw++ (2018)'!BL47/100</f>
        <v>0</v>
      </c>
      <c r="BM46" s="32">
        <f>'Data_Raw++ (2018)'!BM47/100</f>
        <v>0</v>
      </c>
      <c r="BN46" s="32">
        <f>'Data_Raw++ (2018)'!BN47/100</f>
        <v>0</v>
      </c>
      <c r="BO46" s="32">
        <f>'Data_Raw++ (2018)'!BO47/100</f>
        <v>0</v>
      </c>
    </row>
    <row r="47" spans="1:67" x14ac:dyDescent="0.2">
      <c r="A47" s="34" t="s">
        <v>127</v>
      </c>
      <c r="B47" s="32">
        <f>'Data_Raw++ (2018)'!B48/100</f>
        <v>4000</v>
      </c>
      <c r="C47" s="32">
        <f>'Data_Raw++ (2018)'!C48/100</f>
        <v>5756.0975609756097</v>
      </c>
      <c r="D47" s="32">
        <f>'Data_Raw++ (2018)'!D48/100</f>
        <v>5104.4638748274274</v>
      </c>
      <c r="E47" s="32">
        <f>'Data_Raw++ (2018)'!E48/100</f>
        <v>3696.3359093577928</v>
      </c>
      <c r="F47" s="32">
        <f>'Data_Raw++ (2018)'!F48/100</f>
        <v>2904.2639287811226</v>
      </c>
      <c r="G47" s="32">
        <f>'Data_Raw++ (2018)'!G48/100</f>
        <v>3275.0210260723297</v>
      </c>
      <c r="H47" s="32">
        <f>'Data_Raw++ (2018)'!H48/100</f>
        <v>1091.6736753574432</v>
      </c>
      <c r="I47" s="32">
        <f>'Data_Raw++ (2018)'!I48/100</f>
        <v>1281.5299667239551</v>
      </c>
      <c r="J47" s="32">
        <f>'Data_Raw++ (2018)'!J48/100</f>
        <v>1231.2738895975256</v>
      </c>
      <c r="K47" s="32">
        <f>'Data_Raw++ (2018)'!K48/100</f>
        <v>855.63100802539907</v>
      </c>
      <c r="L47" s="32">
        <f>'Data_Raw++ (2018)'!L48/100</f>
        <v>481.29244201428696</v>
      </c>
      <c r="M47" s="32">
        <f>'Data_Raw++ (2018)'!M48/100</f>
        <v>612.55401710909257</v>
      </c>
      <c r="N47" s="32">
        <f>'Data_Raw++ (2018)'!N48/100</f>
        <v>588.53229094795165</v>
      </c>
      <c r="O47" s="32">
        <f>'Data_Raw++ (2018)'!O48/100</f>
        <v>316.90200281812776</v>
      </c>
      <c r="P47" s="32">
        <f>'Data_Raw++ (2018)'!P48/100</f>
        <v>248.9944307856718</v>
      </c>
      <c r="Q47" s="32">
        <f>'Data_Raw++ (2018)'!Q48/100</f>
        <v>203.72271609736782</v>
      </c>
      <c r="R47" s="32">
        <f>'Data_Raw++ (2018)'!R48/100</f>
        <v>141.57002305071322</v>
      </c>
      <c r="S47" s="32">
        <f>'Data_Raw++ (2018)'!S48/100</f>
        <v>83.144299252006164</v>
      </c>
      <c r="T47" s="32">
        <f>'Data_Raw++ (2018)'!T48/100</f>
        <v>70.826625288745987</v>
      </c>
      <c r="U47" s="32">
        <f>'Data_Raw++ (2018)'!U48/100</f>
        <v>137.48697850168338</v>
      </c>
      <c r="V47" s="32">
        <f>'Data_Raw++ (2018)'!V48/100</f>
        <v>117.11853724217474</v>
      </c>
      <c r="W47" s="32">
        <f>'Data_Raw++ (2018)'!W48/100</f>
        <v>34.983459176234014</v>
      </c>
      <c r="X47" s="32">
        <f>'Data_Raw++ (2018)'!X48/100</f>
        <v>48.310491243370791</v>
      </c>
      <c r="Y47" s="32">
        <f>'Data_Raw++ (2018)'!Y48/100</f>
        <v>33.571697304715293</v>
      </c>
      <c r="Z47" s="32">
        <f>'Data_Raw++ (2018)'!Z48/100</f>
        <v>33.571697304715293</v>
      </c>
      <c r="AA47" s="32">
        <f>'Data_Raw++ (2018)'!AA48/100</f>
        <v>25.326017264960665</v>
      </c>
      <c r="AB47" s="32">
        <f>'Data_Raw++ (2018)'!AB48/100</f>
        <v>5.7616689277785511</v>
      </c>
      <c r="AC47" s="32">
        <f>'Data_Raw++ (2018)'!AC48/100</f>
        <v>3.6836899702190737</v>
      </c>
      <c r="AD47" s="32">
        <f>'Data_Raw++ (2018)'!AD48/100</f>
        <v>4.688332689369731</v>
      </c>
      <c r="AE47" s="32">
        <f>'Data_Raw++ (2018)'!AE48/100</f>
        <v>8.7069035659723575</v>
      </c>
      <c r="AF47" s="32">
        <f>'Data_Raw++ (2018)'!AF48/100</f>
        <v>2.1767258914930894</v>
      </c>
      <c r="AG47" s="32">
        <f>'Data_Raw++ (2018)'!AG48/100</f>
        <v>2.5552869161005831</v>
      </c>
      <c r="AH47" s="32">
        <f>'Data_Raw++ (2018)'!AH48/100</f>
        <v>2.2660091520137247</v>
      </c>
      <c r="AI47" s="32">
        <f>'Data_Raw++ (2018)'!AI48/100</f>
        <v>2.5552869161005831</v>
      </c>
      <c r="AJ47" s="32">
        <f>'Data_Raw++ (2018)'!AJ48/100</f>
        <v>5.4299846967137402</v>
      </c>
      <c r="AK47" s="32">
        <f>'Data_Raw++ (2018)'!AK48/100</f>
        <v>4.8152694480291656</v>
      </c>
      <c r="AL47" s="32">
        <f>'Data_Raw++ (2018)'!AL48/100</f>
        <v>0.5951456621159642</v>
      </c>
      <c r="AM47" s="32">
        <f>'Data_Raw++ (2018)'!AM48/100</f>
        <v>1.0133561273866418</v>
      </c>
      <c r="AN47" s="32">
        <f>'Data_Raw++ (2018)'!AN48/100</f>
        <v>1.2897259803102716</v>
      </c>
      <c r="AO47" s="32">
        <f>'Data_Raw++ (2018)'!AO48/100</f>
        <v>0.85981732020684776</v>
      </c>
      <c r="AP47" s="32">
        <f>'Data_Raw++ (2018)'!AP48/100</f>
        <v>0.70348689835105715</v>
      </c>
      <c r="AQ47" s="32">
        <f>'Data_Raw++ (2018)'!AQ48/100</f>
        <v>0.36240234157478701</v>
      </c>
      <c r="AR47" s="32">
        <f>'Data_Raw++ (2018)'!AR48/100</f>
        <v>0.70348689835105715</v>
      </c>
      <c r="AS47" s="32">
        <f>'Data_Raw++ (2018)'!AS48/100</f>
        <v>0.55273970584725907</v>
      </c>
      <c r="AT47" s="32">
        <f>'Data_Raw++ (2018)'!AT48/100</f>
        <v>0.23688844536311102</v>
      </c>
      <c r="AU47" s="32">
        <f>'Data_Raw++ (2018)'!AU48/100</f>
        <v>0.52726783000176314</v>
      </c>
      <c r="AV47" s="32">
        <f>'Data_Raw++ (2018)'!AV48/100</f>
        <v>0.22597192714361278</v>
      </c>
      <c r="AW47" s="32">
        <f>'Data_Raw++ (2018)'!AW48/100</f>
        <v>0.32517911467007693</v>
      </c>
      <c r="AX47" s="32">
        <f>'Data_Raw++ (2018)'!AX48/100</f>
        <v>0.26605563927551745</v>
      </c>
      <c r="AY47" s="32">
        <f>'Data_Raw++ (2018)'!AY48/100</f>
        <v>0.22663998901247784</v>
      </c>
      <c r="AZ47" s="32">
        <f>'Data_Raw++ (2018)'!AZ48/100</f>
        <v>0.22663998901247784</v>
      </c>
      <c r="BA47" s="32">
        <f>'Data_Raw++ (2018)'!BA48/100</f>
        <v>0</v>
      </c>
      <c r="BB47" s="32">
        <f>'Data_Raw++ (2018)'!BB48/100</f>
        <v>0.11215008524437144</v>
      </c>
      <c r="BC47" s="32">
        <f>'Data_Raw++ (2018)'!BC48/100</f>
        <v>0</v>
      </c>
      <c r="BD47" s="32">
        <f>'Data_Raw++ (2018)'!BD48/100</f>
        <v>5.3738582512927985E-2</v>
      </c>
      <c r="BE47" s="32">
        <f>'Data_Raw++ (2018)'!BE48/100</f>
        <v>5.3738582512927985E-2</v>
      </c>
      <c r="BF47" s="32">
        <f>'Data_Raw++ (2018)'!BF48/100</f>
        <v>0</v>
      </c>
      <c r="BG47" s="32">
        <f>'Data_Raw++ (2018)'!BG48/100</f>
        <v>0</v>
      </c>
      <c r="BH47" s="32">
        <f>'Data_Raw++ (2018)'!BH48/100</f>
        <v>0</v>
      </c>
      <c r="BI47" s="32">
        <f>'Data_Raw++ (2018)'!BI48/100</f>
        <v>0</v>
      </c>
      <c r="BJ47" s="32">
        <f>'Data_Raw++ (2018)'!BJ48/100</f>
        <v>0</v>
      </c>
      <c r="BK47" s="32">
        <f>'Data_Raw++ (2018)'!BK48/100</f>
        <v>0</v>
      </c>
      <c r="BL47" s="32">
        <f>'Data_Raw++ (2018)'!BL48/100</f>
        <v>0</v>
      </c>
      <c r="BM47" s="32">
        <f>'Data_Raw++ (2018)'!BM48/100</f>
        <v>0</v>
      </c>
      <c r="BN47" s="32">
        <f>'Data_Raw++ (2018)'!BN48/100</f>
        <v>0</v>
      </c>
      <c r="BO47" s="32">
        <f>'Data_Raw++ (2018)'!BO48/100</f>
        <v>0</v>
      </c>
    </row>
    <row r="48" spans="1:67" x14ac:dyDescent="0.2">
      <c r="A48" s="34" t="s">
        <v>133</v>
      </c>
      <c r="B48" s="32">
        <f>'Data_Raw++ (2018)'!B49/100</f>
        <v>4000</v>
      </c>
      <c r="C48" s="32">
        <f>'Data_Raw++ (2018)'!C49/100</f>
        <v>5756.0975609756097</v>
      </c>
      <c r="D48" s="32">
        <f>'Data_Raw++ (2018)'!D49/100</f>
        <v>6235.7723577235774</v>
      </c>
      <c r="E48" s="32">
        <f>'Data_Raw++ (2018)'!E49/100</f>
        <v>5756.0975609756097</v>
      </c>
      <c r="F48" s="32">
        <f>'Data_Raw++ (2018)'!F49/100</f>
        <v>4522.6480836236924</v>
      </c>
      <c r="G48" s="32">
        <f>'Data_Raw++ (2018)'!G49/100</f>
        <v>4010.6501873644065</v>
      </c>
      <c r="H48" s="32">
        <f>'Data_Raw++ (2018)'!H49/100</f>
        <v>1266.521111799286</v>
      </c>
      <c r="I48" s="32">
        <f>'Data_Raw++ (2018)'!I49/100</f>
        <v>2571.4216512288531</v>
      </c>
      <c r="J48" s="32">
        <f>'Data_Raw++ (2018)'!J49/100</f>
        <v>1786.9201305149656</v>
      </c>
      <c r="K48" s="32">
        <f>'Data_Raw++ (2018)'!K49/100</f>
        <v>1191.2800870099773</v>
      </c>
      <c r="L48" s="32">
        <f>'Data_Raw++ (2018)'!L49/100</f>
        <v>794.18672467331805</v>
      </c>
      <c r="M48" s="32">
        <f>'Data_Raw++ (2018)'!M49/100</f>
        <v>895.57226399331614</v>
      </c>
      <c r="N48" s="32">
        <f>'Data_Raw++ (2018)'!N49/100</f>
        <v>703.66392170903407</v>
      </c>
      <c r="O48" s="32">
        <f>'Data_Raw++ (2018)'!O49/100</f>
        <v>378.89595784332602</v>
      </c>
      <c r="P48" s="32">
        <f>'Data_Raw++ (2018)'!P49/100</f>
        <v>263.30058087417569</v>
      </c>
      <c r="Q48" s="32">
        <f>'Data_Raw++ (2018)'!Q49/100</f>
        <v>274.04754335883598</v>
      </c>
      <c r="R48" s="32">
        <f>'Data_Raw++ (2018)'!R49/100</f>
        <v>167.96462334896401</v>
      </c>
      <c r="S48" s="32">
        <f>'Data_Raw++ (2018)'!S49/100</f>
        <v>411.22373302677397</v>
      </c>
      <c r="T48" s="32">
        <f>'Data_Raw++ (2018)'!T49/100</f>
        <v>109.31263789319308</v>
      </c>
      <c r="U48" s="32">
        <f>'Data_Raw++ (2018)'!U49/100</f>
        <v>105.02586777973453</v>
      </c>
      <c r="V48" s="32">
        <f>'Data_Raw++ (2018)'!V49/100</f>
        <v>139.22033635918297</v>
      </c>
      <c r="W48" s="32">
        <f>'Data_Raw++ (2018)'!W49/100</f>
        <v>51.492453173944384</v>
      </c>
      <c r="X48" s="32">
        <f>'Data_Raw++ (2018)'!X49/100</f>
        <v>104.54528371679618</v>
      </c>
      <c r="Y48" s="32">
        <f>'Data_Raw++ (2018)'!Y49/100</f>
        <v>82.14272292033985</v>
      </c>
      <c r="Z48" s="32">
        <f>'Data_Raw++ (2018)'!Z49/100</f>
        <v>52.517478588414015</v>
      </c>
      <c r="AA48" s="32">
        <f>'Data_Raw++ (2018)'!AA49/100</f>
        <v>38.029898288161874</v>
      </c>
      <c r="AB48" s="32">
        <f>'Data_Raw++ (2018)'!AB49/100</f>
        <v>9.3211280704284736</v>
      </c>
      <c r="AC48" s="32">
        <f>'Data_Raw++ (2018)'!AC49/100</f>
        <v>5.2431345396160172</v>
      </c>
      <c r="AD48" s="32">
        <f>'Data_Raw++ (2018)'!AD49/100</f>
        <v>6.1549840247666285</v>
      </c>
      <c r="AE48" s="32">
        <f>'Data_Raw++ (2018)'!AE49/100</f>
        <v>4.8360588766023502</v>
      </c>
      <c r="AF48" s="32">
        <f>'Data_Raw++ (2018)'!AF49/100</f>
        <v>3.2240392510682341</v>
      </c>
      <c r="AG48" s="32">
        <f>'Data_Raw++ (2018)'!AG49/100</f>
        <v>4.8360588766023511</v>
      </c>
      <c r="AH48" s="32">
        <f>'Data_Raw++ (2018)'!AH49/100</f>
        <v>2.7202831180888221</v>
      </c>
      <c r="AI48" s="32">
        <f>'Data_Raw++ (2018)'!AI49/100</f>
        <v>1.6672702981834717</v>
      </c>
      <c r="AJ48" s="32">
        <f>'Data_Raw++ (2018)'!AJ49/100</f>
        <v>1.7353221470889197</v>
      </c>
      <c r="AK48" s="32">
        <f>'Data_Raw++ (2018)'!AK49/100</f>
        <v>1.8799323260129963</v>
      </c>
      <c r="AL48" s="32">
        <f>'Data_Raw++ (2018)'!AL49/100</f>
        <v>0</v>
      </c>
      <c r="AM48" s="32">
        <f>'Data_Raw++ (2018)'!AM49/100</f>
        <v>6.7111585214403302</v>
      </c>
      <c r="AN48" s="32">
        <f>'Data_Raw++ (2018)'!AN49/100</f>
        <v>0.45592474257530585</v>
      </c>
      <c r="AO48" s="32">
        <f>'Data_Raw++ (2018)'!AO49/100</f>
        <v>6.9850833590501393</v>
      </c>
      <c r="AP48" s="32">
        <f>'Data_Raw++ (2018)'!AP49/100</f>
        <v>0</v>
      </c>
      <c r="AQ48" s="32">
        <f>'Data_Raw++ (2018)'!AQ49/100</f>
        <v>0</v>
      </c>
      <c r="AR48" s="32">
        <f>'Data_Raw++ (2018)'!AR49/100</f>
        <v>2.4274403162656513</v>
      </c>
      <c r="AS48" s="32">
        <f>'Data_Raw++ (2018)'!AS49/100</f>
        <v>1.5519700382682031</v>
      </c>
      <c r="AT48" s="32">
        <f>'Data_Raw++ (2018)'!AT49/100</f>
        <v>1.5519700382682031</v>
      </c>
      <c r="AU48" s="32">
        <f>'Data_Raw++ (2018)'!AU49/100</f>
        <v>1.5519700382682031</v>
      </c>
      <c r="AV48" s="32">
        <f>'Data_Raw++ (2018)'!AV49/100</f>
        <v>2.233322737995707</v>
      </c>
      <c r="AW48" s="32">
        <f>'Data_Raw++ (2018)'!AW49/100</f>
        <v>0.6670964022584579</v>
      </c>
      <c r="AX48" s="32">
        <f>'Data_Raw++ (2018)'!AX49/100</f>
        <v>0</v>
      </c>
      <c r="AY48" s="32">
        <f>'Data_Raw++ (2018)'!AY49/100</f>
        <v>3.1382258569645551</v>
      </c>
      <c r="AZ48" s="32">
        <f>'Data_Raw++ (2018)'!AZ49/100</f>
        <v>4.7073387854468329</v>
      </c>
      <c r="BA48" s="32">
        <f>'Data_Raw++ (2018)'!BA49/100</f>
        <v>0</v>
      </c>
      <c r="BB48" s="32">
        <f>'Data_Raw++ (2018)'!BB49/100</f>
        <v>0</v>
      </c>
      <c r="BC48" s="32">
        <f>'Data_Raw++ (2018)'!BC49/100</f>
        <v>0</v>
      </c>
      <c r="BD48" s="32">
        <f>'Data_Raw++ (2018)'!BD49/100</f>
        <v>0</v>
      </c>
      <c r="BE48" s="32">
        <f>'Data_Raw++ (2018)'!BE49/100</f>
        <v>0</v>
      </c>
      <c r="BF48" s="32">
        <f>'Data_Raw++ (2018)'!BF49/100</f>
        <v>0</v>
      </c>
      <c r="BG48" s="32">
        <f>'Data_Raw++ (2018)'!BG49/100</f>
        <v>0</v>
      </c>
      <c r="BH48" s="32">
        <f>'Data_Raw++ (2018)'!BH49/100</f>
        <v>0</v>
      </c>
      <c r="BI48" s="32">
        <f>'Data_Raw++ (2018)'!BI49/100</f>
        <v>0</v>
      </c>
      <c r="BJ48" s="32">
        <f>'Data_Raw++ (2018)'!BJ49/100</f>
        <v>0</v>
      </c>
      <c r="BK48" s="32">
        <f>'Data_Raw++ (2018)'!BK49/100</f>
        <v>0</v>
      </c>
      <c r="BL48" s="32">
        <f>'Data_Raw++ (2018)'!BL49/100</f>
        <v>0</v>
      </c>
      <c r="BM48" s="32">
        <f>'Data_Raw++ (2018)'!BM49/100</f>
        <v>0</v>
      </c>
      <c r="BN48" s="32">
        <f>'Data_Raw++ (2018)'!BN49/100</f>
        <v>0</v>
      </c>
      <c r="BO48" s="32">
        <f>'Data_Raw++ (2018)'!BO49/100</f>
        <v>0</v>
      </c>
    </row>
    <row r="49" spans="1:67" x14ac:dyDescent="0.2">
      <c r="A49" s="34" t="s">
        <v>145</v>
      </c>
      <c r="B49" s="32">
        <f>'Data_Raw++ (2018)'!B50/100</f>
        <v>4000</v>
      </c>
      <c r="C49" s="32">
        <f>'Data_Raw++ (2018)'!C50/100</f>
        <v>5756.0975609756097</v>
      </c>
      <c r="D49" s="32">
        <f>'Data_Raw++ (2018)'!D50/100</f>
        <v>4903.3423667570005</v>
      </c>
      <c r="E49" s="32">
        <f>'Data_Raw++ (2018)'!E50/100</f>
        <v>4711.0544308057451</v>
      </c>
      <c r="F49" s="32">
        <f>'Data_Raw++ (2018)'!F50/100</f>
        <v>3854.499079750155</v>
      </c>
      <c r="G49" s="32">
        <f>'Data_Raw++ (2018)'!G50/100</f>
        <v>3557.9991505386047</v>
      </c>
      <c r="H49" s="32">
        <f>'Data_Raw++ (2018)'!H50/100</f>
        <v>1003.5382219467859</v>
      </c>
      <c r="I49" s="32">
        <f>'Data_Raw++ (2018)'!I50/100</f>
        <v>1784.0679501276195</v>
      </c>
      <c r="J49" s="32">
        <f>'Data_Raw++ (2018)'!J50/100</f>
        <v>1519.7615871457499</v>
      </c>
      <c r="K49" s="32">
        <f>'Data_Raw++ (2018)'!K50/100</f>
        <v>892.55839245067853</v>
      </c>
      <c r="L49" s="32">
        <f>'Data_Raw++ (2018)'!L50/100</f>
        <v>646.33538763669833</v>
      </c>
      <c r="M49" s="32">
        <f>'Data_Raw++ (2018)'!M50/100</f>
        <v>789.96547377818683</v>
      </c>
      <c r="N49" s="32">
        <f>'Data_Raw++ (2018)'!N50/100</f>
        <v>595.93886618354452</v>
      </c>
      <c r="O49" s="32">
        <f>'Data_Raw++ (2018)'!O50/100</f>
        <v>414.12700870381906</v>
      </c>
      <c r="P49" s="32">
        <f>'Data_Raw++ (2018)'!P50/100</f>
        <v>466.9942864106896</v>
      </c>
      <c r="Q49" s="32">
        <f>'Data_Raw++ (2018)'!Q50/100</f>
        <v>262.68428610601291</v>
      </c>
      <c r="R49" s="32">
        <f>'Data_Raw++ (2018)'!R50/100</f>
        <v>167.9456911169591</v>
      </c>
      <c r="S49" s="32">
        <f>'Data_Raw++ (2018)'!S50/100</f>
        <v>311.89914064578119</v>
      </c>
      <c r="T49" s="32">
        <f>'Data_Raw++ (2018)'!T50/100</f>
        <v>93.164678374713873</v>
      </c>
      <c r="U49" s="32">
        <f>'Data_Raw++ (2018)'!U50/100</f>
        <v>113.86794023576141</v>
      </c>
      <c r="V49" s="32">
        <f>'Data_Raw++ (2018)'!V50/100</f>
        <v>139.17192695481953</v>
      </c>
      <c r="W49" s="32">
        <f>'Data_Raw++ (2018)'!W50/100</f>
        <v>109.34937117878675</v>
      </c>
      <c r="X49" s="32">
        <f>'Data_Raw++ (2018)'!X50/100</f>
        <v>82.491630889260179</v>
      </c>
      <c r="Y49" s="32">
        <f>'Data_Raw++ (2018)'!Y50/100</f>
        <v>62.230528565582247</v>
      </c>
      <c r="Z49" s="32">
        <f>'Data_Raw++ (2018)'!Z50/100</f>
        <v>46.94583733894801</v>
      </c>
      <c r="AA49" s="32">
        <f>'Data_Raw++ (2018)'!AA50/100</f>
        <v>288.38157222496631</v>
      </c>
      <c r="AB49" s="32">
        <f>'Data_Raw++ (2018)'!AB50/100</f>
        <v>30.453094026956446</v>
      </c>
      <c r="AC49" s="32">
        <f>'Data_Raw++ (2018)'!AC50/100</f>
        <v>23.927431021180062</v>
      </c>
      <c r="AD49" s="32">
        <f>'Data_Raw++ (2018)'!AD50/100</f>
        <v>33.042642838772466</v>
      </c>
      <c r="AE49" s="32">
        <f>'Data_Raw++ (2018)'!AE50/100</f>
        <v>28.147436492287657</v>
      </c>
      <c r="AF49" s="32">
        <f>'Data_Raw++ (2018)'!AF50/100</f>
        <v>23.977445900837633</v>
      </c>
      <c r="AG49" s="32">
        <f>'Data_Raw++ (2018)'!AG50/100</f>
        <v>25.975566392574105</v>
      </c>
      <c r="AH49" s="32">
        <f>'Data_Raw++ (2018)'!AH50/100</f>
        <v>15.920508434158323</v>
      </c>
      <c r="AI49" s="32">
        <f>'Data_Raw++ (2018)'!AI50/100</f>
        <v>14.118186724630965</v>
      </c>
      <c r="AJ49" s="32">
        <f>'Data_Raw++ (2018)'!AJ50/100</f>
        <v>15.294702285016879</v>
      </c>
      <c r="AK49" s="32">
        <f>'Data_Raw++ (2018)'!AK50/100</f>
        <v>29.689716200326885</v>
      </c>
      <c r="AL49" s="32">
        <f>'Data_Raw++ (2018)'!AL50/100</f>
        <v>2.2347098215299805</v>
      </c>
      <c r="AM49" s="32">
        <f>'Data_Raw++ (2018)'!AM50/100</f>
        <v>7.0765811015116045</v>
      </c>
      <c r="AN49" s="32">
        <f>'Data_Raw++ (2018)'!AN50/100</f>
        <v>3.1793335383602863</v>
      </c>
      <c r="AO49" s="32">
        <f>'Data_Raw++ (2018)'!AO50/100</f>
        <v>5.6521485126405091</v>
      </c>
      <c r="AP49" s="32">
        <f>'Data_Raw++ (2018)'!AP50/100</f>
        <v>6.123160888693886</v>
      </c>
      <c r="AQ49" s="32">
        <f>'Data_Raw++ (2018)'!AQ50/100</f>
        <v>6.123160888693886</v>
      </c>
      <c r="AR49" s="32">
        <f>'Data_Raw++ (2018)'!AR50/100</f>
        <v>7.7931138583376738</v>
      </c>
      <c r="AS49" s="32">
        <f>'Data_Raw++ (2018)'!AS50/100</f>
        <v>4.3836265453149421</v>
      </c>
      <c r="AT49" s="32">
        <f>'Data_Raw++ (2018)'!AT50/100</f>
        <v>1.9694554044168577</v>
      </c>
      <c r="AU49" s="32">
        <f>'Data_Raw++ (2018)'!AU50/100</f>
        <v>3.8230604909268417</v>
      </c>
      <c r="AV49" s="32">
        <f>'Data_Raw++ (2018)'!AV50/100</f>
        <v>2.5487069939512281</v>
      </c>
      <c r="AW49" s="32">
        <f>'Data_Raw++ (2018)'!AW50/100</f>
        <v>2.1711207726251205</v>
      </c>
      <c r="AX49" s="32">
        <f>'Data_Raw++ (2018)'!AX50/100</f>
        <v>1.3306869251573321</v>
      </c>
      <c r="AY49" s="32">
        <f>'Data_Raw++ (2018)'!AY50/100</f>
        <v>2.0813308316563397</v>
      </c>
      <c r="AZ49" s="32">
        <f>'Data_Raw++ (2018)'!AZ50/100</f>
        <v>3.3958555674392907</v>
      </c>
      <c r="BA49" s="32">
        <f>'Data_Raw++ (2018)'!BA50/100</f>
        <v>1.131951855813097</v>
      </c>
      <c r="BB49" s="32">
        <f>'Data_Raw++ (2018)'!BB50/100</f>
        <v>0.18427123234166698</v>
      </c>
      <c r="BC49" s="32">
        <f>'Data_Raw++ (2018)'!BC50/100</f>
        <v>0</v>
      </c>
      <c r="BD49" s="32">
        <f>'Data_Raw++ (2018)'!BD50/100</f>
        <v>0.47507282757107722</v>
      </c>
      <c r="BE49" s="32">
        <f>'Data_Raw++ (2018)'!BE50/100</f>
        <v>0.47507282757107722</v>
      </c>
      <c r="BF49" s="32">
        <f>'Data_Raw++ (2018)'!BF50/100</f>
        <v>0</v>
      </c>
      <c r="BG49" s="32">
        <f>'Data_Raw++ (2018)'!BG50/100</f>
        <v>0</v>
      </c>
      <c r="BH49" s="32">
        <f>'Data_Raw++ (2018)'!BH50/100</f>
        <v>0</v>
      </c>
      <c r="BI49" s="32">
        <f>'Data_Raw++ (2018)'!BI50/100</f>
        <v>0.43354548250367536</v>
      </c>
      <c r="BJ49" s="32">
        <f>'Data_Raw++ (2018)'!BJ50/100</f>
        <v>0</v>
      </c>
      <c r="BK49" s="32">
        <f>'Data_Raw++ (2018)'!BK50/100</f>
        <v>0.43354548250367536</v>
      </c>
      <c r="BL49" s="32">
        <f>'Data_Raw++ (2018)'!BL50/100</f>
        <v>0.20293618329959276</v>
      </c>
      <c r="BM49" s="32">
        <f>'Data_Raw++ (2018)'!BM50/100</f>
        <v>0</v>
      </c>
      <c r="BN49" s="32">
        <f>'Data_Raw++ (2018)'!BN50/100</f>
        <v>0</v>
      </c>
      <c r="BO49" s="32">
        <f>'Data_Raw++ (2018)'!BO50/100</f>
        <v>0</v>
      </c>
    </row>
    <row r="50" spans="1:67" x14ac:dyDescent="0.2">
      <c r="A50" s="34" t="s">
        <v>142</v>
      </c>
      <c r="B50" s="32">
        <f>'Data_Raw++ (2018)'!B51/100</f>
        <v>4000</v>
      </c>
      <c r="C50" s="32">
        <f>'Data_Raw++ (2018)'!C51/100</f>
        <v>4695.652173913044</v>
      </c>
      <c r="D50" s="32">
        <f>'Data_Raw++ (2018)'!D51/100</f>
        <v>4164.0689089417556</v>
      </c>
      <c r="E50" s="32">
        <f>'Data_Raw++ (2018)'!E51/100</f>
        <v>2662.2735647332534</v>
      </c>
      <c r="F50" s="32">
        <f>'Data_Raw++ (2018)'!F51/100</f>
        <v>2091.7863722904135</v>
      </c>
      <c r="G50" s="32">
        <f>'Data_Raw++ (2018)'!G51/100</f>
        <v>1854.9803678801775</v>
      </c>
      <c r="H50" s="32">
        <f>'Data_Raw++ (2018)'!H51/100</f>
        <v>1089.4329144693104</v>
      </c>
      <c r="I50" s="32">
        <f>'Data_Raw++ (2018)'!I51/100</f>
        <v>1180.2189906750864</v>
      </c>
      <c r="J50" s="32">
        <f>'Data_Raw++ (2018)'!J51/100</f>
        <v>927.31492124471072</v>
      </c>
      <c r="K50" s="32">
        <f>'Data_Raw++ (2018)'!K51/100</f>
        <v>758.7122082911269</v>
      </c>
      <c r="L50" s="32">
        <f>'Data_Raw++ (2018)'!L51/100</f>
        <v>426.77561716375885</v>
      </c>
      <c r="M50" s="32">
        <f>'Data_Raw++ (2018)'!M51/100</f>
        <v>142.25853905458629</v>
      </c>
      <c r="N50" s="32">
        <f>'Data_Raw++ (2018)'!N51/100</f>
        <v>476.25684813926711</v>
      </c>
      <c r="O50" s="32">
        <f>'Data_Raw++ (2018)'!O51/100</f>
        <v>256.44599515191305</v>
      </c>
      <c r="P50" s="32">
        <f>'Data_Raw++ (2018)'!P51/100</f>
        <v>170.96399676794204</v>
      </c>
      <c r="Q50" s="32">
        <f>'Data_Raw++ (2018)'!Q51/100</f>
        <v>134.32885460338304</v>
      </c>
      <c r="R50" s="32">
        <f>'Data_Raw++ (2018)'!R51/100</f>
        <v>145.52292582033161</v>
      </c>
      <c r="S50" s="32">
        <f>'Data_Raw++ (2018)'!S51/100</f>
        <v>71.675470926431984</v>
      </c>
      <c r="T50" s="32">
        <f>'Data_Raw++ (2018)'!T51/100</f>
        <v>61.056882641034647</v>
      </c>
      <c r="U50" s="32">
        <f>'Data_Raw++ (2018)'!U51/100</f>
        <v>40.704588427356427</v>
      </c>
      <c r="V50" s="32">
        <f>'Data_Raw++ (2018)'!V51/100</f>
        <v>75.594235650804805</v>
      </c>
      <c r="W50" s="32">
        <f>'Data_Raw++ (2018)'!W51/100</f>
        <v>26.560136850282767</v>
      </c>
      <c r="X50" s="32">
        <f>'Data_Raw++ (2018)'!X51/100</f>
        <v>24.517049400261016</v>
      </c>
      <c r="Y50" s="32">
        <f>'Data_Raw++ (2018)'!Y51/100</f>
        <v>17.753725427775219</v>
      </c>
      <c r="Z50" s="32">
        <f>'Data_Raw++ (2018)'!Z51/100</f>
        <v>32.971204365868267</v>
      </c>
      <c r="AA50" s="32">
        <f>'Data_Raw++ (2018)'!AA51/100</f>
        <v>131.88481746347307</v>
      </c>
      <c r="AB50" s="32">
        <f>'Data_Raw++ (2018)'!AB51/100</f>
        <v>24.728403274401202</v>
      </c>
      <c r="AC50" s="32">
        <f>'Data_Raw++ (2018)'!AC51/100</f>
        <v>11.109862340673006</v>
      </c>
      <c r="AD50" s="32">
        <f>'Data_Raw++ (2018)'!AD51/100</f>
        <v>12.528142639482327</v>
      </c>
      <c r="AE50" s="32">
        <f>'Data_Raw++ (2018)'!AE51/100</f>
        <v>20.440653780208006</v>
      </c>
      <c r="AF50" s="32">
        <f>'Data_Raw++ (2018)'!AF51/100</f>
        <v>11.497867751367004</v>
      </c>
      <c r="AG50" s="32">
        <f>'Data_Raw++ (2018)'!AG51/100</f>
        <v>8.3260421647830007</v>
      </c>
      <c r="AH50" s="32">
        <f>'Data_Raw++ (2018)'!AH51/100</f>
        <v>3.4007777856155923</v>
      </c>
      <c r="AI50" s="32">
        <f>'Data_Raw++ (2018)'!AI51/100</f>
        <v>8.7448571630115222</v>
      </c>
      <c r="AJ50" s="32">
        <f>'Data_Raw++ (2018)'!AJ51/100</f>
        <v>6.0769346387029213</v>
      </c>
      <c r="AK50" s="32">
        <f>'Data_Raw++ (2018)'!AK51/100</f>
        <v>6.5833458585948321</v>
      </c>
      <c r="AL50" s="32">
        <f>'Data_Raw++ (2018)'!AL51/100</f>
        <v>2.3130674638306168</v>
      </c>
      <c r="AM50" s="32">
        <f>'Data_Raw++ (2018)'!AM51/100</f>
        <v>3.1942360214803758</v>
      </c>
      <c r="AN50" s="32">
        <f>'Data_Raw++ (2018)'!AN51/100</f>
        <v>3.324613001948963</v>
      </c>
      <c r="AO50" s="32">
        <f>'Data_Raw++ (2018)'!AO51/100</f>
        <v>2.8320777424009687</v>
      </c>
      <c r="AP50" s="32">
        <f>'Data_Raw++ (2018)'!AP51/100</f>
        <v>4.6207584218121074</v>
      </c>
      <c r="AQ50" s="32">
        <f>'Data_Raw++ (2018)'!AQ51/100</f>
        <v>0.51341760242356749</v>
      </c>
      <c r="AR50" s="32">
        <f>'Data_Raw++ (2018)'!AR51/100</f>
        <v>3.7650624177728282</v>
      </c>
      <c r="AS50" s="32">
        <f>'Data_Raw++ (2018)'!AS51/100</f>
        <v>1.255020805924276</v>
      </c>
      <c r="AT50" s="32">
        <f>'Data_Raw++ (2018)'!AT51/100</f>
        <v>1.3062461449415934</v>
      </c>
      <c r="AU50" s="32">
        <f>'Data_Raw++ (2018)'!AU51/100</f>
        <v>4.3730849200218564</v>
      </c>
      <c r="AV50" s="32">
        <f>'Data_Raw++ (2018)'!AV51/100</f>
        <v>0.23016236421167666</v>
      </c>
      <c r="AW50" s="32">
        <f>'Data_Raw++ (2018)'!AW51/100</f>
        <v>0.11336355252216909</v>
      </c>
      <c r="AX50" s="32">
        <f>'Data_Raw++ (2018)'!AX51/100</f>
        <v>0.17004532878325362</v>
      </c>
      <c r="AY50" s="32">
        <f>'Data_Raw++ (2018)'!AY51/100</f>
        <v>2.2591736538346554</v>
      </c>
      <c r="AZ50" s="32">
        <f>'Data_Raw++ (2018)'!AZ51/100</f>
        <v>0</v>
      </c>
      <c r="BA50" s="32">
        <f>'Data_Raw++ (2018)'!BA51/100</f>
        <v>1.0498777900891461</v>
      </c>
      <c r="BB50" s="32">
        <f>'Data_Raw++ (2018)'!BB51/100</f>
        <v>0.47168422453280479</v>
      </c>
      <c r="BC50" s="32">
        <f>'Data_Raw++ (2018)'!BC51/100</f>
        <v>0.30156860257015389</v>
      </c>
      <c r="BD50" s="32">
        <f>'Data_Raw++ (2018)'!BD51/100</f>
        <v>0.67123334120453604</v>
      </c>
      <c r="BE50" s="32">
        <f>'Data_Raw++ (2018)'!BE51/100</f>
        <v>0.92694128071102599</v>
      </c>
      <c r="BF50" s="32">
        <f>'Data_Raw++ (2018)'!BF51/100</f>
        <v>0.30898042690367533</v>
      </c>
      <c r="BG50" s="32">
        <f>'Data_Raw++ (2018)'!BG51/100</f>
        <v>0</v>
      </c>
      <c r="BH50" s="32">
        <f>'Data_Raw++ (2018)'!BH51/100</f>
        <v>0</v>
      </c>
      <c r="BI50" s="32">
        <f>'Data_Raw++ (2018)'!BI51/100</f>
        <v>0</v>
      </c>
      <c r="BJ50" s="32">
        <f>'Data_Raw++ (2018)'!BJ51/100</f>
        <v>0</v>
      </c>
      <c r="BK50" s="32">
        <f>'Data_Raw++ (2018)'!BK51/100</f>
        <v>0</v>
      </c>
      <c r="BL50" s="32">
        <f>'Data_Raw++ (2018)'!BL51/100</f>
        <v>0</v>
      </c>
      <c r="BM50" s="32">
        <f>'Data_Raw++ (2018)'!BM51/100</f>
        <v>0</v>
      </c>
      <c r="BN50" s="32">
        <f>'Data_Raw++ (2018)'!BN51/100</f>
        <v>0</v>
      </c>
      <c r="BO50" s="32">
        <f>'Data_Raw++ (2018)'!BO51/100</f>
        <v>0</v>
      </c>
    </row>
    <row r="51" spans="1:67" x14ac:dyDescent="0.2">
      <c r="A51" s="34" t="s">
        <v>128</v>
      </c>
      <c r="B51" s="32">
        <f>'Data_Raw++ (2018)'!B52/100</f>
        <v>4000</v>
      </c>
      <c r="C51" s="32">
        <f>'Data_Raw++ (2018)'!C52/100</f>
        <v>4510.6382978723404</v>
      </c>
      <c r="D51" s="32">
        <f>'Data_Raw++ (2018)'!D52/100</f>
        <v>4886.5248226950362</v>
      </c>
      <c r="E51" s="32">
        <f>'Data_Raw++ (2018)'!E52/100</f>
        <v>2631.2056737588655</v>
      </c>
      <c r="F51" s="32">
        <f>'Data_Raw++ (2018)'!F52/100</f>
        <v>2528.0211375330273</v>
      </c>
      <c r="G51" s="32">
        <f>'Data_Raw++ (2018)'!G52/100</f>
        <v>3217.481447769308</v>
      </c>
      <c r="H51" s="32">
        <f>'Data_Raw++ (2018)'!H52/100</f>
        <v>2427.2228465628118</v>
      </c>
      <c r="I51" s="32">
        <f>'Data_Raw++ (2018)'!I52/100</f>
        <v>1090.4914238180747</v>
      </c>
      <c r="J51" s="32">
        <f>'Data_Raw++ (2018)'!J52/100</f>
        <v>1938.6514201210221</v>
      </c>
      <c r="K51" s="32">
        <f>'Data_Raw++ (2018)'!K52/100</f>
        <v>912.3065506451868</v>
      </c>
      <c r="L51" s="32">
        <f>'Data_Raw++ (2018)'!L52/100</f>
        <v>354.78588080646159</v>
      </c>
      <c r="M51" s="32">
        <f>'Data_Raw++ (2018)'!M52/100</f>
        <v>369.26693716590898</v>
      </c>
      <c r="N51" s="32">
        <f>'Data_Raw++ (2018)'!N52/100</f>
        <v>553.90040574886336</v>
      </c>
      <c r="O51" s="32">
        <f>'Data_Raw++ (2018)'!O52/100</f>
        <v>311.56897823373561</v>
      </c>
      <c r="P51" s="32">
        <f>'Data_Raw++ (2018)'!P52/100</f>
        <v>287.6021337542175</v>
      </c>
      <c r="Q51" s="32">
        <f>'Data_Raw++ (2018)'!Q52/100</f>
        <v>351.5137190329325</v>
      </c>
      <c r="R51" s="32">
        <f>'Data_Raw++ (2018)'!R52/100</f>
        <v>47.933688959036246</v>
      </c>
      <c r="S51" s="32">
        <f>'Data_Raw++ (2018)'!S52/100</f>
        <v>204.34888450957558</v>
      </c>
      <c r="T51" s="32">
        <f>'Data_Raw++ (2018)'!T52/100</f>
        <v>68.116294836525199</v>
      </c>
      <c r="U51" s="32">
        <f>'Data_Raw++ (2018)'!U52/100</f>
        <v>29.192697787082228</v>
      </c>
      <c r="V51" s="32">
        <f>'Data_Raw++ (2018)'!V52/100</f>
        <v>16.420892505233752</v>
      </c>
      <c r="W51" s="32">
        <f>'Data_Raw++ (2018)'!W52/100</f>
        <v>31.875850157218466</v>
      </c>
      <c r="X51" s="32">
        <f>'Data_Raw++ (2018)'!X52/100</f>
        <v>12.396163950029404</v>
      </c>
      <c r="Y51" s="32">
        <f>'Data_Raw++ (2018)'!Y52/100</f>
        <v>43.950035822831524</v>
      </c>
      <c r="Z51" s="32">
        <f>'Data_Raw++ (2018)'!Z52/100</f>
        <v>13.878958680894165</v>
      </c>
      <c r="AA51" s="32">
        <f>'Data_Raw++ (2018)'!AA52/100</f>
        <v>18.397689414208543</v>
      </c>
      <c r="AB51" s="32">
        <f>'Data_Raw++ (2018)'!AB52/100</f>
        <v>4.1284415045483973</v>
      </c>
      <c r="AC51" s="32">
        <f>'Data_Raw++ (2018)'!AC52/100</f>
        <v>1.9427960021404223</v>
      </c>
      <c r="AD51" s="32">
        <f>'Data_Raw++ (2018)'!AD52/100</f>
        <v>2.9141940032106333</v>
      </c>
      <c r="AE51" s="32">
        <f>'Data_Raw++ (2018)'!AE52/100</f>
        <v>2.5842852481301839</v>
      </c>
      <c r="AF51" s="32">
        <f>'Data_Raw++ (2018)'!AF52/100</f>
        <v>1.7228568320867896</v>
      </c>
      <c r="AG51" s="32">
        <f>'Data_Raw++ (2018)'!AG52/100</f>
        <v>0.7037020863453084</v>
      </c>
      <c r="AH51" s="32">
        <f>'Data_Raw++ (2018)'!AH52/100</f>
        <v>2.6472602295847314</v>
      </c>
      <c r="AI51" s="32">
        <f>'Data_Raw++ (2018)'!AI52/100</f>
        <v>1.62251433426161</v>
      </c>
      <c r="AJ51" s="32">
        <f>'Data_Raw++ (2018)'!AJ52/100</f>
        <v>0.51237294766156105</v>
      </c>
      <c r="AK51" s="32">
        <f>'Data_Raw++ (2018)'!AK52/100</f>
        <v>0.38652696051661622</v>
      </c>
      <c r="AL51" s="32">
        <f>'Data_Raw++ (2018)'!AL52/100</f>
        <v>0.18189504024311351</v>
      </c>
      <c r="AM51" s="32">
        <f>'Data_Raw++ (2018)'!AM52/100</f>
        <v>1.2172975770116059</v>
      </c>
      <c r="AN51" s="32">
        <f>'Data_Raw++ (2018)'!AN52/100</f>
        <v>2.1640845813539658</v>
      </c>
      <c r="AO51" s="32">
        <f>'Data_Raw++ (2018)'!AO52/100</f>
        <v>0.35229283882506424</v>
      </c>
      <c r="AP51" s="32">
        <f>'Data_Raw++ (2018)'!AP52/100</f>
        <v>0.36667213836894447</v>
      </c>
      <c r="AQ51" s="32">
        <f>'Data_Raw++ (2018)'!AQ52/100</f>
        <v>0.62433364100658106</v>
      </c>
      <c r="AR51" s="32">
        <f>'Data_Raw++ (2018)'!AR52/100</f>
        <v>0.16596210710301523</v>
      </c>
      <c r="AS51" s="32">
        <f>'Data_Raw++ (2018)'!AS52/100</f>
        <v>0.17273607065824034</v>
      </c>
      <c r="AT51" s="32">
        <f>'Data_Raw++ (2018)'!AT52/100</f>
        <v>0.44417846740690364</v>
      </c>
      <c r="AU51" s="32">
        <f>'Data_Raw++ (2018)'!AU52/100</f>
        <v>0.3489973672482814</v>
      </c>
      <c r="AV51" s="32">
        <f>'Data_Raw++ (2018)'!AV52/100</f>
        <v>0.10424596684039572</v>
      </c>
      <c r="AW51" s="32">
        <f>'Data_Raw++ (2018)'!AW52/100</f>
        <v>5.1345028443777002E-2</v>
      </c>
      <c r="AX51" s="32">
        <f>'Data_Raw++ (2018)'!AX52/100</f>
        <v>0</v>
      </c>
      <c r="AY51" s="32">
        <f>'Data_Raw++ (2018)'!AY52/100</f>
        <v>9.0170190889748592E-2</v>
      </c>
      <c r="AZ51" s="32">
        <f>'Data_Raw++ (2018)'!AZ52/100</f>
        <v>0</v>
      </c>
      <c r="BA51" s="32">
        <f>'Data_Raw++ (2018)'!BA52/100</f>
        <v>0</v>
      </c>
      <c r="BB51" s="32">
        <f>'Data_Raw++ (2018)'!BB52/100</f>
        <v>4.4164991456203388E-2</v>
      </c>
      <c r="BC51" s="32">
        <f>'Data_Raw++ (2018)'!BC52/100</f>
        <v>0</v>
      </c>
      <c r="BD51" s="32">
        <f>'Data_Raw++ (2018)'!BD52/100</f>
        <v>0.13813305838429568</v>
      </c>
      <c r="BE51" s="32">
        <f>'Data_Raw++ (2018)'!BE52/100</f>
        <v>5.6420544973867247E-2</v>
      </c>
      <c r="BF51" s="32">
        <f>'Data_Raw++ (2018)'!BF52/100</f>
        <v>0</v>
      </c>
      <c r="BG51" s="32">
        <f>'Data_Raw++ (2018)'!BG52/100</f>
        <v>0</v>
      </c>
      <c r="BH51" s="32">
        <f>'Data_Raw++ (2018)'!BH52/100</f>
        <v>6.6930450969710287E-2</v>
      </c>
      <c r="BI51" s="32">
        <f>'Data_Raw++ (2018)'!BI52/100</f>
        <v>0</v>
      </c>
      <c r="BJ51" s="32">
        <f>'Data_Raw++ (2018)'!BJ52/100</f>
        <v>0</v>
      </c>
      <c r="BK51" s="32">
        <f>'Data_Raw++ (2018)'!BK52/100</f>
        <v>0</v>
      </c>
      <c r="BL51" s="32">
        <f>'Data_Raw++ (2018)'!BL52/100</f>
        <v>0</v>
      </c>
      <c r="BM51" s="32">
        <f>'Data_Raw++ (2018)'!BM52/100</f>
        <v>0</v>
      </c>
      <c r="BN51" s="32">
        <f>'Data_Raw++ (2018)'!BN52/100</f>
        <v>0.11389918849231399</v>
      </c>
      <c r="BO51" s="32">
        <f>'Data_Raw++ (2018)'!BO52/100</f>
        <v>0</v>
      </c>
    </row>
    <row r="52" spans="1:67" x14ac:dyDescent="0.2">
      <c r="A52" s="34" t="s">
        <v>154</v>
      </c>
      <c r="B52" s="32">
        <f>'Data_Raw++ (2018)'!B53/100</f>
        <v>4000</v>
      </c>
      <c r="C52" s="32">
        <f>'Data_Raw++ (2018)'!C53/100</f>
        <v>3692.3076923076924</v>
      </c>
      <c r="D52" s="32">
        <f>'Data_Raw++ (2018)'!D53/100</f>
        <v>3145.2991452991455</v>
      </c>
      <c r="E52" s="32">
        <f>'Data_Raw++ (2018)'!E53/100</f>
        <v>2573.4265734265732</v>
      </c>
      <c r="F52" s="32">
        <f>'Data_Raw++ (2018)'!F53/100</f>
        <v>2021.9780219780216</v>
      </c>
      <c r="G52" s="32">
        <f>'Data_Raw++ (2018)'!G53/100</f>
        <v>1588.6970172684457</v>
      </c>
      <c r="H52" s="32">
        <f>'Data_Raw++ (2018)'!H53/100</f>
        <v>1198.4907323253187</v>
      </c>
      <c r="I52" s="32">
        <f>'Data_Raw++ (2018)'!I53/100</f>
        <v>798.99382155021249</v>
      </c>
      <c r="J52" s="32">
        <f>'Data_Raw++ (2018)'!J53/100</f>
        <v>767.66073050902753</v>
      </c>
      <c r="K52" s="32">
        <f>'Data_Raw++ (2018)'!K53/100</f>
        <v>490.79948344019795</v>
      </c>
      <c r="L52" s="32">
        <f>'Data_Raw++ (2018)'!L53/100</f>
        <v>252.83609752979893</v>
      </c>
      <c r="M52" s="32">
        <f>'Data_Raw++ (2018)'!M53/100</f>
        <v>490.79948344019795</v>
      </c>
      <c r="N52" s="32">
        <f>'Data_Raw++ (2018)'!N53/100</f>
        <v>276.07470943511134</v>
      </c>
      <c r="O52" s="32">
        <f>'Data_Raw++ (2018)'!O53/100</f>
        <v>254.83819332471813</v>
      </c>
      <c r="P52" s="32">
        <f>'Data_Raw++ (2018)'!P53/100</f>
        <v>244.84453868453306</v>
      </c>
      <c r="Q52" s="32">
        <f>'Data_Raw++ (2018)'!Q53/100</f>
        <v>235.24279206945332</v>
      </c>
      <c r="R52" s="32">
        <f>'Data_Raw++ (2018)'!R53/100</f>
        <v>115.86585281032777</v>
      </c>
      <c r="S52" s="32">
        <f>'Data_Raw++ (2018)'!S53/100</f>
        <v>130.657238275476</v>
      </c>
      <c r="T52" s="32">
        <f>'Data_Raw++ (2018)'!T53/100</f>
        <v>73.494696529955235</v>
      </c>
      <c r="U52" s="32">
        <f>'Data_Raw++ (2018)'!U53/100</f>
        <v>51.072585724206185</v>
      </c>
      <c r="V52" s="32">
        <f>'Data_Raw++ (2018)'!V53/100</f>
        <v>20.860633605661683</v>
      </c>
      <c r="W52" s="32">
        <f>'Data_Raw++ (2018)'!W53/100</f>
        <v>28.807541645913751</v>
      </c>
      <c r="X52" s="32">
        <f>'Data_Raw++ (2018)'!X53/100</f>
        <v>25.546310516187667</v>
      </c>
      <c r="Y52" s="32">
        <f>'Data_Raw++ (2018)'!Y53/100</f>
        <v>43.49777195999522</v>
      </c>
      <c r="Z52" s="32">
        <f>'Data_Raw++ (2018)'!Z53/100</f>
        <v>45.273191223668498</v>
      </c>
      <c r="AA52" s="32">
        <f>'Data_Raw++ (2018)'!AA53/100</f>
        <v>30.182127482445665</v>
      </c>
      <c r="AB52" s="32">
        <f>'Data_Raw++ (2018)'!AB53/100</f>
        <v>7.5183679558772152</v>
      </c>
      <c r="AC52" s="32">
        <f>'Data_Raw++ (2018)'!AC53/100</f>
        <v>7.2235299968232063</v>
      </c>
      <c r="AD52" s="32">
        <f>'Data_Raw++ (2018)'!AD53/100</f>
        <v>6.1533774047012493</v>
      </c>
      <c r="AE52" s="32">
        <f>'Data_Raw++ (2018)'!AE53/100</f>
        <v>9.2300661070518721</v>
      </c>
      <c r="AF52" s="32">
        <f>'Data_Raw++ (2018)'!AF53/100</f>
        <v>4.7548825399964194</v>
      </c>
      <c r="AG52" s="32">
        <f>'Data_Raw++ (2018)'!AG53/100</f>
        <v>2.6746214287479853</v>
      </c>
      <c r="AH52" s="32">
        <f>'Data_Raw++ (2018)'!AH53/100</f>
        <v>3.693524830175789</v>
      </c>
      <c r="AI52" s="32">
        <f>'Data_Raw++ (2018)'!AI53/100</f>
        <v>4.7008497838600958</v>
      </c>
      <c r="AJ52" s="32">
        <f>'Data_Raw++ (2018)'!AJ53/100</f>
        <v>2.0146499073686126</v>
      </c>
      <c r="AK52" s="32">
        <f>'Data_Raw++ (2018)'!AK53/100</f>
        <v>4.2811310531583011</v>
      </c>
      <c r="AL52" s="32">
        <f>'Data_Raw++ (2018)'!AL53/100</f>
        <v>19.502930353276703</v>
      </c>
      <c r="AM52" s="32">
        <f>'Data_Raw++ (2018)'!AM53/100</f>
        <v>4.8757325883191767</v>
      </c>
      <c r="AN52" s="32">
        <f>'Data_Raw++ (2018)'!AN53/100</f>
        <v>2.9883522315504631</v>
      </c>
      <c r="AO52" s="32">
        <f>'Data_Raw++ (2018)'!AO53/100</f>
        <v>2.0766515507384575</v>
      </c>
      <c r="AP52" s="32">
        <f>'Data_Raw++ (2018)'!AP53/100</f>
        <v>0</v>
      </c>
      <c r="AQ52" s="32">
        <f>'Data_Raw++ (2018)'!AQ53/100</f>
        <v>0</v>
      </c>
      <c r="AR52" s="32">
        <f>'Data_Raw++ (2018)'!AR53/100</f>
        <v>7.079758298351452</v>
      </c>
      <c r="AS52" s="32">
        <f>'Data_Raw++ (2018)'!AS53/100</f>
        <v>5.1267215263924308</v>
      </c>
      <c r="AT52" s="32">
        <f>'Data_Raw++ (2018)'!AT53/100</f>
        <v>0</v>
      </c>
      <c r="AU52" s="32">
        <f>'Data_Raw++ (2018)'!AU53/100</f>
        <v>2.6500482053372032</v>
      </c>
      <c r="AV52" s="32">
        <f>'Data_Raw++ (2018)'!AV53/100</f>
        <v>2.6500482053372032</v>
      </c>
      <c r="AW52" s="32">
        <f>'Data_Raw++ (2018)'!AW53/100</f>
        <v>0</v>
      </c>
      <c r="AX52" s="32">
        <f>'Data_Raw++ (2018)'!AX53/100</f>
        <v>0</v>
      </c>
      <c r="AY52" s="32">
        <f>'Data_Raw++ (2018)'!AY53/100</f>
        <v>1.3425930315661503</v>
      </c>
      <c r="AZ52" s="32">
        <f>'Data_Raw++ (2018)'!AZ53/100</f>
        <v>0</v>
      </c>
      <c r="BA52" s="32">
        <f>'Data_Raw++ (2018)'!BA53/100</f>
        <v>0</v>
      </c>
      <c r="BB52" s="32">
        <f>'Data_Raw++ (2018)'!BB53/100</f>
        <v>0</v>
      </c>
      <c r="BC52" s="32">
        <f>'Data_Raw++ (2018)'!BC53/100</f>
        <v>0</v>
      </c>
      <c r="BD52" s="32">
        <f>'Data_Raw++ (2018)'!BD53/100</f>
        <v>0</v>
      </c>
      <c r="BE52" s="32">
        <f>'Data_Raw++ (2018)'!BE53/100</f>
        <v>0</v>
      </c>
      <c r="BF52" s="32">
        <f>'Data_Raw++ (2018)'!BF53/100</f>
        <v>0</v>
      </c>
      <c r="BG52" s="32">
        <f>'Data_Raw++ (2018)'!BG53/100</f>
        <v>0</v>
      </c>
      <c r="BH52" s="32">
        <f>'Data_Raw++ (2018)'!BH53/100</f>
        <v>0</v>
      </c>
      <c r="BI52" s="32">
        <f>'Data_Raw++ (2018)'!BI53/100</f>
        <v>0</v>
      </c>
      <c r="BJ52" s="32">
        <f>'Data_Raw++ (2018)'!BJ53/100</f>
        <v>0</v>
      </c>
      <c r="BK52" s="32">
        <f>'Data_Raw++ (2018)'!BK53/100</f>
        <v>0</v>
      </c>
      <c r="BL52" s="32">
        <f>'Data_Raw++ (2018)'!BL53/100</f>
        <v>1.406283403082571</v>
      </c>
      <c r="BM52" s="32">
        <f>'Data_Raw++ (2018)'!BM53/100</f>
        <v>0</v>
      </c>
      <c r="BN52" s="32">
        <f>'Data_Raw++ (2018)'!BN53/100</f>
        <v>0</v>
      </c>
      <c r="BO52" s="32">
        <f>'Data_Raw++ (2018)'!BO53/100</f>
        <v>0</v>
      </c>
    </row>
    <row r="53" spans="1:67" x14ac:dyDescent="0.2">
      <c r="A53" s="34" t="s">
        <v>147</v>
      </c>
      <c r="B53" s="32">
        <f>'Data_Raw++ (2018)'!B54/100</f>
        <v>4000</v>
      </c>
      <c r="C53" s="32">
        <f>'Data_Raw++ (2018)'!C54/100</f>
        <v>3407.4074074074074</v>
      </c>
      <c r="D53" s="32">
        <f>'Data_Raw++ (2018)'!D54/100</f>
        <v>3691.358024691358</v>
      </c>
      <c r="E53" s="32">
        <f>'Data_Raw++ (2018)'!E54/100</f>
        <v>4893.1955211024979</v>
      </c>
      <c r="F53" s="32">
        <f>'Data_Raw++ (2018)'!F54/100</f>
        <v>3543.3484807983605</v>
      </c>
      <c r="G53" s="32">
        <f>'Data_Raw++ (2018)'!G54/100</f>
        <v>2265.4195205104274</v>
      </c>
      <c r="H53" s="32">
        <f>'Data_Raw++ (2018)'!H54/100</f>
        <v>1115.8036444305089</v>
      </c>
      <c r="I53" s="32">
        <f>'Data_Raw++ (2018)'!I54/100</f>
        <v>950.49940081117427</v>
      </c>
      <c r="J53" s="32">
        <f>'Data_Raw++ (2018)'!J54/100</f>
        <v>1209.7265101233127</v>
      </c>
      <c r="K53" s="32">
        <f>'Data_Raw++ (2018)'!K54/100</f>
        <v>773.43170319359342</v>
      </c>
      <c r="L53" s="32">
        <f>'Data_Raw++ (2018)'!L54/100</f>
        <v>435.05533304639624</v>
      </c>
      <c r="M53" s="32">
        <f>'Data_Raw++ (2018)'!M54/100</f>
        <v>490.59431173317034</v>
      </c>
      <c r="N53" s="32">
        <f>'Data_Raw++ (2018)'!N54/100</f>
        <v>275.95930034990829</v>
      </c>
      <c r="O53" s="32">
        <f>'Data_Raw++ (2018)'!O54/100</f>
        <v>397.11216391816072</v>
      </c>
      <c r="P53" s="32">
        <f>'Data_Raw++ (2018)'!P54/100</f>
        <v>287.56398076832329</v>
      </c>
      <c r="Q53" s="32">
        <f>'Data_Raw++ (2018)'!Q54/100</f>
        <v>191.70932051221553</v>
      </c>
      <c r="R53" s="32">
        <f>'Data_Raw++ (2018)'!R54/100</f>
        <v>133.221731203404</v>
      </c>
      <c r="S53" s="32">
        <f>'Data_Raw++ (2018)'!S54/100</f>
        <v>156.3907279344308</v>
      </c>
      <c r="T53" s="32">
        <f>'Data_Raw++ (2018)'!T54/100</f>
        <v>52.130242644810266</v>
      </c>
      <c r="U53" s="32">
        <f>'Data_Raw++ (2018)'!U54/100</f>
        <v>37.749486053138469</v>
      </c>
      <c r="V53" s="32">
        <f>'Data_Raw++ (2018)'!V54/100</f>
        <v>119.54003916827183</v>
      </c>
      <c r="W53" s="32">
        <f>'Data_Raw++ (2018)'!W54/100</f>
        <v>28.040256101199567</v>
      </c>
      <c r="X53" s="32">
        <f>'Data_Raw++ (2018)'!X54/100</f>
        <v>38.722258425466066</v>
      </c>
      <c r="Y53" s="32">
        <f>'Data_Raw++ (2018)'!Y54/100</f>
        <v>32.985627547619245</v>
      </c>
      <c r="Z53" s="32">
        <f>'Data_Raw++ (2018)'!Z54/100</f>
        <v>56.164717175676017</v>
      </c>
      <c r="AA53" s="32">
        <f>'Data_Raw++ (2018)'!AA54/100</f>
        <v>19.73354927794022</v>
      </c>
      <c r="AB53" s="32">
        <f>'Data_Raw++ (2018)'!AB54/100</f>
        <v>4.8623465420844711</v>
      </c>
      <c r="AC53" s="32">
        <f>'Data_Raw++ (2018)'!AC54/100</f>
        <v>9.4386726993404437</v>
      </c>
      <c r="AD53" s="32">
        <f>'Data_Raw++ (2018)'!AD54/100</f>
        <v>6.292448466226964</v>
      </c>
      <c r="AE53" s="32">
        <f>'Data_Raw++ (2018)'!AE54/100</f>
        <v>2.9611522194009239</v>
      </c>
      <c r="AF53" s="32">
        <f>'Data_Raw++ (2018)'!AF54/100</f>
        <v>5.0419618870880596</v>
      </c>
      <c r="AG53" s="32">
        <f>'Data_Raw++ (2018)'!AG54/100</f>
        <v>6.6835308735818453</v>
      </c>
      <c r="AH53" s="32">
        <f>'Data_Raw++ (2018)'!AH54/100</f>
        <v>6.1694131140755495</v>
      </c>
      <c r="AI53" s="32">
        <f>'Data_Raw++ (2018)'!AI54/100</f>
        <v>0</v>
      </c>
      <c r="AJ53" s="32">
        <f>'Data_Raw++ (2018)'!AJ54/100</f>
        <v>16.992596009379607</v>
      </c>
      <c r="AK53" s="32">
        <f>'Data_Raw++ (2018)'!AK54/100</f>
        <v>34.500119170558598</v>
      </c>
      <c r="AL53" s="32">
        <f>'Data_Raw++ (2018)'!AL54/100</f>
        <v>0</v>
      </c>
      <c r="AM53" s="32">
        <f>'Data_Raw++ (2018)'!AM54/100</f>
        <v>9.2863761307953965</v>
      </c>
      <c r="AN53" s="32">
        <f>'Data_Raw++ (2018)'!AN54/100</f>
        <v>6.4532444298747684</v>
      </c>
      <c r="AO53" s="32">
        <f>'Data_Raw++ (2018)'!AO54/100</f>
        <v>15.057570336374459</v>
      </c>
      <c r="AP53" s="32">
        <f>'Data_Raw++ (2018)'!AP54/100</f>
        <v>0</v>
      </c>
      <c r="AQ53" s="32">
        <f>'Data_Raw++ (2018)'!AQ54/100</f>
        <v>0</v>
      </c>
      <c r="AR53" s="32">
        <f>'Data_Raw++ (2018)'!AR54/100</f>
        <v>0</v>
      </c>
      <c r="AS53" s="32">
        <f>'Data_Raw++ (2018)'!AS54/100</f>
        <v>4.933387319485055</v>
      </c>
      <c r="AT53" s="32">
        <f>'Data_Raw++ (2018)'!AT54/100</f>
        <v>0</v>
      </c>
      <c r="AU53" s="32">
        <f>'Data_Raw++ (2018)'!AU54/100</f>
        <v>0</v>
      </c>
      <c r="AV53" s="32">
        <f>'Data_Raw++ (2018)'!AV54/100</f>
        <v>0</v>
      </c>
      <c r="AW53" s="32">
        <f>'Data_Raw++ (2018)'!AW54/100</f>
        <v>0</v>
      </c>
      <c r="AX53" s="32">
        <f>'Data_Raw++ (2018)'!AX54/100</f>
        <v>0</v>
      </c>
      <c r="AY53" s="32">
        <f>'Data_Raw++ (2018)'!AY54/100</f>
        <v>0</v>
      </c>
      <c r="AZ53" s="32">
        <f>'Data_Raw++ (2018)'!AZ54/100</f>
        <v>0</v>
      </c>
      <c r="BA53" s="32">
        <f>'Data_Raw++ (2018)'!BA54/100</f>
        <v>0</v>
      </c>
      <c r="BB53" s="32">
        <f>'Data_Raw++ (2018)'!BB54/100</f>
        <v>2.8681086354998975</v>
      </c>
      <c r="BC53" s="32">
        <f>'Data_Raw++ (2018)'!BC54/100</f>
        <v>0</v>
      </c>
      <c r="BD53" s="32">
        <f>'Data_Raw++ (2018)'!BD54/100</f>
        <v>0</v>
      </c>
      <c r="BE53" s="32">
        <f>'Data_Raw++ (2018)'!BE54/100</f>
        <v>0</v>
      </c>
      <c r="BF53" s="32">
        <f>'Data_Raw++ (2018)'!BF54/100</f>
        <v>0</v>
      </c>
      <c r="BG53" s="32">
        <f>'Data_Raw++ (2018)'!BG54/100</f>
        <v>0</v>
      </c>
      <c r="BH53" s="32">
        <f>'Data_Raw++ (2018)'!BH54/100</f>
        <v>0</v>
      </c>
      <c r="BI53" s="32">
        <f>'Data_Raw++ (2018)'!BI54/100</f>
        <v>0</v>
      </c>
      <c r="BJ53" s="32">
        <f>'Data_Raw++ (2018)'!BJ54/100</f>
        <v>0</v>
      </c>
      <c r="BK53" s="32">
        <f>'Data_Raw++ (2018)'!BK54/100</f>
        <v>0</v>
      </c>
      <c r="BL53" s="32">
        <f>'Data_Raw++ (2018)'!BL54/100</f>
        <v>0</v>
      </c>
      <c r="BM53" s="32">
        <f>'Data_Raw++ (2018)'!BM54/100</f>
        <v>0</v>
      </c>
      <c r="BN53" s="32">
        <f>'Data_Raw++ (2018)'!BN54/100</f>
        <v>0</v>
      </c>
      <c r="BO53" s="32">
        <f>'Data_Raw++ (2018)'!BO54/100</f>
        <v>0</v>
      </c>
    </row>
    <row r="54" spans="1:67" x14ac:dyDescent="0.2">
      <c r="A54" s="34" t="s">
        <v>150</v>
      </c>
      <c r="B54" s="32">
        <f>'Data_Raw++ (2018)'!B55/100</f>
        <v>4000</v>
      </c>
      <c r="C54" s="32">
        <f>'Data_Raw++ (2018)'!C55/100</f>
        <v>2779.6610169491528</v>
      </c>
      <c r="D54" s="32">
        <f>'Data_Raw++ (2018)'!D55/100</f>
        <v>3537.7503852080131</v>
      </c>
      <c r="E54" s="32">
        <f>'Data_Raw++ (2018)'!E55/100</f>
        <v>3989.3780939579724</v>
      </c>
      <c r="F54" s="32">
        <f>'Data_Raw++ (2018)'!F55/100</f>
        <v>3832.931894194915</v>
      </c>
      <c r="G54" s="32">
        <f>'Data_Raw++ (2018)'!G55/100</f>
        <v>2156.0241904846393</v>
      </c>
      <c r="H54" s="32">
        <f>'Data_Raw++ (2018)'!H55/100</f>
        <v>1764.0197922147047</v>
      </c>
      <c r="I54" s="32">
        <f>'Data_Raw++ (2018)'!I55/100</f>
        <v>1127.8159327274343</v>
      </c>
      <c r="J54" s="32">
        <f>'Data_Raw++ (2018)'!J55/100</f>
        <v>1041.06086097917</v>
      </c>
      <c r="K54" s="32">
        <f>'Data_Raw++ (2018)'!K55/100</f>
        <v>886.82962231558918</v>
      </c>
      <c r="L54" s="32">
        <f>'Data_Raw++ (2018)'!L55/100</f>
        <v>566.98943066078652</v>
      </c>
      <c r="M54" s="32">
        <f>'Data_Raw++ (2018)'!M55/100</f>
        <v>566.98943066078652</v>
      </c>
      <c r="N54" s="32">
        <f>'Data_Raw++ (2018)'!N55/100</f>
        <v>254.73438189107802</v>
      </c>
      <c r="O54" s="32">
        <f>'Data_Raw++ (2018)'!O55/100</f>
        <v>324.20739513409933</v>
      </c>
      <c r="P54" s="32">
        <f>'Data_Raw++ (2018)'!P55/100</f>
        <v>311.49337963864446</v>
      </c>
      <c r="Q54" s="32">
        <f>'Data_Raw++ (2018)'!Q55/100</f>
        <v>254.85821970434543</v>
      </c>
      <c r="R54" s="32">
        <f>'Data_Raw++ (2018)'!R55/100</f>
        <v>156.20342498008267</v>
      </c>
      <c r="S54" s="32">
        <f>'Data_Raw++ (2018)'!S55/100</f>
        <v>150.07780047105982</v>
      </c>
      <c r="T54" s="32">
        <f>'Data_Raw++ (2018)'!T55/100</f>
        <v>42.329636030298929</v>
      </c>
      <c r="U54" s="32">
        <f>'Data_Raw++ (2018)'!U55/100</f>
        <v>69.064142996803497</v>
      </c>
      <c r="V54" s="32">
        <f>'Data_Raw++ (2018)'!V55/100</f>
        <v>91.550143042274414</v>
      </c>
      <c r="W54" s="32">
        <f>'Data_Raw++ (2018)'!W55/100</f>
        <v>25.821835217051756</v>
      </c>
      <c r="X54" s="32">
        <f>'Data_Raw++ (2018)'!X55/100</f>
        <v>37.158250678196431</v>
      </c>
      <c r="Y54" s="32">
        <f>'Data_Raw++ (2018)'!Y55/100</f>
        <v>63.2694538574696</v>
      </c>
      <c r="Z54" s="32">
        <f>'Data_Raw++ (2018)'!Z55/100</f>
        <v>31.162566825320845</v>
      </c>
      <c r="AA54" s="32">
        <f>'Data_Raw++ (2018)'!AA55/100</f>
        <v>17.528943839242974</v>
      </c>
      <c r="AB54" s="32">
        <f>'Data_Raw++ (2018)'!AB55/100</f>
        <v>4.3804830654268194</v>
      </c>
      <c r="AC54" s="32">
        <f>'Data_Raw++ (2018)'!AC55/100</f>
        <v>7.4586603546456649</v>
      </c>
      <c r="AD54" s="32">
        <f>'Data_Raw++ (2018)'!AD55/100</f>
        <v>4.1954964494881866</v>
      </c>
      <c r="AE54" s="32">
        <f>'Data_Raw++ (2018)'!AE55/100</f>
        <v>4.3667412025285213</v>
      </c>
      <c r="AF54" s="32">
        <f>'Data_Raw++ (2018)'!AF55/100</f>
        <v>4.0308380331032501</v>
      </c>
      <c r="AG54" s="32">
        <f>'Data_Raw++ (2018)'!AG55/100</f>
        <v>7.1659342810724445</v>
      </c>
      <c r="AH54" s="32">
        <f>'Data_Raw++ (2018)'!AH55/100</f>
        <v>4.3920242367863374</v>
      </c>
      <c r="AI54" s="32">
        <f>'Data_Raw++ (2018)'!AI55/100</f>
        <v>1.7939253924901939</v>
      </c>
      <c r="AJ54" s="32">
        <f>'Data_Raw++ (2018)'!AJ55/100</f>
        <v>5.680763742885615</v>
      </c>
      <c r="AK54" s="32">
        <f>'Data_Raw++ (2018)'!AK55/100</f>
        <v>4.2854884376154647</v>
      </c>
      <c r="AL54" s="32">
        <f>'Data_Raw++ (2018)'!AL55/100</f>
        <v>0.87775064384895074</v>
      </c>
      <c r="AM54" s="32">
        <f>'Data_Raw++ (2018)'!AM55/100</f>
        <v>1.0304029297357247</v>
      </c>
      <c r="AN54" s="32">
        <f>'Data_Raw++ (2018)'!AN55/100</f>
        <v>0.84305694251104735</v>
      </c>
      <c r="AO54" s="32">
        <f>'Data_Raw++ (2018)'!AO55/100</f>
        <v>3.5940848601786759</v>
      </c>
      <c r="AP54" s="32">
        <f>'Data_Raw++ (2018)'!AP55/100</f>
        <v>1.0735578153780461</v>
      </c>
      <c r="AQ54" s="32">
        <f>'Data_Raw++ (2018)'!AQ55/100</f>
        <v>2.7605772395435468</v>
      </c>
      <c r="AR54" s="32">
        <f>'Data_Raw++ (2018)'!AR55/100</f>
        <v>8.7418279252212319</v>
      </c>
      <c r="AS54" s="32">
        <f>'Data_Raw++ (2018)'!AS55/100</f>
        <v>1.4230882668964799</v>
      </c>
      <c r="AT54" s="32">
        <f>'Data_Raw++ (2018)'!AT55/100</f>
        <v>0.58126140478870303</v>
      </c>
      <c r="AU54" s="32">
        <f>'Data_Raw++ (2018)'!AU55/100</f>
        <v>0.32695954019364543</v>
      </c>
      <c r="AV54" s="32">
        <f>'Data_Raw++ (2018)'!AV55/100</f>
        <v>0.84075310335508813</v>
      </c>
      <c r="AW54" s="32">
        <f>'Data_Raw++ (2018)'!AW55/100</f>
        <v>1.0275871263228857</v>
      </c>
      <c r="AX54" s="32">
        <f>'Data_Raw++ (2018)'!AX55/100</f>
        <v>0.50612500251724224</v>
      </c>
      <c r="AY54" s="32">
        <f>'Data_Raw++ (2018)'!AY55/100</f>
        <v>0.3374166683448282</v>
      </c>
      <c r="AZ54" s="32">
        <f>'Data_Raw++ (2018)'!AZ55/100</f>
        <v>3.0367500151034532</v>
      </c>
      <c r="BA54" s="32">
        <f>'Data_Raw++ (2018)'!BA55/100</f>
        <v>0</v>
      </c>
      <c r="BB54" s="32">
        <f>'Data_Raw++ (2018)'!BB55/100</f>
        <v>0.6897738620544932</v>
      </c>
      <c r="BC54" s="32">
        <f>'Data_Raw++ (2018)'!BC55/100</f>
        <v>0</v>
      </c>
      <c r="BD54" s="32">
        <f>'Data_Raw++ (2018)'!BD55/100</f>
        <v>0</v>
      </c>
      <c r="BE54" s="32">
        <f>'Data_Raw++ (2018)'!BE55/100</f>
        <v>0.29620919601739504</v>
      </c>
      <c r="BF54" s="32">
        <f>'Data_Raw++ (2018)'!BF55/100</f>
        <v>0</v>
      </c>
      <c r="BG54" s="32">
        <f>'Data_Raw++ (2018)'!BG55/100</f>
        <v>0</v>
      </c>
      <c r="BH54" s="32">
        <f>'Data_Raw++ (2018)'!BH55/100</f>
        <v>0</v>
      </c>
      <c r="BI54" s="32">
        <f>'Data_Raw++ (2018)'!BI55/100</f>
        <v>0</v>
      </c>
      <c r="BJ54" s="32">
        <f>'Data_Raw++ (2018)'!BJ55/100</f>
        <v>0</v>
      </c>
      <c r="BK54" s="32">
        <f>'Data_Raw++ (2018)'!BK55/100</f>
        <v>0</v>
      </c>
      <c r="BL54" s="32">
        <f>'Data_Raw++ (2018)'!BL55/100</f>
        <v>0</v>
      </c>
      <c r="BM54" s="32">
        <f>'Data_Raw++ (2018)'!BM55/100</f>
        <v>0</v>
      </c>
      <c r="BN54" s="32">
        <f>'Data_Raw++ (2018)'!BN55/100</f>
        <v>0</v>
      </c>
      <c r="BO54" s="32">
        <f>'Data_Raw++ (2018)'!BO55/100</f>
        <v>0</v>
      </c>
    </row>
    <row r="55" spans="1:67" x14ac:dyDescent="0.2">
      <c r="A55" s="34" t="s">
        <v>153</v>
      </c>
      <c r="B55" s="32">
        <f>'Data_Raw++ (2018)'!B56/100</f>
        <v>4000</v>
      </c>
      <c r="C55" s="32">
        <f>'Data_Raw++ (2018)'!C56/100</f>
        <v>2779.6610169491528</v>
      </c>
      <c r="D55" s="32">
        <f>'Data_Raw++ (2018)'!D56/100</f>
        <v>2367.8593848085375</v>
      </c>
      <c r="E55" s="32">
        <f>'Data_Raw++ (2018)'!E56/100</f>
        <v>2894.0503592104346</v>
      </c>
      <c r="F55" s="32">
        <f>'Data_Raw++ (2018)'!F56/100</f>
        <v>1929.36690614029</v>
      </c>
      <c r="G55" s="32">
        <f>'Data_Raw++ (2018)'!G56/100</f>
        <v>1929.36690614029</v>
      </c>
      <c r="H55" s="32">
        <f>'Data_Raw++ (2018)'!H56/100</f>
        <v>2455.5578805421878</v>
      </c>
      <c r="I55" s="32">
        <f>'Data_Raw++ (2018)'!I56/100</f>
        <v>818.51929351406261</v>
      </c>
      <c r="J55" s="32">
        <f>'Data_Raw++ (2018)'!J56/100</f>
        <v>568.80154295045031</v>
      </c>
      <c r="K55" s="32">
        <f>'Data_Raw++ (2018)'!K56/100</f>
        <v>695.20188582832827</v>
      </c>
      <c r="L55" s="32">
        <f>'Data_Raw++ (2018)'!L56/100</f>
        <v>163.07204729306463</v>
      </c>
      <c r="M55" s="32">
        <f>'Data_Raw++ (2018)'!M56/100</f>
        <v>578.16453131177457</v>
      </c>
      <c r="N55" s="32">
        <f>'Data_Raw++ (2018)'!N56/100</f>
        <v>182.57827304582352</v>
      </c>
      <c r="O55" s="32">
        <f>'Data_Raw++ (2018)'!O56/100</f>
        <v>197.79312913297551</v>
      </c>
      <c r="P55" s="32">
        <f>'Data_Raw++ (2018)'!P56/100</f>
        <v>62.460988147255421</v>
      </c>
      <c r="Q55" s="32">
        <f>'Data_Raw++ (2018)'!Q56/100</f>
        <v>327.92018777309096</v>
      </c>
      <c r="R55" s="32">
        <f>'Data_Raw++ (2018)'!R56/100</f>
        <v>176.57240880089509</v>
      </c>
      <c r="S55" s="32">
        <f>'Data_Raw++ (2018)'!S56/100</f>
        <v>313.90650453492464</v>
      </c>
      <c r="T55" s="32">
        <f>'Data_Raw++ (2018)'!T56/100</f>
        <v>23.627371309080349</v>
      </c>
      <c r="U55" s="32">
        <f>'Data_Raw++ (2018)'!U56/100</f>
        <v>45.864897247038328</v>
      </c>
      <c r="V55" s="32">
        <f>'Data_Raw++ (2018)'!V56/100</f>
        <v>10.067904273740119</v>
      </c>
      <c r="W55" s="32">
        <f>'Data_Raw++ (2018)'!W56/100</f>
        <v>9.67308449829933</v>
      </c>
      <c r="X55" s="32">
        <f>'Data_Raw++ (2018)'!X56/100</f>
        <v>18.777164026110466</v>
      </c>
      <c r="Y55" s="32">
        <f>'Data_Raw++ (2018)'!Y56/100</f>
        <v>15.995361948168174</v>
      </c>
      <c r="Z55" s="32">
        <f>'Data_Raw++ (2018)'!Z56/100</f>
        <v>33.990144139857371</v>
      </c>
      <c r="AA55" s="32">
        <f>'Data_Raw++ (2018)'!AA56/100</f>
        <v>9.0353547713544895</v>
      </c>
      <c r="AB55" s="32">
        <f>'Data_Raw++ (2018)'!AB56/100</f>
        <v>2.2010124223019538</v>
      </c>
      <c r="AC55" s="32">
        <f>'Data_Raw++ (2018)'!AC56/100</f>
        <v>3.7476698001357591</v>
      </c>
      <c r="AD55" s="32">
        <f>'Data_Raw++ (2018)'!AD56/100</f>
        <v>1.8458672149922395</v>
      </c>
      <c r="AE55" s="32">
        <f>'Data_Raw++ (2018)'!AE56/100</f>
        <v>2.7688008224883589</v>
      </c>
      <c r="AF55" s="32">
        <f>'Data_Raw++ (2018)'!AF56/100</f>
        <v>1.7702169192958359</v>
      </c>
      <c r="AG55" s="32">
        <f>'Data_Raw++ (2018)'!AG56/100</f>
        <v>1.7702169192958359</v>
      </c>
      <c r="AH55" s="32">
        <f>'Data_Raw++ (2018)'!AH56/100</f>
        <v>2.0780807313472858</v>
      </c>
      <c r="AI55" s="32">
        <f>'Data_Raw++ (2018)'!AI56/100</f>
        <v>1.6327777174871527</v>
      </c>
      <c r="AJ55" s="32">
        <f>'Data_Raw++ (2018)'!AJ56/100</f>
        <v>2.7801350324781255</v>
      </c>
      <c r="AK55" s="32">
        <f>'Data_Raw++ (2018)'!AK56/100</f>
        <v>0.69503375811953139</v>
      </c>
      <c r="AL55" s="32">
        <f>'Data_Raw++ (2018)'!AL56/100</f>
        <v>0.16303260992927279</v>
      </c>
      <c r="AM55" s="32">
        <f>'Data_Raw++ (2018)'!AM56/100</f>
        <v>22.121040991936855</v>
      </c>
      <c r="AN55" s="32">
        <f>'Data_Raw++ (2018)'!AN56/100</f>
        <v>2.1877952629388098</v>
      </c>
      <c r="AO55" s="32">
        <f>'Data_Raw++ (2018)'!AO56/100</f>
        <v>7.3243580541864493</v>
      </c>
      <c r="AP55" s="32">
        <f>'Data_Raw++ (2018)'!AP56/100</f>
        <v>2.7090091433292347</v>
      </c>
      <c r="AQ55" s="32">
        <f>'Data_Raw++ (2018)'!AQ56/100</f>
        <v>0</v>
      </c>
      <c r="AR55" s="32">
        <f>'Data_Raw++ (2018)'!AR56/100</f>
        <v>13.00209589048573</v>
      </c>
      <c r="AS55" s="32">
        <f>'Data_Raw++ (2018)'!AS56/100</f>
        <v>0</v>
      </c>
      <c r="AT55" s="32">
        <f>'Data_Raw++ (2018)'!AT56/100</f>
        <v>0.19724577895451365</v>
      </c>
      <c r="AU55" s="32">
        <f>'Data_Raw++ (2018)'!AU56/100</f>
        <v>0</v>
      </c>
      <c r="AV55" s="32">
        <f>'Data_Raw++ (2018)'!AV56/100</f>
        <v>0</v>
      </c>
      <c r="AW55" s="32">
        <f>'Data_Raw++ (2018)'!AW56/100</f>
        <v>0.72926508764626985</v>
      </c>
      <c r="AX55" s="32">
        <f>'Data_Raw++ (2018)'!AX56/100</f>
        <v>3.3222076214996741</v>
      </c>
      <c r="AY55" s="32">
        <f>'Data_Raw++ (2018)'!AY56/100</f>
        <v>0</v>
      </c>
      <c r="AZ55" s="32">
        <f>'Data_Raw++ (2018)'!AZ56/100</f>
        <v>0</v>
      </c>
      <c r="BA55" s="32">
        <f>'Data_Raw++ (2018)'!BA56/100</f>
        <v>1.4585301752925397</v>
      </c>
      <c r="BB55" s="32">
        <f>'Data_Raw++ (2018)'!BB56/100</f>
        <v>0</v>
      </c>
      <c r="BC55" s="32">
        <f>'Data_Raw++ (2018)'!BC56/100</f>
        <v>0</v>
      </c>
      <c r="BD55" s="32">
        <f>'Data_Raw++ (2018)'!BD56/100</f>
        <v>0</v>
      </c>
      <c r="BE55" s="32">
        <f>'Data_Raw++ (2018)'!BE56/100</f>
        <v>0</v>
      </c>
      <c r="BF55" s="32">
        <f>'Data_Raw++ (2018)'!BF56/100</f>
        <v>0</v>
      </c>
      <c r="BG55" s="32">
        <f>'Data_Raw++ (2018)'!BG56/100</f>
        <v>0</v>
      </c>
      <c r="BH55" s="32">
        <f>'Data_Raw++ (2018)'!BH56/100</f>
        <v>0</v>
      </c>
      <c r="BI55" s="32">
        <f>'Data_Raw++ (2018)'!BI56/100</f>
        <v>0</v>
      </c>
      <c r="BJ55" s="32">
        <f>'Data_Raw++ (2018)'!BJ56/100</f>
        <v>0</v>
      </c>
      <c r="BK55" s="32">
        <f>'Data_Raw++ (2018)'!BK56/100</f>
        <v>0</v>
      </c>
      <c r="BL55" s="32">
        <f>'Data_Raw++ (2018)'!BL56/100</f>
        <v>0</v>
      </c>
      <c r="BM55" s="32">
        <f>'Data_Raw++ (2018)'!BM56/100</f>
        <v>0</v>
      </c>
      <c r="BN55" s="32">
        <f>'Data_Raw++ (2018)'!BN56/100</f>
        <v>0</v>
      </c>
      <c r="BO55" s="32">
        <f>'Data_Raw++ (2018)'!BO56/100</f>
        <v>0</v>
      </c>
    </row>
    <row r="56" spans="1:67" x14ac:dyDescent="0.2">
      <c r="A56" s="34" t="s">
        <v>129</v>
      </c>
      <c r="B56" s="32">
        <f>'Data_Raw++ (2018)'!B57/100</f>
        <v>4000</v>
      </c>
      <c r="C56" s="32">
        <f>'Data_Raw++ (2018)'!C57/100</f>
        <v>2557.377049180328</v>
      </c>
      <c r="D56" s="32">
        <f>'Data_Raw++ (2018)'!D57/100</f>
        <v>2883.8507150331361</v>
      </c>
      <c r="E56" s="32">
        <f>'Data_Raw++ (2018)'!E57/100</f>
        <v>1922.5671433554242</v>
      </c>
      <c r="F56" s="32">
        <f>'Data_Raw++ (2018)'!F57/100</f>
        <v>2256.9266465476717</v>
      </c>
      <c r="G56" s="32">
        <f>'Data_Raw++ (2018)'!G57/100</f>
        <v>1922.5671433554242</v>
      </c>
      <c r="H56" s="32">
        <f>'Data_Raw++ (2018)'!H57/100</f>
        <v>2001.0392716556455</v>
      </c>
      <c r="I56" s="32">
        <f>'Data_Raw++ (2018)'!I57/100</f>
        <v>667.01309055188187</v>
      </c>
      <c r="J56" s="32">
        <f>'Data_Raw++ (2018)'!J57/100</f>
        <v>2509.2397215999367</v>
      </c>
      <c r="K56" s="32">
        <f>'Data_Raw++ (2018)'!K57/100</f>
        <v>588.58709519010858</v>
      </c>
      <c r="L56" s="32">
        <f>'Data_Raw++ (2018)'!L57/100</f>
        <v>289.90110658617289</v>
      </c>
      <c r="M56" s="32">
        <f>'Data_Raw++ (2018)'!M57/100</f>
        <v>209.92838752791832</v>
      </c>
      <c r="N56" s="32">
        <f>'Data_Raw++ (2018)'!N57/100</f>
        <v>186.16290969456904</v>
      </c>
      <c r="O56" s="32">
        <f>'Data_Raw++ (2018)'!O57/100</f>
        <v>193.76139580455143</v>
      </c>
      <c r="P56" s="32">
        <f>'Data_Raw++ (2018)'!P57/100</f>
        <v>227.4590298575169</v>
      </c>
      <c r="Q56" s="32">
        <f>'Data_Raw++ (2018)'!Q57/100</f>
        <v>158.06474956200327</v>
      </c>
      <c r="R56" s="32">
        <f>'Data_Raw++ (2018)'!R57/100</f>
        <v>58.88686748388357</v>
      </c>
      <c r="S56" s="32">
        <f>'Data_Raw++ (2018)'!S57/100</f>
        <v>165.05600383350676</v>
      </c>
      <c r="T56" s="32">
        <f>'Data_Raw++ (2018)'!T57/100</f>
        <v>49.302442703515005</v>
      </c>
      <c r="U56" s="32">
        <f>'Data_Raw++ (2018)'!U57/100</f>
        <v>14.518661480267035</v>
      </c>
      <c r="V56" s="32">
        <f>'Data_Raw++ (2018)'!V57/100</f>
        <v>21.529043978283493</v>
      </c>
      <c r="W56" s="32">
        <f>'Data_Raw++ (2018)'!W57/100</f>
        <v>16.146782983712619</v>
      </c>
      <c r="X56" s="32">
        <f>'Data_Raw++ (2018)'!X57/100</f>
        <v>0</v>
      </c>
      <c r="Y56" s="32">
        <f>'Data_Raw++ (2018)'!Y57/100</f>
        <v>12.367748668375622</v>
      </c>
      <c r="Z56" s="32">
        <f>'Data_Raw++ (2018)'!Z57/100</f>
        <v>7.5802330548108658</v>
      </c>
      <c r="AA56" s="32">
        <f>'Data_Raw++ (2018)'!AA57/100</f>
        <v>10.467940885215006</v>
      </c>
      <c r="AB56" s="32">
        <f>'Data_Raw++ (2018)'!AB57/100</f>
        <v>2.549990399638375</v>
      </c>
      <c r="AC56" s="32">
        <f>'Data_Raw++ (2018)'!AC57/100</f>
        <v>2.1722140441363935</v>
      </c>
      <c r="AD56" s="32">
        <f>'Data_Raw++ (2018)'!AD57/100</f>
        <v>1.2757447560801041</v>
      </c>
      <c r="AE56" s="32">
        <f>'Data_Raw++ (2018)'!AE57/100</f>
        <v>1.1776105440739422</v>
      </c>
      <c r="AF56" s="32">
        <f>'Data_Raw++ (2018)'!AF57/100</f>
        <v>0</v>
      </c>
      <c r="AG56" s="32">
        <f>'Data_Raw++ (2018)'!AG57/100</f>
        <v>0</v>
      </c>
      <c r="AH56" s="32">
        <f>'Data_Raw++ (2018)'!AH57/100</f>
        <v>6.9568586259612877</v>
      </c>
      <c r="AI56" s="32">
        <f>'Data_Raw++ (2018)'!AI57/100</f>
        <v>5.4661032061124395</v>
      </c>
      <c r="AJ56" s="32">
        <f>'Data_Raw++ (2018)'!AJ57/100</f>
        <v>0</v>
      </c>
      <c r="AK56" s="32">
        <f>'Data_Raw++ (2018)'!AK57/100</f>
        <v>0</v>
      </c>
      <c r="AL56" s="32">
        <f>'Data_Raw++ (2018)'!AL57/100</f>
        <v>0</v>
      </c>
      <c r="AM56" s="32">
        <f>'Data_Raw++ (2018)'!AM57/100</f>
        <v>0</v>
      </c>
      <c r="AN56" s="32">
        <f>'Data_Raw++ (2018)'!AN57/100</f>
        <v>0.68596232972728222</v>
      </c>
      <c r="AO56" s="32">
        <f>'Data_Raw++ (2018)'!AO57/100</f>
        <v>0</v>
      </c>
      <c r="AP56" s="32">
        <f>'Data_Raw++ (2018)'!AP57/100</f>
        <v>0</v>
      </c>
      <c r="AQ56" s="32">
        <f>'Data_Raw++ (2018)'!AQ57/100</f>
        <v>0.67558578951951498</v>
      </c>
      <c r="AR56" s="32">
        <f>'Data_Raw++ (2018)'!AR57/100</f>
        <v>0</v>
      </c>
      <c r="AS56" s="32">
        <f>'Data_Raw++ (2018)'!AS57/100</f>
        <v>0</v>
      </c>
      <c r="AT56" s="32">
        <f>'Data_Raw++ (2018)'!AT57/100</f>
        <v>0</v>
      </c>
      <c r="AU56" s="32">
        <f>'Data_Raw++ (2018)'!AU57/100</f>
        <v>0.18234441676294838</v>
      </c>
      <c r="AV56" s="32">
        <f>'Data_Raw++ (2018)'!AV57/100</f>
        <v>0</v>
      </c>
      <c r="AW56" s="32">
        <f>'Data_Raw++ (2018)'!AW57/100</f>
        <v>0</v>
      </c>
      <c r="AX56" s="32">
        <f>'Data_Raw++ (2018)'!AX57/100</f>
        <v>0</v>
      </c>
      <c r="AY56" s="32">
        <f>'Data_Raw++ (2018)'!AY57/100</f>
        <v>0</v>
      </c>
      <c r="AZ56" s="32">
        <f>'Data_Raw++ (2018)'!AZ57/100</f>
        <v>0</v>
      </c>
      <c r="BA56" s="32">
        <f>'Data_Raw++ (2018)'!BA57/100</f>
        <v>0</v>
      </c>
      <c r="BB56" s="32">
        <f>'Data_Raw++ (2018)'!BB57/100</f>
        <v>0</v>
      </c>
      <c r="BC56" s="32">
        <f>'Data_Raw++ (2018)'!BC57/100</f>
        <v>0</v>
      </c>
      <c r="BD56" s="32">
        <f>'Data_Raw++ (2018)'!BD57/100</f>
        <v>0</v>
      </c>
      <c r="BE56" s="32">
        <f>'Data_Raw++ (2018)'!BE57/100</f>
        <v>0</v>
      </c>
      <c r="BF56" s="32">
        <f>'Data_Raw++ (2018)'!BF57/100</f>
        <v>0</v>
      </c>
      <c r="BG56" s="32">
        <f>'Data_Raw++ (2018)'!BG57/100</f>
        <v>0</v>
      </c>
      <c r="BH56" s="32">
        <f>'Data_Raw++ (2018)'!BH57/100</f>
        <v>0</v>
      </c>
      <c r="BI56" s="32">
        <f>'Data_Raw++ (2018)'!BI57/100</f>
        <v>0</v>
      </c>
      <c r="BJ56" s="32">
        <f>'Data_Raw++ (2018)'!BJ57/100</f>
        <v>0</v>
      </c>
      <c r="BK56" s="32">
        <f>'Data_Raw++ (2018)'!BK57/100</f>
        <v>0</v>
      </c>
      <c r="BL56" s="32">
        <f>'Data_Raw++ (2018)'!BL57/100</f>
        <v>0</v>
      </c>
      <c r="BM56" s="32">
        <f>'Data_Raw++ (2018)'!BM57/100</f>
        <v>0</v>
      </c>
      <c r="BN56" s="32">
        <f>'Data_Raw++ (2018)'!BN57/100</f>
        <v>0</v>
      </c>
      <c r="BO56" s="32">
        <f>'Data_Raw++ (2018)'!BO57/100</f>
        <v>0</v>
      </c>
    </row>
    <row r="57" spans="1:67" x14ac:dyDescent="0.2">
      <c r="A57" s="34" t="s">
        <v>144</v>
      </c>
      <c r="B57" s="32">
        <f>'Data_Raw++ (2018)'!B58/100</f>
        <v>4000</v>
      </c>
      <c r="C57" s="32">
        <f>'Data_Raw++ (2018)'!C58/100</f>
        <v>1970.1492537313434</v>
      </c>
      <c r="D57" s="32">
        <f>'Data_Raw++ (2018)'!D58/100</f>
        <v>2507.4626865671644</v>
      </c>
      <c r="E57" s="32">
        <f>'Data_Raw++ (2018)'!E58/100</f>
        <v>2135.9867330016586</v>
      </c>
      <c r="F57" s="32">
        <f>'Data_Raw++ (2018)'!F58/100</f>
        <v>1611.3584126152864</v>
      </c>
      <c r="G57" s="32">
        <f>'Data_Raw++ (2018)'!G58/100</f>
        <v>1166.845747066242</v>
      </c>
      <c r="H57" s="32">
        <f>'Data_Raw++ (2018)'!H58/100</f>
        <v>628.30155611259181</v>
      </c>
      <c r="I57" s="32">
        <f>'Data_Raw++ (2018)'!I58/100</f>
        <v>832.8648534515753</v>
      </c>
      <c r="J57" s="32">
        <f>'Data_Raw++ (2018)'!J58/100</f>
        <v>939.18802623262741</v>
      </c>
      <c r="K57" s="32">
        <f>'Data_Raw++ (2018)'!K58/100</f>
        <v>832.8648534515753</v>
      </c>
      <c r="L57" s="32">
        <f>'Data_Raw++ (2018)'!L58/100</f>
        <v>208.21621336289382</v>
      </c>
      <c r="M57" s="32">
        <f>'Data_Raw++ (2018)'!M58/100</f>
        <v>127.61638883532201</v>
      </c>
      <c r="N57" s="32">
        <f>'Data_Raw++ (2018)'!N58/100</f>
        <v>199.60512099883698</v>
      </c>
      <c r="O57" s="32">
        <f>'Data_Raw++ (2018)'!O58/100</f>
        <v>254.0428812712471</v>
      </c>
      <c r="P57" s="32">
        <f>'Data_Raw++ (2018)'!P58/100</f>
        <v>565.45028411987255</v>
      </c>
      <c r="Q57" s="32">
        <f>'Data_Raw++ (2018)'!Q58/100</f>
        <v>84.492571190325776</v>
      </c>
      <c r="R57" s="32">
        <f>'Data_Raw++ (2018)'!R58/100</f>
        <v>41.615744019115681</v>
      </c>
      <c r="S57" s="32">
        <f>'Data_Raw++ (2018)'!S58/100</f>
        <v>41.615744019115681</v>
      </c>
      <c r="T57" s="32">
        <f>'Data_Raw++ (2018)'!T58/100</f>
        <v>26.60678715976249</v>
      </c>
      <c r="U57" s="32">
        <f>'Data_Raw++ (2018)'!U58/100</f>
        <v>20.90533276838481</v>
      </c>
      <c r="V57" s="32">
        <f>'Data_Raw++ (2018)'!V58/100</f>
        <v>153.30577363482195</v>
      </c>
      <c r="W57" s="32">
        <f>'Data_Raw++ (2018)'!W58/100</f>
        <v>11.539144252083371</v>
      </c>
      <c r="X57" s="32">
        <f>'Data_Raw++ (2018)'!X58/100</f>
        <v>8.3559320446120964</v>
      </c>
      <c r="Y57" s="32">
        <f>'Data_Raw++ (2018)'!Y58/100</f>
        <v>12.533898066918143</v>
      </c>
      <c r="Z57" s="32">
        <f>'Data_Raw++ (2018)'!Z58/100</f>
        <v>11.569752061770593</v>
      </c>
      <c r="AA57" s="32">
        <f>'Data_Raw++ (2018)'!AA58/100</f>
        <v>4.7256733773429183</v>
      </c>
      <c r="AB57" s="32">
        <f>'Data_Raw++ (2018)'!AB58/100</f>
        <v>0.83691675512743091</v>
      </c>
      <c r="AC57" s="32">
        <f>'Data_Raw++ (2018)'!AC58/100</f>
        <v>0.55794450341828727</v>
      </c>
      <c r="AD57" s="32">
        <f>'Data_Raw++ (2018)'!AD58/100</f>
        <v>0.35671861693956075</v>
      </c>
      <c r="AE57" s="32">
        <f>'Data_Raw++ (2018)'!AE58/100</f>
        <v>0.58201458553296748</v>
      </c>
      <c r="AF57" s="32">
        <f>'Data_Raw++ (2018)'!AF58/100</f>
        <v>0.34181808991618723</v>
      </c>
      <c r="AG57" s="32">
        <f>'Data_Raw++ (2018)'!AG58/100</f>
        <v>0.31552439069186511</v>
      </c>
      <c r="AH57" s="32">
        <f>'Data_Raw++ (2018)'!AH58/100</f>
        <v>0.30315088517453703</v>
      </c>
      <c r="AI57" s="32">
        <f>'Data_Raw++ (2018)'!AI58/100</f>
        <v>0.15616863781718576</v>
      </c>
      <c r="AJ57" s="32">
        <f>'Data_Raw++ (2018)'!AJ58/100</f>
        <v>8.7844858772166981E-2</v>
      </c>
      <c r="AK57" s="32">
        <f>'Data_Raw++ (2018)'!AK58/100</f>
        <v>0.35137943508866792</v>
      </c>
      <c r="AL57" s="32">
        <f>'Data_Raw++ (2018)'!AL58/100</f>
        <v>4.6683267804637305</v>
      </c>
      <c r="AM57" s="32">
        <f>'Data_Raw++ (2018)'!AM58/100</f>
        <v>0.29797830513598278</v>
      </c>
      <c r="AN57" s="32">
        <f>'Data_Raw++ (2018)'!AN58/100</f>
        <v>0.19865220342398857</v>
      </c>
      <c r="AO57" s="32">
        <f>'Data_Raw++ (2018)'!AO58/100</f>
        <v>6.6217401141329513E-2</v>
      </c>
      <c r="AP57" s="32">
        <f>'Data_Raw++ (2018)'!AP58/100</f>
        <v>0.10803891765164289</v>
      </c>
      <c r="AQ57" s="32">
        <f>'Data_Raw++ (2018)'!AQ58/100</f>
        <v>0</v>
      </c>
      <c r="AR57" s="32">
        <f>'Data_Raw++ (2018)'!AR58/100</f>
        <v>3.5649816706271138</v>
      </c>
      <c r="AS57" s="32">
        <f>'Data_Raw++ (2018)'!AS58/100</f>
        <v>3.8620634765127075</v>
      </c>
      <c r="AT57" s="32">
        <f>'Data_Raw++ (2018)'!AT58/100</f>
        <v>0.24651468999017281</v>
      </c>
      <c r="AU57" s="32">
        <f>'Data_Raw++ (2018)'!AU58/100</f>
        <v>1.6497521560880797</v>
      </c>
      <c r="AV57" s="32">
        <f>'Data_Raw++ (2018)'!AV58/100</f>
        <v>0.38697890081078407</v>
      </c>
      <c r="AW57" s="32">
        <f>'Data_Raw++ (2018)'!AW58/100</f>
        <v>0.75119433686799253</v>
      </c>
      <c r="AX57" s="32">
        <f>'Data_Raw++ (2018)'!AX58/100</f>
        <v>0</v>
      </c>
      <c r="AY57" s="32">
        <f>'Data_Raw++ (2018)'!AY58/100</f>
        <v>2.9683662580595994E-2</v>
      </c>
      <c r="AZ57" s="32">
        <f>'Data_Raw++ (2018)'!AZ58/100</f>
        <v>0</v>
      </c>
      <c r="BA57" s="32">
        <f>'Data_Raw++ (2018)'!BA58/100</f>
        <v>0</v>
      </c>
      <c r="BB57" s="32">
        <f>'Data_Raw++ (2018)'!BB58/100</f>
        <v>8.2771751426661908E-3</v>
      </c>
      <c r="BC57" s="32">
        <f>'Data_Raw++ (2018)'!BC58/100</f>
        <v>0</v>
      </c>
      <c r="BD57" s="32">
        <f>'Data_Raw++ (2018)'!BD58/100</f>
        <v>1.4952316386751829E-2</v>
      </c>
      <c r="BE57" s="32">
        <f>'Data_Raw++ (2018)'!BE58/100</f>
        <v>2.4340980164479723E-3</v>
      </c>
      <c r="BF57" s="32">
        <f>'Data_Raw++ (2018)'!BF58/100</f>
        <v>0</v>
      </c>
      <c r="BG57" s="32">
        <f>'Data_Raw++ (2018)'!BG58/100</f>
        <v>0</v>
      </c>
      <c r="BH57" s="32">
        <f>'Data_Raw++ (2018)'!BH58/100</f>
        <v>0</v>
      </c>
      <c r="BI57" s="32">
        <f>'Data_Raw++ (2018)'!BI58/100</f>
        <v>0</v>
      </c>
      <c r="BJ57" s="32">
        <f>'Data_Raw++ (2018)'!BJ58/100</f>
        <v>0</v>
      </c>
      <c r="BK57" s="32">
        <f>'Data_Raw++ (2018)'!BK58/100</f>
        <v>2.0065879133736217E-3</v>
      </c>
      <c r="BL57" s="32">
        <f>'Data_Raw++ (2018)'!BL58/100</f>
        <v>0</v>
      </c>
      <c r="BM57" s="32">
        <f>'Data_Raw++ (2018)'!BM58/100</f>
        <v>0</v>
      </c>
      <c r="BN57" s="32">
        <f>'Data_Raw++ (2018)'!BN58/100</f>
        <v>0</v>
      </c>
      <c r="BO57" s="32">
        <f>'Data_Raw++ (2018)'!BO58/100</f>
        <v>0</v>
      </c>
    </row>
    <row r="58" spans="1:67" x14ac:dyDescent="0.2">
      <c r="A58" s="34" t="s">
        <v>134</v>
      </c>
      <c r="B58" s="32">
        <f>'Data_Raw++ (2018)'!B59/100</f>
        <v>4000</v>
      </c>
      <c r="C58" s="32">
        <f>'Data_Raw++ (2018)'!C59/100</f>
        <v>1797.1014492753623</v>
      </c>
      <c r="D58" s="32">
        <f>'Data_Raw++ (2018)'!D59/100</f>
        <v>1447.6650563607086</v>
      </c>
      <c r="E58" s="32">
        <f>'Data_Raw++ (2018)'!E59/100</f>
        <v>1714.2857142857144</v>
      </c>
      <c r="F58" s="32">
        <f>'Data_Raw++ (2018)'!F59/100</f>
        <v>1933.1306990881465</v>
      </c>
      <c r="G58" s="32">
        <f>'Data_Raw++ (2018)'!G59/100</f>
        <v>702.95661785023503</v>
      </c>
      <c r="H58" s="32">
        <f>'Data_Raw++ (2018)'!H59/100</f>
        <v>1000</v>
      </c>
      <c r="I58" s="32">
        <f>'Data_Raw++ (2018)'!I59/100</f>
        <v>265.625</v>
      </c>
      <c r="J58" s="32">
        <f>'Data_Raw++ (2018)'!J59/100</f>
        <v>395.94243234335534</v>
      </c>
      <c r="K58" s="32">
        <f>'Data_Raw++ (2018)'!K59/100</f>
        <v>428.93763503863488</v>
      </c>
      <c r="L58" s="32">
        <f>'Data_Raw++ (2018)'!L59/100</f>
        <v>160.85161313948808</v>
      </c>
      <c r="M58" s="32">
        <f>'Data_Raw++ (2018)'!M59/100</f>
        <v>99.838932293475366</v>
      </c>
      <c r="N58" s="32">
        <f>'Data_Raw++ (2018)'!N59/100</f>
        <v>112.72137517005285</v>
      </c>
      <c r="O58" s="32">
        <f>'Data_Raw++ (2018)'!O59/100</f>
        <v>190.47619047619048</v>
      </c>
      <c r="P58" s="32">
        <f>'Data_Raw++ (2018)'!P59/100</f>
        <v>74.534161490683246</v>
      </c>
      <c r="Q58" s="32">
        <f>'Data_Raw++ (2018)'!Q59/100</f>
        <v>168.09832165983883</v>
      </c>
      <c r="R58" s="32">
        <f>'Data_Raw++ (2018)'!R59/100</f>
        <v>90.514480893759355</v>
      </c>
      <c r="S58" s="32">
        <f>'Data_Raw++ (2018)'!S59/100</f>
        <v>50.519710266284292</v>
      </c>
      <c r="T58" s="32">
        <f>'Data_Raw++ (2018)'!T59/100</f>
        <v>21.049879277618452</v>
      </c>
      <c r="U58" s="32">
        <f>'Data_Raw++ (2018)'!U59/100</f>
        <v>27.064130499795152</v>
      </c>
      <c r="V58" s="32">
        <f>'Data_Raw++ (2018)'!V59/100</f>
        <v>9.3032948593045823</v>
      </c>
      <c r="W58" s="32">
        <f>'Data_Raw++ (2018)'!W59/100</f>
        <v>0</v>
      </c>
      <c r="X58" s="32">
        <f>'Data_Raw++ (2018)'!X59/100</f>
        <v>0</v>
      </c>
      <c r="Y58" s="32">
        <f>'Data_Raw++ (2018)'!Y59/100</f>
        <v>12.342883758239912</v>
      </c>
      <c r="Z58" s="32">
        <f>'Data_Raw++ (2018)'!Z59/100</f>
        <v>31.007751937984505</v>
      </c>
      <c r="AA58" s="32">
        <f>'Data_Raw++ (2018)'!AA59/100</f>
        <v>41.103299080584108</v>
      </c>
      <c r="AB58" s="32">
        <f>'Data_Raw++ (2018)'!AB59/100</f>
        <v>7.9082747431043821</v>
      </c>
      <c r="AC58" s="32">
        <f>'Data_Raw++ (2018)'!AC59/100</f>
        <v>16.056194175393745</v>
      </c>
      <c r="AD58" s="32">
        <f>'Data_Raw++ (2018)'!AD59/100</f>
        <v>0</v>
      </c>
      <c r="AE58" s="32">
        <f>'Data_Raw++ (2018)'!AE59/100</f>
        <v>9.6656691304609108</v>
      </c>
      <c r="AF58" s="32">
        <f>'Data_Raw++ (2018)'!AF59/100</f>
        <v>8.2337181481704054</v>
      </c>
      <c r="AG58" s="32">
        <f>'Data_Raw++ (2018)'!AG59/100</f>
        <v>0</v>
      </c>
      <c r="AH58" s="32">
        <f>'Data_Raw++ (2018)'!AH59/100</f>
        <v>0</v>
      </c>
      <c r="AI58" s="32">
        <f>'Data_Raw++ (2018)'!AI59/100</f>
        <v>3.900182280712297</v>
      </c>
      <c r="AJ58" s="32">
        <f>'Data_Raw++ (2018)'!AJ59/100</f>
        <v>10.171063594798737</v>
      </c>
      <c r="AK58" s="32">
        <f>'Data_Raw++ (2018)'!AK59/100</f>
        <v>0</v>
      </c>
      <c r="AL58" s="32">
        <f>'Data_Raw++ (2018)'!AL59/100</f>
        <v>0</v>
      </c>
      <c r="AM58" s="32">
        <f>'Data_Raw++ (2018)'!AM59/100</f>
        <v>7.8291998248731645</v>
      </c>
      <c r="AN58" s="32">
        <f>'Data_Raw++ (2018)'!AN59/100</f>
        <v>15.89564812928794</v>
      </c>
      <c r="AO58" s="32">
        <f>'Data_Raw++ (2018)'!AO59/100</f>
        <v>14.096140793896851</v>
      </c>
      <c r="AP58" s="32">
        <f>'Data_Raw++ (2018)'!AP59/100</f>
        <v>0</v>
      </c>
      <c r="AQ58" s="32">
        <f>'Data_Raw++ (2018)'!AQ59/100</f>
        <v>0</v>
      </c>
      <c r="AR58" s="32">
        <f>'Data_Raw++ (2018)'!AR59/100</f>
        <v>0</v>
      </c>
      <c r="AS58" s="32">
        <f>'Data_Raw++ (2018)'!AS59/100</f>
        <v>0</v>
      </c>
      <c r="AT58" s="32">
        <f>'Data_Raw++ (2018)'!AT59/100</f>
        <v>0</v>
      </c>
      <c r="AU58" s="32">
        <f>'Data_Raw++ (2018)'!AU59/100</f>
        <v>7.4803050020178539</v>
      </c>
      <c r="AV58" s="32">
        <f>'Data_Raw++ (2018)'!AV59/100</f>
        <v>0</v>
      </c>
      <c r="AW58" s="32">
        <f>'Data_Raw++ (2018)'!AW59/100</f>
        <v>0</v>
      </c>
      <c r="AX58" s="32">
        <f>'Data_Raw++ (2018)'!AX59/100</f>
        <v>0</v>
      </c>
      <c r="AY58" s="32">
        <f>'Data_Raw++ (2018)'!AY59/100</f>
        <v>0</v>
      </c>
      <c r="AZ58" s="32">
        <f>'Data_Raw++ (2018)'!AZ59/100</f>
        <v>0</v>
      </c>
      <c r="BA58" s="32">
        <f>'Data_Raw++ (2018)'!BA59/100</f>
        <v>0</v>
      </c>
      <c r="BB58" s="32">
        <f>'Data_Raw++ (2018)'!BB59/100</f>
        <v>0</v>
      </c>
      <c r="BC58" s="32">
        <f>'Data_Raw++ (2018)'!BC59/100</f>
        <v>0</v>
      </c>
      <c r="BD58" s="32">
        <f>'Data_Raw++ (2018)'!BD59/100</f>
        <v>0</v>
      </c>
      <c r="BE58" s="32">
        <f>'Data_Raw++ (2018)'!BE59/100</f>
        <v>0</v>
      </c>
      <c r="BF58" s="32">
        <f>'Data_Raw++ (2018)'!BF59/100</f>
        <v>0</v>
      </c>
      <c r="BG58" s="32">
        <f>'Data_Raw++ (2018)'!BG59/100</f>
        <v>0</v>
      </c>
      <c r="BH58" s="32">
        <f>'Data_Raw++ (2018)'!BH59/100</f>
        <v>0</v>
      </c>
      <c r="BI58" s="32">
        <f>'Data_Raw++ (2018)'!BI59/100</f>
        <v>0</v>
      </c>
      <c r="BJ58" s="32">
        <f>'Data_Raw++ (2018)'!BJ59/100</f>
        <v>0</v>
      </c>
      <c r="BK58" s="32">
        <f>'Data_Raw++ (2018)'!BK59/100</f>
        <v>0</v>
      </c>
      <c r="BL58" s="32">
        <f>'Data_Raw++ (2018)'!BL59/100</f>
        <v>0</v>
      </c>
      <c r="BM58" s="32">
        <f>'Data_Raw++ (2018)'!BM59/100</f>
        <v>0</v>
      </c>
      <c r="BN58" s="32">
        <f>'Data_Raw++ (2018)'!BN59/100</f>
        <v>0</v>
      </c>
      <c r="BO58" s="32">
        <f>'Data_Raw++ (2018)'!BO59/100</f>
        <v>0</v>
      </c>
    </row>
    <row r="59" spans="1:67" x14ac:dyDescent="0.2">
      <c r="A59" s="34" t="s">
        <v>151</v>
      </c>
      <c r="B59" s="32">
        <f>'Data_Raw++ (2018)'!B60/100</f>
        <v>4000</v>
      </c>
      <c r="C59" s="32">
        <f>'Data_Raw++ (2018)'!C60/100</f>
        <v>1194.8051948051948</v>
      </c>
      <c r="D59" s="32">
        <f>'Data_Raw++ (2018)'!D60/100</f>
        <v>2034.3980343980345</v>
      </c>
      <c r="E59" s="32">
        <f>'Data_Raw++ (2018)'!E60/100</f>
        <v>1598.4555984555982</v>
      </c>
      <c r="F59" s="32">
        <f>'Data_Raw++ (2018)'!F60/100</f>
        <v>3396.7181467181463</v>
      </c>
      <c r="G59" s="32">
        <f>'Data_Raw++ (2018)'!G60/100</f>
        <v>958.04870804870791</v>
      </c>
      <c r="H59" s="32">
        <f>'Data_Raw++ (2018)'!H60/100</f>
        <v>1124.6658746658745</v>
      </c>
      <c r="I59" s="32">
        <f>'Data_Raw++ (2018)'!I60/100</f>
        <v>689.3113425371489</v>
      </c>
      <c r="J59" s="32">
        <f>'Data_Raw++ (2018)'!J60/100</f>
        <v>746.75395441524461</v>
      </c>
      <c r="K59" s="32">
        <f>'Data_Raw++ (2018)'!K60/100</f>
        <v>989.88314887602189</v>
      </c>
      <c r="L59" s="32">
        <f>'Data_Raw++ (2018)'!L60/100</f>
        <v>63.184030779320544</v>
      </c>
      <c r="M59" s="32">
        <f>'Data_Raw++ (2018)'!M60/100</f>
        <v>211.52914652207312</v>
      </c>
      <c r="N59" s="32">
        <f>'Data_Raw++ (2018)'!N60/100</f>
        <v>95.034833944699528</v>
      </c>
      <c r="O59" s="32">
        <f>'Data_Raw++ (2018)'!O60/100</f>
        <v>221.74794587096557</v>
      </c>
      <c r="P59" s="32">
        <f>'Data_Raw++ (2018)'!P60/100</f>
        <v>86.235312283153291</v>
      </c>
      <c r="Q59" s="32">
        <f>'Data_Raw++ (2018)'!Q60/100</f>
        <v>211.1278335208236</v>
      </c>
      <c r="R59" s="32">
        <f>'Data_Raw++ (2018)'!R60/100</f>
        <v>40.214825432537829</v>
      </c>
      <c r="S59" s="32">
        <f>'Data_Raw++ (2018)'!S60/100</f>
        <v>38.637773454791244</v>
      </c>
      <c r="T59" s="32">
        <f>'Data_Raw++ (2018)'!T60/100</f>
        <v>16.559045766339104</v>
      </c>
      <c r="U59" s="32">
        <f>'Data_Raw++ (2018)'!U60/100</f>
        <v>70.593826688077229</v>
      </c>
      <c r="V59" s="32">
        <f>'Data_Raw++ (2018)'!V60/100</f>
        <v>27.453154823141144</v>
      </c>
      <c r="W59" s="32">
        <f>'Data_Raw++ (2018)'!W60/100</f>
        <v>9.64570304596851</v>
      </c>
      <c r="X59" s="32">
        <f>'Data_Raw++ (2018)'!X60/100</f>
        <v>15.08686886677126</v>
      </c>
      <c r="Y59" s="32">
        <f>'Data_Raw++ (2018)'!Y60/100</f>
        <v>22.630303300156889</v>
      </c>
      <c r="Z59" s="32">
        <f>'Data_Raw++ (2018)'!Z60/100</f>
        <v>45.946373366985199</v>
      </c>
      <c r="AA59" s="32">
        <f>'Data_Raw++ (2018)'!AA60/100</f>
        <v>19.691302871565085</v>
      </c>
      <c r="AB59" s="32">
        <f>'Data_Raw++ (2018)'!AB60/100</f>
        <v>4.796801379513254</v>
      </c>
      <c r="AC59" s="32">
        <f>'Data_Raw++ (2018)'!AC60/100</f>
        <v>6.3585506658664066</v>
      </c>
      <c r="AD59" s="32">
        <f>'Data_Raw++ (2018)'!AD60/100</f>
        <v>2.7250931425141744</v>
      </c>
      <c r="AE59" s="32">
        <f>'Data_Raw++ (2018)'!AE60/100</f>
        <v>7.756034328694188</v>
      </c>
      <c r="AF59" s="32">
        <f>'Data_Raw++ (2018)'!AF60/100</f>
        <v>1.8193166943850563</v>
      </c>
      <c r="AG59" s="32">
        <f>'Data_Raw++ (2018)'!AG60/100</f>
        <v>3.0977554526015827</v>
      </c>
      <c r="AH59" s="32">
        <f>'Data_Raw++ (2018)'!AH60/100</f>
        <v>1.9805321746141267</v>
      </c>
      <c r="AI59" s="32">
        <f>'Data_Raw++ (2018)'!AI60/100</f>
        <v>0.97548599645173395</v>
      </c>
      <c r="AJ59" s="32">
        <f>'Data_Raw++ (2018)'!AJ60/100</f>
        <v>1.6609626426070065</v>
      </c>
      <c r="AK59" s="32">
        <f>'Data_Raw++ (2018)'!AK60/100</f>
        <v>3.3722574865051342</v>
      </c>
      <c r="AL59" s="32">
        <f>'Data_Raw++ (2018)'!AL60/100</f>
        <v>0.3746952762783482</v>
      </c>
      <c r="AM59" s="32">
        <f>'Data_Raw++ (2018)'!AM60/100</f>
        <v>2.5075760797089455</v>
      </c>
      <c r="AN59" s="32">
        <f>'Data_Raw++ (2018)'!AN60/100</f>
        <v>2.4092397628576143</v>
      </c>
      <c r="AO59" s="32">
        <f>'Data_Raw++ (2018)'!AO60/100</f>
        <v>2.8282379824850254</v>
      </c>
      <c r="AP59" s="32">
        <f>'Data_Raw++ (2018)'!AP60/100</f>
        <v>0.21287812771392667</v>
      </c>
      <c r="AQ59" s="32">
        <f>'Data_Raw++ (2018)'!AQ60/100</f>
        <v>0.60588390195502195</v>
      </c>
      <c r="AR59" s="32">
        <f>'Data_Raw++ (2018)'!AR60/100</f>
        <v>0.24747370643233293</v>
      </c>
      <c r="AS59" s="32">
        <f>'Data_Raw++ (2018)'!AS60/100</f>
        <v>0.50244661608988794</v>
      </c>
      <c r="AT59" s="32">
        <f>'Data_Raw++ (2018)'!AT60/100</f>
        <v>0.4637968763906658</v>
      </c>
      <c r="AU59" s="32">
        <f>'Data_Raw++ (2018)'!AU60/100</f>
        <v>0.1385367293114976</v>
      </c>
      <c r="AV59" s="32">
        <f>'Data_Raw++ (2018)'!AV60/100</f>
        <v>1.1208880826112078</v>
      </c>
      <c r="AW59" s="32">
        <f>'Data_Raw++ (2018)'!AW60/100</f>
        <v>0.60355512140603484</v>
      </c>
      <c r="AX59" s="32">
        <f>'Data_Raw++ (2018)'!AX60/100</f>
        <v>0.45531351263964043</v>
      </c>
      <c r="AY59" s="32">
        <f>'Data_Raw++ (2018)'!AY60/100</f>
        <v>7.4120804383197292E-2</v>
      </c>
      <c r="AZ59" s="32">
        <f>'Data_Raw++ (2018)'!AZ60/100</f>
        <v>0.66708723944877557</v>
      </c>
      <c r="BA59" s="32">
        <f>'Data_Raw++ (2018)'!BA60/100</f>
        <v>0</v>
      </c>
      <c r="BB59" s="32">
        <f>'Data_Raw++ (2018)'!BB60/100</f>
        <v>0.49345874660939087</v>
      </c>
      <c r="BC59" s="32">
        <f>'Data_Raw++ (2018)'!BC60/100</f>
        <v>0</v>
      </c>
      <c r="BD59" s="32">
        <f>'Data_Raw++ (2018)'!BD60/100</f>
        <v>0</v>
      </c>
      <c r="BE59" s="32">
        <f>'Data_Raw++ (2018)'!BE60/100</f>
        <v>0</v>
      </c>
      <c r="BF59" s="32">
        <f>'Data_Raw++ (2018)'!BF60/100</f>
        <v>0</v>
      </c>
      <c r="BG59" s="32">
        <f>'Data_Raw++ (2018)'!BG60/100</f>
        <v>0</v>
      </c>
      <c r="BH59" s="32">
        <f>'Data_Raw++ (2018)'!BH60/100</f>
        <v>0</v>
      </c>
      <c r="BI59" s="32">
        <f>'Data_Raw++ (2018)'!BI60/100</f>
        <v>0</v>
      </c>
      <c r="BJ59" s="32">
        <f>'Data_Raw++ (2018)'!BJ60/100</f>
        <v>0</v>
      </c>
      <c r="BK59" s="32">
        <f>'Data_Raw++ (2018)'!BK60/100</f>
        <v>0</v>
      </c>
      <c r="BL59" s="32">
        <f>'Data_Raw++ (2018)'!BL60/100</f>
        <v>0</v>
      </c>
      <c r="BM59" s="32">
        <f>'Data_Raw++ (2018)'!BM60/100</f>
        <v>0</v>
      </c>
      <c r="BN59" s="32">
        <f>'Data_Raw++ (2018)'!BN60/100</f>
        <v>0</v>
      </c>
      <c r="BO59" s="32">
        <f>'Data_Raw++ (2018)'!BO60/100</f>
        <v>0</v>
      </c>
    </row>
    <row r="60" spans="1:67" x14ac:dyDescent="0.2">
      <c r="A60" s="34" t="s">
        <v>162</v>
      </c>
      <c r="B60" s="32">
        <f>'Data_Raw++ (2018)'!B61/100</f>
        <v>3000</v>
      </c>
      <c r="C60" s="32">
        <f>'Data_Raw++ (2018)'!C61/100</f>
        <v>4894.7368421052633</v>
      </c>
      <c r="D60" s="32">
        <f>'Data_Raw++ (2018)'!D61/100</f>
        <v>3845.8646616541346</v>
      </c>
      <c r="E60" s="32">
        <f>'Data_Raw++ (2018)'!E61/100</f>
        <v>3695.0464396284819</v>
      </c>
      <c r="F60" s="32">
        <f>'Data_Raw++ (2018)'!F61/100</f>
        <v>2903.2507739938069</v>
      </c>
      <c r="G60" s="32">
        <f>'Data_Raw++ (2018)'!G61/100</f>
        <v>2679.9237913788988</v>
      </c>
      <c r="H60" s="32">
        <f>'Data_Raw++ (2018)'!H61/100</f>
        <v>941.59484561961324</v>
      </c>
      <c r="I60" s="32">
        <f>'Data_Raw++ (2018)'!I61/100</f>
        <v>1248.1606093097198</v>
      </c>
      <c r="J60" s="32">
        <f>'Data_Raw++ (2018)'!J61/100</f>
        <v>1352.1739934188631</v>
      </c>
      <c r="K60" s="32">
        <f>'Data_Raw++ (2018)'!K61/100</f>
        <v>728.09368876400322</v>
      </c>
      <c r="L60" s="32">
        <f>'Data_Raw++ (2018)'!L61/100</f>
        <v>549.2636599447743</v>
      </c>
      <c r="M60" s="32">
        <f>'Data_Raw++ (2018)'!M61/100</f>
        <v>671.32225104361305</v>
      </c>
      <c r="N60" s="32">
        <f>'Data_Raw++ (2018)'!N61/100</f>
        <v>486.12990592813361</v>
      </c>
      <c r="O60" s="32">
        <f>'Data_Raw++ (2018)'!O61/100</f>
        <v>337.81908717039789</v>
      </c>
      <c r="P60" s="32">
        <f>'Data_Raw++ (2018)'!P61/100</f>
        <v>365.97067776793114</v>
      </c>
      <c r="Q60" s="32">
        <f>'Data_Raw++ (2018)'!Q61/100</f>
        <v>233.98125299916907</v>
      </c>
      <c r="R60" s="32">
        <f>'Data_Raw++ (2018)'!R61/100</f>
        <v>143.40786474142621</v>
      </c>
      <c r="S60" s="32">
        <f>'Data_Raw++ (2018)'!S61/100</f>
        <v>198.03943226196955</v>
      </c>
      <c r="T60" s="32">
        <f>'Data_Raw++ (2018)'!T61/100</f>
        <v>73.247461247577789</v>
      </c>
      <c r="U60" s="32">
        <f>'Data_Raw++ (2018)'!U61/100</f>
        <v>93.224041587826292</v>
      </c>
      <c r="V60" s="32">
        <f>'Data_Raw++ (2018)'!V61/100</f>
        <v>38.077425437281157</v>
      </c>
      <c r="W60" s="32">
        <f>'Data_Raw++ (2018)'!W61/100</f>
        <v>36.584193067191698</v>
      </c>
      <c r="X60" s="32">
        <f>'Data_Raw++ (2018)'!X61/100</f>
        <v>71.016374777489773</v>
      </c>
      <c r="Y60" s="32">
        <f>'Data_Raw++ (2018)'!Y61/100</f>
        <v>58.104306636127994</v>
      </c>
      <c r="Z60" s="32">
        <f>'Data_Raw++ (2018)'!Z61/100</f>
        <v>40.377569018326234</v>
      </c>
      <c r="AA60" s="32">
        <f>'Data_Raw++ (2018)'!AA61/100</f>
        <v>38.794134939176189</v>
      </c>
      <c r="AB60" s="32">
        <f>'Data_Raw++ (2018)'!AB61/100</f>
        <v>9.6636190133487876</v>
      </c>
      <c r="AC60" s="32">
        <f>'Data_Raw++ (2018)'!AC61/100</f>
        <v>8.9202637046296509</v>
      </c>
      <c r="AD60" s="32">
        <f>'Data_Raw++ (2018)'!AD61/100</f>
        <v>8.9202637046296509</v>
      </c>
      <c r="AE60" s="32">
        <f>'Data_Raw++ (2018)'!AE61/100</f>
        <v>7.2983975765151676</v>
      </c>
      <c r="AF60" s="32">
        <f>'Data_Raw++ (2018)'!AF61/100</f>
        <v>4.8655983843434454</v>
      </c>
      <c r="AG60" s="32">
        <f>'Data_Raw++ (2018)'!AG61/100</f>
        <v>9.0361112852092553</v>
      </c>
      <c r="AH60" s="32">
        <f>'Data_Raw++ (2018)'!AH61/100</f>
        <v>4.252287663627885</v>
      </c>
      <c r="AI60" s="32">
        <f>'Data_Raw++ (2018)'!AI61/100</f>
        <v>3.9251886125795865</v>
      </c>
      <c r="AJ60" s="32">
        <f>'Data_Raw++ (2018)'!AJ61/100</f>
        <v>3.6232510269965403</v>
      </c>
      <c r="AK60" s="32">
        <f>'Data_Raw++ (2018)'!AK61/100</f>
        <v>5.0035371325190319</v>
      </c>
      <c r="AL60" s="32">
        <f>'Data_Raw++ (2018)'!AL61/100</f>
        <v>0.61841470177201519</v>
      </c>
      <c r="AM60" s="32">
        <f>'Data_Raw++ (2018)'!AM61/100</f>
        <v>2.07034487114979</v>
      </c>
      <c r="AN60" s="32">
        <f>'Data_Raw++ (2018)'!AN61/100</f>
        <v>0.69011495704993009</v>
      </c>
      <c r="AO60" s="32">
        <f>'Data_Raw++ (2018)'!AO61/100</f>
        <v>2.3103848562106353</v>
      </c>
      <c r="AP60" s="32">
        <f>'Data_Raw++ (2018)'!AP61/100</f>
        <v>2.2197815285161009</v>
      </c>
      <c r="AQ60" s="32">
        <f>'Data_Raw++ (2018)'!AQ61/100</f>
        <v>1.8161848869677186</v>
      </c>
      <c r="AR60" s="32">
        <f>'Data_Raw++ (2018)'!AR61/100</f>
        <v>2.4075008966781386</v>
      </c>
      <c r="AS60" s="32">
        <f>'Data_Raw++ (2018)'!AS61/100</f>
        <v>1.1857840237369937</v>
      </c>
      <c r="AT60" s="32">
        <f>'Data_Raw++ (2018)'!AT61/100</f>
        <v>0.63849908970453495</v>
      </c>
      <c r="AU60" s="32">
        <f>'Data_Raw++ (2018)'!AU61/100</f>
        <v>1.6418548020973753</v>
      </c>
      <c r="AV60" s="32">
        <f>'Data_Raw++ (2018)'!AV61/100</f>
        <v>0.38512643505987809</v>
      </c>
      <c r="AW60" s="32">
        <f>'Data_Raw++ (2018)'!AW61/100</f>
        <v>3.1160229745753778</v>
      </c>
      <c r="AX60" s="32">
        <f>'Data_Raw++ (2018)'!AX61/100</f>
        <v>0.12983429060730742</v>
      </c>
      <c r="AY60" s="32">
        <f>'Data_Raw++ (2018)'!AY61/100</f>
        <v>0.73572764677474212</v>
      </c>
      <c r="AZ60" s="32">
        <f>'Data_Raw++ (2018)'!AZ61/100</f>
        <v>0.86368028099643634</v>
      </c>
      <c r="BA60" s="32">
        <f>'Data_Raw++ (2018)'!BA61/100</f>
        <v>0.24360213053745641</v>
      </c>
      <c r="BB60" s="32">
        <f>'Data_Raw++ (2018)'!BB61/100</f>
        <v>0.12549200664050786</v>
      </c>
      <c r="BC60" s="32">
        <f>'Data_Raw++ (2018)'!BC61/100</f>
        <v>0.11128536437931827</v>
      </c>
      <c r="BD60" s="32">
        <f>'Data_Raw++ (2018)'!BD61/100</f>
        <v>0.15367978890477282</v>
      </c>
      <c r="BE60" s="32">
        <f>'Data_Raw++ (2018)'!BE61/100</f>
        <v>0.22114896452150237</v>
      </c>
      <c r="BF60" s="32">
        <f>'Data_Raw++ (2018)'!BF61/100</f>
        <v>0</v>
      </c>
      <c r="BG60" s="32">
        <f>'Data_Raw++ (2018)'!BG61/100</f>
        <v>0.13145046800951049</v>
      </c>
      <c r="BH60" s="32">
        <f>'Data_Raw++ (2018)'!BH61/100</f>
        <v>4.3816822669836837E-2</v>
      </c>
      <c r="BI60" s="32">
        <f>'Data_Raw++ (2018)'!BI61/100</f>
        <v>0</v>
      </c>
      <c r="BJ60" s="32">
        <f>'Data_Raw++ (2018)'!BJ61/100</f>
        <v>5.1944136552145269E-2</v>
      </c>
      <c r="BK60" s="32">
        <f>'Data_Raw++ (2018)'!BK61/100</f>
        <v>0.13357063684837356</v>
      </c>
      <c r="BL60" s="32">
        <f>'Data_Raw++ (2018)'!BL61/100</f>
        <v>0</v>
      </c>
      <c r="BM60" s="32">
        <f>'Data_Raw++ (2018)'!BM61/100</f>
        <v>0</v>
      </c>
      <c r="BN60" s="32">
        <f>'Data_Raw++ (2018)'!BN61/100</f>
        <v>0</v>
      </c>
      <c r="BO60" s="32">
        <f>'Data_Raw++ (2018)'!BO61/100</f>
        <v>0</v>
      </c>
    </row>
    <row r="61" spans="1:67" x14ac:dyDescent="0.2">
      <c r="A61" s="34" t="s">
        <v>159</v>
      </c>
      <c r="B61" s="32">
        <f>'Data_Raw++ (2018)'!B62/100</f>
        <v>3000</v>
      </c>
      <c r="C61" s="32">
        <f>'Data_Raw++ (2018)'!C62/100</f>
        <v>2660.3773584905662</v>
      </c>
      <c r="D61" s="32">
        <f>'Data_Raw++ (2018)'!D62/100</f>
        <v>2556.0488346281909</v>
      </c>
      <c r="E61" s="32">
        <f>'Data_Raw++ (2018)'!E62/100</f>
        <v>3124.0596867677891</v>
      </c>
      <c r="F61" s="32">
        <f>'Data_Raw++ (2018)'!F62/100</f>
        <v>1997.3496358023569</v>
      </c>
      <c r="G61" s="32">
        <f>'Data_Raw++ (2018)'!G62/100</f>
        <v>1276.9940294474086</v>
      </c>
      <c r="H61" s="32">
        <f>'Data_Raw++ (2018)'!H62/100</f>
        <v>547.28315547746092</v>
      </c>
      <c r="I61" s="32">
        <f>'Data_Raw++ (2018)'!I62/100</f>
        <v>617.14909021926451</v>
      </c>
      <c r="J61" s="32">
        <f>'Data_Raw++ (2018)'!J62/100</f>
        <v>592.94716511262675</v>
      </c>
      <c r="K61" s="32">
        <f>'Data_Raw++ (2018)'!K62/100</f>
        <v>525.82107094893308</v>
      </c>
      <c r="L61" s="32">
        <f>'Data_Raw++ (2018)'!L62/100</f>
        <v>308.815549604929</v>
      </c>
      <c r="M61" s="32">
        <f>'Data_Raw++ (2018)'!M62/100</f>
        <v>138.74321793844638</v>
      </c>
      <c r="N61" s="32">
        <f>'Data_Raw++ (2018)'!N62/100</f>
        <v>183.91542843003356</v>
      </c>
      <c r="O61" s="32">
        <f>'Data_Raw++ (2018)'!O62/100</f>
        <v>176.70305868767929</v>
      </c>
      <c r="P61" s="32">
        <f>'Data_Raw++ (2018)'!P62/100</f>
        <v>626.49266261995388</v>
      </c>
      <c r="Q61" s="32">
        <f>'Data_Raw++ (2018)'!Q62/100</f>
        <v>110.55752869763892</v>
      </c>
      <c r="R61" s="32">
        <f>'Data_Raw++ (2018)'!R62/100</f>
        <v>62.18860989242188</v>
      </c>
      <c r="S61" s="32">
        <f>'Data_Raw++ (2018)'!S62/100</f>
        <v>38.115599611484377</v>
      </c>
      <c r="T61" s="32">
        <f>'Data_Raw++ (2018)'!T62/100</f>
        <v>28.753873391119797</v>
      </c>
      <c r="U61" s="32">
        <f>'Data_Raw++ (2018)'!U62/100</f>
        <v>48.959297936231003</v>
      </c>
      <c r="V61" s="32">
        <f>'Data_Raw++ (2018)'!V62/100</f>
        <v>132.37143516092084</v>
      </c>
      <c r="W61" s="32">
        <f>'Data_Raw++ (2018)'!W62/100</f>
        <v>81.130879614757944</v>
      </c>
      <c r="X61" s="32">
        <f>'Data_Raw++ (2018)'!X62/100</f>
        <v>7.3626274453199718</v>
      </c>
      <c r="Y61" s="32">
        <f>'Data_Raw++ (2018)'!Y62/100</f>
        <v>7.3626274453199718</v>
      </c>
      <c r="Z61" s="32">
        <f>'Data_Raw++ (2018)'!Z62/100</f>
        <v>14.948364813225398</v>
      </c>
      <c r="AA61" s="32">
        <f>'Data_Raw++ (2018)'!AA62/100</f>
        <v>4.2162054601404968</v>
      </c>
      <c r="AB61" s="32">
        <f>'Data_Raw++ (2018)'!AB62/100</f>
        <v>0</v>
      </c>
      <c r="AC61" s="32">
        <f>'Data_Raw++ (2018)'!AC62/100</f>
        <v>0</v>
      </c>
      <c r="AD61" s="32">
        <f>'Data_Raw++ (2018)'!AD62/100</f>
        <v>0</v>
      </c>
      <c r="AE61" s="32">
        <f>'Data_Raw++ (2018)'!AE62/100</f>
        <v>0</v>
      </c>
      <c r="AF61" s="32">
        <f>'Data_Raw++ (2018)'!AF62/100</f>
        <v>0</v>
      </c>
      <c r="AG61" s="32">
        <f>'Data_Raw++ (2018)'!AG62/100</f>
        <v>0</v>
      </c>
      <c r="AH61" s="32">
        <f>'Data_Raw++ (2018)'!AH62/100</f>
        <v>0</v>
      </c>
      <c r="AI61" s="32">
        <f>'Data_Raw++ (2018)'!AI62/100</f>
        <v>3.0072703649898473</v>
      </c>
      <c r="AJ61" s="32">
        <f>'Data_Raw++ (2018)'!AJ62/100</f>
        <v>5.1204873782259561</v>
      </c>
      <c r="AK61" s="32">
        <f>'Data_Raw++ (2018)'!AK62/100</f>
        <v>12.536365650139409</v>
      </c>
      <c r="AL61" s="32">
        <f>'Data_Raw++ (2018)'!AL62/100</f>
        <v>126.75658601807625</v>
      </c>
      <c r="AM61" s="32">
        <f>'Data_Raw++ (2018)'!AM62/100</f>
        <v>9.5408183024358468</v>
      </c>
      <c r="AN61" s="32">
        <f>'Data_Raw++ (2018)'!AN62/100</f>
        <v>6.0998674392622627</v>
      </c>
      <c r="AO61" s="32">
        <f>'Data_Raw++ (2018)'!AO62/100</f>
        <v>0</v>
      </c>
      <c r="AP61" s="32">
        <f>'Data_Raw++ (2018)'!AP62/100</f>
        <v>3.7386284305155799</v>
      </c>
      <c r="AQ61" s="32">
        <f>'Data_Raw++ (2018)'!AQ62/100</f>
        <v>0</v>
      </c>
      <c r="AR61" s="32">
        <f>'Data_Raw++ (2018)'!AR62/100</f>
        <v>2.4761841591301326</v>
      </c>
      <c r="AS61" s="32">
        <f>'Data_Raw++ (2018)'!AS62/100</f>
        <v>2.4761841591301326</v>
      </c>
      <c r="AT61" s="32">
        <f>'Data_Raw++ (2018)'!AT62/100</f>
        <v>0</v>
      </c>
      <c r="AU61" s="32">
        <f>'Data_Raw++ (2018)'!AU62/100</f>
        <v>5.4093164084023844</v>
      </c>
      <c r="AV61" s="32">
        <f>'Data_Raw++ (2018)'!AV62/100</f>
        <v>0</v>
      </c>
      <c r="AW61" s="32">
        <f>'Data_Raw++ (2018)'!AW62/100</f>
        <v>26.004698030539121</v>
      </c>
      <c r="AX61" s="32">
        <f>'Data_Raw++ (2018)'!AX62/100</f>
        <v>0</v>
      </c>
      <c r="AY61" s="32">
        <f>'Data_Raw++ (2018)'!AY62/100</f>
        <v>0</v>
      </c>
      <c r="AZ61" s="32">
        <f>'Data_Raw++ (2018)'!AZ62/100</f>
        <v>0</v>
      </c>
      <c r="BA61" s="32">
        <f>'Data_Raw++ (2018)'!BA62/100</f>
        <v>0</v>
      </c>
      <c r="BB61" s="32">
        <f>'Data_Raw++ (2018)'!BB62/100</f>
        <v>0</v>
      </c>
      <c r="BC61" s="32">
        <f>'Data_Raw++ (2018)'!BC62/100</f>
        <v>0</v>
      </c>
      <c r="BD61" s="32">
        <f>'Data_Raw++ (2018)'!BD62/100</f>
        <v>0</v>
      </c>
      <c r="BE61" s="32">
        <f>'Data_Raw++ (2018)'!BE62/100</f>
        <v>0</v>
      </c>
      <c r="BF61" s="32">
        <f>'Data_Raw++ (2018)'!BF62/100</f>
        <v>0</v>
      </c>
      <c r="BG61" s="32">
        <f>'Data_Raw++ (2018)'!BG62/100</f>
        <v>0</v>
      </c>
      <c r="BH61" s="32">
        <f>'Data_Raw++ (2018)'!BH62/100</f>
        <v>0</v>
      </c>
      <c r="BI61" s="32">
        <f>'Data_Raw++ (2018)'!BI62/100</f>
        <v>0</v>
      </c>
      <c r="BJ61" s="32">
        <f>'Data_Raw++ (2018)'!BJ62/100</f>
        <v>0</v>
      </c>
      <c r="BK61" s="32">
        <f>'Data_Raw++ (2018)'!BK62/100</f>
        <v>0</v>
      </c>
      <c r="BL61" s="32">
        <f>'Data_Raw++ (2018)'!BL62/100</f>
        <v>0</v>
      </c>
      <c r="BM61" s="32">
        <f>'Data_Raw++ (2018)'!BM62/100</f>
        <v>0</v>
      </c>
      <c r="BN61" s="32">
        <f>'Data_Raw++ (2018)'!BN62/100</f>
        <v>0</v>
      </c>
      <c r="BO61" s="32">
        <f>'Data_Raw++ (2018)'!BO62/100</f>
        <v>0</v>
      </c>
    </row>
    <row r="62" spans="1:67" x14ac:dyDescent="0.2">
      <c r="A62" s="34" t="s">
        <v>168</v>
      </c>
      <c r="B62" s="32">
        <f>'Data_Raw++ (2018)'!B63/100</f>
        <v>3000</v>
      </c>
      <c r="C62" s="32">
        <f>'Data_Raw++ (2018)'!C63/100</f>
        <v>2084.7457627118642</v>
      </c>
      <c r="D62" s="32">
        <f>'Data_Raw++ (2018)'!D63/100</f>
        <v>2258.4745762711864</v>
      </c>
      <c r="E62" s="32">
        <f>'Data_Raw++ (2018)'!E63/100</f>
        <v>2002.7982091461463</v>
      </c>
      <c r="F62" s="32">
        <f>'Data_Raw++ (2018)'!F63/100</f>
        <v>1924.257102905121</v>
      </c>
      <c r="G62" s="32">
        <f>'Data_Raw++ (2018)'!G63/100</f>
        <v>1082.3946203841306</v>
      </c>
      <c r="H62" s="32">
        <f>'Data_Raw++ (2018)'!H63/100</f>
        <v>1434.8021712068708</v>
      </c>
      <c r="I62" s="32">
        <f>'Data_Raw++ (2018)'!I63/100</f>
        <v>586.04595725351055</v>
      </c>
      <c r="J62" s="32">
        <f>'Data_Raw++ (2018)'!J63/100</f>
        <v>359.18945767150655</v>
      </c>
      <c r="K62" s="32">
        <f>'Data_Raw++ (2018)'!K63/100</f>
        <v>538.78418650725973</v>
      </c>
      <c r="L62" s="32">
        <f>'Data_Raw++ (2018)'!L63/100</f>
        <v>209.52718364171216</v>
      </c>
      <c r="M62" s="32">
        <f>'Data_Raw++ (2018)'!M63/100</f>
        <v>209.52718364171216</v>
      </c>
      <c r="N62" s="32">
        <f>'Data_Raw++ (2018)'!N63/100</f>
        <v>151.72658125779157</v>
      </c>
      <c r="O62" s="32">
        <f>'Data_Raw++ (2018)'!O63/100</f>
        <v>134.5499871531359</v>
      </c>
      <c r="P62" s="32">
        <f>'Data_Raw++ (2018)'!P63/100</f>
        <v>72.44999308245778</v>
      </c>
      <c r="Q62" s="32">
        <f>'Data_Raw++ (2018)'!Q63/100</f>
        <v>147.09544050074763</v>
      </c>
      <c r="R62" s="32">
        <f>'Data_Raw++ (2018)'!R63/100</f>
        <v>135.78040661607471</v>
      </c>
      <c r="S62" s="32">
        <f>'Data_Raw++ (2018)'!S63/100</f>
        <v>63.896661936976336</v>
      </c>
      <c r="T62" s="32">
        <f>'Data_Raw++ (2018)'!T63/100</f>
        <v>44.402765074847956</v>
      </c>
      <c r="U62" s="32">
        <f>'Data_Raw++ (2018)'!U63/100</f>
        <v>33.496822775762496</v>
      </c>
      <c r="V62" s="32">
        <f>'Data_Raw++ (2018)'!V63/100</f>
        <v>19.672737185765278</v>
      </c>
      <c r="W62" s="32">
        <f>'Data_Raw++ (2018)'!W63/100</f>
        <v>13.67088516298943</v>
      </c>
      <c r="X62" s="32">
        <f>'Data_Raw++ (2018)'!X63/100</f>
        <v>12.12323778604723</v>
      </c>
      <c r="Y62" s="32">
        <f>'Data_Raw++ (2018)'!Y63/100</f>
        <v>10.327202558484679</v>
      </c>
      <c r="Z62" s="32">
        <f>'Data_Raw++ (2018)'!Z63/100</f>
        <v>12.123237786047232</v>
      </c>
      <c r="AA62" s="32">
        <f>'Data_Raw++ (2018)'!AA63/100</f>
        <v>9.5254011176085385</v>
      </c>
      <c r="AB62" s="32">
        <f>'Data_Raw++ (2018)'!AB63/100</f>
        <v>2.3803977392903737</v>
      </c>
      <c r="AC62" s="32">
        <f>'Data_Raw++ (2018)'!AC63/100</f>
        <v>4.8329287434077273</v>
      </c>
      <c r="AD62" s="32">
        <f>'Data_Raw++ (2018)'!AD63/100</f>
        <v>0.85286977824842236</v>
      </c>
      <c r="AE62" s="32">
        <f>'Data_Raw++ (2018)'!AE63/100</f>
        <v>1.9900294825796521</v>
      </c>
      <c r="AF62" s="32">
        <f>'Data_Raw++ (2018)'!AF63/100</f>
        <v>1.6952102999752592</v>
      </c>
      <c r="AG62" s="32">
        <f>'Data_Raw++ (2018)'!AG63/100</f>
        <v>2.4394489682570804</v>
      </c>
      <c r="AH62" s="32">
        <f>'Data_Raw++ (2018)'!AH63/100</f>
        <v>2.5390183139002267</v>
      </c>
      <c r="AI62" s="32">
        <f>'Data_Raw++ (2018)'!AI63/100</f>
        <v>0.9390889654151523</v>
      </c>
      <c r="AJ62" s="32">
        <f>'Data_Raw++ (2018)'!AJ63/100</f>
        <v>3.1439065363898577</v>
      </c>
      <c r="AK62" s="32">
        <f>'Data_Raw++ (2018)'!AK63/100</f>
        <v>0.99281259043890246</v>
      </c>
      <c r="AL62" s="32">
        <f>'Data_Raw++ (2018)'!AL63/100</f>
        <v>0</v>
      </c>
      <c r="AM62" s="32">
        <f>'Data_Raw++ (2018)'!AM63/100</f>
        <v>3.8906567945161634</v>
      </c>
      <c r="AN62" s="32">
        <f>'Data_Raw++ (2018)'!AN63/100</f>
        <v>0.14835130661730728</v>
      </c>
      <c r="AO62" s="32">
        <f>'Data_Raw++ (2018)'!AO63/100</f>
        <v>4.5672927587798444</v>
      </c>
      <c r="AP62" s="32">
        <f>'Data_Raw++ (2018)'!AP63/100</f>
        <v>0</v>
      </c>
      <c r="AQ62" s="32">
        <f>'Data_Raw++ (2018)'!AQ63/100</f>
        <v>0.47813623845456027</v>
      </c>
      <c r="AR62" s="32">
        <f>'Data_Raw++ (2018)'!AR63/100</f>
        <v>0</v>
      </c>
      <c r="AS62" s="32">
        <f>'Data_Raw++ (2018)'!AS63/100</f>
        <v>0.82829574935726413</v>
      </c>
      <c r="AT62" s="32">
        <f>'Data_Raw++ (2018)'!AT63/100</f>
        <v>1.6816913699071727</v>
      </c>
      <c r="AU62" s="32">
        <f>'Data_Raw++ (2018)'!AU63/100</f>
        <v>1.6816913699071727</v>
      </c>
      <c r="AV62" s="32">
        <f>'Data_Raw++ (2018)'!AV63/100</f>
        <v>0</v>
      </c>
      <c r="AW62" s="32">
        <f>'Data_Raw++ (2018)'!AW63/100</f>
        <v>9.8900871078204847E-2</v>
      </c>
      <c r="AX62" s="32">
        <f>'Data_Raw++ (2018)'!AX63/100</f>
        <v>0</v>
      </c>
      <c r="AY62" s="32">
        <f>'Data_Raw++ (2018)'!AY63/100</f>
        <v>0.14835130661730728</v>
      </c>
      <c r="AZ62" s="32">
        <f>'Data_Raw++ (2018)'!AZ63/100</f>
        <v>1.8335554750453703E-2</v>
      </c>
      <c r="BA62" s="32">
        <f>'Data_Raw++ (2018)'!BA63/100</f>
        <v>0</v>
      </c>
      <c r="BB62" s="32">
        <f>'Data_Raw++ (2018)'!BB63/100</f>
        <v>0.14835130661730728</v>
      </c>
      <c r="BC62" s="32">
        <f>'Data_Raw++ (2018)'!BC63/100</f>
        <v>0</v>
      </c>
      <c r="BD62" s="32">
        <f>'Data_Raw++ (2018)'!BD63/100</f>
        <v>0</v>
      </c>
      <c r="BE62" s="32">
        <f>'Data_Raw++ (2018)'!BE63/100</f>
        <v>0</v>
      </c>
      <c r="BF62" s="32">
        <f>'Data_Raw++ (2018)'!BF63/100</f>
        <v>0</v>
      </c>
      <c r="BG62" s="32">
        <f>'Data_Raw++ (2018)'!BG63/100</f>
        <v>0</v>
      </c>
      <c r="BH62" s="32">
        <f>'Data_Raw++ (2018)'!BH63/100</f>
        <v>0</v>
      </c>
      <c r="BI62" s="32">
        <f>'Data_Raw++ (2018)'!BI63/100</f>
        <v>0</v>
      </c>
      <c r="BJ62" s="32">
        <f>'Data_Raw++ (2018)'!BJ63/100</f>
        <v>0</v>
      </c>
      <c r="BK62" s="32">
        <f>'Data_Raw++ (2018)'!BK63/100</f>
        <v>0</v>
      </c>
      <c r="BL62" s="32">
        <f>'Data_Raw++ (2018)'!BL63/100</f>
        <v>0</v>
      </c>
      <c r="BM62" s="32">
        <f>'Data_Raw++ (2018)'!BM63/100</f>
        <v>0</v>
      </c>
      <c r="BN62" s="32">
        <f>'Data_Raw++ (2018)'!BN63/100</f>
        <v>0</v>
      </c>
      <c r="BO62" s="32">
        <f>'Data_Raw++ (2018)'!BO63/100</f>
        <v>0</v>
      </c>
    </row>
    <row r="63" spans="1:67" x14ac:dyDescent="0.2">
      <c r="A63" s="34" t="s">
        <v>161</v>
      </c>
      <c r="B63" s="32">
        <f>'Data_Raw++ (2018)'!B64/100</f>
        <v>3000</v>
      </c>
      <c r="C63" s="32">
        <f>'Data_Raw++ (2018)'!C64/100</f>
        <v>1838.7096774193549</v>
      </c>
      <c r="D63" s="32">
        <f>'Data_Raw++ (2018)'!D64/100</f>
        <v>2158.4852734922861</v>
      </c>
      <c r="E63" s="32">
        <f>'Data_Raw++ (2018)'!E64/100</f>
        <v>1695.952714886796</v>
      </c>
      <c r="F63" s="32">
        <f>'Data_Raw++ (2018)'!F64/100</f>
        <v>2158.4852734922861</v>
      </c>
      <c r="G63" s="32">
        <f>'Data_Raw++ (2018)'!G64/100</f>
        <v>1499.9643425963345</v>
      </c>
      <c r="H63" s="32">
        <f>'Data_Raw++ (2018)'!H64/100</f>
        <v>880.93143930260908</v>
      </c>
      <c r="I63" s="32">
        <f>'Data_Raw++ (2018)'!I64/100</f>
        <v>377.54204541540389</v>
      </c>
      <c r="J63" s="32">
        <f>'Data_Raw++ (2018)'!J64/100</f>
        <v>701.14951291432169</v>
      </c>
      <c r="K63" s="32">
        <f>'Data_Raw++ (2018)'!K64/100</f>
        <v>429.73679823781009</v>
      </c>
      <c r="L63" s="32">
        <f>'Data_Raw++ (2018)'!L64/100</f>
        <v>221.37956272856883</v>
      </c>
      <c r="M63" s="32">
        <f>'Data_Raw++ (2018)'!M64/100</f>
        <v>204.35036559560194</v>
      </c>
      <c r="N63" s="32">
        <f>'Data_Raw++ (2018)'!N64/100</f>
        <v>196.33662576832342</v>
      </c>
      <c r="O63" s="32">
        <f>'Data_Raw++ (2018)'!O64/100</f>
        <v>204.35036559560197</v>
      </c>
      <c r="P63" s="32">
        <f>'Data_Raw++ (2018)'!P64/100</f>
        <v>75.581642069606218</v>
      </c>
      <c r="Q63" s="32">
        <f>'Data_Raw++ (2018)'!Q64/100</f>
        <v>104.37464857231333</v>
      </c>
      <c r="R63" s="32">
        <f>'Data_Raw++ (2018)'!R64/100</f>
        <v>58.710739821926239</v>
      </c>
      <c r="S63" s="32">
        <f>'Data_Raw++ (2018)'!S64/100</f>
        <v>42.514673664153477</v>
      </c>
      <c r="T63" s="32">
        <f>'Data_Raw++ (2018)'!T64/100</f>
        <v>33.404386450406307</v>
      </c>
      <c r="U63" s="32">
        <f>'Data_Raw++ (2018)'!U64/100</f>
        <v>25.199800304692481</v>
      </c>
      <c r="V63" s="32">
        <f>'Data_Raw++ (2018)'!V64/100</f>
        <v>26.22836358243503</v>
      </c>
      <c r="W63" s="32">
        <f>'Data_Raw++ (2018)'!W64/100</f>
        <v>10.712993575924168</v>
      </c>
      <c r="X63" s="32">
        <f>'Data_Raw++ (2018)'!X64/100</f>
        <v>9.1258834165279943</v>
      </c>
      <c r="Y63" s="32">
        <f>'Data_Raw++ (2018)'!Y64/100</f>
        <v>16.94806920212342</v>
      </c>
      <c r="Z63" s="32">
        <f>'Data_Raw++ (2018)'!Z64/100</f>
        <v>11.298712801415613</v>
      </c>
      <c r="AA63" s="32">
        <f>'Data_Raw++ (2018)'!AA64/100</f>
        <v>10.855626024889512</v>
      </c>
      <c r="AB63" s="32">
        <f>'Data_Raw++ (2018)'!AB64/100</f>
        <v>2.5575854914639691</v>
      </c>
      <c r="AC63" s="32">
        <f>'Data_Raw++ (2018)'!AC64/100</f>
        <v>1.5675523979940453</v>
      </c>
      <c r="AD63" s="32">
        <f>'Data_Raw++ (2018)'!AD64/100</f>
        <v>1.0450349319960304</v>
      </c>
      <c r="AE63" s="32">
        <f>'Data_Raw++ (2018)'!AE64/100</f>
        <v>1.4431434775183276</v>
      </c>
      <c r="AF63" s="32">
        <f>'Data_Raw++ (2018)'!AF64/100</f>
        <v>0.77707725712525333</v>
      </c>
      <c r="AG63" s="32">
        <f>'Data_Raw++ (2018)'!AG64/100</f>
        <v>0.61056070202698476</v>
      </c>
      <c r="AH63" s="32">
        <f>'Data_Raw++ (2018)'!AH64/100</f>
        <v>0.37421462382299064</v>
      </c>
      <c r="AI63" s="32">
        <f>'Data_Raw++ (2018)'!AI64/100</f>
        <v>0.66527044235198329</v>
      </c>
      <c r="AJ63" s="32">
        <f>'Data_Raw++ (2018)'!AJ64/100</f>
        <v>0.29888961902770267</v>
      </c>
      <c r="AK63" s="32">
        <f>'Data_Raw++ (2018)'!AK64/100</f>
        <v>0.69740911106463954</v>
      </c>
      <c r="AL63" s="32">
        <f>'Data_Raw++ (2018)'!AL64/100</f>
        <v>0.27121465430291541</v>
      </c>
      <c r="AM63" s="32">
        <f>'Data_Raw++ (2018)'!AM64/100</f>
        <v>0.46179792489415328</v>
      </c>
      <c r="AN63" s="32">
        <f>'Data_Raw++ (2018)'!AN64/100</f>
        <v>0.66453847728670834</v>
      </c>
      <c r="AO63" s="32">
        <f>'Data_Raw++ (2018)'!AO64/100</f>
        <v>0.20985425598527629</v>
      </c>
      <c r="AP63" s="32">
        <f>'Data_Raw++ (2018)'!AP64/100</f>
        <v>0.18609717040203744</v>
      </c>
      <c r="AQ63" s="32">
        <f>'Data_Raw++ (2018)'!AQ64/100</f>
        <v>8.360887365888639E-2</v>
      </c>
      <c r="AR63" s="32">
        <f>'Data_Raw++ (2018)'!AR64/100</f>
        <v>0.29643146115423358</v>
      </c>
      <c r="AS63" s="32">
        <f>'Data_Raw++ (2018)'!AS64/100</f>
        <v>0.1816837987719496</v>
      </c>
      <c r="AT63" s="32">
        <f>'Data_Raw++ (2018)'!AT64/100</f>
        <v>7.7864485187978394E-2</v>
      </c>
      <c r="AU63" s="32">
        <f>'Data_Raw++ (2018)'!AU64/100</f>
        <v>0.26067675475975371</v>
      </c>
      <c r="AV63" s="32">
        <f>'Data_Raw++ (2018)'!AV64/100</f>
        <v>7.786448518797838E-2</v>
      </c>
      <c r="AW63" s="32">
        <f>'Data_Raw++ (2018)'!AW64/100</f>
        <v>8.1042627440548923E-2</v>
      </c>
      <c r="AX63" s="32">
        <f>'Data_Raw++ (2018)'!AX64/100</f>
        <v>0</v>
      </c>
      <c r="AY63" s="32">
        <f>'Data_Raw++ (2018)'!AY64/100</f>
        <v>9.0618883266369327E-2</v>
      </c>
      <c r="AZ63" s="32">
        <f>'Data_Raw++ (2018)'!AZ64/100</f>
        <v>0</v>
      </c>
      <c r="BA63" s="32">
        <f>'Data_Raw++ (2018)'!BA64/100</f>
        <v>0</v>
      </c>
      <c r="BB63" s="32">
        <f>'Data_Raw++ (2018)'!BB64/100</f>
        <v>5.0019025172117829E-2</v>
      </c>
      <c r="BC63" s="32">
        <f>'Data_Raw++ (2018)'!BC64/100</f>
        <v>0</v>
      </c>
      <c r="BD63" s="32">
        <f>'Data_Raw++ (2018)'!BD64/100</f>
        <v>5.0019025172117829E-2</v>
      </c>
      <c r="BE63" s="32">
        <f>'Data_Raw++ (2018)'!BE64/100</f>
        <v>4.0924656959005497E-2</v>
      </c>
      <c r="BF63" s="32">
        <f>'Data_Raw++ (2018)'!BF64/100</f>
        <v>0</v>
      </c>
      <c r="BG63" s="32">
        <f>'Data_Raw++ (2018)'!BG64/100</f>
        <v>0</v>
      </c>
      <c r="BH63" s="32">
        <f>'Data_Raw++ (2018)'!BH64/100</f>
        <v>0</v>
      </c>
      <c r="BI63" s="32">
        <f>'Data_Raw++ (2018)'!BI64/100</f>
        <v>0</v>
      </c>
      <c r="BJ63" s="32">
        <f>'Data_Raw++ (2018)'!BJ64/100</f>
        <v>0</v>
      </c>
      <c r="BK63" s="32">
        <f>'Data_Raw++ (2018)'!BK64/100</f>
        <v>0</v>
      </c>
      <c r="BL63" s="32">
        <f>'Data_Raw++ (2018)'!BL64/100</f>
        <v>0</v>
      </c>
      <c r="BM63" s="32">
        <f>'Data_Raw++ (2018)'!BM64/100</f>
        <v>0</v>
      </c>
      <c r="BN63" s="32">
        <f>'Data_Raw++ (2018)'!BN64/100</f>
        <v>0</v>
      </c>
      <c r="BO63" s="32">
        <f>'Data_Raw++ (2018)'!BO64/100</f>
        <v>0</v>
      </c>
    </row>
    <row r="64" spans="1:67" x14ac:dyDescent="0.2">
      <c r="A64" s="34" t="s">
        <v>177</v>
      </c>
      <c r="B64" s="32">
        <f>'Data_Raw++ (2018)'!B65/100</f>
        <v>3000</v>
      </c>
      <c r="C64" s="32">
        <f>'Data_Raw++ (2018)'!C65/100</f>
        <v>1687.5</v>
      </c>
      <c r="D64" s="32">
        <f>'Data_Raw++ (2018)'!D65/100</f>
        <v>2639.4230769230767</v>
      </c>
      <c r="E64" s="32">
        <f>'Data_Raw++ (2018)'!E65/100</f>
        <v>2073.8324175824177</v>
      </c>
      <c r="F64" s="32">
        <f>'Data_Raw++ (2018)'!F65/100</f>
        <v>1564.4700694042799</v>
      </c>
      <c r="G64" s="32">
        <f>'Data_Raw++ (2018)'!G65/100</f>
        <v>1280.020965876229</v>
      </c>
      <c r="H64" s="32">
        <f>'Data_Raw++ (2018)'!H65/100</f>
        <v>689.24205854873856</v>
      </c>
      <c r="I64" s="32">
        <f>'Data_Raw++ (2018)'!I65/100</f>
        <v>991.8361330335506</v>
      </c>
      <c r="J64" s="32">
        <f>'Data_Raw++ (2018)'!J65/100</f>
        <v>748.22725825338023</v>
      </c>
      <c r="K64" s="32">
        <f>'Data_Raw++ (2018)'!K65/100</f>
        <v>718.88501283167909</v>
      </c>
      <c r="L64" s="32">
        <f>'Data_Raw++ (2018)'!L65/100</f>
        <v>265.88897734870324</v>
      </c>
      <c r="M64" s="32">
        <f>'Data_Raw++ (2018)'!M65/100</f>
        <v>136.97310954327133</v>
      </c>
      <c r="N64" s="32">
        <f>'Data_Raw++ (2018)'!N65/100</f>
        <v>233.22448381692149</v>
      </c>
      <c r="O64" s="32">
        <f>'Data_Raw++ (2018)'!O65/100</f>
        <v>349.83672572538222</v>
      </c>
      <c r="P64" s="32">
        <f>'Data_Raw++ (2018)'!P65/100</f>
        <v>157.17302170270796</v>
      </c>
      <c r="Q64" s="32">
        <f>'Data_Raw++ (2018)'!Q65/100</f>
        <v>70.61396627223111</v>
      </c>
      <c r="R64" s="32">
        <f>'Data_Raw++ (2018)'!R65/100</f>
        <v>39.720356028129999</v>
      </c>
      <c r="S64" s="32">
        <f>'Data_Raw++ (2018)'!S65/100</f>
        <v>35.223711949473774</v>
      </c>
      <c r="T64" s="32">
        <f>'Data_Raw++ (2018)'!T65/100</f>
        <v>36.661414478023723</v>
      </c>
      <c r="U64" s="32">
        <f>'Data_Raw++ (2018)'!U65/100</f>
        <v>16.4710702727353</v>
      </c>
      <c r="V64" s="32">
        <f>'Data_Raw++ (2018)'!V65/100</f>
        <v>52.15838919699511</v>
      </c>
      <c r="W64" s="32">
        <f>'Data_Raw++ (2018)'!W65/100</f>
        <v>92.726025239102441</v>
      </c>
      <c r="X64" s="32">
        <f>'Data_Raw++ (2018)'!X65/100</f>
        <v>15.094934341249234</v>
      </c>
      <c r="Y64" s="32">
        <f>'Data_Raw++ (2018)'!Y65/100</f>
        <v>13.933785545768522</v>
      </c>
      <c r="Z64" s="32">
        <f>'Data_Raw++ (2018)'!Z65/100</f>
        <v>10.511452253825377</v>
      </c>
      <c r="AA64" s="32">
        <f>'Data_Raw++ (2018)'!AA65/100</f>
        <v>10.511452253825377</v>
      </c>
      <c r="AB64" s="32">
        <f>'Data_Raw++ (2018)'!AB65/100</f>
        <v>2.4502195203666957</v>
      </c>
      <c r="AC64" s="32">
        <f>'Data_Raw++ (2018)'!AC65/100</f>
        <v>1.5017474479666841</v>
      </c>
      <c r="AD64" s="32">
        <f>'Data_Raw++ (2018)'!AD65/100</f>
        <v>1.6934598881326444</v>
      </c>
      <c r="AE64" s="32">
        <f>'Data_Raw++ (2018)'!AE65/100</f>
        <v>1.8345815454770311</v>
      </c>
      <c r="AF64" s="32">
        <f>'Data_Raw++ (2018)'!AF65/100</f>
        <v>1.0319521193308301</v>
      </c>
      <c r="AG64" s="32">
        <f>'Data_Raw++ (2018)'!AG65/100</f>
        <v>0.74727567261887684</v>
      </c>
      <c r="AH64" s="32">
        <f>'Data_Raw++ (2018)'!AH65/100</f>
        <v>1.8295369915841468</v>
      </c>
      <c r="AI64" s="32">
        <f>'Data_Raw++ (2018)'!AI65/100</f>
        <v>0</v>
      </c>
      <c r="AJ64" s="32">
        <f>'Data_Raw++ (2018)'!AJ65/100</f>
        <v>0.3175237290248708</v>
      </c>
      <c r="AK64" s="32">
        <f>'Data_Raw++ (2018)'!AK65/100</f>
        <v>7.5028076015676639</v>
      </c>
      <c r="AL64" s="32">
        <f>'Data_Raw++ (2018)'!AL65/100</f>
        <v>31.985653459314779</v>
      </c>
      <c r="AM64" s="32">
        <f>'Data_Raw++ (2018)'!AM65/100</f>
        <v>3.5539614954794208</v>
      </c>
      <c r="AN64" s="32">
        <f>'Data_Raw++ (2018)'!AN65/100</f>
        <v>4.5232237215192637</v>
      </c>
      <c r="AO64" s="32">
        <f>'Data_Raw++ (2018)'!AO65/100</f>
        <v>0</v>
      </c>
      <c r="AP64" s="32">
        <f>'Data_Raw++ (2018)'!AP65/100</f>
        <v>0</v>
      </c>
      <c r="AQ64" s="32">
        <f>'Data_Raw++ (2018)'!AQ65/100</f>
        <v>0</v>
      </c>
      <c r="AR64" s="32">
        <f>'Data_Raw++ (2018)'!AR65/100</f>
        <v>2.465649294107187</v>
      </c>
      <c r="AS64" s="32">
        <f>'Data_Raw++ (2018)'!AS65/100</f>
        <v>3.1380991015909658</v>
      </c>
      <c r="AT64" s="32">
        <f>'Data_Raw++ (2018)'!AT65/100</f>
        <v>0</v>
      </c>
      <c r="AU64" s="32">
        <f>'Data_Raw++ (2018)'!AU65/100</f>
        <v>1.8475139144233612</v>
      </c>
      <c r="AV64" s="32">
        <f>'Data_Raw++ (2018)'!AV65/100</f>
        <v>0</v>
      </c>
      <c r="AW64" s="32">
        <f>'Data_Raw++ (2018)'!AW65/100</f>
        <v>2.5443133433545855</v>
      </c>
      <c r="AX64" s="32">
        <f>'Data_Raw++ (2018)'!AX65/100</f>
        <v>0</v>
      </c>
      <c r="AY64" s="32">
        <f>'Data_Raw++ (2018)'!AY65/100</f>
        <v>0</v>
      </c>
      <c r="AZ64" s="32">
        <f>'Data_Raw++ (2018)'!AZ65/100</f>
        <v>0</v>
      </c>
      <c r="BA64" s="32">
        <f>'Data_Raw++ (2018)'!BA65/100</f>
        <v>0</v>
      </c>
      <c r="BB64" s="32">
        <f>'Data_Raw++ (2018)'!BB65/100</f>
        <v>0.50258041350214033</v>
      </c>
      <c r="BC64" s="32">
        <f>'Data_Raw++ (2018)'!BC65/100</f>
        <v>0</v>
      </c>
      <c r="BD64" s="32">
        <f>'Data_Raw++ (2018)'!BD65/100</f>
        <v>0</v>
      </c>
      <c r="BE64" s="32">
        <f>'Data_Raw++ (2018)'!BE65/100</f>
        <v>0</v>
      </c>
      <c r="BF64" s="32">
        <f>'Data_Raw++ (2018)'!BF65/100</f>
        <v>0</v>
      </c>
      <c r="BG64" s="32">
        <f>'Data_Raw++ (2018)'!BG65/100</f>
        <v>0</v>
      </c>
      <c r="BH64" s="32">
        <f>'Data_Raw++ (2018)'!BH65/100</f>
        <v>0</v>
      </c>
      <c r="BI64" s="32">
        <f>'Data_Raw++ (2018)'!BI65/100</f>
        <v>0</v>
      </c>
      <c r="BJ64" s="32">
        <f>'Data_Raw++ (2018)'!BJ65/100</f>
        <v>0</v>
      </c>
      <c r="BK64" s="32">
        <f>'Data_Raw++ (2018)'!BK65/100</f>
        <v>0</v>
      </c>
      <c r="BL64" s="32">
        <f>'Data_Raw++ (2018)'!BL65/100</f>
        <v>0</v>
      </c>
      <c r="BM64" s="32">
        <f>'Data_Raw++ (2018)'!BM65/100</f>
        <v>0</v>
      </c>
      <c r="BN64" s="32">
        <f>'Data_Raw++ (2018)'!BN65/100</f>
        <v>0</v>
      </c>
      <c r="BO64" s="32">
        <f>'Data_Raw++ (2018)'!BO65/100</f>
        <v>0</v>
      </c>
    </row>
    <row r="65" spans="1:67" x14ac:dyDescent="0.2">
      <c r="A65" s="34" t="s">
        <v>178</v>
      </c>
      <c r="B65" s="32">
        <f>'Data_Raw++ (2018)'!B66/100</f>
        <v>3000</v>
      </c>
      <c r="C65" s="32">
        <f>'Data_Raw++ (2018)'!C66/100</f>
        <v>1615.384615384615</v>
      </c>
      <c r="D65" s="32">
        <f>'Data_Raw++ (2018)'!D66/100</f>
        <v>1615.384615384615</v>
      </c>
      <c r="E65" s="32">
        <f>'Data_Raw++ (2018)'!E66/100</f>
        <v>1974.3589743589741</v>
      </c>
      <c r="F65" s="32">
        <f>'Data_Raw++ (2018)'!F66/100</f>
        <v>1159.5441595441594</v>
      </c>
      <c r="G65" s="32">
        <f>'Data_Raw++ (2018)'!G66/100</f>
        <v>874.74383965612026</v>
      </c>
      <c r="H65" s="32">
        <f>'Data_Raw++ (2018)'!H66/100</f>
        <v>775.71623516674811</v>
      </c>
      <c r="I65" s="32">
        <f>'Data_Raw++ (2018)'!I66/100</f>
        <v>495.94972412300291</v>
      </c>
      <c r="J65" s="32">
        <f>'Data_Raw++ (2018)'!J66/100</f>
        <v>303.96918575280824</v>
      </c>
      <c r="K65" s="32">
        <f>'Data_Raw++ (2018)'!K66/100</f>
        <v>258.93671378942918</v>
      </c>
      <c r="L65" s="32">
        <f>'Data_Raw++ (2018)'!L66/100</f>
        <v>220.5757191539582</v>
      </c>
      <c r="M65" s="32">
        <f>'Data_Raw++ (2018)'!M66/100</f>
        <v>147.05047943597216</v>
      </c>
      <c r="N65" s="32">
        <f>'Data_Raw++ (2018)'!N66/100</f>
        <v>106.48482993639364</v>
      </c>
      <c r="O65" s="32">
        <f>'Data_Raw++ (2018)'!O66/100</f>
        <v>125.00393079489687</v>
      </c>
      <c r="P65" s="32">
        <f>'Data_Raw++ (2018)'!P66/100</f>
        <v>64.395964348886267</v>
      </c>
      <c r="Q65" s="32">
        <f>'Data_Raw++ (2018)'!Q66/100</f>
        <v>109.64718253999555</v>
      </c>
      <c r="R65" s="32">
        <f>'Data_Raw++ (2018)'!R66/100</f>
        <v>82.716295600347536</v>
      </c>
      <c r="S65" s="32">
        <f>'Data_Raw++ (2018)'!S66/100</f>
        <v>62.400012470437616</v>
      </c>
      <c r="T65" s="32">
        <f>'Data_Raw++ (2018)'!T66/100</f>
        <v>21.924328705829431</v>
      </c>
      <c r="U65" s="32">
        <f>'Data_Raw++ (2018)'!U66/100</f>
        <v>21.924328705829431</v>
      </c>
      <c r="V65" s="32">
        <f>'Data_Raw++ (2018)'!V66/100</f>
        <v>12.332434897029053</v>
      </c>
      <c r="W65" s="32">
        <f>'Data_Raw++ (2018)'!W66/100</f>
        <v>41.28684726396682</v>
      </c>
      <c r="X65" s="32">
        <f>'Data_Raw++ (2018)'!X66/100</f>
        <v>10.321711815991705</v>
      </c>
      <c r="Y65" s="32">
        <f>'Data_Raw++ (2018)'!Y66/100</f>
        <v>27.906850465459051</v>
      </c>
      <c r="Z65" s="32">
        <f>'Data_Raw++ (2018)'!Z66/100</f>
        <v>14.376256300387995</v>
      </c>
      <c r="AA65" s="32">
        <f>'Data_Raw++ (2018)'!AA66/100</f>
        <v>8.811253861528126</v>
      </c>
      <c r="AB65" s="32">
        <f>'Data_Raw++ (2018)'!AB66/100</f>
        <v>2.11470092676675</v>
      </c>
      <c r="AC65" s="32">
        <f>'Data_Raw++ (2018)'!AC66/100</f>
        <v>1.4098006178445004</v>
      </c>
      <c r="AD65" s="32">
        <f>'Data_Raw++ (2018)'!AD66/100</f>
        <v>1.020890102577052</v>
      </c>
      <c r="AE65" s="32">
        <f>'Data_Raw++ (2018)'!AE66/100</f>
        <v>1.4690857573669771</v>
      </c>
      <c r="AF65" s="32">
        <f>'Data_Raw++ (2018)'!AF66/100</f>
        <v>0.75680175379510939</v>
      </c>
      <c r="AG65" s="32">
        <f>'Data_Raw++ (2018)'!AG66/100</f>
        <v>0.54802885619645858</v>
      </c>
      <c r="AH65" s="32">
        <f>'Data_Raw++ (2018)'!AH66/100</f>
        <v>1.4817076482348694</v>
      </c>
      <c r="AI65" s="32">
        <f>'Data_Raw++ (2018)'!AI66/100</f>
        <v>0.72979630435448783</v>
      </c>
      <c r="AJ65" s="32">
        <f>'Data_Raw++ (2018)'!AJ66/100</f>
        <v>0.50714658438193216</v>
      </c>
      <c r="AK65" s="32">
        <f>'Data_Raw++ (2018)'!AK66/100</f>
        <v>0.36724407834553707</v>
      </c>
      <c r="AL65" s="32">
        <f>'Data_Raw++ (2018)'!AL66/100</f>
        <v>0.21568303013944243</v>
      </c>
      <c r="AM65" s="32">
        <f>'Data_Raw++ (2018)'!AM66/100</f>
        <v>0.33735038047451249</v>
      </c>
      <c r="AN65" s="32">
        <f>'Data_Raw++ (2018)'!AN66/100</f>
        <v>0.11245012682483749</v>
      </c>
      <c r="AO65" s="32">
        <f>'Data_Raw++ (2018)'!AO66/100</f>
        <v>0.51227279997981523</v>
      </c>
      <c r="AP65" s="32">
        <f>'Data_Raw++ (2018)'!AP66/100</f>
        <v>0.26389810908051087</v>
      </c>
      <c r="AQ65" s="32">
        <f>'Data_Raw++ (2018)'!AQ66/100</f>
        <v>8.3336244972792906E-2</v>
      </c>
      <c r="AR65" s="32">
        <f>'Data_Raw++ (2018)'!AR66/100</f>
        <v>0.19445123826985011</v>
      </c>
      <c r="AS65" s="32">
        <f>'Data_Raw++ (2018)'!AS66/100</f>
        <v>0.18682569951416972</v>
      </c>
      <c r="AT65" s="32">
        <f>'Data_Raw++ (2018)'!AT66/100</f>
        <v>3.0413485967422983E-2</v>
      </c>
      <c r="AU65" s="32">
        <f>'Data_Raw++ (2018)'!AU66/100</f>
        <v>9.1240457902268937E-2</v>
      </c>
      <c r="AV65" s="32">
        <f>'Data_Raw++ (2018)'!AV66/100</f>
        <v>4.4939330011565304E-2</v>
      </c>
      <c r="AW65" s="32">
        <f>'Data_Raw++ (2018)'!AW66/100</f>
        <v>8.345875573576414E-2</v>
      </c>
      <c r="AX65" s="32">
        <f>'Data_Raw++ (2018)'!AX66/100</f>
        <v>2.2185238866468948E-2</v>
      </c>
      <c r="AY65" s="32">
        <f>'Data_Raw++ (2018)'!AY66/100</f>
        <v>2.2185238866468948E-2</v>
      </c>
      <c r="AZ65" s="32">
        <f>'Data_Raw++ (2018)'!AZ66/100</f>
        <v>0</v>
      </c>
      <c r="BA65" s="32">
        <f>'Data_Raw++ (2018)'!BA66/100</f>
        <v>0</v>
      </c>
      <c r="BB65" s="32">
        <f>'Data_Raw++ (2018)'!BB66/100</f>
        <v>1.3898330281721487E-2</v>
      </c>
      <c r="BC65" s="32">
        <f>'Data_Raw++ (2018)'!BC66/100</f>
        <v>0</v>
      </c>
      <c r="BD65" s="32">
        <f>'Data_Raw++ (2018)'!BD66/100</f>
        <v>1.9844140027912498E-2</v>
      </c>
      <c r="BE65" s="32">
        <f>'Data_Raw++ (2018)'!BE66/100</f>
        <v>5.9532420083737492E-2</v>
      </c>
      <c r="BF65" s="32">
        <f>'Data_Raw++ (2018)'!BF66/100</f>
        <v>0</v>
      </c>
      <c r="BG65" s="32">
        <f>'Data_Raw++ (2018)'!BG66/100</f>
        <v>0</v>
      </c>
      <c r="BH65" s="32">
        <f>'Data_Raw++ (2018)'!BH66/100</f>
        <v>0</v>
      </c>
      <c r="BI65" s="32">
        <f>'Data_Raw++ (2018)'!BI66/100</f>
        <v>2.8112531706209372E-2</v>
      </c>
      <c r="BJ65" s="32">
        <f>'Data_Raw++ (2018)'!BJ66/100</f>
        <v>0</v>
      </c>
      <c r="BK65" s="32">
        <f>'Data_Raw++ (2018)'!BK66/100</f>
        <v>0</v>
      </c>
      <c r="BL65" s="32">
        <f>'Data_Raw++ (2018)'!BL66/100</f>
        <v>1.533410820338693E-2</v>
      </c>
      <c r="BM65" s="32">
        <f>'Data_Raw++ (2018)'!BM66/100</f>
        <v>0</v>
      </c>
      <c r="BN65" s="32">
        <f>'Data_Raw++ (2018)'!BN66/100</f>
        <v>0</v>
      </c>
      <c r="BO65" s="32">
        <f>'Data_Raw++ (2018)'!BO66/100</f>
        <v>0</v>
      </c>
    </row>
    <row r="66" spans="1:67" x14ac:dyDescent="0.2">
      <c r="A66" s="34" t="s">
        <v>184</v>
      </c>
      <c r="B66" s="32">
        <f>'Data_Raw++ (2018)'!B67/100</f>
        <v>3000</v>
      </c>
      <c r="C66" s="32">
        <f>'Data_Raw++ (2018)'!C67/100</f>
        <v>1545.4545454545455</v>
      </c>
      <c r="D66" s="32">
        <f>'Data_Raw++ (2018)'!D67/100</f>
        <v>1316.4983164983166</v>
      </c>
      <c r="E66" s="32">
        <f>'Data_Raw++ (2018)'!E67/100</f>
        <v>2340.4414515525632</v>
      </c>
      <c r="F66" s="32">
        <f>'Data_Raw++ (2018)'!F67/100</f>
        <v>2160.4074937408272</v>
      </c>
      <c r="G66" s="32">
        <f>'Data_Raw++ (2018)'!G67/100</f>
        <v>799.05482645208667</v>
      </c>
      <c r="H66" s="32">
        <f>'Data_Raw++ (2018)'!H67/100</f>
        <v>767.71934306180879</v>
      </c>
      <c r="I66" s="32">
        <f>'Data_Raw++ (2018)'!I67/100</f>
        <v>283.95098989957313</v>
      </c>
      <c r="J66" s="32">
        <f>'Data_Raw++ (2018)'!J67/100</f>
        <v>307.61357239120423</v>
      </c>
      <c r="K66" s="32">
        <f>'Data_Raw++ (2018)'!K67/100</f>
        <v>501.89582863828059</v>
      </c>
      <c r="L66" s="32">
        <f>'Data_Raw++ (2018)'!L67/100</f>
        <v>176.34177762966613</v>
      </c>
      <c r="M66" s="32">
        <f>'Data_Raw++ (2018)'!M67/100</f>
        <v>264.51266644449913</v>
      </c>
      <c r="N66" s="32">
        <f>'Data_Raw++ (2018)'!N67/100</f>
        <v>124.47654891505843</v>
      </c>
      <c r="O66" s="32">
        <f>'Data_Raw++ (2018)'!O67/100</f>
        <v>216.5362249661512</v>
      </c>
      <c r="P66" s="32">
        <f>'Data_Raw++ (2018)'!P67/100</f>
        <v>101.89939998407115</v>
      </c>
      <c r="Q66" s="32">
        <f>'Data_Raw++ (2018)'!Q67/100</f>
        <v>106.05855916709449</v>
      </c>
      <c r="R66" s="32">
        <f>'Data_Raw++ (2018)'!R67/100</f>
        <v>83.331725059859949</v>
      </c>
      <c r="S66" s="32">
        <f>'Data_Raw++ (2018)'!S67/100</f>
        <v>70.986284310251051</v>
      </c>
      <c r="T66" s="32">
        <f>'Data_Raw++ (2018)'!T67/100</f>
        <v>33.625082041697873</v>
      </c>
      <c r="U66" s="32">
        <f>'Data_Raw++ (2018)'!U67/100</f>
        <v>26.762904209299585</v>
      </c>
      <c r="V66" s="32">
        <f>'Data_Raw++ (2018)'!V67/100</f>
        <v>21.896921625790569</v>
      </c>
      <c r="W66" s="32">
        <f>'Data_Raw++ (2018)'!W67/100</f>
        <v>10.106271519595648</v>
      </c>
      <c r="X66" s="32">
        <f>'Data_Raw++ (2018)'!X67/100</f>
        <v>18.829236953578366</v>
      </c>
      <c r="Y66" s="32">
        <f>'Data_Raw++ (2018)'!Y67/100</f>
        <v>14.794400463525855</v>
      </c>
      <c r="Z66" s="32">
        <f>'Data_Raw++ (2018)'!Z67/100</f>
        <v>30.037116092613104</v>
      </c>
      <c r="AA66" s="32">
        <f>'Data_Raw++ (2018)'!AA67/100</f>
        <v>12.873049753977046</v>
      </c>
      <c r="AB66" s="32">
        <f>'Data_Raw++ (2018)'!AB67/100</f>
        <v>3.2131132185926701</v>
      </c>
      <c r="AC66" s="32">
        <f>'Data_Raw++ (2018)'!AC67/100</f>
        <v>5.7122012774980808</v>
      </c>
      <c r="AD66" s="32">
        <f>'Data_Raw++ (2018)'!AD67/100</f>
        <v>3.712930830373752</v>
      </c>
      <c r="AE66" s="32">
        <f>'Data_Raw++ (2018)'!AE67/100</f>
        <v>4.6237482901699396</v>
      </c>
      <c r="AF66" s="32">
        <f>'Data_Raw++ (2018)'!AF67/100</f>
        <v>8.2303104984443411</v>
      </c>
      <c r="AG66" s="32">
        <f>'Data_Raw++ (2018)'!AG67/100</f>
        <v>14.794400463525855</v>
      </c>
      <c r="AH66" s="32">
        <f>'Data_Raw++ (2018)'!AH67/100</f>
        <v>13.119562675202172</v>
      </c>
      <c r="AI66" s="32">
        <f>'Data_Raw++ (2018)'!AI67/100</f>
        <v>6.7585625902556634</v>
      </c>
      <c r="AJ66" s="32">
        <f>'Data_Raw++ (2018)'!AJ67/100</f>
        <v>6.7585625902556634</v>
      </c>
      <c r="AK66" s="32">
        <f>'Data_Raw++ (2018)'!AK67/100</f>
        <v>7.0344222878171205</v>
      </c>
      <c r="AL66" s="32">
        <f>'Data_Raw++ (2018)'!AL67/100</f>
        <v>7.93243364370867</v>
      </c>
      <c r="AM66" s="32">
        <f>'Data_Raw++ (2018)'!AM67/100</f>
        <v>10.515086457939399</v>
      </c>
      <c r="AN66" s="32">
        <f>'Data_Raw++ (2018)'!AN67/100</f>
        <v>0.85354731732729949</v>
      </c>
      <c r="AO66" s="32">
        <f>'Data_Raw++ (2018)'!AO67/100</f>
        <v>5.4168627207566598</v>
      </c>
      <c r="AP66" s="32">
        <f>'Data_Raw++ (2018)'!AP67/100</f>
        <v>0</v>
      </c>
      <c r="AQ66" s="32">
        <f>'Data_Raw++ (2018)'!AQ67/100</f>
        <v>0</v>
      </c>
      <c r="AR66" s="32">
        <f>'Data_Raw++ (2018)'!AR67/100</f>
        <v>0</v>
      </c>
      <c r="AS66" s="32">
        <f>'Data_Raw++ (2018)'!AS67/100</f>
        <v>3.4219499346014923</v>
      </c>
      <c r="AT66" s="32">
        <f>'Data_Raw++ (2018)'!AT67/100</f>
        <v>1.3307583079005807</v>
      </c>
      <c r="AU66" s="32">
        <f>'Data_Raw++ (2018)'!AU67/100</f>
        <v>0</v>
      </c>
      <c r="AV66" s="32">
        <f>'Data_Raw++ (2018)'!AV67/100</f>
        <v>5.4168627207566598</v>
      </c>
      <c r="AW66" s="32">
        <f>'Data_Raw++ (2018)'!AW67/100</f>
        <v>6.6206099920359183</v>
      </c>
      <c r="AX66" s="32">
        <f>'Data_Raw++ (2018)'!AX67/100</f>
        <v>7.7720204254334693</v>
      </c>
      <c r="AY66" s="32">
        <f>'Data_Raw++ (2018)'!AY67/100</f>
        <v>0</v>
      </c>
      <c r="AZ66" s="32">
        <f>'Data_Raw++ (2018)'!AZ67/100</f>
        <v>3.1813320740951814</v>
      </c>
      <c r="BA66" s="32">
        <f>'Data_Raw++ (2018)'!BA67/100</f>
        <v>0</v>
      </c>
      <c r="BB66" s="32">
        <f>'Data_Raw++ (2018)'!BB67/100</f>
        <v>3.9225557633065473</v>
      </c>
      <c r="BC66" s="32">
        <f>'Data_Raw++ (2018)'!BC67/100</f>
        <v>0</v>
      </c>
      <c r="BD66" s="32">
        <f>'Data_Raw++ (2018)'!BD67/100</f>
        <v>0</v>
      </c>
      <c r="BE66" s="32">
        <f>'Data_Raw++ (2018)'!BE67/100</f>
        <v>0</v>
      </c>
      <c r="BF66" s="32">
        <f>'Data_Raw++ (2018)'!BF67/100</f>
        <v>0</v>
      </c>
      <c r="BG66" s="32">
        <f>'Data_Raw++ (2018)'!BG67/100</f>
        <v>0</v>
      </c>
      <c r="BH66" s="32">
        <f>'Data_Raw++ (2018)'!BH67/100</f>
        <v>0</v>
      </c>
      <c r="BI66" s="32">
        <f>'Data_Raw++ (2018)'!BI67/100</f>
        <v>0</v>
      </c>
      <c r="BJ66" s="32">
        <f>'Data_Raw++ (2018)'!BJ67/100</f>
        <v>0</v>
      </c>
      <c r="BK66" s="32">
        <f>'Data_Raw++ (2018)'!BK67/100</f>
        <v>0</v>
      </c>
      <c r="BL66" s="32">
        <f>'Data_Raw++ (2018)'!BL67/100</f>
        <v>0</v>
      </c>
      <c r="BM66" s="32">
        <f>'Data_Raw++ (2018)'!BM67/100</f>
        <v>0</v>
      </c>
      <c r="BN66" s="32">
        <f>'Data_Raw++ (2018)'!BN67/100</f>
        <v>0</v>
      </c>
      <c r="BO66" s="32">
        <f>'Data_Raw++ (2018)'!BO67/100</f>
        <v>0</v>
      </c>
    </row>
    <row r="67" spans="1:67" x14ac:dyDescent="0.2">
      <c r="A67" s="34" t="s">
        <v>189</v>
      </c>
      <c r="B67" s="32">
        <f>'Data_Raw++ (2018)'!B68/100</f>
        <v>2000</v>
      </c>
      <c r="C67" s="32">
        <f>'Data_Raw++ (2018)'!C68/100</f>
        <v>1571.4285714285713</v>
      </c>
      <c r="D67" s="32">
        <f>'Data_Raw++ (2018)'!D68/100</f>
        <v>1920.6349206349207</v>
      </c>
      <c r="E67" s="32">
        <f>'Data_Raw++ (2018)'!E68/100</f>
        <v>1845.3159041394333</v>
      </c>
      <c r="F67" s="32">
        <f>'Data_Raw++ (2018)'!F68/100</f>
        <v>1999.0922294843861</v>
      </c>
      <c r="G67" s="32">
        <f>'Data_Raw++ (2018)'!G68/100</f>
        <v>984.62751601469756</v>
      </c>
      <c r="H67" s="32">
        <f>'Data_Raw++ (2018)'!H68/100</f>
        <v>656.41834400979849</v>
      </c>
      <c r="I67" s="32">
        <f>'Data_Raw++ (2018)'!I68/100</f>
        <v>802.28908712308703</v>
      </c>
      <c r="J67" s="32">
        <f>'Data_Raw++ (2018)'!J68/100</f>
        <v>835.03558047504976</v>
      </c>
      <c r="K67" s="32">
        <f>'Data_Raw++ (2018)'!K68/100</f>
        <v>375.16091296705133</v>
      </c>
      <c r="L67" s="32">
        <f>'Data_Raw++ (2018)'!L68/100</f>
        <v>176.54631198449471</v>
      </c>
      <c r="M67" s="32">
        <f>'Data_Raw++ (2018)'!M68/100</f>
        <v>243.80204988334984</v>
      </c>
      <c r="N67" s="32">
        <f>'Data_Raw++ (2018)'!N68/100</f>
        <v>125.59499539445295</v>
      </c>
      <c r="O67" s="32">
        <f>'Data_Raw++ (2018)'!O68/100</f>
        <v>180.7342616651884</v>
      </c>
      <c r="P67" s="32">
        <f>'Data_Raw++ (2018)'!P68/100</f>
        <v>101.66302218666846</v>
      </c>
      <c r="Q67" s="32">
        <f>'Data_Raw++ (2018)'!Q68/100</f>
        <v>97.676237002877528</v>
      </c>
      <c r="R67" s="32">
        <f>'Data_Raw++ (2018)'!R68/100</f>
        <v>62.448741690364329</v>
      </c>
      <c r="S67" s="32">
        <f>'Data_Raw++ (2018)'!S68/100</f>
        <v>79.480216696827341</v>
      </c>
      <c r="T67" s="32">
        <f>'Data_Raw++ (2018)'!T68/100</f>
        <v>17.446876835888929</v>
      </c>
      <c r="U67" s="32">
        <f>'Data_Raw++ (2018)'!U68/100</f>
        <v>40.709379283740837</v>
      </c>
      <c r="V67" s="32">
        <f>'Data_Raw++ (2018)'!V68/100</f>
        <v>58.581789700992914</v>
      </c>
      <c r="W67" s="32">
        <f>'Data_Raw++ (2018)'!W68/100</f>
        <v>6.5090877445547672</v>
      </c>
      <c r="X67" s="32">
        <f>'Data_Raw++ (2018)'!X68/100</f>
        <v>12.088305811315998</v>
      </c>
      <c r="Y67" s="32">
        <f>'Data_Raw++ (2018)'!Y68/100</f>
        <v>14.190619865457911</v>
      </c>
      <c r="Z67" s="32">
        <f>'Data_Raw++ (2018)'!Z68/100</f>
        <v>18.810821682118625</v>
      </c>
      <c r="AA67" s="32">
        <f>'Data_Raw++ (2018)'!AA68/100</f>
        <v>6.9574271974959299</v>
      </c>
      <c r="AB67" s="32">
        <f>'Data_Raw++ (2018)'!AB68/100</f>
        <v>1.5612466631180868</v>
      </c>
      <c r="AC67" s="32">
        <f>'Data_Raw++ (2018)'!AC68/100</f>
        <v>1.8327678219212322</v>
      </c>
      <c r="AD67" s="32">
        <f>'Data_Raw++ (2018)'!AD68/100</f>
        <v>1.1233093102097875</v>
      </c>
      <c r="AE67" s="32">
        <f>'Data_Raw++ (2018)'!AE68/100</f>
        <v>0.91907125380800792</v>
      </c>
      <c r="AF67" s="32">
        <f>'Data_Raw++ (2018)'!AF68/100</f>
        <v>1.0363994989749876</v>
      </c>
      <c r="AG67" s="32">
        <f>'Data_Raw++ (2018)'!AG68/100</f>
        <v>0.81431389205177596</v>
      </c>
      <c r="AH67" s="32">
        <f>'Data_Raw++ (2018)'!AH68/100</f>
        <v>0.88217338305609072</v>
      </c>
      <c r="AI67" s="32">
        <f>'Data_Raw++ (2018)'!AI68/100</f>
        <v>0.63881520841992778</v>
      </c>
      <c r="AJ67" s="32">
        <f>'Data_Raw++ (2018)'!AJ68/100</f>
        <v>0.81303753798899914</v>
      </c>
      <c r="AK67" s="32">
        <f>'Data_Raw++ (2018)'!AK68/100</f>
        <v>0.66521253108190836</v>
      </c>
      <c r="AL67" s="32">
        <f>'Data_Raw++ (2018)'!AL68/100</f>
        <v>0.7837842367549428</v>
      </c>
      <c r="AM67" s="32">
        <f>'Data_Raw++ (2018)'!AM68/100</f>
        <v>3.9135527985914602</v>
      </c>
      <c r="AN67" s="32">
        <f>'Data_Raw++ (2018)'!AN68/100</f>
        <v>3.47050908554337</v>
      </c>
      <c r="AO67" s="32">
        <f>'Data_Raw++ (2018)'!AO68/100</f>
        <v>4.9941472206599711</v>
      </c>
      <c r="AP67" s="32">
        <f>'Data_Raw++ (2018)'!AP68/100</f>
        <v>2.6891561957399848</v>
      </c>
      <c r="AQ67" s="32">
        <f>'Data_Raw++ (2018)'!AQ68/100</f>
        <v>0</v>
      </c>
      <c r="AR67" s="32">
        <f>'Data_Raw++ (2018)'!AR68/100</f>
        <v>0.9487400723858086</v>
      </c>
      <c r="AS67" s="32">
        <f>'Data_Raw++ (2018)'!AS68/100</f>
        <v>1.547944328629477</v>
      </c>
      <c r="AT67" s="32">
        <f>'Data_Raw++ (2018)'!AT68/100</f>
        <v>7.6365325913384685E-2</v>
      </c>
      <c r="AU67" s="32">
        <f>'Data_Raw++ (2018)'!AU68/100</f>
        <v>0</v>
      </c>
      <c r="AV67" s="32">
        <f>'Data_Raw++ (2018)'!AV68/100</f>
        <v>2.1270862137201303</v>
      </c>
      <c r="AW67" s="32">
        <f>'Data_Raw++ (2018)'!AW68/100</f>
        <v>3.9503029683373851</v>
      </c>
      <c r="AX67" s="32">
        <f>'Data_Raw++ (2018)'!AX68/100</f>
        <v>3.2320660650033153</v>
      </c>
      <c r="AY67" s="32">
        <f>'Data_Raw++ (2018)'!AY68/100</f>
        <v>0</v>
      </c>
      <c r="AZ67" s="32">
        <f>'Data_Raw++ (2018)'!AZ68/100</f>
        <v>0</v>
      </c>
      <c r="BA67" s="32">
        <f>'Data_Raw++ (2018)'!BA68/100</f>
        <v>0</v>
      </c>
      <c r="BB67" s="32">
        <f>'Data_Raw++ (2018)'!BB68/100</f>
        <v>0.76181906755830076</v>
      </c>
      <c r="BC67" s="32">
        <f>'Data_Raw++ (2018)'!BC68/100</f>
        <v>0</v>
      </c>
      <c r="BD67" s="32">
        <f>'Data_Raw++ (2018)'!BD68/100</f>
        <v>0</v>
      </c>
      <c r="BE67" s="32">
        <f>'Data_Raw++ (2018)'!BE68/100</f>
        <v>0</v>
      </c>
      <c r="BF67" s="32">
        <f>'Data_Raw++ (2018)'!BF68/100</f>
        <v>0</v>
      </c>
      <c r="BG67" s="32">
        <f>'Data_Raw++ (2018)'!BG68/100</f>
        <v>0</v>
      </c>
      <c r="BH67" s="32">
        <f>'Data_Raw++ (2018)'!BH68/100</f>
        <v>0</v>
      </c>
      <c r="BI67" s="32">
        <f>'Data_Raw++ (2018)'!BI68/100</f>
        <v>0</v>
      </c>
      <c r="BJ67" s="32">
        <f>'Data_Raw++ (2018)'!BJ68/100</f>
        <v>0</v>
      </c>
      <c r="BK67" s="32">
        <f>'Data_Raw++ (2018)'!BK68/100</f>
        <v>0</v>
      </c>
      <c r="BL67" s="32">
        <f>'Data_Raw++ (2018)'!BL68/100</f>
        <v>0</v>
      </c>
      <c r="BM67" s="32">
        <f>'Data_Raw++ (2018)'!BM68/100</f>
        <v>0</v>
      </c>
      <c r="BN67" s="32">
        <f>'Data_Raw++ (2018)'!BN68/100</f>
        <v>0</v>
      </c>
      <c r="BO67" s="32">
        <f>'Data_Raw++ (2018)'!BO68/100</f>
        <v>0</v>
      </c>
    </row>
    <row r="69" spans="1:67" x14ac:dyDescent="0.2">
      <c r="A69" s="114" t="s">
        <v>334</v>
      </c>
      <c r="B69" s="119">
        <f>_xlfn.STDEV.P(B3:B67)</f>
        <v>3912.4743604657369</v>
      </c>
      <c r="C69" s="119">
        <f>_xlfn.STDEV.P(C3:C67)</f>
        <v>3234.9520899343902</v>
      </c>
      <c r="D69" s="119">
        <f t="shared" ref="D69:AA69" si="0">_xlfn.STDEV.P(D3:D67)</f>
        <v>2411.8282764929704</v>
      </c>
      <c r="E69" s="119">
        <f t="shared" si="0"/>
        <v>1396.0489019023819</v>
      </c>
      <c r="F69" s="119">
        <f t="shared" si="0"/>
        <v>1024.0814283089678</v>
      </c>
      <c r="G69" s="119">
        <f t="shared" si="0"/>
        <v>1578.5795347237599</v>
      </c>
      <c r="H69" s="119">
        <f t="shared" si="0"/>
        <v>1103.0234354476534</v>
      </c>
      <c r="I69" s="119">
        <f t="shared" si="0"/>
        <v>813.61236236780519</v>
      </c>
      <c r="J69" s="119">
        <f t="shared" si="0"/>
        <v>507.6354026048719</v>
      </c>
      <c r="K69" s="119">
        <f t="shared" si="0"/>
        <v>423.55295307269176</v>
      </c>
      <c r="L69" s="119">
        <f t="shared" si="0"/>
        <v>362.16093742348761</v>
      </c>
      <c r="M69" s="119">
        <f t="shared" si="0"/>
        <v>393.29924346211209</v>
      </c>
      <c r="N69" s="119">
        <f t="shared" si="0"/>
        <v>307.37994626398614</v>
      </c>
      <c r="O69" s="119">
        <f t="shared" si="0"/>
        <v>157.38964263812892</v>
      </c>
      <c r="P69" s="119">
        <f t="shared" si="0"/>
        <v>161.26758516272838</v>
      </c>
      <c r="Q69" s="119">
        <f t="shared" si="0"/>
        <v>183.28152292170796</v>
      </c>
      <c r="R69" s="119">
        <f t="shared" si="0"/>
        <v>237.91756667365442</v>
      </c>
      <c r="S69" s="119">
        <f t="shared" si="0"/>
        <v>126.70430922254337</v>
      </c>
      <c r="T69" s="119">
        <f t="shared" si="0"/>
        <v>67.860083176442203</v>
      </c>
      <c r="U69" s="119">
        <f t="shared" si="0"/>
        <v>54.999126259835741</v>
      </c>
      <c r="V69" s="119">
        <f t="shared" si="0"/>
        <v>68.106901820699605</v>
      </c>
      <c r="W69" s="119">
        <f t="shared" si="0"/>
        <v>34.300425265165742</v>
      </c>
      <c r="X69" s="119">
        <f t="shared" si="0"/>
        <v>33.274152921666911</v>
      </c>
      <c r="Y69" s="119">
        <f t="shared" si="0"/>
        <v>45.329854977145402</v>
      </c>
      <c r="Z69" s="119">
        <f t="shared" si="0"/>
        <v>26.431845038946797</v>
      </c>
      <c r="AA69" s="119">
        <f t="shared" si="0"/>
        <v>41.067733834887868</v>
      </c>
    </row>
    <row r="70" spans="1:67" x14ac:dyDescent="0.2">
      <c r="A70" s="114"/>
      <c r="B70" s="119"/>
      <c r="C70" s="119"/>
      <c r="D70" s="119"/>
      <c r="E70" s="119"/>
      <c r="F70" s="119"/>
      <c r="G70" s="119"/>
      <c r="H70" s="119"/>
      <c r="I70" s="119"/>
      <c r="J70" s="119"/>
      <c r="K70" s="119"/>
      <c r="L70" s="119"/>
      <c r="M70" s="119"/>
      <c r="N70" s="119"/>
      <c r="O70" s="119"/>
      <c r="P70" s="119"/>
      <c r="Q70" s="119"/>
      <c r="R70" s="119"/>
      <c r="S70" s="119"/>
      <c r="T70" s="119"/>
      <c r="U70" s="119"/>
      <c r="V70" s="119"/>
      <c r="W70" s="119"/>
      <c r="X70" s="119"/>
      <c r="Y70" s="119"/>
      <c r="Z70" s="119"/>
      <c r="AA70" s="119"/>
    </row>
    <row r="71" spans="1:67" x14ac:dyDescent="0.2">
      <c r="A71" s="43"/>
      <c r="B71" s="8"/>
      <c r="C71" s="8"/>
      <c r="D71" s="8"/>
      <c r="E71" s="8"/>
      <c r="F71" s="8"/>
      <c r="G71" s="8"/>
      <c r="H71" s="8"/>
      <c r="I71" s="8"/>
      <c r="J71" s="8"/>
      <c r="K71" s="8"/>
      <c r="L71" s="8"/>
      <c r="M71" s="8"/>
      <c r="N71" s="8"/>
      <c r="O71" s="8"/>
      <c r="P71" s="8"/>
      <c r="Q71" s="8"/>
      <c r="R71" s="8"/>
      <c r="S71" s="8"/>
      <c r="T71" s="8"/>
      <c r="U71" s="8"/>
      <c r="V71" s="8"/>
      <c r="W71" s="8"/>
      <c r="X71" s="8"/>
      <c r="Y71" s="8"/>
      <c r="Z71" s="8"/>
      <c r="AA71" s="8"/>
    </row>
    <row r="72" spans="1:67" ht="16" x14ac:dyDescent="0.2">
      <c r="A72" s="43" t="s">
        <v>343</v>
      </c>
      <c r="B72" s="32">
        <f>B69*Notes!$C$7*KeywordInfo!B21</f>
        <v>821.61961569780476</v>
      </c>
      <c r="C72" s="32">
        <f>C69*Notes!$C$7*KeywordInfo!C21</f>
        <v>1358.6798777724439</v>
      </c>
      <c r="D72" s="32">
        <f>D69*Notes!$C$7*KeywordInfo!D21</f>
        <v>964.73131059718821</v>
      </c>
      <c r="E72" s="32">
        <f>E69*Notes!$C$7*KeywordInfo!E21</f>
        <v>614.26151683704802</v>
      </c>
      <c r="F72" s="32">
        <f>F69*Notes!$C$7*KeywordInfo!F21</f>
        <v>337.94687134195942</v>
      </c>
      <c r="G72" s="32">
        <f>G69*Notes!$C$7*KeywordInfo!G21</f>
        <v>631.43181388950404</v>
      </c>
      <c r="H72" s="32">
        <f>H69*Notes!$C$7*KeywordInfo!H21</f>
        <v>408.11867111563174</v>
      </c>
      <c r="I72" s="32">
        <f>I69*Notes!$C$7*KeywordInfo!I21</f>
        <v>252.2198323340196</v>
      </c>
      <c r="J72" s="32">
        <f>J69*Notes!$C$7*KeywordInfo!J21</f>
        <v>60.916248312584628</v>
      </c>
      <c r="K72" s="32">
        <f>K69*Notes!$C$7*KeywordInfo!K21</f>
        <v>131.30141545253446</v>
      </c>
      <c r="L72" s="32">
        <f>L69*Notes!$C$7*KeywordInfo!L21</f>
        <v>152.1075937178648</v>
      </c>
      <c r="M72" s="32">
        <f>M69*Notes!$C$7*KeywordInfo!M21</f>
        <v>184.85064442719266</v>
      </c>
      <c r="N72" s="32">
        <f>N69*Notes!$C$7*KeywordInfo!N21</f>
        <v>101.43538226711543</v>
      </c>
      <c r="O72" s="32">
        <f>O69*Notes!$C$7*KeywordInfo!O21</f>
        <v>66.103649908014148</v>
      </c>
      <c r="P72" s="32">
        <f>P69*Notes!$C$7*KeywordInfo!P21</f>
        <v>30.640841180918393</v>
      </c>
      <c r="Q72" s="32">
        <f>Q69*Notes!$C$7*KeywordInfo!Q21</f>
        <v>73.312609168683181</v>
      </c>
      <c r="R72" s="32">
        <f>R69*Notes!$C$7*KeywordInfo!R21</f>
        <v>102.30455366967139</v>
      </c>
      <c r="S72" s="32">
        <f>S69*Notes!$C$7*KeywordInfo!S21</f>
        <v>63.352154611271686</v>
      </c>
      <c r="T72" s="32">
        <f>T69*Notes!$C$7*KeywordInfo!T21</f>
        <v>32.572839924692254</v>
      </c>
      <c r="U72" s="32">
        <f>U69*Notes!$C$7*KeywordInfo!U21</f>
        <v>22.549641766532652</v>
      </c>
      <c r="V72" s="32">
        <f>V69*Notes!$C$7*KeywordInfo!V21</f>
        <v>10.216035273104941</v>
      </c>
      <c r="W72" s="32">
        <f>W69*Notes!$C$7*KeywordInfo!W21</f>
        <v>10.976136084853037</v>
      </c>
      <c r="X72" s="32">
        <f>X69*Notes!$C$7*KeywordInfo!X21</f>
        <v>13.975144227100103</v>
      </c>
      <c r="Y72" s="32">
        <f>Y69*Notes!$C$7*KeywordInfo!Y21</f>
        <v>24.024823137887065</v>
      </c>
      <c r="Z72" s="32">
        <f>Z69*Notes!$C$7*KeywordInfo!Z21</f>
        <v>11.365693366747122</v>
      </c>
      <c r="AA72" s="32">
        <f>AA69*Notes!$C$7*KeywordInfo!AA21</f>
        <v>22.99793094753721</v>
      </c>
    </row>
    <row r="74" spans="1:67" x14ac:dyDescent="0.2">
      <c r="A74" s="114" t="s">
        <v>335</v>
      </c>
      <c r="B74" s="32">
        <f>_xlfn.COVARIANCE.P($B$3:$B$67,B$3:B$67)</f>
        <v>15307455.62130178</v>
      </c>
      <c r="C74" s="32">
        <f t="shared" ref="C74:AA74" si="1">_xlfn.COVARIANCE.P($B$3:$B$67,C$3:C$67)</f>
        <v>5600744.6663072482</v>
      </c>
      <c r="D74" s="32">
        <f t="shared" si="1"/>
        <v>5477393.7536776951</v>
      </c>
      <c r="E74" s="32">
        <f t="shared" si="1"/>
        <v>1961484.6080747198</v>
      </c>
      <c r="F74" s="32">
        <f t="shared" si="1"/>
        <v>2063652.0797500238</v>
      </c>
      <c r="G74" s="32">
        <f t="shared" si="1"/>
        <v>2776354.1542149764</v>
      </c>
      <c r="H74" s="32">
        <f t="shared" si="1"/>
        <v>2481125.1295230077</v>
      </c>
      <c r="I74" s="32">
        <f t="shared" si="1"/>
        <v>1225727.707360846</v>
      </c>
      <c r="J74" s="32">
        <f t="shared" si="1"/>
        <v>220780.95769500989</v>
      </c>
      <c r="K74" s="32">
        <f t="shared" si="1"/>
        <v>994468.2392257998</v>
      </c>
      <c r="L74" s="32">
        <f t="shared" si="1"/>
        <v>814300.28444469883</v>
      </c>
      <c r="M74" s="32">
        <f t="shared" si="1"/>
        <v>442546.69729003368</v>
      </c>
      <c r="N74" s="32">
        <f t="shared" si="1"/>
        <v>455868.69194086507</v>
      </c>
      <c r="O74" s="32">
        <f t="shared" si="1"/>
        <v>330812.31537237333</v>
      </c>
      <c r="P74" s="32">
        <f t="shared" si="1"/>
        <v>126953.45477595132</v>
      </c>
      <c r="Q74" s="32">
        <f t="shared" si="1"/>
        <v>432728.24866323872</v>
      </c>
      <c r="R74" s="32">
        <f t="shared" si="1"/>
        <v>490904.13433247257</v>
      </c>
      <c r="S74" s="32">
        <f t="shared" si="1"/>
        <v>206502.8954168752</v>
      </c>
      <c r="T74" s="32">
        <f t="shared" si="1"/>
        <v>157399.34943417026</v>
      </c>
      <c r="U74" s="32">
        <f t="shared" si="1"/>
        <v>104082.46435348204</v>
      </c>
      <c r="V74" s="32">
        <f t="shared" si="1"/>
        <v>12833.493750461883</v>
      </c>
      <c r="W74" s="32">
        <f t="shared" si="1"/>
        <v>35033.339345684348</v>
      </c>
      <c r="X74" s="32">
        <f t="shared" si="1"/>
        <v>43346.754202326119</v>
      </c>
      <c r="Y74" s="32">
        <f t="shared" si="1"/>
        <v>57981.270628071412</v>
      </c>
      <c r="Z74" s="32">
        <f t="shared" si="1"/>
        <v>61069.72755785878</v>
      </c>
      <c r="AA74" s="32">
        <f t="shared" si="1"/>
        <v>19878.325328909417</v>
      </c>
    </row>
    <row r="75" spans="1:67" x14ac:dyDescent="0.2">
      <c r="A75" s="114"/>
      <c r="B75" s="32">
        <f>_xlfn.COVARIANCE.P($C$3:$C$67,B$3:B$67)</f>
        <v>5600744.6663072482</v>
      </c>
      <c r="C75" s="32">
        <f t="shared" ref="C75:AA75" si="2">_xlfn.COVARIANCE.P($C$3:$C$67,C$3:C$67)</f>
        <v>10464915.024170864</v>
      </c>
      <c r="D75" s="32">
        <f t="shared" si="2"/>
        <v>6291243.778940361</v>
      </c>
      <c r="E75" s="32">
        <f t="shared" si="2"/>
        <v>2946536.0518777804</v>
      </c>
      <c r="F75" s="32">
        <f t="shared" si="2"/>
        <v>1620994.2722281336</v>
      </c>
      <c r="G75" s="32">
        <f t="shared" si="2"/>
        <v>4710296.0301276166</v>
      </c>
      <c r="H75" s="32">
        <f t="shared" si="2"/>
        <v>2008306.3989814264</v>
      </c>
      <c r="I75" s="32">
        <f t="shared" si="2"/>
        <v>1892590.58289859</v>
      </c>
      <c r="J75" s="32">
        <f t="shared" si="2"/>
        <v>779771.72447671439</v>
      </c>
      <c r="K75" s="32">
        <f t="shared" si="2"/>
        <v>1038293.9022207028</v>
      </c>
      <c r="L75" s="32">
        <f t="shared" si="2"/>
        <v>991621.73847870994</v>
      </c>
      <c r="M75" s="32">
        <f t="shared" si="2"/>
        <v>925416.43094555556</v>
      </c>
      <c r="N75" s="32">
        <f t="shared" si="2"/>
        <v>867975.9395491461</v>
      </c>
      <c r="O75" s="32">
        <f t="shared" si="2"/>
        <v>447968.64125575178</v>
      </c>
      <c r="P75" s="32">
        <f t="shared" si="2"/>
        <v>76857.627806801378</v>
      </c>
      <c r="Q75" s="32">
        <f t="shared" si="2"/>
        <v>479176.51646521856</v>
      </c>
      <c r="R75" s="32">
        <f t="shared" si="2"/>
        <v>626935.56266776705</v>
      </c>
      <c r="S75" s="32">
        <f t="shared" si="2"/>
        <v>299289.25692606746</v>
      </c>
      <c r="T75" s="32">
        <f t="shared" si="2"/>
        <v>192252.31143385117</v>
      </c>
      <c r="U75" s="32">
        <f t="shared" si="2"/>
        <v>148100.58379295413</v>
      </c>
      <c r="V75" s="32">
        <f t="shared" si="2"/>
        <v>84385.530637029209</v>
      </c>
      <c r="W75" s="32">
        <f t="shared" si="2"/>
        <v>59248.593137919066</v>
      </c>
      <c r="X75" s="32">
        <f t="shared" si="2"/>
        <v>78173.965781640596</v>
      </c>
      <c r="Y75" s="32">
        <f t="shared" si="2"/>
        <v>119968.65229562837</v>
      </c>
      <c r="Z75" s="32">
        <f t="shared" si="2"/>
        <v>63705.549641781996</v>
      </c>
      <c r="AA75" s="32">
        <f t="shared" si="2"/>
        <v>54883.522983006689</v>
      </c>
    </row>
    <row r="76" spans="1:67" x14ac:dyDescent="0.2">
      <c r="B76" s="32">
        <f>_xlfn.COVARIANCE.P($D$3:$D$67,B$3:B$67)</f>
        <v>5477393.7536776951</v>
      </c>
      <c r="C76" s="32">
        <f t="shared" ref="C76:AA76" si="3">_xlfn.COVARIANCE.P($D$3:$D$67,C$3:C$67)</f>
        <v>6291243.778940361</v>
      </c>
      <c r="D76" s="32">
        <f t="shared" si="3"/>
        <v>5816915.6352910511</v>
      </c>
      <c r="E76" s="32">
        <f t="shared" si="3"/>
        <v>2066066.6237732447</v>
      </c>
      <c r="F76" s="32">
        <f t="shared" si="3"/>
        <v>1311073.9090726883</v>
      </c>
      <c r="G76" s="32">
        <f t="shared" si="3"/>
        <v>3454111.6990589253</v>
      </c>
      <c r="H76" s="32">
        <f t="shared" si="3"/>
        <v>1885693.4207008258</v>
      </c>
      <c r="I76" s="32">
        <f t="shared" si="3"/>
        <v>1660543.4480607947</v>
      </c>
      <c r="J76" s="32">
        <f t="shared" si="3"/>
        <v>716321.36482053436</v>
      </c>
      <c r="K76" s="32">
        <f t="shared" si="3"/>
        <v>723467.22733252717</v>
      </c>
      <c r="L76" s="32">
        <f t="shared" si="3"/>
        <v>667676.02924456378</v>
      </c>
      <c r="M76" s="32">
        <f t="shared" si="3"/>
        <v>603565.86546483764</v>
      </c>
      <c r="N76" s="32">
        <f t="shared" si="3"/>
        <v>645893.78534222674</v>
      </c>
      <c r="O76" s="32">
        <f t="shared" si="3"/>
        <v>295593.61402656621</v>
      </c>
      <c r="P76" s="32">
        <f t="shared" si="3"/>
        <v>60439.909309820549</v>
      </c>
      <c r="Q76" s="32">
        <f t="shared" si="3"/>
        <v>321795.01250507578</v>
      </c>
      <c r="R76" s="32">
        <f t="shared" si="3"/>
        <v>397812.9642392461</v>
      </c>
      <c r="S76" s="32">
        <f t="shared" si="3"/>
        <v>214154.60498933165</v>
      </c>
      <c r="T76" s="32">
        <f t="shared" si="3"/>
        <v>142340.82094037189</v>
      </c>
      <c r="U76" s="32">
        <f t="shared" si="3"/>
        <v>85439.204607639549</v>
      </c>
      <c r="V76" s="32">
        <f t="shared" si="3"/>
        <v>26329.26365674513</v>
      </c>
      <c r="W76" s="32">
        <f t="shared" si="3"/>
        <v>38534.763250149932</v>
      </c>
      <c r="X76" s="32">
        <f t="shared" si="3"/>
        <v>51137.08825458432</v>
      </c>
      <c r="Y76" s="32">
        <f t="shared" si="3"/>
        <v>69786.24513053702</v>
      </c>
      <c r="Z76" s="32">
        <f t="shared" si="3"/>
        <v>39292.974459133737</v>
      </c>
      <c r="AA76" s="32">
        <f t="shared" si="3"/>
        <v>34315.995011842089</v>
      </c>
    </row>
    <row r="77" spans="1:67" x14ac:dyDescent="0.2">
      <c r="B77" s="32">
        <f>_xlfn.COVARIANCE.P($E$3:$E$67,B$3:B$67)</f>
        <v>1961484.6080747198</v>
      </c>
      <c r="C77" s="32">
        <f t="shared" ref="C77:AA77" si="4">_xlfn.COVARIANCE.P($E$3:$E$67,C$3:C$67)</f>
        <v>2946536.0518777804</v>
      </c>
      <c r="D77" s="32">
        <f t="shared" si="4"/>
        <v>2066066.6237732447</v>
      </c>
      <c r="E77" s="32">
        <f t="shared" si="4"/>
        <v>1948952.5365028528</v>
      </c>
      <c r="F77" s="32">
        <f t="shared" si="4"/>
        <v>1066951.3644283195</v>
      </c>
      <c r="G77" s="32">
        <f t="shared" si="4"/>
        <v>1571586.8141674153</v>
      </c>
      <c r="H77" s="32">
        <f t="shared" si="4"/>
        <v>585973.98434134922</v>
      </c>
      <c r="I77" s="32">
        <f t="shared" si="4"/>
        <v>708973.661350796</v>
      </c>
      <c r="J77" s="32">
        <f t="shared" si="4"/>
        <v>292370.06359024567</v>
      </c>
      <c r="K77" s="32">
        <f t="shared" si="4"/>
        <v>351507.56866991095</v>
      </c>
      <c r="L77" s="32">
        <f t="shared" si="4"/>
        <v>364023.0046527292</v>
      </c>
      <c r="M77" s="32">
        <f t="shared" si="4"/>
        <v>313974.20925158821</v>
      </c>
      <c r="N77" s="32">
        <f t="shared" si="4"/>
        <v>246783.93791610922</v>
      </c>
      <c r="O77" s="32">
        <f t="shared" si="4"/>
        <v>149017.49026528595</v>
      </c>
      <c r="P77" s="32">
        <f t="shared" si="4"/>
        <v>93526.429960242996</v>
      </c>
      <c r="Q77" s="32">
        <f t="shared" si="4"/>
        <v>126565.37518555878</v>
      </c>
      <c r="R77" s="32">
        <f t="shared" si="4"/>
        <v>145757.96887018322</v>
      </c>
      <c r="S77" s="32">
        <f t="shared" si="4"/>
        <v>92250.092265767264</v>
      </c>
      <c r="T77" s="32">
        <f t="shared" si="4"/>
        <v>64038.574247231023</v>
      </c>
      <c r="U77" s="32">
        <f t="shared" si="4"/>
        <v>44654.90564226883</v>
      </c>
      <c r="V77" s="32">
        <f t="shared" si="4"/>
        <v>54830.404390873613</v>
      </c>
      <c r="W77" s="32">
        <f t="shared" si="4"/>
        <v>21193.242563276253</v>
      </c>
      <c r="X77" s="32">
        <f t="shared" si="4"/>
        <v>34969.084214015456</v>
      </c>
      <c r="Y77" s="32">
        <f t="shared" si="4"/>
        <v>41518.530648163382</v>
      </c>
      <c r="Z77" s="32">
        <f t="shared" si="4"/>
        <v>24840.418539710547</v>
      </c>
      <c r="AA77" s="32">
        <f t="shared" si="4"/>
        <v>16730.782944550167</v>
      </c>
    </row>
    <row r="78" spans="1:67" x14ac:dyDescent="0.2">
      <c r="B78" s="32">
        <f>_xlfn.COVARIANCE.P($F$3:$F$67,B$3:B$67)</f>
        <v>2063652.0797500238</v>
      </c>
      <c r="C78" s="32">
        <f t="shared" ref="C78:AA78" si="5">_xlfn.COVARIANCE.P($F$3:$F$67,C$3:C$67)</f>
        <v>1620994.2722281336</v>
      </c>
      <c r="D78" s="32">
        <f t="shared" si="5"/>
        <v>1311073.9090726883</v>
      </c>
      <c r="E78" s="32">
        <f t="shared" si="5"/>
        <v>1066951.3644283195</v>
      </c>
      <c r="F78" s="32">
        <f t="shared" si="5"/>
        <v>1048742.7718073379</v>
      </c>
      <c r="G78" s="32">
        <f t="shared" si="5"/>
        <v>868232.02125256089</v>
      </c>
      <c r="H78" s="32">
        <f t="shared" si="5"/>
        <v>520088.48995030887</v>
      </c>
      <c r="I78" s="32">
        <f t="shared" si="5"/>
        <v>373308.44620512571</v>
      </c>
      <c r="J78" s="32">
        <f t="shared" si="5"/>
        <v>174328.63611688252</v>
      </c>
      <c r="K78" s="32">
        <f t="shared" si="5"/>
        <v>291987.70421025943</v>
      </c>
      <c r="L78" s="32">
        <f t="shared" si="5"/>
        <v>266874.52592278895</v>
      </c>
      <c r="M78" s="32">
        <f t="shared" si="5"/>
        <v>215424.37406214161</v>
      </c>
      <c r="N78" s="32">
        <f t="shared" si="5"/>
        <v>133258.5286231174</v>
      </c>
      <c r="O78" s="32">
        <f t="shared" si="5"/>
        <v>108697.66729006011</v>
      </c>
      <c r="P78" s="32">
        <f t="shared" si="5"/>
        <v>60090.409294532328</v>
      </c>
      <c r="Q78" s="32">
        <f t="shared" si="5"/>
        <v>110487.1525521032</v>
      </c>
      <c r="R78" s="32">
        <f t="shared" si="5"/>
        <v>116664.77073553507</v>
      </c>
      <c r="S78" s="32">
        <f t="shared" si="5"/>
        <v>68779.280916494594</v>
      </c>
      <c r="T78" s="32">
        <f t="shared" si="5"/>
        <v>37416.633674139841</v>
      </c>
      <c r="U78" s="32">
        <f t="shared" si="5"/>
        <v>35935.890341409431</v>
      </c>
      <c r="V78" s="32">
        <f t="shared" si="5"/>
        <v>30042.475597545301</v>
      </c>
      <c r="W78" s="32">
        <f t="shared" si="5"/>
        <v>13392.011741524208</v>
      </c>
      <c r="X78" s="32">
        <f t="shared" si="5"/>
        <v>17963.536175669782</v>
      </c>
      <c r="Y78" s="32">
        <f t="shared" si="5"/>
        <v>20250.578628040625</v>
      </c>
      <c r="Z78" s="32">
        <f t="shared" si="5"/>
        <v>16316.595100580766</v>
      </c>
      <c r="AA78" s="32">
        <f t="shared" si="5"/>
        <v>9112.0338981606783</v>
      </c>
    </row>
    <row r="79" spans="1:67" x14ac:dyDescent="0.2">
      <c r="B79" s="32">
        <f>_xlfn.COVARIANCE.P($G$3:$G$67,B$3:B$67)</f>
        <v>2776354.1542149764</v>
      </c>
      <c r="C79" s="32">
        <f t="shared" ref="C79:AA79" si="6">_xlfn.COVARIANCE.P($G$3:$G$67,C$3:C$67)</f>
        <v>4710296.0301276166</v>
      </c>
      <c r="D79" s="32">
        <f t="shared" si="6"/>
        <v>3454111.6990589253</v>
      </c>
      <c r="E79" s="32">
        <f t="shared" si="6"/>
        <v>1571586.8141674153</v>
      </c>
      <c r="F79" s="32">
        <f t="shared" si="6"/>
        <v>868232.02125256089</v>
      </c>
      <c r="G79" s="32">
        <f t="shared" si="6"/>
        <v>2491913.3474486852</v>
      </c>
      <c r="H79" s="32">
        <f t="shared" si="6"/>
        <v>1111066.858217669</v>
      </c>
      <c r="I79" s="32">
        <f t="shared" si="6"/>
        <v>1028068.9414114145</v>
      </c>
      <c r="J79" s="32">
        <f t="shared" si="6"/>
        <v>498332.23226362956</v>
      </c>
      <c r="K79" s="32">
        <f t="shared" si="6"/>
        <v>496758.25880065619</v>
      </c>
      <c r="L79" s="32">
        <f t="shared" si="6"/>
        <v>462371.492545683</v>
      </c>
      <c r="M79" s="32">
        <f t="shared" si="6"/>
        <v>465476.53197692533</v>
      </c>
      <c r="N79" s="32">
        <f t="shared" si="6"/>
        <v>462051.30571702501</v>
      </c>
      <c r="O79" s="32">
        <f t="shared" si="6"/>
        <v>211377.17525275145</v>
      </c>
      <c r="P79" s="32">
        <f t="shared" si="6"/>
        <v>48193.10204182857</v>
      </c>
      <c r="Q79" s="32">
        <f t="shared" si="6"/>
        <v>214901.97140868916</v>
      </c>
      <c r="R79" s="32">
        <f t="shared" si="6"/>
        <v>268905.34446136683</v>
      </c>
      <c r="S79" s="32">
        <f t="shared" si="6"/>
        <v>145307.8330523918</v>
      </c>
      <c r="T79" s="32">
        <f t="shared" si="6"/>
        <v>94791.022974748281</v>
      </c>
      <c r="U79" s="32">
        <f t="shared" si="6"/>
        <v>62413.920816244026</v>
      </c>
      <c r="V79" s="32">
        <f t="shared" si="6"/>
        <v>31090.701742432208</v>
      </c>
      <c r="W79" s="32">
        <f t="shared" si="6"/>
        <v>27851.309001096677</v>
      </c>
      <c r="X79" s="32">
        <f t="shared" si="6"/>
        <v>40084.426856694328</v>
      </c>
      <c r="Y79" s="32">
        <f t="shared" si="6"/>
        <v>55559.010724342843</v>
      </c>
      <c r="Z79" s="32">
        <f t="shared" si="6"/>
        <v>27712.999172494325</v>
      </c>
      <c r="AA79" s="32">
        <f t="shared" si="6"/>
        <v>26651.644627044192</v>
      </c>
    </row>
    <row r="80" spans="1:67" x14ac:dyDescent="0.2">
      <c r="B80" s="32">
        <f>_xlfn.COVARIANCE.P($H$3:$H$67,B$3:B$67)</f>
        <v>2481125.1295230077</v>
      </c>
      <c r="C80" s="32">
        <f t="shared" ref="C80:AA80" si="7">_xlfn.COVARIANCE.P($H$3:$H$67,C$3:C$67)</f>
        <v>2008306.3989814264</v>
      </c>
      <c r="D80" s="32">
        <f t="shared" si="7"/>
        <v>1885693.4207008258</v>
      </c>
      <c r="E80" s="32">
        <f t="shared" si="7"/>
        <v>585973.98434134922</v>
      </c>
      <c r="F80" s="32">
        <f t="shared" si="7"/>
        <v>520088.48995030887</v>
      </c>
      <c r="G80" s="32">
        <f t="shared" si="7"/>
        <v>1111066.858217669</v>
      </c>
      <c r="H80" s="32">
        <f t="shared" si="7"/>
        <v>1216660.6991467401</v>
      </c>
      <c r="I80" s="32">
        <f t="shared" si="7"/>
        <v>447186.88975116855</v>
      </c>
      <c r="J80" s="32">
        <f t="shared" si="7"/>
        <v>178936.75446635336</v>
      </c>
      <c r="K80" s="32">
        <f t="shared" si="7"/>
        <v>259872.58295311354</v>
      </c>
      <c r="L80" s="32">
        <f t="shared" si="7"/>
        <v>247051.12357916153</v>
      </c>
      <c r="M80" s="32">
        <f t="shared" si="7"/>
        <v>232966.00277296689</v>
      </c>
      <c r="N80" s="32">
        <f t="shared" si="7"/>
        <v>201564.34067173366</v>
      </c>
      <c r="O80" s="32">
        <f t="shared" si="7"/>
        <v>109146.91930621427</v>
      </c>
      <c r="P80" s="32">
        <f t="shared" si="7"/>
        <v>18467.423901678554</v>
      </c>
      <c r="Q80" s="32">
        <f t="shared" si="7"/>
        <v>144851.48003323114</v>
      </c>
      <c r="R80" s="32">
        <f t="shared" si="7"/>
        <v>165151.96790504488</v>
      </c>
      <c r="S80" s="32">
        <f t="shared" si="7"/>
        <v>96674.305203542754</v>
      </c>
      <c r="T80" s="32">
        <f t="shared" si="7"/>
        <v>50478.580817799491</v>
      </c>
      <c r="U80" s="32">
        <f t="shared" si="7"/>
        <v>27702.78993279608</v>
      </c>
      <c r="V80" s="32">
        <f t="shared" si="7"/>
        <v>212.40299581776338</v>
      </c>
      <c r="W80" s="32">
        <f t="shared" si="7"/>
        <v>12508.500445700505</v>
      </c>
      <c r="X80" s="32">
        <f t="shared" si="7"/>
        <v>14200.26871061364</v>
      </c>
      <c r="Y80" s="32">
        <f t="shared" si="7"/>
        <v>23350.883838479444</v>
      </c>
      <c r="Z80" s="32">
        <f t="shared" si="7"/>
        <v>16845.904520561689</v>
      </c>
      <c r="AA80" s="32">
        <f t="shared" si="7"/>
        <v>7279.6752083094252</v>
      </c>
    </row>
    <row r="81" spans="2:27" x14ac:dyDescent="0.2">
      <c r="B81" s="32">
        <f>_xlfn.COVARIANCE.P($I$3:$I$67,B$3:B$67)</f>
        <v>1225727.707360846</v>
      </c>
      <c r="C81" s="32">
        <f t="shared" ref="C81:AA81" si="8">_xlfn.COVARIANCE.P($I$3:$I$67,C$3:C$67)</f>
        <v>1892590.58289859</v>
      </c>
      <c r="D81" s="32">
        <f t="shared" si="8"/>
        <v>1660543.4480607947</v>
      </c>
      <c r="E81" s="32">
        <f t="shared" si="8"/>
        <v>708973.661350796</v>
      </c>
      <c r="F81" s="32">
        <f t="shared" si="8"/>
        <v>373308.44620512571</v>
      </c>
      <c r="G81" s="32">
        <f t="shared" si="8"/>
        <v>1028068.9414114145</v>
      </c>
      <c r="H81" s="32">
        <f t="shared" si="8"/>
        <v>447186.88975116855</v>
      </c>
      <c r="I81" s="32">
        <f t="shared" si="8"/>
        <v>661965.07619772339</v>
      </c>
      <c r="J81" s="32">
        <f t="shared" si="8"/>
        <v>210133.92828972393</v>
      </c>
      <c r="K81" s="32">
        <f t="shared" si="8"/>
        <v>205408.0037543184</v>
      </c>
      <c r="L81" s="32">
        <f t="shared" si="8"/>
        <v>175439.60467060629</v>
      </c>
      <c r="M81" s="32">
        <f t="shared" si="8"/>
        <v>193245.46182229181</v>
      </c>
      <c r="N81" s="32">
        <f t="shared" si="8"/>
        <v>183099.55834260001</v>
      </c>
      <c r="O81" s="32">
        <f t="shared" si="8"/>
        <v>77231.287178372324</v>
      </c>
      <c r="P81" s="32">
        <f t="shared" si="8"/>
        <v>24878.13384002864</v>
      </c>
      <c r="Q81" s="32">
        <f t="shared" si="8"/>
        <v>81102.025715713171</v>
      </c>
      <c r="R81" s="32">
        <f t="shared" si="8"/>
        <v>84444.886153310028</v>
      </c>
      <c r="S81" s="32">
        <f t="shared" si="8"/>
        <v>61595.103944508141</v>
      </c>
      <c r="T81" s="32">
        <f t="shared" si="8"/>
        <v>39379.284034121425</v>
      </c>
      <c r="U81" s="32">
        <f t="shared" si="8"/>
        <v>23891.622879878738</v>
      </c>
      <c r="V81" s="32">
        <f t="shared" si="8"/>
        <v>10049.475025252996</v>
      </c>
      <c r="W81" s="32">
        <f t="shared" si="8"/>
        <v>9571.7758970791147</v>
      </c>
      <c r="X81" s="32">
        <f t="shared" si="8"/>
        <v>19204.576759663483</v>
      </c>
      <c r="Y81" s="32">
        <f t="shared" si="8"/>
        <v>25536.702905018701</v>
      </c>
      <c r="Z81" s="32">
        <f t="shared" si="8"/>
        <v>10773.713775520358</v>
      </c>
      <c r="AA81" s="32">
        <f t="shared" si="8"/>
        <v>9745.6797011408016</v>
      </c>
    </row>
    <row r="82" spans="2:27" x14ac:dyDescent="0.2">
      <c r="B82" s="32">
        <f>_xlfn.COVARIANCE.P($J$3:$J$67,B$3:B$67)</f>
        <v>220780.95769500989</v>
      </c>
      <c r="C82" s="32">
        <f t="shared" ref="C82:AA82" si="9">_xlfn.COVARIANCE.P($J$3:$J$67,C$3:C$67)</f>
        <v>779771.72447671439</v>
      </c>
      <c r="D82" s="32">
        <f t="shared" si="9"/>
        <v>716321.36482053436</v>
      </c>
      <c r="E82" s="32">
        <f t="shared" si="9"/>
        <v>292370.06359024567</v>
      </c>
      <c r="F82" s="32">
        <f t="shared" si="9"/>
        <v>174328.63611688252</v>
      </c>
      <c r="G82" s="32">
        <f t="shared" si="9"/>
        <v>498332.23226362956</v>
      </c>
      <c r="H82" s="32">
        <f t="shared" si="9"/>
        <v>178936.75446635336</v>
      </c>
      <c r="I82" s="32">
        <f t="shared" si="9"/>
        <v>210133.92828972393</v>
      </c>
      <c r="J82" s="32">
        <f t="shared" si="9"/>
        <v>257693.70197781033</v>
      </c>
      <c r="K82" s="32">
        <f t="shared" si="9"/>
        <v>101079.07121462515</v>
      </c>
      <c r="L82" s="32">
        <f t="shared" si="9"/>
        <v>84499.256125557178</v>
      </c>
      <c r="M82" s="32">
        <f t="shared" si="9"/>
        <v>75316.62786185299</v>
      </c>
      <c r="N82" s="32">
        <f t="shared" si="9"/>
        <v>97428.552816817639</v>
      </c>
      <c r="O82" s="32">
        <f t="shared" si="9"/>
        <v>35294.144717306182</v>
      </c>
      <c r="P82" s="32">
        <f t="shared" si="9"/>
        <v>16700.061357243176</v>
      </c>
      <c r="Q82" s="32">
        <f t="shared" si="9"/>
        <v>35043.638766014177</v>
      </c>
      <c r="R82" s="32">
        <f t="shared" si="9"/>
        <v>36067.644858825086</v>
      </c>
      <c r="S82" s="32">
        <f t="shared" si="9"/>
        <v>26593.190133837379</v>
      </c>
      <c r="T82" s="32">
        <f t="shared" si="9"/>
        <v>15607.546421180585</v>
      </c>
      <c r="U82" s="32">
        <f t="shared" si="9"/>
        <v>9819.8725035585539</v>
      </c>
      <c r="V82" s="32">
        <f t="shared" si="9"/>
        <v>10132.352107053639</v>
      </c>
      <c r="W82" s="32">
        <f t="shared" si="9"/>
        <v>5140.2225302630577</v>
      </c>
      <c r="X82" s="32">
        <f t="shared" si="9"/>
        <v>6601.2631760692411</v>
      </c>
      <c r="Y82" s="32">
        <f t="shared" si="9"/>
        <v>9807.9972675237022</v>
      </c>
      <c r="Z82" s="32">
        <f t="shared" si="9"/>
        <v>2823.5496937138291</v>
      </c>
      <c r="AA82" s="32">
        <f t="shared" si="9"/>
        <v>4274.1647692269589</v>
      </c>
    </row>
    <row r="83" spans="2:27" x14ac:dyDescent="0.2">
      <c r="B83" s="32">
        <f>_xlfn.COVARIANCE.P($K$3:$K$67,B$3:B$67)</f>
        <v>994468.2392257998</v>
      </c>
      <c r="C83" s="32">
        <f t="shared" ref="C83:AA83" si="10">_xlfn.COVARIANCE.P($K$3:$K$67,C$3:C$67)</f>
        <v>1038293.9022207028</v>
      </c>
      <c r="D83" s="32">
        <f t="shared" si="10"/>
        <v>723467.22733252717</v>
      </c>
      <c r="E83" s="32">
        <f t="shared" si="10"/>
        <v>351507.56866991095</v>
      </c>
      <c r="F83" s="32">
        <f t="shared" si="10"/>
        <v>291987.70421025943</v>
      </c>
      <c r="G83" s="32">
        <f t="shared" si="10"/>
        <v>496758.25880065619</v>
      </c>
      <c r="H83" s="32">
        <f t="shared" si="10"/>
        <v>259872.58295311354</v>
      </c>
      <c r="I83" s="32">
        <f t="shared" si="10"/>
        <v>205408.0037543184</v>
      </c>
      <c r="J83" s="32">
        <f t="shared" si="10"/>
        <v>101079.07121462515</v>
      </c>
      <c r="K83" s="32">
        <f t="shared" si="10"/>
        <v>179397.10405659769</v>
      </c>
      <c r="L83" s="32">
        <f t="shared" si="10"/>
        <v>116629.29412917042</v>
      </c>
      <c r="M83" s="32">
        <f t="shared" si="10"/>
        <v>95217.287040202558</v>
      </c>
      <c r="N83" s="32">
        <f t="shared" si="10"/>
        <v>89472.291398910165</v>
      </c>
      <c r="O83" s="32">
        <f t="shared" si="10"/>
        <v>53898.664692341066</v>
      </c>
      <c r="P83" s="32">
        <f t="shared" si="10"/>
        <v>22821.029749684356</v>
      </c>
      <c r="Q83" s="32">
        <f t="shared" si="10"/>
        <v>55626.721968297359</v>
      </c>
      <c r="R83" s="32">
        <f t="shared" si="10"/>
        <v>65219.647138737229</v>
      </c>
      <c r="S83" s="32">
        <f t="shared" si="10"/>
        <v>30526.21763406332</v>
      </c>
      <c r="T83" s="32">
        <f t="shared" si="10"/>
        <v>20478.975499508208</v>
      </c>
      <c r="U83" s="32">
        <f t="shared" si="10"/>
        <v>16485.884287313012</v>
      </c>
      <c r="V83" s="32">
        <f t="shared" si="10"/>
        <v>13258.521461509083</v>
      </c>
      <c r="W83" s="32">
        <f t="shared" si="10"/>
        <v>7308.3534254015967</v>
      </c>
      <c r="X83" s="32">
        <f t="shared" si="10"/>
        <v>8014.3286344519584</v>
      </c>
      <c r="Y83" s="32">
        <f t="shared" si="10"/>
        <v>13600.961628533698</v>
      </c>
      <c r="Z83" s="32">
        <f t="shared" si="10"/>
        <v>6527.9043635890612</v>
      </c>
      <c r="AA83" s="32">
        <f t="shared" si="10"/>
        <v>4078.935849309049</v>
      </c>
    </row>
    <row r="84" spans="2:27" x14ac:dyDescent="0.2">
      <c r="B84" s="32">
        <f>_xlfn.COVARIANCE.P($L$3:$L$67,B$3:B$67)</f>
        <v>814300.28444469883</v>
      </c>
      <c r="C84" s="32">
        <f t="shared" ref="C84:AA84" si="11">_xlfn.COVARIANCE.P($L$3:$L$67,C$3:C$67)</f>
        <v>991621.73847870994</v>
      </c>
      <c r="D84" s="32">
        <f t="shared" si="11"/>
        <v>667676.02924456378</v>
      </c>
      <c r="E84" s="32">
        <f t="shared" si="11"/>
        <v>364023.0046527292</v>
      </c>
      <c r="F84" s="32">
        <f t="shared" si="11"/>
        <v>266874.52592278895</v>
      </c>
      <c r="G84" s="32">
        <f t="shared" si="11"/>
        <v>462371.492545683</v>
      </c>
      <c r="H84" s="32">
        <f t="shared" si="11"/>
        <v>247051.12357916153</v>
      </c>
      <c r="I84" s="32">
        <f t="shared" si="11"/>
        <v>175439.60467060629</v>
      </c>
      <c r="J84" s="32">
        <f t="shared" si="11"/>
        <v>84499.256125557178</v>
      </c>
      <c r="K84" s="32">
        <f t="shared" si="11"/>
        <v>116629.29412917042</v>
      </c>
      <c r="L84" s="32">
        <f t="shared" si="11"/>
        <v>131160.54459545962</v>
      </c>
      <c r="M84" s="32">
        <f t="shared" si="11"/>
        <v>93682.046244653116</v>
      </c>
      <c r="N84" s="32">
        <f t="shared" si="11"/>
        <v>82055.075341422576</v>
      </c>
      <c r="O84" s="32">
        <f t="shared" si="11"/>
        <v>51594.203859149035</v>
      </c>
      <c r="P84" s="32">
        <f t="shared" si="11"/>
        <v>15801.916958499409</v>
      </c>
      <c r="Q84" s="32">
        <f t="shared" si="11"/>
        <v>55583.430984438164</v>
      </c>
      <c r="R84" s="32">
        <f t="shared" si="11"/>
        <v>73894.411533209961</v>
      </c>
      <c r="S84" s="32">
        <f t="shared" si="11"/>
        <v>34286.567676703686</v>
      </c>
      <c r="T84" s="32">
        <f t="shared" si="11"/>
        <v>20470.707964468784</v>
      </c>
      <c r="U84" s="32">
        <f t="shared" si="11"/>
        <v>16890.755200495983</v>
      </c>
      <c r="V84" s="32">
        <f t="shared" si="11"/>
        <v>10583.536995281413</v>
      </c>
      <c r="W84" s="32">
        <f t="shared" si="11"/>
        <v>7385.6146286035728</v>
      </c>
      <c r="X84" s="32">
        <f t="shared" si="11"/>
        <v>7634.4241558781132</v>
      </c>
      <c r="Y84" s="32">
        <f t="shared" si="11"/>
        <v>10517.76614661597</v>
      </c>
      <c r="Z84" s="32">
        <f t="shared" si="11"/>
        <v>7611.084514753461</v>
      </c>
      <c r="AA84" s="32">
        <f t="shared" si="11"/>
        <v>4921.7059659707229</v>
      </c>
    </row>
    <row r="85" spans="2:27" x14ac:dyDescent="0.2">
      <c r="B85" s="32">
        <f>_xlfn.COVARIANCE.P($M$3:$M$67,B$3:B$67)</f>
        <v>442546.69729003368</v>
      </c>
      <c r="C85" s="32">
        <f t="shared" ref="C85:AA85" si="12">_xlfn.COVARIANCE.P($M$3:$M$67,C$3:C$67)</f>
        <v>925416.43094555556</v>
      </c>
      <c r="D85" s="32">
        <f t="shared" si="12"/>
        <v>603565.86546483764</v>
      </c>
      <c r="E85" s="32">
        <f t="shared" si="12"/>
        <v>313974.20925158821</v>
      </c>
      <c r="F85" s="32">
        <f t="shared" si="12"/>
        <v>215424.37406214161</v>
      </c>
      <c r="G85" s="32">
        <f t="shared" si="12"/>
        <v>465476.53197692533</v>
      </c>
      <c r="H85" s="32">
        <f t="shared" si="12"/>
        <v>232966.00277296689</v>
      </c>
      <c r="I85" s="32">
        <f t="shared" si="12"/>
        <v>193245.46182229181</v>
      </c>
      <c r="J85" s="32">
        <f t="shared" si="12"/>
        <v>75316.62786185299</v>
      </c>
      <c r="K85" s="32">
        <f t="shared" si="12"/>
        <v>95217.287040202558</v>
      </c>
      <c r="L85" s="32">
        <f t="shared" si="12"/>
        <v>93682.046244653116</v>
      </c>
      <c r="M85" s="32">
        <f t="shared" si="12"/>
        <v>154684.29490787</v>
      </c>
      <c r="N85" s="32">
        <f t="shared" si="12"/>
        <v>81987.839660795085</v>
      </c>
      <c r="O85" s="32">
        <f t="shared" si="12"/>
        <v>44472.097422639774</v>
      </c>
      <c r="P85" s="32">
        <f t="shared" si="12"/>
        <v>4270.3380500079529</v>
      </c>
      <c r="Q85" s="32">
        <f t="shared" si="12"/>
        <v>50820.833918252436</v>
      </c>
      <c r="R85" s="32">
        <f t="shared" si="12"/>
        <v>59148.276797097373</v>
      </c>
      <c r="S85" s="32">
        <f t="shared" si="12"/>
        <v>40482.421705090303</v>
      </c>
      <c r="T85" s="32">
        <f t="shared" si="12"/>
        <v>16827.772804567121</v>
      </c>
      <c r="U85" s="32">
        <f t="shared" si="12"/>
        <v>13874.278257229618</v>
      </c>
      <c r="V85" s="32">
        <f t="shared" si="12"/>
        <v>5753.6815916318701</v>
      </c>
      <c r="W85" s="32">
        <f t="shared" si="12"/>
        <v>5567.3372056852068</v>
      </c>
      <c r="X85" s="32">
        <f t="shared" si="12"/>
        <v>7904.8942940473198</v>
      </c>
      <c r="Y85" s="32">
        <f t="shared" si="12"/>
        <v>10516.125426684141</v>
      </c>
      <c r="Z85" s="32">
        <f t="shared" si="12"/>
        <v>6230.0437121215427</v>
      </c>
      <c r="AA85" s="32">
        <f t="shared" si="12"/>
        <v>5797.5132641884929</v>
      </c>
    </row>
    <row r="86" spans="2:27" x14ac:dyDescent="0.2">
      <c r="B86" s="32">
        <f>_xlfn.COVARIANCE.P($N$3:$N$67,B$3:B$67)</f>
        <v>455868.69194086507</v>
      </c>
      <c r="C86" s="32">
        <f t="shared" ref="C86:AA86" si="13">_xlfn.COVARIANCE.P($N$3:$N$67,C$3:C$67)</f>
        <v>867975.9395491461</v>
      </c>
      <c r="D86" s="32">
        <f t="shared" si="13"/>
        <v>645893.78534222674</v>
      </c>
      <c r="E86" s="32">
        <f t="shared" si="13"/>
        <v>246783.93791610922</v>
      </c>
      <c r="F86" s="32">
        <f t="shared" si="13"/>
        <v>133258.5286231174</v>
      </c>
      <c r="G86" s="32">
        <f t="shared" si="13"/>
        <v>462051.30571702501</v>
      </c>
      <c r="H86" s="32">
        <f t="shared" si="13"/>
        <v>201564.34067173366</v>
      </c>
      <c r="I86" s="32">
        <f t="shared" si="13"/>
        <v>183099.55834260001</v>
      </c>
      <c r="J86" s="32">
        <f t="shared" si="13"/>
        <v>97428.552816817639</v>
      </c>
      <c r="K86" s="32">
        <f t="shared" si="13"/>
        <v>89472.291398910165</v>
      </c>
      <c r="L86" s="32">
        <f t="shared" si="13"/>
        <v>82055.075341422576</v>
      </c>
      <c r="M86" s="32">
        <f t="shared" si="13"/>
        <v>81987.839660795085</v>
      </c>
      <c r="N86" s="32">
        <f t="shared" si="13"/>
        <v>94482.431365251119</v>
      </c>
      <c r="O86" s="32">
        <f t="shared" si="13"/>
        <v>39054.720272107392</v>
      </c>
      <c r="P86" s="32">
        <f t="shared" si="13"/>
        <v>7256.8572766919124</v>
      </c>
      <c r="Q86" s="32">
        <f t="shared" si="13"/>
        <v>38315.897314181646</v>
      </c>
      <c r="R86" s="32">
        <f t="shared" si="13"/>
        <v>50613.493698666513</v>
      </c>
      <c r="S86" s="32">
        <f t="shared" si="13"/>
        <v>24464.438442001177</v>
      </c>
      <c r="T86" s="32">
        <f t="shared" si="13"/>
        <v>17302.244418918726</v>
      </c>
      <c r="U86" s="32">
        <f t="shared" si="13"/>
        <v>11096.764827585876</v>
      </c>
      <c r="V86" s="32">
        <f t="shared" si="13"/>
        <v>4885.8999702524552</v>
      </c>
      <c r="W86" s="32">
        <f t="shared" si="13"/>
        <v>5513.8795435500069</v>
      </c>
      <c r="X86" s="32">
        <f t="shared" si="13"/>
        <v>7034.4921894961308</v>
      </c>
      <c r="Y86" s="32">
        <f t="shared" si="13"/>
        <v>9565.5471605799685</v>
      </c>
      <c r="Z86" s="32">
        <f t="shared" si="13"/>
        <v>4449.5262356055273</v>
      </c>
      <c r="AA86" s="32">
        <f t="shared" si="13"/>
        <v>5292.9236887238239</v>
      </c>
    </row>
    <row r="87" spans="2:27" x14ac:dyDescent="0.2">
      <c r="B87" s="32">
        <f>_xlfn.COVARIANCE.P($O$3:$O$67,B$3:B$67)</f>
        <v>330812.31537237333</v>
      </c>
      <c r="C87" s="32">
        <f t="shared" ref="C87:AA87" si="14">_xlfn.COVARIANCE.P($O$3:$O$67,C$3:C$67)</f>
        <v>447968.64125575178</v>
      </c>
      <c r="D87" s="32">
        <f t="shared" si="14"/>
        <v>295593.61402656621</v>
      </c>
      <c r="E87" s="32">
        <f t="shared" si="14"/>
        <v>149017.49026528595</v>
      </c>
      <c r="F87" s="32">
        <f t="shared" si="14"/>
        <v>108697.66729006011</v>
      </c>
      <c r="G87" s="32">
        <f t="shared" si="14"/>
        <v>211377.17525275145</v>
      </c>
      <c r="H87" s="32">
        <f t="shared" si="14"/>
        <v>109146.91930621427</v>
      </c>
      <c r="I87" s="32">
        <f t="shared" si="14"/>
        <v>77231.287178372324</v>
      </c>
      <c r="J87" s="32">
        <f t="shared" si="14"/>
        <v>35294.144717306182</v>
      </c>
      <c r="K87" s="32">
        <f t="shared" si="14"/>
        <v>53898.664692341066</v>
      </c>
      <c r="L87" s="32">
        <f t="shared" si="14"/>
        <v>51594.203859149035</v>
      </c>
      <c r="M87" s="32">
        <f t="shared" si="14"/>
        <v>44472.097422639774</v>
      </c>
      <c r="N87" s="32">
        <f t="shared" si="14"/>
        <v>39054.720272107392</v>
      </c>
      <c r="O87" s="32">
        <f t="shared" si="14"/>
        <v>24771.499609757993</v>
      </c>
      <c r="P87" s="32">
        <f t="shared" si="14"/>
        <v>5900.6202135383637</v>
      </c>
      <c r="Q87" s="32">
        <f t="shared" si="14"/>
        <v>25084.530849234859</v>
      </c>
      <c r="R87" s="32">
        <f t="shared" si="14"/>
        <v>32767.311028943885</v>
      </c>
      <c r="S87" s="32">
        <f t="shared" si="14"/>
        <v>14293.828859991614</v>
      </c>
      <c r="T87" s="32">
        <f t="shared" si="14"/>
        <v>9157.8389433007087</v>
      </c>
      <c r="U87" s="32">
        <f t="shared" si="14"/>
        <v>7161.7446060083485</v>
      </c>
      <c r="V87" s="32">
        <f t="shared" si="14"/>
        <v>4691.3741194981649</v>
      </c>
      <c r="W87" s="32">
        <f t="shared" si="14"/>
        <v>3169.093543371308</v>
      </c>
      <c r="X87" s="32">
        <f t="shared" si="14"/>
        <v>3348.1810675113084</v>
      </c>
      <c r="Y87" s="32">
        <f t="shared" si="14"/>
        <v>5100.9986878641866</v>
      </c>
      <c r="Z87" s="32">
        <f t="shared" si="14"/>
        <v>3241.8481832898719</v>
      </c>
      <c r="AA87" s="32">
        <f t="shared" si="14"/>
        <v>2428.5890766366083</v>
      </c>
    </row>
    <row r="88" spans="2:27" x14ac:dyDescent="0.2">
      <c r="B88" s="32">
        <f>_xlfn.COVARIANCE.P($P$3:$P$67,B$3:B$67)</f>
        <v>126953.45477595132</v>
      </c>
      <c r="C88" s="32">
        <f t="shared" ref="C88:AA88" si="15">_xlfn.COVARIANCE.P($P$3:$P$67,C$3:C$67)</f>
        <v>76857.627806801378</v>
      </c>
      <c r="D88" s="32">
        <f t="shared" si="15"/>
        <v>60439.909309820549</v>
      </c>
      <c r="E88" s="32">
        <f t="shared" si="15"/>
        <v>93526.429960242996</v>
      </c>
      <c r="F88" s="32">
        <f t="shared" si="15"/>
        <v>60090.409294532328</v>
      </c>
      <c r="G88" s="32">
        <f t="shared" si="15"/>
        <v>48193.10204182857</v>
      </c>
      <c r="H88" s="32">
        <f t="shared" si="15"/>
        <v>18467.423901678554</v>
      </c>
      <c r="I88" s="32">
        <f t="shared" si="15"/>
        <v>24878.13384002864</v>
      </c>
      <c r="J88" s="32">
        <f t="shared" si="15"/>
        <v>16700.061357243176</v>
      </c>
      <c r="K88" s="32">
        <f t="shared" si="15"/>
        <v>22821.029749684356</v>
      </c>
      <c r="L88" s="32">
        <f t="shared" si="15"/>
        <v>15801.916958499409</v>
      </c>
      <c r="M88" s="32">
        <f t="shared" si="15"/>
        <v>4270.3380500079529</v>
      </c>
      <c r="N88" s="32">
        <f t="shared" si="15"/>
        <v>7256.8572766919124</v>
      </c>
      <c r="O88" s="32">
        <f t="shared" si="15"/>
        <v>5900.6202135383637</v>
      </c>
      <c r="P88" s="32">
        <f t="shared" si="15"/>
        <v>26007.234024217716</v>
      </c>
      <c r="Q88" s="32">
        <f t="shared" si="15"/>
        <v>4118.6281940848794</v>
      </c>
      <c r="R88" s="32">
        <f t="shared" si="15"/>
        <v>3108.8931830871684</v>
      </c>
      <c r="S88" s="32">
        <f t="shared" si="15"/>
        <v>1384.1303378687321</v>
      </c>
      <c r="T88" s="32">
        <f t="shared" si="15"/>
        <v>2144.5249768716776</v>
      </c>
      <c r="U88" s="32">
        <f t="shared" si="15"/>
        <v>1641.9607192538751</v>
      </c>
      <c r="V88" s="32">
        <f t="shared" si="15"/>
        <v>4455.1103702988767</v>
      </c>
      <c r="W88" s="32">
        <f t="shared" si="15"/>
        <v>1031.3900694399008</v>
      </c>
      <c r="X88" s="32">
        <f t="shared" si="15"/>
        <v>1265.3650613658881</v>
      </c>
      <c r="Y88" s="32">
        <f t="shared" si="15"/>
        <v>1526.9154193085662</v>
      </c>
      <c r="Z88" s="32">
        <f t="shared" si="15"/>
        <v>439.66121625704528</v>
      </c>
      <c r="AA88" s="32">
        <f t="shared" si="15"/>
        <v>198.13527612491723</v>
      </c>
    </row>
    <row r="89" spans="2:27" x14ac:dyDescent="0.2">
      <c r="B89" s="32">
        <f>_xlfn.COVARIANCE.P($Q$3:$Q$67,B$3:B$67)</f>
        <v>432728.24866323872</v>
      </c>
      <c r="C89" s="32">
        <f t="shared" ref="C89:AA89" si="16">_xlfn.COVARIANCE.P($Q$3:$Q$67,C$3:C$67)</f>
        <v>479176.51646521856</v>
      </c>
      <c r="D89" s="32">
        <f t="shared" si="16"/>
        <v>321795.01250507578</v>
      </c>
      <c r="E89" s="32">
        <f t="shared" si="16"/>
        <v>126565.37518555878</v>
      </c>
      <c r="F89" s="32">
        <f t="shared" si="16"/>
        <v>110487.1525521032</v>
      </c>
      <c r="G89" s="32">
        <f t="shared" si="16"/>
        <v>214901.97140868916</v>
      </c>
      <c r="H89" s="32">
        <f t="shared" si="16"/>
        <v>144851.48003323114</v>
      </c>
      <c r="I89" s="32">
        <f t="shared" si="16"/>
        <v>81102.025715713171</v>
      </c>
      <c r="J89" s="32">
        <f t="shared" si="16"/>
        <v>35043.638766014177</v>
      </c>
      <c r="K89" s="32">
        <f t="shared" si="16"/>
        <v>55626.721968297359</v>
      </c>
      <c r="L89" s="32">
        <f t="shared" si="16"/>
        <v>55583.430984438164</v>
      </c>
      <c r="M89" s="32">
        <f t="shared" si="16"/>
        <v>50820.833918252436</v>
      </c>
      <c r="N89" s="32">
        <f t="shared" si="16"/>
        <v>38315.897314181646</v>
      </c>
      <c r="O89" s="32">
        <f t="shared" si="16"/>
        <v>25084.530849234859</v>
      </c>
      <c r="P89" s="32">
        <f t="shared" si="16"/>
        <v>4118.6281940848794</v>
      </c>
      <c r="Q89" s="32">
        <f t="shared" si="16"/>
        <v>33592.116644500573</v>
      </c>
      <c r="R89" s="32">
        <f t="shared" si="16"/>
        <v>39202.170060288168</v>
      </c>
      <c r="S89" s="32">
        <f t="shared" si="16"/>
        <v>19246.053157039638</v>
      </c>
      <c r="T89" s="32">
        <f t="shared" si="16"/>
        <v>10025.48622229614</v>
      </c>
      <c r="U89" s="32">
        <f t="shared" si="16"/>
        <v>8393.4825157355499</v>
      </c>
      <c r="V89" s="32">
        <f t="shared" si="16"/>
        <v>3432.3219550481062</v>
      </c>
      <c r="W89" s="32">
        <f t="shared" si="16"/>
        <v>2904.3651302068633</v>
      </c>
      <c r="X89" s="32">
        <f t="shared" si="16"/>
        <v>3159.1030235009257</v>
      </c>
      <c r="Y89" s="32">
        <f t="shared" si="16"/>
        <v>5299.8397871014477</v>
      </c>
      <c r="Z89" s="32">
        <f t="shared" si="16"/>
        <v>3879.0490177312345</v>
      </c>
      <c r="AA89" s="32">
        <f t="shared" si="16"/>
        <v>2112.4342992299567</v>
      </c>
    </row>
    <row r="90" spans="2:27" x14ac:dyDescent="0.2">
      <c r="B90" s="32">
        <f>_xlfn.COVARIANCE.P($R$3:$R$67,B$3:B$67)</f>
        <v>490904.13433247257</v>
      </c>
      <c r="C90" s="32">
        <f t="shared" ref="C90:AA90" si="17">_xlfn.COVARIANCE.P($R$3:$R$67,C$3:C$67)</f>
        <v>626935.56266776705</v>
      </c>
      <c r="D90" s="32">
        <f t="shared" si="17"/>
        <v>397812.9642392461</v>
      </c>
      <c r="E90" s="32">
        <f t="shared" si="17"/>
        <v>145757.96887018322</v>
      </c>
      <c r="F90" s="32">
        <f t="shared" si="17"/>
        <v>116664.77073553507</v>
      </c>
      <c r="G90" s="32">
        <f t="shared" si="17"/>
        <v>268905.34446136683</v>
      </c>
      <c r="H90" s="32">
        <f t="shared" si="17"/>
        <v>165151.96790504488</v>
      </c>
      <c r="I90" s="32">
        <f t="shared" si="17"/>
        <v>84444.886153310028</v>
      </c>
      <c r="J90" s="32">
        <f t="shared" si="17"/>
        <v>36067.644858825086</v>
      </c>
      <c r="K90" s="32">
        <f t="shared" si="17"/>
        <v>65219.647138737229</v>
      </c>
      <c r="L90" s="32">
        <f t="shared" si="17"/>
        <v>73894.411533209961</v>
      </c>
      <c r="M90" s="32">
        <f t="shared" si="17"/>
        <v>59148.276797097373</v>
      </c>
      <c r="N90" s="32">
        <f t="shared" si="17"/>
        <v>50613.493698666513</v>
      </c>
      <c r="O90" s="32">
        <f t="shared" si="17"/>
        <v>32767.311028943885</v>
      </c>
      <c r="P90" s="32">
        <f t="shared" si="17"/>
        <v>3108.8931830871684</v>
      </c>
      <c r="Q90" s="32">
        <f t="shared" si="17"/>
        <v>39202.170060288168</v>
      </c>
      <c r="R90" s="32">
        <f t="shared" si="17"/>
        <v>56604.768531912785</v>
      </c>
      <c r="S90" s="32">
        <f t="shared" si="17"/>
        <v>22272.622125277732</v>
      </c>
      <c r="T90" s="32">
        <f t="shared" si="17"/>
        <v>12641.131501369178</v>
      </c>
      <c r="U90" s="32">
        <f t="shared" si="17"/>
        <v>10825.794977210124</v>
      </c>
      <c r="V90" s="32">
        <f t="shared" si="17"/>
        <v>4638.2918210761836</v>
      </c>
      <c r="W90" s="32">
        <f t="shared" si="17"/>
        <v>4125.2294725297579</v>
      </c>
      <c r="X90" s="32">
        <f t="shared" si="17"/>
        <v>3275.0393206901754</v>
      </c>
      <c r="Y90" s="32">
        <f t="shared" si="17"/>
        <v>5876.074462732322</v>
      </c>
      <c r="Z90" s="32">
        <f t="shared" si="17"/>
        <v>4631.35644010124</v>
      </c>
      <c r="AA90" s="32">
        <f t="shared" si="17"/>
        <v>2957.8325185972371</v>
      </c>
    </row>
    <row r="91" spans="2:27" x14ac:dyDescent="0.2">
      <c r="B91" s="32">
        <f>_xlfn.COVARIANCE.P($S$3:$S$67,B$3:B$67)</f>
        <v>206502.8954168752</v>
      </c>
      <c r="C91" s="32">
        <f t="shared" ref="C91:AA91" si="18">_xlfn.COVARIANCE.P($S$3:$S$67,C$3:C$67)</f>
        <v>299289.25692606746</v>
      </c>
      <c r="D91" s="32">
        <f t="shared" si="18"/>
        <v>214154.60498933165</v>
      </c>
      <c r="E91" s="32">
        <f t="shared" si="18"/>
        <v>92250.092265767264</v>
      </c>
      <c r="F91" s="32">
        <f t="shared" si="18"/>
        <v>68779.280916494594</v>
      </c>
      <c r="G91" s="32">
        <f t="shared" si="18"/>
        <v>145307.8330523918</v>
      </c>
      <c r="H91" s="32">
        <f t="shared" si="18"/>
        <v>96674.305203542754</v>
      </c>
      <c r="I91" s="32">
        <f t="shared" si="18"/>
        <v>61595.103944508141</v>
      </c>
      <c r="J91" s="32">
        <f t="shared" si="18"/>
        <v>26593.190133837379</v>
      </c>
      <c r="K91" s="32">
        <f t="shared" si="18"/>
        <v>30526.21763406332</v>
      </c>
      <c r="L91" s="32">
        <f t="shared" si="18"/>
        <v>34286.567676703686</v>
      </c>
      <c r="M91" s="32">
        <f t="shared" si="18"/>
        <v>40482.421705090303</v>
      </c>
      <c r="N91" s="32">
        <f t="shared" si="18"/>
        <v>24464.438442001177</v>
      </c>
      <c r="O91" s="32">
        <f t="shared" si="18"/>
        <v>14293.828859991614</v>
      </c>
      <c r="P91" s="32">
        <f t="shared" si="18"/>
        <v>1384.1303378687321</v>
      </c>
      <c r="Q91" s="32">
        <f t="shared" si="18"/>
        <v>19246.053157039638</v>
      </c>
      <c r="R91" s="32">
        <f t="shared" si="18"/>
        <v>22272.622125277732</v>
      </c>
      <c r="S91" s="32">
        <f t="shared" si="18"/>
        <v>16053.981975561888</v>
      </c>
      <c r="T91" s="32">
        <f t="shared" si="18"/>
        <v>6109.6497983885911</v>
      </c>
      <c r="U91" s="32">
        <f t="shared" si="18"/>
        <v>4867.2898131573083</v>
      </c>
      <c r="V91" s="32">
        <f t="shared" si="18"/>
        <v>1212.2189216584179</v>
      </c>
      <c r="W91" s="32">
        <f t="shared" si="18"/>
        <v>1839.8527408012385</v>
      </c>
      <c r="X91" s="32">
        <f t="shared" si="18"/>
        <v>2356.1855034212581</v>
      </c>
      <c r="Y91" s="32">
        <f t="shared" si="18"/>
        <v>3244.9611382832586</v>
      </c>
      <c r="Z91" s="32">
        <f t="shared" si="18"/>
        <v>2404.7818082466711</v>
      </c>
      <c r="AA91" s="32">
        <f t="shared" si="18"/>
        <v>1954.0774918630084</v>
      </c>
    </row>
    <row r="92" spans="2:27" x14ac:dyDescent="0.2">
      <c r="B92" s="32">
        <f>_xlfn.COVARIANCE.P($T$3:$T$67,B$3:B$67)</f>
        <v>157399.34943417026</v>
      </c>
      <c r="C92" s="32">
        <f t="shared" ref="C92:AA92" si="19">_xlfn.COVARIANCE.P($T$3:$T$67,C$3:C$67)</f>
        <v>192252.31143385117</v>
      </c>
      <c r="D92" s="32">
        <f t="shared" si="19"/>
        <v>142340.82094037189</v>
      </c>
      <c r="E92" s="32">
        <f t="shared" si="19"/>
        <v>64038.574247231023</v>
      </c>
      <c r="F92" s="32">
        <f t="shared" si="19"/>
        <v>37416.633674139841</v>
      </c>
      <c r="G92" s="32">
        <f t="shared" si="19"/>
        <v>94791.022974748281</v>
      </c>
      <c r="H92" s="32">
        <f t="shared" si="19"/>
        <v>50478.580817799491</v>
      </c>
      <c r="I92" s="32">
        <f t="shared" si="19"/>
        <v>39379.284034121425</v>
      </c>
      <c r="J92" s="32">
        <f t="shared" si="19"/>
        <v>15607.546421180585</v>
      </c>
      <c r="K92" s="32">
        <f t="shared" si="19"/>
        <v>20478.975499508208</v>
      </c>
      <c r="L92" s="32">
        <f t="shared" si="19"/>
        <v>20470.707964468784</v>
      </c>
      <c r="M92" s="32">
        <f t="shared" si="19"/>
        <v>16827.772804567121</v>
      </c>
      <c r="N92" s="32">
        <f t="shared" si="19"/>
        <v>17302.244418918726</v>
      </c>
      <c r="O92" s="32">
        <f t="shared" si="19"/>
        <v>9157.8389433007087</v>
      </c>
      <c r="P92" s="32">
        <f t="shared" si="19"/>
        <v>2144.5249768716776</v>
      </c>
      <c r="Q92" s="32">
        <f t="shared" si="19"/>
        <v>10025.48622229614</v>
      </c>
      <c r="R92" s="32">
        <f t="shared" si="19"/>
        <v>12641.131501369178</v>
      </c>
      <c r="S92" s="32">
        <f t="shared" si="19"/>
        <v>6109.6497983885911</v>
      </c>
      <c r="T92" s="32">
        <f t="shared" si="19"/>
        <v>4604.9908887136608</v>
      </c>
      <c r="U92" s="32">
        <f t="shared" si="19"/>
        <v>2830.4192144716103</v>
      </c>
      <c r="V92" s="32">
        <f t="shared" si="19"/>
        <v>1191.4929302088458</v>
      </c>
      <c r="W92" s="32">
        <f t="shared" si="19"/>
        <v>1294.0020939121516</v>
      </c>
      <c r="X92" s="32">
        <f t="shared" si="19"/>
        <v>1746.4219659357336</v>
      </c>
      <c r="Y92" s="32">
        <f t="shared" si="19"/>
        <v>2228.6925041554937</v>
      </c>
      <c r="Z92" s="32">
        <f t="shared" si="19"/>
        <v>1424.9021862268492</v>
      </c>
      <c r="AA92" s="32">
        <f t="shared" si="19"/>
        <v>1062.4101822178418</v>
      </c>
    </row>
    <row r="93" spans="2:27" x14ac:dyDescent="0.2">
      <c r="B93" s="32">
        <f>_xlfn.COVARIANCE.P($U$3:$U$67,B$3:B$67)</f>
        <v>104082.46435348204</v>
      </c>
      <c r="C93" s="32">
        <f t="shared" ref="C93:AA93" si="20">_xlfn.COVARIANCE.P($U$3:$U$67,C$3:C$67)</f>
        <v>148100.58379295413</v>
      </c>
      <c r="D93" s="32">
        <f t="shared" si="20"/>
        <v>85439.204607639549</v>
      </c>
      <c r="E93" s="32">
        <f t="shared" si="20"/>
        <v>44654.90564226883</v>
      </c>
      <c r="F93" s="32">
        <f t="shared" si="20"/>
        <v>35935.890341409431</v>
      </c>
      <c r="G93" s="32">
        <f t="shared" si="20"/>
        <v>62413.920816244026</v>
      </c>
      <c r="H93" s="32">
        <f t="shared" si="20"/>
        <v>27702.78993279608</v>
      </c>
      <c r="I93" s="32">
        <f t="shared" si="20"/>
        <v>23891.622879878738</v>
      </c>
      <c r="J93" s="32">
        <f t="shared" si="20"/>
        <v>9819.8725035585539</v>
      </c>
      <c r="K93" s="32">
        <f t="shared" si="20"/>
        <v>16485.884287313012</v>
      </c>
      <c r="L93" s="32">
        <f t="shared" si="20"/>
        <v>16890.755200495983</v>
      </c>
      <c r="M93" s="32">
        <f t="shared" si="20"/>
        <v>13874.278257229618</v>
      </c>
      <c r="N93" s="32">
        <f t="shared" si="20"/>
        <v>11096.764827585876</v>
      </c>
      <c r="O93" s="32">
        <f t="shared" si="20"/>
        <v>7161.7446060083485</v>
      </c>
      <c r="P93" s="32">
        <f t="shared" si="20"/>
        <v>1641.9607192538751</v>
      </c>
      <c r="Q93" s="32">
        <f t="shared" si="20"/>
        <v>8393.4825157355499</v>
      </c>
      <c r="R93" s="32">
        <f t="shared" si="20"/>
        <v>10825.794977210124</v>
      </c>
      <c r="S93" s="32">
        <f t="shared" si="20"/>
        <v>4867.2898131573083</v>
      </c>
      <c r="T93" s="32">
        <f t="shared" si="20"/>
        <v>2830.4192144716103</v>
      </c>
      <c r="U93" s="32">
        <f t="shared" si="20"/>
        <v>3024.9038893453512</v>
      </c>
      <c r="V93" s="32">
        <f t="shared" si="20"/>
        <v>1845.8190437410176</v>
      </c>
      <c r="W93" s="32">
        <f t="shared" si="20"/>
        <v>915.66101998772569</v>
      </c>
      <c r="X93" s="32">
        <f t="shared" si="20"/>
        <v>1125.8864229404358</v>
      </c>
      <c r="Y93" s="32">
        <f t="shared" si="20"/>
        <v>1541.85121861472</v>
      </c>
      <c r="Z93" s="32">
        <f t="shared" si="20"/>
        <v>1117.4321215919438</v>
      </c>
      <c r="AA93" s="32">
        <f t="shared" si="20"/>
        <v>753.22294361559841</v>
      </c>
    </row>
    <row r="94" spans="2:27" x14ac:dyDescent="0.2">
      <c r="B94" s="32">
        <f>_xlfn.COVARIANCE.P($V$3:$V$67,B$3:B$67)</f>
        <v>12833.493750461883</v>
      </c>
      <c r="C94" s="32">
        <f t="shared" ref="C94:AA94" si="21">_xlfn.COVARIANCE.P($V$3:$V$67,C$3:C$67)</f>
        <v>84385.530637029209</v>
      </c>
      <c r="D94" s="32">
        <f t="shared" si="21"/>
        <v>26329.26365674513</v>
      </c>
      <c r="E94" s="32">
        <f t="shared" si="21"/>
        <v>54830.404390873613</v>
      </c>
      <c r="F94" s="32">
        <f t="shared" si="21"/>
        <v>30042.475597545301</v>
      </c>
      <c r="G94" s="32">
        <f t="shared" si="21"/>
        <v>31090.701742432208</v>
      </c>
      <c r="H94" s="32">
        <f t="shared" si="21"/>
        <v>212.40299581776338</v>
      </c>
      <c r="I94" s="32">
        <f t="shared" si="21"/>
        <v>10049.475025252996</v>
      </c>
      <c r="J94" s="32">
        <f t="shared" si="21"/>
        <v>10132.352107053639</v>
      </c>
      <c r="K94" s="32">
        <f t="shared" si="21"/>
        <v>13258.521461509083</v>
      </c>
      <c r="L94" s="32">
        <f t="shared" si="21"/>
        <v>10583.536995281413</v>
      </c>
      <c r="M94" s="32">
        <f t="shared" si="21"/>
        <v>5753.6815916318701</v>
      </c>
      <c r="N94" s="32">
        <f t="shared" si="21"/>
        <v>4885.8999702524552</v>
      </c>
      <c r="O94" s="32">
        <f t="shared" si="21"/>
        <v>4691.3741194981649</v>
      </c>
      <c r="P94" s="32">
        <f t="shared" si="21"/>
        <v>4455.1103702988767</v>
      </c>
      <c r="Q94" s="32">
        <f t="shared" si="21"/>
        <v>3432.3219550481062</v>
      </c>
      <c r="R94" s="32">
        <f t="shared" si="21"/>
        <v>4638.2918210761836</v>
      </c>
      <c r="S94" s="32">
        <f t="shared" si="21"/>
        <v>1212.2189216584179</v>
      </c>
      <c r="T94" s="32">
        <f t="shared" si="21"/>
        <v>1191.4929302088458</v>
      </c>
      <c r="U94" s="32">
        <f t="shared" si="21"/>
        <v>1845.8190437410176</v>
      </c>
      <c r="V94" s="32">
        <f t="shared" si="21"/>
        <v>4638.5500756144129</v>
      </c>
      <c r="W94" s="32">
        <f t="shared" si="21"/>
        <v>686.42343950827387</v>
      </c>
      <c r="X94" s="32">
        <f t="shared" si="21"/>
        <v>666.84112114584059</v>
      </c>
      <c r="Y94" s="32">
        <f t="shared" si="21"/>
        <v>1273.0615042858365</v>
      </c>
      <c r="Z94" s="32">
        <f t="shared" si="21"/>
        <v>574.82289758409956</v>
      </c>
      <c r="AA94" s="32">
        <f t="shared" si="21"/>
        <v>273.08223732432958</v>
      </c>
    </row>
    <row r="95" spans="2:27" x14ac:dyDescent="0.2">
      <c r="B95" s="32">
        <f>_xlfn.COVARIANCE.P($W$3:$W$67,B$3:B$67)</f>
        <v>35033.339345684348</v>
      </c>
      <c r="C95" s="32">
        <f t="shared" ref="C95:AA95" si="22">_xlfn.COVARIANCE.P($W$3:$W$67,C$3:C$67)</f>
        <v>59248.593137919066</v>
      </c>
      <c r="D95" s="32">
        <f t="shared" si="22"/>
        <v>38534.763250149932</v>
      </c>
      <c r="E95" s="32">
        <f t="shared" si="22"/>
        <v>21193.242563276253</v>
      </c>
      <c r="F95" s="32">
        <f t="shared" si="22"/>
        <v>13392.011741524208</v>
      </c>
      <c r="G95" s="32">
        <f t="shared" si="22"/>
        <v>27851.309001096677</v>
      </c>
      <c r="H95" s="32">
        <f t="shared" si="22"/>
        <v>12508.500445700505</v>
      </c>
      <c r="I95" s="32">
        <f t="shared" si="22"/>
        <v>9571.7758970791147</v>
      </c>
      <c r="J95" s="32">
        <f t="shared" si="22"/>
        <v>5140.2225302630577</v>
      </c>
      <c r="K95" s="32">
        <f t="shared" si="22"/>
        <v>7308.3534254015967</v>
      </c>
      <c r="L95" s="32">
        <f t="shared" si="22"/>
        <v>7385.6146286035728</v>
      </c>
      <c r="M95" s="32">
        <f t="shared" si="22"/>
        <v>5567.3372056852068</v>
      </c>
      <c r="N95" s="32">
        <f t="shared" si="22"/>
        <v>5513.8795435500069</v>
      </c>
      <c r="O95" s="32">
        <f t="shared" si="22"/>
        <v>3169.093543371308</v>
      </c>
      <c r="P95" s="32">
        <f t="shared" si="22"/>
        <v>1031.3900694399008</v>
      </c>
      <c r="Q95" s="32">
        <f t="shared" si="22"/>
        <v>2904.3651302068633</v>
      </c>
      <c r="R95" s="32">
        <f t="shared" si="22"/>
        <v>4125.2294725297579</v>
      </c>
      <c r="S95" s="32">
        <f t="shared" si="22"/>
        <v>1839.8527408012385</v>
      </c>
      <c r="T95" s="32">
        <f t="shared" si="22"/>
        <v>1294.0020939121516</v>
      </c>
      <c r="U95" s="32">
        <f t="shared" si="22"/>
        <v>915.66101998772569</v>
      </c>
      <c r="V95" s="32">
        <f t="shared" si="22"/>
        <v>686.42343950827387</v>
      </c>
      <c r="W95" s="32">
        <f t="shared" si="22"/>
        <v>1176.519173371222</v>
      </c>
      <c r="X95" s="32">
        <f t="shared" si="22"/>
        <v>505.02531914197135</v>
      </c>
      <c r="Y95" s="32">
        <f t="shared" si="22"/>
        <v>628.53018173222324</v>
      </c>
      <c r="Z95" s="32">
        <f t="shared" si="22"/>
        <v>356.91749545714197</v>
      </c>
      <c r="AA95" s="32">
        <f t="shared" si="22"/>
        <v>475.8605346462611</v>
      </c>
    </row>
    <row r="96" spans="2:27" x14ac:dyDescent="0.2">
      <c r="B96" s="32">
        <f>_xlfn.COVARIANCE.P($X$3:$X$67,B$3:B$67)</f>
        <v>43346.754202326119</v>
      </c>
      <c r="C96" s="32">
        <f t="shared" ref="C96:AA96" si="23">_xlfn.COVARIANCE.P($X$3:$X$67,C$3:C$67)</f>
        <v>78173.965781640596</v>
      </c>
      <c r="D96" s="32">
        <f t="shared" si="23"/>
        <v>51137.08825458432</v>
      </c>
      <c r="E96" s="32">
        <f t="shared" si="23"/>
        <v>34969.084214015456</v>
      </c>
      <c r="F96" s="32">
        <f t="shared" si="23"/>
        <v>17963.536175669782</v>
      </c>
      <c r="G96" s="32">
        <f t="shared" si="23"/>
        <v>40084.426856694328</v>
      </c>
      <c r="H96" s="32">
        <f t="shared" si="23"/>
        <v>14200.26871061364</v>
      </c>
      <c r="I96" s="32">
        <f t="shared" si="23"/>
        <v>19204.576759663483</v>
      </c>
      <c r="J96" s="32">
        <f t="shared" si="23"/>
        <v>6601.2631760692411</v>
      </c>
      <c r="K96" s="32">
        <f t="shared" si="23"/>
        <v>8014.3286344519584</v>
      </c>
      <c r="L96" s="32">
        <f t="shared" si="23"/>
        <v>7634.4241558781132</v>
      </c>
      <c r="M96" s="32">
        <f t="shared" si="23"/>
        <v>7904.8942940473198</v>
      </c>
      <c r="N96" s="32">
        <f t="shared" si="23"/>
        <v>7034.4921894961308</v>
      </c>
      <c r="O96" s="32">
        <f t="shared" si="23"/>
        <v>3348.1810675113084</v>
      </c>
      <c r="P96" s="32">
        <f t="shared" si="23"/>
        <v>1265.3650613658881</v>
      </c>
      <c r="Q96" s="32">
        <f t="shared" si="23"/>
        <v>3159.1030235009257</v>
      </c>
      <c r="R96" s="32">
        <f t="shared" si="23"/>
        <v>3275.0393206901754</v>
      </c>
      <c r="S96" s="32">
        <f t="shared" si="23"/>
        <v>2356.1855034212581</v>
      </c>
      <c r="T96" s="32">
        <f t="shared" si="23"/>
        <v>1746.4219659357336</v>
      </c>
      <c r="U96" s="32">
        <f t="shared" si="23"/>
        <v>1125.8864229404358</v>
      </c>
      <c r="V96" s="32">
        <f t="shared" si="23"/>
        <v>666.84112114584059</v>
      </c>
      <c r="W96" s="32">
        <f t="shared" si="23"/>
        <v>505.02531914197135</v>
      </c>
      <c r="X96" s="32">
        <f t="shared" si="23"/>
        <v>1107.1692526544746</v>
      </c>
      <c r="Y96" s="32">
        <f t="shared" si="23"/>
        <v>1159.622113203395</v>
      </c>
      <c r="Z96" s="32">
        <f t="shared" si="23"/>
        <v>603.60319071726235</v>
      </c>
      <c r="AA96" s="32">
        <f t="shared" si="23"/>
        <v>581.3080224096293</v>
      </c>
    </row>
    <row r="97" spans="1:27" x14ac:dyDescent="0.2">
      <c r="B97" s="32">
        <f>_xlfn.COVARIANCE.P($Y$3:$Y$67,B$3:B$67)</f>
        <v>57981.270628071412</v>
      </c>
      <c r="C97" s="32">
        <f t="shared" ref="C97:AA97" si="24">_xlfn.COVARIANCE.P($Y$3:$Y$67,C$3:C$67)</f>
        <v>119968.65229562837</v>
      </c>
      <c r="D97" s="32">
        <f t="shared" si="24"/>
        <v>69786.24513053702</v>
      </c>
      <c r="E97" s="32">
        <f t="shared" si="24"/>
        <v>41518.530648163382</v>
      </c>
      <c r="F97" s="32">
        <f t="shared" si="24"/>
        <v>20250.578628040625</v>
      </c>
      <c r="G97" s="32">
        <f t="shared" si="24"/>
        <v>55559.010724342843</v>
      </c>
      <c r="H97" s="32">
        <f t="shared" si="24"/>
        <v>23350.883838479444</v>
      </c>
      <c r="I97" s="32">
        <f t="shared" si="24"/>
        <v>25536.702905018701</v>
      </c>
      <c r="J97" s="32">
        <f t="shared" si="24"/>
        <v>9807.9972675237022</v>
      </c>
      <c r="K97" s="32">
        <f t="shared" si="24"/>
        <v>13600.961628533698</v>
      </c>
      <c r="L97" s="32">
        <f t="shared" si="24"/>
        <v>10517.76614661597</v>
      </c>
      <c r="M97" s="32">
        <f t="shared" si="24"/>
        <v>10516.125426684141</v>
      </c>
      <c r="N97" s="32">
        <f t="shared" si="24"/>
        <v>9565.5471605799685</v>
      </c>
      <c r="O97" s="32">
        <f t="shared" si="24"/>
        <v>5100.9986878641866</v>
      </c>
      <c r="P97" s="32">
        <f t="shared" si="24"/>
        <v>1526.9154193085662</v>
      </c>
      <c r="Q97" s="32">
        <f t="shared" si="24"/>
        <v>5299.8397871014477</v>
      </c>
      <c r="R97" s="32">
        <f t="shared" si="24"/>
        <v>5876.074462732322</v>
      </c>
      <c r="S97" s="32">
        <f t="shared" si="24"/>
        <v>3244.9611382832586</v>
      </c>
      <c r="T97" s="32">
        <f t="shared" si="24"/>
        <v>2228.6925041554937</v>
      </c>
      <c r="U97" s="32">
        <f t="shared" si="24"/>
        <v>1541.85121861472</v>
      </c>
      <c r="V97" s="32">
        <f t="shared" si="24"/>
        <v>1273.0615042858365</v>
      </c>
      <c r="W97" s="32">
        <f t="shared" si="24"/>
        <v>628.53018173222324</v>
      </c>
      <c r="X97" s="32">
        <f t="shared" si="24"/>
        <v>1159.622113203395</v>
      </c>
      <c r="Y97" s="32">
        <f t="shared" si="24"/>
        <v>2054.7957522490319</v>
      </c>
      <c r="Z97" s="32">
        <f t="shared" si="24"/>
        <v>815.77956758086953</v>
      </c>
      <c r="AA97" s="32">
        <f t="shared" si="24"/>
        <v>594.12141866163643</v>
      </c>
    </row>
    <row r="98" spans="1:27" x14ac:dyDescent="0.2">
      <c r="B98" s="32">
        <f>_xlfn.COVARIANCE.P($Z$3:$Z$67,B$3:B$67)</f>
        <v>61069.72755785878</v>
      </c>
      <c r="C98" s="32">
        <f t="shared" ref="C98:AA98" si="25">_xlfn.COVARIANCE.P($Z$3:$Z$67,C$3:C$67)</f>
        <v>63705.549641781996</v>
      </c>
      <c r="D98" s="32">
        <f t="shared" si="25"/>
        <v>39292.974459133737</v>
      </c>
      <c r="E98" s="32">
        <f t="shared" si="25"/>
        <v>24840.418539710547</v>
      </c>
      <c r="F98" s="32">
        <f t="shared" si="25"/>
        <v>16316.595100580766</v>
      </c>
      <c r="G98" s="32">
        <f t="shared" si="25"/>
        <v>27712.999172494325</v>
      </c>
      <c r="H98" s="32">
        <f t="shared" si="25"/>
        <v>16845.904520561689</v>
      </c>
      <c r="I98" s="32">
        <f t="shared" si="25"/>
        <v>10773.713775520358</v>
      </c>
      <c r="J98" s="32">
        <f t="shared" si="25"/>
        <v>2823.5496937138291</v>
      </c>
      <c r="K98" s="32">
        <f t="shared" si="25"/>
        <v>6527.9043635890612</v>
      </c>
      <c r="L98" s="32">
        <f t="shared" si="25"/>
        <v>7611.084514753461</v>
      </c>
      <c r="M98" s="32">
        <f t="shared" si="25"/>
        <v>6230.0437121215427</v>
      </c>
      <c r="N98" s="32">
        <f t="shared" si="25"/>
        <v>4449.5262356055273</v>
      </c>
      <c r="O98" s="32">
        <f t="shared" si="25"/>
        <v>3241.8481832898719</v>
      </c>
      <c r="P98" s="32">
        <f t="shared" si="25"/>
        <v>439.66121625704528</v>
      </c>
      <c r="Q98" s="32">
        <f t="shared" si="25"/>
        <v>3879.0490177312345</v>
      </c>
      <c r="R98" s="32">
        <f t="shared" si="25"/>
        <v>4631.35644010124</v>
      </c>
      <c r="S98" s="32">
        <f t="shared" si="25"/>
        <v>2404.7818082466711</v>
      </c>
      <c r="T98" s="32">
        <f t="shared" si="25"/>
        <v>1424.9021862268492</v>
      </c>
      <c r="U98" s="32">
        <f t="shared" si="25"/>
        <v>1117.4321215919438</v>
      </c>
      <c r="V98" s="32">
        <f t="shared" si="25"/>
        <v>574.82289758409956</v>
      </c>
      <c r="W98" s="32">
        <f t="shared" si="25"/>
        <v>356.91749545714197</v>
      </c>
      <c r="X98" s="32">
        <f t="shared" si="25"/>
        <v>603.60319071726235</v>
      </c>
      <c r="Y98" s="32">
        <f t="shared" si="25"/>
        <v>815.77956758086953</v>
      </c>
      <c r="Z98" s="32">
        <f t="shared" si="25"/>
        <v>698.64243216289628</v>
      </c>
      <c r="AA98" s="32">
        <f t="shared" si="25"/>
        <v>373.18055159801901</v>
      </c>
    </row>
    <row r="99" spans="1:27" x14ac:dyDescent="0.2">
      <c r="B99" s="32">
        <f>_xlfn.COVARIANCE.P($AA$3:$AA$67,B$3:B$67)</f>
        <v>19878.325328909417</v>
      </c>
      <c r="C99" s="32">
        <f t="shared" ref="C99:AA99" si="26">_xlfn.COVARIANCE.P($AA$3:$AA$67,C$3:C$67)</f>
        <v>54883.522983006689</v>
      </c>
      <c r="D99" s="32">
        <f t="shared" si="26"/>
        <v>34315.995011842089</v>
      </c>
      <c r="E99" s="32">
        <f t="shared" si="26"/>
        <v>16730.782944550167</v>
      </c>
      <c r="F99" s="32">
        <f t="shared" si="26"/>
        <v>9112.0338981606783</v>
      </c>
      <c r="G99" s="32">
        <f t="shared" si="26"/>
        <v>26651.644627044192</v>
      </c>
      <c r="H99" s="32">
        <f t="shared" si="26"/>
        <v>7279.6752083094252</v>
      </c>
      <c r="I99" s="32">
        <f t="shared" si="26"/>
        <v>9745.6797011408016</v>
      </c>
      <c r="J99" s="32">
        <f t="shared" si="26"/>
        <v>4274.1647692269589</v>
      </c>
      <c r="K99" s="32">
        <f t="shared" si="26"/>
        <v>4078.935849309049</v>
      </c>
      <c r="L99" s="32">
        <f t="shared" si="26"/>
        <v>4921.7059659707229</v>
      </c>
      <c r="M99" s="32">
        <f t="shared" si="26"/>
        <v>5797.5132641884929</v>
      </c>
      <c r="N99" s="32">
        <f t="shared" si="26"/>
        <v>5292.9236887238239</v>
      </c>
      <c r="O99" s="32">
        <f t="shared" si="26"/>
        <v>2428.5890766366083</v>
      </c>
      <c r="P99" s="32">
        <f t="shared" si="26"/>
        <v>198.13527612491723</v>
      </c>
      <c r="Q99" s="32">
        <f t="shared" si="26"/>
        <v>2112.4342992299567</v>
      </c>
      <c r="R99" s="32">
        <f t="shared" si="26"/>
        <v>2957.8325185972371</v>
      </c>
      <c r="S99" s="32">
        <f t="shared" si="26"/>
        <v>1954.0774918630084</v>
      </c>
      <c r="T99" s="32">
        <f t="shared" si="26"/>
        <v>1062.4101822178418</v>
      </c>
      <c r="U99" s="32">
        <f t="shared" si="26"/>
        <v>753.22294361559841</v>
      </c>
      <c r="V99" s="32">
        <f t="shared" si="26"/>
        <v>273.08223732432958</v>
      </c>
      <c r="W99" s="32">
        <f t="shared" si="26"/>
        <v>475.8605346462611</v>
      </c>
      <c r="X99" s="32">
        <f t="shared" si="26"/>
        <v>581.3080224096293</v>
      </c>
      <c r="Y99" s="32">
        <f t="shared" si="26"/>
        <v>594.12141866163643</v>
      </c>
      <c r="Z99" s="32">
        <f t="shared" si="26"/>
        <v>373.18055159801901</v>
      </c>
      <c r="AA99" s="32">
        <f t="shared" si="26"/>
        <v>1686.558762333194</v>
      </c>
    </row>
    <row r="101" spans="1:27" x14ac:dyDescent="0.2">
      <c r="A101" s="114" t="s">
        <v>336</v>
      </c>
      <c r="B101" s="5">
        <f t="array" ref="B101:AA126">MINVERSE(B74:AA99)</f>
        <v>2.5369031386301684E-7</v>
      </c>
      <c r="C101" s="5">
        <v>5.3567478155575262E-8</v>
      </c>
      <c r="D101" s="5">
        <v>-2.0755437500251364E-7</v>
      </c>
      <c r="E101" s="5">
        <v>8.7509734991380856E-8</v>
      </c>
      <c r="F101" s="5">
        <v>-2.3758896319331988E-8</v>
      </c>
      <c r="G101" s="5">
        <v>-2.375060833219727E-7</v>
      </c>
      <c r="H101" s="5">
        <v>-4.2478369902412504E-8</v>
      </c>
      <c r="I101" s="5">
        <v>5.7361315122807387E-8</v>
      </c>
      <c r="J101" s="5">
        <v>3.6384033445855505E-7</v>
      </c>
      <c r="K101" s="5">
        <v>-1.370012446423885E-6</v>
      </c>
      <c r="L101" s="5">
        <v>-6.2272936591776601E-7</v>
      </c>
      <c r="M101" s="5">
        <v>1.1054861658835134E-7</v>
      </c>
      <c r="N101" s="5">
        <v>1.1060064823423329E-6</v>
      </c>
      <c r="O101" s="5">
        <v>2.2885307466301948E-6</v>
      </c>
      <c r="P101" s="5">
        <v>-6.1337537535135208E-7</v>
      </c>
      <c r="Q101" s="5">
        <v>-2.2916052003286624E-6</v>
      </c>
      <c r="R101" s="5">
        <v>4.942781183618276E-7</v>
      </c>
      <c r="S101" s="5">
        <v>3.1141869162801339E-6</v>
      </c>
      <c r="T101" s="5">
        <v>-1.5745160830510332E-6</v>
      </c>
      <c r="U101" s="5">
        <v>1.5227852075900826E-6</v>
      </c>
      <c r="V101" s="5">
        <v>2.0797423764008399E-6</v>
      </c>
      <c r="W101" s="5">
        <v>8.1336753036974277E-7</v>
      </c>
      <c r="X101" s="5">
        <v>1.5504448920178481E-6</v>
      </c>
      <c r="Y101" s="5">
        <v>7.0129230184082297E-6</v>
      </c>
      <c r="Z101" s="5">
        <v>-2.0198953129346179E-5</v>
      </c>
      <c r="AA101" s="5">
        <v>-9.0534904771234367E-7</v>
      </c>
    </row>
    <row r="102" spans="1:27" x14ac:dyDescent="0.2">
      <c r="A102" s="114"/>
      <c r="B102" s="5">
        <v>5.3567478155575877E-8</v>
      </c>
      <c r="C102" s="5">
        <v>2.4817985373502742E-6</v>
      </c>
      <c r="D102" s="5">
        <v>6.4720209535941927E-7</v>
      </c>
      <c r="E102" s="5">
        <v>3.1456611761501698E-8</v>
      </c>
      <c r="F102" s="5">
        <v>1.1501141925759007E-6</v>
      </c>
      <c r="G102" s="5">
        <v>-2.7160624898087465E-6</v>
      </c>
      <c r="H102" s="5">
        <v>5.0471833907815207E-7</v>
      </c>
      <c r="I102" s="5">
        <v>-9.5944895818786027E-7</v>
      </c>
      <c r="J102" s="5">
        <v>1.4149165842848019E-6</v>
      </c>
      <c r="K102" s="5">
        <v>-1.7893527284055194E-6</v>
      </c>
      <c r="L102" s="5">
        <v>-4.2397861094270435E-6</v>
      </c>
      <c r="M102" s="5">
        <v>-3.9162817211306308E-7</v>
      </c>
      <c r="N102" s="5">
        <v>-2.5412317687187701E-6</v>
      </c>
      <c r="O102" s="5">
        <v>2.6618974167628762E-6</v>
      </c>
      <c r="P102" s="5">
        <v>1.5708713357754086E-6</v>
      </c>
      <c r="Q102" s="5">
        <v>-3.3484008756753621E-7</v>
      </c>
      <c r="R102" s="5">
        <v>-1.8719689407023021E-6</v>
      </c>
      <c r="S102" s="5">
        <v>-1.0004811594131153E-6</v>
      </c>
      <c r="T102" s="5">
        <v>-1.7597440313338305E-5</v>
      </c>
      <c r="U102" s="5">
        <v>-2.8297595912801296E-5</v>
      </c>
      <c r="V102" s="5">
        <v>-2.5139439490300496E-6</v>
      </c>
      <c r="W102" s="5">
        <v>2.3477701824942935E-6</v>
      </c>
      <c r="X102" s="5">
        <v>3.0028691921102321E-5</v>
      </c>
      <c r="Y102" s="5">
        <v>-3.077406781361185E-5</v>
      </c>
      <c r="Z102" s="5">
        <v>-8.7454417599348818E-6</v>
      </c>
      <c r="AA102" s="5">
        <v>-5.6287894158077887E-6</v>
      </c>
    </row>
    <row r="103" spans="1:27" x14ac:dyDescent="0.2">
      <c r="B103" s="5">
        <v>-2.0755437500251306E-7</v>
      </c>
      <c r="C103" s="5">
        <v>6.4720209535942043E-7</v>
      </c>
      <c r="D103" s="5">
        <v>3.9043695252837397E-6</v>
      </c>
      <c r="E103" s="5">
        <v>1.615742373619495E-8</v>
      </c>
      <c r="F103" s="5">
        <v>-6.9929885099203152E-7</v>
      </c>
      <c r="G103" s="5">
        <v>-2.4606130534162633E-6</v>
      </c>
      <c r="H103" s="5">
        <v>-4.4920452841948898E-7</v>
      </c>
      <c r="I103" s="5">
        <v>-5.016888017444419E-6</v>
      </c>
      <c r="J103" s="5">
        <v>-9.733073890505671E-7</v>
      </c>
      <c r="K103" s="5">
        <v>-1.3818129994186607E-6</v>
      </c>
      <c r="L103" s="5">
        <v>1.0692908506156726E-6</v>
      </c>
      <c r="M103" s="5">
        <v>1.6412222895982047E-6</v>
      </c>
      <c r="N103" s="5">
        <v>-5.2671497158630334E-6</v>
      </c>
      <c r="O103" s="5">
        <v>5.9893196306895524E-6</v>
      </c>
      <c r="P103" s="5">
        <v>2.3749246352634933E-6</v>
      </c>
      <c r="Q103" s="5">
        <v>4.2175985558720831E-6</v>
      </c>
      <c r="R103" s="5">
        <v>-7.8794086074311007E-6</v>
      </c>
      <c r="S103" s="5">
        <v>-2.5996445655800738E-6</v>
      </c>
      <c r="T103" s="5">
        <v>-4.2408432478329656E-5</v>
      </c>
      <c r="U103" s="5">
        <v>7.4858279331493539E-6</v>
      </c>
      <c r="V103" s="5">
        <v>4.1816911591263741E-7</v>
      </c>
      <c r="W103" s="5">
        <v>-1.5250619518691718E-6</v>
      </c>
      <c r="X103" s="5">
        <v>5.3535596596250973E-5</v>
      </c>
      <c r="Y103" s="5">
        <v>1.7666805986619002E-5</v>
      </c>
      <c r="Z103" s="5">
        <v>-1.5028728312235478E-5</v>
      </c>
      <c r="AA103" s="5">
        <v>-6.021593600808452E-6</v>
      </c>
    </row>
    <row r="104" spans="1:27" x14ac:dyDescent="0.2">
      <c r="B104" s="5">
        <v>8.7509734991379904E-8</v>
      </c>
      <c r="C104" s="5">
        <v>3.1456611761489416E-8</v>
      </c>
      <c r="D104" s="5">
        <v>1.6157423736185418E-8</v>
      </c>
      <c r="E104" s="5">
        <v>7.8381193288981457E-6</v>
      </c>
      <c r="F104" s="5">
        <v>-4.6326446533093682E-6</v>
      </c>
      <c r="G104" s="5">
        <v>-6.3899922857759276E-6</v>
      </c>
      <c r="H104" s="5">
        <v>1.1366272245905843E-6</v>
      </c>
      <c r="I104" s="5">
        <v>-9.8232487330583185E-7</v>
      </c>
      <c r="J104" s="5">
        <v>1.9775078828361987E-6</v>
      </c>
      <c r="K104" s="5">
        <v>4.4333844569645428E-6</v>
      </c>
      <c r="L104" s="5">
        <v>-4.2782552222800526E-6</v>
      </c>
      <c r="M104" s="5">
        <v>-1.0090427128393348E-6</v>
      </c>
      <c r="N104" s="5">
        <v>1.1542173547513168E-5</v>
      </c>
      <c r="O104" s="5">
        <v>1.0811448799900967E-5</v>
      </c>
      <c r="P104" s="5">
        <v>-5.8683448710044283E-6</v>
      </c>
      <c r="Q104" s="5">
        <v>1.3974284585346671E-5</v>
      </c>
      <c r="R104" s="5">
        <v>-1.8836691995988907E-6</v>
      </c>
      <c r="S104" s="5">
        <v>-2.3289649547316889E-6</v>
      </c>
      <c r="T104" s="5">
        <v>-2.2106136034474702E-5</v>
      </c>
      <c r="U104" s="5">
        <v>8.0645195938506019E-5</v>
      </c>
      <c r="V104" s="5">
        <v>-5.6539478342915349E-5</v>
      </c>
      <c r="W104" s="5">
        <v>-1.4739308317243924E-5</v>
      </c>
      <c r="X104" s="5">
        <v>-3.1286984676618256E-5</v>
      </c>
      <c r="Y104" s="5">
        <v>8.8088887802091816E-6</v>
      </c>
      <c r="Z104" s="5">
        <v>-1.312034016070467E-4</v>
      </c>
      <c r="AA104" s="5">
        <v>1.2188876575262847E-5</v>
      </c>
    </row>
    <row r="105" spans="1:27" x14ac:dyDescent="0.2">
      <c r="B105" s="5">
        <v>-2.3758896319330559E-8</v>
      </c>
      <c r="C105" s="5">
        <v>1.1501141925759037E-6</v>
      </c>
      <c r="D105" s="5">
        <v>-6.9929885099202496E-7</v>
      </c>
      <c r="E105" s="5">
        <v>-4.6326446533093563E-6</v>
      </c>
      <c r="F105" s="5">
        <v>7.9630676820705345E-6</v>
      </c>
      <c r="G105" s="5">
        <v>2.3143947153050337E-6</v>
      </c>
      <c r="H105" s="5">
        <v>-1.1432769901880315E-6</v>
      </c>
      <c r="I105" s="5">
        <v>1.2177387852290923E-6</v>
      </c>
      <c r="J105" s="5">
        <v>-8.1529066052419645E-7</v>
      </c>
      <c r="K105" s="5">
        <v>-5.6719954959333968E-6</v>
      </c>
      <c r="L105" s="5">
        <v>-6.9413312029913286E-6</v>
      </c>
      <c r="M105" s="5">
        <v>-1.8517177293653262E-6</v>
      </c>
      <c r="N105" s="5">
        <v>1.6519471516360384E-6</v>
      </c>
      <c r="O105" s="5">
        <v>-2.5563865651326441E-5</v>
      </c>
      <c r="P105" s="5">
        <v>2.1830006026865507E-6</v>
      </c>
      <c r="Q105" s="5">
        <v>-1.134288342642504E-5</v>
      </c>
      <c r="R105" s="5">
        <v>1.4777336046956146E-5</v>
      </c>
      <c r="S105" s="5">
        <v>6.5342596228112802E-6</v>
      </c>
      <c r="T105" s="5">
        <v>3.4816272607467538E-5</v>
      </c>
      <c r="U105" s="5">
        <v>-8.7182935254954163E-5</v>
      </c>
      <c r="V105" s="5">
        <v>3.281982544167922E-5</v>
      </c>
      <c r="W105" s="5">
        <v>1.6014852595602371E-5</v>
      </c>
      <c r="X105" s="5">
        <v>-6.7926292361739795E-6</v>
      </c>
      <c r="Y105" s="5">
        <v>8.8211641157339802E-6</v>
      </c>
      <c r="Z105" s="5">
        <v>6.5270335289814322E-5</v>
      </c>
      <c r="AA105" s="5">
        <v>-1.2199874986037087E-5</v>
      </c>
    </row>
    <row r="106" spans="1:27" x14ac:dyDescent="0.2">
      <c r="B106" s="5">
        <v>-2.3750608332196992E-7</v>
      </c>
      <c r="C106" s="5">
        <v>-2.7160624898087097E-6</v>
      </c>
      <c r="D106" s="5">
        <v>-2.4606130534162413E-6</v>
      </c>
      <c r="E106" s="5">
        <v>-6.3899922857759462E-6</v>
      </c>
      <c r="F106" s="5">
        <v>2.3143947153050651E-6</v>
      </c>
      <c r="G106" s="5">
        <v>2.2777057318496465E-5</v>
      </c>
      <c r="H106" s="5">
        <v>-1.1171828446705052E-6</v>
      </c>
      <c r="I106" s="5">
        <v>2.6542289901137424E-6</v>
      </c>
      <c r="J106" s="5">
        <v>-4.3426552533563418E-6</v>
      </c>
      <c r="K106" s="5">
        <v>4.6634103030728196E-7</v>
      </c>
      <c r="L106" s="5">
        <v>2.7699071413643323E-7</v>
      </c>
      <c r="M106" s="5">
        <v>-5.1600588387148195E-6</v>
      </c>
      <c r="N106" s="5">
        <v>-4.3918537583098244E-5</v>
      </c>
      <c r="O106" s="5">
        <v>-2.117513749448328E-5</v>
      </c>
      <c r="P106" s="5">
        <v>2.3582919954290351E-6</v>
      </c>
      <c r="Q106" s="5">
        <v>4.6392577613629801E-6</v>
      </c>
      <c r="R106" s="5">
        <v>1.399815696080208E-5</v>
      </c>
      <c r="S106" s="5">
        <v>-1.3865560037085307E-5</v>
      </c>
      <c r="T106" s="5">
        <v>-1.5385462199829563E-5</v>
      </c>
      <c r="U106" s="5">
        <v>-5.3066636217394926E-5</v>
      </c>
      <c r="V106" s="5">
        <v>4.891173055867312E-5</v>
      </c>
      <c r="W106" s="5">
        <v>3.8427171984392917E-5</v>
      </c>
      <c r="X106" s="5">
        <v>1.5717152540548835E-5</v>
      </c>
      <c r="Y106" s="5">
        <v>-6.4316734654153767E-5</v>
      </c>
      <c r="Z106" s="5">
        <v>1.4061673675741504E-4</v>
      </c>
      <c r="AA106" s="5">
        <v>2.9989399497102894E-6</v>
      </c>
    </row>
    <row r="107" spans="1:27" x14ac:dyDescent="0.2">
      <c r="B107" s="5">
        <v>-4.2478369902412934E-8</v>
      </c>
      <c r="C107" s="5">
        <v>5.0471833907815461E-7</v>
      </c>
      <c r="D107" s="5">
        <v>-4.4920452841948935E-7</v>
      </c>
      <c r="E107" s="5">
        <v>1.1366272245905818E-6</v>
      </c>
      <c r="F107" s="5">
        <v>-1.1432769901880285E-6</v>
      </c>
      <c r="G107" s="5">
        <v>-1.1171828446704995E-6</v>
      </c>
      <c r="H107" s="5">
        <v>3.4597554150925795E-6</v>
      </c>
      <c r="I107" s="5">
        <v>6.9120681968445313E-7</v>
      </c>
      <c r="J107" s="5">
        <v>1.7300603942057099E-6</v>
      </c>
      <c r="K107" s="5">
        <v>2.0118042551248933E-7</v>
      </c>
      <c r="L107" s="5">
        <v>-1.9070106440892821E-6</v>
      </c>
      <c r="M107" s="5">
        <v>5.1256767891973287E-7</v>
      </c>
      <c r="N107" s="5">
        <v>-3.7967898094541232E-6</v>
      </c>
      <c r="O107" s="5">
        <v>5.8528194821399665E-6</v>
      </c>
      <c r="P107" s="5">
        <v>-9.514461141129331E-7</v>
      </c>
      <c r="Q107" s="5">
        <v>-5.7538430287848172E-6</v>
      </c>
      <c r="R107" s="5">
        <v>1.5523342699375599E-6</v>
      </c>
      <c r="S107" s="5">
        <v>-1.3220732432953055E-5</v>
      </c>
      <c r="T107" s="5">
        <v>-2.0400989455575092E-5</v>
      </c>
      <c r="U107" s="5">
        <v>3.5485151211672324E-5</v>
      </c>
      <c r="V107" s="5">
        <v>-7.7194204928047774E-6</v>
      </c>
      <c r="W107" s="5">
        <v>1.3979466215158384E-6</v>
      </c>
      <c r="X107" s="5">
        <v>2.4901507767234046E-5</v>
      </c>
      <c r="Y107" s="5">
        <v>-1.6852106425355102E-5</v>
      </c>
      <c r="Z107" s="5">
        <v>-2.5061028104786442E-5</v>
      </c>
      <c r="AA107" s="5">
        <v>9.9355118033540739E-6</v>
      </c>
    </row>
    <row r="108" spans="1:27" x14ac:dyDescent="0.2">
      <c r="B108" s="5">
        <v>5.7361315122806335E-8</v>
      </c>
      <c r="C108" s="5">
        <v>-9.5944895818785265E-7</v>
      </c>
      <c r="D108" s="5">
        <v>-5.0168880174444173E-6</v>
      </c>
      <c r="E108" s="5">
        <v>-9.8232487330584731E-7</v>
      </c>
      <c r="F108" s="5">
        <v>1.2177387852291082E-6</v>
      </c>
      <c r="G108" s="5">
        <v>2.6542289901137737E-6</v>
      </c>
      <c r="H108" s="5">
        <v>6.9120681968445292E-7</v>
      </c>
      <c r="I108" s="5">
        <v>1.2636890052477088E-5</v>
      </c>
      <c r="J108" s="5">
        <v>1.5604733479546774E-6</v>
      </c>
      <c r="K108" s="5">
        <v>2.8739050719709772E-6</v>
      </c>
      <c r="L108" s="5">
        <v>-3.612495735159717E-6</v>
      </c>
      <c r="M108" s="5">
        <v>-2.2935133162631915E-6</v>
      </c>
      <c r="N108" s="5">
        <v>3.7435308664140227E-6</v>
      </c>
      <c r="O108" s="5">
        <v>-8.2998491040742339E-6</v>
      </c>
      <c r="P108" s="5">
        <v>-1.9499607882469698E-6</v>
      </c>
      <c r="Q108" s="5">
        <v>-7.1410063745280331E-6</v>
      </c>
      <c r="R108" s="5">
        <v>2.2761302740862345E-5</v>
      </c>
      <c r="S108" s="5">
        <v>-7.9630052612244088E-6</v>
      </c>
      <c r="T108" s="5">
        <v>2.9185160470049733E-5</v>
      </c>
      <c r="U108" s="5">
        <v>-3.373239629599661E-5</v>
      </c>
      <c r="V108" s="5">
        <v>9.165973028934938E-6</v>
      </c>
      <c r="W108" s="5">
        <v>1.5762541703632772E-5</v>
      </c>
      <c r="X108" s="5">
        <v>-5.5285745085468607E-5</v>
      </c>
      <c r="Y108" s="5">
        <v>-5.9758624731168598E-5</v>
      </c>
      <c r="Z108" s="5">
        <v>1.0291009453147426E-4</v>
      </c>
      <c r="AA108" s="5">
        <v>1.2130920629009466E-5</v>
      </c>
    </row>
    <row r="109" spans="1:27" x14ac:dyDescent="0.2">
      <c r="B109" s="5">
        <v>3.6384033445855357E-7</v>
      </c>
      <c r="C109" s="5">
        <v>1.4149165842848089E-6</v>
      </c>
      <c r="D109" s="5">
        <v>-9.7330738905056541E-7</v>
      </c>
      <c r="E109" s="5">
        <v>1.9775078828361966E-6</v>
      </c>
      <c r="F109" s="5">
        <v>-8.1529066052419338E-7</v>
      </c>
      <c r="G109" s="5">
        <v>-4.3426552533563401E-6</v>
      </c>
      <c r="H109" s="5">
        <v>1.7300603942057099E-6</v>
      </c>
      <c r="I109" s="5">
        <v>1.5604733479546736E-6</v>
      </c>
      <c r="J109" s="5">
        <v>1.2432303866287786E-5</v>
      </c>
      <c r="K109" s="5">
        <v>-2.1990795086886312E-7</v>
      </c>
      <c r="L109" s="5">
        <v>-1.1147596451953198E-5</v>
      </c>
      <c r="M109" s="5">
        <v>3.0446695825799518E-6</v>
      </c>
      <c r="N109" s="5">
        <v>-7.3472615874138226E-6</v>
      </c>
      <c r="O109" s="5">
        <v>1.1755455231173782E-5</v>
      </c>
      <c r="P109" s="5">
        <v>-2.9831401011821506E-7</v>
      </c>
      <c r="Q109" s="5">
        <v>-1.4217564787326324E-5</v>
      </c>
      <c r="R109" s="5">
        <v>1.9062746629517911E-5</v>
      </c>
      <c r="S109" s="5">
        <v>-1.7697395111282725E-5</v>
      </c>
      <c r="T109" s="5">
        <v>-1.9265112438453553E-5</v>
      </c>
      <c r="U109" s="5">
        <v>1.7233162456460067E-5</v>
      </c>
      <c r="V109" s="5">
        <v>-3.2249034650572914E-5</v>
      </c>
      <c r="W109" s="5">
        <v>8.6929713139066548E-6</v>
      </c>
      <c r="X109" s="5">
        <v>4.5531358131834452E-5</v>
      </c>
      <c r="Y109" s="5">
        <v>-2.4995148173056531E-5</v>
      </c>
      <c r="Z109" s="5">
        <v>2.2783070275926105E-5</v>
      </c>
      <c r="AA109" s="5">
        <v>3.8138575827014408E-6</v>
      </c>
    </row>
    <row r="110" spans="1:27" x14ac:dyDescent="0.2">
      <c r="B110" s="5">
        <v>-1.3700124464238877E-6</v>
      </c>
      <c r="C110" s="5">
        <v>-1.7893527284055183E-6</v>
      </c>
      <c r="D110" s="5">
        <v>-1.3818129994186527E-6</v>
      </c>
      <c r="E110" s="5">
        <v>4.433384456964536E-6</v>
      </c>
      <c r="F110" s="5">
        <v>-5.6719954959334053E-6</v>
      </c>
      <c r="G110" s="5">
        <v>4.6634103030732373E-7</v>
      </c>
      <c r="H110" s="5">
        <v>2.0118042551249473E-7</v>
      </c>
      <c r="I110" s="5">
        <v>2.8739050719709636E-6</v>
      </c>
      <c r="J110" s="5">
        <v>-2.1990795086886156E-7</v>
      </c>
      <c r="K110" s="5">
        <v>3.9855483791387618E-5</v>
      </c>
      <c r="L110" s="5">
        <v>-2.3938745666590076E-6</v>
      </c>
      <c r="M110" s="5">
        <v>-6.9252071920433624E-7</v>
      </c>
      <c r="N110" s="5">
        <v>9.6694945511222588E-7</v>
      </c>
      <c r="O110" s="5">
        <v>-4.0611830566406736E-5</v>
      </c>
      <c r="P110" s="5">
        <v>-4.5106486170159464E-6</v>
      </c>
      <c r="Q110" s="5">
        <v>1.0483742389529223E-5</v>
      </c>
      <c r="R110" s="5">
        <v>1.9698359204971994E-5</v>
      </c>
      <c r="S110" s="5">
        <v>-1.7447408549966753E-5</v>
      </c>
      <c r="T110" s="5">
        <v>-9.1653494447586852E-6</v>
      </c>
      <c r="U110" s="5">
        <v>-2.474388603895032E-6</v>
      </c>
      <c r="V110" s="5">
        <v>-4.8527178731897532E-5</v>
      </c>
      <c r="W110" s="5">
        <v>-2.4551937300426912E-5</v>
      </c>
      <c r="X110" s="5">
        <v>1.6896874542937429E-5</v>
      </c>
      <c r="Y110" s="5">
        <v>-1.4504904404703074E-4</v>
      </c>
      <c r="Z110" s="5">
        <v>1.9922915666776585E-4</v>
      </c>
      <c r="AA110" s="5">
        <v>2.9210398659524639E-5</v>
      </c>
    </row>
    <row r="111" spans="1:27" x14ac:dyDescent="0.2">
      <c r="B111" s="5">
        <v>-6.2272936591776326E-7</v>
      </c>
      <c r="C111" s="5">
        <v>-4.2397861094271019E-6</v>
      </c>
      <c r="D111" s="5">
        <v>1.069290850615647E-6</v>
      </c>
      <c r="E111" s="5">
        <v>-4.2782552222800991E-6</v>
      </c>
      <c r="F111" s="5">
        <v>-6.9413312029913117E-6</v>
      </c>
      <c r="G111" s="5">
        <v>2.7699071413661899E-7</v>
      </c>
      <c r="H111" s="5">
        <v>-1.9070106440892849E-6</v>
      </c>
      <c r="I111" s="5">
        <v>-3.6124957351596615E-6</v>
      </c>
      <c r="J111" s="5">
        <v>-1.114759645195321E-5</v>
      </c>
      <c r="K111" s="5">
        <v>-2.3938745666589954E-6</v>
      </c>
      <c r="L111" s="5">
        <v>1.1621892324022673E-4</v>
      </c>
      <c r="M111" s="5">
        <v>1.4566204940196511E-5</v>
      </c>
      <c r="N111" s="5">
        <v>9.6145650163301196E-6</v>
      </c>
      <c r="O111" s="5">
        <v>-3.1755481847106557E-5</v>
      </c>
      <c r="P111" s="5">
        <v>-9.4669092923896565E-6</v>
      </c>
      <c r="Q111" s="5">
        <v>3.5462958821616593E-5</v>
      </c>
      <c r="R111" s="5">
        <v>-9.2979277088408322E-5</v>
      </c>
      <c r="S111" s="5">
        <v>-2.6615597447299937E-5</v>
      </c>
      <c r="T111" s="5">
        <v>1.1771590831515968E-4</v>
      </c>
      <c r="U111" s="5">
        <v>-1.5991334464213837E-6</v>
      </c>
      <c r="V111" s="5">
        <v>1.7099344421259389E-5</v>
      </c>
      <c r="W111" s="5">
        <v>-1.1863147802384196E-4</v>
      </c>
      <c r="X111" s="5">
        <v>-1.7105293510278791E-4</v>
      </c>
      <c r="Y111" s="5">
        <v>1.5963601595968803E-4</v>
      </c>
      <c r="Z111" s="5">
        <v>-1.9137596576674365E-4</v>
      </c>
      <c r="AA111" s="5">
        <v>4.1525972995072038E-5</v>
      </c>
    </row>
    <row r="112" spans="1:27" x14ac:dyDescent="0.2">
      <c r="B112" s="5">
        <v>1.1054861658834986E-7</v>
      </c>
      <c r="C112" s="5">
        <v>-3.9162817211308155E-7</v>
      </c>
      <c r="D112" s="5">
        <v>1.6412222895981972E-6</v>
      </c>
      <c r="E112" s="5">
        <v>-1.0090427128393734E-6</v>
      </c>
      <c r="F112" s="5">
        <v>-1.8517177293653082E-6</v>
      </c>
      <c r="G112" s="5">
        <v>-5.160058838714684E-6</v>
      </c>
      <c r="H112" s="5">
        <v>5.1256767891973149E-7</v>
      </c>
      <c r="I112" s="5">
        <v>-2.2935133162631716E-6</v>
      </c>
      <c r="J112" s="5">
        <v>3.0446695825799463E-6</v>
      </c>
      <c r="K112" s="5">
        <v>-6.9252071920433264E-7</v>
      </c>
      <c r="L112" s="5">
        <v>1.4566204940196463E-5</v>
      </c>
      <c r="M112" s="5">
        <v>3.4696964614825226E-5</v>
      </c>
      <c r="N112" s="5">
        <v>-2.3036450798155369E-6</v>
      </c>
      <c r="O112" s="5">
        <v>-2.745454151480312E-5</v>
      </c>
      <c r="P112" s="5">
        <v>5.4395254339560728E-6</v>
      </c>
      <c r="Q112" s="5">
        <v>-1.2483423238889057E-5</v>
      </c>
      <c r="R112" s="5">
        <v>-8.8019327509852848E-6</v>
      </c>
      <c r="S112" s="5">
        <v>-6.2873160825395582E-5</v>
      </c>
      <c r="T112" s="5">
        <v>8.6081110873218489E-5</v>
      </c>
      <c r="U112" s="5">
        <v>2.5026001246393014E-5</v>
      </c>
      <c r="V112" s="5">
        <v>6.8604091172211204E-7</v>
      </c>
      <c r="W112" s="5">
        <v>-1.12700573458284E-5</v>
      </c>
      <c r="X112" s="5">
        <v>-8.9592471290544411E-5</v>
      </c>
      <c r="Y112" s="5">
        <v>5.325877979343599E-5</v>
      </c>
      <c r="Z112" s="5">
        <v>4.7704897180964811E-5</v>
      </c>
      <c r="AA112" s="5">
        <v>1.2097829110028532E-5</v>
      </c>
    </row>
    <row r="113" spans="1:27" x14ac:dyDescent="0.2">
      <c r="B113" s="5">
        <v>1.1060064823423253E-6</v>
      </c>
      <c r="C113" s="5">
        <v>-2.5412317687189086E-6</v>
      </c>
      <c r="D113" s="5">
        <v>-5.2671497158631045E-6</v>
      </c>
      <c r="E113" s="5">
        <v>1.1542173547513205E-5</v>
      </c>
      <c r="F113" s="5">
        <v>1.6519471516359399E-6</v>
      </c>
      <c r="G113" s="5">
        <v>-4.3918537583098183E-5</v>
      </c>
      <c r="H113" s="5">
        <v>-3.796789809454099E-6</v>
      </c>
      <c r="I113" s="5">
        <v>3.7435308664141654E-6</v>
      </c>
      <c r="J113" s="5">
        <v>-7.3472615874137811E-6</v>
      </c>
      <c r="K113" s="5">
        <v>9.6694945511246135E-7</v>
      </c>
      <c r="L113" s="5">
        <v>9.6145650163304415E-6</v>
      </c>
      <c r="M113" s="5">
        <v>-2.3036450798152108E-6</v>
      </c>
      <c r="N113" s="5">
        <v>2.440399029256972E-4</v>
      </c>
      <c r="O113" s="5">
        <v>-5.8565650388886125E-5</v>
      </c>
      <c r="P113" s="5">
        <v>-7.8913157280195186E-6</v>
      </c>
      <c r="Q113" s="5">
        <v>-5.5174363101045176E-6</v>
      </c>
      <c r="R113" s="5">
        <v>-4.1919978552013674E-5</v>
      </c>
      <c r="S113" s="5">
        <v>1.139477048568808E-4</v>
      </c>
      <c r="T113" s="5">
        <v>1.6049970261241975E-4</v>
      </c>
      <c r="U113" s="5">
        <v>9.9054417816377542E-5</v>
      </c>
      <c r="V113" s="5">
        <v>-4.1290636533826149E-5</v>
      </c>
      <c r="W113" s="5">
        <v>-8.9763418736434701E-5</v>
      </c>
      <c r="X113" s="5">
        <v>-4.9522144391115112E-4</v>
      </c>
      <c r="Y113" s="5">
        <v>2.5671893001176835E-4</v>
      </c>
      <c r="Z113" s="5">
        <v>7.9425617450454148E-5</v>
      </c>
      <c r="AA113" s="5">
        <v>-4.4530232818477817E-5</v>
      </c>
    </row>
    <row r="114" spans="1:27" x14ac:dyDescent="0.2">
      <c r="B114" s="5">
        <v>2.2885307466301871E-6</v>
      </c>
      <c r="C114" s="5">
        <v>2.6618974167629343E-6</v>
      </c>
      <c r="D114" s="5">
        <v>5.9893196306895355E-6</v>
      </c>
      <c r="E114" s="5">
        <v>1.0811448799900955E-5</v>
      </c>
      <c r="F114" s="5">
        <v>-2.5563865651326424E-5</v>
      </c>
      <c r="G114" s="5">
        <v>-2.1175137494483602E-5</v>
      </c>
      <c r="H114" s="5">
        <v>5.8528194821399699E-6</v>
      </c>
      <c r="I114" s="5">
        <v>-8.299849104074117E-6</v>
      </c>
      <c r="J114" s="5">
        <v>1.17554552311738E-5</v>
      </c>
      <c r="K114" s="5">
        <v>-4.0611830566406925E-5</v>
      </c>
      <c r="L114" s="5">
        <v>-3.1755481847105812E-5</v>
      </c>
      <c r="M114" s="5">
        <v>-2.7454541514802829E-5</v>
      </c>
      <c r="N114" s="5">
        <v>-5.8565650388885204E-5</v>
      </c>
      <c r="O114" s="5">
        <v>7.7274861173843429E-4</v>
      </c>
      <c r="P114" s="5">
        <v>-8.6362215234737132E-6</v>
      </c>
      <c r="Q114" s="5">
        <v>-1.0942731738135004E-4</v>
      </c>
      <c r="R114" s="5">
        <v>-1.947068597740384E-4</v>
      </c>
      <c r="S114" s="5">
        <v>1.5788106621111156E-4</v>
      </c>
      <c r="T114" s="5">
        <v>-2.2834375685570516E-4</v>
      </c>
      <c r="U114" s="5">
        <v>4.9424614529428642E-4</v>
      </c>
      <c r="V114" s="5">
        <v>-2.0271347362244157E-4</v>
      </c>
      <c r="W114" s="5">
        <v>-1.4708652830127173E-4</v>
      </c>
      <c r="X114" s="5">
        <v>1.0975911790592734E-4</v>
      </c>
      <c r="Y114" s="5">
        <v>2.6741875330385093E-5</v>
      </c>
      <c r="Z114" s="5">
        <v>-8.3064430538516037E-4</v>
      </c>
      <c r="AA114" s="5">
        <v>-9.0149363751044267E-5</v>
      </c>
    </row>
    <row r="115" spans="1:27" x14ac:dyDescent="0.2">
      <c r="B115" s="5">
        <v>-6.1337537535135166E-7</v>
      </c>
      <c r="C115" s="5">
        <v>1.5708713357754205E-6</v>
      </c>
      <c r="D115" s="5">
        <v>2.3749246352634988E-6</v>
      </c>
      <c r="E115" s="5">
        <v>-5.8683448710044326E-6</v>
      </c>
      <c r="F115" s="5">
        <v>2.1830006026865604E-6</v>
      </c>
      <c r="G115" s="5">
        <v>2.358291995429022E-6</v>
      </c>
      <c r="H115" s="5">
        <v>-9.5144611411293945E-7</v>
      </c>
      <c r="I115" s="5">
        <v>-1.9499607882469855E-6</v>
      </c>
      <c r="J115" s="5">
        <v>-2.9831401011822819E-7</v>
      </c>
      <c r="K115" s="5">
        <v>-4.5106486170159616E-6</v>
      </c>
      <c r="L115" s="5">
        <v>-9.4669092923896277E-6</v>
      </c>
      <c r="M115" s="5">
        <v>5.4395254339560541E-6</v>
      </c>
      <c r="N115" s="5">
        <v>-7.8913157280194746E-6</v>
      </c>
      <c r="O115" s="5">
        <v>-8.6362215234737708E-6</v>
      </c>
      <c r="P115" s="5">
        <v>6.536497106945993E-5</v>
      </c>
      <c r="Q115" s="5">
        <v>-2.3070577143695568E-5</v>
      </c>
      <c r="R115" s="5">
        <v>6.3160347901354249E-6</v>
      </c>
      <c r="S115" s="5">
        <v>-5.670942198110012E-6</v>
      </c>
      <c r="T115" s="5">
        <v>-4.0010483583128692E-5</v>
      </c>
      <c r="U115" s="5">
        <v>-2.511836651274284E-5</v>
      </c>
      <c r="V115" s="5">
        <v>-1.5015629720705896E-5</v>
      </c>
      <c r="W115" s="5">
        <v>2.4513221226039085E-5</v>
      </c>
      <c r="X115" s="5">
        <v>-2.1969878147817689E-5</v>
      </c>
      <c r="Y115" s="5">
        <v>-2.0801608954481864E-5</v>
      </c>
      <c r="Z115" s="5">
        <v>3.2101964776335042E-4</v>
      </c>
      <c r="AA115" s="5">
        <v>-1.7372950018288615E-5</v>
      </c>
    </row>
    <row r="116" spans="1:27" x14ac:dyDescent="0.2">
      <c r="B116" s="5">
        <v>-2.2916052003286518E-6</v>
      </c>
      <c r="C116" s="5">
        <v>-3.3484008756753854E-7</v>
      </c>
      <c r="D116" s="5">
        <v>4.2175985558720611E-6</v>
      </c>
      <c r="E116" s="5">
        <v>1.3974284585346669E-5</v>
      </c>
      <c r="F116" s="5">
        <v>-1.1342883426425029E-5</v>
      </c>
      <c r="G116" s="5">
        <v>4.639257761362914E-6</v>
      </c>
      <c r="H116" s="5">
        <v>-5.7538430287848341E-6</v>
      </c>
      <c r="I116" s="5">
        <v>-7.1410063745280365E-6</v>
      </c>
      <c r="J116" s="5">
        <v>-1.4217564787326371E-5</v>
      </c>
      <c r="K116" s="5">
        <v>1.0483742389529159E-5</v>
      </c>
      <c r="L116" s="5">
        <v>3.5462958821616756E-5</v>
      </c>
      <c r="M116" s="5">
        <v>-1.2483423238889049E-5</v>
      </c>
      <c r="N116" s="5">
        <v>-5.5174363101040272E-6</v>
      </c>
      <c r="O116" s="5">
        <v>-1.0942731738135024E-4</v>
      </c>
      <c r="P116" s="5">
        <v>-2.3070577143695625E-5</v>
      </c>
      <c r="Q116" s="5">
        <v>4.645429634138059E-4</v>
      </c>
      <c r="R116" s="5">
        <v>-1.049672222753727E-4</v>
      </c>
      <c r="S116" s="5">
        <v>-1.6383004955135435E-4</v>
      </c>
      <c r="T116" s="5">
        <v>-2.07637070345132E-4</v>
      </c>
      <c r="U116" s="5">
        <v>-2.1361448426019503E-4</v>
      </c>
      <c r="V116" s="5">
        <v>-2.1540696756069135E-5</v>
      </c>
      <c r="W116" s="5">
        <v>3.390301255950545E-6</v>
      </c>
      <c r="X116" s="5">
        <v>3.056496339024999E-4</v>
      </c>
      <c r="Y116" s="5">
        <v>-2.5468232337528396E-4</v>
      </c>
      <c r="Z116" s="5">
        <v>-4.9539060868354146E-4</v>
      </c>
      <c r="AA116" s="5">
        <v>1.1000259346224989E-4</v>
      </c>
    </row>
    <row r="117" spans="1:27" x14ac:dyDescent="0.2">
      <c r="B117" s="5">
        <v>4.9427811836182336E-7</v>
      </c>
      <c r="C117" s="5">
        <v>-1.8719689407021988E-6</v>
      </c>
      <c r="D117" s="5">
        <v>-7.8794086074310092E-6</v>
      </c>
      <c r="E117" s="5">
        <v>-1.8836691995987693E-6</v>
      </c>
      <c r="F117" s="5">
        <v>1.47773360469561E-5</v>
      </c>
      <c r="G117" s="5">
        <v>1.3998156960801982E-5</v>
      </c>
      <c r="H117" s="5">
        <v>1.5523342699375844E-6</v>
      </c>
      <c r="I117" s="5">
        <v>2.2761302740862186E-5</v>
      </c>
      <c r="J117" s="5">
        <v>1.9062746629517979E-5</v>
      </c>
      <c r="K117" s="5">
        <v>1.9698359204972079E-5</v>
      </c>
      <c r="L117" s="5">
        <v>-9.2979277088409067E-5</v>
      </c>
      <c r="M117" s="5">
        <v>-8.8019327509856134E-6</v>
      </c>
      <c r="N117" s="5">
        <v>-4.1919978552014121E-5</v>
      </c>
      <c r="O117" s="5">
        <v>-1.9470685977403712E-4</v>
      </c>
      <c r="P117" s="5">
        <v>6.3160347901354672E-6</v>
      </c>
      <c r="Q117" s="5">
        <v>-1.049672222753723E-4</v>
      </c>
      <c r="R117" s="5">
        <v>3.8173155514091317E-4</v>
      </c>
      <c r="S117" s="5">
        <v>-6.2119414905986852E-5</v>
      </c>
      <c r="T117" s="5">
        <v>-2.6394885817173204E-4</v>
      </c>
      <c r="U117" s="5">
        <v>-4.1658873313841978E-4</v>
      </c>
      <c r="V117" s="5">
        <v>5.9562070042416735E-5</v>
      </c>
      <c r="W117" s="5">
        <v>8.3909475363469439E-5</v>
      </c>
      <c r="X117" s="5">
        <v>7.9596548389539298E-4</v>
      </c>
      <c r="Y117" s="5">
        <v>-1.873257494010962E-4</v>
      </c>
      <c r="Z117" s="5">
        <v>2.5567422832552429E-4</v>
      </c>
      <c r="AA117" s="5">
        <v>-2.9815191830426665E-7</v>
      </c>
    </row>
    <row r="118" spans="1:27" x14ac:dyDescent="0.2">
      <c r="B118" s="5">
        <v>3.1141869162801326E-6</v>
      </c>
      <c r="C118" s="5">
        <v>-1.0004811594131811E-6</v>
      </c>
      <c r="D118" s="5">
        <v>-2.5996445655800925E-6</v>
      </c>
      <c r="E118" s="5">
        <v>-2.3289649547315673E-6</v>
      </c>
      <c r="F118" s="5">
        <v>6.5342596228111456E-6</v>
      </c>
      <c r="G118" s="5">
        <v>-1.3865560037085632E-5</v>
      </c>
      <c r="H118" s="5">
        <v>-1.3220732432953016E-5</v>
      </c>
      <c r="I118" s="5">
        <v>-7.963005261224358E-6</v>
      </c>
      <c r="J118" s="5">
        <v>-1.7697395111282651E-5</v>
      </c>
      <c r="K118" s="5">
        <v>-1.7447408549966638E-5</v>
      </c>
      <c r="L118" s="5">
        <v>-2.6615597447299578E-5</v>
      </c>
      <c r="M118" s="5">
        <v>-6.2873160825395298E-5</v>
      </c>
      <c r="N118" s="5">
        <v>1.1394770485688165E-4</v>
      </c>
      <c r="O118" s="5">
        <v>1.5788106621111221E-4</v>
      </c>
      <c r="P118" s="5">
        <v>-5.6709421981101009E-6</v>
      </c>
      <c r="Q118" s="5">
        <v>-1.6383004955135503E-4</v>
      </c>
      <c r="R118" s="5">
        <v>-6.2119414905987272E-5</v>
      </c>
      <c r="S118" s="5">
        <v>5.5076960788135994E-4</v>
      </c>
      <c r="T118" s="5">
        <v>1.9194119003429366E-4</v>
      </c>
      <c r="U118" s="5">
        <v>-8.7825757941021882E-6</v>
      </c>
      <c r="V118" s="5">
        <v>1.0983481725598038E-4</v>
      </c>
      <c r="W118" s="5">
        <v>-8.5479770614455412E-5</v>
      </c>
      <c r="X118" s="5">
        <v>-2.6864127130187232E-4</v>
      </c>
      <c r="Y118" s="5">
        <v>2.9207562150030476E-4</v>
      </c>
      <c r="Z118" s="5">
        <v>-4.9364971438108193E-4</v>
      </c>
      <c r="AA118" s="5">
        <v>-1.804135704917392E-4</v>
      </c>
    </row>
    <row r="119" spans="1:27" x14ac:dyDescent="0.2">
      <c r="B119" s="5">
        <v>-1.5745160830510601E-6</v>
      </c>
      <c r="C119" s="5">
        <v>-1.7597440313338749E-5</v>
      </c>
      <c r="D119" s="5">
        <v>-4.2408432478329717E-5</v>
      </c>
      <c r="E119" s="5">
        <v>-2.2106136034475237E-5</v>
      </c>
      <c r="F119" s="5">
        <v>3.4816272607467666E-5</v>
      </c>
      <c r="G119" s="5">
        <v>-1.5385462199828123E-5</v>
      </c>
      <c r="H119" s="5">
        <v>-2.0400989455575115E-5</v>
      </c>
      <c r="I119" s="5">
        <v>2.9185160470050052E-5</v>
      </c>
      <c r="J119" s="5">
        <v>-1.926511243845359E-5</v>
      </c>
      <c r="K119" s="5">
        <v>-9.1653494447584006E-6</v>
      </c>
      <c r="L119" s="5">
        <v>1.1771590831515961E-4</v>
      </c>
      <c r="M119" s="5">
        <v>8.6081110873218854E-5</v>
      </c>
      <c r="N119" s="5">
        <v>1.6049970261241636E-4</v>
      </c>
      <c r="O119" s="5">
        <v>-2.2834375685570806E-4</v>
      </c>
      <c r="P119" s="5">
        <v>-4.0010483583128638E-5</v>
      </c>
      <c r="Q119" s="5">
        <v>-2.0763707034513327E-4</v>
      </c>
      <c r="R119" s="5">
        <v>-2.6394885817172727E-4</v>
      </c>
      <c r="S119" s="5">
        <v>1.9194119003429068E-4</v>
      </c>
      <c r="T119" s="5">
        <v>3.8010765349954598E-3</v>
      </c>
      <c r="U119" s="5">
        <v>1.0603858217854501E-4</v>
      </c>
      <c r="V119" s="5">
        <v>1.9827388955507709E-4</v>
      </c>
      <c r="W119" s="5">
        <v>-4.9295021912793891E-4</v>
      </c>
      <c r="X119" s="5">
        <v>-3.378889994105867E-3</v>
      </c>
      <c r="Y119" s="5">
        <v>8.7424819569400884E-4</v>
      </c>
      <c r="Z119" s="5">
        <v>-8.2562455932633368E-4</v>
      </c>
      <c r="AA119" s="5">
        <v>1.1432005323839422E-4</v>
      </c>
    </row>
    <row r="120" spans="1:27" x14ac:dyDescent="0.2">
      <c r="B120" s="5">
        <v>1.5227852075900494E-6</v>
      </c>
      <c r="C120" s="5">
        <v>-2.8297595912801459E-5</v>
      </c>
      <c r="D120" s="5">
        <v>7.4858279331491396E-6</v>
      </c>
      <c r="E120" s="5">
        <v>8.0645195938505585E-5</v>
      </c>
      <c r="F120" s="5">
        <v>-8.7182935254954055E-5</v>
      </c>
      <c r="G120" s="5">
        <v>-5.3066636217393774E-5</v>
      </c>
      <c r="H120" s="5">
        <v>3.5485151211672391E-5</v>
      </c>
      <c r="I120" s="5">
        <v>-3.3732396295996048E-5</v>
      </c>
      <c r="J120" s="5">
        <v>1.7233162456460135E-5</v>
      </c>
      <c r="K120" s="5">
        <v>-2.4743886038951438E-6</v>
      </c>
      <c r="L120" s="5">
        <v>-1.5991334464213426E-6</v>
      </c>
      <c r="M120" s="5">
        <v>2.5026001246393394E-5</v>
      </c>
      <c r="N120" s="5">
        <v>9.9054417816374452E-5</v>
      </c>
      <c r="O120" s="5">
        <v>4.9424614529428664E-4</v>
      </c>
      <c r="P120" s="5">
        <v>-2.5118366512742508E-5</v>
      </c>
      <c r="Q120" s="5">
        <v>-2.1361448426019511E-4</v>
      </c>
      <c r="R120" s="5">
        <v>-4.1658873313841978E-4</v>
      </c>
      <c r="S120" s="5">
        <v>-8.7825757941061574E-6</v>
      </c>
      <c r="T120" s="5">
        <v>1.0603858217854828E-4</v>
      </c>
      <c r="U120" s="5">
        <v>4.0899164301353404E-3</v>
      </c>
      <c r="V120" s="5">
        <v>-1.024733791960362E-3</v>
      </c>
      <c r="W120" s="5">
        <v>-1.1250190773175952E-4</v>
      </c>
      <c r="X120" s="5">
        <v>-1.9882452945370302E-3</v>
      </c>
      <c r="Y120" s="5">
        <v>1.2587452912953166E-3</v>
      </c>
      <c r="Z120" s="5">
        <v>-1.9016036474997977E-3</v>
      </c>
      <c r="AA120" s="5">
        <v>1.3855407398338977E-4</v>
      </c>
    </row>
    <row r="121" spans="1:27" x14ac:dyDescent="0.2">
      <c r="B121" s="5">
        <v>2.079742376400856E-6</v>
      </c>
      <c r="C121" s="5">
        <v>-2.5139439490299543E-6</v>
      </c>
      <c r="D121" s="5">
        <v>4.1816911591271237E-7</v>
      </c>
      <c r="E121" s="5">
        <v>-5.6539478342915288E-5</v>
      </c>
      <c r="F121" s="5">
        <v>3.2819825441679247E-5</v>
      </c>
      <c r="G121" s="5">
        <v>4.8911730558672835E-5</v>
      </c>
      <c r="H121" s="5">
        <v>-7.7194204928047791E-6</v>
      </c>
      <c r="I121" s="5">
        <v>9.1659730289348076E-6</v>
      </c>
      <c r="J121" s="5">
        <v>-3.2249034650572859E-5</v>
      </c>
      <c r="K121" s="5">
        <v>-4.8527178731897485E-5</v>
      </c>
      <c r="L121" s="5">
        <v>1.709934442125882E-5</v>
      </c>
      <c r="M121" s="5">
        <v>6.8604091172178996E-7</v>
      </c>
      <c r="N121" s="5">
        <v>-4.1290636533825513E-5</v>
      </c>
      <c r="O121" s="5">
        <v>-2.0271347362244146E-4</v>
      </c>
      <c r="P121" s="5">
        <v>-1.5015629720705957E-5</v>
      </c>
      <c r="Q121" s="5">
        <v>-2.1540696756069467E-5</v>
      </c>
      <c r="R121" s="5">
        <v>5.95620700424179E-5</v>
      </c>
      <c r="S121" s="5">
        <v>1.0983481725598175E-4</v>
      </c>
      <c r="T121" s="5">
        <v>1.9827388955507259E-4</v>
      </c>
      <c r="U121" s="5">
        <v>-1.0247337919603644E-3</v>
      </c>
      <c r="V121" s="5">
        <v>9.9347285890284036E-4</v>
      </c>
      <c r="W121" s="5">
        <v>5.2333591222032657E-5</v>
      </c>
      <c r="X121" s="5">
        <v>5.6952114374135727E-4</v>
      </c>
      <c r="Y121" s="5">
        <v>-2.5219881919431945E-4</v>
      </c>
      <c r="Z121" s="5">
        <v>5.5233819682304146E-4</v>
      </c>
      <c r="AA121" s="5">
        <v>-6.7421448105848126E-5</v>
      </c>
    </row>
    <row r="122" spans="1:27" x14ac:dyDescent="0.2">
      <c r="B122" s="5">
        <v>8.1336753036974711E-7</v>
      </c>
      <c r="C122" s="5">
        <v>2.3477701824944439E-6</v>
      </c>
      <c r="D122" s="5">
        <v>-1.5250619518691273E-6</v>
      </c>
      <c r="E122" s="5">
        <v>-1.4739308317243961E-5</v>
      </c>
      <c r="F122" s="5">
        <v>1.6014852595602472E-5</v>
      </c>
      <c r="G122" s="5">
        <v>3.8427171984392795E-5</v>
      </c>
      <c r="H122" s="5">
        <v>1.3979466215158081E-6</v>
      </c>
      <c r="I122" s="5">
        <v>1.5762541703632647E-5</v>
      </c>
      <c r="J122" s="5">
        <v>8.6929713139066023E-6</v>
      </c>
      <c r="K122" s="5">
        <v>-2.4551937300427014E-5</v>
      </c>
      <c r="L122" s="5">
        <v>-1.1863147802384224E-4</v>
      </c>
      <c r="M122" s="5">
        <v>-1.1270057345828727E-5</v>
      </c>
      <c r="N122" s="5">
        <v>-8.9763418736434457E-5</v>
      </c>
      <c r="O122" s="5">
        <v>-1.4708652830127113E-4</v>
      </c>
      <c r="P122" s="5">
        <v>2.451322122603919E-5</v>
      </c>
      <c r="Q122" s="5">
        <v>3.3903012559507216E-6</v>
      </c>
      <c r="R122" s="5">
        <v>8.390947536346887E-5</v>
      </c>
      <c r="S122" s="5">
        <v>-8.5479770614454125E-5</v>
      </c>
      <c r="T122" s="5">
        <v>-4.9295021912794065E-4</v>
      </c>
      <c r="U122" s="5">
        <v>-1.1250190773176269E-4</v>
      </c>
      <c r="V122" s="5">
        <v>5.2333591222033111E-5</v>
      </c>
      <c r="W122" s="5">
        <v>1.709219721533874E-3</v>
      </c>
      <c r="X122" s="5">
        <v>-8.3283104226191576E-6</v>
      </c>
      <c r="Y122" s="5">
        <v>-1.573951826831606E-4</v>
      </c>
      <c r="Z122" s="5">
        <v>1.2554002200696331E-3</v>
      </c>
      <c r="AA122" s="5">
        <v>-1.8851083525136845E-4</v>
      </c>
    </row>
    <row r="123" spans="1:27" x14ac:dyDescent="0.2">
      <c r="B123" s="5">
        <v>1.550444892017873E-6</v>
      </c>
      <c r="C123" s="5">
        <v>3.0028691921102958E-5</v>
      </c>
      <c r="D123" s="5">
        <v>5.3535596596251325E-5</v>
      </c>
      <c r="E123" s="5">
        <v>-3.128698467661724E-5</v>
      </c>
      <c r="F123" s="5">
        <v>-6.7926292361743411E-6</v>
      </c>
      <c r="G123" s="5">
        <v>1.5717152540546531E-5</v>
      </c>
      <c r="H123" s="5">
        <v>2.4901507767234124E-5</v>
      </c>
      <c r="I123" s="5">
        <v>-5.5285745085469414E-5</v>
      </c>
      <c r="J123" s="5">
        <v>4.5531358131834648E-5</v>
      </c>
      <c r="K123" s="5">
        <v>1.6896874542937162E-5</v>
      </c>
      <c r="L123" s="5">
        <v>-1.710529351027887E-4</v>
      </c>
      <c r="M123" s="5">
        <v>-8.9592471290545115E-5</v>
      </c>
      <c r="N123" s="5">
        <v>-4.9522144391114656E-4</v>
      </c>
      <c r="O123" s="5">
        <v>1.0975911790593291E-4</v>
      </c>
      <c r="P123" s="5">
        <v>-2.196987814781793E-5</v>
      </c>
      <c r="Q123" s="5">
        <v>3.0564963390250201E-4</v>
      </c>
      <c r="R123" s="5">
        <v>7.9596548389538788E-4</v>
      </c>
      <c r="S123" s="5">
        <v>-2.6864127130186793E-4</v>
      </c>
      <c r="T123" s="5">
        <v>-3.3788899941058778E-3</v>
      </c>
      <c r="U123" s="5">
        <v>-1.9882452945370237E-3</v>
      </c>
      <c r="V123" s="5">
        <v>5.6952114374134871E-4</v>
      </c>
      <c r="W123" s="5">
        <v>-8.3283104226212583E-6</v>
      </c>
      <c r="X123" s="5">
        <v>9.7380310495211279E-3</v>
      </c>
      <c r="Y123" s="5">
        <v>-2.3374540391086968E-3</v>
      </c>
      <c r="Z123" s="5">
        <v>-1.9337172141973013E-3</v>
      </c>
      <c r="AA123" s="5">
        <v>-3.7058801150340271E-4</v>
      </c>
    </row>
    <row r="124" spans="1:27" x14ac:dyDescent="0.2">
      <c r="B124" s="5">
        <v>7.0129230184082119E-6</v>
      </c>
      <c r="C124" s="5">
        <v>-3.0774067813612202E-5</v>
      </c>
      <c r="D124" s="5">
        <v>1.7666805986618893E-5</v>
      </c>
      <c r="E124" s="5">
        <v>8.8088887802089885E-6</v>
      </c>
      <c r="F124" s="5">
        <v>8.821164115733887E-6</v>
      </c>
      <c r="G124" s="5">
        <v>-6.4316734654152696E-5</v>
      </c>
      <c r="H124" s="5">
        <v>-1.6852106425355037E-5</v>
      </c>
      <c r="I124" s="5">
        <v>-5.9758624731168232E-5</v>
      </c>
      <c r="J124" s="5">
        <v>-2.4995148173056419E-5</v>
      </c>
      <c r="K124" s="5">
        <v>-1.4504904404703044E-4</v>
      </c>
      <c r="L124" s="5">
        <v>1.5963601595968767E-4</v>
      </c>
      <c r="M124" s="5">
        <v>5.3258779793436329E-5</v>
      </c>
      <c r="N124" s="5">
        <v>2.5671893001176564E-4</v>
      </c>
      <c r="O124" s="5">
        <v>2.6741875330384063E-5</v>
      </c>
      <c r="P124" s="5">
        <v>-2.0801608954481787E-5</v>
      </c>
      <c r="Q124" s="5">
        <v>-2.5468232337528526E-4</v>
      </c>
      <c r="R124" s="5">
        <v>-1.8732574940109339E-4</v>
      </c>
      <c r="S124" s="5">
        <v>2.9207562150030178E-4</v>
      </c>
      <c r="T124" s="5">
        <v>8.7424819569400809E-4</v>
      </c>
      <c r="U124" s="5">
        <v>1.2587452912953213E-3</v>
      </c>
      <c r="V124" s="5">
        <v>-2.5219881919431831E-4</v>
      </c>
      <c r="W124" s="5">
        <v>-1.5739518268315829E-4</v>
      </c>
      <c r="X124" s="5">
        <v>-2.3374540391086955E-3</v>
      </c>
      <c r="Y124" s="5">
        <v>3.9495787815420685E-3</v>
      </c>
      <c r="Z124" s="5">
        <v>-2.3992519447229971E-3</v>
      </c>
      <c r="AA124" s="5">
        <v>8.884888315352505E-6</v>
      </c>
    </row>
    <row r="125" spans="1:27" x14ac:dyDescent="0.2">
      <c r="B125" s="5">
        <v>-2.0198953129346209E-5</v>
      </c>
      <c r="C125" s="5">
        <v>-8.7454417599344719E-6</v>
      </c>
      <c r="D125" s="5">
        <v>-1.5028728312235296E-5</v>
      </c>
      <c r="E125" s="5">
        <v>-1.3120340160704714E-4</v>
      </c>
      <c r="F125" s="5">
        <v>6.5270335289814755E-5</v>
      </c>
      <c r="G125" s="5">
        <v>1.4061673675741545E-4</v>
      </c>
      <c r="H125" s="5">
        <v>-2.5061028104786608E-5</v>
      </c>
      <c r="I125" s="5">
        <v>1.0291009453147391E-4</v>
      </c>
      <c r="J125" s="5">
        <v>2.2783070275925838E-5</v>
      </c>
      <c r="K125" s="5">
        <v>1.9922915666776582E-4</v>
      </c>
      <c r="L125" s="5">
        <v>-1.9137596576674368E-4</v>
      </c>
      <c r="M125" s="5">
        <v>4.7704897180963788E-5</v>
      </c>
      <c r="N125" s="5">
        <v>7.9425617450452305E-5</v>
      </c>
      <c r="O125" s="5">
        <v>-8.306443053851634E-4</v>
      </c>
      <c r="P125" s="5">
        <v>3.2101964776335085E-4</v>
      </c>
      <c r="Q125" s="5">
        <v>-4.9539060868353962E-4</v>
      </c>
      <c r="R125" s="5">
        <v>2.5567422832552565E-4</v>
      </c>
      <c r="S125" s="5">
        <v>-4.9364971438108074E-4</v>
      </c>
      <c r="T125" s="5">
        <v>-8.2562455932634257E-4</v>
      </c>
      <c r="U125" s="5">
        <v>-1.9016036474998165E-3</v>
      </c>
      <c r="V125" s="5">
        <v>5.5233819682304547E-4</v>
      </c>
      <c r="W125" s="5">
        <v>1.2554002200696334E-3</v>
      </c>
      <c r="X125" s="5">
        <v>-1.9337172141972812E-3</v>
      </c>
      <c r="Y125" s="5">
        <v>-2.399251944723008E-3</v>
      </c>
      <c r="Z125" s="5">
        <v>1.5330559214952856E-2</v>
      </c>
      <c r="AA125" s="5">
        <v>-3.7790211952734961E-4</v>
      </c>
    </row>
    <row r="126" spans="1:27" x14ac:dyDescent="0.2">
      <c r="B126" s="5">
        <v>-9.0534904771234547E-7</v>
      </c>
      <c r="C126" s="5">
        <v>-5.6287894158077938E-6</v>
      </c>
      <c r="D126" s="5">
        <v>-6.0215936008084452E-6</v>
      </c>
      <c r="E126" s="5">
        <v>1.2188876575262762E-5</v>
      </c>
      <c r="F126" s="5">
        <v>-1.2199874986037041E-5</v>
      </c>
      <c r="G126" s="5">
        <v>2.9989399497106015E-6</v>
      </c>
      <c r="H126" s="5">
        <v>9.9355118033540705E-6</v>
      </c>
      <c r="I126" s="5">
        <v>1.2130920629009466E-5</v>
      </c>
      <c r="J126" s="5">
        <v>3.8138575827014213E-6</v>
      </c>
      <c r="K126" s="5">
        <v>2.9210398659524588E-5</v>
      </c>
      <c r="L126" s="5">
        <v>4.1525972995071828E-5</v>
      </c>
      <c r="M126" s="5">
        <v>1.2097829110028466E-5</v>
      </c>
      <c r="N126" s="5">
        <v>-4.4530232818478833E-5</v>
      </c>
      <c r="O126" s="5">
        <v>-9.0149363751044402E-5</v>
      </c>
      <c r="P126" s="5">
        <v>-1.7372950018288577E-5</v>
      </c>
      <c r="Q126" s="5">
        <v>1.1000259346225005E-4</v>
      </c>
      <c r="R126" s="5">
        <v>-2.9815191830389846E-7</v>
      </c>
      <c r="S126" s="5">
        <v>-1.8041357049173958E-4</v>
      </c>
      <c r="T126" s="5">
        <v>1.1432005323839312E-4</v>
      </c>
      <c r="U126" s="5">
        <v>1.3855407398338855E-4</v>
      </c>
      <c r="V126" s="5">
        <v>-6.7421448105847313E-5</v>
      </c>
      <c r="W126" s="5">
        <v>-1.8851083525136758E-4</v>
      </c>
      <c r="X126" s="5">
        <v>-3.7058801150340037E-4</v>
      </c>
      <c r="Y126" s="5">
        <v>8.8848883153509888E-6</v>
      </c>
      <c r="Z126" s="5">
        <v>-3.7790211952734885E-4</v>
      </c>
      <c r="AA126" s="5">
        <v>9.3263966575335032E-4</v>
      </c>
    </row>
    <row r="128" spans="1:27" x14ac:dyDescent="0.2">
      <c r="A128" s="45" t="s">
        <v>1327</v>
      </c>
      <c r="B128" s="5">
        <f t="array" ref="B128:AA128">MMULT(B72:AA72,B101:AA126)</f>
        <v>1.9372990789472212E-5</v>
      </c>
      <c r="C128" s="5">
        <v>-2.4157238620694914E-4</v>
      </c>
      <c r="D128" s="5">
        <v>3.8309029848380255E-4</v>
      </c>
      <c r="E128" s="5">
        <v>7.3831356523673143E-4</v>
      </c>
      <c r="F128" s="5">
        <v>-2.8045689563630937E-4</v>
      </c>
      <c r="G128" s="5">
        <v>-1.2448615347945848E-3</v>
      </c>
      <c r="H128" s="5">
        <v>1.7765671948871564E-4</v>
      </c>
      <c r="I128" s="5">
        <v>-8.7511414471306876E-4</v>
      </c>
      <c r="J128" s="5">
        <v>-1.0637305924938579E-4</v>
      </c>
      <c r="K128" s="5">
        <v>-7.3276053597031105E-4</v>
      </c>
      <c r="L128" s="5">
        <v>5.3112145818040883E-4</v>
      </c>
      <c r="M128" s="5">
        <v>1.4116575887249982E-3</v>
      </c>
      <c r="N128" s="5">
        <v>7.4865941329813447E-4</v>
      </c>
      <c r="O128" s="5">
        <v>-6.9931964175193057E-4</v>
      </c>
      <c r="P128" s="5">
        <v>5.3391575242243104E-4</v>
      </c>
      <c r="Q128" s="5">
        <v>-3.4130568498119294E-3</v>
      </c>
      <c r="R128" s="5">
        <v>8.4200946379215356E-4</v>
      </c>
      <c r="S128" s="5">
        <v>2.3587397623096194E-3</v>
      </c>
      <c r="T128" s="5">
        <v>1.25729764682933E-2</v>
      </c>
      <c r="U128" s="5">
        <v>1.8792161789250857E-2</v>
      </c>
      <c r="V128" s="5">
        <v>-6.3787202893593759E-3</v>
      </c>
      <c r="W128" s="5">
        <v>-3.1891769796769448E-3</v>
      </c>
      <c r="X128" s="5">
        <v>-1.5803354948835946E-2</v>
      </c>
      <c r="Y128" s="5">
        <v>3.593547021506268E-2</v>
      </c>
      <c r="Z128" s="5">
        <v>-3.7655277763751757E-2</v>
      </c>
      <c r="AA128" s="5">
        <v>1.2666300041909431E-2</v>
      </c>
    </row>
    <row r="130" spans="1:2" x14ac:dyDescent="0.2">
      <c r="A130" s="45" t="s">
        <v>345</v>
      </c>
      <c r="B130" s="5">
        <f t="array" ref="B130">Notes!C7^2-MMULT('Data_Matrix (2018)'!B128:AA128,TRANSPOSE('Data_Matrix (2018)'!B72:AA72))</f>
        <v>8.8465967103084076E-3</v>
      </c>
    </row>
  </sheetData>
  <mergeCells count="29">
    <mergeCell ref="E69:E70"/>
    <mergeCell ref="A74:A75"/>
    <mergeCell ref="A69:A70"/>
    <mergeCell ref="B69:B70"/>
    <mergeCell ref="C69:C70"/>
    <mergeCell ref="D69:D70"/>
    <mergeCell ref="Q69:Q70"/>
    <mergeCell ref="F69:F70"/>
    <mergeCell ref="G69:G70"/>
    <mergeCell ref="H69:H70"/>
    <mergeCell ref="I69:I70"/>
    <mergeCell ref="J69:J70"/>
    <mergeCell ref="K69:K70"/>
    <mergeCell ref="X69:X70"/>
    <mergeCell ref="Y69:Y70"/>
    <mergeCell ref="Z69:Z70"/>
    <mergeCell ref="AA69:AA70"/>
    <mergeCell ref="A101:A102"/>
    <mergeCell ref="R69:R70"/>
    <mergeCell ref="S69:S70"/>
    <mergeCell ref="T69:T70"/>
    <mergeCell ref="U69:U70"/>
    <mergeCell ref="V69:V70"/>
    <mergeCell ref="W69:W70"/>
    <mergeCell ref="L69:L70"/>
    <mergeCell ref="M69:M70"/>
    <mergeCell ref="N69:N70"/>
    <mergeCell ref="O69:O70"/>
    <mergeCell ref="P69:P70"/>
  </mergeCells>
  <conditionalFormatting sqref="A1:BO1">
    <cfRule type="colorScale" priority="8">
      <colorScale>
        <cfvo type="min"/>
        <cfvo type="max"/>
        <color rgb="FFFFEF9C"/>
        <color rgb="FF63BE7B"/>
      </colorScale>
    </cfRule>
    <cfRule type="cellIs" dxfId="21" priority="9" operator="equal">
      <formula>#DIV/0!</formula>
    </cfRule>
  </conditionalFormatting>
  <conditionalFormatting sqref="A2:A67">
    <cfRule type="colorScale" priority="62">
      <colorScale>
        <cfvo type="min"/>
        <cfvo type="max"/>
        <color rgb="FFFFEF9C"/>
        <color rgb="FF63BE7B"/>
      </colorScale>
    </cfRule>
    <cfRule type="cellIs" dxfId="20" priority="63" operator="equal">
      <formula>#DIV/0!</formula>
    </cfRule>
  </conditionalFormatting>
  <conditionalFormatting sqref="B69:AA69 B71:AA71">
    <cfRule type="colorScale" priority="6">
      <colorScale>
        <cfvo type="min"/>
        <cfvo type="percentile" val="50"/>
        <cfvo type="max"/>
        <color rgb="FFF8696B"/>
        <color rgb="FFFFEB84"/>
        <color rgb="FF63BE7B"/>
      </colorScale>
    </cfRule>
  </conditionalFormatting>
  <conditionalFormatting sqref="B72:AA72">
    <cfRule type="colorScale" priority="5">
      <colorScale>
        <cfvo type="min"/>
        <cfvo type="percentile" val="50"/>
        <cfvo type="max"/>
        <color rgb="FFF8696B"/>
        <color rgb="FFFFEB84"/>
        <color rgb="FF63BE7B"/>
      </colorScale>
    </cfRule>
  </conditionalFormatting>
  <conditionalFormatting sqref="B74:AA99">
    <cfRule type="colorScale" priority="4">
      <colorScale>
        <cfvo type="min"/>
        <cfvo type="percentile" val="50"/>
        <cfvo type="max"/>
        <color rgb="FFF8696B"/>
        <color rgb="FFFFEB84"/>
        <color rgb="FF63BE7B"/>
      </colorScale>
    </cfRule>
  </conditionalFormatting>
  <conditionalFormatting sqref="B101:AA126">
    <cfRule type="colorScale" priority="3">
      <colorScale>
        <cfvo type="min"/>
        <cfvo type="percentile" val="50"/>
        <cfvo type="max"/>
        <color rgb="FFF8696B"/>
        <color rgb="FFFFEB84"/>
        <color rgb="FF63BE7B"/>
      </colorScale>
    </cfRule>
  </conditionalFormatting>
  <conditionalFormatting sqref="B128:AA128">
    <cfRule type="colorScale" priority="2">
      <colorScale>
        <cfvo type="min"/>
        <cfvo type="percentile" val="50"/>
        <cfvo type="max"/>
        <color rgb="FFF8696B"/>
        <color rgb="FFFFEB84"/>
        <color rgb="FF63BE7B"/>
      </colorScale>
    </cfRule>
  </conditionalFormatting>
  <conditionalFormatting sqref="B3:AA67">
    <cfRule type="colorScale" priority="1">
      <colorScale>
        <cfvo type="min"/>
        <cfvo type="percentile" val="50"/>
        <cfvo type="max"/>
        <color rgb="FFF8696B"/>
        <color rgb="FFFFEB84"/>
        <color rgb="FF63BE7B"/>
      </colorScale>
    </cfRule>
  </conditionalFormatting>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O144"/>
  <sheetViews>
    <sheetView zoomScale="70" zoomScaleNormal="70" workbookViewId="0">
      <pane xSplit="1" ySplit="1" topLeftCell="B92" activePane="bottomRight" state="frozen"/>
      <selection pane="topRight" activeCell="B1" sqref="B1"/>
      <selection pane="bottomLeft" activeCell="A2" sqref="A2"/>
      <selection pane="bottomRight" activeCell="B144" sqref="B144"/>
    </sheetView>
  </sheetViews>
  <sheetFormatPr baseColWidth="10" defaultColWidth="9.1640625" defaultRowHeight="15" x14ac:dyDescent="0.2"/>
  <cols>
    <col min="1" max="1" width="17.5" style="8" customWidth="1"/>
    <col min="2" max="3" width="21.5" style="8" bestFit="1" customWidth="1"/>
    <col min="4" max="14" width="20.33203125" style="8" bestFit="1" customWidth="1"/>
    <col min="15" max="22" width="18.6640625" style="8" bestFit="1" customWidth="1"/>
    <col min="23" max="23" width="17.5" style="8" bestFit="1" customWidth="1"/>
    <col min="24" max="25" width="18.6640625" style="8" bestFit="1" customWidth="1"/>
    <col min="26" max="33" width="17.5" style="8" bestFit="1" customWidth="1"/>
    <col min="34" max="34" width="16.5" style="8" bestFit="1" customWidth="1"/>
    <col min="35" max="35" width="17.5" style="8" bestFit="1" customWidth="1"/>
    <col min="36" max="37" width="16.5" style="8" bestFit="1" customWidth="1"/>
    <col min="38" max="38" width="17.5" style="8" bestFit="1" customWidth="1"/>
    <col min="39" max="41" width="16.5" style="8" bestFit="1" customWidth="1"/>
    <col min="42" max="67" width="12.5" style="8" bestFit="1" customWidth="1"/>
    <col min="68" max="68" width="8.6640625" style="8" bestFit="1" customWidth="1"/>
    <col min="69" max="16384" width="9.1640625" style="8"/>
  </cols>
  <sheetData>
    <row r="1" spans="1:67" ht="113" x14ac:dyDescent="0.2">
      <c r="A1" s="33" t="s">
        <v>332</v>
      </c>
      <c r="B1" s="3" t="s">
        <v>254</v>
      </c>
      <c r="C1" s="3" t="s">
        <v>255</v>
      </c>
      <c r="D1" s="3" t="s">
        <v>256</v>
      </c>
      <c r="E1" s="3" t="s">
        <v>257</v>
      </c>
      <c r="F1" s="3" t="s">
        <v>258</v>
      </c>
      <c r="G1" s="3" t="s">
        <v>259</v>
      </c>
      <c r="H1" s="3" t="s">
        <v>260</v>
      </c>
      <c r="I1" s="3" t="s">
        <v>261</v>
      </c>
      <c r="J1" s="3" t="s">
        <v>262</v>
      </c>
      <c r="K1" s="3" t="s">
        <v>263</v>
      </c>
      <c r="L1" s="3" t="s">
        <v>264</v>
      </c>
      <c r="M1" s="3" t="s">
        <v>265</v>
      </c>
      <c r="N1" s="3" t="s">
        <v>266</v>
      </c>
      <c r="O1" s="3" t="s">
        <v>267</v>
      </c>
      <c r="P1" s="3" t="s">
        <v>268</v>
      </c>
      <c r="Q1" s="3" t="s">
        <v>269</v>
      </c>
      <c r="R1" s="3" t="s">
        <v>270</v>
      </c>
      <c r="S1" s="3" t="s">
        <v>271</v>
      </c>
      <c r="T1" s="3" t="s">
        <v>272</v>
      </c>
      <c r="U1" s="3" t="s">
        <v>273</v>
      </c>
      <c r="V1" s="3" t="s">
        <v>274</v>
      </c>
      <c r="W1" s="3" t="s">
        <v>275</v>
      </c>
      <c r="X1" s="3" t="s">
        <v>276</v>
      </c>
      <c r="Y1" s="3" t="s">
        <v>277</v>
      </c>
      <c r="Z1" s="3" t="s">
        <v>278</v>
      </c>
      <c r="AA1" s="3" t="s">
        <v>279</v>
      </c>
      <c r="AB1" s="3" t="s">
        <v>280</v>
      </c>
      <c r="AC1" s="3" t="s">
        <v>281</v>
      </c>
      <c r="AD1" s="3" t="s">
        <v>282</v>
      </c>
      <c r="AE1" s="3" t="s">
        <v>283</v>
      </c>
      <c r="AF1" s="3" t="s">
        <v>284</v>
      </c>
      <c r="AG1" s="3" t="s">
        <v>285</v>
      </c>
      <c r="AH1" s="3" t="s">
        <v>286</v>
      </c>
      <c r="AI1" s="3" t="s">
        <v>287</v>
      </c>
      <c r="AJ1" s="3" t="s">
        <v>288</v>
      </c>
      <c r="AK1" s="3" t="s">
        <v>289</v>
      </c>
      <c r="AL1" s="3" t="s">
        <v>290</v>
      </c>
      <c r="AM1" s="3" t="s">
        <v>291</v>
      </c>
      <c r="AN1" s="3" t="s">
        <v>292</v>
      </c>
      <c r="AO1" s="3" t="s">
        <v>293</v>
      </c>
      <c r="AP1" s="3" t="s">
        <v>294</v>
      </c>
      <c r="AQ1" s="3" t="s">
        <v>295</v>
      </c>
      <c r="AR1" s="3" t="s">
        <v>296</v>
      </c>
      <c r="AS1" s="3" t="s">
        <v>297</v>
      </c>
      <c r="AT1" s="3" t="s">
        <v>298</v>
      </c>
      <c r="AU1" s="3" t="s">
        <v>299</v>
      </c>
      <c r="AV1" s="3" t="s">
        <v>300</v>
      </c>
      <c r="AW1" s="3" t="s">
        <v>301</v>
      </c>
      <c r="AX1" s="3" t="s">
        <v>302</v>
      </c>
      <c r="AY1" s="3" t="s">
        <v>303</v>
      </c>
      <c r="AZ1" s="3" t="s">
        <v>304</v>
      </c>
      <c r="BA1" s="3" t="s">
        <v>305</v>
      </c>
      <c r="BB1" s="3" t="s">
        <v>306</v>
      </c>
      <c r="BC1" s="3" t="s">
        <v>307</v>
      </c>
      <c r="BD1" s="3" t="s">
        <v>308</v>
      </c>
      <c r="BE1" s="3" t="s">
        <v>309</v>
      </c>
      <c r="BF1" s="3" t="s">
        <v>310</v>
      </c>
      <c r="BG1" s="3" t="s">
        <v>311</v>
      </c>
      <c r="BH1" s="3" t="s">
        <v>312</v>
      </c>
      <c r="BI1" s="3" t="s">
        <v>313</v>
      </c>
      <c r="BJ1" s="3" t="s">
        <v>314</v>
      </c>
      <c r="BK1" s="3" t="s">
        <v>315</v>
      </c>
      <c r="BL1" s="3" t="s">
        <v>316</v>
      </c>
      <c r="BM1" s="3" t="s">
        <v>317</v>
      </c>
      <c r="BN1" s="3" t="s">
        <v>318</v>
      </c>
      <c r="BO1" s="3" t="s">
        <v>319</v>
      </c>
    </row>
    <row r="2" spans="1:67" ht="32" x14ac:dyDescent="0.2">
      <c r="A2" s="33" t="s">
        <v>334</v>
      </c>
      <c r="B2" s="9">
        <f>_xlfn.STDEV.P('Data_Matrix (2018)'!B2:B67)</f>
        <v>4510.0896987653241</v>
      </c>
      <c r="C2" s="9">
        <f>_xlfn.STDEV.P('Data_Matrix (2018)'!C2:C67)</f>
        <v>3923.7443721263412</v>
      </c>
      <c r="D2" s="9">
        <f>_xlfn.STDEV.P('Data_Matrix (2018)'!D2:D67)</f>
        <v>2718.7645753087368</v>
      </c>
      <c r="E2" s="9">
        <f>_xlfn.STDEV.P('Data_Matrix (2018)'!E2:E67)</f>
        <v>2469.0998905148695</v>
      </c>
      <c r="F2" s="9">
        <f>_xlfn.STDEV.P('Data_Matrix (2018)'!F2:F67)</f>
        <v>1434.4735219279539</v>
      </c>
      <c r="G2" s="9">
        <f>_xlfn.STDEV.P('Data_Matrix (2018)'!G2:G67)</f>
        <v>1993.784397118751</v>
      </c>
      <c r="H2" s="9">
        <f>_xlfn.STDEV.P('Data_Matrix (2018)'!H2:H67)</f>
        <v>1135.1533083514978</v>
      </c>
      <c r="I2" s="9">
        <f>_xlfn.STDEV.P('Data_Matrix (2018)'!I2:I67)</f>
        <v>890.55165582770451</v>
      </c>
      <c r="J2" s="9">
        <f>_xlfn.STDEV.P('Data_Matrix (2018)'!J2:J67)</f>
        <v>560.31315858967014</v>
      </c>
      <c r="K2" s="9">
        <f>_xlfn.STDEV.P('Data_Matrix (2018)'!K2:K67)</f>
        <v>532.27023775813586</v>
      </c>
      <c r="L2" s="9">
        <f>_xlfn.STDEV.P('Data_Matrix (2018)'!L2:L67)</f>
        <v>411.51709795413188</v>
      </c>
      <c r="M2" s="9">
        <f>_xlfn.STDEV.P('Data_Matrix (2018)'!M2:M67)</f>
        <v>403.77259069351311</v>
      </c>
      <c r="N2" s="9">
        <f>_xlfn.STDEV.P('Data_Matrix (2018)'!N2:N67)</f>
        <v>415.93908530906464</v>
      </c>
      <c r="O2" s="9">
        <f>_xlfn.STDEV.P('Data_Matrix (2018)'!O2:O67)</f>
        <v>188.0626356993609</v>
      </c>
      <c r="P2" s="9">
        <f>_xlfn.STDEV.P('Data_Matrix (2018)'!P2:P67)</f>
        <v>162.22869696873528</v>
      </c>
      <c r="Q2" s="9">
        <f>_xlfn.STDEV.P('Data_Matrix (2018)'!Q2:Q67)</f>
        <v>187.48203408899548</v>
      </c>
      <c r="R2" s="9">
        <f>_xlfn.STDEV.P('Data_Matrix (2018)'!R2:R67)</f>
        <v>240.58451749350169</v>
      </c>
      <c r="S2" s="9">
        <f>_xlfn.STDEV.P('Data_Matrix (2018)'!S2:S67)</f>
        <v>131.43454182353361</v>
      </c>
      <c r="T2" s="9">
        <f>_xlfn.STDEV.P('Data_Matrix (2018)'!T2:T67)</f>
        <v>80.812219500334692</v>
      </c>
      <c r="U2" s="9">
        <f>_xlfn.STDEV.P('Data_Matrix (2018)'!U2:U67)</f>
        <v>56.954858223455901</v>
      </c>
      <c r="V2" s="9">
        <f>_xlfn.STDEV.P('Data_Matrix (2018)'!V2:V67)</f>
        <v>69.872455291148142</v>
      </c>
      <c r="W2" s="9">
        <f>_xlfn.STDEV.P('Data_Matrix (2018)'!W2:W67)</f>
        <v>38.624508103524263</v>
      </c>
      <c r="X2" s="9">
        <f>_xlfn.STDEV.P('Data_Matrix (2018)'!X2:X67)</f>
        <v>49.698408800084891</v>
      </c>
      <c r="Y2" s="9">
        <f>_xlfn.STDEV.P('Data_Matrix (2018)'!Y2:Y67)</f>
        <v>45.789085271870974</v>
      </c>
      <c r="Z2" s="9">
        <f>_xlfn.STDEV.P('Data_Matrix (2018)'!Z2:Z67)</f>
        <v>27.303593444979413</v>
      </c>
      <c r="AA2" s="9">
        <f>_xlfn.STDEV.P('Data_Matrix (2018)'!AA2:AA67)</f>
        <v>41.082314503437296</v>
      </c>
      <c r="AB2" s="9">
        <f>_xlfn.STDEV.P('Data_Matrix (2018)'!AB2:AB67)</f>
        <v>6.6056698626908483</v>
      </c>
      <c r="AC2" s="9">
        <f>_xlfn.STDEV.P('Data_Matrix (2018)'!AC2:AC67)</f>
        <v>9.6273390732961026</v>
      </c>
      <c r="AD2" s="9">
        <f>_xlfn.STDEV.P('Data_Matrix (2018)'!AD2:AD67)</f>
        <v>8.2651443746735112</v>
      </c>
      <c r="AE2" s="9">
        <f>_xlfn.STDEV.P('Data_Matrix (2018)'!AE2:AE67)</f>
        <v>7.9280053724301025</v>
      </c>
      <c r="AF2" s="9">
        <f>_xlfn.STDEV.P('Data_Matrix (2018)'!AF2:AF67)</f>
        <v>7.5012339473477665</v>
      </c>
      <c r="AG2" s="9">
        <f>_xlfn.STDEV.P('Data_Matrix (2018)'!AG2:AG67)</f>
        <v>7.6707419540886885</v>
      </c>
      <c r="AH2" s="9">
        <f>_xlfn.STDEV.P('Data_Matrix (2018)'!AH2:AH67)</f>
        <v>8.088996608664532</v>
      </c>
      <c r="AI2" s="9">
        <f>_xlfn.STDEV.P('Data_Matrix (2018)'!AI2:AI67)</f>
        <v>4.0223527870451488</v>
      </c>
      <c r="AJ2" s="9">
        <f>_xlfn.STDEV.P('Data_Matrix (2018)'!AJ2:AJ67)</f>
        <v>5.9087394188888425</v>
      </c>
      <c r="AK2" s="9">
        <f>_xlfn.STDEV.P('Data_Matrix (2018)'!AK2:AK67)</f>
        <v>7.1844007351472996</v>
      </c>
      <c r="AL2" s="9">
        <f>_xlfn.STDEV.P('Data_Matrix (2018)'!AL2:AL67)</f>
        <v>18.60373568215466</v>
      </c>
      <c r="AM2" s="9">
        <f>_xlfn.STDEV.P('Data_Matrix (2018)'!AM2:AM67)</f>
        <v>5.4272072889352216</v>
      </c>
      <c r="AN2" s="9">
        <f>_xlfn.STDEV.P('Data_Matrix (2018)'!AN2:AN67)</f>
        <v>6.0492766684882815</v>
      </c>
      <c r="AO2" s="9">
        <f>_xlfn.STDEV.P('Data_Matrix (2018)'!AO2:AO67)</f>
        <v>4.4674623630022756</v>
      </c>
      <c r="AP2" s="9">
        <f>_xlfn.STDEV.P('Data_Matrix (2018)'!AP2:AP67)</f>
        <v>6.5100082343979597</v>
      </c>
      <c r="AQ2" s="9">
        <f>_xlfn.STDEV.P('Data_Matrix (2018)'!AQ2:AQ67)</f>
        <v>3.686150238685745</v>
      </c>
      <c r="AR2" s="9">
        <f>_xlfn.STDEV.P('Data_Matrix (2018)'!AR2:AR67)</f>
        <v>3.9225015120805922</v>
      </c>
      <c r="AS2" s="9">
        <f>_xlfn.STDEV.P('Data_Matrix (2018)'!AS2:AS67)</f>
        <v>3.9545889998736614</v>
      </c>
      <c r="AT2" s="9">
        <f>_xlfn.STDEV.P('Data_Matrix (2018)'!AT2:AT67)</f>
        <v>2.0822057124574878</v>
      </c>
      <c r="AU2" s="9">
        <f>_xlfn.STDEV.P('Data_Matrix (2018)'!AU2:AU67)</f>
        <v>1.9538045899433674</v>
      </c>
      <c r="AV2" s="9">
        <f>_xlfn.STDEV.P('Data_Matrix (2018)'!AV2:AV67)</f>
        <v>2.1833848732639352</v>
      </c>
      <c r="AW2" s="9">
        <f>_xlfn.STDEV.P('Data_Matrix (2018)'!AW2:AW67)</f>
        <v>3.7016473981228799</v>
      </c>
      <c r="AX2" s="9">
        <f>_xlfn.STDEV.P('Data_Matrix (2018)'!AX2:AX67)</f>
        <v>3.7756205099482867</v>
      </c>
      <c r="AY2" s="9">
        <f>_xlfn.STDEV.P('Data_Matrix (2018)'!AY2:AY67)</f>
        <v>1.0262855671175186</v>
      </c>
      <c r="AZ2" s="9">
        <f>_xlfn.STDEV.P('Data_Matrix (2018)'!AZ2:AZ67)</f>
        <v>2.1146278706444819</v>
      </c>
      <c r="BA2" s="9">
        <f>_xlfn.STDEV.P('Data_Matrix (2018)'!BA2:BA67)</f>
        <v>0.2793459775018956</v>
      </c>
      <c r="BB2" s="9">
        <f>_xlfn.STDEV.P('Data_Matrix (2018)'!BB2:BB67)</f>
        <v>0.77140517839969958</v>
      </c>
      <c r="BC2" s="9">
        <f>_xlfn.STDEV.P('Data_Matrix (2018)'!BC2:BC67)</f>
        <v>0.51895436720386623</v>
      </c>
      <c r="BD2" s="9">
        <f>_xlfn.STDEV.P('Data_Matrix (2018)'!BD2:BD67)</f>
        <v>0.52013500002706514</v>
      </c>
      <c r="BE2" s="9">
        <f>_xlfn.STDEV.P('Data_Matrix (2018)'!BE2:BE67)</f>
        <v>0.23254324707788551</v>
      </c>
      <c r="BF2" s="9">
        <f>_xlfn.STDEV.P('Data_Matrix (2018)'!BF2:BF67)</f>
        <v>4.7190166233119481E-2</v>
      </c>
      <c r="BG2" s="9">
        <f>_xlfn.STDEV.P('Data_Matrix (2018)'!BG2:BG67)</f>
        <v>4.2615979320582441E-2</v>
      </c>
      <c r="BH2" s="9">
        <f>_xlfn.STDEV.P('Data_Matrix (2018)'!BH2:BH67)</f>
        <v>0.23917666710139085</v>
      </c>
      <c r="BI2" s="9">
        <f>_xlfn.STDEV.P('Data_Matrix (2018)'!BI2:BI67)</f>
        <v>0.13253959560046738</v>
      </c>
      <c r="BJ2" s="9">
        <f>_xlfn.STDEV.P('Data_Matrix (2018)'!BJ2:BJ67)</f>
        <v>9.5798196917550094E-2</v>
      </c>
      <c r="BK2" s="9">
        <f>_xlfn.STDEV.P('Data_Matrix (2018)'!BK2:BK67)</f>
        <v>6.2049370427997026E-2</v>
      </c>
      <c r="BL2" s="9">
        <f>_xlfn.STDEV.P('Data_Matrix (2018)'!BL2:BL67)</f>
        <v>0.17656078370947278</v>
      </c>
      <c r="BM2" s="9">
        <f>_xlfn.STDEV.P('Data_Matrix (2018)'!BM2:BM67)</f>
        <v>1.5535596818801524E-2</v>
      </c>
      <c r="BN2" s="9">
        <f>_xlfn.STDEV.P('Data_Matrix (2018)'!BN2:BN67)</f>
        <v>1.4047695255943763E-2</v>
      </c>
      <c r="BO2" s="9">
        <f>_xlfn.STDEV.P('Data_Matrix (2018)'!BO2:BO67)</f>
        <v>2.1636087766101486E-3</v>
      </c>
    </row>
    <row r="3" spans="1:67" ht="64" x14ac:dyDescent="0.2">
      <c r="A3" s="33" t="s">
        <v>339</v>
      </c>
      <c r="B3" s="8">
        <v>0.29699999999999999</v>
      </c>
      <c r="C3" s="8">
        <v>0.36</v>
      </c>
      <c r="D3" s="8">
        <v>0.32</v>
      </c>
      <c r="E3" s="8">
        <v>0.32</v>
      </c>
      <c r="F3" s="8">
        <v>0.33</v>
      </c>
      <c r="G3" s="8">
        <v>0.4</v>
      </c>
      <c r="H3" s="8">
        <v>0.35</v>
      </c>
      <c r="I3" s="8">
        <v>0.3</v>
      </c>
      <c r="J3" s="8">
        <v>0.09</v>
      </c>
      <c r="K3" s="8">
        <v>0.26</v>
      </c>
      <c r="L3" s="8">
        <v>0.42</v>
      </c>
      <c r="M3" s="8">
        <v>0.5</v>
      </c>
      <c r="N3" s="8">
        <v>0.33</v>
      </c>
      <c r="O3" s="8">
        <v>0.44</v>
      </c>
      <c r="P3" s="8">
        <v>0.17</v>
      </c>
      <c r="Q3" s="8">
        <v>0.48</v>
      </c>
      <c r="R3" s="8">
        <v>0.41</v>
      </c>
      <c r="S3" s="8">
        <v>0.55000000000000004</v>
      </c>
      <c r="T3" s="8">
        <v>0.48</v>
      </c>
      <c r="U3" s="8">
        <v>0.4</v>
      </c>
      <c r="V3" s="8">
        <v>0.09</v>
      </c>
      <c r="W3" s="8">
        <v>0.45</v>
      </c>
      <c r="X3" s="8">
        <v>0.4</v>
      </c>
      <c r="Y3" s="8">
        <v>0.51</v>
      </c>
      <c r="Z3" s="8">
        <v>0.59</v>
      </c>
      <c r="AA3" s="8">
        <v>0.46</v>
      </c>
      <c r="AB3" s="8">
        <v>0.44</v>
      </c>
      <c r="AC3" s="8">
        <v>0.61</v>
      </c>
      <c r="AD3" s="8">
        <v>0.57999999999999996</v>
      </c>
      <c r="AE3" s="8">
        <v>0.46</v>
      </c>
      <c r="AF3" s="8">
        <v>0.59</v>
      </c>
      <c r="AG3" s="8">
        <v>0.49</v>
      </c>
      <c r="AH3" s="8">
        <v>0.38</v>
      </c>
      <c r="AI3" s="8">
        <v>0.53</v>
      </c>
      <c r="AJ3" s="8">
        <v>0.41</v>
      </c>
      <c r="AK3" s="8">
        <v>0.24</v>
      </c>
      <c r="AL3" s="8">
        <v>0</v>
      </c>
      <c r="AM3" s="8">
        <v>0.51</v>
      </c>
      <c r="AN3" s="8">
        <v>0.04</v>
      </c>
      <c r="AO3" s="8">
        <v>0.38</v>
      </c>
      <c r="AP3" s="8">
        <v>0.56999999999999995</v>
      </c>
      <c r="AQ3" s="8">
        <v>0.72</v>
      </c>
      <c r="AR3" s="8">
        <v>0.52</v>
      </c>
      <c r="AS3" s="8">
        <v>0.33</v>
      </c>
      <c r="AT3" s="8">
        <v>0.57999999999999996</v>
      </c>
      <c r="AU3" s="8">
        <v>0.75</v>
      </c>
      <c r="AV3" s="8">
        <v>0.65</v>
      </c>
      <c r="AW3" s="8">
        <v>0.77</v>
      </c>
      <c r="AX3" s="8">
        <v>0.74</v>
      </c>
      <c r="AY3" s="8">
        <v>0.8</v>
      </c>
      <c r="AZ3" s="8">
        <v>0.2</v>
      </c>
      <c r="BA3" s="8">
        <v>0.63</v>
      </c>
      <c r="BB3" s="8">
        <v>0.79</v>
      </c>
      <c r="BC3" s="8">
        <v>0.66</v>
      </c>
      <c r="BD3" s="8">
        <v>0.85</v>
      </c>
      <c r="BE3" s="8">
        <v>0.87</v>
      </c>
      <c r="BF3" s="8">
        <v>0.56999999999999995</v>
      </c>
      <c r="BG3" s="8">
        <v>0.63</v>
      </c>
      <c r="BH3" s="8">
        <v>0.83</v>
      </c>
      <c r="BI3" s="8">
        <v>0.9</v>
      </c>
      <c r="BJ3" s="8">
        <v>0.88</v>
      </c>
      <c r="BK3" s="8">
        <v>0.61</v>
      </c>
      <c r="BL3" s="8">
        <v>0.89</v>
      </c>
      <c r="BM3" s="8">
        <v>0.72</v>
      </c>
      <c r="BN3" s="8">
        <v>0.79</v>
      </c>
      <c r="BO3" s="8">
        <v>0.92</v>
      </c>
    </row>
    <row r="4" spans="1:67" ht="16" x14ac:dyDescent="0.2">
      <c r="A4" s="33" t="s">
        <v>343</v>
      </c>
      <c r="B4" s="9">
        <f>B3*B2*Notes!$C$7</f>
        <v>1339.4966405333012</v>
      </c>
      <c r="C4" s="9">
        <f>C3*C2*Notes!$C$7</f>
        <v>1412.5479739654827</v>
      </c>
      <c r="D4" s="9">
        <f>D3*D2*Notes!$C$7</f>
        <v>870.00466409879573</v>
      </c>
      <c r="E4" s="9">
        <f>E3*E2*Notes!$C$7</f>
        <v>790.11196496475827</v>
      </c>
      <c r="F4" s="9">
        <f>F3*F2*Notes!$C$7</f>
        <v>473.37626223622482</v>
      </c>
      <c r="G4" s="9">
        <f>G3*G2*Notes!$C$7</f>
        <v>797.51375884750041</v>
      </c>
      <c r="H4" s="9">
        <f>H3*H2*Notes!$C$7</f>
        <v>397.30365792302422</v>
      </c>
      <c r="I4" s="9">
        <f>I3*I2*Notes!$C$7</f>
        <v>267.16549674831134</v>
      </c>
      <c r="J4" s="9">
        <f>J3*J2*Notes!$C$7</f>
        <v>50.428184273070308</v>
      </c>
      <c r="K4" s="9">
        <f>K3*K2*Notes!$C$7</f>
        <v>138.39026181711532</v>
      </c>
      <c r="L4" s="9">
        <f>L3*L2*Notes!$C$7</f>
        <v>172.8371811407354</v>
      </c>
      <c r="M4" s="9">
        <f>M3*M2*Notes!$C$7</f>
        <v>201.88629534675655</v>
      </c>
      <c r="N4" s="9">
        <f>N3*N2*Notes!$C$7</f>
        <v>137.25989815199134</v>
      </c>
      <c r="O4" s="9">
        <f>O3*O2*Notes!$C$7</f>
        <v>82.747559707718793</v>
      </c>
      <c r="P4" s="9">
        <f>P3*P2*Notes!$C$7</f>
        <v>27.578878484684999</v>
      </c>
      <c r="Q4" s="9">
        <f>Q3*Q2*Notes!$C$7</f>
        <v>89.99137636271783</v>
      </c>
      <c r="R4" s="9">
        <f>R3*R2*Notes!$C$7</f>
        <v>98.639652172335687</v>
      </c>
      <c r="S4" s="9">
        <f>S3*S2*Notes!$C$7</f>
        <v>72.288998002943487</v>
      </c>
      <c r="T4" s="9">
        <f>T3*T2*Notes!$C$7</f>
        <v>38.789865360160654</v>
      </c>
      <c r="U4" s="9">
        <f>U3*U2*Notes!$C$7</f>
        <v>22.781943289382362</v>
      </c>
      <c r="V4" s="9">
        <f>V3*V2*Notes!$C$7</f>
        <v>6.2885209762033325</v>
      </c>
      <c r="W4" s="9">
        <f>W3*W2*Notes!$C$7</f>
        <v>17.381028646585918</v>
      </c>
      <c r="X4" s="9">
        <f>X3*X2*Notes!$C$7</f>
        <v>19.879363520033959</v>
      </c>
      <c r="Y4" s="9">
        <f>Y3*Y2*Notes!$C$7</f>
        <v>23.352433488654196</v>
      </c>
      <c r="Z4" s="9">
        <f>Z3*Z2*Notes!$C$7</f>
        <v>16.109120132537853</v>
      </c>
      <c r="AA4" s="9">
        <f>AA3*AA2*Notes!$C$7</f>
        <v>18.897864671581157</v>
      </c>
      <c r="AB4" s="9">
        <f>AB3*AB2*Notes!$C$7</f>
        <v>2.9064947395839731</v>
      </c>
      <c r="AC4" s="9">
        <f>AC3*AC2*Notes!$C$7</f>
        <v>5.8726768347106226</v>
      </c>
      <c r="AD4" s="9">
        <f>AD3*AD2*Notes!$C$7</f>
        <v>4.793783737310636</v>
      </c>
      <c r="AE4" s="9">
        <f>AE3*AE2*Notes!$C$7</f>
        <v>3.6468824713178472</v>
      </c>
      <c r="AF4" s="9">
        <f>AF3*AF2*Notes!$C$7</f>
        <v>4.4257280289351817</v>
      </c>
      <c r="AG4" s="9">
        <f>AG3*AG2*Notes!$C$7</f>
        <v>3.7586635575034575</v>
      </c>
      <c r="AH4" s="9">
        <f>AH3*AH2*Notes!$C$7</f>
        <v>3.0738187112925224</v>
      </c>
      <c r="AI4" s="9">
        <f>AI3*AI2*Notes!$C$7</f>
        <v>2.1318469771339288</v>
      </c>
      <c r="AJ4" s="9">
        <f>AJ3*AJ2*Notes!$C$7</f>
        <v>2.4225831617444253</v>
      </c>
      <c r="AK4" s="9">
        <f>AK3*AK2*Notes!$C$7</f>
        <v>1.7242561764353519</v>
      </c>
      <c r="AL4" s="9">
        <f>AL3*AL2*Notes!$C$7</f>
        <v>0</v>
      </c>
      <c r="AM4" s="9">
        <f>AM3*AM2*Notes!$C$7</f>
        <v>2.7678757173569632</v>
      </c>
      <c r="AN4" s="9">
        <f>AN3*AN2*Notes!$C$7</f>
        <v>0.24197106673953125</v>
      </c>
      <c r="AO4" s="9">
        <f>AO3*AO2*Notes!$C$7</f>
        <v>1.6976356979408647</v>
      </c>
      <c r="AP4" s="9">
        <f>AP3*AP2*Notes!$C$7</f>
        <v>3.7107046936068366</v>
      </c>
      <c r="AQ4" s="9">
        <f>AQ3*AQ2*Notes!$C$7</f>
        <v>2.6540281718537364</v>
      </c>
      <c r="AR4" s="9">
        <f>AR3*AR2*Notes!$C$7</f>
        <v>2.0397007862819079</v>
      </c>
      <c r="AS4" s="9">
        <f>AS3*AS2*Notes!$C$7</f>
        <v>1.3050143699583083</v>
      </c>
      <c r="AT4" s="9">
        <f>AT3*AT2*Notes!$C$7</f>
        <v>1.2076793132253427</v>
      </c>
      <c r="AU4" s="9">
        <f>AU3*AU2*Notes!$C$7</f>
        <v>1.4653534424575256</v>
      </c>
      <c r="AV4" s="9">
        <f>AV3*AV2*Notes!$C$7</f>
        <v>1.419200167621558</v>
      </c>
      <c r="AW4" s="9">
        <f>AW3*AW2*Notes!$C$7</f>
        <v>2.8502684965546177</v>
      </c>
      <c r="AX4" s="9">
        <f>AX3*AX2*Notes!$C$7</f>
        <v>2.793959177361732</v>
      </c>
      <c r="AY4" s="9">
        <f>AY3*AY2*Notes!$C$7</f>
        <v>0.82102845369401489</v>
      </c>
      <c r="AZ4" s="9">
        <f>AZ3*AZ2*Notes!$C$7</f>
        <v>0.42292557412889642</v>
      </c>
      <c r="BA4" s="9">
        <f>BA3*BA2*Notes!$C$7</f>
        <v>0.17598796582619422</v>
      </c>
      <c r="BB4" s="9">
        <f>BB3*BB2*Notes!$C$7</f>
        <v>0.6094100909357627</v>
      </c>
      <c r="BC4" s="9">
        <f>BC3*BC2*Notes!$C$7</f>
        <v>0.34250988235455171</v>
      </c>
      <c r="BD4" s="9">
        <f>BD3*BD2*Notes!$C$7</f>
        <v>0.44211475002300538</v>
      </c>
      <c r="BE4" s="9">
        <f>BE3*BE2*Notes!$C$7</f>
        <v>0.2023126249577604</v>
      </c>
      <c r="BF4" s="9">
        <f>BF3*BF2*Notes!$C$7</f>
        <v>2.6898394752878103E-2</v>
      </c>
      <c r="BG4" s="9">
        <f>BG3*BG2*Notes!$C$7</f>
        <v>2.6848066971966938E-2</v>
      </c>
      <c r="BH4" s="9">
        <f>BH3*BH2*Notes!$C$7</f>
        <v>0.1985166336941544</v>
      </c>
      <c r="BI4" s="9">
        <f>BI3*BI2*Notes!$C$7</f>
        <v>0.11928563604042064</v>
      </c>
      <c r="BJ4" s="9">
        <f>BJ3*BJ2*Notes!$C$7</f>
        <v>8.4302413287444089E-2</v>
      </c>
      <c r="BK4" s="9">
        <f>BK3*BK2*Notes!$C$7</f>
        <v>3.7850115961078186E-2</v>
      </c>
      <c r="BL4" s="9">
        <f>BL3*BL2*Notes!$C$7</f>
        <v>0.15713909750143079</v>
      </c>
      <c r="BM4" s="9">
        <f>BM3*BM2*Notes!$C$7</f>
        <v>1.1185629709537096E-2</v>
      </c>
      <c r="BN4" s="9">
        <f>BN3*BN2*Notes!$C$7</f>
        <v>1.1097679252195574E-2</v>
      </c>
      <c r="BO4" s="9">
        <f>BO3*BO2*Notes!$C$7</f>
        <v>1.9905200744813369E-3</v>
      </c>
    </row>
    <row r="5" spans="1:67" hidden="1" x14ac:dyDescent="0.2">
      <c r="A5" s="33"/>
      <c r="B5" s="9">
        <f>'Ranking (2018)'!$E$70</f>
        <v>0.99960981901113088</v>
      </c>
      <c r="C5" s="9">
        <f>'Ranking (2018)'!$E$70</f>
        <v>0.99960981901113088</v>
      </c>
      <c r="D5" s="9">
        <f>'Ranking (2018)'!$E$70</f>
        <v>0.99960981901113088</v>
      </c>
      <c r="E5" s="9">
        <f>'Ranking (2018)'!$E$70</f>
        <v>0.99960981901113088</v>
      </c>
      <c r="F5" s="9">
        <f>'Ranking (2018)'!$E$70</f>
        <v>0.99960981901113088</v>
      </c>
      <c r="G5" s="9">
        <f>'Ranking (2018)'!$E$70</f>
        <v>0.99960981901113088</v>
      </c>
      <c r="H5" s="9">
        <f>'Ranking (2018)'!$E$70</f>
        <v>0.99960981901113088</v>
      </c>
      <c r="I5" s="9">
        <f>'Ranking (2018)'!$E$70</f>
        <v>0.99960981901113088</v>
      </c>
      <c r="J5" s="9">
        <f>'Ranking (2018)'!$E$70</f>
        <v>0.99960981901113088</v>
      </c>
      <c r="K5" s="9">
        <f>'Ranking (2018)'!$E$70</f>
        <v>0.99960981901113088</v>
      </c>
      <c r="L5" s="9">
        <f>'Ranking (2018)'!$E$70</f>
        <v>0.99960981901113088</v>
      </c>
      <c r="M5" s="9">
        <f>'Ranking (2018)'!$E$70</f>
        <v>0.99960981901113088</v>
      </c>
      <c r="N5" s="9">
        <f>'Ranking (2018)'!$E$70</f>
        <v>0.99960981901113088</v>
      </c>
      <c r="O5" s="9">
        <f>'Ranking (2018)'!$E$70</f>
        <v>0.99960981901113088</v>
      </c>
      <c r="P5" s="9">
        <f>'Ranking (2018)'!$E$70</f>
        <v>0.99960981901113088</v>
      </c>
      <c r="Q5" s="9">
        <f>'Ranking (2018)'!$E$70</f>
        <v>0.99960981901113088</v>
      </c>
      <c r="R5" s="9">
        <f>'Ranking (2018)'!$E$70</f>
        <v>0.99960981901113088</v>
      </c>
      <c r="S5" s="9">
        <f>'Ranking (2018)'!$E$70</f>
        <v>0.99960981901113088</v>
      </c>
      <c r="T5" s="9">
        <f>'Ranking (2018)'!$E$70</f>
        <v>0.99960981901113088</v>
      </c>
      <c r="U5" s="9">
        <f>'Ranking (2018)'!$E$70</f>
        <v>0.99960981901113088</v>
      </c>
      <c r="V5" s="9">
        <f>'Ranking (2018)'!$E$70</f>
        <v>0.99960981901113088</v>
      </c>
      <c r="W5" s="9">
        <f>'Ranking (2018)'!$E$70</f>
        <v>0.99960981901113088</v>
      </c>
      <c r="X5" s="9">
        <f>'Ranking (2018)'!$E$70</f>
        <v>0.99960981901113088</v>
      </c>
      <c r="Y5" s="9">
        <f>'Ranking (2018)'!$E$70</f>
        <v>0.99960981901113088</v>
      </c>
      <c r="Z5" s="9">
        <f>'Ranking (2018)'!$E$70</f>
        <v>0.99960981901113088</v>
      </c>
      <c r="AA5" s="9">
        <f>'Ranking (2018)'!$E$70</f>
        <v>0.99960981901113088</v>
      </c>
      <c r="AB5" s="9">
        <f>'Ranking (2018)'!$E$70</f>
        <v>0.99960981901113088</v>
      </c>
      <c r="AC5" s="9">
        <f>'Ranking (2018)'!$E$70</f>
        <v>0.99960981901113088</v>
      </c>
      <c r="AD5" s="9">
        <f>'Ranking (2018)'!$E$70</f>
        <v>0.99960981901113088</v>
      </c>
      <c r="AE5" s="9">
        <f>'Ranking (2018)'!$E$70</f>
        <v>0.99960981901113088</v>
      </c>
      <c r="AF5" s="9">
        <f>'Ranking (2018)'!$E$70</f>
        <v>0.99960981901113088</v>
      </c>
      <c r="AG5" s="9">
        <f>'Ranking (2018)'!$E$70</f>
        <v>0.99960981901113088</v>
      </c>
      <c r="AH5" s="9">
        <f>'Ranking (2018)'!$E$70</f>
        <v>0.99960981901113088</v>
      </c>
      <c r="AI5" s="9">
        <f>'Ranking (2018)'!$E$70</f>
        <v>0.99960981901113088</v>
      </c>
      <c r="AJ5" s="9">
        <f>'Ranking (2018)'!$E$70</f>
        <v>0.99960981901113088</v>
      </c>
      <c r="AK5" s="9">
        <f>'Ranking (2018)'!$E$70</f>
        <v>0.99960981901113088</v>
      </c>
      <c r="AL5" s="9">
        <f>'Ranking (2018)'!$E$70</f>
        <v>0.99960981901113088</v>
      </c>
      <c r="AM5" s="9">
        <f>'Ranking (2018)'!$E$70</f>
        <v>0.99960981901113088</v>
      </c>
      <c r="AN5" s="9">
        <f>'Ranking (2018)'!$E$70</f>
        <v>0.99960981901113088</v>
      </c>
      <c r="AO5" s="9">
        <f>'Ranking (2018)'!$E$70</f>
        <v>0.99960981901113088</v>
      </c>
      <c r="AP5" s="9">
        <f>'Ranking (2018)'!$E$70</f>
        <v>0.99960981901113088</v>
      </c>
      <c r="AQ5" s="9">
        <f>'Ranking (2018)'!$E$70</f>
        <v>0.99960981901113088</v>
      </c>
      <c r="AR5" s="9">
        <f>'Ranking (2018)'!$E$70</f>
        <v>0.99960981901113088</v>
      </c>
      <c r="AS5" s="9">
        <f>'Ranking (2018)'!$E$70</f>
        <v>0.99960981901113088</v>
      </c>
      <c r="AT5" s="9">
        <f>'Ranking (2018)'!$E$70</f>
        <v>0.99960981901113088</v>
      </c>
      <c r="AU5" s="9">
        <f>'Ranking (2018)'!$E$70</f>
        <v>0.99960981901113088</v>
      </c>
      <c r="AV5" s="9">
        <f>'Ranking (2018)'!$E$70</f>
        <v>0.99960981901113088</v>
      </c>
      <c r="AW5" s="9">
        <f>'Ranking (2018)'!$E$70</f>
        <v>0.99960981901113088</v>
      </c>
      <c r="AX5" s="9">
        <f>'Ranking (2018)'!$E$70</f>
        <v>0.99960981901113088</v>
      </c>
      <c r="AY5" s="9">
        <f>'Ranking (2018)'!$E$70</f>
        <v>0.99960981901113088</v>
      </c>
      <c r="AZ5" s="9">
        <f>'Ranking (2018)'!$E$70</f>
        <v>0.99960981901113088</v>
      </c>
      <c r="BA5" s="9">
        <f>'Ranking (2018)'!$E$70</f>
        <v>0.99960981901113088</v>
      </c>
      <c r="BB5" s="9">
        <f>'Ranking (2018)'!$E$70</f>
        <v>0.99960981901113088</v>
      </c>
      <c r="BC5" s="9">
        <f>'Ranking (2018)'!$E$70</f>
        <v>0.99960981901113088</v>
      </c>
      <c r="BD5" s="9">
        <f>'Ranking (2018)'!$E$70</f>
        <v>0.99960981901113088</v>
      </c>
      <c r="BE5" s="9">
        <f>'Ranking (2018)'!$E$70</f>
        <v>0.99960981901113088</v>
      </c>
      <c r="BF5" s="9">
        <f>'Ranking (2018)'!$E$70</f>
        <v>0.99960981901113088</v>
      </c>
      <c r="BG5" s="9">
        <f>'Ranking (2018)'!$E$70</f>
        <v>0.99960981901113088</v>
      </c>
      <c r="BH5" s="9">
        <f>'Ranking (2018)'!$E$70</f>
        <v>0.99960981901113088</v>
      </c>
      <c r="BI5" s="9">
        <f>'Ranking (2018)'!$E$70</f>
        <v>0.99960981901113088</v>
      </c>
      <c r="BJ5" s="9">
        <f>'Ranking (2018)'!$E$70</f>
        <v>0.99960981901113088</v>
      </c>
      <c r="BK5" s="9">
        <f>'Ranking (2018)'!$E$70</f>
        <v>0.99960981901113088</v>
      </c>
      <c r="BL5" s="9">
        <f>'Ranking (2018)'!$E$70</f>
        <v>0.99960981901113088</v>
      </c>
      <c r="BM5" s="9">
        <f>'Ranking (2018)'!$E$70</f>
        <v>0.99960981901113088</v>
      </c>
      <c r="BN5" s="9">
        <f>'Ranking (2018)'!$E$70</f>
        <v>0.99960981901113088</v>
      </c>
      <c r="BO5" s="9">
        <f>'Ranking (2018)'!$E$70</f>
        <v>0.99960981901113088</v>
      </c>
    </row>
    <row r="6" spans="1:67" hidden="1" x14ac:dyDescent="0.2">
      <c r="A6" s="33"/>
      <c r="B6" s="9">
        <f>$B$144</f>
        <v>7.8020973653114556E-4</v>
      </c>
      <c r="C6" s="9">
        <f t="shared" ref="C6:BN6" si="0">$B$144</f>
        <v>7.8020973653114556E-4</v>
      </c>
      <c r="D6" s="9">
        <f t="shared" si="0"/>
        <v>7.8020973653114556E-4</v>
      </c>
      <c r="E6" s="9">
        <f t="shared" si="0"/>
        <v>7.8020973653114556E-4</v>
      </c>
      <c r="F6" s="9">
        <f t="shared" si="0"/>
        <v>7.8020973653114556E-4</v>
      </c>
      <c r="G6" s="9">
        <f t="shared" si="0"/>
        <v>7.8020973653114556E-4</v>
      </c>
      <c r="H6" s="9">
        <f t="shared" si="0"/>
        <v>7.8020973653114556E-4</v>
      </c>
      <c r="I6" s="9">
        <f t="shared" si="0"/>
        <v>7.8020973653114556E-4</v>
      </c>
      <c r="J6" s="9">
        <f t="shared" si="0"/>
        <v>7.8020973653114556E-4</v>
      </c>
      <c r="K6" s="9">
        <f t="shared" si="0"/>
        <v>7.8020973653114556E-4</v>
      </c>
      <c r="L6" s="9">
        <f t="shared" si="0"/>
        <v>7.8020973653114556E-4</v>
      </c>
      <c r="M6" s="9">
        <f t="shared" si="0"/>
        <v>7.8020973653114556E-4</v>
      </c>
      <c r="N6" s="9">
        <f t="shared" si="0"/>
        <v>7.8020973653114556E-4</v>
      </c>
      <c r="O6" s="9">
        <f t="shared" si="0"/>
        <v>7.8020973653114556E-4</v>
      </c>
      <c r="P6" s="9">
        <f t="shared" si="0"/>
        <v>7.8020973653114556E-4</v>
      </c>
      <c r="Q6" s="9">
        <f t="shared" si="0"/>
        <v>7.8020973653114556E-4</v>
      </c>
      <c r="R6" s="9">
        <f t="shared" si="0"/>
        <v>7.8020973653114556E-4</v>
      </c>
      <c r="S6" s="9">
        <f t="shared" si="0"/>
        <v>7.8020973653114556E-4</v>
      </c>
      <c r="T6" s="9">
        <f t="shared" si="0"/>
        <v>7.8020973653114556E-4</v>
      </c>
      <c r="U6" s="9">
        <f t="shared" si="0"/>
        <v>7.8020973653114556E-4</v>
      </c>
      <c r="V6" s="9">
        <f t="shared" si="0"/>
        <v>7.8020973653114556E-4</v>
      </c>
      <c r="W6" s="9">
        <f t="shared" si="0"/>
        <v>7.8020973653114556E-4</v>
      </c>
      <c r="X6" s="9">
        <f t="shared" si="0"/>
        <v>7.8020973653114556E-4</v>
      </c>
      <c r="Y6" s="9">
        <f t="shared" si="0"/>
        <v>7.8020973653114556E-4</v>
      </c>
      <c r="Z6" s="9">
        <f t="shared" si="0"/>
        <v>7.8020973653114556E-4</v>
      </c>
      <c r="AA6" s="9">
        <f t="shared" si="0"/>
        <v>7.8020973653114556E-4</v>
      </c>
      <c r="AB6" s="9">
        <f t="shared" si="0"/>
        <v>7.8020973653114556E-4</v>
      </c>
      <c r="AC6" s="9">
        <f t="shared" si="0"/>
        <v>7.8020973653114556E-4</v>
      </c>
      <c r="AD6" s="9">
        <f t="shared" si="0"/>
        <v>7.8020973653114556E-4</v>
      </c>
      <c r="AE6" s="9">
        <f t="shared" si="0"/>
        <v>7.8020973653114556E-4</v>
      </c>
      <c r="AF6" s="9">
        <f t="shared" si="0"/>
        <v>7.8020973653114556E-4</v>
      </c>
      <c r="AG6" s="9">
        <f t="shared" si="0"/>
        <v>7.8020973653114556E-4</v>
      </c>
      <c r="AH6" s="9">
        <f t="shared" si="0"/>
        <v>7.8020973653114556E-4</v>
      </c>
      <c r="AI6" s="9">
        <f t="shared" si="0"/>
        <v>7.8020973653114556E-4</v>
      </c>
      <c r="AJ6" s="9">
        <f t="shared" si="0"/>
        <v>7.8020973653114556E-4</v>
      </c>
      <c r="AK6" s="9">
        <f t="shared" si="0"/>
        <v>7.8020973653114556E-4</v>
      </c>
      <c r="AL6" s="9">
        <f t="shared" si="0"/>
        <v>7.8020973653114556E-4</v>
      </c>
      <c r="AM6" s="9">
        <f t="shared" si="0"/>
        <v>7.8020973653114556E-4</v>
      </c>
      <c r="AN6" s="9">
        <f t="shared" si="0"/>
        <v>7.8020973653114556E-4</v>
      </c>
      <c r="AO6" s="9">
        <f t="shared" si="0"/>
        <v>7.8020973653114556E-4</v>
      </c>
      <c r="AP6" s="9">
        <f t="shared" si="0"/>
        <v>7.8020973653114556E-4</v>
      </c>
      <c r="AQ6" s="9">
        <f t="shared" si="0"/>
        <v>7.8020973653114556E-4</v>
      </c>
      <c r="AR6" s="9">
        <f t="shared" si="0"/>
        <v>7.8020973653114556E-4</v>
      </c>
      <c r="AS6" s="9">
        <f t="shared" si="0"/>
        <v>7.8020973653114556E-4</v>
      </c>
      <c r="AT6" s="9">
        <f t="shared" si="0"/>
        <v>7.8020973653114556E-4</v>
      </c>
      <c r="AU6" s="9">
        <f t="shared" si="0"/>
        <v>7.8020973653114556E-4</v>
      </c>
      <c r="AV6" s="9">
        <f t="shared" si="0"/>
        <v>7.8020973653114556E-4</v>
      </c>
      <c r="AW6" s="9">
        <f t="shared" si="0"/>
        <v>7.8020973653114556E-4</v>
      </c>
      <c r="AX6" s="9">
        <f t="shared" si="0"/>
        <v>7.8020973653114556E-4</v>
      </c>
      <c r="AY6" s="9">
        <f t="shared" si="0"/>
        <v>7.8020973653114556E-4</v>
      </c>
      <c r="AZ6" s="9">
        <f t="shared" si="0"/>
        <v>7.8020973653114556E-4</v>
      </c>
      <c r="BA6" s="9">
        <f t="shared" si="0"/>
        <v>7.8020973653114556E-4</v>
      </c>
      <c r="BB6" s="9">
        <f t="shared" si="0"/>
        <v>7.8020973653114556E-4</v>
      </c>
      <c r="BC6" s="9">
        <f t="shared" si="0"/>
        <v>7.8020973653114556E-4</v>
      </c>
      <c r="BD6" s="9">
        <f t="shared" si="0"/>
        <v>7.8020973653114556E-4</v>
      </c>
      <c r="BE6" s="9">
        <f t="shared" si="0"/>
        <v>7.8020973653114556E-4</v>
      </c>
      <c r="BF6" s="9">
        <f t="shared" si="0"/>
        <v>7.8020973653114556E-4</v>
      </c>
      <c r="BG6" s="9">
        <f t="shared" si="0"/>
        <v>7.8020973653114556E-4</v>
      </c>
      <c r="BH6" s="9">
        <f t="shared" si="0"/>
        <v>7.8020973653114556E-4</v>
      </c>
      <c r="BI6" s="9">
        <f t="shared" si="0"/>
        <v>7.8020973653114556E-4</v>
      </c>
      <c r="BJ6" s="9">
        <f t="shared" si="0"/>
        <v>7.8020973653114556E-4</v>
      </c>
      <c r="BK6" s="9">
        <f t="shared" si="0"/>
        <v>7.8020973653114556E-4</v>
      </c>
      <c r="BL6" s="9">
        <f t="shared" si="0"/>
        <v>7.8020973653114556E-4</v>
      </c>
      <c r="BM6" s="9">
        <f t="shared" si="0"/>
        <v>7.8020973653114556E-4</v>
      </c>
      <c r="BN6" s="9">
        <f t="shared" si="0"/>
        <v>7.8020973653114556E-4</v>
      </c>
      <c r="BO6" s="9">
        <f t="shared" ref="BO6" si="1">$B$144</f>
        <v>7.8020973653114556E-4</v>
      </c>
    </row>
    <row r="8" spans="1:67" ht="15" customHeight="1" x14ac:dyDescent="0.2">
      <c r="A8" s="114" t="s">
        <v>335</v>
      </c>
      <c r="B8" s="9">
        <f>_xlfn.COVARIANCE.P('Data_Matrix (2018)'!B$2:B$67,'Data_Matrix (2018)'!B$2:B$67)</f>
        <v>20340909.09090909</v>
      </c>
      <c r="C8" s="9">
        <f>_xlfn.COVARIANCE.P('Data_Matrix (2018)'!$B$2:$B$67,'Data_Matrix (2018)'!C2:C67)</f>
        <v>10692536.633954193</v>
      </c>
      <c r="D8" s="9">
        <f>_xlfn.COVARIANCE.P('Data_Matrix (2018)'!$B$2:$B$67,'Data_Matrix (2018)'!D2:D67)</f>
        <v>8353424.6488065161</v>
      </c>
      <c r="E8" s="9">
        <f>_xlfn.COVARIANCE.P('Data_Matrix (2018)'!$B$2:$B$67,'Data_Matrix (2018)'!E2:E67)</f>
        <v>6621506.7611920256</v>
      </c>
      <c r="F8" s="9">
        <f>_xlfn.COVARIANCE.P('Data_Matrix (2018)'!$B$2:$B$67,'Data_Matrix (2018)'!F2:F67)</f>
        <v>4355376.2869573794</v>
      </c>
      <c r="G8" s="9">
        <f>_xlfn.COVARIANCE.P('Data_Matrix (2018)'!$B$2:$B$67,'Data_Matrix (2018)'!G2:G67)</f>
        <v>5564261.8157598199</v>
      </c>
      <c r="H8" s="9">
        <f>_xlfn.COVARIANCE.P('Data_Matrix (2018)'!$B$2:$B$67,'Data_Matrix (2018)'!H2:H67)</f>
        <v>3133249.3179342803</v>
      </c>
      <c r="I8" s="9">
        <f>_xlfn.COVARIANCE.P('Data_Matrix (2018)'!$B$2:$B$67,'Data_Matrix (2018)'!I2:I67)</f>
        <v>2069242.4839668337</v>
      </c>
      <c r="J8" s="9">
        <f>_xlfn.COVARIANCE.P('Data_Matrix (2018)'!$B$2:$B$67,'Data_Matrix (2018)'!J2:J67)</f>
        <v>780262.47677447658</v>
      </c>
      <c r="K8" s="9">
        <f>_xlfn.COVARIANCE.P('Data_Matrix (2018)'!$B$2:$B$67,'Data_Matrix (2018)'!K2:K67)</f>
        <v>1728708.1267136764</v>
      </c>
      <c r="L8" s="9">
        <f>_xlfn.COVARIANCE.P('Data_Matrix (2018)'!$B$2:$B$67,'Data_Matrix (2018)'!L2:L67)</f>
        <v>1261882.6151699016</v>
      </c>
      <c r="M8" s="9">
        <f>_xlfn.COVARIANCE.P('Data_Matrix (2018)'!$B$2:$B$67,'Data_Matrix (2018)'!M2:M67)</f>
        <v>673109.16940976935</v>
      </c>
      <c r="N8" s="9">
        <f>_xlfn.COVARIANCE.P('Data_Matrix (2018)'!$B$2:$B$67,'Data_Matrix (2018)'!N2:N67)</f>
        <v>1097799.7026769114</v>
      </c>
      <c r="O8" s="9">
        <f>_xlfn.COVARIANCE.P('Data_Matrix (2018)'!$B$2:$B$67,'Data_Matrix (2018)'!O2:O67)</f>
        <v>566150.8785643701</v>
      </c>
      <c r="P8" s="9">
        <f>_xlfn.COVARIANCE.P('Data_Matrix (2018)'!$B$2:$B$67,'Data_Matrix (2018)'!P2:P67)</f>
        <v>185955.38329714444</v>
      </c>
      <c r="Q8" s="9">
        <f>_xlfn.COVARIANCE.P('Data_Matrix (2018)'!$B$2:$B$67,'Data_Matrix (2018)'!Q2:Q67)</f>
        <v>530480.06214748893</v>
      </c>
      <c r="R8" s="9">
        <f>_xlfn.COVARIANCE.P('Data_Matrix (2018)'!$B$2:$B$67,'Data_Matrix (2018)'!R2:R67)</f>
        <v>589462.52578012564</v>
      </c>
      <c r="S8" s="9">
        <f>_xlfn.COVARIANCE.P('Data_Matrix (2018)'!$B$2:$B$67,'Data_Matrix (2018)'!S2:S67)</f>
        <v>291181.22292077832</v>
      </c>
      <c r="T8" s="9">
        <f>_xlfn.COVARIANCE.P('Data_Matrix (2018)'!$B$2:$B$67,'Data_Matrix (2018)'!T2:T67)</f>
        <v>257515.87735182763</v>
      </c>
      <c r="U8" s="9">
        <f>_xlfn.COVARIANCE.P('Data_Matrix (2018)'!$B$2:$B$67,'Data_Matrix (2018)'!U2:U67)</f>
        <v>139844.29606177859</v>
      </c>
      <c r="V8" s="9">
        <f>_xlfn.COVARIANCE.P('Data_Matrix (2018)'!$B$2:$B$67,'Data_Matrix (2018)'!V2:V67)</f>
        <v>53293.158766081928</v>
      </c>
      <c r="W8" s="9">
        <f>_xlfn.COVARIANCE.P('Data_Matrix (2018)'!$B$2:$B$67,'Data_Matrix (2018)'!W2:W67)</f>
        <v>76385.856146471051</v>
      </c>
      <c r="X8" s="9">
        <f>_xlfn.COVARIANCE.P('Data_Matrix (2018)'!$B$2:$B$67,'Data_Matrix (2018)'!X2:X67)</f>
        <v>127917.90028743807</v>
      </c>
      <c r="Y8" s="9">
        <f>_xlfn.COVARIANCE.P('Data_Matrix (2018)'!$B$2:$B$67,'Data_Matrix (2018)'!Y2:Y67)</f>
        <v>76705.226362812216</v>
      </c>
      <c r="Z8" s="9">
        <f>_xlfn.COVARIANCE.P('Data_Matrix (2018)'!$B$2:$B$67,'Data_Matrix (2018)'!Z2:Z67)</f>
        <v>77533.713202789702</v>
      </c>
      <c r="AA8" s="9">
        <f>_xlfn.COVARIANCE.P('Data_Matrix (2018)'!$B$2:$B$67,'Data_Matrix (2018)'!AA2:AA67)</f>
        <v>31445.504607538769</v>
      </c>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row>
    <row r="9" spans="1:67" x14ac:dyDescent="0.2">
      <c r="A9" s="114"/>
      <c r="B9" s="9">
        <f>_xlfn.COVARIANCE.P('Data_Matrix (2018)'!$C$2:$C$67,'Data_Matrix (2018)'!B$2:B$67)</f>
        <v>10692536.633954193</v>
      </c>
      <c r="C9" s="9">
        <f>_xlfn.COVARIANCE.P('Data_Matrix (2018)'!$C$2:$C$67,'Data_Matrix (2018)'!C$2:C$67)</f>
        <v>15395769.897793116</v>
      </c>
      <c r="D9" s="9">
        <f>_xlfn.COVARIANCE.P('Data_Matrix (2018)'!$C$2:$C$67,'Data_Matrix (2018)'!D$2:D$67)</f>
        <v>9105077.8316324782</v>
      </c>
      <c r="E9" s="9">
        <f>_xlfn.COVARIANCE.P('Data_Matrix (2018)'!$C$2:$C$67,'Data_Matrix (2018)'!E$2:E$67)</f>
        <v>7512601.1064849226</v>
      </c>
      <c r="F9" s="9">
        <f>_xlfn.COVARIANCE.P('Data_Matrix (2018)'!$C$2:$C$67,'Data_Matrix (2018)'!F$2:F$67)</f>
        <v>3880278.0875256499</v>
      </c>
      <c r="G9" s="9">
        <f>_xlfn.COVARIANCE.P('Data_Matrix (2018)'!$C$2:$C$67,'Data_Matrix (2018)'!G$2:G$67)</f>
        <v>7421210.4939256562</v>
      </c>
      <c r="H9" s="9">
        <f>_xlfn.COVARIANCE.P('Data_Matrix (2018)'!$C$2:$C$67,'Data_Matrix (2018)'!H$2:H$67)</f>
        <v>2655971.3157581054</v>
      </c>
      <c r="I9" s="9">
        <f>_xlfn.COVARIANCE.P('Data_Matrix (2018)'!$C$2:$C$67,'Data_Matrix (2018)'!I$2:I$67)</f>
        <v>2711473.3951154342</v>
      </c>
      <c r="J9" s="9">
        <f>_xlfn.COVARIANCE.P('Data_Matrix (2018)'!$C$2:$C$67,'Data_Matrix (2018)'!J$2:J$67)</f>
        <v>1321298.8650707491</v>
      </c>
      <c r="K9" s="9">
        <f>_xlfn.COVARIANCE.P('Data_Matrix (2018)'!$C$2:$C$67,'Data_Matrix (2018)'!K$2:K$67)</f>
        <v>1759242.3450157149</v>
      </c>
      <c r="L9" s="9">
        <f>_xlfn.COVARIANCE.P('Data_Matrix (2018)'!$C$2:$C$67,'Data_Matrix (2018)'!L$2:L$67)</f>
        <v>1428766.7510359818</v>
      </c>
      <c r="M9" s="9">
        <f>_xlfn.COVARIANCE.P('Data_Matrix (2018)'!$C$2:$C$67,'Data_Matrix (2018)'!M$2:M$67)</f>
        <v>1144664.2314040826</v>
      </c>
      <c r="N9" s="9">
        <f>_xlfn.COVARIANCE.P('Data_Matrix (2018)'!$C$2:$C$67,'Data_Matrix (2018)'!N$2:N$67)</f>
        <v>1492728.6049940041</v>
      </c>
      <c r="O9" s="9">
        <f>_xlfn.COVARIANCE.P('Data_Matrix (2018)'!$C$2:$C$67,'Data_Matrix (2018)'!O$2:O$67)</f>
        <v>677481.6874887665</v>
      </c>
      <c r="P9" s="9">
        <f>_xlfn.COVARIANCE.P('Data_Matrix (2018)'!$C$2:$C$67,'Data_Matrix (2018)'!P$2:P$67)</f>
        <v>135591.86090416892</v>
      </c>
      <c r="Q9" s="9">
        <f>_xlfn.COVARIANCE.P('Data_Matrix (2018)'!$C$2:$C$67,'Data_Matrix (2018)'!Q$2:Q$67)</f>
        <v>574466.75255595066</v>
      </c>
      <c r="R9" s="9">
        <f>_xlfn.COVARIANCE.P('Data_Matrix (2018)'!$C$2:$C$67,'Data_Matrix (2018)'!R$2:R$67)</f>
        <v>721646.60921481939</v>
      </c>
      <c r="S9" s="9">
        <f>_xlfn.COVARIANCE.P('Data_Matrix (2018)'!$C$2:$C$67,'Data_Matrix (2018)'!S$2:S$67)</f>
        <v>381081.99390522484</v>
      </c>
      <c r="T9" s="9">
        <f>_xlfn.COVARIANCE.P('Data_Matrix (2018)'!$C$2:$C$67,'Data_Matrix (2018)'!T$2:T$67)</f>
        <v>290113.39909977431</v>
      </c>
      <c r="U9" s="9">
        <f>_xlfn.COVARIANCE.P('Data_Matrix (2018)'!$C$2:$C$67,'Data_Matrix (2018)'!U$2:U$67)</f>
        <v>182566.23580089351</v>
      </c>
      <c r="V9" s="9">
        <f>_xlfn.COVARIANCE.P('Data_Matrix (2018)'!$C$2:$C$67,'Data_Matrix (2018)'!V$2:V$67)</f>
        <v>123075.96601239698</v>
      </c>
      <c r="W9" s="9">
        <f>_xlfn.COVARIANCE.P('Data_Matrix (2018)'!$C$2:$C$67,'Data_Matrix (2018)'!W$2:W$67)</f>
        <v>99528.389441475825</v>
      </c>
      <c r="X9" s="9">
        <f>_xlfn.COVARIANCE.P('Data_Matrix (2018)'!$C$2:$C$67,'Data_Matrix (2018)'!X$2:X$67)</f>
        <v>160781.15600598315</v>
      </c>
      <c r="Y9" s="9">
        <f>_xlfn.COVARIANCE.P('Data_Matrix (2018)'!$C$2:$C$67,'Data_Matrix (2018)'!Y$2:Y$67)</f>
        <v>137423.06232197548</v>
      </c>
      <c r="Z9" s="9">
        <f>_xlfn.COVARIANCE.P('Data_Matrix (2018)'!$C$2:$C$67,'Data_Matrix (2018)'!Z$2:Z$67)</f>
        <v>79836.552322550488</v>
      </c>
      <c r="AA9" s="9">
        <f>_xlfn.COVARIANCE.P('Data_Matrix (2018)'!$C$2:$C$67,'Data_Matrix (2018)'!AA$2:AA$67)</f>
        <v>65720.313380543375</v>
      </c>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row>
    <row r="10" spans="1:67" x14ac:dyDescent="0.2">
      <c r="B10" s="9">
        <f>_xlfn.COVARIANCE.P('Data_Matrix (2018)'!$D$2:$D$67,'Data_Matrix (2018)'!B$2:B$67)</f>
        <v>8353424.6488065161</v>
      </c>
      <c r="C10" s="9">
        <f>_xlfn.COVARIANCE.P('Data_Matrix (2018)'!$D$2:$D$67,'Data_Matrix (2018)'!C$2:C$67)</f>
        <v>9105077.8316324782</v>
      </c>
      <c r="D10" s="9">
        <f>_xlfn.COVARIANCE.P('Data_Matrix (2018)'!$D$2:$D$67,'Data_Matrix (2018)'!D$2:D$67)</f>
        <v>7391680.8159536887</v>
      </c>
      <c r="E10" s="9">
        <f>_xlfn.COVARIANCE.P('Data_Matrix (2018)'!$D$2:$D$67,'Data_Matrix (2018)'!E$2:E$67)</f>
        <v>4670286.5334193604</v>
      </c>
      <c r="F10" s="9">
        <f>_xlfn.COVARIANCE.P('Data_Matrix (2018)'!$D$2:$D$67,'Data_Matrix (2018)'!F$2:F$67)</f>
        <v>2596675.564917482</v>
      </c>
      <c r="G10" s="9">
        <f>_xlfn.COVARIANCE.P('Data_Matrix (2018)'!$D$2:$D$67,'Data_Matrix (2018)'!G$2:G$67)</f>
        <v>4992154.9706247607</v>
      </c>
      <c r="H10" s="9">
        <f>_xlfn.COVARIANCE.P('Data_Matrix (2018)'!$D$2:$D$67,'Data_Matrix (2018)'!H$2:H$67)</f>
        <v>2244726.9575036708</v>
      </c>
      <c r="I10" s="9">
        <f>_xlfn.COVARIANCE.P('Data_Matrix (2018)'!$D$2:$D$67,'Data_Matrix (2018)'!I$2:I$67)</f>
        <v>2119855.8855397282</v>
      </c>
      <c r="J10" s="9">
        <f>_xlfn.COVARIANCE.P('Data_Matrix (2018)'!$D$2:$D$67,'Data_Matrix (2018)'!J$2:J$67)</f>
        <v>1021763.3057596135</v>
      </c>
      <c r="K10" s="9">
        <f>_xlfn.COVARIANCE.P('Data_Matrix (2018)'!$D$2:$D$67,'Data_Matrix (2018)'!K$2:K$67)</f>
        <v>1133598.7577341602</v>
      </c>
      <c r="L10" s="9">
        <f>_xlfn.COVARIANCE.P('Data_Matrix (2018)'!$D$2:$D$67,'Data_Matrix (2018)'!L$2:L$67)</f>
        <v>916024.01599592785</v>
      </c>
      <c r="M10" s="9">
        <f>_xlfn.COVARIANCE.P('Data_Matrix (2018)'!$D$2:$D$67,'Data_Matrix (2018)'!M$2:M$67)</f>
        <v>727759.78193746135</v>
      </c>
      <c r="N10" s="9">
        <f>_xlfn.COVARIANCE.P('Data_Matrix (2018)'!$D$2:$D$67,'Data_Matrix (2018)'!N$2:N$67)</f>
        <v>1000739.1999768356</v>
      </c>
      <c r="O10" s="9">
        <f>_xlfn.COVARIANCE.P('Data_Matrix (2018)'!$D$2:$D$67,'Data_Matrix (2018)'!O$2:O$67)</f>
        <v>426186.43185589387</v>
      </c>
      <c r="P10" s="9">
        <f>_xlfn.COVARIANCE.P('Data_Matrix (2018)'!$D$2:$D$67,'Data_Matrix (2018)'!P$2:P$67)</f>
        <v>93762.824902317574</v>
      </c>
      <c r="Q10" s="9">
        <f>_xlfn.COVARIANCE.P('Data_Matrix (2018)'!$D$2:$D$67,'Data_Matrix (2018)'!Q$2:Q$67)</f>
        <v>375538.13101247163</v>
      </c>
      <c r="R10" s="9">
        <f>_xlfn.COVARIANCE.P('Data_Matrix (2018)'!$D$2:$D$67,'Data_Matrix (2018)'!R$2:R$67)</f>
        <v>451352.92899997433</v>
      </c>
      <c r="S10" s="9">
        <f>_xlfn.COVARIANCE.P('Data_Matrix (2018)'!$D$2:$D$67,'Data_Matrix (2018)'!S$2:S$67)</f>
        <v>260255.38647650424</v>
      </c>
      <c r="T10" s="9">
        <f>_xlfn.COVARIANCE.P('Data_Matrix (2018)'!$D$2:$D$67,'Data_Matrix (2018)'!T$2:T$67)</f>
        <v>197787.48727426142</v>
      </c>
      <c r="U10" s="9">
        <f>_xlfn.COVARIANCE.P('Data_Matrix (2018)'!$D$2:$D$67,'Data_Matrix (2018)'!U$2:U$67)</f>
        <v>105128.21609710978</v>
      </c>
      <c r="V10" s="9">
        <f>_xlfn.COVARIANCE.P('Data_Matrix (2018)'!$D$2:$D$67,'Data_Matrix (2018)'!V$2:V$67)</f>
        <v>48776.985466037077</v>
      </c>
      <c r="W10" s="9">
        <f>_xlfn.COVARIANCE.P('Data_Matrix (2018)'!$D$2:$D$67,'Data_Matrix (2018)'!W$2:W$67)</f>
        <v>61488.3419478125</v>
      </c>
      <c r="X10" s="9">
        <f>_xlfn.COVARIANCE.P('Data_Matrix (2018)'!$D$2:$D$67,'Data_Matrix (2018)'!X$2:X$67)</f>
        <v>98258.357855014227</v>
      </c>
      <c r="Y10" s="9">
        <f>_xlfn.COVARIANCE.P('Data_Matrix (2018)'!$D$2:$D$67,'Data_Matrix (2018)'!Y$2:Y$67)</f>
        <v>79744.99691483198</v>
      </c>
      <c r="Z10" s="9">
        <f>_xlfn.COVARIANCE.P('Data_Matrix (2018)'!$D$2:$D$67,'Data_Matrix (2018)'!Z$2:Z$67)</f>
        <v>48469.993291353567</v>
      </c>
      <c r="AA10" s="9">
        <f>_xlfn.COVARIANCE.P('Data_Matrix (2018)'!$D$2:$D$67,'Data_Matrix (2018)'!AA$2:AA$67)</f>
        <v>40465.79689826502</v>
      </c>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row>
    <row r="11" spans="1:67" x14ac:dyDescent="0.2">
      <c r="B11" s="9">
        <f>_xlfn.COVARIANCE.P('Data_Matrix (2018)'!$E$2:$E$67,'Data_Matrix (2018)'!B$2:B$67)</f>
        <v>6621506.7611920256</v>
      </c>
      <c r="C11" s="9">
        <f>_xlfn.COVARIANCE.P('Data_Matrix (2018)'!$E$2:$E$67,'Data_Matrix (2018)'!C$2:C$67)</f>
        <v>7512601.1064849226</v>
      </c>
      <c r="D11" s="9">
        <f>_xlfn.COVARIANCE.P('Data_Matrix (2018)'!$E$2:$E$67,'Data_Matrix (2018)'!D$2:D$67)</f>
        <v>4670286.5334193604</v>
      </c>
      <c r="E11" s="9">
        <f>_xlfn.COVARIANCE.P('Data_Matrix (2018)'!$E$2:$E$67,'Data_Matrix (2018)'!E$2:E$67)</f>
        <v>6096454.2693405468</v>
      </c>
      <c r="F11" s="9">
        <f>_xlfn.COVARIANCE.P('Data_Matrix (2018)'!$E$2:$E$67,'Data_Matrix (2018)'!F$2:F$67)</f>
        <v>3119813.9051797218</v>
      </c>
      <c r="G11" s="9">
        <f>_xlfn.COVARIANCE.P('Data_Matrix (2018)'!$E$2:$E$67,'Data_Matrix (2018)'!G$2:G$67)</f>
        <v>4068359.0653148964</v>
      </c>
      <c r="H11" s="9">
        <f>_xlfn.COVARIANCE.P('Data_Matrix (2018)'!$E$2:$E$67,'Data_Matrix (2018)'!H$2:H$67)</f>
        <v>1191408.6416521536</v>
      </c>
      <c r="I11" s="9">
        <f>_xlfn.COVARIANCE.P('Data_Matrix (2018)'!$E$2:$E$67,'Data_Matrix (2018)'!I$2:I$67)</f>
        <v>1466069.6580471792</v>
      </c>
      <c r="J11" s="9">
        <f>_xlfn.COVARIANCE.P('Data_Matrix (2018)'!$E$2:$E$67,'Data_Matrix (2018)'!J$2:J$67)</f>
        <v>789235.35609863349</v>
      </c>
      <c r="K11" s="9">
        <f>_xlfn.COVARIANCE.P('Data_Matrix (2018)'!$E$2:$E$67,'Data_Matrix (2018)'!K$2:K$67)</f>
        <v>1013570.5457337948</v>
      </c>
      <c r="L11" s="9">
        <f>_xlfn.COVARIANCE.P('Data_Matrix (2018)'!$E$2:$E$67,'Data_Matrix (2018)'!L$2:L$67)</f>
        <v>768146.51953764446</v>
      </c>
      <c r="M11" s="9">
        <f>_xlfn.COVARIANCE.P('Data_Matrix (2018)'!$E$2:$E$67,'Data_Matrix (2018)'!M$2:M$67)</f>
        <v>520545.23788171454</v>
      </c>
      <c r="N11" s="9">
        <f>_xlfn.COVARIANCE.P('Data_Matrix (2018)'!$E$2:$E$67,'Data_Matrix (2018)'!N$2:N$67)</f>
        <v>820948.07823821541</v>
      </c>
      <c r="O11" s="9">
        <f>_xlfn.COVARIANCE.P('Data_Matrix (2018)'!$E$2:$E$67,'Data_Matrix (2018)'!O$2:O$67)</f>
        <v>360833.94126402756</v>
      </c>
      <c r="P11" s="9">
        <f>_xlfn.COVARIANCE.P('Data_Matrix (2018)'!$E$2:$E$67,'Data_Matrix (2018)'!P$2:P$67)</f>
        <v>146374.09618033897</v>
      </c>
      <c r="Q11" s="9">
        <f>_xlfn.COVARIANCE.P('Data_Matrix (2018)'!$E$2:$E$67,'Data_Matrix (2018)'!Q$2:Q$67)</f>
        <v>217552.41936626766</v>
      </c>
      <c r="R11" s="9">
        <f>_xlfn.COVARIANCE.P('Data_Matrix (2018)'!$E$2:$E$67,'Data_Matrix (2018)'!R$2:R$67)</f>
        <v>237957.70144182025</v>
      </c>
      <c r="S11" s="9">
        <f>_xlfn.COVARIANCE.P('Data_Matrix (2018)'!$E$2:$E$67,'Data_Matrix (2018)'!S$2:S$67)</f>
        <v>169059.92469205227</v>
      </c>
      <c r="T11" s="9">
        <f>_xlfn.COVARIANCE.P('Data_Matrix (2018)'!$E$2:$E$67,'Data_Matrix (2018)'!T$2:T$67)</f>
        <v>154363.60353031699</v>
      </c>
      <c r="U11" s="9">
        <f>_xlfn.COVARIANCE.P('Data_Matrix (2018)'!$E$2:$E$67,'Data_Matrix (2018)'!U$2:U$67)</f>
        <v>77235.052142147353</v>
      </c>
      <c r="V11" s="9">
        <f>_xlfn.COVARIANCE.P('Data_Matrix (2018)'!$E$2:$E$67,'Data_Matrix (2018)'!V$2:V$67)</f>
        <v>90209.204538937018</v>
      </c>
      <c r="W11" s="9">
        <f>_xlfn.COVARIANCE.P('Data_Matrix (2018)'!$E$2:$E$67,'Data_Matrix (2018)'!W$2:W$67)</f>
        <v>58176.524913786496</v>
      </c>
      <c r="X11" s="9">
        <f>_xlfn.COVARIANCE.P('Data_Matrix (2018)'!$E$2:$E$67,'Data_Matrix (2018)'!X$2:X$67)</f>
        <v>110349.54476923823</v>
      </c>
      <c r="Y11" s="9">
        <f>_xlfn.COVARIANCE.P('Data_Matrix (2018)'!$E$2:$E$67,'Data_Matrix (2018)'!Y$2:Y$67)</f>
        <v>58348.864951103264</v>
      </c>
      <c r="Z11" s="9">
        <f>_xlfn.COVARIANCE.P('Data_Matrix (2018)'!$E$2:$E$67,'Data_Matrix (2018)'!Z$2:Z$67)</f>
        <v>39952.233639712278</v>
      </c>
      <c r="AA11" s="9">
        <f>_xlfn.COVARIANCE.P('Data_Matrix (2018)'!$E$2:$E$67,'Data_Matrix (2018)'!AA$2:AA$67)</f>
        <v>27048.132266813376</v>
      </c>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row>
    <row r="12" spans="1:67" x14ac:dyDescent="0.2">
      <c r="B12" s="9">
        <f>_xlfn.COVARIANCE.P('Data_Matrix (2018)'!$F$2:$F$67,'Data_Matrix (2018)'!B$2:B$67)</f>
        <v>4355376.2869573794</v>
      </c>
      <c r="C12" s="9">
        <f>_xlfn.COVARIANCE.P('Data_Matrix (2018)'!$F$2:$F$67,'Data_Matrix (2018)'!C$2:C$67)</f>
        <v>3880278.0875256499</v>
      </c>
      <c r="D12" s="9">
        <f>_xlfn.COVARIANCE.P('Data_Matrix (2018)'!$F$2:$F$67,'Data_Matrix (2018)'!D$2:D$67)</f>
        <v>2596675.564917482</v>
      </c>
      <c r="E12" s="9">
        <f>_xlfn.COVARIANCE.P('Data_Matrix (2018)'!$F$2:$F$67,'Data_Matrix (2018)'!E$2:E$67)</f>
        <v>3119813.9051797218</v>
      </c>
      <c r="F12" s="9">
        <f>_xlfn.COVARIANCE.P('Data_Matrix (2018)'!$F$2:$F$67,'Data_Matrix (2018)'!F$2:F$67)</f>
        <v>2057714.2851123868</v>
      </c>
      <c r="G12" s="9">
        <f>_xlfn.COVARIANCE.P('Data_Matrix (2018)'!$F$2:$F$67,'Data_Matrix (2018)'!G$2:G$67)</f>
        <v>2103609.7450998728</v>
      </c>
      <c r="H12" s="9">
        <f>_xlfn.COVARIANCE.P('Data_Matrix (2018)'!$F$2:$F$67,'Data_Matrix (2018)'!H$2:H$67)</f>
        <v>816498.91984271794</v>
      </c>
      <c r="I12" s="9">
        <f>_xlfn.COVARIANCE.P('Data_Matrix (2018)'!$F$2:$F$67,'Data_Matrix (2018)'!I$2:I$67)</f>
        <v>747989.05846113327</v>
      </c>
      <c r="J12" s="9">
        <f>_xlfn.COVARIANCE.P('Data_Matrix (2018)'!$F$2:$F$67,'Data_Matrix (2018)'!J$2:J$67)</f>
        <v>419996.1618596171</v>
      </c>
      <c r="K12" s="9">
        <f>_xlfn.COVARIANCE.P('Data_Matrix (2018)'!$F$2:$F$67,'Data_Matrix (2018)'!K$2:K$67)</f>
        <v>618144.49018097331</v>
      </c>
      <c r="L12" s="9">
        <f>_xlfn.COVARIANCE.P('Data_Matrix (2018)'!$F$2:$F$67,'Data_Matrix (2018)'!L$2:L$67)</f>
        <v>465739.38287796674</v>
      </c>
      <c r="M12" s="9">
        <f>_xlfn.COVARIANCE.P('Data_Matrix (2018)'!$F$2:$F$67,'Data_Matrix (2018)'!M$2:M$67)</f>
        <v>316838.56145710283</v>
      </c>
      <c r="N12" s="9">
        <f>_xlfn.COVARIANCE.P('Data_Matrix (2018)'!$F$2:$F$67,'Data_Matrix (2018)'!N$2:N$67)</f>
        <v>417495.00166043127</v>
      </c>
      <c r="O12" s="9">
        <f>_xlfn.COVARIANCE.P('Data_Matrix (2018)'!$F$2:$F$67,'Data_Matrix (2018)'!O$2:O$67)</f>
        <v>213089.1537371813</v>
      </c>
      <c r="P12" s="9">
        <f>_xlfn.COVARIANCE.P('Data_Matrix (2018)'!$F$2:$F$67,'Data_Matrix (2018)'!P$2:P$67)</f>
        <v>86059.152870897655</v>
      </c>
      <c r="Q12" s="9">
        <f>_xlfn.COVARIANCE.P('Data_Matrix (2018)'!$F$2:$F$67,'Data_Matrix (2018)'!Q$2:Q$67)</f>
        <v>154832.02531264871</v>
      </c>
      <c r="R12" s="9">
        <f>_xlfn.COVARIANCE.P('Data_Matrix (2018)'!$F$2:$F$67,'Data_Matrix (2018)'!R$2:R$67)</f>
        <v>161660.77161312918</v>
      </c>
      <c r="S12" s="9">
        <f>_xlfn.COVARIANCE.P('Data_Matrix (2018)'!$F$2:$F$67,'Data_Matrix (2018)'!S$2:S$67)</f>
        <v>106476.08784718224</v>
      </c>
      <c r="T12" s="9">
        <f>_xlfn.COVARIANCE.P('Data_Matrix (2018)'!$F$2:$F$67,'Data_Matrix (2018)'!T$2:T$67)</f>
        <v>82071.448496403958</v>
      </c>
      <c r="U12" s="9">
        <f>_xlfn.COVARIANCE.P('Data_Matrix (2018)'!$F$2:$F$67,'Data_Matrix (2018)'!U$2:U$67)</f>
        <v>51864.62182774445</v>
      </c>
      <c r="V12" s="9">
        <f>_xlfn.COVARIANCE.P('Data_Matrix (2018)'!$F$2:$F$67,'Data_Matrix (2018)'!V$2:V$67)</f>
        <v>47523.139295490742</v>
      </c>
      <c r="W12" s="9">
        <f>_xlfn.COVARIANCE.P('Data_Matrix (2018)'!$F$2:$F$67,'Data_Matrix (2018)'!W$2:W$67)</f>
        <v>31667.261588454607</v>
      </c>
      <c r="X12" s="9">
        <f>_xlfn.COVARIANCE.P('Data_Matrix (2018)'!$F$2:$F$67,'Data_Matrix (2018)'!X$2:X$67)</f>
        <v>55292.36314726455</v>
      </c>
      <c r="Y12" s="9">
        <f>_xlfn.COVARIANCE.P('Data_Matrix (2018)'!$F$2:$F$67,'Data_Matrix (2018)'!Y$2:Y$67)</f>
        <v>28591.999451491476</v>
      </c>
      <c r="Z12" s="9">
        <f>_xlfn.COVARIANCE.P('Data_Matrix (2018)'!$F$2:$F$67,'Data_Matrix (2018)'!Z$2:Z$67)</f>
        <v>23741.209161637911</v>
      </c>
      <c r="AA12" s="9">
        <f>_xlfn.COVARIANCE.P('Data_Matrix (2018)'!$F$2:$F$67,'Data_Matrix (2018)'!AA$2:AA$67)</f>
        <v>14210.079415583179</v>
      </c>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row>
    <row r="13" spans="1:67" x14ac:dyDescent="0.2">
      <c r="B13" s="9">
        <f>_xlfn.COVARIANCE.P('Data_Matrix (2018)'!$G$2:$G$67,'Data_Matrix (2018)'!B$2:B$67)</f>
        <v>5564261.8157598199</v>
      </c>
      <c r="C13" s="9">
        <f>_xlfn.COVARIANCE.P('Data_Matrix (2018)'!$G$2:$G$67,'Data_Matrix (2018)'!C$2:C$67)</f>
        <v>7421210.4939256562</v>
      </c>
      <c r="D13" s="9">
        <f>_xlfn.COVARIANCE.P('Data_Matrix (2018)'!$G$2:$G$67,'Data_Matrix (2018)'!D$2:D$67)</f>
        <v>4992154.9706247607</v>
      </c>
      <c r="E13" s="9">
        <f>_xlfn.COVARIANCE.P('Data_Matrix (2018)'!$G$2:$G$67,'Data_Matrix (2018)'!E$2:E$67)</f>
        <v>4068359.0653148964</v>
      </c>
      <c r="F13" s="9">
        <f>_xlfn.COVARIANCE.P('Data_Matrix (2018)'!$G$2:$G$67,'Data_Matrix (2018)'!F$2:F$67)</f>
        <v>2103609.7450998728</v>
      </c>
      <c r="G13" s="9">
        <f>_xlfn.COVARIANCE.P('Data_Matrix (2018)'!$G$2:$G$67,'Data_Matrix (2018)'!G$2:G$67)</f>
        <v>3975176.2221941845</v>
      </c>
      <c r="H13" s="9">
        <f>_xlfn.COVARIANCE.P('Data_Matrix (2018)'!$G$2:$G$67,'Data_Matrix (2018)'!H$2:H$67)</f>
        <v>1464933.0491715765</v>
      </c>
      <c r="I13" s="9">
        <f>_xlfn.COVARIANCE.P('Data_Matrix (2018)'!$G$2:$G$67,'Data_Matrix (2018)'!I$2:I$67)</f>
        <v>1475835.6524651684</v>
      </c>
      <c r="J13" s="9">
        <f>_xlfn.COVARIANCE.P('Data_Matrix (2018)'!$G$2:$G$67,'Data_Matrix (2018)'!J$2:J$67)</f>
        <v>793282.8516912479</v>
      </c>
      <c r="K13" s="9">
        <f>_xlfn.COVARIANCE.P('Data_Matrix (2018)'!$G$2:$G$67,'Data_Matrix (2018)'!K$2:K$67)</f>
        <v>891960.16972496361</v>
      </c>
      <c r="L13" s="9">
        <f>_xlfn.COVARIANCE.P('Data_Matrix (2018)'!$G$2:$G$67,'Data_Matrix (2018)'!L$2:L$67)</f>
        <v>702558.07749659626</v>
      </c>
      <c r="M13" s="9">
        <f>_xlfn.COVARIANCE.P('Data_Matrix (2018)'!$G$2:$G$67,'Data_Matrix (2018)'!M$2:M$67)</f>
        <v>585947.57207904523</v>
      </c>
      <c r="N13" s="9">
        <f>_xlfn.COVARIANCE.P('Data_Matrix (2018)'!$G$2:$G$67,'Data_Matrix (2018)'!N$2:N$67)</f>
        <v>803779.99142881541</v>
      </c>
      <c r="O13" s="9">
        <f>_xlfn.COVARIANCE.P('Data_Matrix (2018)'!$G$2:$G$67,'Data_Matrix (2018)'!O$2:O$67)</f>
        <v>337355.2966318687</v>
      </c>
      <c r="P13" s="9">
        <f>_xlfn.COVARIANCE.P('Data_Matrix (2018)'!$G$2:$G$67,'Data_Matrix (2018)'!P$2:P$67)</f>
        <v>80208.367377345334</v>
      </c>
      <c r="Q13" s="9">
        <f>_xlfn.COVARIANCE.P('Data_Matrix (2018)'!$G$2:$G$67,'Data_Matrix (2018)'!Q$2:Q$67)</f>
        <v>267708.21374792838</v>
      </c>
      <c r="R13" s="9">
        <f>_xlfn.COVARIANCE.P('Data_Matrix (2018)'!$G$2:$G$67,'Data_Matrix (2018)'!R$2:R$67)</f>
        <v>321800.61572618375</v>
      </c>
      <c r="S13" s="9">
        <f>_xlfn.COVARIANCE.P('Data_Matrix (2018)'!$G$2:$G$67,'Data_Matrix (2018)'!S$2:S$67)</f>
        <v>190299.70238579161</v>
      </c>
      <c r="T13" s="9">
        <f>_xlfn.COVARIANCE.P('Data_Matrix (2018)'!$G$2:$G$67,'Data_Matrix (2018)'!T$2:T$67)</f>
        <v>148445.95885255793</v>
      </c>
      <c r="U13" s="9">
        <f>_xlfn.COVARIANCE.P('Data_Matrix (2018)'!$G$2:$G$67,'Data_Matrix (2018)'!U$2:U$67)</f>
        <v>81536.671404843088</v>
      </c>
      <c r="V13" s="9">
        <f>_xlfn.COVARIANCE.P('Data_Matrix (2018)'!$G$2:$G$67,'Data_Matrix (2018)'!V$2:V$67)</f>
        <v>52469.898461708493</v>
      </c>
      <c r="W13" s="9">
        <f>_xlfn.COVARIANCE.P('Data_Matrix (2018)'!$G$2:$G$67,'Data_Matrix (2018)'!W$2:W$67)</f>
        <v>49940.249633977197</v>
      </c>
      <c r="X13" s="9">
        <f>_xlfn.COVARIANCE.P('Data_Matrix (2018)'!$G$2:$G$67,'Data_Matrix (2018)'!X$2:X$67)</f>
        <v>85284.330051850178</v>
      </c>
      <c r="Y13" s="9">
        <f>_xlfn.COVARIANCE.P('Data_Matrix (2018)'!$G$2:$G$67,'Data_Matrix (2018)'!Y$2:Y$67)</f>
        <v>65252.894577983614</v>
      </c>
      <c r="Z13" s="9">
        <f>_xlfn.COVARIANCE.P('Data_Matrix (2018)'!$G$2:$G$67,'Data_Matrix (2018)'!Z$2:Z$67)</f>
        <v>36639.282281201609</v>
      </c>
      <c r="AA13" s="9">
        <f>_xlfn.COVARIANCE.P('Data_Matrix (2018)'!$G$2:$G$67,'Data_Matrix (2018)'!AA$2:AA$67)</f>
        <v>32626.694036464658</v>
      </c>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row>
    <row r="14" spans="1:67" x14ac:dyDescent="0.2">
      <c r="B14" s="9">
        <f>_xlfn.COVARIANCE.P('Data_Matrix (2018)'!$H$2:$H$67,'Data_Matrix (2018)'!B$2:B$67)</f>
        <v>3133249.3179342803</v>
      </c>
      <c r="C14" s="9">
        <f>_xlfn.COVARIANCE.P('Data_Matrix (2018)'!$H$2:$H$67,'Data_Matrix (2018)'!C$2:C$67)</f>
        <v>2655971.3157581054</v>
      </c>
      <c r="D14" s="9">
        <f>_xlfn.COVARIANCE.P('Data_Matrix (2018)'!$H$2:$H$67,'Data_Matrix (2018)'!D$2:D$67)</f>
        <v>2244726.9575036708</v>
      </c>
      <c r="E14" s="9">
        <f>_xlfn.COVARIANCE.P('Data_Matrix (2018)'!$H$2:$H$67,'Data_Matrix (2018)'!E$2:E$67)</f>
        <v>1191408.6416521536</v>
      </c>
      <c r="F14" s="9">
        <f>_xlfn.COVARIANCE.P('Data_Matrix (2018)'!$H$2:$H$67,'Data_Matrix (2018)'!F$2:F$67)</f>
        <v>816498.91984271794</v>
      </c>
      <c r="G14" s="9">
        <f>_xlfn.COVARIANCE.P('Data_Matrix (2018)'!$H$2:$H$67,'Data_Matrix (2018)'!G$2:G$67)</f>
        <v>1464933.0491715765</v>
      </c>
      <c r="H14" s="9">
        <f>_xlfn.COVARIANCE.P('Data_Matrix (2018)'!$H$2:$H$67,'Data_Matrix (2018)'!H$2:H$67)</f>
        <v>1288573.033461347</v>
      </c>
      <c r="I14" s="9">
        <f>_xlfn.COVARIANCE.P('Data_Matrix (2018)'!$H$2:$H$67,'Data_Matrix (2018)'!I$2:I$67)</f>
        <v>553336.72737867886</v>
      </c>
      <c r="J14" s="9">
        <f>_xlfn.COVARIANCE.P('Data_Matrix (2018)'!$H$2:$H$67,'Data_Matrix (2018)'!J$2:J$67)</f>
        <v>249950.71464272399</v>
      </c>
      <c r="K14" s="9">
        <f>_xlfn.COVARIANCE.P('Data_Matrix (2018)'!$H$2:$H$67,'Data_Matrix (2018)'!K$2:K$67)</f>
        <v>354087.5271459588</v>
      </c>
      <c r="L14" s="9">
        <f>_xlfn.COVARIANCE.P('Data_Matrix (2018)'!$H$2:$H$67,'Data_Matrix (2018)'!L$2:L$67)</f>
        <v>303553.24587784678</v>
      </c>
      <c r="M14" s="9">
        <f>_xlfn.COVARIANCE.P('Data_Matrix (2018)'!$H$2:$H$67,'Data_Matrix (2018)'!M$2:M$67)</f>
        <v>260516.10624620036</v>
      </c>
      <c r="N14" s="9">
        <f>_xlfn.COVARIANCE.P('Data_Matrix (2018)'!$H$2:$H$67,'Data_Matrix (2018)'!N$2:N$67)</f>
        <v>283502.16508998553</v>
      </c>
      <c r="O14" s="9">
        <f>_xlfn.COVARIANCE.P('Data_Matrix (2018)'!$H$2:$H$67,'Data_Matrix (2018)'!O$2:O$67)</f>
        <v>138976.93327497932</v>
      </c>
      <c r="P14" s="9">
        <f>_xlfn.COVARIANCE.P('Data_Matrix (2018)'!$H$2:$H$67,'Data_Matrix (2018)'!P$2:P$67)</f>
        <v>26168.290525305136</v>
      </c>
      <c r="Q14" s="9">
        <f>_xlfn.COVARIANCE.P('Data_Matrix (2018)'!$H$2:$H$67,'Data_Matrix (2018)'!Q$2:Q$67)</f>
        <v>156320.18957454624</v>
      </c>
      <c r="R14" s="9">
        <f>_xlfn.COVARIANCE.P('Data_Matrix (2018)'!$H$2:$H$67,'Data_Matrix (2018)'!R$2:R$67)</f>
        <v>176534.21081476944</v>
      </c>
      <c r="S14" s="9">
        <f>_xlfn.COVARIANCE.P('Data_Matrix (2018)'!$H$2:$H$67,'Data_Matrix (2018)'!S$2:S$67)</f>
        <v>106711.47387899073</v>
      </c>
      <c r="T14" s="9">
        <f>_xlfn.COVARIANCE.P('Data_Matrix (2018)'!$H$2:$H$67,'Data_Matrix (2018)'!T$2:T$67)</f>
        <v>63140.490820312341</v>
      </c>
      <c r="U14" s="9">
        <f>_xlfn.COVARIANCE.P('Data_Matrix (2018)'!$H$2:$H$67,'Data_Matrix (2018)'!U$2:U$67)</f>
        <v>32174.095406420514</v>
      </c>
      <c r="V14" s="9">
        <f>_xlfn.COVARIANCE.P('Data_Matrix (2018)'!$H$2:$H$67,'Data_Matrix (2018)'!V$2:V$67)</f>
        <v>5534.4997970276099</v>
      </c>
      <c r="W14" s="9">
        <f>_xlfn.COVARIANCE.P('Data_Matrix (2018)'!$H$2:$H$67,'Data_Matrix (2018)'!W$2:W$67)</f>
        <v>17805.308356832924</v>
      </c>
      <c r="X14" s="9">
        <f>_xlfn.COVARIANCE.P('Data_Matrix (2018)'!$H$2:$H$67,'Data_Matrix (2018)'!X$2:X$67)</f>
        <v>25149.18671843937</v>
      </c>
      <c r="Y14" s="9">
        <f>_xlfn.COVARIANCE.P('Data_Matrix (2018)'!$H$2:$H$67,'Data_Matrix (2018)'!Y$2:Y$67)</f>
        <v>25564.824651338186</v>
      </c>
      <c r="Z14" s="9">
        <f>_xlfn.COVARIANCE.P('Data_Matrix (2018)'!$H$2:$H$67,'Data_Matrix (2018)'!Z$2:Z$67)</f>
        <v>18868.500003467558</v>
      </c>
      <c r="AA14" s="9">
        <f>_xlfn.COVARIANCE.P('Data_Matrix (2018)'!$H$2:$H$67,'Data_Matrix (2018)'!AA$2:AA$67)</f>
        <v>8724.0239729751775</v>
      </c>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row>
    <row r="15" spans="1:67" x14ac:dyDescent="0.2">
      <c r="B15" s="9">
        <f>_xlfn.COVARIANCE.P('Data_Matrix (2018)'!$I$2:$I$67,'Data_Matrix (2018)'!B$2:B$67)</f>
        <v>2069242.4839668337</v>
      </c>
      <c r="C15" s="9">
        <f>_xlfn.COVARIANCE.P('Data_Matrix (2018)'!$I$2:$I$67,'Data_Matrix (2018)'!C$2:C$67)</f>
        <v>2711473.3951154342</v>
      </c>
      <c r="D15" s="9">
        <f>_xlfn.COVARIANCE.P('Data_Matrix (2018)'!$I$2:$I$67,'Data_Matrix (2018)'!D$2:D$67)</f>
        <v>2119855.8855397282</v>
      </c>
      <c r="E15" s="9">
        <f>_xlfn.COVARIANCE.P('Data_Matrix (2018)'!$I$2:$I$67,'Data_Matrix (2018)'!E$2:E$67)</f>
        <v>1466069.6580471792</v>
      </c>
      <c r="F15" s="9">
        <f>_xlfn.COVARIANCE.P('Data_Matrix (2018)'!$I$2:$I$67,'Data_Matrix (2018)'!F$2:F$67)</f>
        <v>747989.05846113327</v>
      </c>
      <c r="G15" s="9">
        <f>_xlfn.COVARIANCE.P('Data_Matrix (2018)'!$I$2:$I$67,'Data_Matrix (2018)'!G$2:G$67)</f>
        <v>1475835.6524651684</v>
      </c>
      <c r="H15" s="9">
        <f>_xlfn.COVARIANCE.P('Data_Matrix (2018)'!$I$2:$I$67,'Data_Matrix (2018)'!H$2:H$67)</f>
        <v>553336.72737867886</v>
      </c>
      <c r="I15" s="9">
        <f>_xlfn.COVARIANCE.P('Data_Matrix (2018)'!$I$2:$I$67,'Data_Matrix (2018)'!I$2:I$67)</f>
        <v>793082.2516974695</v>
      </c>
      <c r="J15" s="9">
        <f>_xlfn.COVARIANCE.P('Data_Matrix (2018)'!$I$2:$I$67,'Data_Matrix (2018)'!J$2:J$67)</f>
        <v>299100.08911162167</v>
      </c>
      <c r="K15" s="9">
        <f>_xlfn.COVARIANCE.P('Data_Matrix (2018)'!$I$2:$I$67,'Data_Matrix (2018)'!K$2:K$67)</f>
        <v>324977.7559770401</v>
      </c>
      <c r="L15" s="9">
        <f>_xlfn.COVARIANCE.P('Data_Matrix (2018)'!$I$2:$I$67,'Data_Matrix (2018)'!L$2:L$67)</f>
        <v>248082.85396304753</v>
      </c>
      <c r="M15" s="9">
        <f>_xlfn.COVARIANCE.P('Data_Matrix (2018)'!$I$2:$I$67,'Data_Matrix (2018)'!M$2:M$67)</f>
        <v>229164.66832932175</v>
      </c>
      <c r="N15" s="9">
        <f>_xlfn.COVARIANCE.P('Data_Matrix (2018)'!$I$2:$I$67,'Data_Matrix (2018)'!N$2:N$67)</f>
        <v>286557.73651055788</v>
      </c>
      <c r="O15" s="9">
        <f>_xlfn.COVARIANCE.P('Data_Matrix (2018)'!$I$2:$I$67,'Data_Matrix (2018)'!O$2:O$67)</f>
        <v>115413.07889539204</v>
      </c>
      <c r="P15" s="9">
        <f>_xlfn.COVARIANCE.P('Data_Matrix (2018)'!$I$2:$I$67,'Data_Matrix (2018)'!P$2:P$67)</f>
        <v>34476.345187287036</v>
      </c>
      <c r="Q15" s="9">
        <f>_xlfn.COVARIANCE.P('Data_Matrix (2018)'!$I$2:$I$67,'Data_Matrix (2018)'!Q$2:Q$67)</f>
        <v>96951.308006147883</v>
      </c>
      <c r="R15" s="9">
        <f>_xlfn.COVARIANCE.P('Data_Matrix (2018)'!$I$2:$I$67,'Data_Matrix (2018)'!R$2:R$67)</f>
        <v>100519.89550870845</v>
      </c>
      <c r="S15" s="9">
        <f>_xlfn.COVARIANCE.P('Data_Matrix (2018)'!$I$2:$I$67,'Data_Matrix (2018)'!S$2:S$67)</f>
        <v>75038.26059120179</v>
      </c>
      <c r="T15" s="9">
        <f>_xlfn.COVARIANCE.P('Data_Matrix (2018)'!$I$2:$I$67,'Data_Matrix (2018)'!T$2:T$67)</f>
        <v>55564.884671480511</v>
      </c>
      <c r="U15" s="9">
        <f>_xlfn.COVARIANCE.P('Data_Matrix (2018)'!$I$2:$I$67,'Data_Matrix (2018)'!U$2:U$67)</f>
        <v>29643.010187563024</v>
      </c>
      <c r="V15" s="9">
        <f>_xlfn.COVARIANCE.P('Data_Matrix (2018)'!$I$2:$I$67,'Data_Matrix (2018)'!V$2:V$67)</f>
        <v>16553.392064502314</v>
      </c>
      <c r="W15" s="9">
        <f>_xlfn.COVARIANCE.P('Data_Matrix (2018)'!$I$2:$I$67,'Data_Matrix (2018)'!W$2:W$67)</f>
        <v>16284.186354662723</v>
      </c>
      <c r="X15" s="9">
        <f>_xlfn.COVARIANCE.P('Data_Matrix (2018)'!$I$2:$I$67,'Data_Matrix (2018)'!X$2:X$67)</f>
        <v>32867.721829091126</v>
      </c>
      <c r="Y15" s="9">
        <f>_xlfn.COVARIANCE.P('Data_Matrix (2018)'!$I$2:$I$67,'Data_Matrix (2018)'!Y$2:Y$67)</f>
        <v>28359.238015325442</v>
      </c>
      <c r="Z15" s="9">
        <f>_xlfn.COVARIANCE.P('Data_Matrix (2018)'!$I$2:$I$67,'Data_Matrix (2018)'!Z$2:Z$67)</f>
        <v>13457.573660419899</v>
      </c>
      <c r="AA15" s="9">
        <f>_xlfn.COVARIANCE.P('Data_Matrix (2018)'!$I$2:$I$67,'Data_Matrix (2018)'!AA$2:AA$67)</f>
        <v>11541.191613615045</v>
      </c>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row>
    <row r="16" spans="1:67" x14ac:dyDescent="0.2">
      <c r="B16" s="9">
        <f>_xlfn.COVARIANCE.P('Data_Matrix (2018)'!$J$2:$J$67,'Data_Matrix (2018)'!B$2:B$67)</f>
        <v>780262.47677447658</v>
      </c>
      <c r="C16" s="9">
        <f>_xlfn.COVARIANCE.P('Data_Matrix (2018)'!$J$2:$J$67,'Data_Matrix (2018)'!C$2:C$67)</f>
        <v>1321298.8650707491</v>
      </c>
      <c r="D16" s="9">
        <f>_xlfn.COVARIANCE.P('Data_Matrix (2018)'!$J$2:$J$67,'Data_Matrix (2018)'!D$2:D$67)</f>
        <v>1021763.3057596135</v>
      </c>
      <c r="E16" s="9">
        <f>_xlfn.COVARIANCE.P('Data_Matrix (2018)'!$J$2:$J$67,'Data_Matrix (2018)'!E$2:E$67)</f>
        <v>789235.35609863349</v>
      </c>
      <c r="F16" s="9">
        <f>_xlfn.COVARIANCE.P('Data_Matrix (2018)'!$J$2:$J$67,'Data_Matrix (2018)'!F$2:F$67)</f>
        <v>419996.1618596171</v>
      </c>
      <c r="G16" s="9">
        <f>_xlfn.COVARIANCE.P('Data_Matrix (2018)'!$J$2:$J$67,'Data_Matrix (2018)'!G$2:G$67)</f>
        <v>793282.8516912479</v>
      </c>
      <c r="H16" s="9">
        <f>_xlfn.COVARIANCE.P('Data_Matrix (2018)'!$J$2:$J$67,'Data_Matrix (2018)'!H$2:H$67)</f>
        <v>249950.71464272399</v>
      </c>
      <c r="I16" s="9">
        <f>_xlfn.COVARIANCE.P('Data_Matrix (2018)'!$J$2:$J$67,'Data_Matrix (2018)'!I$2:I$67)</f>
        <v>299100.08911162167</v>
      </c>
      <c r="J16" s="9">
        <f>_xlfn.COVARIANCE.P('Data_Matrix (2018)'!$J$2:$J$67,'Data_Matrix (2018)'!J$2:J$67)</f>
        <v>313950.83568873233</v>
      </c>
      <c r="K16" s="9">
        <f>_xlfn.COVARIANCE.P('Data_Matrix (2018)'!$J$2:$J$67,'Data_Matrix (2018)'!K$2:K$67)</f>
        <v>179642.44196933028</v>
      </c>
      <c r="L16" s="9">
        <f>_xlfn.COVARIANCE.P('Data_Matrix (2018)'!$J$2:$J$67,'Data_Matrix (2018)'!L$2:L$67)</f>
        <v>132380.68535459554</v>
      </c>
      <c r="M16" s="9">
        <f>_xlfn.COVARIANCE.P('Data_Matrix (2018)'!$J$2:$J$67,'Data_Matrix (2018)'!M$2:M$67)</f>
        <v>99537.452131989849</v>
      </c>
      <c r="N16" s="9">
        <f>_xlfn.COVARIANCE.P('Data_Matrix (2018)'!$J$2:$J$67,'Data_Matrix (2018)'!N$2:N$67)</f>
        <v>165307.86663509207</v>
      </c>
      <c r="O16" s="9">
        <f>_xlfn.COVARIANCE.P('Data_Matrix (2018)'!$J$2:$J$67,'Data_Matrix (2018)'!O$2:O$67)</f>
        <v>60450.933405206088</v>
      </c>
      <c r="P16" s="9">
        <f>_xlfn.COVARIANCE.P('Data_Matrix (2018)'!$J$2:$J$67,'Data_Matrix (2018)'!P$2:P$67)</f>
        <v>22959.46566564597</v>
      </c>
      <c r="Q16" s="9">
        <f>_xlfn.COVARIANCE.P('Data_Matrix (2018)'!$J$2:$J$67,'Data_Matrix (2018)'!Q$2:Q$67)</f>
        <v>45662.381579557637</v>
      </c>
      <c r="R16" s="9">
        <f>_xlfn.COVARIANCE.P('Data_Matrix (2018)'!$J$2:$J$67,'Data_Matrix (2018)'!R$2:R$67)</f>
        <v>46851.309155526251</v>
      </c>
      <c r="S16" s="9">
        <f>_xlfn.COVARIANCE.P('Data_Matrix (2018)'!$J$2:$J$67,'Data_Matrix (2018)'!S$2:S$67)</f>
        <v>35576.132416275272</v>
      </c>
      <c r="T16" s="9">
        <f>_xlfn.COVARIANCE.P('Data_Matrix (2018)'!$J$2:$J$67,'Data_Matrix (2018)'!T$2:T$67)</f>
        <v>26327.628804047115</v>
      </c>
      <c r="U16" s="9">
        <f>_xlfn.COVARIANCE.P('Data_Matrix (2018)'!$J$2:$J$67,'Data_Matrix (2018)'!U$2:U$67)</f>
        <v>13662.303983374528</v>
      </c>
      <c r="V16" s="9">
        <f>_xlfn.COVARIANCE.P('Data_Matrix (2018)'!$J$2:$J$67,'Data_Matrix (2018)'!V$2:V$67)</f>
        <v>14324.424716373353</v>
      </c>
      <c r="W16" s="9">
        <f>_xlfn.COVARIANCE.P('Data_Matrix (2018)'!$J$2:$J$67,'Data_Matrix (2018)'!W$2:W$67)</f>
        <v>9539.3263228289998</v>
      </c>
      <c r="X16" s="9">
        <f>_xlfn.COVARIANCE.P('Data_Matrix (2018)'!$J$2:$J$67,'Data_Matrix (2018)'!X$2:X$67)</f>
        <v>15611.413270895091</v>
      </c>
      <c r="Y16" s="9">
        <f>_xlfn.COVARIANCE.P('Data_Matrix (2018)'!$J$2:$J$67,'Data_Matrix (2018)'!Y$2:Y$67)</f>
        <v>11754.734379891242</v>
      </c>
      <c r="Z16" s="9">
        <f>_xlfn.COVARIANCE.P('Data_Matrix (2018)'!$J$2:$J$67,'Data_Matrix (2018)'!Z$2:Z$67)</f>
        <v>4639.5413757405522</v>
      </c>
      <c r="AA16" s="9">
        <f>_xlfn.COVARIANCE.P('Data_Matrix (2018)'!$J$2:$J$67,'Data_Matrix (2018)'!AA$2:AA$67)</f>
        <v>5478.0362587575737</v>
      </c>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row>
    <row r="17" spans="2:67" x14ac:dyDescent="0.2">
      <c r="B17" s="9">
        <f>_xlfn.COVARIANCE.P('Data_Matrix (2018)'!$K$2:$K$67,'Data_Matrix (2018)'!B$2:B$67)</f>
        <v>1728708.1267136764</v>
      </c>
      <c r="C17" s="9">
        <f>_xlfn.COVARIANCE.P('Data_Matrix (2018)'!$K$2:$K$67,'Data_Matrix (2018)'!C$2:C$67)</f>
        <v>1759242.3450157149</v>
      </c>
      <c r="D17" s="9">
        <f>_xlfn.COVARIANCE.P('Data_Matrix (2018)'!$K$2:$K$67,'Data_Matrix (2018)'!D$2:D$67)</f>
        <v>1133598.7577341602</v>
      </c>
      <c r="E17" s="9">
        <f>_xlfn.COVARIANCE.P('Data_Matrix (2018)'!$K$2:$K$67,'Data_Matrix (2018)'!E$2:E$67)</f>
        <v>1013570.5457337948</v>
      </c>
      <c r="F17" s="9">
        <f>_xlfn.COVARIANCE.P('Data_Matrix (2018)'!$K$2:$K$67,'Data_Matrix (2018)'!F$2:F$67)</f>
        <v>618144.49018097331</v>
      </c>
      <c r="G17" s="9">
        <f>_xlfn.COVARIANCE.P('Data_Matrix (2018)'!$K$2:$K$67,'Data_Matrix (2018)'!G$2:G$67)</f>
        <v>891960.16972496361</v>
      </c>
      <c r="H17" s="9">
        <f>_xlfn.COVARIANCE.P('Data_Matrix (2018)'!$K$2:$K$67,'Data_Matrix (2018)'!H$2:H$67)</f>
        <v>354087.5271459588</v>
      </c>
      <c r="I17" s="9">
        <f>_xlfn.COVARIANCE.P('Data_Matrix (2018)'!$K$2:$K$67,'Data_Matrix (2018)'!I$2:I$67)</f>
        <v>324977.7559770401</v>
      </c>
      <c r="J17" s="9">
        <f>_xlfn.COVARIANCE.P('Data_Matrix (2018)'!$K$2:$K$67,'Data_Matrix (2018)'!J$2:J$67)</f>
        <v>179642.44196933028</v>
      </c>
      <c r="K17" s="9">
        <f>_xlfn.COVARIANCE.P('Data_Matrix (2018)'!$K$2:$K$67,'Data_Matrix (2018)'!K$2:K$67)</f>
        <v>283311.60600310267</v>
      </c>
      <c r="L17" s="9">
        <f>_xlfn.COVARIANCE.P('Data_Matrix (2018)'!$K$2:$K$67,'Data_Matrix (2018)'!L$2:L$67)</f>
        <v>180312.61720867376</v>
      </c>
      <c r="M17" s="9">
        <f>_xlfn.COVARIANCE.P('Data_Matrix (2018)'!$K$2:$K$67,'Data_Matrix (2018)'!M$2:M$67)</f>
        <v>127539.7519146374</v>
      </c>
      <c r="N17" s="9">
        <f>_xlfn.COVARIANCE.P('Data_Matrix (2018)'!$K$2:$K$67,'Data_Matrix (2018)'!N$2:N$67)</f>
        <v>180451.6567723433</v>
      </c>
      <c r="O17" s="9">
        <f>_xlfn.COVARIANCE.P('Data_Matrix (2018)'!$K$2:$K$67,'Data_Matrix (2018)'!O$2:O$67)</f>
        <v>87285.92634758084</v>
      </c>
      <c r="P17" s="9">
        <f>_xlfn.COVARIANCE.P('Data_Matrix (2018)'!$K$2:$K$67,'Data_Matrix (2018)'!P$2:P$67)</f>
        <v>31145.45202787119</v>
      </c>
      <c r="Q17" s="9">
        <f>_xlfn.COVARIANCE.P('Data_Matrix (2018)'!$K$2:$K$67,'Data_Matrix (2018)'!Q$2:Q$67)</f>
        <v>69627.823153321922</v>
      </c>
      <c r="R17" s="9">
        <f>_xlfn.COVARIANCE.P('Data_Matrix (2018)'!$K$2:$K$67,'Data_Matrix (2018)'!R$2:R$67)</f>
        <v>79315.621652131013</v>
      </c>
      <c r="S17" s="9">
        <f>_xlfn.COVARIANCE.P('Data_Matrix (2018)'!$K$2:$K$67,'Data_Matrix (2018)'!S$2:S$67)</f>
        <v>42559.380986484357</v>
      </c>
      <c r="T17" s="9">
        <f>_xlfn.COVARIANCE.P('Data_Matrix (2018)'!$K$2:$K$67,'Data_Matrix (2018)'!T$2:T$67)</f>
        <v>34755.47648919186</v>
      </c>
      <c r="U17" s="9">
        <f>_xlfn.COVARIANCE.P('Data_Matrix (2018)'!$K$2:$K$67,'Data_Matrix (2018)'!U$2:U$67)</f>
        <v>21549.722378158312</v>
      </c>
      <c r="V17" s="9">
        <f>_xlfn.COVARIANCE.P('Data_Matrix (2018)'!$K$2:$K$67,'Data_Matrix (2018)'!V$2:V$67)</f>
        <v>18843.049657184369</v>
      </c>
      <c r="W17" s="9">
        <f>_xlfn.COVARIANCE.P('Data_Matrix (2018)'!$K$2:$K$67,'Data_Matrix (2018)'!W$2:W$67)</f>
        <v>13157.962825646922</v>
      </c>
      <c r="X17" s="9">
        <f>_xlfn.COVARIANCE.P('Data_Matrix (2018)'!$K$2:$K$67,'Data_Matrix (2018)'!X$2:X$67)</f>
        <v>20021.533530993456</v>
      </c>
      <c r="Y17" s="9">
        <f>_xlfn.COVARIANCE.P('Data_Matrix (2018)'!$K$2:$K$67,'Data_Matrix (2018)'!Y$2:Y$67)</f>
        <v>16184.477901494518</v>
      </c>
      <c r="Z17" s="9">
        <f>_xlfn.COVARIANCE.P('Data_Matrix (2018)'!$K$2:$K$67,'Data_Matrix (2018)'!Z$2:Z$67)</f>
        <v>8903.6351032239527</v>
      </c>
      <c r="AA17" s="9">
        <f>_xlfn.COVARIANCE.P('Data_Matrix (2018)'!$K$2:$K$67,'Data_Matrix (2018)'!AA$2:AA$67)</f>
        <v>5706.1000054318638</v>
      </c>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row>
    <row r="18" spans="2:67" x14ac:dyDescent="0.2">
      <c r="B18" s="9">
        <f>_xlfn.COVARIANCE.P('Data_Matrix (2018)'!$L$2:$L$67,'Data_Matrix (2018)'!B$2:B$67)</f>
        <v>1261882.6151699016</v>
      </c>
      <c r="C18" s="9">
        <f>_xlfn.COVARIANCE.P('Data_Matrix (2018)'!$L$2:$L$67,'Data_Matrix (2018)'!C$2:C$67)</f>
        <v>1428766.7510359818</v>
      </c>
      <c r="D18" s="9">
        <f>_xlfn.COVARIANCE.P('Data_Matrix (2018)'!$L$2:$L$67,'Data_Matrix (2018)'!D$2:D$67)</f>
        <v>916024.01599592785</v>
      </c>
      <c r="E18" s="9">
        <f>_xlfn.COVARIANCE.P('Data_Matrix (2018)'!$L$2:$L$67,'Data_Matrix (2018)'!E$2:E$67)</f>
        <v>768146.51953764446</v>
      </c>
      <c r="F18" s="9">
        <f>_xlfn.COVARIANCE.P('Data_Matrix (2018)'!$L$2:$L$67,'Data_Matrix (2018)'!F$2:F$67)</f>
        <v>465739.38287796674</v>
      </c>
      <c r="G18" s="9">
        <f>_xlfn.COVARIANCE.P('Data_Matrix (2018)'!$L$2:$L$67,'Data_Matrix (2018)'!G$2:G$67)</f>
        <v>702558.07749659626</v>
      </c>
      <c r="H18" s="9">
        <f>_xlfn.COVARIANCE.P('Data_Matrix (2018)'!$L$2:$L$67,'Data_Matrix (2018)'!H$2:H$67)</f>
        <v>303553.24587784678</v>
      </c>
      <c r="I18" s="9">
        <f>_xlfn.COVARIANCE.P('Data_Matrix (2018)'!$L$2:$L$67,'Data_Matrix (2018)'!I$2:I$67)</f>
        <v>248082.85396304753</v>
      </c>
      <c r="J18" s="9">
        <f>_xlfn.COVARIANCE.P('Data_Matrix (2018)'!$L$2:$L$67,'Data_Matrix (2018)'!J$2:J$67)</f>
        <v>132380.68535459554</v>
      </c>
      <c r="K18" s="9">
        <f>_xlfn.COVARIANCE.P('Data_Matrix (2018)'!$L$2:$L$67,'Data_Matrix (2018)'!K$2:K$67)</f>
        <v>180312.61720867376</v>
      </c>
      <c r="L18" s="9">
        <f>_xlfn.COVARIANCE.P('Data_Matrix (2018)'!$L$2:$L$67,'Data_Matrix (2018)'!L$2:L$67)</f>
        <v>169346.32190859041</v>
      </c>
      <c r="M18" s="9">
        <f>_xlfn.COVARIANCE.P('Data_Matrix (2018)'!$L$2:$L$67,'Data_Matrix (2018)'!M$2:M$67)</f>
        <v>112987.45544691359</v>
      </c>
      <c r="N18" s="9">
        <f>_xlfn.COVARIANCE.P('Data_Matrix (2018)'!$L$2:$L$67,'Data_Matrix (2018)'!N$2:N$67)</f>
        <v>137486.45391366413</v>
      </c>
      <c r="O18" s="9">
        <f>_xlfn.COVARIANCE.P('Data_Matrix (2018)'!$L$2:$L$67,'Data_Matrix (2018)'!O$2:O$67)</f>
        <v>71806.613918110859</v>
      </c>
      <c r="P18" s="9">
        <f>_xlfn.COVARIANCE.P('Data_Matrix (2018)'!$L$2:$L$67,'Data_Matrix (2018)'!P$2:P$67)</f>
        <v>20884.204592896334</v>
      </c>
      <c r="Q18" s="9">
        <f>_xlfn.COVARIANCE.P('Data_Matrix (2018)'!$L$2:$L$67,'Data_Matrix (2018)'!Q$2:Q$67)</f>
        <v>63852.367442509953</v>
      </c>
      <c r="R18" s="9">
        <f>_xlfn.COVARIANCE.P('Data_Matrix (2018)'!$L$2:$L$67,'Data_Matrix (2018)'!R$2:R$67)</f>
        <v>82033.354811475176</v>
      </c>
      <c r="S18" s="9">
        <f>_xlfn.COVARIANCE.P('Data_Matrix (2018)'!$L$2:$L$67,'Data_Matrix (2018)'!S$2:S$67)</f>
        <v>41436.843941629166</v>
      </c>
      <c r="T18" s="9">
        <f>_xlfn.COVARIANCE.P('Data_Matrix (2018)'!$L$2:$L$67,'Data_Matrix (2018)'!T$2:T$67)</f>
        <v>29113.823376977562</v>
      </c>
      <c r="U18" s="9">
        <f>_xlfn.COVARIANCE.P('Data_Matrix (2018)'!$L$2:$L$67,'Data_Matrix (2018)'!U$2:U$67)</f>
        <v>19896.303287859584</v>
      </c>
      <c r="V18" s="9">
        <f>_xlfn.COVARIANCE.P('Data_Matrix (2018)'!$L$2:$L$67,'Data_Matrix (2018)'!V$2:V$67)</f>
        <v>13974.231094896053</v>
      </c>
      <c r="W18" s="9">
        <f>_xlfn.COVARIANCE.P('Data_Matrix (2018)'!$L$2:$L$67,'Data_Matrix (2018)'!W$2:W$67)</f>
        <v>10932.131261266801</v>
      </c>
      <c r="X18" s="9">
        <f>_xlfn.COVARIANCE.P('Data_Matrix (2018)'!$L$2:$L$67,'Data_Matrix (2018)'!X$2:X$67)</f>
        <v>14963.229252576455</v>
      </c>
      <c r="Y18" s="9">
        <f>_xlfn.COVARIANCE.P('Data_Matrix (2018)'!$L$2:$L$67,'Data_Matrix (2018)'!Y$2:Y$67)</f>
        <v>12070.639475617849</v>
      </c>
      <c r="Z18" s="9">
        <f>_xlfn.COVARIANCE.P('Data_Matrix (2018)'!$L$2:$L$67,'Data_Matrix (2018)'!Z$2:Z$67)</f>
        <v>9014.6822923503332</v>
      </c>
      <c r="AA18" s="9">
        <f>_xlfn.COVARIANCE.P('Data_Matrix (2018)'!$L$2:$L$67,'Data_Matrix (2018)'!AA$2:AA$67)</f>
        <v>5883.8113431564798</v>
      </c>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row>
    <row r="19" spans="2:67" x14ac:dyDescent="0.2">
      <c r="B19" s="9">
        <f>_xlfn.COVARIANCE.P('Data_Matrix (2018)'!$M$2:$M$67,'Data_Matrix (2018)'!B$2:B$67)</f>
        <v>673109.16940976935</v>
      </c>
      <c r="C19" s="9">
        <f>_xlfn.COVARIANCE.P('Data_Matrix (2018)'!$M$2:$M$67,'Data_Matrix (2018)'!C$2:C$67)</f>
        <v>1144664.2314040826</v>
      </c>
      <c r="D19" s="9">
        <f>_xlfn.COVARIANCE.P('Data_Matrix (2018)'!$M$2:$M$67,'Data_Matrix (2018)'!D$2:D$67)</f>
        <v>727759.78193746135</v>
      </c>
      <c r="E19" s="9">
        <f>_xlfn.COVARIANCE.P('Data_Matrix (2018)'!$M$2:$M$67,'Data_Matrix (2018)'!E$2:E$67)</f>
        <v>520545.23788171454</v>
      </c>
      <c r="F19" s="9">
        <f>_xlfn.COVARIANCE.P('Data_Matrix (2018)'!$M$2:$M$67,'Data_Matrix (2018)'!F$2:F$67)</f>
        <v>316838.56145710283</v>
      </c>
      <c r="G19" s="9">
        <f>_xlfn.COVARIANCE.P('Data_Matrix (2018)'!$M$2:$M$67,'Data_Matrix (2018)'!G$2:G$67)</f>
        <v>585947.57207904523</v>
      </c>
      <c r="H19" s="9">
        <f>_xlfn.COVARIANCE.P('Data_Matrix (2018)'!$M$2:$M$67,'Data_Matrix (2018)'!H$2:H$67)</f>
        <v>260516.10624620036</v>
      </c>
      <c r="I19" s="9">
        <f>_xlfn.COVARIANCE.P('Data_Matrix (2018)'!$M$2:$M$67,'Data_Matrix (2018)'!I$2:I$67)</f>
        <v>229164.66832932175</v>
      </c>
      <c r="J19" s="9">
        <f>_xlfn.COVARIANCE.P('Data_Matrix (2018)'!$M$2:$M$67,'Data_Matrix (2018)'!J$2:J$67)</f>
        <v>99537.452131989849</v>
      </c>
      <c r="K19" s="9">
        <f>_xlfn.COVARIANCE.P('Data_Matrix (2018)'!$M$2:$M$67,'Data_Matrix (2018)'!K$2:K$67)</f>
        <v>127539.7519146374</v>
      </c>
      <c r="L19" s="9">
        <f>_xlfn.COVARIANCE.P('Data_Matrix (2018)'!$M$2:$M$67,'Data_Matrix (2018)'!L$2:L$67)</f>
        <v>112987.45544691359</v>
      </c>
      <c r="M19" s="9">
        <f>_xlfn.COVARIANCE.P('Data_Matrix (2018)'!$M$2:$M$67,'Data_Matrix (2018)'!M$2:M$67)</f>
        <v>163032.30499535147</v>
      </c>
      <c r="N19" s="9">
        <f>_xlfn.COVARIANCE.P('Data_Matrix (2018)'!$M$2:$M$67,'Data_Matrix (2018)'!N$2:N$67)</f>
        <v>109983.41495848905</v>
      </c>
      <c r="O19" s="9">
        <f>_xlfn.COVARIANCE.P('Data_Matrix (2018)'!$M$2:$M$67,'Data_Matrix (2018)'!O$2:O$67)</f>
        <v>54628.921403490516</v>
      </c>
      <c r="P19" s="9">
        <f>_xlfn.COVARIANCE.P('Data_Matrix (2018)'!$M$2:$M$67,'Data_Matrix (2018)'!P$2:P$67)</f>
        <v>6951.0473019134824</v>
      </c>
      <c r="Q19" s="9">
        <f>_xlfn.COVARIANCE.P('Data_Matrix (2018)'!$M$2:$M$67,'Data_Matrix (2018)'!Q$2:Q$67)</f>
        <v>54751.141460502462</v>
      </c>
      <c r="R19" s="9">
        <f>_xlfn.COVARIANCE.P('Data_Matrix (2018)'!$M$2:$M$67,'Data_Matrix (2018)'!R$2:R$67)</f>
        <v>63028.476672979945</v>
      </c>
      <c r="S19" s="9">
        <f>_xlfn.COVARIANCE.P('Data_Matrix (2018)'!$M$2:$M$67,'Data_Matrix (2018)'!S$2:S$67)</f>
        <v>43825.800605684184</v>
      </c>
      <c r="T19" s="9">
        <f>_xlfn.COVARIANCE.P('Data_Matrix (2018)'!$M$2:$M$67,'Data_Matrix (2018)'!T$2:T$67)</f>
        <v>21191.702953026241</v>
      </c>
      <c r="U19" s="9">
        <f>_xlfn.COVARIANCE.P('Data_Matrix (2018)'!$M$2:$M$67,'Data_Matrix (2018)'!U$2:U$67)</f>
        <v>15346.617321764546</v>
      </c>
      <c r="V19" s="9">
        <f>_xlfn.COVARIANCE.P('Data_Matrix (2018)'!$M$2:$M$67,'Data_Matrix (2018)'!V$2:V$67)</f>
        <v>7498.4521855474604</v>
      </c>
      <c r="W19" s="9">
        <f>_xlfn.COVARIANCE.P('Data_Matrix (2018)'!$M$2:$M$67,'Data_Matrix (2018)'!W$2:W$67)</f>
        <v>7370.3217573355842</v>
      </c>
      <c r="X19" s="9">
        <f>_xlfn.COVARIANCE.P('Data_Matrix (2018)'!$M$2:$M$67,'Data_Matrix (2018)'!X$2:X$67)</f>
        <v>11625.646701963422</v>
      </c>
      <c r="Y19" s="9">
        <f>_xlfn.COVARIANCE.P('Data_Matrix (2018)'!$M$2:$M$67,'Data_Matrix (2018)'!Y$2:Y$67)</f>
        <v>11240.112379523423</v>
      </c>
      <c r="Z19" s="9">
        <f>_xlfn.COVARIANCE.P('Data_Matrix (2018)'!$M$2:$M$67,'Data_Matrix (2018)'!Z$2:Z$67)</f>
        <v>6919.2416278165665</v>
      </c>
      <c r="AA19" s="9">
        <f>_xlfn.COVARIANCE.P('Data_Matrix (2018)'!$M$2:$M$67,'Data_Matrix (2018)'!AA$2:AA$67)</f>
        <v>6244.4821278410373</v>
      </c>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row>
    <row r="20" spans="2:67" x14ac:dyDescent="0.2">
      <c r="B20" s="9">
        <f>_xlfn.COVARIANCE.P('Data_Matrix (2018)'!$N$2:$N$67,'Data_Matrix (2018)'!B$2:B$67)</f>
        <v>1097799.7026769114</v>
      </c>
      <c r="C20" s="9">
        <f>_xlfn.COVARIANCE.P('Data_Matrix (2018)'!$N$2:$N$67,'Data_Matrix (2018)'!C$2:C$67)</f>
        <v>1492728.6049940041</v>
      </c>
      <c r="D20" s="9">
        <f>_xlfn.COVARIANCE.P('Data_Matrix (2018)'!$N$2:$N$67,'Data_Matrix (2018)'!D$2:D$67)</f>
        <v>1000739.1999768356</v>
      </c>
      <c r="E20" s="9">
        <f>_xlfn.COVARIANCE.P('Data_Matrix (2018)'!$N$2:$N$67,'Data_Matrix (2018)'!E$2:E$67)</f>
        <v>820948.07823821541</v>
      </c>
      <c r="F20" s="9">
        <f>_xlfn.COVARIANCE.P('Data_Matrix (2018)'!$N$2:$N$67,'Data_Matrix (2018)'!F$2:F$67)</f>
        <v>417495.00166043127</v>
      </c>
      <c r="G20" s="9">
        <f>_xlfn.COVARIANCE.P('Data_Matrix (2018)'!$N$2:$N$67,'Data_Matrix (2018)'!G$2:G$67)</f>
        <v>803779.99142881541</v>
      </c>
      <c r="H20" s="9">
        <f>_xlfn.COVARIANCE.P('Data_Matrix (2018)'!$N$2:$N$67,'Data_Matrix (2018)'!H$2:H$67)</f>
        <v>283502.16508998553</v>
      </c>
      <c r="I20" s="9">
        <f>_xlfn.COVARIANCE.P('Data_Matrix (2018)'!$N$2:$N$67,'Data_Matrix (2018)'!I$2:I$67)</f>
        <v>286557.73651055788</v>
      </c>
      <c r="J20" s="9">
        <f>_xlfn.COVARIANCE.P('Data_Matrix (2018)'!$N$2:$N$67,'Data_Matrix (2018)'!J$2:J$67)</f>
        <v>165307.86663509207</v>
      </c>
      <c r="K20" s="9">
        <f>_xlfn.COVARIANCE.P('Data_Matrix (2018)'!$N$2:$N$67,'Data_Matrix (2018)'!K$2:K$67)</f>
        <v>180451.6567723433</v>
      </c>
      <c r="L20" s="9">
        <f>_xlfn.COVARIANCE.P('Data_Matrix (2018)'!$N$2:$N$67,'Data_Matrix (2018)'!L$2:L$67)</f>
        <v>137486.45391366413</v>
      </c>
      <c r="M20" s="9">
        <f>_xlfn.COVARIANCE.P('Data_Matrix (2018)'!$N$2:$N$67,'Data_Matrix (2018)'!M$2:M$67)</f>
        <v>109983.41495848905</v>
      </c>
      <c r="N20" s="9">
        <f>_xlfn.COVARIANCE.P('Data_Matrix (2018)'!$N$2:$N$67,'Data_Matrix (2018)'!N$2:N$67)</f>
        <v>173005.32268774134</v>
      </c>
      <c r="O20" s="9">
        <f>_xlfn.COVARIANCE.P('Data_Matrix (2018)'!$N$2:$N$67,'Data_Matrix (2018)'!O$2:O$67)</f>
        <v>68080.724526670921</v>
      </c>
      <c r="P20" s="9">
        <f>_xlfn.COVARIANCE.P('Data_Matrix (2018)'!$N$2:$N$67,'Data_Matrix (2018)'!P$2:P$67)</f>
        <v>14654.573761709176</v>
      </c>
      <c r="Q20" s="9">
        <f>_xlfn.COVARIANCE.P('Data_Matrix (2018)'!$N$2:$N$67,'Data_Matrix (2018)'!Q$2:Q$67)</f>
        <v>50588.963694290542</v>
      </c>
      <c r="R20" s="9">
        <f>_xlfn.COVARIANCE.P('Data_Matrix (2018)'!$N$2:$N$67,'Data_Matrix (2018)'!R$2:R$67)</f>
        <v>62908.244009546463</v>
      </c>
      <c r="S20" s="9">
        <f>_xlfn.COVARIANCE.P('Data_Matrix (2018)'!$N$2:$N$67,'Data_Matrix (2018)'!S$2:S$67)</f>
        <v>34913.987319735534</v>
      </c>
      <c r="T20" s="9">
        <f>_xlfn.COVARIANCE.P('Data_Matrix (2018)'!$N$2:$N$67,'Data_Matrix (2018)'!T$2:T$67)</f>
        <v>29671.036038726419</v>
      </c>
      <c r="U20" s="9">
        <f>_xlfn.COVARIANCE.P('Data_Matrix (2018)'!$N$2:$N$67,'Data_Matrix (2018)'!U$2:U$67)</f>
        <v>15529.789095339826</v>
      </c>
      <c r="V20" s="9">
        <f>_xlfn.COVARIANCE.P('Data_Matrix (2018)'!$N$2:$N$67,'Data_Matrix (2018)'!V$2:V$67)</f>
        <v>9821.5597689776332</v>
      </c>
      <c r="W20" s="9">
        <f>_xlfn.COVARIANCE.P('Data_Matrix (2018)'!$N$2:$N$67,'Data_Matrix (2018)'!W$2:W$67)</f>
        <v>10591.496871949035</v>
      </c>
      <c r="X20" s="9">
        <f>_xlfn.COVARIANCE.P('Data_Matrix (2018)'!$N$2:$N$67,'Data_Matrix (2018)'!X$2:X$67)</f>
        <v>17430.298365952247</v>
      </c>
      <c r="Y20" s="9">
        <f>_xlfn.COVARIANCE.P('Data_Matrix (2018)'!$N$2:$N$67,'Data_Matrix (2018)'!Y$2:Y$67)</f>
        <v>11836.169038697988</v>
      </c>
      <c r="Z20" s="9">
        <f>_xlfn.COVARIANCE.P('Data_Matrix (2018)'!$N$2:$N$67,'Data_Matrix (2018)'!Z$2:Z$67)</f>
        <v>6524.9403948115096</v>
      </c>
      <c r="AA20" s="9">
        <f>_xlfn.COVARIANCE.P('Data_Matrix (2018)'!$N$2:$N$67,'Data_Matrix (2018)'!AA$2:AA$67)</f>
        <v>6675.2322826079426</v>
      </c>
      <c r="AB20" s="9"/>
      <c r="AC20" s="9"/>
      <c r="AD20" s="9"/>
      <c r="AE20" s="9"/>
      <c r="AF20" s="9"/>
      <c r="AG20" s="9"/>
      <c r="AH20" s="9"/>
      <c r="AI20" s="9"/>
      <c r="AJ20" s="9"/>
      <c r="AK20" s="9"/>
      <c r="AL20" s="9"/>
      <c r="AM20" s="9"/>
      <c r="AN20" s="9"/>
      <c r="AO20" s="9"/>
      <c r="AP20" s="9"/>
      <c r="AQ20" s="9"/>
      <c r="AR20" s="9"/>
      <c r="AS20" s="9"/>
      <c r="AT20" s="9"/>
      <c r="AU20" s="9"/>
      <c r="AV20" s="9"/>
      <c r="AW20" s="9"/>
      <c r="AX20" s="9"/>
      <c r="AY20" s="9"/>
      <c r="AZ20" s="9"/>
      <c r="BA20" s="9"/>
      <c r="BB20" s="9"/>
      <c r="BC20" s="9"/>
      <c r="BD20" s="9"/>
      <c r="BE20" s="9"/>
      <c r="BF20" s="9"/>
      <c r="BG20" s="9"/>
      <c r="BH20" s="9"/>
      <c r="BI20" s="9"/>
      <c r="BJ20" s="9"/>
      <c r="BK20" s="9"/>
      <c r="BL20" s="9"/>
      <c r="BM20" s="9"/>
      <c r="BN20" s="9"/>
      <c r="BO20" s="9"/>
    </row>
    <row r="21" spans="2:67" x14ac:dyDescent="0.2">
      <c r="B21" s="9">
        <f>_xlfn.COVARIANCE.P('Data_Matrix (2018)'!$O$2:$O$67,'Data_Matrix (2018)'!B$2:B$67)</f>
        <v>566150.8785643701</v>
      </c>
      <c r="C21" s="9">
        <f>_xlfn.COVARIANCE.P('Data_Matrix (2018)'!$O$2:$O$67,'Data_Matrix (2018)'!C$2:C$67)</f>
        <v>677481.6874887665</v>
      </c>
      <c r="D21" s="9">
        <f>_xlfn.COVARIANCE.P('Data_Matrix (2018)'!$O$2:$O$67,'Data_Matrix (2018)'!D$2:D$67)</f>
        <v>426186.43185589387</v>
      </c>
      <c r="E21" s="9">
        <f>_xlfn.COVARIANCE.P('Data_Matrix (2018)'!$O$2:$O$67,'Data_Matrix (2018)'!E$2:E$67)</f>
        <v>360833.94126402756</v>
      </c>
      <c r="F21" s="9">
        <f>_xlfn.COVARIANCE.P('Data_Matrix (2018)'!$O$2:$O$67,'Data_Matrix (2018)'!F$2:F$67)</f>
        <v>213089.1537371813</v>
      </c>
      <c r="G21" s="9">
        <f>_xlfn.COVARIANCE.P('Data_Matrix (2018)'!$O$2:$O$67,'Data_Matrix (2018)'!G$2:G$67)</f>
        <v>337355.2966318687</v>
      </c>
      <c r="H21" s="9">
        <f>_xlfn.COVARIANCE.P('Data_Matrix (2018)'!$O$2:$O$67,'Data_Matrix (2018)'!H$2:H$67)</f>
        <v>138976.93327497932</v>
      </c>
      <c r="I21" s="9">
        <f>_xlfn.COVARIANCE.P('Data_Matrix (2018)'!$O$2:$O$67,'Data_Matrix (2018)'!I$2:I$67)</f>
        <v>115413.07889539204</v>
      </c>
      <c r="J21" s="9">
        <f>_xlfn.COVARIANCE.P('Data_Matrix (2018)'!$O$2:$O$67,'Data_Matrix (2018)'!J$2:J$67)</f>
        <v>60450.933405206088</v>
      </c>
      <c r="K21" s="9">
        <f>_xlfn.COVARIANCE.P('Data_Matrix (2018)'!$O$2:$O$67,'Data_Matrix (2018)'!K$2:K$67)</f>
        <v>87285.92634758084</v>
      </c>
      <c r="L21" s="9">
        <f>_xlfn.COVARIANCE.P('Data_Matrix (2018)'!$O$2:$O$67,'Data_Matrix (2018)'!L$2:L$67)</f>
        <v>71806.613918110859</v>
      </c>
      <c r="M21" s="9">
        <f>_xlfn.COVARIANCE.P('Data_Matrix (2018)'!$O$2:$O$67,'Data_Matrix (2018)'!M$2:M$67)</f>
        <v>54628.921403490516</v>
      </c>
      <c r="N21" s="9">
        <f>_xlfn.COVARIANCE.P('Data_Matrix (2018)'!$O$2:$O$67,'Data_Matrix (2018)'!N$2:N$67)</f>
        <v>68080.724526670921</v>
      </c>
      <c r="O21" s="9">
        <f>_xlfn.COVARIANCE.P('Data_Matrix (2018)'!$O$2:$O$67,'Data_Matrix (2018)'!O$2:O$67)</f>
        <v>35367.55494619059</v>
      </c>
      <c r="P21" s="9">
        <f>_xlfn.COVARIANCE.P('Data_Matrix (2018)'!$O$2:$O$67,'Data_Matrix (2018)'!P$2:P$67)</f>
        <v>8592.3031261829983</v>
      </c>
      <c r="Q21" s="9">
        <f>_xlfn.COVARIANCE.P('Data_Matrix (2018)'!$O$2:$O$67,'Data_Matrix (2018)'!Q$2:Q$67)</f>
        <v>29465.860102290255</v>
      </c>
      <c r="R21" s="9">
        <f>_xlfn.COVARIANCE.P('Data_Matrix (2018)'!$O$2:$O$67,'Data_Matrix (2018)'!R$2:R$67)</f>
        <v>37109.28865868428</v>
      </c>
      <c r="S21" s="9">
        <f>_xlfn.COVARIANCE.P('Data_Matrix (2018)'!$O$2:$O$67,'Data_Matrix (2018)'!S$2:S$67)</f>
        <v>18085.420102810429</v>
      </c>
      <c r="T21" s="9">
        <f>_xlfn.COVARIANCE.P('Data_Matrix (2018)'!$O$2:$O$67,'Data_Matrix (2018)'!T$2:T$67)</f>
        <v>13697.99988469088</v>
      </c>
      <c r="U21" s="9">
        <f>_xlfn.COVARIANCE.P('Data_Matrix (2018)'!$O$2:$O$67,'Data_Matrix (2018)'!U$2:U$67)</f>
        <v>8757.6524823960153</v>
      </c>
      <c r="V21" s="9">
        <f>_xlfn.COVARIANCE.P('Data_Matrix (2018)'!$O$2:$O$67,'Data_Matrix (2018)'!V$2:V$67)</f>
        <v>6476.0452958516125</v>
      </c>
      <c r="W21" s="9">
        <f>_xlfn.COVARIANCE.P('Data_Matrix (2018)'!$O$2:$O$67,'Data_Matrix (2018)'!W$2:W$67)</f>
        <v>5032.9399005904161</v>
      </c>
      <c r="X21" s="9">
        <f>_xlfn.COVARIANCE.P('Data_Matrix (2018)'!$O$2:$O$67,'Data_Matrix (2018)'!X$2:X$67)</f>
        <v>7187.879789469669</v>
      </c>
      <c r="Y21" s="9">
        <f>_xlfn.COVARIANCE.P('Data_Matrix (2018)'!$O$2:$O$67,'Data_Matrix (2018)'!Y$2:Y$67)</f>
        <v>5918.5112356305144</v>
      </c>
      <c r="Z21" s="9">
        <f>_xlfn.COVARIANCE.P('Data_Matrix (2018)'!$O$2:$O$67,'Data_Matrix (2018)'!Z$2:Z$67)</f>
        <v>3986.504084151682</v>
      </c>
      <c r="AA21" s="9">
        <f>_xlfn.COVARIANCE.P('Data_Matrix (2018)'!$O$2:$O$67,'Data_Matrix (2018)'!AA$2:AA$67)</f>
        <v>2933.551767730256</v>
      </c>
      <c r="AB21" s="9"/>
      <c r="AC21" s="9"/>
      <c r="AD21" s="9"/>
      <c r="AE21" s="9"/>
      <c r="AF21" s="9"/>
      <c r="AG21" s="9"/>
      <c r="AH21" s="9"/>
      <c r="AI21" s="9"/>
      <c r="AJ21" s="9"/>
      <c r="AK21" s="9"/>
      <c r="AL21" s="9"/>
      <c r="AM21" s="9"/>
      <c r="AN21" s="9"/>
      <c r="AO21" s="9"/>
      <c r="AP21" s="9"/>
      <c r="AQ21" s="9"/>
      <c r="AR21" s="9"/>
      <c r="AS21" s="9"/>
      <c r="AT21" s="9"/>
      <c r="AU21" s="9"/>
      <c r="AV21" s="9"/>
      <c r="AW21" s="9"/>
      <c r="AX21" s="9"/>
      <c r="AY21" s="9"/>
      <c r="AZ21" s="9"/>
      <c r="BA21" s="9"/>
      <c r="BB21" s="9"/>
      <c r="BC21" s="9"/>
      <c r="BD21" s="9"/>
      <c r="BE21" s="9"/>
      <c r="BF21" s="9"/>
      <c r="BG21" s="9"/>
      <c r="BH21" s="9"/>
      <c r="BI21" s="9"/>
      <c r="BJ21" s="9"/>
      <c r="BK21" s="9"/>
      <c r="BL21" s="9"/>
      <c r="BM21" s="9"/>
      <c r="BN21" s="9"/>
      <c r="BO21" s="9"/>
    </row>
    <row r="22" spans="2:67" x14ac:dyDescent="0.2">
      <c r="B22" s="9">
        <f>_xlfn.COVARIANCE.P('Data_Matrix (2018)'!$P$2:$P$67,'Data_Matrix (2018)'!B$2:B$67)</f>
        <v>185955.38329714444</v>
      </c>
      <c r="C22" s="9">
        <f>_xlfn.COVARIANCE.P('Data_Matrix (2018)'!$P$2:$P$67,'Data_Matrix (2018)'!C$2:C$67)</f>
        <v>135591.86090416892</v>
      </c>
      <c r="D22" s="9">
        <f>_xlfn.COVARIANCE.P('Data_Matrix (2018)'!$P$2:$P$67,'Data_Matrix (2018)'!D$2:D$67)</f>
        <v>93762.824902317574</v>
      </c>
      <c r="E22" s="9">
        <f>_xlfn.COVARIANCE.P('Data_Matrix (2018)'!$P$2:$P$67,'Data_Matrix (2018)'!E$2:E$67)</f>
        <v>146374.09618033897</v>
      </c>
      <c r="F22" s="9">
        <f>_xlfn.COVARIANCE.P('Data_Matrix (2018)'!$P$2:$P$67,'Data_Matrix (2018)'!F$2:F$67)</f>
        <v>86059.152870897655</v>
      </c>
      <c r="G22" s="9">
        <f>_xlfn.COVARIANCE.P('Data_Matrix (2018)'!$P$2:$P$67,'Data_Matrix (2018)'!G$2:G$67)</f>
        <v>80208.367377345334</v>
      </c>
      <c r="H22" s="9">
        <f>_xlfn.COVARIANCE.P('Data_Matrix (2018)'!$P$2:$P$67,'Data_Matrix (2018)'!H$2:H$67)</f>
        <v>26168.290525305136</v>
      </c>
      <c r="I22" s="9">
        <f>_xlfn.COVARIANCE.P('Data_Matrix (2018)'!$P$2:$P$67,'Data_Matrix (2018)'!I$2:I$67)</f>
        <v>34476.345187287036</v>
      </c>
      <c r="J22" s="9">
        <f>_xlfn.COVARIANCE.P('Data_Matrix (2018)'!$P$2:$P$67,'Data_Matrix (2018)'!J$2:J$67)</f>
        <v>22959.46566564597</v>
      </c>
      <c r="K22" s="9">
        <f>_xlfn.COVARIANCE.P('Data_Matrix (2018)'!$P$2:$P$67,'Data_Matrix (2018)'!K$2:K$67)</f>
        <v>31145.45202787119</v>
      </c>
      <c r="L22" s="9">
        <f>_xlfn.COVARIANCE.P('Data_Matrix (2018)'!$P$2:$P$67,'Data_Matrix (2018)'!L$2:L$67)</f>
        <v>20884.204592896334</v>
      </c>
      <c r="M22" s="9">
        <f>_xlfn.COVARIANCE.P('Data_Matrix (2018)'!$P$2:$P$67,'Data_Matrix (2018)'!M$2:M$67)</f>
        <v>6951.0473019134824</v>
      </c>
      <c r="N22" s="9">
        <f>_xlfn.COVARIANCE.P('Data_Matrix (2018)'!$P$2:$P$67,'Data_Matrix (2018)'!N$2:N$67)</f>
        <v>14654.573761709176</v>
      </c>
      <c r="O22" s="9">
        <f>_xlfn.COVARIANCE.P('Data_Matrix (2018)'!$P$2:$P$67,'Data_Matrix (2018)'!O$2:O$67)</f>
        <v>8592.3031261829983</v>
      </c>
      <c r="P22" s="9">
        <f>_xlfn.COVARIANCE.P('Data_Matrix (2018)'!$P$2:$P$67,'Data_Matrix (2018)'!P$2:P$67)</f>
        <v>26318.150120173632</v>
      </c>
      <c r="Q22" s="9">
        <f>_xlfn.COVARIANCE.P('Data_Matrix (2018)'!$P$2:$P$67,'Data_Matrix (2018)'!Q$2:Q$67)</f>
        <v>5263.1701636835542</v>
      </c>
      <c r="R22" s="9">
        <f>_xlfn.COVARIANCE.P('Data_Matrix (2018)'!$P$2:$P$67,'Data_Matrix (2018)'!R$2:R$67)</f>
        <v>4288.2662760484927</v>
      </c>
      <c r="S22" s="9">
        <f>_xlfn.COVARIANCE.P('Data_Matrix (2018)'!$P$2:$P$67,'Data_Matrix (2018)'!S$2:S$67)</f>
        <v>2379.1703084094411</v>
      </c>
      <c r="T22" s="9">
        <f>_xlfn.COVARIANCE.P('Data_Matrix (2018)'!$P$2:$P$67,'Data_Matrix (2018)'!T$2:T$67)</f>
        <v>3298.069652809193</v>
      </c>
      <c r="U22" s="9">
        <f>_xlfn.COVARIANCE.P('Data_Matrix (2018)'!$P$2:$P$67,'Data_Matrix (2018)'!U$2:U$67)</f>
        <v>2049.1281045717042</v>
      </c>
      <c r="V22" s="9">
        <f>_xlfn.COVARIANCE.P('Data_Matrix (2018)'!$P$2:$P$67,'Data_Matrix (2018)'!V$2:V$67)</f>
        <v>4858.0151129527803</v>
      </c>
      <c r="W22" s="9">
        <f>_xlfn.COVARIANCE.P('Data_Matrix (2018)'!$P$2:$P$67,'Data_Matrix (2018)'!W$2:W$67)</f>
        <v>1500.3925167209386</v>
      </c>
      <c r="X22" s="9">
        <f>_xlfn.COVARIANCE.P('Data_Matrix (2018)'!$P$2:$P$67,'Data_Matrix (2018)'!X$2:X$67)</f>
        <v>2232.3602183589828</v>
      </c>
      <c r="Y22" s="9">
        <f>_xlfn.COVARIANCE.P('Data_Matrix (2018)'!$P$2:$P$67,'Data_Matrix (2018)'!Y$2:Y$67)</f>
        <v>1730.5992843119714</v>
      </c>
      <c r="Z22" s="9">
        <f>_xlfn.COVARIANCE.P('Data_Matrix (2018)'!$P$2:$P$67,'Data_Matrix (2018)'!Z$2:Z$67)</f>
        <v>634.21010449476864</v>
      </c>
      <c r="AA22" s="9">
        <f>_xlfn.COVARIANCE.P('Data_Matrix (2018)'!$P$2:$P$67,'Data_Matrix (2018)'!AA$2:AA$67)</f>
        <v>332.46141430733769</v>
      </c>
      <c r="AB22" s="9"/>
      <c r="AC22" s="9"/>
      <c r="AD22" s="9"/>
      <c r="AE22" s="9"/>
      <c r="AF22" s="9"/>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row>
    <row r="23" spans="2:67" x14ac:dyDescent="0.2">
      <c r="B23" s="9">
        <f>_xlfn.COVARIANCE.P('Data_Matrix (2018)'!$Q$2:$Q$67,'Data_Matrix (2018)'!B$2:B$67)</f>
        <v>530480.06214748893</v>
      </c>
      <c r="C23" s="9">
        <f>_xlfn.COVARIANCE.P('Data_Matrix (2018)'!$Q$2:$Q$67,'Data_Matrix (2018)'!C$2:C$67)</f>
        <v>574466.75255595066</v>
      </c>
      <c r="D23" s="9">
        <f>_xlfn.COVARIANCE.P('Data_Matrix (2018)'!$Q$2:$Q$67,'Data_Matrix (2018)'!D$2:D$67)</f>
        <v>375538.13101247163</v>
      </c>
      <c r="E23" s="9">
        <f>_xlfn.COVARIANCE.P('Data_Matrix (2018)'!$Q$2:$Q$67,'Data_Matrix (2018)'!E$2:E$67)</f>
        <v>217552.41936626766</v>
      </c>
      <c r="F23" s="9">
        <f>_xlfn.COVARIANCE.P('Data_Matrix (2018)'!$Q$2:$Q$67,'Data_Matrix (2018)'!F$2:F$67)</f>
        <v>154832.02531264871</v>
      </c>
      <c r="G23" s="9">
        <f>_xlfn.COVARIANCE.P('Data_Matrix (2018)'!$Q$2:$Q$67,'Data_Matrix (2018)'!G$2:G$67)</f>
        <v>267708.21374792838</v>
      </c>
      <c r="H23" s="9">
        <f>_xlfn.COVARIANCE.P('Data_Matrix (2018)'!$Q$2:$Q$67,'Data_Matrix (2018)'!H$2:H$67)</f>
        <v>156320.18957454624</v>
      </c>
      <c r="I23" s="9">
        <f>_xlfn.COVARIANCE.P('Data_Matrix (2018)'!$Q$2:$Q$67,'Data_Matrix (2018)'!I$2:I$67)</f>
        <v>96951.308006147883</v>
      </c>
      <c r="J23" s="9">
        <f>_xlfn.COVARIANCE.P('Data_Matrix (2018)'!$Q$2:$Q$67,'Data_Matrix (2018)'!J$2:J$67)</f>
        <v>45662.381579557637</v>
      </c>
      <c r="K23" s="9">
        <f>_xlfn.COVARIANCE.P('Data_Matrix (2018)'!$Q$2:$Q$67,'Data_Matrix (2018)'!K$2:K$67)</f>
        <v>69627.823153321922</v>
      </c>
      <c r="L23" s="9">
        <f>_xlfn.COVARIANCE.P('Data_Matrix (2018)'!$Q$2:$Q$67,'Data_Matrix (2018)'!L$2:L$67)</f>
        <v>63852.367442509953</v>
      </c>
      <c r="M23" s="9">
        <f>_xlfn.COVARIANCE.P('Data_Matrix (2018)'!$Q$2:$Q$67,'Data_Matrix (2018)'!M$2:M$67)</f>
        <v>54751.141460502462</v>
      </c>
      <c r="N23" s="9">
        <f>_xlfn.COVARIANCE.P('Data_Matrix (2018)'!$Q$2:$Q$67,'Data_Matrix (2018)'!N$2:N$67)</f>
        <v>50588.963694290542</v>
      </c>
      <c r="O23" s="9">
        <f>_xlfn.COVARIANCE.P('Data_Matrix (2018)'!$Q$2:$Q$67,'Data_Matrix (2018)'!O$2:O$67)</f>
        <v>29465.860102290255</v>
      </c>
      <c r="P23" s="9">
        <f>_xlfn.COVARIANCE.P('Data_Matrix (2018)'!$Q$2:$Q$67,'Data_Matrix (2018)'!P$2:P$67)</f>
        <v>5263.1701636835542</v>
      </c>
      <c r="Q23" s="9">
        <f>_xlfn.COVARIANCE.P('Data_Matrix (2018)'!$Q$2:$Q$67,'Data_Matrix (2018)'!Q$2:Q$67)</f>
        <v>35149.513106147308</v>
      </c>
      <c r="R23" s="9">
        <f>_xlfn.COVARIANCE.P('Data_Matrix (2018)'!$Q$2:$Q$67,'Data_Matrix (2018)'!R$2:R$67)</f>
        <v>40708.005933416527</v>
      </c>
      <c r="S23" s="9">
        <f>_xlfn.COVARIANCE.P('Data_Matrix (2018)'!$Q$2:$Q$67,'Data_Matrix (2018)'!S$2:S$67)</f>
        <v>20693.923340266982</v>
      </c>
      <c r="T23" s="9">
        <f>_xlfn.COVARIANCE.P('Data_Matrix (2018)'!$Q$2:$Q$67,'Data_Matrix (2018)'!T$2:T$67)</f>
        <v>11904.157094059728</v>
      </c>
      <c r="U23" s="9">
        <f>_xlfn.COVARIANCE.P('Data_Matrix (2018)'!$Q$2:$Q$67,'Data_Matrix (2018)'!U$2:U$67)</f>
        <v>9005.9982582120556</v>
      </c>
      <c r="V23" s="9">
        <f>_xlfn.COVARIANCE.P('Data_Matrix (2018)'!$Q$2:$Q$67,'Data_Matrix (2018)'!V$2:V$67)</f>
        <v>4185.6830082959059</v>
      </c>
      <c r="W23" s="9">
        <f>_xlfn.COVARIANCE.P('Data_Matrix (2018)'!$Q$2:$Q$67,'Data_Matrix (2018)'!W$2:W$67)</f>
        <v>3690.0764815664588</v>
      </c>
      <c r="X23" s="9">
        <f>_xlfn.COVARIANCE.P('Data_Matrix (2018)'!$Q$2:$Q$67,'Data_Matrix (2018)'!X$2:X$67)</f>
        <v>4799.6195425698761</v>
      </c>
      <c r="Y23" s="9">
        <f>_xlfn.COVARIANCE.P('Data_Matrix (2018)'!$Q$2:$Q$67,'Data_Matrix (2018)'!Y$2:Y$67)</f>
        <v>5607.8677588634673</v>
      </c>
      <c r="Z23" s="9">
        <f>_xlfn.COVARIANCE.P('Data_Matrix (2018)'!$Q$2:$Q$67,'Data_Matrix (2018)'!Z$2:Z$67)</f>
        <v>4164.7606857689207</v>
      </c>
      <c r="AA23" s="9">
        <f>_xlfn.COVARIANCE.P('Data_Matrix (2018)'!$Q$2:$Q$67,'Data_Matrix (2018)'!AA$2:AA$67)</f>
        <v>2315.5423780395404</v>
      </c>
      <c r="AB23" s="9"/>
      <c r="AC23" s="9"/>
      <c r="AD23" s="9"/>
      <c r="AE23" s="9"/>
      <c r="AF23" s="9"/>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row>
    <row r="24" spans="2:67" x14ac:dyDescent="0.2">
      <c r="B24" s="9">
        <f>_xlfn.COVARIANCE.P('Data_Matrix (2018)'!$R$2:$R$67,'Data_Matrix (2018)'!B$2:B$67)</f>
        <v>589462.52578012564</v>
      </c>
      <c r="C24" s="9">
        <f>_xlfn.COVARIANCE.P('Data_Matrix (2018)'!$R$2:$R$67,'Data_Matrix (2018)'!C$2:C$67)</f>
        <v>721646.60921481939</v>
      </c>
      <c r="D24" s="9">
        <f>_xlfn.COVARIANCE.P('Data_Matrix (2018)'!$R$2:$R$67,'Data_Matrix (2018)'!D$2:D$67)</f>
        <v>451352.92899997433</v>
      </c>
      <c r="E24" s="9">
        <f>_xlfn.COVARIANCE.P('Data_Matrix (2018)'!$R$2:$R$67,'Data_Matrix (2018)'!E$2:E$67)</f>
        <v>237957.70144182025</v>
      </c>
      <c r="F24" s="9">
        <f>_xlfn.COVARIANCE.P('Data_Matrix (2018)'!$R$2:$R$67,'Data_Matrix (2018)'!F$2:F$67)</f>
        <v>161660.77161312918</v>
      </c>
      <c r="G24" s="9">
        <f>_xlfn.COVARIANCE.P('Data_Matrix (2018)'!$R$2:$R$67,'Data_Matrix (2018)'!G$2:G$67)</f>
        <v>321800.61572618375</v>
      </c>
      <c r="H24" s="9">
        <f>_xlfn.COVARIANCE.P('Data_Matrix (2018)'!$R$2:$R$67,'Data_Matrix (2018)'!H$2:H$67)</f>
        <v>176534.21081476944</v>
      </c>
      <c r="I24" s="9">
        <f>_xlfn.COVARIANCE.P('Data_Matrix (2018)'!$R$2:$R$67,'Data_Matrix (2018)'!I$2:I$67)</f>
        <v>100519.89550870845</v>
      </c>
      <c r="J24" s="9">
        <f>_xlfn.COVARIANCE.P('Data_Matrix (2018)'!$R$2:$R$67,'Data_Matrix (2018)'!J$2:J$67)</f>
        <v>46851.309155526251</v>
      </c>
      <c r="K24" s="9">
        <f>_xlfn.COVARIANCE.P('Data_Matrix (2018)'!$R$2:$R$67,'Data_Matrix (2018)'!K$2:K$67)</f>
        <v>79315.621652131013</v>
      </c>
      <c r="L24" s="9">
        <f>_xlfn.COVARIANCE.P('Data_Matrix (2018)'!$R$2:$R$67,'Data_Matrix (2018)'!L$2:L$67)</f>
        <v>82033.354811475176</v>
      </c>
      <c r="M24" s="9">
        <f>_xlfn.COVARIANCE.P('Data_Matrix (2018)'!$R$2:$R$67,'Data_Matrix (2018)'!M$2:M$67)</f>
        <v>63028.476672979945</v>
      </c>
      <c r="N24" s="9">
        <f>_xlfn.COVARIANCE.P('Data_Matrix (2018)'!$R$2:$R$67,'Data_Matrix (2018)'!N$2:N$67)</f>
        <v>62908.244009546463</v>
      </c>
      <c r="O24" s="9">
        <f>_xlfn.COVARIANCE.P('Data_Matrix (2018)'!$R$2:$R$67,'Data_Matrix (2018)'!O$2:O$67)</f>
        <v>37109.28865868428</v>
      </c>
      <c r="P24" s="9">
        <f>_xlfn.COVARIANCE.P('Data_Matrix (2018)'!$R$2:$R$67,'Data_Matrix (2018)'!P$2:P$67)</f>
        <v>4288.2662760484927</v>
      </c>
      <c r="Q24" s="9">
        <f>_xlfn.COVARIANCE.P('Data_Matrix (2018)'!$R$2:$R$67,'Data_Matrix (2018)'!Q$2:Q$67)</f>
        <v>40708.005933416527</v>
      </c>
      <c r="R24" s="9">
        <f>_xlfn.COVARIANCE.P('Data_Matrix (2018)'!$R$2:$R$67,'Data_Matrix (2018)'!R$2:R$67)</f>
        <v>57880.910057581037</v>
      </c>
      <c r="S24" s="9">
        <f>_xlfn.COVARIANCE.P('Data_Matrix (2018)'!$R$2:$R$67,'Data_Matrix (2018)'!S$2:S$67)</f>
        <v>23702.785318833456</v>
      </c>
      <c r="T24" s="9">
        <f>_xlfn.COVARIANCE.P('Data_Matrix (2018)'!$R$2:$R$67,'Data_Matrix (2018)'!T$2:T$67)</f>
        <v>14513.032319012855</v>
      </c>
      <c r="U24" s="9">
        <f>_xlfn.COVARIANCE.P('Data_Matrix (2018)'!$R$2:$R$67,'Data_Matrix (2018)'!U$2:U$67)</f>
        <v>11413.427966847976</v>
      </c>
      <c r="V24" s="9">
        <f>_xlfn.COVARIANCE.P('Data_Matrix (2018)'!$R$2:$R$67,'Data_Matrix (2018)'!V$2:V$67)</f>
        <v>5386.4139140261905</v>
      </c>
      <c r="W24" s="9">
        <f>_xlfn.COVARIANCE.P('Data_Matrix (2018)'!$R$2:$R$67,'Data_Matrix (2018)'!W$2:W$67)</f>
        <v>4905.8702633923867</v>
      </c>
      <c r="X24" s="9">
        <f>_xlfn.COVARIANCE.P('Data_Matrix (2018)'!$R$2:$R$67,'Data_Matrix (2018)'!X$2:X$67)</f>
        <v>4941.122464666737</v>
      </c>
      <c r="Y24" s="9">
        <f>_xlfn.COVARIANCE.P('Data_Matrix (2018)'!$R$2:$R$67,'Data_Matrix (2018)'!Y$2:Y$67)</f>
        <v>6181.6559628540363</v>
      </c>
      <c r="Z24" s="9">
        <f>_xlfn.COVARIANCE.P('Data_Matrix (2018)'!$R$2:$R$67,'Data_Matrix (2018)'!Z$2:Z$67)</f>
        <v>4911.2443452711923</v>
      </c>
      <c r="AA24" s="9">
        <f>_xlfn.COVARIANCE.P('Data_Matrix (2018)'!$R$2:$R$67,'Data_Matrix (2018)'!AA$2:AA$67)</f>
        <v>3151.9364154719678</v>
      </c>
      <c r="AB24" s="9"/>
      <c r="AC24" s="9"/>
      <c r="AD24" s="9"/>
      <c r="AE24" s="9"/>
      <c r="AF24" s="9"/>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row>
    <row r="25" spans="2:67" x14ac:dyDescent="0.2">
      <c r="B25" s="9">
        <f>_xlfn.COVARIANCE.P('Data_Matrix (2018)'!$S$2:$S$67,'Data_Matrix (2018)'!B$2:B$67)</f>
        <v>291181.22292077832</v>
      </c>
      <c r="C25" s="9">
        <f>_xlfn.COVARIANCE.P('Data_Matrix (2018)'!$S$2:$S$67,'Data_Matrix (2018)'!C$2:C$67)</f>
        <v>381081.99390522484</v>
      </c>
      <c r="D25" s="9">
        <f>_xlfn.COVARIANCE.P('Data_Matrix (2018)'!$S$2:$S$67,'Data_Matrix (2018)'!D$2:D$67)</f>
        <v>260255.38647650424</v>
      </c>
      <c r="E25" s="9">
        <f>_xlfn.COVARIANCE.P('Data_Matrix (2018)'!$S$2:$S$67,'Data_Matrix (2018)'!E$2:E$67)</f>
        <v>169059.92469205227</v>
      </c>
      <c r="F25" s="9">
        <f>_xlfn.COVARIANCE.P('Data_Matrix (2018)'!$S$2:$S$67,'Data_Matrix (2018)'!F$2:F$67)</f>
        <v>106476.08784718224</v>
      </c>
      <c r="G25" s="9">
        <f>_xlfn.COVARIANCE.P('Data_Matrix (2018)'!$S$2:$S$67,'Data_Matrix (2018)'!G$2:G$67)</f>
        <v>190299.70238579161</v>
      </c>
      <c r="H25" s="9">
        <f>_xlfn.COVARIANCE.P('Data_Matrix (2018)'!$S$2:$S$67,'Data_Matrix (2018)'!H$2:H$67)</f>
        <v>106711.47387899073</v>
      </c>
      <c r="I25" s="9">
        <f>_xlfn.COVARIANCE.P('Data_Matrix (2018)'!$S$2:$S$67,'Data_Matrix (2018)'!I$2:I$67)</f>
        <v>75038.26059120179</v>
      </c>
      <c r="J25" s="9">
        <f>_xlfn.COVARIANCE.P('Data_Matrix (2018)'!$S$2:$S$67,'Data_Matrix (2018)'!J$2:J$67)</f>
        <v>35576.132416275272</v>
      </c>
      <c r="K25" s="9">
        <f>_xlfn.COVARIANCE.P('Data_Matrix (2018)'!$S$2:$S$67,'Data_Matrix (2018)'!K$2:K$67)</f>
        <v>42559.380986484357</v>
      </c>
      <c r="L25" s="9">
        <f>_xlfn.COVARIANCE.P('Data_Matrix (2018)'!$S$2:$S$67,'Data_Matrix (2018)'!L$2:L$67)</f>
        <v>41436.843941629166</v>
      </c>
      <c r="M25" s="9">
        <f>_xlfn.COVARIANCE.P('Data_Matrix (2018)'!$S$2:$S$67,'Data_Matrix (2018)'!M$2:M$67)</f>
        <v>43825.800605684184</v>
      </c>
      <c r="N25" s="9">
        <f>_xlfn.COVARIANCE.P('Data_Matrix (2018)'!$S$2:$S$67,'Data_Matrix (2018)'!N$2:N$67)</f>
        <v>34913.987319735534</v>
      </c>
      <c r="O25" s="9">
        <f>_xlfn.COVARIANCE.P('Data_Matrix (2018)'!$S$2:$S$67,'Data_Matrix (2018)'!O$2:O$67)</f>
        <v>18085.420102810429</v>
      </c>
      <c r="P25" s="9">
        <f>_xlfn.COVARIANCE.P('Data_Matrix (2018)'!$S$2:$S$67,'Data_Matrix (2018)'!P$2:P$67)</f>
        <v>2379.1703084094411</v>
      </c>
      <c r="Q25" s="9">
        <f>_xlfn.COVARIANCE.P('Data_Matrix (2018)'!$S$2:$S$67,'Data_Matrix (2018)'!Q$2:Q$67)</f>
        <v>20693.923340266982</v>
      </c>
      <c r="R25" s="9">
        <f>_xlfn.COVARIANCE.P('Data_Matrix (2018)'!$S$2:$S$67,'Data_Matrix (2018)'!R$2:R$67)</f>
        <v>23702.785318833456</v>
      </c>
      <c r="S25" s="9">
        <f>_xlfn.COVARIANCE.P('Data_Matrix (2018)'!$S$2:$S$67,'Data_Matrix (2018)'!S$2:S$67)</f>
        <v>17275.038784362208</v>
      </c>
      <c r="T25" s="9">
        <f>_xlfn.COVARIANCE.P('Data_Matrix (2018)'!$S$2:$S$67,'Data_Matrix (2018)'!T$2:T$67)</f>
        <v>7726.4233878957575</v>
      </c>
      <c r="U25" s="9">
        <f>_xlfn.COVARIANCE.P('Data_Matrix (2018)'!$S$2:$S$67,'Data_Matrix (2018)'!U$2:U$67)</f>
        <v>5416.2168572467708</v>
      </c>
      <c r="V25" s="9">
        <f>_xlfn.COVARIANCE.P('Data_Matrix (2018)'!$S$2:$S$67,'Data_Matrix (2018)'!V$2:V$67)</f>
        <v>1871.8123335551229</v>
      </c>
      <c r="W25" s="9">
        <f>_xlfn.COVARIANCE.P('Data_Matrix (2018)'!$S$2:$S$67,'Data_Matrix (2018)'!W$2:W$67)</f>
        <v>2510.4352815189995</v>
      </c>
      <c r="X25" s="9">
        <f>_xlfn.COVARIANCE.P('Data_Matrix (2018)'!$S$2:$S$67,'Data_Matrix (2018)'!X$2:X$67)</f>
        <v>3741.7724209179496</v>
      </c>
      <c r="Y25" s="9">
        <f>_xlfn.COVARIANCE.P('Data_Matrix (2018)'!$S$2:$S$67,'Data_Matrix (2018)'!Y$2:Y$67)</f>
        <v>3522.6916573971712</v>
      </c>
      <c r="Z25" s="9">
        <f>_xlfn.COVARIANCE.P('Data_Matrix (2018)'!$S$2:$S$67,'Data_Matrix (2018)'!Z$2:Z$67)</f>
        <v>2658.3347313163017</v>
      </c>
      <c r="AA25" s="9">
        <f>_xlfn.COVARIANCE.P('Data_Matrix (2018)'!$S$2:$S$67,'Data_Matrix (2018)'!AA$2:AA$67)</f>
        <v>2122.3907476318905</v>
      </c>
      <c r="AB25" s="9"/>
      <c r="AC25" s="9"/>
      <c r="AD25" s="9"/>
      <c r="AE25" s="9"/>
      <c r="AF25" s="9"/>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row>
    <row r="26" spans="2:67" x14ac:dyDescent="0.2">
      <c r="B26" s="9">
        <f>_xlfn.COVARIANCE.P('Data_Matrix (2018)'!$T$2:$T$67,'Data_Matrix (2018)'!B$2:B$67)</f>
        <v>257515.87735182763</v>
      </c>
      <c r="C26" s="9">
        <f>_xlfn.COVARIANCE.P('Data_Matrix (2018)'!$T$2:$T$67,'Data_Matrix (2018)'!C$2:C$67)</f>
        <v>290113.39909977431</v>
      </c>
      <c r="D26" s="9">
        <f>_xlfn.COVARIANCE.P('Data_Matrix (2018)'!$T$2:$T$67,'Data_Matrix (2018)'!D$2:D$67)</f>
        <v>197787.48727426142</v>
      </c>
      <c r="E26" s="9">
        <f>_xlfn.COVARIANCE.P('Data_Matrix (2018)'!$T$2:$T$67,'Data_Matrix (2018)'!E$2:E$67)</f>
        <v>154363.60353031699</v>
      </c>
      <c r="F26" s="9">
        <f>_xlfn.COVARIANCE.P('Data_Matrix (2018)'!$T$2:$T$67,'Data_Matrix (2018)'!F$2:F$67)</f>
        <v>82071.448496403958</v>
      </c>
      <c r="G26" s="9">
        <f>_xlfn.COVARIANCE.P('Data_Matrix (2018)'!$T$2:$T$67,'Data_Matrix (2018)'!G$2:G$67)</f>
        <v>148445.95885255793</v>
      </c>
      <c r="H26" s="9">
        <f>_xlfn.COVARIANCE.P('Data_Matrix (2018)'!$T$2:$T$67,'Data_Matrix (2018)'!H$2:H$67)</f>
        <v>63140.490820312341</v>
      </c>
      <c r="I26" s="9">
        <f>_xlfn.COVARIANCE.P('Data_Matrix (2018)'!$T$2:$T$67,'Data_Matrix (2018)'!I$2:I$67)</f>
        <v>55564.884671480511</v>
      </c>
      <c r="J26" s="9">
        <f>_xlfn.COVARIANCE.P('Data_Matrix (2018)'!$T$2:$T$67,'Data_Matrix (2018)'!J$2:J$67)</f>
        <v>26327.628804047115</v>
      </c>
      <c r="K26" s="9">
        <f>_xlfn.COVARIANCE.P('Data_Matrix (2018)'!$T$2:$T$67,'Data_Matrix (2018)'!K$2:K$67)</f>
        <v>34755.47648919186</v>
      </c>
      <c r="L26" s="9">
        <f>_xlfn.COVARIANCE.P('Data_Matrix (2018)'!$T$2:$T$67,'Data_Matrix (2018)'!L$2:L$67)</f>
        <v>29113.823376977562</v>
      </c>
      <c r="M26" s="9">
        <f>_xlfn.COVARIANCE.P('Data_Matrix (2018)'!$T$2:$T$67,'Data_Matrix (2018)'!M$2:M$67)</f>
        <v>21191.702953026241</v>
      </c>
      <c r="N26" s="9">
        <f>_xlfn.COVARIANCE.P('Data_Matrix (2018)'!$T$2:$T$67,'Data_Matrix (2018)'!N$2:N$67)</f>
        <v>29671.036038726419</v>
      </c>
      <c r="O26" s="9">
        <f>_xlfn.COVARIANCE.P('Data_Matrix (2018)'!$T$2:$T$67,'Data_Matrix (2018)'!O$2:O$67)</f>
        <v>13697.99988469088</v>
      </c>
      <c r="P26" s="9">
        <f>_xlfn.COVARIANCE.P('Data_Matrix (2018)'!$T$2:$T$67,'Data_Matrix (2018)'!P$2:P$67)</f>
        <v>3298.069652809193</v>
      </c>
      <c r="Q26" s="9">
        <f>_xlfn.COVARIANCE.P('Data_Matrix (2018)'!$T$2:$T$67,'Data_Matrix (2018)'!Q$2:Q$67)</f>
        <v>11904.157094059728</v>
      </c>
      <c r="R26" s="9">
        <f>_xlfn.COVARIANCE.P('Data_Matrix (2018)'!$T$2:$T$67,'Data_Matrix (2018)'!R$2:R$67)</f>
        <v>14513.032319012855</v>
      </c>
      <c r="S26" s="9">
        <f>_xlfn.COVARIANCE.P('Data_Matrix (2018)'!$T$2:$T$67,'Data_Matrix (2018)'!S$2:S$67)</f>
        <v>7726.4233878957575</v>
      </c>
      <c r="T26" s="9">
        <f>_xlfn.COVARIANCE.P('Data_Matrix (2018)'!$T$2:$T$67,'Data_Matrix (2018)'!T$2:T$67)</f>
        <v>6530.6148205702766</v>
      </c>
      <c r="U26" s="9">
        <f>_xlfn.COVARIANCE.P('Data_Matrix (2018)'!$T$2:$T$67,'Data_Matrix (2018)'!U$2:U$67)</f>
        <v>3514.4101297040147</v>
      </c>
      <c r="V26" s="9">
        <f>_xlfn.COVARIANCE.P('Data_Matrix (2018)'!$T$2:$T$67,'Data_Matrix (2018)'!V$2:V$67)</f>
        <v>1964.8545624402334</v>
      </c>
      <c r="W26" s="9">
        <f>_xlfn.COVARIANCE.P('Data_Matrix (2018)'!$T$2:$T$67,'Data_Matrix (2018)'!W$2:W$67)</f>
        <v>2089.7396770685759</v>
      </c>
      <c r="X26" s="9">
        <f>_xlfn.COVARIANCE.P('Data_Matrix (2018)'!$T$2:$T$67,'Data_Matrix (2018)'!X$2:X$67)</f>
        <v>3379.0948610484029</v>
      </c>
      <c r="Y26" s="9">
        <f>_xlfn.COVARIANCE.P('Data_Matrix (2018)'!$T$2:$T$67,'Data_Matrix (2018)'!Y$2:Y$67)</f>
        <v>2576.525984045677</v>
      </c>
      <c r="Z26" s="9">
        <f>_xlfn.COVARIANCE.P('Data_Matrix (2018)'!$T$2:$T$67,'Data_Matrix (2018)'!Z$2:Z$67)</f>
        <v>1741.8303717490282</v>
      </c>
      <c r="AA26" s="9">
        <f>_xlfn.COVARIANCE.P('Data_Matrix (2018)'!$T$2:$T$67,'Data_Matrix (2018)'!AA$2:AA$67)</f>
        <v>1277.3548197100718</v>
      </c>
      <c r="AB26" s="9"/>
      <c r="AC26" s="9"/>
      <c r="AD26" s="9"/>
      <c r="AE26" s="9"/>
      <c r="AF26" s="9"/>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row>
    <row r="27" spans="2:67" x14ac:dyDescent="0.2">
      <c r="B27" s="9">
        <f>_xlfn.COVARIANCE.P('Data_Matrix (2018)'!$U$2:$U$67,'Data_Matrix (2018)'!B$2:B$67)</f>
        <v>139844.29606177859</v>
      </c>
      <c r="C27" s="9">
        <f>_xlfn.COVARIANCE.P('Data_Matrix (2018)'!$U$2:$U$67,'Data_Matrix (2018)'!C$2:C$67)</f>
        <v>182566.23580089351</v>
      </c>
      <c r="D27" s="9">
        <f>_xlfn.COVARIANCE.P('Data_Matrix (2018)'!$U$2:$U$67,'Data_Matrix (2018)'!D$2:D$67)</f>
        <v>105128.21609710978</v>
      </c>
      <c r="E27" s="9">
        <f>_xlfn.COVARIANCE.P('Data_Matrix (2018)'!$U$2:$U$67,'Data_Matrix (2018)'!E$2:E$67)</f>
        <v>77235.052142147353</v>
      </c>
      <c r="F27" s="9">
        <f>_xlfn.COVARIANCE.P('Data_Matrix (2018)'!$U$2:$U$67,'Data_Matrix (2018)'!F$2:F$67)</f>
        <v>51864.62182774445</v>
      </c>
      <c r="G27" s="9">
        <f>_xlfn.COVARIANCE.P('Data_Matrix (2018)'!$U$2:$U$67,'Data_Matrix (2018)'!G$2:G$67)</f>
        <v>81536.671404843088</v>
      </c>
      <c r="H27" s="9">
        <f>_xlfn.COVARIANCE.P('Data_Matrix (2018)'!$U$2:$U$67,'Data_Matrix (2018)'!H$2:H$67)</f>
        <v>32174.095406420514</v>
      </c>
      <c r="I27" s="9">
        <f>_xlfn.COVARIANCE.P('Data_Matrix (2018)'!$U$2:$U$67,'Data_Matrix (2018)'!I$2:I$67)</f>
        <v>29643.010187563024</v>
      </c>
      <c r="J27" s="9">
        <f>_xlfn.COVARIANCE.P('Data_Matrix (2018)'!$U$2:$U$67,'Data_Matrix (2018)'!J$2:J$67)</f>
        <v>13662.303983374528</v>
      </c>
      <c r="K27" s="9">
        <f>_xlfn.COVARIANCE.P('Data_Matrix (2018)'!$U$2:$U$67,'Data_Matrix (2018)'!K$2:K$67)</f>
        <v>21549.722378158312</v>
      </c>
      <c r="L27" s="9">
        <f>_xlfn.COVARIANCE.P('Data_Matrix (2018)'!$U$2:$U$67,'Data_Matrix (2018)'!L$2:L$67)</f>
        <v>19896.303287859584</v>
      </c>
      <c r="M27" s="9">
        <f>_xlfn.COVARIANCE.P('Data_Matrix (2018)'!$U$2:$U$67,'Data_Matrix (2018)'!M$2:M$67)</f>
        <v>15346.617321764546</v>
      </c>
      <c r="N27" s="9">
        <f>_xlfn.COVARIANCE.P('Data_Matrix (2018)'!$U$2:$U$67,'Data_Matrix (2018)'!N$2:N$67)</f>
        <v>15529.789095339826</v>
      </c>
      <c r="O27" s="9">
        <f>_xlfn.COVARIANCE.P('Data_Matrix (2018)'!$U$2:$U$67,'Data_Matrix (2018)'!O$2:O$67)</f>
        <v>8757.6524823960153</v>
      </c>
      <c r="P27" s="9">
        <f>_xlfn.COVARIANCE.P('Data_Matrix (2018)'!$U$2:$U$67,'Data_Matrix (2018)'!P$2:P$67)</f>
        <v>2049.1281045717042</v>
      </c>
      <c r="Q27" s="9">
        <f>_xlfn.COVARIANCE.P('Data_Matrix (2018)'!$U$2:$U$67,'Data_Matrix (2018)'!Q$2:Q$67)</f>
        <v>9005.9982582120556</v>
      </c>
      <c r="R27" s="9">
        <f>_xlfn.COVARIANCE.P('Data_Matrix (2018)'!$U$2:$U$67,'Data_Matrix (2018)'!R$2:R$67)</f>
        <v>11413.427966847976</v>
      </c>
      <c r="S27" s="9">
        <f>_xlfn.COVARIANCE.P('Data_Matrix (2018)'!$U$2:$U$67,'Data_Matrix (2018)'!S$2:S$67)</f>
        <v>5416.2168572467708</v>
      </c>
      <c r="T27" s="9">
        <f>_xlfn.COVARIANCE.P('Data_Matrix (2018)'!$U$2:$U$67,'Data_Matrix (2018)'!T$2:T$67)</f>
        <v>3514.4101297040147</v>
      </c>
      <c r="U27" s="9">
        <f>_xlfn.COVARIANCE.P('Data_Matrix (2018)'!$U$2:$U$67,'Data_Matrix (2018)'!U$2:U$67)</f>
        <v>3243.8558752539639</v>
      </c>
      <c r="V27" s="9">
        <f>_xlfn.COVARIANCE.P('Data_Matrix (2018)'!$U$2:$U$67,'Data_Matrix (2018)'!V$2:V$67)</f>
        <v>2106.1458104629451</v>
      </c>
      <c r="W27" s="9">
        <f>_xlfn.COVARIANCE.P('Data_Matrix (2018)'!$U$2:$U$67,'Data_Matrix (2018)'!W$2:W$67)</f>
        <v>1198.7979061362448</v>
      </c>
      <c r="X27" s="9">
        <f>_xlfn.COVARIANCE.P('Data_Matrix (2018)'!$U$2:$U$67,'Data_Matrix (2018)'!X$2:X$67)</f>
        <v>1713.210998861867</v>
      </c>
      <c r="Y27" s="9">
        <f>_xlfn.COVARIANCE.P('Data_Matrix (2018)'!$U$2:$U$67,'Data_Matrix (2018)'!Y$2:Y$67)</f>
        <v>1657.4983117228487</v>
      </c>
      <c r="Z27" s="9">
        <f>_xlfn.COVARIANCE.P('Data_Matrix (2018)'!$U$2:$U$67,'Data_Matrix (2018)'!Z$2:Z$67)</f>
        <v>1223.8153419600887</v>
      </c>
      <c r="AA27" s="9">
        <f>_xlfn.COVARIANCE.P('Data_Matrix (2018)'!$U$2:$U$67,'Data_Matrix (2018)'!AA$2:AA$67)</f>
        <v>825.97355830260437</v>
      </c>
      <c r="AB27" s="9"/>
      <c r="AC27" s="9"/>
      <c r="AD27" s="9"/>
      <c r="AE27" s="9"/>
      <c r="AF27" s="9"/>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row>
    <row r="28" spans="2:67" x14ac:dyDescent="0.2">
      <c r="B28" s="9">
        <f>_xlfn.COVARIANCE.P('Data_Matrix (2018)'!$V$2:$V$67,'Data_Matrix (2018)'!B$2:B$67)</f>
        <v>53293.158766081928</v>
      </c>
      <c r="C28" s="9">
        <f>_xlfn.COVARIANCE.P('Data_Matrix (2018)'!$V$2:$V$67,'Data_Matrix (2018)'!C$2:C$67)</f>
        <v>123075.96601239698</v>
      </c>
      <c r="D28" s="9">
        <f>_xlfn.COVARIANCE.P('Data_Matrix (2018)'!$V$2:$V$67,'Data_Matrix (2018)'!D$2:D$67)</f>
        <v>48776.985466037077</v>
      </c>
      <c r="E28" s="9">
        <f>_xlfn.COVARIANCE.P('Data_Matrix (2018)'!$V$2:$V$67,'Data_Matrix (2018)'!E$2:E$67)</f>
        <v>90209.204538937018</v>
      </c>
      <c r="F28" s="9">
        <f>_xlfn.COVARIANCE.P('Data_Matrix (2018)'!$V$2:$V$67,'Data_Matrix (2018)'!F$2:F$67)</f>
        <v>47523.139295490742</v>
      </c>
      <c r="G28" s="9">
        <f>_xlfn.COVARIANCE.P('Data_Matrix (2018)'!$V$2:$V$67,'Data_Matrix (2018)'!G$2:G$67)</f>
        <v>52469.898461708493</v>
      </c>
      <c r="H28" s="9">
        <f>_xlfn.COVARIANCE.P('Data_Matrix (2018)'!$V$2:$V$67,'Data_Matrix (2018)'!H$2:H$67)</f>
        <v>5534.4997970276099</v>
      </c>
      <c r="I28" s="9">
        <f>_xlfn.COVARIANCE.P('Data_Matrix (2018)'!$V$2:$V$67,'Data_Matrix (2018)'!I$2:I$67)</f>
        <v>16553.392064502314</v>
      </c>
      <c r="J28" s="9">
        <f>_xlfn.COVARIANCE.P('Data_Matrix (2018)'!$V$2:$V$67,'Data_Matrix (2018)'!J$2:J$67)</f>
        <v>14324.424716373353</v>
      </c>
      <c r="K28" s="9">
        <f>_xlfn.COVARIANCE.P('Data_Matrix (2018)'!$V$2:$V$67,'Data_Matrix (2018)'!K$2:K$67)</f>
        <v>18843.049657184369</v>
      </c>
      <c r="L28" s="9">
        <f>_xlfn.COVARIANCE.P('Data_Matrix (2018)'!$V$2:$V$67,'Data_Matrix (2018)'!L$2:L$67)</f>
        <v>13974.231094896053</v>
      </c>
      <c r="M28" s="9">
        <f>_xlfn.COVARIANCE.P('Data_Matrix (2018)'!$V$2:$V$67,'Data_Matrix (2018)'!M$2:M$67)</f>
        <v>7498.4521855474604</v>
      </c>
      <c r="N28" s="9">
        <f>_xlfn.COVARIANCE.P('Data_Matrix (2018)'!$V$2:$V$67,'Data_Matrix (2018)'!N$2:N$67)</f>
        <v>9821.5597689776332</v>
      </c>
      <c r="O28" s="9">
        <f>_xlfn.COVARIANCE.P('Data_Matrix (2018)'!$V$2:$V$67,'Data_Matrix (2018)'!O$2:O$67)</f>
        <v>6476.0452958516125</v>
      </c>
      <c r="P28" s="9">
        <f>_xlfn.COVARIANCE.P('Data_Matrix (2018)'!$V$2:$V$67,'Data_Matrix (2018)'!P$2:P$67)</f>
        <v>4858.0151129527803</v>
      </c>
      <c r="Q28" s="9">
        <f>_xlfn.COVARIANCE.P('Data_Matrix (2018)'!$V$2:$V$67,'Data_Matrix (2018)'!Q$2:Q$67)</f>
        <v>4185.6830082959059</v>
      </c>
      <c r="R28" s="9">
        <f>_xlfn.COVARIANCE.P('Data_Matrix (2018)'!$V$2:$V$67,'Data_Matrix (2018)'!R$2:R$67)</f>
        <v>5386.4139140261905</v>
      </c>
      <c r="S28" s="9">
        <f>_xlfn.COVARIANCE.P('Data_Matrix (2018)'!$V$2:$V$67,'Data_Matrix (2018)'!S$2:S$67)</f>
        <v>1871.8123335551229</v>
      </c>
      <c r="T28" s="9">
        <f>_xlfn.COVARIANCE.P('Data_Matrix (2018)'!$V$2:$V$67,'Data_Matrix (2018)'!T$2:T$67)</f>
        <v>1964.8545624402334</v>
      </c>
      <c r="U28" s="9">
        <f>_xlfn.COVARIANCE.P('Data_Matrix (2018)'!$V$2:$V$67,'Data_Matrix (2018)'!U$2:U$67)</f>
        <v>2106.1458104629451</v>
      </c>
      <c r="V28" s="9">
        <f>_xlfn.COVARIANCE.P('Data_Matrix (2018)'!$V$2:$V$67,'Data_Matrix (2018)'!V$2:V$67)</f>
        <v>4882.1600084134934</v>
      </c>
      <c r="W28" s="9">
        <f>_xlfn.COVARIANCE.P('Data_Matrix (2018)'!$V$2:$V$67,'Data_Matrix (2018)'!W$2:W$67)</f>
        <v>999.40485116167554</v>
      </c>
      <c r="X28" s="9">
        <f>_xlfn.COVARIANCE.P('Data_Matrix (2018)'!$V$2:$V$67,'Data_Matrix (2018)'!X$2:X$67)</f>
        <v>1314.7834510032569</v>
      </c>
      <c r="Y28" s="9">
        <f>_xlfn.COVARIANCE.P('Data_Matrix (2018)'!$V$2:$V$67,'Data_Matrix (2018)'!Y$2:Y$67)</f>
        <v>1405.1235736895633</v>
      </c>
      <c r="Z28" s="9">
        <f>_xlfn.COVARIANCE.P('Data_Matrix (2018)'!$V$2:$V$67,'Data_Matrix (2018)'!Z$2:Z$67)</f>
        <v>700.37638093844737</v>
      </c>
      <c r="AA28" s="9">
        <f>_xlfn.COVARIANCE.P('Data_Matrix (2018)'!$V$2:$V$67,'Data_Matrix (2018)'!AA$2:AA$67)</f>
        <v>360.5804559361045</v>
      </c>
      <c r="AB28" s="9"/>
      <c r="AC28" s="9"/>
      <c r="AD28" s="9"/>
      <c r="AE28" s="9"/>
      <c r="AF28" s="9"/>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row>
    <row r="29" spans="2:67" x14ac:dyDescent="0.2">
      <c r="B29" s="9">
        <f>_xlfn.COVARIANCE.P('Data_Matrix (2018)'!$W$2:$W$67,'Data_Matrix (2018)'!B$2:B$67)</f>
        <v>76385.856146471051</v>
      </c>
      <c r="C29" s="9">
        <f>_xlfn.COVARIANCE.P('Data_Matrix (2018)'!$W$2:$W$67,'Data_Matrix (2018)'!C$2:C$67)</f>
        <v>99528.389441475825</v>
      </c>
      <c r="D29" s="9">
        <f>_xlfn.COVARIANCE.P('Data_Matrix (2018)'!$W$2:$W$67,'Data_Matrix (2018)'!D$2:D$67)</f>
        <v>61488.3419478125</v>
      </c>
      <c r="E29" s="9">
        <f>_xlfn.COVARIANCE.P('Data_Matrix (2018)'!$W$2:$W$67,'Data_Matrix (2018)'!E$2:E$67)</f>
        <v>58176.524913786496</v>
      </c>
      <c r="F29" s="9">
        <f>_xlfn.COVARIANCE.P('Data_Matrix (2018)'!$W$2:$W$67,'Data_Matrix (2018)'!F$2:F$67)</f>
        <v>31667.261588454607</v>
      </c>
      <c r="G29" s="9">
        <f>_xlfn.COVARIANCE.P('Data_Matrix (2018)'!$W$2:$W$67,'Data_Matrix (2018)'!G$2:G$67)</f>
        <v>49940.249633977197</v>
      </c>
      <c r="H29" s="9">
        <f>_xlfn.COVARIANCE.P('Data_Matrix (2018)'!$W$2:$W$67,'Data_Matrix (2018)'!H$2:H$67)</f>
        <v>17805.308356832924</v>
      </c>
      <c r="I29" s="9">
        <f>_xlfn.COVARIANCE.P('Data_Matrix (2018)'!$W$2:$W$67,'Data_Matrix (2018)'!I$2:I$67)</f>
        <v>16284.186354662723</v>
      </c>
      <c r="J29" s="9">
        <f>_xlfn.COVARIANCE.P('Data_Matrix (2018)'!$W$2:$W$67,'Data_Matrix (2018)'!J$2:J$67)</f>
        <v>9539.3263228289998</v>
      </c>
      <c r="K29" s="9">
        <f>_xlfn.COVARIANCE.P('Data_Matrix (2018)'!$W$2:$W$67,'Data_Matrix (2018)'!K$2:K$67)</f>
        <v>13157.962825646922</v>
      </c>
      <c r="L29" s="9">
        <f>_xlfn.COVARIANCE.P('Data_Matrix (2018)'!$W$2:$W$67,'Data_Matrix (2018)'!L$2:L$67)</f>
        <v>10932.131261266801</v>
      </c>
      <c r="M29" s="9">
        <f>_xlfn.COVARIANCE.P('Data_Matrix (2018)'!$W$2:$W$67,'Data_Matrix (2018)'!M$2:M$67)</f>
        <v>7370.3217573355842</v>
      </c>
      <c r="N29" s="9">
        <f>_xlfn.COVARIANCE.P('Data_Matrix (2018)'!$W$2:$W$67,'Data_Matrix (2018)'!N$2:N$67)</f>
        <v>10591.496871949035</v>
      </c>
      <c r="O29" s="9">
        <f>_xlfn.COVARIANCE.P('Data_Matrix (2018)'!$W$2:$W$67,'Data_Matrix (2018)'!O$2:O$67)</f>
        <v>5032.9399005904161</v>
      </c>
      <c r="P29" s="9">
        <f>_xlfn.COVARIANCE.P('Data_Matrix (2018)'!$W$2:$W$67,'Data_Matrix (2018)'!P$2:P$67)</f>
        <v>1500.3925167209386</v>
      </c>
      <c r="Q29" s="9">
        <f>_xlfn.COVARIANCE.P('Data_Matrix (2018)'!$W$2:$W$67,'Data_Matrix (2018)'!Q$2:Q$67)</f>
        <v>3690.0764815664588</v>
      </c>
      <c r="R29" s="9">
        <f>_xlfn.COVARIANCE.P('Data_Matrix (2018)'!$W$2:$W$67,'Data_Matrix (2018)'!R$2:R$67)</f>
        <v>4905.8702633923867</v>
      </c>
      <c r="S29" s="9">
        <f>_xlfn.COVARIANCE.P('Data_Matrix (2018)'!$W$2:$W$67,'Data_Matrix (2018)'!S$2:S$67)</f>
        <v>2510.4352815189995</v>
      </c>
      <c r="T29" s="9">
        <f>_xlfn.COVARIANCE.P('Data_Matrix (2018)'!$W$2:$W$67,'Data_Matrix (2018)'!T$2:T$67)</f>
        <v>2089.7396770685759</v>
      </c>
      <c r="U29" s="9">
        <f>_xlfn.COVARIANCE.P('Data_Matrix (2018)'!$W$2:$W$67,'Data_Matrix (2018)'!U$2:U$67)</f>
        <v>1198.7979061362448</v>
      </c>
      <c r="V29" s="9">
        <f>_xlfn.COVARIANCE.P('Data_Matrix (2018)'!$W$2:$W$67,'Data_Matrix (2018)'!V$2:V$67)</f>
        <v>999.40485116167554</v>
      </c>
      <c r="W29" s="9">
        <f>_xlfn.COVARIANCE.P('Data_Matrix (2018)'!$W$2:$W$67,'Data_Matrix (2018)'!W$2:W$67)</f>
        <v>1491.8526262392131</v>
      </c>
      <c r="X29" s="9">
        <f>_xlfn.COVARIANCE.P('Data_Matrix (2018)'!$W$2:$W$67,'Data_Matrix (2018)'!X$2:X$67)</f>
        <v>1175.3160067364086</v>
      </c>
      <c r="Y29" s="9">
        <f>_xlfn.COVARIANCE.P('Data_Matrix (2018)'!$W$2:$W$67,'Data_Matrix (2018)'!Y$2:Y$67)</f>
        <v>774.93410515212292</v>
      </c>
      <c r="Z29" s="9">
        <f>_xlfn.COVARIANCE.P('Data_Matrix (2018)'!$W$2:$W$67,'Data_Matrix (2018)'!Z$2:Z$67)</f>
        <v>489.83213415808751</v>
      </c>
      <c r="AA29" s="9">
        <f>_xlfn.COVARIANCE.P('Data_Matrix (2018)'!$W$2:$W$67,'Data_Matrix (2018)'!AA$2:AA$67)</f>
        <v>563.05704524714736</v>
      </c>
      <c r="AB29" s="9"/>
      <c r="AC29" s="9"/>
      <c r="AD29" s="9"/>
      <c r="AE29" s="9"/>
      <c r="AF29" s="9"/>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row>
    <row r="30" spans="2:67" x14ac:dyDescent="0.2">
      <c r="B30" s="9">
        <f>_xlfn.COVARIANCE.P('Data_Matrix (2018)'!$X$2:$X$67,'Data_Matrix (2018)'!B$2:B$67)</f>
        <v>127917.90028743807</v>
      </c>
      <c r="C30" s="9">
        <f>_xlfn.COVARIANCE.P('Data_Matrix (2018)'!$X$2:$X$67,'Data_Matrix (2018)'!C$2:C$67)</f>
        <v>160781.15600598315</v>
      </c>
      <c r="D30" s="9">
        <f>_xlfn.COVARIANCE.P('Data_Matrix (2018)'!$X$2:$X$67,'Data_Matrix (2018)'!D$2:D$67)</f>
        <v>98258.357855014227</v>
      </c>
      <c r="E30" s="9">
        <f>_xlfn.COVARIANCE.P('Data_Matrix (2018)'!$X$2:$X$67,'Data_Matrix (2018)'!E$2:E$67)</f>
        <v>110349.54476923823</v>
      </c>
      <c r="F30" s="9">
        <f>_xlfn.COVARIANCE.P('Data_Matrix (2018)'!$X$2:$X$67,'Data_Matrix (2018)'!F$2:F$67)</f>
        <v>55292.36314726455</v>
      </c>
      <c r="G30" s="9">
        <f>_xlfn.COVARIANCE.P('Data_Matrix (2018)'!$X$2:$X$67,'Data_Matrix (2018)'!G$2:G$67)</f>
        <v>85284.330051850178</v>
      </c>
      <c r="H30" s="9">
        <f>_xlfn.COVARIANCE.P('Data_Matrix (2018)'!$X$2:$X$67,'Data_Matrix (2018)'!H$2:H$67)</f>
        <v>25149.18671843937</v>
      </c>
      <c r="I30" s="9">
        <f>_xlfn.COVARIANCE.P('Data_Matrix (2018)'!$X$2:$X$67,'Data_Matrix (2018)'!I$2:I$67)</f>
        <v>32867.721829091126</v>
      </c>
      <c r="J30" s="9">
        <f>_xlfn.COVARIANCE.P('Data_Matrix (2018)'!$X$2:$X$67,'Data_Matrix (2018)'!J$2:J$67)</f>
        <v>15611.413270895091</v>
      </c>
      <c r="K30" s="9">
        <f>_xlfn.COVARIANCE.P('Data_Matrix (2018)'!$X$2:$X$67,'Data_Matrix (2018)'!K$2:K$67)</f>
        <v>20021.533530993456</v>
      </c>
      <c r="L30" s="9">
        <f>_xlfn.COVARIANCE.P('Data_Matrix (2018)'!$X$2:$X$67,'Data_Matrix (2018)'!L$2:L$67)</f>
        <v>14963.229252576455</v>
      </c>
      <c r="M30" s="9">
        <f>_xlfn.COVARIANCE.P('Data_Matrix (2018)'!$X$2:$X$67,'Data_Matrix (2018)'!M$2:M$67)</f>
        <v>11625.646701963422</v>
      </c>
      <c r="N30" s="9">
        <f>_xlfn.COVARIANCE.P('Data_Matrix (2018)'!$X$2:$X$67,'Data_Matrix (2018)'!N$2:N$67)</f>
        <v>17430.298365952247</v>
      </c>
      <c r="O30" s="9">
        <f>_xlfn.COVARIANCE.P('Data_Matrix (2018)'!$X$2:$X$67,'Data_Matrix (2018)'!O$2:O$67)</f>
        <v>7187.879789469669</v>
      </c>
      <c r="P30" s="9">
        <f>_xlfn.COVARIANCE.P('Data_Matrix (2018)'!$X$2:$X$67,'Data_Matrix (2018)'!P$2:P$67)</f>
        <v>2232.3602183589828</v>
      </c>
      <c r="Q30" s="9">
        <f>_xlfn.COVARIANCE.P('Data_Matrix (2018)'!$X$2:$X$67,'Data_Matrix (2018)'!Q$2:Q$67)</f>
        <v>4799.6195425698761</v>
      </c>
      <c r="R30" s="9">
        <f>_xlfn.COVARIANCE.P('Data_Matrix (2018)'!$X$2:$X$67,'Data_Matrix (2018)'!R$2:R$67)</f>
        <v>4941.122464666737</v>
      </c>
      <c r="S30" s="9">
        <f>_xlfn.COVARIANCE.P('Data_Matrix (2018)'!$X$2:$X$67,'Data_Matrix (2018)'!S$2:S$67)</f>
        <v>3741.7724209179496</v>
      </c>
      <c r="T30" s="9">
        <f>_xlfn.COVARIANCE.P('Data_Matrix (2018)'!$X$2:$X$67,'Data_Matrix (2018)'!T$2:T$67)</f>
        <v>3379.0948610484029</v>
      </c>
      <c r="U30" s="9">
        <f>_xlfn.COVARIANCE.P('Data_Matrix (2018)'!$X$2:$X$67,'Data_Matrix (2018)'!U$2:U$67)</f>
        <v>1713.210998861867</v>
      </c>
      <c r="V30" s="9">
        <f>_xlfn.COVARIANCE.P('Data_Matrix (2018)'!$X$2:$X$67,'Data_Matrix (2018)'!V$2:V$67)</f>
        <v>1314.7834510032569</v>
      </c>
      <c r="W30" s="9">
        <f>_xlfn.COVARIANCE.P('Data_Matrix (2018)'!$X$2:$X$67,'Data_Matrix (2018)'!W$2:W$67)</f>
        <v>1175.3160067364086</v>
      </c>
      <c r="X30" s="9">
        <f>_xlfn.COVARIANCE.P('Data_Matrix (2018)'!$X$2:$X$67,'Data_Matrix (2018)'!X$2:X$67)</f>
        <v>2469.9318372603507</v>
      </c>
      <c r="Y30" s="9">
        <f>_xlfn.COVARIANCE.P('Data_Matrix (2018)'!$X$2:$X$67,'Data_Matrix (2018)'!Y$2:Y$67)</f>
        <v>1459.3464299150696</v>
      </c>
      <c r="Z30" s="9">
        <f>_xlfn.COVARIANCE.P('Data_Matrix (2018)'!$X$2:$X$67,'Data_Matrix (2018)'!Z$2:Z$67)</f>
        <v>875.9285726919444</v>
      </c>
      <c r="AA30" s="9">
        <f>_xlfn.COVARIANCE.P('Data_Matrix (2018)'!$X$2:$X$67,'Data_Matrix (2018)'!AA$2:AA$67)</f>
        <v>764.6071066158413</v>
      </c>
      <c r="AB30" s="9"/>
      <c r="AC30" s="9"/>
      <c r="AD30" s="9"/>
      <c r="AE30" s="9"/>
      <c r="AF30" s="9"/>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row>
    <row r="31" spans="2:67" x14ac:dyDescent="0.2">
      <c r="B31" s="9">
        <f>_xlfn.COVARIANCE.P('Data_Matrix (2018)'!$Y$2:$Y$67,'Data_Matrix (2018)'!B$2:B$67)</f>
        <v>76705.226362812216</v>
      </c>
      <c r="C31" s="9">
        <f>_xlfn.COVARIANCE.P('Data_Matrix (2018)'!$Y$2:$Y$67,'Data_Matrix (2018)'!C$2:C$67)</f>
        <v>137423.06232197548</v>
      </c>
      <c r="D31" s="9">
        <f>_xlfn.COVARIANCE.P('Data_Matrix (2018)'!$Y$2:$Y$67,'Data_Matrix (2018)'!D$2:D$67)</f>
        <v>79744.99691483198</v>
      </c>
      <c r="E31" s="9">
        <f>_xlfn.COVARIANCE.P('Data_Matrix (2018)'!$Y$2:$Y$67,'Data_Matrix (2018)'!E$2:E$67)</f>
        <v>58348.864951103264</v>
      </c>
      <c r="F31" s="9">
        <f>_xlfn.COVARIANCE.P('Data_Matrix (2018)'!$Y$2:$Y$67,'Data_Matrix (2018)'!F$2:F$67)</f>
        <v>28591.999451491476</v>
      </c>
      <c r="G31" s="9">
        <f>_xlfn.COVARIANCE.P('Data_Matrix (2018)'!$Y$2:$Y$67,'Data_Matrix (2018)'!G$2:G$67)</f>
        <v>65252.894577983614</v>
      </c>
      <c r="H31" s="9">
        <f>_xlfn.COVARIANCE.P('Data_Matrix (2018)'!$Y$2:$Y$67,'Data_Matrix (2018)'!H$2:H$67)</f>
        <v>25564.824651338186</v>
      </c>
      <c r="I31" s="9">
        <f>_xlfn.COVARIANCE.P('Data_Matrix (2018)'!$Y$2:$Y$67,'Data_Matrix (2018)'!I$2:I$67)</f>
        <v>28359.238015325442</v>
      </c>
      <c r="J31" s="9">
        <f>_xlfn.COVARIANCE.P('Data_Matrix (2018)'!$Y$2:$Y$67,'Data_Matrix (2018)'!J$2:J$67)</f>
        <v>11754.734379891242</v>
      </c>
      <c r="K31" s="9">
        <f>_xlfn.COVARIANCE.P('Data_Matrix (2018)'!$Y$2:$Y$67,'Data_Matrix (2018)'!K$2:K$67)</f>
        <v>16184.477901494518</v>
      </c>
      <c r="L31" s="9">
        <f>_xlfn.COVARIANCE.P('Data_Matrix (2018)'!$Y$2:$Y$67,'Data_Matrix (2018)'!L$2:L$67)</f>
        <v>12070.639475617849</v>
      </c>
      <c r="M31" s="9">
        <f>_xlfn.COVARIANCE.P('Data_Matrix (2018)'!$Y$2:$Y$67,'Data_Matrix (2018)'!M$2:M$67)</f>
        <v>11240.112379523423</v>
      </c>
      <c r="N31" s="9">
        <f>_xlfn.COVARIANCE.P('Data_Matrix (2018)'!$Y$2:$Y$67,'Data_Matrix (2018)'!N$2:N$67)</f>
        <v>11836.169038697988</v>
      </c>
      <c r="O31" s="9">
        <f>_xlfn.COVARIANCE.P('Data_Matrix (2018)'!$Y$2:$Y$67,'Data_Matrix (2018)'!O$2:O$67)</f>
        <v>5918.5112356305144</v>
      </c>
      <c r="P31" s="9">
        <f>_xlfn.COVARIANCE.P('Data_Matrix (2018)'!$Y$2:$Y$67,'Data_Matrix (2018)'!P$2:P$67)</f>
        <v>1730.5992843119714</v>
      </c>
      <c r="Q31" s="9">
        <f>_xlfn.COVARIANCE.P('Data_Matrix (2018)'!$Y$2:$Y$67,'Data_Matrix (2018)'!Q$2:Q$67)</f>
        <v>5607.8677588634673</v>
      </c>
      <c r="R31" s="9">
        <f>_xlfn.COVARIANCE.P('Data_Matrix (2018)'!$Y$2:$Y$67,'Data_Matrix (2018)'!R$2:R$67)</f>
        <v>6181.6559628540363</v>
      </c>
      <c r="S31" s="9">
        <f>_xlfn.COVARIANCE.P('Data_Matrix (2018)'!$Y$2:$Y$67,'Data_Matrix (2018)'!S$2:S$67)</f>
        <v>3522.6916573971712</v>
      </c>
      <c r="T31" s="9">
        <f>_xlfn.COVARIANCE.P('Data_Matrix (2018)'!$Y$2:$Y$67,'Data_Matrix (2018)'!T$2:T$67)</f>
        <v>2576.525984045677</v>
      </c>
      <c r="U31" s="9">
        <f>_xlfn.COVARIANCE.P('Data_Matrix (2018)'!$Y$2:$Y$67,'Data_Matrix (2018)'!U$2:U$67)</f>
        <v>1657.4983117228487</v>
      </c>
      <c r="V31" s="9">
        <f>_xlfn.COVARIANCE.P('Data_Matrix (2018)'!$Y$2:$Y$67,'Data_Matrix (2018)'!V$2:V$67)</f>
        <v>1405.1235736895633</v>
      </c>
      <c r="W31" s="9">
        <f>_xlfn.COVARIANCE.P('Data_Matrix (2018)'!$Y$2:$Y$67,'Data_Matrix (2018)'!W$2:W$67)</f>
        <v>774.93410515212292</v>
      </c>
      <c r="X31" s="9">
        <f>_xlfn.COVARIANCE.P('Data_Matrix (2018)'!$Y$2:$Y$67,'Data_Matrix (2018)'!X$2:X$67)</f>
        <v>1459.3464299150696</v>
      </c>
      <c r="Y31" s="9">
        <f>_xlfn.COVARIANCE.P('Data_Matrix (2018)'!$Y$2:$Y$67,'Data_Matrix (2018)'!Y$2:Y$67)</f>
        <v>2096.6403300346688</v>
      </c>
      <c r="Z31" s="9">
        <f>_xlfn.COVARIANCE.P('Data_Matrix (2018)'!$Y$2:$Y$67,'Data_Matrix (2018)'!Z$2:Z$67)</f>
        <v>868.15770462633407</v>
      </c>
      <c r="AA31" s="9">
        <f>_xlfn.COVARIANCE.P('Data_Matrix (2018)'!$Y$2:$Y$67,'Data_Matrix (2018)'!AA$2:AA$67)</f>
        <v>629.30422746336365</v>
      </c>
      <c r="AB31" s="9"/>
      <c r="AC31" s="9"/>
      <c r="AD31" s="9"/>
      <c r="AE31" s="9"/>
      <c r="AF31" s="9"/>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row>
    <row r="32" spans="2:67" x14ac:dyDescent="0.2">
      <c r="B32" s="9">
        <f>_xlfn.COVARIANCE.P('Data_Matrix (2018)'!$Z$2:$Z$67,'Data_Matrix (2018)'!B$2:B$67)</f>
        <v>77533.713202789702</v>
      </c>
      <c r="C32" s="9">
        <f>_xlfn.COVARIANCE.P('Data_Matrix (2018)'!$Z$2:$Z$67,'Data_Matrix (2018)'!C$2:C$67)</f>
        <v>79836.552322550488</v>
      </c>
      <c r="D32" s="9">
        <f>_xlfn.COVARIANCE.P('Data_Matrix (2018)'!$Z$2:$Z$67,'Data_Matrix (2018)'!D$2:D$67)</f>
        <v>48469.993291353567</v>
      </c>
      <c r="E32" s="9">
        <f>_xlfn.COVARIANCE.P('Data_Matrix (2018)'!$Z$2:$Z$67,'Data_Matrix (2018)'!E$2:E$67)</f>
        <v>39952.233639712278</v>
      </c>
      <c r="F32" s="9">
        <f>_xlfn.COVARIANCE.P('Data_Matrix (2018)'!$Z$2:$Z$67,'Data_Matrix (2018)'!F$2:F$67)</f>
        <v>23741.209161637911</v>
      </c>
      <c r="G32" s="9">
        <f>_xlfn.COVARIANCE.P('Data_Matrix (2018)'!$Z$2:$Z$67,'Data_Matrix (2018)'!G$2:G$67)</f>
        <v>36639.282281201609</v>
      </c>
      <c r="H32" s="9">
        <f>_xlfn.COVARIANCE.P('Data_Matrix (2018)'!$Z$2:$Z$67,'Data_Matrix (2018)'!H$2:H$67)</f>
        <v>18868.500003467558</v>
      </c>
      <c r="I32" s="9">
        <f>_xlfn.COVARIANCE.P('Data_Matrix (2018)'!$Z$2:$Z$67,'Data_Matrix (2018)'!I$2:I$67)</f>
        <v>13457.573660419899</v>
      </c>
      <c r="J32" s="9">
        <f>_xlfn.COVARIANCE.P('Data_Matrix (2018)'!$Z$2:$Z$67,'Data_Matrix (2018)'!J$2:J$67)</f>
        <v>4639.5413757405522</v>
      </c>
      <c r="K32" s="9">
        <f>_xlfn.COVARIANCE.P('Data_Matrix (2018)'!$Z$2:$Z$67,'Data_Matrix (2018)'!K$2:K$67)</f>
        <v>8903.6351032239527</v>
      </c>
      <c r="L32" s="9">
        <f>_xlfn.COVARIANCE.P('Data_Matrix (2018)'!$Z$2:$Z$67,'Data_Matrix (2018)'!L$2:L$67)</f>
        <v>9014.6822923503332</v>
      </c>
      <c r="M32" s="9">
        <f>_xlfn.COVARIANCE.P('Data_Matrix (2018)'!$Z$2:$Z$67,'Data_Matrix (2018)'!M$2:M$67)</f>
        <v>6919.2416278165665</v>
      </c>
      <c r="N32" s="9">
        <f>_xlfn.COVARIANCE.P('Data_Matrix (2018)'!$Z$2:$Z$67,'Data_Matrix (2018)'!N$2:N$67)</f>
        <v>6524.9403948115096</v>
      </c>
      <c r="O32" s="9">
        <f>_xlfn.COVARIANCE.P('Data_Matrix (2018)'!$Z$2:$Z$67,'Data_Matrix (2018)'!O$2:O$67)</f>
        <v>3986.504084151682</v>
      </c>
      <c r="P32" s="9">
        <f>_xlfn.COVARIANCE.P('Data_Matrix (2018)'!$Z$2:$Z$67,'Data_Matrix (2018)'!P$2:P$67)</f>
        <v>634.21010449476864</v>
      </c>
      <c r="Q32" s="9">
        <f>_xlfn.COVARIANCE.P('Data_Matrix (2018)'!$Z$2:$Z$67,'Data_Matrix (2018)'!Q$2:Q$67)</f>
        <v>4164.7606857689207</v>
      </c>
      <c r="R32" s="9">
        <f>_xlfn.COVARIANCE.P('Data_Matrix (2018)'!$Z$2:$Z$67,'Data_Matrix (2018)'!R$2:R$67)</f>
        <v>4911.2443452711923</v>
      </c>
      <c r="S32" s="9">
        <f>_xlfn.COVARIANCE.P('Data_Matrix (2018)'!$Z$2:$Z$67,'Data_Matrix (2018)'!S$2:S$67)</f>
        <v>2658.3347313163017</v>
      </c>
      <c r="T32" s="9">
        <f>_xlfn.COVARIANCE.P('Data_Matrix (2018)'!$Z$2:$Z$67,'Data_Matrix (2018)'!T$2:T$67)</f>
        <v>1741.8303717490282</v>
      </c>
      <c r="U32" s="9">
        <f>_xlfn.COVARIANCE.P('Data_Matrix (2018)'!$Z$2:$Z$67,'Data_Matrix (2018)'!U$2:U$67)</f>
        <v>1223.8153419600887</v>
      </c>
      <c r="V32" s="9">
        <f>_xlfn.COVARIANCE.P('Data_Matrix (2018)'!$Z$2:$Z$67,'Data_Matrix (2018)'!V$2:V$67)</f>
        <v>700.37638093844737</v>
      </c>
      <c r="W32" s="9">
        <f>_xlfn.COVARIANCE.P('Data_Matrix (2018)'!$Z$2:$Z$67,'Data_Matrix (2018)'!W$2:W$67)</f>
        <v>489.83213415808751</v>
      </c>
      <c r="X32" s="9">
        <f>_xlfn.COVARIANCE.P('Data_Matrix (2018)'!$Z$2:$Z$67,'Data_Matrix (2018)'!X$2:X$67)</f>
        <v>875.9285726919444</v>
      </c>
      <c r="Y32" s="9">
        <f>_xlfn.COVARIANCE.P('Data_Matrix (2018)'!$Z$2:$Z$67,'Data_Matrix (2018)'!Y$2:Y$67)</f>
        <v>868.15770462633407</v>
      </c>
      <c r="Z32" s="9">
        <f>_xlfn.COVARIANCE.P('Data_Matrix (2018)'!$Z$2:$Z$67,'Data_Matrix (2018)'!Z$2:Z$67)</f>
        <v>745.48621500872196</v>
      </c>
      <c r="AA32" s="9">
        <f>_xlfn.COVARIANCE.P('Data_Matrix (2018)'!$Z$2:$Z$67,'Data_Matrix (2018)'!AA$2:AA$67)</f>
        <v>406.72237271105917</v>
      </c>
      <c r="AB32" s="9"/>
      <c r="AC32" s="9"/>
      <c r="AD32" s="9"/>
      <c r="AE32" s="9"/>
      <c r="AF32" s="9"/>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row>
    <row r="33" spans="2:67" x14ac:dyDescent="0.2">
      <c r="B33" s="9">
        <f>_xlfn.COVARIANCE.P('Data_Matrix (2018)'!$AA$2:$AA$67,'Data_Matrix (2018)'!B$2:B$67)</f>
        <v>31445.504607538769</v>
      </c>
      <c r="C33" s="9">
        <f>_xlfn.COVARIANCE.P('Data_Matrix (2018)'!$AA$2:$AA$67,'Data_Matrix (2018)'!C$2:C$67)</f>
        <v>65720.313380543375</v>
      </c>
      <c r="D33" s="9">
        <f>_xlfn.COVARIANCE.P('Data_Matrix (2018)'!$AA$2:$AA$67,'Data_Matrix (2018)'!D$2:D$67)</f>
        <v>40465.79689826502</v>
      </c>
      <c r="E33" s="9">
        <f>_xlfn.COVARIANCE.P('Data_Matrix (2018)'!$AA$2:$AA$67,'Data_Matrix (2018)'!E$2:E$67)</f>
        <v>27048.132266813376</v>
      </c>
      <c r="F33" s="9">
        <f>_xlfn.COVARIANCE.P('Data_Matrix (2018)'!$AA$2:$AA$67,'Data_Matrix (2018)'!F$2:F$67)</f>
        <v>14210.079415583179</v>
      </c>
      <c r="G33" s="9">
        <f>_xlfn.COVARIANCE.P('Data_Matrix (2018)'!$AA$2:$AA$67,'Data_Matrix (2018)'!G$2:G$67)</f>
        <v>32626.694036464658</v>
      </c>
      <c r="H33" s="9">
        <f>_xlfn.COVARIANCE.P('Data_Matrix (2018)'!$AA$2:$AA$67,'Data_Matrix (2018)'!H$2:H$67)</f>
        <v>8724.0239729751775</v>
      </c>
      <c r="I33" s="9">
        <f>_xlfn.COVARIANCE.P('Data_Matrix (2018)'!$AA$2:$AA$67,'Data_Matrix (2018)'!I$2:I$67)</f>
        <v>11541.191613615045</v>
      </c>
      <c r="J33" s="9">
        <f>_xlfn.COVARIANCE.P('Data_Matrix (2018)'!$AA$2:$AA$67,'Data_Matrix (2018)'!J$2:J$67)</f>
        <v>5478.0362587575737</v>
      </c>
      <c r="K33" s="9">
        <f>_xlfn.COVARIANCE.P('Data_Matrix (2018)'!$AA$2:$AA$67,'Data_Matrix (2018)'!K$2:K$67)</f>
        <v>5706.1000054318638</v>
      </c>
      <c r="L33" s="9">
        <f>_xlfn.COVARIANCE.P('Data_Matrix (2018)'!$AA$2:$AA$67,'Data_Matrix (2018)'!L$2:L$67)</f>
        <v>5883.8113431564798</v>
      </c>
      <c r="M33" s="9">
        <f>_xlfn.COVARIANCE.P('Data_Matrix (2018)'!$AA$2:$AA$67,'Data_Matrix (2018)'!M$2:M$67)</f>
        <v>6244.4821278410373</v>
      </c>
      <c r="N33" s="9">
        <f>_xlfn.COVARIANCE.P('Data_Matrix (2018)'!$AA$2:$AA$67,'Data_Matrix (2018)'!N$2:N$67)</f>
        <v>6675.2322826079426</v>
      </c>
      <c r="O33" s="9">
        <f>_xlfn.COVARIANCE.P('Data_Matrix (2018)'!$AA$2:$AA$67,'Data_Matrix (2018)'!O$2:O$67)</f>
        <v>2933.551767730256</v>
      </c>
      <c r="P33" s="9">
        <f>_xlfn.COVARIANCE.P('Data_Matrix (2018)'!$AA$2:$AA$67,'Data_Matrix (2018)'!P$2:P$67)</f>
        <v>332.46141430733769</v>
      </c>
      <c r="Q33" s="9">
        <f>_xlfn.COVARIANCE.P('Data_Matrix (2018)'!$AA$2:$AA$67,'Data_Matrix (2018)'!Q$2:Q$67)</f>
        <v>2315.5423780395404</v>
      </c>
      <c r="R33" s="9">
        <f>_xlfn.COVARIANCE.P('Data_Matrix (2018)'!$AA$2:$AA$67,'Data_Matrix (2018)'!R$2:R$67)</f>
        <v>3151.9364154719678</v>
      </c>
      <c r="S33" s="9">
        <f>_xlfn.COVARIANCE.P('Data_Matrix (2018)'!$AA$2:$AA$67,'Data_Matrix (2018)'!S$2:S$67)</f>
        <v>2122.3907476318905</v>
      </c>
      <c r="T33" s="9">
        <f>_xlfn.COVARIANCE.P('Data_Matrix (2018)'!$AA$2:$AA$67,'Data_Matrix (2018)'!T$2:T$67)</f>
        <v>1277.3548197100718</v>
      </c>
      <c r="U33" s="9">
        <f>_xlfn.COVARIANCE.P('Data_Matrix (2018)'!$AA$2:$AA$67,'Data_Matrix (2018)'!U$2:U$67)</f>
        <v>825.97355830260437</v>
      </c>
      <c r="V33" s="9">
        <f>_xlfn.COVARIANCE.P('Data_Matrix (2018)'!$AA$2:$AA$67,'Data_Matrix (2018)'!V$2:V$67)</f>
        <v>360.5804559361045</v>
      </c>
      <c r="W33" s="9">
        <f>_xlfn.COVARIANCE.P('Data_Matrix (2018)'!$AA$2:$AA$67,'Data_Matrix (2018)'!W$2:W$67)</f>
        <v>563.05704524714736</v>
      </c>
      <c r="X33" s="9">
        <f>_xlfn.COVARIANCE.P('Data_Matrix (2018)'!$AA$2:$AA$67,'Data_Matrix (2018)'!X$2:X$67)</f>
        <v>764.6071066158413</v>
      </c>
      <c r="Y33" s="9">
        <f>_xlfn.COVARIANCE.P('Data_Matrix (2018)'!$AA$2:$AA$67,'Data_Matrix (2018)'!Y$2:Y$67)</f>
        <v>629.30422746336365</v>
      </c>
      <c r="Z33" s="9">
        <f>_xlfn.COVARIANCE.P('Data_Matrix (2018)'!$AA$2:$AA$67,'Data_Matrix (2018)'!Z$2:Z$67)</f>
        <v>406.72237271105917</v>
      </c>
      <c r="AA33" s="9">
        <f>_xlfn.COVARIANCE.P('Data_Matrix (2018)'!$AA$2:$AA$67,'Data_Matrix (2018)'!AA$2:AA$67)</f>
        <v>1687.7565649593334</v>
      </c>
      <c r="AB33" s="9"/>
      <c r="AC33" s="9"/>
      <c r="AD33" s="9"/>
      <c r="AE33" s="9"/>
      <c r="AF33" s="9"/>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row>
    <row r="34" spans="2:67" x14ac:dyDescent="0.2">
      <c r="B34" s="9"/>
      <c r="C34" s="9"/>
      <c r="D34" s="9"/>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row>
    <row r="35" spans="2:67" hidden="1" x14ac:dyDescent="0.2">
      <c r="B35" s="9"/>
      <c r="C35" s="9"/>
      <c r="D35" s="9"/>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row>
    <row r="36" spans="2:67" hidden="1" x14ac:dyDescent="0.2">
      <c r="B36" s="9"/>
      <c r="C36" s="9"/>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row>
    <row r="37" spans="2:67" hidden="1" x14ac:dyDescent="0.2">
      <c r="B37" s="9"/>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row>
    <row r="38" spans="2:67" hidden="1" x14ac:dyDescent="0.2">
      <c r="B38" s="9"/>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row>
    <row r="39" spans="2:67" hidden="1" x14ac:dyDescent="0.2">
      <c r="B39" s="9"/>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9"/>
      <c r="AE39" s="9"/>
      <c r="AF39" s="9"/>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row>
    <row r="40" spans="2:67" hidden="1" x14ac:dyDescent="0.2">
      <c r="B40" s="9"/>
      <c r="C40" s="9"/>
      <c r="D40" s="9"/>
      <c r="E40" s="9"/>
      <c r="F40" s="9"/>
      <c r="G40" s="9"/>
      <c r="H40" s="9"/>
      <c r="I40" s="9"/>
      <c r="J40" s="9"/>
      <c r="K40" s="9"/>
      <c r="L40" s="9"/>
      <c r="M40" s="9"/>
      <c r="N40" s="9"/>
      <c r="O40" s="9"/>
      <c r="P40" s="9"/>
      <c r="Q40" s="9"/>
      <c r="R40" s="9"/>
      <c r="S40" s="9"/>
      <c r="T40" s="9"/>
      <c r="U40" s="9"/>
      <c r="V40" s="9"/>
      <c r="W40" s="9"/>
      <c r="X40" s="9"/>
      <c r="Y40" s="9"/>
      <c r="Z40" s="9"/>
      <c r="AA40" s="9"/>
      <c r="AB40" s="9"/>
      <c r="AC40" s="9"/>
      <c r="AD40" s="9"/>
      <c r="AE40" s="9"/>
      <c r="AF40" s="9"/>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row>
    <row r="41" spans="2:67" hidden="1" x14ac:dyDescent="0.2">
      <c r="B41" s="9"/>
      <c r="C41" s="9"/>
      <c r="D41" s="9"/>
      <c r="E41" s="9"/>
      <c r="F41" s="9"/>
      <c r="G41" s="9"/>
      <c r="H41" s="9"/>
      <c r="I41" s="9"/>
      <c r="J41" s="9"/>
      <c r="K41" s="9"/>
      <c r="L41" s="9"/>
      <c r="M41" s="9"/>
      <c r="N41" s="9"/>
      <c r="O41" s="9"/>
      <c r="P41" s="9"/>
      <c r="Q41" s="9"/>
      <c r="R41" s="9"/>
      <c r="S41" s="9"/>
      <c r="T41" s="9"/>
      <c r="U41" s="9"/>
      <c r="V41" s="9"/>
      <c r="W41" s="9"/>
      <c r="X41" s="9"/>
      <c r="Y41" s="9"/>
      <c r="Z41" s="9"/>
      <c r="AA41" s="9"/>
      <c r="AB41" s="9"/>
      <c r="AC41" s="9"/>
      <c r="AD41" s="9"/>
      <c r="AE41" s="9"/>
      <c r="AF41" s="9"/>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row>
    <row r="42" spans="2:67" hidden="1" x14ac:dyDescent="0.2">
      <c r="B42" s="9"/>
      <c r="C42" s="9"/>
      <c r="D42" s="9"/>
      <c r="E42" s="9"/>
      <c r="F42" s="9"/>
      <c r="G42" s="9"/>
      <c r="H42" s="9"/>
      <c r="I42" s="9"/>
      <c r="J42" s="9"/>
      <c r="K42" s="9"/>
      <c r="L42" s="9"/>
      <c r="M42" s="9"/>
      <c r="N42" s="9"/>
      <c r="O42" s="9"/>
      <c r="P42" s="9"/>
      <c r="Q42" s="9"/>
      <c r="R42" s="9"/>
      <c r="S42" s="9"/>
      <c r="T42" s="9"/>
      <c r="U42" s="9"/>
      <c r="V42" s="9"/>
      <c r="W42" s="9"/>
      <c r="X42" s="9"/>
      <c r="Y42" s="9"/>
      <c r="Z42" s="9"/>
      <c r="AA42" s="9"/>
      <c r="AB42" s="9"/>
      <c r="AC42" s="9"/>
      <c r="AD42" s="9"/>
      <c r="AE42" s="9"/>
      <c r="AF42" s="9"/>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row>
    <row r="43" spans="2:67" hidden="1" x14ac:dyDescent="0.2">
      <c r="B43" s="9"/>
      <c r="C43" s="9"/>
      <c r="D43" s="9"/>
      <c r="E43" s="9"/>
      <c r="F43" s="9"/>
      <c r="G43" s="9"/>
      <c r="H43" s="9"/>
      <c r="I43" s="9"/>
      <c r="J43" s="9"/>
      <c r="K43" s="9"/>
      <c r="L43" s="9"/>
      <c r="M43" s="9"/>
      <c r="N43" s="9"/>
      <c r="O43" s="9"/>
      <c r="P43" s="9"/>
      <c r="Q43" s="9"/>
      <c r="R43" s="9"/>
      <c r="S43" s="9"/>
      <c r="T43" s="9"/>
      <c r="U43" s="9"/>
      <c r="V43" s="9"/>
      <c r="W43" s="9"/>
      <c r="X43" s="9"/>
      <c r="Y43" s="9"/>
      <c r="Z43" s="9"/>
      <c r="AA43" s="9"/>
      <c r="AB43" s="9"/>
      <c r="AC43" s="9"/>
      <c r="AD43" s="9"/>
      <c r="AE43" s="9"/>
      <c r="AF43" s="9"/>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row>
    <row r="44" spans="2:67" hidden="1" x14ac:dyDescent="0.2">
      <c r="B44" s="9"/>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row>
    <row r="45" spans="2:67" hidden="1" x14ac:dyDescent="0.2">
      <c r="B45" s="9"/>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row>
    <row r="46" spans="2:67" hidden="1" x14ac:dyDescent="0.2">
      <c r="B46" s="9"/>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row>
    <row r="47" spans="2:67" hidden="1" x14ac:dyDescent="0.2">
      <c r="B47" s="9"/>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row>
    <row r="48" spans="2:67" hidden="1" x14ac:dyDescent="0.2">
      <c r="B48" s="9"/>
      <c r="C48" s="9"/>
      <c r="D48" s="9"/>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row>
    <row r="49" spans="2:67" hidden="1" x14ac:dyDescent="0.2">
      <c r="B49" s="9"/>
      <c r="C49" s="9"/>
      <c r="D49" s="9"/>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row>
    <row r="50" spans="2:67" hidden="1" x14ac:dyDescent="0.2">
      <c r="B50" s="9"/>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row>
    <row r="51" spans="2:67" hidden="1" x14ac:dyDescent="0.2">
      <c r="B51" s="9"/>
      <c r="C51" s="9"/>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row>
    <row r="52" spans="2:67" hidden="1" x14ac:dyDescent="0.2">
      <c r="B52" s="9"/>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row>
    <row r="53" spans="2:67" hidden="1" x14ac:dyDescent="0.2">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row>
    <row r="54" spans="2:67" hidden="1" x14ac:dyDescent="0.2">
      <c r="B54" s="9"/>
      <c r="C54" s="9"/>
      <c r="D54" s="9"/>
      <c r="E54" s="9"/>
      <c r="F54" s="9"/>
      <c r="G54" s="9"/>
      <c r="H54" s="9"/>
      <c r="I54" s="9"/>
      <c r="J54" s="9"/>
      <c r="K54" s="9"/>
      <c r="L54" s="9"/>
      <c r="M54" s="9"/>
      <c r="N54" s="9"/>
      <c r="O54" s="9"/>
      <c r="P54" s="9"/>
      <c r="Q54" s="9"/>
      <c r="R54" s="9"/>
      <c r="S54" s="9"/>
      <c r="T54" s="9"/>
      <c r="U54" s="9"/>
      <c r="V54" s="9"/>
      <c r="W54" s="9"/>
      <c r="X54" s="9"/>
      <c r="Y54" s="9"/>
      <c r="Z54" s="9"/>
      <c r="AA54" s="9"/>
      <c r="AB54" s="9"/>
      <c r="AC54" s="9"/>
      <c r="AD54" s="9"/>
      <c r="AE54" s="9"/>
      <c r="AF54" s="9"/>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row>
    <row r="55" spans="2:67" hidden="1" x14ac:dyDescent="0.2">
      <c r="B55" s="9"/>
      <c r="C55" s="9"/>
      <c r="D55" s="9"/>
      <c r="E55" s="9"/>
      <c r="F55" s="9"/>
      <c r="G55" s="9"/>
      <c r="H55" s="9"/>
      <c r="I55" s="9"/>
      <c r="J55" s="9"/>
      <c r="K55" s="9"/>
      <c r="L55" s="9"/>
      <c r="M55" s="9"/>
      <c r="N55" s="9"/>
      <c r="O55" s="9"/>
      <c r="P55" s="9"/>
      <c r="Q55" s="9"/>
      <c r="R55" s="9"/>
      <c r="S55" s="9"/>
      <c r="T55" s="9"/>
      <c r="U55" s="9"/>
      <c r="V55" s="9"/>
      <c r="W55" s="9"/>
      <c r="X55" s="9"/>
      <c r="Y55" s="9"/>
      <c r="Z55" s="9"/>
      <c r="AA55" s="9"/>
      <c r="AB55" s="9"/>
      <c r="AC55" s="9"/>
      <c r="AD55" s="9"/>
      <c r="AE55" s="9"/>
      <c r="AF55" s="9"/>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row>
    <row r="56" spans="2:67" hidden="1" x14ac:dyDescent="0.2">
      <c r="B56" s="9"/>
      <c r="C56" s="9"/>
      <c r="D56" s="9"/>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row>
    <row r="57" spans="2:67" hidden="1" x14ac:dyDescent="0.2">
      <c r="B57" s="9"/>
      <c r="C57" s="9"/>
      <c r="D57" s="9"/>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row>
    <row r="58" spans="2:67" hidden="1" x14ac:dyDescent="0.2">
      <c r="B58" s="9"/>
      <c r="C58" s="9"/>
      <c r="D58" s="9"/>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row>
    <row r="59" spans="2:67" hidden="1" x14ac:dyDescent="0.2">
      <c r="B59" s="9"/>
      <c r="C59" s="9"/>
      <c r="D59" s="9"/>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row>
    <row r="60" spans="2:67" hidden="1" x14ac:dyDescent="0.2">
      <c r="B60" s="9"/>
      <c r="C60" s="9"/>
      <c r="D60" s="9"/>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row>
    <row r="61" spans="2:67" hidden="1" x14ac:dyDescent="0.2">
      <c r="B61" s="9"/>
      <c r="C61" s="9"/>
      <c r="D61" s="9"/>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row>
    <row r="62" spans="2:67" hidden="1" x14ac:dyDescent="0.2">
      <c r="B62" s="9"/>
      <c r="C62" s="9"/>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row>
    <row r="63" spans="2:67" hidden="1" x14ac:dyDescent="0.2">
      <c r="B63" s="9"/>
      <c r="C63" s="9"/>
      <c r="D63" s="9"/>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row>
    <row r="64" spans="2:67" hidden="1" x14ac:dyDescent="0.2">
      <c r="B64" s="9"/>
      <c r="C64" s="9"/>
      <c r="D64" s="9"/>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row>
    <row r="65" spans="1:67" hidden="1" x14ac:dyDescent="0.2">
      <c r="B65" s="9"/>
      <c r="C65" s="9"/>
      <c r="D65" s="9"/>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row>
    <row r="66" spans="1:67" hidden="1" x14ac:dyDescent="0.2">
      <c r="B66" s="9"/>
      <c r="C66" s="9"/>
      <c r="D66" s="9"/>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row>
    <row r="67" spans="1:67" hidden="1" x14ac:dyDescent="0.2">
      <c r="B67" s="9"/>
      <c r="C67" s="9"/>
      <c r="D67" s="9"/>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row>
    <row r="68" spans="1:67" hidden="1" x14ac:dyDescent="0.2">
      <c r="B68" s="9"/>
      <c r="C68" s="9"/>
      <c r="D68" s="9"/>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row>
    <row r="69" spans="1:67" hidden="1" x14ac:dyDescent="0.2">
      <c r="B69" s="9"/>
      <c r="C69" s="9"/>
      <c r="D69" s="9"/>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row>
    <row r="70" spans="1:67" hidden="1" x14ac:dyDescent="0.2">
      <c r="B70" s="9"/>
      <c r="C70" s="9"/>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row>
    <row r="71" spans="1:67" hidden="1" x14ac:dyDescent="0.2">
      <c r="B71" s="9"/>
      <c r="C71" s="9"/>
      <c r="D71" s="9"/>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row>
    <row r="72" spans="1:67" hidden="1" x14ac:dyDescent="0.2">
      <c r="B72" s="9"/>
      <c r="C72" s="9"/>
      <c r="D72" s="9"/>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row>
    <row r="73" spans="1:67" hidden="1" x14ac:dyDescent="0.2">
      <c r="B73" s="9"/>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row>
    <row r="75" spans="1:67" x14ac:dyDescent="0.2">
      <c r="A75" s="114" t="s">
        <v>336</v>
      </c>
      <c r="B75" s="9">
        <f t="array" ref="B75:AA100">MINVERSE(B8:AA33)</f>
        <v>2.4804646025857197E-7</v>
      </c>
      <c r="C75" s="9">
        <v>1.6069128399282014E-9</v>
      </c>
      <c r="D75" s="9">
        <v>-1.8815017080308973E-7</v>
      </c>
      <c r="E75" s="9">
        <v>-7.487609686022884E-8</v>
      </c>
      <c r="F75" s="9">
        <v>-1.0291147649570968E-9</v>
      </c>
      <c r="G75" s="9">
        <v>-8.0109806829205767E-8</v>
      </c>
      <c r="H75" s="9">
        <v>-6.1642065617651291E-8</v>
      </c>
      <c r="I75" s="9">
        <v>7.4700232202155274E-8</v>
      </c>
      <c r="J75" s="9">
        <v>3.1392833249638681E-7</v>
      </c>
      <c r="K75" s="9">
        <v>-1.5030839099267902E-6</v>
      </c>
      <c r="L75" s="9">
        <v>-2.9807964769666715E-7</v>
      </c>
      <c r="M75" s="9">
        <v>3.0724528213177401E-7</v>
      </c>
      <c r="N75" s="9">
        <v>6.8961465840626967E-7</v>
      </c>
      <c r="O75" s="9">
        <v>1.9800854504004393E-6</v>
      </c>
      <c r="P75" s="9">
        <v>-4.0308936823698963E-7</v>
      </c>
      <c r="Q75" s="9">
        <v>-2.6545653044159138E-6</v>
      </c>
      <c r="R75" s="9">
        <v>2.9720604482198729E-7</v>
      </c>
      <c r="S75" s="9">
        <v>2.8183892859507009E-6</v>
      </c>
      <c r="T75" s="9">
        <v>-3.5310806972035573E-7</v>
      </c>
      <c r="U75" s="9">
        <v>1.8467652944599585E-6</v>
      </c>
      <c r="V75" s="9">
        <v>3.0109138124951132E-6</v>
      </c>
      <c r="W75" s="9">
        <v>1.0816149762245949E-6</v>
      </c>
      <c r="X75" s="9">
        <v>-1.2774000193217353E-6</v>
      </c>
      <c r="Y75" s="9">
        <v>9.1529234786201712E-6</v>
      </c>
      <c r="Z75" s="9">
        <v>-1.6822042040458072E-5</v>
      </c>
      <c r="AA75" s="9">
        <v>-6.1058013133806086E-7</v>
      </c>
      <c r="AB75" s="9"/>
      <c r="AC75" s="9"/>
      <c r="AD75" s="9"/>
      <c r="AE75" s="9"/>
      <c r="AF75" s="9"/>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row>
    <row r="76" spans="1:67" x14ac:dyDescent="0.2">
      <c r="A76" s="114"/>
      <c r="B76" s="9">
        <v>1.6069128399273916E-9</v>
      </c>
      <c r="C76" s="9">
        <v>2.2281306506367379E-6</v>
      </c>
      <c r="D76" s="9">
        <v>7.8210103376037728E-7</v>
      </c>
      <c r="E76" s="9">
        <v>-8.7334342815574676E-7</v>
      </c>
      <c r="F76" s="9">
        <v>1.2955034585856017E-6</v>
      </c>
      <c r="G76" s="9">
        <v>-1.8673925578070406E-6</v>
      </c>
      <c r="H76" s="9">
        <v>4.1013941980325998E-7</v>
      </c>
      <c r="I76" s="9">
        <v>-8.8322117491212226E-7</v>
      </c>
      <c r="J76" s="9">
        <v>1.1297691993844474E-6</v>
      </c>
      <c r="K76" s="9">
        <v>-2.4361041506922189E-6</v>
      </c>
      <c r="L76" s="9">
        <v>-2.4570365841384065E-6</v>
      </c>
      <c r="M76" s="9">
        <v>6.80489938830465E-7</v>
      </c>
      <c r="N76" s="9">
        <v>-4.9766605015943926E-6</v>
      </c>
      <c r="O76" s="9">
        <v>8.0277078319250991E-7</v>
      </c>
      <c r="P76" s="9">
        <v>2.8098966656693306E-6</v>
      </c>
      <c r="Q76" s="9">
        <v>-2.1518884599586332E-6</v>
      </c>
      <c r="R76" s="9">
        <v>-3.0324352787511046E-6</v>
      </c>
      <c r="S76" s="9">
        <v>-2.916254721050583E-6</v>
      </c>
      <c r="T76" s="9">
        <v>-1.0981005946484267E-5</v>
      </c>
      <c r="U76" s="9">
        <v>-2.7071171553892967E-5</v>
      </c>
      <c r="V76" s="9">
        <v>2.4189702592395141E-6</v>
      </c>
      <c r="W76" s="9">
        <v>3.7978576324358329E-6</v>
      </c>
      <c r="X76" s="9">
        <v>1.4723477114561824E-5</v>
      </c>
      <c r="Y76" s="9">
        <v>-2.0011870652685156E-5</v>
      </c>
      <c r="Z76" s="9">
        <v>1.1509311367189127E-5</v>
      </c>
      <c r="AA76" s="9">
        <v>-4.0085814657997279E-6</v>
      </c>
      <c r="AB76" s="9"/>
      <c r="AC76" s="9"/>
      <c r="AD76" s="9"/>
      <c r="AE76" s="9"/>
      <c r="AF76" s="9"/>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row>
    <row r="77" spans="1:67" x14ac:dyDescent="0.2">
      <c r="B77" s="9">
        <v>-1.8815017080309108E-7</v>
      </c>
      <c r="C77" s="9">
        <v>7.821010337603704E-7</v>
      </c>
      <c r="D77" s="9">
        <v>3.9109485490311979E-6</v>
      </c>
      <c r="E77" s="9">
        <v>4.0396196381653087E-7</v>
      </c>
      <c r="F77" s="9">
        <v>-7.6472415920598945E-7</v>
      </c>
      <c r="G77" s="9">
        <v>-2.8796764676101721E-6</v>
      </c>
      <c r="H77" s="9">
        <v>-4.1230153967100264E-7</v>
      </c>
      <c r="I77" s="9">
        <v>-5.1330234933795921E-6</v>
      </c>
      <c r="J77" s="9">
        <v>-8.5688957657495918E-7</v>
      </c>
      <c r="K77" s="9">
        <v>-1.1379796692005122E-6</v>
      </c>
      <c r="L77" s="9">
        <v>2.9461458469239858E-7</v>
      </c>
      <c r="M77" s="9">
        <v>1.2049141448259731E-6</v>
      </c>
      <c r="N77" s="9">
        <v>-4.3223023964611162E-6</v>
      </c>
      <c r="O77" s="9">
        <v>6.8948949502235781E-6</v>
      </c>
      <c r="P77" s="9">
        <v>1.8913759747996354E-6</v>
      </c>
      <c r="Q77" s="9">
        <v>5.0581655714153874E-6</v>
      </c>
      <c r="R77" s="9">
        <v>-7.5161588527215852E-6</v>
      </c>
      <c r="S77" s="9">
        <v>-1.8260775942982621E-6</v>
      </c>
      <c r="T77" s="9">
        <v>-4.6009294490423156E-5</v>
      </c>
      <c r="U77" s="9">
        <v>6.8895827894522023E-6</v>
      </c>
      <c r="V77" s="9">
        <v>-1.7037566655098903E-6</v>
      </c>
      <c r="W77" s="9">
        <v>-2.1538501796337552E-6</v>
      </c>
      <c r="X77" s="9">
        <v>6.1109224939612361E-5</v>
      </c>
      <c r="Y77" s="9">
        <v>1.3128575383071309E-5</v>
      </c>
      <c r="Z77" s="9">
        <v>-2.3988685749359669E-5</v>
      </c>
      <c r="AA77" s="9">
        <v>-6.8449239313592156E-6</v>
      </c>
      <c r="AB77" s="9"/>
      <c r="AC77" s="9"/>
      <c r="AD77" s="9"/>
      <c r="AE77" s="9"/>
      <c r="AF77" s="9"/>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row>
    <row r="78" spans="1:67" x14ac:dyDescent="0.2">
      <c r="B78" s="9">
        <v>-7.4876096860229263E-8</v>
      </c>
      <c r="C78" s="9">
        <v>-8.733434281557439E-7</v>
      </c>
      <c r="D78" s="9">
        <v>4.0396196381653161E-7</v>
      </c>
      <c r="E78" s="9">
        <v>5.1506167758357952E-6</v>
      </c>
      <c r="F78" s="9">
        <v>-4.3078199716271112E-6</v>
      </c>
      <c r="G78" s="9">
        <v>-3.7262071275178473E-6</v>
      </c>
      <c r="H78" s="9">
        <v>8.3665480044762686E-7</v>
      </c>
      <c r="I78" s="9">
        <v>-7.1520136789983098E-7</v>
      </c>
      <c r="J78" s="9">
        <v>1.0559142756532804E-6</v>
      </c>
      <c r="K78" s="9">
        <v>2.5808305959110318E-6</v>
      </c>
      <c r="L78" s="9">
        <v>1.3881420691126958E-6</v>
      </c>
      <c r="M78" s="9">
        <v>2.3197122465969462E-6</v>
      </c>
      <c r="N78" s="9">
        <v>4.2865907209609275E-6</v>
      </c>
      <c r="O78" s="9">
        <v>5.083947958653803E-6</v>
      </c>
      <c r="P78" s="9">
        <v>-2.190274120823472E-6</v>
      </c>
      <c r="Q78" s="9">
        <v>8.5689731283975705E-6</v>
      </c>
      <c r="R78" s="9">
        <v>-5.4229517743484924E-6</v>
      </c>
      <c r="S78" s="9">
        <v>-8.2595647698691736E-6</v>
      </c>
      <c r="T78" s="9">
        <v>-1.0830224565495336E-6</v>
      </c>
      <c r="U78" s="9">
        <v>8.7040520869687964E-5</v>
      </c>
      <c r="V78" s="9">
        <v>-4.1988003207696653E-5</v>
      </c>
      <c r="W78" s="9">
        <v>-1.0580097652573179E-5</v>
      </c>
      <c r="X78" s="9">
        <v>-8.0676385579595513E-5</v>
      </c>
      <c r="Y78" s="9">
        <v>4.3796113924482165E-5</v>
      </c>
      <c r="Z78" s="9">
        <v>-6.9976607517204873E-5</v>
      </c>
      <c r="AA78" s="9">
        <v>1.7670713795540597E-5</v>
      </c>
      <c r="AB78" s="9"/>
      <c r="AC78" s="9"/>
      <c r="AD78" s="9"/>
      <c r="AE78" s="9"/>
      <c r="AF78" s="9"/>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row>
    <row r="79" spans="1:67" x14ac:dyDescent="0.2">
      <c r="B79" s="9">
        <v>-1.0291147649557301E-9</v>
      </c>
      <c r="C79" s="9">
        <v>1.2955034585856091E-6</v>
      </c>
      <c r="D79" s="9">
        <v>-7.6472415920597854E-7</v>
      </c>
      <c r="E79" s="9">
        <v>-4.3078199716271222E-6</v>
      </c>
      <c r="F79" s="9">
        <v>8.0297049136302297E-6</v>
      </c>
      <c r="G79" s="9">
        <v>1.960392672891819E-6</v>
      </c>
      <c r="H79" s="9">
        <v>-1.1160865589005302E-6</v>
      </c>
      <c r="I79" s="9">
        <v>1.1966622865652841E-6</v>
      </c>
      <c r="J79" s="9">
        <v>-6.9354647564087427E-7</v>
      </c>
      <c r="K79" s="9">
        <v>-5.4883234128404306E-6</v>
      </c>
      <c r="L79" s="9">
        <v>-7.8566810606991961E-6</v>
      </c>
      <c r="M79" s="9">
        <v>-2.351934287254288E-6</v>
      </c>
      <c r="N79" s="9">
        <v>2.7258483898660407E-6</v>
      </c>
      <c r="O79" s="9">
        <v>-2.5125799185579125E-5</v>
      </c>
      <c r="P79" s="9">
        <v>1.6850386635091751E-6</v>
      </c>
      <c r="Q79" s="9">
        <v>-1.0724615556781114E-5</v>
      </c>
      <c r="R79" s="9">
        <v>1.5499826904283333E-5</v>
      </c>
      <c r="S79" s="9">
        <v>7.4662758179661747E-6</v>
      </c>
      <c r="T79" s="9">
        <v>3.2338511570653461E-5</v>
      </c>
      <c r="U79" s="9">
        <v>-8.9251299560308054E-5</v>
      </c>
      <c r="V79" s="9">
        <v>3.1149486211495174E-5</v>
      </c>
      <c r="W79" s="9">
        <v>1.5642570264216627E-5</v>
      </c>
      <c r="X79" s="9">
        <v>1.6154707386854963E-9</v>
      </c>
      <c r="Y79" s="9">
        <v>4.0408530656243099E-6</v>
      </c>
      <c r="Z79" s="9">
        <v>5.7353401627854703E-5</v>
      </c>
      <c r="AA79" s="9">
        <v>-1.3134357275492948E-5</v>
      </c>
      <c r="AB79" s="9"/>
      <c r="AC79" s="9"/>
      <c r="AD79" s="9"/>
      <c r="AE79" s="9"/>
      <c r="AF79" s="9"/>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row>
    <row r="80" spans="1:67" x14ac:dyDescent="0.2">
      <c r="B80" s="9">
        <v>-8.010980682920504E-8</v>
      </c>
      <c r="C80" s="9">
        <v>-1.8673925578070508E-6</v>
      </c>
      <c r="D80" s="9">
        <v>-2.8796764676102114E-6</v>
      </c>
      <c r="E80" s="9">
        <v>-3.7262071275178418E-6</v>
      </c>
      <c r="F80" s="9">
        <v>1.9603926728918181E-6</v>
      </c>
      <c r="G80" s="9">
        <v>2.0410623710192078E-5</v>
      </c>
      <c r="H80" s="9">
        <v>-8.2211122909608382E-7</v>
      </c>
      <c r="I80" s="9">
        <v>2.4174500927266754E-6</v>
      </c>
      <c r="J80" s="9">
        <v>-3.4730424876189097E-6</v>
      </c>
      <c r="K80" s="9">
        <v>2.3628133925887336E-6</v>
      </c>
      <c r="L80" s="9">
        <v>-5.3570712451335971E-6</v>
      </c>
      <c r="M80" s="9">
        <v>-8.5289440363485056E-6</v>
      </c>
      <c r="N80" s="9">
        <v>-3.7282807142310772E-5</v>
      </c>
      <c r="O80" s="9">
        <v>-1.5703618493347814E-5</v>
      </c>
      <c r="P80" s="9">
        <v>-1.3120542490387457E-6</v>
      </c>
      <c r="Q80" s="9">
        <v>1.0238871338211335E-5</v>
      </c>
      <c r="R80" s="9">
        <v>1.7666317788290613E-5</v>
      </c>
      <c r="S80" s="9">
        <v>-8.280662612715546E-6</v>
      </c>
      <c r="T80" s="9">
        <v>-3.663544196559737E-5</v>
      </c>
      <c r="U80" s="9">
        <v>-5.8953243195341472E-5</v>
      </c>
      <c r="V80" s="9">
        <v>3.4495505330415243E-5</v>
      </c>
      <c r="W80" s="9">
        <v>3.4704231815698302E-5</v>
      </c>
      <c r="X80" s="9">
        <v>6.4065907425342797E-5</v>
      </c>
      <c r="Y80" s="9">
        <v>-9.9587058548845995E-5</v>
      </c>
      <c r="Z80" s="9">
        <v>8.0570716273919567E-5</v>
      </c>
      <c r="AA80" s="9">
        <v>-2.1625180831795529E-6</v>
      </c>
      <c r="AB80" s="9"/>
      <c r="AC80" s="9"/>
      <c r="AD80" s="9"/>
      <c r="AE80" s="9"/>
      <c r="AF80" s="9"/>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row>
    <row r="81" spans="2:67" x14ac:dyDescent="0.2">
      <c r="B81" s="9">
        <v>-6.1642065617651807E-8</v>
      </c>
      <c r="C81" s="9">
        <v>4.1013941980325807E-7</v>
      </c>
      <c r="D81" s="9">
        <v>-4.1230153967100354E-7</v>
      </c>
      <c r="E81" s="9">
        <v>8.3665480044762738E-7</v>
      </c>
      <c r="F81" s="9">
        <v>-1.1160865589005281E-6</v>
      </c>
      <c r="G81" s="9">
        <v>-8.2211122909608404E-7</v>
      </c>
      <c r="H81" s="9">
        <v>3.4770931692098175E-6</v>
      </c>
      <c r="I81" s="9">
        <v>7.3374802848226552E-7</v>
      </c>
      <c r="J81" s="9">
        <v>1.6490496706643296E-6</v>
      </c>
      <c r="K81" s="9">
        <v>-1.2869485581532123E-8</v>
      </c>
      <c r="L81" s="9">
        <v>-1.2883129252831909E-6</v>
      </c>
      <c r="M81" s="9">
        <v>8.9852944262625945E-7</v>
      </c>
      <c r="N81" s="9">
        <v>-4.6955321063876696E-6</v>
      </c>
      <c r="O81" s="9">
        <v>5.2765557660886067E-6</v>
      </c>
      <c r="P81" s="9">
        <v>-5.4006535670129704E-7</v>
      </c>
      <c r="Q81" s="9">
        <v>-6.4777477331513242E-6</v>
      </c>
      <c r="R81" s="9">
        <v>1.1793709070552661E-6</v>
      </c>
      <c r="S81" s="9">
        <v>-1.4090541537828527E-5</v>
      </c>
      <c r="T81" s="9">
        <v>-1.8299705669549008E-5</v>
      </c>
      <c r="U81" s="9">
        <v>3.6613815816650471E-5</v>
      </c>
      <c r="V81" s="9">
        <v>-6.0947764391348098E-6</v>
      </c>
      <c r="W81" s="9">
        <v>1.9152943998771952E-6</v>
      </c>
      <c r="X81" s="9">
        <v>1.9755472417481778E-5</v>
      </c>
      <c r="Y81" s="9">
        <v>-1.3171328205563884E-5</v>
      </c>
      <c r="Z81" s="9">
        <v>-1.8296598180977227E-5</v>
      </c>
      <c r="AA81" s="9">
        <v>1.0686896809671832E-5</v>
      </c>
      <c r="AB81" s="9"/>
      <c r="AC81" s="9"/>
      <c r="AD81" s="9"/>
      <c r="AE81" s="9"/>
      <c r="AF81" s="9"/>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row>
    <row r="82" spans="2:67" x14ac:dyDescent="0.2">
      <c r="B82" s="9">
        <v>7.4700232202155433E-8</v>
      </c>
      <c r="C82" s="9">
        <v>-8.8322117491211167E-7</v>
      </c>
      <c r="D82" s="9">
        <v>-5.1330234933795819E-6</v>
      </c>
      <c r="E82" s="9">
        <v>-7.152013678998296E-7</v>
      </c>
      <c r="F82" s="9">
        <v>1.1966622865652995E-6</v>
      </c>
      <c r="G82" s="9">
        <v>2.4174500927266123E-6</v>
      </c>
      <c r="H82" s="9">
        <v>7.3374802848226097E-7</v>
      </c>
      <c r="I82" s="9">
        <v>1.2802936671016529E-5</v>
      </c>
      <c r="J82" s="9">
        <v>1.6801662018226853E-6</v>
      </c>
      <c r="K82" s="9">
        <v>3.1111712574143505E-6</v>
      </c>
      <c r="L82" s="9">
        <v>-4.2442078236389229E-6</v>
      </c>
      <c r="M82" s="9">
        <v>-2.6649258356664793E-6</v>
      </c>
      <c r="N82" s="9">
        <v>4.5482172452121594E-6</v>
      </c>
      <c r="O82" s="9">
        <v>-7.8351602919807947E-6</v>
      </c>
      <c r="P82" s="9">
        <v>-2.3587108611473476E-6</v>
      </c>
      <c r="Q82" s="9">
        <v>-6.6859812799731015E-6</v>
      </c>
      <c r="R82" s="9">
        <v>2.3464291150699613E-5</v>
      </c>
      <c r="S82" s="9">
        <v>-7.4930398827812284E-6</v>
      </c>
      <c r="T82" s="9">
        <v>2.7486983650705363E-5</v>
      </c>
      <c r="U82" s="9">
        <v>-3.4769439194797323E-5</v>
      </c>
      <c r="V82" s="9">
        <v>7.7570183279293388E-6</v>
      </c>
      <c r="W82" s="9">
        <v>1.5564216119579551E-5</v>
      </c>
      <c r="X82" s="9">
        <v>-5.122062975451812E-5</v>
      </c>
      <c r="Y82" s="9">
        <v>-6.4180872988648546E-5</v>
      </c>
      <c r="Z82" s="9">
        <v>9.8136649637033658E-5</v>
      </c>
      <c r="AA82" s="9">
        <v>1.1785427578238281E-5</v>
      </c>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row>
    <row r="83" spans="2:67" x14ac:dyDescent="0.2">
      <c r="B83" s="9">
        <v>3.1392833249638464E-7</v>
      </c>
      <c r="C83" s="9">
        <v>1.1297691993844485E-6</v>
      </c>
      <c r="D83" s="9">
        <v>-8.5688957657494668E-7</v>
      </c>
      <c r="E83" s="9">
        <v>1.0559142756532787E-6</v>
      </c>
      <c r="F83" s="9">
        <v>-6.9354647564087004E-7</v>
      </c>
      <c r="G83" s="9">
        <v>-3.4730424876189148E-6</v>
      </c>
      <c r="H83" s="9">
        <v>1.6490496706643279E-6</v>
      </c>
      <c r="I83" s="9">
        <v>1.6801662018226716E-6</v>
      </c>
      <c r="J83" s="9">
        <v>1.2300811080044303E-5</v>
      </c>
      <c r="K83" s="9">
        <v>-8.7447976374049835E-7</v>
      </c>
      <c r="L83" s="9">
        <v>-9.3757241576640223E-6</v>
      </c>
      <c r="M83" s="9">
        <v>4.225310013863837E-6</v>
      </c>
      <c r="N83" s="9">
        <v>-9.9803333907865279E-6</v>
      </c>
      <c r="O83" s="9">
        <v>9.9381430943787284E-6</v>
      </c>
      <c r="P83" s="9">
        <v>9.7466835811162936E-7</v>
      </c>
      <c r="Q83" s="9">
        <v>-1.6341727781454942E-5</v>
      </c>
      <c r="R83" s="9">
        <v>1.8165933624850769E-5</v>
      </c>
      <c r="S83" s="9">
        <v>-1.996814628794002E-5</v>
      </c>
      <c r="T83" s="9">
        <v>-1.231880349111275E-5</v>
      </c>
      <c r="U83" s="9">
        <v>1.9245844469084605E-5</v>
      </c>
      <c r="V83" s="9">
        <v>-2.7516938583702318E-5</v>
      </c>
      <c r="W83" s="9">
        <v>1.03136694808579E-5</v>
      </c>
      <c r="X83" s="9">
        <v>2.9650707446565853E-5</v>
      </c>
      <c r="Y83" s="9">
        <v>-1.3564035050405052E-5</v>
      </c>
      <c r="Z83" s="9">
        <v>4.4575419371553176E-5</v>
      </c>
      <c r="AA83" s="9">
        <v>5.6674461645148049E-6</v>
      </c>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row>
    <row r="84" spans="2:67" x14ac:dyDescent="0.2">
      <c r="B84" s="9">
        <v>-1.5030839099267892E-6</v>
      </c>
      <c r="C84" s="9">
        <v>-2.4361041506922282E-6</v>
      </c>
      <c r="D84" s="9">
        <v>-1.1379796692005206E-6</v>
      </c>
      <c r="E84" s="9">
        <v>2.5808305959110285E-6</v>
      </c>
      <c r="F84" s="9">
        <v>-5.4883234128404043E-6</v>
      </c>
      <c r="G84" s="9">
        <v>2.3628133925886972E-6</v>
      </c>
      <c r="H84" s="9">
        <v>-1.2869485581545361E-8</v>
      </c>
      <c r="I84" s="9">
        <v>3.1111712574143679E-6</v>
      </c>
      <c r="J84" s="9">
        <v>-8.7447976374052355E-7</v>
      </c>
      <c r="K84" s="9">
        <v>3.9154826996150995E-5</v>
      </c>
      <c r="L84" s="9">
        <v>1.4901876551266623E-6</v>
      </c>
      <c r="M84" s="9">
        <v>1.5843437748870823E-6</v>
      </c>
      <c r="N84" s="9">
        <v>-4.10252343022105E-6</v>
      </c>
      <c r="O84" s="9">
        <v>-4.526806469567689E-5</v>
      </c>
      <c r="P84" s="9">
        <v>-2.0024536789186811E-6</v>
      </c>
      <c r="Q84" s="9">
        <v>6.8006913926053999E-6</v>
      </c>
      <c r="R84" s="9">
        <v>1.760032997690396E-5</v>
      </c>
      <c r="S84" s="9">
        <v>-2.174790907829895E-5</v>
      </c>
      <c r="T84" s="9">
        <v>5.3062840606530401E-6</v>
      </c>
      <c r="U84" s="9">
        <v>1.0133599045408474E-6</v>
      </c>
      <c r="V84" s="9">
        <v>-3.8725424729413518E-5</v>
      </c>
      <c r="W84" s="9">
        <v>-2.1929614432555602E-5</v>
      </c>
      <c r="X84" s="9">
        <v>-1.6296756870606168E-5</v>
      </c>
      <c r="Y84" s="9">
        <v>-1.2344166859544551E-4</v>
      </c>
      <c r="Z84" s="9">
        <v>2.4555461704714058E-4</v>
      </c>
      <c r="AA84" s="9">
        <v>3.3281152291790942E-5</v>
      </c>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row>
    <row r="85" spans="2:67" x14ac:dyDescent="0.2">
      <c r="B85" s="9">
        <v>-2.9807964769666583E-7</v>
      </c>
      <c r="C85" s="9">
        <v>-2.457036584138415E-6</v>
      </c>
      <c r="D85" s="9">
        <v>2.9461458469237095E-7</v>
      </c>
      <c r="E85" s="9">
        <v>1.3881420691127267E-6</v>
      </c>
      <c r="F85" s="9">
        <v>-7.8566810606992113E-6</v>
      </c>
      <c r="G85" s="9">
        <v>-5.3570712451336505E-6</v>
      </c>
      <c r="H85" s="9">
        <v>-1.2883129252831784E-6</v>
      </c>
      <c r="I85" s="9">
        <v>-4.2442078236388814E-6</v>
      </c>
      <c r="J85" s="9">
        <v>-9.3757241576639986E-6</v>
      </c>
      <c r="K85" s="9">
        <v>1.4901876551266794E-6</v>
      </c>
      <c r="L85" s="9">
        <v>1.0630560122177005E-4</v>
      </c>
      <c r="M85" s="9">
        <v>7.9635474663546189E-6</v>
      </c>
      <c r="N85" s="9">
        <v>2.493595092863357E-5</v>
      </c>
      <c r="O85" s="9">
        <v>-2.0212815447676762E-5</v>
      </c>
      <c r="P85" s="9">
        <v>-1.730497956760078E-5</v>
      </c>
      <c r="Q85" s="9">
        <v>4.748139124409844E-5</v>
      </c>
      <c r="R85" s="9">
        <v>-8.7244065240042447E-5</v>
      </c>
      <c r="S85" s="9">
        <v>-1.4991939586247894E-5</v>
      </c>
      <c r="T85" s="9">
        <v>7.5917715006158689E-5</v>
      </c>
      <c r="U85" s="9">
        <v>-1.2145999352095492E-5</v>
      </c>
      <c r="V85" s="9">
        <v>-1.4117469823342891E-5</v>
      </c>
      <c r="W85" s="9">
        <v>-1.2940975749541227E-4</v>
      </c>
      <c r="X85" s="9">
        <v>-7.3847366675236885E-5</v>
      </c>
      <c r="Y85" s="9">
        <v>9.0948370998294122E-5</v>
      </c>
      <c r="Z85" s="9">
        <v>-3.2342431164536934E-4</v>
      </c>
      <c r="AA85" s="9">
        <v>3.1357425140020476E-5</v>
      </c>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row>
    <row r="86" spans="2:67" x14ac:dyDescent="0.2">
      <c r="B86" s="9">
        <v>3.0724528213177232E-7</v>
      </c>
      <c r="C86" s="9">
        <v>6.8048993883047717E-7</v>
      </c>
      <c r="D86" s="9">
        <v>1.2049141448259918E-6</v>
      </c>
      <c r="E86" s="9">
        <v>2.3197122465969373E-6</v>
      </c>
      <c r="F86" s="9">
        <v>-2.3519342872542677E-6</v>
      </c>
      <c r="G86" s="9">
        <v>-8.5289440363485344E-6</v>
      </c>
      <c r="H86" s="9">
        <v>8.9852944262625574E-7</v>
      </c>
      <c r="I86" s="9">
        <v>-2.6649258356665094E-6</v>
      </c>
      <c r="J86" s="9">
        <v>4.2253100138638337E-6</v>
      </c>
      <c r="K86" s="9">
        <v>1.5843437748870813E-6</v>
      </c>
      <c r="L86" s="9">
        <v>7.9635474663546054E-6</v>
      </c>
      <c r="M86" s="9">
        <v>3.1247913112853823E-5</v>
      </c>
      <c r="N86" s="9">
        <v>6.5133903917338386E-6</v>
      </c>
      <c r="O86" s="9">
        <v>-2.0857692544362525E-5</v>
      </c>
      <c r="P86" s="9">
        <v>1.0353104638598109E-6</v>
      </c>
      <c r="Q86" s="9">
        <v>-5.9820089167068365E-6</v>
      </c>
      <c r="R86" s="9">
        <v>-4.7567703189889195E-6</v>
      </c>
      <c r="S86" s="9">
        <v>-5.6820095676548215E-5</v>
      </c>
      <c r="T86" s="9">
        <v>6.1963036516140239E-5</v>
      </c>
      <c r="U86" s="9">
        <v>1.9272137879577321E-5</v>
      </c>
      <c r="V86" s="9">
        <v>-1.7669335783094797E-5</v>
      </c>
      <c r="W86" s="9">
        <v>-1.6666889644693132E-5</v>
      </c>
      <c r="X86" s="9">
        <v>-3.2724019375703482E-5</v>
      </c>
      <c r="Y86" s="9">
        <v>1.2571694024600514E-5</v>
      </c>
      <c r="Z86" s="9">
        <v>-2.6882845115064712E-5</v>
      </c>
      <c r="AA86" s="9">
        <v>5.9787119712087152E-6</v>
      </c>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row>
    <row r="87" spans="2:67" x14ac:dyDescent="0.2">
      <c r="B87" s="9">
        <v>6.8961465840627983E-7</v>
      </c>
      <c r="C87" s="9">
        <v>-4.9766605015943307E-6</v>
      </c>
      <c r="D87" s="9">
        <v>-4.322302396461023E-6</v>
      </c>
      <c r="E87" s="9">
        <v>4.2865907209608716E-6</v>
      </c>
      <c r="F87" s="9">
        <v>2.7258483898661089E-6</v>
      </c>
      <c r="G87" s="9">
        <v>-3.7282807142310826E-5</v>
      </c>
      <c r="H87" s="9">
        <v>-4.6955321063876899E-6</v>
      </c>
      <c r="I87" s="9">
        <v>4.5482172452120298E-6</v>
      </c>
      <c r="J87" s="9">
        <v>-9.9803333907865245E-6</v>
      </c>
      <c r="K87" s="9">
        <v>-4.1025234302213447E-6</v>
      </c>
      <c r="L87" s="9">
        <v>2.4935950928633319E-5</v>
      </c>
      <c r="M87" s="9">
        <v>6.5133903917337522E-6</v>
      </c>
      <c r="N87" s="9">
        <v>2.2811842352734012E-4</v>
      </c>
      <c r="O87" s="9">
        <v>-7.5067931001138329E-5</v>
      </c>
      <c r="P87" s="9">
        <v>1.9623018291624169E-6</v>
      </c>
      <c r="Q87" s="9">
        <v>-2.0479541714362653E-5</v>
      </c>
      <c r="R87" s="9">
        <v>-5.1856852394592159E-5</v>
      </c>
      <c r="S87" s="9">
        <v>1.0009699091219534E-4</v>
      </c>
      <c r="T87" s="9">
        <v>2.195184292436581E-4</v>
      </c>
      <c r="U87" s="9">
        <v>1.1422289925180364E-4</v>
      </c>
      <c r="V87" s="9">
        <v>-1.1048748372375371E-6</v>
      </c>
      <c r="W87" s="9">
        <v>-7.9534510233380992E-5</v>
      </c>
      <c r="X87" s="9">
        <v>-6.3230237018767658E-4</v>
      </c>
      <c r="Y87" s="9">
        <v>3.5292268836268909E-4</v>
      </c>
      <c r="Z87" s="9">
        <v>2.4806110391711422E-4</v>
      </c>
      <c r="AA87" s="9">
        <v>-3.1200988899596534E-5</v>
      </c>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row>
    <row r="88" spans="2:67" x14ac:dyDescent="0.2">
      <c r="B88" s="9">
        <v>1.9800854504004249E-6</v>
      </c>
      <c r="C88" s="9">
        <v>8.0277078319243515E-7</v>
      </c>
      <c r="D88" s="9">
        <v>6.8948949502234748E-6</v>
      </c>
      <c r="E88" s="9">
        <v>5.0839479586539376E-6</v>
      </c>
      <c r="F88" s="9">
        <v>-2.5125799185579311E-5</v>
      </c>
      <c r="G88" s="9">
        <v>-1.5703618493347465E-5</v>
      </c>
      <c r="H88" s="9">
        <v>5.276555766088688E-6</v>
      </c>
      <c r="I88" s="9">
        <v>-7.8351602919806456E-6</v>
      </c>
      <c r="J88" s="9">
        <v>9.9381430943788469E-6</v>
      </c>
      <c r="K88" s="9">
        <v>-4.5268064695676524E-5</v>
      </c>
      <c r="L88" s="9">
        <v>-2.0212815447676948E-5</v>
      </c>
      <c r="M88" s="9">
        <v>-2.0857692544362441E-5</v>
      </c>
      <c r="N88" s="9">
        <v>-7.5067931001139508E-5</v>
      </c>
      <c r="O88" s="9">
        <v>7.722666314249931E-4</v>
      </c>
      <c r="P88" s="9">
        <v>-8.5978056667279533E-7</v>
      </c>
      <c r="Q88" s="9">
        <v>-1.2290712871231395E-4</v>
      </c>
      <c r="R88" s="9">
        <v>-2.0507004100317363E-4</v>
      </c>
      <c r="S88" s="9">
        <v>1.4793761485154842E-4</v>
      </c>
      <c r="T88" s="9">
        <v>-1.8701801165541568E-4</v>
      </c>
      <c r="U88" s="9">
        <v>5.1266886089819462E-4</v>
      </c>
      <c r="V88" s="9">
        <v>-1.7346471701956817E-4</v>
      </c>
      <c r="W88" s="9">
        <v>-1.4014379204162675E-4</v>
      </c>
      <c r="X88" s="9">
        <v>8.7957571750423981E-6</v>
      </c>
      <c r="Y88" s="9">
        <v>1.0030269597144745E-4</v>
      </c>
      <c r="Z88" s="9">
        <v>-7.1067938491740966E-4</v>
      </c>
      <c r="AA88" s="9">
        <v>-8.0424163774038779E-5</v>
      </c>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row>
    <row r="89" spans="2:67" x14ac:dyDescent="0.2">
      <c r="B89" s="9">
        <v>-4.0308936823699064E-7</v>
      </c>
      <c r="C89" s="9">
        <v>2.8098966656693255E-6</v>
      </c>
      <c r="D89" s="9">
        <v>1.8913759747996447E-6</v>
      </c>
      <c r="E89" s="9">
        <v>-2.190274120823489E-6</v>
      </c>
      <c r="F89" s="9">
        <v>1.6850386635091679E-6</v>
      </c>
      <c r="G89" s="9">
        <v>-1.3120542490386891E-6</v>
      </c>
      <c r="H89" s="9">
        <v>-5.400653567012999E-7</v>
      </c>
      <c r="I89" s="9">
        <v>-2.3587108611473684E-6</v>
      </c>
      <c r="J89" s="9">
        <v>9.7466835811161306E-7</v>
      </c>
      <c r="K89" s="9">
        <v>-2.0024536789186748E-6</v>
      </c>
      <c r="L89" s="9">
        <v>-1.7304979567600766E-5</v>
      </c>
      <c r="M89" s="9">
        <v>1.035310463859763E-6</v>
      </c>
      <c r="N89" s="9">
        <v>1.9623018291622534E-6</v>
      </c>
      <c r="O89" s="9">
        <v>-8.5978056667264297E-7</v>
      </c>
      <c r="P89" s="9">
        <v>6.1313593815204908E-5</v>
      </c>
      <c r="Q89" s="9">
        <v>-1.5883270975057961E-5</v>
      </c>
      <c r="R89" s="9">
        <v>1.1123903159398025E-5</v>
      </c>
      <c r="S89" s="9">
        <v>2.1523782253443875E-6</v>
      </c>
      <c r="T89" s="9">
        <v>-6.929467506625957E-5</v>
      </c>
      <c r="U89" s="9">
        <v>-3.242212776794213E-5</v>
      </c>
      <c r="V89" s="9">
        <v>-3.5941479097859692E-5</v>
      </c>
      <c r="W89" s="9">
        <v>1.9004537007625819E-5</v>
      </c>
      <c r="X89" s="9">
        <v>4.3324959226124909E-5</v>
      </c>
      <c r="Y89" s="9">
        <v>-6.7891348469327047E-5</v>
      </c>
      <c r="Z89" s="9">
        <v>2.4108551605915858E-4</v>
      </c>
      <c r="AA89" s="9">
        <v>-2.4745005115967323E-5</v>
      </c>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row>
    <row r="90" spans="2:67" x14ac:dyDescent="0.2">
      <c r="B90" s="9">
        <v>-2.6545653044159083E-6</v>
      </c>
      <c r="C90" s="9">
        <v>-2.1518884599586192E-6</v>
      </c>
      <c r="D90" s="9">
        <v>5.0581655714153433E-6</v>
      </c>
      <c r="E90" s="9">
        <v>8.5689731283975553E-6</v>
      </c>
      <c r="F90" s="9">
        <v>-1.0724615556781028E-5</v>
      </c>
      <c r="G90" s="9">
        <v>1.0238871338211232E-5</v>
      </c>
      <c r="H90" s="9">
        <v>-6.4777477331513259E-6</v>
      </c>
      <c r="I90" s="9">
        <v>-6.6859812799730363E-6</v>
      </c>
      <c r="J90" s="9">
        <v>-1.6341727781454932E-5</v>
      </c>
      <c r="K90" s="9">
        <v>6.8006913926053135E-6</v>
      </c>
      <c r="L90" s="9">
        <v>4.7481391244098529E-5</v>
      </c>
      <c r="M90" s="9">
        <v>-5.9820089167067315E-6</v>
      </c>
      <c r="N90" s="9">
        <v>-2.0479541714362131E-5</v>
      </c>
      <c r="O90" s="9">
        <v>-1.2290712871231474E-4</v>
      </c>
      <c r="P90" s="9">
        <v>-1.5883270975057964E-5</v>
      </c>
      <c r="Q90" s="9">
        <v>4.6044092639838775E-4</v>
      </c>
      <c r="R90" s="9">
        <v>-1.13607862049351E-4</v>
      </c>
      <c r="S90" s="9">
        <v>-1.7814870489534697E-4</v>
      </c>
      <c r="T90" s="9">
        <v>-1.6807370839254696E-4</v>
      </c>
      <c r="U90" s="9">
        <v>-2.0658403441955637E-4</v>
      </c>
      <c r="V90" s="9">
        <v>8.9931738433314743E-6</v>
      </c>
      <c r="W90" s="9">
        <v>1.2220837109415713E-5</v>
      </c>
      <c r="X90" s="9">
        <v>2.1246401065732102E-4</v>
      </c>
      <c r="Y90" s="9">
        <v>-1.8884594103057422E-4</v>
      </c>
      <c r="Z90" s="9">
        <v>-3.764285388604054E-4</v>
      </c>
      <c r="AA90" s="9">
        <v>1.2229134550985403E-4</v>
      </c>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row>
    <row r="91" spans="2:67" x14ac:dyDescent="0.2">
      <c r="B91" s="9">
        <v>2.9720604482198755E-7</v>
      </c>
      <c r="C91" s="9">
        <v>-3.0324352787511063E-6</v>
      </c>
      <c r="D91" s="9">
        <v>-7.5161588527215352E-6</v>
      </c>
      <c r="E91" s="9">
        <v>-5.4229517743485187E-6</v>
      </c>
      <c r="F91" s="9">
        <v>1.5499826904283404E-5</v>
      </c>
      <c r="G91" s="9">
        <v>1.7666317788290498E-5</v>
      </c>
      <c r="H91" s="9">
        <v>1.1793709070552131E-6</v>
      </c>
      <c r="I91" s="9">
        <v>2.3464291150699532E-5</v>
      </c>
      <c r="J91" s="9">
        <v>1.8165933624850674E-5</v>
      </c>
      <c r="K91" s="9">
        <v>1.7600329976903834E-5</v>
      </c>
      <c r="L91" s="9">
        <v>-8.7244065240042379E-5</v>
      </c>
      <c r="M91" s="9">
        <v>-4.7567703189889347E-6</v>
      </c>
      <c r="N91" s="9">
        <v>-5.1856852394591766E-5</v>
      </c>
      <c r="O91" s="9">
        <v>-2.0507004100317404E-4</v>
      </c>
      <c r="P91" s="9">
        <v>1.1123903159398031E-5</v>
      </c>
      <c r="Q91" s="9">
        <v>-1.1360786204935124E-4</v>
      </c>
      <c r="R91" s="9">
        <v>3.8321622973149969E-4</v>
      </c>
      <c r="S91" s="9">
        <v>-7.0443962807965492E-5</v>
      </c>
      <c r="T91" s="9">
        <v>-2.4130414074982495E-4</v>
      </c>
      <c r="U91" s="9">
        <v>-4.1655415149738779E-4</v>
      </c>
      <c r="V91" s="9">
        <v>7.9756104440960329E-5</v>
      </c>
      <c r="W91" s="9">
        <v>9.0683151499691887E-5</v>
      </c>
      <c r="X91" s="9">
        <v>7.4707268794382907E-4</v>
      </c>
      <c r="Y91" s="9">
        <v>-1.4664067390322467E-4</v>
      </c>
      <c r="Z91" s="9">
        <v>3.386686326150629E-4</v>
      </c>
      <c r="AA91" s="9">
        <v>6.315517785104376E-6</v>
      </c>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row>
    <row r="92" spans="2:67" x14ac:dyDescent="0.2">
      <c r="B92" s="9">
        <v>2.8183892859507064E-6</v>
      </c>
      <c r="C92" s="9">
        <v>-2.916254721050583E-6</v>
      </c>
      <c r="D92" s="9">
        <v>-1.8260775942982742E-6</v>
      </c>
      <c r="E92" s="9">
        <v>-8.2595647698691364E-6</v>
      </c>
      <c r="F92" s="9">
        <v>7.466275817966057E-6</v>
      </c>
      <c r="G92" s="9">
        <v>-8.2806626127154325E-6</v>
      </c>
      <c r="H92" s="9">
        <v>-1.4090541537828485E-5</v>
      </c>
      <c r="I92" s="9">
        <v>-7.4930398827812114E-6</v>
      </c>
      <c r="J92" s="9">
        <v>-1.9968146287939969E-5</v>
      </c>
      <c r="K92" s="9">
        <v>-2.1747909078299021E-5</v>
      </c>
      <c r="L92" s="9">
        <v>-1.4991939586247894E-5</v>
      </c>
      <c r="M92" s="9">
        <v>-5.6820095676548262E-5</v>
      </c>
      <c r="N92" s="9">
        <v>1.0009699091219461E-4</v>
      </c>
      <c r="O92" s="9">
        <v>1.4793761485155005E-4</v>
      </c>
      <c r="P92" s="9">
        <v>2.1523782253443083E-6</v>
      </c>
      <c r="Q92" s="9">
        <v>-1.7814870489534689E-4</v>
      </c>
      <c r="R92" s="9">
        <v>-7.0443962807966102E-5</v>
      </c>
      <c r="S92" s="9">
        <v>5.4686862496489564E-4</v>
      </c>
      <c r="T92" s="9">
        <v>2.3973999935278137E-4</v>
      </c>
      <c r="U92" s="9">
        <v>1.9029596343634732E-6</v>
      </c>
      <c r="V92" s="9">
        <v>1.4389716454771287E-4</v>
      </c>
      <c r="W92" s="9">
        <v>-7.7587771824872665E-5</v>
      </c>
      <c r="X92" s="9">
        <v>-3.7544252676317965E-4</v>
      </c>
      <c r="Y92" s="9">
        <v>3.6973015092428037E-4</v>
      </c>
      <c r="Z92" s="9">
        <v>-3.6847911842933563E-4</v>
      </c>
      <c r="AA92" s="9">
        <v>-1.720752806944128E-4</v>
      </c>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row>
    <row r="93" spans="2:67" x14ac:dyDescent="0.2">
      <c r="B93" s="9">
        <v>-3.5310806972035356E-7</v>
      </c>
      <c r="C93" s="9">
        <v>-1.0981005946483932E-5</v>
      </c>
      <c r="D93" s="9">
        <v>-4.6009294490422925E-5</v>
      </c>
      <c r="E93" s="9">
        <v>-1.0830224565494262E-6</v>
      </c>
      <c r="F93" s="9">
        <v>3.2338511570653543E-5</v>
      </c>
      <c r="G93" s="9">
        <v>-3.6635441965598563E-5</v>
      </c>
      <c r="H93" s="9">
        <v>-1.8299705669548964E-5</v>
      </c>
      <c r="I93" s="9">
        <v>2.7486983650705167E-5</v>
      </c>
      <c r="J93" s="9">
        <v>-1.2318803491112435E-5</v>
      </c>
      <c r="K93" s="9">
        <v>5.3062840606525429E-6</v>
      </c>
      <c r="L93" s="9">
        <v>7.5917715006158351E-5</v>
      </c>
      <c r="M93" s="9">
        <v>6.1963036516140659E-5</v>
      </c>
      <c r="N93" s="9">
        <v>2.1951842924365983E-4</v>
      </c>
      <c r="O93" s="9">
        <v>-1.8701801165541421E-4</v>
      </c>
      <c r="P93" s="9">
        <v>-6.9294675066259041E-5</v>
      </c>
      <c r="Q93" s="9">
        <v>-1.6807370839254805E-4</v>
      </c>
      <c r="R93" s="9">
        <v>-2.4130414074982701E-4</v>
      </c>
      <c r="S93" s="9">
        <v>2.3973999935278197E-4</v>
      </c>
      <c r="T93" s="9">
        <v>3.6970289269699797E-3</v>
      </c>
      <c r="U93" s="9">
        <v>6.845486874179712E-5</v>
      </c>
      <c r="V93" s="9">
        <v>8.4002932139763177E-5</v>
      </c>
      <c r="W93" s="9">
        <v>-5.3390137760270262E-4</v>
      </c>
      <c r="X93" s="9">
        <v>-3.0587931456872068E-3</v>
      </c>
      <c r="Y93" s="9">
        <v>6.2255550504691369E-4</v>
      </c>
      <c r="Z93" s="9">
        <v>-1.3194802658237524E-3</v>
      </c>
      <c r="AA93" s="9">
        <v>7.5801049136162751E-5</v>
      </c>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row>
    <row r="94" spans="2:67" x14ac:dyDescent="0.2">
      <c r="B94" s="9">
        <v>1.8467652944599412E-6</v>
      </c>
      <c r="C94" s="9">
        <v>-2.7071171553892984E-5</v>
      </c>
      <c r="D94" s="9">
        <v>6.8895827894520829E-6</v>
      </c>
      <c r="E94" s="9">
        <v>8.7040520869688005E-5</v>
      </c>
      <c r="F94" s="9">
        <v>-8.9251299560307986E-5</v>
      </c>
      <c r="G94" s="9">
        <v>-5.8953243195341113E-5</v>
      </c>
      <c r="H94" s="9">
        <v>3.6613815816650491E-5</v>
      </c>
      <c r="I94" s="9">
        <v>-3.476943919479712E-5</v>
      </c>
      <c r="J94" s="9">
        <v>1.9245844469084744E-5</v>
      </c>
      <c r="K94" s="9">
        <v>1.0133599045413505E-6</v>
      </c>
      <c r="L94" s="9">
        <v>-1.2145999352096494E-5</v>
      </c>
      <c r="M94" s="9">
        <v>1.9272137879577548E-5</v>
      </c>
      <c r="N94" s="9">
        <v>1.1422289925180342E-4</v>
      </c>
      <c r="O94" s="9">
        <v>5.1266886089819223E-4</v>
      </c>
      <c r="P94" s="9">
        <v>-3.2422127767941967E-5</v>
      </c>
      <c r="Q94" s="9">
        <v>-2.0658403441955529E-4</v>
      </c>
      <c r="R94" s="9">
        <v>-4.1655415149738709E-4</v>
      </c>
      <c r="S94" s="9">
        <v>1.9029596343614448E-6</v>
      </c>
      <c r="T94" s="9">
        <v>6.8454868741795602E-5</v>
      </c>
      <c r="U94" s="9">
        <v>4.1433761970641478E-3</v>
      </c>
      <c r="V94" s="9">
        <v>-1.0688068468911473E-3</v>
      </c>
      <c r="W94" s="9">
        <v>-1.2228374990367447E-4</v>
      </c>
      <c r="X94" s="9">
        <v>-1.9290562771936523E-3</v>
      </c>
      <c r="Y94" s="9">
        <v>1.2141355571124873E-3</v>
      </c>
      <c r="Z94" s="9">
        <v>-2.0469544600481915E-3</v>
      </c>
      <c r="AA94" s="9">
        <v>1.3096723735512322E-4</v>
      </c>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row>
    <row r="95" spans="2:67" x14ac:dyDescent="0.2">
      <c r="B95" s="9">
        <v>3.0109138124951301E-6</v>
      </c>
      <c r="C95" s="9">
        <v>2.4189702592395281E-6</v>
      </c>
      <c r="D95" s="9">
        <v>-1.7037566655098701E-6</v>
      </c>
      <c r="E95" s="9">
        <v>-4.1988003207696646E-5</v>
      </c>
      <c r="F95" s="9">
        <v>3.11494862114951E-5</v>
      </c>
      <c r="G95" s="9">
        <v>3.4495505330415094E-5</v>
      </c>
      <c r="H95" s="9">
        <v>-6.0947764391348089E-6</v>
      </c>
      <c r="I95" s="9">
        <v>7.7570183279293083E-6</v>
      </c>
      <c r="J95" s="9">
        <v>-2.7516938583702321E-5</v>
      </c>
      <c r="K95" s="9">
        <v>-3.8725424729413741E-5</v>
      </c>
      <c r="L95" s="9">
        <v>-1.4117469823342466E-5</v>
      </c>
      <c r="M95" s="9">
        <v>-1.7669335783094797E-5</v>
      </c>
      <c r="N95" s="9">
        <v>-1.1048748372377241E-6</v>
      </c>
      <c r="O95" s="9">
        <v>-1.7346471701956684E-4</v>
      </c>
      <c r="P95" s="9">
        <v>-3.5941479097859841E-5</v>
      </c>
      <c r="Q95" s="9">
        <v>8.9931738433312134E-6</v>
      </c>
      <c r="R95" s="9">
        <v>7.9756104440959787E-5</v>
      </c>
      <c r="S95" s="9">
        <v>1.4389716454771346E-4</v>
      </c>
      <c r="T95" s="9">
        <v>8.400293213976525E-5</v>
      </c>
      <c r="U95" s="9">
        <v>-1.0688068468911473E-3</v>
      </c>
      <c r="V95" s="9">
        <v>9.2406711192942091E-4</v>
      </c>
      <c r="W95" s="9">
        <v>2.9052091621295422E-5</v>
      </c>
      <c r="X95" s="9">
        <v>8.4687369479158532E-4</v>
      </c>
      <c r="Y95" s="9">
        <v>-4.4747552702850696E-4</v>
      </c>
      <c r="Z95" s="9">
        <v>2.1350850209229309E-4</v>
      </c>
      <c r="AA95" s="9">
        <v>-9.7533743318865433E-5</v>
      </c>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row>
    <row r="96" spans="2:67" x14ac:dyDescent="0.2">
      <c r="B96" s="9">
        <v>1.0816149762245915E-6</v>
      </c>
      <c r="C96" s="9">
        <v>3.7978576324358011E-6</v>
      </c>
      <c r="D96" s="9">
        <v>-2.1538501796337882E-6</v>
      </c>
      <c r="E96" s="9">
        <v>-1.0580097652573265E-5</v>
      </c>
      <c r="F96" s="9">
        <v>1.5642570264216671E-5</v>
      </c>
      <c r="G96" s="9">
        <v>3.4704231815698458E-5</v>
      </c>
      <c r="H96" s="9">
        <v>1.9152943998771702E-6</v>
      </c>
      <c r="I96" s="9">
        <v>1.5564216119579618E-5</v>
      </c>
      <c r="J96" s="9">
        <v>1.0313669480857868E-5</v>
      </c>
      <c r="K96" s="9">
        <v>-2.1929614432555439E-5</v>
      </c>
      <c r="L96" s="9">
        <v>-1.2940975749541221E-4</v>
      </c>
      <c r="M96" s="9">
        <v>-1.6666889644693206E-5</v>
      </c>
      <c r="N96" s="9">
        <v>-7.9534510233381209E-5</v>
      </c>
      <c r="O96" s="9">
        <v>-1.4014379204162813E-4</v>
      </c>
      <c r="P96" s="9">
        <v>1.9004537007625741E-5</v>
      </c>
      <c r="Q96" s="9">
        <v>1.2220837109415616E-5</v>
      </c>
      <c r="R96" s="9">
        <v>9.0683151499692957E-5</v>
      </c>
      <c r="S96" s="9">
        <v>-7.758777182487276E-5</v>
      </c>
      <c r="T96" s="9">
        <v>-5.3390137760270251E-4</v>
      </c>
      <c r="U96" s="9">
        <v>-1.2228374990367694E-4</v>
      </c>
      <c r="V96" s="9">
        <v>2.9052091621296608E-5</v>
      </c>
      <c r="W96" s="9">
        <v>1.7286649406908553E-3</v>
      </c>
      <c r="X96" s="9">
        <v>6.7933326741628276E-5</v>
      </c>
      <c r="Y96" s="9">
        <v>-2.1425170980785669E-4</v>
      </c>
      <c r="Z96" s="9">
        <v>1.1759308844025681E-3</v>
      </c>
      <c r="AA96" s="9">
        <v>-1.9968022252693843E-4</v>
      </c>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row>
    <row r="97" spans="2:67" x14ac:dyDescent="0.2">
      <c r="B97" s="9">
        <v>-1.2774000193217548E-6</v>
      </c>
      <c r="C97" s="9">
        <v>1.47234771145614E-5</v>
      </c>
      <c r="D97" s="9">
        <v>6.1109224939612225E-5</v>
      </c>
      <c r="E97" s="9">
        <v>-8.0676385579595296E-5</v>
      </c>
      <c r="F97" s="9">
        <v>1.6154707383347163E-9</v>
      </c>
      <c r="G97" s="9">
        <v>6.4065907425343136E-5</v>
      </c>
      <c r="H97" s="9">
        <v>1.9755472417481727E-5</v>
      </c>
      <c r="I97" s="9">
        <v>-5.1220629754518187E-5</v>
      </c>
      <c r="J97" s="9">
        <v>2.9650707446565395E-5</v>
      </c>
      <c r="K97" s="9">
        <v>-1.6296756870605758E-5</v>
      </c>
      <c r="L97" s="9">
        <v>-7.3847366675234825E-5</v>
      </c>
      <c r="M97" s="9">
        <v>-3.2724019375703502E-5</v>
      </c>
      <c r="N97" s="9">
        <v>-6.323023701876768E-4</v>
      </c>
      <c r="O97" s="9">
        <v>8.7957571750422101E-6</v>
      </c>
      <c r="P97" s="9">
        <v>4.3324959226123933E-5</v>
      </c>
      <c r="Q97" s="9">
        <v>2.1246401065732264E-4</v>
      </c>
      <c r="R97" s="9">
        <v>7.4707268794382896E-4</v>
      </c>
      <c r="S97" s="9">
        <v>-3.7544252676317955E-4</v>
      </c>
      <c r="T97" s="9">
        <v>-3.0587931456871986E-3</v>
      </c>
      <c r="U97" s="9">
        <v>-1.9290562771936491E-3</v>
      </c>
      <c r="V97" s="9">
        <v>8.4687369479158499E-4</v>
      </c>
      <c r="W97" s="9">
        <v>6.7933326741623668E-5</v>
      </c>
      <c r="X97" s="9">
        <v>9.0360225603877044E-3</v>
      </c>
      <c r="Y97" s="9">
        <v>-1.7664080020341245E-3</v>
      </c>
      <c r="Z97" s="9">
        <v>-8.6193271957732073E-4</v>
      </c>
      <c r="AA97" s="9">
        <v>-2.8407906149759967E-4</v>
      </c>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row>
    <row r="98" spans="2:67" x14ac:dyDescent="0.2">
      <c r="B98" s="9">
        <v>9.1529234786201746E-6</v>
      </c>
      <c r="C98" s="9">
        <v>-2.0011870652685021E-5</v>
      </c>
      <c r="D98" s="9">
        <v>1.3128575383071389E-5</v>
      </c>
      <c r="E98" s="9">
        <v>4.3796113924482131E-5</v>
      </c>
      <c r="F98" s="9">
        <v>4.0408530656243573E-6</v>
      </c>
      <c r="G98" s="9">
        <v>-9.9587058548845765E-5</v>
      </c>
      <c r="H98" s="9">
        <v>-1.3171328205563858E-5</v>
      </c>
      <c r="I98" s="9">
        <v>-6.4180872988648803E-5</v>
      </c>
      <c r="J98" s="9">
        <v>-1.3564035050404976E-5</v>
      </c>
      <c r="K98" s="9">
        <v>-1.2344166859544581E-4</v>
      </c>
      <c r="L98" s="9">
        <v>9.0948370998293498E-5</v>
      </c>
      <c r="M98" s="9">
        <v>1.2571694024600382E-5</v>
      </c>
      <c r="N98" s="9">
        <v>3.5292268836268806E-4</v>
      </c>
      <c r="O98" s="9">
        <v>1.0030269597145053E-4</v>
      </c>
      <c r="P98" s="9">
        <v>-6.7891348469326695E-5</v>
      </c>
      <c r="Q98" s="9">
        <v>-1.8884594103057542E-4</v>
      </c>
      <c r="R98" s="9">
        <v>-1.466406739032264E-4</v>
      </c>
      <c r="S98" s="9">
        <v>3.6973015092428124E-4</v>
      </c>
      <c r="T98" s="9">
        <v>6.2255550504691011E-4</v>
      </c>
      <c r="U98" s="9">
        <v>1.2141355571124921E-3</v>
      </c>
      <c r="V98" s="9">
        <v>-4.4747552702850864E-4</v>
      </c>
      <c r="W98" s="9">
        <v>-2.1425170980785531E-4</v>
      </c>
      <c r="X98" s="9">
        <v>-1.7664080020341299E-3</v>
      </c>
      <c r="Y98" s="9">
        <v>3.5777906925029161E-3</v>
      </c>
      <c r="Z98" s="9">
        <v>-3.221112542520204E-3</v>
      </c>
      <c r="AA98" s="9">
        <v>-5.6687141200210373E-5</v>
      </c>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row>
    <row r="99" spans="2:67" x14ac:dyDescent="0.2">
      <c r="B99" s="9">
        <v>-1.6822042040458059E-5</v>
      </c>
      <c r="C99" s="9">
        <v>1.1509311367188983E-5</v>
      </c>
      <c r="D99" s="9">
        <v>-2.398868574935953E-5</v>
      </c>
      <c r="E99" s="9">
        <v>-6.997660751720532E-5</v>
      </c>
      <c r="F99" s="9">
        <v>5.7353401627854981E-5</v>
      </c>
      <c r="G99" s="9">
        <v>8.0570716273919906E-5</v>
      </c>
      <c r="H99" s="9">
        <v>-1.8296598180977481E-5</v>
      </c>
      <c r="I99" s="9">
        <v>9.8136649637033536E-5</v>
      </c>
      <c r="J99" s="9">
        <v>4.4575419371552688E-5</v>
      </c>
      <c r="K99" s="9">
        <v>2.4555461704714037E-4</v>
      </c>
      <c r="L99" s="9">
        <v>-3.2342431164536939E-4</v>
      </c>
      <c r="M99" s="9">
        <v>-2.6882845115065563E-5</v>
      </c>
      <c r="N99" s="9">
        <v>2.4806110391711455E-4</v>
      </c>
      <c r="O99" s="9">
        <v>-7.106793849174114E-4</v>
      </c>
      <c r="P99" s="9">
        <v>2.410855160591585E-4</v>
      </c>
      <c r="Q99" s="9">
        <v>-3.7642853886040519E-4</v>
      </c>
      <c r="R99" s="9">
        <v>3.3866863261506572E-4</v>
      </c>
      <c r="S99" s="9">
        <v>-3.6847911842933319E-4</v>
      </c>
      <c r="T99" s="9">
        <v>-1.3194802658237556E-3</v>
      </c>
      <c r="U99" s="9">
        <v>-2.0469544600482041E-3</v>
      </c>
      <c r="V99" s="9">
        <v>2.1350850209229984E-4</v>
      </c>
      <c r="W99" s="9">
        <v>1.1759308844025665E-3</v>
      </c>
      <c r="X99" s="9">
        <v>-8.6193271957730002E-4</v>
      </c>
      <c r="Y99" s="9">
        <v>-3.2211125425202058E-3</v>
      </c>
      <c r="Z99" s="9">
        <v>1.4141968745136567E-2</v>
      </c>
      <c r="AA99" s="9">
        <v>-5.0295746393385558E-4</v>
      </c>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row>
    <row r="100" spans="2:67" x14ac:dyDescent="0.2">
      <c r="B100" s="9">
        <v>-6.1058013133806181E-7</v>
      </c>
      <c r="C100" s="9">
        <v>-4.0085814657997093E-6</v>
      </c>
      <c r="D100" s="9">
        <v>-6.8449239313592182E-6</v>
      </c>
      <c r="E100" s="9">
        <v>1.7670713795540611E-5</v>
      </c>
      <c r="F100" s="9">
        <v>-1.3134357275492873E-5</v>
      </c>
      <c r="G100" s="9">
        <v>-2.1625180831796918E-6</v>
      </c>
      <c r="H100" s="9">
        <v>1.0686896809671816E-5</v>
      </c>
      <c r="I100" s="9">
        <v>1.1785427578238301E-5</v>
      </c>
      <c r="J100" s="9">
        <v>5.6674461645148109E-6</v>
      </c>
      <c r="K100" s="9">
        <v>3.3281152291790929E-5</v>
      </c>
      <c r="L100" s="9">
        <v>3.1357425140020381E-5</v>
      </c>
      <c r="M100" s="9">
        <v>5.9787119712088363E-6</v>
      </c>
      <c r="N100" s="9">
        <v>-3.1200988899595897E-5</v>
      </c>
      <c r="O100" s="9">
        <v>-8.0424163774039822E-5</v>
      </c>
      <c r="P100" s="9">
        <v>-2.4745005115967238E-5</v>
      </c>
      <c r="Q100" s="9">
        <v>1.2229134550985414E-4</v>
      </c>
      <c r="R100" s="9">
        <v>6.3155177851045802E-6</v>
      </c>
      <c r="S100" s="9">
        <v>-1.7207528069441307E-4</v>
      </c>
      <c r="T100" s="9">
        <v>7.5801049136163361E-5</v>
      </c>
      <c r="U100" s="9">
        <v>1.3096723735512284E-4</v>
      </c>
      <c r="V100" s="9">
        <v>-9.7533743318865555E-5</v>
      </c>
      <c r="W100" s="9">
        <v>-1.9968022252693835E-4</v>
      </c>
      <c r="X100" s="9">
        <v>-2.8407906149760179E-4</v>
      </c>
      <c r="Y100" s="9">
        <v>-5.6687141200209424E-5</v>
      </c>
      <c r="Z100" s="9">
        <v>-5.0295746393385396E-4</v>
      </c>
      <c r="AA100" s="9">
        <v>9.370061684701431E-4</v>
      </c>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row>
    <row r="101" spans="2:67" x14ac:dyDescent="0.2">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row>
    <row r="102" spans="2:67" hidden="1" x14ac:dyDescent="0.2">
      <c r="B102" s="9"/>
      <c r="C102" s="9"/>
      <c r="D102" s="9"/>
      <c r="E102" s="9"/>
      <c r="F102" s="9"/>
      <c r="G102" s="9"/>
      <c r="H102" s="9"/>
      <c r="I102" s="9"/>
      <c r="J102" s="9"/>
      <c r="K102" s="9"/>
      <c r="L102" s="9"/>
      <c r="M102" s="9"/>
      <c r="N102" s="9"/>
      <c r="O102" s="9"/>
      <c r="P102" s="9"/>
      <c r="Q102" s="9"/>
      <c r="R102" s="9"/>
      <c r="S102" s="9"/>
      <c r="T102" s="9"/>
      <c r="U102" s="9"/>
      <c r="V102" s="9"/>
      <c r="W102" s="9"/>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row>
    <row r="103" spans="2:67" hidden="1" x14ac:dyDescent="0.2">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row>
    <row r="104" spans="2:67" hidden="1" x14ac:dyDescent="0.2">
      <c r="B104" s="9"/>
      <c r="C104" s="9"/>
      <c r="D104" s="9"/>
      <c r="E104" s="9"/>
      <c r="F104" s="9"/>
      <c r="G104" s="9"/>
      <c r="H104" s="9"/>
      <c r="I104" s="9"/>
      <c r="J104" s="9"/>
      <c r="K104" s="9"/>
      <c r="L104" s="9"/>
      <c r="M104" s="9"/>
      <c r="N104" s="9"/>
      <c r="O104" s="9"/>
      <c r="P104" s="9"/>
      <c r="Q104" s="9"/>
      <c r="R104" s="9"/>
      <c r="S104" s="9"/>
      <c r="T104" s="9"/>
      <c r="U104" s="9"/>
      <c r="V104" s="9"/>
      <c r="W104" s="9"/>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row>
    <row r="105" spans="2:67" hidden="1" x14ac:dyDescent="0.2">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row>
    <row r="106" spans="2:67" hidden="1" x14ac:dyDescent="0.2">
      <c r="B106" s="9"/>
      <c r="C106" s="9"/>
      <c r="D106" s="9"/>
      <c r="E106" s="9"/>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row>
    <row r="107" spans="2:67" hidden="1" x14ac:dyDescent="0.2">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row>
    <row r="108" spans="2:67" hidden="1" x14ac:dyDescent="0.2">
      <c r="B108" s="9"/>
      <c r="C108" s="9"/>
      <c r="D108" s="9"/>
      <c r="E108" s="9"/>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row>
    <row r="109" spans="2:67" hidden="1" x14ac:dyDescent="0.2">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row>
    <row r="110" spans="2:67" hidden="1" x14ac:dyDescent="0.2">
      <c r="B110" s="9"/>
      <c r="C110" s="9"/>
      <c r="D110" s="9"/>
      <c r="E110" s="9"/>
      <c r="F110" s="9"/>
      <c r="G110" s="9"/>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row>
    <row r="111" spans="2:67" hidden="1" x14ac:dyDescent="0.2">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row>
    <row r="112" spans="2:67" hidden="1" x14ac:dyDescent="0.2">
      <c r="B112" s="9"/>
      <c r="C112" s="9"/>
      <c r="D112" s="9"/>
      <c r="E112" s="9"/>
      <c r="F112" s="9"/>
      <c r="G112" s="9"/>
      <c r="H112" s="9"/>
      <c r="I112" s="9"/>
      <c r="J112" s="9"/>
      <c r="K112" s="9"/>
      <c r="L112" s="9"/>
      <c r="M112" s="9"/>
      <c r="N112" s="9"/>
      <c r="O112" s="9"/>
      <c r="P112" s="9"/>
      <c r="Q112" s="9"/>
      <c r="R112" s="9"/>
      <c r="S112" s="9"/>
      <c r="T112" s="9"/>
      <c r="U112" s="9"/>
      <c r="V112" s="9"/>
      <c r="W112" s="9"/>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row>
    <row r="113" spans="2:67" hidden="1" x14ac:dyDescent="0.2">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row>
    <row r="114" spans="2:67" hidden="1" x14ac:dyDescent="0.2">
      <c r="B114" s="9"/>
      <c r="C114" s="9"/>
      <c r="D114" s="9"/>
      <c r="E114" s="9"/>
      <c r="F114" s="9"/>
      <c r="G114" s="9"/>
      <c r="H114" s="9"/>
      <c r="I114" s="9"/>
      <c r="J114" s="9"/>
      <c r="K114" s="9"/>
      <c r="L114" s="9"/>
      <c r="M114" s="9"/>
      <c r="N114" s="9"/>
      <c r="O114" s="9"/>
      <c r="P114" s="9"/>
      <c r="Q114" s="9"/>
      <c r="R114" s="9"/>
      <c r="S114" s="9"/>
      <c r="T114" s="9"/>
      <c r="U114" s="9"/>
      <c r="V114" s="9"/>
      <c r="W114" s="9"/>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row>
    <row r="115" spans="2:67" hidden="1" x14ac:dyDescent="0.2">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row>
    <row r="116" spans="2:67" hidden="1" x14ac:dyDescent="0.2">
      <c r="B116" s="9"/>
      <c r="C116" s="9"/>
      <c r="D116" s="9"/>
      <c r="E116" s="9"/>
      <c r="F116" s="9"/>
      <c r="G116" s="9"/>
      <c r="H116" s="9"/>
      <c r="I116" s="9"/>
      <c r="J116" s="9"/>
      <c r="K116" s="9"/>
      <c r="L116" s="9"/>
      <c r="M116" s="9"/>
      <c r="N116" s="9"/>
      <c r="O116" s="9"/>
      <c r="P116" s="9"/>
      <c r="Q116" s="9"/>
      <c r="R116" s="9"/>
      <c r="S116" s="9"/>
      <c r="T116" s="9"/>
      <c r="U116" s="9"/>
      <c r="V116" s="9"/>
      <c r="W116" s="9"/>
      <c r="X116" s="9"/>
      <c r="Y116" s="9"/>
      <c r="Z116" s="9"/>
      <c r="AA116" s="9"/>
      <c r="AB116" s="9"/>
      <c r="AC116" s="9"/>
      <c r="AD116" s="9"/>
      <c r="AE116" s="9"/>
      <c r="AF116" s="9"/>
      <c r="AG116" s="9"/>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row>
    <row r="117" spans="2:67" hidden="1" x14ac:dyDescent="0.2">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row>
    <row r="118" spans="2:67" hidden="1" x14ac:dyDescent="0.2">
      <c r="B118" s="9"/>
      <c r="C118" s="9"/>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row>
    <row r="119" spans="2:67" hidden="1" x14ac:dyDescent="0.2">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row>
    <row r="120" spans="2:67" hidden="1" x14ac:dyDescent="0.2">
      <c r="B120" s="9"/>
      <c r="C120" s="9"/>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row>
    <row r="121" spans="2:67" hidden="1" x14ac:dyDescent="0.2">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c r="AB121" s="9"/>
      <c r="AC121" s="9"/>
      <c r="AD121" s="9"/>
      <c r="AE121" s="9"/>
      <c r="AF121" s="9"/>
      <c r="AG121" s="9"/>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row>
    <row r="122" spans="2:67" hidden="1" x14ac:dyDescent="0.2">
      <c r="B122" s="9"/>
      <c r="C122" s="9"/>
      <c r="D122" s="9"/>
      <c r="E122" s="9"/>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row>
    <row r="123" spans="2:67" hidden="1" x14ac:dyDescent="0.2">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9"/>
      <c r="AG123" s="9"/>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row>
    <row r="124" spans="2:67" hidden="1" x14ac:dyDescent="0.2">
      <c r="B124" s="9"/>
      <c r="C124" s="9"/>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row>
    <row r="125" spans="2:67" hidden="1" x14ac:dyDescent="0.2">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row>
    <row r="126" spans="2:67" hidden="1" x14ac:dyDescent="0.2">
      <c r="B126" s="9"/>
      <c r="C126" s="9"/>
      <c r="D126" s="9"/>
      <c r="E126" s="9"/>
      <c r="F126" s="9"/>
      <c r="G126" s="9"/>
      <c r="H126" s="9"/>
      <c r="I126" s="9"/>
      <c r="J126" s="9"/>
      <c r="K126" s="9"/>
      <c r="L126" s="9"/>
      <c r="M126" s="9"/>
      <c r="N126" s="9"/>
      <c r="O126" s="9"/>
      <c r="P126" s="9"/>
      <c r="Q126" s="9"/>
      <c r="R126" s="9"/>
      <c r="S126" s="9"/>
      <c r="T126" s="9"/>
      <c r="U126" s="9"/>
      <c r="V126" s="9"/>
      <c r="W126" s="9"/>
      <c r="X126" s="9"/>
      <c r="Y126" s="9"/>
      <c r="Z126" s="9"/>
      <c r="AA126" s="9"/>
      <c r="AB126" s="9"/>
      <c r="AC126" s="9"/>
      <c r="AD126" s="9"/>
      <c r="AE126" s="9"/>
      <c r="AF126" s="9"/>
      <c r="AG126" s="9"/>
      <c r="AH126" s="9"/>
      <c r="AI126" s="9"/>
      <c r="AJ126" s="9"/>
      <c r="AK126" s="9"/>
      <c r="AL126" s="9"/>
      <c r="AM126" s="9"/>
      <c r="AN126" s="9"/>
      <c r="AO126" s="9"/>
      <c r="AP126" s="9"/>
      <c r="AQ126" s="9"/>
      <c r="AR126" s="9"/>
      <c r="AS126" s="9"/>
      <c r="AT126" s="9"/>
      <c r="AU126" s="9"/>
      <c r="AV126" s="9"/>
      <c r="AW126" s="9"/>
      <c r="AX126" s="9"/>
      <c r="AY126" s="9"/>
      <c r="AZ126" s="9"/>
      <c r="BA126" s="9"/>
      <c r="BB126" s="9"/>
      <c r="BC126" s="9"/>
      <c r="BD126" s="9"/>
      <c r="BE126" s="9"/>
      <c r="BF126" s="9"/>
      <c r="BG126" s="9"/>
      <c r="BH126" s="9"/>
      <c r="BI126" s="9"/>
      <c r="BJ126" s="9"/>
      <c r="BK126" s="9"/>
      <c r="BL126" s="9"/>
      <c r="BM126" s="9"/>
      <c r="BN126" s="9"/>
      <c r="BO126" s="9"/>
    </row>
    <row r="127" spans="2:67" hidden="1" x14ac:dyDescent="0.2">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c r="AB127" s="9"/>
      <c r="AC127" s="9"/>
      <c r="AD127" s="9"/>
      <c r="AE127" s="9"/>
      <c r="AF127" s="9"/>
      <c r="AG127" s="9"/>
      <c r="AH127" s="9"/>
      <c r="AI127" s="9"/>
      <c r="AJ127" s="9"/>
      <c r="AK127" s="9"/>
      <c r="AL127" s="9"/>
      <c r="AM127" s="9"/>
      <c r="AN127" s="9"/>
      <c r="AO127" s="9"/>
      <c r="AP127" s="9"/>
      <c r="AQ127" s="9"/>
      <c r="AR127" s="9"/>
      <c r="AS127" s="9"/>
      <c r="AT127" s="9"/>
      <c r="AU127" s="9"/>
      <c r="AV127" s="9"/>
      <c r="AW127" s="9"/>
      <c r="AX127" s="9"/>
      <c r="AY127" s="9"/>
      <c r="AZ127" s="9"/>
      <c r="BA127" s="9"/>
      <c r="BB127" s="9"/>
      <c r="BC127" s="9"/>
      <c r="BD127" s="9"/>
      <c r="BE127" s="9"/>
      <c r="BF127" s="9"/>
      <c r="BG127" s="9"/>
      <c r="BH127" s="9"/>
      <c r="BI127" s="9"/>
      <c r="BJ127" s="9"/>
      <c r="BK127" s="9"/>
      <c r="BL127" s="9"/>
      <c r="BM127" s="9"/>
      <c r="BN127" s="9"/>
      <c r="BO127" s="9"/>
    </row>
    <row r="128" spans="2:67" hidden="1" x14ac:dyDescent="0.2">
      <c r="B128" s="9"/>
      <c r="C128" s="9"/>
      <c r="D128" s="9"/>
      <c r="E128" s="9"/>
      <c r="F128" s="9"/>
      <c r="G128" s="9"/>
      <c r="H128" s="9"/>
      <c r="I128" s="9"/>
      <c r="J128" s="9"/>
      <c r="K128" s="9"/>
      <c r="L128" s="9"/>
      <c r="M128" s="9"/>
      <c r="N128" s="9"/>
      <c r="O128" s="9"/>
      <c r="P128" s="9"/>
      <c r="Q128" s="9"/>
      <c r="R128" s="9"/>
      <c r="S128" s="9"/>
      <c r="T128" s="9"/>
      <c r="U128" s="9"/>
      <c r="V128" s="9"/>
      <c r="W128" s="9"/>
      <c r="X128" s="9"/>
      <c r="Y128" s="9"/>
      <c r="Z128" s="9"/>
      <c r="AA128" s="9"/>
      <c r="AB128" s="9"/>
      <c r="AC128" s="9"/>
      <c r="AD128" s="9"/>
      <c r="AE128" s="9"/>
      <c r="AF128" s="9"/>
      <c r="AG128" s="9"/>
      <c r="AH128" s="9"/>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c r="BO128" s="9"/>
    </row>
    <row r="129" spans="1:67" hidden="1" x14ac:dyDescent="0.2">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c r="AB129" s="9"/>
      <c r="AC129" s="9"/>
      <c r="AD129" s="9"/>
      <c r="AE129" s="9"/>
      <c r="AF129" s="9"/>
      <c r="AG129" s="9"/>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row>
    <row r="130" spans="1:67" hidden="1" x14ac:dyDescent="0.2">
      <c r="B130" s="9"/>
      <c r="C130" s="9"/>
      <c r="D130" s="9"/>
      <c r="E130" s="9"/>
      <c r="F130" s="9"/>
      <c r="G130" s="9"/>
      <c r="H130" s="9"/>
      <c r="I130" s="9"/>
      <c r="J130" s="9"/>
      <c r="K130" s="9"/>
      <c r="L130" s="9"/>
      <c r="M130" s="9"/>
      <c r="N130" s="9"/>
      <c r="O130" s="9"/>
      <c r="P130" s="9"/>
      <c r="Q130" s="9"/>
      <c r="R130" s="9"/>
      <c r="S130" s="9"/>
      <c r="T130" s="9"/>
      <c r="U130" s="9"/>
      <c r="V130" s="9"/>
      <c r="W130" s="9"/>
      <c r="X130" s="9"/>
      <c r="Y130" s="9"/>
      <c r="Z130" s="9"/>
      <c r="AA130" s="9"/>
      <c r="AB130" s="9"/>
      <c r="AC130" s="9"/>
      <c r="AD130" s="9"/>
      <c r="AE130" s="9"/>
      <c r="AF130" s="9"/>
      <c r="AG130" s="9"/>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row>
    <row r="131" spans="1:67" hidden="1" x14ac:dyDescent="0.2">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c r="AB131" s="9"/>
      <c r="AC131" s="9"/>
      <c r="AD131" s="9"/>
      <c r="AE131" s="9"/>
      <c r="AF131" s="9"/>
      <c r="AG131" s="9"/>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row>
    <row r="132" spans="1:67" hidden="1" x14ac:dyDescent="0.2">
      <c r="B132" s="9"/>
      <c r="C132" s="9"/>
      <c r="D132" s="9"/>
      <c r="E132" s="9"/>
      <c r="F132" s="9"/>
      <c r="G132" s="9"/>
      <c r="H132" s="9"/>
      <c r="I132" s="9"/>
      <c r="J132" s="9"/>
      <c r="K132" s="9"/>
      <c r="L132" s="9"/>
      <c r="M132" s="9"/>
      <c r="N132" s="9"/>
      <c r="O132" s="9"/>
      <c r="P132" s="9"/>
      <c r="Q132" s="9"/>
      <c r="R132" s="9"/>
      <c r="S132" s="9"/>
      <c r="T132" s="9"/>
      <c r="U132" s="9"/>
      <c r="V132" s="9"/>
      <c r="W132" s="9"/>
      <c r="X132" s="9"/>
      <c r="Y132" s="9"/>
      <c r="Z132" s="9"/>
      <c r="AA132" s="9"/>
      <c r="AB132" s="9"/>
      <c r="AC132" s="9"/>
      <c r="AD132" s="9"/>
      <c r="AE132" s="9"/>
      <c r="AF132" s="9"/>
      <c r="AG132" s="9"/>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c r="BN132" s="9"/>
      <c r="BO132" s="9"/>
    </row>
    <row r="133" spans="1:67" hidden="1" x14ac:dyDescent="0.2">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G133" s="9"/>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9"/>
      <c r="BN133" s="9"/>
      <c r="BO133" s="9"/>
    </row>
    <row r="134" spans="1:67" hidden="1" x14ac:dyDescent="0.2">
      <c r="B134" s="9"/>
      <c r="C134" s="9"/>
      <c r="D134" s="9"/>
      <c r="E134" s="9"/>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G134" s="9"/>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9"/>
      <c r="BN134" s="9"/>
      <c r="BO134" s="9"/>
    </row>
    <row r="135" spans="1:67" hidden="1" x14ac:dyDescent="0.2">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c r="AB135" s="9"/>
      <c r="AC135" s="9"/>
      <c r="AD135" s="9"/>
      <c r="AE135" s="9"/>
      <c r="AF135" s="9"/>
      <c r="AG135" s="9"/>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9"/>
      <c r="BO135" s="9"/>
    </row>
    <row r="136" spans="1:67" hidden="1" x14ac:dyDescent="0.2">
      <c r="B136" s="9"/>
      <c r="C136" s="9"/>
      <c r="D136" s="9"/>
      <c r="E136" s="9"/>
      <c r="F136" s="9"/>
      <c r="G136" s="9"/>
      <c r="H136" s="9"/>
      <c r="I136" s="9"/>
      <c r="J136" s="9"/>
      <c r="K136" s="9"/>
      <c r="L136" s="9"/>
      <c r="M136" s="9"/>
      <c r="N136" s="9"/>
      <c r="O136" s="9"/>
      <c r="P136" s="9"/>
      <c r="Q136" s="9"/>
      <c r="R136" s="9"/>
      <c r="S136" s="9"/>
      <c r="T136" s="9"/>
      <c r="U136" s="9"/>
      <c r="V136" s="9"/>
      <c r="W136" s="9"/>
      <c r="X136" s="9"/>
      <c r="Y136" s="9"/>
      <c r="Z136" s="9"/>
      <c r="AA136" s="9"/>
      <c r="AB136" s="9"/>
      <c r="AC136" s="9"/>
      <c r="AD136" s="9"/>
      <c r="AE136" s="9"/>
      <c r="AF136" s="9"/>
      <c r="AG136" s="9"/>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9"/>
      <c r="BO136" s="9"/>
    </row>
    <row r="137" spans="1:67" hidden="1" x14ac:dyDescent="0.2">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c r="AB137" s="9"/>
      <c r="AC137" s="9"/>
      <c r="AD137" s="9"/>
      <c r="AE137" s="9"/>
      <c r="AF137" s="9"/>
      <c r="AG137" s="9"/>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9"/>
    </row>
    <row r="138" spans="1:67" hidden="1" x14ac:dyDescent="0.2">
      <c r="B138" s="9"/>
      <c r="C138" s="9"/>
      <c r="D138" s="9"/>
      <c r="E138" s="9"/>
      <c r="F138" s="9"/>
      <c r="G138" s="9"/>
      <c r="H138" s="9"/>
      <c r="I138" s="9"/>
      <c r="J138" s="9"/>
      <c r="K138" s="9"/>
      <c r="L138" s="9"/>
      <c r="M138" s="9"/>
      <c r="N138" s="9"/>
      <c r="O138" s="9"/>
      <c r="P138" s="9"/>
      <c r="Q138" s="9"/>
      <c r="R138" s="9"/>
      <c r="S138" s="9"/>
      <c r="T138" s="9"/>
      <c r="U138" s="9"/>
      <c r="V138" s="9"/>
      <c r="W138" s="9"/>
      <c r="X138" s="9"/>
      <c r="Y138" s="9"/>
      <c r="Z138" s="9"/>
      <c r="AA138" s="9"/>
      <c r="AB138" s="9"/>
      <c r="AC138" s="9"/>
      <c r="AD138" s="9"/>
      <c r="AE138" s="9"/>
      <c r="AF138" s="9"/>
      <c r="AG138" s="9"/>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9"/>
    </row>
    <row r="139" spans="1:67" hidden="1" x14ac:dyDescent="0.2">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c r="AB139" s="9"/>
      <c r="AC139" s="9"/>
      <c r="AD139" s="9"/>
      <c r="AE139" s="9"/>
      <c r="AF139" s="9"/>
      <c r="AG139" s="9"/>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9"/>
    </row>
    <row r="140" spans="1:67" hidden="1" x14ac:dyDescent="0.2">
      <c r="B140" s="9"/>
      <c r="C140" s="9"/>
      <c r="D140" s="9"/>
      <c r="E140" s="9"/>
      <c r="F140" s="9"/>
      <c r="G140" s="9"/>
      <c r="H140" s="9"/>
      <c r="I140" s="9"/>
      <c r="J140" s="9"/>
      <c r="K140" s="9"/>
      <c r="L140" s="9"/>
      <c r="M140" s="9"/>
      <c r="N140" s="9"/>
      <c r="O140" s="9"/>
      <c r="P140" s="9"/>
      <c r="Q140" s="9"/>
      <c r="R140" s="9"/>
      <c r="S140" s="9"/>
      <c r="T140" s="9"/>
      <c r="U140" s="9"/>
      <c r="V140" s="9"/>
      <c r="W140" s="9"/>
      <c r="X140" s="9"/>
      <c r="Y140" s="9"/>
      <c r="Z140" s="9"/>
      <c r="AA140" s="9"/>
      <c r="AB140" s="9"/>
      <c r="AC140" s="9"/>
      <c r="AD140" s="9"/>
      <c r="AE140" s="9"/>
      <c r="AF140" s="9"/>
      <c r="AG140" s="9"/>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row>
    <row r="142" spans="1:67" x14ac:dyDescent="0.2">
      <c r="A142" s="45" t="s">
        <v>1327</v>
      </c>
      <c r="B142" s="9">
        <f t="array" ref="B142:AA142">MMULT(B4:AA4,B75:AA100)</f>
        <v>7.4579736989420262E-5</v>
      </c>
      <c r="C142" s="9">
        <v>-6.4578940947154458E-4</v>
      </c>
      <c r="D142" s="9">
        <v>-5.8490010475611238E-4</v>
      </c>
      <c r="E142" s="9">
        <v>4.2565269268778658E-5</v>
      </c>
      <c r="F142" s="9">
        <v>2.7712814033188464E-4</v>
      </c>
      <c r="G142" s="9">
        <v>7.0788667812635793E-4</v>
      </c>
      <c r="H142" s="9">
        <v>-3.6361683308621447E-4</v>
      </c>
      <c r="I142" s="9">
        <v>2.3385047302386904E-4</v>
      </c>
      <c r="J142" s="9">
        <v>-7.3523440665998875E-4</v>
      </c>
      <c r="K142" s="9">
        <v>-9.4699750120381954E-4</v>
      </c>
      <c r="L142" s="9">
        <v>-2.146560142570642E-4</v>
      </c>
      <c r="M142" s="9">
        <v>-5.2720795105588747E-5</v>
      </c>
      <c r="N142" s="9">
        <v>3.2185354178037614E-3</v>
      </c>
      <c r="O142" s="9">
        <v>-6.5214972249212242E-4</v>
      </c>
      <c r="P142" s="9">
        <v>3.2303898582456103E-4</v>
      </c>
      <c r="Q142" s="9">
        <v>-5.437294665380627E-4</v>
      </c>
      <c r="R142" s="9">
        <v>-2.9924293860181538E-4</v>
      </c>
      <c r="S142" s="9">
        <v>6.2667872512543509E-3</v>
      </c>
      <c r="T142" s="9">
        <v>1.6311241186674028E-2</v>
      </c>
      <c r="U142" s="9">
        <v>3.2665845238652922E-3</v>
      </c>
      <c r="V142" s="9">
        <v>-1.265752784394854E-3</v>
      </c>
      <c r="W142" s="9">
        <v>9.0312238550124008E-3</v>
      </c>
      <c r="X142" s="9">
        <v>-2.2523988452134151E-2</v>
      </c>
      <c r="Y142" s="9">
        <v>2.1503113590495046E-2</v>
      </c>
      <c r="Z142" s="9">
        <v>7.5277907946579466E-3</v>
      </c>
      <c r="AA142" s="9">
        <v>4.540470250708209E-3</v>
      </c>
      <c r="AB142" s="9"/>
      <c r="AC142" s="9"/>
      <c r="AD142" s="9"/>
      <c r="AE142" s="9"/>
      <c r="AF142" s="9"/>
      <c r="AG142" s="9"/>
      <c r="AH142" s="9"/>
      <c r="AI142" s="9"/>
      <c r="AJ142" s="9"/>
      <c r="AK142" s="9"/>
      <c r="AL142" s="9"/>
      <c r="AM142" s="9"/>
      <c r="AN142" s="9"/>
      <c r="AO142" s="9"/>
    </row>
    <row r="144" spans="1:67" x14ac:dyDescent="0.2">
      <c r="A144" s="45" t="s">
        <v>345</v>
      </c>
      <c r="B144" s="9">
        <f t="array" ref="B144">Notes!C7^2-MMULT('MetaData (2018)'!B142:AA142,TRANSPOSE('MetaData (2018)'!B4:AA4))</f>
        <v>7.8020973653114556E-4</v>
      </c>
    </row>
  </sheetData>
  <mergeCells count="2">
    <mergeCell ref="A8:A9"/>
    <mergeCell ref="A75:A76"/>
  </mergeCells>
  <conditionalFormatting sqref="A1:BO1">
    <cfRule type="colorScale" priority="5">
      <colorScale>
        <cfvo type="min"/>
        <cfvo type="max"/>
        <color rgb="FFFFEF9C"/>
        <color rgb="FF63BE7B"/>
      </colorScale>
    </cfRule>
    <cfRule type="cellIs" dxfId="19" priority="6" operator="equal">
      <formula>#DIV/0!</formula>
    </cfRule>
  </conditionalFormatting>
  <conditionalFormatting sqref="B8:BO73">
    <cfRule type="colorScale" priority="4">
      <colorScale>
        <cfvo type="min"/>
        <cfvo type="percentile" val="50"/>
        <cfvo type="max"/>
        <color rgb="FFF8696B"/>
        <color rgb="FFFFEB84"/>
        <color rgb="FF63BE7B"/>
      </colorScale>
    </cfRule>
  </conditionalFormatting>
  <conditionalFormatting sqref="B75:BO140">
    <cfRule type="colorScale" priority="3">
      <colorScale>
        <cfvo type="min"/>
        <cfvo type="percentile" val="50"/>
        <cfvo type="max"/>
        <color rgb="FFF8696B"/>
        <color rgb="FFFFEB84"/>
        <color rgb="FF63BE7B"/>
      </colorScale>
    </cfRule>
  </conditionalFormatting>
  <conditionalFormatting sqref="B142:BO142">
    <cfRule type="colorScale" priority="2">
      <colorScale>
        <cfvo type="min"/>
        <cfvo type="percentile" val="50"/>
        <cfvo type="max"/>
        <color rgb="FFF8696B"/>
        <color rgb="FFFFEB84"/>
        <color rgb="FF63BE7B"/>
      </colorScale>
    </cfRule>
  </conditionalFormatting>
  <conditionalFormatting sqref="B4:AA4">
    <cfRule type="colorScale" priority="1">
      <colorScale>
        <cfvo type="min"/>
        <cfvo type="percentile" val="50"/>
        <cfvo type="max"/>
        <color rgb="FFF8696B"/>
        <color rgb="FFFFEB84"/>
        <color rgb="FF63BE7B"/>
      </colorScale>
    </cfRule>
  </conditionalFormatting>
  <conditionalFormatting sqref="B2:BO2">
    <cfRule type="colorScale" priority="7">
      <colorScale>
        <cfvo type="min"/>
        <cfvo type="percentile" val="50"/>
        <cfvo type="max"/>
        <color rgb="FFF8696B"/>
        <color rgb="FFFFEB84"/>
        <color rgb="FF63BE7B"/>
      </colorScale>
    </cfRule>
  </conditionalFormatting>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O142"/>
  <sheetViews>
    <sheetView zoomScale="70" zoomScaleNormal="70" workbookViewId="0">
      <pane xSplit="1" ySplit="1" topLeftCell="BH47" activePane="bottomRight" state="frozen"/>
      <selection pane="topRight" activeCell="B1" sqref="B1"/>
      <selection pane="bottomLeft" activeCell="A2" sqref="A2"/>
      <selection pane="bottomRight" activeCell="A3" sqref="A3:XFD3"/>
    </sheetView>
  </sheetViews>
  <sheetFormatPr baseColWidth="10" defaultColWidth="9.1640625" defaultRowHeight="15" x14ac:dyDescent="0.2"/>
  <cols>
    <col min="1" max="1" width="17.5" style="8" customWidth="1"/>
    <col min="2" max="2" width="25.83203125" style="8" bestFit="1" customWidth="1"/>
    <col min="3" max="3" width="24.83203125" style="8" bestFit="1" customWidth="1"/>
    <col min="4" max="4" width="23.83203125" style="8" bestFit="1" customWidth="1"/>
    <col min="5" max="9" width="24.83203125" style="8" bestFit="1" customWidth="1"/>
    <col min="10" max="10" width="23.83203125" style="8" bestFit="1" customWidth="1"/>
    <col min="11" max="18" width="25.83203125" style="8" bestFit="1" customWidth="1"/>
    <col min="19" max="19" width="24.83203125" style="8" bestFit="1" customWidth="1"/>
    <col min="20" max="20" width="25.83203125" style="8" bestFit="1" customWidth="1"/>
    <col min="21" max="21" width="27.6640625" style="8" bestFit="1" customWidth="1"/>
    <col min="22" max="22" width="25.83203125" style="8" bestFit="1" customWidth="1"/>
    <col min="23" max="23" width="24.83203125" style="8" bestFit="1" customWidth="1"/>
    <col min="24" max="25" width="27.6640625" style="8" bestFit="1" customWidth="1"/>
    <col min="26" max="27" width="25.83203125" style="8" bestFit="1" customWidth="1"/>
    <col min="28" max="32" width="27.6640625" style="8" bestFit="1" customWidth="1"/>
    <col min="33" max="33" width="28.6640625" style="8" bestFit="1" customWidth="1"/>
    <col min="34" max="36" width="27.6640625" style="8" bestFit="1" customWidth="1"/>
    <col min="37" max="37" width="25.83203125" style="8" bestFit="1" customWidth="1"/>
    <col min="38" max="41" width="27.6640625" style="8" bestFit="1" customWidth="1"/>
    <col min="42" max="43" width="28.6640625" style="8" bestFit="1" customWidth="1"/>
    <col min="44" max="45" width="27.6640625" style="8" bestFit="1" customWidth="1"/>
    <col min="46" max="52" width="28.6640625" style="8" bestFit="1" customWidth="1"/>
    <col min="53" max="54" width="27.6640625" style="8" bestFit="1" customWidth="1"/>
    <col min="55" max="56" width="28.6640625" style="8" bestFit="1" customWidth="1"/>
    <col min="57" max="61" width="29.6640625" style="8" bestFit="1" customWidth="1"/>
    <col min="62" max="62" width="28.6640625" style="8" bestFit="1" customWidth="1"/>
    <col min="63" max="64" width="29.6640625" style="8" bestFit="1" customWidth="1"/>
    <col min="65" max="65" width="31.5" style="8" bestFit="1" customWidth="1"/>
    <col min="66" max="66" width="29.6640625" style="8" bestFit="1" customWidth="1"/>
    <col min="67" max="67" width="32.5" style="8" bestFit="1" customWidth="1"/>
    <col min="68" max="68" width="8.6640625" style="8" bestFit="1" customWidth="1"/>
    <col min="69" max="16384" width="9.1640625" style="8"/>
  </cols>
  <sheetData>
    <row r="1" spans="1:67" ht="113" x14ac:dyDescent="0.2">
      <c r="A1" s="2" t="s">
        <v>332</v>
      </c>
      <c r="B1" s="3" t="s">
        <v>254</v>
      </c>
      <c r="C1" s="3" t="s">
        <v>255</v>
      </c>
      <c r="D1" s="3" t="s">
        <v>256</v>
      </c>
      <c r="E1" s="3" t="s">
        <v>257</v>
      </c>
      <c r="F1" s="3" t="s">
        <v>258</v>
      </c>
      <c r="G1" s="3" t="s">
        <v>259</v>
      </c>
      <c r="H1" s="3" t="s">
        <v>260</v>
      </c>
      <c r="I1" s="3" t="s">
        <v>261</v>
      </c>
      <c r="J1" s="3" t="s">
        <v>262</v>
      </c>
      <c r="K1" s="3" t="s">
        <v>263</v>
      </c>
      <c r="L1" s="3" t="s">
        <v>264</v>
      </c>
      <c r="M1" s="3" t="s">
        <v>265</v>
      </c>
      <c r="N1" s="3" t="s">
        <v>266</v>
      </c>
      <c r="O1" s="3" t="s">
        <v>267</v>
      </c>
      <c r="P1" s="3" t="s">
        <v>268</v>
      </c>
      <c r="Q1" s="3" t="s">
        <v>269</v>
      </c>
      <c r="R1" s="3" t="s">
        <v>270</v>
      </c>
      <c r="S1" s="3" t="s">
        <v>271</v>
      </c>
      <c r="T1" s="3" t="s">
        <v>272</v>
      </c>
      <c r="U1" s="3" t="s">
        <v>273</v>
      </c>
      <c r="V1" s="3" t="s">
        <v>274</v>
      </c>
      <c r="W1" s="3" t="s">
        <v>275</v>
      </c>
      <c r="X1" s="3" t="s">
        <v>276</v>
      </c>
      <c r="Y1" s="3" t="s">
        <v>277</v>
      </c>
      <c r="Z1" s="3" t="s">
        <v>278</v>
      </c>
      <c r="AA1" s="3" t="s">
        <v>279</v>
      </c>
      <c r="AB1" s="3" t="s">
        <v>280</v>
      </c>
      <c r="AC1" s="3" t="s">
        <v>281</v>
      </c>
      <c r="AD1" s="3" t="s">
        <v>282</v>
      </c>
      <c r="AE1" s="3" t="s">
        <v>283</v>
      </c>
      <c r="AF1" s="3" t="s">
        <v>284</v>
      </c>
      <c r="AG1" s="3" t="s">
        <v>285</v>
      </c>
      <c r="AH1" s="3" t="s">
        <v>286</v>
      </c>
      <c r="AI1" s="3" t="s">
        <v>287</v>
      </c>
      <c r="AJ1" s="3" t="s">
        <v>288</v>
      </c>
      <c r="AK1" s="3" t="s">
        <v>289</v>
      </c>
      <c r="AL1" s="3" t="s">
        <v>290</v>
      </c>
      <c r="AM1" s="3" t="s">
        <v>291</v>
      </c>
      <c r="AN1" s="3" t="s">
        <v>292</v>
      </c>
      <c r="AO1" s="3" t="s">
        <v>293</v>
      </c>
      <c r="AP1" s="3" t="s">
        <v>294</v>
      </c>
      <c r="AQ1" s="3" t="s">
        <v>295</v>
      </c>
      <c r="AR1" s="3" t="s">
        <v>296</v>
      </c>
      <c r="AS1" s="3" t="s">
        <v>297</v>
      </c>
      <c r="AT1" s="3" t="s">
        <v>298</v>
      </c>
      <c r="AU1" s="3" t="s">
        <v>299</v>
      </c>
      <c r="AV1" s="3" t="s">
        <v>300</v>
      </c>
      <c r="AW1" s="3" t="s">
        <v>301</v>
      </c>
      <c r="AX1" s="3" t="s">
        <v>302</v>
      </c>
      <c r="AY1" s="3" t="s">
        <v>303</v>
      </c>
      <c r="AZ1" s="3" t="s">
        <v>304</v>
      </c>
      <c r="BA1" s="3" t="s">
        <v>305</v>
      </c>
      <c r="BB1" s="3" t="s">
        <v>306</v>
      </c>
      <c r="BC1" s="3" t="s">
        <v>307</v>
      </c>
      <c r="BD1" s="3" t="s">
        <v>308</v>
      </c>
      <c r="BE1" s="3" t="s">
        <v>309</v>
      </c>
      <c r="BF1" s="3" t="s">
        <v>310</v>
      </c>
      <c r="BG1" s="3" t="s">
        <v>311</v>
      </c>
      <c r="BH1" s="3" t="s">
        <v>312</v>
      </c>
      <c r="BI1" s="3" t="s">
        <v>313</v>
      </c>
      <c r="BJ1" s="3" t="s">
        <v>314</v>
      </c>
      <c r="BK1" s="3" t="s">
        <v>315</v>
      </c>
      <c r="BL1" s="3" t="s">
        <v>316</v>
      </c>
      <c r="BM1" s="3" t="s">
        <v>317</v>
      </c>
      <c r="BN1" s="3" t="s">
        <v>318</v>
      </c>
      <c r="BO1" s="3" t="s">
        <v>319</v>
      </c>
    </row>
    <row r="2" spans="1:67" ht="32" x14ac:dyDescent="0.2">
      <c r="A2" s="2" t="s">
        <v>334</v>
      </c>
      <c r="B2" s="9">
        <f>_xlfn.STDEV.P('Data_Matrix (2018)'!B2:B67)</f>
        <v>4510.0896987653241</v>
      </c>
      <c r="C2" s="9">
        <f>_xlfn.STDEV.P('Data_Matrix (2018)'!C2:C67)</f>
        <v>3923.7443721263412</v>
      </c>
      <c r="D2" s="9">
        <f>_xlfn.STDEV.P('Data_Matrix (2018)'!D2:D67)</f>
        <v>2718.7645753087368</v>
      </c>
      <c r="E2" s="9">
        <f>_xlfn.STDEV.P('Data_Matrix (2018)'!E2:E67)</f>
        <v>2469.0998905148695</v>
      </c>
      <c r="F2" s="9">
        <f>_xlfn.STDEV.P('Data_Matrix (2018)'!F2:F67)</f>
        <v>1434.4735219279539</v>
      </c>
      <c r="G2" s="9">
        <f>_xlfn.STDEV.P('Data_Matrix (2018)'!G2:G67)</f>
        <v>1993.784397118751</v>
      </c>
      <c r="H2" s="9">
        <f>_xlfn.STDEV.P('Data_Matrix (2018)'!H2:H67)</f>
        <v>1135.1533083514978</v>
      </c>
      <c r="I2" s="9">
        <f>_xlfn.STDEV.P('Data_Matrix (2018)'!I2:I67)</f>
        <v>890.55165582770451</v>
      </c>
      <c r="J2" s="9">
        <f>_xlfn.STDEV.P('Data_Matrix (2018)'!J2:J67)</f>
        <v>560.31315858967014</v>
      </c>
      <c r="K2" s="9">
        <f>_xlfn.STDEV.P('Data_Matrix (2018)'!K2:K67)</f>
        <v>532.27023775813586</v>
      </c>
      <c r="L2" s="9">
        <f>_xlfn.STDEV.P('Data_Matrix (2018)'!L2:L67)</f>
        <v>411.51709795413188</v>
      </c>
      <c r="M2" s="9">
        <f>_xlfn.STDEV.P('Data_Matrix (2018)'!M2:M67)</f>
        <v>403.77259069351311</v>
      </c>
      <c r="N2" s="9">
        <f>_xlfn.STDEV.P('Data_Matrix (2018)'!N2:N67)</f>
        <v>415.93908530906464</v>
      </c>
      <c r="O2" s="9">
        <f>_xlfn.STDEV.P('Data_Matrix (2018)'!O2:O67)</f>
        <v>188.0626356993609</v>
      </c>
      <c r="P2" s="9">
        <f>_xlfn.STDEV.P('Data_Matrix (2018)'!P2:P67)</f>
        <v>162.22869696873528</v>
      </c>
      <c r="Q2" s="9">
        <f>_xlfn.STDEV.P('Data_Matrix (2018)'!Q2:Q67)</f>
        <v>187.48203408899548</v>
      </c>
      <c r="R2" s="9">
        <f>_xlfn.STDEV.P('Data_Matrix (2018)'!R2:R67)</f>
        <v>240.58451749350169</v>
      </c>
      <c r="S2" s="9">
        <f>_xlfn.STDEV.P('Data_Matrix (2018)'!S2:S67)</f>
        <v>131.43454182353361</v>
      </c>
      <c r="T2" s="9">
        <f>_xlfn.STDEV.P('Data_Matrix (2018)'!T2:T67)</f>
        <v>80.812219500334692</v>
      </c>
      <c r="U2" s="9">
        <f>_xlfn.STDEV.P('Data_Matrix (2018)'!U2:U67)</f>
        <v>56.954858223455901</v>
      </c>
      <c r="V2" s="9">
        <f>_xlfn.STDEV.P('Data_Matrix (2018)'!V2:V67)</f>
        <v>69.872455291148142</v>
      </c>
      <c r="W2" s="9">
        <f>_xlfn.STDEV.P('Data_Matrix (2018)'!W2:W67)</f>
        <v>38.624508103524263</v>
      </c>
      <c r="X2" s="9">
        <f>_xlfn.STDEV.P('Data_Matrix (2018)'!X2:X67)</f>
        <v>49.698408800084891</v>
      </c>
      <c r="Y2" s="9">
        <f>_xlfn.STDEV.P('Data_Matrix (2018)'!Y2:Y67)</f>
        <v>45.789085271870974</v>
      </c>
      <c r="Z2" s="9">
        <f>_xlfn.STDEV.P('Data_Matrix (2018)'!Z2:Z67)</f>
        <v>27.303593444979413</v>
      </c>
      <c r="AA2" s="9">
        <f>_xlfn.STDEV.P('Data_Matrix (2018)'!AA2:AA67)</f>
        <v>41.082314503437296</v>
      </c>
      <c r="AB2" s="9">
        <f>_xlfn.STDEV.P('Data_Matrix (2018)'!AB2:AB67)</f>
        <v>6.6056698626908483</v>
      </c>
      <c r="AC2" s="9">
        <f>_xlfn.STDEV.P('Data_Matrix (2018)'!AC2:AC67)</f>
        <v>9.6273390732961026</v>
      </c>
      <c r="AD2" s="9">
        <f>_xlfn.STDEV.P('Data_Matrix (2018)'!AD2:AD67)</f>
        <v>8.2651443746735112</v>
      </c>
      <c r="AE2" s="9">
        <f>_xlfn.STDEV.P('Data_Matrix (2018)'!AE2:AE67)</f>
        <v>7.9280053724301025</v>
      </c>
      <c r="AF2" s="9">
        <f>_xlfn.STDEV.P('Data_Matrix (2018)'!AF2:AF67)</f>
        <v>7.5012339473477665</v>
      </c>
      <c r="AG2" s="9">
        <f>_xlfn.STDEV.P('Data_Matrix (2018)'!AG2:AG67)</f>
        <v>7.6707419540886885</v>
      </c>
      <c r="AH2" s="9">
        <f>_xlfn.STDEV.P('Data_Matrix (2018)'!AH2:AH67)</f>
        <v>8.088996608664532</v>
      </c>
      <c r="AI2" s="9">
        <f>_xlfn.STDEV.P('Data_Matrix (2018)'!AI2:AI67)</f>
        <v>4.0223527870451488</v>
      </c>
      <c r="AJ2" s="9">
        <f>_xlfn.STDEV.P('Data_Matrix (2018)'!AJ2:AJ67)</f>
        <v>5.9087394188888425</v>
      </c>
      <c r="AK2" s="9">
        <f>_xlfn.STDEV.P('Data_Matrix (2018)'!AK2:AK67)</f>
        <v>7.1844007351472996</v>
      </c>
      <c r="AL2" s="9">
        <f>_xlfn.STDEV.P('Data_Matrix (2018)'!AL2:AL67)</f>
        <v>18.60373568215466</v>
      </c>
      <c r="AM2" s="9">
        <f>_xlfn.STDEV.P('Data_Matrix (2018)'!AM2:AM67)</f>
        <v>5.4272072889352216</v>
      </c>
      <c r="AN2" s="9">
        <f>_xlfn.STDEV.P('Data_Matrix (2018)'!AN2:AN67)</f>
        <v>6.0492766684882815</v>
      </c>
      <c r="AO2" s="9">
        <f>_xlfn.STDEV.P('Data_Matrix (2018)'!AO2:AO67)</f>
        <v>4.4674623630022756</v>
      </c>
      <c r="AP2" s="9">
        <f>_xlfn.STDEV.P('Data_Matrix (2018)'!AP2:AP67)</f>
        <v>6.5100082343979597</v>
      </c>
      <c r="AQ2" s="9">
        <f>_xlfn.STDEV.P('Data_Matrix (2018)'!AQ2:AQ67)</f>
        <v>3.686150238685745</v>
      </c>
      <c r="AR2" s="9">
        <f>_xlfn.STDEV.P('Data_Matrix (2018)'!AR2:AR67)</f>
        <v>3.9225015120805922</v>
      </c>
      <c r="AS2" s="9">
        <f>_xlfn.STDEV.P('Data_Matrix (2018)'!AS2:AS67)</f>
        <v>3.9545889998736614</v>
      </c>
      <c r="AT2" s="9">
        <f>_xlfn.STDEV.P('Data_Matrix (2018)'!AT2:AT67)</f>
        <v>2.0822057124574878</v>
      </c>
      <c r="AU2" s="9">
        <f>_xlfn.STDEV.P('Data_Matrix (2018)'!AU2:AU67)</f>
        <v>1.9538045899433674</v>
      </c>
      <c r="AV2" s="9">
        <f>_xlfn.STDEV.P('Data_Matrix (2018)'!AV2:AV67)</f>
        <v>2.1833848732639352</v>
      </c>
      <c r="AW2" s="9">
        <f>_xlfn.STDEV.P('Data_Matrix (2018)'!AW2:AW67)</f>
        <v>3.7016473981228799</v>
      </c>
      <c r="AX2" s="9">
        <f>_xlfn.STDEV.P('Data_Matrix (2018)'!AX2:AX67)</f>
        <v>3.7756205099482867</v>
      </c>
      <c r="AY2" s="9">
        <f>_xlfn.STDEV.P('Data_Matrix (2018)'!AY2:AY67)</f>
        <v>1.0262855671175186</v>
      </c>
      <c r="AZ2" s="9">
        <f>_xlfn.STDEV.P('Data_Matrix (2018)'!AZ2:AZ67)</f>
        <v>2.1146278706444819</v>
      </c>
      <c r="BA2" s="9">
        <f>_xlfn.STDEV.P('Data_Matrix (2018)'!BA2:BA67)</f>
        <v>0.2793459775018956</v>
      </c>
      <c r="BB2" s="9">
        <f>_xlfn.STDEV.P('Data_Matrix (2018)'!BB2:BB67)</f>
        <v>0.77140517839969958</v>
      </c>
      <c r="BC2" s="9">
        <f>_xlfn.STDEV.P('Data_Matrix (2018)'!BC2:BC67)</f>
        <v>0.51895436720386623</v>
      </c>
      <c r="BD2" s="9">
        <f>_xlfn.STDEV.P('Data_Matrix (2018)'!BD2:BD67)</f>
        <v>0.52013500002706514</v>
      </c>
      <c r="BE2" s="9">
        <f>_xlfn.STDEV.P('Data_Matrix (2018)'!BE2:BE67)</f>
        <v>0.23254324707788551</v>
      </c>
      <c r="BF2" s="9">
        <f>_xlfn.STDEV.P('Data_Matrix (2018)'!BF2:BF67)</f>
        <v>4.7190166233119481E-2</v>
      </c>
      <c r="BG2" s="9">
        <f>_xlfn.STDEV.P('Data_Matrix (2018)'!BG2:BG67)</f>
        <v>4.2615979320582441E-2</v>
      </c>
      <c r="BH2" s="9">
        <f>_xlfn.STDEV.P('Data_Matrix (2018)'!BH2:BH67)</f>
        <v>0.23917666710139085</v>
      </c>
      <c r="BI2" s="9">
        <f>_xlfn.STDEV.P('Data_Matrix (2018)'!BI2:BI67)</f>
        <v>0.13253959560046738</v>
      </c>
      <c r="BJ2" s="9">
        <f>_xlfn.STDEV.P('Data_Matrix (2018)'!BJ2:BJ67)</f>
        <v>9.5798196917550094E-2</v>
      </c>
      <c r="BK2" s="9">
        <f>_xlfn.STDEV.P('Data_Matrix (2018)'!BK2:BK67)</f>
        <v>6.2049370427997026E-2</v>
      </c>
      <c r="BL2" s="9">
        <f>_xlfn.STDEV.P('Data_Matrix (2018)'!BL2:BL67)</f>
        <v>0.17656078370947278</v>
      </c>
      <c r="BM2" s="9">
        <f>_xlfn.STDEV.P('Data_Matrix (2018)'!BM2:BM67)</f>
        <v>1.5535596818801524E-2</v>
      </c>
      <c r="BN2" s="9">
        <f>_xlfn.STDEV.P('Data_Matrix (2018)'!BN2:BN67)</f>
        <v>1.4047695255943763E-2</v>
      </c>
      <c r="BO2" s="9">
        <f>_xlfn.STDEV.P('Data_Matrix (2018)'!BO2:BO67)</f>
        <v>2.1636087766101486E-3</v>
      </c>
    </row>
    <row r="3" spans="1:67" ht="64" x14ac:dyDescent="0.2">
      <c r="A3" s="10" t="s">
        <v>339</v>
      </c>
      <c r="B3" s="8">
        <v>0.15</v>
      </c>
      <c r="C3" s="8">
        <v>0.2</v>
      </c>
      <c r="D3" s="8">
        <v>0.25</v>
      </c>
      <c r="E3" s="8">
        <v>0.35</v>
      </c>
      <c r="F3" s="8">
        <v>0.23</v>
      </c>
      <c r="G3" s="8">
        <v>0.24</v>
      </c>
      <c r="H3" s="8">
        <v>0.37</v>
      </c>
      <c r="I3" s="8">
        <v>0.27</v>
      </c>
      <c r="J3" s="8">
        <v>0.45</v>
      </c>
      <c r="K3" s="8">
        <v>0.26</v>
      </c>
      <c r="L3" s="8">
        <v>0.24</v>
      </c>
      <c r="M3" s="8">
        <v>0.6</v>
      </c>
      <c r="N3" s="8">
        <v>0.34</v>
      </c>
      <c r="O3" s="8">
        <v>0.52</v>
      </c>
      <c r="P3" s="8">
        <v>0.2</v>
      </c>
      <c r="Q3" s="8">
        <v>0.28000000000000003</v>
      </c>
      <c r="R3" s="8">
        <v>0.38</v>
      </c>
      <c r="S3" s="8">
        <v>0.6</v>
      </c>
      <c r="T3" s="8">
        <v>0.4</v>
      </c>
      <c r="U3" s="8">
        <v>0.45</v>
      </c>
      <c r="V3" s="8">
        <v>0.02</v>
      </c>
      <c r="W3" s="8">
        <v>0.48</v>
      </c>
      <c r="X3" s="8">
        <v>0.45</v>
      </c>
      <c r="Y3" s="8">
        <v>0.5</v>
      </c>
      <c r="Z3" s="8">
        <v>0.41</v>
      </c>
      <c r="AA3" s="8">
        <v>0.65</v>
      </c>
      <c r="AB3" s="8">
        <v>0.52</v>
      </c>
      <c r="AC3" s="8">
        <v>0.7</v>
      </c>
      <c r="AD3" s="8">
        <v>0.52</v>
      </c>
      <c r="AE3" s="8">
        <v>0.44</v>
      </c>
      <c r="AF3" s="8">
        <v>0.6</v>
      </c>
      <c r="AG3" s="8">
        <v>0.48</v>
      </c>
      <c r="AH3" s="8">
        <v>0.67</v>
      </c>
      <c r="AI3" s="8">
        <v>0.46</v>
      </c>
      <c r="AJ3" s="8">
        <v>0.56999999999999995</v>
      </c>
      <c r="AK3" s="8">
        <v>0.11</v>
      </c>
      <c r="AL3" s="8">
        <v>0.53</v>
      </c>
      <c r="AM3" s="8">
        <v>0.74</v>
      </c>
      <c r="AN3" s="8">
        <v>0.78</v>
      </c>
      <c r="AO3" s="8">
        <v>0.6</v>
      </c>
      <c r="AP3" s="8">
        <v>0.56999999999999995</v>
      </c>
      <c r="AQ3" s="8">
        <v>0.72</v>
      </c>
      <c r="AR3" s="8">
        <v>0.52</v>
      </c>
      <c r="AS3" s="8">
        <v>0.33</v>
      </c>
      <c r="AT3" s="8">
        <v>0.57999999999999996</v>
      </c>
      <c r="AU3" s="8">
        <v>0.75</v>
      </c>
      <c r="AV3" s="8">
        <v>0.65</v>
      </c>
      <c r="AW3" s="8">
        <v>0.77</v>
      </c>
      <c r="AX3" s="8">
        <v>0.74</v>
      </c>
      <c r="AY3" s="8">
        <v>0.8</v>
      </c>
      <c r="AZ3" s="8">
        <v>0.2</v>
      </c>
      <c r="BA3" s="8">
        <v>0.63</v>
      </c>
      <c r="BB3" s="8">
        <v>0.79</v>
      </c>
      <c r="BC3" s="8">
        <v>0.66</v>
      </c>
      <c r="BD3" s="8">
        <v>0.85</v>
      </c>
      <c r="BE3" s="8">
        <v>0.87</v>
      </c>
      <c r="BF3" s="8">
        <v>0.56999999999999995</v>
      </c>
      <c r="BG3" s="8">
        <v>0.63</v>
      </c>
      <c r="BH3" s="8">
        <v>0.83</v>
      </c>
      <c r="BI3" s="8">
        <v>0.9</v>
      </c>
      <c r="BJ3" s="8">
        <v>0.88</v>
      </c>
      <c r="BK3" s="8">
        <v>0.61</v>
      </c>
      <c r="BL3" s="8">
        <v>0.89</v>
      </c>
      <c r="BM3" s="8">
        <v>0.72</v>
      </c>
      <c r="BN3" s="8">
        <v>0.79</v>
      </c>
      <c r="BO3" s="8">
        <v>0.92</v>
      </c>
    </row>
    <row r="4" spans="1:67" ht="16" x14ac:dyDescent="0.2">
      <c r="A4" s="2" t="s">
        <v>340</v>
      </c>
      <c r="B4" s="9">
        <f>B3*B2*Notes!$C$7</f>
        <v>676.51345481479859</v>
      </c>
      <c r="C4" s="9">
        <f>C3*C2*Notes!$C$7</f>
        <v>784.74887442526824</v>
      </c>
      <c r="D4" s="9">
        <f>D3*D2*Notes!$C$7</f>
        <v>679.69114382718419</v>
      </c>
      <c r="E4" s="9">
        <f>E3*E2*Notes!$C$7</f>
        <v>864.18496168020431</v>
      </c>
      <c r="F4" s="9">
        <f>F3*F2*Notes!$C$7</f>
        <v>329.92891004342943</v>
      </c>
      <c r="G4" s="9">
        <f>G3*G2*Notes!$C$7</f>
        <v>478.50825530850022</v>
      </c>
      <c r="H4" s="9">
        <f>H3*H2*Notes!$C$7</f>
        <v>420.00672409005421</v>
      </c>
      <c r="I4" s="9">
        <f>I3*I2*Notes!$C$7</f>
        <v>240.44894707348024</v>
      </c>
      <c r="J4" s="9">
        <f>J3*J2*Notes!$C$7</f>
        <v>252.14092136535157</v>
      </c>
      <c r="K4" s="9">
        <f>K3*K2*Notes!$C$7</f>
        <v>138.39026181711532</v>
      </c>
      <c r="L4" s="9">
        <f>L3*L2*Notes!$C$7</f>
        <v>98.764103508991653</v>
      </c>
      <c r="M4" s="9">
        <f>M3*M2*Notes!$C$7</f>
        <v>242.26355441610787</v>
      </c>
      <c r="N4" s="9">
        <f>N3*N2*Notes!$C$7</f>
        <v>141.41928900508199</v>
      </c>
      <c r="O4" s="9">
        <f>O3*O2*Notes!$C$7</f>
        <v>97.792570563667667</v>
      </c>
      <c r="P4" s="9">
        <f>P3*P2*Notes!$C$7</f>
        <v>32.445739393747054</v>
      </c>
      <c r="Q4" s="9">
        <f>Q3*Q2*Notes!$C$7</f>
        <v>52.494969544918739</v>
      </c>
      <c r="R4" s="9">
        <f>R3*R2*Notes!$C$7</f>
        <v>91.422116647530643</v>
      </c>
      <c r="S4" s="9">
        <f>S3*S2*Notes!$C$7</f>
        <v>78.860725094120156</v>
      </c>
      <c r="T4" s="9">
        <f>T3*T2*Notes!$C$7</f>
        <v>32.32488780013388</v>
      </c>
      <c r="U4" s="9">
        <f>U3*U2*Notes!$C$7</f>
        <v>25.629686200555156</v>
      </c>
      <c r="V4" s="9">
        <f>V3*V2*Notes!$C$7</f>
        <v>1.3974491058229628</v>
      </c>
      <c r="W4" s="9">
        <f>W3*W2*Notes!$C$7</f>
        <v>18.539763889691645</v>
      </c>
      <c r="X4" s="9">
        <f>X3*X2*Notes!$C$7</f>
        <v>22.3642839600382</v>
      </c>
      <c r="Y4" s="9">
        <f>Y3*Y2*Notes!$C$7</f>
        <v>22.894542635935487</v>
      </c>
      <c r="Z4" s="9">
        <f>Z3*Z2*Notes!$C$7</f>
        <v>11.194473312441559</v>
      </c>
      <c r="AA4" s="9">
        <f>AA3*AA2*Notes!$C$7</f>
        <v>26.703504427234243</v>
      </c>
      <c r="AB4" s="9">
        <f>AB3*AB2*Notes!$C$7</f>
        <v>3.434948328599241</v>
      </c>
      <c r="AC4" s="9">
        <f>AC3*AC2*Notes!$C$7</f>
        <v>6.7391373513072717</v>
      </c>
      <c r="AD4" s="9">
        <f>AD3*AD2*Notes!$C$7</f>
        <v>4.2978750748302259</v>
      </c>
      <c r="AE4" s="9">
        <f>AE3*AE2*Notes!$C$7</f>
        <v>3.4883223638692451</v>
      </c>
      <c r="AF4" s="9">
        <f>AF3*AF2*Notes!$C$7</f>
        <v>4.5007403684086595</v>
      </c>
      <c r="AG4" s="9">
        <f>AG3*AG2*Notes!$C$7</f>
        <v>3.6819561379625703</v>
      </c>
      <c r="AH4" s="9">
        <f>AH3*AH2*Notes!$C$7</f>
        <v>5.4196277278052367</v>
      </c>
      <c r="AI4" s="9">
        <f>AI3*AI2*Notes!$C$7</f>
        <v>1.8502822820407685</v>
      </c>
      <c r="AJ4" s="9">
        <f>AJ3*AJ2*Notes!$C$7</f>
        <v>3.3679814687666401</v>
      </c>
      <c r="AK4" s="9">
        <f>AK3*AK2*Notes!$C$7</f>
        <v>0.79028408086620294</v>
      </c>
      <c r="AL4" s="9">
        <f>AL3*AL2*Notes!$C$7</f>
        <v>9.85997991154197</v>
      </c>
      <c r="AM4" s="9">
        <f>AM3*AM2*Notes!$C$7</f>
        <v>4.0161333938120638</v>
      </c>
      <c r="AN4" s="9">
        <f>AN3*AN2*Notes!$C$7</f>
        <v>4.7184358014208598</v>
      </c>
      <c r="AO4" s="9">
        <f>AO3*AO2*Notes!$C$7</f>
        <v>2.6804774178013653</v>
      </c>
      <c r="AP4" s="9">
        <f>AP3*AP2*Notes!$C$7</f>
        <v>3.7107046936068366</v>
      </c>
      <c r="AQ4" s="9">
        <f>AQ3*AQ2*Notes!$C$7</f>
        <v>2.6540281718537364</v>
      </c>
      <c r="AR4" s="9">
        <f>AR3*AR2*Notes!$C$7</f>
        <v>2.0397007862819079</v>
      </c>
      <c r="AS4" s="9">
        <f>AS3*AS2*Notes!$C$7</f>
        <v>1.3050143699583083</v>
      </c>
      <c r="AT4" s="9">
        <f>AT3*AT2*Notes!$C$7</f>
        <v>1.2076793132253427</v>
      </c>
      <c r="AU4" s="9">
        <f>AU3*AU2*Notes!$C$7</f>
        <v>1.4653534424575256</v>
      </c>
      <c r="AV4" s="9">
        <f>AV3*AV2*Notes!$C$7</f>
        <v>1.419200167621558</v>
      </c>
      <c r="AW4" s="9">
        <f>AW3*AW2*Notes!$C$7</f>
        <v>2.8502684965546177</v>
      </c>
      <c r="AX4" s="9">
        <f>AX3*AX2*Notes!$C$7</f>
        <v>2.793959177361732</v>
      </c>
      <c r="AY4" s="9">
        <f>AY3*AY2*Notes!$C$7</f>
        <v>0.82102845369401489</v>
      </c>
      <c r="AZ4" s="9">
        <f>AZ3*AZ2*Notes!$C$7</f>
        <v>0.42292557412889642</v>
      </c>
      <c r="BA4" s="9">
        <f>BA3*BA2*Notes!$C$7</f>
        <v>0.17598796582619422</v>
      </c>
      <c r="BB4" s="9">
        <f>BB3*BB2*Notes!$C$7</f>
        <v>0.6094100909357627</v>
      </c>
      <c r="BC4" s="9">
        <f>BC3*BC2*Notes!$C$7</f>
        <v>0.34250988235455171</v>
      </c>
      <c r="BD4" s="9">
        <f>BD3*BD2*Notes!$C$7</f>
        <v>0.44211475002300538</v>
      </c>
      <c r="BE4" s="9">
        <f>BE3*BE2*Notes!$C$7</f>
        <v>0.2023126249577604</v>
      </c>
      <c r="BF4" s="9">
        <f>BF3*BF2*Notes!$C$7</f>
        <v>2.6898394752878103E-2</v>
      </c>
      <c r="BG4" s="9">
        <f>BG3*BG2*Notes!$C$7</f>
        <v>2.6848066971966938E-2</v>
      </c>
      <c r="BH4" s="9">
        <f>BH3*BH2*Notes!$C$7</f>
        <v>0.1985166336941544</v>
      </c>
      <c r="BI4" s="9">
        <f>BI3*BI2*Notes!$C$7</f>
        <v>0.11928563604042064</v>
      </c>
      <c r="BJ4" s="9">
        <f>BJ3*BJ2*Notes!$C$7</f>
        <v>8.4302413287444089E-2</v>
      </c>
      <c r="BK4" s="9">
        <f>BK3*BK2*Notes!$C$7</f>
        <v>3.7850115961078186E-2</v>
      </c>
      <c r="BL4" s="9">
        <f>BL3*BL2*Notes!$C$7</f>
        <v>0.15713909750143079</v>
      </c>
      <c r="BM4" s="9">
        <f>BM3*BM2*Notes!$C$7</f>
        <v>1.1185629709537096E-2</v>
      </c>
      <c r="BN4" s="9">
        <f>BN3*BN2*Notes!$C$7</f>
        <v>1.1097679252195574E-2</v>
      </c>
      <c r="BO4" s="9">
        <f>BO3*BO2*Notes!$C$7</f>
        <v>1.9905200744813369E-3</v>
      </c>
    </row>
    <row r="6" spans="1:67" ht="15" customHeight="1" x14ac:dyDescent="0.2">
      <c r="A6" s="114" t="s">
        <v>335</v>
      </c>
      <c r="B6" s="9">
        <f>_xlfn.COVARIANCE.P('Data_Matrix (2018)'!$B$2:$B$67,'Data_Matrix (2018)'!B$2:B$67)</f>
        <v>20340909.09090909</v>
      </c>
      <c r="C6" s="9">
        <f>_xlfn.COVARIANCE.P('Data_Matrix (2018)'!$B$2:$B$67,'Data_Matrix (2018)'!C$2:C$67)</f>
        <v>10692536.633954193</v>
      </c>
      <c r="D6" s="9">
        <f>_xlfn.COVARIANCE.P('Data_Matrix (2018)'!$B$2:$B$67,'Data_Matrix (2018)'!D$2:D$67)</f>
        <v>8353424.6488065161</v>
      </c>
      <c r="E6" s="9">
        <f>_xlfn.COVARIANCE.P('Data_Matrix (2018)'!$B$2:$B$67,'Data_Matrix (2018)'!E$2:E$67)</f>
        <v>6621506.7611920256</v>
      </c>
      <c r="F6" s="9">
        <f>_xlfn.COVARIANCE.P('Data_Matrix (2018)'!$B$2:$B$67,'Data_Matrix (2018)'!F$2:F$67)</f>
        <v>4355376.2869573794</v>
      </c>
      <c r="G6" s="9">
        <f>_xlfn.COVARIANCE.P('Data_Matrix (2018)'!$B$2:$B$67,'Data_Matrix (2018)'!G$2:G$67)</f>
        <v>5564261.8157598199</v>
      </c>
      <c r="H6" s="9">
        <f>_xlfn.COVARIANCE.P('Data_Matrix (2018)'!$B$2:$B$67,'Data_Matrix (2018)'!H$2:H$67)</f>
        <v>3133249.3179342803</v>
      </c>
      <c r="I6" s="9">
        <f>_xlfn.COVARIANCE.P('Data_Matrix (2018)'!$B$2:$B$67,'Data_Matrix (2018)'!I$2:I$67)</f>
        <v>2069242.4839668337</v>
      </c>
      <c r="J6" s="9">
        <f>_xlfn.COVARIANCE.P('Data_Matrix (2018)'!$B$2:$B$67,'Data_Matrix (2018)'!J$2:J$67)</f>
        <v>780262.47677447658</v>
      </c>
      <c r="K6" s="9">
        <f>_xlfn.COVARIANCE.P('Data_Matrix (2018)'!$B$2:$B$67,'Data_Matrix (2018)'!K$2:K$67)</f>
        <v>1728708.1267136764</v>
      </c>
      <c r="L6" s="9">
        <f>_xlfn.COVARIANCE.P('Data_Matrix (2018)'!$B$2:$B$67,'Data_Matrix (2018)'!L$2:L$67)</f>
        <v>1261882.6151699016</v>
      </c>
      <c r="M6" s="9">
        <f>_xlfn.COVARIANCE.P('Data_Matrix (2018)'!$B$2:$B$67,'Data_Matrix (2018)'!M$2:M$67)</f>
        <v>673109.16940976935</v>
      </c>
      <c r="N6" s="9">
        <f>_xlfn.COVARIANCE.P('Data_Matrix (2018)'!$B$2:$B$67,'Data_Matrix (2018)'!N$2:N$67)</f>
        <v>1097799.7026769114</v>
      </c>
      <c r="O6" s="9">
        <f>_xlfn.COVARIANCE.P('Data_Matrix (2018)'!$B$2:$B$67,'Data_Matrix (2018)'!O$2:O$67)</f>
        <v>566150.8785643701</v>
      </c>
      <c r="P6" s="9">
        <f>_xlfn.COVARIANCE.P('Data_Matrix (2018)'!$B$2:$B$67,'Data_Matrix (2018)'!P$2:P$67)</f>
        <v>185955.38329714444</v>
      </c>
      <c r="Q6" s="9">
        <f>_xlfn.COVARIANCE.P('Data_Matrix (2018)'!$B$2:$B$67,'Data_Matrix (2018)'!Q$2:Q$67)</f>
        <v>530480.06214748893</v>
      </c>
      <c r="R6" s="9">
        <f>_xlfn.COVARIANCE.P('Data_Matrix (2018)'!$B$2:$B$67,'Data_Matrix (2018)'!R$2:R$67)</f>
        <v>589462.52578012564</v>
      </c>
      <c r="S6" s="9">
        <f>_xlfn.COVARIANCE.P('Data_Matrix (2018)'!$B$2:$B$67,'Data_Matrix (2018)'!S$2:S$67)</f>
        <v>291181.22292077832</v>
      </c>
      <c r="T6" s="9">
        <f>_xlfn.COVARIANCE.P('Data_Matrix (2018)'!$B$2:$B$67,'Data_Matrix (2018)'!T$2:T$67)</f>
        <v>257515.87735182763</v>
      </c>
      <c r="U6" s="9">
        <f>_xlfn.COVARIANCE.P('Data_Matrix (2018)'!$B$2:$B$67,'Data_Matrix (2018)'!U$2:U$67)</f>
        <v>139844.29606177859</v>
      </c>
      <c r="V6" s="9">
        <f>_xlfn.COVARIANCE.P('Data_Matrix (2018)'!$B$2:$B$67,'Data_Matrix (2018)'!V$2:V$67)</f>
        <v>53293.158766081928</v>
      </c>
      <c r="W6" s="9">
        <f>_xlfn.COVARIANCE.P('Data_Matrix (2018)'!$B$2:$B$67,'Data_Matrix (2018)'!W$2:W$67)</f>
        <v>76385.856146471051</v>
      </c>
      <c r="X6" s="9">
        <f>_xlfn.COVARIANCE.P('Data_Matrix (2018)'!$B$2:$B$67,'Data_Matrix (2018)'!X$2:X$67)</f>
        <v>127917.90028743807</v>
      </c>
      <c r="Y6" s="9">
        <f>_xlfn.COVARIANCE.P('Data_Matrix (2018)'!$B$2:$B$67,'Data_Matrix (2018)'!Y$2:Y$67)</f>
        <v>76705.226362812216</v>
      </c>
      <c r="Z6" s="9">
        <f>_xlfn.COVARIANCE.P('Data_Matrix (2018)'!$B$2:$B$67,'Data_Matrix (2018)'!Z$2:Z$67)</f>
        <v>77533.713202789702</v>
      </c>
      <c r="AA6" s="9">
        <f>_xlfn.COVARIANCE.P('Data_Matrix (2018)'!$B$2:$B$67,'Data_Matrix (2018)'!AA$2:AA$67)</f>
        <v>31445.504607538769</v>
      </c>
      <c r="AB6" s="9">
        <f>_xlfn.COVARIANCE.P('Data_Matrix (2018)'!$B$2:$B$67,'Data_Matrix (2018)'!AB$2:AB$67)</f>
        <v>8491.1655058365814</v>
      </c>
      <c r="AC6" s="9">
        <f>_xlfn.COVARIANCE.P('Data_Matrix (2018)'!$B$2:$B$67,'Data_Matrix (2018)'!AC$2:AC$67)</f>
        <v>20929.401868855843</v>
      </c>
      <c r="AD6" s="9">
        <f>_xlfn.COVARIANCE.P('Data_Matrix (2018)'!$B$2:$B$67,'Data_Matrix (2018)'!AD$2:AD$67)</f>
        <v>17449.217193257122</v>
      </c>
      <c r="AE6" s="9">
        <f>_xlfn.COVARIANCE.P('Data_Matrix (2018)'!$B$2:$B$67,'Data_Matrix (2018)'!AE$2:AE$67)</f>
        <v>12433.965752607886</v>
      </c>
      <c r="AF6" s="9">
        <f>_xlfn.COVARIANCE.P('Data_Matrix (2018)'!$B$2:$B$67,'Data_Matrix (2018)'!AF$2:AF$67)</f>
        <v>15795.085605860741</v>
      </c>
      <c r="AG6" s="9">
        <f>_xlfn.COVARIANCE.P('Data_Matrix (2018)'!$B$2:$B$67,'Data_Matrix (2018)'!AG$2:AG$67)</f>
        <v>14042.297492400852</v>
      </c>
      <c r="AH6" s="9">
        <f>_xlfn.COVARIANCE.P('Data_Matrix (2018)'!$B$2:$B$67,'Data_Matrix (2018)'!AH$2:AH$67)</f>
        <v>8157.2932502209778</v>
      </c>
      <c r="AI6" s="9">
        <f>_xlfn.COVARIANCE.P('Data_Matrix (2018)'!$B$2:$B$67,'Data_Matrix (2018)'!AI$2:AI$67)</f>
        <v>6081.273574437746</v>
      </c>
      <c r="AJ6" s="9">
        <f>_xlfn.COVARIANCE.P('Data_Matrix (2018)'!$B$2:$B$67,'Data_Matrix (2018)'!AJ$2:AJ$67)</f>
        <v>9136.6893710429285</v>
      </c>
      <c r="AK6" s="9">
        <f>_xlfn.COVARIANCE.P('Data_Matrix (2018)'!$B$2:$B$67,'Data_Matrix (2018)'!AK$2:AK$67)</f>
        <v>4607.1996795581181</v>
      </c>
      <c r="AL6" s="9">
        <f>_xlfn.COVARIANCE.P('Data_Matrix (2018)'!$B$2:$B$67,'Data_Matrix (2018)'!AL$2:AL$67)</f>
        <v>-8112.026994596763</v>
      </c>
      <c r="AM6" s="9">
        <f>_xlfn.COVARIANCE.P('Data_Matrix (2018)'!$B$2:$B$67,'Data_Matrix (2018)'!AM$2:AM$67)</f>
        <v>4914.4649750049675</v>
      </c>
      <c r="AN6" s="9">
        <f>_xlfn.COVARIANCE.P('Data_Matrix (2018)'!$B$2:$B$67,'Data_Matrix (2018)'!AN$2:AN$67)</f>
        <v>1582.2700977465333</v>
      </c>
      <c r="AO6" s="9">
        <f>_xlfn.COVARIANCE.P('Data_Matrix (2018)'!$B$2:$B$67,'Data_Matrix (2018)'!AO$2:AO$67)</f>
        <v>4825.9980697889814</v>
      </c>
      <c r="AP6" s="9">
        <f>_xlfn.COVARIANCE.P('Data_Matrix (2018)'!$B$2:$B$67,'Data_Matrix (2018)'!AP$2:AP$67)</f>
        <v>5198.9285473064037</v>
      </c>
      <c r="AQ6" s="9">
        <f>_xlfn.COVARIANCE.P('Data_Matrix (2018)'!$B$2:$B$67,'Data_Matrix (2018)'!AQ$2:AQ$67)</f>
        <v>5638.0595116747427</v>
      </c>
      <c r="AR6" s="9">
        <f>_xlfn.COVARIANCE.P('Data_Matrix (2018)'!$B$2:$B$67,'Data_Matrix (2018)'!AR$2:AR$67)</f>
        <v>484.07235717964426</v>
      </c>
      <c r="AS6" s="9">
        <f>_xlfn.COVARIANCE.P('Data_Matrix (2018)'!$B$2:$B$67,'Data_Matrix (2018)'!AS$2:AS$67)</f>
        <v>-16.73533241265331</v>
      </c>
      <c r="AT6" s="9">
        <f>_xlfn.COVARIANCE.P('Data_Matrix (2018)'!$B$2:$B$67,'Data_Matrix (2018)'!AT$2:AT$67)</f>
        <v>2117.3874514977942</v>
      </c>
      <c r="AU6" s="9">
        <f>_xlfn.COVARIANCE.P('Data_Matrix (2018)'!$B$2:$B$67,'Data_Matrix (2018)'!AU$2:AU$67)</f>
        <v>-1546.5091715127633</v>
      </c>
      <c r="AV6" s="9">
        <f>_xlfn.COVARIANCE.P('Data_Matrix (2018)'!$B$2:$B$67,'Data_Matrix (2018)'!AV$2:AV$67)</f>
        <v>3515.4995760677425</v>
      </c>
      <c r="AW6" s="9">
        <f>_xlfn.COVARIANCE.P('Data_Matrix (2018)'!$B$2:$B$67,'Data_Matrix (2018)'!AW$2:AW$67)</f>
        <v>-1920.3033984894835</v>
      </c>
      <c r="AX6" s="9">
        <f>_xlfn.COVARIANCE.P('Data_Matrix (2018)'!$B$2:$B$67,'Data_Matrix (2018)'!AX$2:AX$67)</f>
        <v>1624.9073697289632</v>
      </c>
      <c r="AY6" s="9">
        <f>_xlfn.COVARIANCE.P('Data_Matrix (2018)'!$B$2:$B$67,'Data_Matrix (2018)'!AY$2:AY$67)</f>
        <v>300.43624163547287</v>
      </c>
      <c r="AZ6" s="9">
        <f>_xlfn.COVARIANCE.P('Data_Matrix (2018)'!$B$2:$B$67,'Data_Matrix (2018)'!AZ$2:AZ$67)</f>
        <v>18.90981274390672</v>
      </c>
      <c r="BA6" s="9">
        <f>_xlfn.COVARIANCE.P('Data_Matrix (2018)'!$B$2:$B$67,'Data_Matrix (2018)'!BA$2:BA$67)</f>
        <v>-0.18807331165343363</v>
      </c>
      <c r="BB6" s="9">
        <f>_xlfn.COVARIANCE.P('Data_Matrix (2018)'!$B$2:$B$67,'Data_Matrix (2018)'!BB$2:BB$67)</f>
        <v>-62.663209566104577</v>
      </c>
      <c r="BC6" s="9">
        <f>_xlfn.COVARIANCE.P('Data_Matrix (2018)'!$B$2:$B$67,'Data_Matrix (2018)'!BC$2:BC$67)</f>
        <v>186.24069469738509</v>
      </c>
      <c r="BD6" s="9">
        <f>_xlfn.COVARIANCE.P('Data_Matrix (2018)'!$B$2:$B$67,'Data_Matrix (2018)'!BD$2:BD$67)</f>
        <v>-58.641362491576217</v>
      </c>
      <c r="BE6" s="9">
        <f>_xlfn.COVARIANCE.P('Data_Matrix (2018)'!$B$2:$B$67,'Data_Matrix (2018)'!BE$2:BE$67)</f>
        <v>26.435341353795963</v>
      </c>
      <c r="BF6" s="9">
        <f>_xlfn.COVARIANCE.P('Data_Matrix (2018)'!$B$2:$B$67,'Data_Matrix (2018)'!BF$2:BF$67)</f>
        <v>-2.0449784361616068</v>
      </c>
      <c r="BG6" s="9">
        <f>_xlfn.COVARIANCE.P('Data_Matrix (2018)'!$B$2:$B$67,'Data_Matrix (2018)'!BG$2:BG$67)</f>
        <v>16.608389522912368</v>
      </c>
      <c r="BH6" s="9">
        <f>_xlfn.COVARIANCE.P('Data_Matrix (2018)'!$B$2:$B$67,'Data_Matrix (2018)'!BH$2:BH$67)</f>
        <v>209.3217206595088</v>
      </c>
      <c r="BI6" s="9">
        <f>_xlfn.COVARIANCE.P('Data_Matrix (2018)'!$B$2:$B$67,'Data_Matrix (2018)'!BI$2:BI$67)</f>
        <v>102.07598562661735</v>
      </c>
      <c r="BJ6" s="9">
        <f>_xlfn.COVARIANCE.P('Data_Matrix (2018)'!$B$2:$B$67,'Data_Matrix (2018)'!BJ$2:BJ$67)</f>
        <v>133.7486147610293</v>
      </c>
      <c r="BK6" s="9">
        <f>_xlfn.COVARIANCE.P('Data_Matrix (2018)'!$B$2:$B$67,'Data_Matrix (2018)'!BK$2:BK$67)</f>
        <v>-10.573089256278358</v>
      </c>
      <c r="BL6" s="9">
        <f>_xlfn.COVARIANCE.P('Data_Matrix (2018)'!$B$2:$B$67,'Data_Matrix (2018)'!BL$2:BL$67)</f>
        <v>-0.75555414564025647</v>
      </c>
      <c r="BM6" s="9">
        <f>_xlfn.COVARIANCE.P('Data_Matrix (2018)'!$B$2:$B$67,'Data_Matrix (2018)'!BM$2:BM$67)</f>
        <v>3.5192887510067647</v>
      </c>
      <c r="BN6" s="9">
        <f>_xlfn.COVARIANCE.P('Data_Matrix (2018)'!$B$2:$B$67,'Data_Matrix (2018)'!BN$2:BN$67)</f>
        <v>-4.7169071610090194</v>
      </c>
      <c r="BO6" s="9">
        <f>_xlfn.COVARIANCE.P('Data_Matrix (2018)'!$B$2:$B$67,'Data_Matrix (2018)'!BO$2:BO$67)</f>
        <v>-0.40254396054258335</v>
      </c>
    </row>
    <row r="7" spans="1:67" x14ac:dyDescent="0.2">
      <c r="A7" s="114"/>
      <c r="B7" s="9">
        <f>_xlfn.COVARIANCE.P('Data_Matrix (2018)'!$C$2:$C$67,'Data_Matrix (2018)'!B$2:B$67)</f>
        <v>10692536.633954193</v>
      </c>
      <c r="C7" s="9">
        <f>_xlfn.COVARIANCE.P('Data_Matrix (2018)'!$C$2:$C$67,'Data_Matrix (2018)'!C$2:C$67)</f>
        <v>15395769.897793116</v>
      </c>
      <c r="D7" s="9">
        <f>_xlfn.COVARIANCE.P('Data_Matrix (2018)'!$C$2:$C$67,'Data_Matrix (2018)'!D$2:D$67)</f>
        <v>9105077.8316324782</v>
      </c>
      <c r="E7" s="9">
        <f>_xlfn.COVARIANCE.P('Data_Matrix (2018)'!$C$2:$C$67,'Data_Matrix (2018)'!E$2:E$67)</f>
        <v>7512601.1064849226</v>
      </c>
      <c r="F7" s="9">
        <f>_xlfn.COVARIANCE.P('Data_Matrix (2018)'!$C$2:$C$67,'Data_Matrix (2018)'!F$2:F$67)</f>
        <v>3880278.0875256499</v>
      </c>
      <c r="G7" s="9">
        <f>_xlfn.COVARIANCE.P('Data_Matrix (2018)'!$C$2:$C$67,'Data_Matrix (2018)'!G$2:G$67)</f>
        <v>7421210.4939256562</v>
      </c>
      <c r="H7" s="9">
        <f>_xlfn.COVARIANCE.P('Data_Matrix (2018)'!$C$2:$C$67,'Data_Matrix (2018)'!H$2:H$67)</f>
        <v>2655971.3157581054</v>
      </c>
      <c r="I7" s="9">
        <f>_xlfn.COVARIANCE.P('Data_Matrix (2018)'!$C$2:$C$67,'Data_Matrix (2018)'!I$2:I$67)</f>
        <v>2711473.3951154342</v>
      </c>
      <c r="J7" s="9">
        <f>_xlfn.COVARIANCE.P('Data_Matrix (2018)'!$C$2:$C$67,'Data_Matrix (2018)'!J$2:J$67)</f>
        <v>1321298.8650707491</v>
      </c>
      <c r="K7" s="9">
        <f>_xlfn.COVARIANCE.P('Data_Matrix (2018)'!$C$2:$C$67,'Data_Matrix (2018)'!K$2:K$67)</f>
        <v>1759242.3450157149</v>
      </c>
      <c r="L7" s="9">
        <f>_xlfn.COVARIANCE.P('Data_Matrix (2018)'!$C$2:$C$67,'Data_Matrix (2018)'!L$2:L$67)</f>
        <v>1428766.7510359818</v>
      </c>
      <c r="M7" s="9">
        <f>_xlfn.COVARIANCE.P('Data_Matrix (2018)'!$C$2:$C$67,'Data_Matrix (2018)'!M$2:M$67)</f>
        <v>1144664.2314040826</v>
      </c>
      <c r="N7" s="9">
        <f>_xlfn.COVARIANCE.P('Data_Matrix (2018)'!$C$2:$C$67,'Data_Matrix (2018)'!N$2:N$67)</f>
        <v>1492728.6049940041</v>
      </c>
      <c r="O7" s="9">
        <f>_xlfn.COVARIANCE.P('Data_Matrix (2018)'!$C$2:$C$67,'Data_Matrix (2018)'!O$2:O$67)</f>
        <v>677481.6874887665</v>
      </c>
      <c r="P7" s="9">
        <f>_xlfn.COVARIANCE.P('Data_Matrix (2018)'!$C$2:$C$67,'Data_Matrix (2018)'!P$2:P$67)</f>
        <v>135591.86090416892</v>
      </c>
      <c r="Q7" s="9">
        <f>_xlfn.COVARIANCE.P('Data_Matrix (2018)'!$C$2:$C$67,'Data_Matrix (2018)'!Q$2:Q$67)</f>
        <v>574466.75255595066</v>
      </c>
      <c r="R7" s="9">
        <f>_xlfn.COVARIANCE.P('Data_Matrix (2018)'!$C$2:$C$67,'Data_Matrix (2018)'!R$2:R$67)</f>
        <v>721646.60921481939</v>
      </c>
      <c r="S7" s="9">
        <f>_xlfn.COVARIANCE.P('Data_Matrix (2018)'!$C$2:$C$67,'Data_Matrix (2018)'!S$2:S$67)</f>
        <v>381081.99390522484</v>
      </c>
      <c r="T7" s="9">
        <f>_xlfn.COVARIANCE.P('Data_Matrix (2018)'!$C$2:$C$67,'Data_Matrix (2018)'!T$2:T$67)</f>
        <v>290113.39909977431</v>
      </c>
      <c r="U7" s="9">
        <f>_xlfn.COVARIANCE.P('Data_Matrix (2018)'!$C$2:$C$67,'Data_Matrix (2018)'!U$2:U$67)</f>
        <v>182566.23580089351</v>
      </c>
      <c r="V7" s="9">
        <f>_xlfn.COVARIANCE.P('Data_Matrix (2018)'!$C$2:$C$67,'Data_Matrix (2018)'!V$2:V$67)</f>
        <v>123075.96601239698</v>
      </c>
      <c r="W7" s="9">
        <f>_xlfn.COVARIANCE.P('Data_Matrix (2018)'!$C$2:$C$67,'Data_Matrix (2018)'!W$2:W$67)</f>
        <v>99528.389441475825</v>
      </c>
      <c r="X7" s="9">
        <f>_xlfn.COVARIANCE.P('Data_Matrix (2018)'!$C$2:$C$67,'Data_Matrix (2018)'!X$2:X$67)</f>
        <v>160781.15600598315</v>
      </c>
      <c r="Y7" s="9">
        <f>_xlfn.COVARIANCE.P('Data_Matrix (2018)'!$C$2:$C$67,'Data_Matrix (2018)'!Y$2:Y$67)</f>
        <v>137423.06232197548</v>
      </c>
      <c r="Z7" s="9">
        <f>_xlfn.COVARIANCE.P('Data_Matrix (2018)'!$C$2:$C$67,'Data_Matrix (2018)'!Z$2:Z$67)</f>
        <v>79836.552322550488</v>
      </c>
      <c r="AA7" s="9">
        <f>_xlfn.COVARIANCE.P('Data_Matrix (2018)'!$C$2:$C$67,'Data_Matrix (2018)'!AA$2:AA$67)</f>
        <v>65720.313380543375</v>
      </c>
      <c r="AB7" s="9">
        <f>_xlfn.COVARIANCE.P('Data_Matrix (2018)'!$C$2:$C$67,'Data_Matrix (2018)'!AB$2:AB$67)</f>
        <v>15688.603310404606</v>
      </c>
      <c r="AC7" s="9">
        <f>_xlfn.COVARIANCE.P('Data_Matrix (2018)'!$C$2:$C$67,'Data_Matrix (2018)'!AC$2:AC$67)</f>
        <v>12558.930575934728</v>
      </c>
      <c r="AD7" s="9">
        <f>_xlfn.COVARIANCE.P('Data_Matrix (2018)'!$C$2:$C$67,'Data_Matrix (2018)'!AD$2:AD$67)</f>
        <v>22254.116527652106</v>
      </c>
      <c r="AE7" s="9">
        <f>_xlfn.COVARIANCE.P('Data_Matrix (2018)'!$C$2:$C$67,'Data_Matrix (2018)'!AE$2:AE$67)</f>
        <v>5039.3488987587971</v>
      </c>
      <c r="AF7" s="9">
        <f>_xlfn.COVARIANCE.P('Data_Matrix (2018)'!$C$2:$C$67,'Data_Matrix (2018)'!AF$2:AF$67)</f>
        <v>12699.856182375745</v>
      </c>
      <c r="AG7" s="9">
        <f>_xlfn.COVARIANCE.P('Data_Matrix (2018)'!$C$2:$C$67,'Data_Matrix (2018)'!AG$2:AG$67)</f>
        <v>10439.691645913394</v>
      </c>
      <c r="AH7" s="9">
        <f>_xlfn.COVARIANCE.P('Data_Matrix (2018)'!$C$2:$C$67,'Data_Matrix (2018)'!AH$2:AH$67)</f>
        <v>860.04620038082601</v>
      </c>
      <c r="AI7" s="9">
        <f>_xlfn.COVARIANCE.P('Data_Matrix (2018)'!$C$2:$C$67,'Data_Matrix (2018)'!AI$2:AI$67)</f>
        <v>10322.802944639041</v>
      </c>
      <c r="AJ7" s="9">
        <f>_xlfn.COVARIANCE.P('Data_Matrix (2018)'!$C$2:$C$67,'Data_Matrix (2018)'!AJ$2:AJ$67)</f>
        <v>7421.1023081593339</v>
      </c>
      <c r="AK7" s="9">
        <f>_xlfn.COVARIANCE.P('Data_Matrix (2018)'!$C$2:$C$67,'Data_Matrix (2018)'!AK$2:AK$67)</f>
        <v>5086.3557886812196</v>
      </c>
      <c r="AL7" s="9">
        <f>_xlfn.COVARIANCE.P('Data_Matrix (2018)'!$C$2:$C$67,'Data_Matrix (2018)'!AL$2:AL$67)</f>
        <v>-12007.439592291525</v>
      </c>
      <c r="AM7" s="9">
        <f>_xlfn.COVARIANCE.P('Data_Matrix (2018)'!$C$2:$C$67,'Data_Matrix (2018)'!AM$2:AM$67)</f>
        <v>4662.453127433866</v>
      </c>
      <c r="AN7" s="9">
        <f>_xlfn.COVARIANCE.P('Data_Matrix (2018)'!$C$2:$C$67,'Data_Matrix (2018)'!AN$2:AN$67)</f>
        <v>3278.7760799290631</v>
      </c>
      <c r="AO7" s="9">
        <f>_xlfn.COVARIANCE.P('Data_Matrix (2018)'!$C$2:$C$67,'Data_Matrix (2018)'!AO$2:AO$67)</f>
        <v>6171.090114954005</v>
      </c>
      <c r="AP7" s="9">
        <f>_xlfn.COVARIANCE.P('Data_Matrix (2018)'!$C$2:$C$67,'Data_Matrix (2018)'!AP$2:AP$67)</f>
        <v>14296.962971795965</v>
      </c>
      <c r="AQ7" s="9">
        <f>_xlfn.COVARIANCE.P('Data_Matrix (2018)'!$C$2:$C$67,'Data_Matrix (2018)'!AQ$2:AQ$67)</f>
        <v>3591.7623633295489</v>
      </c>
      <c r="AR7" s="9">
        <f>_xlfn.COVARIANCE.P('Data_Matrix (2018)'!$C$2:$C$67,'Data_Matrix (2018)'!AR$2:AR$67)</f>
        <v>6859.0900224498519</v>
      </c>
      <c r="AS7" s="9">
        <f>_xlfn.COVARIANCE.P('Data_Matrix (2018)'!$C$2:$C$67,'Data_Matrix (2018)'!AS$2:AS$67)</f>
        <v>2081.3023272287205</v>
      </c>
      <c r="AT7" s="9">
        <f>_xlfn.COVARIANCE.P('Data_Matrix (2018)'!$C$2:$C$67,'Data_Matrix (2018)'!AT$2:AT$67)</f>
        <v>27.167319188730239</v>
      </c>
      <c r="AU7" s="9">
        <f>_xlfn.COVARIANCE.P('Data_Matrix (2018)'!$C$2:$C$67,'Data_Matrix (2018)'!AU$2:AU$67)</f>
        <v>461.5790289913383</v>
      </c>
      <c r="AV7" s="9">
        <f>_xlfn.COVARIANCE.P('Data_Matrix (2018)'!$C$2:$C$67,'Data_Matrix (2018)'!AV$2:AV$67)</f>
        <v>1771.4967275083204</v>
      </c>
      <c r="AW7" s="9">
        <f>_xlfn.COVARIANCE.P('Data_Matrix (2018)'!$C$2:$C$67,'Data_Matrix (2018)'!AW$2:AW$67)</f>
        <v>134.54436922554751</v>
      </c>
      <c r="AX7" s="9">
        <f>_xlfn.COVARIANCE.P('Data_Matrix (2018)'!$C$2:$C$67,'Data_Matrix (2018)'!AX$2:AX$67)</f>
        <v>399.4746606546305</v>
      </c>
      <c r="AY7" s="9">
        <f>_xlfn.COVARIANCE.P('Data_Matrix (2018)'!$C$2:$C$67,'Data_Matrix (2018)'!AY$2:AY$67)</f>
        <v>1716.0898768983589</v>
      </c>
      <c r="AZ7" s="9">
        <f>_xlfn.COVARIANCE.P('Data_Matrix (2018)'!$C$2:$C$67,'Data_Matrix (2018)'!AZ$2:AZ$67)</f>
        <v>1647.6346032207234</v>
      </c>
      <c r="BA7" s="9">
        <f>_xlfn.COVARIANCE.P('Data_Matrix (2018)'!$C$2:$C$67,'Data_Matrix (2018)'!BA$2:BA$67)</f>
        <v>109.98492961354965</v>
      </c>
      <c r="BB7" s="9">
        <f>_xlfn.COVARIANCE.P('Data_Matrix (2018)'!$C$2:$C$67,'Data_Matrix (2018)'!BB$2:BB$67)</f>
        <v>429.67308930463298</v>
      </c>
      <c r="BC7" s="9">
        <f>_xlfn.COVARIANCE.P('Data_Matrix (2018)'!$C$2:$C$67,'Data_Matrix (2018)'!BC$2:BC$67)</f>
        <v>797.78339808816952</v>
      </c>
      <c r="BD7" s="9">
        <f>_xlfn.COVARIANCE.P('Data_Matrix (2018)'!$C$2:$C$67,'Data_Matrix (2018)'!BD$2:BD$67)</f>
        <v>-107.63105577711717</v>
      </c>
      <c r="BE7" s="9">
        <f>_xlfn.COVARIANCE.P('Data_Matrix (2018)'!$C$2:$C$67,'Data_Matrix (2018)'!BE$2:BE$67)</f>
        <v>239.88956241442173</v>
      </c>
      <c r="BF7" s="9">
        <f>_xlfn.COVARIANCE.P('Data_Matrix (2018)'!$C$2:$C$67,'Data_Matrix (2018)'!BF$2:BF$67)</f>
        <v>7.3105364144812075</v>
      </c>
      <c r="BG7" s="9">
        <f>_xlfn.COVARIANCE.P('Data_Matrix (2018)'!$C$2:$C$67,'Data_Matrix (2018)'!BG$2:BG$67)</f>
        <v>12.205662952670492</v>
      </c>
      <c r="BH7" s="9">
        <f>_xlfn.COVARIANCE.P('Data_Matrix (2018)'!$C$2:$C$67,'Data_Matrix (2018)'!BH$2:BH$67)</f>
        <v>355.79355604309018</v>
      </c>
      <c r="BI7" s="9">
        <f>_xlfn.COVARIANCE.P('Data_Matrix (2018)'!$C$2:$C$67,'Data_Matrix (2018)'!BI$2:BI$67)</f>
        <v>87.819201924920449</v>
      </c>
      <c r="BJ7" s="9">
        <f>_xlfn.COVARIANCE.P('Data_Matrix (2018)'!$C$2:$C$67,'Data_Matrix (2018)'!BJ$2:BJ$67)</f>
        <v>54.230217571691448</v>
      </c>
      <c r="BK7" s="9">
        <f>_xlfn.COVARIANCE.P('Data_Matrix (2018)'!$C$2:$C$67,'Data_Matrix (2018)'!BK$2:BK$67)</f>
        <v>15.673340295228</v>
      </c>
      <c r="BL7" s="9">
        <f>_xlfn.COVARIANCE.P('Data_Matrix (2018)'!$C$2:$C$67,'Data_Matrix (2018)'!BL$2:BL$67)</f>
        <v>9.1008647800465479</v>
      </c>
      <c r="BM7" s="9">
        <f>_xlfn.COVARIANCE.P('Data_Matrix (2018)'!$C$2:$C$67,'Data_Matrix (2018)'!BM$2:BM$67)</f>
        <v>3.8648146662373466</v>
      </c>
      <c r="BN7" s="9">
        <f>_xlfn.COVARIANCE.P('Data_Matrix (2018)'!$C$2:$C$67,'Data_Matrix (2018)'!BN$2:BN$67)</f>
        <v>-0.25659495653674635</v>
      </c>
      <c r="BO7" s="9">
        <f>_xlfn.COVARIANCE.P('Data_Matrix (2018)'!$C$2:$C$67,'Data_Matrix (2018)'!BO$2:BO$67)</f>
        <v>0.39582123849996975</v>
      </c>
    </row>
    <row r="8" spans="1:67" x14ac:dyDescent="0.2">
      <c r="B8" s="9">
        <f>_xlfn.COVARIANCE.P('Data_Matrix (2018)'!$D$2:$D$67,'Data_Matrix (2018)'!B$2:B$67)</f>
        <v>8353424.6488065161</v>
      </c>
      <c r="C8" s="9">
        <f>_xlfn.COVARIANCE.P('Data_Matrix (2018)'!$D$2:$D$67,'Data_Matrix (2018)'!C$2:C$67)</f>
        <v>9105077.8316324782</v>
      </c>
      <c r="D8" s="9">
        <f>_xlfn.COVARIANCE.P('Data_Matrix (2018)'!$D$2:$D$67,'Data_Matrix (2018)'!D$2:D$67)</f>
        <v>7391680.8159536887</v>
      </c>
      <c r="E8" s="9">
        <f>_xlfn.COVARIANCE.P('Data_Matrix (2018)'!$D$2:$D$67,'Data_Matrix (2018)'!E$2:E$67)</f>
        <v>4670286.5334193604</v>
      </c>
      <c r="F8" s="9">
        <f>_xlfn.COVARIANCE.P('Data_Matrix (2018)'!$D$2:$D$67,'Data_Matrix (2018)'!F$2:F$67)</f>
        <v>2596675.564917482</v>
      </c>
      <c r="G8" s="9">
        <f>_xlfn.COVARIANCE.P('Data_Matrix (2018)'!$D$2:$D$67,'Data_Matrix (2018)'!G$2:G$67)</f>
        <v>4992154.9706247607</v>
      </c>
      <c r="H8" s="9">
        <f>_xlfn.COVARIANCE.P('Data_Matrix (2018)'!$D$2:$D$67,'Data_Matrix (2018)'!H$2:H$67)</f>
        <v>2244726.9575036708</v>
      </c>
      <c r="I8" s="9">
        <f>_xlfn.COVARIANCE.P('Data_Matrix (2018)'!$D$2:$D$67,'Data_Matrix (2018)'!I$2:I$67)</f>
        <v>2119855.8855397282</v>
      </c>
      <c r="J8" s="9">
        <f>_xlfn.COVARIANCE.P('Data_Matrix (2018)'!$D$2:$D$67,'Data_Matrix (2018)'!J$2:J$67)</f>
        <v>1021763.3057596135</v>
      </c>
      <c r="K8" s="9">
        <f>_xlfn.COVARIANCE.P('Data_Matrix (2018)'!$D$2:$D$67,'Data_Matrix (2018)'!K$2:K$67)</f>
        <v>1133598.7577341602</v>
      </c>
      <c r="L8" s="9">
        <f>_xlfn.COVARIANCE.P('Data_Matrix (2018)'!$D$2:$D$67,'Data_Matrix (2018)'!L$2:L$67)</f>
        <v>916024.01599592785</v>
      </c>
      <c r="M8" s="9">
        <f>_xlfn.COVARIANCE.P('Data_Matrix (2018)'!$D$2:$D$67,'Data_Matrix (2018)'!M$2:M$67)</f>
        <v>727759.78193746135</v>
      </c>
      <c r="N8" s="9">
        <f>_xlfn.COVARIANCE.P('Data_Matrix (2018)'!$D$2:$D$67,'Data_Matrix (2018)'!N$2:N$67)</f>
        <v>1000739.1999768356</v>
      </c>
      <c r="O8" s="9">
        <f>_xlfn.COVARIANCE.P('Data_Matrix (2018)'!$D$2:$D$67,'Data_Matrix (2018)'!O$2:O$67)</f>
        <v>426186.43185589387</v>
      </c>
      <c r="P8" s="9">
        <f>_xlfn.COVARIANCE.P('Data_Matrix (2018)'!$D$2:$D$67,'Data_Matrix (2018)'!P$2:P$67)</f>
        <v>93762.824902317574</v>
      </c>
      <c r="Q8" s="9">
        <f>_xlfn.COVARIANCE.P('Data_Matrix (2018)'!$D$2:$D$67,'Data_Matrix (2018)'!Q$2:Q$67)</f>
        <v>375538.13101247163</v>
      </c>
      <c r="R8" s="9">
        <f>_xlfn.COVARIANCE.P('Data_Matrix (2018)'!$D$2:$D$67,'Data_Matrix (2018)'!R$2:R$67)</f>
        <v>451352.92899997433</v>
      </c>
      <c r="S8" s="9">
        <f>_xlfn.COVARIANCE.P('Data_Matrix (2018)'!$D$2:$D$67,'Data_Matrix (2018)'!S$2:S$67)</f>
        <v>260255.38647650424</v>
      </c>
      <c r="T8" s="9">
        <f>_xlfn.COVARIANCE.P('Data_Matrix (2018)'!$D$2:$D$67,'Data_Matrix (2018)'!T$2:T$67)</f>
        <v>197787.48727426142</v>
      </c>
      <c r="U8" s="9">
        <f>_xlfn.COVARIANCE.P('Data_Matrix (2018)'!$D$2:$D$67,'Data_Matrix (2018)'!U$2:U$67)</f>
        <v>105128.21609710978</v>
      </c>
      <c r="V8" s="9">
        <f>_xlfn.COVARIANCE.P('Data_Matrix (2018)'!$D$2:$D$67,'Data_Matrix (2018)'!V$2:V$67)</f>
        <v>48776.985466037077</v>
      </c>
      <c r="W8" s="9">
        <f>_xlfn.COVARIANCE.P('Data_Matrix (2018)'!$D$2:$D$67,'Data_Matrix (2018)'!W$2:W$67)</f>
        <v>61488.3419478125</v>
      </c>
      <c r="X8" s="9">
        <f>_xlfn.COVARIANCE.P('Data_Matrix (2018)'!$D$2:$D$67,'Data_Matrix (2018)'!X$2:X$67)</f>
        <v>98258.357855014227</v>
      </c>
      <c r="Y8" s="9">
        <f>_xlfn.COVARIANCE.P('Data_Matrix (2018)'!$D$2:$D$67,'Data_Matrix (2018)'!Y$2:Y$67)</f>
        <v>79744.99691483198</v>
      </c>
      <c r="Z8" s="9">
        <f>_xlfn.COVARIANCE.P('Data_Matrix (2018)'!$D$2:$D$67,'Data_Matrix (2018)'!Z$2:Z$67)</f>
        <v>48469.993291353567</v>
      </c>
      <c r="AA8" s="9">
        <f>_xlfn.COVARIANCE.P('Data_Matrix (2018)'!$D$2:$D$67,'Data_Matrix (2018)'!AA$2:AA$67)</f>
        <v>40465.79689826502</v>
      </c>
      <c r="AB8" s="9">
        <f>_xlfn.COVARIANCE.P('Data_Matrix (2018)'!$D$2:$D$67,'Data_Matrix (2018)'!AB$2:AB$67)</f>
        <v>9651.8828646148413</v>
      </c>
      <c r="AC8" s="9">
        <f>_xlfn.COVARIANCE.P('Data_Matrix (2018)'!$D$2:$D$67,'Data_Matrix (2018)'!AC$2:AC$67)</f>
        <v>7569.2385698038897</v>
      </c>
      <c r="AD8" s="9">
        <f>_xlfn.COVARIANCE.P('Data_Matrix (2018)'!$D$2:$D$67,'Data_Matrix (2018)'!AD$2:AD$67)</f>
        <v>14874.297353549715</v>
      </c>
      <c r="AE8" s="9">
        <f>_xlfn.COVARIANCE.P('Data_Matrix (2018)'!$D$2:$D$67,'Data_Matrix (2018)'!AE$2:AE$67)</f>
        <v>3944.0458734425529</v>
      </c>
      <c r="AF8" s="9">
        <f>_xlfn.COVARIANCE.P('Data_Matrix (2018)'!$D$2:$D$67,'Data_Matrix (2018)'!AF$2:AF$67)</f>
        <v>8449.5967821373779</v>
      </c>
      <c r="AG8" s="9">
        <f>_xlfn.COVARIANCE.P('Data_Matrix (2018)'!$D$2:$D$67,'Data_Matrix (2018)'!AG$2:AG$67)</f>
        <v>5536.4829493321758</v>
      </c>
      <c r="AH8" s="9">
        <f>_xlfn.COVARIANCE.P('Data_Matrix (2018)'!$D$2:$D$67,'Data_Matrix (2018)'!AH$2:AH$67)</f>
        <v>4408.3687121710909</v>
      </c>
      <c r="AI8" s="9">
        <f>_xlfn.COVARIANCE.P('Data_Matrix (2018)'!$D$2:$D$67,'Data_Matrix (2018)'!AI$2:AI$67)</f>
        <v>6014.7207982238506</v>
      </c>
      <c r="AJ8" s="9">
        <f>_xlfn.COVARIANCE.P('Data_Matrix (2018)'!$D$2:$D$67,'Data_Matrix (2018)'!AJ$2:AJ$67)</f>
        <v>4798.5238717757093</v>
      </c>
      <c r="AK8" s="9">
        <f>_xlfn.COVARIANCE.P('Data_Matrix (2018)'!$D$2:$D$67,'Data_Matrix (2018)'!AK$2:AK$67)</f>
        <v>1406.1661420288849</v>
      </c>
      <c r="AL8" s="9">
        <f>_xlfn.COVARIANCE.P('Data_Matrix (2018)'!$D$2:$D$67,'Data_Matrix (2018)'!AL$2:AL$67)</f>
        <v>-10813.221871169471</v>
      </c>
      <c r="AM8" s="9">
        <f>_xlfn.COVARIANCE.P('Data_Matrix (2018)'!$D$2:$D$67,'Data_Matrix (2018)'!AM$2:AM$67)</f>
        <v>4488.2958145522562</v>
      </c>
      <c r="AN8" s="9">
        <f>_xlfn.COVARIANCE.P('Data_Matrix (2018)'!$D$2:$D$67,'Data_Matrix (2018)'!AN$2:AN$67)</f>
        <v>4446.9953842076984</v>
      </c>
      <c r="AO8" s="9">
        <f>_xlfn.COVARIANCE.P('Data_Matrix (2018)'!$D$2:$D$67,'Data_Matrix (2018)'!AO$2:AO$67)</f>
        <v>2517.1767142573458</v>
      </c>
      <c r="AP8" s="9">
        <f>_xlfn.COVARIANCE.P('Data_Matrix (2018)'!$D$2:$D$67,'Data_Matrix (2018)'!AP$2:AP$67)</f>
        <v>6635.2480942013326</v>
      </c>
      <c r="AQ8" s="9">
        <f>_xlfn.COVARIANCE.P('Data_Matrix (2018)'!$D$2:$D$67,'Data_Matrix (2018)'!AQ$2:AQ$67)</f>
        <v>2447.3241996929623</v>
      </c>
      <c r="AR8" s="9">
        <f>_xlfn.COVARIANCE.P('Data_Matrix (2018)'!$D$2:$D$67,'Data_Matrix (2018)'!AR$2:AR$67)</f>
        <v>2628.3150963483308</v>
      </c>
      <c r="AS8" s="9">
        <f>_xlfn.COVARIANCE.P('Data_Matrix (2018)'!$D$2:$D$67,'Data_Matrix (2018)'!AS$2:AS$67)</f>
        <v>1356.5196388601621</v>
      </c>
      <c r="AT8" s="9">
        <f>_xlfn.COVARIANCE.P('Data_Matrix (2018)'!$D$2:$D$67,'Data_Matrix (2018)'!AT$2:AT$67)</f>
        <v>366.51369735804485</v>
      </c>
      <c r="AU8" s="9">
        <f>_xlfn.COVARIANCE.P('Data_Matrix (2018)'!$D$2:$D$67,'Data_Matrix (2018)'!AU$2:AU$67)</f>
        <v>-8.4670908101768756</v>
      </c>
      <c r="AV8" s="9">
        <f>_xlfn.COVARIANCE.P('Data_Matrix (2018)'!$D$2:$D$67,'Data_Matrix (2018)'!AV$2:AV$67)</f>
        <v>867.81891191301474</v>
      </c>
      <c r="AW8" s="9">
        <f>_xlfn.COVARIANCE.P('Data_Matrix (2018)'!$D$2:$D$67,'Data_Matrix (2018)'!AW$2:AW$67)</f>
        <v>-867.22504237985095</v>
      </c>
      <c r="AX8" s="9">
        <f>_xlfn.COVARIANCE.P('Data_Matrix (2018)'!$D$2:$D$67,'Data_Matrix (2018)'!AX$2:AX$67)</f>
        <v>-373.90434797469504</v>
      </c>
      <c r="AY8" s="9">
        <f>_xlfn.COVARIANCE.P('Data_Matrix (2018)'!$D$2:$D$67,'Data_Matrix (2018)'!AY$2:AY$67)</f>
        <v>814.66346254373411</v>
      </c>
      <c r="AZ8" s="9">
        <f>_xlfn.COVARIANCE.P('Data_Matrix (2018)'!$D$2:$D$67,'Data_Matrix (2018)'!AZ$2:AZ$67)</f>
        <v>327.09239647417951</v>
      </c>
      <c r="BA8" s="9">
        <f>_xlfn.COVARIANCE.P('Data_Matrix (2018)'!$D$2:$D$67,'Data_Matrix (2018)'!BA$2:BA$67)</f>
        <v>13.053196484383912</v>
      </c>
      <c r="BB8" s="9">
        <f>_xlfn.COVARIANCE.P('Data_Matrix (2018)'!$D$2:$D$67,'Data_Matrix (2018)'!BB$2:BB$67)</f>
        <v>2.7506013988404998</v>
      </c>
      <c r="BC8" s="9">
        <f>_xlfn.COVARIANCE.P('Data_Matrix (2018)'!$D$2:$D$67,'Data_Matrix (2018)'!BC$2:BC$67)</f>
        <v>380.97404126859971</v>
      </c>
      <c r="BD8" s="9">
        <f>_xlfn.COVARIANCE.P('Data_Matrix (2018)'!$D$2:$D$67,'Data_Matrix (2018)'!BD$2:BD$67)</f>
        <v>-114.02043624767448</v>
      </c>
      <c r="BE8" s="9">
        <f>_xlfn.COVARIANCE.P('Data_Matrix (2018)'!$D$2:$D$67,'Data_Matrix (2018)'!BE$2:BE$67)</f>
        <v>87.469267646244489</v>
      </c>
      <c r="BF8" s="9">
        <f>_xlfn.COVARIANCE.P('Data_Matrix (2018)'!$D$2:$D$67,'Data_Matrix (2018)'!BF$2:BF$67)</f>
        <v>-1.2595636332981317</v>
      </c>
      <c r="BG8" s="9">
        <f>_xlfn.COVARIANCE.P('Data_Matrix (2018)'!$D$2:$D$67,'Data_Matrix (2018)'!BG$2:BG$67)</f>
        <v>4.707195253219516</v>
      </c>
      <c r="BH8" s="9">
        <f>_xlfn.COVARIANCE.P('Data_Matrix (2018)'!$D$2:$D$67,'Data_Matrix (2018)'!BH$2:BH$67)</f>
        <v>214.49225717236078</v>
      </c>
      <c r="BI8" s="9">
        <f>_xlfn.COVARIANCE.P('Data_Matrix (2018)'!$D$2:$D$67,'Data_Matrix (2018)'!BI$2:BI$67)</f>
        <v>63.292490666716759</v>
      </c>
      <c r="BJ8" s="9">
        <f>_xlfn.COVARIANCE.P('Data_Matrix (2018)'!$D$2:$D$67,'Data_Matrix (2018)'!BJ$2:BJ$67)</f>
        <v>58.729844624108239</v>
      </c>
      <c r="BK8" s="9">
        <f>_xlfn.COVARIANCE.P('Data_Matrix (2018)'!$D$2:$D$67,'Data_Matrix (2018)'!BK$2:BK$67)</f>
        <v>2.0972769499954516</v>
      </c>
      <c r="BL8" s="9">
        <f>_xlfn.COVARIANCE.P('Data_Matrix (2018)'!$D$2:$D$67,'Data_Matrix (2018)'!BL$2:BL$67)</f>
        <v>-12.038232290454117</v>
      </c>
      <c r="BM8" s="9">
        <f>_xlfn.COVARIANCE.P('Data_Matrix (2018)'!$D$2:$D$67,'Data_Matrix (2018)'!BM$2:BM$67)</f>
        <v>0.29150759803607834</v>
      </c>
      <c r="BN8" s="9">
        <f>_xlfn.COVARIANCE.P('Data_Matrix (2018)'!$D$2:$D$67,'Data_Matrix (2018)'!BN$2:BN$67)</f>
        <v>-0.37530991959744087</v>
      </c>
      <c r="BO8" s="9">
        <f>_xlfn.COVARIANCE.P('Data_Matrix (2018)'!$D$2:$D$67,'Data_Matrix (2018)'!BO$2:BO$67)</f>
        <v>-0.2000988004653533</v>
      </c>
    </row>
    <row r="9" spans="1:67" x14ac:dyDescent="0.2">
      <c r="B9" s="9">
        <f>_xlfn.COVARIANCE.P('Data_Matrix (2018)'!$E$2:$E$67,'Data_Matrix (2018)'!B$2:B$67)</f>
        <v>6621506.7611920256</v>
      </c>
      <c r="C9" s="9">
        <f>_xlfn.COVARIANCE.P('Data_Matrix (2018)'!$E$2:$E$67,'Data_Matrix (2018)'!C$2:C$67)</f>
        <v>7512601.1064849226</v>
      </c>
      <c r="D9" s="9">
        <f>_xlfn.COVARIANCE.P('Data_Matrix (2018)'!$E$2:$E$67,'Data_Matrix (2018)'!D$2:D$67)</f>
        <v>4670286.5334193604</v>
      </c>
      <c r="E9" s="9">
        <f>_xlfn.COVARIANCE.P('Data_Matrix (2018)'!$E$2:$E$67,'Data_Matrix (2018)'!E$2:E$67)</f>
        <v>6096454.2693405468</v>
      </c>
      <c r="F9" s="9">
        <f>_xlfn.COVARIANCE.P('Data_Matrix (2018)'!$E$2:$E$67,'Data_Matrix (2018)'!F$2:F$67)</f>
        <v>3119813.9051797218</v>
      </c>
      <c r="G9" s="9">
        <f>_xlfn.COVARIANCE.P('Data_Matrix (2018)'!$E$2:$E$67,'Data_Matrix (2018)'!G$2:G$67)</f>
        <v>4068359.0653148964</v>
      </c>
      <c r="H9" s="9">
        <f>_xlfn.COVARIANCE.P('Data_Matrix (2018)'!$E$2:$E$67,'Data_Matrix (2018)'!H$2:H$67)</f>
        <v>1191408.6416521536</v>
      </c>
      <c r="I9" s="9">
        <f>_xlfn.COVARIANCE.P('Data_Matrix (2018)'!$E$2:$E$67,'Data_Matrix (2018)'!I$2:I$67)</f>
        <v>1466069.6580471792</v>
      </c>
      <c r="J9" s="9">
        <f>_xlfn.COVARIANCE.P('Data_Matrix (2018)'!$E$2:$E$67,'Data_Matrix (2018)'!J$2:J$67)</f>
        <v>789235.35609863349</v>
      </c>
      <c r="K9" s="9">
        <f>_xlfn.COVARIANCE.P('Data_Matrix (2018)'!$E$2:$E$67,'Data_Matrix (2018)'!K$2:K$67)</f>
        <v>1013570.5457337948</v>
      </c>
      <c r="L9" s="9">
        <f>_xlfn.COVARIANCE.P('Data_Matrix (2018)'!$E$2:$E$67,'Data_Matrix (2018)'!L$2:L$67)</f>
        <v>768146.51953764446</v>
      </c>
      <c r="M9" s="9">
        <f>_xlfn.COVARIANCE.P('Data_Matrix (2018)'!$E$2:$E$67,'Data_Matrix (2018)'!M$2:M$67)</f>
        <v>520545.23788171454</v>
      </c>
      <c r="N9" s="9">
        <f>_xlfn.COVARIANCE.P('Data_Matrix (2018)'!$E$2:$E$67,'Data_Matrix (2018)'!N$2:N$67)</f>
        <v>820948.07823821541</v>
      </c>
      <c r="O9" s="9">
        <f>_xlfn.COVARIANCE.P('Data_Matrix (2018)'!$E$2:$E$67,'Data_Matrix (2018)'!O$2:O$67)</f>
        <v>360833.94126402756</v>
      </c>
      <c r="P9" s="9">
        <f>_xlfn.COVARIANCE.P('Data_Matrix (2018)'!$E$2:$E$67,'Data_Matrix (2018)'!P$2:P$67)</f>
        <v>146374.09618033897</v>
      </c>
      <c r="Q9" s="9">
        <f>_xlfn.COVARIANCE.P('Data_Matrix (2018)'!$E$2:$E$67,'Data_Matrix (2018)'!Q$2:Q$67)</f>
        <v>217552.41936626766</v>
      </c>
      <c r="R9" s="9">
        <f>_xlfn.COVARIANCE.P('Data_Matrix (2018)'!$E$2:$E$67,'Data_Matrix (2018)'!R$2:R$67)</f>
        <v>237957.70144182025</v>
      </c>
      <c r="S9" s="9">
        <f>_xlfn.COVARIANCE.P('Data_Matrix (2018)'!$E$2:$E$67,'Data_Matrix (2018)'!S$2:S$67)</f>
        <v>169059.92469205227</v>
      </c>
      <c r="T9" s="9">
        <f>_xlfn.COVARIANCE.P('Data_Matrix (2018)'!$E$2:$E$67,'Data_Matrix (2018)'!T$2:T$67)</f>
        <v>154363.60353031699</v>
      </c>
      <c r="U9" s="9">
        <f>_xlfn.COVARIANCE.P('Data_Matrix (2018)'!$E$2:$E$67,'Data_Matrix (2018)'!U$2:U$67)</f>
        <v>77235.052142147353</v>
      </c>
      <c r="V9" s="9">
        <f>_xlfn.COVARIANCE.P('Data_Matrix (2018)'!$E$2:$E$67,'Data_Matrix (2018)'!V$2:V$67)</f>
        <v>90209.204538937018</v>
      </c>
      <c r="W9" s="9">
        <f>_xlfn.COVARIANCE.P('Data_Matrix (2018)'!$E$2:$E$67,'Data_Matrix (2018)'!W$2:W$67)</f>
        <v>58176.524913786496</v>
      </c>
      <c r="X9" s="9">
        <f>_xlfn.COVARIANCE.P('Data_Matrix (2018)'!$E$2:$E$67,'Data_Matrix (2018)'!X$2:X$67)</f>
        <v>110349.54476923823</v>
      </c>
      <c r="Y9" s="9">
        <f>_xlfn.COVARIANCE.P('Data_Matrix (2018)'!$E$2:$E$67,'Data_Matrix (2018)'!Y$2:Y$67)</f>
        <v>58348.864951103264</v>
      </c>
      <c r="Z9" s="9">
        <f>_xlfn.COVARIANCE.P('Data_Matrix (2018)'!$E$2:$E$67,'Data_Matrix (2018)'!Z$2:Z$67)</f>
        <v>39952.233639712278</v>
      </c>
      <c r="AA9" s="9">
        <f>_xlfn.COVARIANCE.P('Data_Matrix (2018)'!$E$2:$E$67,'Data_Matrix (2018)'!AA$2:AA$67)</f>
        <v>27048.132266813376</v>
      </c>
      <c r="AB9" s="9">
        <f>_xlfn.COVARIANCE.P('Data_Matrix (2018)'!$E$2:$E$67,'Data_Matrix (2018)'!AB$2:AB$67)</f>
        <v>6694.8523163463251</v>
      </c>
      <c r="AC9" s="9">
        <f>_xlfn.COVARIANCE.P('Data_Matrix (2018)'!$E$2:$E$67,'Data_Matrix (2018)'!AC$2:AC$67)</f>
        <v>8272.8048127036145</v>
      </c>
      <c r="AD9" s="9">
        <f>_xlfn.COVARIANCE.P('Data_Matrix (2018)'!$E$2:$E$67,'Data_Matrix (2018)'!AD$2:AD$67)</f>
        <v>9554.3204967047459</v>
      </c>
      <c r="AE9" s="9">
        <f>_xlfn.COVARIANCE.P('Data_Matrix (2018)'!$E$2:$E$67,'Data_Matrix (2018)'!AE$2:AE$67)</f>
        <v>4604.8737504709216</v>
      </c>
      <c r="AF9" s="9">
        <f>_xlfn.COVARIANCE.P('Data_Matrix (2018)'!$E$2:$E$67,'Data_Matrix (2018)'!AF$2:AF$67)</f>
        <v>8703.6896933099815</v>
      </c>
      <c r="AG9" s="9">
        <f>_xlfn.COVARIANCE.P('Data_Matrix (2018)'!$E$2:$E$67,'Data_Matrix (2018)'!AG$2:AG$67)</f>
        <v>7154.6882232559074</v>
      </c>
      <c r="AH9" s="9">
        <f>_xlfn.COVARIANCE.P('Data_Matrix (2018)'!$E$2:$E$67,'Data_Matrix (2018)'!AH$2:AH$67)</f>
        <v>3355.1663806662677</v>
      </c>
      <c r="AI9" s="9">
        <f>_xlfn.COVARIANCE.P('Data_Matrix (2018)'!$E$2:$E$67,'Data_Matrix (2018)'!AI$2:AI$67)</f>
        <v>3453.5341094887308</v>
      </c>
      <c r="AJ9" s="9">
        <f>_xlfn.COVARIANCE.P('Data_Matrix (2018)'!$E$2:$E$67,'Data_Matrix (2018)'!AJ$2:AJ$67)</f>
        <v>4265.1970349354078</v>
      </c>
      <c r="AK9" s="9">
        <f>_xlfn.COVARIANCE.P('Data_Matrix (2018)'!$E$2:$E$67,'Data_Matrix (2018)'!AK$2:AK$67)</f>
        <v>2643.379230421438</v>
      </c>
      <c r="AL9" s="9">
        <f>_xlfn.COVARIANCE.P('Data_Matrix (2018)'!$E$2:$E$67,'Data_Matrix (2018)'!AL$2:AL$67)</f>
        <v>-1273.2132352275639</v>
      </c>
      <c r="AM9" s="9">
        <f>_xlfn.COVARIANCE.P('Data_Matrix (2018)'!$E$2:$E$67,'Data_Matrix (2018)'!AM$2:AM$67)</f>
        <v>3364.7378602422359</v>
      </c>
      <c r="AN9" s="9">
        <f>_xlfn.COVARIANCE.P('Data_Matrix (2018)'!$E$2:$E$67,'Data_Matrix (2018)'!AN$2:AN$67)</f>
        <v>201.86409406974965</v>
      </c>
      <c r="AO9" s="9">
        <f>_xlfn.COVARIANCE.P('Data_Matrix (2018)'!$E$2:$E$67,'Data_Matrix (2018)'!AO$2:AO$67)</f>
        <v>3099.3094668153822</v>
      </c>
      <c r="AP9" s="9">
        <f>_xlfn.COVARIANCE.P('Data_Matrix (2018)'!$E$2:$E$67,'Data_Matrix (2018)'!AP$2:AP$67)</f>
        <v>5378.9461339132413</v>
      </c>
      <c r="AQ9" s="9">
        <f>_xlfn.COVARIANCE.P('Data_Matrix (2018)'!$E$2:$E$67,'Data_Matrix (2018)'!AQ$2:AQ$67)</f>
        <v>1939.8988919662356</v>
      </c>
      <c r="AR9" s="9">
        <f>_xlfn.COVARIANCE.P('Data_Matrix (2018)'!$E$2:$E$67,'Data_Matrix (2018)'!AR$2:AR$67)</f>
        <v>2967.423251823795</v>
      </c>
      <c r="AS9" s="9">
        <f>_xlfn.COVARIANCE.P('Data_Matrix (2018)'!$E$2:$E$67,'Data_Matrix (2018)'!AS$2:AS$67)</f>
        <v>1052.0754298464506</v>
      </c>
      <c r="AT9" s="9">
        <f>_xlfn.COVARIANCE.P('Data_Matrix (2018)'!$E$2:$E$67,'Data_Matrix (2018)'!AT$2:AT$67)</f>
        <v>560.58913806777321</v>
      </c>
      <c r="AU9" s="9">
        <f>_xlfn.COVARIANCE.P('Data_Matrix (2018)'!$E$2:$E$67,'Data_Matrix (2018)'!AU$2:AU$67)</f>
        <v>-206.70459709605785</v>
      </c>
      <c r="AV9" s="9">
        <f>_xlfn.COVARIANCE.P('Data_Matrix (2018)'!$E$2:$E$67,'Data_Matrix (2018)'!AV$2:AV$67)</f>
        <v>983.23176877054266</v>
      </c>
      <c r="AW9" s="9">
        <f>_xlfn.COVARIANCE.P('Data_Matrix (2018)'!$E$2:$E$67,'Data_Matrix (2018)'!AW$2:AW$67)</f>
        <v>4.9132727264993648</v>
      </c>
      <c r="AX9" s="9">
        <f>_xlfn.COVARIANCE.P('Data_Matrix (2018)'!$E$2:$E$67,'Data_Matrix (2018)'!AX$2:AX$67)</f>
        <v>563.97984078511024</v>
      </c>
      <c r="AY9" s="9">
        <f>_xlfn.COVARIANCE.P('Data_Matrix (2018)'!$E$2:$E$67,'Data_Matrix (2018)'!AY$2:AY$67)</f>
        <v>421.87241171016308</v>
      </c>
      <c r="AZ9" s="9">
        <f>_xlfn.COVARIANCE.P('Data_Matrix (2018)'!$E$2:$E$67,'Data_Matrix (2018)'!AZ$2:AZ$67)</f>
        <v>876.53576544116333</v>
      </c>
      <c r="BA9" s="9">
        <f>_xlfn.COVARIANCE.P('Data_Matrix (2018)'!$E$2:$E$67,'Data_Matrix (2018)'!BA$2:BA$67)</f>
        <v>10.619962340421493</v>
      </c>
      <c r="BB9" s="9">
        <f>_xlfn.COVARIANCE.P('Data_Matrix (2018)'!$E$2:$E$67,'Data_Matrix (2018)'!BB$2:BB$67)</f>
        <v>249.76902897258978</v>
      </c>
      <c r="BC9" s="9">
        <f>_xlfn.COVARIANCE.P('Data_Matrix (2018)'!$E$2:$E$67,'Data_Matrix (2018)'!BC$2:BC$67)</f>
        <v>135.61916514649445</v>
      </c>
      <c r="BD9" s="9">
        <f>_xlfn.COVARIANCE.P('Data_Matrix (2018)'!$E$2:$E$67,'Data_Matrix (2018)'!BD$2:BD$67)</f>
        <v>-92.894456779186967</v>
      </c>
      <c r="BE9" s="9">
        <f>_xlfn.COVARIANCE.P('Data_Matrix (2018)'!$E$2:$E$67,'Data_Matrix (2018)'!BE$2:BE$67)</f>
        <v>87.721974278561831</v>
      </c>
      <c r="BF9" s="9">
        <f>_xlfn.COVARIANCE.P('Data_Matrix (2018)'!$E$2:$E$67,'Data_Matrix (2018)'!BF$2:BF$67)</f>
        <v>0.29356518161297496</v>
      </c>
      <c r="BG9" s="9">
        <f>_xlfn.COVARIANCE.P('Data_Matrix (2018)'!$E$2:$E$67,'Data_Matrix (2018)'!BG$2:BG$67)</f>
        <v>11.470639349991982</v>
      </c>
      <c r="BH9" s="9">
        <f>_xlfn.COVARIANCE.P('Data_Matrix (2018)'!$E$2:$E$67,'Data_Matrix (2018)'!BH$2:BH$67)</f>
        <v>86.196635324402493</v>
      </c>
      <c r="BI9" s="9">
        <f>_xlfn.COVARIANCE.P('Data_Matrix (2018)'!$E$2:$E$67,'Data_Matrix (2018)'!BI$2:BI$67)</f>
        <v>38.225909453123187</v>
      </c>
      <c r="BJ9" s="9">
        <f>_xlfn.COVARIANCE.P('Data_Matrix (2018)'!$E$2:$E$67,'Data_Matrix (2018)'!BJ$2:BJ$67)</f>
        <v>35.566103862102466</v>
      </c>
      <c r="BK9" s="9">
        <f>_xlfn.COVARIANCE.P('Data_Matrix (2018)'!$E$2:$E$67,'Data_Matrix (2018)'!BK$2:BK$67)</f>
        <v>11.823398720198352</v>
      </c>
      <c r="BL9" s="9">
        <f>_xlfn.COVARIANCE.P('Data_Matrix (2018)'!$E$2:$E$67,'Data_Matrix (2018)'!BL$2:BL$67)</f>
        <v>-11.175417327277772</v>
      </c>
      <c r="BM9" s="9">
        <f>_xlfn.COVARIANCE.P('Data_Matrix (2018)'!$E$2:$E$67,'Data_Matrix (2018)'!BM$2:BM$67)</f>
        <v>2.4512304879631164</v>
      </c>
      <c r="BN9" s="9">
        <f>_xlfn.COVARIANCE.P('Data_Matrix (2018)'!$E$2:$E$67,'Data_Matrix (2018)'!BN$2:BN$67)</f>
        <v>-2.17445329088644</v>
      </c>
      <c r="BO9" s="9">
        <f>_xlfn.COVARIANCE.P('Data_Matrix (2018)'!$E$2:$E$67,'Data_Matrix (2018)'!BO$2:BO$67)</f>
        <v>4.2928705343600326E-2</v>
      </c>
    </row>
    <row r="10" spans="1:67" x14ac:dyDescent="0.2">
      <c r="B10" s="9">
        <f>_xlfn.COVARIANCE.P('Data_Matrix (2018)'!$F$2:$F$67,'Data_Matrix (2018)'!B$2:B$67)</f>
        <v>4355376.2869573794</v>
      </c>
      <c r="C10" s="9">
        <f>_xlfn.COVARIANCE.P('Data_Matrix (2018)'!$F$2:$F$67,'Data_Matrix (2018)'!C$2:C$67)</f>
        <v>3880278.0875256499</v>
      </c>
      <c r="D10" s="9">
        <f>_xlfn.COVARIANCE.P('Data_Matrix (2018)'!$F$2:$F$67,'Data_Matrix (2018)'!D$2:D$67)</f>
        <v>2596675.564917482</v>
      </c>
      <c r="E10" s="9">
        <f>_xlfn.COVARIANCE.P('Data_Matrix (2018)'!$F$2:$F$67,'Data_Matrix (2018)'!E$2:E$67)</f>
        <v>3119813.9051797218</v>
      </c>
      <c r="F10" s="9">
        <f>_xlfn.COVARIANCE.P('Data_Matrix (2018)'!$F$2:$F$67,'Data_Matrix (2018)'!F$2:F$67)</f>
        <v>2057714.2851123868</v>
      </c>
      <c r="G10" s="9">
        <f>_xlfn.COVARIANCE.P('Data_Matrix (2018)'!$F$2:$F$67,'Data_Matrix (2018)'!G$2:G$67)</f>
        <v>2103609.7450998728</v>
      </c>
      <c r="H10" s="9">
        <f>_xlfn.COVARIANCE.P('Data_Matrix (2018)'!$F$2:$F$67,'Data_Matrix (2018)'!H$2:H$67)</f>
        <v>816498.91984271794</v>
      </c>
      <c r="I10" s="9">
        <f>_xlfn.COVARIANCE.P('Data_Matrix (2018)'!$F$2:$F$67,'Data_Matrix (2018)'!I$2:I$67)</f>
        <v>747989.05846113327</v>
      </c>
      <c r="J10" s="9">
        <f>_xlfn.COVARIANCE.P('Data_Matrix (2018)'!$F$2:$F$67,'Data_Matrix (2018)'!J$2:J$67)</f>
        <v>419996.1618596171</v>
      </c>
      <c r="K10" s="9">
        <f>_xlfn.COVARIANCE.P('Data_Matrix (2018)'!$F$2:$F$67,'Data_Matrix (2018)'!K$2:K$67)</f>
        <v>618144.49018097331</v>
      </c>
      <c r="L10" s="9">
        <f>_xlfn.COVARIANCE.P('Data_Matrix (2018)'!$F$2:$F$67,'Data_Matrix (2018)'!L$2:L$67)</f>
        <v>465739.38287796674</v>
      </c>
      <c r="M10" s="9">
        <f>_xlfn.COVARIANCE.P('Data_Matrix (2018)'!$F$2:$F$67,'Data_Matrix (2018)'!M$2:M$67)</f>
        <v>316838.56145710283</v>
      </c>
      <c r="N10" s="9">
        <f>_xlfn.COVARIANCE.P('Data_Matrix (2018)'!$F$2:$F$67,'Data_Matrix (2018)'!N$2:N$67)</f>
        <v>417495.00166043127</v>
      </c>
      <c r="O10" s="9">
        <f>_xlfn.COVARIANCE.P('Data_Matrix (2018)'!$F$2:$F$67,'Data_Matrix (2018)'!O$2:O$67)</f>
        <v>213089.1537371813</v>
      </c>
      <c r="P10" s="9">
        <f>_xlfn.COVARIANCE.P('Data_Matrix (2018)'!$F$2:$F$67,'Data_Matrix (2018)'!P$2:P$67)</f>
        <v>86059.152870897655</v>
      </c>
      <c r="Q10" s="9">
        <f>_xlfn.COVARIANCE.P('Data_Matrix (2018)'!$F$2:$F$67,'Data_Matrix (2018)'!Q$2:Q$67)</f>
        <v>154832.02531264871</v>
      </c>
      <c r="R10" s="9">
        <f>_xlfn.COVARIANCE.P('Data_Matrix (2018)'!$F$2:$F$67,'Data_Matrix (2018)'!R$2:R$67)</f>
        <v>161660.77161312918</v>
      </c>
      <c r="S10" s="9">
        <f>_xlfn.COVARIANCE.P('Data_Matrix (2018)'!$F$2:$F$67,'Data_Matrix (2018)'!S$2:S$67)</f>
        <v>106476.08784718224</v>
      </c>
      <c r="T10" s="9">
        <f>_xlfn.COVARIANCE.P('Data_Matrix (2018)'!$F$2:$F$67,'Data_Matrix (2018)'!T$2:T$67)</f>
        <v>82071.448496403958</v>
      </c>
      <c r="U10" s="9">
        <f>_xlfn.COVARIANCE.P('Data_Matrix (2018)'!$F$2:$F$67,'Data_Matrix (2018)'!U$2:U$67)</f>
        <v>51864.62182774445</v>
      </c>
      <c r="V10" s="9">
        <f>_xlfn.COVARIANCE.P('Data_Matrix (2018)'!$F$2:$F$67,'Data_Matrix (2018)'!V$2:V$67)</f>
        <v>47523.139295490742</v>
      </c>
      <c r="W10" s="9">
        <f>_xlfn.COVARIANCE.P('Data_Matrix (2018)'!$F$2:$F$67,'Data_Matrix (2018)'!W$2:W$67)</f>
        <v>31667.261588454607</v>
      </c>
      <c r="X10" s="9">
        <f>_xlfn.COVARIANCE.P('Data_Matrix (2018)'!$F$2:$F$67,'Data_Matrix (2018)'!X$2:X$67)</f>
        <v>55292.36314726455</v>
      </c>
      <c r="Y10" s="9">
        <f>_xlfn.COVARIANCE.P('Data_Matrix (2018)'!$F$2:$F$67,'Data_Matrix (2018)'!Y$2:Y$67)</f>
        <v>28591.999451491476</v>
      </c>
      <c r="Z10" s="9">
        <f>_xlfn.COVARIANCE.P('Data_Matrix (2018)'!$F$2:$F$67,'Data_Matrix (2018)'!Z$2:Z$67)</f>
        <v>23741.209161637911</v>
      </c>
      <c r="AA10" s="9">
        <f>_xlfn.COVARIANCE.P('Data_Matrix (2018)'!$F$2:$F$67,'Data_Matrix (2018)'!AA$2:AA$67)</f>
        <v>14210.079415583179</v>
      </c>
      <c r="AB10" s="9">
        <f>_xlfn.COVARIANCE.P('Data_Matrix (2018)'!$F$2:$F$67,'Data_Matrix (2018)'!AB$2:AB$67)</f>
        <v>3148.1020073642994</v>
      </c>
      <c r="AC10" s="9">
        <f>_xlfn.COVARIANCE.P('Data_Matrix (2018)'!$F$2:$F$67,'Data_Matrix (2018)'!AC$2:AC$67)</f>
        <v>6068.1211071670023</v>
      </c>
      <c r="AD10" s="9">
        <f>_xlfn.COVARIANCE.P('Data_Matrix (2018)'!$F$2:$F$67,'Data_Matrix (2018)'!AD$2:AD$67)</f>
        <v>5577.6623755395094</v>
      </c>
      <c r="AE10" s="9">
        <f>_xlfn.COVARIANCE.P('Data_Matrix (2018)'!$F$2:$F$67,'Data_Matrix (2018)'!AE$2:AE$67)</f>
        <v>3352.6684548944295</v>
      </c>
      <c r="AF10" s="9">
        <f>_xlfn.COVARIANCE.P('Data_Matrix (2018)'!$F$2:$F$67,'Data_Matrix (2018)'!AF$2:AF$67)</f>
        <v>4672.6760178891391</v>
      </c>
      <c r="AG10" s="9">
        <f>_xlfn.COVARIANCE.P('Data_Matrix (2018)'!$F$2:$F$67,'Data_Matrix (2018)'!AG$2:AG$67)</f>
        <v>5017.8782573442295</v>
      </c>
      <c r="AH10" s="9">
        <f>_xlfn.COVARIANCE.P('Data_Matrix (2018)'!$F$2:$F$67,'Data_Matrix (2018)'!AH$2:AH$67)</f>
        <v>2058.6947545513603</v>
      </c>
      <c r="AI10" s="9">
        <f>_xlfn.COVARIANCE.P('Data_Matrix (2018)'!$F$2:$F$67,'Data_Matrix (2018)'!AI$2:AI$67)</f>
        <v>1626.2351906311565</v>
      </c>
      <c r="AJ10" s="9">
        <f>_xlfn.COVARIANCE.P('Data_Matrix (2018)'!$F$2:$F$67,'Data_Matrix (2018)'!AJ$2:AJ$67)</f>
        <v>2348.3758791752171</v>
      </c>
      <c r="AK10" s="9">
        <f>_xlfn.COVARIANCE.P('Data_Matrix (2018)'!$F$2:$F$67,'Data_Matrix (2018)'!AK$2:AK$67)</f>
        <v>2529.6093472710991</v>
      </c>
      <c r="AL10" s="9">
        <f>_xlfn.COVARIANCE.P('Data_Matrix (2018)'!$F$2:$F$67,'Data_Matrix (2018)'!AL$2:AL$67)</f>
        <v>-1605.8686429433285</v>
      </c>
      <c r="AM10" s="9">
        <f>_xlfn.COVARIANCE.P('Data_Matrix (2018)'!$F$2:$F$67,'Data_Matrix (2018)'!AM$2:AM$67)</f>
        <v>1110.2942068877862</v>
      </c>
      <c r="AN10" s="9">
        <f>_xlfn.COVARIANCE.P('Data_Matrix (2018)'!$F$2:$F$67,'Data_Matrix (2018)'!AN$2:AN$67)</f>
        <v>161.34200852309135</v>
      </c>
      <c r="AO10" s="9">
        <f>_xlfn.COVARIANCE.P('Data_Matrix (2018)'!$F$2:$F$67,'Data_Matrix (2018)'!AO$2:AO$67)</f>
        <v>1630.992888547863</v>
      </c>
      <c r="AP10" s="9">
        <f>_xlfn.COVARIANCE.P('Data_Matrix (2018)'!$F$2:$F$67,'Data_Matrix (2018)'!AP$2:AP$67)</f>
        <v>2608.8005815208908</v>
      </c>
      <c r="AQ10" s="9">
        <f>_xlfn.COVARIANCE.P('Data_Matrix (2018)'!$F$2:$F$67,'Data_Matrix (2018)'!AQ$2:AQ$67)</f>
        <v>1676.7788833648654</v>
      </c>
      <c r="AR10" s="9">
        <f>_xlfn.COVARIANCE.P('Data_Matrix (2018)'!$F$2:$F$67,'Data_Matrix (2018)'!AR$2:AR$67)</f>
        <v>1051.0307998518865</v>
      </c>
      <c r="AS10" s="9">
        <f>_xlfn.COVARIANCE.P('Data_Matrix (2018)'!$F$2:$F$67,'Data_Matrix (2018)'!AS$2:AS$67)</f>
        <v>477.52881800600403</v>
      </c>
      <c r="AT10" s="9">
        <f>_xlfn.COVARIANCE.P('Data_Matrix (2018)'!$F$2:$F$67,'Data_Matrix (2018)'!AT$2:AT$67)</f>
        <v>869.19460480102634</v>
      </c>
      <c r="AU10" s="9">
        <f>_xlfn.COVARIANCE.P('Data_Matrix (2018)'!$F$2:$F$67,'Data_Matrix (2018)'!AU$2:AU$67)</f>
        <v>-355.67811907436936</v>
      </c>
      <c r="AV10" s="9">
        <f>_xlfn.COVARIANCE.P('Data_Matrix (2018)'!$F$2:$F$67,'Data_Matrix (2018)'!AV$2:AV$67)</f>
        <v>602.41022172988153</v>
      </c>
      <c r="AW10" s="9">
        <f>_xlfn.COVARIANCE.P('Data_Matrix (2018)'!$F$2:$F$67,'Data_Matrix (2018)'!AW$2:AW$67)</f>
        <v>-558.63145652235266</v>
      </c>
      <c r="AX10" s="9">
        <f>_xlfn.COVARIANCE.P('Data_Matrix (2018)'!$F$2:$F$67,'Data_Matrix (2018)'!AX$2:AX$67)</f>
        <v>1144.6976793807028</v>
      </c>
      <c r="AY10" s="9">
        <f>_xlfn.COVARIANCE.P('Data_Matrix (2018)'!$F$2:$F$67,'Data_Matrix (2018)'!AY$2:AY$67)</f>
        <v>92.247317059077432</v>
      </c>
      <c r="AZ10" s="9">
        <f>_xlfn.COVARIANCE.P('Data_Matrix (2018)'!$F$2:$F$67,'Data_Matrix (2018)'!AZ$2:AZ$67)</f>
        <v>773.06339913064573</v>
      </c>
      <c r="BA10" s="9">
        <f>_xlfn.COVARIANCE.P('Data_Matrix (2018)'!$F$2:$F$67,'Data_Matrix (2018)'!BA$2:BA$67)</f>
        <v>-13.180209569367314</v>
      </c>
      <c r="BB10" s="9">
        <f>_xlfn.COVARIANCE.P('Data_Matrix (2018)'!$F$2:$F$67,'Data_Matrix (2018)'!BB$2:BB$67)</f>
        <v>130.08118564240814</v>
      </c>
      <c r="BC10" s="9">
        <f>_xlfn.COVARIANCE.P('Data_Matrix (2018)'!$F$2:$F$67,'Data_Matrix (2018)'!BC$2:BC$67)</f>
        <v>-37.261242383024133</v>
      </c>
      <c r="BD10" s="9">
        <f>_xlfn.COVARIANCE.P('Data_Matrix (2018)'!$F$2:$F$67,'Data_Matrix (2018)'!BD$2:BD$67)</f>
        <v>60.630688541581904</v>
      </c>
      <c r="BE10" s="9">
        <f>_xlfn.COVARIANCE.P('Data_Matrix (2018)'!$F$2:$F$67,'Data_Matrix (2018)'!BE$2:BE$67)</f>
        <v>36.422097495868393</v>
      </c>
      <c r="BF10" s="9">
        <f>_xlfn.COVARIANCE.P('Data_Matrix (2018)'!$F$2:$F$67,'Data_Matrix (2018)'!BF$2:BF$67)</f>
        <v>-3.833857636224836</v>
      </c>
      <c r="BG10" s="9">
        <f>_xlfn.COVARIANCE.P('Data_Matrix (2018)'!$F$2:$F$67,'Data_Matrix (2018)'!BG$2:BG$67)</f>
        <v>3.218248569645676</v>
      </c>
      <c r="BH10" s="9">
        <f>_xlfn.COVARIANCE.P('Data_Matrix (2018)'!$F$2:$F$67,'Data_Matrix (2018)'!BH$2:BH$67)</f>
        <v>-3.0631721967285688</v>
      </c>
      <c r="BI10" s="9">
        <f>_xlfn.COVARIANCE.P('Data_Matrix (2018)'!$F$2:$F$67,'Data_Matrix (2018)'!BI$2:BI$67)</f>
        <v>14.678177041768331</v>
      </c>
      <c r="BJ10" s="9">
        <f>_xlfn.COVARIANCE.P('Data_Matrix (2018)'!$F$2:$F$67,'Data_Matrix (2018)'!BJ$2:BJ$67)</f>
        <v>28.188457476371106</v>
      </c>
      <c r="BK10" s="9">
        <f>_xlfn.COVARIANCE.P('Data_Matrix (2018)'!$F$2:$F$67,'Data_Matrix (2018)'!BK$2:BK$67)</f>
        <v>5.8982248411021976</v>
      </c>
      <c r="BL10" s="9">
        <f>_xlfn.COVARIANCE.P('Data_Matrix (2018)'!$F$2:$F$67,'Data_Matrix (2018)'!BL$2:BL$67)</f>
        <v>-17.417254917899619</v>
      </c>
      <c r="BM10" s="9">
        <f>_xlfn.COVARIANCE.P('Data_Matrix (2018)'!$F$2:$F$67,'Data_Matrix (2018)'!BM$2:BM$67)</f>
        <v>0.51148883907783349</v>
      </c>
      <c r="BN10" s="9">
        <f>_xlfn.COVARIANCE.P('Data_Matrix (2018)'!$F$2:$F$67,'Data_Matrix (2018)'!BN$2:BN$67)</f>
        <v>-1.3773471986688612</v>
      </c>
      <c r="BO10" s="9">
        <f>_xlfn.COVARIANCE.P('Data_Matrix (2018)'!$F$2:$F$67,'Data_Matrix (2018)'!BO$2:BO$67)</f>
        <v>-2.8688095356250418E-2</v>
      </c>
    </row>
    <row r="11" spans="1:67" x14ac:dyDescent="0.2">
      <c r="B11" s="9">
        <f>_xlfn.COVARIANCE.P('Data_Matrix (2018)'!$G$2:$G$67,'Data_Matrix (2018)'!B$2:B$67)</f>
        <v>5564261.8157598199</v>
      </c>
      <c r="C11" s="9">
        <f>_xlfn.COVARIANCE.P('Data_Matrix (2018)'!$G$2:$G$67,'Data_Matrix (2018)'!C$2:C$67)</f>
        <v>7421210.4939256562</v>
      </c>
      <c r="D11" s="9">
        <f>_xlfn.COVARIANCE.P('Data_Matrix (2018)'!$G$2:$G$67,'Data_Matrix (2018)'!D$2:D$67)</f>
        <v>4992154.9706247607</v>
      </c>
      <c r="E11" s="9">
        <f>_xlfn.COVARIANCE.P('Data_Matrix (2018)'!$G$2:$G$67,'Data_Matrix (2018)'!E$2:E$67)</f>
        <v>4068359.0653148964</v>
      </c>
      <c r="F11" s="9">
        <f>_xlfn.COVARIANCE.P('Data_Matrix (2018)'!$G$2:$G$67,'Data_Matrix (2018)'!F$2:F$67)</f>
        <v>2103609.7450998728</v>
      </c>
      <c r="G11" s="9">
        <f>_xlfn.COVARIANCE.P('Data_Matrix (2018)'!$G$2:$G$67,'Data_Matrix (2018)'!G$2:G$67)</f>
        <v>3975176.2221941845</v>
      </c>
      <c r="H11" s="9">
        <f>_xlfn.COVARIANCE.P('Data_Matrix (2018)'!$G$2:$G$67,'Data_Matrix (2018)'!H$2:H$67)</f>
        <v>1464933.0491715765</v>
      </c>
      <c r="I11" s="9">
        <f>_xlfn.COVARIANCE.P('Data_Matrix (2018)'!$G$2:$G$67,'Data_Matrix (2018)'!I$2:I$67)</f>
        <v>1475835.6524651684</v>
      </c>
      <c r="J11" s="9">
        <f>_xlfn.COVARIANCE.P('Data_Matrix (2018)'!$G$2:$G$67,'Data_Matrix (2018)'!J$2:J$67)</f>
        <v>793282.8516912479</v>
      </c>
      <c r="K11" s="9">
        <f>_xlfn.COVARIANCE.P('Data_Matrix (2018)'!$G$2:$G$67,'Data_Matrix (2018)'!K$2:K$67)</f>
        <v>891960.16972496361</v>
      </c>
      <c r="L11" s="9">
        <f>_xlfn.COVARIANCE.P('Data_Matrix (2018)'!$G$2:$G$67,'Data_Matrix (2018)'!L$2:L$67)</f>
        <v>702558.07749659626</v>
      </c>
      <c r="M11" s="9">
        <f>_xlfn.COVARIANCE.P('Data_Matrix (2018)'!$G$2:$G$67,'Data_Matrix (2018)'!M$2:M$67)</f>
        <v>585947.57207904523</v>
      </c>
      <c r="N11" s="9">
        <f>_xlfn.COVARIANCE.P('Data_Matrix (2018)'!$G$2:$G$67,'Data_Matrix (2018)'!N$2:N$67)</f>
        <v>803779.99142881541</v>
      </c>
      <c r="O11" s="9">
        <f>_xlfn.COVARIANCE.P('Data_Matrix (2018)'!$G$2:$G$67,'Data_Matrix (2018)'!O$2:O$67)</f>
        <v>337355.2966318687</v>
      </c>
      <c r="P11" s="9">
        <f>_xlfn.COVARIANCE.P('Data_Matrix (2018)'!$G$2:$G$67,'Data_Matrix (2018)'!P$2:P$67)</f>
        <v>80208.367377345334</v>
      </c>
      <c r="Q11" s="9">
        <f>_xlfn.COVARIANCE.P('Data_Matrix (2018)'!$G$2:$G$67,'Data_Matrix (2018)'!Q$2:Q$67)</f>
        <v>267708.21374792838</v>
      </c>
      <c r="R11" s="9">
        <f>_xlfn.COVARIANCE.P('Data_Matrix (2018)'!$G$2:$G$67,'Data_Matrix (2018)'!R$2:R$67)</f>
        <v>321800.61572618375</v>
      </c>
      <c r="S11" s="9">
        <f>_xlfn.COVARIANCE.P('Data_Matrix (2018)'!$G$2:$G$67,'Data_Matrix (2018)'!S$2:S$67)</f>
        <v>190299.70238579161</v>
      </c>
      <c r="T11" s="9">
        <f>_xlfn.COVARIANCE.P('Data_Matrix (2018)'!$G$2:$G$67,'Data_Matrix (2018)'!T$2:T$67)</f>
        <v>148445.95885255793</v>
      </c>
      <c r="U11" s="9">
        <f>_xlfn.COVARIANCE.P('Data_Matrix (2018)'!$G$2:$G$67,'Data_Matrix (2018)'!U$2:U$67)</f>
        <v>81536.671404843088</v>
      </c>
      <c r="V11" s="9">
        <f>_xlfn.COVARIANCE.P('Data_Matrix (2018)'!$G$2:$G$67,'Data_Matrix (2018)'!V$2:V$67)</f>
        <v>52469.898461708493</v>
      </c>
      <c r="W11" s="9">
        <f>_xlfn.COVARIANCE.P('Data_Matrix (2018)'!$G$2:$G$67,'Data_Matrix (2018)'!W$2:W$67)</f>
        <v>49940.249633977197</v>
      </c>
      <c r="X11" s="9">
        <f>_xlfn.COVARIANCE.P('Data_Matrix (2018)'!$G$2:$G$67,'Data_Matrix (2018)'!X$2:X$67)</f>
        <v>85284.330051850178</v>
      </c>
      <c r="Y11" s="9">
        <f>_xlfn.COVARIANCE.P('Data_Matrix (2018)'!$G$2:$G$67,'Data_Matrix (2018)'!Y$2:Y$67)</f>
        <v>65252.894577983614</v>
      </c>
      <c r="Z11" s="9">
        <f>_xlfn.COVARIANCE.P('Data_Matrix (2018)'!$G$2:$G$67,'Data_Matrix (2018)'!Z$2:Z$67)</f>
        <v>36639.282281201609</v>
      </c>
      <c r="AA11" s="9">
        <f>_xlfn.COVARIANCE.P('Data_Matrix (2018)'!$G$2:$G$67,'Data_Matrix (2018)'!AA$2:AA$67)</f>
        <v>32626.694036464658</v>
      </c>
      <c r="AB11" s="9">
        <f>_xlfn.COVARIANCE.P('Data_Matrix (2018)'!$G$2:$G$67,'Data_Matrix (2018)'!AB$2:AB$67)</f>
        <v>7624.0298580826011</v>
      </c>
      <c r="AC11" s="9">
        <f>_xlfn.COVARIANCE.P('Data_Matrix (2018)'!$G$2:$G$67,'Data_Matrix (2018)'!AC$2:AC$67)</f>
        <v>5302.5358745372687</v>
      </c>
      <c r="AD11" s="9">
        <f>_xlfn.COVARIANCE.P('Data_Matrix (2018)'!$G$2:$G$67,'Data_Matrix (2018)'!AD$2:AD$67)</f>
        <v>11216.94887043501</v>
      </c>
      <c r="AE11" s="9">
        <f>_xlfn.COVARIANCE.P('Data_Matrix (2018)'!$G$2:$G$67,'Data_Matrix (2018)'!AE$2:AE$67)</f>
        <v>2074.2508348279107</v>
      </c>
      <c r="AF11" s="9">
        <f>_xlfn.COVARIANCE.P('Data_Matrix (2018)'!$G$2:$G$67,'Data_Matrix (2018)'!AF$2:AF$67)</f>
        <v>5835.8276536991034</v>
      </c>
      <c r="AG11" s="9">
        <f>_xlfn.COVARIANCE.P('Data_Matrix (2018)'!$G$2:$G$67,'Data_Matrix (2018)'!AG$2:AG$67)</f>
        <v>4620.3072408923244</v>
      </c>
      <c r="AH11" s="9">
        <f>_xlfn.COVARIANCE.P('Data_Matrix (2018)'!$G$2:$G$67,'Data_Matrix (2018)'!AH$2:AH$67)</f>
        <v>2422.5921457907621</v>
      </c>
      <c r="AI11" s="9">
        <f>_xlfn.COVARIANCE.P('Data_Matrix (2018)'!$G$2:$G$67,'Data_Matrix (2018)'!AI$2:AI$67)</f>
        <v>4627.7280682312103</v>
      </c>
      <c r="AJ11" s="9">
        <f>_xlfn.COVARIANCE.P('Data_Matrix (2018)'!$G$2:$G$67,'Data_Matrix (2018)'!AJ$2:AJ$67)</f>
        <v>3026.1985122227666</v>
      </c>
      <c r="AK11" s="9">
        <f>_xlfn.COVARIANCE.P('Data_Matrix (2018)'!$G$2:$G$67,'Data_Matrix (2018)'!AK$2:AK$67)</f>
        <v>1158.5170623966346</v>
      </c>
      <c r="AL11" s="9">
        <f>_xlfn.COVARIANCE.P('Data_Matrix (2018)'!$G$2:$G$67,'Data_Matrix (2018)'!AL$2:AL$67)</f>
        <v>-7979.8292096728746</v>
      </c>
      <c r="AM11" s="9">
        <f>_xlfn.COVARIANCE.P('Data_Matrix (2018)'!$G$2:$G$67,'Data_Matrix (2018)'!AM$2:AM$67)</f>
        <v>2472.9073132251842</v>
      </c>
      <c r="AN11" s="9">
        <f>_xlfn.COVARIANCE.P('Data_Matrix (2018)'!$G$2:$G$67,'Data_Matrix (2018)'!AN$2:AN$67)</f>
        <v>1806.3592802459184</v>
      </c>
      <c r="AO11" s="9">
        <f>_xlfn.COVARIANCE.P('Data_Matrix (2018)'!$G$2:$G$67,'Data_Matrix (2018)'!AO$2:AO$67)</f>
        <v>2386.9556182999263</v>
      </c>
      <c r="AP11" s="9">
        <f>_xlfn.COVARIANCE.P('Data_Matrix (2018)'!$G$2:$G$67,'Data_Matrix (2018)'!AP$2:AP$67)</f>
        <v>5848.3348020661715</v>
      </c>
      <c r="AQ11" s="9">
        <f>_xlfn.COVARIANCE.P('Data_Matrix (2018)'!$G$2:$G$67,'Data_Matrix (2018)'!AQ$2:AQ$67)</f>
        <v>1556.766969123631</v>
      </c>
      <c r="AR11" s="9">
        <f>_xlfn.COVARIANCE.P('Data_Matrix (2018)'!$G$2:$G$67,'Data_Matrix (2018)'!AR$2:AR$67)</f>
        <v>2910.4394517902592</v>
      </c>
      <c r="AS11" s="9">
        <f>_xlfn.COVARIANCE.P('Data_Matrix (2018)'!$G$2:$G$67,'Data_Matrix (2018)'!AS$2:AS$67)</f>
        <v>1423.0701543716725</v>
      </c>
      <c r="AT11" s="9">
        <f>_xlfn.COVARIANCE.P('Data_Matrix (2018)'!$G$2:$G$67,'Data_Matrix (2018)'!AT$2:AT$67)</f>
        <v>-39.988947503725811</v>
      </c>
      <c r="AU11" s="9">
        <f>_xlfn.COVARIANCE.P('Data_Matrix (2018)'!$G$2:$G$67,'Data_Matrix (2018)'!AU$2:AU$67)</f>
        <v>-31.382540980869919</v>
      </c>
      <c r="AV11" s="9">
        <f>_xlfn.COVARIANCE.P('Data_Matrix (2018)'!$G$2:$G$67,'Data_Matrix (2018)'!AV$2:AV$67)</f>
        <v>675.30312779188057</v>
      </c>
      <c r="AW11" s="9">
        <f>_xlfn.COVARIANCE.P('Data_Matrix (2018)'!$G$2:$G$67,'Data_Matrix (2018)'!AW$2:AW$67)</f>
        <v>-414.27797286731288</v>
      </c>
      <c r="AX11" s="9">
        <f>_xlfn.COVARIANCE.P('Data_Matrix (2018)'!$G$2:$G$67,'Data_Matrix (2018)'!AX$2:AX$67)</f>
        <v>-348.05828156757912</v>
      </c>
      <c r="AY11" s="9">
        <f>_xlfn.COVARIANCE.P('Data_Matrix (2018)'!$G$2:$G$67,'Data_Matrix (2018)'!AY$2:AY$67)</f>
        <v>687.58367326266546</v>
      </c>
      <c r="AZ11" s="9">
        <f>_xlfn.COVARIANCE.P('Data_Matrix (2018)'!$G$2:$G$67,'Data_Matrix (2018)'!AZ$2:AZ$67)</f>
        <v>497.30093507874255</v>
      </c>
      <c r="BA11" s="9">
        <f>_xlfn.COVARIANCE.P('Data_Matrix (2018)'!$G$2:$G$67,'Data_Matrix (2018)'!BA$2:BA$67)</f>
        <v>34.557378038574932</v>
      </c>
      <c r="BB11" s="9">
        <f>_xlfn.COVARIANCE.P('Data_Matrix (2018)'!$G$2:$G$67,'Data_Matrix (2018)'!BB$2:BB$67)</f>
        <v>116.8084214709377</v>
      </c>
      <c r="BC11" s="9">
        <f>_xlfn.COVARIANCE.P('Data_Matrix (2018)'!$G$2:$G$67,'Data_Matrix (2018)'!BC$2:BC$67)</f>
        <v>333.24023767820779</v>
      </c>
      <c r="BD11" s="9">
        <f>_xlfn.COVARIANCE.P('Data_Matrix (2018)'!$G$2:$G$67,'Data_Matrix (2018)'!BD$2:BD$67)</f>
        <v>-132.82266051548385</v>
      </c>
      <c r="BE11" s="9">
        <f>_xlfn.COVARIANCE.P('Data_Matrix (2018)'!$G$2:$G$67,'Data_Matrix (2018)'!BE$2:BE$67)</f>
        <v>82.362713496179694</v>
      </c>
      <c r="BF11" s="9">
        <f>_xlfn.COVARIANCE.P('Data_Matrix (2018)'!$G$2:$G$67,'Data_Matrix (2018)'!BF$2:BF$67)</f>
        <v>0.46570835299557178</v>
      </c>
      <c r="BG11" s="9">
        <f>_xlfn.COVARIANCE.P('Data_Matrix (2018)'!$G$2:$G$67,'Data_Matrix (2018)'!BG$2:BG$67)</f>
        <v>6.051865206986009</v>
      </c>
      <c r="BH11" s="9">
        <f>_xlfn.COVARIANCE.P('Data_Matrix (2018)'!$G$2:$G$67,'Data_Matrix (2018)'!BH$2:BH$67)</f>
        <v>160.63561872157004</v>
      </c>
      <c r="BI11" s="9">
        <f>_xlfn.COVARIANCE.P('Data_Matrix (2018)'!$G$2:$G$67,'Data_Matrix (2018)'!BI$2:BI$67)</f>
        <v>43.582701324468516</v>
      </c>
      <c r="BJ11" s="9">
        <f>_xlfn.COVARIANCE.P('Data_Matrix (2018)'!$G$2:$G$67,'Data_Matrix (2018)'!BJ$2:BJ$67)</f>
        <v>31.360252690187668</v>
      </c>
      <c r="BK11" s="9">
        <f>_xlfn.COVARIANCE.P('Data_Matrix (2018)'!$G$2:$G$67,'Data_Matrix (2018)'!BK$2:BK$67)</f>
        <v>9.0491338094279392</v>
      </c>
      <c r="BL11" s="9">
        <f>_xlfn.COVARIANCE.P('Data_Matrix (2018)'!$G$2:$G$67,'Data_Matrix (2018)'!BL$2:BL$67)</f>
        <v>-12.357014567746596</v>
      </c>
      <c r="BM11" s="9">
        <f>_xlfn.COVARIANCE.P('Data_Matrix (2018)'!$G$2:$G$67,'Data_Matrix (2018)'!BM$2:BM$67)</f>
        <v>1.8447615567181197</v>
      </c>
      <c r="BN11" s="9">
        <f>_xlfn.COVARIANCE.P('Data_Matrix (2018)'!$G$2:$G$67,'Data_Matrix (2018)'!BN$2:BN$67)</f>
        <v>0.51595424908585308</v>
      </c>
      <c r="BO11" s="9">
        <f>_xlfn.COVARIANCE.P('Data_Matrix (2018)'!$G$2:$G$67,'Data_Matrix (2018)'!BO$2:BO$67)</f>
        <v>0.12796628035765858</v>
      </c>
    </row>
    <row r="12" spans="1:67" x14ac:dyDescent="0.2">
      <c r="B12" s="9">
        <f>_xlfn.COVARIANCE.P('Data_Matrix (2018)'!$H$2:$H$67,'Data_Matrix (2018)'!B$2:B$67)</f>
        <v>3133249.3179342803</v>
      </c>
      <c r="C12" s="9">
        <f>_xlfn.COVARIANCE.P('Data_Matrix (2018)'!$H$2:$H$67,'Data_Matrix (2018)'!C$2:C$67)</f>
        <v>2655971.3157581054</v>
      </c>
      <c r="D12" s="9">
        <f>_xlfn.COVARIANCE.P('Data_Matrix (2018)'!$H$2:$H$67,'Data_Matrix (2018)'!D$2:D$67)</f>
        <v>2244726.9575036708</v>
      </c>
      <c r="E12" s="9">
        <f>_xlfn.COVARIANCE.P('Data_Matrix (2018)'!$H$2:$H$67,'Data_Matrix (2018)'!E$2:E$67)</f>
        <v>1191408.6416521536</v>
      </c>
      <c r="F12" s="9">
        <f>_xlfn.COVARIANCE.P('Data_Matrix (2018)'!$H$2:$H$67,'Data_Matrix (2018)'!F$2:F$67)</f>
        <v>816498.91984271794</v>
      </c>
      <c r="G12" s="9">
        <f>_xlfn.COVARIANCE.P('Data_Matrix (2018)'!$H$2:$H$67,'Data_Matrix (2018)'!G$2:G$67)</f>
        <v>1464933.0491715765</v>
      </c>
      <c r="H12" s="9">
        <f>_xlfn.COVARIANCE.P('Data_Matrix (2018)'!$H$2:$H$67,'Data_Matrix (2018)'!H$2:H$67)</f>
        <v>1288573.033461347</v>
      </c>
      <c r="I12" s="9">
        <f>_xlfn.COVARIANCE.P('Data_Matrix (2018)'!$H$2:$H$67,'Data_Matrix (2018)'!I$2:I$67)</f>
        <v>553336.72737867886</v>
      </c>
      <c r="J12" s="9">
        <f>_xlfn.COVARIANCE.P('Data_Matrix (2018)'!$H$2:$H$67,'Data_Matrix (2018)'!J$2:J$67)</f>
        <v>249950.71464272399</v>
      </c>
      <c r="K12" s="9">
        <f>_xlfn.COVARIANCE.P('Data_Matrix (2018)'!$H$2:$H$67,'Data_Matrix (2018)'!K$2:K$67)</f>
        <v>354087.5271459588</v>
      </c>
      <c r="L12" s="9">
        <f>_xlfn.COVARIANCE.P('Data_Matrix (2018)'!$H$2:$H$67,'Data_Matrix (2018)'!L$2:L$67)</f>
        <v>303553.24587784678</v>
      </c>
      <c r="M12" s="9">
        <f>_xlfn.COVARIANCE.P('Data_Matrix (2018)'!$H$2:$H$67,'Data_Matrix (2018)'!M$2:M$67)</f>
        <v>260516.10624620036</v>
      </c>
      <c r="N12" s="9">
        <f>_xlfn.COVARIANCE.P('Data_Matrix (2018)'!$H$2:$H$67,'Data_Matrix (2018)'!N$2:N$67)</f>
        <v>283502.16508998553</v>
      </c>
      <c r="O12" s="9">
        <f>_xlfn.COVARIANCE.P('Data_Matrix (2018)'!$H$2:$H$67,'Data_Matrix (2018)'!O$2:O$67)</f>
        <v>138976.93327497932</v>
      </c>
      <c r="P12" s="9">
        <f>_xlfn.COVARIANCE.P('Data_Matrix (2018)'!$H$2:$H$67,'Data_Matrix (2018)'!P$2:P$67)</f>
        <v>26168.290525305136</v>
      </c>
      <c r="Q12" s="9">
        <f>_xlfn.COVARIANCE.P('Data_Matrix (2018)'!$H$2:$H$67,'Data_Matrix (2018)'!Q$2:Q$67)</f>
        <v>156320.18957454624</v>
      </c>
      <c r="R12" s="9">
        <f>_xlfn.COVARIANCE.P('Data_Matrix (2018)'!$H$2:$H$67,'Data_Matrix (2018)'!R$2:R$67)</f>
        <v>176534.21081476944</v>
      </c>
      <c r="S12" s="9">
        <f>_xlfn.COVARIANCE.P('Data_Matrix (2018)'!$H$2:$H$67,'Data_Matrix (2018)'!S$2:S$67)</f>
        <v>106711.47387899073</v>
      </c>
      <c r="T12" s="9">
        <f>_xlfn.COVARIANCE.P('Data_Matrix (2018)'!$H$2:$H$67,'Data_Matrix (2018)'!T$2:T$67)</f>
        <v>63140.490820312341</v>
      </c>
      <c r="U12" s="9">
        <f>_xlfn.COVARIANCE.P('Data_Matrix (2018)'!$H$2:$H$67,'Data_Matrix (2018)'!U$2:U$67)</f>
        <v>32174.095406420514</v>
      </c>
      <c r="V12" s="9">
        <f>_xlfn.COVARIANCE.P('Data_Matrix (2018)'!$H$2:$H$67,'Data_Matrix (2018)'!V$2:V$67)</f>
        <v>5534.4997970276099</v>
      </c>
      <c r="W12" s="9">
        <f>_xlfn.COVARIANCE.P('Data_Matrix (2018)'!$H$2:$H$67,'Data_Matrix (2018)'!W$2:W$67)</f>
        <v>17805.308356832924</v>
      </c>
      <c r="X12" s="9">
        <f>_xlfn.COVARIANCE.P('Data_Matrix (2018)'!$H$2:$H$67,'Data_Matrix (2018)'!X$2:X$67)</f>
        <v>25149.18671843937</v>
      </c>
      <c r="Y12" s="9">
        <f>_xlfn.COVARIANCE.P('Data_Matrix (2018)'!$H$2:$H$67,'Data_Matrix (2018)'!Y$2:Y$67)</f>
        <v>25564.824651338186</v>
      </c>
      <c r="Z12" s="9">
        <f>_xlfn.COVARIANCE.P('Data_Matrix (2018)'!$H$2:$H$67,'Data_Matrix (2018)'!Z$2:Z$67)</f>
        <v>18868.500003467558</v>
      </c>
      <c r="AA12" s="9">
        <f>_xlfn.COVARIANCE.P('Data_Matrix (2018)'!$H$2:$H$67,'Data_Matrix (2018)'!AA$2:AA$67)</f>
        <v>8724.0239729751775</v>
      </c>
      <c r="AB12" s="9">
        <f>_xlfn.COVARIANCE.P('Data_Matrix (2018)'!$H$2:$H$67,'Data_Matrix (2018)'!AB$2:AB$67)</f>
        <v>2638.7698455538189</v>
      </c>
      <c r="AC12" s="9">
        <f>_xlfn.COVARIANCE.P('Data_Matrix (2018)'!$H$2:$H$67,'Data_Matrix (2018)'!AC$2:AC$67)</f>
        <v>4060.4706579275644</v>
      </c>
      <c r="AD12" s="9">
        <f>_xlfn.COVARIANCE.P('Data_Matrix (2018)'!$H$2:$H$67,'Data_Matrix (2018)'!AD$2:AD$67)</f>
        <v>4017.7961053551753</v>
      </c>
      <c r="AE12" s="9">
        <f>_xlfn.COVARIANCE.P('Data_Matrix (2018)'!$H$2:$H$67,'Data_Matrix (2018)'!AE$2:AE$67)</f>
        <v>1629.9500417968463</v>
      </c>
      <c r="AF12" s="9">
        <f>_xlfn.COVARIANCE.P('Data_Matrix (2018)'!$H$2:$H$67,'Data_Matrix (2018)'!AF$2:AF$67)</f>
        <v>2116.556341328645</v>
      </c>
      <c r="AG12" s="9">
        <f>_xlfn.COVARIANCE.P('Data_Matrix (2018)'!$H$2:$H$67,'Data_Matrix (2018)'!AG$2:AG$67)</f>
        <v>1272.2625528593817</v>
      </c>
      <c r="AH12" s="9">
        <f>_xlfn.COVARIANCE.P('Data_Matrix (2018)'!$H$2:$H$67,'Data_Matrix (2018)'!AH$2:AH$67)</f>
        <v>1611.0522721447148</v>
      </c>
      <c r="AI12" s="9">
        <f>_xlfn.COVARIANCE.P('Data_Matrix (2018)'!$H$2:$H$67,'Data_Matrix (2018)'!AI$2:AI$67)</f>
        <v>2170.3736251524028</v>
      </c>
      <c r="AJ12" s="9">
        <f>_xlfn.COVARIANCE.P('Data_Matrix (2018)'!$H$2:$H$67,'Data_Matrix (2018)'!AJ$2:AJ$67)</f>
        <v>1494.5501231112178</v>
      </c>
      <c r="AK12" s="9">
        <f>_xlfn.COVARIANCE.P('Data_Matrix (2018)'!$H$2:$H$67,'Data_Matrix (2018)'!AK$2:AK$67)</f>
        <v>-675.11413120585166</v>
      </c>
      <c r="AL12" s="9">
        <f>_xlfn.COVARIANCE.P('Data_Matrix (2018)'!$H$2:$H$67,'Data_Matrix (2018)'!AL$2:AL$67)</f>
        <v>-4225.725397593068</v>
      </c>
      <c r="AM12" s="9">
        <f>_xlfn.COVARIANCE.P('Data_Matrix (2018)'!$H$2:$H$67,'Data_Matrix (2018)'!AM$2:AM$67)</f>
        <v>1486.5174602036566</v>
      </c>
      <c r="AN12" s="9">
        <f>_xlfn.COVARIANCE.P('Data_Matrix (2018)'!$H$2:$H$67,'Data_Matrix (2018)'!AN$2:AN$67)</f>
        <v>1296.6050739818643</v>
      </c>
      <c r="AO12" s="9">
        <f>_xlfn.COVARIANCE.P('Data_Matrix (2018)'!$H$2:$H$67,'Data_Matrix (2018)'!AO$2:AO$67)</f>
        <v>1004.2318992236645</v>
      </c>
      <c r="AP12" s="9">
        <f>_xlfn.COVARIANCE.P('Data_Matrix (2018)'!$H$2:$H$67,'Data_Matrix (2018)'!AP$2:AP$67)</f>
        <v>1813.9115090689265</v>
      </c>
      <c r="AQ12" s="9">
        <f>_xlfn.COVARIANCE.P('Data_Matrix (2018)'!$H$2:$H$67,'Data_Matrix (2018)'!AQ$2:AQ$67)</f>
        <v>665.39521449573783</v>
      </c>
      <c r="AR12" s="9">
        <f>_xlfn.COVARIANCE.P('Data_Matrix (2018)'!$H$2:$H$67,'Data_Matrix (2018)'!AR$2:AR$67)</f>
        <v>323.12079779935033</v>
      </c>
      <c r="AS12" s="9">
        <f>_xlfn.COVARIANCE.P('Data_Matrix (2018)'!$H$2:$H$67,'Data_Matrix (2018)'!AS$2:AS$67)</f>
        <v>262.66971029767637</v>
      </c>
      <c r="AT12" s="9">
        <f>_xlfn.COVARIANCE.P('Data_Matrix (2018)'!$H$2:$H$67,'Data_Matrix (2018)'!AT$2:AT$67)</f>
        <v>321.81186034937929</v>
      </c>
      <c r="AU12" s="9">
        <f>_xlfn.COVARIANCE.P('Data_Matrix (2018)'!$H$2:$H$67,'Data_Matrix (2018)'!AU$2:AU$67)</f>
        <v>-162.36657927579964</v>
      </c>
      <c r="AV12" s="9">
        <f>_xlfn.COVARIANCE.P('Data_Matrix (2018)'!$H$2:$H$67,'Data_Matrix (2018)'!AV$2:AV$67)</f>
        <v>490.07987671346422</v>
      </c>
      <c r="AW12" s="9">
        <f>_xlfn.COVARIANCE.P('Data_Matrix (2018)'!$H$2:$H$67,'Data_Matrix (2018)'!AW$2:AW$67)</f>
        <v>-455.08380329955889</v>
      </c>
      <c r="AX12" s="9">
        <f>_xlfn.COVARIANCE.P('Data_Matrix (2018)'!$H$2:$H$67,'Data_Matrix (2018)'!AX$2:AX$67)</f>
        <v>60.14897183800209</v>
      </c>
      <c r="AY12" s="9">
        <f>_xlfn.COVARIANCE.P('Data_Matrix (2018)'!$H$2:$H$67,'Data_Matrix (2018)'!AY$2:AY$67)</f>
        <v>172.71191963525908</v>
      </c>
      <c r="AZ12" s="9">
        <f>_xlfn.COVARIANCE.P('Data_Matrix (2018)'!$H$2:$H$67,'Data_Matrix (2018)'!AZ$2:AZ$67)</f>
        <v>105.82084145926193</v>
      </c>
      <c r="BA12" s="9">
        <f>_xlfn.COVARIANCE.P('Data_Matrix (2018)'!$H$2:$H$67,'Data_Matrix (2018)'!BA$2:BA$67)</f>
        <v>29.444404506018955</v>
      </c>
      <c r="BB12" s="9">
        <f>_xlfn.COVARIANCE.P('Data_Matrix (2018)'!$H$2:$H$67,'Data_Matrix (2018)'!BB$2:BB$67)</f>
        <v>68.993896269012723</v>
      </c>
      <c r="BC12" s="9">
        <f>_xlfn.COVARIANCE.P('Data_Matrix (2018)'!$H$2:$H$67,'Data_Matrix (2018)'!BC$2:BC$67)</f>
        <v>108.6494642789819</v>
      </c>
      <c r="BD12" s="9">
        <f>_xlfn.COVARIANCE.P('Data_Matrix (2018)'!$H$2:$H$67,'Data_Matrix (2018)'!BD$2:BD$67)</f>
        <v>-33.923819502330929</v>
      </c>
      <c r="BE12" s="9">
        <f>_xlfn.COVARIANCE.P('Data_Matrix (2018)'!$H$2:$H$67,'Data_Matrix (2018)'!BE$2:BE$67)</f>
        <v>25.413488624060985</v>
      </c>
      <c r="BF12" s="9">
        <f>_xlfn.COVARIANCE.P('Data_Matrix (2018)'!$H$2:$H$67,'Data_Matrix (2018)'!BF$2:BF$67)</f>
        <v>-2.73218951265412</v>
      </c>
      <c r="BG12" s="9">
        <f>_xlfn.COVARIANCE.P('Data_Matrix (2018)'!$H$2:$H$67,'Data_Matrix (2018)'!BG$2:BG$67)</f>
        <v>1.2889047578895267</v>
      </c>
      <c r="BH12" s="9">
        <f>_xlfn.COVARIANCE.P('Data_Matrix (2018)'!$H$2:$H$67,'Data_Matrix (2018)'!BH$2:BH$67)</f>
        <v>72.218214396741288</v>
      </c>
      <c r="BI12" s="9">
        <f>_xlfn.COVARIANCE.P('Data_Matrix (2018)'!$H$2:$H$67,'Data_Matrix (2018)'!BI$2:BI$67)</f>
        <v>19.98050644656696</v>
      </c>
      <c r="BJ12" s="9">
        <f>_xlfn.COVARIANCE.P('Data_Matrix (2018)'!$H$2:$H$67,'Data_Matrix (2018)'!BJ$2:BJ$67)</f>
        <v>53.957518431549431</v>
      </c>
      <c r="BK12" s="9">
        <f>_xlfn.COVARIANCE.P('Data_Matrix (2018)'!$H$2:$H$67,'Data_Matrix (2018)'!BK$2:BK$67)</f>
        <v>-5.5786236427812188</v>
      </c>
      <c r="BL12" s="9">
        <f>_xlfn.COVARIANCE.P('Data_Matrix (2018)'!$H$2:$H$67,'Data_Matrix (2018)'!BL$2:BL$67)</f>
        <v>-4.1410360765730125</v>
      </c>
      <c r="BM12" s="9">
        <f>_xlfn.COVARIANCE.P('Data_Matrix (2018)'!$H$2:$H$67,'Data_Matrix (2018)'!BM$2:BM$67)</f>
        <v>0.32236852698380503</v>
      </c>
      <c r="BN12" s="9">
        <f>_xlfn.COVARIANCE.P('Data_Matrix (2018)'!$H$2:$H$67,'Data_Matrix (2018)'!BN$2:BN$67)</f>
        <v>0.84099677779679716</v>
      </c>
      <c r="BO12" s="9">
        <f>_xlfn.COVARIANCE.P('Data_Matrix (2018)'!$H$2:$H$67,'Data_Matrix (2018)'!BO$2:BO$67)</f>
        <v>-8.8518303564845927E-2</v>
      </c>
    </row>
    <row r="13" spans="1:67" x14ac:dyDescent="0.2">
      <c r="B13" s="9">
        <f>_xlfn.COVARIANCE.P('Data_Matrix (2018)'!$I$2:$I$67,'Data_Matrix (2018)'!B$2:B$67)</f>
        <v>2069242.4839668337</v>
      </c>
      <c r="C13" s="9">
        <f>_xlfn.COVARIANCE.P('Data_Matrix (2018)'!$I$2:$I$67,'Data_Matrix (2018)'!C$2:C$67)</f>
        <v>2711473.3951154342</v>
      </c>
      <c r="D13" s="9">
        <f>_xlfn.COVARIANCE.P('Data_Matrix (2018)'!$I$2:$I$67,'Data_Matrix (2018)'!D$2:D$67)</f>
        <v>2119855.8855397282</v>
      </c>
      <c r="E13" s="9">
        <f>_xlfn.COVARIANCE.P('Data_Matrix (2018)'!$I$2:$I$67,'Data_Matrix (2018)'!E$2:E$67)</f>
        <v>1466069.6580471792</v>
      </c>
      <c r="F13" s="9">
        <f>_xlfn.COVARIANCE.P('Data_Matrix (2018)'!$I$2:$I$67,'Data_Matrix (2018)'!F$2:F$67)</f>
        <v>747989.05846113327</v>
      </c>
      <c r="G13" s="9">
        <f>_xlfn.COVARIANCE.P('Data_Matrix (2018)'!$I$2:$I$67,'Data_Matrix (2018)'!G$2:G$67)</f>
        <v>1475835.6524651684</v>
      </c>
      <c r="H13" s="9">
        <f>_xlfn.COVARIANCE.P('Data_Matrix (2018)'!$I$2:$I$67,'Data_Matrix (2018)'!H$2:H$67)</f>
        <v>553336.72737867886</v>
      </c>
      <c r="I13" s="9">
        <f>_xlfn.COVARIANCE.P('Data_Matrix (2018)'!$I$2:$I$67,'Data_Matrix (2018)'!I$2:I$67)</f>
        <v>793082.2516974695</v>
      </c>
      <c r="J13" s="9">
        <f>_xlfn.COVARIANCE.P('Data_Matrix (2018)'!$I$2:$I$67,'Data_Matrix (2018)'!J$2:J$67)</f>
        <v>299100.08911162167</v>
      </c>
      <c r="K13" s="9">
        <f>_xlfn.COVARIANCE.P('Data_Matrix (2018)'!$I$2:$I$67,'Data_Matrix (2018)'!K$2:K$67)</f>
        <v>324977.7559770401</v>
      </c>
      <c r="L13" s="9">
        <f>_xlfn.COVARIANCE.P('Data_Matrix (2018)'!$I$2:$I$67,'Data_Matrix (2018)'!L$2:L$67)</f>
        <v>248082.85396304753</v>
      </c>
      <c r="M13" s="9">
        <f>_xlfn.COVARIANCE.P('Data_Matrix (2018)'!$I$2:$I$67,'Data_Matrix (2018)'!M$2:M$67)</f>
        <v>229164.66832932175</v>
      </c>
      <c r="N13" s="9">
        <f>_xlfn.COVARIANCE.P('Data_Matrix (2018)'!$I$2:$I$67,'Data_Matrix (2018)'!N$2:N$67)</f>
        <v>286557.73651055788</v>
      </c>
      <c r="O13" s="9">
        <f>_xlfn.COVARIANCE.P('Data_Matrix (2018)'!$I$2:$I$67,'Data_Matrix (2018)'!O$2:O$67)</f>
        <v>115413.07889539204</v>
      </c>
      <c r="P13" s="9">
        <f>_xlfn.COVARIANCE.P('Data_Matrix (2018)'!$I$2:$I$67,'Data_Matrix (2018)'!P$2:P$67)</f>
        <v>34476.345187287036</v>
      </c>
      <c r="Q13" s="9">
        <f>_xlfn.COVARIANCE.P('Data_Matrix (2018)'!$I$2:$I$67,'Data_Matrix (2018)'!Q$2:Q$67)</f>
        <v>96951.308006147883</v>
      </c>
      <c r="R13" s="9">
        <f>_xlfn.COVARIANCE.P('Data_Matrix (2018)'!$I$2:$I$67,'Data_Matrix (2018)'!R$2:R$67)</f>
        <v>100519.89550870845</v>
      </c>
      <c r="S13" s="9">
        <f>_xlfn.COVARIANCE.P('Data_Matrix (2018)'!$I$2:$I$67,'Data_Matrix (2018)'!S$2:S$67)</f>
        <v>75038.26059120179</v>
      </c>
      <c r="T13" s="9">
        <f>_xlfn.COVARIANCE.P('Data_Matrix (2018)'!$I$2:$I$67,'Data_Matrix (2018)'!T$2:T$67)</f>
        <v>55564.884671480511</v>
      </c>
      <c r="U13" s="9">
        <f>_xlfn.COVARIANCE.P('Data_Matrix (2018)'!$I$2:$I$67,'Data_Matrix (2018)'!U$2:U$67)</f>
        <v>29643.010187563024</v>
      </c>
      <c r="V13" s="9">
        <f>_xlfn.COVARIANCE.P('Data_Matrix (2018)'!$I$2:$I$67,'Data_Matrix (2018)'!V$2:V$67)</f>
        <v>16553.392064502314</v>
      </c>
      <c r="W13" s="9">
        <f>_xlfn.COVARIANCE.P('Data_Matrix (2018)'!$I$2:$I$67,'Data_Matrix (2018)'!W$2:W$67)</f>
        <v>16284.186354662723</v>
      </c>
      <c r="X13" s="9">
        <f>_xlfn.COVARIANCE.P('Data_Matrix (2018)'!$I$2:$I$67,'Data_Matrix (2018)'!X$2:X$67)</f>
        <v>32867.721829091126</v>
      </c>
      <c r="Y13" s="9">
        <f>_xlfn.COVARIANCE.P('Data_Matrix (2018)'!$I$2:$I$67,'Data_Matrix (2018)'!Y$2:Y$67)</f>
        <v>28359.238015325442</v>
      </c>
      <c r="Z13" s="9">
        <f>_xlfn.COVARIANCE.P('Data_Matrix (2018)'!$I$2:$I$67,'Data_Matrix (2018)'!Z$2:Z$67)</f>
        <v>13457.573660419899</v>
      </c>
      <c r="AA13" s="9">
        <f>_xlfn.COVARIANCE.P('Data_Matrix (2018)'!$I$2:$I$67,'Data_Matrix (2018)'!AA$2:AA$67)</f>
        <v>11541.191613615045</v>
      </c>
      <c r="AB13" s="9">
        <f>_xlfn.COVARIANCE.P('Data_Matrix (2018)'!$I$2:$I$67,'Data_Matrix (2018)'!AB$2:AB$67)</f>
        <v>2454.7110914377467</v>
      </c>
      <c r="AC13" s="9">
        <f>_xlfn.COVARIANCE.P('Data_Matrix (2018)'!$I$2:$I$67,'Data_Matrix (2018)'!AC$2:AC$67)</f>
        <v>2416.2267828013919</v>
      </c>
      <c r="AD13" s="9">
        <f>_xlfn.COVARIANCE.P('Data_Matrix (2018)'!$I$2:$I$67,'Data_Matrix (2018)'!AD$2:AD$67)</f>
        <v>4143.9057794819973</v>
      </c>
      <c r="AE13" s="9">
        <f>_xlfn.COVARIANCE.P('Data_Matrix (2018)'!$I$2:$I$67,'Data_Matrix (2018)'!AE$2:AE$67)</f>
        <v>1405.8559332025884</v>
      </c>
      <c r="AF13" s="9">
        <f>_xlfn.COVARIANCE.P('Data_Matrix (2018)'!$I$2:$I$67,'Data_Matrix (2018)'!AF$2:AF$67)</f>
        <v>2418.2169911469955</v>
      </c>
      <c r="AG13" s="9">
        <f>_xlfn.COVARIANCE.P('Data_Matrix (2018)'!$I$2:$I$67,'Data_Matrix (2018)'!AG$2:AG$67)</f>
        <v>2460.0327858338942</v>
      </c>
      <c r="AH13" s="9">
        <f>_xlfn.COVARIANCE.P('Data_Matrix (2018)'!$I$2:$I$67,'Data_Matrix (2018)'!AH$2:AH$67)</f>
        <v>924.33387838461476</v>
      </c>
      <c r="AI13" s="9">
        <f>_xlfn.COVARIANCE.P('Data_Matrix (2018)'!$I$2:$I$67,'Data_Matrix (2018)'!AI$2:AI$67)</f>
        <v>1629.2131254888873</v>
      </c>
      <c r="AJ13" s="9">
        <f>_xlfn.COVARIANCE.P('Data_Matrix (2018)'!$I$2:$I$67,'Data_Matrix (2018)'!AJ$2:AJ$67)</f>
        <v>1280.1941314792286</v>
      </c>
      <c r="AK13" s="9">
        <f>_xlfn.COVARIANCE.P('Data_Matrix (2018)'!$I$2:$I$67,'Data_Matrix (2018)'!AK$2:AK$67)</f>
        <v>705.60490407656448</v>
      </c>
      <c r="AL13" s="9">
        <f>_xlfn.COVARIANCE.P('Data_Matrix (2018)'!$I$2:$I$67,'Data_Matrix (2018)'!AL$2:AL$67)</f>
        <v>-3924.4024175305312</v>
      </c>
      <c r="AM13" s="9">
        <f>_xlfn.COVARIANCE.P('Data_Matrix (2018)'!$I$2:$I$67,'Data_Matrix (2018)'!AM$2:AM$67)</f>
        <v>1679.9749339733789</v>
      </c>
      <c r="AN13" s="9">
        <f>_xlfn.COVARIANCE.P('Data_Matrix (2018)'!$I$2:$I$67,'Data_Matrix (2018)'!AN$2:AN$67)</f>
        <v>1860.7612933128951</v>
      </c>
      <c r="AO13" s="9">
        <f>_xlfn.COVARIANCE.P('Data_Matrix (2018)'!$I$2:$I$67,'Data_Matrix (2018)'!AO$2:AO$67)</f>
        <v>1256.2744599391044</v>
      </c>
      <c r="AP13" s="9">
        <f>_xlfn.COVARIANCE.P('Data_Matrix (2018)'!$I$2:$I$67,'Data_Matrix (2018)'!AP$2:AP$67)</f>
        <v>2946.2382012714338</v>
      </c>
      <c r="AQ13" s="9">
        <f>_xlfn.COVARIANCE.P('Data_Matrix (2018)'!$I$2:$I$67,'Data_Matrix (2018)'!AQ$2:AQ$67)</f>
        <v>1191.5495176427185</v>
      </c>
      <c r="AR13" s="9">
        <f>_xlfn.COVARIANCE.P('Data_Matrix (2018)'!$I$2:$I$67,'Data_Matrix (2018)'!AR$2:AR$67)</f>
        <v>1530.4841666262478</v>
      </c>
      <c r="AS13" s="9">
        <f>_xlfn.COVARIANCE.P('Data_Matrix (2018)'!$I$2:$I$67,'Data_Matrix (2018)'!AS$2:AS$67)</f>
        <v>780.54803840816567</v>
      </c>
      <c r="AT13" s="9">
        <f>_xlfn.COVARIANCE.P('Data_Matrix (2018)'!$I$2:$I$67,'Data_Matrix (2018)'!AT$2:AT$67)</f>
        <v>209.79913723456491</v>
      </c>
      <c r="AU13" s="9">
        <f>_xlfn.COVARIANCE.P('Data_Matrix (2018)'!$I$2:$I$67,'Data_Matrix (2018)'!AU$2:AU$67)</f>
        <v>172.07412742138459</v>
      </c>
      <c r="AV13" s="9">
        <f>_xlfn.COVARIANCE.P('Data_Matrix (2018)'!$I$2:$I$67,'Data_Matrix (2018)'!AV$2:AV$67)</f>
        <v>372.08071147933424</v>
      </c>
      <c r="AW13" s="9">
        <f>_xlfn.COVARIANCE.P('Data_Matrix (2018)'!$I$2:$I$67,'Data_Matrix (2018)'!AW$2:AW$67)</f>
        <v>1.5292763227941859</v>
      </c>
      <c r="AX13" s="9">
        <f>_xlfn.COVARIANCE.P('Data_Matrix (2018)'!$I$2:$I$67,'Data_Matrix (2018)'!AX$2:AX$67)</f>
        <v>120.84678117342168</v>
      </c>
      <c r="AY13" s="9">
        <f>_xlfn.COVARIANCE.P('Data_Matrix (2018)'!$I$2:$I$67,'Data_Matrix (2018)'!AY$2:AY$67)</f>
        <v>370.02559490552767</v>
      </c>
      <c r="AZ13" s="9">
        <f>_xlfn.COVARIANCE.P('Data_Matrix (2018)'!$I$2:$I$67,'Data_Matrix (2018)'!AZ$2:AZ$67)</f>
        <v>325.16477622170362</v>
      </c>
      <c r="BA13" s="9">
        <f>_xlfn.COVARIANCE.P('Data_Matrix (2018)'!$I$2:$I$67,'Data_Matrix (2018)'!BA$2:BA$67)</f>
        <v>-10.450450899098135</v>
      </c>
      <c r="BB13" s="9">
        <f>_xlfn.COVARIANCE.P('Data_Matrix (2018)'!$I$2:$I$67,'Data_Matrix (2018)'!BB$2:BB$67)</f>
        <v>43.535609671393942</v>
      </c>
      <c r="BC13" s="9">
        <f>_xlfn.COVARIANCE.P('Data_Matrix (2018)'!$I$2:$I$67,'Data_Matrix (2018)'!BC$2:BC$67)</f>
        <v>129.59150112123518</v>
      </c>
      <c r="BD13" s="9">
        <f>_xlfn.COVARIANCE.P('Data_Matrix (2018)'!$I$2:$I$67,'Data_Matrix (2018)'!BD$2:BD$67)</f>
        <v>-30.243260418117281</v>
      </c>
      <c r="BE13" s="9">
        <f>_xlfn.COVARIANCE.P('Data_Matrix (2018)'!$I$2:$I$67,'Data_Matrix (2018)'!BE$2:BE$67)</f>
        <v>47.49228962690556</v>
      </c>
      <c r="BF13" s="9">
        <f>_xlfn.COVARIANCE.P('Data_Matrix (2018)'!$I$2:$I$67,'Data_Matrix (2018)'!BF$2:BF$67)</f>
        <v>-2.9466176698578832</v>
      </c>
      <c r="BG13" s="9">
        <f>_xlfn.COVARIANCE.P('Data_Matrix (2018)'!$I$2:$I$67,'Data_Matrix (2018)'!BG$2:BG$67)</f>
        <v>0.50844214507788343</v>
      </c>
      <c r="BH13" s="9">
        <f>_xlfn.COVARIANCE.P('Data_Matrix (2018)'!$I$2:$I$67,'Data_Matrix (2018)'!BH$2:BH$67)</f>
        <v>65.073337218538427</v>
      </c>
      <c r="BI13" s="9">
        <f>_xlfn.COVARIANCE.P('Data_Matrix (2018)'!$I$2:$I$67,'Data_Matrix (2018)'!BI$2:BI$67)</f>
        <v>21.493592523867225</v>
      </c>
      <c r="BJ13" s="9">
        <f>_xlfn.COVARIANCE.P('Data_Matrix (2018)'!$I$2:$I$67,'Data_Matrix (2018)'!BJ$2:BJ$67)</f>
        <v>7.4907475078611947</v>
      </c>
      <c r="BK13" s="9">
        <f>_xlfn.COVARIANCE.P('Data_Matrix (2018)'!$I$2:$I$67,'Data_Matrix (2018)'!BK$2:BK$67)</f>
        <v>1.3892827300331319</v>
      </c>
      <c r="BL13" s="9">
        <f>_xlfn.COVARIANCE.P('Data_Matrix (2018)'!$I$2:$I$67,'Data_Matrix (2018)'!BL$2:BL$67)</f>
        <v>-9.7364933154146645</v>
      </c>
      <c r="BM13" s="9">
        <f>_xlfn.COVARIANCE.P('Data_Matrix (2018)'!$I$2:$I$67,'Data_Matrix (2018)'!BM$2:BM$67)</f>
        <v>-0.12347581737904471</v>
      </c>
      <c r="BN13" s="9">
        <f>_xlfn.COVARIANCE.P('Data_Matrix (2018)'!$I$2:$I$67,'Data_Matrix (2018)'!BN$2:BN$67)</f>
        <v>-0.67111510741601799</v>
      </c>
      <c r="BO13" s="9">
        <f>_xlfn.COVARIANCE.P('Data_Matrix (2018)'!$I$2:$I$67,'Data_Matrix (2018)'!BO$2:BO$67)</f>
        <v>-3.5195342145714494E-2</v>
      </c>
    </row>
    <row r="14" spans="1:67" x14ac:dyDescent="0.2">
      <c r="B14" s="9">
        <f>_xlfn.COVARIANCE.P('Data_Matrix (2018)'!$J$2:$J$67,'Data_Matrix (2018)'!B$2:B$67)</f>
        <v>780262.47677447658</v>
      </c>
      <c r="C14" s="9">
        <f>_xlfn.COVARIANCE.P('Data_Matrix (2018)'!$J$2:$J$67,'Data_Matrix (2018)'!C$2:C$67)</f>
        <v>1321298.8650707491</v>
      </c>
      <c r="D14" s="9">
        <f>_xlfn.COVARIANCE.P('Data_Matrix (2018)'!$J$2:$J$67,'Data_Matrix (2018)'!D$2:D$67)</f>
        <v>1021763.3057596135</v>
      </c>
      <c r="E14" s="9">
        <f>_xlfn.COVARIANCE.P('Data_Matrix (2018)'!$J$2:$J$67,'Data_Matrix (2018)'!E$2:E$67)</f>
        <v>789235.35609863349</v>
      </c>
      <c r="F14" s="9">
        <f>_xlfn.COVARIANCE.P('Data_Matrix (2018)'!$J$2:$J$67,'Data_Matrix (2018)'!F$2:F$67)</f>
        <v>419996.1618596171</v>
      </c>
      <c r="G14" s="9">
        <f>_xlfn.COVARIANCE.P('Data_Matrix (2018)'!$J$2:$J$67,'Data_Matrix (2018)'!G$2:G$67)</f>
        <v>793282.8516912479</v>
      </c>
      <c r="H14" s="9">
        <f>_xlfn.COVARIANCE.P('Data_Matrix (2018)'!$J$2:$J$67,'Data_Matrix (2018)'!H$2:H$67)</f>
        <v>249950.71464272399</v>
      </c>
      <c r="I14" s="9">
        <f>_xlfn.COVARIANCE.P('Data_Matrix (2018)'!$J$2:$J$67,'Data_Matrix (2018)'!I$2:I$67)</f>
        <v>299100.08911162167</v>
      </c>
      <c r="J14" s="9">
        <f>_xlfn.COVARIANCE.P('Data_Matrix (2018)'!$J$2:$J$67,'Data_Matrix (2018)'!J$2:J$67)</f>
        <v>313950.83568873233</v>
      </c>
      <c r="K14" s="9">
        <f>_xlfn.COVARIANCE.P('Data_Matrix (2018)'!$J$2:$J$67,'Data_Matrix (2018)'!K$2:K$67)</f>
        <v>179642.44196933028</v>
      </c>
      <c r="L14" s="9">
        <f>_xlfn.COVARIANCE.P('Data_Matrix (2018)'!$J$2:$J$67,'Data_Matrix (2018)'!L$2:L$67)</f>
        <v>132380.68535459554</v>
      </c>
      <c r="M14" s="9">
        <f>_xlfn.COVARIANCE.P('Data_Matrix (2018)'!$J$2:$J$67,'Data_Matrix (2018)'!M$2:M$67)</f>
        <v>99537.452131989849</v>
      </c>
      <c r="N14" s="9">
        <f>_xlfn.COVARIANCE.P('Data_Matrix (2018)'!$J$2:$J$67,'Data_Matrix (2018)'!N$2:N$67)</f>
        <v>165307.86663509207</v>
      </c>
      <c r="O14" s="9">
        <f>_xlfn.COVARIANCE.P('Data_Matrix (2018)'!$J$2:$J$67,'Data_Matrix (2018)'!O$2:O$67)</f>
        <v>60450.933405206088</v>
      </c>
      <c r="P14" s="9">
        <f>_xlfn.COVARIANCE.P('Data_Matrix (2018)'!$J$2:$J$67,'Data_Matrix (2018)'!P$2:P$67)</f>
        <v>22959.46566564597</v>
      </c>
      <c r="Q14" s="9">
        <f>_xlfn.COVARIANCE.P('Data_Matrix (2018)'!$J$2:$J$67,'Data_Matrix (2018)'!Q$2:Q$67)</f>
        <v>45662.381579557637</v>
      </c>
      <c r="R14" s="9">
        <f>_xlfn.COVARIANCE.P('Data_Matrix (2018)'!$J$2:$J$67,'Data_Matrix (2018)'!R$2:R$67)</f>
        <v>46851.309155526251</v>
      </c>
      <c r="S14" s="9">
        <f>_xlfn.COVARIANCE.P('Data_Matrix (2018)'!$J$2:$J$67,'Data_Matrix (2018)'!S$2:S$67)</f>
        <v>35576.132416275272</v>
      </c>
      <c r="T14" s="9">
        <f>_xlfn.COVARIANCE.P('Data_Matrix (2018)'!$J$2:$J$67,'Data_Matrix (2018)'!T$2:T$67)</f>
        <v>26327.628804047115</v>
      </c>
      <c r="U14" s="9">
        <f>_xlfn.COVARIANCE.P('Data_Matrix (2018)'!$J$2:$J$67,'Data_Matrix (2018)'!U$2:U$67)</f>
        <v>13662.303983374528</v>
      </c>
      <c r="V14" s="9">
        <f>_xlfn.COVARIANCE.P('Data_Matrix (2018)'!$J$2:$J$67,'Data_Matrix (2018)'!V$2:V$67)</f>
        <v>14324.424716373353</v>
      </c>
      <c r="W14" s="9">
        <f>_xlfn.COVARIANCE.P('Data_Matrix (2018)'!$J$2:$J$67,'Data_Matrix (2018)'!W$2:W$67)</f>
        <v>9539.3263228289998</v>
      </c>
      <c r="X14" s="9">
        <f>_xlfn.COVARIANCE.P('Data_Matrix (2018)'!$J$2:$J$67,'Data_Matrix (2018)'!X$2:X$67)</f>
        <v>15611.413270895091</v>
      </c>
      <c r="Y14" s="9">
        <f>_xlfn.COVARIANCE.P('Data_Matrix (2018)'!$J$2:$J$67,'Data_Matrix (2018)'!Y$2:Y$67)</f>
        <v>11754.734379891242</v>
      </c>
      <c r="Z14" s="9">
        <f>_xlfn.COVARIANCE.P('Data_Matrix (2018)'!$J$2:$J$67,'Data_Matrix (2018)'!Z$2:Z$67)</f>
        <v>4639.5413757405522</v>
      </c>
      <c r="AA14" s="9">
        <f>_xlfn.COVARIANCE.P('Data_Matrix (2018)'!$J$2:$J$67,'Data_Matrix (2018)'!AA$2:AA$67)</f>
        <v>5478.0362587575737</v>
      </c>
      <c r="AB14" s="9">
        <f>_xlfn.COVARIANCE.P('Data_Matrix (2018)'!$J$2:$J$67,'Data_Matrix (2018)'!AB$2:AB$67)</f>
        <v>1231.7104908151155</v>
      </c>
      <c r="AC14" s="9">
        <f>_xlfn.COVARIANCE.P('Data_Matrix (2018)'!$J$2:$J$67,'Data_Matrix (2018)'!AC$2:AC$67)</f>
        <v>1.1793149682912096</v>
      </c>
      <c r="AD14" s="9">
        <f>_xlfn.COVARIANCE.P('Data_Matrix (2018)'!$J$2:$J$67,'Data_Matrix (2018)'!AD$2:AD$67)</f>
        <v>1737.5321977693513</v>
      </c>
      <c r="AE14" s="9">
        <f>_xlfn.COVARIANCE.P('Data_Matrix (2018)'!$J$2:$J$67,'Data_Matrix (2018)'!AE$2:AE$67)</f>
        <v>-181.07040191046127</v>
      </c>
      <c r="AF14" s="9">
        <f>_xlfn.COVARIANCE.P('Data_Matrix (2018)'!$J$2:$J$67,'Data_Matrix (2018)'!AF$2:AF$67)</f>
        <v>517.14967641811336</v>
      </c>
      <c r="AG14" s="9">
        <f>_xlfn.COVARIANCE.P('Data_Matrix (2018)'!$J$2:$J$67,'Data_Matrix (2018)'!AG$2:AG$67)</f>
        <v>420.4199440749619</v>
      </c>
      <c r="AH14" s="9">
        <f>_xlfn.COVARIANCE.P('Data_Matrix (2018)'!$J$2:$J$67,'Data_Matrix (2018)'!AH$2:AH$67)</f>
        <v>724.95977557447804</v>
      </c>
      <c r="AI14" s="9">
        <f>_xlfn.COVARIANCE.P('Data_Matrix (2018)'!$J$2:$J$67,'Data_Matrix (2018)'!AI$2:AI$67)</f>
        <v>938.50472835872711</v>
      </c>
      <c r="AJ14" s="9">
        <f>_xlfn.COVARIANCE.P('Data_Matrix (2018)'!$J$2:$J$67,'Data_Matrix (2018)'!AJ$2:AJ$67)</f>
        <v>248.40800828302528</v>
      </c>
      <c r="AK14" s="9">
        <f>_xlfn.COVARIANCE.P('Data_Matrix (2018)'!$J$2:$J$67,'Data_Matrix (2018)'!AK$2:AK$67)</f>
        <v>52.770221620714807</v>
      </c>
      <c r="AL14" s="9">
        <f>_xlfn.COVARIANCE.P('Data_Matrix (2018)'!$J$2:$J$67,'Data_Matrix (2018)'!AL$2:AL$67)</f>
        <v>-2272.3481307506872</v>
      </c>
      <c r="AM14" s="9">
        <f>_xlfn.COVARIANCE.P('Data_Matrix (2018)'!$J$2:$J$67,'Data_Matrix (2018)'!AM$2:AM$67)</f>
        <v>71.048193610081526</v>
      </c>
      <c r="AN14" s="9">
        <f>_xlfn.COVARIANCE.P('Data_Matrix (2018)'!$J$2:$J$67,'Data_Matrix (2018)'!AN$2:AN$67)</f>
        <v>619.36669864073474</v>
      </c>
      <c r="AO14" s="9">
        <f>_xlfn.COVARIANCE.P('Data_Matrix (2018)'!$J$2:$J$67,'Data_Matrix (2018)'!AO$2:AO$67)</f>
        <v>308.5988954993295</v>
      </c>
      <c r="AP14" s="9">
        <f>_xlfn.COVARIANCE.P('Data_Matrix (2018)'!$J$2:$J$67,'Data_Matrix (2018)'!AP$2:AP$67)</f>
        <v>1238.1945712086065</v>
      </c>
      <c r="AQ14" s="9">
        <f>_xlfn.COVARIANCE.P('Data_Matrix (2018)'!$J$2:$J$67,'Data_Matrix (2018)'!AQ$2:AQ$67)</f>
        <v>209.35851330015223</v>
      </c>
      <c r="AR14" s="9">
        <f>_xlfn.COVARIANCE.P('Data_Matrix (2018)'!$J$2:$J$67,'Data_Matrix (2018)'!AR$2:AR$67)</f>
        <v>527.5900302137394</v>
      </c>
      <c r="AS14" s="9">
        <f>_xlfn.COVARIANCE.P('Data_Matrix (2018)'!$J$2:$J$67,'Data_Matrix (2018)'!AS$2:AS$67)</f>
        <v>72.420320150896671</v>
      </c>
      <c r="AT14" s="9">
        <f>_xlfn.COVARIANCE.P('Data_Matrix (2018)'!$J$2:$J$67,'Data_Matrix (2018)'!AT$2:AT$67)</f>
        <v>-4.1079622586844806</v>
      </c>
      <c r="AU14" s="9">
        <f>_xlfn.COVARIANCE.P('Data_Matrix (2018)'!$J$2:$J$67,'Data_Matrix (2018)'!AU$2:AU$67)</f>
        <v>-2.4997781128719869</v>
      </c>
      <c r="AV14" s="9">
        <f>_xlfn.COVARIANCE.P('Data_Matrix (2018)'!$J$2:$J$67,'Data_Matrix (2018)'!AV$2:AV$67)</f>
        <v>15.809894680056921</v>
      </c>
      <c r="AW14" s="9">
        <f>_xlfn.COVARIANCE.P('Data_Matrix (2018)'!$J$2:$J$67,'Data_Matrix (2018)'!AW$2:AW$67)</f>
        <v>-266.78000114389238</v>
      </c>
      <c r="AX14" s="9">
        <f>_xlfn.COVARIANCE.P('Data_Matrix (2018)'!$J$2:$J$67,'Data_Matrix (2018)'!AX$2:AX$67)</f>
        <v>-187.32756294061238</v>
      </c>
      <c r="AY14" s="9">
        <f>_xlfn.COVARIANCE.P('Data_Matrix (2018)'!$J$2:$J$67,'Data_Matrix (2018)'!AY$2:AY$67)</f>
        <v>97.552654000354082</v>
      </c>
      <c r="AZ14" s="9">
        <f>_xlfn.COVARIANCE.P('Data_Matrix (2018)'!$J$2:$J$67,'Data_Matrix (2018)'!AZ$2:AZ$67)</f>
        <v>201.96777958654243</v>
      </c>
      <c r="BA14" s="9">
        <f>_xlfn.COVARIANCE.P('Data_Matrix (2018)'!$J$2:$J$67,'Data_Matrix (2018)'!BA$2:BA$67)</f>
        <v>-2.0072937575111176</v>
      </c>
      <c r="BB14" s="9">
        <f>_xlfn.COVARIANCE.P('Data_Matrix (2018)'!$J$2:$J$67,'Data_Matrix (2018)'!BB$2:BB$67)</f>
        <v>24.639956584028038</v>
      </c>
      <c r="BC14" s="9">
        <f>_xlfn.COVARIANCE.P('Data_Matrix (2018)'!$J$2:$J$67,'Data_Matrix (2018)'!BC$2:BC$67)</f>
        <v>19.63027227272644</v>
      </c>
      <c r="BD14" s="9">
        <f>_xlfn.COVARIANCE.P('Data_Matrix (2018)'!$J$2:$J$67,'Data_Matrix (2018)'!BD$2:BD$67)</f>
        <v>-16.671555659791686</v>
      </c>
      <c r="BE14" s="9">
        <f>_xlfn.COVARIANCE.P('Data_Matrix (2018)'!$J$2:$J$67,'Data_Matrix (2018)'!BE$2:BE$67)</f>
        <v>27.485259920166968</v>
      </c>
      <c r="BF14" s="9">
        <f>_xlfn.COVARIANCE.P('Data_Matrix (2018)'!$J$2:$J$67,'Data_Matrix (2018)'!BF$2:BF$67)</f>
        <v>0.56077936101853099</v>
      </c>
      <c r="BG14" s="9">
        <f>_xlfn.COVARIANCE.P('Data_Matrix (2018)'!$J$2:$J$67,'Data_Matrix (2018)'!BG$2:BG$67)</f>
        <v>0.38601513476390725</v>
      </c>
      <c r="BH14" s="9">
        <f>_xlfn.COVARIANCE.P('Data_Matrix (2018)'!$J$2:$J$67,'Data_Matrix (2018)'!BH$2:BH$67)</f>
        <v>6.0129097739004038</v>
      </c>
      <c r="BI14" s="9">
        <f>_xlfn.COVARIANCE.P('Data_Matrix (2018)'!$J$2:$J$67,'Data_Matrix (2018)'!BI$2:BI$67)</f>
        <v>0.96609792709175768</v>
      </c>
      <c r="BJ14" s="9">
        <f>_xlfn.COVARIANCE.P('Data_Matrix (2018)'!$J$2:$J$67,'Data_Matrix (2018)'!BJ$2:BJ$67)</f>
        <v>-2.0221879777973548</v>
      </c>
      <c r="BK14" s="9">
        <f>_xlfn.COVARIANCE.P('Data_Matrix (2018)'!$J$2:$J$67,'Data_Matrix (2018)'!BK$2:BK$67)</f>
        <v>4.2190652792832424</v>
      </c>
      <c r="BL14" s="9">
        <f>_xlfn.COVARIANCE.P('Data_Matrix (2018)'!$J$2:$J$67,'Data_Matrix (2018)'!BL$2:BL$67)</f>
        <v>-6.9517284607255911</v>
      </c>
      <c r="BM14" s="9">
        <f>_xlfn.COVARIANCE.P('Data_Matrix (2018)'!$J$2:$J$67,'Data_Matrix (2018)'!BM$2:BM$67)</f>
        <v>5.931917807727026E-2</v>
      </c>
      <c r="BN14" s="9">
        <f>_xlfn.COVARIANCE.P('Data_Matrix (2018)'!$J$2:$J$67,'Data_Matrix (2018)'!BN$2:BN$67)</f>
        <v>1.412240666346805</v>
      </c>
      <c r="BO14" s="9">
        <f>_xlfn.COVARIANCE.P('Data_Matrix (2018)'!$J$2:$J$67,'Data_Matrix (2018)'!BO$2:BO$67)</f>
        <v>3.6101934895215744E-2</v>
      </c>
    </row>
    <row r="15" spans="1:67" x14ac:dyDescent="0.2">
      <c r="B15" s="9">
        <f>_xlfn.COVARIANCE.P('Data_Matrix (2018)'!$K$2:$K$67,'Data_Matrix (2018)'!B$2:B$67)</f>
        <v>1728708.1267136764</v>
      </c>
      <c r="C15" s="9">
        <f>_xlfn.COVARIANCE.P('Data_Matrix (2018)'!$K$2:$K$67,'Data_Matrix (2018)'!C$2:C$67)</f>
        <v>1759242.3450157149</v>
      </c>
      <c r="D15" s="9">
        <f>_xlfn.COVARIANCE.P('Data_Matrix (2018)'!$K$2:$K$67,'Data_Matrix (2018)'!D$2:D$67)</f>
        <v>1133598.7577341602</v>
      </c>
      <c r="E15" s="9">
        <f>_xlfn.COVARIANCE.P('Data_Matrix (2018)'!$K$2:$K$67,'Data_Matrix (2018)'!E$2:E$67)</f>
        <v>1013570.5457337948</v>
      </c>
      <c r="F15" s="9">
        <f>_xlfn.COVARIANCE.P('Data_Matrix (2018)'!$K$2:$K$67,'Data_Matrix (2018)'!F$2:F$67)</f>
        <v>618144.49018097331</v>
      </c>
      <c r="G15" s="9">
        <f>_xlfn.COVARIANCE.P('Data_Matrix (2018)'!$K$2:$K$67,'Data_Matrix (2018)'!G$2:G$67)</f>
        <v>891960.16972496361</v>
      </c>
      <c r="H15" s="9">
        <f>_xlfn.COVARIANCE.P('Data_Matrix (2018)'!$K$2:$K$67,'Data_Matrix (2018)'!H$2:H$67)</f>
        <v>354087.5271459588</v>
      </c>
      <c r="I15" s="9">
        <f>_xlfn.COVARIANCE.P('Data_Matrix (2018)'!$K$2:$K$67,'Data_Matrix (2018)'!I$2:I$67)</f>
        <v>324977.7559770401</v>
      </c>
      <c r="J15" s="9">
        <f>_xlfn.COVARIANCE.P('Data_Matrix (2018)'!$K$2:$K$67,'Data_Matrix (2018)'!J$2:J$67)</f>
        <v>179642.44196933028</v>
      </c>
      <c r="K15" s="9">
        <f>_xlfn.COVARIANCE.P('Data_Matrix (2018)'!$K$2:$K$67,'Data_Matrix (2018)'!K$2:K$67)</f>
        <v>283311.60600310267</v>
      </c>
      <c r="L15" s="9">
        <f>_xlfn.COVARIANCE.P('Data_Matrix (2018)'!$K$2:$K$67,'Data_Matrix (2018)'!L$2:L$67)</f>
        <v>180312.61720867376</v>
      </c>
      <c r="M15" s="9">
        <f>_xlfn.COVARIANCE.P('Data_Matrix (2018)'!$K$2:$K$67,'Data_Matrix (2018)'!M$2:M$67)</f>
        <v>127539.7519146374</v>
      </c>
      <c r="N15" s="9">
        <f>_xlfn.COVARIANCE.P('Data_Matrix (2018)'!$K$2:$K$67,'Data_Matrix (2018)'!N$2:N$67)</f>
        <v>180451.6567723433</v>
      </c>
      <c r="O15" s="9">
        <f>_xlfn.COVARIANCE.P('Data_Matrix (2018)'!$K$2:$K$67,'Data_Matrix (2018)'!O$2:O$67)</f>
        <v>87285.92634758084</v>
      </c>
      <c r="P15" s="9">
        <f>_xlfn.COVARIANCE.P('Data_Matrix (2018)'!$K$2:$K$67,'Data_Matrix (2018)'!P$2:P$67)</f>
        <v>31145.45202787119</v>
      </c>
      <c r="Q15" s="9">
        <f>_xlfn.COVARIANCE.P('Data_Matrix (2018)'!$K$2:$K$67,'Data_Matrix (2018)'!Q$2:Q$67)</f>
        <v>69627.823153321922</v>
      </c>
      <c r="R15" s="9">
        <f>_xlfn.COVARIANCE.P('Data_Matrix (2018)'!$K$2:$K$67,'Data_Matrix (2018)'!R$2:R$67)</f>
        <v>79315.621652131013</v>
      </c>
      <c r="S15" s="9">
        <f>_xlfn.COVARIANCE.P('Data_Matrix (2018)'!$K$2:$K$67,'Data_Matrix (2018)'!S$2:S$67)</f>
        <v>42559.380986484357</v>
      </c>
      <c r="T15" s="9">
        <f>_xlfn.COVARIANCE.P('Data_Matrix (2018)'!$K$2:$K$67,'Data_Matrix (2018)'!T$2:T$67)</f>
        <v>34755.47648919186</v>
      </c>
      <c r="U15" s="9">
        <f>_xlfn.COVARIANCE.P('Data_Matrix (2018)'!$K$2:$K$67,'Data_Matrix (2018)'!U$2:U$67)</f>
        <v>21549.722378158312</v>
      </c>
      <c r="V15" s="9">
        <f>_xlfn.COVARIANCE.P('Data_Matrix (2018)'!$K$2:$K$67,'Data_Matrix (2018)'!V$2:V$67)</f>
        <v>18843.049657184369</v>
      </c>
      <c r="W15" s="9">
        <f>_xlfn.COVARIANCE.P('Data_Matrix (2018)'!$K$2:$K$67,'Data_Matrix (2018)'!W$2:W$67)</f>
        <v>13157.962825646922</v>
      </c>
      <c r="X15" s="9">
        <f>_xlfn.COVARIANCE.P('Data_Matrix (2018)'!$K$2:$K$67,'Data_Matrix (2018)'!X$2:X$67)</f>
        <v>20021.533530993456</v>
      </c>
      <c r="Y15" s="9">
        <f>_xlfn.COVARIANCE.P('Data_Matrix (2018)'!$K$2:$K$67,'Data_Matrix (2018)'!Y$2:Y$67)</f>
        <v>16184.477901494518</v>
      </c>
      <c r="Z15" s="9">
        <f>_xlfn.COVARIANCE.P('Data_Matrix (2018)'!$K$2:$K$67,'Data_Matrix (2018)'!Z$2:Z$67)</f>
        <v>8903.6351032239527</v>
      </c>
      <c r="AA15" s="9">
        <f>_xlfn.COVARIANCE.P('Data_Matrix (2018)'!$K$2:$K$67,'Data_Matrix (2018)'!AA$2:AA$67)</f>
        <v>5706.1000054318638</v>
      </c>
      <c r="AB15" s="9">
        <f>_xlfn.COVARIANCE.P('Data_Matrix (2018)'!$K$2:$K$67,'Data_Matrix (2018)'!AB$2:AB$67)</f>
        <v>1450.7542510347018</v>
      </c>
      <c r="AC15" s="9">
        <f>_xlfn.COVARIANCE.P('Data_Matrix (2018)'!$K$2:$K$67,'Data_Matrix (2018)'!AC$2:AC$67)</f>
        <v>1974.9783348424489</v>
      </c>
      <c r="AD15" s="9">
        <f>_xlfn.COVARIANCE.P('Data_Matrix (2018)'!$K$2:$K$67,'Data_Matrix (2018)'!AD$2:AD$67)</f>
        <v>2392.6717120006383</v>
      </c>
      <c r="AE15" s="9">
        <f>_xlfn.COVARIANCE.P('Data_Matrix (2018)'!$K$2:$K$67,'Data_Matrix (2018)'!AE$2:AE$67)</f>
        <v>788.79689646542556</v>
      </c>
      <c r="AF15" s="9">
        <f>_xlfn.COVARIANCE.P('Data_Matrix (2018)'!$K$2:$K$67,'Data_Matrix (2018)'!AF$2:AF$67)</f>
        <v>1404.0464096740138</v>
      </c>
      <c r="AG15" s="9">
        <f>_xlfn.COVARIANCE.P('Data_Matrix (2018)'!$K$2:$K$67,'Data_Matrix (2018)'!AG$2:AG$67)</f>
        <v>1584.5849121930696</v>
      </c>
      <c r="AH15" s="9">
        <f>_xlfn.COVARIANCE.P('Data_Matrix (2018)'!$K$2:$K$67,'Data_Matrix (2018)'!AH$2:AH$67)</f>
        <v>709.24301662377161</v>
      </c>
      <c r="AI15" s="9">
        <f>_xlfn.COVARIANCE.P('Data_Matrix (2018)'!$K$2:$K$67,'Data_Matrix (2018)'!AI$2:AI$67)</f>
        <v>917.95624037281436</v>
      </c>
      <c r="AJ15" s="9">
        <f>_xlfn.COVARIANCE.P('Data_Matrix (2018)'!$K$2:$K$67,'Data_Matrix (2018)'!AJ$2:AJ$67)</f>
        <v>721.95834816172885</v>
      </c>
      <c r="AK15" s="9">
        <f>_xlfn.COVARIANCE.P('Data_Matrix (2018)'!$K$2:$K$67,'Data_Matrix (2018)'!AK$2:AK$67)</f>
        <v>764.27514348624754</v>
      </c>
      <c r="AL15" s="9">
        <f>_xlfn.COVARIANCE.P('Data_Matrix (2018)'!$K$2:$K$67,'Data_Matrix (2018)'!AL$2:AL$67)</f>
        <v>-1077.8648093331335</v>
      </c>
      <c r="AM15" s="9">
        <f>_xlfn.COVARIANCE.P('Data_Matrix (2018)'!$K$2:$K$67,'Data_Matrix (2018)'!AM$2:AM$67)</f>
        <v>362.21756874566825</v>
      </c>
      <c r="AN15" s="9">
        <f>_xlfn.COVARIANCE.P('Data_Matrix (2018)'!$K$2:$K$67,'Data_Matrix (2018)'!AN$2:AN$67)</f>
        <v>517.81500354673346</v>
      </c>
      <c r="AO15" s="9">
        <f>_xlfn.COVARIANCE.P('Data_Matrix (2018)'!$K$2:$K$67,'Data_Matrix (2018)'!AO$2:AO$67)</f>
        <v>604.10555574958232</v>
      </c>
      <c r="AP15" s="9">
        <f>_xlfn.COVARIANCE.P('Data_Matrix (2018)'!$K$2:$K$67,'Data_Matrix (2018)'!AP$2:AP$67)</f>
        <v>1599.5840438880643</v>
      </c>
      <c r="AQ15" s="9">
        <f>_xlfn.COVARIANCE.P('Data_Matrix (2018)'!$K$2:$K$67,'Data_Matrix (2018)'!AQ$2:AQ$67)</f>
        <v>656.39061496486136</v>
      </c>
      <c r="AR15" s="9">
        <f>_xlfn.COVARIANCE.P('Data_Matrix (2018)'!$K$2:$K$67,'Data_Matrix (2018)'!AR$2:AR$67)</f>
        <v>598.34346776105144</v>
      </c>
      <c r="AS15" s="9">
        <f>_xlfn.COVARIANCE.P('Data_Matrix (2018)'!$K$2:$K$67,'Data_Matrix (2018)'!AS$2:AS$67)</f>
        <v>223.0802481134163</v>
      </c>
      <c r="AT15" s="9">
        <f>_xlfn.COVARIANCE.P('Data_Matrix (2018)'!$K$2:$K$67,'Data_Matrix (2018)'!AT$2:AT$67)</f>
        <v>177.4435021363424</v>
      </c>
      <c r="AU15" s="9">
        <f>_xlfn.COVARIANCE.P('Data_Matrix (2018)'!$K$2:$K$67,'Data_Matrix (2018)'!AU$2:AU$67)</f>
        <v>-103.12942451443823</v>
      </c>
      <c r="AV15" s="9">
        <f>_xlfn.COVARIANCE.P('Data_Matrix (2018)'!$K$2:$K$67,'Data_Matrix (2018)'!AV$2:AV$67)</f>
        <v>162.46924064660143</v>
      </c>
      <c r="AW15" s="9">
        <f>_xlfn.COVARIANCE.P('Data_Matrix (2018)'!$K$2:$K$67,'Data_Matrix (2018)'!AW$2:AW$67)</f>
        <v>-194.77901793456431</v>
      </c>
      <c r="AX15" s="9">
        <f>_xlfn.COVARIANCE.P('Data_Matrix (2018)'!$K$2:$K$67,'Data_Matrix (2018)'!AX$2:AX$67)</f>
        <v>251.18487810378306</v>
      </c>
      <c r="AY15" s="9">
        <f>_xlfn.COVARIANCE.P('Data_Matrix (2018)'!$K$2:$K$67,'Data_Matrix (2018)'!AY$2:AY$67)</f>
        <v>135.43588654282095</v>
      </c>
      <c r="AZ15" s="9">
        <f>_xlfn.COVARIANCE.P('Data_Matrix (2018)'!$K$2:$K$67,'Data_Matrix (2018)'!AZ$2:AZ$67)</f>
        <v>245.17796334144577</v>
      </c>
      <c r="BA15" s="9">
        <f>_xlfn.COVARIANCE.P('Data_Matrix (2018)'!$K$2:$K$67,'Data_Matrix (2018)'!BA$2:BA$67)</f>
        <v>-2.9631332967152022</v>
      </c>
      <c r="BB15" s="9">
        <f>_xlfn.COVARIANCE.P('Data_Matrix (2018)'!$K$2:$K$67,'Data_Matrix (2018)'!BB$2:BB$67)</f>
        <v>54.427330518833863</v>
      </c>
      <c r="BC15" s="9">
        <f>_xlfn.COVARIANCE.P('Data_Matrix (2018)'!$K$2:$K$67,'Data_Matrix (2018)'!BC$2:BC$67)</f>
        <v>61.854926320782056</v>
      </c>
      <c r="BD15" s="9">
        <f>_xlfn.COVARIANCE.P('Data_Matrix (2018)'!$K$2:$K$67,'Data_Matrix (2018)'!BD$2:BD$67)</f>
        <v>17.673749983340315</v>
      </c>
      <c r="BE15" s="9">
        <f>_xlfn.COVARIANCE.P('Data_Matrix (2018)'!$K$2:$K$67,'Data_Matrix (2018)'!BE$2:BE$67)</f>
        <v>25.649940801779827</v>
      </c>
      <c r="BF15" s="9">
        <f>_xlfn.COVARIANCE.P('Data_Matrix (2018)'!$K$2:$K$67,'Data_Matrix (2018)'!BF$2:BF$67)</f>
        <v>-1.2505833092102407</v>
      </c>
      <c r="BG15" s="9">
        <f>_xlfn.COVARIANCE.P('Data_Matrix (2018)'!$K$2:$K$67,'Data_Matrix (2018)'!BG$2:BG$67)</f>
        <v>-1.0180220466164629</v>
      </c>
      <c r="BH15" s="9">
        <f>_xlfn.COVARIANCE.P('Data_Matrix (2018)'!$K$2:$K$67,'Data_Matrix (2018)'!BH$2:BH$67)</f>
        <v>30.330056254115323</v>
      </c>
      <c r="BI15" s="9">
        <f>_xlfn.COVARIANCE.P('Data_Matrix (2018)'!$K$2:$K$67,'Data_Matrix (2018)'!BI$2:BI$67)</f>
        <v>4.9989141574599953</v>
      </c>
      <c r="BJ15" s="9">
        <f>_xlfn.COVARIANCE.P('Data_Matrix (2018)'!$K$2:$K$67,'Data_Matrix (2018)'!BJ$2:BJ$67)</f>
        <v>5.0523205277108829</v>
      </c>
      <c r="BK15" s="9">
        <f>_xlfn.COVARIANCE.P('Data_Matrix (2018)'!$K$2:$K$67,'Data_Matrix (2018)'!BK$2:BK$67)</f>
        <v>-1.3040584003827225</v>
      </c>
      <c r="BL15" s="9">
        <f>_xlfn.COVARIANCE.P('Data_Matrix (2018)'!$K$2:$K$67,'Data_Matrix (2018)'!BL$2:BL$67)</f>
        <v>-9.0340781729492381</v>
      </c>
      <c r="BM15" s="9">
        <f>_xlfn.COVARIANCE.P('Data_Matrix (2018)'!$K$2:$K$67,'Data_Matrix (2018)'!BM$2:BM$67)</f>
        <v>-0.31306767174913208</v>
      </c>
      <c r="BN15" s="9">
        <f>_xlfn.COVARIANCE.P('Data_Matrix (2018)'!$K$2:$K$67,'Data_Matrix (2018)'!BN$2:BN$67)</f>
        <v>-0.27529854584108432</v>
      </c>
      <c r="BO15" s="9">
        <f>_xlfn.COVARIANCE.P('Data_Matrix (2018)'!$K$2:$K$67,'Data_Matrix (2018)'!BO$2:BO$67)</f>
        <v>-7.4916957772436399E-2</v>
      </c>
    </row>
    <row r="16" spans="1:67" x14ac:dyDescent="0.2">
      <c r="B16" s="9">
        <f>_xlfn.COVARIANCE.P('Data_Matrix (2018)'!$L$2:$L$67,'Data_Matrix (2018)'!B$2:B$67)</f>
        <v>1261882.6151699016</v>
      </c>
      <c r="C16" s="9">
        <f>_xlfn.COVARIANCE.P('Data_Matrix (2018)'!$L$2:$L$67,'Data_Matrix (2018)'!C$2:C$67)</f>
        <v>1428766.7510359818</v>
      </c>
      <c r="D16" s="9">
        <f>_xlfn.COVARIANCE.P('Data_Matrix (2018)'!$L$2:$L$67,'Data_Matrix (2018)'!D$2:D$67)</f>
        <v>916024.01599592785</v>
      </c>
      <c r="E16" s="9">
        <f>_xlfn.COVARIANCE.P('Data_Matrix (2018)'!$L$2:$L$67,'Data_Matrix (2018)'!E$2:E$67)</f>
        <v>768146.51953764446</v>
      </c>
      <c r="F16" s="9">
        <f>_xlfn.COVARIANCE.P('Data_Matrix (2018)'!$L$2:$L$67,'Data_Matrix (2018)'!F$2:F$67)</f>
        <v>465739.38287796674</v>
      </c>
      <c r="G16" s="9">
        <f>_xlfn.COVARIANCE.P('Data_Matrix (2018)'!$L$2:$L$67,'Data_Matrix (2018)'!G$2:G$67)</f>
        <v>702558.07749659626</v>
      </c>
      <c r="H16" s="9">
        <f>_xlfn.COVARIANCE.P('Data_Matrix (2018)'!$L$2:$L$67,'Data_Matrix (2018)'!H$2:H$67)</f>
        <v>303553.24587784678</v>
      </c>
      <c r="I16" s="9">
        <f>_xlfn.COVARIANCE.P('Data_Matrix (2018)'!$L$2:$L$67,'Data_Matrix (2018)'!I$2:I$67)</f>
        <v>248082.85396304753</v>
      </c>
      <c r="J16" s="9">
        <f>_xlfn.COVARIANCE.P('Data_Matrix (2018)'!$L$2:$L$67,'Data_Matrix (2018)'!J$2:J$67)</f>
        <v>132380.68535459554</v>
      </c>
      <c r="K16" s="9">
        <f>_xlfn.COVARIANCE.P('Data_Matrix (2018)'!$L$2:$L$67,'Data_Matrix (2018)'!K$2:K$67)</f>
        <v>180312.61720867376</v>
      </c>
      <c r="L16" s="9">
        <f>_xlfn.COVARIANCE.P('Data_Matrix (2018)'!$L$2:$L$67,'Data_Matrix (2018)'!L$2:L$67)</f>
        <v>169346.32190859041</v>
      </c>
      <c r="M16" s="9">
        <f>_xlfn.COVARIANCE.P('Data_Matrix (2018)'!$L$2:$L$67,'Data_Matrix (2018)'!M$2:M$67)</f>
        <v>112987.45544691359</v>
      </c>
      <c r="N16" s="9">
        <f>_xlfn.COVARIANCE.P('Data_Matrix (2018)'!$L$2:$L$67,'Data_Matrix (2018)'!N$2:N$67)</f>
        <v>137486.45391366413</v>
      </c>
      <c r="O16" s="9">
        <f>_xlfn.COVARIANCE.P('Data_Matrix (2018)'!$L$2:$L$67,'Data_Matrix (2018)'!O$2:O$67)</f>
        <v>71806.613918110859</v>
      </c>
      <c r="P16" s="9">
        <f>_xlfn.COVARIANCE.P('Data_Matrix (2018)'!$L$2:$L$67,'Data_Matrix (2018)'!P$2:P$67)</f>
        <v>20884.204592896334</v>
      </c>
      <c r="Q16" s="9">
        <f>_xlfn.COVARIANCE.P('Data_Matrix (2018)'!$L$2:$L$67,'Data_Matrix (2018)'!Q$2:Q$67)</f>
        <v>63852.367442509953</v>
      </c>
      <c r="R16" s="9">
        <f>_xlfn.COVARIANCE.P('Data_Matrix (2018)'!$L$2:$L$67,'Data_Matrix (2018)'!R$2:R$67)</f>
        <v>82033.354811475176</v>
      </c>
      <c r="S16" s="9">
        <f>_xlfn.COVARIANCE.P('Data_Matrix (2018)'!$L$2:$L$67,'Data_Matrix (2018)'!S$2:S$67)</f>
        <v>41436.843941629166</v>
      </c>
      <c r="T16" s="9">
        <f>_xlfn.COVARIANCE.P('Data_Matrix (2018)'!$L$2:$L$67,'Data_Matrix (2018)'!T$2:T$67)</f>
        <v>29113.823376977562</v>
      </c>
      <c r="U16" s="9">
        <f>_xlfn.COVARIANCE.P('Data_Matrix (2018)'!$L$2:$L$67,'Data_Matrix (2018)'!U$2:U$67)</f>
        <v>19896.303287859584</v>
      </c>
      <c r="V16" s="9">
        <f>_xlfn.COVARIANCE.P('Data_Matrix (2018)'!$L$2:$L$67,'Data_Matrix (2018)'!V$2:V$67)</f>
        <v>13974.231094896053</v>
      </c>
      <c r="W16" s="9">
        <f>_xlfn.COVARIANCE.P('Data_Matrix (2018)'!$L$2:$L$67,'Data_Matrix (2018)'!W$2:W$67)</f>
        <v>10932.131261266801</v>
      </c>
      <c r="X16" s="9">
        <f>_xlfn.COVARIANCE.P('Data_Matrix (2018)'!$L$2:$L$67,'Data_Matrix (2018)'!X$2:X$67)</f>
        <v>14963.229252576455</v>
      </c>
      <c r="Y16" s="9">
        <f>_xlfn.COVARIANCE.P('Data_Matrix (2018)'!$L$2:$L$67,'Data_Matrix (2018)'!Y$2:Y$67)</f>
        <v>12070.639475617849</v>
      </c>
      <c r="Z16" s="9">
        <f>_xlfn.COVARIANCE.P('Data_Matrix (2018)'!$L$2:$L$67,'Data_Matrix (2018)'!Z$2:Z$67)</f>
        <v>9014.6822923503332</v>
      </c>
      <c r="AA16" s="9">
        <f>_xlfn.COVARIANCE.P('Data_Matrix (2018)'!$L$2:$L$67,'Data_Matrix (2018)'!AA$2:AA$67)</f>
        <v>5883.8113431564798</v>
      </c>
      <c r="AB16" s="9">
        <f>_xlfn.COVARIANCE.P('Data_Matrix (2018)'!$L$2:$L$67,'Data_Matrix (2018)'!AB$2:AB$67)</f>
        <v>1395.2828391748383</v>
      </c>
      <c r="AC16" s="9">
        <f>_xlfn.COVARIANCE.P('Data_Matrix (2018)'!$L$2:$L$67,'Data_Matrix (2018)'!AC$2:AC$67)</f>
        <v>1751.6120481624382</v>
      </c>
      <c r="AD16" s="9">
        <f>_xlfn.COVARIANCE.P('Data_Matrix (2018)'!$L$2:$L$67,'Data_Matrix (2018)'!AD$2:AD$67)</f>
        <v>2302.2255915574733</v>
      </c>
      <c r="AE16" s="9">
        <f>_xlfn.COVARIANCE.P('Data_Matrix (2018)'!$L$2:$L$67,'Data_Matrix (2018)'!AE$2:AE$67)</f>
        <v>802.14683825885936</v>
      </c>
      <c r="AF16" s="9">
        <f>_xlfn.COVARIANCE.P('Data_Matrix (2018)'!$L$2:$L$67,'Data_Matrix (2018)'!AF$2:AF$67)</f>
        <v>1405.4186551608268</v>
      </c>
      <c r="AG16" s="9">
        <f>_xlfn.COVARIANCE.P('Data_Matrix (2018)'!$L$2:$L$67,'Data_Matrix (2018)'!AG$2:AG$67)</f>
        <v>1320.8831141138435</v>
      </c>
      <c r="AH16" s="9">
        <f>_xlfn.COVARIANCE.P('Data_Matrix (2018)'!$L$2:$L$67,'Data_Matrix (2018)'!AH$2:AH$67)</f>
        <v>340.57718024095885</v>
      </c>
      <c r="AI16" s="9">
        <f>_xlfn.COVARIANCE.P('Data_Matrix (2018)'!$L$2:$L$67,'Data_Matrix (2018)'!AI$2:AI$67)</f>
        <v>1003.473413905062</v>
      </c>
      <c r="AJ16" s="9">
        <f>_xlfn.COVARIANCE.P('Data_Matrix (2018)'!$L$2:$L$67,'Data_Matrix (2018)'!AJ$2:AJ$67)</f>
        <v>808.84865227017372</v>
      </c>
      <c r="AK16" s="9">
        <f>_xlfn.COVARIANCE.P('Data_Matrix (2018)'!$L$2:$L$67,'Data_Matrix (2018)'!AK$2:AK$67)</f>
        <v>594.7339585134938</v>
      </c>
      <c r="AL16" s="9">
        <f>_xlfn.COVARIANCE.P('Data_Matrix (2018)'!$L$2:$L$67,'Data_Matrix (2018)'!AL$2:AL$67)</f>
        <v>-948.69403403220269</v>
      </c>
      <c r="AM16" s="9">
        <f>_xlfn.COVARIANCE.P('Data_Matrix (2018)'!$L$2:$L$67,'Data_Matrix (2018)'!AM$2:AM$67)</f>
        <v>387.49038689258396</v>
      </c>
      <c r="AN16" s="9">
        <f>_xlfn.COVARIANCE.P('Data_Matrix (2018)'!$L$2:$L$67,'Data_Matrix (2018)'!AN$2:AN$67)</f>
        <v>36.485699749321533</v>
      </c>
      <c r="AO16" s="9">
        <f>_xlfn.COVARIANCE.P('Data_Matrix (2018)'!$L$2:$L$67,'Data_Matrix (2018)'!AO$2:AO$67)</f>
        <v>680.6985182879987</v>
      </c>
      <c r="AP16" s="9">
        <f>_xlfn.COVARIANCE.P('Data_Matrix (2018)'!$L$2:$L$67,'Data_Matrix (2018)'!AP$2:AP$67)</f>
        <v>1410.0678888390603</v>
      </c>
      <c r="AQ16" s="9">
        <f>_xlfn.COVARIANCE.P('Data_Matrix (2018)'!$L$2:$L$67,'Data_Matrix (2018)'!AQ$2:AQ$67)</f>
        <v>532.34980956098502</v>
      </c>
      <c r="AR16" s="9">
        <f>_xlfn.COVARIANCE.P('Data_Matrix (2018)'!$L$2:$L$67,'Data_Matrix (2018)'!AR$2:AR$67)</f>
        <v>568.7885009341029</v>
      </c>
      <c r="AS16" s="9">
        <f>_xlfn.COVARIANCE.P('Data_Matrix (2018)'!$L$2:$L$67,'Data_Matrix (2018)'!AS$2:AS$67)</f>
        <v>62.508106580533322</v>
      </c>
      <c r="AT16" s="9">
        <f>_xlfn.COVARIANCE.P('Data_Matrix (2018)'!$L$2:$L$67,'Data_Matrix (2018)'!AT$2:AT$67)</f>
        <v>160.41190406721512</v>
      </c>
      <c r="AU16" s="9">
        <f>_xlfn.COVARIANCE.P('Data_Matrix (2018)'!$L$2:$L$67,'Data_Matrix (2018)'!AU$2:AU$67)</f>
        <v>-40.194105975963176</v>
      </c>
      <c r="AV16" s="9">
        <f>_xlfn.COVARIANCE.P('Data_Matrix (2018)'!$L$2:$L$67,'Data_Matrix (2018)'!AV$2:AV$67)</f>
        <v>266.15728112002773</v>
      </c>
      <c r="AW16" s="9">
        <f>_xlfn.COVARIANCE.P('Data_Matrix (2018)'!$L$2:$L$67,'Data_Matrix (2018)'!AW$2:AW$67)</f>
        <v>-30.719375847759736</v>
      </c>
      <c r="AX16" s="9">
        <f>_xlfn.COVARIANCE.P('Data_Matrix (2018)'!$L$2:$L$67,'Data_Matrix (2018)'!AX$2:AX$67)</f>
        <v>172.1276335253724</v>
      </c>
      <c r="AY16" s="9">
        <f>_xlfn.COVARIANCE.P('Data_Matrix (2018)'!$L$2:$L$67,'Data_Matrix (2018)'!AY$2:AY$67)</f>
        <v>110.2142237021629</v>
      </c>
      <c r="AZ16" s="9">
        <f>_xlfn.COVARIANCE.P('Data_Matrix (2018)'!$L$2:$L$67,'Data_Matrix (2018)'!AZ$2:AZ$67)</f>
        <v>207.47457387387925</v>
      </c>
      <c r="BA16" s="9">
        <f>_xlfn.COVARIANCE.P('Data_Matrix (2018)'!$L$2:$L$67,'Data_Matrix (2018)'!BA$2:BA$67)</f>
        <v>12.741405921000375</v>
      </c>
      <c r="BB16" s="9">
        <f>_xlfn.COVARIANCE.P('Data_Matrix (2018)'!$L$2:$L$67,'Data_Matrix (2018)'!BB$2:BB$67)</f>
        <v>65.257437664484272</v>
      </c>
      <c r="BC16" s="9">
        <f>_xlfn.COVARIANCE.P('Data_Matrix (2018)'!$L$2:$L$67,'Data_Matrix (2018)'!BC$2:BC$67)</f>
        <v>36.680971772900058</v>
      </c>
      <c r="BD16" s="9">
        <f>_xlfn.COVARIANCE.P('Data_Matrix (2018)'!$L$2:$L$67,'Data_Matrix (2018)'!BD$2:BD$67)</f>
        <v>-7.7317427998877317</v>
      </c>
      <c r="BE16" s="9">
        <f>_xlfn.COVARIANCE.P('Data_Matrix (2018)'!$L$2:$L$67,'Data_Matrix (2018)'!BE$2:BE$67)</f>
        <v>24.703879619227532</v>
      </c>
      <c r="BF16" s="9">
        <f>_xlfn.COVARIANCE.P('Data_Matrix (2018)'!$L$2:$L$67,'Data_Matrix (2018)'!BF$2:BF$67)</f>
        <v>1.2987610269502443</v>
      </c>
      <c r="BG16" s="9">
        <f>_xlfn.COVARIANCE.P('Data_Matrix (2018)'!$L$2:$L$67,'Data_Matrix (2018)'!BG$2:BG$67)</f>
        <v>2.1513434012362151</v>
      </c>
      <c r="BH16" s="9">
        <f>_xlfn.COVARIANCE.P('Data_Matrix (2018)'!$L$2:$L$67,'Data_Matrix (2018)'!BH$2:BH$67)</f>
        <v>20.763767230323374</v>
      </c>
      <c r="BI16" s="9">
        <f>_xlfn.COVARIANCE.P('Data_Matrix (2018)'!$L$2:$L$67,'Data_Matrix (2018)'!BI$2:BI$67)</f>
        <v>10.221036853386623</v>
      </c>
      <c r="BJ16" s="9">
        <f>_xlfn.COVARIANCE.P('Data_Matrix (2018)'!$L$2:$L$67,'Data_Matrix (2018)'!BJ$2:BJ$67)</f>
        <v>12.456161385677204</v>
      </c>
      <c r="BK16" s="9">
        <f>_xlfn.COVARIANCE.P('Data_Matrix (2018)'!$L$2:$L$67,'Data_Matrix (2018)'!BK$2:BK$67)</f>
        <v>2.7206244291172759</v>
      </c>
      <c r="BL16" s="9">
        <f>_xlfn.COVARIANCE.P('Data_Matrix (2018)'!$L$2:$L$67,'Data_Matrix (2018)'!BL$2:BL$67)</f>
        <v>-0.59008682523805356</v>
      </c>
      <c r="BM16" s="9">
        <f>_xlfn.COVARIANCE.P('Data_Matrix (2018)'!$L$2:$L$67,'Data_Matrix (2018)'!BM$2:BM$67)</f>
        <v>0.50271924908241472</v>
      </c>
      <c r="BN16" s="9">
        <f>_xlfn.COVARIANCE.P('Data_Matrix (2018)'!$L$2:$L$67,'Data_Matrix (2018)'!BN$2:BN$67)</f>
        <v>-0.27476629100860417</v>
      </c>
      <c r="BO16" s="9">
        <f>_xlfn.COVARIANCE.P('Data_Matrix (2018)'!$L$2:$L$67,'Data_Matrix (2018)'!BO$2:BO$67)</f>
        <v>3.4937633390433348E-2</v>
      </c>
    </row>
    <row r="17" spans="2:67" x14ac:dyDescent="0.2">
      <c r="B17" s="9">
        <f>_xlfn.COVARIANCE.P('Data_Matrix (2018)'!$M$2:$M$67,'Data_Matrix (2018)'!B$2:B$67)</f>
        <v>673109.16940976935</v>
      </c>
      <c r="C17" s="9">
        <f>_xlfn.COVARIANCE.P('Data_Matrix (2018)'!$M$2:$M$67,'Data_Matrix (2018)'!C$2:C$67)</f>
        <v>1144664.2314040826</v>
      </c>
      <c r="D17" s="9">
        <f>_xlfn.COVARIANCE.P('Data_Matrix (2018)'!$M$2:$M$67,'Data_Matrix (2018)'!D$2:D$67)</f>
        <v>727759.78193746135</v>
      </c>
      <c r="E17" s="9">
        <f>_xlfn.COVARIANCE.P('Data_Matrix (2018)'!$M$2:$M$67,'Data_Matrix (2018)'!E$2:E$67)</f>
        <v>520545.23788171454</v>
      </c>
      <c r="F17" s="9">
        <f>_xlfn.COVARIANCE.P('Data_Matrix (2018)'!$M$2:$M$67,'Data_Matrix (2018)'!F$2:F$67)</f>
        <v>316838.56145710283</v>
      </c>
      <c r="G17" s="9">
        <f>_xlfn.COVARIANCE.P('Data_Matrix (2018)'!$M$2:$M$67,'Data_Matrix (2018)'!G$2:G$67)</f>
        <v>585947.57207904523</v>
      </c>
      <c r="H17" s="9">
        <f>_xlfn.COVARIANCE.P('Data_Matrix (2018)'!$M$2:$M$67,'Data_Matrix (2018)'!H$2:H$67)</f>
        <v>260516.10624620036</v>
      </c>
      <c r="I17" s="9">
        <f>_xlfn.COVARIANCE.P('Data_Matrix (2018)'!$M$2:$M$67,'Data_Matrix (2018)'!I$2:I$67)</f>
        <v>229164.66832932175</v>
      </c>
      <c r="J17" s="9">
        <f>_xlfn.COVARIANCE.P('Data_Matrix (2018)'!$M$2:$M$67,'Data_Matrix (2018)'!J$2:J$67)</f>
        <v>99537.452131989849</v>
      </c>
      <c r="K17" s="9">
        <f>_xlfn.COVARIANCE.P('Data_Matrix (2018)'!$M$2:$M$67,'Data_Matrix (2018)'!K$2:K$67)</f>
        <v>127539.7519146374</v>
      </c>
      <c r="L17" s="9">
        <f>_xlfn.COVARIANCE.P('Data_Matrix (2018)'!$M$2:$M$67,'Data_Matrix (2018)'!L$2:L$67)</f>
        <v>112987.45544691359</v>
      </c>
      <c r="M17" s="9">
        <f>_xlfn.COVARIANCE.P('Data_Matrix (2018)'!$M$2:$M$67,'Data_Matrix (2018)'!M$2:M$67)</f>
        <v>163032.30499535147</v>
      </c>
      <c r="N17" s="9">
        <f>_xlfn.COVARIANCE.P('Data_Matrix (2018)'!$M$2:$M$67,'Data_Matrix (2018)'!N$2:N$67)</f>
        <v>109983.41495848905</v>
      </c>
      <c r="O17" s="9">
        <f>_xlfn.COVARIANCE.P('Data_Matrix (2018)'!$M$2:$M$67,'Data_Matrix (2018)'!O$2:O$67)</f>
        <v>54628.921403490516</v>
      </c>
      <c r="P17" s="9">
        <f>_xlfn.COVARIANCE.P('Data_Matrix (2018)'!$M$2:$M$67,'Data_Matrix (2018)'!P$2:P$67)</f>
        <v>6951.0473019134824</v>
      </c>
      <c r="Q17" s="9">
        <f>_xlfn.COVARIANCE.P('Data_Matrix (2018)'!$M$2:$M$67,'Data_Matrix (2018)'!Q$2:Q$67)</f>
        <v>54751.141460502462</v>
      </c>
      <c r="R17" s="9">
        <f>_xlfn.COVARIANCE.P('Data_Matrix (2018)'!$M$2:$M$67,'Data_Matrix (2018)'!R$2:R$67)</f>
        <v>63028.476672979945</v>
      </c>
      <c r="S17" s="9">
        <f>_xlfn.COVARIANCE.P('Data_Matrix (2018)'!$M$2:$M$67,'Data_Matrix (2018)'!S$2:S$67)</f>
        <v>43825.800605684184</v>
      </c>
      <c r="T17" s="9">
        <f>_xlfn.COVARIANCE.P('Data_Matrix (2018)'!$M$2:$M$67,'Data_Matrix (2018)'!T$2:T$67)</f>
        <v>21191.702953026241</v>
      </c>
      <c r="U17" s="9">
        <f>_xlfn.COVARIANCE.P('Data_Matrix (2018)'!$M$2:$M$67,'Data_Matrix (2018)'!U$2:U$67)</f>
        <v>15346.617321764546</v>
      </c>
      <c r="V17" s="9">
        <f>_xlfn.COVARIANCE.P('Data_Matrix (2018)'!$M$2:$M$67,'Data_Matrix (2018)'!V$2:V$67)</f>
        <v>7498.4521855474604</v>
      </c>
      <c r="W17" s="9">
        <f>_xlfn.COVARIANCE.P('Data_Matrix (2018)'!$M$2:$M$67,'Data_Matrix (2018)'!W$2:W$67)</f>
        <v>7370.3217573355842</v>
      </c>
      <c r="X17" s="9">
        <f>_xlfn.COVARIANCE.P('Data_Matrix (2018)'!$M$2:$M$67,'Data_Matrix (2018)'!X$2:X$67)</f>
        <v>11625.646701963422</v>
      </c>
      <c r="Y17" s="9">
        <f>_xlfn.COVARIANCE.P('Data_Matrix (2018)'!$M$2:$M$67,'Data_Matrix (2018)'!Y$2:Y$67)</f>
        <v>11240.112379523423</v>
      </c>
      <c r="Z17" s="9">
        <f>_xlfn.COVARIANCE.P('Data_Matrix (2018)'!$M$2:$M$67,'Data_Matrix (2018)'!Z$2:Z$67)</f>
        <v>6919.2416278165665</v>
      </c>
      <c r="AA17" s="9">
        <f>_xlfn.COVARIANCE.P('Data_Matrix (2018)'!$M$2:$M$67,'Data_Matrix (2018)'!AA$2:AA$67)</f>
        <v>6244.4821278410373</v>
      </c>
      <c r="AB17" s="9">
        <f>_xlfn.COVARIANCE.P('Data_Matrix (2018)'!$M$2:$M$67,'Data_Matrix (2018)'!AB$2:AB$67)</f>
        <v>1321.4679668285582</v>
      </c>
      <c r="AC17" s="9">
        <f>_xlfn.COVARIANCE.P('Data_Matrix (2018)'!$M$2:$M$67,'Data_Matrix (2018)'!AC$2:AC$67)</f>
        <v>970.90969700842106</v>
      </c>
      <c r="AD17" s="9">
        <f>_xlfn.COVARIANCE.P('Data_Matrix (2018)'!$M$2:$M$67,'Data_Matrix (2018)'!AD$2:AD$67)</f>
        <v>1924.1099845072411</v>
      </c>
      <c r="AE17" s="9">
        <f>_xlfn.COVARIANCE.P('Data_Matrix (2018)'!$M$2:$M$67,'Data_Matrix (2018)'!AE$2:AE$67)</f>
        <v>283.89695494031071</v>
      </c>
      <c r="AF17" s="9">
        <f>_xlfn.COVARIANCE.P('Data_Matrix (2018)'!$M$2:$M$67,'Data_Matrix (2018)'!AF$2:AF$67)</f>
        <v>721.71314217296015</v>
      </c>
      <c r="AG17" s="9">
        <f>_xlfn.COVARIANCE.P('Data_Matrix (2018)'!$M$2:$M$67,'Data_Matrix (2018)'!AG$2:AG$67)</f>
        <v>786.84448474204646</v>
      </c>
      <c r="AH17" s="9">
        <f>_xlfn.COVARIANCE.P('Data_Matrix (2018)'!$M$2:$M$67,'Data_Matrix (2018)'!AH$2:AH$67)</f>
        <v>39.43638612492277</v>
      </c>
      <c r="AI17" s="9">
        <f>_xlfn.COVARIANCE.P('Data_Matrix (2018)'!$M$2:$M$67,'Data_Matrix (2018)'!AI$2:AI$67)</f>
        <v>807.02926610978705</v>
      </c>
      <c r="AJ17" s="9">
        <f>_xlfn.COVARIANCE.P('Data_Matrix (2018)'!$M$2:$M$67,'Data_Matrix (2018)'!AJ$2:AJ$67)</f>
        <v>339.60476645559265</v>
      </c>
      <c r="AK17" s="9">
        <f>_xlfn.COVARIANCE.P('Data_Matrix (2018)'!$M$2:$M$67,'Data_Matrix (2018)'!AK$2:AK$67)</f>
        <v>401.10023747266644</v>
      </c>
      <c r="AL17" s="9">
        <f>_xlfn.COVARIANCE.P('Data_Matrix (2018)'!$M$2:$M$67,'Data_Matrix (2018)'!AL$2:AL$67)</f>
        <v>-1694.4746913634408</v>
      </c>
      <c r="AM17" s="9">
        <f>_xlfn.COVARIANCE.P('Data_Matrix (2018)'!$M$2:$M$67,'Data_Matrix (2018)'!AM$2:AM$67)</f>
        <v>399.2361005181948</v>
      </c>
      <c r="AN17" s="9">
        <f>_xlfn.COVARIANCE.P('Data_Matrix (2018)'!$M$2:$M$67,'Data_Matrix (2018)'!AN$2:AN$67)</f>
        <v>313.63875264714846</v>
      </c>
      <c r="AO17" s="9">
        <f>_xlfn.COVARIANCE.P('Data_Matrix (2018)'!$M$2:$M$67,'Data_Matrix (2018)'!AO$2:AO$67)</f>
        <v>580.33078699079135</v>
      </c>
      <c r="AP17" s="9">
        <f>_xlfn.COVARIANCE.P('Data_Matrix (2018)'!$M$2:$M$67,'Data_Matrix (2018)'!AP$2:AP$67)</f>
        <v>1343.6531718192148</v>
      </c>
      <c r="AQ17" s="9">
        <f>_xlfn.COVARIANCE.P('Data_Matrix (2018)'!$M$2:$M$67,'Data_Matrix (2018)'!AQ$2:AQ$67)</f>
        <v>506.14586094288262</v>
      </c>
      <c r="AR17" s="9">
        <f>_xlfn.COVARIANCE.P('Data_Matrix (2018)'!$M$2:$M$67,'Data_Matrix (2018)'!AR$2:AR$67)</f>
        <v>563.4213247611608</v>
      </c>
      <c r="AS17" s="9">
        <f>_xlfn.COVARIANCE.P('Data_Matrix (2018)'!$M$2:$M$67,'Data_Matrix (2018)'!AS$2:AS$67)</f>
        <v>422.22387184433052</v>
      </c>
      <c r="AT17" s="9">
        <f>_xlfn.COVARIANCE.P('Data_Matrix (2018)'!$M$2:$M$67,'Data_Matrix (2018)'!AT$2:AT$67)</f>
        <v>47.499468316911255</v>
      </c>
      <c r="AU17" s="9">
        <f>_xlfn.COVARIANCE.P('Data_Matrix (2018)'!$M$2:$M$67,'Data_Matrix (2018)'!AU$2:AU$67)</f>
        <v>-7.8420354444301976</v>
      </c>
      <c r="AV17" s="9">
        <f>_xlfn.COVARIANCE.P('Data_Matrix (2018)'!$M$2:$M$67,'Data_Matrix (2018)'!AV$2:AV$67)</f>
        <v>193.20940560196038</v>
      </c>
      <c r="AW17" s="9">
        <f>_xlfn.COVARIANCE.P('Data_Matrix (2018)'!$M$2:$M$67,'Data_Matrix (2018)'!AW$2:AW$67)</f>
        <v>-55.858457409762281</v>
      </c>
      <c r="AX17" s="9">
        <f>_xlfn.COVARIANCE.P('Data_Matrix (2018)'!$M$2:$M$67,'Data_Matrix (2018)'!AX$2:AX$67)</f>
        <v>96.292262251286516</v>
      </c>
      <c r="AY17" s="9">
        <f>_xlfn.COVARIANCE.P('Data_Matrix (2018)'!$M$2:$M$67,'Data_Matrix (2018)'!AY$2:AY$67)</f>
        <v>115.03498948104057</v>
      </c>
      <c r="AZ17" s="9">
        <f>_xlfn.COVARIANCE.P('Data_Matrix (2018)'!$M$2:$M$67,'Data_Matrix (2018)'!AZ$2:AZ$67)</f>
        <v>199.31120794279693</v>
      </c>
      <c r="BA17" s="9">
        <f>_xlfn.COVARIANCE.P('Data_Matrix (2018)'!$M$2:$M$67,'Data_Matrix (2018)'!BA$2:BA$67)</f>
        <v>21.2625549765255</v>
      </c>
      <c r="BB17" s="9">
        <f>_xlfn.COVARIANCE.P('Data_Matrix (2018)'!$M$2:$M$67,'Data_Matrix (2018)'!BB$2:BB$67)</f>
        <v>64.173984375266713</v>
      </c>
      <c r="BC17" s="9">
        <f>_xlfn.COVARIANCE.P('Data_Matrix (2018)'!$M$2:$M$67,'Data_Matrix (2018)'!BC$2:BC$67)</f>
        <v>25.562980074566266</v>
      </c>
      <c r="BD17" s="9">
        <f>_xlfn.COVARIANCE.P('Data_Matrix (2018)'!$M$2:$M$67,'Data_Matrix (2018)'!BD$2:BD$67)</f>
        <v>-15.095928701331529</v>
      </c>
      <c r="BE17" s="9">
        <f>_xlfn.COVARIANCE.P('Data_Matrix (2018)'!$M$2:$M$67,'Data_Matrix (2018)'!BE$2:BE$67)</f>
        <v>21.466547389030794</v>
      </c>
      <c r="BF17" s="9">
        <f>_xlfn.COVARIANCE.P('Data_Matrix (2018)'!$M$2:$M$67,'Data_Matrix (2018)'!BF$2:BF$67)</f>
        <v>-0.94908375145167656</v>
      </c>
      <c r="BG17" s="9">
        <f>_xlfn.COVARIANCE.P('Data_Matrix (2018)'!$M$2:$M$67,'Data_Matrix (2018)'!BG$2:BG$67)</f>
        <v>1.7661022248332443</v>
      </c>
      <c r="BH17" s="9">
        <f>_xlfn.COVARIANCE.P('Data_Matrix (2018)'!$M$2:$M$67,'Data_Matrix (2018)'!BH$2:BH$67)</f>
        <v>14.037637912975113</v>
      </c>
      <c r="BI17" s="9">
        <f>_xlfn.COVARIANCE.P('Data_Matrix (2018)'!$M$2:$M$67,'Data_Matrix (2018)'!BI$2:BI$67)</f>
        <v>8.0138099971883072</v>
      </c>
      <c r="BJ17" s="9">
        <f>_xlfn.COVARIANCE.P('Data_Matrix (2018)'!$M$2:$M$67,'Data_Matrix (2018)'!BJ$2:BJ$67)</f>
        <v>6.3083382201597722</v>
      </c>
      <c r="BK17" s="9">
        <f>_xlfn.COVARIANCE.P('Data_Matrix (2018)'!$M$2:$M$67,'Data_Matrix (2018)'!BK$2:BK$67)</f>
        <v>3.0465030837746312</v>
      </c>
      <c r="BL17" s="9">
        <f>_xlfn.COVARIANCE.P('Data_Matrix (2018)'!$M$2:$M$67,'Data_Matrix (2018)'!BL$2:BL$67)</f>
        <v>2.5982473366406409</v>
      </c>
      <c r="BM17" s="9">
        <f>_xlfn.COVARIANCE.P('Data_Matrix (2018)'!$M$2:$M$67,'Data_Matrix (2018)'!BM$2:BM$67)</f>
        <v>0.37889669586087726</v>
      </c>
      <c r="BN17" s="9">
        <f>_xlfn.COVARIANCE.P('Data_Matrix (2018)'!$M$2:$M$67,'Data_Matrix (2018)'!BN$2:BN$67)</f>
        <v>-0.25609114355635476</v>
      </c>
      <c r="BO17" s="9">
        <f>_xlfn.COVARIANCE.P('Data_Matrix (2018)'!$M$2:$M$67,'Data_Matrix (2018)'!BO$2:BO$67)</f>
        <v>4.0386202639903175E-2</v>
      </c>
    </row>
    <row r="18" spans="2:67" x14ac:dyDescent="0.2">
      <c r="B18" s="9">
        <f>_xlfn.COVARIANCE.P('Data_Matrix (2018)'!$N$2:$N$67,'Data_Matrix (2018)'!B$2:B$67)</f>
        <v>1097799.7026769114</v>
      </c>
      <c r="C18" s="9">
        <f>_xlfn.COVARIANCE.P('Data_Matrix (2018)'!$N$2:$N$67,'Data_Matrix (2018)'!C$2:C$67)</f>
        <v>1492728.6049940041</v>
      </c>
      <c r="D18" s="9">
        <f>_xlfn.COVARIANCE.P('Data_Matrix (2018)'!$N$2:$N$67,'Data_Matrix (2018)'!D$2:D$67)</f>
        <v>1000739.1999768356</v>
      </c>
      <c r="E18" s="9">
        <f>_xlfn.COVARIANCE.P('Data_Matrix (2018)'!$N$2:$N$67,'Data_Matrix (2018)'!E$2:E$67)</f>
        <v>820948.07823821541</v>
      </c>
      <c r="F18" s="9">
        <f>_xlfn.COVARIANCE.P('Data_Matrix (2018)'!$N$2:$N$67,'Data_Matrix (2018)'!F$2:F$67)</f>
        <v>417495.00166043127</v>
      </c>
      <c r="G18" s="9">
        <f>_xlfn.COVARIANCE.P('Data_Matrix (2018)'!$N$2:$N$67,'Data_Matrix (2018)'!G$2:G$67)</f>
        <v>803779.99142881541</v>
      </c>
      <c r="H18" s="9">
        <f>_xlfn.COVARIANCE.P('Data_Matrix (2018)'!$N$2:$N$67,'Data_Matrix (2018)'!H$2:H$67)</f>
        <v>283502.16508998553</v>
      </c>
      <c r="I18" s="9">
        <f>_xlfn.COVARIANCE.P('Data_Matrix (2018)'!$N$2:$N$67,'Data_Matrix (2018)'!I$2:I$67)</f>
        <v>286557.73651055788</v>
      </c>
      <c r="J18" s="9">
        <f>_xlfn.COVARIANCE.P('Data_Matrix (2018)'!$N$2:$N$67,'Data_Matrix (2018)'!J$2:J$67)</f>
        <v>165307.86663509207</v>
      </c>
      <c r="K18" s="9">
        <f>_xlfn.COVARIANCE.P('Data_Matrix (2018)'!$N$2:$N$67,'Data_Matrix (2018)'!K$2:K$67)</f>
        <v>180451.6567723433</v>
      </c>
      <c r="L18" s="9">
        <f>_xlfn.COVARIANCE.P('Data_Matrix (2018)'!$N$2:$N$67,'Data_Matrix (2018)'!L$2:L$67)</f>
        <v>137486.45391366413</v>
      </c>
      <c r="M18" s="9">
        <f>_xlfn.COVARIANCE.P('Data_Matrix (2018)'!$N$2:$N$67,'Data_Matrix (2018)'!M$2:M$67)</f>
        <v>109983.41495848905</v>
      </c>
      <c r="N18" s="9">
        <f>_xlfn.COVARIANCE.P('Data_Matrix (2018)'!$N$2:$N$67,'Data_Matrix (2018)'!N$2:N$67)</f>
        <v>173005.32268774134</v>
      </c>
      <c r="O18" s="9">
        <f>_xlfn.COVARIANCE.P('Data_Matrix (2018)'!$N$2:$N$67,'Data_Matrix (2018)'!O$2:O$67)</f>
        <v>68080.724526670921</v>
      </c>
      <c r="P18" s="9">
        <f>_xlfn.COVARIANCE.P('Data_Matrix (2018)'!$N$2:$N$67,'Data_Matrix (2018)'!P$2:P$67)</f>
        <v>14654.573761709176</v>
      </c>
      <c r="Q18" s="9">
        <f>_xlfn.COVARIANCE.P('Data_Matrix (2018)'!$N$2:$N$67,'Data_Matrix (2018)'!Q$2:Q$67)</f>
        <v>50588.963694290542</v>
      </c>
      <c r="R18" s="9">
        <f>_xlfn.COVARIANCE.P('Data_Matrix (2018)'!$N$2:$N$67,'Data_Matrix (2018)'!R$2:R$67)</f>
        <v>62908.244009546463</v>
      </c>
      <c r="S18" s="9">
        <f>_xlfn.COVARIANCE.P('Data_Matrix (2018)'!$N$2:$N$67,'Data_Matrix (2018)'!S$2:S$67)</f>
        <v>34913.987319735534</v>
      </c>
      <c r="T18" s="9">
        <f>_xlfn.COVARIANCE.P('Data_Matrix (2018)'!$N$2:$N$67,'Data_Matrix (2018)'!T$2:T$67)</f>
        <v>29671.036038726419</v>
      </c>
      <c r="U18" s="9">
        <f>_xlfn.COVARIANCE.P('Data_Matrix (2018)'!$N$2:$N$67,'Data_Matrix (2018)'!U$2:U$67)</f>
        <v>15529.789095339826</v>
      </c>
      <c r="V18" s="9">
        <f>_xlfn.COVARIANCE.P('Data_Matrix (2018)'!$N$2:$N$67,'Data_Matrix (2018)'!V$2:V$67)</f>
        <v>9821.5597689776332</v>
      </c>
      <c r="W18" s="9">
        <f>_xlfn.COVARIANCE.P('Data_Matrix (2018)'!$N$2:$N$67,'Data_Matrix (2018)'!W$2:W$67)</f>
        <v>10591.496871949035</v>
      </c>
      <c r="X18" s="9">
        <f>_xlfn.COVARIANCE.P('Data_Matrix (2018)'!$N$2:$N$67,'Data_Matrix (2018)'!X$2:X$67)</f>
        <v>17430.298365952247</v>
      </c>
      <c r="Y18" s="9">
        <f>_xlfn.COVARIANCE.P('Data_Matrix (2018)'!$N$2:$N$67,'Data_Matrix (2018)'!Y$2:Y$67)</f>
        <v>11836.169038697988</v>
      </c>
      <c r="Z18" s="9">
        <f>_xlfn.COVARIANCE.P('Data_Matrix (2018)'!$N$2:$N$67,'Data_Matrix (2018)'!Z$2:Z$67)</f>
        <v>6524.9403948115096</v>
      </c>
      <c r="AA18" s="9">
        <f>_xlfn.COVARIANCE.P('Data_Matrix (2018)'!$N$2:$N$67,'Data_Matrix (2018)'!AA$2:AA$67)</f>
        <v>6675.2322826079426</v>
      </c>
      <c r="AB18" s="9">
        <f>_xlfn.COVARIANCE.P('Data_Matrix (2018)'!$N$2:$N$67,'Data_Matrix (2018)'!AB$2:AB$67)</f>
        <v>1550.5645623766889</v>
      </c>
      <c r="AC18" s="9">
        <f>_xlfn.COVARIANCE.P('Data_Matrix (2018)'!$N$2:$N$67,'Data_Matrix (2018)'!AC$2:AC$67)</f>
        <v>773.65194693279545</v>
      </c>
      <c r="AD18" s="9">
        <f>_xlfn.COVARIANCE.P('Data_Matrix (2018)'!$N$2:$N$67,'Data_Matrix (2018)'!AD$2:AD$67)</f>
        <v>2253.965744672782</v>
      </c>
      <c r="AE18" s="9">
        <f>_xlfn.COVARIANCE.P('Data_Matrix (2018)'!$N$2:$N$67,'Data_Matrix (2018)'!AE$2:AE$67)</f>
        <v>230.37859758593649</v>
      </c>
      <c r="AF18" s="9">
        <f>_xlfn.COVARIANCE.P('Data_Matrix (2018)'!$N$2:$N$67,'Data_Matrix (2018)'!AF$2:AF$67)</f>
        <v>986.64932296517907</v>
      </c>
      <c r="AG18" s="9">
        <f>_xlfn.COVARIANCE.P('Data_Matrix (2018)'!$N$2:$N$67,'Data_Matrix (2018)'!AG$2:AG$67)</f>
        <v>752.80629071018461</v>
      </c>
      <c r="AH18" s="9">
        <f>_xlfn.COVARIANCE.P('Data_Matrix (2018)'!$N$2:$N$67,'Data_Matrix (2018)'!AH$2:AH$67)</f>
        <v>528.07727276849403</v>
      </c>
      <c r="AI18" s="9">
        <f>_xlfn.COVARIANCE.P('Data_Matrix (2018)'!$N$2:$N$67,'Data_Matrix (2018)'!AI$2:AI$67)</f>
        <v>880.80507887384647</v>
      </c>
      <c r="AJ18" s="9">
        <f>_xlfn.COVARIANCE.P('Data_Matrix (2018)'!$N$2:$N$67,'Data_Matrix (2018)'!AJ$2:AJ$67)</f>
        <v>406.7697537712358</v>
      </c>
      <c r="AK18" s="9">
        <f>_xlfn.COVARIANCE.P('Data_Matrix (2018)'!$N$2:$N$67,'Data_Matrix (2018)'!AK$2:AK$67)</f>
        <v>123.05282178698272</v>
      </c>
      <c r="AL18" s="9">
        <f>_xlfn.COVARIANCE.P('Data_Matrix (2018)'!$N$2:$N$67,'Data_Matrix (2018)'!AL$2:AL$67)</f>
        <v>-1459.8818831081176</v>
      </c>
      <c r="AM18" s="9">
        <f>_xlfn.COVARIANCE.P('Data_Matrix (2018)'!$N$2:$N$67,'Data_Matrix (2018)'!AM$2:AM$67)</f>
        <v>327.28007793373575</v>
      </c>
      <c r="AN18" s="9">
        <f>_xlfn.COVARIANCE.P('Data_Matrix (2018)'!$N$2:$N$67,'Data_Matrix (2018)'!AN$2:AN$67)</f>
        <v>488.86027256948455</v>
      </c>
      <c r="AO18" s="9">
        <f>_xlfn.COVARIANCE.P('Data_Matrix (2018)'!$N$2:$N$67,'Data_Matrix (2018)'!AO$2:AO$67)</f>
        <v>314.63940363835769</v>
      </c>
      <c r="AP18" s="9">
        <f>_xlfn.COVARIANCE.P('Data_Matrix (2018)'!$N$2:$N$67,'Data_Matrix (2018)'!AP$2:AP$67)</f>
        <v>994.68454010384937</v>
      </c>
      <c r="AQ18" s="9">
        <f>_xlfn.COVARIANCE.P('Data_Matrix (2018)'!$N$2:$N$67,'Data_Matrix (2018)'!AQ$2:AQ$67)</f>
        <v>201.84909653504033</v>
      </c>
      <c r="AR18" s="9">
        <f>_xlfn.COVARIANCE.P('Data_Matrix (2018)'!$N$2:$N$67,'Data_Matrix (2018)'!AR$2:AR$67)</f>
        <v>523.24133344925519</v>
      </c>
      <c r="AS18" s="9">
        <f>_xlfn.COVARIANCE.P('Data_Matrix (2018)'!$N$2:$N$67,'Data_Matrix (2018)'!AS$2:AS$67)</f>
        <v>245.30963820642165</v>
      </c>
      <c r="AT18" s="9">
        <f>_xlfn.COVARIANCE.P('Data_Matrix (2018)'!$N$2:$N$67,'Data_Matrix (2018)'!AT$2:AT$67)</f>
        <v>-33.949505131177403</v>
      </c>
      <c r="AU18" s="9">
        <f>_xlfn.COVARIANCE.P('Data_Matrix (2018)'!$N$2:$N$67,'Data_Matrix (2018)'!AU$2:AU$67)</f>
        <v>35.220359463142842</v>
      </c>
      <c r="AV18" s="9">
        <f>_xlfn.COVARIANCE.P('Data_Matrix (2018)'!$N$2:$N$67,'Data_Matrix (2018)'!AV$2:AV$67)</f>
        <v>75.092580415324846</v>
      </c>
      <c r="AW18" s="9">
        <f>_xlfn.COVARIANCE.P('Data_Matrix (2018)'!$N$2:$N$67,'Data_Matrix (2018)'!AW$2:AW$67)</f>
        <v>-89.085339324367666</v>
      </c>
      <c r="AX18" s="9">
        <f>_xlfn.COVARIANCE.P('Data_Matrix (2018)'!$N$2:$N$67,'Data_Matrix (2018)'!AX$2:AX$67)</f>
        <v>-116.8318066166748</v>
      </c>
      <c r="AY18" s="9">
        <f>_xlfn.COVARIANCE.P('Data_Matrix (2018)'!$N$2:$N$67,'Data_Matrix (2018)'!AY$2:AY$67)</f>
        <v>132.98079858600778</v>
      </c>
      <c r="AZ18" s="9">
        <f>_xlfn.COVARIANCE.P('Data_Matrix (2018)'!$N$2:$N$67,'Data_Matrix (2018)'!AZ$2:AZ$67)</f>
        <v>74.592246078266754</v>
      </c>
      <c r="BA18" s="9">
        <f>_xlfn.COVARIANCE.P('Data_Matrix (2018)'!$N$2:$N$67,'Data_Matrix (2018)'!BA$2:BA$67)</f>
        <v>5.9718560383681218</v>
      </c>
      <c r="BB18" s="9">
        <f>_xlfn.COVARIANCE.P('Data_Matrix (2018)'!$N$2:$N$67,'Data_Matrix (2018)'!BB$2:BB$67)</f>
        <v>5.6518317051790543</v>
      </c>
      <c r="BC18" s="9">
        <f>_xlfn.COVARIANCE.P('Data_Matrix (2018)'!$N$2:$N$67,'Data_Matrix (2018)'!BC$2:BC$67)</f>
        <v>62.541373835003647</v>
      </c>
      <c r="BD18" s="9">
        <f>_xlfn.COVARIANCE.P('Data_Matrix (2018)'!$N$2:$N$67,'Data_Matrix (2018)'!BD$2:BD$67)</f>
        <v>-19.799238713801099</v>
      </c>
      <c r="BE18" s="9">
        <f>_xlfn.COVARIANCE.P('Data_Matrix (2018)'!$N$2:$N$67,'Data_Matrix (2018)'!BE$2:BE$67)</f>
        <v>16.551331649663343</v>
      </c>
      <c r="BF18" s="9">
        <f>_xlfn.COVARIANCE.P('Data_Matrix (2018)'!$N$2:$N$67,'Data_Matrix (2018)'!BF$2:BF$67)</f>
        <v>1.160937059027904</v>
      </c>
      <c r="BG18" s="9">
        <f>_xlfn.COVARIANCE.P('Data_Matrix (2018)'!$N$2:$N$67,'Data_Matrix (2018)'!BG$2:BG$67)</f>
        <v>0.51440066298874698</v>
      </c>
      <c r="BH18" s="9">
        <f>_xlfn.COVARIANCE.P('Data_Matrix (2018)'!$N$2:$N$67,'Data_Matrix (2018)'!BH$2:BH$67)</f>
        <v>27.742143752389129</v>
      </c>
      <c r="BI18" s="9">
        <f>_xlfn.COVARIANCE.P('Data_Matrix (2018)'!$N$2:$N$67,'Data_Matrix (2018)'!BI$2:BI$67)</f>
        <v>6.3586169721578774</v>
      </c>
      <c r="BJ18" s="9">
        <f>_xlfn.COVARIANCE.P('Data_Matrix (2018)'!$N$2:$N$67,'Data_Matrix (2018)'!BJ$2:BJ$67)</f>
        <v>4.3462147308260208</v>
      </c>
      <c r="BK18" s="9">
        <f>_xlfn.COVARIANCE.P('Data_Matrix (2018)'!$N$2:$N$67,'Data_Matrix (2018)'!BK$2:BK$67)</f>
        <v>1.6769536763660466</v>
      </c>
      <c r="BL18" s="9">
        <f>_xlfn.COVARIANCE.P('Data_Matrix (2018)'!$N$2:$N$67,'Data_Matrix (2018)'!BL$2:BL$67)</f>
        <v>-2.3487748098754011</v>
      </c>
      <c r="BM18" s="9">
        <f>_xlfn.COVARIANCE.P('Data_Matrix (2018)'!$N$2:$N$67,'Data_Matrix (2018)'!BM$2:BM$67)</f>
        <v>9.9351644714472775E-2</v>
      </c>
      <c r="BN18" s="9">
        <f>_xlfn.COVARIANCE.P('Data_Matrix (2018)'!$N$2:$N$67,'Data_Matrix (2018)'!BN$2:BN$67)</f>
        <v>7.6168014660040306E-2</v>
      </c>
      <c r="BO18" s="9">
        <f>_xlfn.COVARIANCE.P('Data_Matrix (2018)'!$N$2:$N$67,'Data_Matrix (2018)'!BO$2:BO$67)</f>
        <v>2.771896423726385E-3</v>
      </c>
    </row>
    <row r="19" spans="2:67" x14ac:dyDescent="0.2">
      <c r="B19" s="9">
        <f>_xlfn.COVARIANCE.P('Data_Matrix (2018)'!$O$2:$O$67,'Data_Matrix (2018)'!B$2:B$67)</f>
        <v>566150.8785643701</v>
      </c>
      <c r="C19" s="9">
        <f>_xlfn.COVARIANCE.P('Data_Matrix (2018)'!$O$2:$O$67,'Data_Matrix (2018)'!C$2:C$67)</f>
        <v>677481.6874887665</v>
      </c>
      <c r="D19" s="9">
        <f>_xlfn.COVARIANCE.P('Data_Matrix (2018)'!$O$2:$O$67,'Data_Matrix (2018)'!D$2:D$67)</f>
        <v>426186.43185589387</v>
      </c>
      <c r="E19" s="9">
        <f>_xlfn.COVARIANCE.P('Data_Matrix (2018)'!$O$2:$O$67,'Data_Matrix (2018)'!E$2:E$67)</f>
        <v>360833.94126402756</v>
      </c>
      <c r="F19" s="9">
        <f>_xlfn.COVARIANCE.P('Data_Matrix (2018)'!$O$2:$O$67,'Data_Matrix (2018)'!F$2:F$67)</f>
        <v>213089.1537371813</v>
      </c>
      <c r="G19" s="9">
        <f>_xlfn.COVARIANCE.P('Data_Matrix (2018)'!$O$2:$O$67,'Data_Matrix (2018)'!G$2:G$67)</f>
        <v>337355.2966318687</v>
      </c>
      <c r="H19" s="9">
        <f>_xlfn.COVARIANCE.P('Data_Matrix (2018)'!$O$2:$O$67,'Data_Matrix (2018)'!H$2:H$67)</f>
        <v>138976.93327497932</v>
      </c>
      <c r="I19" s="9">
        <f>_xlfn.COVARIANCE.P('Data_Matrix (2018)'!$O$2:$O$67,'Data_Matrix (2018)'!I$2:I$67)</f>
        <v>115413.07889539204</v>
      </c>
      <c r="J19" s="9">
        <f>_xlfn.COVARIANCE.P('Data_Matrix (2018)'!$O$2:$O$67,'Data_Matrix (2018)'!J$2:J$67)</f>
        <v>60450.933405206088</v>
      </c>
      <c r="K19" s="9">
        <f>_xlfn.COVARIANCE.P('Data_Matrix (2018)'!$O$2:$O$67,'Data_Matrix (2018)'!K$2:K$67)</f>
        <v>87285.92634758084</v>
      </c>
      <c r="L19" s="9">
        <f>_xlfn.COVARIANCE.P('Data_Matrix (2018)'!$O$2:$O$67,'Data_Matrix (2018)'!L$2:L$67)</f>
        <v>71806.613918110859</v>
      </c>
      <c r="M19" s="9">
        <f>_xlfn.COVARIANCE.P('Data_Matrix (2018)'!$O$2:$O$67,'Data_Matrix (2018)'!M$2:M$67)</f>
        <v>54628.921403490516</v>
      </c>
      <c r="N19" s="9">
        <f>_xlfn.COVARIANCE.P('Data_Matrix (2018)'!$O$2:$O$67,'Data_Matrix (2018)'!N$2:N$67)</f>
        <v>68080.724526670921</v>
      </c>
      <c r="O19" s="9">
        <f>_xlfn.COVARIANCE.P('Data_Matrix (2018)'!$O$2:$O$67,'Data_Matrix (2018)'!O$2:O$67)</f>
        <v>35367.55494619059</v>
      </c>
      <c r="P19" s="9">
        <f>_xlfn.COVARIANCE.P('Data_Matrix (2018)'!$O$2:$O$67,'Data_Matrix (2018)'!P$2:P$67)</f>
        <v>8592.3031261829983</v>
      </c>
      <c r="Q19" s="9">
        <f>_xlfn.COVARIANCE.P('Data_Matrix (2018)'!$O$2:$O$67,'Data_Matrix (2018)'!Q$2:Q$67)</f>
        <v>29465.860102290255</v>
      </c>
      <c r="R19" s="9">
        <f>_xlfn.COVARIANCE.P('Data_Matrix (2018)'!$O$2:$O$67,'Data_Matrix (2018)'!R$2:R$67)</f>
        <v>37109.28865868428</v>
      </c>
      <c r="S19" s="9">
        <f>_xlfn.COVARIANCE.P('Data_Matrix (2018)'!$O$2:$O$67,'Data_Matrix (2018)'!S$2:S$67)</f>
        <v>18085.420102810429</v>
      </c>
      <c r="T19" s="9">
        <f>_xlfn.COVARIANCE.P('Data_Matrix (2018)'!$O$2:$O$67,'Data_Matrix (2018)'!T$2:T$67)</f>
        <v>13697.99988469088</v>
      </c>
      <c r="U19" s="9">
        <f>_xlfn.COVARIANCE.P('Data_Matrix (2018)'!$O$2:$O$67,'Data_Matrix (2018)'!U$2:U$67)</f>
        <v>8757.6524823960153</v>
      </c>
      <c r="V19" s="9">
        <f>_xlfn.COVARIANCE.P('Data_Matrix (2018)'!$O$2:$O$67,'Data_Matrix (2018)'!V$2:V$67)</f>
        <v>6476.0452958516125</v>
      </c>
      <c r="W19" s="9">
        <f>_xlfn.COVARIANCE.P('Data_Matrix (2018)'!$O$2:$O$67,'Data_Matrix (2018)'!W$2:W$67)</f>
        <v>5032.9399005904161</v>
      </c>
      <c r="X19" s="9">
        <f>_xlfn.COVARIANCE.P('Data_Matrix (2018)'!$O$2:$O$67,'Data_Matrix (2018)'!X$2:X$67)</f>
        <v>7187.879789469669</v>
      </c>
      <c r="Y19" s="9">
        <f>_xlfn.COVARIANCE.P('Data_Matrix (2018)'!$O$2:$O$67,'Data_Matrix (2018)'!Y$2:Y$67)</f>
        <v>5918.5112356305144</v>
      </c>
      <c r="Z19" s="9">
        <f>_xlfn.COVARIANCE.P('Data_Matrix (2018)'!$O$2:$O$67,'Data_Matrix (2018)'!Z$2:Z$67)</f>
        <v>3986.504084151682</v>
      </c>
      <c r="AA19" s="9">
        <f>_xlfn.COVARIANCE.P('Data_Matrix (2018)'!$O$2:$O$67,'Data_Matrix (2018)'!AA$2:AA$67)</f>
        <v>2933.551767730256</v>
      </c>
      <c r="AB19" s="9">
        <f>_xlfn.COVARIANCE.P('Data_Matrix (2018)'!$O$2:$O$67,'Data_Matrix (2018)'!AB$2:AB$67)</f>
        <v>687.24132660766634</v>
      </c>
      <c r="AC19" s="9">
        <f>_xlfn.COVARIANCE.P('Data_Matrix (2018)'!$O$2:$O$67,'Data_Matrix (2018)'!AC$2:AC$67)</f>
        <v>683.41983735601195</v>
      </c>
      <c r="AD19" s="9">
        <f>_xlfn.COVARIANCE.P('Data_Matrix (2018)'!$O$2:$O$67,'Data_Matrix (2018)'!AD$2:AD$67)</f>
        <v>1045.1842728371778</v>
      </c>
      <c r="AE19" s="9">
        <f>_xlfn.COVARIANCE.P('Data_Matrix (2018)'!$O$2:$O$67,'Data_Matrix (2018)'!AE$2:AE$67)</f>
        <v>298.15445526827142</v>
      </c>
      <c r="AF19" s="9">
        <f>_xlfn.COVARIANCE.P('Data_Matrix (2018)'!$O$2:$O$67,'Data_Matrix (2018)'!AF$2:AF$67)</f>
        <v>623.65269894861706</v>
      </c>
      <c r="AG19" s="9">
        <f>_xlfn.COVARIANCE.P('Data_Matrix (2018)'!$O$2:$O$67,'Data_Matrix (2018)'!AG$2:AG$67)</f>
        <v>487.24291435791878</v>
      </c>
      <c r="AH19" s="9">
        <f>_xlfn.COVARIANCE.P('Data_Matrix (2018)'!$O$2:$O$67,'Data_Matrix (2018)'!AH$2:AH$67)</f>
        <v>172.76576737787082</v>
      </c>
      <c r="AI19" s="9">
        <f>_xlfn.COVARIANCE.P('Data_Matrix (2018)'!$O$2:$O$67,'Data_Matrix (2018)'!AI$2:AI$67)</f>
        <v>419.24437700535634</v>
      </c>
      <c r="AJ19" s="9">
        <f>_xlfn.COVARIANCE.P('Data_Matrix (2018)'!$O$2:$O$67,'Data_Matrix (2018)'!AJ$2:AJ$67)</f>
        <v>364.60977903376306</v>
      </c>
      <c r="AK19" s="9">
        <f>_xlfn.COVARIANCE.P('Data_Matrix (2018)'!$O$2:$O$67,'Data_Matrix (2018)'!AK$2:AK$67)</f>
        <v>296.79200537527049</v>
      </c>
      <c r="AL19" s="9">
        <f>_xlfn.COVARIANCE.P('Data_Matrix (2018)'!$O$2:$O$67,'Data_Matrix (2018)'!AL$2:AL$67)</f>
        <v>-397.89994280697351</v>
      </c>
      <c r="AM19" s="9">
        <f>_xlfn.COVARIANCE.P('Data_Matrix (2018)'!$O$2:$O$67,'Data_Matrix (2018)'!AM$2:AM$67)</f>
        <v>210.40881477874419</v>
      </c>
      <c r="AN19" s="9">
        <f>_xlfn.COVARIANCE.P('Data_Matrix (2018)'!$O$2:$O$67,'Data_Matrix (2018)'!AN$2:AN$67)</f>
        <v>67.394374139745736</v>
      </c>
      <c r="AO19" s="9">
        <f>_xlfn.COVARIANCE.P('Data_Matrix (2018)'!$O$2:$O$67,'Data_Matrix (2018)'!AO$2:AO$67)</f>
        <v>285.74098733530775</v>
      </c>
      <c r="AP19" s="9">
        <f>_xlfn.COVARIANCE.P('Data_Matrix (2018)'!$O$2:$O$67,'Data_Matrix (2018)'!AP$2:AP$67)</f>
        <v>611.11777717791051</v>
      </c>
      <c r="AQ19" s="9">
        <f>_xlfn.COVARIANCE.P('Data_Matrix (2018)'!$O$2:$O$67,'Data_Matrix (2018)'!AQ$2:AQ$67)</f>
        <v>177.42356207031909</v>
      </c>
      <c r="AR19" s="9">
        <f>_xlfn.COVARIANCE.P('Data_Matrix (2018)'!$O$2:$O$67,'Data_Matrix (2018)'!AR$2:AR$67)</f>
        <v>244.48306376357974</v>
      </c>
      <c r="AS19" s="9">
        <f>_xlfn.COVARIANCE.P('Data_Matrix (2018)'!$O$2:$O$67,'Data_Matrix (2018)'!AS$2:AS$67)</f>
        <v>130.731552246017</v>
      </c>
      <c r="AT19" s="9">
        <f>_xlfn.COVARIANCE.P('Data_Matrix (2018)'!$O$2:$O$67,'Data_Matrix (2018)'!AT$2:AT$67)</f>
        <v>22.993652579219223</v>
      </c>
      <c r="AU19" s="9">
        <f>_xlfn.COVARIANCE.P('Data_Matrix (2018)'!$O$2:$O$67,'Data_Matrix (2018)'!AU$2:AU$67)</f>
        <v>-16.562767508948347</v>
      </c>
      <c r="AV19" s="9">
        <f>_xlfn.COVARIANCE.P('Data_Matrix (2018)'!$O$2:$O$67,'Data_Matrix (2018)'!AV$2:AV$67)</f>
        <v>82.535339223029709</v>
      </c>
      <c r="AW19" s="9">
        <f>_xlfn.COVARIANCE.P('Data_Matrix (2018)'!$O$2:$O$67,'Data_Matrix (2018)'!AW$2:AW$67)</f>
        <v>-38.515062810645894</v>
      </c>
      <c r="AX19" s="9">
        <f>_xlfn.COVARIANCE.P('Data_Matrix (2018)'!$O$2:$O$67,'Data_Matrix (2018)'!AX$2:AX$67)</f>
        <v>42.357503089742195</v>
      </c>
      <c r="AY19" s="9">
        <f>_xlfn.COVARIANCE.P('Data_Matrix (2018)'!$O$2:$O$67,'Data_Matrix (2018)'!AY$2:AY$67)</f>
        <v>49.613958028927378</v>
      </c>
      <c r="AZ19" s="9">
        <f>_xlfn.COVARIANCE.P('Data_Matrix (2018)'!$O$2:$O$67,'Data_Matrix (2018)'!AZ$2:AZ$67)</f>
        <v>83.717838589829825</v>
      </c>
      <c r="BA19" s="9">
        <f>_xlfn.COVARIANCE.P('Data_Matrix (2018)'!$O$2:$O$67,'Data_Matrix (2018)'!BA$2:BA$67)</f>
        <v>3.6556723615276709</v>
      </c>
      <c r="BB19" s="9">
        <f>_xlfn.COVARIANCE.P('Data_Matrix (2018)'!$O$2:$O$67,'Data_Matrix (2018)'!BB$2:BB$67)</f>
        <v>30.799201803954293</v>
      </c>
      <c r="BC19" s="9">
        <f>_xlfn.COVARIANCE.P('Data_Matrix (2018)'!$O$2:$O$67,'Data_Matrix (2018)'!BC$2:BC$67)</f>
        <v>18.062975411734826</v>
      </c>
      <c r="BD19" s="9">
        <f>_xlfn.COVARIANCE.P('Data_Matrix (2018)'!$O$2:$O$67,'Data_Matrix (2018)'!BD$2:BD$67)</f>
        <v>-4.8094466711183257</v>
      </c>
      <c r="BE19" s="9">
        <f>_xlfn.COVARIANCE.P('Data_Matrix (2018)'!$O$2:$O$67,'Data_Matrix (2018)'!BE$2:BE$67)</f>
        <v>10.299295999280119</v>
      </c>
      <c r="BF19" s="9">
        <f>_xlfn.COVARIANCE.P('Data_Matrix (2018)'!$O$2:$O$67,'Data_Matrix (2018)'!BF$2:BF$67)</f>
        <v>-0.13247274586213775</v>
      </c>
      <c r="BG19" s="9">
        <f>_xlfn.COVARIANCE.P('Data_Matrix (2018)'!$O$2:$O$67,'Data_Matrix (2018)'!BG$2:BG$67)</f>
        <v>0.22391830278834135</v>
      </c>
      <c r="BH19" s="9">
        <f>_xlfn.COVARIANCE.P('Data_Matrix (2018)'!$O$2:$O$67,'Data_Matrix (2018)'!BH$2:BH$67)</f>
        <v>9.8649680638752049</v>
      </c>
      <c r="BI19" s="9">
        <f>_xlfn.COVARIANCE.P('Data_Matrix (2018)'!$O$2:$O$67,'Data_Matrix (2018)'!BI$2:BI$67)</f>
        <v>4.2697412265370334</v>
      </c>
      <c r="BJ19" s="9">
        <f>_xlfn.COVARIANCE.P('Data_Matrix (2018)'!$O$2:$O$67,'Data_Matrix (2018)'!BJ$2:BJ$67)</f>
        <v>4.0603856960383018</v>
      </c>
      <c r="BK19" s="9">
        <f>_xlfn.COVARIANCE.P('Data_Matrix (2018)'!$O$2:$O$67,'Data_Matrix (2018)'!BK$2:BK$67)</f>
        <v>0.66856464378365221</v>
      </c>
      <c r="BL19" s="9">
        <f>_xlfn.COVARIANCE.P('Data_Matrix (2018)'!$O$2:$O$67,'Data_Matrix (2018)'!BL$2:BL$67)</f>
        <v>-2.6443419237959535E-3</v>
      </c>
      <c r="BM19" s="9">
        <f>_xlfn.COVARIANCE.P('Data_Matrix (2018)'!$O$2:$O$67,'Data_Matrix (2018)'!BM$2:BM$67)</f>
        <v>8.5972498192689491E-3</v>
      </c>
      <c r="BN19" s="9">
        <f>_xlfn.COVARIANCE.P('Data_Matrix (2018)'!$O$2:$O$67,'Data_Matrix (2018)'!BN$2:BN$67)</f>
        <v>-8.1409337706620177E-2</v>
      </c>
      <c r="BO19" s="9">
        <f>_xlfn.COVARIANCE.P('Data_Matrix (2018)'!$O$2:$O$67,'Data_Matrix (2018)'!BO$2:BO$67)</f>
        <v>-1.2157579888761564E-2</v>
      </c>
    </row>
    <row r="20" spans="2:67" x14ac:dyDescent="0.2">
      <c r="B20" s="9">
        <f>_xlfn.COVARIANCE.P('Data_Matrix (2018)'!$P$2:$P$67,'Data_Matrix (2018)'!B$2:B$67)</f>
        <v>185955.38329714444</v>
      </c>
      <c r="C20" s="9">
        <f>_xlfn.COVARIANCE.P('Data_Matrix (2018)'!$P$2:$P$67,'Data_Matrix (2018)'!C$2:C$67)</f>
        <v>135591.86090416892</v>
      </c>
      <c r="D20" s="9">
        <f>_xlfn.COVARIANCE.P('Data_Matrix (2018)'!$P$2:$P$67,'Data_Matrix (2018)'!D$2:D$67)</f>
        <v>93762.824902317574</v>
      </c>
      <c r="E20" s="9">
        <f>_xlfn.COVARIANCE.P('Data_Matrix (2018)'!$P$2:$P$67,'Data_Matrix (2018)'!E$2:E$67)</f>
        <v>146374.09618033897</v>
      </c>
      <c r="F20" s="9">
        <f>_xlfn.COVARIANCE.P('Data_Matrix (2018)'!$P$2:$P$67,'Data_Matrix (2018)'!F$2:F$67)</f>
        <v>86059.152870897655</v>
      </c>
      <c r="G20" s="9">
        <f>_xlfn.COVARIANCE.P('Data_Matrix (2018)'!$P$2:$P$67,'Data_Matrix (2018)'!G$2:G$67)</f>
        <v>80208.367377345334</v>
      </c>
      <c r="H20" s="9">
        <f>_xlfn.COVARIANCE.P('Data_Matrix (2018)'!$P$2:$P$67,'Data_Matrix (2018)'!H$2:H$67)</f>
        <v>26168.290525305136</v>
      </c>
      <c r="I20" s="9">
        <f>_xlfn.COVARIANCE.P('Data_Matrix (2018)'!$P$2:$P$67,'Data_Matrix (2018)'!I$2:I$67)</f>
        <v>34476.345187287036</v>
      </c>
      <c r="J20" s="9">
        <f>_xlfn.COVARIANCE.P('Data_Matrix (2018)'!$P$2:$P$67,'Data_Matrix (2018)'!J$2:J$67)</f>
        <v>22959.46566564597</v>
      </c>
      <c r="K20" s="9">
        <f>_xlfn.COVARIANCE.P('Data_Matrix (2018)'!$P$2:$P$67,'Data_Matrix (2018)'!K$2:K$67)</f>
        <v>31145.45202787119</v>
      </c>
      <c r="L20" s="9">
        <f>_xlfn.COVARIANCE.P('Data_Matrix (2018)'!$P$2:$P$67,'Data_Matrix (2018)'!L$2:L$67)</f>
        <v>20884.204592896334</v>
      </c>
      <c r="M20" s="9">
        <f>_xlfn.COVARIANCE.P('Data_Matrix (2018)'!$P$2:$P$67,'Data_Matrix (2018)'!M$2:M$67)</f>
        <v>6951.0473019134824</v>
      </c>
      <c r="N20" s="9">
        <f>_xlfn.COVARIANCE.P('Data_Matrix (2018)'!$P$2:$P$67,'Data_Matrix (2018)'!N$2:N$67)</f>
        <v>14654.573761709176</v>
      </c>
      <c r="O20" s="9">
        <f>_xlfn.COVARIANCE.P('Data_Matrix (2018)'!$P$2:$P$67,'Data_Matrix (2018)'!O$2:O$67)</f>
        <v>8592.3031261829983</v>
      </c>
      <c r="P20" s="9">
        <f>_xlfn.COVARIANCE.P('Data_Matrix (2018)'!$P$2:$P$67,'Data_Matrix (2018)'!P$2:P$67)</f>
        <v>26318.150120173632</v>
      </c>
      <c r="Q20" s="9">
        <f>_xlfn.COVARIANCE.P('Data_Matrix (2018)'!$P$2:$P$67,'Data_Matrix (2018)'!Q$2:Q$67)</f>
        <v>5263.1701636835542</v>
      </c>
      <c r="R20" s="9">
        <f>_xlfn.COVARIANCE.P('Data_Matrix (2018)'!$P$2:$P$67,'Data_Matrix (2018)'!R$2:R$67)</f>
        <v>4288.2662760484927</v>
      </c>
      <c r="S20" s="9">
        <f>_xlfn.COVARIANCE.P('Data_Matrix (2018)'!$P$2:$P$67,'Data_Matrix (2018)'!S$2:S$67)</f>
        <v>2379.1703084094411</v>
      </c>
      <c r="T20" s="9">
        <f>_xlfn.COVARIANCE.P('Data_Matrix (2018)'!$P$2:$P$67,'Data_Matrix (2018)'!T$2:T$67)</f>
        <v>3298.069652809193</v>
      </c>
      <c r="U20" s="9">
        <f>_xlfn.COVARIANCE.P('Data_Matrix (2018)'!$P$2:$P$67,'Data_Matrix (2018)'!U$2:U$67)</f>
        <v>2049.1281045717042</v>
      </c>
      <c r="V20" s="9">
        <f>_xlfn.COVARIANCE.P('Data_Matrix (2018)'!$P$2:$P$67,'Data_Matrix (2018)'!V$2:V$67)</f>
        <v>4858.0151129527803</v>
      </c>
      <c r="W20" s="9">
        <f>_xlfn.COVARIANCE.P('Data_Matrix (2018)'!$P$2:$P$67,'Data_Matrix (2018)'!W$2:W$67)</f>
        <v>1500.3925167209386</v>
      </c>
      <c r="X20" s="9">
        <f>_xlfn.COVARIANCE.P('Data_Matrix (2018)'!$P$2:$P$67,'Data_Matrix (2018)'!X$2:X$67)</f>
        <v>2232.3602183589828</v>
      </c>
      <c r="Y20" s="9">
        <f>_xlfn.COVARIANCE.P('Data_Matrix (2018)'!$P$2:$P$67,'Data_Matrix (2018)'!Y$2:Y$67)</f>
        <v>1730.5992843119714</v>
      </c>
      <c r="Z20" s="9">
        <f>_xlfn.COVARIANCE.P('Data_Matrix (2018)'!$P$2:$P$67,'Data_Matrix (2018)'!Z$2:Z$67)</f>
        <v>634.21010449476864</v>
      </c>
      <c r="AA20" s="9">
        <f>_xlfn.COVARIANCE.P('Data_Matrix (2018)'!$P$2:$P$67,'Data_Matrix (2018)'!AA$2:AA$67)</f>
        <v>332.46141430733769</v>
      </c>
      <c r="AB20" s="9">
        <f>_xlfn.COVARIANCE.P('Data_Matrix (2018)'!$P$2:$P$67,'Data_Matrix (2018)'!AB$2:AB$67)</f>
        <v>-35.784534523703094</v>
      </c>
      <c r="AC20" s="9">
        <f>_xlfn.COVARIANCE.P('Data_Matrix (2018)'!$P$2:$P$67,'Data_Matrix (2018)'!AC$2:AC$67)</f>
        <v>389.13272466692132</v>
      </c>
      <c r="AD20" s="9">
        <f>_xlfn.COVARIANCE.P('Data_Matrix (2018)'!$P$2:$P$67,'Data_Matrix (2018)'!AD$2:AD$67)</f>
        <v>271.70607318614691</v>
      </c>
      <c r="AE20" s="9">
        <f>_xlfn.COVARIANCE.P('Data_Matrix (2018)'!$P$2:$P$67,'Data_Matrix (2018)'!AE$2:AE$67)</f>
        <v>194.43497054649609</v>
      </c>
      <c r="AF20" s="9">
        <f>_xlfn.COVARIANCE.P('Data_Matrix (2018)'!$P$2:$P$67,'Data_Matrix (2018)'!AF$2:AF$67)</f>
        <v>188.11370701655937</v>
      </c>
      <c r="AG20" s="9">
        <f>_xlfn.COVARIANCE.P('Data_Matrix (2018)'!$P$2:$P$67,'Data_Matrix (2018)'!AG$2:AG$67)</f>
        <v>527.3063005032875</v>
      </c>
      <c r="AH20" s="9">
        <f>_xlfn.COVARIANCE.P('Data_Matrix (2018)'!$P$2:$P$67,'Data_Matrix (2018)'!AH$2:AH$67)</f>
        <v>154.70541402902774</v>
      </c>
      <c r="AI20" s="9">
        <f>_xlfn.COVARIANCE.P('Data_Matrix (2018)'!$P$2:$P$67,'Data_Matrix (2018)'!AI$2:AI$67)</f>
        <v>64.397565247901426</v>
      </c>
      <c r="AJ20" s="9">
        <f>_xlfn.COVARIANCE.P('Data_Matrix (2018)'!$P$2:$P$67,'Data_Matrix (2018)'!AJ$2:AJ$67)</f>
        <v>96.423565709491015</v>
      </c>
      <c r="AK20" s="9">
        <f>_xlfn.COVARIANCE.P('Data_Matrix (2018)'!$P$2:$P$67,'Data_Matrix (2018)'!AK$2:AK$67)</f>
        <v>285.00632230010626</v>
      </c>
      <c r="AL20" s="9">
        <f>_xlfn.COVARIANCE.P('Data_Matrix (2018)'!$P$2:$P$67,'Data_Matrix (2018)'!AL$2:AL$67)</f>
        <v>651.81809153290544</v>
      </c>
      <c r="AM20" s="9">
        <f>_xlfn.COVARIANCE.P('Data_Matrix (2018)'!$P$2:$P$67,'Data_Matrix (2018)'!AM$2:AM$67)</f>
        <v>32.64371621942955</v>
      </c>
      <c r="AN20" s="9">
        <f>_xlfn.COVARIANCE.P('Data_Matrix (2018)'!$P$2:$P$67,'Data_Matrix (2018)'!AN$2:AN$67)</f>
        <v>-115.41235686797259</v>
      </c>
      <c r="AO20" s="9">
        <f>_xlfn.COVARIANCE.P('Data_Matrix (2018)'!$P$2:$P$67,'Data_Matrix (2018)'!AO$2:AO$67)</f>
        <v>104.89204912675869</v>
      </c>
      <c r="AP20" s="9">
        <f>_xlfn.COVARIANCE.P('Data_Matrix (2018)'!$P$2:$P$67,'Data_Matrix (2018)'!AP$2:AP$67)</f>
        <v>288.19815331558704</v>
      </c>
      <c r="AQ20" s="9">
        <f>_xlfn.COVARIANCE.P('Data_Matrix (2018)'!$P$2:$P$67,'Data_Matrix (2018)'!AQ$2:AQ$67)</f>
        <v>271.43190526773947</v>
      </c>
      <c r="AR20" s="9">
        <f>_xlfn.COVARIANCE.P('Data_Matrix (2018)'!$P$2:$P$67,'Data_Matrix (2018)'!AR$2:AR$67)</f>
        <v>100.14158633938702</v>
      </c>
      <c r="AS20" s="9">
        <f>_xlfn.COVARIANCE.P('Data_Matrix (2018)'!$P$2:$P$67,'Data_Matrix (2018)'!AS$2:AS$67)</f>
        <v>24.108440809133111</v>
      </c>
      <c r="AT20" s="9">
        <f>_xlfn.COVARIANCE.P('Data_Matrix (2018)'!$P$2:$P$67,'Data_Matrix (2018)'!AT$2:AT$67)</f>
        <v>63.873903291626092</v>
      </c>
      <c r="AU20" s="9">
        <f>_xlfn.COVARIANCE.P('Data_Matrix (2018)'!$P$2:$P$67,'Data_Matrix (2018)'!AU$2:AU$67)</f>
        <v>53.073521251943745</v>
      </c>
      <c r="AV20" s="9">
        <f>_xlfn.COVARIANCE.P('Data_Matrix (2018)'!$P$2:$P$67,'Data_Matrix (2018)'!AV$2:AV$67)</f>
        <v>41.456283008665316</v>
      </c>
      <c r="AW20" s="9">
        <f>_xlfn.COVARIANCE.P('Data_Matrix (2018)'!$P$2:$P$67,'Data_Matrix (2018)'!AW$2:AW$67)</f>
        <v>179.2228143998328</v>
      </c>
      <c r="AX20" s="9">
        <f>_xlfn.COVARIANCE.P('Data_Matrix (2018)'!$P$2:$P$67,'Data_Matrix (2018)'!AX$2:AX$67)</f>
        <v>42.16539382816471</v>
      </c>
      <c r="AY20" s="9">
        <f>_xlfn.COVARIANCE.P('Data_Matrix (2018)'!$P$2:$P$67,'Data_Matrix (2018)'!AY$2:AY$67)</f>
        <v>20.790025633968124</v>
      </c>
      <c r="AZ20" s="9">
        <f>_xlfn.COVARIANCE.P('Data_Matrix (2018)'!$P$2:$P$67,'Data_Matrix (2018)'!AZ$2:AZ$67)</f>
        <v>47.360937231200253</v>
      </c>
      <c r="BA20" s="9">
        <f>_xlfn.COVARIANCE.P('Data_Matrix (2018)'!$P$2:$P$67,'Data_Matrix (2018)'!BA$2:BA$67)</f>
        <v>-3.3239418383628796</v>
      </c>
      <c r="BB20" s="9">
        <f>_xlfn.COVARIANCE.P('Data_Matrix (2018)'!$P$2:$P$67,'Data_Matrix (2018)'!BB$2:BB$67)</f>
        <v>11.919145534864459</v>
      </c>
      <c r="BC20" s="9">
        <f>_xlfn.COVARIANCE.P('Data_Matrix (2018)'!$P$2:$P$67,'Data_Matrix (2018)'!BC$2:BC$67)</f>
        <v>-6.7474731999760946</v>
      </c>
      <c r="BD20" s="9">
        <f>_xlfn.COVARIANCE.P('Data_Matrix (2018)'!$P$2:$P$67,'Data_Matrix (2018)'!BD$2:BD$67)</f>
        <v>-8.4133727365899968</v>
      </c>
      <c r="BE20" s="9">
        <f>_xlfn.COVARIANCE.P('Data_Matrix (2018)'!$P$2:$P$67,'Data_Matrix (2018)'!BE$2:BE$67)</f>
        <v>8.0806978356355472</v>
      </c>
      <c r="BF20" s="9">
        <f>_xlfn.COVARIANCE.P('Data_Matrix (2018)'!$P$2:$P$67,'Data_Matrix (2018)'!BF$2:BF$67)</f>
        <v>-0.45427244420495611</v>
      </c>
      <c r="BG20" s="9">
        <f>_xlfn.COVARIANCE.P('Data_Matrix (2018)'!$P$2:$P$67,'Data_Matrix (2018)'!BG$2:BG$67)</f>
        <v>-3.4448895445687591E-2</v>
      </c>
      <c r="BH20" s="9">
        <f>_xlfn.COVARIANCE.P('Data_Matrix (2018)'!$P$2:$P$67,'Data_Matrix (2018)'!BH$2:BH$67)</f>
        <v>-1.8529636023530787</v>
      </c>
      <c r="BI20" s="9">
        <f>_xlfn.COVARIANCE.P('Data_Matrix (2018)'!$P$2:$P$67,'Data_Matrix (2018)'!BI$2:BI$67)</f>
        <v>4.8774276986182669E-2</v>
      </c>
      <c r="BJ20" s="9">
        <f>_xlfn.COVARIANCE.P('Data_Matrix (2018)'!$P$2:$P$67,'Data_Matrix (2018)'!BJ$2:BJ$67)</f>
        <v>0.97294104007535487</v>
      </c>
      <c r="BK20" s="9">
        <f>_xlfn.COVARIANCE.P('Data_Matrix (2018)'!$P$2:$P$67,'Data_Matrix (2018)'!BK$2:BK$67)</f>
        <v>1.3475923942189088</v>
      </c>
      <c r="BL20" s="9">
        <f>_xlfn.COVARIANCE.P('Data_Matrix (2018)'!$P$2:$P$67,'Data_Matrix (2018)'!BL$2:BL$67)</f>
        <v>3.0475343653084092E-2</v>
      </c>
      <c r="BM20" s="9">
        <f>_xlfn.COVARIANCE.P('Data_Matrix (2018)'!$P$2:$P$67,'Data_Matrix (2018)'!BM$2:BM$67)</f>
        <v>-0.13665736233857129</v>
      </c>
      <c r="BN20" s="9">
        <f>_xlfn.COVARIANCE.P('Data_Matrix (2018)'!$P$2:$P$67,'Data_Matrix (2018)'!BN$2:BN$67)</f>
        <v>-4.8340154110770358E-3</v>
      </c>
      <c r="BO20" s="9">
        <f>_xlfn.COVARIANCE.P('Data_Matrix (2018)'!$P$2:$P$67,'Data_Matrix (2018)'!BO$2:BO$67)</f>
        <v>-2.7418193535092665E-2</v>
      </c>
    </row>
    <row r="21" spans="2:67" x14ac:dyDescent="0.2">
      <c r="B21" s="9">
        <f>_xlfn.COVARIANCE.P('Data_Matrix (2018)'!$Q$2:$Q$67,'Data_Matrix (2018)'!B$2:B$67)</f>
        <v>530480.06214748893</v>
      </c>
      <c r="C21" s="9">
        <f>_xlfn.COVARIANCE.P('Data_Matrix (2018)'!$Q$2:$Q$67,'Data_Matrix (2018)'!C$2:C$67)</f>
        <v>574466.75255595066</v>
      </c>
      <c r="D21" s="9">
        <f>_xlfn.COVARIANCE.P('Data_Matrix (2018)'!$Q$2:$Q$67,'Data_Matrix (2018)'!D$2:D$67)</f>
        <v>375538.13101247163</v>
      </c>
      <c r="E21" s="9">
        <f>_xlfn.COVARIANCE.P('Data_Matrix (2018)'!$Q$2:$Q$67,'Data_Matrix (2018)'!E$2:E$67)</f>
        <v>217552.41936626766</v>
      </c>
      <c r="F21" s="9">
        <f>_xlfn.COVARIANCE.P('Data_Matrix (2018)'!$Q$2:$Q$67,'Data_Matrix (2018)'!F$2:F$67)</f>
        <v>154832.02531264871</v>
      </c>
      <c r="G21" s="9">
        <f>_xlfn.COVARIANCE.P('Data_Matrix (2018)'!$Q$2:$Q$67,'Data_Matrix (2018)'!G$2:G$67)</f>
        <v>267708.21374792838</v>
      </c>
      <c r="H21" s="9">
        <f>_xlfn.COVARIANCE.P('Data_Matrix (2018)'!$Q$2:$Q$67,'Data_Matrix (2018)'!H$2:H$67)</f>
        <v>156320.18957454624</v>
      </c>
      <c r="I21" s="9">
        <f>_xlfn.COVARIANCE.P('Data_Matrix (2018)'!$Q$2:$Q$67,'Data_Matrix (2018)'!I$2:I$67)</f>
        <v>96951.308006147883</v>
      </c>
      <c r="J21" s="9">
        <f>_xlfn.COVARIANCE.P('Data_Matrix (2018)'!$Q$2:$Q$67,'Data_Matrix (2018)'!J$2:J$67)</f>
        <v>45662.381579557637</v>
      </c>
      <c r="K21" s="9">
        <f>_xlfn.COVARIANCE.P('Data_Matrix (2018)'!$Q$2:$Q$67,'Data_Matrix (2018)'!K$2:K$67)</f>
        <v>69627.823153321922</v>
      </c>
      <c r="L21" s="9">
        <f>_xlfn.COVARIANCE.P('Data_Matrix (2018)'!$Q$2:$Q$67,'Data_Matrix (2018)'!L$2:L$67)</f>
        <v>63852.367442509953</v>
      </c>
      <c r="M21" s="9">
        <f>_xlfn.COVARIANCE.P('Data_Matrix (2018)'!$Q$2:$Q$67,'Data_Matrix (2018)'!M$2:M$67)</f>
        <v>54751.141460502462</v>
      </c>
      <c r="N21" s="9">
        <f>_xlfn.COVARIANCE.P('Data_Matrix (2018)'!$Q$2:$Q$67,'Data_Matrix (2018)'!N$2:N$67)</f>
        <v>50588.963694290542</v>
      </c>
      <c r="O21" s="9">
        <f>_xlfn.COVARIANCE.P('Data_Matrix (2018)'!$Q$2:$Q$67,'Data_Matrix (2018)'!O$2:O$67)</f>
        <v>29465.860102290255</v>
      </c>
      <c r="P21" s="9">
        <f>_xlfn.COVARIANCE.P('Data_Matrix (2018)'!$Q$2:$Q$67,'Data_Matrix (2018)'!P$2:P$67)</f>
        <v>5263.1701636835542</v>
      </c>
      <c r="Q21" s="9">
        <f>_xlfn.COVARIANCE.P('Data_Matrix (2018)'!$Q$2:$Q$67,'Data_Matrix (2018)'!Q$2:Q$67)</f>
        <v>35149.513106147308</v>
      </c>
      <c r="R21" s="9">
        <f>_xlfn.COVARIANCE.P('Data_Matrix (2018)'!$Q$2:$Q$67,'Data_Matrix (2018)'!R$2:R$67)</f>
        <v>40708.005933416527</v>
      </c>
      <c r="S21" s="9">
        <f>_xlfn.COVARIANCE.P('Data_Matrix (2018)'!$Q$2:$Q$67,'Data_Matrix (2018)'!S$2:S$67)</f>
        <v>20693.923340266982</v>
      </c>
      <c r="T21" s="9">
        <f>_xlfn.COVARIANCE.P('Data_Matrix (2018)'!$Q$2:$Q$67,'Data_Matrix (2018)'!T$2:T$67)</f>
        <v>11904.157094059728</v>
      </c>
      <c r="U21" s="9">
        <f>_xlfn.COVARIANCE.P('Data_Matrix (2018)'!$Q$2:$Q$67,'Data_Matrix (2018)'!U$2:U$67)</f>
        <v>9005.9982582120556</v>
      </c>
      <c r="V21" s="9">
        <f>_xlfn.COVARIANCE.P('Data_Matrix (2018)'!$Q$2:$Q$67,'Data_Matrix (2018)'!V$2:V$67)</f>
        <v>4185.6830082959059</v>
      </c>
      <c r="W21" s="9">
        <f>_xlfn.COVARIANCE.P('Data_Matrix (2018)'!$Q$2:$Q$67,'Data_Matrix (2018)'!W$2:W$67)</f>
        <v>3690.0764815664588</v>
      </c>
      <c r="X21" s="9">
        <f>_xlfn.COVARIANCE.P('Data_Matrix (2018)'!$Q$2:$Q$67,'Data_Matrix (2018)'!X$2:X$67)</f>
        <v>4799.6195425698761</v>
      </c>
      <c r="Y21" s="9">
        <f>_xlfn.COVARIANCE.P('Data_Matrix (2018)'!$Q$2:$Q$67,'Data_Matrix (2018)'!Y$2:Y$67)</f>
        <v>5607.8677588634673</v>
      </c>
      <c r="Z21" s="9">
        <f>_xlfn.COVARIANCE.P('Data_Matrix (2018)'!$Q$2:$Q$67,'Data_Matrix (2018)'!Z$2:Z$67)</f>
        <v>4164.7606857689207</v>
      </c>
      <c r="AA21" s="9">
        <f>_xlfn.COVARIANCE.P('Data_Matrix (2018)'!$Q$2:$Q$67,'Data_Matrix (2018)'!AA$2:AA$67)</f>
        <v>2315.5423780395404</v>
      </c>
      <c r="AB21" s="9">
        <f>_xlfn.COVARIANCE.P('Data_Matrix (2018)'!$Q$2:$Q$67,'Data_Matrix (2018)'!AB$2:AB$67)</f>
        <v>576.36458423622184</v>
      </c>
      <c r="AC21" s="9">
        <f>_xlfn.COVARIANCE.P('Data_Matrix (2018)'!$Q$2:$Q$67,'Data_Matrix (2018)'!AC$2:AC$67)</f>
        <v>657.94390425664642</v>
      </c>
      <c r="AD21" s="9">
        <f>_xlfn.COVARIANCE.P('Data_Matrix (2018)'!$Q$2:$Q$67,'Data_Matrix (2018)'!AD$2:AD$67)</f>
        <v>918.31528548762753</v>
      </c>
      <c r="AE21" s="9">
        <f>_xlfn.COVARIANCE.P('Data_Matrix (2018)'!$Q$2:$Q$67,'Data_Matrix (2018)'!AE$2:AE$67)</f>
        <v>237.09204858732613</v>
      </c>
      <c r="AF21" s="9">
        <f>_xlfn.COVARIANCE.P('Data_Matrix (2018)'!$Q$2:$Q$67,'Data_Matrix (2018)'!AF$2:AF$67)</f>
        <v>501.47865511909561</v>
      </c>
      <c r="AG21" s="9">
        <f>_xlfn.COVARIANCE.P('Data_Matrix (2018)'!$Q$2:$Q$67,'Data_Matrix (2018)'!AG$2:AG$67)</f>
        <v>404.27632551059907</v>
      </c>
      <c r="AH21" s="9">
        <f>_xlfn.COVARIANCE.P('Data_Matrix (2018)'!$Q$2:$Q$67,'Data_Matrix (2018)'!AH$2:AH$67)</f>
        <v>79.897890176263985</v>
      </c>
      <c r="AI21" s="9">
        <f>_xlfn.COVARIANCE.P('Data_Matrix (2018)'!$Q$2:$Q$67,'Data_Matrix (2018)'!AI$2:AI$67)</f>
        <v>456.74288368767003</v>
      </c>
      <c r="AJ21" s="9">
        <f>_xlfn.COVARIANCE.P('Data_Matrix (2018)'!$Q$2:$Q$67,'Data_Matrix (2018)'!AJ$2:AJ$67)</f>
        <v>358.91040663437769</v>
      </c>
      <c r="AK21" s="9">
        <f>_xlfn.COVARIANCE.P('Data_Matrix (2018)'!$Q$2:$Q$67,'Data_Matrix (2018)'!AK$2:AK$67)</f>
        <v>268.61605865814539</v>
      </c>
      <c r="AL21" s="9">
        <f>_xlfn.COVARIANCE.P('Data_Matrix (2018)'!$Q$2:$Q$67,'Data_Matrix (2018)'!AL$2:AL$67)</f>
        <v>-613.47479940587982</v>
      </c>
      <c r="AM21" s="9">
        <f>_xlfn.COVARIANCE.P('Data_Matrix (2018)'!$Q$2:$Q$67,'Data_Matrix (2018)'!AM$2:AM$67)</f>
        <v>287.41758990176555</v>
      </c>
      <c r="AN21" s="9">
        <f>_xlfn.COVARIANCE.P('Data_Matrix (2018)'!$Q$2:$Q$67,'Data_Matrix (2018)'!AN$2:AN$67)</f>
        <v>97.824063813726198</v>
      </c>
      <c r="AO21" s="9">
        <f>_xlfn.COVARIANCE.P('Data_Matrix (2018)'!$Q$2:$Q$67,'Data_Matrix (2018)'!AO$2:AO$67)</f>
        <v>313.88611158227621</v>
      </c>
      <c r="AP21" s="9">
        <f>_xlfn.COVARIANCE.P('Data_Matrix (2018)'!$Q$2:$Q$67,'Data_Matrix (2018)'!AP$2:AP$67)</f>
        <v>616.56634993515274</v>
      </c>
      <c r="AQ21" s="9">
        <f>_xlfn.COVARIANCE.P('Data_Matrix (2018)'!$Q$2:$Q$67,'Data_Matrix (2018)'!AQ$2:AQ$67)</f>
        <v>243.59739589582111</v>
      </c>
      <c r="AR21" s="9">
        <f>_xlfn.COVARIANCE.P('Data_Matrix (2018)'!$Q$2:$Q$67,'Data_Matrix (2018)'!AR$2:AR$67)</f>
        <v>207.86377683843597</v>
      </c>
      <c r="AS21" s="9">
        <f>_xlfn.COVARIANCE.P('Data_Matrix (2018)'!$Q$2:$Q$67,'Data_Matrix (2018)'!AS$2:AS$67)</f>
        <v>77.28510724588952</v>
      </c>
      <c r="AT21" s="9">
        <f>_xlfn.COVARIANCE.P('Data_Matrix (2018)'!$Q$2:$Q$67,'Data_Matrix (2018)'!AT$2:AT$67)</f>
        <v>49.004158644898958</v>
      </c>
      <c r="AU21" s="9">
        <f>_xlfn.COVARIANCE.P('Data_Matrix (2018)'!$Q$2:$Q$67,'Data_Matrix (2018)'!AU$2:AU$67)</f>
        <v>-28.039431636606079</v>
      </c>
      <c r="AV21" s="9">
        <f>_xlfn.COVARIANCE.P('Data_Matrix (2018)'!$Q$2:$Q$67,'Data_Matrix (2018)'!AV$2:AV$67)</f>
        <v>100.40255251983858</v>
      </c>
      <c r="AW21" s="9">
        <f>_xlfn.COVARIANCE.P('Data_Matrix (2018)'!$Q$2:$Q$67,'Data_Matrix (2018)'!AW$2:AW$67)</f>
        <v>-37.967780190699806</v>
      </c>
      <c r="AX21" s="9">
        <f>_xlfn.COVARIANCE.P('Data_Matrix (2018)'!$Q$2:$Q$67,'Data_Matrix (2018)'!AX$2:AX$67)</f>
        <v>65.433085905800937</v>
      </c>
      <c r="AY21" s="9">
        <f>_xlfn.COVARIANCE.P('Data_Matrix (2018)'!$Q$2:$Q$67,'Data_Matrix (2018)'!AY$2:AY$67)</f>
        <v>41.661383131716626</v>
      </c>
      <c r="AZ21" s="9">
        <f>_xlfn.COVARIANCE.P('Data_Matrix (2018)'!$Q$2:$Q$67,'Data_Matrix (2018)'!AZ$2:AZ$67)</f>
        <v>80.747660143109698</v>
      </c>
      <c r="BA21" s="9">
        <f>_xlfn.COVARIANCE.P('Data_Matrix (2018)'!$Q$2:$Q$67,'Data_Matrix (2018)'!BA$2:BA$67)</f>
        <v>9.6473915283456115</v>
      </c>
      <c r="BB21" s="9">
        <f>_xlfn.COVARIANCE.P('Data_Matrix (2018)'!$Q$2:$Q$67,'Data_Matrix (2018)'!BB$2:BB$67)</f>
        <v>28.246662181099087</v>
      </c>
      <c r="BC21" s="9">
        <f>_xlfn.COVARIANCE.P('Data_Matrix (2018)'!$Q$2:$Q$67,'Data_Matrix (2018)'!BC$2:BC$67)</f>
        <v>13.446468886973342</v>
      </c>
      <c r="BD21" s="9">
        <f>_xlfn.COVARIANCE.P('Data_Matrix (2018)'!$Q$2:$Q$67,'Data_Matrix (2018)'!BD$2:BD$67)</f>
        <v>-2.1590748947818454</v>
      </c>
      <c r="BE21" s="9">
        <f>_xlfn.COVARIANCE.P('Data_Matrix (2018)'!$Q$2:$Q$67,'Data_Matrix (2018)'!BE$2:BE$67)</f>
        <v>9.6835794743577868</v>
      </c>
      <c r="BF21" s="9">
        <f>_xlfn.COVARIANCE.P('Data_Matrix (2018)'!$Q$2:$Q$67,'Data_Matrix (2018)'!BF$2:BF$67)</f>
        <v>-0.31098151441997091</v>
      </c>
      <c r="BG21" s="9">
        <f>_xlfn.COVARIANCE.P('Data_Matrix (2018)'!$Q$2:$Q$67,'Data_Matrix (2018)'!BG$2:BG$67)</f>
        <v>0.56370148744132476</v>
      </c>
      <c r="BH21" s="9">
        <f>_xlfn.COVARIANCE.P('Data_Matrix (2018)'!$Q$2:$Q$67,'Data_Matrix (2018)'!BH$2:BH$67)</f>
        <v>9.1123310910536812</v>
      </c>
      <c r="BI21" s="9">
        <f>_xlfn.COVARIANCE.P('Data_Matrix (2018)'!$Q$2:$Q$67,'Data_Matrix (2018)'!BI$2:BI$67)</f>
        <v>4.732208939806327</v>
      </c>
      <c r="BJ21" s="9">
        <f>_xlfn.COVARIANCE.P('Data_Matrix (2018)'!$Q$2:$Q$67,'Data_Matrix (2018)'!BJ$2:BJ$67)</f>
        <v>5.8266724635342895</v>
      </c>
      <c r="BK21" s="9">
        <f>_xlfn.COVARIANCE.P('Data_Matrix (2018)'!$Q$2:$Q$67,'Data_Matrix (2018)'!BK$2:BK$67)</f>
        <v>0.41055451577969215</v>
      </c>
      <c r="BL21" s="9">
        <f>_xlfn.COVARIANCE.P('Data_Matrix (2018)'!$Q$2:$Q$67,'Data_Matrix (2018)'!BL$2:BL$67)</f>
        <v>2.1225693316646428</v>
      </c>
      <c r="BM21" s="9">
        <f>_xlfn.COVARIANCE.P('Data_Matrix (2018)'!$Q$2:$Q$67,'Data_Matrix (2018)'!BM$2:BM$67)</f>
        <v>0.11863034633851599</v>
      </c>
      <c r="BN21" s="9">
        <f>_xlfn.COVARIANCE.P('Data_Matrix (2018)'!$Q$2:$Q$67,'Data_Matrix (2018)'!BN$2:BN$67)</f>
        <v>0.16979399843160184</v>
      </c>
      <c r="BO21" s="9">
        <f>_xlfn.COVARIANCE.P('Data_Matrix (2018)'!$Q$2:$Q$67,'Data_Matrix (2018)'!BO$2:BO$67)</f>
        <v>3.8189681896651012E-3</v>
      </c>
    </row>
    <row r="22" spans="2:67" x14ac:dyDescent="0.2">
      <c r="B22" s="9">
        <f>_xlfn.COVARIANCE.P('Data_Matrix (2018)'!$R$2:$R$67,'Data_Matrix (2018)'!B$2:B$67)</f>
        <v>589462.52578012564</v>
      </c>
      <c r="C22" s="9">
        <f>_xlfn.COVARIANCE.P('Data_Matrix (2018)'!$R$2:$R$67,'Data_Matrix (2018)'!C$2:C$67)</f>
        <v>721646.60921481939</v>
      </c>
      <c r="D22" s="9">
        <f>_xlfn.COVARIANCE.P('Data_Matrix (2018)'!$R$2:$R$67,'Data_Matrix (2018)'!D$2:D$67)</f>
        <v>451352.92899997433</v>
      </c>
      <c r="E22" s="9">
        <f>_xlfn.COVARIANCE.P('Data_Matrix (2018)'!$R$2:$R$67,'Data_Matrix (2018)'!E$2:E$67)</f>
        <v>237957.70144182025</v>
      </c>
      <c r="F22" s="9">
        <f>_xlfn.COVARIANCE.P('Data_Matrix (2018)'!$R$2:$R$67,'Data_Matrix (2018)'!F$2:F$67)</f>
        <v>161660.77161312918</v>
      </c>
      <c r="G22" s="9">
        <f>_xlfn.COVARIANCE.P('Data_Matrix (2018)'!$R$2:$R$67,'Data_Matrix (2018)'!G$2:G$67)</f>
        <v>321800.61572618375</v>
      </c>
      <c r="H22" s="9">
        <f>_xlfn.COVARIANCE.P('Data_Matrix (2018)'!$R$2:$R$67,'Data_Matrix (2018)'!H$2:H$67)</f>
        <v>176534.21081476944</v>
      </c>
      <c r="I22" s="9">
        <f>_xlfn.COVARIANCE.P('Data_Matrix (2018)'!$R$2:$R$67,'Data_Matrix (2018)'!I$2:I$67)</f>
        <v>100519.89550870845</v>
      </c>
      <c r="J22" s="9">
        <f>_xlfn.COVARIANCE.P('Data_Matrix (2018)'!$R$2:$R$67,'Data_Matrix (2018)'!J$2:J$67)</f>
        <v>46851.309155526251</v>
      </c>
      <c r="K22" s="9">
        <f>_xlfn.COVARIANCE.P('Data_Matrix (2018)'!$R$2:$R$67,'Data_Matrix (2018)'!K$2:K$67)</f>
        <v>79315.621652131013</v>
      </c>
      <c r="L22" s="9">
        <f>_xlfn.COVARIANCE.P('Data_Matrix (2018)'!$R$2:$R$67,'Data_Matrix (2018)'!L$2:L$67)</f>
        <v>82033.354811475176</v>
      </c>
      <c r="M22" s="9">
        <f>_xlfn.COVARIANCE.P('Data_Matrix (2018)'!$R$2:$R$67,'Data_Matrix (2018)'!M$2:M$67)</f>
        <v>63028.476672979945</v>
      </c>
      <c r="N22" s="9">
        <f>_xlfn.COVARIANCE.P('Data_Matrix (2018)'!$R$2:$R$67,'Data_Matrix (2018)'!N$2:N$67)</f>
        <v>62908.244009546463</v>
      </c>
      <c r="O22" s="9">
        <f>_xlfn.COVARIANCE.P('Data_Matrix (2018)'!$R$2:$R$67,'Data_Matrix (2018)'!O$2:O$67)</f>
        <v>37109.28865868428</v>
      </c>
      <c r="P22" s="9">
        <f>_xlfn.COVARIANCE.P('Data_Matrix (2018)'!$R$2:$R$67,'Data_Matrix (2018)'!P$2:P$67)</f>
        <v>4288.2662760484927</v>
      </c>
      <c r="Q22" s="9">
        <f>_xlfn.COVARIANCE.P('Data_Matrix (2018)'!$R$2:$R$67,'Data_Matrix (2018)'!Q$2:Q$67)</f>
        <v>40708.005933416527</v>
      </c>
      <c r="R22" s="9">
        <f>_xlfn.COVARIANCE.P('Data_Matrix (2018)'!$R$2:$R$67,'Data_Matrix (2018)'!R$2:R$67)</f>
        <v>57880.910057581037</v>
      </c>
      <c r="S22" s="9">
        <f>_xlfn.COVARIANCE.P('Data_Matrix (2018)'!$R$2:$R$67,'Data_Matrix (2018)'!S$2:S$67)</f>
        <v>23702.785318833456</v>
      </c>
      <c r="T22" s="9">
        <f>_xlfn.COVARIANCE.P('Data_Matrix (2018)'!$R$2:$R$67,'Data_Matrix (2018)'!T$2:T$67)</f>
        <v>14513.032319012855</v>
      </c>
      <c r="U22" s="9">
        <f>_xlfn.COVARIANCE.P('Data_Matrix (2018)'!$R$2:$R$67,'Data_Matrix (2018)'!U$2:U$67)</f>
        <v>11413.427966847976</v>
      </c>
      <c r="V22" s="9">
        <f>_xlfn.COVARIANCE.P('Data_Matrix (2018)'!$R$2:$R$67,'Data_Matrix (2018)'!V$2:V$67)</f>
        <v>5386.4139140261905</v>
      </c>
      <c r="W22" s="9">
        <f>_xlfn.COVARIANCE.P('Data_Matrix (2018)'!$R$2:$R$67,'Data_Matrix (2018)'!W$2:W$67)</f>
        <v>4905.8702633923867</v>
      </c>
      <c r="X22" s="9">
        <f>_xlfn.COVARIANCE.P('Data_Matrix (2018)'!$R$2:$R$67,'Data_Matrix (2018)'!X$2:X$67)</f>
        <v>4941.122464666737</v>
      </c>
      <c r="Y22" s="9">
        <f>_xlfn.COVARIANCE.P('Data_Matrix (2018)'!$R$2:$R$67,'Data_Matrix (2018)'!Y$2:Y$67)</f>
        <v>6181.6559628540363</v>
      </c>
      <c r="Z22" s="9">
        <f>_xlfn.COVARIANCE.P('Data_Matrix (2018)'!$R$2:$R$67,'Data_Matrix (2018)'!Z$2:Z$67)</f>
        <v>4911.2443452711923</v>
      </c>
      <c r="AA22" s="9">
        <f>_xlfn.COVARIANCE.P('Data_Matrix (2018)'!$R$2:$R$67,'Data_Matrix (2018)'!AA$2:AA$67)</f>
        <v>3151.9364154719678</v>
      </c>
      <c r="AB22" s="9">
        <f>_xlfn.COVARIANCE.P('Data_Matrix (2018)'!$R$2:$R$67,'Data_Matrix (2018)'!AB$2:AB$67)</f>
        <v>800.57721329309584</v>
      </c>
      <c r="AC22" s="9">
        <f>_xlfn.COVARIANCE.P('Data_Matrix (2018)'!$R$2:$R$67,'Data_Matrix (2018)'!AC$2:AC$67)</f>
        <v>657.36387745431284</v>
      </c>
      <c r="AD22" s="9">
        <f>_xlfn.COVARIANCE.P('Data_Matrix (2018)'!$R$2:$R$67,'Data_Matrix (2018)'!AD$2:AD$67)</f>
        <v>1253.9567997953395</v>
      </c>
      <c r="AE22" s="9">
        <f>_xlfn.COVARIANCE.P('Data_Matrix (2018)'!$R$2:$R$67,'Data_Matrix (2018)'!AE$2:AE$67)</f>
        <v>188.65954920561691</v>
      </c>
      <c r="AF22" s="9">
        <f>_xlfn.COVARIANCE.P('Data_Matrix (2018)'!$R$2:$R$67,'Data_Matrix (2018)'!AF$2:AF$67)</f>
        <v>592.10965940088056</v>
      </c>
      <c r="AG22" s="9">
        <f>_xlfn.COVARIANCE.P('Data_Matrix (2018)'!$R$2:$R$67,'Data_Matrix (2018)'!AG$2:AG$67)</f>
        <v>337.95775386712376</v>
      </c>
      <c r="AH22" s="9">
        <f>_xlfn.COVARIANCE.P('Data_Matrix (2018)'!$R$2:$R$67,'Data_Matrix (2018)'!AH$2:AH$67)</f>
        <v>-30.255022960508395</v>
      </c>
      <c r="AI22" s="9">
        <f>_xlfn.COVARIANCE.P('Data_Matrix (2018)'!$R$2:$R$67,'Data_Matrix (2018)'!AI$2:AI$67)</f>
        <v>599.1824051074185</v>
      </c>
      <c r="AJ22" s="9">
        <f>_xlfn.COVARIANCE.P('Data_Matrix (2018)'!$R$2:$R$67,'Data_Matrix (2018)'!AJ$2:AJ$67)</f>
        <v>445.81057835083607</v>
      </c>
      <c r="AK22" s="9">
        <f>_xlfn.COVARIANCE.P('Data_Matrix (2018)'!$R$2:$R$67,'Data_Matrix (2018)'!AK$2:AK$67)</f>
        <v>312.07432143349325</v>
      </c>
      <c r="AL22" s="9">
        <f>_xlfn.COVARIANCE.P('Data_Matrix (2018)'!$R$2:$R$67,'Data_Matrix (2018)'!AL$2:AL$67)</f>
        <v>-641.26682026868434</v>
      </c>
      <c r="AM22" s="9">
        <f>_xlfn.COVARIANCE.P('Data_Matrix (2018)'!$R$2:$R$67,'Data_Matrix (2018)'!AM$2:AM$67)</f>
        <v>262.21227366394459</v>
      </c>
      <c r="AN22" s="9">
        <f>_xlfn.COVARIANCE.P('Data_Matrix (2018)'!$R$2:$R$67,'Data_Matrix (2018)'!AN$2:AN$67)</f>
        <v>3.085741744711386</v>
      </c>
      <c r="AO22" s="9">
        <f>_xlfn.COVARIANCE.P('Data_Matrix (2018)'!$R$2:$R$67,'Data_Matrix (2018)'!AO$2:AO$67)</f>
        <v>361.27112692892121</v>
      </c>
      <c r="AP22" s="9">
        <f>_xlfn.COVARIANCE.P('Data_Matrix (2018)'!$R$2:$R$67,'Data_Matrix (2018)'!AP$2:AP$67)</f>
        <v>753.87362104733313</v>
      </c>
      <c r="AQ22" s="9">
        <f>_xlfn.COVARIANCE.P('Data_Matrix (2018)'!$R$2:$R$67,'Data_Matrix (2018)'!AQ$2:AQ$67)</f>
        <v>201.23921223044658</v>
      </c>
      <c r="AR22" s="9">
        <f>_xlfn.COVARIANCE.P('Data_Matrix (2018)'!$R$2:$R$67,'Data_Matrix (2018)'!AR$2:AR$67)</f>
        <v>251.48262726857232</v>
      </c>
      <c r="AS22" s="9">
        <f>_xlfn.COVARIANCE.P('Data_Matrix (2018)'!$R$2:$R$67,'Data_Matrix (2018)'!AS$2:AS$67)</f>
        <v>6.7781237179576843</v>
      </c>
      <c r="AT22" s="9">
        <f>_xlfn.COVARIANCE.P('Data_Matrix (2018)'!$R$2:$R$67,'Data_Matrix (2018)'!AT$2:AT$67)</f>
        <v>11.947358480847997</v>
      </c>
      <c r="AU22" s="9">
        <f>_xlfn.COVARIANCE.P('Data_Matrix (2018)'!$R$2:$R$67,'Data_Matrix (2018)'!AU$2:AU$67)</f>
        <v>-21.691147632920966</v>
      </c>
      <c r="AV22" s="9">
        <f>_xlfn.COVARIANCE.P('Data_Matrix (2018)'!$R$2:$R$67,'Data_Matrix (2018)'!AV$2:AV$67)</f>
        <v>87.793633468137472</v>
      </c>
      <c r="AW22" s="9">
        <f>_xlfn.COVARIANCE.P('Data_Matrix (2018)'!$R$2:$R$67,'Data_Matrix (2018)'!AW$2:AW$67)</f>
        <v>-18.443198625051977</v>
      </c>
      <c r="AX22" s="9">
        <f>_xlfn.COVARIANCE.P('Data_Matrix (2018)'!$R$2:$R$67,'Data_Matrix (2018)'!AX$2:AX$67)</f>
        <v>25.298663342891107</v>
      </c>
      <c r="AY22" s="9">
        <f>_xlfn.COVARIANCE.P('Data_Matrix (2018)'!$R$2:$R$67,'Data_Matrix (2018)'!AY$2:AY$67)</f>
        <v>55.174947945897564</v>
      </c>
      <c r="AZ22" s="9">
        <f>_xlfn.COVARIANCE.P('Data_Matrix (2018)'!$R$2:$R$67,'Data_Matrix (2018)'!AZ$2:AZ$67)</f>
        <v>73.531332720513774</v>
      </c>
      <c r="BA22" s="9">
        <f>_xlfn.COVARIANCE.P('Data_Matrix (2018)'!$R$2:$R$67,'Data_Matrix (2018)'!BA$2:BA$67)</f>
        <v>14.291825692680519</v>
      </c>
      <c r="BB22" s="9">
        <f>_xlfn.COVARIANCE.P('Data_Matrix (2018)'!$R$2:$R$67,'Data_Matrix (2018)'!BB$2:BB$67)</f>
        <v>37.119743635360699</v>
      </c>
      <c r="BC22" s="9">
        <f>_xlfn.COVARIANCE.P('Data_Matrix (2018)'!$R$2:$R$67,'Data_Matrix (2018)'!BC$2:BC$67)</f>
        <v>22.36623633310375</v>
      </c>
      <c r="BD22" s="9">
        <f>_xlfn.COVARIANCE.P('Data_Matrix (2018)'!$R$2:$R$67,'Data_Matrix (2018)'!BD$2:BD$67)</f>
        <v>-7.8623393462411455</v>
      </c>
      <c r="BE22" s="9">
        <f>_xlfn.COVARIANCE.P('Data_Matrix (2018)'!$R$2:$R$67,'Data_Matrix (2018)'!BE$2:BE$67)</f>
        <v>11.748714484145578</v>
      </c>
      <c r="BF22" s="9">
        <f>_xlfn.COVARIANCE.P('Data_Matrix (2018)'!$R$2:$R$67,'Data_Matrix (2018)'!BF$2:BF$67)</f>
        <v>0.61500423419516226</v>
      </c>
      <c r="BG22" s="9">
        <f>_xlfn.COVARIANCE.P('Data_Matrix (2018)'!$R$2:$R$67,'Data_Matrix (2018)'!BG$2:BG$67)</f>
        <v>0.18320619846462596</v>
      </c>
      <c r="BH22" s="9">
        <f>_xlfn.COVARIANCE.P('Data_Matrix (2018)'!$R$2:$R$67,'Data_Matrix (2018)'!BH$2:BH$67)</f>
        <v>12.19801135602191</v>
      </c>
      <c r="BI22" s="9">
        <f>_xlfn.COVARIANCE.P('Data_Matrix (2018)'!$R$2:$R$67,'Data_Matrix (2018)'!BI$2:BI$67)</f>
        <v>5.4837105610901018</v>
      </c>
      <c r="BJ22" s="9">
        <f>_xlfn.COVARIANCE.P('Data_Matrix (2018)'!$R$2:$R$67,'Data_Matrix (2018)'!BJ$2:BJ$67)</f>
        <v>5.934564475791988</v>
      </c>
      <c r="BK22" s="9">
        <f>_xlfn.COVARIANCE.P('Data_Matrix (2018)'!$R$2:$R$67,'Data_Matrix (2018)'!BK$2:BK$67)</f>
        <v>0.36459192337531887</v>
      </c>
      <c r="BL22" s="9">
        <f>_xlfn.COVARIANCE.P('Data_Matrix (2018)'!$R$2:$R$67,'Data_Matrix (2018)'!BL$2:BL$67)</f>
        <v>1.7136047529812986</v>
      </c>
      <c r="BM22" s="9">
        <f>_xlfn.COVARIANCE.P('Data_Matrix (2018)'!$R$2:$R$67,'Data_Matrix (2018)'!BM$2:BM$67)</f>
        <v>4.3206396041515181E-2</v>
      </c>
      <c r="BN22" s="9">
        <f>_xlfn.COVARIANCE.P('Data_Matrix (2018)'!$R$2:$R$67,'Data_Matrix (2018)'!BN$2:BN$67)</f>
        <v>-0.22601882207557006</v>
      </c>
      <c r="BO22" s="9">
        <f>_xlfn.COVARIANCE.P('Data_Matrix (2018)'!$R$2:$R$67,'Data_Matrix (2018)'!BO$2:BO$67)</f>
        <v>1.8807753058123529E-4</v>
      </c>
    </row>
    <row r="23" spans="2:67" x14ac:dyDescent="0.2">
      <c r="B23" s="9">
        <f>_xlfn.COVARIANCE.P('Data_Matrix (2018)'!$S$2:$S$67,'Data_Matrix (2018)'!B$2:B$67)</f>
        <v>291181.22292077832</v>
      </c>
      <c r="C23" s="9">
        <f>_xlfn.COVARIANCE.P('Data_Matrix (2018)'!$S$2:$S$67,'Data_Matrix (2018)'!C$2:C$67)</f>
        <v>381081.99390522484</v>
      </c>
      <c r="D23" s="9">
        <f>_xlfn.COVARIANCE.P('Data_Matrix (2018)'!$S$2:$S$67,'Data_Matrix (2018)'!D$2:D$67)</f>
        <v>260255.38647650424</v>
      </c>
      <c r="E23" s="9">
        <f>_xlfn.COVARIANCE.P('Data_Matrix (2018)'!$S$2:$S$67,'Data_Matrix (2018)'!E$2:E$67)</f>
        <v>169059.92469205227</v>
      </c>
      <c r="F23" s="9">
        <f>_xlfn.COVARIANCE.P('Data_Matrix (2018)'!$S$2:$S$67,'Data_Matrix (2018)'!F$2:F$67)</f>
        <v>106476.08784718224</v>
      </c>
      <c r="G23" s="9">
        <f>_xlfn.COVARIANCE.P('Data_Matrix (2018)'!$S$2:$S$67,'Data_Matrix (2018)'!G$2:G$67)</f>
        <v>190299.70238579161</v>
      </c>
      <c r="H23" s="9">
        <f>_xlfn.COVARIANCE.P('Data_Matrix (2018)'!$S$2:$S$67,'Data_Matrix (2018)'!H$2:H$67)</f>
        <v>106711.47387899073</v>
      </c>
      <c r="I23" s="9">
        <f>_xlfn.COVARIANCE.P('Data_Matrix (2018)'!$S$2:$S$67,'Data_Matrix (2018)'!I$2:I$67)</f>
        <v>75038.26059120179</v>
      </c>
      <c r="J23" s="9">
        <f>_xlfn.COVARIANCE.P('Data_Matrix (2018)'!$S$2:$S$67,'Data_Matrix (2018)'!J$2:J$67)</f>
        <v>35576.132416275272</v>
      </c>
      <c r="K23" s="9">
        <f>_xlfn.COVARIANCE.P('Data_Matrix (2018)'!$S$2:$S$67,'Data_Matrix (2018)'!K$2:K$67)</f>
        <v>42559.380986484357</v>
      </c>
      <c r="L23" s="9">
        <f>_xlfn.COVARIANCE.P('Data_Matrix (2018)'!$S$2:$S$67,'Data_Matrix (2018)'!L$2:L$67)</f>
        <v>41436.843941629166</v>
      </c>
      <c r="M23" s="9">
        <f>_xlfn.COVARIANCE.P('Data_Matrix (2018)'!$S$2:$S$67,'Data_Matrix (2018)'!M$2:M$67)</f>
        <v>43825.800605684184</v>
      </c>
      <c r="N23" s="9">
        <f>_xlfn.COVARIANCE.P('Data_Matrix (2018)'!$S$2:$S$67,'Data_Matrix (2018)'!N$2:N$67)</f>
        <v>34913.987319735534</v>
      </c>
      <c r="O23" s="9">
        <f>_xlfn.COVARIANCE.P('Data_Matrix (2018)'!$S$2:$S$67,'Data_Matrix (2018)'!O$2:O$67)</f>
        <v>18085.420102810429</v>
      </c>
      <c r="P23" s="9">
        <f>_xlfn.COVARIANCE.P('Data_Matrix (2018)'!$S$2:$S$67,'Data_Matrix (2018)'!P$2:P$67)</f>
        <v>2379.1703084094411</v>
      </c>
      <c r="Q23" s="9">
        <f>_xlfn.COVARIANCE.P('Data_Matrix (2018)'!$S$2:$S$67,'Data_Matrix (2018)'!Q$2:Q$67)</f>
        <v>20693.923340266982</v>
      </c>
      <c r="R23" s="9">
        <f>_xlfn.COVARIANCE.P('Data_Matrix (2018)'!$S$2:$S$67,'Data_Matrix (2018)'!R$2:R$67)</f>
        <v>23702.785318833456</v>
      </c>
      <c r="S23" s="9">
        <f>_xlfn.COVARIANCE.P('Data_Matrix (2018)'!$S$2:$S$67,'Data_Matrix (2018)'!S$2:S$67)</f>
        <v>17275.038784362208</v>
      </c>
      <c r="T23" s="9">
        <f>_xlfn.COVARIANCE.P('Data_Matrix (2018)'!$S$2:$S$67,'Data_Matrix (2018)'!T$2:T$67)</f>
        <v>7726.4233878957575</v>
      </c>
      <c r="U23" s="9">
        <f>_xlfn.COVARIANCE.P('Data_Matrix (2018)'!$S$2:$S$67,'Data_Matrix (2018)'!U$2:U$67)</f>
        <v>5416.2168572467708</v>
      </c>
      <c r="V23" s="9">
        <f>_xlfn.COVARIANCE.P('Data_Matrix (2018)'!$S$2:$S$67,'Data_Matrix (2018)'!V$2:V$67)</f>
        <v>1871.8123335551229</v>
      </c>
      <c r="W23" s="9">
        <f>_xlfn.COVARIANCE.P('Data_Matrix (2018)'!$S$2:$S$67,'Data_Matrix (2018)'!W$2:W$67)</f>
        <v>2510.4352815189995</v>
      </c>
      <c r="X23" s="9">
        <f>_xlfn.COVARIANCE.P('Data_Matrix (2018)'!$S$2:$S$67,'Data_Matrix (2018)'!X$2:X$67)</f>
        <v>3741.7724209179496</v>
      </c>
      <c r="Y23" s="9">
        <f>_xlfn.COVARIANCE.P('Data_Matrix (2018)'!$S$2:$S$67,'Data_Matrix (2018)'!Y$2:Y$67)</f>
        <v>3522.6916573971712</v>
      </c>
      <c r="Z23" s="9">
        <f>_xlfn.COVARIANCE.P('Data_Matrix (2018)'!$S$2:$S$67,'Data_Matrix (2018)'!Z$2:Z$67)</f>
        <v>2658.3347313163017</v>
      </c>
      <c r="AA23" s="9">
        <f>_xlfn.COVARIANCE.P('Data_Matrix (2018)'!$S$2:$S$67,'Data_Matrix (2018)'!AA$2:AA$67)</f>
        <v>2122.3907476318905</v>
      </c>
      <c r="AB23" s="9">
        <f>_xlfn.COVARIANCE.P('Data_Matrix (2018)'!$S$2:$S$67,'Data_Matrix (2018)'!AB$2:AB$67)</f>
        <v>432.79875430762968</v>
      </c>
      <c r="AC23" s="9">
        <f>_xlfn.COVARIANCE.P('Data_Matrix (2018)'!$S$2:$S$67,'Data_Matrix (2018)'!AC$2:AC$67)</f>
        <v>460.98119617495752</v>
      </c>
      <c r="AD23" s="9">
        <f>_xlfn.COVARIANCE.P('Data_Matrix (2018)'!$S$2:$S$67,'Data_Matrix (2018)'!AD$2:AD$67)</f>
        <v>659.04346000244811</v>
      </c>
      <c r="AE23" s="9">
        <f>_xlfn.COVARIANCE.P('Data_Matrix (2018)'!$S$2:$S$67,'Data_Matrix (2018)'!AE$2:AE$67)</f>
        <v>162.83332440717365</v>
      </c>
      <c r="AF23" s="9">
        <f>_xlfn.COVARIANCE.P('Data_Matrix (2018)'!$S$2:$S$67,'Data_Matrix (2018)'!AF$2:AF$67)</f>
        <v>346.96393489021551</v>
      </c>
      <c r="AG23" s="9">
        <f>_xlfn.COVARIANCE.P('Data_Matrix (2018)'!$S$2:$S$67,'Data_Matrix (2018)'!AG$2:AG$67)</f>
        <v>340.23040913010954</v>
      </c>
      <c r="AH23" s="9">
        <f>_xlfn.COVARIANCE.P('Data_Matrix (2018)'!$S$2:$S$67,'Data_Matrix (2018)'!AH$2:AH$67)</f>
        <v>18.175305591045522</v>
      </c>
      <c r="AI23" s="9">
        <f>_xlfn.COVARIANCE.P('Data_Matrix (2018)'!$S$2:$S$67,'Data_Matrix (2018)'!AI$2:AI$67)</f>
        <v>343.46334564763737</v>
      </c>
      <c r="AJ23" s="9">
        <f>_xlfn.COVARIANCE.P('Data_Matrix (2018)'!$S$2:$S$67,'Data_Matrix (2018)'!AJ$2:AJ$67)</f>
        <v>212.47900169243536</v>
      </c>
      <c r="AK23" s="9">
        <f>_xlfn.COVARIANCE.P('Data_Matrix (2018)'!$S$2:$S$67,'Data_Matrix (2018)'!AK$2:AK$67)</f>
        <v>181.67030090134423</v>
      </c>
      <c r="AL23" s="9">
        <f>_xlfn.COVARIANCE.P('Data_Matrix (2018)'!$S$2:$S$67,'Data_Matrix (2018)'!AL$2:AL$67)</f>
        <v>-563.12690616063867</v>
      </c>
      <c r="AM23" s="9">
        <f>_xlfn.COVARIANCE.P('Data_Matrix (2018)'!$S$2:$S$67,'Data_Matrix (2018)'!AM$2:AM$67)</f>
        <v>188.21947274335503</v>
      </c>
      <c r="AN23" s="9">
        <f>_xlfn.COVARIANCE.P('Data_Matrix (2018)'!$S$2:$S$67,'Data_Matrix (2018)'!AN$2:AN$67)</f>
        <v>52.368505985830858</v>
      </c>
      <c r="AO23" s="9">
        <f>_xlfn.COVARIANCE.P('Data_Matrix (2018)'!$S$2:$S$67,'Data_Matrix (2018)'!AO$2:AO$67)</f>
        <v>195.90308875216741</v>
      </c>
      <c r="AP23" s="9">
        <f>_xlfn.COVARIANCE.P('Data_Matrix (2018)'!$S$2:$S$67,'Data_Matrix (2018)'!AP$2:AP$67)</f>
        <v>350.4041267118975</v>
      </c>
      <c r="AQ23" s="9">
        <f>_xlfn.COVARIANCE.P('Data_Matrix (2018)'!$S$2:$S$67,'Data_Matrix (2018)'!AQ$2:AQ$67)</f>
        <v>179.51888260672058</v>
      </c>
      <c r="AR23" s="9">
        <f>_xlfn.COVARIANCE.P('Data_Matrix (2018)'!$S$2:$S$67,'Data_Matrix (2018)'!AR$2:AR$67)</f>
        <v>161.3248737132586</v>
      </c>
      <c r="AS23" s="9">
        <f>_xlfn.COVARIANCE.P('Data_Matrix (2018)'!$S$2:$S$67,'Data_Matrix (2018)'!AS$2:AS$67)</f>
        <v>15.426674361057028</v>
      </c>
      <c r="AT23" s="9">
        <f>_xlfn.COVARIANCE.P('Data_Matrix (2018)'!$S$2:$S$67,'Data_Matrix (2018)'!AT$2:AT$67)</f>
        <v>37.802604082217009</v>
      </c>
      <c r="AU23" s="9">
        <f>_xlfn.COVARIANCE.P('Data_Matrix (2018)'!$S$2:$S$67,'Data_Matrix (2018)'!AU$2:AU$67)</f>
        <v>-24.320344713987932</v>
      </c>
      <c r="AV23" s="9">
        <f>_xlfn.COVARIANCE.P('Data_Matrix (2018)'!$S$2:$S$67,'Data_Matrix (2018)'!AV$2:AV$67)</f>
        <v>72.488313823980263</v>
      </c>
      <c r="AW23" s="9">
        <f>_xlfn.COVARIANCE.P('Data_Matrix (2018)'!$S$2:$S$67,'Data_Matrix (2018)'!AW$2:AW$67)</f>
        <v>-34.491967879349595</v>
      </c>
      <c r="AX23" s="9">
        <f>_xlfn.COVARIANCE.P('Data_Matrix (2018)'!$S$2:$S$67,'Data_Matrix (2018)'!AX$2:AX$67)</f>
        <v>47.481594221972813</v>
      </c>
      <c r="AY23" s="9">
        <f>_xlfn.COVARIANCE.P('Data_Matrix (2018)'!$S$2:$S$67,'Data_Matrix (2018)'!AY$2:AY$67)</f>
        <v>38.341055151969272</v>
      </c>
      <c r="AZ23" s="9">
        <f>_xlfn.COVARIANCE.P('Data_Matrix (2018)'!$S$2:$S$67,'Data_Matrix (2018)'!AZ$2:AZ$67)</f>
        <v>57.660924224122887</v>
      </c>
      <c r="BA23" s="9">
        <f>_xlfn.COVARIANCE.P('Data_Matrix (2018)'!$S$2:$S$67,'Data_Matrix (2018)'!BA$2:BA$67)</f>
        <v>11.819996092892003</v>
      </c>
      <c r="BB23" s="9">
        <f>_xlfn.COVARIANCE.P('Data_Matrix (2018)'!$S$2:$S$67,'Data_Matrix (2018)'!BB$2:BB$67)</f>
        <v>16.435419531026064</v>
      </c>
      <c r="BC23" s="9">
        <f>_xlfn.COVARIANCE.P('Data_Matrix (2018)'!$S$2:$S$67,'Data_Matrix (2018)'!BC$2:BC$67)</f>
        <v>12.081310923984265</v>
      </c>
      <c r="BD23" s="9">
        <f>_xlfn.COVARIANCE.P('Data_Matrix (2018)'!$S$2:$S$67,'Data_Matrix (2018)'!BD$2:BD$67)</f>
        <v>-1.4887140748320626</v>
      </c>
      <c r="BE23" s="9">
        <f>_xlfn.COVARIANCE.P('Data_Matrix (2018)'!$S$2:$S$67,'Data_Matrix (2018)'!BE$2:BE$67)</f>
        <v>3.9860857745110536</v>
      </c>
      <c r="BF23" s="9">
        <f>_xlfn.COVARIANCE.P('Data_Matrix (2018)'!$S$2:$S$67,'Data_Matrix (2018)'!BF$2:BF$67)</f>
        <v>-0.17219708782363474</v>
      </c>
      <c r="BG23" s="9">
        <f>_xlfn.COVARIANCE.P('Data_Matrix (2018)'!$S$2:$S$67,'Data_Matrix (2018)'!BG$2:BG$67)</f>
        <v>0.63944751844004522</v>
      </c>
      <c r="BH23" s="9">
        <f>_xlfn.COVARIANCE.P('Data_Matrix (2018)'!$S$2:$S$67,'Data_Matrix (2018)'!BH$2:BH$67)</f>
        <v>8.0023168860669429</v>
      </c>
      <c r="BI23" s="9">
        <f>_xlfn.COVARIANCE.P('Data_Matrix (2018)'!$S$2:$S$67,'Data_Matrix (2018)'!BI$2:BI$67)</f>
        <v>3.5219550454220512</v>
      </c>
      <c r="BJ23" s="9">
        <f>_xlfn.COVARIANCE.P('Data_Matrix (2018)'!$S$2:$S$67,'Data_Matrix (2018)'!BJ$2:BJ$67)</f>
        <v>4.4187607134461997</v>
      </c>
      <c r="BK23" s="9">
        <f>_xlfn.COVARIANCE.P('Data_Matrix (2018)'!$S$2:$S$67,'Data_Matrix (2018)'!BK$2:BK$67)</f>
        <v>1.2558053082304323</v>
      </c>
      <c r="BL23" s="9">
        <f>_xlfn.COVARIANCE.P('Data_Matrix (2018)'!$S$2:$S$67,'Data_Matrix (2018)'!BL$2:BL$67)</f>
        <v>1.3236879110961299</v>
      </c>
      <c r="BM23" s="9">
        <f>_xlfn.COVARIANCE.P('Data_Matrix (2018)'!$S$2:$S$67,'Data_Matrix (2018)'!BM$2:BM$67)</f>
        <v>0.19967773552750007</v>
      </c>
      <c r="BN23" s="9">
        <f>_xlfn.COVARIANCE.P('Data_Matrix (2018)'!$S$2:$S$67,'Data_Matrix (2018)'!BN$2:BN$67)</f>
        <v>9.2533440555398194E-2</v>
      </c>
      <c r="BO23" s="9">
        <f>_xlfn.COVARIANCE.P('Data_Matrix (2018)'!$S$2:$S$67,'Data_Matrix (2018)'!BO$2:BO$67)</f>
        <v>1.8114173876888733E-2</v>
      </c>
    </row>
    <row r="24" spans="2:67" x14ac:dyDescent="0.2">
      <c r="B24" s="9">
        <f>_xlfn.COVARIANCE.P('Data_Matrix (2018)'!$T$2:$T$67,'Data_Matrix (2018)'!B$2:B$67)</f>
        <v>257515.87735182763</v>
      </c>
      <c r="C24" s="9">
        <f>_xlfn.COVARIANCE.P('Data_Matrix (2018)'!$T$2:$T$67,'Data_Matrix (2018)'!C$2:C$67)</f>
        <v>290113.39909977431</v>
      </c>
      <c r="D24" s="9">
        <f>_xlfn.COVARIANCE.P('Data_Matrix (2018)'!$T$2:$T$67,'Data_Matrix (2018)'!D$2:D$67)</f>
        <v>197787.48727426142</v>
      </c>
      <c r="E24" s="9">
        <f>_xlfn.COVARIANCE.P('Data_Matrix (2018)'!$T$2:$T$67,'Data_Matrix (2018)'!E$2:E$67)</f>
        <v>154363.60353031699</v>
      </c>
      <c r="F24" s="9">
        <f>_xlfn.COVARIANCE.P('Data_Matrix (2018)'!$T$2:$T$67,'Data_Matrix (2018)'!F$2:F$67)</f>
        <v>82071.448496403958</v>
      </c>
      <c r="G24" s="9">
        <f>_xlfn.COVARIANCE.P('Data_Matrix (2018)'!$T$2:$T$67,'Data_Matrix (2018)'!G$2:G$67)</f>
        <v>148445.95885255793</v>
      </c>
      <c r="H24" s="9">
        <f>_xlfn.COVARIANCE.P('Data_Matrix (2018)'!$T$2:$T$67,'Data_Matrix (2018)'!H$2:H$67)</f>
        <v>63140.490820312341</v>
      </c>
      <c r="I24" s="9">
        <f>_xlfn.COVARIANCE.P('Data_Matrix (2018)'!$T$2:$T$67,'Data_Matrix (2018)'!I$2:I$67)</f>
        <v>55564.884671480511</v>
      </c>
      <c r="J24" s="9">
        <f>_xlfn.COVARIANCE.P('Data_Matrix (2018)'!$T$2:$T$67,'Data_Matrix (2018)'!J$2:J$67)</f>
        <v>26327.628804047115</v>
      </c>
      <c r="K24" s="9">
        <f>_xlfn.COVARIANCE.P('Data_Matrix (2018)'!$T$2:$T$67,'Data_Matrix (2018)'!K$2:K$67)</f>
        <v>34755.47648919186</v>
      </c>
      <c r="L24" s="9">
        <f>_xlfn.COVARIANCE.P('Data_Matrix (2018)'!$T$2:$T$67,'Data_Matrix (2018)'!L$2:L$67)</f>
        <v>29113.823376977562</v>
      </c>
      <c r="M24" s="9">
        <f>_xlfn.COVARIANCE.P('Data_Matrix (2018)'!$T$2:$T$67,'Data_Matrix (2018)'!M$2:M$67)</f>
        <v>21191.702953026241</v>
      </c>
      <c r="N24" s="9">
        <f>_xlfn.COVARIANCE.P('Data_Matrix (2018)'!$T$2:$T$67,'Data_Matrix (2018)'!N$2:N$67)</f>
        <v>29671.036038726419</v>
      </c>
      <c r="O24" s="9">
        <f>_xlfn.COVARIANCE.P('Data_Matrix (2018)'!$T$2:$T$67,'Data_Matrix (2018)'!O$2:O$67)</f>
        <v>13697.99988469088</v>
      </c>
      <c r="P24" s="9">
        <f>_xlfn.COVARIANCE.P('Data_Matrix (2018)'!$T$2:$T$67,'Data_Matrix (2018)'!P$2:P$67)</f>
        <v>3298.069652809193</v>
      </c>
      <c r="Q24" s="9">
        <f>_xlfn.COVARIANCE.P('Data_Matrix (2018)'!$T$2:$T$67,'Data_Matrix (2018)'!Q$2:Q$67)</f>
        <v>11904.157094059728</v>
      </c>
      <c r="R24" s="9">
        <f>_xlfn.COVARIANCE.P('Data_Matrix (2018)'!$T$2:$T$67,'Data_Matrix (2018)'!R$2:R$67)</f>
        <v>14513.032319012855</v>
      </c>
      <c r="S24" s="9">
        <f>_xlfn.COVARIANCE.P('Data_Matrix (2018)'!$T$2:$T$67,'Data_Matrix (2018)'!S$2:S$67)</f>
        <v>7726.4233878957575</v>
      </c>
      <c r="T24" s="9">
        <f>_xlfn.COVARIANCE.P('Data_Matrix (2018)'!$T$2:$T$67,'Data_Matrix (2018)'!T$2:T$67)</f>
        <v>6530.6148205702766</v>
      </c>
      <c r="U24" s="9">
        <f>_xlfn.COVARIANCE.P('Data_Matrix (2018)'!$T$2:$T$67,'Data_Matrix (2018)'!U$2:U$67)</f>
        <v>3514.4101297040147</v>
      </c>
      <c r="V24" s="9">
        <f>_xlfn.COVARIANCE.P('Data_Matrix (2018)'!$T$2:$T$67,'Data_Matrix (2018)'!V$2:V$67)</f>
        <v>1964.8545624402334</v>
      </c>
      <c r="W24" s="9">
        <f>_xlfn.COVARIANCE.P('Data_Matrix (2018)'!$T$2:$T$67,'Data_Matrix (2018)'!W$2:W$67)</f>
        <v>2089.7396770685759</v>
      </c>
      <c r="X24" s="9">
        <f>_xlfn.COVARIANCE.P('Data_Matrix (2018)'!$T$2:$T$67,'Data_Matrix (2018)'!X$2:X$67)</f>
        <v>3379.0948610484029</v>
      </c>
      <c r="Y24" s="9">
        <f>_xlfn.COVARIANCE.P('Data_Matrix (2018)'!$T$2:$T$67,'Data_Matrix (2018)'!Y$2:Y$67)</f>
        <v>2576.525984045677</v>
      </c>
      <c r="Z24" s="9">
        <f>_xlfn.COVARIANCE.P('Data_Matrix (2018)'!$T$2:$T$67,'Data_Matrix (2018)'!Z$2:Z$67)</f>
        <v>1741.8303717490282</v>
      </c>
      <c r="AA24" s="9">
        <f>_xlfn.COVARIANCE.P('Data_Matrix (2018)'!$T$2:$T$67,'Data_Matrix (2018)'!AA$2:AA$67)</f>
        <v>1277.3548197100718</v>
      </c>
      <c r="AB24" s="9">
        <f>_xlfn.COVARIANCE.P('Data_Matrix (2018)'!$T$2:$T$67,'Data_Matrix (2018)'!AB$2:AB$67)</f>
        <v>303.76086987159368</v>
      </c>
      <c r="AC24" s="9">
        <f>_xlfn.COVARIANCE.P('Data_Matrix (2018)'!$T$2:$T$67,'Data_Matrix (2018)'!AC$2:AC$67)</f>
        <v>303.54621685788823</v>
      </c>
      <c r="AD24" s="9">
        <f>_xlfn.COVARIANCE.P('Data_Matrix (2018)'!$T$2:$T$67,'Data_Matrix (2018)'!AD$2:AD$67)</f>
        <v>459.5411751360183</v>
      </c>
      <c r="AE24" s="9">
        <f>_xlfn.COVARIANCE.P('Data_Matrix (2018)'!$T$2:$T$67,'Data_Matrix (2018)'!AE$2:AE$67)</f>
        <v>149.62700748925343</v>
      </c>
      <c r="AF24" s="9">
        <f>_xlfn.COVARIANCE.P('Data_Matrix (2018)'!$T$2:$T$67,'Data_Matrix (2018)'!AF$2:AF$67)</f>
        <v>324.67889014283344</v>
      </c>
      <c r="AG24" s="9">
        <f>_xlfn.COVARIANCE.P('Data_Matrix (2018)'!$T$2:$T$67,'Data_Matrix (2018)'!AG$2:AG$67)</f>
        <v>238.26323448392458</v>
      </c>
      <c r="AH24" s="9">
        <f>_xlfn.COVARIANCE.P('Data_Matrix (2018)'!$T$2:$T$67,'Data_Matrix (2018)'!AH$2:AH$67)</f>
        <v>99.82795566227712</v>
      </c>
      <c r="AI24" s="9">
        <f>_xlfn.COVARIANCE.P('Data_Matrix (2018)'!$T$2:$T$67,'Data_Matrix (2018)'!AI$2:AI$67)</f>
        <v>203.59908810015978</v>
      </c>
      <c r="AJ24" s="9">
        <f>_xlfn.COVARIANCE.P('Data_Matrix (2018)'!$T$2:$T$67,'Data_Matrix (2018)'!AJ$2:AJ$67)</f>
        <v>160.13629361552677</v>
      </c>
      <c r="AK24" s="9">
        <f>_xlfn.COVARIANCE.P('Data_Matrix (2018)'!$T$2:$T$67,'Data_Matrix (2018)'!AK$2:AK$67)</f>
        <v>61.610347498606089</v>
      </c>
      <c r="AL24" s="9">
        <f>_xlfn.COVARIANCE.P('Data_Matrix (2018)'!$T$2:$T$67,'Data_Matrix (2018)'!AL$2:AL$67)</f>
        <v>-259.34697506964909</v>
      </c>
      <c r="AM24" s="9">
        <f>_xlfn.COVARIANCE.P('Data_Matrix (2018)'!$T$2:$T$67,'Data_Matrix (2018)'!AM$2:AM$67)</f>
        <v>130.53197110332923</v>
      </c>
      <c r="AN24" s="9">
        <f>_xlfn.COVARIANCE.P('Data_Matrix (2018)'!$T$2:$T$67,'Data_Matrix (2018)'!AN$2:AN$67)</f>
        <v>68.755319208981902</v>
      </c>
      <c r="AO24" s="9">
        <f>_xlfn.COVARIANCE.P('Data_Matrix (2018)'!$T$2:$T$67,'Data_Matrix (2018)'!AO$2:AO$67)</f>
        <v>108.9024660034886</v>
      </c>
      <c r="AP24" s="9">
        <f>_xlfn.COVARIANCE.P('Data_Matrix (2018)'!$T$2:$T$67,'Data_Matrix (2018)'!AP$2:AP$67)</f>
        <v>235.77699282033868</v>
      </c>
      <c r="AQ24" s="9">
        <f>_xlfn.COVARIANCE.P('Data_Matrix (2018)'!$T$2:$T$67,'Data_Matrix (2018)'!AQ$2:AQ$67)</f>
        <v>83.008678107643505</v>
      </c>
      <c r="AR24" s="9">
        <f>_xlfn.COVARIANCE.P('Data_Matrix (2018)'!$T$2:$T$67,'Data_Matrix (2018)'!AR$2:AR$67)</f>
        <v>83.914180481902761</v>
      </c>
      <c r="AS24" s="9">
        <f>_xlfn.COVARIANCE.P('Data_Matrix (2018)'!$T$2:$T$67,'Data_Matrix (2018)'!AS$2:AS$67)</f>
        <v>27.038959177422225</v>
      </c>
      <c r="AT24" s="9">
        <f>_xlfn.COVARIANCE.P('Data_Matrix (2018)'!$T$2:$T$67,'Data_Matrix (2018)'!AT$2:AT$67)</f>
        <v>21.233789383627904</v>
      </c>
      <c r="AU24" s="9">
        <f>_xlfn.COVARIANCE.P('Data_Matrix (2018)'!$T$2:$T$67,'Data_Matrix (2018)'!AU$2:AU$67)</f>
        <v>-1.3085874958924302</v>
      </c>
      <c r="AV24" s="9">
        <f>_xlfn.COVARIANCE.P('Data_Matrix (2018)'!$T$2:$T$67,'Data_Matrix (2018)'!AV$2:AV$67)</f>
        <v>49.2303570725512</v>
      </c>
      <c r="AW24" s="9">
        <f>_xlfn.COVARIANCE.P('Data_Matrix (2018)'!$T$2:$T$67,'Data_Matrix (2018)'!AW$2:AW$67)</f>
        <v>-8.4382330556462097</v>
      </c>
      <c r="AX24" s="9">
        <f>_xlfn.COVARIANCE.P('Data_Matrix (2018)'!$T$2:$T$67,'Data_Matrix (2018)'!AX$2:AX$67)</f>
        <v>25.92039732015915</v>
      </c>
      <c r="AY24" s="9">
        <f>_xlfn.COVARIANCE.P('Data_Matrix (2018)'!$T$2:$T$67,'Data_Matrix (2018)'!AY$2:AY$67)</f>
        <v>28.202474002812249</v>
      </c>
      <c r="AZ24" s="9">
        <f>_xlfn.COVARIANCE.P('Data_Matrix (2018)'!$T$2:$T$67,'Data_Matrix (2018)'!AZ$2:AZ$67)</f>
        <v>30.309906875400504</v>
      </c>
      <c r="BA24" s="9">
        <f>_xlfn.COVARIANCE.P('Data_Matrix (2018)'!$T$2:$T$67,'Data_Matrix (2018)'!BA$2:BA$67)</f>
        <v>2.2966786456572699</v>
      </c>
      <c r="BB24" s="9">
        <f>_xlfn.COVARIANCE.P('Data_Matrix (2018)'!$T$2:$T$67,'Data_Matrix (2018)'!BB$2:BB$67)</f>
        <v>8.1387836029765275</v>
      </c>
      <c r="BC24" s="9">
        <f>_xlfn.COVARIANCE.P('Data_Matrix (2018)'!$T$2:$T$67,'Data_Matrix (2018)'!BC$2:BC$67)</f>
        <v>11.361959358112241</v>
      </c>
      <c r="BD24" s="9">
        <f>_xlfn.COVARIANCE.P('Data_Matrix (2018)'!$T$2:$T$67,'Data_Matrix (2018)'!BD$2:BD$67)</f>
        <v>-1.1394735744366631</v>
      </c>
      <c r="BE24" s="9">
        <f>_xlfn.COVARIANCE.P('Data_Matrix (2018)'!$T$2:$T$67,'Data_Matrix (2018)'!BE$2:BE$67)</f>
        <v>4.5501531059831919</v>
      </c>
      <c r="BF24" s="9">
        <f>_xlfn.COVARIANCE.P('Data_Matrix (2018)'!$T$2:$T$67,'Data_Matrix (2018)'!BF$2:BF$67)</f>
        <v>0.30771362975142602</v>
      </c>
      <c r="BG24" s="9">
        <f>_xlfn.COVARIANCE.P('Data_Matrix (2018)'!$T$2:$T$67,'Data_Matrix (2018)'!BG$2:BG$67)</f>
        <v>0.8613299393588455</v>
      </c>
      <c r="BH24" s="9">
        <f>_xlfn.COVARIANCE.P('Data_Matrix (2018)'!$T$2:$T$67,'Data_Matrix (2018)'!BH$2:BH$67)</f>
        <v>7.5913124110384533</v>
      </c>
      <c r="BI24" s="9">
        <f>_xlfn.COVARIANCE.P('Data_Matrix (2018)'!$T$2:$T$67,'Data_Matrix (2018)'!BI$2:BI$67)</f>
        <v>3.0778826277187292</v>
      </c>
      <c r="BJ24" s="9">
        <f>_xlfn.COVARIANCE.P('Data_Matrix (2018)'!$T$2:$T$67,'Data_Matrix (2018)'!BJ$2:BJ$67)</f>
        <v>2.9496298144255197</v>
      </c>
      <c r="BK24" s="9">
        <f>_xlfn.COVARIANCE.P('Data_Matrix (2018)'!$T$2:$T$67,'Data_Matrix (2018)'!BK$2:BK$67)</f>
        <v>0.53549872424917444</v>
      </c>
      <c r="BL24" s="9">
        <f>_xlfn.COVARIANCE.P('Data_Matrix (2018)'!$T$2:$T$67,'Data_Matrix (2018)'!BL$2:BL$67)</f>
        <v>1.1143795112685184</v>
      </c>
      <c r="BM24" s="9">
        <f>_xlfn.COVARIANCE.P('Data_Matrix (2018)'!$T$2:$T$67,'Data_Matrix (2018)'!BM$2:BM$67)</f>
        <v>0.23190037665755514</v>
      </c>
      <c r="BN24" s="9">
        <f>_xlfn.COVARIANCE.P('Data_Matrix (2018)'!$T$2:$T$67,'Data_Matrix (2018)'!BN$2:BN$67)</f>
        <v>-2.6643750620799087E-2</v>
      </c>
      <c r="BO24" s="9">
        <f>_xlfn.COVARIANCE.P('Data_Matrix (2018)'!$T$2:$T$67,'Data_Matrix (2018)'!BO$2:BO$67)</f>
        <v>1.3152350669980353E-2</v>
      </c>
    </row>
    <row r="25" spans="2:67" x14ac:dyDescent="0.2">
      <c r="B25" s="9">
        <f>_xlfn.COVARIANCE.P('Data_Matrix (2018)'!$U$2:$U$67,'Data_Matrix (2018)'!B$2:B$67)</f>
        <v>139844.29606177859</v>
      </c>
      <c r="C25" s="9">
        <f>_xlfn.COVARIANCE.P('Data_Matrix (2018)'!$U$2:$U$67,'Data_Matrix (2018)'!C$2:C$67)</f>
        <v>182566.23580089351</v>
      </c>
      <c r="D25" s="9">
        <f>_xlfn.COVARIANCE.P('Data_Matrix (2018)'!$U$2:$U$67,'Data_Matrix (2018)'!D$2:D$67)</f>
        <v>105128.21609710978</v>
      </c>
      <c r="E25" s="9">
        <f>_xlfn.COVARIANCE.P('Data_Matrix (2018)'!$U$2:$U$67,'Data_Matrix (2018)'!E$2:E$67)</f>
        <v>77235.052142147353</v>
      </c>
      <c r="F25" s="9">
        <f>_xlfn.COVARIANCE.P('Data_Matrix (2018)'!$U$2:$U$67,'Data_Matrix (2018)'!F$2:F$67)</f>
        <v>51864.62182774445</v>
      </c>
      <c r="G25" s="9">
        <f>_xlfn.COVARIANCE.P('Data_Matrix (2018)'!$U$2:$U$67,'Data_Matrix (2018)'!G$2:G$67)</f>
        <v>81536.671404843088</v>
      </c>
      <c r="H25" s="9">
        <f>_xlfn.COVARIANCE.P('Data_Matrix (2018)'!$U$2:$U$67,'Data_Matrix (2018)'!H$2:H$67)</f>
        <v>32174.095406420514</v>
      </c>
      <c r="I25" s="9">
        <f>_xlfn.COVARIANCE.P('Data_Matrix (2018)'!$U$2:$U$67,'Data_Matrix (2018)'!I$2:I$67)</f>
        <v>29643.010187563024</v>
      </c>
      <c r="J25" s="9">
        <f>_xlfn.COVARIANCE.P('Data_Matrix (2018)'!$U$2:$U$67,'Data_Matrix (2018)'!J$2:J$67)</f>
        <v>13662.303983374528</v>
      </c>
      <c r="K25" s="9">
        <f>_xlfn.COVARIANCE.P('Data_Matrix (2018)'!$U$2:$U$67,'Data_Matrix (2018)'!K$2:K$67)</f>
        <v>21549.722378158312</v>
      </c>
      <c r="L25" s="9">
        <f>_xlfn.COVARIANCE.P('Data_Matrix (2018)'!$U$2:$U$67,'Data_Matrix (2018)'!L$2:L$67)</f>
        <v>19896.303287859584</v>
      </c>
      <c r="M25" s="9">
        <f>_xlfn.COVARIANCE.P('Data_Matrix (2018)'!$U$2:$U$67,'Data_Matrix (2018)'!M$2:M$67)</f>
        <v>15346.617321764546</v>
      </c>
      <c r="N25" s="9">
        <f>_xlfn.COVARIANCE.P('Data_Matrix (2018)'!$U$2:$U$67,'Data_Matrix (2018)'!N$2:N$67)</f>
        <v>15529.789095339826</v>
      </c>
      <c r="O25" s="9">
        <f>_xlfn.COVARIANCE.P('Data_Matrix (2018)'!$U$2:$U$67,'Data_Matrix (2018)'!O$2:O$67)</f>
        <v>8757.6524823960153</v>
      </c>
      <c r="P25" s="9">
        <f>_xlfn.COVARIANCE.P('Data_Matrix (2018)'!$U$2:$U$67,'Data_Matrix (2018)'!P$2:P$67)</f>
        <v>2049.1281045717042</v>
      </c>
      <c r="Q25" s="9">
        <f>_xlfn.COVARIANCE.P('Data_Matrix (2018)'!$U$2:$U$67,'Data_Matrix (2018)'!Q$2:Q$67)</f>
        <v>9005.9982582120556</v>
      </c>
      <c r="R25" s="9">
        <f>_xlfn.COVARIANCE.P('Data_Matrix (2018)'!$U$2:$U$67,'Data_Matrix (2018)'!R$2:R$67)</f>
        <v>11413.427966847976</v>
      </c>
      <c r="S25" s="9">
        <f>_xlfn.COVARIANCE.P('Data_Matrix (2018)'!$U$2:$U$67,'Data_Matrix (2018)'!S$2:S$67)</f>
        <v>5416.2168572467708</v>
      </c>
      <c r="T25" s="9">
        <f>_xlfn.COVARIANCE.P('Data_Matrix (2018)'!$U$2:$U$67,'Data_Matrix (2018)'!T$2:T$67)</f>
        <v>3514.4101297040147</v>
      </c>
      <c r="U25" s="9">
        <f>_xlfn.COVARIANCE.P('Data_Matrix (2018)'!$U$2:$U$67,'Data_Matrix (2018)'!U$2:U$67)</f>
        <v>3243.8558752539639</v>
      </c>
      <c r="V25" s="9">
        <f>_xlfn.COVARIANCE.P('Data_Matrix (2018)'!$U$2:$U$67,'Data_Matrix (2018)'!V$2:V$67)</f>
        <v>2106.1458104629451</v>
      </c>
      <c r="W25" s="9">
        <f>_xlfn.COVARIANCE.P('Data_Matrix (2018)'!$U$2:$U$67,'Data_Matrix (2018)'!W$2:W$67)</f>
        <v>1198.7979061362448</v>
      </c>
      <c r="X25" s="9">
        <f>_xlfn.COVARIANCE.P('Data_Matrix (2018)'!$U$2:$U$67,'Data_Matrix (2018)'!X$2:X$67)</f>
        <v>1713.210998861867</v>
      </c>
      <c r="Y25" s="9">
        <f>_xlfn.COVARIANCE.P('Data_Matrix (2018)'!$U$2:$U$67,'Data_Matrix (2018)'!Y$2:Y$67)</f>
        <v>1657.4983117228487</v>
      </c>
      <c r="Z25" s="9">
        <f>_xlfn.COVARIANCE.P('Data_Matrix (2018)'!$U$2:$U$67,'Data_Matrix (2018)'!Z$2:Z$67)</f>
        <v>1223.8153419600887</v>
      </c>
      <c r="AA25" s="9">
        <f>_xlfn.COVARIANCE.P('Data_Matrix (2018)'!$U$2:$U$67,'Data_Matrix (2018)'!AA$2:AA$67)</f>
        <v>825.97355830260437</v>
      </c>
      <c r="AB25" s="9">
        <f>_xlfn.COVARIANCE.P('Data_Matrix (2018)'!$U$2:$U$67,'Data_Matrix (2018)'!AB$2:AB$67)</f>
        <v>182.76473845866653</v>
      </c>
      <c r="AC25" s="9">
        <f>_xlfn.COVARIANCE.P('Data_Matrix (2018)'!$U$2:$U$67,'Data_Matrix (2018)'!AC$2:AC$67)</f>
        <v>182.85309211767708</v>
      </c>
      <c r="AD25" s="9">
        <f>_xlfn.COVARIANCE.P('Data_Matrix (2018)'!$U$2:$U$67,'Data_Matrix (2018)'!AD$2:AD$67)</f>
        <v>271.17804436505884</v>
      </c>
      <c r="AE25" s="9">
        <f>_xlfn.COVARIANCE.P('Data_Matrix (2018)'!$U$2:$U$67,'Data_Matrix (2018)'!AE$2:AE$67)</f>
        <v>76.79688433607825</v>
      </c>
      <c r="AF25" s="9">
        <f>_xlfn.COVARIANCE.P('Data_Matrix (2018)'!$U$2:$U$67,'Data_Matrix (2018)'!AF$2:AF$67)</f>
        <v>144.73026632267545</v>
      </c>
      <c r="AG25" s="9">
        <f>_xlfn.COVARIANCE.P('Data_Matrix (2018)'!$U$2:$U$67,'Data_Matrix (2018)'!AG$2:AG$67)</f>
        <v>159.32223810330763</v>
      </c>
      <c r="AH25" s="9">
        <f>_xlfn.COVARIANCE.P('Data_Matrix (2018)'!$U$2:$U$67,'Data_Matrix (2018)'!AH$2:AH$67)</f>
        <v>-27.711522119699879</v>
      </c>
      <c r="AI25" s="9">
        <f>_xlfn.COVARIANCE.P('Data_Matrix (2018)'!$U$2:$U$67,'Data_Matrix (2018)'!AI$2:AI$67)</f>
        <v>139.08093139347972</v>
      </c>
      <c r="AJ25" s="9">
        <f>_xlfn.COVARIANCE.P('Data_Matrix (2018)'!$U$2:$U$67,'Data_Matrix (2018)'!AJ$2:AJ$67)</f>
        <v>101.03118591354414</v>
      </c>
      <c r="AK25" s="9">
        <f>_xlfn.COVARIANCE.P('Data_Matrix (2018)'!$U$2:$U$67,'Data_Matrix (2018)'!AK$2:AK$67)</f>
        <v>143.37439777391725</v>
      </c>
      <c r="AL25" s="9">
        <f>_xlfn.COVARIANCE.P('Data_Matrix (2018)'!$U$2:$U$67,'Data_Matrix (2018)'!AL$2:AL$67)</f>
        <v>-131.44513143085297</v>
      </c>
      <c r="AM25" s="9">
        <f>_xlfn.COVARIANCE.P('Data_Matrix (2018)'!$U$2:$U$67,'Data_Matrix (2018)'!AM$2:AM$67)</f>
        <v>50.948905917059655</v>
      </c>
      <c r="AN25" s="9">
        <f>_xlfn.COVARIANCE.P('Data_Matrix (2018)'!$U$2:$U$67,'Data_Matrix (2018)'!AN$2:AN$67)</f>
        <v>17.877901727546309</v>
      </c>
      <c r="AO25" s="9">
        <f>_xlfn.COVARIANCE.P('Data_Matrix (2018)'!$U$2:$U$67,'Data_Matrix (2018)'!AO$2:AO$67)</f>
        <v>108.71137469187316</v>
      </c>
      <c r="AP25" s="9">
        <f>_xlfn.COVARIANCE.P('Data_Matrix (2018)'!$U$2:$U$67,'Data_Matrix (2018)'!AP$2:AP$67)</f>
        <v>226.889836769939</v>
      </c>
      <c r="AQ25" s="9">
        <f>_xlfn.COVARIANCE.P('Data_Matrix (2018)'!$U$2:$U$67,'Data_Matrix (2018)'!AQ$2:AQ$67)</f>
        <v>76.269394464547517</v>
      </c>
      <c r="AR25" s="9">
        <f>_xlfn.COVARIANCE.P('Data_Matrix (2018)'!$U$2:$U$67,'Data_Matrix (2018)'!AR$2:AR$67)</f>
        <v>99.842382014289683</v>
      </c>
      <c r="AS25" s="9">
        <f>_xlfn.COVARIANCE.P('Data_Matrix (2018)'!$U$2:$U$67,'Data_Matrix (2018)'!AS$2:AS$67)</f>
        <v>19.063912242940219</v>
      </c>
      <c r="AT25" s="9">
        <f>_xlfn.COVARIANCE.P('Data_Matrix (2018)'!$U$2:$U$67,'Data_Matrix (2018)'!AT$2:AT$67)</f>
        <v>24.133301519119836</v>
      </c>
      <c r="AU25" s="9">
        <f>_xlfn.COVARIANCE.P('Data_Matrix (2018)'!$U$2:$U$67,'Data_Matrix (2018)'!AU$2:AU$67)</f>
        <v>2.3726005244054482</v>
      </c>
      <c r="AV25" s="9">
        <f>_xlfn.COVARIANCE.P('Data_Matrix (2018)'!$U$2:$U$67,'Data_Matrix (2018)'!AV$2:AV$67)</f>
        <v>37.227341763519824</v>
      </c>
      <c r="AW25" s="9">
        <f>_xlfn.COVARIANCE.P('Data_Matrix (2018)'!$U$2:$U$67,'Data_Matrix (2018)'!AW$2:AW$67)</f>
        <v>5.9169294750735455</v>
      </c>
      <c r="AX25" s="9">
        <f>_xlfn.COVARIANCE.P('Data_Matrix (2018)'!$U$2:$U$67,'Data_Matrix (2018)'!AX$2:AX$67)</f>
        <v>49.376298888941854</v>
      </c>
      <c r="AY25" s="9">
        <f>_xlfn.COVARIANCE.P('Data_Matrix (2018)'!$U$2:$U$67,'Data_Matrix (2018)'!AY$2:AY$67)</f>
        <v>18.681192615613227</v>
      </c>
      <c r="AZ25" s="9">
        <f>_xlfn.COVARIANCE.P('Data_Matrix (2018)'!$U$2:$U$67,'Data_Matrix (2018)'!AZ$2:AZ$67)</f>
        <v>47.801728601555858</v>
      </c>
      <c r="BA25" s="9">
        <f>_xlfn.COVARIANCE.P('Data_Matrix (2018)'!$U$2:$U$67,'Data_Matrix (2018)'!BA$2:BA$67)</f>
        <v>2.2836231476903071</v>
      </c>
      <c r="BB25" s="9">
        <f>_xlfn.COVARIANCE.P('Data_Matrix (2018)'!$U$2:$U$67,'Data_Matrix (2018)'!BB$2:BB$67)</f>
        <v>9.1634155979237732</v>
      </c>
      <c r="BC25" s="9">
        <f>_xlfn.COVARIANCE.P('Data_Matrix (2018)'!$U$2:$U$67,'Data_Matrix (2018)'!BC$2:BC$67)</f>
        <v>3.804256587264959</v>
      </c>
      <c r="BD25" s="9">
        <f>_xlfn.COVARIANCE.P('Data_Matrix (2018)'!$U$2:$U$67,'Data_Matrix (2018)'!BD$2:BD$67)</f>
        <v>3.7758905584850537</v>
      </c>
      <c r="BE25" s="9">
        <f>_xlfn.COVARIANCE.P('Data_Matrix (2018)'!$U$2:$U$67,'Data_Matrix (2018)'!BE$2:BE$67)</f>
        <v>4.1724005639461827</v>
      </c>
      <c r="BF25" s="9">
        <f>_xlfn.COVARIANCE.P('Data_Matrix (2018)'!$U$2:$U$67,'Data_Matrix (2018)'!BF$2:BF$67)</f>
        <v>2.6888187387839685E-2</v>
      </c>
      <c r="BG25" s="9">
        <f>_xlfn.COVARIANCE.P('Data_Matrix (2018)'!$U$2:$U$67,'Data_Matrix (2018)'!BG$2:BG$67)</f>
        <v>0.32747071554408264</v>
      </c>
      <c r="BH25" s="9">
        <f>_xlfn.COVARIANCE.P('Data_Matrix (2018)'!$U$2:$U$67,'Data_Matrix (2018)'!BH$2:BH$67)</f>
        <v>1.9514900480579442</v>
      </c>
      <c r="BI25" s="9">
        <f>_xlfn.COVARIANCE.P('Data_Matrix (2018)'!$U$2:$U$67,'Data_Matrix (2018)'!BI$2:BI$67)</f>
        <v>1.5817905697617098</v>
      </c>
      <c r="BJ25" s="9">
        <f>_xlfn.COVARIANCE.P('Data_Matrix (2018)'!$U$2:$U$67,'Data_Matrix (2018)'!BJ$2:BJ$67)</f>
        <v>1.2638762619490576</v>
      </c>
      <c r="BK25" s="9">
        <f>_xlfn.COVARIANCE.P('Data_Matrix (2018)'!$U$2:$U$67,'Data_Matrix (2018)'!BK$2:BK$67)</f>
        <v>0.51687476400769272</v>
      </c>
      <c r="BL25" s="9">
        <f>_xlfn.COVARIANCE.P('Data_Matrix (2018)'!$U$2:$U$67,'Data_Matrix (2018)'!BL$2:BL$67)</f>
        <v>0.34998171340928147</v>
      </c>
      <c r="BM25" s="9">
        <f>_xlfn.COVARIANCE.P('Data_Matrix (2018)'!$U$2:$U$67,'Data_Matrix (2018)'!BM$2:BM$67)</f>
        <v>0.10380877114725631</v>
      </c>
      <c r="BN25" s="9">
        <f>_xlfn.COVARIANCE.P('Data_Matrix (2018)'!$U$2:$U$67,'Data_Matrix (2018)'!BN$2:BN$67)</f>
        <v>-6.0301543197330054E-2</v>
      </c>
      <c r="BO25" s="9">
        <f>_xlfn.COVARIANCE.P('Data_Matrix (2018)'!$U$2:$U$67,'Data_Matrix (2018)'!BO$2:BO$67)</f>
        <v>1.2839267902286202E-2</v>
      </c>
    </row>
    <row r="26" spans="2:67" x14ac:dyDescent="0.2">
      <c r="B26" s="9">
        <f>_xlfn.COVARIANCE.P('Data_Matrix (2018)'!$V$2:$V$67,'Data_Matrix (2018)'!B$2:B$67)</f>
        <v>53293.158766081928</v>
      </c>
      <c r="C26" s="9">
        <f>_xlfn.COVARIANCE.P('Data_Matrix (2018)'!$V$2:$V$67,'Data_Matrix (2018)'!C$2:C$67)</f>
        <v>123075.96601239698</v>
      </c>
      <c r="D26" s="9">
        <f>_xlfn.COVARIANCE.P('Data_Matrix (2018)'!$V$2:$V$67,'Data_Matrix (2018)'!D$2:D$67)</f>
        <v>48776.985466037077</v>
      </c>
      <c r="E26" s="9">
        <f>_xlfn.COVARIANCE.P('Data_Matrix (2018)'!$V$2:$V$67,'Data_Matrix (2018)'!E$2:E$67)</f>
        <v>90209.204538937018</v>
      </c>
      <c r="F26" s="9">
        <f>_xlfn.COVARIANCE.P('Data_Matrix (2018)'!$V$2:$V$67,'Data_Matrix (2018)'!F$2:F$67)</f>
        <v>47523.139295490742</v>
      </c>
      <c r="G26" s="9">
        <f>_xlfn.COVARIANCE.P('Data_Matrix (2018)'!$V$2:$V$67,'Data_Matrix (2018)'!G$2:G$67)</f>
        <v>52469.898461708493</v>
      </c>
      <c r="H26" s="9">
        <f>_xlfn.COVARIANCE.P('Data_Matrix (2018)'!$V$2:$V$67,'Data_Matrix (2018)'!H$2:H$67)</f>
        <v>5534.4997970276099</v>
      </c>
      <c r="I26" s="9">
        <f>_xlfn.COVARIANCE.P('Data_Matrix (2018)'!$V$2:$V$67,'Data_Matrix (2018)'!I$2:I$67)</f>
        <v>16553.392064502314</v>
      </c>
      <c r="J26" s="9">
        <f>_xlfn.COVARIANCE.P('Data_Matrix (2018)'!$V$2:$V$67,'Data_Matrix (2018)'!J$2:J$67)</f>
        <v>14324.424716373353</v>
      </c>
      <c r="K26" s="9">
        <f>_xlfn.COVARIANCE.P('Data_Matrix (2018)'!$V$2:$V$67,'Data_Matrix (2018)'!K$2:K$67)</f>
        <v>18843.049657184369</v>
      </c>
      <c r="L26" s="9">
        <f>_xlfn.COVARIANCE.P('Data_Matrix (2018)'!$V$2:$V$67,'Data_Matrix (2018)'!L$2:L$67)</f>
        <v>13974.231094896053</v>
      </c>
      <c r="M26" s="9">
        <f>_xlfn.COVARIANCE.P('Data_Matrix (2018)'!$V$2:$V$67,'Data_Matrix (2018)'!M$2:M$67)</f>
        <v>7498.4521855474604</v>
      </c>
      <c r="N26" s="9">
        <f>_xlfn.COVARIANCE.P('Data_Matrix (2018)'!$V$2:$V$67,'Data_Matrix (2018)'!N$2:N$67)</f>
        <v>9821.5597689776332</v>
      </c>
      <c r="O26" s="9">
        <f>_xlfn.COVARIANCE.P('Data_Matrix (2018)'!$V$2:$V$67,'Data_Matrix (2018)'!O$2:O$67)</f>
        <v>6476.0452958516125</v>
      </c>
      <c r="P26" s="9">
        <f>_xlfn.COVARIANCE.P('Data_Matrix (2018)'!$V$2:$V$67,'Data_Matrix (2018)'!P$2:P$67)</f>
        <v>4858.0151129527803</v>
      </c>
      <c r="Q26" s="9">
        <f>_xlfn.COVARIANCE.P('Data_Matrix (2018)'!$V$2:$V$67,'Data_Matrix (2018)'!Q$2:Q$67)</f>
        <v>4185.6830082959059</v>
      </c>
      <c r="R26" s="9">
        <f>_xlfn.COVARIANCE.P('Data_Matrix (2018)'!$V$2:$V$67,'Data_Matrix (2018)'!R$2:R$67)</f>
        <v>5386.4139140261905</v>
      </c>
      <c r="S26" s="9">
        <f>_xlfn.COVARIANCE.P('Data_Matrix (2018)'!$V$2:$V$67,'Data_Matrix (2018)'!S$2:S$67)</f>
        <v>1871.8123335551229</v>
      </c>
      <c r="T26" s="9">
        <f>_xlfn.COVARIANCE.P('Data_Matrix (2018)'!$V$2:$V$67,'Data_Matrix (2018)'!T$2:T$67)</f>
        <v>1964.8545624402334</v>
      </c>
      <c r="U26" s="9">
        <f>_xlfn.COVARIANCE.P('Data_Matrix (2018)'!$V$2:$V$67,'Data_Matrix (2018)'!U$2:U$67)</f>
        <v>2106.1458104629451</v>
      </c>
      <c r="V26" s="9">
        <f>_xlfn.COVARIANCE.P('Data_Matrix (2018)'!$V$2:$V$67,'Data_Matrix (2018)'!V$2:V$67)</f>
        <v>4882.1600084134934</v>
      </c>
      <c r="W26" s="9">
        <f>_xlfn.COVARIANCE.P('Data_Matrix (2018)'!$V$2:$V$67,'Data_Matrix (2018)'!W$2:W$67)</f>
        <v>999.40485116167554</v>
      </c>
      <c r="X26" s="9">
        <f>_xlfn.COVARIANCE.P('Data_Matrix (2018)'!$V$2:$V$67,'Data_Matrix (2018)'!X$2:X$67)</f>
        <v>1314.7834510032569</v>
      </c>
      <c r="Y26" s="9">
        <f>_xlfn.COVARIANCE.P('Data_Matrix (2018)'!$V$2:$V$67,'Data_Matrix (2018)'!Y$2:Y$67)</f>
        <v>1405.1235736895633</v>
      </c>
      <c r="Z26" s="9">
        <f>_xlfn.COVARIANCE.P('Data_Matrix (2018)'!$V$2:$V$67,'Data_Matrix (2018)'!Z$2:Z$67)</f>
        <v>700.37638093844737</v>
      </c>
      <c r="AA26" s="9">
        <f>_xlfn.COVARIANCE.P('Data_Matrix (2018)'!$V$2:$V$67,'Data_Matrix (2018)'!AA$2:AA$67)</f>
        <v>360.5804559361045</v>
      </c>
      <c r="AB26" s="9">
        <f>_xlfn.COVARIANCE.P('Data_Matrix (2018)'!$V$2:$V$67,'Data_Matrix (2018)'!AB$2:AB$67)</f>
        <v>112.10861431029639</v>
      </c>
      <c r="AC26" s="9">
        <f>_xlfn.COVARIANCE.P('Data_Matrix (2018)'!$V$2:$V$67,'Data_Matrix (2018)'!AC$2:AC$67)</f>
        <v>123.58740156971514</v>
      </c>
      <c r="AD26" s="9">
        <f>_xlfn.COVARIANCE.P('Data_Matrix (2018)'!$V$2:$V$67,'Data_Matrix (2018)'!AD$2:AD$67)</f>
        <v>75.949562604592643</v>
      </c>
      <c r="AE26" s="9">
        <f>_xlfn.COVARIANCE.P('Data_Matrix (2018)'!$V$2:$V$67,'Data_Matrix (2018)'!AE$2:AE$67)</f>
        <v>78.472833311593249</v>
      </c>
      <c r="AF26" s="9">
        <f>_xlfn.COVARIANCE.P('Data_Matrix (2018)'!$V$2:$V$67,'Data_Matrix (2018)'!AF$2:AF$67)</f>
        <v>77.220874778426449</v>
      </c>
      <c r="AG26" s="9">
        <f>_xlfn.COVARIANCE.P('Data_Matrix (2018)'!$V$2:$V$67,'Data_Matrix (2018)'!AG$2:AG$67)</f>
        <v>78.350611084793996</v>
      </c>
      <c r="AH26" s="9">
        <f>_xlfn.COVARIANCE.P('Data_Matrix (2018)'!$V$2:$V$67,'Data_Matrix (2018)'!AH$2:AH$67)</f>
        <v>21.893210043044775</v>
      </c>
      <c r="AI26" s="9">
        <f>_xlfn.COVARIANCE.P('Data_Matrix (2018)'!$V$2:$V$67,'Data_Matrix (2018)'!AI$2:AI$67)</f>
        <v>67.949098662326762</v>
      </c>
      <c r="AJ26" s="9">
        <f>_xlfn.COVARIANCE.P('Data_Matrix (2018)'!$V$2:$V$67,'Data_Matrix (2018)'!AJ$2:AJ$67)</f>
        <v>53.726898170970287</v>
      </c>
      <c r="AK26" s="9">
        <f>_xlfn.COVARIANCE.P('Data_Matrix (2018)'!$V$2:$V$67,'Data_Matrix (2018)'!AK$2:AK$67)</f>
        <v>159.63075154592121</v>
      </c>
      <c r="AL26" s="9">
        <f>_xlfn.COVARIANCE.P('Data_Matrix (2018)'!$V$2:$V$67,'Data_Matrix (2018)'!AL$2:AL$67)</f>
        <v>348.99743156686111</v>
      </c>
      <c r="AM26" s="9">
        <f>_xlfn.COVARIANCE.P('Data_Matrix (2018)'!$V$2:$V$67,'Data_Matrix (2018)'!AM$2:AM$67)</f>
        <v>41.036245568759576</v>
      </c>
      <c r="AN26" s="9">
        <f>_xlfn.COVARIANCE.P('Data_Matrix (2018)'!$V$2:$V$67,'Data_Matrix (2018)'!AN$2:AN$67)</f>
        <v>-12.468845276531166</v>
      </c>
      <c r="AO26" s="9">
        <f>_xlfn.COVARIANCE.P('Data_Matrix (2018)'!$V$2:$V$67,'Data_Matrix (2018)'!AO$2:AO$67)</f>
        <v>116.48627956783714</v>
      </c>
      <c r="AP26" s="9">
        <f>_xlfn.COVARIANCE.P('Data_Matrix (2018)'!$V$2:$V$67,'Data_Matrix (2018)'!AP$2:AP$67)</f>
        <v>263.6408303044044</v>
      </c>
      <c r="AQ26" s="9">
        <f>_xlfn.COVARIANCE.P('Data_Matrix (2018)'!$V$2:$V$67,'Data_Matrix (2018)'!AQ$2:AQ$67)</f>
        <v>49.346864701754797</v>
      </c>
      <c r="AR26" s="9">
        <f>_xlfn.COVARIANCE.P('Data_Matrix (2018)'!$V$2:$V$67,'Data_Matrix (2018)'!AR$2:AR$67)</f>
        <v>111.97689678084924</v>
      </c>
      <c r="AS26" s="9">
        <f>_xlfn.COVARIANCE.P('Data_Matrix (2018)'!$V$2:$V$67,'Data_Matrix (2018)'!AS$2:AS$67)</f>
        <v>70.952214974964306</v>
      </c>
      <c r="AT26" s="9">
        <f>_xlfn.COVARIANCE.P('Data_Matrix (2018)'!$V$2:$V$67,'Data_Matrix (2018)'!AT$2:AT$67)</f>
        <v>13.000403124009365</v>
      </c>
      <c r="AU26" s="9">
        <f>_xlfn.COVARIANCE.P('Data_Matrix (2018)'!$V$2:$V$67,'Data_Matrix (2018)'!AU$2:AU$67)</f>
        <v>20.416176972470158</v>
      </c>
      <c r="AV26" s="9">
        <f>_xlfn.COVARIANCE.P('Data_Matrix (2018)'!$V$2:$V$67,'Data_Matrix (2018)'!AV$2:AV$67)</f>
        <v>23.224240748164448</v>
      </c>
      <c r="AW26" s="9">
        <f>_xlfn.COVARIANCE.P('Data_Matrix (2018)'!$V$2:$V$67,'Data_Matrix (2018)'!AW$2:AW$67)</f>
        <v>42.844531713779517</v>
      </c>
      <c r="AX26" s="9">
        <f>_xlfn.COVARIANCE.P('Data_Matrix (2018)'!$V$2:$V$67,'Data_Matrix (2018)'!AX$2:AX$67)</f>
        <v>25.84764021725228</v>
      </c>
      <c r="AY26" s="9">
        <f>_xlfn.COVARIANCE.P('Data_Matrix (2018)'!$V$2:$V$67,'Data_Matrix (2018)'!AY$2:AY$67)</f>
        <v>15.312890351924423</v>
      </c>
      <c r="AZ26" s="9">
        <f>_xlfn.COVARIANCE.P('Data_Matrix (2018)'!$V$2:$V$67,'Data_Matrix (2018)'!AZ$2:AZ$67)</f>
        <v>56.804326252863255</v>
      </c>
      <c r="BA26" s="9">
        <f>_xlfn.COVARIANCE.P('Data_Matrix (2018)'!$V$2:$V$67,'Data_Matrix (2018)'!BA$2:BA$67)</f>
        <v>-0.48148104649927054</v>
      </c>
      <c r="BB26" s="9">
        <f>_xlfn.COVARIANCE.P('Data_Matrix (2018)'!$V$2:$V$67,'Data_Matrix (2018)'!BB$2:BB$67)</f>
        <v>17.181484726065204</v>
      </c>
      <c r="BC26" s="9">
        <f>_xlfn.COVARIANCE.P('Data_Matrix (2018)'!$V$2:$V$67,'Data_Matrix (2018)'!BC$2:BC$67)</f>
        <v>-0.97658408991203882</v>
      </c>
      <c r="BD26" s="9">
        <f>_xlfn.COVARIANCE.P('Data_Matrix (2018)'!$V$2:$V$67,'Data_Matrix (2018)'!BD$2:BD$67)</f>
        <v>1.4507833664434755</v>
      </c>
      <c r="BE26" s="9">
        <f>_xlfn.COVARIANCE.P('Data_Matrix (2018)'!$V$2:$V$67,'Data_Matrix (2018)'!BE$2:BE$67)</f>
        <v>6.2041958345215313</v>
      </c>
      <c r="BF26" s="9">
        <f>_xlfn.COVARIANCE.P('Data_Matrix (2018)'!$V$2:$V$67,'Data_Matrix (2018)'!BF$2:BF$67)</f>
        <v>-0.11739038518231704</v>
      </c>
      <c r="BG26" s="9">
        <f>_xlfn.COVARIANCE.P('Data_Matrix (2018)'!$V$2:$V$67,'Data_Matrix (2018)'!BG$2:BG$67)</f>
        <v>-0.21097856916095301</v>
      </c>
      <c r="BH26" s="9">
        <f>_xlfn.COVARIANCE.P('Data_Matrix (2018)'!$V$2:$V$67,'Data_Matrix (2018)'!BH$2:BH$67)</f>
        <v>-1.6225784169805997</v>
      </c>
      <c r="BI26" s="9">
        <f>_xlfn.COVARIANCE.P('Data_Matrix (2018)'!$V$2:$V$67,'Data_Matrix (2018)'!BI$2:BI$67)</f>
        <v>0.4902711894268923</v>
      </c>
      <c r="BJ26" s="9">
        <f>_xlfn.COVARIANCE.P('Data_Matrix (2018)'!$V$2:$V$67,'Data_Matrix (2018)'!BJ$2:BJ$67)</f>
        <v>-0.34994708716157358</v>
      </c>
      <c r="BK26" s="9">
        <f>_xlfn.COVARIANCE.P('Data_Matrix (2018)'!$V$2:$V$67,'Data_Matrix (2018)'!BK$2:BK$67)</f>
        <v>0.32983140619508633</v>
      </c>
      <c r="BL26" s="9">
        <f>_xlfn.COVARIANCE.P('Data_Matrix (2018)'!$V$2:$V$67,'Data_Matrix (2018)'!BL$2:BL$67)</f>
        <v>-1.0524210523665902</v>
      </c>
      <c r="BM26" s="9">
        <f>_xlfn.COVARIANCE.P('Data_Matrix (2018)'!$V$2:$V$67,'Data_Matrix (2018)'!BM$2:BM$67)</f>
        <v>-4.8955336353671455E-2</v>
      </c>
      <c r="BN26" s="9">
        <f>_xlfn.COVARIANCE.P('Data_Matrix (2018)'!$V$2:$V$67,'Data_Matrix (2018)'!BN$2:BN$67)</f>
        <v>-0.110458443456793</v>
      </c>
      <c r="BO26" s="9">
        <f>_xlfn.COVARIANCE.P('Data_Matrix (2018)'!$V$2:$V$67,'Data_Matrix (2018)'!BO$2:BO$67)</f>
        <v>-6.2185589879211111E-3</v>
      </c>
    </row>
    <row r="27" spans="2:67" x14ac:dyDescent="0.2">
      <c r="B27" s="9">
        <f>_xlfn.COVARIANCE.P('Data_Matrix (2018)'!$W$2:$W$67,'Data_Matrix (2018)'!B$2:B$67)</f>
        <v>76385.856146471051</v>
      </c>
      <c r="C27" s="9">
        <f>_xlfn.COVARIANCE.P('Data_Matrix (2018)'!$W$2:$W$67,'Data_Matrix (2018)'!C$2:C$67)</f>
        <v>99528.389441475825</v>
      </c>
      <c r="D27" s="9">
        <f>_xlfn.COVARIANCE.P('Data_Matrix (2018)'!$W$2:$W$67,'Data_Matrix (2018)'!D$2:D$67)</f>
        <v>61488.3419478125</v>
      </c>
      <c r="E27" s="9">
        <f>_xlfn.COVARIANCE.P('Data_Matrix (2018)'!$W$2:$W$67,'Data_Matrix (2018)'!E$2:E$67)</f>
        <v>58176.524913786496</v>
      </c>
      <c r="F27" s="9">
        <f>_xlfn.COVARIANCE.P('Data_Matrix (2018)'!$W$2:$W$67,'Data_Matrix (2018)'!F$2:F$67)</f>
        <v>31667.261588454607</v>
      </c>
      <c r="G27" s="9">
        <f>_xlfn.COVARIANCE.P('Data_Matrix (2018)'!$W$2:$W$67,'Data_Matrix (2018)'!G$2:G$67)</f>
        <v>49940.249633977197</v>
      </c>
      <c r="H27" s="9">
        <f>_xlfn.COVARIANCE.P('Data_Matrix (2018)'!$W$2:$W$67,'Data_Matrix (2018)'!H$2:H$67)</f>
        <v>17805.308356832924</v>
      </c>
      <c r="I27" s="9">
        <f>_xlfn.COVARIANCE.P('Data_Matrix (2018)'!$W$2:$W$67,'Data_Matrix (2018)'!I$2:I$67)</f>
        <v>16284.186354662723</v>
      </c>
      <c r="J27" s="9">
        <f>_xlfn.COVARIANCE.P('Data_Matrix (2018)'!$W$2:$W$67,'Data_Matrix (2018)'!J$2:J$67)</f>
        <v>9539.3263228289998</v>
      </c>
      <c r="K27" s="9">
        <f>_xlfn.COVARIANCE.P('Data_Matrix (2018)'!$W$2:$W$67,'Data_Matrix (2018)'!K$2:K$67)</f>
        <v>13157.962825646922</v>
      </c>
      <c r="L27" s="9">
        <f>_xlfn.COVARIANCE.P('Data_Matrix (2018)'!$W$2:$W$67,'Data_Matrix (2018)'!L$2:L$67)</f>
        <v>10932.131261266801</v>
      </c>
      <c r="M27" s="9">
        <f>_xlfn.COVARIANCE.P('Data_Matrix (2018)'!$W$2:$W$67,'Data_Matrix (2018)'!M$2:M$67)</f>
        <v>7370.3217573355842</v>
      </c>
      <c r="N27" s="9">
        <f>_xlfn.COVARIANCE.P('Data_Matrix (2018)'!$W$2:$W$67,'Data_Matrix (2018)'!N$2:N$67)</f>
        <v>10591.496871949035</v>
      </c>
      <c r="O27" s="9">
        <f>_xlfn.COVARIANCE.P('Data_Matrix (2018)'!$W$2:$W$67,'Data_Matrix (2018)'!O$2:O$67)</f>
        <v>5032.9399005904161</v>
      </c>
      <c r="P27" s="9">
        <f>_xlfn.COVARIANCE.P('Data_Matrix (2018)'!$W$2:$W$67,'Data_Matrix (2018)'!P$2:P$67)</f>
        <v>1500.3925167209386</v>
      </c>
      <c r="Q27" s="9">
        <f>_xlfn.COVARIANCE.P('Data_Matrix (2018)'!$W$2:$W$67,'Data_Matrix (2018)'!Q$2:Q$67)</f>
        <v>3690.0764815664588</v>
      </c>
      <c r="R27" s="9">
        <f>_xlfn.COVARIANCE.P('Data_Matrix (2018)'!$W$2:$W$67,'Data_Matrix (2018)'!R$2:R$67)</f>
        <v>4905.8702633923867</v>
      </c>
      <c r="S27" s="9">
        <f>_xlfn.COVARIANCE.P('Data_Matrix (2018)'!$W$2:$W$67,'Data_Matrix (2018)'!S$2:S$67)</f>
        <v>2510.4352815189995</v>
      </c>
      <c r="T27" s="9">
        <f>_xlfn.COVARIANCE.P('Data_Matrix (2018)'!$W$2:$W$67,'Data_Matrix (2018)'!T$2:T$67)</f>
        <v>2089.7396770685759</v>
      </c>
      <c r="U27" s="9">
        <f>_xlfn.COVARIANCE.P('Data_Matrix (2018)'!$W$2:$W$67,'Data_Matrix (2018)'!U$2:U$67)</f>
        <v>1198.7979061362448</v>
      </c>
      <c r="V27" s="9">
        <f>_xlfn.COVARIANCE.P('Data_Matrix (2018)'!$W$2:$W$67,'Data_Matrix (2018)'!V$2:V$67)</f>
        <v>999.40485116167554</v>
      </c>
      <c r="W27" s="9">
        <f>_xlfn.COVARIANCE.P('Data_Matrix (2018)'!$W$2:$W$67,'Data_Matrix (2018)'!W$2:W$67)</f>
        <v>1491.8526262392131</v>
      </c>
      <c r="X27" s="9">
        <f>_xlfn.COVARIANCE.P('Data_Matrix (2018)'!$W$2:$W$67,'Data_Matrix (2018)'!X$2:X$67)</f>
        <v>1175.3160067364086</v>
      </c>
      <c r="Y27" s="9">
        <f>_xlfn.COVARIANCE.P('Data_Matrix (2018)'!$W$2:$W$67,'Data_Matrix (2018)'!Y$2:Y$67)</f>
        <v>774.93410515212292</v>
      </c>
      <c r="Z27" s="9">
        <f>_xlfn.COVARIANCE.P('Data_Matrix (2018)'!$W$2:$W$67,'Data_Matrix (2018)'!Z$2:Z$67)</f>
        <v>489.83213415808751</v>
      </c>
      <c r="AA27" s="9">
        <f>_xlfn.COVARIANCE.P('Data_Matrix (2018)'!$W$2:$W$67,'Data_Matrix (2018)'!AA$2:AA$67)</f>
        <v>563.05704524714736</v>
      </c>
      <c r="AB27" s="9">
        <f>_xlfn.COVARIANCE.P('Data_Matrix (2018)'!$W$2:$W$67,'Data_Matrix (2018)'!AB$2:AB$67)</f>
        <v>107.08838400213482</v>
      </c>
      <c r="AC27" s="9">
        <f>_xlfn.COVARIANCE.P('Data_Matrix (2018)'!$W$2:$W$67,'Data_Matrix (2018)'!AC$2:AC$67)</f>
        <v>110.03082411754907</v>
      </c>
      <c r="AD27" s="9">
        <f>_xlfn.COVARIANCE.P('Data_Matrix (2018)'!$W$2:$W$67,'Data_Matrix (2018)'!AD$2:AD$67)</f>
        <v>171.81724920337817</v>
      </c>
      <c r="AE27" s="9">
        <f>_xlfn.COVARIANCE.P('Data_Matrix (2018)'!$W$2:$W$67,'Data_Matrix (2018)'!AE$2:AE$67)</f>
        <v>61.632954570011087</v>
      </c>
      <c r="AF27" s="9">
        <f>_xlfn.COVARIANCE.P('Data_Matrix (2018)'!$W$2:$W$67,'Data_Matrix (2018)'!AF$2:AF$67)</f>
        <v>100.95508324551197</v>
      </c>
      <c r="AG27" s="9">
        <f>_xlfn.COVARIANCE.P('Data_Matrix (2018)'!$W$2:$W$67,'Data_Matrix (2018)'!AG$2:AG$67)</f>
        <v>72.916094508163667</v>
      </c>
      <c r="AH27" s="9">
        <f>_xlfn.COVARIANCE.P('Data_Matrix (2018)'!$W$2:$W$67,'Data_Matrix (2018)'!AH$2:AH$67)</f>
        <v>50.101562348205377</v>
      </c>
      <c r="AI27" s="9">
        <f>_xlfn.COVARIANCE.P('Data_Matrix (2018)'!$W$2:$W$67,'Data_Matrix (2018)'!AI$2:AI$67)</f>
        <v>69.812820117520559</v>
      </c>
      <c r="AJ27" s="9">
        <f>_xlfn.COVARIANCE.P('Data_Matrix (2018)'!$W$2:$W$67,'Data_Matrix (2018)'!AJ$2:AJ$67)</f>
        <v>24.582435606464088</v>
      </c>
      <c r="AK27" s="9">
        <f>_xlfn.COVARIANCE.P('Data_Matrix (2018)'!$W$2:$W$67,'Data_Matrix (2018)'!AK$2:AK$67)</f>
        <v>44.668160535842844</v>
      </c>
      <c r="AL27" s="9">
        <f>_xlfn.COVARIANCE.P('Data_Matrix (2018)'!$W$2:$W$67,'Data_Matrix (2018)'!AL$2:AL$67)</f>
        <v>143.72640427008159</v>
      </c>
      <c r="AM27" s="9">
        <f>_xlfn.COVARIANCE.P('Data_Matrix (2018)'!$W$2:$W$67,'Data_Matrix (2018)'!AM$2:AM$67)</f>
        <v>16.856819655872322</v>
      </c>
      <c r="AN27" s="9">
        <f>_xlfn.COVARIANCE.P('Data_Matrix (2018)'!$W$2:$W$67,'Data_Matrix (2018)'!AN$2:AN$67)</f>
        <v>13.576431444592767</v>
      </c>
      <c r="AO27" s="9">
        <f>_xlfn.COVARIANCE.P('Data_Matrix (2018)'!$W$2:$W$67,'Data_Matrix (2018)'!AO$2:AO$67)</f>
        <v>0.4197822168724426</v>
      </c>
      <c r="AP27" s="9">
        <f>_xlfn.COVARIANCE.P('Data_Matrix (2018)'!$W$2:$W$67,'Data_Matrix (2018)'!AP$2:AP$67)</f>
        <v>64.575595521594423</v>
      </c>
      <c r="AQ27" s="9">
        <f>_xlfn.COVARIANCE.P('Data_Matrix (2018)'!$W$2:$W$67,'Data_Matrix (2018)'!AQ$2:AQ$67)</f>
        <v>16.075280839932816</v>
      </c>
      <c r="AR27" s="9">
        <f>_xlfn.COVARIANCE.P('Data_Matrix (2018)'!$W$2:$W$67,'Data_Matrix (2018)'!AR$2:AR$67)</f>
        <v>24.158994002115897</v>
      </c>
      <c r="AS27" s="9">
        <f>_xlfn.COVARIANCE.P('Data_Matrix (2018)'!$W$2:$W$67,'Data_Matrix (2018)'!AS$2:AS$67)</f>
        <v>8.7016150883933374</v>
      </c>
      <c r="AT27" s="9">
        <f>_xlfn.COVARIANCE.P('Data_Matrix (2018)'!$W$2:$W$67,'Data_Matrix (2018)'!AT$2:AT$67)</f>
        <v>2.9855339940782244</v>
      </c>
      <c r="AU27" s="9">
        <f>_xlfn.COVARIANCE.P('Data_Matrix (2018)'!$W$2:$W$67,'Data_Matrix (2018)'!AU$2:AU$67)</f>
        <v>-0.92901503072518787</v>
      </c>
      <c r="AV27" s="9">
        <f>_xlfn.COVARIANCE.P('Data_Matrix (2018)'!$W$2:$W$67,'Data_Matrix (2018)'!AV$2:AV$67)</f>
        <v>3.8013302166931391</v>
      </c>
      <c r="AW27" s="9">
        <f>_xlfn.COVARIANCE.P('Data_Matrix (2018)'!$W$2:$W$67,'Data_Matrix (2018)'!AW$2:AW$67)</f>
        <v>13.831728082644403</v>
      </c>
      <c r="AX27" s="9">
        <f>_xlfn.COVARIANCE.P('Data_Matrix (2018)'!$W$2:$W$67,'Data_Matrix (2018)'!AX$2:AX$67)</f>
        <v>0.90113258171960353</v>
      </c>
      <c r="AY27" s="9">
        <f>_xlfn.COVARIANCE.P('Data_Matrix (2018)'!$W$2:$W$67,'Data_Matrix (2018)'!AY$2:AY$67)</f>
        <v>7.6851261116437657</v>
      </c>
      <c r="AZ27" s="9">
        <f>_xlfn.COVARIANCE.P('Data_Matrix (2018)'!$W$2:$W$67,'Data_Matrix (2018)'!AZ$2:AZ$67)</f>
        <v>6.3582731756782715</v>
      </c>
      <c r="BA27" s="9">
        <f>_xlfn.COVARIANCE.P('Data_Matrix (2018)'!$W$2:$W$67,'Data_Matrix (2018)'!BA$2:BA$67)</f>
        <v>1.6540028174750718</v>
      </c>
      <c r="BB27" s="9">
        <f>_xlfn.COVARIANCE.P('Data_Matrix (2018)'!$W$2:$W$67,'Data_Matrix (2018)'!BB$2:BB$67)</f>
        <v>4.2316645610722382E-2</v>
      </c>
      <c r="BC27" s="9">
        <f>_xlfn.COVARIANCE.P('Data_Matrix (2018)'!$W$2:$W$67,'Data_Matrix (2018)'!BC$2:BC$67)</f>
        <v>4.2484237997326071</v>
      </c>
      <c r="BD27" s="9">
        <f>_xlfn.COVARIANCE.P('Data_Matrix (2018)'!$W$2:$W$67,'Data_Matrix (2018)'!BD$2:BD$67)</f>
        <v>1.3094416153944419</v>
      </c>
      <c r="BE27" s="9">
        <f>_xlfn.COVARIANCE.P('Data_Matrix (2018)'!$W$2:$W$67,'Data_Matrix (2018)'!BE$2:BE$67)</f>
        <v>1.2372438460589199</v>
      </c>
      <c r="BF27" s="9">
        <f>_xlfn.COVARIANCE.P('Data_Matrix (2018)'!$W$2:$W$67,'Data_Matrix (2018)'!BF$2:BF$67)</f>
        <v>9.7152188335155251E-2</v>
      </c>
      <c r="BG27" s="9">
        <f>_xlfn.COVARIANCE.P('Data_Matrix (2018)'!$W$2:$W$67,'Data_Matrix (2018)'!BG$2:BG$67)</f>
        <v>0.4427853193244729</v>
      </c>
      <c r="BH27" s="9">
        <f>_xlfn.COVARIANCE.P('Data_Matrix (2018)'!$W$2:$W$67,'Data_Matrix (2018)'!BH$2:BH$67)</f>
        <v>2.3887217356398094</v>
      </c>
      <c r="BI27" s="9">
        <f>_xlfn.COVARIANCE.P('Data_Matrix (2018)'!$W$2:$W$67,'Data_Matrix (2018)'!BI$2:BI$67)</f>
        <v>1.3189766305441888</v>
      </c>
      <c r="BJ27" s="9">
        <f>_xlfn.COVARIANCE.P('Data_Matrix (2018)'!$W$2:$W$67,'Data_Matrix (2018)'!BJ$2:BJ$67)</f>
        <v>0.6480991713099914</v>
      </c>
      <c r="BK27" s="9">
        <f>_xlfn.COVARIANCE.P('Data_Matrix (2018)'!$W$2:$W$67,'Data_Matrix (2018)'!BK$2:BK$67)</f>
        <v>0.82286231332734294</v>
      </c>
      <c r="BL27" s="9">
        <f>_xlfn.COVARIANCE.P('Data_Matrix (2018)'!$W$2:$W$67,'Data_Matrix (2018)'!BL$2:BL$67)</f>
        <v>0.30930328631347842</v>
      </c>
      <c r="BM27" s="9">
        <f>_xlfn.COVARIANCE.P('Data_Matrix (2018)'!$W$2:$W$67,'Data_Matrix (2018)'!BM$2:BM$67)</f>
        <v>6.2801418735169631E-2</v>
      </c>
      <c r="BN27" s="9">
        <f>_xlfn.COVARIANCE.P('Data_Matrix (2018)'!$W$2:$W$67,'Data_Matrix (2018)'!BN$2:BN$67)</f>
        <v>-2.1659732811492E-2</v>
      </c>
      <c r="BO27" s="9">
        <f>_xlfn.COVARIANCE.P('Data_Matrix (2018)'!$W$2:$W$67,'Data_Matrix (2018)'!BO$2:BO$67)</f>
        <v>5.5406981771733638E-3</v>
      </c>
    </row>
    <row r="28" spans="2:67" x14ac:dyDescent="0.2">
      <c r="B28" s="9">
        <f>_xlfn.COVARIANCE.P('Data_Matrix (2018)'!$X$2:$X$67,'Data_Matrix (2018)'!B$2:B$67)</f>
        <v>127917.90028743807</v>
      </c>
      <c r="C28" s="9">
        <f>_xlfn.COVARIANCE.P('Data_Matrix (2018)'!$X$2:$X$67,'Data_Matrix (2018)'!C$2:C$67)</f>
        <v>160781.15600598315</v>
      </c>
      <c r="D28" s="9">
        <f>_xlfn.COVARIANCE.P('Data_Matrix (2018)'!$X$2:$X$67,'Data_Matrix (2018)'!D$2:D$67)</f>
        <v>98258.357855014227</v>
      </c>
      <c r="E28" s="9">
        <f>_xlfn.COVARIANCE.P('Data_Matrix (2018)'!$X$2:$X$67,'Data_Matrix (2018)'!E$2:E$67)</f>
        <v>110349.54476923823</v>
      </c>
      <c r="F28" s="9">
        <f>_xlfn.COVARIANCE.P('Data_Matrix (2018)'!$X$2:$X$67,'Data_Matrix (2018)'!F$2:F$67)</f>
        <v>55292.36314726455</v>
      </c>
      <c r="G28" s="9">
        <f>_xlfn.COVARIANCE.P('Data_Matrix (2018)'!$X$2:$X$67,'Data_Matrix (2018)'!G$2:G$67)</f>
        <v>85284.330051850178</v>
      </c>
      <c r="H28" s="9">
        <f>_xlfn.COVARIANCE.P('Data_Matrix (2018)'!$X$2:$X$67,'Data_Matrix (2018)'!H$2:H$67)</f>
        <v>25149.18671843937</v>
      </c>
      <c r="I28" s="9">
        <f>_xlfn.COVARIANCE.P('Data_Matrix (2018)'!$X$2:$X$67,'Data_Matrix (2018)'!I$2:I$67)</f>
        <v>32867.721829091126</v>
      </c>
      <c r="J28" s="9">
        <f>_xlfn.COVARIANCE.P('Data_Matrix (2018)'!$X$2:$X$67,'Data_Matrix (2018)'!J$2:J$67)</f>
        <v>15611.413270895091</v>
      </c>
      <c r="K28" s="9">
        <f>_xlfn.COVARIANCE.P('Data_Matrix (2018)'!$X$2:$X$67,'Data_Matrix (2018)'!K$2:K$67)</f>
        <v>20021.533530993456</v>
      </c>
      <c r="L28" s="9">
        <f>_xlfn.COVARIANCE.P('Data_Matrix (2018)'!$X$2:$X$67,'Data_Matrix (2018)'!L$2:L$67)</f>
        <v>14963.229252576455</v>
      </c>
      <c r="M28" s="9">
        <f>_xlfn.COVARIANCE.P('Data_Matrix (2018)'!$X$2:$X$67,'Data_Matrix (2018)'!M$2:M$67)</f>
        <v>11625.646701963422</v>
      </c>
      <c r="N28" s="9">
        <f>_xlfn.COVARIANCE.P('Data_Matrix (2018)'!$X$2:$X$67,'Data_Matrix (2018)'!N$2:N$67)</f>
        <v>17430.298365952247</v>
      </c>
      <c r="O28" s="9">
        <f>_xlfn.COVARIANCE.P('Data_Matrix (2018)'!$X$2:$X$67,'Data_Matrix (2018)'!O$2:O$67)</f>
        <v>7187.879789469669</v>
      </c>
      <c r="P28" s="9">
        <f>_xlfn.COVARIANCE.P('Data_Matrix (2018)'!$X$2:$X$67,'Data_Matrix (2018)'!P$2:P$67)</f>
        <v>2232.3602183589828</v>
      </c>
      <c r="Q28" s="9">
        <f>_xlfn.COVARIANCE.P('Data_Matrix (2018)'!$X$2:$X$67,'Data_Matrix (2018)'!Q$2:Q$67)</f>
        <v>4799.6195425698761</v>
      </c>
      <c r="R28" s="9">
        <f>_xlfn.COVARIANCE.P('Data_Matrix (2018)'!$X$2:$X$67,'Data_Matrix (2018)'!R$2:R$67)</f>
        <v>4941.122464666737</v>
      </c>
      <c r="S28" s="9">
        <f>_xlfn.COVARIANCE.P('Data_Matrix (2018)'!$X$2:$X$67,'Data_Matrix (2018)'!S$2:S$67)</f>
        <v>3741.7724209179496</v>
      </c>
      <c r="T28" s="9">
        <f>_xlfn.COVARIANCE.P('Data_Matrix (2018)'!$X$2:$X$67,'Data_Matrix (2018)'!T$2:T$67)</f>
        <v>3379.0948610484029</v>
      </c>
      <c r="U28" s="9">
        <f>_xlfn.COVARIANCE.P('Data_Matrix (2018)'!$X$2:$X$67,'Data_Matrix (2018)'!U$2:U$67)</f>
        <v>1713.210998861867</v>
      </c>
      <c r="V28" s="9">
        <f>_xlfn.COVARIANCE.P('Data_Matrix (2018)'!$X$2:$X$67,'Data_Matrix (2018)'!V$2:V$67)</f>
        <v>1314.7834510032569</v>
      </c>
      <c r="W28" s="9">
        <f>_xlfn.COVARIANCE.P('Data_Matrix (2018)'!$X$2:$X$67,'Data_Matrix (2018)'!W$2:W$67)</f>
        <v>1175.3160067364086</v>
      </c>
      <c r="X28" s="9">
        <f>_xlfn.COVARIANCE.P('Data_Matrix (2018)'!$X$2:$X$67,'Data_Matrix (2018)'!X$2:X$67)</f>
        <v>2469.9318372603507</v>
      </c>
      <c r="Y28" s="9">
        <f>_xlfn.COVARIANCE.P('Data_Matrix (2018)'!$X$2:$X$67,'Data_Matrix (2018)'!Y$2:Y$67)</f>
        <v>1459.3464299150696</v>
      </c>
      <c r="Z28" s="9">
        <f>_xlfn.COVARIANCE.P('Data_Matrix (2018)'!$X$2:$X$67,'Data_Matrix (2018)'!Z$2:Z$67)</f>
        <v>875.9285726919444</v>
      </c>
      <c r="AA28" s="9">
        <f>_xlfn.COVARIANCE.P('Data_Matrix (2018)'!$X$2:$X$67,'Data_Matrix (2018)'!AA$2:AA$67)</f>
        <v>764.6071066158413</v>
      </c>
      <c r="AB28" s="9">
        <f>_xlfn.COVARIANCE.P('Data_Matrix (2018)'!$X$2:$X$67,'Data_Matrix (2018)'!AB$2:AB$67)</f>
        <v>163.5532021233883</v>
      </c>
      <c r="AC28" s="9">
        <f>_xlfn.COVARIANCE.P('Data_Matrix (2018)'!$X$2:$X$67,'Data_Matrix (2018)'!AC$2:AC$67)</f>
        <v>157.78679358137566</v>
      </c>
      <c r="AD28" s="9">
        <f>_xlfn.COVARIANCE.P('Data_Matrix (2018)'!$X$2:$X$67,'Data_Matrix (2018)'!AD$2:AD$67)</f>
        <v>226.79465395249997</v>
      </c>
      <c r="AE28" s="9">
        <f>_xlfn.COVARIANCE.P('Data_Matrix (2018)'!$X$2:$X$67,'Data_Matrix (2018)'!AE$2:AE$67)</f>
        <v>76.756690619557432</v>
      </c>
      <c r="AF28" s="9">
        <f>_xlfn.COVARIANCE.P('Data_Matrix (2018)'!$X$2:$X$67,'Data_Matrix (2018)'!AF$2:AF$67)</f>
        <v>175.00703681596269</v>
      </c>
      <c r="AG28" s="9">
        <f>_xlfn.COVARIANCE.P('Data_Matrix (2018)'!$X$2:$X$67,'Data_Matrix (2018)'!AG$2:AG$67)</f>
        <v>173.96408187205893</v>
      </c>
      <c r="AH28" s="9">
        <f>_xlfn.COVARIANCE.P('Data_Matrix (2018)'!$X$2:$X$67,'Data_Matrix (2018)'!AH$2:AH$67)</f>
        <v>55.355193220955563</v>
      </c>
      <c r="AI28" s="9">
        <f>_xlfn.COVARIANCE.P('Data_Matrix (2018)'!$X$2:$X$67,'Data_Matrix (2018)'!AI$2:AI$67)</f>
        <v>88.453194489779278</v>
      </c>
      <c r="AJ28" s="9">
        <f>_xlfn.COVARIANCE.P('Data_Matrix (2018)'!$X$2:$X$67,'Data_Matrix (2018)'!AJ$2:AJ$67)</f>
        <v>77.923130902736958</v>
      </c>
      <c r="AK28" s="9">
        <f>_xlfn.COVARIANCE.P('Data_Matrix (2018)'!$X$2:$X$67,'Data_Matrix (2018)'!AK$2:AK$67)</f>
        <v>43.566166615585686</v>
      </c>
      <c r="AL28" s="9">
        <f>_xlfn.COVARIANCE.P('Data_Matrix (2018)'!$X$2:$X$67,'Data_Matrix (2018)'!AL$2:AL$67)</f>
        <v>-154.91376110807394</v>
      </c>
      <c r="AM28" s="9">
        <f>_xlfn.COVARIANCE.P('Data_Matrix (2018)'!$X$2:$X$67,'Data_Matrix (2018)'!AM$2:AM$67)</f>
        <v>60.551029027032278</v>
      </c>
      <c r="AN28" s="9">
        <f>_xlfn.COVARIANCE.P('Data_Matrix (2018)'!$X$2:$X$67,'Data_Matrix (2018)'!AN$2:AN$67)</f>
        <v>21.344828475841918</v>
      </c>
      <c r="AO28" s="9">
        <f>_xlfn.COVARIANCE.P('Data_Matrix (2018)'!$X$2:$X$67,'Data_Matrix (2018)'!AO$2:AO$67)</f>
        <v>59.020510818049559</v>
      </c>
      <c r="AP28" s="9">
        <f>_xlfn.COVARIANCE.P('Data_Matrix (2018)'!$X$2:$X$67,'Data_Matrix (2018)'!AP$2:AP$67)</f>
        <v>117.4195972404921</v>
      </c>
      <c r="AQ28" s="9">
        <f>_xlfn.COVARIANCE.P('Data_Matrix (2018)'!$X$2:$X$67,'Data_Matrix (2018)'!AQ$2:AQ$67)</f>
        <v>37.413911061307282</v>
      </c>
      <c r="AR28" s="9">
        <f>_xlfn.COVARIANCE.P('Data_Matrix (2018)'!$X$2:$X$67,'Data_Matrix (2018)'!AR$2:AR$67)</f>
        <v>60.164935607265456</v>
      </c>
      <c r="AS28" s="9">
        <f>_xlfn.COVARIANCE.P('Data_Matrix (2018)'!$X$2:$X$67,'Data_Matrix (2018)'!AS$2:AS$67)</f>
        <v>26.877016244033655</v>
      </c>
      <c r="AT28" s="9">
        <f>_xlfn.COVARIANCE.P('Data_Matrix (2018)'!$X$2:$X$67,'Data_Matrix (2018)'!AT$2:AT$67)</f>
        <v>10.022074363769487</v>
      </c>
      <c r="AU28" s="9">
        <f>_xlfn.COVARIANCE.P('Data_Matrix (2018)'!$X$2:$X$67,'Data_Matrix (2018)'!AU$2:AU$67)</f>
        <v>0.5416022258467097</v>
      </c>
      <c r="AV28" s="9">
        <f>_xlfn.COVARIANCE.P('Data_Matrix (2018)'!$X$2:$X$67,'Data_Matrix (2018)'!AV$2:AV$67)</f>
        <v>29.817437452335895</v>
      </c>
      <c r="AW28" s="9">
        <f>_xlfn.COVARIANCE.P('Data_Matrix (2018)'!$X$2:$X$67,'Data_Matrix (2018)'!AW$2:AW$67)</f>
        <v>-4.2409765653217777</v>
      </c>
      <c r="AX28" s="9">
        <f>_xlfn.COVARIANCE.P('Data_Matrix (2018)'!$X$2:$X$67,'Data_Matrix (2018)'!AX$2:AX$67)</f>
        <v>20.065813105572673</v>
      </c>
      <c r="AY28" s="9">
        <f>_xlfn.COVARIANCE.P('Data_Matrix (2018)'!$X$2:$X$67,'Data_Matrix (2018)'!AY$2:AY$67)</f>
        <v>19.326694712264366</v>
      </c>
      <c r="AZ28" s="9">
        <f>_xlfn.COVARIANCE.P('Data_Matrix (2018)'!$X$2:$X$67,'Data_Matrix (2018)'!AZ$2:AZ$67)</f>
        <v>28.910386351766807</v>
      </c>
      <c r="BA28" s="9">
        <f>_xlfn.COVARIANCE.P('Data_Matrix (2018)'!$X$2:$X$67,'Data_Matrix (2018)'!BA$2:BA$67)</f>
        <v>0.77821012511616405</v>
      </c>
      <c r="BB28" s="9">
        <f>_xlfn.COVARIANCE.P('Data_Matrix (2018)'!$X$2:$X$67,'Data_Matrix (2018)'!BB$2:BB$67)</f>
        <v>4.3418709598559042</v>
      </c>
      <c r="BC28" s="9">
        <f>_xlfn.COVARIANCE.P('Data_Matrix (2018)'!$X$2:$X$67,'Data_Matrix (2018)'!BC$2:BC$67)</f>
        <v>6.5965094397330564</v>
      </c>
      <c r="BD28" s="9">
        <f>_xlfn.COVARIANCE.P('Data_Matrix (2018)'!$X$2:$X$67,'Data_Matrix (2018)'!BD$2:BD$67)</f>
        <v>-0.39932179299342574</v>
      </c>
      <c r="BE28" s="9">
        <f>_xlfn.COVARIANCE.P('Data_Matrix (2018)'!$X$2:$X$67,'Data_Matrix (2018)'!BE$2:BE$67)</f>
        <v>2.6247400135499768</v>
      </c>
      <c r="BF28" s="9">
        <f>_xlfn.COVARIANCE.P('Data_Matrix (2018)'!$X$2:$X$67,'Data_Matrix (2018)'!BF$2:BF$67)</f>
        <v>0.11036588439173269</v>
      </c>
      <c r="BG28" s="9">
        <f>_xlfn.COVARIANCE.P('Data_Matrix (2018)'!$X$2:$X$67,'Data_Matrix (2018)'!BG$2:BG$67)</f>
        <v>0.54171431868453224</v>
      </c>
      <c r="BH28" s="9">
        <f>_xlfn.COVARIANCE.P('Data_Matrix (2018)'!$X$2:$X$67,'Data_Matrix (2018)'!BH$2:BH$67)</f>
        <v>3.6038766732411722</v>
      </c>
      <c r="BI28" s="9">
        <f>_xlfn.COVARIANCE.P('Data_Matrix (2018)'!$X$2:$X$67,'Data_Matrix (2018)'!BI$2:BI$67)</f>
        <v>1.0897462854195428</v>
      </c>
      <c r="BJ28" s="9">
        <f>_xlfn.COVARIANCE.P('Data_Matrix (2018)'!$X$2:$X$67,'Data_Matrix (2018)'!BJ$2:BJ$67)</f>
        <v>1.0007348743722215</v>
      </c>
      <c r="BK28" s="9">
        <f>_xlfn.COVARIANCE.P('Data_Matrix (2018)'!$X$2:$X$67,'Data_Matrix (2018)'!BK$2:BK$67)</f>
        <v>0.56912574075831868</v>
      </c>
      <c r="BL28" s="9">
        <f>_xlfn.COVARIANCE.P('Data_Matrix (2018)'!$X$2:$X$67,'Data_Matrix (2018)'!BL$2:BL$67)</f>
        <v>0.13442516318362821</v>
      </c>
      <c r="BM28" s="9">
        <f>_xlfn.COVARIANCE.P('Data_Matrix (2018)'!$X$2:$X$67,'Data_Matrix (2018)'!BM$2:BM$67)</f>
        <v>0.15006606569784736</v>
      </c>
      <c r="BN28" s="9">
        <f>_xlfn.COVARIANCE.P('Data_Matrix (2018)'!$X$2:$X$67,'Data_Matrix (2018)'!BN$2:BN$67)</f>
        <v>-4.5667190504146367E-2</v>
      </c>
      <c r="BO28" s="9">
        <f>_xlfn.COVARIANCE.P('Data_Matrix (2018)'!$X$2:$X$67,'Data_Matrix (2018)'!BO$2:BO$67)</f>
        <v>1.3796276569318899E-2</v>
      </c>
    </row>
    <row r="29" spans="2:67" x14ac:dyDescent="0.2">
      <c r="B29" s="9">
        <f>_xlfn.COVARIANCE.P('Data_Matrix (2018)'!$Y$2:$Y$67,'Data_Matrix (2018)'!B$2:B$67)</f>
        <v>76705.226362812216</v>
      </c>
      <c r="C29" s="9">
        <f>_xlfn.COVARIANCE.P('Data_Matrix (2018)'!$Y$2:$Y$67,'Data_Matrix (2018)'!C$2:C$67)</f>
        <v>137423.06232197548</v>
      </c>
      <c r="D29" s="9">
        <f>_xlfn.COVARIANCE.P('Data_Matrix (2018)'!$Y$2:$Y$67,'Data_Matrix (2018)'!D$2:D$67)</f>
        <v>79744.99691483198</v>
      </c>
      <c r="E29" s="9">
        <f>_xlfn.COVARIANCE.P('Data_Matrix (2018)'!$Y$2:$Y$67,'Data_Matrix (2018)'!E$2:E$67)</f>
        <v>58348.864951103264</v>
      </c>
      <c r="F29" s="9">
        <f>_xlfn.COVARIANCE.P('Data_Matrix (2018)'!$Y$2:$Y$67,'Data_Matrix (2018)'!F$2:F$67)</f>
        <v>28591.999451491476</v>
      </c>
      <c r="G29" s="9">
        <f>_xlfn.COVARIANCE.P('Data_Matrix (2018)'!$Y$2:$Y$67,'Data_Matrix (2018)'!G$2:G$67)</f>
        <v>65252.894577983614</v>
      </c>
      <c r="H29" s="9">
        <f>_xlfn.COVARIANCE.P('Data_Matrix (2018)'!$Y$2:$Y$67,'Data_Matrix (2018)'!H$2:H$67)</f>
        <v>25564.824651338186</v>
      </c>
      <c r="I29" s="9">
        <f>_xlfn.COVARIANCE.P('Data_Matrix (2018)'!$Y$2:$Y$67,'Data_Matrix (2018)'!I$2:I$67)</f>
        <v>28359.238015325442</v>
      </c>
      <c r="J29" s="9">
        <f>_xlfn.COVARIANCE.P('Data_Matrix (2018)'!$Y$2:$Y$67,'Data_Matrix (2018)'!J$2:J$67)</f>
        <v>11754.734379891242</v>
      </c>
      <c r="K29" s="9">
        <f>_xlfn.COVARIANCE.P('Data_Matrix (2018)'!$Y$2:$Y$67,'Data_Matrix (2018)'!K$2:K$67)</f>
        <v>16184.477901494518</v>
      </c>
      <c r="L29" s="9">
        <f>_xlfn.COVARIANCE.P('Data_Matrix (2018)'!$Y$2:$Y$67,'Data_Matrix (2018)'!L$2:L$67)</f>
        <v>12070.639475617849</v>
      </c>
      <c r="M29" s="9">
        <f>_xlfn.COVARIANCE.P('Data_Matrix (2018)'!$Y$2:$Y$67,'Data_Matrix (2018)'!M$2:M$67)</f>
        <v>11240.112379523423</v>
      </c>
      <c r="N29" s="9">
        <f>_xlfn.COVARIANCE.P('Data_Matrix (2018)'!$Y$2:$Y$67,'Data_Matrix (2018)'!N$2:N$67)</f>
        <v>11836.169038697988</v>
      </c>
      <c r="O29" s="9">
        <f>_xlfn.COVARIANCE.P('Data_Matrix (2018)'!$Y$2:$Y$67,'Data_Matrix (2018)'!O$2:O$67)</f>
        <v>5918.5112356305144</v>
      </c>
      <c r="P29" s="9">
        <f>_xlfn.COVARIANCE.P('Data_Matrix (2018)'!$Y$2:$Y$67,'Data_Matrix (2018)'!P$2:P$67)</f>
        <v>1730.5992843119714</v>
      </c>
      <c r="Q29" s="9">
        <f>_xlfn.COVARIANCE.P('Data_Matrix (2018)'!$Y$2:$Y$67,'Data_Matrix (2018)'!Q$2:Q$67)</f>
        <v>5607.8677588634673</v>
      </c>
      <c r="R29" s="9">
        <f>_xlfn.COVARIANCE.P('Data_Matrix (2018)'!$Y$2:$Y$67,'Data_Matrix (2018)'!R$2:R$67)</f>
        <v>6181.6559628540363</v>
      </c>
      <c r="S29" s="9">
        <f>_xlfn.COVARIANCE.P('Data_Matrix (2018)'!$Y$2:$Y$67,'Data_Matrix (2018)'!S$2:S$67)</f>
        <v>3522.6916573971712</v>
      </c>
      <c r="T29" s="9">
        <f>_xlfn.COVARIANCE.P('Data_Matrix (2018)'!$Y$2:$Y$67,'Data_Matrix (2018)'!T$2:T$67)</f>
        <v>2576.525984045677</v>
      </c>
      <c r="U29" s="9">
        <f>_xlfn.COVARIANCE.P('Data_Matrix (2018)'!$Y$2:$Y$67,'Data_Matrix (2018)'!U$2:U$67)</f>
        <v>1657.4983117228487</v>
      </c>
      <c r="V29" s="9">
        <f>_xlfn.COVARIANCE.P('Data_Matrix (2018)'!$Y$2:$Y$67,'Data_Matrix (2018)'!V$2:V$67)</f>
        <v>1405.1235736895633</v>
      </c>
      <c r="W29" s="9">
        <f>_xlfn.COVARIANCE.P('Data_Matrix (2018)'!$Y$2:$Y$67,'Data_Matrix (2018)'!W$2:W$67)</f>
        <v>774.93410515212292</v>
      </c>
      <c r="X29" s="9">
        <f>_xlfn.COVARIANCE.P('Data_Matrix (2018)'!$Y$2:$Y$67,'Data_Matrix (2018)'!X$2:X$67)</f>
        <v>1459.3464299150696</v>
      </c>
      <c r="Y29" s="9">
        <f>_xlfn.COVARIANCE.P('Data_Matrix (2018)'!$Y$2:$Y$67,'Data_Matrix (2018)'!Y$2:Y$67)</f>
        <v>2096.6403300346688</v>
      </c>
      <c r="Z29" s="9">
        <f>_xlfn.COVARIANCE.P('Data_Matrix (2018)'!$Y$2:$Y$67,'Data_Matrix (2018)'!Z$2:Z$67)</f>
        <v>868.15770462633407</v>
      </c>
      <c r="AA29" s="9">
        <f>_xlfn.COVARIANCE.P('Data_Matrix (2018)'!$Y$2:$Y$67,'Data_Matrix (2018)'!AA$2:AA$67)</f>
        <v>629.30422746336365</v>
      </c>
      <c r="AB29" s="9">
        <f>_xlfn.COVARIANCE.P('Data_Matrix (2018)'!$Y$2:$Y$67,'Data_Matrix (2018)'!AB$2:AB$67)</f>
        <v>146.9451942853886</v>
      </c>
      <c r="AC29" s="9">
        <f>_xlfn.COVARIANCE.P('Data_Matrix (2018)'!$Y$2:$Y$67,'Data_Matrix (2018)'!AC$2:AC$67)</f>
        <v>167.4102695965571</v>
      </c>
      <c r="AD29" s="9">
        <f>_xlfn.COVARIANCE.P('Data_Matrix (2018)'!$Y$2:$Y$67,'Data_Matrix (2018)'!AD$2:AD$67)</f>
        <v>195.16958036064634</v>
      </c>
      <c r="AE29" s="9">
        <f>_xlfn.COVARIANCE.P('Data_Matrix (2018)'!$Y$2:$Y$67,'Data_Matrix (2018)'!AE$2:AE$67)</f>
        <v>81.780501716074269</v>
      </c>
      <c r="AF29" s="9">
        <f>_xlfn.COVARIANCE.P('Data_Matrix (2018)'!$Y$2:$Y$67,'Data_Matrix (2018)'!AF$2:AF$67)</f>
        <v>137.15453515400407</v>
      </c>
      <c r="AG29" s="9">
        <f>_xlfn.COVARIANCE.P('Data_Matrix (2018)'!$Y$2:$Y$67,'Data_Matrix (2018)'!AG$2:AG$67)</f>
        <v>127.11433040017141</v>
      </c>
      <c r="AH29" s="9">
        <f>_xlfn.COVARIANCE.P('Data_Matrix (2018)'!$Y$2:$Y$67,'Data_Matrix (2018)'!AH$2:AH$67)</f>
        <v>48.167198731357594</v>
      </c>
      <c r="AI29" s="9">
        <f>_xlfn.COVARIANCE.P('Data_Matrix (2018)'!$Y$2:$Y$67,'Data_Matrix (2018)'!AI$2:AI$67)</f>
        <v>104.41686337003077</v>
      </c>
      <c r="AJ29" s="9">
        <f>_xlfn.COVARIANCE.P('Data_Matrix (2018)'!$Y$2:$Y$67,'Data_Matrix (2018)'!AJ$2:AJ$67)</f>
        <v>112.69581474597524</v>
      </c>
      <c r="AK29" s="9">
        <f>_xlfn.COVARIANCE.P('Data_Matrix (2018)'!$Y$2:$Y$67,'Data_Matrix (2018)'!AK$2:AK$67)</f>
        <v>38.477986653844752</v>
      </c>
      <c r="AL29" s="9">
        <f>_xlfn.COVARIANCE.P('Data_Matrix (2018)'!$Y$2:$Y$67,'Data_Matrix (2018)'!AL$2:AL$67)</f>
        <v>-152.99992459423905</v>
      </c>
      <c r="AM29" s="9">
        <f>_xlfn.COVARIANCE.P('Data_Matrix (2018)'!$Y$2:$Y$67,'Data_Matrix (2018)'!AM$2:AM$67)</f>
        <v>92.56203315942706</v>
      </c>
      <c r="AN29" s="9">
        <f>_xlfn.COVARIANCE.P('Data_Matrix (2018)'!$Y$2:$Y$67,'Data_Matrix (2018)'!AN$2:AN$67)</f>
        <v>52.288552864845862</v>
      </c>
      <c r="AO29" s="9">
        <f>_xlfn.COVARIANCE.P('Data_Matrix (2018)'!$Y$2:$Y$67,'Data_Matrix (2018)'!AO$2:AO$67)</f>
        <v>102.75794923741547</v>
      </c>
      <c r="AP29" s="9">
        <f>_xlfn.COVARIANCE.P('Data_Matrix (2018)'!$Y$2:$Y$67,'Data_Matrix (2018)'!AP$2:AP$67)</f>
        <v>207.7725145519654</v>
      </c>
      <c r="AQ29" s="9">
        <f>_xlfn.COVARIANCE.P('Data_Matrix (2018)'!$Y$2:$Y$67,'Data_Matrix (2018)'!AQ$2:AQ$67)</f>
        <v>49.484643310378857</v>
      </c>
      <c r="AR29" s="9">
        <f>_xlfn.COVARIANCE.P('Data_Matrix (2018)'!$Y$2:$Y$67,'Data_Matrix (2018)'!AR$2:AR$67)</f>
        <v>76.43205404205807</v>
      </c>
      <c r="AS29" s="9">
        <f>_xlfn.COVARIANCE.P('Data_Matrix (2018)'!$Y$2:$Y$67,'Data_Matrix (2018)'!AS$2:AS$67)</f>
        <v>54.345495746120484</v>
      </c>
      <c r="AT29" s="9">
        <f>_xlfn.COVARIANCE.P('Data_Matrix (2018)'!$Y$2:$Y$67,'Data_Matrix (2018)'!AT$2:AT$67)</f>
        <v>5.1219060012845699</v>
      </c>
      <c r="AU29" s="9">
        <f>_xlfn.COVARIANCE.P('Data_Matrix (2018)'!$Y$2:$Y$67,'Data_Matrix (2018)'!AU$2:AU$67)</f>
        <v>0.95035483386673214</v>
      </c>
      <c r="AV29" s="9">
        <f>_xlfn.COVARIANCE.P('Data_Matrix (2018)'!$Y$2:$Y$67,'Data_Matrix (2018)'!AV$2:AV$67)</f>
        <v>30.442356397265872</v>
      </c>
      <c r="AW29" s="9">
        <f>_xlfn.COVARIANCE.P('Data_Matrix (2018)'!$Y$2:$Y$67,'Data_Matrix (2018)'!AW$2:AW$67)</f>
        <v>3.2629986397874751</v>
      </c>
      <c r="AX29" s="9">
        <f>_xlfn.COVARIANCE.P('Data_Matrix (2018)'!$Y$2:$Y$67,'Data_Matrix (2018)'!AX$2:AX$67)</f>
        <v>15.808077052388143</v>
      </c>
      <c r="AY29" s="9">
        <f>_xlfn.COVARIANCE.P('Data_Matrix (2018)'!$Y$2:$Y$67,'Data_Matrix (2018)'!AY$2:AY$67)</f>
        <v>25.04766042690877</v>
      </c>
      <c r="AZ29" s="9">
        <f>_xlfn.COVARIANCE.P('Data_Matrix (2018)'!$Y$2:$Y$67,'Data_Matrix (2018)'!AZ$2:AZ$67)</f>
        <v>37.321702573838039</v>
      </c>
      <c r="BA29" s="9">
        <f>_xlfn.COVARIANCE.P('Data_Matrix (2018)'!$Y$2:$Y$67,'Data_Matrix (2018)'!BA$2:BA$67)</f>
        <v>-0.25671518121742726</v>
      </c>
      <c r="BB29" s="9">
        <f>_xlfn.COVARIANCE.P('Data_Matrix (2018)'!$Y$2:$Y$67,'Data_Matrix (2018)'!BB$2:BB$67)</f>
        <v>12.335485210634257</v>
      </c>
      <c r="BC29" s="9">
        <f>_xlfn.COVARIANCE.P('Data_Matrix (2018)'!$Y$2:$Y$67,'Data_Matrix (2018)'!BC$2:BC$67)</f>
        <v>12.521768536057918</v>
      </c>
      <c r="BD29" s="9">
        <f>_xlfn.COVARIANCE.P('Data_Matrix (2018)'!$Y$2:$Y$67,'Data_Matrix (2018)'!BD$2:BD$67)</f>
        <v>-0.97248468586811598</v>
      </c>
      <c r="BE29" s="9">
        <f>_xlfn.COVARIANCE.P('Data_Matrix (2018)'!$Y$2:$Y$67,'Data_Matrix (2018)'!BE$2:BE$67)</f>
        <v>4.0082148445679522</v>
      </c>
      <c r="BF29" s="9">
        <f>_xlfn.COVARIANCE.P('Data_Matrix (2018)'!$Y$2:$Y$67,'Data_Matrix (2018)'!BF$2:BF$67)</f>
        <v>-0.11231235143026469</v>
      </c>
      <c r="BG29" s="9">
        <f>_xlfn.COVARIANCE.P('Data_Matrix (2018)'!$Y$2:$Y$67,'Data_Matrix (2018)'!BG$2:BG$67)</f>
        <v>0.11779219029515789</v>
      </c>
      <c r="BH29" s="9">
        <f>_xlfn.COVARIANCE.P('Data_Matrix (2018)'!$Y$2:$Y$67,'Data_Matrix (2018)'!BH$2:BH$67)</f>
        <v>5.7672061496119129</v>
      </c>
      <c r="BI29" s="9">
        <f>_xlfn.COVARIANCE.P('Data_Matrix (2018)'!$Y$2:$Y$67,'Data_Matrix (2018)'!BI$2:BI$67)</f>
        <v>0.50891834957205428</v>
      </c>
      <c r="BJ29" s="9">
        <f>_xlfn.COVARIANCE.P('Data_Matrix (2018)'!$Y$2:$Y$67,'Data_Matrix (2018)'!BJ$2:BJ$67)</f>
        <v>0.47017489264731677</v>
      </c>
      <c r="BK29" s="9">
        <f>_xlfn.COVARIANCE.P('Data_Matrix (2018)'!$Y$2:$Y$67,'Data_Matrix (2018)'!BK$2:BK$67)</f>
        <v>0.16398778562023292</v>
      </c>
      <c r="BL29" s="9">
        <f>_xlfn.COVARIANCE.P('Data_Matrix (2018)'!$Y$2:$Y$67,'Data_Matrix (2018)'!BL$2:BL$67)</f>
        <v>0.17599882992323837</v>
      </c>
      <c r="BM29" s="9">
        <f>_xlfn.COVARIANCE.P('Data_Matrix (2018)'!$Y$2:$Y$67,'Data_Matrix (2018)'!BM$2:BM$67)</f>
        <v>3.6449696368055798E-2</v>
      </c>
      <c r="BN29" s="9">
        <f>_xlfn.COVARIANCE.P('Data_Matrix (2018)'!$Y$2:$Y$67,'Data_Matrix (2018)'!BN$2:BN$67)</f>
        <v>-8.3811351713767419E-4</v>
      </c>
      <c r="BO29" s="9">
        <f>_xlfn.COVARIANCE.P('Data_Matrix (2018)'!$Y$2:$Y$67,'Data_Matrix (2018)'!BO$2:BO$67)</f>
        <v>3.6670328429242826E-3</v>
      </c>
    </row>
    <row r="30" spans="2:67" x14ac:dyDescent="0.2">
      <c r="B30" s="9">
        <f>_xlfn.COVARIANCE.P('Data_Matrix (2018)'!$Z$2:$Z$67,'Data_Matrix (2018)'!B$2:B$67)</f>
        <v>77533.713202789702</v>
      </c>
      <c r="C30" s="9">
        <f>_xlfn.COVARIANCE.P('Data_Matrix (2018)'!$Z$2:$Z$67,'Data_Matrix (2018)'!C$2:C$67)</f>
        <v>79836.552322550488</v>
      </c>
      <c r="D30" s="9">
        <f>_xlfn.COVARIANCE.P('Data_Matrix (2018)'!$Z$2:$Z$67,'Data_Matrix (2018)'!D$2:D$67)</f>
        <v>48469.993291353567</v>
      </c>
      <c r="E30" s="9">
        <f>_xlfn.COVARIANCE.P('Data_Matrix (2018)'!$Z$2:$Z$67,'Data_Matrix (2018)'!E$2:E$67)</f>
        <v>39952.233639712278</v>
      </c>
      <c r="F30" s="9">
        <f>_xlfn.COVARIANCE.P('Data_Matrix (2018)'!$Z$2:$Z$67,'Data_Matrix (2018)'!F$2:F$67)</f>
        <v>23741.209161637911</v>
      </c>
      <c r="G30" s="9">
        <f>_xlfn.COVARIANCE.P('Data_Matrix (2018)'!$Z$2:$Z$67,'Data_Matrix (2018)'!G$2:G$67)</f>
        <v>36639.282281201609</v>
      </c>
      <c r="H30" s="9">
        <f>_xlfn.COVARIANCE.P('Data_Matrix (2018)'!$Z$2:$Z$67,'Data_Matrix (2018)'!H$2:H$67)</f>
        <v>18868.500003467558</v>
      </c>
      <c r="I30" s="9">
        <f>_xlfn.COVARIANCE.P('Data_Matrix (2018)'!$Z$2:$Z$67,'Data_Matrix (2018)'!I$2:I$67)</f>
        <v>13457.573660419899</v>
      </c>
      <c r="J30" s="9">
        <f>_xlfn.COVARIANCE.P('Data_Matrix (2018)'!$Z$2:$Z$67,'Data_Matrix (2018)'!J$2:J$67)</f>
        <v>4639.5413757405522</v>
      </c>
      <c r="K30" s="9">
        <f>_xlfn.COVARIANCE.P('Data_Matrix (2018)'!$Z$2:$Z$67,'Data_Matrix (2018)'!K$2:K$67)</f>
        <v>8903.6351032239527</v>
      </c>
      <c r="L30" s="9">
        <f>_xlfn.COVARIANCE.P('Data_Matrix (2018)'!$Z$2:$Z$67,'Data_Matrix (2018)'!L$2:L$67)</f>
        <v>9014.6822923503332</v>
      </c>
      <c r="M30" s="9">
        <f>_xlfn.COVARIANCE.P('Data_Matrix (2018)'!$Z$2:$Z$67,'Data_Matrix (2018)'!M$2:M$67)</f>
        <v>6919.2416278165665</v>
      </c>
      <c r="N30" s="9">
        <f>_xlfn.COVARIANCE.P('Data_Matrix (2018)'!$Z$2:$Z$67,'Data_Matrix (2018)'!N$2:N$67)</f>
        <v>6524.9403948115096</v>
      </c>
      <c r="O30" s="9">
        <f>_xlfn.COVARIANCE.P('Data_Matrix (2018)'!$Z$2:$Z$67,'Data_Matrix (2018)'!O$2:O$67)</f>
        <v>3986.504084151682</v>
      </c>
      <c r="P30" s="9">
        <f>_xlfn.COVARIANCE.P('Data_Matrix (2018)'!$Z$2:$Z$67,'Data_Matrix (2018)'!P$2:P$67)</f>
        <v>634.21010449476864</v>
      </c>
      <c r="Q30" s="9">
        <f>_xlfn.COVARIANCE.P('Data_Matrix (2018)'!$Z$2:$Z$67,'Data_Matrix (2018)'!Q$2:Q$67)</f>
        <v>4164.7606857689207</v>
      </c>
      <c r="R30" s="9">
        <f>_xlfn.COVARIANCE.P('Data_Matrix (2018)'!$Z$2:$Z$67,'Data_Matrix (2018)'!R$2:R$67)</f>
        <v>4911.2443452711923</v>
      </c>
      <c r="S30" s="9">
        <f>_xlfn.COVARIANCE.P('Data_Matrix (2018)'!$Z$2:$Z$67,'Data_Matrix (2018)'!S$2:S$67)</f>
        <v>2658.3347313163017</v>
      </c>
      <c r="T30" s="9">
        <f>_xlfn.COVARIANCE.P('Data_Matrix (2018)'!$Z$2:$Z$67,'Data_Matrix (2018)'!T$2:T$67)</f>
        <v>1741.8303717490282</v>
      </c>
      <c r="U30" s="9">
        <f>_xlfn.COVARIANCE.P('Data_Matrix (2018)'!$Z$2:$Z$67,'Data_Matrix (2018)'!U$2:U$67)</f>
        <v>1223.8153419600887</v>
      </c>
      <c r="V30" s="9">
        <f>_xlfn.COVARIANCE.P('Data_Matrix (2018)'!$Z$2:$Z$67,'Data_Matrix (2018)'!V$2:V$67)</f>
        <v>700.37638093844737</v>
      </c>
      <c r="W30" s="9">
        <f>_xlfn.COVARIANCE.P('Data_Matrix (2018)'!$Z$2:$Z$67,'Data_Matrix (2018)'!W$2:W$67)</f>
        <v>489.83213415808751</v>
      </c>
      <c r="X30" s="9">
        <f>_xlfn.COVARIANCE.P('Data_Matrix (2018)'!$Z$2:$Z$67,'Data_Matrix (2018)'!X$2:X$67)</f>
        <v>875.9285726919444</v>
      </c>
      <c r="Y30" s="9">
        <f>_xlfn.COVARIANCE.P('Data_Matrix (2018)'!$Z$2:$Z$67,'Data_Matrix (2018)'!Y$2:Y$67)</f>
        <v>868.15770462633407</v>
      </c>
      <c r="Z30" s="9">
        <f>_xlfn.COVARIANCE.P('Data_Matrix (2018)'!$Z$2:$Z$67,'Data_Matrix (2018)'!Z$2:Z$67)</f>
        <v>745.48621500872196</v>
      </c>
      <c r="AA30" s="9">
        <f>_xlfn.COVARIANCE.P('Data_Matrix (2018)'!$Z$2:$Z$67,'Data_Matrix (2018)'!AA$2:AA$67)</f>
        <v>406.72237271105917</v>
      </c>
      <c r="AB30" s="9">
        <f>_xlfn.COVARIANCE.P('Data_Matrix (2018)'!$Z$2:$Z$67,'Data_Matrix (2018)'!AB$2:AB$67)</f>
        <v>95.859138319942588</v>
      </c>
      <c r="AC30" s="9">
        <f>_xlfn.COVARIANCE.P('Data_Matrix (2018)'!$Z$2:$Z$67,'Data_Matrix (2018)'!AC$2:AC$67)</f>
        <v>136.74954560230913</v>
      </c>
      <c r="AD30" s="9">
        <f>_xlfn.COVARIANCE.P('Data_Matrix (2018)'!$Z$2:$Z$67,'Data_Matrix (2018)'!AD$2:AD$67)</f>
        <v>123.68161031130718</v>
      </c>
      <c r="AE30" s="9">
        <f>_xlfn.COVARIANCE.P('Data_Matrix (2018)'!$Z$2:$Z$67,'Data_Matrix (2018)'!AE$2:AE$67)</f>
        <v>73.993584058198309</v>
      </c>
      <c r="AF30" s="9">
        <f>_xlfn.COVARIANCE.P('Data_Matrix (2018)'!$Z$2:$Z$67,'Data_Matrix (2018)'!AF$2:AF$67)</f>
        <v>121.91655512150831</v>
      </c>
      <c r="AG30" s="9">
        <f>_xlfn.COVARIANCE.P('Data_Matrix (2018)'!$Z$2:$Z$67,'Data_Matrix (2018)'!AG$2:AG$67)</f>
        <v>86.645957663461942</v>
      </c>
      <c r="AH30" s="9">
        <f>_xlfn.COVARIANCE.P('Data_Matrix (2018)'!$Z$2:$Z$67,'Data_Matrix (2018)'!AH$2:AH$67)</f>
        <v>21.224127233604833</v>
      </c>
      <c r="AI30" s="9">
        <f>_xlfn.COVARIANCE.P('Data_Matrix (2018)'!$Z$2:$Z$67,'Data_Matrix (2018)'!AI$2:AI$67)</f>
        <v>71.058284814924562</v>
      </c>
      <c r="AJ30" s="9">
        <f>_xlfn.COVARIANCE.P('Data_Matrix (2018)'!$Z$2:$Z$67,'Data_Matrix (2018)'!AJ$2:AJ$67)</f>
        <v>92.713737095885307</v>
      </c>
      <c r="AK30" s="9">
        <f>_xlfn.COVARIANCE.P('Data_Matrix (2018)'!$Z$2:$Z$67,'Data_Matrix (2018)'!AK$2:AK$67)</f>
        <v>49.272293883113782</v>
      </c>
      <c r="AL30" s="9">
        <f>_xlfn.COVARIANCE.P('Data_Matrix (2018)'!$Z$2:$Z$67,'Data_Matrix (2018)'!AL$2:AL$67)</f>
        <v>-84.352434572228788</v>
      </c>
      <c r="AM30" s="9">
        <f>_xlfn.COVARIANCE.P('Data_Matrix (2018)'!$Z$2:$Z$67,'Data_Matrix (2018)'!AM$2:AM$67)</f>
        <v>61.240746669283673</v>
      </c>
      <c r="AN30" s="9">
        <f>_xlfn.COVARIANCE.P('Data_Matrix (2018)'!$Z$2:$Z$67,'Data_Matrix (2018)'!AN$2:AN$67)</f>
        <v>1.9415991187695634</v>
      </c>
      <c r="AO30" s="9">
        <f>_xlfn.COVARIANCE.P('Data_Matrix (2018)'!$Z$2:$Z$67,'Data_Matrix (2018)'!AO$2:AO$67)</f>
        <v>69.114967759670051</v>
      </c>
      <c r="AP30" s="9">
        <f>_xlfn.COVARIANCE.P('Data_Matrix (2018)'!$Z$2:$Z$67,'Data_Matrix (2018)'!AP$2:AP$67)</f>
        <v>91.686559735719811</v>
      </c>
      <c r="AQ30" s="9">
        <f>_xlfn.COVARIANCE.P('Data_Matrix (2018)'!$Z$2:$Z$67,'Data_Matrix (2018)'!AQ$2:AQ$67)</f>
        <v>32.923430992677027</v>
      </c>
      <c r="AR30" s="9">
        <f>_xlfn.COVARIANCE.P('Data_Matrix (2018)'!$Z$2:$Z$67,'Data_Matrix (2018)'!AR$2:AR$67)</f>
        <v>33.172253922218751</v>
      </c>
      <c r="AS30" s="9">
        <f>_xlfn.COVARIANCE.P('Data_Matrix (2018)'!$Z$2:$Z$67,'Data_Matrix (2018)'!AS$2:AS$67)</f>
        <v>12.708789986630141</v>
      </c>
      <c r="AT30" s="9">
        <f>_xlfn.COVARIANCE.P('Data_Matrix (2018)'!$Z$2:$Z$67,'Data_Matrix (2018)'!AT$2:AT$67)</f>
        <v>11.880836766721826</v>
      </c>
      <c r="AU30" s="9">
        <f>_xlfn.COVARIANCE.P('Data_Matrix (2018)'!$Z$2:$Z$67,'Data_Matrix (2018)'!AU$2:AU$67)</f>
        <v>-4.6635705744250666</v>
      </c>
      <c r="AV30" s="9">
        <f>_xlfn.COVARIANCE.P('Data_Matrix (2018)'!$Z$2:$Z$67,'Data_Matrix (2018)'!AV$2:AV$67)</f>
        <v>30.533891314664043</v>
      </c>
      <c r="AW30" s="9">
        <f>_xlfn.COVARIANCE.P('Data_Matrix (2018)'!$Z$2:$Z$67,'Data_Matrix (2018)'!AW$2:AW$67)</f>
        <v>-2.0622000526380799</v>
      </c>
      <c r="AX30" s="9">
        <f>_xlfn.COVARIANCE.P('Data_Matrix (2018)'!$Z$2:$Z$67,'Data_Matrix (2018)'!AX$2:AX$67)</f>
        <v>19.419420341975375</v>
      </c>
      <c r="AY30" s="9">
        <f>_xlfn.COVARIANCE.P('Data_Matrix (2018)'!$Z$2:$Z$67,'Data_Matrix (2018)'!AY$2:AY$67)</f>
        <v>9.850899453887088</v>
      </c>
      <c r="AZ30" s="9">
        <f>_xlfn.COVARIANCE.P('Data_Matrix (2018)'!$Z$2:$Z$67,'Data_Matrix (2018)'!AZ$2:AZ$67)</f>
        <v>16.797815349726182</v>
      </c>
      <c r="BA30" s="9">
        <f>_xlfn.COVARIANCE.P('Data_Matrix (2018)'!$Z$2:$Z$67,'Data_Matrix (2018)'!BA$2:BA$67)</f>
        <v>1.7073015994563441</v>
      </c>
      <c r="BB30" s="9">
        <f>_xlfn.COVARIANCE.P('Data_Matrix (2018)'!$Z$2:$Z$67,'Data_Matrix (2018)'!BB$2:BB$67)</f>
        <v>7.5646349869026466</v>
      </c>
      <c r="BC30" s="9">
        <f>_xlfn.COVARIANCE.P('Data_Matrix (2018)'!$Z$2:$Z$67,'Data_Matrix (2018)'!BC$2:BC$67)</f>
        <v>3.1894903982888825</v>
      </c>
      <c r="BD30" s="9">
        <f>_xlfn.COVARIANCE.P('Data_Matrix (2018)'!$Z$2:$Z$67,'Data_Matrix (2018)'!BD$2:BD$67)</f>
        <v>4.6784610757828769E-2</v>
      </c>
      <c r="BE30" s="9">
        <f>_xlfn.COVARIANCE.P('Data_Matrix (2018)'!$Z$2:$Z$67,'Data_Matrix (2018)'!BE$2:BE$67)</f>
        <v>1.5373825880934635</v>
      </c>
      <c r="BF30" s="9">
        <f>_xlfn.COVARIANCE.P('Data_Matrix (2018)'!$Z$2:$Z$67,'Data_Matrix (2018)'!BF$2:BF$67)</f>
        <v>0.15844327889503948</v>
      </c>
      <c r="BG30" s="9">
        <f>_xlfn.COVARIANCE.P('Data_Matrix (2018)'!$Z$2:$Z$67,'Data_Matrix (2018)'!BG$2:BG$67)</f>
        <v>0.35569339087998875</v>
      </c>
      <c r="BH30" s="9">
        <f>_xlfn.COVARIANCE.P('Data_Matrix (2018)'!$Z$2:$Z$67,'Data_Matrix (2018)'!BH$2:BH$67)</f>
        <v>2.3553805404428396</v>
      </c>
      <c r="BI30" s="9">
        <f>_xlfn.COVARIANCE.P('Data_Matrix (2018)'!$Z$2:$Z$67,'Data_Matrix (2018)'!BI$2:BI$67)</f>
        <v>1.1120486523203315</v>
      </c>
      <c r="BJ30" s="9">
        <f>_xlfn.COVARIANCE.P('Data_Matrix (2018)'!$Z$2:$Z$67,'Data_Matrix (2018)'!BJ$2:BJ$67)</f>
        <v>1.3902841130345462</v>
      </c>
      <c r="BK30" s="9">
        <f>_xlfn.COVARIANCE.P('Data_Matrix (2018)'!$Z$2:$Z$67,'Data_Matrix (2018)'!BK$2:BK$67)</f>
        <v>0.26821122961101251</v>
      </c>
      <c r="BL30" s="9">
        <f>_xlfn.COVARIANCE.P('Data_Matrix (2018)'!$Z$2:$Z$67,'Data_Matrix (2018)'!BL$2:BL$67)</f>
        <v>0.74148638664546807</v>
      </c>
      <c r="BM30" s="9">
        <f>_xlfn.COVARIANCE.P('Data_Matrix (2018)'!$Z$2:$Z$67,'Data_Matrix (2018)'!BM$2:BM$67)</f>
        <v>9.351669844675696E-2</v>
      </c>
      <c r="BN30" s="9">
        <f>_xlfn.COVARIANCE.P('Data_Matrix (2018)'!$Z$2:$Z$67,'Data_Matrix (2018)'!BN$2:BN$67)</f>
        <v>-3.4771236413411399E-2</v>
      </c>
      <c r="BO30" s="9">
        <f>_xlfn.COVARIANCE.P('Data_Matrix (2018)'!$Z$2:$Z$67,'Data_Matrix (2018)'!BO$2:BO$67)</f>
        <v>5.5357919689814957E-3</v>
      </c>
    </row>
    <row r="31" spans="2:67" x14ac:dyDescent="0.2">
      <c r="B31" s="9">
        <f>_xlfn.COVARIANCE.P('Data_Matrix (2018)'!$AA$2:$AA$67,'Data_Matrix (2018)'!B$2:B$67)</f>
        <v>31445.504607538769</v>
      </c>
      <c r="C31" s="9">
        <f>_xlfn.COVARIANCE.P('Data_Matrix (2018)'!$AA$2:$AA$67,'Data_Matrix (2018)'!C$2:C$67)</f>
        <v>65720.313380543375</v>
      </c>
      <c r="D31" s="9">
        <f>_xlfn.COVARIANCE.P('Data_Matrix (2018)'!$AA$2:$AA$67,'Data_Matrix (2018)'!D$2:D$67)</f>
        <v>40465.79689826502</v>
      </c>
      <c r="E31" s="9">
        <f>_xlfn.COVARIANCE.P('Data_Matrix (2018)'!$AA$2:$AA$67,'Data_Matrix (2018)'!E$2:E$67)</f>
        <v>27048.132266813376</v>
      </c>
      <c r="F31" s="9">
        <f>_xlfn.COVARIANCE.P('Data_Matrix (2018)'!$AA$2:$AA$67,'Data_Matrix (2018)'!F$2:F$67)</f>
        <v>14210.079415583179</v>
      </c>
      <c r="G31" s="9">
        <f>_xlfn.COVARIANCE.P('Data_Matrix (2018)'!$AA$2:$AA$67,'Data_Matrix (2018)'!G$2:G$67)</f>
        <v>32626.694036464658</v>
      </c>
      <c r="H31" s="9">
        <f>_xlfn.COVARIANCE.P('Data_Matrix (2018)'!$AA$2:$AA$67,'Data_Matrix (2018)'!H$2:H$67)</f>
        <v>8724.0239729751775</v>
      </c>
      <c r="I31" s="9">
        <f>_xlfn.COVARIANCE.P('Data_Matrix (2018)'!$AA$2:$AA$67,'Data_Matrix (2018)'!I$2:I$67)</f>
        <v>11541.191613615045</v>
      </c>
      <c r="J31" s="9">
        <f>_xlfn.COVARIANCE.P('Data_Matrix (2018)'!$AA$2:$AA$67,'Data_Matrix (2018)'!J$2:J$67)</f>
        <v>5478.0362587575737</v>
      </c>
      <c r="K31" s="9">
        <f>_xlfn.COVARIANCE.P('Data_Matrix (2018)'!$AA$2:$AA$67,'Data_Matrix (2018)'!K$2:K$67)</f>
        <v>5706.1000054318638</v>
      </c>
      <c r="L31" s="9">
        <f>_xlfn.COVARIANCE.P('Data_Matrix (2018)'!$AA$2:$AA$67,'Data_Matrix (2018)'!L$2:L$67)</f>
        <v>5883.8113431564798</v>
      </c>
      <c r="M31" s="9">
        <f>_xlfn.COVARIANCE.P('Data_Matrix (2018)'!$AA$2:$AA$67,'Data_Matrix (2018)'!M$2:M$67)</f>
        <v>6244.4821278410373</v>
      </c>
      <c r="N31" s="9">
        <f>_xlfn.COVARIANCE.P('Data_Matrix (2018)'!$AA$2:$AA$67,'Data_Matrix (2018)'!N$2:N$67)</f>
        <v>6675.2322826079426</v>
      </c>
      <c r="O31" s="9">
        <f>_xlfn.COVARIANCE.P('Data_Matrix (2018)'!$AA$2:$AA$67,'Data_Matrix (2018)'!O$2:O$67)</f>
        <v>2933.551767730256</v>
      </c>
      <c r="P31" s="9">
        <f>_xlfn.COVARIANCE.P('Data_Matrix (2018)'!$AA$2:$AA$67,'Data_Matrix (2018)'!P$2:P$67)</f>
        <v>332.46141430733769</v>
      </c>
      <c r="Q31" s="9">
        <f>_xlfn.COVARIANCE.P('Data_Matrix (2018)'!$AA$2:$AA$67,'Data_Matrix (2018)'!Q$2:Q$67)</f>
        <v>2315.5423780395404</v>
      </c>
      <c r="R31" s="9">
        <f>_xlfn.COVARIANCE.P('Data_Matrix (2018)'!$AA$2:$AA$67,'Data_Matrix (2018)'!R$2:R$67)</f>
        <v>3151.9364154719678</v>
      </c>
      <c r="S31" s="9">
        <f>_xlfn.COVARIANCE.P('Data_Matrix (2018)'!$AA$2:$AA$67,'Data_Matrix (2018)'!S$2:S$67)</f>
        <v>2122.3907476318905</v>
      </c>
      <c r="T31" s="9">
        <f>_xlfn.COVARIANCE.P('Data_Matrix (2018)'!$AA$2:$AA$67,'Data_Matrix (2018)'!T$2:T$67)</f>
        <v>1277.3548197100718</v>
      </c>
      <c r="U31" s="9">
        <f>_xlfn.COVARIANCE.P('Data_Matrix (2018)'!$AA$2:$AA$67,'Data_Matrix (2018)'!U$2:U$67)</f>
        <v>825.97355830260437</v>
      </c>
      <c r="V31" s="9">
        <f>_xlfn.COVARIANCE.P('Data_Matrix (2018)'!$AA$2:$AA$67,'Data_Matrix (2018)'!V$2:V$67)</f>
        <v>360.5804559361045</v>
      </c>
      <c r="W31" s="9">
        <f>_xlfn.COVARIANCE.P('Data_Matrix (2018)'!$AA$2:$AA$67,'Data_Matrix (2018)'!W$2:W$67)</f>
        <v>563.05704524714736</v>
      </c>
      <c r="X31" s="9">
        <f>_xlfn.COVARIANCE.P('Data_Matrix (2018)'!$AA$2:$AA$67,'Data_Matrix (2018)'!X$2:X$67)</f>
        <v>764.6071066158413</v>
      </c>
      <c r="Y31" s="9">
        <f>_xlfn.COVARIANCE.P('Data_Matrix (2018)'!$AA$2:$AA$67,'Data_Matrix (2018)'!Y$2:Y$67)</f>
        <v>629.30422746336365</v>
      </c>
      <c r="Z31" s="9">
        <f>_xlfn.COVARIANCE.P('Data_Matrix (2018)'!$AA$2:$AA$67,'Data_Matrix (2018)'!Z$2:Z$67)</f>
        <v>406.72237271105917</v>
      </c>
      <c r="AA31" s="9">
        <f>_xlfn.COVARIANCE.P('Data_Matrix (2018)'!$AA$2:$AA$67,'Data_Matrix (2018)'!AA$2:AA$67)</f>
        <v>1687.7565649593334</v>
      </c>
      <c r="AB31" s="9">
        <f>_xlfn.COVARIANCE.P('Data_Matrix (2018)'!$AA$2:$AA$67,'Data_Matrix (2018)'!AB$2:AB$67)</f>
        <v>236.94601611181673</v>
      </c>
      <c r="AC31" s="9">
        <f>_xlfn.COVARIANCE.P('Data_Matrix (2018)'!$AA$2:$AA$67,'Data_Matrix (2018)'!AC$2:AC$67)</f>
        <v>145.76329930876841</v>
      </c>
      <c r="AD31" s="9">
        <f>_xlfn.COVARIANCE.P('Data_Matrix (2018)'!$AA$2:$AA$67,'Data_Matrix (2018)'!AD$2:AD$67)</f>
        <v>253.46577974648068</v>
      </c>
      <c r="AE31" s="9">
        <f>_xlfn.COVARIANCE.P('Data_Matrix (2018)'!$AA$2:$AA$67,'Data_Matrix (2018)'!AE$2:AE$67)</f>
        <v>153.89025144590852</v>
      </c>
      <c r="AF31" s="9">
        <f>_xlfn.COVARIANCE.P('Data_Matrix (2018)'!$AA$2:$AA$67,'Data_Matrix (2018)'!AF$2:AF$67)</f>
        <v>166.68148341132516</v>
      </c>
      <c r="AG31" s="9">
        <f>_xlfn.COVARIANCE.P('Data_Matrix (2018)'!$AA$2:$AA$67,'Data_Matrix (2018)'!AG$2:AG$67)</f>
        <v>124.67408086679819</v>
      </c>
      <c r="AH31" s="9">
        <f>_xlfn.COVARIANCE.P('Data_Matrix (2018)'!$AA$2:$AA$67,'Data_Matrix (2018)'!AH$2:AH$67)</f>
        <v>51.041093675874563</v>
      </c>
      <c r="AI31" s="9">
        <f>_xlfn.COVARIANCE.P('Data_Matrix (2018)'!$AA$2:$AA$67,'Data_Matrix (2018)'!AI$2:AI$67)</f>
        <v>98.743736770784139</v>
      </c>
      <c r="AJ31" s="9">
        <f>_xlfn.COVARIANCE.P('Data_Matrix (2018)'!$AA$2:$AA$67,'Data_Matrix (2018)'!AJ$2:AJ$67)</f>
        <v>100.24474798150079</v>
      </c>
      <c r="AK31" s="9">
        <f>_xlfn.COVARIANCE.P('Data_Matrix (2018)'!$AA$2:$AA$67,'Data_Matrix (2018)'!AK$2:AK$67)</f>
        <v>102.5694841163719</v>
      </c>
      <c r="AL31" s="9">
        <f>_xlfn.COVARIANCE.P('Data_Matrix (2018)'!$AA$2:$AA$67,'Data_Matrix (2018)'!AL$2:AL$67)</f>
        <v>-135.68299744239349</v>
      </c>
      <c r="AM31" s="9">
        <f>_xlfn.COVARIANCE.P('Data_Matrix (2018)'!$AA$2:$AA$67,'Data_Matrix (2018)'!AM$2:AM$67)</f>
        <v>23.798248192781156</v>
      </c>
      <c r="AN31" s="9">
        <f>_xlfn.COVARIANCE.P('Data_Matrix (2018)'!$AA$2:$AA$67,'Data_Matrix (2018)'!AN$2:AN$67)</f>
        <v>12.394421822326425</v>
      </c>
      <c r="AO31" s="9">
        <f>_xlfn.COVARIANCE.P('Data_Matrix (2018)'!$AA$2:$AA$67,'Data_Matrix (2018)'!AO$2:AO$67)</f>
        <v>24.909218664474707</v>
      </c>
      <c r="AP31" s="9">
        <f>_xlfn.COVARIANCE.P('Data_Matrix (2018)'!$AA$2:$AA$67,'Data_Matrix (2018)'!AP$2:AP$67)</f>
        <v>49.697612705473226</v>
      </c>
      <c r="AQ31" s="9">
        <f>_xlfn.COVARIANCE.P('Data_Matrix (2018)'!$AA$2:$AA$67,'Data_Matrix (2018)'!AQ$2:AQ$67)</f>
        <v>20.265774018112939</v>
      </c>
      <c r="AR31" s="9">
        <f>_xlfn.COVARIANCE.P('Data_Matrix (2018)'!$AA$2:$AA$67,'Data_Matrix (2018)'!AR$2:AR$67)</f>
        <v>31.46363979148758</v>
      </c>
      <c r="AS31" s="9">
        <f>_xlfn.COVARIANCE.P('Data_Matrix (2018)'!$AA$2:$AA$67,'Data_Matrix (2018)'!AS$2:AS$67)</f>
        <v>11.187678866042262</v>
      </c>
      <c r="AT31" s="9">
        <f>_xlfn.COVARIANCE.P('Data_Matrix (2018)'!$AA$2:$AA$67,'Data_Matrix (2018)'!AT$2:AT$67)</f>
        <v>3.5813290969552489</v>
      </c>
      <c r="AU31" s="9">
        <f>_xlfn.COVARIANCE.P('Data_Matrix (2018)'!$AA$2:$AA$67,'Data_Matrix (2018)'!AU$2:AU$67)</f>
        <v>11.848525738139683</v>
      </c>
      <c r="AV31" s="9">
        <f>_xlfn.COVARIANCE.P('Data_Matrix (2018)'!$AA$2:$AA$67,'Data_Matrix (2018)'!AV$2:AV$67)</f>
        <v>12.71223990432634</v>
      </c>
      <c r="AW31" s="9">
        <f>_xlfn.COVARIANCE.P('Data_Matrix (2018)'!$AA$2:$AA$67,'Data_Matrix (2018)'!AW$2:AW$67)</f>
        <v>-10.232567087237772</v>
      </c>
      <c r="AX31" s="9">
        <f>_xlfn.COVARIANCE.P('Data_Matrix (2018)'!$AA$2:$AA$67,'Data_Matrix (2018)'!AX$2:AX$67)</f>
        <v>-3.1868247822438822</v>
      </c>
      <c r="AY31" s="9">
        <f>_xlfn.COVARIANCE.P('Data_Matrix (2018)'!$AA$2:$AA$67,'Data_Matrix (2018)'!AY$2:AY$67)</f>
        <v>17.061862152928502</v>
      </c>
      <c r="AZ31" s="9">
        <f>_xlfn.COVARIANCE.P('Data_Matrix (2018)'!$AA$2:$AA$67,'Data_Matrix (2018)'!AZ$2:AZ$67)</f>
        <v>11.614236196850509</v>
      </c>
      <c r="BA31" s="9">
        <f>_xlfn.COVARIANCE.P('Data_Matrix (2018)'!$AA$2:$AA$67,'Data_Matrix (2018)'!BA$2:BA$67)</f>
        <v>6.2134392374006708</v>
      </c>
      <c r="BB31" s="9">
        <f>_xlfn.COVARIANCE.P('Data_Matrix (2018)'!$AA$2:$AA$67,'Data_Matrix (2018)'!BB$2:BB$67)</f>
        <v>-0.37067586734028157</v>
      </c>
      <c r="BC31" s="9">
        <f>_xlfn.COVARIANCE.P('Data_Matrix (2018)'!$AA$2:$AA$67,'Data_Matrix (2018)'!BC$2:BC$67)</f>
        <v>5.3158062023067938</v>
      </c>
      <c r="BD31" s="9">
        <f>_xlfn.COVARIANCE.P('Data_Matrix (2018)'!$AA$2:$AA$67,'Data_Matrix (2018)'!BD$2:BD$67)</f>
        <v>1.7656960390167027</v>
      </c>
      <c r="BE31" s="9">
        <f>_xlfn.COVARIANCE.P('Data_Matrix (2018)'!$AA$2:$AA$67,'Data_Matrix (2018)'!BE$2:BE$67)</f>
        <v>3.3168617829785547</v>
      </c>
      <c r="BF31" s="9">
        <f>_xlfn.COVARIANCE.P('Data_Matrix (2018)'!$AA$2:$AA$67,'Data_Matrix (2018)'!BF$2:BF$67)</f>
        <v>0.53394132498257463</v>
      </c>
      <c r="BG31" s="9">
        <f>_xlfn.COVARIANCE.P('Data_Matrix (2018)'!$AA$2:$AA$67,'Data_Matrix (2018)'!BG$2:BG$67)</f>
        <v>0.16020432684022756</v>
      </c>
      <c r="BH31" s="9">
        <f>_xlfn.COVARIANCE.P('Data_Matrix (2018)'!$AA$2:$AA$67,'Data_Matrix (2018)'!BH$2:BH$67)</f>
        <v>2.4945614412956605</v>
      </c>
      <c r="BI31" s="9">
        <f>_xlfn.COVARIANCE.P('Data_Matrix (2018)'!$AA$2:$AA$67,'Data_Matrix (2018)'!BI$2:BI$67)</f>
        <v>2.1680419810079745</v>
      </c>
      <c r="BJ31" s="9">
        <f>_xlfn.COVARIANCE.P('Data_Matrix (2018)'!$AA$2:$AA$67,'Data_Matrix (2018)'!BJ$2:BJ$67)</f>
        <v>0.58775176564847964</v>
      </c>
      <c r="BK31" s="9">
        <f>_xlfn.COVARIANCE.P('Data_Matrix (2018)'!$AA$2:$AA$67,'Data_Matrix (2018)'!BK$2:BK$67)</f>
        <v>1.7632192739434305</v>
      </c>
      <c r="BL31" s="9">
        <f>_xlfn.COVARIANCE.P('Data_Matrix (2018)'!$AA$2:$AA$67,'Data_Matrix (2018)'!BL$2:BL$67)</f>
        <v>0.95566148889822544</v>
      </c>
      <c r="BM31" s="9">
        <f>_xlfn.COVARIANCE.P('Data_Matrix (2018)'!$AA$2:$AA$67,'Data_Matrix (2018)'!BM$2:BM$67)</f>
        <v>3.291391946895126E-2</v>
      </c>
      <c r="BN31" s="9">
        <f>_xlfn.COVARIANCE.P('Data_Matrix (2018)'!$AA$2:$AA$67,'Data_Matrix (2018)'!BN$2:BN$67)</f>
        <v>-2.9236342876810373E-2</v>
      </c>
      <c r="BO31" s="9">
        <f>_xlfn.COVARIANCE.P('Data_Matrix (2018)'!$AA$2:$AA$67,'Data_Matrix (2018)'!BO$2:BO$67)</f>
        <v>3.845050970018447E-4</v>
      </c>
    </row>
    <row r="32" spans="2:67" x14ac:dyDescent="0.2">
      <c r="B32" s="9">
        <f>_xlfn.COVARIANCE.P('Data_Matrix (2018)'!$AB$2:$AB$67,'Data_Matrix (2018)'!B$2:B$67)</f>
        <v>8491.1655058365814</v>
      </c>
      <c r="C32" s="9">
        <f>_xlfn.COVARIANCE.P('Data_Matrix (2018)'!$AB$2:$AB$67,'Data_Matrix (2018)'!C$2:C$67)</f>
        <v>15688.603310404606</v>
      </c>
      <c r="D32" s="9">
        <f>_xlfn.COVARIANCE.P('Data_Matrix (2018)'!$AB$2:$AB$67,'Data_Matrix (2018)'!D$2:D$67)</f>
        <v>9651.8828646148413</v>
      </c>
      <c r="E32" s="9">
        <f>_xlfn.COVARIANCE.P('Data_Matrix (2018)'!$AB$2:$AB$67,'Data_Matrix (2018)'!E$2:E$67)</f>
        <v>6694.8523163463251</v>
      </c>
      <c r="F32" s="9">
        <f>_xlfn.COVARIANCE.P('Data_Matrix (2018)'!$AB$2:$AB$67,'Data_Matrix (2018)'!F$2:F$67)</f>
        <v>3148.1020073642994</v>
      </c>
      <c r="G32" s="9">
        <f>_xlfn.COVARIANCE.P('Data_Matrix (2018)'!$AB$2:$AB$67,'Data_Matrix (2018)'!G$2:G$67)</f>
        <v>7624.0298580826011</v>
      </c>
      <c r="H32" s="9">
        <f>_xlfn.COVARIANCE.P('Data_Matrix (2018)'!$AB$2:$AB$67,'Data_Matrix (2018)'!H$2:H$67)</f>
        <v>2638.7698455538189</v>
      </c>
      <c r="I32" s="9">
        <f>_xlfn.COVARIANCE.P('Data_Matrix (2018)'!$AB$2:$AB$67,'Data_Matrix (2018)'!I$2:I$67)</f>
        <v>2454.7110914377467</v>
      </c>
      <c r="J32" s="9">
        <f>_xlfn.COVARIANCE.P('Data_Matrix (2018)'!$AB$2:$AB$67,'Data_Matrix (2018)'!J$2:J$67)</f>
        <v>1231.7104908151155</v>
      </c>
      <c r="K32" s="9">
        <f>_xlfn.COVARIANCE.P('Data_Matrix (2018)'!$AB$2:$AB$67,'Data_Matrix (2018)'!K$2:K$67)</f>
        <v>1450.7542510347018</v>
      </c>
      <c r="L32" s="9">
        <f>_xlfn.COVARIANCE.P('Data_Matrix (2018)'!$AB$2:$AB$67,'Data_Matrix (2018)'!L$2:L$67)</f>
        <v>1395.2828391748383</v>
      </c>
      <c r="M32" s="9">
        <f>_xlfn.COVARIANCE.P('Data_Matrix (2018)'!$AB$2:$AB$67,'Data_Matrix (2018)'!M$2:M$67)</f>
        <v>1321.4679668285582</v>
      </c>
      <c r="N32" s="9">
        <f>_xlfn.COVARIANCE.P('Data_Matrix (2018)'!$AB$2:$AB$67,'Data_Matrix (2018)'!N$2:N$67)</f>
        <v>1550.5645623766889</v>
      </c>
      <c r="O32" s="9">
        <f>_xlfn.COVARIANCE.P('Data_Matrix (2018)'!$AB$2:$AB$67,'Data_Matrix (2018)'!O$2:O$67)</f>
        <v>687.24132660766634</v>
      </c>
      <c r="P32" s="9">
        <f>_xlfn.COVARIANCE.P('Data_Matrix (2018)'!$AB$2:$AB$67,'Data_Matrix (2018)'!P$2:P$67)</f>
        <v>-35.784534523703094</v>
      </c>
      <c r="Q32" s="9">
        <f>_xlfn.COVARIANCE.P('Data_Matrix (2018)'!$AB$2:$AB$67,'Data_Matrix (2018)'!Q$2:Q$67)</f>
        <v>576.36458423622184</v>
      </c>
      <c r="R32" s="9">
        <f>_xlfn.COVARIANCE.P('Data_Matrix (2018)'!$AB$2:$AB$67,'Data_Matrix (2018)'!R$2:R$67)</f>
        <v>800.57721329309584</v>
      </c>
      <c r="S32" s="9">
        <f>_xlfn.COVARIANCE.P('Data_Matrix (2018)'!$AB$2:$AB$67,'Data_Matrix (2018)'!S$2:S$67)</f>
        <v>432.79875430762968</v>
      </c>
      <c r="T32" s="9">
        <f>_xlfn.COVARIANCE.P('Data_Matrix (2018)'!$AB$2:$AB$67,'Data_Matrix (2018)'!T$2:T$67)</f>
        <v>303.76086987159368</v>
      </c>
      <c r="U32" s="9">
        <f>_xlfn.COVARIANCE.P('Data_Matrix (2018)'!$AB$2:$AB$67,'Data_Matrix (2018)'!U$2:U$67)</f>
        <v>182.76473845866653</v>
      </c>
      <c r="V32" s="9">
        <f>_xlfn.COVARIANCE.P('Data_Matrix (2018)'!$AB$2:$AB$67,'Data_Matrix (2018)'!V$2:V$67)</f>
        <v>112.10861431029639</v>
      </c>
      <c r="W32" s="9">
        <f>_xlfn.COVARIANCE.P('Data_Matrix (2018)'!$AB$2:$AB$67,'Data_Matrix (2018)'!W$2:W$67)</f>
        <v>107.08838400213482</v>
      </c>
      <c r="X32" s="9">
        <f>_xlfn.COVARIANCE.P('Data_Matrix (2018)'!$AB$2:$AB$67,'Data_Matrix (2018)'!X$2:X$67)</f>
        <v>163.5532021233883</v>
      </c>
      <c r="Y32" s="9">
        <f>_xlfn.COVARIANCE.P('Data_Matrix (2018)'!$AB$2:$AB$67,'Data_Matrix (2018)'!Y$2:Y$67)</f>
        <v>146.9451942853886</v>
      </c>
      <c r="Z32" s="9">
        <f>_xlfn.COVARIANCE.P('Data_Matrix (2018)'!$AB$2:$AB$67,'Data_Matrix (2018)'!Z$2:Z$67)</f>
        <v>95.859138319942588</v>
      </c>
      <c r="AA32" s="9">
        <f>_xlfn.COVARIANCE.P('Data_Matrix (2018)'!$AB$2:$AB$67,'Data_Matrix (2018)'!AA$2:AA$67)</f>
        <v>236.94601611181673</v>
      </c>
      <c r="AB32" s="9">
        <f>_xlfn.COVARIANCE.P('Data_Matrix (2018)'!$AB$2:$AB$67,'Data_Matrix (2018)'!AB$2:AB$67)</f>
        <v>43.63487433486214</v>
      </c>
      <c r="AC32" s="9">
        <f>_xlfn.COVARIANCE.P('Data_Matrix (2018)'!$AB$2:$AB$67,'Data_Matrix (2018)'!AC$2:AC$67)</f>
        <v>24.722702857593092</v>
      </c>
      <c r="AD32" s="9">
        <f>_xlfn.COVARIANCE.P('Data_Matrix (2018)'!$AB$2:$AB$67,'Data_Matrix (2018)'!AD$2:AD$67)</f>
        <v>42.339547374095979</v>
      </c>
      <c r="AE32" s="9">
        <f>_xlfn.COVARIANCE.P('Data_Matrix (2018)'!$AB$2:$AB$67,'Data_Matrix (2018)'!AE$2:AE$67)</f>
        <v>23.373642849495408</v>
      </c>
      <c r="AF32" s="9">
        <f>_xlfn.COVARIANCE.P('Data_Matrix (2018)'!$AB$2:$AB$67,'Data_Matrix (2018)'!AF$2:AF$67)</f>
        <v>28.457684232386896</v>
      </c>
      <c r="AG32" s="9">
        <f>_xlfn.COVARIANCE.P('Data_Matrix (2018)'!$AB$2:$AB$67,'Data_Matrix (2018)'!AG$2:AG$67)</f>
        <v>13.76181598246837</v>
      </c>
      <c r="AH32" s="9">
        <f>_xlfn.COVARIANCE.P('Data_Matrix (2018)'!$AB$2:$AB$67,'Data_Matrix (2018)'!AH$2:AH$67)</f>
        <v>7.1407203539144026</v>
      </c>
      <c r="AI32" s="9">
        <f>_xlfn.COVARIANCE.P('Data_Matrix (2018)'!$AB$2:$AB$67,'Data_Matrix (2018)'!AI$2:AI$67)</f>
        <v>18.066634267755301</v>
      </c>
      <c r="AJ32" s="9">
        <f>_xlfn.COVARIANCE.P('Data_Matrix (2018)'!$AB$2:$AB$67,'Data_Matrix (2018)'!AJ$2:AJ$67)</f>
        <v>17.950016464292183</v>
      </c>
      <c r="AK32" s="9">
        <f>_xlfn.COVARIANCE.P('Data_Matrix (2018)'!$AB$2:$AB$67,'Data_Matrix (2018)'!AK$2:AK$67)</f>
        <v>9.873155721640078</v>
      </c>
      <c r="AL32" s="9">
        <f>_xlfn.COVARIANCE.P('Data_Matrix (2018)'!$AB$2:$AB$67,'Data_Matrix (2018)'!AL$2:AL$67)</f>
        <v>-21.22173228661697</v>
      </c>
      <c r="AM32" s="9">
        <f>_xlfn.COVARIANCE.P('Data_Matrix (2018)'!$AB$2:$AB$67,'Data_Matrix (2018)'!AM$2:AM$67)</f>
        <v>5.8256130863616606</v>
      </c>
      <c r="AN32" s="9">
        <f>_xlfn.COVARIANCE.P('Data_Matrix (2018)'!$AB$2:$AB$67,'Data_Matrix (2018)'!AN$2:AN$67)</f>
        <v>1.5156535999790435</v>
      </c>
      <c r="AO32" s="9">
        <f>_xlfn.COVARIANCE.P('Data_Matrix (2018)'!$AB$2:$AB$67,'Data_Matrix (2018)'!AO$2:AO$67)</f>
        <v>5.3064034814032786</v>
      </c>
      <c r="AP32" s="9">
        <f>_xlfn.COVARIANCE.P('Data_Matrix (2018)'!$AB$2:$AB$67,'Data_Matrix (2018)'!AP$2:AP$67)</f>
        <v>10.999844391776412</v>
      </c>
      <c r="AQ32" s="9">
        <f>_xlfn.COVARIANCE.P('Data_Matrix (2018)'!$AB$2:$AB$67,'Data_Matrix (2018)'!AQ$2:AQ$67)</f>
        <v>1.1544957935729512</v>
      </c>
      <c r="AR32" s="9">
        <f>_xlfn.COVARIANCE.P('Data_Matrix (2018)'!$AB$2:$AB$67,'Data_Matrix (2018)'!AR$2:AR$67)</f>
        <v>5.341137728483127</v>
      </c>
      <c r="AS32" s="9">
        <f>_xlfn.COVARIANCE.P('Data_Matrix (2018)'!$AB$2:$AB$67,'Data_Matrix (2018)'!AS$2:AS$67)</f>
        <v>4.6984417247953898</v>
      </c>
      <c r="AT32" s="9">
        <f>_xlfn.COVARIANCE.P('Data_Matrix (2018)'!$AB$2:$AB$67,'Data_Matrix (2018)'!AT$2:AT$67)</f>
        <v>-0.6856685753349393</v>
      </c>
      <c r="AU32" s="9">
        <f>_xlfn.COVARIANCE.P('Data_Matrix (2018)'!$AB$2:$AB$67,'Data_Matrix (2018)'!AU$2:AU$67)</f>
        <v>1.7455053349015928</v>
      </c>
      <c r="AV32" s="9">
        <f>_xlfn.COVARIANCE.P('Data_Matrix (2018)'!$AB$2:$AB$67,'Data_Matrix (2018)'!AV$2:AV$67)</f>
        <v>2.3429050084251122</v>
      </c>
      <c r="AW32" s="9">
        <f>_xlfn.COVARIANCE.P('Data_Matrix (2018)'!$AB$2:$AB$67,'Data_Matrix (2018)'!AW$2:AW$67)</f>
        <v>-2.7797067998150422</v>
      </c>
      <c r="AX32" s="9">
        <f>_xlfn.COVARIANCE.P('Data_Matrix (2018)'!$AB$2:$AB$67,'Data_Matrix (2018)'!AX$2:AX$67)</f>
        <v>-2.9860967824629938</v>
      </c>
      <c r="AY32" s="9">
        <f>_xlfn.COVARIANCE.P('Data_Matrix (2018)'!$AB$2:$AB$67,'Data_Matrix (2018)'!AY$2:AY$67)</f>
        <v>3.4530581534545814</v>
      </c>
      <c r="AZ32" s="9">
        <f>_xlfn.COVARIANCE.P('Data_Matrix (2018)'!$AB$2:$AB$67,'Data_Matrix (2018)'!AZ$2:AZ$67)</f>
        <v>1.1039885676565337</v>
      </c>
      <c r="BA32" s="9">
        <f>_xlfn.COVARIANCE.P('Data_Matrix (2018)'!$AB$2:$AB$67,'Data_Matrix (2018)'!BA$2:BA$67)</f>
        <v>0.80907306552907454</v>
      </c>
      <c r="BB32" s="9">
        <f>_xlfn.COVARIANCE.P('Data_Matrix (2018)'!$AB$2:$AB$67,'Data_Matrix (2018)'!BB$2:BB$67)</f>
        <v>7.2928479366486915E-2</v>
      </c>
      <c r="BC32" s="9">
        <f>_xlfn.COVARIANCE.P('Data_Matrix (2018)'!$AB$2:$AB$67,'Data_Matrix (2018)'!BC$2:BC$67)</f>
        <v>1.4170173479337342</v>
      </c>
      <c r="BD32" s="9">
        <f>_xlfn.COVARIANCE.P('Data_Matrix (2018)'!$AB$2:$AB$67,'Data_Matrix (2018)'!BD$2:BD$67)</f>
        <v>-0.13878136960345955</v>
      </c>
      <c r="BE32" s="9">
        <f>_xlfn.COVARIANCE.P('Data_Matrix (2018)'!$AB$2:$AB$67,'Data_Matrix (2018)'!BE$2:BE$67)</f>
        <v>0.51153811253517911</v>
      </c>
      <c r="BF32" s="9">
        <f>_xlfn.COVARIANCE.P('Data_Matrix (2018)'!$AB$2:$AB$67,'Data_Matrix (2018)'!BF$2:BF$67)</f>
        <v>0.10531701524768537</v>
      </c>
      <c r="BG32" s="9">
        <f>_xlfn.COVARIANCE.P('Data_Matrix (2018)'!$AB$2:$AB$67,'Data_Matrix (2018)'!BG$2:BG$67)</f>
        <v>4.5366061032040814E-2</v>
      </c>
      <c r="BH32" s="9">
        <f>_xlfn.COVARIANCE.P('Data_Matrix (2018)'!$AB$2:$AB$67,'Data_Matrix (2018)'!BH$2:BH$67)</f>
        <v>0.65382163728138554</v>
      </c>
      <c r="BI32" s="9">
        <f>_xlfn.COVARIANCE.P('Data_Matrix (2018)'!$AB$2:$AB$67,'Data_Matrix (2018)'!BI$2:BI$67)</f>
        <v>0.28154616937221</v>
      </c>
      <c r="BJ32" s="9">
        <f>_xlfn.COVARIANCE.P('Data_Matrix (2018)'!$AB$2:$AB$67,'Data_Matrix (2018)'!BJ$2:BJ$67)</f>
        <v>0.14584141951430166</v>
      </c>
      <c r="BK32" s="9">
        <f>_xlfn.COVARIANCE.P('Data_Matrix (2018)'!$AB$2:$AB$67,'Data_Matrix (2018)'!BK$2:BK$67)</f>
        <v>0.18303701819983773</v>
      </c>
      <c r="BL32" s="9">
        <f>_xlfn.COVARIANCE.P('Data_Matrix (2018)'!$AB$2:$AB$67,'Data_Matrix (2018)'!BL$2:BL$67)</f>
        <v>0.14197376901916306</v>
      </c>
      <c r="BM32" s="9">
        <f>_xlfn.COVARIANCE.P('Data_Matrix (2018)'!$AB$2:$AB$67,'Data_Matrix (2018)'!BM$2:BM$67)</f>
        <v>9.8873372231102884E-3</v>
      </c>
      <c r="BN32" s="9">
        <f>_xlfn.COVARIANCE.P('Data_Matrix (2018)'!$AB$2:$AB$67,'Data_Matrix (2018)'!BN$2:BN$67)</f>
        <v>-5.5119422912371461E-3</v>
      </c>
      <c r="BO32" s="9">
        <f>_xlfn.COVARIANCE.P('Data_Matrix (2018)'!$AB$2:$AB$67,'Data_Matrix (2018)'!BO$2:BO$67)</f>
        <v>4.3361875129919883E-4</v>
      </c>
    </row>
    <row r="33" spans="2:67" x14ac:dyDescent="0.2">
      <c r="B33" s="9">
        <f>_xlfn.COVARIANCE.P('Data_Matrix (2018)'!$AC$2:$AC$67,'Data_Matrix (2018)'!B$2:B$67)</f>
        <v>20929.401868855843</v>
      </c>
      <c r="C33" s="9">
        <f>_xlfn.COVARIANCE.P('Data_Matrix (2018)'!$AC$2:$AC$67,'Data_Matrix (2018)'!C$2:C$67)</f>
        <v>12558.930575934728</v>
      </c>
      <c r="D33" s="9">
        <f>_xlfn.COVARIANCE.P('Data_Matrix (2018)'!$AC$2:$AC$67,'Data_Matrix (2018)'!D$2:D$67)</f>
        <v>7569.2385698038897</v>
      </c>
      <c r="E33" s="9">
        <f>_xlfn.COVARIANCE.P('Data_Matrix (2018)'!$AC$2:$AC$67,'Data_Matrix (2018)'!E$2:E$67)</f>
        <v>8272.8048127036145</v>
      </c>
      <c r="F33" s="9">
        <f>_xlfn.COVARIANCE.P('Data_Matrix (2018)'!$AC$2:$AC$67,'Data_Matrix (2018)'!F$2:F$67)</f>
        <v>6068.1211071670023</v>
      </c>
      <c r="G33" s="9">
        <f>_xlfn.COVARIANCE.P('Data_Matrix (2018)'!$AC$2:$AC$67,'Data_Matrix (2018)'!G$2:G$67)</f>
        <v>5302.5358745372687</v>
      </c>
      <c r="H33" s="9">
        <f>_xlfn.COVARIANCE.P('Data_Matrix (2018)'!$AC$2:$AC$67,'Data_Matrix (2018)'!H$2:H$67)</f>
        <v>4060.4706579275644</v>
      </c>
      <c r="I33" s="9">
        <f>_xlfn.COVARIANCE.P('Data_Matrix (2018)'!$AC$2:$AC$67,'Data_Matrix (2018)'!I$2:I$67)</f>
        <v>2416.2267828013919</v>
      </c>
      <c r="J33" s="9">
        <f>_xlfn.COVARIANCE.P('Data_Matrix (2018)'!$AC$2:$AC$67,'Data_Matrix (2018)'!J$2:J$67)</f>
        <v>1.1793149682912096</v>
      </c>
      <c r="K33" s="9">
        <f>_xlfn.COVARIANCE.P('Data_Matrix (2018)'!$AC$2:$AC$67,'Data_Matrix (2018)'!K$2:K$67)</f>
        <v>1974.9783348424489</v>
      </c>
      <c r="L33" s="9">
        <f>_xlfn.COVARIANCE.P('Data_Matrix (2018)'!$AC$2:$AC$67,'Data_Matrix (2018)'!L$2:L$67)</f>
        <v>1751.6120481624382</v>
      </c>
      <c r="M33" s="9">
        <f>_xlfn.COVARIANCE.P('Data_Matrix (2018)'!$AC$2:$AC$67,'Data_Matrix (2018)'!M$2:M$67)</f>
        <v>970.90969700842106</v>
      </c>
      <c r="N33" s="9">
        <f>_xlfn.COVARIANCE.P('Data_Matrix (2018)'!$AC$2:$AC$67,'Data_Matrix (2018)'!N$2:N$67)</f>
        <v>773.65194693279545</v>
      </c>
      <c r="O33" s="9">
        <f>_xlfn.COVARIANCE.P('Data_Matrix (2018)'!$AC$2:$AC$67,'Data_Matrix (2018)'!O$2:O$67)</f>
        <v>683.41983735601195</v>
      </c>
      <c r="P33" s="9">
        <f>_xlfn.COVARIANCE.P('Data_Matrix (2018)'!$AC$2:$AC$67,'Data_Matrix (2018)'!P$2:P$67)</f>
        <v>389.13272466692132</v>
      </c>
      <c r="Q33" s="9">
        <f>_xlfn.COVARIANCE.P('Data_Matrix (2018)'!$AC$2:$AC$67,'Data_Matrix (2018)'!Q$2:Q$67)</f>
        <v>657.94390425664642</v>
      </c>
      <c r="R33" s="9">
        <f>_xlfn.COVARIANCE.P('Data_Matrix (2018)'!$AC$2:$AC$67,'Data_Matrix (2018)'!R$2:R$67)</f>
        <v>657.36387745431284</v>
      </c>
      <c r="S33" s="9">
        <f>_xlfn.COVARIANCE.P('Data_Matrix (2018)'!$AC$2:$AC$67,'Data_Matrix (2018)'!S$2:S$67)</f>
        <v>460.98119617495752</v>
      </c>
      <c r="T33" s="9">
        <f>_xlfn.COVARIANCE.P('Data_Matrix (2018)'!$AC$2:$AC$67,'Data_Matrix (2018)'!T$2:T$67)</f>
        <v>303.54621685788823</v>
      </c>
      <c r="U33" s="9">
        <f>_xlfn.COVARIANCE.P('Data_Matrix (2018)'!$AC$2:$AC$67,'Data_Matrix (2018)'!U$2:U$67)</f>
        <v>182.85309211767708</v>
      </c>
      <c r="V33" s="9">
        <f>_xlfn.COVARIANCE.P('Data_Matrix (2018)'!$AC$2:$AC$67,'Data_Matrix (2018)'!V$2:V$67)</f>
        <v>123.58740156971514</v>
      </c>
      <c r="W33" s="9">
        <f>_xlfn.COVARIANCE.P('Data_Matrix (2018)'!$AC$2:$AC$67,'Data_Matrix (2018)'!W$2:W$67)</f>
        <v>110.03082411754907</v>
      </c>
      <c r="X33" s="9">
        <f>_xlfn.COVARIANCE.P('Data_Matrix (2018)'!$AC$2:$AC$67,'Data_Matrix (2018)'!X$2:X$67)</f>
        <v>157.78679358137566</v>
      </c>
      <c r="Y33" s="9">
        <f>_xlfn.COVARIANCE.P('Data_Matrix (2018)'!$AC$2:$AC$67,'Data_Matrix (2018)'!Y$2:Y$67)</f>
        <v>167.4102695965571</v>
      </c>
      <c r="Z33" s="9">
        <f>_xlfn.COVARIANCE.P('Data_Matrix (2018)'!$AC$2:$AC$67,'Data_Matrix (2018)'!Z$2:Z$67)</f>
        <v>136.74954560230913</v>
      </c>
      <c r="AA33" s="9">
        <f>_xlfn.COVARIANCE.P('Data_Matrix (2018)'!$AC$2:$AC$67,'Data_Matrix (2018)'!AA$2:AA$67)</f>
        <v>145.76329930876841</v>
      </c>
      <c r="AB33" s="9">
        <f>_xlfn.COVARIANCE.P('Data_Matrix (2018)'!$AC$2:$AC$67,'Data_Matrix (2018)'!AB$2:AB$67)</f>
        <v>24.722702857593092</v>
      </c>
      <c r="AC33" s="9">
        <f>_xlfn.COVARIANCE.P('Data_Matrix (2018)'!$AC$2:$AC$67,'Data_Matrix (2018)'!AC$2:AC$67)</f>
        <v>92.685657632213861</v>
      </c>
      <c r="AD33" s="9">
        <f>_xlfn.COVARIANCE.P('Data_Matrix (2018)'!$AC$2:$AC$67,'Data_Matrix (2018)'!AD$2:AD$67)</f>
        <v>43.553954541948279</v>
      </c>
      <c r="AE33" s="9">
        <f>_xlfn.COVARIANCE.P('Data_Matrix (2018)'!$AC$2:$AC$67,'Data_Matrix (2018)'!AE$2:AE$67)</f>
        <v>66.153866465851834</v>
      </c>
      <c r="AF33" s="9">
        <f>_xlfn.COVARIANCE.P('Data_Matrix (2018)'!$AC$2:$AC$67,'Data_Matrix (2018)'!AF$2:AF$67)</f>
        <v>54.414234976848654</v>
      </c>
      <c r="AG33" s="9">
        <f>_xlfn.COVARIANCE.P('Data_Matrix (2018)'!$AC$2:$AC$67,'Data_Matrix (2018)'!AG$2:AG$67)</f>
        <v>52.885407136547435</v>
      </c>
      <c r="AH33" s="9">
        <f>_xlfn.COVARIANCE.P('Data_Matrix (2018)'!$AC$2:$AC$67,'Data_Matrix (2018)'!AH$2:AH$67)</f>
        <v>32.429777028661462</v>
      </c>
      <c r="AI33" s="9">
        <f>_xlfn.COVARIANCE.P('Data_Matrix (2018)'!$AC$2:$AC$67,'Data_Matrix (2018)'!AI$2:AI$67)</f>
        <v>15.023416226887987</v>
      </c>
      <c r="AJ33" s="9">
        <f>_xlfn.COVARIANCE.P('Data_Matrix (2018)'!$AC$2:$AC$67,'Data_Matrix (2018)'!AJ$2:AJ$67)</f>
        <v>30.952956586451741</v>
      </c>
      <c r="AK33" s="9">
        <f>_xlfn.COVARIANCE.P('Data_Matrix (2018)'!$AC$2:$AC$67,'Data_Matrix (2018)'!AK$2:AK$67)</f>
        <v>24.7688851250916</v>
      </c>
      <c r="AL33" s="9">
        <f>_xlfn.COVARIANCE.P('Data_Matrix (2018)'!$AC$2:$AC$67,'Data_Matrix (2018)'!AL$2:AL$67)</f>
        <v>3.8789049064660817</v>
      </c>
      <c r="AM33" s="9">
        <f>_xlfn.COVARIANCE.P('Data_Matrix (2018)'!$AC$2:$AC$67,'Data_Matrix (2018)'!AM$2:AM$67)</f>
        <v>13.7075639983822</v>
      </c>
      <c r="AN33" s="9">
        <f>_xlfn.COVARIANCE.P('Data_Matrix (2018)'!$AC$2:$AC$67,'Data_Matrix (2018)'!AN$2:AN$67)</f>
        <v>2.901835470084424</v>
      </c>
      <c r="AO33" s="9">
        <f>_xlfn.COVARIANCE.P('Data_Matrix (2018)'!$AC$2:$AC$67,'Data_Matrix (2018)'!AO$2:AO$67)</f>
        <v>13.034152515943278</v>
      </c>
      <c r="AP33" s="9">
        <f>_xlfn.COVARIANCE.P('Data_Matrix (2018)'!$AC$2:$AC$67,'Data_Matrix (2018)'!AP$2:AP$67)</f>
        <v>12.831703291602016</v>
      </c>
      <c r="AQ33" s="9">
        <f>_xlfn.COVARIANCE.P('Data_Matrix (2018)'!$AC$2:$AC$67,'Data_Matrix (2018)'!AQ$2:AQ$67)</f>
        <v>18.397302117187941</v>
      </c>
      <c r="AR33" s="9">
        <f>_xlfn.COVARIANCE.P('Data_Matrix (2018)'!$AC$2:$AC$67,'Data_Matrix (2018)'!AR$2:AR$67)</f>
        <v>0.65452542088768684</v>
      </c>
      <c r="AS33" s="9">
        <f>_xlfn.COVARIANCE.P('Data_Matrix (2018)'!$AC$2:$AC$67,'Data_Matrix (2018)'!AS$2:AS$67)</f>
        <v>0.14907382378784079</v>
      </c>
      <c r="AT33" s="9">
        <f>_xlfn.COVARIANCE.P('Data_Matrix (2018)'!$AC$2:$AC$67,'Data_Matrix (2018)'!AT$2:AT$67)</f>
        <v>8.6376622397390577</v>
      </c>
      <c r="AU33" s="9">
        <f>_xlfn.COVARIANCE.P('Data_Matrix (2018)'!$AC$2:$AC$67,'Data_Matrix (2018)'!AU$2:AU$67)</f>
        <v>-2.2801692135858453</v>
      </c>
      <c r="AV33" s="9">
        <f>_xlfn.COVARIANCE.P('Data_Matrix (2018)'!$AC$2:$AC$67,'Data_Matrix (2018)'!AV$2:AV$67)</f>
        <v>9.2582986024265281</v>
      </c>
      <c r="AW33" s="9">
        <f>_xlfn.COVARIANCE.P('Data_Matrix (2018)'!$AC$2:$AC$67,'Data_Matrix (2018)'!AW$2:AW$67)</f>
        <v>-3.8679291577547752</v>
      </c>
      <c r="AX33" s="9">
        <f>_xlfn.COVARIANCE.P('Data_Matrix (2018)'!$AC$2:$AC$67,'Data_Matrix (2018)'!AX$2:AX$67)</f>
        <v>11.773565219571525</v>
      </c>
      <c r="AY33" s="9">
        <f>_xlfn.COVARIANCE.P('Data_Matrix (2018)'!$AC$2:$AC$67,'Data_Matrix (2018)'!AY$2:AY$67)</f>
        <v>2.99351395726422</v>
      </c>
      <c r="AZ33" s="9">
        <f>_xlfn.COVARIANCE.P('Data_Matrix (2018)'!$AC$2:$AC$67,'Data_Matrix (2018)'!AZ$2:AZ$67)</f>
        <v>4.2427337540760837</v>
      </c>
      <c r="BA33" s="9">
        <f>_xlfn.COVARIANCE.P('Data_Matrix (2018)'!$AC$2:$AC$67,'Data_Matrix (2018)'!BA$2:BA$67)</f>
        <v>0.37088311348414654</v>
      </c>
      <c r="BB33" s="9">
        <f>_xlfn.COVARIANCE.P('Data_Matrix (2018)'!$AC$2:$AC$67,'Data_Matrix (2018)'!BB$2:BB$67)</f>
        <v>1.0438410434427847</v>
      </c>
      <c r="BC33" s="9">
        <f>_xlfn.COVARIANCE.P('Data_Matrix (2018)'!$AC$2:$AC$67,'Data_Matrix (2018)'!BC$2:BC$67)</f>
        <v>1.4594013445974905</v>
      </c>
      <c r="BD33" s="9">
        <f>_xlfn.COVARIANCE.P('Data_Matrix (2018)'!$AC$2:$AC$67,'Data_Matrix (2018)'!BD$2:BD$67)</f>
        <v>0.3569826468459163</v>
      </c>
      <c r="BE33" s="9">
        <f>_xlfn.COVARIANCE.P('Data_Matrix (2018)'!$AC$2:$AC$67,'Data_Matrix (2018)'!BE$2:BE$67)</f>
        <v>0.24686738029389194</v>
      </c>
      <c r="BF33" s="9">
        <f>_xlfn.COVARIANCE.P('Data_Matrix (2018)'!$AC$2:$AC$67,'Data_Matrix (2018)'!BF$2:BF$67)</f>
        <v>3.1638893476214722E-2</v>
      </c>
      <c r="BG33" s="9">
        <f>_xlfn.COVARIANCE.P('Data_Matrix (2018)'!$AC$2:$AC$67,'Data_Matrix (2018)'!BG$2:BG$67)</f>
        <v>6.8942526395894446E-2</v>
      </c>
      <c r="BH33" s="9">
        <f>_xlfn.COVARIANCE.P('Data_Matrix (2018)'!$AC$2:$AC$67,'Data_Matrix (2018)'!BH$2:BH$67)</f>
        <v>0.83240832563851774</v>
      </c>
      <c r="BI33" s="9">
        <f>_xlfn.COVARIANCE.P('Data_Matrix (2018)'!$AC$2:$AC$67,'Data_Matrix (2018)'!BI$2:BI$67)</f>
        <v>0.27416412181799971</v>
      </c>
      <c r="BJ33" s="9">
        <f>_xlfn.COVARIANCE.P('Data_Matrix (2018)'!$AC$2:$AC$67,'Data_Matrix (2018)'!BJ$2:BJ$67)</f>
        <v>0.40859185207593268</v>
      </c>
      <c r="BK33" s="9">
        <f>_xlfn.COVARIANCE.P('Data_Matrix (2018)'!$AC$2:$AC$67,'Data_Matrix (2018)'!BK$2:BK$67)</f>
        <v>0.12342466064191646</v>
      </c>
      <c r="BL33" s="9">
        <f>_xlfn.COVARIANCE.P('Data_Matrix (2018)'!$AC$2:$AC$67,'Data_Matrix (2018)'!BL$2:BL$67)</f>
        <v>9.6471166071452855E-2</v>
      </c>
      <c r="BM33" s="9">
        <f>_xlfn.COVARIANCE.P('Data_Matrix (2018)'!$AC$2:$AC$67,'Data_Matrix (2018)'!BM$2:BM$67)</f>
        <v>1.4088150262453298E-2</v>
      </c>
      <c r="BN33" s="9">
        <f>_xlfn.COVARIANCE.P('Data_Matrix (2018)'!$AC$2:$AC$67,'Data_Matrix (2018)'!BN$2:BN$67)</f>
        <v>-1.3669584312692482E-2</v>
      </c>
      <c r="BO33" s="9">
        <f>_xlfn.COVARIANCE.P('Data_Matrix (2018)'!$AC$2:$AC$67,'Data_Matrix (2018)'!BO$2:BO$67)</f>
        <v>-2.4030408654011646E-4</v>
      </c>
    </row>
    <row r="34" spans="2:67" x14ac:dyDescent="0.2">
      <c r="B34" s="9">
        <f>_xlfn.COVARIANCE.P('Data_Matrix (2018)'!$AD$2:$AD$67,'Data_Matrix (2018)'!B$2:B$67)</f>
        <v>17449.217193257122</v>
      </c>
      <c r="C34" s="9">
        <f>_xlfn.COVARIANCE.P('Data_Matrix (2018)'!$AD$2:$AD$67,'Data_Matrix (2018)'!C$2:C$67)</f>
        <v>22254.116527652106</v>
      </c>
      <c r="D34" s="9">
        <f>_xlfn.COVARIANCE.P('Data_Matrix (2018)'!$AD$2:$AD$67,'Data_Matrix (2018)'!D$2:D$67)</f>
        <v>14874.297353549715</v>
      </c>
      <c r="E34" s="9">
        <f>_xlfn.COVARIANCE.P('Data_Matrix (2018)'!$AD$2:$AD$67,'Data_Matrix (2018)'!E$2:E$67)</f>
        <v>9554.3204967047459</v>
      </c>
      <c r="F34" s="9">
        <f>_xlfn.COVARIANCE.P('Data_Matrix (2018)'!$AD$2:$AD$67,'Data_Matrix (2018)'!F$2:F$67)</f>
        <v>5577.6623755395094</v>
      </c>
      <c r="G34" s="9">
        <f>_xlfn.COVARIANCE.P('Data_Matrix (2018)'!$AD$2:$AD$67,'Data_Matrix (2018)'!G$2:G$67)</f>
        <v>11216.94887043501</v>
      </c>
      <c r="H34" s="9">
        <f>_xlfn.COVARIANCE.P('Data_Matrix (2018)'!$AD$2:$AD$67,'Data_Matrix (2018)'!H$2:H$67)</f>
        <v>4017.7961053551753</v>
      </c>
      <c r="I34" s="9">
        <f>_xlfn.COVARIANCE.P('Data_Matrix (2018)'!$AD$2:$AD$67,'Data_Matrix (2018)'!I$2:I$67)</f>
        <v>4143.9057794819973</v>
      </c>
      <c r="J34" s="9">
        <f>_xlfn.COVARIANCE.P('Data_Matrix (2018)'!$AD$2:$AD$67,'Data_Matrix (2018)'!J$2:J$67)</f>
        <v>1737.5321977693513</v>
      </c>
      <c r="K34" s="9">
        <f>_xlfn.COVARIANCE.P('Data_Matrix (2018)'!$AD$2:$AD$67,'Data_Matrix (2018)'!K$2:K$67)</f>
        <v>2392.6717120006383</v>
      </c>
      <c r="L34" s="9">
        <f>_xlfn.COVARIANCE.P('Data_Matrix (2018)'!$AD$2:$AD$67,'Data_Matrix (2018)'!L$2:L$67)</f>
        <v>2302.2255915574733</v>
      </c>
      <c r="M34" s="9">
        <f>_xlfn.COVARIANCE.P('Data_Matrix (2018)'!$AD$2:$AD$67,'Data_Matrix (2018)'!M$2:M$67)</f>
        <v>1924.1099845072411</v>
      </c>
      <c r="N34" s="9">
        <f>_xlfn.COVARIANCE.P('Data_Matrix (2018)'!$AD$2:$AD$67,'Data_Matrix (2018)'!N$2:N$67)</f>
        <v>2253.965744672782</v>
      </c>
      <c r="O34" s="9">
        <f>_xlfn.COVARIANCE.P('Data_Matrix (2018)'!$AD$2:$AD$67,'Data_Matrix (2018)'!O$2:O$67)</f>
        <v>1045.1842728371778</v>
      </c>
      <c r="P34" s="9">
        <f>_xlfn.COVARIANCE.P('Data_Matrix (2018)'!$AD$2:$AD$67,'Data_Matrix (2018)'!P$2:P$67)</f>
        <v>271.70607318614691</v>
      </c>
      <c r="Q34" s="9">
        <f>_xlfn.COVARIANCE.P('Data_Matrix (2018)'!$AD$2:$AD$67,'Data_Matrix (2018)'!Q$2:Q$67)</f>
        <v>918.31528548762753</v>
      </c>
      <c r="R34" s="9">
        <f>_xlfn.COVARIANCE.P('Data_Matrix (2018)'!$AD$2:$AD$67,'Data_Matrix (2018)'!R$2:R$67)</f>
        <v>1253.9567997953395</v>
      </c>
      <c r="S34" s="9">
        <f>_xlfn.COVARIANCE.P('Data_Matrix (2018)'!$AD$2:$AD$67,'Data_Matrix (2018)'!S$2:S$67)</f>
        <v>659.04346000244811</v>
      </c>
      <c r="T34" s="9">
        <f>_xlfn.COVARIANCE.P('Data_Matrix (2018)'!$AD$2:$AD$67,'Data_Matrix (2018)'!T$2:T$67)</f>
        <v>459.5411751360183</v>
      </c>
      <c r="U34" s="9">
        <f>_xlfn.COVARIANCE.P('Data_Matrix (2018)'!$AD$2:$AD$67,'Data_Matrix (2018)'!U$2:U$67)</f>
        <v>271.17804436505884</v>
      </c>
      <c r="V34" s="9">
        <f>_xlfn.COVARIANCE.P('Data_Matrix (2018)'!$AD$2:$AD$67,'Data_Matrix (2018)'!V$2:V$67)</f>
        <v>75.949562604592643</v>
      </c>
      <c r="W34" s="9">
        <f>_xlfn.COVARIANCE.P('Data_Matrix (2018)'!$AD$2:$AD$67,'Data_Matrix (2018)'!W$2:W$67)</f>
        <v>171.81724920337817</v>
      </c>
      <c r="X34" s="9">
        <f>_xlfn.COVARIANCE.P('Data_Matrix (2018)'!$AD$2:$AD$67,'Data_Matrix (2018)'!X$2:X$67)</f>
        <v>226.79465395249997</v>
      </c>
      <c r="Y34" s="9">
        <f>_xlfn.COVARIANCE.P('Data_Matrix (2018)'!$AD$2:$AD$67,'Data_Matrix (2018)'!Y$2:Y$67)</f>
        <v>195.16958036064634</v>
      </c>
      <c r="Z34" s="9">
        <f>_xlfn.COVARIANCE.P('Data_Matrix (2018)'!$AD$2:$AD$67,'Data_Matrix (2018)'!Z$2:Z$67)</f>
        <v>123.68161031130718</v>
      </c>
      <c r="AA34" s="9">
        <f>_xlfn.COVARIANCE.P('Data_Matrix (2018)'!$AD$2:$AD$67,'Data_Matrix (2018)'!AA$2:AA$67)</f>
        <v>253.46577974648068</v>
      </c>
      <c r="AB34" s="9">
        <f>_xlfn.COVARIANCE.P('Data_Matrix (2018)'!$AD$2:$AD$67,'Data_Matrix (2018)'!AB$2:AB$67)</f>
        <v>42.339547374095979</v>
      </c>
      <c r="AC34" s="9">
        <f>_xlfn.COVARIANCE.P('Data_Matrix (2018)'!$AD$2:$AD$67,'Data_Matrix (2018)'!AC$2:AC$67)</f>
        <v>43.553954541948279</v>
      </c>
      <c r="AD34" s="9">
        <f>_xlfn.COVARIANCE.P('Data_Matrix (2018)'!$AD$2:$AD$67,'Data_Matrix (2018)'!AD$2:AD$67)</f>
        <v>68.31261153419716</v>
      </c>
      <c r="AE34" s="9">
        <f>_xlfn.COVARIANCE.P('Data_Matrix (2018)'!$AD$2:$AD$67,'Data_Matrix (2018)'!AE$2:AE$67)</f>
        <v>33.485163362730532</v>
      </c>
      <c r="AF34" s="9">
        <f>_xlfn.COVARIANCE.P('Data_Matrix (2018)'!$AD$2:$AD$67,'Data_Matrix (2018)'!AF$2:AF$67)</f>
        <v>38.373404349750786</v>
      </c>
      <c r="AG34" s="9">
        <f>_xlfn.COVARIANCE.P('Data_Matrix (2018)'!$AD$2:$AD$67,'Data_Matrix (2018)'!AG$2:AG$67)</f>
        <v>37.401092927361759</v>
      </c>
      <c r="AH34" s="9">
        <f>_xlfn.COVARIANCE.P('Data_Matrix (2018)'!$AD$2:$AD$67,'Data_Matrix (2018)'!AH$2:AH$67)</f>
        <v>14.978320233268496</v>
      </c>
      <c r="AI34" s="9">
        <f>_xlfn.COVARIANCE.P('Data_Matrix (2018)'!$AD$2:$AD$67,'Data_Matrix (2018)'!AI$2:AI$67)</f>
        <v>20.906340112058064</v>
      </c>
      <c r="AJ34" s="9">
        <f>_xlfn.COVARIANCE.P('Data_Matrix (2018)'!$AD$2:$AD$67,'Data_Matrix (2018)'!AJ$2:AJ$67)</f>
        <v>19.023076171554806</v>
      </c>
      <c r="AK34" s="9">
        <f>_xlfn.COVARIANCE.P('Data_Matrix (2018)'!$AD$2:$AD$67,'Data_Matrix (2018)'!AK$2:AK$67)</f>
        <v>18.814023368043685</v>
      </c>
      <c r="AL34" s="9">
        <f>_xlfn.COVARIANCE.P('Data_Matrix (2018)'!$AD$2:$AD$67,'Data_Matrix (2018)'!AL$2:AL$67)</f>
        <v>-30.109493229031202</v>
      </c>
      <c r="AM34" s="9">
        <f>_xlfn.COVARIANCE.P('Data_Matrix (2018)'!$AD$2:$AD$67,'Data_Matrix (2018)'!AM$2:AM$67)</f>
        <v>6.7645687587956447</v>
      </c>
      <c r="AN34" s="9">
        <f>_xlfn.COVARIANCE.P('Data_Matrix (2018)'!$AD$2:$AD$67,'Data_Matrix (2018)'!AN$2:AN$67)</f>
        <v>3.4013157482052394</v>
      </c>
      <c r="AO34" s="9">
        <f>_xlfn.COVARIANCE.P('Data_Matrix (2018)'!$AD$2:$AD$67,'Data_Matrix (2018)'!AO$2:AO$67)</f>
        <v>7.1440384170266631</v>
      </c>
      <c r="AP34" s="9">
        <f>_xlfn.COVARIANCE.P('Data_Matrix (2018)'!$AD$2:$AD$67,'Data_Matrix (2018)'!AP$2:AP$67)</f>
        <v>15.195943077775794</v>
      </c>
      <c r="AQ34" s="9">
        <f>_xlfn.COVARIANCE.P('Data_Matrix (2018)'!$AD$2:$AD$67,'Data_Matrix (2018)'!AQ$2:AQ$67)</f>
        <v>10.352742776344106</v>
      </c>
      <c r="AR34" s="9">
        <f>_xlfn.COVARIANCE.P('Data_Matrix (2018)'!$AD$2:$AD$67,'Data_Matrix (2018)'!AR$2:AR$67)</f>
        <v>7.1613188777946535</v>
      </c>
      <c r="AS34" s="9">
        <f>_xlfn.COVARIANCE.P('Data_Matrix (2018)'!$AD$2:$AD$67,'Data_Matrix (2018)'!AS$2:AS$67)</f>
        <v>1.278824953241436</v>
      </c>
      <c r="AT34" s="9">
        <f>_xlfn.COVARIANCE.P('Data_Matrix (2018)'!$AD$2:$AD$67,'Data_Matrix (2018)'!AT$2:AT$67)</f>
        <v>2.323659914828041</v>
      </c>
      <c r="AU34" s="9">
        <f>_xlfn.COVARIANCE.P('Data_Matrix (2018)'!$AD$2:$AD$67,'Data_Matrix (2018)'!AU$2:AU$67)</f>
        <v>-0.12287798871283205</v>
      </c>
      <c r="AV34" s="9">
        <f>_xlfn.COVARIANCE.P('Data_Matrix (2018)'!$AD$2:$AD$67,'Data_Matrix (2018)'!AV$2:AV$67)</f>
        <v>4.1767827789876719</v>
      </c>
      <c r="AW34" s="9">
        <f>_xlfn.COVARIANCE.P('Data_Matrix (2018)'!$AD$2:$AD$67,'Data_Matrix (2018)'!AW$2:AW$67)</f>
        <v>-2.2902821189923226</v>
      </c>
      <c r="AX34" s="9">
        <f>_xlfn.COVARIANCE.P('Data_Matrix (2018)'!$AD$2:$AD$67,'Data_Matrix (2018)'!AX$2:AX$67)</f>
        <v>1.9553832574085872</v>
      </c>
      <c r="AY34" s="9">
        <f>_xlfn.COVARIANCE.P('Data_Matrix (2018)'!$AD$2:$AD$67,'Data_Matrix (2018)'!AY$2:AY$67)</f>
        <v>3.5320020686795464</v>
      </c>
      <c r="AZ34" s="9">
        <f>_xlfn.COVARIANCE.P('Data_Matrix (2018)'!$AD$2:$AD$67,'Data_Matrix (2018)'!AZ$2:AZ$67)</f>
        <v>1.5736153444337684</v>
      </c>
      <c r="BA34" s="9">
        <f>_xlfn.COVARIANCE.P('Data_Matrix (2018)'!$AD$2:$AD$67,'Data_Matrix (2018)'!BA$2:BA$67)</f>
        <v>0.76500095740385354</v>
      </c>
      <c r="BB34" s="9">
        <f>_xlfn.COVARIANCE.P('Data_Matrix (2018)'!$AD$2:$AD$67,'Data_Matrix (2018)'!BB$2:BB$67)</f>
        <v>0.26190621832830652</v>
      </c>
      <c r="BC34" s="9">
        <f>_xlfn.COVARIANCE.P('Data_Matrix (2018)'!$AD$2:$AD$67,'Data_Matrix (2018)'!BC$2:BC$67)</f>
        <v>1.6965596948852415</v>
      </c>
      <c r="BD34" s="9">
        <f>_xlfn.COVARIANCE.P('Data_Matrix (2018)'!$AD$2:$AD$67,'Data_Matrix (2018)'!BD$2:BD$67)</f>
        <v>-0.24479012802752584</v>
      </c>
      <c r="BE34" s="9">
        <f>_xlfn.COVARIANCE.P('Data_Matrix (2018)'!$AD$2:$AD$67,'Data_Matrix (2018)'!BE$2:BE$67)</f>
        <v>0.36850604077325516</v>
      </c>
      <c r="BF34" s="9">
        <f>_xlfn.COVARIANCE.P('Data_Matrix (2018)'!$AD$2:$AD$67,'Data_Matrix (2018)'!BF$2:BF$67)</f>
        <v>6.6341271153689776E-2</v>
      </c>
      <c r="BG34" s="9">
        <f>_xlfn.COVARIANCE.P('Data_Matrix (2018)'!$AD$2:$AD$67,'Data_Matrix (2018)'!BG$2:BG$67)</f>
        <v>3.5614593321071517E-2</v>
      </c>
      <c r="BH34" s="9">
        <f>_xlfn.COVARIANCE.P('Data_Matrix (2018)'!$AD$2:$AD$67,'Data_Matrix (2018)'!BH$2:BH$67)</f>
        <v>0.82981960356506435</v>
      </c>
      <c r="BI34" s="9">
        <f>_xlfn.COVARIANCE.P('Data_Matrix (2018)'!$AD$2:$AD$67,'Data_Matrix (2018)'!BI$2:BI$67)</f>
        <v>0.32370121177123573</v>
      </c>
      <c r="BJ34" s="9">
        <f>_xlfn.COVARIANCE.P('Data_Matrix (2018)'!$AD$2:$AD$67,'Data_Matrix (2018)'!BJ$2:BJ$67)</f>
        <v>0.16180970861678401</v>
      </c>
      <c r="BK34" s="9">
        <f>_xlfn.COVARIANCE.P('Data_Matrix (2018)'!$AD$2:$AD$67,'Data_Matrix (2018)'!BK$2:BK$67)</f>
        <v>0.20191155368348865</v>
      </c>
      <c r="BL34" s="9">
        <f>_xlfn.COVARIANCE.P('Data_Matrix (2018)'!$AD$2:$AD$67,'Data_Matrix (2018)'!BL$2:BL$67)</f>
        <v>0.1430884404403705</v>
      </c>
      <c r="BM34" s="9">
        <f>_xlfn.COVARIANCE.P('Data_Matrix (2018)'!$AD$2:$AD$67,'Data_Matrix (2018)'!BM$2:BM$67)</f>
        <v>7.6038808550125733E-3</v>
      </c>
      <c r="BN34" s="9">
        <f>_xlfn.COVARIANCE.P('Data_Matrix (2018)'!$AD$2:$AD$67,'Data_Matrix (2018)'!BN$2:BN$67)</f>
        <v>-7.0913875916477952E-3</v>
      </c>
      <c r="BO34" s="9">
        <f>_xlfn.COVARIANCE.P('Data_Matrix (2018)'!$AD$2:$AD$67,'Data_Matrix (2018)'!BO$2:BO$67)</f>
        <v>3.3895802102449106E-4</v>
      </c>
    </row>
    <row r="35" spans="2:67" x14ac:dyDescent="0.2">
      <c r="B35" s="9">
        <f>_xlfn.COVARIANCE.P('Data_Matrix (2018)'!$AE$2:$AE$67,'Data_Matrix (2018)'!B$2:B$67)</f>
        <v>12433.965752607886</v>
      </c>
      <c r="C35" s="9">
        <f>_xlfn.COVARIANCE.P('Data_Matrix (2018)'!$AE$2:$AE$67,'Data_Matrix (2018)'!C$2:C$67)</f>
        <v>5039.3488987587971</v>
      </c>
      <c r="D35" s="9">
        <f>_xlfn.COVARIANCE.P('Data_Matrix (2018)'!$AE$2:$AE$67,'Data_Matrix (2018)'!D$2:D$67)</f>
        <v>3944.0458734425529</v>
      </c>
      <c r="E35" s="9">
        <f>_xlfn.COVARIANCE.P('Data_Matrix (2018)'!$AE$2:$AE$67,'Data_Matrix (2018)'!E$2:E$67)</f>
        <v>4604.8737504709216</v>
      </c>
      <c r="F35" s="9">
        <f>_xlfn.COVARIANCE.P('Data_Matrix (2018)'!$AE$2:$AE$67,'Data_Matrix (2018)'!F$2:F$67)</f>
        <v>3352.6684548944295</v>
      </c>
      <c r="G35" s="9">
        <f>_xlfn.COVARIANCE.P('Data_Matrix (2018)'!$AE$2:$AE$67,'Data_Matrix (2018)'!G$2:G$67)</f>
        <v>2074.2508348279107</v>
      </c>
      <c r="H35" s="9">
        <f>_xlfn.COVARIANCE.P('Data_Matrix (2018)'!$AE$2:$AE$67,'Data_Matrix (2018)'!H$2:H$67)</f>
        <v>1629.9500417968463</v>
      </c>
      <c r="I35" s="9">
        <f>_xlfn.COVARIANCE.P('Data_Matrix (2018)'!$AE$2:$AE$67,'Data_Matrix (2018)'!I$2:I$67)</f>
        <v>1405.8559332025884</v>
      </c>
      <c r="J35" s="9">
        <f>_xlfn.COVARIANCE.P('Data_Matrix (2018)'!$AE$2:$AE$67,'Data_Matrix (2018)'!J$2:J$67)</f>
        <v>-181.07040191046127</v>
      </c>
      <c r="K35" s="9">
        <f>_xlfn.COVARIANCE.P('Data_Matrix (2018)'!$AE$2:$AE$67,'Data_Matrix (2018)'!K$2:K$67)</f>
        <v>788.79689646542556</v>
      </c>
      <c r="L35" s="9">
        <f>_xlfn.COVARIANCE.P('Data_Matrix (2018)'!$AE$2:$AE$67,'Data_Matrix (2018)'!L$2:L$67)</f>
        <v>802.14683825885936</v>
      </c>
      <c r="M35" s="9">
        <f>_xlfn.COVARIANCE.P('Data_Matrix (2018)'!$AE$2:$AE$67,'Data_Matrix (2018)'!M$2:M$67)</f>
        <v>283.89695494031071</v>
      </c>
      <c r="N35" s="9">
        <f>_xlfn.COVARIANCE.P('Data_Matrix (2018)'!$AE$2:$AE$67,'Data_Matrix (2018)'!N$2:N$67)</f>
        <v>230.37859758593649</v>
      </c>
      <c r="O35" s="9">
        <f>_xlfn.COVARIANCE.P('Data_Matrix (2018)'!$AE$2:$AE$67,'Data_Matrix (2018)'!O$2:O$67)</f>
        <v>298.15445526827142</v>
      </c>
      <c r="P35" s="9">
        <f>_xlfn.COVARIANCE.P('Data_Matrix (2018)'!$AE$2:$AE$67,'Data_Matrix (2018)'!P$2:P$67)</f>
        <v>194.43497054649609</v>
      </c>
      <c r="Q35" s="9">
        <f>_xlfn.COVARIANCE.P('Data_Matrix (2018)'!$AE$2:$AE$67,'Data_Matrix (2018)'!Q$2:Q$67)</f>
        <v>237.09204858732613</v>
      </c>
      <c r="R35" s="9">
        <f>_xlfn.COVARIANCE.P('Data_Matrix (2018)'!$AE$2:$AE$67,'Data_Matrix (2018)'!R$2:R$67)</f>
        <v>188.65954920561691</v>
      </c>
      <c r="S35" s="9">
        <f>_xlfn.COVARIANCE.P('Data_Matrix (2018)'!$AE$2:$AE$67,'Data_Matrix (2018)'!S$2:S$67)</f>
        <v>162.83332440717365</v>
      </c>
      <c r="T35" s="9">
        <f>_xlfn.COVARIANCE.P('Data_Matrix (2018)'!$AE$2:$AE$67,'Data_Matrix (2018)'!T$2:T$67)</f>
        <v>149.62700748925343</v>
      </c>
      <c r="U35" s="9">
        <f>_xlfn.COVARIANCE.P('Data_Matrix (2018)'!$AE$2:$AE$67,'Data_Matrix (2018)'!U$2:U$67)</f>
        <v>76.79688433607825</v>
      </c>
      <c r="V35" s="9">
        <f>_xlfn.COVARIANCE.P('Data_Matrix (2018)'!$AE$2:$AE$67,'Data_Matrix (2018)'!V$2:V$67)</f>
        <v>78.472833311593249</v>
      </c>
      <c r="W35" s="9">
        <f>_xlfn.COVARIANCE.P('Data_Matrix (2018)'!$AE$2:$AE$67,'Data_Matrix (2018)'!W$2:W$67)</f>
        <v>61.632954570011087</v>
      </c>
      <c r="X35" s="9">
        <f>_xlfn.COVARIANCE.P('Data_Matrix (2018)'!$AE$2:$AE$67,'Data_Matrix (2018)'!X$2:X$67)</f>
        <v>76.756690619557432</v>
      </c>
      <c r="Y35" s="9">
        <f>_xlfn.COVARIANCE.P('Data_Matrix (2018)'!$AE$2:$AE$67,'Data_Matrix (2018)'!Y$2:Y$67)</f>
        <v>81.780501716074269</v>
      </c>
      <c r="Z35" s="9">
        <f>_xlfn.COVARIANCE.P('Data_Matrix (2018)'!$AE$2:$AE$67,'Data_Matrix (2018)'!Z$2:Z$67)</f>
        <v>73.993584058198309</v>
      </c>
      <c r="AA35" s="9">
        <f>_xlfn.COVARIANCE.P('Data_Matrix (2018)'!$AE$2:$AE$67,'Data_Matrix (2018)'!AA$2:AA$67)</f>
        <v>153.89025144590852</v>
      </c>
      <c r="AB35" s="9">
        <f>_xlfn.COVARIANCE.P('Data_Matrix (2018)'!$AE$2:$AE$67,'Data_Matrix (2018)'!AB$2:AB$67)</f>
        <v>23.373642849495408</v>
      </c>
      <c r="AC35" s="9">
        <f>_xlfn.COVARIANCE.P('Data_Matrix (2018)'!$AE$2:$AE$67,'Data_Matrix (2018)'!AC$2:AC$67)</f>
        <v>66.153866465851834</v>
      </c>
      <c r="AD35" s="9">
        <f>_xlfn.COVARIANCE.P('Data_Matrix (2018)'!$AE$2:$AE$67,'Data_Matrix (2018)'!AD$2:AD$67)</f>
        <v>33.485163362730532</v>
      </c>
      <c r="AE35" s="9">
        <f>_xlfn.COVARIANCE.P('Data_Matrix (2018)'!$AE$2:$AE$67,'Data_Matrix (2018)'!AE$2:AE$67)</f>
        <v>62.853269185280539</v>
      </c>
      <c r="AF35" s="9">
        <f>_xlfn.COVARIANCE.P('Data_Matrix (2018)'!$AE$2:$AE$67,'Data_Matrix (2018)'!AF$2:AF$67)</f>
        <v>45.472609249345432</v>
      </c>
      <c r="AG35" s="9">
        <f>_xlfn.COVARIANCE.P('Data_Matrix (2018)'!$AE$2:$AE$67,'Data_Matrix (2018)'!AG$2:AG$67)</f>
        <v>38.842770453556952</v>
      </c>
      <c r="AH35" s="9">
        <f>_xlfn.COVARIANCE.P('Data_Matrix (2018)'!$AE$2:$AE$67,'Data_Matrix (2018)'!AH$2:AH$67)</f>
        <v>26.772984847551026</v>
      </c>
      <c r="AI35" s="9">
        <f>_xlfn.COVARIANCE.P('Data_Matrix (2018)'!$AE$2:$AE$67,'Data_Matrix (2018)'!AI$2:AI$67)</f>
        <v>9.1692765032211838</v>
      </c>
      <c r="AJ35" s="9">
        <f>_xlfn.COVARIANCE.P('Data_Matrix (2018)'!$AE$2:$AE$67,'Data_Matrix (2018)'!AJ$2:AJ$67)</f>
        <v>23.798050326448958</v>
      </c>
      <c r="AK35" s="9">
        <f>_xlfn.COVARIANCE.P('Data_Matrix (2018)'!$AE$2:$AE$67,'Data_Matrix (2018)'!AK$2:AK$67)</f>
        <v>15.790776492114922</v>
      </c>
      <c r="AL35" s="9">
        <f>_xlfn.COVARIANCE.P('Data_Matrix (2018)'!$AE$2:$AE$67,'Data_Matrix (2018)'!AL$2:AL$67)</f>
        <v>8.0971973176895098</v>
      </c>
      <c r="AM35" s="9">
        <f>_xlfn.COVARIANCE.P('Data_Matrix (2018)'!$AE$2:$AE$67,'Data_Matrix (2018)'!AM$2:AM$67)</f>
        <v>10.754455006653673</v>
      </c>
      <c r="AN35" s="9">
        <f>_xlfn.COVARIANCE.P('Data_Matrix (2018)'!$AE$2:$AE$67,'Data_Matrix (2018)'!AN$2:AN$67)</f>
        <v>2.5493512859351726</v>
      </c>
      <c r="AO35" s="9">
        <f>_xlfn.COVARIANCE.P('Data_Matrix (2018)'!$AE$2:$AE$67,'Data_Matrix (2018)'!AO$2:AO$67)</f>
        <v>6.7298301016034028</v>
      </c>
      <c r="AP35" s="9">
        <f>_xlfn.COVARIANCE.P('Data_Matrix (2018)'!$AE$2:$AE$67,'Data_Matrix (2018)'!AP$2:AP$67)</f>
        <v>3.9991450896466105</v>
      </c>
      <c r="AQ35" s="9">
        <f>_xlfn.COVARIANCE.P('Data_Matrix (2018)'!$AE$2:$AE$67,'Data_Matrix (2018)'!AQ$2:AQ$67)</f>
        <v>9.932580881224867</v>
      </c>
      <c r="AR35" s="9">
        <f>_xlfn.COVARIANCE.P('Data_Matrix (2018)'!$AE$2:$AE$67,'Data_Matrix (2018)'!AR$2:AR$67)</f>
        <v>-1.222575486687018</v>
      </c>
      <c r="AS35" s="9">
        <f>_xlfn.COVARIANCE.P('Data_Matrix (2018)'!$AE$2:$AE$67,'Data_Matrix (2018)'!AS$2:AS$67)</f>
        <v>0.69444937839168897</v>
      </c>
      <c r="AT35" s="9">
        <f>_xlfn.COVARIANCE.P('Data_Matrix (2018)'!$AE$2:$AE$67,'Data_Matrix (2018)'!AT$2:AT$67)</f>
        <v>7.1682958443583749</v>
      </c>
      <c r="AU35" s="9">
        <f>_xlfn.COVARIANCE.P('Data_Matrix (2018)'!$AE$2:$AE$67,'Data_Matrix (2018)'!AU$2:AU$67)</f>
        <v>-0.68874167224641114</v>
      </c>
      <c r="AV35" s="9">
        <f>_xlfn.COVARIANCE.P('Data_Matrix (2018)'!$AE$2:$AE$67,'Data_Matrix (2018)'!AV$2:AV$67)</f>
        <v>6.4307251432333654</v>
      </c>
      <c r="AW35" s="9">
        <f>_xlfn.COVARIANCE.P('Data_Matrix (2018)'!$AE$2:$AE$67,'Data_Matrix (2018)'!AW$2:AW$67)</f>
        <v>-3.8377629109890274</v>
      </c>
      <c r="AX35" s="9">
        <f>_xlfn.COVARIANCE.P('Data_Matrix (2018)'!$AE$2:$AE$67,'Data_Matrix (2018)'!AX$2:AX$67)</f>
        <v>8.8761267495074225</v>
      </c>
      <c r="AY35" s="9">
        <f>_xlfn.COVARIANCE.P('Data_Matrix (2018)'!$AE$2:$AE$67,'Data_Matrix (2018)'!AY$2:AY$67)</f>
        <v>2.276760148803576</v>
      </c>
      <c r="AZ35" s="9">
        <f>_xlfn.COVARIANCE.P('Data_Matrix (2018)'!$AE$2:$AE$67,'Data_Matrix (2018)'!AZ$2:AZ$67)</f>
        <v>2.6598336821148463</v>
      </c>
      <c r="BA35" s="9">
        <f>_xlfn.COVARIANCE.P('Data_Matrix (2018)'!$AE$2:$AE$67,'Data_Matrix (2018)'!BA$2:BA$67)</f>
        <v>0.49412982950433026</v>
      </c>
      <c r="BB35" s="9">
        <f>_xlfn.COVARIANCE.P('Data_Matrix (2018)'!$AE$2:$AE$67,'Data_Matrix (2018)'!BB$2:BB$67)</f>
        <v>-1.1960148744387304E-2</v>
      </c>
      <c r="BC35" s="9">
        <f>_xlfn.COVARIANCE.P('Data_Matrix (2018)'!$AE$2:$AE$67,'Data_Matrix (2018)'!BC$2:BC$67)</f>
        <v>0.90262999104346919</v>
      </c>
      <c r="BD35" s="9">
        <f>_xlfn.COVARIANCE.P('Data_Matrix (2018)'!$AE$2:$AE$67,'Data_Matrix (2018)'!BD$2:BD$67)</f>
        <v>0.55767139868913318</v>
      </c>
      <c r="BE35" s="9">
        <f>_xlfn.COVARIANCE.P('Data_Matrix (2018)'!$AE$2:$AE$67,'Data_Matrix (2018)'!BE$2:BE$67)</f>
        <v>0.31304312081914742</v>
      </c>
      <c r="BF35" s="9">
        <f>_xlfn.COVARIANCE.P('Data_Matrix (2018)'!$AE$2:$AE$67,'Data_Matrix (2018)'!BF$2:BF$67)</f>
        <v>7.0272888485152896E-2</v>
      </c>
      <c r="BG35" s="9">
        <f>_xlfn.COVARIANCE.P('Data_Matrix (2018)'!$AE$2:$AE$67,'Data_Matrix (2018)'!BG$2:BG$67)</f>
        <v>4.6882158298569059E-2</v>
      </c>
      <c r="BH35" s="9">
        <f>_xlfn.COVARIANCE.P('Data_Matrix (2018)'!$AE$2:$AE$67,'Data_Matrix (2018)'!BH$2:BH$67)</f>
        <v>0.52076137029531355</v>
      </c>
      <c r="BI35" s="9">
        <f>_xlfn.COVARIANCE.P('Data_Matrix (2018)'!$AE$2:$AE$67,'Data_Matrix (2018)'!BI$2:BI$67)</f>
        <v>0.23924220047195552</v>
      </c>
      <c r="BJ35" s="9">
        <f>_xlfn.COVARIANCE.P('Data_Matrix (2018)'!$AE$2:$AE$67,'Data_Matrix (2018)'!BJ$2:BJ$67)</f>
        <v>0.21410028768034525</v>
      </c>
      <c r="BK35" s="9">
        <f>_xlfn.COVARIANCE.P('Data_Matrix (2018)'!$AE$2:$AE$67,'Data_Matrix (2018)'!BK$2:BK$67)</f>
        <v>0.14990236424081749</v>
      </c>
      <c r="BL35" s="9">
        <f>_xlfn.COVARIANCE.P('Data_Matrix (2018)'!$AE$2:$AE$67,'Data_Matrix (2018)'!BL$2:BL$67)</f>
        <v>0.14697574915208356</v>
      </c>
      <c r="BM35" s="9">
        <f>_xlfn.COVARIANCE.P('Data_Matrix (2018)'!$AE$2:$AE$67,'Data_Matrix (2018)'!BM$2:BM$67)</f>
        <v>8.6369441812708062E-3</v>
      </c>
      <c r="BN35" s="9">
        <f>_xlfn.COVARIANCE.P('Data_Matrix (2018)'!$AE$2:$AE$67,'Data_Matrix (2018)'!BN$2:BN$67)</f>
        <v>-9.8857167835820804E-3</v>
      </c>
      <c r="BO35" s="9">
        <f>_xlfn.COVARIANCE.P('Data_Matrix (2018)'!$AE$2:$AE$67,'Data_Matrix (2018)'!BO$2:BO$67)</f>
        <v>-3.1867887692729491E-4</v>
      </c>
    </row>
    <row r="36" spans="2:67" x14ac:dyDescent="0.2">
      <c r="B36" s="9">
        <f>_xlfn.COVARIANCE.P('Data_Matrix (2018)'!$AF$2:$AF$67,'Data_Matrix (2018)'!B$2:B$67)</f>
        <v>15795.085605860741</v>
      </c>
      <c r="C36" s="9">
        <f>_xlfn.COVARIANCE.P('Data_Matrix (2018)'!$AF$2:$AF$67,'Data_Matrix (2018)'!C$2:C$67)</f>
        <v>12699.856182375745</v>
      </c>
      <c r="D36" s="9">
        <f>_xlfn.COVARIANCE.P('Data_Matrix (2018)'!$AF$2:$AF$67,'Data_Matrix (2018)'!D$2:D$67)</f>
        <v>8449.5967821373779</v>
      </c>
      <c r="E36" s="9">
        <f>_xlfn.COVARIANCE.P('Data_Matrix (2018)'!$AF$2:$AF$67,'Data_Matrix (2018)'!E$2:E$67)</f>
        <v>8703.6896933099815</v>
      </c>
      <c r="F36" s="9">
        <f>_xlfn.COVARIANCE.P('Data_Matrix (2018)'!$AF$2:$AF$67,'Data_Matrix (2018)'!F$2:F$67)</f>
        <v>4672.6760178891391</v>
      </c>
      <c r="G36" s="9">
        <f>_xlfn.COVARIANCE.P('Data_Matrix (2018)'!$AF$2:$AF$67,'Data_Matrix (2018)'!G$2:G$67)</f>
        <v>5835.8276536991034</v>
      </c>
      <c r="H36" s="9">
        <f>_xlfn.COVARIANCE.P('Data_Matrix (2018)'!$AF$2:$AF$67,'Data_Matrix (2018)'!H$2:H$67)</f>
        <v>2116.556341328645</v>
      </c>
      <c r="I36" s="9">
        <f>_xlfn.COVARIANCE.P('Data_Matrix (2018)'!$AF$2:$AF$67,'Data_Matrix (2018)'!I$2:I$67)</f>
        <v>2418.2169911469955</v>
      </c>
      <c r="J36" s="9">
        <f>_xlfn.COVARIANCE.P('Data_Matrix (2018)'!$AF$2:$AF$67,'Data_Matrix (2018)'!J$2:J$67)</f>
        <v>517.14967641811336</v>
      </c>
      <c r="K36" s="9">
        <f>_xlfn.COVARIANCE.P('Data_Matrix (2018)'!$AF$2:$AF$67,'Data_Matrix (2018)'!K$2:K$67)</f>
        <v>1404.0464096740138</v>
      </c>
      <c r="L36" s="9">
        <f>_xlfn.COVARIANCE.P('Data_Matrix (2018)'!$AF$2:$AF$67,'Data_Matrix (2018)'!L$2:L$67)</f>
        <v>1405.4186551608268</v>
      </c>
      <c r="M36" s="9">
        <f>_xlfn.COVARIANCE.P('Data_Matrix (2018)'!$AF$2:$AF$67,'Data_Matrix (2018)'!M$2:M$67)</f>
        <v>721.71314217296015</v>
      </c>
      <c r="N36" s="9">
        <f>_xlfn.COVARIANCE.P('Data_Matrix (2018)'!$AF$2:$AF$67,'Data_Matrix (2018)'!N$2:N$67)</f>
        <v>986.64932296517907</v>
      </c>
      <c r="O36" s="9">
        <f>_xlfn.COVARIANCE.P('Data_Matrix (2018)'!$AF$2:$AF$67,'Data_Matrix (2018)'!O$2:O$67)</f>
        <v>623.65269894861706</v>
      </c>
      <c r="P36" s="9">
        <f>_xlfn.COVARIANCE.P('Data_Matrix (2018)'!$AF$2:$AF$67,'Data_Matrix (2018)'!P$2:P$67)</f>
        <v>188.11370701655937</v>
      </c>
      <c r="Q36" s="9">
        <f>_xlfn.COVARIANCE.P('Data_Matrix (2018)'!$AF$2:$AF$67,'Data_Matrix (2018)'!Q$2:Q$67)</f>
        <v>501.47865511909561</v>
      </c>
      <c r="R36" s="9">
        <f>_xlfn.COVARIANCE.P('Data_Matrix (2018)'!$AF$2:$AF$67,'Data_Matrix (2018)'!R$2:R$67)</f>
        <v>592.10965940088056</v>
      </c>
      <c r="S36" s="9">
        <f>_xlfn.COVARIANCE.P('Data_Matrix (2018)'!$AF$2:$AF$67,'Data_Matrix (2018)'!S$2:S$67)</f>
        <v>346.96393489021551</v>
      </c>
      <c r="T36" s="9">
        <f>_xlfn.COVARIANCE.P('Data_Matrix (2018)'!$AF$2:$AF$67,'Data_Matrix (2018)'!T$2:T$67)</f>
        <v>324.67889014283344</v>
      </c>
      <c r="U36" s="9">
        <f>_xlfn.COVARIANCE.P('Data_Matrix (2018)'!$AF$2:$AF$67,'Data_Matrix (2018)'!U$2:U$67)</f>
        <v>144.73026632267545</v>
      </c>
      <c r="V36" s="9">
        <f>_xlfn.COVARIANCE.P('Data_Matrix (2018)'!$AF$2:$AF$67,'Data_Matrix (2018)'!V$2:V$67)</f>
        <v>77.220874778426449</v>
      </c>
      <c r="W36" s="9">
        <f>_xlfn.COVARIANCE.P('Data_Matrix (2018)'!$AF$2:$AF$67,'Data_Matrix (2018)'!W$2:W$67)</f>
        <v>100.95508324551197</v>
      </c>
      <c r="X36" s="9">
        <f>_xlfn.COVARIANCE.P('Data_Matrix (2018)'!$AF$2:$AF$67,'Data_Matrix (2018)'!X$2:X$67)</f>
        <v>175.00703681596269</v>
      </c>
      <c r="Y36" s="9">
        <f>_xlfn.COVARIANCE.P('Data_Matrix (2018)'!$AF$2:$AF$67,'Data_Matrix (2018)'!Y$2:Y$67)</f>
        <v>137.15453515400407</v>
      </c>
      <c r="Z36" s="9">
        <f>_xlfn.COVARIANCE.P('Data_Matrix (2018)'!$AF$2:$AF$67,'Data_Matrix (2018)'!Z$2:Z$67)</f>
        <v>121.91655512150831</v>
      </c>
      <c r="AA36" s="9">
        <f>_xlfn.COVARIANCE.P('Data_Matrix (2018)'!$AF$2:$AF$67,'Data_Matrix (2018)'!AA$2:AA$67)</f>
        <v>166.68148341132516</v>
      </c>
      <c r="AB36" s="9">
        <f>_xlfn.COVARIANCE.P('Data_Matrix (2018)'!$AF$2:$AF$67,'Data_Matrix (2018)'!AB$2:AB$67)</f>
        <v>28.457684232386896</v>
      </c>
      <c r="AC36" s="9">
        <f>_xlfn.COVARIANCE.P('Data_Matrix (2018)'!$AF$2:$AF$67,'Data_Matrix (2018)'!AC$2:AC$67)</f>
        <v>54.414234976848654</v>
      </c>
      <c r="AD36" s="9">
        <f>_xlfn.COVARIANCE.P('Data_Matrix (2018)'!$AF$2:$AF$67,'Data_Matrix (2018)'!AD$2:AD$67)</f>
        <v>38.373404349750786</v>
      </c>
      <c r="AE36" s="9">
        <f>_xlfn.COVARIANCE.P('Data_Matrix (2018)'!$AF$2:$AF$67,'Data_Matrix (2018)'!AE$2:AE$67)</f>
        <v>45.472609249345432</v>
      </c>
      <c r="AF36" s="9">
        <f>_xlfn.COVARIANCE.P('Data_Matrix (2018)'!$AF$2:$AF$67,'Data_Matrix (2018)'!AF$2:AF$67)</f>
        <v>56.268510732842579</v>
      </c>
      <c r="AG36" s="9">
        <f>_xlfn.COVARIANCE.P('Data_Matrix (2018)'!$AF$2:$AF$67,'Data_Matrix (2018)'!AG$2:AG$67)</f>
        <v>35.584843312224727</v>
      </c>
      <c r="AH36" s="9">
        <f>_xlfn.COVARIANCE.P('Data_Matrix (2018)'!$AF$2:$AF$67,'Data_Matrix (2018)'!AH$2:AH$67)</f>
        <v>20.47739443063502</v>
      </c>
      <c r="AI36" s="9">
        <f>_xlfn.COVARIANCE.P('Data_Matrix (2018)'!$AF$2:$AF$67,'Data_Matrix (2018)'!AI$2:AI$67)</f>
        <v>14.88348770633862</v>
      </c>
      <c r="AJ36" s="9">
        <f>_xlfn.COVARIANCE.P('Data_Matrix (2018)'!$AF$2:$AF$67,'Data_Matrix (2018)'!AJ$2:AJ$67)</f>
        <v>34.231997729698598</v>
      </c>
      <c r="AK36" s="9">
        <f>_xlfn.COVARIANCE.P('Data_Matrix (2018)'!$AF$2:$AF$67,'Data_Matrix (2018)'!AK$2:AK$67)</f>
        <v>17.795097981719479</v>
      </c>
      <c r="AL36" s="9">
        <f>_xlfn.COVARIANCE.P('Data_Matrix (2018)'!$AF$2:$AF$67,'Data_Matrix (2018)'!AL$2:AL$67)</f>
        <v>-9.7677365674834995</v>
      </c>
      <c r="AM36" s="9">
        <f>_xlfn.COVARIANCE.P('Data_Matrix (2018)'!$AF$2:$AF$67,'Data_Matrix (2018)'!AM$2:AM$67)</f>
        <v>19.709673620140595</v>
      </c>
      <c r="AN36" s="9">
        <f>_xlfn.COVARIANCE.P('Data_Matrix (2018)'!$AF$2:$AF$67,'Data_Matrix (2018)'!AN$2:AN$67)</f>
        <v>-0.54320962889490931</v>
      </c>
      <c r="AO36" s="9">
        <f>_xlfn.COVARIANCE.P('Data_Matrix (2018)'!$AF$2:$AF$67,'Data_Matrix (2018)'!AO$2:AO$67)</f>
        <v>9.8334561689330027</v>
      </c>
      <c r="AP36" s="9">
        <f>_xlfn.COVARIANCE.P('Data_Matrix (2018)'!$AF$2:$AF$67,'Data_Matrix (2018)'!AP$2:AP$67)</f>
        <v>9.4466947915188229</v>
      </c>
      <c r="AQ36" s="9">
        <f>_xlfn.COVARIANCE.P('Data_Matrix (2018)'!$AF$2:$AF$67,'Data_Matrix (2018)'!AQ$2:AQ$67)</f>
        <v>10.706271410591555</v>
      </c>
      <c r="AR36" s="9">
        <f>_xlfn.COVARIANCE.P('Data_Matrix (2018)'!$AF$2:$AF$67,'Data_Matrix (2018)'!AR$2:AR$67)</f>
        <v>2.346899110064959</v>
      </c>
      <c r="AS36" s="9">
        <f>_xlfn.COVARIANCE.P('Data_Matrix (2018)'!$AF$2:$AF$67,'Data_Matrix (2018)'!AS$2:AS$67)</f>
        <v>-0.95986104541797701</v>
      </c>
      <c r="AT36" s="9">
        <f>_xlfn.COVARIANCE.P('Data_Matrix (2018)'!$AF$2:$AF$67,'Data_Matrix (2018)'!AT$2:AT$67)</f>
        <v>4.0211513806972174</v>
      </c>
      <c r="AU36" s="9">
        <f>_xlfn.COVARIANCE.P('Data_Matrix (2018)'!$AF$2:$AF$67,'Data_Matrix (2018)'!AU$2:AU$67)</f>
        <v>4.2529386642133167E-3</v>
      </c>
      <c r="AV36" s="9">
        <f>_xlfn.COVARIANCE.P('Data_Matrix (2018)'!$AF$2:$AF$67,'Data_Matrix (2018)'!AV$2:AV$67)</f>
        <v>7.4241587914290266</v>
      </c>
      <c r="AW36" s="9">
        <f>_xlfn.COVARIANCE.P('Data_Matrix (2018)'!$AF$2:$AF$67,'Data_Matrix (2018)'!AW$2:AW$67)</f>
        <v>-0.89551080048534737</v>
      </c>
      <c r="AX36" s="9">
        <f>_xlfn.COVARIANCE.P('Data_Matrix (2018)'!$AF$2:$AF$67,'Data_Matrix (2018)'!AX$2:AX$67)</f>
        <v>6.4035654757378824</v>
      </c>
      <c r="AY36" s="9">
        <f>_xlfn.COVARIANCE.P('Data_Matrix (2018)'!$AF$2:$AF$67,'Data_Matrix (2018)'!AY$2:AY$67)</f>
        <v>2.8656565933701423</v>
      </c>
      <c r="AZ36" s="9">
        <f>_xlfn.COVARIANCE.P('Data_Matrix (2018)'!$AF$2:$AF$67,'Data_Matrix (2018)'!AZ$2:AZ$67)</f>
        <v>2.6602863697427317</v>
      </c>
      <c r="BA36" s="9">
        <f>_xlfn.COVARIANCE.P('Data_Matrix (2018)'!$AF$2:$AF$67,'Data_Matrix (2018)'!BA$2:BA$67)</f>
        <v>0.58614167349500279</v>
      </c>
      <c r="BB36" s="9">
        <f>_xlfn.COVARIANCE.P('Data_Matrix (2018)'!$AF$2:$AF$67,'Data_Matrix (2018)'!BB$2:BB$67)</f>
        <v>0.63252241608596138</v>
      </c>
      <c r="BC36" s="9">
        <f>_xlfn.COVARIANCE.P('Data_Matrix (2018)'!$AF$2:$AF$67,'Data_Matrix (2018)'!BC$2:BC$67)</f>
        <v>1.0963478944412643</v>
      </c>
      <c r="BD36" s="9">
        <f>_xlfn.COVARIANCE.P('Data_Matrix (2018)'!$AF$2:$AF$67,'Data_Matrix (2018)'!BD$2:BD$67)</f>
        <v>-6.0677450058979981E-2</v>
      </c>
      <c r="BE36" s="9">
        <f>_xlfn.COVARIANCE.P('Data_Matrix (2018)'!$AF$2:$AF$67,'Data_Matrix (2018)'!BE$2:BE$67)</f>
        <v>0.26833143482292243</v>
      </c>
      <c r="BF36" s="9">
        <f>_xlfn.COVARIANCE.P('Data_Matrix (2018)'!$AF$2:$AF$67,'Data_Matrix (2018)'!BF$2:BF$67)</f>
        <v>7.1650825188182471E-2</v>
      </c>
      <c r="BG36" s="9">
        <f>_xlfn.COVARIANCE.P('Data_Matrix (2018)'!$AF$2:$AF$67,'Data_Matrix (2018)'!BG$2:BG$67)</f>
        <v>0.1033067779824197</v>
      </c>
      <c r="BH36" s="9">
        <f>_xlfn.COVARIANCE.P('Data_Matrix (2018)'!$AF$2:$AF$67,'Data_Matrix (2018)'!BH$2:BH$67)</f>
        <v>0.79875763106669273</v>
      </c>
      <c r="BI36" s="9">
        <f>_xlfn.COVARIANCE.P('Data_Matrix (2018)'!$AF$2:$AF$67,'Data_Matrix (2018)'!BI$2:BI$67)</f>
        <v>0.39245943653401122</v>
      </c>
      <c r="BJ36" s="9">
        <f>_xlfn.COVARIANCE.P('Data_Matrix (2018)'!$AF$2:$AF$67,'Data_Matrix (2018)'!BJ$2:BJ$67)</f>
        <v>0.304945032766615</v>
      </c>
      <c r="BK36" s="9">
        <f>_xlfn.COVARIANCE.P('Data_Matrix (2018)'!$AF$2:$AF$67,'Data_Matrix (2018)'!BK$2:BK$67)</f>
        <v>0.16902057578462509</v>
      </c>
      <c r="BL36" s="9">
        <f>_xlfn.COVARIANCE.P('Data_Matrix (2018)'!$AF$2:$AF$67,'Data_Matrix (2018)'!BL$2:BL$67)</f>
        <v>0.16272473376617388</v>
      </c>
      <c r="BM36" s="9">
        <f>_xlfn.COVARIANCE.P('Data_Matrix (2018)'!$AF$2:$AF$67,'Data_Matrix (2018)'!BM$2:BM$67)</f>
        <v>2.3570881957107766E-2</v>
      </c>
      <c r="BN36" s="9">
        <f>_xlfn.COVARIANCE.P('Data_Matrix (2018)'!$AF$2:$AF$67,'Data_Matrix (2018)'!BN$2:BN$67)</f>
        <v>-7.2060754984403447E-3</v>
      </c>
      <c r="BO36" s="9">
        <f>_xlfn.COVARIANCE.P('Data_Matrix (2018)'!$AF$2:$AF$67,'Data_Matrix (2018)'!BO$2:BO$67)</f>
        <v>4.4778142479619834E-4</v>
      </c>
    </row>
    <row r="37" spans="2:67" x14ac:dyDescent="0.2">
      <c r="B37" s="9">
        <f>_xlfn.COVARIANCE.P('Data_Matrix (2018)'!$AG$2:$AG$67,'Data_Matrix (2018)'!B$2:B$67)</f>
        <v>14042.297492400852</v>
      </c>
      <c r="C37" s="9">
        <f>_xlfn.COVARIANCE.P('Data_Matrix (2018)'!$AG$2:$AG$67,'Data_Matrix (2018)'!C$2:C$67)</f>
        <v>10439.691645913394</v>
      </c>
      <c r="D37" s="9">
        <f>_xlfn.COVARIANCE.P('Data_Matrix (2018)'!$AG$2:$AG$67,'Data_Matrix (2018)'!D$2:D$67)</f>
        <v>5536.4829493321758</v>
      </c>
      <c r="E37" s="9">
        <f>_xlfn.COVARIANCE.P('Data_Matrix (2018)'!$AG$2:$AG$67,'Data_Matrix (2018)'!E$2:E$67)</f>
        <v>7154.6882232559074</v>
      </c>
      <c r="F37" s="9">
        <f>_xlfn.COVARIANCE.P('Data_Matrix (2018)'!$AG$2:$AG$67,'Data_Matrix (2018)'!F$2:F$67)</f>
        <v>5017.8782573442295</v>
      </c>
      <c r="G37" s="9">
        <f>_xlfn.COVARIANCE.P('Data_Matrix (2018)'!$AG$2:$AG$67,'Data_Matrix (2018)'!G$2:G$67)</f>
        <v>4620.3072408923244</v>
      </c>
      <c r="H37" s="9">
        <f>_xlfn.COVARIANCE.P('Data_Matrix (2018)'!$AG$2:$AG$67,'Data_Matrix (2018)'!H$2:H$67)</f>
        <v>1272.2625528593817</v>
      </c>
      <c r="I37" s="9">
        <f>_xlfn.COVARIANCE.P('Data_Matrix (2018)'!$AG$2:$AG$67,'Data_Matrix (2018)'!I$2:I$67)</f>
        <v>2460.0327858338942</v>
      </c>
      <c r="J37" s="9">
        <f>_xlfn.COVARIANCE.P('Data_Matrix (2018)'!$AG$2:$AG$67,'Data_Matrix (2018)'!J$2:J$67)</f>
        <v>420.4199440749619</v>
      </c>
      <c r="K37" s="9">
        <f>_xlfn.COVARIANCE.P('Data_Matrix (2018)'!$AG$2:$AG$67,'Data_Matrix (2018)'!K$2:K$67)</f>
        <v>1584.5849121930696</v>
      </c>
      <c r="L37" s="9">
        <f>_xlfn.COVARIANCE.P('Data_Matrix (2018)'!$AG$2:$AG$67,'Data_Matrix (2018)'!L$2:L$67)</f>
        <v>1320.8831141138435</v>
      </c>
      <c r="M37" s="9">
        <f>_xlfn.COVARIANCE.P('Data_Matrix (2018)'!$AG$2:$AG$67,'Data_Matrix (2018)'!M$2:M$67)</f>
        <v>786.84448474204646</v>
      </c>
      <c r="N37" s="9">
        <f>_xlfn.COVARIANCE.P('Data_Matrix (2018)'!$AG$2:$AG$67,'Data_Matrix (2018)'!N$2:N$67)</f>
        <v>752.80629071018461</v>
      </c>
      <c r="O37" s="9">
        <f>_xlfn.COVARIANCE.P('Data_Matrix (2018)'!$AG$2:$AG$67,'Data_Matrix (2018)'!O$2:O$67)</f>
        <v>487.24291435791878</v>
      </c>
      <c r="P37" s="9">
        <f>_xlfn.COVARIANCE.P('Data_Matrix (2018)'!$AG$2:$AG$67,'Data_Matrix (2018)'!P$2:P$67)</f>
        <v>527.3063005032875</v>
      </c>
      <c r="Q37" s="9">
        <f>_xlfn.COVARIANCE.P('Data_Matrix (2018)'!$AG$2:$AG$67,'Data_Matrix (2018)'!Q$2:Q$67)</f>
        <v>404.27632551059907</v>
      </c>
      <c r="R37" s="9">
        <f>_xlfn.COVARIANCE.P('Data_Matrix (2018)'!$AG$2:$AG$67,'Data_Matrix (2018)'!R$2:R$67)</f>
        <v>337.95775386712376</v>
      </c>
      <c r="S37" s="9">
        <f>_xlfn.COVARIANCE.P('Data_Matrix (2018)'!$AG$2:$AG$67,'Data_Matrix (2018)'!S$2:S$67)</f>
        <v>340.23040913010954</v>
      </c>
      <c r="T37" s="9">
        <f>_xlfn.COVARIANCE.P('Data_Matrix (2018)'!$AG$2:$AG$67,'Data_Matrix (2018)'!T$2:T$67)</f>
        <v>238.26323448392458</v>
      </c>
      <c r="U37" s="9">
        <f>_xlfn.COVARIANCE.P('Data_Matrix (2018)'!$AG$2:$AG$67,'Data_Matrix (2018)'!U$2:U$67)</f>
        <v>159.32223810330763</v>
      </c>
      <c r="V37" s="9">
        <f>_xlfn.COVARIANCE.P('Data_Matrix (2018)'!$AG$2:$AG$67,'Data_Matrix (2018)'!V$2:V$67)</f>
        <v>78.350611084793996</v>
      </c>
      <c r="W37" s="9">
        <f>_xlfn.COVARIANCE.P('Data_Matrix (2018)'!$AG$2:$AG$67,'Data_Matrix (2018)'!W$2:W$67)</f>
        <v>72.916094508163667</v>
      </c>
      <c r="X37" s="9">
        <f>_xlfn.COVARIANCE.P('Data_Matrix (2018)'!$AG$2:$AG$67,'Data_Matrix (2018)'!X$2:X$67)</f>
        <v>173.96408187205893</v>
      </c>
      <c r="Y37" s="9">
        <f>_xlfn.COVARIANCE.P('Data_Matrix (2018)'!$AG$2:$AG$67,'Data_Matrix (2018)'!Y$2:Y$67)</f>
        <v>127.11433040017141</v>
      </c>
      <c r="Z37" s="9">
        <f>_xlfn.COVARIANCE.P('Data_Matrix (2018)'!$AG$2:$AG$67,'Data_Matrix (2018)'!Z$2:Z$67)</f>
        <v>86.645957663461942</v>
      </c>
      <c r="AA37" s="9">
        <f>_xlfn.COVARIANCE.P('Data_Matrix (2018)'!$AG$2:$AG$67,'Data_Matrix (2018)'!AA$2:AA$67)</f>
        <v>124.67408086679819</v>
      </c>
      <c r="AB37" s="9">
        <f>_xlfn.COVARIANCE.P('Data_Matrix (2018)'!$AG$2:$AG$67,'Data_Matrix (2018)'!AB$2:AB$67)</f>
        <v>13.76181598246837</v>
      </c>
      <c r="AC37" s="9">
        <f>_xlfn.COVARIANCE.P('Data_Matrix (2018)'!$AG$2:$AG$67,'Data_Matrix (2018)'!AC$2:AC$67)</f>
        <v>52.885407136547435</v>
      </c>
      <c r="AD37" s="9">
        <f>_xlfn.COVARIANCE.P('Data_Matrix (2018)'!$AG$2:$AG$67,'Data_Matrix (2018)'!AD$2:AD$67)</f>
        <v>37.401092927361759</v>
      </c>
      <c r="AE37" s="9">
        <f>_xlfn.COVARIANCE.P('Data_Matrix (2018)'!$AG$2:$AG$67,'Data_Matrix (2018)'!AE$2:AE$67)</f>
        <v>38.842770453556952</v>
      </c>
      <c r="AF37" s="9">
        <f>_xlfn.COVARIANCE.P('Data_Matrix (2018)'!$AG$2:$AG$67,'Data_Matrix (2018)'!AF$2:AF$67)</f>
        <v>35.584843312224727</v>
      </c>
      <c r="AG37" s="9">
        <f>_xlfn.COVARIANCE.P('Data_Matrix (2018)'!$AG$2:$AG$67,'Data_Matrix (2018)'!AG$2:AG$67)</f>
        <v>58.840282126216351</v>
      </c>
      <c r="AH37" s="9">
        <f>_xlfn.COVARIANCE.P('Data_Matrix (2018)'!$AG$2:$AG$67,'Data_Matrix (2018)'!AH$2:AH$67)</f>
        <v>14.682563052464836</v>
      </c>
      <c r="AI37" s="9">
        <f>_xlfn.COVARIANCE.P('Data_Matrix (2018)'!$AG$2:$AG$67,'Data_Matrix (2018)'!AI$2:AI$67)</f>
        <v>11.790127907740141</v>
      </c>
      <c r="AJ37" s="9">
        <f>_xlfn.COVARIANCE.P('Data_Matrix (2018)'!$AG$2:$AG$67,'Data_Matrix (2018)'!AJ$2:AJ$67)</f>
        <v>18.696910421068022</v>
      </c>
      <c r="AK37" s="9">
        <f>_xlfn.COVARIANCE.P('Data_Matrix (2018)'!$AG$2:$AG$67,'Data_Matrix (2018)'!AK$2:AK$67)</f>
        <v>28.438786851177404</v>
      </c>
      <c r="AL37" s="9">
        <f>_xlfn.COVARIANCE.P('Data_Matrix (2018)'!$AG$2:$AG$67,'Data_Matrix (2018)'!AL$2:AL$67)</f>
        <v>-15.326924330882164</v>
      </c>
      <c r="AM37" s="9">
        <f>_xlfn.COVARIANCE.P('Data_Matrix (2018)'!$AG$2:$AG$67,'Data_Matrix (2018)'!AM$2:AM$67)</f>
        <v>4.6196338103735961</v>
      </c>
      <c r="AN37" s="9">
        <f>_xlfn.COVARIANCE.P('Data_Matrix (2018)'!$AG$2:$AG$67,'Data_Matrix (2018)'!AN$2:AN$67)</f>
        <v>0.31407201708159549</v>
      </c>
      <c r="AO37" s="9">
        <f>_xlfn.COVARIANCE.P('Data_Matrix (2018)'!$AG$2:$AG$67,'Data_Matrix (2018)'!AO$2:AO$67)</f>
        <v>10.413090269336827</v>
      </c>
      <c r="AP37" s="9">
        <f>_xlfn.COVARIANCE.P('Data_Matrix (2018)'!$AG$2:$AG$67,'Data_Matrix (2018)'!AP$2:AP$67)</f>
        <v>12.190810955999376</v>
      </c>
      <c r="AQ37" s="9">
        <f>_xlfn.COVARIANCE.P('Data_Matrix (2018)'!$AG$2:$AG$67,'Data_Matrix (2018)'!AQ$2:AQ$67)</f>
        <v>17.769753819355202</v>
      </c>
      <c r="AR37" s="9">
        <f>_xlfn.COVARIANCE.P('Data_Matrix (2018)'!$AG$2:$AG$67,'Data_Matrix (2018)'!AR$2:AR$67)</f>
        <v>4.4183617789555321</v>
      </c>
      <c r="AS37" s="9">
        <f>_xlfn.COVARIANCE.P('Data_Matrix (2018)'!$AG$2:$AG$67,'Data_Matrix (2018)'!AS$2:AS$67)</f>
        <v>-0.85666722036384679</v>
      </c>
      <c r="AT37" s="9">
        <f>_xlfn.COVARIANCE.P('Data_Matrix (2018)'!$AG$2:$AG$67,'Data_Matrix (2018)'!AT$2:AT$67)</f>
        <v>9.155275055916789</v>
      </c>
      <c r="AU37" s="9">
        <f>_xlfn.COVARIANCE.P('Data_Matrix (2018)'!$AG$2:$AG$67,'Data_Matrix (2018)'!AU$2:AU$67)</f>
        <v>-0.9419195919190706</v>
      </c>
      <c r="AV37" s="9">
        <f>_xlfn.COVARIANCE.P('Data_Matrix (2018)'!$AG$2:$AG$67,'Data_Matrix (2018)'!AV$2:AV$67)</f>
        <v>8.0569965747473873</v>
      </c>
      <c r="AW37" s="9">
        <f>_xlfn.COVARIANCE.P('Data_Matrix (2018)'!$AG$2:$AG$67,'Data_Matrix (2018)'!AW$2:AW$67)</f>
        <v>0.43068423492106117</v>
      </c>
      <c r="AX37" s="9">
        <f>_xlfn.COVARIANCE.P('Data_Matrix (2018)'!$AG$2:$AG$67,'Data_Matrix (2018)'!AX$2:AX$67)</f>
        <v>15.136326768420258</v>
      </c>
      <c r="AY37" s="9">
        <f>_xlfn.COVARIANCE.P('Data_Matrix (2018)'!$AG$2:$AG$67,'Data_Matrix (2018)'!AY$2:AY$67)</f>
        <v>2.7449577891929438</v>
      </c>
      <c r="AZ37" s="9">
        <f>_xlfn.COVARIANCE.P('Data_Matrix (2018)'!$AG$2:$AG$67,'Data_Matrix (2018)'!AZ$2:AZ$67)</f>
        <v>6.0810236098606607</v>
      </c>
      <c r="BA37" s="9">
        <f>_xlfn.COVARIANCE.P('Data_Matrix (2018)'!$AG$2:$AG$67,'Data_Matrix (2018)'!BA$2:BA$67)</f>
        <v>0.42797553825794349</v>
      </c>
      <c r="BB37" s="9">
        <f>_xlfn.COVARIANCE.P('Data_Matrix (2018)'!$AG$2:$AG$67,'Data_Matrix (2018)'!BB$2:BB$67)</f>
        <v>1.5186167001329007</v>
      </c>
      <c r="BC37" s="9">
        <f>_xlfn.COVARIANCE.P('Data_Matrix (2018)'!$AG$2:$AG$67,'Data_Matrix (2018)'!BC$2:BC$67)</f>
        <v>0.96314599669142487</v>
      </c>
      <c r="BD37" s="9">
        <f>_xlfn.COVARIANCE.P('Data_Matrix (2018)'!$AG$2:$AG$67,'Data_Matrix (2018)'!BD$2:BD$67)</f>
        <v>0.87371776195067397</v>
      </c>
      <c r="BE37" s="9">
        <f>_xlfn.COVARIANCE.P('Data_Matrix (2018)'!$AG$2:$AG$67,'Data_Matrix (2018)'!BE$2:BE$67)</f>
        <v>0.42289737288665752</v>
      </c>
      <c r="BF37" s="9">
        <f>_xlfn.COVARIANCE.P('Data_Matrix (2018)'!$AG$2:$AG$67,'Data_Matrix (2018)'!BF$2:BF$67)</f>
        <v>3.2788107223159536E-2</v>
      </c>
      <c r="BG37" s="9">
        <f>_xlfn.COVARIANCE.P('Data_Matrix (2018)'!$AG$2:$AG$67,'Data_Matrix (2018)'!BG$2:BG$67)</f>
        <v>6.3281423073108037E-2</v>
      </c>
      <c r="BH37" s="9">
        <f>_xlfn.COVARIANCE.P('Data_Matrix (2018)'!$AG$2:$AG$67,'Data_Matrix (2018)'!BH$2:BH$67)</f>
        <v>0.53856197271080442</v>
      </c>
      <c r="BI37" s="9">
        <f>_xlfn.COVARIANCE.P('Data_Matrix (2018)'!$AG$2:$AG$67,'Data_Matrix (2018)'!BI$2:BI$67)</f>
        <v>0.24078086124371234</v>
      </c>
      <c r="BJ37" s="9">
        <f>_xlfn.COVARIANCE.P('Data_Matrix (2018)'!$AG$2:$AG$67,'Data_Matrix (2018)'!BJ$2:BJ$67)</f>
        <v>0.17772579284895798</v>
      </c>
      <c r="BK37" s="9">
        <f>_xlfn.COVARIANCE.P('Data_Matrix (2018)'!$AG$2:$AG$67,'Data_Matrix (2018)'!BK$2:BK$67)</f>
        <v>0.16833799322022314</v>
      </c>
      <c r="BL37" s="9">
        <f>_xlfn.COVARIANCE.P('Data_Matrix (2018)'!$AG$2:$AG$67,'Data_Matrix (2018)'!BL$2:BL$67)</f>
        <v>6.4980447898237551E-2</v>
      </c>
      <c r="BM37" s="9">
        <f>_xlfn.COVARIANCE.P('Data_Matrix (2018)'!$AG$2:$AG$67,'Data_Matrix (2018)'!BM$2:BM$67)</f>
        <v>1.3786468548155569E-2</v>
      </c>
      <c r="BN37" s="9">
        <f>_xlfn.COVARIANCE.P('Data_Matrix (2018)'!$AG$2:$AG$67,'Data_Matrix (2018)'!BN$2:BN$67)</f>
        <v>-7.511003168488746E-3</v>
      </c>
      <c r="BO37" s="9">
        <f>_xlfn.COVARIANCE.P('Data_Matrix (2018)'!$AG$2:$AG$67,'Data_Matrix (2018)'!BO$2:BO$67)</f>
        <v>6.4344055319968106E-4</v>
      </c>
    </row>
    <row r="38" spans="2:67" x14ac:dyDescent="0.2">
      <c r="B38" s="9">
        <f>_xlfn.COVARIANCE.P('Data_Matrix (2018)'!$AH$2:$AH$67,'Data_Matrix (2018)'!B$2:B$67)</f>
        <v>8157.2932502209778</v>
      </c>
      <c r="C38" s="9">
        <f>_xlfn.COVARIANCE.P('Data_Matrix (2018)'!$AH$2:$AH$67,'Data_Matrix (2018)'!C$2:C$67)</f>
        <v>860.04620038082601</v>
      </c>
      <c r="D38" s="9">
        <f>_xlfn.COVARIANCE.P('Data_Matrix (2018)'!$AH$2:$AH$67,'Data_Matrix (2018)'!D$2:D$67)</f>
        <v>4408.3687121710909</v>
      </c>
      <c r="E38" s="9">
        <f>_xlfn.COVARIANCE.P('Data_Matrix (2018)'!$AH$2:$AH$67,'Data_Matrix (2018)'!E$2:E$67)</f>
        <v>3355.1663806662677</v>
      </c>
      <c r="F38" s="9">
        <f>_xlfn.COVARIANCE.P('Data_Matrix (2018)'!$AH$2:$AH$67,'Data_Matrix (2018)'!F$2:F$67)</f>
        <v>2058.6947545513603</v>
      </c>
      <c r="G38" s="9">
        <f>_xlfn.COVARIANCE.P('Data_Matrix (2018)'!$AH$2:$AH$67,'Data_Matrix (2018)'!G$2:G$67)</f>
        <v>2422.5921457907621</v>
      </c>
      <c r="H38" s="9">
        <f>_xlfn.COVARIANCE.P('Data_Matrix (2018)'!$AH$2:$AH$67,'Data_Matrix (2018)'!H$2:H$67)</f>
        <v>1611.0522721447148</v>
      </c>
      <c r="I38" s="9">
        <f>_xlfn.COVARIANCE.P('Data_Matrix (2018)'!$AH$2:$AH$67,'Data_Matrix (2018)'!I$2:I$67)</f>
        <v>924.33387838461476</v>
      </c>
      <c r="J38" s="9">
        <f>_xlfn.COVARIANCE.P('Data_Matrix (2018)'!$AH$2:$AH$67,'Data_Matrix (2018)'!J$2:J$67)</f>
        <v>724.95977557447804</v>
      </c>
      <c r="K38" s="9">
        <f>_xlfn.COVARIANCE.P('Data_Matrix (2018)'!$AH$2:$AH$67,'Data_Matrix (2018)'!K$2:K$67)</f>
        <v>709.24301662377161</v>
      </c>
      <c r="L38" s="9">
        <f>_xlfn.COVARIANCE.P('Data_Matrix (2018)'!$AH$2:$AH$67,'Data_Matrix (2018)'!L$2:L$67)</f>
        <v>340.57718024095885</v>
      </c>
      <c r="M38" s="9">
        <f>_xlfn.COVARIANCE.P('Data_Matrix (2018)'!$AH$2:$AH$67,'Data_Matrix (2018)'!M$2:M$67)</f>
        <v>39.43638612492277</v>
      </c>
      <c r="N38" s="9">
        <f>_xlfn.COVARIANCE.P('Data_Matrix (2018)'!$AH$2:$AH$67,'Data_Matrix (2018)'!N$2:N$67)</f>
        <v>528.07727276849403</v>
      </c>
      <c r="O38" s="9">
        <f>_xlfn.COVARIANCE.P('Data_Matrix (2018)'!$AH$2:$AH$67,'Data_Matrix (2018)'!O$2:O$67)</f>
        <v>172.76576737787082</v>
      </c>
      <c r="P38" s="9">
        <f>_xlfn.COVARIANCE.P('Data_Matrix (2018)'!$AH$2:$AH$67,'Data_Matrix (2018)'!P$2:P$67)</f>
        <v>154.70541402902774</v>
      </c>
      <c r="Q38" s="9">
        <f>_xlfn.COVARIANCE.P('Data_Matrix (2018)'!$AH$2:$AH$67,'Data_Matrix (2018)'!Q$2:Q$67)</f>
        <v>79.897890176263985</v>
      </c>
      <c r="R38" s="9">
        <f>_xlfn.COVARIANCE.P('Data_Matrix (2018)'!$AH$2:$AH$67,'Data_Matrix (2018)'!R$2:R$67)</f>
        <v>-30.255022960508395</v>
      </c>
      <c r="S38" s="9">
        <f>_xlfn.COVARIANCE.P('Data_Matrix (2018)'!$AH$2:$AH$67,'Data_Matrix (2018)'!S$2:S$67)</f>
        <v>18.175305591045522</v>
      </c>
      <c r="T38" s="9">
        <f>_xlfn.COVARIANCE.P('Data_Matrix (2018)'!$AH$2:$AH$67,'Data_Matrix (2018)'!T$2:T$67)</f>
        <v>99.82795566227712</v>
      </c>
      <c r="U38" s="9">
        <f>_xlfn.COVARIANCE.P('Data_Matrix (2018)'!$AH$2:$AH$67,'Data_Matrix (2018)'!U$2:U$67)</f>
        <v>-27.711522119699879</v>
      </c>
      <c r="V38" s="9">
        <f>_xlfn.COVARIANCE.P('Data_Matrix (2018)'!$AH$2:$AH$67,'Data_Matrix (2018)'!V$2:V$67)</f>
        <v>21.893210043044775</v>
      </c>
      <c r="W38" s="9">
        <f>_xlfn.COVARIANCE.P('Data_Matrix (2018)'!$AH$2:$AH$67,'Data_Matrix (2018)'!W$2:W$67)</f>
        <v>50.101562348205377</v>
      </c>
      <c r="X38" s="9">
        <f>_xlfn.COVARIANCE.P('Data_Matrix (2018)'!$AH$2:$AH$67,'Data_Matrix (2018)'!X$2:X$67)</f>
        <v>55.355193220955563</v>
      </c>
      <c r="Y38" s="9">
        <f>_xlfn.COVARIANCE.P('Data_Matrix (2018)'!$AH$2:$AH$67,'Data_Matrix (2018)'!Y$2:Y$67)</f>
        <v>48.167198731357594</v>
      </c>
      <c r="Z38" s="9">
        <f>_xlfn.COVARIANCE.P('Data_Matrix (2018)'!$AH$2:$AH$67,'Data_Matrix (2018)'!Z$2:Z$67)</f>
        <v>21.224127233604833</v>
      </c>
      <c r="AA38" s="9">
        <f>_xlfn.COVARIANCE.P('Data_Matrix (2018)'!$AH$2:$AH$67,'Data_Matrix (2018)'!AA$2:AA$67)</f>
        <v>51.041093675874563</v>
      </c>
      <c r="AB38" s="9">
        <f>_xlfn.COVARIANCE.P('Data_Matrix (2018)'!$AH$2:$AH$67,'Data_Matrix (2018)'!AB$2:AB$67)</f>
        <v>7.1407203539144026</v>
      </c>
      <c r="AC38" s="9">
        <f>_xlfn.COVARIANCE.P('Data_Matrix (2018)'!$AH$2:$AH$67,'Data_Matrix (2018)'!AC$2:AC$67)</f>
        <v>32.429777028661462</v>
      </c>
      <c r="AD38" s="9">
        <f>_xlfn.COVARIANCE.P('Data_Matrix (2018)'!$AH$2:$AH$67,'Data_Matrix (2018)'!AD$2:AD$67)</f>
        <v>14.978320233268496</v>
      </c>
      <c r="AE38" s="9">
        <f>_xlfn.COVARIANCE.P('Data_Matrix (2018)'!$AH$2:$AH$67,'Data_Matrix (2018)'!AE$2:AE$67)</f>
        <v>26.772984847551026</v>
      </c>
      <c r="AF38" s="9">
        <f>_xlfn.COVARIANCE.P('Data_Matrix (2018)'!$AH$2:$AH$67,'Data_Matrix (2018)'!AF$2:AF$67)</f>
        <v>20.47739443063502</v>
      </c>
      <c r="AG38" s="9">
        <f>_xlfn.COVARIANCE.P('Data_Matrix (2018)'!$AH$2:$AH$67,'Data_Matrix (2018)'!AG$2:AG$67)</f>
        <v>14.682563052464836</v>
      </c>
      <c r="AH38" s="9">
        <f>_xlfn.COVARIANCE.P('Data_Matrix (2018)'!$AH$2:$AH$67,'Data_Matrix (2018)'!AH$2:AH$67)</f>
        <v>65.431866134986365</v>
      </c>
      <c r="AI38" s="9">
        <f>_xlfn.COVARIANCE.P('Data_Matrix (2018)'!$AH$2:$AH$67,'Data_Matrix (2018)'!AI$2:AI$67)</f>
        <v>1.4849188380974394</v>
      </c>
      <c r="AJ38" s="9">
        <f>_xlfn.COVARIANCE.P('Data_Matrix (2018)'!$AH$2:$AH$67,'Data_Matrix (2018)'!AJ$2:AJ$67)</f>
        <v>8.2350026104588565</v>
      </c>
      <c r="AK38" s="9">
        <f>_xlfn.COVARIANCE.P('Data_Matrix (2018)'!$AH$2:$AH$67,'Data_Matrix (2018)'!AK$2:AK$67)</f>
        <v>3.7074036281152494</v>
      </c>
      <c r="AL38" s="9">
        <f>_xlfn.COVARIANCE.P('Data_Matrix (2018)'!$AH$2:$AH$67,'Data_Matrix (2018)'!AL$2:AL$67)</f>
        <v>1.6585116441553209</v>
      </c>
      <c r="AM38" s="9">
        <f>_xlfn.COVARIANCE.P('Data_Matrix (2018)'!$AH$2:$AH$67,'Data_Matrix (2018)'!AM$2:AM$67)</f>
        <v>15.481019861540181</v>
      </c>
      <c r="AN38" s="9">
        <f>_xlfn.COVARIANCE.P('Data_Matrix (2018)'!$AH$2:$AH$67,'Data_Matrix (2018)'!AN$2:AN$67)</f>
        <v>11.264500143870887</v>
      </c>
      <c r="AO38" s="9">
        <f>_xlfn.COVARIANCE.P('Data_Matrix (2018)'!$AH$2:$AH$67,'Data_Matrix (2018)'!AO$2:AO$67)</f>
        <v>-5.9586621786159126</v>
      </c>
      <c r="AP38" s="9">
        <f>_xlfn.COVARIANCE.P('Data_Matrix (2018)'!$AH$2:$AH$67,'Data_Matrix (2018)'!AP$2:AP$67)</f>
        <v>-6.9623158212258911</v>
      </c>
      <c r="AQ38" s="9">
        <f>_xlfn.COVARIANCE.P('Data_Matrix (2018)'!$AH$2:$AH$67,'Data_Matrix (2018)'!AQ$2:AQ$67)</f>
        <v>4.1729531701688432</v>
      </c>
      <c r="AR38" s="9">
        <f>_xlfn.COVARIANCE.P('Data_Matrix (2018)'!$AH$2:$AH$67,'Data_Matrix (2018)'!AR$2:AR$67)</f>
        <v>-5.5666745873393433</v>
      </c>
      <c r="AS38" s="9">
        <f>_xlfn.COVARIANCE.P('Data_Matrix (2018)'!$AH$2:$AH$67,'Data_Matrix (2018)'!AS$2:AS$67)</f>
        <v>6.966532685002842</v>
      </c>
      <c r="AT38" s="9">
        <f>_xlfn.COVARIANCE.P('Data_Matrix (2018)'!$AH$2:$AH$67,'Data_Matrix (2018)'!AT$2:AT$67)</f>
        <v>2.9064593950129067</v>
      </c>
      <c r="AU38" s="9">
        <f>_xlfn.COVARIANCE.P('Data_Matrix (2018)'!$AH$2:$AH$67,'Data_Matrix (2018)'!AU$2:AU$67)</f>
        <v>-4.9671609535488166</v>
      </c>
      <c r="AV38" s="9">
        <f>_xlfn.COVARIANCE.P('Data_Matrix (2018)'!$AH$2:$AH$67,'Data_Matrix (2018)'!AV$2:AV$67)</f>
        <v>0.54745591625702261</v>
      </c>
      <c r="AW38" s="9">
        <f>_xlfn.COVARIANCE.P('Data_Matrix (2018)'!$AH$2:$AH$67,'Data_Matrix (2018)'!AW$2:AW$67)</f>
        <v>-5.7060573880186451</v>
      </c>
      <c r="AX38" s="9">
        <f>_xlfn.COVARIANCE.P('Data_Matrix (2018)'!$AH$2:$AH$67,'Data_Matrix (2018)'!AX$2:AX$67)</f>
        <v>2.0538569434189724</v>
      </c>
      <c r="AY38" s="9">
        <f>_xlfn.COVARIANCE.P('Data_Matrix (2018)'!$AH$2:$AH$67,'Data_Matrix (2018)'!AY$2:AY$67)</f>
        <v>-0.28656628235883308</v>
      </c>
      <c r="AZ38" s="9">
        <f>_xlfn.COVARIANCE.P('Data_Matrix (2018)'!$AH$2:$AH$67,'Data_Matrix (2018)'!AZ$2:AZ$67)</f>
        <v>-0.8375062329553753</v>
      </c>
      <c r="BA38" s="9">
        <f>_xlfn.COVARIANCE.P('Data_Matrix (2018)'!$AH$2:$AH$67,'Data_Matrix (2018)'!BA$2:BA$67)</f>
        <v>2.7212942107587169E-2</v>
      </c>
      <c r="BB38" s="9">
        <f>_xlfn.COVARIANCE.P('Data_Matrix (2018)'!$AH$2:$AH$67,'Data_Matrix (2018)'!BB$2:BB$67)</f>
        <v>0.15439067314038946</v>
      </c>
      <c r="BC38" s="9">
        <f>_xlfn.COVARIANCE.P('Data_Matrix (2018)'!$AH$2:$AH$67,'Data_Matrix (2018)'!BC$2:BC$67)</f>
        <v>0.19604030552971155</v>
      </c>
      <c r="BD38" s="9">
        <f>_xlfn.COVARIANCE.P('Data_Matrix (2018)'!$AH$2:$AH$67,'Data_Matrix (2018)'!BD$2:BD$67)</f>
        <v>-9.8518654658753244E-2</v>
      </c>
      <c r="BE38" s="9">
        <f>_xlfn.COVARIANCE.P('Data_Matrix (2018)'!$AH$2:$AH$67,'Data_Matrix (2018)'!BE$2:BE$67)</f>
        <v>-0.20241485942950496</v>
      </c>
      <c r="BF38" s="9">
        <f>_xlfn.COVARIANCE.P('Data_Matrix (2018)'!$AH$2:$AH$67,'Data_Matrix (2018)'!BF$2:BF$67)</f>
        <v>1.2711660128183193E-2</v>
      </c>
      <c r="BG38" s="9">
        <f>_xlfn.COVARIANCE.P('Data_Matrix (2018)'!$AH$2:$AH$67,'Data_Matrix (2018)'!BG$2:BG$67)</f>
        <v>7.709995293096219E-3</v>
      </c>
      <c r="BH38" s="9">
        <f>_xlfn.COVARIANCE.P('Data_Matrix (2018)'!$AH$2:$AH$67,'Data_Matrix (2018)'!BH$2:BH$67)</f>
        <v>0.19246580154876228</v>
      </c>
      <c r="BI38" s="9">
        <f>_xlfn.COVARIANCE.P('Data_Matrix (2018)'!$AH$2:$AH$67,'Data_Matrix (2018)'!BI$2:BI$67)</f>
        <v>6.8544830001369655E-2</v>
      </c>
      <c r="BJ38" s="9">
        <f>_xlfn.COVARIANCE.P('Data_Matrix (2018)'!$AH$2:$AH$67,'Data_Matrix (2018)'!BJ$2:BJ$67)</f>
        <v>0.10147893216833215</v>
      </c>
      <c r="BK38" s="9">
        <f>_xlfn.COVARIANCE.P('Data_Matrix (2018)'!$AH$2:$AH$67,'Data_Matrix (2018)'!BK$2:BK$67)</f>
        <v>6.6450459341291332E-2</v>
      </c>
      <c r="BL38" s="9">
        <f>_xlfn.COVARIANCE.P('Data_Matrix (2018)'!$AH$2:$AH$67,'Data_Matrix (2018)'!BL$2:BL$67)</f>
        <v>-3.13400191829033E-2</v>
      </c>
      <c r="BM38" s="9">
        <f>_xlfn.COVARIANCE.P('Data_Matrix (2018)'!$AH$2:$AH$67,'Data_Matrix (2018)'!BM$2:BM$67)</f>
        <v>-8.5402951943447359E-4</v>
      </c>
      <c r="BN38" s="9">
        <f>_xlfn.COVARIANCE.P('Data_Matrix (2018)'!$AH$2:$AH$67,'Data_Matrix (2018)'!BN$2:BN$67)</f>
        <v>-9.6028295147238298E-3</v>
      </c>
      <c r="BO38" s="9">
        <f>_xlfn.COVARIANCE.P('Data_Matrix (2018)'!$AH$2:$AH$67,'Data_Matrix (2018)'!BO$2:BO$67)</f>
        <v>-1.2002673490951821E-3</v>
      </c>
    </row>
    <row r="39" spans="2:67" x14ac:dyDescent="0.2">
      <c r="B39" s="9">
        <f>_xlfn.COVARIANCE.P('Data_Matrix (2018)'!$AI$2:$AI$67,'Data_Matrix (2018)'!B$2:B$67)</f>
        <v>6081.273574437746</v>
      </c>
      <c r="C39" s="9">
        <f>_xlfn.COVARIANCE.P('Data_Matrix (2018)'!$AI$2:$AI$67,'Data_Matrix (2018)'!C$2:C$67)</f>
        <v>10322.802944639041</v>
      </c>
      <c r="D39" s="9">
        <f>_xlfn.COVARIANCE.P('Data_Matrix (2018)'!$AI$2:$AI$67,'Data_Matrix (2018)'!D$2:D$67)</f>
        <v>6014.7207982238506</v>
      </c>
      <c r="E39" s="9">
        <f>_xlfn.COVARIANCE.P('Data_Matrix (2018)'!$AI$2:$AI$67,'Data_Matrix (2018)'!E$2:E$67)</f>
        <v>3453.5341094887308</v>
      </c>
      <c r="F39" s="9">
        <f>_xlfn.COVARIANCE.P('Data_Matrix (2018)'!$AI$2:$AI$67,'Data_Matrix (2018)'!F$2:F$67)</f>
        <v>1626.2351906311565</v>
      </c>
      <c r="G39" s="9">
        <f>_xlfn.COVARIANCE.P('Data_Matrix (2018)'!$AI$2:$AI$67,'Data_Matrix (2018)'!G$2:G$67)</f>
        <v>4627.7280682312103</v>
      </c>
      <c r="H39" s="9">
        <f>_xlfn.COVARIANCE.P('Data_Matrix (2018)'!$AI$2:$AI$67,'Data_Matrix (2018)'!H$2:H$67)</f>
        <v>2170.3736251524028</v>
      </c>
      <c r="I39" s="9">
        <f>_xlfn.COVARIANCE.P('Data_Matrix (2018)'!$AI$2:$AI$67,'Data_Matrix (2018)'!I$2:I$67)</f>
        <v>1629.2131254888873</v>
      </c>
      <c r="J39" s="9">
        <f>_xlfn.COVARIANCE.P('Data_Matrix (2018)'!$AI$2:$AI$67,'Data_Matrix (2018)'!J$2:J$67)</f>
        <v>938.50472835872711</v>
      </c>
      <c r="K39" s="9">
        <f>_xlfn.COVARIANCE.P('Data_Matrix (2018)'!$AI$2:$AI$67,'Data_Matrix (2018)'!K$2:K$67)</f>
        <v>917.95624037281436</v>
      </c>
      <c r="L39" s="9">
        <f>_xlfn.COVARIANCE.P('Data_Matrix (2018)'!$AI$2:$AI$67,'Data_Matrix (2018)'!L$2:L$67)</f>
        <v>1003.473413905062</v>
      </c>
      <c r="M39" s="9">
        <f>_xlfn.COVARIANCE.P('Data_Matrix (2018)'!$AI$2:$AI$67,'Data_Matrix (2018)'!M$2:M$67)</f>
        <v>807.02926610978705</v>
      </c>
      <c r="N39" s="9">
        <f>_xlfn.COVARIANCE.P('Data_Matrix (2018)'!$AI$2:$AI$67,'Data_Matrix (2018)'!N$2:N$67)</f>
        <v>880.80507887384647</v>
      </c>
      <c r="O39" s="9">
        <f>_xlfn.COVARIANCE.P('Data_Matrix (2018)'!$AI$2:$AI$67,'Data_Matrix (2018)'!O$2:O$67)</f>
        <v>419.24437700535634</v>
      </c>
      <c r="P39" s="9">
        <f>_xlfn.COVARIANCE.P('Data_Matrix (2018)'!$AI$2:$AI$67,'Data_Matrix (2018)'!P$2:P$67)</f>
        <v>64.397565247901426</v>
      </c>
      <c r="Q39" s="9">
        <f>_xlfn.COVARIANCE.P('Data_Matrix (2018)'!$AI$2:$AI$67,'Data_Matrix (2018)'!Q$2:Q$67)</f>
        <v>456.74288368767003</v>
      </c>
      <c r="R39" s="9">
        <f>_xlfn.COVARIANCE.P('Data_Matrix (2018)'!$AI$2:$AI$67,'Data_Matrix (2018)'!R$2:R$67)</f>
        <v>599.1824051074185</v>
      </c>
      <c r="S39" s="9">
        <f>_xlfn.COVARIANCE.P('Data_Matrix (2018)'!$AI$2:$AI$67,'Data_Matrix (2018)'!S$2:S$67)</f>
        <v>343.46334564763737</v>
      </c>
      <c r="T39" s="9">
        <f>_xlfn.COVARIANCE.P('Data_Matrix (2018)'!$AI$2:$AI$67,'Data_Matrix (2018)'!T$2:T$67)</f>
        <v>203.59908810015978</v>
      </c>
      <c r="U39" s="9">
        <f>_xlfn.COVARIANCE.P('Data_Matrix (2018)'!$AI$2:$AI$67,'Data_Matrix (2018)'!U$2:U$67)</f>
        <v>139.08093139347972</v>
      </c>
      <c r="V39" s="9">
        <f>_xlfn.COVARIANCE.P('Data_Matrix (2018)'!$AI$2:$AI$67,'Data_Matrix (2018)'!V$2:V$67)</f>
        <v>67.949098662326762</v>
      </c>
      <c r="W39" s="9">
        <f>_xlfn.COVARIANCE.P('Data_Matrix (2018)'!$AI$2:$AI$67,'Data_Matrix (2018)'!W$2:W$67)</f>
        <v>69.812820117520559</v>
      </c>
      <c r="X39" s="9">
        <f>_xlfn.COVARIANCE.P('Data_Matrix (2018)'!$AI$2:$AI$67,'Data_Matrix (2018)'!X$2:X$67)</f>
        <v>88.453194489779278</v>
      </c>
      <c r="Y39" s="9">
        <f>_xlfn.COVARIANCE.P('Data_Matrix (2018)'!$AI$2:$AI$67,'Data_Matrix (2018)'!Y$2:Y$67)</f>
        <v>104.41686337003077</v>
      </c>
      <c r="Z39" s="9">
        <f>_xlfn.COVARIANCE.P('Data_Matrix (2018)'!$AI$2:$AI$67,'Data_Matrix (2018)'!Z$2:Z$67)</f>
        <v>71.058284814924562</v>
      </c>
      <c r="AA39" s="9">
        <f>_xlfn.COVARIANCE.P('Data_Matrix (2018)'!$AI$2:$AI$67,'Data_Matrix (2018)'!AA$2:AA$67)</f>
        <v>98.743736770784139</v>
      </c>
      <c r="AB39" s="9">
        <f>_xlfn.COVARIANCE.P('Data_Matrix (2018)'!$AI$2:$AI$67,'Data_Matrix (2018)'!AB$2:AB$67)</f>
        <v>18.066634267755301</v>
      </c>
      <c r="AC39" s="9">
        <f>_xlfn.COVARIANCE.P('Data_Matrix (2018)'!$AI$2:$AI$67,'Data_Matrix (2018)'!AC$2:AC$67)</f>
        <v>15.023416226887987</v>
      </c>
      <c r="AD39" s="9">
        <f>_xlfn.COVARIANCE.P('Data_Matrix (2018)'!$AI$2:$AI$67,'Data_Matrix (2018)'!AD$2:AD$67)</f>
        <v>20.906340112058064</v>
      </c>
      <c r="AE39" s="9">
        <f>_xlfn.COVARIANCE.P('Data_Matrix (2018)'!$AI$2:$AI$67,'Data_Matrix (2018)'!AE$2:AE$67)</f>
        <v>9.1692765032211838</v>
      </c>
      <c r="AF39" s="9">
        <f>_xlfn.COVARIANCE.P('Data_Matrix (2018)'!$AI$2:$AI$67,'Data_Matrix (2018)'!AF$2:AF$67)</f>
        <v>14.88348770633862</v>
      </c>
      <c r="AG39" s="9">
        <f>_xlfn.COVARIANCE.P('Data_Matrix (2018)'!$AI$2:$AI$67,'Data_Matrix (2018)'!AG$2:AG$67)</f>
        <v>11.790127907740141</v>
      </c>
      <c r="AH39" s="9">
        <f>_xlfn.COVARIANCE.P('Data_Matrix (2018)'!$AI$2:$AI$67,'Data_Matrix (2018)'!AH$2:AH$67)</f>
        <v>1.4849188380974394</v>
      </c>
      <c r="AI39" s="9">
        <f>_xlfn.COVARIANCE.P('Data_Matrix (2018)'!$AI$2:$AI$67,'Data_Matrix (2018)'!AI$2:AI$67)</f>
        <v>16.179321943449864</v>
      </c>
      <c r="AJ39" s="9">
        <f>_xlfn.COVARIANCE.P('Data_Matrix (2018)'!$AI$2:$AI$67,'Data_Matrix (2018)'!AJ$2:AJ$67)</f>
        <v>10.763678371070032</v>
      </c>
      <c r="AK39" s="9">
        <f>_xlfn.COVARIANCE.P('Data_Matrix (2018)'!$AI$2:$AI$67,'Data_Matrix (2018)'!AK$2:AK$67)</f>
        <v>6.291866329190019</v>
      </c>
      <c r="AL39" s="9">
        <f>_xlfn.COVARIANCE.P('Data_Matrix (2018)'!$AI$2:$AI$67,'Data_Matrix (2018)'!AL$2:AL$67)</f>
        <v>-11.164660250321194</v>
      </c>
      <c r="AM39" s="9">
        <f>_xlfn.COVARIANCE.P('Data_Matrix (2018)'!$AI$2:$AI$67,'Data_Matrix (2018)'!AM$2:AM$67)</f>
        <v>3.6463201139904098</v>
      </c>
      <c r="AN39" s="9">
        <f>_xlfn.COVARIANCE.P('Data_Matrix (2018)'!$AI$2:$AI$67,'Data_Matrix (2018)'!AN$2:AN$67)</f>
        <v>2.3127307655878462</v>
      </c>
      <c r="AO39" s="9">
        <f>_xlfn.COVARIANCE.P('Data_Matrix (2018)'!$AI$2:$AI$67,'Data_Matrix (2018)'!AO$2:AO$67)</f>
        <v>6.6447347953530382</v>
      </c>
      <c r="AP39" s="9">
        <f>_xlfn.COVARIANCE.P('Data_Matrix (2018)'!$AI$2:$AI$67,'Data_Matrix (2018)'!AP$2:AP$67)</f>
        <v>13.0144808487087</v>
      </c>
      <c r="AQ39" s="9">
        <f>_xlfn.COVARIANCE.P('Data_Matrix (2018)'!$AI$2:$AI$67,'Data_Matrix (2018)'!AQ$2:AQ$67)</f>
        <v>3.9753703017785971</v>
      </c>
      <c r="AR39" s="9">
        <f>_xlfn.COVARIANCE.P('Data_Matrix (2018)'!$AI$2:$AI$67,'Data_Matrix (2018)'!AR$2:AR$67)</f>
        <v>5.7391922807708733</v>
      </c>
      <c r="AS39" s="9">
        <f>_xlfn.COVARIANCE.P('Data_Matrix (2018)'!$AI$2:$AI$67,'Data_Matrix (2018)'!AS$2:AS$67)</f>
        <v>0.51062369996304102</v>
      </c>
      <c r="AT39" s="9">
        <f>_xlfn.COVARIANCE.P('Data_Matrix (2018)'!$AI$2:$AI$67,'Data_Matrix (2018)'!AT$2:AT$67)</f>
        <v>0.61105068660998163</v>
      </c>
      <c r="AU39" s="9">
        <f>_xlfn.COVARIANCE.P('Data_Matrix (2018)'!$AI$2:$AI$67,'Data_Matrix (2018)'!AU$2:AU$67)</f>
        <v>1.2333616105666187</v>
      </c>
      <c r="AV39" s="9">
        <f>_xlfn.COVARIANCE.P('Data_Matrix (2018)'!$AI$2:$AI$67,'Data_Matrix (2018)'!AV$2:AV$67)</f>
        <v>3.7339794110836899</v>
      </c>
      <c r="AW39" s="9">
        <f>_xlfn.COVARIANCE.P('Data_Matrix (2018)'!$AI$2:$AI$67,'Data_Matrix (2018)'!AW$2:AW$67)</f>
        <v>1.3038105360237697</v>
      </c>
      <c r="AX39" s="9">
        <f>_xlfn.COVARIANCE.P('Data_Matrix (2018)'!$AI$2:$AI$67,'Data_Matrix (2018)'!AX$2:AX$67)</f>
        <v>1.122095442620392</v>
      </c>
      <c r="AY39" s="9">
        <f>_xlfn.COVARIANCE.P('Data_Matrix (2018)'!$AI$2:$AI$67,'Data_Matrix (2018)'!AY$2:AY$67)</f>
        <v>1.984577447139602</v>
      </c>
      <c r="AZ39" s="9">
        <f>_xlfn.COVARIANCE.P('Data_Matrix (2018)'!$AI$2:$AI$67,'Data_Matrix (2018)'!AZ$2:AZ$67)</f>
        <v>1.9303128667238065</v>
      </c>
      <c r="BA39" s="9">
        <f>_xlfn.COVARIANCE.P('Data_Matrix (2018)'!$AI$2:$AI$67,'Data_Matrix (2018)'!BA$2:BA$67)</f>
        <v>0.42652118267768485</v>
      </c>
      <c r="BB39" s="9">
        <f>_xlfn.COVARIANCE.P('Data_Matrix (2018)'!$AI$2:$AI$67,'Data_Matrix (2018)'!BB$2:BB$67)</f>
        <v>0.81702832684010041</v>
      </c>
      <c r="BC39" s="9">
        <f>_xlfn.COVARIANCE.P('Data_Matrix (2018)'!$AI$2:$AI$67,'Data_Matrix (2018)'!BC$2:BC$67)</f>
        <v>0.92994464836406565</v>
      </c>
      <c r="BD39" s="9">
        <f>_xlfn.COVARIANCE.P('Data_Matrix (2018)'!$AI$2:$AI$67,'Data_Matrix (2018)'!BD$2:BD$67)</f>
        <v>-7.3155855235317951E-2</v>
      </c>
      <c r="BE39" s="9">
        <f>_xlfn.COVARIANCE.P('Data_Matrix (2018)'!$AI$2:$AI$67,'Data_Matrix (2018)'!BE$2:BE$67)</f>
        <v>0.30696076831376712</v>
      </c>
      <c r="BF39" s="9">
        <f>_xlfn.COVARIANCE.P('Data_Matrix (2018)'!$AI$2:$AI$67,'Data_Matrix (2018)'!BF$2:BF$67)</f>
        <v>4.2729392256467436E-2</v>
      </c>
      <c r="BG39" s="9">
        <f>_xlfn.COVARIANCE.P('Data_Matrix (2018)'!$AI$2:$AI$67,'Data_Matrix (2018)'!BG$2:BG$67)</f>
        <v>3.4846475118700607E-2</v>
      </c>
      <c r="BH39" s="9">
        <f>_xlfn.COVARIANCE.P('Data_Matrix (2018)'!$AI$2:$AI$67,'Data_Matrix (2018)'!BH$2:BH$67)</f>
        <v>0.43904520647646539</v>
      </c>
      <c r="BI39" s="9">
        <f>_xlfn.COVARIANCE.P('Data_Matrix (2018)'!$AI$2:$AI$67,'Data_Matrix (2018)'!BI$2:BI$67)</f>
        <v>0.17514250298829817</v>
      </c>
      <c r="BJ39" s="9">
        <f>_xlfn.COVARIANCE.P('Data_Matrix (2018)'!$AI$2:$AI$67,'Data_Matrix (2018)'!BJ$2:BJ$67)</f>
        <v>0.13904699070807602</v>
      </c>
      <c r="BK39" s="9">
        <f>_xlfn.COVARIANCE.P('Data_Matrix (2018)'!$AI$2:$AI$67,'Data_Matrix (2018)'!BK$2:BK$67)</f>
        <v>9.1535019481364804E-2</v>
      </c>
      <c r="BL39" s="9">
        <f>_xlfn.COVARIANCE.P('Data_Matrix (2018)'!$AI$2:$AI$67,'Data_Matrix (2018)'!BL$2:BL$67)</f>
        <v>0.11316420501010417</v>
      </c>
      <c r="BM39" s="9">
        <f>_xlfn.COVARIANCE.P('Data_Matrix (2018)'!$AI$2:$AI$67,'Data_Matrix (2018)'!BM$2:BM$67)</f>
        <v>8.8116029779097705E-3</v>
      </c>
      <c r="BN39" s="9">
        <f>_xlfn.COVARIANCE.P('Data_Matrix (2018)'!$AI$2:$AI$67,'Data_Matrix (2018)'!BN$2:BN$67)</f>
        <v>-2.8719298944208512E-3</v>
      </c>
      <c r="BO39" s="9">
        <f>_xlfn.COVARIANCE.P('Data_Matrix (2018)'!$AI$2:$AI$67,'Data_Matrix (2018)'!BO$2:BO$67)</f>
        <v>4.9335076278808989E-4</v>
      </c>
    </row>
    <row r="40" spans="2:67" x14ac:dyDescent="0.2">
      <c r="B40" s="9">
        <f>_xlfn.COVARIANCE.P('Data_Matrix (2018)'!$AJ$2:$AJ$67,'Data_Matrix (2018)'!B$2:B$67)</f>
        <v>9136.6893710429285</v>
      </c>
      <c r="C40" s="9">
        <f>_xlfn.COVARIANCE.P('Data_Matrix (2018)'!$AJ$2:$AJ$67,'Data_Matrix (2018)'!C$2:C$67)</f>
        <v>7421.1023081593339</v>
      </c>
      <c r="D40" s="9">
        <f>_xlfn.COVARIANCE.P('Data_Matrix (2018)'!$AJ$2:$AJ$67,'Data_Matrix (2018)'!D$2:D$67)</f>
        <v>4798.5238717757093</v>
      </c>
      <c r="E40" s="9">
        <f>_xlfn.COVARIANCE.P('Data_Matrix (2018)'!$AJ$2:$AJ$67,'Data_Matrix (2018)'!E$2:E$67)</f>
        <v>4265.1970349354078</v>
      </c>
      <c r="F40" s="9">
        <f>_xlfn.COVARIANCE.P('Data_Matrix (2018)'!$AJ$2:$AJ$67,'Data_Matrix (2018)'!F$2:F$67)</f>
        <v>2348.3758791752171</v>
      </c>
      <c r="G40" s="9">
        <f>_xlfn.COVARIANCE.P('Data_Matrix (2018)'!$AJ$2:$AJ$67,'Data_Matrix (2018)'!G$2:G$67)</f>
        <v>3026.1985122227666</v>
      </c>
      <c r="H40" s="9">
        <f>_xlfn.COVARIANCE.P('Data_Matrix (2018)'!$AJ$2:$AJ$67,'Data_Matrix (2018)'!H$2:H$67)</f>
        <v>1494.5501231112178</v>
      </c>
      <c r="I40" s="9">
        <f>_xlfn.COVARIANCE.P('Data_Matrix (2018)'!$AJ$2:$AJ$67,'Data_Matrix (2018)'!I$2:I$67)</f>
        <v>1280.1941314792286</v>
      </c>
      <c r="J40" s="9">
        <f>_xlfn.COVARIANCE.P('Data_Matrix (2018)'!$AJ$2:$AJ$67,'Data_Matrix (2018)'!J$2:J$67)</f>
        <v>248.40800828302528</v>
      </c>
      <c r="K40" s="9">
        <f>_xlfn.COVARIANCE.P('Data_Matrix (2018)'!$AJ$2:$AJ$67,'Data_Matrix (2018)'!K$2:K$67)</f>
        <v>721.95834816172885</v>
      </c>
      <c r="L40" s="9">
        <f>_xlfn.COVARIANCE.P('Data_Matrix (2018)'!$AJ$2:$AJ$67,'Data_Matrix (2018)'!L$2:L$67)</f>
        <v>808.84865227017372</v>
      </c>
      <c r="M40" s="9">
        <f>_xlfn.COVARIANCE.P('Data_Matrix (2018)'!$AJ$2:$AJ$67,'Data_Matrix (2018)'!M$2:M$67)</f>
        <v>339.60476645559265</v>
      </c>
      <c r="N40" s="9">
        <f>_xlfn.COVARIANCE.P('Data_Matrix (2018)'!$AJ$2:$AJ$67,'Data_Matrix (2018)'!N$2:N$67)</f>
        <v>406.7697537712358</v>
      </c>
      <c r="O40" s="9">
        <f>_xlfn.COVARIANCE.P('Data_Matrix (2018)'!$AJ$2:$AJ$67,'Data_Matrix (2018)'!O$2:O$67)</f>
        <v>364.60977903376306</v>
      </c>
      <c r="P40" s="9">
        <f>_xlfn.COVARIANCE.P('Data_Matrix (2018)'!$AJ$2:$AJ$67,'Data_Matrix (2018)'!P$2:P$67)</f>
        <v>96.423565709491015</v>
      </c>
      <c r="Q40" s="9">
        <f>_xlfn.COVARIANCE.P('Data_Matrix (2018)'!$AJ$2:$AJ$67,'Data_Matrix (2018)'!Q$2:Q$67)</f>
        <v>358.91040663437769</v>
      </c>
      <c r="R40" s="9">
        <f>_xlfn.COVARIANCE.P('Data_Matrix (2018)'!$AJ$2:$AJ$67,'Data_Matrix (2018)'!R$2:R$67)</f>
        <v>445.81057835083607</v>
      </c>
      <c r="S40" s="9">
        <f>_xlfn.COVARIANCE.P('Data_Matrix (2018)'!$AJ$2:$AJ$67,'Data_Matrix (2018)'!S$2:S$67)</f>
        <v>212.47900169243536</v>
      </c>
      <c r="T40" s="9">
        <f>_xlfn.COVARIANCE.P('Data_Matrix (2018)'!$AJ$2:$AJ$67,'Data_Matrix (2018)'!T$2:T$67)</f>
        <v>160.13629361552677</v>
      </c>
      <c r="U40" s="9">
        <f>_xlfn.COVARIANCE.P('Data_Matrix (2018)'!$AJ$2:$AJ$67,'Data_Matrix (2018)'!U$2:U$67)</f>
        <v>101.03118591354414</v>
      </c>
      <c r="V40" s="9">
        <f>_xlfn.COVARIANCE.P('Data_Matrix (2018)'!$AJ$2:$AJ$67,'Data_Matrix (2018)'!V$2:V$67)</f>
        <v>53.726898170970287</v>
      </c>
      <c r="W40" s="9">
        <f>_xlfn.COVARIANCE.P('Data_Matrix (2018)'!$AJ$2:$AJ$67,'Data_Matrix (2018)'!W$2:W$67)</f>
        <v>24.582435606464088</v>
      </c>
      <c r="X40" s="9">
        <f>_xlfn.COVARIANCE.P('Data_Matrix (2018)'!$AJ$2:$AJ$67,'Data_Matrix (2018)'!X$2:X$67)</f>
        <v>77.923130902736958</v>
      </c>
      <c r="Y40" s="9">
        <f>_xlfn.COVARIANCE.P('Data_Matrix (2018)'!$AJ$2:$AJ$67,'Data_Matrix (2018)'!Y$2:Y$67)</f>
        <v>112.69581474597524</v>
      </c>
      <c r="Z40" s="9">
        <f>_xlfn.COVARIANCE.P('Data_Matrix (2018)'!$AJ$2:$AJ$67,'Data_Matrix (2018)'!Z$2:Z$67)</f>
        <v>92.713737095885307</v>
      </c>
      <c r="AA40" s="9">
        <f>_xlfn.COVARIANCE.P('Data_Matrix (2018)'!$AJ$2:$AJ$67,'Data_Matrix (2018)'!AA$2:AA$67)</f>
        <v>100.24474798150079</v>
      </c>
      <c r="AB40" s="9">
        <f>_xlfn.COVARIANCE.P('Data_Matrix (2018)'!$AJ$2:$AJ$67,'Data_Matrix (2018)'!AB$2:AB$67)</f>
        <v>17.950016464292183</v>
      </c>
      <c r="AC40" s="9">
        <f>_xlfn.COVARIANCE.P('Data_Matrix (2018)'!$AJ$2:$AJ$67,'Data_Matrix (2018)'!AC$2:AC$67)</f>
        <v>30.952956586451741</v>
      </c>
      <c r="AD40" s="9">
        <f>_xlfn.COVARIANCE.P('Data_Matrix (2018)'!$AJ$2:$AJ$67,'Data_Matrix (2018)'!AD$2:AD$67)</f>
        <v>19.023076171554806</v>
      </c>
      <c r="AE40" s="9">
        <f>_xlfn.COVARIANCE.P('Data_Matrix (2018)'!$AJ$2:$AJ$67,'Data_Matrix (2018)'!AE$2:AE$67)</f>
        <v>23.798050326448958</v>
      </c>
      <c r="AF40" s="9">
        <f>_xlfn.COVARIANCE.P('Data_Matrix (2018)'!$AJ$2:$AJ$67,'Data_Matrix (2018)'!AF$2:AF$67)</f>
        <v>34.231997729698598</v>
      </c>
      <c r="AG40" s="9">
        <f>_xlfn.COVARIANCE.P('Data_Matrix (2018)'!$AJ$2:$AJ$67,'Data_Matrix (2018)'!AG$2:AG$67)</f>
        <v>18.696910421068022</v>
      </c>
      <c r="AH40" s="9">
        <f>_xlfn.COVARIANCE.P('Data_Matrix (2018)'!$AJ$2:$AJ$67,'Data_Matrix (2018)'!AH$2:AH$67)</f>
        <v>8.2350026104588565</v>
      </c>
      <c r="AI40" s="9">
        <f>_xlfn.COVARIANCE.P('Data_Matrix (2018)'!$AJ$2:$AJ$67,'Data_Matrix (2018)'!AI$2:AI$67)</f>
        <v>10.763678371070032</v>
      </c>
      <c r="AJ40" s="9">
        <f>_xlfn.COVARIANCE.P('Data_Matrix (2018)'!$AJ$2:$AJ$67,'Data_Matrix (2018)'!AJ$2:AJ$67)</f>
        <v>34.913201520330851</v>
      </c>
      <c r="AK40" s="9">
        <f>_xlfn.COVARIANCE.P('Data_Matrix (2018)'!$AJ$2:$AJ$67,'Data_Matrix (2018)'!AK$2:AK$67)</f>
        <v>19.305394686173294</v>
      </c>
      <c r="AL40" s="9">
        <f>_xlfn.COVARIANCE.P('Data_Matrix (2018)'!$AJ$2:$AJ$67,'Data_Matrix (2018)'!AL$2:AL$67)</f>
        <v>-10.348903907275471</v>
      </c>
      <c r="AM40" s="9">
        <f>_xlfn.COVARIANCE.P('Data_Matrix (2018)'!$AJ$2:$AJ$67,'Data_Matrix (2018)'!AM$2:AM$67)</f>
        <v>15.52688368170276</v>
      </c>
      <c r="AN40" s="9">
        <f>_xlfn.COVARIANCE.P('Data_Matrix (2018)'!$AJ$2:$AJ$67,'Data_Matrix (2018)'!AN$2:AN$67)</f>
        <v>-0.96925266883249972</v>
      </c>
      <c r="AO40" s="9">
        <f>_xlfn.COVARIANCE.P('Data_Matrix (2018)'!$AJ$2:$AJ$67,'Data_Matrix (2018)'!AO$2:AO$67)</f>
        <v>12.457924587745941</v>
      </c>
      <c r="AP40" s="9">
        <f>_xlfn.COVARIANCE.P('Data_Matrix (2018)'!$AJ$2:$AJ$67,'Data_Matrix (2018)'!AP$2:AP$67)</f>
        <v>8.0250988871139608</v>
      </c>
      <c r="AQ40" s="9">
        <f>_xlfn.COVARIANCE.P('Data_Matrix (2018)'!$AJ$2:$AJ$67,'Data_Matrix (2018)'!AQ$2:AQ$67)</f>
        <v>5.8517871951973506</v>
      </c>
      <c r="AR40" s="9">
        <f>_xlfn.COVARIANCE.P('Data_Matrix (2018)'!$AJ$2:$AJ$67,'Data_Matrix (2018)'!AR$2:AR$67)</f>
        <v>1.9609427761796734</v>
      </c>
      <c r="AS40" s="9">
        <f>_xlfn.COVARIANCE.P('Data_Matrix (2018)'!$AJ$2:$AJ$67,'Data_Matrix (2018)'!AS$2:AS$67)</f>
        <v>-0.67570629285922923</v>
      </c>
      <c r="AT40" s="9">
        <f>_xlfn.COVARIANCE.P('Data_Matrix (2018)'!$AJ$2:$AJ$67,'Data_Matrix (2018)'!AT$2:AT$67)</f>
        <v>1.3540626765265245</v>
      </c>
      <c r="AU40" s="9">
        <f>_xlfn.COVARIANCE.P('Data_Matrix (2018)'!$AJ$2:$AJ$67,'Data_Matrix (2018)'!AU$2:AU$67)</f>
        <v>-0.42873560520438303</v>
      </c>
      <c r="AV40" s="9">
        <f>_xlfn.COVARIANCE.P('Data_Matrix (2018)'!$AJ$2:$AJ$67,'Data_Matrix (2018)'!AV$2:AV$67)</f>
        <v>4.1203463718015421</v>
      </c>
      <c r="AW40" s="9">
        <f>_xlfn.COVARIANCE.P('Data_Matrix (2018)'!$AJ$2:$AJ$67,'Data_Matrix (2018)'!AW$2:AW$67)</f>
        <v>0.66792496062783291</v>
      </c>
      <c r="AX40" s="9">
        <f>_xlfn.COVARIANCE.P('Data_Matrix (2018)'!$AJ$2:$AJ$67,'Data_Matrix (2018)'!AX$2:AX$67)</f>
        <v>1.4904435897552291</v>
      </c>
      <c r="AY40" s="9">
        <f>_xlfn.COVARIANCE.P('Data_Matrix (2018)'!$AJ$2:$AJ$67,'Data_Matrix (2018)'!AY$2:AY$67)</f>
        <v>1.6460213035878866</v>
      </c>
      <c r="AZ40" s="9">
        <f>_xlfn.COVARIANCE.P('Data_Matrix (2018)'!$AJ$2:$AJ$67,'Data_Matrix (2018)'!AZ$2:AZ$67)</f>
        <v>1.2708514270624232</v>
      </c>
      <c r="BA40" s="9">
        <f>_xlfn.COVARIANCE.P('Data_Matrix (2018)'!$AJ$2:$AJ$67,'Data_Matrix (2018)'!BA$2:BA$67)</f>
        <v>0.27813146599683025</v>
      </c>
      <c r="BB40" s="9">
        <f>_xlfn.COVARIANCE.P('Data_Matrix (2018)'!$AJ$2:$AJ$67,'Data_Matrix (2018)'!BB$2:BB$67)</f>
        <v>1.3243034322940062</v>
      </c>
      <c r="BC40" s="9">
        <f>_xlfn.COVARIANCE.P('Data_Matrix (2018)'!$AJ$2:$AJ$67,'Data_Matrix (2018)'!BC$2:BC$67)</f>
        <v>0.99385416181368047</v>
      </c>
      <c r="BD40" s="9">
        <f>_xlfn.COVARIANCE.P('Data_Matrix (2018)'!$AJ$2:$AJ$67,'Data_Matrix (2018)'!BD$2:BD$67)</f>
        <v>-0.19004943383648412</v>
      </c>
      <c r="BE40" s="9">
        <f>_xlfn.COVARIANCE.P('Data_Matrix (2018)'!$AJ$2:$AJ$67,'Data_Matrix (2018)'!BE$2:BE$67)</f>
        <v>0.18114074089567608</v>
      </c>
      <c r="BF40" s="9">
        <f>_xlfn.COVARIANCE.P('Data_Matrix (2018)'!$AJ$2:$AJ$67,'Data_Matrix (2018)'!BF$2:BF$67)</f>
        <v>2.3339540526331606E-2</v>
      </c>
      <c r="BG40" s="9">
        <f>_xlfn.COVARIANCE.P('Data_Matrix (2018)'!$AJ$2:$AJ$67,'Data_Matrix (2018)'!BG$2:BG$67)</f>
        <v>4.0942043595825262E-2</v>
      </c>
      <c r="BH40" s="9">
        <f>_xlfn.COVARIANCE.P('Data_Matrix (2018)'!$AJ$2:$AJ$67,'Data_Matrix (2018)'!BH$2:BH$67)</f>
        <v>0.55747908971427418</v>
      </c>
      <c r="BI40" s="9">
        <f>_xlfn.COVARIANCE.P('Data_Matrix (2018)'!$AJ$2:$AJ$67,'Data_Matrix (2018)'!BI$2:BI$67)</f>
        <v>0.18266621135472672</v>
      </c>
      <c r="BJ40" s="9">
        <f>_xlfn.COVARIANCE.P('Data_Matrix (2018)'!$AJ$2:$AJ$67,'Data_Matrix (2018)'!BJ$2:BJ$67)</f>
        <v>0.18804749692557307</v>
      </c>
      <c r="BK40" s="9">
        <f>_xlfn.COVARIANCE.P('Data_Matrix (2018)'!$AJ$2:$AJ$67,'Data_Matrix (2018)'!BK$2:BK$67)</f>
        <v>8.9108926421587201E-2</v>
      </c>
      <c r="BL40" s="9">
        <f>_xlfn.COVARIANCE.P('Data_Matrix (2018)'!$AJ$2:$AJ$67,'Data_Matrix (2018)'!BL$2:BL$67)</f>
        <v>3.7930609618938987E-2</v>
      </c>
      <c r="BM40" s="9">
        <f>_xlfn.COVARIANCE.P('Data_Matrix (2018)'!$AJ$2:$AJ$67,'Data_Matrix (2018)'!BM$2:BM$67)</f>
        <v>7.6669659782631506E-3</v>
      </c>
      <c r="BN40" s="9">
        <f>_xlfn.COVARIANCE.P('Data_Matrix (2018)'!$AJ$2:$AJ$67,'Data_Matrix (2018)'!BN$2:BN$67)</f>
        <v>-7.5024590646612585E-3</v>
      </c>
      <c r="BO40" s="9">
        <f>_xlfn.COVARIANCE.P('Data_Matrix (2018)'!$AJ$2:$AJ$67,'Data_Matrix (2018)'!BO$2:BO$67)</f>
        <v>-2.9087957125112037E-4</v>
      </c>
    </row>
    <row r="41" spans="2:67" x14ac:dyDescent="0.2">
      <c r="B41" s="9">
        <f>_xlfn.COVARIANCE.P('Data_Matrix (2018)'!$AK$2:$AK$67,'Data_Matrix (2018)'!B$2:B$67)</f>
        <v>4607.1996795581181</v>
      </c>
      <c r="C41" s="9">
        <f>_xlfn.COVARIANCE.P('Data_Matrix (2018)'!$AK$2:$AK$67,'Data_Matrix (2018)'!C$2:C$67)</f>
        <v>5086.3557886812196</v>
      </c>
      <c r="D41" s="9">
        <f>_xlfn.COVARIANCE.P('Data_Matrix (2018)'!$AK$2:$AK$67,'Data_Matrix (2018)'!D$2:D$67)</f>
        <v>1406.1661420288849</v>
      </c>
      <c r="E41" s="9">
        <f>_xlfn.COVARIANCE.P('Data_Matrix (2018)'!$AK$2:$AK$67,'Data_Matrix (2018)'!E$2:E$67)</f>
        <v>2643.379230421438</v>
      </c>
      <c r="F41" s="9">
        <f>_xlfn.COVARIANCE.P('Data_Matrix (2018)'!$AK$2:$AK$67,'Data_Matrix (2018)'!F$2:F$67)</f>
        <v>2529.6093472710991</v>
      </c>
      <c r="G41" s="9">
        <f>_xlfn.COVARIANCE.P('Data_Matrix (2018)'!$AK$2:$AK$67,'Data_Matrix (2018)'!G$2:G$67)</f>
        <v>1158.5170623966346</v>
      </c>
      <c r="H41" s="9">
        <f>_xlfn.COVARIANCE.P('Data_Matrix (2018)'!$AK$2:$AK$67,'Data_Matrix (2018)'!H$2:H$67)</f>
        <v>-675.11413120585166</v>
      </c>
      <c r="I41" s="9">
        <f>_xlfn.COVARIANCE.P('Data_Matrix (2018)'!$AK$2:$AK$67,'Data_Matrix (2018)'!I$2:I$67)</f>
        <v>705.60490407656448</v>
      </c>
      <c r="J41" s="9">
        <f>_xlfn.COVARIANCE.P('Data_Matrix (2018)'!$AK$2:$AK$67,'Data_Matrix (2018)'!J$2:J$67)</f>
        <v>52.770221620714807</v>
      </c>
      <c r="K41" s="9">
        <f>_xlfn.COVARIANCE.P('Data_Matrix (2018)'!$AK$2:$AK$67,'Data_Matrix (2018)'!K$2:K$67)</f>
        <v>764.27514348624754</v>
      </c>
      <c r="L41" s="9">
        <f>_xlfn.COVARIANCE.P('Data_Matrix (2018)'!$AK$2:$AK$67,'Data_Matrix (2018)'!L$2:L$67)</f>
        <v>594.7339585134938</v>
      </c>
      <c r="M41" s="9">
        <f>_xlfn.COVARIANCE.P('Data_Matrix (2018)'!$AK$2:$AK$67,'Data_Matrix (2018)'!M$2:M$67)</f>
        <v>401.10023747266644</v>
      </c>
      <c r="N41" s="9">
        <f>_xlfn.COVARIANCE.P('Data_Matrix (2018)'!$AK$2:$AK$67,'Data_Matrix (2018)'!N$2:N$67)</f>
        <v>123.05282178698272</v>
      </c>
      <c r="O41" s="9">
        <f>_xlfn.COVARIANCE.P('Data_Matrix (2018)'!$AK$2:$AK$67,'Data_Matrix (2018)'!O$2:O$67)</f>
        <v>296.79200537527049</v>
      </c>
      <c r="P41" s="9">
        <f>_xlfn.COVARIANCE.P('Data_Matrix (2018)'!$AK$2:$AK$67,'Data_Matrix (2018)'!P$2:P$67)</f>
        <v>285.00632230010626</v>
      </c>
      <c r="Q41" s="9">
        <f>_xlfn.COVARIANCE.P('Data_Matrix (2018)'!$AK$2:$AK$67,'Data_Matrix (2018)'!Q$2:Q$67)</f>
        <v>268.61605865814539</v>
      </c>
      <c r="R41" s="9">
        <f>_xlfn.COVARIANCE.P('Data_Matrix (2018)'!$AK$2:$AK$67,'Data_Matrix (2018)'!R$2:R$67)</f>
        <v>312.07432143349325</v>
      </c>
      <c r="S41" s="9">
        <f>_xlfn.COVARIANCE.P('Data_Matrix (2018)'!$AK$2:$AK$67,'Data_Matrix (2018)'!S$2:S$67)</f>
        <v>181.67030090134423</v>
      </c>
      <c r="T41" s="9">
        <f>_xlfn.COVARIANCE.P('Data_Matrix (2018)'!$AK$2:$AK$67,'Data_Matrix (2018)'!T$2:T$67)</f>
        <v>61.610347498606089</v>
      </c>
      <c r="U41" s="9">
        <f>_xlfn.COVARIANCE.P('Data_Matrix (2018)'!$AK$2:$AK$67,'Data_Matrix (2018)'!U$2:U$67)</f>
        <v>143.37439777391725</v>
      </c>
      <c r="V41" s="9">
        <f>_xlfn.COVARIANCE.P('Data_Matrix (2018)'!$AK$2:$AK$67,'Data_Matrix (2018)'!V$2:V$67)</f>
        <v>159.63075154592121</v>
      </c>
      <c r="W41" s="9">
        <f>_xlfn.COVARIANCE.P('Data_Matrix (2018)'!$AK$2:$AK$67,'Data_Matrix (2018)'!W$2:W$67)</f>
        <v>44.668160535842844</v>
      </c>
      <c r="X41" s="9">
        <f>_xlfn.COVARIANCE.P('Data_Matrix (2018)'!$AK$2:$AK$67,'Data_Matrix (2018)'!X$2:X$67)</f>
        <v>43.566166615585686</v>
      </c>
      <c r="Y41" s="9">
        <f>_xlfn.COVARIANCE.P('Data_Matrix (2018)'!$AK$2:$AK$67,'Data_Matrix (2018)'!Y$2:Y$67)</f>
        <v>38.477986653844752</v>
      </c>
      <c r="Z41" s="9">
        <f>_xlfn.COVARIANCE.P('Data_Matrix (2018)'!$AK$2:$AK$67,'Data_Matrix (2018)'!Z$2:Z$67)</f>
        <v>49.272293883113782</v>
      </c>
      <c r="AA41" s="9">
        <f>_xlfn.COVARIANCE.P('Data_Matrix (2018)'!$AK$2:$AK$67,'Data_Matrix (2018)'!AA$2:AA$67)</f>
        <v>102.5694841163719</v>
      </c>
      <c r="AB41" s="9">
        <f>_xlfn.COVARIANCE.P('Data_Matrix (2018)'!$AK$2:$AK$67,'Data_Matrix (2018)'!AB$2:AB$67)</f>
        <v>9.873155721640078</v>
      </c>
      <c r="AC41" s="9">
        <f>_xlfn.COVARIANCE.P('Data_Matrix (2018)'!$AK$2:$AK$67,'Data_Matrix (2018)'!AC$2:AC$67)</f>
        <v>24.7688851250916</v>
      </c>
      <c r="AD41" s="9">
        <f>_xlfn.COVARIANCE.P('Data_Matrix (2018)'!$AK$2:$AK$67,'Data_Matrix (2018)'!AD$2:AD$67)</f>
        <v>18.814023368043685</v>
      </c>
      <c r="AE41" s="9">
        <f>_xlfn.COVARIANCE.P('Data_Matrix (2018)'!$AK$2:$AK$67,'Data_Matrix (2018)'!AE$2:AE$67)</f>
        <v>15.790776492114922</v>
      </c>
      <c r="AF41" s="9">
        <f>_xlfn.COVARIANCE.P('Data_Matrix (2018)'!$AK$2:$AK$67,'Data_Matrix (2018)'!AF$2:AF$67)</f>
        <v>17.795097981719479</v>
      </c>
      <c r="AG41" s="9">
        <f>_xlfn.COVARIANCE.P('Data_Matrix (2018)'!$AK$2:$AK$67,'Data_Matrix (2018)'!AG$2:AG$67)</f>
        <v>28.438786851177404</v>
      </c>
      <c r="AH41" s="9">
        <f>_xlfn.COVARIANCE.P('Data_Matrix (2018)'!$AK$2:$AK$67,'Data_Matrix (2018)'!AH$2:AH$67)</f>
        <v>3.7074036281152494</v>
      </c>
      <c r="AI41" s="9">
        <f>_xlfn.COVARIANCE.P('Data_Matrix (2018)'!$AK$2:$AK$67,'Data_Matrix (2018)'!AI$2:AI$67)</f>
        <v>6.291866329190019</v>
      </c>
      <c r="AJ41" s="9">
        <f>_xlfn.COVARIANCE.P('Data_Matrix (2018)'!$AK$2:$AK$67,'Data_Matrix (2018)'!AJ$2:AJ$67)</f>
        <v>19.305394686173294</v>
      </c>
      <c r="AK41" s="9">
        <f>_xlfn.COVARIANCE.P('Data_Matrix (2018)'!$AK$2:$AK$67,'Data_Matrix (2018)'!AK$2:AK$67)</f>
        <v>51.615613923185059</v>
      </c>
      <c r="AL41" s="9">
        <f>_xlfn.COVARIANCE.P('Data_Matrix (2018)'!$AK$2:$AK$67,'Data_Matrix (2018)'!AL$2:AL$67)</f>
        <v>16.983425712165385</v>
      </c>
      <c r="AM41" s="9">
        <f>_xlfn.COVARIANCE.P('Data_Matrix (2018)'!$AK$2:$AK$67,'Data_Matrix (2018)'!AM$2:AM$67)</f>
        <v>4.6516932569223677</v>
      </c>
      <c r="AN41" s="9">
        <f>_xlfn.COVARIANCE.P('Data_Matrix (2018)'!$AK$2:$AK$67,'Data_Matrix (2018)'!AN$2:AN$67)</f>
        <v>2.4807506959121066</v>
      </c>
      <c r="AO41" s="9">
        <f>_xlfn.COVARIANCE.P('Data_Matrix (2018)'!$AK$2:$AK$67,'Data_Matrix (2018)'!AO$2:AO$67)</f>
        <v>9.2758676916493386</v>
      </c>
      <c r="AP41" s="9">
        <f>_xlfn.COVARIANCE.P('Data_Matrix (2018)'!$AK$2:$AK$67,'Data_Matrix (2018)'!AP$2:AP$67)</f>
        <v>8.4139129068588794</v>
      </c>
      <c r="AQ41" s="9">
        <f>_xlfn.COVARIANCE.P('Data_Matrix (2018)'!$AK$2:$AK$67,'Data_Matrix (2018)'!AQ$2:AQ$67)</f>
        <v>11.12838712098557</v>
      </c>
      <c r="AR41" s="9">
        <f>_xlfn.COVARIANCE.P('Data_Matrix (2018)'!$AK$2:$AK$67,'Data_Matrix (2018)'!AR$2:AR$67)</f>
        <v>5.2253859139854359</v>
      </c>
      <c r="AS41" s="9">
        <f>_xlfn.COVARIANCE.P('Data_Matrix (2018)'!$AK$2:$AK$67,'Data_Matrix (2018)'!AS$2:AS$67)</f>
        <v>1.6062721888073199</v>
      </c>
      <c r="AT41" s="9">
        <f>_xlfn.COVARIANCE.P('Data_Matrix (2018)'!$AK$2:$AK$67,'Data_Matrix (2018)'!AT$2:AT$67)</f>
        <v>3.7948274356392484</v>
      </c>
      <c r="AU41" s="9">
        <f>_xlfn.COVARIANCE.P('Data_Matrix (2018)'!$AK$2:$AK$67,'Data_Matrix (2018)'!AU$2:AU$67)</f>
        <v>0.90165891336677795</v>
      </c>
      <c r="AV41" s="9">
        <f>_xlfn.COVARIANCE.P('Data_Matrix (2018)'!$AK$2:$AK$67,'Data_Matrix (2018)'!AV$2:AV$67)</f>
        <v>2.3993052848867684</v>
      </c>
      <c r="AW41" s="9">
        <f>_xlfn.COVARIANCE.P('Data_Matrix (2018)'!$AK$2:$AK$67,'Data_Matrix (2018)'!AW$2:AW$67)</f>
        <v>4.2840911371914139</v>
      </c>
      <c r="AX41" s="9">
        <f>_xlfn.COVARIANCE.P('Data_Matrix (2018)'!$AK$2:$AK$67,'Data_Matrix (2018)'!AX$2:AX$67)</f>
        <v>7.612110094895769</v>
      </c>
      <c r="AY41" s="9">
        <f>_xlfn.COVARIANCE.P('Data_Matrix (2018)'!$AK$2:$AK$67,'Data_Matrix (2018)'!AY$2:AY$67)</f>
        <v>1.3058206805696262</v>
      </c>
      <c r="AZ41" s="9">
        <f>_xlfn.COVARIANCE.P('Data_Matrix (2018)'!$AK$2:$AK$67,'Data_Matrix (2018)'!AZ$2:AZ$67)</f>
        <v>3.7753487132702106</v>
      </c>
      <c r="BA41" s="9">
        <f>_xlfn.COVARIANCE.P('Data_Matrix (2018)'!$AK$2:$AK$67,'Data_Matrix (2018)'!BA$2:BA$67)</f>
        <v>0.33243635821514256</v>
      </c>
      <c r="BB41" s="9">
        <f>_xlfn.COVARIANCE.P('Data_Matrix (2018)'!$AK$2:$AK$67,'Data_Matrix (2018)'!BB$2:BB$67)</f>
        <v>1.4754975958501773</v>
      </c>
      <c r="BC41" s="9">
        <f>_xlfn.COVARIANCE.P('Data_Matrix (2018)'!$AK$2:$AK$67,'Data_Matrix (2018)'!BC$2:BC$67)</f>
        <v>0.19367855044103893</v>
      </c>
      <c r="BD41" s="9">
        <f>_xlfn.COVARIANCE.P('Data_Matrix (2018)'!$AK$2:$AK$67,'Data_Matrix (2018)'!BD$2:BD$67)</f>
        <v>0.95992074008977968</v>
      </c>
      <c r="BE41" s="9">
        <f>_xlfn.COVARIANCE.P('Data_Matrix (2018)'!$AK$2:$AK$67,'Data_Matrix (2018)'!BE$2:BE$67)</f>
        <v>0.23102745724007501</v>
      </c>
      <c r="BF41" s="9">
        <f>_xlfn.COVARIANCE.P('Data_Matrix (2018)'!$AK$2:$AK$67,'Data_Matrix (2018)'!BF$2:BF$67)</f>
        <v>-6.384425817394926E-3</v>
      </c>
      <c r="BG41" s="9">
        <f>_xlfn.COVARIANCE.P('Data_Matrix (2018)'!$AK$2:$AK$67,'Data_Matrix (2018)'!BG$2:BG$67)</f>
        <v>-6.075921386868785E-3</v>
      </c>
      <c r="BH41" s="9">
        <f>_xlfn.COVARIANCE.P('Data_Matrix (2018)'!$AK$2:$AK$67,'Data_Matrix (2018)'!BH$2:BH$67)</f>
        <v>-3.2592870495320816E-3</v>
      </c>
      <c r="BI41" s="9">
        <f>_xlfn.COVARIANCE.P('Data_Matrix (2018)'!$AK$2:$AK$67,'Data_Matrix (2018)'!BI$2:BI$67)</f>
        <v>0.28473290927936284</v>
      </c>
      <c r="BJ41" s="9">
        <f>_xlfn.COVARIANCE.P('Data_Matrix (2018)'!$AK$2:$AK$67,'Data_Matrix (2018)'!BJ$2:BJ$67)</f>
        <v>1.6082222943545794E-2</v>
      </c>
      <c r="BK41" s="9">
        <f>_xlfn.COVARIANCE.P('Data_Matrix (2018)'!$AK$2:$AK$67,'Data_Matrix (2018)'!BK$2:BK$67)</f>
        <v>0.14474689590009215</v>
      </c>
      <c r="BL41" s="9">
        <f>_xlfn.COVARIANCE.P('Data_Matrix (2018)'!$AK$2:$AK$67,'Data_Matrix (2018)'!BL$2:BL$67)</f>
        <v>5.3946793925684432E-2</v>
      </c>
      <c r="BM41" s="9">
        <f>_xlfn.COVARIANCE.P('Data_Matrix (2018)'!$AK$2:$AK$67,'Data_Matrix (2018)'!BM$2:BM$67)</f>
        <v>-2.8798142796284489E-3</v>
      </c>
      <c r="BN41" s="9">
        <f>_xlfn.COVARIANCE.P('Data_Matrix (2018)'!$AK$2:$AK$67,'Data_Matrix (2018)'!BN$2:BN$67)</f>
        <v>-9.7381507030852056E-3</v>
      </c>
      <c r="BO41" s="9">
        <f>_xlfn.COVARIANCE.P('Data_Matrix (2018)'!$AK$2:$AK$67,'Data_Matrix (2018)'!BO$2:BO$67)</f>
        <v>-5.2833148467976707E-4</v>
      </c>
    </row>
    <row r="42" spans="2:67" x14ac:dyDescent="0.2">
      <c r="B42" s="9">
        <f>_xlfn.COVARIANCE.P('Data_Matrix (2018)'!$AL$2:$AL$67,'Data_Matrix (2018)'!B$2:B$67)</f>
        <v>-8112.026994596763</v>
      </c>
      <c r="C42" s="9">
        <f>_xlfn.COVARIANCE.P('Data_Matrix (2018)'!$AL$2:$AL$67,'Data_Matrix (2018)'!C$2:C$67)</f>
        <v>-12007.439592291525</v>
      </c>
      <c r="D42" s="9">
        <f>_xlfn.COVARIANCE.P('Data_Matrix (2018)'!$AL$2:$AL$67,'Data_Matrix (2018)'!D$2:D$67)</f>
        <v>-10813.221871169471</v>
      </c>
      <c r="E42" s="9">
        <f>_xlfn.COVARIANCE.P('Data_Matrix (2018)'!$AL$2:$AL$67,'Data_Matrix (2018)'!E$2:E$67)</f>
        <v>-1273.2132352275639</v>
      </c>
      <c r="F42" s="9">
        <f>_xlfn.COVARIANCE.P('Data_Matrix (2018)'!$AL$2:$AL$67,'Data_Matrix (2018)'!F$2:F$67)</f>
        <v>-1605.8686429433285</v>
      </c>
      <c r="G42" s="9">
        <f>_xlfn.COVARIANCE.P('Data_Matrix (2018)'!$AL$2:$AL$67,'Data_Matrix (2018)'!G$2:G$67)</f>
        <v>-7979.8292096728746</v>
      </c>
      <c r="H42" s="9">
        <f>_xlfn.COVARIANCE.P('Data_Matrix (2018)'!$AL$2:$AL$67,'Data_Matrix (2018)'!H$2:H$67)</f>
        <v>-4225.725397593068</v>
      </c>
      <c r="I42" s="9">
        <f>_xlfn.COVARIANCE.P('Data_Matrix (2018)'!$AL$2:$AL$67,'Data_Matrix (2018)'!I$2:I$67)</f>
        <v>-3924.4024175305312</v>
      </c>
      <c r="J42" s="9">
        <f>_xlfn.COVARIANCE.P('Data_Matrix (2018)'!$AL$2:$AL$67,'Data_Matrix (2018)'!J$2:J$67)</f>
        <v>-2272.3481307506872</v>
      </c>
      <c r="K42" s="9">
        <f>_xlfn.COVARIANCE.P('Data_Matrix (2018)'!$AL$2:$AL$67,'Data_Matrix (2018)'!K$2:K$67)</f>
        <v>-1077.8648093331335</v>
      </c>
      <c r="L42" s="9">
        <f>_xlfn.COVARIANCE.P('Data_Matrix (2018)'!$AL$2:$AL$67,'Data_Matrix (2018)'!L$2:L$67)</f>
        <v>-948.69403403220269</v>
      </c>
      <c r="M42" s="9">
        <f>_xlfn.COVARIANCE.P('Data_Matrix (2018)'!$AL$2:$AL$67,'Data_Matrix (2018)'!M$2:M$67)</f>
        <v>-1694.4746913634408</v>
      </c>
      <c r="N42" s="9">
        <f>_xlfn.COVARIANCE.P('Data_Matrix (2018)'!$AL$2:$AL$67,'Data_Matrix (2018)'!N$2:N$67)</f>
        <v>-1459.8818831081176</v>
      </c>
      <c r="O42" s="9">
        <f>_xlfn.COVARIANCE.P('Data_Matrix (2018)'!$AL$2:$AL$67,'Data_Matrix (2018)'!O$2:O$67)</f>
        <v>-397.89994280697351</v>
      </c>
      <c r="P42" s="9">
        <f>_xlfn.COVARIANCE.P('Data_Matrix (2018)'!$AL$2:$AL$67,'Data_Matrix (2018)'!P$2:P$67)</f>
        <v>651.81809153290544</v>
      </c>
      <c r="Q42" s="9">
        <f>_xlfn.COVARIANCE.P('Data_Matrix (2018)'!$AL$2:$AL$67,'Data_Matrix (2018)'!Q$2:Q$67)</f>
        <v>-613.47479940587982</v>
      </c>
      <c r="R42" s="9">
        <f>_xlfn.COVARIANCE.P('Data_Matrix (2018)'!$AL$2:$AL$67,'Data_Matrix (2018)'!R$2:R$67)</f>
        <v>-641.26682026868434</v>
      </c>
      <c r="S42" s="9">
        <f>_xlfn.COVARIANCE.P('Data_Matrix (2018)'!$AL$2:$AL$67,'Data_Matrix (2018)'!S$2:S$67)</f>
        <v>-563.12690616063867</v>
      </c>
      <c r="T42" s="9">
        <f>_xlfn.COVARIANCE.P('Data_Matrix (2018)'!$AL$2:$AL$67,'Data_Matrix (2018)'!T$2:T$67)</f>
        <v>-259.34697506964909</v>
      </c>
      <c r="U42" s="9">
        <f>_xlfn.COVARIANCE.P('Data_Matrix (2018)'!$AL$2:$AL$67,'Data_Matrix (2018)'!U$2:U$67)</f>
        <v>-131.44513143085297</v>
      </c>
      <c r="V42" s="9">
        <f>_xlfn.COVARIANCE.P('Data_Matrix (2018)'!$AL$2:$AL$67,'Data_Matrix (2018)'!V$2:V$67)</f>
        <v>348.99743156686111</v>
      </c>
      <c r="W42" s="9">
        <f>_xlfn.COVARIANCE.P('Data_Matrix (2018)'!$AL$2:$AL$67,'Data_Matrix (2018)'!W$2:W$67)</f>
        <v>143.72640427008159</v>
      </c>
      <c r="X42" s="9">
        <f>_xlfn.COVARIANCE.P('Data_Matrix (2018)'!$AL$2:$AL$67,'Data_Matrix (2018)'!X$2:X$67)</f>
        <v>-154.91376110807394</v>
      </c>
      <c r="Y42" s="9">
        <f>_xlfn.COVARIANCE.P('Data_Matrix (2018)'!$AL$2:$AL$67,'Data_Matrix (2018)'!Y$2:Y$67)</f>
        <v>-152.99992459423905</v>
      </c>
      <c r="Z42" s="9">
        <f>_xlfn.COVARIANCE.P('Data_Matrix (2018)'!$AL$2:$AL$67,'Data_Matrix (2018)'!Z$2:Z$67)</f>
        <v>-84.352434572228788</v>
      </c>
      <c r="AA42" s="9">
        <f>_xlfn.COVARIANCE.P('Data_Matrix (2018)'!$AL$2:$AL$67,'Data_Matrix (2018)'!AA$2:AA$67)</f>
        <v>-135.68299744239349</v>
      </c>
      <c r="AB42" s="9">
        <f>_xlfn.COVARIANCE.P('Data_Matrix (2018)'!$AL$2:$AL$67,'Data_Matrix (2018)'!AB$2:AB$67)</f>
        <v>-21.22173228661697</v>
      </c>
      <c r="AC42" s="9">
        <f>_xlfn.COVARIANCE.P('Data_Matrix (2018)'!$AL$2:$AL$67,'Data_Matrix (2018)'!AC$2:AC$67)</f>
        <v>3.8789049064660817</v>
      </c>
      <c r="AD42" s="9">
        <f>_xlfn.COVARIANCE.P('Data_Matrix (2018)'!$AL$2:$AL$67,'Data_Matrix (2018)'!AD$2:AD$67)</f>
        <v>-30.109493229031202</v>
      </c>
      <c r="AE42" s="9">
        <f>_xlfn.COVARIANCE.P('Data_Matrix (2018)'!$AL$2:$AL$67,'Data_Matrix (2018)'!AE$2:AE$67)</f>
        <v>8.0971973176895098</v>
      </c>
      <c r="AF42" s="9">
        <f>_xlfn.COVARIANCE.P('Data_Matrix (2018)'!$AL$2:$AL$67,'Data_Matrix (2018)'!AF$2:AF$67)</f>
        <v>-9.7677365674834995</v>
      </c>
      <c r="AG42" s="9">
        <f>_xlfn.COVARIANCE.P('Data_Matrix (2018)'!$AL$2:$AL$67,'Data_Matrix (2018)'!AG$2:AG$67)</f>
        <v>-15.326924330882164</v>
      </c>
      <c r="AH42" s="9">
        <f>_xlfn.COVARIANCE.P('Data_Matrix (2018)'!$AL$2:$AL$67,'Data_Matrix (2018)'!AH$2:AH$67)</f>
        <v>1.6585116441553209</v>
      </c>
      <c r="AI42" s="9">
        <f>_xlfn.COVARIANCE.P('Data_Matrix (2018)'!$AL$2:$AL$67,'Data_Matrix (2018)'!AI$2:AI$67)</f>
        <v>-11.164660250321194</v>
      </c>
      <c r="AJ42" s="9">
        <f>_xlfn.COVARIANCE.P('Data_Matrix (2018)'!$AL$2:$AL$67,'Data_Matrix (2018)'!AJ$2:AJ$67)</f>
        <v>-10.348903907275471</v>
      </c>
      <c r="AK42" s="9">
        <f>_xlfn.COVARIANCE.P('Data_Matrix (2018)'!$AL$2:$AL$67,'Data_Matrix (2018)'!AK$2:AK$67)</f>
        <v>16.983425712165385</v>
      </c>
      <c r="AL42" s="9">
        <f>_xlfn.COVARIANCE.P('Data_Matrix (2018)'!$AL$2:$AL$67,'Data_Matrix (2018)'!AL$2:AL$67)</f>
        <v>346.09898133147453</v>
      </c>
      <c r="AM42" s="9">
        <f>_xlfn.COVARIANCE.P('Data_Matrix (2018)'!$AL$2:$AL$67,'Data_Matrix (2018)'!AM$2:AM$67)</f>
        <v>2.8393514354092328</v>
      </c>
      <c r="AN42" s="9">
        <f>_xlfn.COVARIANCE.P('Data_Matrix (2018)'!$AL$2:$AL$67,'Data_Matrix (2018)'!AN$2:AN$67)</f>
        <v>-0.91601392022965145</v>
      </c>
      <c r="AO42" s="9">
        <f>_xlfn.COVARIANCE.P('Data_Matrix (2018)'!$AL$2:$AL$67,'Data_Matrix (2018)'!AO$2:AO$67)</f>
        <v>-18.831330691812244</v>
      </c>
      <c r="AP42" s="9">
        <f>_xlfn.COVARIANCE.P('Data_Matrix (2018)'!$AL$2:$AL$67,'Data_Matrix (2018)'!AP$2:AP$67)</f>
        <v>-10.610410600218806</v>
      </c>
      <c r="AQ42" s="9">
        <f>_xlfn.COVARIANCE.P('Data_Matrix (2018)'!$AL$2:$AL$67,'Data_Matrix (2018)'!AQ$2:AQ$67)</f>
        <v>-7.5063024733216066</v>
      </c>
      <c r="AR42" s="9">
        <f>_xlfn.COVARIANCE.P('Data_Matrix (2018)'!$AL$2:$AL$67,'Data_Matrix (2018)'!AR$2:AR$67)</f>
        <v>-6.7184370338611465</v>
      </c>
      <c r="AS42" s="9">
        <f>_xlfn.COVARIANCE.P('Data_Matrix (2018)'!$AL$2:$AL$67,'Data_Matrix (2018)'!AS$2:AS$67)</f>
        <v>10.479065042856117</v>
      </c>
      <c r="AT42" s="9">
        <f>_xlfn.COVARIANCE.P('Data_Matrix (2018)'!$AL$2:$AL$67,'Data_Matrix (2018)'!AT$2:AT$67)</f>
        <v>0.28372532837932735</v>
      </c>
      <c r="AU42" s="9">
        <f>_xlfn.COVARIANCE.P('Data_Matrix (2018)'!$AL$2:$AL$67,'Data_Matrix (2018)'!AU$2:AU$67)</f>
        <v>7.42638823742619</v>
      </c>
      <c r="AV42" s="9">
        <f>_xlfn.COVARIANCE.P('Data_Matrix (2018)'!$AL$2:$AL$67,'Data_Matrix (2018)'!AV$2:AV$67)</f>
        <v>-4.7855601072019684</v>
      </c>
      <c r="AW42" s="9">
        <f>_xlfn.COVARIANCE.P('Data_Matrix (2018)'!$AL$2:$AL$67,'Data_Matrix (2018)'!AW$2:AW$67)</f>
        <v>42.621334242481133</v>
      </c>
      <c r="AX42" s="9">
        <f>_xlfn.COVARIANCE.P('Data_Matrix (2018)'!$AL$2:$AL$67,'Data_Matrix (2018)'!AX$2:AX$67)</f>
        <v>-0.13431064883686913</v>
      </c>
      <c r="AY42" s="9">
        <f>_xlfn.COVARIANCE.P('Data_Matrix (2018)'!$AL$2:$AL$67,'Data_Matrix (2018)'!AY$2:AY$67)</f>
        <v>-2.0897298788823546</v>
      </c>
      <c r="AZ42" s="9">
        <f>_xlfn.COVARIANCE.P('Data_Matrix (2018)'!$AL$2:$AL$67,'Data_Matrix (2018)'!AZ$2:AZ$67)</f>
        <v>-3.0839846153225934</v>
      </c>
      <c r="BA42" s="9">
        <f>_xlfn.COVARIANCE.P('Data_Matrix (2018)'!$AL$2:$AL$67,'Data_Matrix (2018)'!BA$2:BA$67)</f>
        <v>-0.5192304245141115</v>
      </c>
      <c r="BB42" s="9">
        <f>_xlfn.COVARIANCE.P('Data_Matrix (2018)'!$AL$2:$AL$67,'Data_Matrix (2018)'!BB$2:BB$67)</f>
        <v>-1.2704919494616109</v>
      </c>
      <c r="BC42" s="9">
        <f>_xlfn.COVARIANCE.P('Data_Matrix (2018)'!$AL$2:$AL$67,'Data_Matrix (2018)'!BC$2:BC$67)</f>
        <v>-0.50807817663385391</v>
      </c>
      <c r="BD42" s="9">
        <f>_xlfn.COVARIANCE.P('Data_Matrix (2018)'!$AL$2:$AL$67,'Data_Matrix (2018)'!BD$2:BD$67)</f>
        <v>0.67010480869417199</v>
      </c>
      <c r="BE42" s="9">
        <f>_xlfn.COVARIANCE.P('Data_Matrix (2018)'!$AL$2:$AL$67,'Data_Matrix (2018)'!BE$2:BE$67)</f>
        <v>-0.54286041694853704</v>
      </c>
      <c r="BF42" s="9">
        <f>_xlfn.COVARIANCE.P('Data_Matrix (2018)'!$AL$2:$AL$67,'Data_Matrix (2018)'!BF$2:BF$67)</f>
        <v>-4.9990361577199882E-2</v>
      </c>
      <c r="BG42" s="9">
        <f>_xlfn.COVARIANCE.P('Data_Matrix (2018)'!$AL$2:$AL$67,'Data_Matrix (2018)'!BG$2:BG$67)</f>
        <v>-4.6084438313061034E-2</v>
      </c>
      <c r="BH42" s="9">
        <f>_xlfn.COVARIANCE.P('Data_Matrix (2018)'!$AL$2:$AL$67,'Data_Matrix (2018)'!BH$2:BH$67)</f>
        <v>-0.18947102106466884</v>
      </c>
      <c r="BI42" s="9">
        <f>_xlfn.COVARIANCE.P('Data_Matrix (2018)'!$AL$2:$AL$67,'Data_Matrix (2018)'!BI$2:BI$67)</f>
        <v>-0.14785707457433822</v>
      </c>
      <c r="BJ42" s="9">
        <f>_xlfn.COVARIANCE.P('Data_Matrix (2018)'!$AL$2:$AL$67,'Data_Matrix (2018)'!BJ$2:BJ$67)</f>
        <v>-8.2329327482156808E-2</v>
      </c>
      <c r="BK42" s="9">
        <f>_xlfn.COVARIANCE.P('Data_Matrix (2018)'!$AL$2:$AL$67,'Data_Matrix (2018)'!BK$2:BK$67)</f>
        <v>-7.9463185036969988E-2</v>
      </c>
      <c r="BL42" s="9">
        <f>_xlfn.COVARIANCE.P('Data_Matrix (2018)'!$AL$2:$AL$67,'Data_Matrix (2018)'!BL$2:BL$67)</f>
        <v>0.22540211613298936</v>
      </c>
      <c r="BM42" s="9">
        <f>_xlfn.COVARIANCE.P('Data_Matrix (2018)'!$AL$2:$AL$67,'Data_Matrix (2018)'!BM$2:BM$67)</f>
        <v>-1.1890530254117286E-2</v>
      </c>
      <c r="BN42" s="9">
        <f>_xlfn.COVARIANCE.P('Data_Matrix (2018)'!$AL$2:$AL$67,'Data_Matrix (2018)'!BN$2:BN$67)</f>
        <v>-1.3132310245874608E-2</v>
      </c>
      <c r="BO42" s="9">
        <f>_xlfn.COVARIANCE.P('Data_Matrix (2018)'!$AL$2:$AL$67,'Data_Matrix (2018)'!BO$2:BO$67)</f>
        <v>-1.5777705191903646E-3</v>
      </c>
    </row>
    <row r="43" spans="2:67" x14ac:dyDescent="0.2">
      <c r="B43" s="9">
        <f>_xlfn.COVARIANCE.P('Data_Matrix (2018)'!$AM$2:$AM$67,'Data_Matrix (2018)'!B$2:B$67)</f>
        <v>4914.4649750049675</v>
      </c>
      <c r="C43" s="9">
        <f>_xlfn.COVARIANCE.P('Data_Matrix (2018)'!$AM$2:$AM$67,'Data_Matrix (2018)'!C$2:C$67)</f>
        <v>4662.453127433866</v>
      </c>
      <c r="D43" s="9">
        <f>_xlfn.COVARIANCE.P('Data_Matrix (2018)'!$AM$2:$AM$67,'Data_Matrix (2018)'!D$2:D$67)</f>
        <v>4488.2958145522562</v>
      </c>
      <c r="E43" s="9">
        <f>_xlfn.COVARIANCE.P('Data_Matrix (2018)'!$AM$2:$AM$67,'Data_Matrix (2018)'!E$2:E$67)</f>
        <v>3364.7378602422359</v>
      </c>
      <c r="F43" s="9">
        <f>_xlfn.COVARIANCE.P('Data_Matrix (2018)'!$AM$2:$AM$67,'Data_Matrix (2018)'!F$2:F$67)</f>
        <v>1110.2942068877862</v>
      </c>
      <c r="G43" s="9">
        <f>_xlfn.COVARIANCE.P('Data_Matrix (2018)'!$AM$2:$AM$67,'Data_Matrix (2018)'!G$2:G$67)</f>
        <v>2472.9073132251842</v>
      </c>
      <c r="H43" s="9">
        <f>_xlfn.COVARIANCE.P('Data_Matrix (2018)'!$AM$2:$AM$67,'Data_Matrix (2018)'!H$2:H$67)</f>
        <v>1486.5174602036566</v>
      </c>
      <c r="I43" s="9">
        <f>_xlfn.COVARIANCE.P('Data_Matrix (2018)'!$AM$2:$AM$67,'Data_Matrix (2018)'!I$2:I$67)</f>
        <v>1679.9749339733789</v>
      </c>
      <c r="J43" s="9">
        <f>_xlfn.COVARIANCE.P('Data_Matrix (2018)'!$AM$2:$AM$67,'Data_Matrix (2018)'!J$2:J$67)</f>
        <v>71.048193610081526</v>
      </c>
      <c r="K43" s="9">
        <f>_xlfn.COVARIANCE.P('Data_Matrix (2018)'!$AM$2:$AM$67,'Data_Matrix (2018)'!K$2:K$67)</f>
        <v>362.21756874566825</v>
      </c>
      <c r="L43" s="9">
        <f>_xlfn.COVARIANCE.P('Data_Matrix (2018)'!$AM$2:$AM$67,'Data_Matrix (2018)'!L$2:L$67)</f>
        <v>387.49038689258396</v>
      </c>
      <c r="M43" s="9">
        <f>_xlfn.COVARIANCE.P('Data_Matrix (2018)'!$AM$2:$AM$67,'Data_Matrix (2018)'!M$2:M$67)</f>
        <v>399.2361005181948</v>
      </c>
      <c r="N43" s="9">
        <f>_xlfn.COVARIANCE.P('Data_Matrix (2018)'!$AM$2:$AM$67,'Data_Matrix (2018)'!N$2:N$67)</f>
        <v>327.28007793373575</v>
      </c>
      <c r="O43" s="9">
        <f>_xlfn.COVARIANCE.P('Data_Matrix (2018)'!$AM$2:$AM$67,'Data_Matrix (2018)'!O$2:O$67)</f>
        <v>210.40881477874419</v>
      </c>
      <c r="P43" s="9">
        <f>_xlfn.COVARIANCE.P('Data_Matrix (2018)'!$AM$2:$AM$67,'Data_Matrix (2018)'!P$2:P$67)</f>
        <v>32.64371621942955</v>
      </c>
      <c r="Q43" s="9">
        <f>_xlfn.COVARIANCE.P('Data_Matrix (2018)'!$AM$2:$AM$67,'Data_Matrix (2018)'!Q$2:Q$67)</f>
        <v>287.41758990176555</v>
      </c>
      <c r="R43" s="9">
        <f>_xlfn.COVARIANCE.P('Data_Matrix (2018)'!$AM$2:$AM$67,'Data_Matrix (2018)'!R$2:R$67)</f>
        <v>262.21227366394459</v>
      </c>
      <c r="S43" s="9">
        <f>_xlfn.COVARIANCE.P('Data_Matrix (2018)'!$AM$2:$AM$67,'Data_Matrix (2018)'!S$2:S$67)</f>
        <v>188.21947274335503</v>
      </c>
      <c r="T43" s="9">
        <f>_xlfn.COVARIANCE.P('Data_Matrix (2018)'!$AM$2:$AM$67,'Data_Matrix (2018)'!T$2:T$67)</f>
        <v>130.53197110332923</v>
      </c>
      <c r="U43" s="9">
        <f>_xlfn.COVARIANCE.P('Data_Matrix (2018)'!$AM$2:$AM$67,'Data_Matrix (2018)'!U$2:U$67)</f>
        <v>50.948905917059655</v>
      </c>
      <c r="V43" s="9">
        <f>_xlfn.COVARIANCE.P('Data_Matrix (2018)'!$AM$2:$AM$67,'Data_Matrix (2018)'!V$2:V$67)</f>
        <v>41.036245568759576</v>
      </c>
      <c r="W43" s="9">
        <f>_xlfn.COVARIANCE.P('Data_Matrix (2018)'!$AM$2:$AM$67,'Data_Matrix (2018)'!W$2:W$67)</f>
        <v>16.856819655872322</v>
      </c>
      <c r="X43" s="9">
        <f>_xlfn.COVARIANCE.P('Data_Matrix (2018)'!$AM$2:$AM$67,'Data_Matrix (2018)'!X$2:X$67)</f>
        <v>60.551029027032278</v>
      </c>
      <c r="Y43" s="9">
        <f>_xlfn.COVARIANCE.P('Data_Matrix (2018)'!$AM$2:$AM$67,'Data_Matrix (2018)'!Y$2:Y$67)</f>
        <v>92.56203315942706</v>
      </c>
      <c r="Z43" s="9">
        <f>_xlfn.COVARIANCE.P('Data_Matrix (2018)'!$AM$2:$AM$67,'Data_Matrix (2018)'!Z$2:Z$67)</f>
        <v>61.240746669283673</v>
      </c>
      <c r="AA43" s="9">
        <f>_xlfn.COVARIANCE.P('Data_Matrix (2018)'!$AM$2:$AM$67,'Data_Matrix (2018)'!AA$2:AA$67)</f>
        <v>23.798248192781156</v>
      </c>
      <c r="AB43" s="9">
        <f>_xlfn.COVARIANCE.P('Data_Matrix (2018)'!$AM$2:$AM$67,'Data_Matrix (2018)'!AB$2:AB$67)</f>
        <v>5.8256130863616606</v>
      </c>
      <c r="AC43" s="9">
        <f>_xlfn.COVARIANCE.P('Data_Matrix (2018)'!$AM$2:$AM$67,'Data_Matrix (2018)'!AC$2:AC$67)</f>
        <v>13.7075639983822</v>
      </c>
      <c r="AD43" s="9">
        <f>_xlfn.COVARIANCE.P('Data_Matrix (2018)'!$AM$2:$AM$67,'Data_Matrix (2018)'!AD$2:AD$67)</f>
        <v>6.7645687587956447</v>
      </c>
      <c r="AE43" s="9">
        <f>_xlfn.COVARIANCE.P('Data_Matrix (2018)'!$AM$2:$AM$67,'Data_Matrix (2018)'!AE$2:AE$67)</f>
        <v>10.754455006653673</v>
      </c>
      <c r="AF43" s="9">
        <f>_xlfn.COVARIANCE.P('Data_Matrix (2018)'!$AM$2:$AM$67,'Data_Matrix (2018)'!AF$2:AF$67)</f>
        <v>19.709673620140595</v>
      </c>
      <c r="AG43" s="9">
        <f>_xlfn.COVARIANCE.P('Data_Matrix (2018)'!$AM$2:$AM$67,'Data_Matrix (2018)'!AG$2:AG$67)</f>
        <v>4.6196338103735961</v>
      </c>
      <c r="AH43" s="9">
        <f>_xlfn.COVARIANCE.P('Data_Matrix (2018)'!$AM$2:$AM$67,'Data_Matrix (2018)'!AH$2:AH$67)</f>
        <v>15.481019861540181</v>
      </c>
      <c r="AI43" s="9">
        <f>_xlfn.COVARIANCE.P('Data_Matrix (2018)'!$AM$2:$AM$67,'Data_Matrix (2018)'!AI$2:AI$67)</f>
        <v>3.6463201139904098</v>
      </c>
      <c r="AJ43" s="9">
        <f>_xlfn.COVARIANCE.P('Data_Matrix (2018)'!$AM$2:$AM$67,'Data_Matrix (2018)'!AJ$2:AJ$67)</f>
        <v>15.52688368170276</v>
      </c>
      <c r="AK43" s="9">
        <f>_xlfn.COVARIANCE.P('Data_Matrix (2018)'!$AM$2:$AM$67,'Data_Matrix (2018)'!AK$2:AK$67)</f>
        <v>4.6516932569223677</v>
      </c>
      <c r="AL43" s="9">
        <f>_xlfn.COVARIANCE.P('Data_Matrix (2018)'!$AM$2:$AM$67,'Data_Matrix (2018)'!AL$2:AL$67)</f>
        <v>2.8393514354092328</v>
      </c>
      <c r="AM43" s="9">
        <f>_xlfn.COVARIANCE.P('Data_Matrix (2018)'!$AM$2:$AM$67,'Data_Matrix (2018)'!AM$2:AM$67)</f>
        <v>29.454578957071611</v>
      </c>
      <c r="AN43" s="9">
        <f>_xlfn.COVARIANCE.P('Data_Matrix (2018)'!$AM$2:$AM$67,'Data_Matrix (2018)'!AN$2:AN$67)</f>
        <v>8.0853916036835827</v>
      </c>
      <c r="AO43" s="9">
        <f>_xlfn.COVARIANCE.P('Data_Matrix (2018)'!$AM$2:$AM$67,'Data_Matrix (2018)'!AO$2:AO$67)</f>
        <v>10.176704680024809</v>
      </c>
      <c r="AP43" s="9">
        <f>_xlfn.COVARIANCE.P('Data_Matrix (2018)'!$AM$2:$AM$67,'Data_Matrix (2018)'!AP$2:AP$67)</f>
        <v>10.751344189166796</v>
      </c>
      <c r="AQ43" s="9">
        <f>_xlfn.COVARIANCE.P('Data_Matrix (2018)'!$AM$2:$AM$67,'Data_Matrix (2018)'!AQ$2:AQ$67)</f>
        <v>3.3923780720592802</v>
      </c>
      <c r="AR43" s="9">
        <f>_xlfn.COVARIANCE.P('Data_Matrix (2018)'!$AM$2:$AM$67,'Data_Matrix (2018)'!AR$2:AR$67)</f>
        <v>6.0242892308747855</v>
      </c>
      <c r="AS43" s="9">
        <f>_xlfn.COVARIANCE.P('Data_Matrix (2018)'!$AM$2:$AM$67,'Data_Matrix (2018)'!AS$2:AS$67)</f>
        <v>4.4552967620751529</v>
      </c>
      <c r="AT43" s="9">
        <f>_xlfn.COVARIANCE.P('Data_Matrix (2018)'!$AM$2:$AM$67,'Data_Matrix (2018)'!AT$2:AT$67)</f>
        <v>0.48633690160431386</v>
      </c>
      <c r="AU43" s="9">
        <f>_xlfn.COVARIANCE.P('Data_Matrix (2018)'!$AM$2:$AM$67,'Data_Matrix (2018)'!AU$2:AU$67)</f>
        <v>1.2253896533540565</v>
      </c>
      <c r="AV43" s="9">
        <f>_xlfn.COVARIANCE.P('Data_Matrix (2018)'!$AM$2:$AM$67,'Data_Matrix (2018)'!AV$2:AV$67)</f>
        <v>3.3675117870895086</v>
      </c>
      <c r="AW43" s="9">
        <f>_xlfn.COVARIANCE.P('Data_Matrix (2018)'!$AM$2:$AM$67,'Data_Matrix (2018)'!AW$2:AW$67)</f>
        <v>4.216819912724568</v>
      </c>
      <c r="AX43" s="9">
        <f>_xlfn.COVARIANCE.P('Data_Matrix (2018)'!$AM$2:$AM$67,'Data_Matrix (2018)'!AX$2:AX$67)</f>
        <v>2.4379008963231432</v>
      </c>
      <c r="AY43" s="9">
        <f>_xlfn.COVARIANCE.P('Data_Matrix (2018)'!$AM$2:$AM$67,'Data_Matrix (2018)'!AY$2:AY$67)</f>
        <v>0.88069915570475799</v>
      </c>
      <c r="AZ43" s="9">
        <f>_xlfn.COVARIANCE.P('Data_Matrix (2018)'!$AM$2:$AM$67,'Data_Matrix (2018)'!AZ$2:AZ$67)</f>
        <v>1.5626577351909723</v>
      </c>
      <c r="BA43" s="9">
        <f>_xlfn.COVARIANCE.P('Data_Matrix (2018)'!$AM$2:$AM$67,'Data_Matrix (2018)'!BA$2:BA$67)</f>
        <v>0.34581873077056929</v>
      </c>
      <c r="BB43" s="9">
        <f>_xlfn.COVARIANCE.P('Data_Matrix (2018)'!$AM$2:$AM$67,'Data_Matrix (2018)'!BB$2:BB$67)</f>
        <v>0.9924065598871773</v>
      </c>
      <c r="BC43" s="9">
        <f>_xlfn.COVARIANCE.P('Data_Matrix (2018)'!$AM$2:$AM$67,'Data_Matrix (2018)'!BC$2:BC$67)</f>
        <v>0.27676714252730183</v>
      </c>
      <c r="BD43" s="9">
        <f>_xlfn.COVARIANCE.P('Data_Matrix (2018)'!$AM$2:$AM$67,'Data_Matrix (2018)'!BD$2:BD$67)</f>
        <v>-0.39077031417690788</v>
      </c>
      <c r="BE43" s="9">
        <f>_xlfn.COVARIANCE.P('Data_Matrix (2018)'!$AM$2:$AM$67,'Data_Matrix (2018)'!BE$2:BE$67)</f>
        <v>9.6295151078400809E-2</v>
      </c>
      <c r="BF43" s="9">
        <f>_xlfn.COVARIANCE.P('Data_Matrix (2018)'!$AM$2:$AM$67,'Data_Matrix (2018)'!BF$2:BF$67)</f>
        <v>-9.3081429232485923E-3</v>
      </c>
      <c r="BG43" s="9">
        <f>_xlfn.COVARIANCE.P('Data_Matrix (2018)'!$AM$2:$AM$67,'Data_Matrix (2018)'!BG$2:BG$67)</f>
        <v>1.2676371605868746E-2</v>
      </c>
      <c r="BH43" s="9">
        <f>_xlfn.COVARIANCE.P('Data_Matrix (2018)'!$AM$2:$AM$67,'Data_Matrix (2018)'!BH$2:BH$67)</f>
        <v>0.27864756931071533</v>
      </c>
      <c r="BI43" s="9">
        <f>_xlfn.COVARIANCE.P('Data_Matrix (2018)'!$AM$2:$AM$67,'Data_Matrix (2018)'!BI$2:BI$67)</f>
        <v>0.11935184151118829</v>
      </c>
      <c r="BJ43" s="9">
        <f>_xlfn.COVARIANCE.P('Data_Matrix (2018)'!$AM$2:$AM$67,'Data_Matrix (2018)'!BJ$2:BJ$67)</f>
        <v>8.9445206568667182E-2</v>
      </c>
      <c r="BK43" s="9">
        <f>_xlfn.COVARIANCE.P('Data_Matrix (2018)'!$AM$2:$AM$67,'Data_Matrix (2018)'!BK$2:BK$67)</f>
        <v>2.2057823925445961E-3</v>
      </c>
      <c r="BL43" s="9">
        <f>_xlfn.COVARIANCE.P('Data_Matrix (2018)'!$AM$2:$AM$67,'Data_Matrix (2018)'!BL$2:BL$67)</f>
        <v>2.0334541489221612E-2</v>
      </c>
      <c r="BM43" s="9">
        <f>_xlfn.COVARIANCE.P('Data_Matrix (2018)'!$AM$2:$AM$67,'Data_Matrix (2018)'!BM$2:BM$67)</f>
        <v>1.2293332740464108E-3</v>
      </c>
      <c r="BN43" s="9">
        <f>_xlfn.COVARIANCE.P('Data_Matrix (2018)'!$AM$2:$AM$67,'Data_Matrix (2018)'!BN$2:BN$67)</f>
        <v>-9.0353941777893531E-3</v>
      </c>
      <c r="BO43" s="9">
        <f>_xlfn.COVARIANCE.P('Data_Matrix (2018)'!$AM$2:$AM$67,'Data_Matrix (2018)'!BO$2:BO$67)</f>
        <v>-9.0264214348127346E-4</v>
      </c>
    </row>
    <row r="44" spans="2:67" x14ac:dyDescent="0.2">
      <c r="B44" s="9">
        <f>_xlfn.COVARIANCE.P('Data_Matrix (2018)'!$AN$2:$AN$67,'Data_Matrix (2018)'!B$2:B$67)</f>
        <v>1582.2700977465333</v>
      </c>
      <c r="C44" s="9">
        <f>_xlfn.COVARIANCE.P('Data_Matrix (2018)'!$AN$2:$AN$67,'Data_Matrix (2018)'!C$2:C$67)</f>
        <v>3278.7760799290631</v>
      </c>
      <c r="D44" s="9">
        <f>_xlfn.COVARIANCE.P('Data_Matrix (2018)'!$AN$2:$AN$67,'Data_Matrix (2018)'!D$2:D$67)</f>
        <v>4446.9953842076984</v>
      </c>
      <c r="E44" s="9">
        <f>_xlfn.COVARIANCE.P('Data_Matrix (2018)'!$AN$2:$AN$67,'Data_Matrix (2018)'!E$2:E$67)</f>
        <v>201.86409406974965</v>
      </c>
      <c r="F44" s="9">
        <f>_xlfn.COVARIANCE.P('Data_Matrix (2018)'!$AN$2:$AN$67,'Data_Matrix (2018)'!F$2:F$67)</f>
        <v>161.34200852309135</v>
      </c>
      <c r="G44" s="9">
        <f>_xlfn.COVARIANCE.P('Data_Matrix (2018)'!$AN$2:$AN$67,'Data_Matrix (2018)'!G$2:G$67)</f>
        <v>1806.3592802459184</v>
      </c>
      <c r="H44" s="9">
        <f>_xlfn.COVARIANCE.P('Data_Matrix (2018)'!$AN$2:$AN$67,'Data_Matrix (2018)'!H$2:H$67)</f>
        <v>1296.6050739818643</v>
      </c>
      <c r="I44" s="9">
        <f>_xlfn.COVARIANCE.P('Data_Matrix (2018)'!$AN$2:$AN$67,'Data_Matrix (2018)'!I$2:I$67)</f>
        <v>1860.7612933128951</v>
      </c>
      <c r="J44" s="9">
        <f>_xlfn.COVARIANCE.P('Data_Matrix (2018)'!$AN$2:$AN$67,'Data_Matrix (2018)'!J$2:J$67)</f>
        <v>619.36669864073474</v>
      </c>
      <c r="K44" s="9">
        <f>_xlfn.COVARIANCE.P('Data_Matrix (2018)'!$AN$2:$AN$67,'Data_Matrix (2018)'!K$2:K$67)</f>
        <v>517.81500354673346</v>
      </c>
      <c r="L44" s="9">
        <f>_xlfn.COVARIANCE.P('Data_Matrix (2018)'!$AN$2:$AN$67,'Data_Matrix (2018)'!L$2:L$67)</f>
        <v>36.485699749321533</v>
      </c>
      <c r="M44" s="9">
        <f>_xlfn.COVARIANCE.P('Data_Matrix (2018)'!$AN$2:$AN$67,'Data_Matrix (2018)'!M$2:M$67)</f>
        <v>313.63875264714846</v>
      </c>
      <c r="N44" s="9">
        <f>_xlfn.COVARIANCE.P('Data_Matrix (2018)'!$AN$2:$AN$67,'Data_Matrix (2018)'!N$2:N$67)</f>
        <v>488.86027256948455</v>
      </c>
      <c r="O44" s="9">
        <f>_xlfn.COVARIANCE.P('Data_Matrix (2018)'!$AN$2:$AN$67,'Data_Matrix (2018)'!O$2:O$67)</f>
        <v>67.394374139745736</v>
      </c>
      <c r="P44" s="9">
        <f>_xlfn.COVARIANCE.P('Data_Matrix (2018)'!$AN$2:$AN$67,'Data_Matrix (2018)'!P$2:P$67)</f>
        <v>-115.41235686797259</v>
      </c>
      <c r="Q44" s="9">
        <f>_xlfn.COVARIANCE.P('Data_Matrix (2018)'!$AN$2:$AN$67,'Data_Matrix (2018)'!Q$2:Q$67)</f>
        <v>97.824063813726198</v>
      </c>
      <c r="R44" s="9">
        <f>_xlfn.COVARIANCE.P('Data_Matrix (2018)'!$AN$2:$AN$67,'Data_Matrix (2018)'!R$2:R$67)</f>
        <v>3.085741744711386</v>
      </c>
      <c r="S44" s="9">
        <f>_xlfn.COVARIANCE.P('Data_Matrix (2018)'!$AN$2:$AN$67,'Data_Matrix (2018)'!S$2:S$67)</f>
        <v>52.368505985830858</v>
      </c>
      <c r="T44" s="9">
        <f>_xlfn.COVARIANCE.P('Data_Matrix (2018)'!$AN$2:$AN$67,'Data_Matrix (2018)'!T$2:T$67)</f>
        <v>68.755319208981902</v>
      </c>
      <c r="U44" s="9">
        <f>_xlfn.COVARIANCE.P('Data_Matrix (2018)'!$AN$2:$AN$67,'Data_Matrix (2018)'!U$2:U$67)</f>
        <v>17.877901727546309</v>
      </c>
      <c r="V44" s="9">
        <f>_xlfn.COVARIANCE.P('Data_Matrix (2018)'!$AN$2:$AN$67,'Data_Matrix (2018)'!V$2:V$67)</f>
        <v>-12.468845276531166</v>
      </c>
      <c r="W44" s="9">
        <f>_xlfn.COVARIANCE.P('Data_Matrix (2018)'!$AN$2:$AN$67,'Data_Matrix (2018)'!W$2:W$67)</f>
        <v>13.576431444592767</v>
      </c>
      <c r="X44" s="9">
        <f>_xlfn.COVARIANCE.P('Data_Matrix (2018)'!$AN$2:$AN$67,'Data_Matrix (2018)'!X$2:X$67)</f>
        <v>21.344828475841918</v>
      </c>
      <c r="Y44" s="9">
        <f>_xlfn.COVARIANCE.P('Data_Matrix (2018)'!$AN$2:$AN$67,'Data_Matrix (2018)'!Y$2:Y$67)</f>
        <v>52.288552864845862</v>
      </c>
      <c r="Z44" s="9">
        <f>_xlfn.COVARIANCE.P('Data_Matrix (2018)'!$AN$2:$AN$67,'Data_Matrix (2018)'!Z$2:Z$67)</f>
        <v>1.9415991187695634</v>
      </c>
      <c r="AA44" s="9">
        <f>_xlfn.COVARIANCE.P('Data_Matrix (2018)'!$AN$2:$AN$67,'Data_Matrix (2018)'!AA$2:AA$67)</f>
        <v>12.394421822326425</v>
      </c>
      <c r="AB44" s="9">
        <f>_xlfn.COVARIANCE.P('Data_Matrix (2018)'!$AN$2:$AN$67,'Data_Matrix (2018)'!AB$2:AB$67)</f>
        <v>1.5156535999790435</v>
      </c>
      <c r="AC44" s="9">
        <f>_xlfn.COVARIANCE.P('Data_Matrix (2018)'!$AN$2:$AN$67,'Data_Matrix (2018)'!AC$2:AC$67)</f>
        <v>2.901835470084424</v>
      </c>
      <c r="AD44" s="9">
        <f>_xlfn.COVARIANCE.P('Data_Matrix (2018)'!$AN$2:$AN$67,'Data_Matrix (2018)'!AD$2:AD$67)</f>
        <v>3.4013157482052394</v>
      </c>
      <c r="AE44" s="9">
        <f>_xlfn.COVARIANCE.P('Data_Matrix (2018)'!$AN$2:$AN$67,'Data_Matrix (2018)'!AE$2:AE$67)</f>
        <v>2.5493512859351726</v>
      </c>
      <c r="AF44" s="9">
        <f>_xlfn.COVARIANCE.P('Data_Matrix (2018)'!$AN$2:$AN$67,'Data_Matrix (2018)'!AF$2:AF$67)</f>
        <v>-0.54320962889490931</v>
      </c>
      <c r="AG44" s="9">
        <f>_xlfn.COVARIANCE.P('Data_Matrix (2018)'!$AN$2:$AN$67,'Data_Matrix (2018)'!AG$2:AG$67)</f>
        <v>0.31407201708159549</v>
      </c>
      <c r="AH44" s="9">
        <f>_xlfn.COVARIANCE.P('Data_Matrix (2018)'!$AN$2:$AN$67,'Data_Matrix (2018)'!AH$2:AH$67)</f>
        <v>11.264500143870887</v>
      </c>
      <c r="AI44" s="9">
        <f>_xlfn.COVARIANCE.P('Data_Matrix (2018)'!$AN$2:$AN$67,'Data_Matrix (2018)'!AI$2:AI$67)</f>
        <v>2.3127307655878462</v>
      </c>
      <c r="AJ44" s="9">
        <f>_xlfn.COVARIANCE.P('Data_Matrix (2018)'!$AN$2:$AN$67,'Data_Matrix (2018)'!AJ$2:AJ$67)</f>
        <v>-0.96925266883249972</v>
      </c>
      <c r="AK44" s="9">
        <f>_xlfn.COVARIANCE.P('Data_Matrix (2018)'!$AN$2:$AN$67,'Data_Matrix (2018)'!AK$2:AK$67)</f>
        <v>2.4807506959121066</v>
      </c>
      <c r="AL44" s="9">
        <f>_xlfn.COVARIANCE.P('Data_Matrix (2018)'!$AN$2:$AN$67,'Data_Matrix (2018)'!AL$2:AL$67)</f>
        <v>-0.91601392022965145</v>
      </c>
      <c r="AM44" s="9">
        <f>_xlfn.COVARIANCE.P('Data_Matrix (2018)'!$AN$2:$AN$67,'Data_Matrix (2018)'!AM$2:AM$67)</f>
        <v>8.0853916036835827</v>
      </c>
      <c r="AN44" s="9">
        <f>_xlfn.COVARIANCE.P('Data_Matrix (2018)'!$AN$2:$AN$67,'Data_Matrix (2018)'!AN$2:AN$67)</f>
        <v>36.59374821191674</v>
      </c>
      <c r="AO44" s="9">
        <f>_xlfn.COVARIANCE.P('Data_Matrix (2018)'!$AN$2:$AN$67,'Data_Matrix (2018)'!AO$2:AO$67)</f>
        <v>2.616019432897172</v>
      </c>
      <c r="AP44" s="9">
        <f>_xlfn.COVARIANCE.P('Data_Matrix (2018)'!$AN$2:$AN$67,'Data_Matrix (2018)'!AP$2:AP$67)</f>
        <v>6.5342515507960508</v>
      </c>
      <c r="AQ44" s="9">
        <f>_xlfn.COVARIANCE.P('Data_Matrix (2018)'!$AN$2:$AN$67,'Data_Matrix (2018)'!AQ$2:AQ$67)</f>
        <v>-9.7275606251924371E-2</v>
      </c>
      <c r="AR44" s="9">
        <f>_xlfn.COVARIANCE.P('Data_Matrix (2018)'!$AN$2:$AN$67,'Data_Matrix (2018)'!AR$2:AR$67)</f>
        <v>2.5589670934089788</v>
      </c>
      <c r="AS44" s="9">
        <f>_xlfn.COVARIANCE.P('Data_Matrix (2018)'!$AN$2:$AN$67,'Data_Matrix (2018)'!AS$2:AS$67)</f>
        <v>2.8262375009581229</v>
      </c>
      <c r="AT44" s="9">
        <f>_xlfn.COVARIANCE.P('Data_Matrix (2018)'!$AN$2:$AN$67,'Data_Matrix (2018)'!AT$2:AT$67)</f>
        <v>4.6172808114034076</v>
      </c>
      <c r="AU44" s="9">
        <f>_xlfn.COVARIANCE.P('Data_Matrix (2018)'!$AN$2:$AN$67,'Data_Matrix (2018)'!AU$2:AU$67)</f>
        <v>3.7427985289702552</v>
      </c>
      <c r="AV44" s="9">
        <f>_xlfn.COVARIANCE.P('Data_Matrix (2018)'!$AN$2:$AN$67,'Data_Matrix (2018)'!AV$2:AV$67)</f>
        <v>-0.13033089611123866</v>
      </c>
      <c r="AW44" s="9">
        <f>_xlfn.COVARIANCE.P('Data_Matrix (2018)'!$AN$2:$AN$67,'Data_Matrix (2018)'!AW$2:AW$67)</f>
        <v>1.9337207134232279</v>
      </c>
      <c r="AX44" s="9">
        <f>_xlfn.COVARIANCE.P('Data_Matrix (2018)'!$AN$2:$AN$67,'Data_Matrix (2018)'!AX$2:AX$67)</f>
        <v>8.5321979397360206</v>
      </c>
      <c r="AY44" s="9">
        <f>_xlfn.COVARIANCE.P('Data_Matrix (2018)'!$AN$2:$AN$67,'Data_Matrix (2018)'!AY$2:AY$67)</f>
        <v>1.0405522879687226</v>
      </c>
      <c r="AZ44" s="9">
        <f>_xlfn.COVARIANCE.P('Data_Matrix (2018)'!$AN$2:$AN$67,'Data_Matrix (2018)'!AZ$2:AZ$67)</f>
        <v>2.7447343574552825</v>
      </c>
      <c r="BA44" s="9">
        <f>_xlfn.COVARIANCE.P('Data_Matrix (2018)'!$AN$2:$AN$67,'Data_Matrix (2018)'!BA$2:BA$67)</f>
        <v>-0.20488352616696237</v>
      </c>
      <c r="BB44" s="9">
        <f>_xlfn.COVARIANCE.P('Data_Matrix (2018)'!$AN$2:$AN$67,'Data_Matrix (2018)'!BB$2:BB$67)</f>
        <v>-0.20692692338657048</v>
      </c>
      <c r="BC44" s="9">
        <f>_xlfn.COVARIANCE.P('Data_Matrix (2018)'!$AN$2:$AN$67,'Data_Matrix (2018)'!BC$2:BC$67)</f>
        <v>0.44246532873359246</v>
      </c>
      <c r="BD44" s="9">
        <f>_xlfn.COVARIANCE.P('Data_Matrix (2018)'!$AN$2:$AN$67,'Data_Matrix (2018)'!BD$2:BD$67)</f>
        <v>1.4573377343753176</v>
      </c>
      <c r="BE44" s="9">
        <f>_xlfn.COVARIANCE.P('Data_Matrix (2018)'!$AN$2:$AN$67,'Data_Matrix (2018)'!BE$2:BE$67)</f>
        <v>5.0563800296129932E-2</v>
      </c>
      <c r="BF44" s="9">
        <f>_xlfn.COVARIANCE.P('Data_Matrix (2018)'!$AN$2:$AN$67,'Data_Matrix (2018)'!BF$2:BF$67)</f>
        <v>-1.3796583041649197E-2</v>
      </c>
      <c r="BG44" s="9">
        <f>_xlfn.COVARIANCE.P('Data_Matrix (2018)'!$AN$2:$AN$67,'Data_Matrix (2018)'!BG$2:BG$67)</f>
        <v>-3.0977470952509946E-2</v>
      </c>
      <c r="BH44" s="9">
        <f>_xlfn.COVARIANCE.P('Data_Matrix (2018)'!$AN$2:$AN$67,'Data_Matrix (2018)'!BH$2:BH$67)</f>
        <v>0.22951739988328676</v>
      </c>
      <c r="BI44" s="9">
        <f>_xlfn.COVARIANCE.P('Data_Matrix (2018)'!$AN$2:$AN$67,'Data_Matrix (2018)'!BI$2:BI$67)</f>
        <v>2.9096049099242394E-2</v>
      </c>
      <c r="BJ44" s="9">
        <f>_xlfn.COVARIANCE.P('Data_Matrix (2018)'!$AN$2:$AN$67,'Data_Matrix (2018)'!BJ$2:BJ$67)</f>
        <v>-2.8648850818533814E-2</v>
      </c>
      <c r="BK44" s="9">
        <f>_xlfn.COVARIANCE.P('Data_Matrix (2018)'!$AN$2:$AN$67,'Data_Matrix (2018)'!BK$2:BK$67)</f>
        <v>-4.0501395047763303E-2</v>
      </c>
      <c r="BL44" s="9">
        <f>_xlfn.COVARIANCE.P('Data_Matrix (2018)'!$AN$2:$AN$67,'Data_Matrix (2018)'!BL$2:BL$67)</f>
        <v>-7.609407936055701E-2</v>
      </c>
      <c r="BM44" s="9">
        <f>_xlfn.COVARIANCE.P('Data_Matrix (2018)'!$AN$2:$AN$67,'Data_Matrix (2018)'!BM$2:BM$67)</f>
        <v>-8.4456439655921714E-3</v>
      </c>
      <c r="BN44" s="9">
        <f>_xlfn.COVARIANCE.P('Data_Matrix (2018)'!$AN$2:$AN$67,'Data_Matrix (2018)'!BN$2:BN$67)</f>
        <v>-7.1343512303257859E-3</v>
      </c>
      <c r="BO44" s="9">
        <f>_xlfn.COVARIANCE.P('Data_Matrix (2018)'!$AN$2:$AN$67,'Data_Matrix (2018)'!BO$2:BO$67)</f>
        <v>-1.2846909481181621E-3</v>
      </c>
    </row>
    <row r="45" spans="2:67" x14ac:dyDescent="0.2">
      <c r="B45" s="9">
        <f>_xlfn.COVARIANCE.P('Data_Matrix (2018)'!$AO$2:$AO$67,'Data_Matrix (2018)'!B$2:B$67)</f>
        <v>4825.9980697889814</v>
      </c>
      <c r="C45" s="9">
        <f>_xlfn.COVARIANCE.P('Data_Matrix (2018)'!$AO$2:$AO$67,'Data_Matrix (2018)'!C$2:C$67)</f>
        <v>6171.090114954005</v>
      </c>
      <c r="D45" s="9">
        <f>_xlfn.COVARIANCE.P('Data_Matrix (2018)'!$AO$2:$AO$67,'Data_Matrix (2018)'!D$2:D$67)</f>
        <v>2517.1767142573458</v>
      </c>
      <c r="E45" s="9">
        <f>_xlfn.COVARIANCE.P('Data_Matrix (2018)'!$AO$2:$AO$67,'Data_Matrix (2018)'!E$2:E$67)</f>
        <v>3099.3094668153822</v>
      </c>
      <c r="F45" s="9">
        <f>_xlfn.COVARIANCE.P('Data_Matrix (2018)'!$AO$2:$AO$67,'Data_Matrix (2018)'!F$2:F$67)</f>
        <v>1630.992888547863</v>
      </c>
      <c r="G45" s="9">
        <f>_xlfn.COVARIANCE.P('Data_Matrix (2018)'!$AO$2:$AO$67,'Data_Matrix (2018)'!G$2:G$67)</f>
        <v>2386.9556182999263</v>
      </c>
      <c r="H45" s="9">
        <f>_xlfn.COVARIANCE.P('Data_Matrix (2018)'!$AO$2:$AO$67,'Data_Matrix (2018)'!H$2:H$67)</f>
        <v>1004.2318992236645</v>
      </c>
      <c r="I45" s="9">
        <f>_xlfn.COVARIANCE.P('Data_Matrix (2018)'!$AO$2:$AO$67,'Data_Matrix (2018)'!I$2:I$67)</f>
        <v>1256.2744599391044</v>
      </c>
      <c r="J45" s="9">
        <f>_xlfn.COVARIANCE.P('Data_Matrix (2018)'!$AO$2:$AO$67,'Data_Matrix (2018)'!J$2:J$67)</f>
        <v>308.5988954993295</v>
      </c>
      <c r="K45" s="9">
        <f>_xlfn.COVARIANCE.P('Data_Matrix (2018)'!$AO$2:$AO$67,'Data_Matrix (2018)'!K$2:K$67)</f>
        <v>604.10555574958232</v>
      </c>
      <c r="L45" s="9">
        <f>_xlfn.COVARIANCE.P('Data_Matrix (2018)'!$AO$2:$AO$67,'Data_Matrix (2018)'!L$2:L$67)</f>
        <v>680.6985182879987</v>
      </c>
      <c r="M45" s="9">
        <f>_xlfn.COVARIANCE.P('Data_Matrix (2018)'!$AO$2:$AO$67,'Data_Matrix (2018)'!M$2:M$67)</f>
        <v>580.33078699079135</v>
      </c>
      <c r="N45" s="9">
        <f>_xlfn.COVARIANCE.P('Data_Matrix (2018)'!$AO$2:$AO$67,'Data_Matrix (2018)'!N$2:N$67)</f>
        <v>314.63940363835769</v>
      </c>
      <c r="O45" s="9">
        <f>_xlfn.COVARIANCE.P('Data_Matrix (2018)'!$AO$2:$AO$67,'Data_Matrix (2018)'!O$2:O$67)</f>
        <v>285.74098733530775</v>
      </c>
      <c r="P45" s="9">
        <f>_xlfn.COVARIANCE.P('Data_Matrix (2018)'!$AO$2:$AO$67,'Data_Matrix (2018)'!P$2:P$67)</f>
        <v>104.89204912675869</v>
      </c>
      <c r="Q45" s="9">
        <f>_xlfn.COVARIANCE.P('Data_Matrix (2018)'!$AO$2:$AO$67,'Data_Matrix (2018)'!Q$2:Q$67)</f>
        <v>313.88611158227621</v>
      </c>
      <c r="R45" s="9">
        <f>_xlfn.COVARIANCE.P('Data_Matrix (2018)'!$AO$2:$AO$67,'Data_Matrix (2018)'!R$2:R$67)</f>
        <v>361.27112692892121</v>
      </c>
      <c r="S45" s="9">
        <f>_xlfn.COVARIANCE.P('Data_Matrix (2018)'!$AO$2:$AO$67,'Data_Matrix (2018)'!S$2:S$67)</f>
        <v>195.90308875216741</v>
      </c>
      <c r="T45" s="9">
        <f>_xlfn.COVARIANCE.P('Data_Matrix (2018)'!$AO$2:$AO$67,'Data_Matrix (2018)'!T$2:T$67)</f>
        <v>108.9024660034886</v>
      </c>
      <c r="U45" s="9">
        <f>_xlfn.COVARIANCE.P('Data_Matrix (2018)'!$AO$2:$AO$67,'Data_Matrix (2018)'!U$2:U$67)</f>
        <v>108.71137469187316</v>
      </c>
      <c r="V45" s="9">
        <f>_xlfn.COVARIANCE.P('Data_Matrix (2018)'!$AO$2:$AO$67,'Data_Matrix (2018)'!V$2:V$67)</f>
        <v>116.48627956783714</v>
      </c>
      <c r="W45" s="9">
        <f>_xlfn.COVARIANCE.P('Data_Matrix (2018)'!$AO$2:$AO$67,'Data_Matrix (2018)'!W$2:W$67)</f>
        <v>0.4197822168724426</v>
      </c>
      <c r="X45" s="9">
        <f>_xlfn.COVARIANCE.P('Data_Matrix (2018)'!$AO$2:$AO$67,'Data_Matrix (2018)'!X$2:X$67)</f>
        <v>59.020510818049559</v>
      </c>
      <c r="Y45" s="9">
        <f>_xlfn.COVARIANCE.P('Data_Matrix (2018)'!$AO$2:$AO$67,'Data_Matrix (2018)'!Y$2:Y$67)</f>
        <v>102.75794923741547</v>
      </c>
      <c r="Z45" s="9">
        <f>_xlfn.COVARIANCE.P('Data_Matrix (2018)'!$AO$2:$AO$67,'Data_Matrix (2018)'!Z$2:Z$67)</f>
        <v>69.114967759670051</v>
      </c>
      <c r="AA45" s="9">
        <f>_xlfn.COVARIANCE.P('Data_Matrix (2018)'!$AO$2:$AO$67,'Data_Matrix (2018)'!AA$2:AA$67)</f>
        <v>24.909218664474707</v>
      </c>
      <c r="AB45" s="9">
        <f>_xlfn.COVARIANCE.P('Data_Matrix (2018)'!$AO$2:$AO$67,'Data_Matrix (2018)'!AB$2:AB$67)</f>
        <v>5.3064034814032786</v>
      </c>
      <c r="AC45" s="9">
        <f>_xlfn.COVARIANCE.P('Data_Matrix (2018)'!$AO$2:$AO$67,'Data_Matrix (2018)'!AC$2:AC$67)</f>
        <v>13.034152515943278</v>
      </c>
      <c r="AD45" s="9">
        <f>_xlfn.COVARIANCE.P('Data_Matrix (2018)'!$AO$2:$AO$67,'Data_Matrix (2018)'!AD$2:AD$67)</f>
        <v>7.1440384170266631</v>
      </c>
      <c r="AE45" s="9">
        <f>_xlfn.COVARIANCE.P('Data_Matrix (2018)'!$AO$2:$AO$67,'Data_Matrix (2018)'!AE$2:AE$67)</f>
        <v>6.7298301016034028</v>
      </c>
      <c r="AF45" s="9">
        <f>_xlfn.COVARIANCE.P('Data_Matrix (2018)'!$AO$2:$AO$67,'Data_Matrix (2018)'!AF$2:AF$67)</f>
        <v>9.8334561689330027</v>
      </c>
      <c r="AG45" s="9">
        <f>_xlfn.COVARIANCE.P('Data_Matrix (2018)'!$AO$2:$AO$67,'Data_Matrix (2018)'!AG$2:AG$67)</f>
        <v>10.413090269336827</v>
      </c>
      <c r="AH45" s="9">
        <f>_xlfn.COVARIANCE.P('Data_Matrix (2018)'!$AO$2:$AO$67,'Data_Matrix (2018)'!AH$2:AH$67)</f>
        <v>-5.9586621786159126</v>
      </c>
      <c r="AI45" s="9">
        <f>_xlfn.COVARIANCE.P('Data_Matrix (2018)'!$AO$2:$AO$67,'Data_Matrix (2018)'!AI$2:AI$67)</f>
        <v>6.6447347953530382</v>
      </c>
      <c r="AJ45" s="9">
        <f>_xlfn.COVARIANCE.P('Data_Matrix (2018)'!$AO$2:$AO$67,'Data_Matrix (2018)'!AJ$2:AJ$67)</f>
        <v>12.457924587745941</v>
      </c>
      <c r="AK45" s="9">
        <f>_xlfn.COVARIANCE.P('Data_Matrix (2018)'!$AO$2:$AO$67,'Data_Matrix (2018)'!AK$2:AK$67)</f>
        <v>9.2758676916493386</v>
      </c>
      <c r="AL45" s="9">
        <f>_xlfn.COVARIANCE.P('Data_Matrix (2018)'!$AO$2:$AO$67,'Data_Matrix (2018)'!AL$2:AL$67)</f>
        <v>-18.831330691812244</v>
      </c>
      <c r="AM45" s="9">
        <f>_xlfn.COVARIANCE.P('Data_Matrix (2018)'!$AO$2:$AO$67,'Data_Matrix (2018)'!AM$2:AM$67)</f>
        <v>10.176704680024809</v>
      </c>
      <c r="AN45" s="9">
        <f>_xlfn.COVARIANCE.P('Data_Matrix (2018)'!$AO$2:$AO$67,'Data_Matrix (2018)'!AN$2:AN$67)</f>
        <v>2.616019432897172</v>
      </c>
      <c r="AO45" s="9">
        <f>_xlfn.COVARIANCE.P('Data_Matrix (2018)'!$AO$2:$AO$67,'Data_Matrix (2018)'!AO$2:AO$67)</f>
        <v>19.958219964841902</v>
      </c>
      <c r="AP45" s="9">
        <f>_xlfn.COVARIANCE.P('Data_Matrix (2018)'!$AO$2:$AO$67,'Data_Matrix (2018)'!AP$2:AP$67)</f>
        <v>20.480307919612834</v>
      </c>
      <c r="AQ45" s="9">
        <f>_xlfn.COVARIANCE.P('Data_Matrix (2018)'!$AO$2:$AO$67,'Data_Matrix (2018)'!AQ$2:AQ$67)</f>
        <v>5.9744992698040278</v>
      </c>
      <c r="AR45" s="9">
        <f>_xlfn.COVARIANCE.P('Data_Matrix (2018)'!$AO$2:$AO$67,'Data_Matrix (2018)'!AR$2:AR$67)</f>
        <v>9.0222037502587504</v>
      </c>
      <c r="AS45" s="9">
        <f>_xlfn.COVARIANCE.P('Data_Matrix (2018)'!$AO$2:$AO$67,'Data_Matrix (2018)'!AS$2:AS$67)</f>
        <v>2.152387354781109</v>
      </c>
      <c r="AT45" s="9">
        <f>_xlfn.COVARIANCE.P('Data_Matrix (2018)'!$AO$2:$AO$67,'Data_Matrix (2018)'!AT$2:AT$67)</f>
        <v>1.4194496247252195</v>
      </c>
      <c r="AU45" s="9">
        <f>_xlfn.COVARIANCE.P('Data_Matrix (2018)'!$AO$2:$AO$67,'Data_Matrix (2018)'!AU$2:AU$67)</f>
        <v>2.4291572378904247</v>
      </c>
      <c r="AV45" s="9">
        <f>_xlfn.COVARIANCE.P('Data_Matrix (2018)'!$AO$2:$AO$67,'Data_Matrix (2018)'!AV$2:AV$67)</f>
        <v>5.3720373935755257</v>
      </c>
      <c r="AW45" s="9">
        <f>_xlfn.COVARIANCE.P('Data_Matrix (2018)'!$AO$2:$AO$67,'Data_Matrix (2018)'!AW$2:AW$67)</f>
        <v>1.5496341577226473</v>
      </c>
      <c r="AX45" s="9">
        <f>_xlfn.COVARIANCE.P('Data_Matrix (2018)'!$AO$2:$AO$67,'Data_Matrix (2018)'!AX$2:AX$67)</f>
        <v>3.0608744893139761</v>
      </c>
      <c r="AY45" s="9">
        <f>_xlfn.COVARIANCE.P('Data_Matrix (2018)'!$AO$2:$AO$67,'Data_Matrix (2018)'!AY$2:AY$67)</f>
        <v>1.5198136195986316</v>
      </c>
      <c r="AZ45" s="9">
        <f>_xlfn.COVARIANCE.P('Data_Matrix (2018)'!$AO$2:$AO$67,'Data_Matrix (2018)'!AZ$2:AZ$67)</f>
        <v>4.1779448455522417</v>
      </c>
      <c r="BA45" s="9">
        <f>_xlfn.COVARIANCE.P('Data_Matrix (2018)'!$AO$2:$AO$67,'Data_Matrix (2018)'!BA$2:BA$67)</f>
        <v>0.10498750477345228</v>
      </c>
      <c r="BB45" s="9">
        <f>_xlfn.COVARIANCE.P('Data_Matrix (2018)'!$AO$2:$AO$67,'Data_Matrix (2018)'!BB$2:BB$67)</f>
        <v>2.0850203502614049</v>
      </c>
      <c r="BC45" s="9">
        <f>_xlfn.COVARIANCE.P('Data_Matrix (2018)'!$AO$2:$AO$67,'Data_Matrix (2018)'!BC$2:BC$67)</f>
        <v>0.13322910910527994</v>
      </c>
      <c r="BD45" s="9">
        <f>_xlfn.COVARIANCE.P('Data_Matrix (2018)'!$AO$2:$AO$67,'Data_Matrix (2018)'!BD$2:BD$67)</f>
        <v>-0.26590750339514196</v>
      </c>
      <c r="BE45" s="9">
        <f>_xlfn.COVARIANCE.P('Data_Matrix (2018)'!$AO$2:$AO$67,'Data_Matrix (2018)'!BE$2:BE$67)</f>
        <v>0.43454370195854192</v>
      </c>
      <c r="BF45" s="9">
        <f>_xlfn.COVARIANCE.P('Data_Matrix (2018)'!$AO$2:$AO$67,'Data_Matrix (2018)'!BF$2:BF$67)</f>
        <v>-2.1619139047811286E-3</v>
      </c>
      <c r="BG45" s="9">
        <f>_xlfn.COVARIANCE.P('Data_Matrix (2018)'!$AO$2:$AO$67,'Data_Matrix (2018)'!BG$2:BG$67)</f>
        <v>3.2021898549900781E-3</v>
      </c>
      <c r="BH45" s="9">
        <f>_xlfn.COVARIANCE.P('Data_Matrix (2018)'!$AO$2:$AO$67,'Data_Matrix (2018)'!BH$2:BH$67)</f>
        <v>0.10166659220710773</v>
      </c>
      <c r="BI45" s="9">
        <f>_xlfn.COVARIANCE.P('Data_Matrix (2018)'!$AO$2:$AO$67,'Data_Matrix (2018)'!BI$2:BI$67)</f>
        <v>6.2929662653323643E-2</v>
      </c>
      <c r="BJ45" s="9">
        <f>_xlfn.COVARIANCE.P('Data_Matrix (2018)'!$AO$2:$AO$67,'Data_Matrix (2018)'!BJ$2:BJ$67)</f>
        <v>6.2031575461446192E-2</v>
      </c>
      <c r="BK45" s="9">
        <f>_xlfn.COVARIANCE.P('Data_Matrix (2018)'!$AO$2:$AO$67,'Data_Matrix (2018)'!BK$2:BK$67)</f>
        <v>9.2790968589802399E-3</v>
      </c>
      <c r="BL45" s="9">
        <f>_xlfn.COVARIANCE.P('Data_Matrix (2018)'!$AO$2:$AO$67,'Data_Matrix (2018)'!BL$2:BL$67)</f>
        <v>-1.5755743796397742E-2</v>
      </c>
      <c r="BM45" s="9">
        <f>_xlfn.COVARIANCE.P('Data_Matrix (2018)'!$AO$2:$AO$67,'Data_Matrix (2018)'!BM$2:BM$67)</f>
        <v>-1.083248496761508E-3</v>
      </c>
      <c r="BN45" s="9">
        <f>_xlfn.COVARIANCE.P('Data_Matrix (2018)'!$AO$2:$AO$67,'Data_Matrix (2018)'!BN$2:BN$67)</f>
        <v>-6.68594151270156E-3</v>
      </c>
      <c r="BO45" s="9">
        <f>_xlfn.COVARIANCE.P('Data_Matrix (2018)'!$AO$2:$AO$67,'Data_Matrix (2018)'!BO$2:BO$67)</f>
        <v>-6.2013032578518777E-4</v>
      </c>
    </row>
    <row r="46" spans="2:67" x14ac:dyDescent="0.2">
      <c r="B46" s="9">
        <f>_xlfn.COVARIANCE.P('Data_Matrix (2018)'!$AP$2:$AP$67,'Data_Matrix (2018)'!B$2:B$67)</f>
        <v>5198.9285473064037</v>
      </c>
      <c r="C46" s="9">
        <f>_xlfn.COVARIANCE.P('Data_Matrix (2018)'!$AP$2:$AP$67,'Data_Matrix (2018)'!C$2:C$67)</f>
        <v>14296.962971795965</v>
      </c>
      <c r="D46" s="9">
        <f>_xlfn.COVARIANCE.P('Data_Matrix (2018)'!$AP$2:$AP$67,'Data_Matrix (2018)'!D$2:D$67)</f>
        <v>6635.2480942013326</v>
      </c>
      <c r="E46" s="9">
        <f>_xlfn.COVARIANCE.P('Data_Matrix (2018)'!$AP$2:$AP$67,'Data_Matrix (2018)'!E$2:E$67)</f>
        <v>5378.9461339132413</v>
      </c>
      <c r="F46" s="9">
        <f>_xlfn.COVARIANCE.P('Data_Matrix (2018)'!$AP$2:$AP$67,'Data_Matrix (2018)'!F$2:F$67)</f>
        <v>2608.8005815208908</v>
      </c>
      <c r="G46" s="9">
        <f>_xlfn.COVARIANCE.P('Data_Matrix (2018)'!$AP$2:$AP$67,'Data_Matrix (2018)'!G$2:G$67)</f>
        <v>5848.3348020661715</v>
      </c>
      <c r="H46" s="9">
        <f>_xlfn.COVARIANCE.P('Data_Matrix (2018)'!$AP$2:$AP$67,'Data_Matrix (2018)'!H$2:H$67)</f>
        <v>1813.9115090689265</v>
      </c>
      <c r="I46" s="9">
        <f>_xlfn.COVARIANCE.P('Data_Matrix (2018)'!$AP$2:$AP$67,'Data_Matrix (2018)'!I$2:I$67)</f>
        <v>2946.2382012714338</v>
      </c>
      <c r="J46" s="9">
        <f>_xlfn.COVARIANCE.P('Data_Matrix (2018)'!$AP$2:$AP$67,'Data_Matrix (2018)'!J$2:J$67)</f>
        <v>1238.1945712086065</v>
      </c>
      <c r="K46" s="9">
        <f>_xlfn.COVARIANCE.P('Data_Matrix (2018)'!$AP$2:$AP$67,'Data_Matrix (2018)'!K$2:K$67)</f>
        <v>1599.5840438880643</v>
      </c>
      <c r="L46" s="9">
        <f>_xlfn.COVARIANCE.P('Data_Matrix (2018)'!$AP$2:$AP$67,'Data_Matrix (2018)'!L$2:L$67)</f>
        <v>1410.0678888390603</v>
      </c>
      <c r="M46" s="9">
        <f>_xlfn.COVARIANCE.P('Data_Matrix (2018)'!$AP$2:$AP$67,'Data_Matrix (2018)'!M$2:M$67)</f>
        <v>1343.6531718192148</v>
      </c>
      <c r="N46" s="9">
        <f>_xlfn.COVARIANCE.P('Data_Matrix (2018)'!$AP$2:$AP$67,'Data_Matrix (2018)'!N$2:N$67)</f>
        <v>994.68454010384937</v>
      </c>
      <c r="O46" s="9">
        <f>_xlfn.COVARIANCE.P('Data_Matrix (2018)'!$AP$2:$AP$67,'Data_Matrix (2018)'!O$2:O$67)</f>
        <v>611.11777717791051</v>
      </c>
      <c r="P46" s="9">
        <f>_xlfn.COVARIANCE.P('Data_Matrix (2018)'!$AP$2:$AP$67,'Data_Matrix (2018)'!P$2:P$67)</f>
        <v>288.19815331558704</v>
      </c>
      <c r="Q46" s="9">
        <f>_xlfn.COVARIANCE.P('Data_Matrix (2018)'!$AP$2:$AP$67,'Data_Matrix (2018)'!Q$2:Q$67)</f>
        <v>616.56634993515274</v>
      </c>
      <c r="R46" s="9">
        <f>_xlfn.COVARIANCE.P('Data_Matrix (2018)'!$AP$2:$AP$67,'Data_Matrix (2018)'!R$2:R$67)</f>
        <v>753.87362104733313</v>
      </c>
      <c r="S46" s="9">
        <f>_xlfn.COVARIANCE.P('Data_Matrix (2018)'!$AP$2:$AP$67,'Data_Matrix (2018)'!S$2:S$67)</f>
        <v>350.4041267118975</v>
      </c>
      <c r="T46" s="9">
        <f>_xlfn.COVARIANCE.P('Data_Matrix (2018)'!$AP$2:$AP$67,'Data_Matrix (2018)'!T$2:T$67)</f>
        <v>235.77699282033868</v>
      </c>
      <c r="U46" s="9">
        <f>_xlfn.COVARIANCE.P('Data_Matrix (2018)'!$AP$2:$AP$67,'Data_Matrix (2018)'!U$2:U$67)</f>
        <v>226.889836769939</v>
      </c>
      <c r="V46" s="9">
        <f>_xlfn.COVARIANCE.P('Data_Matrix (2018)'!$AP$2:$AP$67,'Data_Matrix (2018)'!V$2:V$67)</f>
        <v>263.6408303044044</v>
      </c>
      <c r="W46" s="9">
        <f>_xlfn.COVARIANCE.P('Data_Matrix (2018)'!$AP$2:$AP$67,'Data_Matrix (2018)'!W$2:W$67)</f>
        <v>64.575595521594423</v>
      </c>
      <c r="X46" s="9">
        <f>_xlfn.COVARIANCE.P('Data_Matrix (2018)'!$AP$2:$AP$67,'Data_Matrix (2018)'!X$2:X$67)</f>
        <v>117.4195972404921</v>
      </c>
      <c r="Y46" s="9">
        <f>_xlfn.COVARIANCE.P('Data_Matrix (2018)'!$AP$2:$AP$67,'Data_Matrix (2018)'!Y$2:Y$67)</f>
        <v>207.7725145519654</v>
      </c>
      <c r="Z46" s="9">
        <f>_xlfn.COVARIANCE.P('Data_Matrix (2018)'!$AP$2:$AP$67,'Data_Matrix (2018)'!Z$2:Z$67)</f>
        <v>91.686559735719811</v>
      </c>
      <c r="AA46" s="9">
        <f>_xlfn.COVARIANCE.P('Data_Matrix (2018)'!$AP$2:$AP$67,'Data_Matrix (2018)'!AA$2:AA$67)</f>
        <v>49.697612705473226</v>
      </c>
      <c r="AB46" s="9">
        <f>_xlfn.COVARIANCE.P('Data_Matrix (2018)'!$AP$2:$AP$67,'Data_Matrix (2018)'!AB$2:AB$67)</f>
        <v>10.999844391776412</v>
      </c>
      <c r="AC46" s="9">
        <f>_xlfn.COVARIANCE.P('Data_Matrix (2018)'!$AP$2:$AP$67,'Data_Matrix (2018)'!AC$2:AC$67)</f>
        <v>12.831703291602016</v>
      </c>
      <c r="AD46" s="9">
        <f>_xlfn.COVARIANCE.P('Data_Matrix (2018)'!$AP$2:$AP$67,'Data_Matrix (2018)'!AD$2:AD$67)</f>
        <v>15.195943077775794</v>
      </c>
      <c r="AE46" s="9">
        <f>_xlfn.COVARIANCE.P('Data_Matrix (2018)'!$AP$2:$AP$67,'Data_Matrix (2018)'!AE$2:AE$67)</f>
        <v>3.9991450896466105</v>
      </c>
      <c r="AF46" s="9">
        <f>_xlfn.COVARIANCE.P('Data_Matrix (2018)'!$AP$2:$AP$67,'Data_Matrix (2018)'!AF$2:AF$67)</f>
        <v>9.4466947915188229</v>
      </c>
      <c r="AG46" s="9">
        <f>_xlfn.COVARIANCE.P('Data_Matrix (2018)'!$AP$2:$AP$67,'Data_Matrix (2018)'!AG$2:AG$67)</f>
        <v>12.190810955999376</v>
      </c>
      <c r="AH46" s="9">
        <f>_xlfn.COVARIANCE.P('Data_Matrix (2018)'!$AP$2:$AP$67,'Data_Matrix (2018)'!AH$2:AH$67)</f>
        <v>-6.9623158212258911</v>
      </c>
      <c r="AI46" s="9">
        <f>_xlfn.COVARIANCE.P('Data_Matrix (2018)'!$AP$2:$AP$67,'Data_Matrix (2018)'!AI$2:AI$67)</f>
        <v>13.0144808487087</v>
      </c>
      <c r="AJ46" s="9">
        <f>_xlfn.COVARIANCE.P('Data_Matrix (2018)'!$AP$2:$AP$67,'Data_Matrix (2018)'!AJ$2:AJ$67)</f>
        <v>8.0250988871139608</v>
      </c>
      <c r="AK46" s="9">
        <f>_xlfn.COVARIANCE.P('Data_Matrix (2018)'!$AP$2:$AP$67,'Data_Matrix (2018)'!AK$2:AK$67)</f>
        <v>8.4139129068588794</v>
      </c>
      <c r="AL46" s="9">
        <f>_xlfn.COVARIANCE.P('Data_Matrix (2018)'!$AP$2:$AP$67,'Data_Matrix (2018)'!AL$2:AL$67)</f>
        <v>-10.610410600218806</v>
      </c>
      <c r="AM46" s="9">
        <f>_xlfn.COVARIANCE.P('Data_Matrix (2018)'!$AP$2:$AP$67,'Data_Matrix (2018)'!AM$2:AM$67)</f>
        <v>10.751344189166796</v>
      </c>
      <c r="AN46" s="9">
        <f>_xlfn.COVARIANCE.P('Data_Matrix (2018)'!$AP$2:$AP$67,'Data_Matrix (2018)'!AN$2:AN$67)</f>
        <v>6.5342515507960508</v>
      </c>
      <c r="AO46" s="9">
        <f>_xlfn.COVARIANCE.P('Data_Matrix (2018)'!$AP$2:$AP$67,'Data_Matrix (2018)'!AO$2:AO$67)</f>
        <v>20.480307919612834</v>
      </c>
      <c r="AP46" s="9">
        <f>_xlfn.COVARIANCE.P('Data_Matrix (2018)'!$AP$2:$AP$67,'Data_Matrix (2018)'!AP$2:AP$67)</f>
        <v>42.38020721192926</v>
      </c>
      <c r="AQ46" s="9">
        <f>_xlfn.COVARIANCE.P('Data_Matrix (2018)'!$AP$2:$AP$67,'Data_Matrix (2018)'!AQ$2:AQ$67)</f>
        <v>11.583143337946657</v>
      </c>
      <c r="AR46" s="9">
        <f>_xlfn.COVARIANCE.P('Data_Matrix (2018)'!$AP$2:$AP$67,'Data_Matrix (2018)'!AR$2:AR$67)</f>
        <v>17.839623290064324</v>
      </c>
      <c r="AS46" s="9">
        <f>_xlfn.COVARIANCE.P('Data_Matrix (2018)'!$AP$2:$AP$67,'Data_Matrix (2018)'!AS$2:AS$67)</f>
        <v>5.5863123630158258</v>
      </c>
      <c r="AT46" s="9">
        <f>_xlfn.COVARIANCE.P('Data_Matrix (2018)'!$AP$2:$AP$67,'Data_Matrix (2018)'!AT$2:AT$67)</f>
        <v>1.543273343208688</v>
      </c>
      <c r="AU46" s="9">
        <f>_xlfn.COVARIANCE.P('Data_Matrix (2018)'!$AP$2:$AP$67,'Data_Matrix (2018)'!AU$2:AU$67)</f>
        <v>3.808752603659288</v>
      </c>
      <c r="AV46" s="9">
        <f>_xlfn.COVARIANCE.P('Data_Matrix (2018)'!$AP$2:$AP$67,'Data_Matrix (2018)'!AV$2:AV$67)</f>
        <v>6.1596009497899251</v>
      </c>
      <c r="AW46" s="9">
        <f>_xlfn.COVARIANCE.P('Data_Matrix (2018)'!$AP$2:$AP$67,'Data_Matrix (2018)'!AW$2:AW$67)</f>
        <v>5.5470313435606142</v>
      </c>
      <c r="AX46" s="9">
        <f>_xlfn.COVARIANCE.P('Data_Matrix (2018)'!$AP$2:$AP$67,'Data_Matrix (2018)'!AX$2:AX$67)</f>
        <v>4.6229633857443275</v>
      </c>
      <c r="AY46" s="9">
        <f>_xlfn.COVARIANCE.P('Data_Matrix (2018)'!$AP$2:$AP$67,'Data_Matrix (2018)'!AY$2:AY$67)</f>
        <v>2.7615663532246058</v>
      </c>
      <c r="AZ46" s="9">
        <f>_xlfn.COVARIANCE.P('Data_Matrix (2018)'!$AP$2:$AP$67,'Data_Matrix (2018)'!AZ$2:AZ$67)</f>
        <v>7.2344308753676616</v>
      </c>
      <c r="BA46" s="9">
        <f>_xlfn.COVARIANCE.P('Data_Matrix (2018)'!$AP$2:$AP$67,'Data_Matrix (2018)'!BA$2:BA$67)</f>
        <v>0.13189281129162658</v>
      </c>
      <c r="BB46" s="9">
        <f>_xlfn.COVARIANCE.P('Data_Matrix (2018)'!$AP$2:$AP$67,'Data_Matrix (2018)'!BB$2:BB$67)</f>
        <v>2.5934148178677043</v>
      </c>
      <c r="BC46" s="9">
        <f>_xlfn.COVARIANCE.P('Data_Matrix (2018)'!$AP$2:$AP$67,'Data_Matrix (2018)'!BC$2:BC$67)</f>
        <v>0.33653848507874745</v>
      </c>
      <c r="BD46" s="9">
        <f>_xlfn.COVARIANCE.P('Data_Matrix (2018)'!$AP$2:$AP$67,'Data_Matrix (2018)'!BD$2:BD$67)</f>
        <v>-0.20139290623561171</v>
      </c>
      <c r="BE46" s="9">
        <f>_xlfn.COVARIANCE.P('Data_Matrix (2018)'!$AP$2:$AP$67,'Data_Matrix (2018)'!BE$2:BE$67)</f>
        <v>0.94062970742884655</v>
      </c>
      <c r="BF46" s="9">
        <f>_xlfn.COVARIANCE.P('Data_Matrix (2018)'!$AP$2:$AP$67,'Data_Matrix (2018)'!BF$2:BF$67)</f>
        <v>1.0132165736321913E-2</v>
      </c>
      <c r="BG46" s="9">
        <f>_xlfn.COVARIANCE.P('Data_Matrix (2018)'!$AP$2:$AP$67,'Data_Matrix (2018)'!BG$2:BG$67)</f>
        <v>-2.8533503009235384E-3</v>
      </c>
      <c r="BH46" s="9">
        <f>_xlfn.COVARIANCE.P('Data_Matrix (2018)'!$AP$2:$AP$67,'Data_Matrix (2018)'!BH$2:BH$67)</f>
        <v>0.1387715487264212</v>
      </c>
      <c r="BI46" s="9">
        <f>_xlfn.COVARIANCE.P('Data_Matrix (2018)'!$AP$2:$AP$67,'Data_Matrix (2018)'!BI$2:BI$67)</f>
        <v>7.1838743984655506E-2</v>
      </c>
      <c r="BJ46" s="9">
        <f>_xlfn.COVARIANCE.P('Data_Matrix (2018)'!$AP$2:$AP$67,'Data_Matrix (2018)'!BJ$2:BJ$67)</f>
        <v>1.6518107526603348E-2</v>
      </c>
      <c r="BK46" s="9">
        <f>_xlfn.COVARIANCE.P('Data_Matrix (2018)'!$AP$2:$AP$67,'Data_Matrix (2018)'!BK$2:BK$67)</f>
        <v>1.7274325775987545E-2</v>
      </c>
      <c r="BL46" s="9">
        <f>_xlfn.COVARIANCE.P('Data_Matrix (2018)'!$AP$2:$AP$67,'Data_Matrix (2018)'!BL$2:BL$67)</f>
        <v>-4.3197695854258478E-2</v>
      </c>
      <c r="BM46" s="9">
        <f>_xlfn.COVARIANCE.P('Data_Matrix (2018)'!$AP$2:$AP$67,'Data_Matrix (2018)'!BM$2:BM$67)</f>
        <v>-9.1628980680192966E-4</v>
      </c>
      <c r="BN46" s="9">
        <f>_xlfn.COVARIANCE.P('Data_Matrix (2018)'!$AP$2:$AP$67,'Data_Matrix (2018)'!BN$2:BN$67)</f>
        <v>-4.7160743286302634E-3</v>
      </c>
      <c r="BO46" s="9">
        <f>_xlfn.COVARIANCE.P('Data_Matrix (2018)'!$AP$2:$AP$67,'Data_Matrix (2018)'!BO$2:BO$67)</f>
        <v>-1.9967628825116638E-4</v>
      </c>
    </row>
    <row r="47" spans="2:67" x14ac:dyDescent="0.2">
      <c r="B47" s="9">
        <f>_xlfn.COVARIANCE.P('Data_Matrix (2018)'!$AQ$2:$AQ$67,'Data_Matrix (2018)'!B$2:B$67)</f>
        <v>5638.0595116747427</v>
      </c>
      <c r="C47" s="9">
        <f>_xlfn.COVARIANCE.P('Data_Matrix (2018)'!$AQ$2:$AQ$67,'Data_Matrix (2018)'!C$2:C$67)</f>
        <v>3591.7623633295489</v>
      </c>
      <c r="D47" s="9">
        <f>_xlfn.COVARIANCE.P('Data_Matrix (2018)'!$AQ$2:$AQ$67,'Data_Matrix (2018)'!D$2:D$67)</f>
        <v>2447.3241996929623</v>
      </c>
      <c r="E47" s="9">
        <f>_xlfn.COVARIANCE.P('Data_Matrix (2018)'!$AQ$2:$AQ$67,'Data_Matrix (2018)'!E$2:E$67)</f>
        <v>1939.8988919662356</v>
      </c>
      <c r="F47" s="9">
        <f>_xlfn.COVARIANCE.P('Data_Matrix (2018)'!$AQ$2:$AQ$67,'Data_Matrix (2018)'!F$2:F$67)</f>
        <v>1676.7788833648654</v>
      </c>
      <c r="G47" s="9">
        <f>_xlfn.COVARIANCE.P('Data_Matrix (2018)'!$AQ$2:$AQ$67,'Data_Matrix (2018)'!G$2:G$67)</f>
        <v>1556.766969123631</v>
      </c>
      <c r="H47" s="9">
        <f>_xlfn.COVARIANCE.P('Data_Matrix (2018)'!$AQ$2:$AQ$67,'Data_Matrix (2018)'!H$2:H$67)</f>
        <v>665.39521449573783</v>
      </c>
      <c r="I47" s="9">
        <f>_xlfn.COVARIANCE.P('Data_Matrix (2018)'!$AQ$2:$AQ$67,'Data_Matrix (2018)'!I$2:I$67)</f>
        <v>1191.5495176427185</v>
      </c>
      <c r="J47" s="9">
        <f>_xlfn.COVARIANCE.P('Data_Matrix (2018)'!$AQ$2:$AQ$67,'Data_Matrix (2018)'!J$2:J$67)</f>
        <v>209.35851330015223</v>
      </c>
      <c r="K47" s="9">
        <f>_xlfn.COVARIANCE.P('Data_Matrix (2018)'!$AQ$2:$AQ$67,'Data_Matrix (2018)'!K$2:K$67)</f>
        <v>656.39061496486136</v>
      </c>
      <c r="L47" s="9">
        <f>_xlfn.COVARIANCE.P('Data_Matrix (2018)'!$AQ$2:$AQ$67,'Data_Matrix (2018)'!L$2:L$67)</f>
        <v>532.34980956098502</v>
      </c>
      <c r="M47" s="9">
        <f>_xlfn.COVARIANCE.P('Data_Matrix (2018)'!$AQ$2:$AQ$67,'Data_Matrix (2018)'!M$2:M$67)</f>
        <v>506.14586094288262</v>
      </c>
      <c r="N47" s="9">
        <f>_xlfn.COVARIANCE.P('Data_Matrix (2018)'!$AQ$2:$AQ$67,'Data_Matrix (2018)'!N$2:N$67)</f>
        <v>201.84909653504033</v>
      </c>
      <c r="O47" s="9">
        <f>_xlfn.COVARIANCE.P('Data_Matrix (2018)'!$AQ$2:$AQ$67,'Data_Matrix (2018)'!O$2:O$67)</f>
        <v>177.42356207031909</v>
      </c>
      <c r="P47" s="9">
        <f>_xlfn.COVARIANCE.P('Data_Matrix (2018)'!$AQ$2:$AQ$67,'Data_Matrix (2018)'!P$2:P$67)</f>
        <v>271.43190526773947</v>
      </c>
      <c r="Q47" s="9">
        <f>_xlfn.COVARIANCE.P('Data_Matrix (2018)'!$AQ$2:$AQ$67,'Data_Matrix (2018)'!Q$2:Q$67)</f>
        <v>243.59739589582111</v>
      </c>
      <c r="R47" s="9">
        <f>_xlfn.COVARIANCE.P('Data_Matrix (2018)'!$AQ$2:$AQ$67,'Data_Matrix (2018)'!R$2:R$67)</f>
        <v>201.23921223044658</v>
      </c>
      <c r="S47" s="9">
        <f>_xlfn.COVARIANCE.P('Data_Matrix (2018)'!$AQ$2:$AQ$67,'Data_Matrix (2018)'!S$2:S$67)</f>
        <v>179.51888260672058</v>
      </c>
      <c r="T47" s="9">
        <f>_xlfn.COVARIANCE.P('Data_Matrix (2018)'!$AQ$2:$AQ$67,'Data_Matrix (2018)'!T$2:T$67)</f>
        <v>83.008678107643505</v>
      </c>
      <c r="U47" s="9">
        <f>_xlfn.COVARIANCE.P('Data_Matrix (2018)'!$AQ$2:$AQ$67,'Data_Matrix (2018)'!U$2:U$67)</f>
        <v>76.269394464547517</v>
      </c>
      <c r="V47" s="9">
        <f>_xlfn.COVARIANCE.P('Data_Matrix (2018)'!$AQ$2:$AQ$67,'Data_Matrix (2018)'!V$2:V$67)</f>
        <v>49.346864701754797</v>
      </c>
      <c r="W47" s="9">
        <f>_xlfn.COVARIANCE.P('Data_Matrix (2018)'!$AQ$2:$AQ$67,'Data_Matrix (2018)'!W$2:W$67)</f>
        <v>16.075280839932816</v>
      </c>
      <c r="X47" s="9">
        <f>_xlfn.COVARIANCE.P('Data_Matrix (2018)'!$AQ$2:$AQ$67,'Data_Matrix (2018)'!X$2:X$67)</f>
        <v>37.413911061307282</v>
      </c>
      <c r="Y47" s="9">
        <f>_xlfn.COVARIANCE.P('Data_Matrix (2018)'!$AQ$2:$AQ$67,'Data_Matrix (2018)'!Y$2:Y$67)</f>
        <v>49.484643310378857</v>
      </c>
      <c r="Z47" s="9">
        <f>_xlfn.COVARIANCE.P('Data_Matrix (2018)'!$AQ$2:$AQ$67,'Data_Matrix (2018)'!Z$2:Z$67)</f>
        <v>32.923430992677027</v>
      </c>
      <c r="AA47" s="9">
        <f>_xlfn.COVARIANCE.P('Data_Matrix (2018)'!$AQ$2:$AQ$67,'Data_Matrix (2018)'!AA$2:AA$67)</f>
        <v>20.265774018112939</v>
      </c>
      <c r="AB47" s="9">
        <f>_xlfn.COVARIANCE.P('Data_Matrix (2018)'!$AQ$2:$AQ$67,'Data_Matrix (2018)'!AB$2:AB$67)</f>
        <v>1.1544957935729512</v>
      </c>
      <c r="AC47" s="9">
        <f>_xlfn.COVARIANCE.P('Data_Matrix (2018)'!$AQ$2:$AQ$67,'Data_Matrix (2018)'!AC$2:AC$67)</f>
        <v>18.397302117187941</v>
      </c>
      <c r="AD47" s="9">
        <f>_xlfn.COVARIANCE.P('Data_Matrix (2018)'!$AQ$2:$AQ$67,'Data_Matrix (2018)'!AD$2:AD$67)</f>
        <v>10.352742776344106</v>
      </c>
      <c r="AE47" s="9">
        <f>_xlfn.COVARIANCE.P('Data_Matrix (2018)'!$AQ$2:$AQ$67,'Data_Matrix (2018)'!AE$2:AE$67)</f>
        <v>9.932580881224867</v>
      </c>
      <c r="AF47" s="9">
        <f>_xlfn.COVARIANCE.P('Data_Matrix (2018)'!$AQ$2:$AQ$67,'Data_Matrix (2018)'!AF$2:AF$67)</f>
        <v>10.706271410591555</v>
      </c>
      <c r="AG47" s="9">
        <f>_xlfn.COVARIANCE.P('Data_Matrix (2018)'!$AQ$2:$AQ$67,'Data_Matrix (2018)'!AG$2:AG$67)</f>
        <v>17.769753819355202</v>
      </c>
      <c r="AH47" s="9">
        <f>_xlfn.COVARIANCE.P('Data_Matrix (2018)'!$AQ$2:$AQ$67,'Data_Matrix (2018)'!AH$2:AH$67)</f>
        <v>4.1729531701688432</v>
      </c>
      <c r="AI47" s="9">
        <f>_xlfn.COVARIANCE.P('Data_Matrix (2018)'!$AQ$2:$AQ$67,'Data_Matrix (2018)'!AI$2:AI$67)</f>
        <v>3.9753703017785971</v>
      </c>
      <c r="AJ47" s="9">
        <f>_xlfn.COVARIANCE.P('Data_Matrix (2018)'!$AQ$2:$AQ$67,'Data_Matrix (2018)'!AJ$2:AJ$67)</f>
        <v>5.8517871951973506</v>
      </c>
      <c r="AK47" s="9">
        <f>_xlfn.COVARIANCE.P('Data_Matrix (2018)'!$AQ$2:$AQ$67,'Data_Matrix (2018)'!AK$2:AK$67)</f>
        <v>11.12838712098557</v>
      </c>
      <c r="AL47" s="9">
        <f>_xlfn.COVARIANCE.P('Data_Matrix (2018)'!$AQ$2:$AQ$67,'Data_Matrix (2018)'!AL$2:AL$67)</f>
        <v>-7.5063024733216066</v>
      </c>
      <c r="AM47" s="9">
        <f>_xlfn.COVARIANCE.P('Data_Matrix (2018)'!$AQ$2:$AQ$67,'Data_Matrix (2018)'!AM$2:AM$67)</f>
        <v>3.3923780720592802</v>
      </c>
      <c r="AN47" s="9">
        <f>_xlfn.COVARIANCE.P('Data_Matrix (2018)'!$AQ$2:$AQ$67,'Data_Matrix (2018)'!AN$2:AN$67)</f>
        <v>-9.7275606251924371E-2</v>
      </c>
      <c r="AO47" s="9">
        <f>_xlfn.COVARIANCE.P('Data_Matrix (2018)'!$AQ$2:$AQ$67,'Data_Matrix (2018)'!AO$2:AO$67)</f>
        <v>5.9744992698040278</v>
      </c>
      <c r="AP47" s="9">
        <f>_xlfn.COVARIANCE.P('Data_Matrix (2018)'!$AQ$2:$AQ$67,'Data_Matrix (2018)'!AP$2:AP$67)</f>
        <v>11.583143337946657</v>
      </c>
      <c r="AQ47" s="9">
        <f>_xlfn.COVARIANCE.P('Data_Matrix (2018)'!$AQ$2:$AQ$67,'Data_Matrix (2018)'!AQ$2:AQ$67)</f>
        <v>13.587703582162961</v>
      </c>
      <c r="AR47" s="9">
        <f>_xlfn.COVARIANCE.P('Data_Matrix (2018)'!$AQ$2:$AQ$67,'Data_Matrix (2018)'!AR$2:AR$67)</f>
        <v>4.3978586668886459</v>
      </c>
      <c r="AS47" s="9">
        <f>_xlfn.COVARIANCE.P('Data_Matrix (2018)'!$AQ$2:$AQ$67,'Data_Matrix (2018)'!AS$2:AS$67)</f>
        <v>-0.33983009126392472</v>
      </c>
      <c r="AT47" s="9">
        <f>_xlfn.COVARIANCE.P('Data_Matrix (2018)'!$AQ$2:$AQ$67,'Data_Matrix (2018)'!AT$2:AT$67)</f>
        <v>2.9680637281015536</v>
      </c>
      <c r="AU47" s="9">
        <f>_xlfn.COVARIANCE.P('Data_Matrix (2018)'!$AQ$2:$AQ$67,'Data_Matrix (2018)'!AU$2:AU$67)</f>
        <v>0.13037796020370812</v>
      </c>
      <c r="AV47" s="9">
        <f>_xlfn.COVARIANCE.P('Data_Matrix (2018)'!$AQ$2:$AQ$67,'Data_Matrix (2018)'!AV$2:AV$67)</f>
        <v>2.707990227953105</v>
      </c>
      <c r="AW47" s="9">
        <f>_xlfn.COVARIANCE.P('Data_Matrix (2018)'!$AQ$2:$AQ$67,'Data_Matrix (2018)'!AW$2:AW$67)</f>
        <v>0.71045271959941036</v>
      </c>
      <c r="AX47" s="9">
        <f>_xlfn.COVARIANCE.P('Data_Matrix (2018)'!$AQ$2:$AQ$67,'Data_Matrix (2018)'!AX$2:AX$67)</f>
        <v>3.2825704646885181</v>
      </c>
      <c r="AY47" s="9">
        <f>_xlfn.COVARIANCE.P('Data_Matrix (2018)'!$AQ$2:$AQ$67,'Data_Matrix (2018)'!AY$2:AY$67)</f>
        <v>0.49238411608482036</v>
      </c>
      <c r="AZ47" s="9">
        <f>_xlfn.COVARIANCE.P('Data_Matrix (2018)'!$AQ$2:$AQ$67,'Data_Matrix (2018)'!AZ$2:AZ$67)</f>
        <v>1.1991203122479224</v>
      </c>
      <c r="BA47" s="9">
        <f>_xlfn.COVARIANCE.P('Data_Matrix (2018)'!$AQ$2:$AQ$67,'Data_Matrix (2018)'!BA$2:BA$67)</f>
        <v>0.10197578793723047</v>
      </c>
      <c r="BB47" s="9">
        <f>_xlfn.COVARIANCE.P('Data_Matrix (2018)'!$AQ$2:$AQ$67,'Data_Matrix (2018)'!BB$2:BB$67)</f>
        <v>0.72508442819648034</v>
      </c>
      <c r="BC47" s="9">
        <f>_xlfn.COVARIANCE.P('Data_Matrix (2018)'!$AQ$2:$AQ$67,'Data_Matrix (2018)'!BC$2:BC$67)</f>
        <v>-0.10709409008628107</v>
      </c>
      <c r="BD47" s="9">
        <f>_xlfn.COVARIANCE.P('Data_Matrix (2018)'!$AQ$2:$AQ$67,'Data_Matrix (2018)'!BD$2:BD$67)</f>
        <v>-4.7577214763556391E-2</v>
      </c>
      <c r="BE47" s="9">
        <f>_xlfn.COVARIANCE.P('Data_Matrix (2018)'!$AQ$2:$AQ$67,'Data_Matrix (2018)'!BE$2:BE$67)</f>
        <v>0.23267085697370071</v>
      </c>
      <c r="BF47" s="9">
        <f>_xlfn.COVARIANCE.P('Data_Matrix (2018)'!$AQ$2:$AQ$67,'Data_Matrix (2018)'!BF$2:BF$67)</f>
        <v>3.6860083955189728E-3</v>
      </c>
      <c r="BG47" s="9">
        <f>_xlfn.COVARIANCE.P('Data_Matrix (2018)'!$AQ$2:$AQ$67,'Data_Matrix (2018)'!BG$2:BG$67)</f>
        <v>2.3654744030916681E-2</v>
      </c>
      <c r="BH47" s="9">
        <f>_xlfn.COVARIANCE.P('Data_Matrix (2018)'!$AQ$2:$AQ$67,'Data_Matrix (2018)'!BH$2:BH$67)</f>
        <v>4.4560635438958746E-2</v>
      </c>
      <c r="BI47" s="9">
        <f>_xlfn.COVARIANCE.P('Data_Matrix (2018)'!$AQ$2:$AQ$67,'Data_Matrix (2018)'!BI$2:BI$67)</f>
        <v>8.3379315587416042E-2</v>
      </c>
      <c r="BJ47" s="9">
        <f>_xlfn.COVARIANCE.P('Data_Matrix (2018)'!$AQ$2:$AQ$67,'Data_Matrix (2018)'!BJ$2:BJ$67)</f>
        <v>8.258918283446269E-2</v>
      </c>
      <c r="BK47" s="9">
        <f>_xlfn.COVARIANCE.P('Data_Matrix (2018)'!$AQ$2:$AQ$67,'Data_Matrix (2018)'!BK$2:BK$67)</f>
        <v>4.0479251197860389E-2</v>
      </c>
      <c r="BL47" s="9">
        <f>_xlfn.COVARIANCE.P('Data_Matrix (2018)'!$AQ$2:$AQ$67,'Data_Matrix (2018)'!BL$2:BL$67)</f>
        <v>5.3167518550732012E-3</v>
      </c>
      <c r="BM47" s="9">
        <f>_xlfn.COVARIANCE.P('Data_Matrix (2018)'!$AQ$2:$AQ$67,'Data_Matrix (2018)'!BM$2:BM$67)</f>
        <v>4.320148671832889E-3</v>
      </c>
      <c r="BN47" s="9">
        <f>_xlfn.COVARIANCE.P('Data_Matrix (2018)'!$AQ$2:$AQ$67,'Data_Matrix (2018)'!BN$2:BN$67)</f>
        <v>-2.1883391522910804E-3</v>
      </c>
      <c r="BO47" s="9">
        <f>_xlfn.COVARIANCE.P('Data_Matrix (2018)'!$AQ$2:$AQ$67,'Data_Matrix (2018)'!BO$2:BO$67)</f>
        <v>-9.2727405151333904E-5</v>
      </c>
    </row>
    <row r="48" spans="2:67" x14ac:dyDescent="0.2">
      <c r="B48" s="9">
        <f>_xlfn.COVARIANCE.P('Data_Matrix (2018)'!$AR$2:$AR$67,'Data_Matrix (2018)'!B$2:B$67)</f>
        <v>484.07235717964426</v>
      </c>
      <c r="C48" s="9">
        <f>_xlfn.COVARIANCE.P('Data_Matrix (2018)'!$AR$2:$AR$67,'Data_Matrix (2018)'!C$2:C$67)</f>
        <v>6859.0900224498519</v>
      </c>
      <c r="D48" s="9">
        <f>_xlfn.COVARIANCE.P('Data_Matrix (2018)'!$AR$2:$AR$67,'Data_Matrix (2018)'!D$2:D$67)</f>
        <v>2628.3150963483308</v>
      </c>
      <c r="E48" s="9">
        <f>_xlfn.COVARIANCE.P('Data_Matrix (2018)'!$AR$2:$AR$67,'Data_Matrix (2018)'!E$2:E$67)</f>
        <v>2967.423251823795</v>
      </c>
      <c r="F48" s="9">
        <f>_xlfn.COVARIANCE.P('Data_Matrix (2018)'!$AR$2:$AR$67,'Data_Matrix (2018)'!F$2:F$67)</f>
        <v>1051.0307998518865</v>
      </c>
      <c r="G48" s="9">
        <f>_xlfn.COVARIANCE.P('Data_Matrix (2018)'!$AR$2:$AR$67,'Data_Matrix (2018)'!G$2:G$67)</f>
        <v>2910.4394517902592</v>
      </c>
      <c r="H48" s="9">
        <f>_xlfn.COVARIANCE.P('Data_Matrix (2018)'!$AR$2:$AR$67,'Data_Matrix (2018)'!H$2:H$67)</f>
        <v>323.12079779935033</v>
      </c>
      <c r="I48" s="9">
        <f>_xlfn.COVARIANCE.P('Data_Matrix (2018)'!$AR$2:$AR$67,'Data_Matrix (2018)'!I$2:I$67)</f>
        <v>1530.4841666262478</v>
      </c>
      <c r="J48" s="9">
        <f>_xlfn.COVARIANCE.P('Data_Matrix (2018)'!$AR$2:$AR$67,'Data_Matrix (2018)'!J$2:J$67)</f>
        <v>527.5900302137394</v>
      </c>
      <c r="K48" s="9">
        <f>_xlfn.COVARIANCE.P('Data_Matrix (2018)'!$AR$2:$AR$67,'Data_Matrix (2018)'!K$2:K$67)</f>
        <v>598.34346776105144</v>
      </c>
      <c r="L48" s="9">
        <f>_xlfn.COVARIANCE.P('Data_Matrix (2018)'!$AR$2:$AR$67,'Data_Matrix (2018)'!L$2:L$67)</f>
        <v>568.7885009341029</v>
      </c>
      <c r="M48" s="9">
        <f>_xlfn.COVARIANCE.P('Data_Matrix (2018)'!$AR$2:$AR$67,'Data_Matrix (2018)'!M$2:M$67)</f>
        <v>563.4213247611608</v>
      </c>
      <c r="N48" s="9">
        <f>_xlfn.COVARIANCE.P('Data_Matrix (2018)'!$AR$2:$AR$67,'Data_Matrix (2018)'!N$2:N$67)</f>
        <v>523.24133344925519</v>
      </c>
      <c r="O48" s="9">
        <f>_xlfn.COVARIANCE.P('Data_Matrix (2018)'!$AR$2:$AR$67,'Data_Matrix (2018)'!O$2:O$67)</f>
        <v>244.48306376357974</v>
      </c>
      <c r="P48" s="9">
        <f>_xlfn.COVARIANCE.P('Data_Matrix (2018)'!$AR$2:$AR$67,'Data_Matrix (2018)'!P$2:P$67)</f>
        <v>100.14158633938702</v>
      </c>
      <c r="Q48" s="9">
        <f>_xlfn.COVARIANCE.P('Data_Matrix (2018)'!$AR$2:$AR$67,'Data_Matrix (2018)'!Q$2:Q$67)</f>
        <v>207.86377683843597</v>
      </c>
      <c r="R48" s="9">
        <f>_xlfn.COVARIANCE.P('Data_Matrix (2018)'!$AR$2:$AR$67,'Data_Matrix (2018)'!R$2:R$67)</f>
        <v>251.48262726857232</v>
      </c>
      <c r="S48" s="9">
        <f>_xlfn.COVARIANCE.P('Data_Matrix (2018)'!$AR$2:$AR$67,'Data_Matrix (2018)'!S$2:S$67)</f>
        <v>161.3248737132586</v>
      </c>
      <c r="T48" s="9">
        <f>_xlfn.COVARIANCE.P('Data_Matrix (2018)'!$AR$2:$AR$67,'Data_Matrix (2018)'!T$2:T$67)</f>
        <v>83.914180481902761</v>
      </c>
      <c r="U48" s="9">
        <f>_xlfn.COVARIANCE.P('Data_Matrix (2018)'!$AR$2:$AR$67,'Data_Matrix (2018)'!U$2:U$67)</f>
        <v>99.842382014289683</v>
      </c>
      <c r="V48" s="9">
        <f>_xlfn.COVARIANCE.P('Data_Matrix (2018)'!$AR$2:$AR$67,'Data_Matrix (2018)'!V$2:V$67)</f>
        <v>111.97689678084924</v>
      </c>
      <c r="W48" s="9">
        <f>_xlfn.COVARIANCE.P('Data_Matrix (2018)'!$AR$2:$AR$67,'Data_Matrix (2018)'!W$2:W$67)</f>
        <v>24.158994002115897</v>
      </c>
      <c r="X48" s="9">
        <f>_xlfn.COVARIANCE.P('Data_Matrix (2018)'!$AR$2:$AR$67,'Data_Matrix (2018)'!X$2:X$67)</f>
        <v>60.164935607265456</v>
      </c>
      <c r="Y48" s="9">
        <f>_xlfn.COVARIANCE.P('Data_Matrix (2018)'!$AR$2:$AR$67,'Data_Matrix (2018)'!Y$2:Y$67)</f>
        <v>76.43205404205807</v>
      </c>
      <c r="Z48" s="9">
        <f>_xlfn.COVARIANCE.P('Data_Matrix (2018)'!$AR$2:$AR$67,'Data_Matrix (2018)'!Z$2:Z$67)</f>
        <v>33.172253922218751</v>
      </c>
      <c r="AA48" s="9">
        <f>_xlfn.COVARIANCE.P('Data_Matrix (2018)'!$AR$2:$AR$67,'Data_Matrix (2018)'!AA$2:AA$67)</f>
        <v>31.46363979148758</v>
      </c>
      <c r="AB48" s="9">
        <f>_xlfn.COVARIANCE.P('Data_Matrix (2018)'!$AR$2:$AR$67,'Data_Matrix (2018)'!AB$2:AB$67)</f>
        <v>5.341137728483127</v>
      </c>
      <c r="AC48" s="9">
        <f>_xlfn.COVARIANCE.P('Data_Matrix (2018)'!$AR$2:$AR$67,'Data_Matrix (2018)'!AC$2:AC$67)</f>
        <v>0.65452542088768684</v>
      </c>
      <c r="AD48" s="9">
        <f>_xlfn.COVARIANCE.P('Data_Matrix (2018)'!$AR$2:$AR$67,'Data_Matrix (2018)'!AD$2:AD$67)</f>
        <v>7.1613188777946535</v>
      </c>
      <c r="AE48" s="9">
        <f>_xlfn.COVARIANCE.P('Data_Matrix (2018)'!$AR$2:$AR$67,'Data_Matrix (2018)'!AE$2:AE$67)</f>
        <v>-1.222575486687018</v>
      </c>
      <c r="AF48" s="9">
        <f>_xlfn.COVARIANCE.P('Data_Matrix (2018)'!$AR$2:$AR$67,'Data_Matrix (2018)'!AF$2:AF$67)</f>
        <v>2.346899110064959</v>
      </c>
      <c r="AG48" s="9">
        <f>_xlfn.COVARIANCE.P('Data_Matrix (2018)'!$AR$2:$AR$67,'Data_Matrix (2018)'!AG$2:AG$67)</f>
        <v>4.4183617789555321</v>
      </c>
      <c r="AH48" s="9">
        <f>_xlfn.COVARIANCE.P('Data_Matrix (2018)'!$AR$2:$AR$67,'Data_Matrix (2018)'!AH$2:AH$67)</f>
        <v>-5.5666745873393433</v>
      </c>
      <c r="AI48" s="9">
        <f>_xlfn.COVARIANCE.P('Data_Matrix (2018)'!$AR$2:$AR$67,'Data_Matrix (2018)'!AI$2:AI$67)</f>
        <v>5.7391922807708733</v>
      </c>
      <c r="AJ48" s="9">
        <f>_xlfn.COVARIANCE.P('Data_Matrix (2018)'!$AR$2:$AR$67,'Data_Matrix (2018)'!AJ$2:AJ$67)</f>
        <v>1.9609427761796734</v>
      </c>
      <c r="AK48" s="9">
        <f>_xlfn.COVARIANCE.P('Data_Matrix (2018)'!$AR$2:$AR$67,'Data_Matrix (2018)'!AK$2:AK$67)</f>
        <v>5.2253859139854359</v>
      </c>
      <c r="AL48" s="9">
        <f>_xlfn.COVARIANCE.P('Data_Matrix (2018)'!$AR$2:$AR$67,'Data_Matrix (2018)'!AL$2:AL$67)</f>
        <v>-6.7184370338611465</v>
      </c>
      <c r="AM48" s="9">
        <f>_xlfn.COVARIANCE.P('Data_Matrix (2018)'!$AR$2:$AR$67,'Data_Matrix (2018)'!AM$2:AM$67)</f>
        <v>6.0242892308747855</v>
      </c>
      <c r="AN48" s="9">
        <f>_xlfn.COVARIANCE.P('Data_Matrix (2018)'!$AR$2:$AR$67,'Data_Matrix (2018)'!AN$2:AN$67)</f>
        <v>2.5589670934089788</v>
      </c>
      <c r="AO48" s="9">
        <f>_xlfn.COVARIANCE.P('Data_Matrix (2018)'!$AR$2:$AR$67,'Data_Matrix (2018)'!AO$2:AO$67)</f>
        <v>9.0222037502587504</v>
      </c>
      <c r="AP48" s="9">
        <f>_xlfn.COVARIANCE.P('Data_Matrix (2018)'!$AR$2:$AR$67,'Data_Matrix (2018)'!AP$2:AP$67)</f>
        <v>17.839623290064324</v>
      </c>
      <c r="AQ48" s="9">
        <f>_xlfn.COVARIANCE.P('Data_Matrix (2018)'!$AR$2:$AR$67,'Data_Matrix (2018)'!AQ$2:AQ$67)</f>
        <v>4.3978586668886459</v>
      </c>
      <c r="AR48" s="9">
        <f>_xlfn.COVARIANCE.P('Data_Matrix (2018)'!$AR$2:$AR$67,'Data_Matrix (2018)'!AR$2:AR$67)</f>
        <v>15.386018112274522</v>
      </c>
      <c r="AS48" s="9">
        <f>_xlfn.COVARIANCE.P('Data_Matrix (2018)'!$AR$2:$AR$67,'Data_Matrix (2018)'!AS$2:AS$67)</f>
        <v>3.4838693060343506</v>
      </c>
      <c r="AT48" s="9">
        <f>_xlfn.COVARIANCE.P('Data_Matrix (2018)'!$AR$2:$AR$67,'Data_Matrix (2018)'!AT$2:AT$67)</f>
        <v>-0.33873319896768994</v>
      </c>
      <c r="AU48" s="9">
        <f>_xlfn.COVARIANCE.P('Data_Matrix (2018)'!$AR$2:$AR$67,'Data_Matrix (2018)'!AU$2:AU$67)</f>
        <v>2.7970001343847586</v>
      </c>
      <c r="AV48" s="9">
        <f>_xlfn.COVARIANCE.P('Data_Matrix (2018)'!$AR$2:$AR$67,'Data_Matrix (2018)'!AV$2:AV$67)</f>
        <v>2.3337425145378385</v>
      </c>
      <c r="AW48" s="9">
        <f>_xlfn.COVARIANCE.P('Data_Matrix (2018)'!$AR$2:$AR$67,'Data_Matrix (2018)'!AW$2:AW$67)</f>
        <v>2.7464329840257413</v>
      </c>
      <c r="AX48" s="9">
        <f>_xlfn.COVARIANCE.P('Data_Matrix (2018)'!$AR$2:$AR$67,'Data_Matrix (2018)'!AX$2:AX$67)</f>
        <v>0.93524075858511702</v>
      </c>
      <c r="AY48" s="9">
        <f>_xlfn.COVARIANCE.P('Data_Matrix (2018)'!$AR$2:$AR$67,'Data_Matrix (2018)'!AY$2:AY$67)</f>
        <v>1.6515224055668025</v>
      </c>
      <c r="AZ48" s="9">
        <f>_xlfn.COVARIANCE.P('Data_Matrix (2018)'!$AR$2:$AR$67,'Data_Matrix (2018)'!AZ$2:AZ$67)</f>
        <v>2.5363516587398824</v>
      </c>
      <c r="BA48" s="9">
        <f>_xlfn.COVARIANCE.P('Data_Matrix (2018)'!$AR$2:$AR$67,'Data_Matrix (2018)'!BA$2:BA$67)</f>
        <v>0.28303577189167189</v>
      </c>
      <c r="BB48" s="9">
        <f>_xlfn.COVARIANCE.P('Data_Matrix (2018)'!$AR$2:$AR$67,'Data_Matrix (2018)'!BB$2:BB$67)</f>
        <v>0.65741253644080411</v>
      </c>
      <c r="BC48" s="9">
        <f>_xlfn.COVARIANCE.P('Data_Matrix (2018)'!$AR$2:$AR$67,'Data_Matrix (2018)'!BC$2:BC$67)</f>
        <v>0.2001003246819387</v>
      </c>
      <c r="BD48" s="9">
        <f>_xlfn.COVARIANCE.P('Data_Matrix (2018)'!$AR$2:$AR$67,'Data_Matrix (2018)'!BD$2:BD$67)</f>
        <v>-0.19753900904884761</v>
      </c>
      <c r="BE48" s="9">
        <f>_xlfn.COVARIANCE.P('Data_Matrix (2018)'!$AR$2:$AR$67,'Data_Matrix (2018)'!BE$2:BE$67)</f>
        <v>0.32021999761719788</v>
      </c>
      <c r="BF48" s="9">
        <f>_xlfn.COVARIANCE.P('Data_Matrix (2018)'!$AR$2:$AR$67,'Data_Matrix (2018)'!BF$2:BF$67)</f>
        <v>1.2728466429525488E-3</v>
      </c>
      <c r="BG48" s="9">
        <f>_xlfn.COVARIANCE.P('Data_Matrix (2018)'!$AR$2:$AR$67,'Data_Matrix (2018)'!BG$2:BG$67)</f>
        <v>-1.3559556344473136E-2</v>
      </c>
      <c r="BH48" s="9">
        <f>_xlfn.COVARIANCE.P('Data_Matrix (2018)'!$AR$2:$AR$67,'Data_Matrix (2018)'!BH$2:BH$67)</f>
        <v>3.3829727645624683E-2</v>
      </c>
      <c r="BI48" s="9">
        <f>_xlfn.COVARIANCE.P('Data_Matrix (2018)'!$AR$2:$AR$67,'Data_Matrix (2018)'!BI$2:BI$67)</f>
        <v>8.4724894594984779E-2</v>
      </c>
      <c r="BJ48" s="9">
        <f>_xlfn.COVARIANCE.P('Data_Matrix (2018)'!$AR$2:$AR$67,'Data_Matrix (2018)'!BJ$2:BJ$67)</f>
        <v>-3.5724204586400576E-2</v>
      </c>
      <c r="BK48" s="9">
        <f>_xlfn.COVARIANCE.P('Data_Matrix (2018)'!$AR$2:$AR$67,'Data_Matrix (2018)'!BK$2:BK$67)</f>
        <v>2.2908264037136868E-2</v>
      </c>
      <c r="BL48" s="9">
        <f>_xlfn.COVARIANCE.P('Data_Matrix (2018)'!$AR$2:$AR$67,'Data_Matrix (2018)'!BL$2:BL$67)</f>
        <v>9.3942315074296109E-2</v>
      </c>
      <c r="BM48" s="9">
        <f>_xlfn.COVARIANCE.P('Data_Matrix (2018)'!$AR$2:$AR$67,'Data_Matrix (2018)'!BM$2:BM$67)</f>
        <v>-3.6090156543743652E-3</v>
      </c>
      <c r="BN48" s="9">
        <f>_xlfn.COVARIANCE.P('Data_Matrix (2018)'!$AR$2:$AR$67,'Data_Matrix (2018)'!BN$2:BN$67)</f>
        <v>-4.8579691468315905E-3</v>
      </c>
      <c r="BO48" s="9">
        <f>_xlfn.COVARIANCE.P('Data_Matrix (2018)'!$AR$2:$AR$67,'Data_Matrix (2018)'!BO$2:BO$67)</f>
        <v>-3.166470681529255E-4</v>
      </c>
    </row>
    <row r="49" spans="2:67" x14ac:dyDescent="0.2">
      <c r="B49" s="9">
        <f>_xlfn.COVARIANCE.P('Data_Matrix (2018)'!$AS$2:$AS$67,'Data_Matrix (2018)'!B$2:B$67)</f>
        <v>-16.73533241265331</v>
      </c>
      <c r="C49" s="9">
        <f>_xlfn.COVARIANCE.P('Data_Matrix (2018)'!$AS$2:$AS$67,'Data_Matrix (2018)'!C$2:C$67)</f>
        <v>2081.3023272287205</v>
      </c>
      <c r="D49" s="9">
        <f>_xlfn.COVARIANCE.P('Data_Matrix (2018)'!$AS$2:$AS$67,'Data_Matrix (2018)'!D$2:D$67)</f>
        <v>1356.5196388601621</v>
      </c>
      <c r="E49" s="9">
        <f>_xlfn.COVARIANCE.P('Data_Matrix (2018)'!$AS$2:$AS$67,'Data_Matrix (2018)'!E$2:E$67)</f>
        <v>1052.0754298464506</v>
      </c>
      <c r="F49" s="9">
        <f>_xlfn.COVARIANCE.P('Data_Matrix (2018)'!$AS$2:$AS$67,'Data_Matrix (2018)'!F$2:F$67)</f>
        <v>477.52881800600403</v>
      </c>
      <c r="G49" s="9">
        <f>_xlfn.COVARIANCE.P('Data_Matrix (2018)'!$AS$2:$AS$67,'Data_Matrix (2018)'!G$2:G$67)</f>
        <v>1423.0701543716725</v>
      </c>
      <c r="H49" s="9">
        <f>_xlfn.COVARIANCE.P('Data_Matrix (2018)'!$AS$2:$AS$67,'Data_Matrix (2018)'!H$2:H$67)</f>
        <v>262.66971029767637</v>
      </c>
      <c r="I49" s="9">
        <f>_xlfn.COVARIANCE.P('Data_Matrix (2018)'!$AS$2:$AS$67,'Data_Matrix (2018)'!I$2:I$67)</f>
        <v>780.54803840816567</v>
      </c>
      <c r="J49" s="9">
        <f>_xlfn.COVARIANCE.P('Data_Matrix (2018)'!$AS$2:$AS$67,'Data_Matrix (2018)'!J$2:J$67)</f>
        <v>72.420320150896671</v>
      </c>
      <c r="K49" s="9">
        <f>_xlfn.COVARIANCE.P('Data_Matrix (2018)'!$AS$2:$AS$67,'Data_Matrix (2018)'!K$2:K$67)</f>
        <v>223.0802481134163</v>
      </c>
      <c r="L49" s="9">
        <f>_xlfn.COVARIANCE.P('Data_Matrix (2018)'!$AS$2:$AS$67,'Data_Matrix (2018)'!L$2:L$67)</f>
        <v>62.508106580533322</v>
      </c>
      <c r="M49" s="9">
        <f>_xlfn.COVARIANCE.P('Data_Matrix (2018)'!$AS$2:$AS$67,'Data_Matrix (2018)'!M$2:M$67)</f>
        <v>422.22387184433052</v>
      </c>
      <c r="N49" s="9">
        <f>_xlfn.COVARIANCE.P('Data_Matrix (2018)'!$AS$2:$AS$67,'Data_Matrix (2018)'!N$2:N$67)</f>
        <v>245.30963820642165</v>
      </c>
      <c r="O49" s="9">
        <f>_xlfn.COVARIANCE.P('Data_Matrix (2018)'!$AS$2:$AS$67,'Data_Matrix (2018)'!O$2:O$67)</f>
        <v>130.731552246017</v>
      </c>
      <c r="P49" s="9">
        <f>_xlfn.COVARIANCE.P('Data_Matrix (2018)'!$AS$2:$AS$67,'Data_Matrix (2018)'!P$2:P$67)</f>
        <v>24.108440809133111</v>
      </c>
      <c r="Q49" s="9">
        <f>_xlfn.COVARIANCE.P('Data_Matrix (2018)'!$AS$2:$AS$67,'Data_Matrix (2018)'!Q$2:Q$67)</f>
        <v>77.28510724588952</v>
      </c>
      <c r="R49" s="9">
        <f>_xlfn.COVARIANCE.P('Data_Matrix (2018)'!$AS$2:$AS$67,'Data_Matrix (2018)'!R$2:R$67)</f>
        <v>6.7781237179576843</v>
      </c>
      <c r="S49" s="9">
        <f>_xlfn.COVARIANCE.P('Data_Matrix (2018)'!$AS$2:$AS$67,'Data_Matrix (2018)'!S$2:S$67)</f>
        <v>15.426674361057028</v>
      </c>
      <c r="T49" s="9">
        <f>_xlfn.COVARIANCE.P('Data_Matrix (2018)'!$AS$2:$AS$67,'Data_Matrix (2018)'!T$2:T$67)</f>
        <v>27.038959177422225</v>
      </c>
      <c r="U49" s="9">
        <f>_xlfn.COVARIANCE.P('Data_Matrix (2018)'!$AS$2:$AS$67,'Data_Matrix (2018)'!U$2:U$67)</f>
        <v>19.063912242940219</v>
      </c>
      <c r="V49" s="9">
        <f>_xlfn.COVARIANCE.P('Data_Matrix (2018)'!$AS$2:$AS$67,'Data_Matrix (2018)'!V$2:V$67)</f>
        <v>70.952214974964306</v>
      </c>
      <c r="W49" s="9">
        <f>_xlfn.COVARIANCE.P('Data_Matrix (2018)'!$AS$2:$AS$67,'Data_Matrix (2018)'!W$2:W$67)</f>
        <v>8.7016150883933374</v>
      </c>
      <c r="X49" s="9">
        <f>_xlfn.COVARIANCE.P('Data_Matrix (2018)'!$AS$2:$AS$67,'Data_Matrix (2018)'!X$2:X$67)</f>
        <v>26.877016244033655</v>
      </c>
      <c r="Y49" s="9">
        <f>_xlfn.COVARIANCE.P('Data_Matrix (2018)'!$AS$2:$AS$67,'Data_Matrix (2018)'!Y$2:Y$67)</f>
        <v>54.345495746120484</v>
      </c>
      <c r="Z49" s="9">
        <f>_xlfn.COVARIANCE.P('Data_Matrix (2018)'!$AS$2:$AS$67,'Data_Matrix (2018)'!Z$2:Z$67)</f>
        <v>12.708789986630141</v>
      </c>
      <c r="AA49" s="9">
        <f>_xlfn.COVARIANCE.P('Data_Matrix (2018)'!$AS$2:$AS$67,'Data_Matrix (2018)'!AA$2:AA$67)</f>
        <v>11.187678866042262</v>
      </c>
      <c r="AB49" s="9">
        <f>_xlfn.COVARIANCE.P('Data_Matrix (2018)'!$AS$2:$AS$67,'Data_Matrix (2018)'!AB$2:AB$67)</f>
        <v>4.6984417247953898</v>
      </c>
      <c r="AC49" s="9">
        <f>_xlfn.COVARIANCE.P('Data_Matrix (2018)'!$AS$2:$AS$67,'Data_Matrix (2018)'!AC$2:AC$67)</f>
        <v>0.14907382378784079</v>
      </c>
      <c r="AD49" s="9">
        <f>_xlfn.COVARIANCE.P('Data_Matrix (2018)'!$AS$2:$AS$67,'Data_Matrix (2018)'!AD$2:AD$67)</f>
        <v>1.278824953241436</v>
      </c>
      <c r="AE49" s="9">
        <f>_xlfn.COVARIANCE.P('Data_Matrix (2018)'!$AS$2:$AS$67,'Data_Matrix (2018)'!AE$2:AE$67)</f>
        <v>0.69444937839168897</v>
      </c>
      <c r="AF49" s="9">
        <f>_xlfn.COVARIANCE.P('Data_Matrix (2018)'!$AS$2:$AS$67,'Data_Matrix (2018)'!AF$2:AF$67)</f>
        <v>-0.95986104541797701</v>
      </c>
      <c r="AG49" s="9">
        <f>_xlfn.COVARIANCE.P('Data_Matrix (2018)'!$AS$2:$AS$67,'Data_Matrix (2018)'!AG$2:AG$67)</f>
        <v>-0.85666722036384679</v>
      </c>
      <c r="AH49" s="9">
        <f>_xlfn.COVARIANCE.P('Data_Matrix (2018)'!$AS$2:$AS$67,'Data_Matrix (2018)'!AH$2:AH$67)</f>
        <v>6.966532685002842</v>
      </c>
      <c r="AI49" s="9">
        <f>_xlfn.COVARIANCE.P('Data_Matrix (2018)'!$AS$2:$AS$67,'Data_Matrix (2018)'!AI$2:AI$67)</f>
        <v>0.51062369996304102</v>
      </c>
      <c r="AJ49" s="9">
        <f>_xlfn.COVARIANCE.P('Data_Matrix (2018)'!$AS$2:$AS$67,'Data_Matrix (2018)'!AJ$2:AJ$67)</f>
        <v>-0.67570629285922923</v>
      </c>
      <c r="AK49" s="9">
        <f>_xlfn.COVARIANCE.P('Data_Matrix (2018)'!$AS$2:$AS$67,'Data_Matrix (2018)'!AK$2:AK$67)</f>
        <v>1.6062721888073199</v>
      </c>
      <c r="AL49" s="9">
        <f>_xlfn.COVARIANCE.P('Data_Matrix (2018)'!$AS$2:$AS$67,'Data_Matrix (2018)'!AL$2:AL$67)</f>
        <v>10.479065042856117</v>
      </c>
      <c r="AM49" s="9">
        <f>_xlfn.COVARIANCE.P('Data_Matrix (2018)'!$AS$2:$AS$67,'Data_Matrix (2018)'!AM$2:AM$67)</f>
        <v>4.4552967620751529</v>
      </c>
      <c r="AN49" s="9">
        <f>_xlfn.COVARIANCE.P('Data_Matrix (2018)'!$AS$2:$AS$67,'Data_Matrix (2018)'!AN$2:AN$67)</f>
        <v>2.8262375009581229</v>
      </c>
      <c r="AO49" s="9">
        <f>_xlfn.COVARIANCE.P('Data_Matrix (2018)'!$AS$2:$AS$67,'Data_Matrix (2018)'!AO$2:AO$67)</f>
        <v>2.152387354781109</v>
      </c>
      <c r="AP49" s="9">
        <f>_xlfn.COVARIANCE.P('Data_Matrix (2018)'!$AS$2:$AS$67,'Data_Matrix (2018)'!AP$2:AP$67)</f>
        <v>5.5863123630158258</v>
      </c>
      <c r="AQ49" s="9">
        <f>_xlfn.COVARIANCE.P('Data_Matrix (2018)'!$AS$2:$AS$67,'Data_Matrix (2018)'!AQ$2:AQ$67)</f>
        <v>-0.33983009126392472</v>
      </c>
      <c r="AR49" s="9">
        <f>_xlfn.COVARIANCE.P('Data_Matrix (2018)'!$AS$2:$AS$67,'Data_Matrix (2018)'!AR$2:AR$67)</f>
        <v>3.4838693060343506</v>
      </c>
      <c r="AS49" s="9">
        <f>_xlfn.COVARIANCE.P('Data_Matrix (2018)'!$AS$2:$AS$67,'Data_Matrix (2018)'!AS$2:AS$67)</f>
        <v>15.638774157921768</v>
      </c>
      <c r="AT49" s="9">
        <f>_xlfn.COVARIANCE.P('Data_Matrix (2018)'!$AS$2:$AS$67,'Data_Matrix (2018)'!AT$2:AT$67)</f>
        <v>-0.10601117264373291</v>
      </c>
      <c r="AU49" s="9">
        <f>_xlfn.COVARIANCE.P('Data_Matrix (2018)'!$AS$2:$AS$67,'Data_Matrix (2018)'!AU$2:AU$67)</f>
        <v>1.398122214467558</v>
      </c>
      <c r="AV49" s="9">
        <f>_xlfn.COVARIANCE.P('Data_Matrix (2018)'!$AS$2:$AS$67,'Data_Matrix (2018)'!AV$2:AV$67)</f>
        <v>0.89338040518880746</v>
      </c>
      <c r="AW49" s="9">
        <f>_xlfn.COVARIANCE.P('Data_Matrix (2018)'!$AS$2:$AS$67,'Data_Matrix (2018)'!AW$2:AW$67)</f>
        <v>1.393001560081748</v>
      </c>
      <c r="AX49" s="9">
        <f>_xlfn.COVARIANCE.P('Data_Matrix (2018)'!$AS$2:$AS$67,'Data_Matrix (2018)'!AX$2:AX$67)</f>
        <v>-0.72373306590049435</v>
      </c>
      <c r="AY49" s="9">
        <f>_xlfn.COVARIANCE.P('Data_Matrix (2018)'!$AS$2:$AS$67,'Data_Matrix (2018)'!AY$2:AY$67)</f>
        <v>0.84229415348492487</v>
      </c>
      <c r="AZ49" s="9">
        <f>_xlfn.COVARIANCE.P('Data_Matrix (2018)'!$AS$2:$AS$67,'Data_Matrix (2018)'!AZ$2:AZ$67)</f>
        <v>0.6626180837382678</v>
      </c>
      <c r="BA49" s="9">
        <f>_xlfn.COVARIANCE.P('Data_Matrix (2018)'!$AS$2:$AS$67,'Data_Matrix (2018)'!BA$2:BA$67)</f>
        <v>-0.15704477460400934</v>
      </c>
      <c r="BB49" s="9">
        <f>_xlfn.COVARIANCE.P('Data_Matrix (2018)'!$AS$2:$AS$67,'Data_Matrix (2018)'!BB$2:BB$67)</f>
        <v>0.38142299747450947</v>
      </c>
      <c r="BC49" s="9">
        <f>_xlfn.COVARIANCE.P('Data_Matrix (2018)'!$AS$2:$AS$67,'Data_Matrix (2018)'!BC$2:BC$67)</f>
        <v>0.25734688158512103</v>
      </c>
      <c r="BD49" s="9">
        <f>_xlfn.COVARIANCE.P('Data_Matrix (2018)'!$AS$2:$AS$67,'Data_Matrix (2018)'!BD$2:BD$67)</f>
        <v>-0.26969815618334908</v>
      </c>
      <c r="BE49" s="9">
        <f>_xlfn.COVARIANCE.P('Data_Matrix (2018)'!$AS$2:$AS$67,'Data_Matrix (2018)'!BE$2:BE$67)</f>
        <v>3.6369130253026655E-2</v>
      </c>
      <c r="BF49" s="9">
        <f>_xlfn.COVARIANCE.P('Data_Matrix (2018)'!$AS$2:$AS$67,'Data_Matrix (2018)'!BF$2:BF$67)</f>
        <v>-1.8650033560077266E-2</v>
      </c>
      <c r="BG49" s="9">
        <f>_xlfn.COVARIANCE.P('Data_Matrix (2018)'!$AS$2:$AS$67,'Data_Matrix (2018)'!BG$2:BG$67)</f>
        <v>-1.387844465017425E-2</v>
      </c>
      <c r="BH49" s="9">
        <f>_xlfn.COVARIANCE.P('Data_Matrix (2018)'!$AS$2:$AS$67,'Data_Matrix (2018)'!BH$2:BH$67)</f>
        <v>0.12175282668532143</v>
      </c>
      <c r="BI49" s="9">
        <f>_xlfn.COVARIANCE.P('Data_Matrix (2018)'!$AS$2:$AS$67,'Data_Matrix (2018)'!BI$2:BI$67)</f>
        <v>8.6332078952018346E-2</v>
      </c>
      <c r="BJ49" s="9">
        <f>_xlfn.COVARIANCE.P('Data_Matrix (2018)'!$AS$2:$AS$67,'Data_Matrix (2018)'!BJ$2:BJ$67)</f>
        <v>-1.7761216476303743E-2</v>
      </c>
      <c r="BK49" s="9">
        <f>_xlfn.COVARIANCE.P('Data_Matrix (2018)'!$AS$2:$AS$67,'Data_Matrix (2018)'!BK$2:BK$67)</f>
        <v>-7.6672671044194706E-3</v>
      </c>
      <c r="BL49" s="9">
        <f>_xlfn.COVARIANCE.P('Data_Matrix (2018)'!$AS$2:$AS$67,'Data_Matrix (2018)'!BL$2:BL$67)</f>
        <v>3.4896791080232366E-2</v>
      </c>
      <c r="BM49" s="9">
        <f>_xlfn.COVARIANCE.P('Data_Matrix (2018)'!$AS$2:$AS$67,'Data_Matrix (2018)'!BM$2:BM$67)</f>
        <v>-3.4841045501688254E-3</v>
      </c>
      <c r="BN49" s="9">
        <f>_xlfn.COVARIANCE.P('Data_Matrix (2018)'!$AS$2:$AS$67,'Data_Matrix (2018)'!BN$2:BN$67)</f>
        <v>-5.8550053264596405E-3</v>
      </c>
      <c r="BO49" s="9">
        <f>_xlfn.COVARIANCE.P('Data_Matrix (2018)'!$AS$2:$AS$67,'Data_Matrix (2018)'!BO$2:BO$67)</f>
        <v>-4.8129706589339404E-4</v>
      </c>
    </row>
    <row r="50" spans="2:67" x14ac:dyDescent="0.2">
      <c r="B50" s="9">
        <f>_xlfn.COVARIANCE.P('Data_Matrix (2018)'!$AT$2:$AT$67,'Data_Matrix (2018)'!B$2:B$67)</f>
        <v>2117.3874514977942</v>
      </c>
      <c r="C50" s="9">
        <f>_xlfn.COVARIANCE.P('Data_Matrix (2018)'!$AT$2:$AT$67,'Data_Matrix (2018)'!C$2:C$67)</f>
        <v>27.167319188730239</v>
      </c>
      <c r="D50" s="9">
        <f>_xlfn.COVARIANCE.P('Data_Matrix (2018)'!$AT$2:$AT$67,'Data_Matrix (2018)'!D$2:D$67)</f>
        <v>366.51369735804485</v>
      </c>
      <c r="E50" s="9">
        <f>_xlfn.COVARIANCE.P('Data_Matrix (2018)'!$AT$2:$AT$67,'Data_Matrix (2018)'!E$2:E$67)</f>
        <v>560.58913806777321</v>
      </c>
      <c r="F50" s="9">
        <f>_xlfn.COVARIANCE.P('Data_Matrix (2018)'!$AT$2:$AT$67,'Data_Matrix (2018)'!F$2:F$67)</f>
        <v>869.19460480102634</v>
      </c>
      <c r="G50" s="9">
        <f>_xlfn.COVARIANCE.P('Data_Matrix (2018)'!$AT$2:$AT$67,'Data_Matrix (2018)'!G$2:G$67)</f>
        <v>-39.988947503725811</v>
      </c>
      <c r="H50" s="9">
        <f>_xlfn.COVARIANCE.P('Data_Matrix (2018)'!$AT$2:$AT$67,'Data_Matrix (2018)'!H$2:H$67)</f>
        <v>321.81186034937929</v>
      </c>
      <c r="I50" s="9">
        <f>_xlfn.COVARIANCE.P('Data_Matrix (2018)'!$AT$2:$AT$67,'Data_Matrix (2018)'!I$2:I$67)</f>
        <v>209.79913723456491</v>
      </c>
      <c r="J50" s="9">
        <f>_xlfn.COVARIANCE.P('Data_Matrix (2018)'!$AT$2:$AT$67,'Data_Matrix (2018)'!J$2:J$67)</f>
        <v>-4.1079622586844806</v>
      </c>
      <c r="K50" s="9">
        <f>_xlfn.COVARIANCE.P('Data_Matrix (2018)'!$AT$2:$AT$67,'Data_Matrix (2018)'!K$2:K$67)</f>
        <v>177.4435021363424</v>
      </c>
      <c r="L50" s="9">
        <f>_xlfn.COVARIANCE.P('Data_Matrix (2018)'!$AT$2:$AT$67,'Data_Matrix (2018)'!L$2:L$67)</f>
        <v>160.41190406721512</v>
      </c>
      <c r="M50" s="9">
        <f>_xlfn.COVARIANCE.P('Data_Matrix (2018)'!$AT$2:$AT$67,'Data_Matrix (2018)'!M$2:M$67)</f>
        <v>47.499468316911255</v>
      </c>
      <c r="N50" s="9">
        <f>_xlfn.COVARIANCE.P('Data_Matrix (2018)'!$AT$2:$AT$67,'Data_Matrix (2018)'!N$2:N$67)</f>
        <v>-33.949505131177403</v>
      </c>
      <c r="O50" s="9">
        <f>_xlfn.COVARIANCE.P('Data_Matrix (2018)'!$AT$2:$AT$67,'Data_Matrix (2018)'!O$2:O$67)</f>
        <v>22.993652579219223</v>
      </c>
      <c r="P50" s="9">
        <f>_xlfn.COVARIANCE.P('Data_Matrix (2018)'!$AT$2:$AT$67,'Data_Matrix (2018)'!P$2:P$67)</f>
        <v>63.873903291626092</v>
      </c>
      <c r="Q50" s="9">
        <f>_xlfn.COVARIANCE.P('Data_Matrix (2018)'!$AT$2:$AT$67,'Data_Matrix (2018)'!Q$2:Q$67)</f>
        <v>49.004158644898958</v>
      </c>
      <c r="R50" s="9">
        <f>_xlfn.COVARIANCE.P('Data_Matrix (2018)'!$AT$2:$AT$67,'Data_Matrix (2018)'!R$2:R$67)</f>
        <v>11.947358480847997</v>
      </c>
      <c r="S50" s="9">
        <f>_xlfn.COVARIANCE.P('Data_Matrix (2018)'!$AT$2:$AT$67,'Data_Matrix (2018)'!S$2:S$67)</f>
        <v>37.802604082217009</v>
      </c>
      <c r="T50" s="9">
        <f>_xlfn.COVARIANCE.P('Data_Matrix (2018)'!$AT$2:$AT$67,'Data_Matrix (2018)'!T$2:T$67)</f>
        <v>21.233789383627904</v>
      </c>
      <c r="U50" s="9">
        <f>_xlfn.COVARIANCE.P('Data_Matrix (2018)'!$AT$2:$AT$67,'Data_Matrix (2018)'!U$2:U$67)</f>
        <v>24.133301519119836</v>
      </c>
      <c r="V50" s="9">
        <f>_xlfn.COVARIANCE.P('Data_Matrix (2018)'!$AT$2:$AT$67,'Data_Matrix (2018)'!V$2:V$67)</f>
        <v>13.000403124009365</v>
      </c>
      <c r="W50" s="9">
        <f>_xlfn.COVARIANCE.P('Data_Matrix (2018)'!$AT$2:$AT$67,'Data_Matrix (2018)'!W$2:W$67)</f>
        <v>2.9855339940782244</v>
      </c>
      <c r="X50" s="9">
        <f>_xlfn.COVARIANCE.P('Data_Matrix (2018)'!$AT$2:$AT$67,'Data_Matrix (2018)'!X$2:X$67)</f>
        <v>10.022074363769487</v>
      </c>
      <c r="Y50" s="9">
        <f>_xlfn.COVARIANCE.P('Data_Matrix (2018)'!$AT$2:$AT$67,'Data_Matrix (2018)'!Y$2:Y$67)</f>
        <v>5.1219060012845699</v>
      </c>
      <c r="Z50" s="9">
        <f>_xlfn.COVARIANCE.P('Data_Matrix (2018)'!$AT$2:$AT$67,'Data_Matrix (2018)'!Z$2:Z$67)</f>
        <v>11.880836766721826</v>
      </c>
      <c r="AA50" s="9">
        <f>_xlfn.COVARIANCE.P('Data_Matrix (2018)'!$AT$2:$AT$67,'Data_Matrix (2018)'!AA$2:AA$67)</f>
        <v>3.5813290969552489</v>
      </c>
      <c r="AB50" s="9">
        <f>_xlfn.COVARIANCE.P('Data_Matrix (2018)'!$AT$2:$AT$67,'Data_Matrix (2018)'!AB$2:AB$67)</f>
        <v>-0.6856685753349393</v>
      </c>
      <c r="AC50" s="9">
        <f>_xlfn.COVARIANCE.P('Data_Matrix (2018)'!$AT$2:$AT$67,'Data_Matrix (2018)'!AC$2:AC$67)</f>
        <v>8.6376622397390577</v>
      </c>
      <c r="AD50" s="9">
        <f>_xlfn.COVARIANCE.P('Data_Matrix (2018)'!$AT$2:$AT$67,'Data_Matrix (2018)'!AD$2:AD$67)</f>
        <v>2.323659914828041</v>
      </c>
      <c r="AE50" s="9">
        <f>_xlfn.COVARIANCE.P('Data_Matrix (2018)'!$AT$2:$AT$67,'Data_Matrix (2018)'!AE$2:AE$67)</f>
        <v>7.1682958443583749</v>
      </c>
      <c r="AF50" s="9">
        <f>_xlfn.COVARIANCE.P('Data_Matrix (2018)'!$AT$2:$AT$67,'Data_Matrix (2018)'!AF$2:AF$67)</f>
        <v>4.0211513806972174</v>
      </c>
      <c r="AG50" s="9">
        <f>_xlfn.COVARIANCE.P('Data_Matrix (2018)'!$AT$2:$AT$67,'Data_Matrix (2018)'!AG$2:AG$67)</f>
        <v>9.155275055916789</v>
      </c>
      <c r="AH50" s="9">
        <f>_xlfn.COVARIANCE.P('Data_Matrix (2018)'!$AT$2:$AT$67,'Data_Matrix (2018)'!AH$2:AH$67)</f>
        <v>2.9064593950129067</v>
      </c>
      <c r="AI50" s="9">
        <f>_xlfn.COVARIANCE.P('Data_Matrix (2018)'!$AT$2:$AT$67,'Data_Matrix (2018)'!AI$2:AI$67)</f>
        <v>0.61105068660998163</v>
      </c>
      <c r="AJ50" s="9">
        <f>_xlfn.COVARIANCE.P('Data_Matrix (2018)'!$AT$2:$AT$67,'Data_Matrix (2018)'!AJ$2:AJ$67)</f>
        <v>1.3540626765265245</v>
      </c>
      <c r="AK50" s="9">
        <f>_xlfn.COVARIANCE.P('Data_Matrix (2018)'!$AT$2:$AT$67,'Data_Matrix (2018)'!AK$2:AK$67)</f>
        <v>3.7948274356392484</v>
      </c>
      <c r="AL50" s="9">
        <f>_xlfn.COVARIANCE.P('Data_Matrix (2018)'!$AT$2:$AT$67,'Data_Matrix (2018)'!AL$2:AL$67)</f>
        <v>0.28372532837932735</v>
      </c>
      <c r="AM50" s="9">
        <f>_xlfn.COVARIANCE.P('Data_Matrix (2018)'!$AT$2:$AT$67,'Data_Matrix (2018)'!AM$2:AM$67)</f>
        <v>0.48633690160431386</v>
      </c>
      <c r="AN50" s="9">
        <f>_xlfn.COVARIANCE.P('Data_Matrix (2018)'!$AT$2:$AT$67,'Data_Matrix (2018)'!AN$2:AN$67)</f>
        <v>4.6172808114034076</v>
      </c>
      <c r="AO50" s="9">
        <f>_xlfn.COVARIANCE.P('Data_Matrix (2018)'!$AT$2:$AT$67,'Data_Matrix (2018)'!AO$2:AO$67)</f>
        <v>1.4194496247252195</v>
      </c>
      <c r="AP50" s="9">
        <f>_xlfn.COVARIANCE.P('Data_Matrix (2018)'!$AT$2:$AT$67,'Data_Matrix (2018)'!AP$2:AP$67)</f>
        <v>1.543273343208688</v>
      </c>
      <c r="AQ50" s="9">
        <f>_xlfn.COVARIANCE.P('Data_Matrix (2018)'!$AT$2:$AT$67,'Data_Matrix (2018)'!AQ$2:AQ$67)</f>
        <v>2.9680637281015536</v>
      </c>
      <c r="AR50" s="9">
        <f>_xlfn.COVARIANCE.P('Data_Matrix (2018)'!$AT$2:$AT$67,'Data_Matrix (2018)'!AR$2:AR$67)</f>
        <v>-0.33873319896768994</v>
      </c>
      <c r="AS50" s="9">
        <f>_xlfn.COVARIANCE.P('Data_Matrix (2018)'!$AT$2:$AT$67,'Data_Matrix (2018)'!AS$2:AS$67)</f>
        <v>-0.10601117264373291</v>
      </c>
      <c r="AT50" s="9">
        <f>_xlfn.COVARIANCE.P('Data_Matrix (2018)'!$AT$2:$AT$67,'Data_Matrix (2018)'!AT$2:AT$67)</f>
        <v>4.335580628990594</v>
      </c>
      <c r="AU50" s="9">
        <f>_xlfn.COVARIANCE.P('Data_Matrix (2018)'!$AT$2:$AT$67,'Data_Matrix (2018)'!AU$2:AU$67)</f>
        <v>-0.21458931512194576</v>
      </c>
      <c r="AV50" s="9">
        <f>_xlfn.COVARIANCE.P('Data_Matrix (2018)'!$AT$2:$AT$67,'Data_Matrix (2018)'!AV$2:AV$67)</f>
        <v>1.5069058381220024</v>
      </c>
      <c r="AW50" s="9">
        <f>_xlfn.COVARIANCE.P('Data_Matrix (2018)'!$AT$2:$AT$67,'Data_Matrix (2018)'!AW$2:AW$67)</f>
        <v>-9.7268505396855401E-2</v>
      </c>
      <c r="AX50" s="9">
        <f>_xlfn.COVARIANCE.P('Data_Matrix (2018)'!$AT$2:$AT$67,'Data_Matrix (2018)'!AX$2:AX$67)</f>
        <v>6.3526609311711439</v>
      </c>
      <c r="AY50" s="9">
        <f>_xlfn.COVARIANCE.P('Data_Matrix (2018)'!$AT$2:$AT$67,'Data_Matrix (2018)'!AY$2:AY$67)</f>
        <v>7.2965288854758684E-2</v>
      </c>
      <c r="AZ50" s="9">
        <f>_xlfn.COVARIANCE.P('Data_Matrix (2018)'!$AT$2:$AT$67,'Data_Matrix (2018)'!AZ$2:AZ$67)</f>
        <v>1.9493166088323715</v>
      </c>
      <c r="BA50" s="9">
        <f>_xlfn.COVARIANCE.P('Data_Matrix (2018)'!$AT$2:$AT$67,'Data_Matrix (2018)'!BA$2:BA$67)</f>
        <v>4.5463819138283901E-2</v>
      </c>
      <c r="BB50" s="9">
        <f>_xlfn.COVARIANCE.P('Data_Matrix (2018)'!$AT$2:$AT$67,'Data_Matrix (2018)'!BB$2:BB$67)</f>
        <v>0.1809925629638458</v>
      </c>
      <c r="BC50" s="9">
        <f>_xlfn.COVARIANCE.P('Data_Matrix (2018)'!$AT$2:$AT$67,'Data_Matrix (2018)'!BC$2:BC$67)</f>
        <v>-7.582258428797499E-2</v>
      </c>
      <c r="BD50" s="9">
        <f>_xlfn.COVARIANCE.P('Data_Matrix (2018)'!$AT$2:$AT$67,'Data_Matrix (2018)'!BD$2:BD$67)</f>
        <v>0.75654500175544448</v>
      </c>
      <c r="BE50" s="9">
        <f>_xlfn.COVARIANCE.P('Data_Matrix (2018)'!$AT$2:$AT$67,'Data_Matrix (2018)'!BE$2:BE$67)</f>
        <v>5.9672308297716081E-2</v>
      </c>
      <c r="BF50" s="9">
        <f>_xlfn.COVARIANCE.P('Data_Matrix (2018)'!$AT$2:$AT$67,'Data_Matrix (2018)'!BF$2:BF$67)</f>
        <v>1.258520016458925E-2</v>
      </c>
      <c r="BG50" s="9">
        <f>_xlfn.COVARIANCE.P('Data_Matrix (2018)'!$AT$2:$AT$67,'Data_Matrix (2018)'!BG$2:BG$67)</f>
        <v>1.8158260088891008E-2</v>
      </c>
      <c r="BH50" s="9">
        <f>_xlfn.COVARIANCE.P('Data_Matrix (2018)'!$AT$2:$AT$67,'Data_Matrix (2018)'!BH$2:BH$67)</f>
        <v>4.4750304831769533E-2</v>
      </c>
      <c r="BI50" s="9">
        <f>_xlfn.COVARIANCE.P('Data_Matrix (2018)'!$AT$2:$AT$67,'Data_Matrix (2018)'!BI$2:BI$67)</f>
        <v>5.22270447951741E-2</v>
      </c>
      <c r="BJ50" s="9">
        <f>_xlfn.COVARIANCE.P('Data_Matrix (2018)'!$AT$2:$AT$67,'Data_Matrix (2018)'!BJ$2:BJ$67)</f>
        <v>7.3003503721467078E-2</v>
      </c>
      <c r="BK50" s="9">
        <f>_xlfn.COVARIANCE.P('Data_Matrix (2018)'!$AT$2:$AT$67,'Data_Matrix (2018)'!BK$2:BK$67)</f>
        <v>1.6404788651681712E-2</v>
      </c>
      <c r="BL50" s="9">
        <f>_xlfn.COVARIANCE.P('Data_Matrix (2018)'!$AT$2:$AT$67,'Data_Matrix (2018)'!BL$2:BL$67)</f>
        <v>3.0638231653705231E-3</v>
      </c>
      <c r="BM50" s="9">
        <f>_xlfn.COVARIANCE.P('Data_Matrix (2018)'!$AT$2:$AT$67,'Data_Matrix (2018)'!BM$2:BM$67)</f>
        <v>3.4190872857591142E-3</v>
      </c>
      <c r="BN50" s="9">
        <f>_xlfn.COVARIANCE.P('Data_Matrix (2018)'!$AT$2:$AT$67,'Data_Matrix (2018)'!BN$2:BN$67)</f>
        <v>-1.2265740586201775E-3</v>
      </c>
      <c r="BO50" s="9">
        <f>_xlfn.COVARIANCE.P('Data_Matrix (2018)'!$AT$2:$AT$67,'Data_Matrix (2018)'!BO$2:BO$67)</f>
        <v>-1.050409497956244E-4</v>
      </c>
    </row>
    <row r="51" spans="2:67" x14ac:dyDescent="0.2">
      <c r="B51" s="9">
        <f>_xlfn.COVARIANCE.P('Data_Matrix (2018)'!$AU$2:$AU$67,'Data_Matrix (2018)'!B$2:B$67)</f>
        <v>-1546.5091715127633</v>
      </c>
      <c r="C51" s="9">
        <f>_xlfn.COVARIANCE.P('Data_Matrix (2018)'!$AU$2:$AU$67,'Data_Matrix (2018)'!C$2:C$67)</f>
        <v>461.5790289913383</v>
      </c>
      <c r="D51" s="9">
        <f>_xlfn.COVARIANCE.P('Data_Matrix (2018)'!$AU$2:$AU$67,'Data_Matrix (2018)'!D$2:D$67)</f>
        <v>-8.4670908101768756</v>
      </c>
      <c r="E51" s="9">
        <f>_xlfn.COVARIANCE.P('Data_Matrix (2018)'!$AU$2:$AU$67,'Data_Matrix (2018)'!E$2:E$67)</f>
        <v>-206.70459709605785</v>
      </c>
      <c r="F51" s="9">
        <f>_xlfn.COVARIANCE.P('Data_Matrix (2018)'!$AU$2:$AU$67,'Data_Matrix (2018)'!F$2:F$67)</f>
        <v>-355.67811907436936</v>
      </c>
      <c r="G51" s="9">
        <f>_xlfn.COVARIANCE.P('Data_Matrix (2018)'!$AU$2:$AU$67,'Data_Matrix (2018)'!G$2:G$67)</f>
        <v>-31.382540980869919</v>
      </c>
      <c r="H51" s="9">
        <f>_xlfn.COVARIANCE.P('Data_Matrix (2018)'!$AU$2:$AU$67,'Data_Matrix (2018)'!H$2:H$67)</f>
        <v>-162.36657927579964</v>
      </c>
      <c r="I51" s="9">
        <f>_xlfn.COVARIANCE.P('Data_Matrix (2018)'!$AU$2:$AU$67,'Data_Matrix (2018)'!I$2:I$67)</f>
        <v>172.07412742138459</v>
      </c>
      <c r="J51" s="9">
        <f>_xlfn.COVARIANCE.P('Data_Matrix (2018)'!$AU$2:$AU$67,'Data_Matrix (2018)'!J$2:J$67)</f>
        <v>-2.4997781128719869</v>
      </c>
      <c r="K51" s="9">
        <f>_xlfn.COVARIANCE.P('Data_Matrix (2018)'!$AU$2:$AU$67,'Data_Matrix (2018)'!K$2:K$67)</f>
        <v>-103.12942451443823</v>
      </c>
      <c r="L51" s="9">
        <f>_xlfn.COVARIANCE.P('Data_Matrix (2018)'!$AU$2:$AU$67,'Data_Matrix (2018)'!L$2:L$67)</f>
        <v>-40.194105975963176</v>
      </c>
      <c r="M51" s="9">
        <f>_xlfn.COVARIANCE.P('Data_Matrix (2018)'!$AU$2:$AU$67,'Data_Matrix (2018)'!M$2:M$67)</f>
        <v>-7.8420354444301976</v>
      </c>
      <c r="N51" s="9">
        <f>_xlfn.COVARIANCE.P('Data_Matrix (2018)'!$AU$2:$AU$67,'Data_Matrix (2018)'!N$2:N$67)</f>
        <v>35.220359463142842</v>
      </c>
      <c r="O51" s="9">
        <f>_xlfn.COVARIANCE.P('Data_Matrix (2018)'!$AU$2:$AU$67,'Data_Matrix (2018)'!O$2:O$67)</f>
        <v>-16.562767508948347</v>
      </c>
      <c r="P51" s="9">
        <f>_xlfn.COVARIANCE.P('Data_Matrix (2018)'!$AU$2:$AU$67,'Data_Matrix (2018)'!P$2:P$67)</f>
        <v>53.073521251943745</v>
      </c>
      <c r="Q51" s="9">
        <f>_xlfn.COVARIANCE.P('Data_Matrix (2018)'!$AU$2:$AU$67,'Data_Matrix (2018)'!Q$2:Q$67)</f>
        <v>-28.039431636606079</v>
      </c>
      <c r="R51" s="9">
        <f>_xlfn.COVARIANCE.P('Data_Matrix (2018)'!$AU$2:$AU$67,'Data_Matrix (2018)'!R$2:R$67)</f>
        <v>-21.691147632920966</v>
      </c>
      <c r="S51" s="9">
        <f>_xlfn.COVARIANCE.P('Data_Matrix (2018)'!$AU$2:$AU$67,'Data_Matrix (2018)'!S$2:S$67)</f>
        <v>-24.320344713987932</v>
      </c>
      <c r="T51" s="9">
        <f>_xlfn.COVARIANCE.P('Data_Matrix (2018)'!$AU$2:$AU$67,'Data_Matrix (2018)'!T$2:T$67)</f>
        <v>-1.3085874958924302</v>
      </c>
      <c r="U51" s="9">
        <f>_xlfn.COVARIANCE.P('Data_Matrix (2018)'!$AU$2:$AU$67,'Data_Matrix (2018)'!U$2:U$67)</f>
        <v>2.3726005244054482</v>
      </c>
      <c r="V51" s="9">
        <f>_xlfn.COVARIANCE.P('Data_Matrix (2018)'!$AU$2:$AU$67,'Data_Matrix (2018)'!V$2:V$67)</f>
        <v>20.416176972470158</v>
      </c>
      <c r="W51" s="9">
        <f>_xlfn.COVARIANCE.P('Data_Matrix (2018)'!$AU$2:$AU$67,'Data_Matrix (2018)'!W$2:W$67)</f>
        <v>-0.92901503072518787</v>
      </c>
      <c r="X51" s="9">
        <f>_xlfn.COVARIANCE.P('Data_Matrix (2018)'!$AU$2:$AU$67,'Data_Matrix (2018)'!X$2:X$67)</f>
        <v>0.5416022258467097</v>
      </c>
      <c r="Y51" s="9">
        <f>_xlfn.COVARIANCE.P('Data_Matrix (2018)'!$AU$2:$AU$67,'Data_Matrix (2018)'!Y$2:Y$67)</f>
        <v>0.95035483386673214</v>
      </c>
      <c r="Z51" s="9">
        <f>_xlfn.COVARIANCE.P('Data_Matrix (2018)'!$AU$2:$AU$67,'Data_Matrix (2018)'!Z$2:Z$67)</f>
        <v>-4.6635705744250666</v>
      </c>
      <c r="AA51" s="9">
        <f>_xlfn.COVARIANCE.P('Data_Matrix (2018)'!$AU$2:$AU$67,'Data_Matrix (2018)'!AA$2:AA$67)</f>
        <v>11.848525738139683</v>
      </c>
      <c r="AB51" s="9">
        <f>_xlfn.COVARIANCE.P('Data_Matrix (2018)'!$AU$2:$AU$67,'Data_Matrix (2018)'!AB$2:AB$67)</f>
        <v>1.7455053349015928</v>
      </c>
      <c r="AC51" s="9">
        <f>_xlfn.COVARIANCE.P('Data_Matrix (2018)'!$AU$2:$AU$67,'Data_Matrix (2018)'!AC$2:AC$67)</f>
        <v>-2.2801692135858453</v>
      </c>
      <c r="AD51" s="9">
        <f>_xlfn.COVARIANCE.P('Data_Matrix (2018)'!$AU$2:$AU$67,'Data_Matrix (2018)'!AD$2:AD$67)</f>
        <v>-0.12287798871283205</v>
      </c>
      <c r="AE51" s="9">
        <f>_xlfn.COVARIANCE.P('Data_Matrix (2018)'!$AU$2:$AU$67,'Data_Matrix (2018)'!AE$2:AE$67)</f>
        <v>-0.68874167224641114</v>
      </c>
      <c r="AF51" s="9">
        <f>_xlfn.COVARIANCE.P('Data_Matrix (2018)'!$AU$2:$AU$67,'Data_Matrix (2018)'!AF$2:AF$67)</f>
        <v>4.2529386642133167E-3</v>
      </c>
      <c r="AG51" s="9">
        <f>_xlfn.COVARIANCE.P('Data_Matrix (2018)'!$AU$2:$AU$67,'Data_Matrix (2018)'!AG$2:AG$67)</f>
        <v>-0.9419195919190706</v>
      </c>
      <c r="AH51" s="9">
        <f>_xlfn.COVARIANCE.P('Data_Matrix (2018)'!$AU$2:$AU$67,'Data_Matrix (2018)'!AH$2:AH$67)</f>
        <v>-4.9671609535488166</v>
      </c>
      <c r="AI51" s="9">
        <f>_xlfn.COVARIANCE.P('Data_Matrix (2018)'!$AU$2:$AU$67,'Data_Matrix (2018)'!AI$2:AI$67)</f>
        <v>1.2333616105666187</v>
      </c>
      <c r="AJ51" s="9">
        <f>_xlfn.COVARIANCE.P('Data_Matrix (2018)'!$AU$2:$AU$67,'Data_Matrix (2018)'!AJ$2:AJ$67)</f>
        <v>-0.42873560520438303</v>
      </c>
      <c r="AK51" s="9">
        <f>_xlfn.COVARIANCE.P('Data_Matrix (2018)'!$AU$2:$AU$67,'Data_Matrix (2018)'!AK$2:AK$67)</f>
        <v>0.90165891336677795</v>
      </c>
      <c r="AL51" s="9">
        <f>_xlfn.COVARIANCE.P('Data_Matrix (2018)'!$AU$2:$AU$67,'Data_Matrix (2018)'!AL$2:AL$67)</f>
        <v>7.42638823742619</v>
      </c>
      <c r="AM51" s="9">
        <f>_xlfn.COVARIANCE.P('Data_Matrix (2018)'!$AU$2:$AU$67,'Data_Matrix (2018)'!AM$2:AM$67)</f>
        <v>1.2253896533540565</v>
      </c>
      <c r="AN51" s="9">
        <f>_xlfn.COVARIANCE.P('Data_Matrix (2018)'!$AU$2:$AU$67,'Data_Matrix (2018)'!AN$2:AN$67)</f>
        <v>3.7427985289702552</v>
      </c>
      <c r="AO51" s="9">
        <f>_xlfn.COVARIANCE.P('Data_Matrix (2018)'!$AU$2:$AU$67,'Data_Matrix (2018)'!AO$2:AO$67)</f>
        <v>2.4291572378904247</v>
      </c>
      <c r="AP51" s="9">
        <f>_xlfn.COVARIANCE.P('Data_Matrix (2018)'!$AU$2:$AU$67,'Data_Matrix (2018)'!AP$2:AP$67)</f>
        <v>3.808752603659288</v>
      </c>
      <c r="AQ51" s="9">
        <f>_xlfn.COVARIANCE.P('Data_Matrix (2018)'!$AU$2:$AU$67,'Data_Matrix (2018)'!AQ$2:AQ$67)</f>
        <v>0.13037796020370812</v>
      </c>
      <c r="AR51" s="9">
        <f>_xlfn.COVARIANCE.P('Data_Matrix (2018)'!$AU$2:$AU$67,'Data_Matrix (2018)'!AR$2:AR$67)</f>
        <v>2.7970001343847586</v>
      </c>
      <c r="AS51" s="9">
        <f>_xlfn.COVARIANCE.P('Data_Matrix (2018)'!$AU$2:$AU$67,'Data_Matrix (2018)'!AS$2:AS$67)</f>
        <v>1.398122214467558</v>
      </c>
      <c r="AT51" s="9">
        <f>_xlfn.COVARIANCE.P('Data_Matrix (2018)'!$AU$2:$AU$67,'Data_Matrix (2018)'!AT$2:AT$67)</f>
        <v>-0.21458931512194576</v>
      </c>
      <c r="AU51" s="9">
        <f>_xlfn.COVARIANCE.P('Data_Matrix (2018)'!$AU$2:$AU$67,'Data_Matrix (2018)'!AU$2:AU$67)</f>
        <v>3.8173523756837677</v>
      </c>
      <c r="AV51" s="9">
        <f>_xlfn.COVARIANCE.P('Data_Matrix (2018)'!$AU$2:$AU$67,'Data_Matrix (2018)'!AV$2:AV$67)</f>
        <v>0.67697887248364075</v>
      </c>
      <c r="AW51" s="9">
        <f>_xlfn.COVARIANCE.P('Data_Matrix (2018)'!$AU$2:$AU$67,'Data_Matrix (2018)'!AW$2:AW$67)</f>
        <v>2.9737977990672566</v>
      </c>
      <c r="AX51" s="9">
        <f>_xlfn.COVARIANCE.P('Data_Matrix (2018)'!$AU$2:$AU$67,'Data_Matrix (2018)'!AX$2:AX$67)</f>
        <v>-0.22495497957705626</v>
      </c>
      <c r="AY51" s="9">
        <f>_xlfn.COVARIANCE.P('Data_Matrix (2018)'!$AU$2:$AU$67,'Data_Matrix (2018)'!AY$2:AY$67)</f>
        <v>0.8821871043678251</v>
      </c>
      <c r="AZ51" s="9">
        <f>_xlfn.COVARIANCE.P('Data_Matrix (2018)'!$AU$2:$AU$67,'Data_Matrix (2018)'!AZ$2:AZ$67)</f>
        <v>0.87421420741622058</v>
      </c>
      <c r="BA51" s="9">
        <f>_xlfn.COVARIANCE.P('Data_Matrix (2018)'!$AU$2:$AU$67,'Data_Matrix (2018)'!BA$2:BA$67)</f>
        <v>1.7030329554813418E-2</v>
      </c>
      <c r="BB51" s="9">
        <f>_xlfn.COVARIANCE.P('Data_Matrix (2018)'!$AU$2:$AU$67,'Data_Matrix (2018)'!BB$2:BB$67)</f>
        <v>-0.12123611943128745</v>
      </c>
      <c r="BC51" s="9">
        <f>_xlfn.COVARIANCE.P('Data_Matrix (2018)'!$AU$2:$AU$67,'Data_Matrix (2018)'!BC$2:BC$67)</f>
        <v>3.0435542424718E-2</v>
      </c>
      <c r="BD51" s="9">
        <f>_xlfn.COVARIANCE.P('Data_Matrix (2018)'!$AU$2:$AU$67,'Data_Matrix (2018)'!BD$2:BD$67)</f>
        <v>-5.1519586282918535E-2</v>
      </c>
      <c r="BE51" s="9">
        <f>_xlfn.COVARIANCE.P('Data_Matrix (2018)'!$AU$2:$AU$67,'Data_Matrix (2018)'!BE$2:BE$67)</f>
        <v>0.15086082417564317</v>
      </c>
      <c r="BF51" s="9">
        <f>_xlfn.COVARIANCE.P('Data_Matrix (2018)'!$AU$2:$AU$67,'Data_Matrix (2018)'!BF$2:BF$67)</f>
        <v>9.5093561319333584E-3</v>
      </c>
      <c r="BG51" s="9">
        <f>_xlfn.COVARIANCE.P('Data_Matrix (2018)'!$AU$2:$AU$67,'Data_Matrix (2018)'!BG$2:BG$67)</f>
        <v>-4.0661629471308424E-3</v>
      </c>
      <c r="BH51" s="9">
        <f>_xlfn.COVARIANCE.P('Data_Matrix (2018)'!$AU$2:$AU$67,'Data_Matrix (2018)'!BH$2:BH$67)</f>
        <v>-5.7436414447973603E-3</v>
      </c>
      <c r="BI51" s="9">
        <f>_xlfn.COVARIANCE.P('Data_Matrix (2018)'!$AU$2:$AU$67,'Data_Matrix (2018)'!BI$2:BI$67)</f>
        <v>2.1585317642376513E-2</v>
      </c>
      <c r="BJ51" s="9">
        <f>_xlfn.COVARIANCE.P('Data_Matrix (2018)'!$AU$2:$AU$67,'Data_Matrix (2018)'!BJ$2:BJ$67)</f>
        <v>-2.0152556581488651E-2</v>
      </c>
      <c r="BK51" s="9">
        <f>_xlfn.COVARIANCE.P('Data_Matrix (2018)'!$AU$2:$AU$67,'Data_Matrix (2018)'!BK$2:BK$67)</f>
        <v>1.087343413911644E-2</v>
      </c>
      <c r="BL51" s="9">
        <f>_xlfn.COVARIANCE.P('Data_Matrix (2018)'!$AU$2:$AU$67,'Data_Matrix (2018)'!BL$2:BL$67)</f>
        <v>2.4103461461744892E-2</v>
      </c>
      <c r="BM51" s="9">
        <f>_xlfn.COVARIANCE.P('Data_Matrix (2018)'!$AU$2:$AU$67,'Data_Matrix (2018)'!BM$2:BM$67)</f>
        <v>-1.6290463131807961E-3</v>
      </c>
      <c r="BN51" s="9">
        <f>_xlfn.COVARIANCE.P('Data_Matrix (2018)'!$AU$2:$AU$67,'Data_Matrix (2018)'!BN$2:BN$67)</f>
        <v>-2.3417359127756187E-3</v>
      </c>
      <c r="BO51" s="9">
        <f>_xlfn.COVARIANCE.P('Data_Matrix (2018)'!$AU$2:$AU$67,'Data_Matrix (2018)'!BO$2:BO$67)</f>
        <v>-1.7988053725883019E-4</v>
      </c>
    </row>
    <row r="52" spans="2:67" x14ac:dyDescent="0.2">
      <c r="B52" s="9">
        <f>_xlfn.COVARIANCE.P('Data_Matrix (2018)'!$AV$2:$AV$67,'Data_Matrix (2018)'!B$2:B$67)</f>
        <v>3515.4995760677425</v>
      </c>
      <c r="C52" s="9">
        <f>_xlfn.COVARIANCE.P('Data_Matrix (2018)'!$AV$2:$AV$67,'Data_Matrix (2018)'!C$2:C$67)</f>
        <v>1771.4967275083204</v>
      </c>
      <c r="D52" s="9">
        <f>_xlfn.COVARIANCE.P('Data_Matrix (2018)'!$AV$2:$AV$67,'Data_Matrix (2018)'!D$2:D$67)</f>
        <v>867.81891191301474</v>
      </c>
      <c r="E52" s="9">
        <f>_xlfn.COVARIANCE.P('Data_Matrix (2018)'!$AV$2:$AV$67,'Data_Matrix (2018)'!E$2:E$67)</f>
        <v>983.23176877054266</v>
      </c>
      <c r="F52" s="9">
        <f>_xlfn.COVARIANCE.P('Data_Matrix (2018)'!$AV$2:$AV$67,'Data_Matrix (2018)'!F$2:F$67)</f>
        <v>602.41022172988153</v>
      </c>
      <c r="G52" s="9">
        <f>_xlfn.COVARIANCE.P('Data_Matrix (2018)'!$AV$2:$AV$67,'Data_Matrix (2018)'!G$2:G$67)</f>
        <v>675.30312779188057</v>
      </c>
      <c r="H52" s="9">
        <f>_xlfn.COVARIANCE.P('Data_Matrix (2018)'!$AV$2:$AV$67,'Data_Matrix (2018)'!H$2:H$67)</f>
        <v>490.07987671346422</v>
      </c>
      <c r="I52" s="9">
        <f>_xlfn.COVARIANCE.P('Data_Matrix (2018)'!$AV$2:$AV$67,'Data_Matrix (2018)'!I$2:I$67)</f>
        <v>372.08071147933424</v>
      </c>
      <c r="J52" s="9">
        <f>_xlfn.COVARIANCE.P('Data_Matrix (2018)'!$AV$2:$AV$67,'Data_Matrix (2018)'!J$2:J$67)</f>
        <v>15.809894680056921</v>
      </c>
      <c r="K52" s="9">
        <f>_xlfn.COVARIANCE.P('Data_Matrix (2018)'!$AV$2:$AV$67,'Data_Matrix (2018)'!K$2:K$67)</f>
        <v>162.46924064660143</v>
      </c>
      <c r="L52" s="9">
        <f>_xlfn.COVARIANCE.P('Data_Matrix (2018)'!$AV$2:$AV$67,'Data_Matrix (2018)'!L$2:L$67)</f>
        <v>266.15728112002773</v>
      </c>
      <c r="M52" s="9">
        <f>_xlfn.COVARIANCE.P('Data_Matrix (2018)'!$AV$2:$AV$67,'Data_Matrix (2018)'!M$2:M$67)</f>
        <v>193.20940560196038</v>
      </c>
      <c r="N52" s="9">
        <f>_xlfn.COVARIANCE.P('Data_Matrix (2018)'!$AV$2:$AV$67,'Data_Matrix (2018)'!N$2:N$67)</f>
        <v>75.092580415324846</v>
      </c>
      <c r="O52" s="9">
        <f>_xlfn.COVARIANCE.P('Data_Matrix (2018)'!$AV$2:$AV$67,'Data_Matrix (2018)'!O$2:O$67)</f>
        <v>82.535339223029709</v>
      </c>
      <c r="P52" s="9">
        <f>_xlfn.COVARIANCE.P('Data_Matrix (2018)'!$AV$2:$AV$67,'Data_Matrix (2018)'!P$2:P$67)</f>
        <v>41.456283008665316</v>
      </c>
      <c r="Q52" s="9">
        <f>_xlfn.COVARIANCE.P('Data_Matrix (2018)'!$AV$2:$AV$67,'Data_Matrix (2018)'!Q$2:Q$67)</f>
        <v>100.40255251983858</v>
      </c>
      <c r="R52" s="9">
        <f>_xlfn.COVARIANCE.P('Data_Matrix (2018)'!$AV$2:$AV$67,'Data_Matrix (2018)'!R$2:R$67)</f>
        <v>87.793633468137472</v>
      </c>
      <c r="S52" s="9">
        <f>_xlfn.COVARIANCE.P('Data_Matrix (2018)'!$AV$2:$AV$67,'Data_Matrix (2018)'!S$2:S$67)</f>
        <v>72.488313823980263</v>
      </c>
      <c r="T52" s="9">
        <f>_xlfn.COVARIANCE.P('Data_Matrix (2018)'!$AV$2:$AV$67,'Data_Matrix (2018)'!T$2:T$67)</f>
        <v>49.2303570725512</v>
      </c>
      <c r="U52" s="9">
        <f>_xlfn.COVARIANCE.P('Data_Matrix (2018)'!$AV$2:$AV$67,'Data_Matrix (2018)'!U$2:U$67)</f>
        <v>37.227341763519824</v>
      </c>
      <c r="V52" s="9">
        <f>_xlfn.COVARIANCE.P('Data_Matrix (2018)'!$AV$2:$AV$67,'Data_Matrix (2018)'!V$2:V$67)</f>
        <v>23.224240748164448</v>
      </c>
      <c r="W52" s="9">
        <f>_xlfn.COVARIANCE.P('Data_Matrix (2018)'!$AV$2:$AV$67,'Data_Matrix (2018)'!W$2:W$67)</f>
        <v>3.8013302166931391</v>
      </c>
      <c r="X52" s="9">
        <f>_xlfn.COVARIANCE.P('Data_Matrix (2018)'!$AV$2:$AV$67,'Data_Matrix (2018)'!X$2:X$67)</f>
        <v>29.817437452335895</v>
      </c>
      <c r="Y52" s="9">
        <f>_xlfn.COVARIANCE.P('Data_Matrix (2018)'!$AV$2:$AV$67,'Data_Matrix (2018)'!Y$2:Y$67)</f>
        <v>30.442356397265872</v>
      </c>
      <c r="Z52" s="9">
        <f>_xlfn.COVARIANCE.P('Data_Matrix (2018)'!$AV$2:$AV$67,'Data_Matrix (2018)'!Z$2:Z$67)</f>
        <v>30.533891314664043</v>
      </c>
      <c r="AA52" s="9">
        <f>_xlfn.COVARIANCE.P('Data_Matrix (2018)'!$AV$2:$AV$67,'Data_Matrix (2018)'!AA$2:AA$67)</f>
        <v>12.71223990432634</v>
      </c>
      <c r="AB52" s="9">
        <f>_xlfn.COVARIANCE.P('Data_Matrix (2018)'!$AV$2:$AV$67,'Data_Matrix (2018)'!AB$2:AB$67)</f>
        <v>2.3429050084251122</v>
      </c>
      <c r="AC52" s="9">
        <f>_xlfn.COVARIANCE.P('Data_Matrix (2018)'!$AV$2:$AV$67,'Data_Matrix (2018)'!AC$2:AC$67)</f>
        <v>9.2582986024265281</v>
      </c>
      <c r="AD52" s="9">
        <f>_xlfn.COVARIANCE.P('Data_Matrix (2018)'!$AV$2:$AV$67,'Data_Matrix (2018)'!AD$2:AD$67)</f>
        <v>4.1767827789876719</v>
      </c>
      <c r="AE52" s="9">
        <f>_xlfn.COVARIANCE.P('Data_Matrix (2018)'!$AV$2:$AV$67,'Data_Matrix (2018)'!AE$2:AE$67)</f>
        <v>6.4307251432333654</v>
      </c>
      <c r="AF52" s="9">
        <f>_xlfn.COVARIANCE.P('Data_Matrix (2018)'!$AV$2:$AV$67,'Data_Matrix (2018)'!AF$2:AF$67)</f>
        <v>7.4241587914290266</v>
      </c>
      <c r="AG52" s="9">
        <f>_xlfn.COVARIANCE.P('Data_Matrix (2018)'!$AV$2:$AV$67,'Data_Matrix (2018)'!AG$2:AG$67)</f>
        <v>8.0569965747473873</v>
      </c>
      <c r="AH52" s="9">
        <f>_xlfn.COVARIANCE.P('Data_Matrix (2018)'!$AV$2:$AV$67,'Data_Matrix (2018)'!AH$2:AH$67)</f>
        <v>0.54745591625702261</v>
      </c>
      <c r="AI52" s="9">
        <f>_xlfn.COVARIANCE.P('Data_Matrix (2018)'!$AV$2:$AV$67,'Data_Matrix (2018)'!AI$2:AI$67)</f>
        <v>3.7339794110836899</v>
      </c>
      <c r="AJ52" s="9">
        <f>_xlfn.COVARIANCE.P('Data_Matrix (2018)'!$AV$2:$AV$67,'Data_Matrix (2018)'!AJ$2:AJ$67)</f>
        <v>4.1203463718015421</v>
      </c>
      <c r="AK52" s="9">
        <f>_xlfn.COVARIANCE.P('Data_Matrix (2018)'!$AV$2:$AV$67,'Data_Matrix (2018)'!AK$2:AK$67)</f>
        <v>2.3993052848867684</v>
      </c>
      <c r="AL52" s="9">
        <f>_xlfn.COVARIANCE.P('Data_Matrix (2018)'!$AV$2:$AV$67,'Data_Matrix (2018)'!AL$2:AL$67)</f>
        <v>-4.7855601072019684</v>
      </c>
      <c r="AM52" s="9">
        <f>_xlfn.COVARIANCE.P('Data_Matrix (2018)'!$AV$2:$AV$67,'Data_Matrix (2018)'!AM$2:AM$67)</f>
        <v>3.3675117870895086</v>
      </c>
      <c r="AN52" s="9">
        <f>_xlfn.COVARIANCE.P('Data_Matrix (2018)'!$AV$2:$AV$67,'Data_Matrix (2018)'!AN$2:AN$67)</f>
        <v>-0.13033089611123866</v>
      </c>
      <c r="AO52" s="9">
        <f>_xlfn.COVARIANCE.P('Data_Matrix (2018)'!$AV$2:$AV$67,'Data_Matrix (2018)'!AO$2:AO$67)</f>
        <v>5.3720373935755257</v>
      </c>
      <c r="AP52" s="9">
        <f>_xlfn.COVARIANCE.P('Data_Matrix (2018)'!$AV$2:$AV$67,'Data_Matrix (2018)'!AP$2:AP$67)</f>
        <v>6.1596009497899251</v>
      </c>
      <c r="AQ52" s="9">
        <f>_xlfn.COVARIANCE.P('Data_Matrix (2018)'!$AV$2:$AV$67,'Data_Matrix (2018)'!AQ$2:AQ$67)</f>
        <v>2.707990227953105</v>
      </c>
      <c r="AR52" s="9">
        <f>_xlfn.COVARIANCE.P('Data_Matrix (2018)'!$AV$2:$AV$67,'Data_Matrix (2018)'!AR$2:AR$67)</f>
        <v>2.3337425145378385</v>
      </c>
      <c r="AS52" s="9">
        <f>_xlfn.COVARIANCE.P('Data_Matrix (2018)'!$AV$2:$AV$67,'Data_Matrix (2018)'!AS$2:AS$67)</f>
        <v>0.89338040518880746</v>
      </c>
      <c r="AT52" s="9">
        <f>_xlfn.COVARIANCE.P('Data_Matrix (2018)'!$AV$2:$AV$67,'Data_Matrix (2018)'!AT$2:AT$67)</f>
        <v>1.5069058381220024</v>
      </c>
      <c r="AU52" s="9">
        <f>_xlfn.COVARIANCE.P('Data_Matrix (2018)'!$AV$2:$AV$67,'Data_Matrix (2018)'!AU$2:AU$67)</f>
        <v>0.67697887248364075</v>
      </c>
      <c r="AV52" s="9">
        <f>_xlfn.COVARIANCE.P('Data_Matrix (2018)'!$AV$2:$AV$67,'Data_Matrix (2018)'!AV$2:AV$67)</f>
        <v>4.7671695047977698</v>
      </c>
      <c r="AW52" s="9">
        <f>_xlfn.COVARIANCE.P('Data_Matrix (2018)'!$AV$2:$AV$67,'Data_Matrix (2018)'!AW$2:AW$67)</f>
        <v>1.4666872688384873</v>
      </c>
      <c r="AX52" s="9">
        <f>_xlfn.COVARIANCE.P('Data_Matrix (2018)'!$AV$2:$AV$67,'Data_Matrix (2018)'!AX$2:AX$67)</f>
        <v>3.6614457928097157</v>
      </c>
      <c r="AY52" s="9">
        <f>_xlfn.COVARIANCE.P('Data_Matrix (2018)'!$AV$2:$AV$67,'Data_Matrix (2018)'!AY$2:AY$67)</f>
        <v>0.93329061036459227</v>
      </c>
      <c r="AZ52" s="9">
        <f>_xlfn.COVARIANCE.P('Data_Matrix (2018)'!$AV$2:$AV$67,'Data_Matrix (2018)'!AZ$2:AZ$67)</f>
        <v>2.5855148743064955</v>
      </c>
      <c r="BA52" s="9">
        <f>_xlfn.COVARIANCE.P('Data_Matrix (2018)'!$AV$2:$AV$67,'Data_Matrix (2018)'!BA$2:BA$67)</f>
        <v>2.5998074988896908E-2</v>
      </c>
      <c r="BB52" s="9">
        <f>_xlfn.COVARIANCE.P('Data_Matrix (2018)'!$AV$2:$AV$67,'Data_Matrix (2018)'!BB$2:BB$67)</f>
        <v>0.68935005681642547</v>
      </c>
      <c r="BC52" s="9">
        <f>_xlfn.COVARIANCE.P('Data_Matrix (2018)'!$AV$2:$AV$67,'Data_Matrix (2018)'!BC$2:BC$67)</f>
        <v>8.2715349966817536E-2</v>
      </c>
      <c r="BD52" s="9">
        <f>_xlfn.COVARIANCE.P('Data_Matrix (2018)'!$AV$2:$AV$67,'Data_Matrix (2018)'!BD$2:BD$67)</f>
        <v>-4.8528882591073616E-2</v>
      </c>
      <c r="BE52" s="9">
        <f>_xlfn.COVARIANCE.P('Data_Matrix (2018)'!$AV$2:$AV$67,'Data_Matrix (2018)'!BE$2:BE$67)</f>
        <v>0.10740168407130068</v>
      </c>
      <c r="BF52" s="9">
        <f>_xlfn.COVARIANCE.P('Data_Matrix (2018)'!$AV$2:$AV$67,'Data_Matrix (2018)'!BF$2:BF$67)</f>
        <v>3.2807983557072459E-3</v>
      </c>
      <c r="BG52" s="9">
        <f>_xlfn.COVARIANCE.P('Data_Matrix (2018)'!$AV$2:$AV$67,'Data_Matrix (2018)'!BG$2:BG$67)</f>
        <v>2.0609907815379531E-2</v>
      </c>
      <c r="BH52" s="9">
        <f>_xlfn.COVARIANCE.P('Data_Matrix (2018)'!$AV$2:$AV$67,'Data_Matrix (2018)'!BH$2:BH$67)</f>
        <v>9.9391366010329441E-2</v>
      </c>
      <c r="BI52" s="9">
        <f>_xlfn.COVARIANCE.P('Data_Matrix (2018)'!$AV$2:$AV$67,'Data_Matrix (2018)'!BI$2:BI$67)</f>
        <v>8.0756924664495536E-2</v>
      </c>
      <c r="BJ52" s="9">
        <f>_xlfn.COVARIANCE.P('Data_Matrix (2018)'!$AV$2:$AV$67,'Data_Matrix (2018)'!BJ$2:BJ$67)</f>
        <v>9.2991866045399413E-2</v>
      </c>
      <c r="BK52" s="9">
        <f>_xlfn.COVARIANCE.P('Data_Matrix (2018)'!$AV$2:$AV$67,'Data_Matrix (2018)'!BK$2:BK$67)</f>
        <v>1.8248949218516129E-2</v>
      </c>
      <c r="BL52" s="9">
        <f>_xlfn.COVARIANCE.P('Data_Matrix (2018)'!$AV$2:$AV$67,'Data_Matrix (2018)'!BL$2:BL$67)</f>
        <v>6.4147930388727348E-2</v>
      </c>
      <c r="BM52" s="9">
        <f>_xlfn.COVARIANCE.P('Data_Matrix (2018)'!$AV$2:$AV$67,'Data_Matrix (2018)'!BM$2:BM$67)</f>
        <v>3.6696742946522001E-3</v>
      </c>
      <c r="BN52" s="9">
        <f>_xlfn.COVARIANCE.P('Data_Matrix (2018)'!$AV$2:$AV$67,'Data_Matrix (2018)'!BN$2:BN$67)</f>
        <v>-2.100905131647306E-3</v>
      </c>
      <c r="BO52" s="9">
        <f>_xlfn.COVARIANCE.P('Data_Matrix (2018)'!$AV$2:$AV$67,'Data_Matrix (2018)'!BO$2:BO$67)</f>
        <v>-2.0040095458870113E-4</v>
      </c>
    </row>
    <row r="53" spans="2:67" x14ac:dyDescent="0.2">
      <c r="B53" s="9">
        <f>_xlfn.COVARIANCE.P('Data_Matrix (2018)'!$AW$2:$AW$67,'Data_Matrix (2018)'!B$2:B$67)</f>
        <v>-1920.3033984894835</v>
      </c>
      <c r="C53" s="9">
        <f>_xlfn.COVARIANCE.P('Data_Matrix (2018)'!$AW$2:$AW$67,'Data_Matrix (2018)'!C$2:C$67)</f>
        <v>134.54436922554751</v>
      </c>
      <c r="D53" s="9">
        <f>_xlfn.COVARIANCE.P('Data_Matrix (2018)'!$AW$2:$AW$67,'Data_Matrix (2018)'!D$2:D$67)</f>
        <v>-867.22504237985095</v>
      </c>
      <c r="E53" s="9">
        <f>_xlfn.COVARIANCE.P('Data_Matrix (2018)'!$AW$2:$AW$67,'Data_Matrix (2018)'!E$2:E$67)</f>
        <v>4.9132727264993648</v>
      </c>
      <c r="F53" s="9">
        <f>_xlfn.COVARIANCE.P('Data_Matrix (2018)'!$AW$2:$AW$67,'Data_Matrix (2018)'!F$2:F$67)</f>
        <v>-558.63145652235266</v>
      </c>
      <c r="G53" s="9">
        <f>_xlfn.COVARIANCE.P('Data_Matrix (2018)'!$AW$2:$AW$67,'Data_Matrix (2018)'!G$2:G$67)</f>
        <v>-414.27797286731288</v>
      </c>
      <c r="H53" s="9">
        <f>_xlfn.COVARIANCE.P('Data_Matrix (2018)'!$AW$2:$AW$67,'Data_Matrix (2018)'!H$2:H$67)</f>
        <v>-455.08380329955889</v>
      </c>
      <c r="I53" s="9">
        <f>_xlfn.COVARIANCE.P('Data_Matrix (2018)'!$AW$2:$AW$67,'Data_Matrix (2018)'!I$2:I$67)</f>
        <v>1.5292763227941859</v>
      </c>
      <c r="J53" s="9">
        <f>_xlfn.COVARIANCE.P('Data_Matrix (2018)'!$AW$2:$AW$67,'Data_Matrix (2018)'!J$2:J$67)</f>
        <v>-266.78000114389238</v>
      </c>
      <c r="K53" s="9">
        <f>_xlfn.COVARIANCE.P('Data_Matrix (2018)'!$AW$2:$AW$67,'Data_Matrix (2018)'!K$2:K$67)</f>
        <v>-194.77901793456431</v>
      </c>
      <c r="L53" s="9">
        <f>_xlfn.COVARIANCE.P('Data_Matrix (2018)'!$AW$2:$AW$67,'Data_Matrix (2018)'!L$2:L$67)</f>
        <v>-30.719375847759736</v>
      </c>
      <c r="M53" s="9">
        <f>_xlfn.COVARIANCE.P('Data_Matrix (2018)'!$AW$2:$AW$67,'Data_Matrix (2018)'!M$2:M$67)</f>
        <v>-55.858457409762281</v>
      </c>
      <c r="N53" s="9">
        <f>_xlfn.COVARIANCE.P('Data_Matrix (2018)'!$AW$2:$AW$67,'Data_Matrix (2018)'!N$2:N$67)</f>
        <v>-89.085339324367666</v>
      </c>
      <c r="O53" s="9">
        <f>_xlfn.COVARIANCE.P('Data_Matrix (2018)'!$AW$2:$AW$67,'Data_Matrix (2018)'!O$2:O$67)</f>
        <v>-38.515062810645894</v>
      </c>
      <c r="P53" s="9">
        <f>_xlfn.COVARIANCE.P('Data_Matrix (2018)'!$AW$2:$AW$67,'Data_Matrix (2018)'!P$2:P$67)</f>
        <v>179.2228143998328</v>
      </c>
      <c r="Q53" s="9">
        <f>_xlfn.COVARIANCE.P('Data_Matrix (2018)'!$AW$2:$AW$67,'Data_Matrix (2018)'!Q$2:Q$67)</f>
        <v>-37.967780190699806</v>
      </c>
      <c r="R53" s="9">
        <f>_xlfn.COVARIANCE.P('Data_Matrix (2018)'!$AW$2:$AW$67,'Data_Matrix (2018)'!R$2:R$67)</f>
        <v>-18.443198625051977</v>
      </c>
      <c r="S53" s="9">
        <f>_xlfn.COVARIANCE.P('Data_Matrix (2018)'!$AW$2:$AW$67,'Data_Matrix (2018)'!S$2:S$67)</f>
        <v>-34.491967879349595</v>
      </c>
      <c r="T53" s="9">
        <f>_xlfn.COVARIANCE.P('Data_Matrix (2018)'!$AW$2:$AW$67,'Data_Matrix (2018)'!T$2:T$67)</f>
        <v>-8.4382330556462097</v>
      </c>
      <c r="U53" s="9">
        <f>_xlfn.COVARIANCE.P('Data_Matrix (2018)'!$AW$2:$AW$67,'Data_Matrix (2018)'!U$2:U$67)</f>
        <v>5.9169294750735455</v>
      </c>
      <c r="V53" s="9">
        <f>_xlfn.COVARIANCE.P('Data_Matrix (2018)'!$AW$2:$AW$67,'Data_Matrix (2018)'!V$2:V$67)</f>
        <v>42.844531713779517</v>
      </c>
      <c r="W53" s="9">
        <f>_xlfn.COVARIANCE.P('Data_Matrix (2018)'!$AW$2:$AW$67,'Data_Matrix (2018)'!W$2:W$67)</f>
        <v>13.831728082644403</v>
      </c>
      <c r="X53" s="9">
        <f>_xlfn.COVARIANCE.P('Data_Matrix (2018)'!$AW$2:$AW$67,'Data_Matrix (2018)'!X$2:X$67)</f>
        <v>-4.2409765653217777</v>
      </c>
      <c r="Y53" s="9">
        <f>_xlfn.COVARIANCE.P('Data_Matrix (2018)'!$AW$2:$AW$67,'Data_Matrix (2018)'!Y$2:Y$67)</f>
        <v>3.2629986397874751</v>
      </c>
      <c r="Z53" s="9">
        <f>_xlfn.COVARIANCE.P('Data_Matrix (2018)'!$AW$2:$AW$67,'Data_Matrix (2018)'!Z$2:Z$67)</f>
        <v>-2.0622000526380799</v>
      </c>
      <c r="AA53" s="9">
        <f>_xlfn.COVARIANCE.P('Data_Matrix (2018)'!$AW$2:$AW$67,'Data_Matrix (2018)'!AA$2:AA$67)</f>
        <v>-10.232567087237772</v>
      </c>
      <c r="AB53" s="9">
        <f>_xlfn.COVARIANCE.P('Data_Matrix (2018)'!$AW$2:$AW$67,'Data_Matrix (2018)'!AB$2:AB$67)</f>
        <v>-2.7797067998150422</v>
      </c>
      <c r="AC53" s="9">
        <f>_xlfn.COVARIANCE.P('Data_Matrix (2018)'!$AW$2:$AW$67,'Data_Matrix (2018)'!AC$2:AC$67)</f>
        <v>-3.8679291577547752</v>
      </c>
      <c r="AD53" s="9">
        <f>_xlfn.COVARIANCE.P('Data_Matrix (2018)'!$AW$2:$AW$67,'Data_Matrix (2018)'!AD$2:AD$67)</f>
        <v>-2.2902821189923226</v>
      </c>
      <c r="AE53" s="9">
        <f>_xlfn.COVARIANCE.P('Data_Matrix (2018)'!$AW$2:$AW$67,'Data_Matrix (2018)'!AE$2:AE$67)</f>
        <v>-3.8377629109890274</v>
      </c>
      <c r="AF53" s="9">
        <f>_xlfn.COVARIANCE.P('Data_Matrix (2018)'!$AW$2:$AW$67,'Data_Matrix (2018)'!AF$2:AF$67)</f>
        <v>-0.89551080048534737</v>
      </c>
      <c r="AG53" s="9">
        <f>_xlfn.COVARIANCE.P('Data_Matrix (2018)'!$AW$2:$AW$67,'Data_Matrix (2018)'!AG$2:AG$67)</f>
        <v>0.43068423492106117</v>
      </c>
      <c r="AH53" s="9">
        <f>_xlfn.COVARIANCE.P('Data_Matrix (2018)'!$AW$2:$AW$67,'Data_Matrix (2018)'!AH$2:AH$67)</f>
        <v>-5.7060573880186451</v>
      </c>
      <c r="AI53" s="9">
        <f>_xlfn.COVARIANCE.P('Data_Matrix (2018)'!$AW$2:$AW$67,'Data_Matrix (2018)'!AI$2:AI$67)</f>
        <v>1.3038105360237697</v>
      </c>
      <c r="AJ53" s="9">
        <f>_xlfn.COVARIANCE.P('Data_Matrix (2018)'!$AW$2:$AW$67,'Data_Matrix (2018)'!AJ$2:AJ$67)</f>
        <v>0.66792496062783291</v>
      </c>
      <c r="AK53" s="9">
        <f>_xlfn.COVARIANCE.P('Data_Matrix (2018)'!$AW$2:$AW$67,'Data_Matrix (2018)'!AK$2:AK$67)</f>
        <v>4.2840911371914139</v>
      </c>
      <c r="AL53" s="9">
        <f>_xlfn.COVARIANCE.P('Data_Matrix (2018)'!$AW$2:$AW$67,'Data_Matrix (2018)'!AL$2:AL$67)</f>
        <v>42.621334242481133</v>
      </c>
      <c r="AM53" s="9">
        <f>_xlfn.COVARIANCE.P('Data_Matrix (2018)'!$AW$2:$AW$67,'Data_Matrix (2018)'!AM$2:AM$67)</f>
        <v>4.216819912724568</v>
      </c>
      <c r="AN53" s="9">
        <f>_xlfn.COVARIANCE.P('Data_Matrix (2018)'!$AW$2:$AW$67,'Data_Matrix (2018)'!AN$2:AN$67)</f>
        <v>1.9337207134232279</v>
      </c>
      <c r="AO53" s="9">
        <f>_xlfn.COVARIANCE.P('Data_Matrix (2018)'!$AW$2:$AW$67,'Data_Matrix (2018)'!AO$2:AO$67)</f>
        <v>1.5496341577226473</v>
      </c>
      <c r="AP53" s="9">
        <f>_xlfn.COVARIANCE.P('Data_Matrix (2018)'!$AW$2:$AW$67,'Data_Matrix (2018)'!AP$2:AP$67)</f>
        <v>5.5470313435606142</v>
      </c>
      <c r="AQ53" s="9">
        <f>_xlfn.COVARIANCE.P('Data_Matrix (2018)'!$AW$2:$AW$67,'Data_Matrix (2018)'!AQ$2:AQ$67)</f>
        <v>0.71045271959941036</v>
      </c>
      <c r="AR53" s="9">
        <f>_xlfn.COVARIANCE.P('Data_Matrix (2018)'!$AW$2:$AW$67,'Data_Matrix (2018)'!AR$2:AR$67)</f>
        <v>2.7464329840257413</v>
      </c>
      <c r="AS53" s="9">
        <f>_xlfn.COVARIANCE.P('Data_Matrix (2018)'!$AW$2:$AW$67,'Data_Matrix (2018)'!AS$2:AS$67)</f>
        <v>1.393001560081748</v>
      </c>
      <c r="AT53" s="9">
        <f>_xlfn.COVARIANCE.P('Data_Matrix (2018)'!$AW$2:$AW$67,'Data_Matrix (2018)'!AT$2:AT$67)</f>
        <v>-9.7268505396855401E-2</v>
      </c>
      <c r="AU53" s="9">
        <f>_xlfn.COVARIANCE.P('Data_Matrix (2018)'!$AW$2:$AW$67,'Data_Matrix (2018)'!AU$2:AU$67)</f>
        <v>2.9737977990672566</v>
      </c>
      <c r="AV53" s="9">
        <f>_xlfn.COVARIANCE.P('Data_Matrix (2018)'!$AW$2:$AW$67,'Data_Matrix (2018)'!AV$2:AV$67)</f>
        <v>1.4666872688384873</v>
      </c>
      <c r="AW53" s="9">
        <f>_xlfn.COVARIANCE.P('Data_Matrix (2018)'!$AW$2:$AW$67,'Data_Matrix (2018)'!AW$2:AW$67)</f>
        <v>13.702193460029884</v>
      </c>
      <c r="AX53" s="9">
        <f>_xlfn.COVARIANCE.P('Data_Matrix (2018)'!$AW$2:$AW$67,'Data_Matrix (2018)'!AX$2:AX$67)</f>
        <v>1.1582097709319681</v>
      </c>
      <c r="AY53" s="9">
        <f>_xlfn.COVARIANCE.P('Data_Matrix (2018)'!$AW$2:$AW$67,'Data_Matrix (2018)'!AY$2:AY$67)</f>
        <v>0.3216703984576284</v>
      </c>
      <c r="AZ53" s="9">
        <f>_xlfn.COVARIANCE.P('Data_Matrix (2018)'!$AW$2:$AW$67,'Data_Matrix (2018)'!AZ$2:AZ$67)</f>
        <v>1.0960112265693924</v>
      </c>
      <c r="BA53" s="9">
        <f>_xlfn.COVARIANCE.P('Data_Matrix (2018)'!$AW$2:$AW$67,'Data_Matrix (2018)'!BA$2:BA$67)</f>
        <v>-4.2896420294338537E-2</v>
      </c>
      <c r="BB53" s="9">
        <f>_xlfn.COVARIANCE.P('Data_Matrix (2018)'!$AW$2:$AW$67,'Data_Matrix (2018)'!BB$2:BB$67)</f>
        <v>0.48207485720101334</v>
      </c>
      <c r="BC53" s="9">
        <f>_xlfn.COVARIANCE.P('Data_Matrix (2018)'!$AW$2:$AW$67,'Data_Matrix (2018)'!BC$2:BC$67)</f>
        <v>-1.4142093111028044E-2</v>
      </c>
      <c r="BD53" s="9">
        <f>_xlfn.COVARIANCE.P('Data_Matrix (2018)'!$AW$2:$AW$67,'Data_Matrix (2018)'!BD$2:BD$67)</f>
        <v>-0.12682461602212641</v>
      </c>
      <c r="BE53" s="9">
        <f>_xlfn.COVARIANCE.P('Data_Matrix (2018)'!$AW$2:$AW$67,'Data_Matrix (2018)'!BE$2:BE$67)</f>
        <v>0.11501644637384098</v>
      </c>
      <c r="BF53" s="9">
        <f>_xlfn.COVARIANCE.P('Data_Matrix (2018)'!$AW$2:$AW$67,'Data_Matrix (2018)'!BF$2:BF$67)</f>
        <v>-9.1459569570234572E-3</v>
      </c>
      <c r="BG53" s="9">
        <f>_xlfn.COVARIANCE.P('Data_Matrix (2018)'!$AW$2:$AW$67,'Data_Matrix (2018)'!BG$2:BG$67)</f>
        <v>4.3557302881308321E-3</v>
      </c>
      <c r="BH53" s="9">
        <f>_xlfn.COVARIANCE.P('Data_Matrix (2018)'!$AW$2:$AW$67,'Data_Matrix (2018)'!BH$2:BH$67)</f>
        <v>2.8613893846076335E-2</v>
      </c>
      <c r="BI53" s="9">
        <f>_xlfn.COVARIANCE.P('Data_Matrix (2018)'!$AW$2:$AW$67,'Data_Matrix (2018)'!BI$2:BI$67)</f>
        <v>9.839621439995587E-2</v>
      </c>
      <c r="BJ53" s="9">
        <f>_xlfn.COVARIANCE.P('Data_Matrix (2018)'!$AW$2:$AW$67,'Data_Matrix (2018)'!BJ$2:BJ$67)</f>
        <v>1.0690248608470286E-2</v>
      </c>
      <c r="BK53" s="9">
        <f>_xlfn.COVARIANCE.P('Data_Matrix (2018)'!$AW$2:$AW$67,'Data_Matrix (2018)'!BK$2:BK$67)</f>
        <v>4.9323560634331942E-3</v>
      </c>
      <c r="BL53" s="9">
        <f>_xlfn.COVARIANCE.P('Data_Matrix (2018)'!$AW$2:$AW$67,'Data_Matrix (2018)'!BL$2:BL$67)</f>
        <v>-2.5907834195869554E-2</v>
      </c>
      <c r="BM53" s="9">
        <f>_xlfn.COVARIANCE.P('Data_Matrix (2018)'!$AW$2:$AW$67,'Data_Matrix (2018)'!BM$2:BM$67)</f>
        <v>-9.2374447890247562E-4</v>
      </c>
      <c r="BN53" s="9">
        <f>_xlfn.COVARIANCE.P('Data_Matrix (2018)'!$AW$2:$AW$67,'Data_Matrix (2018)'!BN$2:BN$67)</f>
        <v>-2.8071010487616833E-3</v>
      </c>
      <c r="BO53" s="9">
        <f>_xlfn.COVARIANCE.P('Data_Matrix (2018)'!$AW$2:$AW$67,'Data_Matrix (2018)'!BO$2:BO$67)</f>
        <v>-3.2157923454676136E-4</v>
      </c>
    </row>
    <row r="54" spans="2:67" x14ac:dyDescent="0.2">
      <c r="B54" s="9">
        <f>_xlfn.COVARIANCE.P('Data_Matrix (2018)'!$AX$2:$AX$67,'Data_Matrix (2018)'!B$2:B$67)</f>
        <v>1624.9073697289632</v>
      </c>
      <c r="C54" s="9">
        <f>_xlfn.COVARIANCE.P('Data_Matrix (2018)'!$AX$2:$AX$67,'Data_Matrix (2018)'!C$2:C$67)</f>
        <v>399.4746606546305</v>
      </c>
      <c r="D54" s="9">
        <f>_xlfn.COVARIANCE.P('Data_Matrix (2018)'!$AX$2:$AX$67,'Data_Matrix (2018)'!D$2:D$67)</f>
        <v>-373.90434797469504</v>
      </c>
      <c r="E54" s="9">
        <f>_xlfn.COVARIANCE.P('Data_Matrix (2018)'!$AX$2:$AX$67,'Data_Matrix (2018)'!E$2:E$67)</f>
        <v>563.97984078511024</v>
      </c>
      <c r="F54" s="9">
        <f>_xlfn.COVARIANCE.P('Data_Matrix (2018)'!$AX$2:$AX$67,'Data_Matrix (2018)'!F$2:F$67)</f>
        <v>1144.6976793807028</v>
      </c>
      <c r="G54" s="9">
        <f>_xlfn.COVARIANCE.P('Data_Matrix (2018)'!$AX$2:$AX$67,'Data_Matrix (2018)'!G$2:G$67)</f>
        <v>-348.05828156757912</v>
      </c>
      <c r="H54" s="9">
        <f>_xlfn.COVARIANCE.P('Data_Matrix (2018)'!$AX$2:$AX$67,'Data_Matrix (2018)'!H$2:H$67)</f>
        <v>60.14897183800209</v>
      </c>
      <c r="I54" s="9">
        <f>_xlfn.COVARIANCE.P('Data_Matrix (2018)'!$AX$2:$AX$67,'Data_Matrix (2018)'!I$2:I$67)</f>
        <v>120.84678117342168</v>
      </c>
      <c r="J54" s="9">
        <f>_xlfn.COVARIANCE.P('Data_Matrix (2018)'!$AX$2:$AX$67,'Data_Matrix (2018)'!J$2:J$67)</f>
        <v>-187.32756294061238</v>
      </c>
      <c r="K54" s="9">
        <f>_xlfn.COVARIANCE.P('Data_Matrix (2018)'!$AX$2:$AX$67,'Data_Matrix (2018)'!K$2:K$67)</f>
        <v>251.18487810378306</v>
      </c>
      <c r="L54" s="9">
        <f>_xlfn.COVARIANCE.P('Data_Matrix (2018)'!$AX$2:$AX$67,'Data_Matrix (2018)'!L$2:L$67)</f>
        <v>172.1276335253724</v>
      </c>
      <c r="M54" s="9">
        <f>_xlfn.COVARIANCE.P('Data_Matrix (2018)'!$AX$2:$AX$67,'Data_Matrix (2018)'!M$2:M$67)</f>
        <v>96.292262251286516</v>
      </c>
      <c r="N54" s="9">
        <f>_xlfn.COVARIANCE.P('Data_Matrix (2018)'!$AX$2:$AX$67,'Data_Matrix (2018)'!N$2:N$67)</f>
        <v>-116.8318066166748</v>
      </c>
      <c r="O54" s="9">
        <f>_xlfn.COVARIANCE.P('Data_Matrix (2018)'!$AX$2:$AX$67,'Data_Matrix (2018)'!O$2:O$67)</f>
        <v>42.357503089742195</v>
      </c>
      <c r="P54" s="9">
        <f>_xlfn.COVARIANCE.P('Data_Matrix (2018)'!$AX$2:$AX$67,'Data_Matrix (2018)'!P$2:P$67)</f>
        <v>42.16539382816471</v>
      </c>
      <c r="Q54" s="9">
        <f>_xlfn.COVARIANCE.P('Data_Matrix (2018)'!$AX$2:$AX$67,'Data_Matrix (2018)'!Q$2:Q$67)</f>
        <v>65.433085905800937</v>
      </c>
      <c r="R54" s="9">
        <f>_xlfn.COVARIANCE.P('Data_Matrix (2018)'!$AX$2:$AX$67,'Data_Matrix (2018)'!R$2:R$67)</f>
        <v>25.298663342891107</v>
      </c>
      <c r="S54" s="9">
        <f>_xlfn.COVARIANCE.P('Data_Matrix (2018)'!$AX$2:$AX$67,'Data_Matrix (2018)'!S$2:S$67)</f>
        <v>47.481594221972813</v>
      </c>
      <c r="T54" s="9">
        <f>_xlfn.COVARIANCE.P('Data_Matrix (2018)'!$AX$2:$AX$67,'Data_Matrix (2018)'!T$2:T$67)</f>
        <v>25.92039732015915</v>
      </c>
      <c r="U54" s="9">
        <f>_xlfn.COVARIANCE.P('Data_Matrix (2018)'!$AX$2:$AX$67,'Data_Matrix (2018)'!U$2:U$67)</f>
        <v>49.376298888941854</v>
      </c>
      <c r="V54" s="9">
        <f>_xlfn.COVARIANCE.P('Data_Matrix (2018)'!$AX$2:$AX$67,'Data_Matrix (2018)'!V$2:V$67)</f>
        <v>25.84764021725228</v>
      </c>
      <c r="W54" s="9">
        <f>_xlfn.COVARIANCE.P('Data_Matrix (2018)'!$AX$2:$AX$67,'Data_Matrix (2018)'!W$2:W$67)</f>
        <v>0.90113258171960353</v>
      </c>
      <c r="X54" s="9">
        <f>_xlfn.COVARIANCE.P('Data_Matrix (2018)'!$AX$2:$AX$67,'Data_Matrix (2018)'!X$2:X$67)</f>
        <v>20.065813105572673</v>
      </c>
      <c r="Y54" s="9">
        <f>_xlfn.COVARIANCE.P('Data_Matrix (2018)'!$AX$2:$AX$67,'Data_Matrix (2018)'!Y$2:Y$67)</f>
        <v>15.808077052388143</v>
      </c>
      <c r="Z54" s="9">
        <f>_xlfn.COVARIANCE.P('Data_Matrix (2018)'!$AX$2:$AX$67,'Data_Matrix (2018)'!Z$2:Z$67)</f>
        <v>19.419420341975375</v>
      </c>
      <c r="AA54" s="9">
        <f>_xlfn.COVARIANCE.P('Data_Matrix (2018)'!$AX$2:$AX$67,'Data_Matrix (2018)'!AA$2:AA$67)</f>
        <v>-3.1868247822438822</v>
      </c>
      <c r="AB54" s="9">
        <f>_xlfn.COVARIANCE.P('Data_Matrix (2018)'!$AX$2:$AX$67,'Data_Matrix (2018)'!AB$2:AB$67)</f>
        <v>-2.9860967824629938</v>
      </c>
      <c r="AC54" s="9">
        <f>_xlfn.COVARIANCE.P('Data_Matrix (2018)'!$AX$2:$AX$67,'Data_Matrix (2018)'!AC$2:AC$67)</f>
        <v>11.773565219571525</v>
      </c>
      <c r="AD54" s="9">
        <f>_xlfn.COVARIANCE.P('Data_Matrix (2018)'!$AX$2:$AX$67,'Data_Matrix (2018)'!AD$2:AD$67)</f>
        <v>1.9553832574085872</v>
      </c>
      <c r="AE54" s="9">
        <f>_xlfn.COVARIANCE.P('Data_Matrix (2018)'!$AX$2:$AX$67,'Data_Matrix (2018)'!AE$2:AE$67)</f>
        <v>8.8761267495074225</v>
      </c>
      <c r="AF54" s="9">
        <f>_xlfn.COVARIANCE.P('Data_Matrix (2018)'!$AX$2:$AX$67,'Data_Matrix (2018)'!AF$2:AF$67)</f>
        <v>6.4035654757378824</v>
      </c>
      <c r="AG54" s="9">
        <f>_xlfn.COVARIANCE.P('Data_Matrix (2018)'!$AX$2:$AX$67,'Data_Matrix (2018)'!AG$2:AG$67)</f>
        <v>15.136326768420258</v>
      </c>
      <c r="AH54" s="9">
        <f>_xlfn.COVARIANCE.P('Data_Matrix (2018)'!$AX$2:$AX$67,'Data_Matrix (2018)'!AH$2:AH$67)</f>
        <v>2.0538569434189724</v>
      </c>
      <c r="AI54" s="9">
        <f>_xlfn.COVARIANCE.P('Data_Matrix (2018)'!$AX$2:$AX$67,'Data_Matrix (2018)'!AI$2:AI$67)</f>
        <v>1.122095442620392</v>
      </c>
      <c r="AJ54" s="9">
        <f>_xlfn.COVARIANCE.P('Data_Matrix (2018)'!$AX$2:$AX$67,'Data_Matrix (2018)'!AJ$2:AJ$67)</f>
        <v>1.4904435897552291</v>
      </c>
      <c r="AK54" s="9">
        <f>_xlfn.COVARIANCE.P('Data_Matrix (2018)'!$AX$2:$AX$67,'Data_Matrix (2018)'!AK$2:AK$67)</f>
        <v>7.612110094895769</v>
      </c>
      <c r="AL54" s="9">
        <f>_xlfn.COVARIANCE.P('Data_Matrix (2018)'!$AX$2:$AX$67,'Data_Matrix (2018)'!AL$2:AL$67)</f>
        <v>-0.13431064883686913</v>
      </c>
      <c r="AM54" s="9">
        <f>_xlfn.COVARIANCE.P('Data_Matrix (2018)'!$AX$2:$AX$67,'Data_Matrix (2018)'!AM$2:AM$67)</f>
        <v>2.4379008963231432</v>
      </c>
      <c r="AN54" s="9">
        <f>_xlfn.COVARIANCE.P('Data_Matrix (2018)'!$AX$2:$AX$67,'Data_Matrix (2018)'!AN$2:AN$67)</f>
        <v>8.5321979397360206</v>
      </c>
      <c r="AO54" s="9">
        <f>_xlfn.COVARIANCE.P('Data_Matrix (2018)'!$AX$2:$AX$67,'Data_Matrix (2018)'!AO$2:AO$67)</f>
        <v>3.0608744893139761</v>
      </c>
      <c r="AP54" s="9">
        <f>_xlfn.COVARIANCE.P('Data_Matrix (2018)'!$AX$2:$AX$67,'Data_Matrix (2018)'!AP$2:AP$67)</f>
        <v>4.6229633857443275</v>
      </c>
      <c r="AQ54" s="9">
        <f>_xlfn.COVARIANCE.P('Data_Matrix (2018)'!$AX$2:$AX$67,'Data_Matrix (2018)'!AQ$2:AQ$67)</f>
        <v>3.2825704646885181</v>
      </c>
      <c r="AR54" s="9">
        <f>_xlfn.COVARIANCE.P('Data_Matrix (2018)'!$AX$2:$AX$67,'Data_Matrix (2018)'!AR$2:AR$67)</f>
        <v>0.93524075858511702</v>
      </c>
      <c r="AS54" s="9">
        <f>_xlfn.COVARIANCE.P('Data_Matrix (2018)'!$AX$2:$AX$67,'Data_Matrix (2018)'!AS$2:AS$67)</f>
        <v>-0.72373306590049435</v>
      </c>
      <c r="AT54" s="9">
        <f>_xlfn.COVARIANCE.P('Data_Matrix (2018)'!$AX$2:$AX$67,'Data_Matrix (2018)'!AT$2:AT$67)</f>
        <v>6.3526609311711439</v>
      </c>
      <c r="AU54" s="9">
        <f>_xlfn.COVARIANCE.P('Data_Matrix (2018)'!$AX$2:$AX$67,'Data_Matrix (2018)'!AU$2:AU$67)</f>
        <v>-0.22495497957705626</v>
      </c>
      <c r="AV54" s="9">
        <f>_xlfn.COVARIANCE.P('Data_Matrix (2018)'!$AX$2:$AX$67,'Data_Matrix (2018)'!AV$2:AV$67)</f>
        <v>3.6614457928097157</v>
      </c>
      <c r="AW54" s="9">
        <f>_xlfn.COVARIANCE.P('Data_Matrix (2018)'!$AX$2:$AX$67,'Data_Matrix (2018)'!AW$2:AW$67)</f>
        <v>1.1582097709319681</v>
      </c>
      <c r="AX54" s="9">
        <f>_xlfn.COVARIANCE.P('Data_Matrix (2018)'!$AX$2:$AX$67,'Data_Matrix (2018)'!AX$2:AX$67)</f>
        <v>14.255310235142151</v>
      </c>
      <c r="AY54" s="9">
        <f>_xlfn.COVARIANCE.P('Data_Matrix (2018)'!$AX$2:$AX$67,'Data_Matrix (2018)'!AY$2:AY$67)</f>
        <v>0.31984415460132254</v>
      </c>
      <c r="AZ54" s="9">
        <f>_xlfn.COVARIANCE.P('Data_Matrix (2018)'!$AX$2:$AX$67,'Data_Matrix (2018)'!AZ$2:AZ$67)</f>
        <v>5.2252686307970437</v>
      </c>
      <c r="BA54" s="9">
        <f>_xlfn.COVARIANCE.P('Data_Matrix (2018)'!$AX$2:$AX$67,'Data_Matrix (2018)'!BA$2:BA$67)</f>
        <v>3.9202851581114709E-2</v>
      </c>
      <c r="BB54" s="9">
        <f>_xlfn.COVARIANCE.P('Data_Matrix (2018)'!$AX$2:$AX$67,'Data_Matrix (2018)'!BB$2:BB$67)</f>
        <v>0.7207047583665892</v>
      </c>
      <c r="BC54" s="9">
        <f>_xlfn.COVARIANCE.P('Data_Matrix (2018)'!$AX$2:$AX$67,'Data_Matrix (2018)'!BC$2:BC$67)</f>
        <v>-0.11780521241073225</v>
      </c>
      <c r="BD54" s="9">
        <f>_xlfn.COVARIANCE.P('Data_Matrix (2018)'!$AX$2:$AX$67,'Data_Matrix (2018)'!BD$2:BD$67)</f>
        <v>1.4522331315875925</v>
      </c>
      <c r="BE54" s="9">
        <f>_xlfn.COVARIANCE.P('Data_Matrix (2018)'!$AX$2:$AX$67,'Data_Matrix (2018)'!BE$2:BE$67)</f>
        <v>4.0037117314719317E-2</v>
      </c>
      <c r="BF54" s="9">
        <f>_xlfn.COVARIANCE.P('Data_Matrix (2018)'!$AX$2:$AX$67,'Data_Matrix (2018)'!BF$2:BF$67)</f>
        <v>-8.1610481982365981E-4</v>
      </c>
      <c r="BG54" s="9">
        <f>_xlfn.COVARIANCE.P('Data_Matrix (2018)'!$AX$2:$AX$67,'Data_Matrix (2018)'!BG$2:BG$67)</f>
        <v>1.3857301460194323E-2</v>
      </c>
      <c r="BH54" s="9">
        <f>_xlfn.COVARIANCE.P('Data_Matrix (2018)'!$AX$2:$AX$67,'Data_Matrix (2018)'!BH$2:BH$67)</f>
        <v>2.9170809189727174E-2</v>
      </c>
      <c r="BI54" s="9">
        <f>_xlfn.COVARIANCE.P('Data_Matrix (2018)'!$AX$2:$AX$67,'Data_Matrix (2018)'!BI$2:BI$67)</f>
        <v>4.2054494850310854E-2</v>
      </c>
      <c r="BJ54" s="9">
        <f>_xlfn.COVARIANCE.P('Data_Matrix (2018)'!$AX$2:$AX$67,'Data_Matrix (2018)'!BJ$2:BJ$67)</f>
        <v>6.9510213885036018E-2</v>
      </c>
      <c r="BK54" s="9">
        <f>_xlfn.COVARIANCE.P('Data_Matrix (2018)'!$AX$2:$AX$67,'Data_Matrix (2018)'!BK$2:BK$67)</f>
        <v>3.3383043314491137E-3</v>
      </c>
      <c r="BL54" s="9">
        <f>_xlfn.COVARIANCE.P('Data_Matrix (2018)'!$AX$2:$AX$67,'Data_Matrix (2018)'!BL$2:BL$67)</f>
        <v>-8.1381743218867045E-3</v>
      </c>
      <c r="BM54" s="9">
        <f>_xlfn.COVARIANCE.P('Data_Matrix (2018)'!$AX$2:$AX$67,'Data_Matrix (2018)'!BM$2:BM$67)</f>
        <v>2.2852866023549186E-3</v>
      </c>
      <c r="BN54" s="9">
        <f>_xlfn.COVARIANCE.P('Data_Matrix (2018)'!$AX$2:$AX$67,'Data_Matrix (2018)'!BN$2:BN$67)</f>
        <v>-2.7414229863764249E-3</v>
      </c>
      <c r="BO54" s="9">
        <f>_xlfn.COVARIANCE.P('Data_Matrix (2018)'!$AX$2:$AX$67,'Data_Matrix (2018)'!BO$2:BO$67)</f>
        <v>-2.9803533223301631E-4</v>
      </c>
    </row>
    <row r="55" spans="2:67" x14ac:dyDescent="0.2">
      <c r="B55" s="9">
        <f>_xlfn.COVARIANCE.P('Data_Matrix (2018)'!$AY$2:$AY$67,'Data_Matrix (2018)'!B$2:B$67)</f>
        <v>300.43624163547287</v>
      </c>
      <c r="C55" s="9">
        <f>_xlfn.COVARIANCE.P('Data_Matrix (2018)'!$AY$2:$AY$67,'Data_Matrix (2018)'!C$2:C$67)</f>
        <v>1716.0898768983589</v>
      </c>
      <c r="D55" s="9">
        <f>_xlfn.COVARIANCE.P('Data_Matrix (2018)'!$AY$2:$AY$67,'Data_Matrix (2018)'!D$2:D$67)</f>
        <v>814.66346254373411</v>
      </c>
      <c r="E55" s="9">
        <f>_xlfn.COVARIANCE.P('Data_Matrix (2018)'!$AY$2:$AY$67,'Data_Matrix (2018)'!E$2:E$67)</f>
        <v>421.87241171016308</v>
      </c>
      <c r="F55" s="9">
        <f>_xlfn.COVARIANCE.P('Data_Matrix (2018)'!$AY$2:$AY$67,'Data_Matrix (2018)'!F$2:F$67)</f>
        <v>92.247317059077432</v>
      </c>
      <c r="G55" s="9">
        <f>_xlfn.COVARIANCE.P('Data_Matrix (2018)'!$AY$2:$AY$67,'Data_Matrix (2018)'!G$2:G$67)</f>
        <v>687.58367326266546</v>
      </c>
      <c r="H55" s="9">
        <f>_xlfn.COVARIANCE.P('Data_Matrix (2018)'!$AY$2:$AY$67,'Data_Matrix (2018)'!H$2:H$67)</f>
        <v>172.71191963525908</v>
      </c>
      <c r="I55" s="9">
        <f>_xlfn.COVARIANCE.P('Data_Matrix (2018)'!$AY$2:$AY$67,'Data_Matrix (2018)'!I$2:I$67)</f>
        <v>370.02559490552767</v>
      </c>
      <c r="J55" s="9">
        <f>_xlfn.COVARIANCE.P('Data_Matrix (2018)'!$AY$2:$AY$67,'Data_Matrix (2018)'!J$2:J$67)</f>
        <v>97.552654000354082</v>
      </c>
      <c r="K55" s="9">
        <f>_xlfn.COVARIANCE.P('Data_Matrix (2018)'!$AY$2:$AY$67,'Data_Matrix (2018)'!K$2:K$67)</f>
        <v>135.43588654282095</v>
      </c>
      <c r="L55" s="9">
        <f>_xlfn.COVARIANCE.P('Data_Matrix (2018)'!$AY$2:$AY$67,'Data_Matrix (2018)'!L$2:L$67)</f>
        <v>110.2142237021629</v>
      </c>
      <c r="M55" s="9">
        <f>_xlfn.COVARIANCE.P('Data_Matrix (2018)'!$AY$2:$AY$67,'Data_Matrix (2018)'!M$2:M$67)</f>
        <v>115.03498948104057</v>
      </c>
      <c r="N55" s="9">
        <f>_xlfn.COVARIANCE.P('Data_Matrix (2018)'!$AY$2:$AY$67,'Data_Matrix (2018)'!N$2:N$67)</f>
        <v>132.98079858600778</v>
      </c>
      <c r="O55" s="9">
        <f>_xlfn.COVARIANCE.P('Data_Matrix (2018)'!$AY$2:$AY$67,'Data_Matrix (2018)'!O$2:O$67)</f>
        <v>49.613958028927378</v>
      </c>
      <c r="P55" s="9">
        <f>_xlfn.COVARIANCE.P('Data_Matrix (2018)'!$AY$2:$AY$67,'Data_Matrix (2018)'!P$2:P$67)</f>
        <v>20.790025633968124</v>
      </c>
      <c r="Q55" s="9">
        <f>_xlfn.COVARIANCE.P('Data_Matrix (2018)'!$AY$2:$AY$67,'Data_Matrix (2018)'!Q$2:Q$67)</f>
        <v>41.661383131716626</v>
      </c>
      <c r="R55" s="9">
        <f>_xlfn.COVARIANCE.P('Data_Matrix (2018)'!$AY$2:$AY$67,'Data_Matrix (2018)'!R$2:R$67)</f>
        <v>55.174947945897564</v>
      </c>
      <c r="S55" s="9">
        <f>_xlfn.COVARIANCE.P('Data_Matrix (2018)'!$AY$2:$AY$67,'Data_Matrix (2018)'!S$2:S$67)</f>
        <v>38.341055151969272</v>
      </c>
      <c r="T55" s="9">
        <f>_xlfn.COVARIANCE.P('Data_Matrix (2018)'!$AY$2:$AY$67,'Data_Matrix (2018)'!T$2:T$67)</f>
        <v>28.202474002812249</v>
      </c>
      <c r="U55" s="9">
        <f>_xlfn.COVARIANCE.P('Data_Matrix (2018)'!$AY$2:$AY$67,'Data_Matrix (2018)'!U$2:U$67)</f>
        <v>18.681192615613227</v>
      </c>
      <c r="V55" s="9">
        <f>_xlfn.COVARIANCE.P('Data_Matrix (2018)'!$AY$2:$AY$67,'Data_Matrix (2018)'!V$2:V$67)</f>
        <v>15.312890351924423</v>
      </c>
      <c r="W55" s="9">
        <f>_xlfn.COVARIANCE.P('Data_Matrix (2018)'!$AY$2:$AY$67,'Data_Matrix (2018)'!W$2:W$67)</f>
        <v>7.6851261116437657</v>
      </c>
      <c r="X55" s="9">
        <f>_xlfn.COVARIANCE.P('Data_Matrix (2018)'!$AY$2:$AY$67,'Data_Matrix (2018)'!X$2:X$67)</f>
        <v>19.326694712264366</v>
      </c>
      <c r="Y55" s="9">
        <f>_xlfn.COVARIANCE.P('Data_Matrix (2018)'!$AY$2:$AY$67,'Data_Matrix (2018)'!Y$2:Y$67)</f>
        <v>25.04766042690877</v>
      </c>
      <c r="Z55" s="9">
        <f>_xlfn.COVARIANCE.P('Data_Matrix (2018)'!$AY$2:$AY$67,'Data_Matrix (2018)'!Z$2:Z$67)</f>
        <v>9.850899453887088</v>
      </c>
      <c r="AA55" s="9">
        <f>_xlfn.COVARIANCE.P('Data_Matrix (2018)'!$AY$2:$AY$67,'Data_Matrix (2018)'!AA$2:AA$67)</f>
        <v>17.061862152928502</v>
      </c>
      <c r="AB55" s="9">
        <f>_xlfn.COVARIANCE.P('Data_Matrix (2018)'!$AY$2:$AY$67,'Data_Matrix (2018)'!AB$2:AB$67)</f>
        <v>3.4530581534545814</v>
      </c>
      <c r="AC55" s="9">
        <f>_xlfn.COVARIANCE.P('Data_Matrix (2018)'!$AY$2:$AY$67,'Data_Matrix (2018)'!AC$2:AC$67)</f>
        <v>2.99351395726422</v>
      </c>
      <c r="AD55" s="9">
        <f>_xlfn.COVARIANCE.P('Data_Matrix (2018)'!$AY$2:$AY$67,'Data_Matrix (2018)'!AD$2:AD$67)</f>
        <v>3.5320020686795464</v>
      </c>
      <c r="AE55" s="9">
        <f>_xlfn.COVARIANCE.P('Data_Matrix (2018)'!$AY$2:$AY$67,'Data_Matrix (2018)'!AE$2:AE$67)</f>
        <v>2.276760148803576</v>
      </c>
      <c r="AF55" s="9">
        <f>_xlfn.COVARIANCE.P('Data_Matrix (2018)'!$AY$2:$AY$67,'Data_Matrix (2018)'!AF$2:AF$67)</f>
        <v>2.8656565933701423</v>
      </c>
      <c r="AG55" s="9">
        <f>_xlfn.COVARIANCE.P('Data_Matrix (2018)'!$AY$2:$AY$67,'Data_Matrix (2018)'!AG$2:AG$67)</f>
        <v>2.7449577891929438</v>
      </c>
      <c r="AH55" s="9">
        <f>_xlfn.COVARIANCE.P('Data_Matrix (2018)'!$AY$2:$AY$67,'Data_Matrix (2018)'!AH$2:AH$67)</f>
        <v>-0.28656628235883308</v>
      </c>
      <c r="AI55" s="9">
        <f>_xlfn.COVARIANCE.P('Data_Matrix (2018)'!$AY$2:$AY$67,'Data_Matrix (2018)'!AI$2:AI$67)</f>
        <v>1.984577447139602</v>
      </c>
      <c r="AJ55" s="9">
        <f>_xlfn.COVARIANCE.P('Data_Matrix (2018)'!$AY$2:$AY$67,'Data_Matrix (2018)'!AJ$2:AJ$67)</f>
        <v>1.6460213035878866</v>
      </c>
      <c r="AK55" s="9">
        <f>_xlfn.COVARIANCE.P('Data_Matrix (2018)'!$AY$2:$AY$67,'Data_Matrix (2018)'!AK$2:AK$67)</f>
        <v>1.3058206805696262</v>
      </c>
      <c r="AL55" s="9">
        <f>_xlfn.COVARIANCE.P('Data_Matrix (2018)'!$AY$2:$AY$67,'Data_Matrix (2018)'!AL$2:AL$67)</f>
        <v>-2.0897298788823546</v>
      </c>
      <c r="AM55" s="9">
        <f>_xlfn.COVARIANCE.P('Data_Matrix (2018)'!$AY$2:$AY$67,'Data_Matrix (2018)'!AM$2:AM$67)</f>
        <v>0.88069915570475799</v>
      </c>
      <c r="AN55" s="9">
        <f>_xlfn.COVARIANCE.P('Data_Matrix (2018)'!$AY$2:$AY$67,'Data_Matrix (2018)'!AN$2:AN$67)</f>
        <v>1.0405522879687226</v>
      </c>
      <c r="AO55" s="9">
        <f>_xlfn.COVARIANCE.P('Data_Matrix (2018)'!$AY$2:$AY$67,'Data_Matrix (2018)'!AO$2:AO$67)</f>
        <v>1.5198136195986316</v>
      </c>
      <c r="AP55" s="9">
        <f>_xlfn.COVARIANCE.P('Data_Matrix (2018)'!$AY$2:$AY$67,'Data_Matrix (2018)'!AP$2:AP$67)</f>
        <v>2.7615663532246058</v>
      </c>
      <c r="AQ55" s="9">
        <f>_xlfn.COVARIANCE.P('Data_Matrix (2018)'!$AY$2:$AY$67,'Data_Matrix (2018)'!AQ$2:AQ$67)</f>
        <v>0.49238411608482036</v>
      </c>
      <c r="AR55" s="9">
        <f>_xlfn.COVARIANCE.P('Data_Matrix (2018)'!$AY$2:$AY$67,'Data_Matrix (2018)'!AR$2:AR$67)</f>
        <v>1.6515224055668025</v>
      </c>
      <c r="AS55" s="9">
        <f>_xlfn.COVARIANCE.P('Data_Matrix (2018)'!$AY$2:$AY$67,'Data_Matrix (2018)'!AS$2:AS$67)</f>
        <v>0.84229415348492487</v>
      </c>
      <c r="AT55" s="9">
        <f>_xlfn.COVARIANCE.P('Data_Matrix (2018)'!$AY$2:$AY$67,'Data_Matrix (2018)'!AT$2:AT$67)</f>
        <v>7.2965288854758684E-2</v>
      </c>
      <c r="AU55" s="9">
        <f>_xlfn.COVARIANCE.P('Data_Matrix (2018)'!$AY$2:$AY$67,'Data_Matrix (2018)'!AU$2:AU$67)</f>
        <v>0.8821871043678251</v>
      </c>
      <c r="AV55" s="9">
        <f>_xlfn.COVARIANCE.P('Data_Matrix (2018)'!$AY$2:$AY$67,'Data_Matrix (2018)'!AV$2:AV$67)</f>
        <v>0.93329061036459227</v>
      </c>
      <c r="AW55" s="9">
        <f>_xlfn.COVARIANCE.P('Data_Matrix (2018)'!$AY$2:$AY$67,'Data_Matrix (2018)'!AW$2:AW$67)</f>
        <v>0.3216703984576284</v>
      </c>
      <c r="AX55" s="9">
        <f>_xlfn.COVARIANCE.P('Data_Matrix (2018)'!$AY$2:$AY$67,'Data_Matrix (2018)'!AX$2:AX$67)</f>
        <v>0.31984415460132254</v>
      </c>
      <c r="AY55" s="9">
        <f>_xlfn.COVARIANCE.P('Data_Matrix (2018)'!$AY$2:$AY$67,'Data_Matrix (2018)'!AY$2:AY$67)</f>
        <v>1.0532620652737261</v>
      </c>
      <c r="AZ55" s="9">
        <f>_xlfn.COVARIANCE.P('Data_Matrix (2018)'!$AY$2:$AY$67,'Data_Matrix (2018)'!AZ$2:AZ$67)</f>
        <v>0.91043745985106517</v>
      </c>
      <c r="BA55" s="9">
        <f>_xlfn.COVARIANCE.P('Data_Matrix (2018)'!$AY$2:$AY$67,'Data_Matrix (2018)'!BA$2:BA$67)</f>
        <v>4.7087026421351638E-2</v>
      </c>
      <c r="BB55" s="9">
        <f>_xlfn.COVARIANCE.P('Data_Matrix (2018)'!$AY$2:$AY$67,'Data_Matrix (2018)'!BB$2:BB$67)</f>
        <v>3.476827085393018E-2</v>
      </c>
      <c r="BC55" s="9">
        <f>_xlfn.COVARIANCE.P('Data_Matrix (2018)'!$AY$2:$AY$67,'Data_Matrix (2018)'!BC$2:BC$67)</f>
        <v>0.2880877897823258</v>
      </c>
      <c r="BD55" s="9">
        <f>_xlfn.COVARIANCE.P('Data_Matrix (2018)'!$AY$2:$AY$67,'Data_Matrix (2018)'!BD$2:BD$67)</f>
        <v>-1.8099198541267129E-2</v>
      </c>
      <c r="BE55" s="9">
        <f>_xlfn.COVARIANCE.P('Data_Matrix (2018)'!$AY$2:$AY$67,'Data_Matrix (2018)'!BE$2:BE$67)</f>
        <v>9.0870809036258424E-2</v>
      </c>
      <c r="BF55" s="9">
        <f>_xlfn.COVARIANCE.P('Data_Matrix (2018)'!$AY$2:$AY$67,'Data_Matrix (2018)'!BF$2:BF$67)</f>
        <v>9.176696828055303E-3</v>
      </c>
      <c r="BG55" s="9">
        <f>_xlfn.COVARIANCE.P('Data_Matrix (2018)'!$AY$2:$AY$67,'Data_Matrix (2018)'!BG$2:BG$67)</f>
        <v>4.702322368872339E-3</v>
      </c>
      <c r="BH55" s="9">
        <f>_xlfn.COVARIANCE.P('Data_Matrix (2018)'!$AY$2:$AY$67,'Data_Matrix (2018)'!BH$2:BH$67)</f>
        <v>0.13268754344065511</v>
      </c>
      <c r="BI55" s="9">
        <f>_xlfn.COVARIANCE.P('Data_Matrix (2018)'!$AY$2:$AY$67,'Data_Matrix (2018)'!BI$2:BI$67)</f>
        <v>2.6658269308954784E-2</v>
      </c>
      <c r="BJ55" s="9">
        <f>_xlfn.COVARIANCE.P('Data_Matrix (2018)'!$AY$2:$AY$67,'Data_Matrix (2018)'!BJ$2:BJ$67)</f>
        <v>1.3526977197399731E-2</v>
      </c>
      <c r="BK55" s="9">
        <f>_xlfn.COVARIANCE.P('Data_Matrix (2018)'!$AY$2:$AY$67,'Data_Matrix (2018)'!BK$2:BK$67)</f>
        <v>1.2287978278974897E-2</v>
      </c>
      <c r="BL55" s="9">
        <f>_xlfn.COVARIANCE.P('Data_Matrix (2018)'!$AY$2:$AY$67,'Data_Matrix (2018)'!BL$2:BL$67)</f>
        <v>2.4666185719048574E-2</v>
      </c>
      <c r="BM55" s="9">
        <f>_xlfn.COVARIANCE.P('Data_Matrix (2018)'!$AY$2:$AY$67,'Data_Matrix (2018)'!BM$2:BM$67)</f>
        <v>6.3894874066994407E-4</v>
      </c>
      <c r="BN55" s="9">
        <f>_xlfn.COVARIANCE.P('Data_Matrix (2018)'!$AY$2:$AY$67,'Data_Matrix (2018)'!BN$2:BN$67)</f>
        <v>-1.0535339056671207E-3</v>
      </c>
      <c r="BO55" s="9">
        <f>_xlfn.COVARIANCE.P('Data_Matrix (2018)'!$AY$2:$AY$67,'Data_Matrix (2018)'!BO$2:BO$67)</f>
        <v>-4.7046184920664816E-5</v>
      </c>
    </row>
    <row r="56" spans="2:67" x14ac:dyDescent="0.2">
      <c r="B56" s="9">
        <f>_xlfn.COVARIANCE.P('Data_Matrix (2018)'!$AZ$2:$AZ$67,'Data_Matrix (2018)'!B$2:B$67)</f>
        <v>18.90981274390672</v>
      </c>
      <c r="C56" s="9">
        <f>_xlfn.COVARIANCE.P('Data_Matrix (2018)'!$AZ$2:$AZ$67,'Data_Matrix (2018)'!C$2:C$67)</f>
        <v>1647.6346032207234</v>
      </c>
      <c r="D56" s="9">
        <f>_xlfn.COVARIANCE.P('Data_Matrix (2018)'!$AZ$2:$AZ$67,'Data_Matrix (2018)'!D$2:D$67)</f>
        <v>327.09239647417951</v>
      </c>
      <c r="E56" s="9">
        <f>_xlfn.COVARIANCE.P('Data_Matrix (2018)'!$AZ$2:$AZ$67,'Data_Matrix (2018)'!E$2:E$67)</f>
        <v>876.53576544116333</v>
      </c>
      <c r="F56" s="9">
        <f>_xlfn.COVARIANCE.P('Data_Matrix (2018)'!$AZ$2:$AZ$67,'Data_Matrix (2018)'!F$2:F$67)</f>
        <v>773.06339913064573</v>
      </c>
      <c r="G56" s="9">
        <f>_xlfn.COVARIANCE.P('Data_Matrix (2018)'!$AZ$2:$AZ$67,'Data_Matrix (2018)'!G$2:G$67)</f>
        <v>497.30093507874255</v>
      </c>
      <c r="H56" s="9">
        <f>_xlfn.COVARIANCE.P('Data_Matrix (2018)'!$AZ$2:$AZ$67,'Data_Matrix (2018)'!H$2:H$67)</f>
        <v>105.82084145926193</v>
      </c>
      <c r="I56" s="9">
        <f>_xlfn.COVARIANCE.P('Data_Matrix (2018)'!$AZ$2:$AZ$67,'Data_Matrix (2018)'!I$2:I$67)</f>
        <v>325.16477622170362</v>
      </c>
      <c r="J56" s="9">
        <f>_xlfn.COVARIANCE.P('Data_Matrix (2018)'!$AZ$2:$AZ$67,'Data_Matrix (2018)'!J$2:J$67)</f>
        <v>201.96777958654243</v>
      </c>
      <c r="K56" s="9">
        <f>_xlfn.COVARIANCE.P('Data_Matrix (2018)'!$AZ$2:$AZ$67,'Data_Matrix (2018)'!K$2:K$67)</f>
        <v>245.17796334144577</v>
      </c>
      <c r="L56" s="9">
        <f>_xlfn.COVARIANCE.P('Data_Matrix (2018)'!$AZ$2:$AZ$67,'Data_Matrix (2018)'!L$2:L$67)</f>
        <v>207.47457387387925</v>
      </c>
      <c r="M56" s="9">
        <f>_xlfn.COVARIANCE.P('Data_Matrix (2018)'!$AZ$2:$AZ$67,'Data_Matrix (2018)'!M$2:M$67)</f>
        <v>199.31120794279693</v>
      </c>
      <c r="N56" s="9">
        <f>_xlfn.COVARIANCE.P('Data_Matrix (2018)'!$AZ$2:$AZ$67,'Data_Matrix (2018)'!N$2:N$67)</f>
        <v>74.592246078266754</v>
      </c>
      <c r="O56" s="9">
        <f>_xlfn.COVARIANCE.P('Data_Matrix (2018)'!$AZ$2:$AZ$67,'Data_Matrix (2018)'!O$2:O$67)</f>
        <v>83.717838589829825</v>
      </c>
      <c r="P56" s="9">
        <f>_xlfn.COVARIANCE.P('Data_Matrix (2018)'!$AZ$2:$AZ$67,'Data_Matrix (2018)'!P$2:P$67)</f>
        <v>47.360937231200253</v>
      </c>
      <c r="Q56" s="9">
        <f>_xlfn.COVARIANCE.P('Data_Matrix (2018)'!$AZ$2:$AZ$67,'Data_Matrix (2018)'!Q$2:Q$67)</f>
        <v>80.747660143109698</v>
      </c>
      <c r="R56" s="9">
        <f>_xlfn.COVARIANCE.P('Data_Matrix (2018)'!$AZ$2:$AZ$67,'Data_Matrix (2018)'!R$2:R$67)</f>
        <v>73.531332720513774</v>
      </c>
      <c r="S56" s="9">
        <f>_xlfn.COVARIANCE.P('Data_Matrix (2018)'!$AZ$2:$AZ$67,'Data_Matrix (2018)'!S$2:S$67)</f>
        <v>57.660924224122887</v>
      </c>
      <c r="T56" s="9">
        <f>_xlfn.COVARIANCE.P('Data_Matrix (2018)'!$AZ$2:$AZ$67,'Data_Matrix (2018)'!T$2:T$67)</f>
        <v>30.309906875400504</v>
      </c>
      <c r="U56" s="9">
        <f>_xlfn.COVARIANCE.P('Data_Matrix (2018)'!$AZ$2:$AZ$67,'Data_Matrix (2018)'!U$2:U$67)</f>
        <v>47.801728601555858</v>
      </c>
      <c r="V56" s="9">
        <f>_xlfn.COVARIANCE.P('Data_Matrix (2018)'!$AZ$2:$AZ$67,'Data_Matrix (2018)'!V$2:V$67)</f>
        <v>56.804326252863255</v>
      </c>
      <c r="W56" s="9">
        <f>_xlfn.COVARIANCE.P('Data_Matrix (2018)'!$AZ$2:$AZ$67,'Data_Matrix (2018)'!W$2:W$67)</f>
        <v>6.3582731756782715</v>
      </c>
      <c r="X56" s="9">
        <f>_xlfn.COVARIANCE.P('Data_Matrix (2018)'!$AZ$2:$AZ$67,'Data_Matrix (2018)'!X$2:X$67)</f>
        <v>28.910386351766807</v>
      </c>
      <c r="Y56" s="9">
        <f>_xlfn.COVARIANCE.P('Data_Matrix (2018)'!$AZ$2:$AZ$67,'Data_Matrix (2018)'!Y$2:Y$67)</f>
        <v>37.321702573838039</v>
      </c>
      <c r="Z56" s="9">
        <f>_xlfn.COVARIANCE.P('Data_Matrix (2018)'!$AZ$2:$AZ$67,'Data_Matrix (2018)'!Z$2:Z$67)</f>
        <v>16.797815349726182</v>
      </c>
      <c r="AA56" s="9">
        <f>_xlfn.COVARIANCE.P('Data_Matrix (2018)'!$AZ$2:$AZ$67,'Data_Matrix (2018)'!AA$2:AA$67)</f>
        <v>11.614236196850509</v>
      </c>
      <c r="AB56" s="9">
        <f>_xlfn.COVARIANCE.P('Data_Matrix (2018)'!$AZ$2:$AZ$67,'Data_Matrix (2018)'!AB$2:AB$67)</f>
        <v>1.1039885676565337</v>
      </c>
      <c r="AC56" s="9">
        <f>_xlfn.COVARIANCE.P('Data_Matrix (2018)'!$AZ$2:$AZ$67,'Data_Matrix (2018)'!AC$2:AC$67)</f>
        <v>4.2427337540760837</v>
      </c>
      <c r="AD56" s="9">
        <f>_xlfn.COVARIANCE.P('Data_Matrix (2018)'!$AZ$2:$AZ$67,'Data_Matrix (2018)'!AD$2:AD$67)</f>
        <v>1.5736153444337684</v>
      </c>
      <c r="AE56" s="9">
        <f>_xlfn.COVARIANCE.P('Data_Matrix (2018)'!$AZ$2:$AZ$67,'Data_Matrix (2018)'!AE$2:AE$67)</f>
        <v>2.6598336821148463</v>
      </c>
      <c r="AF56" s="9">
        <f>_xlfn.COVARIANCE.P('Data_Matrix (2018)'!$AZ$2:$AZ$67,'Data_Matrix (2018)'!AF$2:AF$67)</f>
        <v>2.6602863697427317</v>
      </c>
      <c r="AG56" s="9">
        <f>_xlfn.COVARIANCE.P('Data_Matrix (2018)'!$AZ$2:$AZ$67,'Data_Matrix (2018)'!AG$2:AG$67)</f>
        <v>6.0810236098606607</v>
      </c>
      <c r="AH56" s="9">
        <f>_xlfn.COVARIANCE.P('Data_Matrix (2018)'!$AZ$2:$AZ$67,'Data_Matrix (2018)'!AH$2:AH$67)</f>
        <v>-0.8375062329553753</v>
      </c>
      <c r="AI56" s="9">
        <f>_xlfn.COVARIANCE.P('Data_Matrix (2018)'!$AZ$2:$AZ$67,'Data_Matrix (2018)'!AI$2:AI$67)</f>
        <v>1.9303128667238065</v>
      </c>
      <c r="AJ56" s="9">
        <f>_xlfn.COVARIANCE.P('Data_Matrix (2018)'!$AZ$2:$AZ$67,'Data_Matrix (2018)'!AJ$2:AJ$67)</f>
        <v>1.2708514270624232</v>
      </c>
      <c r="AK56" s="9">
        <f>_xlfn.COVARIANCE.P('Data_Matrix (2018)'!$AZ$2:$AZ$67,'Data_Matrix (2018)'!AK$2:AK$67)</f>
        <v>3.7753487132702106</v>
      </c>
      <c r="AL56" s="9">
        <f>_xlfn.COVARIANCE.P('Data_Matrix (2018)'!$AZ$2:$AZ$67,'Data_Matrix (2018)'!AL$2:AL$67)</f>
        <v>-3.0839846153225934</v>
      </c>
      <c r="AM56" s="9">
        <f>_xlfn.COVARIANCE.P('Data_Matrix (2018)'!$AZ$2:$AZ$67,'Data_Matrix (2018)'!AM$2:AM$67)</f>
        <v>1.5626577351909723</v>
      </c>
      <c r="AN56" s="9">
        <f>_xlfn.COVARIANCE.P('Data_Matrix (2018)'!$AZ$2:$AZ$67,'Data_Matrix (2018)'!AN$2:AN$67)</f>
        <v>2.7447343574552825</v>
      </c>
      <c r="AO56" s="9">
        <f>_xlfn.COVARIANCE.P('Data_Matrix (2018)'!$AZ$2:$AZ$67,'Data_Matrix (2018)'!AO$2:AO$67)</f>
        <v>4.1779448455522417</v>
      </c>
      <c r="AP56" s="9">
        <f>_xlfn.COVARIANCE.P('Data_Matrix (2018)'!$AZ$2:$AZ$67,'Data_Matrix (2018)'!AP$2:AP$67)</f>
        <v>7.2344308753676616</v>
      </c>
      <c r="AQ56" s="9">
        <f>_xlfn.COVARIANCE.P('Data_Matrix (2018)'!$AZ$2:$AZ$67,'Data_Matrix (2018)'!AQ$2:AQ$67)</f>
        <v>1.1991203122479224</v>
      </c>
      <c r="AR56" s="9">
        <f>_xlfn.COVARIANCE.P('Data_Matrix (2018)'!$AZ$2:$AZ$67,'Data_Matrix (2018)'!AR$2:AR$67)</f>
        <v>2.5363516587398824</v>
      </c>
      <c r="AS56" s="9">
        <f>_xlfn.COVARIANCE.P('Data_Matrix (2018)'!$AZ$2:$AZ$67,'Data_Matrix (2018)'!AS$2:AS$67)</f>
        <v>0.6626180837382678</v>
      </c>
      <c r="AT56" s="9">
        <f>_xlfn.COVARIANCE.P('Data_Matrix (2018)'!$AZ$2:$AZ$67,'Data_Matrix (2018)'!AT$2:AT$67)</f>
        <v>1.9493166088323715</v>
      </c>
      <c r="AU56" s="9">
        <f>_xlfn.COVARIANCE.P('Data_Matrix (2018)'!$AZ$2:$AZ$67,'Data_Matrix (2018)'!AU$2:AU$67)</f>
        <v>0.87421420741622058</v>
      </c>
      <c r="AV56" s="9">
        <f>_xlfn.COVARIANCE.P('Data_Matrix (2018)'!$AZ$2:$AZ$67,'Data_Matrix (2018)'!AV$2:AV$67)</f>
        <v>2.5855148743064955</v>
      </c>
      <c r="AW56" s="9">
        <f>_xlfn.COVARIANCE.P('Data_Matrix (2018)'!$AZ$2:$AZ$67,'Data_Matrix (2018)'!AW$2:AW$67)</f>
        <v>1.0960112265693924</v>
      </c>
      <c r="AX56" s="9">
        <f>_xlfn.COVARIANCE.P('Data_Matrix (2018)'!$AZ$2:$AZ$67,'Data_Matrix (2018)'!AX$2:AX$67)</f>
        <v>5.2252686307970437</v>
      </c>
      <c r="AY56" s="9">
        <f>_xlfn.COVARIANCE.P('Data_Matrix (2018)'!$AZ$2:$AZ$67,'Data_Matrix (2018)'!AY$2:AY$67)</f>
        <v>0.91043745985106517</v>
      </c>
      <c r="AZ56" s="9">
        <f>_xlfn.COVARIANCE.P('Data_Matrix (2018)'!$AZ$2:$AZ$67,'Data_Matrix (2018)'!AZ$2:AZ$67)</f>
        <v>4.4716510313064166</v>
      </c>
      <c r="BA56" s="9">
        <f>_xlfn.COVARIANCE.P('Data_Matrix (2018)'!$AZ$2:$AZ$67,'Data_Matrix (2018)'!BA$2:BA$67)</f>
        <v>-9.8194084019029432E-3</v>
      </c>
      <c r="BB56" s="9">
        <f>_xlfn.COVARIANCE.P('Data_Matrix (2018)'!$AZ$2:$AZ$67,'Data_Matrix (2018)'!BB$2:BB$67)</f>
        <v>0.64445704556236449</v>
      </c>
      <c r="BC56" s="9">
        <f>_xlfn.COVARIANCE.P('Data_Matrix (2018)'!$AZ$2:$AZ$67,'Data_Matrix (2018)'!BC$2:BC$67)</f>
        <v>-8.0738462874136219E-2</v>
      </c>
      <c r="BD56" s="9">
        <f>_xlfn.COVARIANCE.P('Data_Matrix (2018)'!$AZ$2:$AZ$67,'Data_Matrix (2018)'!BD$2:BD$67)</f>
        <v>0.40613028929938449</v>
      </c>
      <c r="BE56" s="9">
        <f>_xlfn.COVARIANCE.P('Data_Matrix (2018)'!$AZ$2:$AZ$67,'Data_Matrix (2018)'!BE$2:BE$67)</f>
        <v>0.23019728547112517</v>
      </c>
      <c r="BF56" s="9">
        <f>_xlfn.COVARIANCE.P('Data_Matrix (2018)'!$AZ$2:$AZ$67,'Data_Matrix (2018)'!BF$2:BF$67)</f>
        <v>-6.6965431869348956E-3</v>
      </c>
      <c r="BG56" s="9">
        <f>_xlfn.COVARIANCE.P('Data_Matrix (2018)'!$AZ$2:$AZ$67,'Data_Matrix (2018)'!BG$2:BG$67)</f>
        <v>-1.7436948974882684E-3</v>
      </c>
      <c r="BH56" s="9">
        <f>_xlfn.COVARIANCE.P('Data_Matrix (2018)'!$AZ$2:$AZ$67,'Data_Matrix (2018)'!BH$2:BH$67)</f>
        <v>-2.8716574888966194E-2</v>
      </c>
      <c r="BI56" s="9">
        <f>_xlfn.COVARIANCE.P('Data_Matrix (2018)'!$AZ$2:$AZ$67,'Data_Matrix (2018)'!BI$2:BI$67)</f>
        <v>4.0209096952858537E-3</v>
      </c>
      <c r="BJ56" s="9">
        <f>_xlfn.COVARIANCE.P('Data_Matrix (2018)'!$AZ$2:$AZ$67,'Data_Matrix (2018)'!BJ$2:BJ$67)</f>
        <v>1.3036562385834082E-2</v>
      </c>
      <c r="BK56" s="9">
        <f>_xlfn.COVARIANCE.P('Data_Matrix (2018)'!$AZ$2:$AZ$67,'Data_Matrix (2018)'!BK$2:BK$67)</f>
        <v>1.4065218986456133E-2</v>
      </c>
      <c r="BL56" s="9">
        <f>_xlfn.COVARIANCE.P('Data_Matrix (2018)'!$AZ$2:$AZ$67,'Data_Matrix (2018)'!BL$2:BL$67)</f>
        <v>-1.256682644588965E-2</v>
      </c>
      <c r="BM56" s="9">
        <f>_xlfn.COVARIANCE.P('Data_Matrix (2018)'!$AZ$2:$AZ$67,'Data_Matrix (2018)'!BM$2:BM$67)</f>
        <v>-7.5046156899355974E-4</v>
      </c>
      <c r="BN56" s="9">
        <f>_xlfn.COVARIANCE.P('Data_Matrix (2018)'!$AZ$2:$AZ$67,'Data_Matrix (2018)'!BN$2:BN$67)</f>
        <v>-1.5653061605981433E-3</v>
      </c>
      <c r="BO56" s="9">
        <f>_xlfn.COVARIANCE.P('Data_Matrix (2018)'!$AZ$2:$AZ$67,'Data_Matrix (2018)'!BO$2:BO$67)</f>
        <v>-9.95139952864291E-5</v>
      </c>
    </row>
    <row r="57" spans="2:67" x14ac:dyDescent="0.2">
      <c r="B57" s="9">
        <f>_xlfn.COVARIANCE.P('Data_Matrix (2018)'!$BA$2:$BA$67,'Data_Matrix (2018)'!B$2:B$67)</f>
        <v>-0.18807331165343363</v>
      </c>
      <c r="C57" s="9">
        <f>_xlfn.COVARIANCE.P('Data_Matrix (2018)'!$BA$2:$BA$67,'Data_Matrix (2018)'!C$2:C$67)</f>
        <v>109.98492961354965</v>
      </c>
      <c r="D57" s="9">
        <f>_xlfn.COVARIANCE.P('Data_Matrix (2018)'!$BA$2:$BA$67,'Data_Matrix (2018)'!D$2:D$67)</f>
        <v>13.053196484383912</v>
      </c>
      <c r="E57" s="9">
        <f>_xlfn.COVARIANCE.P('Data_Matrix (2018)'!$BA$2:$BA$67,'Data_Matrix (2018)'!E$2:E$67)</f>
        <v>10.619962340421493</v>
      </c>
      <c r="F57" s="9">
        <f>_xlfn.COVARIANCE.P('Data_Matrix (2018)'!$BA$2:$BA$67,'Data_Matrix (2018)'!F$2:F$67)</f>
        <v>-13.180209569367314</v>
      </c>
      <c r="G57" s="9">
        <f>_xlfn.COVARIANCE.P('Data_Matrix (2018)'!$BA$2:$BA$67,'Data_Matrix (2018)'!G$2:G$67)</f>
        <v>34.557378038574932</v>
      </c>
      <c r="H57" s="9">
        <f>_xlfn.COVARIANCE.P('Data_Matrix (2018)'!$BA$2:$BA$67,'Data_Matrix (2018)'!H$2:H$67)</f>
        <v>29.444404506018955</v>
      </c>
      <c r="I57" s="9">
        <f>_xlfn.COVARIANCE.P('Data_Matrix (2018)'!$BA$2:$BA$67,'Data_Matrix (2018)'!I$2:I$67)</f>
        <v>-10.450450899098135</v>
      </c>
      <c r="J57" s="9">
        <f>_xlfn.COVARIANCE.P('Data_Matrix (2018)'!$BA$2:$BA$67,'Data_Matrix (2018)'!J$2:J$67)</f>
        <v>-2.0072937575111176</v>
      </c>
      <c r="K57" s="9">
        <f>_xlfn.COVARIANCE.P('Data_Matrix (2018)'!$BA$2:$BA$67,'Data_Matrix (2018)'!K$2:K$67)</f>
        <v>-2.9631332967152022</v>
      </c>
      <c r="L57" s="9">
        <f>_xlfn.COVARIANCE.P('Data_Matrix (2018)'!$BA$2:$BA$67,'Data_Matrix (2018)'!L$2:L$67)</f>
        <v>12.741405921000375</v>
      </c>
      <c r="M57" s="9">
        <f>_xlfn.COVARIANCE.P('Data_Matrix (2018)'!$BA$2:$BA$67,'Data_Matrix (2018)'!M$2:M$67)</f>
        <v>21.2625549765255</v>
      </c>
      <c r="N57" s="9">
        <f>_xlfn.COVARIANCE.P('Data_Matrix (2018)'!$BA$2:$BA$67,'Data_Matrix (2018)'!N$2:N$67)</f>
        <v>5.9718560383681218</v>
      </c>
      <c r="O57" s="9">
        <f>_xlfn.COVARIANCE.P('Data_Matrix (2018)'!$BA$2:$BA$67,'Data_Matrix (2018)'!O$2:O$67)</f>
        <v>3.6556723615276709</v>
      </c>
      <c r="P57" s="9">
        <f>_xlfn.COVARIANCE.P('Data_Matrix (2018)'!$BA$2:$BA$67,'Data_Matrix (2018)'!P$2:P$67)</f>
        <v>-3.3239418383628796</v>
      </c>
      <c r="Q57" s="9">
        <f>_xlfn.COVARIANCE.P('Data_Matrix (2018)'!$BA$2:$BA$67,'Data_Matrix (2018)'!Q$2:Q$67)</f>
        <v>9.6473915283456115</v>
      </c>
      <c r="R57" s="9">
        <f>_xlfn.COVARIANCE.P('Data_Matrix (2018)'!$BA$2:$BA$67,'Data_Matrix (2018)'!R$2:R$67)</f>
        <v>14.291825692680519</v>
      </c>
      <c r="S57" s="9">
        <f>_xlfn.COVARIANCE.P('Data_Matrix (2018)'!$BA$2:$BA$67,'Data_Matrix (2018)'!S$2:S$67)</f>
        <v>11.819996092892003</v>
      </c>
      <c r="T57" s="9">
        <f>_xlfn.COVARIANCE.P('Data_Matrix (2018)'!$BA$2:$BA$67,'Data_Matrix (2018)'!T$2:T$67)</f>
        <v>2.2966786456572699</v>
      </c>
      <c r="U57" s="9">
        <f>_xlfn.COVARIANCE.P('Data_Matrix (2018)'!$BA$2:$BA$67,'Data_Matrix (2018)'!U$2:U$67)</f>
        <v>2.2836231476903071</v>
      </c>
      <c r="V57" s="9">
        <f>_xlfn.COVARIANCE.P('Data_Matrix (2018)'!$BA$2:$BA$67,'Data_Matrix (2018)'!V$2:V$67)</f>
        <v>-0.48148104649927054</v>
      </c>
      <c r="W57" s="9">
        <f>_xlfn.COVARIANCE.P('Data_Matrix (2018)'!$BA$2:$BA$67,'Data_Matrix (2018)'!W$2:W$67)</f>
        <v>1.6540028174750718</v>
      </c>
      <c r="X57" s="9">
        <f>_xlfn.COVARIANCE.P('Data_Matrix (2018)'!$BA$2:$BA$67,'Data_Matrix (2018)'!X$2:X$67)</f>
        <v>0.77821012511616405</v>
      </c>
      <c r="Y57" s="9">
        <f>_xlfn.COVARIANCE.P('Data_Matrix (2018)'!$BA$2:$BA$67,'Data_Matrix (2018)'!Y$2:Y$67)</f>
        <v>-0.25671518121742726</v>
      </c>
      <c r="Z57" s="9">
        <f>_xlfn.COVARIANCE.P('Data_Matrix (2018)'!$BA$2:$BA$67,'Data_Matrix (2018)'!Z$2:Z$67)</f>
        <v>1.7073015994563441</v>
      </c>
      <c r="AA57" s="9">
        <f>_xlfn.COVARIANCE.P('Data_Matrix (2018)'!$BA$2:$BA$67,'Data_Matrix (2018)'!AA$2:AA$67)</f>
        <v>6.2134392374006708</v>
      </c>
      <c r="AB57" s="9">
        <f>_xlfn.COVARIANCE.P('Data_Matrix (2018)'!$BA$2:$BA$67,'Data_Matrix (2018)'!AB$2:AB$67)</f>
        <v>0.80907306552907454</v>
      </c>
      <c r="AC57" s="9">
        <f>_xlfn.COVARIANCE.P('Data_Matrix (2018)'!$BA$2:$BA$67,'Data_Matrix (2018)'!AC$2:AC$67)</f>
        <v>0.37088311348414654</v>
      </c>
      <c r="AD57" s="9">
        <f>_xlfn.COVARIANCE.P('Data_Matrix (2018)'!$BA$2:$BA$67,'Data_Matrix (2018)'!AD$2:AD$67)</f>
        <v>0.76500095740385354</v>
      </c>
      <c r="AE57" s="9">
        <f>_xlfn.COVARIANCE.P('Data_Matrix (2018)'!$BA$2:$BA$67,'Data_Matrix (2018)'!AE$2:AE$67)</f>
        <v>0.49412982950433026</v>
      </c>
      <c r="AF57" s="9">
        <f>_xlfn.COVARIANCE.P('Data_Matrix (2018)'!$BA$2:$BA$67,'Data_Matrix (2018)'!AF$2:AF$67)</f>
        <v>0.58614167349500279</v>
      </c>
      <c r="AG57" s="9">
        <f>_xlfn.COVARIANCE.P('Data_Matrix (2018)'!$BA$2:$BA$67,'Data_Matrix (2018)'!AG$2:AG$67)</f>
        <v>0.42797553825794349</v>
      </c>
      <c r="AH57" s="9">
        <f>_xlfn.COVARIANCE.P('Data_Matrix (2018)'!$BA$2:$BA$67,'Data_Matrix (2018)'!AH$2:AH$67)</f>
        <v>2.7212942107587169E-2</v>
      </c>
      <c r="AI57" s="9">
        <f>_xlfn.COVARIANCE.P('Data_Matrix (2018)'!$BA$2:$BA$67,'Data_Matrix (2018)'!AI$2:AI$67)</f>
        <v>0.42652118267768485</v>
      </c>
      <c r="AJ57" s="9">
        <f>_xlfn.COVARIANCE.P('Data_Matrix (2018)'!$BA$2:$BA$67,'Data_Matrix (2018)'!AJ$2:AJ$67)</f>
        <v>0.27813146599683025</v>
      </c>
      <c r="AK57" s="9">
        <f>_xlfn.COVARIANCE.P('Data_Matrix (2018)'!$BA$2:$BA$67,'Data_Matrix (2018)'!AK$2:AK$67)</f>
        <v>0.33243635821514256</v>
      </c>
      <c r="AL57" s="9">
        <f>_xlfn.COVARIANCE.P('Data_Matrix (2018)'!$BA$2:$BA$67,'Data_Matrix (2018)'!AL$2:AL$67)</f>
        <v>-0.5192304245141115</v>
      </c>
      <c r="AM57" s="9">
        <f>_xlfn.COVARIANCE.P('Data_Matrix (2018)'!$BA$2:$BA$67,'Data_Matrix (2018)'!AM$2:AM$67)</f>
        <v>0.34581873077056929</v>
      </c>
      <c r="AN57" s="9">
        <f>_xlfn.COVARIANCE.P('Data_Matrix (2018)'!$BA$2:$BA$67,'Data_Matrix (2018)'!AN$2:AN$67)</f>
        <v>-0.20488352616696237</v>
      </c>
      <c r="AO57" s="9">
        <f>_xlfn.COVARIANCE.P('Data_Matrix (2018)'!$BA$2:$BA$67,'Data_Matrix (2018)'!AO$2:AO$67)</f>
        <v>0.10498750477345228</v>
      </c>
      <c r="AP57" s="9">
        <f>_xlfn.COVARIANCE.P('Data_Matrix (2018)'!$BA$2:$BA$67,'Data_Matrix (2018)'!AP$2:AP$67)</f>
        <v>0.13189281129162658</v>
      </c>
      <c r="AQ57" s="9">
        <f>_xlfn.COVARIANCE.P('Data_Matrix (2018)'!$BA$2:$BA$67,'Data_Matrix (2018)'!AQ$2:AQ$67)</f>
        <v>0.10197578793723047</v>
      </c>
      <c r="AR57" s="9">
        <f>_xlfn.COVARIANCE.P('Data_Matrix (2018)'!$BA$2:$BA$67,'Data_Matrix (2018)'!AR$2:AR$67)</f>
        <v>0.28303577189167189</v>
      </c>
      <c r="AS57" s="9">
        <f>_xlfn.COVARIANCE.P('Data_Matrix (2018)'!$BA$2:$BA$67,'Data_Matrix (2018)'!AS$2:AS$67)</f>
        <v>-0.15704477460400934</v>
      </c>
      <c r="AT57" s="9">
        <f>_xlfn.COVARIANCE.P('Data_Matrix (2018)'!$BA$2:$BA$67,'Data_Matrix (2018)'!AT$2:AT$67)</f>
        <v>4.5463819138283901E-2</v>
      </c>
      <c r="AU57" s="9">
        <f>_xlfn.COVARIANCE.P('Data_Matrix (2018)'!$BA$2:$BA$67,'Data_Matrix (2018)'!AU$2:AU$67)</f>
        <v>1.7030329554813418E-2</v>
      </c>
      <c r="AV57" s="9">
        <f>_xlfn.COVARIANCE.P('Data_Matrix (2018)'!$BA$2:$BA$67,'Data_Matrix (2018)'!AV$2:AV$67)</f>
        <v>2.5998074988896908E-2</v>
      </c>
      <c r="AW57" s="9">
        <f>_xlfn.COVARIANCE.P('Data_Matrix (2018)'!$BA$2:$BA$67,'Data_Matrix (2018)'!AW$2:AW$67)</f>
        <v>-4.2896420294338537E-2</v>
      </c>
      <c r="AX57" s="9">
        <f>_xlfn.COVARIANCE.P('Data_Matrix (2018)'!$BA$2:$BA$67,'Data_Matrix (2018)'!AX$2:AX$67)</f>
        <v>3.9202851581114709E-2</v>
      </c>
      <c r="AY57" s="9">
        <f>_xlfn.COVARIANCE.P('Data_Matrix (2018)'!$BA$2:$BA$67,'Data_Matrix (2018)'!AY$2:AY$67)</f>
        <v>4.7087026421351638E-2</v>
      </c>
      <c r="AZ57" s="9">
        <f>_xlfn.COVARIANCE.P('Data_Matrix (2018)'!$BA$2:$BA$67,'Data_Matrix (2018)'!AZ$2:AZ$67)</f>
        <v>-9.8194084019029432E-3</v>
      </c>
      <c r="BA57" s="9">
        <f>_xlfn.COVARIANCE.P('Data_Matrix (2018)'!$BA$2:$BA$67,'Data_Matrix (2018)'!BA$2:BA$67)</f>
        <v>7.8034175146489554E-2</v>
      </c>
      <c r="BB57" s="9">
        <f>_xlfn.COVARIANCE.P('Data_Matrix (2018)'!$BA$2:$BA$67,'Data_Matrix (2018)'!BB$2:BB$67)</f>
        <v>-2.6048153772365683E-3</v>
      </c>
      <c r="BC57" s="9">
        <f>_xlfn.COVARIANCE.P('Data_Matrix (2018)'!$BA$2:$BA$67,'Data_Matrix (2018)'!BC$2:BC$67)</f>
        <v>2.0982693568553077E-3</v>
      </c>
      <c r="BD57" s="9">
        <f>_xlfn.COVARIANCE.P('Data_Matrix (2018)'!$BA$2:$BA$67,'Data_Matrix (2018)'!BD$2:BD$67)</f>
        <v>1.5443224704067806E-2</v>
      </c>
      <c r="BE57" s="9">
        <f>_xlfn.COVARIANCE.P('Data_Matrix (2018)'!$BA$2:$BA$67,'Data_Matrix (2018)'!BE$2:BE$67)</f>
        <v>2.0577454876123984E-2</v>
      </c>
      <c r="BF57" s="9">
        <f>_xlfn.COVARIANCE.P('Data_Matrix (2018)'!$BA$2:$BA$67,'Data_Matrix (2018)'!BF$2:BF$67)</f>
        <v>6.8052535627518536E-3</v>
      </c>
      <c r="BG57" s="9">
        <f>_xlfn.COVARIANCE.P('Data_Matrix (2018)'!$BA$2:$BA$67,'Data_Matrix (2018)'!BG$2:BG$67)</f>
        <v>3.3007840681508541E-3</v>
      </c>
      <c r="BH57" s="9">
        <f>_xlfn.COVARIANCE.P('Data_Matrix (2018)'!$BA$2:$BA$67,'Data_Matrix (2018)'!BH$2:BH$67)</f>
        <v>5.7039242280456041E-3</v>
      </c>
      <c r="BI57" s="9">
        <f>_xlfn.COVARIANCE.P('Data_Matrix (2018)'!$BA$2:$BA$67,'Data_Matrix (2018)'!BI$2:BI$67)</f>
        <v>1.2876206087012926E-2</v>
      </c>
      <c r="BJ57" s="9">
        <f>_xlfn.COVARIANCE.P('Data_Matrix (2018)'!$BA$2:$BA$67,'Data_Matrix (2018)'!BJ$2:BJ$67)</f>
        <v>6.1953965719926231E-3</v>
      </c>
      <c r="BK57" s="9">
        <f>_xlfn.COVARIANCE.P('Data_Matrix (2018)'!$BA$2:$BA$67,'Data_Matrix (2018)'!BK$2:BK$67)</f>
        <v>9.2522566209003176E-3</v>
      </c>
      <c r="BL57" s="9">
        <f>_xlfn.COVARIANCE.P('Data_Matrix (2018)'!$BA$2:$BA$67,'Data_Matrix (2018)'!BL$2:BL$67)</f>
        <v>4.3738438563615811E-3</v>
      </c>
      <c r="BM57" s="9">
        <f>_xlfn.COVARIANCE.P('Data_Matrix (2018)'!$BA$2:$BA$67,'Data_Matrix (2018)'!BM$2:BM$67)</f>
        <v>9.7029669707742285E-4</v>
      </c>
      <c r="BN57" s="9">
        <f>_xlfn.COVARIANCE.P('Data_Matrix (2018)'!$BA$2:$BA$67,'Data_Matrix (2018)'!BN$2:BN$67)</f>
        <v>-9.1778359461881892E-5</v>
      </c>
      <c r="BO57" s="9">
        <f>_xlfn.COVARIANCE.P('Data_Matrix (2018)'!$BA$2:$BA$67,'Data_Matrix (2018)'!BO$2:BO$67)</f>
        <v>8.232472203174431E-5</v>
      </c>
    </row>
    <row r="58" spans="2:67" x14ac:dyDescent="0.2">
      <c r="B58" s="9">
        <f>_xlfn.COVARIANCE.P('Data_Matrix (2018)'!$BB$2:$BB$67,'Data_Matrix (2018)'!B$2:B$67)</f>
        <v>-62.663209566104577</v>
      </c>
      <c r="C58" s="9">
        <f>_xlfn.COVARIANCE.P('Data_Matrix (2018)'!$BB$2:$BB$67,'Data_Matrix (2018)'!C$2:C$67)</f>
        <v>429.67308930463298</v>
      </c>
      <c r="D58" s="9">
        <f>_xlfn.COVARIANCE.P('Data_Matrix (2018)'!$BB$2:$BB$67,'Data_Matrix (2018)'!D$2:D$67)</f>
        <v>2.7506013988404998</v>
      </c>
      <c r="E58" s="9">
        <f>_xlfn.COVARIANCE.P('Data_Matrix (2018)'!$BB$2:$BB$67,'Data_Matrix (2018)'!E$2:E$67)</f>
        <v>249.76902897258978</v>
      </c>
      <c r="F58" s="9">
        <f>_xlfn.COVARIANCE.P('Data_Matrix (2018)'!$BB$2:$BB$67,'Data_Matrix (2018)'!F$2:F$67)</f>
        <v>130.08118564240814</v>
      </c>
      <c r="G58" s="9">
        <f>_xlfn.COVARIANCE.P('Data_Matrix (2018)'!$BB$2:$BB$67,'Data_Matrix (2018)'!G$2:G$67)</f>
        <v>116.8084214709377</v>
      </c>
      <c r="H58" s="9">
        <f>_xlfn.COVARIANCE.P('Data_Matrix (2018)'!$BB$2:$BB$67,'Data_Matrix (2018)'!H$2:H$67)</f>
        <v>68.993896269012723</v>
      </c>
      <c r="I58" s="9">
        <f>_xlfn.COVARIANCE.P('Data_Matrix (2018)'!$BB$2:$BB$67,'Data_Matrix (2018)'!I$2:I$67)</f>
        <v>43.535609671393942</v>
      </c>
      <c r="J58" s="9">
        <f>_xlfn.COVARIANCE.P('Data_Matrix (2018)'!$BB$2:$BB$67,'Data_Matrix (2018)'!J$2:J$67)</f>
        <v>24.639956584028038</v>
      </c>
      <c r="K58" s="9">
        <f>_xlfn.COVARIANCE.P('Data_Matrix (2018)'!$BB$2:$BB$67,'Data_Matrix (2018)'!K$2:K$67)</f>
        <v>54.427330518833863</v>
      </c>
      <c r="L58" s="9">
        <f>_xlfn.COVARIANCE.P('Data_Matrix (2018)'!$BB$2:$BB$67,'Data_Matrix (2018)'!L$2:L$67)</f>
        <v>65.257437664484272</v>
      </c>
      <c r="M58" s="9">
        <f>_xlfn.COVARIANCE.P('Data_Matrix (2018)'!$BB$2:$BB$67,'Data_Matrix (2018)'!M$2:M$67)</f>
        <v>64.173984375266713</v>
      </c>
      <c r="N58" s="9">
        <f>_xlfn.COVARIANCE.P('Data_Matrix (2018)'!$BB$2:$BB$67,'Data_Matrix (2018)'!N$2:N$67)</f>
        <v>5.6518317051790543</v>
      </c>
      <c r="O58" s="9">
        <f>_xlfn.COVARIANCE.P('Data_Matrix (2018)'!$BB$2:$BB$67,'Data_Matrix (2018)'!O$2:O$67)</f>
        <v>30.799201803954293</v>
      </c>
      <c r="P58" s="9">
        <f>_xlfn.COVARIANCE.P('Data_Matrix (2018)'!$BB$2:$BB$67,'Data_Matrix (2018)'!P$2:P$67)</f>
        <v>11.919145534864459</v>
      </c>
      <c r="Q58" s="9">
        <f>_xlfn.COVARIANCE.P('Data_Matrix (2018)'!$BB$2:$BB$67,'Data_Matrix (2018)'!Q$2:Q$67)</f>
        <v>28.246662181099087</v>
      </c>
      <c r="R58" s="9">
        <f>_xlfn.COVARIANCE.P('Data_Matrix (2018)'!$BB$2:$BB$67,'Data_Matrix (2018)'!R$2:R$67)</f>
        <v>37.119743635360699</v>
      </c>
      <c r="S58" s="9">
        <f>_xlfn.COVARIANCE.P('Data_Matrix (2018)'!$BB$2:$BB$67,'Data_Matrix (2018)'!S$2:S$67)</f>
        <v>16.435419531026064</v>
      </c>
      <c r="T58" s="9">
        <f>_xlfn.COVARIANCE.P('Data_Matrix (2018)'!$BB$2:$BB$67,'Data_Matrix (2018)'!T$2:T$67)</f>
        <v>8.1387836029765275</v>
      </c>
      <c r="U58" s="9">
        <f>_xlfn.COVARIANCE.P('Data_Matrix (2018)'!$BB$2:$BB$67,'Data_Matrix (2018)'!U$2:U$67)</f>
        <v>9.1634155979237732</v>
      </c>
      <c r="V58" s="9">
        <f>_xlfn.COVARIANCE.P('Data_Matrix (2018)'!$BB$2:$BB$67,'Data_Matrix (2018)'!V$2:V$67)</f>
        <v>17.181484726065204</v>
      </c>
      <c r="W58" s="9">
        <f>_xlfn.COVARIANCE.P('Data_Matrix (2018)'!$BB$2:$BB$67,'Data_Matrix (2018)'!W$2:W$67)</f>
        <v>4.2316645610722382E-2</v>
      </c>
      <c r="X58" s="9">
        <f>_xlfn.COVARIANCE.P('Data_Matrix (2018)'!$BB$2:$BB$67,'Data_Matrix (2018)'!X$2:X$67)</f>
        <v>4.3418709598559042</v>
      </c>
      <c r="Y58" s="9">
        <f>_xlfn.COVARIANCE.P('Data_Matrix (2018)'!$BB$2:$BB$67,'Data_Matrix (2018)'!Y$2:Y$67)</f>
        <v>12.335485210634257</v>
      </c>
      <c r="Z58" s="9">
        <f>_xlfn.COVARIANCE.P('Data_Matrix (2018)'!$BB$2:$BB$67,'Data_Matrix (2018)'!Z$2:Z$67)</f>
        <v>7.5646349869026466</v>
      </c>
      <c r="AA58" s="9">
        <f>_xlfn.COVARIANCE.P('Data_Matrix (2018)'!$BB$2:$BB$67,'Data_Matrix (2018)'!AA$2:AA$67)</f>
        <v>-0.37067586734028157</v>
      </c>
      <c r="AB58" s="9">
        <f>_xlfn.COVARIANCE.P('Data_Matrix (2018)'!$BB$2:$BB$67,'Data_Matrix (2018)'!AB$2:AB$67)</f>
        <v>7.2928479366486915E-2</v>
      </c>
      <c r="AC58" s="9">
        <f>_xlfn.COVARIANCE.P('Data_Matrix (2018)'!$BB$2:$BB$67,'Data_Matrix (2018)'!AC$2:AC$67)</f>
        <v>1.0438410434427847</v>
      </c>
      <c r="AD58" s="9">
        <f>_xlfn.COVARIANCE.P('Data_Matrix (2018)'!$BB$2:$BB$67,'Data_Matrix (2018)'!AD$2:AD$67)</f>
        <v>0.26190621832830652</v>
      </c>
      <c r="AE58" s="9">
        <f>_xlfn.COVARIANCE.P('Data_Matrix (2018)'!$BB$2:$BB$67,'Data_Matrix (2018)'!AE$2:AE$67)</f>
        <v>-1.1960148744387304E-2</v>
      </c>
      <c r="AF58" s="9">
        <f>_xlfn.COVARIANCE.P('Data_Matrix (2018)'!$BB$2:$BB$67,'Data_Matrix (2018)'!AF$2:AF$67)</f>
        <v>0.63252241608596138</v>
      </c>
      <c r="AG58" s="9">
        <f>_xlfn.COVARIANCE.P('Data_Matrix (2018)'!$BB$2:$BB$67,'Data_Matrix (2018)'!AG$2:AG$67)</f>
        <v>1.5186167001329007</v>
      </c>
      <c r="AH58" s="9">
        <f>_xlfn.COVARIANCE.P('Data_Matrix (2018)'!$BB$2:$BB$67,'Data_Matrix (2018)'!AH$2:AH$67)</f>
        <v>0.15439067314038946</v>
      </c>
      <c r="AI58" s="9">
        <f>_xlfn.COVARIANCE.P('Data_Matrix (2018)'!$BB$2:$BB$67,'Data_Matrix (2018)'!AI$2:AI$67)</f>
        <v>0.81702832684010041</v>
      </c>
      <c r="AJ58" s="9">
        <f>_xlfn.COVARIANCE.P('Data_Matrix (2018)'!$BB$2:$BB$67,'Data_Matrix (2018)'!AJ$2:AJ$67)</f>
        <v>1.3243034322940062</v>
      </c>
      <c r="AK58" s="9">
        <f>_xlfn.COVARIANCE.P('Data_Matrix (2018)'!$BB$2:$BB$67,'Data_Matrix (2018)'!AK$2:AK$67)</f>
        <v>1.4754975958501773</v>
      </c>
      <c r="AL58" s="9">
        <f>_xlfn.COVARIANCE.P('Data_Matrix (2018)'!$BB$2:$BB$67,'Data_Matrix (2018)'!AL$2:AL$67)</f>
        <v>-1.2704919494616109</v>
      </c>
      <c r="AM58" s="9">
        <f>_xlfn.COVARIANCE.P('Data_Matrix (2018)'!$BB$2:$BB$67,'Data_Matrix (2018)'!AM$2:AM$67)</f>
        <v>0.9924065598871773</v>
      </c>
      <c r="AN58" s="9">
        <f>_xlfn.COVARIANCE.P('Data_Matrix (2018)'!$BB$2:$BB$67,'Data_Matrix (2018)'!AN$2:AN$67)</f>
        <v>-0.20692692338657048</v>
      </c>
      <c r="AO58" s="9">
        <f>_xlfn.COVARIANCE.P('Data_Matrix (2018)'!$BB$2:$BB$67,'Data_Matrix (2018)'!AO$2:AO$67)</f>
        <v>2.0850203502614049</v>
      </c>
      <c r="AP58" s="9">
        <f>_xlfn.COVARIANCE.P('Data_Matrix (2018)'!$BB$2:$BB$67,'Data_Matrix (2018)'!AP$2:AP$67)</f>
        <v>2.5934148178677043</v>
      </c>
      <c r="AQ58" s="9">
        <f>_xlfn.COVARIANCE.P('Data_Matrix (2018)'!$BB$2:$BB$67,'Data_Matrix (2018)'!AQ$2:AQ$67)</f>
        <v>0.72508442819648034</v>
      </c>
      <c r="AR58" s="9">
        <f>_xlfn.COVARIANCE.P('Data_Matrix (2018)'!$BB$2:$BB$67,'Data_Matrix (2018)'!AR$2:AR$67)</f>
        <v>0.65741253644080411</v>
      </c>
      <c r="AS58" s="9">
        <f>_xlfn.COVARIANCE.P('Data_Matrix (2018)'!$BB$2:$BB$67,'Data_Matrix (2018)'!AS$2:AS$67)</f>
        <v>0.38142299747450947</v>
      </c>
      <c r="AT58" s="9">
        <f>_xlfn.COVARIANCE.P('Data_Matrix (2018)'!$BB$2:$BB$67,'Data_Matrix (2018)'!AT$2:AT$67)</f>
        <v>0.1809925629638458</v>
      </c>
      <c r="AU58" s="9">
        <f>_xlfn.COVARIANCE.P('Data_Matrix (2018)'!$BB$2:$BB$67,'Data_Matrix (2018)'!AU$2:AU$67)</f>
        <v>-0.12123611943128745</v>
      </c>
      <c r="AV58" s="9">
        <f>_xlfn.COVARIANCE.P('Data_Matrix (2018)'!$BB$2:$BB$67,'Data_Matrix (2018)'!AV$2:AV$67)</f>
        <v>0.68935005681642547</v>
      </c>
      <c r="AW58" s="9">
        <f>_xlfn.COVARIANCE.P('Data_Matrix (2018)'!$BB$2:$BB$67,'Data_Matrix (2018)'!AW$2:AW$67)</f>
        <v>0.48207485720101334</v>
      </c>
      <c r="AX58" s="9">
        <f>_xlfn.COVARIANCE.P('Data_Matrix (2018)'!$BB$2:$BB$67,'Data_Matrix (2018)'!AX$2:AX$67)</f>
        <v>0.7207047583665892</v>
      </c>
      <c r="AY58" s="9">
        <f>_xlfn.COVARIANCE.P('Data_Matrix (2018)'!$BB$2:$BB$67,'Data_Matrix (2018)'!AY$2:AY$67)</f>
        <v>3.476827085393018E-2</v>
      </c>
      <c r="AZ58" s="9">
        <f>_xlfn.COVARIANCE.P('Data_Matrix (2018)'!$BB$2:$BB$67,'Data_Matrix (2018)'!AZ$2:AZ$67)</f>
        <v>0.64445704556236449</v>
      </c>
      <c r="BA58" s="9">
        <f>_xlfn.COVARIANCE.P('Data_Matrix (2018)'!$BB$2:$BB$67,'Data_Matrix (2018)'!BA$2:BA$67)</f>
        <v>-2.6048153772365683E-3</v>
      </c>
      <c r="BB58" s="9">
        <f>_xlfn.COVARIANCE.P('Data_Matrix (2018)'!$BB$2:$BB$67,'Data_Matrix (2018)'!BB$2:BB$67)</f>
        <v>0.59506594926187284</v>
      </c>
      <c r="BC58" s="9">
        <f>_xlfn.COVARIANCE.P('Data_Matrix (2018)'!$BB$2:$BB$67,'Data_Matrix (2018)'!BC$2:BC$67)</f>
        <v>-2.4429413062538385E-2</v>
      </c>
      <c r="BD58" s="9">
        <f>_xlfn.COVARIANCE.P('Data_Matrix (2018)'!$BB$2:$BB$67,'Data_Matrix (2018)'!BD$2:BD$67)</f>
        <v>-2.1655871992797074E-2</v>
      </c>
      <c r="BE58" s="9">
        <f>_xlfn.COVARIANCE.P('Data_Matrix (2018)'!$BB$2:$BB$67,'Data_Matrix (2018)'!BE$2:BE$67)</f>
        <v>6.0928694404291966E-2</v>
      </c>
      <c r="BF58" s="9">
        <f>_xlfn.COVARIANCE.P('Data_Matrix (2018)'!$BB$2:$BB$67,'Data_Matrix (2018)'!BF$2:BF$67)</f>
        <v>1.6885775168206532E-3</v>
      </c>
      <c r="BG58" s="9">
        <f>_xlfn.COVARIANCE.P('Data_Matrix (2018)'!$BB$2:$BB$67,'Data_Matrix (2018)'!BG$2:BG$67)</f>
        <v>1.0433513840265463E-3</v>
      </c>
      <c r="BH58" s="9">
        <f>_xlfn.COVARIANCE.P('Data_Matrix (2018)'!$BB$2:$BB$67,'Data_Matrix (2018)'!BH$2:BH$67)</f>
        <v>-4.3865837428675421E-3</v>
      </c>
      <c r="BI58" s="9">
        <f>_xlfn.COVARIANCE.P('Data_Matrix (2018)'!$BB$2:$BB$67,'Data_Matrix (2018)'!BI$2:BI$67)</f>
        <v>-5.9506669041640709E-4</v>
      </c>
      <c r="BJ58" s="9">
        <f>_xlfn.COVARIANCE.P('Data_Matrix (2018)'!$BB$2:$BB$67,'Data_Matrix (2018)'!BJ$2:BJ$67)</f>
        <v>9.2888507049781379E-3</v>
      </c>
      <c r="BK58" s="9">
        <f>_xlfn.COVARIANCE.P('Data_Matrix (2018)'!$BB$2:$BB$67,'Data_Matrix (2018)'!BK$2:BK$67)</f>
        <v>-3.3127859868082503E-4</v>
      </c>
      <c r="BL58" s="9">
        <f>_xlfn.COVARIANCE.P('Data_Matrix (2018)'!$BB$2:$BB$67,'Data_Matrix (2018)'!BL$2:BL$67)</f>
        <v>-5.7503833593405456E-3</v>
      </c>
      <c r="BM58" s="9">
        <f>_xlfn.COVARIANCE.P('Data_Matrix (2018)'!$BB$2:$BB$67,'Data_Matrix (2018)'!BM$2:BM$67)</f>
        <v>2.2932164953564196E-4</v>
      </c>
      <c r="BN58" s="9">
        <f>_xlfn.COVARIANCE.P('Data_Matrix (2018)'!$BB$2:$BB$67,'Data_Matrix (2018)'!BN$2:BN$67)</f>
        <v>-4.8709071668302827E-4</v>
      </c>
      <c r="BO58" s="9">
        <f>_xlfn.COVARIANCE.P('Data_Matrix (2018)'!$BB$2:$BB$67,'Data_Matrix (2018)'!BO$2:BO$67)</f>
        <v>-7.2502596167082634E-6</v>
      </c>
    </row>
    <row r="59" spans="2:67" x14ac:dyDescent="0.2">
      <c r="B59" s="9">
        <f>_xlfn.COVARIANCE.P('Data_Matrix (2018)'!$BC$2:$BC$67,'Data_Matrix (2018)'!B$2:B$67)</f>
        <v>186.24069469738509</v>
      </c>
      <c r="C59" s="9">
        <f>_xlfn.COVARIANCE.P('Data_Matrix (2018)'!$BC$2:$BC$67,'Data_Matrix (2018)'!C$2:C$67)</f>
        <v>797.78339808816952</v>
      </c>
      <c r="D59" s="9">
        <f>_xlfn.COVARIANCE.P('Data_Matrix (2018)'!$BC$2:$BC$67,'Data_Matrix (2018)'!D$2:D$67)</f>
        <v>380.97404126859971</v>
      </c>
      <c r="E59" s="9">
        <f>_xlfn.COVARIANCE.P('Data_Matrix (2018)'!$BC$2:$BC$67,'Data_Matrix (2018)'!E$2:E$67)</f>
        <v>135.61916514649445</v>
      </c>
      <c r="F59" s="9">
        <f>_xlfn.COVARIANCE.P('Data_Matrix (2018)'!$BC$2:$BC$67,'Data_Matrix (2018)'!F$2:F$67)</f>
        <v>-37.261242383024133</v>
      </c>
      <c r="G59" s="9">
        <f>_xlfn.COVARIANCE.P('Data_Matrix (2018)'!$BC$2:$BC$67,'Data_Matrix (2018)'!G$2:G$67)</f>
        <v>333.24023767820779</v>
      </c>
      <c r="H59" s="9">
        <f>_xlfn.COVARIANCE.P('Data_Matrix (2018)'!$BC$2:$BC$67,'Data_Matrix (2018)'!H$2:H$67)</f>
        <v>108.6494642789819</v>
      </c>
      <c r="I59" s="9">
        <f>_xlfn.COVARIANCE.P('Data_Matrix (2018)'!$BC$2:$BC$67,'Data_Matrix (2018)'!I$2:I$67)</f>
        <v>129.59150112123518</v>
      </c>
      <c r="J59" s="9">
        <f>_xlfn.COVARIANCE.P('Data_Matrix (2018)'!$BC$2:$BC$67,'Data_Matrix (2018)'!J$2:J$67)</f>
        <v>19.63027227272644</v>
      </c>
      <c r="K59" s="9">
        <f>_xlfn.COVARIANCE.P('Data_Matrix (2018)'!$BC$2:$BC$67,'Data_Matrix (2018)'!K$2:K$67)</f>
        <v>61.854926320782056</v>
      </c>
      <c r="L59" s="9">
        <f>_xlfn.COVARIANCE.P('Data_Matrix (2018)'!$BC$2:$BC$67,'Data_Matrix (2018)'!L$2:L$67)</f>
        <v>36.680971772900058</v>
      </c>
      <c r="M59" s="9">
        <f>_xlfn.COVARIANCE.P('Data_Matrix (2018)'!$BC$2:$BC$67,'Data_Matrix (2018)'!M$2:M$67)</f>
        <v>25.562980074566266</v>
      </c>
      <c r="N59" s="9">
        <f>_xlfn.COVARIANCE.P('Data_Matrix (2018)'!$BC$2:$BC$67,'Data_Matrix (2018)'!N$2:N$67)</f>
        <v>62.541373835003647</v>
      </c>
      <c r="O59" s="9">
        <f>_xlfn.COVARIANCE.P('Data_Matrix (2018)'!$BC$2:$BC$67,'Data_Matrix (2018)'!O$2:O$67)</f>
        <v>18.062975411734826</v>
      </c>
      <c r="P59" s="9">
        <f>_xlfn.COVARIANCE.P('Data_Matrix (2018)'!$BC$2:$BC$67,'Data_Matrix (2018)'!P$2:P$67)</f>
        <v>-6.7474731999760946</v>
      </c>
      <c r="Q59" s="9">
        <f>_xlfn.COVARIANCE.P('Data_Matrix (2018)'!$BC$2:$BC$67,'Data_Matrix (2018)'!Q$2:Q$67)</f>
        <v>13.446468886973342</v>
      </c>
      <c r="R59" s="9">
        <f>_xlfn.COVARIANCE.P('Data_Matrix (2018)'!$BC$2:$BC$67,'Data_Matrix (2018)'!R$2:R$67)</f>
        <v>22.36623633310375</v>
      </c>
      <c r="S59" s="9">
        <f>_xlfn.COVARIANCE.P('Data_Matrix (2018)'!$BC$2:$BC$67,'Data_Matrix (2018)'!S$2:S$67)</f>
        <v>12.081310923984265</v>
      </c>
      <c r="T59" s="9">
        <f>_xlfn.COVARIANCE.P('Data_Matrix (2018)'!$BC$2:$BC$67,'Data_Matrix (2018)'!T$2:T$67)</f>
        <v>11.361959358112241</v>
      </c>
      <c r="U59" s="9">
        <f>_xlfn.COVARIANCE.P('Data_Matrix (2018)'!$BC$2:$BC$67,'Data_Matrix (2018)'!U$2:U$67)</f>
        <v>3.804256587264959</v>
      </c>
      <c r="V59" s="9">
        <f>_xlfn.COVARIANCE.P('Data_Matrix (2018)'!$BC$2:$BC$67,'Data_Matrix (2018)'!V$2:V$67)</f>
        <v>-0.97658408991203882</v>
      </c>
      <c r="W59" s="9">
        <f>_xlfn.COVARIANCE.P('Data_Matrix (2018)'!$BC$2:$BC$67,'Data_Matrix (2018)'!W$2:W$67)</f>
        <v>4.2484237997326071</v>
      </c>
      <c r="X59" s="9">
        <f>_xlfn.COVARIANCE.P('Data_Matrix (2018)'!$BC$2:$BC$67,'Data_Matrix (2018)'!X$2:X$67)</f>
        <v>6.5965094397330564</v>
      </c>
      <c r="Y59" s="9">
        <f>_xlfn.COVARIANCE.P('Data_Matrix (2018)'!$BC$2:$BC$67,'Data_Matrix (2018)'!Y$2:Y$67)</f>
        <v>12.521768536057918</v>
      </c>
      <c r="Z59" s="9">
        <f>_xlfn.COVARIANCE.P('Data_Matrix (2018)'!$BC$2:$BC$67,'Data_Matrix (2018)'!Z$2:Z$67)</f>
        <v>3.1894903982888825</v>
      </c>
      <c r="AA59" s="9">
        <f>_xlfn.COVARIANCE.P('Data_Matrix (2018)'!$BC$2:$BC$67,'Data_Matrix (2018)'!AA$2:AA$67)</f>
        <v>5.3158062023067938</v>
      </c>
      <c r="AB59" s="9">
        <f>_xlfn.COVARIANCE.P('Data_Matrix (2018)'!$BC$2:$BC$67,'Data_Matrix (2018)'!AB$2:AB$67)</f>
        <v>1.4170173479337342</v>
      </c>
      <c r="AC59" s="9">
        <f>_xlfn.COVARIANCE.P('Data_Matrix (2018)'!$BC$2:$BC$67,'Data_Matrix (2018)'!AC$2:AC$67)</f>
        <v>1.4594013445974905</v>
      </c>
      <c r="AD59" s="9">
        <f>_xlfn.COVARIANCE.P('Data_Matrix (2018)'!$BC$2:$BC$67,'Data_Matrix (2018)'!AD$2:AD$67)</f>
        <v>1.6965596948852415</v>
      </c>
      <c r="AE59" s="9">
        <f>_xlfn.COVARIANCE.P('Data_Matrix (2018)'!$BC$2:$BC$67,'Data_Matrix (2018)'!AE$2:AE$67)</f>
        <v>0.90262999104346919</v>
      </c>
      <c r="AF59" s="9">
        <f>_xlfn.COVARIANCE.P('Data_Matrix (2018)'!$BC$2:$BC$67,'Data_Matrix (2018)'!AF$2:AF$67)</f>
        <v>1.0963478944412643</v>
      </c>
      <c r="AG59" s="9">
        <f>_xlfn.COVARIANCE.P('Data_Matrix (2018)'!$BC$2:$BC$67,'Data_Matrix (2018)'!AG$2:AG$67)</f>
        <v>0.96314599669142487</v>
      </c>
      <c r="AH59" s="9">
        <f>_xlfn.COVARIANCE.P('Data_Matrix (2018)'!$BC$2:$BC$67,'Data_Matrix (2018)'!AH$2:AH$67)</f>
        <v>0.19604030552971155</v>
      </c>
      <c r="AI59" s="9">
        <f>_xlfn.COVARIANCE.P('Data_Matrix (2018)'!$BC$2:$BC$67,'Data_Matrix (2018)'!AI$2:AI$67)</f>
        <v>0.92994464836406565</v>
      </c>
      <c r="AJ59" s="9">
        <f>_xlfn.COVARIANCE.P('Data_Matrix (2018)'!$BC$2:$BC$67,'Data_Matrix (2018)'!AJ$2:AJ$67)</f>
        <v>0.99385416181368047</v>
      </c>
      <c r="AK59" s="9">
        <f>_xlfn.COVARIANCE.P('Data_Matrix (2018)'!$BC$2:$BC$67,'Data_Matrix (2018)'!AK$2:AK$67)</f>
        <v>0.19367855044103893</v>
      </c>
      <c r="AL59" s="9">
        <f>_xlfn.COVARIANCE.P('Data_Matrix (2018)'!$BC$2:$BC$67,'Data_Matrix (2018)'!AL$2:AL$67)</f>
        <v>-0.50807817663385391</v>
      </c>
      <c r="AM59" s="9">
        <f>_xlfn.COVARIANCE.P('Data_Matrix (2018)'!$BC$2:$BC$67,'Data_Matrix (2018)'!AM$2:AM$67)</f>
        <v>0.27676714252730183</v>
      </c>
      <c r="AN59" s="9">
        <f>_xlfn.COVARIANCE.P('Data_Matrix (2018)'!$BC$2:$BC$67,'Data_Matrix (2018)'!AN$2:AN$67)</f>
        <v>0.44246532873359246</v>
      </c>
      <c r="AO59" s="9">
        <f>_xlfn.COVARIANCE.P('Data_Matrix (2018)'!$BC$2:$BC$67,'Data_Matrix (2018)'!AO$2:AO$67)</f>
        <v>0.13322910910527994</v>
      </c>
      <c r="AP59" s="9">
        <f>_xlfn.COVARIANCE.P('Data_Matrix (2018)'!$BC$2:$BC$67,'Data_Matrix (2018)'!AP$2:AP$67)</f>
        <v>0.33653848507874745</v>
      </c>
      <c r="AQ59" s="9">
        <f>_xlfn.COVARIANCE.P('Data_Matrix (2018)'!$BC$2:$BC$67,'Data_Matrix (2018)'!AQ$2:AQ$67)</f>
        <v>-0.10709409008628107</v>
      </c>
      <c r="AR59" s="9">
        <f>_xlfn.COVARIANCE.P('Data_Matrix (2018)'!$BC$2:$BC$67,'Data_Matrix (2018)'!AR$2:AR$67)</f>
        <v>0.2001003246819387</v>
      </c>
      <c r="AS59" s="9">
        <f>_xlfn.COVARIANCE.P('Data_Matrix (2018)'!$BC$2:$BC$67,'Data_Matrix (2018)'!AS$2:AS$67)</f>
        <v>0.25734688158512103</v>
      </c>
      <c r="AT59" s="9">
        <f>_xlfn.COVARIANCE.P('Data_Matrix (2018)'!$BC$2:$BC$67,'Data_Matrix (2018)'!AT$2:AT$67)</f>
        <v>-7.582258428797499E-2</v>
      </c>
      <c r="AU59" s="9">
        <f>_xlfn.COVARIANCE.P('Data_Matrix (2018)'!$BC$2:$BC$67,'Data_Matrix (2018)'!AU$2:AU$67)</f>
        <v>3.0435542424718E-2</v>
      </c>
      <c r="AV59" s="9">
        <f>_xlfn.COVARIANCE.P('Data_Matrix (2018)'!$BC$2:$BC$67,'Data_Matrix (2018)'!AV$2:AV$67)</f>
        <v>8.2715349966817536E-2</v>
      </c>
      <c r="AW59" s="9">
        <f>_xlfn.COVARIANCE.P('Data_Matrix (2018)'!$BC$2:$BC$67,'Data_Matrix (2018)'!AW$2:AW$67)</f>
        <v>-1.4142093111028044E-2</v>
      </c>
      <c r="AX59" s="9">
        <f>_xlfn.COVARIANCE.P('Data_Matrix (2018)'!$BC$2:$BC$67,'Data_Matrix (2018)'!AX$2:AX$67)</f>
        <v>-0.11780521241073225</v>
      </c>
      <c r="AY59" s="9">
        <f>_xlfn.COVARIANCE.P('Data_Matrix (2018)'!$BC$2:$BC$67,'Data_Matrix (2018)'!AY$2:AY$67)</f>
        <v>0.2880877897823258</v>
      </c>
      <c r="AZ59" s="9">
        <f>_xlfn.COVARIANCE.P('Data_Matrix (2018)'!$BC$2:$BC$67,'Data_Matrix (2018)'!AZ$2:AZ$67)</f>
        <v>-8.0738462874136219E-2</v>
      </c>
      <c r="BA59" s="9">
        <f>_xlfn.COVARIANCE.P('Data_Matrix (2018)'!$BC$2:$BC$67,'Data_Matrix (2018)'!BA$2:BA$67)</f>
        <v>2.0982693568553077E-3</v>
      </c>
      <c r="BB59" s="9">
        <f>_xlfn.COVARIANCE.P('Data_Matrix (2018)'!$BC$2:$BC$67,'Data_Matrix (2018)'!BB$2:BB$67)</f>
        <v>-2.4429413062538385E-2</v>
      </c>
      <c r="BC59" s="9">
        <f>_xlfn.COVARIANCE.P('Data_Matrix (2018)'!$BC$2:$BC$67,'Data_Matrix (2018)'!BC$2:BC$67)</f>
        <v>0.26931363523996527</v>
      </c>
      <c r="BD59" s="9">
        <f>_xlfn.COVARIANCE.P('Data_Matrix (2018)'!$BC$2:$BC$67,'Data_Matrix (2018)'!BD$2:BD$67)</f>
        <v>-4.8779267497836417E-3</v>
      </c>
      <c r="BE59" s="9">
        <f>_xlfn.COVARIANCE.P('Data_Matrix (2018)'!$BC$2:$BC$67,'Data_Matrix (2018)'!BE$2:BE$67)</f>
        <v>-1.7010154761467136E-3</v>
      </c>
      <c r="BF59" s="9">
        <f>_xlfn.COVARIANCE.P('Data_Matrix (2018)'!$BC$2:$BC$67,'Data_Matrix (2018)'!BF$2:BF$67)</f>
        <v>1.5368237718928332E-3</v>
      </c>
      <c r="BG59" s="9">
        <f>_xlfn.COVARIANCE.P('Data_Matrix (2018)'!$BC$2:$BC$67,'Data_Matrix (2018)'!BG$2:BG$67)</f>
        <v>1.491107189014966E-3</v>
      </c>
      <c r="BH59" s="9">
        <f>_xlfn.COVARIANCE.P('Data_Matrix (2018)'!$BC$2:$BC$67,'Data_Matrix (2018)'!BH$2:BH$67)</f>
        <v>0.10758642730019188</v>
      </c>
      <c r="BI59" s="9">
        <f>_xlfn.COVARIANCE.P('Data_Matrix (2018)'!$BC$2:$BC$67,'Data_Matrix (2018)'!BI$2:BI$67)</f>
        <v>-6.8575901954788391E-5</v>
      </c>
      <c r="BJ59" s="9">
        <f>_xlfn.COVARIANCE.P('Data_Matrix (2018)'!$BC$2:$BC$67,'Data_Matrix (2018)'!BJ$2:BJ$67)</f>
        <v>1.0046004701043474E-3</v>
      </c>
      <c r="BK59" s="9">
        <f>_xlfn.COVARIANCE.P('Data_Matrix (2018)'!$BC$2:$BC$67,'Data_Matrix (2018)'!BK$2:BK$67)</f>
        <v>2.2321633304241151E-4</v>
      </c>
      <c r="BL59" s="9">
        <f>_xlfn.COVARIANCE.P('Data_Matrix (2018)'!$BC$2:$BC$67,'Data_Matrix (2018)'!BL$2:BL$67)</f>
        <v>-1.6248010886343743E-3</v>
      </c>
      <c r="BM59" s="9">
        <f>_xlfn.COVARIANCE.P('Data_Matrix (2018)'!$BC$2:$BC$67,'Data_Matrix (2018)'!BM$2:BM$67)</f>
        <v>5.1448580112490412E-4</v>
      </c>
      <c r="BN59" s="9">
        <f>_xlfn.COVARIANCE.P('Data_Matrix (2018)'!$BC$2:$BC$67,'Data_Matrix (2018)'!BN$2:BN$67)</f>
        <v>-1.235646626464272E-4</v>
      </c>
      <c r="BO59" s="9">
        <f>_xlfn.COVARIANCE.P('Data_Matrix (2018)'!$BC$2:$BC$67,'Data_Matrix (2018)'!BO$2:BO$67)</f>
        <v>6.0681611686964268E-5</v>
      </c>
    </row>
    <row r="60" spans="2:67" x14ac:dyDescent="0.2">
      <c r="B60" s="9">
        <f>_xlfn.COVARIANCE.P('Data_Matrix (2018)'!$BD$2:$BD$67,'Data_Matrix (2018)'!B$2:B$67)</f>
        <v>-58.641362491576217</v>
      </c>
      <c r="C60" s="9">
        <f>_xlfn.COVARIANCE.P('Data_Matrix (2018)'!$BD$2:$BD$67,'Data_Matrix (2018)'!C$2:C$67)</f>
        <v>-107.63105577711717</v>
      </c>
      <c r="D60" s="9">
        <f>_xlfn.COVARIANCE.P('Data_Matrix (2018)'!$BD$2:$BD$67,'Data_Matrix (2018)'!D$2:D$67)</f>
        <v>-114.02043624767448</v>
      </c>
      <c r="E60" s="9">
        <f>_xlfn.COVARIANCE.P('Data_Matrix (2018)'!$BD$2:$BD$67,'Data_Matrix (2018)'!E$2:E$67)</f>
        <v>-92.894456779186967</v>
      </c>
      <c r="F60" s="9">
        <f>_xlfn.COVARIANCE.P('Data_Matrix (2018)'!$BD$2:$BD$67,'Data_Matrix (2018)'!F$2:F$67)</f>
        <v>60.630688541581904</v>
      </c>
      <c r="G60" s="9">
        <f>_xlfn.COVARIANCE.P('Data_Matrix (2018)'!$BD$2:$BD$67,'Data_Matrix (2018)'!G$2:G$67)</f>
        <v>-132.82266051548385</v>
      </c>
      <c r="H60" s="9">
        <f>_xlfn.COVARIANCE.P('Data_Matrix (2018)'!$BD$2:$BD$67,'Data_Matrix (2018)'!H$2:H$67)</f>
        <v>-33.923819502330929</v>
      </c>
      <c r="I60" s="9">
        <f>_xlfn.COVARIANCE.P('Data_Matrix (2018)'!$BD$2:$BD$67,'Data_Matrix (2018)'!I$2:I$67)</f>
        <v>-30.243260418117281</v>
      </c>
      <c r="J60" s="9">
        <f>_xlfn.COVARIANCE.P('Data_Matrix (2018)'!$BD$2:$BD$67,'Data_Matrix (2018)'!J$2:J$67)</f>
        <v>-16.671555659791686</v>
      </c>
      <c r="K60" s="9">
        <f>_xlfn.COVARIANCE.P('Data_Matrix (2018)'!$BD$2:$BD$67,'Data_Matrix (2018)'!K$2:K$67)</f>
        <v>17.673749983340315</v>
      </c>
      <c r="L60" s="9">
        <f>_xlfn.COVARIANCE.P('Data_Matrix (2018)'!$BD$2:$BD$67,'Data_Matrix (2018)'!L$2:L$67)</f>
        <v>-7.7317427998877317</v>
      </c>
      <c r="M60" s="9">
        <f>_xlfn.COVARIANCE.P('Data_Matrix (2018)'!$BD$2:$BD$67,'Data_Matrix (2018)'!M$2:M$67)</f>
        <v>-15.095928701331529</v>
      </c>
      <c r="N60" s="9">
        <f>_xlfn.COVARIANCE.P('Data_Matrix (2018)'!$BD$2:$BD$67,'Data_Matrix (2018)'!N$2:N$67)</f>
        <v>-19.799238713801099</v>
      </c>
      <c r="O60" s="9">
        <f>_xlfn.COVARIANCE.P('Data_Matrix (2018)'!$BD$2:$BD$67,'Data_Matrix (2018)'!O$2:O$67)</f>
        <v>-4.8094466711183257</v>
      </c>
      <c r="P60" s="9">
        <f>_xlfn.COVARIANCE.P('Data_Matrix (2018)'!$BD$2:$BD$67,'Data_Matrix (2018)'!P$2:P$67)</f>
        <v>-8.4133727365899968</v>
      </c>
      <c r="Q60" s="9">
        <f>_xlfn.COVARIANCE.P('Data_Matrix (2018)'!$BD$2:$BD$67,'Data_Matrix (2018)'!Q$2:Q$67)</f>
        <v>-2.1590748947818454</v>
      </c>
      <c r="R60" s="9">
        <f>_xlfn.COVARIANCE.P('Data_Matrix (2018)'!$BD$2:$BD$67,'Data_Matrix (2018)'!R$2:R$67)</f>
        <v>-7.8623393462411455</v>
      </c>
      <c r="S60" s="9">
        <f>_xlfn.COVARIANCE.P('Data_Matrix (2018)'!$BD$2:$BD$67,'Data_Matrix (2018)'!S$2:S$67)</f>
        <v>-1.4887140748320626</v>
      </c>
      <c r="T60" s="9">
        <f>_xlfn.COVARIANCE.P('Data_Matrix (2018)'!$BD$2:$BD$67,'Data_Matrix (2018)'!T$2:T$67)</f>
        <v>-1.1394735744366631</v>
      </c>
      <c r="U60" s="9">
        <f>_xlfn.COVARIANCE.P('Data_Matrix (2018)'!$BD$2:$BD$67,'Data_Matrix (2018)'!U$2:U$67)</f>
        <v>3.7758905584850537</v>
      </c>
      <c r="V60" s="9">
        <f>_xlfn.COVARIANCE.P('Data_Matrix (2018)'!$BD$2:$BD$67,'Data_Matrix (2018)'!V$2:V$67)</f>
        <v>1.4507833664434755</v>
      </c>
      <c r="W60" s="9">
        <f>_xlfn.COVARIANCE.P('Data_Matrix (2018)'!$BD$2:$BD$67,'Data_Matrix (2018)'!W$2:W$67)</f>
        <v>1.3094416153944419</v>
      </c>
      <c r="X60" s="9">
        <f>_xlfn.COVARIANCE.P('Data_Matrix (2018)'!$BD$2:$BD$67,'Data_Matrix (2018)'!X$2:X$67)</f>
        <v>-0.39932179299342574</v>
      </c>
      <c r="Y60" s="9">
        <f>_xlfn.COVARIANCE.P('Data_Matrix (2018)'!$BD$2:$BD$67,'Data_Matrix (2018)'!Y$2:Y$67)</f>
        <v>-0.97248468586811598</v>
      </c>
      <c r="Z60" s="9">
        <f>_xlfn.COVARIANCE.P('Data_Matrix (2018)'!$BD$2:$BD$67,'Data_Matrix (2018)'!Z$2:Z$67)</f>
        <v>4.6784610757828769E-2</v>
      </c>
      <c r="AA60" s="9">
        <f>_xlfn.COVARIANCE.P('Data_Matrix (2018)'!$BD$2:$BD$67,'Data_Matrix (2018)'!AA$2:AA$67)</f>
        <v>1.7656960390167027</v>
      </c>
      <c r="AB60" s="9">
        <f>_xlfn.COVARIANCE.P('Data_Matrix (2018)'!$BD$2:$BD$67,'Data_Matrix (2018)'!AB$2:AB$67)</f>
        <v>-0.13878136960345955</v>
      </c>
      <c r="AC60" s="9">
        <f>_xlfn.COVARIANCE.P('Data_Matrix (2018)'!$BD$2:$BD$67,'Data_Matrix (2018)'!AC$2:AC$67)</f>
        <v>0.3569826468459163</v>
      </c>
      <c r="AD60" s="9">
        <f>_xlfn.COVARIANCE.P('Data_Matrix (2018)'!$BD$2:$BD$67,'Data_Matrix (2018)'!AD$2:AD$67)</f>
        <v>-0.24479012802752584</v>
      </c>
      <c r="AE60" s="9">
        <f>_xlfn.COVARIANCE.P('Data_Matrix (2018)'!$BD$2:$BD$67,'Data_Matrix (2018)'!AE$2:AE$67)</f>
        <v>0.55767139868913318</v>
      </c>
      <c r="AF60" s="9">
        <f>_xlfn.COVARIANCE.P('Data_Matrix (2018)'!$BD$2:$BD$67,'Data_Matrix (2018)'!AF$2:AF$67)</f>
        <v>-6.0677450058979981E-2</v>
      </c>
      <c r="AG60" s="9">
        <f>_xlfn.COVARIANCE.P('Data_Matrix (2018)'!$BD$2:$BD$67,'Data_Matrix (2018)'!AG$2:AG$67)</f>
        <v>0.87371776195067397</v>
      </c>
      <c r="AH60" s="9">
        <f>_xlfn.COVARIANCE.P('Data_Matrix (2018)'!$BD$2:$BD$67,'Data_Matrix (2018)'!AH$2:AH$67)</f>
        <v>-9.8518654658753244E-2</v>
      </c>
      <c r="AI60" s="9">
        <f>_xlfn.COVARIANCE.P('Data_Matrix (2018)'!$BD$2:$BD$67,'Data_Matrix (2018)'!AI$2:AI$67)</f>
        <v>-7.3155855235317951E-2</v>
      </c>
      <c r="AJ60" s="9">
        <f>_xlfn.COVARIANCE.P('Data_Matrix (2018)'!$BD$2:$BD$67,'Data_Matrix (2018)'!AJ$2:AJ$67)</f>
        <v>-0.19004943383648412</v>
      </c>
      <c r="AK60" s="9">
        <f>_xlfn.COVARIANCE.P('Data_Matrix (2018)'!$BD$2:$BD$67,'Data_Matrix (2018)'!AK$2:AK$67)</f>
        <v>0.95992074008977968</v>
      </c>
      <c r="AL60" s="9">
        <f>_xlfn.COVARIANCE.P('Data_Matrix (2018)'!$BD$2:$BD$67,'Data_Matrix (2018)'!AL$2:AL$67)</f>
        <v>0.67010480869417199</v>
      </c>
      <c r="AM60" s="9">
        <f>_xlfn.COVARIANCE.P('Data_Matrix (2018)'!$BD$2:$BD$67,'Data_Matrix (2018)'!AM$2:AM$67)</f>
        <v>-0.39077031417690788</v>
      </c>
      <c r="AN60" s="9">
        <f>_xlfn.COVARIANCE.P('Data_Matrix (2018)'!$BD$2:$BD$67,'Data_Matrix (2018)'!AN$2:AN$67)</f>
        <v>1.4573377343753176</v>
      </c>
      <c r="AO60" s="9">
        <f>_xlfn.COVARIANCE.P('Data_Matrix (2018)'!$BD$2:$BD$67,'Data_Matrix (2018)'!AO$2:AO$67)</f>
        <v>-0.26590750339514196</v>
      </c>
      <c r="AP60" s="9">
        <f>_xlfn.COVARIANCE.P('Data_Matrix (2018)'!$BD$2:$BD$67,'Data_Matrix (2018)'!AP$2:AP$67)</f>
        <v>-0.20139290623561171</v>
      </c>
      <c r="AQ60" s="9">
        <f>_xlfn.COVARIANCE.P('Data_Matrix (2018)'!$BD$2:$BD$67,'Data_Matrix (2018)'!AQ$2:AQ$67)</f>
        <v>-4.7577214763556391E-2</v>
      </c>
      <c r="AR60" s="9">
        <f>_xlfn.COVARIANCE.P('Data_Matrix (2018)'!$BD$2:$BD$67,'Data_Matrix (2018)'!AR$2:AR$67)</f>
        <v>-0.19753900904884761</v>
      </c>
      <c r="AS60" s="9">
        <f>_xlfn.COVARIANCE.P('Data_Matrix (2018)'!$BD$2:$BD$67,'Data_Matrix (2018)'!AS$2:AS$67)</f>
        <v>-0.26969815618334908</v>
      </c>
      <c r="AT60" s="9">
        <f>_xlfn.COVARIANCE.P('Data_Matrix (2018)'!$BD$2:$BD$67,'Data_Matrix (2018)'!AT$2:AT$67)</f>
        <v>0.75654500175544448</v>
      </c>
      <c r="AU60" s="9">
        <f>_xlfn.COVARIANCE.P('Data_Matrix (2018)'!$BD$2:$BD$67,'Data_Matrix (2018)'!AU$2:AU$67)</f>
        <v>-5.1519586282918535E-2</v>
      </c>
      <c r="AV60" s="9">
        <f>_xlfn.COVARIANCE.P('Data_Matrix (2018)'!$BD$2:$BD$67,'Data_Matrix (2018)'!AV$2:AV$67)</f>
        <v>-4.8528882591073616E-2</v>
      </c>
      <c r="AW60" s="9">
        <f>_xlfn.COVARIANCE.P('Data_Matrix (2018)'!$BD$2:$BD$67,'Data_Matrix (2018)'!AW$2:AW$67)</f>
        <v>-0.12682461602212641</v>
      </c>
      <c r="AX60" s="9">
        <f>_xlfn.COVARIANCE.P('Data_Matrix (2018)'!$BD$2:$BD$67,'Data_Matrix (2018)'!AX$2:AX$67)</f>
        <v>1.4522331315875925</v>
      </c>
      <c r="AY60" s="9">
        <f>_xlfn.COVARIANCE.P('Data_Matrix (2018)'!$BD$2:$BD$67,'Data_Matrix (2018)'!AY$2:AY$67)</f>
        <v>-1.8099198541267129E-2</v>
      </c>
      <c r="AZ60" s="9">
        <f>_xlfn.COVARIANCE.P('Data_Matrix (2018)'!$BD$2:$BD$67,'Data_Matrix (2018)'!AZ$2:AZ$67)</f>
        <v>0.40613028929938449</v>
      </c>
      <c r="BA60" s="9">
        <f>_xlfn.COVARIANCE.P('Data_Matrix (2018)'!$BD$2:$BD$67,'Data_Matrix (2018)'!BA$2:BA$67)</f>
        <v>1.5443224704067806E-2</v>
      </c>
      <c r="BB60" s="9">
        <f>_xlfn.COVARIANCE.P('Data_Matrix (2018)'!$BD$2:$BD$67,'Data_Matrix (2018)'!BB$2:BB$67)</f>
        <v>-2.1655871992797074E-2</v>
      </c>
      <c r="BC60" s="9">
        <f>_xlfn.COVARIANCE.P('Data_Matrix (2018)'!$BD$2:$BD$67,'Data_Matrix (2018)'!BC$2:BC$67)</f>
        <v>-4.8779267497836417E-3</v>
      </c>
      <c r="BD60" s="9">
        <f>_xlfn.COVARIANCE.P('Data_Matrix (2018)'!$BD$2:$BD$67,'Data_Matrix (2018)'!BD$2:BD$67)</f>
        <v>0.27054041825315489</v>
      </c>
      <c r="BE60" s="9">
        <f>_xlfn.COVARIANCE.P('Data_Matrix (2018)'!$BD$2:$BD$67,'Data_Matrix (2018)'!BE$2:BE$67)</f>
        <v>6.6521687734670959E-3</v>
      </c>
      <c r="BF60" s="9">
        <f>_xlfn.COVARIANCE.P('Data_Matrix (2018)'!$BD$2:$BD$67,'Data_Matrix (2018)'!BF$2:BF$67)</f>
        <v>3.2308149028978626E-3</v>
      </c>
      <c r="BG60" s="9">
        <f>_xlfn.COVARIANCE.P('Data_Matrix (2018)'!$BD$2:$BD$67,'Data_Matrix (2018)'!BG$2:BG$67)</f>
        <v>2.6094119922211406E-3</v>
      </c>
      <c r="BH60" s="9">
        <f>_xlfn.COVARIANCE.P('Data_Matrix (2018)'!$BD$2:$BD$67,'Data_Matrix (2018)'!BH$2:BH$67)</f>
        <v>3.3903217602046704E-3</v>
      </c>
      <c r="BI60" s="9">
        <f>_xlfn.COVARIANCE.P('Data_Matrix (2018)'!$BD$2:$BD$67,'Data_Matrix (2018)'!BI$2:BI$67)</f>
        <v>5.756073085504367E-3</v>
      </c>
      <c r="BJ60" s="9">
        <f>_xlfn.COVARIANCE.P('Data_Matrix (2018)'!$BD$2:$BD$67,'Data_Matrix (2018)'!BJ$2:BJ$67)</f>
        <v>3.46289593528763E-3</v>
      </c>
      <c r="BK60" s="9">
        <f>_xlfn.COVARIANCE.P('Data_Matrix (2018)'!$BD$2:$BD$67,'Data_Matrix (2018)'!BK$2:BK$67)</f>
        <v>4.1206006761082999E-3</v>
      </c>
      <c r="BL60" s="9">
        <f>_xlfn.COVARIANCE.P('Data_Matrix (2018)'!$BD$2:$BD$67,'Data_Matrix (2018)'!BL$2:BL$67)</f>
        <v>6.8302770926489801E-4</v>
      </c>
      <c r="BM60" s="9">
        <f>_xlfn.COVARIANCE.P('Data_Matrix (2018)'!$BD$2:$BD$67,'Data_Matrix (2018)'!BM$2:BM$67)</f>
        <v>4.2115900998600573E-4</v>
      </c>
      <c r="BN60" s="9">
        <f>_xlfn.COVARIANCE.P('Data_Matrix (2018)'!$BD$2:$BD$67,'Data_Matrix (2018)'!BN$2:BN$67)</f>
        <v>3.6215428356805069E-5</v>
      </c>
      <c r="BO60" s="9">
        <f>_xlfn.COVARIANCE.P('Data_Matrix (2018)'!$BD$2:$BD$67,'Data_Matrix (2018)'!BO$2:BO$67)</f>
        <v>1.2619514867793764E-5</v>
      </c>
    </row>
    <row r="61" spans="2:67" x14ac:dyDescent="0.2">
      <c r="B61" s="9">
        <f>_xlfn.COVARIANCE.P('Data_Matrix (2018)'!$BE$2:$BE$67,'Data_Matrix (2018)'!B$2:B$67)</f>
        <v>26.435341353795963</v>
      </c>
      <c r="C61" s="9">
        <f>_xlfn.COVARIANCE.P('Data_Matrix (2018)'!$BE$2:$BE$67,'Data_Matrix (2018)'!C$2:C$67)</f>
        <v>239.88956241442173</v>
      </c>
      <c r="D61" s="9">
        <f>_xlfn.COVARIANCE.P('Data_Matrix (2018)'!$BE$2:$BE$67,'Data_Matrix (2018)'!D$2:D$67)</f>
        <v>87.469267646244489</v>
      </c>
      <c r="E61" s="9">
        <f>_xlfn.COVARIANCE.P('Data_Matrix (2018)'!$BE$2:$BE$67,'Data_Matrix (2018)'!E$2:E$67)</f>
        <v>87.721974278561831</v>
      </c>
      <c r="F61" s="9">
        <f>_xlfn.COVARIANCE.P('Data_Matrix (2018)'!$BE$2:$BE$67,'Data_Matrix (2018)'!F$2:F$67)</f>
        <v>36.422097495868393</v>
      </c>
      <c r="G61" s="9">
        <f>_xlfn.COVARIANCE.P('Data_Matrix (2018)'!$BE$2:$BE$67,'Data_Matrix (2018)'!G$2:G$67)</f>
        <v>82.362713496179694</v>
      </c>
      <c r="H61" s="9">
        <f>_xlfn.COVARIANCE.P('Data_Matrix (2018)'!$BE$2:$BE$67,'Data_Matrix (2018)'!H$2:H$67)</f>
        <v>25.413488624060985</v>
      </c>
      <c r="I61" s="9">
        <f>_xlfn.COVARIANCE.P('Data_Matrix (2018)'!$BE$2:$BE$67,'Data_Matrix (2018)'!I$2:I$67)</f>
        <v>47.49228962690556</v>
      </c>
      <c r="J61" s="9">
        <f>_xlfn.COVARIANCE.P('Data_Matrix (2018)'!$BE$2:$BE$67,'Data_Matrix (2018)'!J$2:J$67)</f>
        <v>27.485259920166968</v>
      </c>
      <c r="K61" s="9">
        <f>_xlfn.COVARIANCE.P('Data_Matrix (2018)'!$BE$2:$BE$67,'Data_Matrix (2018)'!K$2:K$67)</f>
        <v>25.649940801779827</v>
      </c>
      <c r="L61" s="9">
        <f>_xlfn.COVARIANCE.P('Data_Matrix (2018)'!$BE$2:$BE$67,'Data_Matrix (2018)'!L$2:L$67)</f>
        <v>24.703879619227532</v>
      </c>
      <c r="M61" s="9">
        <f>_xlfn.COVARIANCE.P('Data_Matrix (2018)'!$BE$2:$BE$67,'Data_Matrix (2018)'!M$2:M$67)</f>
        <v>21.466547389030794</v>
      </c>
      <c r="N61" s="9">
        <f>_xlfn.COVARIANCE.P('Data_Matrix (2018)'!$BE$2:$BE$67,'Data_Matrix (2018)'!N$2:N$67)</f>
        <v>16.551331649663343</v>
      </c>
      <c r="O61" s="9">
        <f>_xlfn.COVARIANCE.P('Data_Matrix (2018)'!$BE$2:$BE$67,'Data_Matrix (2018)'!O$2:O$67)</f>
        <v>10.299295999280119</v>
      </c>
      <c r="P61" s="9">
        <f>_xlfn.COVARIANCE.P('Data_Matrix (2018)'!$BE$2:$BE$67,'Data_Matrix (2018)'!P$2:P$67)</f>
        <v>8.0806978356355472</v>
      </c>
      <c r="Q61" s="9">
        <f>_xlfn.COVARIANCE.P('Data_Matrix (2018)'!$BE$2:$BE$67,'Data_Matrix (2018)'!Q$2:Q$67)</f>
        <v>9.6835794743577868</v>
      </c>
      <c r="R61" s="9">
        <f>_xlfn.COVARIANCE.P('Data_Matrix (2018)'!$BE$2:$BE$67,'Data_Matrix (2018)'!R$2:R$67)</f>
        <v>11.748714484145578</v>
      </c>
      <c r="S61" s="9">
        <f>_xlfn.COVARIANCE.P('Data_Matrix (2018)'!$BE$2:$BE$67,'Data_Matrix (2018)'!S$2:S$67)</f>
        <v>3.9860857745110536</v>
      </c>
      <c r="T61" s="9">
        <f>_xlfn.COVARIANCE.P('Data_Matrix (2018)'!$BE$2:$BE$67,'Data_Matrix (2018)'!T$2:T$67)</f>
        <v>4.5501531059831919</v>
      </c>
      <c r="U61" s="9">
        <f>_xlfn.COVARIANCE.P('Data_Matrix (2018)'!$BE$2:$BE$67,'Data_Matrix (2018)'!U$2:U$67)</f>
        <v>4.1724005639461827</v>
      </c>
      <c r="V61" s="9">
        <f>_xlfn.COVARIANCE.P('Data_Matrix (2018)'!$BE$2:$BE$67,'Data_Matrix (2018)'!V$2:V$67)</f>
        <v>6.2041958345215313</v>
      </c>
      <c r="W61" s="9">
        <f>_xlfn.COVARIANCE.P('Data_Matrix (2018)'!$BE$2:$BE$67,'Data_Matrix (2018)'!W$2:W$67)</f>
        <v>1.2372438460589199</v>
      </c>
      <c r="X61" s="9">
        <f>_xlfn.COVARIANCE.P('Data_Matrix (2018)'!$BE$2:$BE$67,'Data_Matrix (2018)'!X$2:X$67)</f>
        <v>2.6247400135499768</v>
      </c>
      <c r="Y61" s="9">
        <f>_xlfn.COVARIANCE.P('Data_Matrix (2018)'!$BE$2:$BE$67,'Data_Matrix (2018)'!Y$2:Y$67)</f>
        <v>4.0082148445679522</v>
      </c>
      <c r="Z61" s="9">
        <f>_xlfn.COVARIANCE.P('Data_Matrix (2018)'!$BE$2:$BE$67,'Data_Matrix (2018)'!Z$2:Z$67)</f>
        <v>1.5373825880934635</v>
      </c>
      <c r="AA61" s="9">
        <f>_xlfn.COVARIANCE.P('Data_Matrix (2018)'!$BE$2:$BE$67,'Data_Matrix (2018)'!AA$2:AA$67)</f>
        <v>3.3168617829785547</v>
      </c>
      <c r="AB61" s="9">
        <f>_xlfn.COVARIANCE.P('Data_Matrix (2018)'!$BE$2:$BE$67,'Data_Matrix (2018)'!AB$2:AB$67)</f>
        <v>0.51153811253517911</v>
      </c>
      <c r="AC61" s="9">
        <f>_xlfn.COVARIANCE.P('Data_Matrix (2018)'!$BE$2:$BE$67,'Data_Matrix (2018)'!AC$2:AC$67)</f>
        <v>0.24686738029389194</v>
      </c>
      <c r="AD61" s="9">
        <f>_xlfn.COVARIANCE.P('Data_Matrix (2018)'!$BE$2:$BE$67,'Data_Matrix (2018)'!AD$2:AD$67)</f>
        <v>0.36850604077325516</v>
      </c>
      <c r="AE61" s="9">
        <f>_xlfn.COVARIANCE.P('Data_Matrix (2018)'!$BE$2:$BE$67,'Data_Matrix (2018)'!AE$2:AE$67)</f>
        <v>0.31304312081914742</v>
      </c>
      <c r="AF61" s="9">
        <f>_xlfn.COVARIANCE.P('Data_Matrix (2018)'!$BE$2:$BE$67,'Data_Matrix (2018)'!AF$2:AF$67)</f>
        <v>0.26833143482292243</v>
      </c>
      <c r="AG61" s="9">
        <f>_xlfn.COVARIANCE.P('Data_Matrix (2018)'!$BE$2:$BE$67,'Data_Matrix (2018)'!AG$2:AG$67)</f>
        <v>0.42289737288665752</v>
      </c>
      <c r="AH61" s="9">
        <f>_xlfn.COVARIANCE.P('Data_Matrix (2018)'!$BE$2:$BE$67,'Data_Matrix (2018)'!AH$2:AH$67)</f>
        <v>-0.20241485942950496</v>
      </c>
      <c r="AI61" s="9">
        <f>_xlfn.COVARIANCE.P('Data_Matrix (2018)'!$BE$2:$BE$67,'Data_Matrix (2018)'!AI$2:AI$67)</f>
        <v>0.30696076831376712</v>
      </c>
      <c r="AJ61" s="9">
        <f>_xlfn.COVARIANCE.P('Data_Matrix (2018)'!$BE$2:$BE$67,'Data_Matrix (2018)'!AJ$2:AJ$67)</f>
        <v>0.18114074089567608</v>
      </c>
      <c r="AK61" s="9">
        <f>_xlfn.COVARIANCE.P('Data_Matrix (2018)'!$BE$2:$BE$67,'Data_Matrix (2018)'!AK$2:AK$67)</f>
        <v>0.23102745724007501</v>
      </c>
      <c r="AL61" s="9">
        <f>_xlfn.COVARIANCE.P('Data_Matrix (2018)'!$BE$2:$BE$67,'Data_Matrix (2018)'!AL$2:AL$67)</f>
        <v>-0.54286041694853704</v>
      </c>
      <c r="AM61" s="9">
        <f>_xlfn.COVARIANCE.P('Data_Matrix (2018)'!$BE$2:$BE$67,'Data_Matrix (2018)'!AM$2:AM$67)</f>
        <v>9.6295151078400809E-2</v>
      </c>
      <c r="AN61" s="9">
        <f>_xlfn.COVARIANCE.P('Data_Matrix (2018)'!$BE$2:$BE$67,'Data_Matrix (2018)'!AN$2:AN$67)</f>
        <v>5.0563800296129932E-2</v>
      </c>
      <c r="AO61" s="9">
        <f>_xlfn.COVARIANCE.P('Data_Matrix (2018)'!$BE$2:$BE$67,'Data_Matrix (2018)'!AO$2:AO$67)</f>
        <v>0.43454370195854192</v>
      </c>
      <c r="AP61" s="9">
        <f>_xlfn.COVARIANCE.P('Data_Matrix (2018)'!$BE$2:$BE$67,'Data_Matrix (2018)'!AP$2:AP$67)</f>
        <v>0.94062970742884655</v>
      </c>
      <c r="AQ61" s="9">
        <f>_xlfn.COVARIANCE.P('Data_Matrix (2018)'!$BE$2:$BE$67,'Data_Matrix (2018)'!AQ$2:AQ$67)</f>
        <v>0.23267085697370071</v>
      </c>
      <c r="AR61" s="9">
        <f>_xlfn.COVARIANCE.P('Data_Matrix (2018)'!$BE$2:$BE$67,'Data_Matrix (2018)'!AR$2:AR$67)</f>
        <v>0.32021999761719788</v>
      </c>
      <c r="AS61" s="9">
        <f>_xlfn.COVARIANCE.P('Data_Matrix (2018)'!$BE$2:$BE$67,'Data_Matrix (2018)'!AS$2:AS$67)</f>
        <v>3.6369130253026655E-2</v>
      </c>
      <c r="AT61" s="9">
        <f>_xlfn.COVARIANCE.P('Data_Matrix (2018)'!$BE$2:$BE$67,'Data_Matrix (2018)'!AT$2:AT$67)</f>
        <v>5.9672308297716081E-2</v>
      </c>
      <c r="AU61" s="9">
        <f>_xlfn.COVARIANCE.P('Data_Matrix (2018)'!$BE$2:$BE$67,'Data_Matrix (2018)'!AU$2:AU$67)</f>
        <v>0.15086082417564317</v>
      </c>
      <c r="AV61" s="9">
        <f>_xlfn.COVARIANCE.P('Data_Matrix (2018)'!$BE$2:$BE$67,'Data_Matrix (2018)'!AV$2:AV$67)</f>
        <v>0.10740168407130068</v>
      </c>
      <c r="AW61" s="9">
        <f>_xlfn.COVARIANCE.P('Data_Matrix (2018)'!$BE$2:$BE$67,'Data_Matrix (2018)'!AW$2:AW$67)</f>
        <v>0.11501644637384098</v>
      </c>
      <c r="AX61" s="9">
        <f>_xlfn.COVARIANCE.P('Data_Matrix (2018)'!$BE$2:$BE$67,'Data_Matrix (2018)'!AX$2:AX$67)</f>
        <v>4.0037117314719317E-2</v>
      </c>
      <c r="AY61" s="9">
        <f>_xlfn.COVARIANCE.P('Data_Matrix (2018)'!$BE$2:$BE$67,'Data_Matrix (2018)'!AY$2:AY$67)</f>
        <v>9.0870809036258424E-2</v>
      </c>
      <c r="AZ61" s="9">
        <f>_xlfn.COVARIANCE.P('Data_Matrix (2018)'!$BE$2:$BE$67,'Data_Matrix (2018)'!AZ$2:AZ$67)</f>
        <v>0.23019728547112517</v>
      </c>
      <c r="BA61" s="9">
        <f>_xlfn.COVARIANCE.P('Data_Matrix (2018)'!$BE$2:$BE$67,'Data_Matrix (2018)'!BA$2:BA$67)</f>
        <v>2.0577454876123984E-2</v>
      </c>
      <c r="BB61" s="9">
        <f>_xlfn.COVARIANCE.P('Data_Matrix (2018)'!$BE$2:$BE$67,'Data_Matrix (2018)'!BB$2:BB$67)</f>
        <v>6.0928694404291966E-2</v>
      </c>
      <c r="BC61" s="9">
        <f>_xlfn.COVARIANCE.P('Data_Matrix (2018)'!$BE$2:$BE$67,'Data_Matrix (2018)'!BC$2:BC$67)</f>
        <v>-1.7010154761467136E-3</v>
      </c>
      <c r="BD61" s="9">
        <f>_xlfn.COVARIANCE.P('Data_Matrix (2018)'!$BE$2:$BE$67,'Data_Matrix (2018)'!BD$2:BD$67)</f>
        <v>6.6521687734670959E-3</v>
      </c>
      <c r="BE61" s="9">
        <f>_xlfn.COVARIANCE.P('Data_Matrix (2018)'!$BE$2:$BE$67,'Data_Matrix (2018)'!BE$2:BE$67)</f>
        <v>5.4076361761526547E-2</v>
      </c>
      <c r="BF61" s="9">
        <f>_xlfn.COVARIANCE.P('Data_Matrix (2018)'!$BE$2:$BE$67,'Data_Matrix (2018)'!BF$2:BF$67)</f>
        <v>4.2556798875064217E-3</v>
      </c>
      <c r="BG61" s="9">
        <f>_xlfn.COVARIANCE.P('Data_Matrix (2018)'!$BE$2:$BE$67,'Data_Matrix (2018)'!BG$2:BG$67)</f>
        <v>1.3934483058236E-3</v>
      </c>
      <c r="BH61" s="9">
        <f>_xlfn.COVARIANCE.P('Data_Matrix (2018)'!$BE$2:$BE$67,'Data_Matrix (2018)'!BH$2:BH$67)</f>
        <v>-5.8800833151244521E-4</v>
      </c>
      <c r="BI61" s="9">
        <f>_xlfn.COVARIANCE.P('Data_Matrix (2018)'!$BE$2:$BE$67,'Data_Matrix (2018)'!BI$2:BI$67)</f>
        <v>3.1459692334457594E-3</v>
      </c>
      <c r="BJ61" s="9">
        <f>_xlfn.COVARIANCE.P('Data_Matrix (2018)'!$BE$2:$BE$67,'Data_Matrix (2018)'!BJ$2:BJ$67)</f>
        <v>1.1961386653654448E-3</v>
      </c>
      <c r="BK61" s="9">
        <f>_xlfn.COVARIANCE.P('Data_Matrix (2018)'!$BE$2:$BE$67,'Data_Matrix (2018)'!BK$2:BK$67)</f>
        <v>3.719674519811614E-3</v>
      </c>
      <c r="BL61" s="9">
        <f>_xlfn.COVARIANCE.P('Data_Matrix (2018)'!$BE$2:$BE$67,'Data_Matrix (2018)'!BL$2:BL$67)</f>
        <v>8.2699776424190012E-5</v>
      </c>
      <c r="BM61" s="9">
        <f>_xlfn.COVARIANCE.P('Data_Matrix (2018)'!$BE$2:$BE$67,'Data_Matrix (2018)'!BM$2:BM$67)</f>
        <v>2.6460183657938042E-4</v>
      </c>
      <c r="BN61" s="9">
        <f>_xlfn.COVARIANCE.P('Data_Matrix (2018)'!$BE$2:$BE$67,'Data_Matrix (2018)'!BN$2:BN$67)</f>
        <v>-4.1299463093342067E-5</v>
      </c>
      <c r="BO61" s="9">
        <f>_xlfn.COVARIANCE.P('Data_Matrix (2018)'!$BE$2:$BE$67,'Data_Matrix (2018)'!BO$2:BO$67)</f>
        <v>2.2790797117161212E-5</v>
      </c>
    </row>
    <row r="62" spans="2:67" x14ac:dyDescent="0.2">
      <c r="B62" s="9">
        <f>_xlfn.COVARIANCE.P('Data_Matrix (2018)'!$BF$2:$BF$67,'Data_Matrix (2018)'!B$2:B$67)</f>
        <v>-2.0449784361616068</v>
      </c>
      <c r="C62" s="9">
        <f>_xlfn.COVARIANCE.P('Data_Matrix (2018)'!$BF$2:$BF$67,'Data_Matrix (2018)'!C$2:C$67)</f>
        <v>7.3105364144812075</v>
      </c>
      <c r="D62" s="9">
        <f>_xlfn.COVARIANCE.P('Data_Matrix (2018)'!$BF$2:$BF$67,'Data_Matrix (2018)'!D$2:D$67)</f>
        <v>-1.2595636332981317</v>
      </c>
      <c r="E62" s="9">
        <f>_xlfn.COVARIANCE.P('Data_Matrix (2018)'!$BF$2:$BF$67,'Data_Matrix (2018)'!E$2:E$67)</f>
        <v>0.29356518161297496</v>
      </c>
      <c r="F62" s="9">
        <f>_xlfn.COVARIANCE.P('Data_Matrix (2018)'!$BF$2:$BF$67,'Data_Matrix (2018)'!F$2:F$67)</f>
        <v>-3.833857636224836</v>
      </c>
      <c r="G62" s="9">
        <f>_xlfn.COVARIANCE.P('Data_Matrix (2018)'!$BF$2:$BF$67,'Data_Matrix (2018)'!G$2:G$67)</f>
        <v>0.46570835299557178</v>
      </c>
      <c r="H62" s="9">
        <f>_xlfn.COVARIANCE.P('Data_Matrix (2018)'!$BF$2:$BF$67,'Data_Matrix (2018)'!H$2:H$67)</f>
        <v>-2.73218951265412</v>
      </c>
      <c r="I62" s="9">
        <f>_xlfn.COVARIANCE.P('Data_Matrix (2018)'!$BF$2:$BF$67,'Data_Matrix (2018)'!I$2:I$67)</f>
        <v>-2.9466176698578832</v>
      </c>
      <c r="J62" s="9">
        <f>_xlfn.COVARIANCE.P('Data_Matrix (2018)'!$BF$2:$BF$67,'Data_Matrix (2018)'!J$2:J$67)</f>
        <v>0.56077936101853099</v>
      </c>
      <c r="K62" s="9">
        <f>_xlfn.COVARIANCE.P('Data_Matrix (2018)'!$BF$2:$BF$67,'Data_Matrix (2018)'!K$2:K$67)</f>
        <v>-1.2505833092102407</v>
      </c>
      <c r="L62" s="9">
        <f>_xlfn.COVARIANCE.P('Data_Matrix (2018)'!$BF$2:$BF$67,'Data_Matrix (2018)'!L$2:L$67)</f>
        <v>1.2987610269502443</v>
      </c>
      <c r="M62" s="9">
        <f>_xlfn.COVARIANCE.P('Data_Matrix (2018)'!$BF$2:$BF$67,'Data_Matrix (2018)'!M$2:M$67)</f>
        <v>-0.94908375145167656</v>
      </c>
      <c r="N62" s="9">
        <f>_xlfn.COVARIANCE.P('Data_Matrix (2018)'!$BF$2:$BF$67,'Data_Matrix (2018)'!N$2:N$67)</f>
        <v>1.160937059027904</v>
      </c>
      <c r="O62" s="9">
        <f>_xlfn.COVARIANCE.P('Data_Matrix (2018)'!$BF$2:$BF$67,'Data_Matrix (2018)'!O$2:O$67)</f>
        <v>-0.13247274586213775</v>
      </c>
      <c r="P62" s="9">
        <f>_xlfn.COVARIANCE.P('Data_Matrix (2018)'!$BF$2:$BF$67,'Data_Matrix (2018)'!P$2:P$67)</f>
        <v>-0.45427244420495611</v>
      </c>
      <c r="Q62" s="9">
        <f>_xlfn.COVARIANCE.P('Data_Matrix (2018)'!$BF$2:$BF$67,'Data_Matrix (2018)'!Q$2:Q$67)</f>
        <v>-0.31098151441997091</v>
      </c>
      <c r="R62" s="9">
        <f>_xlfn.COVARIANCE.P('Data_Matrix (2018)'!$BF$2:$BF$67,'Data_Matrix (2018)'!R$2:R$67)</f>
        <v>0.61500423419516226</v>
      </c>
      <c r="S62" s="9">
        <f>_xlfn.COVARIANCE.P('Data_Matrix (2018)'!$BF$2:$BF$67,'Data_Matrix (2018)'!S$2:S$67)</f>
        <v>-0.17219708782363474</v>
      </c>
      <c r="T62" s="9">
        <f>_xlfn.COVARIANCE.P('Data_Matrix (2018)'!$BF$2:$BF$67,'Data_Matrix (2018)'!T$2:T$67)</f>
        <v>0.30771362975142602</v>
      </c>
      <c r="U62" s="9">
        <f>_xlfn.COVARIANCE.P('Data_Matrix (2018)'!$BF$2:$BF$67,'Data_Matrix (2018)'!U$2:U$67)</f>
        <v>2.6888187387839685E-2</v>
      </c>
      <c r="V62" s="9">
        <f>_xlfn.COVARIANCE.P('Data_Matrix (2018)'!$BF$2:$BF$67,'Data_Matrix (2018)'!V$2:V$67)</f>
        <v>-0.11739038518231704</v>
      </c>
      <c r="W62" s="9">
        <f>_xlfn.COVARIANCE.P('Data_Matrix (2018)'!$BF$2:$BF$67,'Data_Matrix (2018)'!W$2:W$67)</f>
        <v>9.7152188335155251E-2</v>
      </c>
      <c r="X62" s="9">
        <f>_xlfn.COVARIANCE.P('Data_Matrix (2018)'!$BF$2:$BF$67,'Data_Matrix (2018)'!X$2:X$67)</f>
        <v>0.11036588439173269</v>
      </c>
      <c r="Y62" s="9">
        <f>_xlfn.COVARIANCE.P('Data_Matrix (2018)'!$BF$2:$BF$67,'Data_Matrix (2018)'!Y$2:Y$67)</f>
        <v>-0.11231235143026469</v>
      </c>
      <c r="Z62" s="9">
        <f>_xlfn.COVARIANCE.P('Data_Matrix (2018)'!$BF$2:$BF$67,'Data_Matrix (2018)'!Z$2:Z$67)</f>
        <v>0.15844327889503948</v>
      </c>
      <c r="AA62" s="9">
        <f>_xlfn.COVARIANCE.P('Data_Matrix (2018)'!$BF$2:$BF$67,'Data_Matrix (2018)'!AA$2:AA$67)</f>
        <v>0.53394132498257463</v>
      </c>
      <c r="AB62" s="9">
        <f>_xlfn.COVARIANCE.P('Data_Matrix (2018)'!$BF$2:$BF$67,'Data_Matrix (2018)'!AB$2:AB$67)</f>
        <v>0.10531701524768537</v>
      </c>
      <c r="AC62" s="9">
        <f>_xlfn.COVARIANCE.P('Data_Matrix (2018)'!$BF$2:$BF$67,'Data_Matrix (2018)'!AC$2:AC$67)</f>
        <v>3.1638893476214722E-2</v>
      </c>
      <c r="AD62" s="9">
        <f>_xlfn.COVARIANCE.P('Data_Matrix (2018)'!$BF$2:$BF$67,'Data_Matrix (2018)'!AD$2:AD$67)</f>
        <v>6.6341271153689776E-2</v>
      </c>
      <c r="AE62" s="9">
        <f>_xlfn.COVARIANCE.P('Data_Matrix (2018)'!$BF$2:$BF$67,'Data_Matrix (2018)'!AE$2:AE$67)</f>
        <v>7.0272888485152896E-2</v>
      </c>
      <c r="AF62" s="9">
        <f>_xlfn.COVARIANCE.P('Data_Matrix (2018)'!$BF$2:$BF$67,'Data_Matrix (2018)'!AF$2:AF$67)</f>
        <v>7.1650825188182471E-2</v>
      </c>
      <c r="AG62" s="9">
        <f>_xlfn.COVARIANCE.P('Data_Matrix (2018)'!$BF$2:$BF$67,'Data_Matrix (2018)'!AG$2:AG$67)</f>
        <v>3.2788107223159536E-2</v>
      </c>
      <c r="AH62" s="9">
        <f>_xlfn.COVARIANCE.P('Data_Matrix (2018)'!$BF$2:$BF$67,'Data_Matrix (2018)'!AH$2:AH$67)</f>
        <v>1.2711660128183193E-2</v>
      </c>
      <c r="AI62" s="9">
        <f>_xlfn.COVARIANCE.P('Data_Matrix (2018)'!$BF$2:$BF$67,'Data_Matrix (2018)'!AI$2:AI$67)</f>
        <v>4.2729392256467436E-2</v>
      </c>
      <c r="AJ62" s="9">
        <f>_xlfn.COVARIANCE.P('Data_Matrix (2018)'!$BF$2:$BF$67,'Data_Matrix (2018)'!AJ$2:AJ$67)</f>
        <v>2.3339540526331606E-2</v>
      </c>
      <c r="AK62" s="9">
        <f>_xlfn.COVARIANCE.P('Data_Matrix (2018)'!$BF$2:$BF$67,'Data_Matrix (2018)'!AK$2:AK$67)</f>
        <v>-6.384425817394926E-3</v>
      </c>
      <c r="AL62" s="9">
        <f>_xlfn.COVARIANCE.P('Data_Matrix (2018)'!$BF$2:$BF$67,'Data_Matrix (2018)'!AL$2:AL$67)</f>
        <v>-4.9990361577199882E-2</v>
      </c>
      <c r="AM62" s="9">
        <f>_xlfn.COVARIANCE.P('Data_Matrix (2018)'!$BF$2:$BF$67,'Data_Matrix (2018)'!AM$2:AM$67)</f>
        <v>-9.3081429232485923E-3</v>
      </c>
      <c r="AN62" s="9">
        <f>_xlfn.COVARIANCE.P('Data_Matrix (2018)'!$BF$2:$BF$67,'Data_Matrix (2018)'!AN$2:AN$67)</f>
        <v>-1.3796583041649197E-2</v>
      </c>
      <c r="AO62" s="9">
        <f>_xlfn.COVARIANCE.P('Data_Matrix (2018)'!$BF$2:$BF$67,'Data_Matrix (2018)'!AO$2:AO$67)</f>
        <v>-2.1619139047811286E-3</v>
      </c>
      <c r="AP62" s="9">
        <f>_xlfn.COVARIANCE.P('Data_Matrix (2018)'!$BF$2:$BF$67,'Data_Matrix (2018)'!AP$2:AP$67)</f>
        <v>1.0132165736321913E-2</v>
      </c>
      <c r="AQ62" s="9">
        <f>_xlfn.COVARIANCE.P('Data_Matrix (2018)'!$BF$2:$BF$67,'Data_Matrix (2018)'!AQ$2:AQ$67)</f>
        <v>3.6860083955189728E-3</v>
      </c>
      <c r="AR62" s="9">
        <f>_xlfn.COVARIANCE.P('Data_Matrix (2018)'!$BF$2:$BF$67,'Data_Matrix (2018)'!AR$2:AR$67)</f>
        <v>1.2728466429525488E-3</v>
      </c>
      <c r="AS62" s="9">
        <f>_xlfn.COVARIANCE.P('Data_Matrix (2018)'!$BF$2:$BF$67,'Data_Matrix (2018)'!AS$2:AS$67)</f>
        <v>-1.8650033560077266E-2</v>
      </c>
      <c r="AT62" s="9">
        <f>_xlfn.COVARIANCE.P('Data_Matrix (2018)'!$BF$2:$BF$67,'Data_Matrix (2018)'!AT$2:AT$67)</f>
        <v>1.258520016458925E-2</v>
      </c>
      <c r="AU62" s="9">
        <f>_xlfn.COVARIANCE.P('Data_Matrix (2018)'!$BF$2:$BF$67,'Data_Matrix (2018)'!AU$2:AU$67)</f>
        <v>9.5093561319333584E-3</v>
      </c>
      <c r="AV62" s="9">
        <f>_xlfn.COVARIANCE.P('Data_Matrix (2018)'!$BF$2:$BF$67,'Data_Matrix (2018)'!AV$2:AV$67)</f>
        <v>3.2807983557072459E-3</v>
      </c>
      <c r="AW62" s="9">
        <f>_xlfn.COVARIANCE.P('Data_Matrix (2018)'!$BF$2:$BF$67,'Data_Matrix (2018)'!AW$2:AW$67)</f>
        <v>-9.1459569570234572E-3</v>
      </c>
      <c r="AX62" s="9">
        <f>_xlfn.COVARIANCE.P('Data_Matrix (2018)'!$BF$2:$BF$67,'Data_Matrix (2018)'!AX$2:AX$67)</f>
        <v>-8.1610481982365981E-4</v>
      </c>
      <c r="AY62" s="9">
        <f>_xlfn.COVARIANCE.P('Data_Matrix (2018)'!$BF$2:$BF$67,'Data_Matrix (2018)'!AY$2:AY$67)</f>
        <v>9.176696828055303E-3</v>
      </c>
      <c r="AZ62" s="9">
        <f>_xlfn.COVARIANCE.P('Data_Matrix (2018)'!$BF$2:$BF$67,'Data_Matrix (2018)'!AZ$2:AZ$67)</f>
        <v>-6.6965431869348956E-3</v>
      </c>
      <c r="BA62" s="9">
        <f>_xlfn.COVARIANCE.P('Data_Matrix (2018)'!$BF$2:$BF$67,'Data_Matrix (2018)'!BA$2:BA$67)</f>
        <v>6.8052535627518536E-3</v>
      </c>
      <c r="BB62" s="9">
        <f>_xlfn.COVARIANCE.P('Data_Matrix (2018)'!$BF$2:$BF$67,'Data_Matrix (2018)'!BB$2:BB$67)</f>
        <v>1.6885775168206532E-3</v>
      </c>
      <c r="BC62" s="9">
        <f>_xlfn.COVARIANCE.P('Data_Matrix (2018)'!$BF$2:$BF$67,'Data_Matrix (2018)'!BC$2:BC$67)</f>
        <v>1.5368237718928332E-3</v>
      </c>
      <c r="BD62" s="9">
        <f>_xlfn.COVARIANCE.P('Data_Matrix (2018)'!$BF$2:$BF$67,'Data_Matrix (2018)'!BD$2:BD$67)</f>
        <v>3.2308149028978626E-3</v>
      </c>
      <c r="BE62" s="9">
        <f>_xlfn.COVARIANCE.P('Data_Matrix (2018)'!$BF$2:$BF$67,'Data_Matrix (2018)'!BE$2:BE$67)</f>
        <v>4.2556798875064217E-3</v>
      </c>
      <c r="BF62" s="9">
        <f>_xlfn.COVARIANCE.P('Data_Matrix (2018)'!$BF$2:$BF$67,'Data_Matrix (2018)'!BF$2:BF$67)</f>
        <v>2.2269117891094525E-3</v>
      </c>
      <c r="BG62" s="9">
        <f>_xlfn.COVARIANCE.P('Data_Matrix (2018)'!$BF$2:$BF$67,'Data_Matrix (2018)'!BG$2:BG$67)</f>
        <v>7.0675213356317045E-4</v>
      </c>
      <c r="BH62" s="9">
        <f>_xlfn.COVARIANCE.P('Data_Matrix (2018)'!$BF$2:$BF$67,'Data_Matrix (2018)'!BH$2:BH$67)</f>
        <v>1.0840005198460897E-3</v>
      </c>
      <c r="BI62" s="9">
        <f>_xlfn.COVARIANCE.P('Data_Matrix (2018)'!$BF$2:$BF$67,'Data_Matrix (2018)'!BI$2:BI$67)</f>
        <v>9.0348821473194819E-4</v>
      </c>
      <c r="BJ62" s="9">
        <f>_xlfn.COVARIANCE.P('Data_Matrix (2018)'!$BF$2:$BF$67,'Data_Matrix (2018)'!BJ$2:BJ$67)</f>
        <v>8.9464274511979276E-4</v>
      </c>
      <c r="BK62" s="9">
        <f>_xlfn.COVARIANCE.P('Data_Matrix (2018)'!$BF$2:$BF$67,'Data_Matrix (2018)'!BK$2:BK$67)</f>
        <v>3.6433844678618045E-4</v>
      </c>
      <c r="BL62" s="9">
        <f>_xlfn.COVARIANCE.P('Data_Matrix (2018)'!$BF$2:$BF$67,'Data_Matrix (2018)'!BL$2:BL$67)</f>
        <v>2.3434091296390235E-4</v>
      </c>
      <c r="BM62" s="9">
        <f>_xlfn.COVARIANCE.P('Data_Matrix (2018)'!$BF$2:$BF$67,'Data_Matrix (2018)'!BM$2:BM$67)</f>
        <v>3.6126107707571136E-4</v>
      </c>
      <c r="BN62" s="9">
        <f>_xlfn.COVARIANCE.P('Data_Matrix (2018)'!$BF$2:$BF$67,'Data_Matrix (2018)'!BN$2:BN$67)</f>
        <v>2.4115786431993378E-5</v>
      </c>
      <c r="BO62" s="9">
        <f>_xlfn.COVARIANCE.P('Data_Matrix (2018)'!$BF$2:$BF$67,'Data_Matrix (2018)'!BO$2:BO$67)</f>
        <v>4.3072158647109295E-5</v>
      </c>
    </row>
    <row r="63" spans="2:67" x14ac:dyDescent="0.2">
      <c r="B63" s="9">
        <f>_xlfn.COVARIANCE.P('Data_Matrix (2018)'!$BG$2:$BG$67,'Data_Matrix (2018)'!B$2:B$67)</f>
        <v>16.608389522912368</v>
      </c>
      <c r="C63" s="9">
        <f>_xlfn.COVARIANCE.P('Data_Matrix (2018)'!$BG$2:$BG$67,'Data_Matrix (2018)'!C$2:C$67)</f>
        <v>12.205662952670492</v>
      </c>
      <c r="D63" s="9">
        <f>_xlfn.COVARIANCE.P('Data_Matrix (2018)'!$BG$2:$BG$67,'Data_Matrix (2018)'!D$2:D$67)</f>
        <v>4.707195253219516</v>
      </c>
      <c r="E63" s="9">
        <f>_xlfn.COVARIANCE.P('Data_Matrix (2018)'!$BG$2:$BG$67,'Data_Matrix (2018)'!E$2:E$67)</f>
        <v>11.470639349991982</v>
      </c>
      <c r="F63" s="9">
        <f>_xlfn.COVARIANCE.P('Data_Matrix (2018)'!$BG$2:$BG$67,'Data_Matrix (2018)'!F$2:F$67)</f>
        <v>3.218248569645676</v>
      </c>
      <c r="G63" s="9">
        <f>_xlfn.COVARIANCE.P('Data_Matrix (2018)'!$BG$2:$BG$67,'Data_Matrix (2018)'!G$2:G$67)</f>
        <v>6.051865206986009</v>
      </c>
      <c r="H63" s="9">
        <f>_xlfn.COVARIANCE.P('Data_Matrix (2018)'!$BG$2:$BG$67,'Data_Matrix (2018)'!H$2:H$67)</f>
        <v>1.2889047578895267</v>
      </c>
      <c r="I63" s="9">
        <f>_xlfn.COVARIANCE.P('Data_Matrix (2018)'!$BG$2:$BG$67,'Data_Matrix (2018)'!I$2:I$67)</f>
        <v>0.50844214507788343</v>
      </c>
      <c r="J63" s="9">
        <f>_xlfn.COVARIANCE.P('Data_Matrix (2018)'!$BG$2:$BG$67,'Data_Matrix (2018)'!J$2:J$67)</f>
        <v>0.38601513476390725</v>
      </c>
      <c r="K63" s="9">
        <f>_xlfn.COVARIANCE.P('Data_Matrix (2018)'!$BG$2:$BG$67,'Data_Matrix (2018)'!K$2:K$67)</f>
        <v>-1.0180220466164629</v>
      </c>
      <c r="L63" s="9">
        <f>_xlfn.COVARIANCE.P('Data_Matrix (2018)'!$BG$2:$BG$67,'Data_Matrix (2018)'!L$2:L$67)</f>
        <v>2.1513434012362151</v>
      </c>
      <c r="M63" s="9">
        <f>_xlfn.COVARIANCE.P('Data_Matrix (2018)'!$BG$2:$BG$67,'Data_Matrix (2018)'!M$2:M$67)</f>
        <v>1.7661022248332443</v>
      </c>
      <c r="N63" s="9">
        <f>_xlfn.COVARIANCE.P('Data_Matrix (2018)'!$BG$2:$BG$67,'Data_Matrix (2018)'!N$2:N$67)</f>
        <v>0.51440066298874698</v>
      </c>
      <c r="O63" s="9">
        <f>_xlfn.COVARIANCE.P('Data_Matrix (2018)'!$BG$2:$BG$67,'Data_Matrix (2018)'!O$2:O$67)</f>
        <v>0.22391830278834135</v>
      </c>
      <c r="P63" s="9">
        <f>_xlfn.COVARIANCE.P('Data_Matrix (2018)'!$BG$2:$BG$67,'Data_Matrix (2018)'!P$2:P$67)</f>
        <v>-3.4448895445687591E-2</v>
      </c>
      <c r="Q63" s="9">
        <f>_xlfn.COVARIANCE.P('Data_Matrix (2018)'!$BG$2:$BG$67,'Data_Matrix (2018)'!Q$2:Q$67)</f>
        <v>0.56370148744132476</v>
      </c>
      <c r="R63" s="9">
        <f>_xlfn.COVARIANCE.P('Data_Matrix (2018)'!$BG$2:$BG$67,'Data_Matrix (2018)'!R$2:R$67)</f>
        <v>0.18320619846462596</v>
      </c>
      <c r="S63" s="9">
        <f>_xlfn.COVARIANCE.P('Data_Matrix (2018)'!$BG$2:$BG$67,'Data_Matrix (2018)'!S$2:S$67)</f>
        <v>0.63944751844004522</v>
      </c>
      <c r="T63" s="9">
        <f>_xlfn.COVARIANCE.P('Data_Matrix (2018)'!$BG$2:$BG$67,'Data_Matrix (2018)'!T$2:T$67)</f>
        <v>0.8613299393588455</v>
      </c>
      <c r="U63" s="9">
        <f>_xlfn.COVARIANCE.P('Data_Matrix (2018)'!$BG$2:$BG$67,'Data_Matrix (2018)'!U$2:U$67)</f>
        <v>0.32747071554408264</v>
      </c>
      <c r="V63" s="9">
        <f>_xlfn.COVARIANCE.P('Data_Matrix (2018)'!$BG$2:$BG$67,'Data_Matrix (2018)'!V$2:V$67)</f>
        <v>-0.21097856916095301</v>
      </c>
      <c r="W63" s="9">
        <f>_xlfn.COVARIANCE.P('Data_Matrix (2018)'!$BG$2:$BG$67,'Data_Matrix (2018)'!W$2:W$67)</f>
        <v>0.4427853193244729</v>
      </c>
      <c r="X63" s="9">
        <f>_xlfn.COVARIANCE.P('Data_Matrix (2018)'!$BG$2:$BG$67,'Data_Matrix (2018)'!X$2:X$67)</f>
        <v>0.54171431868453224</v>
      </c>
      <c r="Y63" s="9">
        <f>_xlfn.COVARIANCE.P('Data_Matrix (2018)'!$BG$2:$BG$67,'Data_Matrix (2018)'!Y$2:Y$67)</f>
        <v>0.11779219029515789</v>
      </c>
      <c r="Z63" s="9">
        <f>_xlfn.COVARIANCE.P('Data_Matrix (2018)'!$BG$2:$BG$67,'Data_Matrix (2018)'!Z$2:Z$67)</f>
        <v>0.35569339087998875</v>
      </c>
      <c r="AA63" s="9">
        <f>_xlfn.COVARIANCE.P('Data_Matrix (2018)'!$BG$2:$BG$67,'Data_Matrix (2018)'!AA$2:AA$67)</f>
        <v>0.16020432684022756</v>
      </c>
      <c r="AB63" s="9">
        <f>_xlfn.COVARIANCE.P('Data_Matrix (2018)'!$BG$2:$BG$67,'Data_Matrix (2018)'!AB$2:AB$67)</f>
        <v>4.5366061032040814E-2</v>
      </c>
      <c r="AC63" s="9">
        <f>_xlfn.COVARIANCE.P('Data_Matrix (2018)'!$BG$2:$BG$67,'Data_Matrix (2018)'!AC$2:AC$67)</f>
        <v>6.8942526395894446E-2</v>
      </c>
      <c r="AD63" s="9">
        <f>_xlfn.COVARIANCE.P('Data_Matrix (2018)'!$BG$2:$BG$67,'Data_Matrix (2018)'!AD$2:AD$67)</f>
        <v>3.5614593321071517E-2</v>
      </c>
      <c r="AE63" s="9">
        <f>_xlfn.COVARIANCE.P('Data_Matrix (2018)'!$BG$2:$BG$67,'Data_Matrix (2018)'!AE$2:AE$67)</f>
        <v>4.6882158298569059E-2</v>
      </c>
      <c r="AF63" s="9">
        <f>_xlfn.COVARIANCE.P('Data_Matrix (2018)'!$BG$2:$BG$67,'Data_Matrix (2018)'!AF$2:AF$67)</f>
        <v>0.1033067779824197</v>
      </c>
      <c r="AG63" s="9">
        <f>_xlfn.COVARIANCE.P('Data_Matrix (2018)'!$BG$2:$BG$67,'Data_Matrix (2018)'!AG$2:AG$67)</f>
        <v>6.3281423073108037E-2</v>
      </c>
      <c r="AH63" s="9">
        <f>_xlfn.COVARIANCE.P('Data_Matrix (2018)'!$BG$2:$BG$67,'Data_Matrix (2018)'!AH$2:AH$67)</f>
        <v>7.709995293096219E-3</v>
      </c>
      <c r="AI63" s="9">
        <f>_xlfn.COVARIANCE.P('Data_Matrix (2018)'!$BG$2:$BG$67,'Data_Matrix (2018)'!AI$2:AI$67)</f>
        <v>3.4846475118700607E-2</v>
      </c>
      <c r="AJ63" s="9">
        <f>_xlfn.COVARIANCE.P('Data_Matrix (2018)'!$BG$2:$BG$67,'Data_Matrix (2018)'!AJ$2:AJ$67)</f>
        <v>4.0942043595825262E-2</v>
      </c>
      <c r="AK63" s="9">
        <f>_xlfn.COVARIANCE.P('Data_Matrix (2018)'!$BG$2:$BG$67,'Data_Matrix (2018)'!AK$2:AK$67)</f>
        <v>-6.075921386868785E-3</v>
      </c>
      <c r="AL63" s="9">
        <f>_xlfn.COVARIANCE.P('Data_Matrix (2018)'!$BG$2:$BG$67,'Data_Matrix (2018)'!AL$2:AL$67)</f>
        <v>-4.6084438313061034E-2</v>
      </c>
      <c r="AM63" s="9">
        <f>_xlfn.COVARIANCE.P('Data_Matrix (2018)'!$BG$2:$BG$67,'Data_Matrix (2018)'!AM$2:AM$67)</f>
        <v>1.2676371605868746E-2</v>
      </c>
      <c r="AN63" s="9">
        <f>_xlfn.COVARIANCE.P('Data_Matrix (2018)'!$BG$2:$BG$67,'Data_Matrix (2018)'!AN$2:AN$67)</f>
        <v>-3.0977470952509946E-2</v>
      </c>
      <c r="AO63" s="9">
        <f>_xlfn.COVARIANCE.P('Data_Matrix (2018)'!$BG$2:$BG$67,'Data_Matrix (2018)'!AO$2:AO$67)</f>
        <v>3.2021898549900781E-3</v>
      </c>
      <c r="AP63" s="9">
        <f>_xlfn.COVARIANCE.P('Data_Matrix (2018)'!$BG$2:$BG$67,'Data_Matrix (2018)'!AP$2:AP$67)</f>
        <v>-2.8533503009235384E-3</v>
      </c>
      <c r="AQ63" s="9">
        <f>_xlfn.COVARIANCE.P('Data_Matrix (2018)'!$BG$2:$BG$67,'Data_Matrix (2018)'!AQ$2:AQ$67)</f>
        <v>2.3654744030916681E-2</v>
      </c>
      <c r="AR63" s="9">
        <f>_xlfn.COVARIANCE.P('Data_Matrix (2018)'!$BG$2:$BG$67,'Data_Matrix (2018)'!AR$2:AR$67)</f>
        <v>-1.3559556344473136E-2</v>
      </c>
      <c r="AS63" s="9">
        <f>_xlfn.COVARIANCE.P('Data_Matrix (2018)'!$BG$2:$BG$67,'Data_Matrix (2018)'!AS$2:AS$67)</f>
        <v>-1.387844465017425E-2</v>
      </c>
      <c r="AT63" s="9">
        <f>_xlfn.COVARIANCE.P('Data_Matrix (2018)'!$BG$2:$BG$67,'Data_Matrix (2018)'!AT$2:AT$67)</f>
        <v>1.8158260088891008E-2</v>
      </c>
      <c r="AU63" s="9">
        <f>_xlfn.COVARIANCE.P('Data_Matrix (2018)'!$BG$2:$BG$67,'Data_Matrix (2018)'!AU$2:AU$67)</f>
        <v>-4.0661629471308424E-3</v>
      </c>
      <c r="AV63" s="9">
        <f>_xlfn.COVARIANCE.P('Data_Matrix (2018)'!$BG$2:$BG$67,'Data_Matrix (2018)'!AV$2:AV$67)</f>
        <v>2.0609907815379531E-2</v>
      </c>
      <c r="AW63" s="9">
        <f>_xlfn.COVARIANCE.P('Data_Matrix (2018)'!$BG$2:$BG$67,'Data_Matrix (2018)'!AW$2:AW$67)</f>
        <v>4.3557302881308321E-3</v>
      </c>
      <c r="AX63" s="9">
        <f>_xlfn.COVARIANCE.P('Data_Matrix (2018)'!$BG$2:$BG$67,'Data_Matrix (2018)'!AX$2:AX$67)</f>
        <v>1.3857301460194323E-2</v>
      </c>
      <c r="AY63" s="9">
        <f>_xlfn.COVARIANCE.P('Data_Matrix (2018)'!$BG$2:$BG$67,'Data_Matrix (2018)'!AY$2:AY$67)</f>
        <v>4.702322368872339E-3</v>
      </c>
      <c r="AZ63" s="9">
        <f>_xlfn.COVARIANCE.P('Data_Matrix (2018)'!$BG$2:$BG$67,'Data_Matrix (2018)'!AZ$2:AZ$67)</f>
        <v>-1.7436948974882684E-3</v>
      </c>
      <c r="BA63" s="9">
        <f>_xlfn.COVARIANCE.P('Data_Matrix (2018)'!$BG$2:$BG$67,'Data_Matrix (2018)'!BA$2:BA$67)</f>
        <v>3.3007840681508541E-3</v>
      </c>
      <c r="BB63" s="9">
        <f>_xlfn.COVARIANCE.P('Data_Matrix (2018)'!$BG$2:$BG$67,'Data_Matrix (2018)'!BB$2:BB$67)</f>
        <v>1.0433513840265463E-3</v>
      </c>
      <c r="BC63" s="9">
        <f>_xlfn.COVARIANCE.P('Data_Matrix (2018)'!$BG$2:$BG$67,'Data_Matrix (2018)'!BC$2:BC$67)</f>
        <v>1.491107189014966E-3</v>
      </c>
      <c r="BD63" s="9">
        <f>_xlfn.COVARIANCE.P('Data_Matrix (2018)'!$BG$2:$BG$67,'Data_Matrix (2018)'!BD$2:BD$67)</f>
        <v>2.6094119922211406E-3</v>
      </c>
      <c r="BE63" s="9">
        <f>_xlfn.COVARIANCE.P('Data_Matrix (2018)'!$BG$2:$BG$67,'Data_Matrix (2018)'!BE$2:BE$67)</f>
        <v>1.3934483058236E-3</v>
      </c>
      <c r="BF63" s="9">
        <f>_xlfn.COVARIANCE.P('Data_Matrix (2018)'!$BG$2:$BG$67,'Data_Matrix (2018)'!BF$2:BF$67)</f>
        <v>7.0675213356317045E-4</v>
      </c>
      <c r="BG63" s="9">
        <f>_xlfn.COVARIANCE.P('Data_Matrix (2018)'!$BG$2:$BG$67,'Data_Matrix (2018)'!BG$2:BG$67)</f>
        <v>1.8161216934523114E-3</v>
      </c>
      <c r="BH63" s="9">
        <f>_xlfn.COVARIANCE.P('Data_Matrix (2018)'!$BG$2:$BG$67,'Data_Matrix (2018)'!BH$2:BH$67)</f>
        <v>2.9656374267399443E-3</v>
      </c>
      <c r="BI63" s="9">
        <f>_xlfn.COVARIANCE.P('Data_Matrix (2018)'!$BG$2:$BG$67,'Data_Matrix (2018)'!BI$2:BI$67)</f>
        <v>2.4313472597605147E-3</v>
      </c>
      <c r="BJ63" s="9">
        <f>_xlfn.COVARIANCE.P('Data_Matrix (2018)'!$BG$2:$BG$67,'Data_Matrix (2018)'!BJ$2:BJ$67)</f>
        <v>2.3682308073165038E-3</v>
      </c>
      <c r="BK63" s="9">
        <f>_xlfn.COVARIANCE.P('Data_Matrix (2018)'!$BG$2:$BG$67,'Data_Matrix (2018)'!BK$2:BK$67)</f>
        <v>1.2324970940744283E-3</v>
      </c>
      <c r="BL63" s="9">
        <f>_xlfn.COVARIANCE.P('Data_Matrix (2018)'!$BG$2:$BG$67,'Data_Matrix (2018)'!BL$2:BL$67)</f>
        <v>1.0329426789876838E-3</v>
      </c>
      <c r="BM63" s="9">
        <f>_xlfn.COVARIANCE.P('Data_Matrix (2018)'!$BG$2:$BG$67,'Data_Matrix (2018)'!BM$2:BM$67)</f>
        <v>4.3100252918418659E-4</v>
      </c>
      <c r="BN63" s="9">
        <f>_xlfn.COVARIANCE.P('Data_Matrix (2018)'!$BG$2:$BG$67,'Data_Matrix (2018)'!BN$2:BN$67)</f>
        <v>2.1489284938754402E-5</v>
      </c>
      <c r="BO63" s="9">
        <f>_xlfn.COVARIANCE.P('Data_Matrix (2018)'!$BG$2:$BG$67,'Data_Matrix (2018)'!BO$2:BO$67)</f>
        <v>3.9655096848252663E-5</v>
      </c>
    </row>
    <row r="64" spans="2:67" x14ac:dyDescent="0.2">
      <c r="B64" s="9">
        <f>_xlfn.COVARIANCE.P('Data_Matrix (2018)'!$BH$2:$BH$67,'Data_Matrix (2018)'!B$2:B$67)</f>
        <v>209.3217206595088</v>
      </c>
      <c r="C64" s="9">
        <f>_xlfn.COVARIANCE.P('Data_Matrix (2018)'!$BH$2:$BH$67,'Data_Matrix (2018)'!C$2:C$67)</f>
        <v>355.79355604309018</v>
      </c>
      <c r="D64" s="9">
        <f>_xlfn.COVARIANCE.P('Data_Matrix (2018)'!$BH$2:$BH$67,'Data_Matrix (2018)'!D$2:D$67)</f>
        <v>214.49225717236078</v>
      </c>
      <c r="E64" s="9">
        <f>_xlfn.COVARIANCE.P('Data_Matrix (2018)'!$BH$2:$BH$67,'Data_Matrix (2018)'!E$2:E$67)</f>
        <v>86.196635324402493</v>
      </c>
      <c r="F64" s="9">
        <f>_xlfn.COVARIANCE.P('Data_Matrix (2018)'!$BH$2:$BH$67,'Data_Matrix (2018)'!F$2:F$67)</f>
        <v>-3.0631721967285688</v>
      </c>
      <c r="G64" s="9">
        <f>_xlfn.COVARIANCE.P('Data_Matrix (2018)'!$BH$2:$BH$67,'Data_Matrix (2018)'!G$2:G$67)</f>
        <v>160.63561872157004</v>
      </c>
      <c r="H64" s="9">
        <f>_xlfn.COVARIANCE.P('Data_Matrix (2018)'!$BH$2:$BH$67,'Data_Matrix (2018)'!H$2:H$67)</f>
        <v>72.218214396741288</v>
      </c>
      <c r="I64" s="9">
        <f>_xlfn.COVARIANCE.P('Data_Matrix (2018)'!$BH$2:$BH$67,'Data_Matrix (2018)'!I$2:I$67)</f>
        <v>65.073337218538427</v>
      </c>
      <c r="J64" s="9">
        <f>_xlfn.COVARIANCE.P('Data_Matrix (2018)'!$BH$2:$BH$67,'Data_Matrix (2018)'!J$2:J$67)</f>
        <v>6.0129097739004038</v>
      </c>
      <c r="K64" s="9">
        <f>_xlfn.COVARIANCE.P('Data_Matrix (2018)'!$BH$2:$BH$67,'Data_Matrix (2018)'!K$2:K$67)</f>
        <v>30.330056254115323</v>
      </c>
      <c r="L64" s="9">
        <f>_xlfn.COVARIANCE.P('Data_Matrix (2018)'!$BH$2:$BH$67,'Data_Matrix (2018)'!L$2:L$67)</f>
        <v>20.763767230323374</v>
      </c>
      <c r="M64" s="9">
        <f>_xlfn.COVARIANCE.P('Data_Matrix (2018)'!$BH$2:$BH$67,'Data_Matrix (2018)'!M$2:M$67)</f>
        <v>14.037637912975113</v>
      </c>
      <c r="N64" s="9">
        <f>_xlfn.COVARIANCE.P('Data_Matrix (2018)'!$BH$2:$BH$67,'Data_Matrix (2018)'!N$2:N$67)</f>
        <v>27.742143752389129</v>
      </c>
      <c r="O64" s="9">
        <f>_xlfn.COVARIANCE.P('Data_Matrix (2018)'!$BH$2:$BH$67,'Data_Matrix (2018)'!O$2:O$67)</f>
        <v>9.8649680638752049</v>
      </c>
      <c r="P64" s="9">
        <f>_xlfn.COVARIANCE.P('Data_Matrix (2018)'!$BH$2:$BH$67,'Data_Matrix (2018)'!P$2:P$67)</f>
        <v>-1.8529636023530787</v>
      </c>
      <c r="Q64" s="9">
        <f>_xlfn.COVARIANCE.P('Data_Matrix (2018)'!$BH$2:$BH$67,'Data_Matrix (2018)'!Q$2:Q$67)</f>
        <v>9.1123310910536812</v>
      </c>
      <c r="R64" s="9">
        <f>_xlfn.COVARIANCE.P('Data_Matrix (2018)'!$BH$2:$BH$67,'Data_Matrix (2018)'!R$2:R$67)</f>
        <v>12.19801135602191</v>
      </c>
      <c r="S64" s="9">
        <f>_xlfn.COVARIANCE.P('Data_Matrix (2018)'!$BH$2:$BH$67,'Data_Matrix (2018)'!S$2:S$67)</f>
        <v>8.0023168860669429</v>
      </c>
      <c r="T64" s="9">
        <f>_xlfn.COVARIANCE.P('Data_Matrix (2018)'!$BH$2:$BH$67,'Data_Matrix (2018)'!T$2:T$67)</f>
        <v>7.5913124110384533</v>
      </c>
      <c r="U64" s="9">
        <f>_xlfn.COVARIANCE.P('Data_Matrix (2018)'!$BH$2:$BH$67,'Data_Matrix (2018)'!U$2:U$67)</f>
        <v>1.9514900480579442</v>
      </c>
      <c r="V64" s="9">
        <f>_xlfn.COVARIANCE.P('Data_Matrix (2018)'!$BH$2:$BH$67,'Data_Matrix (2018)'!V$2:V$67)</f>
        <v>-1.6225784169805997</v>
      </c>
      <c r="W64" s="9">
        <f>_xlfn.COVARIANCE.P('Data_Matrix (2018)'!$BH$2:$BH$67,'Data_Matrix (2018)'!W$2:W$67)</f>
        <v>2.3887217356398094</v>
      </c>
      <c r="X64" s="9">
        <f>_xlfn.COVARIANCE.P('Data_Matrix (2018)'!$BH$2:$BH$67,'Data_Matrix (2018)'!X$2:X$67)</f>
        <v>3.6038766732411722</v>
      </c>
      <c r="Y64" s="9">
        <f>_xlfn.COVARIANCE.P('Data_Matrix (2018)'!$BH$2:$BH$67,'Data_Matrix (2018)'!Y$2:Y$67)</f>
        <v>5.7672061496119129</v>
      </c>
      <c r="Z64" s="9">
        <f>_xlfn.COVARIANCE.P('Data_Matrix (2018)'!$BH$2:$BH$67,'Data_Matrix (2018)'!Z$2:Z$67)</f>
        <v>2.3553805404428396</v>
      </c>
      <c r="AA64" s="9">
        <f>_xlfn.COVARIANCE.P('Data_Matrix (2018)'!$BH$2:$BH$67,'Data_Matrix (2018)'!AA$2:AA$67)</f>
        <v>2.4945614412956605</v>
      </c>
      <c r="AB64" s="9">
        <f>_xlfn.COVARIANCE.P('Data_Matrix (2018)'!$BH$2:$BH$67,'Data_Matrix (2018)'!AB$2:AB$67)</f>
        <v>0.65382163728138554</v>
      </c>
      <c r="AC64" s="9">
        <f>_xlfn.COVARIANCE.P('Data_Matrix (2018)'!$BH$2:$BH$67,'Data_Matrix (2018)'!AC$2:AC$67)</f>
        <v>0.83240832563851774</v>
      </c>
      <c r="AD64" s="9">
        <f>_xlfn.COVARIANCE.P('Data_Matrix (2018)'!$BH$2:$BH$67,'Data_Matrix (2018)'!AD$2:AD$67)</f>
        <v>0.82981960356506435</v>
      </c>
      <c r="AE64" s="9">
        <f>_xlfn.COVARIANCE.P('Data_Matrix (2018)'!$BH$2:$BH$67,'Data_Matrix (2018)'!AE$2:AE$67)</f>
        <v>0.52076137029531355</v>
      </c>
      <c r="AF64" s="9">
        <f>_xlfn.COVARIANCE.P('Data_Matrix (2018)'!$BH$2:$BH$67,'Data_Matrix (2018)'!AF$2:AF$67)</f>
        <v>0.79875763106669273</v>
      </c>
      <c r="AG64" s="9">
        <f>_xlfn.COVARIANCE.P('Data_Matrix (2018)'!$BH$2:$BH$67,'Data_Matrix (2018)'!AG$2:AG$67)</f>
        <v>0.53856197271080442</v>
      </c>
      <c r="AH64" s="9">
        <f>_xlfn.COVARIANCE.P('Data_Matrix (2018)'!$BH$2:$BH$67,'Data_Matrix (2018)'!AH$2:AH$67)</f>
        <v>0.19246580154876228</v>
      </c>
      <c r="AI64" s="9">
        <f>_xlfn.COVARIANCE.P('Data_Matrix (2018)'!$BH$2:$BH$67,'Data_Matrix (2018)'!AI$2:AI$67)</f>
        <v>0.43904520647646539</v>
      </c>
      <c r="AJ64" s="9">
        <f>_xlfn.COVARIANCE.P('Data_Matrix (2018)'!$BH$2:$BH$67,'Data_Matrix (2018)'!AJ$2:AJ$67)</f>
        <v>0.55747908971427418</v>
      </c>
      <c r="AK64" s="9">
        <f>_xlfn.COVARIANCE.P('Data_Matrix (2018)'!$BH$2:$BH$67,'Data_Matrix (2018)'!AK$2:AK$67)</f>
        <v>-3.2592870495320816E-3</v>
      </c>
      <c r="AL64" s="9">
        <f>_xlfn.COVARIANCE.P('Data_Matrix (2018)'!$BH$2:$BH$67,'Data_Matrix (2018)'!AL$2:AL$67)</f>
        <v>-0.18947102106466884</v>
      </c>
      <c r="AM64" s="9">
        <f>_xlfn.COVARIANCE.P('Data_Matrix (2018)'!$BH$2:$BH$67,'Data_Matrix (2018)'!AM$2:AM$67)</f>
        <v>0.27864756931071533</v>
      </c>
      <c r="AN64" s="9">
        <f>_xlfn.COVARIANCE.P('Data_Matrix (2018)'!$BH$2:$BH$67,'Data_Matrix (2018)'!AN$2:AN$67)</f>
        <v>0.22951739988328676</v>
      </c>
      <c r="AO64" s="9">
        <f>_xlfn.COVARIANCE.P('Data_Matrix (2018)'!$BH$2:$BH$67,'Data_Matrix (2018)'!AO$2:AO$67)</f>
        <v>0.10166659220710773</v>
      </c>
      <c r="AP64" s="9">
        <f>_xlfn.COVARIANCE.P('Data_Matrix (2018)'!$BH$2:$BH$67,'Data_Matrix (2018)'!AP$2:AP$67)</f>
        <v>0.1387715487264212</v>
      </c>
      <c r="AQ64" s="9">
        <f>_xlfn.COVARIANCE.P('Data_Matrix (2018)'!$BH$2:$BH$67,'Data_Matrix (2018)'!AQ$2:AQ$67)</f>
        <v>4.4560635438958746E-2</v>
      </c>
      <c r="AR64" s="9">
        <f>_xlfn.COVARIANCE.P('Data_Matrix (2018)'!$BH$2:$BH$67,'Data_Matrix (2018)'!AR$2:AR$67)</f>
        <v>3.3829727645624683E-2</v>
      </c>
      <c r="AS64" s="9">
        <f>_xlfn.COVARIANCE.P('Data_Matrix (2018)'!$BH$2:$BH$67,'Data_Matrix (2018)'!AS$2:AS$67)</f>
        <v>0.12175282668532143</v>
      </c>
      <c r="AT64" s="9">
        <f>_xlfn.COVARIANCE.P('Data_Matrix (2018)'!$BH$2:$BH$67,'Data_Matrix (2018)'!AT$2:AT$67)</f>
        <v>4.4750304831769533E-2</v>
      </c>
      <c r="AU64" s="9">
        <f>_xlfn.COVARIANCE.P('Data_Matrix (2018)'!$BH$2:$BH$67,'Data_Matrix (2018)'!AU$2:AU$67)</f>
        <v>-5.7436414447973603E-3</v>
      </c>
      <c r="AV64" s="9">
        <f>_xlfn.COVARIANCE.P('Data_Matrix (2018)'!$BH$2:$BH$67,'Data_Matrix (2018)'!AV$2:AV$67)</f>
        <v>9.9391366010329441E-2</v>
      </c>
      <c r="AW64" s="9">
        <f>_xlfn.COVARIANCE.P('Data_Matrix (2018)'!$BH$2:$BH$67,'Data_Matrix (2018)'!AW$2:AW$67)</f>
        <v>2.8613893846076335E-2</v>
      </c>
      <c r="AX64" s="9">
        <f>_xlfn.COVARIANCE.P('Data_Matrix (2018)'!$BH$2:$BH$67,'Data_Matrix (2018)'!AX$2:AX$67)</f>
        <v>2.9170809189727174E-2</v>
      </c>
      <c r="AY64" s="9">
        <f>_xlfn.COVARIANCE.P('Data_Matrix (2018)'!$BH$2:$BH$67,'Data_Matrix (2018)'!AY$2:AY$67)</f>
        <v>0.13268754344065511</v>
      </c>
      <c r="AZ64" s="9">
        <f>_xlfn.COVARIANCE.P('Data_Matrix (2018)'!$BH$2:$BH$67,'Data_Matrix (2018)'!AZ$2:AZ$67)</f>
        <v>-2.8716574888966194E-2</v>
      </c>
      <c r="BA64" s="9">
        <f>_xlfn.COVARIANCE.P('Data_Matrix (2018)'!$BH$2:$BH$67,'Data_Matrix (2018)'!BA$2:BA$67)</f>
        <v>5.7039242280456041E-3</v>
      </c>
      <c r="BB64" s="9">
        <f>_xlfn.COVARIANCE.P('Data_Matrix (2018)'!$BH$2:$BH$67,'Data_Matrix (2018)'!BB$2:BB$67)</f>
        <v>-4.3865837428675421E-3</v>
      </c>
      <c r="BC64" s="9">
        <f>_xlfn.COVARIANCE.P('Data_Matrix (2018)'!$BH$2:$BH$67,'Data_Matrix (2018)'!BC$2:BC$67)</f>
        <v>0.10758642730019188</v>
      </c>
      <c r="BD64" s="9">
        <f>_xlfn.COVARIANCE.P('Data_Matrix (2018)'!$BH$2:$BH$67,'Data_Matrix (2018)'!BD$2:BD$67)</f>
        <v>3.3903217602046704E-3</v>
      </c>
      <c r="BE64" s="9">
        <f>_xlfn.COVARIANCE.P('Data_Matrix (2018)'!$BH$2:$BH$67,'Data_Matrix (2018)'!BE$2:BE$67)</f>
        <v>-5.8800833151244521E-4</v>
      </c>
      <c r="BF64" s="9">
        <f>_xlfn.COVARIANCE.P('Data_Matrix (2018)'!$BH$2:$BH$67,'Data_Matrix (2018)'!BF$2:BF$67)</f>
        <v>1.0840005198460897E-3</v>
      </c>
      <c r="BG64" s="9">
        <f>_xlfn.COVARIANCE.P('Data_Matrix (2018)'!$BH$2:$BH$67,'Data_Matrix (2018)'!BG$2:BG$67)</f>
        <v>2.9656374267399443E-3</v>
      </c>
      <c r="BH64" s="9">
        <f>_xlfn.COVARIANCE.P('Data_Matrix (2018)'!$BH$2:$BH$67,'Data_Matrix (2018)'!BH$2:BH$67)</f>
        <v>5.720547808572967E-2</v>
      </c>
      <c r="BI64" s="9">
        <f>_xlfn.COVARIANCE.P('Data_Matrix (2018)'!$BH$2:$BH$67,'Data_Matrix (2018)'!BI$2:BI$67)</f>
        <v>8.1168840736513363E-3</v>
      </c>
      <c r="BJ64" s="9">
        <f>_xlfn.COVARIANCE.P('Data_Matrix (2018)'!$BH$2:$BH$67,'Data_Matrix (2018)'!BJ$2:BJ$67)</f>
        <v>7.6688042456051356E-3</v>
      </c>
      <c r="BK64" s="9">
        <f>_xlfn.COVARIANCE.P('Data_Matrix (2018)'!$BH$2:$BH$67,'Data_Matrix (2018)'!BK$2:BK$67)</f>
        <v>1.4082379690291713E-3</v>
      </c>
      <c r="BL64" s="9">
        <f>_xlfn.COVARIANCE.P('Data_Matrix (2018)'!$BH$2:$BH$67,'Data_Matrix (2018)'!BL$2:BL$67)</f>
        <v>2.6610469824373166E-3</v>
      </c>
      <c r="BM64" s="9">
        <f>_xlfn.COVARIANCE.P('Data_Matrix (2018)'!$BH$2:$BH$67,'Data_Matrix (2018)'!BM$2:BM$67)</f>
        <v>6.0418764827921911E-4</v>
      </c>
      <c r="BN64" s="9">
        <f>_xlfn.COVARIANCE.P('Data_Matrix (2018)'!$BH$2:$BH$67,'Data_Matrix (2018)'!BN$2:BN$67)</f>
        <v>3.5181520617475983E-5</v>
      </c>
      <c r="BO64" s="9">
        <f>_xlfn.COVARIANCE.P('Data_Matrix (2018)'!$BH$2:$BH$67,'Data_Matrix (2018)'!BO$2:BO$67)</f>
        <v>3.4870231175144248E-6</v>
      </c>
    </row>
    <row r="65" spans="1:67" x14ac:dyDescent="0.2">
      <c r="B65" s="9">
        <f>_xlfn.COVARIANCE.P('Data_Matrix (2018)'!$BI$2:$BI$67,'Data_Matrix (2018)'!B$2:B$67)</f>
        <v>102.07598562661735</v>
      </c>
      <c r="C65" s="9">
        <f>_xlfn.COVARIANCE.P('Data_Matrix (2018)'!$BI$2:$BI$67,'Data_Matrix (2018)'!C$2:C$67)</f>
        <v>87.819201924920449</v>
      </c>
      <c r="D65" s="9">
        <f>_xlfn.COVARIANCE.P('Data_Matrix (2018)'!$BI$2:$BI$67,'Data_Matrix (2018)'!D$2:D$67)</f>
        <v>63.292490666716759</v>
      </c>
      <c r="E65" s="9">
        <f>_xlfn.COVARIANCE.P('Data_Matrix (2018)'!$BI$2:$BI$67,'Data_Matrix (2018)'!E$2:E$67)</f>
        <v>38.225909453123187</v>
      </c>
      <c r="F65" s="9">
        <f>_xlfn.COVARIANCE.P('Data_Matrix (2018)'!$BI$2:$BI$67,'Data_Matrix (2018)'!F$2:F$67)</f>
        <v>14.678177041768331</v>
      </c>
      <c r="G65" s="9">
        <f>_xlfn.COVARIANCE.P('Data_Matrix (2018)'!$BI$2:$BI$67,'Data_Matrix (2018)'!G$2:G$67)</f>
        <v>43.582701324468516</v>
      </c>
      <c r="H65" s="9">
        <f>_xlfn.COVARIANCE.P('Data_Matrix (2018)'!$BI$2:$BI$67,'Data_Matrix (2018)'!H$2:H$67)</f>
        <v>19.98050644656696</v>
      </c>
      <c r="I65" s="9">
        <f>_xlfn.COVARIANCE.P('Data_Matrix (2018)'!$BI$2:$BI$67,'Data_Matrix (2018)'!I$2:I$67)</f>
        <v>21.493592523867225</v>
      </c>
      <c r="J65" s="9">
        <f>_xlfn.COVARIANCE.P('Data_Matrix (2018)'!$BI$2:$BI$67,'Data_Matrix (2018)'!J$2:J$67)</f>
        <v>0.96609792709175768</v>
      </c>
      <c r="K65" s="9">
        <f>_xlfn.COVARIANCE.P('Data_Matrix (2018)'!$BI$2:$BI$67,'Data_Matrix (2018)'!K$2:K$67)</f>
        <v>4.9989141574599953</v>
      </c>
      <c r="L65" s="9">
        <f>_xlfn.COVARIANCE.P('Data_Matrix (2018)'!$BI$2:$BI$67,'Data_Matrix (2018)'!L$2:L$67)</f>
        <v>10.221036853386623</v>
      </c>
      <c r="M65" s="9">
        <f>_xlfn.COVARIANCE.P('Data_Matrix (2018)'!$BI$2:$BI$67,'Data_Matrix (2018)'!M$2:M$67)</f>
        <v>8.0138099971883072</v>
      </c>
      <c r="N65" s="9">
        <f>_xlfn.COVARIANCE.P('Data_Matrix (2018)'!$BI$2:$BI$67,'Data_Matrix (2018)'!N$2:N$67)</f>
        <v>6.3586169721578774</v>
      </c>
      <c r="O65" s="9">
        <f>_xlfn.COVARIANCE.P('Data_Matrix (2018)'!$BI$2:$BI$67,'Data_Matrix (2018)'!O$2:O$67)</f>
        <v>4.2697412265370334</v>
      </c>
      <c r="P65" s="9">
        <f>_xlfn.COVARIANCE.P('Data_Matrix (2018)'!$BI$2:$BI$67,'Data_Matrix (2018)'!P$2:P$67)</f>
        <v>4.8774276986182669E-2</v>
      </c>
      <c r="Q65" s="9">
        <f>_xlfn.COVARIANCE.P('Data_Matrix (2018)'!$BI$2:$BI$67,'Data_Matrix (2018)'!Q$2:Q$67)</f>
        <v>4.732208939806327</v>
      </c>
      <c r="R65" s="9">
        <f>_xlfn.COVARIANCE.P('Data_Matrix (2018)'!$BI$2:$BI$67,'Data_Matrix (2018)'!R$2:R$67)</f>
        <v>5.4837105610901018</v>
      </c>
      <c r="S65" s="9">
        <f>_xlfn.COVARIANCE.P('Data_Matrix (2018)'!$BI$2:$BI$67,'Data_Matrix (2018)'!S$2:S$67)</f>
        <v>3.5219550454220512</v>
      </c>
      <c r="T65" s="9">
        <f>_xlfn.COVARIANCE.P('Data_Matrix (2018)'!$BI$2:$BI$67,'Data_Matrix (2018)'!T$2:T$67)</f>
        <v>3.0778826277187292</v>
      </c>
      <c r="U65" s="9">
        <f>_xlfn.COVARIANCE.P('Data_Matrix (2018)'!$BI$2:$BI$67,'Data_Matrix (2018)'!U$2:U$67)</f>
        <v>1.5817905697617098</v>
      </c>
      <c r="V65" s="9">
        <f>_xlfn.COVARIANCE.P('Data_Matrix (2018)'!$BI$2:$BI$67,'Data_Matrix (2018)'!V$2:V$67)</f>
        <v>0.4902711894268923</v>
      </c>
      <c r="W65" s="9">
        <f>_xlfn.COVARIANCE.P('Data_Matrix (2018)'!$BI$2:$BI$67,'Data_Matrix (2018)'!W$2:W$67)</f>
        <v>1.3189766305441888</v>
      </c>
      <c r="X65" s="9">
        <f>_xlfn.COVARIANCE.P('Data_Matrix (2018)'!$BI$2:$BI$67,'Data_Matrix (2018)'!X$2:X$67)</f>
        <v>1.0897462854195428</v>
      </c>
      <c r="Y65" s="9">
        <f>_xlfn.COVARIANCE.P('Data_Matrix (2018)'!$BI$2:$BI$67,'Data_Matrix (2018)'!Y$2:Y$67)</f>
        <v>0.50891834957205428</v>
      </c>
      <c r="Z65" s="9">
        <f>_xlfn.COVARIANCE.P('Data_Matrix (2018)'!$BI$2:$BI$67,'Data_Matrix (2018)'!Z$2:Z$67)</f>
        <v>1.1120486523203315</v>
      </c>
      <c r="AA65" s="9">
        <f>_xlfn.COVARIANCE.P('Data_Matrix (2018)'!$BI$2:$BI$67,'Data_Matrix (2018)'!AA$2:AA$67)</f>
        <v>2.1680419810079745</v>
      </c>
      <c r="AB65" s="9">
        <f>_xlfn.COVARIANCE.P('Data_Matrix (2018)'!$BI$2:$BI$67,'Data_Matrix (2018)'!AB$2:AB$67)</f>
        <v>0.28154616937221</v>
      </c>
      <c r="AC65" s="9">
        <f>_xlfn.COVARIANCE.P('Data_Matrix (2018)'!$BI$2:$BI$67,'Data_Matrix (2018)'!AC$2:AC$67)</f>
        <v>0.27416412181799971</v>
      </c>
      <c r="AD65" s="9">
        <f>_xlfn.COVARIANCE.P('Data_Matrix (2018)'!$BI$2:$BI$67,'Data_Matrix (2018)'!AD$2:AD$67)</f>
        <v>0.32370121177123573</v>
      </c>
      <c r="AE65" s="9">
        <f>_xlfn.COVARIANCE.P('Data_Matrix (2018)'!$BI$2:$BI$67,'Data_Matrix (2018)'!AE$2:AE$67)</f>
        <v>0.23924220047195552</v>
      </c>
      <c r="AF65" s="9">
        <f>_xlfn.COVARIANCE.P('Data_Matrix (2018)'!$BI$2:$BI$67,'Data_Matrix (2018)'!AF$2:AF$67)</f>
        <v>0.39245943653401122</v>
      </c>
      <c r="AG65" s="9">
        <f>_xlfn.COVARIANCE.P('Data_Matrix (2018)'!$BI$2:$BI$67,'Data_Matrix (2018)'!AG$2:AG$67)</f>
        <v>0.24078086124371234</v>
      </c>
      <c r="AH65" s="9">
        <f>_xlfn.COVARIANCE.P('Data_Matrix (2018)'!$BI$2:$BI$67,'Data_Matrix (2018)'!AH$2:AH$67)</f>
        <v>6.8544830001369655E-2</v>
      </c>
      <c r="AI65" s="9">
        <f>_xlfn.COVARIANCE.P('Data_Matrix (2018)'!$BI$2:$BI$67,'Data_Matrix (2018)'!AI$2:AI$67)</f>
        <v>0.17514250298829817</v>
      </c>
      <c r="AJ65" s="9">
        <f>_xlfn.COVARIANCE.P('Data_Matrix (2018)'!$BI$2:$BI$67,'Data_Matrix (2018)'!AJ$2:AJ$67)</f>
        <v>0.18266621135472672</v>
      </c>
      <c r="AK65" s="9">
        <f>_xlfn.COVARIANCE.P('Data_Matrix (2018)'!$BI$2:$BI$67,'Data_Matrix (2018)'!AK$2:AK$67)</f>
        <v>0.28473290927936284</v>
      </c>
      <c r="AL65" s="9">
        <f>_xlfn.COVARIANCE.P('Data_Matrix (2018)'!$BI$2:$BI$67,'Data_Matrix (2018)'!AL$2:AL$67)</f>
        <v>-0.14785707457433822</v>
      </c>
      <c r="AM65" s="9">
        <f>_xlfn.COVARIANCE.P('Data_Matrix (2018)'!$BI$2:$BI$67,'Data_Matrix (2018)'!AM$2:AM$67)</f>
        <v>0.11935184151118829</v>
      </c>
      <c r="AN65" s="9">
        <f>_xlfn.COVARIANCE.P('Data_Matrix (2018)'!$BI$2:$BI$67,'Data_Matrix (2018)'!AN$2:AN$67)</f>
        <v>2.9096049099242394E-2</v>
      </c>
      <c r="AO65" s="9">
        <f>_xlfn.COVARIANCE.P('Data_Matrix (2018)'!$BI$2:$BI$67,'Data_Matrix (2018)'!AO$2:AO$67)</f>
        <v>6.2929662653323643E-2</v>
      </c>
      <c r="AP65" s="9">
        <f>_xlfn.COVARIANCE.P('Data_Matrix (2018)'!$BI$2:$BI$67,'Data_Matrix (2018)'!AP$2:AP$67)</f>
        <v>7.1838743984655506E-2</v>
      </c>
      <c r="AQ65" s="9">
        <f>_xlfn.COVARIANCE.P('Data_Matrix (2018)'!$BI$2:$BI$67,'Data_Matrix (2018)'!AQ$2:AQ$67)</f>
        <v>8.3379315587416042E-2</v>
      </c>
      <c r="AR65" s="9">
        <f>_xlfn.COVARIANCE.P('Data_Matrix (2018)'!$BI$2:$BI$67,'Data_Matrix (2018)'!AR$2:AR$67)</f>
        <v>8.4724894594984779E-2</v>
      </c>
      <c r="AS65" s="9">
        <f>_xlfn.COVARIANCE.P('Data_Matrix (2018)'!$BI$2:$BI$67,'Data_Matrix (2018)'!AS$2:AS$67)</f>
        <v>8.6332078952018346E-2</v>
      </c>
      <c r="AT65" s="9">
        <f>_xlfn.COVARIANCE.P('Data_Matrix (2018)'!$BI$2:$BI$67,'Data_Matrix (2018)'!AT$2:AT$67)</f>
        <v>5.22270447951741E-2</v>
      </c>
      <c r="AU65" s="9">
        <f>_xlfn.COVARIANCE.P('Data_Matrix (2018)'!$BI$2:$BI$67,'Data_Matrix (2018)'!AU$2:AU$67)</f>
        <v>2.1585317642376513E-2</v>
      </c>
      <c r="AV65" s="9">
        <f>_xlfn.COVARIANCE.P('Data_Matrix (2018)'!$BI$2:$BI$67,'Data_Matrix (2018)'!AV$2:AV$67)</f>
        <v>8.0756924664495536E-2</v>
      </c>
      <c r="AW65" s="9">
        <f>_xlfn.COVARIANCE.P('Data_Matrix (2018)'!$BI$2:$BI$67,'Data_Matrix (2018)'!AW$2:AW$67)</f>
        <v>9.839621439995587E-2</v>
      </c>
      <c r="AX65" s="9">
        <f>_xlfn.COVARIANCE.P('Data_Matrix (2018)'!$BI$2:$BI$67,'Data_Matrix (2018)'!AX$2:AX$67)</f>
        <v>4.2054494850310854E-2</v>
      </c>
      <c r="AY65" s="9">
        <f>_xlfn.COVARIANCE.P('Data_Matrix (2018)'!$BI$2:$BI$67,'Data_Matrix (2018)'!AY$2:AY$67)</f>
        <v>2.6658269308954784E-2</v>
      </c>
      <c r="AZ65" s="9">
        <f>_xlfn.COVARIANCE.P('Data_Matrix (2018)'!$BI$2:$BI$67,'Data_Matrix (2018)'!AZ$2:AZ$67)</f>
        <v>4.0209096952858537E-3</v>
      </c>
      <c r="BA65" s="9">
        <f>_xlfn.COVARIANCE.P('Data_Matrix (2018)'!$BI$2:$BI$67,'Data_Matrix (2018)'!BA$2:BA$67)</f>
        <v>1.2876206087012926E-2</v>
      </c>
      <c r="BB65" s="9">
        <f>_xlfn.COVARIANCE.P('Data_Matrix (2018)'!$BI$2:$BI$67,'Data_Matrix (2018)'!BB$2:BB$67)</f>
        <v>-5.9506669041640709E-4</v>
      </c>
      <c r="BC65" s="9">
        <f>_xlfn.COVARIANCE.P('Data_Matrix (2018)'!$BI$2:$BI$67,'Data_Matrix (2018)'!BC$2:BC$67)</f>
        <v>-6.8575901954788391E-5</v>
      </c>
      <c r="BD65" s="9">
        <f>_xlfn.COVARIANCE.P('Data_Matrix (2018)'!$BI$2:$BI$67,'Data_Matrix (2018)'!BD$2:BD$67)</f>
        <v>5.756073085504367E-3</v>
      </c>
      <c r="BE65" s="9">
        <f>_xlfn.COVARIANCE.P('Data_Matrix (2018)'!$BI$2:$BI$67,'Data_Matrix (2018)'!BE$2:BE$67)</f>
        <v>3.1459692334457594E-3</v>
      </c>
      <c r="BF65" s="9">
        <f>_xlfn.COVARIANCE.P('Data_Matrix (2018)'!$BI$2:$BI$67,'Data_Matrix (2018)'!BF$2:BF$67)</f>
        <v>9.0348821473194819E-4</v>
      </c>
      <c r="BG65" s="9">
        <f>_xlfn.COVARIANCE.P('Data_Matrix (2018)'!$BI$2:$BI$67,'Data_Matrix (2018)'!BG$2:BG$67)</f>
        <v>2.4313472597605147E-3</v>
      </c>
      <c r="BH65" s="9">
        <f>_xlfn.COVARIANCE.P('Data_Matrix (2018)'!$BI$2:$BI$67,'Data_Matrix (2018)'!BH$2:BH$67)</f>
        <v>8.1168840736513363E-3</v>
      </c>
      <c r="BI65" s="9">
        <f>_xlfn.COVARIANCE.P('Data_Matrix (2018)'!$BI$2:$BI$67,'Data_Matrix (2018)'!BI$2:BI$67)</f>
        <v>1.7566744401935439E-2</v>
      </c>
      <c r="BJ65" s="9">
        <f>_xlfn.COVARIANCE.P('Data_Matrix (2018)'!$BI$2:$BI$67,'Data_Matrix (2018)'!BJ$2:BJ$67)</f>
        <v>6.584439611190992E-3</v>
      </c>
      <c r="BK65" s="9">
        <f>_xlfn.COVARIANCE.P('Data_Matrix (2018)'!$BI$2:$BI$67,'Data_Matrix (2018)'!BK$2:BK$67)</f>
        <v>4.0555082250686826E-3</v>
      </c>
      <c r="BL65" s="9">
        <f>_xlfn.COVARIANCE.P('Data_Matrix (2018)'!$BI$2:$BI$67,'Data_Matrix (2018)'!BL$2:BL$67)</f>
        <v>3.8608106080238146E-3</v>
      </c>
      <c r="BM65" s="9">
        <f>_xlfn.COVARIANCE.P('Data_Matrix (2018)'!$BI$2:$BI$67,'Data_Matrix (2018)'!BM$2:BM$67)</f>
        <v>4.7074644396419675E-4</v>
      </c>
      <c r="BN65" s="9">
        <f>_xlfn.COVARIANCE.P('Data_Matrix (2018)'!$BI$2:$BI$67,'Data_Matrix (2018)'!BN$2:BN$67)</f>
        <v>-5.8358935982153896E-5</v>
      </c>
      <c r="BO65" s="9">
        <f>_xlfn.COVARIANCE.P('Data_Matrix (2018)'!$BI$2:$BI$67,'Data_Matrix (2018)'!BO$2:BO$67)</f>
        <v>-1.1259261592380311E-6</v>
      </c>
    </row>
    <row r="66" spans="1:67" x14ac:dyDescent="0.2">
      <c r="B66" s="9">
        <f>_xlfn.COVARIANCE.P('Data_Matrix (2018)'!$BJ$2:$BJ$67,'Data_Matrix (2018)'!B$2:B$67)</f>
        <v>133.7486147610293</v>
      </c>
      <c r="C66" s="9">
        <f>_xlfn.COVARIANCE.P('Data_Matrix (2018)'!$BJ$2:$BJ$67,'Data_Matrix (2018)'!C$2:C$67)</f>
        <v>54.230217571691448</v>
      </c>
      <c r="D66" s="9">
        <f>_xlfn.COVARIANCE.P('Data_Matrix (2018)'!$BJ$2:$BJ$67,'Data_Matrix (2018)'!D$2:D$67)</f>
        <v>58.729844624108239</v>
      </c>
      <c r="E66" s="9">
        <f>_xlfn.COVARIANCE.P('Data_Matrix (2018)'!$BJ$2:$BJ$67,'Data_Matrix (2018)'!E$2:E$67)</f>
        <v>35.566103862102466</v>
      </c>
      <c r="F66" s="9">
        <f>_xlfn.COVARIANCE.P('Data_Matrix (2018)'!$BJ$2:$BJ$67,'Data_Matrix (2018)'!F$2:F$67)</f>
        <v>28.188457476371106</v>
      </c>
      <c r="G66" s="9">
        <f>_xlfn.COVARIANCE.P('Data_Matrix (2018)'!$BJ$2:$BJ$67,'Data_Matrix (2018)'!G$2:G$67)</f>
        <v>31.360252690187668</v>
      </c>
      <c r="H66" s="9">
        <f>_xlfn.COVARIANCE.P('Data_Matrix (2018)'!$BJ$2:$BJ$67,'Data_Matrix (2018)'!H$2:H$67)</f>
        <v>53.957518431549431</v>
      </c>
      <c r="I66" s="9">
        <f>_xlfn.COVARIANCE.P('Data_Matrix (2018)'!$BJ$2:$BJ$67,'Data_Matrix (2018)'!I$2:I$67)</f>
        <v>7.4907475078611947</v>
      </c>
      <c r="J66" s="9">
        <f>_xlfn.COVARIANCE.P('Data_Matrix (2018)'!$BJ$2:$BJ$67,'Data_Matrix (2018)'!J$2:J$67)</f>
        <v>-2.0221879777973548</v>
      </c>
      <c r="K66" s="9">
        <f>_xlfn.COVARIANCE.P('Data_Matrix (2018)'!$BJ$2:$BJ$67,'Data_Matrix (2018)'!K$2:K$67)</f>
        <v>5.0523205277108829</v>
      </c>
      <c r="L66" s="9">
        <f>_xlfn.COVARIANCE.P('Data_Matrix (2018)'!$BJ$2:$BJ$67,'Data_Matrix (2018)'!L$2:L$67)</f>
        <v>12.456161385677204</v>
      </c>
      <c r="M66" s="9">
        <f>_xlfn.COVARIANCE.P('Data_Matrix (2018)'!$BJ$2:$BJ$67,'Data_Matrix (2018)'!M$2:M$67)</f>
        <v>6.3083382201597722</v>
      </c>
      <c r="N66" s="9">
        <f>_xlfn.COVARIANCE.P('Data_Matrix (2018)'!$BJ$2:$BJ$67,'Data_Matrix (2018)'!N$2:N$67)</f>
        <v>4.3462147308260208</v>
      </c>
      <c r="O66" s="9">
        <f>_xlfn.COVARIANCE.P('Data_Matrix (2018)'!$BJ$2:$BJ$67,'Data_Matrix (2018)'!O$2:O$67)</f>
        <v>4.0603856960383018</v>
      </c>
      <c r="P66" s="9">
        <f>_xlfn.COVARIANCE.P('Data_Matrix (2018)'!$BJ$2:$BJ$67,'Data_Matrix (2018)'!P$2:P$67)</f>
        <v>0.97294104007535487</v>
      </c>
      <c r="Q66" s="9">
        <f>_xlfn.COVARIANCE.P('Data_Matrix (2018)'!$BJ$2:$BJ$67,'Data_Matrix (2018)'!Q$2:Q$67)</f>
        <v>5.8266724635342895</v>
      </c>
      <c r="R66" s="9">
        <f>_xlfn.COVARIANCE.P('Data_Matrix (2018)'!$BJ$2:$BJ$67,'Data_Matrix (2018)'!R$2:R$67)</f>
        <v>5.934564475791988</v>
      </c>
      <c r="S66" s="9">
        <f>_xlfn.COVARIANCE.P('Data_Matrix (2018)'!$BJ$2:$BJ$67,'Data_Matrix (2018)'!S$2:S$67)</f>
        <v>4.4187607134461997</v>
      </c>
      <c r="T66" s="9">
        <f>_xlfn.COVARIANCE.P('Data_Matrix (2018)'!$BJ$2:$BJ$67,'Data_Matrix (2018)'!T$2:T$67)</f>
        <v>2.9496298144255197</v>
      </c>
      <c r="U66" s="9">
        <f>_xlfn.COVARIANCE.P('Data_Matrix (2018)'!$BJ$2:$BJ$67,'Data_Matrix (2018)'!U$2:U$67)</f>
        <v>1.2638762619490576</v>
      </c>
      <c r="V66" s="9">
        <f>_xlfn.COVARIANCE.P('Data_Matrix (2018)'!$BJ$2:$BJ$67,'Data_Matrix (2018)'!V$2:V$67)</f>
        <v>-0.34994708716157358</v>
      </c>
      <c r="W66" s="9">
        <f>_xlfn.COVARIANCE.P('Data_Matrix (2018)'!$BJ$2:$BJ$67,'Data_Matrix (2018)'!W$2:W$67)</f>
        <v>0.6480991713099914</v>
      </c>
      <c r="X66" s="9">
        <f>_xlfn.COVARIANCE.P('Data_Matrix (2018)'!$BJ$2:$BJ$67,'Data_Matrix (2018)'!X$2:X$67)</f>
        <v>1.0007348743722215</v>
      </c>
      <c r="Y66" s="9">
        <f>_xlfn.COVARIANCE.P('Data_Matrix (2018)'!$BJ$2:$BJ$67,'Data_Matrix (2018)'!Y$2:Y$67)</f>
        <v>0.47017489264731677</v>
      </c>
      <c r="Z66" s="9">
        <f>_xlfn.COVARIANCE.P('Data_Matrix (2018)'!$BJ$2:$BJ$67,'Data_Matrix (2018)'!Z$2:Z$67)</f>
        <v>1.3902841130345462</v>
      </c>
      <c r="AA66" s="9">
        <f>_xlfn.COVARIANCE.P('Data_Matrix (2018)'!$BJ$2:$BJ$67,'Data_Matrix (2018)'!AA$2:AA$67)</f>
        <v>0.58775176564847964</v>
      </c>
      <c r="AB66" s="9">
        <f>_xlfn.COVARIANCE.P('Data_Matrix (2018)'!$BJ$2:$BJ$67,'Data_Matrix (2018)'!AB$2:AB$67)</f>
        <v>0.14584141951430166</v>
      </c>
      <c r="AC66" s="9">
        <f>_xlfn.COVARIANCE.P('Data_Matrix (2018)'!$BJ$2:$BJ$67,'Data_Matrix (2018)'!AC$2:AC$67)</f>
        <v>0.40859185207593268</v>
      </c>
      <c r="AD66" s="9">
        <f>_xlfn.COVARIANCE.P('Data_Matrix (2018)'!$BJ$2:$BJ$67,'Data_Matrix (2018)'!AD$2:AD$67)</f>
        <v>0.16180970861678401</v>
      </c>
      <c r="AE66" s="9">
        <f>_xlfn.COVARIANCE.P('Data_Matrix (2018)'!$BJ$2:$BJ$67,'Data_Matrix (2018)'!AE$2:AE$67)</f>
        <v>0.21410028768034525</v>
      </c>
      <c r="AF66" s="9">
        <f>_xlfn.COVARIANCE.P('Data_Matrix (2018)'!$BJ$2:$BJ$67,'Data_Matrix (2018)'!AF$2:AF$67)</f>
        <v>0.304945032766615</v>
      </c>
      <c r="AG66" s="9">
        <f>_xlfn.COVARIANCE.P('Data_Matrix (2018)'!$BJ$2:$BJ$67,'Data_Matrix (2018)'!AG$2:AG$67)</f>
        <v>0.17772579284895798</v>
      </c>
      <c r="AH66" s="9">
        <f>_xlfn.COVARIANCE.P('Data_Matrix (2018)'!$BJ$2:$BJ$67,'Data_Matrix (2018)'!AH$2:AH$67)</f>
        <v>0.10147893216833215</v>
      </c>
      <c r="AI66" s="9">
        <f>_xlfn.COVARIANCE.P('Data_Matrix (2018)'!$BJ$2:$BJ$67,'Data_Matrix (2018)'!AI$2:AI$67)</f>
        <v>0.13904699070807602</v>
      </c>
      <c r="AJ66" s="9">
        <f>_xlfn.COVARIANCE.P('Data_Matrix (2018)'!$BJ$2:$BJ$67,'Data_Matrix (2018)'!AJ$2:AJ$67)</f>
        <v>0.18804749692557307</v>
      </c>
      <c r="AK66" s="9">
        <f>_xlfn.COVARIANCE.P('Data_Matrix (2018)'!$BJ$2:$BJ$67,'Data_Matrix (2018)'!AK$2:AK$67)</f>
        <v>1.6082222943545794E-2</v>
      </c>
      <c r="AL66" s="9">
        <f>_xlfn.COVARIANCE.P('Data_Matrix (2018)'!$BJ$2:$BJ$67,'Data_Matrix (2018)'!AL$2:AL$67)</f>
        <v>-8.2329327482156808E-2</v>
      </c>
      <c r="AM66" s="9">
        <f>_xlfn.COVARIANCE.P('Data_Matrix (2018)'!$BJ$2:$BJ$67,'Data_Matrix (2018)'!AM$2:AM$67)</f>
        <v>8.9445206568667182E-2</v>
      </c>
      <c r="AN66" s="9">
        <f>_xlfn.COVARIANCE.P('Data_Matrix (2018)'!$BJ$2:$BJ$67,'Data_Matrix (2018)'!AN$2:AN$67)</f>
        <v>-2.8648850818533814E-2</v>
      </c>
      <c r="AO66" s="9">
        <f>_xlfn.COVARIANCE.P('Data_Matrix (2018)'!$BJ$2:$BJ$67,'Data_Matrix (2018)'!AO$2:AO$67)</f>
        <v>6.2031575461446192E-2</v>
      </c>
      <c r="AP66" s="9">
        <f>_xlfn.COVARIANCE.P('Data_Matrix (2018)'!$BJ$2:$BJ$67,'Data_Matrix (2018)'!AP$2:AP$67)</f>
        <v>1.6518107526603348E-2</v>
      </c>
      <c r="AQ66" s="9">
        <f>_xlfn.COVARIANCE.P('Data_Matrix (2018)'!$BJ$2:$BJ$67,'Data_Matrix (2018)'!AQ$2:AQ$67)</f>
        <v>8.258918283446269E-2</v>
      </c>
      <c r="AR66" s="9">
        <f>_xlfn.COVARIANCE.P('Data_Matrix (2018)'!$BJ$2:$BJ$67,'Data_Matrix (2018)'!AR$2:AR$67)</f>
        <v>-3.5724204586400576E-2</v>
      </c>
      <c r="AS66" s="9">
        <f>_xlfn.COVARIANCE.P('Data_Matrix (2018)'!$BJ$2:$BJ$67,'Data_Matrix (2018)'!AS$2:AS$67)</f>
        <v>-1.7761216476303743E-2</v>
      </c>
      <c r="AT66" s="9">
        <f>_xlfn.COVARIANCE.P('Data_Matrix (2018)'!$BJ$2:$BJ$67,'Data_Matrix (2018)'!AT$2:AT$67)</f>
        <v>7.3003503721467078E-2</v>
      </c>
      <c r="AU66" s="9">
        <f>_xlfn.COVARIANCE.P('Data_Matrix (2018)'!$BJ$2:$BJ$67,'Data_Matrix (2018)'!AU$2:AU$67)</f>
        <v>-2.0152556581488651E-2</v>
      </c>
      <c r="AV66" s="9">
        <f>_xlfn.COVARIANCE.P('Data_Matrix (2018)'!$BJ$2:$BJ$67,'Data_Matrix (2018)'!AV$2:AV$67)</f>
        <v>9.2991866045399413E-2</v>
      </c>
      <c r="AW66" s="9">
        <f>_xlfn.COVARIANCE.P('Data_Matrix (2018)'!$BJ$2:$BJ$67,'Data_Matrix (2018)'!AW$2:AW$67)</f>
        <v>1.0690248608470286E-2</v>
      </c>
      <c r="AX66" s="9">
        <f>_xlfn.COVARIANCE.P('Data_Matrix (2018)'!$BJ$2:$BJ$67,'Data_Matrix (2018)'!AX$2:AX$67)</f>
        <v>6.9510213885036018E-2</v>
      </c>
      <c r="AY66" s="9">
        <f>_xlfn.COVARIANCE.P('Data_Matrix (2018)'!$BJ$2:$BJ$67,'Data_Matrix (2018)'!AY$2:AY$67)</f>
        <v>1.3526977197399731E-2</v>
      </c>
      <c r="AZ66" s="9">
        <f>_xlfn.COVARIANCE.P('Data_Matrix (2018)'!$BJ$2:$BJ$67,'Data_Matrix (2018)'!AZ$2:AZ$67)</f>
        <v>1.3036562385834082E-2</v>
      </c>
      <c r="BA66" s="9">
        <f>_xlfn.COVARIANCE.P('Data_Matrix (2018)'!$BJ$2:$BJ$67,'Data_Matrix (2018)'!BA$2:BA$67)</f>
        <v>6.1953965719926231E-3</v>
      </c>
      <c r="BB66" s="9">
        <f>_xlfn.COVARIANCE.P('Data_Matrix (2018)'!$BJ$2:$BJ$67,'Data_Matrix (2018)'!BB$2:BB$67)</f>
        <v>9.2888507049781379E-3</v>
      </c>
      <c r="BC66" s="9">
        <f>_xlfn.COVARIANCE.P('Data_Matrix (2018)'!$BJ$2:$BJ$67,'Data_Matrix (2018)'!BC$2:BC$67)</f>
        <v>1.0046004701043474E-3</v>
      </c>
      <c r="BD66" s="9">
        <f>_xlfn.COVARIANCE.P('Data_Matrix (2018)'!$BJ$2:$BJ$67,'Data_Matrix (2018)'!BD$2:BD$67)</f>
        <v>3.46289593528763E-3</v>
      </c>
      <c r="BE66" s="9">
        <f>_xlfn.COVARIANCE.P('Data_Matrix (2018)'!$BJ$2:$BJ$67,'Data_Matrix (2018)'!BE$2:BE$67)</f>
        <v>1.1961386653654448E-3</v>
      </c>
      <c r="BF66" s="9">
        <f>_xlfn.COVARIANCE.P('Data_Matrix (2018)'!$BJ$2:$BJ$67,'Data_Matrix (2018)'!BF$2:BF$67)</f>
        <v>8.9464274511979276E-4</v>
      </c>
      <c r="BG66" s="9">
        <f>_xlfn.COVARIANCE.P('Data_Matrix (2018)'!$BJ$2:$BJ$67,'Data_Matrix (2018)'!BG$2:BG$67)</f>
        <v>2.3682308073165038E-3</v>
      </c>
      <c r="BH66" s="9">
        <f>_xlfn.COVARIANCE.P('Data_Matrix (2018)'!$BJ$2:$BJ$67,'Data_Matrix (2018)'!BH$2:BH$67)</f>
        <v>7.6688042456051356E-3</v>
      </c>
      <c r="BI66" s="9">
        <f>_xlfn.COVARIANCE.P('Data_Matrix (2018)'!$BJ$2:$BJ$67,'Data_Matrix (2018)'!BI$2:BI$67)</f>
        <v>6.584439611190992E-3</v>
      </c>
      <c r="BJ66" s="9">
        <f>_xlfn.COVARIANCE.P('Data_Matrix (2018)'!$BJ$2:$BJ$67,'Data_Matrix (2018)'!BJ$2:BJ$67)</f>
        <v>9.1772945326536702E-3</v>
      </c>
      <c r="BK66" s="9">
        <f>_xlfn.COVARIANCE.P('Data_Matrix (2018)'!$BJ$2:$BJ$67,'Data_Matrix (2018)'!BK$2:BK$67)</f>
        <v>1.39751264639906E-3</v>
      </c>
      <c r="BL66" s="9">
        <f>_xlfn.COVARIANCE.P('Data_Matrix (2018)'!$BJ$2:$BJ$67,'Data_Matrix (2018)'!BL$2:BL$67)</f>
        <v>2.5139636444218121E-3</v>
      </c>
      <c r="BM66" s="9">
        <f>_xlfn.COVARIANCE.P('Data_Matrix (2018)'!$BJ$2:$BJ$67,'Data_Matrix (2018)'!BM$2:BM$67)</f>
        <v>4.5985101383662314E-4</v>
      </c>
      <c r="BN66" s="9">
        <f>_xlfn.COVARIANCE.P('Data_Matrix (2018)'!$BJ$2:$BJ$67,'Data_Matrix (2018)'!BN$2:BN$67)</f>
        <v>-3.6765598681178665E-5</v>
      </c>
      <c r="BO66" s="9">
        <f>_xlfn.COVARIANCE.P('Data_Matrix (2018)'!$BJ$2:$BJ$67,'Data_Matrix (2018)'!BO$2:BO$67)</f>
        <v>3.2751442838103086E-6</v>
      </c>
    </row>
    <row r="67" spans="1:67" x14ac:dyDescent="0.2">
      <c r="B67" s="9">
        <f>_xlfn.COVARIANCE.P('Data_Matrix (2018)'!$BK$2:$BK$67,'Data_Matrix (2018)'!B$2:B$67)</f>
        <v>-10.573089256278358</v>
      </c>
      <c r="C67" s="9">
        <f>_xlfn.COVARIANCE.P('Data_Matrix (2018)'!$BK$2:$BK$67,'Data_Matrix (2018)'!C$2:C$67)</f>
        <v>15.673340295228</v>
      </c>
      <c r="D67" s="9">
        <f>_xlfn.COVARIANCE.P('Data_Matrix (2018)'!$BK$2:$BK$67,'Data_Matrix (2018)'!D$2:D$67)</f>
        <v>2.0972769499954516</v>
      </c>
      <c r="E67" s="9">
        <f>_xlfn.COVARIANCE.P('Data_Matrix (2018)'!$BK$2:$BK$67,'Data_Matrix (2018)'!E$2:E$67)</f>
        <v>11.823398720198352</v>
      </c>
      <c r="F67" s="9">
        <f>_xlfn.COVARIANCE.P('Data_Matrix (2018)'!$BK$2:$BK$67,'Data_Matrix (2018)'!F$2:F$67)</f>
        <v>5.8982248411021976</v>
      </c>
      <c r="G67" s="9">
        <f>_xlfn.COVARIANCE.P('Data_Matrix (2018)'!$BK$2:$BK$67,'Data_Matrix (2018)'!G$2:G$67)</f>
        <v>9.0491338094279392</v>
      </c>
      <c r="H67" s="9">
        <f>_xlfn.COVARIANCE.P('Data_Matrix (2018)'!$BK$2:$BK$67,'Data_Matrix (2018)'!H$2:H$67)</f>
        <v>-5.5786236427812188</v>
      </c>
      <c r="I67" s="9">
        <f>_xlfn.COVARIANCE.P('Data_Matrix (2018)'!$BK$2:$BK$67,'Data_Matrix (2018)'!I$2:I$67)</f>
        <v>1.3892827300331319</v>
      </c>
      <c r="J67" s="9">
        <f>_xlfn.COVARIANCE.P('Data_Matrix (2018)'!$BK$2:$BK$67,'Data_Matrix (2018)'!J$2:J$67)</f>
        <v>4.2190652792832424</v>
      </c>
      <c r="K67" s="9">
        <f>_xlfn.COVARIANCE.P('Data_Matrix (2018)'!$BK$2:$BK$67,'Data_Matrix (2018)'!K$2:K$67)</f>
        <v>-1.3040584003827225</v>
      </c>
      <c r="L67" s="9">
        <f>_xlfn.COVARIANCE.P('Data_Matrix (2018)'!$BK$2:$BK$67,'Data_Matrix (2018)'!L$2:L$67)</f>
        <v>2.7206244291172759</v>
      </c>
      <c r="M67" s="9">
        <f>_xlfn.COVARIANCE.P('Data_Matrix (2018)'!$BK$2:$BK$67,'Data_Matrix (2018)'!M$2:M$67)</f>
        <v>3.0465030837746312</v>
      </c>
      <c r="N67" s="9">
        <f>_xlfn.COVARIANCE.P('Data_Matrix (2018)'!$BK$2:$BK$67,'Data_Matrix (2018)'!N$2:N$67)</f>
        <v>1.6769536763660466</v>
      </c>
      <c r="O67" s="9">
        <f>_xlfn.COVARIANCE.P('Data_Matrix (2018)'!$BK$2:$BK$67,'Data_Matrix (2018)'!O$2:O$67)</f>
        <v>0.66856464378365221</v>
      </c>
      <c r="P67" s="9">
        <f>_xlfn.COVARIANCE.P('Data_Matrix (2018)'!$BK$2:$BK$67,'Data_Matrix (2018)'!P$2:P$67)</f>
        <v>1.3475923942189088</v>
      </c>
      <c r="Q67" s="9">
        <f>_xlfn.COVARIANCE.P('Data_Matrix (2018)'!$BK$2:$BK$67,'Data_Matrix (2018)'!Q$2:Q$67)</f>
        <v>0.41055451577969215</v>
      </c>
      <c r="R67" s="9">
        <f>_xlfn.COVARIANCE.P('Data_Matrix (2018)'!$BK$2:$BK$67,'Data_Matrix (2018)'!R$2:R$67)</f>
        <v>0.36459192337531887</v>
      </c>
      <c r="S67" s="9">
        <f>_xlfn.COVARIANCE.P('Data_Matrix (2018)'!$BK$2:$BK$67,'Data_Matrix (2018)'!S$2:S$67)</f>
        <v>1.2558053082304323</v>
      </c>
      <c r="T67" s="9">
        <f>_xlfn.COVARIANCE.P('Data_Matrix (2018)'!$BK$2:$BK$67,'Data_Matrix (2018)'!T$2:T$67)</f>
        <v>0.53549872424917444</v>
      </c>
      <c r="U67" s="9">
        <f>_xlfn.COVARIANCE.P('Data_Matrix (2018)'!$BK$2:$BK$67,'Data_Matrix (2018)'!U$2:U$67)</f>
        <v>0.51687476400769272</v>
      </c>
      <c r="V67" s="9">
        <f>_xlfn.COVARIANCE.P('Data_Matrix (2018)'!$BK$2:$BK$67,'Data_Matrix (2018)'!V$2:V$67)</f>
        <v>0.32983140619508633</v>
      </c>
      <c r="W67" s="9">
        <f>_xlfn.COVARIANCE.P('Data_Matrix (2018)'!$BK$2:$BK$67,'Data_Matrix (2018)'!W$2:W$67)</f>
        <v>0.82286231332734294</v>
      </c>
      <c r="X67" s="9">
        <f>_xlfn.COVARIANCE.P('Data_Matrix (2018)'!$BK$2:$BK$67,'Data_Matrix (2018)'!X$2:X$67)</f>
        <v>0.56912574075831868</v>
      </c>
      <c r="Y67" s="9">
        <f>_xlfn.COVARIANCE.P('Data_Matrix (2018)'!$BK$2:$BK$67,'Data_Matrix (2018)'!Y$2:Y$67)</f>
        <v>0.16398778562023292</v>
      </c>
      <c r="Z67" s="9">
        <f>_xlfn.COVARIANCE.P('Data_Matrix (2018)'!$BK$2:$BK$67,'Data_Matrix (2018)'!Z$2:Z$67)</f>
        <v>0.26821122961101251</v>
      </c>
      <c r="AA67" s="9">
        <f>_xlfn.COVARIANCE.P('Data_Matrix (2018)'!$BK$2:$BK$67,'Data_Matrix (2018)'!AA$2:AA$67)</f>
        <v>1.7632192739434305</v>
      </c>
      <c r="AB67" s="9">
        <f>_xlfn.COVARIANCE.P('Data_Matrix (2018)'!$BK$2:$BK$67,'Data_Matrix (2018)'!AB$2:AB$67)</f>
        <v>0.18303701819983773</v>
      </c>
      <c r="AC67" s="9">
        <f>_xlfn.COVARIANCE.P('Data_Matrix (2018)'!$BK$2:$BK$67,'Data_Matrix (2018)'!AC$2:AC$67)</f>
        <v>0.12342466064191646</v>
      </c>
      <c r="AD67" s="9">
        <f>_xlfn.COVARIANCE.P('Data_Matrix (2018)'!$BK$2:$BK$67,'Data_Matrix (2018)'!AD$2:AD$67)</f>
        <v>0.20191155368348865</v>
      </c>
      <c r="AE67" s="9">
        <f>_xlfn.COVARIANCE.P('Data_Matrix (2018)'!$BK$2:$BK$67,'Data_Matrix (2018)'!AE$2:AE$67)</f>
        <v>0.14990236424081749</v>
      </c>
      <c r="AF67" s="9">
        <f>_xlfn.COVARIANCE.P('Data_Matrix (2018)'!$BK$2:$BK$67,'Data_Matrix (2018)'!AF$2:AF$67)</f>
        <v>0.16902057578462509</v>
      </c>
      <c r="AG67" s="9">
        <f>_xlfn.COVARIANCE.P('Data_Matrix (2018)'!$BK$2:$BK$67,'Data_Matrix (2018)'!AG$2:AG$67)</f>
        <v>0.16833799322022314</v>
      </c>
      <c r="AH67" s="9">
        <f>_xlfn.COVARIANCE.P('Data_Matrix (2018)'!$BK$2:$BK$67,'Data_Matrix (2018)'!AH$2:AH$67)</f>
        <v>6.6450459341291332E-2</v>
      </c>
      <c r="AI67" s="9">
        <f>_xlfn.COVARIANCE.P('Data_Matrix (2018)'!$BK$2:$BK$67,'Data_Matrix (2018)'!AI$2:AI$67)</f>
        <v>9.1535019481364804E-2</v>
      </c>
      <c r="AJ67" s="9">
        <f>_xlfn.COVARIANCE.P('Data_Matrix (2018)'!$BK$2:$BK$67,'Data_Matrix (2018)'!AJ$2:AJ$67)</f>
        <v>8.9108926421587201E-2</v>
      </c>
      <c r="AK67" s="9">
        <f>_xlfn.COVARIANCE.P('Data_Matrix (2018)'!$BK$2:$BK$67,'Data_Matrix (2018)'!AK$2:AK$67)</f>
        <v>0.14474689590009215</v>
      </c>
      <c r="AL67" s="9">
        <f>_xlfn.COVARIANCE.P('Data_Matrix (2018)'!$BK$2:$BK$67,'Data_Matrix (2018)'!AL$2:AL$67)</f>
        <v>-7.9463185036969988E-2</v>
      </c>
      <c r="AM67" s="9">
        <f>_xlfn.COVARIANCE.P('Data_Matrix (2018)'!$BK$2:$BK$67,'Data_Matrix (2018)'!AM$2:AM$67)</f>
        <v>2.2057823925445961E-3</v>
      </c>
      <c r="AN67" s="9">
        <f>_xlfn.COVARIANCE.P('Data_Matrix (2018)'!$BK$2:$BK$67,'Data_Matrix (2018)'!AN$2:AN$67)</f>
        <v>-4.0501395047763303E-2</v>
      </c>
      <c r="AO67" s="9">
        <f>_xlfn.COVARIANCE.P('Data_Matrix (2018)'!$BK$2:$BK$67,'Data_Matrix (2018)'!AO$2:AO$67)</f>
        <v>9.2790968589802399E-3</v>
      </c>
      <c r="AP67" s="9">
        <f>_xlfn.COVARIANCE.P('Data_Matrix (2018)'!$BK$2:$BK$67,'Data_Matrix (2018)'!AP$2:AP$67)</f>
        <v>1.7274325775987545E-2</v>
      </c>
      <c r="AQ67" s="9">
        <f>_xlfn.COVARIANCE.P('Data_Matrix (2018)'!$BK$2:$BK$67,'Data_Matrix (2018)'!AQ$2:AQ$67)</f>
        <v>4.0479251197860389E-2</v>
      </c>
      <c r="AR67" s="9">
        <f>_xlfn.COVARIANCE.P('Data_Matrix (2018)'!$BK$2:$BK$67,'Data_Matrix (2018)'!AR$2:AR$67)</f>
        <v>2.2908264037136868E-2</v>
      </c>
      <c r="AS67" s="9">
        <f>_xlfn.COVARIANCE.P('Data_Matrix (2018)'!$BK$2:$BK$67,'Data_Matrix (2018)'!AS$2:AS$67)</f>
        <v>-7.6672671044194706E-3</v>
      </c>
      <c r="AT67" s="9">
        <f>_xlfn.COVARIANCE.P('Data_Matrix (2018)'!$BK$2:$BK$67,'Data_Matrix (2018)'!AT$2:AT$67)</f>
        <v>1.6404788651681712E-2</v>
      </c>
      <c r="AU67" s="9">
        <f>_xlfn.COVARIANCE.P('Data_Matrix (2018)'!$BK$2:$BK$67,'Data_Matrix (2018)'!AU$2:AU$67)</f>
        <v>1.087343413911644E-2</v>
      </c>
      <c r="AV67" s="9">
        <f>_xlfn.COVARIANCE.P('Data_Matrix (2018)'!$BK$2:$BK$67,'Data_Matrix (2018)'!AV$2:AV$67)</f>
        <v>1.8248949218516129E-2</v>
      </c>
      <c r="AW67" s="9">
        <f>_xlfn.COVARIANCE.P('Data_Matrix (2018)'!$BK$2:$BK$67,'Data_Matrix (2018)'!AW$2:AW$67)</f>
        <v>4.9323560634331942E-3</v>
      </c>
      <c r="AX67" s="9">
        <f>_xlfn.COVARIANCE.P('Data_Matrix (2018)'!$BK$2:$BK$67,'Data_Matrix (2018)'!AX$2:AX$67)</f>
        <v>3.3383043314491137E-3</v>
      </c>
      <c r="AY67" s="9">
        <f>_xlfn.COVARIANCE.P('Data_Matrix (2018)'!$BK$2:$BK$67,'Data_Matrix (2018)'!AY$2:AY$67)</f>
        <v>1.2287978278974897E-2</v>
      </c>
      <c r="AZ67" s="9">
        <f>_xlfn.COVARIANCE.P('Data_Matrix (2018)'!$BK$2:$BK$67,'Data_Matrix (2018)'!AZ$2:AZ$67)</f>
        <v>1.4065218986456133E-2</v>
      </c>
      <c r="BA67" s="9">
        <f>_xlfn.COVARIANCE.P('Data_Matrix (2018)'!$BK$2:$BK$67,'Data_Matrix (2018)'!BA$2:BA$67)</f>
        <v>9.2522566209003176E-3</v>
      </c>
      <c r="BB67" s="9">
        <f>_xlfn.COVARIANCE.P('Data_Matrix (2018)'!$BK$2:$BK$67,'Data_Matrix (2018)'!BB$2:BB$67)</f>
        <v>-3.3127859868082503E-4</v>
      </c>
      <c r="BC67" s="9">
        <f>_xlfn.COVARIANCE.P('Data_Matrix (2018)'!$BK$2:$BK$67,'Data_Matrix (2018)'!BC$2:BC$67)</f>
        <v>2.2321633304241151E-4</v>
      </c>
      <c r="BD67" s="9">
        <f>_xlfn.COVARIANCE.P('Data_Matrix (2018)'!$BK$2:$BK$67,'Data_Matrix (2018)'!BD$2:BD$67)</f>
        <v>4.1206006761082999E-3</v>
      </c>
      <c r="BE67" s="9">
        <f>_xlfn.COVARIANCE.P('Data_Matrix (2018)'!$BK$2:$BK$67,'Data_Matrix (2018)'!BE$2:BE$67)</f>
        <v>3.719674519811614E-3</v>
      </c>
      <c r="BF67" s="9">
        <f>_xlfn.COVARIANCE.P('Data_Matrix (2018)'!$BK$2:$BK$67,'Data_Matrix (2018)'!BF$2:BF$67)</f>
        <v>3.6433844678618045E-4</v>
      </c>
      <c r="BG67" s="9">
        <f>_xlfn.COVARIANCE.P('Data_Matrix (2018)'!$BK$2:$BK$67,'Data_Matrix (2018)'!BG$2:BG$67)</f>
        <v>1.2324970940744283E-3</v>
      </c>
      <c r="BH67" s="9">
        <f>_xlfn.COVARIANCE.P('Data_Matrix (2018)'!$BK$2:$BK$67,'Data_Matrix (2018)'!BH$2:BH$67)</f>
        <v>1.4082379690291713E-3</v>
      </c>
      <c r="BI67" s="9">
        <f>_xlfn.COVARIANCE.P('Data_Matrix (2018)'!$BK$2:$BK$67,'Data_Matrix (2018)'!BI$2:BI$67)</f>
        <v>4.0555082250686826E-3</v>
      </c>
      <c r="BJ67" s="9">
        <f>_xlfn.COVARIANCE.P('Data_Matrix (2018)'!$BK$2:$BK$67,'Data_Matrix (2018)'!BJ$2:BJ$67)</f>
        <v>1.39751264639906E-3</v>
      </c>
      <c r="BK67" s="9">
        <f>_xlfn.COVARIANCE.P('Data_Matrix (2018)'!$BK$2:$BK$67,'Data_Matrix (2018)'!BK$2:BK$67)</f>
        <v>3.8501243705107921E-3</v>
      </c>
      <c r="BL67" s="9">
        <f>_xlfn.COVARIANCE.P('Data_Matrix (2018)'!$BK$2:$BK$67,'Data_Matrix (2018)'!BL$2:BL$67)</f>
        <v>1.7286915600452763E-3</v>
      </c>
      <c r="BM67" s="9">
        <f>_xlfn.COVARIANCE.P('Data_Matrix (2018)'!$BK$2:$BK$67,'Data_Matrix (2018)'!BM$2:BM$67)</f>
        <v>1.8579851718127571E-4</v>
      </c>
      <c r="BN67" s="9">
        <f>_xlfn.COVARIANCE.P('Data_Matrix (2018)'!$BK$2:$BK$67,'Data_Matrix (2018)'!BN$2:BN$67)</f>
        <v>-1.5164193424123592E-5</v>
      </c>
      <c r="BO67" s="9">
        <f>_xlfn.COVARIANCE.P('Data_Matrix (2018)'!$BK$2:$BK$67,'Data_Matrix (2018)'!BO$2:BO$67)</f>
        <v>1.3230480013727624E-5</v>
      </c>
    </row>
    <row r="68" spans="1:67" x14ac:dyDescent="0.2">
      <c r="B68" s="9">
        <f>_xlfn.COVARIANCE.P('Data_Matrix (2018)'!$BL$2:$BL$67,'Data_Matrix (2018)'!B$2:B$67)</f>
        <v>-0.75555414564025647</v>
      </c>
      <c r="C68" s="9">
        <f>_xlfn.COVARIANCE.P('Data_Matrix (2018)'!$BL$2:$BL$67,'Data_Matrix (2018)'!C$2:C$67)</f>
        <v>9.1008647800465479</v>
      </c>
      <c r="D68" s="9">
        <f>_xlfn.COVARIANCE.P('Data_Matrix (2018)'!$BL$2:$BL$67,'Data_Matrix (2018)'!D$2:D$67)</f>
        <v>-12.038232290454117</v>
      </c>
      <c r="E68" s="9">
        <f>_xlfn.COVARIANCE.P('Data_Matrix (2018)'!$BL$2:$BL$67,'Data_Matrix (2018)'!E$2:E$67)</f>
        <v>-11.175417327277772</v>
      </c>
      <c r="F68" s="9">
        <f>_xlfn.COVARIANCE.P('Data_Matrix (2018)'!$BL$2:$BL$67,'Data_Matrix (2018)'!F$2:F$67)</f>
        <v>-17.417254917899619</v>
      </c>
      <c r="G68" s="9">
        <f>_xlfn.COVARIANCE.P('Data_Matrix (2018)'!$BL$2:$BL$67,'Data_Matrix (2018)'!G$2:G$67)</f>
        <v>-12.357014567746596</v>
      </c>
      <c r="H68" s="9">
        <f>_xlfn.COVARIANCE.P('Data_Matrix (2018)'!$BL$2:$BL$67,'Data_Matrix (2018)'!H$2:H$67)</f>
        <v>-4.1410360765730125</v>
      </c>
      <c r="I68" s="9">
        <f>_xlfn.COVARIANCE.P('Data_Matrix (2018)'!$BL$2:$BL$67,'Data_Matrix (2018)'!I$2:I$67)</f>
        <v>-9.7364933154146645</v>
      </c>
      <c r="J68" s="9">
        <f>_xlfn.COVARIANCE.P('Data_Matrix (2018)'!$BL$2:$BL$67,'Data_Matrix (2018)'!J$2:J$67)</f>
        <v>-6.9517284607255911</v>
      </c>
      <c r="K68" s="9">
        <f>_xlfn.COVARIANCE.P('Data_Matrix (2018)'!$BL$2:$BL$67,'Data_Matrix (2018)'!K$2:K$67)</f>
        <v>-9.0340781729492381</v>
      </c>
      <c r="L68" s="9">
        <f>_xlfn.COVARIANCE.P('Data_Matrix (2018)'!$BL$2:$BL$67,'Data_Matrix (2018)'!L$2:L$67)</f>
        <v>-0.59008682523805356</v>
      </c>
      <c r="M68" s="9">
        <f>_xlfn.COVARIANCE.P('Data_Matrix (2018)'!$BL$2:$BL$67,'Data_Matrix (2018)'!M$2:M$67)</f>
        <v>2.5982473366406409</v>
      </c>
      <c r="N68" s="9">
        <f>_xlfn.COVARIANCE.P('Data_Matrix (2018)'!$BL$2:$BL$67,'Data_Matrix (2018)'!N$2:N$67)</f>
        <v>-2.3487748098754011</v>
      </c>
      <c r="O68" s="9">
        <f>_xlfn.COVARIANCE.P('Data_Matrix (2018)'!$BL$2:$BL$67,'Data_Matrix (2018)'!O$2:O$67)</f>
        <v>-2.6443419237959535E-3</v>
      </c>
      <c r="P68" s="9">
        <f>_xlfn.COVARIANCE.P('Data_Matrix (2018)'!$BL$2:$BL$67,'Data_Matrix (2018)'!P$2:P$67)</f>
        <v>3.0475343653084092E-2</v>
      </c>
      <c r="Q68" s="9">
        <f>_xlfn.COVARIANCE.P('Data_Matrix (2018)'!$BL$2:$BL$67,'Data_Matrix (2018)'!Q$2:Q$67)</f>
        <v>2.1225693316646428</v>
      </c>
      <c r="R68" s="9">
        <f>_xlfn.COVARIANCE.P('Data_Matrix (2018)'!$BL$2:$BL$67,'Data_Matrix (2018)'!R$2:R$67)</f>
        <v>1.7136047529812986</v>
      </c>
      <c r="S68" s="9">
        <f>_xlfn.COVARIANCE.P('Data_Matrix (2018)'!$BL$2:$BL$67,'Data_Matrix (2018)'!S$2:S$67)</f>
        <v>1.3236879110961299</v>
      </c>
      <c r="T68" s="9">
        <f>_xlfn.COVARIANCE.P('Data_Matrix (2018)'!$BL$2:$BL$67,'Data_Matrix (2018)'!T$2:T$67)</f>
        <v>1.1143795112685184</v>
      </c>
      <c r="U68" s="9">
        <f>_xlfn.COVARIANCE.P('Data_Matrix (2018)'!$BL$2:$BL$67,'Data_Matrix (2018)'!U$2:U$67)</f>
        <v>0.34998171340928147</v>
      </c>
      <c r="V68" s="9">
        <f>_xlfn.COVARIANCE.P('Data_Matrix (2018)'!$BL$2:$BL$67,'Data_Matrix (2018)'!V$2:V$67)</f>
        <v>-1.0524210523665902</v>
      </c>
      <c r="W68" s="9">
        <f>_xlfn.COVARIANCE.P('Data_Matrix (2018)'!$BL$2:$BL$67,'Data_Matrix (2018)'!W$2:W$67)</f>
        <v>0.30930328631347842</v>
      </c>
      <c r="X68" s="9">
        <f>_xlfn.COVARIANCE.P('Data_Matrix (2018)'!$BL$2:$BL$67,'Data_Matrix (2018)'!X$2:X$67)</f>
        <v>0.13442516318362821</v>
      </c>
      <c r="Y68" s="9">
        <f>_xlfn.COVARIANCE.P('Data_Matrix (2018)'!$BL$2:$BL$67,'Data_Matrix (2018)'!Y$2:Y$67)</f>
        <v>0.17599882992323837</v>
      </c>
      <c r="Z68" s="9">
        <f>_xlfn.COVARIANCE.P('Data_Matrix (2018)'!$BL$2:$BL$67,'Data_Matrix (2018)'!Z$2:Z$67)</f>
        <v>0.74148638664546807</v>
      </c>
      <c r="AA68" s="9">
        <f>_xlfn.COVARIANCE.P('Data_Matrix (2018)'!$BL$2:$BL$67,'Data_Matrix (2018)'!AA$2:AA$67)</f>
        <v>0.95566148889822544</v>
      </c>
      <c r="AB68" s="9">
        <f>_xlfn.COVARIANCE.P('Data_Matrix (2018)'!$BL$2:$BL$67,'Data_Matrix (2018)'!AB$2:AB$67)</f>
        <v>0.14197376901916306</v>
      </c>
      <c r="AC68" s="9">
        <f>_xlfn.COVARIANCE.P('Data_Matrix (2018)'!$BL$2:$BL$67,'Data_Matrix (2018)'!AC$2:AC$67)</f>
        <v>9.6471166071452855E-2</v>
      </c>
      <c r="AD68" s="9">
        <f>_xlfn.COVARIANCE.P('Data_Matrix (2018)'!$BL$2:$BL$67,'Data_Matrix (2018)'!AD$2:AD$67)</f>
        <v>0.1430884404403705</v>
      </c>
      <c r="AE68" s="9">
        <f>_xlfn.COVARIANCE.P('Data_Matrix (2018)'!$BL$2:$BL$67,'Data_Matrix (2018)'!AE$2:AE$67)</f>
        <v>0.14697574915208356</v>
      </c>
      <c r="AF68" s="9">
        <f>_xlfn.COVARIANCE.P('Data_Matrix (2018)'!$BL$2:$BL$67,'Data_Matrix (2018)'!AF$2:AF$67)</f>
        <v>0.16272473376617388</v>
      </c>
      <c r="AG68" s="9">
        <f>_xlfn.COVARIANCE.P('Data_Matrix (2018)'!$BL$2:$BL$67,'Data_Matrix (2018)'!AG$2:AG$67)</f>
        <v>6.4980447898237551E-2</v>
      </c>
      <c r="AH68" s="9">
        <f>_xlfn.COVARIANCE.P('Data_Matrix (2018)'!$BL$2:$BL$67,'Data_Matrix (2018)'!AH$2:AH$67)</f>
        <v>-3.13400191829033E-2</v>
      </c>
      <c r="AI68" s="9">
        <f>_xlfn.COVARIANCE.P('Data_Matrix (2018)'!$BL$2:$BL$67,'Data_Matrix (2018)'!AI$2:AI$67)</f>
        <v>0.11316420501010417</v>
      </c>
      <c r="AJ68" s="9">
        <f>_xlfn.COVARIANCE.P('Data_Matrix (2018)'!$BL$2:$BL$67,'Data_Matrix (2018)'!AJ$2:AJ$67)</f>
        <v>3.7930609618938987E-2</v>
      </c>
      <c r="AK68" s="9">
        <f>_xlfn.COVARIANCE.P('Data_Matrix (2018)'!$BL$2:$BL$67,'Data_Matrix (2018)'!AK$2:AK$67)</f>
        <v>5.3946793925684432E-2</v>
      </c>
      <c r="AL68" s="9">
        <f>_xlfn.COVARIANCE.P('Data_Matrix (2018)'!$BL$2:$BL$67,'Data_Matrix (2018)'!AL$2:AL$67)</f>
        <v>0.22540211613298936</v>
      </c>
      <c r="AM68" s="9">
        <f>_xlfn.COVARIANCE.P('Data_Matrix (2018)'!$BL$2:$BL$67,'Data_Matrix (2018)'!AM$2:AM$67)</f>
        <v>2.0334541489221612E-2</v>
      </c>
      <c r="AN68" s="9">
        <f>_xlfn.COVARIANCE.P('Data_Matrix (2018)'!$BL$2:$BL$67,'Data_Matrix (2018)'!AN$2:AN$67)</f>
        <v>-7.609407936055701E-2</v>
      </c>
      <c r="AO68" s="9">
        <f>_xlfn.COVARIANCE.P('Data_Matrix (2018)'!$BL$2:$BL$67,'Data_Matrix (2018)'!AO$2:AO$67)</f>
        <v>-1.5755743796397742E-2</v>
      </c>
      <c r="AP68" s="9">
        <f>_xlfn.COVARIANCE.P('Data_Matrix (2018)'!$BL$2:$BL$67,'Data_Matrix (2018)'!AP$2:AP$67)</f>
        <v>-4.3197695854258478E-2</v>
      </c>
      <c r="AQ68" s="9">
        <f>_xlfn.COVARIANCE.P('Data_Matrix (2018)'!$BL$2:$BL$67,'Data_Matrix (2018)'!AQ$2:AQ$67)</f>
        <v>5.3167518550732012E-3</v>
      </c>
      <c r="AR68" s="9">
        <f>_xlfn.COVARIANCE.P('Data_Matrix (2018)'!$BL$2:$BL$67,'Data_Matrix (2018)'!AR$2:AR$67)</f>
        <v>9.3942315074296109E-2</v>
      </c>
      <c r="AS68" s="9">
        <f>_xlfn.COVARIANCE.P('Data_Matrix (2018)'!$BL$2:$BL$67,'Data_Matrix (2018)'!AS$2:AS$67)</f>
        <v>3.4896791080232366E-2</v>
      </c>
      <c r="AT68" s="9">
        <f>_xlfn.COVARIANCE.P('Data_Matrix (2018)'!$BL$2:$BL$67,'Data_Matrix (2018)'!AT$2:AT$67)</f>
        <v>3.0638231653705231E-3</v>
      </c>
      <c r="AU68" s="9">
        <f>_xlfn.COVARIANCE.P('Data_Matrix (2018)'!$BL$2:$BL$67,'Data_Matrix (2018)'!AU$2:AU$67)</f>
        <v>2.4103461461744892E-2</v>
      </c>
      <c r="AV68" s="9">
        <f>_xlfn.COVARIANCE.P('Data_Matrix (2018)'!$BL$2:$BL$67,'Data_Matrix (2018)'!AV$2:AV$67)</f>
        <v>6.4147930388727348E-2</v>
      </c>
      <c r="AW68" s="9">
        <f>_xlfn.COVARIANCE.P('Data_Matrix (2018)'!$BL$2:$BL$67,'Data_Matrix (2018)'!AW$2:AW$67)</f>
        <v>-2.5907834195869554E-2</v>
      </c>
      <c r="AX68" s="9">
        <f>_xlfn.COVARIANCE.P('Data_Matrix (2018)'!$BL$2:$BL$67,'Data_Matrix (2018)'!AX$2:AX$67)</f>
        <v>-8.1381743218867045E-3</v>
      </c>
      <c r="AY68" s="9">
        <f>_xlfn.COVARIANCE.P('Data_Matrix (2018)'!$BL$2:$BL$67,'Data_Matrix (2018)'!AY$2:AY$67)</f>
        <v>2.4666185719048574E-2</v>
      </c>
      <c r="AZ68" s="9">
        <f>_xlfn.COVARIANCE.P('Data_Matrix (2018)'!$BL$2:$BL$67,'Data_Matrix (2018)'!AZ$2:AZ$67)</f>
        <v>-1.256682644588965E-2</v>
      </c>
      <c r="BA68" s="9">
        <f>_xlfn.COVARIANCE.P('Data_Matrix (2018)'!$BL$2:$BL$67,'Data_Matrix (2018)'!BA$2:BA$67)</f>
        <v>4.3738438563615811E-3</v>
      </c>
      <c r="BB68" s="9">
        <f>_xlfn.COVARIANCE.P('Data_Matrix (2018)'!$BL$2:$BL$67,'Data_Matrix (2018)'!BB$2:BB$67)</f>
        <v>-5.7503833593405456E-3</v>
      </c>
      <c r="BC68" s="9">
        <f>_xlfn.COVARIANCE.P('Data_Matrix (2018)'!$BL$2:$BL$67,'Data_Matrix (2018)'!BC$2:BC$67)</f>
        <v>-1.6248010886343743E-3</v>
      </c>
      <c r="BD68" s="9">
        <f>_xlfn.COVARIANCE.P('Data_Matrix (2018)'!$BL$2:$BL$67,'Data_Matrix (2018)'!BD$2:BD$67)</f>
        <v>6.8302770926489801E-4</v>
      </c>
      <c r="BE68" s="9">
        <f>_xlfn.COVARIANCE.P('Data_Matrix (2018)'!$BL$2:$BL$67,'Data_Matrix (2018)'!BE$2:BE$67)</f>
        <v>8.2699776424190012E-5</v>
      </c>
      <c r="BF68" s="9">
        <f>_xlfn.COVARIANCE.P('Data_Matrix (2018)'!$BL$2:$BL$67,'Data_Matrix (2018)'!BF$2:BF$67)</f>
        <v>2.3434091296390235E-4</v>
      </c>
      <c r="BG68" s="9">
        <f>_xlfn.COVARIANCE.P('Data_Matrix (2018)'!$BL$2:$BL$67,'Data_Matrix (2018)'!BG$2:BG$67)</f>
        <v>1.0329426789876838E-3</v>
      </c>
      <c r="BH68" s="9">
        <f>_xlfn.COVARIANCE.P('Data_Matrix (2018)'!$BL$2:$BL$67,'Data_Matrix (2018)'!BH$2:BH$67)</f>
        <v>2.6610469824373166E-3</v>
      </c>
      <c r="BI68" s="9">
        <f>_xlfn.COVARIANCE.P('Data_Matrix (2018)'!$BL$2:$BL$67,'Data_Matrix (2018)'!BI$2:BI$67)</f>
        <v>3.8608106080238146E-3</v>
      </c>
      <c r="BJ68" s="9">
        <f>_xlfn.COVARIANCE.P('Data_Matrix (2018)'!$BL$2:$BL$67,'Data_Matrix (2018)'!BJ$2:BJ$67)</f>
        <v>2.5139636444218121E-3</v>
      </c>
      <c r="BK68" s="9">
        <f>_xlfn.COVARIANCE.P('Data_Matrix (2018)'!$BL$2:$BL$67,'Data_Matrix (2018)'!BK$2:BK$67)</f>
        <v>1.7286915600452763E-3</v>
      </c>
      <c r="BL68" s="9">
        <f>_xlfn.COVARIANCE.P('Data_Matrix (2018)'!$BL$2:$BL$67,'Data_Matrix (2018)'!BL$2:BL$67)</f>
        <v>3.1173710344103205E-2</v>
      </c>
      <c r="BM68" s="9">
        <f>_xlfn.COVARIANCE.P('Data_Matrix (2018)'!$BL$2:$BL$67,'Data_Matrix (2018)'!BM$2:BM$67)</f>
        <v>1.9190893315055966E-4</v>
      </c>
      <c r="BN68" s="9">
        <f>_xlfn.COVARIANCE.P('Data_Matrix (2018)'!$BL$2:$BL$67,'Data_Matrix (2018)'!BN$2:BN$67)</f>
        <v>-5.6085801274324746E-5</v>
      </c>
      <c r="BO68" s="9">
        <f>_xlfn.COVARIANCE.P('Data_Matrix (2018)'!$BL$2:$BL$67,'Data_Matrix (2018)'!BO$2:BO$67)</f>
        <v>6.7507408360045944E-7</v>
      </c>
    </row>
    <row r="69" spans="1:67" x14ac:dyDescent="0.2">
      <c r="B69" s="9">
        <f>_xlfn.COVARIANCE.P('Data_Matrix (2018)'!$BM$2:$BM$67,'Data_Matrix (2018)'!B$2:B$67)</f>
        <v>3.5192887510067647</v>
      </c>
      <c r="C69" s="9">
        <f>_xlfn.COVARIANCE.P('Data_Matrix (2018)'!$BM$2:$BM$67,'Data_Matrix (2018)'!C$2:C$67)</f>
        <v>3.8648146662373466</v>
      </c>
      <c r="D69" s="9">
        <f>_xlfn.COVARIANCE.P('Data_Matrix (2018)'!$BM$2:$BM$67,'Data_Matrix (2018)'!D$2:D$67)</f>
        <v>0.29150759803607834</v>
      </c>
      <c r="E69" s="9">
        <f>_xlfn.COVARIANCE.P('Data_Matrix (2018)'!$BM$2:$BM$67,'Data_Matrix (2018)'!E$2:E$67)</f>
        <v>2.4512304879631164</v>
      </c>
      <c r="F69" s="9">
        <f>_xlfn.COVARIANCE.P('Data_Matrix (2018)'!$BM$2:$BM$67,'Data_Matrix (2018)'!F$2:F$67)</f>
        <v>0.51148883907783349</v>
      </c>
      <c r="G69" s="9">
        <f>_xlfn.COVARIANCE.P('Data_Matrix (2018)'!$BM$2:$BM$67,'Data_Matrix (2018)'!G$2:G$67)</f>
        <v>1.8447615567181197</v>
      </c>
      <c r="H69" s="9">
        <f>_xlfn.COVARIANCE.P('Data_Matrix (2018)'!$BM$2:$BM$67,'Data_Matrix (2018)'!H$2:H$67)</f>
        <v>0.32236852698380503</v>
      </c>
      <c r="I69" s="9">
        <f>_xlfn.COVARIANCE.P('Data_Matrix (2018)'!$BM$2:$BM$67,'Data_Matrix (2018)'!I$2:I$67)</f>
        <v>-0.12347581737904471</v>
      </c>
      <c r="J69" s="9">
        <f>_xlfn.COVARIANCE.P('Data_Matrix (2018)'!$BM$2:$BM$67,'Data_Matrix (2018)'!J$2:J$67)</f>
        <v>5.931917807727026E-2</v>
      </c>
      <c r="K69" s="9">
        <f>_xlfn.COVARIANCE.P('Data_Matrix (2018)'!$BM$2:$BM$67,'Data_Matrix (2018)'!K$2:K$67)</f>
        <v>-0.31306767174913208</v>
      </c>
      <c r="L69" s="9">
        <f>_xlfn.COVARIANCE.P('Data_Matrix (2018)'!$BM$2:$BM$67,'Data_Matrix (2018)'!L$2:L$67)</f>
        <v>0.50271924908241472</v>
      </c>
      <c r="M69" s="9">
        <f>_xlfn.COVARIANCE.P('Data_Matrix (2018)'!$BM$2:$BM$67,'Data_Matrix (2018)'!M$2:M$67)</f>
        <v>0.37889669586087726</v>
      </c>
      <c r="N69" s="9">
        <f>_xlfn.COVARIANCE.P('Data_Matrix (2018)'!$BM$2:$BM$67,'Data_Matrix (2018)'!N$2:N$67)</f>
        <v>9.9351644714472775E-2</v>
      </c>
      <c r="O69" s="9">
        <f>_xlfn.COVARIANCE.P('Data_Matrix (2018)'!$BM$2:$BM$67,'Data_Matrix (2018)'!O$2:O$67)</f>
        <v>8.5972498192689491E-3</v>
      </c>
      <c r="P69" s="9">
        <f>_xlfn.COVARIANCE.P('Data_Matrix (2018)'!$BM$2:$BM$67,'Data_Matrix (2018)'!P$2:P$67)</f>
        <v>-0.13665736233857129</v>
      </c>
      <c r="Q69" s="9">
        <f>_xlfn.COVARIANCE.P('Data_Matrix (2018)'!$BM$2:$BM$67,'Data_Matrix (2018)'!Q$2:Q$67)</f>
        <v>0.11863034633851599</v>
      </c>
      <c r="R69" s="9">
        <f>_xlfn.COVARIANCE.P('Data_Matrix (2018)'!$BM$2:$BM$67,'Data_Matrix (2018)'!R$2:R$67)</f>
        <v>4.3206396041515181E-2</v>
      </c>
      <c r="S69" s="9">
        <f>_xlfn.COVARIANCE.P('Data_Matrix (2018)'!$BM$2:$BM$67,'Data_Matrix (2018)'!S$2:S$67)</f>
        <v>0.19967773552750007</v>
      </c>
      <c r="T69" s="9">
        <f>_xlfn.COVARIANCE.P('Data_Matrix (2018)'!$BM$2:$BM$67,'Data_Matrix (2018)'!T$2:T$67)</f>
        <v>0.23190037665755514</v>
      </c>
      <c r="U69" s="9">
        <f>_xlfn.COVARIANCE.P('Data_Matrix (2018)'!$BM$2:$BM$67,'Data_Matrix (2018)'!U$2:U$67)</f>
        <v>0.10380877114725631</v>
      </c>
      <c r="V69" s="9">
        <f>_xlfn.COVARIANCE.P('Data_Matrix (2018)'!$BM$2:$BM$67,'Data_Matrix (2018)'!V$2:V$67)</f>
        <v>-4.8955336353671455E-2</v>
      </c>
      <c r="W69" s="9">
        <f>_xlfn.COVARIANCE.P('Data_Matrix (2018)'!$BM$2:$BM$67,'Data_Matrix (2018)'!W$2:W$67)</f>
        <v>6.2801418735169631E-2</v>
      </c>
      <c r="X69" s="9">
        <f>_xlfn.COVARIANCE.P('Data_Matrix (2018)'!$BM$2:$BM$67,'Data_Matrix (2018)'!X$2:X$67)</f>
        <v>0.15006606569784736</v>
      </c>
      <c r="Y69" s="9">
        <f>_xlfn.COVARIANCE.P('Data_Matrix (2018)'!$BM$2:$BM$67,'Data_Matrix (2018)'!Y$2:Y$67)</f>
        <v>3.6449696368055798E-2</v>
      </c>
      <c r="Z69" s="9">
        <f>_xlfn.COVARIANCE.P('Data_Matrix (2018)'!$BM$2:$BM$67,'Data_Matrix (2018)'!Z$2:Z$67)</f>
        <v>9.351669844675696E-2</v>
      </c>
      <c r="AA69" s="9">
        <f>_xlfn.COVARIANCE.P('Data_Matrix (2018)'!$BM$2:$BM$67,'Data_Matrix (2018)'!AA$2:AA$67)</f>
        <v>3.291391946895126E-2</v>
      </c>
      <c r="AB69" s="9">
        <f>_xlfn.COVARIANCE.P('Data_Matrix (2018)'!$BM$2:$BM$67,'Data_Matrix (2018)'!AB$2:AB$67)</f>
        <v>9.8873372231102884E-3</v>
      </c>
      <c r="AC69" s="9">
        <f>_xlfn.COVARIANCE.P('Data_Matrix (2018)'!$BM$2:$BM$67,'Data_Matrix (2018)'!AC$2:AC$67)</f>
        <v>1.4088150262453298E-2</v>
      </c>
      <c r="AD69" s="9">
        <f>_xlfn.COVARIANCE.P('Data_Matrix (2018)'!$BM$2:$BM$67,'Data_Matrix (2018)'!AD$2:AD$67)</f>
        <v>7.6038808550125733E-3</v>
      </c>
      <c r="AE69" s="9">
        <f>_xlfn.COVARIANCE.P('Data_Matrix (2018)'!$BM$2:$BM$67,'Data_Matrix (2018)'!AE$2:AE$67)</f>
        <v>8.6369441812708062E-3</v>
      </c>
      <c r="AF69" s="9">
        <f>_xlfn.COVARIANCE.P('Data_Matrix (2018)'!$BM$2:$BM$67,'Data_Matrix (2018)'!AF$2:AF$67)</f>
        <v>2.3570881957107766E-2</v>
      </c>
      <c r="AG69" s="9">
        <f>_xlfn.COVARIANCE.P('Data_Matrix (2018)'!$BM$2:$BM$67,'Data_Matrix (2018)'!AG$2:AG$67)</f>
        <v>1.3786468548155569E-2</v>
      </c>
      <c r="AH69" s="9">
        <f>_xlfn.COVARIANCE.P('Data_Matrix (2018)'!$BM$2:$BM$67,'Data_Matrix (2018)'!AH$2:AH$67)</f>
        <v>-8.5402951943447359E-4</v>
      </c>
      <c r="AI69" s="9">
        <f>_xlfn.COVARIANCE.P('Data_Matrix (2018)'!$BM$2:$BM$67,'Data_Matrix (2018)'!AI$2:AI$67)</f>
        <v>8.8116029779097705E-3</v>
      </c>
      <c r="AJ69" s="9">
        <f>_xlfn.COVARIANCE.P('Data_Matrix (2018)'!$BM$2:$BM$67,'Data_Matrix (2018)'!AJ$2:AJ$67)</f>
        <v>7.6669659782631506E-3</v>
      </c>
      <c r="AK69" s="9">
        <f>_xlfn.COVARIANCE.P('Data_Matrix (2018)'!$BM$2:$BM$67,'Data_Matrix (2018)'!AK$2:AK$67)</f>
        <v>-2.8798142796284489E-3</v>
      </c>
      <c r="AL69" s="9">
        <f>_xlfn.COVARIANCE.P('Data_Matrix (2018)'!$BM$2:$BM$67,'Data_Matrix (2018)'!AL$2:AL$67)</f>
        <v>-1.1890530254117286E-2</v>
      </c>
      <c r="AM69" s="9">
        <f>_xlfn.COVARIANCE.P('Data_Matrix (2018)'!$BM$2:$BM$67,'Data_Matrix (2018)'!AM$2:AM$67)</f>
        <v>1.2293332740464108E-3</v>
      </c>
      <c r="AN69" s="9">
        <f>_xlfn.COVARIANCE.P('Data_Matrix (2018)'!$BM$2:$BM$67,'Data_Matrix (2018)'!AN$2:AN$67)</f>
        <v>-8.4456439655921714E-3</v>
      </c>
      <c r="AO69" s="9">
        <f>_xlfn.COVARIANCE.P('Data_Matrix (2018)'!$BM$2:$BM$67,'Data_Matrix (2018)'!AO$2:AO$67)</f>
        <v>-1.083248496761508E-3</v>
      </c>
      <c r="AP69" s="9">
        <f>_xlfn.COVARIANCE.P('Data_Matrix (2018)'!$BM$2:$BM$67,'Data_Matrix (2018)'!AP$2:AP$67)</f>
        <v>-9.1628980680192966E-4</v>
      </c>
      <c r="AQ69" s="9">
        <f>_xlfn.COVARIANCE.P('Data_Matrix (2018)'!$BM$2:$BM$67,'Data_Matrix (2018)'!AQ$2:AQ$67)</f>
        <v>4.320148671832889E-3</v>
      </c>
      <c r="AR69" s="9">
        <f>_xlfn.COVARIANCE.P('Data_Matrix (2018)'!$BM$2:$BM$67,'Data_Matrix (2018)'!AR$2:AR$67)</f>
        <v>-3.6090156543743652E-3</v>
      </c>
      <c r="AS69" s="9">
        <f>_xlfn.COVARIANCE.P('Data_Matrix (2018)'!$BM$2:$BM$67,'Data_Matrix (2018)'!AS$2:AS$67)</f>
        <v>-3.4841045501688254E-3</v>
      </c>
      <c r="AT69" s="9">
        <f>_xlfn.COVARIANCE.P('Data_Matrix (2018)'!$BM$2:$BM$67,'Data_Matrix (2018)'!AT$2:AT$67)</f>
        <v>3.4190872857591142E-3</v>
      </c>
      <c r="AU69" s="9">
        <f>_xlfn.COVARIANCE.P('Data_Matrix (2018)'!$BM$2:$BM$67,'Data_Matrix (2018)'!AU$2:AU$67)</f>
        <v>-1.6290463131807961E-3</v>
      </c>
      <c r="AV69" s="9">
        <f>_xlfn.COVARIANCE.P('Data_Matrix (2018)'!$BM$2:$BM$67,'Data_Matrix (2018)'!AV$2:AV$67)</f>
        <v>3.6696742946522001E-3</v>
      </c>
      <c r="AW69" s="9">
        <f>_xlfn.COVARIANCE.P('Data_Matrix (2018)'!$BM$2:$BM$67,'Data_Matrix (2018)'!AW$2:AW$67)</f>
        <v>-9.2374447890247562E-4</v>
      </c>
      <c r="AX69" s="9">
        <f>_xlfn.COVARIANCE.P('Data_Matrix (2018)'!$BM$2:$BM$67,'Data_Matrix (2018)'!AX$2:AX$67)</f>
        <v>2.2852866023549186E-3</v>
      </c>
      <c r="AY69" s="9">
        <f>_xlfn.COVARIANCE.P('Data_Matrix (2018)'!$BM$2:$BM$67,'Data_Matrix (2018)'!AY$2:AY$67)</f>
        <v>6.3894874066994407E-4</v>
      </c>
      <c r="AZ69" s="9">
        <f>_xlfn.COVARIANCE.P('Data_Matrix (2018)'!$BM$2:$BM$67,'Data_Matrix (2018)'!AZ$2:AZ$67)</f>
        <v>-7.5046156899355974E-4</v>
      </c>
      <c r="BA69" s="9">
        <f>_xlfn.COVARIANCE.P('Data_Matrix (2018)'!$BM$2:$BM$67,'Data_Matrix (2018)'!BA$2:BA$67)</f>
        <v>9.7029669707742285E-4</v>
      </c>
      <c r="BB69" s="9">
        <f>_xlfn.COVARIANCE.P('Data_Matrix (2018)'!$BM$2:$BM$67,'Data_Matrix (2018)'!BB$2:BB$67)</f>
        <v>2.2932164953564196E-4</v>
      </c>
      <c r="BC69" s="9">
        <f>_xlfn.COVARIANCE.P('Data_Matrix (2018)'!$BM$2:$BM$67,'Data_Matrix (2018)'!BC$2:BC$67)</f>
        <v>5.1448580112490412E-4</v>
      </c>
      <c r="BD69" s="9">
        <f>_xlfn.COVARIANCE.P('Data_Matrix (2018)'!$BM$2:$BM$67,'Data_Matrix (2018)'!BD$2:BD$67)</f>
        <v>4.2115900998600573E-4</v>
      </c>
      <c r="BE69" s="9">
        <f>_xlfn.COVARIANCE.P('Data_Matrix (2018)'!$BM$2:$BM$67,'Data_Matrix (2018)'!BE$2:BE$67)</f>
        <v>2.6460183657938042E-4</v>
      </c>
      <c r="BF69" s="9">
        <f>_xlfn.COVARIANCE.P('Data_Matrix (2018)'!$BM$2:$BM$67,'Data_Matrix (2018)'!BF$2:BF$67)</f>
        <v>3.6126107707571136E-4</v>
      </c>
      <c r="BG69" s="9">
        <f>_xlfn.COVARIANCE.P('Data_Matrix (2018)'!$BM$2:$BM$67,'Data_Matrix (2018)'!BG$2:BG$67)</f>
        <v>4.3100252918418659E-4</v>
      </c>
      <c r="BH69" s="9">
        <f>_xlfn.COVARIANCE.P('Data_Matrix (2018)'!$BM$2:$BM$67,'Data_Matrix (2018)'!BH$2:BH$67)</f>
        <v>6.0418764827921911E-4</v>
      </c>
      <c r="BI69" s="9">
        <f>_xlfn.COVARIANCE.P('Data_Matrix (2018)'!$BM$2:$BM$67,'Data_Matrix (2018)'!BI$2:BI$67)</f>
        <v>4.7074644396419675E-4</v>
      </c>
      <c r="BJ69" s="9">
        <f>_xlfn.COVARIANCE.P('Data_Matrix (2018)'!$BM$2:$BM$67,'Data_Matrix (2018)'!BJ$2:BJ$67)</f>
        <v>4.5985101383662314E-4</v>
      </c>
      <c r="BK69" s="9">
        <f>_xlfn.COVARIANCE.P('Data_Matrix (2018)'!$BM$2:$BM$67,'Data_Matrix (2018)'!BK$2:BK$67)</f>
        <v>1.8579851718127571E-4</v>
      </c>
      <c r="BL69" s="9">
        <f>_xlfn.COVARIANCE.P('Data_Matrix (2018)'!$BM$2:$BM$67,'Data_Matrix (2018)'!BL$2:BL$67)</f>
        <v>1.9190893315055966E-4</v>
      </c>
      <c r="BM69" s="9">
        <f>_xlfn.COVARIANCE.P('Data_Matrix (2018)'!$BM$2:$BM$67,'Data_Matrix (2018)'!BM$2:BM$67)</f>
        <v>2.4135476851635653E-4</v>
      </c>
      <c r="BN69" s="9">
        <f>_xlfn.COVARIANCE.P('Data_Matrix (2018)'!$BM$2:$BM$67,'Data_Matrix (2018)'!BN$2:BN$67)</f>
        <v>2.6598851960268255E-5</v>
      </c>
      <c r="BO69" s="9">
        <f>_xlfn.COVARIANCE.P('Data_Matrix (2018)'!$BM$2:$BM$67,'Data_Matrix (2018)'!BO$2:BO$67)</f>
        <v>3.1108712893286112E-5</v>
      </c>
    </row>
    <row r="70" spans="1:67" x14ac:dyDescent="0.2">
      <c r="B70" s="9">
        <f>_xlfn.COVARIANCE.P('Data_Matrix (2018)'!$BN$2:$BN$67,'Data_Matrix (2018)'!B$2:B$67)</f>
        <v>-4.7169071610090194</v>
      </c>
      <c r="C70" s="9">
        <f>_xlfn.COVARIANCE.P('Data_Matrix (2018)'!$BN$2:$BN$67,'Data_Matrix (2018)'!C$2:C$67)</f>
        <v>-0.25659495653674635</v>
      </c>
      <c r="D70" s="9">
        <f>_xlfn.COVARIANCE.P('Data_Matrix (2018)'!$BN$2:$BN$67,'Data_Matrix (2018)'!D$2:D$67)</f>
        <v>-0.37530991959744087</v>
      </c>
      <c r="E70" s="9">
        <f>_xlfn.COVARIANCE.P('Data_Matrix (2018)'!$BN$2:$BN$67,'Data_Matrix (2018)'!E$2:E$67)</f>
        <v>-2.17445329088644</v>
      </c>
      <c r="F70" s="9">
        <f>_xlfn.COVARIANCE.P('Data_Matrix (2018)'!$BN$2:$BN$67,'Data_Matrix (2018)'!F$2:F$67)</f>
        <v>-1.3773471986688612</v>
      </c>
      <c r="G70" s="9">
        <f>_xlfn.COVARIANCE.P('Data_Matrix (2018)'!$BN$2:$BN$67,'Data_Matrix (2018)'!G$2:G$67)</f>
        <v>0.51595424908585308</v>
      </c>
      <c r="H70" s="9">
        <f>_xlfn.COVARIANCE.P('Data_Matrix (2018)'!$BN$2:$BN$67,'Data_Matrix (2018)'!H$2:H$67)</f>
        <v>0.84099677779679716</v>
      </c>
      <c r="I70" s="9">
        <f>_xlfn.COVARIANCE.P('Data_Matrix (2018)'!$BN$2:$BN$67,'Data_Matrix (2018)'!I$2:I$67)</f>
        <v>-0.67111510741601799</v>
      </c>
      <c r="J70" s="9">
        <f>_xlfn.COVARIANCE.P('Data_Matrix (2018)'!$BN$2:$BN$67,'Data_Matrix (2018)'!J$2:J$67)</f>
        <v>1.412240666346805</v>
      </c>
      <c r="K70" s="9">
        <f>_xlfn.COVARIANCE.P('Data_Matrix (2018)'!$BN$2:$BN$67,'Data_Matrix (2018)'!K$2:K$67)</f>
        <v>-0.27529854584108432</v>
      </c>
      <c r="L70" s="9">
        <f>_xlfn.COVARIANCE.P('Data_Matrix (2018)'!$BN$2:$BN$67,'Data_Matrix (2018)'!L$2:L$67)</f>
        <v>-0.27476629100860417</v>
      </c>
      <c r="M70" s="9">
        <f>_xlfn.COVARIANCE.P('Data_Matrix (2018)'!$BN$2:$BN$67,'Data_Matrix (2018)'!M$2:M$67)</f>
        <v>-0.25609114355635476</v>
      </c>
      <c r="N70" s="9">
        <f>_xlfn.COVARIANCE.P('Data_Matrix (2018)'!$BN$2:$BN$67,'Data_Matrix (2018)'!N$2:N$67)</f>
        <v>7.6168014660040306E-2</v>
      </c>
      <c r="O70" s="9">
        <f>_xlfn.COVARIANCE.P('Data_Matrix (2018)'!$BN$2:$BN$67,'Data_Matrix (2018)'!O$2:O$67)</f>
        <v>-8.1409337706620177E-2</v>
      </c>
      <c r="P70" s="9">
        <f>_xlfn.COVARIANCE.P('Data_Matrix (2018)'!$BN$2:$BN$67,'Data_Matrix (2018)'!P$2:P$67)</f>
        <v>-4.8340154110770358E-3</v>
      </c>
      <c r="Q70" s="9">
        <f>_xlfn.COVARIANCE.P('Data_Matrix (2018)'!$BN$2:$BN$67,'Data_Matrix (2018)'!Q$2:Q$67)</f>
        <v>0.16979399843160184</v>
      </c>
      <c r="R70" s="9">
        <f>_xlfn.COVARIANCE.P('Data_Matrix (2018)'!$BN$2:$BN$67,'Data_Matrix (2018)'!R$2:R$67)</f>
        <v>-0.22601882207557006</v>
      </c>
      <c r="S70" s="9">
        <f>_xlfn.COVARIANCE.P('Data_Matrix (2018)'!$BN$2:$BN$67,'Data_Matrix (2018)'!S$2:S$67)</f>
        <v>9.2533440555398194E-2</v>
      </c>
      <c r="T70" s="9">
        <f>_xlfn.COVARIANCE.P('Data_Matrix (2018)'!$BN$2:$BN$67,'Data_Matrix (2018)'!T$2:T$67)</f>
        <v>-2.6643750620799087E-2</v>
      </c>
      <c r="U70" s="9">
        <f>_xlfn.COVARIANCE.P('Data_Matrix (2018)'!$BN$2:$BN$67,'Data_Matrix (2018)'!U$2:U$67)</f>
        <v>-6.0301543197330054E-2</v>
      </c>
      <c r="V70" s="9">
        <f>_xlfn.COVARIANCE.P('Data_Matrix (2018)'!$BN$2:$BN$67,'Data_Matrix (2018)'!V$2:V$67)</f>
        <v>-0.110458443456793</v>
      </c>
      <c r="W70" s="9">
        <f>_xlfn.COVARIANCE.P('Data_Matrix (2018)'!$BN$2:$BN$67,'Data_Matrix (2018)'!W$2:W$67)</f>
        <v>-2.1659732811492E-2</v>
      </c>
      <c r="X70" s="9">
        <f>_xlfn.COVARIANCE.P('Data_Matrix (2018)'!$BN$2:$BN$67,'Data_Matrix (2018)'!X$2:X$67)</f>
        <v>-4.5667190504146367E-2</v>
      </c>
      <c r="Y70" s="9">
        <f>_xlfn.COVARIANCE.P('Data_Matrix (2018)'!$BN$2:$BN$67,'Data_Matrix (2018)'!Y$2:Y$67)</f>
        <v>-8.3811351713767419E-4</v>
      </c>
      <c r="Z70" s="9">
        <f>_xlfn.COVARIANCE.P('Data_Matrix (2018)'!$BN$2:$BN$67,'Data_Matrix (2018)'!Z$2:Z$67)</f>
        <v>-3.4771236413411399E-2</v>
      </c>
      <c r="AA70" s="9">
        <f>_xlfn.COVARIANCE.P('Data_Matrix (2018)'!$BN$2:$BN$67,'Data_Matrix (2018)'!AA$2:AA$67)</f>
        <v>-2.9236342876810373E-2</v>
      </c>
      <c r="AB70" s="9">
        <f>_xlfn.COVARIANCE.P('Data_Matrix (2018)'!$BN$2:$BN$67,'Data_Matrix (2018)'!AB$2:AB$67)</f>
        <v>-5.5119422912371461E-3</v>
      </c>
      <c r="AC70" s="9">
        <f>_xlfn.COVARIANCE.P('Data_Matrix (2018)'!$BN$2:$BN$67,'Data_Matrix (2018)'!AC$2:AC$67)</f>
        <v>-1.3669584312692482E-2</v>
      </c>
      <c r="AD70" s="9">
        <f>_xlfn.COVARIANCE.P('Data_Matrix (2018)'!$BN$2:$BN$67,'Data_Matrix (2018)'!AD$2:AD$67)</f>
        <v>-7.0913875916477952E-3</v>
      </c>
      <c r="AE70" s="9">
        <f>_xlfn.COVARIANCE.P('Data_Matrix (2018)'!$BN$2:$BN$67,'Data_Matrix (2018)'!AE$2:AE$67)</f>
        <v>-9.8857167835820804E-3</v>
      </c>
      <c r="AF70" s="9">
        <f>_xlfn.COVARIANCE.P('Data_Matrix (2018)'!$BN$2:$BN$67,'Data_Matrix (2018)'!AF$2:AF$67)</f>
        <v>-7.2060754984403447E-3</v>
      </c>
      <c r="AG70" s="9">
        <f>_xlfn.COVARIANCE.P('Data_Matrix (2018)'!$BN$2:$BN$67,'Data_Matrix (2018)'!AG$2:AG$67)</f>
        <v>-7.511003168488746E-3</v>
      </c>
      <c r="AH70" s="9">
        <f>_xlfn.COVARIANCE.P('Data_Matrix (2018)'!$BN$2:$BN$67,'Data_Matrix (2018)'!AH$2:AH$67)</f>
        <v>-9.6028295147238298E-3</v>
      </c>
      <c r="AI70" s="9">
        <f>_xlfn.COVARIANCE.P('Data_Matrix (2018)'!$BN$2:$BN$67,'Data_Matrix (2018)'!AI$2:AI$67)</f>
        <v>-2.8719298944208512E-3</v>
      </c>
      <c r="AJ70" s="9">
        <f>_xlfn.COVARIANCE.P('Data_Matrix (2018)'!$BN$2:$BN$67,'Data_Matrix (2018)'!AJ$2:AJ$67)</f>
        <v>-7.5024590646612585E-3</v>
      </c>
      <c r="AK70" s="9">
        <f>_xlfn.COVARIANCE.P('Data_Matrix (2018)'!$BN$2:$BN$67,'Data_Matrix (2018)'!AK$2:AK$67)</f>
        <v>-9.7381507030852056E-3</v>
      </c>
      <c r="AL70" s="9">
        <f>_xlfn.COVARIANCE.P('Data_Matrix (2018)'!$BN$2:$BN$67,'Data_Matrix (2018)'!AL$2:AL$67)</f>
        <v>-1.3132310245874608E-2</v>
      </c>
      <c r="AM70" s="9">
        <f>_xlfn.COVARIANCE.P('Data_Matrix (2018)'!$BN$2:$BN$67,'Data_Matrix (2018)'!AM$2:AM$67)</f>
        <v>-9.0353941777893531E-3</v>
      </c>
      <c r="AN70" s="9">
        <f>_xlfn.COVARIANCE.P('Data_Matrix (2018)'!$BN$2:$BN$67,'Data_Matrix (2018)'!AN$2:AN$67)</f>
        <v>-7.1343512303257859E-3</v>
      </c>
      <c r="AO70" s="9">
        <f>_xlfn.COVARIANCE.P('Data_Matrix (2018)'!$BN$2:$BN$67,'Data_Matrix (2018)'!AO$2:AO$67)</f>
        <v>-6.68594151270156E-3</v>
      </c>
      <c r="AP70" s="9">
        <f>_xlfn.COVARIANCE.P('Data_Matrix (2018)'!$BN$2:$BN$67,'Data_Matrix (2018)'!AP$2:AP$67)</f>
        <v>-4.7160743286302634E-3</v>
      </c>
      <c r="AQ70" s="9">
        <f>_xlfn.COVARIANCE.P('Data_Matrix (2018)'!$BN$2:$BN$67,'Data_Matrix (2018)'!AQ$2:AQ$67)</f>
        <v>-2.1883391522910804E-3</v>
      </c>
      <c r="AR70" s="9">
        <f>_xlfn.COVARIANCE.P('Data_Matrix (2018)'!$BN$2:$BN$67,'Data_Matrix (2018)'!AR$2:AR$67)</f>
        <v>-4.8579691468315905E-3</v>
      </c>
      <c r="AS70" s="9">
        <f>_xlfn.COVARIANCE.P('Data_Matrix (2018)'!$BN$2:$BN$67,'Data_Matrix (2018)'!AS$2:AS$67)</f>
        <v>-5.8550053264596405E-3</v>
      </c>
      <c r="AT70" s="9">
        <f>_xlfn.COVARIANCE.P('Data_Matrix (2018)'!$BN$2:$BN$67,'Data_Matrix (2018)'!AT$2:AT$67)</f>
        <v>-1.2265740586201775E-3</v>
      </c>
      <c r="AU70" s="9">
        <f>_xlfn.COVARIANCE.P('Data_Matrix (2018)'!$BN$2:$BN$67,'Data_Matrix (2018)'!AU$2:AU$67)</f>
        <v>-2.3417359127756187E-3</v>
      </c>
      <c r="AV70" s="9">
        <f>_xlfn.COVARIANCE.P('Data_Matrix (2018)'!$BN$2:$BN$67,'Data_Matrix (2018)'!AV$2:AV$67)</f>
        <v>-2.100905131647306E-3</v>
      </c>
      <c r="AW70" s="9">
        <f>_xlfn.COVARIANCE.P('Data_Matrix (2018)'!$BN$2:$BN$67,'Data_Matrix (2018)'!AW$2:AW$67)</f>
        <v>-2.8071010487616833E-3</v>
      </c>
      <c r="AX70" s="9">
        <f>_xlfn.COVARIANCE.P('Data_Matrix (2018)'!$BN$2:$BN$67,'Data_Matrix (2018)'!AX$2:AX$67)</f>
        <v>-2.7414229863764249E-3</v>
      </c>
      <c r="AY70" s="9">
        <f>_xlfn.COVARIANCE.P('Data_Matrix (2018)'!$BN$2:$BN$67,'Data_Matrix (2018)'!AY$2:AY$67)</f>
        <v>-1.0535339056671207E-3</v>
      </c>
      <c r="AZ70" s="9">
        <f>_xlfn.COVARIANCE.P('Data_Matrix (2018)'!$BN$2:$BN$67,'Data_Matrix (2018)'!AZ$2:AZ$67)</f>
        <v>-1.5653061605981433E-3</v>
      </c>
      <c r="BA70" s="9">
        <f>_xlfn.COVARIANCE.P('Data_Matrix (2018)'!$BN$2:$BN$67,'Data_Matrix (2018)'!BA$2:BA$67)</f>
        <v>-9.1778359461881892E-5</v>
      </c>
      <c r="BB70" s="9">
        <f>_xlfn.COVARIANCE.P('Data_Matrix (2018)'!$BN$2:$BN$67,'Data_Matrix (2018)'!BB$2:BB$67)</f>
        <v>-4.8709071668302827E-4</v>
      </c>
      <c r="BC70" s="9">
        <f>_xlfn.COVARIANCE.P('Data_Matrix (2018)'!$BN$2:$BN$67,'Data_Matrix (2018)'!BC$2:BC$67)</f>
        <v>-1.235646626464272E-4</v>
      </c>
      <c r="BD70" s="9">
        <f>_xlfn.COVARIANCE.P('Data_Matrix (2018)'!$BN$2:$BN$67,'Data_Matrix (2018)'!BD$2:BD$67)</f>
        <v>3.6215428356805069E-5</v>
      </c>
      <c r="BE70" s="9">
        <f>_xlfn.COVARIANCE.P('Data_Matrix (2018)'!$BN$2:$BN$67,'Data_Matrix (2018)'!BE$2:BE$67)</f>
        <v>-4.1299463093342067E-5</v>
      </c>
      <c r="BF70" s="9">
        <f>_xlfn.COVARIANCE.P('Data_Matrix (2018)'!$BN$2:$BN$67,'Data_Matrix (2018)'!BF$2:BF$67)</f>
        <v>2.4115786431993378E-5</v>
      </c>
      <c r="BG70" s="9">
        <f>_xlfn.COVARIANCE.P('Data_Matrix (2018)'!$BN$2:$BN$67,'Data_Matrix (2018)'!BG$2:BG$67)</f>
        <v>2.1489284938754402E-5</v>
      </c>
      <c r="BH70" s="9">
        <f>_xlfn.COVARIANCE.P('Data_Matrix (2018)'!$BN$2:$BN$67,'Data_Matrix (2018)'!BH$2:BH$67)</f>
        <v>3.5181520617475983E-5</v>
      </c>
      <c r="BI70" s="9">
        <f>_xlfn.COVARIANCE.P('Data_Matrix (2018)'!$BN$2:$BN$67,'Data_Matrix (2018)'!BI$2:BI$67)</f>
        <v>-5.8358935982153896E-5</v>
      </c>
      <c r="BJ70" s="9">
        <f>_xlfn.COVARIANCE.P('Data_Matrix (2018)'!$BN$2:$BN$67,'Data_Matrix (2018)'!BJ$2:BJ$67)</f>
        <v>-3.6765598681178665E-5</v>
      </c>
      <c r="BK70" s="9">
        <f>_xlfn.COVARIANCE.P('Data_Matrix (2018)'!$BN$2:$BN$67,'Data_Matrix (2018)'!BK$2:BK$67)</f>
        <v>-1.5164193424123592E-5</v>
      </c>
      <c r="BL70" s="9">
        <f>_xlfn.COVARIANCE.P('Data_Matrix (2018)'!$BN$2:$BN$67,'Data_Matrix (2018)'!BL$2:BL$67)</f>
        <v>-5.6085801274324746E-5</v>
      </c>
      <c r="BM70" s="9">
        <f>_xlfn.COVARIANCE.P('Data_Matrix (2018)'!$BN$2:$BN$67,'Data_Matrix (2018)'!BM$2:BM$67)</f>
        <v>2.6598851960268255E-5</v>
      </c>
      <c r="BN70" s="9">
        <f>_xlfn.COVARIANCE.P('Data_Matrix (2018)'!$BN$2:$BN$67,'Data_Matrix (2018)'!BN$2:BN$67)</f>
        <v>1.9733774200386502E-4</v>
      </c>
      <c r="BO70" s="9">
        <f>_xlfn.COVARIANCE.P('Data_Matrix (2018)'!$BN$2:$BN$67,'Data_Matrix (2018)'!BO$2:BO$67)</f>
        <v>4.2180773782418095E-6</v>
      </c>
    </row>
    <row r="71" spans="1:67" x14ac:dyDescent="0.2">
      <c r="B71" s="9">
        <f>_xlfn.COVARIANCE.P('Data_Matrix (2018)'!$BO$2:$BO$67,'Data_Matrix (2018)'!B$2:B$67)</f>
        <v>-0.40254396054258335</v>
      </c>
      <c r="C71" s="9">
        <f>_xlfn.COVARIANCE.P('Data_Matrix (2018)'!$BO$2:$BO$67,'Data_Matrix (2018)'!C$2:C$67)</f>
        <v>0.39582123849996975</v>
      </c>
      <c r="D71" s="9">
        <f>_xlfn.COVARIANCE.P('Data_Matrix (2018)'!$BO$2:$BO$67,'Data_Matrix (2018)'!D$2:D$67)</f>
        <v>-0.2000988004653533</v>
      </c>
      <c r="E71" s="9">
        <f>_xlfn.COVARIANCE.P('Data_Matrix (2018)'!$BO$2:$BO$67,'Data_Matrix (2018)'!E$2:E$67)</f>
        <v>4.2928705343600326E-2</v>
      </c>
      <c r="F71" s="9">
        <f>_xlfn.COVARIANCE.P('Data_Matrix (2018)'!$BO$2:$BO$67,'Data_Matrix (2018)'!F$2:F$67)</f>
        <v>-2.8688095356250418E-2</v>
      </c>
      <c r="G71" s="9">
        <f>_xlfn.COVARIANCE.P('Data_Matrix (2018)'!$BO$2:$BO$67,'Data_Matrix (2018)'!G$2:G$67)</f>
        <v>0.12796628035765858</v>
      </c>
      <c r="H71" s="9">
        <f>_xlfn.COVARIANCE.P('Data_Matrix (2018)'!$BO$2:$BO$67,'Data_Matrix (2018)'!H$2:H$67)</f>
        <v>-8.8518303564845927E-2</v>
      </c>
      <c r="I71" s="9">
        <f>_xlfn.COVARIANCE.P('Data_Matrix (2018)'!$BO$2:$BO$67,'Data_Matrix (2018)'!I$2:I$67)</f>
        <v>-3.5195342145714494E-2</v>
      </c>
      <c r="J71" s="9">
        <f>_xlfn.COVARIANCE.P('Data_Matrix (2018)'!$BO$2:$BO$67,'Data_Matrix (2018)'!J$2:J$67)</f>
        <v>3.6101934895215744E-2</v>
      </c>
      <c r="K71" s="9">
        <f>_xlfn.COVARIANCE.P('Data_Matrix (2018)'!$BO$2:$BO$67,'Data_Matrix (2018)'!K$2:K$67)</f>
        <v>-7.4916957772436399E-2</v>
      </c>
      <c r="L71" s="9">
        <f>_xlfn.COVARIANCE.P('Data_Matrix (2018)'!$BO$2:$BO$67,'Data_Matrix (2018)'!L$2:L$67)</f>
        <v>3.4937633390433348E-2</v>
      </c>
      <c r="M71" s="9">
        <f>_xlfn.COVARIANCE.P('Data_Matrix (2018)'!$BO$2:$BO$67,'Data_Matrix (2018)'!M$2:M$67)</f>
        <v>4.0386202639903175E-2</v>
      </c>
      <c r="N71" s="9">
        <f>_xlfn.COVARIANCE.P('Data_Matrix (2018)'!$BO$2:$BO$67,'Data_Matrix (2018)'!N$2:N$67)</f>
        <v>2.771896423726385E-3</v>
      </c>
      <c r="O71" s="9">
        <f>_xlfn.COVARIANCE.P('Data_Matrix (2018)'!$BO$2:$BO$67,'Data_Matrix (2018)'!O$2:O$67)</f>
        <v>-1.2157579888761564E-2</v>
      </c>
      <c r="P71" s="9">
        <f>_xlfn.COVARIANCE.P('Data_Matrix (2018)'!$BO$2:$BO$67,'Data_Matrix (2018)'!P$2:P$67)</f>
        <v>-2.7418193535092665E-2</v>
      </c>
      <c r="Q71" s="9">
        <f>_xlfn.COVARIANCE.P('Data_Matrix (2018)'!$BO$2:$BO$67,'Data_Matrix (2018)'!Q$2:Q$67)</f>
        <v>3.8189681896651012E-3</v>
      </c>
      <c r="R71" s="9">
        <f>_xlfn.COVARIANCE.P('Data_Matrix (2018)'!$BO$2:$BO$67,'Data_Matrix (2018)'!R$2:R$67)</f>
        <v>1.8807753058123529E-4</v>
      </c>
      <c r="S71" s="9">
        <f>_xlfn.COVARIANCE.P('Data_Matrix (2018)'!$BO$2:$BO$67,'Data_Matrix (2018)'!S$2:S$67)</f>
        <v>1.8114173876888733E-2</v>
      </c>
      <c r="T71" s="9">
        <f>_xlfn.COVARIANCE.P('Data_Matrix (2018)'!$BO$2:$BO$67,'Data_Matrix (2018)'!T$2:T$67)</f>
        <v>1.3152350669980353E-2</v>
      </c>
      <c r="U71" s="9">
        <f>_xlfn.COVARIANCE.P('Data_Matrix (2018)'!$BO$2:$BO$67,'Data_Matrix (2018)'!U$2:U$67)</f>
        <v>1.2839267902286202E-2</v>
      </c>
      <c r="V71" s="9">
        <f>_xlfn.COVARIANCE.P('Data_Matrix (2018)'!$BO$2:$BO$67,'Data_Matrix (2018)'!V$2:V$67)</f>
        <v>-6.2185589879211111E-3</v>
      </c>
      <c r="W71" s="9">
        <f>_xlfn.COVARIANCE.P('Data_Matrix (2018)'!$BO$2:$BO$67,'Data_Matrix (2018)'!W$2:W$67)</f>
        <v>5.5406981771733638E-3</v>
      </c>
      <c r="X71" s="9">
        <f>_xlfn.COVARIANCE.P('Data_Matrix (2018)'!$BO$2:$BO$67,'Data_Matrix (2018)'!X$2:X$67)</f>
        <v>1.3796276569318899E-2</v>
      </c>
      <c r="Y71" s="9">
        <f>_xlfn.COVARIANCE.P('Data_Matrix (2018)'!$BO$2:$BO$67,'Data_Matrix (2018)'!Y$2:Y$67)</f>
        <v>3.6670328429242826E-3</v>
      </c>
      <c r="Z71" s="9">
        <f>_xlfn.COVARIANCE.P('Data_Matrix (2018)'!$BO$2:$BO$67,'Data_Matrix (2018)'!Z$2:Z$67)</f>
        <v>5.5357919689814957E-3</v>
      </c>
      <c r="AA71" s="9">
        <f>_xlfn.COVARIANCE.P('Data_Matrix (2018)'!$BO$2:$BO$67,'Data_Matrix (2018)'!AA$2:AA$67)</f>
        <v>3.845050970018447E-4</v>
      </c>
      <c r="AB71" s="9">
        <f>_xlfn.COVARIANCE.P('Data_Matrix (2018)'!$BO$2:$BO$67,'Data_Matrix (2018)'!AB$2:AB$67)</f>
        <v>4.3361875129919883E-4</v>
      </c>
      <c r="AC71" s="9">
        <f>_xlfn.COVARIANCE.P('Data_Matrix (2018)'!$BO$2:$BO$67,'Data_Matrix (2018)'!AC$2:AC$67)</f>
        <v>-2.4030408654011646E-4</v>
      </c>
      <c r="AD71" s="9">
        <f>_xlfn.COVARIANCE.P('Data_Matrix (2018)'!$BO$2:$BO$67,'Data_Matrix (2018)'!AD$2:AD$67)</f>
        <v>3.3895802102449106E-4</v>
      </c>
      <c r="AE71" s="9">
        <f>_xlfn.COVARIANCE.P('Data_Matrix (2018)'!$BO$2:$BO$67,'Data_Matrix (2018)'!AE$2:AE$67)</f>
        <v>-3.1867887692729491E-4</v>
      </c>
      <c r="AF71" s="9">
        <f>_xlfn.COVARIANCE.P('Data_Matrix (2018)'!$BO$2:$BO$67,'Data_Matrix (2018)'!AF$2:AF$67)</f>
        <v>4.4778142479619834E-4</v>
      </c>
      <c r="AG71" s="9">
        <f>_xlfn.COVARIANCE.P('Data_Matrix (2018)'!$BO$2:$BO$67,'Data_Matrix (2018)'!AG$2:AG$67)</f>
        <v>6.4344055319968106E-4</v>
      </c>
      <c r="AH71" s="9">
        <f>_xlfn.COVARIANCE.P('Data_Matrix (2018)'!$BO$2:$BO$67,'Data_Matrix (2018)'!AH$2:AH$67)</f>
        <v>-1.2002673490951821E-3</v>
      </c>
      <c r="AI71" s="9">
        <f>_xlfn.COVARIANCE.P('Data_Matrix (2018)'!$BO$2:$BO$67,'Data_Matrix (2018)'!AI$2:AI$67)</f>
        <v>4.9335076278808989E-4</v>
      </c>
      <c r="AJ71" s="9">
        <f>_xlfn.COVARIANCE.P('Data_Matrix (2018)'!$BO$2:$BO$67,'Data_Matrix (2018)'!AJ$2:AJ$67)</f>
        <v>-2.9087957125112037E-4</v>
      </c>
      <c r="AK71" s="9">
        <f>_xlfn.COVARIANCE.P('Data_Matrix (2018)'!$BO$2:$BO$67,'Data_Matrix (2018)'!AK$2:AK$67)</f>
        <v>-5.2833148467976707E-4</v>
      </c>
      <c r="AL71" s="9">
        <f>_xlfn.COVARIANCE.P('Data_Matrix (2018)'!$BO$2:$BO$67,'Data_Matrix (2018)'!AL$2:AL$67)</f>
        <v>-1.5777705191903646E-3</v>
      </c>
      <c r="AM71" s="9">
        <f>_xlfn.COVARIANCE.P('Data_Matrix (2018)'!$BO$2:$BO$67,'Data_Matrix (2018)'!AM$2:AM$67)</f>
        <v>-9.0264214348127346E-4</v>
      </c>
      <c r="AN71" s="9">
        <f>_xlfn.COVARIANCE.P('Data_Matrix (2018)'!$BO$2:$BO$67,'Data_Matrix (2018)'!AN$2:AN$67)</f>
        <v>-1.2846909481181621E-3</v>
      </c>
      <c r="AO71" s="9">
        <f>_xlfn.COVARIANCE.P('Data_Matrix (2018)'!$BO$2:$BO$67,'Data_Matrix (2018)'!AO$2:AO$67)</f>
        <v>-6.2013032578518777E-4</v>
      </c>
      <c r="AP71" s="9">
        <f>_xlfn.COVARIANCE.P('Data_Matrix (2018)'!$BO$2:$BO$67,'Data_Matrix (2018)'!AP$2:AP$67)</f>
        <v>-1.9967628825116638E-4</v>
      </c>
      <c r="AQ71" s="9">
        <f>_xlfn.COVARIANCE.P('Data_Matrix (2018)'!$BO$2:$BO$67,'Data_Matrix (2018)'!AQ$2:AQ$67)</f>
        <v>-9.2727405151333904E-5</v>
      </c>
      <c r="AR71" s="9">
        <f>_xlfn.COVARIANCE.P('Data_Matrix (2018)'!$BO$2:$BO$67,'Data_Matrix (2018)'!AR$2:AR$67)</f>
        <v>-3.166470681529255E-4</v>
      </c>
      <c r="AS71" s="9">
        <f>_xlfn.COVARIANCE.P('Data_Matrix (2018)'!$BO$2:$BO$67,'Data_Matrix (2018)'!AS$2:AS$67)</f>
        <v>-4.8129706589339404E-4</v>
      </c>
      <c r="AT71" s="9">
        <f>_xlfn.COVARIANCE.P('Data_Matrix (2018)'!$BO$2:$BO$67,'Data_Matrix (2018)'!AT$2:AT$67)</f>
        <v>-1.050409497956244E-4</v>
      </c>
      <c r="AU71" s="9">
        <f>_xlfn.COVARIANCE.P('Data_Matrix (2018)'!$BO$2:$BO$67,'Data_Matrix (2018)'!AU$2:AU$67)</f>
        <v>-1.7988053725883019E-4</v>
      </c>
      <c r="AV71" s="9">
        <f>_xlfn.COVARIANCE.P('Data_Matrix (2018)'!$BO$2:$BO$67,'Data_Matrix (2018)'!AV$2:AV$67)</f>
        <v>-2.0040095458870113E-4</v>
      </c>
      <c r="AW71" s="9">
        <f>_xlfn.COVARIANCE.P('Data_Matrix (2018)'!$BO$2:$BO$67,'Data_Matrix (2018)'!AW$2:AW$67)</f>
        <v>-3.2157923454676136E-4</v>
      </c>
      <c r="AX71" s="9">
        <f>_xlfn.COVARIANCE.P('Data_Matrix (2018)'!$BO$2:$BO$67,'Data_Matrix (2018)'!AX$2:AX$67)</f>
        <v>-2.9803533223301631E-4</v>
      </c>
      <c r="AY71" s="9">
        <f>_xlfn.COVARIANCE.P('Data_Matrix (2018)'!$BO$2:$BO$67,'Data_Matrix (2018)'!AY$2:AY$67)</f>
        <v>-4.7046184920664816E-5</v>
      </c>
      <c r="AZ71" s="9">
        <f>_xlfn.COVARIANCE.P('Data_Matrix (2018)'!$BO$2:$BO$67,'Data_Matrix (2018)'!AZ$2:AZ$67)</f>
        <v>-9.95139952864291E-5</v>
      </c>
      <c r="BA71" s="9">
        <f>_xlfn.COVARIANCE.P('Data_Matrix (2018)'!$BO$2:$BO$67,'Data_Matrix (2018)'!BA$2:BA$67)</f>
        <v>8.232472203174431E-5</v>
      </c>
      <c r="BB71" s="9">
        <f>_xlfn.COVARIANCE.P('Data_Matrix (2018)'!$BO$2:$BO$67,'Data_Matrix (2018)'!BB$2:BB$67)</f>
        <v>-7.2502596167082634E-6</v>
      </c>
      <c r="BC71" s="9">
        <f>_xlfn.COVARIANCE.P('Data_Matrix (2018)'!$BO$2:$BO$67,'Data_Matrix (2018)'!BC$2:BC$67)</f>
        <v>6.0681611686964268E-5</v>
      </c>
      <c r="BD71" s="9">
        <f>_xlfn.COVARIANCE.P('Data_Matrix (2018)'!$BO$2:$BO$67,'Data_Matrix (2018)'!BD$2:BD$67)</f>
        <v>1.2619514867793764E-5</v>
      </c>
      <c r="BE71" s="9">
        <f>_xlfn.COVARIANCE.P('Data_Matrix (2018)'!$BO$2:$BO$67,'Data_Matrix (2018)'!BE$2:BE$67)</f>
        <v>2.2790797117161212E-5</v>
      </c>
      <c r="BF71" s="9">
        <f>_xlfn.COVARIANCE.P('Data_Matrix (2018)'!$BO$2:$BO$67,'Data_Matrix (2018)'!BF$2:BF$67)</f>
        <v>4.3072158647109295E-5</v>
      </c>
      <c r="BG71" s="9">
        <f>_xlfn.COVARIANCE.P('Data_Matrix (2018)'!$BO$2:$BO$67,'Data_Matrix (2018)'!BG$2:BG$67)</f>
        <v>3.9655096848252663E-5</v>
      </c>
      <c r="BH71" s="9">
        <f>_xlfn.COVARIANCE.P('Data_Matrix (2018)'!$BO$2:$BO$67,'Data_Matrix (2018)'!BH$2:BH$67)</f>
        <v>3.4870231175144248E-6</v>
      </c>
      <c r="BI71" s="9">
        <f>_xlfn.COVARIANCE.P('Data_Matrix (2018)'!$BO$2:$BO$67,'Data_Matrix (2018)'!BI$2:BI$67)</f>
        <v>-1.1259261592380311E-6</v>
      </c>
      <c r="BJ71" s="9">
        <f>_xlfn.COVARIANCE.P('Data_Matrix (2018)'!$BO$2:$BO$67,'Data_Matrix (2018)'!BJ$2:BJ$67)</f>
        <v>3.2751442838103086E-6</v>
      </c>
      <c r="BK71" s="9">
        <f>_xlfn.COVARIANCE.P('Data_Matrix (2018)'!$BO$2:$BO$67,'Data_Matrix (2018)'!BK$2:BK$67)</f>
        <v>1.3230480013727624E-5</v>
      </c>
      <c r="BL71" s="9">
        <f>_xlfn.COVARIANCE.P('Data_Matrix (2018)'!$BO$2:$BO$67,'Data_Matrix (2018)'!BL$2:BL$67)</f>
        <v>6.7507408360045944E-7</v>
      </c>
      <c r="BM71" s="9">
        <f>_xlfn.COVARIANCE.P('Data_Matrix (2018)'!$BO$2:$BO$67,'Data_Matrix (2018)'!BM$2:BM$67)</f>
        <v>3.1108712893286112E-5</v>
      </c>
      <c r="BN71" s="9">
        <f>_xlfn.COVARIANCE.P('Data_Matrix (2018)'!$BO$2:$BO$67,'Data_Matrix (2018)'!BN$2:BN$67)</f>
        <v>4.2180773782418095E-6</v>
      </c>
      <c r="BO71" s="9">
        <f>_xlfn.COVARIANCE.P('Data_Matrix (2018)'!$BO$2:$BO$67,'Data_Matrix (2018)'!BO$2:BO$67)</f>
        <v>4.6812029382244676E-6</v>
      </c>
    </row>
    <row r="73" spans="1:67" x14ac:dyDescent="0.2">
      <c r="A73" s="114" t="s">
        <v>336</v>
      </c>
      <c r="B73" s="13">
        <f t="array" ref="B73:BO138">MINVERSE(B6:BO71)</f>
        <v>-6930872.6169603765</v>
      </c>
      <c r="C73" s="13">
        <v>11548704.865490368</v>
      </c>
      <c r="D73" s="13">
        <v>1912852.9928033964</v>
      </c>
      <c r="E73" s="13">
        <v>-11185091.954818564</v>
      </c>
      <c r="F73" s="13">
        <v>8334742.6649133433</v>
      </c>
      <c r="G73" s="13">
        <v>27339380.38842503</v>
      </c>
      <c r="H73" s="13">
        <v>-13464876.718812814</v>
      </c>
      <c r="I73" s="13">
        <v>-25340456.483348906</v>
      </c>
      <c r="J73" s="13">
        <v>-1763776.4558286567</v>
      </c>
      <c r="K73" s="13">
        <v>44282310.292312026</v>
      </c>
      <c r="L73" s="13">
        <v>-34173263.31788259</v>
      </c>
      <c r="M73" s="13">
        <v>-39183744.207292013</v>
      </c>
      <c r="N73" s="13">
        <v>-129643724.05429544</v>
      </c>
      <c r="O73" s="13">
        <v>-107337264.60688527</v>
      </c>
      <c r="P73" s="13">
        <v>71199294.275587007</v>
      </c>
      <c r="Q73" s="13">
        <v>-147773217.83895397</v>
      </c>
      <c r="R73" s="13">
        <v>213967295.94279861</v>
      </c>
      <c r="S73" s="13">
        <v>18944975.448308624</v>
      </c>
      <c r="T73" s="13">
        <v>-129349123.88483953</v>
      </c>
      <c r="U73" s="13">
        <v>-358419166.4641977</v>
      </c>
      <c r="V73" s="13">
        <v>-186632179.20047355</v>
      </c>
      <c r="W73" s="13">
        <v>-29003089.474520702</v>
      </c>
      <c r="X73" s="13">
        <v>1143570683.6856854</v>
      </c>
      <c r="Y73" s="13">
        <v>425369307.55917579</v>
      </c>
      <c r="Z73" s="13">
        <v>130928290.01914316</v>
      </c>
      <c r="AA73" s="13">
        <v>66286871.768306389</v>
      </c>
      <c r="AB73" s="13">
        <v>-1689505760.6035087</v>
      </c>
      <c r="AC73" s="13">
        <v>-663657333.46570945</v>
      </c>
      <c r="AD73" s="13">
        <v>1558603397.6160786</v>
      </c>
      <c r="AE73" s="13">
        <v>1589704513.9054935</v>
      </c>
      <c r="AF73" s="13">
        <v>-1519648271.6146762</v>
      </c>
      <c r="AG73" s="13">
        <v>-6081622934.2927485</v>
      </c>
      <c r="AH73" s="13">
        <v>-712205611.40282547</v>
      </c>
      <c r="AI73" s="13">
        <v>3089448984.0460548</v>
      </c>
      <c r="AJ73" s="13">
        <v>1229325685.8263533</v>
      </c>
      <c r="AK73" s="13">
        <v>-34824956.610695347</v>
      </c>
      <c r="AL73" s="13">
        <v>1306355450.1161692</v>
      </c>
      <c r="AM73" s="13">
        <v>556820989.10676444</v>
      </c>
      <c r="AN73" s="13">
        <v>2234022244.1224456</v>
      </c>
      <c r="AO73" s="13">
        <v>676003367.08823633</v>
      </c>
      <c r="AP73" s="13">
        <v>-7896613498.1593676</v>
      </c>
      <c r="AQ73" s="13">
        <v>6497180977.381299</v>
      </c>
      <c r="AR73" s="13">
        <v>1454770319.2706981</v>
      </c>
      <c r="AS73" s="13">
        <v>965175041.82156813</v>
      </c>
      <c r="AT73" s="13">
        <v>9800139577.2823792</v>
      </c>
      <c r="AU73" s="13">
        <v>-4071224983.71137</v>
      </c>
      <c r="AV73" s="13">
        <v>17294189730.875095</v>
      </c>
      <c r="AW73" s="13">
        <v>-5659128849.0900469</v>
      </c>
      <c r="AX73" s="13">
        <v>3616487068.8358531</v>
      </c>
      <c r="AY73" s="13">
        <v>4507229822.7402124</v>
      </c>
      <c r="AZ73" s="13">
        <v>-14517664984.431736</v>
      </c>
      <c r="BA73" s="13">
        <v>1850335923.2018709</v>
      </c>
      <c r="BB73" s="13">
        <v>665914497.99216378</v>
      </c>
      <c r="BC73" s="13">
        <v>-18836862487.93235</v>
      </c>
      <c r="BD73" s="13">
        <v>-14446720126.723257</v>
      </c>
      <c r="BE73" s="13">
        <v>145345986878.12894</v>
      </c>
      <c r="BF73" s="13">
        <v>-276146035313.84003</v>
      </c>
      <c r="BG73" s="13">
        <v>62489489638.614281</v>
      </c>
      <c r="BH73" s="13">
        <v>-62478879494.491562</v>
      </c>
      <c r="BI73" s="13">
        <v>103452415944.31204</v>
      </c>
      <c r="BJ73" s="13">
        <v>13601400971.970282</v>
      </c>
      <c r="BK73" s="13">
        <v>-113333894635.84268</v>
      </c>
      <c r="BL73" s="13">
        <v>-58293019157.828072</v>
      </c>
      <c r="BM73" s="13">
        <v>-3122584946216.7202</v>
      </c>
      <c r="BN73" s="13">
        <v>188361856402.24802</v>
      </c>
      <c r="BO73" s="13">
        <v>21121091778822.527</v>
      </c>
    </row>
    <row r="74" spans="1:67" x14ac:dyDescent="0.2">
      <c r="A74" s="114"/>
      <c r="B74" s="13">
        <v>11548704.865492648</v>
      </c>
      <c r="C74" s="13">
        <v>-19243260.039622579</v>
      </c>
      <c r="D74" s="13">
        <v>-3187329.4872022066</v>
      </c>
      <c r="E74" s="13">
        <v>18637382.768164173</v>
      </c>
      <c r="F74" s="13">
        <v>-13887931.359598337</v>
      </c>
      <c r="G74" s="13">
        <v>-45554788.373926073</v>
      </c>
      <c r="H74" s="13">
        <v>22436119.644396961</v>
      </c>
      <c r="I74" s="13">
        <v>42224041.510426484</v>
      </c>
      <c r="J74" s="13">
        <v>2938927.7315384224</v>
      </c>
      <c r="K74" s="13">
        <v>-73786283.573616758</v>
      </c>
      <c r="L74" s="13">
        <v>56941882.235703886</v>
      </c>
      <c r="M74" s="13">
        <v>65290696.047197625</v>
      </c>
      <c r="N74" s="13">
        <v>216021443.40360838</v>
      </c>
      <c r="O74" s="13">
        <v>178852860.02514383</v>
      </c>
      <c r="P74" s="13">
        <v>-118637245.50450462</v>
      </c>
      <c r="Q74" s="13">
        <v>246230074.35897505</v>
      </c>
      <c r="R74" s="13">
        <v>-356527278.49303013</v>
      </c>
      <c r="S74" s="13">
        <v>-31567443.557246517</v>
      </c>
      <c r="T74" s="13">
        <v>215530559.99256945</v>
      </c>
      <c r="U74" s="13">
        <v>597223091.57499588</v>
      </c>
      <c r="V74" s="13">
        <v>310979594.50351781</v>
      </c>
      <c r="W74" s="13">
        <v>48326976.85331136</v>
      </c>
      <c r="X74" s="13">
        <v>-1905497481.8576663</v>
      </c>
      <c r="Y74" s="13">
        <v>-708780100.76173437</v>
      </c>
      <c r="Z74" s="13">
        <v>-218161877.0893355</v>
      </c>
      <c r="AA74" s="13">
        <v>-110451823.43119305</v>
      </c>
      <c r="AB74" s="13">
        <v>2815172702.7901721</v>
      </c>
      <c r="AC74" s="13">
        <v>1105832281.0978992</v>
      </c>
      <c r="AD74" s="13">
        <v>-2597054027.1370296</v>
      </c>
      <c r="AE74" s="13">
        <v>-2648876883.0330801</v>
      </c>
      <c r="AF74" s="13">
        <v>2532144270.7059278</v>
      </c>
      <c r="AG74" s="13">
        <v>10133625627.347172</v>
      </c>
      <c r="AH74" s="13">
        <v>1186726818.4342456</v>
      </c>
      <c r="AI74" s="13">
        <v>-5147856047.2297096</v>
      </c>
      <c r="AJ74" s="13">
        <v>-2048388466.1776807</v>
      </c>
      <c r="AK74" s="13">
        <v>58027779.195065528</v>
      </c>
      <c r="AL74" s="13">
        <v>-2176740848.7480526</v>
      </c>
      <c r="AM74" s="13">
        <v>-927814089.44982052</v>
      </c>
      <c r="AN74" s="13">
        <v>-3722484164.1508875</v>
      </c>
      <c r="AO74" s="13">
        <v>-1126404106.0902092</v>
      </c>
      <c r="AP74" s="13">
        <v>13157889888.750175</v>
      </c>
      <c r="AQ74" s="13">
        <v>-10826057512.830801</v>
      </c>
      <c r="AR74" s="13">
        <v>-2424040087.4021378</v>
      </c>
      <c r="AS74" s="13">
        <v>-1608242182.1353352</v>
      </c>
      <c r="AT74" s="13">
        <v>-16329678219.938911</v>
      </c>
      <c r="AU74" s="13">
        <v>6783759906.8076944</v>
      </c>
      <c r="AV74" s="13">
        <v>-28816788899.114037</v>
      </c>
      <c r="AW74" s="13">
        <v>9429636423.2653522</v>
      </c>
      <c r="AX74" s="13">
        <v>-6026043777.7004709</v>
      </c>
      <c r="AY74" s="13">
        <v>-7510261674.1525993</v>
      </c>
      <c r="AZ74" s="13">
        <v>24190349109.967388</v>
      </c>
      <c r="BA74" s="13">
        <v>-3083159171.8214741</v>
      </c>
      <c r="BB74" s="13">
        <v>-1109593326.4771357</v>
      </c>
      <c r="BC74" s="13">
        <v>31387298178.616253</v>
      </c>
      <c r="BD74" s="13">
        <v>24072135824.279259</v>
      </c>
      <c r="BE74" s="13">
        <v>-242185652313.03333</v>
      </c>
      <c r="BF74" s="13">
        <v>460133844301.7771</v>
      </c>
      <c r="BG74" s="13">
        <v>-104124359648.75177</v>
      </c>
      <c r="BH74" s="13">
        <v>104106680281.45068</v>
      </c>
      <c r="BI74" s="13">
        <v>-172379653383.93268</v>
      </c>
      <c r="BJ74" s="13">
        <v>-22663605905.331009</v>
      </c>
      <c r="BK74" s="13">
        <v>188844864528.30023</v>
      </c>
      <c r="BL74" s="13">
        <v>97131906929.423676</v>
      </c>
      <c r="BM74" s="13">
        <v>5203069505700.2373</v>
      </c>
      <c r="BN74" s="13">
        <v>-313861703672.95917</v>
      </c>
      <c r="BO74" s="13">
        <v>-35193440836435.633</v>
      </c>
    </row>
    <row r="75" spans="1:67" x14ac:dyDescent="0.2">
      <c r="B75" s="13">
        <v>1912852.9928033352</v>
      </c>
      <c r="C75" s="13">
        <v>-3187329.4872014853</v>
      </c>
      <c r="D75" s="13">
        <v>-527928.6999092747</v>
      </c>
      <c r="E75" s="13">
        <v>3086975.8836414479</v>
      </c>
      <c r="F75" s="13">
        <v>-2300307.3827433907</v>
      </c>
      <c r="G75" s="13">
        <v>-7545401.3498463817</v>
      </c>
      <c r="H75" s="13">
        <v>3716174.1598229492</v>
      </c>
      <c r="I75" s="13">
        <v>6993717.919645723</v>
      </c>
      <c r="J75" s="13">
        <v>486785.03571488202</v>
      </c>
      <c r="K75" s="13">
        <v>-12221484.140621942</v>
      </c>
      <c r="L75" s="13">
        <v>9431486.1368843112</v>
      </c>
      <c r="M75" s="13">
        <v>10814329.81426139</v>
      </c>
      <c r="N75" s="13">
        <v>35780398.695483185</v>
      </c>
      <c r="O75" s="13">
        <v>29624034.257335752</v>
      </c>
      <c r="P75" s="13">
        <v>-19650308.217202328</v>
      </c>
      <c r="Q75" s="13">
        <v>40783961.504369222</v>
      </c>
      <c r="R75" s="13">
        <v>-59052879.054462612</v>
      </c>
      <c r="S75" s="13">
        <v>-5228627.7639208408</v>
      </c>
      <c r="T75" s="13">
        <v>35699091.944559395</v>
      </c>
      <c r="U75" s="13">
        <v>98920181.209047824</v>
      </c>
      <c r="V75" s="13">
        <v>51508654.426504038</v>
      </c>
      <c r="W75" s="13">
        <v>8004568.7712905696</v>
      </c>
      <c r="X75" s="13">
        <v>-315614313.75225109</v>
      </c>
      <c r="Y75" s="13">
        <v>-117397764.74249886</v>
      </c>
      <c r="Z75" s="13">
        <v>-36134926.336001828</v>
      </c>
      <c r="AA75" s="13">
        <v>-18294527.697153602</v>
      </c>
      <c r="AB75" s="13">
        <v>466287050.58305269</v>
      </c>
      <c r="AC75" s="13">
        <v>183162927.18462715</v>
      </c>
      <c r="AD75" s="13">
        <v>-430159279.88141853</v>
      </c>
      <c r="AE75" s="13">
        <v>-438742883.42977166</v>
      </c>
      <c r="AF75" s="13">
        <v>419408046.35331357</v>
      </c>
      <c r="AG75" s="13">
        <v>1678468393.9835331</v>
      </c>
      <c r="AH75" s="13">
        <v>196561776.66458607</v>
      </c>
      <c r="AI75" s="13">
        <v>-852657675.59325278</v>
      </c>
      <c r="AJ75" s="13">
        <v>-339281854.83621788</v>
      </c>
      <c r="AK75" s="13">
        <v>9611347.1076408438</v>
      </c>
      <c r="AL75" s="13">
        <v>-360541315.72042716</v>
      </c>
      <c r="AM75" s="13">
        <v>-153677142.05776247</v>
      </c>
      <c r="AN75" s="13">
        <v>-616568269.53171742</v>
      </c>
      <c r="AO75" s="13">
        <v>-186570311.5993498</v>
      </c>
      <c r="AP75" s="13">
        <v>2179388021.8681068</v>
      </c>
      <c r="AQ75" s="13">
        <v>-1793158345.8247101</v>
      </c>
      <c r="AR75" s="13">
        <v>-401502366.64636874</v>
      </c>
      <c r="AS75" s="13">
        <v>-266378863.02317518</v>
      </c>
      <c r="AT75" s="13">
        <v>-2704742585.1874871</v>
      </c>
      <c r="AU75" s="13">
        <v>1123618240.5246859</v>
      </c>
      <c r="AV75" s="13">
        <v>-4773027064.9308367</v>
      </c>
      <c r="AW75" s="13">
        <v>1561864162.5518246</v>
      </c>
      <c r="AX75" s="13">
        <v>-998115027.44134235</v>
      </c>
      <c r="AY75" s="13">
        <v>-1243951307.6474969</v>
      </c>
      <c r="AZ75" s="13">
        <v>4006733415.5150871</v>
      </c>
      <c r="BA75" s="13">
        <v>-510674600.25955433</v>
      </c>
      <c r="BB75" s="13">
        <v>-183785882.26647866</v>
      </c>
      <c r="BC75" s="13">
        <v>5198789644.7069788</v>
      </c>
      <c r="BD75" s="13">
        <v>3987153329.0174556</v>
      </c>
      <c r="BE75" s="13">
        <v>-40114069519.510132</v>
      </c>
      <c r="BF75" s="13">
        <v>76213602423.956696</v>
      </c>
      <c r="BG75" s="13">
        <v>-17246487409.732117</v>
      </c>
      <c r="BH75" s="13">
        <v>17243559105.073196</v>
      </c>
      <c r="BI75" s="13">
        <v>-28551854056.604782</v>
      </c>
      <c r="BJ75" s="13">
        <v>-3753853511.8980494</v>
      </c>
      <c r="BK75" s="13">
        <v>31279045444.846497</v>
      </c>
      <c r="BL75" s="13">
        <v>16088302629.750345</v>
      </c>
      <c r="BM75" s="13">
        <v>861802876690.00549</v>
      </c>
      <c r="BN75" s="13">
        <v>-51986028402.285141</v>
      </c>
      <c r="BO75" s="13">
        <v>-5829214566515.1816</v>
      </c>
    </row>
    <row r="76" spans="1:67" x14ac:dyDescent="0.2">
      <c r="B76" s="13">
        <v>-11185091.954817282</v>
      </c>
      <c r="C76" s="13">
        <v>18637382.768158298</v>
      </c>
      <c r="D76" s="13">
        <v>3086975.8836411582</v>
      </c>
      <c r="E76" s="13">
        <v>-18050581.643968955</v>
      </c>
      <c r="F76" s="13">
        <v>13450667.510207267</v>
      </c>
      <c r="G76" s="13">
        <v>44120488.217246614</v>
      </c>
      <c r="H76" s="13">
        <v>-21729714.652716104</v>
      </c>
      <c r="I76" s="13">
        <v>-40894610.478018157</v>
      </c>
      <c r="J76" s="13">
        <v>-2846395.0985663524</v>
      </c>
      <c r="K76" s="13">
        <v>71463110.053423271</v>
      </c>
      <c r="L76" s="13">
        <v>-55149057.519032538</v>
      </c>
      <c r="M76" s="13">
        <v>-63235007.52564843</v>
      </c>
      <c r="N76" s="13">
        <v>-209219972.00850469</v>
      </c>
      <c r="O76" s="13">
        <v>-173221647.71345046</v>
      </c>
      <c r="P76" s="13">
        <v>114901931.9209175</v>
      </c>
      <c r="Q76" s="13">
        <v>-238477479.14679211</v>
      </c>
      <c r="R76" s="13">
        <v>345301957.30222368</v>
      </c>
      <c r="S76" s="13">
        <v>30573537.298715919</v>
      </c>
      <c r="T76" s="13">
        <v>-208744544.14196754</v>
      </c>
      <c r="U76" s="13">
        <v>-578419422.32085013</v>
      </c>
      <c r="V76" s="13">
        <v>-301188349.78715366</v>
      </c>
      <c r="W76" s="13">
        <v>-46805393.877315968</v>
      </c>
      <c r="X76" s="13">
        <v>1845502573.8802967</v>
      </c>
      <c r="Y76" s="13">
        <v>686464040.35203314</v>
      </c>
      <c r="Z76" s="13">
        <v>211293013.77450213</v>
      </c>
      <c r="AA76" s="13">
        <v>106974229.23994663</v>
      </c>
      <c r="AB76" s="13">
        <v>-2726536517.8561888</v>
      </c>
      <c r="AC76" s="13">
        <v>-1071014966.1547956</v>
      </c>
      <c r="AD76" s="13">
        <v>2515285345.2780309</v>
      </c>
      <c r="AE76" s="13">
        <v>2565476549.8972797</v>
      </c>
      <c r="AF76" s="13">
        <v>-2452419283.4990706</v>
      </c>
      <c r="AG76" s="13">
        <v>-9814566723.9798813</v>
      </c>
      <c r="AH76" s="13">
        <v>-1149362525.3985279</v>
      </c>
      <c r="AI76" s="13">
        <v>4985774935.7057228</v>
      </c>
      <c r="AJ76" s="13">
        <v>1983894611.6025224</v>
      </c>
      <c r="AK76" s="13">
        <v>-56200764.836358406</v>
      </c>
      <c r="AL76" s="13">
        <v>2108205797.8447032</v>
      </c>
      <c r="AM76" s="13">
        <v>898601707.13516641</v>
      </c>
      <c r="AN76" s="13">
        <v>3605281125.5523152</v>
      </c>
      <c r="AO76" s="13">
        <v>1090939083.7849584</v>
      </c>
      <c r="AP76" s="13">
        <v>-12743611517.604099</v>
      </c>
      <c r="AQ76" s="13">
        <v>10485197275.353601</v>
      </c>
      <c r="AR76" s="13">
        <v>2347718778.4910121</v>
      </c>
      <c r="AS76" s="13">
        <v>1557606407.1444356</v>
      </c>
      <c r="AT76" s="13">
        <v>15815535560.906269</v>
      </c>
      <c r="AU76" s="13">
        <v>-6570172087.686512</v>
      </c>
      <c r="AV76" s="13">
        <v>27909487464.906002</v>
      </c>
      <c r="AW76" s="13">
        <v>-9132742738.0825214</v>
      </c>
      <c r="AX76" s="13">
        <v>5836312778.1961946</v>
      </c>
      <c r="AY76" s="13">
        <v>7273799825.1307049</v>
      </c>
      <c r="AZ76" s="13">
        <v>-23428711908.880322</v>
      </c>
      <c r="BA76" s="13">
        <v>2986085388.0257277</v>
      </c>
      <c r="BB76" s="13">
        <v>1074657594.4737711</v>
      </c>
      <c r="BC76" s="13">
        <v>-30399063828.09256</v>
      </c>
      <c r="BD76" s="13">
        <v>-23314220588.475544</v>
      </c>
      <c r="BE76" s="13">
        <v>234560396408.84735</v>
      </c>
      <c r="BF76" s="13">
        <v>-445646452999.20081</v>
      </c>
      <c r="BG76" s="13">
        <v>100845986710.78017</v>
      </c>
      <c r="BH76" s="13">
        <v>-100828863983.02977</v>
      </c>
      <c r="BI76" s="13">
        <v>166952251070.25354</v>
      </c>
      <c r="BJ76" s="13">
        <v>21950038472.920822</v>
      </c>
      <c r="BK76" s="13">
        <v>-182899052277.09781</v>
      </c>
      <c r="BL76" s="13">
        <v>-94073692540.293457</v>
      </c>
      <c r="BM76" s="13">
        <v>-5039249989192.6797</v>
      </c>
      <c r="BN76" s="13">
        <v>303979715264.14655</v>
      </c>
      <c r="BO76" s="13">
        <v>34085369445971.465</v>
      </c>
    </row>
    <row r="77" spans="1:67" x14ac:dyDescent="0.2">
      <c r="B77" s="13">
        <v>8334742.6649086103</v>
      </c>
      <c r="C77" s="13">
        <v>-13887931.359587664</v>
      </c>
      <c r="D77" s="13">
        <v>-2300307.3827421814</v>
      </c>
      <c r="E77" s="13">
        <v>13450667.510201048</v>
      </c>
      <c r="F77" s="13">
        <v>-10022971.006364081</v>
      </c>
      <c r="G77" s="13">
        <v>-32877057.875819627</v>
      </c>
      <c r="H77" s="13">
        <v>16192229.848059813</v>
      </c>
      <c r="I77" s="13">
        <v>30473245.645924043</v>
      </c>
      <c r="J77" s="13">
        <v>2121034.9247919316</v>
      </c>
      <c r="K77" s="13">
        <v>-53251831.521080174</v>
      </c>
      <c r="L77" s="13">
        <v>41095165.286295421</v>
      </c>
      <c r="M77" s="13">
        <v>47120534.840313591</v>
      </c>
      <c r="N77" s="13">
        <v>155903468.12313348</v>
      </c>
      <c r="O77" s="13">
        <v>129078765.15474701</v>
      </c>
      <c r="P77" s="13">
        <v>-85620935.270279899</v>
      </c>
      <c r="Q77" s="13">
        <v>177705147.89640859</v>
      </c>
      <c r="R77" s="13">
        <v>-257307044.71647361</v>
      </c>
      <c r="S77" s="13">
        <v>-22782339.813478366</v>
      </c>
      <c r="T77" s="13">
        <v>155549195.77773482</v>
      </c>
      <c r="U77" s="13">
        <v>431018095.94806546</v>
      </c>
      <c r="V77" s="13">
        <v>224435114.0988338</v>
      </c>
      <c r="W77" s="13">
        <v>34877756.470177464</v>
      </c>
      <c r="X77" s="13">
        <v>-1375204522.4798069</v>
      </c>
      <c r="Y77" s="13">
        <v>-511529198.6921218</v>
      </c>
      <c r="Z77" s="13">
        <v>-157448226.97305679</v>
      </c>
      <c r="AA77" s="13">
        <v>-79713486.138707116</v>
      </c>
      <c r="AB77" s="13">
        <v>2031720466.3687606</v>
      </c>
      <c r="AC77" s="13">
        <v>798083213.71290696</v>
      </c>
      <c r="AD77" s="13">
        <v>-1874303418.0475154</v>
      </c>
      <c r="AE77" s="13">
        <v>-1911704163.1642182</v>
      </c>
      <c r="AF77" s="13">
        <v>1827457808.6785409</v>
      </c>
      <c r="AG77" s="13">
        <v>7313474787.8166723</v>
      </c>
      <c r="AH77" s="13">
        <v>856465098.07909453</v>
      </c>
      <c r="AI77" s="13">
        <v>-3715226592.8946514</v>
      </c>
      <c r="AJ77" s="13">
        <v>-1478329470.0333583</v>
      </c>
      <c r="AK77" s="13">
        <v>41878861.117328145</v>
      </c>
      <c r="AL77" s="13">
        <v>-1570961855.3592272</v>
      </c>
      <c r="AM77" s="13">
        <v>-669606831.83295631</v>
      </c>
      <c r="AN77" s="13">
        <v>-2686530476.2434883</v>
      </c>
      <c r="AO77" s="13">
        <v>-812929975.28035009</v>
      </c>
      <c r="AP77" s="13">
        <v>9496097399.0357018</v>
      </c>
      <c r="AQ77" s="13">
        <v>-7813205419.6102648</v>
      </c>
      <c r="AR77" s="13">
        <v>-1749438623.0056055</v>
      </c>
      <c r="AS77" s="13">
        <v>-1160674282.2814589</v>
      </c>
      <c r="AT77" s="13">
        <v>-11785188672.523596</v>
      </c>
      <c r="AU77" s="13">
        <v>4895864409.2669144</v>
      </c>
      <c r="AV77" s="13">
        <v>-20797182255.478966</v>
      </c>
      <c r="AW77" s="13">
        <v>6805403196.8856945</v>
      </c>
      <c r="AX77" s="13">
        <v>-4349017899.3414202</v>
      </c>
      <c r="AY77" s="13">
        <v>-5420183399.6923885</v>
      </c>
      <c r="AZ77" s="13">
        <v>17458263688.686077</v>
      </c>
      <c r="BA77" s="13">
        <v>-2225127283.2428675</v>
      </c>
      <c r="BB77" s="13">
        <v>-800797573.80356276</v>
      </c>
      <c r="BC77" s="13">
        <v>22652328232.27409</v>
      </c>
      <c r="BD77" s="13">
        <v>17372948726.681458</v>
      </c>
      <c r="BE77" s="13">
        <v>-174786273670.40024</v>
      </c>
      <c r="BF77" s="13">
        <v>332080283313.34467</v>
      </c>
      <c r="BG77" s="13">
        <v>-75146932318.711197</v>
      </c>
      <c r="BH77" s="13">
        <v>75134173047.43129</v>
      </c>
      <c r="BI77" s="13">
        <v>-124407028177.28735</v>
      </c>
      <c r="BJ77" s="13">
        <v>-16356407513.056026</v>
      </c>
      <c r="BK77" s="13">
        <v>136290031460.22519</v>
      </c>
      <c r="BL77" s="13">
        <v>70100453533.986969</v>
      </c>
      <c r="BM77" s="13">
        <v>3755074348338.0137</v>
      </c>
      <c r="BN77" s="13">
        <v>-226515142856.89026</v>
      </c>
      <c r="BO77" s="13">
        <v>-25399235349404.219</v>
      </c>
    </row>
    <row r="78" spans="1:67" x14ac:dyDescent="0.2">
      <c r="B78" s="13">
        <v>27339380.388432536</v>
      </c>
      <c r="C78" s="13">
        <v>-45554788.373929687</v>
      </c>
      <c r="D78" s="13">
        <v>-7545401.3498487091</v>
      </c>
      <c r="E78" s="13">
        <v>44120488.217263691</v>
      </c>
      <c r="F78" s="13">
        <v>-32877057.875847418</v>
      </c>
      <c r="G78" s="13">
        <v>-107842368.67784347</v>
      </c>
      <c r="H78" s="13">
        <v>53113281.234536946</v>
      </c>
      <c r="I78" s="13">
        <v>99957453.744453594</v>
      </c>
      <c r="J78" s="13">
        <v>6957357.0468554012</v>
      </c>
      <c r="K78" s="13">
        <v>-174675108.38389546</v>
      </c>
      <c r="L78" s="13">
        <v>134799165.50164327</v>
      </c>
      <c r="M78" s="13">
        <v>154563407.39772406</v>
      </c>
      <c r="N78" s="13">
        <v>511390020.10047114</v>
      </c>
      <c r="O78" s="13">
        <v>423400409.89558399</v>
      </c>
      <c r="P78" s="13">
        <v>-280851300.71946925</v>
      </c>
      <c r="Q78" s="13">
        <v>582903255.76550078</v>
      </c>
      <c r="R78" s="13">
        <v>-844011081.68832242</v>
      </c>
      <c r="S78" s="13">
        <v>-74729968.192457139</v>
      </c>
      <c r="T78" s="13">
        <v>510227946.19024247</v>
      </c>
      <c r="U78" s="13">
        <v>1413813017.7935569</v>
      </c>
      <c r="V78" s="13">
        <v>736185531.30638802</v>
      </c>
      <c r="W78" s="13">
        <v>114405001.99746646</v>
      </c>
      <c r="X78" s="13">
        <v>-4510905862.8358641</v>
      </c>
      <c r="Y78" s="13">
        <v>-1677903194.5498202</v>
      </c>
      <c r="Z78" s="13">
        <v>-516457093.09310091</v>
      </c>
      <c r="AA78" s="13">
        <v>-261473857.9397139</v>
      </c>
      <c r="AB78" s="13">
        <v>6664390360.3803225</v>
      </c>
      <c r="AC78" s="13">
        <v>2617849337.3221188</v>
      </c>
      <c r="AD78" s="13">
        <v>-6148035538.4656391</v>
      </c>
      <c r="AE78" s="13">
        <v>-6270716374.9178753</v>
      </c>
      <c r="AF78" s="13">
        <v>5994373934.0098457</v>
      </c>
      <c r="AG78" s="13">
        <v>23989447212.397831</v>
      </c>
      <c r="AH78" s="13">
        <v>2809351895.6216898</v>
      </c>
      <c r="AI78" s="13">
        <v>-12186578174.675926</v>
      </c>
      <c r="AJ78" s="13">
        <v>-4849173315.338912</v>
      </c>
      <c r="AK78" s="13">
        <v>137369821.70381898</v>
      </c>
      <c r="AL78" s="13">
        <v>-5153023370.5114775</v>
      </c>
      <c r="AM78" s="13">
        <v>-2196424847.2713394</v>
      </c>
      <c r="AN78" s="13">
        <v>-8812279103.030859</v>
      </c>
      <c r="AO78" s="13">
        <v>-2666549252.6271658</v>
      </c>
      <c r="AP78" s="13">
        <v>31148822397.757305</v>
      </c>
      <c r="AQ78" s="13">
        <v>-25628649090.873505</v>
      </c>
      <c r="AR78" s="13">
        <v>-5738457671.2134266</v>
      </c>
      <c r="AS78" s="13">
        <v>-3807210010.6209917</v>
      </c>
      <c r="AT78" s="13">
        <v>-38657432991.642052</v>
      </c>
      <c r="AU78" s="13">
        <v>16059271988.881281</v>
      </c>
      <c r="AV78" s="13">
        <v>-68218312136.564598</v>
      </c>
      <c r="AW78" s="13">
        <v>22322885561.886787</v>
      </c>
      <c r="AX78" s="13">
        <v>-14265521978.256504</v>
      </c>
      <c r="AY78" s="13">
        <v>-17779127886.600151</v>
      </c>
      <c r="AZ78" s="13">
        <v>57266088600.590202</v>
      </c>
      <c r="BA78" s="13">
        <v>-7298797778.3779154</v>
      </c>
      <c r="BB78" s="13">
        <v>-2626752903.2400513</v>
      </c>
      <c r="BC78" s="13">
        <v>74303507990.700134</v>
      </c>
      <c r="BD78" s="13">
        <v>56986240945.878044</v>
      </c>
      <c r="BE78" s="13">
        <v>-573328849454.04321</v>
      </c>
      <c r="BF78" s="13">
        <v>1089280083399.3696</v>
      </c>
      <c r="BG78" s="13">
        <v>-246494780940.76486</v>
      </c>
      <c r="BH78" s="13">
        <v>246452928389.89374</v>
      </c>
      <c r="BI78" s="13">
        <v>-408076314184.44116</v>
      </c>
      <c r="BJ78" s="13">
        <v>-53651812057.891266</v>
      </c>
      <c r="BK78" s="13">
        <v>447054595802.48767</v>
      </c>
      <c r="BL78" s="13">
        <v>229941468099.48419</v>
      </c>
      <c r="BM78" s="13">
        <v>12317285623091.584</v>
      </c>
      <c r="BN78" s="13">
        <v>-743008381124.54785</v>
      </c>
      <c r="BO78" s="13">
        <v>-83313832799541.453</v>
      </c>
    </row>
    <row r="79" spans="1:67" x14ac:dyDescent="0.2">
      <c r="B79" s="13">
        <v>-13464876.718799267</v>
      </c>
      <c r="C79" s="13">
        <v>22436119.644369993</v>
      </c>
      <c r="D79" s="13">
        <v>3716174.1598193161</v>
      </c>
      <c r="E79" s="13">
        <v>-21729714.652696632</v>
      </c>
      <c r="F79" s="13">
        <v>16192229.848052593</v>
      </c>
      <c r="G79" s="13">
        <v>53113281.234468795</v>
      </c>
      <c r="H79" s="13">
        <v>-26158741.482507523</v>
      </c>
      <c r="I79" s="13">
        <v>-49229893.751208454</v>
      </c>
      <c r="J79" s="13">
        <v>-3426557.3554299786</v>
      </c>
      <c r="K79" s="13">
        <v>86028972.375367105</v>
      </c>
      <c r="L79" s="13">
        <v>-66389732.298889056</v>
      </c>
      <c r="M79" s="13">
        <v>-76123789.068088502</v>
      </c>
      <c r="N79" s="13">
        <v>-251863922.22001973</v>
      </c>
      <c r="O79" s="13">
        <v>-208528292.91613752</v>
      </c>
      <c r="P79" s="13">
        <v>138321647.62680829</v>
      </c>
      <c r="Q79" s="13">
        <v>-287084797.32650381</v>
      </c>
      <c r="R79" s="13">
        <v>415682616.15706706</v>
      </c>
      <c r="S79" s="13">
        <v>36805143.159293048</v>
      </c>
      <c r="T79" s="13">
        <v>-251291591.02284756</v>
      </c>
      <c r="U79" s="13">
        <v>-696314902.422364</v>
      </c>
      <c r="V79" s="13">
        <v>-362577618.06508625</v>
      </c>
      <c r="W79" s="13">
        <v>-56345433.804427192</v>
      </c>
      <c r="X79" s="13">
        <v>2221659396.4115677</v>
      </c>
      <c r="Y79" s="13">
        <v>826381554.3235271</v>
      </c>
      <c r="Z79" s="13">
        <v>254359498.68796685</v>
      </c>
      <c r="AA79" s="13">
        <v>128778092.72140354</v>
      </c>
      <c r="AB79" s="13">
        <v>-3282268776.1888247</v>
      </c>
      <c r="AC79" s="13">
        <v>-1289313001.7083254</v>
      </c>
      <c r="AD79" s="13">
        <v>3027959647.0579543</v>
      </c>
      <c r="AE79" s="13">
        <v>3088380999.1000056</v>
      </c>
      <c r="AF79" s="13">
        <v>-2952280003.2170534</v>
      </c>
      <c r="AG79" s="13">
        <v>-11815006216.947456</v>
      </c>
      <c r="AH79" s="13">
        <v>-1383629636.0384753</v>
      </c>
      <c r="AI79" s="13">
        <v>6001993110.9150667</v>
      </c>
      <c r="AJ79" s="13">
        <v>2388258985.7636943</v>
      </c>
      <c r="AK79" s="13">
        <v>-67655802.315571219</v>
      </c>
      <c r="AL79" s="13">
        <v>2537907715.064301</v>
      </c>
      <c r="AM79" s="13">
        <v>1081757866.2905297</v>
      </c>
      <c r="AN79" s="13">
        <v>4340122199.1348181</v>
      </c>
      <c r="AO79" s="13">
        <v>1313298123.0640922</v>
      </c>
      <c r="AP79" s="13">
        <v>-15341059217.705042</v>
      </c>
      <c r="AQ79" s="13">
        <v>12622327045.038942</v>
      </c>
      <c r="AR79" s="13">
        <v>2826239073.2436137</v>
      </c>
      <c r="AS79" s="13">
        <v>1875083220.934768</v>
      </c>
      <c r="AT79" s="13">
        <v>19039113618.971546</v>
      </c>
      <c r="AU79" s="13">
        <v>-7909327660.6936531</v>
      </c>
      <c r="AV79" s="13">
        <v>33598097316.916668</v>
      </c>
      <c r="AW79" s="13">
        <v>-10994210469.587166</v>
      </c>
      <c r="AX79" s="13">
        <v>7025890566.2276392</v>
      </c>
      <c r="AY79" s="13">
        <v>8756371276.5505276</v>
      </c>
      <c r="AZ79" s="13">
        <v>-28204034334.497852</v>
      </c>
      <c r="BA79" s="13">
        <v>3594719806.3873134</v>
      </c>
      <c r="BB79" s="13">
        <v>1293698082.5317166</v>
      </c>
      <c r="BC79" s="13">
        <v>-36595107889.356133</v>
      </c>
      <c r="BD79" s="13">
        <v>-28066206990.263035</v>
      </c>
      <c r="BE79" s="13">
        <v>282369321012.30023</v>
      </c>
      <c r="BF79" s="13">
        <v>-536479679730.61121</v>
      </c>
      <c r="BG79" s="13">
        <v>121400770278.35258</v>
      </c>
      <c r="BH79" s="13">
        <v>-121380157505.65172</v>
      </c>
      <c r="BI79" s="13">
        <v>200981045809.34668</v>
      </c>
      <c r="BJ79" s="13">
        <v>26423972457.290291</v>
      </c>
      <c r="BK79" s="13">
        <v>-220178180110.17651</v>
      </c>
      <c r="BL79" s="13">
        <v>-113248123271.81934</v>
      </c>
      <c r="BM79" s="13">
        <v>-6066367637491.5049</v>
      </c>
      <c r="BN79" s="13">
        <v>365937929464.64862</v>
      </c>
      <c r="BO79" s="13">
        <v>41032769273544.211</v>
      </c>
    </row>
    <row r="80" spans="1:67" x14ac:dyDescent="0.2">
      <c r="B80" s="13">
        <v>-25340456.483339384</v>
      </c>
      <c r="C80" s="13">
        <v>42224041.510402344</v>
      </c>
      <c r="D80" s="13">
        <v>6993717.919643308</v>
      </c>
      <c r="E80" s="13">
        <v>-40894610.478007212</v>
      </c>
      <c r="F80" s="13">
        <v>30473245.645929776</v>
      </c>
      <c r="G80" s="13">
        <v>99957453.744388208</v>
      </c>
      <c r="H80" s="13">
        <v>-49229893.751239389</v>
      </c>
      <c r="I80" s="13">
        <v>-92649045.836738944</v>
      </c>
      <c r="J80" s="13">
        <v>-6448668.5876221843</v>
      </c>
      <c r="K80" s="13">
        <v>161903705.19772136</v>
      </c>
      <c r="L80" s="13">
        <v>-124943299.3287518</v>
      </c>
      <c r="M80" s="13">
        <v>-143262474.9905743</v>
      </c>
      <c r="N80" s="13">
        <v>-473999643.2299664</v>
      </c>
      <c r="O80" s="13">
        <v>-392443409.81472927</v>
      </c>
      <c r="P80" s="13">
        <v>260316805.39177877</v>
      </c>
      <c r="Q80" s="13">
        <v>-540284175.31170607</v>
      </c>
      <c r="R80" s="13">
        <v>782301053.75140893</v>
      </c>
      <c r="S80" s="13">
        <v>69266072.610781312</v>
      </c>
      <c r="T80" s="13">
        <v>-472922534.61941928</v>
      </c>
      <c r="U80" s="13">
        <v>-1310441814.8273525</v>
      </c>
      <c r="V80" s="13">
        <v>-682359188.6214236</v>
      </c>
      <c r="W80" s="13">
        <v>-106040258.90175289</v>
      </c>
      <c r="X80" s="13">
        <v>4181090137.8393235</v>
      </c>
      <c r="Y80" s="13">
        <v>1555222988.9551477</v>
      </c>
      <c r="Z80" s="13">
        <v>478696236.2638979</v>
      </c>
      <c r="AA80" s="13">
        <v>242356147.96845144</v>
      </c>
      <c r="AB80" s="13">
        <v>-6177122214.0541801</v>
      </c>
      <c r="AC80" s="13">
        <v>-2426444793.8577962</v>
      </c>
      <c r="AD80" s="13">
        <v>5698520771.5034275</v>
      </c>
      <c r="AE80" s="13">
        <v>5812231775.3256369</v>
      </c>
      <c r="AF80" s="13">
        <v>-5556094163.6378975</v>
      </c>
      <c r="AG80" s="13">
        <v>-22235454297.055954</v>
      </c>
      <c r="AH80" s="13">
        <v>-2603945606.9390779</v>
      </c>
      <c r="AI80" s="13">
        <v>11295554234.586975</v>
      </c>
      <c r="AJ80" s="13">
        <v>4494625102.3440218</v>
      </c>
      <c r="AK80" s="13">
        <v>-127326001.555792</v>
      </c>
      <c r="AL80" s="13">
        <v>4776259103.9974909</v>
      </c>
      <c r="AM80" s="13">
        <v>2035832834.2991695</v>
      </c>
      <c r="AN80" s="13">
        <v>8167967669.9758196</v>
      </c>
      <c r="AO80" s="13">
        <v>2471584005.7775836</v>
      </c>
      <c r="AP80" s="13">
        <v>-28871370428.192032</v>
      </c>
      <c r="AQ80" s="13">
        <v>23754805624.038139</v>
      </c>
      <c r="AR80" s="13">
        <v>5318889266.2113628</v>
      </c>
      <c r="AS80" s="13">
        <v>3528845139.4173899</v>
      </c>
      <c r="AT80" s="13">
        <v>35830987555.530449</v>
      </c>
      <c r="AU80" s="13">
        <v>-14885095317.182682</v>
      </c>
      <c r="AV80" s="13">
        <v>63230517498.812584</v>
      </c>
      <c r="AW80" s="13">
        <v>-20690743613.283398</v>
      </c>
      <c r="AX80" s="13">
        <v>13222495673.183662</v>
      </c>
      <c r="AY80" s="13">
        <v>16479203629.107119</v>
      </c>
      <c r="AZ80" s="13">
        <v>-53079067832.704254</v>
      </c>
      <c r="BA80" s="13">
        <v>6765144812.3361778</v>
      </c>
      <c r="BB80" s="13">
        <v>2434697373.2072325</v>
      </c>
      <c r="BC80" s="13">
        <v>-68870793123.400482</v>
      </c>
      <c r="BD80" s="13">
        <v>-52819681290.56279</v>
      </c>
      <c r="BE80" s="13">
        <v>531409803505.89771</v>
      </c>
      <c r="BF80" s="13">
        <v>-1009637166572.7439</v>
      </c>
      <c r="BG80" s="13">
        <v>228472269002.97665</v>
      </c>
      <c r="BH80" s="13">
        <v>-228433476481.51248</v>
      </c>
      <c r="BI80" s="13">
        <v>378239738225.8869</v>
      </c>
      <c r="BJ80" s="13">
        <v>49729049775.328491</v>
      </c>
      <c r="BK80" s="13">
        <v>-414368115510.46008</v>
      </c>
      <c r="BL80" s="13">
        <v>-213129254694.97174</v>
      </c>
      <c r="BM80" s="13">
        <v>-11416704983221.221</v>
      </c>
      <c r="BN80" s="13">
        <v>688683184497.41772</v>
      </c>
      <c r="BO80" s="13">
        <v>77222326346732.422</v>
      </c>
    </row>
    <row r="81" spans="2:67" x14ac:dyDescent="0.2">
      <c r="B81" s="13">
        <v>-1763776.4558357662</v>
      </c>
      <c r="C81" s="13">
        <v>2938927.7315496705</v>
      </c>
      <c r="D81" s="13">
        <v>486785.03571686696</v>
      </c>
      <c r="E81" s="13">
        <v>-2846395.0985781508</v>
      </c>
      <c r="F81" s="13">
        <v>2121034.924801684</v>
      </c>
      <c r="G81" s="13">
        <v>6957357.0468816012</v>
      </c>
      <c r="H81" s="13">
        <v>-3426557.3554472486</v>
      </c>
      <c r="I81" s="13">
        <v>-6448668.5876506381</v>
      </c>
      <c r="J81" s="13">
        <v>-448847.8657469551</v>
      </c>
      <c r="K81" s="13">
        <v>11269013.387470001</v>
      </c>
      <c r="L81" s="13">
        <v>-8696451.4565588906</v>
      </c>
      <c r="M81" s="13">
        <v>-9971524.408828631</v>
      </c>
      <c r="N81" s="13">
        <v>-32991884.397417936</v>
      </c>
      <c r="O81" s="13">
        <v>-27315310.874475293</v>
      </c>
      <c r="P81" s="13">
        <v>18118878.511184931</v>
      </c>
      <c r="Q81" s="13">
        <v>-37605498.879444271</v>
      </c>
      <c r="R81" s="13">
        <v>54450644.210021697</v>
      </c>
      <c r="S81" s="13">
        <v>4821139.1953476723</v>
      </c>
      <c r="T81" s="13">
        <v>-32916914.183140121</v>
      </c>
      <c r="U81" s="13">
        <v>-91210922.797037855</v>
      </c>
      <c r="V81" s="13">
        <v>-47494372.18472296</v>
      </c>
      <c r="W81" s="13">
        <v>-7380739.6540794568</v>
      </c>
      <c r="X81" s="13">
        <v>291017186.29921716</v>
      </c>
      <c r="Y81" s="13">
        <v>108248471.91334291</v>
      </c>
      <c r="Z81" s="13">
        <v>33318782.207100775</v>
      </c>
      <c r="AA81" s="13">
        <v>16868759.562931318</v>
      </c>
      <c r="AB81" s="13">
        <v>-429947374.18709266</v>
      </c>
      <c r="AC81" s="13">
        <v>-168888283.54540151</v>
      </c>
      <c r="AD81" s="13">
        <v>396635189.85811597</v>
      </c>
      <c r="AE81" s="13">
        <v>404549837.97286129</v>
      </c>
      <c r="AF81" s="13">
        <v>-386721844.61646295</v>
      </c>
      <c r="AG81" s="13">
        <v>-1547658417.4255025</v>
      </c>
      <c r="AH81" s="13">
        <v>-181242905.23557264</v>
      </c>
      <c r="AI81" s="13">
        <v>786206540.00105155</v>
      </c>
      <c r="AJ81" s="13">
        <v>312840218.12416869</v>
      </c>
      <c r="AK81" s="13">
        <v>-8862295.1023929976</v>
      </c>
      <c r="AL81" s="13">
        <v>332442841.35853249</v>
      </c>
      <c r="AM81" s="13">
        <v>141700447.34481508</v>
      </c>
      <c r="AN81" s="13">
        <v>568516556.82634056</v>
      </c>
      <c r="AO81" s="13">
        <v>172030116.40568927</v>
      </c>
      <c r="AP81" s="13">
        <v>-2009539309.0224645</v>
      </c>
      <c r="AQ81" s="13">
        <v>1653410107.3855793</v>
      </c>
      <c r="AR81" s="13">
        <v>370211628.49808031</v>
      </c>
      <c r="AS81" s="13">
        <v>245618857.61058733</v>
      </c>
      <c r="AT81" s="13">
        <v>2493950820.6901674</v>
      </c>
      <c r="AU81" s="13">
        <v>-1036050028.4378885</v>
      </c>
      <c r="AV81" s="13">
        <v>4401045345.4755793</v>
      </c>
      <c r="AW81" s="13">
        <v>-1440141635.2862065</v>
      </c>
      <c r="AX81" s="13">
        <v>920327799.69993317</v>
      </c>
      <c r="AY81" s="13">
        <v>1147005042.8872831</v>
      </c>
      <c r="AZ81" s="13">
        <v>-3694472126.3611803</v>
      </c>
      <c r="BA81" s="13">
        <v>470875621.02478904</v>
      </c>
      <c r="BB81" s="13">
        <v>169462689.72966185</v>
      </c>
      <c r="BC81" s="13">
        <v>-4793626486.4191647</v>
      </c>
      <c r="BD81" s="13">
        <v>-3676417997.3635874</v>
      </c>
      <c r="BE81" s="13">
        <v>36987814345.68631</v>
      </c>
      <c r="BF81" s="13">
        <v>-70273961507.873108</v>
      </c>
      <c r="BG81" s="13">
        <v>15902397369.694298</v>
      </c>
      <c r="BH81" s="13">
        <v>-15899697302.095501</v>
      </c>
      <c r="BI81" s="13">
        <v>26326690106.053623</v>
      </c>
      <c r="BJ81" s="13">
        <v>3461300214.4905205</v>
      </c>
      <c r="BK81" s="13">
        <v>-28841340194.384148</v>
      </c>
      <c r="BL81" s="13">
        <v>-14834474736.665621</v>
      </c>
      <c r="BM81" s="13">
        <v>-794639018006.06494</v>
      </c>
      <c r="BN81" s="13">
        <v>47934542435.534653</v>
      </c>
      <c r="BO81" s="13">
        <v>5374919792288.0928</v>
      </c>
    </row>
    <row r="82" spans="2:67" x14ac:dyDescent="0.2">
      <c r="B82" s="13">
        <v>44282310.292302988</v>
      </c>
      <c r="C82" s="13">
        <v>-73786283.573587269</v>
      </c>
      <c r="D82" s="13">
        <v>-12221484.140619801</v>
      </c>
      <c r="E82" s="13">
        <v>71463110.053416952</v>
      </c>
      <c r="F82" s="13">
        <v>-53251831.521099597</v>
      </c>
      <c r="G82" s="13">
        <v>-174675108.3838118</v>
      </c>
      <c r="H82" s="13">
        <v>86028972.375436038</v>
      </c>
      <c r="I82" s="13">
        <v>161903705.19774887</v>
      </c>
      <c r="J82" s="13">
        <v>11269013.387422141</v>
      </c>
      <c r="K82" s="13">
        <v>-282925846.8869068</v>
      </c>
      <c r="L82" s="13">
        <v>218337738.05520451</v>
      </c>
      <c r="M82" s="13">
        <v>250350398.18279925</v>
      </c>
      <c r="N82" s="13">
        <v>828311806.21534586</v>
      </c>
      <c r="O82" s="13">
        <v>685792730.57206118</v>
      </c>
      <c r="P82" s="13">
        <v>-454902205.81802964</v>
      </c>
      <c r="Q82" s="13">
        <v>944143666.58834398</v>
      </c>
      <c r="R82" s="13">
        <v>-1367066849.2922268</v>
      </c>
      <c r="S82" s="13">
        <v>-121042086.2800528</v>
      </c>
      <c r="T82" s="13">
        <v>826429564.73006034</v>
      </c>
      <c r="U82" s="13">
        <v>2289989965.3586707</v>
      </c>
      <c r="V82" s="13">
        <v>1192418981.9340661</v>
      </c>
      <c r="W82" s="13">
        <v>185304777.40988836</v>
      </c>
      <c r="X82" s="13">
        <v>-7306432343.3264971</v>
      </c>
      <c r="Y82" s="13">
        <v>-2717743739.7952142</v>
      </c>
      <c r="Z82" s="13">
        <v>-836519077.05981624</v>
      </c>
      <c r="AA82" s="13">
        <v>-423516054.35300678</v>
      </c>
      <c r="AB82" s="13">
        <v>10794487572.671677</v>
      </c>
      <c r="AC82" s="13">
        <v>4240199119.539238</v>
      </c>
      <c r="AD82" s="13">
        <v>-9958134147.0933495</v>
      </c>
      <c r="AE82" s="13">
        <v>-10156843509.826174</v>
      </c>
      <c r="AF82" s="13">
        <v>9709244422.3306732</v>
      </c>
      <c r="AG82" s="13">
        <v>38856335809.313148</v>
      </c>
      <c r="AH82" s="13">
        <v>4550380827.8119059</v>
      </c>
      <c r="AI82" s="13">
        <v>-19738919773.112389</v>
      </c>
      <c r="AJ82" s="13">
        <v>-7854332993.610858</v>
      </c>
      <c r="AK82" s="13">
        <v>222501497.26299188</v>
      </c>
      <c r="AL82" s="13">
        <v>-8346486884.2800255</v>
      </c>
      <c r="AM82" s="13">
        <v>-3557606838.2561831</v>
      </c>
      <c r="AN82" s="13">
        <v>-14273479211.272034</v>
      </c>
      <c r="AO82" s="13">
        <v>-4319079647.5987825</v>
      </c>
      <c r="AP82" s="13">
        <v>50452563264.180428</v>
      </c>
      <c r="AQ82" s="13">
        <v>-41511394014.217026</v>
      </c>
      <c r="AR82" s="13">
        <v>-9294730150.3861599</v>
      </c>
      <c r="AS82" s="13">
        <v>-6166637745.4133778</v>
      </c>
      <c r="AT82" s="13">
        <v>-62614456454.788033</v>
      </c>
      <c r="AU82" s="13">
        <v>26011623350.028522</v>
      </c>
      <c r="AV82" s="13">
        <v>-110494986452.59143</v>
      </c>
      <c r="AW82" s="13">
        <v>36156962265.653381</v>
      </c>
      <c r="AX82" s="13">
        <v>-23106239488.17701</v>
      </c>
      <c r="AY82" s="13">
        <v>-28797318981.123032</v>
      </c>
      <c r="AZ82" s="13">
        <v>92755383208.973969</v>
      </c>
      <c r="BA82" s="13">
        <v>-11822053876.366688</v>
      </c>
      <c r="BB82" s="13">
        <v>-4254620457.685308</v>
      </c>
      <c r="BC82" s="13">
        <v>120351337519.81042</v>
      </c>
      <c r="BD82" s="13">
        <v>92302106633.734299</v>
      </c>
      <c r="BE82" s="13">
        <v>-928635749980.79199</v>
      </c>
      <c r="BF82" s="13">
        <v>1764335473688.3787</v>
      </c>
      <c r="BG82" s="13">
        <v>-399254051140.60193</v>
      </c>
      <c r="BH82" s="13">
        <v>399186261439.90564</v>
      </c>
      <c r="BI82" s="13">
        <v>-660971891492.32007</v>
      </c>
      <c r="BJ82" s="13">
        <v>-86901244830.622864</v>
      </c>
      <c r="BK82" s="13">
        <v>724106034878.5553</v>
      </c>
      <c r="BL82" s="13">
        <v>372442216856.81818</v>
      </c>
      <c r="BM82" s="13">
        <v>19950630049566.086</v>
      </c>
      <c r="BN82" s="13">
        <v>-1203470130435.3862</v>
      </c>
      <c r="BO82" s="13">
        <v>-134945596542566.77</v>
      </c>
    </row>
    <row r="83" spans="2:67" x14ac:dyDescent="0.2">
      <c r="B83" s="13">
        <v>-34173263.317898862</v>
      </c>
      <c r="C83" s="13">
        <v>56941882.235720091</v>
      </c>
      <c r="D83" s="13">
        <v>9431486.1368891485</v>
      </c>
      <c r="E83" s="13">
        <v>-55149057.519065946</v>
      </c>
      <c r="F83" s="13">
        <v>41095165.286338717</v>
      </c>
      <c r="G83" s="13">
        <v>134799165.50167036</v>
      </c>
      <c r="H83" s="13">
        <v>-66389732.298988059</v>
      </c>
      <c r="I83" s="13">
        <v>-124943299.32885928</v>
      </c>
      <c r="J83" s="13">
        <v>-8696451.4565278608</v>
      </c>
      <c r="K83" s="13">
        <v>218337738.05535269</v>
      </c>
      <c r="L83" s="13">
        <v>-168494212.81986019</v>
      </c>
      <c r="M83" s="13">
        <v>-193198819.62718451</v>
      </c>
      <c r="N83" s="13">
        <v>-639219527.52728474</v>
      </c>
      <c r="O83" s="13">
        <v>-529235611.43822527</v>
      </c>
      <c r="P83" s="13">
        <v>351054241.76627177</v>
      </c>
      <c r="Q83" s="13">
        <v>-728608555.32138145</v>
      </c>
      <c r="R83" s="13">
        <v>1054984148.422219</v>
      </c>
      <c r="S83" s="13">
        <v>93409830.238043636</v>
      </c>
      <c r="T83" s="13">
        <v>-637766976.0897845</v>
      </c>
      <c r="U83" s="13">
        <v>-1767216515.2274051</v>
      </c>
      <c r="V83" s="13">
        <v>-920206005.1864661</v>
      </c>
      <c r="W83" s="13">
        <v>-143002226.1936039</v>
      </c>
      <c r="X83" s="13">
        <v>5638473574.0785255</v>
      </c>
      <c r="Y83" s="13">
        <v>2097319941.9086459</v>
      </c>
      <c r="Z83" s="13">
        <v>645553190.48176014</v>
      </c>
      <c r="AA83" s="13">
        <v>326833120.26008284</v>
      </c>
      <c r="AB83" s="13">
        <v>-8330253407.4422569</v>
      </c>
      <c r="AC83" s="13">
        <v>-3272219540.4421868</v>
      </c>
      <c r="AD83" s="13">
        <v>7684828052.4448643</v>
      </c>
      <c r="AE83" s="13">
        <v>7838174780.1020803</v>
      </c>
      <c r="AF83" s="13">
        <v>-7492756454.278018</v>
      </c>
      <c r="AG83" s="13">
        <v>-29985964743.174168</v>
      </c>
      <c r="AH83" s="13">
        <v>-3511590998.81039</v>
      </c>
      <c r="AI83" s="13">
        <v>15232793830.509037</v>
      </c>
      <c r="AJ83" s="13">
        <v>6061295984.8129425</v>
      </c>
      <c r="AK83" s="13">
        <v>-171707442.59619388</v>
      </c>
      <c r="AL83" s="13">
        <v>6441097860.3653917</v>
      </c>
      <c r="AM83" s="13">
        <v>2745453759.4701042</v>
      </c>
      <c r="AN83" s="13">
        <v>11015038744.2253</v>
      </c>
      <c r="AO83" s="13">
        <v>3333092720.629715</v>
      </c>
      <c r="AP83" s="13">
        <v>-38934931761.763504</v>
      </c>
      <c r="AQ83" s="13">
        <v>32034909402.255192</v>
      </c>
      <c r="AR83" s="13">
        <v>7172870132.4946003</v>
      </c>
      <c r="AS83" s="13">
        <v>4758878524.4512997</v>
      </c>
      <c r="AT83" s="13">
        <v>48320430749.883286</v>
      </c>
      <c r="AU83" s="13">
        <v>-20073524805.162796</v>
      </c>
      <c r="AV83" s="13">
        <v>85270489331.298721</v>
      </c>
      <c r="AW83" s="13">
        <v>-27902821332.579578</v>
      </c>
      <c r="AX83" s="13">
        <v>17831400419.040127</v>
      </c>
      <c r="AY83" s="13">
        <v>22223284148.588783</v>
      </c>
      <c r="AZ83" s="13">
        <v>-71580595357.748566</v>
      </c>
      <c r="BA83" s="13">
        <v>9123240349.758152</v>
      </c>
      <c r="BB83" s="13">
        <v>3283348683.4192133</v>
      </c>
      <c r="BC83" s="13">
        <v>-92876769993.394104</v>
      </c>
      <c r="BD83" s="13">
        <v>-71230795636.863907</v>
      </c>
      <c r="BE83" s="13">
        <v>716640884383.13269</v>
      </c>
      <c r="BF83" s="13">
        <v>-1361561768691.3506</v>
      </c>
      <c r="BG83" s="13">
        <v>308109801205.35876</v>
      </c>
      <c r="BH83" s="13">
        <v>-308057486948.1911</v>
      </c>
      <c r="BI83" s="13">
        <v>510081031104.31116</v>
      </c>
      <c r="BJ83" s="13">
        <v>67062876850.581902</v>
      </c>
      <c r="BK83" s="13">
        <v>-558802511364.52698</v>
      </c>
      <c r="BL83" s="13">
        <v>-287418742682.51843</v>
      </c>
      <c r="BM83" s="13">
        <v>-15396173540606.629</v>
      </c>
      <c r="BN83" s="13">
        <v>928734327344.11401</v>
      </c>
      <c r="BO83" s="13">
        <v>104139358894706.84</v>
      </c>
    </row>
    <row r="84" spans="2:67" x14ac:dyDescent="0.2">
      <c r="B84" s="13">
        <v>-39183744.207322024</v>
      </c>
      <c r="C84" s="13">
        <v>65290696.047234967</v>
      </c>
      <c r="D84" s="13">
        <v>10814329.814270128</v>
      </c>
      <c r="E84" s="13">
        <v>-63235007.525704555</v>
      </c>
      <c r="F84" s="13">
        <v>47120534.840376772</v>
      </c>
      <c r="G84" s="13">
        <v>154563407.39779994</v>
      </c>
      <c r="H84" s="13">
        <v>-76123789.068224013</v>
      </c>
      <c r="I84" s="13">
        <v>-143262474.99073869</v>
      </c>
      <c r="J84" s="13">
        <v>-9971524.4087959733</v>
      </c>
      <c r="K84" s="13">
        <v>250350398.18304241</v>
      </c>
      <c r="L84" s="13">
        <v>-193198819.62724137</v>
      </c>
      <c r="M84" s="13">
        <v>-221525613.71826017</v>
      </c>
      <c r="N84" s="13">
        <v>-732941838.95938241</v>
      </c>
      <c r="O84" s="13">
        <v>-606832090.66971183</v>
      </c>
      <c r="P84" s="13">
        <v>402525784.10299635</v>
      </c>
      <c r="Q84" s="13">
        <v>-835437078.20279431</v>
      </c>
      <c r="R84" s="13">
        <v>1209665832.3370492</v>
      </c>
      <c r="S84" s="13">
        <v>107105571.39805879</v>
      </c>
      <c r="T84" s="13">
        <v>-731276314.46034133</v>
      </c>
      <c r="U84" s="13">
        <v>-2026325646.7124884</v>
      </c>
      <c r="V84" s="13">
        <v>-1055126529.5074555</v>
      </c>
      <c r="W84" s="13">
        <v>-163969200.12922251</v>
      </c>
      <c r="X84" s="13">
        <v>6465186078.1835041</v>
      </c>
      <c r="Y84" s="13">
        <v>2404828809.0755329</v>
      </c>
      <c r="Z84" s="13">
        <v>740204142.94885588</v>
      </c>
      <c r="AA84" s="13">
        <v>374753363.84497756</v>
      </c>
      <c r="AB84" s="13">
        <v>-9551634436.0272141</v>
      </c>
      <c r="AC84" s="13">
        <v>-3751992084.3570371</v>
      </c>
      <c r="AD84" s="13">
        <v>8811576871.6134224</v>
      </c>
      <c r="AE84" s="13">
        <v>8987407283.7142143</v>
      </c>
      <c r="AF84" s="13">
        <v>-8591343753.0904751</v>
      </c>
      <c r="AG84" s="13">
        <v>-34382504281.195808</v>
      </c>
      <c r="AH84" s="13">
        <v>-4026460164.8439164</v>
      </c>
      <c r="AI84" s="13">
        <v>17466224734.212841</v>
      </c>
      <c r="AJ84" s="13">
        <v>6950002673.9894562</v>
      </c>
      <c r="AK84" s="13">
        <v>-196883172.85821614</v>
      </c>
      <c r="AL84" s="13">
        <v>7385491067.3086281</v>
      </c>
      <c r="AM84" s="13">
        <v>3147991950.1152525</v>
      </c>
      <c r="AN84" s="13">
        <v>12630062764.839399</v>
      </c>
      <c r="AO84" s="13">
        <v>3821790484.9229865</v>
      </c>
      <c r="AP84" s="13">
        <v>-44643568063.923576</v>
      </c>
      <c r="AQ84" s="13">
        <v>36731865027.343109</v>
      </c>
      <c r="AR84" s="13">
        <v>8224555726.632947</v>
      </c>
      <c r="AS84" s="13">
        <v>5456624878.8366709</v>
      </c>
      <c r="AT84" s="13">
        <v>55405168095.985626</v>
      </c>
      <c r="AU84" s="13">
        <v>-23016703261.916767</v>
      </c>
      <c r="AV84" s="13">
        <v>97772841046.229584</v>
      </c>
      <c r="AW84" s="13">
        <v>-31993930564.580334</v>
      </c>
      <c r="AX84" s="13">
        <v>20445838795.094414</v>
      </c>
      <c r="AY84" s="13">
        <v>25481660134.315948</v>
      </c>
      <c r="AZ84" s="13">
        <v>-82075736011.830933</v>
      </c>
      <c r="BA84" s="13">
        <v>10460889061.035816</v>
      </c>
      <c r="BB84" s="13">
        <v>3764752983.0332351</v>
      </c>
      <c r="BC84" s="13">
        <v>-106494353910.35583</v>
      </c>
      <c r="BD84" s="13">
        <v>-81674648687.357285</v>
      </c>
      <c r="BE84" s="13">
        <v>821714708399.61731</v>
      </c>
      <c r="BF84" s="13">
        <v>-1561193836577.9517</v>
      </c>
      <c r="BG84" s="13">
        <v>353284833344.55432</v>
      </c>
      <c r="BH84" s="13">
        <v>-353224848845.28809</v>
      </c>
      <c r="BI84" s="13">
        <v>584869067438.18835</v>
      </c>
      <c r="BJ84" s="13">
        <v>76895630057.435043</v>
      </c>
      <c r="BK84" s="13">
        <v>-640734086862.59924</v>
      </c>
      <c r="BL84" s="13">
        <v>-329560053691.71967</v>
      </c>
      <c r="BM84" s="13">
        <v>-17653559163812.398</v>
      </c>
      <c r="BN84" s="13">
        <v>1064905273517.7795</v>
      </c>
      <c r="BO84" s="13">
        <v>119408262623515.34</v>
      </c>
    </row>
    <row r="85" spans="2:67" x14ac:dyDescent="0.2">
      <c r="B85" s="13">
        <v>-129643724.05427681</v>
      </c>
      <c r="C85" s="13">
        <v>216021443.40353543</v>
      </c>
      <c r="D85" s="13">
        <v>35780398.695478827</v>
      </c>
      <c r="E85" s="13">
        <v>-209219972.0085023</v>
      </c>
      <c r="F85" s="13">
        <v>155903468.12320158</v>
      </c>
      <c r="G85" s="13">
        <v>511390020.10025668</v>
      </c>
      <c r="H85" s="13">
        <v>-251863922.22023836</v>
      </c>
      <c r="I85" s="13">
        <v>-473999643.23007828</v>
      </c>
      <c r="J85" s="13">
        <v>-32991884.397280108</v>
      </c>
      <c r="K85" s="13">
        <v>828311806.21539283</v>
      </c>
      <c r="L85" s="13">
        <v>-639219527.52688539</v>
      </c>
      <c r="M85" s="13">
        <v>-732941838.95871294</v>
      </c>
      <c r="N85" s="13">
        <v>-2425018625.418323</v>
      </c>
      <c r="O85" s="13">
        <v>-2007770663.5864933</v>
      </c>
      <c r="P85" s="13">
        <v>1331800794.7943954</v>
      </c>
      <c r="Q85" s="13">
        <v>-2764135388.8451734</v>
      </c>
      <c r="R85" s="13">
        <v>4002312350.0836821</v>
      </c>
      <c r="S85" s="13">
        <v>354370554.04823738</v>
      </c>
      <c r="T85" s="13">
        <v>-2419508054.8991747</v>
      </c>
      <c r="U85" s="13">
        <v>-6704321097.8825254</v>
      </c>
      <c r="V85" s="13">
        <v>-3491002082.5379615</v>
      </c>
      <c r="W85" s="13">
        <v>-542510119.05664873</v>
      </c>
      <c r="X85" s="13">
        <v>21390778671.771725</v>
      </c>
      <c r="Y85" s="13">
        <v>7956640408.4381943</v>
      </c>
      <c r="Z85" s="13">
        <v>2449046756.5596237</v>
      </c>
      <c r="AA85" s="13">
        <v>1239912690.2427795</v>
      </c>
      <c r="AB85" s="13">
        <v>-31602632268.856003</v>
      </c>
      <c r="AC85" s="13">
        <v>-12413878159.44018</v>
      </c>
      <c r="AD85" s="13">
        <v>29154070484.152706</v>
      </c>
      <c r="AE85" s="13">
        <v>29735824724.396904</v>
      </c>
      <c r="AF85" s="13">
        <v>-28425405005.991478</v>
      </c>
      <c r="AG85" s="13">
        <v>-113758294094.27431</v>
      </c>
      <c r="AH85" s="13">
        <v>-13321985968.97953</v>
      </c>
      <c r="AI85" s="13">
        <v>57788924094.283142</v>
      </c>
      <c r="AJ85" s="13">
        <v>22994847661.093189</v>
      </c>
      <c r="AK85" s="13">
        <v>-651409615.28901613</v>
      </c>
      <c r="AL85" s="13">
        <v>24435708871.226738</v>
      </c>
      <c r="AM85" s="13">
        <v>10415477336.173994</v>
      </c>
      <c r="AN85" s="13">
        <v>41787950717.719933</v>
      </c>
      <c r="AO85" s="13">
        <v>12644813838.76853</v>
      </c>
      <c r="AP85" s="13">
        <v>-147708151324.21292</v>
      </c>
      <c r="AQ85" s="13">
        <v>121531412321.37476</v>
      </c>
      <c r="AR85" s="13">
        <v>27211846509.688641</v>
      </c>
      <c r="AS85" s="13">
        <v>18053843102.019924</v>
      </c>
      <c r="AT85" s="13">
        <v>183314087743.5806</v>
      </c>
      <c r="AU85" s="13">
        <v>-76153292309.099548</v>
      </c>
      <c r="AV85" s="13">
        <v>323492189961.74878</v>
      </c>
      <c r="AW85" s="13">
        <v>-105855435447.45938</v>
      </c>
      <c r="AX85" s="13">
        <v>67647304676.665398</v>
      </c>
      <c r="AY85" s="13">
        <v>84308873020.391602</v>
      </c>
      <c r="AZ85" s="13">
        <v>-271556592822.13321</v>
      </c>
      <c r="BA85" s="13">
        <v>34611001101.01506</v>
      </c>
      <c r="BB85" s="13">
        <v>12456098990.289377</v>
      </c>
      <c r="BC85" s="13">
        <v>-352348273794.71832</v>
      </c>
      <c r="BD85" s="13">
        <v>-270229551327.77826</v>
      </c>
      <c r="BE85" s="13">
        <v>2718733420245.1777</v>
      </c>
      <c r="BF85" s="13">
        <v>-5165381385471.084</v>
      </c>
      <c r="BG85" s="13">
        <v>1168881697765.7092</v>
      </c>
      <c r="BH85" s="13">
        <v>-1168683232254.301</v>
      </c>
      <c r="BI85" s="13">
        <v>1935103587469.4707</v>
      </c>
      <c r="BJ85" s="13">
        <v>254417642831.40204</v>
      </c>
      <c r="BK85" s="13">
        <v>-2119939143930.1455</v>
      </c>
      <c r="BL85" s="13">
        <v>-1090385656699.4773</v>
      </c>
      <c r="BM85" s="13">
        <v>-58408740640918.125</v>
      </c>
      <c r="BN85" s="13">
        <v>3523356131762.1147</v>
      </c>
      <c r="BO85" s="13">
        <v>395075360001351</v>
      </c>
    </row>
    <row r="86" spans="2:67" x14ac:dyDescent="0.2">
      <c r="B86" s="13">
        <v>-107337264.60683234</v>
      </c>
      <c r="C86" s="13">
        <v>178852860.02502042</v>
      </c>
      <c r="D86" s="13">
        <v>29624034.257321469</v>
      </c>
      <c r="E86" s="13">
        <v>-173221647.71338549</v>
      </c>
      <c r="F86" s="13">
        <v>129078765.15475784</v>
      </c>
      <c r="G86" s="13">
        <v>423400409.89525795</v>
      </c>
      <c r="H86" s="13">
        <v>-208528292.91624427</v>
      </c>
      <c r="I86" s="13">
        <v>-392443409.81468344</v>
      </c>
      <c r="J86" s="13">
        <v>-27315310.874351766</v>
      </c>
      <c r="K86" s="13">
        <v>685792730.57186258</v>
      </c>
      <c r="L86" s="13">
        <v>-529235611.43770379</v>
      </c>
      <c r="M86" s="13">
        <v>-606832090.66894233</v>
      </c>
      <c r="N86" s="13">
        <v>-2007770663.585767</v>
      </c>
      <c r="O86" s="13">
        <v>-1662314258.2296183</v>
      </c>
      <c r="P86" s="13">
        <v>1102651558.0046129</v>
      </c>
      <c r="Q86" s="13">
        <v>-2288539100.5608344</v>
      </c>
      <c r="R86" s="13">
        <v>3313675713.1424179</v>
      </c>
      <c r="S86" s="13">
        <v>293397665.07231665</v>
      </c>
      <c r="T86" s="13">
        <v>-2003208240.1576366</v>
      </c>
      <c r="U86" s="13">
        <v>-5550777663.4928074</v>
      </c>
      <c r="V86" s="13">
        <v>-2890341333.6045074</v>
      </c>
      <c r="W86" s="13">
        <v>-449165994.15243727</v>
      </c>
      <c r="X86" s="13">
        <v>17710287846.063782</v>
      </c>
      <c r="Y86" s="13">
        <v>6587623297.0889874</v>
      </c>
      <c r="Z86" s="13">
        <v>2027664521.8094394</v>
      </c>
      <c r="AA86" s="13">
        <v>1026573692.5708736</v>
      </c>
      <c r="AB86" s="13">
        <v>-26165093041.501621</v>
      </c>
      <c r="AC86" s="13">
        <v>-10277950085.934814</v>
      </c>
      <c r="AD86" s="13">
        <v>24137830047.461491</v>
      </c>
      <c r="AE86" s="13">
        <v>24619487831.119797</v>
      </c>
      <c r="AF86" s="13">
        <v>-23534538528.301342</v>
      </c>
      <c r="AG86" s="13">
        <v>-94185076859.673584</v>
      </c>
      <c r="AH86" s="13">
        <v>-11029809143.937366</v>
      </c>
      <c r="AI86" s="13">
        <v>47845779516.794823</v>
      </c>
      <c r="AJ86" s="13">
        <v>19038361216.574295</v>
      </c>
      <c r="AK86" s="13">
        <v>-539328276.54738569</v>
      </c>
      <c r="AL86" s="13">
        <v>20231308288.133732</v>
      </c>
      <c r="AM86" s="13">
        <v>8623393496.1535091</v>
      </c>
      <c r="AN86" s="13">
        <v>34597928717.873756</v>
      </c>
      <c r="AO86" s="13">
        <v>10469151043.131821</v>
      </c>
      <c r="AP86" s="13">
        <v>-122293532054.32495</v>
      </c>
      <c r="AQ86" s="13">
        <v>100620754745.76172</v>
      </c>
      <c r="AR86" s="13">
        <v>22529784534.855019</v>
      </c>
      <c r="AS86" s="13">
        <v>14947504388.199078</v>
      </c>
      <c r="AT86" s="13">
        <v>151773121960.47803</v>
      </c>
      <c r="AU86" s="13">
        <v>-63050380161.765236</v>
      </c>
      <c r="AV86" s="13">
        <v>267832222851.35602</v>
      </c>
      <c r="AW86" s="13">
        <v>-87641981650.57312</v>
      </c>
      <c r="AX86" s="13">
        <v>56007930156.188187</v>
      </c>
      <c r="AY86" s="13">
        <v>69802714154.832306</v>
      </c>
      <c r="AZ86" s="13">
        <v>-224832648646.05194</v>
      </c>
      <c r="BA86" s="13">
        <v>28655842854.329613</v>
      </c>
      <c r="BB86" s="13">
        <v>10312906413.908312</v>
      </c>
      <c r="BC86" s="13">
        <v>-291723337737.96808</v>
      </c>
      <c r="BD86" s="13">
        <v>-223733937503.65225</v>
      </c>
      <c r="BE86" s="13">
        <v>2250948980777.9268</v>
      </c>
      <c r="BF86" s="13">
        <v>-4276627446571.0874</v>
      </c>
      <c r="BG86" s="13">
        <v>967764270901.45923</v>
      </c>
      <c r="BH86" s="13">
        <v>-967599953314.46301</v>
      </c>
      <c r="BI86" s="13">
        <v>1602150256983.0693</v>
      </c>
      <c r="BJ86" s="13">
        <v>210642621145.32367</v>
      </c>
      <c r="BK86" s="13">
        <v>-1755183064208.3269</v>
      </c>
      <c r="BL86" s="13">
        <v>-902774234620.74451</v>
      </c>
      <c r="BM86" s="13">
        <v>-48358950618345.953</v>
      </c>
      <c r="BN86" s="13">
        <v>2917128555015.106</v>
      </c>
      <c r="BO86" s="13">
        <v>327098814581398.12</v>
      </c>
    </row>
    <row r="87" spans="2:67" x14ac:dyDescent="0.2">
      <c r="B87" s="13">
        <v>71199294.275567502</v>
      </c>
      <c r="C87" s="13">
        <v>-118637245.50444843</v>
      </c>
      <c r="D87" s="13">
        <v>-19650308.217197634</v>
      </c>
      <c r="E87" s="13">
        <v>114901931.92089781</v>
      </c>
      <c r="F87" s="13">
        <v>-85620935.270304948</v>
      </c>
      <c r="G87" s="13">
        <v>-280851300.71931458</v>
      </c>
      <c r="H87" s="13">
        <v>138321647.62690991</v>
      </c>
      <c r="I87" s="13">
        <v>260316805.39180586</v>
      </c>
      <c r="J87" s="13">
        <v>18118878.511107195</v>
      </c>
      <c r="K87" s="13">
        <v>-454902205.81799912</v>
      </c>
      <c r="L87" s="13">
        <v>351054241.76600528</v>
      </c>
      <c r="M87" s="13">
        <v>402525784.10257554</v>
      </c>
      <c r="N87" s="13">
        <v>1331800794.7942035</v>
      </c>
      <c r="O87" s="13">
        <v>1102651558.004843</v>
      </c>
      <c r="P87" s="13">
        <v>-731414323.34186971</v>
      </c>
      <c r="Q87" s="13">
        <v>1518041003.5499454</v>
      </c>
      <c r="R87" s="13">
        <v>-2198037867.8224177</v>
      </c>
      <c r="S87" s="13">
        <v>-194617468.32831785</v>
      </c>
      <c r="T87" s="13">
        <v>1328774433.6252141</v>
      </c>
      <c r="U87" s="13">
        <v>3681959418.0065117</v>
      </c>
      <c r="V87" s="13">
        <v>1917230366.5665355</v>
      </c>
      <c r="W87" s="13">
        <v>297942209.66640949</v>
      </c>
      <c r="X87" s="13">
        <v>-11747644219.147232</v>
      </c>
      <c r="Y87" s="13">
        <v>-4369723147.1730967</v>
      </c>
      <c r="Z87" s="13">
        <v>-1344996851.8312271</v>
      </c>
      <c r="AA87" s="13">
        <v>-680950112.73146534</v>
      </c>
      <c r="AB87" s="13">
        <v>17355912376.195259</v>
      </c>
      <c r="AC87" s="13">
        <v>6817602399.3318415</v>
      </c>
      <c r="AD87" s="13">
        <v>-16011181866.931194</v>
      </c>
      <c r="AE87" s="13">
        <v>-16330676633.453764</v>
      </c>
      <c r="AF87" s="13">
        <v>15611004626.066538</v>
      </c>
      <c r="AG87" s="13">
        <v>62475143448.692505</v>
      </c>
      <c r="AH87" s="13">
        <v>7316327930.6688128</v>
      </c>
      <c r="AI87" s="13">
        <v>-31737213987.534981</v>
      </c>
      <c r="AJ87" s="13">
        <v>-12628586053.043472</v>
      </c>
      <c r="AK87" s="13">
        <v>357748940.32121783</v>
      </c>
      <c r="AL87" s="13">
        <v>-13419895482.362257</v>
      </c>
      <c r="AM87" s="13">
        <v>-5720096682.5334167</v>
      </c>
      <c r="AN87" s="13">
        <v>-22949607642.167221</v>
      </c>
      <c r="AO87" s="13">
        <v>-6944430423.6745558</v>
      </c>
      <c r="AP87" s="13">
        <v>81120132962.51178</v>
      </c>
      <c r="AQ87" s="13">
        <v>-66744077684.653427</v>
      </c>
      <c r="AR87" s="13">
        <v>-14944528025.244898</v>
      </c>
      <c r="AS87" s="13">
        <v>-9915025946.6910725</v>
      </c>
      <c r="AT87" s="13">
        <v>-100674627895.17294</v>
      </c>
      <c r="AU87" s="13">
        <v>41822777837.344017</v>
      </c>
      <c r="AV87" s="13">
        <v>-177659318235.15112</v>
      </c>
      <c r="AW87" s="13">
        <v>58134956813.854462</v>
      </c>
      <c r="AX87" s="13">
        <v>-37151357597.662315</v>
      </c>
      <c r="AY87" s="13">
        <v>-46301757405.148064</v>
      </c>
      <c r="AZ87" s="13">
        <v>149136704501.96799</v>
      </c>
      <c r="BA87" s="13">
        <v>-19008084429.535828</v>
      </c>
      <c r="BB87" s="13">
        <v>-6840789741.5407019</v>
      </c>
      <c r="BC87" s="13">
        <v>193506848220.37527</v>
      </c>
      <c r="BD87" s="13">
        <v>148407903947.74158</v>
      </c>
      <c r="BE87" s="13">
        <v>-1493106606254.3245</v>
      </c>
      <c r="BF87" s="13">
        <v>2836786061123.6538</v>
      </c>
      <c r="BG87" s="13">
        <v>-641940460898.62878</v>
      </c>
      <c r="BH87" s="13">
        <v>641831465235.828</v>
      </c>
      <c r="BI87" s="13">
        <v>-1062743382165.0781</v>
      </c>
      <c r="BJ87" s="13">
        <v>-139724130528.28879</v>
      </c>
      <c r="BK87" s="13">
        <v>1164253588481.3313</v>
      </c>
      <c r="BL87" s="13">
        <v>598831064222.75232</v>
      </c>
      <c r="BM87" s="13">
        <v>32077612267752.402</v>
      </c>
      <c r="BN87" s="13">
        <v>-1934998951109.5508</v>
      </c>
      <c r="BO87" s="13">
        <v>-216972221547831.31</v>
      </c>
    </row>
    <row r="88" spans="2:67" x14ac:dyDescent="0.2">
      <c r="B88" s="13">
        <v>-147773217.83892679</v>
      </c>
      <c r="C88" s="13">
        <v>246230074.35888135</v>
      </c>
      <c r="D88" s="13">
        <v>40783961.504363343</v>
      </c>
      <c r="E88" s="13">
        <v>-238477479.14677525</v>
      </c>
      <c r="F88" s="13">
        <v>177705147.896478</v>
      </c>
      <c r="G88" s="13">
        <v>582903255.76523399</v>
      </c>
      <c r="H88" s="13">
        <v>-287084797.3267414</v>
      </c>
      <c r="I88" s="13">
        <v>-540284175.31181192</v>
      </c>
      <c r="J88" s="13">
        <v>-37605498.879286148</v>
      </c>
      <c r="K88" s="13">
        <v>944143666.58836329</v>
      </c>
      <c r="L88" s="13">
        <v>-728608555.32090163</v>
      </c>
      <c r="M88" s="13">
        <v>-835437078.20199764</v>
      </c>
      <c r="N88" s="13">
        <v>-2764135388.8450418</v>
      </c>
      <c r="O88" s="13">
        <v>-2288539100.5615363</v>
      </c>
      <c r="P88" s="13">
        <v>1518041003.5500913</v>
      </c>
      <c r="Q88" s="13">
        <v>-3150674542.3317728</v>
      </c>
      <c r="R88" s="13">
        <v>4561999272.1220665</v>
      </c>
      <c r="S88" s="13">
        <v>403926047.78622746</v>
      </c>
      <c r="T88" s="13">
        <v>-2757854215.1472235</v>
      </c>
      <c r="U88" s="13">
        <v>-7641859328.6464558</v>
      </c>
      <c r="V88" s="13">
        <v>-3979186921.5994229</v>
      </c>
      <c r="W88" s="13">
        <v>-618375217.06154168</v>
      </c>
      <c r="X88" s="13">
        <v>24382084204.036549</v>
      </c>
      <c r="Y88" s="13">
        <v>9069304086.4638901</v>
      </c>
      <c r="Z88" s="13">
        <v>2791523635.114933</v>
      </c>
      <c r="AA88" s="13">
        <v>1413303184.6453519</v>
      </c>
      <c r="AB88" s="13">
        <v>-36021972499.103043</v>
      </c>
      <c r="AC88" s="13">
        <v>-14149845932.533829</v>
      </c>
      <c r="AD88" s="13">
        <v>33231001654.405472</v>
      </c>
      <c r="AE88" s="13">
        <v>33894108926.13966</v>
      </c>
      <c r="AF88" s="13">
        <v>-32400438947.879856</v>
      </c>
      <c r="AG88" s="13">
        <v>-129666355212.30818</v>
      </c>
      <c r="AH88" s="13">
        <v>-15184944346.300856</v>
      </c>
      <c r="AI88" s="13">
        <v>65870178684.850479</v>
      </c>
      <c r="AJ88" s="13">
        <v>26210467628.960243</v>
      </c>
      <c r="AK88" s="13">
        <v>-742503315.86060524</v>
      </c>
      <c r="AL88" s="13">
        <v>27852820153.194069</v>
      </c>
      <c r="AM88" s="13">
        <v>11871986958.687864</v>
      </c>
      <c r="AN88" s="13">
        <v>47631614946.884895</v>
      </c>
      <c r="AO88" s="13">
        <v>14413075862.866516</v>
      </c>
      <c r="AP88" s="13">
        <v>-168363790700.26135</v>
      </c>
      <c r="AQ88" s="13">
        <v>138526473211.97784</v>
      </c>
      <c r="AR88" s="13">
        <v>31017175350.801922</v>
      </c>
      <c r="AS88" s="13">
        <v>20578508593.378342</v>
      </c>
      <c r="AT88" s="13">
        <v>208948892966.07864</v>
      </c>
      <c r="AU88" s="13">
        <v>-86802636498.628601</v>
      </c>
      <c r="AV88" s="13">
        <v>368729625789.57288</v>
      </c>
      <c r="AW88" s="13">
        <v>-120658353776.09947</v>
      </c>
      <c r="AX88" s="13">
        <v>77107163984.960861</v>
      </c>
      <c r="AY88" s="13">
        <v>96098700878.871674</v>
      </c>
      <c r="AZ88" s="13">
        <v>-309531308511.36053</v>
      </c>
      <c r="BA88" s="13">
        <v>39451034313.851089</v>
      </c>
      <c r="BB88" s="13">
        <v>14197970964.024345</v>
      </c>
      <c r="BC88" s="13">
        <v>-401620970067.28925</v>
      </c>
      <c r="BD88" s="13">
        <v>-308018692352.95532</v>
      </c>
      <c r="BE88" s="13">
        <v>3098923522035.8799</v>
      </c>
      <c r="BF88" s="13">
        <v>-5887712916814.7119</v>
      </c>
      <c r="BG88" s="13">
        <v>1332339154893.9536</v>
      </c>
      <c r="BH88" s="13">
        <v>-1332112935860.1196</v>
      </c>
      <c r="BI88" s="13">
        <v>2205710195836.6826</v>
      </c>
      <c r="BJ88" s="13">
        <v>289995632550.46045</v>
      </c>
      <c r="BK88" s="13">
        <v>-2416393321029.3086</v>
      </c>
      <c r="BL88" s="13">
        <v>-1242866157632.5391</v>
      </c>
      <c r="BM88" s="13">
        <v>-66576670929881.977</v>
      </c>
      <c r="BN88" s="13">
        <v>4016065389860.7925</v>
      </c>
      <c r="BO88" s="13">
        <v>450323050055819</v>
      </c>
    </row>
    <row r="89" spans="2:67" x14ac:dyDescent="0.2">
      <c r="B89" s="13">
        <v>213967295.94275522</v>
      </c>
      <c r="C89" s="13">
        <v>-356527278.49288905</v>
      </c>
      <c r="D89" s="13">
        <v>-59052879.054453984</v>
      </c>
      <c r="E89" s="13">
        <v>345301957.30219144</v>
      </c>
      <c r="F89" s="13">
        <v>-257307044.71656683</v>
      </c>
      <c r="G89" s="13">
        <v>-844011081.68791986</v>
      </c>
      <c r="H89" s="13">
        <v>415682616.15740377</v>
      </c>
      <c r="I89" s="13">
        <v>782301053.75154686</v>
      </c>
      <c r="J89" s="13">
        <v>54450644.209790677</v>
      </c>
      <c r="K89" s="13">
        <v>-1367066849.2922339</v>
      </c>
      <c r="L89" s="13">
        <v>1054984148.4215168</v>
      </c>
      <c r="M89" s="13">
        <v>1209665832.3358786</v>
      </c>
      <c r="N89" s="13">
        <v>4002312350.0834718</v>
      </c>
      <c r="O89" s="13">
        <v>3313675713.1433764</v>
      </c>
      <c r="P89" s="13">
        <v>-2198037867.8225679</v>
      </c>
      <c r="Q89" s="13">
        <v>4561999272.1219692</v>
      </c>
      <c r="R89" s="13">
        <v>-6605517986.4094648</v>
      </c>
      <c r="S89" s="13">
        <v>-584862165.63730061</v>
      </c>
      <c r="T89" s="13">
        <v>3993217564.4636259</v>
      </c>
      <c r="U89" s="13">
        <v>11064981871.73925</v>
      </c>
      <c r="V89" s="13">
        <v>5761638530.3800392</v>
      </c>
      <c r="W89" s="13">
        <v>895372483.6397413</v>
      </c>
      <c r="X89" s="13">
        <v>-35303884579.850281</v>
      </c>
      <c r="Y89" s="13">
        <v>-13131841478.672258</v>
      </c>
      <c r="Z89" s="13">
        <v>-4041968988.1463194</v>
      </c>
      <c r="AA89" s="13">
        <v>-2046383405.476594</v>
      </c>
      <c r="AB89" s="13">
        <v>52157787201.449028</v>
      </c>
      <c r="AC89" s="13">
        <v>20488179904.660591</v>
      </c>
      <c r="AD89" s="13">
        <v>-48116618623.377357</v>
      </c>
      <c r="AE89" s="13">
        <v>-49076760601.538643</v>
      </c>
      <c r="AF89" s="13">
        <v>46914010605.409409</v>
      </c>
      <c r="AG89" s="13">
        <v>187749578747.59467</v>
      </c>
      <c r="AH89" s="13">
        <v>21986944105.049149</v>
      </c>
      <c r="AI89" s="13">
        <v>-95376308526.123459</v>
      </c>
      <c r="AJ89" s="13">
        <v>-37951280793.255608</v>
      </c>
      <c r="AK89" s="13">
        <v>1075102979.0450647</v>
      </c>
      <c r="AL89" s="13">
        <v>-40329314741.320351</v>
      </c>
      <c r="AM89" s="13">
        <v>-17189968413.810089</v>
      </c>
      <c r="AN89" s="13">
        <v>-68967895540.471054</v>
      </c>
      <c r="AO89" s="13">
        <v>-20869322017.184776</v>
      </c>
      <c r="AP89" s="13">
        <v>243781285658.98691</v>
      </c>
      <c r="AQ89" s="13">
        <v>-200578530555.33914</v>
      </c>
      <c r="AR89" s="13">
        <v>-44911122831.203133</v>
      </c>
      <c r="AS89" s="13">
        <v>-29796521336.312756</v>
      </c>
      <c r="AT89" s="13">
        <v>-302546227739.97595</v>
      </c>
      <c r="AU89" s="13">
        <v>125685328397.67422</v>
      </c>
      <c r="AV89" s="13">
        <v>-533899729043.48291</v>
      </c>
      <c r="AW89" s="13">
        <v>174706500054.31274</v>
      </c>
      <c r="AX89" s="13">
        <v>-111646830304.21385</v>
      </c>
      <c r="AY89" s="13">
        <v>-139145506007.07059</v>
      </c>
      <c r="AZ89" s="13">
        <v>448183900034.52466</v>
      </c>
      <c r="BA89" s="13">
        <v>-57122875557.685913</v>
      </c>
      <c r="BB89" s="13">
        <v>-20557862237.639515</v>
      </c>
      <c r="BC89" s="13">
        <v>581524542923.17407</v>
      </c>
      <c r="BD89" s="13">
        <v>445993717035.92889</v>
      </c>
      <c r="BE89" s="13">
        <v>-4487066709653.876</v>
      </c>
      <c r="BF89" s="13">
        <v>8525076671665.5654</v>
      </c>
      <c r="BG89" s="13">
        <v>-1929152050876.4556</v>
      </c>
      <c r="BH89" s="13">
        <v>1928824498403.0854</v>
      </c>
      <c r="BI89" s="13">
        <v>-3193744124530.7129</v>
      </c>
      <c r="BJ89" s="13">
        <v>-419897341549.77319</v>
      </c>
      <c r="BK89" s="13">
        <v>3498801422876.4082</v>
      </c>
      <c r="BL89" s="13">
        <v>1799600190451.656</v>
      </c>
      <c r="BM89" s="13">
        <v>96399269502268.531</v>
      </c>
      <c r="BN89" s="13">
        <v>-5815036475206.71</v>
      </c>
      <c r="BO89" s="13">
        <v>-652042411539335.38</v>
      </c>
    </row>
    <row r="90" spans="2:67" x14ac:dyDescent="0.2">
      <c r="B90" s="13">
        <v>18944975.448355716</v>
      </c>
      <c r="C90" s="13">
        <v>-31567443.557319239</v>
      </c>
      <c r="D90" s="13">
        <v>-5228627.7639340796</v>
      </c>
      <c r="E90" s="13">
        <v>30573537.298795003</v>
      </c>
      <c r="F90" s="13">
        <v>-22782339.813548557</v>
      </c>
      <c r="G90" s="13">
        <v>-74729968.192623347</v>
      </c>
      <c r="H90" s="13">
        <v>36805143.159422256</v>
      </c>
      <c r="I90" s="13">
        <v>69266072.610981345</v>
      </c>
      <c r="J90" s="13">
        <v>4821139.1953403438</v>
      </c>
      <c r="K90" s="13">
        <v>-121042086.28037867</v>
      </c>
      <c r="L90" s="13">
        <v>93409830.238230646</v>
      </c>
      <c r="M90" s="13">
        <v>107105571.39824225</v>
      </c>
      <c r="N90" s="13">
        <v>354370554.04916328</v>
      </c>
      <c r="O90" s="13">
        <v>293397665.07319438</v>
      </c>
      <c r="P90" s="13">
        <v>-194617468.32885677</v>
      </c>
      <c r="Q90" s="13">
        <v>403926047.78730291</v>
      </c>
      <c r="R90" s="13">
        <v>-584862165.63888097</v>
      </c>
      <c r="S90" s="13">
        <v>-51784546.394260414</v>
      </c>
      <c r="T90" s="13">
        <v>353565288.38251352</v>
      </c>
      <c r="U90" s="13">
        <v>979709581.22773421</v>
      </c>
      <c r="V90" s="13">
        <v>510143851.79176199</v>
      </c>
      <c r="W90" s="13">
        <v>79277581.400569007</v>
      </c>
      <c r="X90" s="13">
        <v>-3125857265.5540843</v>
      </c>
      <c r="Y90" s="13">
        <v>-1162712335.6603525</v>
      </c>
      <c r="Z90" s="13">
        <v>-357881810.31498051</v>
      </c>
      <c r="AA90" s="13">
        <v>-181189761.75370345</v>
      </c>
      <c r="AB90" s="13">
        <v>4618126305.7583389</v>
      </c>
      <c r="AC90" s="13">
        <v>1814053234.7001178</v>
      </c>
      <c r="AD90" s="13">
        <v>-4260315364.4348106</v>
      </c>
      <c r="AE90" s="13">
        <v>-4345327732.1372824</v>
      </c>
      <c r="AF90" s="13">
        <v>4153834703.0177255</v>
      </c>
      <c r="AG90" s="13">
        <v>16623620653.214363</v>
      </c>
      <c r="AH90" s="13">
        <v>1946755995.5525408</v>
      </c>
      <c r="AI90" s="13">
        <v>-8444757014.8422518</v>
      </c>
      <c r="AJ90" s="13">
        <v>-3360261574.9752049</v>
      </c>
      <c r="AK90" s="13">
        <v>95191180.641388267</v>
      </c>
      <c r="AL90" s="13">
        <v>-3570816157.9310336</v>
      </c>
      <c r="AM90" s="13">
        <v>-1522024793.8802516</v>
      </c>
      <c r="AN90" s="13">
        <v>-6106517736.6930256</v>
      </c>
      <c r="AO90" s="13">
        <v>-1847800111.3647327</v>
      </c>
      <c r="AP90" s="13">
        <v>21584749441.900158</v>
      </c>
      <c r="AQ90" s="13">
        <v>-17759514696.915886</v>
      </c>
      <c r="AR90" s="13">
        <v>-3976496107.6918116</v>
      </c>
      <c r="AS90" s="13">
        <v>-2638227317.2373514</v>
      </c>
      <c r="AT90" s="13">
        <v>-26787882846.115582</v>
      </c>
      <c r="AU90" s="13">
        <v>11128361697.184109</v>
      </c>
      <c r="AV90" s="13">
        <v>-47272258193.373138</v>
      </c>
      <c r="AW90" s="13">
        <v>15468767502.964655</v>
      </c>
      <c r="AX90" s="13">
        <v>-9885372667.5630951</v>
      </c>
      <c r="AY90" s="13">
        <v>-12320145392.240997</v>
      </c>
      <c r="AZ90" s="13">
        <v>39682854079.445778</v>
      </c>
      <c r="BA90" s="13">
        <v>-5057742456.3599615</v>
      </c>
      <c r="BB90" s="13">
        <v>-1820223011.4120069</v>
      </c>
      <c r="BC90" s="13">
        <v>51489028445.627747</v>
      </c>
      <c r="BD90" s="13">
        <v>39488932093.296097</v>
      </c>
      <c r="BE90" s="13">
        <v>-397291409768.07684</v>
      </c>
      <c r="BF90" s="13">
        <v>754822682291.89575</v>
      </c>
      <c r="BG90" s="13">
        <v>-170809927125.53622</v>
      </c>
      <c r="BH90" s="13">
        <v>170780925217.11618</v>
      </c>
      <c r="BI90" s="13">
        <v>-282778747853.9892</v>
      </c>
      <c r="BJ90" s="13">
        <v>-37178321125.2621</v>
      </c>
      <c r="BK90" s="13">
        <v>309788964527.95074</v>
      </c>
      <c r="BL90" s="13">
        <v>159339217126.73688</v>
      </c>
      <c r="BM90" s="13">
        <v>8535331467550.8135</v>
      </c>
      <c r="BN90" s="13">
        <v>-514871783471.2251</v>
      </c>
      <c r="BO90" s="13">
        <v>-57732783061043.453</v>
      </c>
    </row>
    <row r="91" spans="2:67" x14ac:dyDescent="0.2">
      <c r="B91" s="13">
        <v>-129349123.88530616</v>
      </c>
      <c r="C91" s="13">
        <v>215530559.99330488</v>
      </c>
      <c r="D91" s="13">
        <v>35699091.944689505</v>
      </c>
      <c r="E91" s="13">
        <v>-208744544.14274746</v>
      </c>
      <c r="F91" s="13">
        <v>155549195.77838695</v>
      </c>
      <c r="G91" s="13">
        <v>510227946.19194418</v>
      </c>
      <c r="H91" s="13">
        <v>-251291591.02400744</v>
      </c>
      <c r="I91" s="13">
        <v>-472922534.62130791</v>
      </c>
      <c r="J91" s="13">
        <v>-32916914.183127154</v>
      </c>
      <c r="K91" s="13">
        <v>826429564.7332108</v>
      </c>
      <c r="L91" s="13">
        <v>-637766976.09178722</v>
      </c>
      <c r="M91" s="13">
        <v>-731276314.46242607</v>
      </c>
      <c r="N91" s="13">
        <v>-2419508054.9082804</v>
      </c>
      <c r="O91" s="13">
        <v>-2003208240.1658754</v>
      </c>
      <c r="P91" s="13">
        <v>1328774433.630379</v>
      </c>
      <c r="Q91" s="13">
        <v>-2757854215.1576915</v>
      </c>
      <c r="R91" s="13">
        <v>3993217564.4787998</v>
      </c>
      <c r="S91" s="13">
        <v>353565288.38291562</v>
      </c>
      <c r="T91" s="13">
        <v>-2414010005.3585167</v>
      </c>
      <c r="U91" s="13">
        <v>-6689086314.1980028</v>
      </c>
      <c r="V91" s="13">
        <v>-3483069189.808557</v>
      </c>
      <c r="W91" s="13">
        <v>-541277328.39654124</v>
      </c>
      <c r="X91" s="13">
        <v>21342170634.956039</v>
      </c>
      <c r="Y91" s="13">
        <v>7938559876.2500486</v>
      </c>
      <c r="Z91" s="13">
        <v>2443481584.1508174</v>
      </c>
      <c r="AA91" s="13">
        <v>1237095133.711195</v>
      </c>
      <c r="AB91" s="13">
        <v>-31530818989.771679</v>
      </c>
      <c r="AC91" s="13">
        <v>-12385669077.717199</v>
      </c>
      <c r="AD91" s="13">
        <v>29087821273.241009</v>
      </c>
      <c r="AE91" s="13">
        <v>29668253552.662392</v>
      </c>
      <c r="AF91" s="13">
        <v>-28360811607.631168</v>
      </c>
      <c r="AG91" s="13">
        <v>-113499791709.37175</v>
      </c>
      <c r="AH91" s="13">
        <v>-13291713315.966915</v>
      </c>
      <c r="AI91" s="13">
        <v>57657605535.738708</v>
      </c>
      <c r="AJ91" s="13">
        <v>22942594565.193478</v>
      </c>
      <c r="AK91" s="13">
        <v>-649929362.55274642</v>
      </c>
      <c r="AL91" s="13">
        <v>24380181586.699646</v>
      </c>
      <c r="AM91" s="13">
        <v>10391809381.96199</v>
      </c>
      <c r="AN91" s="13">
        <v>41692992497.405769</v>
      </c>
      <c r="AO91" s="13">
        <v>12616079982.214407</v>
      </c>
      <c r="AP91" s="13">
        <v>-147372501865.65549</v>
      </c>
      <c r="AQ91" s="13">
        <v>121255246433.87726</v>
      </c>
      <c r="AR91" s="13">
        <v>27150010781.900421</v>
      </c>
      <c r="AS91" s="13">
        <v>18012817858.645962</v>
      </c>
      <c r="AT91" s="13">
        <v>182897527969.40631</v>
      </c>
      <c r="AU91" s="13">
        <v>-75980242872.950668</v>
      </c>
      <c r="AV91" s="13">
        <v>322757091878.38593</v>
      </c>
      <c r="AW91" s="13">
        <v>-105614891376.39777</v>
      </c>
      <c r="AX91" s="13">
        <v>67493584108.875572</v>
      </c>
      <c r="AY91" s="13">
        <v>84117290991.795715</v>
      </c>
      <c r="AZ91" s="13">
        <v>-270939512300.43884</v>
      </c>
      <c r="BA91" s="13">
        <v>34532351731.378006</v>
      </c>
      <c r="BB91" s="13">
        <v>12427793982.01829</v>
      </c>
      <c r="BC91" s="13">
        <v>-351547603590.40387</v>
      </c>
      <c r="BD91" s="13">
        <v>-269615486361.12439</v>
      </c>
      <c r="BE91" s="13">
        <v>2712555417201.4526</v>
      </c>
      <c r="BF91" s="13">
        <v>-5153643661891.3936</v>
      </c>
      <c r="BG91" s="13">
        <v>1166225550503.6311</v>
      </c>
      <c r="BH91" s="13">
        <v>-1166027536633.8665</v>
      </c>
      <c r="BI91" s="13">
        <v>1930706291422.0974</v>
      </c>
      <c r="BJ91" s="13">
        <v>253839509003.05673</v>
      </c>
      <c r="BK91" s="13">
        <v>-2115121830555.8276</v>
      </c>
      <c r="BL91" s="13">
        <v>-1087907883143.9635</v>
      </c>
      <c r="BM91" s="13">
        <v>-58276013628546.844</v>
      </c>
      <c r="BN91" s="13">
        <v>3515349718360.1445</v>
      </c>
      <c r="BO91" s="13">
        <v>394177597585779.44</v>
      </c>
    </row>
    <row r="92" spans="2:67" x14ac:dyDescent="0.2">
      <c r="B92" s="13">
        <v>-358419166.46413988</v>
      </c>
      <c r="C92" s="13">
        <v>597223091.57478225</v>
      </c>
      <c r="D92" s="13">
        <v>98920181.20903632</v>
      </c>
      <c r="E92" s="13">
        <v>-578419422.32082117</v>
      </c>
      <c r="F92" s="13">
        <v>431018095.94823658</v>
      </c>
      <c r="G92" s="13">
        <v>1413813017.7929356</v>
      </c>
      <c r="H92" s="13">
        <v>-696314902.42295134</v>
      </c>
      <c r="I92" s="13">
        <v>-1310441814.8276339</v>
      </c>
      <c r="J92" s="13">
        <v>-91210922.796654537</v>
      </c>
      <c r="K92" s="13">
        <v>2289989965.3587718</v>
      </c>
      <c r="L92" s="13">
        <v>-1767216515.2262826</v>
      </c>
      <c r="M92" s="13">
        <v>-2026325646.7106044</v>
      </c>
      <c r="N92" s="13">
        <v>-6704321097.8824301</v>
      </c>
      <c r="O92" s="13">
        <v>-5550777663.4946451</v>
      </c>
      <c r="P92" s="13">
        <v>3681959418.0068965</v>
      </c>
      <c r="Q92" s="13">
        <v>-7641859328.6465893</v>
      </c>
      <c r="R92" s="13">
        <v>11064981871.739655</v>
      </c>
      <c r="S92" s="13">
        <v>979709581.22512746</v>
      </c>
      <c r="T92" s="13">
        <v>-6689086314.172781</v>
      </c>
      <c r="U92" s="13">
        <v>-18535082952.361542</v>
      </c>
      <c r="V92" s="13">
        <v>-9651389341.6507759</v>
      </c>
      <c r="W92" s="13">
        <v>-1499849114.0816941</v>
      </c>
      <c r="X92" s="13">
        <v>59137957641.144302</v>
      </c>
      <c r="Y92" s="13">
        <v>21997304102.848648</v>
      </c>
      <c r="Z92" s="13">
        <v>6770750404.6917849</v>
      </c>
      <c r="AA92" s="13">
        <v>3427921221.3962622</v>
      </c>
      <c r="AB92" s="13">
        <v>-87370130705.999313</v>
      </c>
      <c r="AC92" s="13">
        <v>-34319994237.767578</v>
      </c>
      <c r="AD92" s="13">
        <v>80600721077.866074</v>
      </c>
      <c r="AE92" s="13">
        <v>82209066343.503418</v>
      </c>
      <c r="AF92" s="13">
        <v>-78586218059.000427</v>
      </c>
      <c r="AG92" s="13">
        <v>-314501556053.66583</v>
      </c>
      <c r="AH92" s="13">
        <v>-36830592004.80587</v>
      </c>
      <c r="AI92" s="13">
        <v>159765990646.96951</v>
      </c>
      <c r="AJ92" s="13">
        <v>63572642576.745422</v>
      </c>
      <c r="AK92" s="13">
        <v>-1800917808.0948093</v>
      </c>
      <c r="AL92" s="13">
        <v>67556115573.444817</v>
      </c>
      <c r="AM92" s="13">
        <v>28795120877.090534</v>
      </c>
      <c r="AN92" s="13">
        <v>115528943446.98207</v>
      </c>
      <c r="AO92" s="13">
        <v>34958449931.070244</v>
      </c>
      <c r="AP92" s="13">
        <v>-408360935816.78424</v>
      </c>
      <c r="AQ92" s="13">
        <v>335991486060.64172</v>
      </c>
      <c r="AR92" s="13">
        <v>75231156888.257538</v>
      </c>
      <c r="AS92" s="13">
        <v>49912507861.980469</v>
      </c>
      <c r="AT92" s="13">
        <v>506798790373.4729</v>
      </c>
      <c r="AU92" s="13">
        <v>-210536990911.13846</v>
      </c>
      <c r="AV92" s="13">
        <v>894341796563.31921</v>
      </c>
      <c r="AW92" s="13">
        <v>-292652939550.35352</v>
      </c>
      <c r="AX92" s="13">
        <v>187020935509.46094</v>
      </c>
      <c r="AY92" s="13">
        <v>233084294776.69891</v>
      </c>
      <c r="AZ92" s="13">
        <v>-750758190241.70215</v>
      </c>
      <c r="BA92" s="13">
        <v>95687209365.69278</v>
      </c>
      <c r="BB92" s="13">
        <v>34436719943.53698</v>
      </c>
      <c r="BC92" s="13">
        <v>-974118689656.33704</v>
      </c>
      <c r="BD92" s="13">
        <v>-747089388601.45618</v>
      </c>
      <c r="BE92" s="13">
        <v>7516338900557.9141</v>
      </c>
      <c r="BF92" s="13">
        <v>-14280457493455.451</v>
      </c>
      <c r="BG92" s="13">
        <v>3231545582755.6885</v>
      </c>
      <c r="BH92" s="13">
        <v>-3230996895702.5405</v>
      </c>
      <c r="BI92" s="13">
        <v>5349878830633.4541</v>
      </c>
      <c r="BJ92" s="13">
        <v>703375039137.37659</v>
      </c>
      <c r="BK92" s="13">
        <v>-5860883945322.0215</v>
      </c>
      <c r="BL92" s="13">
        <v>-3014531717976.9746</v>
      </c>
      <c r="BM92" s="13">
        <v>-161479564764834.91</v>
      </c>
      <c r="BN92" s="13">
        <v>9740836875183.7695</v>
      </c>
      <c r="BO92" s="13">
        <v>1092244011466006.4</v>
      </c>
    </row>
    <row r="93" spans="2:67" x14ac:dyDescent="0.2">
      <c r="B93" s="13">
        <v>-186632179.20037884</v>
      </c>
      <c r="C93" s="13">
        <v>310979594.50329918</v>
      </c>
      <c r="D93" s="13">
        <v>51508654.426479444</v>
      </c>
      <c r="E93" s="13">
        <v>-301188349.78703624</v>
      </c>
      <c r="F93" s="13">
        <v>224435114.09884855</v>
      </c>
      <c r="G93" s="13">
        <v>736185531.30581105</v>
      </c>
      <c r="H93" s="13">
        <v>-362577618.06526905</v>
      </c>
      <c r="I93" s="13">
        <v>-682359188.62133563</v>
      </c>
      <c r="J93" s="13">
        <v>-47494372.184508182</v>
      </c>
      <c r="K93" s="13">
        <v>1192418981.9337039</v>
      </c>
      <c r="L93" s="13">
        <v>-920206005.18555629</v>
      </c>
      <c r="M93" s="13">
        <v>-1055126529.5061074</v>
      </c>
      <c r="N93" s="13">
        <v>-3491002082.5366688</v>
      </c>
      <c r="O93" s="13">
        <v>-2890341333.6044655</v>
      </c>
      <c r="P93" s="13">
        <v>1917230366.5661004</v>
      </c>
      <c r="Q93" s="13">
        <v>-3979186921.5981445</v>
      </c>
      <c r="R93" s="13">
        <v>5761638530.3782721</v>
      </c>
      <c r="S93" s="13">
        <v>510143851.79024386</v>
      </c>
      <c r="T93" s="13">
        <v>-3483069189.7941895</v>
      </c>
      <c r="U93" s="13">
        <v>-9651389341.6474476</v>
      </c>
      <c r="V93" s="13">
        <v>-5025567809.0084658</v>
      </c>
      <c r="W93" s="13">
        <v>-780985323.40330362</v>
      </c>
      <c r="X93" s="13">
        <v>30793682204.130039</v>
      </c>
      <c r="Y93" s="13">
        <v>11454199957.27047</v>
      </c>
      <c r="Z93" s="13">
        <v>3525592437.9667878</v>
      </c>
      <c r="AA93" s="13">
        <v>1784950325.1391258</v>
      </c>
      <c r="AB93" s="13">
        <v>-45494436170.098328</v>
      </c>
      <c r="AC93" s="13">
        <v>-17870738827.376469</v>
      </c>
      <c r="AD93" s="13">
        <v>41969541887.098076</v>
      </c>
      <c r="AE93" s="13">
        <v>42807022160.063286</v>
      </c>
      <c r="AF93" s="13">
        <v>-40920571508.904968</v>
      </c>
      <c r="AG93" s="13">
        <v>-163763872749.3381</v>
      </c>
      <c r="AH93" s="13">
        <v>-19178030335.305092</v>
      </c>
      <c r="AI93" s="13">
        <v>83191630879.689148</v>
      </c>
      <c r="AJ93" s="13">
        <v>33102863718.837742</v>
      </c>
      <c r="AK93" s="13">
        <v>-937754580.61090755</v>
      </c>
      <c r="AL93" s="13">
        <v>35177094997.897606</v>
      </c>
      <c r="AM93" s="13">
        <v>14993886105.21699</v>
      </c>
      <c r="AN93" s="13">
        <v>60156990734.835709</v>
      </c>
      <c r="AO93" s="13">
        <v>18203188619.383938</v>
      </c>
      <c r="AP93" s="13">
        <v>-212637320998.60306</v>
      </c>
      <c r="AQ93" s="13">
        <v>174953878316.91125</v>
      </c>
      <c r="AR93" s="13">
        <v>39173560086.339439</v>
      </c>
      <c r="AS93" s="13">
        <v>25989905070.007149</v>
      </c>
      <c r="AT93" s="13">
        <v>263894823471.99954</v>
      </c>
      <c r="AU93" s="13">
        <v>-109628560894.06758</v>
      </c>
      <c r="AV93" s="13">
        <v>465692055725.47266</v>
      </c>
      <c r="AW93" s="13">
        <v>-152387095803.28702</v>
      </c>
      <c r="AX93" s="13">
        <v>97383533069.574722</v>
      </c>
      <c r="AY93" s="13">
        <v>121369150820.09007</v>
      </c>
      <c r="AZ93" s="13">
        <v>-390926742224.41559</v>
      </c>
      <c r="BA93" s="13">
        <v>49825216030.436272</v>
      </c>
      <c r="BB93" s="13">
        <v>17931518979.704689</v>
      </c>
      <c r="BC93" s="13">
        <v>-507232622763.88544</v>
      </c>
      <c r="BD93" s="13">
        <v>-389016363235.80273</v>
      </c>
      <c r="BE93" s="13">
        <v>3913827272287.606</v>
      </c>
      <c r="BF93" s="13">
        <v>-7435966464220.3672</v>
      </c>
      <c r="BG93" s="13">
        <v>1682695711551.469</v>
      </c>
      <c r="BH93" s="13">
        <v>-1682410004959.5574</v>
      </c>
      <c r="BI93" s="13">
        <v>2785731450872.2417</v>
      </c>
      <c r="BJ93" s="13">
        <v>366253896547.08215</v>
      </c>
      <c r="BK93" s="13">
        <v>-3051816546405.8921</v>
      </c>
      <c r="BL93" s="13">
        <v>-1569694582299.2764</v>
      </c>
      <c r="BM93" s="13">
        <v>-84083904790319.25</v>
      </c>
      <c r="BN93" s="13">
        <v>5072143968057.4473</v>
      </c>
      <c r="BO93" s="13">
        <v>568741571737556.62</v>
      </c>
    </row>
    <row r="94" spans="2:67" x14ac:dyDescent="0.2">
      <c r="B94" s="13">
        <v>-29003089.474467672</v>
      </c>
      <c r="C94" s="13">
        <v>48326976.853213981</v>
      </c>
      <c r="D94" s="13">
        <v>8004568.7712761555</v>
      </c>
      <c r="E94" s="13">
        <v>-46805393.877237231</v>
      </c>
      <c r="F94" s="13">
        <v>34877756.470132329</v>
      </c>
      <c r="G94" s="13">
        <v>114405001.99722442</v>
      </c>
      <c r="H94" s="13">
        <v>-56345433.804379128</v>
      </c>
      <c r="I94" s="13">
        <v>-106040258.90159544</v>
      </c>
      <c r="J94" s="13">
        <v>-7380739.6540356185</v>
      </c>
      <c r="K94" s="13">
        <v>185304777.40958664</v>
      </c>
      <c r="L94" s="13">
        <v>-143002226.1932779</v>
      </c>
      <c r="M94" s="13">
        <v>-163969200.12880066</v>
      </c>
      <c r="N94" s="13">
        <v>-542510119.05577075</v>
      </c>
      <c r="O94" s="13">
        <v>-449165994.1518411</v>
      </c>
      <c r="P94" s="13">
        <v>297942209.66593653</v>
      </c>
      <c r="Q94" s="13">
        <v>-618375217.06053662</v>
      </c>
      <c r="R94" s="13">
        <v>895372483.63827443</v>
      </c>
      <c r="S94" s="13">
        <v>79277581.400226071</v>
      </c>
      <c r="T94" s="13">
        <v>-541277328.3936013</v>
      </c>
      <c r="U94" s="13">
        <v>-1499849114.0791485</v>
      </c>
      <c r="V94" s="13">
        <v>-780985323.40229452</v>
      </c>
      <c r="W94" s="13">
        <v>-121366997.40309407</v>
      </c>
      <c r="X94" s="13">
        <v>4785412269.4928198</v>
      </c>
      <c r="Y94" s="13">
        <v>1780010219.3199382</v>
      </c>
      <c r="Z94" s="13">
        <v>547885543.45531428</v>
      </c>
      <c r="AA94" s="13">
        <v>277385573.04386055</v>
      </c>
      <c r="AB94" s="13">
        <v>-7069944788.9422054</v>
      </c>
      <c r="AC94" s="13">
        <v>-2777155790.6331787</v>
      </c>
      <c r="AD94" s="13">
        <v>6522167740.6860142</v>
      </c>
      <c r="AE94" s="13">
        <v>6652314189.2661781</v>
      </c>
      <c r="AF94" s="13">
        <v>-6359155221.3887272</v>
      </c>
      <c r="AG94" s="13">
        <v>-25449299657.182598</v>
      </c>
      <c r="AH94" s="13">
        <v>-2980312034.676681</v>
      </c>
      <c r="AI94" s="13">
        <v>12928179503.856575</v>
      </c>
      <c r="AJ94" s="13">
        <v>5144264630.140789</v>
      </c>
      <c r="AK94" s="13">
        <v>-145729317.02753669</v>
      </c>
      <c r="AL94" s="13">
        <v>5466605159.1538706</v>
      </c>
      <c r="AM94" s="13">
        <v>2330085958.8257751</v>
      </c>
      <c r="AN94" s="13">
        <v>9348541030.0426083</v>
      </c>
      <c r="AO94" s="13">
        <v>2828819287.9658065</v>
      </c>
      <c r="AP94" s="13">
        <v>-33044351049.395626</v>
      </c>
      <c r="AQ94" s="13">
        <v>27188253432.577625</v>
      </c>
      <c r="AR94" s="13">
        <v>6087665445.1884022</v>
      </c>
      <c r="AS94" s="13">
        <v>4038893750.1683345</v>
      </c>
      <c r="AT94" s="13">
        <v>41009890202.143028</v>
      </c>
      <c r="AU94" s="13">
        <v>-17036542005.172817</v>
      </c>
      <c r="AV94" s="13">
        <v>72369665390.56839</v>
      </c>
      <c r="AW94" s="13">
        <v>-23681321159.535507</v>
      </c>
      <c r="AX94" s="13">
        <v>15133635234.632849</v>
      </c>
      <c r="AY94" s="13">
        <v>18861057914.956951</v>
      </c>
      <c r="AZ94" s="13">
        <v>-60750955872.003273</v>
      </c>
      <c r="BA94" s="13">
        <v>7742958399.6596041</v>
      </c>
      <c r="BB94" s="13">
        <v>2786601173.9206266</v>
      </c>
      <c r="BC94" s="13">
        <v>-78825169403.482193</v>
      </c>
      <c r="BD94" s="13">
        <v>-60454078383.83091</v>
      </c>
      <c r="BE94" s="13">
        <v>608218170379.08411</v>
      </c>
      <c r="BF94" s="13">
        <v>-1155567071120.8098</v>
      </c>
      <c r="BG94" s="13">
        <v>261494960184.41187</v>
      </c>
      <c r="BH94" s="13">
        <v>-261450560764.2507</v>
      </c>
      <c r="BI94" s="13">
        <v>432909366804.90332</v>
      </c>
      <c r="BJ94" s="13">
        <v>56916736347.508492</v>
      </c>
      <c r="BK94" s="13">
        <v>-474259630530.41516</v>
      </c>
      <c r="BL94" s="13">
        <v>-243934313010.52908</v>
      </c>
      <c r="BM94" s="13">
        <v>-13066841015837.057</v>
      </c>
      <c r="BN94" s="13">
        <v>788223370519.93994</v>
      </c>
      <c r="BO94" s="13">
        <v>88383808001618.375</v>
      </c>
    </row>
    <row r="95" spans="2:67" x14ac:dyDescent="0.2">
      <c r="B95" s="13">
        <v>1143570683.6854286</v>
      </c>
      <c r="C95" s="13">
        <v>-1905497481.8568676</v>
      </c>
      <c r="D95" s="13">
        <v>-315614313.75219613</v>
      </c>
      <c r="E95" s="13">
        <v>1845502573.8800955</v>
      </c>
      <c r="F95" s="13">
        <v>-1375204522.4802871</v>
      </c>
      <c r="G95" s="13">
        <v>-4510905862.8336105</v>
      </c>
      <c r="H95" s="13">
        <v>2221659396.4133215</v>
      </c>
      <c r="I95" s="13">
        <v>4181090137.8399687</v>
      </c>
      <c r="J95" s="13">
        <v>291017186.29798067</v>
      </c>
      <c r="K95" s="13">
        <v>-7306432343.3263531</v>
      </c>
      <c r="L95" s="13">
        <v>5638473574.0745802</v>
      </c>
      <c r="M95" s="13">
        <v>6465186078.1770782</v>
      </c>
      <c r="N95" s="13">
        <v>21390778671.769947</v>
      </c>
      <c r="O95" s="13">
        <v>17710287846.068516</v>
      </c>
      <c r="P95" s="13">
        <v>-11747644219.147846</v>
      </c>
      <c r="Q95" s="13">
        <v>24382084204.035534</v>
      </c>
      <c r="R95" s="13">
        <v>-35303884579.84948</v>
      </c>
      <c r="S95" s="13">
        <v>-3125857265.5456004</v>
      </c>
      <c r="T95" s="13">
        <v>21342170634.874046</v>
      </c>
      <c r="U95" s="13">
        <v>59137957641.140892</v>
      </c>
      <c r="V95" s="13">
        <v>30793682204.138767</v>
      </c>
      <c r="W95" s="13">
        <v>4785412269.5004311</v>
      </c>
      <c r="X95" s="13">
        <v>-188685318697.07602</v>
      </c>
      <c r="Y95" s="13">
        <v>-70184505868.7612</v>
      </c>
      <c r="Z95" s="13">
        <v>-21602727738.4006</v>
      </c>
      <c r="AA95" s="13">
        <v>-10937111018.887453</v>
      </c>
      <c r="AB95" s="13">
        <v>278762771230.57635</v>
      </c>
      <c r="AC95" s="13">
        <v>109501229138.02579</v>
      </c>
      <c r="AD95" s="13">
        <v>-257164321366.07437</v>
      </c>
      <c r="AE95" s="13">
        <v>-262295901002.72781</v>
      </c>
      <c r="AF95" s="13">
        <v>250736856520.4111</v>
      </c>
      <c r="AG95" s="13">
        <v>1003447340790.9628</v>
      </c>
      <c r="AH95" s="13">
        <v>117511531804.75671</v>
      </c>
      <c r="AI95" s="13">
        <v>-509748697192.21472</v>
      </c>
      <c r="AJ95" s="13">
        <v>-202834605785.61453</v>
      </c>
      <c r="AK95" s="13">
        <v>5746000777.170311</v>
      </c>
      <c r="AL95" s="13">
        <v>-215544257958.01785</v>
      </c>
      <c r="AM95" s="13">
        <v>-91873591452.089371</v>
      </c>
      <c r="AN95" s="13">
        <v>-368606160619.09229</v>
      </c>
      <c r="AO95" s="13">
        <v>-111538283184.80861</v>
      </c>
      <c r="AP95" s="13">
        <v>1302914682743.6399</v>
      </c>
      <c r="AQ95" s="13">
        <v>-1072013021005.1696</v>
      </c>
      <c r="AR95" s="13">
        <v>-240032212469.27466</v>
      </c>
      <c r="AS95" s="13">
        <v>-159250637467.35556</v>
      </c>
      <c r="AT95" s="13">
        <v>-1616990087098.0701</v>
      </c>
      <c r="AU95" s="13">
        <v>671738436901.82068</v>
      </c>
      <c r="AV95" s="13">
        <v>-2853483171209.0786</v>
      </c>
      <c r="AW95" s="13">
        <v>933737236950.17908</v>
      </c>
      <c r="AX95" s="13">
        <v>-596708209541.30933</v>
      </c>
      <c r="AY95" s="13">
        <v>-743677769705.76917</v>
      </c>
      <c r="AZ95" s="13">
        <v>2395365921323.8623</v>
      </c>
      <c r="BA95" s="13">
        <v>-305299207373.77448</v>
      </c>
      <c r="BB95" s="13">
        <v>-109873653684.71558</v>
      </c>
      <c r="BC95" s="13">
        <v>3108018990473.3052</v>
      </c>
      <c r="BD95" s="13">
        <v>2383660258278.5796</v>
      </c>
      <c r="BE95" s="13">
        <v>-23981599254639.418</v>
      </c>
      <c r="BF95" s="13">
        <v>45563167562270.836</v>
      </c>
      <c r="BG95" s="13">
        <v>-10310555732562.396</v>
      </c>
      <c r="BH95" s="13">
        <v>10308805093914.428</v>
      </c>
      <c r="BI95" s="13">
        <v>-17069300875678.42</v>
      </c>
      <c r="BJ95" s="13">
        <v>-2244185438954.73</v>
      </c>
      <c r="BK95" s="13">
        <v>18699711643353.43</v>
      </c>
      <c r="BL95" s="13">
        <v>9618152209139.7285</v>
      </c>
      <c r="BM95" s="13">
        <v>515216019559201.25</v>
      </c>
      <c r="BN95" s="13">
        <v>-31079073128036.449</v>
      </c>
      <c r="BO95" s="13">
        <v>-3484909144972817</v>
      </c>
    </row>
    <row r="96" spans="2:67" x14ac:dyDescent="0.2">
      <c r="B96" s="13">
        <v>425369307.55900729</v>
      </c>
      <c r="C96" s="13">
        <v>-708780100.7613138</v>
      </c>
      <c r="D96" s="13">
        <v>-117397764.7424569</v>
      </c>
      <c r="E96" s="13">
        <v>686464040.35183799</v>
      </c>
      <c r="F96" s="13">
        <v>-511529198.69221085</v>
      </c>
      <c r="G96" s="13">
        <v>-1677903194.5486958</v>
      </c>
      <c r="H96" s="13">
        <v>826381554.32403564</v>
      </c>
      <c r="I96" s="13">
        <v>1555222988.9551232</v>
      </c>
      <c r="J96" s="13">
        <v>108248471.91286485</v>
      </c>
      <c r="K96" s="13">
        <v>-2717743739.7946978</v>
      </c>
      <c r="L96" s="13">
        <v>2097319941.9068131</v>
      </c>
      <c r="M96" s="13">
        <v>2404828809.0727277</v>
      </c>
      <c r="N96" s="13">
        <v>7956640408.436121</v>
      </c>
      <c r="O96" s="13">
        <v>6587623297.0896206</v>
      </c>
      <c r="P96" s="13">
        <v>-4369723147.1725826</v>
      </c>
      <c r="Q96" s="13">
        <v>9069304086.4619617</v>
      </c>
      <c r="R96" s="13">
        <v>-13131841478.669724</v>
      </c>
      <c r="S96" s="13">
        <v>-1162712335.6570051</v>
      </c>
      <c r="T96" s="13">
        <v>7938559876.2182236</v>
      </c>
      <c r="U96" s="13">
        <v>21997304102.84362</v>
      </c>
      <c r="V96" s="13">
        <v>11454199957.271715</v>
      </c>
      <c r="W96" s="13">
        <v>1780010219.3224859</v>
      </c>
      <c r="X96" s="13">
        <v>-70184505868.748993</v>
      </c>
      <c r="Y96" s="13">
        <v>-26106243442.887989</v>
      </c>
      <c r="Z96" s="13">
        <v>-8035478235.674593</v>
      </c>
      <c r="AA96" s="13">
        <v>-4068232429.5849786</v>
      </c>
      <c r="AB96" s="13">
        <v>103690247278.66884</v>
      </c>
      <c r="AC96" s="13">
        <v>40730724107.721626</v>
      </c>
      <c r="AD96" s="13">
        <v>-95656360266.867401</v>
      </c>
      <c r="AE96" s="13">
        <v>-97565132942.746185</v>
      </c>
      <c r="AF96" s="13">
        <v>93265562468.12764</v>
      </c>
      <c r="AG96" s="13">
        <v>373248201104.53943</v>
      </c>
      <c r="AH96" s="13">
        <v>43710283612.266953</v>
      </c>
      <c r="AI96" s="13">
        <v>-189609136931.92532</v>
      </c>
      <c r="AJ96" s="13">
        <v>-75447558286.276688</v>
      </c>
      <c r="AK96" s="13">
        <v>2137316395.8999784</v>
      </c>
      <c r="AL96" s="13">
        <v>-80175115595.298416</v>
      </c>
      <c r="AM96" s="13">
        <v>-34173843853.814953</v>
      </c>
      <c r="AN96" s="13">
        <v>-137108925177.62547</v>
      </c>
      <c r="AO96" s="13">
        <v>-41488438765.583122</v>
      </c>
      <c r="AP96" s="13">
        <v>484639842828.96326</v>
      </c>
      <c r="AQ96" s="13">
        <v>-398752296594.50421</v>
      </c>
      <c r="AR96" s="13">
        <v>-89283799825.160492</v>
      </c>
      <c r="AS96" s="13">
        <v>-59235807943.219757</v>
      </c>
      <c r="AT96" s="13">
        <v>-601465185745.20581</v>
      </c>
      <c r="AU96" s="13">
        <v>249863797528.58392</v>
      </c>
      <c r="AV96" s="13">
        <v>-1061398458339.7124</v>
      </c>
      <c r="AW96" s="13">
        <v>347318419044.71942</v>
      </c>
      <c r="AX96" s="13">
        <v>-221955110887.19846</v>
      </c>
      <c r="AY96" s="13">
        <v>-276622776761.87885</v>
      </c>
      <c r="AZ96" s="13">
        <v>890994459577.94055</v>
      </c>
      <c r="BA96" s="13">
        <v>-113560896815.30927</v>
      </c>
      <c r="BB96" s="13">
        <v>-40869253336.918839</v>
      </c>
      <c r="BC96" s="13">
        <v>1156077105452.8572</v>
      </c>
      <c r="BD96" s="13">
        <v>886640351990.40942</v>
      </c>
      <c r="BE96" s="13">
        <v>-8920337338670.0117</v>
      </c>
      <c r="BF96" s="13">
        <v>16947944987174.211</v>
      </c>
      <c r="BG96" s="13">
        <v>-3835175223812.2935</v>
      </c>
      <c r="BH96" s="13">
        <v>3834524045682.9316</v>
      </c>
      <c r="BI96" s="13">
        <v>-6349197996731.6309</v>
      </c>
      <c r="BJ96" s="13">
        <v>-834760474046.04431</v>
      </c>
      <c r="BK96" s="13">
        <v>6955655218188.3672</v>
      </c>
      <c r="BL96" s="13">
        <v>3577624718384.5576</v>
      </c>
      <c r="BM96" s="13">
        <v>191642794457649.78</v>
      </c>
      <c r="BN96" s="13">
        <v>-11560355651367.498</v>
      </c>
      <c r="BO96" s="13">
        <v>-1296267393906825.2</v>
      </c>
    </row>
    <row r="97" spans="2:67" x14ac:dyDescent="0.2">
      <c r="B97" s="13">
        <v>130928290.01936708</v>
      </c>
      <c r="C97" s="13">
        <v>-218161877.08966741</v>
      </c>
      <c r="D97" s="13">
        <v>-36134926.336064868</v>
      </c>
      <c r="E97" s="13">
        <v>211293013.77488786</v>
      </c>
      <c r="F97" s="13">
        <v>-157448226.97341785</v>
      </c>
      <c r="G97" s="13">
        <v>-516457093.09384775</v>
      </c>
      <c r="H97" s="13">
        <v>254359498.68865788</v>
      </c>
      <c r="I97" s="13">
        <v>478696236.26490366</v>
      </c>
      <c r="J97" s="13">
        <v>33318782.207024161</v>
      </c>
      <c r="K97" s="13">
        <v>-836519077.06141663</v>
      </c>
      <c r="L97" s="13">
        <v>645553190.4825573</v>
      </c>
      <c r="M97" s="13">
        <v>740204142.94954205</v>
      </c>
      <c r="N97" s="13">
        <v>2449046756.5641074</v>
      </c>
      <c r="O97" s="13">
        <v>2027664521.8139117</v>
      </c>
      <c r="P97" s="13">
        <v>-1344996851.8339109</v>
      </c>
      <c r="Q97" s="13">
        <v>2791523635.1202092</v>
      </c>
      <c r="R97" s="13">
        <v>-4041968988.1540766</v>
      </c>
      <c r="S97" s="13">
        <v>-357881810.31470603</v>
      </c>
      <c r="T97" s="13">
        <v>2443481584.1461153</v>
      </c>
      <c r="U97" s="13">
        <v>6770750404.7044868</v>
      </c>
      <c r="V97" s="13">
        <v>3525592437.9745736</v>
      </c>
      <c r="W97" s="13">
        <v>547885543.45723855</v>
      </c>
      <c r="X97" s="13">
        <v>-21602727738.442318</v>
      </c>
      <c r="Y97" s="13">
        <v>-8035478235.6914215</v>
      </c>
      <c r="Z97" s="13">
        <v>-2473312967.9275174</v>
      </c>
      <c r="AA97" s="13">
        <v>-1252198280.1264293</v>
      </c>
      <c r="AB97" s="13">
        <v>31915764787.006599</v>
      </c>
      <c r="AC97" s="13">
        <v>12536880222.638418</v>
      </c>
      <c r="AD97" s="13">
        <v>-29442941593.746025</v>
      </c>
      <c r="AE97" s="13">
        <v>-30030460111.999771</v>
      </c>
      <c r="AF97" s="13">
        <v>28707056187.949135</v>
      </c>
      <c r="AG97" s="13">
        <v>114885460368.11406</v>
      </c>
      <c r="AH97" s="13">
        <v>13453985953.922806</v>
      </c>
      <c r="AI97" s="13">
        <v>-58361521691.325043</v>
      </c>
      <c r="AJ97" s="13">
        <v>-23222690535.191242</v>
      </c>
      <c r="AK97" s="13">
        <v>657864062.50884879</v>
      </c>
      <c r="AL97" s="13">
        <v>-24677828419.756165</v>
      </c>
      <c r="AM97" s="13">
        <v>-10518678378.19298</v>
      </c>
      <c r="AN97" s="13">
        <v>-42202003767.006134</v>
      </c>
      <c r="AO97" s="13">
        <v>-12770104112.099924</v>
      </c>
      <c r="AP97" s="13">
        <v>149171707433.12714</v>
      </c>
      <c r="AQ97" s="13">
        <v>-122735598003.97411</v>
      </c>
      <c r="AR97" s="13">
        <v>-27481473230.534149</v>
      </c>
      <c r="AS97" s="13">
        <v>-18232728370.131332</v>
      </c>
      <c r="AT97" s="13">
        <v>-185130442836.14639</v>
      </c>
      <c r="AU97" s="13">
        <v>76907851989.165771</v>
      </c>
      <c r="AV97" s="13">
        <v>-326697490186.23663</v>
      </c>
      <c r="AW97" s="13">
        <v>106904296782.46049</v>
      </c>
      <c r="AX97" s="13">
        <v>-68317583365.683701</v>
      </c>
      <c r="AY97" s="13">
        <v>-85144241720.90892</v>
      </c>
      <c r="AZ97" s="13">
        <v>274247292738.19531</v>
      </c>
      <c r="BA97" s="13">
        <v>-34953941898.152756</v>
      </c>
      <c r="BB97" s="13">
        <v>-12579519407.693638</v>
      </c>
      <c r="BC97" s="13">
        <v>355839492508.27899</v>
      </c>
      <c r="BD97" s="13">
        <v>272907102341.86929</v>
      </c>
      <c r="BE97" s="13">
        <v>-2745671804228.957</v>
      </c>
      <c r="BF97" s="13">
        <v>5216562213487.6562</v>
      </c>
      <c r="BG97" s="13">
        <v>-1180463481621.2651</v>
      </c>
      <c r="BH97" s="13">
        <v>1180263050098.9368</v>
      </c>
      <c r="BI97" s="13">
        <v>-1954277428926.9321</v>
      </c>
      <c r="BJ97" s="13">
        <v>-256938522998.75958</v>
      </c>
      <c r="BK97" s="13">
        <v>2140944415720.4265</v>
      </c>
      <c r="BL97" s="13">
        <v>1101189668370.406</v>
      </c>
      <c r="BM97" s="13">
        <v>58987479652919.578</v>
      </c>
      <c r="BN97" s="13">
        <v>-3558267065125.7676</v>
      </c>
      <c r="BO97" s="13">
        <v>-398989937187955.94</v>
      </c>
    </row>
    <row r="98" spans="2:67" x14ac:dyDescent="0.2">
      <c r="B98" s="13">
        <v>66286871.768346287</v>
      </c>
      <c r="C98" s="13">
        <v>-110451823.43124108</v>
      </c>
      <c r="D98" s="13">
        <v>-18294527.697165731</v>
      </c>
      <c r="E98" s="13">
        <v>106974229.2400292</v>
      </c>
      <c r="F98" s="13">
        <v>-79713486.13879554</v>
      </c>
      <c r="G98" s="13">
        <v>-261473857.93979657</v>
      </c>
      <c r="H98" s="13">
        <v>128778092.72160579</v>
      </c>
      <c r="I98" s="13">
        <v>242356147.96867907</v>
      </c>
      <c r="J98" s="13">
        <v>16868759.562870756</v>
      </c>
      <c r="K98" s="13">
        <v>-423516054.35334796</v>
      </c>
      <c r="L98" s="13">
        <v>326833120.2601462</v>
      </c>
      <c r="M98" s="13">
        <v>374753363.84493071</v>
      </c>
      <c r="N98" s="13">
        <v>1239912690.2438753</v>
      </c>
      <c r="O98" s="13">
        <v>1026573692.5720359</v>
      </c>
      <c r="P98" s="13">
        <v>-680950112.73201871</v>
      </c>
      <c r="Q98" s="13">
        <v>1413303184.6464841</v>
      </c>
      <c r="R98" s="13">
        <v>-2046383405.478143</v>
      </c>
      <c r="S98" s="13">
        <v>-181189761.75335222</v>
      </c>
      <c r="T98" s="13">
        <v>1237095133.7075171</v>
      </c>
      <c r="U98" s="13">
        <v>3427921221.3986988</v>
      </c>
      <c r="V98" s="13">
        <v>1784950325.141211</v>
      </c>
      <c r="W98" s="13">
        <v>277385573.04455316</v>
      </c>
      <c r="X98" s="13">
        <v>-10937111018.896635</v>
      </c>
      <c r="Y98" s="13">
        <v>-4068232429.5890059</v>
      </c>
      <c r="Z98" s="13">
        <v>-1252198280.1250484</v>
      </c>
      <c r="AA98" s="13">
        <v>-633967699.17410076</v>
      </c>
      <c r="AB98" s="13">
        <v>16158434570.146574</v>
      </c>
      <c r="AC98" s="13">
        <v>6347219317.7866087</v>
      </c>
      <c r="AD98" s="13">
        <v>-14906484257.429071</v>
      </c>
      <c r="AE98" s="13">
        <v>-15203935361.067085</v>
      </c>
      <c r="AF98" s="13">
        <v>14533917397.181559</v>
      </c>
      <c r="AG98" s="13">
        <v>58164647062.601746</v>
      </c>
      <c r="AH98" s="13">
        <v>6811535089.6967888</v>
      </c>
      <c r="AI98" s="13">
        <v>-29547492784.159779</v>
      </c>
      <c r="AJ98" s="13">
        <v>-11757271933.672119</v>
      </c>
      <c r="AK98" s="13">
        <v>333065915.37491685</v>
      </c>
      <c r="AL98" s="13">
        <v>-12493984667.173016</v>
      </c>
      <c r="AM98" s="13">
        <v>-5325436425.4723759</v>
      </c>
      <c r="AN98" s="13">
        <v>-21366190696.286446</v>
      </c>
      <c r="AO98" s="13">
        <v>-6465296794.6444044</v>
      </c>
      <c r="AP98" s="13">
        <v>75523218401.60437</v>
      </c>
      <c r="AQ98" s="13">
        <v>-62139044548.670174</v>
      </c>
      <c r="AR98" s="13">
        <v>-13913424606.212648</v>
      </c>
      <c r="AS98" s="13">
        <v>-9230934943.5519524</v>
      </c>
      <c r="AT98" s="13">
        <v>-93728543488.810516</v>
      </c>
      <c r="AU98" s="13">
        <v>38937199302.91436</v>
      </c>
      <c r="AV98" s="13">
        <v>-165401645708.63992</v>
      </c>
      <c r="AW98" s="13">
        <v>54123913260.668091</v>
      </c>
      <c r="AX98" s="13">
        <v>-34588085488.237495</v>
      </c>
      <c r="AY98" s="13">
        <v>-43107149964.489555</v>
      </c>
      <c r="AZ98" s="13">
        <v>138846960607.72644</v>
      </c>
      <c r="BA98" s="13">
        <v>-17696614413.756065</v>
      </c>
      <c r="BB98" s="13">
        <v>-6368806846.0832109</v>
      </c>
      <c r="BC98" s="13">
        <v>180155769289.64529</v>
      </c>
      <c r="BD98" s="13">
        <v>138168443921.76361</v>
      </c>
      <c r="BE98" s="13">
        <v>-1390089145599.4988</v>
      </c>
      <c r="BF98" s="13">
        <v>2641060923261.5332</v>
      </c>
      <c r="BG98" s="13">
        <v>-597649533292.61731</v>
      </c>
      <c r="BH98" s="13">
        <v>597548058145.02368</v>
      </c>
      <c r="BI98" s="13">
        <v>-989418996568.07996</v>
      </c>
      <c r="BJ98" s="13">
        <v>-130083810885.8575</v>
      </c>
      <c r="BK98" s="13">
        <v>1083925467345.6803</v>
      </c>
      <c r="BL98" s="13">
        <v>557514486205.07751</v>
      </c>
      <c r="BM98" s="13">
        <v>29864405157214.074</v>
      </c>
      <c r="BN98" s="13">
        <v>-1801492959424.7788</v>
      </c>
      <c r="BO98" s="13">
        <v>-202002140249213.69</v>
      </c>
    </row>
    <row r="99" spans="2:67" x14ac:dyDescent="0.2">
      <c r="B99" s="13">
        <v>-1689505760.6035342</v>
      </c>
      <c r="C99" s="13">
        <v>2815172702.7896852</v>
      </c>
      <c r="D99" s="13">
        <v>466287050.58308387</v>
      </c>
      <c r="E99" s="13">
        <v>-2726536517.8565655</v>
      </c>
      <c r="F99" s="13">
        <v>2031720466.3699188</v>
      </c>
      <c r="G99" s="13">
        <v>6664390360.3785801</v>
      </c>
      <c r="H99" s="13">
        <v>-3282268776.1921587</v>
      </c>
      <c r="I99" s="13">
        <v>-6177122214.0565577</v>
      </c>
      <c r="J99" s="13">
        <v>-429947374.18535405</v>
      </c>
      <c r="K99" s="13">
        <v>10794487572.674032</v>
      </c>
      <c r="L99" s="13">
        <v>-8330253407.4385605</v>
      </c>
      <c r="M99" s="13">
        <v>-9551634436.0201054</v>
      </c>
      <c r="N99" s="13">
        <v>-31602632268.861969</v>
      </c>
      <c r="O99" s="13">
        <v>-26165093041.515175</v>
      </c>
      <c r="P99" s="13">
        <v>17355912376.200058</v>
      </c>
      <c r="Q99" s="13">
        <v>-36021972499.110168</v>
      </c>
      <c r="R99" s="13">
        <v>52157787201.459625</v>
      </c>
      <c r="S99" s="13">
        <v>4618126305.7468357</v>
      </c>
      <c r="T99" s="13">
        <v>-31530818989.658829</v>
      </c>
      <c r="U99" s="13">
        <v>-87370130706.013947</v>
      </c>
      <c r="V99" s="13">
        <v>-45494436170.122543</v>
      </c>
      <c r="W99" s="13">
        <v>-7069944788.9553995</v>
      </c>
      <c r="X99" s="13">
        <v>278762771230.64355</v>
      </c>
      <c r="Y99" s="13">
        <v>103690247278.711</v>
      </c>
      <c r="Z99" s="13">
        <v>31915764786.952335</v>
      </c>
      <c r="AA99" s="13">
        <v>16158434570.137428</v>
      </c>
      <c r="AB99" s="13">
        <v>-411842761049.18762</v>
      </c>
      <c r="AC99" s="13">
        <v>-161776582825.21667</v>
      </c>
      <c r="AD99" s="13">
        <v>379933316376.50739</v>
      </c>
      <c r="AE99" s="13">
        <v>387514687159.10748</v>
      </c>
      <c r="AF99" s="13">
        <v>-370437411106.35938</v>
      </c>
      <c r="AG99" s="13">
        <v>-1482488216014.3096</v>
      </c>
      <c r="AH99" s="13">
        <v>-173610964980.97131</v>
      </c>
      <c r="AI99" s="13">
        <v>753100243517.5376</v>
      </c>
      <c r="AJ99" s="13">
        <v>299666859084.10938</v>
      </c>
      <c r="AK99" s="13">
        <v>-8489113571.5527411</v>
      </c>
      <c r="AL99" s="13">
        <v>318444037330.86469</v>
      </c>
      <c r="AM99" s="13">
        <v>135733596717.48428</v>
      </c>
      <c r="AN99" s="13">
        <v>544576947141.81744</v>
      </c>
      <c r="AO99" s="13">
        <v>164786116559.23779</v>
      </c>
      <c r="AP99" s="13">
        <v>-1924919809054.803</v>
      </c>
      <c r="AQ99" s="13">
        <v>1583786818143.125</v>
      </c>
      <c r="AR99" s="13">
        <v>354622422113.24127</v>
      </c>
      <c r="AS99" s="13">
        <v>235276116480.15271</v>
      </c>
      <c r="AT99" s="13">
        <v>2388933282384.5972</v>
      </c>
      <c r="AU99" s="13">
        <v>-992423096318.72974</v>
      </c>
      <c r="AV99" s="13">
        <v>4215722144974.3887</v>
      </c>
      <c r="AW99" s="13">
        <v>-1379498847972.3804</v>
      </c>
      <c r="AX99" s="13">
        <v>881573803707.17432</v>
      </c>
      <c r="AY99" s="13">
        <v>1098705916362.3721</v>
      </c>
      <c r="AZ99" s="13">
        <v>-3538901950349.0249</v>
      </c>
      <c r="BA99" s="13">
        <v>451047562812.55438</v>
      </c>
      <c r="BB99" s="13">
        <v>162326801068.03543</v>
      </c>
      <c r="BC99" s="13">
        <v>-4591772125040.959</v>
      </c>
      <c r="BD99" s="13">
        <v>-3521608060770.1499</v>
      </c>
      <c r="BE99" s="13">
        <v>35430297984492.648</v>
      </c>
      <c r="BF99" s="13">
        <v>-67314801932894.305</v>
      </c>
      <c r="BG99" s="13">
        <v>15232764840786.322</v>
      </c>
      <c r="BH99" s="13">
        <v>-15230178457504.35</v>
      </c>
      <c r="BI99" s="13">
        <v>25218102012021.762</v>
      </c>
      <c r="BJ99" s="13">
        <v>3315548642430.9565</v>
      </c>
      <c r="BK99" s="13">
        <v>-27626862942132.578</v>
      </c>
      <c r="BL99" s="13">
        <v>-14209811247924.656</v>
      </c>
      <c r="BM99" s="13">
        <v>-761177638978521.25</v>
      </c>
      <c r="BN99" s="13">
        <v>45916071331772.672</v>
      </c>
      <c r="BO99" s="13">
        <v>5148587804578772</v>
      </c>
    </row>
    <row r="100" spans="2:67" x14ac:dyDescent="0.2">
      <c r="B100" s="13">
        <v>-663657333.46496665</v>
      </c>
      <c r="C100" s="13">
        <v>1105832281.0964408</v>
      </c>
      <c r="D100" s="13">
        <v>183162927.18442884</v>
      </c>
      <c r="E100" s="13">
        <v>-1071014966.1537043</v>
      </c>
      <c r="F100" s="13">
        <v>798083213.7124635</v>
      </c>
      <c r="G100" s="13">
        <v>2617849337.3184495</v>
      </c>
      <c r="H100" s="13">
        <v>-1289313001.7081795</v>
      </c>
      <c r="I100" s="13">
        <v>-2426444793.8559852</v>
      </c>
      <c r="J100" s="13">
        <v>-168888283.54453212</v>
      </c>
      <c r="K100" s="13">
        <v>4240199119.5353594</v>
      </c>
      <c r="L100" s="13">
        <v>-3272219540.4369488</v>
      </c>
      <c r="M100" s="13">
        <v>-3751992084.3499589</v>
      </c>
      <c r="N100" s="13">
        <v>-12413878159.42798</v>
      </c>
      <c r="O100" s="13">
        <v>-10277950085.928251</v>
      </c>
      <c r="P100" s="13">
        <v>6817602399.3260403</v>
      </c>
      <c r="Q100" s="13">
        <v>-14149845932.520567</v>
      </c>
      <c r="R100" s="13">
        <v>20488179904.641891</v>
      </c>
      <c r="S100" s="13">
        <v>1814053234.6935561</v>
      </c>
      <c r="T100" s="13">
        <v>-12385669077.658587</v>
      </c>
      <c r="U100" s="13">
        <v>-34319994237.734905</v>
      </c>
      <c r="V100" s="13">
        <v>-17870738827.365467</v>
      </c>
      <c r="W100" s="13">
        <v>-2777155790.6352453</v>
      </c>
      <c r="X100" s="13">
        <v>109501229137.92776</v>
      </c>
      <c r="Y100" s="13">
        <v>40730724107.692131</v>
      </c>
      <c r="Z100" s="13">
        <v>12536880222.602882</v>
      </c>
      <c r="AA100" s="13">
        <v>6347219317.7761269</v>
      </c>
      <c r="AB100" s="13">
        <v>-161776582825.03595</v>
      </c>
      <c r="AC100" s="13">
        <v>-63547706122.68203</v>
      </c>
      <c r="AD100" s="13">
        <v>149242185218.0369</v>
      </c>
      <c r="AE100" s="13">
        <v>152220235019.26166</v>
      </c>
      <c r="AF100" s="13">
        <v>-145512084187.88293</v>
      </c>
      <c r="AG100" s="13">
        <v>-582338456168.54333</v>
      </c>
      <c r="AH100" s="13">
        <v>-68196387824.6679</v>
      </c>
      <c r="AI100" s="13">
        <v>295826454755.2182</v>
      </c>
      <c r="AJ100" s="13">
        <v>117712595759.99242</v>
      </c>
      <c r="AK100" s="13">
        <v>-3334621645.8282065</v>
      </c>
      <c r="AL100" s="13">
        <v>125088487769.76901</v>
      </c>
      <c r="AM100" s="13">
        <v>53317721056.455772</v>
      </c>
      <c r="AN100" s="13">
        <v>213916100808.76349</v>
      </c>
      <c r="AO100" s="13">
        <v>64729885657.122696</v>
      </c>
      <c r="AP100" s="13">
        <v>-756130684717.64795</v>
      </c>
      <c r="AQ100" s="13">
        <v>622129714503.22571</v>
      </c>
      <c r="AR100" s="13">
        <v>139299774244.18799</v>
      </c>
      <c r="AS100" s="13">
        <v>92419169992.378723</v>
      </c>
      <c r="AT100" s="13">
        <v>938400524558.97241</v>
      </c>
      <c r="AU100" s="13">
        <v>-389835229409.61591</v>
      </c>
      <c r="AV100" s="13">
        <v>1655984242603.1838</v>
      </c>
      <c r="AW100" s="13">
        <v>-541883045510.05524</v>
      </c>
      <c r="AX100" s="13">
        <v>346292349787.53394</v>
      </c>
      <c r="AY100" s="13">
        <v>431584345977.69409</v>
      </c>
      <c r="AZ100" s="13">
        <v>-1390121470138.4253</v>
      </c>
      <c r="BA100" s="13">
        <v>177176680611.20901</v>
      </c>
      <c r="BB100" s="13">
        <v>63763838165.469589</v>
      </c>
      <c r="BC100" s="13">
        <v>-1803701008647.0166</v>
      </c>
      <c r="BD100" s="13">
        <v>-1383328231005.0574</v>
      </c>
      <c r="BE100" s="13">
        <v>13917429364559.812</v>
      </c>
      <c r="BF100" s="13">
        <v>-26442029967779.844</v>
      </c>
      <c r="BG100" s="13">
        <v>5983605580464.6729</v>
      </c>
      <c r="BH100" s="13">
        <v>-5982589618122.9131</v>
      </c>
      <c r="BI100" s="13">
        <v>9905961096101.2012</v>
      </c>
      <c r="BJ100" s="13">
        <v>1302385716024.8994</v>
      </c>
      <c r="BK100" s="13">
        <v>-10852150149390.141</v>
      </c>
      <c r="BL100" s="13">
        <v>-5581777618989.7725</v>
      </c>
      <c r="BM100" s="13">
        <v>-298999348768739.38</v>
      </c>
      <c r="BN100" s="13">
        <v>18036361977750.301</v>
      </c>
      <c r="BO100" s="13">
        <v>2022424624444163.8</v>
      </c>
    </row>
    <row r="101" spans="2:67" x14ac:dyDescent="0.2">
      <c r="B101" s="13">
        <v>1558603397.6171048</v>
      </c>
      <c r="C101" s="13">
        <v>-2597054027.1382303</v>
      </c>
      <c r="D101" s="13">
        <v>-430159279.88171858</v>
      </c>
      <c r="E101" s="13">
        <v>2515285345.2799826</v>
      </c>
      <c r="F101" s="13">
        <v>-1874303418.0498307</v>
      </c>
      <c r="G101" s="13">
        <v>-6148035538.4679947</v>
      </c>
      <c r="H101" s="13">
        <v>3027959647.0630083</v>
      </c>
      <c r="I101" s="13">
        <v>5698520771.5093365</v>
      </c>
      <c r="J101" s="13">
        <v>396635189.85677409</v>
      </c>
      <c r="K101" s="13">
        <v>-9958134147.1019115</v>
      </c>
      <c r="L101" s="13">
        <v>7684828052.4462528</v>
      </c>
      <c r="M101" s="13">
        <v>8811576871.6124191</v>
      </c>
      <c r="N101" s="13">
        <v>29154070484.176052</v>
      </c>
      <c r="O101" s="13">
        <v>24137830047.489506</v>
      </c>
      <c r="P101" s="13">
        <v>-16011181866.946222</v>
      </c>
      <c r="Q101" s="13">
        <v>33231001654.433426</v>
      </c>
      <c r="R101" s="13">
        <v>-48116618623.418465</v>
      </c>
      <c r="S101" s="13">
        <v>-4260315364.4270382</v>
      </c>
      <c r="T101" s="13">
        <v>29087821273.154907</v>
      </c>
      <c r="U101" s="13">
        <v>80600721077.931854</v>
      </c>
      <c r="V101" s="13">
        <v>41969541887.146988</v>
      </c>
      <c r="W101" s="13">
        <v>6522167740.7020836</v>
      </c>
      <c r="X101" s="13">
        <v>-257164321366.30096</v>
      </c>
      <c r="Y101" s="13">
        <v>-95656360266.968216</v>
      </c>
      <c r="Z101" s="13">
        <v>-29442941593.71508</v>
      </c>
      <c r="AA101" s="13">
        <v>-14906484257.429232</v>
      </c>
      <c r="AB101" s="13">
        <v>379933316376.74756</v>
      </c>
      <c r="AC101" s="13">
        <v>149242185218.30316</v>
      </c>
      <c r="AD101" s="13">
        <v>-350496205203.52313</v>
      </c>
      <c r="AE101" s="13">
        <v>-357490173835.12604</v>
      </c>
      <c r="AF101" s="13">
        <v>341736039639.15845</v>
      </c>
      <c r="AG101" s="13">
        <v>1367625505811.5498</v>
      </c>
      <c r="AH101" s="13">
        <v>160159643246.72873</v>
      </c>
      <c r="AI101" s="13">
        <v>-694750278845.23486</v>
      </c>
      <c r="AJ101" s="13">
        <v>-276448767217.37592</v>
      </c>
      <c r="AK101" s="13">
        <v>7831379780.7275114</v>
      </c>
      <c r="AL101" s="13">
        <v>-293771095729.54199</v>
      </c>
      <c r="AM101" s="13">
        <v>-125217001294.72371</v>
      </c>
      <c r="AN101" s="13">
        <v>-502383300413.11346</v>
      </c>
      <c r="AO101" s="13">
        <v>-152018541242.34024</v>
      </c>
      <c r="AP101" s="13">
        <v>1775777641308.1416</v>
      </c>
      <c r="AQ101" s="13">
        <v>-1461075524826.7407</v>
      </c>
      <c r="AR101" s="13">
        <v>-327146390900.42609</v>
      </c>
      <c r="AS101" s="13">
        <v>-217046998640.19861</v>
      </c>
      <c r="AT101" s="13">
        <v>-2203839499942.5386</v>
      </c>
      <c r="AU101" s="13">
        <v>915530473972.36365</v>
      </c>
      <c r="AV101" s="13">
        <v>-3889089348963.5312</v>
      </c>
      <c r="AW101" s="13">
        <v>1272615720876.459</v>
      </c>
      <c r="AX101" s="13">
        <v>-813269748916.479</v>
      </c>
      <c r="AY101" s="13">
        <v>-1013578535321.8242</v>
      </c>
      <c r="AZ101" s="13">
        <v>3264708965350.9966</v>
      </c>
      <c r="BA101" s="13">
        <v>-416100542773.05676</v>
      </c>
      <c r="BB101" s="13">
        <v>-149749772744.70715</v>
      </c>
      <c r="BC101" s="13">
        <v>4236003097456.3994</v>
      </c>
      <c r="BD101" s="13">
        <v>3248755000801.4751</v>
      </c>
      <c r="BE101" s="13">
        <v>-32685169890974.672</v>
      </c>
      <c r="BF101" s="13">
        <v>62099272727773.539</v>
      </c>
      <c r="BG101" s="13">
        <v>-14052535119484.24</v>
      </c>
      <c r="BH101" s="13">
        <v>14050149128612.189</v>
      </c>
      <c r="BI101" s="13">
        <v>-23264211578268.422</v>
      </c>
      <c r="BJ101" s="13">
        <v>-3058661000618.415</v>
      </c>
      <c r="BK101" s="13">
        <v>25486342486082.203</v>
      </c>
      <c r="BL101" s="13">
        <v>13108839642379.646</v>
      </c>
      <c r="BM101" s="13">
        <v>702201840311471.38</v>
      </c>
      <c r="BN101" s="13">
        <v>-42358508892297.812</v>
      </c>
      <c r="BO101" s="13">
        <v>-4749676877312442</v>
      </c>
    </row>
    <row r="102" spans="2:67" x14ac:dyDescent="0.2">
      <c r="B102" s="13">
        <v>1589704513.9036212</v>
      </c>
      <c r="C102" s="13">
        <v>-2648876883.0294652</v>
      </c>
      <c r="D102" s="13">
        <v>-438742883.42927843</v>
      </c>
      <c r="E102" s="13">
        <v>2565476549.894578</v>
      </c>
      <c r="F102" s="13">
        <v>-1911704163.1630476</v>
      </c>
      <c r="G102" s="13">
        <v>-6270716374.908742</v>
      </c>
      <c r="H102" s="13">
        <v>3088380999.0994792</v>
      </c>
      <c r="I102" s="13">
        <v>5812231775.3209639</v>
      </c>
      <c r="J102" s="13">
        <v>404549837.97074592</v>
      </c>
      <c r="K102" s="13">
        <v>-10156843509.816277</v>
      </c>
      <c r="L102" s="13">
        <v>7838174780.0891676</v>
      </c>
      <c r="M102" s="13">
        <v>8987407283.6967545</v>
      </c>
      <c r="N102" s="13">
        <v>29735824724.366596</v>
      </c>
      <c r="O102" s="13">
        <v>24619487831.103062</v>
      </c>
      <c r="P102" s="13">
        <v>-16330676633.438976</v>
      </c>
      <c r="Q102" s="13">
        <v>33894108926.106155</v>
      </c>
      <c r="R102" s="13">
        <v>-49076760601.490494</v>
      </c>
      <c r="S102" s="13">
        <v>-4345327732.1213284</v>
      </c>
      <c r="T102" s="13">
        <v>29668253552.520596</v>
      </c>
      <c r="U102" s="13">
        <v>82209066343.419403</v>
      </c>
      <c r="V102" s="13">
        <v>42807022160.034943</v>
      </c>
      <c r="W102" s="13">
        <v>6652314189.2703657</v>
      </c>
      <c r="X102" s="13">
        <v>-262295901002.47864</v>
      </c>
      <c r="Y102" s="13">
        <v>-97565132942.670456</v>
      </c>
      <c r="Z102" s="13">
        <v>-30030460111.913338</v>
      </c>
      <c r="AA102" s="13">
        <v>-15203935361.039331</v>
      </c>
      <c r="AB102" s="13">
        <v>387514687158.64227</v>
      </c>
      <c r="AC102" s="13">
        <v>152220235019.25195</v>
      </c>
      <c r="AD102" s="13">
        <v>-357490173834.47144</v>
      </c>
      <c r="AE102" s="13">
        <v>-364623703392.59021</v>
      </c>
      <c r="AF102" s="13">
        <v>348555203694.18024</v>
      </c>
      <c r="AG102" s="13">
        <v>1394915758031.3098</v>
      </c>
      <c r="AH102" s="13">
        <v>163355545236.78561</v>
      </c>
      <c r="AI102" s="13">
        <v>-708613657597.63855</v>
      </c>
      <c r="AJ102" s="13">
        <v>-281965157895.13397</v>
      </c>
      <c r="AK102" s="13">
        <v>7987650877.8173351</v>
      </c>
      <c r="AL102" s="13">
        <v>-299633144422.41736</v>
      </c>
      <c r="AM102" s="13">
        <v>-127715641133.67561</v>
      </c>
      <c r="AN102" s="13">
        <v>-512408096629.97241</v>
      </c>
      <c r="AO102" s="13">
        <v>-155051991782.98407</v>
      </c>
      <c r="AP102" s="13">
        <v>1811212356105.4697</v>
      </c>
      <c r="AQ102" s="13">
        <v>-1490230523350.2119</v>
      </c>
      <c r="AR102" s="13">
        <v>-333674426137.86719</v>
      </c>
      <c r="AS102" s="13">
        <v>-221378058075.53488</v>
      </c>
      <c r="AT102" s="13">
        <v>-2247815965426.0229</v>
      </c>
      <c r="AU102" s="13">
        <v>933799406158.99719</v>
      </c>
      <c r="AV102" s="13">
        <v>-3966694094482.0986</v>
      </c>
      <c r="AW102" s="13">
        <v>1298010102529.7388</v>
      </c>
      <c r="AX102" s="13">
        <v>-829498121719.46729</v>
      </c>
      <c r="AY102" s="13">
        <v>-1033803965272.5582</v>
      </c>
      <c r="AZ102" s="13">
        <v>3329854526590.7842</v>
      </c>
      <c r="BA102" s="13">
        <v>-424403611170.67743</v>
      </c>
      <c r="BB102" s="13">
        <v>-152737951090.69778</v>
      </c>
      <c r="BC102" s="13">
        <v>4320530325868.9185</v>
      </c>
      <c r="BD102" s="13">
        <v>3313582208926.3867</v>
      </c>
      <c r="BE102" s="13">
        <v>-33337385375093.738</v>
      </c>
      <c r="BF102" s="13">
        <v>63338431260834.781</v>
      </c>
      <c r="BG102" s="13">
        <v>-14332946117607.555</v>
      </c>
      <c r="BH102" s="13">
        <v>14330512511700.852</v>
      </c>
      <c r="BI102" s="13">
        <v>-23728436762284.559</v>
      </c>
      <c r="BJ102" s="13">
        <v>-3119694979297.6968</v>
      </c>
      <c r="BK102" s="13">
        <v>25994909132152.895</v>
      </c>
      <c r="BL102" s="13">
        <v>13370419686491.102</v>
      </c>
      <c r="BM102" s="13">
        <v>716213911036018.25</v>
      </c>
      <c r="BN102" s="13">
        <v>-43203750797798.25</v>
      </c>
      <c r="BO102" s="13">
        <v>-4844454197011792</v>
      </c>
    </row>
    <row r="103" spans="2:67" x14ac:dyDescent="0.2">
      <c r="B103" s="13">
        <v>-1519648271.6139882</v>
      </c>
      <c r="C103" s="13">
        <v>2532144270.7043138</v>
      </c>
      <c r="D103" s="13">
        <v>419408046.35312927</v>
      </c>
      <c r="E103" s="13">
        <v>-2452419283.4983587</v>
      </c>
      <c r="F103" s="13">
        <v>1827457808.6787493</v>
      </c>
      <c r="G103" s="13">
        <v>5994373934.0054712</v>
      </c>
      <c r="H103" s="13">
        <v>-2952280003.2186804</v>
      </c>
      <c r="I103" s="13">
        <v>-5556094163.6374302</v>
      </c>
      <c r="J103" s="13">
        <v>-386721844.61471027</v>
      </c>
      <c r="K103" s="13">
        <v>9709244422.3282089</v>
      </c>
      <c r="L103" s="13">
        <v>-7492756454.2711344</v>
      </c>
      <c r="M103" s="13">
        <v>-8591343753.0800266</v>
      </c>
      <c r="N103" s="13">
        <v>-28425405005.983837</v>
      </c>
      <c r="O103" s="13">
        <v>-23534538528.303185</v>
      </c>
      <c r="P103" s="13">
        <v>15611004626.063778</v>
      </c>
      <c r="Q103" s="13">
        <v>-32400438947.871647</v>
      </c>
      <c r="R103" s="13">
        <v>46914010605.396553</v>
      </c>
      <c r="S103" s="13">
        <v>4153834703.0055876</v>
      </c>
      <c r="T103" s="13">
        <v>-28360811607.515583</v>
      </c>
      <c r="U103" s="13">
        <v>-78586218058.975143</v>
      </c>
      <c r="V103" s="13">
        <v>-40920571508.908234</v>
      </c>
      <c r="W103" s="13">
        <v>-6359155221.3969736</v>
      </c>
      <c r="X103" s="13">
        <v>250736856520.35492</v>
      </c>
      <c r="Y103" s="13">
        <v>93265562468.123138</v>
      </c>
      <c r="Z103" s="13">
        <v>28707056187.887943</v>
      </c>
      <c r="AA103" s="13">
        <v>14533917397.163006</v>
      </c>
      <c r="AB103" s="13">
        <v>-370437411106.1665</v>
      </c>
      <c r="AC103" s="13">
        <v>-145512084187.97839</v>
      </c>
      <c r="AD103" s="13">
        <v>341736039638.78259</v>
      </c>
      <c r="AE103" s="13">
        <v>348555203694.43115</v>
      </c>
      <c r="AF103" s="13">
        <v>-333194822183.96387</v>
      </c>
      <c r="AG103" s="13">
        <v>-1333443606788.5276</v>
      </c>
      <c r="AH103" s="13">
        <v>-156156675536.92224</v>
      </c>
      <c r="AI103" s="13">
        <v>677385961095.94641</v>
      </c>
      <c r="AJ103" s="13">
        <v>269539314439.73242</v>
      </c>
      <c r="AK103" s="13">
        <v>-7635645329.0880337</v>
      </c>
      <c r="AL103" s="13">
        <v>286428695432.32275</v>
      </c>
      <c r="AM103" s="13">
        <v>122087376366.12248</v>
      </c>
      <c r="AN103" s="13">
        <v>489826927963.14087</v>
      </c>
      <c r="AO103" s="13">
        <v>148219049056.82751</v>
      </c>
      <c r="AP103" s="13">
        <v>-1731394546857.9546</v>
      </c>
      <c r="AQ103" s="13">
        <v>1424557972449.4238</v>
      </c>
      <c r="AR103" s="13">
        <v>318969821455.08942</v>
      </c>
      <c r="AS103" s="13">
        <v>211622210535.55185</v>
      </c>
      <c r="AT103" s="13">
        <v>2148757594194.5354</v>
      </c>
      <c r="AU103" s="13">
        <v>-892648062079.16125</v>
      </c>
      <c r="AV103" s="13">
        <v>3791886965153.8037</v>
      </c>
      <c r="AW103" s="13">
        <v>-1240808459430.5886</v>
      </c>
      <c r="AX103" s="13">
        <v>792943201665.66516</v>
      </c>
      <c r="AY103" s="13">
        <v>988245548313.58862</v>
      </c>
      <c r="AZ103" s="13">
        <v>-3183112101539.2075</v>
      </c>
      <c r="BA103" s="13">
        <v>405700687664.79016</v>
      </c>
      <c r="BB103" s="13">
        <v>146006985195.16232</v>
      </c>
      <c r="BC103" s="13">
        <v>-4130130086841.1436</v>
      </c>
      <c r="BD103" s="13">
        <v>-3167556884022.2935</v>
      </c>
      <c r="BE103" s="13">
        <v>31868249490578.184</v>
      </c>
      <c r="BF103" s="13">
        <v>-60547187701447.555</v>
      </c>
      <c r="BG103" s="13">
        <v>13701311534685.438</v>
      </c>
      <c r="BH103" s="13">
        <v>-13698985175801.105</v>
      </c>
      <c r="BI103" s="13">
        <v>22682754938794.648</v>
      </c>
      <c r="BJ103" s="13">
        <v>2982214017013.6392</v>
      </c>
      <c r="BK103" s="13">
        <v>-24849346773669.512</v>
      </c>
      <c r="BL103" s="13">
        <v>-12781202411958.27</v>
      </c>
      <c r="BM103" s="13">
        <v>-684651281108028.25</v>
      </c>
      <c r="BN103" s="13">
        <v>41299816824066.758</v>
      </c>
      <c r="BO103" s="13">
        <v>4630965304002258</v>
      </c>
    </row>
    <row r="104" spans="2:67" x14ac:dyDescent="0.2">
      <c r="B104" s="13">
        <v>-6081622934.2910557</v>
      </c>
      <c r="C104" s="13">
        <v>10133625627.342384</v>
      </c>
      <c r="D104" s="13">
        <v>1678468393.9831238</v>
      </c>
      <c r="E104" s="13">
        <v>-9814566723.9783287</v>
      </c>
      <c r="F104" s="13">
        <v>7313474787.818861</v>
      </c>
      <c r="G104" s="13">
        <v>23989447212.384495</v>
      </c>
      <c r="H104" s="13">
        <v>-11815006216.956112</v>
      </c>
      <c r="I104" s="13">
        <v>-22235454297.058125</v>
      </c>
      <c r="J104" s="13">
        <v>-1547658417.4188139</v>
      </c>
      <c r="K104" s="13">
        <v>38856335809.310196</v>
      </c>
      <c r="L104" s="13">
        <v>-29985964743.151409</v>
      </c>
      <c r="M104" s="13">
        <v>-34382504281.159676</v>
      </c>
      <c r="N104" s="13">
        <v>-113758294094.25854</v>
      </c>
      <c r="O104" s="13">
        <v>-94185076859.693863</v>
      </c>
      <c r="P104" s="13">
        <v>62475143448.692589</v>
      </c>
      <c r="Q104" s="13">
        <v>-129666355212.29596</v>
      </c>
      <c r="R104" s="13">
        <v>187749578747.5799</v>
      </c>
      <c r="S104" s="13">
        <v>16623620653.168228</v>
      </c>
      <c r="T104" s="13">
        <v>-113499791708.92912</v>
      </c>
      <c r="U104" s="13">
        <v>-314501556053.62915</v>
      </c>
      <c r="V104" s="13">
        <v>-163763872749.37592</v>
      </c>
      <c r="W104" s="13">
        <v>-25449299657.221733</v>
      </c>
      <c r="X104" s="13">
        <v>1003447340790.9071</v>
      </c>
      <c r="Y104" s="13">
        <v>373248201104.58405</v>
      </c>
      <c r="Z104" s="13">
        <v>114885460367.88509</v>
      </c>
      <c r="AA104" s="13">
        <v>58164647062.548218</v>
      </c>
      <c r="AB104" s="13">
        <v>-1482488216013.8589</v>
      </c>
      <c r="AC104" s="13">
        <v>-582338456169.03491</v>
      </c>
      <c r="AD104" s="13">
        <v>1367625505810.2625</v>
      </c>
      <c r="AE104" s="13">
        <v>1394915758032.5576</v>
      </c>
      <c r="AF104" s="13">
        <v>-1333443606788.7385</v>
      </c>
      <c r="AG104" s="13">
        <v>-5336433023467.8203</v>
      </c>
      <c r="AH104" s="13">
        <v>-624938044554.13757</v>
      </c>
      <c r="AI104" s="13">
        <v>2710894404517.6812</v>
      </c>
      <c r="AJ104" s="13">
        <v>1078694660511.8572</v>
      </c>
      <c r="AK104" s="13">
        <v>-30557805132.537743</v>
      </c>
      <c r="AL104" s="13">
        <v>1146285858192.2095</v>
      </c>
      <c r="AM104" s="13">
        <v>488592921110.36426</v>
      </c>
      <c r="AN104" s="13">
        <v>1960284320091.9709</v>
      </c>
      <c r="AO104" s="13">
        <v>593171712727.25146</v>
      </c>
      <c r="AP104" s="13">
        <v>-6929030211275.502</v>
      </c>
      <c r="AQ104" s="13">
        <v>5701072148318.5312</v>
      </c>
      <c r="AR104" s="13">
        <v>1276515242246.1077</v>
      </c>
      <c r="AS104" s="13">
        <v>846910770748.92102</v>
      </c>
      <c r="AT104" s="13">
        <v>8599314531660.3984</v>
      </c>
      <c r="AU104" s="13">
        <v>-3572371994146.9097</v>
      </c>
      <c r="AV104" s="13">
        <v>15175108057771.105</v>
      </c>
      <c r="AW104" s="13">
        <v>-4965707739670.4473</v>
      </c>
      <c r="AX104" s="13">
        <v>3173353762889.3936</v>
      </c>
      <c r="AY104" s="13">
        <v>3954952539854.7285</v>
      </c>
      <c r="AZ104" s="13">
        <v>-12738794838783.012</v>
      </c>
      <c r="BA104" s="13">
        <v>1623611629545.2332</v>
      </c>
      <c r="BB104" s="13">
        <v>584319047009.37427</v>
      </c>
      <c r="BC104" s="13">
        <v>-16528754927405.123</v>
      </c>
      <c r="BD104" s="13">
        <v>-12676542955348.205</v>
      </c>
      <c r="BE104" s="13">
        <v>127536536314345.81</v>
      </c>
      <c r="BF104" s="13">
        <v>-242309468717798.81</v>
      </c>
      <c r="BG104" s="13">
        <v>54832563569881.398</v>
      </c>
      <c r="BH104" s="13">
        <v>-54823253497578.352</v>
      </c>
      <c r="BI104" s="13">
        <v>90776244230985.125</v>
      </c>
      <c r="BJ104" s="13">
        <v>11934801956693.465</v>
      </c>
      <c r="BK104" s="13">
        <v>-99446931280917.75</v>
      </c>
      <c r="BL104" s="13">
        <v>-51150292583519.406</v>
      </c>
      <c r="BM104" s="13">
        <v>-2739970170060934.5</v>
      </c>
      <c r="BN104" s="13">
        <v>165281610142360.09</v>
      </c>
      <c r="BO104" s="13">
        <v>1.8533094352857144E+16</v>
      </c>
    </row>
    <row r="105" spans="2:67" x14ac:dyDescent="0.2">
      <c r="B105" s="13">
        <v>-712205611.4028641</v>
      </c>
      <c r="C105" s="13">
        <v>1186726818.4340799</v>
      </c>
      <c r="D105" s="13">
        <v>196561776.66460535</v>
      </c>
      <c r="E105" s="13">
        <v>-1149362525.3987207</v>
      </c>
      <c r="F105" s="13">
        <v>856465098.07962704</v>
      </c>
      <c r="G105" s="13">
        <v>2809351895.6210685</v>
      </c>
      <c r="H105" s="13">
        <v>-1383629636.0399358</v>
      </c>
      <c r="I105" s="13">
        <v>-2603945606.9401894</v>
      </c>
      <c r="J105" s="13">
        <v>-181242905.23485106</v>
      </c>
      <c r="K105" s="13">
        <v>4550380827.8130846</v>
      </c>
      <c r="L105" s="13">
        <v>-3511590998.8089185</v>
      </c>
      <c r="M105" s="13">
        <v>-4026460164.841053</v>
      </c>
      <c r="N105" s="13">
        <v>-13321985968.982244</v>
      </c>
      <c r="O105" s="13">
        <v>-11029809143.943354</v>
      </c>
      <c r="P105" s="13">
        <v>7316327930.6711817</v>
      </c>
      <c r="Q105" s="13">
        <v>-15184944346.304497</v>
      </c>
      <c r="R105" s="13">
        <v>21986944105.054825</v>
      </c>
      <c r="S105" s="13">
        <v>1946755995.5477812</v>
      </c>
      <c r="T105" s="13">
        <v>-13291713315.919672</v>
      </c>
      <c r="U105" s="13">
        <v>-36830592004.813774</v>
      </c>
      <c r="V105" s="13">
        <v>-19178030335.315922</v>
      </c>
      <c r="W105" s="13">
        <v>-2980312034.6823401</v>
      </c>
      <c r="X105" s="13">
        <v>117511531804.79027</v>
      </c>
      <c r="Y105" s="13">
        <v>43710283612.286606</v>
      </c>
      <c r="Z105" s="13">
        <v>13453985953.900459</v>
      </c>
      <c r="AA105" s="13">
        <v>6811535089.6931486</v>
      </c>
      <c r="AB105" s="13">
        <v>-173610964980.979</v>
      </c>
      <c r="AC105" s="13">
        <v>-68196387824.74791</v>
      </c>
      <c r="AD105" s="13">
        <v>160159643246.63281</v>
      </c>
      <c r="AE105" s="13">
        <v>163355545236.98755</v>
      </c>
      <c r="AF105" s="13">
        <v>-156156675537.00311</v>
      </c>
      <c r="AG105" s="13">
        <v>-624938044554.34851</v>
      </c>
      <c r="AH105" s="13">
        <v>-73185132800.611588</v>
      </c>
      <c r="AI105" s="13">
        <v>317466937305.39105</v>
      </c>
      <c r="AJ105" s="13">
        <v>126323581471.21576</v>
      </c>
      <c r="AK105" s="13">
        <v>-3578557980.4091625</v>
      </c>
      <c r="AL105" s="13">
        <v>134239039364.70595</v>
      </c>
      <c r="AM105" s="13">
        <v>57218052455.173943</v>
      </c>
      <c r="AN105" s="13">
        <v>229564625724.40744</v>
      </c>
      <c r="AO105" s="13">
        <v>69465046897.81813</v>
      </c>
      <c r="AP105" s="13">
        <v>-811443631317.73474</v>
      </c>
      <c r="AQ105" s="13">
        <v>667640137996.57056</v>
      </c>
      <c r="AR105" s="13">
        <v>149489918799.65363</v>
      </c>
      <c r="AS105" s="13">
        <v>99179875139.783081</v>
      </c>
      <c r="AT105" s="13">
        <v>1007046988925.3981</v>
      </c>
      <c r="AU105" s="13">
        <v>-418352700859.81049</v>
      </c>
      <c r="AV105" s="13">
        <v>1777123841651.4961</v>
      </c>
      <c r="AW105" s="13">
        <v>-581523214278.44116</v>
      </c>
      <c r="AX105" s="13">
        <v>371624545188.50391</v>
      </c>
      <c r="AY105" s="13">
        <v>463155875037.07983</v>
      </c>
      <c r="AZ105" s="13">
        <v>-1491812508739.9956</v>
      </c>
      <c r="BA105" s="13">
        <v>190137620610.07901</v>
      </c>
      <c r="BB105" s="13">
        <v>68428330537.504784</v>
      </c>
      <c r="BC105" s="13">
        <v>-1935646477157.4575</v>
      </c>
      <c r="BD105" s="13">
        <v>-1484522326320.564</v>
      </c>
      <c r="BE105" s="13">
        <v>14935525895611.59</v>
      </c>
      <c r="BF105" s="13">
        <v>-28376333946442.199</v>
      </c>
      <c r="BG105" s="13">
        <v>6421322051097.8896</v>
      </c>
      <c r="BH105" s="13">
        <v>-6420231770239.417</v>
      </c>
      <c r="BI105" s="13">
        <v>10630608181867.404</v>
      </c>
      <c r="BJ105" s="13">
        <v>1397658654918.3994</v>
      </c>
      <c r="BK105" s="13">
        <v>-11646013450406.189</v>
      </c>
      <c r="BL105" s="13">
        <v>-5990099320060.209</v>
      </c>
      <c r="BM105" s="13">
        <v>-320871936872089.06</v>
      </c>
      <c r="BN105" s="13">
        <v>19355769254610.145</v>
      </c>
      <c r="BO105" s="13">
        <v>2170370300461065</v>
      </c>
    </row>
    <row r="106" spans="2:67" x14ac:dyDescent="0.2">
      <c r="B106" s="13">
        <v>3089448984.0458307</v>
      </c>
      <c r="C106" s="13">
        <v>-5147856047.228322</v>
      </c>
      <c r="D106" s="13">
        <v>-852657675.59322739</v>
      </c>
      <c r="E106" s="13">
        <v>4985774935.7059422</v>
      </c>
      <c r="F106" s="13">
        <v>-3715226592.8964987</v>
      </c>
      <c r="G106" s="13">
        <v>-12186578174.671669</v>
      </c>
      <c r="H106" s="13">
        <v>6001993110.9206657</v>
      </c>
      <c r="I106" s="13">
        <v>11295554234.590405</v>
      </c>
      <c r="J106" s="13">
        <v>786206539.99780929</v>
      </c>
      <c r="K106" s="13">
        <v>-19738919773.114979</v>
      </c>
      <c r="L106" s="13">
        <v>15232793830.500696</v>
      </c>
      <c r="M106" s="13">
        <v>17466224734.198093</v>
      </c>
      <c r="N106" s="13">
        <v>57788924094.287186</v>
      </c>
      <c r="O106" s="13">
        <v>47845779516.814888</v>
      </c>
      <c r="P106" s="13">
        <v>-31737213987.541332</v>
      </c>
      <c r="Q106" s="13">
        <v>65870178684.857712</v>
      </c>
      <c r="R106" s="13">
        <v>-95376308526.135498</v>
      </c>
      <c r="S106" s="13">
        <v>-8444757014.8205385</v>
      </c>
      <c r="T106" s="13">
        <v>57657605535.525726</v>
      </c>
      <c r="U106" s="13">
        <v>159765990646.9837</v>
      </c>
      <c r="V106" s="13">
        <v>83191630879.725327</v>
      </c>
      <c r="W106" s="13">
        <v>12928179503.879269</v>
      </c>
      <c r="X106" s="13">
        <v>-509748697192.29138</v>
      </c>
      <c r="Y106" s="13">
        <v>-189609136931.98615</v>
      </c>
      <c r="Z106" s="13">
        <v>-58361521691.22126</v>
      </c>
      <c r="AA106" s="13">
        <v>-29547492784.139809</v>
      </c>
      <c r="AB106" s="13">
        <v>753100243517.46948</v>
      </c>
      <c r="AC106" s="13">
        <v>295826454755.5271</v>
      </c>
      <c r="AD106" s="13">
        <v>-694750278844.72705</v>
      </c>
      <c r="AE106" s="13">
        <v>-708613657598.42004</v>
      </c>
      <c r="AF106" s="13">
        <v>677385961096.20679</v>
      </c>
      <c r="AG106" s="13">
        <v>2710894404518.2412</v>
      </c>
      <c r="AH106" s="13">
        <v>317466937305.34967</v>
      </c>
      <c r="AI106" s="13">
        <v>-1377127463231.6138</v>
      </c>
      <c r="AJ106" s="13">
        <v>-547974144244.32147</v>
      </c>
      <c r="AK106" s="13">
        <v>15523287292.650953</v>
      </c>
      <c r="AL106" s="13">
        <v>-582310300767.41663</v>
      </c>
      <c r="AM106" s="13">
        <v>-248203961336.73666</v>
      </c>
      <c r="AN106" s="13">
        <v>-995819449277.6532</v>
      </c>
      <c r="AO106" s="13">
        <v>-301329721537.15021</v>
      </c>
      <c r="AP106" s="13">
        <v>3519929725676.2769</v>
      </c>
      <c r="AQ106" s="13">
        <v>-2896130152592.7407</v>
      </c>
      <c r="AR106" s="13">
        <v>-648466496689.14343</v>
      </c>
      <c r="AS106" s="13">
        <v>-430228517701.38525</v>
      </c>
      <c r="AT106" s="13">
        <v>-4368429912632.8076</v>
      </c>
      <c r="AU106" s="13">
        <v>1814755887867.3679</v>
      </c>
      <c r="AV106" s="13">
        <v>-7708916300561.3516</v>
      </c>
      <c r="AW106" s="13">
        <v>2522566903135.1133</v>
      </c>
      <c r="AX106" s="13">
        <v>-1612055641207.5022</v>
      </c>
      <c r="AY106" s="13">
        <v>-2009105832165.7253</v>
      </c>
      <c r="AZ106" s="13">
        <v>6471275381279.6074</v>
      </c>
      <c r="BA106" s="13">
        <v>-824790579018.31384</v>
      </c>
      <c r="BB106" s="13">
        <v>-296832589942.95776</v>
      </c>
      <c r="BC106" s="13">
        <v>8396565467520.5518</v>
      </c>
      <c r="BD106" s="13">
        <v>6439651582859.9512</v>
      </c>
      <c r="BE106" s="13">
        <v>-64788236101308.859</v>
      </c>
      <c r="BF106" s="13">
        <v>123092593876568.77</v>
      </c>
      <c r="BG106" s="13">
        <v>-27854802842463.309</v>
      </c>
      <c r="BH106" s="13">
        <v>27850073352509.727</v>
      </c>
      <c r="BI106" s="13">
        <v>-46114101210644.969</v>
      </c>
      <c r="BJ106" s="13">
        <v>-6062849043788.4492</v>
      </c>
      <c r="BK106" s="13">
        <v>50518788179970.438</v>
      </c>
      <c r="BL106" s="13">
        <v>25984218549005.469</v>
      </c>
      <c r="BM106" s="13">
        <v>1391897878213741.8</v>
      </c>
      <c r="BN106" s="13">
        <v>-83962637615474.906</v>
      </c>
      <c r="BO106" s="13">
        <v>-9414764798674476</v>
      </c>
    </row>
    <row r="107" spans="2:67" x14ac:dyDescent="0.2">
      <c r="B107" s="13">
        <v>1229325685.8262577</v>
      </c>
      <c r="C107" s="13">
        <v>-2048388466.1771348</v>
      </c>
      <c r="D107" s="13">
        <v>-339281854.83620417</v>
      </c>
      <c r="E107" s="13">
        <v>1983894611.6026311</v>
      </c>
      <c r="F107" s="13">
        <v>-1478329470.0340772</v>
      </c>
      <c r="G107" s="13">
        <v>-4849173315.3372011</v>
      </c>
      <c r="H107" s="13">
        <v>2388258985.7659159</v>
      </c>
      <c r="I107" s="13">
        <v>4494625102.345356</v>
      </c>
      <c r="J107" s="13">
        <v>312840218.12287372</v>
      </c>
      <c r="K107" s="13">
        <v>-7854332993.6118441</v>
      </c>
      <c r="L107" s="13">
        <v>6061295984.8096581</v>
      </c>
      <c r="M107" s="13">
        <v>6950002673.9836054</v>
      </c>
      <c r="N107" s="13">
        <v>22994847661.095196</v>
      </c>
      <c r="O107" s="13">
        <v>19038361216.582588</v>
      </c>
      <c r="P107" s="13">
        <v>-12628586053.045916</v>
      </c>
      <c r="Q107" s="13">
        <v>26210467628.963161</v>
      </c>
      <c r="R107" s="13">
        <v>-37951280793.259964</v>
      </c>
      <c r="S107" s="13">
        <v>-3360261574.9666085</v>
      </c>
      <c r="T107" s="13">
        <v>22942594565.108871</v>
      </c>
      <c r="U107" s="13">
        <v>63572642576.749962</v>
      </c>
      <c r="V107" s="13">
        <v>33102863718.8522</v>
      </c>
      <c r="W107" s="13">
        <v>5144264630.1497002</v>
      </c>
      <c r="X107" s="13">
        <v>-202834605785.64462</v>
      </c>
      <c r="Y107" s="13">
        <v>-75447558286.300781</v>
      </c>
      <c r="Z107" s="13">
        <v>-23222690535.150043</v>
      </c>
      <c r="AA107" s="13">
        <v>-11757271933.663391</v>
      </c>
      <c r="AB107" s="13">
        <v>299666859084.07849</v>
      </c>
      <c r="AC107" s="13">
        <v>117712595760.11375</v>
      </c>
      <c r="AD107" s="13">
        <v>-276448767217.17584</v>
      </c>
      <c r="AE107" s="13">
        <v>-281965157895.44482</v>
      </c>
      <c r="AF107" s="13">
        <v>269539314439.83844</v>
      </c>
      <c r="AG107" s="13">
        <v>1078694660512.0854</v>
      </c>
      <c r="AH107" s="13">
        <v>126323581471.19844</v>
      </c>
      <c r="AI107" s="13">
        <v>-547974144244.3183</v>
      </c>
      <c r="AJ107" s="13">
        <v>-218044931037.76068</v>
      </c>
      <c r="AK107" s="13">
        <v>6176886523.2292747</v>
      </c>
      <c r="AL107" s="13">
        <v>-231707664878.6795</v>
      </c>
      <c r="AM107" s="13">
        <v>-98763082536.767471</v>
      </c>
      <c r="AN107" s="13">
        <v>-396247497133.9071</v>
      </c>
      <c r="AO107" s="13">
        <v>-119902406062.36072</v>
      </c>
      <c r="AP107" s="13">
        <v>1400618701396.7488</v>
      </c>
      <c r="AQ107" s="13">
        <v>-1152401999337.061</v>
      </c>
      <c r="AR107" s="13">
        <v>-258031941902.77188</v>
      </c>
      <c r="AS107" s="13">
        <v>-171192652904.29239</v>
      </c>
      <c r="AT107" s="13">
        <v>-1738246245867.3286</v>
      </c>
      <c r="AU107" s="13">
        <v>722111301407.0083</v>
      </c>
      <c r="AV107" s="13">
        <v>-3067462472139.0684</v>
      </c>
      <c r="AW107" s="13">
        <v>1003757079095.6212</v>
      </c>
      <c r="AX107" s="13">
        <v>-641454646739.13977</v>
      </c>
      <c r="AY107" s="13">
        <v>-799445278994.83362</v>
      </c>
      <c r="AZ107" s="13">
        <v>2574991555878.9209</v>
      </c>
      <c r="BA107" s="13">
        <v>-328193231013.55804</v>
      </c>
      <c r="BB107" s="13">
        <v>-118112947984.47585</v>
      </c>
      <c r="BC107" s="13">
        <v>3341085628999.5503</v>
      </c>
      <c r="BD107" s="13">
        <v>2562408099094.5835</v>
      </c>
      <c r="BE107" s="13">
        <v>-25779950790543.164</v>
      </c>
      <c r="BF107" s="13">
        <v>48979895175077.008</v>
      </c>
      <c r="BG107" s="13">
        <v>-11083732013740.014</v>
      </c>
      <c r="BH107" s="13">
        <v>11081850097204.051</v>
      </c>
      <c r="BI107" s="13">
        <v>-18349307397377.438</v>
      </c>
      <c r="BJ107" s="13">
        <v>-2412474229563.7051</v>
      </c>
      <c r="BK107" s="13">
        <v>20101980724758.484</v>
      </c>
      <c r="BL107" s="13">
        <v>10339405976015.641</v>
      </c>
      <c r="BM107" s="13">
        <v>553851454599761.62</v>
      </c>
      <c r="BN107" s="13">
        <v>-33409655768006.094</v>
      </c>
      <c r="BO107" s="13">
        <v>-3746238326871114</v>
      </c>
    </row>
    <row r="108" spans="2:67" x14ac:dyDescent="0.2">
      <c r="B108" s="13">
        <v>-34824956.611171581</v>
      </c>
      <c r="C108" s="13">
        <v>58027779.195849299</v>
      </c>
      <c r="D108" s="13">
        <v>9611347.1077728812</v>
      </c>
      <c r="E108" s="13">
        <v>-56200764.837136857</v>
      </c>
      <c r="F108" s="13">
        <v>41878861.11792735</v>
      </c>
      <c r="G108" s="13">
        <v>137369821.70566311</v>
      </c>
      <c r="H108" s="13">
        <v>-67655802.316566676</v>
      </c>
      <c r="I108" s="13">
        <v>-127326001.55758721</v>
      </c>
      <c r="J108" s="13">
        <v>-8862295.1024778057</v>
      </c>
      <c r="K108" s="13">
        <v>222501497.26607656</v>
      </c>
      <c r="L108" s="13">
        <v>-171707442.59847119</v>
      </c>
      <c r="M108" s="13">
        <v>-196883172.86076856</v>
      </c>
      <c r="N108" s="13">
        <v>-651409615.29814637</v>
      </c>
      <c r="O108" s="13">
        <v>-539328276.55514169</v>
      </c>
      <c r="P108" s="13">
        <v>357748940.32620281</v>
      </c>
      <c r="Q108" s="13">
        <v>-742503315.87091362</v>
      </c>
      <c r="R108" s="13">
        <v>1075102979.0598855</v>
      </c>
      <c r="S108" s="13">
        <v>95191180.64245151</v>
      </c>
      <c r="T108" s="13">
        <v>-649929362.55936062</v>
      </c>
      <c r="U108" s="13">
        <v>-1800917808.1196644</v>
      </c>
      <c r="V108" s="13">
        <v>-937754580.62427282</v>
      </c>
      <c r="W108" s="13">
        <v>-145729317.02980205</v>
      </c>
      <c r="X108" s="13">
        <v>5746000777.2503138</v>
      </c>
      <c r="Y108" s="13">
        <v>2137316395.9301157</v>
      </c>
      <c r="Z108" s="13">
        <v>657864062.51677752</v>
      </c>
      <c r="AA108" s="13">
        <v>333065915.37922543</v>
      </c>
      <c r="AB108" s="13">
        <v>-8489113571.6683483</v>
      </c>
      <c r="AC108" s="13">
        <v>-3334621645.877502</v>
      </c>
      <c r="AD108" s="13">
        <v>7831379780.8299942</v>
      </c>
      <c r="AE108" s="13">
        <v>7987650877.9362831</v>
      </c>
      <c r="AF108" s="13">
        <v>-7635645329.1978617</v>
      </c>
      <c r="AG108" s="13">
        <v>-30557805132.967419</v>
      </c>
      <c r="AH108" s="13">
        <v>-3578557980.4579177</v>
      </c>
      <c r="AI108" s="13">
        <v>15523287292.865074</v>
      </c>
      <c r="AJ108" s="13">
        <v>6176886523.3141689</v>
      </c>
      <c r="AK108" s="13">
        <v>-174981948.07574266</v>
      </c>
      <c r="AL108" s="13">
        <v>6563931323.4890881</v>
      </c>
      <c r="AM108" s="13">
        <v>2797810297.7524538</v>
      </c>
      <c r="AN108" s="13">
        <v>11225098486.978603</v>
      </c>
      <c r="AO108" s="13">
        <v>3396655693.24053</v>
      </c>
      <c r="AP108" s="13">
        <v>-39677431351.201866</v>
      </c>
      <c r="AQ108" s="13">
        <v>32645823714.539856</v>
      </c>
      <c r="AR108" s="13">
        <v>7309658691.8224373</v>
      </c>
      <c r="AS108" s="13">
        <v>4849631613.4594831</v>
      </c>
      <c r="AT108" s="13">
        <v>49241914322.38089</v>
      </c>
      <c r="AU108" s="13">
        <v>-20456332305.268154</v>
      </c>
      <c r="AV108" s="13">
        <v>86896620426.228958</v>
      </c>
      <c r="AW108" s="13">
        <v>-28434935616.403622</v>
      </c>
      <c r="AX108" s="13">
        <v>18171450007.151711</v>
      </c>
      <c r="AY108" s="13">
        <v>22647088135.761326</v>
      </c>
      <c r="AZ108" s="13">
        <v>-72945656507.488525</v>
      </c>
      <c r="BA108" s="13">
        <v>9297223035.1844196</v>
      </c>
      <c r="BB108" s="13">
        <v>3345963030.030045</v>
      </c>
      <c r="BC108" s="13">
        <v>-94647954882.687561</v>
      </c>
      <c r="BD108" s="13">
        <v>-72589186024.568802</v>
      </c>
      <c r="BE108" s="13">
        <v>730307418181.3064</v>
      </c>
      <c r="BF108" s="13">
        <v>-1387527116846.4319</v>
      </c>
      <c r="BG108" s="13">
        <v>313985537416.21948</v>
      </c>
      <c r="BH108" s="13">
        <v>-313932225816.85748</v>
      </c>
      <c r="BI108" s="13">
        <v>519808413141.76562</v>
      </c>
      <c r="BJ108" s="13">
        <v>68341784128.334396</v>
      </c>
      <c r="BK108" s="13">
        <v>-569459025060.49756</v>
      </c>
      <c r="BL108" s="13">
        <v>-292899895200.36536</v>
      </c>
      <c r="BM108" s="13">
        <v>-15689782701005.945</v>
      </c>
      <c r="BN108" s="13">
        <v>946445540302.64185</v>
      </c>
      <c r="BO108" s="13">
        <v>106125324411322.33</v>
      </c>
    </row>
    <row r="109" spans="2:67" x14ac:dyDescent="0.2">
      <c r="B109" s="13">
        <v>1306355450.116164</v>
      </c>
      <c r="C109" s="13">
        <v>-2176740848.7476163</v>
      </c>
      <c r="D109" s="13">
        <v>-360541315.72043747</v>
      </c>
      <c r="E109" s="13">
        <v>2108205797.8449464</v>
      </c>
      <c r="F109" s="13">
        <v>-1570961855.3601201</v>
      </c>
      <c r="G109" s="13">
        <v>-5153023370.5100384</v>
      </c>
      <c r="H109" s="13">
        <v>2537907715.0668464</v>
      </c>
      <c r="I109" s="13">
        <v>4776259103.9992752</v>
      </c>
      <c r="J109" s="13">
        <v>332442841.35719478</v>
      </c>
      <c r="K109" s="13">
        <v>-8346486884.2816906</v>
      </c>
      <c r="L109" s="13">
        <v>6441097860.3622761</v>
      </c>
      <c r="M109" s="13">
        <v>7385491067.3029146</v>
      </c>
      <c r="N109" s="13">
        <v>24435708871.230061</v>
      </c>
      <c r="O109" s="13">
        <v>20231308288.143608</v>
      </c>
      <c r="P109" s="13">
        <v>-13419895482.365944</v>
      </c>
      <c r="Q109" s="13">
        <v>27852820153.199104</v>
      </c>
      <c r="R109" s="13">
        <v>-40329314741.3283</v>
      </c>
      <c r="S109" s="13">
        <v>-3570816157.9221339</v>
      </c>
      <c r="T109" s="13">
        <v>24380181586.611351</v>
      </c>
      <c r="U109" s="13">
        <v>67556115573.45549</v>
      </c>
      <c r="V109" s="13">
        <v>35177094997.915359</v>
      </c>
      <c r="W109" s="13">
        <v>5466605159.1637268</v>
      </c>
      <c r="X109" s="13">
        <v>-215544257958.06546</v>
      </c>
      <c r="Y109" s="13">
        <v>-80175115595.329895</v>
      </c>
      <c r="Z109" s="13">
        <v>-24677828419.713894</v>
      </c>
      <c r="AA109" s="13">
        <v>-12493984667.164963</v>
      </c>
      <c r="AB109" s="13">
        <v>318444037330.85553</v>
      </c>
      <c r="AC109" s="13">
        <v>125088487769.90892</v>
      </c>
      <c r="AD109" s="13">
        <v>-293771095729.34686</v>
      </c>
      <c r="AE109" s="13">
        <v>-299633144422.76746</v>
      </c>
      <c r="AF109" s="13">
        <v>286428695432.44702</v>
      </c>
      <c r="AG109" s="13">
        <v>1146285858192.5247</v>
      </c>
      <c r="AH109" s="13">
        <v>134239039364.69766</v>
      </c>
      <c r="AI109" s="13">
        <v>-582310300767.45679</v>
      </c>
      <c r="AJ109" s="13">
        <v>-231707664878.69495</v>
      </c>
      <c r="AK109" s="13">
        <v>6563931323.398469</v>
      </c>
      <c r="AL109" s="13">
        <v>-246226508025.92841</v>
      </c>
      <c r="AM109" s="13">
        <v>-104951594706.90736</v>
      </c>
      <c r="AN109" s="13">
        <v>-421076435187.71393</v>
      </c>
      <c r="AO109" s="13">
        <v>-127415511970.18127</v>
      </c>
      <c r="AP109" s="13">
        <v>1488381716254.6599</v>
      </c>
      <c r="AQ109" s="13">
        <v>-1224611711867.1331</v>
      </c>
      <c r="AR109" s="13">
        <v>-274200268894.155</v>
      </c>
      <c r="AS109" s="13">
        <v>-181919614727.32037</v>
      </c>
      <c r="AT109" s="13">
        <v>-1847165062208.3545</v>
      </c>
      <c r="AU109" s="13">
        <v>767358922901.71594</v>
      </c>
      <c r="AV109" s="13">
        <v>-3259670211653.1953</v>
      </c>
      <c r="AW109" s="13">
        <v>1066652674703.8055</v>
      </c>
      <c r="AX109" s="13">
        <v>-681648308046.31824</v>
      </c>
      <c r="AY109" s="13">
        <v>-849538661185.67859</v>
      </c>
      <c r="AZ109" s="13">
        <v>2736340980924.4438</v>
      </c>
      <c r="BA109" s="13">
        <v>-348757876732.71954</v>
      </c>
      <c r="BB109" s="13">
        <v>-125513926142.40384</v>
      </c>
      <c r="BC109" s="13">
        <v>3550438643760.5645</v>
      </c>
      <c r="BD109" s="13">
        <v>2722969042541.667</v>
      </c>
      <c r="BE109" s="13">
        <v>-27395327053906.027</v>
      </c>
      <c r="BF109" s="13">
        <v>52048984045243.461</v>
      </c>
      <c r="BG109" s="13">
        <v>-11778240616504.57</v>
      </c>
      <c r="BH109" s="13">
        <v>11776240778818.594</v>
      </c>
      <c r="BI109" s="13">
        <v>-19499078235202.164</v>
      </c>
      <c r="BJ109" s="13">
        <v>-2563640290442.4204</v>
      </c>
      <c r="BK109" s="13">
        <v>21361574382160.129</v>
      </c>
      <c r="BL109" s="13">
        <v>10987274978063.48</v>
      </c>
      <c r="BM109" s="13">
        <v>588555884428454.5</v>
      </c>
      <c r="BN109" s="13">
        <v>-35503110690940.328</v>
      </c>
      <c r="BO109" s="13">
        <v>-3980978281164186.5</v>
      </c>
    </row>
    <row r="110" spans="2:67" x14ac:dyDescent="0.2">
      <c r="B110" s="13">
        <v>556820989.1071198</v>
      </c>
      <c r="C110" s="13">
        <v>-927814089.45023763</v>
      </c>
      <c r="D110" s="13">
        <v>-153677142.05786508</v>
      </c>
      <c r="E110" s="13">
        <v>898601707.13585794</v>
      </c>
      <c r="F110" s="13">
        <v>-669606831.83375216</v>
      </c>
      <c r="G110" s="13">
        <v>-2196424847.2721329</v>
      </c>
      <c r="H110" s="13">
        <v>1081757866.2922807</v>
      </c>
      <c r="I110" s="13">
        <v>2035832834.3012106</v>
      </c>
      <c r="J110" s="13">
        <v>141700447.34432817</v>
      </c>
      <c r="K110" s="13">
        <v>-3557606838.2591672</v>
      </c>
      <c r="L110" s="13">
        <v>2745453759.4705911</v>
      </c>
      <c r="M110" s="13">
        <v>3147991950.1148596</v>
      </c>
      <c r="N110" s="13">
        <v>10415477336.182459</v>
      </c>
      <c r="O110" s="13">
        <v>8623393496.1632843</v>
      </c>
      <c r="P110" s="13">
        <v>-5720096682.5385189</v>
      </c>
      <c r="Q110" s="13">
        <v>11871986958.697676</v>
      </c>
      <c r="R110" s="13">
        <v>-17189968413.824276</v>
      </c>
      <c r="S110" s="13">
        <v>-1522024793.8774073</v>
      </c>
      <c r="T110" s="13">
        <v>10391809381.931122</v>
      </c>
      <c r="U110" s="13">
        <v>28795120877.112942</v>
      </c>
      <c r="V110" s="13">
        <v>14993886105.234312</v>
      </c>
      <c r="W110" s="13">
        <v>2330085958.8315468</v>
      </c>
      <c r="X110" s="13">
        <v>-91873591452.169373</v>
      </c>
      <c r="Y110" s="13">
        <v>-34173843853.849979</v>
      </c>
      <c r="Z110" s="13">
        <v>-10518678378.181734</v>
      </c>
      <c r="AA110" s="13">
        <v>-5325436425.4725065</v>
      </c>
      <c r="AB110" s="13">
        <v>135733596717.56737</v>
      </c>
      <c r="AC110" s="13">
        <v>53317721056.548378</v>
      </c>
      <c r="AD110" s="13">
        <v>-125217001294.72299</v>
      </c>
      <c r="AE110" s="13">
        <v>-127715641133.90855</v>
      </c>
      <c r="AF110" s="13">
        <v>122087376366.26221</v>
      </c>
      <c r="AG110" s="13">
        <v>488592921110.81921</v>
      </c>
      <c r="AH110" s="13">
        <v>57218052455.207344</v>
      </c>
      <c r="AI110" s="13">
        <v>-248203961336.91403</v>
      </c>
      <c r="AJ110" s="13">
        <v>-98763082536.839355</v>
      </c>
      <c r="AK110" s="13">
        <v>2797810297.7158513</v>
      </c>
      <c r="AL110" s="13">
        <v>-104951594706.97597</v>
      </c>
      <c r="AM110" s="13">
        <v>-44734571096.305092</v>
      </c>
      <c r="AN110" s="13">
        <v>-179479633287.97015</v>
      </c>
      <c r="AO110" s="13">
        <v>-54309591928.0756</v>
      </c>
      <c r="AP110" s="13">
        <v>634407870656.7384</v>
      </c>
      <c r="AQ110" s="13">
        <v>-521978535494.16431</v>
      </c>
      <c r="AR110" s="13">
        <v>-116875131449.58687</v>
      </c>
      <c r="AS110" s="13">
        <v>-77541422434.368439</v>
      </c>
      <c r="AT110" s="13">
        <v>-787335695593.0686</v>
      </c>
      <c r="AU110" s="13">
        <v>327079091983.3631</v>
      </c>
      <c r="AV110" s="13">
        <v>-1389401935955.51</v>
      </c>
      <c r="AW110" s="13">
        <v>454650070399.07654</v>
      </c>
      <c r="AX110" s="13">
        <v>-290545796774.0246</v>
      </c>
      <c r="AY110" s="13">
        <v>-362107386296.93677</v>
      </c>
      <c r="AZ110" s="13">
        <v>1166338067814.6433</v>
      </c>
      <c r="BA110" s="13">
        <v>-148654568823.30872</v>
      </c>
      <c r="BB110" s="13">
        <v>-53499059969.548187</v>
      </c>
      <c r="BC110" s="13">
        <v>1513339081652.6641</v>
      </c>
      <c r="BD110" s="13">
        <v>1160638412381.802</v>
      </c>
      <c r="BE110" s="13">
        <v>-11676985085365.506</v>
      </c>
      <c r="BF110" s="13">
        <v>22185360635493.09</v>
      </c>
      <c r="BG110" s="13">
        <v>-5020357657704.9961</v>
      </c>
      <c r="BH110" s="13">
        <v>5019505248853.5225</v>
      </c>
      <c r="BI110" s="13">
        <v>-8311287734811.334</v>
      </c>
      <c r="BJ110" s="13">
        <v>-1092726121105.8472</v>
      </c>
      <c r="BK110" s="13">
        <v>9105158151833.9043</v>
      </c>
      <c r="BL110" s="13">
        <v>4683216440454.1992</v>
      </c>
      <c r="BM110" s="13">
        <v>250866079136350.16</v>
      </c>
      <c r="BN110" s="13">
        <v>-15132847044721.018</v>
      </c>
      <c r="BO110" s="13">
        <v>-1696852310798075</v>
      </c>
    </row>
    <row r="111" spans="2:67" x14ac:dyDescent="0.2">
      <c r="B111" s="13">
        <v>2234022244.1218901</v>
      </c>
      <c r="C111" s="13">
        <v>-3722484164.1492419</v>
      </c>
      <c r="D111" s="13">
        <v>-616568269.53158462</v>
      </c>
      <c r="E111" s="13">
        <v>3605281125.5518761</v>
      </c>
      <c r="F111" s="13">
        <v>-2686530476.2443829</v>
      </c>
      <c r="G111" s="13">
        <v>-8812279103.0262566</v>
      </c>
      <c r="H111" s="13">
        <v>4340122199.1381359</v>
      </c>
      <c r="I111" s="13">
        <v>8167967669.9768829</v>
      </c>
      <c r="J111" s="13">
        <v>568516556.8239193</v>
      </c>
      <c r="K111" s="13">
        <v>-14273479211.271385</v>
      </c>
      <c r="L111" s="13">
        <v>11015038744.2173</v>
      </c>
      <c r="M111" s="13">
        <v>12630062764.826582</v>
      </c>
      <c r="N111" s="13">
        <v>41787950717.715469</v>
      </c>
      <c r="O111" s="13">
        <v>34597928717.882317</v>
      </c>
      <c r="P111" s="13">
        <v>-22949607642.168056</v>
      </c>
      <c r="Q111" s="13">
        <v>47631614946.882195</v>
      </c>
      <c r="R111" s="13">
        <v>-68967895540.467957</v>
      </c>
      <c r="S111" s="13">
        <v>-6106517736.676424</v>
      </c>
      <c r="T111" s="13">
        <v>41692992497.244759</v>
      </c>
      <c r="U111" s="13">
        <v>115528943446.97218</v>
      </c>
      <c r="V111" s="13">
        <v>60156990734.851562</v>
      </c>
      <c r="W111" s="13">
        <v>9348541030.0569019</v>
      </c>
      <c r="X111" s="13">
        <v>-368606160619.08612</v>
      </c>
      <c r="Y111" s="13">
        <v>-137108925177.64708</v>
      </c>
      <c r="Z111" s="13">
        <v>-42202003766.924278</v>
      </c>
      <c r="AA111" s="13">
        <v>-21366190696.266216</v>
      </c>
      <c r="AB111" s="13">
        <v>544576947141.66571</v>
      </c>
      <c r="AC111" s="13">
        <v>213916100808.95047</v>
      </c>
      <c r="AD111" s="13">
        <v>-502383300412.6604</v>
      </c>
      <c r="AE111" s="13">
        <v>-512408096630.44427</v>
      </c>
      <c r="AF111" s="13">
        <v>489826927963.22607</v>
      </c>
      <c r="AG111" s="13">
        <v>1960284320092.0405</v>
      </c>
      <c r="AH111" s="13">
        <v>229564625724.33719</v>
      </c>
      <c r="AI111" s="13">
        <v>-995819449277.48364</v>
      </c>
      <c r="AJ111" s="13">
        <v>-396247497133.83453</v>
      </c>
      <c r="AK111" s="13">
        <v>11225098486.820805</v>
      </c>
      <c r="AL111" s="13">
        <v>-421076435187.61224</v>
      </c>
      <c r="AM111" s="13">
        <v>-179479633287.8071</v>
      </c>
      <c r="AN111" s="13">
        <v>-720090479660.24414</v>
      </c>
      <c r="AO111" s="13">
        <v>-217895587270.71191</v>
      </c>
      <c r="AP111" s="13">
        <v>2545308676566.5854</v>
      </c>
      <c r="AQ111" s="13">
        <v>-2094230788781.074</v>
      </c>
      <c r="AR111" s="13">
        <v>-468914873055.56525</v>
      </c>
      <c r="AS111" s="13">
        <v>-311104045919.64111</v>
      </c>
      <c r="AT111" s="13">
        <v>-3158870609970.4492</v>
      </c>
      <c r="AU111" s="13">
        <v>1312274467739.8738</v>
      </c>
      <c r="AV111" s="13">
        <v>-5574421387905.2246</v>
      </c>
      <c r="AW111" s="13">
        <v>1824102162876.3372</v>
      </c>
      <c r="AX111" s="13">
        <v>-1165699184492.9802</v>
      </c>
      <c r="AY111" s="13">
        <v>-1452811534692.9719</v>
      </c>
      <c r="AZ111" s="13">
        <v>4679466540558.4258</v>
      </c>
      <c r="BA111" s="13">
        <v>-596417195893.58057</v>
      </c>
      <c r="BB111" s="13">
        <v>-214643650721.86292</v>
      </c>
      <c r="BC111" s="13">
        <v>6071669778566.6982</v>
      </c>
      <c r="BD111" s="13">
        <v>4656598945262.3379</v>
      </c>
      <c r="BE111" s="13">
        <v>-46849247666909.953</v>
      </c>
      <c r="BF111" s="13">
        <v>89009915433601.219</v>
      </c>
      <c r="BG111" s="13">
        <v>-20142183761277.043</v>
      </c>
      <c r="BH111" s="13">
        <v>20138763802567.141</v>
      </c>
      <c r="BI111" s="13">
        <v>-33345728770476.621</v>
      </c>
      <c r="BJ111" s="13">
        <v>-4384127944893.0024</v>
      </c>
      <c r="BK111" s="13">
        <v>36530817347421.703</v>
      </c>
      <c r="BL111" s="13">
        <v>18789539019516.688</v>
      </c>
      <c r="BM111" s="13">
        <v>1006500135628843</v>
      </c>
      <c r="BN111" s="13">
        <v>-60714516108031.133</v>
      </c>
      <c r="BO111" s="13">
        <v>-6807943452676790</v>
      </c>
    </row>
    <row r="112" spans="2:67" x14ac:dyDescent="0.2">
      <c r="B112" s="13">
        <v>676003367.08826733</v>
      </c>
      <c r="C112" s="13">
        <v>-1126404106.0900192</v>
      </c>
      <c r="D112" s="13">
        <v>-186570311.59936467</v>
      </c>
      <c r="E112" s="13">
        <v>1090939083.7851207</v>
      </c>
      <c r="F112" s="13">
        <v>-812929975.28086162</v>
      </c>
      <c r="G112" s="13">
        <v>-2666549252.6265354</v>
      </c>
      <c r="H112" s="13">
        <v>1313298123.0654776</v>
      </c>
      <c r="I112" s="13">
        <v>2471584005.7786303</v>
      </c>
      <c r="J112" s="13">
        <v>172030116.40501255</v>
      </c>
      <c r="K112" s="13">
        <v>-4319079647.5998583</v>
      </c>
      <c r="L112" s="13">
        <v>3333092720.6281934</v>
      </c>
      <c r="M112" s="13">
        <v>3821790484.9201975</v>
      </c>
      <c r="N112" s="13">
        <v>12644813838.770451</v>
      </c>
      <c r="O112" s="13">
        <v>10469151043.137173</v>
      </c>
      <c r="P112" s="13">
        <v>-6944430423.6768847</v>
      </c>
      <c r="Q112" s="13">
        <v>14413075862.869747</v>
      </c>
      <c r="R112" s="13">
        <v>-20869322017.190121</v>
      </c>
      <c r="S112" s="13">
        <v>-1847800111.3602469</v>
      </c>
      <c r="T112" s="13">
        <v>12616079982.169371</v>
      </c>
      <c r="U112" s="13">
        <v>34958449931.078094</v>
      </c>
      <c r="V112" s="13">
        <v>18203188619.393829</v>
      </c>
      <c r="W112" s="13">
        <v>2828819287.9710393</v>
      </c>
      <c r="X112" s="13">
        <v>-111538283184.83784</v>
      </c>
      <c r="Y112" s="13">
        <v>-41488438765.601562</v>
      </c>
      <c r="Z112" s="13">
        <v>-12770104112.078722</v>
      </c>
      <c r="AA112" s="13">
        <v>-6465296794.6405544</v>
      </c>
      <c r="AB112" s="13">
        <v>164786116559.24091</v>
      </c>
      <c r="AC112" s="13">
        <v>64729885657.199486</v>
      </c>
      <c r="AD112" s="13">
        <v>-152018541242.2453</v>
      </c>
      <c r="AE112" s="13">
        <v>-155051991783.16989</v>
      </c>
      <c r="AF112" s="13">
        <v>148219049056.89096</v>
      </c>
      <c r="AG112" s="13">
        <v>593171712727.43213</v>
      </c>
      <c r="AH112" s="13">
        <v>69465046897.816849</v>
      </c>
      <c r="AI112" s="13">
        <v>-301329721537.18579</v>
      </c>
      <c r="AJ112" s="13">
        <v>-119902406062.37286</v>
      </c>
      <c r="AK112" s="13">
        <v>3396655693.1937728</v>
      </c>
      <c r="AL112" s="13">
        <v>-127415511970.18553</v>
      </c>
      <c r="AM112" s="13">
        <v>-54309591928.042397</v>
      </c>
      <c r="AN112" s="13">
        <v>-217895587270.76935</v>
      </c>
      <c r="AO112" s="13">
        <v>-65934057301.996376</v>
      </c>
      <c r="AP112" s="13">
        <v>770197002359.07361</v>
      </c>
      <c r="AQ112" s="13">
        <v>-633703208816.41772</v>
      </c>
      <c r="AR112" s="13">
        <v>-141891171356.84308</v>
      </c>
      <c r="AS112" s="13">
        <v>-94138446075.559311</v>
      </c>
      <c r="AT112" s="13">
        <v>-955857612489.33997</v>
      </c>
      <c r="AU112" s="13">
        <v>397087343725.52185</v>
      </c>
      <c r="AV112" s="13">
        <v>-1686790558015.2649</v>
      </c>
      <c r="AW112" s="13">
        <v>551963709073.53088</v>
      </c>
      <c r="AX112" s="13">
        <v>-352734434848.78558</v>
      </c>
      <c r="AY112" s="13">
        <v>-439613120138.68683</v>
      </c>
      <c r="AZ112" s="13">
        <v>1415981933884.7219</v>
      </c>
      <c r="BA112" s="13">
        <v>-180472702743.62039</v>
      </c>
      <c r="BB112" s="13">
        <v>-64950038412.172798</v>
      </c>
      <c r="BC112" s="13">
        <v>1837255302671.1528</v>
      </c>
      <c r="BD112" s="13">
        <v>1409062319954.8518</v>
      </c>
      <c r="BE112" s="13">
        <v>-14176335643765.885</v>
      </c>
      <c r="BF112" s="13">
        <v>26933931698759.094</v>
      </c>
      <c r="BG112" s="13">
        <v>-6094918741617.0898</v>
      </c>
      <c r="BH112" s="13">
        <v>6093883879233.5156</v>
      </c>
      <c r="BI112" s="13">
        <v>-10090241932906.684</v>
      </c>
      <c r="BJ112" s="13">
        <v>-1326614029587.1216</v>
      </c>
      <c r="BK112" s="13">
        <v>11054032964400.982</v>
      </c>
      <c r="BL112" s="13">
        <v>5685615564727.3193</v>
      </c>
      <c r="BM112" s="13">
        <v>304561640977171.44</v>
      </c>
      <c r="BN112" s="13">
        <v>-18371892861608.742</v>
      </c>
      <c r="BO112" s="13">
        <v>-2060047839266863.5</v>
      </c>
    </row>
    <row r="113" spans="2:67" x14ac:dyDescent="0.2">
      <c r="B113" s="13">
        <v>-7896613498.1582365</v>
      </c>
      <c r="C113" s="13">
        <v>13157889888.745699</v>
      </c>
      <c r="D113" s="13">
        <v>2179388021.8678589</v>
      </c>
      <c r="E113" s="13">
        <v>-12743611517.603691</v>
      </c>
      <c r="F113" s="13">
        <v>9496097399.0397301</v>
      </c>
      <c r="G113" s="13">
        <v>31148822397.744282</v>
      </c>
      <c r="H113" s="13">
        <v>-15341059217.718313</v>
      </c>
      <c r="I113" s="13">
        <v>-28871370428.198799</v>
      </c>
      <c r="J113" s="13">
        <v>-2009539309.0140719</v>
      </c>
      <c r="K113" s="13">
        <v>50452563264.183723</v>
      </c>
      <c r="L113" s="13">
        <v>-38934931761.739235</v>
      </c>
      <c r="M113" s="13">
        <v>-44643568063.882935</v>
      </c>
      <c r="N113" s="13">
        <v>-147708151324.21271</v>
      </c>
      <c r="O113" s="13">
        <v>-122293532054.36784</v>
      </c>
      <c r="P113" s="13">
        <v>81120132962.522324</v>
      </c>
      <c r="Q113" s="13">
        <v>-168363790700.26782</v>
      </c>
      <c r="R113" s="13">
        <v>243781285659.00183</v>
      </c>
      <c r="S113" s="13">
        <v>21584749441.843086</v>
      </c>
      <c r="T113" s="13">
        <v>-147372501865.10223</v>
      </c>
      <c r="U113" s="13">
        <v>-408360935816.79486</v>
      </c>
      <c r="V113" s="13">
        <v>-212637320998.68018</v>
      </c>
      <c r="W113" s="13">
        <v>-33044351049.452847</v>
      </c>
      <c r="X113" s="13">
        <v>1302914682743.7441</v>
      </c>
      <c r="Y113" s="13">
        <v>484639842829.08447</v>
      </c>
      <c r="Z113" s="13">
        <v>149171707432.8493</v>
      </c>
      <c r="AA113" s="13">
        <v>75523218401.553024</v>
      </c>
      <c r="AB113" s="13">
        <v>-1924919809054.5239</v>
      </c>
      <c r="AC113" s="13">
        <v>-756130684718.38989</v>
      </c>
      <c r="AD113" s="13">
        <v>1775777641306.7168</v>
      </c>
      <c r="AE113" s="13">
        <v>1811212356107.3552</v>
      </c>
      <c r="AF113" s="13">
        <v>-1731394546858.5173</v>
      </c>
      <c r="AG113" s="13">
        <v>-6929030211276.4365</v>
      </c>
      <c r="AH113" s="13">
        <v>-811443631317.58154</v>
      </c>
      <c r="AI113" s="13">
        <v>3519929725676.0439</v>
      </c>
      <c r="AJ113" s="13">
        <v>1400618701396.667</v>
      </c>
      <c r="AK113" s="13">
        <v>-39677431350.653801</v>
      </c>
      <c r="AL113" s="13">
        <v>1488381716254.4539</v>
      </c>
      <c r="AM113" s="13">
        <v>634407870656.2605</v>
      </c>
      <c r="AN113" s="13">
        <v>2545308676566.8481</v>
      </c>
      <c r="AO113" s="13">
        <v>770197002358.92114</v>
      </c>
      <c r="AP113" s="13">
        <v>-8996919750991.7715</v>
      </c>
      <c r="AQ113" s="13">
        <v>7402491697838.8555</v>
      </c>
      <c r="AR113" s="13">
        <v>1657476565306.7451</v>
      </c>
      <c r="AS113" s="13">
        <v>1099661569989.4619</v>
      </c>
      <c r="AT113" s="13">
        <v>11165681256381.527</v>
      </c>
      <c r="AU113" s="13">
        <v>-4638505414440.4609</v>
      </c>
      <c r="AV113" s="13">
        <v>19703944887715.434</v>
      </c>
      <c r="AW113" s="13">
        <v>-6447666221445.9512</v>
      </c>
      <c r="AX113" s="13">
        <v>4120404771776.0376</v>
      </c>
      <c r="AY113" s="13">
        <v>5135262733047.4854</v>
      </c>
      <c r="AZ113" s="13">
        <v>-16540541950941.193</v>
      </c>
      <c r="BA113" s="13">
        <v>2108159885889.7798</v>
      </c>
      <c r="BB113" s="13">
        <v>758702360227.17065</v>
      </c>
      <c r="BC113" s="13">
        <v>-21461572129113.344</v>
      </c>
      <c r="BD113" s="13">
        <v>-16459711707423.783</v>
      </c>
      <c r="BE113" s="13">
        <v>165598351796971</v>
      </c>
      <c r="BF113" s="13">
        <v>-314623948588702.06</v>
      </c>
      <c r="BG113" s="13">
        <v>71196712832914.547</v>
      </c>
      <c r="BH113" s="13">
        <v>-71184624278945.469</v>
      </c>
      <c r="BI113" s="13">
        <v>117867372451958.95</v>
      </c>
      <c r="BJ113" s="13">
        <v>15496606622450.121</v>
      </c>
      <c r="BK113" s="13">
        <v>-129125726534624.92</v>
      </c>
      <c r="BL113" s="13">
        <v>-66415510335844.203</v>
      </c>
      <c r="BM113" s="13">
        <v>-3557682819757077.5</v>
      </c>
      <c r="BN113" s="13">
        <v>214608009697156.53</v>
      </c>
      <c r="BO113" s="13">
        <v>2.4064083651922928E+16</v>
      </c>
    </row>
    <row r="114" spans="2:67" x14ac:dyDescent="0.2">
      <c r="B114" s="13">
        <v>6497180977.3801813</v>
      </c>
      <c r="C114" s="13">
        <v>-10826057512.826834</v>
      </c>
      <c r="D114" s="13">
        <v>-1793158345.8244791</v>
      </c>
      <c r="E114" s="13">
        <v>10485197275.353073</v>
      </c>
      <c r="F114" s="13">
        <v>-7813205419.6133795</v>
      </c>
      <c r="G114" s="13">
        <v>-25628649090.862068</v>
      </c>
      <c r="H114" s="13">
        <v>12622327045.049515</v>
      </c>
      <c r="I114" s="13">
        <v>23754805624.042976</v>
      </c>
      <c r="J114" s="13">
        <v>1653410107.3786411</v>
      </c>
      <c r="K114" s="13">
        <v>-41511394014.218262</v>
      </c>
      <c r="L114" s="13">
        <v>32034909402.2346</v>
      </c>
      <c r="M114" s="13">
        <v>36731865027.308609</v>
      </c>
      <c r="N114" s="13">
        <v>121531412321.37172</v>
      </c>
      <c r="O114" s="13">
        <v>100620754745.79399</v>
      </c>
      <c r="P114" s="13">
        <v>-66744077684.660477</v>
      </c>
      <c r="Q114" s="13">
        <v>138526473211.97968</v>
      </c>
      <c r="R114" s="13">
        <v>-200578530555.34439</v>
      </c>
      <c r="S114" s="13">
        <v>-17759514696.868732</v>
      </c>
      <c r="T114" s="13">
        <v>121255246433.41881</v>
      </c>
      <c r="U114" s="13">
        <v>335991486060.63702</v>
      </c>
      <c r="V114" s="13">
        <v>174953878316.97049</v>
      </c>
      <c r="W114" s="13">
        <v>27188253432.621445</v>
      </c>
      <c r="X114" s="13">
        <v>-1072013021005.2268</v>
      </c>
      <c r="Y114" s="13">
        <v>-398752296594.59448</v>
      </c>
      <c r="Z114" s="13">
        <v>-122735598003.7438</v>
      </c>
      <c r="AA114" s="13">
        <v>-62139044548.617821</v>
      </c>
      <c r="AB114" s="13">
        <v>1583786818142.8103</v>
      </c>
      <c r="AC114" s="13">
        <v>622129714503.81238</v>
      </c>
      <c r="AD114" s="13">
        <v>-1461075524825.5352</v>
      </c>
      <c r="AE114" s="13">
        <v>-1490230523351.6975</v>
      </c>
      <c r="AF114" s="13">
        <v>1424557972449.8079</v>
      </c>
      <c r="AG114" s="13">
        <v>5701072148319.1504</v>
      </c>
      <c r="AH114" s="13">
        <v>667640137996.41235</v>
      </c>
      <c r="AI114" s="13">
        <v>-2896130152592.4502</v>
      </c>
      <c r="AJ114" s="13">
        <v>-1152401999336.948</v>
      </c>
      <c r="AK114" s="13">
        <v>32645823714.088696</v>
      </c>
      <c r="AL114" s="13">
        <v>-1224611711866.9282</v>
      </c>
      <c r="AM114" s="13">
        <v>-521978535493.72986</v>
      </c>
      <c r="AN114" s="13">
        <v>-2094230788781.2302</v>
      </c>
      <c r="AO114" s="13">
        <v>-633703208816.28894</v>
      </c>
      <c r="AP114" s="13">
        <v>7402491697838.625</v>
      </c>
      <c r="AQ114" s="13">
        <v>-6090627109405.5557</v>
      </c>
      <c r="AR114" s="13">
        <v>-1363739685762.4194</v>
      </c>
      <c r="AS114" s="13">
        <v>-904780287873.17529</v>
      </c>
      <c r="AT114" s="13">
        <v>-9186906751281.7559</v>
      </c>
      <c r="AU114" s="13">
        <v>3816472611863.4629</v>
      </c>
      <c r="AV114" s="13">
        <v>-16212025057787.576</v>
      </c>
      <c r="AW114" s="13">
        <v>5305015160265.3105</v>
      </c>
      <c r="AX114" s="13">
        <v>-3390189415822.3794</v>
      </c>
      <c r="AY114" s="13">
        <v>-4225194933339.4868</v>
      </c>
      <c r="AZ114" s="13">
        <v>13609238256920.447</v>
      </c>
      <c r="BA114" s="13">
        <v>-1734553212067.387</v>
      </c>
      <c r="BB114" s="13">
        <v>-624245639407.11572</v>
      </c>
      <c r="BC114" s="13">
        <v>17658166784362.727</v>
      </c>
      <c r="BD114" s="13">
        <v>13542732694674.072</v>
      </c>
      <c r="BE114" s="13">
        <v>-136251123526828.91</v>
      </c>
      <c r="BF114" s="13">
        <v>258866504518120.59</v>
      </c>
      <c r="BG114" s="13">
        <v>-58579279380682.68</v>
      </c>
      <c r="BH114" s="13">
        <v>58569333152125.273</v>
      </c>
      <c r="BI114" s="13">
        <v>-96978996164283.719</v>
      </c>
      <c r="BJ114" s="13">
        <v>-12750308443402.975</v>
      </c>
      <c r="BK114" s="13">
        <v>106242152326039.88</v>
      </c>
      <c r="BL114" s="13">
        <v>54645398366997.164</v>
      </c>
      <c r="BM114" s="13">
        <v>2927192668788930</v>
      </c>
      <c r="BN114" s="13">
        <v>-176575322892754.72</v>
      </c>
      <c r="BO114" s="13">
        <v>-1.9799462969506364E+16</v>
      </c>
    </row>
    <row r="115" spans="2:67" x14ac:dyDescent="0.2">
      <c r="B115" s="13">
        <v>1454770319.2693226</v>
      </c>
      <c r="C115" s="13">
        <v>-2424040087.3993683</v>
      </c>
      <c r="D115" s="13">
        <v>-401502366.64600152</v>
      </c>
      <c r="E115" s="13">
        <v>2347718778.4890304</v>
      </c>
      <c r="F115" s="13">
        <v>-1749438623.0049281</v>
      </c>
      <c r="G115" s="13">
        <v>-5738457671.2063894</v>
      </c>
      <c r="H115" s="13">
        <v>2826239073.2437758</v>
      </c>
      <c r="I115" s="13">
        <v>5318889266.2083178</v>
      </c>
      <c r="J115" s="13">
        <v>370211628.49624246</v>
      </c>
      <c r="K115" s="13">
        <v>-9294730150.3792915</v>
      </c>
      <c r="L115" s="13">
        <v>7172870132.4843216</v>
      </c>
      <c r="M115" s="13">
        <v>8224555726.6187763</v>
      </c>
      <c r="N115" s="13">
        <v>27211846509.666515</v>
      </c>
      <c r="O115" s="13">
        <v>22529784534.844624</v>
      </c>
      <c r="P115" s="13">
        <v>-14944528025.234739</v>
      </c>
      <c r="Q115" s="13">
        <v>31017175350.778004</v>
      </c>
      <c r="R115" s="13">
        <v>-44911122831.169647</v>
      </c>
      <c r="S115" s="13">
        <v>-3976496107.6780453</v>
      </c>
      <c r="T115" s="13">
        <v>27150010781.776375</v>
      </c>
      <c r="U115" s="13">
        <v>75231156888.198898</v>
      </c>
      <c r="V115" s="13">
        <v>39173560086.321884</v>
      </c>
      <c r="W115" s="13">
        <v>6087665445.1941729</v>
      </c>
      <c r="X115" s="13">
        <v>-240032212469.0993</v>
      </c>
      <c r="Y115" s="13">
        <v>-89283799825.110443</v>
      </c>
      <c r="Z115" s="13">
        <v>-27481473230.460411</v>
      </c>
      <c r="AA115" s="13">
        <v>-13913424606.192608</v>
      </c>
      <c r="AB115" s="13">
        <v>354622422112.90741</v>
      </c>
      <c r="AC115" s="13">
        <v>139299774244.21173</v>
      </c>
      <c r="AD115" s="13">
        <v>-327146390899.89899</v>
      </c>
      <c r="AE115" s="13">
        <v>-333674426137.94653</v>
      </c>
      <c r="AF115" s="13">
        <v>318969821454.93927</v>
      </c>
      <c r="AG115" s="13">
        <v>1276515242245.2471</v>
      </c>
      <c r="AH115" s="13">
        <v>149489918799.50488</v>
      </c>
      <c r="AI115" s="13">
        <v>-648466496688.57605</v>
      </c>
      <c r="AJ115" s="13">
        <v>-258031941902.55075</v>
      </c>
      <c r="AK115" s="13">
        <v>7309658691.7153635</v>
      </c>
      <c r="AL115" s="13">
        <v>-274200268893.89502</v>
      </c>
      <c r="AM115" s="13">
        <v>-116875131449.40593</v>
      </c>
      <c r="AN115" s="13">
        <v>-468914873055.23322</v>
      </c>
      <c r="AO115" s="13">
        <v>-141891171356.69907</v>
      </c>
      <c r="AP115" s="13">
        <v>1657476565305.4067</v>
      </c>
      <c r="AQ115" s="13">
        <v>-1363739685761.3643</v>
      </c>
      <c r="AR115" s="13">
        <v>-305352125000.17273</v>
      </c>
      <c r="AS115" s="13">
        <v>-202587477994.53983</v>
      </c>
      <c r="AT115" s="13">
        <v>-2057021239523.9526</v>
      </c>
      <c r="AU115" s="13">
        <v>854538468217.50684</v>
      </c>
      <c r="AV115" s="13">
        <v>-3630000911368.2261</v>
      </c>
      <c r="AW115" s="13">
        <v>1187834943383.0708</v>
      </c>
      <c r="AX115" s="13">
        <v>-759090281750.5697</v>
      </c>
      <c r="AY115" s="13">
        <v>-946054635610.41565</v>
      </c>
      <c r="AZ115" s="13">
        <v>3047216316234.8325</v>
      </c>
      <c r="BA115" s="13">
        <v>-388380212540.62506</v>
      </c>
      <c r="BB115" s="13">
        <v>-139773546554.73288</v>
      </c>
      <c r="BC115" s="13">
        <v>3953803506614.3726</v>
      </c>
      <c r="BD115" s="13">
        <v>3032325193644.5024</v>
      </c>
      <c r="BE115" s="13">
        <v>-30507706521197.156</v>
      </c>
      <c r="BF115" s="13">
        <v>57962262207523.469</v>
      </c>
      <c r="BG115" s="13">
        <v>-13116364970542.916</v>
      </c>
      <c r="BH115" s="13">
        <v>13114137929119.574</v>
      </c>
      <c r="BI115" s="13">
        <v>-21714365922990.996</v>
      </c>
      <c r="BJ115" s="13">
        <v>-2854895121573.1519</v>
      </c>
      <c r="BK115" s="13">
        <v>23788460010598.648</v>
      </c>
      <c r="BL115" s="13">
        <v>12235537828536.805</v>
      </c>
      <c r="BM115" s="13">
        <v>655421640256033.5</v>
      </c>
      <c r="BN115" s="13">
        <v>-39536614378607.445</v>
      </c>
      <c r="BO115" s="13">
        <v>-4433256694718889</v>
      </c>
    </row>
    <row r="116" spans="2:67" x14ac:dyDescent="0.2">
      <c r="B116" s="13">
        <v>965175041.82153451</v>
      </c>
      <c r="C116" s="13">
        <v>-1608242182.1349661</v>
      </c>
      <c r="D116" s="13">
        <v>-266378863.02318141</v>
      </c>
      <c r="E116" s="13">
        <v>1557606407.1445405</v>
      </c>
      <c r="F116" s="13">
        <v>-1160674282.2820759</v>
      </c>
      <c r="G116" s="13">
        <v>-3807210010.6198201</v>
      </c>
      <c r="H116" s="13">
        <v>1875083220.9366033</v>
      </c>
      <c r="I116" s="13">
        <v>3528845139.4186025</v>
      </c>
      <c r="J116" s="13">
        <v>245618857.60958877</v>
      </c>
      <c r="K116" s="13">
        <v>-6166637745.4144526</v>
      </c>
      <c r="L116" s="13">
        <v>4758878524.448945</v>
      </c>
      <c r="M116" s="13">
        <v>5456624878.8323421</v>
      </c>
      <c r="N116" s="13">
        <v>18053843102.022041</v>
      </c>
      <c r="O116" s="13">
        <v>14947504388.205917</v>
      </c>
      <c r="P116" s="13">
        <v>-9915025946.6933804</v>
      </c>
      <c r="Q116" s="13">
        <v>20578508593.381439</v>
      </c>
      <c r="R116" s="13">
        <v>-29796521336.317936</v>
      </c>
      <c r="S116" s="13">
        <v>-2638227317.2306943</v>
      </c>
      <c r="T116" s="13">
        <v>18012817858.580589</v>
      </c>
      <c r="U116" s="13">
        <v>49912507861.987282</v>
      </c>
      <c r="V116" s="13">
        <v>25989905070.019478</v>
      </c>
      <c r="W116" s="13">
        <v>4038893750.1757154</v>
      </c>
      <c r="X116" s="13">
        <v>-159250637467.38693</v>
      </c>
      <c r="Y116" s="13">
        <v>-59235807943.241257</v>
      </c>
      <c r="Z116" s="13">
        <v>-18232728370.09972</v>
      </c>
      <c r="AA116" s="13">
        <v>-9230934943.5467434</v>
      </c>
      <c r="AB116" s="13">
        <v>235276116480.14655</v>
      </c>
      <c r="AC116" s="13">
        <v>92419169992.478592</v>
      </c>
      <c r="AD116" s="13">
        <v>-217046998640.05032</v>
      </c>
      <c r="AE116" s="13">
        <v>-221378058075.79056</v>
      </c>
      <c r="AF116" s="13">
        <v>211622210535.64819</v>
      </c>
      <c r="AG116" s="13">
        <v>846910770749.13306</v>
      </c>
      <c r="AH116" s="13">
        <v>99179875139.774567</v>
      </c>
      <c r="AI116" s="13">
        <v>-430228517701.40576</v>
      </c>
      <c r="AJ116" s="13">
        <v>-171192652904.30334</v>
      </c>
      <c r="AK116" s="13">
        <v>4849631613.3936653</v>
      </c>
      <c r="AL116" s="13">
        <v>-181919614727.3157</v>
      </c>
      <c r="AM116" s="13">
        <v>-77541422434.318359</v>
      </c>
      <c r="AN116" s="13">
        <v>-311104045919.7085</v>
      </c>
      <c r="AO116" s="13">
        <v>-94138446075.549942</v>
      </c>
      <c r="AP116" s="13">
        <v>1099661569989.5784</v>
      </c>
      <c r="AQ116" s="13">
        <v>-904780287873.30811</v>
      </c>
      <c r="AR116" s="13">
        <v>-202587477994.72528</v>
      </c>
      <c r="AS116" s="13">
        <v>-134407730861.89984</v>
      </c>
      <c r="AT116" s="13">
        <v>-1364741591597.2134</v>
      </c>
      <c r="AU116" s="13">
        <v>566948054168.91968</v>
      </c>
      <c r="AV116" s="13">
        <v>-2408343251894.0977</v>
      </c>
      <c r="AW116" s="13">
        <v>788075358683.17163</v>
      </c>
      <c r="AX116" s="13">
        <v>-503622451440.17212</v>
      </c>
      <c r="AY116" s="13">
        <v>-627664938185.05225</v>
      </c>
      <c r="AZ116" s="13">
        <v>2021691738249.6091</v>
      </c>
      <c r="BA116" s="13">
        <v>-257672900810.00806</v>
      </c>
      <c r="BB116" s="13">
        <v>-92733496784.784256</v>
      </c>
      <c r="BC116" s="13">
        <v>2623171791502.8545</v>
      </c>
      <c r="BD116" s="13">
        <v>2011812144499.4866</v>
      </c>
      <c r="BE116" s="13">
        <v>-20240498811184.285</v>
      </c>
      <c r="BF116" s="13">
        <v>38455368597006.234</v>
      </c>
      <c r="BG116" s="13">
        <v>-8702121522791.3369</v>
      </c>
      <c r="BH116" s="13">
        <v>8700643982684.3848</v>
      </c>
      <c r="BI116" s="13">
        <v>-14406510609051.176</v>
      </c>
      <c r="BJ116" s="13">
        <v>-1894095228638.0562</v>
      </c>
      <c r="BK116" s="13">
        <v>15782579270879.412</v>
      </c>
      <c r="BL116" s="13">
        <v>8117732111576.123</v>
      </c>
      <c r="BM116" s="13">
        <v>434842944408796.38</v>
      </c>
      <c r="BN116" s="13">
        <v>-26230775355358.852</v>
      </c>
      <c r="BO116" s="13">
        <v>-2941267538411791.5</v>
      </c>
    </row>
    <row r="117" spans="2:67" x14ac:dyDescent="0.2">
      <c r="B117" s="13">
        <v>9800139577.2811127</v>
      </c>
      <c r="C117" s="13">
        <v>-16329678219.933571</v>
      </c>
      <c r="D117" s="13">
        <v>-2704742585.1872425</v>
      </c>
      <c r="E117" s="13">
        <v>15815535560.905939</v>
      </c>
      <c r="F117" s="13">
        <v>-11785188672.528757</v>
      </c>
      <c r="G117" s="13">
        <v>-38657432991.626358</v>
      </c>
      <c r="H117" s="13">
        <v>19039113618.988266</v>
      </c>
      <c r="I117" s="13">
        <v>35830987555.539413</v>
      </c>
      <c r="J117" s="13">
        <v>2493950820.6798239</v>
      </c>
      <c r="K117" s="13">
        <v>-62614456454.792839</v>
      </c>
      <c r="L117" s="13">
        <v>48320430749.85392</v>
      </c>
      <c r="M117" s="13">
        <v>55405168095.935699</v>
      </c>
      <c r="N117" s="13">
        <v>183314087743.58139</v>
      </c>
      <c r="O117" s="13">
        <v>151773121960.5325</v>
      </c>
      <c r="P117" s="13">
        <v>-100674627895.18748</v>
      </c>
      <c r="Q117" s="13">
        <v>208948892966.08884</v>
      </c>
      <c r="R117" s="13">
        <v>-302546227739.99792</v>
      </c>
      <c r="S117" s="13">
        <v>-26787882846.04525</v>
      </c>
      <c r="T117" s="13">
        <v>182897527968.72192</v>
      </c>
      <c r="U117" s="13">
        <v>506798790373.49231</v>
      </c>
      <c r="V117" s="13">
        <v>263894823472.09729</v>
      </c>
      <c r="W117" s="13">
        <v>41009890202.213593</v>
      </c>
      <c r="X117" s="13">
        <v>-1616990087098.2153</v>
      </c>
      <c r="Y117" s="13">
        <v>-601465185745.36267</v>
      </c>
      <c r="Z117" s="13">
        <v>-185130442835.80463</v>
      </c>
      <c r="AA117" s="13">
        <v>-93728543488.747177</v>
      </c>
      <c r="AB117" s="13">
        <v>2388933282384.2803</v>
      </c>
      <c r="AC117" s="13">
        <v>938400524559.90125</v>
      </c>
      <c r="AD117" s="13">
        <v>-2203839499940.8027</v>
      </c>
      <c r="AE117" s="13">
        <v>-2247815965428.3774</v>
      </c>
      <c r="AF117" s="13">
        <v>2148757594195.2407</v>
      </c>
      <c r="AG117" s="13">
        <v>8599314531661.6465</v>
      </c>
      <c r="AH117" s="13">
        <v>1007046988925.2157</v>
      </c>
      <c r="AI117" s="13">
        <v>-4368429912632.562</v>
      </c>
      <c r="AJ117" s="13">
        <v>-1738246245867.2483</v>
      </c>
      <c r="AK117" s="13">
        <v>49241914321.702614</v>
      </c>
      <c r="AL117" s="13">
        <v>-1847165062208.1143</v>
      </c>
      <c r="AM117" s="13">
        <v>-787335695592.47681</v>
      </c>
      <c r="AN117" s="13">
        <v>-3158870609970.79</v>
      </c>
      <c r="AO117" s="13">
        <v>-955857612489.15747</v>
      </c>
      <c r="AP117" s="13">
        <v>11165681256381.689</v>
      </c>
      <c r="AQ117" s="13">
        <v>-9186906751282.1074</v>
      </c>
      <c r="AR117" s="13">
        <v>-2057021239525.645</v>
      </c>
      <c r="AS117" s="13">
        <v>-1364741591597.0825</v>
      </c>
      <c r="AT117" s="13">
        <v>-13857235739504.684</v>
      </c>
      <c r="AU117" s="13">
        <v>5756644984856.3174</v>
      </c>
      <c r="AV117" s="13">
        <v>-24453699065764.613</v>
      </c>
      <c r="AW117" s="13">
        <v>8001914862947.627</v>
      </c>
      <c r="AX117" s="13">
        <v>-5113653072630.0283</v>
      </c>
      <c r="AY117" s="13">
        <v>-6373148636646.8848</v>
      </c>
      <c r="AZ117" s="13">
        <v>20527738864352.484</v>
      </c>
      <c r="BA117" s="13">
        <v>-2616344479469.5752</v>
      </c>
      <c r="BB117" s="13">
        <v>-941592117868.14844</v>
      </c>
      <c r="BC117" s="13">
        <v>26635012903008.598</v>
      </c>
      <c r="BD117" s="13">
        <v>20427424005459.074</v>
      </c>
      <c r="BE117" s="13">
        <v>-205516828417038.09</v>
      </c>
      <c r="BF117" s="13">
        <v>390465939765311.88</v>
      </c>
      <c r="BG117" s="13">
        <v>-88359107784231.109</v>
      </c>
      <c r="BH117" s="13">
        <v>88344105210589.234</v>
      </c>
      <c r="BI117" s="13">
        <v>-146280010020036.28</v>
      </c>
      <c r="BJ117" s="13">
        <v>-19232156659165.414</v>
      </c>
      <c r="BK117" s="13">
        <v>160252257927294.44</v>
      </c>
      <c r="BL117" s="13">
        <v>82425367727417.938</v>
      </c>
      <c r="BM117" s="13">
        <v>4415283616629248.5</v>
      </c>
      <c r="BN117" s="13">
        <v>-266340558509532.94</v>
      </c>
      <c r="BO117" s="13">
        <v>-2.9864875448560984E+16</v>
      </c>
    </row>
    <row r="118" spans="2:67" x14ac:dyDescent="0.2">
      <c r="B118" s="13">
        <v>-4071224983.7116494</v>
      </c>
      <c r="C118" s="13">
        <v>6783759906.8068066</v>
      </c>
      <c r="D118" s="13">
        <v>1123618240.5248311</v>
      </c>
      <c r="E118" s="13">
        <v>-6570172087.6876268</v>
      </c>
      <c r="F118" s="13">
        <v>4895864409.2700167</v>
      </c>
      <c r="G118" s="13">
        <v>16059271988.87792</v>
      </c>
      <c r="H118" s="13">
        <v>-7909327660.7021389</v>
      </c>
      <c r="I118" s="13">
        <v>-14885095317.189247</v>
      </c>
      <c r="J118" s="13">
        <v>-1036050028.4337993</v>
      </c>
      <c r="K118" s="13">
        <v>26011623350.035675</v>
      </c>
      <c r="L118" s="13">
        <v>-20073524805.154686</v>
      </c>
      <c r="M118" s="13">
        <v>-23016703261.900711</v>
      </c>
      <c r="N118" s="13">
        <v>-76153292309.115311</v>
      </c>
      <c r="O118" s="13">
        <v>-63050380161.799393</v>
      </c>
      <c r="P118" s="13">
        <v>41822777837.358025</v>
      </c>
      <c r="Q118" s="13">
        <v>-86802636498.650085</v>
      </c>
      <c r="R118" s="13">
        <v>125685328397.70894</v>
      </c>
      <c r="S118" s="13">
        <v>11128361697.15696</v>
      </c>
      <c r="T118" s="13">
        <v>-75980242872.682129</v>
      </c>
      <c r="U118" s="13">
        <v>-210536990911.18851</v>
      </c>
      <c r="V118" s="13">
        <v>-109628560894.13013</v>
      </c>
      <c r="W118" s="13">
        <v>-17036542005.205818</v>
      </c>
      <c r="X118" s="13">
        <v>671738436902.01794</v>
      </c>
      <c r="Y118" s="13">
        <v>249863797528.69925</v>
      </c>
      <c r="Z118" s="13">
        <v>76907851989.038101</v>
      </c>
      <c r="AA118" s="13">
        <v>38937199302.896713</v>
      </c>
      <c r="AB118" s="13">
        <v>-992423096318.80054</v>
      </c>
      <c r="AC118" s="13">
        <v>-389835229410.07727</v>
      </c>
      <c r="AD118" s="13">
        <v>915530473971.82593</v>
      </c>
      <c r="AE118" s="13">
        <v>933799406160.16357</v>
      </c>
      <c r="AF118" s="13">
        <v>-892648062079.64197</v>
      </c>
      <c r="AG118" s="13">
        <v>-3572371994148.1382</v>
      </c>
      <c r="AH118" s="13">
        <v>-418352700859.81573</v>
      </c>
      <c r="AI118" s="13">
        <v>1814755887867.6328</v>
      </c>
      <c r="AJ118" s="13">
        <v>722111301407.12244</v>
      </c>
      <c r="AK118" s="13">
        <v>-20456332304.991592</v>
      </c>
      <c r="AL118" s="13">
        <v>767358922901.76819</v>
      </c>
      <c r="AM118" s="13">
        <v>327079091983.18164</v>
      </c>
      <c r="AN118" s="13">
        <v>1312274467740.2786</v>
      </c>
      <c r="AO118" s="13">
        <v>397087343725.52679</v>
      </c>
      <c r="AP118" s="13">
        <v>-4638505414441.4258</v>
      </c>
      <c r="AQ118" s="13">
        <v>3816472611864.3979</v>
      </c>
      <c r="AR118" s="13">
        <v>854538468218.37268</v>
      </c>
      <c r="AS118" s="13">
        <v>566948054168.98022</v>
      </c>
      <c r="AT118" s="13">
        <v>5756644984857.4473</v>
      </c>
      <c r="AU118" s="13">
        <v>-2391455417479.2983</v>
      </c>
      <c r="AV118" s="13">
        <v>10158682924471.318</v>
      </c>
      <c r="AW118" s="13">
        <v>-3324197114814.5386</v>
      </c>
      <c r="AX118" s="13">
        <v>2124340371241.2043</v>
      </c>
      <c r="AY118" s="13">
        <v>2647566572933.3164</v>
      </c>
      <c r="AZ118" s="13">
        <v>-8527740106706.0332</v>
      </c>
      <c r="BA118" s="13">
        <v>1086895439738.9075</v>
      </c>
      <c r="BB118" s="13">
        <v>391161097842.58209</v>
      </c>
      <c r="BC118" s="13">
        <v>-11064855670010.256</v>
      </c>
      <c r="BD118" s="13">
        <v>-8486066786056.001</v>
      </c>
      <c r="BE118" s="13">
        <v>85376870383379.547</v>
      </c>
      <c r="BF118" s="13">
        <v>-162209392707434.44</v>
      </c>
      <c r="BG118" s="13">
        <v>36706600377274.617</v>
      </c>
      <c r="BH118" s="13">
        <v>-36700367935301.664</v>
      </c>
      <c r="BI118" s="13">
        <v>60768403013141.922</v>
      </c>
      <c r="BJ118" s="13">
        <v>7989522608042.0674</v>
      </c>
      <c r="BK118" s="13">
        <v>-66572826949302.078</v>
      </c>
      <c r="BL118" s="13">
        <v>-34241575208368.398</v>
      </c>
      <c r="BM118" s="13">
        <v>-1834220097457635</v>
      </c>
      <c r="BN118" s="13">
        <v>110644580871203.23</v>
      </c>
      <c r="BO118" s="13">
        <v>1.2406621977715112E+16</v>
      </c>
    </row>
    <row r="119" spans="2:67" x14ac:dyDescent="0.2">
      <c r="B119" s="13">
        <v>17294189730.873413</v>
      </c>
      <c r="C119" s="13">
        <v>-28816788899.105587</v>
      </c>
      <c r="D119" s="13">
        <v>-4773027064.930562</v>
      </c>
      <c r="E119" s="13">
        <v>27909487464.90641</v>
      </c>
      <c r="F119" s="13">
        <v>-20797182255.48877</v>
      </c>
      <c r="G119" s="13">
        <v>-68218312136.539108</v>
      </c>
      <c r="H119" s="13">
        <v>33598097316.947266</v>
      </c>
      <c r="I119" s="13">
        <v>63230517498.830292</v>
      </c>
      <c r="J119" s="13">
        <v>4401045345.4573755</v>
      </c>
      <c r="K119" s="13">
        <v>-110494986452.60359</v>
      </c>
      <c r="L119" s="13">
        <v>85270489331.249954</v>
      </c>
      <c r="M119" s="13">
        <v>97772841046.144974</v>
      </c>
      <c r="N119" s="13">
        <v>323492189961.76355</v>
      </c>
      <c r="O119" s="13">
        <v>267832222851.4617</v>
      </c>
      <c r="P119" s="13">
        <v>-177659318235.18219</v>
      </c>
      <c r="Q119" s="13">
        <v>368729625789.604</v>
      </c>
      <c r="R119" s="13">
        <v>-533899729043.53973</v>
      </c>
      <c r="S119" s="13">
        <v>-47272258193.249855</v>
      </c>
      <c r="T119" s="13">
        <v>322757091877.19025</v>
      </c>
      <c r="U119" s="13">
        <v>894341796563.38306</v>
      </c>
      <c r="V119" s="13">
        <v>465692055725.66223</v>
      </c>
      <c r="W119" s="13">
        <v>72369665390.696213</v>
      </c>
      <c r="X119" s="13">
        <v>-2853483171209.4399</v>
      </c>
      <c r="Y119" s="13">
        <v>-1061398458340.0267</v>
      </c>
      <c r="Z119" s="13">
        <v>-326697490185.64514</v>
      </c>
      <c r="AA119" s="13">
        <v>-165401645708.53421</v>
      </c>
      <c r="AB119" s="13">
        <v>4215722144973.9673</v>
      </c>
      <c r="AC119" s="13">
        <v>1655984242604.875</v>
      </c>
      <c r="AD119" s="13">
        <v>-3889089348960.5996</v>
      </c>
      <c r="AE119" s="13">
        <v>-3966694094486.4028</v>
      </c>
      <c r="AF119" s="13">
        <v>3791886965155.2153</v>
      </c>
      <c r="AG119" s="13">
        <v>15175108057773.859</v>
      </c>
      <c r="AH119" s="13">
        <v>1777123841651.2356</v>
      </c>
      <c r="AI119" s="13">
        <v>-7708916300561.1982</v>
      </c>
      <c r="AJ119" s="13">
        <v>-3067462472139.0298</v>
      </c>
      <c r="AK119" s="13">
        <v>86896620425.033432</v>
      </c>
      <c r="AL119" s="13">
        <v>-3259670211652.8901</v>
      </c>
      <c r="AM119" s="13">
        <v>-1389401935954.5254</v>
      </c>
      <c r="AN119" s="13">
        <v>-5574421387906.0479</v>
      </c>
      <c r="AO119" s="13">
        <v>-1686790558015.0134</v>
      </c>
      <c r="AP119" s="13">
        <v>19703944887716.328</v>
      </c>
      <c r="AQ119" s="13">
        <v>-16212025057788.807</v>
      </c>
      <c r="AR119" s="13">
        <v>-3630000911371.3281</v>
      </c>
      <c r="AS119" s="13">
        <v>-2408343251893.9404</v>
      </c>
      <c r="AT119" s="13">
        <v>-24453699065765.398</v>
      </c>
      <c r="AU119" s="13">
        <v>10158682924469.656</v>
      </c>
      <c r="AV119" s="13">
        <v>-43153151843434.758</v>
      </c>
      <c r="AW119" s="13">
        <v>14120883968943.434</v>
      </c>
      <c r="AX119" s="13">
        <v>-9024002745992.9629</v>
      </c>
      <c r="AY119" s="13">
        <v>-11246619584984.461</v>
      </c>
      <c r="AZ119" s="13">
        <v>36225056578764.992</v>
      </c>
      <c r="BA119" s="13">
        <v>-4617031979548.3135</v>
      </c>
      <c r="BB119" s="13">
        <v>-1661616409442.5786</v>
      </c>
      <c r="BC119" s="13">
        <v>47002490423125.711</v>
      </c>
      <c r="BD119" s="13">
        <v>36048032140815.523</v>
      </c>
      <c r="BE119" s="13">
        <v>-362673102307332.56</v>
      </c>
      <c r="BF119" s="13">
        <v>689050598974954.38</v>
      </c>
      <c r="BG119" s="13">
        <v>-155926266394743.56</v>
      </c>
      <c r="BH119" s="13">
        <v>155899791536062.59</v>
      </c>
      <c r="BI119" s="13">
        <v>-258138593555653.28</v>
      </c>
      <c r="BJ119" s="13">
        <v>-33938758075095.562</v>
      </c>
      <c r="BK119" s="13">
        <v>282795253223856</v>
      </c>
      <c r="BL119" s="13">
        <v>145455065907830.16</v>
      </c>
      <c r="BM119" s="13">
        <v>7791598474668501</v>
      </c>
      <c r="BN119" s="13">
        <v>-470008015252015.31</v>
      </c>
      <c r="BO119" s="13">
        <v>-5.27021904357024E+16</v>
      </c>
    </row>
    <row r="120" spans="2:67" x14ac:dyDescent="0.2">
      <c r="B120" s="13">
        <v>-5659128849.089941</v>
      </c>
      <c r="C120" s="13">
        <v>9429636423.2633343</v>
      </c>
      <c r="D120" s="13">
        <v>1561864162.5518572</v>
      </c>
      <c r="E120" s="13">
        <v>-9132742738.0834236</v>
      </c>
      <c r="F120" s="13">
        <v>6805403196.8894567</v>
      </c>
      <c r="G120" s="13">
        <v>22322885561.880211</v>
      </c>
      <c r="H120" s="13">
        <v>-10994210469.598047</v>
      </c>
      <c r="I120" s="13">
        <v>-20690743613.290855</v>
      </c>
      <c r="J120" s="13">
        <v>-1440141635.2803805</v>
      </c>
      <c r="K120" s="13">
        <v>36156962265.660095</v>
      </c>
      <c r="L120" s="13">
        <v>-27902821332.565662</v>
      </c>
      <c r="M120" s="13">
        <v>-31993930564.55513</v>
      </c>
      <c r="N120" s="13">
        <v>-105855435447.47235</v>
      </c>
      <c r="O120" s="13">
        <v>-87641981650.614868</v>
      </c>
      <c r="P120" s="13">
        <v>58134956813.869514</v>
      </c>
      <c r="Q120" s="13">
        <v>-120658353776.11946</v>
      </c>
      <c r="R120" s="13">
        <v>174706500054.34467</v>
      </c>
      <c r="S120" s="13">
        <v>15468767502.925962</v>
      </c>
      <c r="T120" s="13">
        <v>-105614891376.01381</v>
      </c>
      <c r="U120" s="13">
        <v>-292652939550.39557</v>
      </c>
      <c r="V120" s="13">
        <v>-152387095803.36169</v>
      </c>
      <c r="W120" s="13">
        <v>-23681321159.578209</v>
      </c>
      <c r="X120" s="13">
        <v>933737236950.37195</v>
      </c>
      <c r="Y120" s="13">
        <v>347318419044.85059</v>
      </c>
      <c r="Z120" s="13">
        <v>106904296782.27594</v>
      </c>
      <c r="AA120" s="13">
        <v>54123913260.633453</v>
      </c>
      <c r="AB120" s="13">
        <v>-1379498847972.3303</v>
      </c>
      <c r="AC120" s="13">
        <v>-541883045510.65485</v>
      </c>
      <c r="AD120" s="13">
        <v>1272615720875.5977</v>
      </c>
      <c r="AE120" s="13">
        <v>1298010102531.2432</v>
      </c>
      <c r="AF120" s="13">
        <v>-1240808459431.1189</v>
      </c>
      <c r="AG120" s="13">
        <v>-4965707739671.7471</v>
      </c>
      <c r="AH120" s="13">
        <v>-581523214278.39905</v>
      </c>
      <c r="AI120" s="13">
        <v>2522566903135.2505</v>
      </c>
      <c r="AJ120" s="13">
        <v>1003757079095.6786</v>
      </c>
      <c r="AK120" s="13">
        <v>-28434935616.013107</v>
      </c>
      <c r="AL120" s="13">
        <v>1066652674703.7906</v>
      </c>
      <c r="AM120" s="13">
        <v>454650070398.77557</v>
      </c>
      <c r="AN120" s="13">
        <v>1824102162876.7534</v>
      </c>
      <c r="AO120" s="13">
        <v>551963709073.5</v>
      </c>
      <c r="AP120" s="13">
        <v>-6447666221446.7471</v>
      </c>
      <c r="AQ120" s="13">
        <v>5305015160266.1289</v>
      </c>
      <c r="AR120" s="13">
        <v>1187834943384.1787</v>
      </c>
      <c r="AS120" s="13">
        <v>788075358683.18298</v>
      </c>
      <c r="AT120" s="13">
        <v>8001914862948.5234</v>
      </c>
      <c r="AU120" s="13">
        <v>-3324197114814.2622</v>
      </c>
      <c r="AV120" s="13">
        <v>14120883968944.541</v>
      </c>
      <c r="AW120" s="13">
        <v>-4620736969281.5088</v>
      </c>
      <c r="AX120" s="13">
        <v>2952898925522.7485</v>
      </c>
      <c r="AY120" s="13">
        <v>3680199554803.6665</v>
      </c>
      <c r="AZ120" s="13">
        <v>-11853822927537.002</v>
      </c>
      <c r="BA120" s="13">
        <v>1510818331601.5857</v>
      </c>
      <c r="BB120" s="13">
        <v>543726043583.48285</v>
      </c>
      <c r="BC120" s="13">
        <v>-15380492157786.211</v>
      </c>
      <c r="BD120" s="13">
        <v>-11795895720768.203</v>
      </c>
      <c r="BE120" s="13">
        <v>118676494706880.64</v>
      </c>
      <c r="BF120" s="13">
        <v>-225476080916698.5</v>
      </c>
      <c r="BG120" s="13">
        <v>51023311655372.734</v>
      </c>
      <c r="BH120" s="13">
        <v>-51014648363406.797</v>
      </c>
      <c r="BI120" s="13">
        <v>84469962720871.328</v>
      </c>
      <c r="BJ120" s="13">
        <v>11105683927960.764</v>
      </c>
      <c r="BK120" s="13">
        <v>-92538291808096.562</v>
      </c>
      <c r="BL120" s="13">
        <v>-47596850302671.102</v>
      </c>
      <c r="BM120" s="13">
        <v>-2549622757402432.5</v>
      </c>
      <c r="BN120" s="13">
        <v>153799395046567.75</v>
      </c>
      <c r="BO120" s="13">
        <v>1.724558889125412E+16</v>
      </c>
    </row>
    <row r="121" spans="2:67" x14ac:dyDescent="0.2">
      <c r="B121" s="13">
        <v>3616487068.8356009</v>
      </c>
      <c r="C121" s="13">
        <v>-6026043777.6988907</v>
      </c>
      <c r="D121" s="13">
        <v>-998115027.4412967</v>
      </c>
      <c r="E121" s="13">
        <v>5836312778.1965218</v>
      </c>
      <c r="F121" s="13">
        <v>-4349017899.3435879</v>
      </c>
      <c r="G121" s="13">
        <v>-14265521978.251572</v>
      </c>
      <c r="H121" s="13">
        <v>7025890566.2342024</v>
      </c>
      <c r="I121" s="13">
        <v>13222495673.187687</v>
      </c>
      <c r="J121" s="13">
        <v>920327799.69613564</v>
      </c>
      <c r="K121" s="13">
        <v>-23106239488.180054</v>
      </c>
      <c r="L121" s="13">
        <v>17831400419.030228</v>
      </c>
      <c r="M121" s="13">
        <v>20445838795.077198</v>
      </c>
      <c r="N121" s="13">
        <v>67647304676.670448</v>
      </c>
      <c r="O121" s="13">
        <v>56007930156.212227</v>
      </c>
      <c r="P121" s="13">
        <v>-37151357597.670135</v>
      </c>
      <c r="Q121" s="13">
        <v>77107163984.96991</v>
      </c>
      <c r="R121" s="13">
        <v>-111646830304.22812</v>
      </c>
      <c r="S121" s="13">
        <v>-9885372667.5377369</v>
      </c>
      <c r="T121" s="13">
        <v>67493584108.626923</v>
      </c>
      <c r="U121" s="13">
        <v>187020935509.47647</v>
      </c>
      <c r="V121" s="13">
        <v>97383533069.617874</v>
      </c>
      <c r="W121" s="13">
        <v>15133635234.658998</v>
      </c>
      <c r="X121" s="13">
        <v>-596708209541.40039</v>
      </c>
      <c r="Y121" s="13">
        <v>-221955110887.271</v>
      </c>
      <c r="Z121" s="13">
        <v>-68317583365.56179</v>
      </c>
      <c r="AA121" s="13">
        <v>-34588085488.211319</v>
      </c>
      <c r="AB121" s="13">
        <v>881573803707.08032</v>
      </c>
      <c r="AC121" s="13">
        <v>346292349787.90015</v>
      </c>
      <c r="AD121" s="13">
        <v>-813269748915.88342</v>
      </c>
      <c r="AE121" s="13">
        <v>-829498121720.37903</v>
      </c>
      <c r="AF121" s="13">
        <v>792943201665.9469</v>
      </c>
      <c r="AG121" s="13">
        <v>3173353762890.0581</v>
      </c>
      <c r="AH121" s="13">
        <v>371624545188.45654</v>
      </c>
      <c r="AI121" s="13">
        <v>-1612055641207.5005</v>
      </c>
      <c r="AJ121" s="13">
        <v>-641454646739.13232</v>
      </c>
      <c r="AK121" s="13">
        <v>18171450006.899815</v>
      </c>
      <c r="AL121" s="13">
        <v>-681648308046.27515</v>
      </c>
      <c r="AM121" s="13">
        <v>-290545796773.81274</v>
      </c>
      <c r="AN121" s="13">
        <v>-1165699184493.1892</v>
      </c>
      <c r="AO121" s="13">
        <v>-352734434848.75952</v>
      </c>
      <c r="AP121" s="13">
        <v>4120404771776.3276</v>
      </c>
      <c r="AQ121" s="13">
        <v>-3390189415822.7329</v>
      </c>
      <c r="AR121" s="13">
        <v>-759090281751.23425</v>
      </c>
      <c r="AS121" s="13">
        <v>-503622451440.15094</v>
      </c>
      <c r="AT121" s="13">
        <v>-5113653072630.3359</v>
      </c>
      <c r="AU121" s="13">
        <v>2124340371240.9197</v>
      </c>
      <c r="AV121" s="13">
        <v>-9024002745993.1738</v>
      </c>
      <c r="AW121" s="13">
        <v>2952898925522.5908</v>
      </c>
      <c r="AX121" s="13">
        <v>-1887060900040.9265</v>
      </c>
      <c r="AY121" s="13">
        <v>-2351845037528.4551</v>
      </c>
      <c r="AZ121" s="13">
        <v>7575229063799.3398</v>
      </c>
      <c r="BA121" s="13">
        <v>-965494001697.64966</v>
      </c>
      <c r="BB121" s="13">
        <v>-347470124402.76373</v>
      </c>
      <c r="BC121" s="13">
        <v>9828959984022.498</v>
      </c>
      <c r="BD121" s="13">
        <v>7538210469443.8428</v>
      </c>
      <c r="BE121" s="13">
        <v>-75840649669876.312</v>
      </c>
      <c r="BF121" s="13">
        <v>144091317357482.59</v>
      </c>
      <c r="BG121" s="13">
        <v>-32606634650708.062</v>
      </c>
      <c r="BH121" s="13">
        <v>32601098339571.484</v>
      </c>
      <c r="BI121" s="13">
        <v>-53980839812760.898</v>
      </c>
      <c r="BJ121" s="13">
        <v>-7097128087526.5312</v>
      </c>
      <c r="BK121" s="13">
        <v>59136935140681.453</v>
      </c>
      <c r="BL121" s="13">
        <v>30416941940238.172</v>
      </c>
      <c r="BM121" s="13">
        <v>1629345784190328.8</v>
      </c>
      <c r="BN121" s="13">
        <v>-98286068086625.578</v>
      </c>
      <c r="BO121" s="13">
        <v>-1.1020856899012802E+16</v>
      </c>
    </row>
    <row r="122" spans="2:67" x14ac:dyDescent="0.2">
      <c r="B122" s="13">
        <v>4507229822.7382097</v>
      </c>
      <c r="C122" s="13">
        <v>-7510261674.1477957</v>
      </c>
      <c r="D122" s="13">
        <v>-1243951307.6469922</v>
      </c>
      <c r="E122" s="13">
        <v>7273799825.1282501</v>
      </c>
      <c r="F122" s="13">
        <v>-5420183399.6929827</v>
      </c>
      <c r="G122" s="13">
        <v>-17779127886.587292</v>
      </c>
      <c r="H122" s="13">
        <v>8756371276.5553665</v>
      </c>
      <c r="I122" s="13">
        <v>16479203629.105877</v>
      </c>
      <c r="J122" s="13">
        <v>1147005042.8821259</v>
      </c>
      <c r="K122" s="13">
        <v>-28797318981.116123</v>
      </c>
      <c r="L122" s="13">
        <v>22223284148.568352</v>
      </c>
      <c r="M122" s="13">
        <v>25481660134.285011</v>
      </c>
      <c r="N122" s="13">
        <v>84308873020.366974</v>
      </c>
      <c r="O122" s="13">
        <v>69802714154.835648</v>
      </c>
      <c r="P122" s="13">
        <v>-46301757405.139511</v>
      </c>
      <c r="Q122" s="13">
        <v>96098700878.846008</v>
      </c>
      <c r="R122" s="13">
        <v>-139145506007.03561</v>
      </c>
      <c r="S122" s="13">
        <v>-12320145392.204538</v>
      </c>
      <c r="T122" s="13">
        <v>84117290991.455002</v>
      </c>
      <c r="U122" s="13">
        <v>233084294776.63141</v>
      </c>
      <c r="V122" s="13">
        <v>121369150820.09761</v>
      </c>
      <c r="W122" s="13">
        <v>18861057914.984127</v>
      </c>
      <c r="X122" s="13">
        <v>-743677769705.60168</v>
      </c>
      <c r="Y122" s="13">
        <v>-276622776761.86255</v>
      </c>
      <c r="Z122" s="13">
        <v>-85144241720.724045</v>
      </c>
      <c r="AA122" s="13">
        <v>-43107149964.447617</v>
      </c>
      <c r="AB122" s="13">
        <v>1098705916361.8785</v>
      </c>
      <c r="AC122" s="13">
        <v>431584345977.98175</v>
      </c>
      <c r="AD122" s="13">
        <v>-1013578535320.7063</v>
      </c>
      <c r="AE122" s="13">
        <v>-1033803965273.3229</v>
      </c>
      <c r="AF122" s="13">
        <v>988245548313.63538</v>
      </c>
      <c r="AG122" s="13">
        <v>3954952539854.0757</v>
      </c>
      <c r="AH122" s="13">
        <v>463155875036.84784</v>
      </c>
      <c r="AI122" s="13">
        <v>-2009105832164.9709</v>
      </c>
      <c r="AJ122" s="13">
        <v>-799445278994.54871</v>
      </c>
      <c r="AK122" s="13">
        <v>22647088135.44302</v>
      </c>
      <c r="AL122" s="13">
        <v>-849538661185.30554</v>
      </c>
      <c r="AM122" s="13">
        <v>-362107386296.55078</v>
      </c>
      <c r="AN122" s="13">
        <v>-1452811534692.6926</v>
      </c>
      <c r="AO122" s="13">
        <v>-439613120138.46869</v>
      </c>
      <c r="AP122" s="13">
        <v>5135262733045.874</v>
      </c>
      <c r="AQ122" s="13">
        <v>-4225194933338.3579</v>
      </c>
      <c r="AR122" s="13">
        <v>-946054635610.87524</v>
      </c>
      <c r="AS122" s="13">
        <v>-627664938184.78625</v>
      </c>
      <c r="AT122" s="13">
        <v>-6373148636644.7842</v>
      </c>
      <c r="AU122" s="13">
        <v>2647566572931.9268</v>
      </c>
      <c r="AV122" s="13">
        <v>-11246619584980.422</v>
      </c>
      <c r="AW122" s="13">
        <v>3680199554802.0874</v>
      </c>
      <c r="AX122" s="13">
        <v>-2351845037527.5928</v>
      </c>
      <c r="AY122" s="13">
        <v>-2931105763624.9932</v>
      </c>
      <c r="AZ122" s="13">
        <v>9441012148148.8711</v>
      </c>
      <c r="BA122" s="13">
        <v>-1203295705253.761</v>
      </c>
      <c r="BB122" s="13">
        <v>-433052207138.25793</v>
      </c>
      <c r="BC122" s="13">
        <v>12249838233373.789</v>
      </c>
      <c r="BD122" s="13">
        <v>9394875853842.4805</v>
      </c>
      <c r="BE122" s="13">
        <v>-94520243391548.406</v>
      </c>
      <c r="BF122" s="13">
        <v>179581088064389.75</v>
      </c>
      <c r="BG122" s="13">
        <v>-40637666696141.531</v>
      </c>
      <c r="BH122" s="13">
        <v>40630766789370.336</v>
      </c>
      <c r="BI122" s="13">
        <v>-67276350345106.719</v>
      </c>
      <c r="BJ122" s="13">
        <v>-8845154638354.2695</v>
      </c>
      <c r="BK122" s="13">
        <v>73702394787087.797</v>
      </c>
      <c r="BL122" s="13">
        <v>37908651467701.375</v>
      </c>
      <c r="BM122" s="13">
        <v>2030654546876802.5</v>
      </c>
      <c r="BN122" s="13">
        <v>-122493980707489.66</v>
      </c>
      <c r="BO122" s="13">
        <v>-1.373530001404144E+16</v>
      </c>
    </row>
    <row r="123" spans="2:67" x14ac:dyDescent="0.2">
      <c r="B123" s="13">
        <v>-14517664984.428705</v>
      </c>
      <c r="C123" s="13">
        <v>24190349109.957615</v>
      </c>
      <c r="D123" s="13">
        <v>4006733415.5143857</v>
      </c>
      <c r="E123" s="13">
        <v>-23428711908.878185</v>
      </c>
      <c r="F123" s="13">
        <v>17458263688.692406</v>
      </c>
      <c r="G123" s="13">
        <v>57266088600.562515</v>
      </c>
      <c r="H123" s="13">
        <v>-28204034334.520332</v>
      </c>
      <c r="I123" s="13">
        <v>-53079067832.713249</v>
      </c>
      <c r="J123" s="13">
        <v>-3694472126.3455768</v>
      </c>
      <c r="K123" s="13">
        <v>92755383208.973511</v>
      </c>
      <c r="L123" s="13">
        <v>-71580595357.699051</v>
      </c>
      <c r="M123" s="13">
        <v>-82075736011.750565</v>
      </c>
      <c r="N123" s="13">
        <v>-271556592822.11389</v>
      </c>
      <c r="O123" s="13">
        <v>-224832648646.11578</v>
      </c>
      <c r="P123" s="13">
        <v>149136704501.97845</v>
      </c>
      <c r="Q123" s="13">
        <v>-309531308511.35272</v>
      </c>
      <c r="R123" s="13">
        <v>448183900034.52148</v>
      </c>
      <c r="S123" s="13">
        <v>39682854079.338356</v>
      </c>
      <c r="T123" s="13">
        <v>-270939512299.40469</v>
      </c>
      <c r="U123" s="13">
        <v>-750758190241.66931</v>
      </c>
      <c r="V123" s="13">
        <v>-390926742224.53143</v>
      </c>
      <c r="W123" s="13">
        <v>-60750955872.100845</v>
      </c>
      <c r="X123" s="13">
        <v>2395365921323.8984</v>
      </c>
      <c r="Y123" s="13">
        <v>890994459578.10657</v>
      </c>
      <c r="Z123" s="13">
        <v>274247292737.66888</v>
      </c>
      <c r="AA123" s="13">
        <v>138846960607.61206</v>
      </c>
      <c r="AB123" s="13">
        <v>-3538901950348.2153</v>
      </c>
      <c r="AC123" s="13">
        <v>-1390121470139.6997</v>
      </c>
      <c r="AD123" s="13">
        <v>3264708965348.1572</v>
      </c>
      <c r="AE123" s="13">
        <v>3329854526593.9927</v>
      </c>
      <c r="AF123" s="13">
        <v>-3183112101539.938</v>
      </c>
      <c r="AG123" s="13">
        <v>-12738794838783.889</v>
      </c>
      <c r="AH123" s="13">
        <v>-1491812508739.6069</v>
      </c>
      <c r="AI123" s="13">
        <v>6471275381278.7412</v>
      </c>
      <c r="AJ123" s="13">
        <v>2574991555878.563</v>
      </c>
      <c r="AK123" s="13">
        <v>-72945656506.46936</v>
      </c>
      <c r="AL123" s="13">
        <v>2736340980923.8833</v>
      </c>
      <c r="AM123" s="13">
        <v>1166338067813.6624</v>
      </c>
      <c r="AN123" s="13">
        <v>4679466540558.5918</v>
      </c>
      <c r="AO123" s="13">
        <v>1415981933884.3809</v>
      </c>
      <c r="AP123" s="13">
        <v>-16540541950940.117</v>
      </c>
      <c r="AQ123" s="13">
        <v>13609238256919.93</v>
      </c>
      <c r="AR123" s="13">
        <v>3047216316237.0977</v>
      </c>
      <c r="AS123" s="13">
        <v>2021691738249.2529</v>
      </c>
      <c r="AT123" s="13">
        <v>20527738864350.918</v>
      </c>
      <c r="AU123" s="13">
        <v>-8527740106703.7363</v>
      </c>
      <c r="AV123" s="13">
        <v>36225056578760.969</v>
      </c>
      <c r="AW123" s="13">
        <v>-11853822927534.752</v>
      </c>
      <c r="AX123" s="13">
        <v>7575229063798.2812</v>
      </c>
      <c r="AY123" s="13">
        <v>9441012148151.1406</v>
      </c>
      <c r="AZ123" s="13">
        <v>-30409244008255.465</v>
      </c>
      <c r="BA123" s="13">
        <v>3875782823024.377</v>
      </c>
      <c r="BB123" s="13">
        <v>1394849411212.4253</v>
      </c>
      <c r="BC123" s="13">
        <v>-39456396629104.953</v>
      </c>
      <c r="BD123" s="13">
        <v>-30260640256011.289</v>
      </c>
      <c r="BE123" s="13">
        <v>304447139767099.88</v>
      </c>
      <c r="BF123" s="13">
        <v>-578425812881665.38</v>
      </c>
      <c r="BG123" s="13">
        <v>130892821986528.2</v>
      </c>
      <c r="BH123" s="13">
        <v>-130870597575011.08</v>
      </c>
      <c r="BI123" s="13">
        <v>216695299352064.09</v>
      </c>
      <c r="BJ123" s="13">
        <v>28490003137148.945</v>
      </c>
      <c r="BK123" s="13">
        <v>-237393414169158.78</v>
      </c>
      <c r="BL123" s="13">
        <v>-122102737971101.12</v>
      </c>
      <c r="BM123" s="13">
        <v>-6540683206801840</v>
      </c>
      <c r="BN123" s="13">
        <v>394549788777071.69</v>
      </c>
      <c r="BO123" s="13">
        <v>4.4241028726655984E+16</v>
      </c>
    </row>
    <row r="124" spans="2:67" x14ac:dyDescent="0.2">
      <c r="B124" s="13">
        <v>1850335923.1789608</v>
      </c>
      <c r="C124" s="13">
        <v>-3083159171.7825232</v>
      </c>
      <c r="D124" s="13">
        <v>-510674600.25325578</v>
      </c>
      <c r="E124" s="13">
        <v>2986085387.9888597</v>
      </c>
      <c r="F124" s="13">
        <v>-2225127283.2168369</v>
      </c>
      <c r="G124" s="13">
        <v>-7298797778.2855978</v>
      </c>
      <c r="H124" s="13">
        <v>3594719806.3470573</v>
      </c>
      <c r="I124" s="13">
        <v>6765144812.255517</v>
      </c>
      <c r="J124" s="13">
        <v>470875621.01722902</v>
      </c>
      <c r="K124" s="13">
        <v>-11822053876.223156</v>
      </c>
      <c r="L124" s="13">
        <v>9123240349.6401196</v>
      </c>
      <c r="M124" s="13">
        <v>10460889060.898081</v>
      </c>
      <c r="N124" s="13">
        <v>34611001100.584267</v>
      </c>
      <c r="O124" s="13">
        <v>28655842853.987621</v>
      </c>
      <c r="P124" s="13">
        <v>-19008084429.308376</v>
      </c>
      <c r="Q124" s="13">
        <v>39451034313.370064</v>
      </c>
      <c r="R124" s="13">
        <v>-57122875556.996948</v>
      </c>
      <c r="S124" s="13">
        <v>-5057742456.2853527</v>
      </c>
      <c r="T124" s="13">
        <v>34532351730.82547</v>
      </c>
      <c r="U124" s="13">
        <v>95687209364.54039</v>
      </c>
      <c r="V124" s="13">
        <v>49825216029.84156</v>
      </c>
      <c r="W124" s="13">
        <v>7742958399.5779839</v>
      </c>
      <c r="X124" s="13">
        <v>-305299207370.05493</v>
      </c>
      <c r="Y124" s="13">
        <v>-113560896813.95662</v>
      </c>
      <c r="Z124" s="13">
        <v>-34953941897.659775</v>
      </c>
      <c r="AA124" s="13">
        <v>-17696614413.528355</v>
      </c>
      <c r="AB124" s="13">
        <v>451047562806.99872</v>
      </c>
      <c r="AC124" s="13">
        <v>177176680609.24075</v>
      </c>
      <c r="AD124" s="13">
        <v>-416100542767.59882</v>
      </c>
      <c r="AE124" s="13">
        <v>-424403611165.90131</v>
      </c>
      <c r="AF124" s="13">
        <v>405700687659.81226</v>
      </c>
      <c r="AG124" s="13">
        <v>1623611629525.4214</v>
      </c>
      <c r="AH124" s="13">
        <v>190137620607.72067</v>
      </c>
      <c r="AI124" s="13">
        <v>-824790579008.17639</v>
      </c>
      <c r="AJ124" s="13">
        <v>-328193231009.49646</v>
      </c>
      <c r="AK124" s="13">
        <v>9297223034.9402981</v>
      </c>
      <c r="AL124" s="13">
        <v>-348757876728.38208</v>
      </c>
      <c r="AM124" s="13">
        <v>-148654568821.38763</v>
      </c>
      <c r="AN124" s="13">
        <v>-596417195886.24866</v>
      </c>
      <c r="AO124" s="13">
        <v>-180472702741.36301</v>
      </c>
      <c r="AP124" s="13">
        <v>2108159885864.3298</v>
      </c>
      <c r="AQ124" s="13">
        <v>-1734553212045.9771</v>
      </c>
      <c r="AR124" s="13">
        <v>-388380212536.2793</v>
      </c>
      <c r="AS124" s="13">
        <v>-257672900806.87769</v>
      </c>
      <c r="AT124" s="13">
        <v>-2616344479437.8828</v>
      </c>
      <c r="AU124" s="13">
        <v>1086895439725.5347</v>
      </c>
      <c r="AV124" s="13">
        <v>-4617031979492.3311</v>
      </c>
      <c r="AW124" s="13">
        <v>1510818331582.8875</v>
      </c>
      <c r="AX124" s="13">
        <v>-965494001685.63953</v>
      </c>
      <c r="AY124" s="13">
        <v>-1203295705239.5981</v>
      </c>
      <c r="AZ124" s="13">
        <v>3875782822977.3247</v>
      </c>
      <c r="BA124" s="13">
        <v>-493984405046.33862</v>
      </c>
      <c r="BB124" s="13">
        <v>-177779274960.70364</v>
      </c>
      <c r="BC124" s="13">
        <v>5028879520907.498</v>
      </c>
      <c r="BD124" s="13">
        <v>3856842665514.8848</v>
      </c>
      <c r="BE124" s="13">
        <v>-38803036163640.914</v>
      </c>
      <c r="BF124" s="13">
        <v>73722741319125.578</v>
      </c>
      <c r="BG124" s="13">
        <v>-16682826852343.713</v>
      </c>
      <c r="BH124" s="13">
        <v>16679994212155.625</v>
      </c>
      <c r="BI124" s="13">
        <v>-27618704326687.699</v>
      </c>
      <c r="BJ124" s="13">
        <v>-3631167674571.3691</v>
      </c>
      <c r="BK124" s="13">
        <v>30256763931282.52</v>
      </c>
      <c r="BL124" s="13">
        <v>15562494559475.807</v>
      </c>
      <c r="BM124" s="13">
        <v>833636890473644.88</v>
      </c>
      <c r="BN124" s="13">
        <v>-50286988161400.172</v>
      </c>
      <c r="BO124" s="13">
        <v>-5638700492306341</v>
      </c>
    </row>
    <row r="125" spans="2:67" x14ac:dyDescent="0.2">
      <c r="B125" s="13">
        <v>665914497.98790193</v>
      </c>
      <c r="C125" s="13">
        <v>-1109593326.4698007</v>
      </c>
      <c r="D125" s="13">
        <v>-183785882.26531065</v>
      </c>
      <c r="E125" s="13">
        <v>1074657594.4669354</v>
      </c>
      <c r="F125" s="13">
        <v>-800797573.79891682</v>
      </c>
      <c r="G125" s="13">
        <v>-2626752903.2224908</v>
      </c>
      <c r="H125" s="13">
        <v>1293698082.5248137</v>
      </c>
      <c r="I125" s="13">
        <v>2434697373.1926398</v>
      </c>
      <c r="J125" s="13">
        <v>169462689.72791001</v>
      </c>
      <c r="K125" s="13">
        <v>-4254620457.6589184</v>
      </c>
      <c r="L125" s="13">
        <v>3283348683.3963919</v>
      </c>
      <c r="M125" s="13">
        <v>3764752983.0060554</v>
      </c>
      <c r="N125" s="13">
        <v>12456098990.210096</v>
      </c>
      <c r="O125" s="13">
        <v>10312906413.847158</v>
      </c>
      <c r="P125" s="13">
        <v>-6840789741.4990196</v>
      </c>
      <c r="Q125" s="13">
        <v>14197970963.935658</v>
      </c>
      <c r="R125" s="13">
        <v>-20557862237.51218</v>
      </c>
      <c r="S125" s="13">
        <v>-1820223011.3958535</v>
      </c>
      <c r="T125" s="13">
        <v>12427793981.893877</v>
      </c>
      <c r="U125" s="13">
        <v>34436719943.323769</v>
      </c>
      <c r="V125" s="13">
        <v>17931518979.598209</v>
      </c>
      <c r="W125" s="13">
        <v>2786601173.9078054</v>
      </c>
      <c r="X125" s="13">
        <v>-109873653684.03346</v>
      </c>
      <c r="Y125" s="13">
        <v>-40869253336.674004</v>
      </c>
      <c r="Z125" s="13">
        <v>-12579519407.591389</v>
      </c>
      <c r="AA125" s="13">
        <v>-6368806846.0386944</v>
      </c>
      <c r="AB125" s="13">
        <v>162326801066.9964</v>
      </c>
      <c r="AC125" s="13">
        <v>63763838165.135445</v>
      </c>
      <c r="AD125" s="13">
        <v>-149749772743.6398</v>
      </c>
      <c r="AE125" s="13">
        <v>-152737951089.89203</v>
      </c>
      <c r="AF125" s="13">
        <v>146006985194.26962</v>
      </c>
      <c r="AG125" s="13">
        <v>584319047005.76855</v>
      </c>
      <c r="AH125" s="13">
        <v>68428330537.062561</v>
      </c>
      <c r="AI125" s="13">
        <v>-296832589941.07532</v>
      </c>
      <c r="AJ125" s="13">
        <v>-118112947983.72148</v>
      </c>
      <c r="AK125" s="13">
        <v>3345963029.9623241</v>
      </c>
      <c r="AL125" s="13">
        <v>-125513926141.59894</v>
      </c>
      <c r="AM125" s="13">
        <v>-53499059969.172287</v>
      </c>
      <c r="AN125" s="13">
        <v>-214643650720.52457</v>
      </c>
      <c r="AO125" s="13">
        <v>-64950038411.751251</v>
      </c>
      <c r="AP125" s="13">
        <v>758702360222.4552</v>
      </c>
      <c r="AQ125" s="13">
        <v>-624245639403.18884</v>
      </c>
      <c r="AR125" s="13">
        <v>-139773546553.98447</v>
      </c>
      <c r="AS125" s="13">
        <v>-92733496784.197128</v>
      </c>
      <c r="AT125" s="13">
        <v>-941592117862.28674</v>
      </c>
      <c r="AU125" s="13">
        <v>391161097840.06964</v>
      </c>
      <c r="AV125" s="13">
        <v>-1661616409432.1809</v>
      </c>
      <c r="AW125" s="13">
        <v>543726043579.99066</v>
      </c>
      <c r="AX125" s="13">
        <v>-347470124400.5376</v>
      </c>
      <c r="AY125" s="13">
        <v>-433052207135.70197</v>
      </c>
      <c r="AZ125" s="13">
        <v>1394849411203.7922</v>
      </c>
      <c r="BA125" s="13">
        <v>-177779274961.76685</v>
      </c>
      <c r="BB125" s="13">
        <v>-63980705012.1157</v>
      </c>
      <c r="BC125" s="13">
        <v>1809835575779.0408</v>
      </c>
      <c r="BD125" s="13">
        <v>1388033067508.1018</v>
      </c>
      <c r="BE125" s="13">
        <v>-13964763923862.617</v>
      </c>
      <c r="BF125" s="13">
        <v>26531961934524.906</v>
      </c>
      <c r="BG125" s="13">
        <v>-6003956427076.5527</v>
      </c>
      <c r="BH125" s="13">
        <v>6002936998491.6396</v>
      </c>
      <c r="BI125" s="13">
        <v>-9939652252726.1621</v>
      </c>
      <c r="BJ125" s="13">
        <v>-1306815252116.396</v>
      </c>
      <c r="BK125" s="13">
        <v>10889059392227.326</v>
      </c>
      <c r="BL125" s="13">
        <v>5600761798318.791</v>
      </c>
      <c r="BM125" s="13">
        <v>300016275180732.69</v>
      </c>
      <c r="BN125" s="13">
        <v>-18097705430100.141</v>
      </c>
      <c r="BO125" s="13">
        <v>-2029303090950076</v>
      </c>
    </row>
    <row r="126" spans="2:67" x14ac:dyDescent="0.2">
      <c r="B126" s="13">
        <v>-18836862487.942432</v>
      </c>
      <c r="C126" s="13">
        <v>31387298178.626968</v>
      </c>
      <c r="D126" s="13">
        <v>5198789644.7099543</v>
      </c>
      <c r="E126" s="13">
        <v>-30399063828.112659</v>
      </c>
      <c r="F126" s="13">
        <v>22652328232.299053</v>
      </c>
      <c r="G126" s="13">
        <v>74303507990.719345</v>
      </c>
      <c r="H126" s="13">
        <v>-36595107889.412354</v>
      </c>
      <c r="I126" s="13">
        <v>-68870793123.463089</v>
      </c>
      <c r="J126" s="13">
        <v>-4793626486.4023371</v>
      </c>
      <c r="K126" s="13">
        <v>120351337519.89954</v>
      </c>
      <c r="L126" s="13">
        <v>-92876769993.399704</v>
      </c>
      <c r="M126" s="13">
        <v>-106494353910.33133</v>
      </c>
      <c r="N126" s="13">
        <v>-352348273794.95953</v>
      </c>
      <c r="O126" s="13">
        <v>-291723337738.26904</v>
      </c>
      <c r="P126" s="13">
        <v>193506848220.53198</v>
      </c>
      <c r="Q126" s="13">
        <v>-401620970067.57941</v>
      </c>
      <c r="R126" s="13">
        <v>581524542923.60217</v>
      </c>
      <c r="S126" s="13">
        <v>51489028445.526558</v>
      </c>
      <c r="T126" s="13">
        <v>-351547603589.32019</v>
      </c>
      <c r="U126" s="13">
        <v>-974118689657.01062</v>
      </c>
      <c r="V126" s="13">
        <v>-507232622764.41675</v>
      </c>
      <c r="W126" s="13">
        <v>-78825169403.669113</v>
      </c>
      <c r="X126" s="13">
        <v>3108018990475.6758</v>
      </c>
      <c r="Y126" s="13">
        <v>1156077105453.9321</v>
      </c>
      <c r="Z126" s="13">
        <v>355839492507.85883</v>
      </c>
      <c r="AA126" s="13">
        <v>180155769289.63123</v>
      </c>
      <c r="AB126" s="13">
        <v>-4591772125043.3184</v>
      </c>
      <c r="AC126" s="13">
        <v>-1803701008650.0042</v>
      </c>
      <c r="AD126" s="13">
        <v>4236003097455.8892</v>
      </c>
      <c r="AE126" s="13">
        <v>4320530325876.334</v>
      </c>
      <c r="AF126" s="13">
        <v>-4130130086845.2466</v>
      </c>
      <c r="AG126" s="13">
        <v>-16528754927418.658</v>
      </c>
      <c r="AH126" s="13">
        <v>-1935646477158.3906</v>
      </c>
      <c r="AI126" s="13">
        <v>8396565467525.6689</v>
      </c>
      <c r="AJ126" s="13">
        <v>3341085629001.5947</v>
      </c>
      <c r="AK126" s="13">
        <v>-94647954881.434067</v>
      </c>
      <c r="AL126" s="13">
        <v>3550438643762.4834</v>
      </c>
      <c r="AM126" s="13">
        <v>1513339081652.499</v>
      </c>
      <c r="AN126" s="13">
        <v>6071669778571.4854</v>
      </c>
      <c r="AO126" s="13">
        <v>1837255302672.0889</v>
      </c>
      <c r="AP126" s="13">
        <v>-21461572129127.797</v>
      </c>
      <c r="AQ126" s="13">
        <v>17658166784375.32</v>
      </c>
      <c r="AR126" s="13">
        <v>3953803506620.2056</v>
      </c>
      <c r="AS126" s="13">
        <v>2623171791504.335</v>
      </c>
      <c r="AT126" s="13">
        <v>26635012903026.211</v>
      </c>
      <c r="AU126" s="13">
        <v>-11064855670015.422</v>
      </c>
      <c r="AV126" s="13">
        <v>47002490423155.18</v>
      </c>
      <c r="AW126" s="13">
        <v>-15380492157794.803</v>
      </c>
      <c r="AX126" s="13">
        <v>9828959984028.5293</v>
      </c>
      <c r="AY126" s="13">
        <v>12249838233385.738</v>
      </c>
      <c r="AZ126" s="13">
        <v>-39456396629134.281</v>
      </c>
      <c r="BA126" s="13">
        <v>5028879520972.5947</v>
      </c>
      <c r="BB126" s="13">
        <v>1809835575791.6343</v>
      </c>
      <c r="BC126" s="13">
        <v>-51195196908307.672</v>
      </c>
      <c r="BD126" s="13">
        <v>-39263581293923.07</v>
      </c>
      <c r="BE126" s="13">
        <v>395024193823497.38</v>
      </c>
      <c r="BF126" s="13">
        <v>-750515148864106.12</v>
      </c>
      <c r="BG126" s="13">
        <v>169835169122047.44</v>
      </c>
      <c r="BH126" s="13">
        <v>-169806332695380.25</v>
      </c>
      <c r="BI126" s="13">
        <v>281165019314185.22</v>
      </c>
      <c r="BJ126" s="13">
        <v>36966156220047.305</v>
      </c>
      <c r="BK126" s="13">
        <v>-308021097258114.06</v>
      </c>
      <c r="BL126" s="13">
        <v>-158429918797429.75</v>
      </c>
      <c r="BM126" s="13">
        <v>-8486623040285560</v>
      </c>
      <c r="BN126" s="13">
        <v>511933573627303.38</v>
      </c>
      <c r="BO126" s="13">
        <v>5.7403320394421608E+16</v>
      </c>
    </row>
    <row r="127" spans="2:67" x14ac:dyDescent="0.2">
      <c r="B127" s="13">
        <v>-14446720126.719723</v>
      </c>
      <c r="C127" s="13">
        <v>24072135824.268688</v>
      </c>
      <c r="D127" s="13">
        <v>3987153329.0165892</v>
      </c>
      <c r="E127" s="13">
        <v>-23314220588.472813</v>
      </c>
      <c r="F127" s="13">
        <v>17372948726.687027</v>
      </c>
      <c r="G127" s="13">
        <v>56986240945.848419</v>
      </c>
      <c r="H127" s="13">
        <v>-28066206990.284363</v>
      </c>
      <c r="I127" s="13">
        <v>-52819681290.569588</v>
      </c>
      <c r="J127" s="13">
        <v>-3676417997.3478427</v>
      </c>
      <c r="K127" s="13">
        <v>92302106633.730545</v>
      </c>
      <c r="L127" s="13">
        <v>-71230795636.81218</v>
      </c>
      <c r="M127" s="13">
        <v>-81674648687.274323</v>
      </c>
      <c r="N127" s="13">
        <v>-270229551327.7507</v>
      </c>
      <c r="O127" s="13">
        <v>-223733937503.70816</v>
      </c>
      <c r="P127" s="13">
        <v>148407903947.74658</v>
      </c>
      <c r="Q127" s="13">
        <v>-308018692352.93719</v>
      </c>
      <c r="R127" s="13">
        <v>445993717035.90942</v>
      </c>
      <c r="S127" s="13">
        <v>39488932093.18837</v>
      </c>
      <c r="T127" s="13">
        <v>-269615486360.08368</v>
      </c>
      <c r="U127" s="13">
        <v>-747089388601.39075</v>
      </c>
      <c r="V127" s="13">
        <v>-389016363235.90607</v>
      </c>
      <c r="W127" s="13">
        <v>-60454078383.92514</v>
      </c>
      <c r="X127" s="13">
        <v>2383660258278.5269</v>
      </c>
      <c r="Y127" s="13">
        <v>886640351990.5426</v>
      </c>
      <c r="Z127" s="13">
        <v>272907102341.33499</v>
      </c>
      <c r="AA127" s="13">
        <v>138168443921.63693</v>
      </c>
      <c r="AB127" s="13">
        <v>-3521608060769.1846</v>
      </c>
      <c r="AC127" s="13">
        <v>-1383328231006.2715</v>
      </c>
      <c r="AD127" s="13">
        <v>3248755000798.5415</v>
      </c>
      <c r="AE127" s="13">
        <v>3313582208929.4531</v>
      </c>
      <c r="AF127" s="13">
        <v>-3167556884022.8765</v>
      </c>
      <c r="AG127" s="13">
        <v>-12676542955348.617</v>
      </c>
      <c r="AH127" s="13">
        <v>-1484522326320.1118</v>
      </c>
      <c r="AI127" s="13">
        <v>6439651582858.8145</v>
      </c>
      <c r="AJ127" s="13">
        <v>2562408099094.1299</v>
      </c>
      <c r="AK127" s="13">
        <v>-72589186023.553818</v>
      </c>
      <c r="AL127" s="13">
        <v>2722969042541.0073</v>
      </c>
      <c r="AM127" s="13">
        <v>1160638412380.7534</v>
      </c>
      <c r="AN127" s="13">
        <v>4656598945262.3398</v>
      </c>
      <c r="AO127" s="13">
        <v>1409062319954.4775</v>
      </c>
      <c r="AP127" s="13">
        <v>-16459711707422.062</v>
      </c>
      <c r="AQ127" s="13">
        <v>13542732694673.121</v>
      </c>
      <c r="AR127" s="13">
        <v>3032325193646.6162</v>
      </c>
      <c r="AS127" s="13">
        <v>2011812144499.0515</v>
      </c>
      <c r="AT127" s="13">
        <v>20427424005456.754</v>
      </c>
      <c r="AU127" s="13">
        <v>-8486066786053.3594</v>
      </c>
      <c r="AV127" s="13">
        <v>36048032140810.102</v>
      </c>
      <c r="AW127" s="13">
        <v>-11795895720765.502</v>
      </c>
      <c r="AX127" s="13">
        <v>7538210469442.5098</v>
      </c>
      <c r="AY127" s="13">
        <v>9394875853844.2891</v>
      </c>
      <c r="AZ127" s="13">
        <v>-30260640256010.168</v>
      </c>
      <c r="BA127" s="13">
        <v>3856842665562.127</v>
      </c>
      <c r="BB127" s="13">
        <v>1388033067516.7349</v>
      </c>
      <c r="BC127" s="13">
        <v>-39263581293892.078</v>
      </c>
      <c r="BD127" s="13">
        <v>-30112762698777.82</v>
      </c>
      <c r="BE127" s="13">
        <v>302959368900137.44</v>
      </c>
      <c r="BF127" s="13">
        <v>-575599164308339.62</v>
      </c>
      <c r="BG127" s="13">
        <v>130253175555338.28</v>
      </c>
      <c r="BH127" s="13">
        <v>-130231059747331.81</v>
      </c>
      <c r="BI127" s="13">
        <v>215636353770001.22</v>
      </c>
      <c r="BJ127" s="13">
        <v>28350778320667.926</v>
      </c>
      <c r="BK127" s="13">
        <v>-236233321139331.09</v>
      </c>
      <c r="BL127" s="13">
        <v>-121506046878377.62</v>
      </c>
      <c r="BM127" s="13">
        <v>-6508720226512372</v>
      </c>
      <c r="BN127" s="13">
        <v>392621704702758.5</v>
      </c>
      <c r="BO127" s="13">
        <v>4.4024831873097984E+16</v>
      </c>
    </row>
    <row r="128" spans="2:67" x14ac:dyDescent="0.2">
      <c r="B128" s="13">
        <v>145345986878.12787</v>
      </c>
      <c r="C128" s="13">
        <v>-242185652312.98407</v>
      </c>
      <c r="D128" s="13">
        <v>-40114069519.511795</v>
      </c>
      <c r="E128" s="13">
        <v>234560396408.8707</v>
      </c>
      <c r="F128" s="13">
        <v>-174786273670.4978</v>
      </c>
      <c r="G128" s="13">
        <v>-573328849453.87988</v>
      </c>
      <c r="H128" s="13">
        <v>282369321012.58252</v>
      </c>
      <c r="I128" s="13">
        <v>531409803506.09387</v>
      </c>
      <c r="J128" s="13">
        <v>36987814345.537354</v>
      </c>
      <c r="K128" s="13">
        <v>-928635749980.97632</v>
      </c>
      <c r="L128" s="13">
        <v>716640884382.78833</v>
      </c>
      <c r="M128" s="13">
        <v>821714708398.97852</v>
      </c>
      <c r="N128" s="13">
        <v>2718733420245.5352</v>
      </c>
      <c r="O128" s="13">
        <v>2250948980779.0015</v>
      </c>
      <c r="P128" s="13">
        <v>-1493106606254.717</v>
      </c>
      <c r="Q128" s="13">
        <v>3098923522036.4116</v>
      </c>
      <c r="R128" s="13">
        <v>-4487066709654.7471</v>
      </c>
      <c r="S128" s="13">
        <v>-397291409767.07892</v>
      </c>
      <c r="T128" s="13">
        <v>2712555417191.6465</v>
      </c>
      <c r="U128" s="13">
        <v>7516338900559.1074</v>
      </c>
      <c r="V128" s="13">
        <v>3913827272289.5415</v>
      </c>
      <c r="W128" s="13">
        <v>608218170380.20532</v>
      </c>
      <c r="X128" s="13">
        <v>-23981599254644.551</v>
      </c>
      <c r="Y128" s="13">
        <v>-8920337338673.4375</v>
      </c>
      <c r="Z128" s="13">
        <v>-2745671804224.2256</v>
      </c>
      <c r="AA128" s="13">
        <v>-1390089145598.7361</v>
      </c>
      <c r="AB128" s="13">
        <v>35430297984492.328</v>
      </c>
      <c r="AC128" s="13">
        <v>13917429364575.238</v>
      </c>
      <c r="AD128" s="13">
        <v>-32685169890952.961</v>
      </c>
      <c r="AE128" s="13">
        <v>-33337385375132.789</v>
      </c>
      <c r="AF128" s="13">
        <v>31868249490592.848</v>
      </c>
      <c r="AG128" s="13">
        <v>127536536314380.3</v>
      </c>
      <c r="AH128" s="13">
        <v>14935525895610.648</v>
      </c>
      <c r="AI128" s="13">
        <v>-64788236101313.289</v>
      </c>
      <c r="AJ128" s="13">
        <v>-25779950790545.125</v>
      </c>
      <c r="AK128" s="13">
        <v>730307418171.32288</v>
      </c>
      <c r="AL128" s="13">
        <v>-27395327053905.867</v>
      </c>
      <c r="AM128" s="13">
        <v>-11676985085358.219</v>
      </c>
      <c r="AN128" s="13">
        <v>-46849247666920.781</v>
      </c>
      <c r="AO128" s="13">
        <v>-14176335643764.988</v>
      </c>
      <c r="AP128" s="13">
        <v>165598351796993.28</v>
      </c>
      <c r="AQ128" s="13">
        <v>-136251123526851.17</v>
      </c>
      <c r="AR128" s="13">
        <v>-30507706521225.934</v>
      </c>
      <c r="AS128" s="13">
        <v>-20240498811184.652</v>
      </c>
      <c r="AT128" s="13">
        <v>-205516828417063.44</v>
      </c>
      <c r="AU128" s="13">
        <v>85376870383372.891</v>
      </c>
      <c r="AV128" s="13">
        <v>-362673102307364.88</v>
      </c>
      <c r="AW128" s="13">
        <v>118676494706881.75</v>
      </c>
      <c r="AX128" s="13">
        <v>-75840649669881.172</v>
      </c>
      <c r="AY128" s="13">
        <v>-94520243391590.766</v>
      </c>
      <c r="AZ128" s="13">
        <v>304447139767160.31</v>
      </c>
      <c r="BA128" s="13">
        <v>-38803036164115.625</v>
      </c>
      <c r="BB128" s="13">
        <v>-13964763923951.203</v>
      </c>
      <c r="BC128" s="13">
        <v>395024193823284.62</v>
      </c>
      <c r="BD128" s="13">
        <v>302959368900210.19</v>
      </c>
      <c r="BE128" s="13">
        <v>-3048022531802041</v>
      </c>
      <c r="BF128" s="13">
        <v>5791005006623428</v>
      </c>
      <c r="BG128" s="13">
        <v>-1310454980655547</v>
      </c>
      <c r="BH128" s="13">
        <v>1310232477352600.8</v>
      </c>
      <c r="BI128" s="13">
        <v>-2169480572117553.8</v>
      </c>
      <c r="BJ128" s="13">
        <v>-285232344664612.12</v>
      </c>
      <c r="BK128" s="13">
        <v>2376703147350968.5</v>
      </c>
      <c r="BL128" s="13">
        <v>1222451611193670.5</v>
      </c>
      <c r="BM128" s="13">
        <v>6.5483123944137032E+16</v>
      </c>
      <c r="BN128" s="13">
        <v>-3950099997782989.5</v>
      </c>
      <c r="BO128" s="13">
        <v>-4.4292632373814797E+17</v>
      </c>
    </row>
    <row r="129" spans="1:67" x14ac:dyDescent="0.2">
      <c r="B129" s="13">
        <v>-276146035313.76624</v>
      </c>
      <c r="C129" s="13">
        <v>460133844301.56317</v>
      </c>
      <c r="D129" s="13">
        <v>76213602423.938202</v>
      </c>
      <c r="E129" s="13">
        <v>-445646452999.13171</v>
      </c>
      <c r="F129" s="13">
        <v>332080283313.44641</v>
      </c>
      <c r="G129" s="13">
        <v>1089280083398.7789</v>
      </c>
      <c r="H129" s="13">
        <v>-536479679731.01007</v>
      </c>
      <c r="I129" s="13">
        <v>-1009637166572.8584</v>
      </c>
      <c r="J129" s="13">
        <v>-70273961507.571548</v>
      </c>
      <c r="K129" s="13">
        <v>1764335473688.2715</v>
      </c>
      <c r="L129" s="13">
        <v>-1361561768690.3276</v>
      </c>
      <c r="M129" s="13">
        <v>-1561193836576.3296</v>
      </c>
      <c r="N129" s="13">
        <v>-5165381385470.3887</v>
      </c>
      <c r="O129" s="13">
        <v>-4276627446572.0605</v>
      </c>
      <c r="P129" s="13">
        <v>2836786061123.6919</v>
      </c>
      <c r="Q129" s="13">
        <v>-5887712916814.2236</v>
      </c>
      <c r="R129" s="13">
        <v>8525076671665.0361</v>
      </c>
      <c r="S129" s="13">
        <v>754822682289.81726</v>
      </c>
      <c r="T129" s="13">
        <v>-5153643661871.3379</v>
      </c>
      <c r="U129" s="13">
        <v>-14280457493454.018</v>
      </c>
      <c r="V129" s="13">
        <v>-7435966464222.1436</v>
      </c>
      <c r="W129" s="13">
        <v>-1155567071122.6211</v>
      </c>
      <c r="X129" s="13">
        <v>45563167562268.812</v>
      </c>
      <c r="Y129" s="13">
        <v>16947944987176.393</v>
      </c>
      <c r="Z129" s="13">
        <v>5216562213477.3379</v>
      </c>
      <c r="AA129" s="13">
        <v>2641060923259.2607</v>
      </c>
      <c r="AB129" s="13">
        <v>-67314801932875.289</v>
      </c>
      <c r="AC129" s="13">
        <v>-26442029967802.621</v>
      </c>
      <c r="AD129" s="13">
        <v>62099272727715.617</v>
      </c>
      <c r="AE129" s="13">
        <v>63338431260892.469</v>
      </c>
      <c r="AF129" s="13">
        <v>-60547187701458.102</v>
      </c>
      <c r="AG129" s="13">
        <v>-242309468717801.12</v>
      </c>
      <c r="AH129" s="13">
        <v>-28376333946433.238</v>
      </c>
      <c r="AI129" s="13">
        <v>123092593876545.02</v>
      </c>
      <c r="AJ129" s="13">
        <v>48979895175067.531</v>
      </c>
      <c r="AK129" s="13">
        <v>-1387527116826.9124</v>
      </c>
      <c r="AL129" s="13">
        <v>52048984045229.711</v>
      </c>
      <c r="AM129" s="13">
        <v>22185360635473.168</v>
      </c>
      <c r="AN129" s="13">
        <v>89009915433598.984</v>
      </c>
      <c r="AO129" s="13">
        <v>26933931698750.668</v>
      </c>
      <c r="AP129" s="13">
        <v>-314623948588663.88</v>
      </c>
      <c r="AQ129" s="13">
        <v>258866504518095.38</v>
      </c>
      <c r="AR129" s="13">
        <v>57962262207563.562</v>
      </c>
      <c r="AS129" s="13">
        <v>38455368596997.406</v>
      </c>
      <c r="AT129" s="13">
        <v>390465939765259.5</v>
      </c>
      <c r="AU129" s="13">
        <v>-162209392707381.66</v>
      </c>
      <c r="AV129" s="13">
        <v>689050598974839.5</v>
      </c>
      <c r="AW129" s="13">
        <v>-225476080916642.47</v>
      </c>
      <c r="AX129" s="13">
        <v>144091317357454.06</v>
      </c>
      <c r="AY129" s="13">
        <v>179581088064423.25</v>
      </c>
      <c r="AZ129" s="13">
        <v>-578425812881631.62</v>
      </c>
      <c r="BA129" s="13">
        <v>73722741320015.016</v>
      </c>
      <c r="BB129" s="13">
        <v>26531961934687.508</v>
      </c>
      <c r="BC129" s="13">
        <v>-750515148863503.88</v>
      </c>
      <c r="BD129" s="13">
        <v>-575599164308328</v>
      </c>
      <c r="BE129" s="13">
        <v>5791005006621949</v>
      </c>
      <c r="BF129" s="13">
        <v>-1.1002457703859346E+16</v>
      </c>
      <c r="BG129" s="13">
        <v>2489762222913066</v>
      </c>
      <c r="BH129" s="13">
        <v>-2489339483876125</v>
      </c>
      <c r="BI129" s="13">
        <v>4121843826216719</v>
      </c>
      <c r="BJ129" s="13">
        <v>541919201219099</v>
      </c>
      <c r="BK129" s="13">
        <v>-4515550551873902</v>
      </c>
      <c r="BL129" s="13">
        <v>-2322562686753509.5</v>
      </c>
      <c r="BM129" s="13">
        <v>-1.2441282656225386E+17</v>
      </c>
      <c r="BN129" s="13">
        <v>7504881812672370</v>
      </c>
      <c r="BO129" s="13">
        <v>8.4152545840778675E+17</v>
      </c>
    </row>
    <row r="130" spans="1:67" x14ac:dyDescent="0.2">
      <c r="B130" s="13">
        <v>62489489638.768402</v>
      </c>
      <c r="C130" s="13">
        <v>-104124359648.98947</v>
      </c>
      <c r="D130" s="13">
        <v>-17246487409.775459</v>
      </c>
      <c r="E130" s="13">
        <v>100845986711.04466</v>
      </c>
      <c r="F130" s="13">
        <v>-75146932318.937485</v>
      </c>
      <c r="G130" s="13">
        <v>-246494780941.30499</v>
      </c>
      <c r="H130" s="13">
        <v>121400770278.77164</v>
      </c>
      <c r="I130" s="13">
        <v>228472269003.62335</v>
      </c>
      <c r="J130" s="13">
        <v>15902397369.668394</v>
      </c>
      <c r="K130" s="13">
        <v>-399254051141.66797</v>
      </c>
      <c r="L130" s="13">
        <v>308109801205.98486</v>
      </c>
      <c r="M130" s="13">
        <v>353284833345.16364</v>
      </c>
      <c r="N130" s="13">
        <v>1168881697768.8416</v>
      </c>
      <c r="O130" s="13">
        <v>967764270904.34265</v>
      </c>
      <c r="P130" s="13">
        <v>-641940460900.37061</v>
      </c>
      <c r="Q130" s="13">
        <v>1332339154897.4951</v>
      </c>
      <c r="R130" s="13">
        <v>-1929152050881.5613</v>
      </c>
      <c r="S130" s="13">
        <v>-170809927125.5278</v>
      </c>
      <c r="T130" s="13">
        <v>1166225550502.3052</v>
      </c>
      <c r="U130" s="13">
        <v>3231545582764.0894</v>
      </c>
      <c r="V130" s="13">
        <v>1682695711556.5176</v>
      </c>
      <c r="W130" s="13">
        <v>261494960185.53833</v>
      </c>
      <c r="X130" s="13">
        <v>-10310555732590.275</v>
      </c>
      <c r="Y130" s="13">
        <v>-3835175223823.251</v>
      </c>
      <c r="Z130" s="13">
        <v>-1180463481622.1758</v>
      </c>
      <c r="AA130" s="13">
        <v>-597649533293.7168</v>
      </c>
      <c r="AB130" s="13">
        <v>15232764840823.395</v>
      </c>
      <c r="AC130" s="13">
        <v>5983605580485.9238</v>
      </c>
      <c r="AD130" s="13">
        <v>-14052535119510.045</v>
      </c>
      <c r="AE130" s="13">
        <v>-14332946117660.076</v>
      </c>
      <c r="AF130" s="13">
        <v>13701311534726.883</v>
      </c>
      <c r="AG130" s="13">
        <v>54832563570033.648</v>
      </c>
      <c r="AH130" s="13">
        <v>6421322051113.3604</v>
      </c>
      <c r="AI130" s="13">
        <v>-27854802842534.375</v>
      </c>
      <c r="AJ130" s="13">
        <v>-11083732013768.539</v>
      </c>
      <c r="AK130" s="13">
        <v>313985537412.7027</v>
      </c>
      <c r="AL130" s="13">
        <v>-11778240616533.879</v>
      </c>
      <c r="AM130" s="13">
        <v>-5020357657714.2021</v>
      </c>
      <c r="AN130" s="13">
        <v>-20142183761332.629</v>
      </c>
      <c r="AO130" s="13">
        <v>-6094918741632.0215</v>
      </c>
      <c r="AP130" s="13">
        <v>71196712833098.25</v>
      </c>
      <c r="AQ130" s="13">
        <v>-58579279380839.43</v>
      </c>
      <c r="AR130" s="13">
        <v>-13116364970587.027</v>
      </c>
      <c r="AS130" s="13">
        <v>-8702121522812.7139</v>
      </c>
      <c r="AT130" s="13">
        <v>-88359107784458.5</v>
      </c>
      <c r="AU130" s="13">
        <v>36706600377361.242</v>
      </c>
      <c r="AV130" s="13">
        <v>-155926266395139.41</v>
      </c>
      <c r="AW130" s="13">
        <v>51023311655500.383</v>
      </c>
      <c r="AX130" s="13">
        <v>-32606634650792.34</v>
      </c>
      <c r="AY130" s="13">
        <v>-40637666696258.398</v>
      </c>
      <c r="AZ130" s="13">
        <v>130892821986879.12</v>
      </c>
      <c r="BA130" s="13">
        <v>-16682826852590.443</v>
      </c>
      <c r="BB130" s="13">
        <v>-6003956427129.7412</v>
      </c>
      <c r="BC130" s="13">
        <v>169835169122377.62</v>
      </c>
      <c r="BD130" s="13">
        <v>130253175555696.58</v>
      </c>
      <c r="BE130" s="13">
        <v>-1310454980658747</v>
      </c>
      <c r="BF130" s="13">
        <v>2489762222919879.5</v>
      </c>
      <c r="BG130" s="13">
        <v>-563411929274051.75</v>
      </c>
      <c r="BH130" s="13">
        <v>563316267503323.75</v>
      </c>
      <c r="BI130" s="13">
        <v>-932738059379074.12</v>
      </c>
      <c r="BJ130" s="13">
        <v>-122631687794479.23</v>
      </c>
      <c r="BK130" s="13">
        <v>1021830529201743.8</v>
      </c>
      <c r="BL130" s="13">
        <v>525576102493653.69</v>
      </c>
      <c r="BM130" s="13">
        <v>2.8153560229291196E+16</v>
      </c>
      <c r="BN130" s="13">
        <v>-1698290666448061</v>
      </c>
      <c r="BO130" s="13">
        <v>-1.9043002504311187E+17</v>
      </c>
    </row>
    <row r="131" spans="1:67" x14ac:dyDescent="0.2">
      <c r="B131" s="13">
        <v>-62478879494.489212</v>
      </c>
      <c r="C131" s="13">
        <v>104106680281.4263</v>
      </c>
      <c r="D131" s="13">
        <v>17243559105.07317</v>
      </c>
      <c r="E131" s="13">
        <v>-100828863983.03719</v>
      </c>
      <c r="F131" s="13">
        <v>75134173047.472031</v>
      </c>
      <c r="G131" s="13">
        <v>246452928389.81671</v>
      </c>
      <c r="H131" s="13">
        <v>-121380157505.77023</v>
      </c>
      <c r="I131" s="13">
        <v>-228433476481.59082</v>
      </c>
      <c r="J131" s="13">
        <v>-15899697302.030973</v>
      </c>
      <c r="K131" s="13">
        <v>399186261439.97131</v>
      </c>
      <c r="L131" s="13">
        <v>-308057486948.03174</v>
      </c>
      <c r="M131" s="13">
        <v>-353224848845.00159</v>
      </c>
      <c r="N131" s="13">
        <v>-1168683232254.4128</v>
      </c>
      <c r="O131" s="13">
        <v>-967599953314.90063</v>
      </c>
      <c r="P131" s="13">
        <v>641831465235.98438</v>
      </c>
      <c r="Q131" s="13">
        <v>-1332112935860.3113</v>
      </c>
      <c r="R131" s="13">
        <v>1928824498403.4009</v>
      </c>
      <c r="S131" s="13">
        <v>170780925216.68494</v>
      </c>
      <c r="T131" s="13">
        <v>-1166027536629.6023</v>
      </c>
      <c r="U131" s="13">
        <v>-3230996895702.957</v>
      </c>
      <c r="V131" s="13">
        <v>-1682410004960.343</v>
      </c>
      <c r="W131" s="13">
        <v>-261450560764.71082</v>
      </c>
      <c r="X131" s="13">
        <v>10308805093916.33</v>
      </c>
      <c r="Y131" s="13">
        <v>3834524045684.3101</v>
      </c>
      <c r="Z131" s="13">
        <v>1180263050096.8718</v>
      </c>
      <c r="AA131" s="13">
        <v>597548058144.62634</v>
      </c>
      <c r="AB131" s="13">
        <v>-15230178457503.463</v>
      </c>
      <c r="AC131" s="13">
        <v>-5982589618129.417</v>
      </c>
      <c r="AD131" s="13">
        <v>14050149128602.332</v>
      </c>
      <c r="AE131" s="13">
        <v>14330512511717.068</v>
      </c>
      <c r="AF131" s="13">
        <v>-13698985175806.529</v>
      </c>
      <c r="AG131" s="13">
        <v>-54823253497591.484</v>
      </c>
      <c r="AH131" s="13">
        <v>-6420231770238.7871</v>
      </c>
      <c r="AI131" s="13">
        <v>27850073352510.68</v>
      </c>
      <c r="AJ131" s="13">
        <v>11081850097204.404</v>
      </c>
      <c r="AK131" s="13">
        <v>-313932225812.53345</v>
      </c>
      <c r="AL131" s="13">
        <v>11776240778818.186</v>
      </c>
      <c r="AM131" s="13">
        <v>5019505248850.0791</v>
      </c>
      <c r="AN131" s="13">
        <v>20138763802571.168</v>
      </c>
      <c r="AO131" s="13">
        <v>6093883879233.0264</v>
      </c>
      <c r="AP131" s="13">
        <v>-71184624278953.234</v>
      </c>
      <c r="AQ131" s="13">
        <v>58569333152132.781</v>
      </c>
      <c r="AR131" s="13">
        <v>13114137929131.686</v>
      </c>
      <c r="AS131" s="13">
        <v>8700643982684.3105</v>
      </c>
      <c r="AT131" s="13">
        <v>88344105210598.078</v>
      </c>
      <c r="AU131" s="13">
        <v>-36700367935297.898</v>
      </c>
      <c r="AV131" s="13">
        <v>155899791536072.62</v>
      </c>
      <c r="AW131" s="13">
        <v>-51014648363405.656</v>
      </c>
      <c r="AX131" s="13">
        <v>32601098339572.324</v>
      </c>
      <c r="AY131" s="13">
        <v>40630766789387.055</v>
      </c>
      <c r="AZ131" s="13">
        <v>-130870597575033.52</v>
      </c>
      <c r="BA131" s="13">
        <v>16679994212362.553</v>
      </c>
      <c r="BB131" s="13">
        <v>6002936998530.0654</v>
      </c>
      <c r="BC131" s="13">
        <v>-169806332695282.25</v>
      </c>
      <c r="BD131" s="13">
        <v>-130231059747358.28</v>
      </c>
      <c r="BE131" s="13">
        <v>1310232477352569.5</v>
      </c>
      <c r="BF131" s="13">
        <v>-2489339483876702</v>
      </c>
      <c r="BG131" s="13">
        <v>563316267501901.75</v>
      </c>
      <c r="BH131" s="13">
        <v>-563220621495776.12</v>
      </c>
      <c r="BI131" s="13">
        <v>932579688932190.88</v>
      </c>
      <c r="BJ131" s="13">
        <v>122610865765359.09</v>
      </c>
      <c r="BK131" s="13">
        <v>-1021657031805024.5</v>
      </c>
      <c r="BL131" s="13">
        <v>-525486864437740.62</v>
      </c>
      <c r="BM131" s="13">
        <v>-2.8148780008786324E+16</v>
      </c>
      <c r="BN131" s="13">
        <v>1698002311935653.2</v>
      </c>
      <c r="BO131" s="13">
        <v>1.9039769174166282E+17</v>
      </c>
    </row>
    <row r="132" spans="1:67" x14ac:dyDescent="0.2">
      <c r="B132" s="13">
        <v>103452415944.29413</v>
      </c>
      <c r="C132" s="13">
        <v>-172379653383.86911</v>
      </c>
      <c r="D132" s="13">
        <v>-28551854056.600739</v>
      </c>
      <c r="E132" s="13">
        <v>166952251070.24399</v>
      </c>
      <c r="F132" s="13">
        <v>-124407028177.33682</v>
      </c>
      <c r="G132" s="13">
        <v>-408076314184.25781</v>
      </c>
      <c r="H132" s="13">
        <v>200981045809.51398</v>
      </c>
      <c r="I132" s="13">
        <v>378239738225.96429</v>
      </c>
      <c r="J132" s="13">
        <v>26326690105.942867</v>
      </c>
      <c r="K132" s="13">
        <v>-660971891492.34094</v>
      </c>
      <c r="L132" s="13">
        <v>510081031103.97595</v>
      </c>
      <c r="M132" s="13">
        <v>584869067437.63574</v>
      </c>
      <c r="N132" s="13">
        <v>1935103587469.4009</v>
      </c>
      <c r="O132" s="13">
        <v>1602150256983.5835</v>
      </c>
      <c r="P132" s="13">
        <v>-1062743382165.1896</v>
      </c>
      <c r="Q132" s="13">
        <v>2205710195836.7056</v>
      </c>
      <c r="R132" s="13">
        <v>-3193744124530.8047</v>
      </c>
      <c r="S132" s="13">
        <v>-282778747853.23407</v>
      </c>
      <c r="T132" s="13">
        <v>1930706291414.8</v>
      </c>
      <c r="U132" s="13">
        <v>5349878830633.3975</v>
      </c>
      <c r="V132" s="13">
        <v>2785731450873.1685</v>
      </c>
      <c r="W132" s="13">
        <v>432909366805.62177</v>
      </c>
      <c r="X132" s="13">
        <v>-17069300875679.281</v>
      </c>
      <c r="Y132" s="13">
        <v>-6349197996733.0439</v>
      </c>
      <c r="Z132" s="13">
        <v>-1954277428923.2456</v>
      </c>
      <c r="AA132" s="13">
        <v>-989418996567.3053</v>
      </c>
      <c r="AB132" s="13">
        <v>25218102012016.988</v>
      </c>
      <c r="AC132" s="13">
        <v>9905961096110.6641</v>
      </c>
      <c r="AD132" s="13">
        <v>-23264211578249.051</v>
      </c>
      <c r="AE132" s="13">
        <v>-23728436762308.301</v>
      </c>
      <c r="AF132" s="13">
        <v>22682754938800.586</v>
      </c>
      <c r="AG132" s="13">
        <v>90776244230994.672</v>
      </c>
      <c r="AH132" s="13">
        <v>10630608181865.014</v>
      </c>
      <c r="AI132" s="13">
        <v>-46114101210640.438</v>
      </c>
      <c r="AJ132" s="13">
        <v>-18349307397375.473</v>
      </c>
      <c r="AK132" s="13">
        <v>519808413134.51917</v>
      </c>
      <c r="AL132" s="13">
        <v>-19499078235198.875</v>
      </c>
      <c r="AM132" s="13">
        <v>-8311287734804.6201</v>
      </c>
      <c r="AN132" s="13">
        <v>-33345728770478.969</v>
      </c>
      <c r="AO132" s="13">
        <v>-10090241932904.664</v>
      </c>
      <c r="AP132" s="13">
        <v>117867372451955.52</v>
      </c>
      <c r="AQ132" s="13">
        <v>-96978996164283.438</v>
      </c>
      <c r="AR132" s="13">
        <v>-21714365923007.914</v>
      </c>
      <c r="AS132" s="13">
        <v>-14406510609049.178</v>
      </c>
      <c r="AT132" s="13">
        <v>-146280010020030.22</v>
      </c>
      <c r="AU132" s="13">
        <v>60768403013127.734</v>
      </c>
      <c r="AV132" s="13">
        <v>-258138593555633.72</v>
      </c>
      <c r="AW132" s="13">
        <v>84469962720858.188</v>
      </c>
      <c r="AX132" s="13">
        <v>-53980839812755.273</v>
      </c>
      <c r="AY132" s="13">
        <v>-67276350345125.312</v>
      </c>
      <c r="AZ132" s="13">
        <v>216695299352071.72</v>
      </c>
      <c r="BA132" s="13">
        <v>-27618704327023.891</v>
      </c>
      <c r="BB132" s="13">
        <v>-9939652252788.1367</v>
      </c>
      <c r="BC132" s="13">
        <v>281165019313985.81</v>
      </c>
      <c r="BD132" s="13">
        <v>215636353770016.59</v>
      </c>
      <c r="BE132" s="13">
        <v>-2169480572117199.8</v>
      </c>
      <c r="BF132" s="13">
        <v>4121843826217106</v>
      </c>
      <c r="BG132" s="13">
        <v>-932738059376607.75</v>
      </c>
      <c r="BH132" s="13">
        <v>932579688932064.75</v>
      </c>
      <c r="BI132" s="13">
        <v>-1544163766401843.2</v>
      </c>
      <c r="BJ132" s="13">
        <v>-203018850345567.12</v>
      </c>
      <c r="BK132" s="13">
        <v>1691657870009844.2</v>
      </c>
      <c r="BL132" s="13">
        <v>870100202069057.12</v>
      </c>
      <c r="BM132" s="13">
        <v>4.6608699153466376E+16</v>
      </c>
      <c r="BN132" s="13">
        <v>-2811549164628958</v>
      </c>
      <c r="BO132" s="13">
        <v>-3.1526015447686938E+17</v>
      </c>
    </row>
    <row r="133" spans="1:67" x14ac:dyDescent="0.2">
      <c r="B133" s="13">
        <v>13601400971.83923</v>
      </c>
      <c r="C133" s="13">
        <v>-22663605905.108322</v>
      </c>
      <c r="D133" s="13">
        <v>-3753853511.8620381</v>
      </c>
      <c r="E133" s="13">
        <v>21950038472.710609</v>
      </c>
      <c r="F133" s="13">
        <v>-16356407512.90724</v>
      </c>
      <c r="G133" s="13">
        <v>-53651812057.358124</v>
      </c>
      <c r="H133" s="13">
        <v>26423972457.062775</v>
      </c>
      <c r="I133" s="13">
        <v>49729049774.868019</v>
      </c>
      <c r="J133" s="13">
        <v>3461300214.4431524</v>
      </c>
      <c r="K133" s="13">
        <v>-86901244829.801819</v>
      </c>
      <c r="L133" s="13">
        <v>67062876849.901428</v>
      </c>
      <c r="M133" s="13">
        <v>76895630056.632385</v>
      </c>
      <c r="N133" s="13">
        <v>254417642828.97928</v>
      </c>
      <c r="O133" s="13">
        <v>210642621143.39648</v>
      </c>
      <c r="P133" s="13">
        <v>-139724130526.97977</v>
      </c>
      <c r="Q133" s="13">
        <v>289995632547.71045</v>
      </c>
      <c r="R133" s="13">
        <v>-419897341545.79272</v>
      </c>
      <c r="S133" s="13">
        <v>-37178321124.809677</v>
      </c>
      <c r="T133" s="13">
        <v>253839508999.69812</v>
      </c>
      <c r="U133" s="13">
        <v>703375039130.70618</v>
      </c>
      <c r="V133" s="13">
        <v>366253896543.73395</v>
      </c>
      <c r="W133" s="13">
        <v>56916736347.065323</v>
      </c>
      <c r="X133" s="13">
        <v>-2244185438933.5488</v>
      </c>
      <c r="Y133" s="13">
        <v>-834760474038.33093</v>
      </c>
      <c r="Z133" s="13">
        <v>-256938522995.83676</v>
      </c>
      <c r="AA133" s="13">
        <v>-130083810884.52991</v>
      </c>
      <c r="AB133" s="13">
        <v>3315548642398.957</v>
      </c>
      <c r="AC133" s="13">
        <v>1302385716013.7949</v>
      </c>
      <c r="AD133" s="13">
        <v>-3058661000586.7852</v>
      </c>
      <c r="AE133" s="13">
        <v>-3119694979271.2153</v>
      </c>
      <c r="AF133" s="13">
        <v>2982214016986.1436</v>
      </c>
      <c r="AG133" s="13">
        <v>11934801956581.373</v>
      </c>
      <c r="AH133" s="13">
        <v>1397658654904.8254</v>
      </c>
      <c r="AI133" s="13">
        <v>-6062849043730.3086</v>
      </c>
      <c r="AJ133" s="13">
        <v>-2412474229540.582</v>
      </c>
      <c r="AK133" s="13">
        <v>68341784126.737999</v>
      </c>
      <c r="AL133" s="13">
        <v>-2563640290417.7197</v>
      </c>
      <c r="AM133" s="13">
        <v>-1092726121094.6365</v>
      </c>
      <c r="AN133" s="13">
        <v>-4384127944851.7285</v>
      </c>
      <c r="AO133" s="13">
        <v>-1326614029574.2468</v>
      </c>
      <c r="AP133" s="13">
        <v>15496606622302.898</v>
      </c>
      <c r="AQ133" s="13">
        <v>-12750308443282.01</v>
      </c>
      <c r="AR133" s="13">
        <v>-2854895121548.3916</v>
      </c>
      <c r="AS133" s="13">
        <v>-1894095228619.8125</v>
      </c>
      <c r="AT133" s="13">
        <v>-19232156658982.633</v>
      </c>
      <c r="AU133" s="13">
        <v>7989522607964.4238</v>
      </c>
      <c r="AV133" s="13">
        <v>-33938758074771.645</v>
      </c>
      <c r="AW133" s="13">
        <v>11105683927853.623</v>
      </c>
      <c r="AX133" s="13">
        <v>-7097128087458.373</v>
      </c>
      <c r="AY133" s="13">
        <v>-8845154638273.0352</v>
      </c>
      <c r="AZ133" s="13">
        <v>28490003136880.23</v>
      </c>
      <c r="BA133" s="13">
        <v>-3631167674580.7148</v>
      </c>
      <c r="BB133" s="13">
        <v>-1306815252112.0647</v>
      </c>
      <c r="BC133" s="13">
        <v>36966156219670.711</v>
      </c>
      <c r="BD133" s="13">
        <v>28350778320400.906</v>
      </c>
      <c r="BE133" s="13">
        <v>-285232344661867.25</v>
      </c>
      <c r="BF133" s="13">
        <v>541919201214012.94</v>
      </c>
      <c r="BG133" s="13">
        <v>-122631687792998.31</v>
      </c>
      <c r="BH133" s="13">
        <v>122610865764178.38</v>
      </c>
      <c r="BI133" s="13">
        <v>-203018850343641.69</v>
      </c>
      <c r="BJ133" s="13">
        <v>-26691892514734.406</v>
      </c>
      <c r="BK133" s="13">
        <v>222410629973499.44</v>
      </c>
      <c r="BL133" s="13">
        <v>114396378504022.25</v>
      </c>
      <c r="BM133" s="13">
        <v>6127876279600659</v>
      </c>
      <c r="BN133" s="13">
        <v>-369648279072805.25</v>
      </c>
      <c r="BO133" s="13">
        <v>-4.1448812293869928E+16</v>
      </c>
    </row>
    <row r="134" spans="1:67" x14ac:dyDescent="0.2">
      <c r="B134" s="13">
        <v>-113333894635.85287</v>
      </c>
      <c r="C134" s="13">
        <v>188844864528.28033</v>
      </c>
      <c r="D134" s="13">
        <v>31279045444.850727</v>
      </c>
      <c r="E134" s="13">
        <v>-182899052277.13516</v>
      </c>
      <c r="F134" s="13">
        <v>136290031460.31508</v>
      </c>
      <c r="G134" s="13">
        <v>447054595802.4068</v>
      </c>
      <c r="H134" s="13">
        <v>-220178180110.41898</v>
      </c>
      <c r="I134" s="13">
        <v>-414368115510.65515</v>
      </c>
      <c r="J134" s="13">
        <v>-28841340194.270672</v>
      </c>
      <c r="K134" s="13">
        <v>724106034878.77234</v>
      </c>
      <c r="L134" s="13">
        <v>-558802511364.31677</v>
      </c>
      <c r="M134" s="13">
        <v>-640734086862.16614</v>
      </c>
      <c r="N134" s="13">
        <v>-2119939143930.6396</v>
      </c>
      <c r="O134" s="13">
        <v>-1755183064209.3501</v>
      </c>
      <c r="P134" s="13">
        <v>1164253588481.7556</v>
      </c>
      <c r="Q134" s="13">
        <v>-2416393321029.9702</v>
      </c>
      <c r="R134" s="13">
        <v>3498801422877.4414</v>
      </c>
      <c r="S134" s="13">
        <v>309788964527.20691</v>
      </c>
      <c r="T134" s="13">
        <v>-2115121830548.3818</v>
      </c>
      <c r="U134" s="13">
        <v>-5860883945323.5293</v>
      </c>
      <c r="V134" s="13">
        <v>-3051816546407.7148</v>
      </c>
      <c r="W134" s="13">
        <v>-474259630531.32678</v>
      </c>
      <c r="X134" s="13">
        <v>18699711643359.355</v>
      </c>
      <c r="Y134" s="13">
        <v>6955655218191.7422</v>
      </c>
      <c r="Z134" s="13">
        <v>2140944415716.9805</v>
      </c>
      <c r="AA134" s="13">
        <v>1083925467345.1509</v>
      </c>
      <c r="AB134" s="13">
        <v>-27626862942134.82</v>
      </c>
      <c r="AC134" s="13">
        <v>-10852150149403.266</v>
      </c>
      <c r="AD134" s="13">
        <v>25486342486067.84</v>
      </c>
      <c r="AE134" s="13">
        <v>25994909132185.863</v>
      </c>
      <c r="AF134" s="13">
        <v>-24849346773683.199</v>
      </c>
      <c r="AG134" s="13">
        <v>-99446931280954.797</v>
      </c>
      <c r="AH134" s="13">
        <v>-11646013450406.604</v>
      </c>
      <c r="AI134" s="13">
        <v>50518788179978.945</v>
      </c>
      <c r="AJ134" s="13">
        <v>20101980724761.969</v>
      </c>
      <c r="AK134" s="13">
        <v>-569459025052.77625</v>
      </c>
      <c r="AL134" s="13">
        <v>21361574382162.195</v>
      </c>
      <c r="AM134" s="13">
        <v>9105158151829.0098</v>
      </c>
      <c r="AN134" s="13">
        <v>36530817347433.852</v>
      </c>
      <c r="AO134" s="13">
        <v>11054032964401.428</v>
      </c>
      <c r="AP134" s="13">
        <v>-129125726534655.2</v>
      </c>
      <c r="AQ134" s="13">
        <v>106242152326067.81</v>
      </c>
      <c r="AR134" s="13">
        <v>23788460010623.512</v>
      </c>
      <c r="AS134" s="13">
        <v>15782579270881.301</v>
      </c>
      <c r="AT134" s="13">
        <v>160252257927330.31</v>
      </c>
      <c r="AU134" s="13">
        <v>-66572826949303.484</v>
      </c>
      <c r="AV134" s="13">
        <v>282795253223909.5</v>
      </c>
      <c r="AW134" s="13">
        <v>-92538291808107.031</v>
      </c>
      <c r="AX134" s="13">
        <v>59136935140691.234</v>
      </c>
      <c r="AY134" s="13">
        <v>73702394787128</v>
      </c>
      <c r="AZ134" s="13">
        <v>-237393414169230</v>
      </c>
      <c r="BA134" s="13">
        <v>30256763931656.949</v>
      </c>
      <c r="BB134" s="13">
        <v>10889059392297.939</v>
      </c>
      <c r="BC134" s="13">
        <v>-308021097257977.94</v>
      </c>
      <c r="BD134" s="13">
        <v>-236233321139410.88</v>
      </c>
      <c r="BE134" s="13">
        <v>2376703147351208</v>
      </c>
      <c r="BF134" s="13">
        <v>-4515550551875523</v>
      </c>
      <c r="BG134" s="13">
        <v>1021830529199327.5</v>
      </c>
      <c r="BH134" s="13">
        <v>-1021657031805157.6</v>
      </c>
      <c r="BI134" s="13">
        <v>1691657870010292.5</v>
      </c>
      <c r="BJ134" s="13">
        <v>222410629975668.56</v>
      </c>
      <c r="BK134" s="13">
        <v>-1853240188207626.5</v>
      </c>
      <c r="BL134" s="13">
        <v>-953209683167352.75</v>
      </c>
      <c r="BM134" s="13">
        <v>-5.106062870403468E+16</v>
      </c>
      <c r="BN134" s="13">
        <v>3080100294286020</v>
      </c>
      <c r="BO134" s="13">
        <v>3.4537290216879104E+17</v>
      </c>
    </row>
    <row r="135" spans="1:67" x14ac:dyDescent="0.2">
      <c r="B135" s="13">
        <v>-58293019157.807777</v>
      </c>
      <c r="C135" s="13">
        <v>97131906929.371078</v>
      </c>
      <c r="D135" s="13">
        <v>16088302629.745146</v>
      </c>
      <c r="E135" s="13">
        <v>-94073692540.273132</v>
      </c>
      <c r="F135" s="13">
        <v>70100453534.003387</v>
      </c>
      <c r="G135" s="13">
        <v>229941468099.34125</v>
      </c>
      <c r="H135" s="13">
        <v>-113248123271.89438</v>
      </c>
      <c r="I135" s="13">
        <v>-213129254694.97824</v>
      </c>
      <c r="J135" s="13">
        <v>-14834474736.600569</v>
      </c>
      <c r="K135" s="13">
        <v>372442216856.76331</v>
      </c>
      <c r="L135" s="13">
        <v>-287418742682.28058</v>
      </c>
      <c r="M135" s="13">
        <v>-329560053691.35059</v>
      </c>
      <c r="N135" s="13">
        <v>-1090385656699.2511</v>
      </c>
      <c r="O135" s="13">
        <v>-902774234620.88184</v>
      </c>
      <c r="P135" s="13">
        <v>598831064222.71619</v>
      </c>
      <c r="Q135" s="13">
        <v>-1242866157632.3433</v>
      </c>
      <c r="R135" s="13">
        <v>1799600190451.3879</v>
      </c>
      <c r="S135" s="13">
        <v>159339217126.28876</v>
      </c>
      <c r="T135" s="13">
        <v>-1087907883139.637</v>
      </c>
      <c r="U135" s="13">
        <v>-3014531717976.4019</v>
      </c>
      <c r="V135" s="13">
        <v>-1569694582299.5352</v>
      </c>
      <c r="W135" s="13">
        <v>-243934313010.87222</v>
      </c>
      <c r="X135" s="13">
        <v>9618152209138.5645</v>
      </c>
      <c r="Y135" s="13">
        <v>3577624718384.7476</v>
      </c>
      <c r="Z135" s="13">
        <v>1101189668368.1597</v>
      </c>
      <c r="AA135" s="13">
        <v>557514486204.47095</v>
      </c>
      <c r="AB135" s="13">
        <v>-14209811247919.074</v>
      </c>
      <c r="AC135" s="13">
        <v>-5581777618994.1221</v>
      </c>
      <c r="AD135" s="13">
        <v>13108839642366.428</v>
      </c>
      <c r="AE135" s="13">
        <v>13370419686502.031</v>
      </c>
      <c r="AF135" s="13">
        <v>-12781202411959.086</v>
      </c>
      <c r="AG135" s="13">
        <v>-51150292583515.992</v>
      </c>
      <c r="AH135" s="13">
        <v>-5990099320057.7461</v>
      </c>
      <c r="AI135" s="13">
        <v>25984218548998.23</v>
      </c>
      <c r="AJ135" s="13">
        <v>10339405976012.652</v>
      </c>
      <c r="AK135" s="13">
        <v>-292899895196.21265</v>
      </c>
      <c r="AL135" s="13">
        <v>10987274978059.717</v>
      </c>
      <c r="AM135" s="13">
        <v>4683216440449.3887</v>
      </c>
      <c r="AN135" s="13">
        <v>18789539019514.789</v>
      </c>
      <c r="AO135" s="13">
        <v>5685615564725.293</v>
      </c>
      <c r="AP135" s="13">
        <v>-66415510335830.641</v>
      </c>
      <c r="AQ135" s="13">
        <v>54645398366987.477</v>
      </c>
      <c r="AR135" s="13">
        <v>12235537828544.232</v>
      </c>
      <c r="AS135" s="13">
        <v>8117732111573.5137</v>
      </c>
      <c r="AT135" s="13">
        <v>82425367727400.641</v>
      </c>
      <c r="AU135" s="13">
        <v>-34241575208354.344</v>
      </c>
      <c r="AV135" s="13">
        <v>145455065907793.72</v>
      </c>
      <c r="AW135" s="13">
        <v>-47596850302655.438</v>
      </c>
      <c r="AX135" s="13">
        <v>30416941940229.629</v>
      </c>
      <c r="AY135" s="13">
        <v>37908651467704.625</v>
      </c>
      <c r="AZ135" s="13">
        <v>-122102737971084.52</v>
      </c>
      <c r="BA135" s="13">
        <v>15562494559666.738</v>
      </c>
      <c r="BB135" s="13">
        <v>5600761798353.3486</v>
      </c>
      <c r="BC135" s="13">
        <v>-158429918797288.12</v>
      </c>
      <c r="BD135" s="13">
        <v>-121506046878365.27</v>
      </c>
      <c r="BE135" s="13">
        <v>1222451611193259</v>
      </c>
      <c r="BF135" s="13">
        <v>-2322562686753337</v>
      </c>
      <c r="BG135" s="13">
        <v>525576102492133.81</v>
      </c>
      <c r="BH135" s="13">
        <v>-525486864437582.94</v>
      </c>
      <c r="BI135" s="13">
        <v>870100202068908.75</v>
      </c>
      <c r="BJ135" s="13">
        <v>114396378505088.14</v>
      </c>
      <c r="BK135" s="13">
        <v>-953209683166932.62</v>
      </c>
      <c r="BL135" s="13">
        <v>-490281133459617.5</v>
      </c>
      <c r="BM135" s="13">
        <v>-2.6262912933106368E+16</v>
      </c>
      <c r="BN135" s="13">
        <v>1584242260751804.5</v>
      </c>
      <c r="BO135" s="13">
        <v>1.7764173080736122E+17</v>
      </c>
    </row>
    <row r="136" spans="1:67" x14ac:dyDescent="0.2">
      <c r="B136" s="13">
        <v>-3122584946214.4795</v>
      </c>
      <c r="C136" s="13">
        <v>5203069505695.4658</v>
      </c>
      <c r="D136" s="13">
        <v>861802876689.41406</v>
      </c>
      <c r="E136" s="13">
        <v>-5039249989189.5459</v>
      </c>
      <c r="F136" s="13">
        <v>3755074348337.4004</v>
      </c>
      <c r="G136" s="13">
        <v>12317285623079.309</v>
      </c>
      <c r="H136" s="13">
        <v>-6066367637493.2373</v>
      </c>
      <c r="I136" s="13">
        <v>-11416704983217.295</v>
      </c>
      <c r="J136" s="13">
        <v>-794639018002.30066</v>
      </c>
      <c r="K136" s="13">
        <v>19950630049555.918</v>
      </c>
      <c r="L136" s="13">
        <v>-15396173540588.191</v>
      </c>
      <c r="M136" s="13">
        <v>-17653559163786.129</v>
      </c>
      <c r="N136" s="13">
        <v>-58408740640884.172</v>
      </c>
      <c r="O136" s="13">
        <v>-48358950618334.609</v>
      </c>
      <c r="P136" s="13">
        <v>32077612267737.746</v>
      </c>
      <c r="Q136" s="13">
        <v>-66576670929845.727</v>
      </c>
      <c r="R136" s="13">
        <v>96399269502218.844</v>
      </c>
      <c r="S136" s="13">
        <v>8535331467523.2627</v>
      </c>
      <c r="T136" s="13">
        <v>-58276013628294.578</v>
      </c>
      <c r="U136" s="13">
        <v>-161479564764746.25</v>
      </c>
      <c r="V136" s="13">
        <v>-84083904790300.641</v>
      </c>
      <c r="W136" s="13">
        <v>-13066841015852.568</v>
      </c>
      <c r="X136" s="13">
        <v>515216019558943.25</v>
      </c>
      <c r="Y136" s="13">
        <v>191642794457585.91</v>
      </c>
      <c r="Z136" s="13">
        <v>58987479652774.852</v>
      </c>
      <c r="AA136" s="13">
        <v>29864405157179.141</v>
      </c>
      <c r="AB136" s="13">
        <v>-761177638977987.25</v>
      </c>
      <c r="AC136" s="13">
        <v>-298999348768857.75</v>
      </c>
      <c r="AD136" s="13">
        <v>702201840310503.5</v>
      </c>
      <c r="AE136" s="13">
        <v>716213911036354.25</v>
      </c>
      <c r="AF136" s="13">
        <v>-684651281107871.88</v>
      </c>
      <c r="AG136" s="13">
        <v>-2739970170059715</v>
      </c>
      <c r="AH136" s="13">
        <v>-320871936871843.44</v>
      </c>
      <c r="AI136" s="13">
        <v>1391897878212844.8</v>
      </c>
      <c r="AJ136" s="13">
        <v>553851454599418.31</v>
      </c>
      <c r="AK136" s="13">
        <v>-15689782700781.969</v>
      </c>
      <c r="AL136" s="13">
        <v>588555884428031.25</v>
      </c>
      <c r="AM136" s="13">
        <v>250866079136022.12</v>
      </c>
      <c r="AN136" s="13">
        <v>1006500135628362.2</v>
      </c>
      <c r="AO136" s="13">
        <v>304561640976927.31</v>
      </c>
      <c r="AP136" s="13">
        <v>-3557682819755019.5</v>
      </c>
      <c r="AQ136" s="13">
        <v>2927192668787331.5</v>
      </c>
      <c r="AR136" s="13">
        <v>655421640256181.5</v>
      </c>
      <c r="AS136" s="13">
        <v>434842944408499.94</v>
      </c>
      <c r="AT136" s="13">
        <v>4415283616626614.5</v>
      </c>
      <c r="AU136" s="13">
        <v>-1834220097456187.5</v>
      </c>
      <c r="AV136" s="13">
        <v>7791598474663649</v>
      </c>
      <c r="AW136" s="13">
        <v>-2549622757400640.5</v>
      </c>
      <c r="AX136" s="13">
        <v>1629345784189273.2</v>
      </c>
      <c r="AY136" s="13">
        <v>2030654546876283.5</v>
      </c>
      <c r="AZ136" s="13">
        <v>-6540683206798468</v>
      </c>
      <c r="BA136" s="13">
        <v>833636890483097.12</v>
      </c>
      <c r="BB136" s="13">
        <v>300016275182398.25</v>
      </c>
      <c r="BC136" s="13">
        <v>-8486623040275006</v>
      </c>
      <c r="BD136" s="13">
        <v>-6508720226509283</v>
      </c>
      <c r="BE136" s="13">
        <v>6.548312394409028E+16</v>
      </c>
      <c r="BF136" s="13">
        <v>-1.2441282656219629E+17</v>
      </c>
      <c r="BG136" s="13">
        <v>2.8153560229203628E+16</v>
      </c>
      <c r="BH136" s="13">
        <v>-2.8148780008766768E+16</v>
      </c>
      <c r="BI136" s="13">
        <v>4.6608699153440672E+16</v>
      </c>
      <c r="BJ136" s="13">
        <v>6127876279655144</v>
      </c>
      <c r="BK136" s="13">
        <v>-5.1060628703993184E+16</v>
      </c>
      <c r="BL136" s="13">
        <v>-2.6262912933096476E+16</v>
      </c>
      <c r="BM136" s="13">
        <v>-1.4068267136058145E+18</v>
      </c>
      <c r="BN136" s="13">
        <v>8.4863180977629216E+16</v>
      </c>
      <c r="BO136" s="13">
        <v>9.5157430932155064E+18</v>
      </c>
    </row>
    <row r="137" spans="1:67" x14ac:dyDescent="0.2">
      <c r="B137" s="13">
        <v>188361856402.03061</v>
      </c>
      <c r="C137" s="13">
        <v>-313861703672.53491</v>
      </c>
      <c r="D137" s="13">
        <v>-51986028402.226341</v>
      </c>
      <c r="E137" s="13">
        <v>303979715263.83014</v>
      </c>
      <c r="F137" s="13">
        <v>-226515142856.75745</v>
      </c>
      <c r="G137" s="13">
        <v>-743008381123.48535</v>
      </c>
      <c r="H137" s="13">
        <v>365937929464.59467</v>
      </c>
      <c r="I137" s="13">
        <v>688683184496.88147</v>
      </c>
      <c r="J137" s="13">
        <v>47934542435.286209</v>
      </c>
      <c r="K137" s="13">
        <v>-1203470130434.2422</v>
      </c>
      <c r="L137" s="13">
        <v>928734327342.59583</v>
      </c>
      <c r="M137" s="13">
        <v>1064905273515.7284</v>
      </c>
      <c r="N137" s="13">
        <v>3523356131758.5332</v>
      </c>
      <c r="O137" s="13">
        <v>2917128555013.1748</v>
      </c>
      <c r="P137" s="13">
        <v>-1934998951107.8484</v>
      </c>
      <c r="Q137" s="13">
        <v>4016065389856.8896</v>
      </c>
      <c r="R137" s="13">
        <v>-5815036475201.1611</v>
      </c>
      <c r="S137" s="13">
        <v>-514871783469.3493</v>
      </c>
      <c r="T137" s="13">
        <v>3515349718343.3633</v>
      </c>
      <c r="U137" s="13">
        <v>9740836875174.1035</v>
      </c>
      <c r="V137" s="13">
        <v>5072143968054.1553</v>
      </c>
      <c r="W137" s="13">
        <v>788223370520.46606</v>
      </c>
      <c r="X137" s="13">
        <v>-31079073128007.453</v>
      </c>
      <c r="Y137" s="13">
        <v>-11560355651358.709</v>
      </c>
      <c r="Z137" s="13">
        <v>-3558267065115.583</v>
      </c>
      <c r="AA137" s="13">
        <v>-1801492959421.6052</v>
      </c>
      <c r="AB137" s="13">
        <v>45916071331718.828</v>
      </c>
      <c r="AC137" s="13">
        <v>18036361977749.695</v>
      </c>
      <c r="AD137" s="13">
        <v>-42358508892220.867</v>
      </c>
      <c r="AE137" s="13">
        <v>-43203750797799.094</v>
      </c>
      <c r="AF137" s="13">
        <v>41299816824037.547</v>
      </c>
      <c r="AG137" s="13">
        <v>165281610142214.91</v>
      </c>
      <c r="AH137" s="13">
        <v>19355769254586.715</v>
      </c>
      <c r="AI137" s="13">
        <v>-83962637615383.953</v>
      </c>
      <c r="AJ137" s="13">
        <v>-33409655767970.082</v>
      </c>
      <c r="AK137" s="13">
        <v>946445540288.54749</v>
      </c>
      <c r="AL137" s="13">
        <v>-35503110690899.438</v>
      </c>
      <c r="AM137" s="13">
        <v>-15132847044693.941</v>
      </c>
      <c r="AN137" s="13">
        <v>-60714516107975.859</v>
      </c>
      <c r="AO137" s="13">
        <v>-18371892861586.637</v>
      </c>
      <c r="AP137" s="13">
        <v>214608009696939.06</v>
      </c>
      <c r="AQ137" s="13">
        <v>-176575322892581</v>
      </c>
      <c r="AR137" s="13">
        <v>-39536614378599.297</v>
      </c>
      <c r="AS137" s="13">
        <v>-26230775355329.355</v>
      </c>
      <c r="AT137" s="13">
        <v>-266340558509260.22</v>
      </c>
      <c r="AU137" s="13">
        <v>110644580871068</v>
      </c>
      <c r="AV137" s="13">
        <v>-470008015251517.94</v>
      </c>
      <c r="AW137" s="13">
        <v>153799395046392.84</v>
      </c>
      <c r="AX137" s="13">
        <v>-98286068086518.828</v>
      </c>
      <c r="AY137" s="13">
        <v>-122493980707403.2</v>
      </c>
      <c r="AZ137" s="13">
        <v>394549788776698.12</v>
      </c>
      <c r="BA137" s="13">
        <v>-50286988161963.406</v>
      </c>
      <c r="BB137" s="13">
        <v>-18097705430194.922</v>
      </c>
      <c r="BC137" s="13">
        <v>511933573626438.56</v>
      </c>
      <c r="BD137" s="13">
        <v>392621704702401.5</v>
      </c>
      <c r="BE137" s="13">
        <v>-3950099997778461</v>
      </c>
      <c r="BF137" s="13">
        <v>7504881812665699</v>
      </c>
      <c r="BG137" s="13">
        <v>-1698290666441911</v>
      </c>
      <c r="BH137" s="13">
        <v>1698002311933753</v>
      </c>
      <c r="BI137" s="13">
        <v>-2811549164626196.5</v>
      </c>
      <c r="BJ137" s="13">
        <v>-369648279075939.62</v>
      </c>
      <c r="BK137" s="13">
        <v>3080100294282180</v>
      </c>
      <c r="BL137" s="13">
        <v>1584242260750522.2</v>
      </c>
      <c r="BM137" s="13">
        <v>8.486318097759256E+16</v>
      </c>
      <c r="BN137" s="13">
        <v>-5119151787438401</v>
      </c>
      <c r="BO137" s="13">
        <v>-5.7401257770100634E+17</v>
      </c>
    </row>
    <row r="138" spans="1:67" x14ac:dyDescent="0.2">
      <c r="B138" s="13">
        <v>21121091778807.496</v>
      </c>
      <c r="C138" s="13">
        <v>-35193440836403.664</v>
      </c>
      <c r="D138" s="13">
        <v>-5829214566511.2363</v>
      </c>
      <c r="E138" s="13">
        <v>34085369445951.188</v>
      </c>
      <c r="F138" s="13">
        <v>-25399235349400.59</v>
      </c>
      <c r="G138" s="13">
        <v>-83313832799459.203</v>
      </c>
      <c r="H138" s="13">
        <v>41032769273556.359</v>
      </c>
      <c r="I138" s="13">
        <v>77222326346706.562</v>
      </c>
      <c r="J138" s="13">
        <v>5374919792262.6104</v>
      </c>
      <c r="K138" s="13">
        <v>-134945596542498.19</v>
      </c>
      <c r="L138" s="13">
        <v>104139358894582.72</v>
      </c>
      <c r="M138" s="13">
        <v>119408262623338.33</v>
      </c>
      <c r="N138" s="13">
        <v>395075360001124.81</v>
      </c>
      <c r="O138" s="13">
        <v>327098814581327</v>
      </c>
      <c r="P138" s="13">
        <v>-216972221547737.38</v>
      </c>
      <c r="Q138" s="13">
        <v>450323050055581.44</v>
      </c>
      <c r="R138" s="13">
        <v>-652042411539001.75</v>
      </c>
      <c r="S138" s="13">
        <v>-57732783060859.375</v>
      </c>
      <c r="T138" s="13">
        <v>394177597584074</v>
      </c>
      <c r="U138" s="13">
        <v>1092244011465402.6</v>
      </c>
      <c r="V138" s="13">
        <v>568741571737440.75</v>
      </c>
      <c r="W138" s="13">
        <v>88383808001714.891</v>
      </c>
      <c r="X138" s="13">
        <v>-3484909144971115.5</v>
      </c>
      <c r="Y138" s="13">
        <v>-1296267393906415.2</v>
      </c>
      <c r="Z138" s="13">
        <v>-398989937186987.38</v>
      </c>
      <c r="AA138" s="13">
        <v>-202002140248940.41</v>
      </c>
      <c r="AB138" s="13">
        <v>5148587804574986</v>
      </c>
      <c r="AC138" s="13">
        <v>2022424624444996</v>
      </c>
      <c r="AD138" s="13">
        <v>-4749676877305923</v>
      </c>
      <c r="AE138" s="13">
        <v>-4844454197014026</v>
      </c>
      <c r="AF138" s="13">
        <v>4630965304000974</v>
      </c>
      <c r="AG138" s="13">
        <v>1.8533094352849096E+16</v>
      </c>
      <c r="AH138" s="13">
        <v>2170370300459395.5</v>
      </c>
      <c r="AI138" s="13">
        <v>-9414764798668424</v>
      </c>
      <c r="AJ138" s="13">
        <v>-3746238326868706</v>
      </c>
      <c r="AK138" s="13">
        <v>106125324409790.36</v>
      </c>
      <c r="AL138" s="13">
        <v>-3980978281161363.5</v>
      </c>
      <c r="AM138" s="13">
        <v>-1696852310795760.5</v>
      </c>
      <c r="AN138" s="13">
        <v>-6807943452673616</v>
      </c>
      <c r="AO138" s="13">
        <v>-2060047839265332.5</v>
      </c>
      <c r="AP138" s="13">
        <v>2.4064083651909204E+16</v>
      </c>
      <c r="AQ138" s="13">
        <v>-1.9799462969495644E+16</v>
      </c>
      <c r="AR138" s="13">
        <v>-4433256694719942</v>
      </c>
      <c r="AS138" s="13">
        <v>-2941267538409792.5</v>
      </c>
      <c r="AT138" s="13">
        <v>-2.9864875448543628E+16</v>
      </c>
      <c r="AU138" s="13">
        <v>1.2406621977705464E+16</v>
      </c>
      <c r="AV138" s="13">
        <v>-5.2702190435669968E+16</v>
      </c>
      <c r="AW138" s="13">
        <v>1.7245588891242138E+16</v>
      </c>
      <c r="AX138" s="13">
        <v>-1.1020856899005692E+16</v>
      </c>
      <c r="AY138" s="13">
        <v>-1.3735300014037742E+16</v>
      </c>
      <c r="AZ138" s="13">
        <v>4.4241028726633712E+16</v>
      </c>
      <c r="BA138" s="13">
        <v>-5638700492372366</v>
      </c>
      <c r="BB138" s="13">
        <v>-2029303090961703.8</v>
      </c>
      <c r="BC138" s="13">
        <v>5.7403320394349712E+16</v>
      </c>
      <c r="BD138" s="13">
        <v>4.4024831873077272E+16</v>
      </c>
      <c r="BE138" s="13">
        <v>-4.4292632373783648E+17</v>
      </c>
      <c r="BF138" s="13">
        <v>8.4152545840741235E+17</v>
      </c>
      <c r="BG138" s="13">
        <v>-1.9043002504250195E+17</v>
      </c>
      <c r="BH138" s="13">
        <v>1.9039769174153488E+17</v>
      </c>
      <c r="BI138" s="13">
        <v>-3.1526015447669939E+17</v>
      </c>
      <c r="BJ138" s="13">
        <v>-4.14488122942412E+16</v>
      </c>
      <c r="BK138" s="13">
        <v>3.453729021685129E+17</v>
      </c>
      <c r="BL138" s="13">
        <v>1.7764173080729603E+17</v>
      </c>
      <c r="BM138" s="13">
        <v>9.5157430932156027E+18</v>
      </c>
      <c r="BN138" s="13">
        <v>-5.7401257770126029E+17</v>
      </c>
      <c r="BO138" s="13">
        <v>-6.4364264440202404E+19</v>
      </c>
    </row>
    <row r="140" spans="1:67" x14ac:dyDescent="0.2">
      <c r="A140" s="8" t="s">
        <v>341</v>
      </c>
      <c r="B140" s="8">
        <f t="array" ref="B140:BO140">MMULT(B4:BO4,B73:BO138)</f>
        <v>32747097918.467087</v>
      </c>
      <c r="C140" s="8">
        <v>-54565505667.214066</v>
      </c>
      <c r="D140" s="8">
        <v>-9037878448.0319862</v>
      </c>
      <c r="E140" s="8">
        <v>52847501565.164978</v>
      </c>
      <c r="F140" s="8">
        <v>-39380125598.890472</v>
      </c>
      <c r="G140" s="8">
        <v>-129173542221.561</v>
      </c>
      <c r="H140" s="8">
        <v>63619065117.850235</v>
      </c>
      <c r="I140" s="8">
        <v>119728994544.09221</v>
      </c>
      <c r="J140" s="8">
        <v>8333519242.2123947</v>
      </c>
      <c r="K140" s="8">
        <v>-209225768720.07248</v>
      </c>
      <c r="L140" s="8">
        <v>161462381706.23654</v>
      </c>
      <c r="M140" s="8">
        <v>185135982049.51105</v>
      </c>
      <c r="N140" s="8">
        <v>612542743269.65466</v>
      </c>
      <c r="O140" s="8">
        <v>507148826502.7337</v>
      </c>
      <c r="P140" s="8">
        <v>-336403565639.65704</v>
      </c>
      <c r="Q140" s="8">
        <v>698201265803.94946</v>
      </c>
      <c r="R140" s="8">
        <v>-1010956105923.5798</v>
      </c>
      <c r="S140" s="8">
        <v>-89511523355.535126</v>
      </c>
      <c r="T140" s="8">
        <v>611150811755.23999</v>
      </c>
      <c r="U140" s="8">
        <v>1693464616730.3633</v>
      </c>
      <c r="V140" s="8">
        <v>881802708629.85327</v>
      </c>
      <c r="W140" s="8">
        <v>137034261550.86478</v>
      </c>
      <c r="X140" s="8">
        <v>-5403161077186.083</v>
      </c>
      <c r="Y140" s="8">
        <v>-2009791715360.2996</v>
      </c>
      <c r="Z140" s="8">
        <v>-618612081174.28125</v>
      </c>
      <c r="AA140" s="8">
        <v>-313193273142.96442</v>
      </c>
      <c r="AB140" s="8">
        <v>7982603870276.3027</v>
      </c>
      <c r="AC140" s="8">
        <v>3135658795600.2852</v>
      </c>
      <c r="AD140" s="8">
        <v>-7364114289726.8945</v>
      </c>
      <c r="AE140" s="8">
        <v>-7511061341419.0781</v>
      </c>
      <c r="AF140" s="8">
        <v>7180058486204.8379</v>
      </c>
      <c r="AG140" s="8">
        <v>28734549418990.219</v>
      </c>
      <c r="AH140" s="8">
        <v>3365040476779.0024</v>
      </c>
      <c r="AI140" s="8">
        <v>-14597078028503.57</v>
      </c>
      <c r="AJ140" s="8">
        <v>-5808337684428.2441</v>
      </c>
      <c r="AK140" s="8">
        <v>164541512644.63269</v>
      </c>
      <c r="AL140" s="8">
        <v>-6172289148200.4404</v>
      </c>
      <c r="AM140" s="8">
        <v>-2630876725428.4395</v>
      </c>
      <c r="AN140" s="8">
        <v>-10555344070431.785</v>
      </c>
      <c r="AO140" s="8">
        <v>-3193991532977.4673</v>
      </c>
      <c r="AP140" s="8">
        <v>37310045897123.719</v>
      </c>
      <c r="AQ140" s="8">
        <v>-30697984715123.504</v>
      </c>
      <c r="AR140" s="8">
        <v>-6873522098096.3652</v>
      </c>
      <c r="AS140" s="8">
        <v>-4560274492146.9111</v>
      </c>
      <c r="AT140" s="8">
        <v>-46303856395081.664</v>
      </c>
      <c r="AU140" s="8">
        <v>19235788992374.238</v>
      </c>
      <c r="AV140" s="8">
        <v>-81711864556292.812</v>
      </c>
      <c r="AW140" s="8">
        <v>26738342600738.031</v>
      </c>
      <c r="AX140" s="8">
        <v>-17087236010034.348</v>
      </c>
      <c r="AY140" s="8">
        <v>-21295831636239.652</v>
      </c>
      <c r="AZ140" s="8">
        <v>68593295975969.234</v>
      </c>
      <c r="BA140" s="8">
        <v>-8742496791971.3428</v>
      </c>
      <c r="BB140" s="8">
        <v>-3146323481334.4253</v>
      </c>
      <c r="BC140" s="8">
        <v>89000709504818.094</v>
      </c>
      <c r="BD140" s="8">
        <v>68258094575944.281</v>
      </c>
      <c r="BE140" s="8">
        <v>-686733046093907.5</v>
      </c>
      <c r="BF140" s="8">
        <v>1304739209308989</v>
      </c>
      <c r="BG140" s="8">
        <v>-295251341281114.75</v>
      </c>
      <c r="BH140" s="8">
        <v>295201210247934.56</v>
      </c>
      <c r="BI140" s="8">
        <v>-488793631338712.62</v>
      </c>
      <c r="BJ140" s="8">
        <v>-64264117060691.062</v>
      </c>
      <c r="BK140" s="8">
        <v>535481800099858.62</v>
      </c>
      <c r="BL140" s="8">
        <v>275423790306097.88</v>
      </c>
      <c r="BM140" s="8">
        <v>1.4753639352610836E+16</v>
      </c>
      <c r="BN140" s="8">
        <v>-889975115162117.75</v>
      </c>
      <c r="BO140" s="8">
        <v>-9.9793272626605792E+16</v>
      </c>
    </row>
    <row r="142" spans="1:67" x14ac:dyDescent="0.2">
      <c r="A142" s="8" t="s">
        <v>346</v>
      </c>
      <c r="B142" s="8">
        <f t="array" ref="B142">Notes!C7^2-MMULT('MetaData (67) (2018)'!B140:BO140,TRANSPOSE('MetaData (67) (2018)'!B4:BO4))</f>
        <v>154724012587849.16</v>
      </c>
    </row>
  </sheetData>
  <mergeCells count="2">
    <mergeCell ref="A73:A74"/>
    <mergeCell ref="A6:A7"/>
  </mergeCells>
  <conditionalFormatting sqref="A1:BO1">
    <cfRule type="colorScale" priority="7">
      <colorScale>
        <cfvo type="min"/>
        <cfvo type="max"/>
        <color rgb="FFFFEF9C"/>
        <color rgb="FF63BE7B"/>
      </colorScale>
    </cfRule>
    <cfRule type="cellIs" dxfId="18" priority="8" operator="equal">
      <formula>#DIV/0!</formula>
    </cfRule>
  </conditionalFormatting>
  <conditionalFormatting sqref="C2:BO2">
    <cfRule type="colorScale" priority="6">
      <colorScale>
        <cfvo type="min"/>
        <cfvo type="percentile" val="50"/>
        <cfvo type="max"/>
        <color rgb="FFF8696B"/>
        <color rgb="FFFFEB84"/>
        <color rgb="FF63BE7B"/>
      </colorScale>
    </cfRule>
  </conditionalFormatting>
  <conditionalFormatting sqref="B6:BO71">
    <cfRule type="colorScale" priority="5">
      <colorScale>
        <cfvo type="min"/>
        <cfvo type="percentile" val="50"/>
        <cfvo type="max"/>
        <color rgb="FFF8696B"/>
        <color rgb="FFFFEB84"/>
        <color rgb="FF63BE7B"/>
      </colorScale>
    </cfRule>
  </conditionalFormatting>
  <conditionalFormatting sqref="B73:BO138">
    <cfRule type="colorScale" priority="4">
      <colorScale>
        <cfvo type="min"/>
        <cfvo type="percentile" val="50"/>
        <cfvo type="max"/>
        <color rgb="FFF8696B"/>
        <color rgb="FFFFEB84"/>
        <color rgb="FF63BE7B"/>
      </colorScale>
    </cfRule>
  </conditionalFormatting>
  <conditionalFormatting sqref="B140:BO140">
    <cfRule type="colorScale" priority="3">
      <colorScale>
        <cfvo type="min"/>
        <cfvo type="percentile" val="50"/>
        <cfvo type="max"/>
        <color rgb="FFF8696B"/>
        <color rgb="FFFFEB84"/>
        <color rgb="FF63BE7B"/>
      </colorScale>
    </cfRule>
  </conditionalFormatting>
  <conditionalFormatting sqref="B2">
    <cfRule type="colorScale" priority="2">
      <colorScale>
        <cfvo type="min"/>
        <cfvo type="percentile" val="50"/>
        <cfvo type="max"/>
        <color rgb="FFF8696B"/>
        <color rgb="FFFFEB84"/>
        <color rgb="FF63BE7B"/>
      </colorScale>
    </cfRule>
  </conditionalFormatting>
  <conditionalFormatting sqref="B4:BO4">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O144"/>
  <sheetViews>
    <sheetView zoomScale="70" zoomScaleNormal="70" workbookViewId="0">
      <pane xSplit="1" ySplit="1" topLeftCell="Z2" activePane="bottomRight" state="frozen"/>
      <selection pane="topRight" activeCell="B1" sqref="B1"/>
      <selection pane="bottomLeft" activeCell="A2" sqref="A2"/>
      <selection pane="bottomRight"/>
    </sheetView>
  </sheetViews>
  <sheetFormatPr baseColWidth="10" defaultColWidth="9.1640625" defaultRowHeight="15" x14ac:dyDescent="0.2"/>
  <cols>
    <col min="1" max="1" width="17.5" style="8" customWidth="1"/>
    <col min="2" max="3" width="21.5" style="8" bestFit="1" customWidth="1"/>
    <col min="4" max="14" width="20.33203125" style="8" bestFit="1" customWidth="1"/>
    <col min="15" max="22" width="18.6640625" style="8" bestFit="1" customWidth="1"/>
    <col min="23" max="23" width="17.5" style="8" bestFit="1" customWidth="1"/>
    <col min="24" max="25" width="18.6640625" style="8" bestFit="1" customWidth="1"/>
    <col min="26" max="33" width="17.5" style="8" bestFit="1" customWidth="1"/>
    <col min="34" max="34" width="16.5" style="8" bestFit="1" customWidth="1"/>
    <col min="35" max="35" width="17.5" style="8" bestFit="1" customWidth="1"/>
    <col min="36" max="37" width="16.5" style="8" bestFit="1" customWidth="1"/>
    <col min="38" max="38" width="17.5" style="8" bestFit="1" customWidth="1"/>
    <col min="39" max="41" width="16.5" style="8" bestFit="1" customWidth="1"/>
    <col min="42" max="67" width="12.5" style="8" bestFit="1" customWidth="1"/>
    <col min="68" max="68" width="8.6640625" style="8" bestFit="1" customWidth="1"/>
    <col min="69" max="16384" width="9.1640625" style="8"/>
  </cols>
  <sheetData>
    <row r="1" spans="1:67" ht="113" x14ac:dyDescent="0.2">
      <c r="A1" s="10" t="s">
        <v>332</v>
      </c>
      <c r="B1" s="3" t="s">
        <v>254</v>
      </c>
      <c r="C1" s="3" t="s">
        <v>255</v>
      </c>
      <c r="D1" s="3" t="s">
        <v>256</v>
      </c>
      <c r="E1" s="3" t="s">
        <v>257</v>
      </c>
      <c r="F1" s="3" t="s">
        <v>258</v>
      </c>
      <c r="G1" s="3" t="s">
        <v>259</v>
      </c>
      <c r="H1" s="3" t="s">
        <v>260</v>
      </c>
      <c r="I1" s="3" t="s">
        <v>261</v>
      </c>
      <c r="J1" s="3" t="s">
        <v>262</v>
      </c>
      <c r="K1" s="3" t="s">
        <v>263</v>
      </c>
      <c r="L1" s="3" t="s">
        <v>264</v>
      </c>
      <c r="M1" s="3" t="s">
        <v>265</v>
      </c>
      <c r="N1" s="3" t="s">
        <v>266</v>
      </c>
      <c r="O1" s="3" t="s">
        <v>267</v>
      </c>
      <c r="P1" s="3" t="s">
        <v>268</v>
      </c>
      <c r="Q1" s="3" t="s">
        <v>269</v>
      </c>
      <c r="R1" s="3" t="s">
        <v>270</v>
      </c>
      <c r="S1" s="3" t="s">
        <v>271</v>
      </c>
      <c r="T1" s="3" t="s">
        <v>272</v>
      </c>
      <c r="U1" s="3" t="s">
        <v>273</v>
      </c>
      <c r="V1" s="3" t="s">
        <v>274</v>
      </c>
      <c r="W1" s="3" t="s">
        <v>275</v>
      </c>
      <c r="X1" s="3" t="s">
        <v>276</v>
      </c>
      <c r="Y1" s="3" t="s">
        <v>277</v>
      </c>
      <c r="Z1" s="3" t="s">
        <v>278</v>
      </c>
      <c r="AA1" s="3" t="s">
        <v>279</v>
      </c>
      <c r="AB1" s="3" t="s">
        <v>280</v>
      </c>
      <c r="AC1" s="3" t="s">
        <v>281</v>
      </c>
      <c r="AD1" s="3" t="s">
        <v>282</v>
      </c>
      <c r="AE1" s="3" t="s">
        <v>283</v>
      </c>
      <c r="AF1" s="3" t="s">
        <v>284</v>
      </c>
      <c r="AG1" s="3" t="s">
        <v>285</v>
      </c>
      <c r="AH1" s="3" t="s">
        <v>286</v>
      </c>
      <c r="AI1" s="3" t="s">
        <v>287</v>
      </c>
      <c r="AJ1" s="3" t="s">
        <v>288</v>
      </c>
      <c r="AK1" s="3" t="s">
        <v>289</v>
      </c>
      <c r="AL1" s="3" t="s">
        <v>290</v>
      </c>
      <c r="AM1" s="3" t="s">
        <v>291</v>
      </c>
      <c r="AN1" s="3" t="s">
        <v>292</v>
      </c>
      <c r="AO1" s="3" t="s">
        <v>293</v>
      </c>
      <c r="AP1" s="3" t="s">
        <v>294</v>
      </c>
      <c r="AQ1" s="3" t="s">
        <v>295</v>
      </c>
      <c r="AR1" s="3" t="s">
        <v>296</v>
      </c>
      <c r="AS1" s="3" t="s">
        <v>297</v>
      </c>
      <c r="AT1" s="3" t="s">
        <v>298</v>
      </c>
      <c r="AU1" s="3" t="s">
        <v>299</v>
      </c>
      <c r="AV1" s="3" t="s">
        <v>300</v>
      </c>
      <c r="AW1" s="3" t="s">
        <v>301</v>
      </c>
      <c r="AX1" s="3" t="s">
        <v>302</v>
      </c>
      <c r="AY1" s="3" t="s">
        <v>303</v>
      </c>
      <c r="AZ1" s="3" t="s">
        <v>304</v>
      </c>
      <c r="BA1" s="3" t="s">
        <v>305</v>
      </c>
      <c r="BB1" s="3" t="s">
        <v>306</v>
      </c>
      <c r="BC1" s="3" t="s">
        <v>307</v>
      </c>
      <c r="BD1" s="3" t="s">
        <v>308</v>
      </c>
      <c r="BE1" s="3" t="s">
        <v>309</v>
      </c>
      <c r="BF1" s="3" t="s">
        <v>310</v>
      </c>
      <c r="BG1" s="3" t="s">
        <v>311</v>
      </c>
      <c r="BH1" s="3" t="s">
        <v>312</v>
      </c>
      <c r="BI1" s="3" t="s">
        <v>313</v>
      </c>
      <c r="BJ1" s="3" t="s">
        <v>314</v>
      </c>
      <c r="BK1" s="3" t="s">
        <v>315</v>
      </c>
      <c r="BL1" s="3" t="s">
        <v>316</v>
      </c>
      <c r="BM1" s="3" t="s">
        <v>317</v>
      </c>
      <c r="BN1" s="3" t="s">
        <v>318</v>
      </c>
      <c r="BO1" s="3" t="s">
        <v>319</v>
      </c>
    </row>
    <row r="2" spans="1:67" ht="32" x14ac:dyDescent="0.2">
      <c r="A2" s="10" t="s">
        <v>334</v>
      </c>
      <c r="B2" s="9">
        <f>_xlfn.STDEV.P('Data_Matrix (2018)'!B2:B67)</f>
        <v>4510.0896987653241</v>
      </c>
      <c r="C2" s="9">
        <f>_xlfn.STDEV.P('Data_Matrix (2018)'!C2:C67)</f>
        <v>3923.7443721263412</v>
      </c>
      <c r="D2" s="9">
        <f>_xlfn.STDEV.P('Data_Matrix (2018)'!D2:D67)</f>
        <v>2718.7645753087368</v>
      </c>
      <c r="E2" s="9">
        <f>_xlfn.STDEV.P('Data_Matrix (2018)'!E2:E67)</f>
        <v>2469.0998905148695</v>
      </c>
      <c r="F2" s="9">
        <f>_xlfn.STDEV.P('Data_Matrix (2018)'!F2:F67)</f>
        <v>1434.4735219279539</v>
      </c>
      <c r="G2" s="9">
        <f>_xlfn.STDEV.P('Data_Matrix (2018)'!G2:G67)</f>
        <v>1993.784397118751</v>
      </c>
      <c r="H2" s="9">
        <f>_xlfn.STDEV.P('Data_Matrix (2018)'!H2:H67)</f>
        <v>1135.1533083514978</v>
      </c>
      <c r="I2" s="9">
        <f>_xlfn.STDEV.P('Data_Matrix (2018)'!I2:I67)</f>
        <v>890.55165582770451</v>
      </c>
      <c r="J2" s="9">
        <f>_xlfn.STDEV.P('Data_Matrix (2018)'!J2:J67)</f>
        <v>560.31315858967014</v>
      </c>
      <c r="K2" s="9">
        <f>_xlfn.STDEV.P('Data_Matrix (2018)'!K2:K67)</f>
        <v>532.27023775813586</v>
      </c>
      <c r="L2" s="9">
        <f>_xlfn.STDEV.P('Data_Matrix (2018)'!L2:L67)</f>
        <v>411.51709795413188</v>
      </c>
      <c r="M2" s="9">
        <f>_xlfn.STDEV.P('Data_Matrix (2018)'!M2:M67)</f>
        <v>403.77259069351311</v>
      </c>
      <c r="N2" s="9">
        <f>_xlfn.STDEV.P('Data_Matrix (2018)'!N2:N67)</f>
        <v>415.93908530906464</v>
      </c>
      <c r="O2" s="9">
        <f>_xlfn.STDEV.P('Data_Matrix (2018)'!O2:O67)</f>
        <v>188.0626356993609</v>
      </c>
      <c r="P2" s="9">
        <f>_xlfn.STDEV.P('Data_Matrix (2018)'!P2:P67)</f>
        <v>162.22869696873528</v>
      </c>
      <c r="Q2" s="9">
        <f>_xlfn.STDEV.P('Data_Matrix (2018)'!Q2:Q67)</f>
        <v>187.48203408899548</v>
      </c>
      <c r="R2" s="9">
        <f>_xlfn.STDEV.P('Data_Matrix (2018)'!R2:R67)</f>
        <v>240.58451749350169</v>
      </c>
      <c r="S2" s="9">
        <f>_xlfn.STDEV.P('Data_Matrix (2018)'!S2:S67)</f>
        <v>131.43454182353361</v>
      </c>
      <c r="T2" s="9">
        <f>_xlfn.STDEV.P('Data_Matrix (2018)'!T2:T67)</f>
        <v>80.812219500334692</v>
      </c>
      <c r="U2" s="9">
        <f>_xlfn.STDEV.P('Data_Matrix (2018)'!U2:U67)</f>
        <v>56.954858223455901</v>
      </c>
      <c r="V2" s="9">
        <f>_xlfn.STDEV.P('Data_Matrix (2018)'!V2:V67)</f>
        <v>69.872455291148142</v>
      </c>
      <c r="W2" s="9">
        <f>_xlfn.STDEV.P('Data_Matrix (2018)'!W2:W67)</f>
        <v>38.624508103524263</v>
      </c>
      <c r="X2" s="9">
        <f>_xlfn.STDEV.P('Data_Matrix (2018)'!X2:X67)</f>
        <v>49.698408800084891</v>
      </c>
      <c r="Y2" s="9">
        <f>_xlfn.STDEV.P('Data_Matrix (2018)'!Y2:Y67)</f>
        <v>45.789085271870974</v>
      </c>
      <c r="Z2" s="9">
        <f>_xlfn.STDEV.P('Data_Matrix (2018)'!Z2:Z67)</f>
        <v>27.303593444979413</v>
      </c>
      <c r="AA2" s="9">
        <f>_xlfn.STDEV.P('Data_Matrix (2018)'!AA2:AA67)</f>
        <v>41.082314503437296</v>
      </c>
      <c r="AB2" s="9">
        <f>_xlfn.STDEV.P('Data_Matrix (2018)'!AB2:AB67)</f>
        <v>6.6056698626908483</v>
      </c>
      <c r="AC2" s="9">
        <f>_xlfn.STDEV.P('Data_Matrix (2018)'!AC2:AC67)</f>
        <v>9.6273390732961026</v>
      </c>
      <c r="AD2" s="9">
        <f>_xlfn.STDEV.P('Data_Matrix (2018)'!AD2:AD67)</f>
        <v>8.2651443746735112</v>
      </c>
      <c r="AE2" s="9">
        <f>_xlfn.STDEV.P('Data_Matrix (2018)'!AE2:AE67)</f>
        <v>7.9280053724301025</v>
      </c>
      <c r="AF2" s="9">
        <f>_xlfn.STDEV.P('Data_Matrix (2018)'!AF2:AF67)</f>
        <v>7.5012339473477665</v>
      </c>
      <c r="AG2" s="9">
        <f>_xlfn.STDEV.P('Data_Matrix (2018)'!AG2:AG67)</f>
        <v>7.6707419540886885</v>
      </c>
      <c r="AH2" s="9">
        <f>_xlfn.STDEV.P('Data_Matrix (2018)'!AH2:AH67)</f>
        <v>8.088996608664532</v>
      </c>
      <c r="AI2" s="9">
        <f>_xlfn.STDEV.P('Data_Matrix (2018)'!AI2:AI67)</f>
        <v>4.0223527870451488</v>
      </c>
      <c r="AJ2" s="9">
        <f>_xlfn.STDEV.P('Data_Matrix (2018)'!AJ2:AJ67)</f>
        <v>5.9087394188888425</v>
      </c>
      <c r="AK2" s="9">
        <f>_xlfn.STDEV.P('Data_Matrix (2018)'!AK2:AK67)</f>
        <v>7.1844007351472996</v>
      </c>
      <c r="AL2" s="9">
        <f>_xlfn.STDEV.P('Data_Matrix (2018)'!AL2:AL67)</f>
        <v>18.60373568215466</v>
      </c>
      <c r="AM2" s="9">
        <f>_xlfn.STDEV.P('Data_Matrix (2018)'!AM2:AM67)</f>
        <v>5.4272072889352216</v>
      </c>
      <c r="AN2" s="9">
        <f>_xlfn.STDEV.P('Data_Matrix (2018)'!AN2:AN67)</f>
        <v>6.0492766684882815</v>
      </c>
      <c r="AO2" s="9">
        <f>_xlfn.STDEV.P('Data_Matrix (2018)'!AO2:AO67)</f>
        <v>4.4674623630022756</v>
      </c>
      <c r="AP2" s="9">
        <f>_xlfn.STDEV.P('Data_Matrix (2018)'!AP2:AP67)</f>
        <v>6.5100082343979597</v>
      </c>
      <c r="AQ2" s="9">
        <f>_xlfn.STDEV.P('Data_Matrix (2018)'!AQ2:AQ67)</f>
        <v>3.686150238685745</v>
      </c>
      <c r="AR2" s="9">
        <f>_xlfn.STDEV.P('Data_Matrix (2018)'!AR2:AR67)</f>
        <v>3.9225015120805922</v>
      </c>
      <c r="AS2" s="9">
        <f>_xlfn.STDEV.P('Data_Matrix (2018)'!AS2:AS67)</f>
        <v>3.9545889998736614</v>
      </c>
      <c r="AT2" s="9">
        <f>_xlfn.STDEV.P('Data_Matrix (2018)'!AT2:AT67)</f>
        <v>2.0822057124574878</v>
      </c>
      <c r="AU2" s="9">
        <f>_xlfn.STDEV.P('Data_Matrix (2018)'!AU2:AU67)</f>
        <v>1.9538045899433674</v>
      </c>
      <c r="AV2" s="9">
        <f>_xlfn.STDEV.P('Data_Matrix (2018)'!AV2:AV67)</f>
        <v>2.1833848732639352</v>
      </c>
      <c r="AW2" s="9">
        <f>_xlfn.STDEV.P('Data_Matrix (2018)'!AW2:AW67)</f>
        <v>3.7016473981228799</v>
      </c>
      <c r="AX2" s="9">
        <f>_xlfn.STDEV.P('Data_Matrix (2018)'!AX2:AX67)</f>
        <v>3.7756205099482867</v>
      </c>
      <c r="AY2" s="9">
        <f>_xlfn.STDEV.P('Data_Matrix (2018)'!AY2:AY67)</f>
        <v>1.0262855671175186</v>
      </c>
      <c r="AZ2" s="9">
        <f>_xlfn.STDEV.P('Data_Matrix (2018)'!AZ2:AZ67)</f>
        <v>2.1146278706444819</v>
      </c>
      <c r="BA2" s="9">
        <f>_xlfn.STDEV.P('Data_Matrix (2018)'!BA2:BA67)</f>
        <v>0.2793459775018956</v>
      </c>
      <c r="BB2" s="9">
        <f>_xlfn.STDEV.P('Data_Matrix (2018)'!BB2:BB67)</f>
        <v>0.77140517839969958</v>
      </c>
      <c r="BC2" s="9">
        <f>_xlfn.STDEV.P('Data_Matrix (2018)'!BC2:BC67)</f>
        <v>0.51895436720386623</v>
      </c>
      <c r="BD2" s="9">
        <f>_xlfn.STDEV.P('Data_Matrix (2018)'!BD2:BD67)</f>
        <v>0.52013500002706514</v>
      </c>
      <c r="BE2" s="9">
        <f>_xlfn.STDEV.P('Data_Matrix (2018)'!BE2:BE67)</f>
        <v>0.23254324707788551</v>
      </c>
      <c r="BF2" s="9">
        <f>_xlfn.STDEV.P('Data_Matrix (2018)'!BF2:BF67)</f>
        <v>4.7190166233119481E-2</v>
      </c>
      <c r="BG2" s="9">
        <f>_xlfn.STDEV.P('Data_Matrix (2018)'!BG2:BG67)</f>
        <v>4.2615979320582441E-2</v>
      </c>
      <c r="BH2" s="9">
        <f>_xlfn.STDEV.P('Data_Matrix (2018)'!BH2:BH67)</f>
        <v>0.23917666710139085</v>
      </c>
      <c r="BI2" s="9">
        <f>_xlfn.STDEV.P('Data_Matrix (2018)'!BI2:BI67)</f>
        <v>0.13253959560046738</v>
      </c>
      <c r="BJ2" s="9">
        <f>_xlfn.STDEV.P('Data_Matrix (2018)'!BJ2:BJ67)</f>
        <v>9.5798196917550094E-2</v>
      </c>
      <c r="BK2" s="9">
        <f>_xlfn.STDEV.P('Data_Matrix (2018)'!BK2:BK67)</f>
        <v>6.2049370427997026E-2</v>
      </c>
      <c r="BL2" s="9">
        <f>_xlfn.STDEV.P('Data_Matrix (2018)'!BL2:BL67)</f>
        <v>0.17656078370947278</v>
      </c>
      <c r="BM2" s="9">
        <f>_xlfn.STDEV.P('Data_Matrix (2018)'!BM2:BM67)</f>
        <v>1.5535596818801524E-2</v>
      </c>
      <c r="BN2" s="9">
        <f>_xlfn.STDEV.P('Data_Matrix (2018)'!BN2:BN67)</f>
        <v>1.4047695255943763E-2</v>
      </c>
      <c r="BO2" s="9">
        <f>_xlfn.STDEV.P('Data_Matrix (2018)'!BO2:BO67)</f>
        <v>2.1636087766101486E-3</v>
      </c>
    </row>
    <row r="3" spans="1:67" ht="64" x14ac:dyDescent="0.2">
      <c r="A3" s="12" t="s">
        <v>339</v>
      </c>
      <c r="B3" s="8">
        <v>0.25</v>
      </c>
      <c r="C3" s="8">
        <v>0.43</v>
      </c>
      <c r="D3" s="8">
        <v>0.32</v>
      </c>
      <c r="E3" s="8">
        <v>0.33</v>
      </c>
      <c r="F3" s="8">
        <v>0.34</v>
      </c>
      <c r="G3" s="8">
        <v>0.4</v>
      </c>
      <c r="H3" s="8">
        <v>0.35</v>
      </c>
      <c r="I3" s="8">
        <v>0.3</v>
      </c>
      <c r="J3" s="8">
        <v>0.09</v>
      </c>
      <c r="K3" s="8">
        <v>0.26</v>
      </c>
      <c r="L3" s="8">
        <v>0.43</v>
      </c>
      <c r="M3" s="8">
        <v>0.5</v>
      </c>
      <c r="N3" s="8">
        <v>0.33</v>
      </c>
      <c r="O3" s="8">
        <v>0.44</v>
      </c>
      <c r="P3" s="8">
        <v>0.17</v>
      </c>
      <c r="Q3" s="8">
        <v>0.48</v>
      </c>
      <c r="R3" s="8">
        <v>0.41</v>
      </c>
      <c r="S3" s="8">
        <v>0.55000000000000004</v>
      </c>
      <c r="T3" s="8">
        <v>0.48</v>
      </c>
      <c r="U3" s="8">
        <v>0.4</v>
      </c>
      <c r="V3" s="8">
        <v>0.09</v>
      </c>
      <c r="W3" s="8">
        <v>0.45</v>
      </c>
      <c r="X3" s="8">
        <v>0.4</v>
      </c>
      <c r="Y3" s="8">
        <v>0.51</v>
      </c>
      <c r="Z3" s="8">
        <v>0.59</v>
      </c>
      <c r="AA3" s="8">
        <v>0.46</v>
      </c>
      <c r="AB3" s="8">
        <v>0.44</v>
      </c>
      <c r="AC3" s="8">
        <v>0.61</v>
      </c>
      <c r="AD3" s="8">
        <v>0.57999999999999996</v>
      </c>
      <c r="AE3" s="8">
        <v>0.46</v>
      </c>
      <c r="AF3" s="8">
        <v>0.59</v>
      </c>
      <c r="AG3" s="8">
        <v>0.49</v>
      </c>
      <c r="AH3" s="8">
        <v>0.38</v>
      </c>
      <c r="AI3" s="8">
        <v>0.53</v>
      </c>
      <c r="AJ3" s="8">
        <v>0.41</v>
      </c>
      <c r="AK3" s="8">
        <v>0.24</v>
      </c>
      <c r="AL3" s="37">
        <v>0</v>
      </c>
      <c r="AM3" s="8">
        <v>0.51</v>
      </c>
      <c r="AN3" s="8">
        <v>0.04</v>
      </c>
      <c r="AO3" s="8">
        <v>0.38</v>
      </c>
      <c r="AP3" s="8">
        <v>0.56999999999999995</v>
      </c>
      <c r="AQ3" s="8">
        <v>0.72</v>
      </c>
      <c r="AR3" s="8">
        <v>0.52</v>
      </c>
      <c r="AS3" s="8">
        <v>0.33</v>
      </c>
      <c r="AT3" s="8">
        <v>0.57999999999999996</v>
      </c>
      <c r="AU3" s="8">
        <v>0.75</v>
      </c>
      <c r="AV3" s="8">
        <v>0.65</v>
      </c>
      <c r="AW3" s="8">
        <v>0.77</v>
      </c>
      <c r="AX3" s="8">
        <v>0.74</v>
      </c>
      <c r="AY3" s="8">
        <v>0.8</v>
      </c>
      <c r="AZ3" s="8">
        <v>0.2</v>
      </c>
      <c r="BA3" s="8">
        <v>0.63</v>
      </c>
      <c r="BB3" s="8">
        <v>0.79</v>
      </c>
      <c r="BC3" s="8">
        <v>0.66</v>
      </c>
      <c r="BD3" s="8">
        <v>0.85</v>
      </c>
      <c r="BE3" s="8">
        <v>0.87</v>
      </c>
      <c r="BF3" s="8">
        <v>0.56999999999999995</v>
      </c>
      <c r="BG3" s="8">
        <v>0.63</v>
      </c>
      <c r="BH3" s="8">
        <v>0.83</v>
      </c>
      <c r="BI3" s="8">
        <v>0.9</v>
      </c>
      <c r="BJ3" s="8">
        <v>0.88</v>
      </c>
      <c r="BK3" s="8">
        <v>0.61</v>
      </c>
      <c r="BL3" s="8">
        <v>0.89</v>
      </c>
      <c r="BM3" s="8">
        <v>0.72</v>
      </c>
      <c r="BN3" s="8">
        <v>0.79</v>
      </c>
      <c r="BO3" s="8">
        <v>0.92</v>
      </c>
    </row>
    <row r="4" spans="1:67" ht="16" x14ac:dyDescent="0.2">
      <c r="A4" s="10" t="s">
        <v>343</v>
      </c>
      <c r="B4" s="9">
        <f>B3*B2*Notes!$C$7</f>
        <v>1127.522424691331</v>
      </c>
      <c r="C4" s="9">
        <f>C3*C2*Notes!$C$7</f>
        <v>1687.2100800143266</v>
      </c>
      <c r="D4" s="9">
        <f>D3*D2*Notes!$C$7</f>
        <v>870.00466409879573</v>
      </c>
      <c r="E4" s="9">
        <f>E3*E2*Notes!$C$7</f>
        <v>814.80296386990699</v>
      </c>
      <c r="F4" s="9">
        <f>F3*F2*Notes!$C$7</f>
        <v>487.72099745550435</v>
      </c>
      <c r="G4" s="9">
        <f>G3*G2*Notes!$C$7</f>
        <v>797.51375884750041</v>
      </c>
      <c r="H4" s="9">
        <f>H3*H2*Notes!$C$7</f>
        <v>397.30365792302422</v>
      </c>
      <c r="I4" s="9">
        <f>I3*I2*Notes!$C$7</f>
        <v>267.16549674831134</v>
      </c>
      <c r="J4" s="9">
        <f>J3*J2*Notes!$C$7</f>
        <v>50.428184273070308</v>
      </c>
      <c r="K4" s="9">
        <f>K3*K2*Notes!$C$7</f>
        <v>138.39026181711532</v>
      </c>
      <c r="L4" s="9">
        <f>L3*L2*Notes!$C$7</f>
        <v>176.95235212027671</v>
      </c>
      <c r="M4" s="9">
        <f>M3*M2*Notes!$C$7</f>
        <v>201.88629534675655</v>
      </c>
      <c r="N4" s="9">
        <f>N3*N2*Notes!$C$7</f>
        <v>137.25989815199134</v>
      </c>
      <c r="O4" s="9">
        <f>O3*O2*Notes!$C$7</f>
        <v>82.747559707718793</v>
      </c>
      <c r="P4" s="9">
        <f>P3*P2*Notes!$C$7</f>
        <v>27.578878484684999</v>
      </c>
      <c r="Q4" s="9">
        <f>Q3*Q2*Notes!$C$7</f>
        <v>89.99137636271783</v>
      </c>
      <c r="R4" s="9">
        <f>R3*R2*Notes!$C$7</f>
        <v>98.639652172335687</v>
      </c>
      <c r="S4" s="9">
        <f>S3*S2*Notes!$C$7</f>
        <v>72.288998002943487</v>
      </c>
      <c r="T4" s="9">
        <f>T3*T2*Notes!$C$7</f>
        <v>38.789865360160654</v>
      </c>
      <c r="U4" s="9">
        <f>U3*U2*Notes!$C$7</f>
        <v>22.781943289382362</v>
      </c>
      <c r="V4" s="9">
        <f>V3*V2*Notes!$C$7</f>
        <v>6.2885209762033325</v>
      </c>
      <c r="W4" s="9">
        <f>W3*W2*Notes!$C$7</f>
        <v>17.381028646585918</v>
      </c>
      <c r="X4" s="9">
        <f>X3*X2*Notes!$C$7</f>
        <v>19.879363520033959</v>
      </c>
      <c r="Y4" s="9">
        <f>Y3*Y2*Notes!$C$7</f>
        <v>23.352433488654196</v>
      </c>
      <c r="Z4" s="9">
        <f>Z3*Z2*Notes!$C$7</f>
        <v>16.109120132537853</v>
      </c>
      <c r="AA4" s="9">
        <f>AA3*AA2*Notes!$C$7</f>
        <v>18.897864671581157</v>
      </c>
      <c r="AB4" s="9">
        <f>AB3*AB2*Notes!$C$7</f>
        <v>2.9064947395839731</v>
      </c>
      <c r="AC4" s="9">
        <f>AC3*AC2*Notes!$C$7</f>
        <v>5.8726768347106226</v>
      </c>
      <c r="AD4" s="9">
        <f>AD3*AD2*Notes!$C$7</f>
        <v>4.793783737310636</v>
      </c>
      <c r="AE4" s="9">
        <f>AE3*AE2*Notes!$C$7</f>
        <v>3.6468824713178472</v>
      </c>
      <c r="AF4" s="9">
        <f>AF3*AF2*Notes!$C$7</f>
        <v>4.4257280289351817</v>
      </c>
      <c r="AG4" s="9">
        <f>AG3*AG2*Notes!$C$7</f>
        <v>3.7586635575034575</v>
      </c>
      <c r="AH4" s="9">
        <f>AH3*AH2*Notes!$C$7</f>
        <v>3.0738187112925224</v>
      </c>
      <c r="AI4" s="9">
        <f>AI3*AI2*Notes!$C$7</f>
        <v>2.1318469771339288</v>
      </c>
      <c r="AJ4" s="9">
        <f>AJ3*AJ2*Notes!$C$7</f>
        <v>2.4225831617444253</v>
      </c>
      <c r="AK4" s="9">
        <f>AK3*AK2*Notes!$C$7</f>
        <v>1.7242561764353519</v>
      </c>
      <c r="AL4" s="9">
        <f>AL3*AL2*Notes!$C$7</f>
        <v>0</v>
      </c>
      <c r="AM4" s="9">
        <f>AM3*AM2*Notes!$C$7</f>
        <v>2.7678757173569632</v>
      </c>
      <c r="AN4" s="9">
        <f>AN3*AN2*Notes!$C$7</f>
        <v>0.24197106673953125</v>
      </c>
      <c r="AO4" s="9">
        <f>AO3*AO2*Notes!$C$7</f>
        <v>1.6976356979408647</v>
      </c>
      <c r="AP4" s="9">
        <f>AP3*AP2*Notes!$C$7</f>
        <v>3.7107046936068366</v>
      </c>
      <c r="AQ4" s="9">
        <f>AQ3*AQ2*Notes!$C$7</f>
        <v>2.6540281718537364</v>
      </c>
      <c r="AR4" s="9">
        <f>AR3*AR2*Notes!$C$7</f>
        <v>2.0397007862819079</v>
      </c>
      <c r="AS4" s="9">
        <f>AS3*AS2*Notes!$C$7</f>
        <v>1.3050143699583083</v>
      </c>
      <c r="AT4" s="9">
        <f>AT3*AT2*Notes!$C$7</f>
        <v>1.2076793132253427</v>
      </c>
      <c r="AU4" s="9">
        <f>AU3*AU2*Notes!$C$7</f>
        <v>1.4653534424575256</v>
      </c>
      <c r="AV4" s="9">
        <f>AV3*AV2*Notes!$C$7</f>
        <v>1.419200167621558</v>
      </c>
      <c r="AW4" s="9">
        <f>AW3*AW2*Notes!$C$7</f>
        <v>2.8502684965546177</v>
      </c>
      <c r="AX4" s="9">
        <f>AX3*AX2*Notes!$C$7</f>
        <v>2.793959177361732</v>
      </c>
      <c r="AY4" s="9">
        <f>AY3*AY2*Notes!$C$7</f>
        <v>0.82102845369401489</v>
      </c>
      <c r="AZ4" s="9">
        <f>AZ3*AZ2*Notes!$C$7</f>
        <v>0.42292557412889642</v>
      </c>
      <c r="BA4" s="9">
        <f>BA3*BA2*Notes!$C$7</f>
        <v>0.17598796582619422</v>
      </c>
      <c r="BB4" s="9">
        <f>BB3*BB2*Notes!$C$7</f>
        <v>0.6094100909357627</v>
      </c>
      <c r="BC4" s="9">
        <f>BC3*BC2*Notes!$C$7</f>
        <v>0.34250988235455171</v>
      </c>
      <c r="BD4" s="9">
        <f>BD3*BD2*Notes!$C$7</f>
        <v>0.44211475002300538</v>
      </c>
      <c r="BE4" s="9">
        <f>BE3*BE2*Notes!$C$7</f>
        <v>0.2023126249577604</v>
      </c>
      <c r="BF4" s="9">
        <f>BF3*BF2*Notes!$C$7</f>
        <v>2.6898394752878103E-2</v>
      </c>
      <c r="BG4" s="9">
        <f>BG3*BG2*Notes!$C$7</f>
        <v>2.6848066971966938E-2</v>
      </c>
      <c r="BH4" s="9">
        <f>BH3*BH2*Notes!$C$7</f>
        <v>0.1985166336941544</v>
      </c>
      <c r="BI4" s="9">
        <f>BI3*BI2*Notes!$C$7</f>
        <v>0.11928563604042064</v>
      </c>
      <c r="BJ4" s="9">
        <f>BJ3*BJ2*Notes!$C$7</f>
        <v>8.4302413287444089E-2</v>
      </c>
      <c r="BK4" s="9">
        <f>BK3*BK2*Notes!$C$7</f>
        <v>3.7850115961078186E-2</v>
      </c>
      <c r="BL4" s="9">
        <f>BL3*BL2*Notes!$C$7</f>
        <v>0.15713909750143079</v>
      </c>
      <c r="BM4" s="9">
        <f>BM3*BM2*Notes!$C$7</f>
        <v>1.1185629709537096E-2</v>
      </c>
      <c r="BN4" s="9">
        <f>BN3*BN2*Notes!$C$7</f>
        <v>1.1097679252195574E-2</v>
      </c>
      <c r="BO4" s="9">
        <f>BO3*BO2*Notes!$C$7</f>
        <v>1.9905200744813369E-3</v>
      </c>
    </row>
    <row r="5" spans="1:67" hidden="1" x14ac:dyDescent="0.2">
      <c r="A5" s="10"/>
      <c r="B5" s="9">
        <f>'Ranking (2018)'!$D$70</f>
        <v>0.99998647581976741</v>
      </c>
      <c r="C5" s="9">
        <f>'Ranking (2018)'!$D$70</f>
        <v>0.99998647581976741</v>
      </c>
      <c r="D5" s="9">
        <f>'Ranking (2018)'!$D$70</f>
        <v>0.99998647581976741</v>
      </c>
      <c r="E5" s="9">
        <f>'Ranking (2018)'!$D$70</f>
        <v>0.99998647581976741</v>
      </c>
      <c r="F5" s="9">
        <f>'Ranking (2018)'!$D$70</f>
        <v>0.99998647581976741</v>
      </c>
      <c r="G5" s="9">
        <f>'Ranking (2018)'!$D$70</f>
        <v>0.99998647581976741</v>
      </c>
      <c r="H5" s="9">
        <f>'Ranking (2018)'!$D$70</f>
        <v>0.99998647581976741</v>
      </c>
      <c r="I5" s="9">
        <f>'Ranking (2018)'!$D$70</f>
        <v>0.99998647581976741</v>
      </c>
      <c r="J5" s="9">
        <f>'Ranking (2018)'!$D$70</f>
        <v>0.99998647581976741</v>
      </c>
      <c r="K5" s="9">
        <f>'Ranking (2018)'!$D$70</f>
        <v>0.99998647581976741</v>
      </c>
      <c r="L5" s="9">
        <f>'Ranking (2018)'!$D$70</f>
        <v>0.99998647581976741</v>
      </c>
      <c r="M5" s="9">
        <f>'Ranking (2018)'!$D$70</f>
        <v>0.99998647581976741</v>
      </c>
      <c r="N5" s="9">
        <f>'Ranking (2018)'!$D$70</f>
        <v>0.99998647581976741</v>
      </c>
      <c r="O5" s="9">
        <f>'Ranking (2018)'!$D$70</f>
        <v>0.99998647581976741</v>
      </c>
      <c r="P5" s="9">
        <f>'Ranking (2018)'!$D$70</f>
        <v>0.99998647581976741</v>
      </c>
      <c r="Q5" s="9">
        <f>'Ranking (2018)'!$D$70</f>
        <v>0.99998647581976741</v>
      </c>
      <c r="R5" s="9">
        <f>'Ranking (2018)'!$D$70</f>
        <v>0.99998647581976741</v>
      </c>
      <c r="S5" s="9">
        <f>'Ranking (2018)'!$D$70</f>
        <v>0.99998647581976741</v>
      </c>
      <c r="T5" s="9">
        <f>'Ranking (2018)'!$D$70</f>
        <v>0.99998647581976741</v>
      </c>
      <c r="U5" s="9">
        <f>'Ranking (2018)'!$D$70</f>
        <v>0.99998647581976741</v>
      </c>
      <c r="V5" s="9">
        <f>'Ranking (2018)'!$D$70</f>
        <v>0.99998647581976741</v>
      </c>
      <c r="W5" s="9">
        <f>'Ranking (2018)'!$D$70</f>
        <v>0.99998647581976741</v>
      </c>
      <c r="X5" s="9">
        <f>'Ranking (2018)'!$D$70</f>
        <v>0.99998647581976741</v>
      </c>
      <c r="Y5" s="9">
        <f>'Ranking (2018)'!$D$70</f>
        <v>0.99998647581976741</v>
      </c>
      <c r="Z5" s="9">
        <f>'Ranking (2018)'!$D$70</f>
        <v>0.99998647581976741</v>
      </c>
      <c r="AA5" s="9">
        <f>'Ranking (2018)'!$D$70</f>
        <v>0.99998647581976741</v>
      </c>
      <c r="AB5" s="9">
        <f>'Ranking (2018)'!$D$70</f>
        <v>0.99998647581976741</v>
      </c>
      <c r="AC5" s="9">
        <f>'Ranking (2018)'!$D$70</f>
        <v>0.99998647581976741</v>
      </c>
      <c r="AD5" s="9">
        <f>'Ranking (2018)'!$D$70</f>
        <v>0.99998647581976741</v>
      </c>
      <c r="AE5" s="9">
        <f>'Ranking (2018)'!$D$70</f>
        <v>0.99998647581976741</v>
      </c>
      <c r="AF5" s="9">
        <f>'Ranking (2018)'!$D$70</f>
        <v>0.99998647581976741</v>
      </c>
      <c r="AG5" s="9">
        <f>'Ranking (2018)'!$D$70</f>
        <v>0.99998647581976741</v>
      </c>
      <c r="AH5" s="9">
        <f>'Ranking (2018)'!$D$70</f>
        <v>0.99998647581976741</v>
      </c>
      <c r="AI5" s="9">
        <f>'Ranking (2018)'!$D$70</f>
        <v>0.99998647581976741</v>
      </c>
      <c r="AJ5" s="9">
        <f>'Ranking (2018)'!$D$70</f>
        <v>0.99998647581976741</v>
      </c>
      <c r="AK5" s="9">
        <f>'Ranking (2018)'!$D$70</f>
        <v>0.99998647581976741</v>
      </c>
      <c r="AL5" s="9">
        <f>'Ranking (2018)'!$D$70</f>
        <v>0.99998647581976741</v>
      </c>
      <c r="AM5" s="9">
        <f>'Ranking (2018)'!$D$70</f>
        <v>0.99998647581976741</v>
      </c>
      <c r="AN5" s="9">
        <f>'Ranking (2018)'!$D$70</f>
        <v>0.99998647581976741</v>
      </c>
      <c r="AO5" s="9">
        <f>'Ranking (2018)'!$D$70</f>
        <v>0.99998647581976741</v>
      </c>
      <c r="AP5" s="9"/>
      <c r="AQ5" s="9"/>
      <c r="AR5" s="9"/>
      <c r="AS5" s="9"/>
      <c r="AT5" s="9"/>
      <c r="AU5" s="9"/>
      <c r="AV5" s="9"/>
      <c r="AW5" s="9"/>
      <c r="AX5" s="9"/>
      <c r="AY5" s="9"/>
      <c r="AZ5" s="9"/>
      <c r="BA5" s="9"/>
      <c r="BB5" s="9"/>
      <c r="BC5" s="9"/>
      <c r="BD5" s="9"/>
      <c r="BE5" s="9"/>
      <c r="BF5" s="9"/>
      <c r="BG5" s="9"/>
      <c r="BH5" s="9"/>
      <c r="BI5" s="9"/>
      <c r="BJ5" s="9"/>
      <c r="BK5" s="9"/>
      <c r="BL5" s="9"/>
      <c r="BM5" s="9"/>
      <c r="BN5" s="9"/>
      <c r="BO5" s="9"/>
    </row>
    <row r="6" spans="1:67" hidden="1" x14ac:dyDescent="0.2">
      <c r="A6" s="10"/>
      <c r="B6" s="9">
        <f>$B$144</f>
        <v>2.7048177571598053E-5</v>
      </c>
      <c r="C6" s="9">
        <f>$B$144</f>
        <v>2.7048177571598053E-5</v>
      </c>
      <c r="D6" s="9">
        <f t="shared" ref="D6:AO6" si="0">$B$144</f>
        <v>2.7048177571598053E-5</v>
      </c>
      <c r="E6" s="9">
        <f t="shared" si="0"/>
        <v>2.7048177571598053E-5</v>
      </c>
      <c r="F6" s="9">
        <f t="shared" si="0"/>
        <v>2.7048177571598053E-5</v>
      </c>
      <c r="G6" s="9">
        <f t="shared" si="0"/>
        <v>2.7048177571598053E-5</v>
      </c>
      <c r="H6" s="9">
        <f t="shared" si="0"/>
        <v>2.7048177571598053E-5</v>
      </c>
      <c r="I6" s="9">
        <f t="shared" si="0"/>
        <v>2.7048177571598053E-5</v>
      </c>
      <c r="J6" s="9">
        <f t="shared" si="0"/>
        <v>2.7048177571598053E-5</v>
      </c>
      <c r="K6" s="9">
        <f t="shared" si="0"/>
        <v>2.7048177571598053E-5</v>
      </c>
      <c r="L6" s="9">
        <f t="shared" si="0"/>
        <v>2.7048177571598053E-5</v>
      </c>
      <c r="M6" s="9">
        <f t="shared" si="0"/>
        <v>2.7048177571598053E-5</v>
      </c>
      <c r="N6" s="9">
        <f t="shared" si="0"/>
        <v>2.7048177571598053E-5</v>
      </c>
      <c r="O6" s="9">
        <f t="shared" si="0"/>
        <v>2.7048177571598053E-5</v>
      </c>
      <c r="P6" s="9">
        <f t="shared" si="0"/>
        <v>2.7048177571598053E-5</v>
      </c>
      <c r="Q6" s="9">
        <f t="shared" si="0"/>
        <v>2.7048177571598053E-5</v>
      </c>
      <c r="R6" s="9">
        <f t="shared" si="0"/>
        <v>2.7048177571598053E-5</v>
      </c>
      <c r="S6" s="9">
        <f t="shared" si="0"/>
        <v>2.7048177571598053E-5</v>
      </c>
      <c r="T6" s="9">
        <f t="shared" si="0"/>
        <v>2.7048177571598053E-5</v>
      </c>
      <c r="U6" s="9">
        <f t="shared" si="0"/>
        <v>2.7048177571598053E-5</v>
      </c>
      <c r="V6" s="9">
        <f t="shared" si="0"/>
        <v>2.7048177571598053E-5</v>
      </c>
      <c r="W6" s="9">
        <f t="shared" si="0"/>
        <v>2.7048177571598053E-5</v>
      </c>
      <c r="X6" s="9">
        <f t="shared" si="0"/>
        <v>2.7048177571598053E-5</v>
      </c>
      <c r="Y6" s="9">
        <f t="shared" si="0"/>
        <v>2.7048177571598053E-5</v>
      </c>
      <c r="Z6" s="9">
        <f t="shared" si="0"/>
        <v>2.7048177571598053E-5</v>
      </c>
      <c r="AA6" s="9">
        <f t="shared" si="0"/>
        <v>2.7048177571598053E-5</v>
      </c>
      <c r="AB6" s="9">
        <f t="shared" si="0"/>
        <v>2.7048177571598053E-5</v>
      </c>
      <c r="AC6" s="9">
        <f t="shared" si="0"/>
        <v>2.7048177571598053E-5</v>
      </c>
      <c r="AD6" s="9">
        <f t="shared" si="0"/>
        <v>2.7048177571598053E-5</v>
      </c>
      <c r="AE6" s="9">
        <f t="shared" si="0"/>
        <v>2.7048177571598053E-5</v>
      </c>
      <c r="AF6" s="9">
        <f t="shared" si="0"/>
        <v>2.7048177571598053E-5</v>
      </c>
      <c r="AG6" s="9">
        <f t="shared" si="0"/>
        <v>2.7048177571598053E-5</v>
      </c>
      <c r="AH6" s="9">
        <f t="shared" si="0"/>
        <v>2.7048177571598053E-5</v>
      </c>
      <c r="AI6" s="9">
        <f t="shared" si="0"/>
        <v>2.7048177571598053E-5</v>
      </c>
      <c r="AJ6" s="9">
        <f t="shared" si="0"/>
        <v>2.7048177571598053E-5</v>
      </c>
      <c r="AK6" s="9">
        <f t="shared" si="0"/>
        <v>2.7048177571598053E-5</v>
      </c>
      <c r="AL6" s="9">
        <f t="shared" si="0"/>
        <v>2.7048177571598053E-5</v>
      </c>
      <c r="AM6" s="9">
        <f t="shared" si="0"/>
        <v>2.7048177571598053E-5</v>
      </c>
      <c r="AN6" s="9">
        <f t="shared" si="0"/>
        <v>2.7048177571598053E-5</v>
      </c>
      <c r="AO6" s="9">
        <f t="shared" si="0"/>
        <v>2.7048177571598053E-5</v>
      </c>
      <c r="AP6" s="9"/>
      <c r="AQ6" s="9"/>
      <c r="AR6" s="9"/>
      <c r="AS6" s="9"/>
      <c r="AT6" s="9"/>
      <c r="AU6" s="9"/>
      <c r="AV6" s="9"/>
      <c r="AW6" s="9"/>
      <c r="AX6" s="9"/>
      <c r="AY6" s="9"/>
      <c r="AZ6" s="9"/>
      <c r="BA6" s="9"/>
      <c r="BB6" s="9"/>
      <c r="BC6" s="9"/>
      <c r="BD6" s="9"/>
      <c r="BE6" s="9"/>
      <c r="BF6" s="9"/>
      <c r="BG6" s="9"/>
      <c r="BH6" s="9"/>
      <c r="BI6" s="9"/>
      <c r="BJ6" s="9"/>
      <c r="BK6" s="9"/>
      <c r="BL6" s="9"/>
      <c r="BM6" s="9"/>
      <c r="BN6" s="9"/>
      <c r="BO6" s="9"/>
    </row>
    <row r="8" spans="1:67" ht="15" customHeight="1" x14ac:dyDescent="0.2">
      <c r="A8" s="114" t="s">
        <v>335</v>
      </c>
      <c r="B8" s="9">
        <f>_xlfn.COVARIANCE.P('Data_Matrix (2018)'!B$2:B$67,'Data_Matrix (2018)'!B$2:B$67)</f>
        <v>20340909.09090909</v>
      </c>
      <c r="C8" s="9">
        <f>_xlfn.COVARIANCE.P('Data_Matrix (2018)'!$B$2:$B$67,'Data_Matrix (2018)'!C2:C67)</f>
        <v>10692536.633954193</v>
      </c>
      <c r="D8" s="9">
        <f>_xlfn.COVARIANCE.P('Data_Matrix (2018)'!$B$2:$B$67,'Data_Matrix (2018)'!D2:D67)</f>
        <v>8353424.6488065161</v>
      </c>
      <c r="E8" s="9">
        <f>_xlfn.COVARIANCE.P('Data_Matrix (2018)'!$B$2:$B$67,'Data_Matrix (2018)'!E2:E67)</f>
        <v>6621506.7611920256</v>
      </c>
      <c r="F8" s="9">
        <f>_xlfn.COVARIANCE.P('Data_Matrix (2018)'!$B$2:$B$67,'Data_Matrix (2018)'!F2:F67)</f>
        <v>4355376.2869573794</v>
      </c>
      <c r="G8" s="9">
        <f>_xlfn.COVARIANCE.P('Data_Matrix (2018)'!$B$2:$B$67,'Data_Matrix (2018)'!G2:G67)</f>
        <v>5564261.8157598199</v>
      </c>
      <c r="H8" s="9">
        <f>_xlfn.COVARIANCE.P('Data_Matrix (2018)'!$B$2:$B$67,'Data_Matrix (2018)'!H2:H67)</f>
        <v>3133249.3179342803</v>
      </c>
      <c r="I8" s="9">
        <f>_xlfn.COVARIANCE.P('Data_Matrix (2018)'!$B$2:$B$67,'Data_Matrix (2018)'!I2:I67)</f>
        <v>2069242.4839668337</v>
      </c>
      <c r="J8" s="9">
        <f>_xlfn.COVARIANCE.P('Data_Matrix (2018)'!$B$2:$B$67,'Data_Matrix (2018)'!J2:J67)</f>
        <v>780262.47677447658</v>
      </c>
      <c r="K8" s="9">
        <f>_xlfn.COVARIANCE.P('Data_Matrix (2018)'!$B$2:$B$67,'Data_Matrix (2018)'!K2:K67)</f>
        <v>1728708.1267136764</v>
      </c>
      <c r="L8" s="9">
        <f>_xlfn.COVARIANCE.P('Data_Matrix (2018)'!$B$2:$B$67,'Data_Matrix (2018)'!L2:L67)</f>
        <v>1261882.6151699016</v>
      </c>
      <c r="M8" s="9">
        <f>_xlfn.COVARIANCE.P('Data_Matrix (2018)'!$B$2:$B$67,'Data_Matrix (2018)'!M2:M67)</f>
        <v>673109.16940976935</v>
      </c>
      <c r="N8" s="9">
        <f>_xlfn.COVARIANCE.P('Data_Matrix (2018)'!$B$2:$B$67,'Data_Matrix (2018)'!N2:N67)</f>
        <v>1097799.7026769114</v>
      </c>
      <c r="O8" s="9">
        <f>_xlfn.COVARIANCE.P('Data_Matrix (2018)'!$B$2:$B$67,'Data_Matrix (2018)'!O2:O67)</f>
        <v>566150.8785643701</v>
      </c>
      <c r="P8" s="9">
        <f>_xlfn.COVARIANCE.P('Data_Matrix (2018)'!$B$2:$B$67,'Data_Matrix (2018)'!P2:P67)</f>
        <v>185955.38329714444</v>
      </c>
      <c r="Q8" s="9">
        <f>_xlfn.COVARIANCE.P('Data_Matrix (2018)'!$B$2:$B$67,'Data_Matrix (2018)'!Q2:Q67)</f>
        <v>530480.06214748893</v>
      </c>
      <c r="R8" s="9">
        <f>_xlfn.COVARIANCE.P('Data_Matrix (2018)'!$B$2:$B$67,'Data_Matrix (2018)'!R2:R67)</f>
        <v>589462.52578012564</v>
      </c>
      <c r="S8" s="9">
        <f>_xlfn.COVARIANCE.P('Data_Matrix (2018)'!$B$2:$B$67,'Data_Matrix (2018)'!S2:S67)</f>
        <v>291181.22292077832</v>
      </c>
      <c r="T8" s="9">
        <f>_xlfn.COVARIANCE.P('Data_Matrix (2018)'!$B$2:$B$67,'Data_Matrix (2018)'!T2:T67)</f>
        <v>257515.87735182763</v>
      </c>
      <c r="U8" s="9">
        <f>_xlfn.COVARIANCE.P('Data_Matrix (2018)'!$B$2:$B$67,'Data_Matrix (2018)'!U2:U67)</f>
        <v>139844.29606177859</v>
      </c>
      <c r="V8" s="9">
        <f>_xlfn.COVARIANCE.P('Data_Matrix (2018)'!$B$2:$B$67,'Data_Matrix (2018)'!V2:V67)</f>
        <v>53293.158766081928</v>
      </c>
      <c r="W8" s="9">
        <f>_xlfn.COVARIANCE.P('Data_Matrix (2018)'!$B$2:$B$67,'Data_Matrix (2018)'!W2:W67)</f>
        <v>76385.856146471051</v>
      </c>
      <c r="X8" s="9">
        <f>_xlfn.COVARIANCE.P('Data_Matrix (2018)'!$B$2:$B$67,'Data_Matrix (2018)'!X2:X67)</f>
        <v>127917.90028743807</v>
      </c>
      <c r="Y8" s="9">
        <f>_xlfn.COVARIANCE.P('Data_Matrix (2018)'!$B$2:$B$67,'Data_Matrix (2018)'!Y2:Y67)</f>
        <v>76705.226362812216</v>
      </c>
      <c r="Z8" s="9">
        <f>_xlfn.COVARIANCE.P('Data_Matrix (2018)'!$B$2:$B$67,'Data_Matrix (2018)'!Z2:Z67)</f>
        <v>77533.713202789702</v>
      </c>
      <c r="AA8" s="9">
        <f>_xlfn.COVARIANCE.P('Data_Matrix (2018)'!$B$2:$B$67,'Data_Matrix (2018)'!AA2:AA67)</f>
        <v>31445.504607538769</v>
      </c>
      <c r="AB8" s="9">
        <f>_xlfn.COVARIANCE.P('Data_Matrix (2018)'!$B$2:$B$67,'Data_Matrix (2018)'!AB2:AB67)</f>
        <v>8491.1655058365814</v>
      </c>
      <c r="AC8" s="9">
        <f>_xlfn.COVARIANCE.P('Data_Matrix (2018)'!$B$2:$B$67,'Data_Matrix (2018)'!AC2:AC67)</f>
        <v>20929.401868855843</v>
      </c>
      <c r="AD8" s="9">
        <f>_xlfn.COVARIANCE.P('Data_Matrix (2018)'!$B$2:$B$67,'Data_Matrix (2018)'!AD2:AD67)</f>
        <v>17449.217193257122</v>
      </c>
      <c r="AE8" s="9">
        <f>_xlfn.COVARIANCE.P('Data_Matrix (2018)'!$B$2:$B$67,'Data_Matrix (2018)'!AE2:AE67)</f>
        <v>12433.965752607886</v>
      </c>
      <c r="AF8" s="9">
        <f>_xlfn.COVARIANCE.P('Data_Matrix (2018)'!$B$2:$B$67,'Data_Matrix (2018)'!AF2:AF67)</f>
        <v>15795.085605860741</v>
      </c>
      <c r="AG8" s="9">
        <f>_xlfn.COVARIANCE.P('Data_Matrix (2018)'!$B$2:$B$67,'Data_Matrix (2018)'!AG2:AG67)</f>
        <v>14042.297492400852</v>
      </c>
      <c r="AH8" s="9">
        <f>_xlfn.COVARIANCE.P('Data_Matrix (2018)'!$B$2:$B$67,'Data_Matrix (2018)'!AH2:AH67)</f>
        <v>8157.2932502209778</v>
      </c>
      <c r="AI8" s="9">
        <f>_xlfn.COVARIANCE.P('Data_Matrix (2018)'!$B$2:$B$67,'Data_Matrix (2018)'!AI2:AI67)</f>
        <v>6081.273574437746</v>
      </c>
      <c r="AJ8" s="9">
        <f>_xlfn.COVARIANCE.P('Data_Matrix (2018)'!$B$2:$B$67,'Data_Matrix (2018)'!AJ2:AJ67)</f>
        <v>9136.6893710429285</v>
      </c>
      <c r="AK8" s="9">
        <f>_xlfn.COVARIANCE.P('Data_Matrix (2018)'!$B$2:$B$67,'Data_Matrix (2018)'!AK2:AK67)</f>
        <v>4607.1996795581181</v>
      </c>
      <c r="AL8" s="9">
        <f>_xlfn.COVARIANCE.P('Data_Matrix (2018)'!$B$2:$B$67,'Data_Matrix (2018)'!AL2:AL67)</f>
        <v>-8112.026994596763</v>
      </c>
      <c r="AM8" s="9">
        <f>_xlfn.COVARIANCE.P('Data_Matrix (2018)'!$B$2:$B$67,'Data_Matrix (2018)'!AM2:AM67)</f>
        <v>4914.4649750049675</v>
      </c>
      <c r="AN8" s="9">
        <f>_xlfn.COVARIANCE.P('Data_Matrix (2018)'!$B$2:$B$67,'Data_Matrix (2018)'!AN2:AN67)</f>
        <v>1582.2700977465333</v>
      </c>
      <c r="AO8" s="9">
        <f>_xlfn.COVARIANCE.P('Data_Matrix (2018)'!$B$2:$B$67,'Data_Matrix (2018)'!AO2:AO67)</f>
        <v>4825.9980697889814</v>
      </c>
      <c r="AP8" s="9"/>
      <c r="AQ8" s="9"/>
      <c r="AR8" s="9"/>
      <c r="AS8" s="9"/>
      <c r="AT8" s="9"/>
      <c r="AU8" s="9"/>
      <c r="AV8" s="9"/>
      <c r="AW8" s="9"/>
      <c r="AX8" s="9"/>
      <c r="AY8" s="9"/>
      <c r="AZ8" s="9"/>
      <c r="BA8" s="9"/>
      <c r="BB8" s="9"/>
      <c r="BC8" s="9"/>
      <c r="BD8" s="9"/>
      <c r="BE8" s="9"/>
      <c r="BF8" s="9"/>
      <c r="BG8" s="9"/>
      <c r="BH8" s="9"/>
      <c r="BI8" s="9"/>
      <c r="BJ8" s="9"/>
      <c r="BK8" s="9"/>
      <c r="BL8" s="9"/>
      <c r="BM8" s="9"/>
      <c r="BN8" s="9"/>
      <c r="BO8" s="9"/>
    </row>
    <row r="9" spans="1:67" x14ac:dyDescent="0.2">
      <c r="A9" s="114"/>
      <c r="B9" s="9">
        <f>_xlfn.COVARIANCE.P('Data_Matrix (2018)'!$C$2:$C$67,'Data_Matrix (2018)'!B$2:B$67)</f>
        <v>10692536.633954193</v>
      </c>
      <c r="C9" s="9">
        <f>_xlfn.COVARIANCE.P('Data_Matrix (2018)'!$C$2:$C$67,'Data_Matrix (2018)'!C$2:C$67)</f>
        <v>15395769.897793116</v>
      </c>
      <c r="D9" s="9">
        <f>_xlfn.COVARIANCE.P('Data_Matrix (2018)'!$C$2:$C$67,'Data_Matrix (2018)'!D$2:D$67)</f>
        <v>9105077.8316324782</v>
      </c>
      <c r="E9" s="9">
        <f>_xlfn.COVARIANCE.P('Data_Matrix (2018)'!$C$2:$C$67,'Data_Matrix (2018)'!E$2:E$67)</f>
        <v>7512601.1064849226</v>
      </c>
      <c r="F9" s="9">
        <f>_xlfn.COVARIANCE.P('Data_Matrix (2018)'!$C$2:$C$67,'Data_Matrix (2018)'!F$2:F$67)</f>
        <v>3880278.0875256499</v>
      </c>
      <c r="G9" s="9">
        <f>_xlfn.COVARIANCE.P('Data_Matrix (2018)'!$C$2:$C$67,'Data_Matrix (2018)'!G$2:G$67)</f>
        <v>7421210.4939256562</v>
      </c>
      <c r="H9" s="9">
        <f>_xlfn.COVARIANCE.P('Data_Matrix (2018)'!$C$2:$C$67,'Data_Matrix (2018)'!H$2:H$67)</f>
        <v>2655971.3157581054</v>
      </c>
      <c r="I9" s="9">
        <f>_xlfn.COVARIANCE.P('Data_Matrix (2018)'!$C$2:$C$67,'Data_Matrix (2018)'!I$2:I$67)</f>
        <v>2711473.3951154342</v>
      </c>
      <c r="J9" s="9">
        <f>_xlfn.COVARIANCE.P('Data_Matrix (2018)'!$C$2:$C$67,'Data_Matrix (2018)'!J$2:J$67)</f>
        <v>1321298.8650707491</v>
      </c>
      <c r="K9" s="9">
        <f>_xlfn.COVARIANCE.P('Data_Matrix (2018)'!$C$2:$C$67,'Data_Matrix (2018)'!K$2:K$67)</f>
        <v>1759242.3450157149</v>
      </c>
      <c r="L9" s="9">
        <f>_xlfn.COVARIANCE.P('Data_Matrix (2018)'!$C$2:$C$67,'Data_Matrix (2018)'!L$2:L$67)</f>
        <v>1428766.7510359818</v>
      </c>
      <c r="M9" s="9">
        <f>_xlfn.COVARIANCE.P('Data_Matrix (2018)'!$C$2:$C$67,'Data_Matrix (2018)'!M$2:M$67)</f>
        <v>1144664.2314040826</v>
      </c>
      <c r="N9" s="9">
        <f>_xlfn.COVARIANCE.P('Data_Matrix (2018)'!$C$2:$C$67,'Data_Matrix (2018)'!N$2:N$67)</f>
        <v>1492728.6049940041</v>
      </c>
      <c r="O9" s="9">
        <f>_xlfn.COVARIANCE.P('Data_Matrix (2018)'!$C$2:$C$67,'Data_Matrix (2018)'!O$2:O$67)</f>
        <v>677481.6874887665</v>
      </c>
      <c r="P9" s="9">
        <f>_xlfn.COVARIANCE.P('Data_Matrix (2018)'!$C$2:$C$67,'Data_Matrix (2018)'!P$2:P$67)</f>
        <v>135591.86090416892</v>
      </c>
      <c r="Q9" s="9">
        <f>_xlfn.COVARIANCE.P('Data_Matrix (2018)'!$C$2:$C$67,'Data_Matrix (2018)'!Q$2:Q$67)</f>
        <v>574466.75255595066</v>
      </c>
      <c r="R9" s="9">
        <f>_xlfn.COVARIANCE.P('Data_Matrix (2018)'!$C$2:$C$67,'Data_Matrix (2018)'!R$2:R$67)</f>
        <v>721646.60921481939</v>
      </c>
      <c r="S9" s="9">
        <f>_xlfn.COVARIANCE.P('Data_Matrix (2018)'!$C$2:$C$67,'Data_Matrix (2018)'!S$2:S$67)</f>
        <v>381081.99390522484</v>
      </c>
      <c r="T9" s="9">
        <f>_xlfn.COVARIANCE.P('Data_Matrix (2018)'!$C$2:$C$67,'Data_Matrix (2018)'!T$2:T$67)</f>
        <v>290113.39909977431</v>
      </c>
      <c r="U9" s="9">
        <f>_xlfn.COVARIANCE.P('Data_Matrix (2018)'!$C$2:$C$67,'Data_Matrix (2018)'!U$2:U$67)</f>
        <v>182566.23580089351</v>
      </c>
      <c r="V9" s="9">
        <f>_xlfn.COVARIANCE.P('Data_Matrix (2018)'!$C$2:$C$67,'Data_Matrix (2018)'!V$2:V$67)</f>
        <v>123075.96601239698</v>
      </c>
      <c r="W9" s="9">
        <f>_xlfn.COVARIANCE.P('Data_Matrix (2018)'!$C$2:$C$67,'Data_Matrix (2018)'!W$2:W$67)</f>
        <v>99528.389441475825</v>
      </c>
      <c r="X9" s="9">
        <f>_xlfn.COVARIANCE.P('Data_Matrix (2018)'!$C$2:$C$67,'Data_Matrix (2018)'!X$2:X$67)</f>
        <v>160781.15600598315</v>
      </c>
      <c r="Y9" s="9">
        <f>_xlfn.COVARIANCE.P('Data_Matrix (2018)'!$C$2:$C$67,'Data_Matrix (2018)'!Y$2:Y$67)</f>
        <v>137423.06232197548</v>
      </c>
      <c r="Z9" s="9">
        <f>_xlfn.COVARIANCE.P('Data_Matrix (2018)'!$C$2:$C$67,'Data_Matrix (2018)'!Z$2:Z$67)</f>
        <v>79836.552322550488</v>
      </c>
      <c r="AA9" s="9">
        <f>_xlfn.COVARIANCE.P('Data_Matrix (2018)'!$C$2:$C$67,'Data_Matrix (2018)'!AA$2:AA$67)</f>
        <v>65720.313380543375</v>
      </c>
      <c r="AB9" s="9">
        <f>_xlfn.COVARIANCE.P('Data_Matrix (2018)'!$C$2:$C$67,'Data_Matrix (2018)'!AB$2:AB$67)</f>
        <v>15688.603310404606</v>
      </c>
      <c r="AC9" s="9">
        <f>_xlfn.COVARIANCE.P('Data_Matrix (2018)'!$C$2:$C$67,'Data_Matrix (2018)'!AC$2:AC$67)</f>
        <v>12558.930575934728</v>
      </c>
      <c r="AD9" s="9">
        <f>_xlfn.COVARIANCE.P('Data_Matrix (2018)'!$C$2:$C$67,'Data_Matrix (2018)'!AD$2:AD$67)</f>
        <v>22254.116527652106</v>
      </c>
      <c r="AE9" s="9">
        <f>_xlfn.COVARIANCE.P('Data_Matrix (2018)'!$C$2:$C$67,'Data_Matrix (2018)'!AE$2:AE$67)</f>
        <v>5039.3488987587971</v>
      </c>
      <c r="AF9" s="9">
        <f>_xlfn.COVARIANCE.P('Data_Matrix (2018)'!$C$2:$C$67,'Data_Matrix (2018)'!AF$2:AF$67)</f>
        <v>12699.856182375745</v>
      </c>
      <c r="AG9" s="9">
        <f>_xlfn.COVARIANCE.P('Data_Matrix (2018)'!$C$2:$C$67,'Data_Matrix (2018)'!AG$2:AG$67)</f>
        <v>10439.691645913394</v>
      </c>
      <c r="AH9" s="9">
        <f>_xlfn.COVARIANCE.P('Data_Matrix (2018)'!$C$2:$C$67,'Data_Matrix (2018)'!AH$2:AH$67)</f>
        <v>860.04620038082601</v>
      </c>
      <c r="AI9" s="9">
        <f>_xlfn.COVARIANCE.P('Data_Matrix (2018)'!$C$2:$C$67,'Data_Matrix (2018)'!AI$2:AI$67)</f>
        <v>10322.802944639041</v>
      </c>
      <c r="AJ9" s="9">
        <f>_xlfn.COVARIANCE.P('Data_Matrix (2018)'!$C$2:$C$67,'Data_Matrix (2018)'!AJ$2:AJ$67)</f>
        <v>7421.1023081593339</v>
      </c>
      <c r="AK9" s="9">
        <f>_xlfn.COVARIANCE.P('Data_Matrix (2018)'!$C$2:$C$67,'Data_Matrix (2018)'!AK$2:AK$67)</f>
        <v>5086.3557886812196</v>
      </c>
      <c r="AL9" s="9">
        <f>_xlfn.COVARIANCE.P('Data_Matrix (2018)'!$C$2:$C$67,'Data_Matrix (2018)'!AL$2:AL$67)</f>
        <v>-12007.439592291525</v>
      </c>
      <c r="AM9" s="9">
        <f>_xlfn.COVARIANCE.P('Data_Matrix (2018)'!$C$2:$C$67,'Data_Matrix (2018)'!AM$2:AM$67)</f>
        <v>4662.453127433866</v>
      </c>
      <c r="AN9" s="9">
        <f>_xlfn.COVARIANCE.P('Data_Matrix (2018)'!$C$2:$C$67,'Data_Matrix (2018)'!AN$2:AN$67)</f>
        <v>3278.7760799290631</v>
      </c>
      <c r="AO9" s="9">
        <f>_xlfn.COVARIANCE.P('Data_Matrix (2018)'!$C$2:$C$67,'Data_Matrix (2018)'!AO$2:AO$67)</f>
        <v>6171.090114954005</v>
      </c>
      <c r="AP9" s="9"/>
      <c r="AQ9" s="9"/>
      <c r="AR9" s="9"/>
      <c r="AS9" s="9"/>
      <c r="AT9" s="9"/>
      <c r="AU9" s="9"/>
      <c r="AV9" s="9"/>
      <c r="AW9" s="9"/>
      <c r="AX9" s="9"/>
      <c r="AY9" s="9"/>
      <c r="AZ9" s="9"/>
      <c r="BA9" s="9"/>
      <c r="BB9" s="9"/>
      <c r="BC9" s="9"/>
      <c r="BD9" s="9"/>
      <c r="BE9" s="9"/>
      <c r="BF9" s="9"/>
      <c r="BG9" s="9"/>
      <c r="BH9" s="9"/>
      <c r="BI9" s="9"/>
      <c r="BJ9" s="9"/>
      <c r="BK9" s="9"/>
      <c r="BL9" s="9"/>
      <c r="BM9" s="9"/>
      <c r="BN9" s="9"/>
      <c r="BO9" s="9"/>
    </row>
    <row r="10" spans="1:67" x14ac:dyDescent="0.2">
      <c r="B10" s="9">
        <f>_xlfn.COVARIANCE.P('Data_Matrix (2018)'!$D$2:$D$67,'Data_Matrix (2018)'!B$2:B$67)</f>
        <v>8353424.6488065161</v>
      </c>
      <c r="C10" s="9">
        <f>_xlfn.COVARIANCE.P('Data_Matrix (2018)'!$D$2:$D$67,'Data_Matrix (2018)'!C$2:C$67)</f>
        <v>9105077.8316324782</v>
      </c>
      <c r="D10" s="9">
        <f>_xlfn.COVARIANCE.P('Data_Matrix (2018)'!$D$2:$D$67,'Data_Matrix (2018)'!D$2:D$67)</f>
        <v>7391680.8159536887</v>
      </c>
      <c r="E10" s="9">
        <f>_xlfn.COVARIANCE.P('Data_Matrix (2018)'!$D$2:$D$67,'Data_Matrix (2018)'!E$2:E$67)</f>
        <v>4670286.5334193604</v>
      </c>
      <c r="F10" s="9">
        <f>_xlfn.COVARIANCE.P('Data_Matrix (2018)'!$D$2:$D$67,'Data_Matrix (2018)'!F$2:F$67)</f>
        <v>2596675.564917482</v>
      </c>
      <c r="G10" s="9">
        <f>_xlfn.COVARIANCE.P('Data_Matrix (2018)'!$D$2:$D$67,'Data_Matrix (2018)'!G$2:G$67)</f>
        <v>4992154.9706247607</v>
      </c>
      <c r="H10" s="9">
        <f>_xlfn.COVARIANCE.P('Data_Matrix (2018)'!$D$2:$D$67,'Data_Matrix (2018)'!H$2:H$67)</f>
        <v>2244726.9575036708</v>
      </c>
      <c r="I10" s="9">
        <f>_xlfn.COVARIANCE.P('Data_Matrix (2018)'!$D$2:$D$67,'Data_Matrix (2018)'!I$2:I$67)</f>
        <v>2119855.8855397282</v>
      </c>
      <c r="J10" s="9">
        <f>_xlfn.COVARIANCE.P('Data_Matrix (2018)'!$D$2:$D$67,'Data_Matrix (2018)'!J$2:J$67)</f>
        <v>1021763.3057596135</v>
      </c>
      <c r="K10" s="9">
        <f>_xlfn.COVARIANCE.P('Data_Matrix (2018)'!$D$2:$D$67,'Data_Matrix (2018)'!K$2:K$67)</f>
        <v>1133598.7577341602</v>
      </c>
      <c r="L10" s="9">
        <f>_xlfn.COVARIANCE.P('Data_Matrix (2018)'!$D$2:$D$67,'Data_Matrix (2018)'!L$2:L$67)</f>
        <v>916024.01599592785</v>
      </c>
      <c r="M10" s="9">
        <f>_xlfn.COVARIANCE.P('Data_Matrix (2018)'!$D$2:$D$67,'Data_Matrix (2018)'!M$2:M$67)</f>
        <v>727759.78193746135</v>
      </c>
      <c r="N10" s="9">
        <f>_xlfn.COVARIANCE.P('Data_Matrix (2018)'!$D$2:$D$67,'Data_Matrix (2018)'!N$2:N$67)</f>
        <v>1000739.1999768356</v>
      </c>
      <c r="O10" s="9">
        <f>_xlfn.COVARIANCE.P('Data_Matrix (2018)'!$D$2:$D$67,'Data_Matrix (2018)'!O$2:O$67)</f>
        <v>426186.43185589387</v>
      </c>
      <c r="P10" s="9">
        <f>_xlfn.COVARIANCE.P('Data_Matrix (2018)'!$D$2:$D$67,'Data_Matrix (2018)'!P$2:P$67)</f>
        <v>93762.824902317574</v>
      </c>
      <c r="Q10" s="9">
        <f>_xlfn.COVARIANCE.P('Data_Matrix (2018)'!$D$2:$D$67,'Data_Matrix (2018)'!Q$2:Q$67)</f>
        <v>375538.13101247163</v>
      </c>
      <c r="R10" s="9">
        <f>_xlfn.COVARIANCE.P('Data_Matrix (2018)'!$D$2:$D$67,'Data_Matrix (2018)'!R$2:R$67)</f>
        <v>451352.92899997433</v>
      </c>
      <c r="S10" s="9">
        <f>_xlfn.COVARIANCE.P('Data_Matrix (2018)'!$D$2:$D$67,'Data_Matrix (2018)'!S$2:S$67)</f>
        <v>260255.38647650424</v>
      </c>
      <c r="T10" s="9">
        <f>_xlfn.COVARIANCE.P('Data_Matrix (2018)'!$D$2:$D$67,'Data_Matrix (2018)'!T$2:T$67)</f>
        <v>197787.48727426142</v>
      </c>
      <c r="U10" s="9">
        <f>_xlfn.COVARIANCE.P('Data_Matrix (2018)'!$D$2:$D$67,'Data_Matrix (2018)'!U$2:U$67)</f>
        <v>105128.21609710978</v>
      </c>
      <c r="V10" s="9">
        <f>_xlfn.COVARIANCE.P('Data_Matrix (2018)'!$D$2:$D$67,'Data_Matrix (2018)'!V$2:V$67)</f>
        <v>48776.985466037077</v>
      </c>
      <c r="W10" s="9">
        <f>_xlfn.COVARIANCE.P('Data_Matrix (2018)'!$D$2:$D$67,'Data_Matrix (2018)'!W$2:W$67)</f>
        <v>61488.3419478125</v>
      </c>
      <c r="X10" s="9">
        <f>_xlfn.COVARIANCE.P('Data_Matrix (2018)'!$D$2:$D$67,'Data_Matrix (2018)'!X$2:X$67)</f>
        <v>98258.357855014227</v>
      </c>
      <c r="Y10" s="9">
        <f>_xlfn.COVARIANCE.P('Data_Matrix (2018)'!$D$2:$D$67,'Data_Matrix (2018)'!Y$2:Y$67)</f>
        <v>79744.99691483198</v>
      </c>
      <c r="Z10" s="9">
        <f>_xlfn.COVARIANCE.P('Data_Matrix (2018)'!$D$2:$D$67,'Data_Matrix (2018)'!Z$2:Z$67)</f>
        <v>48469.993291353567</v>
      </c>
      <c r="AA10" s="9">
        <f>_xlfn.COVARIANCE.P('Data_Matrix (2018)'!$D$2:$D$67,'Data_Matrix (2018)'!AA$2:AA$67)</f>
        <v>40465.79689826502</v>
      </c>
      <c r="AB10" s="9">
        <f>_xlfn.COVARIANCE.P('Data_Matrix (2018)'!$D$2:$D$67,'Data_Matrix (2018)'!AB$2:AB$67)</f>
        <v>9651.8828646148413</v>
      </c>
      <c r="AC10" s="9">
        <f>_xlfn.COVARIANCE.P('Data_Matrix (2018)'!$D$2:$D$67,'Data_Matrix (2018)'!AC$2:AC$67)</f>
        <v>7569.2385698038897</v>
      </c>
      <c r="AD10" s="9">
        <f>_xlfn.COVARIANCE.P('Data_Matrix (2018)'!$D$2:$D$67,'Data_Matrix (2018)'!AD$2:AD$67)</f>
        <v>14874.297353549715</v>
      </c>
      <c r="AE10" s="9">
        <f>_xlfn.COVARIANCE.P('Data_Matrix (2018)'!$D$2:$D$67,'Data_Matrix (2018)'!AE$2:AE$67)</f>
        <v>3944.0458734425529</v>
      </c>
      <c r="AF10" s="9">
        <f>_xlfn.COVARIANCE.P('Data_Matrix (2018)'!$D$2:$D$67,'Data_Matrix (2018)'!AF$2:AF$67)</f>
        <v>8449.5967821373779</v>
      </c>
      <c r="AG10" s="9">
        <f>_xlfn.COVARIANCE.P('Data_Matrix (2018)'!$D$2:$D$67,'Data_Matrix (2018)'!AG$2:AG$67)</f>
        <v>5536.4829493321758</v>
      </c>
      <c r="AH10" s="9">
        <f>_xlfn.COVARIANCE.P('Data_Matrix (2018)'!$D$2:$D$67,'Data_Matrix (2018)'!AH$2:AH$67)</f>
        <v>4408.3687121710909</v>
      </c>
      <c r="AI10" s="9">
        <f>_xlfn.COVARIANCE.P('Data_Matrix (2018)'!$D$2:$D$67,'Data_Matrix (2018)'!AI$2:AI$67)</f>
        <v>6014.7207982238506</v>
      </c>
      <c r="AJ10" s="9">
        <f>_xlfn.COVARIANCE.P('Data_Matrix (2018)'!$D$2:$D$67,'Data_Matrix (2018)'!AJ$2:AJ$67)</f>
        <v>4798.5238717757093</v>
      </c>
      <c r="AK10" s="9">
        <f>_xlfn.COVARIANCE.P('Data_Matrix (2018)'!$D$2:$D$67,'Data_Matrix (2018)'!AK$2:AK$67)</f>
        <v>1406.1661420288849</v>
      </c>
      <c r="AL10" s="9">
        <f>_xlfn.COVARIANCE.P('Data_Matrix (2018)'!$D$2:$D$67,'Data_Matrix (2018)'!AL$2:AL$67)</f>
        <v>-10813.221871169471</v>
      </c>
      <c r="AM10" s="9">
        <f>_xlfn.COVARIANCE.P('Data_Matrix (2018)'!$D$2:$D$67,'Data_Matrix (2018)'!AM$2:AM$67)</f>
        <v>4488.2958145522562</v>
      </c>
      <c r="AN10" s="9">
        <f>_xlfn.COVARIANCE.P('Data_Matrix (2018)'!$D$2:$D$67,'Data_Matrix (2018)'!AN$2:AN$67)</f>
        <v>4446.9953842076984</v>
      </c>
      <c r="AO10" s="9">
        <f>_xlfn.COVARIANCE.P('Data_Matrix (2018)'!$D$2:$D$67,'Data_Matrix (2018)'!AO$2:AO$67)</f>
        <v>2517.1767142573458</v>
      </c>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row>
    <row r="11" spans="1:67" x14ac:dyDescent="0.2">
      <c r="B11" s="9">
        <f>_xlfn.COVARIANCE.P('Data_Matrix (2018)'!$E$2:$E$67,'Data_Matrix (2018)'!B$2:B$67)</f>
        <v>6621506.7611920256</v>
      </c>
      <c r="C11" s="9">
        <f>_xlfn.COVARIANCE.P('Data_Matrix (2018)'!$E$2:$E$67,'Data_Matrix (2018)'!C$2:C$67)</f>
        <v>7512601.1064849226</v>
      </c>
      <c r="D11" s="9">
        <f>_xlfn.COVARIANCE.P('Data_Matrix (2018)'!$E$2:$E$67,'Data_Matrix (2018)'!D$2:D$67)</f>
        <v>4670286.5334193604</v>
      </c>
      <c r="E11" s="9">
        <f>_xlfn.COVARIANCE.P('Data_Matrix (2018)'!$E$2:$E$67,'Data_Matrix (2018)'!E$2:E$67)</f>
        <v>6096454.2693405468</v>
      </c>
      <c r="F11" s="9">
        <f>_xlfn.COVARIANCE.P('Data_Matrix (2018)'!$E$2:$E$67,'Data_Matrix (2018)'!F$2:F$67)</f>
        <v>3119813.9051797218</v>
      </c>
      <c r="G11" s="9">
        <f>_xlfn.COVARIANCE.P('Data_Matrix (2018)'!$E$2:$E$67,'Data_Matrix (2018)'!G$2:G$67)</f>
        <v>4068359.0653148964</v>
      </c>
      <c r="H11" s="9">
        <f>_xlfn.COVARIANCE.P('Data_Matrix (2018)'!$E$2:$E$67,'Data_Matrix (2018)'!H$2:H$67)</f>
        <v>1191408.6416521536</v>
      </c>
      <c r="I11" s="9">
        <f>_xlfn.COVARIANCE.P('Data_Matrix (2018)'!$E$2:$E$67,'Data_Matrix (2018)'!I$2:I$67)</f>
        <v>1466069.6580471792</v>
      </c>
      <c r="J11" s="9">
        <f>_xlfn.COVARIANCE.P('Data_Matrix (2018)'!$E$2:$E$67,'Data_Matrix (2018)'!J$2:J$67)</f>
        <v>789235.35609863349</v>
      </c>
      <c r="K11" s="9">
        <f>_xlfn.COVARIANCE.P('Data_Matrix (2018)'!$E$2:$E$67,'Data_Matrix (2018)'!K$2:K$67)</f>
        <v>1013570.5457337948</v>
      </c>
      <c r="L11" s="9">
        <f>_xlfn.COVARIANCE.P('Data_Matrix (2018)'!$E$2:$E$67,'Data_Matrix (2018)'!L$2:L$67)</f>
        <v>768146.51953764446</v>
      </c>
      <c r="M11" s="9">
        <f>_xlfn.COVARIANCE.P('Data_Matrix (2018)'!$E$2:$E$67,'Data_Matrix (2018)'!M$2:M$67)</f>
        <v>520545.23788171454</v>
      </c>
      <c r="N11" s="9">
        <f>_xlfn.COVARIANCE.P('Data_Matrix (2018)'!$E$2:$E$67,'Data_Matrix (2018)'!N$2:N$67)</f>
        <v>820948.07823821541</v>
      </c>
      <c r="O11" s="9">
        <f>_xlfn.COVARIANCE.P('Data_Matrix (2018)'!$E$2:$E$67,'Data_Matrix (2018)'!O$2:O$67)</f>
        <v>360833.94126402756</v>
      </c>
      <c r="P11" s="9">
        <f>_xlfn.COVARIANCE.P('Data_Matrix (2018)'!$E$2:$E$67,'Data_Matrix (2018)'!P$2:P$67)</f>
        <v>146374.09618033897</v>
      </c>
      <c r="Q11" s="9">
        <f>_xlfn.COVARIANCE.P('Data_Matrix (2018)'!$E$2:$E$67,'Data_Matrix (2018)'!Q$2:Q$67)</f>
        <v>217552.41936626766</v>
      </c>
      <c r="R11" s="9">
        <f>_xlfn.COVARIANCE.P('Data_Matrix (2018)'!$E$2:$E$67,'Data_Matrix (2018)'!R$2:R$67)</f>
        <v>237957.70144182025</v>
      </c>
      <c r="S11" s="9">
        <f>_xlfn.COVARIANCE.P('Data_Matrix (2018)'!$E$2:$E$67,'Data_Matrix (2018)'!S$2:S$67)</f>
        <v>169059.92469205227</v>
      </c>
      <c r="T11" s="9">
        <f>_xlfn.COVARIANCE.P('Data_Matrix (2018)'!$E$2:$E$67,'Data_Matrix (2018)'!T$2:T$67)</f>
        <v>154363.60353031699</v>
      </c>
      <c r="U11" s="9">
        <f>_xlfn.COVARIANCE.P('Data_Matrix (2018)'!$E$2:$E$67,'Data_Matrix (2018)'!U$2:U$67)</f>
        <v>77235.052142147353</v>
      </c>
      <c r="V11" s="9">
        <f>_xlfn.COVARIANCE.P('Data_Matrix (2018)'!$E$2:$E$67,'Data_Matrix (2018)'!V$2:V$67)</f>
        <v>90209.204538937018</v>
      </c>
      <c r="W11" s="9">
        <f>_xlfn.COVARIANCE.P('Data_Matrix (2018)'!$E$2:$E$67,'Data_Matrix (2018)'!W$2:W$67)</f>
        <v>58176.524913786496</v>
      </c>
      <c r="X11" s="9">
        <f>_xlfn.COVARIANCE.P('Data_Matrix (2018)'!$E$2:$E$67,'Data_Matrix (2018)'!X$2:X$67)</f>
        <v>110349.54476923823</v>
      </c>
      <c r="Y11" s="9">
        <f>_xlfn.COVARIANCE.P('Data_Matrix (2018)'!$E$2:$E$67,'Data_Matrix (2018)'!Y$2:Y$67)</f>
        <v>58348.864951103264</v>
      </c>
      <c r="Z11" s="9">
        <f>_xlfn.COVARIANCE.P('Data_Matrix (2018)'!$E$2:$E$67,'Data_Matrix (2018)'!Z$2:Z$67)</f>
        <v>39952.233639712278</v>
      </c>
      <c r="AA11" s="9">
        <f>_xlfn.COVARIANCE.P('Data_Matrix (2018)'!$E$2:$E$67,'Data_Matrix (2018)'!AA$2:AA$67)</f>
        <v>27048.132266813376</v>
      </c>
      <c r="AB11" s="9">
        <f>_xlfn.COVARIANCE.P('Data_Matrix (2018)'!$E$2:$E$67,'Data_Matrix (2018)'!AB$2:AB$67)</f>
        <v>6694.8523163463251</v>
      </c>
      <c r="AC11" s="9">
        <f>_xlfn.COVARIANCE.P('Data_Matrix (2018)'!$E$2:$E$67,'Data_Matrix (2018)'!AC$2:AC$67)</f>
        <v>8272.8048127036145</v>
      </c>
      <c r="AD11" s="9">
        <f>_xlfn.COVARIANCE.P('Data_Matrix (2018)'!$E$2:$E$67,'Data_Matrix (2018)'!AD$2:AD$67)</f>
        <v>9554.3204967047459</v>
      </c>
      <c r="AE11" s="9">
        <f>_xlfn.COVARIANCE.P('Data_Matrix (2018)'!$E$2:$E$67,'Data_Matrix (2018)'!AE$2:AE$67)</f>
        <v>4604.8737504709216</v>
      </c>
      <c r="AF11" s="9">
        <f>_xlfn.COVARIANCE.P('Data_Matrix (2018)'!$E$2:$E$67,'Data_Matrix (2018)'!AF$2:AF$67)</f>
        <v>8703.6896933099815</v>
      </c>
      <c r="AG11" s="9">
        <f>_xlfn.COVARIANCE.P('Data_Matrix (2018)'!$E$2:$E$67,'Data_Matrix (2018)'!AG$2:AG$67)</f>
        <v>7154.6882232559074</v>
      </c>
      <c r="AH11" s="9">
        <f>_xlfn.COVARIANCE.P('Data_Matrix (2018)'!$E$2:$E$67,'Data_Matrix (2018)'!AH$2:AH$67)</f>
        <v>3355.1663806662677</v>
      </c>
      <c r="AI11" s="9">
        <f>_xlfn.COVARIANCE.P('Data_Matrix (2018)'!$E$2:$E$67,'Data_Matrix (2018)'!AI$2:AI$67)</f>
        <v>3453.5341094887308</v>
      </c>
      <c r="AJ11" s="9">
        <f>_xlfn.COVARIANCE.P('Data_Matrix (2018)'!$E$2:$E$67,'Data_Matrix (2018)'!AJ$2:AJ$67)</f>
        <v>4265.1970349354078</v>
      </c>
      <c r="AK11" s="9">
        <f>_xlfn.COVARIANCE.P('Data_Matrix (2018)'!$E$2:$E$67,'Data_Matrix (2018)'!AK$2:AK$67)</f>
        <v>2643.379230421438</v>
      </c>
      <c r="AL11" s="9">
        <f>_xlfn.COVARIANCE.P('Data_Matrix (2018)'!$E$2:$E$67,'Data_Matrix (2018)'!AL$2:AL$67)</f>
        <v>-1273.2132352275639</v>
      </c>
      <c r="AM11" s="9">
        <f>_xlfn.COVARIANCE.P('Data_Matrix (2018)'!$E$2:$E$67,'Data_Matrix (2018)'!AM$2:AM$67)</f>
        <v>3364.7378602422359</v>
      </c>
      <c r="AN11" s="9">
        <f>_xlfn.COVARIANCE.P('Data_Matrix (2018)'!$E$2:$E$67,'Data_Matrix (2018)'!AN$2:AN$67)</f>
        <v>201.86409406974965</v>
      </c>
      <c r="AO11" s="9">
        <f>_xlfn.COVARIANCE.P('Data_Matrix (2018)'!$E$2:$E$67,'Data_Matrix (2018)'!AO$2:AO$67)</f>
        <v>3099.3094668153822</v>
      </c>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row>
    <row r="12" spans="1:67" x14ac:dyDescent="0.2">
      <c r="B12" s="9">
        <f>_xlfn.COVARIANCE.P('Data_Matrix (2018)'!$F$2:$F$67,'Data_Matrix (2018)'!B$2:B$67)</f>
        <v>4355376.2869573794</v>
      </c>
      <c r="C12" s="9">
        <f>_xlfn.COVARIANCE.P('Data_Matrix (2018)'!$F$2:$F$67,'Data_Matrix (2018)'!C$2:C$67)</f>
        <v>3880278.0875256499</v>
      </c>
      <c r="D12" s="9">
        <f>_xlfn.COVARIANCE.P('Data_Matrix (2018)'!$F$2:$F$67,'Data_Matrix (2018)'!D$2:D$67)</f>
        <v>2596675.564917482</v>
      </c>
      <c r="E12" s="9">
        <f>_xlfn.COVARIANCE.P('Data_Matrix (2018)'!$F$2:$F$67,'Data_Matrix (2018)'!E$2:E$67)</f>
        <v>3119813.9051797218</v>
      </c>
      <c r="F12" s="9">
        <f>_xlfn.COVARIANCE.P('Data_Matrix (2018)'!$F$2:$F$67,'Data_Matrix (2018)'!F$2:F$67)</f>
        <v>2057714.2851123868</v>
      </c>
      <c r="G12" s="9">
        <f>_xlfn.COVARIANCE.P('Data_Matrix (2018)'!$F$2:$F$67,'Data_Matrix (2018)'!G$2:G$67)</f>
        <v>2103609.7450998728</v>
      </c>
      <c r="H12" s="9">
        <f>_xlfn.COVARIANCE.P('Data_Matrix (2018)'!$F$2:$F$67,'Data_Matrix (2018)'!H$2:H$67)</f>
        <v>816498.91984271794</v>
      </c>
      <c r="I12" s="9">
        <f>_xlfn.COVARIANCE.P('Data_Matrix (2018)'!$F$2:$F$67,'Data_Matrix (2018)'!I$2:I$67)</f>
        <v>747989.05846113327</v>
      </c>
      <c r="J12" s="9">
        <f>_xlfn.COVARIANCE.P('Data_Matrix (2018)'!$F$2:$F$67,'Data_Matrix (2018)'!J$2:J$67)</f>
        <v>419996.1618596171</v>
      </c>
      <c r="K12" s="9">
        <f>_xlfn.COVARIANCE.P('Data_Matrix (2018)'!$F$2:$F$67,'Data_Matrix (2018)'!K$2:K$67)</f>
        <v>618144.49018097331</v>
      </c>
      <c r="L12" s="9">
        <f>_xlfn.COVARIANCE.P('Data_Matrix (2018)'!$F$2:$F$67,'Data_Matrix (2018)'!L$2:L$67)</f>
        <v>465739.38287796674</v>
      </c>
      <c r="M12" s="9">
        <f>_xlfn.COVARIANCE.P('Data_Matrix (2018)'!$F$2:$F$67,'Data_Matrix (2018)'!M$2:M$67)</f>
        <v>316838.56145710283</v>
      </c>
      <c r="N12" s="9">
        <f>_xlfn.COVARIANCE.P('Data_Matrix (2018)'!$F$2:$F$67,'Data_Matrix (2018)'!N$2:N$67)</f>
        <v>417495.00166043127</v>
      </c>
      <c r="O12" s="9">
        <f>_xlfn.COVARIANCE.P('Data_Matrix (2018)'!$F$2:$F$67,'Data_Matrix (2018)'!O$2:O$67)</f>
        <v>213089.1537371813</v>
      </c>
      <c r="P12" s="9">
        <f>_xlfn.COVARIANCE.P('Data_Matrix (2018)'!$F$2:$F$67,'Data_Matrix (2018)'!P$2:P$67)</f>
        <v>86059.152870897655</v>
      </c>
      <c r="Q12" s="9">
        <f>_xlfn.COVARIANCE.P('Data_Matrix (2018)'!$F$2:$F$67,'Data_Matrix (2018)'!Q$2:Q$67)</f>
        <v>154832.02531264871</v>
      </c>
      <c r="R12" s="9">
        <f>_xlfn.COVARIANCE.P('Data_Matrix (2018)'!$F$2:$F$67,'Data_Matrix (2018)'!R$2:R$67)</f>
        <v>161660.77161312918</v>
      </c>
      <c r="S12" s="9">
        <f>_xlfn.COVARIANCE.P('Data_Matrix (2018)'!$F$2:$F$67,'Data_Matrix (2018)'!S$2:S$67)</f>
        <v>106476.08784718224</v>
      </c>
      <c r="T12" s="9">
        <f>_xlfn.COVARIANCE.P('Data_Matrix (2018)'!$F$2:$F$67,'Data_Matrix (2018)'!T$2:T$67)</f>
        <v>82071.448496403958</v>
      </c>
      <c r="U12" s="9">
        <f>_xlfn.COVARIANCE.P('Data_Matrix (2018)'!$F$2:$F$67,'Data_Matrix (2018)'!U$2:U$67)</f>
        <v>51864.62182774445</v>
      </c>
      <c r="V12" s="9">
        <f>_xlfn.COVARIANCE.P('Data_Matrix (2018)'!$F$2:$F$67,'Data_Matrix (2018)'!V$2:V$67)</f>
        <v>47523.139295490742</v>
      </c>
      <c r="W12" s="9">
        <f>_xlfn.COVARIANCE.P('Data_Matrix (2018)'!$F$2:$F$67,'Data_Matrix (2018)'!W$2:W$67)</f>
        <v>31667.261588454607</v>
      </c>
      <c r="X12" s="9">
        <f>_xlfn.COVARIANCE.P('Data_Matrix (2018)'!$F$2:$F$67,'Data_Matrix (2018)'!X$2:X$67)</f>
        <v>55292.36314726455</v>
      </c>
      <c r="Y12" s="9">
        <f>_xlfn.COVARIANCE.P('Data_Matrix (2018)'!$F$2:$F$67,'Data_Matrix (2018)'!Y$2:Y$67)</f>
        <v>28591.999451491476</v>
      </c>
      <c r="Z12" s="9">
        <f>_xlfn.COVARIANCE.P('Data_Matrix (2018)'!$F$2:$F$67,'Data_Matrix (2018)'!Z$2:Z$67)</f>
        <v>23741.209161637911</v>
      </c>
      <c r="AA12" s="9">
        <f>_xlfn.COVARIANCE.P('Data_Matrix (2018)'!$F$2:$F$67,'Data_Matrix (2018)'!AA$2:AA$67)</f>
        <v>14210.079415583179</v>
      </c>
      <c r="AB12" s="9">
        <f>_xlfn.COVARIANCE.P('Data_Matrix (2018)'!$F$2:$F$67,'Data_Matrix (2018)'!AB$2:AB$67)</f>
        <v>3148.1020073642994</v>
      </c>
      <c r="AC12" s="9">
        <f>_xlfn.COVARIANCE.P('Data_Matrix (2018)'!$F$2:$F$67,'Data_Matrix (2018)'!AC$2:AC$67)</f>
        <v>6068.1211071670023</v>
      </c>
      <c r="AD12" s="9">
        <f>_xlfn.COVARIANCE.P('Data_Matrix (2018)'!$F$2:$F$67,'Data_Matrix (2018)'!AD$2:AD$67)</f>
        <v>5577.6623755395094</v>
      </c>
      <c r="AE12" s="9">
        <f>_xlfn.COVARIANCE.P('Data_Matrix (2018)'!$F$2:$F$67,'Data_Matrix (2018)'!AE$2:AE$67)</f>
        <v>3352.6684548944295</v>
      </c>
      <c r="AF12" s="9">
        <f>_xlfn.COVARIANCE.P('Data_Matrix (2018)'!$F$2:$F$67,'Data_Matrix (2018)'!AF$2:AF$67)</f>
        <v>4672.6760178891391</v>
      </c>
      <c r="AG12" s="9">
        <f>_xlfn.COVARIANCE.P('Data_Matrix (2018)'!$F$2:$F$67,'Data_Matrix (2018)'!AG$2:AG$67)</f>
        <v>5017.8782573442295</v>
      </c>
      <c r="AH12" s="9">
        <f>_xlfn.COVARIANCE.P('Data_Matrix (2018)'!$F$2:$F$67,'Data_Matrix (2018)'!AH$2:AH$67)</f>
        <v>2058.6947545513603</v>
      </c>
      <c r="AI12" s="9">
        <f>_xlfn.COVARIANCE.P('Data_Matrix (2018)'!$F$2:$F$67,'Data_Matrix (2018)'!AI$2:AI$67)</f>
        <v>1626.2351906311565</v>
      </c>
      <c r="AJ12" s="9">
        <f>_xlfn.COVARIANCE.P('Data_Matrix (2018)'!$F$2:$F$67,'Data_Matrix (2018)'!AJ$2:AJ$67)</f>
        <v>2348.3758791752171</v>
      </c>
      <c r="AK12" s="9">
        <f>_xlfn.COVARIANCE.P('Data_Matrix (2018)'!$F$2:$F$67,'Data_Matrix (2018)'!AK$2:AK$67)</f>
        <v>2529.6093472710991</v>
      </c>
      <c r="AL12" s="9">
        <f>_xlfn.COVARIANCE.P('Data_Matrix (2018)'!$F$2:$F$67,'Data_Matrix (2018)'!AL$2:AL$67)</f>
        <v>-1605.8686429433285</v>
      </c>
      <c r="AM12" s="9">
        <f>_xlfn.COVARIANCE.P('Data_Matrix (2018)'!$F$2:$F$67,'Data_Matrix (2018)'!AM$2:AM$67)</f>
        <v>1110.2942068877862</v>
      </c>
      <c r="AN12" s="9">
        <f>_xlfn.COVARIANCE.P('Data_Matrix (2018)'!$F$2:$F$67,'Data_Matrix (2018)'!AN$2:AN$67)</f>
        <v>161.34200852309135</v>
      </c>
      <c r="AO12" s="9">
        <f>_xlfn.COVARIANCE.P('Data_Matrix (2018)'!$F$2:$F$67,'Data_Matrix (2018)'!AO$2:AO$67)</f>
        <v>1630.992888547863</v>
      </c>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row>
    <row r="13" spans="1:67" x14ac:dyDescent="0.2">
      <c r="B13" s="9">
        <f>_xlfn.COVARIANCE.P('Data_Matrix (2018)'!$G$2:$G$67,'Data_Matrix (2018)'!B$2:B$67)</f>
        <v>5564261.8157598199</v>
      </c>
      <c r="C13" s="9">
        <f>_xlfn.COVARIANCE.P('Data_Matrix (2018)'!$G$2:$G$67,'Data_Matrix (2018)'!C$2:C$67)</f>
        <v>7421210.4939256562</v>
      </c>
      <c r="D13" s="9">
        <f>_xlfn.COVARIANCE.P('Data_Matrix (2018)'!$G$2:$G$67,'Data_Matrix (2018)'!D$2:D$67)</f>
        <v>4992154.9706247607</v>
      </c>
      <c r="E13" s="9">
        <f>_xlfn.COVARIANCE.P('Data_Matrix (2018)'!$G$2:$G$67,'Data_Matrix (2018)'!E$2:E$67)</f>
        <v>4068359.0653148964</v>
      </c>
      <c r="F13" s="9">
        <f>_xlfn.COVARIANCE.P('Data_Matrix (2018)'!$G$2:$G$67,'Data_Matrix (2018)'!F$2:F$67)</f>
        <v>2103609.7450998728</v>
      </c>
      <c r="G13" s="9">
        <f>_xlfn.COVARIANCE.P('Data_Matrix (2018)'!$G$2:$G$67,'Data_Matrix (2018)'!G$2:G$67)</f>
        <v>3975176.2221941845</v>
      </c>
      <c r="H13" s="9">
        <f>_xlfn.COVARIANCE.P('Data_Matrix (2018)'!$G$2:$G$67,'Data_Matrix (2018)'!H$2:H$67)</f>
        <v>1464933.0491715765</v>
      </c>
      <c r="I13" s="9">
        <f>_xlfn.COVARIANCE.P('Data_Matrix (2018)'!$G$2:$G$67,'Data_Matrix (2018)'!I$2:I$67)</f>
        <v>1475835.6524651684</v>
      </c>
      <c r="J13" s="9">
        <f>_xlfn.COVARIANCE.P('Data_Matrix (2018)'!$G$2:$G$67,'Data_Matrix (2018)'!J$2:J$67)</f>
        <v>793282.8516912479</v>
      </c>
      <c r="K13" s="9">
        <f>_xlfn.COVARIANCE.P('Data_Matrix (2018)'!$G$2:$G$67,'Data_Matrix (2018)'!K$2:K$67)</f>
        <v>891960.16972496361</v>
      </c>
      <c r="L13" s="9">
        <f>_xlfn.COVARIANCE.P('Data_Matrix (2018)'!$G$2:$G$67,'Data_Matrix (2018)'!L$2:L$67)</f>
        <v>702558.07749659626</v>
      </c>
      <c r="M13" s="9">
        <f>_xlfn.COVARIANCE.P('Data_Matrix (2018)'!$G$2:$G$67,'Data_Matrix (2018)'!M$2:M$67)</f>
        <v>585947.57207904523</v>
      </c>
      <c r="N13" s="9">
        <f>_xlfn.COVARIANCE.P('Data_Matrix (2018)'!$G$2:$G$67,'Data_Matrix (2018)'!N$2:N$67)</f>
        <v>803779.99142881541</v>
      </c>
      <c r="O13" s="9">
        <f>_xlfn.COVARIANCE.P('Data_Matrix (2018)'!$G$2:$G$67,'Data_Matrix (2018)'!O$2:O$67)</f>
        <v>337355.2966318687</v>
      </c>
      <c r="P13" s="9">
        <f>_xlfn.COVARIANCE.P('Data_Matrix (2018)'!$G$2:$G$67,'Data_Matrix (2018)'!P$2:P$67)</f>
        <v>80208.367377345334</v>
      </c>
      <c r="Q13" s="9">
        <f>_xlfn.COVARIANCE.P('Data_Matrix (2018)'!$G$2:$G$67,'Data_Matrix (2018)'!Q$2:Q$67)</f>
        <v>267708.21374792838</v>
      </c>
      <c r="R13" s="9">
        <f>_xlfn.COVARIANCE.P('Data_Matrix (2018)'!$G$2:$G$67,'Data_Matrix (2018)'!R$2:R$67)</f>
        <v>321800.61572618375</v>
      </c>
      <c r="S13" s="9">
        <f>_xlfn.COVARIANCE.P('Data_Matrix (2018)'!$G$2:$G$67,'Data_Matrix (2018)'!S$2:S$67)</f>
        <v>190299.70238579161</v>
      </c>
      <c r="T13" s="9">
        <f>_xlfn.COVARIANCE.P('Data_Matrix (2018)'!$G$2:$G$67,'Data_Matrix (2018)'!T$2:T$67)</f>
        <v>148445.95885255793</v>
      </c>
      <c r="U13" s="9">
        <f>_xlfn.COVARIANCE.P('Data_Matrix (2018)'!$G$2:$G$67,'Data_Matrix (2018)'!U$2:U$67)</f>
        <v>81536.671404843088</v>
      </c>
      <c r="V13" s="9">
        <f>_xlfn.COVARIANCE.P('Data_Matrix (2018)'!$G$2:$G$67,'Data_Matrix (2018)'!V$2:V$67)</f>
        <v>52469.898461708493</v>
      </c>
      <c r="W13" s="9">
        <f>_xlfn.COVARIANCE.P('Data_Matrix (2018)'!$G$2:$G$67,'Data_Matrix (2018)'!W$2:W$67)</f>
        <v>49940.249633977197</v>
      </c>
      <c r="X13" s="9">
        <f>_xlfn.COVARIANCE.P('Data_Matrix (2018)'!$G$2:$G$67,'Data_Matrix (2018)'!X$2:X$67)</f>
        <v>85284.330051850178</v>
      </c>
      <c r="Y13" s="9">
        <f>_xlfn.COVARIANCE.P('Data_Matrix (2018)'!$G$2:$G$67,'Data_Matrix (2018)'!Y$2:Y$67)</f>
        <v>65252.894577983614</v>
      </c>
      <c r="Z13" s="9">
        <f>_xlfn.COVARIANCE.P('Data_Matrix (2018)'!$G$2:$G$67,'Data_Matrix (2018)'!Z$2:Z$67)</f>
        <v>36639.282281201609</v>
      </c>
      <c r="AA13" s="9">
        <f>_xlfn.COVARIANCE.P('Data_Matrix (2018)'!$G$2:$G$67,'Data_Matrix (2018)'!AA$2:AA$67)</f>
        <v>32626.694036464658</v>
      </c>
      <c r="AB13" s="9">
        <f>_xlfn.COVARIANCE.P('Data_Matrix (2018)'!$G$2:$G$67,'Data_Matrix (2018)'!AB$2:AB$67)</f>
        <v>7624.0298580826011</v>
      </c>
      <c r="AC13" s="9">
        <f>_xlfn.COVARIANCE.P('Data_Matrix (2018)'!$G$2:$G$67,'Data_Matrix (2018)'!AC$2:AC$67)</f>
        <v>5302.5358745372687</v>
      </c>
      <c r="AD13" s="9">
        <f>_xlfn.COVARIANCE.P('Data_Matrix (2018)'!$G$2:$G$67,'Data_Matrix (2018)'!AD$2:AD$67)</f>
        <v>11216.94887043501</v>
      </c>
      <c r="AE13" s="9">
        <f>_xlfn.COVARIANCE.P('Data_Matrix (2018)'!$G$2:$G$67,'Data_Matrix (2018)'!AE$2:AE$67)</f>
        <v>2074.2508348279107</v>
      </c>
      <c r="AF13" s="9">
        <f>_xlfn.COVARIANCE.P('Data_Matrix (2018)'!$G$2:$G$67,'Data_Matrix (2018)'!AF$2:AF$67)</f>
        <v>5835.8276536991034</v>
      </c>
      <c r="AG13" s="9">
        <f>_xlfn.COVARIANCE.P('Data_Matrix (2018)'!$G$2:$G$67,'Data_Matrix (2018)'!AG$2:AG$67)</f>
        <v>4620.3072408923244</v>
      </c>
      <c r="AH13" s="9">
        <f>_xlfn.COVARIANCE.P('Data_Matrix (2018)'!$G$2:$G$67,'Data_Matrix (2018)'!AH$2:AH$67)</f>
        <v>2422.5921457907621</v>
      </c>
      <c r="AI13" s="9">
        <f>_xlfn.COVARIANCE.P('Data_Matrix (2018)'!$G$2:$G$67,'Data_Matrix (2018)'!AI$2:AI$67)</f>
        <v>4627.7280682312103</v>
      </c>
      <c r="AJ13" s="9">
        <f>_xlfn.COVARIANCE.P('Data_Matrix (2018)'!$G$2:$G$67,'Data_Matrix (2018)'!AJ$2:AJ$67)</f>
        <v>3026.1985122227666</v>
      </c>
      <c r="AK13" s="9">
        <f>_xlfn.COVARIANCE.P('Data_Matrix (2018)'!$G$2:$G$67,'Data_Matrix (2018)'!AK$2:AK$67)</f>
        <v>1158.5170623966346</v>
      </c>
      <c r="AL13" s="9">
        <f>_xlfn.COVARIANCE.P('Data_Matrix (2018)'!$G$2:$G$67,'Data_Matrix (2018)'!AL$2:AL$67)</f>
        <v>-7979.8292096728746</v>
      </c>
      <c r="AM13" s="9">
        <f>_xlfn.COVARIANCE.P('Data_Matrix (2018)'!$G$2:$G$67,'Data_Matrix (2018)'!AM$2:AM$67)</f>
        <v>2472.9073132251842</v>
      </c>
      <c r="AN13" s="9">
        <f>_xlfn.COVARIANCE.P('Data_Matrix (2018)'!$G$2:$G$67,'Data_Matrix (2018)'!AN$2:AN$67)</f>
        <v>1806.3592802459184</v>
      </c>
      <c r="AO13" s="9">
        <f>_xlfn.COVARIANCE.P('Data_Matrix (2018)'!$G$2:$G$67,'Data_Matrix (2018)'!AO$2:AO$67)</f>
        <v>2386.9556182999263</v>
      </c>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row>
    <row r="14" spans="1:67" x14ac:dyDescent="0.2">
      <c r="B14" s="9">
        <f>_xlfn.COVARIANCE.P('Data_Matrix (2018)'!$H$2:$H$67,'Data_Matrix (2018)'!B$2:B$67)</f>
        <v>3133249.3179342803</v>
      </c>
      <c r="C14" s="9">
        <f>_xlfn.COVARIANCE.P('Data_Matrix (2018)'!$H$2:$H$67,'Data_Matrix (2018)'!C$2:C$67)</f>
        <v>2655971.3157581054</v>
      </c>
      <c r="D14" s="9">
        <f>_xlfn.COVARIANCE.P('Data_Matrix (2018)'!$H$2:$H$67,'Data_Matrix (2018)'!D$2:D$67)</f>
        <v>2244726.9575036708</v>
      </c>
      <c r="E14" s="9">
        <f>_xlfn.COVARIANCE.P('Data_Matrix (2018)'!$H$2:$H$67,'Data_Matrix (2018)'!E$2:E$67)</f>
        <v>1191408.6416521536</v>
      </c>
      <c r="F14" s="9">
        <f>_xlfn.COVARIANCE.P('Data_Matrix (2018)'!$H$2:$H$67,'Data_Matrix (2018)'!F$2:F$67)</f>
        <v>816498.91984271794</v>
      </c>
      <c r="G14" s="9">
        <f>_xlfn.COVARIANCE.P('Data_Matrix (2018)'!$H$2:$H$67,'Data_Matrix (2018)'!G$2:G$67)</f>
        <v>1464933.0491715765</v>
      </c>
      <c r="H14" s="9">
        <f>_xlfn.COVARIANCE.P('Data_Matrix (2018)'!$H$2:$H$67,'Data_Matrix (2018)'!H$2:H$67)</f>
        <v>1288573.033461347</v>
      </c>
      <c r="I14" s="9">
        <f>_xlfn.COVARIANCE.P('Data_Matrix (2018)'!$H$2:$H$67,'Data_Matrix (2018)'!I$2:I$67)</f>
        <v>553336.72737867886</v>
      </c>
      <c r="J14" s="9">
        <f>_xlfn.COVARIANCE.P('Data_Matrix (2018)'!$H$2:$H$67,'Data_Matrix (2018)'!J$2:J$67)</f>
        <v>249950.71464272399</v>
      </c>
      <c r="K14" s="9">
        <f>_xlfn.COVARIANCE.P('Data_Matrix (2018)'!$H$2:$H$67,'Data_Matrix (2018)'!K$2:K$67)</f>
        <v>354087.5271459588</v>
      </c>
      <c r="L14" s="9">
        <f>_xlfn.COVARIANCE.P('Data_Matrix (2018)'!$H$2:$H$67,'Data_Matrix (2018)'!L$2:L$67)</f>
        <v>303553.24587784678</v>
      </c>
      <c r="M14" s="9">
        <f>_xlfn.COVARIANCE.P('Data_Matrix (2018)'!$H$2:$H$67,'Data_Matrix (2018)'!M$2:M$67)</f>
        <v>260516.10624620036</v>
      </c>
      <c r="N14" s="9">
        <f>_xlfn.COVARIANCE.P('Data_Matrix (2018)'!$H$2:$H$67,'Data_Matrix (2018)'!N$2:N$67)</f>
        <v>283502.16508998553</v>
      </c>
      <c r="O14" s="9">
        <f>_xlfn.COVARIANCE.P('Data_Matrix (2018)'!$H$2:$H$67,'Data_Matrix (2018)'!O$2:O$67)</f>
        <v>138976.93327497932</v>
      </c>
      <c r="P14" s="9">
        <f>_xlfn.COVARIANCE.P('Data_Matrix (2018)'!$H$2:$H$67,'Data_Matrix (2018)'!P$2:P$67)</f>
        <v>26168.290525305136</v>
      </c>
      <c r="Q14" s="9">
        <f>_xlfn.COVARIANCE.P('Data_Matrix (2018)'!$H$2:$H$67,'Data_Matrix (2018)'!Q$2:Q$67)</f>
        <v>156320.18957454624</v>
      </c>
      <c r="R14" s="9">
        <f>_xlfn.COVARIANCE.P('Data_Matrix (2018)'!$H$2:$H$67,'Data_Matrix (2018)'!R$2:R$67)</f>
        <v>176534.21081476944</v>
      </c>
      <c r="S14" s="9">
        <f>_xlfn.COVARIANCE.P('Data_Matrix (2018)'!$H$2:$H$67,'Data_Matrix (2018)'!S$2:S$67)</f>
        <v>106711.47387899073</v>
      </c>
      <c r="T14" s="9">
        <f>_xlfn.COVARIANCE.P('Data_Matrix (2018)'!$H$2:$H$67,'Data_Matrix (2018)'!T$2:T$67)</f>
        <v>63140.490820312341</v>
      </c>
      <c r="U14" s="9">
        <f>_xlfn.COVARIANCE.P('Data_Matrix (2018)'!$H$2:$H$67,'Data_Matrix (2018)'!U$2:U$67)</f>
        <v>32174.095406420514</v>
      </c>
      <c r="V14" s="9">
        <f>_xlfn.COVARIANCE.P('Data_Matrix (2018)'!$H$2:$H$67,'Data_Matrix (2018)'!V$2:V$67)</f>
        <v>5534.4997970276099</v>
      </c>
      <c r="W14" s="9">
        <f>_xlfn.COVARIANCE.P('Data_Matrix (2018)'!$H$2:$H$67,'Data_Matrix (2018)'!W$2:W$67)</f>
        <v>17805.308356832924</v>
      </c>
      <c r="X14" s="9">
        <f>_xlfn.COVARIANCE.P('Data_Matrix (2018)'!$H$2:$H$67,'Data_Matrix (2018)'!X$2:X$67)</f>
        <v>25149.18671843937</v>
      </c>
      <c r="Y14" s="9">
        <f>_xlfn.COVARIANCE.P('Data_Matrix (2018)'!$H$2:$H$67,'Data_Matrix (2018)'!Y$2:Y$67)</f>
        <v>25564.824651338186</v>
      </c>
      <c r="Z14" s="9">
        <f>_xlfn.COVARIANCE.P('Data_Matrix (2018)'!$H$2:$H$67,'Data_Matrix (2018)'!Z$2:Z$67)</f>
        <v>18868.500003467558</v>
      </c>
      <c r="AA14" s="9">
        <f>_xlfn.COVARIANCE.P('Data_Matrix (2018)'!$H$2:$H$67,'Data_Matrix (2018)'!AA$2:AA$67)</f>
        <v>8724.0239729751775</v>
      </c>
      <c r="AB14" s="9">
        <f>_xlfn.COVARIANCE.P('Data_Matrix (2018)'!$H$2:$H$67,'Data_Matrix (2018)'!AB$2:AB$67)</f>
        <v>2638.7698455538189</v>
      </c>
      <c r="AC14" s="9">
        <f>_xlfn.COVARIANCE.P('Data_Matrix (2018)'!$H$2:$H$67,'Data_Matrix (2018)'!AC$2:AC$67)</f>
        <v>4060.4706579275644</v>
      </c>
      <c r="AD14" s="9">
        <f>_xlfn.COVARIANCE.P('Data_Matrix (2018)'!$H$2:$H$67,'Data_Matrix (2018)'!AD$2:AD$67)</f>
        <v>4017.7961053551753</v>
      </c>
      <c r="AE14" s="9">
        <f>_xlfn.COVARIANCE.P('Data_Matrix (2018)'!$H$2:$H$67,'Data_Matrix (2018)'!AE$2:AE$67)</f>
        <v>1629.9500417968463</v>
      </c>
      <c r="AF14" s="9">
        <f>_xlfn.COVARIANCE.P('Data_Matrix (2018)'!$H$2:$H$67,'Data_Matrix (2018)'!AF$2:AF$67)</f>
        <v>2116.556341328645</v>
      </c>
      <c r="AG14" s="9">
        <f>_xlfn.COVARIANCE.P('Data_Matrix (2018)'!$H$2:$H$67,'Data_Matrix (2018)'!AG$2:AG$67)</f>
        <v>1272.2625528593817</v>
      </c>
      <c r="AH14" s="9">
        <f>_xlfn.COVARIANCE.P('Data_Matrix (2018)'!$H$2:$H$67,'Data_Matrix (2018)'!AH$2:AH$67)</f>
        <v>1611.0522721447148</v>
      </c>
      <c r="AI14" s="9">
        <f>_xlfn.COVARIANCE.P('Data_Matrix (2018)'!$H$2:$H$67,'Data_Matrix (2018)'!AI$2:AI$67)</f>
        <v>2170.3736251524028</v>
      </c>
      <c r="AJ14" s="9">
        <f>_xlfn.COVARIANCE.P('Data_Matrix (2018)'!$H$2:$H$67,'Data_Matrix (2018)'!AJ$2:AJ$67)</f>
        <v>1494.5501231112178</v>
      </c>
      <c r="AK14" s="9">
        <f>_xlfn.COVARIANCE.P('Data_Matrix (2018)'!$H$2:$H$67,'Data_Matrix (2018)'!AK$2:AK$67)</f>
        <v>-675.11413120585166</v>
      </c>
      <c r="AL14" s="9">
        <f>_xlfn.COVARIANCE.P('Data_Matrix (2018)'!$H$2:$H$67,'Data_Matrix (2018)'!AL$2:AL$67)</f>
        <v>-4225.725397593068</v>
      </c>
      <c r="AM14" s="9">
        <f>_xlfn.COVARIANCE.P('Data_Matrix (2018)'!$H$2:$H$67,'Data_Matrix (2018)'!AM$2:AM$67)</f>
        <v>1486.5174602036566</v>
      </c>
      <c r="AN14" s="9">
        <f>_xlfn.COVARIANCE.P('Data_Matrix (2018)'!$H$2:$H$67,'Data_Matrix (2018)'!AN$2:AN$67)</f>
        <v>1296.6050739818643</v>
      </c>
      <c r="AO14" s="9">
        <f>_xlfn.COVARIANCE.P('Data_Matrix (2018)'!$H$2:$H$67,'Data_Matrix (2018)'!AO$2:AO$67)</f>
        <v>1004.2318992236645</v>
      </c>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row>
    <row r="15" spans="1:67" x14ac:dyDescent="0.2">
      <c r="B15" s="9">
        <f>_xlfn.COVARIANCE.P('Data_Matrix (2018)'!$I$2:$I$67,'Data_Matrix (2018)'!B$2:B$67)</f>
        <v>2069242.4839668337</v>
      </c>
      <c r="C15" s="9">
        <f>_xlfn.COVARIANCE.P('Data_Matrix (2018)'!$I$2:$I$67,'Data_Matrix (2018)'!C$2:C$67)</f>
        <v>2711473.3951154342</v>
      </c>
      <c r="D15" s="9">
        <f>_xlfn.COVARIANCE.P('Data_Matrix (2018)'!$I$2:$I$67,'Data_Matrix (2018)'!D$2:D$67)</f>
        <v>2119855.8855397282</v>
      </c>
      <c r="E15" s="9">
        <f>_xlfn.COVARIANCE.P('Data_Matrix (2018)'!$I$2:$I$67,'Data_Matrix (2018)'!E$2:E$67)</f>
        <v>1466069.6580471792</v>
      </c>
      <c r="F15" s="9">
        <f>_xlfn.COVARIANCE.P('Data_Matrix (2018)'!$I$2:$I$67,'Data_Matrix (2018)'!F$2:F$67)</f>
        <v>747989.05846113327</v>
      </c>
      <c r="G15" s="9">
        <f>_xlfn.COVARIANCE.P('Data_Matrix (2018)'!$I$2:$I$67,'Data_Matrix (2018)'!G$2:G$67)</f>
        <v>1475835.6524651684</v>
      </c>
      <c r="H15" s="9">
        <f>_xlfn.COVARIANCE.P('Data_Matrix (2018)'!$I$2:$I$67,'Data_Matrix (2018)'!H$2:H$67)</f>
        <v>553336.72737867886</v>
      </c>
      <c r="I15" s="9">
        <f>_xlfn.COVARIANCE.P('Data_Matrix (2018)'!$I$2:$I$67,'Data_Matrix (2018)'!I$2:I$67)</f>
        <v>793082.2516974695</v>
      </c>
      <c r="J15" s="9">
        <f>_xlfn.COVARIANCE.P('Data_Matrix (2018)'!$I$2:$I$67,'Data_Matrix (2018)'!J$2:J$67)</f>
        <v>299100.08911162167</v>
      </c>
      <c r="K15" s="9">
        <f>_xlfn.COVARIANCE.P('Data_Matrix (2018)'!$I$2:$I$67,'Data_Matrix (2018)'!K$2:K$67)</f>
        <v>324977.7559770401</v>
      </c>
      <c r="L15" s="9">
        <f>_xlfn.COVARIANCE.P('Data_Matrix (2018)'!$I$2:$I$67,'Data_Matrix (2018)'!L$2:L$67)</f>
        <v>248082.85396304753</v>
      </c>
      <c r="M15" s="9">
        <f>_xlfn.COVARIANCE.P('Data_Matrix (2018)'!$I$2:$I$67,'Data_Matrix (2018)'!M$2:M$67)</f>
        <v>229164.66832932175</v>
      </c>
      <c r="N15" s="9">
        <f>_xlfn.COVARIANCE.P('Data_Matrix (2018)'!$I$2:$I$67,'Data_Matrix (2018)'!N$2:N$67)</f>
        <v>286557.73651055788</v>
      </c>
      <c r="O15" s="9">
        <f>_xlfn.COVARIANCE.P('Data_Matrix (2018)'!$I$2:$I$67,'Data_Matrix (2018)'!O$2:O$67)</f>
        <v>115413.07889539204</v>
      </c>
      <c r="P15" s="9">
        <f>_xlfn.COVARIANCE.P('Data_Matrix (2018)'!$I$2:$I$67,'Data_Matrix (2018)'!P$2:P$67)</f>
        <v>34476.345187287036</v>
      </c>
      <c r="Q15" s="9">
        <f>_xlfn.COVARIANCE.P('Data_Matrix (2018)'!$I$2:$I$67,'Data_Matrix (2018)'!Q$2:Q$67)</f>
        <v>96951.308006147883</v>
      </c>
      <c r="R15" s="9">
        <f>_xlfn.COVARIANCE.P('Data_Matrix (2018)'!$I$2:$I$67,'Data_Matrix (2018)'!R$2:R$67)</f>
        <v>100519.89550870845</v>
      </c>
      <c r="S15" s="9">
        <f>_xlfn.COVARIANCE.P('Data_Matrix (2018)'!$I$2:$I$67,'Data_Matrix (2018)'!S$2:S$67)</f>
        <v>75038.26059120179</v>
      </c>
      <c r="T15" s="9">
        <f>_xlfn.COVARIANCE.P('Data_Matrix (2018)'!$I$2:$I$67,'Data_Matrix (2018)'!T$2:T$67)</f>
        <v>55564.884671480511</v>
      </c>
      <c r="U15" s="9">
        <f>_xlfn.COVARIANCE.P('Data_Matrix (2018)'!$I$2:$I$67,'Data_Matrix (2018)'!U$2:U$67)</f>
        <v>29643.010187563024</v>
      </c>
      <c r="V15" s="9">
        <f>_xlfn.COVARIANCE.P('Data_Matrix (2018)'!$I$2:$I$67,'Data_Matrix (2018)'!V$2:V$67)</f>
        <v>16553.392064502314</v>
      </c>
      <c r="W15" s="9">
        <f>_xlfn.COVARIANCE.P('Data_Matrix (2018)'!$I$2:$I$67,'Data_Matrix (2018)'!W$2:W$67)</f>
        <v>16284.186354662723</v>
      </c>
      <c r="X15" s="9">
        <f>_xlfn.COVARIANCE.P('Data_Matrix (2018)'!$I$2:$I$67,'Data_Matrix (2018)'!X$2:X$67)</f>
        <v>32867.721829091126</v>
      </c>
      <c r="Y15" s="9">
        <f>_xlfn.COVARIANCE.P('Data_Matrix (2018)'!$I$2:$I$67,'Data_Matrix (2018)'!Y$2:Y$67)</f>
        <v>28359.238015325442</v>
      </c>
      <c r="Z15" s="9">
        <f>_xlfn.COVARIANCE.P('Data_Matrix (2018)'!$I$2:$I$67,'Data_Matrix (2018)'!Z$2:Z$67)</f>
        <v>13457.573660419899</v>
      </c>
      <c r="AA15" s="9">
        <f>_xlfn.COVARIANCE.P('Data_Matrix (2018)'!$I$2:$I$67,'Data_Matrix (2018)'!AA$2:AA$67)</f>
        <v>11541.191613615045</v>
      </c>
      <c r="AB15" s="9">
        <f>_xlfn.COVARIANCE.P('Data_Matrix (2018)'!$I$2:$I$67,'Data_Matrix (2018)'!AB$2:AB$67)</f>
        <v>2454.7110914377467</v>
      </c>
      <c r="AC15" s="9">
        <f>_xlfn.COVARIANCE.P('Data_Matrix (2018)'!$I$2:$I$67,'Data_Matrix (2018)'!AC$2:AC$67)</f>
        <v>2416.2267828013919</v>
      </c>
      <c r="AD15" s="9">
        <f>_xlfn.COVARIANCE.P('Data_Matrix (2018)'!$I$2:$I$67,'Data_Matrix (2018)'!AD$2:AD$67)</f>
        <v>4143.9057794819973</v>
      </c>
      <c r="AE15" s="9">
        <f>_xlfn.COVARIANCE.P('Data_Matrix (2018)'!$I$2:$I$67,'Data_Matrix (2018)'!AE$2:AE$67)</f>
        <v>1405.8559332025884</v>
      </c>
      <c r="AF15" s="9">
        <f>_xlfn.COVARIANCE.P('Data_Matrix (2018)'!$I$2:$I$67,'Data_Matrix (2018)'!AF$2:AF$67)</f>
        <v>2418.2169911469955</v>
      </c>
      <c r="AG15" s="9">
        <f>_xlfn.COVARIANCE.P('Data_Matrix (2018)'!$I$2:$I$67,'Data_Matrix (2018)'!AG$2:AG$67)</f>
        <v>2460.0327858338942</v>
      </c>
      <c r="AH15" s="9">
        <f>_xlfn.COVARIANCE.P('Data_Matrix (2018)'!$I$2:$I$67,'Data_Matrix (2018)'!AH$2:AH$67)</f>
        <v>924.33387838461476</v>
      </c>
      <c r="AI15" s="9">
        <f>_xlfn.COVARIANCE.P('Data_Matrix (2018)'!$I$2:$I$67,'Data_Matrix (2018)'!AI$2:AI$67)</f>
        <v>1629.2131254888873</v>
      </c>
      <c r="AJ15" s="9">
        <f>_xlfn.COVARIANCE.P('Data_Matrix (2018)'!$I$2:$I$67,'Data_Matrix (2018)'!AJ$2:AJ$67)</f>
        <v>1280.1941314792286</v>
      </c>
      <c r="AK15" s="9">
        <f>_xlfn.COVARIANCE.P('Data_Matrix (2018)'!$I$2:$I$67,'Data_Matrix (2018)'!AK$2:AK$67)</f>
        <v>705.60490407656448</v>
      </c>
      <c r="AL15" s="9">
        <f>_xlfn.COVARIANCE.P('Data_Matrix (2018)'!$I$2:$I$67,'Data_Matrix (2018)'!AL$2:AL$67)</f>
        <v>-3924.4024175305312</v>
      </c>
      <c r="AM15" s="9">
        <f>_xlfn.COVARIANCE.P('Data_Matrix (2018)'!$I$2:$I$67,'Data_Matrix (2018)'!AM$2:AM$67)</f>
        <v>1679.9749339733789</v>
      </c>
      <c r="AN15" s="9">
        <f>_xlfn.COVARIANCE.P('Data_Matrix (2018)'!$I$2:$I$67,'Data_Matrix (2018)'!AN$2:AN$67)</f>
        <v>1860.7612933128951</v>
      </c>
      <c r="AO15" s="9">
        <f>_xlfn.COVARIANCE.P('Data_Matrix (2018)'!$I$2:$I$67,'Data_Matrix (2018)'!AO$2:AO$67)</f>
        <v>1256.2744599391044</v>
      </c>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row>
    <row r="16" spans="1:67" x14ac:dyDescent="0.2">
      <c r="B16" s="9">
        <f>_xlfn.COVARIANCE.P('Data_Matrix (2018)'!$J$2:$J$67,'Data_Matrix (2018)'!B$2:B$67)</f>
        <v>780262.47677447658</v>
      </c>
      <c r="C16" s="9">
        <f>_xlfn.COVARIANCE.P('Data_Matrix (2018)'!$J$2:$J$67,'Data_Matrix (2018)'!C$2:C$67)</f>
        <v>1321298.8650707491</v>
      </c>
      <c r="D16" s="9">
        <f>_xlfn.COVARIANCE.P('Data_Matrix (2018)'!$J$2:$J$67,'Data_Matrix (2018)'!D$2:D$67)</f>
        <v>1021763.3057596135</v>
      </c>
      <c r="E16" s="9">
        <f>_xlfn.COVARIANCE.P('Data_Matrix (2018)'!$J$2:$J$67,'Data_Matrix (2018)'!E$2:E$67)</f>
        <v>789235.35609863349</v>
      </c>
      <c r="F16" s="9">
        <f>_xlfn.COVARIANCE.P('Data_Matrix (2018)'!$J$2:$J$67,'Data_Matrix (2018)'!F$2:F$67)</f>
        <v>419996.1618596171</v>
      </c>
      <c r="G16" s="9">
        <f>_xlfn.COVARIANCE.P('Data_Matrix (2018)'!$J$2:$J$67,'Data_Matrix (2018)'!G$2:G$67)</f>
        <v>793282.8516912479</v>
      </c>
      <c r="H16" s="9">
        <f>_xlfn.COVARIANCE.P('Data_Matrix (2018)'!$J$2:$J$67,'Data_Matrix (2018)'!H$2:H$67)</f>
        <v>249950.71464272399</v>
      </c>
      <c r="I16" s="9">
        <f>_xlfn.COVARIANCE.P('Data_Matrix (2018)'!$J$2:$J$67,'Data_Matrix (2018)'!I$2:I$67)</f>
        <v>299100.08911162167</v>
      </c>
      <c r="J16" s="9">
        <f>_xlfn.COVARIANCE.P('Data_Matrix (2018)'!$J$2:$J$67,'Data_Matrix (2018)'!J$2:J$67)</f>
        <v>313950.83568873233</v>
      </c>
      <c r="K16" s="9">
        <f>_xlfn.COVARIANCE.P('Data_Matrix (2018)'!$J$2:$J$67,'Data_Matrix (2018)'!K$2:K$67)</f>
        <v>179642.44196933028</v>
      </c>
      <c r="L16" s="9">
        <f>_xlfn.COVARIANCE.P('Data_Matrix (2018)'!$J$2:$J$67,'Data_Matrix (2018)'!L$2:L$67)</f>
        <v>132380.68535459554</v>
      </c>
      <c r="M16" s="9">
        <f>_xlfn.COVARIANCE.P('Data_Matrix (2018)'!$J$2:$J$67,'Data_Matrix (2018)'!M$2:M$67)</f>
        <v>99537.452131989849</v>
      </c>
      <c r="N16" s="9">
        <f>_xlfn.COVARIANCE.P('Data_Matrix (2018)'!$J$2:$J$67,'Data_Matrix (2018)'!N$2:N$67)</f>
        <v>165307.86663509207</v>
      </c>
      <c r="O16" s="9">
        <f>_xlfn.COVARIANCE.P('Data_Matrix (2018)'!$J$2:$J$67,'Data_Matrix (2018)'!O$2:O$67)</f>
        <v>60450.933405206088</v>
      </c>
      <c r="P16" s="9">
        <f>_xlfn.COVARIANCE.P('Data_Matrix (2018)'!$J$2:$J$67,'Data_Matrix (2018)'!P$2:P$67)</f>
        <v>22959.46566564597</v>
      </c>
      <c r="Q16" s="9">
        <f>_xlfn.COVARIANCE.P('Data_Matrix (2018)'!$J$2:$J$67,'Data_Matrix (2018)'!Q$2:Q$67)</f>
        <v>45662.381579557637</v>
      </c>
      <c r="R16" s="9">
        <f>_xlfn.COVARIANCE.P('Data_Matrix (2018)'!$J$2:$J$67,'Data_Matrix (2018)'!R$2:R$67)</f>
        <v>46851.309155526251</v>
      </c>
      <c r="S16" s="9">
        <f>_xlfn.COVARIANCE.P('Data_Matrix (2018)'!$J$2:$J$67,'Data_Matrix (2018)'!S$2:S$67)</f>
        <v>35576.132416275272</v>
      </c>
      <c r="T16" s="9">
        <f>_xlfn.COVARIANCE.P('Data_Matrix (2018)'!$J$2:$J$67,'Data_Matrix (2018)'!T$2:T$67)</f>
        <v>26327.628804047115</v>
      </c>
      <c r="U16" s="9">
        <f>_xlfn.COVARIANCE.P('Data_Matrix (2018)'!$J$2:$J$67,'Data_Matrix (2018)'!U$2:U$67)</f>
        <v>13662.303983374528</v>
      </c>
      <c r="V16" s="9">
        <f>_xlfn.COVARIANCE.P('Data_Matrix (2018)'!$J$2:$J$67,'Data_Matrix (2018)'!V$2:V$67)</f>
        <v>14324.424716373353</v>
      </c>
      <c r="W16" s="9">
        <f>_xlfn.COVARIANCE.P('Data_Matrix (2018)'!$J$2:$J$67,'Data_Matrix (2018)'!W$2:W$67)</f>
        <v>9539.3263228289998</v>
      </c>
      <c r="X16" s="9">
        <f>_xlfn.COVARIANCE.P('Data_Matrix (2018)'!$J$2:$J$67,'Data_Matrix (2018)'!X$2:X$67)</f>
        <v>15611.413270895091</v>
      </c>
      <c r="Y16" s="9">
        <f>_xlfn.COVARIANCE.P('Data_Matrix (2018)'!$J$2:$J$67,'Data_Matrix (2018)'!Y$2:Y$67)</f>
        <v>11754.734379891242</v>
      </c>
      <c r="Z16" s="9">
        <f>_xlfn.COVARIANCE.P('Data_Matrix (2018)'!$J$2:$J$67,'Data_Matrix (2018)'!Z$2:Z$67)</f>
        <v>4639.5413757405522</v>
      </c>
      <c r="AA16" s="9">
        <f>_xlfn.COVARIANCE.P('Data_Matrix (2018)'!$J$2:$J$67,'Data_Matrix (2018)'!AA$2:AA$67)</f>
        <v>5478.0362587575737</v>
      </c>
      <c r="AB16" s="9">
        <f>_xlfn.COVARIANCE.P('Data_Matrix (2018)'!$J$2:$J$67,'Data_Matrix (2018)'!AB$2:AB$67)</f>
        <v>1231.7104908151155</v>
      </c>
      <c r="AC16" s="9">
        <f>_xlfn.COVARIANCE.P('Data_Matrix (2018)'!$J$2:$J$67,'Data_Matrix (2018)'!AC$2:AC$67)</f>
        <v>1.1793149682912096</v>
      </c>
      <c r="AD16" s="9">
        <f>_xlfn.COVARIANCE.P('Data_Matrix (2018)'!$J$2:$J$67,'Data_Matrix (2018)'!AD$2:AD$67)</f>
        <v>1737.5321977693513</v>
      </c>
      <c r="AE16" s="9">
        <f>_xlfn.COVARIANCE.P('Data_Matrix (2018)'!$J$2:$J$67,'Data_Matrix (2018)'!AE$2:AE$67)</f>
        <v>-181.07040191046127</v>
      </c>
      <c r="AF16" s="9">
        <f>_xlfn.COVARIANCE.P('Data_Matrix (2018)'!$J$2:$J$67,'Data_Matrix (2018)'!AF$2:AF$67)</f>
        <v>517.14967641811336</v>
      </c>
      <c r="AG16" s="9">
        <f>_xlfn.COVARIANCE.P('Data_Matrix (2018)'!$J$2:$J$67,'Data_Matrix (2018)'!AG$2:AG$67)</f>
        <v>420.4199440749619</v>
      </c>
      <c r="AH16" s="9">
        <f>_xlfn.COVARIANCE.P('Data_Matrix (2018)'!$J$2:$J$67,'Data_Matrix (2018)'!AH$2:AH$67)</f>
        <v>724.95977557447804</v>
      </c>
      <c r="AI16" s="9">
        <f>_xlfn.COVARIANCE.P('Data_Matrix (2018)'!$J$2:$J$67,'Data_Matrix (2018)'!AI$2:AI$67)</f>
        <v>938.50472835872711</v>
      </c>
      <c r="AJ16" s="9">
        <f>_xlfn.COVARIANCE.P('Data_Matrix (2018)'!$J$2:$J$67,'Data_Matrix (2018)'!AJ$2:AJ$67)</f>
        <v>248.40800828302528</v>
      </c>
      <c r="AK16" s="9">
        <f>_xlfn.COVARIANCE.P('Data_Matrix (2018)'!$J$2:$J$67,'Data_Matrix (2018)'!AK$2:AK$67)</f>
        <v>52.770221620714807</v>
      </c>
      <c r="AL16" s="9">
        <f>_xlfn.COVARIANCE.P('Data_Matrix (2018)'!$J$2:$J$67,'Data_Matrix (2018)'!AL$2:AL$67)</f>
        <v>-2272.3481307506872</v>
      </c>
      <c r="AM16" s="9">
        <f>_xlfn.COVARIANCE.P('Data_Matrix (2018)'!$J$2:$J$67,'Data_Matrix (2018)'!AM$2:AM$67)</f>
        <v>71.048193610081526</v>
      </c>
      <c r="AN16" s="9">
        <f>_xlfn.COVARIANCE.P('Data_Matrix (2018)'!$J$2:$J$67,'Data_Matrix (2018)'!AN$2:AN$67)</f>
        <v>619.36669864073474</v>
      </c>
      <c r="AO16" s="9">
        <f>_xlfn.COVARIANCE.P('Data_Matrix (2018)'!$J$2:$J$67,'Data_Matrix (2018)'!AO$2:AO$67)</f>
        <v>308.5988954993295</v>
      </c>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row>
    <row r="17" spans="2:67" x14ac:dyDescent="0.2">
      <c r="B17" s="9">
        <f>_xlfn.COVARIANCE.P('Data_Matrix (2018)'!$K$2:$K$67,'Data_Matrix (2018)'!B$2:B$67)</f>
        <v>1728708.1267136764</v>
      </c>
      <c r="C17" s="9">
        <f>_xlfn.COVARIANCE.P('Data_Matrix (2018)'!$K$2:$K$67,'Data_Matrix (2018)'!C$2:C$67)</f>
        <v>1759242.3450157149</v>
      </c>
      <c r="D17" s="9">
        <f>_xlfn.COVARIANCE.P('Data_Matrix (2018)'!$K$2:$K$67,'Data_Matrix (2018)'!D$2:D$67)</f>
        <v>1133598.7577341602</v>
      </c>
      <c r="E17" s="9">
        <f>_xlfn.COVARIANCE.P('Data_Matrix (2018)'!$K$2:$K$67,'Data_Matrix (2018)'!E$2:E$67)</f>
        <v>1013570.5457337948</v>
      </c>
      <c r="F17" s="9">
        <f>_xlfn.COVARIANCE.P('Data_Matrix (2018)'!$K$2:$K$67,'Data_Matrix (2018)'!F$2:F$67)</f>
        <v>618144.49018097331</v>
      </c>
      <c r="G17" s="9">
        <f>_xlfn.COVARIANCE.P('Data_Matrix (2018)'!$K$2:$K$67,'Data_Matrix (2018)'!G$2:G$67)</f>
        <v>891960.16972496361</v>
      </c>
      <c r="H17" s="9">
        <f>_xlfn.COVARIANCE.P('Data_Matrix (2018)'!$K$2:$K$67,'Data_Matrix (2018)'!H$2:H$67)</f>
        <v>354087.5271459588</v>
      </c>
      <c r="I17" s="9">
        <f>_xlfn.COVARIANCE.P('Data_Matrix (2018)'!$K$2:$K$67,'Data_Matrix (2018)'!I$2:I$67)</f>
        <v>324977.7559770401</v>
      </c>
      <c r="J17" s="9">
        <f>_xlfn.COVARIANCE.P('Data_Matrix (2018)'!$K$2:$K$67,'Data_Matrix (2018)'!J$2:J$67)</f>
        <v>179642.44196933028</v>
      </c>
      <c r="K17" s="9">
        <f>_xlfn.COVARIANCE.P('Data_Matrix (2018)'!$K$2:$K$67,'Data_Matrix (2018)'!K$2:K$67)</f>
        <v>283311.60600310267</v>
      </c>
      <c r="L17" s="9">
        <f>_xlfn.COVARIANCE.P('Data_Matrix (2018)'!$K$2:$K$67,'Data_Matrix (2018)'!L$2:L$67)</f>
        <v>180312.61720867376</v>
      </c>
      <c r="M17" s="9">
        <f>_xlfn.COVARIANCE.P('Data_Matrix (2018)'!$K$2:$K$67,'Data_Matrix (2018)'!M$2:M$67)</f>
        <v>127539.7519146374</v>
      </c>
      <c r="N17" s="9">
        <f>_xlfn.COVARIANCE.P('Data_Matrix (2018)'!$K$2:$K$67,'Data_Matrix (2018)'!N$2:N$67)</f>
        <v>180451.6567723433</v>
      </c>
      <c r="O17" s="9">
        <f>_xlfn.COVARIANCE.P('Data_Matrix (2018)'!$K$2:$K$67,'Data_Matrix (2018)'!O$2:O$67)</f>
        <v>87285.92634758084</v>
      </c>
      <c r="P17" s="9">
        <f>_xlfn.COVARIANCE.P('Data_Matrix (2018)'!$K$2:$K$67,'Data_Matrix (2018)'!P$2:P$67)</f>
        <v>31145.45202787119</v>
      </c>
      <c r="Q17" s="9">
        <f>_xlfn.COVARIANCE.P('Data_Matrix (2018)'!$K$2:$K$67,'Data_Matrix (2018)'!Q$2:Q$67)</f>
        <v>69627.823153321922</v>
      </c>
      <c r="R17" s="9">
        <f>_xlfn.COVARIANCE.P('Data_Matrix (2018)'!$K$2:$K$67,'Data_Matrix (2018)'!R$2:R$67)</f>
        <v>79315.621652131013</v>
      </c>
      <c r="S17" s="9">
        <f>_xlfn.COVARIANCE.P('Data_Matrix (2018)'!$K$2:$K$67,'Data_Matrix (2018)'!S$2:S$67)</f>
        <v>42559.380986484357</v>
      </c>
      <c r="T17" s="9">
        <f>_xlfn.COVARIANCE.P('Data_Matrix (2018)'!$K$2:$K$67,'Data_Matrix (2018)'!T$2:T$67)</f>
        <v>34755.47648919186</v>
      </c>
      <c r="U17" s="9">
        <f>_xlfn.COVARIANCE.P('Data_Matrix (2018)'!$K$2:$K$67,'Data_Matrix (2018)'!U$2:U$67)</f>
        <v>21549.722378158312</v>
      </c>
      <c r="V17" s="9">
        <f>_xlfn.COVARIANCE.P('Data_Matrix (2018)'!$K$2:$K$67,'Data_Matrix (2018)'!V$2:V$67)</f>
        <v>18843.049657184369</v>
      </c>
      <c r="W17" s="9">
        <f>_xlfn.COVARIANCE.P('Data_Matrix (2018)'!$K$2:$K$67,'Data_Matrix (2018)'!W$2:W$67)</f>
        <v>13157.962825646922</v>
      </c>
      <c r="X17" s="9">
        <f>_xlfn.COVARIANCE.P('Data_Matrix (2018)'!$K$2:$K$67,'Data_Matrix (2018)'!X$2:X$67)</f>
        <v>20021.533530993456</v>
      </c>
      <c r="Y17" s="9">
        <f>_xlfn.COVARIANCE.P('Data_Matrix (2018)'!$K$2:$K$67,'Data_Matrix (2018)'!Y$2:Y$67)</f>
        <v>16184.477901494518</v>
      </c>
      <c r="Z17" s="9">
        <f>_xlfn.COVARIANCE.P('Data_Matrix (2018)'!$K$2:$K$67,'Data_Matrix (2018)'!Z$2:Z$67)</f>
        <v>8903.6351032239527</v>
      </c>
      <c r="AA17" s="9">
        <f>_xlfn.COVARIANCE.P('Data_Matrix (2018)'!$K$2:$K$67,'Data_Matrix (2018)'!AA$2:AA$67)</f>
        <v>5706.1000054318638</v>
      </c>
      <c r="AB17" s="9">
        <f>_xlfn.COVARIANCE.P('Data_Matrix (2018)'!$K$2:$K$67,'Data_Matrix (2018)'!AB$2:AB$67)</f>
        <v>1450.7542510347018</v>
      </c>
      <c r="AC17" s="9">
        <f>_xlfn.COVARIANCE.P('Data_Matrix (2018)'!$K$2:$K$67,'Data_Matrix (2018)'!AC$2:AC$67)</f>
        <v>1974.9783348424489</v>
      </c>
      <c r="AD17" s="9">
        <f>_xlfn.COVARIANCE.P('Data_Matrix (2018)'!$K$2:$K$67,'Data_Matrix (2018)'!AD$2:AD$67)</f>
        <v>2392.6717120006383</v>
      </c>
      <c r="AE17" s="9">
        <f>_xlfn.COVARIANCE.P('Data_Matrix (2018)'!$K$2:$K$67,'Data_Matrix (2018)'!AE$2:AE$67)</f>
        <v>788.79689646542556</v>
      </c>
      <c r="AF17" s="9">
        <f>_xlfn.COVARIANCE.P('Data_Matrix (2018)'!$K$2:$K$67,'Data_Matrix (2018)'!AF$2:AF$67)</f>
        <v>1404.0464096740138</v>
      </c>
      <c r="AG17" s="9">
        <f>_xlfn.COVARIANCE.P('Data_Matrix (2018)'!$K$2:$K$67,'Data_Matrix (2018)'!AG$2:AG$67)</f>
        <v>1584.5849121930696</v>
      </c>
      <c r="AH17" s="9">
        <f>_xlfn.COVARIANCE.P('Data_Matrix (2018)'!$K$2:$K$67,'Data_Matrix (2018)'!AH$2:AH$67)</f>
        <v>709.24301662377161</v>
      </c>
      <c r="AI17" s="9">
        <f>_xlfn.COVARIANCE.P('Data_Matrix (2018)'!$K$2:$K$67,'Data_Matrix (2018)'!AI$2:AI$67)</f>
        <v>917.95624037281436</v>
      </c>
      <c r="AJ17" s="9">
        <f>_xlfn.COVARIANCE.P('Data_Matrix (2018)'!$K$2:$K$67,'Data_Matrix (2018)'!AJ$2:AJ$67)</f>
        <v>721.95834816172885</v>
      </c>
      <c r="AK17" s="9">
        <f>_xlfn.COVARIANCE.P('Data_Matrix (2018)'!$K$2:$K$67,'Data_Matrix (2018)'!AK$2:AK$67)</f>
        <v>764.27514348624754</v>
      </c>
      <c r="AL17" s="9">
        <f>_xlfn.COVARIANCE.P('Data_Matrix (2018)'!$K$2:$K$67,'Data_Matrix (2018)'!AL$2:AL$67)</f>
        <v>-1077.8648093331335</v>
      </c>
      <c r="AM17" s="9">
        <f>_xlfn.COVARIANCE.P('Data_Matrix (2018)'!$K$2:$K$67,'Data_Matrix (2018)'!AM$2:AM$67)</f>
        <v>362.21756874566825</v>
      </c>
      <c r="AN17" s="9">
        <f>_xlfn.COVARIANCE.P('Data_Matrix (2018)'!$K$2:$K$67,'Data_Matrix (2018)'!AN$2:AN$67)</f>
        <v>517.81500354673346</v>
      </c>
      <c r="AO17" s="9">
        <f>_xlfn.COVARIANCE.P('Data_Matrix (2018)'!$K$2:$K$67,'Data_Matrix (2018)'!AO$2:AO$67)</f>
        <v>604.10555574958232</v>
      </c>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row>
    <row r="18" spans="2:67" x14ac:dyDescent="0.2">
      <c r="B18" s="9">
        <f>_xlfn.COVARIANCE.P('Data_Matrix (2018)'!$L$2:$L$67,'Data_Matrix (2018)'!B$2:B$67)</f>
        <v>1261882.6151699016</v>
      </c>
      <c r="C18" s="9">
        <f>_xlfn.COVARIANCE.P('Data_Matrix (2018)'!$L$2:$L$67,'Data_Matrix (2018)'!C$2:C$67)</f>
        <v>1428766.7510359818</v>
      </c>
      <c r="D18" s="9">
        <f>_xlfn.COVARIANCE.P('Data_Matrix (2018)'!$L$2:$L$67,'Data_Matrix (2018)'!D$2:D$67)</f>
        <v>916024.01599592785</v>
      </c>
      <c r="E18" s="9">
        <f>_xlfn.COVARIANCE.P('Data_Matrix (2018)'!$L$2:$L$67,'Data_Matrix (2018)'!E$2:E$67)</f>
        <v>768146.51953764446</v>
      </c>
      <c r="F18" s="9">
        <f>_xlfn.COVARIANCE.P('Data_Matrix (2018)'!$L$2:$L$67,'Data_Matrix (2018)'!F$2:F$67)</f>
        <v>465739.38287796674</v>
      </c>
      <c r="G18" s="9">
        <f>_xlfn.COVARIANCE.P('Data_Matrix (2018)'!$L$2:$L$67,'Data_Matrix (2018)'!G$2:G$67)</f>
        <v>702558.07749659626</v>
      </c>
      <c r="H18" s="9">
        <f>_xlfn.COVARIANCE.P('Data_Matrix (2018)'!$L$2:$L$67,'Data_Matrix (2018)'!H$2:H$67)</f>
        <v>303553.24587784678</v>
      </c>
      <c r="I18" s="9">
        <f>_xlfn.COVARIANCE.P('Data_Matrix (2018)'!$L$2:$L$67,'Data_Matrix (2018)'!I$2:I$67)</f>
        <v>248082.85396304753</v>
      </c>
      <c r="J18" s="9">
        <f>_xlfn.COVARIANCE.P('Data_Matrix (2018)'!$L$2:$L$67,'Data_Matrix (2018)'!J$2:J$67)</f>
        <v>132380.68535459554</v>
      </c>
      <c r="K18" s="9">
        <f>_xlfn.COVARIANCE.P('Data_Matrix (2018)'!$L$2:$L$67,'Data_Matrix (2018)'!K$2:K$67)</f>
        <v>180312.61720867376</v>
      </c>
      <c r="L18" s="9">
        <f>_xlfn.COVARIANCE.P('Data_Matrix (2018)'!$L$2:$L$67,'Data_Matrix (2018)'!L$2:L$67)</f>
        <v>169346.32190859041</v>
      </c>
      <c r="M18" s="9">
        <f>_xlfn.COVARIANCE.P('Data_Matrix (2018)'!$L$2:$L$67,'Data_Matrix (2018)'!M$2:M$67)</f>
        <v>112987.45544691359</v>
      </c>
      <c r="N18" s="9">
        <f>_xlfn.COVARIANCE.P('Data_Matrix (2018)'!$L$2:$L$67,'Data_Matrix (2018)'!N$2:N$67)</f>
        <v>137486.45391366413</v>
      </c>
      <c r="O18" s="9">
        <f>_xlfn.COVARIANCE.P('Data_Matrix (2018)'!$L$2:$L$67,'Data_Matrix (2018)'!O$2:O$67)</f>
        <v>71806.613918110859</v>
      </c>
      <c r="P18" s="9">
        <f>_xlfn.COVARIANCE.P('Data_Matrix (2018)'!$L$2:$L$67,'Data_Matrix (2018)'!P$2:P$67)</f>
        <v>20884.204592896334</v>
      </c>
      <c r="Q18" s="9">
        <f>_xlfn.COVARIANCE.P('Data_Matrix (2018)'!$L$2:$L$67,'Data_Matrix (2018)'!Q$2:Q$67)</f>
        <v>63852.367442509953</v>
      </c>
      <c r="R18" s="9">
        <f>_xlfn.COVARIANCE.P('Data_Matrix (2018)'!$L$2:$L$67,'Data_Matrix (2018)'!R$2:R$67)</f>
        <v>82033.354811475176</v>
      </c>
      <c r="S18" s="9">
        <f>_xlfn.COVARIANCE.P('Data_Matrix (2018)'!$L$2:$L$67,'Data_Matrix (2018)'!S$2:S$67)</f>
        <v>41436.843941629166</v>
      </c>
      <c r="T18" s="9">
        <f>_xlfn.COVARIANCE.P('Data_Matrix (2018)'!$L$2:$L$67,'Data_Matrix (2018)'!T$2:T$67)</f>
        <v>29113.823376977562</v>
      </c>
      <c r="U18" s="9">
        <f>_xlfn.COVARIANCE.P('Data_Matrix (2018)'!$L$2:$L$67,'Data_Matrix (2018)'!U$2:U$67)</f>
        <v>19896.303287859584</v>
      </c>
      <c r="V18" s="9">
        <f>_xlfn.COVARIANCE.P('Data_Matrix (2018)'!$L$2:$L$67,'Data_Matrix (2018)'!V$2:V$67)</f>
        <v>13974.231094896053</v>
      </c>
      <c r="W18" s="9">
        <f>_xlfn.COVARIANCE.P('Data_Matrix (2018)'!$L$2:$L$67,'Data_Matrix (2018)'!W$2:W$67)</f>
        <v>10932.131261266801</v>
      </c>
      <c r="X18" s="9">
        <f>_xlfn.COVARIANCE.P('Data_Matrix (2018)'!$L$2:$L$67,'Data_Matrix (2018)'!X$2:X$67)</f>
        <v>14963.229252576455</v>
      </c>
      <c r="Y18" s="9">
        <f>_xlfn.COVARIANCE.P('Data_Matrix (2018)'!$L$2:$L$67,'Data_Matrix (2018)'!Y$2:Y$67)</f>
        <v>12070.639475617849</v>
      </c>
      <c r="Z18" s="9">
        <f>_xlfn.COVARIANCE.P('Data_Matrix (2018)'!$L$2:$L$67,'Data_Matrix (2018)'!Z$2:Z$67)</f>
        <v>9014.6822923503332</v>
      </c>
      <c r="AA18" s="9">
        <f>_xlfn.COVARIANCE.P('Data_Matrix (2018)'!$L$2:$L$67,'Data_Matrix (2018)'!AA$2:AA$67)</f>
        <v>5883.8113431564798</v>
      </c>
      <c r="AB18" s="9">
        <f>_xlfn.COVARIANCE.P('Data_Matrix (2018)'!$L$2:$L$67,'Data_Matrix (2018)'!AB$2:AB$67)</f>
        <v>1395.2828391748383</v>
      </c>
      <c r="AC18" s="9">
        <f>_xlfn.COVARIANCE.P('Data_Matrix (2018)'!$L$2:$L$67,'Data_Matrix (2018)'!AC$2:AC$67)</f>
        <v>1751.6120481624382</v>
      </c>
      <c r="AD18" s="9">
        <f>_xlfn.COVARIANCE.P('Data_Matrix (2018)'!$L$2:$L$67,'Data_Matrix (2018)'!AD$2:AD$67)</f>
        <v>2302.2255915574733</v>
      </c>
      <c r="AE18" s="9">
        <f>_xlfn.COVARIANCE.P('Data_Matrix (2018)'!$L$2:$L$67,'Data_Matrix (2018)'!AE$2:AE$67)</f>
        <v>802.14683825885936</v>
      </c>
      <c r="AF18" s="9">
        <f>_xlfn.COVARIANCE.P('Data_Matrix (2018)'!$L$2:$L$67,'Data_Matrix (2018)'!AF$2:AF$67)</f>
        <v>1405.4186551608268</v>
      </c>
      <c r="AG18" s="9">
        <f>_xlfn.COVARIANCE.P('Data_Matrix (2018)'!$L$2:$L$67,'Data_Matrix (2018)'!AG$2:AG$67)</f>
        <v>1320.8831141138435</v>
      </c>
      <c r="AH18" s="9">
        <f>_xlfn.COVARIANCE.P('Data_Matrix (2018)'!$L$2:$L$67,'Data_Matrix (2018)'!AH$2:AH$67)</f>
        <v>340.57718024095885</v>
      </c>
      <c r="AI18" s="9">
        <f>_xlfn.COVARIANCE.P('Data_Matrix (2018)'!$L$2:$L$67,'Data_Matrix (2018)'!AI$2:AI$67)</f>
        <v>1003.473413905062</v>
      </c>
      <c r="AJ18" s="9">
        <f>_xlfn.COVARIANCE.P('Data_Matrix (2018)'!$L$2:$L$67,'Data_Matrix (2018)'!AJ$2:AJ$67)</f>
        <v>808.84865227017372</v>
      </c>
      <c r="AK18" s="9">
        <f>_xlfn.COVARIANCE.P('Data_Matrix (2018)'!$L$2:$L$67,'Data_Matrix (2018)'!AK$2:AK$67)</f>
        <v>594.7339585134938</v>
      </c>
      <c r="AL18" s="9">
        <f>_xlfn.COVARIANCE.P('Data_Matrix (2018)'!$L$2:$L$67,'Data_Matrix (2018)'!AL$2:AL$67)</f>
        <v>-948.69403403220269</v>
      </c>
      <c r="AM18" s="9">
        <f>_xlfn.COVARIANCE.P('Data_Matrix (2018)'!$L$2:$L$67,'Data_Matrix (2018)'!AM$2:AM$67)</f>
        <v>387.49038689258396</v>
      </c>
      <c r="AN18" s="9">
        <f>_xlfn.COVARIANCE.P('Data_Matrix (2018)'!$L$2:$L$67,'Data_Matrix (2018)'!AN$2:AN$67)</f>
        <v>36.485699749321533</v>
      </c>
      <c r="AO18" s="9">
        <f>_xlfn.COVARIANCE.P('Data_Matrix (2018)'!$L$2:$L$67,'Data_Matrix (2018)'!AO$2:AO$67)</f>
        <v>680.6985182879987</v>
      </c>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row>
    <row r="19" spans="2:67" x14ac:dyDescent="0.2">
      <c r="B19" s="9">
        <f>_xlfn.COVARIANCE.P('Data_Matrix (2018)'!$M$2:$M$67,'Data_Matrix (2018)'!B$2:B$67)</f>
        <v>673109.16940976935</v>
      </c>
      <c r="C19" s="9">
        <f>_xlfn.COVARIANCE.P('Data_Matrix (2018)'!$M$2:$M$67,'Data_Matrix (2018)'!C$2:C$67)</f>
        <v>1144664.2314040826</v>
      </c>
      <c r="D19" s="9">
        <f>_xlfn.COVARIANCE.P('Data_Matrix (2018)'!$M$2:$M$67,'Data_Matrix (2018)'!D$2:D$67)</f>
        <v>727759.78193746135</v>
      </c>
      <c r="E19" s="9">
        <f>_xlfn.COVARIANCE.P('Data_Matrix (2018)'!$M$2:$M$67,'Data_Matrix (2018)'!E$2:E$67)</f>
        <v>520545.23788171454</v>
      </c>
      <c r="F19" s="9">
        <f>_xlfn.COVARIANCE.P('Data_Matrix (2018)'!$M$2:$M$67,'Data_Matrix (2018)'!F$2:F$67)</f>
        <v>316838.56145710283</v>
      </c>
      <c r="G19" s="9">
        <f>_xlfn.COVARIANCE.P('Data_Matrix (2018)'!$M$2:$M$67,'Data_Matrix (2018)'!G$2:G$67)</f>
        <v>585947.57207904523</v>
      </c>
      <c r="H19" s="9">
        <f>_xlfn.COVARIANCE.P('Data_Matrix (2018)'!$M$2:$M$67,'Data_Matrix (2018)'!H$2:H$67)</f>
        <v>260516.10624620036</v>
      </c>
      <c r="I19" s="9">
        <f>_xlfn.COVARIANCE.P('Data_Matrix (2018)'!$M$2:$M$67,'Data_Matrix (2018)'!I$2:I$67)</f>
        <v>229164.66832932175</v>
      </c>
      <c r="J19" s="9">
        <f>_xlfn.COVARIANCE.P('Data_Matrix (2018)'!$M$2:$M$67,'Data_Matrix (2018)'!J$2:J$67)</f>
        <v>99537.452131989849</v>
      </c>
      <c r="K19" s="9">
        <f>_xlfn.COVARIANCE.P('Data_Matrix (2018)'!$M$2:$M$67,'Data_Matrix (2018)'!K$2:K$67)</f>
        <v>127539.7519146374</v>
      </c>
      <c r="L19" s="9">
        <f>_xlfn.COVARIANCE.P('Data_Matrix (2018)'!$M$2:$M$67,'Data_Matrix (2018)'!L$2:L$67)</f>
        <v>112987.45544691359</v>
      </c>
      <c r="M19" s="9">
        <f>_xlfn.COVARIANCE.P('Data_Matrix (2018)'!$M$2:$M$67,'Data_Matrix (2018)'!M$2:M$67)</f>
        <v>163032.30499535147</v>
      </c>
      <c r="N19" s="9">
        <f>_xlfn.COVARIANCE.P('Data_Matrix (2018)'!$M$2:$M$67,'Data_Matrix (2018)'!N$2:N$67)</f>
        <v>109983.41495848905</v>
      </c>
      <c r="O19" s="9">
        <f>_xlfn.COVARIANCE.P('Data_Matrix (2018)'!$M$2:$M$67,'Data_Matrix (2018)'!O$2:O$67)</f>
        <v>54628.921403490516</v>
      </c>
      <c r="P19" s="9">
        <f>_xlfn.COVARIANCE.P('Data_Matrix (2018)'!$M$2:$M$67,'Data_Matrix (2018)'!P$2:P$67)</f>
        <v>6951.0473019134824</v>
      </c>
      <c r="Q19" s="9">
        <f>_xlfn.COVARIANCE.P('Data_Matrix (2018)'!$M$2:$M$67,'Data_Matrix (2018)'!Q$2:Q$67)</f>
        <v>54751.141460502462</v>
      </c>
      <c r="R19" s="9">
        <f>_xlfn.COVARIANCE.P('Data_Matrix (2018)'!$M$2:$M$67,'Data_Matrix (2018)'!R$2:R$67)</f>
        <v>63028.476672979945</v>
      </c>
      <c r="S19" s="9">
        <f>_xlfn.COVARIANCE.P('Data_Matrix (2018)'!$M$2:$M$67,'Data_Matrix (2018)'!S$2:S$67)</f>
        <v>43825.800605684184</v>
      </c>
      <c r="T19" s="9">
        <f>_xlfn.COVARIANCE.P('Data_Matrix (2018)'!$M$2:$M$67,'Data_Matrix (2018)'!T$2:T$67)</f>
        <v>21191.702953026241</v>
      </c>
      <c r="U19" s="9">
        <f>_xlfn.COVARIANCE.P('Data_Matrix (2018)'!$M$2:$M$67,'Data_Matrix (2018)'!U$2:U$67)</f>
        <v>15346.617321764546</v>
      </c>
      <c r="V19" s="9">
        <f>_xlfn.COVARIANCE.P('Data_Matrix (2018)'!$M$2:$M$67,'Data_Matrix (2018)'!V$2:V$67)</f>
        <v>7498.4521855474604</v>
      </c>
      <c r="W19" s="9">
        <f>_xlfn.COVARIANCE.P('Data_Matrix (2018)'!$M$2:$M$67,'Data_Matrix (2018)'!W$2:W$67)</f>
        <v>7370.3217573355842</v>
      </c>
      <c r="X19" s="9">
        <f>_xlfn.COVARIANCE.P('Data_Matrix (2018)'!$M$2:$M$67,'Data_Matrix (2018)'!X$2:X$67)</f>
        <v>11625.646701963422</v>
      </c>
      <c r="Y19" s="9">
        <f>_xlfn.COVARIANCE.P('Data_Matrix (2018)'!$M$2:$M$67,'Data_Matrix (2018)'!Y$2:Y$67)</f>
        <v>11240.112379523423</v>
      </c>
      <c r="Z19" s="9">
        <f>_xlfn.COVARIANCE.P('Data_Matrix (2018)'!$M$2:$M$67,'Data_Matrix (2018)'!Z$2:Z$67)</f>
        <v>6919.2416278165665</v>
      </c>
      <c r="AA19" s="9">
        <f>_xlfn.COVARIANCE.P('Data_Matrix (2018)'!$M$2:$M$67,'Data_Matrix (2018)'!AA$2:AA$67)</f>
        <v>6244.4821278410373</v>
      </c>
      <c r="AB19" s="9">
        <f>_xlfn.COVARIANCE.P('Data_Matrix (2018)'!$M$2:$M$67,'Data_Matrix (2018)'!AB$2:AB$67)</f>
        <v>1321.4679668285582</v>
      </c>
      <c r="AC19" s="9">
        <f>_xlfn.COVARIANCE.P('Data_Matrix (2018)'!$M$2:$M$67,'Data_Matrix (2018)'!AC$2:AC$67)</f>
        <v>970.90969700842106</v>
      </c>
      <c r="AD19" s="9">
        <f>_xlfn.COVARIANCE.P('Data_Matrix (2018)'!$M$2:$M$67,'Data_Matrix (2018)'!AD$2:AD$67)</f>
        <v>1924.1099845072411</v>
      </c>
      <c r="AE19" s="9">
        <f>_xlfn.COVARIANCE.P('Data_Matrix (2018)'!$M$2:$M$67,'Data_Matrix (2018)'!AE$2:AE$67)</f>
        <v>283.89695494031071</v>
      </c>
      <c r="AF19" s="9">
        <f>_xlfn.COVARIANCE.P('Data_Matrix (2018)'!$M$2:$M$67,'Data_Matrix (2018)'!AF$2:AF$67)</f>
        <v>721.71314217296015</v>
      </c>
      <c r="AG19" s="9">
        <f>_xlfn.COVARIANCE.P('Data_Matrix (2018)'!$M$2:$M$67,'Data_Matrix (2018)'!AG$2:AG$67)</f>
        <v>786.84448474204646</v>
      </c>
      <c r="AH19" s="9">
        <f>_xlfn.COVARIANCE.P('Data_Matrix (2018)'!$M$2:$M$67,'Data_Matrix (2018)'!AH$2:AH$67)</f>
        <v>39.43638612492277</v>
      </c>
      <c r="AI19" s="9">
        <f>_xlfn.COVARIANCE.P('Data_Matrix (2018)'!$M$2:$M$67,'Data_Matrix (2018)'!AI$2:AI$67)</f>
        <v>807.02926610978705</v>
      </c>
      <c r="AJ19" s="9">
        <f>_xlfn.COVARIANCE.P('Data_Matrix (2018)'!$M$2:$M$67,'Data_Matrix (2018)'!AJ$2:AJ$67)</f>
        <v>339.60476645559265</v>
      </c>
      <c r="AK19" s="9">
        <f>_xlfn.COVARIANCE.P('Data_Matrix (2018)'!$M$2:$M$67,'Data_Matrix (2018)'!AK$2:AK$67)</f>
        <v>401.10023747266644</v>
      </c>
      <c r="AL19" s="9">
        <f>_xlfn.COVARIANCE.P('Data_Matrix (2018)'!$M$2:$M$67,'Data_Matrix (2018)'!AL$2:AL$67)</f>
        <v>-1694.4746913634408</v>
      </c>
      <c r="AM19" s="9">
        <f>_xlfn.COVARIANCE.P('Data_Matrix (2018)'!$M$2:$M$67,'Data_Matrix (2018)'!AM$2:AM$67)</f>
        <v>399.2361005181948</v>
      </c>
      <c r="AN19" s="9">
        <f>_xlfn.COVARIANCE.P('Data_Matrix (2018)'!$M$2:$M$67,'Data_Matrix (2018)'!AN$2:AN$67)</f>
        <v>313.63875264714846</v>
      </c>
      <c r="AO19" s="9">
        <f>_xlfn.COVARIANCE.P('Data_Matrix (2018)'!$M$2:$M$67,'Data_Matrix (2018)'!AO$2:AO$67)</f>
        <v>580.33078699079135</v>
      </c>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row>
    <row r="20" spans="2:67" x14ac:dyDescent="0.2">
      <c r="B20" s="9">
        <f>_xlfn.COVARIANCE.P('Data_Matrix (2018)'!$N$2:$N$67,'Data_Matrix (2018)'!B$2:B$67)</f>
        <v>1097799.7026769114</v>
      </c>
      <c r="C20" s="9">
        <f>_xlfn.COVARIANCE.P('Data_Matrix (2018)'!$N$2:$N$67,'Data_Matrix (2018)'!C$2:C$67)</f>
        <v>1492728.6049940041</v>
      </c>
      <c r="D20" s="9">
        <f>_xlfn.COVARIANCE.P('Data_Matrix (2018)'!$N$2:$N$67,'Data_Matrix (2018)'!D$2:D$67)</f>
        <v>1000739.1999768356</v>
      </c>
      <c r="E20" s="9">
        <f>_xlfn.COVARIANCE.P('Data_Matrix (2018)'!$N$2:$N$67,'Data_Matrix (2018)'!E$2:E$67)</f>
        <v>820948.07823821541</v>
      </c>
      <c r="F20" s="9">
        <f>_xlfn.COVARIANCE.P('Data_Matrix (2018)'!$N$2:$N$67,'Data_Matrix (2018)'!F$2:F$67)</f>
        <v>417495.00166043127</v>
      </c>
      <c r="G20" s="9">
        <f>_xlfn.COVARIANCE.P('Data_Matrix (2018)'!$N$2:$N$67,'Data_Matrix (2018)'!G$2:G$67)</f>
        <v>803779.99142881541</v>
      </c>
      <c r="H20" s="9">
        <f>_xlfn.COVARIANCE.P('Data_Matrix (2018)'!$N$2:$N$67,'Data_Matrix (2018)'!H$2:H$67)</f>
        <v>283502.16508998553</v>
      </c>
      <c r="I20" s="9">
        <f>_xlfn.COVARIANCE.P('Data_Matrix (2018)'!$N$2:$N$67,'Data_Matrix (2018)'!I$2:I$67)</f>
        <v>286557.73651055788</v>
      </c>
      <c r="J20" s="9">
        <f>_xlfn.COVARIANCE.P('Data_Matrix (2018)'!$N$2:$N$67,'Data_Matrix (2018)'!J$2:J$67)</f>
        <v>165307.86663509207</v>
      </c>
      <c r="K20" s="9">
        <f>_xlfn.COVARIANCE.P('Data_Matrix (2018)'!$N$2:$N$67,'Data_Matrix (2018)'!K$2:K$67)</f>
        <v>180451.6567723433</v>
      </c>
      <c r="L20" s="9">
        <f>_xlfn.COVARIANCE.P('Data_Matrix (2018)'!$N$2:$N$67,'Data_Matrix (2018)'!L$2:L$67)</f>
        <v>137486.45391366413</v>
      </c>
      <c r="M20" s="9">
        <f>_xlfn.COVARIANCE.P('Data_Matrix (2018)'!$N$2:$N$67,'Data_Matrix (2018)'!M$2:M$67)</f>
        <v>109983.41495848905</v>
      </c>
      <c r="N20" s="9">
        <f>_xlfn.COVARIANCE.P('Data_Matrix (2018)'!$N$2:$N$67,'Data_Matrix (2018)'!N$2:N$67)</f>
        <v>173005.32268774134</v>
      </c>
      <c r="O20" s="9">
        <f>_xlfn.COVARIANCE.P('Data_Matrix (2018)'!$N$2:$N$67,'Data_Matrix (2018)'!O$2:O$67)</f>
        <v>68080.724526670921</v>
      </c>
      <c r="P20" s="9">
        <f>_xlfn.COVARIANCE.P('Data_Matrix (2018)'!$N$2:$N$67,'Data_Matrix (2018)'!P$2:P$67)</f>
        <v>14654.573761709176</v>
      </c>
      <c r="Q20" s="9">
        <f>_xlfn.COVARIANCE.P('Data_Matrix (2018)'!$N$2:$N$67,'Data_Matrix (2018)'!Q$2:Q$67)</f>
        <v>50588.963694290542</v>
      </c>
      <c r="R20" s="9">
        <f>_xlfn.COVARIANCE.P('Data_Matrix (2018)'!$N$2:$N$67,'Data_Matrix (2018)'!R$2:R$67)</f>
        <v>62908.244009546463</v>
      </c>
      <c r="S20" s="9">
        <f>_xlfn.COVARIANCE.P('Data_Matrix (2018)'!$N$2:$N$67,'Data_Matrix (2018)'!S$2:S$67)</f>
        <v>34913.987319735534</v>
      </c>
      <c r="T20" s="9">
        <f>_xlfn.COVARIANCE.P('Data_Matrix (2018)'!$N$2:$N$67,'Data_Matrix (2018)'!T$2:T$67)</f>
        <v>29671.036038726419</v>
      </c>
      <c r="U20" s="9">
        <f>_xlfn.COVARIANCE.P('Data_Matrix (2018)'!$N$2:$N$67,'Data_Matrix (2018)'!U$2:U$67)</f>
        <v>15529.789095339826</v>
      </c>
      <c r="V20" s="9">
        <f>_xlfn.COVARIANCE.P('Data_Matrix (2018)'!$N$2:$N$67,'Data_Matrix (2018)'!V$2:V$67)</f>
        <v>9821.5597689776332</v>
      </c>
      <c r="W20" s="9">
        <f>_xlfn.COVARIANCE.P('Data_Matrix (2018)'!$N$2:$N$67,'Data_Matrix (2018)'!W$2:W$67)</f>
        <v>10591.496871949035</v>
      </c>
      <c r="X20" s="9">
        <f>_xlfn.COVARIANCE.P('Data_Matrix (2018)'!$N$2:$N$67,'Data_Matrix (2018)'!X$2:X$67)</f>
        <v>17430.298365952247</v>
      </c>
      <c r="Y20" s="9">
        <f>_xlfn.COVARIANCE.P('Data_Matrix (2018)'!$N$2:$N$67,'Data_Matrix (2018)'!Y$2:Y$67)</f>
        <v>11836.169038697988</v>
      </c>
      <c r="Z20" s="9">
        <f>_xlfn.COVARIANCE.P('Data_Matrix (2018)'!$N$2:$N$67,'Data_Matrix (2018)'!Z$2:Z$67)</f>
        <v>6524.9403948115096</v>
      </c>
      <c r="AA20" s="9">
        <f>_xlfn.COVARIANCE.P('Data_Matrix (2018)'!$N$2:$N$67,'Data_Matrix (2018)'!AA$2:AA$67)</f>
        <v>6675.2322826079426</v>
      </c>
      <c r="AB20" s="9">
        <f>_xlfn.COVARIANCE.P('Data_Matrix (2018)'!$N$2:$N$67,'Data_Matrix (2018)'!AB$2:AB$67)</f>
        <v>1550.5645623766889</v>
      </c>
      <c r="AC20" s="9">
        <f>_xlfn.COVARIANCE.P('Data_Matrix (2018)'!$N$2:$N$67,'Data_Matrix (2018)'!AC$2:AC$67)</f>
        <v>773.65194693279545</v>
      </c>
      <c r="AD20" s="9">
        <f>_xlfn.COVARIANCE.P('Data_Matrix (2018)'!$N$2:$N$67,'Data_Matrix (2018)'!AD$2:AD$67)</f>
        <v>2253.965744672782</v>
      </c>
      <c r="AE20" s="9">
        <f>_xlfn.COVARIANCE.P('Data_Matrix (2018)'!$N$2:$N$67,'Data_Matrix (2018)'!AE$2:AE$67)</f>
        <v>230.37859758593649</v>
      </c>
      <c r="AF20" s="9">
        <f>_xlfn.COVARIANCE.P('Data_Matrix (2018)'!$N$2:$N$67,'Data_Matrix (2018)'!AF$2:AF$67)</f>
        <v>986.64932296517907</v>
      </c>
      <c r="AG20" s="9">
        <f>_xlfn.COVARIANCE.P('Data_Matrix (2018)'!$N$2:$N$67,'Data_Matrix (2018)'!AG$2:AG$67)</f>
        <v>752.80629071018461</v>
      </c>
      <c r="AH20" s="9">
        <f>_xlfn.COVARIANCE.P('Data_Matrix (2018)'!$N$2:$N$67,'Data_Matrix (2018)'!AH$2:AH$67)</f>
        <v>528.07727276849403</v>
      </c>
      <c r="AI20" s="9">
        <f>_xlfn.COVARIANCE.P('Data_Matrix (2018)'!$N$2:$N$67,'Data_Matrix (2018)'!AI$2:AI$67)</f>
        <v>880.80507887384647</v>
      </c>
      <c r="AJ20" s="9">
        <f>_xlfn.COVARIANCE.P('Data_Matrix (2018)'!$N$2:$N$67,'Data_Matrix (2018)'!AJ$2:AJ$67)</f>
        <v>406.7697537712358</v>
      </c>
      <c r="AK20" s="9">
        <f>_xlfn.COVARIANCE.P('Data_Matrix (2018)'!$N$2:$N$67,'Data_Matrix (2018)'!AK$2:AK$67)</f>
        <v>123.05282178698272</v>
      </c>
      <c r="AL20" s="9">
        <f>_xlfn.COVARIANCE.P('Data_Matrix (2018)'!$N$2:$N$67,'Data_Matrix (2018)'!AL$2:AL$67)</f>
        <v>-1459.8818831081176</v>
      </c>
      <c r="AM20" s="9">
        <f>_xlfn.COVARIANCE.P('Data_Matrix (2018)'!$N$2:$N$67,'Data_Matrix (2018)'!AM$2:AM$67)</f>
        <v>327.28007793373575</v>
      </c>
      <c r="AN20" s="9">
        <f>_xlfn.COVARIANCE.P('Data_Matrix (2018)'!$N$2:$N$67,'Data_Matrix (2018)'!AN$2:AN$67)</f>
        <v>488.86027256948455</v>
      </c>
      <c r="AO20" s="9">
        <f>_xlfn.COVARIANCE.P('Data_Matrix (2018)'!$N$2:$N$67,'Data_Matrix (2018)'!AO$2:AO$67)</f>
        <v>314.63940363835769</v>
      </c>
      <c r="AP20" s="9"/>
      <c r="AQ20" s="9"/>
      <c r="AR20" s="9"/>
      <c r="AS20" s="9"/>
      <c r="AT20" s="9"/>
      <c r="AU20" s="9"/>
      <c r="AV20" s="9"/>
      <c r="AW20" s="9"/>
      <c r="AX20" s="9"/>
      <c r="AY20" s="9"/>
      <c r="AZ20" s="9"/>
      <c r="BA20" s="9"/>
      <c r="BB20" s="9"/>
      <c r="BC20" s="9"/>
      <c r="BD20" s="9"/>
      <c r="BE20" s="9"/>
      <c r="BF20" s="9"/>
      <c r="BG20" s="9"/>
      <c r="BH20" s="9"/>
      <c r="BI20" s="9"/>
      <c r="BJ20" s="9"/>
      <c r="BK20" s="9"/>
      <c r="BL20" s="9"/>
      <c r="BM20" s="9"/>
      <c r="BN20" s="9"/>
      <c r="BO20" s="9"/>
    </row>
    <row r="21" spans="2:67" x14ac:dyDescent="0.2">
      <c r="B21" s="9">
        <f>_xlfn.COVARIANCE.P('Data_Matrix (2018)'!$O$2:$O$67,'Data_Matrix (2018)'!B$2:B$67)</f>
        <v>566150.8785643701</v>
      </c>
      <c r="C21" s="9">
        <f>_xlfn.COVARIANCE.P('Data_Matrix (2018)'!$O$2:$O$67,'Data_Matrix (2018)'!C$2:C$67)</f>
        <v>677481.6874887665</v>
      </c>
      <c r="D21" s="9">
        <f>_xlfn.COVARIANCE.P('Data_Matrix (2018)'!$O$2:$O$67,'Data_Matrix (2018)'!D$2:D$67)</f>
        <v>426186.43185589387</v>
      </c>
      <c r="E21" s="9">
        <f>_xlfn.COVARIANCE.P('Data_Matrix (2018)'!$O$2:$O$67,'Data_Matrix (2018)'!E$2:E$67)</f>
        <v>360833.94126402756</v>
      </c>
      <c r="F21" s="9">
        <f>_xlfn.COVARIANCE.P('Data_Matrix (2018)'!$O$2:$O$67,'Data_Matrix (2018)'!F$2:F$67)</f>
        <v>213089.1537371813</v>
      </c>
      <c r="G21" s="9">
        <f>_xlfn.COVARIANCE.P('Data_Matrix (2018)'!$O$2:$O$67,'Data_Matrix (2018)'!G$2:G$67)</f>
        <v>337355.2966318687</v>
      </c>
      <c r="H21" s="9">
        <f>_xlfn.COVARIANCE.P('Data_Matrix (2018)'!$O$2:$O$67,'Data_Matrix (2018)'!H$2:H$67)</f>
        <v>138976.93327497932</v>
      </c>
      <c r="I21" s="9">
        <f>_xlfn.COVARIANCE.P('Data_Matrix (2018)'!$O$2:$O$67,'Data_Matrix (2018)'!I$2:I$67)</f>
        <v>115413.07889539204</v>
      </c>
      <c r="J21" s="9">
        <f>_xlfn.COVARIANCE.P('Data_Matrix (2018)'!$O$2:$O$67,'Data_Matrix (2018)'!J$2:J$67)</f>
        <v>60450.933405206088</v>
      </c>
      <c r="K21" s="9">
        <f>_xlfn.COVARIANCE.P('Data_Matrix (2018)'!$O$2:$O$67,'Data_Matrix (2018)'!K$2:K$67)</f>
        <v>87285.92634758084</v>
      </c>
      <c r="L21" s="9">
        <f>_xlfn.COVARIANCE.P('Data_Matrix (2018)'!$O$2:$O$67,'Data_Matrix (2018)'!L$2:L$67)</f>
        <v>71806.613918110859</v>
      </c>
      <c r="M21" s="9">
        <f>_xlfn.COVARIANCE.P('Data_Matrix (2018)'!$O$2:$O$67,'Data_Matrix (2018)'!M$2:M$67)</f>
        <v>54628.921403490516</v>
      </c>
      <c r="N21" s="9">
        <f>_xlfn.COVARIANCE.P('Data_Matrix (2018)'!$O$2:$O$67,'Data_Matrix (2018)'!N$2:N$67)</f>
        <v>68080.724526670921</v>
      </c>
      <c r="O21" s="9">
        <f>_xlfn.COVARIANCE.P('Data_Matrix (2018)'!$O$2:$O$67,'Data_Matrix (2018)'!O$2:O$67)</f>
        <v>35367.55494619059</v>
      </c>
      <c r="P21" s="9">
        <f>_xlfn.COVARIANCE.P('Data_Matrix (2018)'!$O$2:$O$67,'Data_Matrix (2018)'!P$2:P$67)</f>
        <v>8592.3031261829983</v>
      </c>
      <c r="Q21" s="9">
        <f>_xlfn.COVARIANCE.P('Data_Matrix (2018)'!$O$2:$O$67,'Data_Matrix (2018)'!Q$2:Q$67)</f>
        <v>29465.860102290255</v>
      </c>
      <c r="R21" s="9">
        <f>_xlfn.COVARIANCE.P('Data_Matrix (2018)'!$O$2:$O$67,'Data_Matrix (2018)'!R$2:R$67)</f>
        <v>37109.28865868428</v>
      </c>
      <c r="S21" s="9">
        <f>_xlfn.COVARIANCE.P('Data_Matrix (2018)'!$O$2:$O$67,'Data_Matrix (2018)'!S$2:S$67)</f>
        <v>18085.420102810429</v>
      </c>
      <c r="T21" s="9">
        <f>_xlfn.COVARIANCE.P('Data_Matrix (2018)'!$O$2:$O$67,'Data_Matrix (2018)'!T$2:T$67)</f>
        <v>13697.99988469088</v>
      </c>
      <c r="U21" s="9">
        <f>_xlfn.COVARIANCE.P('Data_Matrix (2018)'!$O$2:$O$67,'Data_Matrix (2018)'!U$2:U$67)</f>
        <v>8757.6524823960153</v>
      </c>
      <c r="V21" s="9">
        <f>_xlfn.COVARIANCE.P('Data_Matrix (2018)'!$O$2:$O$67,'Data_Matrix (2018)'!V$2:V$67)</f>
        <v>6476.0452958516125</v>
      </c>
      <c r="W21" s="9">
        <f>_xlfn.COVARIANCE.P('Data_Matrix (2018)'!$O$2:$O$67,'Data_Matrix (2018)'!W$2:W$67)</f>
        <v>5032.9399005904161</v>
      </c>
      <c r="X21" s="9">
        <f>_xlfn.COVARIANCE.P('Data_Matrix (2018)'!$O$2:$O$67,'Data_Matrix (2018)'!X$2:X$67)</f>
        <v>7187.879789469669</v>
      </c>
      <c r="Y21" s="9">
        <f>_xlfn.COVARIANCE.P('Data_Matrix (2018)'!$O$2:$O$67,'Data_Matrix (2018)'!Y$2:Y$67)</f>
        <v>5918.5112356305144</v>
      </c>
      <c r="Z21" s="9">
        <f>_xlfn.COVARIANCE.P('Data_Matrix (2018)'!$O$2:$O$67,'Data_Matrix (2018)'!Z$2:Z$67)</f>
        <v>3986.504084151682</v>
      </c>
      <c r="AA21" s="9">
        <f>_xlfn.COVARIANCE.P('Data_Matrix (2018)'!$O$2:$O$67,'Data_Matrix (2018)'!AA$2:AA$67)</f>
        <v>2933.551767730256</v>
      </c>
      <c r="AB21" s="9">
        <f>_xlfn.COVARIANCE.P('Data_Matrix (2018)'!$O$2:$O$67,'Data_Matrix (2018)'!AB$2:AB$67)</f>
        <v>687.24132660766634</v>
      </c>
      <c r="AC21" s="9">
        <f>_xlfn.COVARIANCE.P('Data_Matrix (2018)'!$O$2:$O$67,'Data_Matrix (2018)'!AC$2:AC$67)</f>
        <v>683.41983735601195</v>
      </c>
      <c r="AD21" s="9">
        <f>_xlfn.COVARIANCE.P('Data_Matrix (2018)'!$O$2:$O$67,'Data_Matrix (2018)'!AD$2:AD$67)</f>
        <v>1045.1842728371778</v>
      </c>
      <c r="AE21" s="9">
        <f>_xlfn.COVARIANCE.P('Data_Matrix (2018)'!$O$2:$O$67,'Data_Matrix (2018)'!AE$2:AE$67)</f>
        <v>298.15445526827142</v>
      </c>
      <c r="AF21" s="9">
        <f>_xlfn.COVARIANCE.P('Data_Matrix (2018)'!$O$2:$O$67,'Data_Matrix (2018)'!AF$2:AF$67)</f>
        <v>623.65269894861706</v>
      </c>
      <c r="AG21" s="9">
        <f>_xlfn.COVARIANCE.P('Data_Matrix (2018)'!$O$2:$O$67,'Data_Matrix (2018)'!AG$2:AG$67)</f>
        <v>487.24291435791878</v>
      </c>
      <c r="AH21" s="9">
        <f>_xlfn.COVARIANCE.P('Data_Matrix (2018)'!$O$2:$O$67,'Data_Matrix (2018)'!AH$2:AH$67)</f>
        <v>172.76576737787082</v>
      </c>
      <c r="AI21" s="9">
        <f>_xlfn.COVARIANCE.P('Data_Matrix (2018)'!$O$2:$O$67,'Data_Matrix (2018)'!AI$2:AI$67)</f>
        <v>419.24437700535634</v>
      </c>
      <c r="AJ21" s="9">
        <f>_xlfn.COVARIANCE.P('Data_Matrix (2018)'!$O$2:$O$67,'Data_Matrix (2018)'!AJ$2:AJ$67)</f>
        <v>364.60977903376306</v>
      </c>
      <c r="AK21" s="9">
        <f>_xlfn.COVARIANCE.P('Data_Matrix (2018)'!$O$2:$O$67,'Data_Matrix (2018)'!AK$2:AK$67)</f>
        <v>296.79200537527049</v>
      </c>
      <c r="AL21" s="9">
        <f>_xlfn.COVARIANCE.P('Data_Matrix (2018)'!$O$2:$O$67,'Data_Matrix (2018)'!AL$2:AL$67)</f>
        <v>-397.89994280697351</v>
      </c>
      <c r="AM21" s="9">
        <f>_xlfn.COVARIANCE.P('Data_Matrix (2018)'!$O$2:$O$67,'Data_Matrix (2018)'!AM$2:AM$67)</f>
        <v>210.40881477874419</v>
      </c>
      <c r="AN21" s="9">
        <f>_xlfn.COVARIANCE.P('Data_Matrix (2018)'!$O$2:$O$67,'Data_Matrix (2018)'!AN$2:AN$67)</f>
        <v>67.394374139745736</v>
      </c>
      <c r="AO21" s="9">
        <f>_xlfn.COVARIANCE.P('Data_Matrix (2018)'!$O$2:$O$67,'Data_Matrix (2018)'!AO$2:AO$67)</f>
        <v>285.74098733530775</v>
      </c>
      <c r="AP21" s="9"/>
      <c r="AQ21" s="9"/>
      <c r="AR21" s="9"/>
      <c r="AS21" s="9"/>
      <c r="AT21" s="9"/>
      <c r="AU21" s="9"/>
      <c r="AV21" s="9"/>
      <c r="AW21" s="9"/>
      <c r="AX21" s="9"/>
      <c r="AY21" s="9"/>
      <c r="AZ21" s="9"/>
      <c r="BA21" s="9"/>
      <c r="BB21" s="9"/>
      <c r="BC21" s="9"/>
      <c r="BD21" s="9"/>
      <c r="BE21" s="9"/>
      <c r="BF21" s="9"/>
      <c r="BG21" s="9"/>
      <c r="BH21" s="9"/>
      <c r="BI21" s="9"/>
      <c r="BJ21" s="9"/>
      <c r="BK21" s="9"/>
      <c r="BL21" s="9"/>
      <c r="BM21" s="9"/>
      <c r="BN21" s="9"/>
      <c r="BO21" s="9"/>
    </row>
    <row r="22" spans="2:67" x14ac:dyDescent="0.2">
      <c r="B22" s="9">
        <f>_xlfn.COVARIANCE.P('Data_Matrix (2018)'!$P$2:$P$67,'Data_Matrix (2018)'!B$2:B$67)</f>
        <v>185955.38329714444</v>
      </c>
      <c r="C22" s="9">
        <f>_xlfn.COVARIANCE.P('Data_Matrix (2018)'!$P$2:$P$67,'Data_Matrix (2018)'!C$2:C$67)</f>
        <v>135591.86090416892</v>
      </c>
      <c r="D22" s="9">
        <f>_xlfn.COVARIANCE.P('Data_Matrix (2018)'!$P$2:$P$67,'Data_Matrix (2018)'!D$2:D$67)</f>
        <v>93762.824902317574</v>
      </c>
      <c r="E22" s="9">
        <f>_xlfn.COVARIANCE.P('Data_Matrix (2018)'!$P$2:$P$67,'Data_Matrix (2018)'!E$2:E$67)</f>
        <v>146374.09618033897</v>
      </c>
      <c r="F22" s="9">
        <f>_xlfn.COVARIANCE.P('Data_Matrix (2018)'!$P$2:$P$67,'Data_Matrix (2018)'!F$2:F$67)</f>
        <v>86059.152870897655</v>
      </c>
      <c r="G22" s="9">
        <f>_xlfn.COVARIANCE.P('Data_Matrix (2018)'!$P$2:$P$67,'Data_Matrix (2018)'!G$2:G$67)</f>
        <v>80208.367377345334</v>
      </c>
      <c r="H22" s="9">
        <f>_xlfn.COVARIANCE.P('Data_Matrix (2018)'!$P$2:$P$67,'Data_Matrix (2018)'!H$2:H$67)</f>
        <v>26168.290525305136</v>
      </c>
      <c r="I22" s="9">
        <f>_xlfn.COVARIANCE.P('Data_Matrix (2018)'!$P$2:$P$67,'Data_Matrix (2018)'!I$2:I$67)</f>
        <v>34476.345187287036</v>
      </c>
      <c r="J22" s="9">
        <f>_xlfn.COVARIANCE.P('Data_Matrix (2018)'!$P$2:$P$67,'Data_Matrix (2018)'!J$2:J$67)</f>
        <v>22959.46566564597</v>
      </c>
      <c r="K22" s="9">
        <f>_xlfn.COVARIANCE.P('Data_Matrix (2018)'!$P$2:$P$67,'Data_Matrix (2018)'!K$2:K$67)</f>
        <v>31145.45202787119</v>
      </c>
      <c r="L22" s="9">
        <f>_xlfn.COVARIANCE.P('Data_Matrix (2018)'!$P$2:$P$67,'Data_Matrix (2018)'!L$2:L$67)</f>
        <v>20884.204592896334</v>
      </c>
      <c r="M22" s="9">
        <f>_xlfn.COVARIANCE.P('Data_Matrix (2018)'!$P$2:$P$67,'Data_Matrix (2018)'!M$2:M$67)</f>
        <v>6951.0473019134824</v>
      </c>
      <c r="N22" s="9">
        <f>_xlfn.COVARIANCE.P('Data_Matrix (2018)'!$P$2:$P$67,'Data_Matrix (2018)'!N$2:N$67)</f>
        <v>14654.573761709176</v>
      </c>
      <c r="O22" s="9">
        <f>_xlfn.COVARIANCE.P('Data_Matrix (2018)'!$P$2:$P$67,'Data_Matrix (2018)'!O$2:O$67)</f>
        <v>8592.3031261829983</v>
      </c>
      <c r="P22" s="9">
        <f>_xlfn.COVARIANCE.P('Data_Matrix (2018)'!$P$2:$P$67,'Data_Matrix (2018)'!P$2:P$67)</f>
        <v>26318.150120173632</v>
      </c>
      <c r="Q22" s="9">
        <f>_xlfn.COVARIANCE.P('Data_Matrix (2018)'!$P$2:$P$67,'Data_Matrix (2018)'!Q$2:Q$67)</f>
        <v>5263.1701636835542</v>
      </c>
      <c r="R22" s="9">
        <f>_xlfn.COVARIANCE.P('Data_Matrix (2018)'!$P$2:$P$67,'Data_Matrix (2018)'!R$2:R$67)</f>
        <v>4288.2662760484927</v>
      </c>
      <c r="S22" s="9">
        <f>_xlfn.COVARIANCE.P('Data_Matrix (2018)'!$P$2:$P$67,'Data_Matrix (2018)'!S$2:S$67)</f>
        <v>2379.1703084094411</v>
      </c>
      <c r="T22" s="9">
        <f>_xlfn.COVARIANCE.P('Data_Matrix (2018)'!$P$2:$P$67,'Data_Matrix (2018)'!T$2:T$67)</f>
        <v>3298.069652809193</v>
      </c>
      <c r="U22" s="9">
        <f>_xlfn.COVARIANCE.P('Data_Matrix (2018)'!$P$2:$P$67,'Data_Matrix (2018)'!U$2:U$67)</f>
        <v>2049.1281045717042</v>
      </c>
      <c r="V22" s="9">
        <f>_xlfn.COVARIANCE.P('Data_Matrix (2018)'!$P$2:$P$67,'Data_Matrix (2018)'!V$2:V$67)</f>
        <v>4858.0151129527803</v>
      </c>
      <c r="W22" s="9">
        <f>_xlfn.COVARIANCE.P('Data_Matrix (2018)'!$P$2:$P$67,'Data_Matrix (2018)'!W$2:W$67)</f>
        <v>1500.3925167209386</v>
      </c>
      <c r="X22" s="9">
        <f>_xlfn.COVARIANCE.P('Data_Matrix (2018)'!$P$2:$P$67,'Data_Matrix (2018)'!X$2:X$67)</f>
        <v>2232.3602183589828</v>
      </c>
      <c r="Y22" s="9">
        <f>_xlfn.COVARIANCE.P('Data_Matrix (2018)'!$P$2:$P$67,'Data_Matrix (2018)'!Y$2:Y$67)</f>
        <v>1730.5992843119714</v>
      </c>
      <c r="Z22" s="9">
        <f>_xlfn.COVARIANCE.P('Data_Matrix (2018)'!$P$2:$P$67,'Data_Matrix (2018)'!Z$2:Z$67)</f>
        <v>634.21010449476864</v>
      </c>
      <c r="AA22" s="9">
        <f>_xlfn.COVARIANCE.P('Data_Matrix (2018)'!$P$2:$P$67,'Data_Matrix (2018)'!AA$2:AA$67)</f>
        <v>332.46141430733769</v>
      </c>
      <c r="AB22" s="9">
        <f>_xlfn.COVARIANCE.P('Data_Matrix (2018)'!$P$2:$P$67,'Data_Matrix (2018)'!AB$2:AB$67)</f>
        <v>-35.784534523703094</v>
      </c>
      <c r="AC22" s="9">
        <f>_xlfn.COVARIANCE.P('Data_Matrix (2018)'!$P$2:$P$67,'Data_Matrix (2018)'!AC$2:AC$67)</f>
        <v>389.13272466692132</v>
      </c>
      <c r="AD22" s="9">
        <f>_xlfn.COVARIANCE.P('Data_Matrix (2018)'!$P$2:$P$67,'Data_Matrix (2018)'!AD$2:AD$67)</f>
        <v>271.70607318614691</v>
      </c>
      <c r="AE22" s="9">
        <f>_xlfn.COVARIANCE.P('Data_Matrix (2018)'!$P$2:$P$67,'Data_Matrix (2018)'!AE$2:AE$67)</f>
        <v>194.43497054649609</v>
      </c>
      <c r="AF22" s="9">
        <f>_xlfn.COVARIANCE.P('Data_Matrix (2018)'!$P$2:$P$67,'Data_Matrix (2018)'!AF$2:AF$67)</f>
        <v>188.11370701655937</v>
      </c>
      <c r="AG22" s="9">
        <f>_xlfn.COVARIANCE.P('Data_Matrix (2018)'!$P$2:$P$67,'Data_Matrix (2018)'!AG$2:AG$67)</f>
        <v>527.3063005032875</v>
      </c>
      <c r="AH22" s="9">
        <f>_xlfn.COVARIANCE.P('Data_Matrix (2018)'!$P$2:$P$67,'Data_Matrix (2018)'!AH$2:AH$67)</f>
        <v>154.70541402902774</v>
      </c>
      <c r="AI22" s="9">
        <f>_xlfn.COVARIANCE.P('Data_Matrix (2018)'!$P$2:$P$67,'Data_Matrix (2018)'!AI$2:AI$67)</f>
        <v>64.397565247901426</v>
      </c>
      <c r="AJ22" s="9">
        <f>_xlfn.COVARIANCE.P('Data_Matrix (2018)'!$P$2:$P$67,'Data_Matrix (2018)'!AJ$2:AJ$67)</f>
        <v>96.423565709491015</v>
      </c>
      <c r="AK22" s="9">
        <f>_xlfn.COVARIANCE.P('Data_Matrix (2018)'!$P$2:$P$67,'Data_Matrix (2018)'!AK$2:AK$67)</f>
        <v>285.00632230010626</v>
      </c>
      <c r="AL22" s="9">
        <f>_xlfn.COVARIANCE.P('Data_Matrix (2018)'!$P$2:$P$67,'Data_Matrix (2018)'!AL$2:AL$67)</f>
        <v>651.81809153290544</v>
      </c>
      <c r="AM22" s="9">
        <f>_xlfn.COVARIANCE.P('Data_Matrix (2018)'!$P$2:$P$67,'Data_Matrix (2018)'!AM$2:AM$67)</f>
        <v>32.64371621942955</v>
      </c>
      <c r="AN22" s="9">
        <f>_xlfn.COVARIANCE.P('Data_Matrix (2018)'!$P$2:$P$67,'Data_Matrix (2018)'!AN$2:AN$67)</f>
        <v>-115.41235686797259</v>
      </c>
      <c r="AO22" s="9">
        <f>_xlfn.COVARIANCE.P('Data_Matrix (2018)'!$P$2:$P$67,'Data_Matrix (2018)'!AO$2:AO$67)</f>
        <v>104.89204912675869</v>
      </c>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row>
    <row r="23" spans="2:67" x14ac:dyDescent="0.2">
      <c r="B23" s="9">
        <f>_xlfn.COVARIANCE.P('Data_Matrix (2018)'!$Q$2:$Q$67,'Data_Matrix (2018)'!B$2:B$67)</f>
        <v>530480.06214748893</v>
      </c>
      <c r="C23" s="9">
        <f>_xlfn.COVARIANCE.P('Data_Matrix (2018)'!$Q$2:$Q$67,'Data_Matrix (2018)'!C$2:C$67)</f>
        <v>574466.75255595066</v>
      </c>
      <c r="D23" s="9">
        <f>_xlfn.COVARIANCE.P('Data_Matrix (2018)'!$Q$2:$Q$67,'Data_Matrix (2018)'!D$2:D$67)</f>
        <v>375538.13101247163</v>
      </c>
      <c r="E23" s="9">
        <f>_xlfn.COVARIANCE.P('Data_Matrix (2018)'!$Q$2:$Q$67,'Data_Matrix (2018)'!E$2:E$67)</f>
        <v>217552.41936626766</v>
      </c>
      <c r="F23" s="9">
        <f>_xlfn.COVARIANCE.P('Data_Matrix (2018)'!$Q$2:$Q$67,'Data_Matrix (2018)'!F$2:F$67)</f>
        <v>154832.02531264871</v>
      </c>
      <c r="G23" s="9">
        <f>_xlfn.COVARIANCE.P('Data_Matrix (2018)'!$Q$2:$Q$67,'Data_Matrix (2018)'!G$2:G$67)</f>
        <v>267708.21374792838</v>
      </c>
      <c r="H23" s="9">
        <f>_xlfn.COVARIANCE.P('Data_Matrix (2018)'!$Q$2:$Q$67,'Data_Matrix (2018)'!H$2:H$67)</f>
        <v>156320.18957454624</v>
      </c>
      <c r="I23" s="9">
        <f>_xlfn.COVARIANCE.P('Data_Matrix (2018)'!$Q$2:$Q$67,'Data_Matrix (2018)'!I$2:I$67)</f>
        <v>96951.308006147883</v>
      </c>
      <c r="J23" s="9">
        <f>_xlfn.COVARIANCE.P('Data_Matrix (2018)'!$Q$2:$Q$67,'Data_Matrix (2018)'!J$2:J$67)</f>
        <v>45662.381579557637</v>
      </c>
      <c r="K23" s="9">
        <f>_xlfn.COVARIANCE.P('Data_Matrix (2018)'!$Q$2:$Q$67,'Data_Matrix (2018)'!K$2:K$67)</f>
        <v>69627.823153321922</v>
      </c>
      <c r="L23" s="9">
        <f>_xlfn.COVARIANCE.P('Data_Matrix (2018)'!$Q$2:$Q$67,'Data_Matrix (2018)'!L$2:L$67)</f>
        <v>63852.367442509953</v>
      </c>
      <c r="M23" s="9">
        <f>_xlfn.COVARIANCE.P('Data_Matrix (2018)'!$Q$2:$Q$67,'Data_Matrix (2018)'!M$2:M$67)</f>
        <v>54751.141460502462</v>
      </c>
      <c r="N23" s="9">
        <f>_xlfn.COVARIANCE.P('Data_Matrix (2018)'!$Q$2:$Q$67,'Data_Matrix (2018)'!N$2:N$67)</f>
        <v>50588.963694290542</v>
      </c>
      <c r="O23" s="9">
        <f>_xlfn.COVARIANCE.P('Data_Matrix (2018)'!$Q$2:$Q$67,'Data_Matrix (2018)'!O$2:O$67)</f>
        <v>29465.860102290255</v>
      </c>
      <c r="P23" s="9">
        <f>_xlfn.COVARIANCE.P('Data_Matrix (2018)'!$Q$2:$Q$67,'Data_Matrix (2018)'!P$2:P$67)</f>
        <v>5263.1701636835542</v>
      </c>
      <c r="Q23" s="9">
        <f>_xlfn.COVARIANCE.P('Data_Matrix (2018)'!$Q$2:$Q$67,'Data_Matrix (2018)'!Q$2:Q$67)</f>
        <v>35149.513106147308</v>
      </c>
      <c r="R23" s="9">
        <f>_xlfn.COVARIANCE.P('Data_Matrix (2018)'!$Q$2:$Q$67,'Data_Matrix (2018)'!R$2:R$67)</f>
        <v>40708.005933416527</v>
      </c>
      <c r="S23" s="9">
        <f>_xlfn.COVARIANCE.P('Data_Matrix (2018)'!$Q$2:$Q$67,'Data_Matrix (2018)'!S$2:S$67)</f>
        <v>20693.923340266982</v>
      </c>
      <c r="T23" s="9">
        <f>_xlfn.COVARIANCE.P('Data_Matrix (2018)'!$Q$2:$Q$67,'Data_Matrix (2018)'!T$2:T$67)</f>
        <v>11904.157094059728</v>
      </c>
      <c r="U23" s="9">
        <f>_xlfn.COVARIANCE.P('Data_Matrix (2018)'!$Q$2:$Q$67,'Data_Matrix (2018)'!U$2:U$67)</f>
        <v>9005.9982582120556</v>
      </c>
      <c r="V23" s="9">
        <f>_xlfn.COVARIANCE.P('Data_Matrix (2018)'!$Q$2:$Q$67,'Data_Matrix (2018)'!V$2:V$67)</f>
        <v>4185.6830082959059</v>
      </c>
      <c r="W23" s="9">
        <f>_xlfn.COVARIANCE.P('Data_Matrix (2018)'!$Q$2:$Q$67,'Data_Matrix (2018)'!W$2:W$67)</f>
        <v>3690.0764815664588</v>
      </c>
      <c r="X23" s="9">
        <f>_xlfn.COVARIANCE.P('Data_Matrix (2018)'!$Q$2:$Q$67,'Data_Matrix (2018)'!X$2:X$67)</f>
        <v>4799.6195425698761</v>
      </c>
      <c r="Y23" s="9">
        <f>_xlfn.COVARIANCE.P('Data_Matrix (2018)'!$Q$2:$Q$67,'Data_Matrix (2018)'!Y$2:Y$67)</f>
        <v>5607.8677588634673</v>
      </c>
      <c r="Z23" s="9">
        <f>_xlfn.COVARIANCE.P('Data_Matrix (2018)'!$Q$2:$Q$67,'Data_Matrix (2018)'!Z$2:Z$67)</f>
        <v>4164.7606857689207</v>
      </c>
      <c r="AA23" s="9">
        <f>_xlfn.COVARIANCE.P('Data_Matrix (2018)'!$Q$2:$Q$67,'Data_Matrix (2018)'!AA$2:AA$67)</f>
        <v>2315.5423780395404</v>
      </c>
      <c r="AB23" s="9">
        <f>_xlfn.COVARIANCE.P('Data_Matrix (2018)'!$Q$2:$Q$67,'Data_Matrix (2018)'!AB$2:AB$67)</f>
        <v>576.36458423622184</v>
      </c>
      <c r="AC23" s="9">
        <f>_xlfn.COVARIANCE.P('Data_Matrix (2018)'!$Q$2:$Q$67,'Data_Matrix (2018)'!AC$2:AC$67)</f>
        <v>657.94390425664642</v>
      </c>
      <c r="AD23" s="9">
        <f>_xlfn.COVARIANCE.P('Data_Matrix (2018)'!$Q$2:$Q$67,'Data_Matrix (2018)'!AD$2:AD$67)</f>
        <v>918.31528548762753</v>
      </c>
      <c r="AE23" s="9">
        <f>_xlfn.COVARIANCE.P('Data_Matrix (2018)'!$Q$2:$Q$67,'Data_Matrix (2018)'!AE$2:AE$67)</f>
        <v>237.09204858732613</v>
      </c>
      <c r="AF23" s="9">
        <f>_xlfn.COVARIANCE.P('Data_Matrix (2018)'!$Q$2:$Q$67,'Data_Matrix (2018)'!AF$2:AF$67)</f>
        <v>501.47865511909561</v>
      </c>
      <c r="AG23" s="9">
        <f>_xlfn.COVARIANCE.P('Data_Matrix (2018)'!$Q$2:$Q$67,'Data_Matrix (2018)'!AG$2:AG$67)</f>
        <v>404.27632551059907</v>
      </c>
      <c r="AH23" s="9">
        <f>_xlfn.COVARIANCE.P('Data_Matrix (2018)'!$Q$2:$Q$67,'Data_Matrix (2018)'!AH$2:AH$67)</f>
        <v>79.897890176263985</v>
      </c>
      <c r="AI23" s="9">
        <f>_xlfn.COVARIANCE.P('Data_Matrix (2018)'!$Q$2:$Q$67,'Data_Matrix (2018)'!AI$2:AI$67)</f>
        <v>456.74288368767003</v>
      </c>
      <c r="AJ23" s="9">
        <f>_xlfn.COVARIANCE.P('Data_Matrix (2018)'!$Q$2:$Q$67,'Data_Matrix (2018)'!AJ$2:AJ$67)</f>
        <v>358.91040663437769</v>
      </c>
      <c r="AK23" s="9">
        <f>_xlfn.COVARIANCE.P('Data_Matrix (2018)'!$Q$2:$Q$67,'Data_Matrix (2018)'!AK$2:AK$67)</f>
        <v>268.61605865814539</v>
      </c>
      <c r="AL23" s="9">
        <f>_xlfn.COVARIANCE.P('Data_Matrix (2018)'!$Q$2:$Q$67,'Data_Matrix (2018)'!AL$2:AL$67)</f>
        <v>-613.47479940587982</v>
      </c>
      <c r="AM23" s="9">
        <f>_xlfn.COVARIANCE.P('Data_Matrix (2018)'!$Q$2:$Q$67,'Data_Matrix (2018)'!AM$2:AM$67)</f>
        <v>287.41758990176555</v>
      </c>
      <c r="AN23" s="9">
        <f>_xlfn.COVARIANCE.P('Data_Matrix (2018)'!$Q$2:$Q$67,'Data_Matrix (2018)'!AN$2:AN$67)</f>
        <v>97.824063813726198</v>
      </c>
      <c r="AO23" s="9">
        <f>_xlfn.COVARIANCE.P('Data_Matrix (2018)'!$Q$2:$Q$67,'Data_Matrix (2018)'!AO$2:AO$67)</f>
        <v>313.88611158227621</v>
      </c>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row>
    <row r="24" spans="2:67" x14ac:dyDescent="0.2">
      <c r="B24" s="9">
        <f>_xlfn.COVARIANCE.P('Data_Matrix (2018)'!$R$2:$R$67,'Data_Matrix (2018)'!B$2:B$67)</f>
        <v>589462.52578012564</v>
      </c>
      <c r="C24" s="9">
        <f>_xlfn.COVARIANCE.P('Data_Matrix (2018)'!$R$2:$R$67,'Data_Matrix (2018)'!C$2:C$67)</f>
        <v>721646.60921481939</v>
      </c>
      <c r="D24" s="9">
        <f>_xlfn.COVARIANCE.P('Data_Matrix (2018)'!$R$2:$R$67,'Data_Matrix (2018)'!D$2:D$67)</f>
        <v>451352.92899997433</v>
      </c>
      <c r="E24" s="9">
        <f>_xlfn.COVARIANCE.P('Data_Matrix (2018)'!$R$2:$R$67,'Data_Matrix (2018)'!E$2:E$67)</f>
        <v>237957.70144182025</v>
      </c>
      <c r="F24" s="9">
        <f>_xlfn.COVARIANCE.P('Data_Matrix (2018)'!$R$2:$R$67,'Data_Matrix (2018)'!F$2:F$67)</f>
        <v>161660.77161312918</v>
      </c>
      <c r="G24" s="9">
        <f>_xlfn.COVARIANCE.P('Data_Matrix (2018)'!$R$2:$R$67,'Data_Matrix (2018)'!G$2:G$67)</f>
        <v>321800.61572618375</v>
      </c>
      <c r="H24" s="9">
        <f>_xlfn.COVARIANCE.P('Data_Matrix (2018)'!$R$2:$R$67,'Data_Matrix (2018)'!H$2:H$67)</f>
        <v>176534.21081476944</v>
      </c>
      <c r="I24" s="9">
        <f>_xlfn.COVARIANCE.P('Data_Matrix (2018)'!$R$2:$R$67,'Data_Matrix (2018)'!I$2:I$67)</f>
        <v>100519.89550870845</v>
      </c>
      <c r="J24" s="9">
        <f>_xlfn.COVARIANCE.P('Data_Matrix (2018)'!$R$2:$R$67,'Data_Matrix (2018)'!J$2:J$67)</f>
        <v>46851.309155526251</v>
      </c>
      <c r="K24" s="9">
        <f>_xlfn.COVARIANCE.P('Data_Matrix (2018)'!$R$2:$R$67,'Data_Matrix (2018)'!K$2:K$67)</f>
        <v>79315.621652131013</v>
      </c>
      <c r="L24" s="9">
        <f>_xlfn.COVARIANCE.P('Data_Matrix (2018)'!$R$2:$R$67,'Data_Matrix (2018)'!L$2:L$67)</f>
        <v>82033.354811475176</v>
      </c>
      <c r="M24" s="9">
        <f>_xlfn.COVARIANCE.P('Data_Matrix (2018)'!$R$2:$R$67,'Data_Matrix (2018)'!M$2:M$67)</f>
        <v>63028.476672979945</v>
      </c>
      <c r="N24" s="9">
        <f>_xlfn.COVARIANCE.P('Data_Matrix (2018)'!$R$2:$R$67,'Data_Matrix (2018)'!N$2:N$67)</f>
        <v>62908.244009546463</v>
      </c>
      <c r="O24" s="9">
        <f>_xlfn.COVARIANCE.P('Data_Matrix (2018)'!$R$2:$R$67,'Data_Matrix (2018)'!O$2:O$67)</f>
        <v>37109.28865868428</v>
      </c>
      <c r="P24" s="9">
        <f>_xlfn.COVARIANCE.P('Data_Matrix (2018)'!$R$2:$R$67,'Data_Matrix (2018)'!P$2:P$67)</f>
        <v>4288.2662760484927</v>
      </c>
      <c r="Q24" s="9">
        <f>_xlfn.COVARIANCE.P('Data_Matrix (2018)'!$R$2:$R$67,'Data_Matrix (2018)'!Q$2:Q$67)</f>
        <v>40708.005933416527</v>
      </c>
      <c r="R24" s="9">
        <f>_xlfn.COVARIANCE.P('Data_Matrix (2018)'!$R$2:$R$67,'Data_Matrix (2018)'!R$2:R$67)</f>
        <v>57880.910057581037</v>
      </c>
      <c r="S24" s="9">
        <f>_xlfn.COVARIANCE.P('Data_Matrix (2018)'!$R$2:$R$67,'Data_Matrix (2018)'!S$2:S$67)</f>
        <v>23702.785318833456</v>
      </c>
      <c r="T24" s="9">
        <f>_xlfn.COVARIANCE.P('Data_Matrix (2018)'!$R$2:$R$67,'Data_Matrix (2018)'!T$2:T$67)</f>
        <v>14513.032319012855</v>
      </c>
      <c r="U24" s="9">
        <f>_xlfn.COVARIANCE.P('Data_Matrix (2018)'!$R$2:$R$67,'Data_Matrix (2018)'!U$2:U$67)</f>
        <v>11413.427966847976</v>
      </c>
      <c r="V24" s="9">
        <f>_xlfn.COVARIANCE.P('Data_Matrix (2018)'!$R$2:$R$67,'Data_Matrix (2018)'!V$2:V$67)</f>
        <v>5386.4139140261905</v>
      </c>
      <c r="W24" s="9">
        <f>_xlfn.COVARIANCE.P('Data_Matrix (2018)'!$R$2:$R$67,'Data_Matrix (2018)'!W$2:W$67)</f>
        <v>4905.8702633923867</v>
      </c>
      <c r="X24" s="9">
        <f>_xlfn.COVARIANCE.P('Data_Matrix (2018)'!$R$2:$R$67,'Data_Matrix (2018)'!X$2:X$67)</f>
        <v>4941.122464666737</v>
      </c>
      <c r="Y24" s="9">
        <f>_xlfn.COVARIANCE.P('Data_Matrix (2018)'!$R$2:$R$67,'Data_Matrix (2018)'!Y$2:Y$67)</f>
        <v>6181.6559628540363</v>
      </c>
      <c r="Z24" s="9">
        <f>_xlfn.COVARIANCE.P('Data_Matrix (2018)'!$R$2:$R$67,'Data_Matrix (2018)'!Z$2:Z$67)</f>
        <v>4911.2443452711923</v>
      </c>
      <c r="AA24" s="9">
        <f>_xlfn.COVARIANCE.P('Data_Matrix (2018)'!$R$2:$R$67,'Data_Matrix (2018)'!AA$2:AA$67)</f>
        <v>3151.9364154719678</v>
      </c>
      <c r="AB24" s="9">
        <f>_xlfn.COVARIANCE.P('Data_Matrix (2018)'!$R$2:$R$67,'Data_Matrix (2018)'!AB$2:AB$67)</f>
        <v>800.57721329309584</v>
      </c>
      <c r="AC24" s="9">
        <f>_xlfn.COVARIANCE.P('Data_Matrix (2018)'!$R$2:$R$67,'Data_Matrix (2018)'!AC$2:AC$67)</f>
        <v>657.36387745431284</v>
      </c>
      <c r="AD24" s="9">
        <f>_xlfn.COVARIANCE.P('Data_Matrix (2018)'!$R$2:$R$67,'Data_Matrix (2018)'!AD$2:AD$67)</f>
        <v>1253.9567997953395</v>
      </c>
      <c r="AE24" s="9">
        <f>_xlfn.COVARIANCE.P('Data_Matrix (2018)'!$R$2:$R$67,'Data_Matrix (2018)'!AE$2:AE$67)</f>
        <v>188.65954920561691</v>
      </c>
      <c r="AF24" s="9">
        <f>_xlfn.COVARIANCE.P('Data_Matrix (2018)'!$R$2:$R$67,'Data_Matrix (2018)'!AF$2:AF$67)</f>
        <v>592.10965940088056</v>
      </c>
      <c r="AG24" s="9">
        <f>_xlfn.COVARIANCE.P('Data_Matrix (2018)'!$R$2:$R$67,'Data_Matrix (2018)'!AG$2:AG$67)</f>
        <v>337.95775386712376</v>
      </c>
      <c r="AH24" s="9">
        <f>_xlfn.COVARIANCE.P('Data_Matrix (2018)'!$R$2:$R$67,'Data_Matrix (2018)'!AH$2:AH$67)</f>
        <v>-30.255022960508395</v>
      </c>
      <c r="AI24" s="9">
        <f>_xlfn.COVARIANCE.P('Data_Matrix (2018)'!$R$2:$R$67,'Data_Matrix (2018)'!AI$2:AI$67)</f>
        <v>599.1824051074185</v>
      </c>
      <c r="AJ24" s="9">
        <f>_xlfn.COVARIANCE.P('Data_Matrix (2018)'!$R$2:$R$67,'Data_Matrix (2018)'!AJ$2:AJ$67)</f>
        <v>445.81057835083607</v>
      </c>
      <c r="AK24" s="9">
        <f>_xlfn.COVARIANCE.P('Data_Matrix (2018)'!$R$2:$R$67,'Data_Matrix (2018)'!AK$2:AK$67)</f>
        <v>312.07432143349325</v>
      </c>
      <c r="AL24" s="9">
        <f>_xlfn.COVARIANCE.P('Data_Matrix (2018)'!$R$2:$R$67,'Data_Matrix (2018)'!AL$2:AL$67)</f>
        <v>-641.26682026868434</v>
      </c>
      <c r="AM24" s="9">
        <f>_xlfn.COVARIANCE.P('Data_Matrix (2018)'!$R$2:$R$67,'Data_Matrix (2018)'!AM$2:AM$67)</f>
        <v>262.21227366394459</v>
      </c>
      <c r="AN24" s="9">
        <f>_xlfn.COVARIANCE.P('Data_Matrix (2018)'!$R$2:$R$67,'Data_Matrix (2018)'!AN$2:AN$67)</f>
        <v>3.085741744711386</v>
      </c>
      <c r="AO24" s="9">
        <f>_xlfn.COVARIANCE.P('Data_Matrix (2018)'!$R$2:$R$67,'Data_Matrix (2018)'!AO$2:AO$67)</f>
        <v>361.27112692892121</v>
      </c>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row>
    <row r="25" spans="2:67" x14ac:dyDescent="0.2">
      <c r="B25" s="9">
        <f>_xlfn.COVARIANCE.P('Data_Matrix (2018)'!$S$2:$S$67,'Data_Matrix (2018)'!B$2:B$67)</f>
        <v>291181.22292077832</v>
      </c>
      <c r="C25" s="9">
        <f>_xlfn.COVARIANCE.P('Data_Matrix (2018)'!$S$2:$S$67,'Data_Matrix (2018)'!C$2:C$67)</f>
        <v>381081.99390522484</v>
      </c>
      <c r="D25" s="9">
        <f>_xlfn.COVARIANCE.P('Data_Matrix (2018)'!$S$2:$S$67,'Data_Matrix (2018)'!D$2:D$67)</f>
        <v>260255.38647650424</v>
      </c>
      <c r="E25" s="9">
        <f>_xlfn.COVARIANCE.P('Data_Matrix (2018)'!$S$2:$S$67,'Data_Matrix (2018)'!E$2:E$67)</f>
        <v>169059.92469205227</v>
      </c>
      <c r="F25" s="9">
        <f>_xlfn.COVARIANCE.P('Data_Matrix (2018)'!$S$2:$S$67,'Data_Matrix (2018)'!F$2:F$67)</f>
        <v>106476.08784718224</v>
      </c>
      <c r="G25" s="9">
        <f>_xlfn.COVARIANCE.P('Data_Matrix (2018)'!$S$2:$S$67,'Data_Matrix (2018)'!G$2:G$67)</f>
        <v>190299.70238579161</v>
      </c>
      <c r="H25" s="9">
        <f>_xlfn.COVARIANCE.P('Data_Matrix (2018)'!$S$2:$S$67,'Data_Matrix (2018)'!H$2:H$67)</f>
        <v>106711.47387899073</v>
      </c>
      <c r="I25" s="9">
        <f>_xlfn.COVARIANCE.P('Data_Matrix (2018)'!$S$2:$S$67,'Data_Matrix (2018)'!I$2:I$67)</f>
        <v>75038.26059120179</v>
      </c>
      <c r="J25" s="9">
        <f>_xlfn.COVARIANCE.P('Data_Matrix (2018)'!$S$2:$S$67,'Data_Matrix (2018)'!J$2:J$67)</f>
        <v>35576.132416275272</v>
      </c>
      <c r="K25" s="9">
        <f>_xlfn.COVARIANCE.P('Data_Matrix (2018)'!$S$2:$S$67,'Data_Matrix (2018)'!K$2:K$67)</f>
        <v>42559.380986484357</v>
      </c>
      <c r="L25" s="9">
        <f>_xlfn.COVARIANCE.P('Data_Matrix (2018)'!$S$2:$S$67,'Data_Matrix (2018)'!L$2:L$67)</f>
        <v>41436.843941629166</v>
      </c>
      <c r="M25" s="9">
        <f>_xlfn.COVARIANCE.P('Data_Matrix (2018)'!$S$2:$S$67,'Data_Matrix (2018)'!M$2:M$67)</f>
        <v>43825.800605684184</v>
      </c>
      <c r="N25" s="9">
        <f>_xlfn.COVARIANCE.P('Data_Matrix (2018)'!$S$2:$S$67,'Data_Matrix (2018)'!N$2:N$67)</f>
        <v>34913.987319735534</v>
      </c>
      <c r="O25" s="9">
        <f>_xlfn.COVARIANCE.P('Data_Matrix (2018)'!$S$2:$S$67,'Data_Matrix (2018)'!O$2:O$67)</f>
        <v>18085.420102810429</v>
      </c>
      <c r="P25" s="9">
        <f>_xlfn.COVARIANCE.P('Data_Matrix (2018)'!$S$2:$S$67,'Data_Matrix (2018)'!P$2:P$67)</f>
        <v>2379.1703084094411</v>
      </c>
      <c r="Q25" s="9">
        <f>_xlfn.COVARIANCE.P('Data_Matrix (2018)'!$S$2:$S$67,'Data_Matrix (2018)'!Q$2:Q$67)</f>
        <v>20693.923340266982</v>
      </c>
      <c r="R25" s="9">
        <f>_xlfn.COVARIANCE.P('Data_Matrix (2018)'!$S$2:$S$67,'Data_Matrix (2018)'!R$2:R$67)</f>
        <v>23702.785318833456</v>
      </c>
      <c r="S25" s="9">
        <f>_xlfn.COVARIANCE.P('Data_Matrix (2018)'!$S$2:$S$67,'Data_Matrix (2018)'!S$2:S$67)</f>
        <v>17275.038784362208</v>
      </c>
      <c r="T25" s="9">
        <f>_xlfn.COVARIANCE.P('Data_Matrix (2018)'!$S$2:$S$67,'Data_Matrix (2018)'!T$2:T$67)</f>
        <v>7726.4233878957575</v>
      </c>
      <c r="U25" s="9">
        <f>_xlfn.COVARIANCE.P('Data_Matrix (2018)'!$S$2:$S$67,'Data_Matrix (2018)'!U$2:U$67)</f>
        <v>5416.2168572467708</v>
      </c>
      <c r="V25" s="9">
        <f>_xlfn.COVARIANCE.P('Data_Matrix (2018)'!$S$2:$S$67,'Data_Matrix (2018)'!V$2:V$67)</f>
        <v>1871.8123335551229</v>
      </c>
      <c r="W25" s="9">
        <f>_xlfn.COVARIANCE.P('Data_Matrix (2018)'!$S$2:$S$67,'Data_Matrix (2018)'!W$2:W$67)</f>
        <v>2510.4352815189995</v>
      </c>
      <c r="X25" s="9">
        <f>_xlfn.COVARIANCE.P('Data_Matrix (2018)'!$S$2:$S$67,'Data_Matrix (2018)'!X$2:X$67)</f>
        <v>3741.7724209179496</v>
      </c>
      <c r="Y25" s="9">
        <f>_xlfn.COVARIANCE.P('Data_Matrix (2018)'!$S$2:$S$67,'Data_Matrix (2018)'!Y$2:Y$67)</f>
        <v>3522.6916573971712</v>
      </c>
      <c r="Z25" s="9">
        <f>_xlfn.COVARIANCE.P('Data_Matrix (2018)'!$S$2:$S$67,'Data_Matrix (2018)'!Z$2:Z$67)</f>
        <v>2658.3347313163017</v>
      </c>
      <c r="AA25" s="9">
        <f>_xlfn.COVARIANCE.P('Data_Matrix (2018)'!$S$2:$S$67,'Data_Matrix (2018)'!AA$2:AA$67)</f>
        <v>2122.3907476318905</v>
      </c>
      <c r="AB25" s="9">
        <f>_xlfn.COVARIANCE.P('Data_Matrix (2018)'!$S$2:$S$67,'Data_Matrix (2018)'!AB$2:AB$67)</f>
        <v>432.79875430762968</v>
      </c>
      <c r="AC25" s="9">
        <f>_xlfn.COVARIANCE.P('Data_Matrix (2018)'!$S$2:$S$67,'Data_Matrix (2018)'!AC$2:AC$67)</f>
        <v>460.98119617495752</v>
      </c>
      <c r="AD25" s="9">
        <f>_xlfn.COVARIANCE.P('Data_Matrix (2018)'!$S$2:$S$67,'Data_Matrix (2018)'!AD$2:AD$67)</f>
        <v>659.04346000244811</v>
      </c>
      <c r="AE25" s="9">
        <f>_xlfn.COVARIANCE.P('Data_Matrix (2018)'!$S$2:$S$67,'Data_Matrix (2018)'!AE$2:AE$67)</f>
        <v>162.83332440717365</v>
      </c>
      <c r="AF25" s="9">
        <f>_xlfn.COVARIANCE.P('Data_Matrix (2018)'!$S$2:$S$67,'Data_Matrix (2018)'!AF$2:AF$67)</f>
        <v>346.96393489021551</v>
      </c>
      <c r="AG25" s="9">
        <f>_xlfn.COVARIANCE.P('Data_Matrix (2018)'!$S$2:$S$67,'Data_Matrix (2018)'!AG$2:AG$67)</f>
        <v>340.23040913010954</v>
      </c>
      <c r="AH25" s="9">
        <f>_xlfn.COVARIANCE.P('Data_Matrix (2018)'!$S$2:$S$67,'Data_Matrix (2018)'!AH$2:AH$67)</f>
        <v>18.175305591045522</v>
      </c>
      <c r="AI25" s="9">
        <f>_xlfn.COVARIANCE.P('Data_Matrix (2018)'!$S$2:$S$67,'Data_Matrix (2018)'!AI$2:AI$67)</f>
        <v>343.46334564763737</v>
      </c>
      <c r="AJ25" s="9">
        <f>_xlfn.COVARIANCE.P('Data_Matrix (2018)'!$S$2:$S$67,'Data_Matrix (2018)'!AJ$2:AJ$67)</f>
        <v>212.47900169243536</v>
      </c>
      <c r="AK25" s="9">
        <f>_xlfn.COVARIANCE.P('Data_Matrix (2018)'!$S$2:$S$67,'Data_Matrix (2018)'!AK$2:AK$67)</f>
        <v>181.67030090134423</v>
      </c>
      <c r="AL25" s="9">
        <f>_xlfn.COVARIANCE.P('Data_Matrix (2018)'!$S$2:$S$67,'Data_Matrix (2018)'!AL$2:AL$67)</f>
        <v>-563.12690616063867</v>
      </c>
      <c r="AM25" s="9">
        <f>_xlfn.COVARIANCE.P('Data_Matrix (2018)'!$S$2:$S$67,'Data_Matrix (2018)'!AM$2:AM$67)</f>
        <v>188.21947274335503</v>
      </c>
      <c r="AN25" s="9">
        <f>_xlfn.COVARIANCE.P('Data_Matrix (2018)'!$S$2:$S$67,'Data_Matrix (2018)'!AN$2:AN$67)</f>
        <v>52.368505985830858</v>
      </c>
      <c r="AO25" s="9">
        <f>_xlfn.COVARIANCE.P('Data_Matrix (2018)'!$S$2:$S$67,'Data_Matrix (2018)'!AO$2:AO$67)</f>
        <v>195.90308875216741</v>
      </c>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row>
    <row r="26" spans="2:67" x14ac:dyDescent="0.2">
      <c r="B26" s="9">
        <f>_xlfn.COVARIANCE.P('Data_Matrix (2018)'!$T$2:$T$67,'Data_Matrix (2018)'!B$2:B$67)</f>
        <v>257515.87735182763</v>
      </c>
      <c r="C26" s="9">
        <f>_xlfn.COVARIANCE.P('Data_Matrix (2018)'!$T$2:$T$67,'Data_Matrix (2018)'!C$2:C$67)</f>
        <v>290113.39909977431</v>
      </c>
      <c r="D26" s="9">
        <f>_xlfn.COVARIANCE.P('Data_Matrix (2018)'!$T$2:$T$67,'Data_Matrix (2018)'!D$2:D$67)</f>
        <v>197787.48727426142</v>
      </c>
      <c r="E26" s="9">
        <f>_xlfn.COVARIANCE.P('Data_Matrix (2018)'!$T$2:$T$67,'Data_Matrix (2018)'!E$2:E$67)</f>
        <v>154363.60353031699</v>
      </c>
      <c r="F26" s="9">
        <f>_xlfn.COVARIANCE.P('Data_Matrix (2018)'!$T$2:$T$67,'Data_Matrix (2018)'!F$2:F$67)</f>
        <v>82071.448496403958</v>
      </c>
      <c r="G26" s="9">
        <f>_xlfn.COVARIANCE.P('Data_Matrix (2018)'!$T$2:$T$67,'Data_Matrix (2018)'!G$2:G$67)</f>
        <v>148445.95885255793</v>
      </c>
      <c r="H26" s="9">
        <f>_xlfn.COVARIANCE.P('Data_Matrix (2018)'!$T$2:$T$67,'Data_Matrix (2018)'!H$2:H$67)</f>
        <v>63140.490820312341</v>
      </c>
      <c r="I26" s="9">
        <f>_xlfn.COVARIANCE.P('Data_Matrix (2018)'!$T$2:$T$67,'Data_Matrix (2018)'!I$2:I$67)</f>
        <v>55564.884671480511</v>
      </c>
      <c r="J26" s="9">
        <f>_xlfn.COVARIANCE.P('Data_Matrix (2018)'!$T$2:$T$67,'Data_Matrix (2018)'!J$2:J$67)</f>
        <v>26327.628804047115</v>
      </c>
      <c r="K26" s="9">
        <f>_xlfn.COVARIANCE.P('Data_Matrix (2018)'!$T$2:$T$67,'Data_Matrix (2018)'!K$2:K$67)</f>
        <v>34755.47648919186</v>
      </c>
      <c r="L26" s="9">
        <f>_xlfn.COVARIANCE.P('Data_Matrix (2018)'!$T$2:$T$67,'Data_Matrix (2018)'!L$2:L$67)</f>
        <v>29113.823376977562</v>
      </c>
      <c r="M26" s="9">
        <f>_xlfn.COVARIANCE.P('Data_Matrix (2018)'!$T$2:$T$67,'Data_Matrix (2018)'!M$2:M$67)</f>
        <v>21191.702953026241</v>
      </c>
      <c r="N26" s="9">
        <f>_xlfn.COVARIANCE.P('Data_Matrix (2018)'!$T$2:$T$67,'Data_Matrix (2018)'!N$2:N$67)</f>
        <v>29671.036038726419</v>
      </c>
      <c r="O26" s="9">
        <f>_xlfn.COVARIANCE.P('Data_Matrix (2018)'!$T$2:$T$67,'Data_Matrix (2018)'!O$2:O$67)</f>
        <v>13697.99988469088</v>
      </c>
      <c r="P26" s="9">
        <f>_xlfn.COVARIANCE.P('Data_Matrix (2018)'!$T$2:$T$67,'Data_Matrix (2018)'!P$2:P$67)</f>
        <v>3298.069652809193</v>
      </c>
      <c r="Q26" s="9">
        <f>_xlfn.COVARIANCE.P('Data_Matrix (2018)'!$T$2:$T$67,'Data_Matrix (2018)'!Q$2:Q$67)</f>
        <v>11904.157094059728</v>
      </c>
      <c r="R26" s="9">
        <f>_xlfn.COVARIANCE.P('Data_Matrix (2018)'!$T$2:$T$67,'Data_Matrix (2018)'!R$2:R$67)</f>
        <v>14513.032319012855</v>
      </c>
      <c r="S26" s="9">
        <f>_xlfn.COVARIANCE.P('Data_Matrix (2018)'!$T$2:$T$67,'Data_Matrix (2018)'!S$2:S$67)</f>
        <v>7726.4233878957575</v>
      </c>
      <c r="T26" s="9">
        <f>_xlfn.COVARIANCE.P('Data_Matrix (2018)'!$T$2:$T$67,'Data_Matrix (2018)'!T$2:T$67)</f>
        <v>6530.6148205702766</v>
      </c>
      <c r="U26" s="9">
        <f>_xlfn.COVARIANCE.P('Data_Matrix (2018)'!$T$2:$T$67,'Data_Matrix (2018)'!U$2:U$67)</f>
        <v>3514.4101297040147</v>
      </c>
      <c r="V26" s="9">
        <f>_xlfn.COVARIANCE.P('Data_Matrix (2018)'!$T$2:$T$67,'Data_Matrix (2018)'!V$2:V$67)</f>
        <v>1964.8545624402334</v>
      </c>
      <c r="W26" s="9">
        <f>_xlfn.COVARIANCE.P('Data_Matrix (2018)'!$T$2:$T$67,'Data_Matrix (2018)'!W$2:W$67)</f>
        <v>2089.7396770685759</v>
      </c>
      <c r="X26" s="9">
        <f>_xlfn.COVARIANCE.P('Data_Matrix (2018)'!$T$2:$T$67,'Data_Matrix (2018)'!X$2:X$67)</f>
        <v>3379.0948610484029</v>
      </c>
      <c r="Y26" s="9">
        <f>_xlfn.COVARIANCE.P('Data_Matrix (2018)'!$T$2:$T$67,'Data_Matrix (2018)'!Y$2:Y$67)</f>
        <v>2576.525984045677</v>
      </c>
      <c r="Z26" s="9">
        <f>_xlfn.COVARIANCE.P('Data_Matrix (2018)'!$T$2:$T$67,'Data_Matrix (2018)'!Z$2:Z$67)</f>
        <v>1741.8303717490282</v>
      </c>
      <c r="AA26" s="9">
        <f>_xlfn.COVARIANCE.P('Data_Matrix (2018)'!$T$2:$T$67,'Data_Matrix (2018)'!AA$2:AA$67)</f>
        <v>1277.3548197100718</v>
      </c>
      <c r="AB26" s="9">
        <f>_xlfn.COVARIANCE.P('Data_Matrix (2018)'!$T$2:$T$67,'Data_Matrix (2018)'!AB$2:AB$67)</f>
        <v>303.76086987159368</v>
      </c>
      <c r="AC26" s="9">
        <f>_xlfn.COVARIANCE.P('Data_Matrix (2018)'!$T$2:$T$67,'Data_Matrix (2018)'!AC$2:AC$67)</f>
        <v>303.54621685788823</v>
      </c>
      <c r="AD26" s="9">
        <f>_xlfn.COVARIANCE.P('Data_Matrix (2018)'!$T$2:$T$67,'Data_Matrix (2018)'!AD$2:AD$67)</f>
        <v>459.5411751360183</v>
      </c>
      <c r="AE26" s="9">
        <f>_xlfn.COVARIANCE.P('Data_Matrix (2018)'!$T$2:$T$67,'Data_Matrix (2018)'!AE$2:AE$67)</f>
        <v>149.62700748925343</v>
      </c>
      <c r="AF26" s="9">
        <f>_xlfn.COVARIANCE.P('Data_Matrix (2018)'!$T$2:$T$67,'Data_Matrix (2018)'!AF$2:AF$67)</f>
        <v>324.67889014283344</v>
      </c>
      <c r="AG26" s="9">
        <f>_xlfn.COVARIANCE.P('Data_Matrix (2018)'!$T$2:$T$67,'Data_Matrix (2018)'!AG$2:AG$67)</f>
        <v>238.26323448392458</v>
      </c>
      <c r="AH26" s="9">
        <f>_xlfn.COVARIANCE.P('Data_Matrix (2018)'!$T$2:$T$67,'Data_Matrix (2018)'!AH$2:AH$67)</f>
        <v>99.82795566227712</v>
      </c>
      <c r="AI26" s="9">
        <f>_xlfn.COVARIANCE.P('Data_Matrix (2018)'!$T$2:$T$67,'Data_Matrix (2018)'!AI$2:AI$67)</f>
        <v>203.59908810015978</v>
      </c>
      <c r="AJ26" s="9">
        <f>_xlfn.COVARIANCE.P('Data_Matrix (2018)'!$T$2:$T$67,'Data_Matrix (2018)'!AJ$2:AJ$67)</f>
        <v>160.13629361552677</v>
      </c>
      <c r="AK26" s="9">
        <f>_xlfn.COVARIANCE.P('Data_Matrix (2018)'!$T$2:$T$67,'Data_Matrix (2018)'!AK$2:AK$67)</f>
        <v>61.610347498606089</v>
      </c>
      <c r="AL26" s="9">
        <f>_xlfn.COVARIANCE.P('Data_Matrix (2018)'!$T$2:$T$67,'Data_Matrix (2018)'!AL$2:AL$67)</f>
        <v>-259.34697506964909</v>
      </c>
      <c r="AM26" s="9">
        <f>_xlfn.COVARIANCE.P('Data_Matrix (2018)'!$T$2:$T$67,'Data_Matrix (2018)'!AM$2:AM$67)</f>
        <v>130.53197110332923</v>
      </c>
      <c r="AN26" s="9">
        <f>_xlfn.COVARIANCE.P('Data_Matrix (2018)'!$T$2:$T$67,'Data_Matrix (2018)'!AN$2:AN$67)</f>
        <v>68.755319208981902</v>
      </c>
      <c r="AO26" s="9">
        <f>_xlfn.COVARIANCE.P('Data_Matrix (2018)'!$T$2:$T$67,'Data_Matrix (2018)'!AO$2:AO$67)</f>
        <v>108.9024660034886</v>
      </c>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row>
    <row r="27" spans="2:67" x14ac:dyDescent="0.2">
      <c r="B27" s="9">
        <f>_xlfn.COVARIANCE.P('Data_Matrix (2018)'!$U$2:$U$67,'Data_Matrix (2018)'!B$2:B$67)</f>
        <v>139844.29606177859</v>
      </c>
      <c r="C27" s="9">
        <f>_xlfn.COVARIANCE.P('Data_Matrix (2018)'!$U$2:$U$67,'Data_Matrix (2018)'!C$2:C$67)</f>
        <v>182566.23580089351</v>
      </c>
      <c r="D27" s="9">
        <f>_xlfn.COVARIANCE.P('Data_Matrix (2018)'!$U$2:$U$67,'Data_Matrix (2018)'!D$2:D$67)</f>
        <v>105128.21609710978</v>
      </c>
      <c r="E27" s="9">
        <f>_xlfn.COVARIANCE.P('Data_Matrix (2018)'!$U$2:$U$67,'Data_Matrix (2018)'!E$2:E$67)</f>
        <v>77235.052142147353</v>
      </c>
      <c r="F27" s="9">
        <f>_xlfn.COVARIANCE.P('Data_Matrix (2018)'!$U$2:$U$67,'Data_Matrix (2018)'!F$2:F$67)</f>
        <v>51864.62182774445</v>
      </c>
      <c r="G27" s="9">
        <f>_xlfn.COVARIANCE.P('Data_Matrix (2018)'!$U$2:$U$67,'Data_Matrix (2018)'!G$2:G$67)</f>
        <v>81536.671404843088</v>
      </c>
      <c r="H27" s="9">
        <f>_xlfn.COVARIANCE.P('Data_Matrix (2018)'!$U$2:$U$67,'Data_Matrix (2018)'!H$2:H$67)</f>
        <v>32174.095406420514</v>
      </c>
      <c r="I27" s="9">
        <f>_xlfn.COVARIANCE.P('Data_Matrix (2018)'!$U$2:$U$67,'Data_Matrix (2018)'!I$2:I$67)</f>
        <v>29643.010187563024</v>
      </c>
      <c r="J27" s="9">
        <f>_xlfn.COVARIANCE.P('Data_Matrix (2018)'!$U$2:$U$67,'Data_Matrix (2018)'!J$2:J$67)</f>
        <v>13662.303983374528</v>
      </c>
      <c r="K27" s="9">
        <f>_xlfn.COVARIANCE.P('Data_Matrix (2018)'!$U$2:$U$67,'Data_Matrix (2018)'!K$2:K$67)</f>
        <v>21549.722378158312</v>
      </c>
      <c r="L27" s="9">
        <f>_xlfn.COVARIANCE.P('Data_Matrix (2018)'!$U$2:$U$67,'Data_Matrix (2018)'!L$2:L$67)</f>
        <v>19896.303287859584</v>
      </c>
      <c r="M27" s="9">
        <f>_xlfn.COVARIANCE.P('Data_Matrix (2018)'!$U$2:$U$67,'Data_Matrix (2018)'!M$2:M$67)</f>
        <v>15346.617321764546</v>
      </c>
      <c r="N27" s="9">
        <f>_xlfn.COVARIANCE.P('Data_Matrix (2018)'!$U$2:$U$67,'Data_Matrix (2018)'!N$2:N$67)</f>
        <v>15529.789095339826</v>
      </c>
      <c r="O27" s="9">
        <f>_xlfn.COVARIANCE.P('Data_Matrix (2018)'!$U$2:$U$67,'Data_Matrix (2018)'!O$2:O$67)</f>
        <v>8757.6524823960153</v>
      </c>
      <c r="P27" s="9">
        <f>_xlfn.COVARIANCE.P('Data_Matrix (2018)'!$U$2:$U$67,'Data_Matrix (2018)'!P$2:P$67)</f>
        <v>2049.1281045717042</v>
      </c>
      <c r="Q27" s="9">
        <f>_xlfn.COVARIANCE.P('Data_Matrix (2018)'!$U$2:$U$67,'Data_Matrix (2018)'!Q$2:Q$67)</f>
        <v>9005.9982582120556</v>
      </c>
      <c r="R27" s="9">
        <f>_xlfn.COVARIANCE.P('Data_Matrix (2018)'!$U$2:$U$67,'Data_Matrix (2018)'!R$2:R$67)</f>
        <v>11413.427966847976</v>
      </c>
      <c r="S27" s="9">
        <f>_xlfn.COVARIANCE.P('Data_Matrix (2018)'!$U$2:$U$67,'Data_Matrix (2018)'!S$2:S$67)</f>
        <v>5416.2168572467708</v>
      </c>
      <c r="T27" s="9">
        <f>_xlfn.COVARIANCE.P('Data_Matrix (2018)'!$U$2:$U$67,'Data_Matrix (2018)'!T$2:T$67)</f>
        <v>3514.4101297040147</v>
      </c>
      <c r="U27" s="9">
        <f>_xlfn.COVARIANCE.P('Data_Matrix (2018)'!$U$2:$U$67,'Data_Matrix (2018)'!U$2:U$67)</f>
        <v>3243.8558752539639</v>
      </c>
      <c r="V27" s="9">
        <f>_xlfn.COVARIANCE.P('Data_Matrix (2018)'!$U$2:$U$67,'Data_Matrix (2018)'!V$2:V$67)</f>
        <v>2106.1458104629451</v>
      </c>
      <c r="W27" s="9">
        <f>_xlfn.COVARIANCE.P('Data_Matrix (2018)'!$U$2:$U$67,'Data_Matrix (2018)'!W$2:W$67)</f>
        <v>1198.7979061362448</v>
      </c>
      <c r="X27" s="9">
        <f>_xlfn.COVARIANCE.P('Data_Matrix (2018)'!$U$2:$U$67,'Data_Matrix (2018)'!X$2:X$67)</f>
        <v>1713.210998861867</v>
      </c>
      <c r="Y27" s="9">
        <f>_xlfn.COVARIANCE.P('Data_Matrix (2018)'!$U$2:$U$67,'Data_Matrix (2018)'!Y$2:Y$67)</f>
        <v>1657.4983117228487</v>
      </c>
      <c r="Z27" s="9">
        <f>_xlfn.COVARIANCE.P('Data_Matrix (2018)'!$U$2:$U$67,'Data_Matrix (2018)'!Z$2:Z$67)</f>
        <v>1223.8153419600887</v>
      </c>
      <c r="AA27" s="9">
        <f>_xlfn.COVARIANCE.P('Data_Matrix (2018)'!$U$2:$U$67,'Data_Matrix (2018)'!AA$2:AA$67)</f>
        <v>825.97355830260437</v>
      </c>
      <c r="AB27" s="9">
        <f>_xlfn.COVARIANCE.P('Data_Matrix (2018)'!$U$2:$U$67,'Data_Matrix (2018)'!AB$2:AB$67)</f>
        <v>182.76473845866653</v>
      </c>
      <c r="AC27" s="9">
        <f>_xlfn.COVARIANCE.P('Data_Matrix (2018)'!$U$2:$U$67,'Data_Matrix (2018)'!AC$2:AC$67)</f>
        <v>182.85309211767708</v>
      </c>
      <c r="AD27" s="9">
        <f>_xlfn.COVARIANCE.P('Data_Matrix (2018)'!$U$2:$U$67,'Data_Matrix (2018)'!AD$2:AD$67)</f>
        <v>271.17804436505884</v>
      </c>
      <c r="AE27" s="9">
        <f>_xlfn.COVARIANCE.P('Data_Matrix (2018)'!$U$2:$U$67,'Data_Matrix (2018)'!AE$2:AE$67)</f>
        <v>76.79688433607825</v>
      </c>
      <c r="AF27" s="9">
        <f>_xlfn.COVARIANCE.P('Data_Matrix (2018)'!$U$2:$U$67,'Data_Matrix (2018)'!AF$2:AF$67)</f>
        <v>144.73026632267545</v>
      </c>
      <c r="AG27" s="9">
        <f>_xlfn.COVARIANCE.P('Data_Matrix (2018)'!$U$2:$U$67,'Data_Matrix (2018)'!AG$2:AG$67)</f>
        <v>159.32223810330763</v>
      </c>
      <c r="AH27" s="9">
        <f>_xlfn.COVARIANCE.P('Data_Matrix (2018)'!$U$2:$U$67,'Data_Matrix (2018)'!AH$2:AH$67)</f>
        <v>-27.711522119699879</v>
      </c>
      <c r="AI27" s="9">
        <f>_xlfn.COVARIANCE.P('Data_Matrix (2018)'!$U$2:$U$67,'Data_Matrix (2018)'!AI$2:AI$67)</f>
        <v>139.08093139347972</v>
      </c>
      <c r="AJ27" s="9">
        <f>_xlfn.COVARIANCE.P('Data_Matrix (2018)'!$U$2:$U$67,'Data_Matrix (2018)'!AJ$2:AJ$67)</f>
        <v>101.03118591354414</v>
      </c>
      <c r="AK27" s="9">
        <f>_xlfn.COVARIANCE.P('Data_Matrix (2018)'!$U$2:$U$67,'Data_Matrix (2018)'!AK$2:AK$67)</f>
        <v>143.37439777391725</v>
      </c>
      <c r="AL27" s="9">
        <f>_xlfn.COVARIANCE.P('Data_Matrix (2018)'!$U$2:$U$67,'Data_Matrix (2018)'!AL$2:AL$67)</f>
        <v>-131.44513143085297</v>
      </c>
      <c r="AM27" s="9">
        <f>_xlfn.COVARIANCE.P('Data_Matrix (2018)'!$U$2:$U$67,'Data_Matrix (2018)'!AM$2:AM$67)</f>
        <v>50.948905917059655</v>
      </c>
      <c r="AN27" s="9">
        <f>_xlfn.COVARIANCE.P('Data_Matrix (2018)'!$U$2:$U$67,'Data_Matrix (2018)'!AN$2:AN$67)</f>
        <v>17.877901727546309</v>
      </c>
      <c r="AO27" s="9">
        <f>_xlfn.COVARIANCE.P('Data_Matrix (2018)'!$U$2:$U$67,'Data_Matrix (2018)'!AO$2:AO$67)</f>
        <v>108.71137469187316</v>
      </c>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row>
    <row r="28" spans="2:67" x14ac:dyDescent="0.2">
      <c r="B28" s="9">
        <f>_xlfn.COVARIANCE.P('Data_Matrix (2018)'!$V$2:$V$67,'Data_Matrix (2018)'!B$2:B$67)</f>
        <v>53293.158766081928</v>
      </c>
      <c r="C28" s="9">
        <f>_xlfn.COVARIANCE.P('Data_Matrix (2018)'!$V$2:$V$67,'Data_Matrix (2018)'!C$2:C$67)</f>
        <v>123075.96601239698</v>
      </c>
      <c r="D28" s="9">
        <f>_xlfn.COVARIANCE.P('Data_Matrix (2018)'!$V$2:$V$67,'Data_Matrix (2018)'!D$2:D$67)</f>
        <v>48776.985466037077</v>
      </c>
      <c r="E28" s="9">
        <f>_xlfn.COVARIANCE.P('Data_Matrix (2018)'!$V$2:$V$67,'Data_Matrix (2018)'!E$2:E$67)</f>
        <v>90209.204538937018</v>
      </c>
      <c r="F28" s="9">
        <f>_xlfn.COVARIANCE.P('Data_Matrix (2018)'!$V$2:$V$67,'Data_Matrix (2018)'!F$2:F$67)</f>
        <v>47523.139295490742</v>
      </c>
      <c r="G28" s="9">
        <f>_xlfn.COVARIANCE.P('Data_Matrix (2018)'!$V$2:$V$67,'Data_Matrix (2018)'!G$2:G$67)</f>
        <v>52469.898461708493</v>
      </c>
      <c r="H28" s="9">
        <f>_xlfn.COVARIANCE.P('Data_Matrix (2018)'!$V$2:$V$67,'Data_Matrix (2018)'!H$2:H$67)</f>
        <v>5534.4997970276099</v>
      </c>
      <c r="I28" s="9">
        <f>_xlfn.COVARIANCE.P('Data_Matrix (2018)'!$V$2:$V$67,'Data_Matrix (2018)'!I$2:I$67)</f>
        <v>16553.392064502314</v>
      </c>
      <c r="J28" s="9">
        <f>_xlfn.COVARIANCE.P('Data_Matrix (2018)'!$V$2:$V$67,'Data_Matrix (2018)'!J$2:J$67)</f>
        <v>14324.424716373353</v>
      </c>
      <c r="K28" s="9">
        <f>_xlfn.COVARIANCE.P('Data_Matrix (2018)'!$V$2:$V$67,'Data_Matrix (2018)'!K$2:K$67)</f>
        <v>18843.049657184369</v>
      </c>
      <c r="L28" s="9">
        <f>_xlfn.COVARIANCE.P('Data_Matrix (2018)'!$V$2:$V$67,'Data_Matrix (2018)'!L$2:L$67)</f>
        <v>13974.231094896053</v>
      </c>
      <c r="M28" s="9">
        <f>_xlfn.COVARIANCE.P('Data_Matrix (2018)'!$V$2:$V$67,'Data_Matrix (2018)'!M$2:M$67)</f>
        <v>7498.4521855474604</v>
      </c>
      <c r="N28" s="9">
        <f>_xlfn.COVARIANCE.P('Data_Matrix (2018)'!$V$2:$V$67,'Data_Matrix (2018)'!N$2:N$67)</f>
        <v>9821.5597689776332</v>
      </c>
      <c r="O28" s="9">
        <f>_xlfn.COVARIANCE.P('Data_Matrix (2018)'!$V$2:$V$67,'Data_Matrix (2018)'!O$2:O$67)</f>
        <v>6476.0452958516125</v>
      </c>
      <c r="P28" s="9">
        <f>_xlfn.COVARIANCE.P('Data_Matrix (2018)'!$V$2:$V$67,'Data_Matrix (2018)'!P$2:P$67)</f>
        <v>4858.0151129527803</v>
      </c>
      <c r="Q28" s="9">
        <f>_xlfn.COVARIANCE.P('Data_Matrix (2018)'!$V$2:$V$67,'Data_Matrix (2018)'!Q$2:Q$67)</f>
        <v>4185.6830082959059</v>
      </c>
      <c r="R28" s="9">
        <f>_xlfn.COVARIANCE.P('Data_Matrix (2018)'!$V$2:$V$67,'Data_Matrix (2018)'!R$2:R$67)</f>
        <v>5386.4139140261905</v>
      </c>
      <c r="S28" s="9">
        <f>_xlfn.COVARIANCE.P('Data_Matrix (2018)'!$V$2:$V$67,'Data_Matrix (2018)'!S$2:S$67)</f>
        <v>1871.8123335551229</v>
      </c>
      <c r="T28" s="9">
        <f>_xlfn.COVARIANCE.P('Data_Matrix (2018)'!$V$2:$V$67,'Data_Matrix (2018)'!T$2:T$67)</f>
        <v>1964.8545624402334</v>
      </c>
      <c r="U28" s="9">
        <f>_xlfn.COVARIANCE.P('Data_Matrix (2018)'!$V$2:$V$67,'Data_Matrix (2018)'!U$2:U$67)</f>
        <v>2106.1458104629451</v>
      </c>
      <c r="V28" s="9">
        <f>_xlfn.COVARIANCE.P('Data_Matrix (2018)'!$V$2:$V$67,'Data_Matrix (2018)'!V$2:V$67)</f>
        <v>4882.1600084134934</v>
      </c>
      <c r="W28" s="9">
        <f>_xlfn.COVARIANCE.P('Data_Matrix (2018)'!$V$2:$V$67,'Data_Matrix (2018)'!W$2:W$67)</f>
        <v>999.40485116167554</v>
      </c>
      <c r="X28" s="9">
        <f>_xlfn.COVARIANCE.P('Data_Matrix (2018)'!$V$2:$V$67,'Data_Matrix (2018)'!X$2:X$67)</f>
        <v>1314.7834510032569</v>
      </c>
      <c r="Y28" s="9">
        <f>_xlfn.COVARIANCE.P('Data_Matrix (2018)'!$V$2:$V$67,'Data_Matrix (2018)'!Y$2:Y$67)</f>
        <v>1405.1235736895633</v>
      </c>
      <c r="Z28" s="9">
        <f>_xlfn.COVARIANCE.P('Data_Matrix (2018)'!$V$2:$V$67,'Data_Matrix (2018)'!Z$2:Z$67)</f>
        <v>700.37638093844737</v>
      </c>
      <c r="AA28" s="9">
        <f>_xlfn.COVARIANCE.P('Data_Matrix (2018)'!$V$2:$V$67,'Data_Matrix (2018)'!AA$2:AA$67)</f>
        <v>360.5804559361045</v>
      </c>
      <c r="AB28" s="9">
        <f>_xlfn.COVARIANCE.P('Data_Matrix (2018)'!$V$2:$V$67,'Data_Matrix (2018)'!AB$2:AB$67)</f>
        <v>112.10861431029639</v>
      </c>
      <c r="AC28" s="9">
        <f>_xlfn.COVARIANCE.P('Data_Matrix (2018)'!$V$2:$V$67,'Data_Matrix (2018)'!AC$2:AC$67)</f>
        <v>123.58740156971514</v>
      </c>
      <c r="AD28" s="9">
        <f>_xlfn.COVARIANCE.P('Data_Matrix (2018)'!$V$2:$V$67,'Data_Matrix (2018)'!AD$2:AD$67)</f>
        <v>75.949562604592643</v>
      </c>
      <c r="AE28" s="9">
        <f>_xlfn.COVARIANCE.P('Data_Matrix (2018)'!$V$2:$V$67,'Data_Matrix (2018)'!AE$2:AE$67)</f>
        <v>78.472833311593249</v>
      </c>
      <c r="AF28" s="9">
        <f>_xlfn.COVARIANCE.P('Data_Matrix (2018)'!$V$2:$V$67,'Data_Matrix (2018)'!AF$2:AF$67)</f>
        <v>77.220874778426449</v>
      </c>
      <c r="AG28" s="9">
        <f>_xlfn.COVARIANCE.P('Data_Matrix (2018)'!$V$2:$V$67,'Data_Matrix (2018)'!AG$2:AG$67)</f>
        <v>78.350611084793996</v>
      </c>
      <c r="AH28" s="9">
        <f>_xlfn.COVARIANCE.P('Data_Matrix (2018)'!$V$2:$V$67,'Data_Matrix (2018)'!AH$2:AH$67)</f>
        <v>21.893210043044775</v>
      </c>
      <c r="AI28" s="9">
        <f>_xlfn.COVARIANCE.P('Data_Matrix (2018)'!$V$2:$V$67,'Data_Matrix (2018)'!AI$2:AI$67)</f>
        <v>67.949098662326762</v>
      </c>
      <c r="AJ28" s="9">
        <f>_xlfn.COVARIANCE.P('Data_Matrix (2018)'!$V$2:$V$67,'Data_Matrix (2018)'!AJ$2:AJ$67)</f>
        <v>53.726898170970287</v>
      </c>
      <c r="AK28" s="9">
        <f>_xlfn.COVARIANCE.P('Data_Matrix (2018)'!$V$2:$V$67,'Data_Matrix (2018)'!AK$2:AK$67)</f>
        <v>159.63075154592121</v>
      </c>
      <c r="AL28" s="9">
        <f>_xlfn.COVARIANCE.P('Data_Matrix (2018)'!$V$2:$V$67,'Data_Matrix (2018)'!AL$2:AL$67)</f>
        <v>348.99743156686111</v>
      </c>
      <c r="AM28" s="9">
        <f>_xlfn.COVARIANCE.P('Data_Matrix (2018)'!$V$2:$V$67,'Data_Matrix (2018)'!AM$2:AM$67)</f>
        <v>41.036245568759576</v>
      </c>
      <c r="AN28" s="9">
        <f>_xlfn.COVARIANCE.P('Data_Matrix (2018)'!$V$2:$V$67,'Data_Matrix (2018)'!AN$2:AN$67)</f>
        <v>-12.468845276531166</v>
      </c>
      <c r="AO28" s="9">
        <f>_xlfn.COVARIANCE.P('Data_Matrix (2018)'!$V$2:$V$67,'Data_Matrix (2018)'!AO$2:AO$67)</f>
        <v>116.48627956783714</v>
      </c>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row>
    <row r="29" spans="2:67" x14ac:dyDescent="0.2">
      <c r="B29" s="9">
        <f>_xlfn.COVARIANCE.P('Data_Matrix (2018)'!$W$2:$W$67,'Data_Matrix (2018)'!B$2:B$67)</f>
        <v>76385.856146471051</v>
      </c>
      <c r="C29" s="9">
        <f>_xlfn.COVARIANCE.P('Data_Matrix (2018)'!$W$2:$W$67,'Data_Matrix (2018)'!C$2:C$67)</f>
        <v>99528.389441475825</v>
      </c>
      <c r="D29" s="9">
        <f>_xlfn.COVARIANCE.P('Data_Matrix (2018)'!$W$2:$W$67,'Data_Matrix (2018)'!D$2:D$67)</f>
        <v>61488.3419478125</v>
      </c>
      <c r="E29" s="9">
        <f>_xlfn.COVARIANCE.P('Data_Matrix (2018)'!$W$2:$W$67,'Data_Matrix (2018)'!E$2:E$67)</f>
        <v>58176.524913786496</v>
      </c>
      <c r="F29" s="9">
        <f>_xlfn.COVARIANCE.P('Data_Matrix (2018)'!$W$2:$W$67,'Data_Matrix (2018)'!F$2:F$67)</f>
        <v>31667.261588454607</v>
      </c>
      <c r="G29" s="9">
        <f>_xlfn.COVARIANCE.P('Data_Matrix (2018)'!$W$2:$W$67,'Data_Matrix (2018)'!G$2:G$67)</f>
        <v>49940.249633977197</v>
      </c>
      <c r="H29" s="9">
        <f>_xlfn.COVARIANCE.P('Data_Matrix (2018)'!$W$2:$W$67,'Data_Matrix (2018)'!H$2:H$67)</f>
        <v>17805.308356832924</v>
      </c>
      <c r="I29" s="9">
        <f>_xlfn.COVARIANCE.P('Data_Matrix (2018)'!$W$2:$W$67,'Data_Matrix (2018)'!I$2:I$67)</f>
        <v>16284.186354662723</v>
      </c>
      <c r="J29" s="9">
        <f>_xlfn.COVARIANCE.P('Data_Matrix (2018)'!$W$2:$W$67,'Data_Matrix (2018)'!J$2:J$67)</f>
        <v>9539.3263228289998</v>
      </c>
      <c r="K29" s="9">
        <f>_xlfn.COVARIANCE.P('Data_Matrix (2018)'!$W$2:$W$67,'Data_Matrix (2018)'!K$2:K$67)</f>
        <v>13157.962825646922</v>
      </c>
      <c r="L29" s="9">
        <f>_xlfn.COVARIANCE.P('Data_Matrix (2018)'!$W$2:$W$67,'Data_Matrix (2018)'!L$2:L$67)</f>
        <v>10932.131261266801</v>
      </c>
      <c r="M29" s="9">
        <f>_xlfn.COVARIANCE.P('Data_Matrix (2018)'!$W$2:$W$67,'Data_Matrix (2018)'!M$2:M$67)</f>
        <v>7370.3217573355842</v>
      </c>
      <c r="N29" s="9">
        <f>_xlfn.COVARIANCE.P('Data_Matrix (2018)'!$W$2:$W$67,'Data_Matrix (2018)'!N$2:N$67)</f>
        <v>10591.496871949035</v>
      </c>
      <c r="O29" s="9">
        <f>_xlfn.COVARIANCE.P('Data_Matrix (2018)'!$W$2:$W$67,'Data_Matrix (2018)'!O$2:O$67)</f>
        <v>5032.9399005904161</v>
      </c>
      <c r="P29" s="9">
        <f>_xlfn.COVARIANCE.P('Data_Matrix (2018)'!$W$2:$W$67,'Data_Matrix (2018)'!P$2:P$67)</f>
        <v>1500.3925167209386</v>
      </c>
      <c r="Q29" s="9">
        <f>_xlfn.COVARIANCE.P('Data_Matrix (2018)'!$W$2:$W$67,'Data_Matrix (2018)'!Q$2:Q$67)</f>
        <v>3690.0764815664588</v>
      </c>
      <c r="R29" s="9">
        <f>_xlfn.COVARIANCE.P('Data_Matrix (2018)'!$W$2:$W$67,'Data_Matrix (2018)'!R$2:R$67)</f>
        <v>4905.8702633923867</v>
      </c>
      <c r="S29" s="9">
        <f>_xlfn.COVARIANCE.P('Data_Matrix (2018)'!$W$2:$W$67,'Data_Matrix (2018)'!S$2:S$67)</f>
        <v>2510.4352815189995</v>
      </c>
      <c r="T29" s="9">
        <f>_xlfn.COVARIANCE.P('Data_Matrix (2018)'!$W$2:$W$67,'Data_Matrix (2018)'!T$2:T$67)</f>
        <v>2089.7396770685759</v>
      </c>
      <c r="U29" s="9">
        <f>_xlfn.COVARIANCE.P('Data_Matrix (2018)'!$W$2:$W$67,'Data_Matrix (2018)'!U$2:U$67)</f>
        <v>1198.7979061362448</v>
      </c>
      <c r="V29" s="9">
        <f>_xlfn.COVARIANCE.P('Data_Matrix (2018)'!$W$2:$W$67,'Data_Matrix (2018)'!V$2:V$67)</f>
        <v>999.40485116167554</v>
      </c>
      <c r="W29" s="9">
        <f>_xlfn.COVARIANCE.P('Data_Matrix (2018)'!$W$2:$W$67,'Data_Matrix (2018)'!W$2:W$67)</f>
        <v>1491.8526262392131</v>
      </c>
      <c r="X29" s="9">
        <f>_xlfn.COVARIANCE.P('Data_Matrix (2018)'!$W$2:$W$67,'Data_Matrix (2018)'!X$2:X$67)</f>
        <v>1175.3160067364086</v>
      </c>
      <c r="Y29" s="9">
        <f>_xlfn.COVARIANCE.P('Data_Matrix (2018)'!$W$2:$W$67,'Data_Matrix (2018)'!Y$2:Y$67)</f>
        <v>774.93410515212292</v>
      </c>
      <c r="Z29" s="9">
        <f>_xlfn.COVARIANCE.P('Data_Matrix (2018)'!$W$2:$W$67,'Data_Matrix (2018)'!Z$2:Z$67)</f>
        <v>489.83213415808751</v>
      </c>
      <c r="AA29" s="9">
        <f>_xlfn.COVARIANCE.P('Data_Matrix (2018)'!$W$2:$W$67,'Data_Matrix (2018)'!AA$2:AA$67)</f>
        <v>563.05704524714736</v>
      </c>
      <c r="AB29" s="9">
        <f>_xlfn.COVARIANCE.P('Data_Matrix (2018)'!$W$2:$W$67,'Data_Matrix (2018)'!AB$2:AB$67)</f>
        <v>107.08838400213482</v>
      </c>
      <c r="AC29" s="9">
        <f>_xlfn.COVARIANCE.P('Data_Matrix (2018)'!$W$2:$W$67,'Data_Matrix (2018)'!AC$2:AC$67)</f>
        <v>110.03082411754907</v>
      </c>
      <c r="AD29" s="9">
        <f>_xlfn.COVARIANCE.P('Data_Matrix (2018)'!$W$2:$W$67,'Data_Matrix (2018)'!AD$2:AD$67)</f>
        <v>171.81724920337817</v>
      </c>
      <c r="AE29" s="9">
        <f>_xlfn.COVARIANCE.P('Data_Matrix (2018)'!$W$2:$W$67,'Data_Matrix (2018)'!AE$2:AE$67)</f>
        <v>61.632954570011087</v>
      </c>
      <c r="AF29" s="9">
        <f>_xlfn.COVARIANCE.P('Data_Matrix (2018)'!$W$2:$W$67,'Data_Matrix (2018)'!AF$2:AF$67)</f>
        <v>100.95508324551197</v>
      </c>
      <c r="AG29" s="9">
        <f>_xlfn.COVARIANCE.P('Data_Matrix (2018)'!$W$2:$W$67,'Data_Matrix (2018)'!AG$2:AG$67)</f>
        <v>72.916094508163667</v>
      </c>
      <c r="AH29" s="9">
        <f>_xlfn.COVARIANCE.P('Data_Matrix (2018)'!$W$2:$W$67,'Data_Matrix (2018)'!AH$2:AH$67)</f>
        <v>50.101562348205377</v>
      </c>
      <c r="AI29" s="9">
        <f>_xlfn.COVARIANCE.P('Data_Matrix (2018)'!$W$2:$W$67,'Data_Matrix (2018)'!AI$2:AI$67)</f>
        <v>69.812820117520559</v>
      </c>
      <c r="AJ29" s="9">
        <f>_xlfn.COVARIANCE.P('Data_Matrix (2018)'!$W$2:$W$67,'Data_Matrix (2018)'!AJ$2:AJ$67)</f>
        <v>24.582435606464088</v>
      </c>
      <c r="AK29" s="9">
        <f>_xlfn.COVARIANCE.P('Data_Matrix (2018)'!$W$2:$W$67,'Data_Matrix (2018)'!AK$2:AK$67)</f>
        <v>44.668160535842844</v>
      </c>
      <c r="AL29" s="9">
        <f>_xlfn.COVARIANCE.P('Data_Matrix (2018)'!$W$2:$W$67,'Data_Matrix (2018)'!AL$2:AL$67)</f>
        <v>143.72640427008159</v>
      </c>
      <c r="AM29" s="9">
        <f>_xlfn.COVARIANCE.P('Data_Matrix (2018)'!$W$2:$W$67,'Data_Matrix (2018)'!AM$2:AM$67)</f>
        <v>16.856819655872322</v>
      </c>
      <c r="AN29" s="9">
        <f>_xlfn.COVARIANCE.P('Data_Matrix (2018)'!$W$2:$W$67,'Data_Matrix (2018)'!AN$2:AN$67)</f>
        <v>13.576431444592767</v>
      </c>
      <c r="AO29" s="9">
        <f>_xlfn.COVARIANCE.P('Data_Matrix (2018)'!$W$2:$W$67,'Data_Matrix (2018)'!AO$2:AO$67)</f>
        <v>0.4197822168724426</v>
      </c>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row>
    <row r="30" spans="2:67" x14ac:dyDescent="0.2">
      <c r="B30" s="9">
        <f>_xlfn.COVARIANCE.P('Data_Matrix (2018)'!$X$2:$X$67,'Data_Matrix (2018)'!B$2:B$67)</f>
        <v>127917.90028743807</v>
      </c>
      <c r="C30" s="9">
        <f>_xlfn.COVARIANCE.P('Data_Matrix (2018)'!$X$2:$X$67,'Data_Matrix (2018)'!C$2:C$67)</f>
        <v>160781.15600598315</v>
      </c>
      <c r="D30" s="9">
        <f>_xlfn.COVARIANCE.P('Data_Matrix (2018)'!$X$2:$X$67,'Data_Matrix (2018)'!D$2:D$67)</f>
        <v>98258.357855014227</v>
      </c>
      <c r="E30" s="9">
        <f>_xlfn.COVARIANCE.P('Data_Matrix (2018)'!$X$2:$X$67,'Data_Matrix (2018)'!E$2:E$67)</f>
        <v>110349.54476923823</v>
      </c>
      <c r="F30" s="9">
        <f>_xlfn.COVARIANCE.P('Data_Matrix (2018)'!$X$2:$X$67,'Data_Matrix (2018)'!F$2:F$67)</f>
        <v>55292.36314726455</v>
      </c>
      <c r="G30" s="9">
        <f>_xlfn.COVARIANCE.P('Data_Matrix (2018)'!$X$2:$X$67,'Data_Matrix (2018)'!G$2:G$67)</f>
        <v>85284.330051850178</v>
      </c>
      <c r="H30" s="9">
        <f>_xlfn.COVARIANCE.P('Data_Matrix (2018)'!$X$2:$X$67,'Data_Matrix (2018)'!H$2:H$67)</f>
        <v>25149.18671843937</v>
      </c>
      <c r="I30" s="9">
        <f>_xlfn.COVARIANCE.P('Data_Matrix (2018)'!$X$2:$X$67,'Data_Matrix (2018)'!I$2:I$67)</f>
        <v>32867.721829091126</v>
      </c>
      <c r="J30" s="9">
        <f>_xlfn.COVARIANCE.P('Data_Matrix (2018)'!$X$2:$X$67,'Data_Matrix (2018)'!J$2:J$67)</f>
        <v>15611.413270895091</v>
      </c>
      <c r="K30" s="9">
        <f>_xlfn.COVARIANCE.P('Data_Matrix (2018)'!$X$2:$X$67,'Data_Matrix (2018)'!K$2:K$67)</f>
        <v>20021.533530993456</v>
      </c>
      <c r="L30" s="9">
        <f>_xlfn.COVARIANCE.P('Data_Matrix (2018)'!$X$2:$X$67,'Data_Matrix (2018)'!L$2:L$67)</f>
        <v>14963.229252576455</v>
      </c>
      <c r="M30" s="9">
        <f>_xlfn.COVARIANCE.P('Data_Matrix (2018)'!$X$2:$X$67,'Data_Matrix (2018)'!M$2:M$67)</f>
        <v>11625.646701963422</v>
      </c>
      <c r="N30" s="9">
        <f>_xlfn.COVARIANCE.P('Data_Matrix (2018)'!$X$2:$X$67,'Data_Matrix (2018)'!N$2:N$67)</f>
        <v>17430.298365952247</v>
      </c>
      <c r="O30" s="9">
        <f>_xlfn.COVARIANCE.P('Data_Matrix (2018)'!$X$2:$X$67,'Data_Matrix (2018)'!O$2:O$67)</f>
        <v>7187.879789469669</v>
      </c>
      <c r="P30" s="9">
        <f>_xlfn.COVARIANCE.P('Data_Matrix (2018)'!$X$2:$X$67,'Data_Matrix (2018)'!P$2:P$67)</f>
        <v>2232.3602183589828</v>
      </c>
      <c r="Q30" s="9">
        <f>_xlfn.COVARIANCE.P('Data_Matrix (2018)'!$X$2:$X$67,'Data_Matrix (2018)'!Q$2:Q$67)</f>
        <v>4799.6195425698761</v>
      </c>
      <c r="R30" s="9">
        <f>_xlfn.COVARIANCE.P('Data_Matrix (2018)'!$X$2:$X$67,'Data_Matrix (2018)'!R$2:R$67)</f>
        <v>4941.122464666737</v>
      </c>
      <c r="S30" s="9">
        <f>_xlfn.COVARIANCE.P('Data_Matrix (2018)'!$X$2:$X$67,'Data_Matrix (2018)'!S$2:S$67)</f>
        <v>3741.7724209179496</v>
      </c>
      <c r="T30" s="9">
        <f>_xlfn.COVARIANCE.P('Data_Matrix (2018)'!$X$2:$X$67,'Data_Matrix (2018)'!T$2:T$67)</f>
        <v>3379.0948610484029</v>
      </c>
      <c r="U30" s="9">
        <f>_xlfn.COVARIANCE.P('Data_Matrix (2018)'!$X$2:$X$67,'Data_Matrix (2018)'!U$2:U$67)</f>
        <v>1713.210998861867</v>
      </c>
      <c r="V30" s="9">
        <f>_xlfn.COVARIANCE.P('Data_Matrix (2018)'!$X$2:$X$67,'Data_Matrix (2018)'!V$2:V$67)</f>
        <v>1314.7834510032569</v>
      </c>
      <c r="W30" s="9">
        <f>_xlfn.COVARIANCE.P('Data_Matrix (2018)'!$X$2:$X$67,'Data_Matrix (2018)'!W$2:W$67)</f>
        <v>1175.3160067364086</v>
      </c>
      <c r="X30" s="9">
        <f>_xlfn.COVARIANCE.P('Data_Matrix (2018)'!$X$2:$X$67,'Data_Matrix (2018)'!X$2:X$67)</f>
        <v>2469.9318372603507</v>
      </c>
      <c r="Y30" s="9">
        <f>_xlfn.COVARIANCE.P('Data_Matrix (2018)'!$X$2:$X$67,'Data_Matrix (2018)'!Y$2:Y$67)</f>
        <v>1459.3464299150696</v>
      </c>
      <c r="Z30" s="9">
        <f>_xlfn.COVARIANCE.P('Data_Matrix (2018)'!$X$2:$X$67,'Data_Matrix (2018)'!Z$2:Z$67)</f>
        <v>875.9285726919444</v>
      </c>
      <c r="AA30" s="9">
        <f>_xlfn.COVARIANCE.P('Data_Matrix (2018)'!$X$2:$X$67,'Data_Matrix (2018)'!AA$2:AA$67)</f>
        <v>764.6071066158413</v>
      </c>
      <c r="AB30" s="9">
        <f>_xlfn.COVARIANCE.P('Data_Matrix (2018)'!$X$2:$X$67,'Data_Matrix (2018)'!AB$2:AB$67)</f>
        <v>163.5532021233883</v>
      </c>
      <c r="AC30" s="9">
        <f>_xlfn.COVARIANCE.P('Data_Matrix (2018)'!$X$2:$X$67,'Data_Matrix (2018)'!AC$2:AC$67)</f>
        <v>157.78679358137566</v>
      </c>
      <c r="AD30" s="9">
        <f>_xlfn.COVARIANCE.P('Data_Matrix (2018)'!$X$2:$X$67,'Data_Matrix (2018)'!AD$2:AD$67)</f>
        <v>226.79465395249997</v>
      </c>
      <c r="AE30" s="9">
        <f>_xlfn.COVARIANCE.P('Data_Matrix (2018)'!$X$2:$X$67,'Data_Matrix (2018)'!AE$2:AE$67)</f>
        <v>76.756690619557432</v>
      </c>
      <c r="AF30" s="9">
        <f>_xlfn.COVARIANCE.P('Data_Matrix (2018)'!$X$2:$X$67,'Data_Matrix (2018)'!AF$2:AF$67)</f>
        <v>175.00703681596269</v>
      </c>
      <c r="AG30" s="9">
        <f>_xlfn.COVARIANCE.P('Data_Matrix (2018)'!$X$2:$X$67,'Data_Matrix (2018)'!AG$2:AG$67)</f>
        <v>173.96408187205893</v>
      </c>
      <c r="AH30" s="9">
        <f>_xlfn.COVARIANCE.P('Data_Matrix (2018)'!$X$2:$X$67,'Data_Matrix (2018)'!AH$2:AH$67)</f>
        <v>55.355193220955563</v>
      </c>
      <c r="AI30" s="9">
        <f>_xlfn.COVARIANCE.P('Data_Matrix (2018)'!$X$2:$X$67,'Data_Matrix (2018)'!AI$2:AI$67)</f>
        <v>88.453194489779278</v>
      </c>
      <c r="AJ30" s="9">
        <f>_xlfn.COVARIANCE.P('Data_Matrix (2018)'!$X$2:$X$67,'Data_Matrix (2018)'!AJ$2:AJ$67)</f>
        <v>77.923130902736958</v>
      </c>
      <c r="AK30" s="9">
        <f>_xlfn.COVARIANCE.P('Data_Matrix (2018)'!$X$2:$X$67,'Data_Matrix (2018)'!AK$2:AK$67)</f>
        <v>43.566166615585686</v>
      </c>
      <c r="AL30" s="9">
        <f>_xlfn.COVARIANCE.P('Data_Matrix (2018)'!$X$2:$X$67,'Data_Matrix (2018)'!AL$2:AL$67)</f>
        <v>-154.91376110807394</v>
      </c>
      <c r="AM30" s="9">
        <f>_xlfn.COVARIANCE.P('Data_Matrix (2018)'!$X$2:$X$67,'Data_Matrix (2018)'!AM$2:AM$67)</f>
        <v>60.551029027032278</v>
      </c>
      <c r="AN30" s="9">
        <f>_xlfn.COVARIANCE.P('Data_Matrix (2018)'!$X$2:$X$67,'Data_Matrix (2018)'!AN$2:AN$67)</f>
        <v>21.344828475841918</v>
      </c>
      <c r="AO30" s="9">
        <f>_xlfn.COVARIANCE.P('Data_Matrix (2018)'!$X$2:$X$67,'Data_Matrix (2018)'!AO$2:AO$67)</f>
        <v>59.020510818049559</v>
      </c>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row>
    <row r="31" spans="2:67" x14ac:dyDescent="0.2">
      <c r="B31" s="9">
        <f>_xlfn.COVARIANCE.P('Data_Matrix (2018)'!$Y$2:$Y$67,'Data_Matrix (2018)'!B$2:B$67)</f>
        <v>76705.226362812216</v>
      </c>
      <c r="C31" s="9">
        <f>_xlfn.COVARIANCE.P('Data_Matrix (2018)'!$Y$2:$Y$67,'Data_Matrix (2018)'!C$2:C$67)</f>
        <v>137423.06232197548</v>
      </c>
      <c r="D31" s="9">
        <f>_xlfn.COVARIANCE.P('Data_Matrix (2018)'!$Y$2:$Y$67,'Data_Matrix (2018)'!D$2:D$67)</f>
        <v>79744.99691483198</v>
      </c>
      <c r="E31" s="9">
        <f>_xlfn.COVARIANCE.P('Data_Matrix (2018)'!$Y$2:$Y$67,'Data_Matrix (2018)'!E$2:E$67)</f>
        <v>58348.864951103264</v>
      </c>
      <c r="F31" s="9">
        <f>_xlfn.COVARIANCE.P('Data_Matrix (2018)'!$Y$2:$Y$67,'Data_Matrix (2018)'!F$2:F$67)</f>
        <v>28591.999451491476</v>
      </c>
      <c r="G31" s="9">
        <f>_xlfn.COVARIANCE.P('Data_Matrix (2018)'!$Y$2:$Y$67,'Data_Matrix (2018)'!G$2:G$67)</f>
        <v>65252.894577983614</v>
      </c>
      <c r="H31" s="9">
        <f>_xlfn.COVARIANCE.P('Data_Matrix (2018)'!$Y$2:$Y$67,'Data_Matrix (2018)'!H$2:H$67)</f>
        <v>25564.824651338186</v>
      </c>
      <c r="I31" s="9">
        <f>_xlfn.COVARIANCE.P('Data_Matrix (2018)'!$Y$2:$Y$67,'Data_Matrix (2018)'!I$2:I$67)</f>
        <v>28359.238015325442</v>
      </c>
      <c r="J31" s="9">
        <f>_xlfn.COVARIANCE.P('Data_Matrix (2018)'!$Y$2:$Y$67,'Data_Matrix (2018)'!J$2:J$67)</f>
        <v>11754.734379891242</v>
      </c>
      <c r="K31" s="9">
        <f>_xlfn.COVARIANCE.P('Data_Matrix (2018)'!$Y$2:$Y$67,'Data_Matrix (2018)'!K$2:K$67)</f>
        <v>16184.477901494518</v>
      </c>
      <c r="L31" s="9">
        <f>_xlfn.COVARIANCE.P('Data_Matrix (2018)'!$Y$2:$Y$67,'Data_Matrix (2018)'!L$2:L$67)</f>
        <v>12070.639475617849</v>
      </c>
      <c r="M31" s="9">
        <f>_xlfn.COVARIANCE.P('Data_Matrix (2018)'!$Y$2:$Y$67,'Data_Matrix (2018)'!M$2:M$67)</f>
        <v>11240.112379523423</v>
      </c>
      <c r="N31" s="9">
        <f>_xlfn.COVARIANCE.P('Data_Matrix (2018)'!$Y$2:$Y$67,'Data_Matrix (2018)'!N$2:N$67)</f>
        <v>11836.169038697988</v>
      </c>
      <c r="O31" s="9">
        <f>_xlfn.COVARIANCE.P('Data_Matrix (2018)'!$Y$2:$Y$67,'Data_Matrix (2018)'!O$2:O$67)</f>
        <v>5918.5112356305144</v>
      </c>
      <c r="P31" s="9">
        <f>_xlfn.COVARIANCE.P('Data_Matrix (2018)'!$Y$2:$Y$67,'Data_Matrix (2018)'!P$2:P$67)</f>
        <v>1730.5992843119714</v>
      </c>
      <c r="Q31" s="9">
        <f>_xlfn.COVARIANCE.P('Data_Matrix (2018)'!$Y$2:$Y$67,'Data_Matrix (2018)'!Q$2:Q$67)</f>
        <v>5607.8677588634673</v>
      </c>
      <c r="R31" s="9">
        <f>_xlfn.COVARIANCE.P('Data_Matrix (2018)'!$Y$2:$Y$67,'Data_Matrix (2018)'!R$2:R$67)</f>
        <v>6181.6559628540363</v>
      </c>
      <c r="S31" s="9">
        <f>_xlfn.COVARIANCE.P('Data_Matrix (2018)'!$Y$2:$Y$67,'Data_Matrix (2018)'!S$2:S$67)</f>
        <v>3522.6916573971712</v>
      </c>
      <c r="T31" s="9">
        <f>_xlfn.COVARIANCE.P('Data_Matrix (2018)'!$Y$2:$Y$67,'Data_Matrix (2018)'!T$2:T$67)</f>
        <v>2576.525984045677</v>
      </c>
      <c r="U31" s="9">
        <f>_xlfn.COVARIANCE.P('Data_Matrix (2018)'!$Y$2:$Y$67,'Data_Matrix (2018)'!U$2:U$67)</f>
        <v>1657.4983117228487</v>
      </c>
      <c r="V31" s="9">
        <f>_xlfn.COVARIANCE.P('Data_Matrix (2018)'!$Y$2:$Y$67,'Data_Matrix (2018)'!V$2:V$67)</f>
        <v>1405.1235736895633</v>
      </c>
      <c r="W31" s="9">
        <f>_xlfn.COVARIANCE.P('Data_Matrix (2018)'!$Y$2:$Y$67,'Data_Matrix (2018)'!W$2:W$67)</f>
        <v>774.93410515212292</v>
      </c>
      <c r="X31" s="9">
        <f>_xlfn.COVARIANCE.P('Data_Matrix (2018)'!$Y$2:$Y$67,'Data_Matrix (2018)'!X$2:X$67)</f>
        <v>1459.3464299150696</v>
      </c>
      <c r="Y31" s="9">
        <f>_xlfn.COVARIANCE.P('Data_Matrix (2018)'!$Y$2:$Y$67,'Data_Matrix (2018)'!Y$2:Y$67)</f>
        <v>2096.6403300346688</v>
      </c>
      <c r="Z31" s="9">
        <f>_xlfn.COVARIANCE.P('Data_Matrix (2018)'!$Y$2:$Y$67,'Data_Matrix (2018)'!Z$2:Z$67)</f>
        <v>868.15770462633407</v>
      </c>
      <c r="AA31" s="9">
        <f>_xlfn.COVARIANCE.P('Data_Matrix (2018)'!$Y$2:$Y$67,'Data_Matrix (2018)'!AA$2:AA$67)</f>
        <v>629.30422746336365</v>
      </c>
      <c r="AB31" s="9">
        <f>_xlfn.COVARIANCE.P('Data_Matrix (2018)'!$Y$2:$Y$67,'Data_Matrix (2018)'!AB$2:AB$67)</f>
        <v>146.9451942853886</v>
      </c>
      <c r="AC31" s="9">
        <f>_xlfn.COVARIANCE.P('Data_Matrix (2018)'!$Y$2:$Y$67,'Data_Matrix (2018)'!AC$2:AC$67)</f>
        <v>167.4102695965571</v>
      </c>
      <c r="AD31" s="9">
        <f>_xlfn.COVARIANCE.P('Data_Matrix (2018)'!$Y$2:$Y$67,'Data_Matrix (2018)'!AD$2:AD$67)</f>
        <v>195.16958036064634</v>
      </c>
      <c r="AE31" s="9">
        <f>_xlfn.COVARIANCE.P('Data_Matrix (2018)'!$Y$2:$Y$67,'Data_Matrix (2018)'!AE$2:AE$67)</f>
        <v>81.780501716074269</v>
      </c>
      <c r="AF31" s="9">
        <f>_xlfn.COVARIANCE.P('Data_Matrix (2018)'!$Y$2:$Y$67,'Data_Matrix (2018)'!AF$2:AF$67)</f>
        <v>137.15453515400407</v>
      </c>
      <c r="AG31" s="9">
        <f>_xlfn.COVARIANCE.P('Data_Matrix (2018)'!$Y$2:$Y$67,'Data_Matrix (2018)'!AG$2:AG$67)</f>
        <v>127.11433040017141</v>
      </c>
      <c r="AH31" s="9">
        <f>_xlfn.COVARIANCE.P('Data_Matrix (2018)'!$Y$2:$Y$67,'Data_Matrix (2018)'!AH$2:AH$67)</f>
        <v>48.167198731357594</v>
      </c>
      <c r="AI31" s="9">
        <f>_xlfn.COVARIANCE.P('Data_Matrix (2018)'!$Y$2:$Y$67,'Data_Matrix (2018)'!AI$2:AI$67)</f>
        <v>104.41686337003077</v>
      </c>
      <c r="AJ31" s="9">
        <f>_xlfn.COVARIANCE.P('Data_Matrix (2018)'!$Y$2:$Y$67,'Data_Matrix (2018)'!AJ$2:AJ$67)</f>
        <v>112.69581474597524</v>
      </c>
      <c r="AK31" s="9">
        <f>_xlfn.COVARIANCE.P('Data_Matrix (2018)'!$Y$2:$Y$67,'Data_Matrix (2018)'!AK$2:AK$67)</f>
        <v>38.477986653844752</v>
      </c>
      <c r="AL31" s="9">
        <f>_xlfn.COVARIANCE.P('Data_Matrix (2018)'!$Y$2:$Y$67,'Data_Matrix (2018)'!AL$2:AL$67)</f>
        <v>-152.99992459423905</v>
      </c>
      <c r="AM31" s="9">
        <f>_xlfn.COVARIANCE.P('Data_Matrix (2018)'!$Y$2:$Y$67,'Data_Matrix (2018)'!AM$2:AM$67)</f>
        <v>92.56203315942706</v>
      </c>
      <c r="AN31" s="9">
        <f>_xlfn.COVARIANCE.P('Data_Matrix (2018)'!$Y$2:$Y$67,'Data_Matrix (2018)'!AN$2:AN$67)</f>
        <v>52.288552864845862</v>
      </c>
      <c r="AO31" s="9">
        <f>_xlfn.COVARIANCE.P('Data_Matrix (2018)'!$Y$2:$Y$67,'Data_Matrix (2018)'!AO$2:AO$67)</f>
        <v>102.75794923741547</v>
      </c>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row>
    <row r="32" spans="2:67" x14ac:dyDescent="0.2">
      <c r="B32" s="9">
        <f>_xlfn.COVARIANCE.P('Data_Matrix (2018)'!$Z$2:$Z$67,'Data_Matrix (2018)'!B$2:B$67)</f>
        <v>77533.713202789702</v>
      </c>
      <c r="C32" s="9">
        <f>_xlfn.COVARIANCE.P('Data_Matrix (2018)'!$Z$2:$Z$67,'Data_Matrix (2018)'!C$2:C$67)</f>
        <v>79836.552322550488</v>
      </c>
      <c r="D32" s="9">
        <f>_xlfn.COVARIANCE.P('Data_Matrix (2018)'!$Z$2:$Z$67,'Data_Matrix (2018)'!D$2:D$67)</f>
        <v>48469.993291353567</v>
      </c>
      <c r="E32" s="9">
        <f>_xlfn.COVARIANCE.P('Data_Matrix (2018)'!$Z$2:$Z$67,'Data_Matrix (2018)'!E$2:E$67)</f>
        <v>39952.233639712278</v>
      </c>
      <c r="F32" s="9">
        <f>_xlfn.COVARIANCE.P('Data_Matrix (2018)'!$Z$2:$Z$67,'Data_Matrix (2018)'!F$2:F$67)</f>
        <v>23741.209161637911</v>
      </c>
      <c r="G32" s="9">
        <f>_xlfn.COVARIANCE.P('Data_Matrix (2018)'!$Z$2:$Z$67,'Data_Matrix (2018)'!G$2:G$67)</f>
        <v>36639.282281201609</v>
      </c>
      <c r="H32" s="9">
        <f>_xlfn.COVARIANCE.P('Data_Matrix (2018)'!$Z$2:$Z$67,'Data_Matrix (2018)'!H$2:H$67)</f>
        <v>18868.500003467558</v>
      </c>
      <c r="I32" s="9">
        <f>_xlfn.COVARIANCE.P('Data_Matrix (2018)'!$Z$2:$Z$67,'Data_Matrix (2018)'!I$2:I$67)</f>
        <v>13457.573660419899</v>
      </c>
      <c r="J32" s="9">
        <f>_xlfn.COVARIANCE.P('Data_Matrix (2018)'!$Z$2:$Z$67,'Data_Matrix (2018)'!J$2:J$67)</f>
        <v>4639.5413757405522</v>
      </c>
      <c r="K32" s="9">
        <f>_xlfn.COVARIANCE.P('Data_Matrix (2018)'!$Z$2:$Z$67,'Data_Matrix (2018)'!K$2:K$67)</f>
        <v>8903.6351032239527</v>
      </c>
      <c r="L32" s="9">
        <f>_xlfn.COVARIANCE.P('Data_Matrix (2018)'!$Z$2:$Z$67,'Data_Matrix (2018)'!L$2:L$67)</f>
        <v>9014.6822923503332</v>
      </c>
      <c r="M32" s="9">
        <f>_xlfn.COVARIANCE.P('Data_Matrix (2018)'!$Z$2:$Z$67,'Data_Matrix (2018)'!M$2:M$67)</f>
        <v>6919.2416278165665</v>
      </c>
      <c r="N32" s="9">
        <f>_xlfn.COVARIANCE.P('Data_Matrix (2018)'!$Z$2:$Z$67,'Data_Matrix (2018)'!N$2:N$67)</f>
        <v>6524.9403948115096</v>
      </c>
      <c r="O32" s="9">
        <f>_xlfn.COVARIANCE.P('Data_Matrix (2018)'!$Z$2:$Z$67,'Data_Matrix (2018)'!O$2:O$67)</f>
        <v>3986.504084151682</v>
      </c>
      <c r="P32" s="9">
        <f>_xlfn.COVARIANCE.P('Data_Matrix (2018)'!$Z$2:$Z$67,'Data_Matrix (2018)'!P$2:P$67)</f>
        <v>634.21010449476864</v>
      </c>
      <c r="Q32" s="9">
        <f>_xlfn.COVARIANCE.P('Data_Matrix (2018)'!$Z$2:$Z$67,'Data_Matrix (2018)'!Q$2:Q$67)</f>
        <v>4164.7606857689207</v>
      </c>
      <c r="R32" s="9">
        <f>_xlfn.COVARIANCE.P('Data_Matrix (2018)'!$Z$2:$Z$67,'Data_Matrix (2018)'!R$2:R$67)</f>
        <v>4911.2443452711923</v>
      </c>
      <c r="S32" s="9">
        <f>_xlfn.COVARIANCE.P('Data_Matrix (2018)'!$Z$2:$Z$67,'Data_Matrix (2018)'!S$2:S$67)</f>
        <v>2658.3347313163017</v>
      </c>
      <c r="T32" s="9">
        <f>_xlfn.COVARIANCE.P('Data_Matrix (2018)'!$Z$2:$Z$67,'Data_Matrix (2018)'!T$2:T$67)</f>
        <v>1741.8303717490282</v>
      </c>
      <c r="U32" s="9">
        <f>_xlfn.COVARIANCE.P('Data_Matrix (2018)'!$Z$2:$Z$67,'Data_Matrix (2018)'!U$2:U$67)</f>
        <v>1223.8153419600887</v>
      </c>
      <c r="V32" s="9">
        <f>_xlfn.COVARIANCE.P('Data_Matrix (2018)'!$Z$2:$Z$67,'Data_Matrix (2018)'!V$2:V$67)</f>
        <v>700.37638093844737</v>
      </c>
      <c r="W32" s="9">
        <f>_xlfn.COVARIANCE.P('Data_Matrix (2018)'!$Z$2:$Z$67,'Data_Matrix (2018)'!W$2:W$67)</f>
        <v>489.83213415808751</v>
      </c>
      <c r="X32" s="9">
        <f>_xlfn.COVARIANCE.P('Data_Matrix (2018)'!$Z$2:$Z$67,'Data_Matrix (2018)'!X$2:X$67)</f>
        <v>875.9285726919444</v>
      </c>
      <c r="Y32" s="9">
        <f>_xlfn.COVARIANCE.P('Data_Matrix (2018)'!$Z$2:$Z$67,'Data_Matrix (2018)'!Y$2:Y$67)</f>
        <v>868.15770462633407</v>
      </c>
      <c r="Z32" s="9">
        <f>_xlfn.COVARIANCE.P('Data_Matrix (2018)'!$Z$2:$Z$67,'Data_Matrix (2018)'!Z$2:Z$67)</f>
        <v>745.48621500872196</v>
      </c>
      <c r="AA32" s="9">
        <f>_xlfn.COVARIANCE.P('Data_Matrix (2018)'!$Z$2:$Z$67,'Data_Matrix (2018)'!AA$2:AA$67)</f>
        <v>406.72237271105917</v>
      </c>
      <c r="AB32" s="9">
        <f>_xlfn.COVARIANCE.P('Data_Matrix (2018)'!$Z$2:$Z$67,'Data_Matrix (2018)'!AB$2:AB$67)</f>
        <v>95.859138319942588</v>
      </c>
      <c r="AC32" s="9">
        <f>_xlfn.COVARIANCE.P('Data_Matrix (2018)'!$Z$2:$Z$67,'Data_Matrix (2018)'!AC$2:AC$67)</f>
        <v>136.74954560230913</v>
      </c>
      <c r="AD32" s="9">
        <f>_xlfn.COVARIANCE.P('Data_Matrix (2018)'!$Z$2:$Z$67,'Data_Matrix (2018)'!AD$2:AD$67)</f>
        <v>123.68161031130718</v>
      </c>
      <c r="AE32" s="9">
        <f>_xlfn.COVARIANCE.P('Data_Matrix (2018)'!$Z$2:$Z$67,'Data_Matrix (2018)'!AE$2:AE$67)</f>
        <v>73.993584058198309</v>
      </c>
      <c r="AF32" s="9">
        <f>_xlfn.COVARIANCE.P('Data_Matrix (2018)'!$Z$2:$Z$67,'Data_Matrix (2018)'!AF$2:AF$67)</f>
        <v>121.91655512150831</v>
      </c>
      <c r="AG32" s="9">
        <f>_xlfn.COVARIANCE.P('Data_Matrix (2018)'!$Z$2:$Z$67,'Data_Matrix (2018)'!AG$2:AG$67)</f>
        <v>86.645957663461942</v>
      </c>
      <c r="AH32" s="9">
        <f>_xlfn.COVARIANCE.P('Data_Matrix (2018)'!$Z$2:$Z$67,'Data_Matrix (2018)'!AH$2:AH$67)</f>
        <v>21.224127233604833</v>
      </c>
      <c r="AI32" s="9">
        <f>_xlfn.COVARIANCE.P('Data_Matrix (2018)'!$Z$2:$Z$67,'Data_Matrix (2018)'!AI$2:AI$67)</f>
        <v>71.058284814924562</v>
      </c>
      <c r="AJ32" s="9">
        <f>_xlfn.COVARIANCE.P('Data_Matrix (2018)'!$Z$2:$Z$67,'Data_Matrix (2018)'!AJ$2:AJ$67)</f>
        <v>92.713737095885307</v>
      </c>
      <c r="AK32" s="9">
        <f>_xlfn.COVARIANCE.P('Data_Matrix (2018)'!$Z$2:$Z$67,'Data_Matrix (2018)'!AK$2:AK$67)</f>
        <v>49.272293883113782</v>
      </c>
      <c r="AL32" s="9">
        <f>_xlfn.COVARIANCE.P('Data_Matrix (2018)'!$Z$2:$Z$67,'Data_Matrix (2018)'!AL$2:AL$67)</f>
        <v>-84.352434572228788</v>
      </c>
      <c r="AM32" s="9">
        <f>_xlfn.COVARIANCE.P('Data_Matrix (2018)'!$Z$2:$Z$67,'Data_Matrix (2018)'!AM$2:AM$67)</f>
        <v>61.240746669283673</v>
      </c>
      <c r="AN32" s="9">
        <f>_xlfn.COVARIANCE.P('Data_Matrix (2018)'!$Z$2:$Z$67,'Data_Matrix (2018)'!AN$2:AN$67)</f>
        <v>1.9415991187695634</v>
      </c>
      <c r="AO32" s="9">
        <f>_xlfn.COVARIANCE.P('Data_Matrix (2018)'!$Z$2:$Z$67,'Data_Matrix (2018)'!AO$2:AO$67)</f>
        <v>69.114967759670051</v>
      </c>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row>
    <row r="33" spans="2:67" x14ac:dyDescent="0.2">
      <c r="B33" s="9">
        <f>_xlfn.COVARIANCE.P('Data_Matrix (2018)'!$AA$2:$AA$67,'Data_Matrix (2018)'!B$2:B$67)</f>
        <v>31445.504607538769</v>
      </c>
      <c r="C33" s="9">
        <f>_xlfn.COVARIANCE.P('Data_Matrix (2018)'!$AA$2:$AA$67,'Data_Matrix (2018)'!C$2:C$67)</f>
        <v>65720.313380543375</v>
      </c>
      <c r="D33" s="9">
        <f>_xlfn.COVARIANCE.P('Data_Matrix (2018)'!$AA$2:$AA$67,'Data_Matrix (2018)'!D$2:D$67)</f>
        <v>40465.79689826502</v>
      </c>
      <c r="E33" s="9">
        <f>_xlfn.COVARIANCE.P('Data_Matrix (2018)'!$AA$2:$AA$67,'Data_Matrix (2018)'!E$2:E$67)</f>
        <v>27048.132266813376</v>
      </c>
      <c r="F33" s="9">
        <f>_xlfn.COVARIANCE.P('Data_Matrix (2018)'!$AA$2:$AA$67,'Data_Matrix (2018)'!F$2:F$67)</f>
        <v>14210.079415583179</v>
      </c>
      <c r="G33" s="9">
        <f>_xlfn.COVARIANCE.P('Data_Matrix (2018)'!$AA$2:$AA$67,'Data_Matrix (2018)'!G$2:G$67)</f>
        <v>32626.694036464658</v>
      </c>
      <c r="H33" s="9">
        <f>_xlfn.COVARIANCE.P('Data_Matrix (2018)'!$AA$2:$AA$67,'Data_Matrix (2018)'!H$2:H$67)</f>
        <v>8724.0239729751775</v>
      </c>
      <c r="I33" s="9">
        <f>_xlfn.COVARIANCE.P('Data_Matrix (2018)'!$AA$2:$AA$67,'Data_Matrix (2018)'!I$2:I$67)</f>
        <v>11541.191613615045</v>
      </c>
      <c r="J33" s="9">
        <f>_xlfn.COVARIANCE.P('Data_Matrix (2018)'!$AA$2:$AA$67,'Data_Matrix (2018)'!J$2:J$67)</f>
        <v>5478.0362587575737</v>
      </c>
      <c r="K33" s="9">
        <f>_xlfn.COVARIANCE.P('Data_Matrix (2018)'!$AA$2:$AA$67,'Data_Matrix (2018)'!K$2:K$67)</f>
        <v>5706.1000054318638</v>
      </c>
      <c r="L33" s="9">
        <f>_xlfn.COVARIANCE.P('Data_Matrix (2018)'!$AA$2:$AA$67,'Data_Matrix (2018)'!L$2:L$67)</f>
        <v>5883.8113431564798</v>
      </c>
      <c r="M33" s="9">
        <f>_xlfn.COVARIANCE.P('Data_Matrix (2018)'!$AA$2:$AA$67,'Data_Matrix (2018)'!M$2:M$67)</f>
        <v>6244.4821278410373</v>
      </c>
      <c r="N33" s="9">
        <f>_xlfn.COVARIANCE.P('Data_Matrix (2018)'!$AA$2:$AA$67,'Data_Matrix (2018)'!N$2:N$67)</f>
        <v>6675.2322826079426</v>
      </c>
      <c r="O33" s="9">
        <f>_xlfn.COVARIANCE.P('Data_Matrix (2018)'!$AA$2:$AA$67,'Data_Matrix (2018)'!O$2:O$67)</f>
        <v>2933.551767730256</v>
      </c>
      <c r="P33" s="9">
        <f>_xlfn.COVARIANCE.P('Data_Matrix (2018)'!$AA$2:$AA$67,'Data_Matrix (2018)'!P$2:P$67)</f>
        <v>332.46141430733769</v>
      </c>
      <c r="Q33" s="9">
        <f>_xlfn.COVARIANCE.P('Data_Matrix (2018)'!$AA$2:$AA$67,'Data_Matrix (2018)'!Q$2:Q$67)</f>
        <v>2315.5423780395404</v>
      </c>
      <c r="R33" s="9">
        <f>_xlfn.COVARIANCE.P('Data_Matrix (2018)'!$AA$2:$AA$67,'Data_Matrix (2018)'!R$2:R$67)</f>
        <v>3151.9364154719678</v>
      </c>
      <c r="S33" s="9">
        <f>_xlfn.COVARIANCE.P('Data_Matrix (2018)'!$AA$2:$AA$67,'Data_Matrix (2018)'!S$2:S$67)</f>
        <v>2122.3907476318905</v>
      </c>
      <c r="T33" s="9">
        <f>_xlfn.COVARIANCE.P('Data_Matrix (2018)'!$AA$2:$AA$67,'Data_Matrix (2018)'!T$2:T$67)</f>
        <v>1277.3548197100718</v>
      </c>
      <c r="U33" s="9">
        <f>_xlfn.COVARIANCE.P('Data_Matrix (2018)'!$AA$2:$AA$67,'Data_Matrix (2018)'!U$2:U$67)</f>
        <v>825.97355830260437</v>
      </c>
      <c r="V33" s="9">
        <f>_xlfn.COVARIANCE.P('Data_Matrix (2018)'!$AA$2:$AA$67,'Data_Matrix (2018)'!V$2:V$67)</f>
        <v>360.5804559361045</v>
      </c>
      <c r="W33" s="9">
        <f>_xlfn.COVARIANCE.P('Data_Matrix (2018)'!$AA$2:$AA$67,'Data_Matrix (2018)'!W$2:W$67)</f>
        <v>563.05704524714736</v>
      </c>
      <c r="X33" s="9">
        <f>_xlfn.COVARIANCE.P('Data_Matrix (2018)'!$AA$2:$AA$67,'Data_Matrix (2018)'!X$2:X$67)</f>
        <v>764.6071066158413</v>
      </c>
      <c r="Y33" s="9">
        <f>_xlfn.COVARIANCE.P('Data_Matrix (2018)'!$AA$2:$AA$67,'Data_Matrix (2018)'!Y$2:Y$67)</f>
        <v>629.30422746336365</v>
      </c>
      <c r="Z33" s="9">
        <f>_xlfn.COVARIANCE.P('Data_Matrix (2018)'!$AA$2:$AA$67,'Data_Matrix (2018)'!Z$2:Z$67)</f>
        <v>406.72237271105917</v>
      </c>
      <c r="AA33" s="9">
        <f>_xlfn.COVARIANCE.P('Data_Matrix (2018)'!$AA$2:$AA$67,'Data_Matrix (2018)'!AA$2:AA$67)</f>
        <v>1687.7565649593334</v>
      </c>
      <c r="AB33" s="9">
        <f>_xlfn.COVARIANCE.P('Data_Matrix (2018)'!$AA$2:$AA$67,'Data_Matrix (2018)'!AB$2:AB$67)</f>
        <v>236.94601611181673</v>
      </c>
      <c r="AC33" s="9">
        <f>_xlfn.COVARIANCE.P('Data_Matrix (2018)'!$AA$2:$AA$67,'Data_Matrix (2018)'!AC$2:AC$67)</f>
        <v>145.76329930876841</v>
      </c>
      <c r="AD33" s="9">
        <f>_xlfn.COVARIANCE.P('Data_Matrix (2018)'!$AA$2:$AA$67,'Data_Matrix (2018)'!AD$2:AD$67)</f>
        <v>253.46577974648068</v>
      </c>
      <c r="AE33" s="9">
        <f>_xlfn.COVARIANCE.P('Data_Matrix (2018)'!$AA$2:$AA$67,'Data_Matrix (2018)'!AE$2:AE$67)</f>
        <v>153.89025144590852</v>
      </c>
      <c r="AF33" s="9">
        <f>_xlfn.COVARIANCE.P('Data_Matrix (2018)'!$AA$2:$AA$67,'Data_Matrix (2018)'!AF$2:AF$67)</f>
        <v>166.68148341132516</v>
      </c>
      <c r="AG33" s="9">
        <f>_xlfn.COVARIANCE.P('Data_Matrix (2018)'!$AA$2:$AA$67,'Data_Matrix (2018)'!AG$2:AG$67)</f>
        <v>124.67408086679819</v>
      </c>
      <c r="AH33" s="9">
        <f>_xlfn.COVARIANCE.P('Data_Matrix (2018)'!$AA$2:$AA$67,'Data_Matrix (2018)'!AH$2:AH$67)</f>
        <v>51.041093675874563</v>
      </c>
      <c r="AI33" s="9">
        <f>_xlfn.COVARIANCE.P('Data_Matrix (2018)'!$AA$2:$AA$67,'Data_Matrix (2018)'!AI$2:AI$67)</f>
        <v>98.743736770784139</v>
      </c>
      <c r="AJ33" s="9">
        <f>_xlfn.COVARIANCE.P('Data_Matrix (2018)'!$AA$2:$AA$67,'Data_Matrix (2018)'!AJ$2:AJ$67)</f>
        <v>100.24474798150079</v>
      </c>
      <c r="AK33" s="9">
        <f>_xlfn.COVARIANCE.P('Data_Matrix (2018)'!$AA$2:$AA$67,'Data_Matrix (2018)'!AK$2:AK$67)</f>
        <v>102.5694841163719</v>
      </c>
      <c r="AL33" s="9">
        <f>_xlfn.COVARIANCE.P('Data_Matrix (2018)'!$AA$2:$AA$67,'Data_Matrix (2018)'!AL$2:AL$67)</f>
        <v>-135.68299744239349</v>
      </c>
      <c r="AM33" s="9">
        <f>_xlfn.COVARIANCE.P('Data_Matrix (2018)'!$AA$2:$AA$67,'Data_Matrix (2018)'!AM$2:AM$67)</f>
        <v>23.798248192781156</v>
      </c>
      <c r="AN33" s="9">
        <f>_xlfn.COVARIANCE.P('Data_Matrix (2018)'!$AA$2:$AA$67,'Data_Matrix (2018)'!AN$2:AN$67)</f>
        <v>12.394421822326425</v>
      </c>
      <c r="AO33" s="9">
        <f>_xlfn.COVARIANCE.P('Data_Matrix (2018)'!$AA$2:$AA$67,'Data_Matrix (2018)'!AO$2:AO$67)</f>
        <v>24.909218664474707</v>
      </c>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row>
    <row r="34" spans="2:67" x14ac:dyDescent="0.2">
      <c r="B34" s="9">
        <f>_xlfn.COVARIANCE.P('Data_Matrix (2018)'!$AB$2:$AB$67,'Data_Matrix (2018)'!B$2:B$67)</f>
        <v>8491.1655058365814</v>
      </c>
      <c r="C34" s="9">
        <f>_xlfn.COVARIANCE.P('Data_Matrix (2018)'!$AB$2:$AB$67,'Data_Matrix (2018)'!C$2:C$67)</f>
        <v>15688.603310404606</v>
      </c>
      <c r="D34" s="9">
        <f>_xlfn.COVARIANCE.P('Data_Matrix (2018)'!$AB$2:$AB$67,'Data_Matrix (2018)'!D$2:D$67)</f>
        <v>9651.8828646148413</v>
      </c>
      <c r="E34" s="9">
        <f>_xlfn.COVARIANCE.P('Data_Matrix (2018)'!$AB$2:$AB$67,'Data_Matrix (2018)'!E$2:E$67)</f>
        <v>6694.8523163463251</v>
      </c>
      <c r="F34" s="9">
        <f>_xlfn.COVARIANCE.P('Data_Matrix (2018)'!$AB$2:$AB$67,'Data_Matrix (2018)'!F$2:F$67)</f>
        <v>3148.1020073642994</v>
      </c>
      <c r="G34" s="9">
        <f>_xlfn.COVARIANCE.P('Data_Matrix (2018)'!$AB$2:$AB$67,'Data_Matrix (2018)'!G$2:G$67)</f>
        <v>7624.0298580826011</v>
      </c>
      <c r="H34" s="9">
        <f>_xlfn.COVARIANCE.P('Data_Matrix (2018)'!$AB$2:$AB$67,'Data_Matrix (2018)'!H$2:H$67)</f>
        <v>2638.7698455538189</v>
      </c>
      <c r="I34" s="9">
        <f>_xlfn.COVARIANCE.P('Data_Matrix (2018)'!$AB$2:$AB$67,'Data_Matrix (2018)'!I$2:I$67)</f>
        <v>2454.7110914377467</v>
      </c>
      <c r="J34" s="9">
        <f>_xlfn.COVARIANCE.P('Data_Matrix (2018)'!$AB$2:$AB$67,'Data_Matrix (2018)'!J$2:J$67)</f>
        <v>1231.7104908151155</v>
      </c>
      <c r="K34" s="9">
        <f>_xlfn.COVARIANCE.P('Data_Matrix (2018)'!$AB$2:$AB$67,'Data_Matrix (2018)'!K$2:K$67)</f>
        <v>1450.7542510347018</v>
      </c>
      <c r="L34" s="9">
        <f>_xlfn.COVARIANCE.P('Data_Matrix (2018)'!$AB$2:$AB$67,'Data_Matrix (2018)'!L$2:L$67)</f>
        <v>1395.2828391748383</v>
      </c>
      <c r="M34" s="9">
        <f>_xlfn.COVARIANCE.P('Data_Matrix (2018)'!$AB$2:$AB$67,'Data_Matrix (2018)'!M$2:M$67)</f>
        <v>1321.4679668285582</v>
      </c>
      <c r="N34" s="9">
        <f>_xlfn.COVARIANCE.P('Data_Matrix (2018)'!$AB$2:$AB$67,'Data_Matrix (2018)'!N$2:N$67)</f>
        <v>1550.5645623766889</v>
      </c>
      <c r="O34" s="9">
        <f>_xlfn.COVARIANCE.P('Data_Matrix (2018)'!$AB$2:$AB$67,'Data_Matrix (2018)'!O$2:O$67)</f>
        <v>687.24132660766634</v>
      </c>
      <c r="P34" s="9">
        <f>_xlfn.COVARIANCE.P('Data_Matrix (2018)'!$AB$2:$AB$67,'Data_Matrix (2018)'!P$2:P$67)</f>
        <v>-35.784534523703094</v>
      </c>
      <c r="Q34" s="9">
        <f>_xlfn.COVARIANCE.P('Data_Matrix (2018)'!$AB$2:$AB$67,'Data_Matrix (2018)'!Q$2:Q$67)</f>
        <v>576.36458423622184</v>
      </c>
      <c r="R34" s="9">
        <f>_xlfn.COVARIANCE.P('Data_Matrix (2018)'!$AB$2:$AB$67,'Data_Matrix (2018)'!R$2:R$67)</f>
        <v>800.57721329309584</v>
      </c>
      <c r="S34" s="9">
        <f>_xlfn.COVARIANCE.P('Data_Matrix (2018)'!$AB$2:$AB$67,'Data_Matrix (2018)'!S$2:S$67)</f>
        <v>432.79875430762968</v>
      </c>
      <c r="T34" s="9">
        <f>_xlfn.COVARIANCE.P('Data_Matrix (2018)'!$AB$2:$AB$67,'Data_Matrix (2018)'!T$2:T$67)</f>
        <v>303.76086987159368</v>
      </c>
      <c r="U34" s="9">
        <f>_xlfn.COVARIANCE.P('Data_Matrix (2018)'!$AB$2:$AB$67,'Data_Matrix (2018)'!U$2:U$67)</f>
        <v>182.76473845866653</v>
      </c>
      <c r="V34" s="9">
        <f>_xlfn.COVARIANCE.P('Data_Matrix (2018)'!$AB$2:$AB$67,'Data_Matrix (2018)'!V$2:V$67)</f>
        <v>112.10861431029639</v>
      </c>
      <c r="W34" s="9">
        <f>_xlfn.COVARIANCE.P('Data_Matrix (2018)'!$AB$2:$AB$67,'Data_Matrix (2018)'!W$2:W$67)</f>
        <v>107.08838400213482</v>
      </c>
      <c r="X34" s="9">
        <f>_xlfn.COVARIANCE.P('Data_Matrix (2018)'!$AB$2:$AB$67,'Data_Matrix (2018)'!X$2:X$67)</f>
        <v>163.5532021233883</v>
      </c>
      <c r="Y34" s="9">
        <f>_xlfn.COVARIANCE.P('Data_Matrix (2018)'!$AB$2:$AB$67,'Data_Matrix (2018)'!Y$2:Y$67)</f>
        <v>146.9451942853886</v>
      </c>
      <c r="Z34" s="9">
        <f>_xlfn.COVARIANCE.P('Data_Matrix (2018)'!$AB$2:$AB$67,'Data_Matrix (2018)'!Z$2:Z$67)</f>
        <v>95.859138319942588</v>
      </c>
      <c r="AA34" s="9">
        <f>_xlfn.COVARIANCE.P('Data_Matrix (2018)'!$AB$2:$AB$67,'Data_Matrix (2018)'!AA$2:AA$67)</f>
        <v>236.94601611181673</v>
      </c>
      <c r="AB34" s="9">
        <f>_xlfn.COVARIANCE.P('Data_Matrix (2018)'!$AB$2:$AB$67,'Data_Matrix (2018)'!AB$2:AB$67)</f>
        <v>43.63487433486214</v>
      </c>
      <c r="AC34" s="9">
        <f>_xlfn.COVARIANCE.P('Data_Matrix (2018)'!$AB$2:$AB$67,'Data_Matrix (2018)'!AC$2:AC$67)</f>
        <v>24.722702857593092</v>
      </c>
      <c r="AD34" s="9">
        <f>_xlfn.COVARIANCE.P('Data_Matrix (2018)'!$AB$2:$AB$67,'Data_Matrix (2018)'!AD$2:AD$67)</f>
        <v>42.339547374095979</v>
      </c>
      <c r="AE34" s="9">
        <f>_xlfn.COVARIANCE.P('Data_Matrix (2018)'!$AB$2:$AB$67,'Data_Matrix (2018)'!AE$2:AE$67)</f>
        <v>23.373642849495408</v>
      </c>
      <c r="AF34" s="9">
        <f>_xlfn.COVARIANCE.P('Data_Matrix (2018)'!$AB$2:$AB$67,'Data_Matrix (2018)'!AF$2:AF$67)</f>
        <v>28.457684232386896</v>
      </c>
      <c r="AG34" s="9">
        <f>_xlfn.COVARIANCE.P('Data_Matrix (2018)'!$AB$2:$AB$67,'Data_Matrix (2018)'!AG$2:AG$67)</f>
        <v>13.76181598246837</v>
      </c>
      <c r="AH34" s="9">
        <f>_xlfn.COVARIANCE.P('Data_Matrix (2018)'!$AB$2:$AB$67,'Data_Matrix (2018)'!AH$2:AH$67)</f>
        <v>7.1407203539144026</v>
      </c>
      <c r="AI34" s="9">
        <f>_xlfn.COVARIANCE.P('Data_Matrix (2018)'!$AB$2:$AB$67,'Data_Matrix (2018)'!AI$2:AI$67)</f>
        <v>18.066634267755301</v>
      </c>
      <c r="AJ34" s="9">
        <f>_xlfn.COVARIANCE.P('Data_Matrix (2018)'!$AB$2:$AB$67,'Data_Matrix (2018)'!AJ$2:AJ$67)</f>
        <v>17.950016464292183</v>
      </c>
      <c r="AK34" s="9">
        <f>_xlfn.COVARIANCE.P('Data_Matrix (2018)'!$AB$2:$AB$67,'Data_Matrix (2018)'!AK$2:AK$67)</f>
        <v>9.873155721640078</v>
      </c>
      <c r="AL34" s="9">
        <f>_xlfn.COVARIANCE.P('Data_Matrix (2018)'!$AB$2:$AB$67,'Data_Matrix (2018)'!AL$2:AL$67)</f>
        <v>-21.22173228661697</v>
      </c>
      <c r="AM34" s="9">
        <f>_xlfn.COVARIANCE.P('Data_Matrix (2018)'!$AB$2:$AB$67,'Data_Matrix (2018)'!AM$2:AM$67)</f>
        <v>5.8256130863616606</v>
      </c>
      <c r="AN34" s="9">
        <f>_xlfn.COVARIANCE.P('Data_Matrix (2018)'!$AB$2:$AB$67,'Data_Matrix (2018)'!AN$2:AN$67)</f>
        <v>1.5156535999790435</v>
      </c>
      <c r="AO34" s="9">
        <f>_xlfn.COVARIANCE.P('Data_Matrix (2018)'!$AB$2:$AB$67,'Data_Matrix (2018)'!AO$2:AO$67)</f>
        <v>5.3064034814032786</v>
      </c>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row>
    <row r="35" spans="2:67" x14ac:dyDescent="0.2">
      <c r="B35" s="9">
        <f>_xlfn.COVARIANCE.P('Data_Matrix (2018)'!$AC$2:$AC$67,'Data_Matrix (2018)'!B$2:B$67)</f>
        <v>20929.401868855843</v>
      </c>
      <c r="C35" s="9">
        <f>_xlfn.COVARIANCE.P('Data_Matrix (2018)'!$AC$2:$AC$67,'Data_Matrix (2018)'!C$2:C$67)</f>
        <v>12558.930575934728</v>
      </c>
      <c r="D35" s="9">
        <f>_xlfn.COVARIANCE.P('Data_Matrix (2018)'!$AC$2:$AC$67,'Data_Matrix (2018)'!D$2:D$67)</f>
        <v>7569.2385698038897</v>
      </c>
      <c r="E35" s="9">
        <f>_xlfn.COVARIANCE.P('Data_Matrix (2018)'!$AC$2:$AC$67,'Data_Matrix (2018)'!E$2:E$67)</f>
        <v>8272.8048127036145</v>
      </c>
      <c r="F35" s="9">
        <f>_xlfn.COVARIANCE.P('Data_Matrix (2018)'!$AC$2:$AC$67,'Data_Matrix (2018)'!F$2:F$67)</f>
        <v>6068.1211071670023</v>
      </c>
      <c r="G35" s="9">
        <f>_xlfn.COVARIANCE.P('Data_Matrix (2018)'!$AC$2:$AC$67,'Data_Matrix (2018)'!G$2:G$67)</f>
        <v>5302.5358745372687</v>
      </c>
      <c r="H35" s="9">
        <f>_xlfn.COVARIANCE.P('Data_Matrix (2018)'!$AC$2:$AC$67,'Data_Matrix (2018)'!H$2:H$67)</f>
        <v>4060.4706579275644</v>
      </c>
      <c r="I35" s="9">
        <f>_xlfn.COVARIANCE.P('Data_Matrix (2018)'!$AC$2:$AC$67,'Data_Matrix (2018)'!I$2:I$67)</f>
        <v>2416.2267828013919</v>
      </c>
      <c r="J35" s="9">
        <f>_xlfn.COVARIANCE.P('Data_Matrix (2018)'!$AC$2:$AC$67,'Data_Matrix (2018)'!J$2:J$67)</f>
        <v>1.1793149682912096</v>
      </c>
      <c r="K35" s="9">
        <f>_xlfn.COVARIANCE.P('Data_Matrix (2018)'!$AC$2:$AC$67,'Data_Matrix (2018)'!K$2:K$67)</f>
        <v>1974.9783348424489</v>
      </c>
      <c r="L35" s="9">
        <f>_xlfn.COVARIANCE.P('Data_Matrix (2018)'!$AC$2:$AC$67,'Data_Matrix (2018)'!L$2:L$67)</f>
        <v>1751.6120481624382</v>
      </c>
      <c r="M35" s="9">
        <f>_xlfn.COVARIANCE.P('Data_Matrix (2018)'!$AC$2:$AC$67,'Data_Matrix (2018)'!M$2:M$67)</f>
        <v>970.90969700842106</v>
      </c>
      <c r="N35" s="9">
        <f>_xlfn.COVARIANCE.P('Data_Matrix (2018)'!$AC$2:$AC$67,'Data_Matrix (2018)'!N$2:N$67)</f>
        <v>773.65194693279545</v>
      </c>
      <c r="O35" s="9">
        <f>_xlfn.COVARIANCE.P('Data_Matrix (2018)'!$AC$2:$AC$67,'Data_Matrix (2018)'!O$2:O$67)</f>
        <v>683.41983735601195</v>
      </c>
      <c r="P35" s="9">
        <f>_xlfn.COVARIANCE.P('Data_Matrix (2018)'!$AC$2:$AC$67,'Data_Matrix (2018)'!P$2:P$67)</f>
        <v>389.13272466692132</v>
      </c>
      <c r="Q35" s="9">
        <f>_xlfn.COVARIANCE.P('Data_Matrix (2018)'!$AC$2:$AC$67,'Data_Matrix (2018)'!Q$2:Q$67)</f>
        <v>657.94390425664642</v>
      </c>
      <c r="R35" s="9">
        <f>_xlfn.COVARIANCE.P('Data_Matrix (2018)'!$AC$2:$AC$67,'Data_Matrix (2018)'!R$2:R$67)</f>
        <v>657.36387745431284</v>
      </c>
      <c r="S35" s="9">
        <f>_xlfn.COVARIANCE.P('Data_Matrix (2018)'!$AC$2:$AC$67,'Data_Matrix (2018)'!S$2:S$67)</f>
        <v>460.98119617495752</v>
      </c>
      <c r="T35" s="9">
        <f>_xlfn.COVARIANCE.P('Data_Matrix (2018)'!$AC$2:$AC$67,'Data_Matrix (2018)'!T$2:T$67)</f>
        <v>303.54621685788823</v>
      </c>
      <c r="U35" s="9">
        <f>_xlfn.COVARIANCE.P('Data_Matrix (2018)'!$AC$2:$AC$67,'Data_Matrix (2018)'!U$2:U$67)</f>
        <v>182.85309211767708</v>
      </c>
      <c r="V35" s="9">
        <f>_xlfn.COVARIANCE.P('Data_Matrix (2018)'!$AC$2:$AC$67,'Data_Matrix (2018)'!V$2:V$67)</f>
        <v>123.58740156971514</v>
      </c>
      <c r="W35" s="9">
        <f>_xlfn.COVARIANCE.P('Data_Matrix (2018)'!$AC$2:$AC$67,'Data_Matrix (2018)'!W$2:W$67)</f>
        <v>110.03082411754907</v>
      </c>
      <c r="X35" s="9">
        <f>_xlfn.COVARIANCE.P('Data_Matrix (2018)'!$AC$2:$AC$67,'Data_Matrix (2018)'!X$2:X$67)</f>
        <v>157.78679358137566</v>
      </c>
      <c r="Y35" s="9">
        <f>_xlfn.COVARIANCE.P('Data_Matrix (2018)'!$AC$2:$AC$67,'Data_Matrix (2018)'!Y$2:Y$67)</f>
        <v>167.4102695965571</v>
      </c>
      <c r="Z35" s="9">
        <f>_xlfn.COVARIANCE.P('Data_Matrix (2018)'!$AC$2:$AC$67,'Data_Matrix (2018)'!Z$2:Z$67)</f>
        <v>136.74954560230913</v>
      </c>
      <c r="AA35" s="9">
        <f>_xlfn.COVARIANCE.P('Data_Matrix (2018)'!$AC$2:$AC$67,'Data_Matrix (2018)'!AA$2:AA$67)</f>
        <v>145.76329930876841</v>
      </c>
      <c r="AB35" s="9">
        <f>_xlfn.COVARIANCE.P('Data_Matrix (2018)'!$AC$2:$AC$67,'Data_Matrix (2018)'!AB$2:AB$67)</f>
        <v>24.722702857593092</v>
      </c>
      <c r="AC35" s="9">
        <f>_xlfn.COVARIANCE.P('Data_Matrix (2018)'!$AC$2:$AC$67,'Data_Matrix (2018)'!AC$2:AC$67)</f>
        <v>92.685657632213861</v>
      </c>
      <c r="AD35" s="9">
        <f>_xlfn.COVARIANCE.P('Data_Matrix (2018)'!$AC$2:$AC$67,'Data_Matrix (2018)'!AD$2:AD$67)</f>
        <v>43.553954541948279</v>
      </c>
      <c r="AE35" s="9">
        <f>_xlfn.COVARIANCE.P('Data_Matrix (2018)'!$AC$2:$AC$67,'Data_Matrix (2018)'!AE$2:AE$67)</f>
        <v>66.153866465851834</v>
      </c>
      <c r="AF35" s="9">
        <f>_xlfn.COVARIANCE.P('Data_Matrix (2018)'!$AC$2:$AC$67,'Data_Matrix (2018)'!AF$2:AF$67)</f>
        <v>54.414234976848654</v>
      </c>
      <c r="AG35" s="9">
        <f>_xlfn.COVARIANCE.P('Data_Matrix (2018)'!$AC$2:$AC$67,'Data_Matrix (2018)'!AG$2:AG$67)</f>
        <v>52.885407136547435</v>
      </c>
      <c r="AH35" s="9">
        <f>_xlfn.COVARIANCE.P('Data_Matrix (2018)'!$AC$2:$AC$67,'Data_Matrix (2018)'!AH$2:AH$67)</f>
        <v>32.429777028661462</v>
      </c>
      <c r="AI35" s="9">
        <f>_xlfn.COVARIANCE.P('Data_Matrix (2018)'!$AC$2:$AC$67,'Data_Matrix (2018)'!AI$2:AI$67)</f>
        <v>15.023416226887987</v>
      </c>
      <c r="AJ35" s="9">
        <f>_xlfn.COVARIANCE.P('Data_Matrix (2018)'!$AC$2:$AC$67,'Data_Matrix (2018)'!AJ$2:AJ$67)</f>
        <v>30.952956586451741</v>
      </c>
      <c r="AK35" s="9">
        <f>_xlfn.COVARIANCE.P('Data_Matrix (2018)'!$AC$2:$AC$67,'Data_Matrix (2018)'!AK$2:AK$67)</f>
        <v>24.7688851250916</v>
      </c>
      <c r="AL35" s="9">
        <f>_xlfn.COVARIANCE.P('Data_Matrix (2018)'!$AC$2:$AC$67,'Data_Matrix (2018)'!AL$2:AL$67)</f>
        <v>3.8789049064660817</v>
      </c>
      <c r="AM35" s="9">
        <f>_xlfn.COVARIANCE.P('Data_Matrix (2018)'!$AC$2:$AC$67,'Data_Matrix (2018)'!AM$2:AM$67)</f>
        <v>13.7075639983822</v>
      </c>
      <c r="AN35" s="9">
        <f>_xlfn.COVARIANCE.P('Data_Matrix (2018)'!$AC$2:$AC$67,'Data_Matrix (2018)'!AN$2:AN$67)</f>
        <v>2.901835470084424</v>
      </c>
      <c r="AO35" s="9">
        <f>_xlfn.COVARIANCE.P('Data_Matrix (2018)'!$AC$2:$AC$67,'Data_Matrix (2018)'!AO$2:AO$67)</f>
        <v>13.034152515943278</v>
      </c>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row>
    <row r="36" spans="2:67" x14ac:dyDescent="0.2">
      <c r="B36" s="9">
        <f>_xlfn.COVARIANCE.P('Data_Matrix (2018)'!$AD$2:$AD$67,'Data_Matrix (2018)'!B$2:B$67)</f>
        <v>17449.217193257122</v>
      </c>
      <c r="C36" s="9">
        <f>_xlfn.COVARIANCE.P('Data_Matrix (2018)'!$AD$2:$AD$67,'Data_Matrix (2018)'!C$2:C$67)</f>
        <v>22254.116527652106</v>
      </c>
      <c r="D36" s="9">
        <f>_xlfn.COVARIANCE.P('Data_Matrix (2018)'!$AD$2:$AD$67,'Data_Matrix (2018)'!D$2:D$67)</f>
        <v>14874.297353549715</v>
      </c>
      <c r="E36" s="9">
        <f>_xlfn.COVARIANCE.P('Data_Matrix (2018)'!$AD$2:$AD$67,'Data_Matrix (2018)'!E$2:E$67)</f>
        <v>9554.3204967047459</v>
      </c>
      <c r="F36" s="9">
        <f>_xlfn.COVARIANCE.P('Data_Matrix (2018)'!$AD$2:$AD$67,'Data_Matrix (2018)'!F$2:F$67)</f>
        <v>5577.6623755395094</v>
      </c>
      <c r="G36" s="9">
        <f>_xlfn.COVARIANCE.P('Data_Matrix (2018)'!$AD$2:$AD$67,'Data_Matrix (2018)'!G$2:G$67)</f>
        <v>11216.94887043501</v>
      </c>
      <c r="H36" s="9">
        <f>_xlfn.COVARIANCE.P('Data_Matrix (2018)'!$AD$2:$AD$67,'Data_Matrix (2018)'!H$2:H$67)</f>
        <v>4017.7961053551753</v>
      </c>
      <c r="I36" s="9">
        <f>_xlfn.COVARIANCE.P('Data_Matrix (2018)'!$AD$2:$AD$67,'Data_Matrix (2018)'!I$2:I$67)</f>
        <v>4143.9057794819973</v>
      </c>
      <c r="J36" s="9">
        <f>_xlfn.COVARIANCE.P('Data_Matrix (2018)'!$AD$2:$AD$67,'Data_Matrix (2018)'!J$2:J$67)</f>
        <v>1737.5321977693513</v>
      </c>
      <c r="K36" s="9">
        <f>_xlfn.COVARIANCE.P('Data_Matrix (2018)'!$AD$2:$AD$67,'Data_Matrix (2018)'!K$2:K$67)</f>
        <v>2392.6717120006383</v>
      </c>
      <c r="L36" s="9">
        <f>_xlfn.COVARIANCE.P('Data_Matrix (2018)'!$AD$2:$AD$67,'Data_Matrix (2018)'!L$2:L$67)</f>
        <v>2302.2255915574733</v>
      </c>
      <c r="M36" s="9">
        <f>_xlfn.COVARIANCE.P('Data_Matrix (2018)'!$AD$2:$AD$67,'Data_Matrix (2018)'!M$2:M$67)</f>
        <v>1924.1099845072411</v>
      </c>
      <c r="N36" s="9">
        <f>_xlfn.COVARIANCE.P('Data_Matrix (2018)'!$AD$2:$AD$67,'Data_Matrix (2018)'!N$2:N$67)</f>
        <v>2253.965744672782</v>
      </c>
      <c r="O36" s="9">
        <f>_xlfn.COVARIANCE.P('Data_Matrix (2018)'!$AD$2:$AD$67,'Data_Matrix (2018)'!O$2:O$67)</f>
        <v>1045.1842728371778</v>
      </c>
      <c r="P36" s="9">
        <f>_xlfn.COVARIANCE.P('Data_Matrix (2018)'!$AD$2:$AD$67,'Data_Matrix (2018)'!P$2:P$67)</f>
        <v>271.70607318614691</v>
      </c>
      <c r="Q36" s="9">
        <f>_xlfn.COVARIANCE.P('Data_Matrix (2018)'!$AD$2:$AD$67,'Data_Matrix (2018)'!Q$2:Q$67)</f>
        <v>918.31528548762753</v>
      </c>
      <c r="R36" s="9">
        <f>_xlfn.COVARIANCE.P('Data_Matrix (2018)'!$AD$2:$AD$67,'Data_Matrix (2018)'!R$2:R$67)</f>
        <v>1253.9567997953395</v>
      </c>
      <c r="S36" s="9">
        <f>_xlfn.COVARIANCE.P('Data_Matrix (2018)'!$AD$2:$AD$67,'Data_Matrix (2018)'!S$2:S$67)</f>
        <v>659.04346000244811</v>
      </c>
      <c r="T36" s="9">
        <f>_xlfn.COVARIANCE.P('Data_Matrix (2018)'!$AD$2:$AD$67,'Data_Matrix (2018)'!T$2:T$67)</f>
        <v>459.5411751360183</v>
      </c>
      <c r="U36" s="9">
        <f>_xlfn.COVARIANCE.P('Data_Matrix (2018)'!$AD$2:$AD$67,'Data_Matrix (2018)'!U$2:U$67)</f>
        <v>271.17804436505884</v>
      </c>
      <c r="V36" s="9">
        <f>_xlfn.COVARIANCE.P('Data_Matrix (2018)'!$AD$2:$AD$67,'Data_Matrix (2018)'!V$2:V$67)</f>
        <v>75.949562604592643</v>
      </c>
      <c r="W36" s="9">
        <f>_xlfn.COVARIANCE.P('Data_Matrix (2018)'!$AD$2:$AD$67,'Data_Matrix (2018)'!W$2:W$67)</f>
        <v>171.81724920337817</v>
      </c>
      <c r="X36" s="9">
        <f>_xlfn.COVARIANCE.P('Data_Matrix (2018)'!$AD$2:$AD$67,'Data_Matrix (2018)'!X$2:X$67)</f>
        <v>226.79465395249997</v>
      </c>
      <c r="Y36" s="9">
        <f>_xlfn.COVARIANCE.P('Data_Matrix (2018)'!$AD$2:$AD$67,'Data_Matrix (2018)'!Y$2:Y$67)</f>
        <v>195.16958036064634</v>
      </c>
      <c r="Z36" s="9">
        <f>_xlfn.COVARIANCE.P('Data_Matrix (2018)'!$AD$2:$AD$67,'Data_Matrix (2018)'!Z$2:Z$67)</f>
        <v>123.68161031130718</v>
      </c>
      <c r="AA36" s="9">
        <f>_xlfn.COVARIANCE.P('Data_Matrix (2018)'!$AD$2:$AD$67,'Data_Matrix (2018)'!AA$2:AA$67)</f>
        <v>253.46577974648068</v>
      </c>
      <c r="AB36" s="9">
        <f>_xlfn.COVARIANCE.P('Data_Matrix (2018)'!$AD$2:$AD$67,'Data_Matrix (2018)'!AB$2:AB$67)</f>
        <v>42.339547374095979</v>
      </c>
      <c r="AC36" s="9">
        <f>_xlfn.COVARIANCE.P('Data_Matrix (2018)'!$AD$2:$AD$67,'Data_Matrix (2018)'!AC$2:AC$67)</f>
        <v>43.553954541948279</v>
      </c>
      <c r="AD36" s="9">
        <f>_xlfn.COVARIANCE.P('Data_Matrix (2018)'!$AD$2:$AD$67,'Data_Matrix (2018)'!AD$2:AD$67)</f>
        <v>68.31261153419716</v>
      </c>
      <c r="AE36" s="9">
        <f>_xlfn.COVARIANCE.P('Data_Matrix (2018)'!$AD$2:$AD$67,'Data_Matrix (2018)'!AE$2:AE$67)</f>
        <v>33.485163362730532</v>
      </c>
      <c r="AF36" s="9">
        <f>_xlfn.COVARIANCE.P('Data_Matrix (2018)'!$AD$2:$AD$67,'Data_Matrix (2018)'!AF$2:AF$67)</f>
        <v>38.373404349750786</v>
      </c>
      <c r="AG36" s="9">
        <f>_xlfn.COVARIANCE.P('Data_Matrix (2018)'!$AD$2:$AD$67,'Data_Matrix (2018)'!AG$2:AG$67)</f>
        <v>37.401092927361759</v>
      </c>
      <c r="AH36" s="9">
        <f>_xlfn.COVARIANCE.P('Data_Matrix (2018)'!$AD$2:$AD$67,'Data_Matrix (2018)'!AH$2:AH$67)</f>
        <v>14.978320233268496</v>
      </c>
      <c r="AI36" s="9">
        <f>_xlfn.COVARIANCE.P('Data_Matrix (2018)'!$AD$2:$AD$67,'Data_Matrix (2018)'!AI$2:AI$67)</f>
        <v>20.906340112058064</v>
      </c>
      <c r="AJ36" s="9">
        <f>_xlfn.COVARIANCE.P('Data_Matrix (2018)'!$AD$2:$AD$67,'Data_Matrix (2018)'!AJ$2:AJ$67)</f>
        <v>19.023076171554806</v>
      </c>
      <c r="AK36" s="9">
        <f>_xlfn.COVARIANCE.P('Data_Matrix (2018)'!$AD$2:$AD$67,'Data_Matrix (2018)'!AK$2:AK$67)</f>
        <v>18.814023368043685</v>
      </c>
      <c r="AL36" s="9">
        <f>_xlfn.COVARIANCE.P('Data_Matrix (2018)'!$AD$2:$AD$67,'Data_Matrix (2018)'!AL$2:AL$67)</f>
        <v>-30.109493229031202</v>
      </c>
      <c r="AM36" s="9">
        <f>_xlfn.COVARIANCE.P('Data_Matrix (2018)'!$AD$2:$AD$67,'Data_Matrix (2018)'!AM$2:AM$67)</f>
        <v>6.7645687587956447</v>
      </c>
      <c r="AN36" s="9">
        <f>_xlfn.COVARIANCE.P('Data_Matrix (2018)'!$AD$2:$AD$67,'Data_Matrix (2018)'!AN$2:AN$67)</f>
        <v>3.4013157482052394</v>
      </c>
      <c r="AO36" s="9">
        <f>_xlfn.COVARIANCE.P('Data_Matrix (2018)'!$AD$2:$AD$67,'Data_Matrix (2018)'!AO$2:AO$67)</f>
        <v>7.1440384170266631</v>
      </c>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row>
    <row r="37" spans="2:67" x14ac:dyDescent="0.2">
      <c r="B37" s="9">
        <f>_xlfn.COVARIANCE.P('Data_Matrix (2018)'!$AE$2:$AE$67,'Data_Matrix (2018)'!B$2:B$67)</f>
        <v>12433.965752607886</v>
      </c>
      <c r="C37" s="9">
        <f>_xlfn.COVARIANCE.P('Data_Matrix (2018)'!$AE$2:$AE$67,'Data_Matrix (2018)'!C$2:C$67)</f>
        <v>5039.3488987587971</v>
      </c>
      <c r="D37" s="9">
        <f>_xlfn.COVARIANCE.P('Data_Matrix (2018)'!$AE$2:$AE$67,'Data_Matrix (2018)'!D$2:D$67)</f>
        <v>3944.0458734425529</v>
      </c>
      <c r="E37" s="9">
        <f>_xlfn.COVARIANCE.P('Data_Matrix (2018)'!$AE$2:$AE$67,'Data_Matrix (2018)'!E$2:E$67)</f>
        <v>4604.8737504709216</v>
      </c>
      <c r="F37" s="9">
        <f>_xlfn.COVARIANCE.P('Data_Matrix (2018)'!$AE$2:$AE$67,'Data_Matrix (2018)'!F$2:F$67)</f>
        <v>3352.6684548944295</v>
      </c>
      <c r="G37" s="9">
        <f>_xlfn.COVARIANCE.P('Data_Matrix (2018)'!$AE$2:$AE$67,'Data_Matrix (2018)'!G$2:G$67)</f>
        <v>2074.2508348279107</v>
      </c>
      <c r="H37" s="9">
        <f>_xlfn.COVARIANCE.P('Data_Matrix (2018)'!$AE$2:$AE$67,'Data_Matrix (2018)'!H$2:H$67)</f>
        <v>1629.9500417968463</v>
      </c>
      <c r="I37" s="9">
        <f>_xlfn.COVARIANCE.P('Data_Matrix (2018)'!$AE$2:$AE$67,'Data_Matrix (2018)'!I$2:I$67)</f>
        <v>1405.8559332025884</v>
      </c>
      <c r="J37" s="9">
        <f>_xlfn.COVARIANCE.P('Data_Matrix (2018)'!$AE$2:$AE$67,'Data_Matrix (2018)'!J$2:J$67)</f>
        <v>-181.07040191046127</v>
      </c>
      <c r="K37" s="9">
        <f>_xlfn.COVARIANCE.P('Data_Matrix (2018)'!$AE$2:$AE$67,'Data_Matrix (2018)'!K$2:K$67)</f>
        <v>788.79689646542556</v>
      </c>
      <c r="L37" s="9">
        <f>_xlfn.COVARIANCE.P('Data_Matrix (2018)'!$AE$2:$AE$67,'Data_Matrix (2018)'!L$2:L$67)</f>
        <v>802.14683825885936</v>
      </c>
      <c r="M37" s="9">
        <f>_xlfn.COVARIANCE.P('Data_Matrix (2018)'!$AE$2:$AE$67,'Data_Matrix (2018)'!M$2:M$67)</f>
        <v>283.89695494031071</v>
      </c>
      <c r="N37" s="9">
        <f>_xlfn.COVARIANCE.P('Data_Matrix (2018)'!$AE$2:$AE$67,'Data_Matrix (2018)'!N$2:N$67)</f>
        <v>230.37859758593649</v>
      </c>
      <c r="O37" s="9">
        <f>_xlfn.COVARIANCE.P('Data_Matrix (2018)'!$AE$2:$AE$67,'Data_Matrix (2018)'!O$2:O$67)</f>
        <v>298.15445526827142</v>
      </c>
      <c r="P37" s="9">
        <f>_xlfn.COVARIANCE.P('Data_Matrix (2018)'!$AE$2:$AE$67,'Data_Matrix (2018)'!P$2:P$67)</f>
        <v>194.43497054649609</v>
      </c>
      <c r="Q37" s="9">
        <f>_xlfn.COVARIANCE.P('Data_Matrix (2018)'!$AE$2:$AE$67,'Data_Matrix (2018)'!Q$2:Q$67)</f>
        <v>237.09204858732613</v>
      </c>
      <c r="R37" s="9">
        <f>_xlfn.COVARIANCE.P('Data_Matrix (2018)'!$AE$2:$AE$67,'Data_Matrix (2018)'!R$2:R$67)</f>
        <v>188.65954920561691</v>
      </c>
      <c r="S37" s="9">
        <f>_xlfn.COVARIANCE.P('Data_Matrix (2018)'!$AE$2:$AE$67,'Data_Matrix (2018)'!S$2:S$67)</f>
        <v>162.83332440717365</v>
      </c>
      <c r="T37" s="9">
        <f>_xlfn.COVARIANCE.P('Data_Matrix (2018)'!$AE$2:$AE$67,'Data_Matrix (2018)'!T$2:T$67)</f>
        <v>149.62700748925343</v>
      </c>
      <c r="U37" s="9">
        <f>_xlfn.COVARIANCE.P('Data_Matrix (2018)'!$AE$2:$AE$67,'Data_Matrix (2018)'!U$2:U$67)</f>
        <v>76.79688433607825</v>
      </c>
      <c r="V37" s="9">
        <f>_xlfn.COVARIANCE.P('Data_Matrix (2018)'!$AE$2:$AE$67,'Data_Matrix (2018)'!V$2:V$67)</f>
        <v>78.472833311593249</v>
      </c>
      <c r="W37" s="9">
        <f>_xlfn.COVARIANCE.P('Data_Matrix (2018)'!$AE$2:$AE$67,'Data_Matrix (2018)'!W$2:W$67)</f>
        <v>61.632954570011087</v>
      </c>
      <c r="X37" s="9">
        <f>_xlfn.COVARIANCE.P('Data_Matrix (2018)'!$AE$2:$AE$67,'Data_Matrix (2018)'!X$2:X$67)</f>
        <v>76.756690619557432</v>
      </c>
      <c r="Y37" s="9">
        <f>_xlfn.COVARIANCE.P('Data_Matrix (2018)'!$AE$2:$AE$67,'Data_Matrix (2018)'!Y$2:Y$67)</f>
        <v>81.780501716074269</v>
      </c>
      <c r="Z37" s="9">
        <f>_xlfn.COVARIANCE.P('Data_Matrix (2018)'!$AE$2:$AE$67,'Data_Matrix (2018)'!Z$2:Z$67)</f>
        <v>73.993584058198309</v>
      </c>
      <c r="AA37" s="9">
        <f>_xlfn.COVARIANCE.P('Data_Matrix (2018)'!$AE$2:$AE$67,'Data_Matrix (2018)'!AA$2:AA$67)</f>
        <v>153.89025144590852</v>
      </c>
      <c r="AB37" s="9">
        <f>_xlfn.COVARIANCE.P('Data_Matrix (2018)'!$AE$2:$AE$67,'Data_Matrix (2018)'!AB$2:AB$67)</f>
        <v>23.373642849495408</v>
      </c>
      <c r="AC37" s="9">
        <f>_xlfn.COVARIANCE.P('Data_Matrix (2018)'!$AE$2:$AE$67,'Data_Matrix (2018)'!AC$2:AC$67)</f>
        <v>66.153866465851834</v>
      </c>
      <c r="AD37" s="9">
        <f>_xlfn.COVARIANCE.P('Data_Matrix (2018)'!$AE$2:$AE$67,'Data_Matrix (2018)'!AD$2:AD$67)</f>
        <v>33.485163362730532</v>
      </c>
      <c r="AE37" s="9">
        <f>_xlfn.COVARIANCE.P('Data_Matrix (2018)'!$AE$2:$AE$67,'Data_Matrix (2018)'!AE$2:AE$67)</f>
        <v>62.853269185280539</v>
      </c>
      <c r="AF37" s="9">
        <f>_xlfn.COVARIANCE.P('Data_Matrix (2018)'!$AE$2:$AE$67,'Data_Matrix (2018)'!AF$2:AF$67)</f>
        <v>45.472609249345432</v>
      </c>
      <c r="AG37" s="9">
        <f>_xlfn.COVARIANCE.P('Data_Matrix (2018)'!$AE$2:$AE$67,'Data_Matrix (2018)'!AG$2:AG$67)</f>
        <v>38.842770453556952</v>
      </c>
      <c r="AH37" s="9">
        <f>_xlfn.COVARIANCE.P('Data_Matrix (2018)'!$AE$2:$AE$67,'Data_Matrix (2018)'!AH$2:AH$67)</f>
        <v>26.772984847551026</v>
      </c>
      <c r="AI37" s="9">
        <f>_xlfn.COVARIANCE.P('Data_Matrix (2018)'!$AE$2:$AE$67,'Data_Matrix (2018)'!AI$2:AI$67)</f>
        <v>9.1692765032211838</v>
      </c>
      <c r="AJ37" s="9">
        <f>_xlfn.COVARIANCE.P('Data_Matrix (2018)'!$AE$2:$AE$67,'Data_Matrix (2018)'!AJ$2:AJ$67)</f>
        <v>23.798050326448958</v>
      </c>
      <c r="AK37" s="9">
        <f>_xlfn.COVARIANCE.P('Data_Matrix (2018)'!$AE$2:$AE$67,'Data_Matrix (2018)'!AK$2:AK$67)</f>
        <v>15.790776492114922</v>
      </c>
      <c r="AL37" s="9">
        <f>_xlfn.COVARIANCE.P('Data_Matrix (2018)'!$AE$2:$AE$67,'Data_Matrix (2018)'!AL$2:AL$67)</f>
        <v>8.0971973176895098</v>
      </c>
      <c r="AM37" s="9">
        <f>_xlfn.COVARIANCE.P('Data_Matrix (2018)'!$AE$2:$AE$67,'Data_Matrix (2018)'!AM$2:AM$67)</f>
        <v>10.754455006653673</v>
      </c>
      <c r="AN37" s="9">
        <f>_xlfn.COVARIANCE.P('Data_Matrix (2018)'!$AE$2:$AE$67,'Data_Matrix (2018)'!AN$2:AN$67)</f>
        <v>2.5493512859351726</v>
      </c>
      <c r="AO37" s="9">
        <f>_xlfn.COVARIANCE.P('Data_Matrix (2018)'!$AE$2:$AE$67,'Data_Matrix (2018)'!AO$2:AO$67)</f>
        <v>6.7298301016034028</v>
      </c>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row>
    <row r="38" spans="2:67" x14ac:dyDescent="0.2">
      <c r="B38" s="9">
        <f>_xlfn.COVARIANCE.P('Data_Matrix (2018)'!$AF$2:$AF$67,'Data_Matrix (2018)'!B$2:B$67)</f>
        <v>15795.085605860741</v>
      </c>
      <c r="C38" s="9">
        <f>_xlfn.COVARIANCE.P('Data_Matrix (2018)'!$AF$2:$AF$67,'Data_Matrix (2018)'!C$2:C$67)</f>
        <v>12699.856182375745</v>
      </c>
      <c r="D38" s="9">
        <f>_xlfn.COVARIANCE.P('Data_Matrix (2018)'!$AF$2:$AF$67,'Data_Matrix (2018)'!D$2:D$67)</f>
        <v>8449.5967821373779</v>
      </c>
      <c r="E38" s="9">
        <f>_xlfn.COVARIANCE.P('Data_Matrix (2018)'!$AF$2:$AF$67,'Data_Matrix (2018)'!E$2:E$67)</f>
        <v>8703.6896933099815</v>
      </c>
      <c r="F38" s="9">
        <f>_xlfn.COVARIANCE.P('Data_Matrix (2018)'!$AF$2:$AF$67,'Data_Matrix (2018)'!F$2:F$67)</f>
        <v>4672.6760178891391</v>
      </c>
      <c r="G38" s="9">
        <f>_xlfn.COVARIANCE.P('Data_Matrix (2018)'!$AF$2:$AF$67,'Data_Matrix (2018)'!G$2:G$67)</f>
        <v>5835.8276536991034</v>
      </c>
      <c r="H38" s="9">
        <f>_xlfn.COVARIANCE.P('Data_Matrix (2018)'!$AF$2:$AF$67,'Data_Matrix (2018)'!H$2:H$67)</f>
        <v>2116.556341328645</v>
      </c>
      <c r="I38" s="9">
        <f>_xlfn.COVARIANCE.P('Data_Matrix (2018)'!$AF$2:$AF$67,'Data_Matrix (2018)'!I$2:I$67)</f>
        <v>2418.2169911469955</v>
      </c>
      <c r="J38" s="9">
        <f>_xlfn.COVARIANCE.P('Data_Matrix (2018)'!$AF$2:$AF$67,'Data_Matrix (2018)'!J$2:J$67)</f>
        <v>517.14967641811336</v>
      </c>
      <c r="K38" s="9">
        <f>_xlfn.COVARIANCE.P('Data_Matrix (2018)'!$AF$2:$AF$67,'Data_Matrix (2018)'!K$2:K$67)</f>
        <v>1404.0464096740138</v>
      </c>
      <c r="L38" s="9">
        <f>_xlfn.COVARIANCE.P('Data_Matrix (2018)'!$AF$2:$AF$67,'Data_Matrix (2018)'!L$2:L$67)</f>
        <v>1405.4186551608268</v>
      </c>
      <c r="M38" s="9">
        <f>_xlfn.COVARIANCE.P('Data_Matrix (2018)'!$AF$2:$AF$67,'Data_Matrix (2018)'!M$2:M$67)</f>
        <v>721.71314217296015</v>
      </c>
      <c r="N38" s="9">
        <f>_xlfn.COVARIANCE.P('Data_Matrix (2018)'!$AF$2:$AF$67,'Data_Matrix (2018)'!N$2:N$67)</f>
        <v>986.64932296517907</v>
      </c>
      <c r="O38" s="9">
        <f>_xlfn.COVARIANCE.P('Data_Matrix (2018)'!$AF$2:$AF$67,'Data_Matrix (2018)'!O$2:O$67)</f>
        <v>623.65269894861706</v>
      </c>
      <c r="P38" s="9">
        <f>_xlfn.COVARIANCE.P('Data_Matrix (2018)'!$AF$2:$AF$67,'Data_Matrix (2018)'!P$2:P$67)</f>
        <v>188.11370701655937</v>
      </c>
      <c r="Q38" s="9">
        <f>_xlfn.COVARIANCE.P('Data_Matrix (2018)'!$AF$2:$AF$67,'Data_Matrix (2018)'!Q$2:Q$67)</f>
        <v>501.47865511909561</v>
      </c>
      <c r="R38" s="9">
        <f>_xlfn.COVARIANCE.P('Data_Matrix (2018)'!$AF$2:$AF$67,'Data_Matrix (2018)'!R$2:R$67)</f>
        <v>592.10965940088056</v>
      </c>
      <c r="S38" s="9">
        <f>_xlfn.COVARIANCE.P('Data_Matrix (2018)'!$AF$2:$AF$67,'Data_Matrix (2018)'!S$2:S$67)</f>
        <v>346.96393489021551</v>
      </c>
      <c r="T38" s="9">
        <f>_xlfn.COVARIANCE.P('Data_Matrix (2018)'!$AF$2:$AF$67,'Data_Matrix (2018)'!T$2:T$67)</f>
        <v>324.67889014283344</v>
      </c>
      <c r="U38" s="9">
        <f>_xlfn.COVARIANCE.P('Data_Matrix (2018)'!$AF$2:$AF$67,'Data_Matrix (2018)'!U$2:U$67)</f>
        <v>144.73026632267545</v>
      </c>
      <c r="V38" s="9">
        <f>_xlfn.COVARIANCE.P('Data_Matrix (2018)'!$AF$2:$AF$67,'Data_Matrix (2018)'!V$2:V$67)</f>
        <v>77.220874778426449</v>
      </c>
      <c r="W38" s="9">
        <f>_xlfn.COVARIANCE.P('Data_Matrix (2018)'!$AF$2:$AF$67,'Data_Matrix (2018)'!W$2:W$67)</f>
        <v>100.95508324551197</v>
      </c>
      <c r="X38" s="9">
        <f>_xlfn.COVARIANCE.P('Data_Matrix (2018)'!$AF$2:$AF$67,'Data_Matrix (2018)'!X$2:X$67)</f>
        <v>175.00703681596269</v>
      </c>
      <c r="Y38" s="9">
        <f>_xlfn.COVARIANCE.P('Data_Matrix (2018)'!$AF$2:$AF$67,'Data_Matrix (2018)'!Y$2:Y$67)</f>
        <v>137.15453515400407</v>
      </c>
      <c r="Z38" s="9">
        <f>_xlfn.COVARIANCE.P('Data_Matrix (2018)'!$AF$2:$AF$67,'Data_Matrix (2018)'!Z$2:Z$67)</f>
        <v>121.91655512150831</v>
      </c>
      <c r="AA38" s="9">
        <f>_xlfn.COVARIANCE.P('Data_Matrix (2018)'!$AF$2:$AF$67,'Data_Matrix (2018)'!AA$2:AA$67)</f>
        <v>166.68148341132516</v>
      </c>
      <c r="AB38" s="9">
        <f>_xlfn.COVARIANCE.P('Data_Matrix (2018)'!$AF$2:$AF$67,'Data_Matrix (2018)'!AB$2:AB$67)</f>
        <v>28.457684232386896</v>
      </c>
      <c r="AC38" s="9">
        <f>_xlfn.COVARIANCE.P('Data_Matrix (2018)'!$AF$2:$AF$67,'Data_Matrix (2018)'!AC$2:AC$67)</f>
        <v>54.414234976848654</v>
      </c>
      <c r="AD38" s="9">
        <f>_xlfn.COVARIANCE.P('Data_Matrix (2018)'!$AF$2:$AF$67,'Data_Matrix (2018)'!AD$2:AD$67)</f>
        <v>38.373404349750786</v>
      </c>
      <c r="AE38" s="9">
        <f>_xlfn.COVARIANCE.P('Data_Matrix (2018)'!$AF$2:$AF$67,'Data_Matrix (2018)'!AE$2:AE$67)</f>
        <v>45.472609249345432</v>
      </c>
      <c r="AF38" s="9">
        <f>_xlfn.COVARIANCE.P('Data_Matrix (2018)'!$AF$2:$AF$67,'Data_Matrix (2018)'!AF$2:AF$67)</f>
        <v>56.268510732842579</v>
      </c>
      <c r="AG38" s="9">
        <f>_xlfn.COVARIANCE.P('Data_Matrix (2018)'!$AF$2:$AF$67,'Data_Matrix (2018)'!AG$2:AG$67)</f>
        <v>35.584843312224727</v>
      </c>
      <c r="AH38" s="9">
        <f>_xlfn.COVARIANCE.P('Data_Matrix (2018)'!$AF$2:$AF$67,'Data_Matrix (2018)'!AH$2:AH$67)</f>
        <v>20.47739443063502</v>
      </c>
      <c r="AI38" s="9">
        <f>_xlfn.COVARIANCE.P('Data_Matrix (2018)'!$AF$2:$AF$67,'Data_Matrix (2018)'!AI$2:AI$67)</f>
        <v>14.88348770633862</v>
      </c>
      <c r="AJ38" s="9">
        <f>_xlfn.COVARIANCE.P('Data_Matrix (2018)'!$AF$2:$AF$67,'Data_Matrix (2018)'!AJ$2:AJ$67)</f>
        <v>34.231997729698598</v>
      </c>
      <c r="AK38" s="9">
        <f>_xlfn.COVARIANCE.P('Data_Matrix (2018)'!$AF$2:$AF$67,'Data_Matrix (2018)'!AK$2:AK$67)</f>
        <v>17.795097981719479</v>
      </c>
      <c r="AL38" s="9">
        <f>_xlfn.COVARIANCE.P('Data_Matrix (2018)'!$AF$2:$AF$67,'Data_Matrix (2018)'!AL$2:AL$67)</f>
        <v>-9.7677365674834995</v>
      </c>
      <c r="AM38" s="9">
        <f>_xlfn.COVARIANCE.P('Data_Matrix (2018)'!$AF$2:$AF$67,'Data_Matrix (2018)'!AM$2:AM$67)</f>
        <v>19.709673620140595</v>
      </c>
      <c r="AN38" s="9">
        <f>_xlfn.COVARIANCE.P('Data_Matrix (2018)'!$AF$2:$AF$67,'Data_Matrix (2018)'!AN$2:AN$67)</f>
        <v>-0.54320962889490931</v>
      </c>
      <c r="AO38" s="9">
        <f>_xlfn.COVARIANCE.P('Data_Matrix (2018)'!$AF$2:$AF$67,'Data_Matrix (2018)'!AO$2:AO$67)</f>
        <v>9.8334561689330027</v>
      </c>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row>
    <row r="39" spans="2:67" x14ac:dyDescent="0.2">
      <c r="B39" s="9">
        <f>_xlfn.COVARIANCE.P('Data_Matrix (2018)'!$AG$2:$AG$67,'Data_Matrix (2018)'!B$2:B$67)</f>
        <v>14042.297492400852</v>
      </c>
      <c r="C39" s="9">
        <f>_xlfn.COVARIANCE.P('Data_Matrix (2018)'!$AG$2:$AG$67,'Data_Matrix (2018)'!C$2:C$67)</f>
        <v>10439.691645913394</v>
      </c>
      <c r="D39" s="9">
        <f>_xlfn.COVARIANCE.P('Data_Matrix (2018)'!$AG$2:$AG$67,'Data_Matrix (2018)'!D$2:D$67)</f>
        <v>5536.4829493321758</v>
      </c>
      <c r="E39" s="9">
        <f>_xlfn.COVARIANCE.P('Data_Matrix (2018)'!$AG$2:$AG$67,'Data_Matrix (2018)'!E$2:E$67)</f>
        <v>7154.6882232559074</v>
      </c>
      <c r="F39" s="9">
        <f>_xlfn.COVARIANCE.P('Data_Matrix (2018)'!$AG$2:$AG$67,'Data_Matrix (2018)'!F$2:F$67)</f>
        <v>5017.8782573442295</v>
      </c>
      <c r="G39" s="9">
        <f>_xlfn.COVARIANCE.P('Data_Matrix (2018)'!$AG$2:$AG$67,'Data_Matrix (2018)'!G$2:G$67)</f>
        <v>4620.3072408923244</v>
      </c>
      <c r="H39" s="9">
        <f>_xlfn.COVARIANCE.P('Data_Matrix (2018)'!$AG$2:$AG$67,'Data_Matrix (2018)'!H$2:H$67)</f>
        <v>1272.2625528593817</v>
      </c>
      <c r="I39" s="9">
        <f>_xlfn.COVARIANCE.P('Data_Matrix (2018)'!$AG$2:$AG$67,'Data_Matrix (2018)'!I$2:I$67)</f>
        <v>2460.0327858338942</v>
      </c>
      <c r="J39" s="9">
        <f>_xlfn.COVARIANCE.P('Data_Matrix (2018)'!$AG$2:$AG$67,'Data_Matrix (2018)'!J$2:J$67)</f>
        <v>420.4199440749619</v>
      </c>
      <c r="K39" s="9">
        <f>_xlfn.COVARIANCE.P('Data_Matrix (2018)'!$AG$2:$AG$67,'Data_Matrix (2018)'!K$2:K$67)</f>
        <v>1584.5849121930696</v>
      </c>
      <c r="L39" s="9">
        <f>_xlfn.COVARIANCE.P('Data_Matrix (2018)'!$AG$2:$AG$67,'Data_Matrix (2018)'!L$2:L$67)</f>
        <v>1320.8831141138435</v>
      </c>
      <c r="M39" s="9">
        <f>_xlfn.COVARIANCE.P('Data_Matrix (2018)'!$AG$2:$AG$67,'Data_Matrix (2018)'!M$2:M$67)</f>
        <v>786.84448474204646</v>
      </c>
      <c r="N39" s="9">
        <f>_xlfn.COVARIANCE.P('Data_Matrix (2018)'!$AG$2:$AG$67,'Data_Matrix (2018)'!N$2:N$67)</f>
        <v>752.80629071018461</v>
      </c>
      <c r="O39" s="9">
        <f>_xlfn.COVARIANCE.P('Data_Matrix (2018)'!$AG$2:$AG$67,'Data_Matrix (2018)'!O$2:O$67)</f>
        <v>487.24291435791878</v>
      </c>
      <c r="P39" s="9">
        <f>_xlfn.COVARIANCE.P('Data_Matrix (2018)'!$AG$2:$AG$67,'Data_Matrix (2018)'!P$2:P$67)</f>
        <v>527.3063005032875</v>
      </c>
      <c r="Q39" s="9">
        <f>_xlfn.COVARIANCE.P('Data_Matrix (2018)'!$AG$2:$AG$67,'Data_Matrix (2018)'!Q$2:Q$67)</f>
        <v>404.27632551059907</v>
      </c>
      <c r="R39" s="9">
        <f>_xlfn.COVARIANCE.P('Data_Matrix (2018)'!$AG$2:$AG$67,'Data_Matrix (2018)'!R$2:R$67)</f>
        <v>337.95775386712376</v>
      </c>
      <c r="S39" s="9">
        <f>_xlfn.COVARIANCE.P('Data_Matrix (2018)'!$AG$2:$AG$67,'Data_Matrix (2018)'!S$2:S$67)</f>
        <v>340.23040913010954</v>
      </c>
      <c r="T39" s="9">
        <f>_xlfn.COVARIANCE.P('Data_Matrix (2018)'!$AG$2:$AG$67,'Data_Matrix (2018)'!T$2:T$67)</f>
        <v>238.26323448392458</v>
      </c>
      <c r="U39" s="9">
        <f>_xlfn.COVARIANCE.P('Data_Matrix (2018)'!$AG$2:$AG$67,'Data_Matrix (2018)'!U$2:U$67)</f>
        <v>159.32223810330763</v>
      </c>
      <c r="V39" s="9">
        <f>_xlfn.COVARIANCE.P('Data_Matrix (2018)'!$AG$2:$AG$67,'Data_Matrix (2018)'!V$2:V$67)</f>
        <v>78.350611084793996</v>
      </c>
      <c r="W39" s="9">
        <f>_xlfn.COVARIANCE.P('Data_Matrix (2018)'!$AG$2:$AG$67,'Data_Matrix (2018)'!W$2:W$67)</f>
        <v>72.916094508163667</v>
      </c>
      <c r="X39" s="9">
        <f>_xlfn.COVARIANCE.P('Data_Matrix (2018)'!$AG$2:$AG$67,'Data_Matrix (2018)'!X$2:X$67)</f>
        <v>173.96408187205893</v>
      </c>
      <c r="Y39" s="9">
        <f>_xlfn.COVARIANCE.P('Data_Matrix (2018)'!$AG$2:$AG$67,'Data_Matrix (2018)'!Y$2:Y$67)</f>
        <v>127.11433040017141</v>
      </c>
      <c r="Z39" s="9">
        <f>_xlfn.COVARIANCE.P('Data_Matrix (2018)'!$AG$2:$AG$67,'Data_Matrix (2018)'!Z$2:Z$67)</f>
        <v>86.645957663461942</v>
      </c>
      <c r="AA39" s="9">
        <f>_xlfn.COVARIANCE.P('Data_Matrix (2018)'!$AG$2:$AG$67,'Data_Matrix (2018)'!AA$2:AA$67)</f>
        <v>124.67408086679819</v>
      </c>
      <c r="AB39" s="9">
        <f>_xlfn.COVARIANCE.P('Data_Matrix (2018)'!$AG$2:$AG$67,'Data_Matrix (2018)'!AB$2:AB$67)</f>
        <v>13.76181598246837</v>
      </c>
      <c r="AC39" s="9">
        <f>_xlfn.COVARIANCE.P('Data_Matrix (2018)'!$AG$2:$AG$67,'Data_Matrix (2018)'!AC$2:AC$67)</f>
        <v>52.885407136547435</v>
      </c>
      <c r="AD39" s="9">
        <f>_xlfn.COVARIANCE.P('Data_Matrix (2018)'!$AG$2:$AG$67,'Data_Matrix (2018)'!AD$2:AD$67)</f>
        <v>37.401092927361759</v>
      </c>
      <c r="AE39" s="9">
        <f>_xlfn.COVARIANCE.P('Data_Matrix (2018)'!$AG$2:$AG$67,'Data_Matrix (2018)'!AE$2:AE$67)</f>
        <v>38.842770453556952</v>
      </c>
      <c r="AF39" s="9">
        <f>_xlfn.COVARIANCE.P('Data_Matrix (2018)'!$AG$2:$AG$67,'Data_Matrix (2018)'!AF$2:AF$67)</f>
        <v>35.584843312224727</v>
      </c>
      <c r="AG39" s="9">
        <f>_xlfn.COVARIANCE.P('Data_Matrix (2018)'!$AG$2:$AG$67,'Data_Matrix (2018)'!AG$2:AG$67)</f>
        <v>58.840282126216351</v>
      </c>
      <c r="AH39" s="9">
        <f>_xlfn.COVARIANCE.P('Data_Matrix (2018)'!$AG$2:$AG$67,'Data_Matrix (2018)'!AH$2:AH$67)</f>
        <v>14.682563052464836</v>
      </c>
      <c r="AI39" s="9">
        <f>_xlfn.COVARIANCE.P('Data_Matrix (2018)'!$AG$2:$AG$67,'Data_Matrix (2018)'!AI$2:AI$67)</f>
        <v>11.790127907740141</v>
      </c>
      <c r="AJ39" s="9">
        <f>_xlfn.COVARIANCE.P('Data_Matrix (2018)'!$AG$2:$AG$67,'Data_Matrix (2018)'!AJ$2:AJ$67)</f>
        <v>18.696910421068022</v>
      </c>
      <c r="AK39" s="9">
        <f>_xlfn.COVARIANCE.P('Data_Matrix (2018)'!$AG$2:$AG$67,'Data_Matrix (2018)'!AK$2:AK$67)</f>
        <v>28.438786851177404</v>
      </c>
      <c r="AL39" s="9">
        <f>_xlfn.COVARIANCE.P('Data_Matrix (2018)'!$AG$2:$AG$67,'Data_Matrix (2018)'!AL$2:AL$67)</f>
        <v>-15.326924330882164</v>
      </c>
      <c r="AM39" s="9">
        <f>_xlfn.COVARIANCE.P('Data_Matrix (2018)'!$AG$2:$AG$67,'Data_Matrix (2018)'!AM$2:AM$67)</f>
        <v>4.6196338103735961</v>
      </c>
      <c r="AN39" s="9">
        <f>_xlfn.COVARIANCE.P('Data_Matrix (2018)'!$AG$2:$AG$67,'Data_Matrix (2018)'!AN$2:AN$67)</f>
        <v>0.31407201708159549</v>
      </c>
      <c r="AO39" s="9">
        <f>_xlfn.COVARIANCE.P('Data_Matrix (2018)'!$AG$2:$AG$67,'Data_Matrix (2018)'!AO$2:AO$67)</f>
        <v>10.413090269336827</v>
      </c>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row>
    <row r="40" spans="2:67" x14ac:dyDescent="0.2">
      <c r="B40" s="9">
        <f>_xlfn.COVARIANCE.P('Data_Matrix (2018)'!$AH$2:$AH$67,'Data_Matrix (2018)'!B$2:B$67)</f>
        <v>8157.2932502209778</v>
      </c>
      <c r="C40" s="9">
        <f>_xlfn.COVARIANCE.P('Data_Matrix (2018)'!$AH$2:$AH$67,'Data_Matrix (2018)'!C$2:C$67)</f>
        <v>860.04620038082601</v>
      </c>
      <c r="D40" s="9">
        <f>_xlfn.COVARIANCE.P('Data_Matrix (2018)'!$AH$2:$AH$67,'Data_Matrix (2018)'!D$2:D$67)</f>
        <v>4408.3687121710909</v>
      </c>
      <c r="E40" s="9">
        <f>_xlfn.COVARIANCE.P('Data_Matrix (2018)'!$AH$2:$AH$67,'Data_Matrix (2018)'!E$2:E$67)</f>
        <v>3355.1663806662677</v>
      </c>
      <c r="F40" s="9">
        <f>_xlfn.COVARIANCE.P('Data_Matrix (2018)'!$AH$2:$AH$67,'Data_Matrix (2018)'!F$2:F$67)</f>
        <v>2058.6947545513603</v>
      </c>
      <c r="G40" s="9">
        <f>_xlfn.COVARIANCE.P('Data_Matrix (2018)'!$AH$2:$AH$67,'Data_Matrix (2018)'!G$2:G$67)</f>
        <v>2422.5921457907621</v>
      </c>
      <c r="H40" s="9">
        <f>_xlfn.COVARIANCE.P('Data_Matrix (2018)'!$AH$2:$AH$67,'Data_Matrix (2018)'!H$2:H$67)</f>
        <v>1611.0522721447148</v>
      </c>
      <c r="I40" s="9">
        <f>_xlfn.COVARIANCE.P('Data_Matrix (2018)'!$AH$2:$AH$67,'Data_Matrix (2018)'!I$2:I$67)</f>
        <v>924.33387838461476</v>
      </c>
      <c r="J40" s="9">
        <f>_xlfn.COVARIANCE.P('Data_Matrix (2018)'!$AH$2:$AH$67,'Data_Matrix (2018)'!J$2:J$67)</f>
        <v>724.95977557447804</v>
      </c>
      <c r="K40" s="9">
        <f>_xlfn.COVARIANCE.P('Data_Matrix (2018)'!$AH$2:$AH$67,'Data_Matrix (2018)'!K$2:K$67)</f>
        <v>709.24301662377161</v>
      </c>
      <c r="L40" s="9">
        <f>_xlfn.COVARIANCE.P('Data_Matrix (2018)'!$AH$2:$AH$67,'Data_Matrix (2018)'!L$2:L$67)</f>
        <v>340.57718024095885</v>
      </c>
      <c r="M40" s="9">
        <f>_xlfn.COVARIANCE.P('Data_Matrix (2018)'!$AH$2:$AH$67,'Data_Matrix (2018)'!M$2:M$67)</f>
        <v>39.43638612492277</v>
      </c>
      <c r="N40" s="9">
        <f>_xlfn.COVARIANCE.P('Data_Matrix (2018)'!$AH$2:$AH$67,'Data_Matrix (2018)'!N$2:N$67)</f>
        <v>528.07727276849403</v>
      </c>
      <c r="O40" s="9">
        <f>_xlfn.COVARIANCE.P('Data_Matrix (2018)'!$AH$2:$AH$67,'Data_Matrix (2018)'!O$2:O$67)</f>
        <v>172.76576737787082</v>
      </c>
      <c r="P40" s="9">
        <f>_xlfn.COVARIANCE.P('Data_Matrix (2018)'!$AH$2:$AH$67,'Data_Matrix (2018)'!P$2:P$67)</f>
        <v>154.70541402902774</v>
      </c>
      <c r="Q40" s="9">
        <f>_xlfn.COVARIANCE.P('Data_Matrix (2018)'!$AH$2:$AH$67,'Data_Matrix (2018)'!Q$2:Q$67)</f>
        <v>79.897890176263985</v>
      </c>
      <c r="R40" s="9">
        <f>_xlfn.COVARIANCE.P('Data_Matrix (2018)'!$AH$2:$AH$67,'Data_Matrix (2018)'!R$2:R$67)</f>
        <v>-30.255022960508395</v>
      </c>
      <c r="S40" s="9">
        <f>_xlfn.COVARIANCE.P('Data_Matrix (2018)'!$AH$2:$AH$67,'Data_Matrix (2018)'!S$2:S$67)</f>
        <v>18.175305591045522</v>
      </c>
      <c r="T40" s="9">
        <f>_xlfn.COVARIANCE.P('Data_Matrix (2018)'!$AH$2:$AH$67,'Data_Matrix (2018)'!T$2:T$67)</f>
        <v>99.82795566227712</v>
      </c>
      <c r="U40" s="9">
        <f>_xlfn.COVARIANCE.P('Data_Matrix (2018)'!$AH$2:$AH$67,'Data_Matrix (2018)'!U$2:U$67)</f>
        <v>-27.711522119699879</v>
      </c>
      <c r="V40" s="9">
        <f>_xlfn.COVARIANCE.P('Data_Matrix (2018)'!$AH$2:$AH$67,'Data_Matrix (2018)'!V$2:V$67)</f>
        <v>21.893210043044775</v>
      </c>
      <c r="W40" s="9">
        <f>_xlfn.COVARIANCE.P('Data_Matrix (2018)'!$AH$2:$AH$67,'Data_Matrix (2018)'!W$2:W$67)</f>
        <v>50.101562348205377</v>
      </c>
      <c r="X40" s="9">
        <f>_xlfn.COVARIANCE.P('Data_Matrix (2018)'!$AH$2:$AH$67,'Data_Matrix (2018)'!X$2:X$67)</f>
        <v>55.355193220955563</v>
      </c>
      <c r="Y40" s="9">
        <f>_xlfn.COVARIANCE.P('Data_Matrix (2018)'!$AH$2:$AH$67,'Data_Matrix (2018)'!Y$2:Y$67)</f>
        <v>48.167198731357594</v>
      </c>
      <c r="Z40" s="9">
        <f>_xlfn.COVARIANCE.P('Data_Matrix (2018)'!$AH$2:$AH$67,'Data_Matrix (2018)'!Z$2:Z$67)</f>
        <v>21.224127233604833</v>
      </c>
      <c r="AA40" s="9">
        <f>_xlfn.COVARIANCE.P('Data_Matrix (2018)'!$AH$2:$AH$67,'Data_Matrix (2018)'!AA$2:AA$67)</f>
        <v>51.041093675874563</v>
      </c>
      <c r="AB40" s="9">
        <f>_xlfn.COVARIANCE.P('Data_Matrix (2018)'!$AH$2:$AH$67,'Data_Matrix (2018)'!AB$2:AB$67)</f>
        <v>7.1407203539144026</v>
      </c>
      <c r="AC40" s="9">
        <f>_xlfn.COVARIANCE.P('Data_Matrix (2018)'!$AH$2:$AH$67,'Data_Matrix (2018)'!AC$2:AC$67)</f>
        <v>32.429777028661462</v>
      </c>
      <c r="AD40" s="9">
        <f>_xlfn.COVARIANCE.P('Data_Matrix (2018)'!$AH$2:$AH$67,'Data_Matrix (2018)'!AD$2:AD$67)</f>
        <v>14.978320233268496</v>
      </c>
      <c r="AE40" s="9">
        <f>_xlfn.COVARIANCE.P('Data_Matrix (2018)'!$AH$2:$AH$67,'Data_Matrix (2018)'!AE$2:AE$67)</f>
        <v>26.772984847551026</v>
      </c>
      <c r="AF40" s="9">
        <f>_xlfn.COVARIANCE.P('Data_Matrix (2018)'!$AH$2:$AH$67,'Data_Matrix (2018)'!AF$2:AF$67)</f>
        <v>20.47739443063502</v>
      </c>
      <c r="AG40" s="9">
        <f>_xlfn.COVARIANCE.P('Data_Matrix (2018)'!$AH$2:$AH$67,'Data_Matrix (2018)'!AG$2:AG$67)</f>
        <v>14.682563052464836</v>
      </c>
      <c r="AH40" s="9">
        <f>_xlfn.COVARIANCE.P('Data_Matrix (2018)'!$AH$2:$AH$67,'Data_Matrix (2018)'!AH$2:AH$67)</f>
        <v>65.431866134986365</v>
      </c>
      <c r="AI40" s="9">
        <f>_xlfn.COVARIANCE.P('Data_Matrix (2018)'!$AH$2:$AH$67,'Data_Matrix (2018)'!AI$2:AI$67)</f>
        <v>1.4849188380974394</v>
      </c>
      <c r="AJ40" s="9">
        <f>_xlfn.COVARIANCE.P('Data_Matrix (2018)'!$AH$2:$AH$67,'Data_Matrix (2018)'!AJ$2:AJ$67)</f>
        <v>8.2350026104588565</v>
      </c>
      <c r="AK40" s="9">
        <f>_xlfn.COVARIANCE.P('Data_Matrix (2018)'!$AH$2:$AH$67,'Data_Matrix (2018)'!AK$2:AK$67)</f>
        <v>3.7074036281152494</v>
      </c>
      <c r="AL40" s="9">
        <f>_xlfn.COVARIANCE.P('Data_Matrix (2018)'!$AH$2:$AH$67,'Data_Matrix (2018)'!AL$2:AL$67)</f>
        <v>1.6585116441553209</v>
      </c>
      <c r="AM40" s="9">
        <f>_xlfn.COVARIANCE.P('Data_Matrix (2018)'!$AH$2:$AH$67,'Data_Matrix (2018)'!AM$2:AM$67)</f>
        <v>15.481019861540181</v>
      </c>
      <c r="AN40" s="9">
        <f>_xlfn.COVARIANCE.P('Data_Matrix (2018)'!$AH$2:$AH$67,'Data_Matrix (2018)'!AN$2:AN$67)</f>
        <v>11.264500143870887</v>
      </c>
      <c r="AO40" s="9">
        <f>_xlfn.COVARIANCE.P('Data_Matrix (2018)'!$AH$2:$AH$67,'Data_Matrix (2018)'!AO$2:AO$67)</f>
        <v>-5.9586621786159126</v>
      </c>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row>
    <row r="41" spans="2:67" x14ac:dyDescent="0.2">
      <c r="B41" s="9">
        <f>_xlfn.COVARIANCE.P('Data_Matrix (2018)'!$AI$2:$AI$67,'Data_Matrix (2018)'!B$2:B$67)</f>
        <v>6081.273574437746</v>
      </c>
      <c r="C41" s="9">
        <f>_xlfn.COVARIANCE.P('Data_Matrix (2018)'!$AI$2:$AI$67,'Data_Matrix (2018)'!C$2:C$67)</f>
        <v>10322.802944639041</v>
      </c>
      <c r="D41" s="9">
        <f>_xlfn.COVARIANCE.P('Data_Matrix (2018)'!$AI$2:$AI$67,'Data_Matrix (2018)'!D$2:D$67)</f>
        <v>6014.7207982238506</v>
      </c>
      <c r="E41" s="9">
        <f>_xlfn.COVARIANCE.P('Data_Matrix (2018)'!$AI$2:$AI$67,'Data_Matrix (2018)'!E$2:E$67)</f>
        <v>3453.5341094887308</v>
      </c>
      <c r="F41" s="9">
        <f>_xlfn.COVARIANCE.P('Data_Matrix (2018)'!$AI$2:$AI$67,'Data_Matrix (2018)'!F$2:F$67)</f>
        <v>1626.2351906311565</v>
      </c>
      <c r="G41" s="9">
        <f>_xlfn.COVARIANCE.P('Data_Matrix (2018)'!$AI$2:$AI$67,'Data_Matrix (2018)'!G$2:G$67)</f>
        <v>4627.7280682312103</v>
      </c>
      <c r="H41" s="9">
        <f>_xlfn.COVARIANCE.P('Data_Matrix (2018)'!$AI$2:$AI$67,'Data_Matrix (2018)'!H$2:H$67)</f>
        <v>2170.3736251524028</v>
      </c>
      <c r="I41" s="9">
        <f>_xlfn.COVARIANCE.P('Data_Matrix (2018)'!$AI$2:$AI$67,'Data_Matrix (2018)'!I$2:I$67)</f>
        <v>1629.2131254888873</v>
      </c>
      <c r="J41" s="9">
        <f>_xlfn.COVARIANCE.P('Data_Matrix (2018)'!$AI$2:$AI$67,'Data_Matrix (2018)'!J$2:J$67)</f>
        <v>938.50472835872711</v>
      </c>
      <c r="K41" s="9">
        <f>_xlfn.COVARIANCE.P('Data_Matrix (2018)'!$AI$2:$AI$67,'Data_Matrix (2018)'!K$2:K$67)</f>
        <v>917.95624037281436</v>
      </c>
      <c r="L41" s="9">
        <f>_xlfn.COVARIANCE.P('Data_Matrix (2018)'!$AI$2:$AI$67,'Data_Matrix (2018)'!L$2:L$67)</f>
        <v>1003.473413905062</v>
      </c>
      <c r="M41" s="9">
        <f>_xlfn.COVARIANCE.P('Data_Matrix (2018)'!$AI$2:$AI$67,'Data_Matrix (2018)'!M$2:M$67)</f>
        <v>807.02926610978705</v>
      </c>
      <c r="N41" s="9">
        <f>_xlfn.COVARIANCE.P('Data_Matrix (2018)'!$AI$2:$AI$67,'Data_Matrix (2018)'!N$2:N$67)</f>
        <v>880.80507887384647</v>
      </c>
      <c r="O41" s="9">
        <f>_xlfn.COVARIANCE.P('Data_Matrix (2018)'!$AI$2:$AI$67,'Data_Matrix (2018)'!O$2:O$67)</f>
        <v>419.24437700535634</v>
      </c>
      <c r="P41" s="9">
        <f>_xlfn.COVARIANCE.P('Data_Matrix (2018)'!$AI$2:$AI$67,'Data_Matrix (2018)'!P$2:P$67)</f>
        <v>64.397565247901426</v>
      </c>
      <c r="Q41" s="9">
        <f>_xlfn.COVARIANCE.P('Data_Matrix (2018)'!$AI$2:$AI$67,'Data_Matrix (2018)'!Q$2:Q$67)</f>
        <v>456.74288368767003</v>
      </c>
      <c r="R41" s="9">
        <f>_xlfn.COVARIANCE.P('Data_Matrix (2018)'!$AI$2:$AI$67,'Data_Matrix (2018)'!R$2:R$67)</f>
        <v>599.1824051074185</v>
      </c>
      <c r="S41" s="9">
        <f>_xlfn.COVARIANCE.P('Data_Matrix (2018)'!$AI$2:$AI$67,'Data_Matrix (2018)'!S$2:S$67)</f>
        <v>343.46334564763737</v>
      </c>
      <c r="T41" s="9">
        <f>_xlfn.COVARIANCE.P('Data_Matrix (2018)'!$AI$2:$AI$67,'Data_Matrix (2018)'!T$2:T$67)</f>
        <v>203.59908810015978</v>
      </c>
      <c r="U41" s="9">
        <f>_xlfn.COVARIANCE.P('Data_Matrix (2018)'!$AI$2:$AI$67,'Data_Matrix (2018)'!U$2:U$67)</f>
        <v>139.08093139347972</v>
      </c>
      <c r="V41" s="9">
        <f>_xlfn.COVARIANCE.P('Data_Matrix (2018)'!$AI$2:$AI$67,'Data_Matrix (2018)'!V$2:V$67)</f>
        <v>67.949098662326762</v>
      </c>
      <c r="W41" s="9">
        <f>_xlfn.COVARIANCE.P('Data_Matrix (2018)'!$AI$2:$AI$67,'Data_Matrix (2018)'!W$2:W$67)</f>
        <v>69.812820117520559</v>
      </c>
      <c r="X41" s="9">
        <f>_xlfn.COVARIANCE.P('Data_Matrix (2018)'!$AI$2:$AI$67,'Data_Matrix (2018)'!X$2:X$67)</f>
        <v>88.453194489779278</v>
      </c>
      <c r="Y41" s="9">
        <f>_xlfn.COVARIANCE.P('Data_Matrix (2018)'!$AI$2:$AI$67,'Data_Matrix (2018)'!Y$2:Y$67)</f>
        <v>104.41686337003077</v>
      </c>
      <c r="Z41" s="9">
        <f>_xlfn.COVARIANCE.P('Data_Matrix (2018)'!$AI$2:$AI$67,'Data_Matrix (2018)'!Z$2:Z$67)</f>
        <v>71.058284814924562</v>
      </c>
      <c r="AA41" s="9">
        <f>_xlfn.COVARIANCE.P('Data_Matrix (2018)'!$AI$2:$AI$67,'Data_Matrix (2018)'!AA$2:AA$67)</f>
        <v>98.743736770784139</v>
      </c>
      <c r="AB41" s="9">
        <f>_xlfn.COVARIANCE.P('Data_Matrix (2018)'!$AI$2:$AI$67,'Data_Matrix (2018)'!AB$2:AB$67)</f>
        <v>18.066634267755301</v>
      </c>
      <c r="AC41" s="9">
        <f>_xlfn.COVARIANCE.P('Data_Matrix (2018)'!$AI$2:$AI$67,'Data_Matrix (2018)'!AC$2:AC$67)</f>
        <v>15.023416226887987</v>
      </c>
      <c r="AD41" s="9">
        <f>_xlfn.COVARIANCE.P('Data_Matrix (2018)'!$AI$2:$AI$67,'Data_Matrix (2018)'!AD$2:AD$67)</f>
        <v>20.906340112058064</v>
      </c>
      <c r="AE41" s="9">
        <f>_xlfn.COVARIANCE.P('Data_Matrix (2018)'!$AI$2:$AI$67,'Data_Matrix (2018)'!AE$2:AE$67)</f>
        <v>9.1692765032211838</v>
      </c>
      <c r="AF41" s="9">
        <f>_xlfn.COVARIANCE.P('Data_Matrix (2018)'!$AI$2:$AI$67,'Data_Matrix (2018)'!AF$2:AF$67)</f>
        <v>14.88348770633862</v>
      </c>
      <c r="AG41" s="9">
        <f>_xlfn.COVARIANCE.P('Data_Matrix (2018)'!$AI$2:$AI$67,'Data_Matrix (2018)'!AG$2:AG$67)</f>
        <v>11.790127907740141</v>
      </c>
      <c r="AH41" s="9">
        <f>_xlfn.COVARIANCE.P('Data_Matrix (2018)'!$AI$2:$AI$67,'Data_Matrix (2018)'!AH$2:AH$67)</f>
        <v>1.4849188380974394</v>
      </c>
      <c r="AI41" s="9">
        <f>_xlfn.COVARIANCE.P('Data_Matrix (2018)'!$AI$2:$AI$67,'Data_Matrix (2018)'!AI$2:AI$67)</f>
        <v>16.179321943449864</v>
      </c>
      <c r="AJ41" s="9">
        <f>_xlfn.COVARIANCE.P('Data_Matrix (2018)'!$AI$2:$AI$67,'Data_Matrix (2018)'!AJ$2:AJ$67)</f>
        <v>10.763678371070032</v>
      </c>
      <c r="AK41" s="9">
        <f>_xlfn.COVARIANCE.P('Data_Matrix (2018)'!$AI$2:$AI$67,'Data_Matrix (2018)'!AK$2:AK$67)</f>
        <v>6.291866329190019</v>
      </c>
      <c r="AL41" s="9">
        <f>_xlfn.COVARIANCE.P('Data_Matrix (2018)'!$AI$2:$AI$67,'Data_Matrix (2018)'!AL$2:AL$67)</f>
        <v>-11.164660250321194</v>
      </c>
      <c r="AM41" s="9">
        <f>_xlfn.COVARIANCE.P('Data_Matrix (2018)'!$AI$2:$AI$67,'Data_Matrix (2018)'!AM$2:AM$67)</f>
        <v>3.6463201139904098</v>
      </c>
      <c r="AN41" s="9">
        <f>_xlfn.COVARIANCE.P('Data_Matrix (2018)'!$AI$2:$AI$67,'Data_Matrix (2018)'!AN$2:AN$67)</f>
        <v>2.3127307655878462</v>
      </c>
      <c r="AO41" s="9">
        <f>_xlfn.COVARIANCE.P('Data_Matrix (2018)'!$AI$2:$AI$67,'Data_Matrix (2018)'!AO$2:AO$67)</f>
        <v>6.6447347953530382</v>
      </c>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row>
    <row r="42" spans="2:67" x14ac:dyDescent="0.2">
      <c r="B42" s="9">
        <f>_xlfn.COVARIANCE.P('Data_Matrix (2018)'!$AJ$2:$AJ$67,'Data_Matrix (2018)'!B$2:B$67)</f>
        <v>9136.6893710429285</v>
      </c>
      <c r="C42" s="9">
        <f>_xlfn.COVARIANCE.P('Data_Matrix (2018)'!$AJ$2:$AJ$67,'Data_Matrix (2018)'!C$2:C$67)</f>
        <v>7421.1023081593339</v>
      </c>
      <c r="D42" s="9">
        <f>_xlfn.COVARIANCE.P('Data_Matrix (2018)'!$AJ$2:$AJ$67,'Data_Matrix (2018)'!D$2:D$67)</f>
        <v>4798.5238717757093</v>
      </c>
      <c r="E42" s="9">
        <f>_xlfn.COVARIANCE.P('Data_Matrix (2018)'!$AJ$2:$AJ$67,'Data_Matrix (2018)'!E$2:E$67)</f>
        <v>4265.1970349354078</v>
      </c>
      <c r="F42" s="9">
        <f>_xlfn.COVARIANCE.P('Data_Matrix (2018)'!$AJ$2:$AJ$67,'Data_Matrix (2018)'!F$2:F$67)</f>
        <v>2348.3758791752171</v>
      </c>
      <c r="G42" s="9">
        <f>_xlfn.COVARIANCE.P('Data_Matrix (2018)'!$AJ$2:$AJ$67,'Data_Matrix (2018)'!G$2:G$67)</f>
        <v>3026.1985122227666</v>
      </c>
      <c r="H42" s="9">
        <f>_xlfn.COVARIANCE.P('Data_Matrix (2018)'!$AJ$2:$AJ$67,'Data_Matrix (2018)'!H$2:H$67)</f>
        <v>1494.5501231112178</v>
      </c>
      <c r="I42" s="9">
        <f>_xlfn.COVARIANCE.P('Data_Matrix (2018)'!$AJ$2:$AJ$67,'Data_Matrix (2018)'!I$2:I$67)</f>
        <v>1280.1941314792286</v>
      </c>
      <c r="J42" s="9">
        <f>_xlfn.COVARIANCE.P('Data_Matrix (2018)'!$AJ$2:$AJ$67,'Data_Matrix (2018)'!J$2:J$67)</f>
        <v>248.40800828302528</v>
      </c>
      <c r="K42" s="9">
        <f>_xlfn.COVARIANCE.P('Data_Matrix (2018)'!$AJ$2:$AJ$67,'Data_Matrix (2018)'!K$2:K$67)</f>
        <v>721.95834816172885</v>
      </c>
      <c r="L42" s="9">
        <f>_xlfn.COVARIANCE.P('Data_Matrix (2018)'!$AJ$2:$AJ$67,'Data_Matrix (2018)'!L$2:L$67)</f>
        <v>808.84865227017372</v>
      </c>
      <c r="M42" s="9">
        <f>_xlfn.COVARIANCE.P('Data_Matrix (2018)'!$AJ$2:$AJ$67,'Data_Matrix (2018)'!M$2:M$67)</f>
        <v>339.60476645559265</v>
      </c>
      <c r="N42" s="9">
        <f>_xlfn.COVARIANCE.P('Data_Matrix (2018)'!$AJ$2:$AJ$67,'Data_Matrix (2018)'!N$2:N$67)</f>
        <v>406.7697537712358</v>
      </c>
      <c r="O42" s="9">
        <f>_xlfn.COVARIANCE.P('Data_Matrix (2018)'!$AJ$2:$AJ$67,'Data_Matrix (2018)'!O$2:O$67)</f>
        <v>364.60977903376306</v>
      </c>
      <c r="P42" s="9">
        <f>_xlfn.COVARIANCE.P('Data_Matrix (2018)'!$AJ$2:$AJ$67,'Data_Matrix (2018)'!P$2:P$67)</f>
        <v>96.423565709491015</v>
      </c>
      <c r="Q42" s="9">
        <f>_xlfn.COVARIANCE.P('Data_Matrix (2018)'!$AJ$2:$AJ$67,'Data_Matrix (2018)'!Q$2:Q$67)</f>
        <v>358.91040663437769</v>
      </c>
      <c r="R42" s="9">
        <f>_xlfn.COVARIANCE.P('Data_Matrix (2018)'!$AJ$2:$AJ$67,'Data_Matrix (2018)'!R$2:R$67)</f>
        <v>445.81057835083607</v>
      </c>
      <c r="S42" s="9">
        <f>_xlfn.COVARIANCE.P('Data_Matrix (2018)'!$AJ$2:$AJ$67,'Data_Matrix (2018)'!S$2:S$67)</f>
        <v>212.47900169243536</v>
      </c>
      <c r="T42" s="9">
        <f>_xlfn.COVARIANCE.P('Data_Matrix (2018)'!$AJ$2:$AJ$67,'Data_Matrix (2018)'!T$2:T$67)</f>
        <v>160.13629361552677</v>
      </c>
      <c r="U42" s="9">
        <f>_xlfn.COVARIANCE.P('Data_Matrix (2018)'!$AJ$2:$AJ$67,'Data_Matrix (2018)'!U$2:U$67)</f>
        <v>101.03118591354414</v>
      </c>
      <c r="V42" s="9">
        <f>_xlfn.COVARIANCE.P('Data_Matrix (2018)'!$AJ$2:$AJ$67,'Data_Matrix (2018)'!V$2:V$67)</f>
        <v>53.726898170970287</v>
      </c>
      <c r="W42" s="9">
        <f>_xlfn.COVARIANCE.P('Data_Matrix (2018)'!$AJ$2:$AJ$67,'Data_Matrix (2018)'!W$2:W$67)</f>
        <v>24.582435606464088</v>
      </c>
      <c r="X42" s="9">
        <f>_xlfn.COVARIANCE.P('Data_Matrix (2018)'!$AJ$2:$AJ$67,'Data_Matrix (2018)'!X$2:X$67)</f>
        <v>77.923130902736958</v>
      </c>
      <c r="Y42" s="9">
        <f>_xlfn.COVARIANCE.P('Data_Matrix (2018)'!$AJ$2:$AJ$67,'Data_Matrix (2018)'!Y$2:Y$67)</f>
        <v>112.69581474597524</v>
      </c>
      <c r="Z42" s="9">
        <f>_xlfn.COVARIANCE.P('Data_Matrix (2018)'!$AJ$2:$AJ$67,'Data_Matrix (2018)'!Z$2:Z$67)</f>
        <v>92.713737095885307</v>
      </c>
      <c r="AA42" s="9">
        <f>_xlfn.COVARIANCE.P('Data_Matrix (2018)'!$AJ$2:$AJ$67,'Data_Matrix (2018)'!AA$2:AA$67)</f>
        <v>100.24474798150079</v>
      </c>
      <c r="AB42" s="9">
        <f>_xlfn.COVARIANCE.P('Data_Matrix (2018)'!$AJ$2:$AJ$67,'Data_Matrix (2018)'!AB$2:AB$67)</f>
        <v>17.950016464292183</v>
      </c>
      <c r="AC42" s="9">
        <f>_xlfn.COVARIANCE.P('Data_Matrix (2018)'!$AJ$2:$AJ$67,'Data_Matrix (2018)'!AC$2:AC$67)</f>
        <v>30.952956586451741</v>
      </c>
      <c r="AD42" s="9">
        <f>_xlfn.COVARIANCE.P('Data_Matrix (2018)'!$AJ$2:$AJ$67,'Data_Matrix (2018)'!AD$2:AD$67)</f>
        <v>19.023076171554806</v>
      </c>
      <c r="AE42" s="9">
        <f>_xlfn.COVARIANCE.P('Data_Matrix (2018)'!$AJ$2:$AJ$67,'Data_Matrix (2018)'!AE$2:AE$67)</f>
        <v>23.798050326448958</v>
      </c>
      <c r="AF42" s="9">
        <f>_xlfn.COVARIANCE.P('Data_Matrix (2018)'!$AJ$2:$AJ$67,'Data_Matrix (2018)'!AF$2:AF$67)</f>
        <v>34.231997729698598</v>
      </c>
      <c r="AG42" s="9">
        <f>_xlfn.COVARIANCE.P('Data_Matrix (2018)'!$AJ$2:$AJ$67,'Data_Matrix (2018)'!AG$2:AG$67)</f>
        <v>18.696910421068022</v>
      </c>
      <c r="AH42" s="9">
        <f>_xlfn.COVARIANCE.P('Data_Matrix (2018)'!$AJ$2:$AJ$67,'Data_Matrix (2018)'!AH$2:AH$67)</f>
        <v>8.2350026104588565</v>
      </c>
      <c r="AI42" s="9">
        <f>_xlfn.COVARIANCE.P('Data_Matrix (2018)'!$AJ$2:$AJ$67,'Data_Matrix (2018)'!AI$2:AI$67)</f>
        <v>10.763678371070032</v>
      </c>
      <c r="AJ42" s="9">
        <f>_xlfn.COVARIANCE.P('Data_Matrix (2018)'!$AJ$2:$AJ$67,'Data_Matrix (2018)'!AJ$2:AJ$67)</f>
        <v>34.913201520330851</v>
      </c>
      <c r="AK42" s="9">
        <f>_xlfn.COVARIANCE.P('Data_Matrix (2018)'!$AJ$2:$AJ$67,'Data_Matrix (2018)'!AK$2:AK$67)</f>
        <v>19.305394686173294</v>
      </c>
      <c r="AL42" s="9">
        <f>_xlfn.COVARIANCE.P('Data_Matrix (2018)'!$AJ$2:$AJ$67,'Data_Matrix (2018)'!AL$2:AL$67)</f>
        <v>-10.348903907275471</v>
      </c>
      <c r="AM42" s="9">
        <f>_xlfn.COVARIANCE.P('Data_Matrix (2018)'!$AJ$2:$AJ$67,'Data_Matrix (2018)'!AM$2:AM$67)</f>
        <v>15.52688368170276</v>
      </c>
      <c r="AN42" s="9">
        <f>_xlfn.COVARIANCE.P('Data_Matrix (2018)'!$AJ$2:$AJ$67,'Data_Matrix (2018)'!AN$2:AN$67)</f>
        <v>-0.96925266883249972</v>
      </c>
      <c r="AO42" s="9">
        <f>_xlfn.COVARIANCE.P('Data_Matrix (2018)'!$AJ$2:$AJ$67,'Data_Matrix (2018)'!AO$2:AO$67)</f>
        <v>12.457924587745941</v>
      </c>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row>
    <row r="43" spans="2:67" x14ac:dyDescent="0.2">
      <c r="B43" s="9">
        <f>_xlfn.COVARIANCE.P('Data_Matrix (2018)'!$AK$2:$AK$67,'Data_Matrix (2018)'!B$2:B$67)</f>
        <v>4607.1996795581181</v>
      </c>
      <c r="C43" s="9">
        <f>_xlfn.COVARIANCE.P('Data_Matrix (2018)'!$AK$2:$AK$67,'Data_Matrix (2018)'!C$2:C$67)</f>
        <v>5086.3557886812196</v>
      </c>
      <c r="D43" s="9">
        <f>_xlfn.COVARIANCE.P('Data_Matrix (2018)'!$AK$2:$AK$67,'Data_Matrix (2018)'!D$2:D$67)</f>
        <v>1406.1661420288849</v>
      </c>
      <c r="E43" s="9">
        <f>_xlfn.COVARIANCE.P('Data_Matrix (2018)'!$AK$2:$AK$67,'Data_Matrix (2018)'!E$2:E$67)</f>
        <v>2643.379230421438</v>
      </c>
      <c r="F43" s="9">
        <f>_xlfn.COVARIANCE.P('Data_Matrix (2018)'!$AK$2:$AK$67,'Data_Matrix (2018)'!F$2:F$67)</f>
        <v>2529.6093472710991</v>
      </c>
      <c r="G43" s="9">
        <f>_xlfn.COVARIANCE.P('Data_Matrix (2018)'!$AK$2:$AK$67,'Data_Matrix (2018)'!G$2:G$67)</f>
        <v>1158.5170623966346</v>
      </c>
      <c r="H43" s="9">
        <f>_xlfn.COVARIANCE.P('Data_Matrix (2018)'!$AK$2:$AK$67,'Data_Matrix (2018)'!H$2:H$67)</f>
        <v>-675.11413120585166</v>
      </c>
      <c r="I43" s="9">
        <f>_xlfn.COVARIANCE.P('Data_Matrix (2018)'!$AK$2:$AK$67,'Data_Matrix (2018)'!I$2:I$67)</f>
        <v>705.60490407656448</v>
      </c>
      <c r="J43" s="9">
        <f>_xlfn.COVARIANCE.P('Data_Matrix (2018)'!$AK$2:$AK$67,'Data_Matrix (2018)'!J$2:J$67)</f>
        <v>52.770221620714807</v>
      </c>
      <c r="K43" s="9">
        <f>_xlfn.COVARIANCE.P('Data_Matrix (2018)'!$AK$2:$AK$67,'Data_Matrix (2018)'!K$2:K$67)</f>
        <v>764.27514348624754</v>
      </c>
      <c r="L43" s="9">
        <f>_xlfn.COVARIANCE.P('Data_Matrix (2018)'!$AK$2:$AK$67,'Data_Matrix (2018)'!L$2:L$67)</f>
        <v>594.7339585134938</v>
      </c>
      <c r="M43" s="9">
        <f>_xlfn.COVARIANCE.P('Data_Matrix (2018)'!$AK$2:$AK$67,'Data_Matrix (2018)'!M$2:M$67)</f>
        <v>401.10023747266644</v>
      </c>
      <c r="N43" s="9">
        <f>_xlfn.COVARIANCE.P('Data_Matrix (2018)'!$AK$2:$AK$67,'Data_Matrix (2018)'!N$2:N$67)</f>
        <v>123.05282178698272</v>
      </c>
      <c r="O43" s="9">
        <f>_xlfn.COVARIANCE.P('Data_Matrix (2018)'!$AK$2:$AK$67,'Data_Matrix (2018)'!O$2:O$67)</f>
        <v>296.79200537527049</v>
      </c>
      <c r="P43" s="9">
        <f>_xlfn.COVARIANCE.P('Data_Matrix (2018)'!$AK$2:$AK$67,'Data_Matrix (2018)'!P$2:P$67)</f>
        <v>285.00632230010626</v>
      </c>
      <c r="Q43" s="9">
        <f>_xlfn.COVARIANCE.P('Data_Matrix (2018)'!$AK$2:$AK$67,'Data_Matrix (2018)'!Q$2:Q$67)</f>
        <v>268.61605865814539</v>
      </c>
      <c r="R43" s="9">
        <f>_xlfn.COVARIANCE.P('Data_Matrix (2018)'!$AK$2:$AK$67,'Data_Matrix (2018)'!R$2:R$67)</f>
        <v>312.07432143349325</v>
      </c>
      <c r="S43" s="9">
        <f>_xlfn.COVARIANCE.P('Data_Matrix (2018)'!$AK$2:$AK$67,'Data_Matrix (2018)'!S$2:S$67)</f>
        <v>181.67030090134423</v>
      </c>
      <c r="T43" s="9">
        <f>_xlfn.COVARIANCE.P('Data_Matrix (2018)'!$AK$2:$AK$67,'Data_Matrix (2018)'!T$2:T$67)</f>
        <v>61.610347498606089</v>
      </c>
      <c r="U43" s="9">
        <f>_xlfn.COVARIANCE.P('Data_Matrix (2018)'!$AK$2:$AK$67,'Data_Matrix (2018)'!U$2:U$67)</f>
        <v>143.37439777391725</v>
      </c>
      <c r="V43" s="9">
        <f>_xlfn.COVARIANCE.P('Data_Matrix (2018)'!$AK$2:$AK$67,'Data_Matrix (2018)'!V$2:V$67)</f>
        <v>159.63075154592121</v>
      </c>
      <c r="W43" s="9">
        <f>_xlfn.COVARIANCE.P('Data_Matrix (2018)'!$AK$2:$AK$67,'Data_Matrix (2018)'!W$2:W$67)</f>
        <v>44.668160535842844</v>
      </c>
      <c r="X43" s="9">
        <f>_xlfn.COVARIANCE.P('Data_Matrix (2018)'!$AK$2:$AK$67,'Data_Matrix (2018)'!X$2:X$67)</f>
        <v>43.566166615585686</v>
      </c>
      <c r="Y43" s="9">
        <f>_xlfn.COVARIANCE.P('Data_Matrix (2018)'!$AK$2:$AK$67,'Data_Matrix (2018)'!Y$2:Y$67)</f>
        <v>38.477986653844752</v>
      </c>
      <c r="Z43" s="9">
        <f>_xlfn.COVARIANCE.P('Data_Matrix (2018)'!$AK$2:$AK$67,'Data_Matrix (2018)'!Z$2:Z$67)</f>
        <v>49.272293883113782</v>
      </c>
      <c r="AA43" s="9">
        <f>_xlfn.COVARIANCE.P('Data_Matrix (2018)'!$AK$2:$AK$67,'Data_Matrix (2018)'!AA$2:AA$67)</f>
        <v>102.5694841163719</v>
      </c>
      <c r="AB43" s="9">
        <f>_xlfn.COVARIANCE.P('Data_Matrix (2018)'!$AK$2:$AK$67,'Data_Matrix (2018)'!AB$2:AB$67)</f>
        <v>9.873155721640078</v>
      </c>
      <c r="AC43" s="9">
        <f>_xlfn.COVARIANCE.P('Data_Matrix (2018)'!$AK$2:$AK$67,'Data_Matrix (2018)'!AC$2:AC$67)</f>
        <v>24.7688851250916</v>
      </c>
      <c r="AD43" s="9">
        <f>_xlfn.COVARIANCE.P('Data_Matrix (2018)'!$AK$2:$AK$67,'Data_Matrix (2018)'!AD$2:AD$67)</f>
        <v>18.814023368043685</v>
      </c>
      <c r="AE43" s="9">
        <f>_xlfn.COVARIANCE.P('Data_Matrix (2018)'!$AK$2:$AK$67,'Data_Matrix (2018)'!AE$2:AE$67)</f>
        <v>15.790776492114922</v>
      </c>
      <c r="AF43" s="9">
        <f>_xlfn.COVARIANCE.P('Data_Matrix (2018)'!$AK$2:$AK$67,'Data_Matrix (2018)'!AF$2:AF$67)</f>
        <v>17.795097981719479</v>
      </c>
      <c r="AG43" s="9">
        <f>_xlfn.COVARIANCE.P('Data_Matrix (2018)'!$AK$2:$AK$67,'Data_Matrix (2018)'!AG$2:AG$67)</f>
        <v>28.438786851177404</v>
      </c>
      <c r="AH43" s="9">
        <f>_xlfn.COVARIANCE.P('Data_Matrix (2018)'!$AK$2:$AK$67,'Data_Matrix (2018)'!AH$2:AH$67)</f>
        <v>3.7074036281152494</v>
      </c>
      <c r="AI43" s="9">
        <f>_xlfn.COVARIANCE.P('Data_Matrix (2018)'!$AK$2:$AK$67,'Data_Matrix (2018)'!AI$2:AI$67)</f>
        <v>6.291866329190019</v>
      </c>
      <c r="AJ43" s="9">
        <f>_xlfn.COVARIANCE.P('Data_Matrix (2018)'!$AK$2:$AK$67,'Data_Matrix (2018)'!AJ$2:AJ$67)</f>
        <v>19.305394686173294</v>
      </c>
      <c r="AK43" s="9">
        <f>_xlfn.COVARIANCE.P('Data_Matrix (2018)'!$AK$2:$AK$67,'Data_Matrix (2018)'!AK$2:AK$67)</f>
        <v>51.615613923185059</v>
      </c>
      <c r="AL43" s="9">
        <f>_xlfn.COVARIANCE.P('Data_Matrix (2018)'!$AK$2:$AK$67,'Data_Matrix (2018)'!AL$2:AL$67)</f>
        <v>16.983425712165385</v>
      </c>
      <c r="AM43" s="9">
        <f>_xlfn.COVARIANCE.P('Data_Matrix (2018)'!$AK$2:$AK$67,'Data_Matrix (2018)'!AM$2:AM$67)</f>
        <v>4.6516932569223677</v>
      </c>
      <c r="AN43" s="9">
        <f>_xlfn.COVARIANCE.P('Data_Matrix (2018)'!$AK$2:$AK$67,'Data_Matrix (2018)'!AN$2:AN$67)</f>
        <v>2.4807506959121066</v>
      </c>
      <c r="AO43" s="9">
        <f>_xlfn.COVARIANCE.P('Data_Matrix (2018)'!$AK$2:$AK$67,'Data_Matrix (2018)'!AO$2:AO$67)</f>
        <v>9.2758676916493386</v>
      </c>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row>
    <row r="44" spans="2:67" x14ac:dyDescent="0.2">
      <c r="B44" s="9">
        <f>_xlfn.COVARIANCE.P('Data_Matrix (2018)'!$AL$2:$AL$67,'Data_Matrix (2018)'!B$2:B$67)</f>
        <v>-8112.026994596763</v>
      </c>
      <c r="C44" s="9">
        <f>_xlfn.COVARIANCE.P('Data_Matrix (2018)'!$AL$2:$AL$67,'Data_Matrix (2018)'!C$2:C$67)</f>
        <v>-12007.439592291525</v>
      </c>
      <c r="D44" s="9">
        <f>_xlfn.COVARIANCE.P('Data_Matrix (2018)'!$AL$2:$AL$67,'Data_Matrix (2018)'!D$2:D$67)</f>
        <v>-10813.221871169471</v>
      </c>
      <c r="E44" s="9">
        <f>_xlfn.COVARIANCE.P('Data_Matrix (2018)'!$AL$2:$AL$67,'Data_Matrix (2018)'!E$2:E$67)</f>
        <v>-1273.2132352275639</v>
      </c>
      <c r="F44" s="9">
        <f>_xlfn.COVARIANCE.P('Data_Matrix (2018)'!$AL$2:$AL$67,'Data_Matrix (2018)'!F$2:F$67)</f>
        <v>-1605.8686429433285</v>
      </c>
      <c r="G44" s="9">
        <f>_xlfn.COVARIANCE.P('Data_Matrix (2018)'!$AL$2:$AL$67,'Data_Matrix (2018)'!G$2:G$67)</f>
        <v>-7979.8292096728746</v>
      </c>
      <c r="H44" s="9">
        <f>_xlfn.COVARIANCE.P('Data_Matrix (2018)'!$AL$2:$AL$67,'Data_Matrix (2018)'!H$2:H$67)</f>
        <v>-4225.725397593068</v>
      </c>
      <c r="I44" s="9">
        <f>_xlfn.COVARIANCE.P('Data_Matrix (2018)'!$AL$2:$AL$67,'Data_Matrix (2018)'!I$2:I$67)</f>
        <v>-3924.4024175305312</v>
      </c>
      <c r="J44" s="9">
        <f>_xlfn.COVARIANCE.P('Data_Matrix (2018)'!$AL$2:$AL$67,'Data_Matrix (2018)'!J$2:J$67)</f>
        <v>-2272.3481307506872</v>
      </c>
      <c r="K44" s="9">
        <f>_xlfn.COVARIANCE.P('Data_Matrix (2018)'!$AL$2:$AL$67,'Data_Matrix (2018)'!K$2:K$67)</f>
        <v>-1077.8648093331335</v>
      </c>
      <c r="L44" s="9">
        <f>_xlfn.COVARIANCE.P('Data_Matrix (2018)'!$AL$2:$AL$67,'Data_Matrix (2018)'!L$2:L$67)</f>
        <v>-948.69403403220269</v>
      </c>
      <c r="M44" s="9">
        <f>_xlfn.COVARIANCE.P('Data_Matrix (2018)'!$AL$2:$AL$67,'Data_Matrix (2018)'!M$2:M$67)</f>
        <v>-1694.4746913634408</v>
      </c>
      <c r="N44" s="9">
        <f>_xlfn.COVARIANCE.P('Data_Matrix (2018)'!$AL$2:$AL$67,'Data_Matrix (2018)'!N$2:N$67)</f>
        <v>-1459.8818831081176</v>
      </c>
      <c r="O44" s="9">
        <f>_xlfn.COVARIANCE.P('Data_Matrix (2018)'!$AL$2:$AL$67,'Data_Matrix (2018)'!O$2:O$67)</f>
        <v>-397.89994280697351</v>
      </c>
      <c r="P44" s="9">
        <f>_xlfn.COVARIANCE.P('Data_Matrix (2018)'!$AL$2:$AL$67,'Data_Matrix (2018)'!P$2:P$67)</f>
        <v>651.81809153290544</v>
      </c>
      <c r="Q44" s="9">
        <f>_xlfn.COVARIANCE.P('Data_Matrix (2018)'!$AL$2:$AL$67,'Data_Matrix (2018)'!Q$2:Q$67)</f>
        <v>-613.47479940587982</v>
      </c>
      <c r="R44" s="9">
        <f>_xlfn.COVARIANCE.P('Data_Matrix (2018)'!$AL$2:$AL$67,'Data_Matrix (2018)'!R$2:R$67)</f>
        <v>-641.26682026868434</v>
      </c>
      <c r="S44" s="9">
        <f>_xlfn.COVARIANCE.P('Data_Matrix (2018)'!$AL$2:$AL$67,'Data_Matrix (2018)'!S$2:S$67)</f>
        <v>-563.12690616063867</v>
      </c>
      <c r="T44" s="9">
        <f>_xlfn.COVARIANCE.P('Data_Matrix (2018)'!$AL$2:$AL$67,'Data_Matrix (2018)'!T$2:T$67)</f>
        <v>-259.34697506964909</v>
      </c>
      <c r="U44" s="9">
        <f>_xlfn.COVARIANCE.P('Data_Matrix (2018)'!$AL$2:$AL$67,'Data_Matrix (2018)'!U$2:U$67)</f>
        <v>-131.44513143085297</v>
      </c>
      <c r="V44" s="9">
        <f>_xlfn.COVARIANCE.P('Data_Matrix (2018)'!$AL$2:$AL$67,'Data_Matrix (2018)'!V$2:V$67)</f>
        <v>348.99743156686111</v>
      </c>
      <c r="W44" s="9">
        <f>_xlfn.COVARIANCE.P('Data_Matrix (2018)'!$AL$2:$AL$67,'Data_Matrix (2018)'!W$2:W$67)</f>
        <v>143.72640427008159</v>
      </c>
      <c r="X44" s="9">
        <f>_xlfn.COVARIANCE.P('Data_Matrix (2018)'!$AL$2:$AL$67,'Data_Matrix (2018)'!X$2:X$67)</f>
        <v>-154.91376110807394</v>
      </c>
      <c r="Y44" s="9">
        <f>_xlfn.COVARIANCE.P('Data_Matrix (2018)'!$AL$2:$AL$67,'Data_Matrix (2018)'!Y$2:Y$67)</f>
        <v>-152.99992459423905</v>
      </c>
      <c r="Z44" s="9">
        <f>_xlfn.COVARIANCE.P('Data_Matrix (2018)'!$AL$2:$AL$67,'Data_Matrix (2018)'!Z$2:Z$67)</f>
        <v>-84.352434572228788</v>
      </c>
      <c r="AA44" s="9">
        <f>_xlfn.COVARIANCE.P('Data_Matrix (2018)'!$AL$2:$AL$67,'Data_Matrix (2018)'!AA$2:AA$67)</f>
        <v>-135.68299744239349</v>
      </c>
      <c r="AB44" s="9">
        <f>_xlfn.COVARIANCE.P('Data_Matrix (2018)'!$AL$2:$AL$67,'Data_Matrix (2018)'!AB$2:AB$67)</f>
        <v>-21.22173228661697</v>
      </c>
      <c r="AC44" s="9">
        <f>_xlfn.COVARIANCE.P('Data_Matrix (2018)'!$AL$2:$AL$67,'Data_Matrix (2018)'!AC$2:AC$67)</f>
        <v>3.8789049064660817</v>
      </c>
      <c r="AD44" s="9">
        <f>_xlfn.COVARIANCE.P('Data_Matrix (2018)'!$AL$2:$AL$67,'Data_Matrix (2018)'!AD$2:AD$67)</f>
        <v>-30.109493229031202</v>
      </c>
      <c r="AE44" s="9">
        <f>_xlfn.COVARIANCE.P('Data_Matrix (2018)'!$AL$2:$AL$67,'Data_Matrix (2018)'!AE$2:AE$67)</f>
        <v>8.0971973176895098</v>
      </c>
      <c r="AF44" s="9">
        <f>_xlfn.COVARIANCE.P('Data_Matrix (2018)'!$AL$2:$AL$67,'Data_Matrix (2018)'!AF$2:AF$67)</f>
        <v>-9.7677365674834995</v>
      </c>
      <c r="AG44" s="9">
        <f>_xlfn.COVARIANCE.P('Data_Matrix (2018)'!$AL$2:$AL$67,'Data_Matrix (2018)'!AG$2:AG$67)</f>
        <v>-15.326924330882164</v>
      </c>
      <c r="AH44" s="9">
        <f>_xlfn.COVARIANCE.P('Data_Matrix (2018)'!$AL$2:$AL$67,'Data_Matrix (2018)'!AH$2:AH$67)</f>
        <v>1.6585116441553209</v>
      </c>
      <c r="AI44" s="9">
        <f>_xlfn.COVARIANCE.P('Data_Matrix (2018)'!$AL$2:$AL$67,'Data_Matrix (2018)'!AI$2:AI$67)</f>
        <v>-11.164660250321194</v>
      </c>
      <c r="AJ44" s="9">
        <f>_xlfn.COVARIANCE.P('Data_Matrix (2018)'!$AL$2:$AL$67,'Data_Matrix (2018)'!AJ$2:AJ$67)</f>
        <v>-10.348903907275471</v>
      </c>
      <c r="AK44" s="9">
        <f>_xlfn.COVARIANCE.P('Data_Matrix (2018)'!$AL$2:$AL$67,'Data_Matrix (2018)'!AK$2:AK$67)</f>
        <v>16.983425712165385</v>
      </c>
      <c r="AL44" s="9">
        <f>_xlfn.COVARIANCE.P('Data_Matrix (2018)'!$AL$2:$AL$67,'Data_Matrix (2018)'!AL$2:AL$67)</f>
        <v>346.09898133147453</v>
      </c>
      <c r="AM44" s="9">
        <f>_xlfn.COVARIANCE.P('Data_Matrix (2018)'!$AL$2:$AL$67,'Data_Matrix (2018)'!AM$2:AM$67)</f>
        <v>2.8393514354092328</v>
      </c>
      <c r="AN44" s="9">
        <f>_xlfn.COVARIANCE.P('Data_Matrix (2018)'!$AL$2:$AL$67,'Data_Matrix (2018)'!AN$2:AN$67)</f>
        <v>-0.91601392022965145</v>
      </c>
      <c r="AO44" s="9">
        <f>_xlfn.COVARIANCE.P('Data_Matrix (2018)'!$AL$2:$AL$67,'Data_Matrix (2018)'!AO$2:AO$67)</f>
        <v>-18.831330691812244</v>
      </c>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row>
    <row r="45" spans="2:67" x14ac:dyDescent="0.2">
      <c r="B45" s="9">
        <f>_xlfn.COVARIANCE.P('Data_Matrix (2018)'!$AM$2:$AM$67,'Data_Matrix (2018)'!B$2:B$67)</f>
        <v>4914.4649750049675</v>
      </c>
      <c r="C45" s="9">
        <f>_xlfn.COVARIANCE.P('Data_Matrix (2018)'!$AM$2:$AM$67,'Data_Matrix (2018)'!C$2:C$67)</f>
        <v>4662.453127433866</v>
      </c>
      <c r="D45" s="9">
        <f>_xlfn.COVARIANCE.P('Data_Matrix (2018)'!$AM$2:$AM$67,'Data_Matrix (2018)'!D$2:D$67)</f>
        <v>4488.2958145522562</v>
      </c>
      <c r="E45" s="9">
        <f>_xlfn.COVARIANCE.P('Data_Matrix (2018)'!$AM$2:$AM$67,'Data_Matrix (2018)'!E$2:E$67)</f>
        <v>3364.7378602422359</v>
      </c>
      <c r="F45" s="9">
        <f>_xlfn.COVARIANCE.P('Data_Matrix (2018)'!$AM$2:$AM$67,'Data_Matrix (2018)'!F$2:F$67)</f>
        <v>1110.2942068877862</v>
      </c>
      <c r="G45" s="9">
        <f>_xlfn.COVARIANCE.P('Data_Matrix (2018)'!$AM$2:$AM$67,'Data_Matrix (2018)'!G$2:G$67)</f>
        <v>2472.9073132251842</v>
      </c>
      <c r="H45" s="9">
        <f>_xlfn.COVARIANCE.P('Data_Matrix (2018)'!$AM$2:$AM$67,'Data_Matrix (2018)'!H$2:H$67)</f>
        <v>1486.5174602036566</v>
      </c>
      <c r="I45" s="9">
        <f>_xlfn.COVARIANCE.P('Data_Matrix (2018)'!$AM$2:$AM$67,'Data_Matrix (2018)'!I$2:I$67)</f>
        <v>1679.9749339733789</v>
      </c>
      <c r="J45" s="9">
        <f>_xlfn.COVARIANCE.P('Data_Matrix (2018)'!$AM$2:$AM$67,'Data_Matrix (2018)'!J$2:J$67)</f>
        <v>71.048193610081526</v>
      </c>
      <c r="K45" s="9">
        <f>_xlfn.COVARIANCE.P('Data_Matrix (2018)'!$AM$2:$AM$67,'Data_Matrix (2018)'!K$2:K$67)</f>
        <v>362.21756874566825</v>
      </c>
      <c r="L45" s="9">
        <f>_xlfn.COVARIANCE.P('Data_Matrix (2018)'!$AM$2:$AM$67,'Data_Matrix (2018)'!L$2:L$67)</f>
        <v>387.49038689258396</v>
      </c>
      <c r="M45" s="9">
        <f>_xlfn.COVARIANCE.P('Data_Matrix (2018)'!$AM$2:$AM$67,'Data_Matrix (2018)'!M$2:M$67)</f>
        <v>399.2361005181948</v>
      </c>
      <c r="N45" s="9">
        <f>_xlfn.COVARIANCE.P('Data_Matrix (2018)'!$AM$2:$AM$67,'Data_Matrix (2018)'!N$2:N$67)</f>
        <v>327.28007793373575</v>
      </c>
      <c r="O45" s="9">
        <f>_xlfn.COVARIANCE.P('Data_Matrix (2018)'!$AM$2:$AM$67,'Data_Matrix (2018)'!O$2:O$67)</f>
        <v>210.40881477874419</v>
      </c>
      <c r="P45" s="9">
        <f>_xlfn.COVARIANCE.P('Data_Matrix (2018)'!$AM$2:$AM$67,'Data_Matrix (2018)'!P$2:P$67)</f>
        <v>32.64371621942955</v>
      </c>
      <c r="Q45" s="9">
        <f>_xlfn.COVARIANCE.P('Data_Matrix (2018)'!$AM$2:$AM$67,'Data_Matrix (2018)'!Q$2:Q$67)</f>
        <v>287.41758990176555</v>
      </c>
      <c r="R45" s="9">
        <f>_xlfn.COVARIANCE.P('Data_Matrix (2018)'!$AM$2:$AM$67,'Data_Matrix (2018)'!R$2:R$67)</f>
        <v>262.21227366394459</v>
      </c>
      <c r="S45" s="9">
        <f>_xlfn.COVARIANCE.P('Data_Matrix (2018)'!$AM$2:$AM$67,'Data_Matrix (2018)'!S$2:S$67)</f>
        <v>188.21947274335503</v>
      </c>
      <c r="T45" s="9">
        <f>_xlfn.COVARIANCE.P('Data_Matrix (2018)'!$AM$2:$AM$67,'Data_Matrix (2018)'!T$2:T$67)</f>
        <v>130.53197110332923</v>
      </c>
      <c r="U45" s="9">
        <f>_xlfn.COVARIANCE.P('Data_Matrix (2018)'!$AM$2:$AM$67,'Data_Matrix (2018)'!U$2:U$67)</f>
        <v>50.948905917059655</v>
      </c>
      <c r="V45" s="9">
        <f>_xlfn.COVARIANCE.P('Data_Matrix (2018)'!$AM$2:$AM$67,'Data_Matrix (2018)'!V$2:V$67)</f>
        <v>41.036245568759576</v>
      </c>
      <c r="W45" s="9">
        <f>_xlfn.COVARIANCE.P('Data_Matrix (2018)'!$AM$2:$AM$67,'Data_Matrix (2018)'!W$2:W$67)</f>
        <v>16.856819655872322</v>
      </c>
      <c r="X45" s="9">
        <f>_xlfn.COVARIANCE.P('Data_Matrix (2018)'!$AM$2:$AM$67,'Data_Matrix (2018)'!X$2:X$67)</f>
        <v>60.551029027032278</v>
      </c>
      <c r="Y45" s="9">
        <f>_xlfn.COVARIANCE.P('Data_Matrix (2018)'!$AM$2:$AM$67,'Data_Matrix (2018)'!Y$2:Y$67)</f>
        <v>92.56203315942706</v>
      </c>
      <c r="Z45" s="9">
        <f>_xlfn.COVARIANCE.P('Data_Matrix (2018)'!$AM$2:$AM$67,'Data_Matrix (2018)'!Z$2:Z$67)</f>
        <v>61.240746669283673</v>
      </c>
      <c r="AA45" s="9">
        <f>_xlfn.COVARIANCE.P('Data_Matrix (2018)'!$AM$2:$AM$67,'Data_Matrix (2018)'!AA$2:AA$67)</f>
        <v>23.798248192781156</v>
      </c>
      <c r="AB45" s="9">
        <f>_xlfn.COVARIANCE.P('Data_Matrix (2018)'!$AM$2:$AM$67,'Data_Matrix (2018)'!AB$2:AB$67)</f>
        <v>5.8256130863616606</v>
      </c>
      <c r="AC45" s="9">
        <f>_xlfn.COVARIANCE.P('Data_Matrix (2018)'!$AM$2:$AM$67,'Data_Matrix (2018)'!AC$2:AC$67)</f>
        <v>13.7075639983822</v>
      </c>
      <c r="AD45" s="9">
        <f>_xlfn.COVARIANCE.P('Data_Matrix (2018)'!$AM$2:$AM$67,'Data_Matrix (2018)'!AD$2:AD$67)</f>
        <v>6.7645687587956447</v>
      </c>
      <c r="AE45" s="9">
        <f>_xlfn.COVARIANCE.P('Data_Matrix (2018)'!$AM$2:$AM$67,'Data_Matrix (2018)'!AE$2:AE$67)</f>
        <v>10.754455006653673</v>
      </c>
      <c r="AF45" s="9">
        <f>_xlfn.COVARIANCE.P('Data_Matrix (2018)'!$AM$2:$AM$67,'Data_Matrix (2018)'!AF$2:AF$67)</f>
        <v>19.709673620140595</v>
      </c>
      <c r="AG45" s="9">
        <f>_xlfn.COVARIANCE.P('Data_Matrix (2018)'!$AM$2:$AM$67,'Data_Matrix (2018)'!AG$2:AG$67)</f>
        <v>4.6196338103735961</v>
      </c>
      <c r="AH45" s="9">
        <f>_xlfn.COVARIANCE.P('Data_Matrix (2018)'!$AM$2:$AM$67,'Data_Matrix (2018)'!AH$2:AH$67)</f>
        <v>15.481019861540181</v>
      </c>
      <c r="AI45" s="9">
        <f>_xlfn.COVARIANCE.P('Data_Matrix (2018)'!$AM$2:$AM$67,'Data_Matrix (2018)'!AI$2:AI$67)</f>
        <v>3.6463201139904098</v>
      </c>
      <c r="AJ45" s="9">
        <f>_xlfn.COVARIANCE.P('Data_Matrix (2018)'!$AM$2:$AM$67,'Data_Matrix (2018)'!AJ$2:AJ$67)</f>
        <v>15.52688368170276</v>
      </c>
      <c r="AK45" s="9">
        <f>_xlfn.COVARIANCE.P('Data_Matrix (2018)'!$AM$2:$AM$67,'Data_Matrix (2018)'!AK$2:AK$67)</f>
        <v>4.6516932569223677</v>
      </c>
      <c r="AL45" s="9">
        <f>_xlfn.COVARIANCE.P('Data_Matrix (2018)'!$AM$2:$AM$67,'Data_Matrix (2018)'!AL$2:AL$67)</f>
        <v>2.8393514354092328</v>
      </c>
      <c r="AM45" s="9">
        <f>_xlfn.COVARIANCE.P('Data_Matrix (2018)'!$AM$2:$AM$67,'Data_Matrix (2018)'!AM$2:AM$67)</f>
        <v>29.454578957071611</v>
      </c>
      <c r="AN45" s="9">
        <f>_xlfn.COVARIANCE.P('Data_Matrix (2018)'!$AM$2:$AM$67,'Data_Matrix (2018)'!AN$2:AN$67)</f>
        <v>8.0853916036835827</v>
      </c>
      <c r="AO45" s="9">
        <f>_xlfn.COVARIANCE.P('Data_Matrix (2018)'!$AM$2:$AM$67,'Data_Matrix (2018)'!AO$2:AO$67)</f>
        <v>10.176704680024809</v>
      </c>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row>
    <row r="46" spans="2:67" x14ac:dyDescent="0.2">
      <c r="B46" s="9">
        <f>_xlfn.COVARIANCE.P('Data_Matrix (2018)'!$AN$2:$AN$67,'Data_Matrix (2018)'!B$2:B$67)</f>
        <v>1582.2700977465333</v>
      </c>
      <c r="C46" s="9">
        <f>_xlfn.COVARIANCE.P('Data_Matrix (2018)'!$AN$2:$AN$67,'Data_Matrix (2018)'!C$2:C$67)</f>
        <v>3278.7760799290631</v>
      </c>
      <c r="D46" s="9">
        <f>_xlfn.COVARIANCE.P('Data_Matrix (2018)'!$AN$2:$AN$67,'Data_Matrix (2018)'!D$2:D$67)</f>
        <v>4446.9953842076984</v>
      </c>
      <c r="E46" s="9">
        <f>_xlfn.COVARIANCE.P('Data_Matrix (2018)'!$AN$2:$AN$67,'Data_Matrix (2018)'!E$2:E$67)</f>
        <v>201.86409406974965</v>
      </c>
      <c r="F46" s="9">
        <f>_xlfn.COVARIANCE.P('Data_Matrix (2018)'!$AN$2:$AN$67,'Data_Matrix (2018)'!F$2:F$67)</f>
        <v>161.34200852309135</v>
      </c>
      <c r="G46" s="9">
        <f>_xlfn.COVARIANCE.P('Data_Matrix (2018)'!$AN$2:$AN$67,'Data_Matrix (2018)'!G$2:G$67)</f>
        <v>1806.3592802459184</v>
      </c>
      <c r="H46" s="9">
        <f>_xlfn.COVARIANCE.P('Data_Matrix (2018)'!$AN$2:$AN$67,'Data_Matrix (2018)'!H$2:H$67)</f>
        <v>1296.6050739818643</v>
      </c>
      <c r="I46" s="9">
        <f>_xlfn.COVARIANCE.P('Data_Matrix (2018)'!$AN$2:$AN$67,'Data_Matrix (2018)'!I$2:I$67)</f>
        <v>1860.7612933128951</v>
      </c>
      <c r="J46" s="9">
        <f>_xlfn.COVARIANCE.P('Data_Matrix (2018)'!$AN$2:$AN$67,'Data_Matrix (2018)'!J$2:J$67)</f>
        <v>619.36669864073474</v>
      </c>
      <c r="K46" s="9">
        <f>_xlfn.COVARIANCE.P('Data_Matrix (2018)'!$AN$2:$AN$67,'Data_Matrix (2018)'!K$2:K$67)</f>
        <v>517.81500354673346</v>
      </c>
      <c r="L46" s="9">
        <f>_xlfn.COVARIANCE.P('Data_Matrix (2018)'!$AN$2:$AN$67,'Data_Matrix (2018)'!L$2:L$67)</f>
        <v>36.485699749321533</v>
      </c>
      <c r="M46" s="9">
        <f>_xlfn.COVARIANCE.P('Data_Matrix (2018)'!$AN$2:$AN$67,'Data_Matrix (2018)'!M$2:M$67)</f>
        <v>313.63875264714846</v>
      </c>
      <c r="N46" s="9">
        <f>_xlfn.COVARIANCE.P('Data_Matrix (2018)'!$AN$2:$AN$67,'Data_Matrix (2018)'!N$2:N$67)</f>
        <v>488.86027256948455</v>
      </c>
      <c r="O46" s="9">
        <f>_xlfn.COVARIANCE.P('Data_Matrix (2018)'!$AN$2:$AN$67,'Data_Matrix (2018)'!O$2:O$67)</f>
        <v>67.394374139745736</v>
      </c>
      <c r="P46" s="9">
        <f>_xlfn.COVARIANCE.P('Data_Matrix (2018)'!$AN$2:$AN$67,'Data_Matrix (2018)'!P$2:P$67)</f>
        <v>-115.41235686797259</v>
      </c>
      <c r="Q46" s="9">
        <f>_xlfn.COVARIANCE.P('Data_Matrix (2018)'!$AN$2:$AN$67,'Data_Matrix (2018)'!Q$2:Q$67)</f>
        <v>97.824063813726198</v>
      </c>
      <c r="R46" s="9">
        <f>_xlfn.COVARIANCE.P('Data_Matrix (2018)'!$AN$2:$AN$67,'Data_Matrix (2018)'!R$2:R$67)</f>
        <v>3.085741744711386</v>
      </c>
      <c r="S46" s="9">
        <f>_xlfn.COVARIANCE.P('Data_Matrix (2018)'!$AN$2:$AN$67,'Data_Matrix (2018)'!S$2:S$67)</f>
        <v>52.368505985830858</v>
      </c>
      <c r="T46" s="9">
        <f>_xlfn.COVARIANCE.P('Data_Matrix (2018)'!$AN$2:$AN$67,'Data_Matrix (2018)'!T$2:T$67)</f>
        <v>68.755319208981902</v>
      </c>
      <c r="U46" s="9">
        <f>_xlfn.COVARIANCE.P('Data_Matrix (2018)'!$AN$2:$AN$67,'Data_Matrix (2018)'!U$2:U$67)</f>
        <v>17.877901727546309</v>
      </c>
      <c r="V46" s="9">
        <f>_xlfn.COVARIANCE.P('Data_Matrix (2018)'!$AN$2:$AN$67,'Data_Matrix (2018)'!V$2:V$67)</f>
        <v>-12.468845276531166</v>
      </c>
      <c r="W46" s="9">
        <f>_xlfn.COVARIANCE.P('Data_Matrix (2018)'!$AN$2:$AN$67,'Data_Matrix (2018)'!W$2:W$67)</f>
        <v>13.576431444592767</v>
      </c>
      <c r="X46" s="9">
        <f>_xlfn.COVARIANCE.P('Data_Matrix (2018)'!$AN$2:$AN$67,'Data_Matrix (2018)'!X$2:X$67)</f>
        <v>21.344828475841918</v>
      </c>
      <c r="Y46" s="9">
        <f>_xlfn.COVARIANCE.P('Data_Matrix (2018)'!$AN$2:$AN$67,'Data_Matrix (2018)'!Y$2:Y$67)</f>
        <v>52.288552864845862</v>
      </c>
      <c r="Z46" s="9">
        <f>_xlfn.COVARIANCE.P('Data_Matrix (2018)'!$AN$2:$AN$67,'Data_Matrix (2018)'!Z$2:Z$67)</f>
        <v>1.9415991187695634</v>
      </c>
      <c r="AA46" s="9">
        <f>_xlfn.COVARIANCE.P('Data_Matrix (2018)'!$AN$2:$AN$67,'Data_Matrix (2018)'!AA$2:AA$67)</f>
        <v>12.394421822326425</v>
      </c>
      <c r="AB46" s="9">
        <f>_xlfn.COVARIANCE.P('Data_Matrix (2018)'!$AN$2:$AN$67,'Data_Matrix (2018)'!AB$2:AB$67)</f>
        <v>1.5156535999790435</v>
      </c>
      <c r="AC46" s="9">
        <f>_xlfn.COVARIANCE.P('Data_Matrix (2018)'!$AN$2:$AN$67,'Data_Matrix (2018)'!AC$2:AC$67)</f>
        <v>2.901835470084424</v>
      </c>
      <c r="AD46" s="9">
        <f>_xlfn.COVARIANCE.P('Data_Matrix (2018)'!$AN$2:$AN$67,'Data_Matrix (2018)'!AD$2:AD$67)</f>
        <v>3.4013157482052394</v>
      </c>
      <c r="AE46" s="9">
        <f>_xlfn.COVARIANCE.P('Data_Matrix (2018)'!$AN$2:$AN$67,'Data_Matrix (2018)'!AE$2:AE$67)</f>
        <v>2.5493512859351726</v>
      </c>
      <c r="AF46" s="9">
        <f>_xlfn.COVARIANCE.P('Data_Matrix (2018)'!$AN$2:$AN$67,'Data_Matrix (2018)'!AF$2:AF$67)</f>
        <v>-0.54320962889490931</v>
      </c>
      <c r="AG46" s="9">
        <f>_xlfn.COVARIANCE.P('Data_Matrix (2018)'!$AN$2:$AN$67,'Data_Matrix (2018)'!AG$2:AG$67)</f>
        <v>0.31407201708159549</v>
      </c>
      <c r="AH46" s="9">
        <f>_xlfn.COVARIANCE.P('Data_Matrix (2018)'!$AN$2:$AN$67,'Data_Matrix (2018)'!AH$2:AH$67)</f>
        <v>11.264500143870887</v>
      </c>
      <c r="AI46" s="9">
        <f>_xlfn.COVARIANCE.P('Data_Matrix (2018)'!$AN$2:$AN$67,'Data_Matrix (2018)'!AI$2:AI$67)</f>
        <v>2.3127307655878462</v>
      </c>
      <c r="AJ46" s="9">
        <f>_xlfn.COVARIANCE.P('Data_Matrix (2018)'!$AN$2:$AN$67,'Data_Matrix (2018)'!AJ$2:AJ$67)</f>
        <v>-0.96925266883249972</v>
      </c>
      <c r="AK46" s="9">
        <f>_xlfn.COVARIANCE.P('Data_Matrix (2018)'!$AN$2:$AN$67,'Data_Matrix (2018)'!AK$2:AK$67)</f>
        <v>2.4807506959121066</v>
      </c>
      <c r="AL46" s="9">
        <f>_xlfn.COVARIANCE.P('Data_Matrix (2018)'!$AN$2:$AN$67,'Data_Matrix (2018)'!AL$2:AL$67)</f>
        <v>-0.91601392022965145</v>
      </c>
      <c r="AM46" s="9">
        <f>_xlfn.COVARIANCE.P('Data_Matrix (2018)'!$AN$2:$AN$67,'Data_Matrix (2018)'!AM$2:AM$67)</f>
        <v>8.0853916036835827</v>
      </c>
      <c r="AN46" s="9">
        <f>_xlfn.COVARIANCE.P('Data_Matrix (2018)'!$AN$2:$AN$67,'Data_Matrix (2018)'!AN$2:AN$67)</f>
        <v>36.59374821191674</v>
      </c>
      <c r="AO46" s="9">
        <f>_xlfn.COVARIANCE.P('Data_Matrix (2018)'!$AN$2:$AN$67,'Data_Matrix (2018)'!AO$2:AO$67)</f>
        <v>2.616019432897172</v>
      </c>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row>
    <row r="47" spans="2:67" x14ac:dyDescent="0.2">
      <c r="B47" s="9">
        <f>_xlfn.COVARIANCE.P('Data_Matrix (2018)'!$AO$2:$AO$67,'Data_Matrix (2018)'!B$2:B$67)</f>
        <v>4825.9980697889814</v>
      </c>
      <c r="C47" s="9">
        <f>_xlfn.COVARIANCE.P('Data_Matrix (2018)'!$AO$2:$AO$67,'Data_Matrix (2018)'!C$2:C$67)</f>
        <v>6171.090114954005</v>
      </c>
      <c r="D47" s="9">
        <f>_xlfn.COVARIANCE.P('Data_Matrix (2018)'!$AO$2:$AO$67,'Data_Matrix (2018)'!D$2:D$67)</f>
        <v>2517.1767142573458</v>
      </c>
      <c r="E47" s="9">
        <f>_xlfn.COVARIANCE.P('Data_Matrix (2018)'!$AO$2:$AO$67,'Data_Matrix (2018)'!E$2:E$67)</f>
        <v>3099.3094668153822</v>
      </c>
      <c r="F47" s="9">
        <f>_xlfn.COVARIANCE.P('Data_Matrix (2018)'!$AO$2:$AO$67,'Data_Matrix (2018)'!F$2:F$67)</f>
        <v>1630.992888547863</v>
      </c>
      <c r="G47" s="9">
        <f>_xlfn.COVARIANCE.P('Data_Matrix (2018)'!$AO$2:$AO$67,'Data_Matrix (2018)'!G$2:G$67)</f>
        <v>2386.9556182999263</v>
      </c>
      <c r="H47" s="9">
        <f>_xlfn.COVARIANCE.P('Data_Matrix (2018)'!$AO$2:$AO$67,'Data_Matrix (2018)'!H$2:H$67)</f>
        <v>1004.2318992236645</v>
      </c>
      <c r="I47" s="9">
        <f>_xlfn.COVARIANCE.P('Data_Matrix (2018)'!$AO$2:$AO$67,'Data_Matrix (2018)'!I$2:I$67)</f>
        <v>1256.2744599391044</v>
      </c>
      <c r="J47" s="9">
        <f>_xlfn.COVARIANCE.P('Data_Matrix (2018)'!$AO$2:$AO$67,'Data_Matrix (2018)'!J$2:J$67)</f>
        <v>308.5988954993295</v>
      </c>
      <c r="K47" s="9">
        <f>_xlfn.COVARIANCE.P('Data_Matrix (2018)'!$AO$2:$AO$67,'Data_Matrix (2018)'!K$2:K$67)</f>
        <v>604.10555574958232</v>
      </c>
      <c r="L47" s="9">
        <f>_xlfn.COVARIANCE.P('Data_Matrix (2018)'!$AO$2:$AO$67,'Data_Matrix (2018)'!L$2:L$67)</f>
        <v>680.6985182879987</v>
      </c>
      <c r="M47" s="9">
        <f>_xlfn.COVARIANCE.P('Data_Matrix (2018)'!$AO$2:$AO$67,'Data_Matrix (2018)'!M$2:M$67)</f>
        <v>580.33078699079135</v>
      </c>
      <c r="N47" s="9">
        <f>_xlfn.COVARIANCE.P('Data_Matrix (2018)'!$AO$2:$AO$67,'Data_Matrix (2018)'!N$2:N$67)</f>
        <v>314.63940363835769</v>
      </c>
      <c r="O47" s="9">
        <f>_xlfn.COVARIANCE.P('Data_Matrix (2018)'!$AO$2:$AO$67,'Data_Matrix (2018)'!O$2:O$67)</f>
        <v>285.74098733530775</v>
      </c>
      <c r="P47" s="9">
        <f>_xlfn.COVARIANCE.P('Data_Matrix (2018)'!$AO$2:$AO$67,'Data_Matrix (2018)'!P$2:P$67)</f>
        <v>104.89204912675869</v>
      </c>
      <c r="Q47" s="9">
        <f>_xlfn.COVARIANCE.P('Data_Matrix (2018)'!$AO$2:$AO$67,'Data_Matrix (2018)'!Q$2:Q$67)</f>
        <v>313.88611158227621</v>
      </c>
      <c r="R47" s="9">
        <f>_xlfn.COVARIANCE.P('Data_Matrix (2018)'!$AO$2:$AO$67,'Data_Matrix (2018)'!R$2:R$67)</f>
        <v>361.27112692892121</v>
      </c>
      <c r="S47" s="9">
        <f>_xlfn.COVARIANCE.P('Data_Matrix (2018)'!$AO$2:$AO$67,'Data_Matrix (2018)'!S$2:S$67)</f>
        <v>195.90308875216741</v>
      </c>
      <c r="T47" s="9">
        <f>_xlfn.COVARIANCE.P('Data_Matrix (2018)'!$AO$2:$AO$67,'Data_Matrix (2018)'!T$2:T$67)</f>
        <v>108.9024660034886</v>
      </c>
      <c r="U47" s="9">
        <f>_xlfn.COVARIANCE.P('Data_Matrix (2018)'!$AO$2:$AO$67,'Data_Matrix (2018)'!U$2:U$67)</f>
        <v>108.71137469187316</v>
      </c>
      <c r="V47" s="9">
        <f>_xlfn.COVARIANCE.P('Data_Matrix (2018)'!$AO$2:$AO$67,'Data_Matrix (2018)'!V$2:V$67)</f>
        <v>116.48627956783714</v>
      </c>
      <c r="W47" s="9">
        <f>_xlfn.COVARIANCE.P('Data_Matrix (2018)'!$AO$2:$AO$67,'Data_Matrix (2018)'!W$2:W$67)</f>
        <v>0.4197822168724426</v>
      </c>
      <c r="X47" s="9">
        <f>_xlfn.COVARIANCE.P('Data_Matrix (2018)'!$AO$2:$AO$67,'Data_Matrix (2018)'!X$2:X$67)</f>
        <v>59.020510818049559</v>
      </c>
      <c r="Y47" s="9">
        <f>_xlfn.COVARIANCE.P('Data_Matrix (2018)'!$AO$2:$AO$67,'Data_Matrix (2018)'!Y$2:Y$67)</f>
        <v>102.75794923741547</v>
      </c>
      <c r="Z47" s="9">
        <f>_xlfn.COVARIANCE.P('Data_Matrix (2018)'!$AO$2:$AO$67,'Data_Matrix (2018)'!Z$2:Z$67)</f>
        <v>69.114967759670051</v>
      </c>
      <c r="AA47" s="9">
        <f>_xlfn.COVARIANCE.P('Data_Matrix (2018)'!$AO$2:$AO$67,'Data_Matrix (2018)'!AA$2:AA$67)</f>
        <v>24.909218664474707</v>
      </c>
      <c r="AB47" s="9">
        <f>_xlfn.COVARIANCE.P('Data_Matrix (2018)'!$AO$2:$AO$67,'Data_Matrix (2018)'!AB$2:AB$67)</f>
        <v>5.3064034814032786</v>
      </c>
      <c r="AC47" s="9">
        <f>_xlfn.COVARIANCE.P('Data_Matrix (2018)'!$AO$2:$AO$67,'Data_Matrix (2018)'!AC$2:AC$67)</f>
        <v>13.034152515943278</v>
      </c>
      <c r="AD47" s="9">
        <f>_xlfn.COVARIANCE.P('Data_Matrix (2018)'!$AO$2:$AO$67,'Data_Matrix (2018)'!AD$2:AD$67)</f>
        <v>7.1440384170266631</v>
      </c>
      <c r="AE47" s="9">
        <f>_xlfn.COVARIANCE.P('Data_Matrix (2018)'!$AO$2:$AO$67,'Data_Matrix (2018)'!AE$2:AE$67)</f>
        <v>6.7298301016034028</v>
      </c>
      <c r="AF47" s="9">
        <f>_xlfn.COVARIANCE.P('Data_Matrix (2018)'!$AO$2:$AO$67,'Data_Matrix (2018)'!AF$2:AF$67)</f>
        <v>9.8334561689330027</v>
      </c>
      <c r="AG47" s="9">
        <f>_xlfn.COVARIANCE.P('Data_Matrix (2018)'!$AO$2:$AO$67,'Data_Matrix (2018)'!AG$2:AG$67)</f>
        <v>10.413090269336827</v>
      </c>
      <c r="AH47" s="9">
        <f>_xlfn.COVARIANCE.P('Data_Matrix (2018)'!$AO$2:$AO$67,'Data_Matrix (2018)'!AH$2:AH$67)</f>
        <v>-5.9586621786159126</v>
      </c>
      <c r="AI47" s="9">
        <f>_xlfn.COVARIANCE.P('Data_Matrix (2018)'!$AO$2:$AO$67,'Data_Matrix (2018)'!AI$2:AI$67)</f>
        <v>6.6447347953530382</v>
      </c>
      <c r="AJ47" s="9">
        <f>_xlfn.COVARIANCE.P('Data_Matrix (2018)'!$AO$2:$AO$67,'Data_Matrix (2018)'!AJ$2:AJ$67)</f>
        <v>12.457924587745941</v>
      </c>
      <c r="AK47" s="9">
        <f>_xlfn.COVARIANCE.P('Data_Matrix (2018)'!$AO$2:$AO$67,'Data_Matrix (2018)'!AK$2:AK$67)</f>
        <v>9.2758676916493386</v>
      </c>
      <c r="AL47" s="9">
        <f>_xlfn.COVARIANCE.P('Data_Matrix (2018)'!$AO$2:$AO$67,'Data_Matrix (2018)'!AL$2:AL$67)</f>
        <v>-18.831330691812244</v>
      </c>
      <c r="AM47" s="9">
        <f>_xlfn.COVARIANCE.P('Data_Matrix (2018)'!$AO$2:$AO$67,'Data_Matrix (2018)'!AM$2:AM$67)</f>
        <v>10.176704680024809</v>
      </c>
      <c r="AN47" s="9">
        <f>_xlfn.COVARIANCE.P('Data_Matrix (2018)'!$AO$2:$AO$67,'Data_Matrix (2018)'!AN$2:AN$67)</f>
        <v>2.616019432897172</v>
      </c>
      <c r="AO47" s="9">
        <f>_xlfn.COVARIANCE.P('Data_Matrix (2018)'!$AO$2:$AO$67,'Data_Matrix (2018)'!AO$2:AO$67)</f>
        <v>19.958219964841902</v>
      </c>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row>
    <row r="48" spans="2:67" x14ac:dyDescent="0.2">
      <c r="B48" s="9"/>
      <c r="C48" s="9"/>
      <c r="D48" s="9"/>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row>
    <row r="49" spans="2:67" hidden="1" x14ac:dyDescent="0.2">
      <c r="B49" s="9"/>
      <c r="C49" s="9"/>
      <c r="D49" s="9"/>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row>
    <row r="50" spans="2:67" hidden="1" x14ac:dyDescent="0.2">
      <c r="B50" s="9"/>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row>
    <row r="51" spans="2:67" hidden="1" x14ac:dyDescent="0.2">
      <c r="B51" s="9"/>
      <c r="C51" s="9"/>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row>
    <row r="52" spans="2:67" hidden="1" x14ac:dyDescent="0.2">
      <c r="B52" s="9"/>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row>
    <row r="53" spans="2:67" hidden="1" x14ac:dyDescent="0.2">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row>
    <row r="54" spans="2:67" hidden="1" x14ac:dyDescent="0.2">
      <c r="B54" s="9"/>
      <c r="C54" s="9"/>
      <c r="D54" s="9"/>
      <c r="E54" s="9"/>
      <c r="F54" s="9"/>
      <c r="G54" s="9"/>
      <c r="H54" s="9"/>
      <c r="I54" s="9"/>
      <c r="J54" s="9"/>
      <c r="K54" s="9"/>
      <c r="L54" s="9"/>
      <c r="M54" s="9"/>
      <c r="N54" s="9"/>
      <c r="O54" s="9"/>
      <c r="P54" s="9"/>
      <c r="Q54" s="9"/>
      <c r="R54" s="9"/>
      <c r="S54" s="9"/>
      <c r="T54" s="9"/>
      <c r="U54" s="9"/>
      <c r="V54" s="9"/>
      <c r="W54" s="9"/>
      <c r="X54" s="9"/>
      <c r="Y54" s="9"/>
      <c r="Z54" s="9"/>
      <c r="AA54" s="9"/>
      <c r="AB54" s="9"/>
      <c r="AC54" s="9"/>
      <c r="AD54" s="9"/>
      <c r="AE54" s="9"/>
      <c r="AF54" s="9"/>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row>
    <row r="55" spans="2:67" hidden="1" x14ac:dyDescent="0.2">
      <c r="B55" s="9"/>
      <c r="C55" s="9"/>
      <c r="D55" s="9"/>
      <c r="E55" s="9"/>
      <c r="F55" s="9"/>
      <c r="G55" s="9"/>
      <c r="H55" s="9"/>
      <c r="I55" s="9"/>
      <c r="J55" s="9"/>
      <c r="K55" s="9"/>
      <c r="L55" s="9"/>
      <c r="M55" s="9"/>
      <c r="N55" s="9"/>
      <c r="O55" s="9"/>
      <c r="P55" s="9"/>
      <c r="Q55" s="9"/>
      <c r="R55" s="9"/>
      <c r="S55" s="9"/>
      <c r="T55" s="9"/>
      <c r="U55" s="9"/>
      <c r="V55" s="9"/>
      <c r="W55" s="9"/>
      <c r="X55" s="9"/>
      <c r="Y55" s="9"/>
      <c r="Z55" s="9"/>
      <c r="AA55" s="9"/>
      <c r="AB55" s="9"/>
      <c r="AC55" s="9"/>
      <c r="AD55" s="9"/>
      <c r="AE55" s="9"/>
      <c r="AF55" s="9"/>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row>
    <row r="56" spans="2:67" hidden="1" x14ac:dyDescent="0.2">
      <c r="B56" s="9"/>
      <c r="C56" s="9"/>
      <c r="D56" s="9"/>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row>
    <row r="57" spans="2:67" hidden="1" x14ac:dyDescent="0.2">
      <c r="B57" s="9"/>
      <c r="C57" s="9"/>
      <c r="D57" s="9"/>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row>
    <row r="58" spans="2:67" hidden="1" x14ac:dyDescent="0.2">
      <c r="B58" s="9"/>
      <c r="C58" s="9"/>
      <c r="D58" s="9"/>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row>
    <row r="59" spans="2:67" hidden="1" x14ac:dyDescent="0.2">
      <c r="B59" s="9"/>
      <c r="C59" s="9"/>
      <c r="D59" s="9"/>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row>
    <row r="60" spans="2:67" hidden="1" x14ac:dyDescent="0.2">
      <c r="B60" s="9"/>
      <c r="C60" s="9"/>
      <c r="D60" s="9"/>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row>
    <row r="61" spans="2:67" hidden="1" x14ac:dyDescent="0.2">
      <c r="B61" s="9"/>
      <c r="C61" s="9"/>
      <c r="D61" s="9"/>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row>
    <row r="62" spans="2:67" hidden="1" x14ac:dyDescent="0.2">
      <c r="B62" s="9"/>
      <c r="C62" s="9"/>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row>
    <row r="63" spans="2:67" hidden="1" x14ac:dyDescent="0.2">
      <c r="B63" s="9"/>
      <c r="C63" s="9"/>
      <c r="D63" s="9"/>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row>
    <row r="64" spans="2:67" hidden="1" x14ac:dyDescent="0.2">
      <c r="B64" s="9"/>
      <c r="C64" s="9"/>
      <c r="D64" s="9"/>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row>
    <row r="65" spans="1:67" hidden="1" x14ac:dyDescent="0.2">
      <c r="B65" s="9"/>
      <c r="C65" s="9"/>
      <c r="D65" s="9"/>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row>
    <row r="66" spans="1:67" hidden="1" x14ac:dyDescent="0.2">
      <c r="B66" s="9"/>
      <c r="C66" s="9"/>
      <c r="D66" s="9"/>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row>
    <row r="67" spans="1:67" hidden="1" x14ac:dyDescent="0.2">
      <c r="B67" s="9"/>
      <c r="C67" s="9"/>
      <c r="D67" s="9"/>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row>
    <row r="68" spans="1:67" hidden="1" x14ac:dyDescent="0.2">
      <c r="B68" s="9"/>
      <c r="C68" s="9"/>
      <c r="D68" s="9"/>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row>
    <row r="69" spans="1:67" hidden="1" x14ac:dyDescent="0.2">
      <c r="B69" s="9"/>
      <c r="C69" s="9"/>
      <c r="D69" s="9"/>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row>
    <row r="70" spans="1:67" hidden="1" x14ac:dyDescent="0.2">
      <c r="B70" s="9"/>
      <c r="C70" s="9"/>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row>
    <row r="71" spans="1:67" hidden="1" x14ac:dyDescent="0.2">
      <c r="B71" s="9"/>
      <c r="C71" s="9"/>
      <c r="D71" s="9"/>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row>
    <row r="72" spans="1:67" hidden="1" x14ac:dyDescent="0.2">
      <c r="B72" s="9"/>
      <c r="C72" s="9"/>
      <c r="D72" s="9"/>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row>
    <row r="73" spans="1:67" hidden="1" x14ac:dyDescent="0.2">
      <c r="B73" s="9"/>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row>
    <row r="75" spans="1:67" x14ac:dyDescent="0.2">
      <c r="A75" s="114" t="s">
        <v>336</v>
      </c>
      <c r="B75" s="9">
        <f t="array" ref="B75:AO114">MINVERSE(B8:AO47)</f>
        <v>3.5276551402127094E-7</v>
      </c>
      <c r="C75" s="9">
        <v>-8.3841134181934524E-8</v>
      </c>
      <c r="D75" s="9">
        <v>-5.3736529033253943E-7</v>
      </c>
      <c r="E75" s="9">
        <v>-7.3673797271379371E-8</v>
      </c>
      <c r="F75" s="9">
        <v>1.2923300723605234E-7</v>
      </c>
      <c r="G75" s="9">
        <v>-8.9912942423775091E-8</v>
      </c>
      <c r="H75" s="9">
        <v>-3.5633595968333558E-8</v>
      </c>
      <c r="I75" s="9">
        <v>4.3492179280268301E-7</v>
      </c>
      <c r="J75" s="9">
        <v>4.1349306362203995E-7</v>
      </c>
      <c r="K75" s="9">
        <v>-2.2020399373206636E-6</v>
      </c>
      <c r="L75" s="9">
        <v>4.4840363710760699E-7</v>
      </c>
      <c r="M75" s="9">
        <v>2.7169087503396477E-7</v>
      </c>
      <c r="N75" s="9">
        <v>1.0616604832668853E-6</v>
      </c>
      <c r="O75" s="9">
        <v>4.3884053279888048E-6</v>
      </c>
      <c r="P75" s="9">
        <v>8.347893574293971E-8</v>
      </c>
      <c r="Q75" s="9">
        <v>-4.8070302931466176E-6</v>
      </c>
      <c r="R75" s="9">
        <v>-1.3559453595571648E-6</v>
      </c>
      <c r="S75" s="9">
        <v>3.7757504847226329E-6</v>
      </c>
      <c r="T75" s="9">
        <v>2.6827174915851115E-6</v>
      </c>
      <c r="U75" s="9">
        <v>4.8552359543606619E-6</v>
      </c>
      <c r="V75" s="9">
        <v>5.2262770076299727E-6</v>
      </c>
      <c r="W75" s="9">
        <v>2.7455399103116776E-6</v>
      </c>
      <c r="X75" s="9">
        <v>-1.478738231416599E-5</v>
      </c>
      <c r="Y75" s="9">
        <v>1.4226194631357152E-5</v>
      </c>
      <c r="Z75" s="9">
        <v>-1.4357054922075205E-5</v>
      </c>
      <c r="AA75" s="9">
        <v>-7.6825665869933397E-6</v>
      </c>
      <c r="AB75" s="9">
        <v>8.4912150096611968E-5</v>
      </c>
      <c r="AC75" s="9">
        <v>1.7976924995703567E-5</v>
      </c>
      <c r="AD75" s="9">
        <v>1.6923453474865183E-5</v>
      </c>
      <c r="AE75" s="9">
        <v>-6.7527834452552093E-5</v>
      </c>
      <c r="AF75" s="9">
        <v>-5.301443916314202E-6</v>
      </c>
      <c r="AG75" s="9">
        <v>1.272801613059442E-5</v>
      </c>
      <c r="AH75" s="9">
        <v>-2.8961179410643313E-5</v>
      </c>
      <c r="AI75" s="9">
        <v>1.0316345800899284E-5</v>
      </c>
      <c r="AJ75" s="9">
        <v>1.0877540823118083E-5</v>
      </c>
      <c r="AK75" s="9">
        <v>-4.9922739129754557E-6</v>
      </c>
      <c r="AL75" s="9">
        <v>-1.2247984113358311E-5</v>
      </c>
      <c r="AM75" s="9">
        <v>6.2258323510096776E-5</v>
      </c>
      <c r="AN75" s="9">
        <v>3.3859242949364459E-5</v>
      </c>
      <c r="AO75" s="9">
        <v>-1.1318670971275197E-4</v>
      </c>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row>
    <row r="76" spans="1:67" x14ac:dyDescent="0.2">
      <c r="A76" s="114"/>
      <c r="B76" s="9">
        <v>-8.3841134181938468E-8</v>
      </c>
      <c r="C76" s="9">
        <v>4.5154478954053931E-6</v>
      </c>
      <c r="D76" s="9">
        <v>1.6416639079376842E-6</v>
      </c>
      <c r="E76" s="9">
        <v>-5.8073634780971811E-7</v>
      </c>
      <c r="F76" s="9">
        <v>1.5962912058659407E-6</v>
      </c>
      <c r="G76" s="9">
        <v>-5.9536088322621541E-6</v>
      </c>
      <c r="H76" s="9">
        <v>1.3978580054674898E-6</v>
      </c>
      <c r="I76" s="9">
        <v>-6.7973949571895356E-7</v>
      </c>
      <c r="J76" s="9">
        <v>1.9253898872667032E-6</v>
      </c>
      <c r="K76" s="9">
        <v>-2.8496513502891693E-6</v>
      </c>
      <c r="L76" s="9">
        <v>-9.001779950738962E-6</v>
      </c>
      <c r="M76" s="9">
        <v>-5.200541815354408E-8</v>
      </c>
      <c r="N76" s="9">
        <v>-9.8256479390409387E-6</v>
      </c>
      <c r="O76" s="9">
        <v>7.504325126279898E-6</v>
      </c>
      <c r="P76" s="9">
        <v>2.7417524135545684E-6</v>
      </c>
      <c r="Q76" s="9">
        <v>-7.0266542282722004E-6</v>
      </c>
      <c r="R76" s="9">
        <v>-1.5594577352980061E-5</v>
      </c>
      <c r="S76" s="9">
        <v>3.5488982172028689E-6</v>
      </c>
      <c r="T76" s="9">
        <v>-6.6422711694017802E-7</v>
      </c>
      <c r="U76" s="9">
        <v>2.4161335372275631E-6</v>
      </c>
      <c r="V76" s="9">
        <v>4.094013641860604E-6</v>
      </c>
      <c r="W76" s="9">
        <v>2.1953084218732819E-5</v>
      </c>
      <c r="X76" s="9">
        <v>-2.0334645488281243E-5</v>
      </c>
      <c r="Y76" s="9">
        <v>-5.0171108462837444E-5</v>
      </c>
      <c r="Z76" s="9">
        <v>3.8268947102658344E-5</v>
      </c>
      <c r="AA76" s="9">
        <v>1.8855532993749774E-5</v>
      </c>
      <c r="AB76" s="9">
        <v>-7.5595630586791277E-5</v>
      </c>
      <c r="AC76" s="9">
        <v>-5.8629573142705886E-5</v>
      </c>
      <c r="AD76" s="9">
        <v>2.7803854210746231E-4</v>
      </c>
      <c r="AE76" s="9">
        <v>-2.1623466249869088E-4</v>
      </c>
      <c r="AF76" s="9">
        <v>-1.0583270462636362E-4</v>
      </c>
      <c r="AG76" s="9">
        <v>5.9490673593321849E-5</v>
      </c>
      <c r="AH76" s="9">
        <v>3.0881068490233766E-4</v>
      </c>
      <c r="AI76" s="9">
        <v>-3.7488828315994588E-4</v>
      </c>
      <c r="AJ76" s="9">
        <v>8.9509037751425846E-5</v>
      </c>
      <c r="AK76" s="9">
        <v>-2.4613364732948098E-4</v>
      </c>
      <c r="AL76" s="9">
        <v>6.3853622343916993E-6</v>
      </c>
      <c r="AM76" s="9">
        <v>-8.5620909349233619E-5</v>
      </c>
      <c r="AN76" s="9">
        <v>-1.6163598320271993E-4</v>
      </c>
      <c r="AO76" s="9">
        <v>3.4506923867721204E-4</v>
      </c>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row>
    <row r="77" spans="1:67" x14ac:dyDescent="0.2">
      <c r="B77" s="9">
        <v>-5.3736529033254007E-7</v>
      </c>
      <c r="C77" s="9">
        <v>1.6416639079376533E-6</v>
      </c>
      <c r="D77" s="9">
        <v>7.258578358076409E-6</v>
      </c>
      <c r="E77" s="9">
        <v>2.023955449627247E-6</v>
      </c>
      <c r="F77" s="9">
        <v>-1.7324620424884939E-6</v>
      </c>
      <c r="G77" s="9">
        <v>-4.5991680491679416E-6</v>
      </c>
      <c r="H77" s="9">
        <v>7.5460915463822235E-9</v>
      </c>
      <c r="I77" s="9">
        <v>-7.5924808524018148E-6</v>
      </c>
      <c r="J77" s="9">
        <v>2.6096108961982219E-7</v>
      </c>
      <c r="K77" s="9">
        <v>-1.6513615969789524E-6</v>
      </c>
      <c r="L77" s="9">
        <v>-1.3169347494656616E-5</v>
      </c>
      <c r="M77" s="9">
        <v>1.9064895113498413E-7</v>
      </c>
      <c r="N77" s="9">
        <v>-8.288775738565746E-6</v>
      </c>
      <c r="O77" s="9">
        <v>8.0048563806785699E-6</v>
      </c>
      <c r="P77" s="9">
        <v>-3.4276846210552171E-6</v>
      </c>
      <c r="Q77" s="9">
        <v>1.5783079321504454E-5</v>
      </c>
      <c r="R77" s="9">
        <v>-3.4366733547770339E-6</v>
      </c>
      <c r="S77" s="9">
        <v>-1.893000583436349E-5</v>
      </c>
      <c r="T77" s="9">
        <v>-9.7707274248285571E-5</v>
      </c>
      <c r="U77" s="9">
        <v>1.6659023454176956E-5</v>
      </c>
      <c r="V77" s="9">
        <v>-2.1045288136890699E-6</v>
      </c>
      <c r="W77" s="9">
        <v>1.9804146853854291E-5</v>
      </c>
      <c r="X77" s="9">
        <v>6.5133680857970766E-5</v>
      </c>
      <c r="Y77" s="9">
        <v>-3.7077405181575942E-6</v>
      </c>
      <c r="Z77" s="9">
        <v>2.5572643008073255E-5</v>
      </c>
      <c r="AA77" s="9">
        <v>5.1800589125594884E-5</v>
      </c>
      <c r="AB77" s="9">
        <v>-3.5261864890630317E-4</v>
      </c>
      <c r="AC77" s="9">
        <v>2.7797510498388077E-4</v>
      </c>
      <c r="AD77" s="9">
        <v>2.1857541134446959E-5</v>
      </c>
      <c r="AE77" s="9">
        <v>-3.0504630168780105E-4</v>
      </c>
      <c r="AF77" s="9">
        <v>9.5061313765824225E-5</v>
      </c>
      <c r="AG77" s="9">
        <v>2.2470663930355492E-4</v>
      </c>
      <c r="AH77" s="9">
        <v>7.6751421772510971E-5</v>
      </c>
      <c r="AI77" s="9">
        <v>-6.7497110574157382E-5</v>
      </c>
      <c r="AJ77" s="9">
        <v>-3.5795477401455135E-4</v>
      </c>
      <c r="AK77" s="9">
        <v>-1.4498954473310418E-4</v>
      </c>
      <c r="AL77" s="9">
        <v>1.4536168068909426E-5</v>
      </c>
      <c r="AM77" s="9">
        <v>-2.3335649330242719E-4</v>
      </c>
      <c r="AN77" s="9">
        <v>-1.7502587037668922E-4</v>
      </c>
      <c r="AO77" s="9">
        <v>5.4772662915579561E-4</v>
      </c>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row>
    <row r="78" spans="1:67" x14ac:dyDescent="0.2">
      <c r="B78" s="9">
        <v>-7.3673797271381422E-8</v>
      </c>
      <c r="C78" s="9">
        <v>-5.8073634780972319E-7</v>
      </c>
      <c r="D78" s="9">
        <v>2.0239554496272564E-6</v>
      </c>
      <c r="E78" s="9">
        <v>7.6972320620360923E-6</v>
      </c>
      <c r="F78" s="9">
        <v>-5.6498128292335536E-6</v>
      </c>
      <c r="G78" s="9">
        <v>-5.0209557875992204E-6</v>
      </c>
      <c r="H78" s="9">
        <v>2.5575450238246421E-6</v>
      </c>
      <c r="I78" s="9">
        <v>-4.9880803310005832E-7</v>
      </c>
      <c r="J78" s="9">
        <v>3.2689599267041546E-6</v>
      </c>
      <c r="K78" s="9">
        <v>-2.8350949390118645E-7</v>
      </c>
      <c r="L78" s="9">
        <v>-1.1195725468426937E-5</v>
      </c>
      <c r="M78" s="9">
        <v>5.0123265502885348E-7</v>
      </c>
      <c r="N78" s="9">
        <v>1.7464839421529016E-6</v>
      </c>
      <c r="O78" s="9">
        <v>1.0502274574965168E-5</v>
      </c>
      <c r="P78" s="9">
        <v>-8.1932808266418914E-6</v>
      </c>
      <c r="Q78" s="9">
        <v>1.2095144355341019E-5</v>
      </c>
      <c r="R78" s="9">
        <v>-3.9055209416634781E-6</v>
      </c>
      <c r="S78" s="9">
        <v>-2.3233272318699636E-5</v>
      </c>
      <c r="T78" s="9">
        <v>-5.6550581643223425E-5</v>
      </c>
      <c r="U78" s="9">
        <v>1.2431982273007901E-4</v>
      </c>
      <c r="V78" s="9">
        <v>-3.9659833155743602E-5</v>
      </c>
      <c r="W78" s="9">
        <v>7.8893800311549252E-6</v>
      </c>
      <c r="X78" s="9">
        <v>-1.5126609271924382E-4</v>
      </c>
      <c r="Y78" s="9">
        <v>5.9909344491176428E-5</v>
      </c>
      <c r="Z78" s="9">
        <v>2.7669526578182682E-5</v>
      </c>
      <c r="AA78" s="9">
        <v>3.4436374802661543E-5</v>
      </c>
      <c r="AB78" s="9">
        <v>1.0431066846740114E-4</v>
      </c>
      <c r="AC78" s="9">
        <v>2.3009585999304142E-4</v>
      </c>
      <c r="AD78" s="9">
        <v>1.0025195134169315E-4</v>
      </c>
      <c r="AE78" s="9">
        <v>-6.4214490381495689E-4</v>
      </c>
      <c r="AF78" s="9">
        <v>3.5027998709637946E-4</v>
      </c>
      <c r="AG78" s="9">
        <v>4.0009398637324612E-4</v>
      </c>
      <c r="AH78" s="9">
        <v>4.5495679300820961E-5</v>
      </c>
      <c r="AI78" s="9">
        <v>-2.8612017149702091E-4</v>
      </c>
      <c r="AJ78" s="9">
        <v>-4.2686284595921953E-4</v>
      </c>
      <c r="AK78" s="9">
        <v>-9.5934067840748122E-5</v>
      </c>
      <c r="AL78" s="9">
        <v>2.2356494659068302E-5</v>
      </c>
      <c r="AM78" s="9">
        <v>-2.9265652914469965E-4</v>
      </c>
      <c r="AN78" s="9">
        <v>-4.6243140641433684E-5</v>
      </c>
      <c r="AO78" s="9">
        <v>9.1070985519028561E-5</v>
      </c>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row>
    <row r="79" spans="1:67" x14ac:dyDescent="0.2">
      <c r="B79" s="9">
        <v>1.292330072360535E-7</v>
      </c>
      <c r="C79" s="9">
        <v>1.596291205865968E-6</v>
      </c>
      <c r="D79" s="9">
        <v>-1.7324620424884709E-6</v>
      </c>
      <c r="E79" s="9">
        <v>-5.6498128292335536E-6</v>
      </c>
      <c r="F79" s="9">
        <v>9.8798123291882852E-6</v>
      </c>
      <c r="G79" s="9">
        <v>6.9140479757537021E-7</v>
      </c>
      <c r="H79" s="9">
        <v>-2.558362557163972E-6</v>
      </c>
      <c r="I79" s="9">
        <v>1.6710737077382936E-6</v>
      </c>
      <c r="J79" s="9">
        <v>-2.3405091850379501E-6</v>
      </c>
      <c r="K79" s="9">
        <v>-4.6269167851206369E-6</v>
      </c>
      <c r="L79" s="9">
        <v>7.4312373797167411E-7</v>
      </c>
      <c r="M79" s="9">
        <v>-1.2316107198911676E-6</v>
      </c>
      <c r="N79" s="9">
        <v>2.7001396467790571E-6</v>
      </c>
      <c r="O79" s="9">
        <v>-2.2318693978970412E-5</v>
      </c>
      <c r="P79" s="9">
        <v>7.2149979884001107E-6</v>
      </c>
      <c r="Q79" s="9">
        <v>-1.6813715535167741E-5</v>
      </c>
      <c r="R79" s="9">
        <v>8.0134230971618481E-6</v>
      </c>
      <c r="S79" s="9">
        <v>1.6849280567650039E-5</v>
      </c>
      <c r="T79" s="9">
        <v>9.1151824110493967E-5</v>
      </c>
      <c r="U79" s="9">
        <v>-1.1526263817065954E-4</v>
      </c>
      <c r="V79" s="9">
        <v>2.0766321181407192E-5</v>
      </c>
      <c r="W79" s="9">
        <v>3.4050681903276072E-6</v>
      </c>
      <c r="X79" s="9">
        <v>1.6100312869219751E-5</v>
      </c>
      <c r="Y79" s="9">
        <v>1.0838308353624632E-5</v>
      </c>
      <c r="Z79" s="9">
        <v>-1.6419020070257715E-6</v>
      </c>
      <c r="AA79" s="9">
        <v>-3.2491469603825699E-5</v>
      </c>
      <c r="AB79" s="9">
        <v>1.0504002443953497E-4</v>
      </c>
      <c r="AC79" s="9">
        <v>-1.4202658913290786E-4</v>
      </c>
      <c r="AD79" s="9">
        <v>8.1539540377487172E-6</v>
      </c>
      <c r="AE79" s="9">
        <v>3.4363331093298919E-4</v>
      </c>
      <c r="AF79" s="9">
        <v>-4.5396652229934357E-4</v>
      </c>
      <c r="AG79" s="9">
        <v>-3.3630099652569171E-4</v>
      </c>
      <c r="AH79" s="9">
        <v>1.8185164735958706E-5</v>
      </c>
      <c r="AI79" s="9">
        <v>4.5189456160996436E-4</v>
      </c>
      <c r="AJ79" s="9">
        <v>2.1247345026719752E-4</v>
      </c>
      <c r="AK79" s="9">
        <v>8.6962176489770429E-5</v>
      </c>
      <c r="AL79" s="9">
        <v>-3.3590134062750507E-5</v>
      </c>
      <c r="AM79" s="9">
        <v>2.7733008304525676E-4</v>
      </c>
      <c r="AN79" s="9">
        <v>-4.9805453075681344E-5</v>
      </c>
      <c r="AO79" s="9">
        <v>-1.0321024101587487E-4</v>
      </c>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row>
    <row r="80" spans="1:67" x14ac:dyDescent="0.2">
      <c r="B80" s="9">
        <v>-8.9912942423768129E-8</v>
      </c>
      <c r="C80" s="9">
        <v>-5.9536088322621998E-6</v>
      </c>
      <c r="D80" s="9">
        <v>-4.5991680491680831E-6</v>
      </c>
      <c r="E80" s="9">
        <v>-5.0209557875992662E-6</v>
      </c>
      <c r="F80" s="9">
        <v>6.91404797575417E-7</v>
      </c>
      <c r="G80" s="9">
        <v>3.413053511874022E-5</v>
      </c>
      <c r="H80" s="9">
        <v>-3.7220375677740955E-6</v>
      </c>
      <c r="I80" s="9">
        <v>4.4244666101543273E-7</v>
      </c>
      <c r="J80" s="9">
        <v>-5.5323485905912246E-6</v>
      </c>
      <c r="K80" s="9">
        <v>2.256472783327263E-6</v>
      </c>
      <c r="L80" s="9">
        <v>5.4664232242770071E-6</v>
      </c>
      <c r="M80" s="9">
        <v>-1.121213695440898E-5</v>
      </c>
      <c r="N80" s="9">
        <v>-4.2672160928729558E-5</v>
      </c>
      <c r="O80" s="9">
        <v>-2.663061736627527E-5</v>
      </c>
      <c r="P80" s="9">
        <v>5.3891057906295071E-6</v>
      </c>
      <c r="Q80" s="9">
        <v>2.2109048491921624E-5</v>
      </c>
      <c r="R80" s="9">
        <v>6.2670241698289185E-5</v>
      </c>
      <c r="S80" s="9">
        <v>-6.2610530756019484E-6</v>
      </c>
      <c r="T80" s="9">
        <v>-9.5110814088441342E-5</v>
      </c>
      <c r="U80" s="9">
        <v>-1.3116589812474293E-4</v>
      </c>
      <c r="V80" s="9">
        <v>1.7674144798509219E-5</v>
      </c>
      <c r="W80" s="9">
        <v>1.5209653811528325E-5</v>
      </c>
      <c r="X80" s="9">
        <v>1.9013263884890366E-4</v>
      </c>
      <c r="Y80" s="9">
        <v>-8.6027578189164835E-5</v>
      </c>
      <c r="Z80" s="9">
        <v>5.1533802184079883E-6</v>
      </c>
      <c r="AA80" s="9">
        <v>-1.8325231076918405E-5</v>
      </c>
      <c r="AB80" s="9">
        <v>3.3516849770642745E-4</v>
      </c>
      <c r="AC80" s="9">
        <v>-7.8465242843254676E-5</v>
      </c>
      <c r="AD80" s="9">
        <v>-1.1662719072003057E-3</v>
      </c>
      <c r="AE80" s="9">
        <v>6.7001064587927364E-4</v>
      </c>
      <c r="AF80" s="9">
        <v>3.9541122588785901E-4</v>
      </c>
      <c r="AG80" s="9">
        <v>1.6960637466088843E-4</v>
      </c>
      <c r="AH80" s="9">
        <v>-4.0967802003197019E-4</v>
      </c>
      <c r="AI80" s="9">
        <v>7.4051851388525842E-5</v>
      </c>
      <c r="AJ80" s="9">
        <v>-2.1844409988080985E-4</v>
      </c>
      <c r="AK80" s="9">
        <v>2.9842314278816847E-4</v>
      </c>
      <c r="AL80" s="9">
        <v>2.5434783499483012E-5</v>
      </c>
      <c r="AM80" s="9">
        <v>-1.5069177859183814E-4</v>
      </c>
      <c r="AN80" s="9">
        <v>7.4570190959067273E-4</v>
      </c>
      <c r="AO80" s="9">
        <v>-2.5503503428179043E-4</v>
      </c>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row>
    <row r="81" spans="2:67" x14ac:dyDescent="0.2">
      <c r="B81" s="9">
        <v>-3.5633595968337455E-8</v>
      </c>
      <c r="C81" s="9">
        <v>1.3978580054674807E-6</v>
      </c>
      <c r="D81" s="9">
        <v>7.5460915463900866E-9</v>
      </c>
      <c r="E81" s="9">
        <v>2.5575450238246328E-6</v>
      </c>
      <c r="F81" s="9">
        <v>-2.5583625571639716E-6</v>
      </c>
      <c r="G81" s="9">
        <v>-3.7220375677740455E-6</v>
      </c>
      <c r="H81" s="9">
        <v>8.2046900729391376E-6</v>
      </c>
      <c r="I81" s="9">
        <v>2.1610198095686275E-6</v>
      </c>
      <c r="J81" s="9">
        <v>3.2450920478859009E-6</v>
      </c>
      <c r="K81" s="9">
        <v>-2.2485914872079541E-7</v>
      </c>
      <c r="L81" s="9">
        <v>-9.3958523110392765E-6</v>
      </c>
      <c r="M81" s="9">
        <v>-1.00407213993822E-6</v>
      </c>
      <c r="N81" s="9">
        <v>-3.2328107253224989E-6</v>
      </c>
      <c r="O81" s="9">
        <v>8.2144779290992822E-6</v>
      </c>
      <c r="P81" s="9">
        <v>-7.2804797793436587E-6</v>
      </c>
      <c r="Q81" s="9">
        <v>-9.3208505149184292E-6</v>
      </c>
      <c r="R81" s="9">
        <v>-1.380926534018164E-5</v>
      </c>
      <c r="S81" s="9">
        <v>-1.7102705257019258E-5</v>
      </c>
      <c r="T81" s="9">
        <v>-9.0636020903952293E-5</v>
      </c>
      <c r="U81" s="9">
        <v>1.2102872581698897E-4</v>
      </c>
      <c r="V81" s="9">
        <v>1.3695668342928453E-6</v>
      </c>
      <c r="W81" s="9">
        <v>1.5464846797096039E-5</v>
      </c>
      <c r="X81" s="9">
        <v>-6.3126582286140222E-5</v>
      </c>
      <c r="Y81" s="9">
        <v>-2.2431482605609555E-6</v>
      </c>
      <c r="Z81" s="9">
        <v>5.0022263609713346E-5</v>
      </c>
      <c r="AA81" s="9">
        <v>-1.0985230941928899E-5</v>
      </c>
      <c r="AB81" s="9">
        <v>1.0491583679044691E-4</v>
      </c>
      <c r="AC81" s="9">
        <v>-2.532293392638941E-4</v>
      </c>
      <c r="AD81" s="9">
        <v>4.8923662548887358E-4</v>
      </c>
      <c r="AE81" s="9">
        <v>-7.250390486759074E-4</v>
      </c>
      <c r="AF81" s="9">
        <v>1.0534650534393651E-3</v>
      </c>
      <c r="AG81" s="9">
        <v>3.0365923167430584E-4</v>
      </c>
      <c r="AH81" s="9">
        <v>2.3412057735174767E-4</v>
      </c>
      <c r="AI81" s="9">
        <v>-5.8821826489318329E-4</v>
      </c>
      <c r="AJ81" s="9">
        <v>-4.4618782916169218E-4</v>
      </c>
      <c r="AK81" s="9">
        <v>-1.0356567053672994E-4</v>
      </c>
      <c r="AL81" s="9">
        <v>7.0431395238851579E-5</v>
      </c>
      <c r="AM81" s="9">
        <v>-3.8319664244741686E-4</v>
      </c>
      <c r="AN81" s="9">
        <v>-1.2288322166244999E-4</v>
      </c>
      <c r="AO81" s="9">
        <v>3.9138857132140392E-4</v>
      </c>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row>
    <row r="82" spans="2:67" x14ac:dyDescent="0.2">
      <c r="B82" s="9">
        <v>4.3492179280268052E-7</v>
      </c>
      <c r="C82" s="9">
        <v>-6.7973949571891005E-7</v>
      </c>
      <c r="D82" s="9">
        <v>-7.5924808524017614E-6</v>
      </c>
      <c r="E82" s="9">
        <v>-4.9880803310003344E-7</v>
      </c>
      <c r="F82" s="9">
        <v>1.671073707738301E-6</v>
      </c>
      <c r="G82" s="9">
        <v>4.4244666101529446E-7</v>
      </c>
      <c r="H82" s="9">
        <v>2.1610198095686478E-6</v>
      </c>
      <c r="I82" s="9">
        <v>1.8407169222531277E-5</v>
      </c>
      <c r="J82" s="9">
        <v>2.6139109883268765E-6</v>
      </c>
      <c r="K82" s="9">
        <v>1.5330064575560286E-6</v>
      </c>
      <c r="L82" s="9">
        <v>-4.1153210901561838E-6</v>
      </c>
      <c r="M82" s="9">
        <v>-2.4836510259110133E-6</v>
      </c>
      <c r="N82" s="9">
        <v>9.8035314087269887E-6</v>
      </c>
      <c r="O82" s="9">
        <v>-5.6771965112852974E-7</v>
      </c>
      <c r="P82" s="9">
        <v>-1.472613073384065E-6</v>
      </c>
      <c r="Q82" s="9">
        <v>-1.6751330885705499E-5</v>
      </c>
      <c r="R82" s="9">
        <v>1.1225660238145353E-5</v>
      </c>
      <c r="S82" s="9">
        <v>3.3339662384745933E-6</v>
      </c>
      <c r="T82" s="9">
        <v>5.2589891826511655E-5</v>
      </c>
      <c r="U82" s="9">
        <v>2.4368714222751834E-5</v>
      </c>
      <c r="V82" s="9">
        <v>5.3944746785195061E-6</v>
      </c>
      <c r="W82" s="9">
        <v>1.8845441229486375E-5</v>
      </c>
      <c r="X82" s="9">
        <v>-1.6244201646590891E-4</v>
      </c>
      <c r="Y82" s="9">
        <v>-5.4340303278738506E-5</v>
      </c>
      <c r="Z82" s="9">
        <v>9.3438870810129445E-5</v>
      </c>
      <c r="AA82" s="9">
        <v>-4.7131776459240999E-5</v>
      </c>
      <c r="AB82" s="9">
        <v>7.8207694157644999E-4</v>
      </c>
      <c r="AC82" s="9">
        <v>-4.9240725867394758E-5</v>
      </c>
      <c r="AD82" s="9">
        <v>4.45027510688644E-6</v>
      </c>
      <c r="AE82" s="9">
        <v>-5.346778618510068E-4</v>
      </c>
      <c r="AF82" s="9">
        <v>2.9867859742552445E-4</v>
      </c>
      <c r="AG82" s="9">
        <v>1.7181913784339469E-4</v>
      </c>
      <c r="AH82" s="9">
        <v>1.7696594022468002E-4</v>
      </c>
      <c r="AI82" s="9">
        <v>-3.2741688117006798E-4</v>
      </c>
      <c r="AJ82" s="9">
        <v>2.2584990385890081E-4</v>
      </c>
      <c r="AK82" s="9">
        <v>-1.7061679846102647E-4</v>
      </c>
      <c r="AL82" s="9">
        <v>5.0446526259963292E-5</v>
      </c>
      <c r="AM82" s="9">
        <v>-1.5376446221633419E-4</v>
      </c>
      <c r="AN82" s="9">
        <v>-9.4316204771279275E-5</v>
      </c>
      <c r="AO82" s="9">
        <v>-2.5373639492110126E-4</v>
      </c>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row>
    <row r="83" spans="2:67" x14ac:dyDescent="0.2">
      <c r="B83" s="9">
        <v>4.1349306362203159E-7</v>
      </c>
      <c r="C83" s="9">
        <v>1.9253898872667036E-6</v>
      </c>
      <c r="D83" s="9">
        <v>2.6096108961987566E-7</v>
      </c>
      <c r="E83" s="9">
        <v>3.2689599267041686E-6</v>
      </c>
      <c r="F83" s="9">
        <v>-2.3405091850379755E-6</v>
      </c>
      <c r="G83" s="9">
        <v>-5.532348590591178E-6</v>
      </c>
      <c r="H83" s="9">
        <v>3.2450920478859157E-6</v>
      </c>
      <c r="I83" s="9">
        <v>2.6139109883268138E-6</v>
      </c>
      <c r="J83" s="9">
        <v>2.0178100000907442E-5</v>
      </c>
      <c r="K83" s="9">
        <v>-4.6389468421238176E-6</v>
      </c>
      <c r="L83" s="9">
        <v>-2.5746470203150166E-5</v>
      </c>
      <c r="M83" s="9">
        <v>3.7716640914186084E-6</v>
      </c>
      <c r="N83" s="9">
        <v>-8.1233715963157501E-6</v>
      </c>
      <c r="O83" s="9">
        <v>2.0124083658100598E-5</v>
      </c>
      <c r="P83" s="9">
        <v>-8.3081410964445654E-6</v>
      </c>
      <c r="Q83" s="9">
        <v>-2.4628102054473039E-5</v>
      </c>
      <c r="R83" s="9">
        <v>2.2998341257548342E-5</v>
      </c>
      <c r="S83" s="9">
        <v>-4.3119191767991479E-5</v>
      </c>
      <c r="T83" s="9">
        <v>-5.6218743498475205E-5</v>
      </c>
      <c r="U83" s="9">
        <v>8.0236844522639208E-5</v>
      </c>
      <c r="V83" s="9">
        <v>-2.5470183560004865E-5</v>
      </c>
      <c r="W83" s="9">
        <v>3.4580544246274117E-5</v>
      </c>
      <c r="X83" s="9">
        <v>-9.6219347721517414E-5</v>
      </c>
      <c r="Y83" s="9">
        <v>-3.0652760523557004E-5</v>
      </c>
      <c r="Z83" s="9">
        <v>2.0559173566951023E-4</v>
      </c>
      <c r="AA83" s="9">
        <v>4.451018197415734E-5</v>
      </c>
      <c r="AB83" s="9">
        <v>4.3925710978253308E-4</v>
      </c>
      <c r="AC83" s="9">
        <v>7.1447418809171461E-4</v>
      </c>
      <c r="AD83" s="9">
        <v>-3.5756274614201782E-5</v>
      </c>
      <c r="AE83" s="9">
        <v>-9.8779529872440618E-4</v>
      </c>
      <c r="AF83" s="9">
        <v>-6.6776917689717723E-6</v>
      </c>
      <c r="AG83" s="9">
        <v>8.2826070248735056E-4</v>
      </c>
      <c r="AH83" s="9">
        <v>-1.0955777365048284E-4</v>
      </c>
      <c r="AI83" s="9">
        <v>-9.9844753326832833E-4</v>
      </c>
      <c r="AJ83" s="9">
        <v>-3.6282367593836991E-4</v>
      </c>
      <c r="AK83" s="9">
        <v>-3.4816971960429987E-4</v>
      </c>
      <c r="AL83" s="9">
        <v>7.3369559034468845E-5</v>
      </c>
      <c r="AM83" s="9">
        <v>3.2784244910041957E-4</v>
      </c>
      <c r="AN83" s="9">
        <v>-1.5285797241147239E-4</v>
      </c>
      <c r="AO83" s="9">
        <v>-1.9979184858952775E-4</v>
      </c>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row>
    <row r="84" spans="2:67" x14ac:dyDescent="0.2">
      <c r="B84" s="9">
        <v>-2.2020399373206619E-6</v>
      </c>
      <c r="C84" s="9">
        <v>-2.8496513502891935E-6</v>
      </c>
      <c r="D84" s="9">
        <v>-1.6513615969789757E-6</v>
      </c>
      <c r="E84" s="9">
        <v>-2.835094939012171E-7</v>
      </c>
      <c r="F84" s="9">
        <v>-4.6269167851205759E-6</v>
      </c>
      <c r="G84" s="9">
        <v>2.2564727833271537E-6</v>
      </c>
      <c r="H84" s="9">
        <v>-2.2485914872086109E-7</v>
      </c>
      <c r="I84" s="9">
        <v>1.5330064575560483E-6</v>
      </c>
      <c r="J84" s="9">
        <v>-4.6389468421238761E-6</v>
      </c>
      <c r="K84" s="9">
        <v>5.2303662041144925E-5</v>
      </c>
      <c r="L84" s="9">
        <v>1.8709125477578906E-5</v>
      </c>
      <c r="M84" s="9">
        <v>5.1985208146539727E-6</v>
      </c>
      <c r="N84" s="9">
        <v>1.4467627479811269E-6</v>
      </c>
      <c r="O84" s="9">
        <v>-7.6338417319726424E-5</v>
      </c>
      <c r="P84" s="9">
        <v>-1.9153928078528463E-6</v>
      </c>
      <c r="Q84" s="9">
        <v>1.3510903166291344E-5</v>
      </c>
      <c r="R84" s="9">
        <v>1.7996840166487219E-5</v>
      </c>
      <c r="S84" s="9">
        <v>-1.4240401508029817E-5</v>
      </c>
      <c r="T84" s="9">
        <v>4.2348507679420247E-5</v>
      </c>
      <c r="U84" s="9">
        <v>-5.4269380678944373E-5</v>
      </c>
      <c r="V84" s="9">
        <v>-6.2514831928780156E-5</v>
      </c>
      <c r="W84" s="9">
        <v>-1.1636124684193453E-4</v>
      </c>
      <c r="X84" s="9">
        <v>1.793003203208938E-4</v>
      </c>
      <c r="Y84" s="9">
        <v>-1.2705323693848686E-4</v>
      </c>
      <c r="Z84" s="9">
        <v>1.5729322373295732E-4</v>
      </c>
      <c r="AA84" s="9">
        <v>4.1420656512118296E-5</v>
      </c>
      <c r="AB84" s="9">
        <v>-1.1226557429197539E-3</v>
      </c>
      <c r="AC84" s="9">
        <v>-8.3599802585764774E-4</v>
      </c>
      <c r="AD84" s="9">
        <v>3.8111862561960496E-4</v>
      </c>
      <c r="AE84" s="9">
        <v>1.485067385347033E-3</v>
      </c>
      <c r="AF84" s="9">
        <v>-3.061994822985847E-6</v>
      </c>
      <c r="AG84" s="9">
        <v>-9.9986353474747626E-4</v>
      </c>
      <c r="AH84" s="9">
        <v>6.0503310135948329E-5</v>
      </c>
      <c r="AI84" s="9">
        <v>7.8447145072974619E-4</v>
      </c>
      <c r="AJ84" s="9">
        <v>1.7888079197208952E-4</v>
      </c>
      <c r="AK84" s="9">
        <v>3.9211930735056114E-4</v>
      </c>
      <c r="AL84" s="9">
        <v>1.3846124931073752E-4</v>
      </c>
      <c r="AM84" s="9">
        <v>-1.0026238252610588E-4</v>
      </c>
      <c r="AN84" s="9">
        <v>-3.2558318254067567E-4</v>
      </c>
      <c r="AO84" s="9">
        <v>4.4722997800562478E-4</v>
      </c>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row>
    <row r="85" spans="2:67" x14ac:dyDescent="0.2">
      <c r="B85" s="9">
        <v>4.4840363710763261E-7</v>
      </c>
      <c r="C85" s="9">
        <v>-9.0017799507389416E-6</v>
      </c>
      <c r="D85" s="9">
        <v>-1.3169347494656777E-5</v>
      </c>
      <c r="E85" s="9">
        <v>-1.1195725468426904E-5</v>
      </c>
      <c r="F85" s="9">
        <v>7.4312373797176591E-7</v>
      </c>
      <c r="G85" s="9">
        <v>5.4664232242766023E-6</v>
      </c>
      <c r="H85" s="9">
        <v>-9.3958523110392748E-6</v>
      </c>
      <c r="I85" s="9">
        <v>-4.1153210901558654E-6</v>
      </c>
      <c r="J85" s="9">
        <v>-2.5746470203150027E-5</v>
      </c>
      <c r="K85" s="9">
        <v>1.8709125477578689E-5</v>
      </c>
      <c r="L85" s="9">
        <v>2.2664133709664574E-4</v>
      </c>
      <c r="M85" s="9">
        <v>2.1129145661328228E-5</v>
      </c>
      <c r="N85" s="9">
        <v>5.7650586740945616E-5</v>
      </c>
      <c r="O85" s="9">
        <v>-1.0303936903811673E-4</v>
      </c>
      <c r="P85" s="9">
        <v>1.830624385628835E-5</v>
      </c>
      <c r="Q85" s="9">
        <v>1.7120497591715013E-5</v>
      </c>
      <c r="R85" s="9">
        <v>-8.15194175514939E-5</v>
      </c>
      <c r="S85" s="9">
        <v>4.3275129729832977E-5</v>
      </c>
      <c r="T85" s="9">
        <v>4.3971467631026833E-4</v>
      </c>
      <c r="U85" s="9">
        <v>-3.3374313525094527E-4</v>
      </c>
      <c r="V85" s="9">
        <v>-1.0430050657818902E-4</v>
      </c>
      <c r="W85" s="9">
        <v>-4.0314182737871056E-4</v>
      </c>
      <c r="X85" s="9">
        <v>2.9409672085066647E-4</v>
      </c>
      <c r="Y85" s="9">
        <v>3.3194939917660963E-4</v>
      </c>
      <c r="Z85" s="9">
        <v>-8.2400686978078067E-4</v>
      </c>
      <c r="AA85" s="9">
        <v>-7.3985020757396294E-5</v>
      </c>
      <c r="AB85" s="9">
        <v>-7.6129157167775731E-4</v>
      </c>
      <c r="AC85" s="9">
        <v>-2.046391282376984E-3</v>
      </c>
      <c r="AD85" s="9">
        <v>-9.2490172025081494E-4</v>
      </c>
      <c r="AE85" s="9">
        <v>4.3590840003390223E-3</v>
      </c>
      <c r="AF85" s="9">
        <v>-9.6177669659930343E-4</v>
      </c>
      <c r="AG85" s="9">
        <v>-3.557635036346837E-3</v>
      </c>
      <c r="AH85" s="9">
        <v>-7.8831231726650907E-4</v>
      </c>
      <c r="AI85" s="9">
        <v>2.9469146505029975E-3</v>
      </c>
      <c r="AJ85" s="9">
        <v>6.0763549028389153E-4</v>
      </c>
      <c r="AK85" s="9">
        <v>2.7645675117990102E-3</v>
      </c>
      <c r="AL85" s="9">
        <v>-1.3862283498318554E-4</v>
      </c>
      <c r="AM85" s="9">
        <v>1.721212161955663E-3</v>
      </c>
      <c r="AN85" s="9">
        <v>3.6741635250177909E-4</v>
      </c>
      <c r="AO85" s="9">
        <v>-1.9732301444173117E-3</v>
      </c>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row>
    <row r="86" spans="2:67" x14ac:dyDescent="0.2">
      <c r="B86" s="9">
        <v>2.7169087503396641E-7</v>
      </c>
      <c r="C86" s="9">
        <v>-5.2005418153503164E-8</v>
      </c>
      <c r="D86" s="9">
        <v>1.9064895113503649E-7</v>
      </c>
      <c r="E86" s="9">
        <v>5.0123265502886735E-7</v>
      </c>
      <c r="F86" s="9">
        <v>-1.2316107198911443E-6</v>
      </c>
      <c r="G86" s="9">
        <v>-1.1212136954409136E-5</v>
      </c>
      <c r="H86" s="9">
        <v>-1.004072139938206E-6</v>
      </c>
      <c r="I86" s="9">
        <v>-2.4836510259110476E-6</v>
      </c>
      <c r="J86" s="9">
        <v>3.771664091418655E-6</v>
      </c>
      <c r="K86" s="9">
        <v>5.1985208146538829E-6</v>
      </c>
      <c r="L86" s="9">
        <v>2.1129145661328072E-5</v>
      </c>
      <c r="M86" s="9">
        <v>4.0642467731269299E-5</v>
      </c>
      <c r="N86" s="9">
        <v>2.5657897532649E-5</v>
      </c>
      <c r="O86" s="9">
        <v>-3.6591290860637891E-5</v>
      </c>
      <c r="P86" s="9">
        <v>-7.3383488157909791E-6</v>
      </c>
      <c r="Q86" s="9">
        <v>-7.6543014953629279E-6</v>
      </c>
      <c r="R86" s="9">
        <v>-1.0136427132206816E-5</v>
      </c>
      <c r="S86" s="9">
        <v>-7.1397604695583544E-5</v>
      </c>
      <c r="T86" s="9">
        <v>1.7716940248076283E-4</v>
      </c>
      <c r="U86" s="9">
        <v>-3.9971954322046193E-5</v>
      </c>
      <c r="V86" s="9">
        <v>7.0386090971090929E-6</v>
      </c>
      <c r="W86" s="9">
        <v>-5.9518882585517652E-5</v>
      </c>
      <c r="X86" s="9">
        <v>-1.0186103165615726E-5</v>
      </c>
      <c r="Y86" s="9">
        <v>9.1609019434149341E-6</v>
      </c>
      <c r="Z86" s="9">
        <v>-8.5974635952510068E-5</v>
      </c>
      <c r="AA86" s="9">
        <v>6.9125212450051054E-5</v>
      </c>
      <c r="AB86" s="9">
        <v>-9.1320398061729648E-4</v>
      </c>
      <c r="AC86" s="9">
        <v>2.2501136089004726E-4</v>
      </c>
      <c r="AD86" s="9">
        <v>4.7917218574972753E-5</v>
      </c>
      <c r="AE86" s="9">
        <v>4.794596727773777E-4</v>
      </c>
      <c r="AF86" s="9">
        <v>-1.0318379836980324E-3</v>
      </c>
      <c r="AG86" s="9">
        <v>-2.860825059434287E-4</v>
      </c>
      <c r="AH86" s="9">
        <v>-2.8634025830110398E-4</v>
      </c>
      <c r="AI86" s="9">
        <v>8.2468350361936582E-4</v>
      </c>
      <c r="AJ86" s="9">
        <v>8.3630120445116673E-4</v>
      </c>
      <c r="AK86" s="9">
        <v>1.9579970650802756E-4</v>
      </c>
      <c r="AL86" s="9">
        <v>-3.9305731444151975E-5</v>
      </c>
      <c r="AM86" s="9">
        <v>7.9167100592430887E-4</v>
      </c>
      <c r="AN86" s="9">
        <v>-4.1078620732735944E-4</v>
      </c>
      <c r="AO86" s="9">
        <v>-8.3823160248586799E-4</v>
      </c>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row>
    <row r="87" spans="2:67" x14ac:dyDescent="0.2">
      <c r="B87" s="9">
        <v>1.0616604832669103E-6</v>
      </c>
      <c r="C87" s="9">
        <v>-9.8256479390407829E-6</v>
      </c>
      <c r="D87" s="9">
        <v>-8.2887757385655597E-6</v>
      </c>
      <c r="E87" s="9">
        <v>1.7464839421529067E-6</v>
      </c>
      <c r="F87" s="9">
        <v>2.700139646779149E-6</v>
      </c>
      <c r="G87" s="9">
        <v>-4.2672160928729788E-5</v>
      </c>
      <c r="H87" s="9">
        <v>-3.2328107253224511E-6</v>
      </c>
      <c r="I87" s="9">
        <v>9.8035314087269108E-6</v>
      </c>
      <c r="J87" s="9">
        <v>-8.1233715963155993E-6</v>
      </c>
      <c r="K87" s="9">
        <v>1.4467627479804344E-6</v>
      </c>
      <c r="L87" s="9">
        <v>5.7650586740944471E-5</v>
      </c>
      <c r="M87" s="9">
        <v>2.5657897532648695E-5</v>
      </c>
      <c r="N87" s="9">
        <v>3.1734909558729738E-4</v>
      </c>
      <c r="O87" s="9">
        <v>-1.4293239042672453E-4</v>
      </c>
      <c r="P87" s="9">
        <v>-1.6995848793586495E-5</v>
      </c>
      <c r="Q87" s="9">
        <v>-2.4354613039088932E-5</v>
      </c>
      <c r="R87" s="9">
        <v>-6.8541790577319125E-5</v>
      </c>
      <c r="S87" s="9">
        <v>6.1513900033938619E-5</v>
      </c>
      <c r="T87" s="9">
        <v>3.6546568193767417E-4</v>
      </c>
      <c r="U87" s="9">
        <v>8.9100474844626236E-5</v>
      </c>
      <c r="V87" s="9">
        <v>4.9161929033596092E-5</v>
      </c>
      <c r="W87" s="9">
        <v>-1.0312761601377226E-4</v>
      </c>
      <c r="X87" s="9">
        <v>-8.4965633100475373E-4</v>
      </c>
      <c r="Y87" s="9">
        <v>4.8879582624381391E-4</v>
      </c>
      <c r="Z87" s="9">
        <v>2.0113402063823898E-4</v>
      </c>
      <c r="AA87" s="9">
        <v>-1.5550305000268472E-5</v>
      </c>
      <c r="AB87" s="9">
        <v>-3.0327895036803593E-4</v>
      </c>
      <c r="AC87" s="9">
        <v>4.9981801026095188E-4</v>
      </c>
      <c r="AD87" s="9">
        <v>-7.4961861943620769E-4</v>
      </c>
      <c r="AE87" s="9">
        <v>5.7310301350236741E-5</v>
      </c>
      <c r="AF87" s="9">
        <v>3.7197318428951968E-4</v>
      </c>
      <c r="AG87" s="9">
        <v>-1.2595004487899626E-5</v>
      </c>
      <c r="AH87" s="9">
        <v>-1.2041608094518616E-3</v>
      </c>
      <c r="AI87" s="9">
        <v>-2.5956268047693295E-5</v>
      </c>
      <c r="AJ87" s="9">
        <v>3.9965793247704679E-4</v>
      </c>
      <c r="AK87" s="9">
        <v>9.1490164503434915E-4</v>
      </c>
      <c r="AL87" s="9">
        <v>-1.4143896766345595E-4</v>
      </c>
      <c r="AM87" s="9">
        <v>1.4486208442147845E-3</v>
      </c>
      <c r="AN87" s="9">
        <v>-1.3758269625518734E-3</v>
      </c>
      <c r="AO87" s="9">
        <v>-1.8300889031644945E-3</v>
      </c>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row>
    <row r="88" spans="2:67" x14ac:dyDescent="0.2">
      <c r="B88" s="9">
        <v>4.3884053279887743E-6</v>
      </c>
      <c r="C88" s="9">
        <v>7.5043251262797946E-6</v>
      </c>
      <c r="D88" s="9">
        <v>8.0048563806785411E-6</v>
      </c>
      <c r="E88" s="9">
        <v>1.0502274574965434E-5</v>
      </c>
      <c r="F88" s="9">
        <v>-2.2318693978970839E-5</v>
      </c>
      <c r="G88" s="9">
        <v>-2.6630617366274446E-5</v>
      </c>
      <c r="H88" s="9">
        <v>8.2144779290995956E-6</v>
      </c>
      <c r="I88" s="9">
        <v>-5.6771965112837336E-7</v>
      </c>
      <c r="J88" s="9">
        <v>2.0124083658100889E-5</v>
      </c>
      <c r="K88" s="9">
        <v>-7.6338417319725949E-5</v>
      </c>
      <c r="L88" s="9">
        <v>-1.0303936903811804E-4</v>
      </c>
      <c r="M88" s="9">
        <v>-3.6591290860638169E-5</v>
      </c>
      <c r="N88" s="9">
        <v>-1.4293239042672713E-4</v>
      </c>
      <c r="O88" s="9">
        <v>1.0152574180868231E-3</v>
      </c>
      <c r="P88" s="9">
        <v>6.8987021332383294E-6</v>
      </c>
      <c r="Q88" s="9">
        <v>-1.8198787453012965E-4</v>
      </c>
      <c r="R88" s="9">
        <v>-2.8216253455497578E-4</v>
      </c>
      <c r="S88" s="9">
        <v>1.6530066852820741E-4</v>
      </c>
      <c r="T88" s="9">
        <v>-4.2080587895131034E-4</v>
      </c>
      <c r="U88" s="9">
        <v>8.5977559100700019E-4</v>
      </c>
      <c r="V88" s="9">
        <v>-5.899250786710462E-5</v>
      </c>
      <c r="W88" s="9">
        <v>1.3031334800245675E-4</v>
      </c>
      <c r="X88" s="9">
        <v>-3.9163605737631112E-4</v>
      </c>
      <c r="Y88" s="9">
        <v>-1.442093728118847E-4</v>
      </c>
      <c r="Z88" s="9">
        <v>-5.2282565821912806E-4</v>
      </c>
      <c r="AA88" s="9">
        <v>-4.5939261118651701E-4</v>
      </c>
      <c r="AB88" s="9">
        <v>3.7241641709357736E-3</v>
      </c>
      <c r="AC88" s="9">
        <v>1.2621173353931123E-3</v>
      </c>
      <c r="AD88" s="9">
        <v>2.2581443668032459E-3</v>
      </c>
      <c r="AE88" s="9">
        <v>-4.1703297931224041E-3</v>
      </c>
      <c r="AF88" s="9">
        <v>-1.0669478150109786E-3</v>
      </c>
      <c r="AG88" s="9">
        <v>2.8471058143732775E-3</v>
      </c>
      <c r="AH88" s="9">
        <v>6.2797745531828941E-4</v>
      </c>
      <c r="AI88" s="9">
        <v>1.4393209883217337E-3</v>
      </c>
      <c r="AJ88" s="9">
        <v>4.6646454097666628E-4</v>
      </c>
      <c r="AK88" s="9">
        <v>-3.2876659737191847E-3</v>
      </c>
      <c r="AL88" s="9">
        <v>-3.3710678174584156E-4</v>
      </c>
      <c r="AM88" s="9">
        <v>1.5503979501584721E-3</v>
      </c>
      <c r="AN88" s="9">
        <v>1.1288523354184531E-3</v>
      </c>
      <c r="AO88" s="9">
        <v>-1.0328336657582627E-3</v>
      </c>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row>
    <row r="89" spans="2:67" x14ac:dyDescent="0.2">
      <c r="B89" s="9">
        <v>8.3478935742940941E-8</v>
      </c>
      <c r="C89" s="9">
        <v>2.7417524135545531E-6</v>
      </c>
      <c r="D89" s="9">
        <v>-3.4276846210552509E-6</v>
      </c>
      <c r="E89" s="9">
        <v>-8.1932808266419134E-6</v>
      </c>
      <c r="F89" s="9">
        <v>7.2149979884000954E-6</v>
      </c>
      <c r="G89" s="9">
        <v>5.3891057906296172E-6</v>
      </c>
      <c r="H89" s="9">
        <v>-7.2804797793436654E-6</v>
      </c>
      <c r="I89" s="9">
        <v>-1.4726130733840053E-6</v>
      </c>
      <c r="J89" s="9">
        <v>-8.3081410964445518E-6</v>
      </c>
      <c r="K89" s="9">
        <v>-1.9153928078528467E-6</v>
      </c>
      <c r="L89" s="9">
        <v>1.8306243856288248E-5</v>
      </c>
      <c r="M89" s="9">
        <v>-7.3383488157910367E-6</v>
      </c>
      <c r="N89" s="9">
        <v>-1.69958487935868E-5</v>
      </c>
      <c r="O89" s="9">
        <v>6.8987021332387376E-6</v>
      </c>
      <c r="P89" s="9">
        <v>1.1213111068432138E-4</v>
      </c>
      <c r="Q89" s="9">
        <v>-3.5425307901915546E-5</v>
      </c>
      <c r="R89" s="9">
        <v>1.6650908936491531E-5</v>
      </c>
      <c r="S89" s="9">
        <v>8.5186214711467797E-5</v>
      </c>
      <c r="T89" s="9">
        <v>1.7273888055654647E-5</v>
      </c>
      <c r="U89" s="9">
        <v>-1.2267902068301685E-4</v>
      </c>
      <c r="V89" s="9">
        <v>-1.2124209040943486E-4</v>
      </c>
      <c r="W89" s="9">
        <v>-4.655172912265687E-6</v>
      </c>
      <c r="X89" s="9">
        <v>2.3273957459595421E-4</v>
      </c>
      <c r="Y89" s="9">
        <v>-1.6856917434838761E-5</v>
      </c>
      <c r="Z89" s="9">
        <v>-2.2645328717979399E-5</v>
      </c>
      <c r="AA89" s="9">
        <v>-2.3332321439718584E-4</v>
      </c>
      <c r="AB89" s="9">
        <v>1.6190709018978121E-3</v>
      </c>
      <c r="AC89" s="9">
        <v>-9.6630706308593417E-4</v>
      </c>
      <c r="AD89" s="9">
        <v>-8.4120320131289962E-4</v>
      </c>
      <c r="AE89" s="9">
        <v>1.9599694192641878E-3</v>
      </c>
      <c r="AF89" s="9">
        <v>-1.1847507211787995E-4</v>
      </c>
      <c r="AG89" s="9">
        <v>-1.7874688384653516E-3</v>
      </c>
      <c r="AH89" s="9">
        <v>2.7116680120174691E-4</v>
      </c>
      <c r="AI89" s="9">
        <v>5.7967836673291013E-4</v>
      </c>
      <c r="AJ89" s="9">
        <v>-2.6270141938165669E-4</v>
      </c>
      <c r="AK89" s="9">
        <v>6.3157864018705716E-4</v>
      </c>
      <c r="AL89" s="9">
        <v>-2.1221854828896435E-4</v>
      </c>
      <c r="AM89" s="9">
        <v>-3.3854215252933816E-5</v>
      </c>
      <c r="AN89" s="9">
        <v>7.3870628761010392E-4</v>
      </c>
      <c r="AO89" s="9">
        <v>1.9673468794542562E-4</v>
      </c>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row>
    <row r="90" spans="2:67" x14ac:dyDescent="0.2">
      <c r="B90" s="9">
        <v>-4.8070302931465913E-6</v>
      </c>
      <c r="C90" s="9">
        <v>-7.0266542282722707E-6</v>
      </c>
      <c r="D90" s="9">
        <v>1.5783079321504268E-5</v>
      </c>
      <c r="E90" s="9">
        <v>1.2095144355340905E-5</v>
      </c>
      <c r="F90" s="9">
        <v>-1.6813715535167572E-5</v>
      </c>
      <c r="G90" s="9">
        <v>2.2109048491921664E-5</v>
      </c>
      <c r="H90" s="9">
        <v>-9.3208505149185376E-6</v>
      </c>
      <c r="I90" s="9">
        <v>-1.6751330885705448E-5</v>
      </c>
      <c r="J90" s="9">
        <v>-2.4628102054473246E-5</v>
      </c>
      <c r="K90" s="9">
        <v>1.351090316629127E-5</v>
      </c>
      <c r="L90" s="9">
        <v>1.7120497591716277E-5</v>
      </c>
      <c r="M90" s="9">
        <v>-7.6543014953626891E-6</v>
      </c>
      <c r="N90" s="9">
        <v>-2.4354613039087926E-5</v>
      </c>
      <c r="O90" s="9">
        <v>-1.8198787453013116E-4</v>
      </c>
      <c r="P90" s="9">
        <v>-3.5425307901915356E-5</v>
      </c>
      <c r="Q90" s="9">
        <v>5.6127234536490717E-4</v>
      </c>
      <c r="R90" s="9">
        <v>-4.7486725272312347E-5</v>
      </c>
      <c r="S90" s="9">
        <v>-2.3083000457679859E-4</v>
      </c>
      <c r="T90" s="9">
        <v>-3.5483940008970938E-4</v>
      </c>
      <c r="U90" s="9">
        <v>-3.0791407416381577E-4</v>
      </c>
      <c r="V90" s="9">
        <v>1.6606281110138991E-5</v>
      </c>
      <c r="W90" s="9">
        <v>5.5310571724341193E-5</v>
      </c>
      <c r="X90" s="9">
        <v>5.3221759673691962E-4</v>
      </c>
      <c r="Y90" s="9">
        <v>-2.5079174270142422E-4</v>
      </c>
      <c r="Z90" s="9">
        <v>-5.2880749101738274E-4</v>
      </c>
      <c r="AA90" s="9">
        <v>2.890747401591203E-4</v>
      </c>
      <c r="AB90" s="9">
        <v>-1.8937234928203702E-3</v>
      </c>
      <c r="AC90" s="9">
        <v>6.0747038012361123E-4</v>
      </c>
      <c r="AD90" s="9">
        <v>-1.1102016153814681E-3</v>
      </c>
      <c r="AE90" s="9">
        <v>3.6826420028474206E-4</v>
      </c>
      <c r="AF90" s="9">
        <v>1.0073081685034856E-3</v>
      </c>
      <c r="AG90" s="9">
        <v>2.0051687842943775E-4</v>
      </c>
      <c r="AH90" s="9">
        <v>-1.154855854577401E-4</v>
      </c>
      <c r="AI90" s="9">
        <v>6.2511956924862452E-4</v>
      </c>
      <c r="AJ90" s="9">
        <v>-2.1117029375114887E-4</v>
      </c>
      <c r="AK90" s="9">
        <v>1.6198011073572624E-4</v>
      </c>
      <c r="AL90" s="9">
        <v>1.4981935390101793E-4</v>
      </c>
      <c r="AM90" s="9">
        <v>-2.5615405389002692E-3</v>
      </c>
      <c r="AN90" s="9">
        <v>-5.7651346921578759E-5</v>
      </c>
      <c r="AO90" s="9">
        <v>2.5548199652991495E-3</v>
      </c>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row>
    <row r="91" spans="2:67" x14ac:dyDescent="0.2">
      <c r="B91" s="9">
        <v>-1.355945359557164E-6</v>
      </c>
      <c r="C91" s="9">
        <v>-1.5594577352980193E-5</v>
      </c>
      <c r="D91" s="9">
        <v>-3.4366733547771402E-6</v>
      </c>
      <c r="E91" s="9">
        <v>-3.9055209416636297E-6</v>
      </c>
      <c r="F91" s="9">
        <v>8.0134230971620243E-6</v>
      </c>
      <c r="G91" s="9">
        <v>6.2670241698289253E-5</v>
      </c>
      <c r="H91" s="9">
        <v>-1.3809265340181939E-5</v>
      </c>
      <c r="I91" s="9">
        <v>1.1225660238145226E-5</v>
      </c>
      <c r="J91" s="9">
        <v>2.2998341257547969E-5</v>
      </c>
      <c r="K91" s="9">
        <v>1.7996840166487293E-5</v>
      </c>
      <c r="L91" s="9">
        <v>-8.1519417551492626E-5</v>
      </c>
      <c r="M91" s="9">
        <v>-1.0136427132206556E-5</v>
      </c>
      <c r="N91" s="9">
        <v>-6.8541790577318569E-5</v>
      </c>
      <c r="O91" s="9">
        <v>-2.8216253455497778E-4</v>
      </c>
      <c r="P91" s="9">
        <v>1.665090893649144E-5</v>
      </c>
      <c r="Q91" s="9">
        <v>-4.7486725272312049E-5</v>
      </c>
      <c r="R91" s="9">
        <v>6.2790593103812051E-4</v>
      </c>
      <c r="S91" s="9">
        <v>-1.6493712317164507E-4</v>
      </c>
      <c r="T91" s="9">
        <v>-5.0813738198055404E-4</v>
      </c>
      <c r="U91" s="9">
        <v>-7.7055949083651952E-4</v>
      </c>
      <c r="V91" s="9">
        <v>-9.0881857908804909E-5</v>
      </c>
      <c r="W91" s="9">
        <v>-3.7881701988943143E-5</v>
      </c>
      <c r="X91" s="9">
        <v>1.1644199551934663E-3</v>
      </c>
      <c r="Y91" s="9">
        <v>-6.131943960859356E-5</v>
      </c>
      <c r="Z91" s="9">
        <v>4.1420294039294458E-4</v>
      </c>
      <c r="AA91" s="9">
        <v>3.1662782509444951E-4</v>
      </c>
      <c r="AB91" s="9">
        <v>2.2268773277986443E-4</v>
      </c>
      <c r="AC91" s="9">
        <v>1.3780374676862961E-3</v>
      </c>
      <c r="AD91" s="9">
        <v>-6.3992938854718837E-3</v>
      </c>
      <c r="AE91" s="9">
        <v>2.5746017681265963E-3</v>
      </c>
      <c r="AF91" s="9">
        <v>3.320071509699948E-4</v>
      </c>
      <c r="AG91" s="9">
        <v>1.5802047829993771E-3</v>
      </c>
      <c r="AH91" s="9">
        <v>-1.3907430072991821E-3</v>
      </c>
      <c r="AI91" s="9">
        <v>-1.7139098416495856E-4</v>
      </c>
      <c r="AJ91" s="9">
        <v>-2.7810641247981798E-3</v>
      </c>
      <c r="AK91" s="9">
        <v>1.3934423810706151E-3</v>
      </c>
      <c r="AL91" s="9">
        <v>2.8534339578974171E-4</v>
      </c>
      <c r="AM91" s="9">
        <v>-6.2413098236251249E-4</v>
      </c>
      <c r="AN91" s="9">
        <v>1.3476365434137139E-3</v>
      </c>
      <c r="AO91" s="9">
        <v>-6.0478142072021635E-4</v>
      </c>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row>
    <row r="92" spans="2:67" x14ac:dyDescent="0.2">
      <c r="B92" s="9">
        <v>3.7757504847226596E-6</v>
      </c>
      <c r="C92" s="9">
        <v>3.5488982172029269E-6</v>
      </c>
      <c r="D92" s="9">
        <v>-1.8930005834363561E-5</v>
      </c>
      <c r="E92" s="9">
        <v>-2.3233272318699558E-5</v>
      </c>
      <c r="F92" s="9">
        <v>1.6849280567649917E-5</v>
      </c>
      <c r="G92" s="9">
        <v>-6.2610530756020111E-6</v>
      </c>
      <c r="H92" s="9">
        <v>-1.710270525701919E-5</v>
      </c>
      <c r="I92" s="9">
        <v>3.3339662384748516E-6</v>
      </c>
      <c r="J92" s="9">
        <v>-4.3119191767991235E-5</v>
      </c>
      <c r="K92" s="9">
        <v>-1.4240401508029992E-5</v>
      </c>
      <c r="L92" s="9">
        <v>4.3275129729832516E-5</v>
      </c>
      <c r="M92" s="9">
        <v>-7.1397604695583639E-5</v>
      </c>
      <c r="N92" s="9">
        <v>6.151390003393767E-5</v>
      </c>
      <c r="O92" s="9">
        <v>1.6530066852820993E-4</v>
      </c>
      <c r="P92" s="9">
        <v>8.5186214711467742E-5</v>
      </c>
      <c r="Q92" s="9">
        <v>-2.3083000457679929E-4</v>
      </c>
      <c r="R92" s="9">
        <v>-1.6493712317164588E-4</v>
      </c>
      <c r="S92" s="9">
        <v>8.2122919131664637E-4</v>
      </c>
      <c r="T92" s="9">
        <v>6.0646183412044706E-4</v>
      </c>
      <c r="U92" s="9">
        <v>8.9678165125760634E-6</v>
      </c>
      <c r="V92" s="9">
        <v>1.6424313574325082E-4</v>
      </c>
      <c r="W92" s="9">
        <v>-1.1279078751734082E-5</v>
      </c>
      <c r="X92" s="9">
        <v>-1.582404599103534E-4</v>
      </c>
      <c r="Y92" s="9">
        <v>1.9144804002645558E-4</v>
      </c>
      <c r="Z92" s="9">
        <v>-9.2293224778528145E-4</v>
      </c>
      <c r="AA92" s="9">
        <v>-6.5579086036271093E-4</v>
      </c>
      <c r="AB92" s="9">
        <v>2.1479363218269648E-3</v>
      </c>
      <c r="AC92" s="9">
        <v>-3.8899640807729596E-3</v>
      </c>
      <c r="AD92" s="9">
        <v>1.5630510575427321E-3</v>
      </c>
      <c r="AE92" s="9">
        <v>3.3409998883459947E-3</v>
      </c>
      <c r="AF92" s="9">
        <v>-5.4902544541956416E-4</v>
      </c>
      <c r="AG92" s="9">
        <v>-2.9737765538617403E-3</v>
      </c>
      <c r="AH92" s="9">
        <v>1.7029664756940237E-3</v>
      </c>
      <c r="AI92" s="9">
        <v>-1.973277379326374E-3</v>
      </c>
      <c r="AJ92" s="9">
        <v>3.976777762580869E-3</v>
      </c>
      <c r="AK92" s="9">
        <v>-6.6681099569851116E-4</v>
      </c>
      <c r="AL92" s="9">
        <v>-2.8631957993669919E-4</v>
      </c>
      <c r="AM92" s="9">
        <v>-1.3966595601568822E-3</v>
      </c>
      <c r="AN92" s="9">
        <v>1.563386266906929E-3</v>
      </c>
      <c r="AO92" s="9">
        <v>9.9226789892736139E-4</v>
      </c>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row>
    <row r="93" spans="2:67" x14ac:dyDescent="0.2">
      <c r="B93" s="9">
        <v>2.6827174915851962E-6</v>
      </c>
      <c r="C93" s="9">
        <v>-6.6422711693883812E-7</v>
      </c>
      <c r="D93" s="9">
        <v>-9.7707274248284596E-5</v>
      </c>
      <c r="E93" s="9">
        <v>-5.6550581643222422E-5</v>
      </c>
      <c r="F93" s="9">
        <v>9.1151824110494048E-5</v>
      </c>
      <c r="G93" s="9">
        <v>-9.5110814088446722E-5</v>
      </c>
      <c r="H93" s="9">
        <v>-9.0636020903951507E-5</v>
      </c>
      <c r="I93" s="9">
        <v>5.2589891826512237E-5</v>
      </c>
      <c r="J93" s="9">
        <v>-5.6218743498473165E-5</v>
      </c>
      <c r="K93" s="9">
        <v>4.2348507679417746E-5</v>
      </c>
      <c r="L93" s="9">
        <v>4.397146763102628E-4</v>
      </c>
      <c r="M93" s="9">
        <v>1.7716940248076356E-4</v>
      </c>
      <c r="N93" s="9">
        <v>3.6546568193767987E-4</v>
      </c>
      <c r="O93" s="9">
        <v>-4.2080587895129766E-4</v>
      </c>
      <c r="P93" s="9">
        <v>1.727388805565463E-5</v>
      </c>
      <c r="Q93" s="9">
        <v>-3.5483940008971577E-4</v>
      </c>
      <c r="R93" s="9">
        <v>-5.0813738198056651E-4</v>
      </c>
      <c r="S93" s="9">
        <v>6.0646183412044652E-4</v>
      </c>
      <c r="T93" s="9">
        <v>7.7300100528994095E-3</v>
      </c>
      <c r="U93" s="9">
        <v>-1.591496004156358E-3</v>
      </c>
      <c r="V93" s="9">
        <v>1.8437812225465062E-4</v>
      </c>
      <c r="W93" s="9">
        <v>-8.9125235927778139E-4</v>
      </c>
      <c r="X93" s="9">
        <v>-2.9319365736404407E-3</v>
      </c>
      <c r="Y93" s="9">
        <v>4.1101189683852534E-4</v>
      </c>
      <c r="Z93" s="9">
        <v>-3.1807834580994221E-3</v>
      </c>
      <c r="AA93" s="9">
        <v>2.0824295202060423E-4</v>
      </c>
      <c r="AB93" s="9">
        <v>-2.6303594352994784E-3</v>
      </c>
      <c r="AC93" s="9">
        <v>-1.6756735865382398E-3</v>
      </c>
      <c r="AD93" s="9">
        <v>8.2714441523298323E-4</v>
      </c>
      <c r="AE93" s="9">
        <v>1.6248276844775006E-2</v>
      </c>
      <c r="AF93" s="9">
        <v>-3.3736949721839195E-2</v>
      </c>
      <c r="AG93" s="9">
        <v>-1.0068069619042505E-2</v>
      </c>
      <c r="AH93" s="9">
        <v>-1.342822814966558E-3</v>
      </c>
      <c r="AI93" s="9">
        <v>6.2306800804811562E-3</v>
      </c>
      <c r="AJ93" s="9">
        <v>2.5127062863908155E-2</v>
      </c>
      <c r="AK93" s="9">
        <v>3.4336966465612689E-3</v>
      </c>
      <c r="AL93" s="9">
        <v>-1.5010756400352177E-3</v>
      </c>
      <c r="AM93" s="9">
        <v>1.2284393856620198E-2</v>
      </c>
      <c r="AN93" s="9">
        <v>-3.5245692352241305E-3</v>
      </c>
      <c r="AO93" s="9">
        <v>-1.2063191906065704E-2</v>
      </c>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row>
    <row r="94" spans="2:67" x14ac:dyDescent="0.2">
      <c r="B94" s="9">
        <v>4.8552359543605348E-6</v>
      </c>
      <c r="C94" s="9">
        <v>2.4161335372275542E-6</v>
      </c>
      <c r="D94" s="9">
        <v>1.6659023454177302E-5</v>
      </c>
      <c r="E94" s="9">
        <v>1.2431982273007898E-4</v>
      </c>
      <c r="F94" s="9">
        <v>-1.1526263817065987E-4</v>
      </c>
      <c r="G94" s="9">
        <v>-1.3116589812474128E-4</v>
      </c>
      <c r="H94" s="9">
        <v>1.2102872581698959E-4</v>
      </c>
      <c r="I94" s="9">
        <v>2.436871422275156E-5</v>
      </c>
      <c r="J94" s="9">
        <v>8.0236844522639343E-5</v>
      </c>
      <c r="K94" s="9">
        <v>-5.4269380678943119E-5</v>
      </c>
      <c r="L94" s="9">
        <v>-3.3374313525094852E-4</v>
      </c>
      <c r="M94" s="9">
        <v>-3.9971954322046945E-5</v>
      </c>
      <c r="N94" s="9">
        <v>8.9100474844622563E-5</v>
      </c>
      <c r="O94" s="9">
        <v>8.5977559100699433E-4</v>
      </c>
      <c r="P94" s="9">
        <v>-1.2267902068301714E-4</v>
      </c>
      <c r="Q94" s="9">
        <v>-3.0791407416381176E-4</v>
      </c>
      <c r="R94" s="9">
        <v>-7.7055949083651269E-4</v>
      </c>
      <c r="S94" s="9">
        <v>8.9678165125715826E-6</v>
      </c>
      <c r="T94" s="9">
        <v>-1.591496004156397E-3</v>
      </c>
      <c r="U94" s="9">
        <v>6.5510606260236219E-3</v>
      </c>
      <c r="V94" s="9">
        <v>-8.3298215828201208E-4</v>
      </c>
      <c r="W94" s="9">
        <v>6.4606520648862777E-4</v>
      </c>
      <c r="X94" s="9">
        <v>-4.2092859099932718E-3</v>
      </c>
      <c r="Y94" s="9">
        <v>8.008049023451693E-4</v>
      </c>
      <c r="Z94" s="9">
        <v>-7.9404989848593736E-4</v>
      </c>
      <c r="AA94" s="9">
        <v>-6.3500576815251025E-4</v>
      </c>
      <c r="AB94" s="9">
        <v>1.0318329148471759E-2</v>
      </c>
      <c r="AC94" s="9">
        <v>2.1984166338338941E-3</v>
      </c>
      <c r="AD94" s="9">
        <v>9.1527533307675726E-3</v>
      </c>
      <c r="AE94" s="9">
        <v>-2.3777850239357093E-2</v>
      </c>
      <c r="AF94" s="9">
        <v>2.0215955447379096E-2</v>
      </c>
      <c r="AG94" s="9">
        <v>9.2721004827632809E-3</v>
      </c>
      <c r="AH94" s="9">
        <v>6.0708831524837253E-3</v>
      </c>
      <c r="AI94" s="9">
        <v>-1.5317559345613964E-2</v>
      </c>
      <c r="AJ94" s="9">
        <v>-6.2915860715111148E-3</v>
      </c>
      <c r="AK94" s="9">
        <v>-8.9177911347655889E-3</v>
      </c>
      <c r="AL94" s="9">
        <v>1.3435088598126395E-3</v>
      </c>
      <c r="AM94" s="9">
        <v>-7.645463338246763E-3</v>
      </c>
      <c r="AN94" s="9">
        <v>-1.9789485478063393E-3</v>
      </c>
      <c r="AO94" s="9">
        <v>8.6252044263569992E-3</v>
      </c>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row>
    <row r="95" spans="2:67" x14ac:dyDescent="0.2">
      <c r="B95" s="9">
        <v>5.2262770076299998E-6</v>
      </c>
      <c r="C95" s="9">
        <v>4.0940136418608175E-6</v>
      </c>
      <c r="D95" s="9">
        <v>-2.1045288136889454E-6</v>
      </c>
      <c r="E95" s="9">
        <v>-3.965983315574348E-5</v>
      </c>
      <c r="F95" s="9">
        <v>2.0766321181407161E-5</v>
      </c>
      <c r="G95" s="9">
        <v>1.7674144798508342E-5</v>
      </c>
      <c r="H95" s="9">
        <v>1.3695668342928231E-6</v>
      </c>
      <c r="I95" s="9">
        <v>5.3944746785194205E-6</v>
      </c>
      <c r="J95" s="9">
        <v>-2.5470183560004658E-5</v>
      </c>
      <c r="K95" s="9">
        <v>-6.2514831928780603E-5</v>
      </c>
      <c r="L95" s="9">
        <v>-1.0430050657818879E-4</v>
      </c>
      <c r="M95" s="9">
        <v>7.0386090971093021E-6</v>
      </c>
      <c r="N95" s="9">
        <v>4.9161929033596322E-5</v>
      </c>
      <c r="O95" s="9">
        <v>-5.8992507867102628E-5</v>
      </c>
      <c r="P95" s="9">
        <v>-1.2124209040943526E-4</v>
      </c>
      <c r="Q95" s="9">
        <v>1.6606281110138578E-5</v>
      </c>
      <c r="R95" s="9">
        <v>-9.088185790880701E-5</v>
      </c>
      <c r="S95" s="9">
        <v>1.6424313574325177E-4</v>
      </c>
      <c r="T95" s="9">
        <v>1.843781222546581E-4</v>
      </c>
      <c r="U95" s="9">
        <v>-8.3298215828201327E-4</v>
      </c>
      <c r="V95" s="9">
        <v>1.7359536597284803E-3</v>
      </c>
      <c r="W95" s="9">
        <v>4.3863552185179907E-4</v>
      </c>
      <c r="X95" s="9">
        <v>4.6670458531659301E-4</v>
      </c>
      <c r="Y95" s="9">
        <v>-9.9603312459726166E-4</v>
      </c>
      <c r="Z95" s="9">
        <v>7.0021475928193323E-4</v>
      </c>
      <c r="AA95" s="9">
        <v>1.9484807685891893E-4</v>
      </c>
      <c r="AB95" s="9">
        <v>-7.4054198685567585E-3</v>
      </c>
      <c r="AC95" s="9">
        <v>2.6523490221324183E-3</v>
      </c>
      <c r="AD95" s="9">
        <v>7.5628450206566165E-3</v>
      </c>
      <c r="AE95" s="9">
        <v>-4.2413536975016873E-3</v>
      </c>
      <c r="AF95" s="9">
        <v>-3.9541444524142082E-3</v>
      </c>
      <c r="AG95" s="9">
        <v>2.7436277064683502E-3</v>
      </c>
      <c r="AH95" s="9">
        <v>-2.1722653105331678E-3</v>
      </c>
      <c r="AI95" s="9">
        <v>-8.8018241819850574E-4</v>
      </c>
      <c r="AJ95" s="9">
        <v>9.5789500571956676E-3</v>
      </c>
      <c r="AK95" s="9">
        <v>-5.2294961031750034E-3</v>
      </c>
      <c r="AL95" s="9">
        <v>-1.1406144362264494E-3</v>
      </c>
      <c r="AM95" s="9">
        <v>2.245988859560327E-3</v>
      </c>
      <c r="AN95" s="9">
        <v>1.171090785392642E-3</v>
      </c>
      <c r="AO95" s="9">
        <v>-6.5400128008153008E-3</v>
      </c>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row>
    <row r="96" spans="2:67" x14ac:dyDescent="0.2">
      <c r="B96" s="9">
        <v>2.7455399103116234E-6</v>
      </c>
      <c r="C96" s="9">
        <v>2.1953084218732673E-5</v>
      </c>
      <c r="D96" s="9">
        <v>1.9804146853854441E-5</v>
      </c>
      <c r="E96" s="9">
        <v>7.8893800311548744E-6</v>
      </c>
      <c r="F96" s="9">
        <v>3.4050681903272722E-6</v>
      </c>
      <c r="G96" s="9">
        <v>1.5209653811529748E-5</v>
      </c>
      <c r="H96" s="9">
        <v>1.5464846797096192E-5</v>
      </c>
      <c r="I96" s="9">
        <v>1.8845441229486016E-5</v>
      </c>
      <c r="J96" s="9">
        <v>3.458054424627411E-5</v>
      </c>
      <c r="K96" s="9">
        <v>-1.1636124684193385E-4</v>
      </c>
      <c r="L96" s="9">
        <v>-4.0314182737871077E-4</v>
      </c>
      <c r="M96" s="9">
        <v>-5.9518882585518221E-5</v>
      </c>
      <c r="N96" s="9">
        <v>-1.0312761601377564E-4</v>
      </c>
      <c r="O96" s="9">
        <v>1.303133480024525E-4</v>
      </c>
      <c r="P96" s="9">
        <v>-4.6551729122658429E-6</v>
      </c>
      <c r="Q96" s="9">
        <v>5.5310571724342948E-5</v>
      </c>
      <c r="R96" s="9">
        <v>-3.7881701988937674E-5</v>
      </c>
      <c r="S96" s="9">
        <v>-1.1279078751736047E-5</v>
      </c>
      <c r="T96" s="9">
        <v>-8.9125235927779874E-4</v>
      </c>
      <c r="U96" s="9">
        <v>6.4606520648862278E-4</v>
      </c>
      <c r="V96" s="9">
        <v>4.3863552185179744E-4</v>
      </c>
      <c r="W96" s="9">
        <v>3.3823660178592882E-3</v>
      </c>
      <c r="X96" s="9">
        <v>-1.8666088051820025E-3</v>
      </c>
      <c r="Y96" s="9">
        <v>-1.051242923124153E-3</v>
      </c>
      <c r="Z96" s="9">
        <v>1.4996563269423621E-3</v>
      </c>
      <c r="AA96" s="9">
        <v>-6.3854794766037037E-4</v>
      </c>
      <c r="AB96" s="9">
        <v>1.2726583494276753E-2</v>
      </c>
      <c r="AC96" s="9">
        <v>4.6084762607569293E-3</v>
      </c>
      <c r="AD96" s="9">
        <v>-2.6705041349134422E-3</v>
      </c>
      <c r="AE96" s="9">
        <v>-1.2947776733868415E-2</v>
      </c>
      <c r="AF96" s="9">
        <v>6.1181918608045719E-5</v>
      </c>
      <c r="AG96" s="9">
        <v>1.4200583464460211E-2</v>
      </c>
      <c r="AH96" s="9">
        <v>1.4459886201306513E-3</v>
      </c>
      <c r="AI96" s="9">
        <v>-1.4792083056018283E-2</v>
      </c>
      <c r="AJ96" s="9">
        <v>3.5128138279603661E-3</v>
      </c>
      <c r="AK96" s="9">
        <v>-8.228094402639859E-3</v>
      </c>
      <c r="AL96" s="9">
        <v>-1.181017388131222E-3</v>
      </c>
      <c r="AM96" s="9">
        <v>-2.0670379131026381E-3</v>
      </c>
      <c r="AN96" s="9">
        <v>3.7660012057508344E-4</v>
      </c>
      <c r="AO96" s="9">
        <v>6.5587914166879042E-3</v>
      </c>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row>
    <row r="97" spans="2:67" x14ac:dyDescent="0.2">
      <c r="B97" s="9">
        <v>-1.4787382314165912E-5</v>
      </c>
      <c r="C97" s="9">
        <v>-2.0334645488282242E-5</v>
      </c>
      <c r="D97" s="9">
        <v>6.5133680857969465E-5</v>
      </c>
      <c r="E97" s="9">
        <v>-1.5126609271924436E-4</v>
      </c>
      <c r="F97" s="9">
        <v>1.6100312869220262E-5</v>
      </c>
      <c r="G97" s="9">
        <v>1.9013263884890325E-4</v>
      </c>
      <c r="H97" s="9">
        <v>-6.3126582286141713E-5</v>
      </c>
      <c r="I97" s="9">
        <v>-1.6244201646590847E-4</v>
      </c>
      <c r="J97" s="9">
        <v>-9.6219347721518932E-5</v>
      </c>
      <c r="K97" s="9">
        <v>1.7930032032089418E-4</v>
      </c>
      <c r="L97" s="9">
        <v>2.9409672085067606E-4</v>
      </c>
      <c r="M97" s="9">
        <v>-1.0186103165613627E-5</v>
      </c>
      <c r="N97" s="9">
        <v>-8.4965633100474744E-4</v>
      </c>
      <c r="O97" s="9">
        <v>-3.916360573763116E-4</v>
      </c>
      <c r="P97" s="9">
        <v>2.3273957459595329E-4</v>
      </c>
      <c r="Q97" s="9">
        <v>5.3221759673691973E-4</v>
      </c>
      <c r="R97" s="9">
        <v>1.16441995519346E-3</v>
      </c>
      <c r="S97" s="9">
        <v>-1.5824045991034817E-4</v>
      </c>
      <c r="T97" s="9">
        <v>-2.9319365736403613E-3</v>
      </c>
      <c r="U97" s="9">
        <v>-4.2092859099932952E-3</v>
      </c>
      <c r="V97" s="9">
        <v>4.6670458531660207E-4</v>
      </c>
      <c r="W97" s="9">
        <v>-1.8666088051820242E-3</v>
      </c>
      <c r="X97" s="9">
        <v>1.6177704009715244E-2</v>
      </c>
      <c r="Y97" s="9">
        <v>-2.2162222133472955E-3</v>
      </c>
      <c r="Z97" s="9">
        <v>-4.2333287475936239E-3</v>
      </c>
      <c r="AA97" s="9">
        <v>-1.9319258844407926E-4</v>
      </c>
      <c r="AB97" s="9">
        <v>-2.8202527842672017E-2</v>
      </c>
      <c r="AC97" s="9">
        <v>-8.6537657312775931E-3</v>
      </c>
      <c r="AD97" s="9">
        <v>4.1274201791116896E-3</v>
      </c>
      <c r="AE97" s="9">
        <v>3.6937662225720015E-2</v>
      </c>
      <c r="AF97" s="9">
        <v>-7.8198292768884691E-3</v>
      </c>
      <c r="AG97" s="9">
        <v>-2.89712335361881E-2</v>
      </c>
      <c r="AH97" s="9">
        <v>-1.6529182392394149E-3</v>
      </c>
      <c r="AI97" s="9">
        <v>3.0904571972810966E-2</v>
      </c>
      <c r="AJ97" s="9">
        <v>4.1622619209848192E-3</v>
      </c>
      <c r="AK97" s="9">
        <v>1.0193299311004496E-2</v>
      </c>
      <c r="AL97" s="9">
        <v>3.1787978906492849E-4</v>
      </c>
      <c r="AM97" s="9">
        <v>-1.518525924660672E-3</v>
      </c>
      <c r="AN97" s="9">
        <v>6.1932445421642108E-3</v>
      </c>
      <c r="AO97" s="9">
        <v>5.7369020103234429E-3</v>
      </c>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row>
    <row r="98" spans="2:67" x14ac:dyDescent="0.2">
      <c r="B98" s="9">
        <v>1.4226194631357208E-5</v>
      </c>
      <c r="C98" s="9">
        <v>-5.0171108462837146E-5</v>
      </c>
      <c r="D98" s="9">
        <v>-3.7077405181577005E-6</v>
      </c>
      <c r="E98" s="9">
        <v>5.9909344491176232E-5</v>
      </c>
      <c r="F98" s="9">
        <v>1.0838308353625072E-5</v>
      </c>
      <c r="G98" s="9">
        <v>-8.602757818916451E-5</v>
      </c>
      <c r="H98" s="9">
        <v>-2.2431482605607878E-6</v>
      </c>
      <c r="I98" s="9">
        <v>-5.4340303278738323E-5</v>
      </c>
      <c r="J98" s="9">
        <v>-3.0652760523556895E-5</v>
      </c>
      <c r="K98" s="9">
        <v>-1.2705323693848765E-4</v>
      </c>
      <c r="L98" s="9">
        <v>3.3194939917660762E-4</v>
      </c>
      <c r="M98" s="9">
        <v>9.1609019434142667E-6</v>
      </c>
      <c r="N98" s="9">
        <v>4.8879582624381239E-4</v>
      </c>
      <c r="O98" s="9">
        <v>-1.4420937281187907E-4</v>
      </c>
      <c r="P98" s="9">
        <v>-1.6856917434837226E-5</v>
      </c>
      <c r="Q98" s="9">
        <v>-2.5079174270142769E-4</v>
      </c>
      <c r="R98" s="9">
        <v>-6.1319439608595932E-5</v>
      </c>
      <c r="S98" s="9">
        <v>1.9144804002645848E-4</v>
      </c>
      <c r="T98" s="9">
        <v>4.1101189683851727E-4</v>
      </c>
      <c r="U98" s="9">
        <v>8.008049023451796E-4</v>
      </c>
      <c r="V98" s="9">
        <v>-9.9603312459726296E-4</v>
      </c>
      <c r="W98" s="9">
        <v>-1.0512429231241481E-3</v>
      </c>
      <c r="X98" s="9">
        <v>-2.2162222133473093E-3</v>
      </c>
      <c r="Y98" s="9">
        <v>5.7669114659709662E-3</v>
      </c>
      <c r="Z98" s="9">
        <v>-2.583476756391668E-3</v>
      </c>
      <c r="AA98" s="9">
        <v>-3.9641466848446162E-4</v>
      </c>
      <c r="AB98" s="9">
        <v>2.5477472088387132E-3</v>
      </c>
      <c r="AC98" s="9">
        <v>-3.251369088164242E-3</v>
      </c>
      <c r="AD98" s="9">
        <v>-3.2233174797464421E-3</v>
      </c>
      <c r="AE98" s="9">
        <v>2.6283114166183335E-3</v>
      </c>
      <c r="AF98" s="9">
        <v>1.0493012709623535E-2</v>
      </c>
      <c r="AG98" s="9">
        <v>-7.6990244926320815E-3</v>
      </c>
      <c r="AH98" s="9">
        <v>-4.0073837969922862E-3</v>
      </c>
      <c r="AI98" s="9">
        <v>8.1333965645846822E-3</v>
      </c>
      <c r="AJ98" s="9">
        <v>-1.6226955087083276E-2</v>
      </c>
      <c r="AK98" s="9">
        <v>1.2618170875279621E-2</v>
      </c>
      <c r="AL98" s="9">
        <v>-4.3822039444607147E-4</v>
      </c>
      <c r="AM98" s="9">
        <v>9.5195144548990439E-5</v>
      </c>
      <c r="AN98" s="9">
        <v>-3.3153409902119779E-4</v>
      </c>
      <c r="AO98" s="9">
        <v>-7.436047599738321E-3</v>
      </c>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row>
    <row r="99" spans="2:67" x14ac:dyDescent="0.2">
      <c r="B99" s="9">
        <v>-1.4357054922075339E-5</v>
      </c>
      <c r="C99" s="9">
        <v>3.826894710265787E-5</v>
      </c>
      <c r="D99" s="9">
        <v>2.5572643008074071E-5</v>
      </c>
      <c r="E99" s="9">
        <v>2.7669526578182092E-5</v>
      </c>
      <c r="F99" s="9">
        <v>-1.6419020070259574E-6</v>
      </c>
      <c r="G99" s="9">
        <v>5.1533802184100831E-6</v>
      </c>
      <c r="H99" s="9">
        <v>5.0022263609712621E-5</v>
      </c>
      <c r="I99" s="9">
        <v>9.3438870810127683E-5</v>
      </c>
      <c r="J99" s="9">
        <v>2.0559173566950888E-4</v>
      </c>
      <c r="K99" s="9">
        <v>1.5729322373295867E-4</v>
      </c>
      <c r="L99" s="9">
        <v>-8.2400686978077969E-4</v>
      </c>
      <c r="M99" s="9">
        <v>-8.597463595251145E-5</v>
      </c>
      <c r="N99" s="9">
        <v>2.011340206382364E-4</v>
      </c>
      <c r="O99" s="9">
        <v>-5.2282565821913749E-4</v>
      </c>
      <c r="P99" s="9">
        <v>-2.2645328717979548E-5</v>
      </c>
      <c r="Q99" s="9">
        <v>-5.2880749101737526E-4</v>
      </c>
      <c r="R99" s="9">
        <v>4.1420294039295428E-4</v>
      </c>
      <c r="S99" s="9">
        <v>-9.2293224778528058E-4</v>
      </c>
      <c r="T99" s="9">
        <v>-3.1807834580994455E-3</v>
      </c>
      <c r="U99" s="9">
        <v>-7.9404989848597021E-4</v>
      </c>
      <c r="V99" s="9">
        <v>7.002147592819368E-4</v>
      </c>
      <c r="W99" s="9">
        <v>1.499656326942355E-3</v>
      </c>
      <c r="X99" s="9">
        <v>-4.2333287475935528E-3</v>
      </c>
      <c r="Y99" s="9">
        <v>-2.583476756391674E-3</v>
      </c>
      <c r="Z99" s="9">
        <v>2.1507199466781021E-2</v>
      </c>
      <c r="AA99" s="9">
        <v>1.441057839962975E-3</v>
      </c>
      <c r="AB99" s="9">
        <v>-6.343403414737883E-3</v>
      </c>
      <c r="AC99" s="9">
        <v>8.6361868805535178E-3</v>
      </c>
      <c r="AD99" s="9">
        <v>1.0588036400648872E-2</v>
      </c>
      <c r="AE99" s="9">
        <v>-1.8717274380859662E-2</v>
      </c>
      <c r="AF99" s="9">
        <v>4.3786491137593518E-3</v>
      </c>
      <c r="AG99" s="9">
        <v>1.6959315875003794E-2</v>
      </c>
      <c r="AH99" s="9">
        <v>-4.0616600385686491E-3</v>
      </c>
      <c r="AI99" s="9">
        <v>-2.2198508242957323E-2</v>
      </c>
      <c r="AJ99" s="9">
        <v>-1.5534618136261856E-2</v>
      </c>
      <c r="AK99" s="9">
        <v>-7.700212693757656E-3</v>
      </c>
      <c r="AL99" s="9">
        <v>4.8937866774593618E-4</v>
      </c>
      <c r="AM99" s="9">
        <v>-7.5690298197500288E-4</v>
      </c>
      <c r="AN99" s="9">
        <v>-1.8446804566303037E-3</v>
      </c>
      <c r="AO99" s="9">
        <v>-1.2578071281202832E-2</v>
      </c>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row>
    <row r="100" spans="2:67" x14ac:dyDescent="0.2">
      <c r="B100" s="9">
        <v>-7.6825665869933601E-6</v>
      </c>
      <c r="C100" s="9">
        <v>1.8855532993749632E-5</v>
      </c>
      <c r="D100" s="9">
        <v>5.1800589125595108E-5</v>
      </c>
      <c r="E100" s="9">
        <v>3.4436374802661658E-5</v>
      </c>
      <c r="F100" s="9">
        <v>-3.2491469603825767E-5</v>
      </c>
      <c r="G100" s="9">
        <v>-1.832523107691875E-5</v>
      </c>
      <c r="H100" s="9">
        <v>-1.0985230941929211E-5</v>
      </c>
      <c r="I100" s="9">
        <v>-4.7131776459241934E-5</v>
      </c>
      <c r="J100" s="9">
        <v>4.4510181974156703E-5</v>
      </c>
      <c r="K100" s="9">
        <v>4.1420656512118228E-5</v>
      </c>
      <c r="L100" s="9">
        <v>-7.3985020757393489E-5</v>
      </c>
      <c r="M100" s="9">
        <v>6.912521245005142E-5</v>
      </c>
      <c r="N100" s="9">
        <v>-1.555030500026633E-5</v>
      </c>
      <c r="O100" s="9">
        <v>-4.5939261118651761E-4</v>
      </c>
      <c r="P100" s="9">
        <v>-2.3332321439718597E-4</v>
      </c>
      <c r="Q100" s="9">
        <v>2.8907474015912291E-4</v>
      </c>
      <c r="R100" s="9">
        <v>3.1662782509444599E-4</v>
      </c>
      <c r="S100" s="9">
        <v>-6.5579086036271082E-4</v>
      </c>
      <c r="T100" s="9">
        <v>2.0824295202061317E-4</v>
      </c>
      <c r="U100" s="9">
        <v>-6.350057681525148E-4</v>
      </c>
      <c r="V100" s="9">
        <v>1.9484807685891701E-4</v>
      </c>
      <c r="W100" s="9">
        <v>-6.3854794766037525E-4</v>
      </c>
      <c r="X100" s="9">
        <v>-1.9319258844408024E-4</v>
      </c>
      <c r="Y100" s="9">
        <v>-3.9641466848444905E-4</v>
      </c>
      <c r="Z100" s="9">
        <v>1.4410578399629609E-3</v>
      </c>
      <c r="AA100" s="9">
        <v>6.4501671650199488E-3</v>
      </c>
      <c r="AB100" s="9">
        <v>-3.1966618865637918E-2</v>
      </c>
      <c r="AC100" s="9">
        <v>1.0765798312056377E-2</v>
      </c>
      <c r="AD100" s="9">
        <v>-8.2127701250839583E-3</v>
      </c>
      <c r="AE100" s="9">
        <v>-4.9342784849905905E-3</v>
      </c>
      <c r="AF100" s="9">
        <v>-5.7431907308184409E-3</v>
      </c>
      <c r="AG100" s="9">
        <v>2.7505671191790809E-3</v>
      </c>
      <c r="AH100" s="9">
        <v>-1.5360196403476968E-3</v>
      </c>
      <c r="AI100" s="9">
        <v>-8.8660691087283396E-3</v>
      </c>
      <c r="AJ100" s="9">
        <v>7.8630410329093216E-4</v>
      </c>
      <c r="AK100" s="9">
        <v>-4.9318465175816435E-3</v>
      </c>
      <c r="AL100" s="9">
        <v>1.2599294453688366E-3</v>
      </c>
      <c r="AM100" s="9">
        <v>-4.5224006793733845E-4</v>
      </c>
      <c r="AN100" s="9">
        <v>-3.7623259890390303E-3</v>
      </c>
      <c r="AO100" s="9">
        <v>-2.6373872292195864E-4</v>
      </c>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row>
    <row r="101" spans="2:67" x14ac:dyDescent="0.2">
      <c r="B101" s="9">
        <v>8.4912150096611521E-5</v>
      </c>
      <c r="C101" s="9">
        <v>-7.5595630586792646E-5</v>
      </c>
      <c r="D101" s="9">
        <v>-3.5261864890630376E-4</v>
      </c>
      <c r="E101" s="9">
        <v>1.0431066846740165E-4</v>
      </c>
      <c r="F101" s="9">
        <v>1.0504002443953198E-4</v>
      </c>
      <c r="G101" s="9">
        <v>3.3516849770644599E-4</v>
      </c>
      <c r="H101" s="9">
        <v>1.0491583679045141E-4</v>
      </c>
      <c r="I101" s="9">
        <v>7.8207694157645367E-4</v>
      </c>
      <c r="J101" s="9">
        <v>4.3925710978253704E-4</v>
      </c>
      <c r="K101" s="9">
        <v>-1.122655742919747E-3</v>
      </c>
      <c r="L101" s="9">
        <v>-7.6129157167778171E-4</v>
      </c>
      <c r="M101" s="9">
        <v>-9.1320398061730428E-4</v>
      </c>
      <c r="N101" s="9">
        <v>-3.0327895036808222E-4</v>
      </c>
      <c r="O101" s="9">
        <v>3.7241641709357311E-3</v>
      </c>
      <c r="P101" s="9">
        <v>1.6190709018978125E-3</v>
      </c>
      <c r="Q101" s="9">
        <v>-1.8937234928203686E-3</v>
      </c>
      <c r="R101" s="9">
        <v>2.2268773277994667E-4</v>
      </c>
      <c r="S101" s="9">
        <v>2.1479363218269249E-3</v>
      </c>
      <c r="T101" s="9">
        <v>-2.6303594352997412E-3</v>
      </c>
      <c r="U101" s="9">
        <v>1.0318329148471783E-2</v>
      </c>
      <c r="V101" s="9">
        <v>-7.4054198685567802E-3</v>
      </c>
      <c r="W101" s="9">
        <v>1.2726583494276758E-2</v>
      </c>
      <c r="X101" s="9">
        <v>-2.820252784267183E-2</v>
      </c>
      <c r="Y101" s="9">
        <v>2.5477472088386299E-3</v>
      </c>
      <c r="Z101" s="9">
        <v>-6.343403414737706E-3</v>
      </c>
      <c r="AA101" s="9">
        <v>-3.1966618865637848E-2</v>
      </c>
      <c r="AB101" s="9">
        <v>0.44553950384242003</v>
      </c>
      <c r="AC101" s="9">
        <v>5.6478903590173211E-3</v>
      </c>
      <c r="AD101" s="9">
        <v>-0.13914243898560866</v>
      </c>
      <c r="AE101" s="9">
        <v>-0.12028177185959787</v>
      </c>
      <c r="AF101" s="9">
        <v>6.8304723518755064E-2</v>
      </c>
      <c r="AG101" s="9">
        <v>0.15094252698891525</v>
      </c>
      <c r="AH101" s="9">
        <v>2.1449626191777565E-2</v>
      </c>
      <c r="AI101" s="9">
        <v>-0.14688445624371232</v>
      </c>
      <c r="AJ101" s="9">
        <v>-7.5032567995530292E-2</v>
      </c>
      <c r="AK101" s="9">
        <v>-1.0083758683270102E-2</v>
      </c>
      <c r="AL101" s="9">
        <v>1.9151258612931739E-3</v>
      </c>
      <c r="AM101" s="9">
        <v>-4.5893698181213999E-3</v>
      </c>
      <c r="AN101" s="9">
        <v>2.3656706872675733E-2</v>
      </c>
      <c r="AO101" s="9">
        <v>5.2205153754514046E-2</v>
      </c>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row>
    <row r="102" spans="2:67" x14ac:dyDescent="0.2">
      <c r="B102" s="9">
        <v>1.7976924995703526E-5</v>
      </c>
      <c r="C102" s="9">
        <v>-5.8629573142704558E-5</v>
      </c>
      <c r="D102" s="9">
        <v>2.7797510498388489E-4</v>
      </c>
      <c r="E102" s="9">
        <v>2.3009585999304543E-4</v>
      </c>
      <c r="F102" s="9">
        <v>-1.4202658913291157E-4</v>
      </c>
      <c r="G102" s="9">
        <v>-7.8465242843255191E-5</v>
      </c>
      <c r="H102" s="9">
        <v>-2.5322933926388955E-4</v>
      </c>
      <c r="I102" s="9">
        <v>-4.9240725867398058E-5</v>
      </c>
      <c r="J102" s="9">
        <v>7.1447418809171624E-4</v>
      </c>
      <c r="K102" s="9">
        <v>-8.3599802585765349E-4</v>
      </c>
      <c r="L102" s="9">
        <v>-2.0463912823770014E-3</v>
      </c>
      <c r="M102" s="9">
        <v>2.2501136089004268E-4</v>
      </c>
      <c r="N102" s="9">
        <v>4.9981801026093833E-4</v>
      </c>
      <c r="O102" s="9">
        <v>1.2621173353931307E-3</v>
      </c>
      <c r="P102" s="9">
        <v>-9.6630706308594176E-4</v>
      </c>
      <c r="Q102" s="9">
        <v>6.0747038012362229E-4</v>
      </c>
      <c r="R102" s="9">
        <v>1.3780374676862872E-3</v>
      </c>
      <c r="S102" s="9">
        <v>-3.8899640807729739E-3</v>
      </c>
      <c r="T102" s="9">
        <v>-1.675673586538402E-3</v>
      </c>
      <c r="U102" s="9">
        <v>2.1984166338339939E-3</v>
      </c>
      <c r="V102" s="9">
        <v>2.6523490221324131E-3</v>
      </c>
      <c r="W102" s="9">
        <v>4.6084762607569805E-3</v>
      </c>
      <c r="X102" s="9">
        <v>-8.6537657312777023E-3</v>
      </c>
      <c r="Y102" s="9">
        <v>-3.2513690881642169E-3</v>
      </c>
      <c r="Z102" s="9">
        <v>8.6361868805535959E-3</v>
      </c>
      <c r="AA102" s="9">
        <v>1.0765798312056402E-2</v>
      </c>
      <c r="AB102" s="9">
        <v>5.6478903590176056E-3</v>
      </c>
      <c r="AC102" s="9">
        <v>0.18041850645198493</v>
      </c>
      <c r="AD102" s="9">
        <v>-3.5884002418246547E-2</v>
      </c>
      <c r="AE102" s="9">
        <v>-0.139953929888678</v>
      </c>
      <c r="AF102" s="9">
        <v>-6.7881659817109835E-2</v>
      </c>
      <c r="AG102" s="9">
        <v>6.3080037177523793E-2</v>
      </c>
      <c r="AH102" s="9">
        <v>-4.2217784073735456E-2</v>
      </c>
      <c r="AI102" s="9">
        <v>-3.7816251594429265E-2</v>
      </c>
      <c r="AJ102" s="9">
        <v>6.6442916803007767E-3</v>
      </c>
      <c r="AK102" s="9">
        <v>-4.438166890974924E-2</v>
      </c>
      <c r="AL102" s="9">
        <v>-4.3583986994721723E-3</v>
      </c>
      <c r="AM102" s="9">
        <v>4.9405471377620899E-2</v>
      </c>
      <c r="AN102" s="9">
        <v>-8.0122910175545025E-3</v>
      </c>
      <c r="AO102" s="9">
        <v>-4.9821668947468409E-2</v>
      </c>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row>
    <row r="103" spans="2:67" x14ac:dyDescent="0.2">
      <c r="B103" s="9">
        <v>1.6923453474864854E-5</v>
      </c>
      <c r="C103" s="9">
        <v>2.7803854210746654E-4</v>
      </c>
      <c r="D103" s="9">
        <v>2.1857541134451929E-5</v>
      </c>
      <c r="E103" s="9">
        <v>1.002519513416951E-4</v>
      </c>
      <c r="F103" s="9">
        <v>8.1539540377477804E-6</v>
      </c>
      <c r="G103" s="9">
        <v>-1.1662719072003211E-3</v>
      </c>
      <c r="H103" s="9">
        <v>4.8923662548887564E-4</v>
      </c>
      <c r="I103" s="9">
        <v>4.4502751068836405E-6</v>
      </c>
      <c r="J103" s="9">
        <v>-3.575627461419836E-5</v>
      </c>
      <c r="K103" s="9">
        <v>3.8111862561960506E-4</v>
      </c>
      <c r="L103" s="9">
        <v>-9.249017202508261E-4</v>
      </c>
      <c r="M103" s="9">
        <v>4.7917218574974311E-5</v>
      </c>
      <c r="N103" s="9">
        <v>-7.4961861943619208E-4</v>
      </c>
      <c r="O103" s="9">
        <v>2.2581443668032767E-3</v>
      </c>
      <c r="P103" s="9">
        <v>-8.4120320131290092E-4</v>
      </c>
      <c r="Q103" s="9">
        <v>-1.1102016153814662E-3</v>
      </c>
      <c r="R103" s="9">
        <v>-6.3992938854719175E-3</v>
      </c>
      <c r="S103" s="9">
        <v>1.5630510575427375E-3</v>
      </c>
      <c r="T103" s="9">
        <v>8.2714441523291677E-4</v>
      </c>
      <c r="U103" s="9">
        <v>9.1527533307676334E-3</v>
      </c>
      <c r="V103" s="9">
        <v>7.5628450206565974E-3</v>
      </c>
      <c r="W103" s="9">
        <v>-2.6705041349133741E-3</v>
      </c>
      <c r="X103" s="9">
        <v>4.1274201791115699E-3</v>
      </c>
      <c r="Y103" s="9">
        <v>-3.2233174797464629E-3</v>
      </c>
      <c r="Z103" s="9">
        <v>1.0588036400648947E-2</v>
      </c>
      <c r="AA103" s="9">
        <v>-8.2127701250839808E-3</v>
      </c>
      <c r="AB103" s="9">
        <v>-0.13914243898560788</v>
      </c>
      <c r="AC103" s="9">
        <v>-3.588400241824663E-2</v>
      </c>
      <c r="AD103" s="9">
        <v>0.31304348485435973</v>
      </c>
      <c r="AE103" s="9">
        <v>-3.1598830925177297E-2</v>
      </c>
      <c r="AF103" s="9">
        <v>-2.616315860354489E-2</v>
      </c>
      <c r="AG103" s="9">
        <v>-0.10310210809874169</v>
      </c>
      <c r="AH103" s="9">
        <v>1.9768219397203742E-2</v>
      </c>
      <c r="AI103" s="9">
        <v>7.204549940115286E-2</v>
      </c>
      <c r="AJ103" s="9">
        <v>7.4526615021332829E-2</v>
      </c>
      <c r="AK103" s="9">
        <v>-3.5273683697183478E-2</v>
      </c>
      <c r="AL103" s="9">
        <v>-4.3695901962447544E-3</v>
      </c>
      <c r="AM103" s="9">
        <v>1.1271918249023826E-3</v>
      </c>
      <c r="AN103" s="9">
        <v>-9.7272905774566463E-3</v>
      </c>
      <c r="AO103" s="9">
        <v>-1.9831800661593235E-2</v>
      </c>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row>
    <row r="104" spans="2:67" x14ac:dyDescent="0.2">
      <c r="B104" s="9">
        <v>-6.7527834452551076E-5</v>
      </c>
      <c r="C104" s="9">
        <v>-2.1623466249869153E-4</v>
      </c>
      <c r="D104" s="9">
        <v>-3.0504630168780783E-4</v>
      </c>
      <c r="E104" s="9">
        <v>-6.4214490381495971E-4</v>
      </c>
      <c r="F104" s="9">
        <v>3.4363331093299526E-4</v>
      </c>
      <c r="G104" s="9">
        <v>6.7001064587925889E-4</v>
      </c>
      <c r="H104" s="9">
        <v>-7.2503904867591369E-4</v>
      </c>
      <c r="I104" s="9">
        <v>-5.3467786185099845E-4</v>
      </c>
      <c r="J104" s="9">
        <v>-9.8779529872440705E-4</v>
      </c>
      <c r="K104" s="9">
        <v>1.4850673853470271E-3</v>
      </c>
      <c r="L104" s="9">
        <v>4.3590840003390474E-3</v>
      </c>
      <c r="M104" s="9">
        <v>4.7945967277738811E-4</v>
      </c>
      <c r="N104" s="9">
        <v>5.7310301350284263E-5</v>
      </c>
      <c r="O104" s="9">
        <v>-4.1703297931223677E-3</v>
      </c>
      <c r="P104" s="9">
        <v>1.9599694192641956E-3</v>
      </c>
      <c r="Q104" s="9">
        <v>3.6826420028470672E-4</v>
      </c>
      <c r="R104" s="9">
        <v>2.5746017681265365E-3</v>
      </c>
      <c r="S104" s="9">
        <v>3.3409998883460307E-3</v>
      </c>
      <c r="T104" s="9">
        <v>1.6248276844775422E-2</v>
      </c>
      <c r="U104" s="9">
        <v>-2.3777850239357107E-2</v>
      </c>
      <c r="V104" s="9">
        <v>-4.2413536975016682E-3</v>
      </c>
      <c r="W104" s="9">
        <v>-1.2947776733868455E-2</v>
      </c>
      <c r="X104" s="9">
        <v>3.6937662225719814E-2</v>
      </c>
      <c r="Y104" s="9">
        <v>2.6283114166183847E-3</v>
      </c>
      <c r="Z104" s="9">
        <v>-1.8717274380859895E-2</v>
      </c>
      <c r="AA104" s="9">
        <v>-4.9342784849906998E-3</v>
      </c>
      <c r="AB104" s="9">
        <v>-0.12028177185959744</v>
      </c>
      <c r="AC104" s="9">
        <v>-0.13995392988867694</v>
      </c>
      <c r="AD104" s="9">
        <v>-3.1598830925176645E-2</v>
      </c>
      <c r="AE104" s="9">
        <v>0.37711301923305379</v>
      </c>
      <c r="AF104" s="9">
        <v>-0.16168956126344169</v>
      </c>
      <c r="AG104" s="9">
        <v>-0.17704143802635777</v>
      </c>
      <c r="AH104" s="9">
        <v>-2.7127885328233591E-2</v>
      </c>
      <c r="AI104" s="9">
        <v>0.19125206003147321</v>
      </c>
      <c r="AJ104" s="9">
        <v>6.7006787242528371E-2</v>
      </c>
      <c r="AK104" s="9">
        <v>0.1098002264540207</v>
      </c>
      <c r="AL104" s="9">
        <v>-1.0036799144958138E-2</v>
      </c>
      <c r="AM104" s="9">
        <v>5.2689992183711509E-2</v>
      </c>
      <c r="AN104" s="9">
        <v>1.1833070663032021E-2</v>
      </c>
      <c r="AO104" s="9">
        <v>-5.4530940049363465E-2</v>
      </c>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row>
    <row r="105" spans="2:67" x14ac:dyDescent="0.2">
      <c r="B105" s="9">
        <v>-5.3014439163147831E-6</v>
      </c>
      <c r="C105" s="9">
        <v>-1.0583270462636787E-4</v>
      </c>
      <c r="D105" s="9">
        <v>9.5061313765819577E-5</v>
      </c>
      <c r="E105" s="9">
        <v>3.5027998709637154E-4</v>
      </c>
      <c r="F105" s="9">
        <v>-4.5396652229934026E-4</v>
      </c>
      <c r="G105" s="9">
        <v>3.9541122588788481E-4</v>
      </c>
      <c r="H105" s="9">
        <v>1.0534650534393618E-3</v>
      </c>
      <c r="I105" s="9">
        <v>2.9867859742552206E-4</v>
      </c>
      <c r="J105" s="9">
        <v>-6.6776917689830616E-6</v>
      </c>
      <c r="K105" s="9">
        <v>-3.0619948229705906E-6</v>
      </c>
      <c r="L105" s="9">
        <v>-9.6177669659928294E-4</v>
      </c>
      <c r="M105" s="9">
        <v>-1.0318379836980369E-3</v>
      </c>
      <c r="N105" s="9">
        <v>3.7197318428948851E-4</v>
      </c>
      <c r="O105" s="9">
        <v>-1.066947815011061E-3</v>
      </c>
      <c r="P105" s="9">
        <v>-1.1847507211787507E-4</v>
      </c>
      <c r="Q105" s="9">
        <v>1.0073081685035064E-3</v>
      </c>
      <c r="R105" s="9">
        <v>3.3200715097006641E-4</v>
      </c>
      <c r="S105" s="9">
        <v>-5.4902544541954768E-4</v>
      </c>
      <c r="T105" s="9">
        <v>-3.3736949721839229E-2</v>
      </c>
      <c r="U105" s="9">
        <v>2.0215955447378843E-2</v>
      </c>
      <c r="V105" s="9">
        <v>-3.9541444524141467E-3</v>
      </c>
      <c r="W105" s="9">
        <v>6.1181918607937204E-5</v>
      </c>
      <c r="X105" s="9">
        <v>-7.8198292768879643E-3</v>
      </c>
      <c r="Y105" s="9">
        <v>1.0493012709623467E-2</v>
      </c>
      <c r="Z105" s="9">
        <v>4.3786491137593597E-3</v>
      </c>
      <c r="AA105" s="9">
        <v>-5.7431907308183672E-3</v>
      </c>
      <c r="AB105" s="9">
        <v>6.8304723518752844E-2</v>
      </c>
      <c r="AC105" s="9">
        <v>-6.7881659817111292E-2</v>
      </c>
      <c r="AD105" s="9">
        <v>-2.6163158603544793E-2</v>
      </c>
      <c r="AE105" s="9">
        <v>-0.161689561263439</v>
      </c>
      <c r="AF105" s="9">
        <v>0.47701916120509569</v>
      </c>
      <c r="AG105" s="9">
        <v>2.478909748043838E-2</v>
      </c>
      <c r="AH105" s="9">
        <v>4.8243093116136837E-2</v>
      </c>
      <c r="AI105" s="9">
        <v>-0.12883081205605779</v>
      </c>
      <c r="AJ105" s="9">
        <v>-0.25997983250895629</v>
      </c>
      <c r="AK105" s="9">
        <v>2.4559351776263262E-2</v>
      </c>
      <c r="AL105" s="9">
        <v>2.2376704555955904E-2</v>
      </c>
      <c r="AM105" s="9">
        <v>-0.18102292462174732</v>
      </c>
      <c r="AN105" s="9">
        <v>1.1058213521266609E-2</v>
      </c>
      <c r="AO105" s="9">
        <v>0.1625706490893207</v>
      </c>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row>
    <row r="106" spans="2:67" x14ac:dyDescent="0.2">
      <c r="B106" s="9">
        <v>1.2728016130593732E-5</v>
      </c>
      <c r="C106" s="9">
        <v>5.9490673593318806E-5</v>
      </c>
      <c r="D106" s="9">
        <v>2.2470663930355568E-4</v>
      </c>
      <c r="E106" s="9">
        <v>4.0009398637324612E-4</v>
      </c>
      <c r="F106" s="9">
        <v>-3.3630099652569512E-4</v>
      </c>
      <c r="G106" s="9">
        <v>1.6960637466090743E-4</v>
      </c>
      <c r="H106" s="9">
        <v>3.0365923167430644E-4</v>
      </c>
      <c r="I106" s="9">
        <v>1.7181913784338978E-4</v>
      </c>
      <c r="J106" s="9">
        <v>8.2826070248734828E-4</v>
      </c>
      <c r="K106" s="9">
        <v>-9.998635347474678E-4</v>
      </c>
      <c r="L106" s="9">
        <v>-3.5576350363468335E-3</v>
      </c>
      <c r="M106" s="9">
        <v>-2.8608250594343434E-4</v>
      </c>
      <c r="N106" s="9">
        <v>-1.2595004487934403E-5</v>
      </c>
      <c r="O106" s="9">
        <v>2.8471058143732151E-3</v>
      </c>
      <c r="P106" s="9">
        <v>-1.7874688384653516E-3</v>
      </c>
      <c r="Q106" s="9">
        <v>2.0051687842946486E-4</v>
      </c>
      <c r="R106" s="9">
        <v>1.5802047829994465E-3</v>
      </c>
      <c r="S106" s="9">
        <v>-2.9737765538617659E-3</v>
      </c>
      <c r="T106" s="9">
        <v>-1.0068069619042677E-2</v>
      </c>
      <c r="U106" s="9">
        <v>9.2721004827632063E-3</v>
      </c>
      <c r="V106" s="9">
        <v>2.7436277064683138E-3</v>
      </c>
      <c r="W106" s="9">
        <v>1.4200583464460183E-2</v>
      </c>
      <c r="X106" s="9">
        <v>-2.8971233536187857E-2</v>
      </c>
      <c r="Y106" s="9">
        <v>-7.6990244926320867E-3</v>
      </c>
      <c r="Z106" s="9">
        <v>1.6959315875003846E-2</v>
      </c>
      <c r="AA106" s="9">
        <v>2.750567119179139E-3</v>
      </c>
      <c r="AB106" s="9">
        <v>0.15094252698891494</v>
      </c>
      <c r="AC106" s="9">
        <v>6.3080037177522974E-2</v>
      </c>
      <c r="AD106" s="9">
        <v>-0.10310210809874261</v>
      </c>
      <c r="AE106" s="9">
        <v>-0.17704143802635669</v>
      </c>
      <c r="AF106" s="9">
        <v>2.4789097480439667E-2</v>
      </c>
      <c r="AG106" s="9">
        <v>0.26693497608846622</v>
      </c>
      <c r="AH106" s="9">
        <v>-1.9129696937979217E-3</v>
      </c>
      <c r="AI106" s="9">
        <v>-0.18461388950897598</v>
      </c>
      <c r="AJ106" s="9">
        <v>-1.1742194876703272E-2</v>
      </c>
      <c r="AK106" s="9">
        <v>-9.5945488793637665E-2</v>
      </c>
      <c r="AL106" s="9">
        <v>6.7882756422961658E-3</v>
      </c>
      <c r="AM106" s="9">
        <v>-3.395504982464173E-5</v>
      </c>
      <c r="AN106" s="9">
        <v>-4.9739924369528491E-4</v>
      </c>
      <c r="AO106" s="9">
        <v>1.6899360177084138E-2</v>
      </c>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row>
    <row r="107" spans="2:67" x14ac:dyDescent="0.2">
      <c r="B107" s="9">
        <v>-2.8961179410643723E-5</v>
      </c>
      <c r="C107" s="9">
        <v>3.0881068490233712E-4</v>
      </c>
      <c r="D107" s="9">
        <v>7.6751421772512706E-5</v>
      </c>
      <c r="E107" s="9">
        <v>4.549567930082027E-5</v>
      </c>
      <c r="F107" s="9">
        <v>1.8185164735957419E-5</v>
      </c>
      <c r="G107" s="9">
        <v>-4.0967802003196547E-4</v>
      </c>
      <c r="H107" s="9">
        <v>2.3412057735174751E-4</v>
      </c>
      <c r="I107" s="9">
        <v>1.7696594022467693E-4</v>
      </c>
      <c r="J107" s="9">
        <v>-1.0955777365048372E-4</v>
      </c>
      <c r="K107" s="9">
        <v>6.0503310135952604E-5</v>
      </c>
      <c r="L107" s="9">
        <v>-7.8831231726650636E-4</v>
      </c>
      <c r="M107" s="9">
        <v>-2.8634025830110511E-4</v>
      </c>
      <c r="N107" s="9">
        <v>-1.2041608094518724E-3</v>
      </c>
      <c r="O107" s="9">
        <v>6.279774553182776E-4</v>
      </c>
      <c r="P107" s="9">
        <v>2.7116680120174724E-4</v>
      </c>
      <c r="Q107" s="9">
        <v>-1.1548558545772892E-4</v>
      </c>
      <c r="R107" s="9">
        <v>-1.3907430072991629E-3</v>
      </c>
      <c r="S107" s="9">
        <v>1.7029664756940139E-3</v>
      </c>
      <c r="T107" s="9">
        <v>-1.3428228149666374E-3</v>
      </c>
      <c r="U107" s="9">
        <v>6.0708831524836837E-3</v>
      </c>
      <c r="V107" s="9">
        <v>-2.1722653105331739E-3</v>
      </c>
      <c r="W107" s="9">
        <v>1.4459886201306422E-3</v>
      </c>
      <c r="X107" s="9">
        <v>-1.6529182392392779E-3</v>
      </c>
      <c r="Y107" s="9">
        <v>-4.0073837969923174E-3</v>
      </c>
      <c r="Z107" s="9">
        <v>-4.0616600385686309E-3</v>
      </c>
      <c r="AA107" s="9">
        <v>-1.5360196403476532E-3</v>
      </c>
      <c r="AB107" s="9">
        <v>2.1449626191777281E-2</v>
      </c>
      <c r="AC107" s="9">
        <v>-4.2217784073735644E-2</v>
      </c>
      <c r="AD107" s="9">
        <v>1.9768219397203388E-2</v>
      </c>
      <c r="AE107" s="9">
        <v>-2.7127885328233188E-2</v>
      </c>
      <c r="AF107" s="9">
        <v>4.8243093116137011E-2</v>
      </c>
      <c r="AG107" s="9">
        <v>-1.9129696937978853E-3</v>
      </c>
      <c r="AH107" s="9">
        <v>7.8672332331183342E-2</v>
      </c>
      <c r="AI107" s="9">
        <v>-4.6942271031103329E-2</v>
      </c>
      <c r="AJ107" s="9">
        <v>-4.1350526120207528E-3</v>
      </c>
      <c r="AK107" s="9">
        <v>-2.0868032683725082E-2</v>
      </c>
      <c r="AL107" s="9">
        <v>8.4494804280871843E-3</v>
      </c>
      <c r="AM107" s="9">
        <v>-7.3469400205681074E-2</v>
      </c>
      <c r="AN107" s="9">
        <v>-1.6969855342631911E-2</v>
      </c>
      <c r="AO107" s="9">
        <v>0.10191625558743449</v>
      </c>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row>
    <row r="108" spans="2:67" x14ac:dyDescent="0.2">
      <c r="B108" s="9">
        <v>1.0316345800900024E-5</v>
      </c>
      <c r="C108" s="9">
        <v>-3.7488828315994241E-4</v>
      </c>
      <c r="D108" s="9">
        <v>-6.7497110574159103E-5</v>
      </c>
      <c r="E108" s="9">
        <v>-2.8612017149701977E-4</v>
      </c>
      <c r="F108" s="9">
        <v>4.5189456160996811E-4</v>
      </c>
      <c r="G108" s="9">
        <v>7.4051851388508413E-5</v>
      </c>
      <c r="H108" s="9">
        <v>-5.8821826489318296E-4</v>
      </c>
      <c r="I108" s="9">
        <v>-3.2741688117006131E-4</v>
      </c>
      <c r="J108" s="9">
        <v>-9.9844753326832399E-4</v>
      </c>
      <c r="K108" s="9">
        <v>7.8447145072973361E-4</v>
      </c>
      <c r="L108" s="9">
        <v>2.9469146505029802E-3</v>
      </c>
      <c r="M108" s="9">
        <v>8.2468350361937081E-4</v>
      </c>
      <c r="N108" s="9">
        <v>-2.5956268047661287E-5</v>
      </c>
      <c r="O108" s="9">
        <v>1.439320988321797E-3</v>
      </c>
      <c r="P108" s="9">
        <v>5.7967836673290959E-4</v>
      </c>
      <c r="Q108" s="9">
        <v>6.251195692485921E-4</v>
      </c>
      <c r="R108" s="9">
        <v>-1.7139098416502256E-4</v>
      </c>
      <c r="S108" s="9">
        <v>-1.9732773793263501E-3</v>
      </c>
      <c r="T108" s="9">
        <v>6.2306800804813279E-3</v>
      </c>
      <c r="U108" s="9">
        <v>-1.5317559345613839E-2</v>
      </c>
      <c r="V108" s="9">
        <v>-8.8018241819846877E-4</v>
      </c>
      <c r="W108" s="9">
        <v>-1.4792083056018202E-2</v>
      </c>
      <c r="X108" s="9">
        <v>3.0904571972810598E-2</v>
      </c>
      <c r="Y108" s="9">
        <v>8.1333965645846752E-3</v>
      </c>
      <c r="Z108" s="9">
        <v>-2.2198508242957334E-2</v>
      </c>
      <c r="AA108" s="9">
        <v>-8.8660691087284176E-3</v>
      </c>
      <c r="AB108" s="9">
        <v>-0.14688445624371138</v>
      </c>
      <c r="AC108" s="9">
        <v>-3.7816251594428349E-2</v>
      </c>
      <c r="AD108" s="9">
        <v>7.2045499401153526E-2</v>
      </c>
      <c r="AE108" s="9">
        <v>0.19125206003147158</v>
      </c>
      <c r="AF108" s="9">
        <v>-0.12883081205605881</v>
      </c>
      <c r="AG108" s="9">
        <v>-0.18461388950897539</v>
      </c>
      <c r="AH108" s="9">
        <v>-4.6942271031103239E-2</v>
      </c>
      <c r="AI108" s="9">
        <v>0.48909181745740971</v>
      </c>
      <c r="AJ108" s="9">
        <v>1.3530643606287697E-2</v>
      </c>
      <c r="AK108" s="9">
        <v>9.0227760794223816E-2</v>
      </c>
      <c r="AL108" s="9">
        <v>-1.6797814870461229E-2</v>
      </c>
      <c r="AM108" s="9">
        <v>0.10179353476755711</v>
      </c>
      <c r="AN108" s="9">
        <v>-7.3506833650755388E-4</v>
      </c>
      <c r="AO108" s="9">
        <v>-0.12467491604023112</v>
      </c>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row>
    <row r="109" spans="2:67" x14ac:dyDescent="0.2">
      <c r="B109" s="9">
        <v>1.0877540823118432E-5</v>
      </c>
      <c r="C109" s="9">
        <v>8.9509037751430264E-5</v>
      </c>
      <c r="D109" s="9">
        <v>-3.5795477401454756E-4</v>
      </c>
      <c r="E109" s="9">
        <v>-4.2686284595921362E-4</v>
      </c>
      <c r="F109" s="9">
        <v>2.1247345026719549E-4</v>
      </c>
      <c r="G109" s="9">
        <v>-2.184440998808346E-4</v>
      </c>
      <c r="H109" s="9">
        <v>-4.4618782916168979E-4</v>
      </c>
      <c r="I109" s="9">
        <v>2.2584990385890374E-4</v>
      </c>
      <c r="J109" s="9">
        <v>-3.6282367593835907E-4</v>
      </c>
      <c r="K109" s="9">
        <v>1.7888079197207892E-4</v>
      </c>
      <c r="L109" s="9">
        <v>6.0763549028387256E-4</v>
      </c>
      <c r="M109" s="9">
        <v>8.3630120445117335E-4</v>
      </c>
      <c r="N109" s="9">
        <v>3.9965793247707796E-4</v>
      </c>
      <c r="O109" s="9">
        <v>4.6646454097671599E-4</v>
      </c>
      <c r="P109" s="9">
        <v>-2.6270141938166438E-4</v>
      </c>
      <c r="Q109" s="9">
        <v>-2.1117029375116957E-4</v>
      </c>
      <c r="R109" s="9">
        <v>-2.7810641247982279E-3</v>
      </c>
      <c r="S109" s="9">
        <v>3.9767777625808517E-3</v>
      </c>
      <c r="T109" s="9">
        <v>2.5127062863908232E-2</v>
      </c>
      <c r="U109" s="9">
        <v>-6.29158607151095E-3</v>
      </c>
      <c r="V109" s="9">
        <v>9.5789500571956312E-3</v>
      </c>
      <c r="W109" s="9">
        <v>3.5128138279604542E-3</v>
      </c>
      <c r="X109" s="9">
        <v>4.1622619209844254E-3</v>
      </c>
      <c r="Y109" s="9">
        <v>-1.6226955087083241E-2</v>
      </c>
      <c r="Z109" s="9">
        <v>-1.5534618136261806E-2</v>
      </c>
      <c r="AA109" s="9">
        <v>7.8630410329092208E-4</v>
      </c>
      <c r="AB109" s="9">
        <v>-7.5032567995528834E-2</v>
      </c>
      <c r="AC109" s="9">
        <v>6.6442916803018314E-3</v>
      </c>
      <c r="AD109" s="9">
        <v>7.4526615021332718E-2</v>
      </c>
      <c r="AE109" s="9">
        <v>6.7006787242526511E-2</v>
      </c>
      <c r="AF109" s="9">
        <v>-0.25997983250895673</v>
      </c>
      <c r="AG109" s="9">
        <v>-1.1742194876702111E-2</v>
      </c>
      <c r="AH109" s="9">
        <v>-4.1350526120206062E-3</v>
      </c>
      <c r="AI109" s="9">
        <v>1.3530643606286669E-2</v>
      </c>
      <c r="AJ109" s="9">
        <v>0.32517885980032085</v>
      </c>
      <c r="AK109" s="9">
        <v>-7.9027713917667955E-2</v>
      </c>
      <c r="AL109" s="9">
        <v>-1.109809365556283E-2</v>
      </c>
      <c r="AM109" s="9">
        <v>5.5831882744699753E-2</v>
      </c>
      <c r="AN109" s="9">
        <v>1.003892774991828E-2</v>
      </c>
      <c r="AO109" s="9">
        <v>-9.0142764393123256E-2</v>
      </c>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row>
    <row r="110" spans="2:67" x14ac:dyDescent="0.2">
      <c r="B110" s="9">
        <v>-4.9922739129748916E-6</v>
      </c>
      <c r="C110" s="9">
        <v>-2.4613364732948108E-4</v>
      </c>
      <c r="D110" s="9">
        <v>-1.4498954473310741E-4</v>
      </c>
      <c r="E110" s="9">
        <v>-9.5934067840749857E-5</v>
      </c>
      <c r="F110" s="9">
        <v>8.6962176489774359E-5</v>
      </c>
      <c r="G110" s="9">
        <v>2.9842314278816419E-4</v>
      </c>
      <c r="H110" s="9">
        <v>-1.0356567053673139E-4</v>
      </c>
      <c r="I110" s="9">
        <v>-1.7061679846102219E-4</v>
      </c>
      <c r="J110" s="9">
        <v>-3.4816971960430096E-4</v>
      </c>
      <c r="K110" s="9">
        <v>3.921193073505574E-4</v>
      </c>
      <c r="L110" s="9">
        <v>2.764567511799015E-3</v>
      </c>
      <c r="M110" s="9">
        <v>1.9579970650802971E-4</v>
      </c>
      <c r="N110" s="9">
        <v>9.1490164503436682E-4</v>
      </c>
      <c r="O110" s="9">
        <v>-3.2876659737191686E-3</v>
      </c>
      <c r="P110" s="9">
        <v>6.3157864018706118E-4</v>
      </c>
      <c r="Q110" s="9">
        <v>1.6198011073570445E-4</v>
      </c>
      <c r="R110" s="9">
        <v>1.3934423810705928E-3</v>
      </c>
      <c r="S110" s="9">
        <v>-6.6681099569849002E-4</v>
      </c>
      <c r="T110" s="9">
        <v>3.4336966465613934E-3</v>
      </c>
      <c r="U110" s="9">
        <v>-8.9177911347655854E-3</v>
      </c>
      <c r="V110" s="9">
        <v>-5.2294961031749774E-3</v>
      </c>
      <c r="W110" s="9">
        <v>-8.2280944026398763E-3</v>
      </c>
      <c r="X110" s="9">
        <v>1.019329931100442E-2</v>
      </c>
      <c r="Y110" s="9">
        <v>1.2618170875279645E-2</v>
      </c>
      <c r="Z110" s="9">
        <v>-7.7002126937577089E-3</v>
      </c>
      <c r="AA110" s="9">
        <v>-4.9318465175817016E-3</v>
      </c>
      <c r="AB110" s="9">
        <v>-1.008375868327015E-2</v>
      </c>
      <c r="AC110" s="9">
        <v>-4.4381668909748942E-2</v>
      </c>
      <c r="AD110" s="9">
        <v>-3.5273683697182937E-2</v>
      </c>
      <c r="AE110" s="9">
        <v>0.10980022645402057</v>
      </c>
      <c r="AF110" s="9">
        <v>2.4559351776262603E-2</v>
      </c>
      <c r="AG110" s="9">
        <v>-9.5945488793638178E-2</v>
      </c>
      <c r="AH110" s="9">
        <v>-2.0868032683725172E-2</v>
      </c>
      <c r="AI110" s="9">
        <v>9.0227760794224593E-2</v>
      </c>
      <c r="AJ110" s="9">
        <v>-7.9027713917667344E-2</v>
      </c>
      <c r="AK110" s="9">
        <v>0.12522107716432043</v>
      </c>
      <c r="AL110" s="9">
        <v>-3.3872214573584833E-3</v>
      </c>
      <c r="AM110" s="9">
        <v>1.1735662234653646E-2</v>
      </c>
      <c r="AN110" s="9">
        <v>-2.91753222712425E-3</v>
      </c>
      <c r="AO110" s="9">
        <v>-2.5183438498390658E-2</v>
      </c>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row>
    <row r="111" spans="2:67" x14ac:dyDescent="0.2">
      <c r="B111" s="9">
        <v>-1.2247984113358385E-5</v>
      </c>
      <c r="C111" s="9">
        <v>6.3853622343912605E-6</v>
      </c>
      <c r="D111" s="9">
        <v>1.4536168068909375E-5</v>
      </c>
      <c r="E111" s="9">
        <v>2.2356494659067909E-5</v>
      </c>
      <c r="F111" s="9">
        <v>-3.3590134062750405E-5</v>
      </c>
      <c r="G111" s="9">
        <v>2.5434783499484198E-5</v>
      </c>
      <c r="H111" s="9">
        <v>7.0431395238851132E-5</v>
      </c>
      <c r="I111" s="9">
        <v>5.0446526259962628E-5</v>
      </c>
      <c r="J111" s="9">
        <v>7.3369559034467855E-5</v>
      </c>
      <c r="K111" s="9">
        <v>1.3846124931073892E-4</v>
      </c>
      <c r="L111" s="9">
        <v>-1.3862283498318226E-4</v>
      </c>
      <c r="M111" s="9">
        <v>-3.9305731444151691E-5</v>
      </c>
      <c r="N111" s="9">
        <v>-1.4143896766345584E-4</v>
      </c>
      <c r="O111" s="9">
        <v>-3.3710678174584947E-4</v>
      </c>
      <c r="P111" s="9">
        <v>-2.122185482889643E-4</v>
      </c>
      <c r="Q111" s="9">
        <v>1.4981935390102132E-4</v>
      </c>
      <c r="R111" s="9">
        <v>2.8534339578974616E-4</v>
      </c>
      <c r="S111" s="9">
        <v>-2.8631957993669989E-4</v>
      </c>
      <c r="T111" s="9">
        <v>-1.5010756400352138E-3</v>
      </c>
      <c r="U111" s="9">
        <v>1.3435088598126187E-3</v>
      </c>
      <c r="V111" s="9">
        <v>-1.1406144362264489E-3</v>
      </c>
      <c r="W111" s="9">
        <v>-1.1810173881312367E-3</v>
      </c>
      <c r="X111" s="9">
        <v>3.1787978906496541E-4</v>
      </c>
      <c r="Y111" s="9">
        <v>-4.3822039444606811E-4</v>
      </c>
      <c r="Z111" s="9">
        <v>4.8937866774592404E-4</v>
      </c>
      <c r="AA111" s="9">
        <v>1.2599294453688476E-3</v>
      </c>
      <c r="AB111" s="9">
        <v>1.9151258612929781E-3</v>
      </c>
      <c r="AC111" s="9">
        <v>-4.3583986994722469E-3</v>
      </c>
      <c r="AD111" s="9">
        <v>-4.3695901962447787E-3</v>
      </c>
      <c r="AE111" s="9">
        <v>-1.0036799144957906E-2</v>
      </c>
      <c r="AF111" s="9">
        <v>2.2376704555955869E-2</v>
      </c>
      <c r="AG111" s="9">
        <v>6.7882756422960305E-3</v>
      </c>
      <c r="AH111" s="9">
        <v>8.4494804280871479E-3</v>
      </c>
      <c r="AI111" s="9">
        <v>-1.6797814870461104E-2</v>
      </c>
      <c r="AJ111" s="9">
        <v>-1.1098093655562816E-2</v>
      </c>
      <c r="AK111" s="9">
        <v>-3.3872214573583892E-3</v>
      </c>
      <c r="AL111" s="9">
        <v>8.5932500087591169E-3</v>
      </c>
      <c r="AM111" s="9">
        <v>-1.7178887398945526E-2</v>
      </c>
      <c r="AN111" s="9">
        <v>-4.5385345917963995E-3</v>
      </c>
      <c r="AO111" s="9">
        <v>2.5073722994268698E-2</v>
      </c>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row>
    <row r="112" spans="2:67" x14ac:dyDescent="0.2">
      <c r="B112" s="9">
        <v>6.2258323510097128E-5</v>
      </c>
      <c r="C112" s="9">
        <v>-8.562090934923141E-5</v>
      </c>
      <c r="D112" s="9">
        <v>-2.3335649330242589E-4</v>
      </c>
      <c r="E112" s="9">
        <v>-2.9265652914469597E-4</v>
      </c>
      <c r="F112" s="9">
        <v>2.7733008304525546E-4</v>
      </c>
      <c r="G112" s="9">
        <v>-1.5069177859184849E-4</v>
      </c>
      <c r="H112" s="9">
        <v>-3.8319664244741404E-4</v>
      </c>
      <c r="I112" s="9">
        <v>-1.5376446221633018E-4</v>
      </c>
      <c r="J112" s="9">
        <v>3.2784244910042602E-4</v>
      </c>
      <c r="K112" s="9">
        <v>-1.0026238252611386E-4</v>
      </c>
      <c r="L112" s="9">
        <v>1.7212121619556403E-3</v>
      </c>
      <c r="M112" s="9">
        <v>7.9167100592430757E-4</v>
      </c>
      <c r="N112" s="9">
        <v>1.4486208442147943E-3</v>
      </c>
      <c r="O112" s="9">
        <v>1.5503979501585196E-3</v>
      </c>
      <c r="P112" s="9">
        <v>-3.38542152529349E-5</v>
      </c>
      <c r="Q112" s="9">
        <v>-2.56154053890029E-3</v>
      </c>
      <c r="R112" s="9">
        <v>-6.24130982362537E-4</v>
      </c>
      <c r="S112" s="9">
        <v>-1.3966595601568839E-3</v>
      </c>
      <c r="T112" s="9">
        <v>1.2284393856620167E-2</v>
      </c>
      <c r="U112" s="9">
        <v>-7.6454633382466112E-3</v>
      </c>
      <c r="V112" s="9">
        <v>2.2459888595603075E-3</v>
      </c>
      <c r="W112" s="9">
        <v>-2.0670379131025648E-3</v>
      </c>
      <c r="X112" s="9">
        <v>-1.5185259246609359E-3</v>
      </c>
      <c r="Y112" s="9">
        <v>9.519514454899735E-5</v>
      </c>
      <c r="Z112" s="9">
        <v>-7.5690298197490736E-4</v>
      </c>
      <c r="AA112" s="9">
        <v>-4.5224006793739114E-4</v>
      </c>
      <c r="AB112" s="9">
        <v>-4.5893698181202099E-3</v>
      </c>
      <c r="AC112" s="9">
        <v>4.940547137762151E-2</v>
      </c>
      <c r="AD112" s="9">
        <v>1.1271918249024094E-3</v>
      </c>
      <c r="AE112" s="9">
        <v>5.2689992183709948E-2</v>
      </c>
      <c r="AF112" s="9">
        <v>-0.18102292462174688</v>
      </c>
      <c r="AG112" s="9">
        <v>-3.3955049823833091E-5</v>
      </c>
      <c r="AH112" s="9">
        <v>-7.3469400205680865E-2</v>
      </c>
      <c r="AI112" s="9">
        <v>0.1017935347675564</v>
      </c>
      <c r="AJ112" s="9">
        <v>5.5831882744699336E-2</v>
      </c>
      <c r="AK112" s="9">
        <v>1.1735662234653147E-2</v>
      </c>
      <c r="AL112" s="9">
        <v>-1.7178887398945523E-2</v>
      </c>
      <c r="AM112" s="9">
        <v>0.21238245463011665</v>
      </c>
      <c r="AN112" s="9">
        <v>-9.3534019187615745E-3</v>
      </c>
      <c r="AO112" s="9">
        <v>-0.16338417776533357</v>
      </c>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row>
    <row r="113" spans="2:67" x14ac:dyDescent="0.2">
      <c r="B113" s="9">
        <v>3.3859242949364533E-5</v>
      </c>
      <c r="C113" s="9">
        <v>-1.6163598320272101E-4</v>
      </c>
      <c r="D113" s="9">
        <v>-1.7502587037669312E-4</v>
      </c>
      <c r="E113" s="9">
        <v>-4.6243140641434125E-5</v>
      </c>
      <c r="F113" s="9">
        <v>-4.9805453075680606E-5</v>
      </c>
      <c r="G113" s="9">
        <v>7.457019095906736E-4</v>
      </c>
      <c r="H113" s="9">
        <v>-1.2288322166245064E-4</v>
      </c>
      <c r="I113" s="9">
        <v>-9.4316204771274816E-5</v>
      </c>
      <c r="J113" s="9">
        <v>-1.5285797241147285E-4</v>
      </c>
      <c r="K113" s="9">
        <v>-3.2558318254067182E-4</v>
      </c>
      <c r="L113" s="9">
        <v>3.674163525017876E-4</v>
      </c>
      <c r="M113" s="9">
        <v>-4.1078620732735608E-4</v>
      </c>
      <c r="N113" s="9">
        <v>-1.3758269625518715E-3</v>
      </c>
      <c r="O113" s="9">
        <v>1.128852335418434E-3</v>
      </c>
      <c r="P113" s="9">
        <v>7.3870628761010077E-4</v>
      </c>
      <c r="Q113" s="9">
        <v>-5.7651346921580995E-5</v>
      </c>
      <c r="R113" s="9">
        <v>1.3476365434137139E-3</v>
      </c>
      <c r="S113" s="9">
        <v>1.5633862669069279E-3</v>
      </c>
      <c r="T113" s="9">
        <v>-3.5245692352240026E-3</v>
      </c>
      <c r="U113" s="9">
        <v>-1.9789485478063614E-3</v>
      </c>
      <c r="V113" s="9">
        <v>1.1710907853926533E-3</v>
      </c>
      <c r="W113" s="9">
        <v>3.7660012057505557E-4</v>
      </c>
      <c r="X113" s="9">
        <v>6.1932445421642003E-3</v>
      </c>
      <c r="Y113" s="9">
        <v>-3.3153409902120814E-4</v>
      </c>
      <c r="Z113" s="9">
        <v>-1.8446804566303414E-3</v>
      </c>
      <c r="AA113" s="9">
        <v>-3.7623259890390247E-3</v>
      </c>
      <c r="AB113" s="9">
        <v>2.3656706872675411E-2</v>
      </c>
      <c r="AC113" s="9">
        <v>-8.0122910175545528E-3</v>
      </c>
      <c r="AD113" s="9">
        <v>-9.7272905774563202E-3</v>
      </c>
      <c r="AE113" s="9">
        <v>1.1833070663032333E-2</v>
      </c>
      <c r="AF113" s="9">
        <v>1.1058213521266035E-2</v>
      </c>
      <c r="AG113" s="9">
        <v>-4.973992436956517E-4</v>
      </c>
      <c r="AH113" s="9">
        <v>-1.6969855342631991E-2</v>
      </c>
      <c r="AI113" s="9">
        <v>-7.3506833650723946E-4</v>
      </c>
      <c r="AJ113" s="9">
        <v>1.0038927749918859E-2</v>
      </c>
      <c r="AK113" s="9">
        <v>-2.9175322271241719E-3</v>
      </c>
      <c r="AL113" s="9">
        <v>-4.5385345917964134E-3</v>
      </c>
      <c r="AM113" s="9">
        <v>-9.3534019187613733E-3</v>
      </c>
      <c r="AN113" s="9">
        <v>7.7459589872182946E-2</v>
      </c>
      <c r="AO113" s="9">
        <v>-3.6011517643465413E-2</v>
      </c>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row>
    <row r="114" spans="2:67" x14ac:dyDescent="0.2">
      <c r="B114" s="9">
        <v>-1.1318670971275247E-4</v>
      </c>
      <c r="C114" s="9">
        <v>3.4506923867720797E-4</v>
      </c>
      <c r="D114" s="9">
        <v>5.4772662915579464E-4</v>
      </c>
      <c r="E114" s="9">
        <v>9.1070985519024387E-5</v>
      </c>
      <c r="F114" s="9">
        <v>-1.0321024101587564E-4</v>
      </c>
      <c r="G114" s="9">
        <v>-2.5503503428177086E-4</v>
      </c>
      <c r="H114" s="9">
        <v>3.9138857132140176E-4</v>
      </c>
      <c r="I114" s="9">
        <v>-2.5373639492110717E-4</v>
      </c>
      <c r="J114" s="9">
        <v>-1.997918485895361E-4</v>
      </c>
      <c r="K114" s="9">
        <v>4.4722997800563378E-4</v>
      </c>
      <c r="L114" s="9">
        <v>-1.9732301444172822E-3</v>
      </c>
      <c r="M114" s="9">
        <v>-8.3823160248587157E-4</v>
      </c>
      <c r="N114" s="9">
        <v>-1.8300889031645179E-3</v>
      </c>
      <c r="O114" s="9">
        <v>-1.0328336657583026E-3</v>
      </c>
      <c r="P114" s="9">
        <v>1.9673468794542998E-4</v>
      </c>
      <c r="Q114" s="9">
        <v>2.5548199652991772E-3</v>
      </c>
      <c r="R114" s="9">
        <v>-6.0478142072017591E-4</v>
      </c>
      <c r="S114" s="9">
        <v>9.9226789892736247E-4</v>
      </c>
      <c r="T114" s="9">
        <v>-1.2063191906065782E-2</v>
      </c>
      <c r="U114" s="9">
        <v>8.6252044263568431E-3</v>
      </c>
      <c r="V114" s="9">
        <v>-6.5400128008153017E-3</v>
      </c>
      <c r="W114" s="9">
        <v>6.5587914166878192E-3</v>
      </c>
      <c r="X114" s="9">
        <v>5.7369020103237908E-3</v>
      </c>
      <c r="Y114" s="9">
        <v>-7.4360475997383331E-3</v>
      </c>
      <c r="Z114" s="9">
        <v>-1.2578071281202948E-2</v>
      </c>
      <c r="AA114" s="9">
        <v>-2.6373872292191543E-4</v>
      </c>
      <c r="AB114" s="9">
        <v>5.2205153754513151E-2</v>
      </c>
      <c r="AC114" s="9">
        <v>-4.98216689474692E-2</v>
      </c>
      <c r="AD114" s="9">
        <v>-1.983180066159387E-2</v>
      </c>
      <c r="AE114" s="9">
        <v>-5.4530940049361799E-2</v>
      </c>
      <c r="AF114" s="9">
        <v>0.16257064908932109</v>
      </c>
      <c r="AG114" s="9">
        <v>1.6899360177083423E-2</v>
      </c>
      <c r="AH114" s="9">
        <v>0.10191625558743428</v>
      </c>
      <c r="AI114" s="9">
        <v>-0.12467491604023051</v>
      </c>
      <c r="AJ114" s="9">
        <v>-9.0142764393123534E-2</v>
      </c>
      <c r="AK114" s="9">
        <v>-2.5183438498389932E-2</v>
      </c>
      <c r="AL114" s="9">
        <v>2.507372299426873E-2</v>
      </c>
      <c r="AM114" s="9">
        <v>-0.16338417776533382</v>
      </c>
      <c r="AN114" s="9">
        <v>-3.6011517643464989E-2</v>
      </c>
      <c r="AO114" s="9">
        <v>0.3365312434947712</v>
      </c>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row>
    <row r="115" spans="2:67" x14ac:dyDescent="0.2">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row>
    <row r="116" spans="2:67" hidden="1" x14ac:dyDescent="0.2">
      <c r="B116" s="9"/>
      <c r="C116" s="9"/>
      <c r="D116" s="9"/>
      <c r="E116" s="9"/>
      <c r="F116" s="9"/>
      <c r="G116" s="9"/>
      <c r="H116" s="9"/>
      <c r="I116" s="9"/>
      <c r="J116" s="9"/>
      <c r="K116" s="9"/>
      <c r="L116" s="9"/>
      <c r="M116" s="9"/>
      <c r="N116" s="9"/>
      <c r="O116" s="9"/>
      <c r="P116" s="9"/>
      <c r="Q116" s="9"/>
      <c r="R116" s="9"/>
      <c r="S116" s="9"/>
      <c r="T116" s="9"/>
      <c r="U116" s="9"/>
      <c r="V116" s="9"/>
      <c r="W116" s="9"/>
      <c r="X116" s="9"/>
      <c r="Y116" s="9"/>
      <c r="Z116" s="9"/>
      <c r="AA116" s="9"/>
      <c r="AB116" s="9"/>
      <c r="AC116" s="9"/>
      <c r="AD116" s="9"/>
      <c r="AE116" s="9"/>
      <c r="AF116" s="9"/>
      <c r="AG116" s="9"/>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row>
    <row r="117" spans="2:67" hidden="1" x14ac:dyDescent="0.2">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row>
    <row r="118" spans="2:67" hidden="1" x14ac:dyDescent="0.2">
      <c r="B118" s="9"/>
      <c r="C118" s="9"/>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row>
    <row r="119" spans="2:67" hidden="1" x14ac:dyDescent="0.2">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row>
    <row r="120" spans="2:67" hidden="1" x14ac:dyDescent="0.2">
      <c r="B120" s="9"/>
      <c r="C120" s="9"/>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row>
    <row r="121" spans="2:67" hidden="1" x14ac:dyDescent="0.2">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c r="AB121" s="9"/>
      <c r="AC121" s="9"/>
      <c r="AD121" s="9"/>
      <c r="AE121" s="9"/>
      <c r="AF121" s="9"/>
      <c r="AG121" s="9"/>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row>
    <row r="122" spans="2:67" hidden="1" x14ac:dyDescent="0.2">
      <c r="B122" s="9"/>
      <c r="C122" s="9"/>
      <c r="D122" s="9"/>
      <c r="E122" s="9"/>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row>
    <row r="123" spans="2:67" hidden="1" x14ac:dyDescent="0.2">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9"/>
      <c r="AG123" s="9"/>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row>
    <row r="124" spans="2:67" hidden="1" x14ac:dyDescent="0.2">
      <c r="B124" s="9"/>
      <c r="C124" s="9"/>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row>
    <row r="125" spans="2:67" hidden="1" x14ac:dyDescent="0.2">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row>
    <row r="126" spans="2:67" hidden="1" x14ac:dyDescent="0.2">
      <c r="B126" s="9"/>
      <c r="C126" s="9"/>
      <c r="D126" s="9"/>
      <c r="E126" s="9"/>
      <c r="F126" s="9"/>
      <c r="G126" s="9"/>
      <c r="H126" s="9"/>
      <c r="I126" s="9"/>
      <c r="J126" s="9"/>
      <c r="K126" s="9"/>
      <c r="L126" s="9"/>
      <c r="M126" s="9"/>
      <c r="N126" s="9"/>
      <c r="O126" s="9"/>
      <c r="P126" s="9"/>
      <c r="Q126" s="9"/>
      <c r="R126" s="9"/>
      <c r="S126" s="9"/>
      <c r="T126" s="9"/>
      <c r="U126" s="9"/>
      <c r="V126" s="9"/>
      <c r="W126" s="9"/>
      <c r="X126" s="9"/>
      <c r="Y126" s="9"/>
      <c r="Z126" s="9"/>
      <c r="AA126" s="9"/>
      <c r="AB126" s="9"/>
      <c r="AC126" s="9"/>
      <c r="AD126" s="9"/>
      <c r="AE126" s="9"/>
      <c r="AF126" s="9"/>
      <c r="AG126" s="9"/>
      <c r="AH126" s="9"/>
      <c r="AI126" s="9"/>
      <c r="AJ126" s="9"/>
      <c r="AK126" s="9"/>
      <c r="AL126" s="9"/>
      <c r="AM126" s="9"/>
      <c r="AN126" s="9"/>
      <c r="AO126" s="9"/>
      <c r="AP126" s="9"/>
      <c r="AQ126" s="9"/>
      <c r="AR126" s="9"/>
      <c r="AS126" s="9"/>
      <c r="AT126" s="9"/>
      <c r="AU126" s="9"/>
      <c r="AV126" s="9"/>
      <c r="AW126" s="9"/>
      <c r="AX126" s="9"/>
      <c r="AY126" s="9"/>
      <c r="AZ126" s="9"/>
      <c r="BA126" s="9"/>
      <c r="BB126" s="9"/>
      <c r="BC126" s="9"/>
      <c r="BD126" s="9"/>
      <c r="BE126" s="9"/>
      <c r="BF126" s="9"/>
      <c r="BG126" s="9"/>
      <c r="BH126" s="9"/>
      <c r="BI126" s="9"/>
      <c r="BJ126" s="9"/>
      <c r="BK126" s="9"/>
      <c r="BL126" s="9"/>
      <c r="BM126" s="9"/>
      <c r="BN126" s="9"/>
      <c r="BO126" s="9"/>
    </row>
    <row r="127" spans="2:67" hidden="1" x14ac:dyDescent="0.2">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c r="AB127" s="9"/>
      <c r="AC127" s="9"/>
      <c r="AD127" s="9"/>
      <c r="AE127" s="9"/>
      <c r="AF127" s="9"/>
      <c r="AG127" s="9"/>
      <c r="AH127" s="9"/>
      <c r="AI127" s="9"/>
      <c r="AJ127" s="9"/>
      <c r="AK127" s="9"/>
      <c r="AL127" s="9"/>
      <c r="AM127" s="9"/>
      <c r="AN127" s="9"/>
      <c r="AO127" s="9"/>
      <c r="AP127" s="9"/>
      <c r="AQ127" s="9"/>
      <c r="AR127" s="9"/>
      <c r="AS127" s="9"/>
      <c r="AT127" s="9"/>
      <c r="AU127" s="9"/>
      <c r="AV127" s="9"/>
      <c r="AW127" s="9"/>
      <c r="AX127" s="9"/>
      <c r="AY127" s="9"/>
      <c r="AZ127" s="9"/>
      <c r="BA127" s="9"/>
      <c r="BB127" s="9"/>
      <c r="BC127" s="9"/>
      <c r="BD127" s="9"/>
      <c r="BE127" s="9"/>
      <c r="BF127" s="9"/>
      <c r="BG127" s="9"/>
      <c r="BH127" s="9"/>
      <c r="BI127" s="9"/>
      <c r="BJ127" s="9"/>
      <c r="BK127" s="9"/>
      <c r="BL127" s="9"/>
      <c r="BM127" s="9"/>
      <c r="BN127" s="9"/>
      <c r="BO127" s="9"/>
    </row>
    <row r="128" spans="2:67" hidden="1" x14ac:dyDescent="0.2">
      <c r="B128" s="9"/>
      <c r="C128" s="9"/>
      <c r="D128" s="9"/>
      <c r="E128" s="9"/>
      <c r="F128" s="9"/>
      <c r="G128" s="9"/>
      <c r="H128" s="9"/>
      <c r="I128" s="9"/>
      <c r="J128" s="9"/>
      <c r="K128" s="9"/>
      <c r="L128" s="9"/>
      <c r="M128" s="9"/>
      <c r="N128" s="9"/>
      <c r="O128" s="9"/>
      <c r="P128" s="9"/>
      <c r="Q128" s="9"/>
      <c r="R128" s="9"/>
      <c r="S128" s="9"/>
      <c r="T128" s="9"/>
      <c r="U128" s="9"/>
      <c r="V128" s="9"/>
      <c r="W128" s="9"/>
      <c r="X128" s="9"/>
      <c r="Y128" s="9"/>
      <c r="Z128" s="9"/>
      <c r="AA128" s="9"/>
      <c r="AB128" s="9"/>
      <c r="AC128" s="9"/>
      <c r="AD128" s="9"/>
      <c r="AE128" s="9"/>
      <c r="AF128" s="9"/>
      <c r="AG128" s="9"/>
      <c r="AH128" s="9"/>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c r="BO128" s="9"/>
    </row>
    <row r="129" spans="1:67" hidden="1" x14ac:dyDescent="0.2">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c r="AB129" s="9"/>
      <c r="AC129" s="9"/>
      <c r="AD129" s="9"/>
      <c r="AE129" s="9"/>
      <c r="AF129" s="9"/>
      <c r="AG129" s="9"/>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row>
    <row r="130" spans="1:67" hidden="1" x14ac:dyDescent="0.2">
      <c r="B130" s="9"/>
      <c r="C130" s="9"/>
      <c r="D130" s="9"/>
      <c r="E130" s="9"/>
      <c r="F130" s="9"/>
      <c r="G130" s="9"/>
      <c r="H130" s="9"/>
      <c r="I130" s="9"/>
      <c r="J130" s="9"/>
      <c r="K130" s="9"/>
      <c r="L130" s="9"/>
      <c r="M130" s="9"/>
      <c r="N130" s="9"/>
      <c r="O130" s="9"/>
      <c r="P130" s="9"/>
      <c r="Q130" s="9"/>
      <c r="R130" s="9"/>
      <c r="S130" s="9"/>
      <c r="T130" s="9"/>
      <c r="U130" s="9"/>
      <c r="V130" s="9"/>
      <c r="W130" s="9"/>
      <c r="X130" s="9"/>
      <c r="Y130" s="9"/>
      <c r="Z130" s="9"/>
      <c r="AA130" s="9"/>
      <c r="AB130" s="9"/>
      <c r="AC130" s="9"/>
      <c r="AD130" s="9"/>
      <c r="AE130" s="9"/>
      <c r="AF130" s="9"/>
      <c r="AG130" s="9"/>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row>
    <row r="131" spans="1:67" hidden="1" x14ac:dyDescent="0.2">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c r="AB131" s="9"/>
      <c r="AC131" s="9"/>
      <c r="AD131" s="9"/>
      <c r="AE131" s="9"/>
      <c r="AF131" s="9"/>
      <c r="AG131" s="9"/>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row>
    <row r="132" spans="1:67" hidden="1" x14ac:dyDescent="0.2">
      <c r="B132" s="9"/>
      <c r="C132" s="9"/>
      <c r="D132" s="9"/>
      <c r="E132" s="9"/>
      <c r="F132" s="9"/>
      <c r="G132" s="9"/>
      <c r="H132" s="9"/>
      <c r="I132" s="9"/>
      <c r="J132" s="9"/>
      <c r="K132" s="9"/>
      <c r="L132" s="9"/>
      <c r="M132" s="9"/>
      <c r="N132" s="9"/>
      <c r="O132" s="9"/>
      <c r="P132" s="9"/>
      <c r="Q132" s="9"/>
      <c r="R132" s="9"/>
      <c r="S132" s="9"/>
      <c r="T132" s="9"/>
      <c r="U132" s="9"/>
      <c r="V132" s="9"/>
      <c r="W132" s="9"/>
      <c r="X132" s="9"/>
      <c r="Y132" s="9"/>
      <c r="Z132" s="9"/>
      <c r="AA132" s="9"/>
      <c r="AB132" s="9"/>
      <c r="AC132" s="9"/>
      <c r="AD132" s="9"/>
      <c r="AE132" s="9"/>
      <c r="AF132" s="9"/>
      <c r="AG132" s="9"/>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c r="BN132" s="9"/>
      <c r="BO132" s="9"/>
    </row>
    <row r="133" spans="1:67" hidden="1" x14ac:dyDescent="0.2">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G133" s="9"/>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9"/>
      <c r="BN133" s="9"/>
      <c r="BO133" s="9"/>
    </row>
    <row r="134" spans="1:67" hidden="1" x14ac:dyDescent="0.2">
      <c r="B134" s="9"/>
      <c r="C134" s="9"/>
      <c r="D134" s="9"/>
      <c r="E134" s="9"/>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G134" s="9"/>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9"/>
      <c r="BN134" s="9"/>
      <c r="BO134" s="9"/>
    </row>
    <row r="135" spans="1:67" hidden="1" x14ac:dyDescent="0.2">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c r="AB135" s="9"/>
      <c r="AC135" s="9"/>
      <c r="AD135" s="9"/>
      <c r="AE135" s="9"/>
      <c r="AF135" s="9"/>
      <c r="AG135" s="9"/>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9"/>
      <c r="BO135" s="9"/>
    </row>
    <row r="136" spans="1:67" hidden="1" x14ac:dyDescent="0.2">
      <c r="B136" s="9"/>
      <c r="C136" s="9"/>
      <c r="D136" s="9"/>
      <c r="E136" s="9"/>
      <c r="F136" s="9"/>
      <c r="G136" s="9"/>
      <c r="H136" s="9"/>
      <c r="I136" s="9"/>
      <c r="J136" s="9"/>
      <c r="K136" s="9"/>
      <c r="L136" s="9"/>
      <c r="M136" s="9"/>
      <c r="N136" s="9"/>
      <c r="O136" s="9"/>
      <c r="P136" s="9"/>
      <c r="Q136" s="9"/>
      <c r="R136" s="9"/>
      <c r="S136" s="9"/>
      <c r="T136" s="9"/>
      <c r="U136" s="9"/>
      <c r="V136" s="9"/>
      <c r="W136" s="9"/>
      <c r="X136" s="9"/>
      <c r="Y136" s="9"/>
      <c r="Z136" s="9"/>
      <c r="AA136" s="9"/>
      <c r="AB136" s="9"/>
      <c r="AC136" s="9"/>
      <c r="AD136" s="9"/>
      <c r="AE136" s="9"/>
      <c r="AF136" s="9"/>
      <c r="AG136" s="9"/>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9"/>
      <c r="BO136" s="9"/>
    </row>
    <row r="137" spans="1:67" hidden="1" x14ac:dyDescent="0.2">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c r="AB137" s="9"/>
      <c r="AC137" s="9"/>
      <c r="AD137" s="9"/>
      <c r="AE137" s="9"/>
      <c r="AF137" s="9"/>
      <c r="AG137" s="9"/>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9"/>
    </row>
    <row r="138" spans="1:67" hidden="1" x14ac:dyDescent="0.2">
      <c r="B138" s="9"/>
      <c r="C138" s="9"/>
      <c r="D138" s="9"/>
      <c r="E138" s="9"/>
      <c r="F138" s="9"/>
      <c r="G138" s="9"/>
      <c r="H138" s="9"/>
      <c r="I138" s="9"/>
      <c r="J138" s="9"/>
      <c r="K138" s="9"/>
      <c r="L138" s="9"/>
      <c r="M138" s="9"/>
      <c r="N138" s="9"/>
      <c r="O138" s="9"/>
      <c r="P138" s="9"/>
      <c r="Q138" s="9"/>
      <c r="R138" s="9"/>
      <c r="S138" s="9"/>
      <c r="T138" s="9"/>
      <c r="U138" s="9"/>
      <c r="V138" s="9"/>
      <c r="W138" s="9"/>
      <c r="X138" s="9"/>
      <c r="Y138" s="9"/>
      <c r="Z138" s="9"/>
      <c r="AA138" s="9"/>
      <c r="AB138" s="9"/>
      <c r="AC138" s="9"/>
      <c r="AD138" s="9"/>
      <c r="AE138" s="9"/>
      <c r="AF138" s="9"/>
      <c r="AG138" s="9"/>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9"/>
    </row>
    <row r="139" spans="1:67" hidden="1" x14ac:dyDescent="0.2">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c r="AB139" s="9"/>
      <c r="AC139" s="9"/>
      <c r="AD139" s="9"/>
      <c r="AE139" s="9"/>
      <c r="AF139" s="9"/>
      <c r="AG139" s="9"/>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9"/>
    </row>
    <row r="140" spans="1:67" hidden="1" x14ac:dyDescent="0.2">
      <c r="B140" s="9"/>
      <c r="C140" s="9"/>
      <c r="D140" s="9"/>
      <c r="E140" s="9"/>
      <c r="F140" s="9"/>
      <c r="G140" s="9"/>
      <c r="H140" s="9"/>
      <c r="I140" s="9"/>
      <c r="J140" s="9"/>
      <c r="K140" s="9"/>
      <c r="L140" s="9"/>
      <c r="M140" s="9"/>
      <c r="N140" s="9"/>
      <c r="O140" s="9"/>
      <c r="P140" s="9"/>
      <c r="Q140" s="9"/>
      <c r="R140" s="9"/>
      <c r="S140" s="9"/>
      <c r="T140" s="9"/>
      <c r="U140" s="9"/>
      <c r="V140" s="9"/>
      <c r="W140" s="9"/>
      <c r="X140" s="9"/>
      <c r="Y140" s="9"/>
      <c r="Z140" s="9"/>
      <c r="AA140" s="9"/>
      <c r="AB140" s="9"/>
      <c r="AC140" s="9"/>
      <c r="AD140" s="9"/>
      <c r="AE140" s="9"/>
      <c r="AF140" s="9"/>
      <c r="AG140" s="9"/>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row>
    <row r="142" spans="1:67" x14ac:dyDescent="0.2">
      <c r="A142" s="8" t="s">
        <v>344</v>
      </c>
      <c r="B142" s="9">
        <f t="array" ref="B142:AO142">MMULT(B4:AO4,B75:AO114)</f>
        <v>-2.079222085118543E-6</v>
      </c>
      <c r="C142" s="9">
        <v>2.3767387949582603E-4</v>
      </c>
      <c r="D142" s="9">
        <v>-1.7322750562685319E-4</v>
      </c>
      <c r="E142" s="9">
        <v>-2.2921250174735142E-4</v>
      </c>
      <c r="F142" s="9">
        <v>6.5787229610750407E-4</v>
      </c>
      <c r="G142" s="9">
        <v>-3.2572068488703174E-4</v>
      </c>
      <c r="H142" s="9">
        <v>-1.9243069929057765E-4</v>
      </c>
      <c r="I142" s="9">
        <v>-1.953040161130255E-4</v>
      </c>
      <c r="J142" s="9">
        <v>-1.4165719439745061E-4</v>
      </c>
      <c r="K142" s="9">
        <v>-1.3661548651419529E-3</v>
      </c>
      <c r="L142" s="9">
        <v>-1.2696841042682716E-3</v>
      </c>
      <c r="M142" s="9">
        <v>3.0134314989085009E-4</v>
      </c>
      <c r="N142" s="9">
        <v>1.2004751091671179E-3</v>
      </c>
      <c r="O142" s="9">
        <v>1.2748489930567446E-3</v>
      </c>
      <c r="P142" s="9">
        <v>9.4468086982915601E-4</v>
      </c>
      <c r="Q142" s="9">
        <v>-1.3342667145889312E-3</v>
      </c>
      <c r="R142" s="9">
        <v>-2.6544921323814279E-3</v>
      </c>
      <c r="S142" s="9">
        <v>3.866159527341392E-3</v>
      </c>
      <c r="T142" s="9">
        <v>1.2138795132766229E-2</v>
      </c>
      <c r="U142" s="9">
        <v>1.9515863188221284E-3</v>
      </c>
      <c r="V142" s="9">
        <v>-2.8020855525976527E-3</v>
      </c>
      <c r="W142" s="9">
        <v>1.0520938747982251E-2</v>
      </c>
      <c r="X142" s="9">
        <v>-1.5347212455527096E-2</v>
      </c>
      <c r="Y142" s="9">
        <v>5.7535983403617791E-3</v>
      </c>
      <c r="Z142" s="9">
        <v>2.0519123162074798E-3</v>
      </c>
      <c r="AA142" s="9">
        <v>1.7422667168420535E-3</v>
      </c>
      <c r="AB142" s="9">
        <v>8.8973310879244816E-3</v>
      </c>
      <c r="AC142" s="9">
        <v>5.0597409134967186E-2</v>
      </c>
      <c r="AD142" s="9">
        <v>2.990817000079473E-2</v>
      </c>
      <c r="AE142" s="9">
        <v>-4.8106742271279299E-2</v>
      </c>
      <c r="AF142" s="9">
        <v>-2.7600527323018043E-2</v>
      </c>
      <c r="AG142" s="9">
        <v>5.2955230375873394E-3</v>
      </c>
      <c r="AH142" s="9">
        <v>4.4561031088091507E-2</v>
      </c>
      <c r="AI142" s="9">
        <v>1.5599778551043025E-2</v>
      </c>
      <c r="AJ142" s="9">
        <v>1.7864749499954535E-4</v>
      </c>
      <c r="AK142" s="9">
        <v>-2.5997294724737309E-2</v>
      </c>
      <c r="AL142" s="9">
        <v>2.1379988529615507E-3</v>
      </c>
      <c r="AM142" s="9">
        <v>6.6009711466443688E-2</v>
      </c>
      <c r="AN142" s="9">
        <v>-2.3834696657534293E-2</v>
      </c>
      <c r="AO142" s="9">
        <v>6.1967610503419035E-2</v>
      </c>
    </row>
    <row r="144" spans="1:67" x14ac:dyDescent="0.2">
      <c r="A144" s="8" t="s">
        <v>345</v>
      </c>
      <c r="B144" s="9">
        <f t="array" ref="B144">Notes!C7^2-MMULT('MetaData (40) (2018)'!B142:AO142,TRANSPOSE('MetaData (40) (2018)'!B4:AO4))</f>
        <v>2.7048177571598053E-5</v>
      </c>
    </row>
  </sheetData>
  <mergeCells count="2">
    <mergeCell ref="A8:A9"/>
    <mergeCell ref="A75:A76"/>
  </mergeCells>
  <conditionalFormatting sqref="A1:BO1">
    <cfRule type="colorScale" priority="6">
      <colorScale>
        <cfvo type="min"/>
        <cfvo type="max"/>
        <color rgb="FFFFEF9C"/>
        <color rgb="FF63BE7B"/>
      </colorScale>
    </cfRule>
    <cfRule type="cellIs" dxfId="17" priority="7" operator="equal">
      <formula>#DIV/0!</formula>
    </cfRule>
  </conditionalFormatting>
  <conditionalFormatting sqref="B8:BO73">
    <cfRule type="colorScale" priority="4">
      <colorScale>
        <cfvo type="min"/>
        <cfvo type="percentile" val="50"/>
        <cfvo type="max"/>
        <color rgb="FFF8696B"/>
        <color rgb="FFFFEB84"/>
        <color rgb="FF63BE7B"/>
      </colorScale>
    </cfRule>
  </conditionalFormatting>
  <conditionalFormatting sqref="B75:BO140">
    <cfRule type="colorScale" priority="3">
      <colorScale>
        <cfvo type="min"/>
        <cfvo type="percentile" val="50"/>
        <cfvo type="max"/>
        <color rgb="FFF8696B"/>
        <color rgb="FFFFEB84"/>
        <color rgb="FF63BE7B"/>
      </colorScale>
    </cfRule>
  </conditionalFormatting>
  <conditionalFormatting sqref="B142:BO142">
    <cfRule type="colorScale" priority="2">
      <colorScale>
        <cfvo type="min"/>
        <cfvo type="percentile" val="50"/>
        <cfvo type="max"/>
        <color rgb="FFF8696B"/>
        <color rgb="FFFFEB84"/>
        <color rgb="FF63BE7B"/>
      </colorScale>
    </cfRule>
  </conditionalFormatting>
  <conditionalFormatting sqref="B4:AO4">
    <cfRule type="colorScale" priority="1">
      <colorScale>
        <cfvo type="min"/>
        <cfvo type="percentile" val="50"/>
        <cfvo type="max"/>
        <color rgb="FFF8696B"/>
        <color rgb="FFFFEB84"/>
        <color rgb="FF63BE7B"/>
      </colorScale>
    </cfRule>
  </conditionalFormatting>
  <conditionalFormatting sqref="B2:BO2">
    <cfRule type="colorScale" priority="9">
      <colorScale>
        <cfvo type="min"/>
        <cfvo type="percentile" val="50"/>
        <cfvo type="max"/>
        <color rgb="FFF8696B"/>
        <color rgb="FFFFEB84"/>
        <color rgb="FF63BE7B"/>
      </colorScale>
    </cfRule>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O144"/>
  <sheetViews>
    <sheetView zoomScale="70" zoomScaleNormal="70" workbookViewId="0">
      <pane xSplit="1" ySplit="1" topLeftCell="B2" activePane="bottomRight" state="frozen"/>
      <selection pane="topRight" activeCell="B1" sqref="B1"/>
      <selection pane="bottomLeft" activeCell="A2" sqref="A2"/>
      <selection pane="bottomRight"/>
    </sheetView>
  </sheetViews>
  <sheetFormatPr baseColWidth="10" defaultColWidth="9.1640625" defaultRowHeight="15" x14ac:dyDescent="0.2"/>
  <cols>
    <col min="1" max="1" width="17.5" style="8" customWidth="1"/>
    <col min="2" max="3" width="21.5" style="8" bestFit="1" customWidth="1"/>
    <col min="4" max="14" width="20.33203125" style="8" bestFit="1" customWidth="1"/>
    <col min="15" max="22" width="18.6640625" style="8" bestFit="1" customWidth="1"/>
    <col min="23" max="23" width="17.5" style="8" bestFit="1" customWidth="1"/>
    <col min="24" max="25" width="18.6640625" style="8" bestFit="1" customWidth="1"/>
    <col min="26" max="33" width="17.5" style="8" bestFit="1" customWidth="1"/>
    <col min="34" max="34" width="16.5" style="8" bestFit="1" customWidth="1"/>
    <col min="35" max="35" width="17.5" style="8" bestFit="1" customWidth="1"/>
    <col min="36" max="37" width="16.5" style="8" bestFit="1" customWidth="1"/>
    <col min="38" max="38" width="17.5" style="8" bestFit="1" customWidth="1"/>
    <col min="39" max="41" width="16.5" style="8" bestFit="1" customWidth="1"/>
    <col min="42" max="67" width="12.5" style="8" bestFit="1" customWidth="1"/>
    <col min="68" max="68" width="8.6640625" style="8" bestFit="1" customWidth="1"/>
    <col min="69" max="16384" width="9.1640625" style="8"/>
  </cols>
  <sheetData>
    <row r="1" spans="1:67" ht="113" x14ac:dyDescent="0.2">
      <c r="A1" s="10" t="s">
        <v>332</v>
      </c>
      <c r="B1" s="3" t="s">
        <v>254</v>
      </c>
      <c r="C1" s="3" t="s">
        <v>255</v>
      </c>
      <c r="D1" s="3" t="s">
        <v>256</v>
      </c>
      <c r="E1" s="3" t="s">
        <v>257</v>
      </c>
      <c r="F1" s="3" t="s">
        <v>258</v>
      </c>
      <c r="G1" s="3" t="s">
        <v>259</v>
      </c>
      <c r="H1" s="3" t="s">
        <v>260</v>
      </c>
      <c r="I1" s="3" t="s">
        <v>261</v>
      </c>
      <c r="J1" s="3" t="s">
        <v>262</v>
      </c>
      <c r="K1" s="3" t="s">
        <v>263</v>
      </c>
      <c r="L1" s="3" t="s">
        <v>264</v>
      </c>
      <c r="M1" s="3" t="s">
        <v>265</v>
      </c>
      <c r="N1" s="3" t="s">
        <v>266</v>
      </c>
      <c r="O1" s="3" t="s">
        <v>267</v>
      </c>
      <c r="P1" s="3" t="s">
        <v>268</v>
      </c>
      <c r="Q1" s="3" t="s">
        <v>269</v>
      </c>
      <c r="R1" s="3" t="s">
        <v>270</v>
      </c>
      <c r="S1" s="3" t="s">
        <v>271</v>
      </c>
      <c r="T1" s="3" t="s">
        <v>272</v>
      </c>
      <c r="U1" s="3" t="s">
        <v>273</v>
      </c>
      <c r="V1" s="3" t="s">
        <v>274</v>
      </c>
      <c r="W1" s="3" t="s">
        <v>275</v>
      </c>
      <c r="X1" s="3" t="s">
        <v>276</v>
      </c>
      <c r="Y1" s="3" t="s">
        <v>277</v>
      </c>
      <c r="Z1" s="3" t="s">
        <v>278</v>
      </c>
      <c r="AA1" s="3" t="s">
        <v>279</v>
      </c>
      <c r="AB1" s="3" t="s">
        <v>280</v>
      </c>
      <c r="AC1" s="3" t="s">
        <v>281</v>
      </c>
      <c r="AD1" s="3" t="s">
        <v>282</v>
      </c>
      <c r="AE1" s="3" t="s">
        <v>283</v>
      </c>
      <c r="AF1" s="3" t="s">
        <v>284</v>
      </c>
      <c r="AG1" s="3" t="s">
        <v>285</v>
      </c>
      <c r="AH1" s="3" t="s">
        <v>286</v>
      </c>
      <c r="AI1" s="3" t="s">
        <v>287</v>
      </c>
      <c r="AJ1" s="3" t="s">
        <v>288</v>
      </c>
      <c r="AK1" s="3" t="s">
        <v>289</v>
      </c>
      <c r="AL1" s="3" t="s">
        <v>290</v>
      </c>
      <c r="AM1" s="3" t="s">
        <v>291</v>
      </c>
      <c r="AN1" s="3" t="s">
        <v>292</v>
      </c>
      <c r="AO1" s="3" t="s">
        <v>293</v>
      </c>
      <c r="AP1" s="3" t="s">
        <v>294</v>
      </c>
      <c r="AQ1" s="3" t="s">
        <v>295</v>
      </c>
      <c r="AR1" s="3" t="s">
        <v>296</v>
      </c>
      <c r="AS1" s="3" t="s">
        <v>297</v>
      </c>
      <c r="AT1" s="3" t="s">
        <v>298</v>
      </c>
      <c r="AU1" s="3" t="s">
        <v>299</v>
      </c>
      <c r="AV1" s="3" t="s">
        <v>300</v>
      </c>
      <c r="AW1" s="3" t="s">
        <v>301</v>
      </c>
      <c r="AX1" s="3" t="s">
        <v>302</v>
      </c>
      <c r="AY1" s="3" t="s">
        <v>303</v>
      </c>
      <c r="AZ1" s="3" t="s">
        <v>304</v>
      </c>
      <c r="BA1" s="3" t="s">
        <v>305</v>
      </c>
      <c r="BB1" s="3" t="s">
        <v>306</v>
      </c>
      <c r="BC1" s="3" t="s">
        <v>307</v>
      </c>
      <c r="BD1" s="3" t="s">
        <v>308</v>
      </c>
      <c r="BE1" s="3" t="s">
        <v>309</v>
      </c>
      <c r="BF1" s="3" t="s">
        <v>310</v>
      </c>
      <c r="BG1" s="3" t="s">
        <v>311</v>
      </c>
      <c r="BH1" s="3" t="s">
        <v>312</v>
      </c>
      <c r="BI1" s="3" t="s">
        <v>313</v>
      </c>
      <c r="BJ1" s="3" t="s">
        <v>314</v>
      </c>
      <c r="BK1" s="3" t="s">
        <v>315</v>
      </c>
      <c r="BL1" s="3" t="s">
        <v>316</v>
      </c>
      <c r="BM1" s="3" t="s">
        <v>317</v>
      </c>
      <c r="BN1" s="3" t="s">
        <v>318</v>
      </c>
      <c r="BO1" s="3" t="s">
        <v>319</v>
      </c>
    </row>
    <row r="2" spans="1:67" ht="32" x14ac:dyDescent="0.2">
      <c r="A2" s="10" t="s">
        <v>334</v>
      </c>
      <c r="B2" s="9">
        <f>_xlfn.STDEV.P('Data_Matrix (2018)'!B2:B67)</f>
        <v>4510.0896987653241</v>
      </c>
      <c r="C2" s="9">
        <f>_xlfn.STDEV.P('Data_Matrix (2018)'!C2:C67)</f>
        <v>3923.7443721263412</v>
      </c>
      <c r="D2" s="9">
        <f>_xlfn.STDEV.P('Data_Matrix (2018)'!D2:D67)</f>
        <v>2718.7645753087368</v>
      </c>
      <c r="E2" s="9">
        <f>_xlfn.STDEV.P('Data_Matrix (2018)'!E2:E67)</f>
        <v>2469.0998905148695</v>
      </c>
      <c r="F2" s="9">
        <f>_xlfn.STDEV.P('Data_Matrix (2018)'!F2:F67)</f>
        <v>1434.4735219279539</v>
      </c>
      <c r="G2" s="9">
        <f>_xlfn.STDEV.P('Data_Matrix (2018)'!G2:G67)</f>
        <v>1993.784397118751</v>
      </c>
      <c r="H2" s="9">
        <f>_xlfn.STDEV.P('Data_Matrix (2018)'!H2:H67)</f>
        <v>1135.1533083514978</v>
      </c>
      <c r="I2" s="9">
        <f>_xlfn.STDEV.P('Data_Matrix (2018)'!I2:I67)</f>
        <v>890.55165582770451</v>
      </c>
      <c r="J2" s="9">
        <f>_xlfn.STDEV.P('Data_Matrix (2018)'!J2:J67)</f>
        <v>560.31315858967014</v>
      </c>
      <c r="K2" s="9">
        <f>_xlfn.STDEV.P('Data_Matrix (2018)'!K2:K67)</f>
        <v>532.27023775813586</v>
      </c>
      <c r="L2" s="9">
        <f>_xlfn.STDEV.P('Data_Matrix (2018)'!L2:L67)</f>
        <v>411.51709795413188</v>
      </c>
      <c r="M2" s="9">
        <f>_xlfn.STDEV.P('Data_Matrix (2018)'!M2:M67)</f>
        <v>403.77259069351311</v>
      </c>
      <c r="N2" s="9">
        <f>_xlfn.STDEV.P('Data_Matrix (2018)'!N2:N67)</f>
        <v>415.93908530906464</v>
      </c>
      <c r="O2" s="9">
        <f>_xlfn.STDEV.P('Data_Matrix (2018)'!O2:O67)</f>
        <v>188.0626356993609</v>
      </c>
      <c r="P2" s="9">
        <f>_xlfn.STDEV.P('Data_Matrix (2018)'!P2:P67)</f>
        <v>162.22869696873528</v>
      </c>
      <c r="Q2" s="9">
        <f>_xlfn.STDEV.P('Data_Matrix (2018)'!Q2:Q67)</f>
        <v>187.48203408899548</v>
      </c>
      <c r="R2" s="9">
        <f>_xlfn.STDEV.P('Data_Matrix (2018)'!R2:R67)</f>
        <v>240.58451749350169</v>
      </c>
      <c r="S2" s="9">
        <f>_xlfn.STDEV.P('Data_Matrix (2018)'!S2:S67)</f>
        <v>131.43454182353361</v>
      </c>
      <c r="T2" s="9">
        <f>_xlfn.STDEV.P('Data_Matrix (2018)'!T2:T67)</f>
        <v>80.812219500334692</v>
      </c>
      <c r="U2" s="9">
        <f>_xlfn.STDEV.P('Data_Matrix (2018)'!U2:U67)</f>
        <v>56.954858223455901</v>
      </c>
      <c r="V2" s="9">
        <f>_xlfn.STDEV.P('Data_Matrix (2018)'!V2:V67)</f>
        <v>69.872455291148142</v>
      </c>
      <c r="W2" s="9">
        <f>_xlfn.STDEV.P('Data_Matrix (2018)'!W2:W67)</f>
        <v>38.624508103524263</v>
      </c>
      <c r="X2" s="9">
        <f>_xlfn.STDEV.P('Data_Matrix (2018)'!X2:X67)</f>
        <v>49.698408800084891</v>
      </c>
      <c r="Y2" s="9">
        <f>_xlfn.STDEV.P('Data_Matrix (2018)'!Y2:Y67)</f>
        <v>45.789085271870974</v>
      </c>
      <c r="Z2" s="9">
        <f>_xlfn.STDEV.P('Data_Matrix (2018)'!Z2:Z67)</f>
        <v>27.303593444979413</v>
      </c>
      <c r="AA2" s="9">
        <f>_xlfn.STDEV.P('Data_Matrix (2018)'!AA2:AA67)</f>
        <v>41.082314503437296</v>
      </c>
      <c r="AB2" s="9">
        <f>_xlfn.STDEV.P('Data_Matrix (2018)'!AB2:AB67)</f>
        <v>6.6056698626908483</v>
      </c>
      <c r="AC2" s="9">
        <f>_xlfn.STDEV.P('Data_Matrix (2018)'!AC2:AC67)</f>
        <v>9.6273390732961026</v>
      </c>
      <c r="AD2" s="9">
        <f>_xlfn.STDEV.P('Data_Matrix (2018)'!AD2:AD67)</f>
        <v>8.2651443746735112</v>
      </c>
      <c r="AE2" s="9">
        <f>_xlfn.STDEV.P('Data_Matrix (2018)'!AE2:AE67)</f>
        <v>7.9280053724301025</v>
      </c>
      <c r="AF2" s="9">
        <f>_xlfn.STDEV.P('Data_Matrix (2018)'!AF2:AF67)</f>
        <v>7.5012339473477665</v>
      </c>
      <c r="AG2" s="9">
        <f>_xlfn.STDEV.P('Data_Matrix (2018)'!AG2:AG67)</f>
        <v>7.6707419540886885</v>
      </c>
      <c r="AH2" s="9">
        <f>_xlfn.STDEV.P('Data_Matrix (2018)'!AH2:AH67)</f>
        <v>8.088996608664532</v>
      </c>
      <c r="AI2" s="9">
        <f>_xlfn.STDEV.P('Data_Matrix (2018)'!AI2:AI67)</f>
        <v>4.0223527870451488</v>
      </c>
      <c r="AJ2" s="9">
        <f>_xlfn.STDEV.P('Data_Matrix (2018)'!AJ2:AJ67)</f>
        <v>5.9087394188888425</v>
      </c>
      <c r="AK2" s="9">
        <f>_xlfn.STDEV.P('Data_Matrix (2018)'!AK2:AK67)</f>
        <v>7.1844007351472996</v>
      </c>
      <c r="AL2" s="9">
        <f>_xlfn.STDEV.P('Data_Matrix (2018)'!AL2:AL67)</f>
        <v>18.60373568215466</v>
      </c>
      <c r="AM2" s="9">
        <f>_xlfn.STDEV.P('Data_Matrix (2018)'!AM2:AM67)</f>
        <v>5.4272072889352216</v>
      </c>
      <c r="AN2" s="9">
        <f>_xlfn.STDEV.P('Data_Matrix (2018)'!AN2:AN67)</f>
        <v>6.0492766684882815</v>
      </c>
      <c r="AO2" s="9">
        <f>_xlfn.STDEV.P('Data_Matrix (2018)'!AO2:AO67)</f>
        <v>4.4674623630022756</v>
      </c>
      <c r="AP2" s="9">
        <f>_xlfn.STDEV.P('Data_Matrix (2018)'!AP2:AP67)</f>
        <v>6.5100082343979597</v>
      </c>
      <c r="AQ2" s="9">
        <f>_xlfn.STDEV.P('Data_Matrix (2018)'!AQ2:AQ67)</f>
        <v>3.686150238685745</v>
      </c>
      <c r="AR2" s="9">
        <f>_xlfn.STDEV.P('Data_Matrix (2018)'!AR2:AR67)</f>
        <v>3.9225015120805922</v>
      </c>
      <c r="AS2" s="9">
        <f>_xlfn.STDEV.P('Data_Matrix (2018)'!AS2:AS67)</f>
        <v>3.9545889998736614</v>
      </c>
      <c r="AT2" s="9">
        <f>_xlfn.STDEV.P('Data_Matrix (2018)'!AT2:AT67)</f>
        <v>2.0822057124574878</v>
      </c>
      <c r="AU2" s="9">
        <f>_xlfn.STDEV.P('Data_Matrix (2018)'!AU2:AU67)</f>
        <v>1.9538045899433674</v>
      </c>
      <c r="AV2" s="9">
        <f>_xlfn.STDEV.P('Data_Matrix (2018)'!AV2:AV67)</f>
        <v>2.1833848732639352</v>
      </c>
      <c r="AW2" s="9">
        <f>_xlfn.STDEV.P('Data_Matrix (2018)'!AW2:AW67)</f>
        <v>3.7016473981228799</v>
      </c>
      <c r="AX2" s="9">
        <f>_xlfn.STDEV.P('Data_Matrix (2018)'!AX2:AX67)</f>
        <v>3.7756205099482867</v>
      </c>
      <c r="AY2" s="9">
        <f>_xlfn.STDEV.P('Data_Matrix (2018)'!AY2:AY67)</f>
        <v>1.0262855671175186</v>
      </c>
      <c r="AZ2" s="9">
        <f>_xlfn.STDEV.P('Data_Matrix (2018)'!AZ2:AZ67)</f>
        <v>2.1146278706444819</v>
      </c>
      <c r="BA2" s="9">
        <f>_xlfn.STDEV.P('Data_Matrix (2018)'!BA2:BA67)</f>
        <v>0.2793459775018956</v>
      </c>
      <c r="BB2" s="9">
        <f>_xlfn.STDEV.P('Data_Matrix (2018)'!BB2:BB67)</f>
        <v>0.77140517839969958</v>
      </c>
      <c r="BC2" s="9">
        <f>_xlfn.STDEV.P('Data_Matrix (2018)'!BC2:BC67)</f>
        <v>0.51895436720386623</v>
      </c>
      <c r="BD2" s="9">
        <f>_xlfn.STDEV.P('Data_Matrix (2018)'!BD2:BD67)</f>
        <v>0.52013500002706514</v>
      </c>
      <c r="BE2" s="9">
        <f>_xlfn.STDEV.P('Data_Matrix (2018)'!BE2:BE67)</f>
        <v>0.23254324707788551</v>
      </c>
      <c r="BF2" s="9">
        <f>_xlfn.STDEV.P('Data_Matrix (2018)'!BF2:BF67)</f>
        <v>4.7190166233119481E-2</v>
      </c>
      <c r="BG2" s="9">
        <f>_xlfn.STDEV.P('Data_Matrix (2018)'!BG2:BG67)</f>
        <v>4.2615979320582441E-2</v>
      </c>
      <c r="BH2" s="9">
        <f>_xlfn.STDEV.P('Data_Matrix (2018)'!BH2:BH67)</f>
        <v>0.23917666710139085</v>
      </c>
      <c r="BI2" s="9">
        <f>_xlfn.STDEV.P('Data_Matrix (2018)'!BI2:BI67)</f>
        <v>0.13253959560046738</v>
      </c>
      <c r="BJ2" s="9">
        <f>_xlfn.STDEV.P('Data_Matrix (2018)'!BJ2:BJ67)</f>
        <v>9.5798196917550094E-2</v>
      </c>
      <c r="BK2" s="9">
        <f>_xlfn.STDEV.P('Data_Matrix (2018)'!BK2:BK67)</f>
        <v>6.2049370427997026E-2</v>
      </c>
      <c r="BL2" s="9">
        <f>_xlfn.STDEV.P('Data_Matrix (2018)'!BL2:BL67)</f>
        <v>0.17656078370947278</v>
      </c>
      <c r="BM2" s="9">
        <f>_xlfn.STDEV.P('Data_Matrix (2018)'!BM2:BM67)</f>
        <v>1.5535596818801524E-2</v>
      </c>
      <c r="BN2" s="9">
        <f>_xlfn.STDEV.P('Data_Matrix (2018)'!BN2:BN67)</f>
        <v>1.4047695255943763E-2</v>
      </c>
      <c r="BO2" s="9">
        <f>_xlfn.STDEV.P('Data_Matrix (2018)'!BO2:BO67)</f>
        <v>2.1636087766101486E-3</v>
      </c>
    </row>
    <row r="3" spans="1:67" ht="64" x14ac:dyDescent="0.2">
      <c r="A3" s="12" t="s">
        <v>339</v>
      </c>
      <c r="B3" s="8">
        <v>0.15</v>
      </c>
      <c r="C3" s="8">
        <v>0.35</v>
      </c>
      <c r="D3" s="8">
        <v>0.28999999999999998</v>
      </c>
      <c r="E3" s="8">
        <v>0.3</v>
      </c>
      <c r="F3" s="8">
        <v>0.38</v>
      </c>
      <c r="G3" s="8">
        <v>0.39</v>
      </c>
      <c r="H3" s="8">
        <v>0.26</v>
      </c>
      <c r="I3" s="8">
        <v>0.22</v>
      </c>
      <c r="J3" s="8">
        <v>0.14000000000000001</v>
      </c>
      <c r="K3" s="8">
        <v>0.3</v>
      </c>
      <c r="L3" s="8">
        <v>0.43</v>
      </c>
      <c r="M3" s="8">
        <v>0.53</v>
      </c>
      <c r="N3" s="8">
        <v>0.35</v>
      </c>
      <c r="O3" s="8">
        <v>0.45</v>
      </c>
      <c r="P3" s="8">
        <v>0.28999999999999998</v>
      </c>
      <c r="Q3" s="8">
        <v>0.42</v>
      </c>
      <c r="R3" s="8">
        <v>0.4</v>
      </c>
      <c r="S3" s="8">
        <v>0.55000000000000004</v>
      </c>
      <c r="T3" s="8">
        <v>0.48</v>
      </c>
      <c r="U3" s="8">
        <v>0.45</v>
      </c>
      <c r="V3" s="8">
        <v>0.02</v>
      </c>
      <c r="W3" s="8">
        <v>0.43</v>
      </c>
      <c r="X3" s="8">
        <v>0.39</v>
      </c>
      <c r="Y3" s="8">
        <v>0.52</v>
      </c>
      <c r="Z3" s="8">
        <v>0.64</v>
      </c>
      <c r="AA3" s="8">
        <v>0.62</v>
      </c>
      <c r="AB3" s="8">
        <v>0.4</v>
      </c>
      <c r="AC3" s="8">
        <v>0.6</v>
      </c>
      <c r="AD3" s="8">
        <v>0.6</v>
      </c>
      <c r="AE3" s="8">
        <v>0.46</v>
      </c>
      <c r="AF3" s="8">
        <v>0.62</v>
      </c>
      <c r="AG3" s="8">
        <v>0.47</v>
      </c>
      <c r="AH3" s="8">
        <v>0.41</v>
      </c>
      <c r="AI3" s="8">
        <v>0.56000000000000005</v>
      </c>
      <c r="AJ3" s="8">
        <v>0.43</v>
      </c>
      <c r="AK3" s="8">
        <v>0.21</v>
      </c>
      <c r="AL3" s="8">
        <v>7.0000000000000007E-2</v>
      </c>
      <c r="AM3" s="8">
        <v>0.56999999999999995</v>
      </c>
      <c r="AN3" s="8">
        <v>0.2</v>
      </c>
      <c r="AO3" s="8">
        <v>0.46</v>
      </c>
      <c r="AP3" s="8">
        <v>0.56999999999999995</v>
      </c>
      <c r="AQ3" s="8">
        <v>0.72</v>
      </c>
      <c r="AR3" s="8">
        <v>0.52</v>
      </c>
      <c r="AS3" s="8">
        <v>0.33</v>
      </c>
      <c r="AT3" s="8">
        <v>0.57999999999999996</v>
      </c>
      <c r="AU3" s="8">
        <v>0.75</v>
      </c>
      <c r="AV3" s="8">
        <v>0.65</v>
      </c>
      <c r="AW3" s="8">
        <v>0.77</v>
      </c>
      <c r="AX3" s="8">
        <v>0.74</v>
      </c>
      <c r="AY3" s="8">
        <v>0.8</v>
      </c>
      <c r="AZ3" s="8">
        <v>0.2</v>
      </c>
      <c r="BA3" s="8">
        <v>0.63</v>
      </c>
      <c r="BB3" s="8">
        <v>0.79</v>
      </c>
      <c r="BC3" s="8">
        <v>0.66</v>
      </c>
      <c r="BD3" s="8">
        <v>0.85</v>
      </c>
      <c r="BE3" s="8">
        <v>0.87</v>
      </c>
      <c r="BF3" s="8">
        <v>0.56999999999999995</v>
      </c>
      <c r="BG3" s="8">
        <v>0.63</v>
      </c>
      <c r="BH3" s="8">
        <v>0.83</v>
      </c>
      <c r="BI3" s="8">
        <v>0.9</v>
      </c>
      <c r="BJ3" s="8">
        <v>0.88</v>
      </c>
      <c r="BK3" s="8">
        <v>0.61</v>
      </c>
      <c r="BL3" s="8">
        <v>0.89</v>
      </c>
      <c r="BM3" s="8">
        <v>0.72</v>
      </c>
      <c r="BN3" s="8">
        <v>0.79</v>
      </c>
      <c r="BO3" s="8">
        <v>0.92</v>
      </c>
    </row>
    <row r="4" spans="1:67" ht="16" x14ac:dyDescent="0.2">
      <c r="A4" s="10" t="s">
        <v>343</v>
      </c>
      <c r="B4" s="9">
        <f>B3*B2*Notes!$C$7</f>
        <v>676.51345481479859</v>
      </c>
      <c r="C4" s="9">
        <f>C3*C2*Notes!$C$7</f>
        <v>1373.3105302442193</v>
      </c>
      <c r="D4" s="9">
        <f>D3*D2*Notes!$C$7</f>
        <v>788.44172683953366</v>
      </c>
      <c r="E4" s="9">
        <f>E3*E2*Notes!$C$7</f>
        <v>740.72996715446084</v>
      </c>
      <c r="F4" s="9">
        <f>F3*F2*Notes!$C$7</f>
        <v>545.09993833262251</v>
      </c>
      <c r="G4" s="9">
        <f>G3*G2*Notes!$C$7</f>
        <v>777.57591487631294</v>
      </c>
      <c r="H4" s="9">
        <f>H3*H2*Notes!$C$7</f>
        <v>295.13986017138944</v>
      </c>
      <c r="I4" s="9">
        <f>I3*I2*Notes!$C$7</f>
        <v>195.921364282095</v>
      </c>
      <c r="J4" s="9">
        <f>J3*J2*Notes!$C$7</f>
        <v>78.443842202553824</v>
      </c>
      <c r="K4" s="9">
        <f>K3*K2*Notes!$C$7</f>
        <v>159.68107132744075</v>
      </c>
      <c r="L4" s="9">
        <f>L3*L2*Notes!$C$7</f>
        <v>176.95235212027671</v>
      </c>
      <c r="M4" s="9">
        <f>M3*M2*Notes!$C$7</f>
        <v>213.99947306756195</v>
      </c>
      <c r="N4" s="9">
        <f>N3*N2*Notes!$C$7</f>
        <v>145.57867985817262</v>
      </c>
      <c r="O4" s="9">
        <f>O3*O2*Notes!$C$7</f>
        <v>84.628186064712409</v>
      </c>
      <c r="P4" s="9">
        <f>P3*P2*Notes!$C$7</f>
        <v>47.046322120933226</v>
      </c>
      <c r="Q4" s="9">
        <f>Q3*Q2*Notes!$C$7</f>
        <v>78.74245431737809</v>
      </c>
      <c r="R4" s="9">
        <f>R3*R2*Notes!$C$7</f>
        <v>96.233806997400677</v>
      </c>
      <c r="S4" s="9">
        <f>S3*S2*Notes!$C$7</f>
        <v>72.288998002943487</v>
      </c>
      <c r="T4" s="9">
        <f>T3*T2*Notes!$C$7</f>
        <v>38.789865360160654</v>
      </c>
      <c r="U4" s="9">
        <f>U3*U2*Notes!$C$7</f>
        <v>25.629686200555156</v>
      </c>
      <c r="V4" s="9">
        <f>V3*V2*Notes!$C$7</f>
        <v>1.3974491058229628</v>
      </c>
      <c r="W4" s="9">
        <f>W3*W2*Notes!$C$7</f>
        <v>16.608538484515432</v>
      </c>
      <c r="X4" s="9">
        <f>X3*X2*Notes!$C$7</f>
        <v>19.382379432033108</v>
      </c>
      <c r="Y4" s="9">
        <f>Y3*Y2*Notes!$C$7</f>
        <v>23.810324341372908</v>
      </c>
      <c r="Z4" s="9">
        <f>Z3*Z2*Notes!$C$7</f>
        <v>17.474299804786824</v>
      </c>
      <c r="AA4" s="9">
        <f>AA3*AA2*Notes!$C$7</f>
        <v>25.471034992131123</v>
      </c>
      <c r="AB4" s="9">
        <f>AB3*AB2*Notes!$C$7</f>
        <v>2.6422679450763393</v>
      </c>
      <c r="AC4" s="9">
        <f>AC3*AC2*Notes!$C$7</f>
        <v>5.776403443977661</v>
      </c>
      <c r="AD4" s="9">
        <f>AD3*AD2*Notes!$C$7</f>
        <v>4.9590866248041063</v>
      </c>
      <c r="AE4" s="9">
        <f>AE3*AE2*Notes!$C$7</f>
        <v>3.6468824713178472</v>
      </c>
      <c r="AF4" s="9">
        <f>AF3*AF2*Notes!$C$7</f>
        <v>4.6507650473556152</v>
      </c>
      <c r="AG4" s="9">
        <f>AG3*AG2*Notes!$C$7</f>
        <v>3.6052487184216835</v>
      </c>
      <c r="AH4" s="9">
        <f>AH3*AH2*Notes!$C$7</f>
        <v>3.3164886095524579</v>
      </c>
      <c r="AI4" s="9">
        <f>AI3*AI2*Notes!$C$7</f>
        <v>2.2525175607452836</v>
      </c>
      <c r="AJ4" s="9">
        <f>AJ3*AJ2*Notes!$C$7</f>
        <v>2.5407579501222024</v>
      </c>
      <c r="AK4" s="9">
        <f>AK3*AK2*Notes!$C$7</f>
        <v>1.5087241543809329</v>
      </c>
      <c r="AL4" s="9">
        <f>AL3*AL2*Notes!$C$7</f>
        <v>1.3022614977508264</v>
      </c>
      <c r="AM4" s="9">
        <f>AM3*AM2*Notes!$C$7</f>
        <v>3.0935081546930761</v>
      </c>
      <c r="AN4" s="9">
        <f>AN3*AN2*Notes!$C$7</f>
        <v>1.2098553336976563</v>
      </c>
      <c r="AO4" s="9">
        <f>AO3*AO2*Notes!$C$7</f>
        <v>2.0550326869810469</v>
      </c>
      <c r="AP4" s="9">
        <f>AP3*AP2*Notes!$C$7</f>
        <v>3.7107046936068366</v>
      </c>
      <c r="AQ4" s="9">
        <f>AQ3*AQ2*Notes!$C$7</f>
        <v>2.6540281718537364</v>
      </c>
      <c r="AR4" s="9">
        <f>AR3*AR2*Notes!$C$7</f>
        <v>2.0397007862819079</v>
      </c>
      <c r="AS4" s="9">
        <f>AS3*AS2*Notes!$C$7</f>
        <v>1.3050143699583083</v>
      </c>
      <c r="AT4" s="9">
        <f>AT3*AT2*Notes!$C$7</f>
        <v>1.2076793132253427</v>
      </c>
      <c r="AU4" s="9">
        <f>AU3*AU2*Notes!$C$7</f>
        <v>1.4653534424575256</v>
      </c>
      <c r="AV4" s="9">
        <f>AV3*AV2*Notes!$C$7</f>
        <v>1.419200167621558</v>
      </c>
      <c r="AW4" s="9">
        <f>AW3*AW2*Notes!$C$7</f>
        <v>2.8502684965546177</v>
      </c>
      <c r="AX4" s="9">
        <f>AX3*AX2*Notes!$C$7</f>
        <v>2.793959177361732</v>
      </c>
      <c r="AY4" s="9">
        <f>AY3*AY2*Notes!$C$7</f>
        <v>0.82102845369401489</v>
      </c>
      <c r="AZ4" s="9">
        <f>AZ3*AZ2*Notes!$C$7</f>
        <v>0.42292557412889642</v>
      </c>
      <c r="BA4" s="9">
        <f>BA3*BA2*Notes!$C$7</f>
        <v>0.17598796582619422</v>
      </c>
      <c r="BB4" s="9">
        <f>BB3*BB2*Notes!$C$7</f>
        <v>0.6094100909357627</v>
      </c>
      <c r="BC4" s="9">
        <f>BC3*BC2*Notes!$C$7</f>
        <v>0.34250988235455171</v>
      </c>
      <c r="BD4" s="9">
        <f>BD3*BD2*Notes!$C$7</f>
        <v>0.44211475002300538</v>
      </c>
      <c r="BE4" s="9">
        <f>BE3*BE2*Notes!$C$7</f>
        <v>0.2023126249577604</v>
      </c>
      <c r="BF4" s="9">
        <f>BF3*BF2*Notes!$C$7</f>
        <v>2.6898394752878103E-2</v>
      </c>
      <c r="BG4" s="9">
        <f>BG3*BG2*Notes!$C$7</f>
        <v>2.6848066971966938E-2</v>
      </c>
      <c r="BH4" s="9">
        <f>BH3*BH2*Notes!$C$7</f>
        <v>0.1985166336941544</v>
      </c>
      <c r="BI4" s="9">
        <f>BI3*BI2*Notes!$C$7</f>
        <v>0.11928563604042064</v>
      </c>
      <c r="BJ4" s="9">
        <f>BJ3*BJ2*Notes!$C$7</f>
        <v>8.4302413287444089E-2</v>
      </c>
      <c r="BK4" s="9">
        <f>BK3*BK2*Notes!$C$7</f>
        <v>3.7850115961078186E-2</v>
      </c>
      <c r="BL4" s="9">
        <f>BL3*BL2*Notes!$C$7</f>
        <v>0.15713909750143079</v>
      </c>
      <c r="BM4" s="9">
        <f>BM3*BM2*Notes!$C$7</f>
        <v>1.1185629709537096E-2</v>
      </c>
      <c r="BN4" s="9">
        <f>BN3*BN2*Notes!$C$7</f>
        <v>1.1097679252195574E-2</v>
      </c>
      <c r="BO4" s="9">
        <f>BO3*BO2*Notes!$C$7</f>
        <v>1.9905200744813369E-3</v>
      </c>
    </row>
    <row r="5" spans="1:67" hidden="1" x14ac:dyDescent="0.2">
      <c r="A5" s="12"/>
      <c r="B5" s="9">
        <f>'Ranking (2018)'!$F$70</f>
        <v>0.999733248668908</v>
      </c>
      <c r="C5" s="9">
        <f>'Ranking (2018)'!$F$70</f>
        <v>0.999733248668908</v>
      </c>
      <c r="D5" s="9">
        <f>'Ranking (2018)'!$F$70</f>
        <v>0.999733248668908</v>
      </c>
      <c r="E5" s="9">
        <f>'Ranking (2018)'!$F$70</f>
        <v>0.999733248668908</v>
      </c>
      <c r="F5" s="9">
        <f>'Ranking (2018)'!$F$70</f>
        <v>0.999733248668908</v>
      </c>
      <c r="G5" s="9">
        <f>'Ranking (2018)'!$F$70</f>
        <v>0.999733248668908</v>
      </c>
      <c r="H5" s="9">
        <f>'Ranking (2018)'!$F$70</f>
        <v>0.999733248668908</v>
      </c>
      <c r="I5" s="9">
        <f>'Ranking (2018)'!$F$70</f>
        <v>0.999733248668908</v>
      </c>
      <c r="J5" s="9">
        <f>'Ranking (2018)'!$F$70</f>
        <v>0.999733248668908</v>
      </c>
      <c r="K5" s="9">
        <f>'Ranking (2018)'!$F$70</f>
        <v>0.999733248668908</v>
      </c>
      <c r="L5" s="9">
        <f>'Ranking (2018)'!$F$70</f>
        <v>0.999733248668908</v>
      </c>
      <c r="M5" s="9">
        <f>'Ranking (2018)'!$F$70</f>
        <v>0.999733248668908</v>
      </c>
      <c r="N5" s="9">
        <f>'Ranking (2018)'!$F$70</f>
        <v>0.999733248668908</v>
      </c>
      <c r="O5" s="9">
        <f>'Ranking (2018)'!$F$70</f>
        <v>0.999733248668908</v>
      </c>
      <c r="P5" s="9">
        <f>'Ranking (2018)'!$F$70</f>
        <v>0.999733248668908</v>
      </c>
      <c r="Q5" s="9">
        <f>'Ranking (2018)'!$F$70</f>
        <v>0.999733248668908</v>
      </c>
      <c r="R5" s="9">
        <f>'Ranking (2018)'!$F$70</f>
        <v>0.999733248668908</v>
      </c>
      <c r="S5" s="9">
        <f>'Ranking (2018)'!$F$70</f>
        <v>0.999733248668908</v>
      </c>
      <c r="T5" s="9">
        <f>'Ranking (2018)'!$F$70</f>
        <v>0.999733248668908</v>
      </c>
      <c r="U5" s="9">
        <f>'Ranking (2018)'!$F$70</f>
        <v>0.999733248668908</v>
      </c>
      <c r="V5" s="9">
        <f>'Ranking (2018)'!$F$70</f>
        <v>0.999733248668908</v>
      </c>
      <c r="W5" s="9"/>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row>
    <row r="6" spans="1:67" hidden="1" x14ac:dyDescent="0.2">
      <c r="A6" s="12"/>
      <c r="B6" s="9">
        <f>$B$144</f>
        <v>5.3343150591311783E-4</v>
      </c>
      <c r="C6" s="9">
        <f t="shared" ref="C6:V6" si="0">$B$144</f>
        <v>5.3343150591311783E-4</v>
      </c>
      <c r="D6" s="9">
        <f t="shared" si="0"/>
        <v>5.3343150591311783E-4</v>
      </c>
      <c r="E6" s="9">
        <f t="shared" si="0"/>
        <v>5.3343150591311783E-4</v>
      </c>
      <c r="F6" s="9">
        <f t="shared" si="0"/>
        <v>5.3343150591311783E-4</v>
      </c>
      <c r="G6" s="9">
        <f t="shared" si="0"/>
        <v>5.3343150591311783E-4</v>
      </c>
      <c r="H6" s="9">
        <f t="shared" si="0"/>
        <v>5.3343150591311783E-4</v>
      </c>
      <c r="I6" s="9">
        <f t="shared" si="0"/>
        <v>5.3343150591311783E-4</v>
      </c>
      <c r="J6" s="9">
        <f t="shared" si="0"/>
        <v>5.3343150591311783E-4</v>
      </c>
      <c r="K6" s="9">
        <f t="shared" si="0"/>
        <v>5.3343150591311783E-4</v>
      </c>
      <c r="L6" s="9">
        <f t="shared" si="0"/>
        <v>5.3343150591311783E-4</v>
      </c>
      <c r="M6" s="9">
        <f t="shared" si="0"/>
        <v>5.3343150591311783E-4</v>
      </c>
      <c r="N6" s="9">
        <f t="shared" si="0"/>
        <v>5.3343150591311783E-4</v>
      </c>
      <c r="O6" s="9">
        <f t="shared" si="0"/>
        <v>5.3343150591311783E-4</v>
      </c>
      <c r="P6" s="9">
        <f t="shared" si="0"/>
        <v>5.3343150591311783E-4</v>
      </c>
      <c r="Q6" s="9">
        <f t="shared" si="0"/>
        <v>5.3343150591311783E-4</v>
      </c>
      <c r="R6" s="9">
        <f t="shared" si="0"/>
        <v>5.3343150591311783E-4</v>
      </c>
      <c r="S6" s="9">
        <f t="shared" si="0"/>
        <v>5.3343150591311783E-4</v>
      </c>
      <c r="T6" s="9">
        <f t="shared" si="0"/>
        <v>5.3343150591311783E-4</v>
      </c>
      <c r="U6" s="9">
        <f t="shared" si="0"/>
        <v>5.3343150591311783E-4</v>
      </c>
      <c r="V6" s="9">
        <f t="shared" si="0"/>
        <v>5.3343150591311783E-4</v>
      </c>
      <c r="W6" s="9"/>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row>
    <row r="8" spans="1:67" ht="15" customHeight="1" x14ac:dyDescent="0.2">
      <c r="A8" s="114" t="s">
        <v>335</v>
      </c>
      <c r="B8" s="9">
        <f>_xlfn.COVARIANCE.P('Data_Matrix (2018)'!B$2:B$67,'Data_Matrix (2018)'!B$2:B$67)</f>
        <v>20340909.09090909</v>
      </c>
      <c r="C8" s="9">
        <f>_xlfn.COVARIANCE.P('Data_Matrix (2018)'!$B$2:$B$67,'Data_Matrix (2018)'!C2:C67)</f>
        <v>10692536.633954193</v>
      </c>
      <c r="D8" s="9">
        <f>_xlfn.COVARIANCE.P('Data_Matrix (2018)'!$B$2:$B$67,'Data_Matrix (2018)'!D2:D67)</f>
        <v>8353424.6488065161</v>
      </c>
      <c r="E8" s="9">
        <f>_xlfn.COVARIANCE.P('Data_Matrix (2018)'!$B$2:$B$67,'Data_Matrix (2018)'!E2:E67)</f>
        <v>6621506.7611920256</v>
      </c>
      <c r="F8" s="9">
        <f>_xlfn.COVARIANCE.P('Data_Matrix (2018)'!$B$2:$B$67,'Data_Matrix (2018)'!F2:F67)</f>
        <v>4355376.2869573794</v>
      </c>
      <c r="G8" s="9">
        <f>_xlfn.COVARIANCE.P('Data_Matrix (2018)'!$B$2:$B$67,'Data_Matrix (2018)'!G2:G67)</f>
        <v>5564261.8157598199</v>
      </c>
      <c r="H8" s="9">
        <f>_xlfn.COVARIANCE.P('Data_Matrix (2018)'!$B$2:$B$67,'Data_Matrix (2018)'!H2:H67)</f>
        <v>3133249.3179342803</v>
      </c>
      <c r="I8" s="9">
        <f>_xlfn.COVARIANCE.P('Data_Matrix (2018)'!$B$2:$B$67,'Data_Matrix (2018)'!I2:I67)</f>
        <v>2069242.4839668337</v>
      </c>
      <c r="J8" s="9">
        <f>_xlfn.COVARIANCE.P('Data_Matrix (2018)'!$B$2:$B$67,'Data_Matrix (2018)'!J2:J67)</f>
        <v>780262.47677447658</v>
      </c>
      <c r="K8" s="9">
        <f>_xlfn.COVARIANCE.P('Data_Matrix (2018)'!$B$2:$B$67,'Data_Matrix (2018)'!K2:K67)</f>
        <v>1728708.1267136764</v>
      </c>
      <c r="L8" s="9">
        <f>_xlfn.COVARIANCE.P('Data_Matrix (2018)'!$B$2:$B$67,'Data_Matrix (2018)'!L2:L67)</f>
        <v>1261882.6151699016</v>
      </c>
      <c r="M8" s="9">
        <f>_xlfn.COVARIANCE.P('Data_Matrix (2018)'!$B$2:$B$67,'Data_Matrix (2018)'!M2:M67)</f>
        <v>673109.16940976935</v>
      </c>
      <c r="N8" s="9">
        <f>_xlfn.COVARIANCE.P('Data_Matrix (2018)'!$B$2:$B$67,'Data_Matrix (2018)'!N2:N67)</f>
        <v>1097799.7026769114</v>
      </c>
      <c r="O8" s="9">
        <f>_xlfn.COVARIANCE.P('Data_Matrix (2018)'!$B$2:$B$67,'Data_Matrix (2018)'!O2:O67)</f>
        <v>566150.8785643701</v>
      </c>
      <c r="P8" s="9">
        <f>_xlfn.COVARIANCE.P('Data_Matrix (2018)'!$B$2:$B$67,'Data_Matrix (2018)'!P2:P67)</f>
        <v>185955.38329714444</v>
      </c>
      <c r="Q8" s="9">
        <f>_xlfn.COVARIANCE.P('Data_Matrix (2018)'!$B$2:$B$67,'Data_Matrix (2018)'!Q2:Q67)</f>
        <v>530480.06214748893</v>
      </c>
      <c r="R8" s="9">
        <f>_xlfn.COVARIANCE.P('Data_Matrix (2018)'!$B$2:$B$67,'Data_Matrix (2018)'!R2:R67)</f>
        <v>589462.52578012564</v>
      </c>
      <c r="S8" s="9">
        <f>_xlfn.COVARIANCE.P('Data_Matrix (2018)'!$B$2:$B$67,'Data_Matrix (2018)'!S2:S67)</f>
        <v>291181.22292077832</v>
      </c>
      <c r="T8" s="9">
        <f>_xlfn.COVARIANCE.P('Data_Matrix (2018)'!$B$2:$B$67,'Data_Matrix (2018)'!T2:T67)</f>
        <v>257515.87735182763</v>
      </c>
      <c r="U8" s="9">
        <f>_xlfn.COVARIANCE.P('Data_Matrix (2018)'!$B$2:$B$67,'Data_Matrix (2018)'!U2:U67)</f>
        <v>139844.29606177859</v>
      </c>
      <c r="V8" s="9">
        <f>_xlfn.COVARIANCE.P('Data_Matrix (2018)'!$B$2:$B$67,'Data_Matrix (2018)'!V2:V67)</f>
        <v>53293.158766081928</v>
      </c>
      <c r="W8" s="9"/>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row>
    <row r="9" spans="1:67" x14ac:dyDescent="0.2">
      <c r="A9" s="114"/>
      <c r="B9" s="9">
        <f>_xlfn.COVARIANCE.P('Data_Matrix (2018)'!$C$2:$C$67,'Data_Matrix (2018)'!B$2:B$67)</f>
        <v>10692536.633954193</v>
      </c>
      <c r="C9" s="9">
        <f>_xlfn.COVARIANCE.P('Data_Matrix (2018)'!$C$2:$C$67,'Data_Matrix (2018)'!C$2:C$67)</f>
        <v>15395769.897793116</v>
      </c>
      <c r="D9" s="9">
        <f>_xlfn.COVARIANCE.P('Data_Matrix (2018)'!$C$2:$C$67,'Data_Matrix (2018)'!D$2:D$67)</f>
        <v>9105077.8316324782</v>
      </c>
      <c r="E9" s="9">
        <f>_xlfn.COVARIANCE.P('Data_Matrix (2018)'!$C$2:$C$67,'Data_Matrix (2018)'!E$2:E$67)</f>
        <v>7512601.1064849226</v>
      </c>
      <c r="F9" s="9">
        <f>_xlfn.COVARIANCE.P('Data_Matrix (2018)'!$C$2:$C$67,'Data_Matrix (2018)'!F$2:F$67)</f>
        <v>3880278.0875256499</v>
      </c>
      <c r="G9" s="9">
        <f>_xlfn.COVARIANCE.P('Data_Matrix (2018)'!$C$2:$C$67,'Data_Matrix (2018)'!G$2:G$67)</f>
        <v>7421210.4939256562</v>
      </c>
      <c r="H9" s="9">
        <f>_xlfn.COVARIANCE.P('Data_Matrix (2018)'!$C$2:$C$67,'Data_Matrix (2018)'!H$2:H$67)</f>
        <v>2655971.3157581054</v>
      </c>
      <c r="I9" s="9">
        <f>_xlfn.COVARIANCE.P('Data_Matrix (2018)'!$C$2:$C$67,'Data_Matrix (2018)'!I$2:I$67)</f>
        <v>2711473.3951154342</v>
      </c>
      <c r="J9" s="9">
        <f>_xlfn.COVARIANCE.P('Data_Matrix (2018)'!$C$2:$C$67,'Data_Matrix (2018)'!J$2:J$67)</f>
        <v>1321298.8650707491</v>
      </c>
      <c r="K9" s="9">
        <f>_xlfn.COVARIANCE.P('Data_Matrix (2018)'!$C$2:$C$67,'Data_Matrix (2018)'!K$2:K$67)</f>
        <v>1759242.3450157149</v>
      </c>
      <c r="L9" s="9">
        <f>_xlfn.COVARIANCE.P('Data_Matrix (2018)'!$C$2:$C$67,'Data_Matrix (2018)'!L$2:L$67)</f>
        <v>1428766.7510359818</v>
      </c>
      <c r="M9" s="9">
        <f>_xlfn.COVARIANCE.P('Data_Matrix (2018)'!$C$2:$C$67,'Data_Matrix (2018)'!M$2:M$67)</f>
        <v>1144664.2314040826</v>
      </c>
      <c r="N9" s="9">
        <f>_xlfn.COVARIANCE.P('Data_Matrix (2018)'!$C$2:$C$67,'Data_Matrix (2018)'!N$2:N$67)</f>
        <v>1492728.6049940041</v>
      </c>
      <c r="O9" s="9">
        <f>_xlfn.COVARIANCE.P('Data_Matrix (2018)'!$C$2:$C$67,'Data_Matrix (2018)'!O$2:O$67)</f>
        <v>677481.6874887665</v>
      </c>
      <c r="P9" s="9">
        <f>_xlfn.COVARIANCE.P('Data_Matrix (2018)'!$C$2:$C$67,'Data_Matrix (2018)'!P$2:P$67)</f>
        <v>135591.86090416892</v>
      </c>
      <c r="Q9" s="9">
        <f>_xlfn.COVARIANCE.P('Data_Matrix (2018)'!$C$2:$C$67,'Data_Matrix (2018)'!Q$2:Q$67)</f>
        <v>574466.75255595066</v>
      </c>
      <c r="R9" s="9">
        <f>_xlfn.COVARIANCE.P('Data_Matrix (2018)'!$C$2:$C$67,'Data_Matrix (2018)'!R$2:R$67)</f>
        <v>721646.60921481939</v>
      </c>
      <c r="S9" s="9">
        <f>_xlfn.COVARIANCE.P('Data_Matrix (2018)'!$C$2:$C$67,'Data_Matrix (2018)'!S$2:S$67)</f>
        <v>381081.99390522484</v>
      </c>
      <c r="T9" s="9">
        <f>_xlfn.COVARIANCE.P('Data_Matrix (2018)'!$C$2:$C$67,'Data_Matrix (2018)'!T$2:T$67)</f>
        <v>290113.39909977431</v>
      </c>
      <c r="U9" s="9">
        <f>_xlfn.COVARIANCE.P('Data_Matrix (2018)'!$C$2:$C$67,'Data_Matrix (2018)'!U$2:U$67)</f>
        <v>182566.23580089351</v>
      </c>
      <c r="V9" s="9">
        <f>_xlfn.COVARIANCE.P('Data_Matrix (2018)'!$C$2:$C$67,'Data_Matrix (2018)'!V$2:V$67)</f>
        <v>123075.96601239698</v>
      </c>
      <c r="W9" s="9"/>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row>
    <row r="10" spans="1:67" x14ac:dyDescent="0.2">
      <c r="B10" s="9">
        <f>_xlfn.COVARIANCE.P('Data_Matrix (2018)'!$D$2:$D$67,'Data_Matrix (2018)'!B$2:B$67)</f>
        <v>8353424.6488065161</v>
      </c>
      <c r="C10" s="9">
        <f>_xlfn.COVARIANCE.P('Data_Matrix (2018)'!$D$2:$D$67,'Data_Matrix (2018)'!C$2:C$67)</f>
        <v>9105077.8316324782</v>
      </c>
      <c r="D10" s="9">
        <f>_xlfn.COVARIANCE.P('Data_Matrix (2018)'!$D$2:$D$67,'Data_Matrix (2018)'!D$2:D$67)</f>
        <v>7391680.8159536887</v>
      </c>
      <c r="E10" s="9">
        <f>_xlfn.COVARIANCE.P('Data_Matrix (2018)'!$D$2:$D$67,'Data_Matrix (2018)'!E$2:E$67)</f>
        <v>4670286.5334193604</v>
      </c>
      <c r="F10" s="9">
        <f>_xlfn.COVARIANCE.P('Data_Matrix (2018)'!$D$2:$D$67,'Data_Matrix (2018)'!F$2:F$67)</f>
        <v>2596675.564917482</v>
      </c>
      <c r="G10" s="9">
        <f>_xlfn.COVARIANCE.P('Data_Matrix (2018)'!$D$2:$D$67,'Data_Matrix (2018)'!G$2:G$67)</f>
        <v>4992154.9706247607</v>
      </c>
      <c r="H10" s="9">
        <f>_xlfn.COVARIANCE.P('Data_Matrix (2018)'!$D$2:$D$67,'Data_Matrix (2018)'!H$2:H$67)</f>
        <v>2244726.9575036708</v>
      </c>
      <c r="I10" s="9">
        <f>_xlfn.COVARIANCE.P('Data_Matrix (2018)'!$D$2:$D$67,'Data_Matrix (2018)'!I$2:I$67)</f>
        <v>2119855.8855397282</v>
      </c>
      <c r="J10" s="9">
        <f>_xlfn.COVARIANCE.P('Data_Matrix (2018)'!$D$2:$D$67,'Data_Matrix (2018)'!J$2:J$67)</f>
        <v>1021763.3057596135</v>
      </c>
      <c r="K10" s="9">
        <f>_xlfn.COVARIANCE.P('Data_Matrix (2018)'!$D$2:$D$67,'Data_Matrix (2018)'!K$2:K$67)</f>
        <v>1133598.7577341602</v>
      </c>
      <c r="L10" s="9">
        <f>_xlfn.COVARIANCE.P('Data_Matrix (2018)'!$D$2:$D$67,'Data_Matrix (2018)'!L$2:L$67)</f>
        <v>916024.01599592785</v>
      </c>
      <c r="M10" s="9">
        <f>_xlfn.COVARIANCE.P('Data_Matrix (2018)'!$D$2:$D$67,'Data_Matrix (2018)'!M$2:M$67)</f>
        <v>727759.78193746135</v>
      </c>
      <c r="N10" s="9">
        <f>_xlfn.COVARIANCE.P('Data_Matrix (2018)'!$D$2:$D$67,'Data_Matrix (2018)'!N$2:N$67)</f>
        <v>1000739.1999768356</v>
      </c>
      <c r="O10" s="9">
        <f>_xlfn.COVARIANCE.P('Data_Matrix (2018)'!$D$2:$D$67,'Data_Matrix (2018)'!O$2:O$67)</f>
        <v>426186.43185589387</v>
      </c>
      <c r="P10" s="9">
        <f>_xlfn.COVARIANCE.P('Data_Matrix (2018)'!$D$2:$D$67,'Data_Matrix (2018)'!P$2:P$67)</f>
        <v>93762.824902317574</v>
      </c>
      <c r="Q10" s="9">
        <f>_xlfn.COVARIANCE.P('Data_Matrix (2018)'!$D$2:$D$67,'Data_Matrix (2018)'!Q$2:Q$67)</f>
        <v>375538.13101247163</v>
      </c>
      <c r="R10" s="9">
        <f>_xlfn.COVARIANCE.P('Data_Matrix (2018)'!$D$2:$D$67,'Data_Matrix (2018)'!R$2:R$67)</f>
        <v>451352.92899997433</v>
      </c>
      <c r="S10" s="9">
        <f>_xlfn.COVARIANCE.P('Data_Matrix (2018)'!$D$2:$D$67,'Data_Matrix (2018)'!S$2:S$67)</f>
        <v>260255.38647650424</v>
      </c>
      <c r="T10" s="9">
        <f>_xlfn.COVARIANCE.P('Data_Matrix (2018)'!$D$2:$D$67,'Data_Matrix (2018)'!T$2:T$67)</f>
        <v>197787.48727426142</v>
      </c>
      <c r="U10" s="9">
        <f>_xlfn.COVARIANCE.P('Data_Matrix (2018)'!$D$2:$D$67,'Data_Matrix (2018)'!U$2:U$67)</f>
        <v>105128.21609710978</v>
      </c>
      <c r="V10" s="9">
        <f>_xlfn.COVARIANCE.P('Data_Matrix (2018)'!$D$2:$D$67,'Data_Matrix (2018)'!V$2:V$67)</f>
        <v>48776.985466037077</v>
      </c>
      <c r="W10" s="9"/>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row>
    <row r="11" spans="1:67" x14ac:dyDescent="0.2">
      <c r="B11" s="9">
        <f>_xlfn.COVARIANCE.P('Data_Matrix (2018)'!$E$2:$E$67,'Data_Matrix (2018)'!B$2:B$67)</f>
        <v>6621506.7611920256</v>
      </c>
      <c r="C11" s="9">
        <f>_xlfn.COVARIANCE.P('Data_Matrix (2018)'!$E$2:$E$67,'Data_Matrix (2018)'!C$2:C$67)</f>
        <v>7512601.1064849226</v>
      </c>
      <c r="D11" s="9">
        <f>_xlfn.COVARIANCE.P('Data_Matrix (2018)'!$E$2:$E$67,'Data_Matrix (2018)'!D$2:D$67)</f>
        <v>4670286.5334193604</v>
      </c>
      <c r="E11" s="9">
        <f>_xlfn.COVARIANCE.P('Data_Matrix (2018)'!$E$2:$E$67,'Data_Matrix (2018)'!E$2:E$67)</f>
        <v>6096454.2693405468</v>
      </c>
      <c r="F11" s="9">
        <f>_xlfn.COVARIANCE.P('Data_Matrix (2018)'!$E$2:$E$67,'Data_Matrix (2018)'!F$2:F$67)</f>
        <v>3119813.9051797218</v>
      </c>
      <c r="G11" s="9">
        <f>_xlfn.COVARIANCE.P('Data_Matrix (2018)'!$E$2:$E$67,'Data_Matrix (2018)'!G$2:G$67)</f>
        <v>4068359.0653148964</v>
      </c>
      <c r="H11" s="9">
        <f>_xlfn.COVARIANCE.P('Data_Matrix (2018)'!$E$2:$E$67,'Data_Matrix (2018)'!H$2:H$67)</f>
        <v>1191408.6416521536</v>
      </c>
      <c r="I11" s="9">
        <f>_xlfn.COVARIANCE.P('Data_Matrix (2018)'!$E$2:$E$67,'Data_Matrix (2018)'!I$2:I$67)</f>
        <v>1466069.6580471792</v>
      </c>
      <c r="J11" s="9">
        <f>_xlfn.COVARIANCE.P('Data_Matrix (2018)'!$E$2:$E$67,'Data_Matrix (2018)'!J$2:J$67)</f>
        <v>789235.35609863349</v>
      </c>
      <c r="K11" s="9">
        <f>_xlfn.COVARIANCE.P('Data_Matrix (2018)'!$E$2:$E$67,'Data_Matrix (2018)'!K$2:K$67)</f>
        <v>1013570.5457337948</v>
      </c>
      <c r="L11" s="9">
        <f>_xlfn.COVARIANCE.P('Data_Matrix (2018)'!$E$2:$E$67,'Data_Matrix (2018)'!L$2:L$67)</f>
        <v>768146.51953764446</v>
      </c>
      <c r="M11" s="9">
        <f>_xlfn.COVARIANCE.P('Data_Matrix (2018)'!$E$2:$E$67,'Data_Matrix (2018)'!M$2:M$67)</f>
        <v>520545.23788171454</v>
      </c>
      <c r="N11" s="9">
        <f>_xlfn.COVARIANCE.P('Data_Matrix (2018)'!$E$2:$E$67,'Data_Matrix (2018)'!N$2:N$67)</f>
        <v>820948.07823821541</v>
      </c>
      <c r="O11" s="9">
        <f>_xlfn.COVARIANCE.P('Data_Matrix (2018)'!$E$2:$E$67,'Data_Matrix (2018)'!O$2:O$67)</f>
        <v>360833.94126402756</v>
      </c>
      <c r="P11" s="9">
        <f>_xlfn.COVARIANCE.P('Data_Matrix (2018)'!$E$2:$E$67,'Data_Matrix (2018)'!P$2:P$67)</f>
        <v>146374.09618033897</v>
      </c>
      <c r="Q11" s="9">
        <f>_xlfn.COVARIANCE.P('Data_Matrix (2018)'!$E$2:$E$67,'Data_Matrix (2018)'!Q$2:Q$67)</f>
        <v>217552.41936626766</v>
      </c>
      <c r="R11" s="9">
        <f>_xlfn.COVARIANCE.P('Data_Matrix (2018)'!$E$2:$E$67,'Data_Matrix (2018)'!R$2:R$67)</f>
        <v>237957.70144182025</v>
      </c>
      <c r="S11" s="9">
        <f>_xlfn.COVARIANCE.P('Data_Matrix (2018)'!$E$2:$E$67,'Data_Matrix (2018)'!S$2:S$67)</f>
        <v>169059.92469205227</v>
      </c>
      <c r="T11" s="9">
        <f>_xlfn.COVARIANCE.P('Data_Matrix (2018)'!$E$2:$E$67,'Data_Matrix (2018)'!T$2:T$67)</f>
        <v>154363.60353031699</v>
      </c>
      <c r="U11" s="9">
        <f>_xlfn.COVARIANCE.P('Data_Matrix (2018)'!$E$2:$E$67,'Data_Matrix (2018)'!U$2:U$67)</f>
        <v>77235.052142147353</v>
      </c>
      <c r="V11" s="9">
        <f>_xlfn.COVARIANCE.P('Data_Matrix (2018)'!$E$2:$E$67,'Data_Matrix (2018)'!V$2:V$67)</f>
        <v>90209.204538937018</v>
      </c>
      <c r="W11" s="9"/>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row>
    <row r="12" spans="1:67" x14ac:dyDescent="0.2">
      <c r="B12" s="9">
        <f>_xlfn.COVARIANCE.P('Data_Matrix (2018)'!$F$2:$F$67,'Data_Matrix (2018)'!B$2:B$67)</f>
        <v>4355376.2869573794</v>
      </c>
      <c r="C12" s="9">
        <f>_xlfn.COVARIANCE.P('Data_Matrix (2018)'!$F$2:$F$67,'Data_Matrix (2018)'!C$2:C$67)</f>
        <v>3880278.0875256499</v>
      </c>
      <c r="D12" s="9">
        <f>_xlfn.COVARIANCE.P('Data_Matrix (2018)'!$F$2:$F$67,'Data_Matrix (2018)'!D$2:D$67)</f>
        <v>2596675.564917482</v>
      </c>
      <c r="E12" s="9">
        <f>_xlfn.COVARIANCE.P('Data_Matrix (2018)'!$F$2:$F$67,'Data_Matrix (2018)'!E$2:E$67)</f>
        <v>3119813.9051797218</v>
      </c>
      <c r="F12" s="9">
        <f>_xlfn.COVARIANCE.P('Data_Matrix (2018)'!$F$2:$F$67,'Data_Matrix (2018)'!F$2:F$67)</f>
        <v>2057714.2851123868</v>
      </c>
      <c r="G12" s="9">
        <f>_xlfn.COVARIANCE.P('Data_Matrix (2018)'!$F$2:$F$67,'Data_Matrix (2018)'!G$2:G$67)</f>
        <v>2103609.7450998728</v>
      </c>
      <c r="H12" s="9">
        <f>_xlfn.COVARIANCE.P('Data_Matrix (2018)'!$F$2:$F$67,'Data_Matrix (2018)'!H$2:H$67)</f>
        <v>816498.91984271794</v>
      </c>
      <c r="I12" s="9">
        <f>_xlfn.COVARIANCE.P('Data_Matrix (2018)'!$F$2:$F$67,'Data_Matrix (2018)'!I$2:I$67)</f>
        <v>747989.05846113327</v>
      </c>
      <c r="J12" s="9">
        <f>_xlfn.COVARIANCE.P('Data_Matrix (2018)'!$F$2:$F$67,'Data_Matrix (2018)'!J$2:J$67)</f>
        <v>419996.1618596171</v>
      </c>
      <c r="K12" s="9">
        <f>_xlfn.COVARIANCE.P('Data_Matrix (2018)'!$F$2:$F$67,'Data_Matrix (2018)'!K$2:K$67)</f>
        <v>618144.49018097331</v>
      </c>
      <c r="L12" s="9">
        <f>_xlfn.COVARIANCE.P('Data_Matrix (2018)'!$F$2:$F$67,'Data_Matrix (2018)'!L$2:L$67)</f>
        <v>465739.38287796674</v>
      </c>
      <c r="M12" s="9">
        <f>_xlfn.COVARIANCE.P('Data_Matrix (2018)'!$F$2:$F$67,'Data_Matrix (2018)'!M$2:M$67)</f>
        <v>316838.56145710283</v>
      </c>
      <c r="N12" s="9">
        <f>_xlfn.COVARIANCE.P('Data_Matrix (2018)'!$F$2:$F$67,'Data_Matrix (2018)'!N$2:N$67)</f>
        <v>417495.00166043127</v>
      </c>
      <c r="O12" s="9">
        <f>_xlfn.COVARIANCE.P('Data_Matrix (2018)'!$F$2:$F$67,'Data_Matrix (2018)'!O$2:O$67)</f>
        <v>213089.1537371813</v>
      </c>
      <c r="P12" s="9">
        <f>_xlfn.COVARIANCE.P('Data_Matrix (2018)'!$F$2:$F$67,'Data_Matrix (2018)'!P$2:P$67)</f>
        <v>86059.152870897655</v>
      </c>
      <c r="Q12" s="9">
        <f>_xlfn.COVARIANCE.P('Data_Matrix (2018)'!$F$2:$F$67,'Data_Matrix (2018)'!Q$2:Q$67)</f>
        <v>154832.02531264871</v>
      </c>
      <c r="R12" s="9">
        <f>_xlfn.COVARIANCE.P('Data_Matrix (2018)'!$F$2:$F$67,'Data_Matrix (2018)'!R$2:R$67)</f>
        <v>161660.77161312918</v>
      </c>
      <c r="S12" s="9">
        <f>_xlfn.COVARIANCE.P('Data_Matrix (2018)'!$F$2:$F$67,'Data_Matrix (2018)'!S$2:S$67)</f>
        <v>106476.08784718224</v>
      </c>
      <c r="T12" s="9">
        <f>_xlfn.COVARIANCE.P('Data_Matrix (2018)'!$F$2:$F$67,'Data_Matrix (2018)'!T$2:T$67)</f>
        <v>82071.448496403958</v>
      </c>
      <c r="U12" s="9">
        <f>_xlfn.COVARIANCE.P('Data_Matrix (2018)'!$F$2:$F$67,'Data_Matrix (2018)'!U$2:U$67)</f>
        <v>51864.62182774445</v>
      </c>
      <c r="V12" s="9">
        <f>_xlfn.COVARIANCE.P('Data_Matrix (2018)'!$F$2:$F$67,'Data_Matrix (2018)'!V$2:V$67)</f>
        <v>47523.139295490742</v>
      </c>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row>
    <row r="13" spans="1:67" x14ac:dyDescent="0.2">
      <c r="B13" s="9">
        <f>_xlfn.COVARIANCE.P('Data_Matrix (2018)'!$G$2:$G$67,'Data_Matrix (2018)'!B$2:B$67)</f>
        <v>5564261.8157598199</v>
      </c>
      <c r="C13" s="9">
        <f>_xlfn.COVARIANCE.P('Data_Matrix (2018)'!$G$2:$G$67,'Data_Matrix (2018)'!C$2:C$67)</f>
        <v>7421210.4939256562</v>
      </c>
      <c r="D13" s="9">
        <f>_xlfn.COVARIANCE.P('Data_Matrix (2018)'!$G$2:$G$67,'Data_Matrix (2018)'!D$2:D$67)</f>
        <v>4992154.9706247607</v>
      </c>
      <c r="E13" s="9">
        <f>_xlfn.COVARIANCE.P('Data_Matrix (2018)'!$G$2:$G$67,'Data_Matrix (2018)'!E$2:E$67)</f>
        <v>4068359.0653148964</v>
      </c>
      <c r="F13" s="9">
        <f>_xlfn.COVARIANCE.P('Data_Matrix (2018)'!$G$2:$G$67,'Data_Matrix (2018)'!F$2:F$67)</f>
        <v>2103609.7450998728</v>
      </c>
      <c r="G13" s="9">
        <f>_xlfn.COVARIANCE.P('Data_Matrix (2018)'!$G$2:$G$67,'Data_Matrix (2018)'!G$2:G$67)</f>
        <v>3975176.2221941845</v>
      </c>
      <c r="H13" s="9">
        <f>_xlfn.COVARIANCE.P('Data_Matrix (2018)'!$G$2:$G$67,'Data_Matrix (2018)'!H$2:H$67)</f>
        <v>1464933.0491715765</v>
      </c>
      <c r="I13" s="9">
        <f>_xlfn.COVARIANCE.P('Data_Matrix (2018)'!$G$2:$G$67,'Data_Matrix (2018)'!I$2:I$67)</f>
        <v>1475835.6524651684</v>
      </c>
      <c r="J13" s="9">
        <f>_xlfn.COVARIANCE.P('Data_Matrix (2018)'!$G$2:$G$67,'Data_Matrix (2018)'!J$2:J$67)</f>
        <v>793282.8516912479</v>
      </c>
      <c r="K13" s="9">
        <f>_xlfn.COVARIANCE.P('Data_Matrix (2018)'!$G$2:$G$67,'Data_Matrix (2018)'!K$2:K$67)</f>
        <v>891960.16972496361</v>
      </c>
      <c r="L13" s="9">
        <f>_xlfn.COVARIANCE.P('Data_Matrix (2018)'!$G$2:$G$67,'Data_Matrix (2018)'!L$2:L$67)</f>
        <v>702558.07749659626</v>
      </c>
      <c r="M13" s="9">
        <f>_xlfn.COVARIANCE.P('Data_Matrix (2018)'!$G$2:$G$67,'Data_Matrix (2018)'!M$2:M$67)</f>
        <v>585947.57207904523</v>
      </c>
      <c r="N13" s="9">
        <f>_xlfn.COVARIANCE.P('Data_Matrix (2018)'!$G$2:$G$67,'Data_Matrix (2018)'!N$2:N$67)</f>
        <v>803779.99142881541</v>
      </c>
      <c r="O13" s="9">
        <f>_xlfn.COVARIANCE.P('Data_Matrix (2018)'!$G$2:$G$67,'Data_Matrix (2018)'!O$2:O$67)</f>
        <v>337355.2966318687</v>
      </c>
      <c r="P13" s="9">
        <f>_xlfn.COVARIANCE.P('Data_Matrix (2018)'!$G$2:$G$67,'Data_Matrix (2018)'!P$2:P$67)</f>
        <v>80208.367377345334</v>
      </c>
      <c r="Q13" s="9">
        <f>_xlfn.COVARIANCE.P('Data_Matrix (2018)'!$G$2:$G$67,'Data_Matrix (2018)'!Q$2:Q$67)</f>
        <v>267708.21374792838</v>
      </c>
      <c r="R13" s="9">
        <f>_xlfn.COVARIANCE.P('Data_Matrix (2018)'!$G$2:$G$67,'Data_Matrix (2018)'!R$2:R$67)</f>
        <v>321800.61572618375</v>
      </c>
      <c r="S13" s="9">
        <f>_xlfn.COVARIANCE.P('Data_Matrix (2018)'!$G$2:$G$67,'Data_Matrix (2018)'!S$2:S$67)</f>
        <v>190299.70238579161</v>
      </c>
      <c r="T13" s="9">
        <f>_xlfn.COVARIANCE.P('Data_Matrix (2018)'!$G$2:$G$67,'Data_Matrix (2018)'!T$2:T$67)</f>
        <v>148445.95885255793</v>
      </c>
      <c r="U13" s="9">
        <f>_xlfn.COVARIANCE.P('Data_Matrix (2018)'!$G$2:$G$67,'Data_Matrix (2018)'!U$2:U$67)</f>
        <v>81536.671404843088</v>
      </c>
      <c r="V13" s="9">
        <f>_xlfn.COVARIANCE.P('Data_Matrix (2018)'!$G$2:$G$67,'Data_Matrix (2018)'!V$2:V$67)</f>
        <v>52469.898461708493</v>
      </c>
      <c r="W13" s="9"/>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row>
    <row r="14" spans="1:67" x14ac:dyDescent="0.2">
      <c r="B14" s="9">
        <f>_xlfn.COVARIANCE.P('Data_Matrix (2018)'!$H$2:$H$67,'Data_Matrix (2018)'!B$2:B$67)</f>
        <v>3133249.3179342803</v>
      </c>
      <c r="C14" s="9">
        <f>_xlfn.COVARIANCE.P('Data_Matrix (2018)'!$H$2:$H$67,'Data_Matrix (2018)'!C$2:C$67)</f>
        <v>2655971.3157581054</v>
      </c>
      <c r="D14" s="9">
        <f>_xlfn.COVARIANCE.P('Data_Matrix (2018)'!$H$2:$H$67,'Data_Matrix (2018)'!D$2:D$67)</f>
        <v>2244726.9575036708</v>
      </c>
      <c r="E14" s="9">
        <f>_xlfn.COVARIANCE.P('Data_Matrix (2018)'!$H$2:$H$67,'Data_Matrix (2018)'!E$2:E$67)</f>
        <v>1191408.6416521536</v>
      </c>
      <c r="F14" s="9">
        <f>_xlfn.COVARIANCE.P('Data_Matrix (2018)'!$H$2:$H$67,'Data_Matrix (2018)'!F$2:F$67)</f>
        <v>816498.91984271794</v>
      </c>
      <c r="G14" s="9">
        <f>_xlfn.COVARIANCE.P('Data_Matrix (2018)'!$H$2:$H$67,'Data_Matrix (2018)'!G$2:G$67)</f>
        <v>1464933.0491715765</v>
      </c>
      <c r="H14" s="9">
        <f>_xlfn.COVARIANCE.P('Data_Matrix (2018)'!$H$2:$H$67,'Data_Matrix (2018)'!H$2:H$67)</f>
        <v>1288573.033461347</v>
      </c>
      <c r="I14" s="9">
        <f>_xlfn.COVARIANCE.P('Data_Matrix (2018)'!$H$2:$H$67,'Data_Matrix (2018)'!I$2:I$67)</f>
        <v>553336.72737867886</v>
      </c>
      <c r="J14" s="9">
        <f>_xlfn.COVARIANCE.P('Data_Matrix (2018)'!$H$2:$H$67,'Data_Matrix (2018)'!J$2:J$67)</f>
        <v>249950.71464272399</v>
      </c>
      <c r="K14" s="9">
        <f>_xlfn.COVARIANCE.P('Data_Matrix (2018)'!$H$2:$H$67,'Data_Matrix (2018)'!K$2:K$67)</f>
        <v>354087.5271459588</v>
      </c>
      <c r="L14" s="9">
        <f>_xlfn.COVARIANCE.P('Data_Matrix (2018)'!$H$2:$H$67,'Data_Matrix (2018)'!L$2:L$67)</f>
        <v>303553.24587784678</v>
      </c>
      <c r="M14" s="9">
        <f>_xlfn.COVARIANCE.P('Data_Matrix (2018)'!$H$2:$H$67,'Data_Matrix (2018)'!M$2:M$67)</f>
        <v>260516.10624620036</v>
      </c>
      <c r="N14" s="9">
        <f>_xlfn.COVARIANCE.P('Data_Matrix (2018)'!$H$2:$H$67,'Data_Matrix (2018)'!N$2:N$67)</f>
        <v>283502.16508998553</v>
      </c>
      <c r="O14" s="9">
        <f>_xlfn.COVARIANCE.P('Data_Matrix (2018)'!$H$2:$H$67,'Data_Matrix (2018)'!O$2:O$67)</f>
        <v>138976.93327497932</v>
      </c>
      <c r="P14" s="9">
        <f>_xlfn.COVARIANCE.P('Data_Matrix (2018)'!$H$2:$H$67,'Data_Matrix (2018)'!P$2:P$67)</f>
        <v>26168.290525305136</v>
      </c>
      <c r="Q14" s="9">
        <f>_xlfn.COVARIANCE.P('Data_Matrix (2018)'!$H$2:$H$67,'Data_Matrix (2018)'!Q$2:Q$67)</f>
        <v>156320.18957454624</v>
      </c>
      <c r="R14" s="9">
        <f>_xlfn.COVARIANCE.P('Data_Matrix (2018)'!$H$2:$H$67,'Data_Matrix (2018)'!R$2:R$67)</f>
        <v>176534.21081476944</v>
      </c>
      <c r="S14" s="9">
        <f>_xlfn.COVARIANCE.P('Data_Matrix (2018)'!$H$2:$H$67,'Data_Matrix (2018)'!S$2:S$67)</f>
        <v>106711.47387899073</v>
      </c>
      <c r="T14" s="9">
        <f>_xlfn.COVARIANCE.P('Data_Matrix (2018)'!$H$2:$H$67,'Data_Matrix (2018)'!T$2:T$67)</f>
        <v>63140.490820312341</v>
      </c>
      <c r="U14" s="9">
        <f>_xlfn.COVARIANCE.P('Data_Matrix (2018)'!$H$2:$H$67,'Data_Matrix (2018)'!U$2:U$67)</f>
        <v>32174.095406420514</v>
      </c>
      <c r="V14" s="9">
        <f>_xlfn.COVARIANCE.P('Data_Matrix (2018)'!$H$2:$H$67,'Data_Matrix (2018)'!V$2:V$67)</f>
        <v>5534.4997970276099</v>
      </c>
      <c r="W14" s="9"/>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row>
    <row r="15" spans="1:67" x14ac:dyDescent="0.2">
      <c r="B15" s="9">
        <f>_xlfn.COVARIANCE.P('Data_Matrix (2018)'!$I$2:$I$67,'Data_Matrix (2018)'!B$2:B$67)</f>
        <v>2069242.4839668337</v>
      </c>
      <c r="C15" s="9">
        <f>_xlfn.COVARIANCE.P('Data_Matrix (2018)'!$I$2:$I$67,'Data_Matrix (2018)'!C$2:C$67)</f>
        <v>2711473.3951154342</v>
      </c>
      <c r="D15" s="9">
        <f>_xlfn.COVARIANCE.P('Data_Matrix (2018)'!$I$2:$I$67,'Data_Matrix (2018)'!D$2:D$67)</f>
        <v>2119855.8855397282</v>
      </c>
      <c r="E15" s="9">
        <f>_xlfn.COVARIANCE.P('Data_Matrix (2018)'!$I$2:$I$67,'Data_Matrix (2018)'!E$2:E$67)</f>
        <v>1466069.6580471792</v>
      </c>
      <c r="F15" s="9">
        <f>_xlfn.COVARIANCE.P('Data_Matrix (2018)'!$I$2:$I$67,'Data_Matrix (2018)'!F$2:F$67)</f>
        <v>747989.05846113327</v>
      </c>
      <c r="G15" s="9">
        <f>_xlfn.COVARIANCE.P('Data_Matrix (2018)'!$I$2:$I$67,'Data_Matrix (2018)'!G$2:G$67)</f>
        <v>1475835.6524651684</v>
      </c>
      <c r="H15" s="9">
        <f>_xlfn.COVARIANCE.P('Data_Matrix (2018)'!$I$2:$I$67,'Data_Matrix (2018)'!H$2:H$67)</f>
        <v>553336.72737867886</v>
      </c>
      <c r="I15" s="9">
        <f>_xlfn.COVARIANCE.P('Data_Matrix (2018)'!$I$2:$I$67,'Data_Matrix (2018)'!I$2:I$67)</f>
        <v>793082.2516974695</v>
      </c>
      <c r="J15" s="9">
        <f>_xlfn.COVARIANCE.P('Data_Matrix (2018)'!$I$2:$I$67,'Data_Matrix (2018)'!J$2:J$67)</f>
        <v>299100.08911162167</v>
      </c>
      <c r="K15" s="9">
        <f>_xlfn.COVARIANCE.P('Data_Matrix (2018)'!$I$2:$I$67,'Data_Matrix (2018)'!K$2:K$67)</f>
        <v>324977.7559770401</v>
      </c>
      <c r="L15" s="9">
        <f>_xlfn.COVARIANCE.P('Data_Matrix (2018)'!$I$2:$I$67,'Data_Matrix (2018)'!L$2:L$67)</f>
        <v>248082.85396304753</v>
      </c>
      <c r="M15" s="9">
        <f>_xlfn.COVARIANCE.P('Data_Matrix (2018)'!$I$2:$I$67,'Data_Matrix (2018)'!M$2:M$67)</f>
        <v>229164.66832932175</v>
      </c>
      <c r="N15" s="9">
        <f>_xlfn.COVARIANCE.P('Data_Matrix (2018)'!$I$2:$I$67,'Data_Matrix (2018)'!N$2:N$67)</f>
        <v>286557.73651055788</v>
      </c>
      <c r="O15" s="9">
        <f>_xlfn.COVARIANCE.P('Data_Matrix (2018)'!$I$2:$I$67,'Data_Matrix (2018)'!O$2:O$67)</f>
        <v>115413.07889539204</v>
      </c>
      <c r="P15" s="9">
        <f>_xlfn.COVARIANCE.P('Data_Matrix (2018)'!$I$2:$I$67,'Data_Matrix (2018)'!P$2:P$67)</f>
        <v>34476.345187287036</v>
      </c>
      <c r="Q15" s="9">
        <f>_xlfn.COVARIANCE.P('Data_Matrix (2018)'!$I$2:$I$67,'Data_Matrix (2018)'!Q$2:Q$67)</f>
        <v>96951.308006147883</v>
      </c>
      <c r="R15" s="9">
        <f>_xlfn.COVARIANCE.P('Data_Matrix (2018)'!$I$2:$I$67,'Data_Matrix (2018)'!R$2:R$67)</f>
        <v>100519.89550870845</v>
      </c>
      <c r="S15" s="9">
        <f>_xlfn.COVARIANCE.P('Data_Matrix (2018)'!$I$2:$I$67,'Data_Matrix (2018)'!S$2:S$67)</f>
        <v>75038.26059120179</v>
      </c>
      <c r="T15" s="9">
        <f>_xlfn.COVARIANCE.P('Data_Matrix (2018)'!$I$2:$I$67,'Data_Matrix (2018)'!T$2:T$67)</f>
        <v>55564.884671480511</v>
      </c>
      <c r="U15" s="9">
        <f>_xlfn.COVARIANCE.P('Data_Matrix (2018)'!$I$2:$I$67,'Data_Matrix (2018)'!U$2:U$67)</f>
        <v>29643.010187563024</v>
      </c>
      <c r="V15" s="9">
        <f>_xlfn.COVARIANCE.P('Data_Matrix (2018)'!$I$2:$I$67,'Data_Matrix (2018)'!V$2:V$67)</f>
        <v>16553.392064502314</v>
      </c>
      <c r="W15" s="9"/>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row>
    <row r="16" spans="1:67" x14ac:dyDescent="0.2">
      <c r="B16" s="9">
        <f>_xlfn.COVARIANCE.P('Data_Matrix (2018)'!$J$2:$J$67,'Data_Matrix (2018)'!B$2:B$67)</f>
        <v>780262.47677447658</v>
      </c>
      <c r="C16" s="9">
        <f>_xlfn.COVARIANCE.P('Data_Matrix (2018)'!$J$2:$J$67,'Data_Matrix (2018)'!C$2:C$67)</f>
        <v>1321298.8650707491</v>
      </c>
      <c r="D16" s="9">
        <f>_xlfn.COVARIANCE.P('Data_Matrix (2018)'!$J$2:$J$67,'Data_Matrix (2018)'!D$2:D$67)</f>
        <v>1021763.3057596135</v>
      </c>
      <c r="E16" s="9">
        <f>_xlfn.COVARIANCE.P('Data_Matrix (2018)'!$J$2:$J$67,'Data_Matrix (2018)'!E$2:E$67)</f>
        <v>789235.35609863349</v>
      </c>
      <c r="F16" s="9">
        <f>_xlfn.COVARIANCE.P('Data_Matrix (2018)'!$J$2:$J$67,'Data_Matrix (2018)'!F$2:F$67)</f>
        <v>419996.1618596171</v>
      </c>
      <c r="G16" s="9">
        <f>_xlfn.COVARIANCE.P('Data_Matrix (2018)'!$J$2:$J$67,'Data_Matrix (2018)'!G$2:G$67)</f>
        <v>793282.8516912479</v>
      </c>
      <c r="H16" s="9">
        <f>_xlfn.COVARIANCE.P('Data_Matrix (2018)'!$J$2:$J$67,'Data_Matrix (2018)'!H$2:H$67)</f>
        <v>249950.71464272399</v>
      </c>
      <c r="I16" s="9">
        <f>_xlfn.COVARIANCE.P('Data_Matrix (2018)'!$J$2:$J$67,'Data_Matrix (2018)'!I$2:I$67)</f>
        <v>299100.08911162167</v>
      </c>
      <c r="J16" s="9">
        <f>_xlfn.COVARIANCE.P('Data_Matrix (2018)'!$J$2:$J$67,'Data_Matrix (2018)'!J$2:J$67)</f>
        <v>313950.83568873233</v>
      </c>
      <c r="K16" s="9">
        <f>_xlfn.COVARIANCE.P('Data_Matrix (2018)'!$J$2:$J$67,'Data_Matrix (2018)'!K$2:K$67)</f>
        <v>179642.44196933028</v>
      </c>
      <c r="L16" s="9">
        <f>_xlfn.COVARIANCE.P('Data_Matrix (2018)'!$J$2:$J$67,'Data_Matrix (2018)'!L$2:L$67)</f>
        <v>132380.68535459554</v>
      </c>
      <c r="M16" s="9">
        <f>_xlfn.COVARIANCE.P('Data_Matrix (2018)'!$J$2:$J$67,'Data_Matrix (2018)'!M$2:M$67)</f>
        <v>99537.452131989849</v>
      </c>
      <c r="N16" s="9">
        <f>_xlfn.COVARIANCE.P('Data_Matrix (2018)'!$J$2:$J$67,'Data_Matrix (2018)'!N$2:N$67)</f>
        <v>165307.86663509207</v>
      </c>
      <c r="O16" s="9">
        <f>_xlfn.COVARIANCE.P('Data_Matrix (2018)'!$J$2:$J$67,'Data_Matrix (2018)'!O$2:O$67)</f>
        <v>60450.933405206088</v>
      </c>
      <c r="P16" s="9">
        <f>_xlfn.COVARIANCE.P('Data_Matrix (2018)'!$J$2:$J$67,'Data_Matrix (2018)'!P$2:P$67)</f>
        <v>22959.46566564597</v>
      </c>
      <c r="Q16" s="9">
        <f>_xlfn.COVARIANCE.P('Data_Matrix (2018)'!$J$2:$J$67,'Data_Matrix (2018)'!Q$2:Q$67)</f>
        <v>45662.381579557637</v>
      </c>
      <c r="R16" s="9">
        <f>_xlfn.COVARIANCE.P('Data_Matrix (2018)'!$J$2:$J$67,'Data_Matrix (2018)'!R$2:R$67)</f>
        <v>46851.309155526251</v>
      </c>
      <c r="S16" s="9">
        <f>_xlfn.COVARIANCE.P('Data_Matrix (2018)'!$J$2:$J$67,'Data_Matrix (2018)'!S$2:S$67)</f>
        <v>35576.132416275272</v>
      </c>
      <c r="T16" s="9">
        <f>_xlfn.COVARIANCE.P('Data_Matrix (2018)'!$J$2:$J$67,'Data_Matrix (2018)'!T$2:T$67)</f>
        <v>26327.628804047115</v>
      </c>
      <c r="U16" s="9">
        <f>_xlfn.COVARIANCE.P('Data_Matrix (2018)'!$J$2:$J$67,'Data_Matrix (2018)'!U$2:U$67)</f>
        <v>13662.303983374528</v>
      </c>
      <c r="V16" s="9">
        <f>_xlfn.COVARIANCE.P('Data_Matrix (2018)'!$J$2:$J$67,'Data_Matrix (2018)'!V$2:V$67)</f>
        <v>14324.424716373353</v>
      </c>
      <c r="W16" s="9"/>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row>
    <row r="17" spans="2:67" x14ac:dyDescent="0.2">
      <c r="B17" s="9">
        <f>_xlfn.COVARIANCE.P('Data_Matrix (2018)'!$K$2:$K$67,'Data_Matrix (2018)'!B$2:B$67)</f>
        <v>1728708.1267136764</v>
      </c>
      <c r="C17" s="9">
        <f>_xlfn.COVARIANCE.P('Data_Matrix (2018)'!$K$2:$K$67,'Data_Matrix (2018)'!C$2:C$67)</f>
        <v>1759242.3450157149</v>
      </c>
      <c r="D17" s="9">
        <f>_xlfn.COVARIANCE.P('Data_Matrix (2018)'!$K$2:$K$67,'Data_Matrix (2018)'!D$2:D$67)</f>
        <v>1133598.7577341602</v>
      </c>
      <c r="E17" s="9">
        <f>_xlfn.COVARIANCE.P('Data_Matrix (2018)'!$K$2:$K$67,'Data_Matrix (2018)'!E$2:E$67)</f>
        <v>1013570.5457337948</v>
      </c>
      <c r="F17" s="9">
        <f>_xlfn.COVARIANCE.P('Data_Matrix (2018)'!$K$2:$K$67,'Data_Matrix (2018)'!F$2:F$67)</f>
        <v>618144.49018097331</v>
      </c>
      <c r="G17" s="9">
        <f>_xlfn.COVARIANCE.P('Data_Matrix (2018)'!$K$2:$K$67,'Data_Matrix (2018)'!G$2:G$67)</f>
        <v>891960.16972496361</v>
      </c>
      <c r="H17" s="9">
        <f>_xlfn.COVARIANCE.P('Data_Matrix (2018)'!$K$2:$K$67,'Data_Matrix (2018)'!H$2:H$67)</f>
        <v>354087.5271459588</v>
      </c>
      <c r="I17" s="9">
        <f>_xlfn.COVARIANCE.P('Data_Matrix (2018)'!$K$2:$K$67,'Data_Matrix (2018)'!I$2:I$67)</f>
        <v>324977.7559770401</v>
      </c>
      <c r="J17" s="9">
        <f>_xlfn.COVARIANCE.P('Data_Matrix (2018)'!$K$2:$K$67,'Data_Matrix (2018)'!J$2:J$67)</f>
        <v>179642.44196933028</v>
      </c>
      <c r="K17" s="9">
        <f>_xlfn.COVARIANCE.P('Data_Matrix (2018)'!$K$2:$K$67,'Data_Matrix (2018)'!K$2:K$67)</f>
        <v>283311.60600310267</v>
      </c>
      <c r="L17" s="9">
        <f>_xlfn.COVARIANCE.P('Data_Matrix (2018)'!$K$2:$K$67,'Data_Matrix (2018)'!L$2:L$67)</f>
        <v>180312.61720867376</v>
      </c>
      <c r="M17" s="9">
        <f>_xlfn.COVARIANCE.P('Data_Matrix (2018)'!$K$2:$K$67,'Data_Matrix (2018)'!M$2:M$67)</f>
        <v>127539.7519146374</v>
      </c>
      <c r="N17" s="9">
        <f>_xlfn.COVARIANCE.P('Data_Matrix (2018)'!$K$2:$K$67,'Data_Matrix (2018)'!N$2:N$67)</f>
        <v>180451.6567723433</v>
      </c>
      <c r="O17" s="9">
        <f>_xlfn.COVARIANCE.P('Data_Matrix (2018)'!$K$2:$K$67,'Data_Matrix (2018)'!O$2:O$67)</f>
        <v>87285.92634758084</v>
      </c>
      <c r="P17" s="9">
        <f>_xlfn.COVARIANCE.P('Data_Matrix (2018)'!$K$2:$K$67,'Data_Matrix (2018)'!P$2:P$67)</f>
        <v>31145.45202787119</v>
      </c>
      <c r="Q17" s="9">
        <f>_xlfn.COVARIANCE.P('Data_Matrix (2018)'!$K$2:$K$67,'Data_Matrix (2018)'!Q$2:Q$67)</f>
        <v>69627.823153321922</v>
      </c>
      <c r="R17" s="9">
        <f>_xlfn.COVARIANCE.P('Data_Matrix (2018)'!$K$2:$K$67,'Data_Matrix (2018)'!R$2:R$67)</f>
        <v>79315.621652131013</v>
      </c>
      <c r="S17" s="9">
        <f>_xlfn.COVARIANCE.P('Data_Matrix (2018)'!$K$2:$K$67,'Data_Matrix (2018)'!S$2:S$67)</f>
        <v>42559.380986484357</v>
      </c>
      <c r="T17" s="9">
        <f>_xlfn.COVARIANCE.P('Data_Matrix (2018)'!$K$2:$K$67,'Data_Matrix (2018)'!T$2:T$67)</f>
        <v>34755.47648919186</v>
      </c>
      <c r="U17" s="9">
        <f>_xlfn.COVARIANCE.P('Data_Matrix (2018)'!$K$2:$K$67,'Data_Matrix (2018)'!U$2:U$67)</f>
        <v>21549.722378158312</v>
      </c>
      <c r="V17" s="9">
        <f>_xlfn.COVARIANCE.P('Data_Matrix (2018)'!$K$2:$K$67,'Data_Matrix (2018)'!V$2:V$67)</f>
        <v>18843.049657184369</v>
      </c>
      <c r="W17" s="9"/>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row>
    <row r="18" spans="2:67" x14ac:dyDescent="0.2">
      <c r="B18" s="9">
        <f>_xlfn.COVARIANCE.P('Data_Matrix (2018)'!$L$2:$L$67,'Data_Matrix (2018)'!B$2:B$67)</f>
        <v>1261882.6151699016</v>
      </c>
      <c r="C18" s="9">
        <f>_xlfn.COVARIANCE.P('Data_Matrix (2018)'!$L$2:$L$67,'Data_Matrix (2018)'!C$2:C$67)</f>
        <v>1428766.7510359818</v>
      </c>
      <c r="D18" s="9">
        <f>_xlfn.COVARIANCE.P('Data_Matrix (2018)'!$L$2:$L$67,'Data_Matrix (2018)'!D$2:D$67)</f>
        <v>916024.01599592785</v>
      </c>
      <c r="E18" s="9">
        <f>_xlfn.COVARIANCE.P('Data_Matrix (2018)'!$L$2:$L$67,'Data_Matrix (2018)'!E$2:E$67)</f>
        <v>768146.51953764446</v>
      </c>
      <c r="F18" s="9">
        <f>_xlfn.COVARIANCE.P('Data_Matrix (2018)'!$L$2:$L$67,'Data_Matrix (2018)'!F$2:F$67)</f>
        <v>465739.38287796674</v>
      </c>
      <c r="G18" s="9">
        <f>_xlfn.COVARIANCE.P('Data_Matrix (2018)'!$L$2:$L$67,'Data_Matrix (2018)'!G$2:G$67)</f>
        <v>702558.07749659626</v>
      </c>
      <c r="H18" s="9">
        <f>_xlfn.COVARIANCE.P('Data_Matrix (2018)'!$L$2:$L$67,'Data_Matrix (2018)'!H$2:H$67)</f>
        <v>303553.24587784678</v>
      </c>
      <c r="I18" s="9">
        <f>_xlfn.COVARIANCE.P('Data_Matrix (2018)'!$L$2:$L$67,'Data_Matrix (2018)'!I$2:I$67)</f>
        <v>248082.85396304753</v>
      </c>
      <c r="J18" s="9">
        <f>_xlfn.COVARIANCE.P('Data_Matrix (2018)'!$L$2:$L$67,'Data_Matrix (2018)'!J$2:J$67)</f>
        <v>132380.68535459554</v>
      </c>
      <c r="K18" s="9">
        <f>_xlfn.COVARIANCE.P('Data_Matrix (2018)'!$L$2:$L$67,'Data_Matrix (2018)'!K$2:K$67)</f>
        <v>180312.61720867376</v>
      </c>
      <c r="L18" s="9">
        <f>_xlfn.COVARIANCE.P('Data_Matrix (2018)'!$L$2:$L$67,'Data_Matrix (2018)'!L$2:L$67)</f>
        <v>169346.32190859041</v>
      </c>
      <c r="M18" s="9">
        <f>_xlfn.COVARIANCE.P('Data_Matrix (2018)'!$L$2:$L$67,'Data_Matrix (2018)'!M$2:M$67)</f>
        <v>112987.45544691359</v>
      </c>
      <c r="N18" s="9">
        <f>_xlfn.COVARIANCE.P('Data_Matrix (2018)'!$L$2:$L$67,'Data_Matrix (2018)'!N$2:N$67)</f>
        <v>137486.45391366413</v>
      </c>
      <c r="O18" s="9">
        <f>_xlfn.COVARIANCE.P('Data_Matrix (2018)'!$L$2:$L$67,'Data_Matrix (2018)'!O$2:O$67)</f>
        <v>71806.613918110859</v>
      </c>
      <c r="P18" s="9">
        <f>_xlfn.COVARIANCE.P('Data_Matrix (2018)'!$L$2:$L$67,'Data_Matrix (2018)'!P$2:P$67)</f>
        <v>20884.204592896334</v>
      </c>
      <c r="Q18" s="9">
        <f>_xlfn.COVARIANCE.P('Data_Matrix (2018)'!$L$2:$L$67,'Data_Matrix (2018)'!Q$2:Q$67)</f>
        <v>63852.367442509953</v>
      </c>
      <c r="R18" s="9">
        <f>_xlfn.COVARIANCE.P('Data_Matrix (2018)'!$L$2:$L$67,'Data_Matrix (2018)'!R$2:R$67)</f>
        <v>82033.354811475176</v>
      </c>
      <c r="S18" s="9">
        <f>_xlfn.COVARIANCE.P('Data_Matrix (2018)'!$L$2:$L$67,'Data_Matrix (2018)'!S$2:S$67)</f>
        <v>41436.843941629166</v>
      </c>
      <c r="T18" s="9">
        <f>_xlfn.COVARIANCE.P('Data_Matrix (2018)'!$L$2:$L$67,'Data_Matrix (2018)'!T$2:T$67)</f>
        <v>29113.823376977562</v>
      </c>
      <c r="U18" s="9">
        <f>_xlfn.COVARIANCE.P('Data_Matrix (2018)'!$L$2:$L$67,'Data_Matrix (2018)'!U$2:U$67)</f>
        <v>19896.303287859584</v>
      </c>
      <c r="V18" s="9">
        <f>_xlfn.COVARIANCE.P('Data_Matrix (2018)'!$L$2:$L$67,'Data_Matrix (2018)'!V$2:V$67)</f>
        <v>13974.231094896053</v>
      </c>
      <c r="W18" s="9"/>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row>
    <row r="19" spans="2:67" x14ac:dyDescent="0.2">
      <c r="B19" s="9">
        <f>_xlfn.COVARIANCE.P('Data_Matrix (2018)'!$M$2:$M$67,'Data_Matrix (2018)'!B$2:B$67)</f>
        <v>673109.16940976935</v>
      </c>
      <c r="C19" s="9">
        <f>_xlfn.COVARIANCE.P('Data_Matrix (2018)'!$M$2:$M$67,'Data_Matrix (2018)'!C$2:C$67)</f>
        <v>1144664.2314040826</v>
      </c>
      <c r="D19" s="9">
        <f>_xlfn.COVARIANCE.P('Data_Matrix (2018)'!$M$2:$M$67,'Data_Matrix (2018)'!D$2:D$67)</f>
        <v>727759.78193746135</v>
      </c>
      <c r="E19" s="9">
        <f>_xlfn.COVARIANCE.P('Data_Matrix (2018)'!$M$2:$M$67,'Data_Matrix (2018)'!E$2:E$67)</f>
        <v>520545.23788171454</v>
      </c>
      <c r="F19" s="9">
        <f>_xlfn.COVARIANCE.P('Data_Matrix (2018)'!$M$2:$M$67,'Data_Matrix (2018)'!F$2:F$67)</f>
        <v>316838.56145710283</v>
      </c>
      <c r="G19" s="9">
        <f>_xlfn.COVARIANCE.P('Data_Matrix (2018)'!$M$2:$M$67,'Data_Matrix (2018)'!G$2:G$67)</f>
        <v>585947.57207904523</v>
      </c>
      <c r="H19" s="9">
        <f>_xlfn.COVARIANCE.P('Data_Matrix (2018)'!$M$2:$M$67,'Data_Matrix (2018)'!H$2:H$67)</f>
        <v>260516.10624620036</v>
      </c>
      <c r="I19" s="9">
        <f>_xlfn.COVARIANCE.P('Data_Matrix (2018)'!$M$2:$M$67,'Data_Matrix (2018)'!I$2:I$67)</f>
        <v>229164.66832932175</v>
      </c>
      <c r="J19" s="9">
        <f>_xlfn.COVARIANCE.P('Data_Matrix (2018)'!$M$2:$M$67,'Data_Matrix (2018)'!J$2:J$67)</f>
        <v>99537.452131989849</v>
      </c>
      <c r="K19" s="9">
        <f>_xlfn.COVARIANCE.P('Data_Matrix (2018)'!$M$2:$M$67,'Data_Matrix (2018)'!K$2:K$67)</f>
        <v>127539.7519146374</v>
      </c>
      <c r="L19" s="9">
        <f>_xlfn.COVARIANCE.P('Data_Matrix (2018)'!$M$2:$M$67,'Data_Matrix (2018)'!L$2:L$67)</f>
        <v>112987.45544691359</v>
      </c>
      <c r="M19" s="9">
        <f>_xlfn.COVARIANCE.P('Data_Matrix (2018)'!$M$2:$M$67,'Data_Matrix (2018)'!M$2:M$67)</f>
        <v>163032.30499535147</v>
      </c>
      <c r="N19" s="9">
        <f>_xlfn.COVARIANCE.P('Data_Matrix (2018)'!$M$2:$M$67,'Data_Matrix (2018)'!N$2:N$67)</f>
        <v>109983.41495848905</v>
      </c>
      <c r="O19" s="9">
        <f>_xlfn.COVARIANCE.P('Data_Matrix (2018)'!$M$2:$M$67,'Data_Matrix (2018)'!O$2:O$67)</f>
        <v>54628.921403490516</v>
      </c>
      <c r="P19" s="9">
        <f>_xlfn.COVARIANCE.P('Data_Matrix (2018)'!$M$2:$M$67,'Data_Matrix (2018)'!P$2:P$67)</f>
        <v>6951.0473019134824</v>
      </c>
      <c r="Q19" s="9">
        <f>_xlfn.COVARIANCE.P('Data_Matrix (2018)'!$M$2:$M$67,'Data_Matrix (2018)'!Q$2:Q$67)</f>
        <v>54751.141460502462</v>
      </c>
      <c r="R19" s="9">
        <f>_xlfn.COVARIANCE.P('Data_Matrix (2018)'!$M$2:$M$67,'Data_Matrix (2018)'!R$2:R$67)</f>
        <v>63028.476672979945</v>
      </c>
      <c r="S19" s="9">
        <f>_xlfn.COVARIANCE.P('Data_Matrix (2018)'!$M$2:$M$67,'Data_Matrix (2018)'!S$2:S$67)</f>
        <v>43825.800605684184</v>
      </c>
      <c r="T19" s="9">
        <f>_xlfn.COVARIANCE.P('Data_Matrix (2018)'!$M$2:$M$67,'Data_Matrix (2018)'!T$2:T$67)</f>
        <v>21191.702953026241</v>
      </c>
      <c r="U19" s="9">
        <f>_xlfn.COVARIANCE.P('Data_Matrix (2018)'!$M$2:$M$67,'Data_Matrix (2018)'!U$2:U$67)</f>
        <v>15346.617321764546</v>
      </c>
      <c r="V19" s="9">
        <f>_xlfn.COVARIANCE.P('Data_Matrix (2018)'!$M$2:$M$67,'Data_Matrix (2018)'!V$2:V$67)</f>
        <v>7498.4521855474604</v>
      </c>
      <c r="W19" s="9"/>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row>
    <row r="20" spans="2:67" x14ac:dyDescent="0.2">
      <c r="B20" s="9">
        <f>_xlfn.COVARIANCE.P('Data_Matrix (2018)'!$N$2:$N$67,'Data_Matrix (2018)'!B$2:B$67)</f>
        <v>1097799.7026769114</v>
      </c>
      <c r="C20" s="9">
        <f>_xlfn.COVARIANCE.P('Data_Matrix (2018)'!$N$2:$N$67,'Data_Matrix (2018)'!C$2:C$67)</f>
        <v>1492728.6049940041</v>
      </c>
      <c r="D20" s="9">
        <f>_xlfn.COVARIANCE.P('Data_Matrix (2018)'!$N$2:$N$67,'Data_Matrix (2018)'!D$2:D$67)</f>
        <v>1000739.1999768356</v>
      </c>
      <c r="E20" s="9">
        <f>_xlfn.COVARIANCE.P('Data_Matrix (2018)'!$N$2:$N$67,'Data_Matrix (2018)'!E$2:E$67)</f>
        <v>820948.07823821541</v>
      </c>
      <c r="F20" s="9">
        <f>_xlfn.COVARIANCE.P('Data_Matrix (2018)'!$N$2:$N$67,'Data_Matrix (2018)'!F$2:F$67)</f>
        <v>417495.00166043127</v>
      </c>
      <c r="G20" s="9">
        <f>_xlfn.COVARIANCE.P('Data_Matrix (2018)'!$N$2:$N$67,'Data_Matrix (2018)'!G$2:G$67)</f>
        <v>803779.99142881541</v>
      </c>
      <c r="H20" s="9">
        <f>_xlfn.COVARIANCE.P('Data_Matrix (2018)'!$N$2:$N$67,'Data_Matrix (2018)'!H$2:H$67)</f>
        <v>283502.16508998553</v>
      </c>
      <c r="I20" s="9">
        <f>_xlfn.COVARIANCE.P('Data_Matrix (2018)'!$N$2:$N$67,'Data_Matrix (2018)'!I$2:I$67)</f>
        <v>286557.73651055788</v>
      </c>
      <c r="J20" s="9">
        <f>_xlfn.COVARIANCE.P('Data_Matrix (2018)'!$N$2:$N$67,'Data_Matrix (2018)'!J$2:J$67)</f>
        <v>165307.86663509207</v>
      </c>
      <c r="K20" s="9">
        <f>_xlfn.COVARIANCE.P('Data_Matrix (2018)'!$N$2:$N$67,'Data_Matrix (2018)'!K$2:K$67)</f>
        <v>180451.6567723433</v>
      </c>
      <c r="L20" s="9">
        <f>_xlfn.COVARIANCE.P('Data_Matrix (2018)'!$N$2:$N$67,'Data_Matrix (2018)'!L$2:L$67)</f>
        <v>137486.45391366413</v>
      </c>
      <c r="M20" s="9">
        <f>_xlfn.COVARIANCE.P('Data_Matrix (2018)'!$N$2:$N$67,'Data_Matrix (2018)'!M$2:M$67)</f>
        <v>109983.41495848905</v>
      </c>
      <c r="N20" s="9">
        <f>_xlfn.COVARIANCE.P('Data_Matrix (2018)'!$N$2:$N$67,'Data_Matrix (2018)'!N$2:N$67)</f>
        <v>173005.32268774134</v>
      </c>
      <c r="O20" s="9">
        <f>_xlfn.COVARIANCE.P('Data_Matrix (2018)'!$N$2:$N$67,'Data_Matrix (2018)'!O$2:O$67)</f>
        <v>68080.724526670921</v>
      </c>
      <c r="P20" s="9">
        <f>_xlfn.COVARIANCE.P('Data_Matrix (2018)'!$N$2:$N$67,'Data_Matrix (2018)'!P$2:P$67)</f>
        <v>14654.573761709176</v>
      </c>
      <c r="Q20" s="9">
        <f>_xlfn.COVARIANCE.P('Data_Matrix (2018)'!$N$2:$N$67,'Data_Matrix (2018)'!Q$2:Q$67)</f>
        <v>50588.963694290542</v>
      </c>
      <c r="R20" s="9">
        <f>_xlfn.COVARIANCE.P('Data_Matrix (2018)'!$N$2:$N$67,'Data_Matrix (2018)'!R$2:R$67)</f>
        <v>62908.244009546463</v>
      </c>
      <c r="S20" s="9">
        <f>_xlfn.COVARIANCE.P('Data_Matrix (2018)'!$N$2:$N$67,'Data_Matrix (2018)'!S$2:S$67)</f>
        <v>34913.987319735534</v>
      </c>
      <c r="T20" s="9">
        <f>_xlfn.COVARIANCE.P('Data_Matrix (2018)'!$N$2:$N$67,'Data_Matrix (2018)'!T$2:T$67)</f>
        <v>29671.036038726419</v>
      </c>
      <c r="U20" s="9">
        <f>_xlfn.COVARIANCE.P('Data_Matrix (2018)'!$N$2:$N$67,'Data_Matrix (2018)'!U$2:U$67)</f>
        <v>15529.789095339826</v>
      </c>
      <c r="V20" s="9">
        <f>_xlfn.COVARIANCE.P('Data_Matrix (2018)'!$N$2:$N$67,'Data_Matrix (2018)'!V$2:V$67)</f>
        <v>9821.5597689776332</v>
      </c>
      <c r="W20" s="9"/>
      <c r="X20" s="9"/>
      <c r="Y20" s="9"/>
      <c r="Z20" s="9"/>
      <c r="AA20" s="9"/>
      <c r="AB20" s="9"/>
      <c r="AC20" s="9"/>
      <c r="AD20" s="9"/>
      <c r="AE20" s="9"/>
      <c r="AF20" s="9"/>
      <c r="AG20" s="9"/>
      <c r="AH20" s="9"/>
      <c r="AI20" s="9"/>
      <c r="AJ20" s="9"/>
      <c r="AK20" s="9"/>
      <c r="AL20" s="9"/>
      <c r="AM20" s="9"/>
      <c r="AN20" s="9"/>
      <c r="AO20" s="9"/>
      <c r="AP20" s="9"/>
      <c r="AQ20" s="9"/>
      <c r="AR20" s="9"/>
      <c r="AS20" s="9"/>
      <c r="AT20" s="9"/>
      <c r="AU20" s="9"/>
      <c r="AV20" s="9"/>
      <c r="AW20" s="9"/>
      <c r="AX20" s="9"/>
      <c r="AY20" s="9"/>
      <c r="AZ20" s="9"/>
      <c r="BA20" s="9"/>
      <c r="BB20" s="9"/>
      <c r="BC20" s="9"/>
      <c r="BD20" s="9"/>
      <c r="BE20" s="9"/>
      <c r="BF20" s="9"/>
      <c r="BG20" s="9"/>
      <c r="BH20" s="9"/>
      <c r="BI20" s="9"/>
      <c r="BJ20" s="9"/>
      <c r="BK20" s="9"/>
      <c r="BL20" s="9"/>
      <c r="BM20" s="9"/>
      <c r="BN20" s="9"/>
      <c r="BO20" s="9"/>
    </row>
    <row r="21" spans="2:67" x14ac:dyDescent="0.2">
      <c r="B21" s="9">
        <f>_xlfn.COVARIANCE.P('Data_Matrix (2018)'!$O$2:$O$67,'Data_Matrix (2018)'!B$2:B$67)</f>
        <v>566150.8785643701</v>
      </c>
      <c r="C21" s="9">
        <f>_xlfn.COVARIANCE.P('Data_Matrix (2018)'!$O$2:$O$67,'Data_Matrix (2018)'!C$2:C$67)</f>
        <v>677481.6874887665</v>
      </c>
      <c r="D21" s="9">
        <f>_xlfn.COVARIANCE.P('Data_Matrix (2018)'!$O$2:$O$67,'Data_Matrix (2018)'!D$2:D$67)</f>
        <v>426186.43185589387</v>
      </c>
      <c r="E21" s="9">
        <f>_xlfn.COVARIANCE.P('Data_Matrix (2018)'!$O$2:$O$67,'Data_Matrix (2018)'!E$2:E$67)</f>
        <v>360833.94126402756</v>
      </c>
      <c r="F21" s="9">
        <f>_xlfn.COVARIANCE.P('Data_Matrix (2018)'!$O$2:$O$67,'Data_Matrix (2018)'!F$2:F$67)</f>
        <v>213089.1537371813</v>
      </c>
      <c r="G21" s="9">
        <f>_xlfn.COVARIANCE.P('Data_Matrix (2018)'!$O$2:$O$67,'Data_Matrix (2018)'!G$2:G$67)</f>
        <v>337355.2966318687</v>
      </c>
      <c r="H21" s="9">
        <f>_xlfn.COVARIANCE.P('Data_Matrix (2018)'!$O$2:$O$67,'Data_Matrix (2018)'!H$2:H$67)</f>
        <v>138976.93327497932</v>
      </c>
      <c r="I21" s="9">
        <f>_xlfn.COVARIANCE.P('Data_Matrix (2018)'!$O$2:$O$67,'Data_Matrix (2018)'!I$2:I$67)</f>
        <v>115413.07889539204</v>
      </c>
      <c r="J21" s="9">
        <f>_xlfn.COVARIANCE.P('Data_Matrix (2018)'!$O$2:$O$67,'Data_Matrix (2018)'!J$2:J$67)</f>
        <v>60450.933405206088</v>
      </c>
      <c r="K21" s="9">
        <f>_xlfn.COVARIANCE.P('Data_Matrix (2018)'!$O$2:$O$67,'Data_Matrix (2018)'!K$2:K$67)</f>
        <v>87285.92634758084</v>
      </c>
      <c r="L21" s="9">
        <f>_xlfn.COVARIANCE.P('Data_Matrix (2018)'!$O$2:$O$67,'Data_Matrix (2018)'!L$2:L$67)</f>
        <v>71806.613918110859</v>
      </c>
      <c r="M21" s="9">
        <f>_xlfn.COVARIANCE.P('Data_Matrix (2018)'!$O$2:$O$67,'Data_Matrix (2018)'!M$2:M$67)</f>
        <v>54628.921403490516</v>
      </c>
      <c r="N21" s="9">
        <f>_xlfn.COVARIANCE.P('Data_Matrix (2018)'!$O$2:$O$67,'Data_Matrix (2018)'!N$2:N$67)</f>
        <v>68080.724526670921</v>
      </c>
      <c r="O21" s="9">
        <f>_xlfn.COVARIANCE.P('Data_Matrix (2018)'!$O$2:$O$67,'Data_Matrix (2018)'!O$2:O$67)</f>
        <v>35367.55494619059</v>
      </c>
      <c r="P21" s="9">
        <f>_xlfn.COVARIANCE.P('Data_Matrix (2018)'!$O$2:$O$67,'Data_Matrix (2018)'!P$2:P$67)</f>
        <v>8592.3031261829983</v>
      </c>
      <c r="Q21" s="9">
        <f>_xlfn.COVARIANCE.P('Data_Matrix (2018)'!$O$2:$O$67,'Data_Matrix (2018)'!Q$2:Q$67)</f>
        <v>29465.860102290255</v>
      </c>
      <c r="R21" s="9">
        <f>_xlfn.COVARIANCE.P('Data_Matrix (2018)'!$O$2:$O$67,'Data_Matrix (2018)'!R$2:R$67)</f>
        <v>37109.28865868428</v>
      </c>
      <c r="S21" s="9">
        <f>_xlfn.COVARIANCE.P('Data_Matrix (2018)'!$O$2:$O$67,'Data_Matrix (2018)'!S$2:S$67)</f>
        <v>18085.420102810429</v>
      </c>
      <c r="T21" s="9">
        <f>_xlfn.COVARIANCE.P('Data_Matrix (2018)'!$O$2:$O$67,'Data_Matrix (2018)'!T$2:T$67)</f>
        <v>13697.99988469088</v>
      </c>
      <c r="U21" s="9">
        <f>_xlfn.COVARIANCE.P('Data_Matrix (2018)'!$O$2:$O$67,'Data_Matrix (2018)'!U$2:U$67)</f>
        <v>8757.6524823960153</v>
      </c>
      <c r="V21" s="9">
        <f>_xlfn.COVARIANCE.P('Data_Matrix (2018)'!$O$2:$O$67,'Data_Matrix (2018)'!V$2:V$67)</f>
        <v>6476.0452958516125</v>
      </c>
      <c r="W21" s="9"/>
      <c r="X21" s="9"/>
      <c r="Y21" s="9"/>
      <c r="Z21" s="9"/>
      <c r="AA21" s="9"/>
      <c r="AB21" s="9"/>
      <c r="AC21" s="9"/>
      <c r="AD21" s="9"/>
      <c r="AE21" s="9"/>
      <c r="AF21" s="9"/>
      <c r="AG21" s="9"/>
      <c r="AH21" s="9"/>
      <c r="AI21" s="9"/>
      <c r="AJ21" s="9"/>
      <c r="AK21" s="9"/>
      <c r="AL21" s="9"/>
      <c r="AM21" s="9"/>
      <c r="AN21" s="9"/>
      <c r="AO21" s="9"/>
      <c r="AP21" s="9"/>
      <c r="AQ21" s="9"/>
      <c r="AR21" s="9"/>
      <c r="AS21" s="9"/>
      <c r="AT21" s="9"/>
      <c r="AU21" s="9"/>
      <c r="AV21" s="9"/>
      <c r="AW21" s="9"/>
      <c r="AX21" s="9"/>
      <c r="AY21" s="9"/>
      <c r="AZ21" s="9"/>
      <c r="BA21" s="9"/>
      <c r="BB21" s="9"/>
      <c r="BC21" s="9"/>
      <c r="BD21" s="9"/>
      <c r="BE21" s="9"/>
      <c r="BF21" s="9"/>
      <c r="BG21" s="9"/>
      <c r="BH21" s="9"/>
      <c r="BI21" s="9"/>
      <c r="BJ21" s="9"/>
      <c r="BK21" s="9"/>
      <c r="BL21" s="9"/>
      <c r="BM21" s="9"/>
      <c r="BN21" s="9"/>
      <c r="BO21" s="9"/>
    </row>
    <row r="22" spans="2:67" x14ac:dyDescent="0.2">
      <c r="B22" s="9">
        <f>_xlfn.COVARIANCE.P('Data_Matrix (2018)'!$P$2:$P$67,'Data_Matrix (2018)'!B$2:B$67)</f>
        <v>185955.38329714444</v>
      </c>
      <c r="C22" s="9">
        <f>_xlfn.COVARIANCE.P('Data_Matrix (2018)'!$P$2:$P$67,'Data_Matrix (2018)'!C$2:C$67)</f>
        <v>135591.86090416892</v>
      </c>
      <c r="D22" s="9">
        <f>_xlfn.COVARIANCE.P('Data_Matrix (2018)'!$P$2:$P$67,'Data_Matrix (2018)'!D$2:D$67)</f>
        <v>93762.824902317574</v>
      </c>
      <c r="E22" s="9">
        <f>_xlfn.COVARIANCE.P('Data_Matrix (2018)'!$P$2:$P$67,'Data_Matrix (2018)'!E$2:E$67)</f>
        <v>146374.09618033897</v>
      </c>
      <c r="F22" s="9">
        <f>_xlfn.COVARIANCE.P('Data_Matrix (2018)'!$P$2:$P$67,'Data_Matrix (2018)'!F$2:F$67)</f>
        <v>86059.152870897655</v>
      </c>
      <c r="G22" s="9">
        <f>_xlfn.COVARIANCE.P('Data_Matrix (2018)'!$P$2:$P$67,'Data_Matrix (2018)'!G$2:G$67)</f>
        <v>80208.367377345334</v>
      </c>
      <c r="H22" s="9">
        <f>_xlfn.COVARIANCE.P('Data_Matrix (2018)'!$P$2:$P$67,'Data_Matrix (2018)'!H$2:H$67)</f>
        <v>26168.290525305136</v>
      </c>
      <c r="I22" s="9">
        <f>_xlfn.COVARIANCE.P('Data_Matrix (2018)'!$P$2:$P$67,'Data_Matrix (2018)'!I$2:I$67)</f>
        <v>34476.345187287036</v>
      </c>
      <c r="J22" s="9">
        <f>_xlfn.COVARIANCE.P('Data_Matrix (2018)'!$P$2:$P$67,'Data_Matrix (2018)'!J$2:J$67)</f>
        <v>22959.46566564597</v>
      </c>
      <c r="K22" s="9">
        <f>_xlfn.COVARIANCE.P('Data_Matrix (2018)'!$P$2:$P$67,'Data_Matrix (2018)'!K$2:K$67)</f>
        <v>31145.45202787119</v>
      </c>
      <c r="L22" s="9">
        <f>_xlfn.COVARIANCE.P('Data_Matrix (2018)'!$P$2:$P$67,'Data_Matrix (2018)'!L$2:L$67)</f>
        <v>20884.204592896334</v>
      </c>
      <c r="M22" s="9">
        <f>_xlfn.COVARIANCE.P('Data_Matrix (2018)'!$P$2:$P$67,'Data_Matrix (2018)'!M$2:M$67)</f>
        <v>6951.0473019134824</v>
      </c>
      <c r="N22" s="9">
        <f>_xlfn.COVARIANCE.P('Data_Matrix (2018)'!$P$2:$P$67,'Data_Matrix (2018)'!N$2:N$67)</f>
        <v>14654.573761709176</v>
      </c>
      <c r="O22" s="9">
        <f>_xlfn.COVARIANCE.P('Data_Matrix (2018)'!$P$2:$P$67,'Data_Matrix (2018)'!O$2:O$67)</f>
        <v>8592.3031261829983</v>
      </c>
      <c r="P22" s="9">
        <f>_xlfn.COVARIANCE.P('Data_Matrix (2018)'!$P$2:$P$67,'Data_Matrix (2018)'!P$2:P$67)</f>
        <v>26318.150120173632</v>
      </c>
      <c r="Q22" s="9">
        <f>_xlfn.COVARIANCE.P('Data_Matrix (2018)'!$P$2:$P$67,'Data_Matrix (2018)'!Q$2:Q$67)</f>
        <v>5263.1701636835542</v>
      </c>
      <c r="R22" s="9">
        <f>_xlfn.COVARIANCE.P('Data_Matrix (2018)'!$P$2:$P$67,'Data_Matrix (2018)'!R$2:R$67)</f>
        <v>4288.2662760484927</v>
      </c>
      <c r="S22" s="9">
        <f>_xlfn.COVARIANCE.P('Data_Matrix (2018)'!$P$2:$P$67,'Data_Matrix (2018)'!S$2:S$67)</f>
        <v>2379.1703084094411</v>
      </c>
      <c r="T22" s="9">
        <f>_xlfn.COVARIANCE.P('Data_Matrix (2018)'!$P$2:$P$67,'Data_Matrix (2018)'!T$2:T$67)</f>
        <v>3298.069652809193</v>
      </c>
      <c r="U22" s="9">
        <f>_xlfn.COVARIANCE.P('Data_Matrix (2018)'!$P$2:$P$67,'Data_Matrix (2018)'!U$2:U$67)</f>
        <v>2049.1281045717042</v>
      </c>
      <c r="V22" s="9">
        <f>_xlfn.COVARIANCE.P('Data_Matrix (2018)'!$P$2:$P$67,'Data_Matrix (2018)'!V$2:V$67)</f>
        <v>4858.0151129527803</v>
      </c>
      <c r="W22" s="9"/>
      <c r="X22" s="9"/>
      <c r="Y22" s="9"/>
      <c r="Z22" s="9"/>
      <c r="AA22" s="9"/>
      <c r="AB22" s="9"/>
      <c r="AC22" s="9"/>
      <c r="AD22" s="9"/>
      <c r="AE22" s="9"/>
      <c r="AF22" s="9"/>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row>
    <row r="23" spans="2:67" x14ac:dyDescent="0.2">
      <c r="B23" s="9">
        <f>_xlfn.COVARIANCE.P('Data_Matrix (2018)'!$Q$2:$Q$67,'Data_Matrix (2018)'!B$2:B$67)</f>
        <v>530480.06214748893</v>
      </c>
      <c r="C23" s="9">
        <f>_xlfn.COVARIANCE.P('Data_Matrix (2018)'!$Q$2:$Q$67,'Data_Matrix (2018)'!C$2:C$67)</f>
        <v>574466.75255595066</v>
      </c>
      <c r="D23" s="9">
        <f>_xlfn.COVARIANCE.P('Data_Matrix (2018)'!$Q$2:$Q$67,'Data_Matrix (2018)'!D$2:D$67)</f>
        <v>375538.13101247163</v>
      </c>
      <c r="E23" s="9">
        <f>_xlfn.COVARIANCE.P('Data_Matrix (2018)'!$Q$2:$Q$67,'Data_Matrix (2018)'!E$2:E$67)</f>
        <v>217552.41936626766</v>
      </c>
      <c r="F23" s="9">
        <f>_xlfn.COVARIANCE.P('Data_Matrix (2018)'!$Q$2:$Q$67,'Data_Matrix (2018)'!F$2:F$67)</f>
        <v>154832.02531264871</v>
      </c>
      <c r="G23" s="9">
        <f>_xlfn.COVARIANCE.P('Data_Matrix (2018)'!$Q$2:$Q$67,'Data_Matrix (2018)'!G$2:G$67)</f>
        <v>267708.21374792838</v>
      </c>
      <c r="H23" s="9">
        <f>_xlfn.COVARIANCE.P('Data_Matrix (2018)'!$Q$2:$Q$67,'Data_Matrix (2018)'!H$2:H$67)</f>
        <v>156320.18957454624</v>
      </c>
      <c r="I23" s="9">
        <f>_xlfn.COVARIANCE.P('Data_Matrix (2018)'!$Q$2:$Q$67,'Data_Matrix (2018)'!I$2:I$67)</f>
        <v>96951.308006147883</v>
      </c>
      <c r="J23" s="9">
        <f>_xlfn.COVARIANCE.P('Data_Matrix (2018)'!$Q$2:$Q$67,'Data_Matrix (2018)'!J$2:J$67)</f>
        <v>45662.381579557637</v>
      </c>
      <c r="K23" s="9">
        <f>_xlfn.COVARIANCE.P('Data_Matrix (2018)'!$Q$2:$Q$67,'Data_Matrix (2018)'!K$2:K$67)</f>
        <v>69627.823153321922</v>
      </c>
      <c r="L23" s="9">
        <f>_xlfn.COVARIANCE.P('Data_Matrix (2018)'!$Q$2:$Q$67,'Data_Matrix (2018)'!L$2:L$67)</f>
        <v>63852.367442509953</v>
      </c>
      <c r="M23" s="9">
        <f>_xlfn.COVARIANCE.P('Data_Matrix (2018)'!$Q$2:$Q$67,'Data_Matrix (2018)'!M$2:M$67)</f>
        <v>54751.141460502462</v>
      </c>
      <c r="N23" s="9">
        <f>_xlfn.COVARIANCE.P('Data_Matrix (2018)'!$Q$2:$Q$67,'Data_Matrix (2018)'!N$2:N$67)</f>
        <v>50588.963694290542</v>
      </c>
      <c r="O23" s="9">
        <f>_xlfn.COVARIANCE.P('Data_Matrix (2018)'!$Q$2:$Q$67,'Data_Matrix (2018)'!O$2:O$67)</f>
        <v>29465.860102290255</v>
      </c>
      <c r="P23" s="9">
        <f>_xlfn.COVARIANCE.P('Data_Matrix (2018)'!$Q$2:$Q$67,'Data_Matrix (2018)'!P$2:P$67)</f>
        <v>5263.1701636835542</v>
      </c>
      <c r="Q23" s="9">
        <f>_xlfn.COVARIANCE.P('Data_Matrix (2018)'!$Q$2:$Q$67,'Data_Matrix (2018)'!Q$2:Q$67)</f>
        <v>35149.513106147308</v>
      </c>
      <c r="R23" s="9">
        <f>_xlfn.COVARIANCE.P('Data_Matrix (2018)'!$Q$2:$Q$67,'Data_Matrix (2018)'!R$2:R$67)</f>
        <v>40708.005933416527</v>
      </c>
      <c r="S23" s="9">
        <f>_xlfn.COVARIANCE.P('Data_Matrix (2018)'!$Q$2:$Q$67,'Data_Matrix (2018)'!S$2:S$67)</f>
        <v>20693.923340266982</v>
      </c>
      <c r="T23" s="9">
        <f>_xlfn.COVARIANCE.P('Data_Matrix (2018)'!$Q$2:$Q$67,'Data_Matrix (2018)'!T$2:T$67)</f>
        <v>11904.157094059728</v>
      </c>
      <c r="U23" s="9">
        <f>_xlfn.COVARIANCE.P('Data_Matrix (2018)'!$Q$2:$Q$67,'Data_Matrix (2018)'!U$2:U$67)</f>
        <v>9005.9982582120556</v>
      </c>
      <c r="V23" s="9">
        <f>_xlfn.COVARIANCE.P('Data_Matrix (2018)'!$Q$2:$Q$67,'Data_Matrix (2018)'!V$2:V$67)</f>
        <v>4185.6830082959059</v>
      </c>
      <c r="W23" s="9"/>
      <c r="X23" s="9"/>
      <c r="Y23" s="9"/>
      <c r="Z23" s="9"/>
      <c r="AA23" s="9"/>
      <c r="AB23" s="9"/>
      <c r="AC23" s="9"/>
      <c r="AD23" s="9"/>
      <c r="AE23" s="9"/>
      <c r="AF23" s="9"/>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row>
    <row r="24" spans="2:67" x14ac:dyDescent="0.2">
      <c r="B24" s="9">
        <f>_xlfn.COVARIANCE.P('Data_Matrix (2018)'!$R$2:$R$67,'Data_Matrix (2018)'!B$2:B$67)</f>
        <v>589462.52578012564</v>
      </c>
      <c r="C24" s="9">
        <f>_xlfn.COVARIANCE.P('Data_Matrix (2018)'!$R$2:$R$67,'Data_Matrix (2018)'!C$2:C$67)</f>
        <v>721646.60921481939</v>
      </c>
      <c r="D24" s="9">
        <f>_xlfn.COVARIANCE.P('Data_Matrix (2018)'!$R$2:$R$67,'Data_Matrix (2018)'!D$2:D$67)</f>
        <v>451352.92899997433</v>
      </c>
      <c r="E24" s="9">
        <f>_xlfn.COVARIANCE.P('Data_Matrix (2018)'!$R$2:$R$67,'Data_Matrix (2018)'!E$2:E$67)</f>
        <v>237957.70144182025</v>
      </c>
      <c r="F24" s="9">
        <f>_xlfn.COVARIANCE.P('Data_Matrix (2018)'!$R$2:$R$67,'Data_Matrix (2018)'!F$2:F$67)</f>
        <v>161660.77161312918</v>
      </c>
      <c r="G24" s="9">
        <f>_xlfn.COVARIANCE.P('Data_Matrix (2018)'!$R$2:$R$67,'Data_Matrix (2018)'!G$2:G$67)</f>
        <v>321800.61572618375</v>
      </c>
      <c r="H24" s="9">
        <f>_xlfn.COVARIANCE.P('Data_Matrix (2018)'!$R$2:$R$67,'Data_Matrix (2018)'!H$2:H$67)</f>
        <v>176534.21081476944</v>
      </c>
      <c r="I24" s="9">
        <f>_xlfn.COVARIANCE.P('Data_Matrix (2018)'!$R$2:$R$67,'Data_Matrix (2018)'!I$2:I$67)</f>
        <v>100519.89550870845</v>
      </c>
      <c r="J24" s="9">
        <f>_xlfn.COVARIANCE.P('Data_Matrix (2018)'!$R$2:$R$67,'Data_Matrix (2018)'!J$2:J$67)</f>
        <v>46851.309155526251</v>
      </c>
      <c r="K24" s="9">
        <f>_xlfn.COVARIANCE.P('Data_Matrix (2018)'!$R$2:$R$67,'Data_Matrix (2018)'!K$2:K$67)</f>
        <v>79315.621652131013</v>
      </c>
      <c r="L24" s="9">
        <f>_xlfn.COVARIANCE.P('Data_Matrix (2018)'!$R$2:$R$67,'Data_Matrix (2018)'!L$2:L$67)</f>
        <v>82033.354811475176</v>
      </c>
      <c r="M24" s="9">
        <f>_xlfn.COVARIANCE.P('Data_Matrix (2018)'!$R$2:$R$67,'Data_Matrix (2018)'!M$2:M$67)</f>
        <v>63028.476672979945</v>
      </c>
      <c r="N24" s="9">
        <f>_xlfn.COVARIANCE.P('Data_Matrix (2018)'!$R$2:$R$67,'Data_Matrix (2018)'!N$2:N$67)</f>
        <v>62908.244009546463</v>
      </c>
      <c r="O24" s="9">
        <f>_xlfn.COVARIANCE.P('Data_Matrix (2018)'!$R$2:$R$67,'Data_Matrix (2018)'!O$2:O$67)</f>
        <v>37109.28865868428</v>
      </c>
      <c r="P24" s="9">
        <f>_xlfn.COVARIANCE.P('Data_Matrix (2018)'!$R$2:$R$67,'Data_Matrix (2018)'!P$2:P$67)</f>
        <v>4288.2662760484927</v>
      </c>
      <c r="Q24" s="9">
        <f>_xlfn.COVARIANCE.P('Data_Matrix (2018)'!$R$2:$R$67,'Data_Matrix (2018)'!Q$2:Q$67)</f>
        <v>40708.005933416527</v>
      </c>
      <c r="R24" s="9">
        <f>_xlfn.COVARIANCE.P('Data_Matrix (2018)'!$R$2:$R$67,'Data_Matrix (2018)'!R$2:R$67)</f>
        <v>57880.910057581037</v>
      </c>
      <c r="S24" s="9">
        <f>_xlfn.COVARIANCE.P('Data_Matrix (2018)'!$R$2:$R$67,'Data_Matrix (2018)'!S$2:S$67)</f>
        <v>23702.785318833456</v>
      </c>
      <c r="T24" s="9">
        <f>_xlfn.COVARIANCE.P('Data_Matrix (2018)'!$R$2:$R$67,'Data_Matrix (2018)'!T$2:T$67)</f>
        <v>14513.032319012855</v>
      </c>
      <c r="U24" s="9">
        <f>_xlfn.COVARIANCE.P('Data_Matrix (2018)'!$R$2:$R$67,'Data_Matrix (2018)'!U$2:U$67)</f>
        <v>11413.427966847976</v>
      </c>
      <c r="V24" s="9">
        <f>_xlfn.COVARIANCE.P('Data_Matrix (2018)'!$R$2:$R$67,'Data_Matrix (2018)'!V$2:V$67)</f>
        <v>5386.4139140261905</v>
      </c>
      <c r="W24" s="9"/>
      <c r="X24" s="9"/>
      <c r="Y24" s="9"/>
      <c r="Z24" s="9"/>
      <c r="AA24" s="9"/>
      <c r="AB24" s="9"/>
      <c r="AC24" s="9"/>
      <c r="AD24" s="9"/>
      <c r="AE24" s="9"/>
      <c r="AF24" s="9"/>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row>
    <row r="25" spans="2:67" x14ac:dyDescent="0.2">
      <c r="B25" s="9">
        <f>_xlfn.COVARIANCE.P('Data_Matrix (2018)'!$S$2:$S$67,'Data_Matrix (2018)'!B$2:B$67)</f>
        <v>291181.22292077832</v>
      </c>
      <c r="C25" s="9">
        <f>_xlfn.COVARIANCE.P('Data_Matrix (2018)'!$S$2:$S$67,'Data_Matrix (2018)'!C$2:C$67)</f>
        <v>381081.99390522484</v>
      </c>
      <c r="D25" s="9">
        <f>_xlfn.COVARIANCE.P('Data_Matrix (2018)'!$S$2:$S$67,'Data_Matrix (2018)'!D$2:D$67)</f>
        <v>260255.38647650424</v>
      </c>
      <c r="E25" s="9">
        <f>_xlfn.COVARIANCE.P('Data_Matrix (2018)'!$S$2:$S$67,'Data_Matrix (2018)'!E$2:E$67)</f>
        <v>169059.92469205227</v>
      </c>
      <c r="F25" s="9">
        <f>_xlfn.COVARIANCE.P('Data_Matrix (2018)'!$S$2:$S$67,'Data_Matrix (2018)'!F$2:F$67)</f>
        <v>106476.08784718224</v>
      </c>
      <c r="G25" s="9">
        <f>_xlfn.COVARIANCE.P('Data_Matrix (2018)'!$S$2:$S$67,'Data_Matrix (2018)'!G$2:G$67)</f>
        <v>190299.70238579161</v>
      </c>
      <c r="H25" s="9">
        <f>_xlfn.COVARIANCE.P('Data_Matrix (2018)'!$S$2:$S$67,'Data_Matrix (2018)'!H$2:H$67)</f>
        <v>106711.47387899073</v>
      </c>
      <c r="I25" s="9">
        <f>_xlfn.COVARIANCE.P('Data_Matrix (2018)'!$S$2:$S$67,'Data_Matrix (2018)'!I$2:I$67)</f>
        <v>75038.26059120179</v>
      </c>
      <c r="J25" s="9">
        <f>_xlfn.COVARIANCE.P('Data_Matrix (2018)'!$S$2:$S$67,'Data_Matrix (2018)'!J$2:J$67)</f>
        <v>35576.132416275272</v>
      </c>
      <c r="K25" s="9">
        <f>_xlfn.COVARIANCE.P('Data_Matrix (2018)'!$S$2:$S$67,'Data_Matrix (2018)'!K$2:K$67)</f>
        <v>42559.380986484357</v>
      </c>
      <c r="L25" s="9">
        <f>_xlfn.COVARIANCE.P('Data_Matrix (2018)'!$S$2:$S$67,'Data_Matrix (2018)'!L$2:L$67)</f>
        <v>41436.843941629166</v>
      </c>
      <c r="M25" s="9">
        <f>_xlfn.COVARIANCE.P('Data_Matrix (2018)'!$S$2:$S$67,'Data_Matrix (2018)'!M$2:M$67)</f>
        <v>43825.800605684184</v>
      </c>
      <c r="N25" s="9">
        <f>_xlfn.COVARIANCE.P('Data_Matrix (2018)'!$S$2:$S$67,'Data_Matrix (2018)'!N$2:N$67)</f>
        <v>34913.987319735534</v>
      </c>
      <c r="O25" s="9">
        <f>_xlfn.COVARIANCE.P('Data_Matrix (2018)'!$S$2:$S$67,'Data_Matrix (2018)'!O$2:O$67)</f>
        <v>18085.420102810429</v>
      </c>
      <c r="P25" s="9">
        <f>_xlfn.COVARIANCE.P('Data_Matrix (2018)'!$S$2:$S$67,'Data_Matrix (2018)'!P$2:P$67)</f>
        <v>2379.1703084094411</v>
      </c>
      <c r="Q25" s="9">
        <f>_xlfn.COVARIANCE.P('Data_Matrix (2018)'!$S$2:$S$67,'Data_Matrix (2018)'!Q$2:Q$67)</f>
        <v>20693.923340266982</v>
      </c>
      <c r="R25" s="9">
        <f>_xlfn.COVARIANCE.P('Data_Matrix (2018)'!$S$2:$S$67,'Data_Matrix (2018)'!R$2:R$67)</f>
        <v>23702.785318833456</v>
      </c>
      <c r="S25" s="9">
        <f>_xlfn.COVARIANCE.P('Data_Matrix (2018)'!$S$2:$S$67,'Data_Matrix (2018)'!S$2:S$67)</f>
        <v>17275.038784362208</v>
      </c>
      <c r="T25" s="9">
        <f>_xlfn.COVARIANCE.P('Data_Matrix (2018)'!$S$2:$S$67,'Data_Matrix (2018)'!T$2:T$67)</f>
        <v>7726.4233878957575</v>
      </c>
      <c r="U25" s="9">
        <f>_xlfn.COVARIANCE.P('Data_Matrix (2018)'!$S$2:$S$67,'Data_Matrix (2018)'!U$2:U$67)</f>
        <v>5416.2168572467708</v>
      </c>
      <c r="V25" s="9">
        <f>_xlfn.COVARIANCE.P('Data_Matrix (2018)'!$S$2:$S$67,'Data_Matrix (2018)'!V$2:V$67)</f>
        <v>1871.8123335551229</v>
      </c>
      <c r="W25" s="9"/>
      <c r="X25" s="9"/>
      <c r="Y25" s="9"/>
      <c r="Z25" s="9"/>
      <c r="AA25" s="9"/>
      <c r="AB25" s="9"/>
      <c r="AC25" s="9"/>
      <c r="AD25" s="9"/>
      <c r="AE25" s="9"/>
      <c r="AF25" s="9"/>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row>
    <row r="26" spans="2:67" x14ac:dyDescent="0.2">
      <c r="B26" s="9">
        <f>_xlfn.COVARIANCE.P('Data_Matrix (2018)'!$T$2:$T$67,'Data_Matrix (2018)'!B$2:B$67)</f>
        <v>257515.87735182763</v>
      </c>
      <c r="C26" s="9">
        <f>_xlfn.COVARIANCE.P('Data_Matrix (2018)'!$T$2:$T$67,'Data_Matrix (2018)'!C$2:C$67)</f>
        <v>290113.39909977431</v>
      </c>
      <c r="D26" s="9">
        <f>_xlfn.COVARIANCE.P('Data_Matrix (2018)'!$T$2:$T$67,'Data_Matrix (2018)'!D$2:D$67)</f>
        <v>197787.48727426142</v>
      </c>
      <c r="E26" s="9">
        <f>_xlfn.COVARIANCE.P('Data_Matrix (2018)'!$T$2:$T$67,'Data_Matrix (2018)'!E$2:E$67)</f>
        <v>154363.60353031699</v>
      </c>
      <c r="F26" s="9">
        <f>_xlfn.COVARIANCE.P('Data_Matrix (2018)'!$T$2:$T$67,'Data_Matrix (2018)'!F$2:F$67)</f>
        <v>82071.448496403958</v>
      </c>
      <c r="G26" s="9">
        <f>_xlfn.COVARIANCE.P('Data_Matrix (2018)'!$T$2:$T$67,'Data_Matrix (2018)'!G$2:G$67)</f>
        <v>148445.95885255793</v>
      </c>
      <c r="H26" s="9">
        <f>_xlfn.COVARIANCE.P('Data_Matrix (2018)'!$T$2:$T$67,'Data_Matrix (2018)'!H$2:H$67)</f>
        <v>63140.490820312341</v>
      </c>
      <c r="I26" s="9">
        <f>_xlfn.COVARIANCE.P('Data_Matrix (2018)'!$T$2:$T$67,'Data_Matrix (2018)'!I$2:I$67)</f>
        <v>55564.884671480511</v>
      </c>
      <c r="J26" s="9">
        <f>_xlfn.COVARIANCE.P('Data_Matrix (2018)'!$T$2:$T$67,'Data_Matrix (2018)'!J$2:J$67)</f>
        <v>26327.628804047115</v>
      </c>
      <c r="K26" s="9">
        <f>_xlfn.COVARIANCE.P('Data_Matrix (2018)'!$T$2:$T$67,'Data_Matrix (2018)'!K$2:K$67)</f>
        <v>34755.47648919186</v>
      </c>
      <c r="L26" s="9">
        <f>_xlfn.COVARIANCE.P('Data_Matrix (2018)'!$T$2:$T$67,'Data_Matrix (2018)'!L$2:L$67)</f>
        <v>29113.823376977562</v>
      </c>
      <c r="M26" s="9">
        <f>_xlfn.COVARIANCE.P('Data_Matrix (2018)'!$T$2:$T$67,'Data_Matrix (2018)'!M$2:M$67)</f>
        <v>21191.702953026241</v>
      </c>
      <c r="N26" s="9">
        <f>_xlfn.COVARIANCE.P('Data_Matrix (2018)'!$T$2:$T$67,'Data_Matrix (2018)'!N$2:N$67)</f>
        <v>29671.036038726419</v>
      </c>
      <c r="O26" s="9">
        <f>_xlfn.COVARIANCE.P('Data_Matrix (2018)'!$T$2:$T$67,'Data_Matrix (2018)'!O$2:O$67)</f>
        <v>13697.99988469088</v>
      </c>
      <c r="P26" s="9">
        <f>_xlfn.COVARIANCE.P('Data_Matrix (2018)'!$T$2:$T$67,'Data_Matrix (2018)'!P$2:P$67)</f>
        <v>3298.069652809193</v>
      </c>
      <c r="Q26" s="9">
        <f>_xlfn.COVARIANCE.P('Data_Matrix (2018)'!$T$2:$T$67,'Data_Matrix (2018)'!Q$2:Q$67)</f>
        <v>11904.157094059728</v>
      </c>
      <c r="R26" s="9">
        <f>_xlfn.COVARIANCE.P('Data_Matrix (2018)'!$T$2:$T$67,'Data_Matrix (2018)'!R$2:R$67)</f>
        <v>14513.032319012855</v>
      </c>
      <c r="S26" s="9">
        <f>_xlfn.COVARIANCE.P('Data_Matrix (2018)'!$T$2:$T$67,'Data_Matrix (2018)'!S$2:S$67)</f>
        <v>7726.4233878957575</v>
      </c>
      <c r="T26" s="9">
        <f>_xlfn.COVARIANCE.P('Data_Matrix (2018)'!$T$2:$T$67,'Data_Matrix (2018)'!T$2:T$67)</f>
        <v>6530.6148205702766</v>
      </c>
      <c r="U26" s="9">
        <f>_xlfn.COVARIANCE.P('Data_Matrix (2018)'!$T$2:$T$67,'Data_Matrix (2018)'!U$2:U$67)</f>
        <v>3514.4101297040147</v>
      </c>
      <c r="V26" s="9">
        <f>_xlfn.COVARIANCE.P('Data_Matrix (2018)'!$T$2:$T$67,'Data_Matrix (2018)'!V$2:V$67)</f>
        <v>1964.8545624402334</v>
      </c>
      <c r="W26" s="9"/>
      <c r="X26" s="9"/>
      <c r="Y26" s="9"/>
      <c r="Z26" s="9"/>
      <c r="AA26" s="9"/>
      <c r="AB26" s="9"/>
      <c r="AC26" s="9"/>
      <c r="AD26" s="9"/>
      <c r="AE26" s="9"/>
      <c r="AF26" s="9"/>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row>
    <row r="27" spans="2:67" x14ac:dyDescent="0.2">
      <c r="B27" s="9">
        <f>_xlfn.COVARIANCE.P('Data_Matrix (2018)'!$U$2:$U$67,'Data_Matrix (2018)'!B$2:B$67)</f>
        <v>139844.29606177859</v>
      </c>
      <c r="C27" s="9">
        <f>_xlfn.COVARIANCE.P('Data_Matrix (2018)'!$U$2:$U$67,'Data_Matrix (2018)'!C$2:C$67)</f>
        <v>182566.23580089351</v>
      </c>
      <c r="D27" s="9">
        <f>_xlfn.COVARIANCE.P('Data_Matrix (2018)'!$U$2:$U$67,'Data_Matrix (2018)'!D$2:D$67)</f>
        <v>105128.21609710978</v>
      </c>
      <c r="E27" s="9">
        <f>_xlfn.COVARIANCE.P('Data_Matrix (2018)'!$U$2:$U$67,'Data_Matrix (2018)'!E$2:E$67)</f>
        <v>77235.052142147353</v>
      </c>
      <c r="F27" s="9">
        <f>_xlfn.COVARIANCE.P('Data_Matrix (2018)'!$U$2:$U$67,'Data_Matrix (2018)'!F$2:F$67)</f>
        <v>51864.62182774445</v>
      </c>
      <c r="G27" s="9">
        <f>_xlfn.COVARIANCE.P('Data_Matrix (2018)'!$U$2:$U$67,'Data_Matrix (2018)'!G$2:G$67)</f>
        <v>81536.671404843088</v>
      </c>
      <c r="H27" s="9">
        <f>_xlfn.COVARIANCE.P('Data_Matrix (2018)'!$U$2:$U$67,'Data_Matrix (2018)'!H$2:H$67)</f>
        <v>32174.095406420514</v>
      </c>
      <c r="I27" s="9">
        <f>_xlfn.COVARIANCE.P('Data_Matrix (2018)'!$U$2:$U$67,'Data_Matrix (2018)'!I$2:I$67)</f>
        <v>29643.010187563024</v>
      </c>
      <c r="J27" s="9">
        <f>_xlfn.COVARIANCE.P('Data_Matrix (2018)'!$U$2:$U$67,'Data_Matrix (2018)'!J$2:J$67)</f>
        <v>13662.303983374528</v>
      </c>
      <c r="K27" s="9">
        <f>_xlfn.COVARIANCE.P('Data_Matrix (2018)'!$U$2:$U$67,'Data_Matrix (2018)'!K$2:K$67)</f>
        <v>21549.722378158312</v>
      </c>
      <c r="L27" s="9">
        <f>_xlfn.COVARIANCE.P('Data_Matrix (2018)'!$U$2:$U$67,'Data_Matrix (2018)'!L$2:L$67)</f>
        <v>19896.303287859584</v>
      </c>
      <c r="M27" s="9">
        <f>_xlfn.COVARIANCE.P('Data_Matrix (2018)'!$U$2:$U$67,'Data_Matrix (2018)'!M$2:M$67)</f>
        <v>15346.617321764546</v>
      </c>
      <c r="N27" s="9">
        <f>_xlfn.COVARIANCE.P('Data_Matrix (2018)'!$U$2:$U$67,'Data_Matrix (2018)'!N$2:N$67)</f>
        <v>15529.789095339826</v>
      </c>
      <c r="O27" s="9">
        <f>_xlfn.COVARIANCE.P('Data_Matrix (2018)'!$U$2:$U$67,'Data_Matrix (2018)'!O$2:O$67)</f>
        <v>8757.6524823960153</v>
      </c>
      <c r="P27" s="9">
        <f>_xlfn.COVARIANCE.P('Data_Matrix (2018)'!$U$2:$U$67,'Data_Matrix (2018)'!P$2:P$67)</f>
        <v>2049.1281045717042</v>
      </c>
      <c r="Q27" s="9">
        <f>_xlfn.COVARIANCE.P('Data_Matrix (2018)'!$U$2:$U$67,'Data_Matrix (2018)'!Q$2:Q$67)</f>
        <v>9005.9982582120556</v>
      </c>
      <c r="R27" s="9">
        <f>_xlfn.COVARIANCE.P('Data_Matrix (2018)'!$U$2:$U$67,'Data_Matrix (2018)'!R$2:R$67)</f>
        <v>11413.427966847976</v>
      </c>
      <c r="S27" s="9">
        <f>_xlfn.COVARIANCE.P('Data_Matrix (2018)'!$U$2:$U$67,'Data_Matrix (2018)'!S$2:S$67)</f>
        <v>5416.2168572467708</v>
      </c>
      <c r="T27" s="9">
        <f>_xlfn.COVARIANCE.P('Data_Matrix (2018)'!$U$2:$U$67,'Data_Matrix (2018)'!T$2:T$67)</f>
        <v>3514.4101297040147</v>
      </c>
      <c r="U27" s="9">
        <f>_xlfn.COVARIANCE.P('Data_Matrix (2018)'!$U$2:$U$67,'Data_Matrix (2018)'!U$2:U$67)</f>
        <v>3243.8558752539639</v>
      </c>
      <c r="V27" s="9">
        <f>_xlfn.COVARIANCE.P('Data_Matrix (2018)'!$U$2:$U$67,'Data_Matrix (2018)'!V$2:V$67)</f>
        <v>2106.1458104629451</v>
      </c>
      <c r="W27" s="9"/>
      <c r="X27" s="9"/>
      <c r="Y27" s="9"/>
      <c r="Z27" s="9"/>
      <c r="AA27" s="9"/>
      <c r="AB27" s="9"/>
      <c r="AC27" s="9"/>
      <c r="AD27" s="9"/>
      <c r="AE27" s="9"/>
      <c r="AF27" s="9"/>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row>
    <row r="28" spans="2:67" x14ac:dyDescent="0.2">
      <c r="B28" s="9">
        <f>_xlfn.COVARIANCE.P('Data_Matrix (2018)'!$V$2:$V$67,'Data_Matrix (2018)'!B$2:B$67)</f>
        <v>53293.158766081928</v>
      </c>
      <c r="C28" s="9">
        <f>_xlfn.COVARIANCE.P('Data_Matrix (2018)'!$V$2:$V$67,'Data_Matrix (2018)'!C$2:C$67)</f>
        <v>123075.96601239698</v>
      </c>
      <c r="D28" s="9">
        <f>_xlfn.COVARIANCE.P('Data_Matrix (2018)'!$V$2:$V$67,'Data_Matrix (2018)'!D$2:D$67)</f>
        <v>48776.985466037077</v>
      </c>
      <c r="E28" s="9">
        <f>_xlfn.COVARIANCE.P('Data_Matrix (2018)'!$V$2:$V$67,'Data_Matrix (2018)'!E$2:E$67)</f>
        <v>90209.204538937018</v>
      </c>
      <c r="F28" s="9">
        <f>_xlfn.COVARIANCE.P('Data_Matrix (2018)'!$V$2:$V$67,'Data_Matrix (2018)'!F$2:F$67)</f>
        <v>47523.139295490742</v>
      </c>
      <c r="G28" s="9">
        <f>_xlfn.COVARIANCE.P('Data_Matrix (2018)'!$V$2:$V$67,'Data_Matrix (2018)'!G$2:G$67)</f>
        <v>52469.898461708493</v>
      </c>
      <c r="H28" s="9">
        <f>_xlfn.COVARIANCE.P('Data_Matrix (2018)'!$V$2:$V$67,'Data_Matrix (2018)'!H$2:H$67)</f>
        <v>5534.4997970276099</v>
      </c>
      <c r="I28" s="9">
        <f>_xlfn.COVARIANCE.P('Data_Matrix (2018)'!$V$2:$V$67,'Data_Matrix (2018)'!I$2:I$67)</f>
        <v>16553.392064502314</v>
      </c>
      <c r="J28" s="9">
        <f>_xlfn.COVARIANCE.P('Data_Matrix (2018)'!$V$2:$V$67,'Data_Matrix (2018)'!J$2:J$67)</f>
        <v>14324.424716373353</v>
      </c>
      <c r="K28" s="9">
        <f>_xlfn.COVARIANCE.P('Data_Matrix (2018)'!$V$2:$V$67,'Data_Matrix (2018)'!K$2:K$67)</f>
        <v>18843.049657184369</v>
      </c>
      <c r="L28" s="9">
        <f>_xlfn.COVARIANCE.P('Data_Matrix (2018)'!$V$2:$V$67,'Data_Matrix (2018)'!L$2:L$67)</f>
        <v>13974.231094896053</v>
      </c>
      <c r="M28" s="9">
        <f>_xlfn.COVARIANCE.P('Data_Matrix (2018)'!$V$2:$V$67,'Data_Matrix (2018)'!M$2:M$67)</f>
        <v>7498.4521855474604</v>
      </c>
      <c r="N28" s="9">
        <f>_xlfn.COVARIANCE.P('Data_Matrix (2018)'!$V$2:$V$67,'Data_Matrix (2018)'!N$2:N$67)</f>
        <v>9821.5597689776332</v>
      </c>
      <c r="O28" s="9">
        <f>_xlfn.COVARIANCE.P('Data_Matrix (2018)'!$V$2:$V$67,'Data_Matrix (2018)'!O$2:O$67)</f>
        <v>6476.0452958516125</v>
      </c>
      <c r="P28" s="9">
        <f>_xlfn.COVARIANCE.P('Data_Matrix (2018)'!$V$2:$V$67,'Data_Matrix (2018)'!P$2:P$67)</f>
        <v>4858.0151129527803</v>
      </c>
      <c r="Q28" s="9">
        <f>_xlfn.COVARIANCE.P('Data_Matrix (2018)'!$V$2:$V$67,'Data_Matrix (2018)'!Q$2:Q$67)</f>
        <v>4185.6830082959059</v>
      </c>
      <c r="R28" s="9">
        <f>_xlfn.COVARIANCE.P('Data_Matrix (2018)'!$V$2:$V$67,'Data_Matrix (2018)'!R$2:R$67)</f>
        <v>5386.4139140261905</v>
      </c>
      <c r="S28" s="9">
        <f>_xlfn.COVARIANCE.P('Data_Matrix (2018)'!$V$2:$V$67,'Data_Matrix (2018)'!S$2:S$67)</f>
        <v>1871.8123335551229</v>
      </c>
      <c r="T28" s="9">
        <f>_xlfn.COVARIANCE.P('Data_Matrix (2018)'!$V$2:$V$67,'Data_Matrix (2018)'!T$2:T$67)</f>
        <v>1964.8545624402334</v>
      </c>
      <c r="U28" s="9">
        <f>_xlfn.COVARIANCE.P('Data_Matrix (2018)'!$V$2:$V$67,'Data_Matrix (2018)'!U$2:U$67)</f>
        <v>2106.1458104629451</v>
      </c>
      <c r="V28" s="9">
        <f>_xlfn.COVARIANCE.P('Data_Matrix (2018)'!$V$2:$V$67,'Data_Matrix (2018)'!V$2:V$67)</f>
        <v>4882.1600084134934</v>
      </c>
      <c r="W28" s="9"/>
      <c r="X28" s="9"/>
      <c r="Y28" s="9"/>
      <c r="Z28" s="9"/>
      <c r="AA28" s="9"/>
      <c r="AB28" s="9"/>
      <c r="AC28" s="9"/>
      <c r="AD28" s="9"/>
      <c r="AE28" s="9"/>
      <c r="AF28" s="9"/>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row>
    <row r="29" spans="2:67" x14ac:dyDescent="0.2">
      <c r="B29" s="9"/>
      <c r="C29" s="9"/>
      <c r="D29" s="9"/>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row>
    <row r="30" spans="2:67" hidden="1" x14ac:dyDescent="0.2">
      <c r="B30" s="9"/>
      <c r="C30" s="9"/>
      <c r="D30" s="9"/>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row>
    <row r="31" spans="2:67" hidden="1" x14ac:dyDescent="0.2">
      <c r="B31" s="9"/>
      <c r="C31" s="9"/>
      <c r="D31" s="9"/>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row>
    <row r="32" spans="2:67" hidden="1" x14ac:dyDescent="0.2">
      <c r="B32" s="9"/>
      <c r="C32" s="9"/>
      <c r="D32" s="9"/>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row>
    <row r="33" spans="2:67" hidden="1" x14ac:dyDescent="0.2">
      <c r="B33" s="9"/>
      <c r="C33" s="9"/>
      <c r="D33" s="9"/>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row>
    <row r="34" spans="2:67" hidden="1" x14ac:dyDescent="0.2">
      <c r="B34" s="9"/>
      <c r="C34" s="9"/>
      <c r="D34" s="9"/>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row>
    <row r="35" spans="2:67" hidden="1" x14ac:dyDescent="0.2">
      <c r="B35" s="9"/>
      <c r="C35" s="9"/>
      <c r="D35" s="9"/>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row>
    <row r="36" spans="2:67" hidden="1" x14ac:dyDescent="0.2">
      <c r="B36" s="9"/>
      <c r="C36" s="9"/>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row>
    <row r="37" spans="2:67" hidden="1" x14ac:dyDescent="0.2">
      <c r="B37" s="9"/>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row>
    <row r="38" spans="2:67" hidden="1" x14ac:dyDescent="0.2">
      <c r="B38" s="9"/>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row>
    <row r="39" spans="2:67" hidden="1" x14ac:dyDescent="0.2">
      <c r="B39" s="9"/>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9"/>
      <c r="AE39" s="9"/>
      <c r="AF39" s="9"/>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row>
    <row r="40" spans="2:67" hidden="1" x14ac:dyDescent="0.2">
      <c r="B40" s="9"/>
      <c r="C40" s="9"/>
      <c r="D40" s="9"/>
      <c r="E40" s="9"/>
      <c r="F40" s="9"/>
      <c r="G40" s="9"/>
      <c r="H40" s="9"/>
      <c r="I40" s="9"/>
      <c r="J40" s="9"/>
      <c r="K40" s="9"/>
      <c r="L40" s="9"/>
      <c r="M40" s="9"/>
      <c r="N40" s="9"/>
      <c r="O40" s="9"/>
      <c r="P40" s="9"/>
      <c r="Q40" s="9"/>
      <c r="R40" s="9"/>
      <c r="S40" s="9"/>
      <c r="T40" s="9"/>
      <c r="U40" s="9"/>
      <c r="V40" s="9"/>
      <c r="W40" s="9"/>
      <c r="X40" s="9"/>
      <c r="Y40" s="9"/>
      <c r="Z40" s="9"/>
      <c r="AA40" s="9"/>
      <c r="AB40" s="9"/>
      <c r="AC40" s="9"/>
      <c r="AD40" s="9"/>
      <c r="AE40" s="9"/>
      <c r="AF40" s="9"/>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row>
    <row r="41" spans="2:67" hidden="1" x14ac:dyDescent="0.2">
      <c r="B41" s="9"/>
      <c r="C41" s="9"/>
      <c r="D41" s="9"/>
      <c r="E41" s="9"/>
      <c r="F41" s="9"/>
      <c r="G41" s="9"/>
      <c r="H41" s="9"/>
      <c r="I41" s="9"/>
      <c r="J41" s="9"/>
      <c r="K41" s="9"/>
      <c r="L41" s="9"/>
      <c r="M41" s="9"/>
      <c r="N41" s="9"/>
      <c r="O41" s="9"/>
      <c r="P41" s="9"/>
      <c r="Q41" s="9"/>
      <c r="R41" s="9"/>
      <c r="S41" s="9"/>
      <c r="T41" s="9"/>
      <c r="U41" s="9"/>
      <c r="V41" s="9"/>
      <c r="W41" s="9"/>
      <c r="X41" s="9"/>
      <c r="Y41" s="9"/>
      <c r="Z41" s="9"/>
      <c r="AA41" s="9"/>
      <c r="AB41" s="9"/>
      <c r="AC41" s="9"/>
      <c r="AD41" s="9"/>
      <c r="AE41" s="9"/>
      <c r="AF41" s="9"/>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row>
    <row r="42" spans="2:67" hidden="1" x14ac:dyDescent="0.2">
      <c r="B42" s="9"/>
      <c r="C42" s="9"/>
      <c r="D42" s="9"/>
      <c r="E42" s="9"/>
      <c r="F42" s="9"/>
      <c r="G42" s="9"/>
      <c r="H42" s="9"/>
      <c r="I42" s="9"/>
      <c r="J42" s="9"/>
      <c r="K42" s="9"/>
      <c r="L42" s="9"/>
      <c r="M42" s="9"/>
      <c r="N42" s="9"/>
      <c r="O42" s="9"/>
      <c r="P42" s="9"/>
      <c r="Q42" s="9"/>
      <c r="R42" s="9"/>
      <c r="S42" s="9"/>
      <c r="T42" s="9"/>
      <c r="U42" s="9"/>
      <c r="V42" s="9"/>
      <c r="W42" s="9"/>
      <c r="X42" s="9"/>
      <c r="Y42" s="9"/>
      <c r="Z42" s="9"/>
      <c r="AA42" s="9"/>
      <c r="AB42" s="9"/>
      <c r="AC42" s="9"/>
      <c r="AD42" s="9"/>
      <c r="AE42" s="9"/>
      <c r="AF42" s="9"/>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row>
    <row r="43" spans="2:67" hidden="1" x14ac:dyDescent="0.2">
      <c r="B43" s="9"/>
      <c r="C43" s="9"/>
      <c r="D43" s="9"/>
      <c r="E43" s="9"/>
      <c r="F43" s="9"/>
      <c r="G43" s="9"/>
      <c r="H43" s="9"/>
      <c r="I43" s="9"/>
      <c r="J43" s="9"/>
      <c r="K43" s="9"/>
      <c r="L43" s="9"/>
      <c r="M43" s="9"/>
      <c r="N43" s="9"/>
      <c r="O43" s="9"/>
      <c r="P43" s="9"/>
      <c r="Q43" s="9"/>
      <c r="R43" s="9"/>
      <c r="S43" s="9"/>
      <c r="T43" s="9"/>
      <c r="U43" s="9"/>
      <c r="V43" s="9"/>
      <c r="W43" s="9"/>
      <c r="X43" s="9"/>
      <c r="Y43" s="9"/>
      <c r="Z43" s="9"/>
      <c r="AA43" s="9"/>
      <c r="AB43" s="9"/>
      <c r="AC43" s="9"/>
      <c r="AD43" s="9"/>
      <c r="AE43" s="9"/>
      <c r="AF43" s="9"/>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row>
    <row r="44" spans="2:67" hidden="1" x14ac:dyDescent="0.2">
      <c r="B44" s="9"/>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row>
    <row r="45" spans="2:67" hidden="1" x14ac:dyDescent="0.2">
      <c r="B45" s="9"/>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row>
    <row r="46" spans="2:67" hidden="1" x14ac:dyDescent="0.2">
      <c r="B46" s="9"/>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row>
    <row r="47" spans="2:67" hidden="1" x14ac:dyDescent="0.2">
      <c r="B47" s="9"/>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row>
    <row r="48" spans="2:67" hidden="1" x14ac:dyDescent="0.2">
      <c r="B48" s="9"/>
      <c r="C48" s="9"/>
      <c r="D48" s="9"/>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row>
    <row r="49" spans="2:67" hidden="1" x14ac:dyDescent="0.2">
      <c r="B49" s="9"/>
      <c r="C49" s="9"/>
      <c r="D49" s="9"/>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row>
    <row r="50" spans="2:67" hidden="1" x14ac:dyDescent="0.2">
      <c r="B50" s="9"/>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row>
    <row r="51" spans="2:67" hidden="1" x14ac:dyDescent="0.2">
      <c r="B51" s="9"/>
      <c r="C51" s="9"/>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row>
    <row r="52" spans="2:67" hidden="1" x14ac:dyDescent="0.2">
      <c r="B52" s="9"/>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row>
    <row r="53" spans="2:67" hidden="1" x14ac:dyDescent="0.2">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row>
    <row r="54" spans="2:67" hidden="1" x14ac:dyDescent="0.2">
      <c r="B54" s="9"/>
      <c r="C54" s="9"/>
      <c r="D54" s="9"/>
      <c r="E54" s="9"/>
      <c r="F54" s="9"/>
      <c r="G54" s="9"/>
      <c r="H54" s="9"/>
      <c r="I54" s="9"/>
      <c r="J54" s="9"/>
      <c r="K54" s="9"/>
      <c r="L54" s="9"/>
      <c r="M54" s="9"/>
      <c r="N54" s="9"/>
      <c r="O54" s="9"/>
      <c r="P54" s="9"/>
      <c r="Q54" s="9"/>
      <c r="R54" s="9"/>
      <c r="S54" s="9"/>
      <c r="T54" s="9"/>
      <c r="U54" s="9"/>
      <c r="V54" s="9"/>
      <c r="W54" s="9"/>
      <c r="X54" s="9"/>
      <c r="Y54" s="9"/>
      <c r="Z54" s="9"/>
      <c r="AA54" s="9"/>
      <c r="AB54" s="9"/>
      <c r="AC54" s="9"/>
      <c r="AD54" s="9"/>
      <c r="AE54" s="9"/>
      <c r="AF54" s="9"/>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row>
    <row r="55" spans="2:67" hidden="1" x14ac:dyDescent="0.2">
      <c r="B55" s="9"/>
      <c r="C55" s="9"/>
      <c r="D55" s="9"/>
      <c r="E55" s="9"/>
      <c r="F55" s="9"/>
      <c r="G55" s="9"/>
      <c r="H55" s="9"/>
      <c r="I55" s="9"/>
      <c r="J55" s="9"/>
      <c r="K55" s="9"/>
      <c r="L55" s="9"/>
      <c r="M55" s="9"/>
      <c r="N55" s="9"/>
      <c r="O55" s="9"/>
      <c r="P55" s="9"/>
      <c r="Q55" s="9"/>
      <c r="R55" s="9"/>
      <c r="S55" s="9"/>
      <c r="T55" s="9"/>
      <c r="U55" s="9"/>
      <c r="V55" s="9"/>
      <c r="W55" s="9"/>
      <c r="X55" s="9"/>
      <c r="Y55" s="9"/>
      <c r="Z55" s="9"/>
      <c r="AA55" s="9"/>
      <c r="AB55" s="9"/>
      <c r="AC55" s="9"/>
      <c r="AD55" s="9"/>
      <c r="AE55" s="9"/>
      <c r="AF55" s="9"/>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row>
    <row r="56" spans="2:67" hidden="1" x14ac:dyDescent="0.2">
      <c r="B56" s="9"/>
      <c r="C56" s="9"/>
      <c r="D56" s="9"/>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row>
    <row r="57" spans="2:67" hidden="1" x14ac:dyDescent="0.2">
      <c r="B57" s="9"/>
      <c r="C57" s="9"/>
      <c r="D57" s="9"/>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row>
    <row r="58" spans="2:67" hidden="1" x14ac:dyDescent="0.2">
      <c r="B58" s="9"/>
      <c r="C58" s="9"/>
      <c r="D58" s="9"/>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row>
    <row r="59" spans="2:67" hidden="1" x14ac:dyDescent="0.2">
      <c r="B59" s="9"/>
      <c r="C59" s="9"/>
      <c r="D59" s="9"/>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row>
    <row r="60" spans="2:67" hidden="1" x14ac:dyDescent="0.2">
      <c r="B60" s="9"/>
      <c r="C60" s="9"/>
      <c r="D60" s="9"/>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row>
    <row r="61" spans="2:67" hidden="1" x14ac:dyDescent="0.2">
      <c r="B61" s="9"/>
      <c r="C61" s="9"/>
      <c r="D61" s="9"/>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row>
    <row r="62" spans="2:67" hidden="1" x14ac:dyDescent="0.2">
      <c r="B62" s="9"/>
      <c r="C62" s="9"/>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row>
    <row r="63" spans="2:67" hidden="1" x14ac:dyDescent="0.2">
      <c r="B63" s="9"/>
      <c r="C63" s="9"/>
      <c r="D63" s="9"/>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row>
    <row r="64" spans="2:67" hidden="1" x14ac:dyDescent="0.2">
      <c r="B64" s="9"/>
      <c r="C64" s="9"/>
      <c r="D64" s="9"/>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row>
    <row r="65" spans="1:67" hidden="1" x14ac:dyDescent="0.2">
      <c r="B65" s="9"/>
      <c r="C65" s="9"/>
      <c r="D65" s="9"/>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row>
    <row r="66" spans="1:67" hidden="1" x14ac:dyDescent="0.2">
      <c r="B66" s="9"/>
      <c r="C66" s="9"/>
      <c r="D66" s="9"/>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row>
    <row r="67" spans="1:67" hidden="1" x14ac:dyDescent="0.2">
      <c r="B67" s="9"/>
      <c r="C67" s="9"/>
      <c r="D67" s="9"/>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row>
    <row r="68" spans="1:67" hidden="1" x14ac:dyDescent="0.2">
      <c r="B68" s="9"/>
      <c r="C68" s="9"/>
      <c r="D68" s="9"/>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row>
    <row r="69" spans="1:67" hidden="1" x14ac:dyDescent="0.2">
      <c r="B69" s="9"/>
      <c r="C69" s="9"/>
      <c r="D69" s="9"/>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row>
    <row r="70" spans="1:67" hidden="1" x14ac:dyDescent="0.2">
      <c r="B70" s="9"/>
      <c r="C70" s="9"/>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row>
    <row r="71" spans="1:67" hidden="1" x14ac:dyDescent="0.2">
      <c r="B71" s="9"/>
      <c r="C71" s="9"/>
      <c r="D71" s="9"/>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row>
    <row r="72" spans="1:67" hidden="1" x14ac:dyDescent="0.2">
      <c r="B72" s="9"/>
      <c r="C72" s="9"/>
      <c r="D72" s="9"/>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row>
    <row r="73" spans="1:67" hidden="1" x14ac:dyDescent="0.2">
      <c r="B73" s="9"/>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row>
    <row r="75" spans="1:67" x14ac:dyDescent="0.2">
      <c r="A75" s="114" t="s">
        <v>336</v>
      </c>
      <c r="B75" s="9">
        <f t="array" ref="B75:V95">MINVERSE(B8:V28)</f>
        <v>2.1402626476095957E-7</v>
      </c>
      <c r="C75" s="9">
        <v>3.987274456038917E-8</v>
      </c>
      <c r="D75" s="9">
        <v>-2.4263792935586254E-7</v>
      </c>
      <c r="E75" s="9">
        <v>-1.8416175929709085E-7</v>
      </c>
      <c r="F75" s="9">
        <v>1.198945746987737E-8</v>
      </c>
      <c r="G75" s="9">
        <v>1.2258167551629823E-7</v>
      </c>
      <c r="H75" s="9">
        <v>-5.0682408067440308E-8</v>
      </c>
      <c r="I75" s="9">
        <v>2.7520414815324349E-7</v>
      </c>
      <c r="J75" s="9">
        <v>3.6572303330161399E-7</v>
      </c>
      <c r="K75" s="9">
        <v>-9.9646692925041757E-7</v>
      </c>
      <c r="L75" s="9">
        <v>-5.4962109526452285E-7</v>
      </c>
      <c r="M75" s="9">
        <v>2.9030736396409409E-7</v>
      </c>
      <c r="N75" s="9">
        <v>4.0566721727316164E-7</v>
      </c>
      <c r="O75" s="9">
        <v>1.2931870185976693E-6</v>
      </c>
      <c r="P75" s="9">
        <v>-1.0795059840437085E-7</v>
      </c>
      <c r="Q75" s="9">
        <v>-2.5921335316465732E-6</v>
      </c>
      <c r="R75" s="9">
        <v>6.7364020053147731E-7</v>
      </c>
      <c r="S75" s="9">
        <v>1.8234425440299347E-6</v>
      </c>
      <c r="T75" s="9">
        <v>-1.5807803987842128E-6</v>
      </c>
      <c r="U75" s="9">
        <v>-1.7963933098325553E-6</v>
      </c>
      <c r="V75" s="9">
        <v>3.8430715632606235E-6</v>
      </c>
      <c r="W75" s="9"/>
      <c r="X75" s="9"/>
      <c r="Y75" s="9"/>
      <c r="Z75" s="9"/>
      <c r="AA75" s="9"/>
      <c r="AB75" s="9"/>
      <c r="AC75" s="9"/>
      <c r="AD75" s="9"/>
      <c r="AE75" s="9"/>
      <c r="AF75" s="9"/>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row>
    <row r="76" spans="1:67" x14ac:dyDescent="0.2">
      <c r="A76" s="114"/>
      <c r="B76" s="9">
        <v>3.9872744560388574E-8</v>
      </c>
      <c r="C76" s="9">
        <v>2.0849982128758027E-6</v>
      </c>
      <c r="D76" s="9">
        <v>8.0498296694382315E-7</v>
      </c>
      <c r="E76" s="9">
        <v>-5.4807197186328938E-7</v>
      </c>
      <c r="F76" s="9">
        <v>1.2874293671155502E-6</v>
      </c>
      <c r="G76" s="9">
        <v>-2.4951278273206497E-6</v>
      </c>
      <c r="H76" s="9">
        <v>3.5562088463697871E-7</v>
      </c>
      <c r="I76" s="9">
        <v>-1.1591948641130427E-6</v>
      </c>
      <c r="J76" s="9">
        <v>1.0923054079069181E-6</v>
      </c>
      <c r="K76" s="9">
        <v>-2.7994525467259098E-6</v>
      </c>
      <c r="L76" s="9">
        <v>-1.8247702429766448E-6</v>
      </c>
      <c r="M76" s="9">
        <v>7.934519575552948E-7</v>
      </c>
      <c r="N76" s="9">
        <v>-2.4575039483387095E-6</v>
      </c>
      <c r="O76" s="9">
        <v>6.0893263402658298E-7</v>
      </c>
      <c r="P76" s="9">
        <v>2.4472389201259519E-6</v>
      </c>
      <c r="Q76" s="9">
        <v>-3.1534455640433734E-6</v>
      </c>
      <c r="R76" s="9">
        <v>-3.8618178045102474E-6</v>
      </c>
      <c r="S76" s="9">
        <v>-1.5683152109492402E-6</v>
      </c>
      <c r="T76" s="9">
        <v>-6.6566245268677236E-6</v>
      </c>
      <c r="U76" s="9">
        <v>-2.0168017022559066E-5</v>
      </c>
      <c r="V76" s="9">
        <v>-8.5094104597191599E-7</v>
      </c>
      <c r="W76" s="9"/>
      <c r="X76" s="9"/>
      <c r="Y76" s="9"/>
      <c r="Z76" s="9"/>
      <c r="AA76" s="9"/>
      <c r="AB76" s="9"/>
      <c r="AC76" s="9"/>
      <c r="AD76" s="9"/>
      <c r="AE76" s="9"/>
      <c r="AF76" s="9"/>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row>
    <row r="77" spans="1:67" x14ac:dyDescent="0.2">
      <c r="B77" s="9">
        <v>-2.4263792935586333E-7</v>
      </c>
      <c r="C77" s="9">
        <v>8.0498296694381754E-7</v>
      </c>
      <c r="D77" s="9">
        <v>3.2790504846544787E-6</v>
      </c>
      <c r="E77" s="9">
        <v>8.1988581904196275E-7</v>
      </c>
      <c r="F77" s="9">
        <v>-8.6775457993812855E-7</v>
      </c>
      <c r="G77" s="9">
        <v>-2.6051733911043962E-6</v>
      </c>
      <c r="H77" s="9">
        <v>-4.0812370352744166E-7</v>
      </c>
      <c r="I77" s="9">
        <v>-4.1718656621885597E-6</v>
      </c>
      <c r="J77" s="9">
        <v>-9.8136633519262461E-7</v>
      </c>
      <c r="K77" s="9">
        <v>-4.1085969634698862E-8</v>
      </c>
      <c r="L77" s="9">
        <v>3.1311760414398107E-7</v>
      </c>
      <c r="M77" s="9">
        <v>1.3917084270621268E-6</v>
      </c>
      <c r="N77" s="9">
        <v>-2.376933638561894E-6</v>
      </c>
      <c r="O77" s="9">
        <v>5.9096537168939321E-6</v>
      </c>
      <c r="P77" s="9">
        <v>1.8544550219407914E-6</v>
      </c>
      <c r="Q77" s="9">
        <v>5.6254804809819705E-6</v>
      </c>
      <c r="R77" s="9">
        <v>-1.2576055745703087E-5</v>
      </c>
      <c r="S77" s="9">
        <v>-2.3484915570863015E-6</v>
      </c>
      <c r="T77" s="9">
        <v>-2.5326626127280399E-5</v>
      </c>
      <c r="U77" s="9">
        <v>1.46617090746057E-5</v>
      </c>
      <c r="V77" s="9">
        <v>-5.5793810756988602E-6</v>
      </c>
      <c r="W77" s="9"/>
      <c r="X77" s="9"/>
      <c r="Y77" s="9"/>
      <c r="Z77" s="9"/>
      <c r="AA77" s="9"/>
      <c r="AB77" s="9"/>
      <c r="AC77" s="9"/>
      <c r="AD77" s="9"/>
      <c r="AE77" s="9"/>
      <c r="AF77" s="9"/>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row>
    <row r="78" spans="1:67" x14ac:dyDescent="0.2">
      <c r="B78" s="9">
        <v>-1.8416175929709157E-7</v>
      </c>
      <c r="C78" s="9">
        <v>-5.4807197186329118E-7</v>
      </c>
      <c r="D78" s="9">
        <v>8.1988581904196126E-7</v>
      </c>
      <c r="E78" s="9">
        <v>3.7688080355528087E-6</v>
      </c>
      <c r="F78" s="9">
        <v>-3.9144184388419333E-6</v>
      </c>
      <c r="G78" s="9">
        <v>-2.3403270720540646E-6</v>
      </c>
      <c r="H78" s="9">
        <v>8.3948869071485147E-7</v>
      </c>
      <c r="I78" s="9">
        <v>-5.7382655195106933E-7</v>
      </c>
      <c r="J78" s="9">
        <v>1.4459730487284344E-6</v>
      </c>
      <c r="K78" s="9">
        <v>3.4866698465644476E-6</v>
      </c>
      <c r="L78" s="9">
        <v>-1.4254283925681573E-6</v>
      </c>
      <c r="M78" s="9">
        <v>1.7973368211208701E-6</v>
      </c>
      <c r="N78" s="9">
        <v>-1.2344436392018287E-6</v>
      </c>
      <c r="O78" s="9">
        <v>3.0989135863461824E-6</v>
      </c>
      <c r="P78" s="9">
        <v>-2.4150067370459905E-7</v>
      </c>
      <c r="Q78" s="9">
        <v>8.0888857143641016E-6</v>
      </c>
      <c r="R78" s="9">
        <v>2.373328589745054E-6</v>
      </c>
      <c r="S78" s="9">
        <v>-1.2025256494992439E-5</v>
      </c>
      <c r="T78" s="9">
        <v>-3.453767000951539E-5</v>
      </c>
      <c r="U78" s="9">
        <v>5.617659364596731E-5</v>
      </c>
      <c r="V78" s="9">
        <v>-3.0797276437994549E-5</v>
      </c>
      <c r="W78" s="9"/>
      <c r="X78" s="9"/>
      <c r="Y78" s="9"/>
      <c r="Z78" s="9"/>
      <c r="AA78" s="9"/>
      <c r="AB78" s="9"/>
      <c r="AC78" s="9"/>
      <c r="AD78" s="9"/>
      <c r="AE78" s="9"/>
      <c r="AF78" s="9"/>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row>
    <row r="79" spans="1:67" x14ac:dyDescent="0.2">
      <c r="B79" s="9">
        <v>1.1989457469877833E-8</v>
      </c>
      <c r="C79" s="9">
        <v>1.2874293671155574E-6</v>
      </c>
      <c r="D79" s="9">
        <v>-8.6775457993812029E-7</v>
      </c>
      <c r="E79" s="9">
        <v>-3.9144184388419401E-6</v>
      </c>
      <c r="F79" s="9">
        <v>7.5207398281817681E-6</v>
      </c>
      <c r="G79" s="9">
        <v>1.9047668717228373E-6</v>
      </c>
      <c r="H79" s="9">
        <v>-8.8143277794880537E-7</v>
      </c>
      <c r="I79" s="9">
        <v>1.2264411316385267E-6</v>
      </c>
      <c r="J79" s="9">
        <v>-8.6319083211472346E-7</v>
      </c>
      <c r="K79" s="9">
        <v>-5.4300614714377267E-6</v>
      </c>
      <c r="L79" s="9">
        <v>-5.7827545886069499E-6</v>
      </c>
      <c r="M79" s="9">
        <v>-2.1111645100982711E-6</v>
      </c>
      <c r="N79" s="9">
        <v>3.1302864415843984E-7</v>
      </c>
      <c r="O79" s="9">
        <v>-2.23774491437045E-5</v>
      </c>
      <c r="P79" s="9">
        <v>5.62668663460815E-7</v>
      </c>
      <c r="Q79" s="9">
        <v>-6.9321971729462067E-6</v>
      </c>
      <c r="R79" s="9">
        <v>1.336821258272111E-5</v>
      </c>
      <c r="S79" s="9">
        <v>6.1968466843957516E-6</v>
      </c>
      <c r="T79" s="9">
        <v>4.2456140366043802E-5</v>
      </c>
      <c r="U79" s="9">
        <v>-8.2588597429579633E-5</v>
      </c>
      <c r="V79" s="9">
        <v>3.0712520398211096E-5</v>
      </c>
      <c r="W79" s="9"/>
      <c r="X79" s="9"/>
      <c r="Y79" s="9"/>
      <c r="Z79" s="9"/>
      <c r="AA79" s="9"/>
      <c r="AB79" s="9"/>
      <c r="AC79" s="9"/>
      <c r="AD79" s="9"/>
      <c r="AE79" s="9"/>
      <c r="AF79" s="9"/>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row>
    <row r="80" spans="1:67" x14ac:dyDescent="0.2">
      <c r="B80" s="9">
        <v>1.2258167551629887E-7</v>
      </c>
      <c r="C80" s="9">
        <v>-2.4951278273206569E-6</v>
      </c>
      <c r="D80" s="9">
        <v>-2.6051733911044262E-6</v>
      </c>
      <c r="E80" s="9">
        <v>-2.340327072054068E-6</v>
      </c>
      <c r="F80" s="9">
        <v>1.9047668717228418E-6</v>
      </c>
      <c r="G80" s="9">
        <v>1.7082833050523078E-5</v>
      </c>
      <c r="H80" s="9">
        <v>-1.2798012829142124E-6</v>
      </c>
      <c r="I80" s="9">
        <v>6.2016174416252332E-7</v>
      </c>
      <c r="J80" s="9">
        <v>-3.9736163054654401E-6</v>
      </c>
      <c r="K80" s="9">
        <v>-1.335745647381316E-7</v>
      </c>
      <c r="L80" s="9">
        <v>-1.0600446718273455E-6</v>
      </c>
      <c r="M80" s="9">
        <v>-7.8892667639393094E-6</v>
      </c>
      <c r="N80" s="9">
        <v>-2.4659840348120668E-5</v>
      </c>
      <c r="O80" s="9">
        <v>-1.1996708599990166E-5</v>
      </c>
      <c r="P80" s="9">
        <v>-3.1186736353916122E-6</v>
      </c>
      <c r="Q80" s="9">
        <v>3.7597665782577886E-6</v>
      </c>
      <c r="R80" s="9">
        <v>1.1742932176139817E-5</v>
      </c>
      <c r="S80" s="9">
        <v>2.9991073448095108E-6</v>
      </c>
      <c r="T80" s="9">
        <v>-8.6055857048748131E-6</v>
      </c>
      <c r="U80" s="9">
        <v>-2.4552618141961626E-5</v>
      </c>
      <c r="V80" s="9">
        <v>2.0723488695463357E-5</v>
      </c>
      <c r="W80" s="9"/>
      <c r="X80" s="9"/>
      <c r="Y80" s="9"/>
      <c r="Z80" s="9"/>
      <c r="AA80" s="9"/>
      <c r="AB80" s="9"/>
      <c r="AC80" s="9"/>
      <c r="AD80" s="9"/>
      <c r="AE80" s="9"/>
      <c r="AF80" s="9"/>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row>
    <row r="81" spans="2:67" x14ac:dyDescent="0.2">
      <c r="B81" s="9">
        <v>-5.0682408067440685E-8</v>
      </c>
      <c r="C81" s="9">
        <v>3.5562088463697755E-7</v>
      </c>
      <c r="D81" s="9">
        <v>-4.0812370352744235E-7</v>
      </c>
      <c r="E81" s="9">
        <v>8.3948869071485274E-7</v>
      </c>
      <c r="F81" s="9">
        <v>-8.814327779488041E-7</v>
      </c>
      <c r="G81" s="9">
        <v>-1.279801282914212E-6</v>
      </c>
      <c r="H81" s="9">
        <v>3.2260677095474564E-6</v>
      </c>
      <c r="I81" s="9">
        <v>5.4363738619810339E-7</v>
      </c>
      <c r="J81" s="9">
        <v>1.5431574384142058E-6</v>
      </c>
      <c r="K81" s="9">
        <v>-3.2841565385475919E-7</v>
      </c>
      <c r="L81" s="9">
        <v>-1.386891463662836E-6</v>
      </c>
      <c r="M81" s="9">
        <v>9.3240959933699486E-7</v>
      </c>
      <c r="N81" s="9">
        <v>-1.078563545474879E-6</v>
      </c>
      <c r="O81" s="9">
        <v>5.5652649042873479E-6</v>
      </c>
      <c r="P81" s="9">
        <v>-1.8641401603176773E-7</v>
      </c>
      <c r="Q81" s="9">
        <v>-9.8224422697772553E-6</v>
      </c>
      <c r="R81" s="9">
        <v>-1.9922731445145277E-7</v>
      </c>
      <c r="S81" s="9">
        <v>-1.0501384078916158E-5</v>
      </c>
      <c r="T81" s="9">
        <v>-1.3023218883207311E-5</v>
      </c>
      <c r="U81" s="9">
        <v>3.9470227510824768E-5</v>
      </c>
      <c r="V81" s="9">
        <v>-7.8800362705107367E-6</v>
      </c>
      <c r="W81" s="9"/>
      <c r="X81" s="9"/>
      <c r="Y81" s="9"/>
      <c r="Z81" s="9"/>
      <c r="AA81" s="9"/>
      <c r="AB81" s="9"/>
      <c r="AC81" s="9"/>
      <c r="AD81" s="9"/>
      <c r="AE81" s="9"/>
      <c r="AF81" s="9"/>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row>
    <row r="82" spans="2:67" x14ac:dyDescent="0.2">
      <c r="B82" s="9">
        <v>2.7520414815324349E-7</v>
      </c>
      <c r="C82" s="9">
        <v>-1.159194864113033E-6</v>
      </c>
      <c r="D82" s="9">
        <v>-4.1718656621885504E-6</v>
      </c>
      <c r="E82" s="9">
        <v>-5.738265519510689E-7</v>
      </c>
      <c r="F82" s="9">
        <v>1.2264411316385371E-6</v>
      </c>
      <c r="G82" s="9">
        <v>6.2016174416247748E-7</v>
      </c>
      <c r="H82" s="9">
        <v>5.4363738619810212E-7</v>
      </c>
      <c r="I82" s="9">
        <v>1.0624437081411736E-5</v>
      </c>
      <c r="J82" s="9">
        <v>1.4753053904118062E-6</v>
      </c>
      <c r="K82" s="9">
        <v>-1.5055241569601582E-7</v>
      </c>
      <c r="L82" s="9">
        <v>-2.0022789330389106E-6</v>
      </c>
      <c r="M82" s="9">
        <v>-2.6164810779205318E-6</v>
      </c>
      <c r="N82" s="9">
        <v>6.4852067892995203E-6</v>
      </c>
      <c r="O82" s="9">
        <v>-2.774091560022394E-6</v>
      </c>
      <c r="P82" s="9">
        <v>-3.5789946138923554E-6</v>
      </c>
      <c r="Q82" s="9">
        <v>-9.4554413754340857E-6</v>
      </c>
      <c r="R82" s="9">
        <v>2.6154848639486013E-5</v>
      </c>
      <c r="S82" s="9">
        <v>-4.0374902080565517E-7</v>
      </c>
      <c r="T82" s="9">
        <v>1.6874009456618487E-5</v>
      </c>
      <c r="U82" s="9">
        <v>-2.5164463603938237E-5</v>
      </c>
      <c r="V82" s="9">
        <v>6.9258244162522264E-6</v>
      </c>
      <c r="W82" s="9"/>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row>
    <row r="83" spans="2:67" x14ac:dyDescent="0.2">
      <c r="B83" s="9">
        <v>3.657230333016123E-7</v>
      </c>
      <c r="C83" s="9">
        <v>1.0923054079069211E-6</v>
      </c>
      <c r="D83" s="9">
        <v>-9.8136633519261487E-7</v>
      </c>
      <c r="E83" s="9">
        <v>1.4459730487284391E-6</v>
      </c>
      <c r="F83" s="9">
        <v>-8.6319083211472271E-7</v>
      </c>
      <c r="G83" s="9">
        <v>-3.9736163054654511E-6</v>
      </c>
      <c r="H83" s="9">
        <v>1.5431574384142053E-6</v>
      </c>
      <c r="I83" s="9">
        <v>1.4753053904117945E-6</v>
      </c>
      <c r="J83" s="9">
        <v>1.1917294637876327E-5</v>
      </c>
      <c r="K83" s="9">
        <v>-1.73139727194481E-6</v>
      </c>
      <c r="L83" s="9">
        <v>-7.7208749672669496E-6</v>
      </c>
      <c r="M83" s="9">
        <v>4.4599878424561385E-6</v>
      </c>
      <c r="N83" s="9">
        <v>-8.3136250579890067E-6</v>
      </c>
      <c r="O83" s="9">
        <v>1.398042935524985E-5</v>
      </c>
      <c r="P83" s="9">
        <v>1.6604847957606689E-7</v>
      </c>
      <c r="Q83" s="9">
        <v>-1.6693790009049922E-5</v>
      </c>
      <c r="R83" s="9">
        <v>1.3379329900938605E-5</v>
      </c>
      <c r="S83" s="9">
        <v>-1.5543400105737411E-5</v>
      </c>
      <c r="T83" s="9">
        <v>6.6284917441851867E-6</v>
      </c>
      <c r="U83" s="9">
        <v>3.2153477084474122E-5</v>
      </c>
      <c r="V83" s="9">
        <v>-3.0132275756720446E-5</v>
      </c>
      <c r="W83" s="9"/>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row>
    <row r="84" spans="2:67" x14ac:dyDescent="0.2">
      <c r="B84" s="9">
        <v>-9.964669292504182E-7</v>
      </c>
      <c r="C84" s="9">
        <v>-2.7994525467259141E-6</v>
      </c>
      <c r="D84" s="9">
        <v>-4.1085969634705658E-8</v>
      </c>
      <c r="E84" s="9">
        <v>3.4866698465644425E-6</v>
      </c>
      <c r="F84" s="9">
        <v>-5.4300614714377047E-6</v>
      </c>
      <c r="G84" s="9">
        <v>-1.3357456473814616E-7</v>
      </c>
      <c r="H84" s="9">
        <v>-3.2841565385476544E-7</v>
      </c>
      <c r="I84" s="9">
        <v>-1.5055241569600243E-7</v>
      </c>
      <c r="J84" s="9">
        <v>-1.7313972719448252E-6</v>
      </c>
      <c r="K84" s="9">
        <v>3.0853668781232417E-5</v>
      </c>
      <c r="L84" s="9">
        <v>4.2569682692842618E-6</v>
      </c>
      <c r="M84" s="9">
        <v>1.5853991264165866E-6</v>
      </c>
      <c r="N84" s="9">
        <v>-2.3232025353278217E-6</v>
      </c>
      <c r="O84" s="9">
        <v>-3.2405062914089342E-5</v>
      </c>
      <c r="P84" s="9">
        <v>-5.7147206747181924E-6</v>
      </c>
      <c r="Q84" s="9">
        <v>4.5009190585349935E-6</v>
      </c>
      <c r="R84" s="9">
        <v>1.3598226972628901E-5</v>
      </c>
      <c r="S84" s="9">
        <v>-4.3244413871789916E-6</v>
      </c>
      <c r="T84" s="9">
        <v>1.4056679558970137E-5</v>
      </c>
      <c r="U84" s="9">
        <v>4.5552814732529726E-5</v>
      </c>
      <c r="V84" s="9">
        <v>-4.517872349619507E-5</v>
      </c>
      <c r="W84" s="9"/>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row>
    <row r="85" spans="2:67" x14ac:dyDescent="0.2">
      <c r="B85" s="9">
        <v>-5.4962109526452158E-7</v>
      </c>
      <c r="C85" s="9">
        <v>-1.824770242976656E-6</v>
      </c>
      <c r="D85" s="9">
        <v>3.1311760414396223E-7</v>
      </c>
      <c r="E85" s="9">
        <v>-1.4254283925681495E-6</v>
      </c>
      <c r="F85" s="9">
        <v>-5.7827545886069643E-6</v>
      </c>
      <c r="G85" s="9">
        <v>-1.0600446718273608E-6</v>
      </c>
      <c r="H85" s="9">
        <v>-1.3868914636628262E-6</v>
      </c>
      <c r="I85" s="9">
        <v>-2.0022789330388712E-6</v>
      </c>
      <c r="J85" s="9">
        <v>-7.7208749672669361E-6</v>
      </c>
      <c r="K85" s="9">
        <v>4.2569682692842838E-6</v>
      </c>
      <c r="L85" s="9">
        <v>9.1600942967893511E-5</v>
      </c>
      <c r="M85" s="9">
        <v>6.1080777599639907E-6</v>
      </c>
      <c r="N85" s="9">
        <v>1.853711069194961E-5</v>
      </c>
      <c r="O85" s="9">
        <v>-4.0756744460734941E-5</v>
      </c>
      <c r="P85" s="9">
        <v>-1.1187727556247272E-5</v>
      </c>
      <c r="Q85" s="9">
        <v>4.2756713707755414E-5</v>
      </c>
      <c r="R85" s="9">
        <v>-6.8940679860309028E-5</v>
      </c>
      <c r="S85" s="9">
        <v>-2.8729407643239794E-5</v>
      </c>
      <c r="T85" s="9">
        <v>-8.702034003385054E-6</v>
      </c>
      <c r="U85" s="9">
        <v>-7.5831868851626021E-5</v>
      </c>
      <c r="V85" s="9">
        <v>4.4408956521663774E-7</v>
      </c>
      <c r="W85" s="9"/>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row>
    <row r="86" spans="2:67" x14ac:dyDescent="0.2">
      <c r="B86" s="9">
        <v>2.9030736396409213E-7</v>
      </c>
      <c r="C86" s="9">
        <v>7.9345195755530634E-7</v>
      </c>
      <c r="D86" s="9">
        <v>1.3917084270621414E-6</v>
      </c>
      <c r="E86" s="9">
        <v>1.7973368211208627E-6</v>
      </c>
      <c r="F86" s="9">
        <v>-2.1111645100982567E-6</v>
      </c>
      <c r="G86" s="9">
        <v>-7.8892667639393263E-6</v>
      </c>
      <c r="H86" s="9">
        <v>9.3240959933699327E-7</v>
      </c>
      <c r="I86" s="9">
        <v>-2.6164810779205581E-6</v>
      </c>
      <c r="J86" s="9">
        <v>4.4599878424561309E-6</v>
      </c>
      <c r="K86" s="9">
        <v>1.5853991264165849E-6</v>
      </c>
      <c r="L86" s="9">
        <v>6.1080777599639992E-6</v>
      </c>
      <c r="M86" s="9">
        <v>3.0939676421904372E-5</v>
      </c>
      <c r="N86" s="9">
        <v>3.9638394303937366E-6</v>
      </c>
      <c r="O86" s="9">
        <v>-2.2693207919019212E-5</v>
      </c>
      <c r="P86" s="9">
        <v>1.7397312309299643E-6</v>
      </c>
      <c r="Q86" s="9">
        <v>-5.9350248022346128E-6</v>
      </c>
      <c r="R86" s="9">
        <v>-8.9976059674502365E-7</v>
      </c>
      <c r="S86" s="9">
        <v>-5.883924841379806E-5</v>
      </c>
      <c r="T86" s="9">
        <v>4.4620746695355283E-5</v>
      </c>
      <c r="U86" s="9">
        <v>8.1851288333514887E-6</v>
      </c>
      <c r="V86" s="9">
        <v>-1.3793198277317606E-5</v>
      </c>
      <c r="W86" s="9"/>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row>
    <row r="87" spans="2:67" x14ac:dyDescent="0.2">
      <c r="B87" s="9">
        <v>4.0566721727316804E-7</v>
      </c>
      <c r="C87" s="9">
        <v>-2.4575039483386693E-6</v>
      </c>
      <c r="D87" s="9">
        <v>-2.3769336385618398E-6</v>
      </c>
      <c r="E87" s="9">
        <v>-1.2344436392018579E-6</v>
      </c>
      <c r="F87" s="9">
        <v>3.1302864415847774E-7</v>
      </c>
      <c r="G87" s="9">
        <v>-2.4659840348120729E-5</v>
      </c>
      <c r="H87" s="9">
        <v>-1.078563545474886E-6</v>
      </c>
      <c r="I87" s="9">
        <v>6.4852067892994627E-6</v>
      </c>
      <c r="J87" s="9">
        <v>-8.3136250579890067E-6</v>
      </c>
      <c r="K87" s="9">
        <v>-2.3232025353279831E-6</v>
      </c>
      <c r="L87" s="9">
        <v>1.8537110691949498E-5</v>
      </c>
      <c r="M87" s="9">
        <v>3.9638394303937011E-6</v>
      </c>
      <c r="N87" s="9">
        <v>1.4322994076889194E-4</v>
      </c>
      <c r="O87" s="9">
        <v>-6.5477230880367704E-5</v>
      </c>
      <c r="P87" s="9">
        <v>1.2132220099058333E-6</v>
      </c>
      <c r="Q87" s="9">
        <v>3.149493753770818E-5</v>
      </c>
      <c r="R87" s="9">
        <v>-1.1574561657996101E-5</v>
      </c>
      <c r="S87" s="9">
        <v>4.8280000147809105E-5</v>
      </c>
      <c r="T87" s="9">
        <v>4.1619060878332868E-5</v>
      </c>
      <c r="U87" s="9">
        <v>-2.0058823510715532E-5</v>
      </c>
      <c r="V87" s="9">
        <v>7.6174124147234247E-5</v>
      </c>
      <c r="W87" s="9"/>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row>
    <row r="88" spans="2:67" x14ac:dyDescent="0.2">
      <c r="B88" s="9">
        <v>1.2931870185976648E-6</v>
      </c>
      <c r="C88" s="9">
        <v>6.0893263402648769E-7</v>
      </c>
      <c r="D88" s="9">
        <v>5.9096537168938601E-6</v>
      </c>
      <c r="E88" s="9">
        <v>3.0989135863462946E-6</v>
      </c>
      <c r="F88" s="9">
        <v>-2.2377449143704633E-5</v>
      </c>
      <c r="G88" s="9">
        <v>-1.1996708599989905E-5</v>
      </c>
      <c r="H88" s="9">
        <v>5.5652649042873844E-6</v>
      </c>
      <c r="I88" s="9">
        <v>-2.7740915600223398E-6</v>
      </c>
      <c r="J88" s="9">
        <v>1.3980429355249904E-5</v>
      </c>
      <c r="K88" s="9">
        <v>-3.2405062914089085E-5</v>
      </c>
      <c r="L88" s="9">
        <v>-4.0756744460735002E-5</v>
      </c>
      <c r="M88" s="9">
        <v>-2.2693207919019164E-5</v>
      </c>
      <c r="N88" s="9">
        <v>-6.5477230880368369E-5</v>
      </c>
      <c r="O88" s="9">
        <v>7.1396464317243749E-4</v>
      </c>
      <c r="P88" s="9">
        <v>9.3901763355733605E-6</v>
      </c>
      <c r="Q88" s="9">
        <v>-1.3203061121263657E-4</v>
      </c>
      <c r="R88" s="9">
        <v>-1.7182027096027163E-4</v>
      </c>
      <c r="S88" s="9">
        <v>1.0585400465086663E-4</v>
      </c>
      <c r="T88" s="9">
        <v>-3.1394207546328292E-4</v>
      </c>
      <c r="U88" s="9">
        <v>4.168712144910339E-4</v>
      </c>
      <c r="V88" s="9">
        <v>-1.7634048674756547E-4</v>
      </c>
      <c r="W88" s="9"/>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row>
    <row r="89" spans="2:67" x14ac:dyDescent="0.2">
      <c r="B89" s="9">
        <v>-1.0795059840437106E-7</v>
      </c>
      <c r="C89" s="9">
        <v>2.4472389201259489E-6</v>
      </c>
      <c r="D89" s="9">
        <v>1.8544550219407972E-6</v>
      </c>
      <c r="E89" s="9">
        <v>-2.4150067370460239E-7</v>
      </c>
      <c r="F89" s="9">
        <v>5.6266866346080664E-7</v>
      </c>
      <c r="G89" s="9">
        <v>-3.118673635391577E-6</v>
      </c>
      <c r="H89" s="9">
        <v>-1.8641401603176765E-7</v>
      </c>
      <c r="I89" s="9">
        <v>-3.5789946138923748E-6</v>
      </c>
      <c r="J89" s="9">
        <v>1.6604847957605694E-7</v>
      </c>
      <c r="K89" s="9">
        <v>-5.7147206747181907E-6</v>
      </c>
      <c r="L89" s="9">
        <v>-1.1187727556247253E-5</v>
      </c>
      <c r="M89" s="9">
        <v>1.7397312309299366E-6</v>
      </c>
      <c r="N89" s="9">
        <v>1.2132220099057281E-6</v>
      </c>
      <c r="O89" s="9">
        <v>9.3901763355735384E-6</v>
      </c>
      <c r="P89" s="9">
        <v>5.659064209165392E-5</v>
      </c>
      <c r="Q89" s="9">
        <v>-9.0700247269062368E-6</v>
      </c>
      <c r="R89" s="9">
        <v>1.4351614207604635E-6</v>
      </c>
      <c r="S89" s="9">
        <v>7.9505838594345056E-6</v>
      </c>
      <c r="T89" s="9">
        <v>-2.946435869584312E-5</v>
      </c>
      <c r="U89" s="9">
        <v>1.6221801894059915E-5</v>
      </c>
      <c r="V89" s="9">
        <v>-4.6476607834057467E-5</v>
      </c>
      <c r="W89" s="9"/>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row>
    <row r="90" spans="2:67" x14ac:dyDescent="0.2">
      <c r="B90" s="9">
        <v>-2.5921335316465673E-6</v>
      </c>
      <c r="C90" s="9">
        <v>-3.1534455640433502E-6</v>
      </c>
      <c r="D90" s="9">
        <v>5.6254804809819417E-6</v>
      </c>
      <c r="E90" s="9">
        <v>8.0888857143640575E-6</v>
      </c>
      <c r="F90" s="9">
        <v>-6.9321971729461263E-6</v>
      </c>
      <c r="G90" s="9">
        <v>3.7597665782577607E-6</v>
      </c>
      <c r="H90" s="9">
        <v>-9.8224422697772587E-6</v>
      </c>
      <c r="I90" s="9">
        <v>-9.4554413754340434E-6</v>
      </c>
      <c r="J90" s="9">
        <v>-1.6693790009049926E-5</v>
      </c>
      <c r="K90" s="9">
        <v>4.5009190585349054E-6</v>
      </c>
      <c r="L90" s="9">
        <v>4.2756713707755468E-5</v>
      </c>
      <c r="M90" s="9">
        <v>-5.9350248022345611E-6</v>
      </c>
      <c r="N90" s="9">
        <v>3.1494937537708445E-5</v>
      </c>
      <c r="O90" s="9">
        <v>-1.3203061121263708E-4</v>
      </c>
      <c r="P90" s="9">
        <v>-9.0700247269062047E-6</v>
      </c>
      <c r="Q90" s="9">
        <v>4.1172098848612766E-4</v>
      </c>
      <c r="R90" s="9">
        <v>-1.192904171265394E-4</v>
      </c>
      <c r="S90" s="9">
        <v>-1.3855938927821807E-4</v>
      </c>
      <c r="T90" s="9">
        <v>-1.4463627196838164E-4</v>
      </c>
      <c r="U90" s="9">
        <v>-1.9339145698669475E-4</v>
      </c>
      <c r="V90" s="9">
        <v>-1.5077975520968494E-5</v>
      </c>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row>
    <row r="91" spans="2:67" x14ac:dyDescent="0.2">
      <c r="B91" s="9">
        <v>6.7364020053147487E-7</v>
      </c>
      <c r="C91" s="9">
        <v>-3.8618178045101949E-6</v>
      </c>
      <c r="D91" s="9">
        <v>-1.2576055745703031E-5</v>
      </c>
      <c r="E91" s="9">
        <v>2.3733285897450108E-6</v>
      </c>
      <c r="F91" s="9">
        <v>1.3368212582721179E-5</v>
      </c>
      <c r="G91" s="9">
        <v>1.1742932176139685E-5</v>
      </c>
      <c r="H91" s="9">
        <v>-1.992273144514839E-7</v>
      </c>
      <c r="I91" s="9">
        <v>2.6154848639485952E-5</v>
      </c>
      <c r="J91" s="9">
        <v>1.3379329900938575E-5</v>
      </c>
      <c r="K91" s="9">
        <v>1.3598226972628786E-5</v>
      </c>
      <c r="L91" s="9">
        <v>-6.8940679860309069E-5</v>
      </c>
      <c r="M91" s="9">
        <v>-8.9976059674500068E-7</v>
      </c>
      <c r="N91" s="9">
        <v>-1.157456165799585E-5</v>
      </c>
      <c r="O91" s="9">
        <v>-1.7182027096027195E-4</v>
      </c>
      <c r="P91" s="9">
        <v>1.4351614207605649E-6</v>
      </c>
      <c r="Q91" s="9">
        <v>-1.192904171265395E-4</v>
      </c>
      <c r="R91" s="9">
        <v>3.0011083191901222E-4</v>
      </c>
      <c r="S91" s="9">
        <v>-2.1843556799435796E-5</v>
      </c>
      <c r="T91" s="9">
        <v>9.4049486277539849E-5</v>
      </c>
      <c r="U91" s="9">
        <v>-2.0770339606539026E-4</v>
      </c>
      <c r="V91" s="9">
        <v>1.5042982802151393E-5</v>
      </c>
      <c r="W91" s="9"/>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row>
    <row r="92" spans="2:67" x14ac:dyDescent="0.2">
      <c r="B92" s="9">
        <v>1.8234425440299377E-6</v>
      </c>
      <c r="C92" s="9">
        <v>-1.568315210949269E-6</v>
      </c>
      <c r="D92" s="9">
        <v>-2.3484915570863175E-6</v>
      </c>
      <c r="E92" s="9">
        <v>-1.2025256494992412E-5</v>
      </c>
      <c r="F92" s="9">
        <v>6.1968466843956669E-6</v>
      </c>
      <c r="G92" s="9">
        <v>2.9991073448095922E-6</v>
      </c>
      <c r="H92" s="9">
        <v>-1.0501384078916144E-5</v>
      </c>
      <c r="I92" s="9">
        <v>-4.0374902080562764E-7</v>
      </c>
      <c r="J92" s="9">
        <v>-1.5543400105737387E-5</v>
      </c>
      <c r="K92" s="9">
        <v>-4.324441387179011E-6</v>
      </c>
      <c r="L92" s="9">
        <v>-2.8729407643239767E-5</v>
      </c>
      <c r="M92" s="9">
        <v>-5.8839248413798128E-5</v>
      </c>
      <c r="N92" s="9">
        <v>4.8280000147808752E-5</v>
      </c>
      <c r="O92" s="9">
        <v>1.0585400465086753E-4</v>
      </c>
      <c r="P92" s="9">
        <v>7.9505838594344379E-6</v>
      </c>
      <c r="Q92" s="9">
        <v>-1.385593892782181E-4</v>
      </c>
      <c r="R92" s="9">
        <v>-2.1843556799436053E-5</v>
      </c>
      <c r="S92" s="9">
        <v>4.6318578612213952E-4</v>
      </c>
      <c r="T92" s="9">
        <v>5.4128746413066237E-5</v>
      </c>
      <c r="U92" s="9">
        <v>-1.603372806318392E-4</v>
      </c>
      <c r="V92" s="9">
        <v>1.8815136181167573E-4</v>
      </c>
      <c r="W92" s="9"/>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row>
    <row r="93" spans="2:67" x14ac:dyDescent="0.2">
      <c r="B93" s="9">
        <v>-1.58078039878422E-6</v>
      </c>
      <c r="C93" s="9">
        <v>-6.6566245268675135E-6</v>
      </c>
      <c r="D93" s="9">
        <v>-2.5326626127280182E-5</v>
      </c>
      <c r="E93" s="9">
        <v>-3.4537670009515369E-5</v>
      </c>
      <c r="F93" s="9">
        <v>4.2456140366043829E-5</v>
      </c>
      <c r="G93" s="9">
        <v>-8.6055857048756026E-6</v>
      </c>
      <c r="H93" s="9">
        <v>-1.302321888320729E-5</v>
      </c>
      <c r="I93" s="9">
        <v>1.6874009456618324E-5</v>
      </c>
      <c r="J93" s="9">
        <v>6.6284917441853061E-6</v>
      </c>
      <c r="K93" s="9">
        <v>1.4056679558969886E-5</v>
      </c>
      <c r="L93" s="9">
        <v>-8.7020340033850015E-6</v>
      </c>
      <c r="M93" s="9">
        <v>4.46207466953555E-5</v>
      </c>
      <c r="N93" s="9">
        <v>4.1619060878333688E-5</v>
      </c>
      <c r="O93" s="9">
        <v>-3.139420754632821E-4</v>
      </c>
      <c r="P93" s="9">
        <v>-2.9464358695842828E-5</v>
      </c>
      <c r="Q93" s="9">
        <v>-1.4463627196838194E-4</v>
      </c>
      <c r="R93" s="9">
        <v>9.4049486277538819E-5</v>
      </c>
      <c r="S93" s="9">
        <v>5.4128746413066562E-5</v>
      </c>
      <c r="T93" s="9">
        <v>2.3155446742238071E-3</v>
      </c>
      <c r="U93" s="9">
        <v>-7.7586781022856205E-4</v>
      </c>
      <c r="V93" s="9">
        <v>3.6002056082436873E-4</v>
      </c>
      <c r="W93" s="9"/>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row>
    <row r="94" spans="2:67" x14ac:dyDescent="0.2">
      <c r="B94" s="9">
        <v>-1.7963933098325727E-6</v>
      </c>
      <c r="C94" s="9">
        <v>-2.0168017022559202E-5</v>
      </c>
      <c r="D94" s="9">
        <v>1.466170907460559E-5</v>
      </c>
      <c r="E94" s="9">
        <v>5.6176593645967371E-5</v>
      </c>
      <c r="F94" s="9">
        <v>-8.2588597429579619E-5</v>
      </c>
      <c r="G94" s="9">
        <v>-2.4552618141961328E-5</v>
      </c>
      <c r="H94" s="9">
        <v>3.9470227510824748E-5</v>
      </c>
      <c r="I94" s="9">
        <v>-2.5164463603938135E-5</v>
      </c>
      <c r="J94" s="9">
        <v>3.2153477084474054E-5</v>
      </c>
      <c r="K94" s="9">
        <v>4.5552814732530078E-5</v>
      </c>
      <c r="L94" s="9">
        <v>-7.5831868851626292E-5</v>
      </c>
      <c r="M94" s="9">
        <v>8.185128833351631E-6</v>
      </c>
      <c r="N94" s="9">
        <v>-2.0058823510715454E-5</v>
      </c>
      <c r="O94" s="9">
        <v>4.1687121449103157E-4</v>
      </c>
      <c r="P94" s="9">
        <v>1.6221801894059722E-5</v>
      </c>
      <c r="Q94" s="9">
        <v>-1.9339145698669323E-4</v>
      </c>
      <c r="R94" s="9">
        <v>-2.0770339606538925E-4</v>
      </c>
      <c r="S94" s="9">
        <v>-1.6033728063184031E-4</v>
      </c>
      <c r="T94" s="9">
        <v>-7.7586781022856086E-4</v>
      </c>
      <c r="U94" s="9">
        <v>3.336962874837921E-3</v>
      </c>
      <c r="V94" s="9">
        <v>-8.1336854751568521E-4</v>
      </c>
      <c r="W94" s="9"/>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row>
    <row r="95" spans="2:67" x14ac:dyDescent="0.2">
      <c r="B95" s="9">
        <v>3.8430715632606337E-6</v>
      </c>
      <c r="C95" s="9">
        <v>-8.509410459718603E-7</v>
      </c>
      <c r="D95" s="9">
        <v>-5.5793810756988297E-6</v>
      </c>
      <c r="E95" s="9">
        <v>-3.0797276437994583E-5</v>
      </c>
      <c r="F95" s="9">
        <v>3.0712520398211075E-5</v>
      </c>
      <c r="G95" s="9">
        <v>2.0723488695463238E-5</v>
      </c>
      <c r="H95" s="9">
        <v>-7.8800362705107283E-6</v>
      </c>
      <c r="I95" s="9">
        <v>6.9258244162522128E-6</v>
      </c>
      <c r="J95" s="9">
        <v>-3.0132275756720381E-5</v>
      </c>
      <c r="K95" s="9">
        <v>-4.5178723496195246E-5</v>
      </c>
      <c r="L95" s="9">
        <v>4.440895652167036E-7</v>
      </c>
      <c r="M95" s="9">
        <v>-1.3793198277317621E-5</v>
      </c>
      <c r="N95" s="9">
        <v>7.6174124147234057E-5</v>
      </c>
      <c r="O95" s="9">
        <v>-1.7634048674756419E-4</v>
      </c>
      <c r="P95" s="9">
        <v>-4.647660783405742E-5</v>
      </c>
      <c r="Q95" s="9">
        <v>-1.5077975520969082E-5</v>
      </c>
      <c r="R95" s="9">
        <v>1.5042982802150889E-5</v>
      </c>
      <c r="S95" s="9">
        <v>1.8815136181167614E-4</v>
      </c>
      <c r="T95" s="9">
        <v>3.60020560824369E-4</v>
      </c>
      <c r="U95" s="9">
        <v>-8.1336854751568532E-4</v>
      </c>
      <c r="V95" s="9">
        <v>8.1268921440062606E-4</v>
      </c>
      <c r="W95" s="9"/>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row>
    <row r="96" spans="2:67" x14ac:dyDescent="0.2">
      <c r="B96" s="9"/>
      <c r="C96" s="9"/>
      <c r="D96" s="9"/>
      <c r="E96" s="9"/>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row>
    <row r="97" spans="2:67" hidden="1" x14ac:dyDescent="0.2">
      <c r="B97" s="9"/>
      <c r="C97" s="9"/>
      <c r="D97" s="9"/>
      <c r="E97" s="9"/>
      <c r="F97" s="9"/>
      <c r="G97" s="9"/>
      <c r="H97" s="9"/>
      <c r="I97" s="9"/>
      <c r="J97" s="9"/>
      <c r="K97" s="9"/>
      <c r="L97" s="9"/>
      <c r="M97" s="9"/>
      <c r="N97" s="9"/>
      <c r="O97" s="9"/>
      <c r="P97" s="9"/>
      <c r="Q97" s="9"/>
      <c r="R97" s="9"/>
      <c r="S97" s="9"/>
      <c r="T97" s="9"/>
      <c r="U97" s="9"/>
      <c r="V97" s="9"/>
      <c r="W97" s="9"/>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row>
    <row r="98" spans="2:67" hidden="1" x14ac:dyDescent="0.2">
      <c r="B98" s="9"/>
      <c r="C98" s="9"/>
      <c r="D98" s="9"/>
      <c r="E98" s="9"/>
      <c r="F98" s="9"/>
      <c r="G98" s="9"/>
      <c r="H98" s="9"/>
      <c r="I98" s="9"/>
      <c r="J98" s="9"/>
      <c r="K98" s="9"/>
      <c r="L98" s="9"/>
      <c r="M98" s="9"/>
      <c r="N98" s="9"/>
      <c r="O98" s="9"/>
      <c r="P98" s="9"/>
      <c r="Q98" s="9"/>
      <c r="R98" s="9"/>
      <c r="S98" s="9"/>
      <c r="T98" s="9"/>
      <c r="U98" s="9"/>
      <c r="V98" s="9"/>
      <c r="W98" s="9"/>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row>
    <row r="99" spans="2:67" hidden="1" x14ac:dyDescent="0.2">
      <c r="B99" s="9"/>
      <c r="C99" s="9"/>
      <c r="D99" s="9"/>
      <c r="E99" s="9"/>
      <c r="F99" s="9"/>
      <c r="G99" s="9"/>
      <c r="H99" s="9"/>
      <c r="I99" s="9"/>
      <c r="J99" s="9"/>
      <c r="K99" s="9"/>
      <c r="L99" s="9"/>
      <c r="M99" s="9"/>
      <c r="N99" s="9"/>
      <c r="O99" s="9"/>
      <c r="P99" s="9"/>
      <c r="Q99" s="9"/>
      <c r="R99" s="9"/>
      <c r="S99" s="9"/>
      <c r="T99" s="9"/>
      <c r="U99" s="9"/>
      <c r="V99" s="9"/>
      <c r="W99" s="9"/>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row>
    <row r="100" spans="2:67" hidden="1" x14ac:dyDescent="0.2">
      <c r="B100" s="9"/>
      <c r="C100" s="9"/>
      <c r="D100" s="9"/>
      <c r="E100" s="9"/>
      <c r="F100" s="9"/>
      <c r="G100" s="9"/>
      <c r="H100" s="9"/>
      <c r="I100" s="9"/>
      <c r="J100" s="9"/>
      <c r="K100" s="9"/>
      <c r="L100" s="9"/>
      <c r="M100" s="9"/>
      <c r="N100" s="9"/>
      <c r="O100" s="9"/>
      <c r="P100" s="9"/>
      <c r="Q100" s="9"/>
      <c r="R100" s="9"/>
      <c r="S100" s="9"/>
      <c r="T100" s="9"/>
      <c r="U100" s="9"/>
      <c r="V100" s="9"/>
      <c r="W100" s="9"/>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row>
    <row r="101" spans="2:67" hidden="1" x14ac:dyDescent="0.2">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row>
    <row r="102" spans="2:67" hidden="1" x14ac:dyDescent="0.2">
      <c r="B102" s="9"/>
      <c r="C102" s="9"/>
      <c r="D102" s="9"/>
      <c r="E102" s="9"/>
      <c r="F102" s="9"/>
      <c r="G102" s="9"/>
      <c r="H102" s="9"/>
      <c r="I102" s="9"/>
      <c r="J102" s="9"/>
      <c r="K102" s="9"/>
      <c r="L102" s="9"/>
      <c r="M102" s="9"/>
      <c r="N102" s="9"/>
      <c r="O102" s="9"/>
      <c r="P102" s="9"/>
      <c r="Q102" s="9"/>
      <c r="R102" s="9"/>
      <c r="S102" s="9"/>
      <c r="T102" s="9"/>
      <c r="U102" s="9"/>
      <c r="V102" s="9"/>
      <c r="W102" s="9"/>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row>
    <row r="103" spans="2:67" hidden="1" x14ac:dyDescent="0.2">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row>
    <row r="104" spans="2:67" hidden="1" x14ac:dyDescent="0.2">
      <c r="B104" s="9"/>
      <c r="C104" s="9"/>
      <c r="D104" s="9"/>
      <c r="E104" s="9"/>
      <c r="F104" s="9"/>
      <c r="G104" s="9"/>
      <c r="H104" s="9"/>
      <c r="I104" s="9"/>
      <c r="J104" s="9"/>
      <c r="K104" s="9"/>
      <c r="L104" s="9"/>
      <c r="M104" s="9"/>
      <c r="N104" s="9"/>
      <c r="O104" s="9"/>
      <c r="P104" s="9"/>
      <c r="Q104" s="9"/>
      <c r="R104" s="9"/>
      <c r="S104" s="9"/>
      <c r="T104" s="9"/>
      <c r="U104" s="9"/>
      <c r="V104" s="9"/>
      <c r="W104" s="9"/>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row>
    <row r="105" spans="2:67" hidden="1" x14ac:dyDescent="0.2">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row>
    <row r="106" spans="2:67" hidden="1" x14ac:dyDescent="0.2">
      <c r="B106" s="9"/>
      <c r="C106" s="9"/>
      <c r="D106" s="9"/>
      <c r="E106" s="9"/>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row>
    <row r="107" spans="2:67" hidden="1" x14ac:dyDescent="0.2">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row>
    <row r="108" spans="2:67" hidden="1" x14ac:dyDescent="0.2">
      <c r="B108" s="9"/>
      <c r="C108" s="9"/>
      <c r="D108" s="9"/>
      <c r="E108" s="9"/>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row>
    <row r="109" spans="2:67" hidden="1" x14ac:dyDescent="0.2">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row>
    <row r="110" spans="2:67" hidden="1" x14ac:dyDescent="0.2">
      <c r="B110" s="9"/>
      <c r="C110" s="9"/>
      <c r="D110" s="9"/>
      <c r="E110" s="9"/>
      <c r="F110" s="9"/>
      <c r="G110" s="9"/>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row>
    <row r="111" spans="2:67" hidden="1" x14ac:dyDescent="0.2">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row>
    <row r="112" spans="2:67" hidden="1" x14ac:dyDescent="0.2">
      <c r="B112" s="9"/>
      <c r="C112" s="9"/>
      <c r="D112" s="9"/>
      <c r="E112" s="9"/>
      <c r="F112" s="9"/>
      <c r="G112" s="9"/>
      <c r="H112" s="9"/>
      <c r="I112" s="9"/>
      <c r="J112" s="9"/>
      <c r="K112" s="9"/>
      <c r="L112" s="9"/>
      <c r="M112" s="9"/>
      <c r="N112" s="9"/>
      <c r="O112" s="9"/>
      <c r="P112" s="9"/>
      <c r="Q112" s="9"/>
      <c r="R112" s="9"/>
      <c r="S112" s="9"/>
      <c r="T112" s="9"/>
      <c r="U112" s="9"/>
      <c r="V112" s="9"/>
      <c r="W112" s="9"/>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row>
    <row r="113" spans="2:67" hidden="1" x14ac:dyDescent="0.2">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row>
    <row r="114" spans="2:67" hidden="1" x14ac:dyDescent="0.2">
      <c r="B114" s="9"/>
      <c r="C114" s="9"/>
      <c r="D114" s="9"/>
      <c r="E114" s="9"/>
      <c r="F114" s="9"/>
      <c r="G114" s="9"/>
      <c r="H114" s="9"/>
      <c r="I114" s="9"/>
      <c r="J114" s="9"/>
      <c r="K114" s="9"/>
      <c r="L114" s="9"/>
      <c r="M114" s="9"/>
      <c r="N114" s="9"/>
      <c r="O114" s="9"/>
      <c r="P114" s="9"/>
      <c r="Q114" s="9"/>
      <c r="R114" s="9"/>
      <c r="S114" s="9"/>
      <c r="T114" s="9"/>
      <c r="U114" s="9"/>
      <c r="V114" s="9"/>
      <c r="W114" s="9"/>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row>
    <row r="115" spans="2:67" hidden="1" x14ac:dyDescent="0.2">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row>
    <row r="116" spans="2:67" hidden="1" x14ac:dyDescent="0.2">
      <c r="B116" s="9"/>
      <c r="C116" s="9"/>
      <c r="D116" s="9"/>
      <c r="E116" s="9"/>
      <c r="F116" s="9"/>
      <c r="G116" s="9"/>
      <c r="H116" s="9"/>
      <c r="I116" s="9"/>
      <c r="J116" s="9"/>
      <c r="K116" s="9"/>
      <c r="L116" s="9"/>
      <c r="M116" s="9"/>
      <c r="N116" s="9"/>
      <c r="O116" s="9"/>
      <c r="P116" s="9"/>
      <c r="Q116" s="9"/>
      <c r="R116" s="9"/>
      <c r="S116" s="9"/>
      <c r="T116" s="9"/>
      <c r="U116" s="9"/>
      <c r="V116" s="9"/>
      <c r="W116" s="9"/>
      <c r="X116" s="9"/>
      <c r="Y116" s="9"/>
      <c r="Z116" s="9"/>
      <c r="AA116" s="9"/>
      <c r="AB116" s="9"/>
      <c r="AC116" s="9"/>
      <c r="AD116" s="9"/>
      <c r="AE116" s="9"/>
      <c r="AF116" s="9"/>
      <c r="AG116" s="9"/>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row>
    <row r="117" spans="2:67" hidden="1" x14ac:dyDescent="0.2">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row>
    <row r="118" spans="2:67" hidden="1" x14ac:dyDescent="0.2">
      <c r="B118" s="9"/>
      <c r="C118" s="9"/>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row>
    <row r="119" spans="2:67" hidden="1" x14ac:dyDescent="0.2">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row>
    <row r="120" spans="2:67" hidden="1" x14ac:dyDescent="0.2">
      <c r="B120" s="9"/>
      <c r="C120" s="9"/>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row>
    <row r="121" spans="2:67" hidden="1" x14ac:dyDescent="0.2">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c r="AB121" s="9"/>
      <c r="AC121" s="9"/>
      <c r="AD121" s="9"/>
      <c r="AE121" s="9"/>
      <c r="AF121" s="9"/>
      <c r="AG121" s="9"/>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row>
    <row r="122" spans="2:67" hidden="1" x14ac:dyDescent="0.2">
      <c r="B122" s="9"/>
      <c r="C122" s="9"/>
      <c r="D122" s="9"/>
      <c r="E122" s="9"/>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row>
    <row r="123" spans="2:67" hidden="1" x14ac:dyDescent="0.2">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9"/>
      <c r="AG123" s="9"/>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row>
    <row r="124" spans="2:67" hidden="1" x14ac:dyDescent="0.2">
      <c r="B124" s="9"/>
      <c r="C124" s="9"/>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row>
    <row r="125" spans="2:67" hidden="1" x14ac:dyDescent="0.2">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row>
    <row r="126" spans="2:67" hidden="1" x14ac:dyDescent="0.2">
      <c r="B126" s="9"/>
      <c r="C126" s="9"/>
      <c r="D126" s="9"/>
      <c r="E126" s="9"/>
      <c r="F126" s="9"/>
      <c r="G126" s="9"/>
      <c r="H126" s="9"/>
      <c r="I126" s="9"/>
      <c r="J126" s="9"/>
      <c r="K126" s="9"/>
      <c r="L126" s="9"/>
      <c r="M126" s="9"/>
      <c r="N126" s="9"/>
      <c r="O126" s="9"/>
      <c r="P126" s="9"/>
      <c r="Q126" s="9"/>
      <c r="R126" s="9"/>
      <c r="S126" s="9"/>
      <c r="T126" s="9"/>
      <c r="U126" s="9"/>
      <c r="V126" s="9"/>
      <c r="W126" s="9"/>
      <c r="X126" s="9"/>
      <c r="Y126" s="9"/>
      <c r="Z126" s="9"/>
      <c r="AA126" s="9"/>
      <c r="AB126" s="9"/>
      <c r="AC126" s="9"/>
      <c r="AD126" s="9"/>
      <c r="AE126" s="9"/>
      <c r="AF126" s="9"/>
      <c r="AG126" s="9"/>
      <c r="AH126" s="9"/>
      <c r="AI126" s="9"/>
      <c r="AJ126" s="9"/>
      <c r="AK126" s="9"/>
      <c r="AL126" s="9"/>
      <c r="AM126" s="9"/>
      <c r="AN126" s="9"/>
      <c r="AO126" s="9"/>
      <c r="AP126" s="9"/>
      <c r="AQ126" s="9"/>
      <c r="AR126" s="9"/>
      <c r="AS126" s="9"/>
      <c r="AT126" s="9"/>
      <c r="AU126" s="9"/>
      <c r="AV126" s="9"/>
      <c r="AW126" s="9"/>
      <c r="AX126" s="9"/>
      <c r="AY126" s="9"/>
      <c r="AZ126" s="9"/>
      <c r="BA126" s="9"/>
      <c r="BB126" s="9"/>
      <c r="BC126" s="9"/>
      <c r="BD126" s="9"/>
      <c r="BE126" s="9"/>
      <c r="BF126" s="9"/>
      <c r="BG126" s="9"/>
      <c r="BH126" s="9"/>
      <c r="BI126" s="9"/>
      <c r="BJ126" s="9"/>
      <c r="BK126" s="9"/>
      <c r="BL126" s="9"/>
      <c r="BM126" s="9"/>
      <c r="BN126" s="9"/>
      <c r="BO126" s="9"/>
    </row>
    <row r="127" spans="2:67" hidden="1" x14ac:dyDescent="0.2">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c r="AB127" s="9"/>
      <c r="AC127" s="9"/>
      <c r="AD127" s="9"/>
      <c r="AE127" s="9"/>
      <c r="AF127" s="9"/>
      <c r="AG127" s="9"/>
      <c r="AH127" s="9"/>
      <c r="AI127" s="9"/>
      <c r="AJ127" s="9"/>
      <c r="AK127" s="9"/>
      <c r="AL127" s="9"/>
      <c r="AM127" s="9"/>
      <c r="AN127" s="9"/>
      <c r="AO127" s="9"/>
      <c r="AP127" s="9"/>
      <c r="AQ127" s="9"/>
      <c r="AR127" s="9"/>
      <c r="AS127" s="9"/>
      <c r="AT127" s="9"/>
      <c r="AU127" s="9"/>
      <c r="AV127" s="9"/>
      <c r="AW127" s="9"/>
      <c r="AX127" s="9"/>
      <c r="AY127" s="9"/>
      <c r="AZ127" s="9"/>
      <c r="BA127" s="9"/>
      <c r="BB127" s="9"/>
      <c r="BC127" s="9"/>
      <c r="BD127" s="9"/>
      <c r="BE127" s="9"/>
      <c r="BF127" s="9"/>
      <c r="BG127" s="9"/>
      <c r="BH127" s="9"/>
      <c r="BI127" s="9"/>
      <c r="BJ127" s="9"/>
      <c r="BK127" s="9"/>
      <c r="BL127" s="9"/>
      <c r="BM127" s="9"/>
      <c r="BN127" s="9"/>
      <c r="BO127" s="9"/>
    </row>
    <row r="128" spans="2:67" hidden="1" x14ac:dyDescent="0.2">
      <c r="B128" s="9"/>
      <c r="C128" s="9"/>
      <c r="D128" s="9"/>
      <c r="E128" s="9"/>
      <c r="F128" s="9"/>
      <c r="G128" s="9"/>
      <c r="H128" s="9"/>
      <c r="I128" s="9"/>
      <c r="J128" s="9"/>
      <c r="K128" s="9"/>
      <c r="L128" s="9"/>
      <c r="M128" s="9"/>
      <c r="N128" s="9"/>
      <c r="O128" s="9"/>
      <c r="P128" s="9"/>
      <c r="Q128" s="9"/>
      <c r="R128" s="9"/>
      <c r="S128" s="9"/>
      <c r="T128" s="9"/>
      <c r="U128" s="9"/>
      <c r="V128" s="9"/>
      <c r="W128" s="9"/>
      <c r="X128" s="9"/>
      <c r="Y128" s="9"/>
      <c r="Z128" s="9"/>
      <c r="AA128" s="9"/>
      <c r="AB128" s="9"/>
      <c r="AC128" s="9"/>
      <c r="AD128" s="9"/>
      <c r="AE128" s="9"/>
      <c r="AF128" s="9"/>
      <c r="AG128" s="9"/>
      <c r="AH128" s="9"/>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c r="BO128" s="9"/>
    </row>
    <row r="129" spans="1:67" hidden="1" x14ac:dyDescent="0.2">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c r="AB129" s="9"/>
      <c r="AC129" s="9"/>
      <c r="AD129" s="9"/>
      <c r="AE129" s="9"/>
      <c r="AF129" s="9"/>
      <c r="AG129" s="9"/>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row>
    <row r="130" spans="1:67" hidden="1" x14ac:dyDescent="0.2">
      <c r="B130" s="9"/>
      <c r="C130" s="9"/>
      <c r="D130" s="9"/>
      <c r="E130" s="9"/>
      <c r="F130" s="9"/>
      <c r="G130" s="9"/>
      <c r="H130" s="9"/>
      <c r="I130" s="9"/>
      <c r="J130" s="9"/>
      <c r="K130" s="9"/>
      <c r="L130" s="9"/>
      <c r="M130" s="9"/>
      <c r="N130" s="9"/>
      <c r="O130" s="9"/>
      <c r="P130" s="9"/>
      <c r="Q130" s="9"/>
      <c r="R130" s="9"/>
      <c r="S130" s="9"/>
      <c r="T130" s="9"/>
      <c r="U130" s="9"/>
      <c r="V130" s="9"/>
      <c r="W130" s="9"/>
      <c r="X130" s="9"/>
      <c r="Y130" s="9"/>
      <c r="Z130" s="9"/>
      <c r="AA130" s="9"/>
      <c r="AB130" s="9"/>
      <c r="AC130" s="9"/>
      <c r="AD130" s="9"/>
      <c r="AE130" s="9"/>
      <c r="AF130" s="9"/>
      <c r="AG130" s="9"/>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row>
    <row r="131" spans="1:67" hidden="1" x14ac:dyDescent="0.2">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c r="AB131" s="9"/>
      <c r="AC131" s="9"/>
      <c r="AD131" s="9"/>
      <c r="AE131" s="9"/>
      <c r="AF131" s="9"/>
      <c r="AG131" s="9"/>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row>
    <row r="132" spans="1:67" hidden="1" x14ac:dyDescent="0.2">
      <c r="B132" s="9"/>
      <c r="C132" s="9"/>
      <c r="D132" s="9"/>
      <c r="E132" s="9"/>
      <c r="F132" s="9"/>
      <c r="G132" s="9"/>
      <c r="H132" s="9"/>
      <c r="I132" s="9"/>
      <c r="J132" s="9"/>
      <c r="K132" s="9"/>
      <c r="L132" s="9"/>
      <c r="M132" s="9"/>
      <c r="N132" s="9"/>
      <c r="O132" s="9"/>
      <c r="P132" s="9"/>
      <c r="Q132" s="9"/>
      <c r="R132" s="9"/>
      <c r="S132" s="9"/>
      <c r="T132" s="9"/>
      <c r="U132" s="9"/>
      <c r="V132" s="9"/>
      <c r="W132" s="9"/>
      <c r="X132" s="9"/>
      <c r="Y132" s="9"/>
      <c r="Z132" s="9"/>
      <c r="AA132" s="9"/>
      <c r="AB132" s="9"/>
      <c r="AC132" s="9"/>
      <c r="AD132" s="9"/>
      <c r="AE132" s="9"/>
      <c r="AF132" s="9"/>
      <c r="AG132" s="9"/>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c r="BN132" s="9"/>
      <c r="BO132" s="9"/>
    </row>
    <row r="133" spans="1:67" hidden="1" x14ac:dyDescent="0.2">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G133" s="9"/>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9"/>
      <c r="BN133" s="9"/>
      <c r="BO133" s="9"/>
    </row>
    <row r="134" spans="1:67" hidden="1" x14ac:dyDescent="0.2">
      <c r="B134" s="9"/>
      <c r="C134" s="9"/>
      <c r="D134" s="9"/>
      <c r="E134" s="9"/>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G134" s="9"/>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9"/>
      <c r="BN134" s="9"/>
      <c r="BO134" s="9"/>
    </row>
    <row r="135" spans="1:67" hidden="1" x14ac:dyDescent="0.2">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c r="AB135" s="9"/>
      <c r="AC135" s="9"/>
      <c r="AD135" s="9"/>
      <c r="AE135" s="9"/>
      <c r="AF135" s="9"/>
      <c r="AG135" s="9"/>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9"/>
      <c r="BO135" s="9"/>
    </row>
    <row r="136" spans="1:67" hidden="1" x14ac:dyDescent="0.2">
      <c r="B136" s="9"/>
      <c r="C136" s="9"/>
      <c r="D136" s="9"/>
      <c r="E136" s="9"/>
      <c r="F136" s="9"/>
      <c r="G136" s="9"/>
      <c r="H136" s="9"/>
      <c r="I136" s="9"/>
      <c r="J136" s="9"/>
      <c r="K136" s="9"/>
      <c r="L136" s="9"/>
      <c r="M136" s="9"/>
      <c r="N136" s="9"/>
      <c r="O136" s="9"/>
      <c r="P136" s="9"/>
      <c r="Q136" s="9"/>
      <c r="R136" s="9"/>
      <c r="S136" s="9"/>
      <c r="T136" s="9"/>
      <c r="U136" s="9"/>
      <c r="V136" s="9"/>
      <c r="W136" s="9"/>
      <c r="X136" s="9"/>
      <c r="Y136" s="9"/>
      <c r="Z136" s="9"/>
      <c r="AA136" s="9"/>
      <c r="AB136" s="9"/>
      <c r="AC136" s="9"/>
      <c r="AD136" s="9"/>
      <c r="AE136" s="9"/>
      <c r="AF136" s="9"/>
      <c r="AG136" s="9"/>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9"/>
      <c r="BO136" s="9"/>
    </row>
    <row r="137" spans="1:67" hidden="1" x14ac:dyDescent="0.2">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c r="AB137" s="9"/>
      <c r="AC137" s="9"/>
      <c r="AD137" s="9"/>
      <c r="AE137" s="9"/>
      <c r="AF137" s="9"/>
      <c r="AG137" s="9"/>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9"/>
    </row>
    <row r="138" spans="1:67" hidden="1" x14ac:dyDescent="0.2">
      <c r="B138" s="9"/>
      <c r="C138" s="9"/>
      <c r="D138" s="9"/>
      <c r="E138" s="9"/>
      <c r="F138" s="9"/>
      <c r="G138" s="9"/>
      <c r="H138" s="9"/>
      <c r="I138" s="9"/>
      <c r="J138" s="9"/>
      <c r="K138" s="9"/>
      <c r="L138" s="9"/>
      <c r="M138" s="9"/>
      <c r="N138" s="9"/>
      <c r="O138" s="9"/>
      <c r="P138" s="9"/>
      <c r="Q138" s="9"/>
      <c r="R138" s="9"/>
      <c r="S138" s="9"/>
      <c r="T138" s="9"/>
      <c r="U138" s="9"/>
      <c r="V138" s="9"/>
      <c r="W138" s="9"/>
      <c r="X138" s="9"/>
      <c r="Y138" s="9"/>
      <c r="Z138" s="9"/>
      <c r="AA138" s="9"/>
      <c r="AB138" s="9"/>
      <c r="AC138" s="9"/>
      <c r="AD138" s="9"/>
      <c r="AE138" s="9"/>
      <c r="AF138" s="9"/>
      <c r="AG138" s="9"/>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9"/>
    </row>
    <row r="139" spans="1:67" hidden="1" x14ac:dyDescent="0.2">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c r="AB139" s="9"/>
      <c r="AC139" s="9"/>
      <c r="AD139" s="9"/>
      <c r="AE139" s="9"/>
      <c r="AF139" s="9"/>
      <c r="AG139" s="9"/>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9"/>
    </row>
    <row r="140" spans="1:67" hidden="1" x14ac:dyDescent="0.2">
      <c r="B140" s="9"/>
      <c r="C140" s="9"/>
      <c r="D140" s="9"/>
      <c r="E140" s="9"/>
      <c r="F140" s="9"/>
      <c r="G140" s="9"/>
      <c r="H140" s="9"/>
      <c r="I140" s="9"/>
      <c r="J140" s="9"/>
      <c r="K140" s="9"/>
      <c r="L140" s="9"/>
      <c r="M140" s="9"/>
      <c r="N140" s="9"/>
      <c r="O140" s="9"/>
      <c r="P140" s="9"/>
      <c r="Q140" s="9"/>
      <c r="R140" s="9"/>
      <c r="S140" s="9"/>
      <c r="T140" s="9"/>
      <c r="U140" s="9"/>
      <c r="V140" s="9"/>
      <c r="W140" s="9"/>
      <c r="X140" s="9"/>
      <c r="Y140" s="9"/>
      <c r="Z140" s="9"/>
      <c r="AA140" s="9"/>
      <c r="AB140" s="9"/>
      <c r="AC140" s="9"/>
      <c r="AD140" s="9"/>
      <c r="AE140" s="9"/>
      <c r="AF140" s="9"/>
      <c r="AG140" s="9"/>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row>
    <row r="142" spans="1:67" x14ac:dyDescent="0.2">
      <c r="A142" s="8" t="s">
        <v>344</v>
      </c>
      <c r="B142" s="9">
        <f t="array" ref="B142:V142">MMULT(B4:V4,B75:V95)</f>
        <v>-9.8958047891604768E-5</v>
      </c>
      <c r="C142" s="9">
        <v>-4.5663933069239524E-4</v>
      </c>
      <c r="D142" s="9">
        <v>-3.430055808203107E-4</v>
      </c>
      <c r="E142" s="9">
        <v>-3.3050638163716392E-4</v>
      </c>
      <c r="F142" s="9">
        <v>2.8332173283293632E-4</v>
      </c>
      <c r="G142" s="9">
        <v>6.8199262558496412E-4</v>
      </c>
      <c r="H142" s="9">
        <v>-3.9121525217817731E-4</v>
      </c>
      <c r="I142" s="9">
        <v>-2.4639079754217957E-4</v>
      </c>
      <c r="J142" s="9">
        <v>-6.5525661466035441E-4</v>
      </c>
      <c r="K142" s="9">
        <v>3.7550711104628943E-4</v>
      </c>
      <c r="L142" s="9">
        <v>2.2352912869112122E-4</v>
      </c>
      <c r="M142" s="9">
        <v>3.4926930255907792E-4</v>
      </c>
      <c r="N142" s="9">
        <v>5.9444569855063886E-4</v>
      </c>
      <c r="O142" s="9">
        <v>2.4046293229286714E-3</v>
      </c>
      <c r="P142" s="9">
        <v>2.0298386337832862E-3</v>
      </c>
      <c r="Q142" s="9">
        <v>-2.238442565402374E-3</v>
      </c>
      <c r="R142" s="9">
        <v>-5.9654489363606192E-4</v>
      </c>
      <c r="S142" s="9">
        <v>6.351660179626452E-3</v>
      </c>
      <c r="T142" s="9">
        <v>2.1040960217993645E-2</v>
      </c>
      <c r="U142" s="9">
        <v>5.6050511584283466E-3</v>
      </c>
      <c r="V142" s="9">
        <v>-4.2490493661625026E-3</v>
      </c>
      <c r="W142" s="9"/>
      <c r="X142" s="9"/>
      <c r="Y142" s="9"/>
      <c r="Z142" s="9"/>
      <c r="AA142" s="9"/>
      <c r="AB142" s="9"/>
      <c r="AC142" s="9"/>
      <c r="AD142" s="9"/>
      <c r="AE142" s="9"/>
      <c r="AF142" s="9"/>
      <c r="AG142" s="9"/>
      <c r="AH142" s="9"/>
      <c r="AI142" s="9"/>
      <c r="AJ142" s="9"/>
      <c r="AK142" s="9"/>
      <c r="AL142" s="9"/>
      <c r="AM142" s="9"/>
      <c r="AN142" s="9"/>
      <c r="AO142" s="9"/>
    </row>
    <row r="144" spans="1:67" x14ac:dyDescent="0.2">
      <c r="A144" s="8" t="s">
        <v>345</v>
      </c>
      <c r="B144" s="9">
        <f t="array" ref="B144">Notes!C7^2-MMULT('MetaData (21) (2018)'!B142:V142,TRANSPOSE('MetaData (21) (2018)'!B4:V4))</f>
        <v>5.3343150591311783E-4</v>
      </c>
    </row>
  </sheetData>
  <mergeCells count="2">
    <mergeCell ref="A8:A9"/>
    <mergeCell ref="A75:A76"/>
  </mergeCells>
  <conditionalFormatting sqref="A1:BO1">
    <cfRule type="colorScale" priority="5">
      <colorScale>
        <cfvo type="min"/>
        <cfvo type="max"/>
        <color rgb="FFFFEF9C"/>
        <color rgb="FF63BE7B"/>
      </colorScale>
    </cfRule>
    <cfRule type="cellIs" dxfId="16" priority="6" operator="equal">
      <formula>#DIV/0!</formula>
    </cfRule>
  </conditionalFormatting>
  <conditionalFormatting sqref="B8:BO73">
    <cfRule type="colorScale" priority="4">
      <colorScale>
        <cfvo type="min"/>
        <cfvo type="percentile" val="50"/>
        <cfvo type="max"/>
        <color rgb="FFF8696B"/>
        <color rgb="FFFFEB84"/>
        <color rgb="FF63BE7B"/>
      </colorScale>
    </cfRule>
  </conditionalFormatting>
  <conditionalFormatting sqref="B75:BO140">
    <cfRule type="colorScale" priority="3">
      <colorScale>
        <cfvo type="min"/>
        <cfvo type="percentile" val="50"/>
        <cfvo type="max"/>
        <color rgb="FFF8696B"/>
        <color rgb="FFFFEB84"/>
        <color rgb="FF63BE7B"/>
      </colorScale>
    </cfRule>
  </conditionalFormatting>
  <conditionalFormatting sqref="B142:BO142">
    <cfRule type="colorScale" priority="2">
      <colorScale>
        <cfvo type="min"/>
        <cfvo type="percentile" val="50"/>
        <cfvo type="max"/>
        <color rgb="FFF8696B"/>
        <color rgb="FFFFEB84"/>
        <color rgb="FF63BE7B"/>
      </colorScale>
    </cfRule>
  </conditionalFormatting>
  <conditionalFormatting sqref="B4:V4">
    <cfRule type="colorScale" priority="1">
      <colorScale>
        <cfvo type="min"/>
        <cfvo type="percentile" val="50"/>
        <cfvo type="max"/>
        <color rgb="FFF8696B"/>
        <color rgb="FFFFEB84"/>
        <color rgb="FF63BE7B"/>
      </colorScale>
    </cfRule>
  </conditionalFormatting>
  <conditionalFormatting sqref="B2:BO2">
    <cfRule type="colorScale" priority="7">
      <colorScale>
        <cfvo type="min"/>
        <cfvo type="percentile" val="50"/>
        <cfvo type="max"/>
        <color rgb="FFF8696B"/>
        <color rgb="FFFFEB84"/>
        <color rgb="FF63BE7B"/>
      </colorScale>
    </cfRule>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A68"/>
  <sheetViews>
    <sheetView zoomScale="70" zoomScaleNormal="70" workbookViewId="0">
      <pane xSplit="1" ySplit="1" topLeftCell="B2" activePane="bottomRight" state="frozen"/>
      <selection pane="topRight" activeCell="B1" sqref="B1"/>
      <selection pane="bottomLeft" activeCell="A2" sqref="A2"/>
      <selection pane="bottomRight" activeCell="AA68" sqref="B2:AA68"/>
    </sheetView>
  </sheetViews>
  <sheetFormatPr baseColWidth="10" defaultColWidth="9.1640625" defaultRowHeight="15" x14ac:dyDescent="0.2"/>
  <cols>
    <col min="1" max="1" width="21.5" style="1" bestFit="1" customWidth="1"/>
    <col min="2" max="3" width="14.5" style="1" bestFit="1" customWidth="1"/>
    <col min="4" max="11" width="13.1640625" style="1" bestFit="1" customWidth="1"/>
    <col min="12" max="13" width="12.1640625" style="1" bestFit="1" customWidth="1"/>
    <col min="14" max="14" width="13.1640625" style="1" bestFit="1" customWidth="1"/>
    <col min="15" max="21" width="12.1640625" style="1" bestFit="1" customWidth="1"/>
    <col min="22" max="22" width="10.5" style="1" bestFit="1" customWidth="1"/>
    <col min="23" max="23" width="12.1640625" style="1" bestFit="1" customWidth="1"/>
    <col min="24" max="25" width="10.5" style="1" bestFit="1" customWidth="1"/>
    <col min="26" max="26" width="12.1640625" style="1" bestFit="1" customWidth="1"/>
    <col min="27" max="27" width="10.5" style="1" bestFit="1" customWidth="1"/>
    <col min="28" max="16384" width="9.1640625" style="1"/>
  </cols>
  <sheetData>
    <row r="1" spans="1:27" ht="105.75" customHeight="1" x14ac:dyDescent="0.2">
      <c r="A1" s="40" t="s">
        <v>0</v>
      </c>
      <c r="B1" s="3" t="s">
        <v>254</v>
      </c>
      <c r="C1" s="3" t="s">
        <v>255</v>
      </c>
      <c r="D1" s="3" t="s">
        <v>256</v>
      </c>
      <c r="E1" s="3" t="s">
        <v>257</v>
      </c>
      <c r="F1" s="3" t="s">
        <v>258</v>
      </c>
      <c r="G1" s="3" t="s">
        <v>259</v>
      </c>
      <c r="H1" s="3" t="s">
        <v>260</v>
      </c>
      <c r="I1" s="3" t="s">
        <v>261</v>
      </c>
      <c r="J1" s="3" t="s">
        <v>262</v>
      </c>
      <c r="K1" s="3" t="s">
        <v>263</v>
      </c>
      <c r="L1" s="3" t="s">
        <v>264</v>
      </c>
      <c r="M1" s="3" t="s">
        <v>265</v>
      </c>
      <c r="N1" s="3" t="s">
        <v>266</v>
      </c>
      <c r="O1" s="3" t="s">
        <v>267</v>
      </c>
      <c r="P1" s="3" t="s">
        <v>268</v>
      </c>
      <c r="Q1" s="3" t="s">
        <v>269</v>
      </c>
      <c r="R1" s="3" t="s">
        <v>270</v>
      </c>
      <c r="S1" s="3" t="s">
        <v>271</v>
      </c>
      <c r="T1" s="3" t="s">
        <v>272</v>
      </c>
      <c r="U1" s="3" t="s">
        <v>273</v>
      </c>
      <c r="V1" s="3" t="s">
        <v>274</v>
      </c>
      <c r="W1" s="3" t="s">
        <v>275</v>
      </c>
      <c r="X1" s="3" t="s">
        <v>276</v>
      </c>
      <c r="Y1" s="3" t="s">
        <v>277</v>
      </c>
      <c r="Z1" s="3" t="s">
        <v>278</v>
      </c>
      <c r="AA1" s="3" t="s">
        <v>279</v>
      </c>
    </row>
    <row r="2" spans="1:27" x14ac:dyDescent="0.2">
      <c r="A2" s="1" t="s">
        <v>4</v>
      </c>
      <c r="B2" s="1">
        <f>Notes!$C$6*VLOOKUP('Data_Raw++ (2017)'!A2,[172]geoMap!$A:$B,2,0)</f>
        <v>100000</v>
      </c>
      <c r="C2" s="1">
        <f>B2/VLOOKUP(A2,'[173]geoMap (1)'!$A:$B,2,0)*VLOOKUP(A2,'[173]geoMap (1)'!$A:$C,3,0)</f>
        <v>150000</v>
      </c>
      <c r="D2" s="1">
        <f>C2/VLOOKUP(A2,'[174]geoMap (2)'!$A:$B,2,0)*VLOOKUP(A2,'[174]geoMap (2)'!$A:$C,3,0)</f>
        <v>91935.483870967742</v>
      </c>
      <c r="E2" s="1">
        <f>D2/VLOOKUP(A2,'[175]geoMap (3)'!$A:$B,2,0)*VLOOKUP(A2,'[175]geoMap (3)'!$A:$C,3,0)</f>
        <v>22983.870967741936</v>
      </c>
      <c r="F2" s="1">
        <f>E2/VLOOKUP(A2,'[176]geoMap (4)'!$A:$B,2,0)*VLOOKUP(A2,'[176]geoMap (4)'!$A:$C,3,0)</f>
        <v>25917.982155113252</v>
      </c>
      <c r="G2" s="1">
        <f>F2/VLOOKUP(A2,'[177]geoMap (5)'!$A:$B,2,0)*VLOOKUP(A2,'[177]geoMap (5)'!$A:$C,3,0)</f>
        <v>55075.712079615667</v>
      </c>
      <c r="H2" s="1">
        <f>G2/VLOOKUP(A2,'[178]geoMap (6)'!$A:$B,2,0)*VLOOKUP(A2,'[178]geoMap (6)'!$A:$C,3,0)</f>
        <v>43273.773776840877</v>
      </c>
      <c r="I2" s="1">
        <f>H2/VLOOKUP(A2,'[179]geoMap (7)'!$A:$B,2,0)*VLOOKUP(A2,'[179]geoMap (7)'!$A:$C,3,0)</f>
        <v>38374.855990783421</v>
      </c>
      <c r="J2" s="1">
        <f>I2/VLOOKUP(A2,'[180]geoMap (8)'!$A:$B,2,0)*VLOOKUP(A2,'[180]geoMap (8)'!$A:$C,3,0)</f>
        <v>14923.555107526889</v>
      </c>
      <c r="K2" s="1">
        <f>J2/VLOOKUP(A2,'[181]geoMap (9)'!$A:$B,2,0)*VLOOKUP(A2,'[181]geoMap (9)'!$A:$C,3,0)</f>
        <v>20608.718958013324</v>
      </c>
      <c r="L2" s="1">
        <f>K2/VLOOKUP(A2,'[182]geoMap (10)'!$A:$B,2,0)*VLOOKUP(A2,'[182]geoMap (10)'!$A:$C,3,0)</f>
        <v>7240.9012555181953</v>
      </c>
      <c r="M2" s="1">
        <f>L2/VLOOKUP(A2,'[183]geoMap (11)'!$A:$B,2,0)*VLOOKUP(A2,'[183]geoMap (11)'!$A:$C,3,0)</f>
        <v>6683.9088512475637</v>
      </c>
      <c r="N2" s="1">
        <f>M2/VLOOKUP(A2,'[184]geoMap (12)'!$A:$B,2,0)*VLOOKUP(A2,'[184]geoMap (12)'!$A:$C,3,0)</f>
        <v>14877.087443099415</v>
      </c>
      <c r="O2" s="1">
        <f>N2/VLOOKUP(A2,'[185]geoMap (13)'!$A:$B,2,0)*VLOOKUP(A2,'[185]geoMap (13)'!$A:$C,3,0)</f>
        <v>7000.9823261644306</v>
      </c>
      <c r="P2" s="1">
        <f>O2/VLOOKUP(A2,'[186]geoMap (14)'!$A:$B,2,0)*VLOOKUP(A2,'[186]geoMap (14)'!$A:$C,3,0)</f>
        <v>1139.6947972825819</v>
      </c>
      <c r="Q2" s="1">
        <f>P2/VLOOKUP(A2,'[187]geoMap (15)'!$A:$B,2,0)*VLOOKUP(A2,'[187]geoMap (15)'!$A:$C,3,0)</f>
        <v>9221.1669961954358</v>
      </c>
      <c r="R2" s="1">
        <f>Q2/VLOOKUP(A2,'[188]geoMap (16)'!$A:$B,2,0)*VLOOKUP(A2,'[188]geoMap (16)'!$A:$C,3,0)</f>
        <v>8511.8464580265572</v>
      </c>
      <c r="S2" s="1">
        <f>R2/VLOOKUP(A2,'[189]geoMap (17)'!$A:$B,2,0)*VLOOKUP(A2,'[189]geoMap (17)'!$A:$C,3,0)</f>
        <v>2542.4995913585822</v>
      </c>
      <c r="T2" s="1">
        <f>S2/VLOOKUP(A2,'[190]geoMap (18)'!$A:$B,2,0)*VLOOKUP(A2,'[190]geoMap (18)'!$A:$C,3,0)</f>
        <v>2646.2750848834226</v>
      </c>
      <c r="U2" s="1">
        <f>T2/VLOOKUP(A2,'[191]geoMap (19)'!$A:$B,2,0)*VLOOKUP(A2,'[191]geoMap (19)'!$A:$C,3,0)</f>
        <v>1621.9105358962911</v>
      </c>
      <c r="V2" s="1">
        <f>U2/VLOOKUP(A2,'[192]geoMap (20)'!$A:$B,2,0)*VLOOKUP(A2,'[192]geoMap (20)'!$A:$C,3,0)</f>
        <v>200.46085275122698</v>
      </c>
      <c r="W2" s="1">
        <f>V2/VLOOKUP(A2,'[193]geoMap (21)'!$A:$B,2,0)*VLOOKUP(A2,'[193]geoMap (21)'!$A:$C,3,0)</f>
        <v>1804.1476747610429</v>
      </c>
      <c r="X2" s="1">
        <f>W2/VLOOKUP(A2,'[194]geoMap (22)'!$A:$B,2,0)*VLOOKUP(A2,'[194]geoMap (22)'!$A:$C,3,0)</f>
        <v>538.90125350005178</v>
      </c>
      <c r="Y2" s="1">
        <f>X2/VLOOKUP(A2,'[195]geoMap (23)'!$A:$B,2,0)*VLOOKUP(A2,'[195]geoMap (23)'!$A:$C,3,0)</f>
        <v>808.35188025007756</v>
      </c>
      <c r="Z2" s="1">
        <f>Y2/VLOOKUP(A2,'[196]geoMap (24)'!$A:$B,2,0)*VLOOKUP(A2,'[196]geoMap (24)'!$A:$C,3,0)</f>
        <v>1028.8114839546442</v>
      </c>
      <c r="AA2" s="1">
        <f>Z2/VLOOKUP(A2,'[197]geoMap (25)'!$A:$B,2,0)*VLOOKUP(A2,'[197]geoMap (25)'!$A:$C,3,0)</f>
        <v>484.14658068453843</v>
      </c>
    </row>
    <row r="3" spans="1:27" x14ac:dyDescent="0.2">
      <c r="A3" s="1" t="s">
        <v>8</v>
      </c>
      <c r="B3" s="1">
        <f>Notes!$C$6*VLOOKUP('Data_Raw++ (2017)'!A3,[172]geoMap!$A:$B,2,0)</f>
        <v>14000</v>
      </c>
      <c r="C3" s="1">
        <f>B3/VLOOKUP(A3,'[173]geoMap (1)'!$A:$B,2,0)*VLOOKUP(A3,'[173]geoMap (1)'!$A:$C,3,0)</f>
        <v>8222.2222222222226</v>
      </c>
      <c r="D3" s="1">
        <f>C3/VLOOKUP(A3,'[174]geoMap (2)'!$A:$B,2,0)*VLOOKUP(A3,'[174]geoMap (2)'!$A:$C,3,0)</f>
        <v>8557.8231292517012</v>
      </c>
      <c r="E3" s="1">
        <f>D3/VLOOKUP(A3,'[175]geoMap (3)'!$A:$B,2,0)*VLOOKUP(A3,'[175]geoMap (3)'!$A:$C,3,0)</f>
        <v>8557.8231292517012</v>
      </c>
      <c r="F3" s="1">
        <f>E3/VLOOKUP(A3,'[176]geoMap (4)'!$A:$B,2,0)*VLOOKUP(A3,'[176]geoMap (4)'!$A:$C,3,0)</f>
        <v>6724.0038872691939</v>
      </c>
      <c r="G3" s="1">
        <f>F3/VLOOKUP(A3,'[177]geoMap (5)'!$A:$B,2,0)*VLOOKUP(A3,'[177]geoMap (5)'!$A:$C,3,0)</f>
        <v>4672.612870814186</v>
      </c>
      <c r="H3" s="1">
        <f>G3/VLOOKUP(A3,'[178]geoMap (6)'!$A:$B,2,0)*VLOOKUP(A3,'[178]geoMap (6)'!$A:$C,3,0)</f>
        <v>3115.0752472094573</v>
      </c>
      <c r="I3" s="1">
        <f>H3/VLOOKUP(A3,'[179]geoMap (7)'!$A:$B,2,0)*VLOOKUP(A3,'[179]geoMap (7)'!$A:$C,3,0)</f>
        <v>1604.7357334109324</v>
      </c>
      <c r="J3" s="1">
        <f>I3/VLOOKUP(A3,'[180]geoMap (8)'!$A:$B,2,0)*VLOOKUP(A3,'[180]geoMap (8)'!$A:$C,3,0)</f>
        <v>1809.5956142719028</v>
      </c>
      <c r="K3" s="1">
        <f>J3/VLOOKUP(A3,'[181]geoMap (9)'!$A:$B,2,0)*VLOOKUP(A3,'[181]geoMap (9)'!$A:$C,3,0)</f>
        <v>2124.3078950148424</v>
      </c>
      <c r="L3" s="1">
        <f>K3/VLOOKUP(A3,'[182]geoMap (10)'!$A:$B,2,0)*VLOOKUP(A3,'[182]geoMap (10)'!$A:$C,3,0)</f>
        <v>910.4176692920754</v>
      </c>
      <c r="M3" s="1">
        <f>L3/VLOOKUP(A3,'[183]geoMap (11)'!$A:$B,2,0)*VLOOKUP(A3,'[183]geoMap (11)'!$A:$C,3,0)</f>
        <v>715.32816872948774</v>
      </c>
      <c r="N3" s="1">
        <f>M3/VLOOKUP(A3,'[184]geoMap (12)'!$A:$B,2,0)*VLOOKUP(A3,'[184]geoMap (12)'!$A:$C,3,0)</f>
        <v>1388.5782098866525</v>
      </c>
      <c r="O3" s="1">
        <f>N3/VLOOKUP(A3,'[185]geoMap (13)'!$A:$B,2,0)*VLOOKUP(A3,'[185]geoMap (13)'!$A:$C,3,0)</f>
        <v>815.51418675882769</v>
      </c>
      <c r="P3" s="1">
        <f>O3/54*18</f>
        <v>271.83806225294256</v>
      </c>
      <c r="Q3" s="1">
        <f>O3/VLOOKUP(A3,'[198]geoMap (30)'!$A:$B,2,0)*VLOOKUP(A3,'[198]geoMap (30)'!$A:$C,3,0)</f>
        <v>458.72673005184055</v>
      </c>
      <c r="R3" s="1">
        <f>Q3/VLOOKUP(A3,'[188]geoMap (16)'!$A:$B,2,0)*VLOOKUP(A3,'[188]geoMap (16)'!$A:$C,3,0)</f>
        <v>332.18142520995355</v>
      </c>
      <c r="S3" s="1">
        <f>R3/VLOOKUP(A3,'[189]geoMap (17)'!$A:$B,2,0)*VLOOKUP(A3,'[189]geoMap (17)'!$A:$C,3,0)</f>
        <v>221.45428347330241</v>
      </c>
      <c r="T3" s="1">
        <f>S3/VLOOKUP(A3,'[190]geoMap (18)'!$A:$B,2,0)*VLOOKUP(A3,'[190]geoMap (18)'!$A:$C,3,0)</f>
        <v>230.49323381915147</v>
      </c>
      <c r="U3" s="1">
        <f>T3/VLOOKUP(A3,'[191]geoMap (19)'!$A:$B,2,0)*VLOOKUP(A3,'[191]geoMap (19)'!$A:$C,3,0)</f>
        <v>129.65244402327269</v>
      </c>
      <c r="V3" s="1">
        <f>U3/VLOOKUP(A3,'[192]geoMap (20)'!$A:$B,2,0)*VLOOKUP(A3,'[192]geoMap (20)'!$A:$C,3,0)</f>
        <v>194.47866603490903</v>
      </c>
      <c r="W3" s="1">
        <f>V3/VLOOKUP(A3,'[193]geoMap (21)'!$A:$B,2,0)*VLOOKUP(A3,'[193]geoMap (21)'!$A:$C,3,0)</f>
        <v>129.65244402327269</v>
      </c>
      <c r="X3" s="1">
        <f>W3/VLOOKUP(A3,'[194]geoMap (22)'!$A:$B,2,0)*VLOOKUP(A3,'[194]geoMap (22)'!$A:$C,3,0)</f>
        <v>165.01220148416525</v>
      </c>
      <c r="Y3" s="1">
        <f>X3/VLOOKUP(A3,'[195]geoMap (23)'!$A:$B,2,0)*VLOOKUP(A3,'[195]geoMap (23)'!$A:$C,3,0)</f>
        <v>88.852723876088973</v>
      </c>
      <c r="Z3" s="1">
        <f>Y3/VLOOKUP(A3,'[196]geoMap (24)'!$A:$B,2,0)*VLOOKUP(A3,'[196]geoMap (24)'!$A:$C,3,0)</f>
        <v>88.852723876088973</v>
      </c>
      <c r="AA3" s="1">
        <f>Z3/VLOOKUP(A3,'[197]geoMap (25)'!$A:$B,2,0)*VLOOKUP(A3,'[197]geoMap (25)'!$A:$C,3,0)</f>
        <v>82.017898962543669</v>
      </c>
    </row>
    <row r="4" spans="1:27" x14ac:dyDescent="0.2">
      <c r="A4" s="1" t="s">
        <v>7</v>
      </c>
      <c r="B4" s="1">
        <f>Notes!$C$6*VLOOKUP('Data_Raw++ (2017)'!A4,[172]geoMap!$A:$B,2,0)</f>
        <v>26000</v>
      </c>
      <c r="C4" s="1">
        <f>B4/VLOOKUP(A4,'[173]geoMap (1)'!$A:$B,2,0)*VLOOKUP(A4,'[173]geoMap (1)'!$A:$C,3,0)</f>
        <v>1659.5744680851064</v>
      </c>
      <c r="D4" s="1">
        <f>C4/VLOOKUP(A4,'[174]geoMap (2)'!$A:$B,2,0)*VLOOKUP(A4,'[174]geoMap (2)'!$A:$C,3,0)</f>
        <v>3221.5269086357944</v>
      </c>
      <c r="E4" s="1">
        <f>D4/VLOOKUP(A4,'[175]geoMap (3)'!$A:$B,2,0)*VLOOKUP(A4,'[175]geoMap (3)'!$A:$C,3,0)</f>
        <v>2147.6846057571961</v>
      </c>
      <c r="F4" s="1">
        <f>E4/VLOOKUP(A4,'[176]geoMap (4)'!$A:$B,2,0)*VLOOKUP(A4,'[176]geoMap (4)'!$A:$C,3,0)</f>
        <v>2624.9478514810176</v>
      </c>
      <c r="G4" s="1">
        <f>F4/VLOOKUP(A4,'[177]geoMap (5)'!$A:$B,2,0)*VLOOKUP(A4,'[177]geoMap (5)'!$A:$C,3,0)</f>
        <v>1608.8390057464301</v>
      </c>
      <c r="H4" s="1">
        <f>G4/VLOOKUP(A4,'[178]geoMap (6)'!$A:$B,2,0)*VLOOKUP(A4,'[178]geoMap (6)'!$A:$C,3,0)</f>
        <v>2132.6470541289887</v>
      </c>
      <c r="I4" s="1">
        <f>H4/VLOOKUP(A4,'[179]geoMap (7)'!$A:$B,2,0)*VLOOKUP(A4,'[179]geoMap (7)'!$A:$C,3,0)</f>
        <v>468.14203627221701</v>
      </c>
      <c r="J4" s="1">
        <f>I4/VLOOKUP(A4,'[180]geoMap (8)'!$A:$B,2,0)*VLOOKUP(A4,'[180]geoMap (8)'!$A:$C,3,0)</f>
        <v>507.15387262823509</v>
      </c>
      <c r="K4" s="1">
        <f>J4/VLOOKUP(A4,'[181]geoMap (9)'!$A:$B,2,0)*VLOOKUP(A4,'[181]geoMap (9)'!$A:$C,3,0)</f>
        <v>941.85719202386531</v>
      </c>
      <c r="L4" s="1">
        <f>K4/VLOOKUP(A4,'[182]geoMap (10)'!$A:$B,2,0)*VLOOKUP(A4,'[182]geoMap (10)'!$A:$C,3,0)</f>
        <v>463.89981099682916</v>
      </c>
      <c r="M4" s="1">
        <f>L4/VLOOKUP(A4,'[183]geoMap (11)'!$A:$B,2,0)*VLOOKUP(A4,'[183]geoMap (11)'!$A:$C,3,0)</f>
        <v>272.4490953473441</v>
      </c>
      <c r="N4" s="1">
        <f>M4/VLOOKUP(A4,'[184]geoMap (12)'!$A:$B,2,0)*VLOOKUP(A4,'[184]geoMap (12)'!$A:$C,3,0)</f>
        <v>166.98492940643672</v>
      </c>
      <c r="O4" s="1">
        <f>N4/VLOOKUP(A4,'[185]geoMap (13)'!$A:$B,2,0)*VLOOKUP(A4,'[185]geoMap (13)'!$A:$C,3,0)</f>
        <v>188.30215443704566</v>
      </c>
      <c r="P4" s="1">
        <f>O4/VLOOKUP(A4,'[186]geoMap (14)'!$A:$B,2,0)*VLOOKUP(A4,'[186]geoMap (14)'!$A:$C,3,0)</f>
        <v>125.53476962469711</v>
      </c>
      <c r="Q4" s="1">
        <f>P4/VLOOKUP(A4,'[187]geoMap (15)'!$A:$B,2,0)*VLOOKUP(A4,'[187]geoMap (15)'!$A:$C,3,0)</f>
        <v>204.81988728240054</v>
      </c>
      <c r="R4" s="1">
        <f>Q4/VLOOKUP(A4,'[188]geoMap (16)'!$A:$B,2,0)*VLOOKUP(A4,'[188]geoMap (16)'!$A:$C,3,0)</f>
        <v>68.273295760800181</v>
      </c>
      <c r="S4" s="1">
        <f>R4/VLOOKUP(A4,'[189]geoMap (17)'!$A:$B,2,0)*VLOOKUP(A4,'[189]geoMap (17)'!$A:$C,3,0)</f>
        <v>94.2821703363431</v>
      </c>
      <c r="T4" s="1">
        <f>S4/VLOOKUP(A4,'[190]geoMap (18)'!$A:$B,2,0)*VLOOKUP(A4,'[190]geoMap (18)'!$A:$C,3,0)</f>
        <v>38.509618869773938</v>
      </c>
      <c r="U4" s="1">
        <f>T4/VLOOKUP(A4,'[191]geoMap (19)'!$A:$B,2,0)*VLOOKUP(A4,'[191]geoMap (19)'!$A:$C,3,0)</f>
        <v>32.804490148325947</v>
      </c>
      <c r="V4" s="1">
        <f>T4/26*5</f>
        <v>7.4056959364949879</v>
      </c>
      <c r="W4" s="1">
        <f>V4/19*20</f>
        <v>7.7954694068368289</v>
      </c>
      <c r="X4" s="1">
        <f>W4/16*38</f>
        <v>18.514239841237469</v>
      </c>
      <c r="Y4" s="1">
        <f>X4/VLOOKUP(A4,'[195]geoMap (23)'!$A:$B,2,0)*VLOOKUP(A4,'[195]geoMap (23)'!$A:$C,3,0)</f>
        <v>7.9346742176732006</v>
      </c>
      <c r="Z4" s="1">
        <f>Y4/VLOOKUP(A4,'[196]geoMap (24)'!$A:$B,2,0)*VLOOKUP(A4,'[196]geoMap (24)'!$A:$C,3,0)</f>
        <v>15.40260289313033</v>
      </c>
      <c r="AA4" s="1">
        <f>Z4/VLOOKUP(A4,'[197]geoMap (25)'!$A:$B,2,0)*VLOOKUP(A4,'[197]geoMap (25)'!$A:$C,3,0)</f>
        <v>5.9899011251062406</v>
      </c>
    </row>
    <row r="5" spans="1:27" x14ac:dyDescent="0.2">
      <c r="A5" s="1" t="s">
        <v>11</v>
      </c>
      <c r="B5" s="1">
        <f>Notes!$C$6*VLOOKUP('Data_Raw++ (2017)'!A5,[172]geoMap!$A:$B,2,0)</f>
        <v>21000</v>
      </c>
      <c r="C5" s="1">
        <f>B5/VLOOKUP(A5,'[173]geoMap (1)'!$A:$B,2,0)*VLOOKUP(A5,'[173]geoMap (1)'!$A:$C,3,0)</f>
        <v>14000</v>
      </c>
      <c r="D5" s="1">
        <f>C5/VLOOKUP(A5,'[174]geoMap (2)'!$A:$B,2,0)*VLOOKUP(A5,'[174]geoMap (2)'!$A:$C,3,0)</f>
        <v>14571.428571428572</v>
      </c>
      <c r="E5" s="1">
        <f>D5/VLOOKUP(A5,'[175]geoMap (3)'!$A:$B,2,0)*VLOOKUP(A5,'[175]geoMap (3)'!$A:$C,3,0)</f>
        <v>4857.1428571428578</v>
      </c>
      <c r="F5" s="1">
        <f>E5/VLOOKUP(A5,'[176]geoMap (4)'!$A:$B,2,0)*VLOOKUP(A5,'[176]geoMap (4)'!$A:$C,3,0)</f>
        <v>5701.8633540372684</v>
      </c>
      <c r="G5" s="1">
        <f>F5/VLOOKUP(A5,'[177]geoMap (5)'!$A:$B,2,0)*VLOOKUP(A5,'[177]geoMap (5)'!$A:$C,3,0)</f>
        <v>8552.7950310559027</v>
      </c>
      <c r="H5" s="1">
        <f>G5/VLOOKUP(A5,'[178]geoMap (6)'!$A:$B,2,0)*VLOOKUP(A5,'[178]geoMap (6)'!$A:$C,3,0)</f>
        <v>6720.0532386867808</v>
      </c>
      <c r="I5" s="1">
        <f>H5/VLOOKUP(A5,'[179]geoMap (7)'!$A:$B,2,0)*VLOOKUP(A5,'[179]geoMap (7)'!$A:$C,3,0)</f>
        <v>2007.2886297376097</v>
      </c>
      <c r="J5" s="1">
        <f>I5/VLOOKUP(A5,'[180]geoMap (8)'!$A:$B,2,0)*VLOOKUP(A5,'[180]geoMap (8)'!$A:$C,3,0)</f>
        <v>1780.0484075031629</v>
      </c>
      <c r="K5" s="1">
        <f>J5/VLOOKUP(A5,'[181]geoMap (9)'!$A:$B,2,0)*VLOOKUP(A5,'[181]geoMap (9)'!$A:$C,3,0)</f>
        <v>2904.2895069788447</v>
      </c>
      <c r="L5" s="1">
        <f>K5/VLOOKUP(A5,'[182]geoMap (10)'!$A:$B,2,0)*VLOOKUP(A5,'[182]geoMap (10)'!$A:$C,3,0)</f>
        <v>2281.9417554833776</v>
      </c>
      <c r="M5" s="1">
        <f>L5/VLOOKUP(A5,'[183]geoMap (11)'!$A:$B,2,0)*VLOOKUP(A5,'[183]geoMap (11)'!$A:$C,3,0)</f>
        <v>1521.2945036555852</v>
      </c>
      <c r="N5" s="1">
        <f>M5/VLOOKUP(A5,'[184]geoMap (12)'!$A:$B,2,0)*VLOOKUP(A5,'[184]geoMap (12)'!$A:$C,3,0)</f>
        <v>1583.3881568660172</v>
      </c>
      <c r="O5" s="1">
        <f>N5/VLOOKUP(A5,'[185]geoMap (13)'!$A:$B,2,0)*VLOOKUP(A5,'[185]geoMap (13)'!$A:$C,3,0)</f>
        <v>1244.0906946804419</v>
      </c>
      <c r="P5" s="1">
        <f>O5/VLOOKUP(A5,'[186]geoMap (14)'!$A:$B,2,0)*VLOOKUP(A5,'[186]geoMap (14)'!$A:$C,3,0)</f>
        <v>236.96965612960798</v>
      </c>
      <c r="Q5" s="1">
        <f>P5/VLOOKUP(A5,'[187]geoMap (15)'!$A:$B,2,0)*VLOOKUP(A5,'[187]geoMap (15)'!$A:$C,3,0)</f>
        <v>1244.0906946804419</v>
      </c>
      <c r="R5" s="1">
        <f>Q5/VLOOKUP(A5,'[188]geoMap (16)'!$A:$B,2,0)*VLOOKUP(A5,'[188]geoMap (16)'!$A:$C,3,0)</f>
        <v>1460.4542937553015</v>
      </c>
      <c r="S5" s="1">
        <f>R5/VLOOKUP(A5,'[189]geoMap (17)'!$A:$B,2,0)*VLOOKUP(A5,'[189]geoMap (17)'!$A:$C,3,0)</f>
        <v>752.35524223757966</v>
      </c>
      <c r="T5" s="1">
        <f>S5/VLOOKUP(A5,'[190]geoMap (18)'!$A:$B,2,0)*VLOOKUP(A5,'[190]geoMap (18)'!$A:$C,3,0)</f>
        <v>441.85942798080077</v>
      </c>
      <c r="U5" s="1">
        <f>T5/VLOOKUP(A5,'[191]geoMap (19)'!$A:$B,2,0)*VLOOKUP(A5,'[191]geoMap (19)'!$A:$C,3,0)</f>
        <v>294.57295198720055</v>
      </c>
      <c r="V5" s="1">
        <f>U5/VLOOKUP(A5,'[192]geoMap (20)'!$A:$B,2,0)*VLOOKUP(A5,'[192]geoMap (20)'!$A:$C,3,0)</f>
        <v>83.084678765620666</v>
      </c>
      <c r="W5" s="1">
        <f>V5/VLOOKUP(A5,'[193]geoMap (21)'!$A:$B,2,0)*VLOOKUP(A5,'[193]geoMap (21)'!$A:$C,3,0)</f>
        <v>203.41421352962303</v>
      </c>
      <c r="X5" s="1">
        <f>W5/VLOOKUP(A5,'[194]geoMap (22)'!$A:$B,2,0)*VLOOKUP(A5,'[194]geoMap (22)'!$A:$C,3,0)</f>
        <v>91.388994484323405</v>
      </c>
      <c r="Y5" s="1">
        <f>X5/VLOOKUP(A5,'[195]geoMap (23)'!$A:$B,2,0)*VLOOKUP(A5,'[195]geoMap (23)'!$A:$C,3,0)</f>
        <v>142.94176060368531</v>
      </c>
      <c r="Z5" s="1">
        <f>Y5/VLOOKUP(A5,'[196]geoMap (24)'!$A:$B,2,0)*VLOOKUP(A5,'[196]geoMap (24)'!$A:$C,3,0)</f>
        <v>142.94176060368531</v>
      </c>
      <c r="AA5" s="1">
        <f>Z5/VLOOKUP(A5,'[197]geoMap (25)'!$A:$B,2,0)*VLOOKUP(A5,'[197]geoMap (25)'!$A:$C,3,0)</f>
        <v>107.83325799927138</v>
      </c>
    </row>
    <row r="6" spans="1:27" x14ac:dyDescent="0.2">
      <c r="A6" s="1" t="s">
        <v>16</v>
      </c>
      <c r="B6" s="1">
        <f>Notes!$C$6*VLOOKUP('Data_Raw++ (2017)'!A6,[172]geoMap!$A:$B,2,0)</f>
        <v>19000</v>
      </c>
      <c r="C6" s="1">
        <f>B6/VLOOKUP(A6,'[173]geoMap (1)'!$A:$B,2,0)*VLOOKUP(A6,'[173]geoMap (1)'!$A:$C,3,0)</f>
        <v>5358.9743589743593</v>
      </c>
      <c r="D6" s="1">
        <f>C6/VLOOKUP(A6,'[174]geoMap (2)'!$A:$B,2,0)*VLOOKUP(A6,'[174]geoMap (2)'!$A:$C,3,0)</f>
        <v>8381.985535831689</v>
      </c>
      <c r="E6" s="1">
        <f>D6/VLOOKUP(A6,'[175]geoMap (3)'!$A:$B,2,0)*VLOOKUP(A6,'[175]geoMap (3)'!$A:$C,3,0)</f>
        <v>8381.985535831689</v>
      </c>
      <c r="F6" s="1">
        <f>E6/VLOOKUP(A6,'[176]geoMap (4)'!$A:$B,2,0)*VLOOKUP(A6,'[176]geoMap (4)'!$A:$C,3,0)</f>
        <v>5358.9743589743593</v>
      </c>
      <c r="G6" s="1">
        <f>F6/VLOOKUP(A6,'[177]geoMap (5)'!$A:$B,2,0)*VLOOKUP(A6,'[177]geoMap (5)'!$A:$C,3,0)</f>
        <v>5148.8185017596788</v>
      </c>
      <c r="H6" s="1">
        <f>G6/VLOOKUP(A6,'[178]geoMap (6)'!$A:$B,2,0)*VLOOKUP(A6,'[178]geoMap (6)'!$A:$C,3,0)</f>
        <v>3884.1964136081788</v>
      </c>
      <c r="I6" s="1">
        <f>H6/VLOOKUP(A6,'[179]geoMap (7)'!$A:$B,2,0)*VLOOKUP(A6,'[179]geoMap (7)'!$A:$C,3,0)</f>
        <v>1160.2145131556899</v>
      </c>
      <c r="J6" s="1">
        <f>I6/VLOOKUP(A6,'[180]geoMap (8)'!$A:$B,2,0)*VLOOKUP(A6,'[180]geoMap (8)'!$A:$C,3,0)</f>
        <v>1070.9672429129446</v>
      </c>
      <c r="K6" s="1">
        <f>J6/VLOOKUP(A6,'[181]geoMap (9)'!$A:$B,2,0)*VLOOKUP(A6,'[181]geoMap (9)'!$A:$C,3,0)</f>
        <v>1541.1479837039935</v>
      </c>
      <c r="L6" s="1">
        <f>K6/VLOOKUP(A6,'[182]geoMap (10)'!$A:$B,2,0)*VLOOKUP(A6,'[182]geoMap (10)'!$A:$C,3,0)</f>
        <v>1070.9672429129446</v>
      </c>
      <c r="M6" s="1">
        <f>L6/VLOOKUP(A6,'[183]geoMap (11)'!$A:$B,2,0)*VLOOKUP(A6,'[183]geoMap (11)'!$A:$C,3,0)</f>
        <v>807.92265693432671</v>
      </c>
      <c r="N6" s="1">
        <f>M6/VLOOKUP(A6,'[184]geoMap (12)'!$A:$B,2,0)*VLOOKUP(A6,'[184]geoMap (12)'!$A:$C,3,0)</f>
        <v>716.45971463987451</v>
      </c>
      <c r="O6" s="1">
        <f>N6/VLOOKUP(A6,'[185]geoMap (13)'!$A:$B,2,0)*VLOOKUP(A6,'[185]geoMap (13)'!$A:$C,3,0)</f>
        <v>586.1943119780791</v>
      </c>
      <c r="P6" s="1">
        <f>O6/VLOOKUP(A6,'[186]geoMap (14)'!$A:$B,2,0)*VLOOKUP(A6,'[186]geoMap (14)'!$A:$C,3,0)</f>
        <v>499.35071020354889</v>
      </c>
      <c r="Q6" s="1">
        <f>P6/VLOOKUP(A6,'[187]geoMap (15)'!$A:$B,2,0)*VLOOKUP(A6,'[187]geoMap (15)'!$A:$C,3,0)</f>
        <v>408.55967198472183</v>
      </c>
      <c r="R6" s="1">
        <f>Q6/VLOOKUP(A6,'[188]geoMap (16)'!$A:$B,2,0)*VLOOKUP(A6,'[188]geoMap (16)'!$A:$C,3,0)</f>
        <v>192.26337505163377</v>
      </c>
      <c r="S6" s="1">
        <f>R6/VLOOKUP(A6,'[189]geoMap (17)'!$A:$B,2,0)*VLOOKUP(A6,'[189]geoMap (17)'!$A:$C,3,0)</f>
        <v>327.36736833116021</v>
      </c>
      <c r="T6" s="1">
        <f>S6/VLOOKUP(A6,'[190]geoMap (18)'!$A:$B,2,0)*VLOOKUP(A6,'[190]geoMap (18)'!$A:$C,3,0)</f>
        <v>369.15894726705307</v>
      </c>
      <c r="U6" s="1">
        <f>T6/VLOOKUP(A6,'[191]geoMap (19)'!$A:$B,2,0)*VLOOKUP(A6,'[191]geoMap (19)'!$A:$C,3,0)</f>
        <v>98.130859400102707</v>
      </c>
      <c r="V6" s="1">
        <f>U6/VLOOKUP(A6,'[192]geoMap (20)'!$A:$B,2,0)*VLOOKUP(A6,'[192]geoMap (20)'!$A:$C,3,0)</f>
        <v>55.198608412557775</v>
      </c>
      <c r="W6" s="1">
        <f>V6/VLOOKUP(A6,'[193]geoMap (21)'!$A:$B,2,0)*VLOOKUP(A6,'[193]geoMap (21)'!$A:$C,3,0)</f>
        <v>102.51170133760729</v>
      </c>
      <c r="X6" s="1">
        <f>W6/VLOOKUP(A6,'[194]geoMap (22)'!$A:$B,2,0)*VLOOKUP(A6,'[194]geoMap (22)'!$A:$C,3,0)</f>
        <v>160.33881491266783</v>
      </c>
      <c r="Y6" s="1">
        <f>X6/VLOOKUP(A6,'[195]geoMap (23)'!$A:$B,2,0)*VLOOKUP(A6,'[195]geoMap (23)'!$A:$C,3,0)</f>
        <v>75.453559958902503</v>
      </c>
      <c r="Z6" s="1">
        <f>Y6/VLOOKUP(A6,'[196]geoMap (24)'!$A:$B,2,0)*VLOOKUP(A6,'[196]geoMap (24)'!$A:$C,3,0)</f>
        <v>118.01710660238595</v>
      </c>
      <c r="AA6" s="1">
        <f>Z6/VLOOKUP(A6,'[197]geoMap (25)'!$A:$B,2,0)*VLOOKUP(A6,'[197]geoMap (25)'!$A:$C,3,0)</f>
        <v>92.727726616160382</v>
      </c>
    </row>
    <row r="7" spans="1:27" x14ac:dyDescent="0.2">
      <c r="A7" s="1" t="s">
        <v>18</v>
      </c>
      <c r="B7" s="1">
        <f>Notes!$C$6*VLOOKUP('Data_Raw++ (2017)'!A7,[172]geoMap!$A:$B,2,0)</f>
        <v>15000</v>
      </c>
      <c r="C7" s="1">
        <f>B7/VLOOKUP(A7,'[173]geoMap (1)'!$A:$B,2,0)*VLOOKUP(A7,'[173]geoMap (1)'!$A:$C,3,0)</f>
        <v>3292.6829268292681</v>
      </c>
      <c r="D7" s="1">
        <f>C7/VLOOKUP(A7,'[174]geoMap (2)'!$A:$B,2,0)*VLOOKUP(A7,'[174]geoMap (2)'!$A:$C,3,0)</f>
        <v>6114.9825783972128</v>
      </c>
      <c r="E7" s="1">
        <f>D7/VLOOKUP(A7,'[175]geoMap (3)'!$A:$B,2,0)*VLOOKUP(A7,'[175]geoMap (3)'!$A:$C,3,0)</f>
        <v>5422.7203997107354</v>
      </c>
      <c r="F7" s="1">
        <f>E7/VLOOKUP(A7,'[176]geoMap (4)'!$A:$B,2,0)*VLOOKUP(A7,'[176]geoMap (4)'!$A:$C,3,0)</f>
        <v>5005.5880612714482</v>
      </c>
      <c r="G7" s="1">
        <f>F7/VLOOKUP(A7,'[177]geoMap (5)'!$A:$B,2,0)*VLOOKUP(A7,'[177]geoMap (5)'!$A:$C,3,0)</f>
        <v>3200.294006386664</v>
      </c>
      <c r="H7" s="1">
        <f>G7/VLOOKUP(A7,'[178]geoMap (6)'!$A:$B,2,0)*VLOOKUP(A7,'[178]geoMap (6)'!$A:$C,3,0)</f>
        <v>1723.2352342082036</v>
      </c>
      <c r="I7" s="1">
        <f>H7/VLOOKUP(A7,'[179]geoMap (7)'!$A:$B,2,0)*VLOOKUP(A7,'[179]geoMap (7)'!$A:$C,3,0)</f>
        <v>1101.7405595757368</v>
      </c>
      <c r="J7" s="1">
        <f>I7/VLOOKUP(A7,'[180]geoMap (8)'!$A:$B,2,0)*VLOOKUP(A7,'[180]geoMap (8)'!$A:$C,3,0)</f>
        <v>865.65329680950742</v>
      </c>
      <c r="K7" s="1">
        <f>J7/VLOOKUP(A7,'[181]geoMap (9)'!$A:$B,2,0)*VLOOKUP(A7,'[181]geoMap (9)'!$A:$C,3,0)</f>
        <v>1016.2016962546393</v>
      </c>
      <c r="L7" s="1">
        <f>K7/VLOOKUP(A7,'[182]geoMap (10)'!$A:$B,2,0)*VLOOKUP(A7,'[182]geoMap (10)'!$A:$C,3,0)</f>
        <v>766.60829717455249</v>
      </c>
      <c r="M7" s="1">
        <f>L7/VLOOKUP(A7,'[183]geoMap (11)'!$A:$B,2,0)*VLOOKUP(A7,'[183]geoMap (11)'!$A:$C,3,0)</f>
        <v>450.23026976918163</v>
      </c>
      <c r="N7" s="1">
        <f>M7/VLOOKUP(A7,'[184]geoMap (12)'!$A:$B,2,0)*VLOOKUP(A7,'[184]geoMap (12)'!$A:$C,3,0)</f>
        <v>399.26080526701008</v>
      </c>
      <c r="O7" s="1">
        <f>N7/VLOOKUP(A7,'[185]geoMap (13)'!$A:$B,2,0)*VLOOKUP(A7,'[185]geoMap (13)'!$A:$C,3,0)</f>
        <v>368.54843563108619</v>
      </c>
      <c r="P7" s="1">
        <f>O7/VLOOKUP(A7,'[186]geoMap (14)'!$A:$B,2,0)*VLOOKUP(A7,'[186]geoMap (14)'!$A:$C,3,0)</f>
        <v>902.30823895886624</v>
      </c>
      <c r="Q7" s="1">
        <f>P7/VLOOKUP(A7,'[187]geoMap (15)'!$A:$B,2,0)*VLOOKUP(A7,'[187]geoMap (15)'!$A:$C,3,0)</f>
        <v>300.76941298628873</v>
      </c>
      <c r="R7" s="1">
        <f>O7/VLOOKUP(A7,'[199]geoMap (31)'!$A:$B,2,0)*VLOOKUP(A7,'[199]geoMap (31)'!$A:$C,3,0)</f>
        <v>97.968571496871007</v>
      </c>
      <c r="S7" s="1">
        <f>R7/VLOOKUP(A7,'[189]geoMap (17)'!$A:$B,2,0)*VLOOKUP(A7,'[189]geoMap (17)'!$A:$C,3,0)</f>
        <v>159.84345875805269</v>
      </c>
      <c r="T7" s="1">
        <f>S7/VLOOKUP(A7,'[190]geoMap (18)'!$A:$B,2,0)*VLOOKUP(A7,'[190]geoMap (18)'!$A:$C,3,0)</f>
        <v>159.84345875805269</v>
      </c>
      <c r="U7" s="1">
        <f>T7/VLOOKUP(A7,'[191]geoMap (19)'!$A:$B,2,0)*VLOOKUP(A7,'[191]geoMap (19)'!$A:$C,3,0)</f>
        <v>75.220451180260085</v>
      </c>
      <c r="V7" s="1">
        <f>T7/39*8</f>
        <v>32.78840179652363</v>
      </c>
      <c r="W7" s="1">
        <f>Q7/VLOOKUP(A7,'[200]geoMap (34)'!$A:$B,2,0)*VLOOKUP(A7,'[200]geoMap (34)'!$A:$C,3,0)</f>
        <v>75.192353246572182</v>
      </c>
      <c r="X7" s="1">
        <f>W7/VLOOKUP(A7,'[194]geoMap (22)'!$A:$B,2,0)*VLOOKUP(A7,'[194]geoMap (22)'!$A:$C,3,0)</f>
        <v>95.699358677455507</v>
      </c>
      <c r="Y7" s="1">
        <f>X7/VLOOKUP(A7,'[195]geoMap (23)'!$A:$B,2,0)*VLOOKUP(A7,'[195]geoMap (23)'!$A:$C,3,0)</f>
        <v>47.135505020239279</v>
      </c>
      <c r="Z7" s="1">
        <f>Y7/VLOOKUP(A7,'[196]geoMap (24)'!$A:$B,2,0)*VLOOKUP(A7,'[196]geoMap (24)'!$A:$C,3,0)</f>
        <v>47.135505020239279</v>
      </c>
      <c r="AA7" s="1">
        <f>Y7/31*18</f>
        <v>27.369002914977646</v>
      </c>
    </row>
    <row r="8" spans="1:27" x14ac:dyDescent="0.2">
      <c r="A8" s="1" t="s">
        <v>20</v>
      </c>
      <c r="B8" s="1">
        <f>Notes!$C$6*VLOOKUP('Data_Raw++ (2017)'!A8,[172]geoMap!$A:$B,2,0)</f>
        <v>12000</v>
      </c>
      <c r="C8" s="1">
        <f>B8/VLOOKUP(A8,'[173]geoMap (1)'!$A:$B,2,0)*VLOOKUP(A8,'[173]geoMap (1)'!$A:$C,3,0)</f>
        <v>2285.7142857142858</v>
      </c>
      <c r="D8" s="1">
        <f>C8/VLOOKUP(A8,'[174]geoMap (2)'!$A:$B,2,0)*VLOOKUP(A8,'[174]geoMap (2)'!$A:$C,3,0)</f>
        <v>2683.2298136645963</v>
      </c>
      <c r="E8" s="1">
        <f>D8/VLOOKUP(A8,'[175]geoMap (3)'!$A:$B,2,0)*VLOOKUP(A8,'[175]geoMap (3)'!$A:$C,3,0)</f>
        <v>1575.8651286601596</v>
      </c>
      <c r="F8" s="1">
        <f>E8/VLOOKUP(A8,'[176]geoMap (4)'!$A:$B,2,0)*VLOOKUP(A8,'[176]geoMap (4)'!$A:$C,3,0)</f>
        <v>3858.1525563748737</v>
      </c>
      <c r="G8" s="1">
        <f>F8/VLOOKUP(A8,'[177]geoMap (5)'!$A:$B,2,0)*VLOOKUP(A8,'[177]geoMap (5)'!$A:$C,3,0)</f>
        <v>846.91153676521628</v>
      </c>
      <c r="H8" s="1">
        <f>G8/VLOOKUP(A8,'[178]geoMap (6)'!$A:$B,2,0)*VLOOKUP(A8,'[178]geoMap (6)'!$A:$C,3,0)</f>
        <v>846.91153676521628</v>
      </c>
      <c r="I8" s="1">
        <f>H8/VLOOKUP(A8,'[179]geoMap (7)'!$A:$B,2,0)*VLOOKUP(A8,'[179]geoMap (7)'!$A:$C,3,0)</f>
        <v>564.60769117681082</v>
      </c>
      <c r="J8" s="1">
        <f>I8/VLOOKUP(A8,'[180]geoMap (8)'!$A:$B,2,0)*VLOOKUP(A8,'[180]geoMap (8)'!$A:$C,3,0)</f>
        <v>564.60769117681082</v>
      </c>
      <c r="K8" s="1">
        <f>J8/VLOOKUP(A8,'[181]geoMap (9)'!$A:$B,2,0)*VLOOKUP(A8,'[181]geoMap (9)'!$A:$C,3,0)</f>
        <v>779.69633543464352</v>
      </c>
      <c r="L8" s="1">
        <f>K8/VLOOKUP(A8,'[182]geoMap (10)'!$A:$B,2,0)*VLOOKUP(A8,'[182]geoMap (10)'!$A:$C,3,0)</f>
        <v>207.2610511914875</v>
      </c>
      <c r="M8" s="1">
        <f>L8/VLOOKUP(A8,'[183]geoMap (11)'!$A:$B,2,0)*VLOOKUP(A8,'[183]geoMap (11)'!$A:$C,3,0)</f>
        <v>243.30645139870273</v>
      </c>
      <c r="N8" s="1">
        <f>J8/65*15</f>
        <v>130.29408257926403</v>
      </c>
      <c r="O8" s="1">
        <f>H8/VLOOKUP(A8,'[201]geoMap (28)'!$A:$B,2,0)*VLOOKUP(A8,'[201]geoMap (28)'!$A:$C,3,0)</f>
        <v>238.87248472865073</v>
      </c>
      <c r="P8" s="1">
        <f>O8/VLOOKUP(A8,'[186]geoMap (14)'!$A:$B,2,0)*VLOOKUP(A8,'[186]geoMap (14)'!$A:$C,3,0)</f>
        <v>443.62032878177996</v>
      </c>
      <c r="Q8" s="1">
        <f>P8/VLOOKUP(A8,'[187]geoMap (15)'!$A:$B,2,0)*VLOOKUP(A8,'[187]geoMap (15)'!$A:$C,3,0)</f>
        <v>238.8724847286507</v>
      </c>
      <c r="R8" s="1">
        <f>Q8/51*15</f>
        <v>70.25661315548551</v>
      </c>
      <c r="S8" s="1">
        <f>Q8/VLOOKUP(A8,'[202]geoMap (32)'!$A:$B,2,0)*VLOOKUP(A8,'[202]geoMap (32)'!$A:$C,3,0)</f>
        <v>102.3739220265646</v>
      </c>
      <c r="T8" s="1">
        <f>R8/47*26</f>
        <v>38.86536046899198</v>
      </c>
      <c r="U8" s="1">
        <f>H8/VLOOKUP(A8,'[203]geoMap (33)'!$A:$B,2,0)*VLOOKUP(A8,'[203]geoMap (33)'!$A:$C,3,0)</f>
        <v>73.64448145784489</v>
      </c>
      <c r="V8" s="1">
        <f>U8/VLOOKUP(A8,'[192]geoMap (20)'!$A:$B,2,0)*VLOOKUP(A8,'[192]geoMap (20)'!$A:$C,3,0)</f>
        <v>16.165861783429367</v>
      </c>
      <c r="W8" s="1">
        <f>V8/35*23</f>
        <v>10.623280600539299</v>
      </c>
      <c r="X8" s="1">
        <f>W8/22*30</f>
        <v>14.486291728008135</v>
      </c>
      <c r="Y8" s="1">
        <f>V8/VLOOKUP(A8,'[204]geoMap (35)'!$A:$B,2,0)*VLOOKUP(A8,'[204]geoMap (35)'!$A:$C,3,0)</f>
        <v>22.324285319973889</v>
      </c>
      <c r="Z8" s="1">
        <f>Y8/VLOOKUP(A8,'[196]geoMap (24)'!$A:$B,2,0)*VLOOKUP(A8,'[196]geoMap (24)'!$A:$C,3,0)</f>
        <v>16.165861783429367</v>
      </c>
      <c r="AA8" s="1">
        <f>Z8/VLOOKUP(A8,'[197]geoMap (25)'!$A:$B,2,0)*VLOOKUP(A8,'[197]geoMap (25)'!$A:$C,3,0)</f>
        <v>15.531906419373314</v>
      </c>
    </row>
    <row r="9" spans="1:27" x14ac:dyDescent="0.2">
      <c r="A9" s="1" t="s">
        <v>32</v>
      </c>
      <c r="B9" s="1">
        <f>Notes!$C$6*VLOOKUP('Data_Raw++ (2017)'!A9,[172]geoMap!$A:$B,2,0)</f>
        <v>11000</v>
      </c>
      <c r="C9" s="1">
        <f>B9/VLOOKUP(A9,'[173]geoMap (1)'!$A:$B,2,0)*VLOOKUP(A9,'[173]geoMap (1)'!$A:$C,3,0)</f>
        <v>11000</v>
      </c>
      <c r="D9" s="1">
        <f>C9/VLOOKUP(A9,'[174]geoMap (2)'!$A:$B,2,0)*VLOOKUP(A9,'[174]geoMap (2)'!$A:$C,3,0)</f>
        <v>7965.5172413793107</v>
      </c>
      <c r="E9" s="1">
        <f>D9/VLOOKUP(A9,'[175]geoMap (3)'!$A:$B,2,0)*VLOOKUP(A9,'[175]geoMap (3)'!$A:$C,3,0)</f>
        <v>8290.6403940886703</v>
      </c>
      <c r="F9" s="1">
        <f>E9/VLOOKUP(A9,'[176]geoMap (4)'!$A:$B,2,0)*VLOOKUP(A9,'[176]geoMap (4)'!$A:$C,3,0)</f>
        <v>5761.2924772480592</v>
      </c>
      <c r="G9" s="1">
        <f>F9/VLOOKUP(A9,'[177]geoMap (5)'!$A:$B,2,0)*VLOOKUP(A9,'[177]geoMap (5)'!$A:$C,3,0)</f>
        <v>6496.7766232797267</v>
      </c>
      <c r="H9" s="1">
        <f>G9/VLOOKUP(A9,'[178]geoMap (6)'!$A:$B,2,0)*VLOOKUP(A9,'[178]geoMap (6)'!$A:$C,3,0)</f>
        <v>3199.9049040034474</v>
      </c>
      <c r="I9" s="1">
        <f>H9/VLOOKUP(A9,'[179]geoMap (7)'!$A:$B,2,0)*VLOOKUP(A9,'[179]geoMap (7)'!$A:$C,3,0)</f>
        <v>2223.6627299007005</v>
      </c>
      <c r="J9" s="1">
        <f>I9/VLOOKUP(A9,'[180]geoMap (8)'!$A:$B,2,0)*VLOOKUP(A9,'[180]geoMap (8)'!$A:$C,3,0)</f>
        <v>2314.4244739782798</v>
      </c>
      <c r="K9" s="1">
        <f>J9/VLOOKUP(A9,'[181]geoMap (9)'!$A:$B,2,0)*VLOOKUP(A9,'[181]geoMap (9)'!$A:$C,3,0)</f>
        <v>4698.9830229255986</v>
      </c>
      <c r="L9" s="1">
        <f>K9/VLOOKUP(A9,'[182]geoMap (10)'!$A:$B,2,0)*VLOOKUP(A9,'[182]geoMap (10)'!$A:$C,3,0)</f>
        <v>1483.8893756607151</v>
      </c>
      <c r="M9" s="1">
        <f>L9/VLOOKUP(A9,'[183]geoMap (11)'!$A:$B,2,0)*VLOOKUP(A9,'[183]geoMap (11)'!$A:$C,3,0)</f>
        <v>1315.9018991708228</v>
      </c>
      <c r="N9" s="1">
        <f>M9/VLOOKUP(A9,'[184]geoMap (12)'!$A:$B,2,0)*VLOOKUP(A9,'[184]geoMap (12)'!$A:$C,3,0)</f>
        <v>1076.6470084124912</v>
      </c>
      <c r="O9" s="1">
        <f>N9/VLOOKUP(A9,'[185]geoMap (13)'!$A:$B,2,0)*VLOOKUP(A9,'[185]geoMap (13)'!$A:$C,3,0)</f>
        <v>993.82800776537636</v>
      </c>
      <c r="P9" s="1">
        <f>O9/VLOOKUP(A9,'[186]geoMap (14)'!$A:$B,2,0)*VLOOKUP(A9,'[186]geoMap (14)'!$A:$C,3,0)</f>
        <v>662.55200517691765</v>
      </c>
      <c r="Q9" s="1">
        <f>P9/VLOOKUP(A9,'[187]geoMap (15)'!$A:$B,2,0)*VLOOKUP(A9,'[187]geoMap (15)'!$A:$C,3,0)</f>
        <v>636.5695736013522</v>
      </c>
      <c r="R9" s="1">
        <f>Q9/VLOOKUP(A9,'[188]geoMap (16)'!$A:$B,2,0)*VLOOKUP(A9,'[188]geoMap (16)'!$A:$C,3,0)</f>
        <v>611.60606091110299</v>
      </c>
      <c r="S9" s="1">
        <f>R9/VLOOKUP(A9,'[189]geoMap (17)'!$A:$B,2,0)*VLOOKUP(A9,'[189]geoMap (17)'!$A:$C,3,0)</f>
        <v>329.32634049059391</v>
      </c>
      <c r="T9" s="1">
        <f>S9/VLOOKUP(A9,'[190]geoMap (18)'!$A:$B,2,0)*VLOOKUP(A9,'[190]geoMap (18)'!$A:$C,3,0)</f>
        <v>316.41158203998236</v>
      </c>
      <c r="U9" s="1">
        <f>T9/VLOOKUP(A9,'[191]geoMap (19)'!$A:$B,2,0)*VLOOKUP(A9,'[191]geoMap (19)'!$A:$C,3,0)</f>
        <v>219.87923497693689</v>
      </c>
      <c r="V9" s="1">
        <f>U9/VLOOKUP(A9,'[192]geoMap (20)'!$A:$B,2,0)*VLOOKUP(A9,'[192]geoMap (20)'!$A:$C,3,0)</f>
        <v>329.81885246540531</v>
      </c>
      <c r="W9" s="1">
        <f>V9/VLOOKUP(A9,'[193]geoMap (21)'!$A:$B,2,0)*VLOOKUP(A9,'[193]geoMap (21)'!$A:$C,3,0)</f>
        <v>93.025830182550209</v>
      </c>
      <c r="X9" s="1">
        <f>W9/VLOOKUP(A9,'[194]geoMap (22)'!$A:$B,2,0)*VLOOKUP(A9,'[194]geoMap (22)'!$A:$C,3,0)</f>
        <v>180.57955270730335</v>
      </c>
      <c r="Y9" s="1">
        <f>X9/VLOOKUP(A9,'[195]geoMap (23)'!$A:$B,2,0)*VLOOKUP(A9,'[195]geoMap (23)'!$A:$C,3,0)</f>
        <v>307.4732924475706</v>
      </c>
      <c r="Z9" s="1">
        <f>Y9/VLOOKUP(A9,'[196]geoMap (24)'!$A:$B,2,0)*VLOOKUP(A9,'[196]geoMap (24)'!$A:$C,3,0)</f>
        <v>125.58768283069784</v>
      </c>
      <c r="AA9" s="1">
        <f>Z9/VLOOKUP(A9,'[197]geoMap (25)'!$A:$B,2,0)*VLOOKUP(A9,'[197]geoMap (25)'!$A:$C,3,0)</f>
        <v>67.624136908837301</v>
      </c>
    </row>
    <row r="10" spans="1:27" x14ac:dyDescent="0.2">
      <c r="A10" s="1" t="s">
        <v>37</v>
      </c>
      <c r="B10" s="1">
        <f>Notes!$C$6*VLOOKUP('Data_Raw++ (2017)'!A10,[172]geoMap!$A:$B,2,0)</f>
        <v>10000</v>
      </c>
      <c r="C10" s="1">
        <f>B10/VLOOKUP(A10,'[173]geoMap (1)'!$A:$B,2,0)*VLOOKUP(A10,'[173]geoMap (1)'!$A:$C,3,0)</f>
        <v>3333.3333333333335</v>
      </c>
      <c r="D10" s="1">
        <f>C10/VLOOKUP(A10,'[174]geoMap (2)'!$A:$B,2,0)*VLOOKUP(A10,'[174]geoMap (2)'!$A:$C,3,0)</f>
        <v>5925.9259259259261</v>
      </c>
      <c r="E10" s="1">
        <f>D10/VLOOKUP(A10,'[175]geoMap (3)'!$A:$B,2,0)*VLOOKUP(A10,'[175]geoMap (3)'!$A:$C,3,0)</f>
        <v>4656.0846560846558</v>
      </c>
      <c r="F10" s="1">
        <f>E10/VLOOKUP(A10,'[176]geoMap (4)'!$A:$B,2,0)*VLOOKUP(A10,'[176]geoMap (4)'!$A:$C,3,0)</f>
        <v>4473.4931009440816</v>
      </c>
      <c r="G10" s="1">
        <f>F10/VLOOKUP(A10,'[177]geoMap (5)'!$A:$B,2,0)*VLOOKUP(A10,'[177]geoMap (5)'!$A:$C,3,0)</f>
        <v>2516.339869281046</v>
      </c>
      <c r="H10" s="1">
        <f>G10/VLOOKUP(A10,'[178]geoMap (6)'!$A:$B,2,0)*VLOOKUP(A10,'[178]geoMap (6)'!$A:$C,3,0)</f>
        <v>1898.2914803348244</v>
      </c>
      <c r="I10" s="1">
        <f>H10/VLOOKUP(A10,'[179]geoMap (7)'!$A:$B,2,0)*VLOOKUP(A10,'[179]geoMap (7)'!$A:$C,3,0)</f>
        <v>813.55349157206763</v>
      </c>
      <c r="J10" s="1">
        <f>I10/VLOOKUP(A10,'[180]geoMap (8)'!$A:$B,2,0)*VLOOKUP(A10,'[180]geoMap (8)'!$A:$C,3,0)</f>
        <v>1170.7233171402925</v>
      </c>
      <c r="K10" s="1">
        <f>J10/VLOOKUP(A10,'[181]geoMap (9)'!$A:$B,2,0)*VLOOKUP(A10,'[181]geoMap (9)'!$A:$C,3,0)</f>
        <v>997.28282571210093</v>
      </c>
      <c r="L10" s="1">
        <f>K10/VLOOKUP(A10,'[182]geoMap (10)'!$A:$B,2,0)*VLOOKUP(A10,'[182]geoMap (10)'!$A:$C,3,0)</f>
        <v>536.99844461420821</v>
      </c>
      <c r="M10" s="1">
        <f>L10/48*23</f>
        <v>257.31175471097475</v>
      </c>
      <c r="N10" s="1">
        <f>J10/59*18</f>
        <v>357.16982556822484</v>
      </c>
      <c r="O10" s="1">
        <f>H10/VLOOKUP(A10,'[201]geoMap (28)'!$A:$B,2,0)*VLOOKUP(A10,'[201]geoMap (28)'!$A:$C,3,0)</f>
        <v>416.69812982959564</v>
      </c>
      <c r="P10" s="1">
        <f>O10/53*17</f>
        <v>133.657890700059</v>
      </c>
      <c r="Q10" s="1">
        <f>O10/VLOOKUP(A10,'[198]geoMap (30)'!$A:$B,2,0)*VLOOKUP(A10,'[198]geoMap (30)'!$A:$C,3,0)</f>
        <v>289.56988683073598</v>
      </c>
      <c r="R10" s="1">
        <f>Q10/VLOOKUP(A10,'[188]geoMap (16)'!$A:$B,2,0)*VLOOKUP(A10,'[188]geoMap (16)'!$A:$C,3,0)</f>
        <v>155.92224675501166</v>
      </c>
      <c r="S10" s="1">
        <f>Q10/55*23</f>
        <v>121.09286176558051</v>
      </c>
      <c r="T10" s="1">
        <f>R10/61*39</f>
        <v>99.687993826974662</v>
      </c>
      <c r="U10" s="1">
        <f>T10/43*25</f>
        <v>57.958135945915501</v>
      </c>
      <c r="V10" s="1">
        <f>T10/68*32</f>
        <v>46.9119970950469</v>
      </c>
      <c r="W10" s="1">
        <f>V10/25*17</f>
        <v>31.900158024631892</v>
      </c>
      <c r="X10" s="1">
        <f>W10/15*17</f>
        <v>36.153512427916141</v>
      </c>
      <c r="Y10" s="1">
        <f>V10/VLOOKUP(A10,'[204]geoMap (35)'!$A:$B,2,0)*VLOOKUP(A10,'[204]geoMap (35)'!$A:$C,3,0)</f>
        <v>70.367995642570349</v>
      </c>
      <c r="Z10" s="1">
        <f>Y10/VLOOKUP(A10,'[196]geoMap (24)'!$A:$B,2,0)*VLOOKUP(A10,'[196]geoMap (24)'!$A:$C,3,0)</f>
        <v>86.005328007585987</v>
      </c>
      <c r="AA10" s="1">
        <f>Z10/VLOOKUP(A10,'[197]geoMap (25)'!$A:$B,2,0)*VLOOKUP(A10,'[197]geoMap (25)'!$A:$C,3,0)</f>
        <v>70.367995642570349</v>
      </c>
    </row>
    <row r="11" spans="1:27" x14ac:dyDescent="0.2">
      <c r="A11" s="1" t="s">
        <v>42</v>
      </c>
      <c r="B11" s="1">
        <f>Notes!$C$6*VLOOKUP('Data_Raw++ (2017)'!A11,[172]geoMap!$A:$B,2,0)</f>
        <v>9000</v>
      </c>
      <c r="C11" s="1">
        <f>B11/VLOOKUP(A11,'[173]geoMap (1)'!$A:$B,2,0)*VLOOKUP(A11,'[173]geoMap (1)'!$A:$C,3,0)</f>
        <v>11454.545454545456</v>
      </c>
      <c r="D11" s="1">
        <f>C11/VLOOKUP(A11,'[174]geoMap (2)'!$A:$B,2,0)*VLOOKUP(A11,'[174]geoMap (2)'!$A:$C,3,0)</f>
        <v>9757.575757575758</v>
      </c>
      <c r="E11" s="1">
        <f>D11/VLOOKUP(A11,'[175]geoMap (3)'!$A:$B,2,0)*VLOOKUP(A11,'[175]geoMap (3)'!$A:$C,3,0)</f>
        <v>5254.0792540792536</v>
      </c>
      <c r="F11" s="1">
        <f>E11/VLOOKUP(A11,'[176]geoMap (4)'!$A:$B,2,0)*VLOOKUP(A11,'[176]geoMap (4)'!$A:$C,3,0)</f>
        <v>2472.5078842725898</v>
      </c>
      <c r="G11" s="1">
        <f>F11/VLOOKUP(A11,'[177]geoMap (5)'!$A:$B,2,0)*VLOOKUP(A11,'[177]geoMap (5)'!$A:$C,3,0)</f>
        <v>7037.1378244681391</v>
      </c>
      <c r="H11" s="1">
        <f>G11/VLOOKUP(A11,'[178]geoMap (6)'!$A:$B,2,0)*VLOOKUP(A11,'[178]geoMap (6)'!$A:$C,3,0)</f>
        <v>3466.0529583201278</v>
      </c>
      <c r="I11" s="1">
        <f>H11/VLOOKUP(A11,'[179]geoMap (7)'!$A:$B,2,0)*VLOOKUP(A11,'[179]geoMap (7)'!$A:$C,3,0)</f>
        <v>2408.613072730936</v>
      </c>
      <c r="J11" s="1">
        <f>I11/VLOOKUP(A11,'[180]geoMap (8)'!$A:$B,2,0)*VLOOKUP(A11,'[180]geoMap (8)'!$A:$C,3,0)</f>
        <v>1240.8006738310883</v>
      </c>
      <c r="K11" s="1">
        <f>J11/VLOOKUP(A11,'[181]geoMap (9)'!$A:$B,2,0)*VLOOKUP(A11,'[181]geoMap (9)'!$A:$C,3,0)</f>
        <v>1785.542433074005</v>
      </c>
      <c r="L11" s="1">
        <f>K11/VLOOKUP(A11,'[182]geoMap (10)'!$A:$B,2,0)*VLOOKUP(A11,'[182]geoMap (10)'!$A:$C,3,0)</f>
        <v>840.25526262306118</v>
      </c>
      <c r="M11" s="1">
        <f>L11/VLOOKUP(A11,'[183]geoMap (11)'!$A:$B,2,0)*VLOOKUP(A11,'[183]geoMap (11)'!$A:$C,3,0)</f>
        <v>715.77300149371877</v>
      </c>
      <c r="N11" s="1">
        <f>M11/VLOOKUP(A11,'[184]geoMap (12)'!$A:$B,2,0)*VLOOKUP(A11,'[184]geoMap (12)'!$A:$C,3,0)</f>
        <v>1167.8401603318569</v>
      </c>
      <c r="O11" s="1">
        <f>N11/VLOOKUP(A11,'[185]geoMap (13)'!$A:$B,2,0)*VLOOKUP(A11,'[185]geoMap (13)'!$A:$C,3,0)</f>
        <v>575.20485508882496</v>
      </c>
      <c r="P11" s="1">
        <f>O11/VLOOKUP(A11,'[186]geoMap (14)'!$A:$B,2,0)*VLOOKUP(A11,'[186]geoMap (14)'!$A:$C,3,0)</f>
        <v>162.23726681992497</v>
      </c>
      <c r="Q11" s="1">
        <f>P11/VLOOKUP(A11,'[187]geoMap (15)'!$A:$B,2,0)*VLOOKUP(A11,'[187]geoMap (15)'!$A:$C,3,0)</f>
        <v>397.20158428326459</v>
      </c>
      <c r="R11" s="1">
        <f>Q11/VLOOKUP(A11,'[188]geoMap (16)'!$A:$B,2,0)*VLOOKUP(A11,'[188]geoMap (16)'!$A:$C,3,0)</f>
        <v>413.41389384584687</v>
      </c>
      <c r="S11" s="1">
        <f>R11/VLOOKUP(A11,'[189]geoMap (17)'!$A:$B,2,0)*VLOOKUP(A11,'[189]geoMap (17)'!$A:$C,3,0)</f>
        <v>381.61282508847404</v>
      </c>
      <c r="T11" s="1">
        <f>S11/VLOOKUP(A11,'[190]geoMap (18)'!$A:$B,2,0)*VLOOKUP(A11,'[190]geoMap (18)'!$A:$C,3,0)</f>
        <v>276.34032161579154</v>
      </c>
      <c r="U11" s="1">
        <f>T11/VLOOKUP(A11,'[191]geoMap (19)'!$A:$B,2,0)*VLOOKUP(A11,'[191]geoMap (19)'!$A:$C,3,0)</f>
        <v>92.113440538597175</v>
      </c>
      <c r="V11" s="1">
        <f>U11/VLOOKUP(A11,'[192]geoMap (20)'!$A:$B,2,0)*VLOOKUP(A11,'[192]geoMap (20)'!$A:$C,3,0)</f>
        <v>23.028360134649294</v>
      </c>
      <c r="W11" s="1">
        <f>V11/VLOOKUP(A11,'[193]geoMap (21)'!$A:$B,2,0)*VLOOKUP(A11,'[193]geoMap (21)'!$A:$C,3,0)</f>
        <v>72.923140426389438</v>
      </c>
      <c r="X11" s="1">
        <f>W11/VLOOKUP(A11,'[194]geoMap (22)'!$A:$B,2,0)*VLOOKUP(A11,'[194]geoMap (22)'!$A:$C,3,0)</f>
        <v>109.38471063958414</v>
      </c>
      <c r="Y11" s="1">
        <f>X11/VLOOKUP(A11,'[195]geoMap (23)'!$A:$B,2,0)*VLOOKUP(A11,'[195]geoMap (23)'!$A:$C,3,0)</f>
        <v>164.0770659593762</v>
      </c>
      <c r="Z11" s="1">
        <f>Y11/VLOOKUP(A11,'[196]geoMap (24)'!$A:$B,2,0)*VLOOKUP(A11,'[196]geoMap (24)'!$A:$C,3,0)</f>
        <v>51.813810302960896</v>
      </c>
      <c r="AA11" s="1">
        <f>Z11/VLOOKUP(A11,'[197]geoMap (25)'!$A:$B,2,0)*VLOOKUP(A11,'[197]geoMap (25)'!$A:$C,3,0)</f>
        <v>71.552404704088858</v>
      </c>
    </row>
    <row r="12" spans="1:27" x14ac:dyDescent="0.2">
      <c r="A12" s="1" t="s">
        <v>43</v>
      </c>
      <c r="B12" s="1">
        <f>Notes!$C$6*VLOOKUP('Data_Raw++ (2017)'!A12,[172]geoMap!$A:$B,2,0)</f>
        <v>10000</v>
      </c>
      <c r="C12" s="1">
        <f>B12/VLOOKUP(A12,'[173]geoMap (1)'!$A:$B,2,0)*VLOOKUP(A12,'[173]geoMap (1)'!$A:$C,3,0)</f>
        <v>3888.8888888888891</v>
      </c>
      <c r="D12" s="1">
        <f>C12/VLOOKUP(A12,'[174]geoMap (2)'!$A:$B,2,0)*VLOOKUP(A12,'[174]geoMap (2)'!$A:$C,3,0)</f>
        <v>9521.0727969348663</v>
      </c>
      <c r="E12" s="1">
        <f>D12/VLOOKUP(A12,'[175]geoMap (3)'!$A:$B,2,0)*VLOOKUP(A12,'[175]geoMap (3)'!$A:$C,3,0)</f>
        <v>4080.4597701149428</v>
      </c>
      <c r="F12" s="1">
        <f>E12/VLOOKUP(A12,'[176]geoMap (4)'!$A:$B,2,0)*VLOOKUP(A12,'[176]geoMap (4)'!$A:$C,3,0)</f>
        <v>3618.5209282151377</v>
      </c>
      <c r="G12" s="1">
        <f>F12/VLOOKUP(A12,'[177]geoMap (5)'!$A:$B,2,0)*VLOOKUP(A12,'[177]geoMap (5)'!$A:$C,3,0)</f>
        <v>4796.6440211223917</v>
      </c>
      <c r="H12" s="1">
        <f>G12/VLOOKUP(A12,'[178]geoMap (6)'!$A:$B,2,0)*VLOOKUP(A12,'[178]geoMap (6)'!$A:$C,3,0)</f>
        <v>3618.5209282151377</v>
      </c>
      <c r="I12" s="1">
        <f>H12/VLOOKUP(A12,'[179]geoMap (7)'!$A:$B,2,0)*VLOOKUP(A12,'[179]geoMap (7)'!$A:$C,3,0)</f>
        <v>2035.4180221210149</v>
      </c>
      <c r="J12" s="1">
        <f>I12/VLOOKUP(A12,'[180]geoMap (8)'!$A:$B,2,0)*VLOOKUP(A12,'[180]geoMap (8)'!$A:$C,3,0)</f>
        <v>2590.5320281540194</v>
      </c>
      <c r="K12" s="1">
        <f>J12/VLOOKUP(A12,'[181]geoMap (9)'!$A:$B,2,0)*VLOOKUP(A12,'[181]geoMap (9)'!$A:$C,3,0)</f>
        <v>1275.933685508696</v>
      </c>
      <c r="L12" s="1">
        <f>K12/VLOOKUP(A12,'[182]geoMap (10)'!$A:$B,2,0)*VLOOKUP(A12,'[182]geoMap (10)'!$A:$C,3,0)</f>
        <v>425.3112285028987</v>
      </c>
      <c r="M12" s="1">
        <f>L12/VLOOKUP(A12,'[183]geoMap (11)'!$A:$B,2,0)*VLOOKUP(A12,'[183]geoMap (11)'!$A:$C,3,0)</f>
        <v>479.6062789500773</v>
      </c>
      <c r="N12" s="1">
        <f>M12/VLOOKUP(A12,'[184]geoMap (12)'!$A:$B,2,0)*VLOOKUP(A12,'[184]geoMap (12)'!$A:$C,3,0)</f>
        <v>931.00042384426774</v>
      </c>
      <c r="O12" s="1">
        <f>N12/VLOOKUP(A12,'[185]geoMap (13)'!$A:$B,2,0)*VLOOKUP(A12,'[185]geoMap (13)'!$A:$C,3,0)</f>
        <v>278.0910356937423</v>
      </c>
      <c r="P12" s="1">
        <f>O12/VLOOKUP(A12,'[186]geoMap (14)'!$A:$B,2,0)*VLOOKUP(A12,'[186]geoMap (14)'!$A:$C,3,0)</f>
        <v>278.0910356937423</v>
      </c>
      <c r="Q12" s="1">
        <f>P12/VLOOKUP(A12,'[187]geoMap (15)'!$A:$B,2,0)*VLOOKUP(A12,'[187]geoMap (15)'!$A:$C,3,0)</f>
        <v>368.6323031289142</v>
      </c>
      <c r="R12" s="1">
        <f>Q12/58*14</f>
        <v>88.980211100082741</v>
      </c>
      <c r="S12" s="1">
        <f>Q12/VLOOKUP(A12,'[202]geoMap (32)'!$A:$B,2,0)*VLOOKUP(A12,'[202]geoMap (32)'!$A:$C,3,0)</f>
        <v>216.49833675825121</v>
      </c>
      <c r="T12" s="1">
        <f>S12/VLOOKUP(A12,'[190]geoMap (18)'!$A:$B,2,0)*VLOOKUP(A12,'[190]geoMap (18)'!$A:$C,3,0)</f>
        <v>144.33222450550082</v>
      </c>
      <c r="U12" s="1">
        <f>T12/48*11</f>
        <v>33.076134782510607</v>
      </c>
      <c r="V12" s="1">
        <f>T12/45*6</f>
        <v>19.244296600733442</v>
      </c>
      <c r="W12" s="1">
        <f>T12/75*25</f>
        <v>48.110741501833601</v>
      </c>
      <c r="X12" s="1">
        <f>W12/VLOOKUP(A12,'[194]geoMap (22)'!$A:$B,2,0)*VLOOKUP(A12,'[194]geoMap (22)'!$A:$C,3,0)</f>
        <v>28.255514850283223</v>
      </c>
      <c r="Y12" s="1">
        <f>X12/VLOOKUP(A12,'[195]geoMap (23)'!$A:$B,2,0)*VLOOKUP(A12,'[195]geoMap (23)'!$A:$C,3,0)</f>
        <v>40.66037502845635</v>
      </c>
      <c r="Z12" s="1">
        <f>Y12/VLOOKUP(A12,'[196]geoMap (24)'!$A:$B,2,0)*VLOOKUP(A12,'[196]geoMap (24)'!$A:$C,3,0)</f>
        <v>18.267704722929668</v>
      </c>
      <c r="AA12" s="1">
        <f>Z12/VLOOKUP(A12,'[197]geoMap (25)'!$A:$B,2,0)*VLOOKUP(A12,'[197]geoMap (25)'!$A:$C,3,0)</f>
        <v>31.104470203907272</v>
      </c>
    </row>
    <row r="13" spans="1:27" x14ac:dyDescent="0.2">
      <c r="A13" s="1" t="s">
        <v>48</v>
      </c>
      <c r="B13" s="1">
        <f>Notes!$C$6*VLOOKUP('Data_Raw++ (2017)'!A13,[172]geoMap!$A:$B,2,0)</f>
        <v>7000</v>
      </c>
      <c r="C13" s="1">
        <f>B13/VLOOKUP(A13,'[173]geoMap (1)'!$A:$B,2,0)*VLOOKUP(A13,'[173]geoMap (1)'!$A:$C,3,0)</f>
        <v>6725.4901960784318</v>
      </c>
      <c r="D13" s="1">
        <f>C13/VLOOKUP(A13,'[174]geoMap (2)'!$A:$B,2,0)*VLOOKUP(A13,'[174]geoMap (2)'!$A:$C,3,0)</f>
        <v>7895.1406649616374</v>
      </c>
      <c r="E13" s="1">
        <f>D13/VLOOKUP(A13,'[175]geoMap (3)'!$A:$B,2,0)*VLOOKUP(A13,'[175]geoMap (3)'!$A:$C,3,0)</f>
        <v>4636.8286445012791</v>
      </c>
      <c r="F13" s="1">
        <f>E13/VLOOKUP(A13,'[176]geoMap (4)'!$A:$B,2,0)*VLOOKUP(A13,'[176]geoMap (4)'!$A:$C,3,0)</f>
        <v>3949.8910675381262</v>
      </c>
      <c r="G13" s="1">
        <f>F13/VLOOKUP(A13,'[177]geoMap (5)'!$A:$B,2,0)*VLOOKUP(A13,'[177]geoMap (5)'!$A:$C,3,0)</f>
        <v>4636.8286445012791</v>
      </c>
      <c r="H13" s="1">
        <f>G13/VLOOKUP(A13,'[178]geoMap (6)'!$A:$B,2,0)*VLOOKUP(A13,'[178]geoMap (6)'!$A:$C,3,0)</f>
        <v>2388.6693017127805</v>
      </c>
      <c r="I13" s="1">
        <f>H13/VLOOKUP(A13,'[179]geoMap (7)'!$A:$B,2,0)*VLOOKUP(A13,'[179]geoMap (7)'!$A:$C,3,0)</f>
        <v>2486.1660079051385</v>
      </c>
      <c r="J13" s="1">
        <f>I13/VLOOKUP(A13,'[180]geoMap (8)'!$A:$B,2,0)*VLOOKUP(A13,'[180]geoMap (8)'!$A:$C,3,0)</f>
        <v>1523.7791661354076</v>
      </c>
      <c r="K13" s="1">
        <f>J13/VLOOKUP(A13,'[181]geoMap (9)'!$A:$B,2,0)*VLOOKUP(A13,'[181]geoMap (9)'!$A:$C,3,0)</f>
        <v>1464.0231204046072</v>
      </c>
      <c r="L13" s="1">
        <f>K13/VLOOKUP(A13,'[182]geoMap (10)'!$A:$B,2,0)*VLOOKUP(A13,'[182]geoMap (10)'!$A:$C,3,0)</f>
        <v>1150.3038803179056</v>
      </c>
      <c r="M13" s="1">
        <f>L13/VLOOKUP(A13,'[183]geoMap (11)'!$A:$B,2,0)*VLOOKUP(A13,'[183]geoMap (11)'!$A:$C,3,0)</f>
        <v>1464.0231204046074</v>
      </c>
      <c r="N13" s="1">
        <f>M13/VLOOKUP(A13,'[184]geoMap (12)'!$A:$B,2,0)*VLOOKUP(A13,'[184]geoMap (12)'!$A:$C,3,0)</f>
        <v>788.32014175632708</v>
      </c>
      <c r="O13" s="1">
        <f>N13/VLOOKUP(A13,'[185]geoMap (13)'!$A:$B,2,0)*VLOOKUP(A13,'[185]geoMap (13)'!$A:$C,3,0)</f>
        <v>594.69765079863271</v>
      </c>
      <c r="P13" s="1">
        <f>O13/VLOOKUP(A13,'[186]geoMap (14)'!$A:$B,2,0)*VLOOKUP(A13,'[186]geoMap (14)'!$A:$C,3,0)</f>
        <v>334.51742857423085</v>
      </c>
      <c r="Q13" s="1">
        <f>P13/VLOOKUP(A13,'[187]geoMap (15)'!$A:$B,2,0)*VLOOKUP(A13,'[187]geoMap (15)'!$A:$C,3,0)</f>
        <v>649.35736134997751</v>
      </c>
      <c r="R13" s="1">
        <f>Q13/VLOOKUP(A13,'[188]geoMap (16)'!$A:$B,2,0)*VLOOKUP(A13,'[188]geoMap (16)'!$A:$C,3,0)</f>
        <v>553.15627077961051</v>
      </c>
      <c r="S13" s="1">
        <f>R13/VLOOKUP(A13,'[189]geoMap (17)'!$A:$B,2,0)*VLOOKUP(A13,'[189]geoMap (17)'!$A:$C,3,0)</f>
        <v>490.5348061630508</v>
      </c>
      <c r="T13" s="1">
        <f>S13/VLOOKUP(A13,'[190]geoMap (18)'!$A:$B,2,0)*VLOOKUP(A13,'[190]geoMap (18)'!$A:$C,3,0)</f>
        <v>172.3500670302611</v>
      </c>
      <c r="U13" s="1">
        <f>T13/VLOOKUP(A13,'[191]geoMap (19)'!$A:$B,2,0)*VLOOKUP(A13,'[191]geoMap (19)'!$A:$C,3,0)</f>
        <v>186.7125726161162</v>
      </c>
      <c r="V13" s="1">
        <f>U13/VLOOKUP(A13,'[192]geoMap (20)'!$A:$B,2,0)*VLOOKUP(A13,'[192]geoMap (20)'!$A:$C,3,0)</f>
        <v>100.53753910098564</v>
      </c>
      <c r="W13" s="1">
        <f>V13/VLOOKUP(A13,'[193]geoMap (21)'!$A:$B,2,0)*VLOOKUP(A13,'[193]geoMap (21)'!$A:$C,3,0)</f>
        <v>56.552365744304417</v>
      </c>
      <c r="X13" s="1">
        <f>W13/VLOOKUP(A13,'[194]geoMap (22)'!$A:$B,2,0)*VLOOKUP(A13,'[194]geoMap (22)'!$A:$C,3,0)</f>
        <v>52.202183763973302</v>
      </c>
      <c r="Y13" s="1">
        <f>X13/VLOOKUP(A13,'[195]geoMap (23)'!$A:$B,2,0)*VLOOKUP(A13,'[195]geoMap (23)'!$A:$C,3,0)</f>
        <v>116.19195741013412</v>
      </c>
      <c r="Z13" s="1">
        <f>Y13/VLOOKUP(A13,'[196]geoMap (24)'!$A:$B,2,0)*VLOOKUP(A13,'[196]geoMap (24)'!$A:$C,3,0)</f>
        <v>68.239721018650201</v>
      </c>
      <c r="AA13" s="1">
        <f>Z13/VLOOKUP(A13,'[197]geoMap (25)'!$A:$B,2,0)*VLOOKUP(A13,'[197]geoMap (25)'!$A:$C,3,0)</f>
        <v>35.153795676274349</v>
      </c>
    </row>
    <row r="14" spans="1:27" x14ac:dyDescent="0.2">
      <c r="A14" s="1" t="s">
        <v>44</v>
      </c>
      <c r="B14" s="1">
        <f>Notes!$C$6*VLOOKUP('Data_Raw++ (2017)'!A14,[172]geoMap!$A:$B,2,0)</f>
        <v>9000</v>
      </c>
      <c r="C14" s="1">
        <f>B14/VLOOKUP(A14,'[173]geoMap (1)'!$A:$B,2,0)*VLOOKUP(A14,'[173]geoMap (1)'!$A:$C,3,0)</f>
        <v>2538.4615384615381</v>
      </c>
      <c r="D14" s="1">
        <f>C14/VLOOKUP(A14,'[174]geoMap (2)'!$A:$B,2,0)*VLOOKUP(A14,'[174]geoMap (2)'!$A:$C,3,0)</f>
        <v>5153.8461538461534</v>
      </c>
      <c r="E14" s="1">
        <f>D14/VLOOKUP(A14,'[175]geoMap (3)'!$A:$B,2,0)*VLOOKUP(A14,'[175]geoMap (3)'!$A:$C,3,0)</f>
        <v>4570.391872278663</v>
      </c>
      <c r="F14" s="1">
        <f>E14/VLOOKUP(A14,'[176]geoMap (4)'!$A:$B,2,0)*VLOOKUP(A14,'[176]geoMap (4)'!$A:$C,3,0)</f>
        <v>4951.2578616352193</v>
      </c>
      <c r="G14" s="1">
        <f>F14/VLOOKUP(A14,'[177]geoMap (5)'!$A:$B,2,0)*VLOOKUP(A14,'[177]geoMap (5)'!$A:$C,3,0)</f>
        <v>2907.881601277827</v>
      </c>
      <c r="H14" s="1">
        <f>G14/VLOOKUP(A14,'[178]geoMap (6)'!$A:$B,2,0)*VLOOKUP(A14,'[178]geoMap (6)'!$A:$C,3,0)</f>
        <v>6472.3816286506462</v>
      </c>
      <c r="I14" s="1">
        <f>H14/VLOOKUP(A14,'[179]geoMap (7)'!$A:$B,2,0)*VLOOKUP(A14,'[179]geoMap (7)'!$A:$C,3,0)</f>
        <v>799.95727994558547</v>
      </c>
      <c r="J14" s="1">
        <f>I14/VLOOKUP(A14,'[180]geoMap (8)'!$A:$B,2,0)*VLOOKUP(A14,'[180]geoMap (8)'!$A:$C,3,0)</f>
        <v>977.72556437793776</v>
      </c>
      <c r="K14" s="1">
        <f>J14/VLOOKUP(A14,'[181]geoMap (9)'!$A:$B,2,0)*VLOOKUP(A14,'[181]geoMap (9)'!$A:$C,3,0)</f>
        <v>832.87733261824326</v>
      </c>
      <c r="L14" s="1">
        <f>K14/VLOOKUP(A14,'[182]geoMap (10)'!$A:$B,2,0)*VLOOKUP(A14,'[182]geoMap (10)'!$A:$C,3,0)</f>
        <v>977.72556437793776</v>
      </c>
      <c r="M14" s="1">
        <f>L14/VLOOKUP(A14,'[183]geoMap (11)'!$A:$B,2,0)*VLOOKUP(A14,'[183]geoMap (11)'!$A:$C,3,0)</f>
        <v>651.81704291862525</v>
      </c>
      <c r="N14" s="1">
        <f>M14/VLOOKUP(A14,'[184]geoMap (12)'!$A:$B,2,0)*VLOOKUP(A14,'[184]geoMap (12)'!$A:$C,3,0)</f>
        <v>434.5446952790835</v>
      </c>
      <c r="O14" s="1">
        <f>N14/VLOOKUP(A14,'[185]geoMap (13)'!$A:$B,2,0)*VLOOKUP(A14,'[185]geoMap (13)'!$A:$C,3,0)</f>
        <v>370.16770338588594</v>
      </c>
      <c r="P14" s="1">
        <f>O14/VLOOKUP(A14,'[186]geoMap (14)'!$A:$B,2,0)*VLOOKUP(A14,'[186]geoMap (14)'!$A:$C,3,0)</f>
        <v>452.42719302719394</v>
      </c>
      <c r="Q14" s="1">
        <f>P14/VLOOKUP(A14,'[187]geoMap (15)'!$A:$B,2,0)*VLOOKUP(A14,'[187]geoMap (15)'!$A:$C,3,0)</f>
        <v>327.61969150245079</v>
      </c>
      <c r="R14" s="1">
        <f>Q14/VLOOKUP(A14,'[188]geoMap (16)'!$A:$B,2,0)*VLOOKUP(A14,'[188]geoMap (16)'!$A:$C,3,0)</f>
        <v>109.20656383415026</v>
      </c>
      <c r="S14" s="1">
        <f>R14/VLOOKUP(A14,'[189]geoMap (17)'!$A:$B,2,0)*VLOOKUP(A14,'[189]geoMap (17)'!$A:$C,3,0)</f>
        <v>280.81687843067209</v>
      </c>
      <c r="T14" s="1">
        <f>S14/VLOOKUP(A14,'[190]geoMap (18)'!$A:$B,2,0)*VLOOKUP(A14,'[190]geoMap (18)'!$A:$C,3,0)</f>
        <v>83.88036628448647</v>
      </c>
      <c r="U14" s="1">
        <f>T14/VLOOKUP(A14,'[191]geoMap (19)'!$A:$B,2,0)*VLOOKUP(A14,'[191]geoMap (19)'!$A:$C,3,0)</f>
        <v>63.278171056717873</v>
      </c>
      <c r="V14" s="1">
        <f>U14/VLOOKUP(A14,'[192]geoMap (20)'!$A:$B,2,0)*VLOOKUP(A14,'[192]geoMap (20)'!$A:$C,3,0)</f>
        <v>15.819542764179468</v>
      </c>
      <c r="W14" s="1">
        <f>V14/VLOOKUP(A14,'[193]geoMap (21)'!$A:$B,2,0)*VLOOKUP(A14,'[193]geoMap (21)'!$A:$C,3,0)</f>
        <v>24.74338740038327</v>
      </c>
      <c r="X14" s="1">
        <f>W14/VLOOKUP(A14,'[194]geoMap (22)'!$A:$B,2,0)*VLOOKUP(A14,'[194]geoMap (22)'!$A:$C,3,0)</f>
        <v>63.625853315271257</v>
      </c>
      <c r="Y14" s="1">
        <f>X14/VLOOKUP(A14,'[195]geoMap (23)'!$A:$B,2,0)*VLOOKUP(A14,'[195]geoMap (23)'!$A:$C,3,0)</f>
        <v>71.748302674667599</v>
      </c>
      <c r="Z14" s="1">
        <f>Y14/VLOOKUP(A14,'[196]geoMap (24)'!$A:$B,2,0)*VLOOKUP(A14,'[196]geoMap (24)'!$A:$C,3,0)</f>
        <v>87.692369935704846</v>
      </c>
      <c r="AA14" s="1">
        <f>Z14/VLOOKUP(A14,'[197]geoMap (25)'!$A:$B,2,0)*VLOOKUP(A14,'[197]geoMap (25)'!$A:$C,3,0)</f>
        <v>47.218968426917989</v>
      </c>
    </row>
    <row r="15" spans="1:27" x14ac:dyDescent="0.2">
      <c r="A15" s="1" t="s">
        <v>55</v>
      </c>
      <c r="B15" s="1">
        <f>Notes!$C$6*VLOOKUP('Data_Raw++ (2017)'!A15,[172]geoMap!$A:$B,2,0)</f>
        <v>7000</v>
      </c>
      <c r="C15" s="1">
        <f>B15/VLOOKUP(A15,'[173]geoMap (1)'!$A:$B,2,0)*VLOOKUP(A15,'[173]geoMap (1)'!$A:$C,3,0)</f>
        <v>6461.538461538461</v>
      </c>
      <c r="D15" s="1">
        <f>C15/VLOOKUP(A15,'[174]geoMap (2)'!$A:$B,2,0)*VLOOKUP(A15,'[174]geoMap (2)'!$A:$C,3,0)</f>
        <v>5504.273504273503</v>
      </c>
      <c r="E15" s="1">
        <f>D15/VLOOKUP(A15,'[175]geoMap (3)'!$A:$B,2,0)*VLOOKUP(A15,'[175]geoMap (3)'!$A:$C,3,0)</f>
        <v>4503.4965034965026</v>
      </c>
      <c r="F15" s="1">
        <f>E15/VLOOKUP(A15,'[176]geoMap (4)'!$A:$B,2,0)*VLOOKUP(A15,'[176]geoMap (4)'!$A:$C,3,0)</f>
        <v>3397.3745552692917</v>
      </c>
      <c r="G15" s="1">
        <f>F15/VLOOKUP(A15,'[177]geoMap (5)'!$A:$B,2,0)*VLOOKUP(A15,'[177]geoMap (5)'!$A:$C,3,0)</f>
        <v>3988.2223040117774</v>
      </c>
      <c r="H15" s="1">
        <f>G15/VLOOKUP(A15,'[178]geoMap (6)'!$A:$B,2,0)*VLOOKUP(A15,'[178]geoMap (6)'!$A:$C,3,0)</f>
        <v>1964.3482989908753</v>
      </c>
      <c r="I15" s="1">
        <f>H15/VLOOKUP(A15,'[179]geoMap (7)'!$A:$B,2,0)*VLOOKUP(A15,'[179]geoMap (7)'!$A:$C,3,0)</f>
        <v>802.33944606669547</v>
      </c>
      <c r="J15" s="1">
        <f>I15/VLOOKUP(A15,'[180]geoMap (8)'!$A:$B,2,0)*VLOOKUP(A15,'[180]geoMap (8)'!$A:$C,3,0)</f>
        <v>1309.0801488456609</v>
      </c>
      <c r="K15" s="1">
        <f>J15/VLOOKUP(A15,'[181]geoMap (9)'!$A:$B,2,0)*VLOOKUP(A15,'[181]geoMap (9)'!$A:$C,3,0)</f>
        <v>1257.7436724203408</v>
      </c>
      <c r="L15" s="1">
        <f>K15/VLOOKUP(A15,'[182]geoMap (10)'!$A:$B,2,0)*VLOOKUP(A15,'[182]geoMap (10)'!$A:$C,3,0)</f>
        <v>707.48081573644163</v>
      </c>
      <c r="M15" s="1">
        <f>L15/VLOOKUP(A15,'[183]geoMap (11)'!$A:$B,2,0)*VLOOKUP(A15,'[183]geoMap (11)'!$A:$C,3,0)</f>
        <v>433.61727416104486</v>
      </c>
      <c r="N15" s="1">
        <f>M15/VLOOKUP(A15,'[184]geoMap (12)'!$A:$B,2,0)*VLOOKUP(A15,'[184]geoMap (12)'!$A:$C,3,0)</f>
        <v>805.28922344194052</v>
      </c>
      <c r="O15" s="1">
        <f>N15/VLOOKUP(A15,'[185]geoMap (13)'!$A:$B,2,0)*VLOOKUP(A15,'[185]geoMap (13)'!$A:$C,3,0)</f>
        <v>452.97518818609154</v>
      </c>
      <c r="P15" s="1">
        <f>O15/VLOOKUP(A15,'[186]geoMap (14)'!$A:$B,2,0)*VLOOKUP(A15,'[186]geoMap (14)'!$A:$C,3,0)</f>
        <v>223.10718224091076</v>
      </c>
      <c r="Q15" s="1">
        <f>P15/VLOOKUP(A15,'[187]geoMap (15)'!$A:$B,2,0)*VLOOKUP(A15,'[187]geoMap (15)'!$A:$C,3,0)</f>
        <v>295.74672994725381</v>
      </c>
      <c r="R15" s="1">
        <f>Q15/VLOOKUP(A15,'[188]geoMap (16)'!$A:$B,2,0)*VLOOKUP(A15,'[188]geoMap (16)'!$A:$C,3,0)</f>
        <v>214.16142513421826</v>
      </c>
      <c r="S15" s="1">
        <f>R15/VLOOKUP(A15,'[189]geoMap (17)'!$A:$B,2,0)*VLOOKUP(A15,'[189]geoMap (17)'!$A:$C,3,0)</f>
        <v>125.77734492009644</v>
      </c>
      <c r="T15" s="1">
        <f>S15/VLOOKUP(A15,'[190]geoMap (18)'!$A:$B,2,0)*VLOOKUP(A15,'[190]geoMap (18)'!$A:$C,3,0)</f>
        <v>120.84490002126911</v>
      </c>
      <c r="U15" s="1">
        <f>T15/VLOOKUP(A15,'[191]geoMap (19)'!$A:$B,2,0)*VLOOKUP(A15,'[191]geoMap (19)'!$A:$C,3,0)</f>
        <v>111.54913848117148</v>
      </c>
      <c r="V15" s="1">
        <f>U15/VLOOKUP(A15,'[192]geoMap (20)'!$A:$B,2,0)*VLOOKUP(A15,'[192]geoMap (20)'!$A:$C,3,0)</f>
        <v>130.94898865181</v>
      </c>
      <c r="W15" s="1">
        <f>V15/VLOOKUP(A15,'[193]geoMap (21)'!$A:$B,2,0)*VLOOKUP(A15,'[193]geoMap (21)'!$A:$C,3,0)</f>
        <v>46.009104120906215</v>
      </c>
      <c r="X15" s="1">
        <f>W15/VLOOKUP(A15,'[194]geoMap (22)'!$A:$B,2,0)*VLOOKUP(A15,'[194]geoMap (22)'!$A:$C,3,0)</f>
        <v>58.557041608426097</v>
      </c>
      <c r="Y15" s="1">
        <f>X15/VLOOKUP(A15,'[195]geoMap (23)'!$A:$B,2,0)*VLOOKUP(A15,'[195]geoMap (23)'!$A:$C,3,0)</f>
        <v>56.260687035546646</v>
      </c>
      <c r="Z15" s="1">
        <f>Y15/VLOOKUP(A15,'[196]geoMap (24)'!$A:$B,2,0)*VLOOKUP(A15,'[196]geoMap (24)'!$A:$C,3,0)</f>
        <v>46.031471210901799</v>
      </c>
      <c r="AA15" s="1">
        <f>Z15/VLOOKUP(A15,'[197]geoMap (25)'!$A:$B,2,0)*VLOOKUP(A15,'[197]geoMap (25)'!$A:$C,3,0)</f>
        <v>47.91030677053044</v>
      </c>
    </row>
    <row r="16" spans="1:27" x14ac:dyDescent="0.2">
      <c r="A16" s="1" t="s">
        <v>60</v>
      </c>
      <c r="B16" s="1">
        <f>Notes!$C$6*VLOOKUP('Data_Raw++ (2017)'!A16,[172]geoMap!$A:$B,2,0)</f>
        <v>7000</v>
      </c>
      <c r="C16" s="1">
        <f>B16/VLOOKUP(A16,'[173]geoMap (1)'!$A:$B,2,0)*VLOOKUP(A16,'[173]geoMap (1)'!$A:$C,3,0)</f>
        <v>4666.666666666667</v>
      </c>
      <c r="D16" s="1">
        <f>C16/VLOOKUP(A16,'[174]geoMap (2)'!$A:$B,2,0)*VLOOKUP(A16,'[174]geoMap (2)'!$A:$C,3,0)</f>
        <v>4483.6601307189549</v>
      </c>
      <c r="E16" s="1">
        <f>D16/VLOOKUP(A16,'[175]geoMap (3)'!$A:$B,2,0)*VLOOKUP(A16,'[175]geoMap (3)'!$A:$C,3,0)</f>
        <v>2989.1067538126372</v>
      </c>
      <c r="F16" s="1">
        <f>E16/VLOOKUP(A16,'[176]geoMap (4)'!$A:$B,2,0)*VLOOKUP(A16,'[176]geoMap (4)'!$A:$C,3,0)</f>
        <v>2871.8868811141019</v>
      </c>
      <c r="G16" s="1">
        <f>F16/VLOOKUP(A16,'[177]geoMap (5)'!$A:$B,2,0)*VLOOKUP(A16,'[177]geoMap (5)'!$A:$C,3,0)</f>
        <v>3238.510738277605</v>
      </c>
      <c r="H16" s="1">
        <f>G16/VLOOKUP(A16,'[178]geoMap (6)'!$A:$B,2,0)*VLOOKUP(A16,'[178]geoMap (6)'!$A:$C,3,0)</f>
        <v>2159.0071588517367</v>
      </c>
      <c r="I16" s="1">
        <f>H16/VLOOKUP(A16,'[179]geoMap (7)'!$A:$B,2,0)*VLOOKUP(A16,'[179]geoMap (7)'!$A:$C,3,0)</f>
        <v>681.79173437423253</v>
      </c>
      <c r="J16" s="1">
        <f>I16/VLOOKUP(A16,'[180]geoMap (8)'!$A:$B,2,0)*VLOOKUP(A16,'[180]geoMap (8)'!$A:$C,3,0)</f>
        <v>1323.4780726088043</v>
      </c>
      <c r="K16" s="1">
        <f>J16/VLOOKUP(A16,'[181]geoMap (9)'!$A:$B,2,0)*VLOOKUP(A16,'[181]geoMap (9)'!$A:$C,3,0)</f>
        <v>1377.4975857765107</v>
      </c>
      <c r="L16" s="1">
        <f>K16/VLOOKUP(A16,'[182]geoMap (10)'!$A:$B,2,0)*VLOOKUP(A16,'[182]geoMap (10)'!$A:$C,3,0)</f>
        <v>562.63985897913824</v>
      </c>
      <c r="M16" s="1">
        <f>L16/VLOOKUP(A16,'[183]geoMap (11)'!$A:$B,2,0)*VLOOKUP(A16,'[183]geoMap (11)'!$A:$C,3,0)</f>
        <v>390.9870206465198</v>
      </c>
      <c r="N16" s="1">
        <f>M16/VLOOKUP(A16,'[184]geoMap (12)'!$A:$B,2,0)*VLOOKUP(A16,'[184]geoMap (12)'!$A:$C,3,0)</f>
        <v>637.92619158116395</v>
      </c>
      <c r="O16" s="1">
        <f>N16/VLOOKUP(A16,'[185]geoMap (13)'!$A:$B,2,0)*VLOOKUP(A16,'[185]geoMap (13)'!$A:$C,3,0)</f>
        <v>374.65506489687402</v>
      </c>
      <c r="P16" s="1">
        <f>O16/VLOOKUP(A16,'[186]geoMap (14)'!$A:$B,2,0)*VLOOKUP(A16,'[186]geoMap (14)'!$A:$C,3,0)</f>
        <v>220.0355143045133</v>
      </c>
      <c r="Q16" s="1">
        <f>P16/VLOOKUP(A16,'[187]geoMap (15)'!$A:$B,2,0)*VLOOKUP(A16,'[187]geoMap (15)'!$A:$C,3,0)</f>
        <v>203.10970551185841</v>
      </c>
      <c r="R16" s="1">
        <f>Q16/VLOOKUP(A16,'[188]geoMap (16)'!$A:$B,2,0)*VLOOKUP(A16,'[188]geoMap (16)'!$A:$C,3,0)</f>
        <v>141.14403264383381</v>
      </c>
      <c r="S16" s="1">
        <f>R16/VLOOKUP(A16,'[189]geoMap (17)'!$A:$B,2,0)*VLOOKUP(A16,'[189]geoMap (17)'!$A:$C,3,0)</f>
        <v>102.20774777656932</v>
      </c>
      <c r="T16" s="1">
        <f>S16/VLOOKUP(A16,'[190]geoMap (18)'!$A:$B,2,0)*VLOOKUP(A16,'[190]geoMap (18)'!$A:$C,3,0)</f>
        <v>102.20774777656932</v>
      </c>
      <c r="U16" s="1">
        <f>T16/VLOOKUP(A16,'[191]geoMap (19)'!$A:$B,2,0)*VLOOKUP(A16,'[191]geoMap (19)'!$A:$C,3,0)</f>
        <v>71.025723031175289</v>
      </c>
      <c r="V16" s="1">
        <f>U16/VLOOKUP(A16,'[192]geoMap (20)'!$A:$B,2,0)*VLOOKUP(A16,'[192]geoMap (20)'!$A:$C,3,0)</f>
        <v>131.90491420075412</v>
      </c>
      <c r="W16" s="1">
        <f>V16/VLOOKUP(A16,'[193]geoMap (21)'!$A:$B,2,0)*VLOOKUP(A16,'[193]geoMap (21)'!$A:$C,3,0)</f>
        <v>37.203950159187059</v>
      </c>
      <c r="X16" s="1">
        <f>W16/VLOOKUP(A16,'[194]geoMap (22)'!$A:$B,2,0)*VLOOKUP(A16,'[194]geoMap (22)'!$A:$C,3,0)</f>
        <v>45.471494639006409</v>
      </c>
      <c r="Y16" s="1">
        <f>X16/VLOOKUP(A16,'[195]geoMap (23)'!$A:$B,2,0)*VLOOKUP(A16,'[195]geoMap (23)'!$A:$C,3,0)</f>
        <v>55.576271225452281</v>
      </c>
      <c r="Z16" s="1">
        <f>Y16/VLOOKUP(A16,'[196]geoMap (24)'!$A:$B,2,0)*VLOOKUP(A16,'[196]geoMap (24)'!$A:$C,3,0)</f>
        <v>31.261652564316908</v>
      </c>
      <c r="AA16" s="1">
        <f>Z16/VLOOKUP(A16,'[197]geoMap (25)'!$A:$B,2,0)*VLOOKUP(A16,'[197]geoMap (25)'!$A:$C,3,0)</f>
        <v>36.698461705937234</v>
      </c>
    </row>
    <row r="17" spans="1:27" x14ac:dyDescent="0.2">
      <c r="A17" s="1" t="s">
        <v>61</v>
      </c>
      <c r="B17" s="1">
        <f>Notes!$C$6*VLOOKUP('Data_Raw++ (2017)'!A17,[172]geoMap!$A:$B,2,0)</f>
        <v>7000</v>
      </c>
      <c r="C17" s="1">
        <f>B17/VLOOKUP(A17,'[173]geoMap (1)'!$A:$B,2,0)*VLOOKUP(A17,'[173]geoMap (1)'!$A:$C,3,0)</f>
        <v>3144.927536231884</v>
      </c>
      <c r="D17" s="1">
        <f>C17/VLOOKUP(A17,'[174]geoMap (2)'!$A:$B,2,0)*VLOOKUP(A17,'[174]geoMap (2)'!$A:$C,3,0)</f>
        <v>6999.9999999999991</v>
      </c>
      <c r="E17" s="1">
        <f>D17/VLOOKUP(A17,'[175]geoMap (3)'!$A:$B,2,0)*VLOOKUP(A17,'[175]geoMap (3)'!$A:$C,3,0)</f>
        <v>3769.2307692307686</v>
      </c>
      <c r="F17" s="1">
        <f>E17/VLOOKUP(A17,'[176]geoMap (4)'!$A:$B,2,0)*VLOOKUP(A17,'[176]geoMap (4)'!$A:$C,3,0)</f>
        <v>3083.9160839160832</v>
      </c>
      <c r="G17" s="1">
        <f>F17/VLOOKUP(A17,'[177]geoMap (5)'!$A:$B,2,0)*VLOOKUP(A17,'[177]geoMap (5)'!$A:$C,3,0)</f>
        <v>3083.9160839160832</v>
      </c>
      <c r="H17" s="1">
        <f>G17/VLOOKUP(A17,'[178]geoMap (6)'!$A:$B,2,0)*VLOOKUP(A17,'[178]geoMap (6)'!$A:$C,3,0)</f>
        <v>2055.9440559440554</v>
      </c>
      <c r="I17" s="1">
        <f>H17/VLOOKUP(A17,'[179]geoMap (7)'!$A:$B,2,0)*VLOOKUP(A17,'[179]geoMap (7)'!$A:$C,3,0)</f>
        <v>1207.4592074592072</v>
      </c>
      <c r="J17" s="1">
        <f>I17/VLOOKUP(A17,'[180]geoMap (8)'!$A:$B,2,0)*VLOOKUP(A17,'[180]geoMap (8)'!$A:$C,3,0)</f>
        <v>874.36701229804669</v>
      </c>
      <c r="K17" s="1">
        <f>J17/VLOOKUP(A17,'[181]geoMap (9)'!$A:$B,2,0)*VLOOKUP(A17,'[181]geoMap (9)'!$A:$C,3,0)</f>
        <v>910.05546177959957</v>
      </c>
      <c r="L17" s="1">
        <f>K17/VLOOKUP(A17,'[182]geoMap (10)'!$A:$B,2,0)*VLOOKUP(A17,'[182]geoMap (10)'!$A:$C,3,0)</f>
        <v>303.35182059319988</v>
      </c>
      <c r="M17" s="1">
        <f>L17/VLOOKUP(A17,'[183]geoMap (11)'!$A:$B,2,0)*VLOOKUP(A17,'[183]geoMap (11)'!$A:$C,3,0)</f>
        <v>474.47336041500495</v>
      </c>
      <c r="N17" s="1">
        <f>M17/VLOOKUP(A17,'[184]geoMap (12)'!$A:$B,2,0)*VLOOKUP(A17,'[184]geoMap (12)'!$A:$C,3,0)</f>
        <v>372.80049746893246</v>
      </c>
      <c r="O17" s="1">
        <f>N17/VLOOKUP(A17,'[185]geoMap (13)'!$A:$B,2,0)*VLOOKUP(A17,'[185]geoMap (13)'!$A:$C,3,0)</f>
        <v>218.94632391032542</v>
      </c>
      <c r="P17" s="1">
        <f>O17/60*27</f>
        <v>98.525845759646444</v>
      </c>
      <c r="Q17" s="1">
        <f>O17/VLOOKUP(A17,'[198]geoMap (30)'!$A:$B,2,0)*VLOOKUP(A17,'[198]geoMap (30)'!$A:$C,3,0)</f>
        <v>107.83923416478714</v>
      </c>
      <c r="R17" s="1">
        <f>Q17/38*23</f>
        <v>65.271115415529053</v>
      </c>
      <c r="S17" s="1">
        <f>Q17/VLOOKUP(A17,'[202]geoMap (32)'!$A:$B,2,0)*VLOOKUP(A17,'[202]geoMap (32)'!$A:$C,3,0)</f>
        <v>121.60594490922807</v>
      </c>
      <c r="T17" s="1">
        <f>S17/VLOOKUP(A17,'[190]geoMap (18)'!$A:$B,2,0)*VLOOKUP(A17,'[190]geoMap (18)'!$A:$C,3,0)</f>
        <v>84.505826123361871</v>
      </c>
      <c r="U17" s="1">
        <f>T17/46*17</f>
        <v>31.230414002111996</v>
      </c>
      <c r="V17" s="1">
        <f>T17/57*12</f>
        <v>17.790700236497237</v>
      </c>
      <c r="W17" s="1">
        <f>V17/16*27</f>
        <v>30.021806649089086</v>
      </c>
      <c r="X17" s="1">
        <f>W17/19*38</f>
        <v>60.043613298178165</v>
      </c>
      <c r="Y17" s="1">
        <f>X17/VLOOKUP(A17,'[195]geoMap (23)'!$A:$B,2,0)*VLOOKUP(A17,'[195]geoMap (23)'!$A:$C,3,0)</f>
        <v>43.47985790557729</v>
      </c>
      <c r="Z17" s="1">
        <f>Y17/VLOOKUP(A17,'[196]geoMap (24)'!$A:$B,2,0)*VLOOKUP(A17,'[196]geoMap (24)'!$A:$C,3,0)</f>
        <v>19.534428914099944</v>
      </c>
      <c r="AA17" s="1">
        <f>Y17/35*35</f>
        <v>43.47985790557729</v>
      </c>
    </row>
    <row r="18" spans="1:27" x14ac:dyDescent="0.2">
      <c r="A18" s="1" t="s">
        <v>57</v>
      </c>
      <c r="B18" s="1">
        <f>Notes!$C$6*VLOOKUP('Data_Raw++ (2017)'!A18,[172]geoMap!$A:$B,2,0)</f>
        <v>6000</v>
      </c>
      <c r="C18" s="1">
        <f>B18/VLOOKUP(A18,'[173]geoMap (1)'!$A:$B,2,0)*VLOOKUP(A18,'[173]geoMap (1)'!$A:$C,3,0)</f>
        <v>1500</v>
      </c>
      <c r="D18" s="1">
        <f>C18/VLOOKUP(A18,'[174]geoMap (2)'!$A:$B,2,0)*VLOOKUP(A18,'[174]geoMap (2)'!$A:$C,3,0)</f>
        <v>1988.3720930232555</v>
      </c>
      <c r="E18" s="1">
        <f>D18/VLOOKUP(A18,'[175]geoMap (3)'!$A:$B,2,0)*VLOOKUP(A18,'[175]geoMap (3)'!$A:$C,3,0)</f>
        <v>3110.0178890876559</v>
      </c>
      <c r="F18" s="1">
        <f>E18/VLOOKUP(A18,'[176]geoMap (4)'!$A:$B,2,0)*VLOOKUP(A18,'[176]geoMap (4)'!$A:$C,3,0)</f>
        <v>3236.9573947647032</v>
      </c>
      <c r="G18" s="1">
        <f>F18/VLOOKUP(A18,'[177]geoMap (5)'!$A:$B,2,0)*VLOOKUP(A18,'[177]geoMap (5)'!$A:$C,3,0)</f>
        <v>966.8833776569893</v>
      </c>
      <c r="H18" s="1">
        <f>G18/VLOOKUP(A18,'[178]geoMap (6)'!$A:$B,2,0)*VLOOKUP(A18,'[178]geoMap (6)'!$A:$C,3,0)</f>
        <v>1795.6405585058376</v>
      </c>
      <c r="I18" s="1">
        <f>F18/72*6</f>
        <v>269.74644956372526</v>
      </c>
      <c r="J18" s="1">
        <f>H18/VLOOKUP(A18,'[205]geoMap (27)'!$A:$B,2,0)*VLOOKUP(A18,'[205]geoMap (27)'!$A:$C,3,0)</f>
        <v>536.360166826419</v>
      </c>
      <c r="K18" s="1">
        <f>J18/VLOOKUP(A18,'[181]geoMap (9)'!$A:$B,2,0)*VLOOKUP(A18,'[181]geoMap (9)'!$A:$C,3,0)</f>
        <v>953.52918546918943</v>
      </c>
      <c r="L18" s="1">
        <f>K18/VLOOKUP(A18,'[182]geoMap (10)'!$A:$B,2,0)*VLOOKUP(A18,'[182]geoMap (10)'!$A:$C,3,0)</f>
        <v>389.46966730431683</v>
      </c>
      <c r="M18" s="1">
        <f>L18/56*22</f>
        <v>153.00594072669588</v>
      </c>
      <c r="N18" s="1">
        <f>J18/68*18</f>
        <v>141.97769121875797</v>
      </c>
      <c r="O18" s="1">
        <f>H18/VLOOKUP(A18,'[201]geoMap (28)'!$A:$B,2,0)*VLOOKUP(A18,'[201]geoMap (28)'!$A:$C,3,0)</f>
        <v>292.31357929164801</v>
      </c>
      <c r="P18" s="1">
        <f>O18/VLOOKUP(A18,'[186]geoMap (14)'!$A:$B,2,0)*VLOOKUP(A18,'[186]geoMap (14)'!$A:$C,3,0)</f>
        <v>203.13316527046726</v>
      </c>
      <c r="Q18" s="1">
        <f>P18/VLOOKUP(A18,'[187]geoMap (15)'!$A:$B,2,0)*VLOOKUP(A18,'[187]geoMap (15)'!$A:$C,3,0)</f>
        <v>100.05066349142416</v>
      </c>
      <c r="R18" s="1">
        <f>Q18/40*15</f>
        <v>37.518998809284057</v>
      </c>
      <c r="S18" s="1">
        <f>Q18/43*19</f>
        <v>44.208432705513005</v>
      </c>
      <c r="T18" s="1">
        <f>R18/24*28</f>
        <v>43.772165277498061</v>
      </c>
      <c r="U18" s="1">
        <f>H18/VLOOKUP(A18,'[203]geoMap (33)'!$A:$B,2,0)*VLOOKUP(A18,'[203]geoMap (33)'!$A:$C,3,0)</f>
        <v>18.137783419250884</v>
      </c>
      <c r="V18" s="1">
        <f>T18/25*46</f>
        <v>80.540784110596434</v>
      </c>
      <c r="W18" s="1">
        <f>V18/VLOOKUP(A18,'[193]geoMap (21)'!$A:$B,2,0)*VLOOKUP(A18,'[193]geoMap (21)'!$A:$C,3,0)</f>
        <v>102.50645250439547</v>
      </c>
      <c r="X18" s="1">
        <f>W18/VLOOKUP(A18,'[194]geoMap (22)'!$A:$B,2,0)*VLOOKUP(A18,'[194]geoMap (22)'!$A:$C,3,0)</f>
        <v>0</v>
      </c>
      <c r="Y18" s="1">
        <f>V18/38*14</f>
        <v>29.672920461798682</v>
      </c>
      <c r="Z18" s="1">
        <f>Y18/20*11</f>
        <v>16.320106253989277</v>
      </c>
      <c r="AA18" s="1">
        <f>Y18/20*0</f>
        <v>0</v>
      </c>
    </row>
    <row r="19" spans="1:27" x14ac:dyDescent="0.2">
      <c r="A19" s="1" t="s">
        <v>71</v>
      </c>
      <c r="B19" s="1">
        <f>Notes!$C$6*VLOOKUP('Data_Raw++ (2017)'!A19,[172]geoMap!$A:$B,2,0)</f>
        <v>7000</v>
      </c>
      <c r="C19" s="1">
        <f>B19/VLOOKUP(A19,'[173]geoMap (1)'!$A:$B,2,0)*VLOOKUP(A19,'[173]geoMap (1)'!$A:$C,3,0)</f>
        <v>5727.272727272727</v>
      </c>
      <c r="D19" s="1">
        <f>C19/VLOOKUP(A19,'[174]geoMap (2)'!$A:$B,2,0)*VLOOKUP(A19,'[174]geoMap (2)'!$A:$C,3,0)</f>
        <v>4878.7878787878781</v>
      </c>
      <c r="E19" s="1">
        <f>D19/VLOOKUP(A19,'[175]geoMap (3)'!$A:$B,2,0)*VLOOKUP(A19,'[175]geoMap (3)'!$A:$C,3,0)</f>
        <v>4503.4965034965026</v>
      </c>
      <c r="F19" s="1">
        <f>E19/VLOOKUP(A19,'[176]geoMap (4)'!$A:$B,2,0)*VLOOKUP(A19,'[176]geoMap (4)'!$A:$C,3,0)</f>
        <v>3836.3118363118356</v>
      </c>
      <c r="G19" s="1">
        <f>F19/VLOOKUP(A19,'[177]geoMap (5)'!$A:$B,2,0)*VLOOKUP(A19,'[177]geoMap (5)'!$A:$C,3,0)</f>
        <v>3685.8682348878419</v>
      </c>
      <c r="H19" s="1">
        <f>G19/VLOOKUP(A19,'[178]geoMap (6)'!$A:$B,2,0)*VLOOKUP(A19,'[178]geoMap (6)'!$A:$C,3,0)</f>
        <v>1163.9583899645816</v>
      </c>
      <c r="I19" s="1">
        <f>H19/VLOOKUP(A19,'[179]geoMap (7)'!$A:$B,2,0)*VLOOKUP(A19,'[179]geoMap (7)'!$A:$C,3,0)</f>
        <v>952.32959178920305</v>
      </c>
      <c r="J19" s="1">
        <f>I19/VLOOKUP(A19,'[180]geoMap (8)'!$A:$B,2,0)*VLOOKUP(A19,'[180]geoMap (8)'!$A:$C,3,0)</f>
        <v>1693.0303854030278</v>
      </c>
      <c r="K19" s="1">
        <f>J19/VLOOKUP(A19,'[181]geoMap (9)'!$A:$B,2,0)*VLOOKUP(A19,'[181]geoMap (9)'!$A:$C,3,0)</f>
        <v>1128.6869236020186</v>
      </c>
      <c r="L19" s="1">
        <f>K19/VLOOKUP(A19,'[182]geoMap (10)'!$A:$B,2,0)*VLOOKUP(A19,'[182]geoMap (10)'!$A:$C,3,0)</f>
        <v>721.6195085324382</v>
      </c>
      <c r="M19" s="1">
        <f>L19/VLOOKUP(A19,'[183]geoMap (11)'!$A:$B,2,0)*VLOOKUP(A19,'[183]geoMap (11)'!$A:$C,3,0)</f>
        <v>781.75446757680811</v>
      </c>
      <c r="N19" s="1">
        <f>M19/VLOOKUP(A19,'[184]geoMap (12)'!$A:$B,2,0)*VLOOKUP(A19,'[184]geoMap (12)'!$A:$C,3,0)</f>
        <v>751.09742963261942</v>
      </c>
      <c r="O19" s="1">
        <f>N19/VLOOKUP(A19,'[185]geoMap (13)'!$A:$B,2,0)*VLOOKUP(A19,'[185]geoMap (13)'!$A:$C,3,0)</f>
        <v>460.3500375167668</v>
      </c>
      <c r="P19" s="1">
        <f>O19/VLOOKUP(A19,'[186]geoMap (14)'!$A:$B,2,0)*VLOOKUP(A19,'[186]geoMap (14)'!$A:$C,3,0)</f>
        <v>226.7395707172135</v>
      </c>
      <c r="Q19" s="1">
        <f>P19/VLOOKUP(A19,'[187]geoMap (15)'!$A:$B,2,0)*VLOOKUP(A19,'[187]geoMap (15)'!$A:$C,3,0)</f>
        <v>266.17253953759848</v>
      </c>
      <c r="R19" s="1">
        <f>Q19/VLOOKUP(A19,'[188]geoMap (16)'!$A:$B,2,0)*VLOOKUP(A19,'[188]geoMap (16)'!$A:$C,3,0)</f>
        <v>149.72205348989914</v>
      </c>
      <c r="S19" s="1">
        <f>R19/VLOOKUP(A19,'[189]geoMap (17)'!$A:$B,2,0)*VLOOKUP(A19,'[189]geoMap (17)'!$A:$C,3,0)</f>
        <v>190.55534080532618</v>
      </c>
      <c r="T19" s="1">
        <f>S19/VLOOKUP(A19,'[190]geoMap (18)'!$A:$B,2,0)*VLOOKUP(A19,'[190]geoMap (18)'!$A:$C,3,0)</f>
        <v>149.72205348989914</v>
      </c>
      <c r="U19" s="1">
        <f>T19/VLOOKUP(A19,'[191]geoMap (19)'!$A:$B,2,0)*VLOOKUP(A19,'[191]geoMap (19)'!$A:$C,3,0)</f>
        <v>138.20497245221461</v>
      </c>
      <c r="V19" s="1">
        <f>U19/VLOOKUP(A19,'[192]geoMap (20)'!$A:$B,2,0)*VLOOKUP(A19,'[192]geoMap (20)'!$A:$C,3,0)</f>
        <v>81.167999694157771</v>
      </c>
      <c r="W19" s="1">
        <f>V19/VLOOKUP(A19,'[193]geoMap (21)'!$A:$B,2,0)*VLOOKUP(A19,'[193]geoMap (21)'!$A:$C,3,0)</f>
        <v>54.111999796105181</v>
      </c>
      <c r="X19" s="1">
        <f>W19/VLOOKUP(A19,'[194]geoMap (22)'!$A:$B,2,0)*VLOOKUP(A19,'[194]geoMap (22)'!$A:$C,3,0)</f>
        <v>120.44283825584701</v>
      </c>
      <c r="Y19" s="1">
        <f>X19/VLOOKUP(A19,'[195]geoMap (23)'!$A:$B,2,0)*VLOOKUP(A19,'[195]geoMap (23)'!$A:$C,3,0)</f>
        <v>59.322591976760464</v>
      </c>
      <c r="Z19" s="1">
        <f>Y19/VLOOKUP(A19,'[196]geoMap (24)'!$A:$B,2,0)*VLOOKUP(A19,'[196]geoMap (24)'!$A:$C,3,0)</f>
        <v>56.99621582080907</v>
      </c>
      <c r="AA19" s="1">
        <f>Z19/VLOOKUP(A19,'[197]geoMap (25)'!$A:$B,2,0)*VLOOKUP(A19,'[197]geoMap (25)'!$A:$C,3,0)</f>
        <v>41.273121801275536</v>
      </c>
    </row>
    <row r="20" spans="1:27" x14ac:dyDescent="0.2">
      <c r="A20" s="1" t="s">
        <v>79</v>
      </c>
      <c r="B20" s="1">
        <f>Notes!$C$6*VLOOKUP('Data_Raw++ (2017)'!A20,[172]geoMap!$A:$B,2,0)</f>
        <v>6000</v>
      </c>
      <c r="C20" s="1">
        <f>B20/VLOOKUP(A20,'[173]geoMap (1)'!$A:$B,2,0)*VLOOKUP(A20,'[173]geoMap (1)'!$A:$C,3,0)</f>
        <v>5111.1111111111104</v>
      </c>
      <c r="D20" s="1">
        <f>C20/VLOOKUP(A20,'[174]geoMap (2)'!$A:$B,2,0)*VLOOKUP(A20,'[174]geoMap (2)'!$A:$C,3,0)</f>
        <v>5999.9999999999991</v>
      </c>
      <c r="E20" s="1">
        <f>D20/VLOOKUP(A20,'[175]geoMap (3)'!$A:$B,2,0)*VLOOKUP(A20,'[175]geoMap (3)'!$A:$C,3,0)</f>
        <v>3836.0655737704915</v>
      </c>
      <c r="F20" s="1">
        <f>E20/VLOOKUP(A20,'[176]geoMap (4)'!$A:$B,2,0)*VLOOKUP(A20,'[176]geoMap (4)'!$A:$C,3,0)</f>
        <v>2893.8740293356341</v>
      </c>
      <c r="G20" s="1">
        <f>F20/VLOOKUP(A20,'[177]geoMap (5)'!$A:$B,2,0)*VLOOKUP(A20,'[177]geoMap (5)'!$A:$C,3,0)</f>
        <v>3397.1564692200923</v>
      </c>
      <c r="H20" s="1">
        <f>G20/VLOOKUP(A20,'[178]geoMap (6)'!$A:$B,2,0)*VLOOKUP(A20,'[178]geoMap (6)'!$A:$C,3,0)</f>
        <v>1995.155386684816</v>
      </c>
      <c r="I20" s="1">
        <f>H20/VLOOKUP(A20,'[179]geoMap (7)'!$A:$B,2,0)*VLOOKUP(A20,'[179]geoMap (7)'!$A:$C,3,0)</f>
        <v>1841.6818954013686</v>
      </c>
      <c r="J20" s="1">
        <f>I20/VLOOKUP(A20,'[180]geoMap (8)'!$A:$B,2,0)*VLOOKUP(A20,'[180]geoMap (8)'!$A:$C,3,0)</f>
        <v>1279.8128425670527</v>
      </c>
      <c r="K20" s="1">
        <f>J20/VLOOKUP(A20,'[181]geoMap (9)'!$A:$B,2,0)*VLOOKUP(A20,'[181]geoMap (9)'!$A:$C,3,0)</f>
        <v>853.20856171136859</v>
      </c>
      <c r="L20" s="1">
        <f>K20/VLOOKUP(A20,'[182]geoMap (10)'!$A:$B,2,0)*VLOOKUP(A20,'[182]geoMap (10)'!$A:$C,3,0)</f>
        <v>439.53168330585657</v>
      </c>
      <c r="M20" s="1">
        <f>L20/VLOOKUP(A20,'[183]geoMap (11)'!$A:$B,2,0)*VLOOKUP(A20,'[183]geoMap (11)'!$A:$C,3,0)</f>
        <v>632.49681256208623</v>
      </c>
      <c r="N20" s="1">
        <f>M20/VLOOKUP(A20,'[184]geoMap (12)'!$A:$B,2,0)*VLOOKUP(A20,'[184]geoMap (12)'!$A:$C,3,0)</f>
        <v>713.24108650618246</v>
      </c>
      <c r="O20" s="1">
        <f>N20/VLOOKUP(A20,'[185]geoMap (13)'!$A:$B,2,0)*VLOOKUP(A20,'[185]geoMap (13)'!$A:$C,3,0)</f>
        <v>367.42722638197279</v>
      </c>
      <c r="P20" s="1">
        <f>O20/VLOOKUP(A20,'[186]geoMap (14)'!$A:$B,2,0)*VLOOKUP(A20,'[186]geoMap (14)'!$A:$C,3,0)</f>
        <v>135.8977412645653</v>
      </c>
      <c r="Q20" s="1">
        <f>P20/VLOOKUP(A20,'[187]geoMap (15)'!$A:$B,2,0)*VLOOKUP(A20,'[187]geoMap (15)'!$A:$C,3,0)</f>
        <v>203.84661189684795</v>
      </c>
      <c r="R20" s="1">
        <f>Q20/VLOOKUP(A20,'[188]geoMap (16)'!$A:$B,2,0)*VLOOKUP(A20,'[188]geoMap (16)'!$A:$C,3,0)</f>
        <v>124.9382460012939</v>
      </c>
      <c r="S20" s="1">
        <f>R20/VLOOKUP(A20,'[189]geoMap (17)'!$A:$B,2,0)*VLOOKUP(A20,'[189]geoMap (17)'!$A:$C,3,0)</f>
        <v>124.9382460012939</v>
      </c>
      <c r="T20" s="1">
        <f>S20/VLOOKUP(A20,'[190]geoMap (18)'!$A:$B,2,0)*VLOOKUP(A20,'[190]geoMap (18)'!$A:$C,3,0)</f>
        <v>124.9382460012939</v>
      </c>
      <c r="U20" s="1">
        <f>T20/VLOOKUP(A20,'[191]geoMap (19)'!$A:$B,2,0)*VLOOKUP(A20,'[191]geoMap (19)'!$A:$C,3,0)</f>
        <v>86.821492983950009</v>
      </c>
      <c r="V20" s="1">
        <f>U20/VLOOKUP(A20,'[192]geoMap (20)'!$A:$B,2,0)*VLOOKUP(A20,'[192]geoMap (20)'!$A:$C,3,0)</f>
        <v>39.006757717426815</v>
      </c>
      <c r="W20" s="1">
        <f>V20/VLOOKUP(A20,'[193]geoMap (21)'!$A:$B,2,0)*VLOOKUP(A20,'[193]geoMap (21)'!$A:$C,3,0)</f>
        <v>40.598870277321787</v>
      </c>
      <c r="X20" s="1">
        <f>W20/VLOOKUP(A20,'[194]geoMap (22)'!$A:$B,2,0)*VLOOKUP(A20,'[194]geoMap (22)'!$A:$C,3,0)</f>
        <v>78.809571714801109</v>
      </c>
      <c r="Y20" s="1">
        <f>X20/VLOOKUP(A20,'[195]geoMap (23)'!$A:$B,2,0)*VLOOKUP(A20,'[195]geoMap (23)'!$A:$C,3,0)</f>
        <v>50.386447489790875</v>
      </c>
      <c r="Z20" s="1">
        <f>Y20/VLOOKUP(A20,'[196]geoMap (24)'!$A:$B,2,0)*VLOOKUP(A20,'[196]geoMap (24)'!$A:$C,3,0)</f>
        <v>38.010828808087858</v>
      </c>
      <c r="AA20" s="1">
        <f>Z20/VLOOKUP(A20,'[197]geoMap (25)'!$A:$B,2,0)*VLOOKUP(A20,'[197]geoMap (25)'!$A:$C,3,0)</f>
        <v>44.621407731233575</v>
      </c>
    </row>
    <row r="21" spans="1:27" x14ac:dyDescent="0.2">
      <c r="A21" s="1" t="s">
        <v>94</v>
      </c>
      <c r="B21" s="1">
        <f>Notes!$C$6*VLOOKUP('Data_Raw++ (2017)'!A21,[172]geoMap!$A:$B,2,0)</f>
        <v>6000</v>
      </c>
      <c r="C21" s="1">
        <f>B21/VLOOKUP(A21,'[173]geoMap (1)'!$A:$B,2,0)*VLOOKUP(A21,'[173]geoMap (1)'!$A:$C,3,0)</f>
        <v>4000</v>
      </c>
      <c r="D21" s="1">
        <f>C21/VLOOKUP(A21,'[174]geoMap (2)'!$A:$B,2,0)*VLOOKUP(A21,'[174]geoMap (2)'!$A:$C,3,0)</f>
        <v>4695.652173913044</v>
      </c>
      <c r="E21" s="1">
        <f>D21/VLOOKUP(A21,'[175]geoMap (3)'!$A:$B,2,0)*VLOOKUP(A21,'[175]geoMap (3)'!$A:$C,3,0)</f>
        <v>3689.4409937888199</v>
      </c>
      <c r="F21" s="1">
        <f>E21/VLOOKUP(A21,'[176]geoMap (4)'!$A:$B,2,0)*VLOOKUP(A21,'[176]geoMap (4)'!$A:$C,3,0)</f>
        <v>3142.8571428571431</v>
      </c>
      <c r="G21" s="1">
        <f>F21/VLOOKUP(A21,'[177]geoMap (5)'!$A:$B,2,0)*VLOOKUP(A21,'[177]geoMap (5)'!$A:$C,3,0)</f>
        <v>3689.4409937888199</v>
      </c>
      <c r="H21" s="1">
        <f>G21/VLOOKUP(A21,'[178]geoMap (6)'!$A:$B,2,0)*VLOOKUP(A21,'[178]geoMap (6)'!$A:$C,3,0)</f>
        <v>1736.2075264888563</v>
      </c>
      <c r="I21" s="1">
        <f>H21/VLOOKUP(A21,'[179]geoMap (7)'!$A:$B,2,0)*VLOOKUP(A21,'[179]geoMap (7)'!$A:$C,3,0)</f>
        <v>434.05188162221407</v>
      </c>
      <c r="J21" s="1">
        <f>I21/VLOOKUP(A21,'[180]geoMap (8)'!$A:$B,2,0)*VLOOKUP(A21,'[180]geoMap (8)'!$A:$C,3,0)</f>
        <v>2119.1944808613976</v>
      </c>
      <c r="K21" s="1">
        <f>J21/VLOOKUP(A21,'[181]geoMap (9)'!$A:$B,2,0)*VLOOKUP(A21,'[181]geoMap (9)'!$A:$C,3,0)</f>
        <v>1298.861133431179</v>
      </c>
      <c r="L21" s="1">
        <f>K21/VLOOKUP(A21,'[182]geoMap (10)'!$A:$B,2,0)*VLOOKUP(A21,'[182]geoMap (10)'!$A:$C,3,0)</f>
        <v>865.90742228745285</v>
      </c>
      <c r="M21" s="1">
        <f>L21/VLOOKUP(A21,'[183]geoMap (11)'!$A:$B,2,0)*VLOOKUP(A21,'[183]geoMap (11)'!$A:$C,3,0)</f>
        <v>627.03640924263834</v>
      </c>
      <c r="N21" s="1">
        <f>M21/VLOOKUP(A21,'[184]geoMap (12)'!$A:$B,2,0)*VLOOKUP(A21,'[184]geoMap (12)'!$A:$C,3,0)</f>
        <v>1067.6565887104382</v>
      </c>
      <c r="O21" s="1">
        <f>N21/VLOOKUP(A21,'[185]geoMap (13)'!$A:$B,2,0)*VLOOKUP(A21,'[185]geoMap (13)'!$A:$C,3,0)</f>
        <v>502.42662998138263</v>
      </c>
      <c r="P21" s="1">
        <f>O21/VLOOKUP(A21,'[186]geoMap (14)'!$A:$B,2,0)*VLOOKUP(A21,'[186]geoMap (14)'!$A:$C,3,0)</f>
        <v>394.76378069965779</v>
      </c>
      <c r="Q21" s="1">
        <f>P21/VLOOKUP(A21,'[187]geoMap (15)'!$A:$B,2,0)*VLOOKUP(A21,'[187]geoMap (15)'!$A:$C,3,0)</f>
        <v>252.38995815224021</v>
      </c>
      <c r="R21" s="1">
        <f>Q21/VLOOKUP(A21,'[188]geoMap (16)'!$A:$B,2,0)*VLOOKUP(A21,'[188]geoMap (16)'!$A:$C,3,0)</f>
        <v>512.42809685454836</v>
      </c>
      <c r="S21" s="1">
        <f>R21/VLOOKUP(A21,'[189]geoMap (17)'!$A:$B,2,0)*VLOOKUP(A21,'[189]geoMap (17)'!$A:$C,3,0)</f>
        <v>112.48421638270574</v>
      </c>
      <c r="T21" s="1">
        <f>S21/VLOOKUP(A21,'[190]geoMap (18)'!$A:$B,2,0)*VLOOKUP(A21,'[190]geoMap (18)'!$A:$C,3,0)</f>
        <v>95.819888029712288</v>
      </c>
      <c r="U21" s="1">
        <f>T21/VLOOKUP(A21,'[191]geoMap (19)'!$A:$B,2,0)*VLOOKUP(A21,'[191]geoMap (19)'!$A:$C,3,0)</f>
        <v>78.398090206128231</v>
      </c>
      <c r="V21" s="1">
        <f>U21/VLOOKUP(A21,'[192]geoMap (20)'!$A:$B,2,0)*VLOOKUP(A21,'[192]geoMap (20)'!$A:$C,3,0)</f>
        <v>56.771030838920446</v>
      </c>
      <c r="W21" s="1">
        <f>V21/VLOOKUP(A21,'[193]geoMap (21)'!$A:$B,2,0)*VLOOKUP(A21,'[193]geoMap (21)'!$A:$C,3,0)</f>
        <v>96.664187644648322</v>
      </c>
      <c r="X21" s="1">
        <f>W21/VLOOKUP(A21,'[194]geoMap (22)'!$A:$B,2,0)*VLOOKUP(A21,'[194]geoMap (22)'!$A:$C,3,0)</f>
        <v>19.798689035650863</v>
      </c>
      <c r="Y21" s="1">
        <f>X21/VLOOKUP(A21,'[195]geoMap (23)'!$A:$B,2,0)*VLOOKUP(A21,'[195]geoMap (23)'!$A:$C,3,0)</f>
        <v>27.341046763517859</v>
      </c>
      <c r="Z21" s="1">
        <f>Y21/VLOOKUP(A21,'[196]geoMap (24)'!$A:$B,2,0)*VLOOKUP(A21,'[196]geoMap (24)'!$A:$C,3,0)</f>
        <v>28.457007855906348</v>
      </c>
      <c r="AA21" s="1">
        <f>Z21/VLOOKUP(A21,'[197]geoMap (25)'!$A:$B,2,0)*VLOOKUP(A21,'[197]geoMap (25)'!$A:$C,3,0)</f>
        <v>40.950328378011577</v>
      </c>
    </row>
    <row r="22" spans="1:27" x14ac:dyDescent="0.2">
      <c r="A22" s="1" t="s">
        <v>78</v>
      </c>
      <c r="B22" s="1">
        <f>Notes!$C$6*VLOOKUP('Data_Raw++ (2017)'!A22,[172]geoMap!$A:$B,2,0)</f>
        <v>7000</v>
      </c>
      <c r="C22" s="1">
        <f>B22/VLOOKUP(A22,'[173]geoMap (1)'!$A:$B,2,0)*VLOOKUP(A22,'[173]geoMap (1)'!$A:$C,3,0)</f>
        <v>4864.406779661017</v>
      </c>
      <c r="D22" s="1">
        <f>C22/VLOOKUP(A22,'[174]geoMap (2)'!$A:$B,2,0)*VLOOKUP(A22,'[174]geoMap (2)'!$A:$C,3,0)</f>
        <v>6448.1671265273944</v>
      </c>
      <c r="E22" s="1">
        <f>D22/VLOOKUP(A22,'[175]geoMap (3)'!$A:$B,2,0)*VLOOKUP(A22,'[175]geoMap (3)'!$A:$C,3,0)</f>
        <v>4669.3624019681129</v>
      </c>
      <c r="F22" s="1">
        <f>E22/VLOOKUP(A22,'[176]geoMap (4)'!$A:$B,2,0)*VLOOKUP(A22,'[176]geoMap (4)'!$A:$C,3,0)</f>
        <v>4310.1806787397954</v>
      </c>
      <c r="G22" s="1">
        <f>F22/VLOOKUP(A22,'[177]geoMap (5)'!$A:$B,2,0)*VLOOKUP(A22,'[177]geoMap (5)'!$A:$C,3,0)</f>
        <v>4310.1806787397954</v>
      </c>
      <c r="H22" s="1">
        <f>G22/VLOOKUP(A22,'[178]geoMap (6)'!$A:$B,2,0)*VLOOKUP(A22,'[178]geoMap (6)'!$A:$C,3,0)</f>
        <v>2641.7236418082621</v>
      </c>
      <c r="I22" s="1">
        <f>H22/VLOOKUP(A22,'[179]geoMap (7)'!$A:$B,2,0)*VLOOKUP(A22,'[179]geoMap (7)'!$A:$C,3,0)</f>
        <v>1551.4884880461223</v>
      </c>
      <c r="J22" s="1">
        <f>I22/VLOOKUP(A22,'[180]geoMap (8)'!$A:$B,2,0)*VLOOKUP(A22,'[180]geoMap (8)'!$A:$C,3,0)</f>
        <v>1170.4211401049695</v>
      </c>
      <c r="K22" s="1">
        <f>J22/VLOOKUP(A22,'[181]geoMap (9)'!$A:$B,2,0)*VLOOKUP(A22,'[181]geoMap (9)'!$A:$C,3,0)</f>
        <v>1124.5222718655589</v>
      </c>
      <c r="L22" s="1">
        <f>K22/VLOOKUP(A22,'[182]geoMap (10)'!$A:$B,2,0)*VLOOKUP(A22,'[182]geoMap (10)'!$A:$C,3,0)</f>
        <v>298.92364188831311</v>
      </c>
      <c r="M22" s="1">
        <f>L22/VLOOKUP(A22,'[183]geoMap (11)'!$A:$B,2,0)*VLOOKUP(A22,'[183]geoMap (11)'!$A:$C,3,0)</f>
        <v>1274.3586838396507</v>
      </c>
      <c r="N22" s="1">
        <f>M22/VLOOKUP(A22,'[184]geoMap (12)'!$A:$B,2,0)*VLOOKUP(A22,'[184]geoMap (12)'!$A:$C,3,0)</f>
        <v>885.5712887699267</v>
      </c>
      <c r="O22" s="1">
        <f>N22/VLOOKUP(A22,'[185]geoMap (13)'!$A:$B,2,0)*VLOOKUP(A22,'[185]geoMap (13)'!$A:$C,3,0)</f>
        <v>456.20339118450772</v>
      </c>
      <c r="P22" s="1">
        <f>O22/VLOOKUP(A22,'[186]geoMap (14)'!$A:$B,2,0)*VLOOKUP(A22,'[186]geoMap (14)'!$A:$C,3,0)</f>
        <v>144.06422879510771</v>
      </c>
      <c r="Q22" s="1">
        <f>P22/VLOOKUP(A22,'[187]geoMap (15)'!$A:$B,2,0)*VLOOKUP(A22,'[187]geoMap (15)'!$A:$C,3,0)</f>
        <v>279.65409119050321</v>
      </c>
      <c r="R22" s="1">
        <f>Q22/VLOOKUP(A22,'[188]geoMap (16)'!$A:$B,2,0)*VLOOKUP(A22,'[188]geoMap (16)'!$A:$C,3,0)</f>
        <v>61.387483432061678</v>
      </c>
      <c r="S22" s="1">
        <f>R22/VLOOKUP(A22,'[189]geoMap (17)'!$A:$B,2,0)*VLOOKUP(A22,'[189]geoMap (17)'!$A:$C,3,0)</f>
        <v>165.97356631631487</v>
      </c>
      <c r="T22" s="1">
        <f>S22/VLOOKUP(A22,'[190]geoMap (18)'!$A:$B,2,0)*VLOOKUP(A22,'[190]geoMap (18)'!$A:$C,3,0)</f>
        <v>93.360131052927102</v>
      </c>
      <c r="U22" s="1">
        <f>T22/VLOOKUP(A22,'[191]geoMap (19)'!$A:$B,2,0)*VLOOKUP(A22,'[191]geoMap (19)'!$A:$C,3,0)</f>
        <v>32.802208207785199</v>
      </c>
      <c r="V22" s="1">
        <f>U22/VLOOKUP(A22,'[192]geoMap (20)'!$A:$B,2,0)*VLOOKUP(A22,'[192]geoMap (20)'!$A:$C,3,0)</f>
        <v>20.104579224126411</v>
      </c>
      <c r="W22" s="1">
        <f>V22/VLOOKUP(A22,'[193]geoMap (21)'!$A:$B,2,0)*VLOOKUP(A22,'[193]geoMap (21)'!$A:$C,3,0)</f>
        <v>27.763466547603137</v>
      </c>
      <c r="X22" s="1">
        <f>W22/VLOOKUP(A22,'[194]geoMap (22)'!$A:$B,2,0)*VLOOKUP(A22,'[194]geoMap (22)'!$A:$C,3,0)</f>
        <v>36.802734725892527</v>
      </c>
      <c r="Y22" s="1">
        <f>X22/VLOOKUP(A22,'[195]geoMap (23)'!$A:$B,2,0)*VLOOKUP(A22,'[195]geoMap (23)'!$A:$C,3,0)</f>
        <v>48.785020450601721</v>
      </c>
      <c r="Z22" s="1">
        <f>Y22/VLOOKUP(A22,'[196]geoMap (24)'!$A:$B,2,0)*VLOOKUP(A22,'[196]geoMap (24)'!$A:$C,3,0)</f>
        <v>19.926275958696475</v>
      </c>
      <c r="AA22" s="1">
        <f>Z22/VLOOKUP(A22,'[197]geoMap (25)'!$A:$B,2,0)*VLOOKUP(A22,'[197]geoMap (25)'!$A:$C,3,0)</f>
        <v>21.586798955254519</v>
      </c>
    </row>
    <row r="23" spans="1:27" x14ac:dyDescent="0.2">
      <c r="A23" s="1" t="s">
        <v>81</v>
      </c>
      <c r="B23" s="1">
        <f>Notes!$C$6*VLOOKUP('Data_Raw++ (2017)'!A23,[172]geoMap!$A:$B,2,0)</f>
        <v>6000</v>
      </c>
      <c r="C23" s="1">
        <f>B23/VLOOKUP(A23,'[173]geoMap (1)'!$A:$B,2,0)*VLOOKUP(A23,'[173]geoMap (1)'!$A:$C,3,0)</f>
        <v>3836.0655737704924</v>
      </c>
      <c r="D23" s="1">
        <f>C23/VLOOKUP(A23,'[174]geoMap (2)'!$A:$B,2,0)*VLOOKUP(A23,'[174]geoMap (2)'!$A:$C,3,0)</f>
        <v>4155.7377049180341</v>
      </c>
      <c r="E23" s="1">
        <f>D23/VLOOKUP(A23,'[175]geoMap (3)'!$A:$B,2,0)*VLOOKUP(A23,'[175]geoMap (3)'!$A:$C,3,0)</f>
        <v>3265.2224824355976</v>
      </c>
      <c r="F23" s="1">
        <f>E23/VLOOKUP(A23,'[176]geoMap (4)'!$A:$B,2,0)*VLOOKUP(A23,'[176]geoMap (4)'!$A:$C,3,0)</f>
        <v>2781.4858183710649</v>
      </c>
      <c r="G23" s="1">
        <f>F23/VLOOKUP(A23,'[177]geoMap (5)'!$A:$B,2,0)*VLOOKUP(A23,'[177]geoMap (5)'!$A:$C,3,0)</f>
        <v>3136.5691143333288</v>
      </c>
      <c r="H23" s="1">
        <f>G23/VLOOKUP(A23,'[178]geoMap (6)'!$A:$B,2,0)*VLOOKUP(A23,'[178]geoMap (6)'!$A:$C,3,0)</f>
        <v>1842.1120195290978</v>
      </c>
      <c r="I23" s="1">
        <f>H23/VLOOKUP(A23,'[179]geoMap (7)'!$A:$B,2,0)*VLOOKUP(A23,'[179]geoMap (7)'!$A:$C,3,0)</f>
        <v>614.03733984303256</v>
      </c>
      <c r="J23" s="1">
        <f>I23/VLOOKUP(A23,'[180]geoMap (8)'!$A:$B,2,0)*VLOOKUP(A23,'[180]geoMap (8)'!$A:$C,3,0)</f>
        <v>1140.3550597084891</v>
      </c>
      <c r="K23" s="1">
        <f>J23/VLOOKUP(A23,'[181]geoMap (9)'!$A:$B,2,0)*VLOOKUP(A23,'[181]geoMap (9)'!$A:$C,3,0)</f>
        <v>1186.9001641863865</v>
      </c>
      <c r="L23" s="1">
        <f>K23/VLOOKUP(A23,'[182]geoMap (10)'!$A:$B,2,0)*VLOOKUP(A23,'[182]geoMap (10)'!$A:$C,3,0)</f>
        <v>508.67149893702282</v>
      </c>
      <c r="M23" s="1">
        <f>L23/VLOOKUP(A23,'[183]geoMap (11)'!$A:$B,2,0)*VLOOKUP(A23,'[183]geoMap (11)'!$A:$C,3,0)</f>
        <v>399.6704634505179</v>
      </c>
      <c r="N23" s="1">
        <f>M23/VLOOKUP(A23,'[184]geoMap (12)'!$A:$B,2,0)*VLOOKUP(A23,'[184]geoMap (12)'!$A:$C,3,0)</f>
        <v>625.12559667901519</v>
      </c>
      <c r="O23" s="1">
        <f>N23/VLOOKUP(A23,'[185]geoMap (13)'!$A:$B,2,0)*VLOOKUP(A23,'[185]geoMap (13)'!$A:$C,3,0)</f>
        <v>367.13725519243746</v>
      </c>
      <c r="P23" s="1">
        <f>O23/VLOOKUP(A23,'[186]geoMap (14)'!$A:$B,2,0)*VLOOKUP(A23,'[186]geoMap (14)'!$A:$C,3,0)</f>
        <v>189.13131328095261</v>
      </c>
      <c r="Q23" s="1">
        <f>P23/VLOOKUP(A23,'[187]geoMap (15)'!$A:$B,2,0)*VLOOKUP(A23,'[187]geoMap (15)'!$A:$C,3,0)</f>
        <v>167.72022121141077</v>
      </c>
      <c r="R23" s="1">
        <f>Q23/VLOOKUP(A23,'[188]geoMap (16)'!$A:$B,2,0)*VLOOKUP(A23,'[188]geoMap (16)'!$A:$C,3,0)</f>
        <v>102.79626461344532</v>
      </c>
      <c r="S23" s="1">
        <f>R23/VLOOKUP(A23,'[189]geoMap (17)'!$A:$B,2,0)*VLOOKUP(A23,'[189]geoMap (17)'!$A:$C,3,0)</f>
        <v>91.158951638338294</v>
      </c>
      <c r="T23" s="1">
        <f>S23/VLOOKUP(A23,'[190]geoMap (18)'!$A:$B,2,0)*VLOOKUP(A23,'[190]geoMap (18)'!$A:$C,3,0)</f>
        <v>87.584090789776013</v>
      </c>
      <c r="U23" s="1">
        <f>T23/VLOOKUP(A23,'[191]geoMap (19)'!$A:$B,2,0)*VLOOKUP(A23,'[191]geoMap (19)'!$A:$C,3,0)</f>
        <v>58.389393859850685</v>
      </c>
      <c r="V23" s="1">
        <f>U23/VLOOKUP(A23,'[192]geoMap (20)'!$A:$B,2,0)*VLOOKUP(A23,'[192]geoMap (20)'!$A:$C,3,0)</f>
        <v>87.584090789776013</v>
      </c>
      <c r="W23" s="1">
        <f>V23/VLOOKUP(A23,'[193]geoMap (21)'!$A:$B,2,0)*VLOOKUP(A23,'[193]geoMap (21)'!$A:$C,3,0)</f>
        <v>37.536038909904008</v>
      </c>
      <c r="X23" s="1">
        <f>W23/VLOOKUP(A23,'[194]geoMap (22)'!$A:$B,2,0)*VLOOKUP(A23,'[194]geoMap (22)'!$A:$C,3,0)</f>
        <v>54.01527550449601</v>
      </c>
      <c r="Y23" s="1">
        <f>X23/VLOOKUP(A23,'[195]geoMap (23)'!$A:$B,2,0)*VLOOKUP(A23,'[195]geoMap (23)'!$A:$C,3,0)</f>
        <v>54.01527550449601</v>
      </c>
      <c r="Z23" s="1">
        <f>Y23/VLOOKUP(A23,'[196]geoMap (24)'!$A:$B,2,0)*VLOOKUP(A23,'[196]geoMap (24)'!$A:$C,3,0)</f>
        <v>26.604538681318928</v>
      </c>
      <c r="AA23" s="1">
        <f>Z23/VLOOKUP(A23,'[197]geoMap (25)'!$A:$B,2,0)*VLOOKUP(A23,'[197]geoMap (25)'!$A:$C,3,0)</f>
        <v>38.284580053605289</v>
      </c>
    </row>
    <row r="24" spans="1:27" x14ac:dyDescent="0.2">
      <c r="A24" s="1" t="s">
        <v>73</v>
      </c>
      <c r="B24" s="1">
        <f>Notes!$C$6*VLOOKUP('Data_Raw++ (2017)'!A24,[172]geoMap!$A:$B,2,0)</f>
        <v>7000</v>
      </c>
      <c r="C24" s="1">
        <f>B24/VLOOKUP(A24,'[173]geoMap (1)'!$A:$B,2,0)*VLOOKUP(A24,'[173]geoMap (1)'!$A:$C,3,0)</f>
        <v>3447.7611940298507</v>
      </c>
      <c r="D24" s="1">
        <f>C24/VLOOKUP(A24,'[174]geoMap (2)'!$A:$B,2,0)*VLOOKUP(A24,'[174]geoMap (2)'!$A:$C,3,0)</f>
        <v>5625.2945797329139</v>
      </c>
      <c r="E24" s="1">
        <f>D24/VLOOKUP(A24,'[175]geoMap (3)'!$A:$B,2,0)*VLOOKUP(A24,'[175]geoMap (3)'!$A:$C,3,0)</f>
        <v>5192.5796120611503</v>
      </c>
      <c r="F24" s="1">
        <f>E24/VLOOKUP(A24,'[176]geoMap (4)'!$A:$B,2,0)*VLOOKUP(A24,'[176]geoMap (4)'!$A:$C,3,0)</f>
        <v>3461.719741374101</v>
      </c>
      <c r="G24" s="1">
        <f>F24/VLOOKUP(A24,'[177]geoMap (5)'!$A:$B,2,0)*VLOOKUP(A24,'[177]geoMap (5)'!$A:$C,3,0)</f>
        <v>3461.719741374101</v>
      </c>
      <c r="H24" s="1">
        <f>G24/VLOOKUP(A24,'[178]geoMap (6)'!$A:$B,2,0)*VLOOKUP(A24,'[178]geoMap (6)'!$A:$C,3,0)</f>
        <v>1346.2243438677062</v>
      </c>
      <c r="I24" s="1">
        <f>H24/VLOOKUP(A24,'[179]geoMap (7)'!$A:$B,2,0)*VLOOKUP(A24,'[179]geoMap (7)'!$A:$C,3,0)</f>
        <v>1057.7476987531977</v>
      </c>
      <c r="J24" s="1">
        <f>I24/VLOOKUP(A24,'[180]geoMap (8)'!$A:$B,2,0)*VLOOKUP(A24,'[180]geoMap (8)'!$A:$C,3,0)</f>
        <v>1241.7038202754929</v>
      </c>
      <c r="K24" s="1">
        <f>J24/VLOOKUP(A24,'[181]geoMap (9)'!$A:$B,2,0)*VLOOKUP(A24,'[181]geoMap (9)'!$A:$C,3,0)</f>
        <v>1101.1335764707201</v>
      </c>
      <c r="L24" s="1">
        <f>K24/VLOOKUP(A24,'[182]geoMap (10)'!$A:$B,2,0)*VLOOKUP(A24,'[182]geoMap (10)'!$A:$C,3,0)</f>
        <v>592.91807963807992</v>
      </c>
      <c r="M24" s="1">
        <f>L24/VLOOKUP(A24,'[183]geoMap (11)'!$A:$B,2,0)*VLOOKUP(A24,'[183]geoMap (11)'!$A:$C,3,0)</f>
        <v>333.51641979641994</v>
      </c>
      <c r="N24" s="1">
        <f>M24/VLOOKUP(A24,'[184]geoMap (12)'!$A:$B,2,0)*VLOOKUP(A24,'[184]geoMap (12)'!$A:$C,3,0)</f>
        <v>500.27462969462982</v>
      </c>
      <c r="O24" s="1">
        <f>N24/VLOOKUP(A24,'[185]geoMap (13)'!$A:$B,2,0)*VLOOKUP(A24,'[185]geoMap (13)'!$A:$C,3,0)</f>
        <v>377.40015924331726</v>
      </c>
      <c r="P24" s="1">
        <f>O24/VLOOKUP(A24,'[186]geoMap (14)'!$A:$B,2,0)*VLOOKUP(A24,'[186]geoMap (14)'!$A:$C,3,0)</f>
        <v>334.67561291388506</v>
      </c>
      <c r="Q24" s="1">
        <f>P24/VLOOKUP(A24,'[187]geoMap (15)'!$A:$B,2,0)*VLOOKUP(A24,'[187]geoMap (15)'!$A:$C,3,0)</f>
        <v>180.20994541516885</v>
      </c>
      <c r="R24" s="1">
        <f>Q24/VLOOKUP(A24,'[188]geoMap (16)'!$A:$B,2,0)*VLOOKUP(A24,'[188]geoMap (16)'!$A:$C,3,0)</f>
        <v>92.835426425996076</v>
      </c>
      <c r="S24" s="1">
        <f>R24/VLOOKUP(A24,'[189]geoMap (17)'!$A:$B,2,0)*VLOOKUP(A24,'[189]geoMap (17)'!$A:$C,3,0)</f>
        <v>96.624627504608156</v>
      </c>
      <c r="T24" s="1">
        <f>S24/VLOOKUP(A24,'[190]geoMap (18)'!$A:$B,2,0)*VLOOKUP(A24,'[190]geoMap (18)'!$A:$C,3,0)</f>
        <v>128.0838085526201</v>
      </c>
      <c r="U24" s="1">
        <f>T24/VLOOKUP(A24,'[191]geoMap (19)'!$A:$B,2,0)*VLOOKUP(A24,'[191]geoMap (19)'!$A:$C,3,0)</f>
        <v>65.982568042258848</v>
      </c>
      <c r="V24" s="1">
        <f>U24/VLOOKUP(A24,'[192]geoMap (20)'!$A:$B,2,0)*VLOOKUP(A24,'[192]geoMap (20)'!$A:$C,3,0)</f>
        <v>87.465264614157064</v>
      </c>
      <c r="W24" s="1">
        <f>V24/VLOOKUP(A24,'[193]geoMap (21)'!$A:$B,2,0)*VLOOKUP(A24,'[193]geoMap (21)'!$A:$C,3,0)</f>
        <v>32.350166364140286</v>
      </c>
      <c r="X24" s="1">
        <f>W24/VLOOKUP(A24,'[194]geoMap (22)'!$A:$B,2,0)*VLOOKUP(A24,'[194]geoMap (22)'!$A:$C,3,0)</f>
        <v>48.525249546210425</v>
      </c>
      <c r="Y24" s="1">
        <f>X24/VLOOKUP(A24,'[195]geoMap (23)'!$A:$B,2,0)*VLOOKUP(A24,'[195]geoMap (23)'!$A:$C,3,0)</f>
        <v>41.336323687512582</v>
      </c>
      <c r="Z24" s="1">
        <f>Y24/VLOOKUP(A24,'[196]geoMap (24)'!$A:$B,2,0)*VLOOKUP(A24,'[196]geoMap (24)'!$A:$C,3,0)</f>
        <v>33.820628471601204</v>
      </c>
      <c r="AA24" s="1">
        <f>Z24/VLOOKUP(A24,'[197]geoMap (25)'!$A:$B,2,0)*VLOOKUP(A24,'[197]geoMap (25)'!$A:$C,3,0)</f>
        <v>26.573350941972372</v>
      </c>
    </row>
    <row r="25" spans="1:27" x14ac:dyDescent="0.2">
      <c r="A25" s="1" t="s">
        <v>85</v>
      </c>
      <c r="B25" s="1">
        <f>Notes!$C$6*VLOOKUP('Data_Raw++ (2017)'!A25,[172]geoMap!$A:$B,2,0)</f>
        <v>6000</v>
      </c>
      <c r="C25" s="1">
        <f>B25/VLOOKUP(A25,'[173]geoMap (1)'!$A:$B,2,0)*VLOOKUP(A25,'[173]geoMap (1)'!$A:$C,3,0)</f>
        <v>2955.2238805970146</v>
      </c>
      <c r="D25" s="1">
        <f>C25/VLOOKUP(A25,'[174]geoMap (2)'!$A:$B,2,0)*VLOOKUP(A25,'[174]geoMap (2)'!$A:$C,3,0)</f>
        <v>4432.8358208955215</v>
      </c>
      <c r="E25" s="1">
        <f>D25/VLOOKUP(A25,'[175]geoMap (3)'!$A:$B,2,0)*VLOOKUP(A25,'[175]geoMap (3)'!$A:$C,3,0)</f>
        <v>3080.4452314697692</v>
      </c>
      <c r="F25" s="1">
        <f>E25/VLOOKUP(A25,'[176]geoMap (4)'!$A:$B,2,0)*VLOOKUP(A25,'[176]geoMap (4)'!$A:$C,3,0)</f>
        <v>2624.0829749557292</v>
      </c>
      <c r="G25" s="1">
        <f>F25/VLOOKUP(A25,'[177]geoMap (5)'!$A:$B,2,0)*VLOOKUP(A25,'[177]geoMap (5)'!$A:$C,3,0)</f>
        <v>2146.9769795092329</v>
      </c>
      <c r="H25" s="1">
        <f>G25/VLOOKUP(A25,'[178]geoMap (6)'!$A:$B,2,0)*VLOOKUP(A25,'[178]geoMap (6)'!$A:$C,3,0)</f>
        <v>3089.5522388059694</v>
      </c>
      <c r="I25" s="1">
        <f>H25/VLOOKUP(A25,'[179]geoMap (7)'!$A:$B,2,0)*VLOOKUP(A25,'[179]geoMap (7)'!$A:$C,3,0)</f>
        <v>821.27337993576396</v>
      </c>
      <c r="J25" s="1">
        <f>I25/VLOOKUP(A25,'[180]geoMap (8)'!$A:$B,2,0)*VLOOKUP(A25,'[180]geoMap (8)'!$A:$C,3,0)</f>
        <v>728.29903503737557</v>
      </c>
      <c r="K25" s="1">
        <f>J25/VLOOKUP(A25,'[181]geoMap (9)'!$A:$B,2,0)*VLOOKUP(A25,'[181]geoMap (9)'!$A:$C,3,0)</f>
        <v>672.27603234219271</v>
      </c>
      <c r="L25" s="1">
        <f>K25/VLOOKUP(A25,'[182]geoMap (10)'!$A:$B,2,0)*VLOOKUP(A25,'[182]geoMap (10)'!$A:$C,3,0)</f>
        <v>274.59161884399424</v>
      </c>
      <c r="M25" s="1">
        <f>L25/VLOOKUP(A25,'[183]geoMap (11)'!$A:$B,2,0)*VLOOKUP(A25,'[183]geoMap (11)'!$A:$C,3,0)</f>
        <v>395.14403687306492</v>
      </c>
      <c r="N25" s="1">
        <f>M25/VLOOKUP(A25,'[184]geoMap (12)'!$A:$B,2,0)*VLOOKUP(A25,'[184]geoMap (12)'!$A:$C,3,0)</f>
        <v>463.86473893794579</v>
      </c>
      <c r="O25" s="1">
        <f>N25/VLOOKUP(A25,'[185]geoMap (13)'!$A:$B,2,0)*VLOOKUP(A25,'[185]geoMap (13)'!$A:$C,3,0)</f>
        <v>260.92391565259453</v>
      </c>
      <c r="P25" s="1">
        <f>O25/VLOOKUP(A25,'[186]geoMap (14)'!$A:$B,2,0)*VLOOKUP(A25,'[186]geoMap (14)'!$A:$C,3,0)</f>
        <v>444.27585638144473</v>
      </c>
      <c r="Q25" s="1">
        <f>P25/VLOOKUP(A25,'[187]geoMap (15)'!$A:$B,2,0)*VLOOKUP(A25,'[187]geoMap (15)'!$A:$C,3,0)</f>
        <v>156.09692251239952</v>
      </c>
      <c r="R25" s="1">
        <f>Q25/VLOOKUP(A25,'[188]geoMap (16)'!$A:$B,2,0)*VLOOKUP(A25,'[188]geoMap (16)'!$A:$C,3,0)</f>
        <v>49.293765003915638</v>
      </c>
      <c r="S25" s="1">
        <f>R25/VLOOKUP(A25,'[189]geoMap (17)'!$A:$B,2,0)*VLOOKUP(A25,'[189]geoMap (17)'!$A:$C,3,0)</f>
        <v>87.633360006961141</v>
      </c>
      <c r="T25" s="1">
        <f>S25/VLOOKUP(A25,'[190]geoMap (18)'!$A:$B,2,0)*VLOOKUP(A25,'[190]geoMap (18)'!$A:$C,3,0)</f>
        <v>74.650640005929858</v>
      </c>
      <c r="U25" s="1">
        <f>T25/VLOOKUP(A25,'[191]geoMap (19)'!$A:$B,2,0)*VLOOKUP(A25,'[191]geoMap (19)'!$A:$C,3,0)</f>
        <v>27.610510687124744</v>
      </c>
      <c r="V25" s="1">
        <f>U25/VLOOKUP(A25,'[192]geoMap (20)'!$A:$B,2,0)*VLOOKUP(A25,'[192]geoMap (20)'!$A:$C,3,0)</f>
        <v>43.185670561913057</v>
      </c>
      <c r="W25" s="1">
        <f>V25/VLOOKUP(A25,'[193]geoMap (21)'!$A:$B,2,0)*VLOOKUP(A25,'[193]geoMap (21)'!$A:$C,3,0)</f>
        <v>28.790447041275371</v>
      </c>
      <c r="X25" s="1">
        <f>W25/VLOOKUP(A25,'[194]geoMap (22)'!$A:$B,2,0)*VLOOKUP(A25,'[194]geoMap (22)'!$A:$C,3,0)</f>
        <v>29.965567328674368</v>
      </c>
      <c r="Y25" s="1">
        <f>X25/VLOOKUP(A25,'[195]geoMap (23)'!$A:$B,2,0)*VLOOKUP(A25,'[195]geoMap (23)'!$A:$C,3,0)</f>
        <v>29.965567328674368</v>
      </c>
      <c r="Z25" s="1">
        <f>Y25/VLOOKUP(A25,'[196]geoMap (24)'!$A:$B,2,0)*VLOOKUP(A25,'[196]geoMap (24)'!$A:$C,3,0)</f>
        <v>14.101443448787936</v>
      </c>
      <c r="AA25" s="1">
        <f>Z25/VLOOKUP(A25,'[197]geoMap (25)'!$A:$B,2,0)*VLOOKUP(A25,'[197]geoMap (25)'!$A:$C,3,0)</f>
        <v>24.010565872260539</v>
      </c>
    </row>
    <row r="26" spans="1:27" x14ac:dyDescent="0.2">
      <c r="A26" s="1" t="s">
        <v>70</v>
      </c>
      <c r="B26" s="1">
        <f>Notes!$C$6*VLOOKUP('Data_Raw++ (2017)'!A26,[172]geoMap!$A:$B,2,0)</f>
        <v>6000</v>
      </c>
      <c r="C26" s="1">
        <f>B26/VLOOKUP(A26,'[173]geoMap (1)'!$A:$B,2,0)*VLOOKUP(A26,'[173]geoMap (1)'!$A:$C,3,0)</f>
        <v>2695.6521739130435</v>
      </c>
      <c r="D26" s="1">
        <f>B26/80*33</f>
        <v>2475</v>
      </c>
      <c r="E26" s="1">
        <f>C26/73*57</f>
        <v>2104.8243001786777</v>
      </c>
      <c r="F26" s="1">
        <f>C26/39*61</f>
        <v>4216.2764771460425</v>
      </c>
      <c r="G26" s="1">
        <f>E26/61*29</f>
        <v>1000.6541754947813</v>
      </c>
      <c r="H26" s="1">
        <f>F26/VLOOKUP(A26,'[206]geoMap (26)'!$A:$B,2,0)*VLOOKUP(A26,'[206]geoMap (26)'!$A:$C,3,0)</f>
        <v>1331.4557296250659</v>
      </c>
      <c r="I26" s="1">
        <f>H26/VLOOKUP(A26,'[179]geoMap (7)'!$A:$B,2,0)*VLOOKUP(A26,'[179]geoMap (7)'!$A:$C,3,0)</f>
        <v>626.56740217650156</v>
      </c>
      <c r="J26" s="1">
        <f>H26/61*31</f>
        <v>676.64143636683684</v>
      </c>
      <c r="K26" s="1">
        <f>H26/57*43</f>
        <v>1004.4315153311901</v>
      </c>
      <c r="L26" s="1">
        <f>J26/66*32</f>
        <v>328.06857520816334</v>
      </c>
      <c r="M26" s="1">
        <f>L26/50*46</f>
        <v>301.82308919151029</v>
      </c>
      <c r="N26" s="1">
        <f>J26/66*18</f>
        <v>184.53857355459189</v>
      </c>
      <c r="O26" s="1">
        <f>H26/VLOOKUP(A26,'[201]geoMap (28)'!$A:$B,2,0)*VLOOKUP(A26,'[201]geoMap (28)'!$A:$C,3,0)</f>
        <v>272.70780004368828</v>
      </c>
      <c r="P26" s="1">
        <f>K26/VLOOKUP(A26,'[207]geoMap (29)'!$A:$B,2,0)*VLOOKUP(A26,'[207]geoMap (29)'!$A:$C,3,0)</f>
        <v>136.96793390879864</v>
      </c>
      <c r="Q26" s="1">
        <f>O26/VLOOKUP(A26,'[198]geoMap (30)'!$A:$B,2,0)*VLOOKUP(A26,'[198]geoMap (30)'!$A:$C,3,0)</f>
        <v>197.47806210060187</v>
      </c>
      <c r="R26" s="1">
        <f>Q26/35*14</f>
        <v>78.991224840240747</v>
      </c>
      <c r="S26" s="1">
        <f>Q26/VLOOKUP(A26,'[202]geoMap (32)'!$A:$B,2,0)*VLOOKUP(A26,'[202]geoMap (32)'!$A:$C,3,0)</f>
        <v>101.73112290031007</v>
      </c>
      <c r="T26" s="1">
        <f>R26/32*17</f>
        <v>41.964088196377894</v>
      </c>
      <c r="U26" s="1">
        <f>H26/VLOOKUP(A26,'[203]geoMap (33)'!$A:$B,2,0)*VLOOKUP(A26,'[203]geoMap (33)'!$A:$C,3,0)</f>
        <v>100.2170979287684</v>
      </c>
      <c r="V26" s="1">
        <f>U26/VLOOKUP(A26,'[192]geoMap (20)'!$A:$B,2,0)*VLOOKUP(A26,'[192]geoMap (20)'!$A:$C,3,0)</f>
        <v>40.933744224426526</v>
      </c>
      <c r="W26" s="1">
        <f>V26/VLOOKUP(A26,'[193]geoMap (21)'!$A:$B,2,0)*VLOOKUP(A26,'[193]geoMap (21)'!$A:$C,3,0)</f>
        <v>42.604509294811287</v>
      </c>
      <c r="X26" s="1">
        <f>W26/30*19</f>
        <v>26.982855886713814</v>
      </c>
      <c r="Y26" s="1">
        <f>V26/VLOOKUP(A26,'[204]geoMap (35)'!$A:$B,2,0)*VLOOKUP(A26,'[204]geoMap (35)'!$A:$C,3,0)</f>
        <v>22.041246890075818</v>
      </c>
      <c r="Z26" s="1">
        <f>Y26/28*21</f>
        <v>16.530935167556866</v>
      </c>
      <c r="AA26" s="1">
        <f>Y26/51*49</f>
        <v>21.176884266935591</v>
      </c>
    </row>
    <row r="27" spans="1:27" x14ac:dyDescent="0.2">
      <c r="A27" s="1" t="s">
        <v>67</v>
      </c>
      <c r="B27" s="1">
        <f>Notes!$C$6*VLOOKUP('Data_Raw++ (2017)'!A27,[172]geoMap!$A:$B,2,0)</f>
        <v>7000</v>
      </c>
      <c r="C27" s="1">
        <f>B27/VLOOKUP(A27,'[173]geoMap (1)'!$A:$B,2,0)*VLOOKUP(A27,'[173]geoMap (1)'!$A:$C,3,0)</f>
        <v>3000</v>
      </c>
      <c r="D27" s="1">
        <f>C27/VLOOKUP(A27,'[174]geoMap (2)'!$A:$B,2,0)*VLOOKUP(A27,'[174]geoMap (2)'!$A:$C,3,0)</f>
        <v>4317.0731707317073</v>
      </c>
      <c r="E27" s="1">
        <f>D27/VLOOKUP(A27,'[175]geoMap (3)'!$A:$B,2,0)*VLOOKUP(A27,'[175]geoMap (3)'!$A:$C,3,0)</f>
        <v>2878.0487804878048</v>
      </c>
      <c r="F27" s="1">
        <f>E27/VLOOKUP(A27,'[176]geoMap (4)'!$A:$B,2,0)*VLOOKUP(A27,'[176]geoMap (4)'!$A:$C,3,0)</f>
        <v>2878.0487804878048</v>
      </c>
      <c r="G27" s="1">
        <f>F27/VLOOKUP(A27,'[177]geoMap (5)'!$A:$B,2,0)*VLOOKUP(A27,'[177]geoMap (5)'!$A:$C,3,0)</f>
        <v>2656.6604127579735</v>
      </c>
      <c r="H27" s="1">
        <f>G27/VLOOKUP(A27,'[178]geoMap (6)'!$A:$B,2,0)*VLOOKUP(A27,'[178]geoMap (6)'!$A:$C,3,0)</f>
        <v>1846.153846153846</v>
      </c>
      <c r="I27" s="1">
        <f>H27/VLOOKUP(A27,'[179]geoMap (7)'!$A:$B,2,0)*VLOOKUP(A27,'[179]geoMap (7)'!$A:$C,3,0)</f>
        <v>551.44855144855137</v>
      </c>
      <c r="J27" s="1">
        <f>I27/VLOOKUP(A27,'[180]geoMap (8)'!$A:$B,2,0)*VLOOKUP(A27,'[180]geoMap (8)'!$A:$C,3,0)</f>
        <v>827.17282717282706</v>
      </c>
      <c r="K27" s="1">
        <f>J27/VLOOKUP(A27,'[181]geoMap (9)'!$A:$B,2,0)*VLOOKUP(A27,'[181]geoMap (9)'!$A:$C,3,0)</f>
        <v>827.17282717282706</v>
      </c>
      <c r="L27" s="1">
        <f>K27/VLOOKUP(A27,'[182]geoMap (10)'!$A:$B,2,0)*VLOOKUP(A27,'[182]geoMap (10)'!$A:$C,3,0)</f>
        <v>247.07759772694837</v>
      </c>
      <c r="M27" s="1">
        <f>L27/VLOOKUP(A27,'[183]geoMap (11)'!$A:$B,2,0)*VLOOKUP(A27,'[183]geoMap (11)'!$A:$C,3,0)</f>
        <v>290.04761472293939</v>
      </c>
      <c r="N27" s="1">
        <f>M27/VLOOKUP(A27,'[184]geoMap (12)'!$A:$B,2,0)*VLOOKUP(A27,'[184]geoMap (12)'!$A:$C,3,0)</f>
        <v>563.03360505041178</v>
      </c>
      <c r="O27" s="1">
        <f>N27/VLOOKUP(A27,'[185]geoMap (13)'!$A:$B,2,0)*VLOOKUP(A27,'[185]geoMap (13)'!$A:$C,3,0)</f>
        <v>330.67052995024187</v>
      </c>
      <c r="P27" s="1">
        <f>O27/VLOOKUP(A27,'[186]geoMap (14)'!$A:$B,2,0)*VLOOKUP(A27,'[186]geoMap (14)'!$A:$C,3,0)</f>
        <v>77.564692210550561</v>
      </c>
      <c r="Q27" s="1">
        <f>P27/VLOOKUP(A27,'[187]geoMap (15)'!$A:$B,2,0)*VLOOKUP(A27,'[187]geoMap (15)'!$A:$C,3,0)</f>
        <v>126.55291886984566</v>
      </c>
      <c r="R27" s="1">
        <f>Q27/VLOOKUP(A27,'[188]geoMap (16)'!$A:$B,2,0)*VLOOKUP(A27,'[188]geoMap (16)'!$A:$C,3,0)</f>
        <v>77.564692210550561</v>
      </c>
      <c r="S27" s="1">
        <f>R27/VLOOKUP(A27,'[189]geoMap (17)'!$A:$B,2,0)*VLOOKUP(A27,'[189]geoMap (17)'!$A:$C,3,0)</f>
        <v>116.34703831582584</v>
      </c>
      <c r="T27" s="1">
        <f>S27/VLOOKUP(A27,'[190]geoMap (18)'!$A:$B,2,0)*VLOOKUP(A27,'[190]geoMap (18)'!$A:$C,3,0)</f>
        <v>91.415530105291722</v>
      </c>
      <c r="U27" s="1">
        <f>T27/VLOOKUP(A27,'[191]geoMap (19)'!$A:$B,2,0)*VLOOKUP(A27,'[191]geoMap (19)'!$A:$C,3,0)</f>
        <v>28.868062138513171</v>
      </c>
      <c r="V27" s="1">
        <f>U27/VLOOKUP(A27,'[192]geoMap (20)'!$A:$B,2,0)*VLOOKUP(A27,'[192]geoMap (20)'!$A:$C,3,0)</f>
        <v>24.591312192066773</v>
      </c>
      <c r="W27" s="1">
        <f>V27/VLOOKUP(A27,'[193]geoMap (21)'!$A:$B,2,0)*VLOOKUP(A27,'[193]geoMap (21)'!$A:$C,3,0)</f>
        <v>49.927815662681027</v>
      </c>
      <c r="X27" s="1">
        <f>W27/VLOOKUP(A27,'[194]geoMap (22)'!$A:$B,2,0)*VLOOKUP(A27,'[194]geoMap (22)'!$A:$C,3,0)</f>
        <v>33.285210441787356</v>
      </c>
      <c r="Y27" s="1">
        <f>X27/VLOOKUP(A27,'[195]geoMap (23)'!$A:$B,2,0)*VLOOKUP(A27,'[195]geoMap (23)'!$A:$C,3,0)</f>
        <v>40.681923873295659</v>
      </c>
      <c r="Z27" s="1">
        <f>Y27/VLOOKUP(A27,'[196]geoMap (24)'!$A:$B,2,0)*VLOOKUP(A27,'[196]geoMap (24)'!$A:$C,3,0)</f>
        <v>18.277386088002398</v>
      </c>
      <c r="AA27" s="1">
        <f>Z27/VLOOKUP(A27,'[197]geoMap (25)'!$A:$B,2,0)*VLOOKUP(A27,'[197]geoMap (25)'!$A:$C,3,0)</f>
        <v>89.236649723776409</v>
      </c>
    </row>
    <row r="28" spans="1:27" x14ac:dyDescent="0.2">
      <c r="A28" s="1" t="s">
        <v>77</v>
      </c>
      <c r="B28" s="1">
        <f>Notes!$C$6*VLOOKUP('Data_Raw++ (2017)'!A28,[172]geoMap!$A:$B,2,0)</f>
        <v>6000</v>
      </c>
      <c r="C28" s="1">
        <f>B28/VLOOKUP(A28,'[173]geoMap (1)'!$A:$B,2,0)*VLOOKUP(A28,'[173]geoMap (1)'!$A:$C,3,0)</f>
        <v>2450.7042253521131</v>
      </c>
      <c r="D28" s="1">
        <f>C28/VLOOKUP(A28,'[174]geoMap (2)'!$A:$B,2,0)*VLOOKUP(A28,'[174]geoMap (2)'!$A:$C,3,0)</f>
        <v>4757.2493786246896</v>
      </c>
      <c r="E28" s="1">
        <f>D28/VLOOKUP(A28,'[175]geoMap (3)'!$A:$B,2,0)*VLOOKUP(A28,'[175]geoMap (3)'!$A:$C,3,0)</f>
        <v>3305.8851614171572</v>
      </c>
      <c r="F28" s="1">
        <f>E28/VLOOKUP(A28,'[176]geoMap (4)'!$A:$B,2,0)*VLOOKUP(A28,'[176]geoMap (4)'!$A:$C,3,0)</f>
        <v>2704.8151320685829</v>
      </c>
      <c r="G28" s="1">
        <f>F28/VLOOKUP(A28,'[177]geoMap (5)'!$A:$B,2,0)*VLOOKUP(A28,'[177]geoMap (5)'!$A:$C,3,0)</f>
        <v>2815.2157497040353</v>
      </c>
      <c r="H28" s="1">
        <f>G28/VLOOKUP(A28,'[178]geoMap (6)'!$A:$B,2,0)*VLOOKUP(A28,'[178]geoMap (6)'!$A:$C,3,0)</f>
        <v>3731.7976217006976</v>
      </c>
      <c r="I28" s="1">
        <f>H28/VLOOKUP(A28,'[179]geoMap (7)'!$A:$B,2,0)*VLOOKUP(A28,'[179]geoMap (7)'!$A:$C,3,0)</f>
        <v>991.99683614828666</v>
      </c>
      <c r="J28" s="1">
        <f>I28/VLOOKUP(A28,'[180]geoMap (8)'!$A:$B,2,0)*VLOOKUP(A28,'[180]geoMap (8)'!$A:$C,3,0)</f>
        <v>1032.4865029298494</v>
      </c>
      <c r="K28" s="1">
        <f>J28/VLOOKUP(A28,'[181]geoMap (9)'!$A:$B,2,0)*VLOOKUP(A28,'[181]geoMap (9)'!$A:$C,3,0)</f>
        <v>915.60123844722489</v>
      </c>
      <c r="L28" s="1">
        <f>K28/VLOOKUP(A28,'[182]geoMap (10)'!$A:$B,2,0)*VLOOKUP(A28,'[182]geoMap (10)'!$A:$C,3,0)</f>
        <v>174.40023589470951</v>
      </c>
      <c r="M28" s="1">
        <f>L28/VLOOKUP(A28,'[183]geoMap (11)'!$A:$B,2,0)*VLOOKUP(A28,'[183]geoMap (11)'!$A:$C,3,0)</f>
        <v>448.45774944353872</v>
      </c>
      <c r="N28" s="1">
        <f>M28/VLOOKUP(A28,'[184]geoMap (12)'!$A:$B,2,0)*VLOOKUP(A28,'[184]geoMap (12)'!$A:$C,3,0)</f>
        <v>485.82922856383362</v>
      </c>
      <c r="O28" s="1">
        <f>N28/VLOOKUP(A28,'[185]geoMap (13)'!$A:$B,2,0)*VLOOKUP(A28,'[185]geoMap (13)'!$A:$C,3,0)</f>
        <v>285.32827709304513</v>
      </c>
      <c r="P28" s="1">
        <f>O28/VLOOKUP(A28,'[186]geoMap (14)'!$A:$B,2,0)*VLOOKUP(A28,'[186]geoMap (14)'!$A:$C,3,0)</f>
        <v>465.53560999391573</v>
      </c>
      <c r="Q28" s="1">
        <f>P28/VLOOKUP(A28,'[187]geoMap (15)'!$A:$B,2,0)*VLOOKUP(A28,'[187]geoMap (15)'!$A:$C,3,0)</f>
        <v>131.30491563930957</v>
      </c>
      <c r="R28" s="1">
        <f>Q28/VLOOKUP(A28,'[188]geoMap (16)'!$A:$B,2,0)*VLOOKUP(A28,'[188]geoMap (16)'!$A:$C,3,0)</f>
        <v>58.992063548095608</v>
      </c>
      <c r="S28" s="1">
        <f>R28/VLOOKUP(A28,'[189]geoMap (17)'!$A:$B,2,0)*VLOOKUP(A28,'[189]geoMap (17)'!$A:$C,3,0)</f>
        <v>119.77176538552744</v>
      </c>
      <c r="T28" s="1">
        <f>S28/VLOOKUP(A28,'[190]geoMap (18)'!$A:$B,2,0)*VLOOKUP(A28,'[190]geoMap (18)'!$A:$C,3,0)</f>
        <v>102.02780014322707</v>
      </c>
      <c r="U28" s="1">
        <f>T28/VLOOKUP(A28,'[191]geoMap (19)'!$A:$B,2,0)*VLOOKUP(A28,'[191]geoMap (19)'!$A:$C,3,0)</f>
        <v>16.609176767502081</v>
      </c>
      <c r="V28" s="1">
        <f>U28/VLOOKUP(A28,'[192]geoMap (20)'!$A:$B,2,0)*VLOOKUP(A28,'[192]geoMap (20)'!$A:$C,3,0)</f>
        <v>20.300104938058102</v>
      </c>
      <c r="W28" s="1">
        <f>V28/VLOOKUP(A28,'[193]geoMap (21)'!$A:$B,2,0)*VLOOKUP(A28,'[193]geoMap (21)'!$A:$C,3,0)</f>
        <v>33.12122384630532</v>
      </c>
      <c r="X28" s="1">
        <f>W28/VLOOKUP(A28,'[194]geoMap (22)'!$A:$B,2,0)*VLOOKUP(A28,'[194]geoMap (22)'!$A:$C,3,0)</f>
        <v>49.681835769457969</v>
      </c>
      <c r="Y28" s="1">
        <f>X28/VLOOKUP(A28,'[195]geoMap (23)'!$A:$B,2,0)*VLOOKUP(A28,'[195]geoMap (23)'!$A:$C,3,0)</f>
        <v>37.47927961555601</v>
      </c>
      <c r="Z28" s="1">
        <f>Y28/VLOOKUP(A28,'[196]geoMap (24)'!$A:$B,2,0)*VLOOKUP(A28,'[196]geoMap (24)'!$A:$C,3,0)</f>
        <v>20.181150562222463</v>
      </c>
      <c r="AA28" s="1">
        <f>Z28/VLOOKUP(A28,'[197]geoMap (25)'!$A:$B,2,0)*VLOOKUP(A28,'[197]geoMap (25)'!$A:$C,3,0)</f>
        <v>27.869207919259591</v>
      </c>
    </row>
    <row r="29" spans="1:27" x14ac:dyDescent="0.2">
      <c r="A29" s="1" t="s">
        <v>93</v>
      </c>
      <c r="B29" s="1">
        <f>Notes!$C$6*VLOOKUP('Data_Raw++ (2017)'!A29,[172]geoMap!$A:$B,2,0)</f>
        <v>7000</v>
      </c>
      <c r="C29" s="1">
        <f>B29/VLOOKUP(A29,'[173]geoMap (1)'!$A:$B,2,0)*VLOOKUP(A29,'[173]geoMap (1)'!$A:$C,3,0)</f>
        <v>2333.3333333333335</v>
      </c>
      <c r="D29" s="1">
        <f>C29/VLOOKUP(A29,'[174]geoMap (2)'!$A:$B,2,0)*VLOOKUP(A29,'[174]geoMap (2)'!$A:$C,3,0)</f>
        <v>6000</v>
      </c>
      <c r="E29" s="1">
        <f>D29/VLOOKUP(A29,'[175]geoMap (3)'!$A:$B,2,0)*VLOOKUP(A29,'[175]geoMap (3)'!$A:$C,3,0)</f>
        <v>4714.2857142857138</v>
      </c>
      <c r="F29" s="1">
        <f>E29/VLOOKUP(A29,'[176]geoMap (4)'!$A:$B,2,0)*VLOOKUP(A29,'[176]geoMap (4)'!$A:$C,3,0)</f>
        <v>4906.7055393585997</v>
      </c>
      <c r="G29" s="1">
        <f>F29/VLOOKUP(A29,'[177]geoMap (5)'!$A:$B,2,0)*VLOOKUP(A29,'[177]geoMap (5)'!$A:$C,3,0)</f>
        <v>3007.3356531552708</v>
      </c>
      <c r="H29" s="1">
        <f>G29/VLOOKUP(A29,'[178]geoMap (6)'!$A:$B,2,0)*VLOOKUP(A29,'[178]geoMap (6)'!$A:$C,3,0)</f>
        <v>2089.8434199892558</v>
      </c>
      <c r="I29" s="1">
        <f>H29/VLOOKUP(A29,'[179]geoMap (7)'!$A:$B,2,0)*VLOOKUP(A29,'[179]geoMap (7)'!$A:$C,3,0)</f>
        <v>1029.3258635767977</v>
      </c>
      <c r="J29" s="1">
        <f>I29/VLOOKUP(A29,'[180]geoMap (8)'!$A:$B,2,0)*VLOOKUP(A29,'[180]geoMap (8)'!$A:$C,3,0)</f>
        <v>1543.9887953651962</v>
      </c>
      <c r="K29" s="1">
        <f>J29/VLOOKUP(A29,'[181]geoMap (9)'!$A:$B,2,0)*VLOOKUP(A29,'[181]geoMap (9)'!$A:$C,3,0)</f>
        <v>2046.6828217631669</v>
      </c>
      <c r="L29" s="1">
        <f>K29/VLOOKUP(A29,'[182]geoMap (10)'!$A:$B,2,0)*VLOOKUP(A29,'[182]geoMap (10)'!$A:$C,3,0)</f>
        <v>795.932208463454</v>
      </c>
      <c r="M29" s="1">
        <f>L29/VLOOKUP(A29,'[183]geoMap (11)'!$A:$B,2,0)*VLOOKUP(A29,'[183]geoMap (11)'!$A:$C,3,0)</f>
        <v>678.01632572812741</v>
      </c>
      <c r="N29" s="1">
        <f>M29/VLOOKUP(A29,'[184]geoMap (12)'!$A:$B,2,0)*VLOOKUP(A29,'[184]geoMap (12)'!$A:$C,3,0)</f>
        <v>319.06650622500109</v>
      </c>
      <c r="O29" s="1">
        <f>N29/VLOOKUP(A29,'[185]geoMap (13)'!$A:$B,2,0)*VLOOKUP(A29,'[185]geoMap (13)'!$A:$C,3,0)</f>
        <v>374.55633339456654</v>
      </c>
      <c r="P29" s="1">
        <f>O29/VLOOKUP(A29,'[186]geoMap (14)'!$A:$B,2,0)*VLOOKUP(A29,'[186]geoMap (14)'!$A:$C,3,0)</f>
        <v>239.47044266209991</v>
      </c>
      <c r="Q29" s="1">
        <f>P29/VLOOKUP(A29,'[187]geoMap (15)'!$A:$B,2,0)*VLOOKUP(A29,'[187]geoMap (15)'!$A:$C,3,0)</f>
        <v>180.65314095561925</v>
      </c>
      <c r="R29" s="1">
        <f>Q29/VLOOKUP(A29,'[188]geoMap (16)'!$A:$B,2,0)*VLOOKUP(A29,'[188]geoMap (16)'!$A:$C,3,0)</f>
        <v>39.655567526843249</v>
      </c>
      <c r="S29" s="1">
        <f>R29/VLOOKUP(A29,'[189]geoMap (17)'!$A:$B,2,0)*VLOOKUP(A29,'[189]geoMap (17)'!$A:$C,3,0)</f>
        <v>125.57596383500363</v>
      </c>
      <c r="T29" s="1">
        <f>S29/VLOOKUP(A29,'[190]geoMap (18)'!$A:$B,2,0)*VLOOKUP(A29,'[190]geoMap (18)'!$A:$C,3,0)</f>
        <v>46.445904432124635</v>
      </c>
      <c r="U29" s="1">
        <f>T29/VLOOKUP(A29,'[191]geoMap (19)'!$A:$B,2,0)*VLOOKUP(A29,'[191]geoMap (19)'!$A:$C,3,0)</f>
        <v>41.187877515280334</v>
      </c>
      <c r="V29" s="1">
        <f>U29/VLOOKUP(A29,'[192]geoMap (20)'!$A:$B,2,0)*VLOOKUP(A29,'[192]geoMap (20)'!$A:$C,3,0)</f>
        <v>33.699172512502088</v>
      </c>
      <c r="W29" s="1">
        <f>V29/VLOOKUP(A29,'[193]geoMap (21)'!$A:$B,2,0)*VLOOKUP(A29,'[193]geoMap (21)'!$A:$C,3,0)</f>
        <v>48.493931176527397</v>
      </c>
      <c r="X29" s="1">
        <f>W29/VLOOKUP(A29,'[194]geoMap (22)'!$A:$B,2,0)*VLOOKUP(A29,'[194]geoMap (22)'!$A:$C,3,0)</f>
        <v>61.71954877012579</v>
      </c>
      <c r="Y29" s="1">
        <f>X29/VLOOKUP(A29,'[195]geoMap (23)'!$A:$B,2,0)*VLOOKUP(A29,'[195]geoMap (23)'!$A:$C,3,0)</f>
        <v>30.399180737524642</v>
      </c>
      <c r="Z29" s="1">
        <f>Y29/VLOOKUP(A29,'[196]geoMap (24)'!$A:$B,2,0)*VLOOKUP(A29,'[196]geoMap (24)'!$A:$C,3,0)</f>
        <v>19.435541783007562</v>
      </c>
      <c r="AA29" s="1">
        <f>Z29/VLOOKUP(A29,'[197]geoMap (25)'!$A:$B,2,0)*VLOOKUP(A29,'[197]geoMap (25)'!$A:$C,3,0)</f>
        <v>25.76339259607979</v>
      </c>
    </row>
    <row r="30" spans="1:27" x14ac:dyDescent="0.2">
      <c r="A30" s="1" t="s">
        <v>68</v>
      </c>
      <c r="B30" s="1">
        <f>Notes!$C$6*VLOOKUP('Data_Raw++ (2017)'!A30,[172]geoMap!$A:$B,2,0)</f>
        <v>6000</v>
      </c>
      <c r="C30" s="1">
        <f>B30/VLOOKUP(A30,'[173]geoMap (1)'!$A:$B,2,0)*VLOOKUP(A30,'[173]geoMap (1)'!$A:$C,3,0)</f>
        <v>2000</v>
      </c>
      <c r="D30" s="1">
        <f>C30/VLOOKUP(A30,'[174]geoMap (2)'!$A:$B,2,0)*VLOOKUP(A30,'[174]geoMap (2)'!$A:$C,3,0)</f>
        <v>5692.3076923076924</v>
      </c>
      <c r="E30" s="1">
        <f>D30/VLOOKUP(A30,'[175]geoMap (3)'!$A:$B,2,0)*VLOOKUP(A30,'[175]geoMap (3)'!$A:$C,3,0)</f>
        <v>2678.7330316742077</v>
      </c>
      <c r="F30" s="1">
        <f>E30/VLOOKUP(A30,'[176]geoMap (4)'!$A:$B,2,0)*VLOOKUP(A30,'[176]geoMap (4)'!$A:$C,3,0)</f>
        <v>2020.7986028419464</v>
      </c>
      <c r="G30" s="1">
        <f>F30/VLOOKUP(A30,'[177]geoMap (5)'!$A:$B,2,0)*VLOOKUP(A30,'[177]geoMap (5)'!$A:$C,3,0)</f>
        <v>2907.9784772603621</v>
      </c>
      <c r="H30" s="1">
        <f>G30/VLOOKUP(A30,'[178]geoMap (6)'!$A:$B,2,0)*VLOOKUP(A30,'[178]geoMap (6)'!$A:$C,3,0)</f>
        <v>2105.7775180161243</v>
      </c>
      <c r="I30" s="1">
        <f>H30/VLOOKUP(A30,'[179]geoMap (7)'!$A:$B,2,0)*VLOOKUP(A30,'[179]geoMap (7)'!$A:$C,3,0)</f>
        <v>990.95412612523489</v>
      </c>
      <c r="J30" s="1">
        <f>I30/VLOOKUP(A30,'[180]geoMap (8)'!$A:$B,2,0)*VLOOKUP(A30,'[180]geoMap (8)'!$A:$C,3,0)</f>
        <v>1073.5336366356712</v>
      </c>
      <c r="K30" s="1">
        <f>J30/VLOOKUP(A30,'[181]geoMap (9)'!$A:$B,2,0)*VLOOKUP(A30,'[181]geoMap (9)'!$A:$C,3,0)</f>
        <v>686.35757096378984</v>
      </c>
      <c r="L30" s="1">
        <f>K30/VLOOKUP(A30,'[182]geoMap (10)'!$A:$B,2,0)*VLOOKUP(A30,'[182]geoMap (10)'!$A:$C,3,0)</f>
        <v>216.74449609382836</v>
      </c>
      <c r="M30" s="1">
        <f>L30/VLOOKUP(A30,'[183]geoMap (11)'!$A:$B,2,0)*VLOOKUP(A30,'[183]geoMap (11)'!$A:$C,3,0)</f>
        <v>482.43129775723082</v>
      </c>
      <c r="N30" s="1">
        <f>M30/VLOOKUP(A30,'[184]geoMap (12)'!$A:$B,2,0)*VLOOKUP(A30,'[184]geoMap (12)'!$A:$C,3,0)</f>
        <v>666.21464928379498</v>
      </c>
      <c r="O30" s="1">
        <f>N30/VLOOKUP(A30,'[185]geoMap (13)'!$A:$B,2,0)*VLOOKUP(A30,'[185]geoMap (13)'!$A:$C,3,0)</f>
        <v>246.40815795428034</v>
      </c>
      <c r="P30" s="1">
        <f>O30/VLOOKUP(A30,'[186]geoMap (14)'!$A:$B,2,0)*VLOOKUP(A30,'[186]geoMap (14)'!$A:$C,3,0)</f>
        <v>201.60667468986574</v>
      </c>
      <c r="Q30" s="1">
        <f>P30/VLOOKUP(A30,'[187]geoMap (15)'!$A:$B,2,0)*VLOOKUP(A30,'[187]geoMap (15)'!$A:$C,3,0)</f>
        <v>113.40375451304946</v>
      </c>
      <c r="R30" s="1">
        <f>Q30/50*32</f>
        <v>72.578402888351661</v>
      </c>
      <c r="S30" s="1">
        <f>Q30/VLOOKUP(A30,'[202]geoMap (32)'!$A:$B,2,0)*VLOOKUP(A30,'[202]geoMap (32)'!$A:$C,3,0)</f>
        <v>82.119960164622029</v>
      </c>
      <c r="T30" s="1">
        <f>S30/VLOOKUP(A30,'[190]geoMap (18)'!$A:$B,2,0)*VLOOKUP(A30,'[190]geoMap (18)'!$A:$C,3,0)</f>
        <v>75.803040151958783</v>
      </c>
      <c r="U30" s="1">
        <f>T30/37*13</f>
        <v>26.633500593931462</v>
      </c>
      <c r="V30" s="1">
        <f>T30/37*13</f>
        <v>26.633500593931462</v>
      </c>
      <c r="W30" s="1">
        <f>T30/77*23</f>
        <v>22.64246653889678</v>
      </c>
      <c r="X30" s="1">
        <f>W30/VLOOKUP(A30,'[194]geoMap (22)'!$A:$B,2,0)*VLOOKUP(A30,'[194]geoMap (22)'!$A:$C,3,0)</f>
        <v>36.942971721357907</v>
      </c>
      <c r="Y30" s="1">
        <f>X30/VLOOKUP(A30,'[195]geoMap (23)'!$A:$B,2,0)*VLOOKUP(A30,'[195]geoMap (23)'!$A:$C,3,0)</f>
        <v>25.672234586028377</v>
      </c>
      <c r="Z30" s="1">
        <f>Y30/36*16</f>
        <v>11.409882038234834</v>
      </c>
      <c r="AA30" s="1">
        <f>Y30/64*36</f>
        <v>14.440631954640962</v>
      </c>
    </row>
    <row r="31" spans="1:27" x14ac:dyDescent="0.2">
      <c r="A31" s="1" t="s">
        <v>95</v>
      </c>
      <c r="B31" s="1">
        <f>Notes!$C$6*VLOOKUP('Data_Raw++ (2017)'!A31,[172]geoMap!$A:$B,2,0)</f>
        <v>6000</v>
      </c>
      <c r="C31" s="1">
        <f>B31/VLOOKUP(A31,'[173]geoMap (1)'!$A:$B,2,0)*VLOOKUP(A31,'[173]geoMap (1)'!$A:$C,3,0)</f>
        <v>1317.0731707317075</v>
      </c>
      <c r="D31" s="1">
        <f>C31/VLOOKUP(A31,'[174]geoMap (2)'!$A:$B,2,0)*VLOOKUP(A31,'[174]geoMap (2)'!$A:$C,3,0)</f>
        <v>3560.9756097560976</v>
      </c>
      <c r="E31" s="1">
        <f>D31/VLOOKUP(A31,'[175]geoMap (3)'!$A:$B,2,0)*VLOOKUP(A31,'[175]geoMap (3)'!$A:$C,3,0)</f>
        <v>2797.9094076655051</v>
      </c>
      <c r="F31" s="1">
        <f>E31/VLOOKUP(A31,'[176]geoMap (4)'!$A:$B,2,0)*VLOOKUP(A31,'[176]geoMap (4)'!$A:$C,3,0)</f>
        <v>1714.8477014724062</v>
      </c>
      <c r="G31" s="1">
        <f>F31/VLOOKUP(A31,'[177]geoMap (5)'!$A:$B,2,0)*VLOOKUP(A31,'[177]geoMap (5)'!$A:$C,3,0)</f>
        <v>1784.8414852059741</v>
      </c>
      <c r="H31" s="1">
        <f>G31/VLOOKUP(A31,'[178]geoMap (6)'!$A:$B,2,0)*VLOOKUP(A31,'[178]geoMap (6)'!$A:$C,3,0)</f>
        <v>1857.6921580715243</v>
      </c>
      <c r="I31" s="1">
        <f>H31/VLOOKUP(A31,'[179]geoMap (7)'!$A:$B,2,0)*VLOOKUP(A31,'[179]geoMap (7)'!$A:$C,3,0)</f>
        <v>1238.4614387143497</v>
      </c>
      <c r="J31" s="1">
        <f>I31/VLOOKUP(A31,'[180]geoMap (8)'!$A:$B,2,0)*VLOOKUP(A31,'[180]geoMap (8)'!$A:$C,3,0)</f>
        <v>609.9884698145305</v>
      </c>
      <c r="K31" s="1">
        <f>J31/VLOOKUP(A31,'[181]geoMap (9)'!$A:$B,2,0)*VLOOKUP(A31,'[181]geoMap (9)'!$A:$C,3,0)</f>
        <v>519.61980761978521</v>
      </c>
      <c r="L31" s="1">
        <f>K31/VLOOKUP(A31,'[182]geoMap (10)'!$A:$B,2,0)*VLOOKUP(A31,'[182]geoMap (10)'!$A:$C,3,0)</f>
        <v>106.42815336790783</v>
      </c>
      <c r="M31" s="1">
        <f>L31/VLOOKUP(A31,'[183]geoMap (11)'!$A:$B,2,0)*VLOOKUP(A31,'[183]geoMap (11)'!$A:$C,3,0)</f>
        <v>216.08140229241891</v>
      </c>
      <c r="N31" s="1">
        <f>M31/VLOOKUP(A31,'[184]geoMap (12)'!$A:$B,2,0)*VLOOKUP(A31,'[184]geoMap (12)'!$A:$C,3,0)</f>
        <v>234.08818581678716</v>
      </c>
      <c r="O31" s="1">
        <f>N31/VLOOKUP(A31,'[185]geoMap (13)'!$A:$B,2,0)*VLOOKUP(A31,'[185]geoMap (13)'!$A:$C,3,0)</f>
        <v>183.92643171318991</v>
      </c>
      <c r="P31" s="1">
        <f>O31/VLOOKUP(A31,'[186]geoMap (14)'!$A:$B,2,0)*VLOOKUP(A31,'[186]geoMap (14)'!$A:$C,3,0)</f>
        <v>326.98032304567096</v>
      </c>
      <c r="Q31" s="1">
        <f>P31/VLOOKUP(A31,'[187]geoMap (15)'!$A:$B,2,0)*VLOOKUP(A31,'[187]geoMap (15)'!$A:$C,3,0)</f>
        <v>66.971873394896463</v>
      </c>
      <c r="R31" s="1">
        <f>Q31/VLOOKUP(A31,'[188]geoMap (16)'!$A:$B,2,0)*VLOOKUP(A31,'[188]geoMap (16)'!$A:$C,3,0)</f>
        <v>75.52147425381942</v>
      </c>
      <c r="S31" s="1">
        <f>R31/VLOOKUP(A31,'[189]geoMap (17)'!$A:$B,2,0)*VLOOKUP(A31,'[189]geoMap (17)'!$A:$C,3,0)</f>
        <v>61.790297116761337</v>
      </c>
      <c r="T31" s="1">
        <f>S31/VLOOKUP(A31,'[190]geoMap (18)'!$A:$B,2,0)*VLOOKUP(A31,'[190]geoMap (18)'!$A:$C,3,0)</f>
        <v>48.549519163169613</v>
      </c>
      <c r="U31" s="1">
        <f>T31/VLOOKUP(A31,'[191]geoMap (19)'!$A:$B,2,0)*VLOOKUP(A31,'[191]geoMap (19)'!$A:$C,3,0)</f>
        <v>12.905568385146353</v>
      </c>
      <c r="V31" s="1">
        <f>U31/VLOOKUP(A31,'[192]geoMap (20)'!$A:$B,2,0)*VLOOKUP(A31,'[192]geoMap (20)'!$A:$C,3,0)</f>
        <v>5.0188321497791373</v>
      </c>
      <c r="W31" s="1">
        <f>V31/VLOOKUP(A31,'[193]geoMap (21)'!$A:$B,2,0)*VLOOKUP(A31,'[193]geoMap (21)'!$A:$C,3,0)</f>
        <v>26.348868786340468</v>
      </c>
      <c r="X31" s="1">
        <f>W31/VLOOKUP(A31,'[194]geoMap (22)'!$A:$B,2,0)*VLOOKUP(A31,'[194]geoMap (22)'!$A:$C,3,0)</f>
        <v>32.204172961082797</v>
      </c>
      <c r="Y31" s="1">
        <f>X31/VLOOKUP(A31,'[195]geoMap (23)'!$A:$B,2,0)*VLOOKUP(A31,'[195]geoMap (23)'!$A:$C,3,0)</f>
        <v>14.468541475269083</v>
      </c>
      <c r="Z31" s="1">
        <f>Y31/VLOOKUP(A31,'[196]geoMap (24)'!$A:$B,2,0)*VLOOKUP(A31,'[196]geoMap (24)'!$A:$C,3,0)</f>
        <v>14.468541475269083</v>
      </c>
      <c r="AA31" s="1">
        <f>Z31/VLOOKUP(A31,'[197]geoMap (25)'!$A:$B,2,0)*VLOOKUP(A31,'[197]geoMap (25)'!$A:$C,3,0)</f>
        <v>16.984809557924574</v>
      </c>
    </row>
    <row r="32" spans="1:27" x14ac:dyDescent="0.2">
      <c r="A32" s="1" t="s">
        <v>108</v>
      </c>
      <c r="B32" s="1">
        <f>Notes!$C$6*VLOOKUP('Data_Raw++ (2017)'!A32,[172]geoMap!$A:$B,2,0)</f>
        <v>6000</v>
      </c>
      <c r="C32" s="1">
        <f>B32/VLOOKUP(A32,'[173]geoMap (1)'!$A:$B,2,0)*VLOOKUP(A32,'[173]geoMap (1)'!$A:$C,3,0)</f>
        <v>6500</v>
      </c>
      <c r="D32" s="1">
        <f>C32/VLOOKUP(A32,'[174]geoMap (2)'!$A:$B,2,0)*VLOOKUP(A32,'[174]geoMap (2)'!$A:$C,3,0)</f>
        <v>6000</v>
      </c>
      <c r="E32" s="1">
        <f>D32/VLOOKUP(A32,'[175]geoMap (3)'!$A:$B,2,0)*VLOOKUP(A32,'[175]geoMap (3)'!$A:$C,3,0)</f>
        <v>4714.2857142857138</v>
      </c>
      <c r="F32" s="1">
        <f>E32/VLOOKUP(A32,'[176]geoMap (4)'!$A:$B,2,0)*VLOOKUP(A32,'[176]geoMap (4)'!$A:$C,3,0)</f>
        <v>3857.1428571428569</v>
      </c>
      <c r="G32" s="1">
        <f>F32/VLOOKUP(A32,'[177]geoMap (5)'!$A:$B,2,0)*VLOOKUP(A32,'[177]geoMap (5)'!$A:$C,3,0)</f>
        <v>3857.1428571428569</v>
      </c>
      <c r="H32" s="1">
        <f>G32/VLOOKUP(A32,'[178]geoMap (6)'!$A:$B,2,0)*VLOOKUP(A32,'[178]geoMap (6)'!$A:$C,3,0)</f>
        <v>3155.8441558441555</v>
      </c>
      <c r="I32" s="1">
        <f>H32/VLOOKUP(A32,'[179]geoMap (7)'!$A:$B,2,0)*VLOOKUP(A32,'[179]geoMap (7)'!$A:$C,3,0)</f>
        <v>996.58236500341741</v>
      </c>
      <c r="J32" s="1">
        <f>I32/VLOOKUP(A32,'[180]geoMap (8)'!$A:$B,2,0)*VLOOKUP(A32,'[180]geoMap (8)'!$A:$C,3,0)</f>
        <v>1169.9010371779248</v>
      </c>
      <c r="K32" s="1">
        <f>J32/VLOOKUP(A32,'[181]geoMap (9)'!$A:$B,2,0)*VLOOKUP(A32,'[181]geoMap (9)'!$A:$C,3,0)</f>
        <v>1169.9010371779248</v>
      </c>
      <c r="L32" s="1">
        <f>K32/VLOOKUP(A32,'[182]geoMap (10)'!$A:$B,2,0)*VLOOKUP(A32,'[182]geoMap (10)'!$A:$C,3,0)</f>
        <v>717.03611956066356</v>
      </c>
      <c r="M32" s="1">
        <f>L32/VLOOKUP(A32,'[183]geoMap (11)'!$A:$B,2,0)*VLOOKUP(A32,'[183]geoMap (11)'!$A:$C,3,0)</f>
        <v>1755.5022237519695</v>
      </c>
      <c r="N32" s="1">
        <f>M32/VLOOKUP(A32,'[184]geoMap (12)'!$A:$B,2,0)*VLOOKUP(A32,'[184]geoMap (12)'!$A:$C,3,0)</f>
        <v>524.37079410773117</v>
      </c>
      <c r="O32" s="1">
        <f>N32/VLOOKUP(A32,'[185]geoMap (13)'!$A:$B,2,0)*VLOOKUP(A32,'[185]geoMap (13)'!$A:$C,3,0)</f>
        <v>484.03457917636717</v>
      </c>
      <c r="P32" s="1">
        <f>O32/VLOOKUP(A32,'[186]geoMap (14)'!$A:$B,2,0)*VLOOKUP(A32,'[186]geoMap (14)'!$A:$C,3,0)</f>
        <v>128.66741978105961</v>
      </c>
      <c r="Q32" s="1">
        <f>P32/VLOOKUP(A32,'[187]geoMap (15)'!$A:$B,2,0)*VLOOKUP(A32,'[187]geoMap (15)'!$A:$C,3,0)</f>
        <v>484.03457917636712</v>
      </c>
      <c r="R32" s="1">
        <f>Q32/VLOOKUP(A32,'[188]geoMap (16)'!$A:$B,2,0)*VLOOKUP(A32,'[188]geoMap (16)'!$A:$C,3,0)</f>
        <v>484.03457917636712</v>
      </c>
      <c r="S32" s="1">
        <f>R32/VLOOKUP(A32,'[189]geoMap (17)'!$A:$B,2,0)*VLOOKUP(A32,'[189]geoMap (17)'!$A:$C,3,0)</f>
        <v>524.37079410773106</v>
      </c>
      <c r="T32" s="1">
        <f>S32/VLOOKUP(A32,'[190]geoMap (18)'!$A:$B,2,0)*VLOOKUP(A32,'[190]geoMap (18)'!$A:$C,3,0)</f>
        <v>107.40124698592082</v>
      </c>
      <c r="U32" s="1">
        <f>T32/VLOOKUP(A32,'[191]geoMap (19)'!$A:$B,2,0)*VLOOKUP(A32,'[191]geoMap (19)'!$A:$C,3,0)</f>
        <v>107.40124698592082</v>
      </c>
      <c r="V32" s="1">
        <f>U32/VLOOKUP(A32,'[192]geoMap (20)'!$A:$B,2,0)*VLOOKUP(A32,'[192]geoMap (20)'!$A:$C,3,0)</f>
        <v>84.386694060366352</v>
      </c>
      <c r="W32" s="1">
        <f>V32/VLOOKUP(A32,'[193]geoMap (21)'!$A:$B,2,0)*VLOOKUP(A32,'[193]geoMap (21)'!$A:$C,3,0)</f>
        <v>69.043658776663378</v>
      </c>
      <c r="X32" s="1">
        <f>W32/VLOOKUP(A32,'[194]geoMap (22)'!$A:$B,2,0)*VLOOKUP(A32,'[194]geoMap (22)'!$A:$C,3,0)</f>
        <v>23.014552925554458</v>
      </c>
      <c r="Y32" s="1">
        <f>X32/VLOOKUP(A32,'[195]geoMap (23)'!$A:$B,2,0)*VLOOKUP(A32,'[195]geoMap (23)'!$A:$C,3,0)</f>
        <v>72.879417597589125</v>
      </c>
      <c r="Z32" s="1">
        <f>Y32/VLOOKUP(A32,'[196]geoMap (24)'!$A:$B,2,0)*VLOOKUP(A32,'[196]geoMap (24)'!$A:$C,3,0)</f>
        <v>75.85408770361316</v>
      </c>
      <c r="AA32" s="1">
        <f>Z32/VLOOKUP(A32,'[197]geoMap (25)'!$A:$B,2,0)*VLOOKUP(A32,'[197]geoMap (25)'!$A:$C,3,0)</f>
        <v>70.019157880258305</v>
      </c>
    </row>
    <row r="33" spans="1:27" x14ac:dyDescent="0.2">
      <c r="A33" s="1" t="s">
        <v>112</v>
      </c>
      <c r="B33" s="1">
        <f>Notes!$C$6*VLOOKUP('Data_Raw++ (2017)'!A33,[172]geoMap!$A:$B,2,0)</f>
        <v>6000</v>
      </c>
      <c r="C33" s="1">
        <f>B33/VLOOKUP(A33,'[173]geoMap (1)'!$A:$B,2,0)*VLOOKUP(A33,'[173]geoMap (1)'!$A:$C,3,0)</f>
        <v>6500</v>
      </c>
      <c r="D33" s="1">
        <f>C33/VLOOKUP(A33,'[174]geoMap (2)'!$A:$B,2,0)*VLOOKUP(A33,'[174]geoMap (2)'!$A:$C,3,0)</f>
        <v>7329.7872340425547</v>
      </c>
      <c r="E33" s="1">
        <f>D33/VLOOKUP(A33,'[175]geoMap (3)'!$A:$B,2,0)*VLOOKUP(A33,'[175]geoMap (3)'!$A:$C,3,0)</f>
        <v>3610.1937122896165</v>
      </c>
      <c r="F33" s="1">
        <f>E33/VLOOKUP(A33,'[176]geoMap (4)'!$A:$B,2,0)*VLOOKUP(A33,'[176]geoMap (4)'!$A:$C,3,0)</f>
        <v>3075.3501993578211</v>
      </c>
      <c r="G33" s="1">
        <f>F33/VLOOKUP(A33,'[177]geoMap (5)'!$A:$B,2,0)*VLOOKUP(A33,'[177]geoMap (5)'!$A:$C,3,0)</f>
        <v>4076.6270084510647</v>
      </c>
      <c r="H33" s="1">
        <f>G33/VLOOKUP(A33,'[178]geoMap (6)'!$A:$B,2,0)*VLOOKUP(A33,'[178]geoMap (6)'!$A:$C,3,0)</f>
        <v>2100.0805801111546</v>
      </c>
      <c r="I33" s="1">
        <f>H33/VLOOKUP(A33,'[179]geoMap (7)'!$A:$B,2,0)*VLOOKUP(A33,'[179]geoMap (7)'!$A:$C,3,0)</f>
        <v>2465.311985347877</v>
      </c>
      <c r="J33" s="1">
        <f>I33/VLOOKUP(A33,'[180]geoMap (8)'!$A:$B,2,0)*VLOOKUP(A33,'[180]geoMap (8)'!$A:$C,3,0)</f>
        <v>1447.8816421884358</v>
      </c>
      <c r="K33" s="1">
        <f>J33/VLOOKUP(A33,'[181]geoMap (9)'!$A:$B,2,0)*VLOOKUP(A33,'[181]geoMap (9)'!$A:$C,3,0)</f>
        <v>1184.630434517811</v>
      </c>
      <c r="L33" s="1">
        <f>K33/VLOOKUP(A33,'[182]geoMap (10)'!$A:$B,2,0)*VLOOKUP(A33,'[182]geoMap (10)'!$A:$C,3,0)</f>
        <v>557.47314565544036</v>
      </c>
      <c r="M33" s="1">
        <f>L33/VLOOKUP(A33,'[183]geoMap (11)'!$A:$B,2,0)*VLOOKUP(A33,'[183]geoMap (11)'!$A:$C,3,0)</f>
        <v>603.92924112672711</v>
      </c>
      <c r="N33" s="1">
        <f>M33/VLOOKUP(A33,'[184]geoMap (12)'!$A:$B,2,0)*VLOOKUP(A33,'[184]geoMap (12)'!$A:$C,3,0)</f>
        <v>654.25667788728776</v>
      </c>
      <c r="O33" s="1">
        <f>N33/VLOOKUP(A33,'[185]geoMap (13)'!$A:$B,2,0)*VLOOKUP(A33,'[185]geoMap (13)'!$A:$C,3,0)</f>
        <v>384.24598542586739</v>
      </c>
      <c r="P33" s="1">
        <f>O33/VLOOKUP(A33,'[186]geoMap (14)'!$A:$B,2,0)*VLOOKUP(A33,'[186]geoMap (14)'!$A:$C,3,0)</f>
        <v>225.66827715487452</v>
      </c>
      <c r="Q33" s="1">
        <f>P33/VLOOKUP(A33,'[187]geoMap (15)'!$A:$B,2,0)*VLOOKUP(A33,'[187]geoMap (15)'!$A:$C,3,0)</f>
        <v>225.66827715487452</v>
      </c>
      <c r="R33" s="1">
        <f>Q33/VLOOKUP(A33,'[188]geoMap (16)'!$A:$B,2,0)*VLOOKUP(A33,'[188]geoMap (16)'!$A:$C,3,0)</f>
        <v>144.27971818098536</v>
      </c>
      <c r="S33" s="1">
        <f>R33/VLOOKUP(A33,'[189]geoMap (17)'!$A:$B,2,0)*VLOOKUP(A33,'[189]geoMap (17)'!$A:$C,3,0)</f>
        <v>144.27971818098536</v>
      </c>
      <c r="T33" s="1">
        <f>S33/VLOOKUP(A33,'[190]geoMap (18)'!$A:$B,2,0)*VLOOKUP(A33,'[190]geoMap (18)'!$A:$C,3,0)</f>
        <v>92.244409984564413</v>
      </c>
      <c r="U33" s="1">
        <f>T33/VLOOKUP(A33,'[191]geoMap (19)'!$A:$B,2,0)*VLOOKUP(A33,'[191]geoMap (19)'!$A:$C,3,0)</f>
        <v>85.148686139597913</v>
      </c>
      <c r="V33" s="1">
        <f>U33/VLOOKUP(A33,'[192]geoMap (20)'!$A:$B,2,0)*VLOOKUP(A33,'[192]geoMap (20)'!$A:$C,3,0)</f>
        <v>59.171120876669733</v>
      </c>
      <c r="W33" s="1">
        <f>V33/VLOOKUP(A33,'[193]geoMap (21)'!$A:$B,2,0)*VLOOKUP(A33,'[193]geoMap (21)'!$A:$C,3,0)</f>
        <v>39.447413917779826</v>
      </c>
      <c r="X33" s="1">
        <f>W33/VLOOKUP(A33,'[194]geoMap (22)'!$A:$B,2,0)*VLOOKUP(A33,'[194]geoMap (22)'!$A:$C,3,0)</f>
        <v>67.167218292435919</v>
      </c>
      <c r="Y33" s="1">
        <f>X33/VLOOKUP(A33,'[195]geoMap (23)'!$A:$B,2,0)*VLOOKUP(A33,'[195]geoMap (23)'!$A:$C,3,0)</f>
        <v>44.778145528290622</v>
      </c>
      <c r="Z33" s="1">
        <f>Y33/VLOOKUP(A33,'[196]geoMap (24)'!$A:$B,2,0)*VLOOKUP(A33,'[196]geoMap (24)'!$A:$C,3,0)</f>
        <v>43.022139821298836</v>
      </c>
      <c r="AA33" s="1">
        <f>Z33/VLOOKUP(A33,'[197]geoMap (25)'!$A:$B,2,0)*VLOOKUP(A33,'[197]geoMap (25)'!$A:$C,3,0)</f>
        <v>35.199932581062683</v>
      </c>
    </row>
    <row r="34" spans="1:27" x14ac:dyDescent="0.2">
      <c r="A34" s="1" t="s">
        <v>117</v>
      </c>
      <c r="B34" s="1">
        <f>Notes!$C$6*VLOOKUP('Data_Raw++ (2017)'!A34,[172]geoMap!$A:$B,2,0)</f>
        <v>5000</v>
      </c>
      <c r="C34" s="1">
        <f>B34/VLOOKUP(A34,'[173]geoMap (1)'!$A:$B,2,0)*VLOOKUP(A34,'[173]geoMap (1)'!$A:$C,3,0)</f>
        <v>5638.2978723404267</v>
      </c>
      <c r="D34" s="1">
        <f>C34/VLOOKUP(A34,'[174]geoMap (2)'!$A:$B,2,0)*VLOOKUP(A34,'[174]geoMap (2)'!$A:$C,3,0)</f>
        <v>5638.2978723404267</v>
      </c>
      <c r="E34" s="1">
        <f>D34/VLOOKUP(A34,'[175]geoMap (3)'!$A:$B,2,0)*VLOOKUP(A34,'[175]geoMap (3)'!$A:$C,3,0)</f>
        <v>3604.8133937914208</v>
      </c>
      <c r="F34" s="1">
        <f>E34/VLOOKUP(A34,'[176]geoMap (4)'!$A:$B,2,0)*VLOOKUP(A34,'[176]geoMap (4)'!$A:$C,3,0)</f>
        <v>2832.3533808361158</v>
      </c>
      <c r="G34" s="1">
        <f>F34/VLOOKUP(A34,'[177]geoMap (5)'!$A:$B,2,0)*VLOOKUP(A34,'[177]geoMap (5)'!$A:$C,3,0)</f>
        <v>3754.5149466897346</v>
      </c>
      <c r="H34" s="1">
        <f>G34/VLOOKUP(A34,'[178]geoMap (6)'!$A:$B,2,0)*VLOOKUP(A34,'[178]geoMap (6)'!$A:$C,3,0)</f>
        <v>1849.2387050859886</v>
      </c>
      <c r="I34" s="1">
        <f>H34/VLOOKUP(A34,'[179]geoMap (7)'!$A:$B,2,0)*VLOOKUP(A34,'[179]geoMap (7)'!$A:$C,3,0)</f>
        <v>2170.8454364052909</v>
      </c>
      <c r="J34" s="1">
        <f>I34/VLOOKUP(A34,'[180]geoMap (8)'!$A:$B,2,0)*VLOOKUP(A34,'[180]geoMap (8)'!$A:$C,3,0)</f>
        <v>1274.9409705872345</v>
      </c>
      <c r="K34" s="1">
        <f>J34/VLOOKUP(A34,'[181]geoMap (9)'!$A:$B,2,0)*VLOOKUP(A34,'[181]geoMap (9)'!$A:$C,3,0)</f>
        <v>1086.0608267965331</v>
      </c>
      <c r="L34" s="1">
        <f>K34/VLOOKUP(A34,'[182]geoMap (10)'!$A:$B,2,0)*VLOOKUP(A34,'[182]geoMap (10)'!$A:$C,3,0)</f>
        <v>487.94037145931196</v>
      </c>
      <c r="M34" s="1">
        <f>L34/VLOOKUP(A34,'[183]geoMap (11)'!$A:$B,2,0)*VLOOKUP(A34,'[183]geoMap (11)'!$A:$C,3,0)</f>
        <v>621.01501822094258</v>
      </c>
      <c r="N34" s="1">
        <f>M34/VLOOKUP(A34,'[184]geoMap (12)'!$A:$B,2,0)*VLOOKUP(A34,'[184]geoMap (12)'!$A:$C,3,0)</f>
        <v>596.66148809463118</v>
      </c>
      <c r="O34" s="1">
        <f>N34/VLOOKUP(A34,'[185]geoMap (13)'!$A:$B,2,0)*VLOOKUP(A34,'[185]geoMap (13)'!$A:$C,3,0)</f>
        <v>397.77432539642086</v>
      </c>
      <c r="P34" s="1">
        <f>O34/VLOOKUP(A34,'[186]geoMap (14)'!$A:$B,2,0)*VLOOKUP(A34,'[186]geoMap (14)'!$A:$C,3,0)</f>
        <v>118.8157075859439</v>
      </c>
      <c r="Q34" s="1">
        <f>P34/VLOOKUP(A34,'[187]geoMap (15)'!$A:$B,2,0)*VLOOKUP(A34,'[187]geoMap (15)'!$A:$C,3,0)</f>
        <v>241.23189115934065</v>
      </c>
      <c r="R34" s="1">
        <f>Q34/VLOOKUP(A34,'[188]geoMap (16)'!$A:$B,2,0)*VLOOKUP(A34,'[188]geoMap (16)'!$A:$C,3,0)</f>
        <v>147.85180425895072</v>
      </c>
      <c r="S34" s="1">
        <f>R34/VLOOKUP(A34,'[189]geoMap (17)'!$A:$B,2,0)*VLOOKUP(A34,'[189]geoMap (17)'!$A:$C,3,0)</f>
        <v>125.94783325762468</v>
      </c>
      <c r="T34" s="1">
        <f>S34/VLOOKUP(A34,'[190]geoMap (18)'!$A:$B,2,0)*VLOOKUP(A34,'[190]geoMap (18)'!$A:$C,3,0)</f>
        <v>107.28889499723584</v>
      </c>
      <c r="U34" s="1">
        <f>T34/VLOOKUP(A34,'[191]geoMap (19)'!$A:$B,2,0)*VLOOKUP(A34,'[191]geoMap (19)'!$A:$C,3,0)</f>
        <v>87.781823179556596</v>
      </c>
      <c r="V34" s="1">
        <f>U34/VLOOKUP(A34,'[192]geoMap (20)'!$A:$B,2,0)*VLOOKUP(A34,'[192]geoMap (20)'!$A:$C,3,0)</f>
        <v>95.09697511118631</v>
      </c>
      <c r="W34" s="1">
        <f>V34/VLOOKUP(A34,'[193]geoMap (21)'!$A:$B,2,0)*VLOOKUP(A34,'[193]geoMap (21)'!$A:$C,3,0)</f>
        <v>46.83880863685296</v>
      </c>
      <c r="X34" s="1">
        <f>W34/VLOOKUP(A34,'[194]geoMap (22)'!$A:$B,2,0)*VLOOKUP(A34,'[194]geoMap (22)'!$A:$C,3,0)</f>
        <v>39.89972587583771</v>
      </c>
      <c r="Y34" s="1">
        <f>X34/VLOOKUP(A34,'[195]geoMap (23)'!$A:$B,2,0)*VLOOKUP(A34,'[195]geoMap (23)'!$A:$C,3,0)</f>
        <v>55.099621447585406</v>
      </c>
      <c r="Z34" s="1">
        <f>Y34/VLOOKUP(A34,'[196]geoMap (24)'!$A:$B,2,0)*VLOOKUP(A34,'[196]geoMap (24)'!$A:$C,3,0)</f>
        <v>24.754902389494895</v>
      </c>
      <c r="AA34" s="1">
        <f>Z34/VLOOKUP(A34,'[197]geoMap (25)'!$A:$B,2,0)*VLOOKUP(A34,'[197]geoMap (25)'!$A:$C,3,0)</f>
        <v>25.765306568657955</v>
      </c>
    </row>
    <row r="35" spans="1:27" x14ac:dyDescent="0.2">
      <c r="A35" s="1" t="s">
        <v>99</v>
      </c>
      <c r="B35" s="1">
        <f>Notes!$C$6*VLOOKUP('Data_Raw++ (2017)'!A35,[172]geoMap!$A:$B,2,0)</f>
        <v>5000</v>
      </c>
      <c r="C35" s="1">
        <f>B35/VLOOKUP(A35,'[173]geoMap (1)'!$A:$B,2,0)*VLOOKUP(A35,'[173]geoMap (1)'!$A:$C,3,0)</f>
        <v>5204.0816326530621</v>
      </c>
      <c r="D35" s="1">
        <f>C35/VLOOKUP(A35,'[174]geoMap (2)'!$A:$B,2,0)*VLOOKUP(A35,'[174]geoMap (2)'!$A:$C,3,0)</f>
        <v>4257.8849721706874</v>
      </c>
      <c r="E35" s="1">
        <f>D35/VLOOKUP(A35,'[175]geoMap (3)'!$A:$B,2,0)*VLOOKUP(A35,'[175]geoMap (3)'!$A:$C,3,0)</f>
        <v>3930.3553589267885</v>
      </c>
      <c r="F35" s="1">
        <f>E35/VLOOKUP(A35,'[176]geoMap (4)'!$A:$B,2,0)*VLOOKUP(A35,'[176]geoMap (4)'!$A:$C,3,0)</f>
        <v>3215.7452936673722</v>
      </c>
      <c r="G35" s="1">
        <f>F35/VLOOKUP(A35,'[177]geoMap (5)'!$A:$B,2,0)*VLOOKUP(A35,'[177]geoMap (5)'!$A:$C,3,0)</f>
        <v>3089.637635092181</v>
      </c>
      <c r="H35" s="1">
        <f>G35/VLOOKUP(A35,'[178]geoMap (6)'!$A:$B,2,0)*VLOOKUP(A35,'[178]geoMap (6)'!$A:$C,3,0)</f>
        <v>1521.7618202692831</v>
      </c>
      <c r="I35" s="1">
        <f>H35/VLOOKUP(A35,'[179]geoMap (7)'!$A:$B,2,0)*VLOOKUP(A35,'[179]geoMap (7)'!$A:$C,3,0)</f>
        <v>972.92968836888599</v>
      </c>
      <c r="J35" s="1">
        <f>I35/VLOOKUP(A35,'[180]geoMap (8)'!$A:$B,2,0)*VLOOKUP(A35,'[180]geoMap (8)'!$A:$C,3,0)</f>
        <v>1238.2741488331278</v>
      </c>
      <c r="K35" s="1">
        <f>J35/VLOOKUP(A35,'[181]geoMap (9)'!$A:$B,2,0)*VLOOKUP(A35,'[181]geoMap (9)'!$A:$C,3,0)</f>
        <v>727.24037312421797</v>
      </c>
      <c r="L35" s="1">
        <f>K35/VLOOKUP(A35,'[182]geoMap (10)'!$A:$B,2,0)*VLOOKUP(A35,'[182]geoMap (10)'!$A:$C,3,0)</f>
        <v>619.50105858729682</v>
      </c>
      <c r="M35" s="1">
        <f>L35/VLOOKUP(A35,'[183]geoMap (11)'!$A:$B,2,0)*VLOOKUP(A35,'[183]geoMap (11)'!$A:$C,3,0)</f>
        <v>671.12614680290505</v>
      </c>
      <c r="N35" s="1">
        <f>M35/VLOOKUP(A35,'[184]geoMap (12)'!$A:$B,2,0)*VLOOKUP(A35,'[184]geoMap (12)'!$A:$C,3,0)</f>
        <v>506.2881458337705</v>
      </c>
      <c r="O35" s="1">
        <f>N35/VLOOKUP(A35,'[185]geoMap (13)'!$A:$B,2,0)*VLOOKUP(A35,'[185]geoMap (13)'!$A:$C,3,0)</f>
        <v>310.30563776908514</v>
      </c>
      <c r="P35" s="1">
        <f>O35/VLOOKUP(A35,'[186]geoMap (14)'!$A:$B,2,0)*VLOOKUP(A35,'[186]geoMap (14)'!$A:$C,3,0)</f>
        <v>146.02618247956948</v>
      </c>
      <c r="Q35" s="1">
        <f>P35/VLOOKUP(A35,'[187]geoMap (15)'!$A:$B,2,0)*VLOOKUP(A35,'[187]geoMap (15)'!$A:$C,3,0)</f>
        <v>248.63917557332101</v>
      </c>
      <c r="R35" s="1">
        <f>Q35/VLOOKUP(A35,'[188]geoMap (16)'!$A:$B,2,0)*VLOOKUP(A35,'[188]geoMap (16)'!$A:$C,3,0)</f>
        <v>146.02618247956948</v>
      </c>
      <c r="S35" s="1">
        <f>R35/VLOOKUP(A35,'[189]geoMap (17)'!$A:$B,2,0)*VLOOKUP(A35,'[189]geoMap (17)'!$A:$C,3,0)</f>
        <v>201.65520437654834</v>
      </c>
      <c r="T35" s="1">
        <f>S35/VLOOKUP(A35,'[190]geoMap (18)'!$A:$B,2,0)*VLOOKUP(A35,'[190]geoMap (18)'!$A:$C,3,0)</f>
        <v>128.9270978800883</v>
      </c>
      <c r="U35" s="1">
        <f>T35/VLOOKUP(A35,'[191]geoMap (19)'!$A:$B,2,0)*VLOOKUP(A35,'[191]geoMap (19)'!$A:$C,3,0)</f>
        <v>101.29986262006936</v>
      </c>
      <c r="V35" s="1">
        <f>U35/VLOOKUP(A35,'[192]geoMap (20)'!$A:$B,2,0)*VLOOKUP(A35,'[192]geoMap (20)'!$A:$C,3,0)</f>
        <v>39.394391018915869</v>
      </c>
      <c r="W35" s="1">
        <f>V35/VLOOKUP(A35,'[193]geoMap (21)'!$A:$B,2,0)*VLOOKUP(A35,'[193]geoMap (21)'!$A:$C,3,0)</f>
        <v>59.091586528373796</v>
      </c>
      <c r="X35" s="1">
        <f>W35/VLOOKUP(A35,'[194]geoMap (22)'!$A:$B,2,0)*VLOOKUP(A35,'[194]geoMap (22)'!$A:$C,3,0)</f>
        <v>78.330707723658278</v>
      </c>
      <c r="Y35" s="1">
        <f>X35/VLOOKUP(A35,'[195]geoMap (23)'!$A:$B,2,0)*VLOOKUP(A35,'[195]geoMap (23)'!$A:$C,3,0)</f>
        <v>52.220471815772193</v>
      </c>
      <c r="Z35" s="1">
        <f>Y35/VLOOKUP(A35,'[196]geoMap (24)'!$A:$B,2,0)*VLOOKUP(A35,'[196]geoMap (24)'!$A:$C,3,0)</f>
        <v>42.725840576540882</v>
      </c>
      <c r="AA35" s="1">
        <f>Z35/VLOOKUP(A35,'[197]geoMap (25)'!$A:$B,2,0)*VLOOKUP(A35,'[197]geoMap (25)'!$A:$C,3,0)</f>
        <v>33.570303310139259</v>
      </c>
    </row>
    <row r="36" spans="1:27" x14ac:dyDescent="0.2">
      <c r="A36" s="1" t="s">
        <v>97</v>
      </c>
      <c r="B36" s="1">
        <f>Notes!$C$6*VLOOKUP('Data_Raw++ (2017)'!A36,[172]geoMap!$A:$B,2,0)</f>
        <v>6000</v>
      </c>
      <c r="C36" s="1">
        <f>B36/VLOOKUP(A36,'[173]geoMap (1)'!$A:$B,2,0)*VLOOKUP(A36,'[173]geoMap (1)'!$A:$C,3,0)</f>
        <v>5764.7058823529405</v>
      </c>
      <c r="D36" s="1">
        <f>C36/VLOOKUP(A36,'[174]geoMap (2)'!$A:$B,2,0)*VLOOKUP(A36,'[174]geoMap (2)'!$A:$C,3,0)</f>
        <v>5764.7058823529405</v>
      </c>
      <c r="E36" s="1">
        <f>D36/VLOOKUP(A36,'[175]geoMap (3)'!$A:$B,2,0)*VLOOKUP(A36,'[175]geoMap (3)'!$A:$C,3,0)</f>
        <v>4529.411764705882</v>
      </c>
      <c r="F36" s="1">
        <f>E36/VLOOKUP(A36,'[176]geoMap (4)'!$A:$B,2,0)*VLOOKUP(A36,'[176]geoMap (4)'!$A:$C,3,0)</f>
        <v>4016.6481687014425</v>
      </c>
      <c r="G36" s="1">
        <f>F36/VLOOKUP(A36,'[177]geoMap (5)'!$A:$B,2,0)*VLOOKUP(A36,'[177]geoMap (5)'!$A:$C,3,0)</f>
        <v>3707.6752326474848</v>
      </c>
      <c r="H36" s="1">
        <f>G36/VLOOKUP(A36,'[178]geoMap (6)'!$A:$B,2,0)*VLOOKUP(A36,'[178]geoMap (6)'!$A:$C,3,0)</f>
        <v>1996.4405098871071</v>
      </c>
      <c r="I36" s="1">
        <f>H36/VLOOKUP(A36,'[179]geoMap (7)'!$A:$B,2,0)*VLOOKUP(A36,'[179]geoMap (7)'!$A:$C,3,0)</f>
        <v>1330.960339924738</v>
      </c>
      <c r="J36" s="1">
        <f>I36/VLOOKUP(A36,'[180]geoMap (8)'!$A:$B,2,0)*VLOOKUP(A36,'[180]geoMap (8)'!$A:$C,3,0)</f>
        <v>1626.7293043524576</v>
      </c>
      <c r="K36" s="1">
        <f>J36/VLOOKUP(A36,'[181]geoMap (9)'!$A:$B,2,0)*VLOOKUP(A36,'[181]geoMap (9)'!$A:$C,3,0)</f>
        <v>1040.0400470450138</v>
      </c>
      <c r="L36" s="1">
        <f>K36/VLOOKUP(A36,'[182]geoMap (10)'!$A:$B,2,0)*VLOOKUP(A36,'[182]geoMap (10)'!$A:$C,3,0)</f>
        <v>784.59161443746655</v>
      </c>
      <c r="M36" s="1">
        <f>L36/VLOOKUP(A36,'[183]geoMap (11)'!$A:$B,2,0)*VLOOKUP(A36,'[183]geoMap (11)'!$A:$C,3,0)</f>
        <v>724.2384133268921</v>
      </c>
      <c r="N36" s="1">
        <f>M36/VLOOKUP(A36,'[184]geoMap (12)'!$A:$B,2,0)*VLOOKUP(A36,'[184]geoMap (12)'!$A:$C,3,0)</f>
        <v>616.94383357475999</v>
      </c>
      <c r="O36" s="1">
        <f>N36/VLOOKUP(A36,'[185]geoMap (13)'!$A:$B,2,0)*VLOOKUP(A36,'[185]geoMap (13)'!$A:$C,3,0)</f>
        <v>362.33209273438285</v>
      </c>
      <c r="P36" s="1">
        <f>O36/VLOOKUP(A36,'[186]geoMap (14)'!$A:$B,2,0)*VLOOKUP(A36,'[186]geoMap (14)'!$A:$C,3,0)</f>
        <v>186.65592656013661</v>
      </c>
      <c r="Q36" s="1">
        <f>P36/VLOOKUP(A36,'[187]geoMap (15)'!$A:$B,2,0)*VLOOKUP(A36,'[187]geoMap (15)'!$A:$C,3,0)</f>
        <v>291.94901333764955</v>
      </c>
      <c r="R36" s="1">
        <f>Q36/VLOOKUP(A36,'[188]geoMap (16)'!$A:$B,2,0)*VLOOKUP(A36,'[188]geoMap (16)'!$A:$C,3,0)</f>
        <v>171.46211894433384</v>
      </c>
      <c r="S36" s="1">
        <f>R36/VLOOKUP(A36,'[189]geoMap (17)'!$A:$B,2,0)*VLOOKUP(A36,'[189]geoMap (17)'!$A:$C,3,0)</f>
        <v>171.46211894433384</v>
      </c>
      <c r="T36" s="1">
        <f>S36/VLOOKUP(A36,'[190]geoMap (18)'!$A:$B,2,0)*VLOOKUP(A36,'[190]geoMap (18)'!$A:$C,3,0)</f>
        <v>119.15164197826589</v>
      </c>
      <c r="U36" s="1">
        <f>T36/VLOOKUP(A36,'[191]geoMap (19)'!$A:$B,2,0)*VLOOKUP(A36,'[191]geoMap (19)'!$A:$C,3,0)</f>
        <v>97.487707073126629</v>
      </c>
      <c r="V36" s="1">
        <f>U36/VLOOKUP(A36,'[192]geoMap (20)'!$A:$B,2,0)*VLOOKUP(A36,'[192]geoMap (20)'!$A:$C,3,0)</f>
        <v>67.745694745732067</v>
      </c>
      <c r="W36" s="1">
        <f>V36/VLOOKUP(A36,'[193]geoMap (21)'!$A:$B,2,0)*VLOOKUP(A36,'[193]geoMap (21)'!$A:$C,3,0)</f>
        <v>174.20321506045386</v>
      </c>
      <c r="X36" s="1">
        <f>W36/VLOOKUP(A36,'[194]geoMap (22)'!$A:$B,2,0)*VLOOKUP(A36,'[194]geoMap (22)'!$A:$C,3,0)</f>
        <v>93.801731186398214</v>
      </c>
      <c r="Y36" s="1">
        <f>X36/VLOOKUP(A36,'[195]geoMap (23)'!$A:$B,2,0)*VLOOKUP(A36,'[195]geoMap (23)'!$A:$C,3,0)</f>
        <v>62.534487457598814</v>
      </c>
      <c r="Z36" s="1">
        <f>Y36/VLOOKUP(A36,'[196]geoMap (24)'!$A:$B,2,0)*VLOOKUP(A36,'[196]geoMap (24)'!$A:$C,3,0)</f>
        <v>39.981065751579571</v>
      </c>
      <c r="AA36" s="1">
        <f>Z36/VLOOKUP(A36,'[197]geoMap (25)'!$A:$B,2,0)*VLOOKUP(A36,'[197]geoMap (25)'!$A:$C,3,0)</f>
        <v>43.312821230877866</v>
      </c>
    </row>
    <row r="37" spans="1:27" x14ac:dyDescent="0.2">
      <c r="A37" s="1" t="s">
        <v>125</v>
      </c>
      <c r="B37" s="1">
        <f>Notes!$C$6*VLOOKUP('Data_Raw++ (2017)'!A37,[172]geoMap!$A:$B,2,0)</f>
        <v>5000</v>
      </c>
      <c r="C37" s="1">
        <f>B37/VLOOKUP(A37,'[173]geoMap (1)'!$A:$B,2,0)*VLOOKUP(A37,'[173]geoMap (1)'!$A:$C,3,0)</f>
        <v>4433.9622641509432</v>
      </c>
      <c r="D37" s="1">
        <f>C37/VLOOKUP(A37,'[174]geoMap (2)'!$A:$B,2,0)*VLOOKUP(A37,'[174]geoMap (2)'!$A:$C,3,0)</f>
        <v>5000</v>
      </c>
      <c r="E37" s="1">
        <f>D37/VLOOKUP(A37,'[175]geoMap (3)'!$A:$B,2,0)*VLOOKUP(A37,'[175]geoMap (3)'!$A:$C,3,0)</f>
        <v>4615.3846153846152</v>
      </c>
      <c r="F37" s="1">
        <f>E37/VLOOKUP(A37,'[176]geoMap (4)'!$A:$B,2,0)*VLOOKUP(A37,'[176]geoMap (4)'!$A:$C,3,0)</f>
        <v>3207.3011734028682</v>
      </c>
      <c r="G37" s="1">
        <f>F37/VLOOKUP(A37,'[177]geoMap (5)'!$A:$B,2,0)*VLOOKUP(A37,'[177]geoMap (5)'!$A:$C,3,0)</f>
        <v>3765.0926818207581</v>
      </c>
      <c r="H37" s="1">
        <f>G37/VLOOKUP(A37,'[178]geoMap (6)'!$A:$B,2,0)*VLOOKUP(A37,'[178]geoMap (6)'!$A:$C,3,0)</f>
        <v>1322.8704017208067</v>
      </c>
      <c r="I37" s="1">
        <f>H37/VLOOKUP(A37,'[179]geoMap (7)'!$A:$B,2,0)*VLOOKUP(A37,'[179]geoMap (7)'!$A:$C,3,0)</f>
        <v>1376.8651119951253</v>
      </c>
      <c r="J37" s="1">
        <f>I37/VLOOKUP(A37,'[180]geoMap (8)'!$A:$B,2,0)*VLOOKUP(A37,'[180]geoMap (8)'!$A:$C,3,0)</f>
        <v>1270.952411072423</v>
      </c>
      <c r="K37" s="1">
        <f>J37/VLOOKUP(A37,'[181]geoMap (9)'!$A:$B,2,0)*VLOOKUP(A37,'[181]geoMap (9)'!$A:$C,3,0)</f>
        <v>998.60546584261806</v>
      </c>
      <c r="L37" s="1">
        <f>K37/VLOOKUP(A37,'[182]geoMap (10)'!$A:$B,2,0)*VLOOKUP(A37,'[182]geoMap (10)'!$A:$C,3,0)</f>
        <v>448.64883248001684</v>
      </c>
      <c r="M37" s="1">
        <f>L37/VLOOKUP(A37,'[183]geoMap (11)'!$A:$B,2,0)*VLOOKUP(A37,'[183]geoMap (11)'!$A:$C,3,0)</f>
        <v>526.674716389585</v>
      </c>
      <c r="N37" s="1">
        <f>M37/VLOOKUP(A37,'[184]geoMap (12)'!$A:$B,2,0)*VLOOKUP(A37,'[184]geoMap (12)'!$A:$C,3,0)</f>
        <v>593.90978656697894</v>
      </c>
      <c r="O37" s="1">
        <f>N37/VLOOKUP(A37,'[185]geoMap (13)'!$A:$B,2,0)*VLOOKUP(A37,'[185]geoMap (13)'!$A:$C,3,0)</f>
        <v>292.5227306971687</v>
      </c>
      <c r="P37" s="1">
        <f>O37/VLOOKUP(A37,'[186]geoMap (14)'!$A:$B,2,0)*VLOOKUP(A37,'[186]geoMap (14)'!$A:$C,3,0)</f>
        <v>316.8996249219328</v>
      </c>
      <c r="Q37" s="1">
        <f>P37/VLOOKUP(A37,'[187]geoMap (15)'!$A:$B,2,0)*VLOOKUP(A37,'[187]geoMap (15)'!$A:$C,3,0)</f>
        <v>186.11565273192878</v>
      </c>
      <c r="R37" s="1">
        <f>Q37/VLOOKUP(A37,'[188]geoMap (16)'!$A:$B,2,0)*VLOOKUP(A37,'[188]geoMap (16)'!$A:$C,3,0)</f>
        <v>124.07710182128585</v>
      </c>
      <c r="S37" s="1">
        <f>R37/VLOOKUP(A37,'[189]geoMap (17)'!$A:$B,2,0)*VLOOKUP(A37,'[189]geoMap (17)'!$A:$C,3,0)</f>
        <v>186.11565273192878</v>
      </c>
      <c r="T37" s="1">
        <f>S37/VLOOKUP(A37,'[190]geoMap (18)'!$A:$B,2,0)*VLOOKUP(A37,'[190]geoMap (18)'!$A:$C,3,0)</f>
        <v>95.877760498266326</v>
      </c>
      <c r="U37" s="1">
        <f>T37/VLOOKUP(A37,'[191]geoMap (19)'!$A:$B,2,0)*VLOOKUP(A37,'[191]geoMap (19)'!$A:$C,3,0)</f>
        <v>127.0937755442135</v>
      </c>
      <c r="V37" s="1">
        <f>U37/VLOOKUP(A37,'[192]geoMap (20)'!$A:$B,2,0)*VLOOKUP(A37,'[192]geoMap (20)'!$A:$C,3,0)</f>
        <v>108.26506805618186</v>
      </c>
      <c r="W37" s="1">
        <f>V37/VLOOKUP(A37,'[193]geoMap (21)'!$A:$B,2,0)*VLOOKUP(A37,'[193]geoMap (21)'!$A:$C,3,0)</f>
        <v>23.765502744039921</v>
      </c>
      <c r="X37" s="1">
        <f>W37/VLOOKUP(A37,'[194]geoMap (22)'!$A:$B,2,0)*VLOOKUP(A37,'[194]geoMap (22)'!$A:$C,3,0)</f>
        <v>29.046725576048797</v>
      </c>
      <c r="Y37" s="1">
        <f>X37/VLOOKUP(A37,'[195]geoMap (23)'!$A:$B,2,0)*VLOOKUP(A37,'[195]geoMap (23)'!$A:$C,3,0)</f>
        <v>27.907638298556687</v>
      </c>
      <c r="Z37" s="1">
        <f>Y37/VLOOKUP(A37,'[196]geoMap (24)'!$A:$B,2,0)*VLOOKUP(A37,'[196]geoMap (24)'!$A:$C,3,0)</f>
        <v>22.833522244273652</v>
      </c>
      <c r="AA37" s="1">
        <f>Z37/VLOOKUP(A37,'[197]geoMap (25)'!$A:$B,2,0)*VLOOKUP(A37,'[197]geoMap (25)'!$A:$C,3,0)</f>
        <v>21.077097456252602</v>
      </c>
    </row>
    <row r="38" spans="1:27" x14ac:dyDescent="0.2">
      <c r="A38" s="1" t="s">
        <v>120</v>
      </c>
      <c r="B38" s="1">
        <f>Notes!$C$6*VLOOKUP('Data_Raw++ (2017)'!A38,[172]geoMap!$A:$B,2,0)</f>
        <v>5000</v>
      </c>
      <c r="C38" s="1">
        <f>B38/VLOOKUP(A38,'[173]geoMap (1)'!$A:$B,2,0)*VLOOKUP(A38,'[173]geoMap (1)'!$A:$C,3,0)</f>
        <v>3771.9298245614041</v>
      </c>
      <c r="D38" s="1">
        <f>C38/VLOOKUP(A38,'[174]geoMap (2)'!$A:$B,2,0)*VLOOKUP(A38,'[174]geoMap (2)'!$A:$C,3,0)</f>
        <v>4253.4527808883922</v>
      </c>
      <c r="E38" s="1">
        <f>D38/VLOOKUP(A38,'[175]geoMap (3)'!$A:$B,2,0)*VLOOKUP(A38,'[175]geoMap (3)'!$A:$C,3,0)</f>
        <v>3341.9986135551649</v>
      </c>
      <c r="F38" s="1">
        <f>E38/VLOOKUP(A38,'[176]geoMap (4)'!$A:$B,2,0)*VLOOKUP(A38,'[176]geoMap (4)'!$A:$C,3,0)</f>
        <v>2846.8877078432888</v>
      </c>
      <c r="G38" s="1">
        <f>F38/VLOOKUP(A38,'[177]geoMap (5)'!$A:$B,2,0)*VLOOKUP(A38,'[177]geoMap (5)'!$A:$C,3,0)</f>
        <v>2627.896345701497</v>
      </c>
      <c r="H38" s="1">
        <f>G38/VLOOKUP(A38,'[178]geoMap (6)'!$A:$B,2,0)*VLOOKUP(A38,'[178]geoMap (6)'!$A:$C,3,0)</f>
        <v>1021.9596899950267</v>
      </c>
      <c r="I38" s="1">
        <f>H38/VLOOKUP(A38,'[179]geoMap (7)'!$A:$B,2,0)*VLOOKUP(A38,'[179]geoMap (7)'!$A:$C,3,0)</f>
        <v>710.17537779315421</v>
      </c>
      <c r="J38" s="1">
        <f>I38/VLOOKUP(A38,'[180]geoMap (8)'!$A:$B,2,0)*VLOOKUP(A38,'[180]geoMap (8)'!$A:$C,3,0)</f>
        <v>1021.9596899950268</v>
      </c>
      <c r="K38" s="1">
        <f>J38/VLOOKUP(A38,'[181]geoMap (9)'!$A:$B,2,0)*VLOOKUP(A38,'[181]geoMap (9)'!$A:$C,3,0)</f>
        <v>681.30645999668468</v>
      </c>
      <c r="L38" s="1">
        <f>K38/VLOOKUP(A38,'[182]geoMap (10)'!$A:$B,2,0)*VLOOKUP(A38,'[182]geoMap (10)'!$A:$C,3,0)</f>
        <v>350.97605514980728</v>
      </c>
      <c r="M38" s="1">
        <f>L38/VLOOKUP(A38,'[183]geoMap (11)'!$A:$B,2,0)*VLOOKUP(A38,'[183]geoMap (11)'!$A:$C,3,0)</f>
        <v>323.97789706136052</v>
      </c>
      <c r="N38" s="1">
        <f>M38/VLOOKUP(A38,'[184]geoMap (12)'!$A:$B,2,0)*VLOOKUP(A38,'[184]geoMap (12)'!$A:$C,3,0)</f>
        <v>412.33550535082253</v>
      </c>
      <c r="O38" s="1">
        <f>N38/VLOOKUP(A38,'[185]geoMap (13)'!$A:$B,2,0)*VLOOKUP(A38,'[185]geoMap (13)'!$A:$C,3,0)</f>
        <v>274.89033690054833</v>
      </c>
      <c r="P38" s="1">
        <f>O38/VLOOKUP(A38,'[186]geoMap (14)'!$A:$B,2,0)*VLOOKUP(A38,'[186]geoMap (14)'!$A:$C,3,0)</f>
        <v>335.97707843400354</v>
      </c>
      <c r="Q38" s="1">
        <f>P38/VLOOKUP(A38,'[187]geoMap (15)'!$A:$B,2,0)*VLOOKUP(A38,'[187]geoMap (15)'!$A:$C,3,0)</f>
        <v>124.2654947632616</v>
      </c>
      <c r="R38" s="1">
        <f>Q38/VLOOKUP(A38,'[188]geoMap (16)'!$A:$B,2,0)*VLOOKUP(A38,'[188]geoMap (16)'!$A:$C,3,0)</f>
        <v>89.985358276844607</v>
      </c>
      <c r="S38" s="1">
        <f>R38/VLOOKUP(A38,'[189]geoMap (17)'!$A:$B,2,0)*VLOOKUP(A38,'[189]geoMap (17)'!$A:$C,3,0)</f>
        <v>70.702781503235045</v>
      </c>
      <c r="T38" s="1">
        <f>S38/VLOOKUP(A38,'[190]geoMap (18)'!$A:$B,2,0)*VLOOKUP(A38,'[190]geoMap (18)'!$A:$C,3,0)</f>
        <v>73.588609319693617</v>
      </c>
      <c r="U38" s="1">
        <f>T38/VLOOKUP(A38,'[191]geoMap (19)'!$A:$B,2,0)*VLOOKUP(A38,'[191]geoMap (19)'!$A:$C,3,0)</f>
        <v>82.982899871143886</v>
      </c>
      <c r="V38" s="1">
        <f>U38/VLOOKUP(A38,'[192]geoMap (20)'!$A:$B,2,0)*VLOOKUP(A38,'[192]geoMap (20)'!$A:$C,3,0)</f>
        <v>40.872174563399227</v>
      </c>
      <c r="W38" s="1">
        <f>V38/VLOOKUP(A38,'[193]geoMap (21)'!$A:$B,2,0)*VLOOKUP(A38,'[193]geoMap (21)'!$A:$C,3,0)</f>
        <v>30.833394846073102</v>
      </c>
      <c r="X38" s="1">
        <f>W38/VLOOKUP(A38,'[194]geoMap (22)'!$A:$B,2,0)*VLOOKUP(A38,'[194]geoMap (22)'!$A:$C,3,0)</f>
        <v>37.685260367422678</v>
      </c>
      <c r="Y38" s="1">
        <f>X38/VLOOKUP(A38,'[195]geoMap (23)'!$A:$B,2,0)*VLOOKUP(A38,'[195]geoMap (23)'!$A:$C,3,0)</f>
        <v>34.786394185313235</v>
      </c>
      <c r="Z38" s="1">
        <f>Y38/VLOOKUP(A38,'[196]geoMap (24)'!$A:$B,2,0)*VLOOKUP(A38,'[196]geoMap (24)'!$A:$C,3,0)</f>
        <v>26.242367543306475</v>
      </c>
      <c r="AA38" s="1">
        <f>Z38/VLOOKUP(A38,'[197]geoMap (25)'!$A:$B,2,0)*VLOOKUP(A38,'[197]geoMap (25)'!$A:$C,3,0)</f>
        <v>67.48037368278807</v>
      </c>
    </row>
    <row r="39" spans="1:27" x14ac:dyDescent="0.2">
      <c r="A39" s="1" t="s">
        <v>123</v>
      </c>
      <c r="B39" s="1">
        <f>Notes!$C$6*VLOOKUP('Data_Raw++ (2017)'!A39,[172]geoMap!$A:$B,2,0)</f>
        <v>5000</v>
      </c>
      <c r="C39" s="1">
        <f>B39/VLOOKUP(A39,'[173]geoMap (1)'!$A:$B,2,0)*VLOOKUP(A39,'[173]geoMap (1)'!$A:$C,3,0)</f>
        <v>3196.7213114754099</v>
      </c>
      <c r="D39" s="1">
        <f>C39/VLOOKUP(A39,'[174]geoMap (2)'!$A:$B,2,0)*VLOOKUP(A39,'[174]geoMap (2)'!$A:$C,3,0)</f>
        <v>3752.6728439059161</v>
      </c>
      <c r="E39" s="1">
        <f>D39/VLOOKUP(A39,'[175]geoMap (3)'!$A:$B,2,0)*VLOOKUP(A39,'[175]geoMap (3)'!$A:$C,3,0)</f>
        <v>3070.3686904684769</v>
      </c>
      <c r="F39" s="1">
        <f>E39/VLOOKUP(A39,'[176]geoMap (4)'!$A:$B,2,0)*VLOOKUP(A39,'[176]geoMap (4)'!$A:$C,3,0)</f>
        <v>2412.432542510946</v>
      </c>
      <c r="G39" s="1">
        <f>F39/VLOOKUP(A39,'[177]geoMap (5)'!$A:$B,2,0)*VLOOKUP(A39,'[177]geoMap (5)'!$A:$C,3,0)</f>
        <v>2412.432542510946</v>
      </c>
      <c r="H39" s="1">
        <f>G39/VLOOKUP(A39,'[178]geoMap (6)'!$A:$B,2,0)*VLOOKUP(A39,'[178]geoMap (6)'!$A:$C,3,0)</f>
        <v>1746.9339100941334</v>
      </c>
      <c r="I39" s="1">
        <f>H39/VLOOKUP(A39,'[179]geoMap (7)'!$A:$B,2,0)*VLOOKUP(A39,'[179]geoMap (7)'!$A:$C,3,0)</f>
        <v>1025.9770583092529</v>
      </c>
      <c r="J39" s="1">
        <f>I39/VLOOKUP(A39,'[180]geoMap (8)'!$A:$B,2,0)*VLOOKUP(A39,'[180]geoMap (8)'!$A:$C,3,0)</f>
        <v>947.05574613161798</v>
      </c>
      <c r="K39" s="1">
        <f>J39/VLOOKUP(A39,'[181]geoMap (9)'!$A:$B,2,0)*VLOOKUP(A39,'[181]geoMap (9)'!$A:$C,3,0)</f>
        <v>774.86379228950557</v>
      </c>
      <c r="L39" s="1">
        <f>J39/75*25</f>
        <v>315.68524871053933</v>
      </c>
      <c r="M39" s="1">
        <f>L39/VLOOKUP(A39,'[183]geoMap (11)'!$A:$B,2,0)*VLOOKUP(A39,'[183]geoMap (11)'!$A:$C,3,0)</f>
        <v>473.52787306580899</v>
      </c>
      <c r="N39" s="1">
        <f>M39/VLOOKUP(A39,'[184]geoMap (12)'!$A:$B,2,0)*VLOOKUP(A39,'[184]geoMap (12)'!$A:$C,3,0)</f>
        <v>454.95815255342427</v>
      </c>
      <c r="O39" s="1">
        <f>N39/VLOOKUP(A39,'[185]geoMap (13)'!$A:$B,2,0)*VLOOKUP(A39,'[185]geoMap (13)'!$A:$C,3,0)</f>
        <v>278.84531930693743</v>
      </c>
      <c r="P39" s="1">
        <f>O39/VLOOKUP(A39,'[186]geoMap (14)'!$A:$B,2,0)*VLOOKUP(A39,'[186]geoMap (14)'!$A:$C,3,0)</f>
        <v>247.27792466841618</v>
      </c>
      <c r="Q39" s="1">
        <f>P39/VLOOKUP(A39,'[187]geoMap (15)'!$A:$B,2,0)*VLOOKUP(A39,'[187]geoMap (15)'!$A:$C,3,0)</f>
        <v>370.91688700262421</v>
      </c>
      <c r="R39" s="1">
        <f>O39/VLOOKUP(A39,'[199]geoMap (31)'!$A:$B,2,0)*VLOOKUP(A39,'[199]geoMap (31)'!$A:$C,3,0)</f>
        <v>69.711329826734357</v>
      </c>
      <c r="S39" s="1">
        <f>R39/VLOOKUP(A39,'[189]geoMap (17)'!$A:$B,2,0)*VLOOKUP(A39,'[189]geoMap (17)'!$A:$C,3,0)</f>
        <v>88.723510688571011</v>
      </c>
      <c r="T39" s="1">
        <f>S39/VLOOKUP(A39,'[190]geoMap (18)'!$A:$B,2,0)*VLOOKUP(A39,'[190]geoMap (18)'!$A:$C,3,0)</f>
        <v>59.149007125714014</v>
      </c>
      <c r="U39" s="1">
        <f>T39/27*16</f>
        <v>35.051263481904599</v>
      </c>
      <c r="V39" s="1">
        <f>T39/63*37</f>
        <v>34.738305772244736</v>
      </c>
      <c r="W39" s="1">
        <f>V39/30*22</f>
        <v>25.474757566312807</v>
      </c>
      <c r="X39" s="1">
        <f>W39/14*21</f>
        <v>38.212136349469212</v>
      </c>
      <c r="Y39" s="1">
        <f>X39/VLOOKUP(A39,'[195]geoMap (23)'!$A:$B,2,0)*VLOOKUP(A39,'[195]geoMap (23)'!$A:$C,3,0)</f>
        <v>38.212136349469212</v>
      </c>
      <c r="Z39" s="1">
        <f>Y39/33*13</f>
        <v>15.053265834639385</v>
      </c>
      <c r="AA39" s="1">
        <f>Y39/33*14</f>
        <v>16.211209360380877</v>
      </c>
    </row>
    <row r="40" spans="1:27" x14ac:dyDescent="0.2">
      <c r="A40" s="1" t="s">
        <v>126</v>
      </c>
      <c r="B40" s="1">
        <f>Notes!$C$6*VLOOKUP('Data_Raw++ (2017)'!A40,[172]geoMap!$A:$B,2,0)</f>
        <v>5000</v>
      </c>
      <c r="C40" s="1">
        <f>B40/VLOOKUP(A40,'[173]geoMap (1)'!$A:$B,2,0)*VLOOKUP(A40,'[173]geoMap (1)'!$A:$C,3,0)</f>
        <v>2936.5079365079364</v>
      </c>
      <c r="D40" s="1">
        <f>C40/VLOOKUP(A40,'[174]geoMap (2)'!$A:$B,2,0)*VLOOKUP(A40,'[174]geoMap (2)'!$A:$C,3,0)</f>
        <v>3589.0652557319222</v>
      </c>
      <c r="E40" s="1">
        <f>D40/VLOOKUP(A40,'[175]geoMap (3)'!$A:$B,2,0)*VLOOKUP(A40,'[175]geoMap (3)'!$A:$C,3,0)</f>
        <v>5164.7524411752056</v>
      </c>
      <c r="F40" s="1">
        <f>E40/VLOOKUP(A40,'[176]geoMap (4)'!$A:$B,2,0)*VLOOKUP(A40,'[176]geoMap (4)'!$A:$C,3,0)</f>
        <v>4962.2131297565702</v>
      </c>
      <c r="G40" s="1">
        <f>F40/VLOOKUP(A40,'[177]geoMap (5)'!$A:$B,2,0)*VLOOKUP(A40,'[177]geoMap (5)'!$A:$C,3,0)</f>
        <v>2444.0751236114452</v>
      </c>
      <c r="H40" s="1">
        <f>G40/VLOOKUP(A40,'[178]geoMap (6)'!$A:$B,2,0)*VLOOKUP(A40,'[178]geoMap (6)'!$A:$C,3,0)</f>
        <v>1098.0627366949973</v>
      </c>
      <c r="I40" s="1">
        <f>H40/VLOOKUP(A40,'[179]geoMap (7)'!$A:$B,2,0)*VLOOKUP(A40,'[179]geoMap (7)'!$A:$C,3,0)</f>
        <v>673.00619345822417</v>
      </c>
      <c r="J40" s="1">
        <f>I40/VLOOKUP(A40,'[180]geoMap (8)'!$A:$B,2,0)*VLOOKUP(A40,'[180]geoMap (8)'!$A:$C,3,0)</f>
        <v>968.4723271715909</v>
      </c>
      <c r="K40" s="1">
        <f>J40/VLOOKUP(A40,'[181]geoMap (9)'!$A:$B,2,0)*VLOOKUP(A40,'[181]geoMap (9)'!$A:$C,3,0)</f>
        <v>858.833950510656</v>
      </c>
      <c r="L40" s="1">
        <f>K40/VLOOKUP(A40,'[182]geoMap (10)'!$A:$B,2,0)*VLOOKUP(A40,'[182]geoMap (10)'!$A:$C,3,0)</f>
        <v>483.094097162244</v>
      </c>
      <c r="M40" s="1">
        <f>L40/VLOOKUP(A40,'[183]geoMap (11)'!$A:$B,2,0)*VLOOKUP(A40,'[183]geoMap (11)'!$A:$C,3,0)</f>
        <v>445.93301276514831</v>
      </c>
      <c r="N40" s="1">
        <f>M40/VLOOKUP(A40,'[184]geoMap (12)'!$A:$B,2,0)*VLOOKUP(A40,'[184]geoMap (12)'!$A:$C,3,0)</f>
        <v>297.28867517676554</v>
      </c>
      <c r="O40" s="1">
        <f>N40/VLOOKUP(A40,'[185]geoMap (13)'!$A:$B,2,0)*VLOOKUP(A40,'[185]geoMap (13)'!$A:$C,3,0)</f>
        <v>297.28867517676554</v>
      </c>
      <c r="P40" s="1">
        <f>O40/VLOOKUP(A40,'[186]geoMap (14)'!$A:$B,2,0)*VLOOKUP(A40,'[186]geoMap (14)'!$A:$C,3,0)</f>
        <v>335.24042094401227</v>
      </c>
      <c r="Q40" s="1">
        <f>P40/VLOOKUP(A40,'[187]geoMap (15)'!$A:$B,2,0)*VLOOKUP(A40,'[187]geoMap (15)'!$A:$C,3,0)</f>
        <v>188.57273678100691</v>
      </c>
      <c r="R40" s="1">
        <f>Q40/VLOOKUP(A40,'[188]geoMap (16)'!$A:$B,2,0)*VLOOKUP(A40,'[188]geoMap (16)'!$A:$C,3,0)</f>
        <v>66.255285896029449</v>
      </c>
      <c r="S40" s="1">
        <f>R40/VLOOKUP(A40,'[189]geoMap (17)'!$A:$B,2,0)*VLOOKUP(A40,'[189]geoMap (17)'!$A:$C,3,0)</f>
        <v>103.6300625553281</v>
      </c>
      <c r="T40" s="1">
        <f>S40/VLOOKUP(A40,'[190]geoMap (18)'!$A:$B,2,0)*VLOOKUP(A40,'[190]geoMap (18)'!$A:$C,3,0)</f>
        <v>44.412883952283465</v>
      </c>
      <c r="U40" s="1">
        <f>T40/VLOOKUP(A40,'[191]geoMap (19)'!$A:$B,2,0)*VLOOKUP(A40,'[191]geoMap (19)'!$A:$C,3,0)</f>
        <v>52.136863770071891</v>
      </c>
      <c r="V40" s="1">
        <f>U40/VLOOKUP(A40,'[192]geoMap (20)'!$A:$B,2,0)*VLOOKUP(A40,'[192]geoMap (20)'!$A:$C,3,0)</f>
        <v>48.12633578775867</v>
      </c>
      <c r="W40" s="1">
        <f>V40/VLOOKUP(A40,'[193]geoMap (21)'!$A:$B,2,0)*VLOOKUP(A40,'[193]geoMap (21)'!$A:$C,3,0)</f>
        <v>17.800151592732657</v>
      </c>
      <c r="X40" s="1">
        <f>W40/VLOOKUP(A40,'[194]geoMap (22)'!$A:$B,2,0)*VLOOKUP(A40,'[194]geoMap (22)'!$A:$C,3,0)</f>
        <v>37.825322134556899</v>
      </c>
      <c r="Y40" s="1">
        <f>X40/VLOOKUP(A40,'[195]geoMap (23)'!$A:$B,2,0)*VLOOKUP(A40,'[195]geoMap (23)'!$A:$C,3,0)</f>
        <v>29.719895962866133</v>
      </c>
      <c r="Z40" s="1">
        <f>Y40/VLOOKUP(A40,'[196]geoMap (24)'!$A:$B,2,0)*VLOOKUP(A40,'[196]geoMap (24)'!$A:$C,3,0)</f>
        <v>19.813263975244091</v>
      </c>
      <c r="AA40" s="1">
        <f>Z40/VLOOKUP(A40,'[197]geoMap (25)'!$A:$B,2,0)*VLOOKUP(A40,'[197]geoMap (25)'!$A:$C,3,0)</f>
        <v>16.210852343381529</v>
      </c>
    </row>
    <row r="41" spans="1:27" x14ac:dyDescent="0.2">
      <c r="A41" s="1" t="s">
        <v>122</v>
      </c>
      <c r="B41" s="1">
        <f>Notes!$C$6*VLOOKUP('Data_Raw++ (2017)'!A41,[172]geoMap!$A:$B,2,0)</f>
        <v>5000</v>
      </c>
      <c r="C41" s="1">
        <f>B41/VLOOKUP(A41,'[173]geoMap (1)'!$A:$B,2,0)*VLOOKUP(A41,'[173]geoMap (1)'!$A:$C,3,0)</f>
        <v>2692.3076923076924</v>
      </c>
      <c r="D41" s="1">
        <f>C41/VLOOKUP(A41,'[174]geoMap (2)'!$A:$B,2,0)*VLOOKUP(A41,'[174]geoMap (2)'!$A:$C,3,0)</f>
        <v>3874.2964352720451</v>
      </c>
      <c r="E41" s="1">
        <f>D41/VLOOKUP(A41,'[175]geoMap (3)'!$A:$B,2,0)*VLOOKUP(A41,'[175]geoMap (3)'!$A:$C,3,0)</f>
        <v>2477.0091963214713</v>
      </c>
      <c r="F41" s="1">
        <f>E41/VLOOKUP(A41,'[176]geoMap (4)'!$A:$B,2,0)*VLOOKUP(A41,'[176]geoMap (4)'!$A:$C,3,0)</f>
        <v>2578.1116124978585</v>
      </c>
      <c r="G41" s="1">
        <f>F41/VLOOKUP(A41,'[177]geoMap (5)'!$A:$B,2,0)*VLOOKUP(A41,'[177]geoMap (5)'!$A:$C,3,0)</f>
        <v>2477.0091963214713</v>
      </c>
      <c r="H41" s="1">
        <f>G41/VLOOKUP(A41,'[178]geoMap (6)'!$A:$B,2,0)*VLOOKUP(A41,'[178]geoMap (6)'!$A:$C,3,0)</f>
        <v>1583.6616173202851</v>
      </c>
      <c r="I41" s="1">
        <f>H41/VLOOKUP(A41,'[179]geoMap (7)'!$A:$B,2,0)*VLOOKUP(A41,'[179]geoMap (7)'!$A:$C,3,0)</f>
        <v>815.82568164984389</v>
      </c>
      <c r="J41" s="1">
        <f>I41/VLOOKUP(A41,'[180]geoMap (8)'!$A:$B,2,0)*VLOOKUP(A41,'[180]geoMap (8)'!$A:$C,3,0)</f>
        <v>694.96261770171884</v>
      </c>
      <c r="K41" s="1">
        <f>J41/VLOOKUP(A41,'[181]geoMap (9)'!$A:$B,2,0)*VLOOKUP(A41,'[181]geoMap (9)'!$A:$C,3,0)</f>
        <v>723.32843883240128</v>
      </c>
      <c r="L41" s="1">
        <f>J41/72*21</f>
        <v>202.69743016300131</v>
      </c>
      <c r="M41" s="1">
        <f>L41/18*70</f>
        <v>788.26778396722727</v>
      </c>
      <c r="N41" s="1">
        <f>M41/VLOOKUP(A41,'[184]geoMap (12)'!$A:$B,2,0)*VLOOKUP(A41,'[184]geoMap (12)'!$A:$C,3,0)</f>
        <v>406.07734325584437</v>
      </c>
      <c r="O41" s="1">
        <f>N41/VLOOKUP(A41,'[185]geoMap (13)'!$A:$B,2,0)*VLOOKUP(A41,'[185]geoMap (13)'!$A:$C,3,0)</f>
        <v>248.88611360842074</v>
      </c>
      <c r="P41" s="1">
        <f>O41/58*15</f>
        <v>64.367098347005353</v>
      </c>
      <c r="Q41" s="1">
        <f>O41/VLOOKUP(A41,'[198]geoMap (30)'!$A:$B,2,0)*VLOOKUP(A41,'[198]geoMap (30)'!$A:$C,3,0)</f>
        <v>92.05376804695014</v>
      </c>
      <c r="R41" s="1">
        <f>Q41/39*22</f>
        <v>51.927766590587261</v>
      </c>
      <c r="S41" s="1">
        <f>Q41/VLOOKUP(A41,'[202]geoMap (32)'!$A:$B,2,0)*VLOOKUP(A41,'[202]geoMap (32)'!$A:$C,3,0)</f>
        <v>75.316719311141014</v>
      </c>
      <c r="T41" s="1">
        <f>S41/VLOOKUP(A41,'[190]geoMap (18)'!$A:$B,2,0)*VLOOKUP(A41,'[190]geoMap (18)'!$A:$C,3,0)</f>
        <v>66.790298257049571</v>
      </c>
      <c r="U41" s="1">
        <f>T41/49*18</f>
        <v>24.535211604630454</v>
      </c>
      <c r="V41" s="1">
        <f>T41/36*9</f>
        <v>16.697574564262393</v>
      </c>
      <c r="W41" s="1">
        <f>V41/17*17</f>
        <v>16.697574564262393</v>
      </c>
      <c r="X41" s="1">
        <f>W41/21*31</f>
        <v>24.648800547244484</v>
      </c>
      <c r="Y41" s="1">
        <f>X41/VLOOKUP(A41,'[195]geoMap (23)'!$A:$B,2,0)*VLOOKUP(A41,'[195]geoMap (23)'!$A:$C,3,0)</f>
        <v>34.038819803337617</v>
      </c>
      <c r="Z41" s="1">
        <f>Y41/36*18</f>
        <v>17.019409901668809</v>
      </c>
      <c r="AA41" s="1">
        <f>Y41/28*54</f>
        <v>65.646295335008261</v>
      </c>
    </row>
    <row r="42" spans="1:27" x14ac:dyDescent="0.2">
      <c r="A42" s="1" t="s">
        <v>98</v>
      </c>
      <c r="B42" s="1">
        <f>Notes!$C$6*VLOOKUP('Data_Raw++ (2017)'!A42,[172]geoMap!$A:$B,2,0)</f>
        <v>6000</v>
      </c>
      <c r="C42" s="1">
        <f>B42/VLOOKUP(A42,'[173]geoMap (1)'!$A:$B,2,0)*VLOOKUP(A42,'[173]geoMap (1)'!$A:$C,3,0)</f>
        <v>2955.2238805970146</v>
      </c>
      <c r="D42" s="1">
        <f>C42/VLOOKUP(A42,'[174]geoMap (2)'!$A:$B,2,0)*VLOOKUP(A42,'[174]geoMap (2)'!$A:$C,3,0)</f>
        <v>7599.1471215351803</v>
      </c>
      <c r="E42" s="1">
        <f>D42/VLOOKUP(A42,'[175]geoMap (3)'!$A:$B,2,0)*VLOOKUP(A42,'[175]geoMap (3)'!$A:$C,3,0)</f>
        <v>2399.7306699584778</v>
      </c>
      <c r="F42" s="1">
        <f>E42/VLOOKUP(A42,'[176]geoMap (4)'!$A:$B,2,0)*VLOOKUP(A42,'[176]geoMap (4)'!$A:$C,3,0)</f>
        <v>2599.7082257883512</v>
      </c>
      <c r="G42" s="1">
        <f>F42/VLOOKUP(A42,'[177]geoMap (5)'!$A:$B,2,0)*VLOOKUP(A42,'[177]geoMap (5)'!$A:$C,3,0)</f>
        <v>3051.831395490673</v>
      </c>
      <c r="H42" s="1">
        <f>G42/VLOOKUP(A42,'[178]geoMap (6)'!$A:$B,2,0)*VLOOKUP(A42,'[178]geoMap (6)'!$A:$C,3,0)</f>
        <v>2397.8675250283859</v>
      </c>
      <c r="I42" s="1">
        <f>H42/VLOOKUP(A42,'[179]geoMap (7)'!$A:$B,2,0)*VLOOKUP(A42,'[179]geoMap (7)'!$A:$C,3,0)</f>
        <v>1469.6607411464302</v>
      </c>
      <c r="J42" s="1">
        <f>I42/VLOOKUP(A42,'[180]geoMap (8)'!$A:$B,2,0)*VLOOKUP(A42,'[180]geoMap (8)'!$A:$C,3,0)</f>
        <v>2114.8776518936434</v>
      </c>
      <c r="K42" s="1">
        <f>J42/VLOOKUP(A42,'[181]geoMap (9)'!$A:$B,2,0)*VLOOKUP(A42,'[181]geoMap (9)'!$A:$C,3,0)</f>
        <v>1189.6186791901744</v>
      </c>
      <c r="L42" s="1">
        <f>K42/VLOOKUP(A42,'[182]geoMap (10)'!$A:$B,2,0)*VLOOKUP(A42,'[182]geoMap (10)'!$A:$C,3,0)</f>
        <v>335.53347361774149</v>
      </c>
      <c r="M42" s="1">
        <f>L42/VLOOKUP(A42,'[183]geoMap (11)'!$A:$B,2,0)*VLOOKUP(A42,'[183]geoMap (11)'!$A:$C,3,0)</f>
        <v>322.37529818175165</v>
      </c>
      <c r="N42" s="1">
        <f>M42/VLOOKUP(A42,'[184]geoMap (12)'!$A:$B,2,0)*VLOOKUP(A42,'[184]geoMap (12)'!$A:$C,3,0)</f>
        <v>598.69698233753888</v>
      </c>
      <c r="O42" s="1">
        <f>N42/VLOOKUP(A42,'[185]geoMap (13)'!$A:$B,2,0)*VLOOKUP(A42,'[185]geoMap (13)'!$A:$C,3,0)</f>
        <v>199.56566077917964</v>
      </c>
      <c r="P42" s="1">
        <f>O42/VLOOKUP(A42,'[186]geoMap (14)'!$A:$B,2,0)*VLOOKUP(A42,'[186]geoMap (14)'!$A:$C,3,0)</f>
        <v>138.68122189739603</v>
      </c>
      <c r="Q42" s="1">
        <f>P42/VLOOKUP(A42,'[187]geoMap (15)'!$A:$B,2,0)*VLOOKUP(A42,'[187]geoMap (15)'!$A:$C,3,0)</f>
        <v>216.9116547625938</v>
      </c>
      <c r="R42" s="1">
        <f>Q42/VLOOKUP(A42,'[188]geoMap (16)'!$A:$B,2,0)*VLOOKUP(A42,'[188]geoMap (16)'!$A:$C,3,0)</f>
        <v>29.578862013080972</v>
      </c>
      <c r="S42" s="1">
        <f>R42/VLOOKUP(A42,'[189]geoMap (17)'!$A:$B,2,0)*VLOOKUP(A42,'[189]geoMap (17)'!$A:$C,3,0)</f>
        <v>181.69872379464024</v>
      </c>
      <c r="T42" s="1">
        <f>S42/VLOOKUP(A42,'[190]geoMap (18)'!$A:$B,2,0)*VLOOKUP(A42,'[190]geoMap (18)'!$A:$C,3,0)</f>
        <v>97.837774350960132</v>
      </c>
      <c r="U42" s="1">
        <f>T42/VLOOKUP(A42,'[191]geoMap (19)'!$A:$B,2,0)*VLOOKUP(A42,'[191]geoMap (19)'!$A:$C,3,0)</f>
        <v>12.09230918944451</v>
      </c>
      <c r="V42" s="1">
        <f>U42/VLOOKUP(A42,'[192]geoMap (20)'!$A:$B,2,0)*VLOOKUP(A42,'[192]geoMap (20)'!$A:$C,3,0)</f>
        <v>17.401127857981123</v>
      </c>
      <c r="W42" s="1">
        <f>V42/VLOOKUP(A42,'[193]geoMap (21)'!$A:$B,2,0)*VLOOKUP(A42,'[193]geoMap (21)'!$A:$C,3,0)</f>
        <v>32.316380307679232</v>
      </c>
      <c r="X42" s="1">
        <f>W42/VLOOKUP(A42,'[194]geoMap (22)'!$A:$B,2,0)*VLOOKUP(A42,'[194]geoMap (22)'!$A:$C,3,0)</f>
        <v>23.401516774526339</v>
      </c>
      <c r="Y42" s="1">
        <f>X42/VLOOKUP(A42,'[195]geoMap (23)'!$A:$B,2,0)*VLOOKUP(A42,'[195]geoMap (23)'!$A:$C,3,0)</f>
        <v>38.181422105806135</v>
      </c>
      <c r="Z42" s="1">
        <f>Y42/VLOOKUP(A42,'[196]geoMap (24)'!$A:$B,2,0)*VLOOKUP(A42,'[196]geoMap (24)'!$A:$C,3,0)</f>
        <v>12.727140701935378</v>
      </c>
      <c r="AA42" s="1">
        <f>Z42/VLOOKUP(A42,'[197]geoMap (25)'!$A:$B,2,0)*VLOOKUP(A42,'[197]geoMap (25)'!$A:$C,3,0)</f>
        <v>21.670536870862939</v>
      </c>
    </row>
    <row r="43" spans="1:27" x14ac:dyDescent="0.2">
      <c r="A43" s="1" t="s">
        <v>113</v>
      </c>
      <c r="B43" s="1">
        <f>Notes!$C$6*VLOOKUP('Data_Raw++ (2017)'!A43,[172]geoMap!$A:$B,2,0)</f>
        <v>5000</v>
      </c>
      <c r="C43" s="1">
        <f>B43/VLOOKUP(A43,'[173]geoMap (1)'!$A:$B,2,0)*VLOOKUP(A43,'[173]geoMap (1)'!$A:$C,3,0)</f>
        <v>2352.9411764705878</v>
      </c>
      <c r="D43" s="1">
        <f>C43/VLOOKUP(A43,'[174]geoMap (2)'!$A:$B,2,0)*VLOOKUP(A43,'[174]geoMap (2)'!$A:$C,3,0)</f>
        <v>3385.9397417503578</v>
      </c>
      <c r="E43" s="1">
        <f>D43/VLOOKUP(A43,'[175]geoMap (3)'!$A:$B,2,0)*VLOOKUP(A43,'[175]geoMap (3)'!$A:$C,3,0)</f>
        <v>2352.9411764705878</v>
      </c>
      <c r="F43" s="1">
        <f>E43/VLOOKUP(A43,'[176]geoMap (4)'!$A:$B,2,0)*VLOOKUP(A43,'[176]geoMap (4)'!$A:$C,3,0)</f>
        <v>2171.9457013574652</v>
      </c>
      <c r="G43" s="1">
        <f>F43/VLOOKUP(A43,'[177]geoMap (5)'!$A:$B,2,0)*VLOOKUP(A43,'[177]geoMap (5)'!$A:$C,3,0)</f>
        <v>1777.0464829288351</v>
      </c>
      <c r="H43" s="1">
        <f>G43/VLOOKUP(A43,'[178]geoMap (6)'!$A:$B,2,0)*VLOOKUP(A43,'[178]geoMap (6)'!$A:$C,3,0)</f>
        <v>875.26170054703823</v>
      </c>
      <c r="I43" s="1">
        <f>H43/VLOOKUP(A43,'[179]geoMap (7)'!$A:$B,2,0)*VLOOKUP(A43,'[179]geoMap (7)'!$A:$C,3,0)</f>
        <v>411.88785908095917</v>
      </c>
      <c r="J43" s="1">
        <f>I43/VLOOKUP(A43,'[180]geoMap (8)'!$A:$B,2,0)*VLOOKUP(A43,'[180]geoMap (8)'!$A:$C,3,0)</f>
        <v>961.0716711889047</v>
      </c>
      <c r="K43" s="1">
        <f>J43/VLOOKUP(A43,'[181]geoMap (9)'!$A:$B,2,0)*VLOOKUP(A43,'[181]geoMap (9)'!$A:$C,3,0)</f>
        <v>695.94845155058613</v>
      </c>
      <c r="L43" s="1">
        <f>K43/VLOOKUP(A43,'[182]geoMap (10)'!$A:$B,2,0)*VLOOKUP(A43,'[182]geoMap (10)'!$A:$C,3,0)</f>
        <v>327.50515367086405</v>
      </c>
      <c r="M43" s="1">
        <f>L43/VLOOKUP(A43,'[183]geoMap (11)'!$A:$B,2,0)*VLOOKUP(A43,'[183]geoMap (11)'!$A:$C,3,0)</f>
        <v>154.12007231570072</v>
      </c>
      <c r="N43" s="1">
        <f>M43/VLOOKUP(A43,'[184]geoMap (12)'!$A:$B,2,0)*VLOOKUP(A43,'[184]geoMap (12)'!$A:$C,3,0)</f>
        <v>299.17425802459553</v>
      </c>
      <c r="O43" s="1">
        <f>N43/VLOOKUP(A43,'[185]geoMap (13)'!$A:$B,2,0)*VLOOKUP(A43,'[185]geoMap (13)'!$A:$C,3,0)</f>
        <v>276.16085356116508</v>
      </c>
      <c r="P43" s="1">
        <f>O43/VLOOKUP(A43,'[186]geoMap (14)'!$A:$B,2,0)*VLOOKUP(A43,'[186]geoMap (14)'!$A:$C,3,0)</f>
        <v>184.10723570744341</v>
      </c>
      <c r="Q43" s="1">
        <f>P43/VLOOKUP(A43,'[187]geoMap (15)'!$A:$B,2,0)*VLOOKUP(A43,'[187]geoMap (15)'!$A:$C,3,0)</f>
        <v>103.56032008543691</v>
      </c>
      <c r="R43" s="1">
        <f>Q43/VLOOKUP(A43,'[188]geoMap (16)'!$A:$B,2,0)*VLOOKUP(A43,'[188]geoMap (16)'!$A:$C,3,0)</f>
        <v>69.040213390291271</v>
      </c>
      <c r="S43" s="1">
        <f>R43/VLOOKUP(A43,'[189]geoMap (17)'!$A:$B,2,0)*VLOOKUP(A43,'[189]geoMap (17)'!$A:$C,3,0)</f>
        <v>46.026808926860852</v>
      </c>
      <c r="T43" s="1">
        <f>S43/VLOOKUP(A43,'[190]geoMap (18)'!$A:$B,2,0)*VLOOKUP(A43,'[190]geoMap (18)'!$A:$C,3,0)</f>
        <v>58.57957499782291</v>
      </c>
      <c r="U43" s="1">
        <f>T43/VLOOKUP(A43,'[191]geoMap (19)'!$A:$B,2,0)*VLOOKUP(A43,'[191]geoMap (19)'!$A:$C,3,0)</f>
        <v>35.903610482536628</v>
      </c>
      <c r="V43" s="1">
        <f>U43/VLOOKUP(A43,'[192]geoMap (20)'!$A:$B,2,0)*VLOOKUP(A43,'[192]geoMap (20)'!$A:$C,3,0)</f>
        <v>58.579574997822924</v>
      </c>
      <c r="W43" s="1">
        <f>V43/VLOOKUP(A43,'[193]geoMap (21)'!$A:$B,2,0)*VLOOKUP(A43,'[193]geoMap (21)'!$A:$C,3,0)</f>
        <v>14.644893749455731</v>
      </c>
      <c r="X43" s="1">
        <f>W43/VLOOKUP(A43,'[194]geoMap (22)'!$A:$B,2,0)*VLOOKUP(A43,'[194]geoMap (22)'!$A:$C,3,0)</f>
        <v>17.191831792839338</v>
      </c>
      <c r="Y43" s="1">
        <f>X43/VLOOKUP(A43,'[195]geoMap (23)'!$A:$B,2,0)*VLOOKUP(A43,'[195]geoMap (23)'!$A:$C,3,0)</f>
        <v>13.507867837230906</v>
      </c>
      <c r="Z43" s="1">
        <f>Y43/VLOOKUP(A43,'[196]geoMap (24)'!$A:$B,2,0)*VLOOKUP(A43,'[196]geoMap (24)'!$A:$C,3,0)</f>
        <v>18.653722251414106</v>
      </c>
      <c r="AA43" s="1">
        <f>Z43/VLOOKUP(A43,'[197]geoMap (25)'!$A:$B,2,0)*VLOOKUP(A43,'[197]geoMap (25)'!$A:$C,3,0)</f>
        <v>11.432926541189291</v>
      </c>
    </row>
    <row r="44" spans="1:27" x14ac:dyDescent="0.2">
      <c r="A44" s="1" t="s">
        <v>110</v>
      </c>
      <c r="B44" s="1">
        <f>Notes!$C$6*VLOOKUP('Data_Raw++ (2017)'!A44,[172]geoMap!$A:$B,2,0)</f>
        <v>5000</v>
      </c>
      <c r="C44" s="1">
        <f>B44/VLOOKUP(A44,'[173]geoMap (1)'!$A:$B,2,0)*VLOOKUP(A44,'[173]geoMap (1)'!$A:$C,3,0)</f>
        <v>1666.6666666666667</v>
      </c>
      <c r="D44" s="1">
        <f>C44/VLOOKUP(A44,'[174]geoMap (2)'!$A:$B,2,0)*VLOOKUP(A44,'[174]geoMap (2)'!$A:$C,3,0)</f>
        <v>2500</v>
      </c>
      <c r="E44" s="1">
        <f>D44/VLOOKUP(A44,'[175]geoMap (3)'!$A:$B,2,0)*VLOOKUP(A44,'[175]geoMap (3)'!$A:$C,3,0)</f>
        <v>2401.9607843137255</v>
      </c>
      <c r="F44" s="1">
        <f>E44/VLOOKUP(A44,'[176]geoMap (4)'!$A:$B,2,0)*VLOOKUP(A44,'[176]geoMap (4)'!$A:$C,3,0)</f>
        <v>1965.24064171123</v>
      </c>
      <c r="G44" s="1">
        <f>E44/61*22</f>
        <v>866.28093860495017</v>
      </c>
      <c r="H44" s="1">
        <f>F44/VLOOKUP(A44,'[206]geoMap (26)'!$A:$B,2,0)*VLOOKUP(A44,'[206]geoMap (26)'!$A:$C,3,0)</f>
        <v>967.95434591747141</v>
      </c>
      <c r="I44" s="1">
        <f>H44/VLOOKUP(A44,'[179]geoMap (7)'!$A:$B,2,0)*VLOOKUP(A44,'[179]geoMap (7)'!$A:$C,3,0)</f>
        <v>340.09206748451703</v>
      </c>
      <c r="J44" s="1">
        <f>I44/VLOOKUP(A44,'[180]geoMap (8)'!$A:$B,2,0)*VLOOKUP(A44,'[180]geoMap (8)'!$A:$C,3,0)</f>
        <v>510.13810122677552</v>
      </c>
      <c r="K44" s="1">
        <f>J44/VLOOKUP(A44,'[181]geoMap (9)'!$A:$B,2,0)*VLOOKUP(A44,'[181]geoMap (9)'!$A:$C,3,0)</f>
        <v>598.85777100534528</v>
      </c>
      <c r="L44" s="1">
        <f>K44/VLOOKUP(A44,'[182]geoMap (10)'!$A:$B,2,0)*VLOOKUP(A44,'[182]geoMap (10)'!$A:$C,3,0)</f>
        <v>199.61925700178176</v>
      </c>
      <c r="M44" s="1">
        <f>L44/39*22</f>
        <v>112.60573471895381</v>
      </c>
      <c r="N44" s="1">
        <f>J44/56*18</f>
        <v>163.97296110860643</v>
      </c>
      <c r="O44" s="1">
        <f>H44/VLOOKUP(A44,'[201]geoMap (28)'!$A:$B,2,0)*VLOOKUP(A44,'[201]geoMap (28)'!$A:$C,3,0)</f>
        <v>198.25570940478332</v>
      </c>
      <c r="P44" s="1">
        <f>O44/VLOOKUP(A44,'[186]geoMap (14)'!$A:$B,2,0)*VLOOKUP(A44,'[186]geoMap (14)'!$A:$C,3,0)</f>
        <v>73.327454163413009</v>
      </c>
      <c r="Q44" s="1">
        <f>O44/VLOOKUP(A44,'[198]geoMap (30)'!$A:$B,2,0)*VLOOKUP(A44,'[198]geoMap (30)'!$A:$C,3,0)</f>
        <v>89.071405674612805</v>
      </c>
      <c r="R44" s="1">
        <f>Q44/VLOOKUP(A44,'[188]geoMap (16)'!$A:$B,2,0)*VLOOKUP(A44,'[188]geoMap (16)'!$A:$C,3,0)</f>
        <v>50.102665691969698</v>
      </c>
      <c r="S44" s="1">
        <f>R44/VLOOKUP(A44,'[189]geoMap (17)'!$A:$B,2,0)*VLOOKUP(A44,'[189]geoMap (17)'!$A:$C,3,0)</f>
        <v>52.147672454907244</v>
      </c>
      <c r="T44" s="1">
        <f>S44/VLOOKUP(A44,'[190]geoMap (18)'!$A:$B,2,0)*VLOOKUP(A44,'[190]geoMap (18)'!$A:$C,3,0)</f>
        <v>34.765114969938161</v>
      </c>
      <c r="U44" s="1">
        <f>T44/VLOOKUP(A44,'[191]geoMap (19)'!$A:$B,2,0)*VLOOKUP(A44,'[191]geoMap (19)'!$A:$C,3,0)</f>
        <v>21.30765111060726</v>
      </c>
      <c r="V44" s="1">
        <f>U44/VLOOKUP(A44,'[192]geoMap (20)'!$A:$B,2,0)*VLOOKUP(A44,'[192]geoMap (20)'!$A:$C,3,0)</f>
        <v>18.895464192425301</v>
      </c>
      <c r="W44" s="1">
        <f>V44/37*20</f>
        <v>10.213764428338001</v>
      </c>
      <c r="X44" s="1">
        <f>W44/20*20</f>
        <v>10.213764428338001</v>
      </c>
      <c r="Y44" s="1">
        <f>V44/37*27</f>
        <v>13.788581978256301</v>
      </c>
      <c r="Z44" s="1">
        <f>Y44/VLOOKUP(A44,'[196]geoMap (24)'!$A:$B,2,0)*VLOOKUP(A44,'[196]geoMap (24)'!$A:$C,3,0)</f>
        <v>16.852711306757701</v>
      </c>
      <c r="AA44" s="1">
        <f>Z44/VLOOKUP(A44,'[197]geoMap (25)'!$A:$B,2,0)*VLOOKUP(A44,'[197]geoMap (25)'!$A:$C,3,0)</f>
        <v>12.713448880536513</v>
      </c>
    </row>
    <row r="45" spans="1:27" x14ac:dyDescent="0.2">
      <c r="A45" s="1" t="s">
        <v>101</v>
      </c>
      <c r="B45" s="1">
        <f>Notes!$C$6*VLOOKUP('Data_Raw++ (2017)'!A45,[172]geoMap!$A:$B,2,0)</f>
        <v>6000</v>
      </c>
      <c r="C45" s="1">
        <f>B45/VLOOKUP(A45,'[173]geoMap (1)'!$A:$B,2,0)*VLOOKUP(A45,'[173]geoMap (1)'!$A:$C,3,0)</f>
        <v>1792.2077922077924</v>
      </c>
      <c r="D45" s="1">
        <f>C45/VLOOKUP(A45,'[174]geoMap (2)'!$A:$B,2,0)*VLOOKUP(A45,'[174]geoMap (2)'!$A:$C,3,0)</f>
        <v>3186.1471861471864</v>
      </c>
      <c r="E45" s="1">
        <f>D45/VLOOKUP(A45,'[175]geoMap (3)'!$A:$B,2,0)*VLOOKUP(A45,'[175]geoMap (3)'!$A:$C,3,0)</f>
        <v>3451.6594516594523</v>
      </c>
      <c r="F45" s="1">
        <f>E45/VLOOKUP(A45,'[176]geoMap (4)'!$A:$B,2,0)*VLOOKUP(A45,'[176]geoMap (4)'!$A:$C,3,0)</f>
        <v>4575.455552199739</v>
      </c>
      <c r="G45" s="1">
        <f>F45/VLOOKUP(A45,'[177]geoMap (5)'!$A:$B,2,0)*VLOOKUP(A45,'[177]geoMap (5)'!$A:$C,3,0)</f>
        <v>1216.26033666069</v>
      </c>
      <c r="H45" s="1">
        <f>G45/VLOOKUP(A45,'[178]geoMap (6)'!$A:$B,2,0)*VLOOKUP(A45,'[178]geoMap (6)'!$A:$C,3,0)</f>
        <v>1317.6153647157475</v>
      </c>
      <c r="I45" s="1">
        <f>H45/VLOOKUP(A45,'[179]geoMap (7)'!$A:$B,2,0)*VLOOKUP(A45,'[179]geoMap (7)'!$A:$C,3,0)</f>
        <v>371.63510286854421</v>
      </c>
      <c r="J45" s="1">
        <f>I45/VLOOKUP(A45,'[180]geoMap (8)'!$A:$B,2,0)*VLOOKUP(A45,'[180]geoMap (8)'!$A:$C,3,0)</f>
        <v>690.17947675586788</v>
      </c>
      <c r="K45" s="1">
        <f>J45/VLOOKUP(A45,'[181]geoMap (9)'!$A:$B,2,0)*VLOOKUP(A45,'[181]geoMap (9)'!$A:$C,3,0)</f>
        <v>810.21069010471444</v>
      </c>
      <c r="L45" s="1">
        <f>K45/VLOOKUP(A45,'[182]geoMap (10)'!$A:$B,2,0)*VLOOKUP(A45,'[182]geoMap (10)'!$A:$C,3,0)</f>
        <v>364.00770135139351</v>
      </c>
      <c r="M45" s="1">
        <f>L45/VLOOKUP(A45,'[183]geoMap (11)'!$A:$B,2,0)*VLOOKUP(A45,'[183]geoMap (11)'!$A:$C,3,0)</f>
        <v>114.94980042675583</v>
      </c>
      <c r="N45" s="1">
        <f>M45/VLOOKUP(A45,'[184]geoMap (12)'!$A:$B,2,0)*VLOOKUP(A45,'[184]geoMap (12)'!$A:$C,3,0)</f>
        <v>187.54967438049636</v>
      </c>
      <c r="O45" s="1">
        <f>N45/VLOOKUP(A45,'[185]geoMap (13)'!$A:$B,2,0)*VLOOKUP(A45,'[185]geoMap (13)'!$A:$C,3,0)</f>
        <v>293.3469265951353</v>
      </c>
      <c r="P45" s="1">
        <f>O45/VLOOKUP(A45,'[186]geoMap (14)'!$A:$B,2,0)*VLOOKUP(A45,'[186]geoMap (14)'!$A:$C,3,0)</f>
        <v>195.56461773009022</v>
      </c>
      <c r="Q45" s="1">
        <f>P45/VLOOKUP(A45,'[187]geoMap (15)'!$A:$B,2,0)*VLOOKUP(A45,'[187]geoMap (15)'!$A:$C,3,0)</f>
        <v>105.30402493158704</v>
      </c>
      <c r="R45" s="1">
        <f>Q45/VLOOKUP(A45,'[188]geoMap (16)'!$A:$B,2,0)*VLOOKUP(A45,'[188]geoMap (16)'!$A:$C,3,0)</f>
        <v>24.700944119754983</v>
      </c>
      <c r="S45" s="1">
        <f>R45/VLOOKUP(A45,'[189]geoMap (17)'!$A:$B,2,0)*VLOOKUP(A45,'[189]geoMap (17)'!$A:$C,3,0)</f>
        <v>26.759356129734567</v>
      </c>
      <c r="T45" s="1">
        <f>S45/VLOOKUP(A45,'[190]geoMap (18)'!$A:$B,2,0)*VLOOKUP(A45,'[190]geoMap (18)'!$A:$C,3,0)</f>
        <v>34.057362346934909</v>
      </c>
      <c r="U45" s="1">
        <f>T45/VLOOKUP(A45,'[191]geoMap (19)'!$A:$B,2,0)*VLOOKUP(A45,'[191]geoMap (19)'!$A:$C,3,0)</f>
        <v>32.7217795098002</v>
      </c>
      <c r="V45" s="1">
        <f>U45/VLOOKUP(A45,'[192]geoMap (20)'!$A:$B,2,0)*VLOOKUP(A45,'[192]geoMap (20)'!$A:$C,3,0)</f>
        <v>84.141718739486222</v>
      </c>
      <c r="W45" s="1">
        <f>V45/VLOOKUP(A45,'[193]geoMap (21)'!$A:$B,2,0)*VLOOKUP(A45,'[193]geoMap (21)'!$A:$C,3,0)</f>
        <v>37.802801172812657</v>
      </c>
      <c r="X45" s="1">
        <f>W45/VLOOKUP(A45,'[194]geoMap (22)'!$A:$B,2,0)*VLOOKUP(A45,'[194]geoMap (22)'!$A:$C,3,0)</f>
        <v>8.2981758672027777</v>
      </c>
      <c r="Y45" s="1">
        <f>X45/VLOOKUP(A45,'[195]geoMap (23)'!$A:$B,2,0)*VLOOKUP(A45,'[195]geoMap (23)'!$A:$C,3,0)</f>
        <v>18.470133381838441</v>
      </c>
      <c r="Z45" s="1">
        <f>Y45/VLOOKUP(A45,'[196]geoMap (24)'!$A:$B,2,0)*VLOOKUP(A45,'[196]geoMap (24)'!$A:$C,3,0)</f>
        <v>13.933609393316718</v>
      </c>
      <c r="AA45" s="1">
        <f>Z45/VLOOKUP(A45,'[197]geoMap (25)'!$A:$B,2,0)*VLOOKUP(A45,'[197]geoMap (25)'!$A:$C,3,0)</f>
        <v>4.4000871768368581</v>
      </c>
    </row>
    <row r="46" spans="1:27" x14ac:dyDescent="0.2">
      <c r="A46" s="1" t="s">
        <v>115</v>
      </c>
      <c r="B46" s="1">
        <f>Notes!$C$6*VLOOKUP('Data_Raw++ (2017)'!A46,[172]geoMap!$A:$B,2,0)</f>
        <v>5000</v>
      </c>
      <c r="C46" s="1">
        <f>B46/VLOOKUP(A46,'[173]geoMap (1)'!$A:$B,2,0)*VLOOKUP(A46,'[173]geoMap (1)'!$A:$C,3,0)</f>
        <v>1250</v>
      </c>
      <c r="D46" s="1">
        <f>C46/VLOOKUP(A46,'[174]geoMap (2)'!$A:$B,2,0)*VLOOKUP(A46,'[174]geoMap (2)'!$A:$C,3,0)</f>
        <v>2537.878787878788</v>
      </c>
      <c r="E46" s="1">
        <f>D46/VLOOKUP(A46,'[175]geoMap (3)'!$A:$B,2,0)*VLOOKUP(A46,'[175]geoMap (3)'!$A:$C,3,0)</f>
        <v>4713.2034632034638</v>
      </c>
      <c r="F46" s="1">
        <f>E46/VLOOKUP(A46,'[176]geoMap (4)'!$A:$B,2,0)*VLOOKUP(A46,'[176]geoMap (4)'!$A:$C,3,0)</f>
        <v>3275.2769829041022</v>
      </c>
      <c r="G46" s="1">
        <f>F46/VLOOKUP(A46,'[177]geoMap (5)'!$A:$B,2,0)*VLOOKUP(A46,'[177]geoMap (5)'!$A:$C,3,0)</f>
        <v>1034.2979946012954</v>
      </c>
      <c r="H46" s="1">
        <f>G46/VLOOKUP(A46,'[178]geoMap (6)'!$A:$B,2,0)*VLOOKUP(A46,'[178]geoMap (6)'!$A:$C,3,0)</f>
        <v>1371.0461788900891</v>
      </c>
      <c r="I46" s="1">
        <f>H46/VLOOKUP(A46,'[179]geoMap (7)'!$A:$B,2,0)*VLOOKUP(A46,'[179]geoMap (7)'!$A:$C,3,0)</f>
        <v>241.9493256864863</v>
      </c>
      <c r="J46" s="1">
        <f>I46/VLOOKUP(A46,'[180]geoMap (8)'!$A:$B,2,0)*VLOOKUP(A46,'[180]geoMap (8)'!$A:$C,3,0)</f>
        <v>857.82033652481516</v>
      </c>
      <c r="K46" s="1">
        <f>J46/VLOOKUP(A46,'[181]geoMap (9)'!$A:$B,2,0)*VLOOKUP(A46,'[181]geoMap (9)'!$A:$C,3,0)</f>
        <v>929.30536456854986</v>
      </c>
      <c r="L46" s="1">
        <f>K46/VLOOKUP(A46,'[182]geoMap (10)'!$A:$B,2,0)*VLOOKUP(A46,'[182]geoMap (10)'!$A:$C,3,0)</f>
        <v>309.76845485618327</v>
      </c>
      <c r="M46" s="1">
        <f>L46/VLOOKUP(A46,'[183]geoMap (11)'!$A:$B,2,0)*VLOOKUP(A46,'[183]geoMap (11)'!$A:$C,3,0)</f>
        <v>108.83756521974009</v>
      </c>
      <c r="N46" s="1">
        <f>M46/VLOOKUP(A46,'[184]geoMap (12)'!$A:$B,2,0)*VLOOKUP(A46,'[184]geoMap (12)'!$A:$C,3,0)</f>
        <v>108.83756521974009</v>
      </c>
      <c r="O46" s="1">
        <f>N46/VLOOKUP(A46,'[185]geoMap (13)'!$A:$B,2,0)*VLOOKUP(A46,'[185]geoMap (13)'!$A:$C,3,0)</f>
        <v>231.27982609194768</v>
      </c>
      <c r="P46" s="1">
        <f>O46/VLOOKUP(A46,'[186]geoMap (14)'!$A:$B,2,0)*VLOOKUP(A46,'[186]geoMap (14)'!$A:$C,3,0)</f>
        <v>250.55314493294335</v>
      </c>
      <c r="Q46" s="1">
        <f>P46/VLOOKUP(A46,'[187]geoMap (15)'!$A:$B,2,0)*VLOOKUP(A46,'[187]geoMap (15)'!$A:$C,3,0)</f>
        <v>123.40677287741987</v>
      </c>
      <c r="R46" s="1">
        <f>Q46/VLOOKUP(A46,'[188]geoMap (16)'!$A:$B,2,0)*VLOOKUP(A46,'[188]geoMap (16)'!$A:$C,3,0)</f>
        <v>23.506051976651406</v>
      </c>
      <c r="S46" s="1">
        <f>R46/VLOOKUP(A46,'[189]geoMap (17)'!$A:$B,2,0)*VLOOKUP(A46,'[189]geoMap (17)'!$A:$C,3,0)</f>
        <v>35.259077964977109</v>
      </c>
      <c r="T46" s="1">
        <f>S46/VLOOKUP(A46,'[190]geoMap (18)'!$A:$B,2,0)*VLOOKUP(A46,'[190]geoMap (18)'!$A:$C,3,0)</f>
        <v>19.833231355299624</v>
      </c>
      <c r="U46" s="1">
        <f>T46/VLOOKUP(A46,'[191]geoMap (19)'!$A:$B,2,0)*VLOOKUP(A46,'[191]geoMap (19)'!$A:$C,3,0)</f>
        <v>44.144934306957225</v>
      </c>
      <c r="V46" s="1">
        <f>U46/VLOOKUP(A46,'[192]geoMap (20)'!$A:$B,2,0)*VLOOKUP(A46,'[192]geoMap (20)'!$A:$C,3,0)</f>
        <v>188.19682520334396</v>
      </c>
      <c r="W46" s="1">
        <f>V46/VLOOKUP(A46,'[193]geoMap (21)'!$A:$B,2,0)*VLOOKUP(A46,'[193]geoMap (21)'!$A:$C,3,0)</f>
        <v>28.121364685557147</v>
      </c>
      <c r="X46" s="1">
        <f>W46/39*13</f>
        <v>9.3737882285190484</v>
      </c>
      <c r="Y46" s="1">
        <f>V46/VLOOKUP(A46,'[204]geoMap (35)'!$A:$B,2,0)*VLOOKUP(A46,'[204]geoMap (35)'!$A:$C,3,0)</f>
        <v>12.012563310851743</v>
      </c>
      <c r="Z46" s="1">
        <f>Y46/VLOOKUP(A46,'[196]geoMap (24)'!$A:$B,2,0)*VLOOKUP(A46,'[196]geoMap (24)'!$A:$C,3,0)</f>
        <v>8.0083755405678296</v>
      </c>
      <c r="AA46" s="1">
        <f>Y46/25*11</f>
        <v>5.2855278567747668</v>
      </c>
    </row>
    <row r="47" spans="1:27" x14ac:dyDescent="0.2">
      <c r="A47" s="1" t="s">
        <v>111</v>
      </c>
      <c r="B47" s="1">
        <f>Notes!$C$6*VLOOKUP('Data_Raw++ (2017)'!A47,[172]geoMap!$A:$B,2,0)</f>
        <v>6000</v>
      </c>
      <c r="C47" s="1">
        <f>B47/VLOOKUP(A47,'[173]geoMap (1)'!$A:$B,2,0)*VLOOKUP(A47,'[173]geoMap (1)'!$A:$C,3,0)</f>
        <v>1317.0731707317075</v>
      </c>
      <c r="D47" s="1">
        <f>C47/VLOOKUP(A47,'[174]geoMap (2)'!$A:$B,2,0)*VLOOKUP(A47,'[174]geoMap (2)'!$A:$C,3,0)</f>
        <v>2556.6714490674321</v>
      </c>
      <c r="E47" s="1">
        <f>D47/VLOOKUP(A47,'[175]geoMap (3)'!$A:$B,2,0)*VLOOKUP(A47,'[175]geoMap (3)'!$A:$C,3,0)</f>
        <v>3530.6415249026445</v>
      </c>
      <c r="F47" s="1">
        <f>E47/VLOOKUP(A47,'[176]geoMap (4)'!$A:$B,2,0)*VLOOKUP(A47,'[176]geoMap (4)'!$A:$C,3,0)</f>
        <v>3259.0537152947486</v>
      </c>
      <c r="G47" s="1">
        <f>F47/VLOOKUP(A47,'[177]geoMap (5)'!$A:$B,2,0)*VLOOKUP(A47,'[177]geoMap (5)'!$A:$C,3,0)</f>
        <v>1331.1627851203903</v>
      </c>
      <c r="H47" s="1">
        <f>G47/VLOOKUP(A47,'[178]geoMap (6)'!$A:$B,2,0)*VLOOKUP(A47,'[178]geoMap (6)'!$A:$C,3,0)</f>
        <v>1694.2071810623149</v>
      </c>
      <c r="I47" s="1">
        <f>H47/VLOOKUP(A47,'[179]geoMap (7)'!$A:$B,2,0)*VLOOKUP(A47,'[179]geoMap (7)'!$A:$C,3,0)</f>
        <v>298.97773783452612</v>
      </c>
      <c r="J47" s="1">
        <f>I47/VLOOKUP(A47,'[180]geoMap (8)'!$A:$B,2,0)*VLOOKUP(A47,'[180]geoMap (8)'!$A:$C,3,0)</f>
        <v>665.46657776071936</v>
      </c>
      <c r="K47" s="1">
        <f>J47/VLOOKUP(A47,'[181]geoMap (9)'!$A:$B,2,0)*VLOOKUP(A47,'[181]geoMap (9)'!$A:$C,3,0)</f>
        <v>1291.7880627119846</v>
      </c>
      <c r="L47" s="1">
        <f>K47/VLOOKUP(A47,'[182]geoMap (10)'!$A:$B,2,0)*VLOOKUP(A47,'[182]geoMap (10)'!$A:$C,3,0)</f>
        <v>364.3504792264572</v>
      </c>
      <c r="M47" s="1">
        <f>L47/VLOOKUP(A47,'[183]geoMap (11)'!$A:$B,2,0)*VLOOKUP(A47,'[183]geoMap (11)'!$A:$C,3,0)</f>
        <v>134.7597662892376</v>
      </c>
      <c r="N47" s="1">
        <f>M47/VLOOKUP(A47,'[184]geoMap (12)'!$A:$B,2,0)*VLOOKUP(A47,'[184]geoMap (12)'!$A:$C,3,0)</f>
        <v>171.51242982266606</v>
      </c>
      <c r="O47" s="1">
        <f>N47/VLOOKUP(A47,'[185]geoMap (13)'!$A:$B,2,0)*VLOOKUP(A47,'[185]geoMap (13)'!$A:$C,3,0)</f>
        <v>246.81056974481214</v>
      </c>
      <c r="P47" s="1">
        <f>O47/VLOOKUP(A47,'[186]geoMap (14)'!$A:$B,2,0)*VLOOKUP(A47,'[186]geoMap (14)'!$A:$C,3,0)</f>
        <v>327.16749942916954</v>
      </c>
      <c r="Q47" s="1">
        <f>P47/VLOOKUP(A47,'[187]geoMap (15)'!$A:$B,2,0)*VLOOKUP(A47,'[187]geoMap (15)'!$A:$C,3,0)</f>
        <v>81.791874857292385</v>
      </c>
      <c r="R47" s="1">
        <f>Q47/VLOOKUP(A47,'[188]geoMap (16)'!$A:$B,2,0)*VLOOKUP(A47,'[188]geoMap (16)'!$A:$C,3,0)</f>
        <v>19.185748423315495</v>
      </c>
      <c r="S47" s="1">
        <f>R47/VLOOKUP(A47,'[189]geoMap (17)'!$A:$B,2,0)*VLOOKUP(A47,'[189]geoMap (17)'!$A:$C,3,0)</f>
        <v>25.432271165790308</v>
      </c>
      <c r="T47" s="1">
        <f>S47/VLOOKUP(A47,'[190]geoMap (18)'!$A:$B,2,0)*VLOOKUP(A47,'[190]geoMap (18)'!$A:$C,3,0)</f>
        <v>25.432271165790308</v>
      </c>
      <c r="U47" s="1">
        <f>T47/VLOOKUP(A47,'[191]geoMap (19)'!$A:$B,2,0)*VLOOKUP(A47,'[191]geoMap (19)'!$A:$C,3,0)</f>
        <v>16.954847443860206</v>
      </c>
      <c r="V47" s="1">
        <f>U47/VLOOKUP(A47,'[192]geoMap (20)'!$A:$B,2,0)*VLOOKUP(A47,'[192]geoMap (20)'!$A:$C,3,0)</f>
        <v>50.864542331580623</v>
      </c>
      <c r="W47" s="1">
        <f>V47/VLOOKUP(A47,'[193]geoMap (21)'!$A:$B,2,0)*VLOOKUP(A47,'[193]geoMap (21)'!$A:$C,3,0)</f>
        <v>90.425853033921101</v>
      </c>
      <c r="X47" s="1">
        <f>W47/VLOOKUP(A47,'[194]geoMap (22)'!$A:$B,2,0)*VLOOKUP(A47,'[194]geoMap (22)'!$A:$C,3,0)</f>
        <v>7.863117655123574</v>
      </c>
      <c r="Y47" s="1">
        <f>X47/VLOOKUP(A47,'[195]geoMap (23)'!$A:$B,2,0)*VLOOKUP(A47,'[195]geoMap (23)'!$A:$C,3,0)</f>
        <v>19.251081155647373</v>
      </c>
      <c r="Z47" s="1">
        <f>Y47/VLOOKUP(A47,'[196]geoMap (24)'!$A:$B,2,0)*VLOOKUP(A47,'[196]geoMap (24)'!$A:$C,3,0)</f>
        <v>9.0593323085399398</v>
      </c>
      <c r="AA47" s="1">
        <f>Z47/VLOOKUP(A47,'[197]geoMap (25)'!$A:$B,2,0)*VLOOKUP(A47,'[197]geoMap (25)'!$A:$C,3,0)</f>
        <v>5.3205602446980595</v>
      </c>
    </row>
    <row r="48" spans="1:27" x14ac:dyDescent="0.2">
      <c r="A48" s="1" t="s">
        <v>127</v>
      </c>
      <c r="B48" s="1">
        <f>Notes!$C$6*VLOOKUP('Data_Raw++ (2017)'!A48,[172]geoMap!$A:$B,2,0)</f>
        <v>5000</v>
      </c>
      <c r="C48" s="1">
        <f>B48/VLOOKUP(A48,'[173]geoMap (1)'!$A:$B,2,0)*VLOOKUP(A48,'[173]geoMap (1)'!$A:$C,3,0)</f>
        <v>5416.6666666666679</v>
      </c>
      <c r="D48" s="1">
        <f>C48/VLOOKUP(A48,'[174]geoMap (2)'!$A:$B,2,0)*VLOOKUP(A48,'[174]geoMap (2)'!$A:$C,3,0)</f>
        <v>5868.0555555555566</v>
      </c>
      <c r="E48" s="1">
        <f>D48/VLOOKUP(A48,'[175]geoMap (3)'!$A:$B,2,0)*VLOOKUP(A48,'[175]geoMap (3)'!$A:$C,3,0)</f>
        <v>4249.2816091954037</v>
      </c>
      <c r="F48" s="1">
        <f>E48/VLOOKUP(A48,'[176]geoMap (4)'!$A:$B,2,0)*VLOOKUP(A48,'[176]geoMap (4)'!$A:$C,3,0)</f>
        <v>3619.7584078331215</v>
      </c>
      <c r="G48" s="1">
        <f>F48/VLOOKUP(A48,'[177]geoMap (5)'!$A:$B,2,0)*VLOOKUP(A48,'[177]geoMap (5)'!$A:$C,3,0)</f>
        <v>3767.503648969167</v>
      </c>
      <c r="H48" s="1">
        <f>G48/VLOOKUP(A48,'[178]geoMap (6)'!$A:$B,2,0)*VLOOKUP(A48,'[178]geoMap (6)'!$A:$C,3,0)</f>
        <v>1393.4602537283222</v>
      </c>
      <c r="I48" s="1">
        <f>H48/VLOOKUP(A48,'[179]geoMap (7)'!$A:$B,2,0)*VLOOKUP(A48,'[179]geoMap (7)'!$A:$C,3,0)</f>
        <v>1094.8616279293958</v>
      </c>
      <c r="J48" s="1">
        <f>I48/VLOOKUP(A48,'[180]geoMap (8)'!$A:$B,2,0)*VLOOKUP(A48,'[180]geoMap (8)'!$A:$C,3,0)</f>
        <v>1511.9517719024989</v>
      </c>
      <c r="K48" s="1">
        <f>J48/VLOOKUP(A48,'[181]geoMap (9)'!$A:$B,2,0)*VLOOKUP(A48,'[181]geoMap (9)'!$A:$C,3,0)</f>
        <v>1007.9678479349994</v>
      </c>
      <c r="L48" s="1">
        <f>K48/VLOOKUP(A48,'[182]geoMap (10)'!$A:$B,2,0)*VLOOKUP(A48,'[182]geoMap (10)'!$A:$C,3,0)</f>
        <v>496.46177584858179</v>
      </c>
      <c r="M48" s="1">
        <f>L48/VLOOKUP(A48,'[183]geoMap (11)'!$A:$B,2,0)*VLOOKUP(A48,'[183]geoMap (11)'!$A:$C,3,0)</f>
        <v>658.10049356672459</v>
      </c>
      <c r="N48" s="1">
        <f>M48/VLOOKUP(A48,'[184]geoMap (12)'!$A:$B,2,0)*VLOOKUP(A48,'[184]geoMap (12)'!$A:$C,3,0)</f>
        <v>632.29263107391182</v>
      </c>
      <c r="O48" s="1">
        <f>N48/VLOOKUP(A48,'[185]geoMap (13)'!$A:$B,2,0)*VLOOKUP(A48,'[185]geoMap (13)'!$A:$C,3,0)</f>
        <v>371.34646586880535</v>
      </c>
      <c r="P48" s="1">
        <f>O48/VLOOKUP(A48,'[186]geoMap (14)'!$A:$B,2,0)*VLOOKUP(A48,'[186]geoMap (14)'!$A:$C,3,0)</f>
        <v>237.41823227677719</v>
      </c>
      <c r="Q48" s="1">
        <f>P48/VLOOKUP(A48,'[187]geoMap (15)'!$A:$B,2,0)*VLOOKUP(A48,'[187]geoMap (15)'!$A:$C,3,0)</f>
        <v>202.24516082836575</v>
      </c>
      <c r="R48" s="1">
        <f>Q48/VLOOKUP(A48,'[188]geoMap (16)'!$A:$B,2,0)*VLOOKUP(A48,'[188]geoMap (16)'!$A:$C,3,0)</f>
        <v>129.30428315256174</v>
      </c>
      <c r="S48" s="1">
        <f>R48/VLOOKUP(A48,'[189]geoMap (17)'!$A:$B,2,0)*VLOOKUP(A48,'[189]geoMap (17)'!$A:$C,3,0)</f>
        <v>97.545336413336045</v>
      </c>
      <c r="T48" s="1">
        <f>S48/VLOOKUP(A48,'[190]geoMap (18)'!$A:$B,2,0)*VLOOKUP(A48,'[190]geoMap (18)'!$A:$C,3,0)</f>
        <v>79.809820701820399</v>
      </c>
      <c r="U48" s="1">
        <f>T48/VLOOKUP(A48,'[191]geoMap (19)'!$A:$B,2,0)*VLOOKUP(A48,'[191]geoMap (19)'!$A:$C,3,0)</f>
        <v>141.88412569212517</v>
      </c>
      <c r="V48" s="1">
        <f>U48/VLOOKUP(A48,'[192]geoMap (20)'!$A:$B,2,0)*VLOOKUP(A48,'[192]geoMap (20)'!$A:$C,3,0)</f>
        <v>107.03539306598917</v>
      </c>
      <c r="W48" s="1">
        <f>V48/VLOOKUP(A48,'[193]geoMap (21)'!$A:$B,2,0)*VLOOKUP(A48,'[193]geoMap (21)'!$A:$C,3,0)</f>
        <v>37.607029996158353</v>
      </c>
      <c r="X48" s="1">
        <f>W48/VLOOKUP(A48,'[194]geoMap (22)'!$A:$B,2,0)*VLOOKUP(A48,'[194]geoMap (22)'!$A:$C,3,0)</f>
        <v>40.740949162504883</v>
      </c>
      <c r="Y48" s="1">
        <f>X48/VLOOKUP(A48,'[195]geoMap (23)'!$A:$B,2,0)*VLOOKUP(A48,'[195]geoMap (23)'!$A:$C,3,0)</f>
        <v>40.740949162504883</v>
      </c>
      <c r="Z48" s="1">
        <f>Y48/VLOOKUP(A48,'[196]geoMap (24)'!$A:$B,2,0)*VLOOKUP(A48,'[196]geoMap (24)'!$A:$C,3,0)</f>
        <v>33.333503860231268</v>
      </c>
      <c r="AA48" s="1">
        <f>Z48/VLOOKUP(A48,'[197]geoMap (25)'!$A:$B,2,0)*VLOOKUP(A48,'[197]geoMap (25)'!$A:$C,3,0)</f>
        <v>25.1463274735078</v>
      </c>
    </row>
    <row r="49" spans="1:27" x14ac:dyDescent="0.2">
      <c r="A49" s="1" t="s">
        <v>133</v>
      </c>
      <c r="B49" s="1">
        <f>Notes!$C$6*VLOOKUP('Data_Raw++ (2017)'!A49,[172]geoMap!$A:$B,2,0)</f>
        <v>4000</v>
      </c>
      <c r="C49" s="1">
        <f>B49/VLOOKUP(A49,'[173]geoMap (1)'!$A:$B,2,0)*VLOOKUP(A49,'[173]geoMap (1)'!$A:$C,3,0)</f>
        <v>4510.6382978723414</v>
      </c>
      <c r="D49" s="1">
        <f>C49/VLOOKUP(A49,'[174]geoMap (2)'!$A:$B,2,0)*VLOOKUP(A49,'[174]geoMap (2)'!$A:$C,3,0)</f>
        <v>5513.0023640661957</v>
      </c>
      <c r="E49" s="1">
        <f>D49/VLOOKUP(A49,'[175]geoMap (3)'!$A:$B,2,0)*VLOOKUP(A49,'[175]geoMap (3)'!$A:$C,3,0)</f>
        <v>5088.9252591380273</v>
      </c>
      <c r="F49" s="1">
        <f>E49/VLOOKUP(A49,'[176]geoMap (4)'!$A:$B,2,0)*VLOOKUP(A49,'[176]geoMap (4)'!$A:$C,3,0)</f>
        <v>3998.4412750370211</v>
      </c>
      <c r="G49" s="1">
        <f>F49/VLOOKUP(A49,'[177]geoMap (5)'!$A:$B,2,0)*VLOOKUP(A49,'[177]geoMap (5)'!$A:$C,3,0)</f>
        <v>3406.0796046611663</v>
      </c>
      <c r="H49" s="1">
        <f>G49/VLOOKUP(A49,'[178]geoMap (6)'!$A:$B,2,0)*VLOOKUP(A49,'[178]geoMap (6)'!$A:$C,3,0)</f>
        <v>1075.6040856824734</v>
      </c>
      <c r="I49" s="1">
        <f>H49/VLOOKUP(A49,'[179]geoMap (7)'!$A:$B,2,0)*VLOOKUP(A49,'[179]geoMap (7)'!$A:$C,3,0)</f>
        <v>1613.4061285237099</v>
      </c>
      <c r="J49" s="1">
        <f>I49/VLOOKUP(A49,'[180]geoMap (8)'!$A:$B,2,0)*VLOOKUP(A49,'[180]geoMap (8)'!$A:$C,3,0)</f>
        <v>1550.1352999541527</v>
      </c>
      <c r="K49" s="1">
        <f>J49/VLOOKUP(A49,'[181]geoMap (9)'!$A:$B,2,0)*VLOOKUP(A49,'[181]geoMap (9)'!$A:$C,3,0)</f>
        <v>1033.4235333027686</v>
      </c>
      <c r="L49" s="1">
        <f>K49/VLOOKUP(A49,'[182]geoMap (10)'!$A:$B,2,0)*VLOOKUP(A49,'[182]geoMap (10)'!$A:$C,3,0)</f>
        <v>660.71340653783568</v>
      </c>
      <c r="M49" s="1">
        <f>L49/VLOOKUP(A49,'[183]geoMap (11)'!$A:$B,2,0)*VLOOKUP(A49,'[183]geoMap (11)'!$A:$C,3,0)</f>
        <v>715.77285708265526</v>
      </c>
      <c r="N49" s="1">
        <f>M49/VLOOKUP(A49,'[184]geoMap (12)'!$A:$B,2,0)*VLOOKUP(A49,'[184]geoMap (12)'!$A:$C,3,0)</f>
        <v>609.73243381115083</v>
      </c>
      <c r="O49" s="1">
        <f>N49/VLOOKUP(A49,'[185]geoMap (13)'!$A:$B,2,0)*VLOOKUP(A49,'[185]geoMap (13)'!$A:$C,3,0)</f>
        <v>373.70697556167306</v>
      </c>
      <c r="P49" s="1">
        <f>O49/VLOOKUP(A49,'[186]geoMap (14)'!$A:$B,2,0)*VLOOKUP(A49,'[186]geoMap (14)'!$A:$C,3,0)</f>
        <v>201.22683299474701</v>
      </c>
      <c r="Q49" s="1">
        <f>P49/VLOOKUP(A49,'[187]geoMap (15)'!$A:$B,2,0)*VLOOKUP(A49,'[187]geoMap (15)'!$A:$C,3,0)</f>
        <v>226.91536486641687</v>
      </c>
      <c r="R49" s="1">
        <f>Q49/VLOOKUP(A49,'[188]geoMap (16)'!$A:$B,2,0)*VLOOKUP(A49,'[188]geoMap (16)'!$A:$C,3,0)</f>
        <v>101.94748276607136</v>
      </c>
      <c r="S49" s="1">
        <f>R49/VLOOKUP(A49,'[189]geoMap (17)'!$A:$B,2,0)*VLOOKUP(A49,'[189]geoMap (17)'!$A:$C,3,0)</f>
        <v>407.78993106428544</v>
      </c>
      <c r="T49" s="1">
        <f>S49/VLOOKUP(A49,'[190]geoMap (18)'!$A:$B,2,0)*VLOOKUP(A49,'[190]geoMap (18)'!$A:$C,3,0)</f>
        <v>101.94748276607136</v>
      </c>
      <c r="U49" s="1">
        <f>T49/VLOOKUP(A49,'[191]geoMap (19)'!$A:$B,2,0)*VLOOKUP(A49,'[191]geoMap (19)'!$A:$C,3,0)</f>
        <v>90.406258301987791</v>
      </c>
      <c r="V49" s="1">
        <f>U49/VLOOKUP(A49,'[192]geoMap (20)'!$A:$B,2,0)*VLOOKUP(A49,'[192]geoMap (20)'!$A:$C,3,0)</f>
        <v>135.60938745298168</v>
      </c>
      <c r="W49" s="1">
        <f>V49/VLOOKUP(A49,'[193]geoMap (21)'!$A:$B,2,0)*VLOOKUP(A49,'[193]geoMap (21)'!$A:$C,3,0)</f>
        <v>58.118308908420723</v>
      </c>
      <c r="X49" s="1">
        <f>W49/VLOOKUP(A49,'[194]geoMap (22)'!$A:$B,2,0)*VLOOKUP(A49,'[194]geoMap (22)'!$A:$C,3,0)</f>
        <v>117.99777869285418</v>
      </c>
      <c r="Y49" s="1">
        <f>X49/VLOOKUP(A49,'[195]geoMap (23)'!$A:$B,2,0)*VLOOKUP(A49,'[195]geoMap (23)'!$A:$C,3,0)</f>
        <v>72.321219198846109</v>
      </c>
      <c r="Z49" s="1">
        <f>Y49/VLOOKUP(A49,'[196]geoMap (24)'!$A:$B,2,0)*VLOOKUP(A49,'[196]geoMap (24)'!$A:$C,3,0)</f>
        <v>48.214146132564082</v>
      </c>
      <c r="AA49" s="1">
        <f>Z49/VLOOKUP(A49,'[197]geoMap (25)'!$A:$B,2,0)*VLOOKUP(A49,'[197]geoMap (25)'!$A:$C,3,0)</f>
        <v>44.505365660828375</v>
      </c>
    </row>
    <row r="50" spans="1:27" x14ac:dyDescent="0.2">
      <c r="A50" s="1" t="s">
        <v>145</v>
      </c>
      <c r="B50" s="1">
        <f>Notes!$C$6*VLOOKUP('Data_Raw++ (2017)'!A50,[172]geoMap!$A:$B,2,0)</f>
        <v>4000</v>
      </c>
      <c r="C50" s="1">
        <f>B50/VLOOKUP(A50,'[173]geoMap (1)'!$A:$B,2,0)*VLOOKUP(A50,'[173]geoMap (1)'!$A:$C,3,0)</f>
        <v>4695.652173913044</v>
      </c>
      <c r="D50" s="1">
        <f>C50/VLOOKUP(A50,'[174]geoMap (2)'!$A:$B,2,0)*VLOOKUP(A50,'[174]geoMap (2)'!$A:$C,3,0)</f>
        <v>4887.3114463176589</v>
      </c>
      <c r="E50" s="1">
        <f>D50/VLOOKUP(A50,'[175]geoMap (3)'!$A:$B,2,0)*VLOOKUP(A50,'[175]geoMap (3)'!$A:$C,3,0)</f>
        <v>4695.652173913044</v>
      </c>
      <c r="F50" s="1">
        <f>E50/VLOOKUP(A50,'[176]geoMap (4)'!$A:$B,2,0)*VLOOKUP(A50,'[176]geoMap (4)'!$A:$C,3,0)</f>
        <v>3841.897233201581</v>
      </c>
      <c r="G50" s="1">
        <f>F50/VLOOKUP(A50,'[177]geoMap (5)'!$A:$B,2,0)*VLOOKUP(A50,'[177]geoMap (5)'!$A:$C,3,0)</f>
        <v>3272.7272727272725</v>
      </c>
      <c r="H50" s="1">
        <f>G50/VLOOKUP(A50,'[178]geoMap (6)'!$A:$B,2,0)*VLOOKUP(A50,'[178]geoMap (6)'!$A:$C,3,0)</f>
        <v>1090.9090909090908</v>
      </c>
      <c r="I50" s="1">
        <f>H50/VLOOKUP(A50,'[179]geoMap (7)'!$A:$B,2,0)*VLOOKUP(A50,'[179]geoMap (7)'!$A:$C,3,0)</f>
        <v>1388.4297520661157</v>
      </c>
      <c r="J50" s="1">
        <f>I50/VLOOKUP(A50,'[180]geoMap (8)'!$A:$B,2,0)*VLOOKUP(A50,'[180]geoMap (8)'!$A:$C,3,0)</f>
        <v>1565.676103393705</v>
      </c>
      <c r="K50" s="1">
        <f>J50/VLOOKUP(A50,'[181]geoMap (9)'!$A:$B,2,0)*VLOOKUP(A50,'[181]geoMap (9)'!$A:$C,3,0)</f>
        <v>1001.0060333172869</v>
      </c>
      <c r="L50" s="1">
        <f>K50/VLOOKUP(A50,'[182]geoMap (10)'!$A:$B,2,0)*VLOOKUP(A50,'[182]geoMap (10)'!$A:$C,3,0)</f>
        <v>667.33735554485793</v>
      </c>
      <c r="M50" s="1">
        <f>L50/VLOOKUP(A50,'[183]geoMap (11)'!$A:$B,2,0)*VLOOKUP(A50,'[183]geoMap (11)'!$A:$C,3,0)</f>
        <v>849.33845251163746</v>
      </c>
      <c r="N50" s="1">
        <f>M50/VLOOKUP(A50,'[184]geoMap (12)'!$A:$B,2,0)*VLOOKUP(A50,'[184]geoMap (12)'!$A:$C,3,0)</f>
        <v>640.72900803509492</v>
      </c>
      <c r="O50" s="1">
        <f>N50/VLOOKUP(A50,'[185]geoMap (13)'!$A:$B,2,0)*VLOOKUP(A50,'[185]geoMap (13)'!$A:$C,3,0)</f>
        <v>427.15267202339669</v>
      </c>
      <c r="P50" s="1">
        <f>O50/VLOOKUP(A50,'[186]geoMap (14)'!$A:$B,2,0)*VLOOKUP(A50,'[186]geoMap (14)'!$A:$C,3,0)</f>
        <v>394.29477417544308</v>
      </c>
      <c r="Q50" s="1">
        <f>P50/VLOOKUP(A50,'[187]geoMap (15)'!$A:$B,2,0)*VLOOKUP(A50,'[187]geoMap (15)'!$A:$C,3,0)</f>
        <v>241.66453901075545</v>
      </c>
      <c r="R50" s="1">
        <f>Q50/VLOOKUP(A50,'[188]geoMap (16)'!$A:$B,2,0)*VLOOKUP(A50,'[188]geoMap (16)'!$A:$C,3,0)</f>
        <v>148.11697552272108</v>
      </c>
      <c r="S50" s="1">
        <f>R50/VLOOKUP(A50,'[189]geoMap (17)'!$A:$B,2,0)*VLOOKUP(A50,'[189]geoMap (17)'!$A:$C,3,0)</f>
        <v>329.67971971186302</v>
      </c>
      <c r="T50" s="1">
        <f>S50/VLOOKUP(A50,'[190]geoMap (18)'!$A:$B,2,0)*VLOOKUP(A50,'[190]geoMap (18)'!$A:$C,3,0)</f>
        <v>92.986587611038274</v>
      </c>
      <c r="U50" s="1">
        <f>T50/VLOOKUP(A50,'[191]geoMap (19)'!$A:$B,2,0)*VLOOKUP(A50,'[191]geoMap (19)'!$A:$C,3,0)</f>
        <v>113.65027374682455</v>
      </c>
      <c r="V50" s="1">
        <f>U50/VLOOKUP(A50,'[192]geoMap (20)'!$A:$B,2,0)*VLOOKUP(A50,'[192]geoMap (20)'!$A:$C,3,0)</f>
        <v>128.15881933152556</v>
      </c>
      <c r="W50" s="1">
        <f>V50/VLOOKUP(A50,'[193]geoMap (21)'!$A:$B,2,0)*VLOOKUP(A50,'[193]geoMap (21)'!$A:$C,3,0)</f>
        <v>104.85721581670272</v>
      </c>
      <c r="X50" s="1">
        <f>W50/VLOOKUP(A50,'[194]geoMap (22)'!$A:$B,2,0)*VLOOKUP(A50,'[194]geoMap (22)'!$A:$C,3,0)</f>
        <v>85.792267486393129</v>
      </c>
      <c r="Y50" s="1">
        <f>X50/VLOOKUP(A50,'[195]geoMap (23)'!$A:$B,2,0)*VLOOKUP(A50,'[195]geoMap (23)'!$A:$C,3,0)</f>
        <v>64.720482489735176</v>
      </c>
      <c r="Z50" s="1">
        <f>Y50/VLOOKUP(A50,'[196]geoMap (24)'!$A:$B,2,0)*VLOOKUP(A50,'[196]geoMap (24)'!$A:$C,3,0)</f>
        <v>48.824223632607236</v>
      </c>
      <c r="AA50" s="1">
        <f>Z50/VLOOKUP(A50,'[197]geoMap (25)'!$A:$B,2,0)*VLOOKUP(A50,'[197]geoMap (25)'!$A:$C,3,0)</f>
        <v>326.7467273874484</v>
      </c>
    </row>
    <row r="51" spans="1:27" x14ac:dyDescent="0.2">
      <c r="A51" s="1" t="s">
        <v>142</v>
      </c>
      <c r="B51" s="1">
        <f>Notes!$C$6*VLOOKUP('Data_Raw++ (2017)'!A51,[172]geoMap!$A:$B,2,0)</f>
        <v>4000</v>
      </c>
      <c r="C51" s="1">
        <f>B51/VLOOKUP(A51,'[173]geoMap (1)'!$A:$B,2,0)*VLOOKUP(A51,'[173]geoMap (1)'!$A:$C,3,0)</f>
        <v>3692.3076923076924</v>
      </c>
      <c r="D51" s="1">
        <f>C51/VLOOKUP(A51,'[174]geoMap (2)'!$A:$B,2,0)*VLOOKUP(A51,'[174]geoMap (2)'!$A:$C,3,0)</f>
        <v>4000</v>
      </c>
      <c r="E51" s="1">
        <f>D51/VLOOKUP(A51,'[175]geoMap (3)'!$A:$B,2,0)*VLOOKUP(A51,'[175]geoMap (3)'!$A:$C,3,0)</f>
        <v>2349.2063492063489</v>
      </c>
      <c r="F51" s="1">
        <f>E51/VLOOKUP(A51,'[176]geoMap (4)'!$A:$B,2,0)*VLOOKUP(A51,'[176]geoMap (4)'!$A:$C,3,0)</f>
        <v>1845.8049886621313</v>
      </c>
      <c r="G51" s="1">
        <f>F51/VLOOKUP(A51,'[177]geoMap (5)'!$A:$B,2,0)*VLOOKUP(A51,'[177]geoMap (5)'!$A:$C,3,0)</f>
        <v>1636.8459333418898</v>
      </c>
      <c r="H51" s="1">
        <f>G51/VLOOKUP(A51,'[178]geoMap (6)'!$A:$B,2,0)*VLOOKUP(A51,'[178]geoMap (6)'!$A:$C,3,0)</f>
        <v>1091.2306222279265</v>
      </c>
      <c r="I51" s="1">
        <f>H51/VLOOKUP(A51,'[179]geoMap (7)'!$A:$B,2,0)*VLOOKUP(A51,'[179]geoMap (7)'!$A:$C,3,0)</f>
        <v>640.88147654655995</v>
      </c>
      <c r="J51" s="1">
        <f>I51/VLOOKUP(A51,'[180]geoMap (8)'!$A:$B,2,0)*VLOOKUP(A51,'[180]geoMap (8)'!$A:$C,3,0)</f>
        <v>885.02680094524942</v>
      </c>
      <c r="K51" s="1">
        <f>J51/VLOOKUP(A51,'[181]geoMap (9)'!$A:$B,2,0)*VLOOKUP(A51,'[181]geoMap (9)'!$A:$C,3,0)</f>
        <v>724.11283713702221</v>
      </c>
      <c r="L51" s="1">
        <f>K51/VLOOKUP(A51,'[182]geoMap (10)'!$A:$B,2,0)*VLOOKUP(A51,'[182]geoMap (10)'!$A:$C,3,0)</f>
        <v>389.90691230455042</v>
      </c>
      <c r="M51" s="1">
        <f>L51/VLOOKUP(A51,'[183]geoMap (11)'!$A:$B,2,0)*VLOOKUP(A51,'[183]geoMap (11)'!$A:$C,3,0)</f>
        <v>129.96897076818348</v>
      </c>
      <c r="N51" s="1">
        <f>M51/VLOOKUP(A51,'[184]geoMap (12)'!$A:$B,2,0)*VLOOKUP(A51,'[184]geoMap (12)'!$A:$C,3,0)</f>
        <v>460.79907817810511</v>
      </c>
      <c r="O51" s="1">
        <f>N51/VLOOKUP(A51,'[185]geoMap (13)'!$A:$B,2,0)*VLOOKUP(A51,'[185]geoMap (13)'!$A:$C,3,0)</f>
        <v>259.19948147518414</v>
      </c>
      <c r="P51" s="1">
        <f>O51/VLOOKUP(A51,'[186]geoMap (14)'!$A:$B,2,0)*VLOOKUP(A51,'[186]geoMap (14)'!$A:$C,3,0)</f>
        <v>145.79970832979109</v>
      </c>
      <c r="Q51" s="1">
        <f>P51/VLOOKUP(A51,'[187]geoMap (15)'!$A:$B,2,0)*VLOOKUP(A51,'[187]geoMap (15)'!$A:$C,3,0)</f>
        <v>109.98925365229856</v>
      </c>
      <c r="R51" s="1">
        <f>Q51/VLOOKUP(A51,'[188]geoMap (16)'!$A:$B,2,0)*VLOOKUP(A51,'[188]geoMap (16)'!$A:$C,3,0)</f>
        <v>101.52854183289098</v>
      </c>
      <c r="S51" s="1">
        <f>R51/VLOOKUP(A51,'[189]geoMap (17)'!$A:$B,2,0)*VLOOKUP(A51,'[189]geoMap (17)'!$A:$C,3,0)</f>
        <v>64.911690680045055</v>
      </c>
      <c r="T51" s="1">
        <f>S51/VLOOKUP(A51,'[190]geoMap (18)'!$A:$B,2,0)*VLOOKUP(A51,'[190]geoMap (18)'!$A:$C,3,0)</f>
        <v>67.56114744249588</v>
      </c>
      <c r="U51" s="1">
        <f>T51/VLOOKUP(A51,'[191]geoMap (19)'!$A:$B,2,0)*VLOOKUP(A51,'[191]geoMap (19)'!$A:$C,3,0)</f>
        <v>39.678769132894402</v>
      </c>
      <c r="V51" s="1">
        <f>U51/VLOOKUP(A51,'[192]geoMap (20)'!$A:$B,2,0)*VLOOKUP(A51,'[192]geoMap (20)'!$A:$C,3,0)</f>
        <v>59.518153699341596</v>
      </c>
      <c r="W51" s="1">
        <f>V51/VLOOKUP(A51,'[193]geoMap (21)'!$A:$B,2,0)*VLOOKUP(A51,'[193]geoMap (21)'!$A:$C,3,0)</f>
        <v>24.310231792688821</v>
      </c>
      <c r="X51" s="1">
        <f>W51/VLOOKUP(A51,'[194]geoMap (22)'!$A:$B,2,0)*VLOOKUP(A51,'[194]geoMap (22)'!$A:$C,3,0)</f>
        <v>19.890189648563577</v>
      </c>
      <c r="Y51" s="1">
        <f>X51/VLOOKUP(A51,'[195]geoMap (23)'!$A:$B,2,0)*VLOOKUP(A51,'[195]geoMap (23)'!$A:$C,3,0)</f>
        <v>15.004879910319891</v>
      </c>
      <c r="Z51" s="1">
        <f>Y51/VLOOKUP(A51,'[196]geoMap (24)'!$A:$B,2,0)*VLOOKUP(A51,'[196]geoMap (24)'!$A:$C,3,0)</f>
        <v>24.481646169469297</v>
      </c>
      <c r="AA51" s="1">
        <f>Z51/VLOOKUP(A51,'[197]geoMap (25)'!$A:$B,2,0)*VLOOKUP(A51,'[197]geoMap (25)'!$A:$C,3,0)</f>
        <v>86.798563691754779</v>
      </c>
    </row>
    <row r="52" spans="1:27" x14ac:dyDescent="0.2">
      <c r="A52" s="1" t="s">
        <v>128</v>
      </c>
      <c r="B52" s="1">
        <f>Notes!$C$6*VLOOKUP('Data_Raw++ (2017)'!A52,[172]geoMap!$A:$B,2,0)</f>
        <v>4000</v>
      </c>
      <c r="C52" s="1">
        <f>B52/VLOOKUP(A52,'[173]geoMap (1)'!$A:$B,2,0)*VLOOKUP(A52,'[173]geoMap (1)'!$A:$C,3,0)</f>
        <v>3547.169811320754</v>
      </c>
      <c r="D52" s="1">
        <f>C52/VLOOKUP(A52,'[174]geoMap (2)'!$A:$B,2,0)*VLOOKUP(A52,'[174]geoMap (2)'!$A:$C,3,0)</f>
        <v>4335.4297693920325</v>
      </c>
      <c r="E52" s="1">
        <f>D52/VLOOKUP(A52,'[175]geoMap (3)'!$A:$B,2,0)*VLOOKUP(A52,'[175]geoMap (3)'!$A:$C,3,0)</f>
        <v>2546.2047851984953</v>
      </c>
      <c r="F52" s="1">
        <f>E52/VLOOKUP(A52,'[176]geoMap (4)'!$A:$B,2,0)*VLOOKUP(A52,'[176]geoMap (4)'!$A:$C,3,0)</f>
        <v>2546.2047851984953</v>
      </c>
      <c r="G52" s="1">
        <f>F52/VLOOKUP(A52,'[177]geoMap (5)'!$A:$B,2,0)*VLOOKUP(A52,'[177]geoMap (5)'!$A:$C,3,0)</f>
        <v>3112.028070798161</v>
      </c>
      <c r="H52" s="1">
        <f>G52/VLOOKUP(A52,'[178]geoMap (6)'!$A:$B,2,0)*VLOOKUP(A52,'[178]geoMap (6)'!$A:$C,3,0)</f>
        <v>2546.2047851984953</v>
      </c>
      <c r="I52" s="1">
        <f>H52/VLOOKUP(A52,'[179]geoMap (7)'!$A:$B,2,0)*VLOOKUP(A52,'[179]geoMap (7)'!$A:$C,3,0)</f>
        <v>848.73492839949847</v>
      </c>
      <c r="J52" s="1">
        <f>I52/VLOOKUP(A52,'[180]geoMap (8)'!$A:$B,2,0)*VLOOKUP(A52,'[180]geoMap (8)'!$A:$C,3,0)</f>
        <v>2077.937238495324</v>
      </c>
      <c r="K52" s="1">
        <f>J52/VLOOKUP(A52,'[181]geoMap (9)'!$A:$B,2,0)*VLOOKUP(A52,'[181]geoMap (9)'!$A:$C,3,0)</f>
        <v>977.85281811544655</v>
      </c>
      <c r="L52" s="1">
        <f>K52/VLOOKUP(A52,'[182]geoMap (10)'!$A:$B,2,0)*VLOOKUP(A52,'[182]geoMap (10)'!$A:$C,3,0)</f>
        <v>325.95093937181554</v>
      </c>
      <c r="M52" s="1">
        <f>L52/VLOOKUP(A52,'[183]geoMap (11)'!$A:$B,2,0)*VLOOKUP(A52,'[183]geoMap (11)'!$A:$C,3,0)</f>
        <v>339.25505934617541</v>
      </c>
      <c r="N52" s="1">
        <f>M52/VLOOKUP(A52,'[184]geoMap (12)'!$A:$B,2,0)*VLOOKUP(A52,'[184]geoMap (12)'!$A:$C,3,0)</f>
        <v>508.88258901926309</v>
      </c>
      <c r="O52" s="1">
        <f>N52/VLOOKUP(A52,'[185]geoMap (13)'!$A:$B,2,0)*VLOOKUP(A52,'[185]geoMap (13)'!$A:$C,3,0)</f>
        <v>274.0137017796032</v>
      </c>
      <c r="P52" s="1">
        <f>O52/VLOOKUP(A52,'[186]geoMap (14)'!$A:$B,2,0)*VLOOKUP(A52,'[186]geoMap (14)'!$A:$C,3,0)</f>
        <v>233.41907929373608</v>
      </c>
      <c r="Q52" s="1">
        <f>P52/VLOOKUP(A52,'[187]geoMap (15)'!$A:$B,2,0)*VLOOKUP(A52,'[187]geoMap (15)'!$A:$C,3,0)</f>
        <v>309.41598883123152</v>
      </c>
      <c r="R52" s="1">
        <f>Q52/VLOOKUP(A52,'[188]geoMap (16)'!$A:$B,2,0)*VLOOKUP(A52,'[188]geoMap (16)'!$A:$C,3,0)</f>
        <v>34.379554314581284</v>
      </c>
      <c r="S52" s="1">
        <f>R52/VLOOKUP(A52,'[189]geoMap (17)'!$A:$B,2,0)*VLOOKUP(A52,'[189]geoMap (17)'!$A:$C,3,0)</f>
        <v>180.49266015155172</v>
      </c>
      <c r="T52" s="1">
        <f>S52/VLOOKUP(A52,'[190]geoMap (18)'!$A:$B,2,0)*VLOOKUP(A52,'[190]geoMap (18)'!$A:$C,3,0)</f>
        <v>66.75755923413557</v>
      </c>
      <c r="U52" s="1">
        <f>T52/VLOOKUP(A52,'[191]geoMap (19)'!$A:$B,2,0)*VLOOKUP(A52,'[191]geoMap (19)'!$A:$C,3,0)</f>
        <v>22.252519744711858</v>
      </c>
      <c r="V52" s="1">
        <f>U52/VLOOKUP(A52,'[192]geoMap (20)'!$A:$B,2,0)*VLOOKUP(A52,'[192]geoMap (20)'!$A:$C,3,0)</f>
        <v>11.982126016383308</v>
      </c>
      <c r="W52" s="1">
        <f>V52/VLOOKUP(A52,'[193]geoMap (21)'!$A:$B,2,0)*VLOOKUP(A52,'[193]geoMap (21)'!$A:$C,3,0)</f>
        <v>27.95829403822772</v>
      </c>
      <c r="X52" s="1">
        <f>W52/VLOOKUP(A52,'[194]geoMap (22)'!$A:$B,2,0)*VLOOKUP(A52,'[194]geoMap (22)'!$A:$C,3,0)</f>
        <v>12.56097268384144</v>
      </c>
      <c r="Y52" s="1">
        <f>X52/VLOOKUP(A52,'[195]geoMap (23)'!$A:$B,2,0)*VLOOKUP(A52,'[195]geoMap (23)'!$A:$C,3,0)</f>
        <v>50.24389073536576</v>
      </c>
      <c r="Z52" s="1">
        <f>Y52/VLOOKUP(A52,'[196]geoMap (24)'!$A:$B,2,0)*VLOOKUP(A52,'[196]geoMap (24)'!$A:$C,3,0)</f>
        <v>16.747963578455252</v>
      </c>
      <c r="AA52" s="1">
        <f>Z52/VLOOKUP(A52,'[197]geoMap (25)'!$A:$B,2,0)*VLOOKUP(A52,'[197]geoMap (25)'!$A:$C,3,0)</f>
        <v>19.66065289644747</v>
      </c>
    </row>
    <row r="53" spans="1:27" x14ac:dyDescent="0.2">
      <c r="A53" s="1" t="s">
        <v>154</v>
      </c>
      <c r="B53" s="1">
        <f>Notes!$C$6*VLOOKUP('Data_Raw++ (2017)'!A53,[172]geoMap!$A:$B,2,0)</f>
        <v>4000</v>
      </c>
      <c r="C53" s="1">
        <f>B53/VLOOKUP(A53,'[173]geoMap (1)'!$A:$B,2,0)*VLOOKUP(A53,'[173]geoMap (1)'!$A:$C,3,0)</f>
        <v>3017.5438596491231</v>
      </c>
      <c r="D53" s="1">
        <f>C53/VLOOKUP(A53,'[174]geoMap (2)'!$A:$B,2,0)*VLOOKUP(A53,'[174]geoMap (2)'!$A:$C,3,0)</f>
        <v>3017.5438596491231</v>
      </c>
      <c r="E53" s="1">
        <f>D53/VLOOKUP(A53,'[175]geoMap (3)'!$A:$B,2,0)*VLOOKUP(A53,'[175]geoMap (3)'!$A:$C,3,0)</f>
        <v>2276.3927362265317</v>
      </c>
      <c r="F53" s="1">
        <f>E53/VLOOKUP(A53,'[176]geoMap (4)'!$A:$B,2,0)*VLOOKUP(A53,'[176]geoMap (4)'!$A:$C,3,0)</f>
        <v>1788.5942927494177</v>
      </c>
      <c r="G53" s="1">
        <f>F53/VLOOKUP(A53,'[177]geoMap (5)'!$A:$B,2,0)*VLOOKUP(A53,'[177]geoMap (5)'!$A:$C,3,0)</f>
        <v>1523.6173604902447</v>
      </c>
      <c r="H53" s="1">
        <f>G53/VLOOKUP(A53,'[178]geoMap (6)'!$A:$B,2,0)*VLOOKUP(A53,'[178]geoMap (6)'!$A:$C,3,0)</f>
        <v>1246.5960222192909</v>
      </c>
      <c r="I53" s="1">
        <f>H53/VLOOKUP(A53,'[179]geoMap (7)'!$A:$B,2,0)*VLOOKUP(A53,'[179]geoMap (7)'!$A:$C,3,0)</f>
        <v>586.63342222084282</v>
      </c>
      <c r="J53" s="1">
        <f>I53/VLOOKUP(A53,'[180]geoMap (8)'!$A:$B,2,0)*VLOOKUP(A53,'[180]geoMap (8)'!$A:$C,3,0)</f>
        <v>810.11282116211623</v>
      </c>
      <c r="K53" s="1">
        <f>J53/VLOOKUP(A53,'[181]geoMap (9)'!$A:$B,2,0)*VLOOKUP(A53,'[181]geoMap (9)'!$A:$C,3,0)</f>
        <v>436.21459601037026</v>
      </c>
      <c r="L53" s="1">
        <f>K53/VLOOKUP(A53,'[182]geoMap (10)'!$A:$B,2,0)*VLOOKUP(A53,'[182]geoMap (10)'!$A:$C,3,0)</f>
        <v>224.71661006594832</v>
      </c>
      <c r="M53" s="1">
        <f>L53/VLOOKUP(A53,'[183]geoMap (11)'!$A:$B,2,0)*VLOOKUP(A53,'[183]geoMap (11)'!$A:$C,3,0)</f>
        <v>417.33084726533264</v>
      </c>
      <c r="N53" s="1">
        <f>M53/VLOOKUP(A53,'[184]geoMap (12)'!$A:$B,2,0)*VLOOKUP(A53,'[184]geoMap (12)'!$A:$C,3,0)</f>
        <v>255.78342251746196</v>
      </c>
      <c r="O53" s="1">
        <f>N53/VLOOKUP(A53,'[185]geoMap (13)'!$A:$B,2,0)*VLOOKUP(A53,'[185]geoMap (13)'!$A:$C,3,0)</f>
        <v>217.88958214450463</v>
      </c>
      <c r="P53" s="1">
        <f>O53/VLOOKUP(A53,'[186]geoMap (14)'!$A:$B,2,0)*VLOOKUP(A53,'[186]geoMap (14)'!$A:$C,3,0)</f>
        <v>157.78211120808956</v>
      </c>
      <c r="Q53" s="1">
        <f>P53/VLOOKUP(A53,'[187]geoMap (15)'!$A:$B,2,0)*VLOOKUP(A53,'[187]geoMap (15)'!$A:$C,3,0)</f>
        <v>164.22219737984832</v>
      </c>
      <c r="R53" s="1">
        <f>Q53/VLOOKUP(A53,'[188]geoMap (16)'!$A:$B,2,0)*VLOOKUP(A53,'[188]geoMap (16)'!$A:$C,3,0)</f>
        <v>70.380941734220713</v>
      </c>
      <c r="S53" s="1">
        <f>R53/VLOOKUP(A53,'[189]geoMap (17)'!$A:$B,2,0)*VLOOKUP(A53,'[189]geoMap (17)'!$A:$C,3,0)</f>
        <v>101.2798917638786</v>
      </c>
      <c r="T53" s="1">
        <f>S53/VLOOKUP(A53,'[190]geoMap (18)'!$A:$B,2,0)*VLOOKUP(A53,'[190]geoMap (18)'!$A:$C,3,0)</f>
        <v>67.51992784258573</v>
      </c>
      <c r="U53" s="1">
        <f>T53/VLOOKUP(A53,'[191]geoMap (19)'!$A:$B,2,0)*VLOOKUP(A53,'[191]geoMap (19)'!$A:$C,3,0)</f>
        <v>37.979959411454473</v>
      </c>
      <c r="V53" s="1">
        <f>T53/86*14</f>
        <v>10.991616160420932</v>
      </c>
      <c r="W53" s="1">
        <f>V53/VLOOKUP(A53,'[193]geoMap (21)'!$A:$B,2,0)*VLOOKUP(A53,'[193]geoMap (21)'!$A:$C,3,0)</f>
        <v>22.316311598430378</v>
      </c>
      <c r="X53" s="1">
        <f>W53/VLOOKUP(A53,'[194]geoMap (22)'!$A:$B,2,0)*VLOOKUP(A53,'[194]geoMap (22)'!$A:$C,3,0)</f>
        <v>20.599672244704966</v>
      </c>
      <c r="Y53" s="1">
        <f>X53/VLOOKUP(A53,'[195]geoMap (23)'!$A:$B,2,0)*VLOOKUP(A53,'[195]geoMap (23)'!$A:$C,3,0)</f>
        <v>27.306542277864722</v>
      </c>
      <c r="Z53" s="1">
        <f>Y53/VLOOKUP(A53,'[196]geoMap (24)'!$A:$B,2,0)*VLOOKUP(A53,'[196]geoMap (24)'!$A:$C,3,0)</f>
        <v>36.19704441484393</v>
      </c>
      <c r="AA53" s="1">
        <f>Z53/VLOOKUP(A53,'[197]geoMap (25)'!$A:$B,2,0)*VLOOKUP(A53,'[197]geoMap (25)'!$A:$C,3,0)</f>
        <v>21.258581640463895</v>
      </c>
    </row>
    <row r="54" spans="1:27" x14ac:dyDescent="0.2">
      <c r="A54" s="1" t="s">
        <v>147</v>
      </c>
      <c r="B54" s="1">
        <f>Notes!$C$6*VLOOKUP('Data_Raw++ (2017)'!A54,[172]geoMap!$A:$B,2,0)</f>
        <v>3000</v>
      </c>
      <c r="C54" s="1">
        <f>B54/VLOOKUP(A54,'[173]geoMap (1)'!$A:$B,2,0)*VLOOKUP(A54,'[173]geoMap (1)'!$A:$C,3,0)</f>
        <v>1761.9047619047617</v>
      </c>
      <c r="D54" s="1">
        <f>C54/VLOOKUP(A54,'[174]geoMap (2)'!$A:$B,2,0)*VLOOKUP(A54,'[174]geoMap (2)'!$A:$C,3,0)</f>
        <v>2535.4239256678279</v>
      </c>
      <c r="E54" s="1">
        <f>D54/VLOOKUP(A54,'[175]geoMap (3)'!$A:$B,2,0)*VLOOKUP(A54,'[175]geoMap (3)'!$A:$C,3,0)</f>
        <v>3360.9107851875856</v>
      </c>
      <c r="F54" s="1">
        <f>E54/VLOOKUP(A54,'[176]geoMap (4)'!$A:$B,2,0)*VLOOKUP(A54,'[176]geoMap (4)'!$A:$C,3,0)</f>
        <v>2535.4239256678279</v>
      </c>
      <c r="G54" s="1">
        <f>F54/VLOOKUP(A54,'[177]geoMap (5)'!$A:$B,2,0)*VLOOKUP(A54,'[177]geoMap (5)'!$A:$C,3,0)</f>
        <v>1489.0584960271372</v>
      </c>
      <c r="H54" s="1">
        <f>G54/VLOOKUP(A54,'[178]geoMap (6)'!$A:$B,2,0)*VLOOKUP(A54,'[178]geoMap (6)'!$A:$C,3,0)</f>
        <v>733.4168711775452</v>
      </c>
      <c r="I54" s="1">
        <f>H54/VLOOKUP(A54,'[179]geoMap (7)'!$A:$B,2,0)*VLOOKUP(A54,'[179]geoMap (7)'!$A:$C,3,0)</f>
        <v>430.73689259633608</v>
      </c>
      <c r="J54" s="1">
        <f>I54/VLOOKUP(A54,'[180]geoMap (8)'!$A:$B,2,0)*VLOOKUP(A54,'[180]geoMap (8)'!$A:$C,3,0)</f>
        <v>836.13632092229932</v>
      </c>
      <c r="K54" s="1">
        <f>J54/VLOOKUP(A54,'[181]geoMap (9)'!$A:$B,2,0)*VLOOKUP(A54,'[181]geoMap (9)'!$A:$C,3,0)</f>
        <v>684.11153530006311</v>
      </c>
      <c r="L54" s="1">
        <f>K54/VLOOKUP(A54,'[182]geoMap (10)'!$A:$B,2,0)*VLOOKUP(A54,'[182]geoMap (10)'!$A:$C,3,0)</f>
        <v>307.35445788843418</v>
      </c>
      <c r="M54" s="1">
        <f>L54/VLOOKUP(A54,'[183]geoMap (11)'!$A:$B,2,0)*VLOOKUP(A54,'[183]geoMap (11)'!$A:$C,3,0)</f>
        <v>375.65544853030849</v>
      </c>
      <c r="N54" s="1">
        <f>M54/VLOOKUP(A54,'[184]geoMap (12)'!$A:$B,2,0)*VLOOKUP(A54,'[184]geoMap (12)'!$A:$C,3,0)</f>
        <v>185.02432539552507</v>
      </c>
      <c r="O54" s="1">
        <f>N54/VLOOKUP(A54,'[185]geoMap (13)'!$A:$B,2,0)*VLOOKUP(A54,'[185]geoMap (13)'!$A:$C,3,0)</f>
        <v>266.25451703258489</v>
      </c>
      <c r="P54" s="1">
        <f>O54/VLOOKUP(A54,'[186]geoMap (14)'!$A:$B,2,0)*VLOOKUP(A54,'[186]geoMap (14)'!$A:$C,3,0)</f>
        <v>192.80499509256148</v>
      </c>
      <c r="Q54" s="1">
        <f>P54/VLOOKUP(A54,'[187]geoMap (15)'!$A:$B,2,0)*VLOOKUP(A54,'[187]geoMap (15)'!$A:$C,3,0)</f>
        <v>99.323785350713479</v>
      </c>
      <c r="R54" s="1">
        <f>Q54/VLOOKUP(A54,'[188]geoMap (16)'!$A:$B,2,0)*VLOOKUP(A54,'[188]geoMap (16)'!$A:$C,3,0)</f>
        <v>53.482038265768786</v>
      </c>
      <c r="S54" s="1">
        <f>R54/VLOOKUP(A54,'[189]geoMap (17)'!$A:$B,2,0)*VLOOKUP(A54,'[189]geoMap (17)'!$A:$C,3,0)</f>
        <v>80.223057398653168</v>
      </c>
      <c r="T54" s="1">
        <f>S54/VLOOKUP(A54,'[190]geoMap (18)'!$A:$B,2,0)*VLOOKUP(A54,'[190]geoMap (18)'!$A:$C,3,0)</f>
        <v>28.186479626553819</v>
      </c>
      <c r="U54" s="1">
        <f>T54/VLOOKUP(A54,'[191]geoMap (19)'!$A:$B,2,0)*VLOOKUP(A54,'[191]geoMap (19)'!$A:$C,3,0)</f>
        <v>17.275584287242665</v>
      </c>
      <c r="V54" s="1">
        <f>U54/VLOOKUP(A54,'[192]geoMap (20)'!$A:$B,2,0)*VLOOKUP(A54,'[192]geoMap (20)'!$A:$C,3,0)</f>
        <v>49.168970663690658</v>
      </c>
      <c r="W54" s="1">
        <f>V54/VLOOKUP(A54,'[193]geoMap (21)'!$A:$B,2,0)*VLOOKUP(A54,'[193]geoMap (21)'!$A:$C,3,0)</f>
        <v>14.686835393050456</v>
      </c>
      <c r="X54" s="1">
        <f>W54/VLOOKUP(A54,'[194]geoMap (22)'!$A:$B,2,0)*VLOOKUP(A54,'[194]geoMap (22)'!$A:$C,3,0)</f>
        <v>29.818726404072141</v>
      </c>
      <c r="Y54" s="1">
        <f>X54/VLOOKUP(A54,'[195]geoMap (23)'!$A:$B,2,0)*VLOOKUP(A54,'[195]geoMap (23)'!$A:$C,3,0)</f>
        <v>21.592870844328104</v>
      </c>
      <c r="Z54" s="1">
        <f>Y54/VLOOKUP(A54,'[196]geoMap (24)'!$A:$B,2,0)*VLOOKUP(A54,'[196]geoMap (24)'!$A:$C,3,0)</f>
        <v>25.34815273029821</v>
      </c>
      <c r="AA54" s="1">
        <f>Z54/VLOOKUP(A54,'[197]geoMap (25)'!$A:$B,2,0)*VLOOKUP(A54,'[197]geoMap (25)'!$A:$C,3,0)</f>
        <v>7.1494789752123147</v>
      </c>
    </row>
    <row r="55" spans="1:27" x14ac:dyDescent="0.2">
      <c r="A55" s="1" t="s">
        <v>150</v>
      </c>
      <c r="B55" s="1">
        <f>Notes!$C$6*VLOOKUP('Data_Raw++ (2017)'!A55,[172]geoMap!$A:$B,2,0)</f>
        <v>4000</v>
      </c>
      <c r="C55" s="1">
        <f>B55/VLOOKUP(A55,'[173]geoMap (1)'!$A:$B,2,0)*VLOOKUP(A55,'[173]geoMap (1)'!$A:$C,3,0)</f>
        <v>1797.1014492753625</v>
      </c>
      <c r="D55" s="1">
        <f>C55/VLOOKUP(A55,'[174]geoMap (2)'!$A:$B,2,0)*VLOOKUP(A55,'[174]geoMap (2)'!$A:$C,3,0)</f>
        <v>2932.1128909229597</v>
      </c>
      <c r="E55" s="1">
        <f>D55/VLOOKUP(A55,'[175]geoMap (3)'!$A:$B,2,0)*VLOOKUP(A55,'[175]geoMap (3)'!$A:$C,3,0)</f>
        <v>3306.4251748705715</v>
      </c>
      <c r="F55" s="1">
        <f>E55/VLOOKUP(A55,'[176]geoMap (4)'!$A:$B,2,0)*VLOOKUP(A55,'[176]geoMap (4)'!$A:$C,3,0)</f>
        <v>3441.3813044571257</v>
      </c>
      <c r="G55" s="1">
        <f>F55/VLOOKUP(A55,'[177]geoMap (5)'!$A:$B,2,0)*VLOOKUP(A55,'[177]geoMap (5)'!$A:$C,3,0)</f>
        <v>1853.0514716307596</v>
      </c>
      <c r="H55" s="1">
        <f>G55/VLOOKUP(A55,'[178]geoMap (6)'!$A:$B,2,0)*VLOOKUP(A55,'[178]geoMap (6)'!$A:$C,3,0)</f>
        <v>1578.5253276854619</v>
      </c>
      <c r="I55" s="1">
        <f>H55/VLOOKUP(A55,'[179]geoMap (7)'!$A:$B,2,0)*VLOOKUP(A55,'[179]geoMap (7)'!$A:$C,3,0)</f>
        <v>644.74978173068155</v>
      </c>
      <c r="J55" s="1">
        <f>I55/VLOOKUP(A55,'[180]geoMap (8)'!$A:$B,2,0)*VLOOKUP(A55,'[180]geoMap (8)'!$A:$C,3,0)</f>
        <v>927.81066151488312</v>
      </c>
      <c r="K55" s="1">
        <f>J55/VLOOKUP(A55,'[181]geoMap (9)'!$A:$B,2,0)*VLOOKUP(A55,'[181]geoMap (9)'!$A:$C,3,0)</f>
        <v>927.81066151488312</v>
      </c>
      <c r="L55" s="1">
        <f>K55/VLOOKUP(A55,'[182]geoMap (10)'!$A:$B,2,0)*VLOOKUP(A55,'[182]geoMap (10)'!$A:$C,3,0)</f>
        <v>456.98137059688275</v>
      </c>
      <c r="M55" s="1">
        <f>L55/VLOOKUP(A55,'[183]geoMap (11)'!$A:$B,2,0)*VLOOKUP(A55,'[183]geoMap (11)'!$A:$C,3,0)</f>
        <v>421.82895747404558</v>
      </c>
      <c r="N55" s="1">
        <f>M55/VLOOKUP(A55,'[184]geoMap (12)'!$A:$B,2,0)*VLOOKUP(A55,'[184]geoMap (12)'!$A:$C,3,0)</f>
        <v>198.50774469366851</v>
      </c>
      <c r="O55" s="1">
        <f>N55/VLOOKUP(A55,'[185]geoMap (13)'!$A:$B,2,0)*VLOOKUP(A55,'[185]geoMap (13)'!$A:$C,3,0)</f>
        <v>285.65748626649861</v>
      </c>
      <c r="P55" s="1">
        <f>O55/VLOOKUP(A55,'[186]geoMap (14)'!$A:$B,2,0)*VLOOKUP(A55,'[186]geoMap (14)'!$A:$C,3,0)</f>
        <v>274.45523190310655</v>
      </c>
      <c r="Q55" s="1">
        <f>P55/VLOOKUP(A55,'[187]geoMap (15)'!$A:$B,2,0)*VLOOKUP(A55,'[187]geoMap (15)'!$A:$C,3,0)</f>
        <v>198.74344379190475</v>
      </c>
      <c r="R55" s="1">
        <f>Q55/VLOOKUP(A55,'[188]geoMap (16)'!$A:$B,2,0)*VLOOKUP(A55,'[188]geoMap (16)'!$A:$C,3,0)</f>
        <v>85.175761625102041</v>
      </c>
      <c r="S55" s="1">
        <f>R55/VLOOKUP(A55,'[189]geoMap (17)'!$A:$B,2,0)*VLOOKUP(A55,'[189]geoMap (17)'!$A:$C,3,0)</f>
        <v>117.6236708156171</v>
      </c>
      <c r="T55" s="1">
        <f>S55/VLOOKUP(A55,'[190]geoMap (18)'!$A:$B,2,0)*VLOOKUP(A55,'[190]geoMap (18)'!$A:$C,3,0)</f>
        <v>37.144317099668555</v>
      </c>
      <c r="U55" s="1">
        <f>T55/VLOOKUP(A55,'[191]geoMap (19)'!$A:$B,2,0)*VLOOKUP(A55,'[191]geoMap (19)'!$A:$C,3,0)</f>
        <v>51.294533137637522</v>
      </c>
      <c r="V55" s="1">
        <f>U55/VLOOKUP(A55,'[192]geoMap (20)'!$A:$B,2,0)*VLOOKUP(A55,'[192]geoMap (20)'!$A:$C,3,0)</f>
        <v>51.294533137637522</v>
      </c>
      <c r="W55" s="1">
        <f>V55/VLOOKUP(A55,'[193]geoMap (21)'!$A:$B,2,0)*VLOOKUP(A55,'[193]geoMap (21)'!$A:$C,3,0)</f>
        <v>24.13860382947648</v>
      </c>
      <c r="X55" s="1">
        <f>W55/VLOOKUP(A55,'[194]geoMap (22)'!$A:$B,2,0)*VLOOKUP(A55,'[194]geoMap (22)'!$A:$C,3,0)</f>
        <v>39.384037827040572</v>
      </c>
      <c r="Y55" s="1">
        <f>X55/VLOOKUP(A55,'[195]geoMap (23)'!$A:$B,2,0)*VLOOKUP(A55,'[195]geoMap (23)'!$A:$C,3,0)</f>
        <v>54.387480808770313</v>
      </c>
      <c r="Z55" s="1">
        <f>Y55/VLOOKUP(A55,'[196]geoMap (24)'!$A:$B,2,0)*VLOOKUP(A55,'[196]geoMap (24)'!$A:$C,3,0)</f>
        <v>24.434955145969273</v>
      </c>
      <c r="AA55" s="1">
        <f>Z55/VLOOKUP(A55,'[197]geoMap (25)'!$A:$B,2,0)*VLOOKUP(A55,'[197]geoMap (25)'!$A:$C,3,0)</f>
        <v>17.694277864322579</v>
      </c>
    </row>
    <row r="56" spans="1:27" x14ac:dyDescent="0.2">
      <c r="A56" s="1" t="s">
        <v>153</v>
      </c>
      <c r="B56" s="1">
        <f>Notes!$C$6*VLOOKUP('Data_Raw++ (2017)'!A56,[172]geoMap!$A:$B,2,0)</f>
        <v>4000</v>
      </c>
      <c r="C56" s="1">
        <f>B56/VLOOKUP(A56,'[173]geoMap (1)'!$A:$B,2,0)*VLOOKUP(A56,'[173]geoMap (1)'!$A:$C,3,0)</f>
        <v>1797.1014492753625</v>
      </c>
      <c r="D56" s="1">
        <f>C56/VLOOKUP(A56,'[174]geoMap (2)'!$A:$B,2,0)*VLOOKUP(A56,'[174]geoMap (2)'!$A:$C,3,0)</f>
        <v>1946.8599033816427</v>
      </c>
      <c r="E56" s="1">
        <f>D56/VLOOKUP(A56,'[175]geoMap (3)'!$A:$B,2,0)*VLOOKUP(A56,'[175]geoMap (3)'!$A:$C,3,0)</f>
        <v>2688.5208189556015</v>
      </c>
      <c r="F56" s="1">
        <f>E56/VLOOKUP(A56,'[176]geoMap (4)'!$A:$B,2,0)*VLOOKUP(A56,'[176]geoMap (4)'!$A:$C,3,0)</f>
        <v>1792.347212637068</v>
      </c>
      <c r="G56" s="1">
        <f>F56/VLOOKUP(A56,'[177]geoMap (5)'!$A:$B,2,0)*VLOOKUP(A56,'[177]geoMap (5)'!$A:$C,3,0)</f>
        <v>1352.1215814630514</v>
      </c>
      <c r="H56" s="1">
        <f>G56/VLOOKUP(A56,'[178]geoMap (6)'!$A:$B,2,0)*VLOOKUP(A56,'[178]geoMap (6)'!$A:$C,3,0)</f>
        <v>2028.1823721945771</v>
      </c>
      <c r="I56" s="1">
        <f>H56/VLOOKUP(A56,'[179]geoMap (7)'!$A:$B,2,0)*VLOOKUP(A56,'[179]geoMap (7)'!$A:$C,3,0)</f>
        <v>303.06173377620115</v>
      </c>
      <c r="J56" s="1">
        <f>I56/VLOOKUP(A56,'[180]geoMap (8)'!$A:$B,2,0)*VLOOKUP(A56,'[180]geoMap (8)'!$A:$C,3,0)</f>
        <v>494.4691445822229</v>
      </c>
      <c r="K56" s="1">
        <f>J56/VLOOKUP(A56,'[181]geoMap (9)'!$A:$B,2,0)*VLOOKUP(A56,'[181]geoMap (9)'!$A:$C,3,0)</f>
        <v>494.4691445822229</v>
      </c>
      <c r="L56" s="1">
        <f>K56/VLOOKUP(A56,'[182]geoMap (10)'!$A:$B,2,0)*VLOOKUP(A56,'[182]geoMap (10)'!$A:$C,3,0)</f>
        <v>131.44116501552759</v>
      </c>
      <c r="M56" s="1">
        <f>L56/VLOOKUP(A56,'[183]geoMap (11)'!$A:$B,2,0)*VLOOKUP(A56,'[183]geoMap (11)'!$A:$C,3,0)</f>
        <v>466.01867596414326</v>
      </c>
      <c r="N56" s="1">
        <f>M56/VLOOKUP(A56,'[184]geoMap (12)'!$A:$B,2,0)*VLOOKUP(A56,'[184]geoMap (12)'!$A:$C,3,0)</f>
        <v>163.73629155496926</v>
      </c>
      <c r="O56" s="1">
        <f>N56/VLOOKUP(A56,'[185]geoMap (13)'!$A:$B,2,0)*VLOOKUP(A56,'[185]geoMap (13)'!$A:$C,3,0)</f>
        <v>200.12213412274022</v>
      </c>
      <c r="P56" s="1">
        <f>O56/VLOOKUP(A56,'[186]geoMap (14)'!$A:$B,2,0)*VLOOKUP(A56,'[186]geoMap (14)'!$A:$C,3,0)</f>
        <v>56.444704496157492</v>
      </c>
      <c r="Q56" s="1">
        <f>P56/VLOOKUP(A56,'[187]geoMap (15)'!$A:$B,2,0)*VLOOKUP(A56,'[187]geoMap (15)'!$A:$C,3,0)</f>
        <v>346.73175619068166</v>
      </c>
      <c r="R56" s="1">
        <f>Q56/VLOOKUP(A56,'[188]geoMap (16)'!$A:$B,2,0)*VLOOKUP(A56,'[188]geoMap (16)'!$A:$C,3,0)</f>
        <v>155.77803539001641</v>
      </c>
      <c r="S56" s="1">
        <f>R56/VLOOKUP(A56,'[189]geoMap (17)'!$A:$B,2,0)*VLOOKUP(A56,'[189]geoMap (17)'!$A:$C,3,0)</f>
        <v>276.93872958225143</v>
      </c>
      <c r="T56" s="1">
        <f>S56/VLOOKUP(A56,'[190]geoMap (18)'!$A:$B,2,0)*VLOOKUP(A56,'[190]geoMap (18)'!$A:$C,3,0)</f>
        <v>30.770969953583489</v>
      </c>
      <c r="U56" s="1">
        <f>T56/VLOOKUP(A56,'[191]geoMap (19)'!$A:$B,2,0)*VLOOKUP(A56,'[191]geoMap (19)'!$A:$C,3,0)</f>
        <v>42.493244221615292</v>
      </c>
      <c r="V56" s="1">
        <f>U56/VLOOKUP(A56,'[192]geoMap (20)'!$A:$B,2,0)*VLOOKUP(A56,'[192]geoMap (20)'!$A:$C,3,0)</f>
        <v>9.3277853169399432</v>
      </c>
      <c r="W56" s="1">
        <f>V56/VLOOKUP(A56,'[193]geoMap (21)'!$A:$B,2,0)*VLOOKUP(A56,'[193]geoMap (21)'!$A:$C,3,0)</f>
        <v>7.9458911959118037</v>
      </c>
      <c r="X56" s="1">
        <f>W56/VLOOKUP(A56,'[194]geoMap (22)'!$A:$B,2,0)*VLOOKUP(A56,'[194]geoMap (22)'!$A:$C,3,0)</f>
        <v>17.686015887674657</v>
      </c>
      <c r="Y56" s="1">
        <f>X56/VLOOKUP(A56,'[195]geoMap (23)'!$A:$B,2,0)*VLOOKUP(A56,'[195]geoMap (23)'!$A:$C,3,0)</f>
        <v>23.444253618545474</v>
      </c>
      <c r="Z56" s="1">
        <f>Y56/VLOOKUP(A56,'[196]geoMap (24)'!$A:$B,2,0)*VLOOKUP(A56,'[196]geoMap (24)'!$A:$C,3,0)</f>
        <v>36.669217198237789</v>
      </c>
      <c r="AA56" s="1">
        <f>Z56/VLOOKUP(A56,'[197]geoMap (25)'!$A:$B,2,0)*VLOOKUP(A56,'[197]geoMap (25)'!$A:$C,3,0)</f>
        <v>8.6014213181051602</v>
      </c>
    </row>
    <row r="57" spans="1:27" x14ac:dyDescent="0.2">
      <c r="A57" s="1" t="s">
        <v>129</v>
      </c>
      <c r="B57" s="1">
        <f>Notes!$C$6*VLOOKUP('Data_Raw++ (2017)'!A57,[172]geoMap!$A:$B,2,0)</f>
        <v>4000</v>
      </c>
      <c r="C57" s="1">
        <f>B57/VLOOKUP(A57,'[173]geoMap (1)'!$A:$B,2,0)*VLOOKUP(A57,'[173]geoMap (1)'!$A:$C,3,0)</f>
        <v>1405.4054054054056</v>
      </c>
      <c r="D57" s="1">
        <f>C57/VLOOKUP(A57,'[174]geoMap (2)'!$A:$B,2,0)*VLOOKUP(A57,'[174]geoMap (2)'!$A:$C,3,0)</f>
        <v>2293.0298719772409</v>
      </c>
      <c r="E57" s="1">
        <f>D57/VLOOKUP(A57,'[175]geoMap (3)'!$A:$B,2,0)*VLOOKUP(A57,'[175]geoMap (3)'!$A:$C,3,0)</f>
        <v>1660.469907293864</v>
      </c>
      <c r="F57" s="1">
        <f>E57/VLOOKUP(A57,'[176]geoMap (4)'!$A:$B,2,0)*VLOOKUP(A57,'[176]geoMap (4)'!$A:$C,3,0)</f>
        <v>2113.3253365558271</v>
      </c>
      <c r="G57" s="1">
        <f>F57/VLOOKUP(A57,'[177]geoMap (5)'!$A:$B,2,0)*VLOOKUP(A57,'[177]geoMap (5)'!$A:$C,3,0)</f>
        <v>1660.469907293864</v>
      </c>
      <c r="H57" s="1">
        <f>G57/VLOOKUP(A57,'[178]geoMap (6)'!$A:$B,2,0)*VLOOKUP(A57,'[178]geoMap (6)'!$A:$C,3,0)</f>
        <v>1660.469907293864</v>
      </c>
      <c r="I57" s="1">
        <f>H57/VLOOKUP(A57,'[179]geoMap (7)'!$A:$B,2,0)*VLOOKUP(A57,'[179]geoMap (7)'!$A:$C,3,0)</f>
        <v>389.49294121707925</v>
      </c>
      <c r="J57" s="1">
        <f>I57/VLOOKUP(A57,'[180]geoMap (8)'!$A:$B,2,0)*VLOOKUP(A57,'[180]geoMap (8)'!$A:$C,3,0)</f>
        <v>1901.642007118681</v>
      </c>
      <c r="K57" s="1">
        <f>J57/VLOOKUP(A57,'[181]geoMap (9)'!$A:$B,2,0)*VLOOKUP(A57,'[181]geoMap (9)'!$A:$C,3,0)</f>
        <v>600.51852856379389</v>
      </c>
      <c r="L57" s="1">
        <f>K57/VLOOKUP(A57,'[182]geoMap (10)'!$A:$B,2,0)*VLOOKUP(A57,'[182]geoMap (10)'!$A:$C,3,0)</f>
        <v>245.28221589225384</v>
      </c>
      <c r="M57" s="1">
        <f>L57/VLOOKUP(A57,'[183]geoMap (11)'!$A:$B,2,0)*VLOOKUP(A57,'[183]geoMap (11)'!$A:$C,3,0)</f>
        <v>200.68544936638949</v>
      </c>
      <c r="N57" s="1">
        <f>M57/VLOOKUP(A57,'[184]geoMap (12)'!$A:$B,2,0)*VLOOKUP(A57,'[184]geoMap (12)'!$A:$C,3,0)</f>
        <v>170.95427168247991</v>
      </c>
      <c r="O57" s="1">
        <f>N57/VLOOKUP(A57,'[185]geoMap (13)'!$A:$B,2,0)*VLOOKUP(A57,'[185]geoMap (13)'!$A:$C,3,0)</f>
        <v>185.20046098935327</v>
      </c>
      <c r="P57" s="1">
        <f>O57/VLOOKUP(A57,'[186]geoMap (14)'!$A:$B,2,0)*VLOOKUP(A57,'[186]geoMap (14)'!$A:$C,3,0)</f>
        <v>208.84307303054734</v>
      </c>
      <c r="Q57" s="1">
        <f>P57/VLOOKUP(A57,'[187]geoMap (15)'!$A:$B,2,0)*VLOOKUP(A57,'[187]geoMap (15)'!$A:$C,3,0)</f>
        <v>122.65386828778176</v>
      </c>
      <c r="R57" s="1">
        <f>Q57/47*11</f>
        <v>28.706224492885092</v>
      </c>
      <c r="S57" s="1">
        <f>Q57/VLOOKUP(A57,'[202]geoMap (32)'!$A:$B,2,0)*VLOOKUP(A57,'[202]geoMap (32)'!$A:$C,3,0)</f>
        <v>122.65386828778176</v>
      </c>
      <c r="T57" s="1">
        <f>S57/VLOOKUP(A57,'[190]geoMap (18)'!$A:$B,2,0)*VLOOKUP(A57,'[190]geoMap (18)'!$A:$C,3,0)</f>
        <v>43.094602371382784</v>
      </c>
      <c r="U57" s="1">
        <f>T57/39*20</f>
        <v>22.099796087888606</v>
      </c>
      <c r="V57" s="1">
        <f>T57/39*17</f>
        <v>18.784826674705318</v>
      </c>
      <c r="W57" s="1">
        <f>V57/17*12</f>
        <v>13.259877652733165</v>
      </c>
      <c r="X57" s="1">
        <f>W57/7*0</f>
        <v>0</v>
      </c>
      <c r="Y57" s="1">
        <f>V57/21*26</f>
        <v>23.257404454397061</v>
      </c>
      <c r="Z57" s="1">
        <f>Y57/26*11</f>
        <v>9.839671115321833</v>
      </c>
      <c r="AA57" s="1">
        <f>Y57/58*42</f>
        <v>16.841568742839254</v>
      </c>
    </row>
    <row r="58" spans="1:27" x14ac:dyDescent="0.2">
      <c r="A58" s="1" t="s">
        <v>144</v>
      </c>
      <c r="B58" s="1">
        <f>Notes!$C$6*VLOOKUP('Data_Raw++ (2017)'!A58,[172]geoMap!$A:$B,2,0)</f>
        <v>5000</v>
      </c>
      <c r="C58" s="1">
        <f>B58/VLOOKUP(A58,'[173]geoMap (1)'!$A:$B,2,0)*VLOOKUP(A58,'[173]geoMap (1)'!$A:$C,3,0)</f>
        <v>1578.9473684210525</v>
      </c>
      <c r="D58" s="1">
        <f>C58/VLOOKUP(A58,'[174]geoMap (2)'!$A:$B,2,0)*VLOOKUP(A58,'[174]geoMap (2)'!$A:$C,3,0)</f>
        <v>2576.1772853185594</v>
      </c>
      <c r="E58" s="1">
        <f>D58/VLOOKUP(A58,'[175]geoMap (3)'!$A:$B,2,0)*VLOOKUP(A58,'[175]geoMap (3)'!$A:$C,3,0)</f>
        <v>2194.5213911972915</v>
      </c>
      <c r="F58" s="1">
        <f>E58/VLOOKUP(A58,'[176]geoMap (4)'!$A:$B,2,0)*VLOOKUP(A58,'[176]geoMap (4)'!$A:$C,3,0)</f>
        <v>1795.5175018886928</v>
      </c>
      <c r="G58" s="1">
        <f>F58/VLOOKUP(A58,'[177]geoMap (5)'!$A:$B,2,0)*VLOOKUP(A58,'[177]geoMap (5)'!$A:$C,3,0)</f>
        <v>1197.0116679257951</v>
      </c>
      <c r="H58" s="1">
        <f>G58/VLOOKUP(A58,'[178]geoMap (6)'!$A:$B,2,0)*VLOOKUP(A58,'[178]geoMap (6)'!$A:$C,3,0)</f>
        <v>733.65231259968095</v>
      </c>
      <c r="I58" s="1">
        <f>H58/VLOOKUP(A58,'[179]geoMap (7)'!$A:$B,2,0)*VLOOKUP(A58,'[179]geoMap (7)'!$A:$C,3,0)</f>
        <v>489.10154173312071</v>
      </c>
      <c r="J58" s="1">
        <f>I58/VLOOKUP(A58,'[180]geoMap (8)'!$A:$B,2,0)*VLOOKUP(A58,'[180]geoMap (8)'!$A:$C,3,0)</f>
        <v>1039.3407761828814</v>
      </c>
      <c r="K58" s="1">
        <f>J58/VLOOKUP(A58,'[181]geoMap (9)'!$A:$B,2,0)*VLOOKUP(A58,'[181]geoMap (9)'!$A:$C,3,0)</f>
        <v>1081.762848680142</v>
      </c>
      <c r="L58" s="1">
        <f>K58/VLOOKUP(A58,'[182]geoMap (10)'!$A:$B,2,0)*VLOOKUP(A58,'[182]geoMap (10)'!$A:$C,3,0)</f>
        <v>221.56588466942674</v>
      </c>
      <c r="M58" s="1">
        <f>L58/VLOOKUP(A58,'[183]geoMap (11)'!$A:$B,2,0)*VLOOKUP(A58,'[183]geoMap (11)'!$A:$C,3,0)</f>
        <v>141.65687708373184</v>
      </c>
      <c r="N58" s="1">
        <f>M58/VLOOKUP(A58,'[184]geoMap (12)'!$A:$B,2,0)*VLOOKUP(A58,'[184]geoMap (12)'!$A:$C,3,0)</f>
        <v>212.48531562559776</v>
      </c>
      <c r="O58" s="1">
        <f>N58/VLOOKUP(A58,'[185]geoMap (13)'!$A:$B,2,0)*VLOOKUP(A58,'[185]geoMap (13)'!$A:$C,3,0)</f>
        <v>305.77155175390897</v>
      </c>
      <c r="P58" s="1">
        <f>O58/VLOOKUP(A58,'[186]geoMap (14)'!$A:$B,2,0)*VLOOKUP(A58,'[186]geoMap (14)'!$A:$C,3,0)</f>
        <v>567.86145325725954</v>
      </c>
      <c r="Q58" s="1">
        <f>P58/VLOOKUP(A58,'[187]geoMap (15)'!$A:$B,2,0)*VLOOKUP(A58,'[187]geoMap (15)'!$A:$C,3,0)</f>
        <v>92.442562158158552</v>
      </c>
      <c r="R58" s="1">
        <f>Q58/VLOOKUP(A58,'[188]geoMap (16)'!$A:$B,2,0)*VLOOKUP(A58,'[188]geoMap (16)'!$A:$C,3,0)</f>
        <v>37.75822961389575</v>
      </c>
      <c r="S58" s="1">
        <f>R58/VLOOKUP(A58,'[189]geoMap (17)'!$A:$B,2,0)*VLOOKUP(A58,'[189]geoMap (17)'!$A:$C,3,0)</f>
        <v>52.142317085856035</v>
      </c>
      <c r="T58" s="1">
        <f>S58/VLOOKUP(A58,'[190]geoMap (18)'!$A:$B,2,0)*VLOOKUP(A58,'[190]geoMap (18)'!$A:$C,3,0)</f>
        <v>31.958194342944022</v>
      </c>
      <c r="U58" s="1">
        <f>T58/VLOOKUP(A58,'[191]geoMap (19)'!$A:$B,2,0)*VLOOKUP(A58,'[191]geoMap (19)'!$A:$C,3,0)</f>
        <v>19.587280403739886</v>
      </c>
      <c r="V58" s="1">
        <f>U58/VLOOKUP(A58,'[192]geoMap (20)'!$A:$B,2,0)*VLOOKUP(A58,'[192]geoMap (20)'!$A:$C,3,0)</f>
        <v>131.08410731733613</v>
      </c>
      <c r="W58" s="1">
        <f>V58/VLOOKUP(A58,'[193]geoMap (21)'!$A:$B,2,0)*VLOOKUP(A58,'[193]geoMap (21)'!$A:$C,3,0)</f>
        <v>12.964362262154122</v>
      </c>
      <c r="X58" s="1">
        <f>W58/VLOOKUP(A58,'[194]geoMap (22)'!$A:$B,2,0)*VLOOKUP(A58,'[194]geoMap (22)'!$A:$C,3,0)</f>
        <v>9.7801329346074954</v>
      </c>
      <c r="Y58" s="1">
        <f>X58/VLOOKUP(A58,'[195]geoMap (23)'!$A:$B,2,0)*VLOOKUP(A58,'[195]geoMap (23)'!$A:$C,3,0)</f>
        <v>15.957058998570124</v>
      </c>
      <c r="Z58" s="1">
        <f>Y58/VLOOKUP(A58,'[196]geoMap (24)'!$A:$B,2,0)*VLOOKUP(A58,'[196]geoMap (24)'!$A:$C,3,0)</f>
        <v>11.088803710870764</v>
      </c>
      <c r="AA58" s="1">
        <f>Z58/VLOOKUP(A58,'[197]geoMap (25)'!$A:$B,2,0)*VLOOKUP(A58,'[197]geoMap (25)'!$A:$C,3,0)</f>
        <v>5.4616495889363463</v>
      </c>
    </row>
    <row r="59" spans="1:27" x14ac:dyDescent="0.2">
      <c r="A59" s="1" t="s">
        <v>134</v>
      </c>
      <c r="B59" s="1">
        <f>Notes!$C$6*VLOOKUP('Data_Raw++ (2017)'!A59,[172]geoMap!$A:$B,2,0)</f>
        <v>4000</v>
      </c>
      <c r="C59" s="1">
        <f>B59/73*19</f>
        <v>1041.0958904109589</v>
      </c>
      <c r="D59" s="1">
        <f>B59/74*20</f>
        <v>1081.081081081081</v>
      </c>
      <c r="E59" s="1">
        <f>C59/47*64</f>
        <v>1417.6624890702419</v>
      </c>
      <c r="F59" s="1">
        <f>E59/VLOOKUP(A59,'[176]geoMap (4)'!$A:$B,2,0)*VLOOKUP(A59,'[176]geoMap (4)'!$A:$C,3,0)</f>
        <v>1664.2124871694143</v>
      </c>
      <c r="G59" s="1">
        <f>E59/64*26</f>
        <v>575.92538618478579</v>
      </c>
      <c r="H59" s="1">
        <f>F59/VLOOKUP(A59,'[206]geoMap (26)'!$A:$B,2,0)*VLOOKUP(A59,'[206]geoMap (26)'!$A:$C,3,0)</f>
        <v>857.32158429939534</v>
      </c>
      <c r="I59" s="1">
        <f>F59/70*6</f>
        <v>142.64678461452121</v>
      </c>
      <c r="J59" s="1">
        <f>H59/VLOOKUP(A59,'[205]geoMap (27)'!$A:$B,2,0)*VLOOKUP(A59,'[205]geoMap (27)'!$A:$C,3,0)</f>
        <v>403.44545143500955</v>
      </c>
      <c r="K59" s="1">
        <f>J59/VLOOKUP(A59,'[181]geoMap (9)'!$A:$B,2,0)*VLOOKUP(A59,'[181]geoMap (9)'!$A:$C,3,0)</f>
        <v>437.06590572126038</v>
      </c>
      <c r="L59" s="1">
        <f>J59/60*22</f>
        <v>147.92999885950351</v>
      </c>
      <c r="M59" s="1">
        <f>L59/42*27</f>
        <v>95.09785640968083</v>
      </c>
      <c r="N59" s="1">
        <f>J59/60*12</f>
        <v>80.689090287001903</v>
      </c>
      <c r="O59" s="1">
        <f>H59/VLOOKUP(A59,'[201]geoMap (28)'!$A:$B,2,0)*VLOOKUP(A59,'[201]geoMap (28)'!$A:$C,3,0)</f>
        <v>163.29934939036102</v>
      </c>
      <c r="P59" s="1">
        <f>O59/47*25</f>
        <v>86.861356058702668</v>
      </c>
      <c r="Q59" s="1">
        <f>O59/VLOOKUP(A59,'[198]geoMap (30)'!$A:$B,2,0)*VLOOKUP(A59,'[198]geoMap (30)'!$A:$C,3,0)</f>
        <v>150.73786097571784</v>
      </c>
      <c r="R59" s="1">
        <f>Q59/VLOOKUP(A59,'[188]geoMap (16)'!$A:$B,2,0)*VLOOKUP(A59,'[188]geoMap (16)'!$A:$C,3,0)</f>
        <v>50.24595365857261</v>
      </c>
      <c r="S59" s="1">
        <f>Q59/44*17</f>
        <v>58.239628104254614</v>
      </c>
      <c r="T59" s="1">
        <f>R59/43*20</f>
        <v>23.370211003987261</v>
      </c>
      <c r="U59" s="1">
        <f>T59/21*24</f>
        <v>26.708812575985441</v>
      </c>
      <c r="V59" s="1">
        <f>T59/20*4</f>
        <v>4.6740422007974525</v>
      </c>
      <c r="W59" s="1">
        <f>Q59/VLOOKUP(A59,'[200]geoMap (34)'!$A:$B,2,0)*VLOOKUP(A59,'[200]geoMap (34)'!$A:$C,3,0)</f>
        <v>0</v>
      </c>
      <c r="X59" s="1">
        <f>V59/14*0</f>
        <v>0</v>
      </c>
      <c r="Y59" s="1">
        <f>V59/7*25</f>
        <v>16.693007859990903</v>
      </c>
      <c r="Z59" s="1">
        <f>Y59/13*31</f>
        <v>39.806403358439844</v>
      </c>
      <c r="AA59" s="1">
        <f>Z59/VLOOKUP(A59,'[197]geoMap (25)'!$A:$B,2,0)*VLOOKUP(A59,'[197]geoMap (25)'!$A:$C,3,0)</f>
        <v>33.909158416448754</v>
      </c>
    </row>
    <row r="60" spans="1:27" x14ac:dyDescent="0.2">
      <c r="A60" s="1" t="s">
        <v>151</v>
      </c>
      <c r="B60" s="1">
        <f>Notes!$C$6*VLOOKUP('Data_Raw++ (2017)'!A60,[172]geoMap!$A:$B,2,0)</f>
        <v>5000</v>
      </c>
      <c r="C60" s="1">
        <f>B60/VLOOKUP(A60,'[173]geoMap (1)'!$A:$B,2,0)*VLOOKUP(A60,'[173]geoMap (1)'!$A:$C,3,0)</f>
        <v>882.35294117647061</v>
      </c>
      <c r="D60" s="1">
        <f>C60/VLOOKUP(A60,'[174]geoMap (2)'!$A:$B,2,0)*VLOOKUP(A60,'[174]geoMap (2)'!$A:$C,3,0)</f>
        <v>1791.4438502673795</v>
      </c>
      <c r="E60" s="1">
        <f>D60/VLOOKUP(A60,'[175]geoMap (3)'!$A:$B,2,0)*VLOOKUP(A60,'[175]geoMap (3)'!$A:$C,3,0)</f>
        <v>1526.0447613388787</v>
      </c>
      <c r="F60" s="1">
        <f>E60/VLOOKUP(A60,'[176]geoMap (4)'!$A:$B,2,0)*VLOOKUP(A60,'[176]geoMap (4)'!$A:$C,3,0)</f>
        <v>3396.6802752381491</v>
      </c>
      <c r="G60" s="1">
        <f>F60/VLOOKUP(A60,'[177]geoMap (5)'!$A:$B,2,0)*VLOOKUP(A60,'[177]geoMap (5)'!$A:$C,3,0)</f>
        <v>849.17006880953727</v>
      </c>
      <c r="H60" s="1">
        <f>G60/VLOOKUP(A60,'[178]geoMap (6)'!$A:$B,2,0)*VLOOKUP(A60,'[178]geoMap (6)'!$A:$C,3,0)</f>
        <v>1080.761905757593</v>
      </c>
      <c r="I60" s="1">
        <f>H60/VLOOKUP(A60,'[179]geoMap (7)'!$A:$B,2,0)*VLOOKUP(A60,'[179]geoMap (7)'!$A:$C,3,0)</f>
        <v>379.72715607699212</v>
      </c>
      <c r="J60" s="1">
        <f>I60/VLOOKUP(A60,'[180]geoMap (8)'!$A:$B,2,0)*VLOOKUP(A60,'[180]geoMap (8)'!$A:$C,3,0)</f>
        <v>619.55483359930292</v>
      </c>
      <c r="K60" s="1">
        <f>J60/VLOOKUP(A60,'[181]geoMap (9)'!$A:$B,2,0)*VLOOKUP(A60,'[181]geoMap (9)'!$A:$C,3,0)</f>
        <v>2478.2193343972117</v>
      </c>
      <c r="L60" s="1">
        <f>K60/VLOOKUP(A60,'[182]geoMap (10)'!$A:$B,2,0)*VLOOKUP(A60,'[182]geoMap (10)'!$A:$C,3,0)</f>
        <v>50.575904783616572</v>
      </c>
      <c r="M60" s="1">
        <f>L60/VLOOKUP(A60,'[183]geoMap (11)'!$A:$B,2,0)*VLOOKUP(A60,'[183]geoMap (11)'!$A:$C,3,0)</f>
        <v>151.72771435084971</v>
      </c>
      <c r="N60" s="1">
        <f>M60/VLOOKUP(A60,'[184]geoMap (12)'!$A:$B,2,0)*VLOOKUP(A60,'[184]geoMap (12)'!$A:$C,3,0)</f>
        <v>71.401277341576332</v>
      </c>
      <c r="O60" s="1">
        <f>N60/VLOOKUP(A60,'[185]geoMap (13)'!$A:$B,2,0)*VLOOKUP(A60,'[185]geoMap (13)'!$A:$C,3,0)</f>
        <v>183.60328459262482</v>
      </c>
      <c r="P60" s="1">
        <f>O60/VLOOKUP(A60,'[186]geoMap (14)'!$A:$B,2,0)*VLOOKUP(A60,'[186]geoMap (14)'!$A:$C,3,0)</f>
        <v>67.908064164395483</v>
      </c>
      <c r="Q60" s="1">
        <f>P60/VLOOKUP(A60,'[187]geoMap (15)'!$A:$B,2,0)*VLOOKUP(A60,'[187]geoMap (15)'!$A:$C,3,0)</f>
        <v>137.87394845498477</v>
      </c>
      <c r="R60" s="1">
        <f>Q60/VLOOKUP(A60,'[188]geoMap (16)'!$A:$B,2,0)*VLOOKUP(A60,'[188]geoMap (16)'!$A:$C,3,0)</f>
        <v>17.040600370840814</v>
      </c>
      <c r="S60" s="1">
        <f>R60/VLOOKUP(A60,'[189]geoMap (17)'!$A:$B,2,0)*VLOOKUP(A60,'[189]geoMap (17)'!$A:$C,3,0)</f>
        <v>29.015076307107329</v>
      </c>
      <c r="T60" s="1">
        <f>S60/VLOOKUP(A60,'[190]geoMap (18)'!$A:$B,2,0)*VLOOKUP(A60,'[190]geoMap (18)'!$A:$C,3,0)</f>
        <v>11.851228350790318</v>
      </c>
      <c r="U60" s="1">
        <f>T60/VLOOKUP(A60,'[191]geoMap (19)'!$A:$B,2,0)*VLOOKUP(A60,'[191]geoMap (19)'!$A:$C,3,0)</f>
        <v>44.583192367258825</v>
      </c>
      <c r="V60" s="1">
        <f>U60/VLOOKUP(A60,'[192]geoMap (20)'!$A:$B,2,0)*VLOOKUP(A60,'[192]geoMap (20)'!$A:$C,3,0)</f>
        <v>10.457785863924908</v>
      </c>
      <c r="W60" s="1">
        <f>V60/VLOOKUP(A60,'[193]geoMap (21)'!$A:$B,2,0)*VLOOKUP(A60,'[193]geoMap (21)'!$A:$C,3,0)</f>
        <v>5.3873442329310128</v>
      </c>
      <c r="X60" s="1">
        <f>W60/VLOOKUP(A60,'[194]geoMap (22)'!$A:$B,2,0)*VLOOKUP(A60,'[194]geoMap (22)'!$A:$C,3,0)</f>
        <v>10.457785863924906</v>
      </c>
      <c r="Y60" s="1">
        <f>X60/VLOOKUP(A60,'[195]geoMap (23)'!$A:$B,2,0)*VLOOKUP(A60,'[195]geoMap (23)'!$A:$C,3,0)</f>
        <v>17.806500254791057</v>
      </c>
      <c r="Z60" s="1">
        <f>Y60/VLOOKUP(A60,'[196]geoMap (24)'!$A:$B,2,0)*VLOOKUP(A60,'[196]geoMap (24)'!$A:$C,3,0)</f>
        <v>29.052710942027513</v>
      </c>
      <c r="AA60" s="1">
        <f>Z60/VLOOKUP(A60,'[197]geoMap (25)'!$A:$B,2,0)*VLOOKUP(A60,'[197]geoMap (25)'!$A:$C,3,0)</f>
        <v>13.67186397271883</v>
      </c>
    </row>
    <row r="61" spans="1:27" x14ac:dyDescent="0.2">
      <c r="A61" s="1" t="s">
        <v>162</v>
      </c>
      <c r="B61" s="1">
        <f>Notes!$C$6*VLOOKUP('Data_Raw++ (2017)'!A61,[172]geoMap!$A:$B,2,0)</f>
        <v>4000</v>
      </c>
      <c r="C61" s="1">
        <f>B61/VLOOKUP(A61,'[173]geoMap (1)'!$A:$B,2,0)*VLOOKUP(A61,'[173]geoMap (1)'!$A:$C,3,0)</f>
        <v>5090.909090909091</v>
      </c>
      <c r="D61" s="1">
        <f>C61/VLOOKUP(A61,'[174]geoMap (2)'!$A:$B,2,0)*VLOOKUP(A61,'[174]geoMap (2)'!$A:$C,3,0)</f>
        <v>4514.5797598627787</v>
      </c>
      <c r="E61" s="1">
        <f>D61/VLOOKUP(A61,'[175]geoMap (3)'!$A:$B,2,0)*VLOOKUP(A61,'[175]geoMap (3)'!$A:$C,3,0)</f>
        <v>4514.5797598627787</v>
      </c>
      <c r="F61" s="1">
        <f>E61/VLOOKUP(A61,'[176]geoMap (4)'!$A:$B,2,0)*VLOOKUP(A61,'[176]geoMap (4)'!$A:$C,3,0)</f>
        <v>3547.1698113207544</v>
      </c>
      <c r="G61" s="1">
        <f>F61/VLOOKUP(A61,'[177]geoMap (5)'!$A:$B,2,0)*VLOOKUP(A61,'[177]geoMap (5)'!$A:$C,3,0)</f>
        <v>3145.6034175863292</v>
      </c>
      <c r="H61" s="1">
        <f>G61/VLOOKUP(A61,'[178]geoMap (6)'!$A:$B,2,0)*VLOOKUP(A61,'[178]geoMap (6)'!$A:$C,3,0)</f>
        <v>1163.4423599291902</v>
      </c>
      <c r="I61" s="1">
        <f>H61/VLOOKUP(A61,'[179]geoMap (7)'!$A:$B,2,0)*VLOOKUP(A61,'[179]geoMap (7)'!$A:$C,3,0)</f>
        <v>991.08052882856941</v>
      </c>
      <c r="J61" s="1">
        <f>I61/VLOOKUP(A61,'[180]geoMap (8)'!$A:$B,2,0)*VLOOKUP(A61,'[180]geoMap (8)'!$A:$C,3,0)</f>
        <v>1617.0261259834554</v>
      </c>
      <c r="K61" s="1">
        <f>J61/VLOOKUP(A61,'[181]geoMap (9)'!$A:$B,2,0)*VLOOKUP(A61,'[181]geoMap (9)'!$A:$C,3,0)</f>
        <v>870.70637552955282</v>
      </c>
      <c r="L61" s="1">
        <f>K61/VLOOKUP(A61,'[182]geoMap (10)'!$A:$B,2,0)*VLOOKUP(A61,'[182]geoMap (10)'!$A:$C,3,0)</f>
        <v>605.06714231714693</v>
      </c>
      <c r="M61" s="1">
        <f>L61/VLOOKUP(A61,'[183]geoMap (11)'!$A:$B,2,0)*VLOOKUP(A61,'[183]geoMap (11)'!$A:$C,3,0)</f>
        <v>655.48940417690926</v>
      </c>
      <c r="N61" s="1">
        <f>M61/VLOOKUP(A61,'[184]geoMap (12)'!$A:$B,2,0)*VLOOKUP(A61,'[184]geoMap (12)'!$A:$C,3,0)</f>
        <v>558.3798628173671</v>
      </c>
      <c r="O61" s="1">
        <f>N61/VLOOKUP(A61,'[185]geoMap (13)'!$A:$B,2,0)*VLOOKUP(A61,'[185]geoMap (13)'!$A:$C,3,0)</f>
        <v>388.02668433071273</v>
      </c>
      <c r="P61" s="1">
        <f>O61/VLOOKUP(A61,'[186]geoMap (14)'!$A:$B,2,0)*VLOOKUP(A61,'[186]geoMap (14)'!$A:$C,3,0)</f>
        <v>372.80995161186121</v>
      </c>
      <c r="Q61" s="1">
        <f>P61/VLOOKUP(A61,'[187]geoMap (15)'!$A:$B,2,0)*VLOOKUP(A61,'[187]geoMap (15)'!$A:$C,3,0)</f>
        <v>238.35390348955062</v>
      </c>
      <c r="R61" s="1">
        <f>Q61/VLOOKUP(A61,'[188]geoMap (16)'!$A:$B,2,0)*VLOOKUP(A61,'[188]geoMap (16)'!$A:$C,3,0)</f>
        <v>134.07407071287221</v>
      </c>
      <c r="S61" s="1">
        <f>R61/VLOOKUP(A61,'[189]geoMap (17)'!$A:$B,2,0)*VLOOKUP(A61,'[189]geoMap (17)'!$A:$C,3,0)</f>
        <v>209.70559778167191</v>
      </c>
      <c r="T61" s="1">
        <f>S61/VLOOKUP(A61,'[190]geoMap (18)'!$A:$B,2,0)*VLOOKUP(A61,'[190]geoMap (18)'!$A:$C,3,0)</f>
        <v>81.552176915094634</v>
      </c>
      <c r="U61" s="1">
        <f>T61/VLOOKUP(A61,'[191]geoMap (19)'!$A:$B,2,0)*VLOOKUP(A61,'[191]geoMap (19)'!$A:$C,3,0)</f>
        <v>91.963093117021629</v>
      </c>
      <c r="V61" s="1">
        <f>U61/VLOOKUP(A61,'[192]geoMap (20)'!$A:$B,2,0)*VLOOKUP(A61,'[192]geoMap (20)'!$A:$C,3,0)</f>
        <v>35.763425101063973</v>
      </c>
      <c r="W61" s="1">
        <f>V61/VLOOKUP(A61,'[193]geoMap (21)'!$A:$B,2,0)*VLOOKUP(A61,'[193]geoMap (21)'!$A:$C,3,0)</f>
        <v>45.517086492263239</v>
      </c>
      <c r="X61" s="1">
        <f>W61/VLOOKUP(A61,'[194]geoMap (22)'!$A:$B,2,0)*VLOOKUP(A61,'[194]geoMap (22)'!$A:$C,3,0)</f>
        <v>77.502066189529302</v>
      </c>
      <c r="Y61" s="1">
        <f>X61/VLOOKUP(A61,'[195]geoMap (23)'!$A:$B,2,0)*VLOOKUP(A61,'[195]geoMap (23)'!$A:$C,3,0)</f>
        <v>66.020278605895328</v>
      </c>
      <c r="Z61" s="1">
        <f>Y61/VLOOKUP(A61,'[196]geoMap (24)'!$A:$B,2,0)*VLOOKUP(A61,'[196]geoMap (24)'!$A:$C,3,0)</f>
        <v>38.773814419335352</v>
      </c>
      <c r="AA61" s="1">
        <f>Z61/VLOOKUP(A61,'[197]geoMap (25)'!$A:$B,2,0)*VLOOKUP(A61,'[197]geoMap (25)'!$A:$C,3,0)</f>
        <v>45.517086492263239</v>
      </c>
    </row>
    <row r="62" spans="1:27" x14ac:dyDescent="0.2">
      <c r="A62" s="1" t="s">
        <v>159</v>
      </c>
      <c r="B62" s="1">
        <f>Notes!$C$6*VLOOKUP('Data_Raw++ (2017)'!A62,[172]geoMap!$A:$B,2,0)</f>
        <v>4000</v>
      </c>
      <c r="C62" s="1">
        <f>B62/VLOOKUP(A62,'[173]geoMap (1)'!$A:$B,2,0)*VLOOKUP(A62,'[173]geoMap (1)'!$A:$C,3,0)</f>
        <v>2557.377049180328</v>
      </c>
      <c r="D62" s="1">
        <f>C62/VLOOKUP(A62,'[174]geoMap (2)'!$A:$B,2,0)*VLOOKUP(A62,'[174]geoMap (2)'!$A:$C,3,0)</f>
        <v>2883.8507150331361</v>
      </c>
      <c r="E62" s="1">
        <f>D62/VLOOKUP(A62,'[175]geoMap (3)'!$A:$B,2,0)*VLOOKUP(A62,'[175]geoMap (3)'!$A:$C,3,0)</f>
        <v>3670.3554554967191</v>
      </c>
      <c r="F62" s="1">
        <f>E62/VLOOKUP(A62,'[176]geoMap (4)'!$A:$B,2,0)*VLOOKUP(A62,'[176]geoMap (4)'!$A:$C,3,0)</f>
        <v>2346.6207010552794</v>
      </c>
      <c r="G62" s="1">
        <f>F62/VLOOKUP(A62,'[177]geoMap (5)'!$A:$B,2,0)*VLOOKUP(A62,'[177]geoMap (5)'!$A:$C,3,0)</f>
        <v>1378.1740625245293</v>
      </c>
      <c r="H62" s="1">
        <f>G62/VLOOKUP(A62,'[178]geoMap (6)'!$A:$B,2,0)*VLOOKUP(A62,'[178]geoMap (6)'!$A:$C,3,0)</f>
        <v>678.80215019864875</v>
      </c>
      <c r="I62" s="1">
        <f>H62/VLOOKUP(A62,'[179]geoMap (7)'!$A:$B,2,0)*VLOOKUP(A62,'[179]geoMap (7)'!$A:$C,3,0)</f>
        <v>452.5347667990992</v>
      </c>
      <c r="J62" s="1">
        <f>I62/VLOOKUP(A62,'[180]geoMap (8)'!$A:$B,2,0)*VLOOKUP(A62,'[180]geoMap (8)'!$A:$C,3,0)</f>
        <v>738.34619846168823</v>
      </c>
      <c r="K62" s="1">
        <f>J62/VLOOKUP(A62,'[181]geoMap (9)'!$A:$B,2,0)*VLOOKUP(A62,'[181]geoMap (9)'!$A:$C,3,0)</f>
        <v>628.96157646736401</v>
      </c>
      <c r="L62" s="1">
        <f>K62/VLOOKUP(A62,'[182]geoMap (10)'!$A:$B,2,0)*VLOOKUP(A62,'[182]geoMap (10)'!$A:$C,3,0)</f>
        <v>353.79088676289223</v>
      </c>
      <c r="M62" s="1">
        <f>L62/VLOOKUP(A62,'[183]geoMap (11)'!$A:$B,2,0)*VLOOKUP(A62,'[183]geoMap (11)'!$A:$C,3,0)</f>
        <v>166.48982906489044</v>
      </c>
      <c r="N62" s="1">
        <f>M62/VLOOKUP(A62,'[184]geoMap (12)'!$A:$B,2,0)*VLOOKUP(A62,'[184]geoMap (12)'!$A:$C,3,0)</f>
        <v>211.89614608258788</v>
      </c>
      <c r="O62" s="1">
        <f>N62/VLOOKUP(A62,'[185]geoMap (13)'!$A:$B,2,0)*VLOOKUP(A62,'[185]geoMap (13)'!$A:$C,3,0)</f>
        <v>220.54496837167309</v>
      </c>
      <c r="P62" s="1">
        <f>O62/VLOOKUP(A62,'[186]geoMap (14)'!$A:$B,2,0)*VLOOKUP(A62,'[186]geoMap (14)'!$A:$C,3,0)</f>
        <v>514.6049262005705</v>
      </c>
      <c r="Q62" s="1">
        <f>P62/VLOOKUP(A62,'[187]geoMap (15)'!$A:$B,2,0)*VLOOKUP(A62,'[187]geoMap (15)'!$A:$C,3,0)</f>
        <v>120.70979750383754</v>
      </c>
      <c r="R62" s="1">
        <f>Q62/VLOOKUP(A62,'[188]geoMap (16)'!$A:$B,2,0)*VLOOKUP(A62,'[188]geoMap (16)'!$A:$C,3,0)</f>
        <v>51.732770358787512</v>
      </c>
      <c r="S62" s="1">
        <f>R62/VLOOKUP(A62,'[189]geoMap (17)'!$A:$B,2,0)*VLOOKUP(A62,'[189]geoMap (17)'!$A:$C,3,0)</f>
        <v>49.704034266286037</v>
      </c>
      <c r="T62" s="1">
        <f>S62/VLOOKUP(A62,'[190]geoMap (18)'!$A:$B,2,0)*VLOOKUP(A62,'[190]geoMap (18)'!$A:$C,3,0)</f>
        <v>39.053169780653313</v>
      </c>
      <c r="U62" s="1">
        <f>T62/VLOOKUP(A62,'[191]geoMap (19)'!$A:$B,2,0)*VLOOKUP(A62,'[191]geoMap (19)'!$A:$C,3,0)</f>
        <v>56.198463830696227</v>
      </c>
      <c r="V62" s="1">
        <f>U62/VLOOKUP(A62,'[192]geoMap (20)'!$A:$B,2,0)*VLOOKUP(A62,'[192]geoMap (20)'!$A:$C,3,0)</f>
        <v>91.692230460609636</v>
      </c>
      <c r="W62" s="1">
        <f>V62/VLOOKUP(A62,'[193]geoMap (21)'!$A:$B,2,0)*VLOOKUP(A62,'[193]geoMap (21)'!$A:$C,3,0)</f>
        <v>69.171331750986226</v>
      </c>
      <c r="X62" s="1">
        <f>W62/VLOOKUP(A62,'[194]geoMap (22)'!$A:$B,2,0)*VLOOKUP(A62,'[194]geoMap (22)'!$A:$C,3,0)</f>
        <v>8.5492657220320059</v>
      </c>
      <c r="Y62" s="1">
        <f>X62/VLOOKUP(A62,'[195]geoMap (23)'!$A:$B,2,0)*VLOOKUP(A62,'[195]geoMap (23)'!$A:$C,3,0)</f>
        <v>8.2140003995993762</v>
      </c>
      <c r="Z62" s="1">
        <f>Y62/VLOOKUP(A62,'[196]geoMap (24)'!$A:$B,2,0)*VLOOKUP(A62,'[196]geoMap (24)'!$A:$C,3,0)</f>
        <v>19.166000932398543</v>
      </c>
      <c r="AA62" s="1">
        <f>Z62/VLOOKUP(A62,'[197]geoMap (25)'!$A:$B,2,0)*VLOOKUP(A62,'[197]geoMap (25)'!$A:$C,3,0)</f>
        <v>9.4399706084948054</v>
      </c>
    </row>
    <row r="63" spans="1:27" x14ac:dyDescent="0.2">
      <c r="A63" s="1" t="s">
        <v>168</v>
      </c>
      <c r="B63" s="1">
        <f>Notes!$C$6*VLOOKUP('Data_Raw++ (2017)'!A63,[172]geoMap!$A:$B,2,0)</f>
        <v>3000</v>
      </c>
      <c r="C63" s="1">
        <f>B63/VLOOKUP(A63,'[173]geoMap (1)'!$A:$B,2,0)*VLOOKUP(A63,'[173]geoMap (1)'!$A:$C,3,0)</f>
        <v>1411.7647058823527</v>
      </c>
      <c r="D63" s="1">
        <f>C63/VLOOKUP(A63,'[174]geoMap (2)'!$A:$B,2,0)*VLOOKUP(A63,'[174]geoMap (2)'!$A:$C,3,0)</f>
        <v>1796.7914438502673</v>
      </c>
      <c r="E63" s="1">
        <f>D63/VLOOKUP(A63,'[175]geoMap (3)'!$A:$B,2,0)*VLOOKUP(A63,'[175]geoMap (3)'!$A:$C,3,0)</f>
        <v>1796.7914438502673</v>
      </c>
      <c r="F63" s="1">
        <f>E63/VLOOKUP(A63,'[176]geoMap (4)'!$A:$B,2,0)*VLOOKUP(A63,'[176]geoMap (4)'!$A:$C,3,0)</f>
        <v>1870.1298701298704</v>
      </c>
      <c r="G63" s="1">
        <f>F63/VLOOKUP(A63,'[177]geoMap (5)'!$A:$B,2,0)*VLOOKUP(A63,'[177]geoMap (5)'!$A:$C,3,0)</f>
        <v>1051.9480519480519</v>
      </c>
      <c r="H63" s="1">
        <f>G63/VLOOKUP(A63,'[178]geoMap (6)'!$A:$B,2,0)*VLOOKUP(A63,'[178]geoMap (6)'!$A:$C,3,0)</f>
        <v>1577.9220779220775</v>
      </c>
      <c r="I63" s="1">
        <f>H63/VLOOKUP(A63,'[179]geoMap (7)'!$A:$B,2,0)*VLOOKUP(A63,'[179]geoMap (7)'!$A:$C,3,0)</f>
        <v>278.45683728036664</v>
      </c>
      <c r="J63" s="1">
        <f>I63/VLOOKUP(A63,'[180]geoMap (8)'!$A:$B,2,0)*VLOOKUP(A63,'[180]geoMap (8)'!$A:$C,3,0)</f>
        <v>301.66157372039726</v>
      </c>
      <c r="K63" s="1">
        <f>J63/VLOOKUP(A63,'[181]geoMap (9)'!$A:$B,2,0)*VLOOKUP(A63,'[181]geoMap (9)'!$A:$C,3,0)</f>
        <v>775.70118956673571</v>
      </c>
      <c r="L63" s="1">
        <f>K63/VLOOKUP(A63,'[182]geoMap (10)'!$A:$B,2,0)*VLOOKUP(A63,'[182]geoMap (10)'!$A:$C,3,0)</f>
        <v>181.95460002182691</v>
      </c>
      <c r="M63" s="1">
        <f>L63/VLOOKUP(A63,'[183]geoMap (11)'!$A:$B,2,0)*VLOOKUP(A63,'[183]geoMap (11)'!$A:$C,3,0)</f>
        <v>167.95809232784021</v>
      </c>
      <c r="N63" s="1">
        <f>M63/VLOOKUP(A63,'[184]geoMap (12)'!$A:$B,2,0)*VLOOKUP(A63,'[184]geoMap (12)'!$A:$C,3,0)</f>
        <v>126.70522754556367</v>
      </c>
      <c r="O63" s="1">
        <f>N63/VLOOKUP(A63,'[185]geoMap (13)'!$A:$B,2,0)*VLOOKUP(A63,'[185]geoMap (13)'!$A:$C,3,0)</f>
        <v>112.36123952153758</v>
      </c>
      <c r="P63" s="1">
        <f>O63/VLOOKUP(A63,'[186]geoMap (14)'!$A:$B,2,0)*VLOOKUP(A63,'[186]geoMap (14)'!$A:$C,3,0)</f>
        <v>35.482496691011868</v>
      </c>
      <c r="Q63" s="1">
        <f>P63/VLOOKUP(A63,'[187]geoMap (15)'!$A:$B,2,0)*VLOOKUP(A63,'[187]geoMap (15)'!$A:$C,3,0)</f>
        <v>112.36123952153758</v>
      </c>
      <c r="R63" s="1">
        <f>Q63/VLOOKUP(A63,'[188]geoMap (16)'!$A:$B,2,0)*VLOOKUP(A63,'[188]geoMap (16)'!$A:$C,3,0)</f>
        <v>65.989934322172871</v>
      </c>
      <c r="S63" s="1">
        <f>R63/VLOOKUP(A63,'[189]geoMap (17)'!$A:$B,2,0)*VLOOKUP(A63,'[189]geoMap (17)'!$A:$C,3,0)</f>
        <v>56.213647755925031</v>
      </c>
      <c r="T63" s="1">
        <f>S63/VLOOKUP(A63,'[190]geoMap (18)'!$A:$B,2,0)*VLOOKUP(A63,'[190]geoMap (18)'!$A:$C,3,0)</f>
        <v>35.939873155427485</v>
      </c>
      <c r="U63" s="1">
        <f>T63/VLOOKUP(A63,'[191]geoMap (19)'!$A:$B,2,0)*VLOOKUP(A63,'[191]geoMap (19)'!$A:$C,3,0)</f>
        <v>13.976617338221802</v>
      </c>
      <c r="V63" s="1">
        <f>U63/VLOOKUP(A63,'[192]geoMap (20)'!$A:$B,2,0)*VLOOKUP(A63,'[192]geoMap (20)'!$A:$C,3,0)</f>
        <v>10.543763956904167</v>
      </c>
      <c r="W63" s="1">
        <f>V63/VLOOKUP(A63,'[193]geoMap (21)'!$A:$B,2,0)*VLOOKUP(A63,'[193]geoMap (21)'!$A:$C,3,0)</f>
        <v>17.952895386080069</v>
      </c>
      <c r="X63" s="1">
        <f>W63/VLOOKUP(A63,'[194]geoMap (22)'!$A:$B,2,0)*VLOOKUP(A63,'[194]geoMap (22)'!$A:$C,3,0)</f>
        <v>16.57190343330468</v>
      </c>
      <c r="Y63" s="1">
        <f>X63/VLOOKUP(A63,'[195]geoMap (23)'!$A:$B,2,0)*VLOOKUP(A63,'[195]geoMap (23)'!$A:$C,3,0)</f>
        <v>15.92202486729273</v>
      </c>
      <c r="Z63" s="1">
        <f>Y63/VLOOKUP(A63,'[196]geoMap (24)'!$A:$B,2,0)*VLOOKUP(A63,'[196]geoMap (24)'!$A:$C,3,0)</f>
        <v>19.460252615580004</v>
      </c>
      <c r="AA63" s="1">
        <f>Z63/VLOOKUP(A63,'[197]geoMap (25)'!$A:$B,2,0)*VLOOKUP(A63,'[197]geoMap (25)'!$A:$C,3,0)</f>
        <v>14.680541446841055</v>
      </c>
    </row>
    <row r="64" spans="1:27" x14ac:dyDescent="0.2">
      <c r="A64" s="1" t="s">
        <v>161</v>
      </c>
      <c r="B64" s="1">
        <f>Notes!$C$6*VLOOKUP('Data_Raw++ (2017)'!A64,[172]geoMap!$A:$B,2,0)</f>
        <v>4000</v>
      </c>
      <c r="C64" s="1">
        <f>B64/VLOOKUP(A64,'[173]geoMap (1)'!$A:$B,2,0)*VLOOKUP(A64,'[173]geoMap (1)'!$A:$C,3,0)</f>
        <v>1882.3529411764705</v>
      </c>
      <c r="D64" s="1">
        <f>C64/VLOOKUP(A64,'[174]geoMap (2)'!$A:$B,2,0)*VLOOKUP(A64,'[174]geoMap (2)'!$A:$C,3,0)</f>
        <v>2599.4397759103636</v>
      </c>
      <c r="E64" s="1">
        <f>D64/VLOOKUP(A64,'[175]geoMap (3)'!$A:$B,2,0)*VLOOKUP(A64,'[175]geoMap (3)'!$A:$C,3,0)</f>
        <v>2042.4169667867141</v>
      </c>
      <c r="F64" s="1">
        <f>E64/VLOOKUP(A64,'[176]geoMap (4)'!$A:$B,2,0)*VLOOKUP(A64,'[176]geoMap (4)'!$A:$C,3,0)</f>
        <v>2599.4397759103636</v>
      </c>
      <c r="G64" s="1">
        <f>F64/VLOOKUP(A64,'[177]geoMap (5)'!$A:$B,2,0)*VLOOKUP(A64,'[177]geoMap (5)'!$A:$C,3,0)</f>
        <v>1732.9598506069092</v>
      </c>
      <c r="H64" s="1">
        <f>G64/VLOOKUP(A64,'[178]geoMap (6)'!$A:$B,2,0)*VLOOKUP(A64,'[178]geoMap (6)'!$A:$C,3,0)</f>
        <v>1017.7700709913593</v>
      </c>
      <c r="I64" s="1">
        <f>H64/VLOOKUP(A64,'[179]geoMap (7)'!$A:$B,2,0)*VLOOKUP(A64,'[179]geoMap (7)'!$A:$C,3,0)</f>
        <v>287.06335335653722</v>
      </c>
      <c r="J64" s="1">
        <f>I64/VLOOKUP(A64,'[180]geoMap (8)'!$A:$B,2,0)*VLOOKUP(A64,'[180]geoMap (8)'!$A:$C,3,0)</f>
        <v>909.03395229570128</v>
      </c>
      <c r="K64" s="1">
        <f>J64/VLOOKUP(A64,'[181]geoMap (9)'!$A:$B,2,0)*VLOOKUP(A64,'[181]geoMap (9)'!$A:$C,3,0)</f>
        <v>533.87708309430081</v>
      </c>
      <c r="L64" s="1">
        <f>K64/VLOOKUP(A64,'[182]geoMap (10)'!$A:$B,2,0)*VLOOKUP(A64,'[182]geoMap (10)'!$A:$C,3,0)</f>
        <v>251.23627439731803</v>
      </c>
      <c r="M64" s="1">
        <f>L64/VLOOKUP(A64,'[183]geoMap (11)'!$A:$B,2,0)*VLOOKUP(A64,'[183]geoMap (11)'!$A:$C,3,0)</f>
        <v>241.38387147977613</v>
      </c>
      <c r="N64" s="1">
        <f>M64/VLOOKUP(A64,'[184]geoMap (12)'!$A:$B,2,0)*VLOOKUP(A64,'[184]geoMap (12)'!$A:$C,3,0)</f>
        <v>251.23627439731803</v>
      </c>
      <c r="O64" s="1">
        <f>N64/VLOOKUP(A64,'[185]geoMap (13)'!$A:$B,2,0)*VLOOKUP(A64,'[185]geoMap (13)'!$A:$C,3,0)</f>
        <v>261.4908162094535</v>
      </c>
      <c r="P64" s="1">
        <f>O64/VLOOKUP(A64,'[186]geoMap (14)'!$A:$B,2,0)*VLOOKUP(A64,'[186]geoMap (14)'!$A:$C,3,0)</f>
        <v>87.163605403151166</v>
      </c>
      <c r="Q64" s="1">
        <f>P64/VLOOKUP(A64,'[187]geoMap (15)'!$A:$B,2,0)*VLOOKUP(A64,'[187]geoMap (15)'!$A:$C,3,0)</f>
        <v>115.54245367394456</v>
      </c>
      <c r="R64" s="1">
        <f>Q64/VLOOKUP(A64,'[188]geoMap (16)'!$A:$B,2,0)*VLOOKUP(A64,'[188]geoMap (16)'!$A:$C,3,0)</f>
        <v>54.372919375973908</v>
      </c>
      <c r="S64" s="1">
        <f>R64/VLOOKUP(A64,'[189]geoMap (17)'!$A:$B,2,0)*VLOOKUP(A64,'[189]geoMap (17)'!$A:$C,3,0)</f>
        <v>52.240648027896498</v>
      </c>
      <c r="T64" s="1">
        <f>S64/VLOOKUP(A64,'[190]geoMap (18)'!$A:$B,2,0)*VLOOKUP(A64,'[190]geoMap (18)'!$A:$C,3,0)</f>
        <v>52.240648027896498</v>
      </c>
      <c r="U64" s="1">
        <f>T64/VLOOKUP(A64,'[191]geoMap (19)'!$A:$B,2,0)*VLOOKUP(A64,'[191]geoMap (19)'!$A:$C,3,0)</f>
        <v>33.399758575212516</v>
      </c>
      <c r="V64" s="1">
        <f>U64/VLOOKUP(A64,'[192]geoMap (20)'!$A:$B,2,0)*VLOOKUP(A64,'[192]geoMap (20)'!$A:$C,3,0)</f>
        <v>27.327075197901149</v>
      </c>
      <c r="W64" s="1">
        <f>V64/VLOOKUP(A64,'[193]geoMap (21)'!$A:$B,2,0)*VLOOKUP(A64,'[193]geoMap (21)'!$A:$C,3,0)</f>
        <v>15.371479798819395</v>
      </c>
      <c r="X64" s="1">
        <f>W64/VLOOKUP(A64,'[194]geoMap (22)'!$A:$B,2,0)*VLOOKUP(A64,'[194]geoMap (22)'!$A:$C,3,0)</f>
        <v>13.631312274424745</v>
      </c>
      <c r="Y64" s="1">
        <f>X64/VLOOKUP(A64,'[195]geoMap (23)'!$A:$B,2,0)*VLOOKUP(A64,'[195]geoMap (23)'!$A:$C,3,0)</f>
        <v>27.675694617771455</v>
      </c>
      <c r="Z64" s="1">
        <f>Y64/VLOOKUP(A64,'[196]geoMap (24)'!$A:$B,2,0)*VLOOKUP(A64,'[196]geoMap (24)'!$A:$C,3,0)</f>
        <v>16.962522507666378</v>
      </c>
      <c r="AA64" s="1">
        <f>Z64/VLOOKUP(A64,'[197]geoMap (25)'!$A:$B,2,0)*VLOOKUP(A64,'[197]geoMap (25)'!$A:$C,3,0)</f>
        <v>19.91252642204314</v>
      </c>
    </row>
    <row r="65" spans="1:27" x14ac:dyDescent="0.2">
      <c r="A65" s="1" t="s">
        <v>177</v>
      </c>
      <c r="B65" s="1">
        <f>Notes!$C$6*VLOOKUP('Data_Raw++ (2017)'!A65,[172]geoMap!$A:$B,2,0)</f>
        <v>3000</v>
      </c>
      <c r="C65" s="1">
        <f>B65/VLOOKUP(A65,'[173]geoMap (1)'!$A:$B,2,0)*VLOOKUP(A65,'[173]geoMap (1)'!$A:$C,3,0)</f>
        <v>1285.7142857142858</v>
      </c>
      <c r="D65" s="1">
        <f>C65/VLOOKUP(A65,'[174]geoMap (2)'!$A:$B,2,0)*VLOOKUP(A65,'[174]geoMap (2)'!$A:$C,3,0)</f>
        <v>2387.7551020408168</v>
      </c>
      <c r="E65" s="1">
        <f>D65/VLOOKUP(A65,'[175]geoMap (3)'!$A:$B,2,0)*VLOOKUP(A65,'[175]geoMap (3)'!$A:$C,3,0)</f>
        <v>1953.6178107606681</v>
      </c>
      <c r="F65" s="1">
        <f>E65/VLOOKUP(A65,'[176]geoMap (4)'!$A:$B,2,0)*VLOOKUP(A65,'[176]geoMap (4)'!$A:$C,3,0)</f>
        <v>1473.781857240504</v>
      </c>
      <c r="G65" s="1">
        <f>F65/VLOOKUP(A65,'[177]geoMap (5)'!$A:$B,2,0)*VLOOKUP(A65,'[177]geoMap (5)'!$A:$C,3,0)</f>
        <v>1111.8003484445908</v>
      </c>
      <c r="H65" s="1">
        <f>G65/VLOOKUP(A65,'[178]geoMap (6)'!$A:$B,2,0)*VLOOKUP(A65,'[178]geoMap (6)'!$A:$C,3,0)</f>
        <v>681.42602001442663</v>
      </c>
      <c r="I65" s="1">
        <f>H65/VLOOKUP(A65,'[179]geoMap (7)'!$A:$B,2,0)*VLOOKUP(A65,'[179]geoMap (7)'!$A:$C,3,0)</f>
        <v>557.53038001180357</v>
      </c>
      <c r="J65" s="1">
        <f>I65/VLOOKUP(A65,'[180]geoMap (8)'!$A:$B,2,0)*VLOOKUP(A65,'[180]geoMap (8)'!$A:$C,3,0)</f>
        <v>739.05189908541399</v>
      </c>
      <c r="K65" s="1">
        <f>J65/VLOOKUP(A65,'[181]geoMap (9)'!$A:$B,2,0)*VLOOKUP(A65,'[181]geoMap (9)'!$A:$C,3,0)</f>
        <v>604.67882652442961</v>
      </c>
      <c r="L65" s="1">
        <f>K65/VLOOKUP(A65,'[182]geoMap (10)'!$A:$B,2,0)*VLOOKUP(A65,'[182]geoMap (10)'!$A:$C,3,0)</f>
        <v>223.64833309807673</v>
      </c>
      <c r="M65" s="1">
        <f>L65/VLOOKUP(A65,'[183]geoMap (11)'!$A:$B,2,0)*VLOOKUP(A65,'[183]geoMap (11)'!$A:$C,3,0)</f>
        <v>125.80218736766815</v>
      </c>
      <c r="N65" s="1">
        <f>M65/VLOOKUP(A65,'[184]geoMap (12)'!$A:$B,2,0)*VLOOKUP(A65,'[184]geoMap (12)'!$A:$C,3,0)</f>
        <v>196.76752383148093</v>
      </c>
      <c r="O65" s="1">
        <f>N65/VLOOKUP(A65,'[185]geoMap (13)'!$A:$B,2,0)*VLOOKUP(A65,'[185]geoMap (13)'!$A:$C,3,0)</f>
        <v>321.04174940925833</v>
      </c>
      <c r="P65" s="1">
        <f>O65/VLOOKUP(A65,'[186]geoMap (14)'!$A:$B,2,0)*VLOOKUP(A65,'[186]geoMap (14)'!$A:$C,3,0)</f>
        <v>112.79845249514483</v>
      </c>
      <c r="Q65" s="1">
        <f>P65/VLOOKUP(A65,'[187]geoMap (15)'!$A:$B,2,0)*VLOOKUP(A65,'[187]geoMap (15)'!$A:$C,3,0)</f>
        <v>60.73762826661644</v>
      </c>
      <c r="R65" s="1">
        <f>Q65/VLOOKUP(A65,'[188]geoMap (16)'!$A:$B,2,0)*VLOOKUP(A65,'[188]geoMap (16)'!$A:$C,3,0)</f>
        <v>19.180303663142031</v>
      </c>
      <c r="S65" s="1">
        <f>R65/VLOOKUP(A65,'[189]geoMap (17)'!$A:$B,2,0)*VLOOKUP(A65,'[189]geoMap (17)'!$A:$C,3,0)</f>
        <v>28.770455494713044</v>
      </c>
      <c r="T65" s="1">
        <f>S65/VLOOKUP(A65,'[190]geoMap (18)'!$A:$B,2,0)*VLOOKUP(A65,'[190]geoMap (18)'!$A:$C,3,0)</f>
        <v>23.539463586583398</v>
      </c>
      <c r="U65" s="1">
        <f>T65/VLOOKUP(A65,'[191]geoMap (19)'!$A:$B,2,0)*VLOOKUP(A65,'[191]geoMap (19)'!$A:$C,3,0)</f>
        <v>7.8464878621944658</v>
      </c>
      <c r="V65" s="1">
        <f>U65/VLOOKUP(A65,'[192]geoMap (20)'!$A:$B,2,0)*VLOOKUP(A65,'[192]geoMap (20)'!$A:$C,3,0)</f>
        <v>21.214578294081331</v>
      </c>
      <c r="W65" s="1">
        <f>V65/VLOOKUP(A65,'[193]geoMap (21)'!$A:$B,2,0)*VLOOKUP(A65,'[193]geoMap (21)'!$A:$C,3,0)</f>
        <v>37.714805856144594</v>
      </c>
      <c r="X65" s="1">
        <f>W65/VLOOKUP(A65,'[194]geoMap (22)'!$A:$B,2,0)*VLOOKUP(A65,'[194]geoMap (22)'!$A:$C,3,0)</f>
        <v>8.2788598220805198</v>
      </c>
      <c r="Y65" s="1">
        <f>X65/VLOOKUP(A65,'[195]geoMap (23)'!$A:$B,2,0)*VLOOKUP(A65,'[195]geoMap (23)'!$A:$C,3,0)</f>
        <v>7.9541986525871664</v>
      </c>
      <c r="Z65" s="1">
        <f>Y65/VLOOKUP(A65,'[196]geoMap (24)'!$A:$B,2,0)*VLOOKUP(A65,'[196]geoMap (24)'!$A:$C,3,0)</f>
        <v>3.9177396348563653</v>
      </c>
      <c r="AA65" s="1">
        <f>Z65/VLOOKUP(A65,'[197]geoMap (25)'!$A:$B,2,0)*VLOOKUP(A65,'[197]geoMap (25)'!$A:$C,3,0)</f>
        <v>4.4178766095188804</v>
      </c>
    </row>
    <row r="66" spans="1:27" x14ac:dyDescent="0.2">
      <c r="A66" s="1" t="s">
        <v>178</v>
      </c>
      <c r="B66" s="1">
        <f>Notes!$C$6*VLOOKUP('Data_Raw++ (2017)'!A66,[172]geoMap!$A:$B,2,0)</f>
        <v>3000</v>
      </c>
      <c r="C66" s="1">
        <f>B66/VLOOKUP(A66,'[173]geoMap (1)'!$A:$B,2,0)*VLOOKUP(A66,'[173]geoMap (1)'!$A:$C,3,0)</f>
        <v>1000</v>
      </c>
      <c r="D66" s="1">
        <f>C66/VLOOKUP(A66,'[174]geoMap (2)'!$A:$B,2,0)*VLOOKUP(A66,'[174]geoMap (2)'!$A:$C,3,0)</f>
        <v>1380.952380952381</v>
      </c>
      <c r="E66" s="1">
        <f>D66/VLOOKUP(A66,'[175]geoMap (3)'!$A:$B,2,0)*VLOOKUP(A66,'[175]geoMap (3)'!$A:$C,3,0)</f>
        <v>1830.564784053156</v>
      </c>
      <c r="F66" s="1">
        <f>E66/VLOOKUP(A66,'[176]geoMap (4)'!$A:$B,2,0)*VLOOKUP(A66,'[176]geoMap (4)'!$A:$C,3,0)</f>
        <v>1075.0936033328057</v>
      </c>
      <c r="G66" s="1">
        <f>F66/VLOOKUP(A66,'[177]geoMap (5)'!$A:$B,2,0)*VLOOKUP(A66,'[177]geoMap (5)'!$A:$C,3,0)</f>
        <v>716.72906888853731</v>
      </c>
      <c r="H66" s="1">
        <f>G66/VLOOKUP(A66,'[178]geoMap (6)'!$A:$B,2,0)*VLOOKUP(A66,'[178]geoMap (6)'!$A:$C,3,0)</f>
        <v>716.72906888853731</v>
      </c>
      <c r="I66" s="1">
        <f>H66/VLOOKUP(A66,'[179]geoMap (7)'!$A:$B,2,0)*VLOOKUP(A66,'[179]geoMap (7)'!$A:$C,3,0)</f>
        <v>251.82372690678338</v>
      </c>
      <c r="J66" s="1">
        <f>I66/VLOOKUP(A66,'[180]geoMap (8)'!$A:$B,2,0)*VLOOKUP(A66,'[180]geoMap (8)'!$A:$C,3,0)</f>
        <v>262.10224637236638</v>
      </c>
      <c r="K66" s="1">
        <f>J66/VLOOKUP(A66,'[181]geoMap (9)'!$A:$B,2,0)*VLOOKUP(A66,'[181]geoMap (9)'!$A:$C,3,0)</f>
        <v>223.27228394683064</v>
      </c>
      <c r="L66" s="1">
        <f>K66/VLOOKUP(A66,'[182]geoMap (10)'!$A:$B,2,0)*VLOOKUP(A66,'[182]geoMap (10)'!$A:$C,3,0)</f>
        <v>182.67732322922507</v>
      </c>
      <c r="M66" s="1">
        <f>L66/VLOOKUP(A66,'[183]geoMap (11)'!$A:$B,2,0)*VLOOKUP(A66,'[183]geoMap (11)'!$A:$C,3,0)</f>
        <v>126.9452585152242</v>
      </c>
      <c r="N66" s="1">
        <f>M66/VLOOKUP(A66,'[184]geoMap (12)'!$A:$B,2,0)*VLOOKUP(A66,'[184]geoMap (12)'!$A:$C,3,0)</f>
        <v>99.742703119104718</v>
      </c>
      <c r="O66" s="1">
        <f>N66/VLOOKUP(A66,'[185]geoMap (13)'!$A:$B,2,0)*VLOOKUP(A66,'[185]geoMap (13)'!$A:$C,3,0)</f>
        <v>108.05459504569679</v>
      </c>
      <c r="P66" s="1">
        <f>O66/VLOOKUP(A66,'[186]geoMap (14)'!$A:$B,2,0)*VLOOKUP(A66,'[186]geoMap (14)'!$A:$C,3,0)</f>
        <v>53.220919947880503</v>
      </c>
      <c r="Q66" s="1">
        <f>P66/VLOOKUP(A66,'[187]geoMap (15)'!$A:$B,2,0)*VLOOKUP(A66,'[187]geoMap (15)'!$A:$C,3,0)</f>
        <v>86.834132546541866</v>
      </c>
      <c r="R66" s="1">
        <f>Q66/VLOOKUP(A66,'[188]geoMap (16)'!$A:$B,2,0)*VLOOKUP(A66,'[188]geoMap (16)'!$A:$C,3,0)</f>
        <v>42.769050358744501</v>
      </c>
      <c r="S66" s="1">
        <f>R66/VLOOKUP(A66,'[189]geoMap (17)'!$A:$B,2,0)*VLOOKUP(A66,'[189]geoMap (17)'!$A:$C,3,0)</f>
        <v>44.514725883591218</v>
      </c>
      <c r="T66" s="1">
        <f>S66/VLOOKUP(A66,'[190]geoMap (18)'!$A:$B,2,0)*VLOOKUP(A66,'[190]geoMap (18)'!$A:$C,3,0)</f>
        <v>25.03953330952006</v>
      </c>
      <c r="U66" s="1">
        <f>T66/VLOOKUP(A66,'[191]geoMap (19)'!$A:$B,2,0)*VLOOKUP(A66,'[191]geoMap (19)'!$A:$C,3,0)</f>
        <v>18.889472496655486</v>
      </c>
      <c r="V66" s="1">
        <f>U66/VLOOKUP(A66,'[192]geoMap (20)'!$A:$B,2,0)*VLOOKUP(A66,'[192]geoMap (20)'!$A:$C,3,0)</f>
        <v>7.7154183437043526</v>
      </c>
      <c r="W66" s="1">
        <f>V66/VLOOKUP(A66,'[193]geoMap (21)'!$A:$B,2,0)*VLOOKUP(A66,'[193]geoMap (21)'!$A:$C,3,0)</f>
        <v>25.829878802836312</v>
      </c>
      <c r="X66" s="1">
        <f>W66/VLOOKUP(A66,'[194]geoMap (22)'!$A:$B,2,0)*VLOOKUP(A66,'[194]geoMap (22)'!$A:$C,3,0)</f>
        <v>8.6099596009454373</v>
      </c>
      <c r="Y66" s="1">
        <f>X66/VLOOKUP(A66,'[195]geoMap (23)'!$A:$B,2,0)*VLOOKUP(A66,'[195]geoMap (23)'!$A:$C,3,0)</f>
        <v>25.829878802836312</v>
      </c>
      <c r="Z66" s="1">
        <f>Y66/VLOOKUP(A66,'[196]geoMap (24)'!$A:$B,2,0)*VLOOKUP(A66,'[196]geoMap (24)'!$A:$C,3,0)</f>
        <v>15.831216040448062</v>
      </c>
      <c r="AA66" s="1">
        <f>Z66/VLOOKUP(A66,'[197]geoMap (25)'!$A:$B,2,0)*VLOOKUP(A66,'[197]geoMap (25)'!$A:$C,3,0)</f>
        <v>9.2976983094694958</v>
      </c>
    </row>
    <row r="67" spans="1:27" x14ac:dyDescent="0.2">
      <c r="A67" s="1" t="s">
        <v>184</v>
      </c>
      <c r="B67" s="1">
        <f>Notes!$C$6*VLOOKUP('Data_Raw++ (2017)'!A67,[172]geoMap!$A:$B,2,0)</f>
        <v>3000</v>
      </c>
      <c r="C67" s="1">
        <f>B67/VLOOKUP(A67,'[173]geoMap (1)'!$A:$B,2,0)*VLOOKUP(A67,'[173]geoMap (1)'!$A:$C,3,0)</f>
        <v>896.1038961038962</v>
      </c>
      <c r="D67" s="1">
        <f>C67/VLOOKUP(A67,'[174]geoMap (2)'!$A:$B,2,0)*VLOOKUP(A67,'[174]geoMap (2)'!$A:$C,3,0)</f>
        <v>1051.9480519480521</v>
      </c>
      <c r="E67" s="1">
        <f>D67/VLOOKUP(A67,'[175]geoMap (3)'!$A:$B,2,0)*VLOOKUP(A67,'[175]geoMap (3)'!$A:$C,3,0)</f>
        <v>1953.6178107606684</v>
      </c>
      <c r="F67" s="1">
        <f>E67/VLOOKUP(A67,'[176]geoMap (4)'!$A:$B,2,0)*VLOOKUP(A67,'[176]geoMap (4)'!$A:$C,3,0)</f>
        <v>2033.3573132406959</v>
      </c>
      <c r="G67" s="1">
        <f>F67/VLOOKUP(A67,'[177]geoMap (5)'!$A:$B,2,0)*VLOOKUP(A67,'[177]geoMap (5)'!$A:$C,3,0)</f>
        <v>677.78577108023194</v>
      </c>
      <c r="H67" s="1">
        <f>G67/VLOOKUP(A67,'[178]geoMap (6)'!$A:$B,2,0)*VLOOKUP(A67,'[178]geoMap (6)'!$A:$C,3,0)</f>
        <v>705.45049643044547</v>
      </c>
      <c r="I67" s="1">
        <f>H67/VLOOKUP(A67,'[179]geoMap (7)'!$A:$B,2,0)*VLOOKUP(A67,'[179]geoMap (7)'!$A:$C,3,0)</f>
        <v>176.36262410761137</v>
      </c>
      <c r="J67" s="1">
        <f>I67/VLOOKUP(A67,'[180]geoMap (8)'!$A:$B,2,0)*VLOOKUP(A67,'[180]geoMap (8)'!$A:$C,3,0)</f>
        <v>342.35097620889263</v>
      </c>
      <c r="K67" s="1">
        <f>J67/VLOOKUP(A67,'[181]geoMap (9)'!$A:$B,2,0)*VLOOKUP(A67,'[181]geoMap (9)'!$A:$C,3,0)</f>
        <v>492.65140478840647</v>
      </c>
      <c r="L67" s="1">
        <f>K67/VLOOKUP(A67,'[182]geoMap (10)'!$A:$B,2,0)*VLOOKUP(A67,'[182]geoMap (10)'!$A:$C,3,0)</f>
        <v>155.57412782791781</v>
      </c>
      <c r="M67" s="1">
        <f>L67/VLOOKUP(A67,'[183]geoMap (11)'!$A:$B,2,0)*VLOOKUP(A67,'[183]geoMap (11)'!$A:$C,3,0)</f>
        <v>206.22616944630965</v>
      </c>
      <c r="N67" s="1">
        <f>J67/78*22</f>
        <v>96.560531751226122</v>
      </c>
      <c r="O67" s="1">
        <f>H67/VLOOKUP(A67,'[201]geoMap (28)'!$A:$B,2,0)*VLOOKUP(A67,'[201]geoMap (28)'!$A:$C,3,0)</f>
        <v>187.52481550682728</v>
      </c>
      <c r="P67" s="1">
        <f>O67/VLOOKUP(A67,'[186]geoMap (14)'!$A:$B,2,0)*VLOOKUP(A67,'[186]geoMap (14)'!$A:$C,3,0)</f>
        <v>96.603692836850428</v>
      </c>
      <c r="Q67" s="1">
        <f>P67/VLOOKUP(A67,'[187]geoMap (15)'!$A:$B,2,0)*VLOOKUP(A67,'[187]geoMap (15)'!$A:$C,3,0)</f>
        <v>96.603692836850428</v>
      </c>
      <c r="R67" s="1">
        <f>Q67/VLOOKUP(A67,'[188]geoMap (16)'!$A:$B,2,0)*VLOOKUP(A67,'[188]geoMap (16)'!$A:$C,3,0)</f>
        <v>49.765538734135063</v>
      </c>
      <c r="S67" s="1">
        <f>R67/VLOOKUP(A67,'[189]geoMap (17)'!$A:$B,2,0)*VLOOKUP(A67,'[189]geoMap (17)'!$A:$C,3,0)</f>
        <v>71.613824032048015</v>
      </c>
      <c r="T67" s="1">
        <f>R67/50*27</f>
        <v>26.873390916432932</v>
      </c>
      <c r="U67" s="1">
        <f>H67/VLOOKUP(A67,'[203]geoMap (33)'!$A:$B,2,0)*VLOOKUP(A67,'[203]geoMap (33)'!$A:$C,3,0)</f>
        <v>21.818056590632334</v>
      </c>
      <c r="V67" s="1">
        <f>U67/VLOOKUP(A67,'[192]geoMap (20)'!$A:$B,2,0)*VLOOKUP(A67,'[192]geoMap (20)'!$A:$C,3,0)</f>
        <v>15.16170034264281</v>
      </c>
      <c r="W67" s="1">
        <f>V67/40*21</f>
        <v>7.9598926798874752</v>
      </c>
      <c r="X67" s="1">
        <f>V67/56*44</f>
        <v>11.912764554933636</v>
      </c>
      <c r="Y67" s="1">
        <f>X67/VLOOKUP(A67,'[195]geoMap (23)'!$A:$B,2,0)*VLOOKUP(A67,'[195]geoMap (23)'!$A:$C,3,0)</f>
        <v>12.90549493451144</v>
      </c>
      <c r="Z67" s="1">
        <f>Y67/VLOOKUP(A67,'[196]geoMap (24)'!$A:$B,2,0)*VLOOKUP(A67,'[196]geoMap (24)'!$A:$C,3,0)</f>
        <v>11.912764554933636</v>
      </c>
      <c r="AA67" s="1">
        <f>Z67/VLOOKUP(A67,'[197]geoMap (25)'!$A:$B,2,0)*VLOOKUP(A67,'[197]geoMap (25)'!$A:$C,3,0)</f>
        <v>11.912764554933636</v>
      </c>
    </row>
    <row r="68" spans="1:27" x14ac:dyDescent="0.2">
      <c r="A68" s="1" t="s">
        <v>189</v>
      </c>
      <c r="B68" s="1">
        <f>Notes!$C$6*VLOOKUP('Data_Raw++ (2017)'!A68,[172]geoMap!$A:$B,2,0)</f>
        <v>2000</v>
      </c>
      <c r="C68" s="1">
        <f>B68/VLOOKUP(A68,'[173]geoMap (1)'!$A:$B,2,0)*VLOOKUP(A68,'[173]geoMap (1)'!$A:$C,3,0)</f>
        <v>1076.9230769230767</v>
      </c>
      <c r="D68" s="1">
        <f>C68/VLOOKUP(A68,'[174]geoMap (2)'!$A:$B,2,0)*VLOOKUP(A68,'[174]geoMap (2)'!$A:$C,3,0)</f>
        <v>1757.0850202429147</v>
      </c>
      <c r="E68" s="1">
        <f>D68/VLOOKUP(A68,'[175]geoMap (3)'!$A:$B,2,0)*VLOOKUP(A68,'[175]geoMap (3)'!$A:$C,3,0)</f>
        <v>1828.8027761711969</v>
      </c>
      <c r="F68" s="1">
        <f>E68/VLOOKUP(A68,'[176]geoMap (4)'!$A:$B,2,0)*VLOOKUP(A68,'[176]geoMap (4)'!$A:$C,3,0)</f>
        <v>1981.2030075187968</v>
      </c>
      <c r="G68" s="1">
        <f>F68/VLOOKUP(A68,'[177]geoMap (5)'!$A:$B,2,0)*VLOOKUP(A68,'[177]geoMap (5)'!$A:$C,3,0)</f>
        <v>890.10569903018416</v>
      </c>
      <c r="H68" s="1">
        <f>G68/VLOOKUP(A68,'[178]geoMap (6)'!$A:$B,2,0)*VLOOKUP(A68,'[178]geoMap (6)'!$A:$C,3,0)</f>
        <v>671.48324663680569</v>
      </c>
      <c r="I68" s="1">
        <f>H68/VLOOKUP(A68,'[179]geoMap (7)'!$A:$B,2,0)*VLOOKUP(A68,'[179]geoMap (7)'!$A:$C,3,0)</f>
        <v>527.59397950034725</v>
      </c>
      <c r="J68" s="1">
        <f>I68/VLOOKUP(A68,'[180]geoMap (8)'!$A:$B,2,0)*VLOOKUP(A68,'[180]geoMap (8)'!$A:$C,3,0)</f>
        <v>825.21109614156865</v>
      </c>
      <c r="K68" s="1">
        <f>J68/VLOOKUP(A68,'[181]geoMap (9)'!$A:$B,2,0)*VLOOKUP(A68,'[181]geoMap (9)'!$A:$C,3,0)</f>
        <v>406.44725630853384</v>
      </c>
      <c r="L68" s="1">
        <f>K68/VLOOKUP(A68,'[182]geoMap (10)'!$A:$B,2,0)*VLOOKUP(A68,'[182]geoMap (10)'!$A:$C,3,0)</f>
        <v>158.0628218977632</v>
      </c>
      <c r="M68" s="1">
        <f>L68/VLOOKUP(A68,'[183]geoMap (11)'!$A:$B,2,0)*VLOOKUP(A68,'[183]geoMap (11)'!$A:$C,3,0)</f>
        <v>209.52513600401167</v>
      </c>
      <c r="N68" s="1">
        <f>M68/VLOOKUP(A68,'[184]geoMap (12)'!$A:$B,2,0)*VLOOKUP(A68,'[184]geoMap (12)'!$A:$C,3,0)</f>
        <v>107.9371912747939</v>
      </c>
      <c r="O68" s="1">
        <f>N68/VLOOKUP(A68,'[185]geoMap (13)'!$A:$B,2,0)*VLOOKUP(A68,'[185]geoMap (13)'!$A:$C,3,0)</f>
        <v>183.78494730573016</v>
      </c>
      <c r="P68" s="1">
        <f>O68/VLOOKUP(A68,'[186]geoMap (14)'!$A:$B,2,0)*VLOOKUP(A68,'[186]geoMap (14)'!$A:$C,3,0)</f>
        <v>78.764977416741488</v>
      </c>
      <c r="Q68" s="1">
        <f>P68/VLOOKUP(A68,'[187]geoMap (15)'!$A:$B,2,0)*VLOOKUP(A68,'[187]geoMap (15)'!$A:$C,3,0)</f>
        <v>85.328725534803283</v>
      </c>
      <c r="R68" s="1">
        <f>Q68/VLOOKUP(A68,'[188]geoMap (16)'!$A:$B,2,0)*VLOOKUP(A68,'[188]geoMap (16)'!$A:$C,3,0)</f>
        <v>42.027581233559822</v>
      </c>
      <c r="S68" s="1">
        <f>R68/VLOOKUP(A68,'[189]geoMap (17)'!$A:$B,2,0)*VLOOKUP(A68,'[189]geoMap (17)'!$A:$C,3,0)</f>
        <v>68.57131674949234</v>
      </c>
      <c r="T68" s="1">
        <f>S68/VLOOKUP(A68,'[190]geoMap (18)'!$A:$B,2,0)*VLOOKUP(A68,'[190]geoMap (18)'!$A:$C,3,0)</f>
        <v>19.340627801138865</v>
      </c>
      <c r="U68" s="1">
        <f>T68/VLOOKUP(A68,'[191]geoMap (19)'!$A:$B,2,0)*VLOOKUP(A68,'[191]geoMap (19)'!$A:$C,3,0)</f>
        <v>41.098834077420086</v>
      </c>
      <c r="V68" s="1">
        <f>U68/VLOOKUP(A68,'[192]geoMap (20)'!$A:$B,2,0)*VLOOKUP(A68,'[192]geoMap (20)'!$A:$C,3,0)</f>
        <v>29.761224676752477</v>
      </c>
      <c r="W68" s="1">
        <f>V68/VLOOKUP(A68,'[193]geoMap (21)'!$A:$B,2,0)*VLOOKUP(A68,'[193]geoMap (21)'!$A:$C,3,0)</f>
        <v>6.5329517583115191</v>
      </c>
      <c r="X68" s="1">
        <f>W68/VLOOKUP(A68,'[194]geoMap (22)'!$A:$B,2,0)*VLOOKUP(A68,'[194]geoMap (22)'!$A:$C,3,0)</f>
        <v>14.541086171725638</v>
      </c>
      <c r="Y68" s="1">
        <f>X68/VLOOKUP(A68,'[195]geoMap (23)'!$A:$B,2,0)*VLOOKUP(A68,'[195]geoMap (23)'!$A:$C,3,0)</f>
        <v>16.397395044711892</v>
      </c>
      <c r="Z68" s="1">
        <f>Y68/VLOOKUP(A68,'[196]geoMap (24)'!$A:$B,2,0)*VLOOKUP(A68,'[196]geoMap (24)'!$A:$C,3,0)</f>
        <v>23.596251405804917</v>
      </c>
      <c r="AA68" s="1">
        <f>Z68/VLOOKUP(A68,'[197]geoMap (25)'!$A:$B,2,0)*VLOOKUP(A68,'[197]geoMap (25)'!$A:$C,3,0)</f>
        <v>6.6553529606116424</v>
      </c>
    </row>
  </sheetData>
  <conditionalFormatting sqref="A1:AA1">
    <cfRule type="colorScale" priority="4">
      <colorScale>
        <cfvo type="min"/>
        <cfvo type="max"/>
        <color rgb="FFFFEF9C"/>
        <color rgb="FF63BE7B"/>
      </colorScale>
    </cfRule>
    <cfRule type="cellIs" dxfId="15" priority="5" operator="equal">
      <formula>#DIV/0!</formula>
    </cfRule>
  </conditionalFormatting>
  <conditionalFormatting sqref="A2:A68">
    <cfRule type="colorScale" priority="2">
      <colorScale>
        <cfvo type="min"/>
        <cfvo type="max"/>
        <color rgb="FFFFEF9C"/>
        <color rgb="FF63BE7B"/>
      </colorScale>
    </cfRule>
    <cfRule type="cellIs" dxfId="14" priority="3" operator="equal">
      <formula>#DIV/0!</formula>
    </cfRule>
  </conditionalFormatting>
  <conditionalFormatting sqref="B2:AA68">
    <cfRule type="colorScale" priority="1">
      <colorScale>
        <cfvo type="min"/>
        <cfvo type="max"/>
        <color rgb="FFFFEF9C"/>
        <color rgb="FF63BE7B"/>
      </colorScale>
    </cfRule>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A128"/>
  <sheetViews>
    <sheetView zoomScale="70" zoomScaleNormal="70" workbookViewId="0">
      <pane xSplit="1" ySplit="1" topLeftCell="B2" activePane="bottomRight" state="frozen"/>
      <selection pane="topRight" activeCell="B1" sqref="B1"/>
      <selection pane="bottomLeft" activeCell="A2" sqref="A2"/>
      <selection pane="bottomRight"/>
    </sheetView>
  </sheetViews>
  <sheetFormatPr baseColWidth="10" defaultColWidth="8.83203125" defaultRowHeight="15" x14ac:dyDescent="0.2"/>
  <cols>
    <col min="1" max="1" width="21.5" customWidth="1"/>
    <col min="2" max="2" width="17.1640625" bestFit="1" customWidth="1"/>
    <col min="3" max="9" width="16" bestFit="1" customWidth="1"/>
    <col min="10" max="10" width="14.5" bestFit="1" customWidth="1"/>
    <col min="11" max="11" width="16" bestFit="1" customWidth="1"/>
    <col min="12" max="21" width="14.5" bestFit="1" customWidth="1"/>
    <col min="22" max="27" width="13.1640625" bestFit="1" customWidth="1"/>
  </cols>
  <sheetData>
    <row r="1" spans="1:27" ht="100" x14ac:dyDescent="0.2">
      <c r="A1" s="40" t="s">
        <v>0</v>
      </c>
      <c r="B1" s="3" t="s">
        <v>254</v>
      </c>
      <c r="C1" s="3" t="s">
        <v>255</v>
      </c>
      <c r="D1" s="3" t="s">
        <v>256</v>
      </c>
      <c r="E1" s="3" t="s">
        <v>257</v>
      </c>
      <c r="F1" s="3" t="s">
        <v>258</v>
      </c>
      <c r="G1" s="3" t="s">
        <v>259</v>
      </c>
      <c r="H1" s="3" t="s">
        <v>260</v>
      </c>
      <c r="I1" s="3" t="s">
        <v>261</v>
      </c>
      <c r="J1" s="3" t="s">
        <v>262</v>
      </c>
      <c r="K1" s="3" t="s">
        <v>263</v>
      </c>
      <c r="L1" s="3" t="s">
        <v>264</v>
      </c>
      <c r="M1" s="3" t="s">
        <v>265</v>
      </c>
      <c r="N1" s="3" t="s">
        <v>266</v>
      </c>
      <c r="O1" s="3" t="s">
        <v>267</v>
      </c>
      <c r="P1" s="3" t="s">
        <v>268</v>
      </c>
      <c r="Q1" s="3" t="s">
        <v>269</v>
      </c>
      <c r="R1" s="3" t="s">
        <v>270</v>
      </c>
      <c r="S1" s="3" t="s">
        <v>271</v>
      </c>
      <c r="T1" s="3" t="s">
        <v>272</v>
      </c>
      <c r="U1" s="3" t="s">
        <v>273</v>
      </c>
      <c r="V1" s="3" t="s">
        <v>274</v>
      </c>
      <c r="W1" s="3" t="s">
        <v>275</v>
      </c>
      <c r="X1" s="3" t="s">
        <v>276</v>
      </c>
      <c r="Y1" s="3" t="s">
        <v>277</v>
      </c>
      <c r="Z1" s="3" t="s">
        <v>278</v>
      </c>
      <c r="AA1" s="3" t="s">
        <v>279</v>
      </c>
    </row>
    <row r="2" spans="1:27" x14ac:dyDescent="0.2">
      <c r="A2" s="1" t="s">
        <v>7</v>
      </c>
      <c r="B2" s="42">
        <f>'Data_Raw++ (2017)'!B4</f>
        <v>26000</v>
      </c>
      <c r="C2" s="42">
        <f>'Data_Raw++ (2017)'!C4</f>
        <v>1659.5744680851064</v>
      </c>
      <c r="D2" s="42">
        <f>'Data_Raw++ (2017)'!D4</f>
        <v>3221.5269086357944</v>
      </c>
      <c r="E2" s="42">
        <f>'Data_Raw++ (2017)'!E4</f>
        <v>2147.6846057571961</v>
      </c>
      <c r="F2" s="42">
        <f>'Data_Raw++ (2017)'!F4</f>
        <v>2624.9478514810176</v>
      </c>
      <c r="G2" s="42">
        <f>'Data_Raw++ (2017)'!G4</f>
        <v>1608.8390057464301</v>
      </c>
      <c r="H2" s="42">
        <f>'Data_Raw++ (2017)'!H4</f>
        <v>2132.6470541289887</v>
      </c>
      <c r="I2" s="42">
        <f>'Data_Raw++ (2017)'!I4</f>
        <v>468.14203627221701</v>
      </c>
      <c r="J2" s="42">
        <f>'Data_Raw++ (2017)'!J4</f>
        <v>507.15387262823509</v>
      </c>
      <c r="K2" s="42">
        <f>'Data_Raw++ (2017)'!K4</f>
        <v>941.85719202386531</v>
      </c>
      <c r="L2" s="42">
        <f>'Data_Raw++ (2017)'!L4</f>
        <v>463.89981099682916</v>
      </c>
      <c r="M2" s="42">
        <f>'Data_Raw++ (2017)'!M4</f>
        <v>272.4490953473441</v>
      </c>
      <c r="N2" s="42">
        <f>'Data_Raw++ (2017)'!N4</f>
        <v>166.98492940643672</v>
      </c>
      <c r="O2" s="42">
        <f>'Data_Raw++ (2017)'!O4</f>
        <v>188.30215443704566</v>
      </c>
      <c r="P2" s="42">
        <f>'Data_Raw++ (2017)'!P4</f>
        <v>125.53476962469711</v>
      </c>
      <c r="Q2" s="42">
        <f>'Data_Raw++ (2017)'!Q4</f>
        <v>204.81988728240054</v>
      </c>
      <c r="R2" s="42">
        <f>'Data_Raw++ (2017)'!R4</f>
        <v>68.273295760800181</v>
      </c>
      <c r="S2" s="42">
        <f>'Data_Raw++ (2017)'!S4</f>
        <v>94.2821703363431</v>
      </c>
      <c r="T2" s="42">
        <f>'Data_Raw++ (2017)'!T4</f>
        <v>38.509618869773938</v>
      </c>
      <c r="U2" s="42">
        <f>'Data_Raw++ (2017)'!U4</f>
        <v>32.804490148325947</v>
      </c>
      <c r="V2" s="42">
        <f>'Data_Raw++ (2017)'!V4</f>
        <v>7.4056959364949879</v>
      </c>
      <c r="W2" s="42">
        <f>'Data_Raw++ (2017)'!W4</f>
        <v>7.7954694068368289</v>
      </c>
      <c r="X2" s="42">
        <f>'Data_Raw++ (2017)'!X4</f>
        <v>18.514239841237469</v>
      </c>
      <c r="Y2" s="42">
        <f>'Data_Raw++ (2017)'!Y4</f>
        <v>7.9346742176732006</v>
      </c>
      <c r="Z2" s="42">
        <f>'Data_Raw++ (2017)'!Z4</f>
        <v>15.40260289313033</v>
      </c>
      <c r="AA2" s="42">
        <f>'Data_Raw++ (2017)'!AA4</f>
        <v>5.9899011251062406</v>
      </c>
    </row>
    <row r="3" spans="1:27" x14ac:dyDescent="0.2">
      <c r="A3" s="1" t="s">
        <v>11</v>
      </c>
      <c r="B3" s="42">
        <f>'Data_Raw++ (2017)'!B5</f>
        <v>21000</v>
      </c>
      <c r="C3" s="42">
        <f>'Data_Raw++ (2017)'!C5</f>
        <v>14000</v>
      </c>
      <c r="D3" s="42">
        <f>'Data_Raw++ (2017)'!D5</f>
        <v>14571.428571428572</v>
      </c>
      <c r="E3" s="42">
        <f>'Data_Raw++ (2017)'!E5</f>
        <v>4857.1428571428578</v>
      </c>
      <c r="F3" s="42">
        <f>'Data_Raw++ (2017)'!F5</f>
        <v>5701.8633540372684</v>
      </c>
      <c r="G3" s="42">
        <f>'Data_Raw++ (2017)'!G5</f>
        <v>8552.7950310559027</v>
      </c>
      <c r="H3" s="42">
        <f>'Data_Raw++ (2017)'!H5</f>
        <v>6720.0532386867808</v>
      </c>
      <c r="I3" s="42">
        <f>'Data_Raw++ (2017)'!I5</f>
        <v>2007.2886297376097</v>
      </c>
      <c r="J3" s="42">
        <f>'Data_Raw++ (2017)'!J5</f>
        <v>1780.0484075031629</v>
      </c>
      <c r="K3" s="42">
        <f>'Data_Raw++ (2017)'!K5</f>
        <v>2904.2895069788447</v>
      </c>
      <c r="L3" s="42">
        <f>'Data_Raw++ (2017)'!L5</f>
        <v>2281.9417554833776</v>
      </c>
      <c r="M3" s="42">
        <f>'Data_Raw++ (2017)'!M5</f>
        <v>1521.2945036555852</v>
      </c>
      <c r="N3" s="42">
        <f>'Data_Raw++ (2017)'!N5</f>
        <v>1583.3881568660172</v>
      </c>
      <c r="O3" s="42">
        <f>'Data_Raw++ (2017)'!O5</f>
        <v>1244.0906946804419</v>
      </c>
      <c r="P3" s="42">
        <f>'Data_Raw++ (2017)'!P5</f>
        <v>236.96965612960798</v>
      </c>
      <c r="Q3" s="42">
        <f>'Data_Raw++ (2017)'!Q5</f>
        <v>1244.0906946804419</v>
      </c>
      <c r="R3" s="42">
        <f>'Data_Raw++ (2017)'!R5</f>
        <v>1460.4542937553015</v>
      </c>
      <c r="S3" s="42">
        <f>'Data_Raw++ (2017)'!S5</f>
        <v>752.35524223757966</v>
      </c>
      <c r="T3" s="42">
        <f>'Data_Raw++ (2017)'!T5</f>
        <v>441.85942798080077</v>
      </c>
      <c r="U3" s="42">
        <f>'Data_Raw++ (2017)'!U5</f>
        <v>294.57295198720055</v>
      </c>
      <c r="V3" s="42">
        <f>'Data_Raw++ (2017)'!V5</f>
        <v>83.084678765620666</v>
      </c>
      <c r="W3" s="42">
        <f>'Data_Raw++ (2017)'!W5</f>
        <v>203.41421352962303</v>
      </c>
      <c r="X3" s="42">
        <f>'Data_Raw++ (2017)'!X5</f>
        <v>91.388994484323405</v>
      </c>
      <c r="Y3" s="42">
        <f>'Data_Raw++ (2017)'!Y5</f>
        <v>142.94176060368531</v>
      </c>
      <c r="Z3" s="42">
        <f>'Data_Raw++ (2017)'!Z5</f>
        <v>142.94176060368531</v>
      </c>
      <c r="AA3" s="42">
        <f>'Data_Raw++ (2017)'!AA5</f>
        <v>107.83325799927138</v>
      </c>
    </row>
    <row r="4" spans="1:27" x14ac:dyDescent="0.2">
      <c r="A4" s="1" t="s">
        <v>16</v>
      </c>
      <c r="B4" s="42">
        <f>'Data_Raw++ (2017)'!B6</f>
        <v>19000</v>
      </c>
      <c r="C4" s="42">
        <f>'Data_Raw++ (2017)'!C6</f>
        <v>5358.9743589743593</v>
      </c>
      <c r="D4" s="42">
        <f>'Data_Raw++ (2017)'!D6</f>
        <v>8381.985535831689</v>
      </c>
      <c r="E4" s="42">
        <f>'Data_Raw++ (2017)'!E6</f>
        <v>8381.985535831689</v>
      </c>
      <c r="F4" s="42">
        <f>'Data_Raw++ (2017)'!F6</f>
        <v>5358.9743589743593</v>
      </c>
      <c r="G4" s="42">
        <f>'Data_Raw++ (2017)'!G6</f>
        <v>5148.8185017596788</v>
      </c>
      <c r="H4" s="42">
        <f>'Data_Raw++ (2017)'!H6</f>
        <v>3884.1964136081788</v>
      </c>
      <c r="I4" s="42">
        <f>'Data_Raw++ (2017)'!I6</f>
        <v>1160.2145131556899</v>
      </c>
      <c r="J4" s="42">
        <f>'Data_Raw++ (2017)'!J6</f>
        <v>1070.9672429129446</v>
      </c>
      <c r="K4" s="42">
        <f>'Data_Raw++ (2017)'!K6</f>
        <v>1541.1479837039935</v>
      </c>
      <c r="L4" s="42">
        <f>'Data_Raw++ (2017)'!L6</f>
        <v>1070.9672429129446</v>
      </c>
      <c r="M4" s="42">
        <f>'Data_Raw++ (2017)'!M6</f>
        <v>807.92265693432671</v>
      </c>
      <c r="N4" s="42">
        <f>'Data_Raw++ (2017)'!N6</f>
        <v>716.45971463987451</v>
      </c>
      <c r="O4" s="42">
        <f>'Data_Raw++ (2017)'!O6</f>
        <v>586.1943119780791</v>
      </c>
      <c r="P4" s="42">
        <f>'Data_Raw++ (2017)'!P6</f>
        <v>499.35071020354889</v>
      </c>
      <c r="Q4" s="42">
        <f>'Data_Raw++ (2017)'!Q6</f>
        <v>408.55967198472183</v>
      </c>
      <c r="R4" s="42">
        <f>'Data_Raw++ (2017)'!R6</f>
        <v>192.26337505163377</v>
      </c>
      <c r="S4" s="42">
        <f>'Data_Raw++ (2017)'!S6</f>
        <v>327.36736833116021</v>
      </c>
      <c r="T4" s="42">
        <f>'Data_Raw++ (2017)'!T6</f>
        <v>369.15894726705307</v>
      </c>
      <c r="U4" s="42">
        <f>'Data_Raw++ (2017)'!U6</f>
        <v>98.130859400102707</v>
      </c>
      <c r="V4" s="42">
        <f>'Data_Raw++ (2017)'!V6</f>
        <v>55.198608412557775</v>
      </c>
      <c r="W4" s="42">
        <f>'Data_Raw++ (2017)'!W6</f>
        <v>102.51170133760729</v>
      </c>
      <c r="X4" s="42">
        <f>'Data_Raw++ (2017)'!X6</f>
        <v>160.33881491266783</v>
      </c>
      <c r="Y4" s="42">
        <f>'Data_Raw++ (2017)'!Y6</f>
        <v>75.453559958902503</v>
      </c>
      <c r="Z4" s="42">
        <f>'Data_Raw++ (2017)'!Z6</f>
        <v>118.01710660238595</v>
      </c>
      <c r="AA4" s="42">
        <f>'Data_Raw++ (2017)'!AA6</f>
        <v>92.727726616160382</v>
      </c>
    </row>
    <row r="5" spans="1:27" x14ac:dyDescent="0.2">
      <c r="A5" s="1" t="s">
        <v>18</v>
      </c>
      <c r="B5" s="42">
        <f>'Data_Raw++ (2017)'!B7</f>
        <v>15000</v>
      </c>
      <c r="C5" s="42">
        <f>'Data_Raw++ (2017)'!C7</f>
        <v>3292.6829268292681</v>
      </c>
      <c r="D5" s="42">
        <f>'Data_Raw++ (2017)'!D7</f>
        <v>6114.9825783972128</v>
      </c>
      <c r="E5" s="42">
        <f>'Data_Raw++ (2017)'!E7</f>
        <v>5422.7203997107354</v>
      </c>
      <c r="F5" s="42">
        <f>'Data_Raw++ (2017)'!F7</f>
        <v>5005.5880612714482</v>
      </c>
      <c r="G5" s="42">
        <f>'Data_Raw++ (2017)'!G7</f>
        <v>3200.294006386664</v>
      </c>
      <c r="H5" s="42">
        <f>'Data_Raw++ (2017)'!H7</f>
        <v>1723.2352342082036</v>
      </c>
      <c r="I5" s="42">
        <f>'Data_Raw++ (2017)'!I7</f>
        <v>1101.7405595757368</v>
      </c>
      <c r="J5" s="42">
        <f>'Data_Raw++ (2017)'!J7</f>
        <v>865.65329680950742</v>
      </c>
      <c r="K5" s="42">
        <f>'Data_Raw++ (2017)'!K7</f>
        <v>1016.2016962546393</v>
      </c>
      <c r="L5" s="42">
        <f>'Data_Raw++ (2017)'!L7</f>
        <v>766.60829717455249</v>
      </c>
      <c r="M5" s="42">
        <f>'Data_Raw++ (2017)'!M7</f>
        <v>450.23026976918163</v>
      </c>
      <c r="N5" s="42">
        <f>'Data_Raw++ (2017)'!N7</f>
        <v>399.26080526701008</v>
      </c>
      <c r="O5" s="42">
        <f>'Data_Raw++ (2017)'!O7</f>
        <v>368.54843563108619</v>
      </c>
      <c r="P5" s="42">
        <f>'Data_Raw++ (2017)'!P7</f>
        <v>902.30823895886624</v>
      </c>
      <c r="Q5" s="42">
        <f>'Data_Raw++ (2017)'!Q7</f>
        <v>300.76941298628873</v>
      </c>
      <c r="R5" s="42">
        <f>'Data_Raw++ (2017)'!R7</f>
        <v>97.968571496871007</v>
      </c>
      <c r="S5" s="42">
        <f>'Data_Raw++ (2017)'!S7</f>
        <v>159.84345875805269</v>
      </c>
      <c r="T5" s="42">
        <f>'Data_Raw++ (2017)'!T7</f>
        <v>159.84345875805269</v>
      </c>
      <c r="U5" s="42">
        <f>'Data_Raw++ (2017)'!U7</f>
        <v>75.220451180260085</v>
      </c>
      <c r="V5" s="42">
        <f>'Data_Raw++ (2017)'!V7</f>
        <v>32.78840179652363</v>
      </c>
      <c r="W5" s="42">
        <f>'Data_Raw++ (2017)'!W7</f>
        <v>75.192353246572182</v>
      </c>
      <c r="X5" s="42">
        <f>'Data_Raw++ (2017)'!X7</f>
        <v>95.699358677455507</v>
      </c>
      <c r="Y5" s="42">
        <f>'Data_Raw++ (2017)'!Y7</f>
        <v>47.135505020239279</v>
      </c>
      <c r="Z5" s="42">
        <f>'Data_Raw++ (2017)'!Z7</f>
        <v>47.135505020239279</v>
      </c>
      <c r="AA5" s="42">
        <f>'Data_Raw++ (2017)'!AA7</f>
        <v>27.369002914977646</v>
      </c>
    </row>
    <row r="6" spans="1:27" x14ac:dyDescent="0.2">
      <c r="A6" s="1" t="s">
        <v>20</v>
      </c>
      <c r="B6" s="42">
        <f>'Data_Raw++ (2017)'!B8</f>
        <v>12000</v>
      </c>
      <c r="C6" s="42">
        <f>'Data_Raw++ (2017)'!C8</f>
        <v>2285.7142857142858</v>
      </c>
      <c r="D6" s="42">
        <f>'Data_Raw++ (2017)'!D8</f>
        <v>2683.2298136645963</v>
      </c>
      <c r="E6" s="42">
        <f>'Data_Raw++ (2017)'!E8</f>
        <v>1575.8651286601596</v>
      </c>
      <c r="F6" s="42">
        <f>'Data_Raw++ (2017)'!F8</f>
        <v>3858.1525563748737</v>
      </c>
      <c r="G6" s="42">
        <f>'Data_Raw++ (2017)'!G8</f>
        <v>846.91153676521628</v>
      </c>
      <c r="H6" s="42">
        <f>'Data_Raw++ (2017)'!H8</f>
        <v>846.91153676521628</v>
      </c>
      <c r="I6" s="42">
        <f>'Data_Raw++ (2017)'!I8</f>
        <v>564.60769117681082</v>
      </c>
      <c r="J6" s="42">
        <f>'Data_Raw++ (2017)'!J8</f>
        <v>564.60769117681082</v>
      </c>
      <c r="K6" s="42">
        <f>'Data_Raw++ (2017)'!K8</f>
        <v>779.69633543464352</v>
      </c>
      <c r="L6" s="42">
        <f>'Data_Raw++ (2017)'!L8</f>
        <v>207.2610511914875</v>
      </c>
      <c r="M6" s="42">
        <f>'Data_Raw++ (2017)'!M8</f>
        <v>243.30645139870273</v>
      </c>
      <c r="N6" s="42">
        <f>'Data_Raw++ (2017)'!N8</f>
        <v>130.29408257926403</v>
      </c>
      <c r="O6" s="42">
        <f>'Data_Raw++ (2017)'!O8</f>
        <v>238.87248472865073</v>
      </c>
      <c r="P6" s="42">
        <f>'Data_Raw++ (2017)'!P8</f>
        <v>443.62032878177996</v>
      </c>
      <c r="Q6" s="42">
        <f>'Data_Raw++ (2017)'!Q8</f>
        <v>238.8724847286507</v>
      </c>
      <c r="R6" s="42">
        <f>'Data_Raw++ (2017)'!R8</f>
        <v>70.25661315548551</v>
      </c>
      <c r="S6" s="42">
        <f>'Data_Raw++ (2017)'!S8</f>
        <v>102.3739220265646</v>
      </c>
      <c r="T6" s="42">
        <f>'Data_Raw++ (2017)'!T8</f>
        <v>38.86536046899198</v>
      </c>
      <c r="U6" s="42">
        <f>'Data_Raw++ (2017)'!U8</f>
        <v>73.64448145784489</v>
      </c>
      <c r="V6" s="42">
        <f>'Data_Raw++ (2017)'!V8</f>
        <v>16.165861783429367</v>
      </c>
      <c r="W6" s="42">
        <f>'Data_Raw++ (2017)'!W8</f>
        <v>10.623280600539299</v>
      </c>
      <c r="X6" s="42">
        <f>'Data_Raw++ (2017)'!X8</f>
        <v>14.486291728008135</v>
      </c>
      <c r="Y6" s="42">
        <f>'Data_Raw++ (2017)'!Y8</f>
        <v>22.324285319973889</v>
      </c>
      <c r="Z6" s="42">
        <f>'Data_Raw++ (2017)'!Z8</f>
        <v>16.165861783429367</v>
      </c>
      <c r="AA6" s="42">
        <f>'Data_Raw++ (2017)'!AA8</f>
        <v>15.531906419373314</v>
      </c>
    </row>
    <row r="7" spans="1:27" x14ac:dyDescent="0.2">
      <c r="A7" s="1" t="s">
        <v>32</v>
      </c>
      <c r="B7" s="42">
        <f>'Data_Raw++ (2017)'!B9</f>
        <v>11000</v>
      </c>
      <c r="C7" s="42">
        <f>'Data_Raw++ (2017)'!C9</f>
        <v>11000</v>
      </c>
      <c r="D7" s="42">
        <f>'Data_Raw++ (2017)'!D9</f>
        <v>7965.5172413793107</v>
      </c>
      <c r="E7" s="42">
        <f>'Data_Raw++ (2017)'!E9</f>
        <v>8290.6403940886703</v>
      </c>
      <c r="F7" s="42">
        <f>'Data_Raw++ (2017)'!F9</f>
        <v>5761.2924772480592</v>
      </c>
      <c r="G7" s="42">
        <f>'Data_Raw++ (2017)'!G9</f>
        <v>6496.7766232797267</v>
      </c>
      <c r="H7" s="42">
        <f>'Data_Raw++ (2017)'!H9</f>
        <v>3199.9049040034474</v>
      </c>
      <c r="I7" s="42">
        <f>'Data_Raw++ (2017)'!I9</f>
        <v>2223.6627299007005</v>
      </c>
      <c r="J7" s="42">
        <f>'Data_Raw++ (2017)'!J9</f>
        <v>2314.4244739782798</v>
      </c>
      <c r="K7" s="42">
        <f>'Data_Raw++ (2017)'!K9</f>
        <v>4698.9830229255986</v>
      </c>
      <c r="L7" s="42">
        <f>'Data_Raw++ (2017)'!L9</f>
        <v>1483.8893756607151</v>
      </c>
      <c r="M7" s="42">
        <f>'Data_Raw++ (2017)'!M9</f>
        <v>1315.9018991708228</v>
      </c>
      <c r="N7" s="42">
        <f>'Data_Raw++ (2017)'!N9</f>
        <v>1076.6470084124912</v>
      </c>
      <c r="O7" s="42">
        <f>'Data_Raw++ (2017)'!O9</f>
        <v>993.82800776537636</v>
      </c>
      <c r="P7" s="42">
        <f>'Data_Raw++ (2017)'!P9</f>
        <v>662.55200517691765</v>
      </c>
      <c r="Q7" s="42">
        <f>'Data_Raw++ (2017)'!Q9</f>
        <v>636.5695736013522</v>
      </c>
      <c r="R7" s="42">
        <f>'Data_Raw++ (2017)'!R9</f>
        <v>611.60606091110299</v>
      </c>
      <c r="S7" s="42">
        <f>'Data_Raw++ (2017)'!S9</f>
        <v>329.32634049059391</v>
      </c>
      <c r="T7" s="42">
        <f>'Data_Raw++ (2017)'!T9</f>
        <v>316.41158203998236</v>
      </c>
      <c r="U7" s="42">
        <f>'Data_Raw++ (2017)'!U9</f>
        <v>219.87923497693689</v>
      </c>
      <c r="V7" s="42">
        <f>'Data_Raw++ (2017)'!V9</f>
        <v>329.81885246540531</v>
      </c>
      <c r="W7" s="42">
        <f>'Data_Raw++ (2017)'!W9</f>
        <v>93.025830182550209</v>
      </c>
      <c r="X7" s="42">
        <f>'Data_Raw++ (2017)'!X9</f>
        <v>180.57955270730335</v>
      </c>
      <c r="Y7" s="42">
        <f>'Data_Raw++ (2017)'!Y9</f>
        <v>307.4732924475706</v>
      </c>
      <c r="Z7" s="42">
        <f>'Data_Raw++ (2017)'!Z9</f>
        <v>125.58768283069784</v>
      </c>
      <c r="AA7" s="42">
        <f>'Data_Raw++ (2017)'!AA9</f>
        <v>67.624136908837301</v>
      </c>
    </row>
    <row r="8" spans="1:27" x14ac:dyDescent="0.2">
      <c r="A8" s="1" t="s">
        <v>37</v>
      </c>
      <c r="B8" s="42">
        <f>'Data_Raw++ (2017)'!B10</f>
        <v>10000</v>
      </c>
      <c r="C8" s="42">
        <f>'Data_Raw++ (2017)'!C10</f>
        <v>3333.3333333333335</v>
      </c>
      <c r="D8" s="42">
        <f>'Data_Raw++ (2017)'!D10</f>
        <v>5925.9259259259261</v>
      </c>
      <c r="E8" s="42">
        <f>'Data_Raw++ (2017)'!E10</f>
        <v>4656.0846560846558</v>
      </c>
      <c r="F8" s="42">
        <f>'Data_Raw++ (2017)'!F10</f>
        <v>4473.4931009440816</v>
      </c>
      <c r="G8" s="42">
        <f>'Data_Raw++ (2017)'!G10</f>
        <v>2516.339869281046</v>
      </c>
      <c r="H8" s="42">
        <f>'Data_Raw++ (2017)'!H10</f>
        <v>1898.2914803348244</v>
      </c>
      <c r="I8" s="42">
        <f>'Data_Raw++ (2017)'!I10</f>
        <v>813.55349157206763</v>
      </c>
      <c r="J8" s="42">
        <f>'Data_Raw++ (2017)'!J10</f>
        <v>1170.7233171402925</v>
      </c>
      <c r="K8" s="42">
        <f>'Data_Raw++ (2017)'!K10</f>
        <v>997.28282571210093</v>
      </c>
      <c r="L8" s="42">
        <f>'Data_Raw++ (2017)'!L10</f>
        <v>536.99844461420821</v>
      </c>
      <c r="M8" s="42">
        <f>'Data_Raw++ (2017)'!M10</f>
        <v>257.31175471097475</v>
      </c>
      <c r="N8" s="42">
        <f>'Data_Raw++ (2017)'!N10</f>
        <v>357.16982556822484</v>
      </c>
      <c r="O8" s="42">
        <f>'Data_Raw++ (2017)'!O10</f>
        <v>416.69812982959564</v>
      </c>
      <c r="P8" s="42">
        <f>'Data_Raw++ (2017)'!P10</f>
        <v>133.657890700059</v>
      </c>
      <c r="Q8" s="42">
        <f>'Data_Raw++ (2017)'!Q10</f>
        <v>289.56988683073598</v>
      </c>
      <c r="R8" s="42">
        <f>'Data_Raw++ (2017)'!R10</f>
        <v>155.92224675501166</v>
      </c>
      <c r="S8" s="42">
        <f>'Data_Raw++ (2017)'!S10</f>
        <v>121.09286176558051</v>
      </c>
      <c r="T8" s="42">
        <f>'Data_Raw++ (2017)'!T10</f>
        <v>99.687993826974662</v>
      </c>
      <c r="U8" s="42">
        <f>'Data_Raw++ (2017)'!U10</f>
        <v>57.958135945915501</v>
      </c>
      <c r="V8" s="42">
        <f>'Data_Raw++ (2017)'!V10</f>
        <v>46.9119970950469</v>
      </c>
      <c r="W8" s="42">
        <f>'Data_Raw++ (2017)'!W10</f>
        <v>31.900158024631892</v>
      </c>
      <c r="X8" s="42">
        <f>'Data_Raw++ (2017)'!X10</f>
        <v>36.153512427916141</v>
      </c>
      <c r="Y8" s="42">
        <f>'Data_Raw++ (2017)'!Y10</f>
        <v>70.367995642570349</v>
      </c>
      <c r="Z8" s="42">
        <f>'Data_Raw++ (2017)'!Z10</f>
        <v>86.005328007585987</v>
      </c>
      <c r="AA8" s="42">
        <f>'Data_Raw++ (2017)'!AA10</f>
        <v>70.367995642570349</v>
      </c>
    </row>
    <row r="9" spans="1:27" x14ac:dyDescent="0.2">
      <c r="A9" s="1" t="s">
        <v>42</v>
      </c>
      <c r="B9" s="42">
        <f>'Data_Raw++ (2017)'!B11</f>
        <v>9000</v>
      </c>
      <c r="C9" s="42">
        <f>'Data_Raw++ (2017)'!C11</f>
        <v>11454.545454545456</v>
      </c>
      <c r="D9" s="42">
        <f>'Data_Raw++ (2017)'!D11</f>
        <v>9757.575757575758</v>
      </c>
      <c r="E9" s="42">
        <f>'Data_Raw++ (2017)'!E11</f>
        <v>5254.0792540792536</v>
      </c>
      <c r="F9" s="42">
        <f>'Data_Raw++ (2017)'!F11</f>
        <v>2472.5078842725898</v>
      </c>
      <c r="G9" s="42">
        <f>'Data_Raw++ (2017)'!G11</f>
        <v>7037.1378244681391</v>
      </c>
      <c r="H9" s="42">
        <f>'Data_Raw++ (2017)'!H11</f>
        <v>3466.0529583201278</v>
      </c>
      <c r="I9" s="42">
        <f>'Data_Raw++ (2017)'!I11</f>
        <v>2408.613072730936</v>
      </c>
      <c r="J9" s="42">
        <f>'Data_Raw++ (2017)'!J11</f>
        <v>1240.8006738310883</v>
      </c>
      <c r="K9" s="42">
        <f>'Data_Raw++ (2017)'!K11</f>
        <v>1785.542433074005</v>
      </c>
      <c r="L9" s="42">
        <f>'Data_Raw++ (2017)'!L11</f>
        <v>840.25526262306118</v>
      </c>
      <c r="M9" s="42">
        <f>'Data_Raw++ (2017)'!M11</f>
        <v>715.77300149371877</v>
      </c>
      <c r="N9" s="42">
        <f>'Data_Raw++ (2017)'!N11</f>
        <v>1167.8401603318569</v>
      </c>
      <c r="O9" s="42">
        <f>'Data_Raw++ (2017)'!O11</f>
        <v>575.20485508882496</v>
      </c>
      <c r="P9" s="42">
        <f>'Data_Raw++ (2017)'!P11</f>
        <v>162.23726681992497</v>
      </c>
      <c r="Q9" s="42">
        <f>'Data_Raw++ (2017)'!Q11</f>
        <v>397.20158428326459</v>
      </c>
      <c r="R9" s="42">
        <f>'Data_Raw++ (2017)'!R11</f>
        <v>413.41389384584687</v>
      </c>
      <c r="S9" s="42">
        <f>'Data_Raw++ (2017)'!S11</f>
        <v>381.61282508847404</v>
      </c>
      <c r="T9" s="42">
        <f>'Data_Raw++ (2017)'!T11</f>
        <v>276.34032161579154</v>
      </c>
      <c r="U9" s="42">
        <f>'Data_Raw++ (2017)'!U11</f>
        <v>92.113440538597175</v>
      </c>
      <c r="V9" s="42">
        <f>'Data_Raw++ (2017)'!V11</f>
        <v>23.028360134649294</v>
      </c>
      <c r="W9" s="42">
        <f>'Data_Raw++ (2017)'!W11</f>
        <v>72.923140426389438</v>
      </c>
      <c r="X9" s="42">
        <f>'Data_Raw++ (2017)'!X11</f>
        <v>109.38471063958414</v>
      </c>
      <c r="Y9" s="42">
        <f>'Data_Raw++ (2017)'!Y11</f>
        <v>164.0770659593762</v>
      </c>
      <c r="Z9" s="42">
        <f>'Data_Raw++ (2017)'!Z11</f>
        <v>51.813810302960896</v>
      </c>
      <c r="AA9" s="42">
        <f>'Data_Raw++ (2017)'!AA11</f>
        <v>71.552404704088858</v>
      </c>
    </row>
    <row r="10" spans="1:27" x14ac:dyDescent="0.2">
      <c r="A10" s="1" t="s">
        <v>43</v>
      </c>
      <c r="B10" s="42">
        <f>'Data_Raw++ (2017)'!B12</f>
        <v>10000</v>
      </c>
      <c r="C10" s="42">
        <f>'Data_Raw++ (2017)'!C12</f>
        <v>3888.8888888888891</v>
      </c>
      <c r="D10" s="42">
        <f>'Data_Raw++ (2017)'!D12</f>
        <v>9521.0727969348663</v>
      </c>
      <c r="E10" s="42">
        <f>'Data_Raw++ (2017)'!E12</f>
        <v>4080.4597701149428</v>
      </c>
      <c r="F10" s="42">
        <f>'Data_Raw++ (2017)'!F12</f>
        <v>3618.5209282151377</v>
      </c>
      <c r="G10" s="42">
        <f>'Data_Raw++ (2017)'!G12</f>
        <v>4796.6440211223917</v>
      </c>
      <c r="H10" s="42">
        <f>'Data_Raw++ (2017)'!H12</f>
        <v>3618.5209282151377</v>
      </c>
      <c r="I10" s="42">
        <f>'Data_Raw++ (2017)'!I12</f>
        <v>2035.4180221210149</v>
      </c>
      <c r="J10" s="42">
        <f>'Data_Raw++ (2017)'!J12</f>
        <v>2590.5320281540194</v>
      </c>
      <c r="K10" s="42">
        <f>'Data_Raw++ (2017)'!K12</f>
        <v>1275.933685508696</v>
      </c>
      <c r="L10" s="42">
        <f>'Data_Raw++ (2017)'!L12</f>
        <v>425.3112285028987</v>
      </c>
      <c r="M10" s="42">
        <f>'Data_Raw++ (2017)'!M12</f>
        <v>479.6062789500773</v>
      </c>
      <c r="N10" s="42">
        <f>'Data_Raw++ (2017)'!N12</f>
        <v>931.00042384426774</v>
      </c>
      <c r="O10" s="42">
        <f>'Data_Raw++ (2017)'!O12</f>
        <v>278.0910356937423</v>
      </c>
      <c r="P10" s="42">
        <f>'Data_Raw++ (2017)'!P12</f>
        <v>278.0910356937423</v>
      </c>
      <c r="Q10" s="42">
        <f>'Data_Raw++ (2017)'!Q12</f>
        <v>368.6323031289142</v>
      </c>
      <c r="R10" s="42">
        <f>'Data_Raw++ (2017)'!R12</f>
        <v>88.980211100082741</v>
      </c>
      <c r="S10" s="42">
        <f>'Data_Raw++ (2017)'!S12</f>
        <v>216.49833675825121</v>
      </c>
      <c r="T10" s="42">
        <f>'Data_Raw++ (2017)'!T12</f>
        <v>144.33222450550082</v>
      </c>
      <c r="U10" s="42">
        <f>'Data_Raw++ (2017)'!U12</f>
        <v>33.076134782510607</v>
      </c>
      <c r="V10" s="42">
        <f>'Data_Raw++ (2017)'!V12</f>
        <v>19.244296600733442</v>
      </c>
      <c r="W10" s="42">
        <f>'Data_Raw++ (2017)'!W12</f>
        <v>48.110741501833601</v>
      </c>
      <c r="X10" s="42">
        <f>'Data_Raw++ (2017)'!X12</f>
        <v>28.255514850283223</v>
      </c>
      <c r="Y10" s="42">
        <f>'Data_Raw++ (2017)'!Y12</f>
        <v>40.66037502845635</v>
      </c>
      <c r="Z10" s="42">
        <f>'Data_Raw++ (2017)'!Z12</f>
        <v>18.267704722929668</v>
      </c>
      <c r="AA10" s="42">
        <f>'Data_Raw++ (2017)'!AA12</f>
        <v>31.104470203907272</v>
      </c>
    </row>
    <row r="11" spans="1:27" x14ac:dyDescent="0.2">
      <c r="A11" s="1" t="s">
        <v>48</v>
      </c>
      <c r="B11" s="42">
        <f>'Data_Raw++ (2017)'!B13</f>
        <v>7000</v>
      </c>
      <c r="C11" s="42">
        <f>'Data_Raw++ (2017)'!C13</f>
        <v>6725.4901960784318</v>
      </c>
      <c r="D11" s="42">
        <f>'Data_Raw++ (2017)'!D13</f>
        <v>7895.1406649616374</v>
      </c>
      <c r="E11" s="42">
        <f>'Data_Raw++ (2017)'!E13</f>
        <v>4636.8286445012791</v>
      </c>
      <c r="F11" s="42">
        <f>'Data_Raw++ (2017)'!F13</f>
        <v>3949.8910675381262</v>
      </c>
      <c r="G11" s="42">
        <f>'Data_Raw++ (2017)'!G13</f>
        <v>4636.8286445012791</v>
      </c>
      <c r="H11" s="42">
        <f>'Data_Raw++ (2017)'!H13</f>
        <v>2388.6693017127805</v>
      </c>
      <c r="I11" s="42">
        <f>'Data_Raw++ (2017)'!I13</f>
        <v>2486.1660079051385</v>
      </c>
      <c r="J11" s="42">
        <f>'Data_Raw++ (2017)'!J13</f>
        <v>1523.7791661354076</v>
      </c>
      <c r="K11" s="42">
        <f>'Data_Raw++ (2017)'!K13</f>
        <v>1464.0231204046072</v>
      </c>
      <c r="L11" s="42">
        <f>'Data_Raw++ (2017)'!L13</f>
        <v>1150.3038803179056</v>
      </c>
      <c r="M11" s="42">
        <f>'Data_Raw++ (2017)'!M13</f>
        <v>1464.0231204046074</v>
      </c>
      <c r="N11" s="42">
        <f>'Data_Raw++ (2017)'!N13</f>
        <v>788.32014175632708</v>
      </c>
      <c r="O11" s="42">
        <f>'Data_Raw++ (2017)'!O13</f>
        <v>594.69765079863271</v>
      </c>
      <c r="P11" s="42">
        <f>'Data_Raw++ (2017)'!P13</f>
        <v>334.51742857423085</v>
      </c>
      <c r="Q11" s="42">
        <f>'Data_Raw++ (2017)'!Q13</f>
        <v>649.35736134997751</v>
      </c>
      <c r="R11" s="42">
        <f>'Data_Raw++ (2017)'!R13</f>
        <v>553.15627077961051</v>
      </c>
      <c r="S11" s="42">
        <f>'Data_Raw++ (2017)'!S13</f>
        <v>490.5348061630508</v>
      </c>
      <c r="T11" s="42">
        <f>'Data_Raw++ (2017)'!T13</f>
        <v>172.3500670302611</v>
      </c>
      <c r="U11" s="42">
        <f>'Data_Raw++ (2017)'!U13</f>
        <v>186.7125726161162</v>
      </c>
      <c r="V11" s="42">
        <f>'Data_Raw++ (2017)'!V13</f>
        <v>100.53753910098564</v>
      </c>
      <c r="W11" s="42">
        <f>'Data_Raw++ (2017)'!W13</f>
        <v>56.552365744304417</v>
      </c>
      <c r="X11" s="42">
        <f>'Data_Raw++ (2017)'!X13</f>
        <v>52.202183763973302</v>
      </c>
      <c r="Y11" s="42">
        <f>'Data_Raw++ (2017)'!Y13</f>
        <v>116.19195741013412</v>
      </c>
      <c r="Z11" s="42">
        <f>'Data_Raw++ (2017)'!Z13</f>
        <v>68.239721018650201</v>
      </c>
      <c r="AA11" s="42">
        <f>'Data_Raw++ (2017)'!AA13</f>
        <v>35.153795676274349</v>
      </c>
    </row>
    <row r="12" spans="1:27" x14ac:dyDescent="0.2">
      <c r="A12" s="1" t="s">
        <v>44</v>
      </c>
      <c r="B12" s="42">
        <f>'Data_Raw++ (2017)'!B14</f>
        <v>9000</v>
      </c>
      <c r="C12" s="42">
        <f>'Data_Raw++ (2017)'!C14</f>
        <v>2538.4615384615381</v>
      </c>
      <c r="D12" s="42">
        <f>'Data_Raw++ (2017)'!D14</f>
        <v>5153.8461538461534</v>
      </c>
      <c r="E12" s="42">
        <f>'Data_Raw++ (2017)'!E14</f>
        <v>4570.391872278663</v>
      </c>
      <c r="F12" s="42">
        <f>'Data_Raw++ (2017)'!F14</f>
        <v>4951.2578616352193</v>
      </c>
      <c r="G12" s="42">
        <f>'Data_Raw++ (2017)'!G14</f>
        <v>2907.881601277827</v>
      </c>
      <c r="H12" s="42">
        <f>'Data_Raw++ (2017)'!H14</f>
        <v>6472.3816286506462</v>
      </c>
      <c r="I12" s="42">
        <f>'Data_Raw++ (2017)'!I14</f>
        <v>799.95727994558547</v>
      </c>
      <c r="J12" s="42">
        <f>'Data_Raw++ (2017)'!J14</f>
        <v>977.72556437793776</v>
      </c>
      <c r="K12" s="42">
        <f>'Data_Raw++ (2017)'!K14</f>
        <v>832.87733261824326</v>
      </c>
      <c r="L12" s="42">
        <f>'Data_Raw++ (2017)'!L14</f>
        <v>977.72556437793776</v>
      </c>
      <c r="M12" s="42">
        <f>'Data_Raw++ (2017)'!M14</f>
        <v>651.81704291862525</v>
      </c>
      <c r="N12" s="42">
        <f>'Data_Raw++ (2017)'!N14</f>
        <v>434.5446952790835</v>
      </c>
      <c r="O12" s="42">
        <f>'Data_Raw++ (2017)'!O14</f>
        <v>370.16770338588594</v>
      </c>
      <c r="P12" s="42">
        <f>'Data_Raw++ (2017)'!P14</f>
        <v>452.42719302719394</v>
      </c>
      <c r="Q12" s="42">
        <f>'Data_Raw++ (2017)'!Q14</f>
        <v>327.61969150245079</v>
      </c>
      <c r="R12" s="42">
        <f>'Data_Raw++ (2017)'!R14</f>
        <v>109.20656383415026</v>
      </c>
      <c r="S12" s="42">
        <f>'Data_Raw++ (2017)'!S14</f>
        <v>280.81687843067209</v>
      </c>
      <c r="T12" s="42">
        <f>'Data_Raw++ (2017)'!T14</f>
        <v>83.88036628448647</v>
      </c>
      <c r="U12" s="42">
        <f>'Data_Raw++ (2017)'!U14</f>
        <v>63.278171056717873</v>
      </c>
      <c r="V12" s="42">
        <f>'Data_Raw++ (2017)'!V14</f>
        <v>15.819542764179468</v>
      </c>
      <c r="W12" s="42">
        <f>'Data_Raw++ (2017)'!W14</f>
        <v>24.74338740038327</v>
      </c>
      <c r="X12" s="42">
        <f>'Data_Raw++ (2017)'!X14</f>
        <v>63.625853315271257</v>
      </c>
      <c r="Y12" s="42">
        <f>'Data_Raw++ (2017)'!Y14</f>
        <v>71.748302674667599</v>
      </c>
      <c r="Z12" s="42">
        <f>'Data_Raw++ (2017)'!Z14</f>
        <v>87.692369935704846</v>
      </c>
      <c r="AA12" s="42">
        <f>'Data_Raw++ (2017)'!AA14</f>
        <v>47.218968426917989</v>
      </c>
    </row>
    <row r="13" spans="1:27" x14ac:dyDescent="0.2">
      <c r="A13" s="1" t="s">
        <v>55</v>
      </c>
      <c r="B13" s="42">
        <f>'Data_Raw++ (2017)'!B15</f>
        <v>7000</v>
      </c>
      <c r="C13" s="42">
        <f>'Data_Raw++ (2017)'!C15</f>
        <v>6461.538461538461</v>
      </c>
      <c r="D13" s="42">
        <f>'Data_Raw++ (2017)'!D15</f>
        <v>5504.273504273503</v>
      </c>
      <c r="E13" s="42">
        <f>'Data_Raw++ (2017)'!E15</f>
        <v>4503.4965034965026</v>
      </c>
      <c r="F13" s="42">
        <f>'Data_Raw++ (2017)'!F15</f>
        <v>3397.3745552692917</v>
      </c>
      <c r="G13" s="42">
        <f>'Data_Raw++ (2017)'!G15</f>
        <v>3988.2223040117774</v>
      </c>
      <c r="H13" s="42">
        <f>'Data_Raw++ (2017)'!H15</f>
        <v>1964.3482989908753</v>
      </c>
      <c r="I13" s="42">
        <f>'Data_Raw++ (2017)'!I15</f>
        <v>802.33944606669547</v>
      </c>
      <c r="J13" s="42">
        <f>'Data_Raw++ (2017)'!J15</f>
        <v>1309.0801488456609</v>
      </c>
      <c r="K13" s="42">
        <f>'Data_Raw++ (2017)'!K15</f>
        <v>1257.7436724203408</v>
      </c>
      <c r="L13" s="42">
        <f>'Data_Raw++ (2017)'!L15</f>
        <v>707.48081573644163</v>
      </c>
      <c r="M13" s="42">
        <f>'Data_Raw++ (2017)'!M15</f>
        <v>433.61727416104486</v>
      </c>
      <c r="N13" s="42">
        <f>'Data_Raw++ (2017)'!N15</f>
        <v>805.28922344194052</v>
      </c>
      <c r="O13" s="42">
        <f>'Data_Raw++ (2017)'!O15</f>
        <v>452.97518818609154</v>
      </c>
      <c r="P13" s="42">
        <f>'Data_Raw++ (2017)'!P15</f>
        <v>223.10718224091076</v>
      </c>
      <c r="Q13" s="42">
        <f>'Data_Raw++ (2017)'!Q15</f>
        <v>295.74672994725381</v>
      </c>
      <c r="R13" s="42">
        <f>'Data_Raw++ (2017)'!R15</f>
        <v>214.16142513421826</v>
      </c>
      <c r="S13" s="42">
        <f>'Data_Raw++ (2017)'!S15</f>
        <v>125.77734492009644</v>
      </c>
      <c r="T13" s="42">
        <f>'Data_Raw++ (2017)'!T15</f>
        <v>120.84490002126911</v>
      </c>
      <c r="U13" s="42">
        <f>'Data_Raw++ (2017)'!U15</f>
        <v>111.54913848117148</v>
      </c>
      <c r="V13" s="42">
        <f>'Data_Raw++ (2017)'!V15</f>
        <v>130.94898865181</v>
      </c>
      <c r="W13" s="42">
        <f>'Data_Raw++ (2017)'!W15</f>
        <v>46.009104120906215</v>
      </c>
      <c r="X13" s="42">
        <f>'Data_Raw++ (2017)'!X15</f>
        <v>58.557041608426097</v>
      </c>
      <c r="Y13" s="42">
        <f>'Data_Raw++ (2017)'!Y15</f>
        <v>56.260687035546646</v>
      </c>
      <c r="Z13" s="42">
        <f>'Data_Raw++ (2017)'!Z15</f>
        <v>46.031471210901799</v>
      </c>
      <c r="AA13" s="42">
        <f>'Data_Raw++ (2017)'!AA15</f>
        <v>47.91030677053044</v>
      </c>
    </row>
    <row r="14" spans="1:27" x14ac:dyDescent="0.2">
      <c r="A14" s="1" t="s">
        <v>60</v>
      </c>
      <c r="B14" s="42">
        <f>'Data_Raw++ (2017)'!B16</f>
        <v>7000</v>
      </c>
      <c r="C14" s="42">
        <f>'Data_Raw++ (2017)'!C16</f>
        <v>4666.666666666667</v>
      </c>
      <c r="D14" s="42">
        <f>'Data_Raw++ (2017)'!D16</f>
        <v>4483.6601307189549</v>
      </c>
      <c r="E14" s="42">
        <f>'Data_Raw++ (2017)'!E16</f>
        <v>2989.1067538126372</v>
      </c>
      <c r="F14" s="42">
        <f>'Data_Raw++ (2017)'!F16</f>
        <v>2871.8868811141019</v>
      </c>
      <c r="G14" s="42">
        <f>'Data_Raw++ (2017)'!G16</f>
        <v>3238.510738277605</v>
      </c>
      <c r="H14" s="42">
        <f>'Data_Raw++ (2017)'!H16</f>
        <v>2159.0071588517367</v>
      </c>
      <c r="I14" s="42">
        <f>'Data_Raw++ (2017)'!I16</f>
        <v>681.79173437423253</v>
      </c>
      <c r="J14" s="42">
        <f>'Data_Raw++ (2017)'!J16</f>
        <v>1323.4780726088043</v>
      </c>
      <c r="K14" s="42">
        <f>'Data_Raw++ (2017)'!K16</f>
        <v>1377.4975857765107</v>
      </c>
      <c r="L14" s="42">
        <f>'Data_Raw++ (2017)'!L16</f>
        <v>562.63985897913824</v>
      </c>
      <c r="M14" s="42">
        <f>'Data_Raw++ (2017)'!M16</f>
        <v>390.9870206465198</v>
      </c>
      <c r="N14" s="42">
        <f>'Data_Raw++ (2017)'!N16</f>
        <v>637.92619158116395</v>
      </c>
      <c r="O14" s="42">
        <f>'Data_Raw++ (2017)'!O16</f>
        <v>374.65506489687402</v>
      </c>
      <c r="P14" s="42">
        <f>'Data_Raw++ (2017)'!P16</f>
        <v>220.0355143045133</v>
      </c>
      <c r="Q14" s="42">
        <f>'Data_Raw++ (2017)'!Q16</f>
        <v>203.10970551185841</v>
      </c>
      <c r="R14" s="42">
        <f>'Data_Raw++ (2017)'!R16</f>
        <v>141.14403264383381</v>
      </c>
      <c r="S14" s="42">
        <f>'Data_Raw++ (2017)'!S16</f>
        <v>102.20774777656932</v>
      </c>
      <c r="T14" s="42">
        <f>'Data_Raw++ (2017)'!T16</f>
        <v>102.20774777656932</v>
      </c>
      <c r="U14" s="42">
        <f>'Data_Raw++ (2017)'!U16</f>
        <v>71.025723031175289</v>
      </c>
      <c r="V14" s="42">
        <f>'Data_Raw++ (2017)'!V16</f>
        <v>131.90491420075412</v>
      </c>
      <c r="W14" s="42">
        <f>'Data_Raw++ (2017)'!W16</f>
        <v>37.203950159187059</v>
      </c>
      <c r="X14" s="42">
        <f>'Data_Raw++ (2017)'!X16</f>
        <v>45.471494639006409</v>
      </c>
      <c r="Y14" s="42">
        <f>'Data_Raw++ (2017)'!Y16</f>
        <v>55.576271225452281</v>
      </c>
      <c r="Z14" s="42">
        <f>'Data_Raw++ (2017)'!Z16</f>
        <v>31.261652564316908</v>
      </c>
      <c r="AA14" s="42">
        <f>'Data_Raw++ (2017)'!AA16</f>
        <v>36.698461705937234</v>
      </c>
    </row>
    <row r="15" spans="1:27" x14ac:dyDescent="0.2">
      <c r="A15" s="1" t="s">
        <v>61</v>
      </c>
      <c r="B15" s="42">
        <f>'Data_Raw++ (2017)'!B17</f>
        <v>7000</v>
      </c>
      <c r="C15" s="42">
        <f>'Data_Raw++ (2017)'!C17</f>
        <v>3144.927536231884</v>
      </c>
      <c r="D15" s="42">
        <f>'Data_Raw++ (2017)'!D17</f>
        <v>6999.9999999999991</v>
      </c>
      <c r="E15" s="42">
        <f>'Data_Raw++ (2017)'!E17</f>
        <v>3769.2307692307686</v>
      </c>
      <c r="F15" s="42">
        <f>'Data_Raw++ (2017)'!F17</f>
        <v>3083.9160839160832</v>
      </c>
      <c r="G15" s="42">
        <f>'Data_Raw++ (2017)'!G17</f>
        <v>3083.9160839160832</v>
      </c>
      <c r="H15" s="42">
        <f>'Data_Raw++ (2017)'!H17</f>
        <v>2055.9440559440554</v>
      </c>
      <c r="I15" s="42">
        <f>'Data_Raw++ (2017)'!I17</f>
        <v>1207.4592074592072</v>
      </c>
      <c r="J15" s="42">
        <f>'Data_Raw++ (2017)'!J17</f>
        <v>874.36701229804669</v>
      </c>
      <c r="K15" s="42">
        <f>'Data_Raw++ (2017)'!K17</f>
        <v>910.05546177959957</v>
      </c>
      <c r="L15" s="42">
        <f>'Data_Raw++ (2017)'!L17</f>
        <v>303.35182059319988</v>
      </c>
      <c r="M15" s="42">
        <f>'Data_Raw++ (2017)'!M17</f>
        <v>474.47336041500495</v>
      </c>
      <c r="N15" s="42">
        <f>'Data_Raw++ (2017)'!N17</f>
        <v>372.80049746893246</v>
      </c>
      <c r="O15" s="42">
        <f>'Data_Raw++ (2017)'!O17</f>
        <v>218.94632391032542</v>
      </c>
      <c r="P15" s="42">
        <f>'Data_Raw++ (2017)'!P17</f>
        <v>98.525845759646444</v>
      </c>
      <c r="Q15" s="42">
        <f>'Data_Raw++ (2017)'!Q17</f>
        <v>107.83923416478714</v>
      </c>
      <c r="R15" s="42">
        <f>'Data_Raw++ (2017)'!R17</f>
        <v>65.271115415529053</v>
      </c>
      <c r="S15" s="42">
        <f>'Data_Raw++ (2017)'!S17</f>
        <v>121.60594490922807</v>
      </c>
      <c r="T15" s="42">
        <f>'Data_Raw++ (2017)'!T17</f>
        <v>84.505826123361871</v>
      </c>
      <c r="U15" s="42">
        <f>'Data_Raw++ (2017)'!U17</f>
        <v>31.230414002111996</v>
      </c>
      <c r="V15" s="42">
        <f>'Data_Raw++ (2017)'!V17</f>
        <v>17.790700236497237</v>
      </c>
      <c r="W15" s="42">
        <f>'Data_Raw++ (2017)'!W17</f>
        <v>30.021806649089086</v>
      </c>
      <c r="X15" s="42">
        <f>'Data_Raw++ (2017)'!X17</f>
        <v>60.043613298178165</v>
      </c>
      <c r="Y15" s="42">
        <f>'Data_Raw++ (2017)'!Y17</f>
        <v>43.47985790557729</v>
      </c>
      <c r="Z15" s="42">
        <f>'Data_Raw++ (2017)'!Z17</f>
        <v>19.534428914099944</v>
      </c>
      <c r="AA15" s="42">
        <f>'Data_Raw++ (2017)'!AA17</f>
        <v>43.47985790557729</v>
      </c>
    </row>
    <row r="16" spans="1:27" x14ac:dyDescent="0.2">
      <c r="A16" s="1" t="s">
        <v>57</v>
      </c>
      <c r="B16" s="42">
        <f>'Data_Raw++ (2017)'!B18</f>
        <v>6000</v>
      </c>
      <c r="C16" s="42">
        <f>'Data_Raw++ (2017)'!C18</f>
        <v>1500</v>
      </c>
      <c r="D16" s="42">
        <f>'Data_Raw++ (2017)'!D18</f>
        <v>1988.3720930232555</v>
      </c>
      <c r="E16" s="42">
        <f>'Data_Raw++ (2017)'!E18</f>
        <v>3110.0178890876559</v>
      </c>
      <c r="F16" s="42">
        <f>'Data_Raw++ (2017)'!F18</f>
        <v>3236.9573947647032</v>
      </c>
      <c r="G16" s="42">
        <f>'Data_Raw++ (2017)'!G18</f>
        <v>966.8833776569893</v>
      </c>
      <c r="H16" s="42">
        <f>'Data_Raw++ (2017)'!H18</f>
        <v>1795.6405585058376</v>
      </c>
      <c r="I16" s="42">
        <f>'Data_Raw++ (2017)'!I18</f>
        <v>269.74644956372526</v>
      </c>
      <c r="J16" s="42">
        <f>'Data_Raw++ (2017)'!J18</f>
        <v>536.360166826419</v>
      </c>
      <c r="K16" s="42">
        <f>'Data_Raw++ (2017)'!K18</f>
        <v>953.52918546918943</v>
      </c>
      <c r="L16" s="42">
        <f>'Data_Raw++ (2017)'!L18</f>
        <v>389.46966730431683</v>
      </c>
      <c r="M16" s="42">
        <f>'Data_Raw++ (2017)'!M18</f>
        <v>153.00594072669588</v>
      </c>
      <c r="N16" s="42">
        <f>'Data_Raw++ (2017)'!N18</f>
        <v>141.97769121875797</v>
      </c>
      <c r="O16" s="42">
        <f>'Data_Raw++ (2017)'!O18</f>
        <v>292.31357929164801</v>
      </c>
      <c r="P16" s="42">
        <f>'Data_Raw++ (2017)'!P18</f>
        <v>203.13316527046726</v>
      </c>
      <c r="Q16" s="42">
        <f>'Data_Raw++ (2017)'!Q18</f>
        <v>100.05066349142416</v>
      </c>
      <c r="R16" s="42">
        <f>'Data_Raw++ (2017)'!R18</f>
        <v>37.518998809284057</v>
      </c>
      <c r="S16" s="42">
        <f>'Data_Raw++ (2017)'!S18</f>
        <v>44.208432705513005</v>
      </c>
      <c r="T16" s="42">
        <f>'Data_Raw++ (2017)'!T18</f>
        <v>43.772165277498061</v>
      </c>
      <c r="U16" s="42">
        <f>'Data_Raw++ (2017)'!U18</f>
        <v>18.137783419250884</v>
      </c>
      <c r="V16" s="42">
        <f>'Data_Raw++ (2017)'!V18</f>
        <v>80.540784110596434</v>
      </c>
      <c r="W16" s="42">
        <f>'Data_Raw++ (2017)'!W18</f>
        <v>102.50645250439547</v>
      </c>
      <c r="X16" s="42">
        <f>'Data_Raw++ (2017)'!X18</f>
        <v>0</v>
      </c>
      <c r="Y16" s="42">
        <f>'Data_Raw++ (2017)'!Y18</f>
        <v>29.672920461798682</v>
      </c>
      <c r="Z16" s="42">
        <f>'Data_Raw++ (2017)'!Z18</f>
        <v>16.320106253989277</v>
      </c>
      <c r="AA16" s="42">
        <f>'Data_Raw++ (2017)'!AA18</f>
        <v>0</v>
      </c>
    </row>
    <row r="17" spans="1:27" x14ac:dyDescent="0.2">
      <c r="A17" s="1" t="s">
        <v>71</v>
      </c>
      <c r="B17" s="42">
        <f>'Data_Raw++ (2017)'!B19</f>
        <v>7000</v>
      </c>
      <c r="C17" s="42">
        <f>'Data_Raw++ (2017)'!C19</f>
        <v>5727.272727272727</v>
      </c>
      <c r="D17" s="42">
        <f>'Data_Raw++ (2017)'!D19</f>
        <v>4878.7878787878781</v>
      </c>
      <c r="E17" s="42">
        <f>'Data_Raw++ (2017)'!E19</f>
        <v>4503.4965034965026</v>
      </c>
      <c r="F17" s="42">
        <f>'Data_Raw++ (2017)'!F19</f>
        <v>3836.3118363118356</v>
      </c>
      <c r="G17" s="42">
        <f>'Data_Raw++ (2017)'!G19</f>
        <v>3685.8682348878419</v>
      </c>
      <c r="H17" s="42">
        <f>'Data_Raw++ (2017)'!H19</f>
        <v>1163.9583899645816</v>
      </c>
      <c r="I17" s="42">
        <f>'Data_Raw++ (2017)'!I19</f>
        <v>952.32959178920305</v>
      </c>
      <c r="J17" s="42">
        <f>'Data_Raw++ (2017)'!J19</f>
        <v>1693.0303854030278</v>
      </c>
      <c r="K17" s="42">
        <f>'Data_Raw++ (2017)'!K19</f>
        <v>1128.6869236020186</v>
      </c>
      <c r="L17" s="42">
        <f>'Data_Raw++ (2017)'!L19</f>
        <v>721.6195085324382</v>
      </c>
      <c r="M17" s="42">
        <f>'Data_Raw++ (2017)'!M19</f>
        <v>781.75446757680811</v>
      </c>
      <c r="N17" s="42">
        <f>'Data_Raw++ (2017)'!N19</f>
        <v>751.09742963261942</v>
      </c>
      <c r="O17" s="42">
        <f>'Data_Raw++ (2017)'!O19</f>
        <v>460.3500375167668</v>
      </c>
      <c r="P17" s="42">
        <f>'Data_Raw++ (2017)'!P19</f>
        <v>226.7395707172135</v>
      </c>
      <c r="Q17" s="42">
        <f>'Data_Raw++ (2017)'!Q19</f>
        <v>266.17253953759848</v>
      </c>
      <c r="R17" s="42">
        <f>'Data_Raw++ (2017)'!R19</f>
        <v>149.72205348989914</v>
      </c>
      <c r="S17" s="42">
        <f>'Data_Raw++ (2017)'!S19</f>
        <v>190.55534080532618</v>
      </c>
      <c r="T17" s="42">
        <f>'Data_Raw++ (2017)'!T19</f>
        <v>149.72205348989914</v>
      </c>
      <c r="U17" s="42">
        <f>'Data_Raw++ (2017)'!U19</f>
        <v>138.20497245221461</v>
      </c>
      <c r="V17" s="42">
        <f>'Data_Raw++ (2017)'!V19</f>
        <v>81.167999694157771</v>
      </c>
      <c r="W17" s="42">
        <f>'Data_Raw++ (2017)'!W19</f>
        <v>54.111999796105181</v>
      </c>
      <c r="X17" s="42">
        <f>'Data_Raw++ (2017)'!X19</f>
        <v>120.44283825584701</v>
      </c>
      <c r="Y17" s="42">
        <f>'Data_Raw++ (2017)'!Y19</f>
        <v>59.322591976760464</v>
      </c>
      <c r="Z17" s="42">
        <f>'Data_Raw++ (2017)'!Z19</f>
        <v>56.99621582080907</v>
      </c>
      <c r="AA17" s="42">
        <f>'Data_Raw++ (2017)'!AA19</f>
        <v>41.273121801275536</v>
      </c>
    </row>
    <row r="18" spans="1:27" x14ac:dyDescent="0.2">
      <c r="A18" s="1" t="s">
        <v>79</v>
      </c>
      <c r="B18" s="42">
        <f>'Data_Raw++ (2017)'!B20</f>
        <v>6000</v>
      </c>
      <c r="C18" s="42">
        <f>'Data_Raw++ (2017)'!C20</f>
        <v>5111.1111111111104</v>
      </c>
      <c r="D18" s="42">
        <f>'Data_Raw++ (2017)'!D20</f>
        <v>5999.9999999999991</v>
      </c>
      <c r="E18" s="42">
        <f>'Data_Raw++ (2017)'!E20</f>
        <v>3836.0655737704915</v>
      </c>
      <c r="F18" s="42">
        <f>'Data_Raw++ (2017)'!F20</f>
        <v>2893.8740293356341</v>
      </c>
      <c r="G18" s="42">
        <f>'Data_Raw++ (2017)'!G20</f>
        <v>3397.1564692200923</v>
      </c>
      <c r="H18" s="42">
        <f>'Data_Raw++ (2017)'!H20</f>
        <v>1995.155386684816</v>
      </c>
      <c r="I18" s="42">
        <f>'Data_Raw++ (2017)'!I20</f>
        <v>1841.6818954013686</v>
      </c>
      <c r="J18" s="42">
        <f>'Data_Raw++ (2017)'!J20</f>
        <v>1279.8128425670527</v>
      </c>
      <c r="K18" s="42">
        <f>'Data_Raw++ (2017)'!K20</f>
        <v>853.20856171136859</v>
      </c>
      <c r="L18" s="42">
        <f>'Data_Raw++ (2017)'!L20</f>
        <v>439.53168330585657</v>
      </c>
      <c r="M18" s="42">
        <f>'Data_Raw++ (2017)'!M20</f>
        <v>632.49681256208623</v>
      </c>
      <c r="N18" s="42">
        <f>'Data_Raw++ (2017)'!N20</f>
        <v>713.24108650618246</v>
      </c>
      <c r="O18" s="42">
        <f>'Data_Raw++ (2017)'!O20</f>
        <v>367.42722638197279</v>
      </c>
      <c r="P18" s="42">
        <f>'Data_Raw++ (2017)'!P20</f>
        <v>135.8977412645653</v>
      </c>
      <c r="Q18" s="42">
        <f>'Data_Raw++ (2017)'!Q20</f>
        <v>203.84661189684795</v>
      </c>
      <c r="R18" s="42">
        <f>'Data_Raw++ (2017)'!R20</f>
        <v>124.9382460012939</v>
      </c>
      <c r="S18" s="42">
        <f>'Data_Raw++ (2017)'!S20</f>
        <v>124.9382460012939</v>
      </c>
      <c r="T18" s="42">
        <f>'Data_Raw++ (2017)'!T20</f>
        <v>124.9382460012939</v>
      </c>
      <c r="U18" s="42">
        <f>'Data_Raw++ (2017)'!U20</f>
        <v>86.821492983950009</v>
      </c>
      <c r="V18" s="42">
        <f>'Data_Raw++ (2017)'!V20</f>
        <v>39.006757717426815</v>
      </c>
      <c r="W18" s="42">
        <f>'Data_Raw++ (2017)'!W20</f>
        <v>40.598870277321787</v>
      </c>
      <c r="X18" s="42">
        <f>'Data_Raw++ (2017)'!X20</f>
        <v>78.809571714801109</v>
      </c>
      <c r="Y18" s="42">
        <f>'Data_Raw++ (2017)'!Y20</f>
        <v>50.386447489790875</v>
      </c>
      <c r="Z18" s="42">
        <f>'Data_Raw++ (2017)'!Z20</f>
        <v>38.010828808087858</v>
      </c>
      <c r="AA18" s="42">
        <f>'Data_Raw++ (2017)'!AA20</f>
        <v>44.621407731233575</v>
      </c>
    </row>
    <row r="19" spans="1:27" x14ac:dyDescent="0.2">
      <c r="A19" s="1" t="s">
        <v>94</v>
      </c>
      <c r="B19" s="42">
        <f>'Data_Raw++ (2017)'!B21</f>
        <v>6000</v>
      </c>
      <c r="C19" s="42">
        <f>'Data_Raw++ (2017)'!C21</f>
        <v>4000</v>
      </c>
      <c r="D19" s="42">
        <f>'Data_Raw++ (2017)'!D21</f>
        <v>4695.652173913044</v>
      </c>
      <c r="E19" s="42">
        <f>'Data_Raw++ (2017)'!E21</f>
        <v>3689.4409937888199</v>
      </c>
      <c r="F19" s="42">
        <f>'Data_Raw++ (2017)'!F21</f>
        <v>3142.8571428571431</v>
      </c>
      <c r="G19" s="42">
        <f>'Data_Raw++ (2017)'!G21</f>
        <v>3689.4409937888199</v>
      </c>
      <c r="H19" s="42">
        <f>'Data_Raw++ (2017)'!H21</f>
        <v>1736.2075264888563</v>
      </c>
      <c r="I19" s="42">
        <f>'Data_Raw++ (2017)'!I21</f>
        <v>434.05188162221407</v>
      </c>
      <c r="J19" s="42">
        <f>'Data_Raw++ (2017)'!J21</f>
        <v>2119.1944808613976</v>
      </c>
      <c r="K19" s="42">
        <f>'Data_Raw++ (2017)'!K21</f>
        <v>1298.861133431179</v>
      </c>
      <c r="L19" s="42">
        <f>'Data_Raw++ (2017)'!L21</f>
        <v>865.90742228745285</v>
      </c>
      <c r="M19" s="42">
        <f>'Data_Raw++ (2017)'!M21</f>
        <v>627.03640924263834</v>
      </c>
      <c r="N19" s="42">
        <f>'Data_Raw++ (2017)'!N21</f>
        <v>1067.6565887104382</v>
      </c>
      <c r="O19" s="42">
        <f>'Data_Raw++ (2017)'!O21</f>
        <v>502.42662998138263</v>
      </c>
      <c r="P19" s="42">
        <f>'Data_Raw++ (2017)'!P21</f>
        <v>394.76378069965779</v>
      </c>
      <c r="Q19" s="42">
        <f>'Data_Raw++ (2017)'!Q21</f>
        <v>252.38995815224021</v>
      </c>
      <c r="R19" s="42">
        <f>'Data_Raw++ (2017)'!R21</f>
        <v>512.42809685454836</v>
      </c>
      <c r="S19" s="42">
        <f>'Data_Raw++ (2017)'!S21</f>
        <v>112.48421638270574</v>
      </c>
      <c r="T19" s="42">
        <f>'Data_Raw++ (2017)'!T21</f>
        <v>95.819888029712288</v>
      </c>
      <c r="U19" s="42">
        <f>'Data_Raw++ (2017)'!U21</f>
        <v>78.398090206128231</v>
      </c>
      <c r="V19" s="42">
        <f>'Data_Raw++ (2017)'!V21</f>
        <v>56.771030838920446</v>
      </c>
      <c r="W19" s="42">
        <f>'Data_Raw++ (2017)'!W21</f>
        <v>96.664187644648322</v>
      </c>
      <c r="X19" s="42">
        <f>'Data_Raw++ (2017)'!X21</f>
        <v>19.798689035650863</v>
      </c>
      <c r="Y19" s="42">
        <f>'Data_Raw++ (2017)'!Y21</f>
        <v>27.341046763517859</v>
      </c>
      <c r="Z19" s="42">
        <f>'Data_Raw++ (2017)'!Z21</f>
        <v>28.457007855906348</v>
      </c>
      <c r="AA19" s="42">
        <f>'Data_Raw++ (2017)'!AA21</f>
        <v>40.950328378011577</v>
      </c>
    </row>
    <row r="20" spans="1:27" x14ac:dyDescent="0.2">
      <c r="A20" s="1" t="s">
        <v>78</v>
      </c>
      <c r="B20" s="42">
        <f>'Data_Raw++ (2017)'!B22</f>
        <v>7000</v>
      </c>
      <c r="C20" s="42">
        <f>'Data_Raw++ (2017)'!C22</f>
        <v>4864.406779661017</v>
      </c>
      <c r="D20" s="42">
        <f>'Data_Raw++ (2017)'!D22</f>
        <v>6448.1671265273944</v>
      </c>
      <c r="E20" s="42">
        <f>'Data_Raw++ (2017)'!E22</f>
        <v>4669.3624019681129</v>
      </c>
      <c r="F20" s="42">
        <f>'Data_Raw++ (2017)'!F22</f>
        <v>4310.1806787397954</v>
      </c>
      <c r="G20" s="42">
        <f>'Data_Raw++ (2017)'!G22</f>
        <v>4310.1806787397954</v>
      </c>
      <c r="H20" s="42">
        <f>'Data_Raw++ (2017)'!H22</f>
        <v>2641.7236418082621</v>
      </c>
      <c r="I20" s="42">
        <f>'Data_Raw++ (2017)'!I22</f>
        <v>1551.4884880461223</v>
      </c>
      <c r="J20" s="42">
        <f>'Data_Raw++ (2017)'!J22</f>
        <v>1170.4211401049695</v>
      </c>
      <c r="K20" s="42">
        <f>'Data_Raw++ (2017)'!K22</f>
        <v>1124.5222718655589</v>
      </c>
      <c r="L20" s="42">
        <f>'Data_Raw++ (2017)'!L22</f>
        <v>298.92364188831311</v>
      </c>
      <c r="M20" s="42">
        <f>'Data_Raw++ (2017)'!M22</f>
        <v>1274.3586838396507</v>
      </c>
      <c r="N20" s="42">
        <f>'Data_Raw++ (2017)'!N22</f>
        <v>885.5712887699267</v>
      </c>
      <c r="O20" s="42">
        <f>'Data_Raw++ (2017)'!O22</f>
        <v>456.20339118450772</v>
      </c>
      <c r="P20" s="42">
        <f>'Data_Raw++ (2017)'!P22</f>
        <v>144.06422879510771</v>
      </c>
      <c r="Q20" s="42">
        <f>'Data_Raw++ (2017)'!Q22</f>
        <v>279.65409119050321</v>
      </c>
      <c r="R20" s="42">
        <f>'Data_Raw++ (2017)'!R22</f>
        <v>61.387483432061678</v>
      </c>
      <c r="S20" s="42">
        <f>'Data_Raw++ (2017)'!S22</f>
        <v>165.97356631631487</v>
      </c>
      <c r="T20" s="42">
        <f>'Data_Raw++ (2017)'!T22</f>
        <v>93.360131052927102</v>
      </c>
      <c r="U20" s="42">
        <f>'Data_Raw++ (2017)'!U22</f>
        <v>32.802208207785199</v>
      </c>
      <c r="V20" s="42">
        <f>'Data_Raw++ (2017)'!V22</f>
        <v>20.104579224126411</v>
      </c>
      <c r="W20" s="42">
        <f>'Data_Raw++ (2017)'!W22</f>
        <v>27.763466547603137</v>
      </c>
      <c r="X20" s="42">
        <f>'Data_Raw++ (2017)'!X22</f>
        <v>36.802734725892527</v>
      </c>
      <c r="Y20" s="42">
        <f>'Data_Raw++ (2017)'!Y22</f>
        <v>48.785020450601721</v>
      </c>
      <c r="Z20" s="42">
        <f>'Data_Raw++ (2017)'!Z22</f>
        <v>19.926275958696475</v>
      </c>
      <c r="AA20" s="42">
        <f>'Data_Raw++ (2017)'!AA22</f>
        <v>21.586798955254519</v>
      </c>
    </row>
    <row r="21" spans="1:27" x14ac:dyDescent="0.2">
      <c r="A21" s="1" t="s">
        <v>81</v>
      </c>
      <c r="B21" s="42">
        <f>'Data_Raw++ (2017)'!B23</f>
        <v>6000</v>
      </c>
      <c r="C21" s="42">
        <f>'Data_Raw++ (2017)'!C23</f>
        <v>3836.0655737704924</v>
      </c>
      <c r="D21" s="42">
        <f>'Data_Raw++ (2017)'!D23</f>
        <v>4155.7377049180341</v>
      </c>
      <c r="E21" s="42">
        <f>'Data_Raw++ (2017)'!E23</f>
        <v>3265.2224824355976</v>
      </c>
      <c r="F21" s="42">
        <f>'Data_Raw++ (2017)'!F23</f>
        <v>2781.4858183710649</v>
      </c>
      <c r="G21" s="42">
        <f>'Data_Raw++ (2017)'!G23</f>
        <v>3136.5691143333288</v>
      </c>
      <c r="H21" s="42">
        <f>'Data_Raw++ (2017)'!H23</f>
        <v>1842.1120195290978</v>
      </c>
      <c r="I21" s="42">
        <f>'Data_Raw++ (2017)'!I23</f>
        <v>614.03733984303256</v>
      </c>
      <c r="J21" s="42">
        <f>'Data_Raw++ (2017)'!J23</f>
        <v>1140.3550597084891</v>
      </c>
      <c r="K21" s="42">
        <f>'Data_Raw++ (2017)'!K23</f>
        <v>1186.9001641863865</v>
      </c>
      <c r="L21" s="42">
        <f>'Data_Raw++ (2017)'!L23</f>
        <v>508.67149893702282</v>
      </c>
      <c r="M21" s="42">
        <f>'Data_Raw++ (2017)'!M23</f>
        <v>399.6704634505179</v>
      </c>
      <c r="N21" s="42">
        <f>'Data_Raw++ (2017)'!N23</f>
        <v>625.12559667901519</v>
      </c>
      <c r="O21" s="42">
        <f>'Data_Raw++ (2017)'!O23</f>
        <v>367.13725519243746</v>
      </c>
      <c r="P21" s="42">
        <f>'Data_Raw++ (2017)'!P23</f>
        <v>189.13131328095261</v>
      </c>
      <c r="Q21" s="42">
        <f>'Data_Raw++ (2017)'!Q23</f>
        <v>167.72022121141077</v>
      </c>
      <c r="R21" s="42">
        <f>'Data_Raw++ (2017)'!R23</f>
        <v>102.79626461344532</v>
      </c>
      <c r="S21" s="42">
        <f>'Data_Raw++ (2017)'!S23</f>
        <v>91.158951638338294</v>
      </c>
      <c r="T21" s="42">
        <f>'Data_Raw++ (2017)'!T23</f>
        <v>87.584090789776013</v>
      </c>
      <c r="U21" s="42">
        <f>'Data_Raw++ (2017)'!U23</f>
        <v>58.389393859850685</v>
      </c>
      <c r="V21" s="42">
        <f>'Data_Raw++ (2017)'!V23</f>
        <v>87.584090789776013</v>
      </c>
      <c r="W21" s="42">
        <f>'Data_Raw++ (2017)'!W23</f>
        <v>37.536038909904008</v>
      </c>
      <c r="X21" s="42">
        <f>'Data_Raw++ (2017)'!X23</f>
        <v>54.01527550449601</v>
      </c>
      <c r="Y21" s="42">
        <f>'Data_Raw++ (2017)'!Y23</f>
        <v>54.01527550449601</v>
      </c>
      <c r="Z21" s="42">
        <f>'Data_Raw++ (2017)'!Z23</f>
        <v>26.604538681318928</v>
      </c>
      <c r="AA21" s="42">
        <f>'Data_Raw++ (2017)'!AA23</f>
        <v>38.284580053605289</v>
      </c>
    </row>
    <row r="22" spans="1:27" x14ac:dyDescent="0.2">
      <c r="A22" s="1" t="s">
        <v>73</v>
      </c>
      <c r="B22" s="42">
        <f>'Data_Raw++ (2017)'!B24</f>
        <v>7000</v>
      </c>
      <c r="C22" s="42">
        <f>'Data_Raw++ (2017)'!C24</f>
        <v>3447.7611940298507</v>
      </c>
      <c r="D22" s="42">
        <f>'Data_Raw++ (2017)'!D24</f>
        <v>5625.2945797329139</v>
      </c>
      <c r="E22" s="42">
        <f>'Data_Raw++ (2017)'!E24</f>
        <v>5192.5796120611503</v>
      </c>
      <c r="F22" s="42">
        <f>'Data_Raw++ (2017)'!F24</f>
        <v>3461.719741374101</v>
      </c>
      <c r="G22" s="42">
        <f>'Data_Raw++ (2017)'!G24</f>
        <v>3461.719741374101</v>
      </c>
      <c r="H22" s="42">
        <f>'Data_Raw++ (2017)'!H24</f>
        <v>1346.2243438677062</v>
      </c>
      <c r="I22" s="42">
        <f>'Data_Raw++ (2017)'!I24</f>
        <v>1057.7476987531977</v>
      </c>
      <c r="J22" s="42">
        <f>'Data_Raw++ (2017)'!J24</f>
        <v>1241.7038202754929</v>
      </c>
      <c r="K22" s="42">
        <f>'Data_Raw++ (2017)'!K24</f>
        <v>1101.1335764707201</v>
      </c>
      <c r="L22" s="42">
        <f>'Data_Raw++ (2017)'!L24</f>
        <v>592.91807963807992</v>
      </c>
      <c r="M22" s="42">
        <f>'Data_Raw++ (2017)'!M24</f>
        <v>333.51641979641994</v>
      </c>
      <c r="N22" s="42">
        <f>'Data_Raw++ (2017)'!N24</f>
        <v>500.27462969462982</v>
      </c>
      <c r="O22" s="42">
        <f>'Data_Raw++ (2017)'!O24</f>
        <v>377.40015924331726</v>
      </c>
      <c r="P22" s="42">
        <f>'Data_Raw++ (2017)'!P24</f>
        <v>334.67561291388506</v>
      </c>
      <c r="Q22" s="42">
        <f>'Data_Raw++ (2017)'!Q24</f>
        <v>180.20994541516885</v>
      </c>
      <c r="R22" s="42">
        <f>'Data_Raw++ (2017)'!R24</f>
        <v>92.835426425996076</v>
      </c>
      <c r="S22" s="42">
        <f>'Data_Raw++ (2017)'!S24</f>
        <v>96.624627504608156</v>
      </c>
      <c r="T22" s="42">
        <f>'Data_Raw++ (2017)'!T24</f>
        <v>128.0838085526201</v>
      </c>
      <c r="U22" s="42">
        <f>'Data_Raw++ (2017)'!U24</f>
        <v>65.982568042258848</v>
      </c>
      <c r="V22" s="42">
        <f>'Data_Raw++ (2017)'!V24</f>
        <v>87.465264614157064</v>
      </c>
      <c r="W22" s="42">
        <f>'Data_Raw++ (2017)'!W24</f>
        <v>32.350166364140286</v>
      </c>
      <c r="X22" s="42">
        <f>'Data_Raw++ (2017)'!X24</f>
        <v>48.525249546210425</v>
      </c>
      <c r="Y22" s="42">
        <f>'Data_Raw++ (2017)'!Y24</f>
        <v>41.336323687512582</v>
      </c>
      <c r="Z22" s="42">
        <f>'Data_Raw++ (2017)'!Z24</f>
        <v>33.820628471601204</v>
      </c>
      <c r="AA22" s="42">
        <f>'Data_Raw++ (2017)'!AA24</f>
        <v>26.573350941972372</v>
      </c>
    </row>
    <row r="23" spans="1:27" x14ac:dyDescent="0.2">
      <c r="A23" s="1" t="s">
        <v>85</v>
      </c>
      <c r="B23" s="42">
        <f>'Data_Raw++ (2017)'!B25</f>
        <v>6000</v>
      </c>
      <c r="C23" s="42">
        <f>'Data_Raw++ (2017)'!C25</f>
        <v>2955.2238805970146</v>
      </c>
      <c r="D23" s="42">
        <f>'Data_Raw++ (2017)'!D25</f>
        <v>4432.8358208955215</v>
      </c>
      <c r="E23" s="42">
        <f>'Data_Raw++ (2017)'!E25</f>
        <v>3080.4452314697692</v>
      </c>
      <c r="F23" s="42">
        <f>'Data_Raw++ (2017)'!F25</f>
        <v>2624.0829749557292</v>
      </c>
      <c r="G23" s="42">
        <f>'Data_Raw++ (2017)'!G25</f>
        <v>2146.9769795092329</v>
      </c>
      <c r="H23" s="42">
        <f>'Data_Raw++ (2017)'!H25</f>
        <v>3089.5522388059694</v>
      </c>
      <c r="I23" s="42">
        <f>'Data_Raw++ (2017)'!I25</f>
        <v>821.27337993576396</v>
      </c>
      <c r="J23" s="42">
        <f>'Data_Raw++ (2017)'!J25</f>
        <v>728.29903503737557</v>
      </c>
      <c r="K23" s="42">
        <f>'Data_Raw++ (2017)'!K25</f>
        <v>672.27603234219271</v>
      </c>
      <c r="L23" s="42">
        <f>'Data_Raw++ (2017)'!L25</f>
        <v>274.59161884399424</v>
      </c>
      <c r="M23" s="42">
        <f>'Data_Raw++ (2017)'!M25</f>
        <v>395.14403687306492</v>
      </c>
      <c r="N23" s="42">
        <f>'Data_Raw++ (2017)'!N25</f>
        <v>463.86473893794579</v>
      </c>
      <c r="O23" s="42">
        <f>'Data_Raw++ (2017)'!O25</f>
        <v>260.92391565259453</v>
      </c>
      <c r="P23" s="42">
        <f>'Data_Raw++ (2017)'!P25</f>
        <v>444.27585638144473</v>
      </c>
      <c r="Q23" s="42">
        <f>'Data_Raw++ (2017)'!Q25</f>
        <v>156.09692251239952</v>
      </c>
      <c r="R23" s="42">
        <f>'Data_Raw++ (2017)'!R25</f>
        <v>49.293765003915638</v>
      </c>
      <c r="S23" s="42">
        <f>'Data_Raw++ (2017)'!S25</f>
        <v>87.633360006961141</v>
      </c>
      <c r="T23" s="42">
        <f>'Data_Raw++ (2017)'!T25</f>
        <v>74.650640005929858</v>
      </c>
      <c r="U23" s="42">
        <f>'Data_Raw++ (2017)'!U25</f>
        <v>27.610510687124744</v>
      </c>
      <c r="V23" s="42">
        <f>'Data_Raw++ (2017)'!V25</f>
        <v>43.185670561913057</v>
      </c>
      <c r="W23" s="42">
        <f>'Data_Raw++ (2017)'!W25</f>
        <v>28.790447041275371</v>
      </c>
      <c r="X23" s="42">
        <f>'Data_Raw++ (2017)'!X25</f>
        <v>29.965567328674368</v>
      </c>
      <c r="Y23" s="42">
        <f>'Data_Raw++ (2017)'!Y25</f>
        <v>29.965567328674368</v>
      </c>
      <c r="Z23" s="42">
        <f>'Data_Raw++ (2017)'!Z25</f>
        <v>14.101443448787936</v>
      </c>
      <c r="AA23" s="42">
        <f>'Data_Raw++ (2017)'!AA25</f>
        <v>24.010565872260539</v>
      </c>
    </row>
    <row r="24" spans="1:27" x14ac:dyDescent="0.2">
      <c r="A24" s="1" t="s">
        <v>70</v>
      </c>
      <c r="B24" s="42">
        <f>'Data_Raw++ (2017)'!B26</f>
        <v>6000</v>
      </c>
      <c r="C24" s="42">
        <f>'Data_Raw++ (2017)'!C26</f>
        <v>2695.6521739130435</v>
      </c>
      <c r="D24" s="42">
        <f>'Data_Raw++ (2017)'!D26</f>
        <v>2475</v>
      </c>
      <c r="E24" s="42">
        <f>'Data_Raw++ (2017)'!E26</f>
        <v>2104.8243001786777</v>
      </c>
      <c r="F24" s="42">
        <f>'Data_Raw++ (2017)'!F26</f>
        <v>4216.2764771460425</v>
      </c>
      <c r="G24" s="42">
        <f>'Data_Raw++ (2017)'!G26</f>
        <v>1000.6541754947813</v>
      </c>
      <c r="H24" s="42">
        <f>'Data_Raw++ (2017)'!H26</f>
        <v>1331.4557296250659</v>
      </c>
      <c r="I24" s="42">
        <f>'Data_Raw++ (2017)'!I26</f>
        <v>626.56740217650156</v>
      </c>
      <c r="J24" s="42">
        <f>'Data_Raw++ (2017)'!J26</f>
        <v>676.64143636683684</v>
      </c>
      <c r="K24" s="42">
        <f>'Data_Raw++ (2017)'!K26</f>
        <v>1004.4315153311901</v>
      </c>
      <c r="L24" s="42">
        <f>'Data_Raw++ (2017)'!L26</f>
        <v>328.06857520816334</v>
      </c>
      <c r="M24" s="42">
        <f>'Data_Raw++ (2017)'!M26</f>
        <v>301.82308919151029</v>
      </c>
      <c r="N24" s="42">
        <f>'Data_Raw++ (2017)'!N26</f>
        <v>184.53857355459189</v>
      </c>
      <c r="O24" s="42">
        <f>'Data_Raw++ (2017)'!O26</f>
        <v>272.70780004368828</v>
      </c>
      <c r="P24" s="42">
        <f>'Data_Raw++ (2017)'!P26</f>
        <v>136.96793390879864</v>
      </c>
      <c r="Q24" s="42">
        <f>'Data_Raw++ (2017)'!Q26</f>
        <v>197.47806210060187</v>
      </c>
      <c r="R24" s="42">
        <f>'Data_Raw++ (2017)'!R26</f>
        <v>78.991224840240747</v>
      </c>
      <c r="S24" s="42">
        <f>'Data_Raw++ (2017)'!S26</f>
        <v>101.73112290031007</v>
      </c>
      <c r="T24" s="42">
        <f>'Data_Raw++ (2017)'!T26</f>
        <v>41.964088196377894</v>
      </c>
      <c r="U24" s="42">
        <f>'Data_Raw++ (2017)'!U26</f>
        <v>100.2170979287684</v>
      </c>
      <c r="V24" s="42">
        <f>'Data_Raw++ (2017)'!V26</f>
        <v>40.933744224426526</v>
      </c>
      <c r="W24" s="42">
        <f>'Data_Raw++ (2017)'!W26</f>
        <v>42.604509294811287</v>
      </c>
      <c r="X24" s="42">
        <f>'Data_Raw++ (2017)'!X26</f>
        <v>26.982855886713814</v>
      </c>
      <c r="Y24" s="42">
        <f>'Data_Raw++ (2017)'!Y26</f>
        <v>22.041246890075818</v>
      </c>
      <c r="Z24" s="42">
        <f>'Data_Raw++ (2017)'!Z26</f>
        <v>16.530935167556866</v>
      </c>
      <c r="AA24" s="42">
        <f>'Data_Raw++ (2017)'!AA26</f>
        <v>21.176884266935591</v>
      </c>
    </row>
    <row r="25" spans="1:27" x14ac:dyDescent="0.2">
      <c r="A25" s="1" t="s">
        <v>67</v>
      </c>
      <c r="B25" s="42">
        <f>'Data_Raw++ (2017)'!B27</f>
        <v>7000</v>
      </c>
      <c r="C25" s="42">
        <f>'Data_Raw++ (2017)'!C27</f>
        <v>3000</v>
      </c>
      <c r="D25" s="42">
        <f>'Data_Raw++ (2017)'!D27</f>
        <v>4317.0731707317073</v>
      </c>
      <c r="E25" s="42">
        <f>'Data_Raw++ (2017)'!E27</f>
        <v>2878.0487804878048</v>
      </c>
      <c r="F25" s="42">
        <f>'Data_Raw++ (2017)'!F27</f>
        <v>2878.0487804878048</v>
      </c>
      <c r="G25" s="42">
        <f>'Data_Raw++ (2017)'!G27</f>
        <v>2656.6604127579735</v>
      </c>
      <c r="H25" s="42">
        <f>'Data_Raw++ (2017)'!H27</f>
        <v>1846.153846153846</v>
      </c>
      <c r="I25" s="42">
        <f>'Data_Raw++ (2017)'!I27</f>
        <v>551.44855144855137</v>
      </c>
      <c r="J25" s="42">
        <f>'Data_Raw++ (2017)'!J27</f>
        <v>827.17282717282706</v>
      </c>
      <c r="K25" s="42">
        <f>'Data_Raw++ (2017)'!K27</f>
        <v>827.17282717282706</v>
      </c>
      <c r="L25" s="42">
        <f>'Data_Raw++ (2017)'!L27</f>
        <v>247.07759772694837</v>
      </c>
      <c r="M25" s="42">
        <f>'Data_Raw++ (2017)'!M27</f>
        <v>290.04761472293939</v>
      </c>
      <c r="N25" s="42">
        <f>'Data_Raw++ (2017)'!N27</f>
        <v>563.03360505041178</v>
      </c>
      <c r="O25" s="42">
        <f>'Data_Raw++ (2017)'!O27</f>
        <v>330.67052995024187</v>
      </c>
      <c r="P25" s="42">
        <f>'Data_Raw++ (2017)'!P27</f>
        <v>77.564692210550561</v>
      </c>
      <c r="Q25" s="42">
        <f>'Data_Raw++ (2017)'!Q27</f>
        <v>126.55291886984566</v>
      </c>
      <c r="R25" s="42">
        <f>'Data_Raw++ (2017)'!R27</f>
        <v>77.564692210550561</v>
      </c>
      <c r="S25" s="42">
        <f>'Data_Raw++ (2017)'!S27</f>
        <v>116.34703831582584</v>
      </c>
      <c r="T25" s="42">
        <f>'Data_Raw++ (2017)'!T27</f>
        <v>91.415530105291722</v>
      </c>
      <c r="U25" s="42">
        <f>'Data_Raw++ (2017)'!U27</f>
        <v>28.868062138513171</v>
      </c>
      <c r="V25" s="42">
        <f>'Data_Raw++ (2017)'!V27</f>
        <v>24.591312192066773</v>
      </c>
      <c r="W25" s="42">
        <f>'Data_Raw++ (2017)'!W27</f>
        <v>49.927815662681027</v>
      </c>
      <c r="X25" s="42">
        <f>'Data_Raw++ (2017)'!X27</f>
        <v>33.285210441787356</v>
      </c>
      <c r="Y25" s="42">
        <f>'Data_Raw++ (2017)'!Y27</f>
        <v>40.681923873295659</v>
      </c>
      <c r="Z25" s="42">
        <f>'Data_Raw++ (2017)'!Z27</f>
        <v>18.277386088002398</v>
      </c>
      <c r="AA25" s="42">
        <f>'Data_Raw++ (2017)'!AA27</f>
        <v>89.236649723776409</v>
      </c>
    </row>
    <row r="26" spans="1:27" x14ac:dyDescent="0.2">
      <c r="A26" s="1" t="s">
        <v>77</v>
      </c>
      <c r="B26" s="42">
        <f>'Data_Raw++ (2017)'!B28</f>
        <v>6000</v>
      </c>
      <c r="C26" s="42">
        <f>'Data_Raw++ (2017)'!C28</f>
        <v>2450.7042253521131</v>
      </c>
      <c r="D26" s="42">
        <f>'Data_Raw++ (2017)'!D28</f>
        <v>4757.2493786246896</v>
      </c>
      <c r="E26" s="42">
        <f>'Data_Raw++ (2017)'!E28</f>
        <v>3305.8851614171572</v>
      </c>
      <c r="F26" s="42">
        <f>'Data_Raw++ (2017)'!F28</f>
        <v>2704.8151320685829</v>
      </c>
      <c r="G26" s="42">
        <f>'Data_Raw++ (2017)'!G28</f>
        <v>2815.2157497040353</v>
      </c>
      <c r="H26" s="42">
        <f>'Data_Raw++ (2017)'!H28</f>
        <v>3731.7976217006976</v>
      </c>
      <c r="I26" s="42">
        <f>'Data_Raw++ (2017)'!I28</f>
        <v>991.99683614828666</v>
      </c>
      <c r="J26" s="42">
        <f>'Data_Raw++ (2017)'!J28</f>
        <v>1032.4865029298494</v>
      </c>
      <c r="K26" s="42">
        <f>'Data_Raw++ (2017)'!K28</f>
        <v>915.60123844722489</v>
      </c>
      <c r="L26" s="42">
        <f>'Data_Raw++ (2017)'!L28</f>
        <v>174.40023589470951</v>
      </c>
      <c r="M26" s="42">
        <f>'Data_Raw++ (2017)'!M28</f>
        <v>448.45774944353872</v>
      </c>
      <c r="N26" s="42">
        <f>'Data_Raw++ (2017)'!N28</f>
        <v>485.82922856383362</v>
      </c>
      <c r="O26" s="42">
        <f>'Data_Raw++ (2017)'!O28</f>
        <v>285.32827709304513</v>
      </c>
      <c r="P26" s="42">
        <f>'Data_Raw++ (2017)'!P28</f>
        <v>465.53560999391573</v>
      </c>
      <c r="Q26" s="42">
        <f>'Data_Raw++ (2017)'!Q28</f>
        <v>131.30491563930957</v>
      </c>
      <c r="R26" s="42">
        <f>'Data_Raw++ (2017)'!R28</f>
        <v>58.992063548095608</v>
      </c>
      <c r="S26" s="42">
        <f>'Data_Raw++ (2017)'!S28</f>
        <v>119.77176538552744</v>
      </c>
      <c r="T26" s="42">
        <f>'Data_Raw++ (2017)'!T28</f>
        <v>102.02780014322707</v>
      </c>
      <c r="U26" s="42">
        <f>'Data_Raw++ (2017)'!U28</f>
        <v>16.609176767502081</v>
      </c>
      <c r="V26" s="42">
        <f>'Data_Raw++ (2017)'!V28</f>
        <v>20.300104938058102</v>
      </c>
      <c r="W26" s="42">
        <f>'Data_Raw++ (2017)'!W28</f>
        <v>33.12122384630532</v>
      </c>
      <c r="X26" s="42">
        <f>'Data_Raw++ (2017)'!X28</f>
        <v>49.681835769457969</v>
      </c>
      <c r="Y26" s="42">
        <f>'Data_Raw++ (2017)'!Y28</f>
        <v>37.47927961555601</v>
      </c>
      <c r="Z26" s="42">
        <f>'Data_Raw++ (2017)'!Z28</f>
        <v>20.181150562222463</v>
      </c>
      <c r="AA26" s="42">
        <f>'Data_Raw++ (2017)'!AA28</f>
        <v>27.869207919259591</v>
      </c>
    </row>
    <row r="27" spans="1:27" x14ac:dyDescent="0.2">
      <c r="A27" s="1" t="s">
        <v>93</v>
      </c>
      <c r="B27" s="42">
        <f>'Data_Raw++ (2017)'!B29</f>
        <v>7000</v>
      </c>
      <c r="C27" s="42">
        <f>'Data_Raw++ (2017)'!C29</f>
        <v>2333.3333333333335</v>
      </c>
      <c r="D27" s="42">
        <f>'Data_Raw++ (2017)'!D29</f>
        <v>6000</v>
      </c>
      <c r="E27" s="42">
        <f>'Data_Raw++ (2017)'!E29</f>
        <v>4714.2857142857138</v>
      </c>
      <c r="F27" s="42">
        <f>'Data_Raw++ (2017)'!F29</f>
        <v>4906.7055393585997</v>
      </c>
      <c r="G27" s="42">
        <f>'Data_Raw++ (2017)'!G29</f>
        <v>3007.3356531552708</v>
      </c>
      <c r="H27" s="42">
        <f>'Data_Raw++ (2017)'!H29</f>
        <v>2089.8434199892558</v>
      </c>
      <c r="I27" s="42">
        <f>'Data_Raw++ (2017)'!I29</f>
        <v>1029.3258635767977</v>
      </c>
      <c r="J27" s="42">
        <f>'Data_Raw++ (2017)'!J29</f>
        <v>1543.9887953651962</v>
      </c>
      <c r="K27" s="42">
        <f>'Data_Raw++ (2017)'!K29</f>
        <v>2046.6828217631669</v>
      </c>
      <c r="L27" s="42">
        <f>'Data_Raw++ (2017)'!L29</f>
        <v>795.932208463454</v>
      </c>
      <c r="M27" s="42">
        <f>'Data_Raw++ (2017)'!M29</f>
        <v>678.01632572812741</v>
      </c>
      <c r="N27" s="42">
        <f>'Data_Raw++ (2017)'!N29</f>
        <v>319.06650622500109</v>
      </c>
      <c r="O27" s="42">
        <f>'Data_Raw++ (2017)'!O29</f>
        <v>374.55633339456654</v>
      </c>
      <c r="P27" s="42">
        <f>'Data_Raw++ (2017)'!P29</f>
        <v>239.47044266209991</v>
      </c>
      <c r="Q27" s="42">
        <f>'Data_Raw++ (2017)'!Q29</f>
        <v>180.65314095561925</v>
      </c>
      <c r="R27" s="42">
        <f>'Data_Raw++ (2017)'!R29</f>
        <v>39.655567526843249</v>
      </c>
      <c r="S27" s="42">
        <f>'Data_Raw++ (2017)'!S29</f>
        <v>125.57596383500363</v>
      </c>
      <c r="T27" s="42">
        <f>'Data_Raw++ (2017)'!T29</f>
        <v>46.445904432124635</v>
      </c>
      <c r="U27" s="42">
        <f>'Data_Raw++ (2017)'!U29</f>
        <v>41.187877515280334</v>
      </c>
      <c r="V27" s="42">
        <f>'Data_Raw++ (2017)'!V29</f>
        <v>33.699172512502088</v>
      </c>
      <c r="W27" s="42">
        <f>'Data_Raw++ (2017)'!W29</f>
        <v>48.493931176527397</v>
      </c>
      <c r="X27" s="42">
        <f>'Data_Raw++ (2017)'!X29</f>
        <v>61.71954877012579</v>
      </c>
      <c r="Y27" s="42">
        <f>'Data_Raw++ (2017)'!Y29</f>
        <v>30.399180737524642</v>
      </c>
      <c r="Z27" s="42">
        <f>'Data_Raw++ (2017)'!Z29</f>
        <v>19.435541783007562</v>
      </c>
      <c r="AA27" s="42">
        <f>'Data_Raw++ (2017)'!AA29</f>
        <v>25.76339259607979</v>
      </c>
    </row>
    <row r="28" spans="1:27" x14ac:dyDescent="0.2">
      <c r="A28" s="1" t="s">
        <v>68</v>
      </c>
      <c r="B28" s="42">
        <f>'Data_Raw++ (2017)'!B30</f>
        <v>6000</v>
      </c>
      <c r="C28" s="42">
        <f>'Data_Raw++ (2017)'!C30</f>
        <v>2000</v>
      </c>
      <c r="D28" s="42">
        <f>'Data_Raw++ (2017)'!D30</f>
        <v>5692.3076923076924</v>
      </c>
      <c r="E28" s="42">
        <f>'Data_Raw++ (2017)'!E30</f>
        <v>2678.7330316742077</v>
      </c>
      <c r="F28" s="42">
        <f>'Data_Raw++ (2017)'!F30</f>
        <v>2020.7986028419464</v>
      </c>
      <c r="G28" s="42">
        <f>'Data_Raw++ (2017)'!G30</f>
        <v>2907.9784772603621</v>
      </c>
      <c r="H28" s="42">
        <f>'Data_Raw++ (2017)'!H30</f>
        <v>2105.7775180161243</v>
      </c>
      <c r="I28" s="42">
        <f>'Data_Raw++ (2017)'!I30</f>
        <v>990.95412612523489</v>
      </c>
      <c r="J28" s="42">
        <f>'Data_Raw++ (2017)'!J30</f>
        <v>1073.5336366356712</v>
      </c>
      <c r="K28" s="42">
        <f>'Data_Raw++ (2017)'!K30</f>
        <v>686.35757096378984</v>
      </c>
      <c r="L28" s="42">
        <f>'Data_Raw++ (2017)'!L30</f>
        <v>216.74449609382836</v>
      </c>
      <c r="M28" s="42">
        <f>'Data_Raw++ (2017)'!M30</f>
        <v>482.43129775723082</v>
      </c>
      <c r="N28" s="42">
        <f>'Data_Raw++ (2017)'!N30</f>
        <v>666.21464928379498</v>
      </c>
      <c r="O28" s="42">
        <f>'Data_Raw++ (2017)'!O30</f>
        <v>246.40815795428034</v>
      </c>
      <c r="P28" s="42">
        <f>'Data_Raw++ (2017)'!P30</f>
        <v>201.60667468986574</v>
      </c>
      <c r="Q28" s="42">
        <f>'Data_Raw++ (2017)'!Q30</f>
        <v>113.40375451304946</v>
      </c>
      <c r="R28" s="42">
        <f>'Data_Raw++ (2017)'!R30</f>
        <v>72.578402888351661</v>
      </c>
      <c r="S28" s="42">
        <f>'Data_Raw++ (2017)'!S30</f>
        <v>82.119960164622029</v>
      </c>
      <c r="T28" s="42">
        <f>'Data_Raw++ (2017)'!T30</f>
        <v>75.803040151958783</v>
      </c>
      <c r="U28" s="42">
        <f>'Data_Raw++ (2017)'!U30</f>
        <v>26.633500593931462</v>
      </c>
      <c r="V28" s="42">
        <f>'Data_Raw++ (2017)'!V30</f>
        <v>26.633500593931462</v>
      </c>
      <c r="W28" s="42">
        <f>'Data_Raw++ (2017)'!W30</f>
        <v>22.64246653889678</v>
      </c>
      <c r="X28" s="42">
        <f>'Data_Raw++ (2017)'!X30</f>
        <v>36.942971721357907</v>
      </c>
      <c r="Y28" s="42">
        <f>'Data_Raw++ (2017)'!Y30</f>
        <v>25.672234586028377</v>
      </c>
      <c r="Z28" s="42">
        <f>'Data_Raw++ (2017)'!Z30</f>
        <v>11.409882038234834</v>
      </c>
      <c r="AA28" s="42">
        <f>'Data_Raw++ (2017)'!AA30</f>
        <v>14.440631954640962</v>
      </c>
    </row>
    <row r="29" spans="1:27" x14ac:dyDescent="0.2">
      <c r="A29" s="1" t="s">
        <v>95</v>
      </c>
      <c r="B29" s="42">
        <f>'Data_Raw++ (2017)'!B31</f>
        <v>6000</v>
      </c>
      <c r="C29" s="42">
        <f>'Data_Raw++ (2017)'!C31</f>
        <v>1317.0731707317075</v>
      </c>
      <c r="D29" s="42">
        <f>'Data_Raw++ (2017)'!D31</f>
        <v>3560.9756097560976</v>
      </c>
      <c r="E29" s="42">
        <f>'Data_Raw++ (2017)'!E31</f>
        <v>2797.9094076655051</v>
      </c>
      <c r="F29" s="42">
        <f>'Data_Raw++ (2017)'!F31</f>
        <v>1714.8477014724062</v>
      </c>
      <c r="G29" s="42">
        <f>'Data_Raw++ (2017)'!G31</f>
        <v>1784.8414852059741</v>
      </c>
      <c r="H29" s="42">
        <f>'Data_Raw++ (2017)'!H31</f>
        <v>1857.6921580715243</v>
      </c>
      <c r="I29" s="42">
        <f>'Data_Raw++ (2017)'!I31</f>
        <v>1238.4614387143497</v>
      </c>
      <c r="J29" s="42">
        <f>'Data_Raw++ (2017)'!J31</f>
        <v>609.9884698145305</v>
      </c>
      <c r="K29" s="42">
        <f>'Data_Raw++ (2017)'!K31</f>
        <v>519.61980761978521</v>
      </c>
      <c r="L29" s="42">
        <f>'Data_Raw++ (2017)'!L31</f>
        <v>106.42815336790783</v>
      </c>
      <c r="M29" s="42">
        <f>'Data_Raw++ (2017)'!M31</f>
        <v>216.08140229241891</v>
      </c>
      <c r="N29" s="42">
        <f>'Data_Raw++ (2017)'!N31</f>
        <v>234.08818581678716</v>
      </c>
      <c r="O29" s="42">
        <f>'Data_Raw++ (2017)'!O31</f>
        <v>183.92643171318991</v>
      </c>
      <c r="P29" s="42">
        <f>'Data_Raw++ (2017)'!P31</f>
        <v>326.98032304567096</v>
      </c>
      <c r="Q29" s="42">
        <f>'Data_Raw++ (2017)'!Q31</f>
        <v>66.971873394896463</v>
      </c>
      <c r="R29" s="42">
        <f>'Data_Raw++ (2017)'!R31</f>
        <v>75.52147425381942</v>
      </c>
      <c r="S29" s="42">
        <f>'Data_Raw++ (2017)'!S31</f>
        <v>61.790297116761337</v>
      </c>
      <c r="T29" s="42">
        <f>'Data_Raw++ (2017)'!T31</f>
        <v>48.549519163169613</v>
      </c>
      <c r="U29" s="42">
        <f>'Data_Raw++ (2017)'!U31</f>
        <v>12.905568385146353</v>
      </c>
      <c r="V29" s="42">
        <f>'Data_Raw++ (2017)'!V31</f>
        <v>5.0188321497791373</v>
      </c>
      <c r="W29" s="42">
        <f>'Data_Raw++ (2017)'!W31</f>
        <v>26.348868786340468</v>
      </c>
      <c r="X29" s="42">
        <f>'Data_Raw++ (2017)'!X31</f>
        <v>32.204172961082797</v>
      </c>
      <c r="Y29" s="42">
        <f>'Data_Raw++ (2017)'!Y31</f>
        <v>14.468541475269083</v>
      </c>
      <c r="Z29" s="42">
        <f>'Data_Raw++ (2017)'!Z31</f>
        <v>14.468541475269083</v>
      </c>
      <c r="AA29" s="42">
        <f>'Data_Raw++ (2017)'!AA31</f>
        <v>16.984809557924574</v>
      </c>
    </row>
    <row r="30" spans="1:27" x14ac:dyDescent="0.2">
      <c r="A30" s="1" t="s">
        <v>108</v>
      </c>
      <c r="B30" s="42">
        <f>'Data_Raw++ (2017)'!B32</f>
        <v>6000</v>
      </c>
      <c r="C30" s="42">
        <f>'Data_Raw++ (2017)'!C32</f>
        <v>6500</v>
      </c>
      <c r="D30" s="42">
        <f>'Data_Raw++ (2017)'!D32</f>
        <v>6000</v>
      </c>
      <c r="E30" s="42">
        <f>'Data_Raw++ (2017)'!E32</f>
        <v>4714.2857142857138</v>
      </c>
      <c r="F30" s="42">
        <f>'Data_Raw++ (2017)'!F32</f>
        <v>3857.1428571428569</v>
      </c>
      <c r="G30" s="42">
        <f>'Data_Raw++ (2017)'!G32</f>
        <v>3857.1428571428569</v>
      </c>
      <c r="H30" s="42">
        <f>'Data_Raw++ (2017)'!H32</f>
        <v>3155.8441558441555</v>
      </c>
      <c r="I30" s="42">
        <f>'Data_Raw++ (2017)'!I32</f>
        <v>996.58236500341741</v>
      </c>
      <c r="J30" s="42">
        <f>'Data_Raw++ (2017)'!J32</f>
        <v>1169.9010371779248</v>
      </c>
      <c r="K30" s="42">
        <f>'Data_Raw++ (2017)'!K32</f>
        <v>1169.9010371779248</v>
      </c>
      <c r="L30" s="42">
        <f>'Data_Raw++ (2017)'!L32</f>
        <v>717.03611956066356</v>
      </c>
      <c r="M30" s="42">
        <f>'Data_Raw++ (2017)'!M32</f>
        <v>1755.5022237519695</v>
      </c>
      <c r="N30" s="42">
        <f>'Data_Raw++ (2017)'!N32</f>
        <v>524.37079410773117</v>
      </c>
      <c r="O30" s="42">
        <f>'Data_Raw++ (2017)'!O32</f>
        <v>484.03457917636717</v>
      </c>
      <c r="P30" s="42">
        <f>'Data_Raw++ (2017)'!P32</f>
        <v>128.66741978105961</v>
      </c>
      <c r="Q30" s="42">
        <f>'Data_Raw++ (2017)'!Q32</f>
        <v>484.03457917636712</v>
      </c>
      <c r="R30" s="42">
        <f>'Data_Raw++ (2017)'!R32</f>
        <v>484.03457917636712</v>
      </c>
      <c r="S30" s="42">
        <f>'Data_Raw++ (2017)'!S32</f>
        <v>524.37079410773106</v>
      </c>
      <c r="T30" s="42">
        <f>'Data_Raw++ (2017)'!T32</f>
        <v>107.40124698592082</v>
      </c>
      <c r="U30" s="42">
        <f>'Data_Raw++ (2017)'!U32</f>
        <v>107.40124698592082</v>
      </c>
      <c r="V30" s="42">
        <f>'Data_Raw++ (2017)'!V32</f>
        <v>84.386694060366352</v>
      </c>
      <c r="W30" s="42">
        <f>'Data_Raw++ (2017)'!W32</f>
        <v>69.043658776663378</v>
      </c>
      <c r="X30" s="42">
        <f>'Data_Raw++ (2017)'!X32</f>
        <v>23.014552925554458</v>
      </c>
      <c r="Y30" s="42">
        <f>'Data_Raw++ (2017)'!Y32</f>
        <v>72.879417597589125</v>
      </c>
      <c r="Z30" s="42">
        <f>'Data_Raw++ (2017)'!Z32</f>
        <v>75.85408770361316</v>
      </c>
      <c r="AA30" s="42">
        <f>'Data_Raw++ (2017)'!AA32</f>
        <v>70.019157880258305</v>
      </c>
    </row>
    <row r="31" spans="1:27" x14ac:dyDescent="0.2">
      <c r="A31" s="1" t="s">
        <v>112</v>
      </c>
      <c r="B31" s="42">
        <f>'Data_Raw++ (2017)'!B33</f>
        <v>6000</v>
      </c>
      <c r="C31" s="42">
        <f>'Data_Raw++ (2017)'!C33</f>
        <v>6500</v>
      </c>
      <c r="D31" s="42">
        <f>'Data_Raw++ (2017)'!D33</f>
        <v>7329.7872340425547</v>
      </c>
      <c r="E31" s="42">
        <f>'Data_Raw++ (2017)'!E33</f>
        <v>3610.1937122896165</v>
      </c>
      <c r="F31" s="42">
        <f>'Data_Raw++ (2017)'!F33</f>
        <v>3075.3501993578211</v>
      </c>
      <c r="G31" s="42">
        <f>'Data_Raw++ (2017)'!G33</f>
        <v>4076.6270084510647</v>
      </c>
      <c r="H31" s="42">
        <f>'Data_Raw++ (2017)'!H33</f>
        <v>2100.0805801111546</v>
      </c>
      <c r="I31" s="42">
        <f>'Data_Raw++ (2017)'!I33</f>
        <v>2465.311985347877</v>
      </c>
      <c r="J31" s="42">
        <f>'Data_Raw++ (2017)'!J33</f>
        <v>1447.8816421884358</v>
      </c>
      <c r="K31" s="42">
        <f>'Data_Raw++ (2017)'!K33</f>
        <v>1184.630434517811</v>
      </c>
      <c r="L31" s="42">
        <f>'Data_Raw++ (2017)'!L33</f>
        <v>557.47314565544036</v>
      </c>
      <c r="M31" s="42">
        <f>'Data_Raw++ (2017)'!M33</f>
        <v>603.92924112672711</v>
      </c>
      <c r="N31" s="42">
        <f>'Data_Raw++ (2017)'!N33</f>
        <v>654.25667788728776</v>
      </c>
      <c r="O31" s="42">
        <f>'Data_Raw++ (2017)'!O33</f>
        <v>384.24598542586739</v>
      </c>
      <c r="P31" s="42">
        <f>'Data_Raw++ (2017)'!P33</f>
        <v>225.66827715487452</v>
      </c>
      <c r="Q31" s="42">
        <f>'Data_Raw++ (2017)'!Q33</f>
        <v>225.66827715487452</v>
      </c>
      <c r="R31" s="42">
        <f>'Data_Raw++ (2017)'!R33</f>
        <v>144.27971818098536</v>
      </c>
      <c r="S31" s="42">
        <f>'Data_Raw++ (2017)'!S33</f>
        <v>144.27971818098536</v>
      </c>
      <c r="T31" s="42">
        <f>'Data_Raw++ (2017)'!T33</f>
        <v>92.244409984564413</v>
      </c>
      <c r="U31" s="42">
        <f>'Data_Raw++ (2017)'!U33</f>
        <v>85.148686139597913</v>
      </c>
      <c r="V31" s="42">
        <f>'Data_Raw++ (2017)'!V33</f>
        <v>59.171120876669733</v>
      </c>
      <c r="W31" s="42">
        <f>'Data_Raw++ (2017)'!W33</f>
        <v>39.447413917779826</v>
      </c>
      <c r="X31" s="42">
        <f>'Data_Raw++ (2017)'!X33</f>
        <v>67.167218292435919</v>
      </c>
      <c r="Y31" s="42">
        <f>'Data_Raw++ (2017)'!Y33</f>
        <v>44.778145528290622</v>
      </c>
      <c r="Z31" s="42">
        <f>'Data_Raw++ (2017)'!Z33</f>
        <v>43.022139821298836</v>
      </c>
      <c r="AA31" s="42">
        <f>'Data_Raw++ (2017)'!AA33</f>
        <v>35.199932581062683</v>
      </c>
    </row>
    <row r="32" spans="1:27" x14ac:dyDescent="0.2">
      <c r="A32" s="1" t="s">
        <v>117</v>
      </c>
      <c r="B32" s="42">
        <f>'Data_Raw++ (2017)'!B34</f>
        <v>5000</v>
      </c>
      <c r="C32" s="42">
        <f>'Data_Raw++ (2017)'!C34</f>
        <v>5638.2978723404267</v>
      </c>
      <c r="D32" s="42">
        <f>'Data_Raw++ (2017)'!D34</f>
        <v>5638.2978723404267</v>
      </c>
      <c r="E32" s="42">
        <f>'Data_Raw++ (2017)'!E34</f>
        <v>3604.8133937914208</v>
      </c>
      <c r="F32" s="42">
        <f>'Data_Raw++ (2017)'!F34</f>
        <v>2832.3533808361158</v>
      </c>
      <c r="G32" s="42">
        <f>'Data_Raw++ (2017)'!G34</f>
        <v>3754.5149466897346</v>
      </c>
      <c r="H32" s="42">
        <f>'Data_Raw++ (2017)'!H34</f>
        <v>1849.2387050859886</v>
      </c>
      <c r="I32" s="42">
        <f>'Data_Raw++ (2017)'!I34</f>
        <v>2170.8454364052909</v>
      </c>
      <c r="J32" s="42">
        <f>'Data_Raw++ (2017)'!J34</f>
        <v>1274.9409705872345</v>
      </c>
      <c r="K32" s="42">
        <f>'Data_Raw++ (2017)'!K34</f>
        <v>1086.0608267965331</v>
      </c>
      <c r="L32" s="42">
        <f>'Data_Raw++ (2017)'!L34</f>
        <v>487.94037145931196</v>
      </c>
      <c r="M32" s="42">
        <f>'Data_Raw++ (2017)'!M34</f>
        <v>621.01501822094258</v>
      </c>
      <c r="N32" s="42">
        <f>'Data_Raw++ (2017)'!N34</f>
        <v>596.66148809463118</v>
      </c>
      <c r="O32" s="42">
        <f>'Data_Raw++ (2017)'!O34</f>
        <v>397.77432539642086</v>
      </c>
      <c r="P32" s="42">
        <f>'Data_Raw++ (2017)'!P34</f>
        <v>118.8157075859439</v>
      </c>
      <c r="Q32" s="42">
        <f>'Data_Raw++ (2017)'!Q34</f>
        <v>241.23189115934065</v>
      </c>
      <c r="R32" s="42">
        <f>'Data_Raw++ (2017)'!R34</f>
        <v>147.85180425895072</v>
      </c>
      <c r="S32" s="42">
        <f>'Data_Raw++ (2017)'!S34</f>
        <v>125.94783325762468</v>
      </c>
      <c r="T32" s="42">
        <f>'Data_Raw++ (2017)'!T34</f>
        <v>107.28889499723584</v>
      </c>
      <c r="U32" s="42">
        <f>'Data_Raw++ (2017)'!U34</f>
        <v>87.781823179556596</v>
      </c>
      <c r="V32" s="42">
        <f>'Data_Raw++ (2017)'!V34</f>
        <v>95.09697511118631</v>
      </c>
      <c r="W32" s="42">
        <f>'Data_Raw++ (2017)'!W34</f>
        <v>46.83880863685296</v>
      </c>
      <c r="X32" s="42">
        <f>'Data_Raw++ (2017)'!X34</f>
        <v>39.89972587583771</v>
      </c>
      <c r="Y32" s="42">
        <f>'Data_Raw++ (2017)'!Y34</f>
        <v>55.099621447585406</v>
      </c>
      <c r="Z32" s="42">
        <f>'Data_Raw++ (2017)'!Z34</f>
        <v>24.754902389494895</v>
      </c>
      <c r="AA32" s="42">
        <f>'Data_Raw++ (2017)'!AA34</f>
        <v>25.765306568657955</v>
      </c>
    </row>
    <row r="33" spans="1:27" x14ac:dyDescent="0.2">
      <c r="A33" s="1" t="s">
        <v>99</v>
      </c>
      <c r="B33" s="42">
        <f>'Data_Raw++ (2017)'!B35</f>
        <v>5000</v>
      </c>
      <c r="C33" s="42">
        <f>'Data_Raw++ (2017)'!C35</f>
        <v>5204.0816326530621</v>
      </c>
      <c r="D33" s="42">
        <f>'Data_Raw++ (2017)'!D35</f>
        <v>4257.8849721706874</v>
      </c>
      <c r="E33" s="42">
        <f>'Data_Raw++ (2017)'!E35</f>
        <v>3930.3553589267885</v>
      </c>
      <c r="F33" s="42">
        <f>'Data_Raw++ (2017)'!F35</f>
        <v>3215.7452936673722</v>
      </c>
      <c r="G33" s="42">
        <f>'Data_Raw++ (2017)'!G35</f>
        <v>3089.637635092181</v>
      </c>
      <c r="H33" s="42">
        <f>'Data_Raw++ (2017)'!H35</f>
        <v>1521.7618202692831</v>
      </c>
      <c r="I33" s="42">
        <f>'Data_Raw++ (2017)'!I35</f>
        <v>972.92968836888599</v>
      </c>
      <c r="J33" s="42">
        <f>'Data_Raw++ (2017)'!J35</f>
        <v>1238.2741488331278</v>
      </c>
      <c r="K33" s="42">
        <f>'Data_Raw++ (2017)'!K35</f>
        <v>727.24037312421797</v>
      </c>
      <c r="L33" s="42">
        <f>'Data_Raw++ (2017)'!L35</f>
        <v>619.50105858729682</v>
      </c>
      <c r="M33" s="42">
        <f>'Data_Raw++ (2017)'!M35</f>
        <v>671.12614680290505</v>
      </c>
      <c r="N33" s="42">
        <f>'Data_Raw++ (2017)'!N35</f>
        <v>506.2881458337705</v>
      </c>
      <c r="O33" s="42">
        <f>'Data_Raw++ (2017)'!O35</f>
        <v>310.30563776908514</v>
      </c>
      <c r="P33" s="42">
        <f>'Data_Raw++ (2017)'!P35</f>
        <v>146.02618247956948</v>
      </c>
      <c r="Q33" s="42">
        <f>'Data_Raw++ (2017)'!Q35</f>
        <v>248.63917557332101</v>
      </c>
      <c r="R33" s="42">
        <f>'Data_Raw++ (2017)'!R35</f>
        <v>146.02618247956948</v>
      </c>
      <c r="S33" s="42">
        <f>'Data_Raw++ (2017)'!S35</f>
        <v>201.65520437654834</v>
      </c>
      <c r="T33" s="42">
        <f>'Data_Raw++ (2017)'!T35</f>
        <v>128.9270978800883</v>
      </c>
      <c r="U33" s="42">
        <f>'Data_Raw++ (2017)'!U35</f>
        <v>101.29986262006936</v>
      </c>
      <c r="V33" s="42">
        <f>'Data_Raw++ (2017)'!V35</f>
        <v>39.394391018915869</v>
      </c>
      <c r="W33" s="42">
        <f>'Data_Raw++ (2017)'!W35</f>
        <v>59.091586528373796</v>
      </c>
      <c r="X33" s="42">
        <f>'Data_Raw++ (2017)'!X35</f>
        <v>78.330707723658278</v>
      </c>
      <c r="Y33" s="42">
        <f>'Data_Raw++ (2017)'!Y35</f>
        <v>52.220471815772193</v>
      </c>
      <c r="Z33" s="42">
        <f>'Data_Raw++ (2017)'!Z35</f>
        <v>42.725840576540882</v>
      </c>
      <c r="AA33" s="42">
        <f>'Data_Raw++ (2017)'!AA35</f>
        <v>33.570303310139259</v>
      </c>
    </row>
    <row r="34" spans="1:27" x14ac:dyDescent="0.2">
      <c r="A34" s="1" t="s">
        <v>97</v>
      </c>
      <c r="B34" s="42">
        <f>'Data_Raw++ (2017)'!B36</f>
        <v>6000</v>
      </c>
      <c r="C34" s="42">
        <f>'Data_Raw++ (2017)'!C36</f>
        <v>5764.7058823529405</v>
      </c>
      <c r="D34" s="42">
        <f>'Data_Raw++ (2017)'!D36</f>
        <v>5764.7058823529405</v>
      </c>
      <c r="E34" s="42">
        <f>'Data_Raw++ (2017)'!E36</f>
        <v>4529.411764705882</v>
      </c>
      <c r="F34" s="42">
        <f>'Data_Raw++ (2017)'!F36</f>
        <v>4016.6481687014425</v>
      </c>
      <c r="G34" s="42">
        <f>'Data_Raw++ (2017)'!G36</f>
        <v>3707.6752326474848</v>
      </c>
      <c r="H34" s="42">
        <f>'Data_Raw++ (2017)'!H36</f>
        <v>1996.4405098871071</v>
      </c>
      <c r="I34" s="42">
        <f>'Data_Raw++ (2017)'!I36</f>
        <v>1330.960339924738</v>
      </c>
      <c r="J34" s="42">
        <f>'Data_Raw++ (2017)'!J36</f>
        <v>1626.7293043524576</v>
      </c>
      <c r="K34" s="42">
        <f>'Data_Raw++ (2017)'!K36</f>
        <v>1040.0400470450138</v>
      </c>
      <c r="L34" s="42">
        <f>'Data_Raw++ (2017)'!L36</f>
        <v>784.59161443746655</v>
      </c>
      <c r="M34" s="42">
        <f>'Data_Raw++ (2017)'!M36</f>
        <v>724.2384133268921</v>
      </c>
      <c r="N34" s="42">
        <f>'Data_Raw++ (2017)'!N36</f>
        <v>616.94383357475999</v>
      </c>
      <c r="O34" s="42">
        <f>'Data_Raw++ (2017)'!O36</f>
        <v>362.33209273438285</v>
      </c>
      <c r="P34" s="42">
        <f>'Data_Raw++ (2017)'!P36</f>
        <v>186.65592656013661</v>
      </c>
      <c r="Q34" s="42">
        <f>'Data_Raw++ (2017)'!Q36</f>
        <v>291.94901333764955</v>
      </c>
      <c r="R34" s="42">
        <f>'Data_Raw++ (2017)'!R36</f>
        <v>171.46211894433384</v>
      </c>
      <c r="S34" s="42">
        <f>'Data_Raw++ (2017)'!S36</f>
        <v>171.46211894433384</v>
      </c>
      <c r="T34" s="42">
        <f>'Data_Raw++ (2017)'!T36</f>
        <v>119.15164197826589</v>
      </c>
      <c r="U34" s="42">
        <f>'Data_Raw++ (2017)'!U36</f>
        <v>97.487707073126629</v>
      </c>
      <c r="V34" s="42">
        <f>'Data_Raw++ (2017)'!V36</f>
        <v>67.745694745732067</v>
      </c>
      <c r="W34" s="42">
        <f>'Data_Raw++ (2017)'!W36</f>
        <v>174.20321506045386</v>
      </c>
      <c r="X34" s="42">
        <f>'Data_Raw++ (2017)'!X36</f>
        <v>93.801731186398214</v>
      </c>
      <c r="Y34" s="42">
        <f>'Data_Raw++ (2017)'!Y36</f>
        <v>62.534487457598814</v>
      </c>
      <c r="Z34" s="42">
        <f>'Data_Raw++ (2017)'!Z36</f>
        <v>39.981065751579571</v>
      </c>
      <c r="AA34" s="42">
        <f>'Data_Raw++ (2017)'!AA36</f>
        <v>43.312821230877866</v>
      </c>
    </row>
    <row r="35" spans="1:27" x14ac:dyDescent="0.2">
      <c r="A35" s="1" t="s">
        <v>125</v>
      </c>
      <c r="B35" s="42">
        <f>'Data_Raw++ (2017)'!B37</f>
        <v>5000</v>
      </c>
      <c r="C35" s="42">
        <f>'Data_Raw++ (2017)'!C37</f>
        <v>4433.9622641509432</v>
      </c>
      <c r="D35" s="42">
        <f>'Data_Raw++ (2017)'!D37</f>
        <v>5000</v>
      </c>
      <c r="E35" s="42">
        <f>'Data_Raw++ (2017)'!E37</f>
        <v>4615.3846153846152</v>
      </c>
      <c r="F35" s="42">
        <f>'Data_Raw++ (2017)'!F37</f>
        <v>3207.3011734028682</v>
      </c>
      <c r="G35" s="42">
        <f>'Data_Raw++ (2017)'!G37</f>
        <v>3765.0926818207581</v>
      </c>
      <c r="H35" s="42">
        <f>'Data_Raw++ (2017)'!H37</f>
        <v>1322.8704017208067</v>
      </c>
      <c r="I35" s="42">
        <f>'Data_Raw++ (2017)'!I37</f>
        <v>1376.8651119951253</v>
      </c>
      <c r="J35" s="42">
        <f>'Data_Raw++ (2017)'!J37</f>
        <v>1270.952411072423</v>
      </c>
      <c r="K35" s="42">
        <f>'Data_Raw++ (2017)'!K37</f>
        <v>998.60546584261806</v>
      </c>
      <c r="L35" s="42">
        <f>'Data_Raw++ (2017)'!L37</f>
        <v>448.64883248001684</v>
      </c>
      <c r="M35" s="42">
        <f>'Data_Raw++ (2017)'!M37</f>
        <v>526.674716389585</v>
      </c>
      <c r="N35" s="42">
        <f>'Data_Raw++ (2017)'!N37</f>
        <v>593.90978656697894</v>
      </c>
      <c r="O35" s="42">
        <f>'Data_Raw++ (2017)'!O37</f>
        <v>292.5227306971687</v>
      </c>
      <c r="P35" s="42">
        <f>'Data_Raw++ (2017)'!P37</f>
        <v>316.8996249219328</v>
      </c>
      <c r="Q35" s="42">
        <f>'Data_Raw++ (2017)'!Q37</f>
        <v>186.11565273192878</v>
      </c>
      <c r="R35" s="42">
        <f>'Data_Raw++ (2017)'!R37</f>
        <v>124.07710182128585</v>
      </c>
      <c r="S35" s="42">
        <f>'Data_Raw++ (2017)'!S37</f>
        <v>186.11565273192878</v>
      </c>
      <c r="T35" s="42">
        <f>'Data_Raw++ (2017)'!T37</f>
        <v>95.877760498266326</v>
      </c>
      <c r="U35" s="42">
        <f>'Data_Raw++ (2017)'!U37</f>
        <v>127.0937755442135</v>
      </c>
      <c r="V35" s="42">
        <f>'Data_Raw++ (2017)'!V37</f>
        <v>108.26506805618186</v>
      </c>
      <c r="W35" s="42">
        <f>'Data_Raw++ (2017)'!W37</f>
        <v>23.765502744039921</v>
      </c>
      <c r="X35" s="42">
        <f>'Data_Raw++ (2017)'!X37</f>
        <v>29.046725576048797</v>
      </c>
      <c r="Y35" s="42">
        <f>'Data_Raw++ (2017)'!Y37</f>
        <v>27.907638298556687</v>
      </c>
      <c r="Z35" s="42">
        <f>'Data_Raw++ (2017)'!Z37</f>
        <v>22.833522244273652</v>
      </c>
      <c r="AA35" s="42">
        <f>'Data_Raw++ (2017)'!AA37</f>
        <v>21.077097456252602</v>
      </c>
    </row>
    <row r="36" spans="1:27" x14ac:dyDescent="0.2">
      <c r="A36" s="1" t="s">
        <v>120</v>
      </c>
      <c r="B36" s="42">
        <f>'Data_Raw++ (2017)'!B38</f>
        <v>5000</v>
      </c>
      <c r="C36" s="42">
        <f>'Data_Raw++ (2017)'!C38</f>
        <v>3771.9298245614041</v>
      </c>
      <c r="D36" s="42">
        <f>'Data_Raw++ (2017)'!D38</f>
        <v>4253.4527808883922</v>
      </c>
      <c r="E36" s="42">
        <f>'Data_Raw++ (2017)'!E38</f>
        <v>3341.9986135551649</v>
      </c>
      <c r="F36" s="42">
        <f>'Data_Raw++ (2017)'!F38</f>
        <v>2846.8877078432888</v>
      </c>
      <c r="G36" s="42">
        <f>'Data_Raw++ (2017)'!G38</f>
        <v>2627.896345701497</v>
      </c>
      <c r="H36" s="42">
        <f>'Data_Raw++ (2017)'!H38</f>
        <v>1021.9596899950267</v>
      </c>
      <c r="I36" s="42">
        <f>'Data_Raw++ (2017)'!I38</f>
        <v>710.17537779315421</v>
      </c>
      <c r="J36" s="42">
        <f>'Data_Raw++ (2017)'!J38</f>
        <v>1021.9596899950268</v>
      </c>
      <c r="K36" s="42">
        <f>'Data_Raw++ (2017)'!K38</f>
        <v>681.30645999668468</v>
      </c>
      <c r="L36" s="42">
        <f>'Data_Raw++ (2017)'!L38</f>
        <v>350.97605514980728</v>
      </c>
      <c r="M36" s="42">
        <f>'Data_Raw++ (2017)'!M38</f>
        <v>323.97789706136052</v>
      </c>
      <c r="N36" s="42">
        <f>'Data_Raw++ (2017)'!N38</f>
        <v>412.33550535082253</v>
      </c>
      <c r="O36" s="42">
        <f>'Data_Raw++ (2017)'!O38</f>
        <v>274.89033690054833</v>
      </c>
      <c r="P36" s="42">
        <f>'Data_Raw++ (2017)'!P38</f>
        <v>335.97707843400354</v>
      </c>
      <c r="Q36" s="42">
        <f>'Data_Raw++ (2017)'!Q38</f>
        <v>124.2654947632616</v>
      </c>
      <c r="R36" s="42">
        <f>'Data_Raw++ (2017)'!R38</f>
        <v>89.985358276844607</v>
      </c>
      <c r="S36" s="42">
        <f>'Data_Raw++ (2017)'!S38</f>
        <v>70.702781503235045</v>
      </c>
      <c r="T36" s="42">
        <f>'Data_Raw++ (2017)'!T38</f>
        <v>73.588609319693617</v>
      </c>
      <c r="U36" s="42">
        <f>'Data_Raw++ (2017)'!U38</f>
        <v>82.982899871143886</v>
      </c>
      <c r="V36" s="42">
        <f>'Data_Raw++ (2017)'!V38</f>
        <v>40.872174563399227</v>
      </c>
      <c r="W36" s="42">
        <f>'Data_Raw++ (2017)'!W38</f>
        <v>30.833394846073102</v>
      </c>
      <c r="X36" s="42">
        <f>'Data_Raw++ (2017)'!X38</f>
        <v>37.685260367422678</v>
      </c>
      <c r="Y36" s="42">
        <f>'Data_Raw++ (2017)'!Y38</f>
        <v>34.786394185313235</v>
      </c>
      <c r="Z36" s="42">
        <f>'Data_Raw++ (2017)'!Z38</f>
        <v>26.242367543306475</v>
      </c>
      <c r="AA36" s="42">
        <f>'Data_Raw++ (2017)'!AA38</f>
        <v>67.48037368278807</v>
      </c>
    </row>
    <row r="37" spans="1:27" x14ac:dyDescent="0.2">
      <c r="A37" s="1" t="s">
        <v>123</v>
      </c>
      <c r="B37" s="42">
        <f>'Data_Raw++ (2017)'!B39</f>
        <v>5000</v>
      </c>
      <c r="C37" s="42">
        <f>'Data_Raw++ (2017)'!C39</f>
        <v>3196.7213114754099</v>
      </c>
      <c r="D37" s="42">
        <f>'Data_Raw++ (2017)'!D39</f>
        <v>3752.6728439059161</v>
      </c>
      <c r="E37" s="42">
        <f>'Data_Raw++ (2017)'!E39</f>
        <v>3070.3686904684769</v>
      </c>
      <c r="F37" s="42">
        <f>'Data_Raw++ (2017)'!F39</f>
        <v>2412.432542510946</v>
      </c>
      <c r="G37" s="42">
        <f>'Data_Raw++ (2017)'!G39</f>
        <v>2412.432542510946</v>
      </c>
      <c r="H37" s="42">
        <f>'Data_Raw++ (2017)'!H39</f>
        <v>1746.9339100941334</v>
      </c>
      <c r="I37" s="42">
        <f>'Data_Raw++ (2017)'!I39</f>
        <v>1025.9770583092529</v>
      </c>
      <c r="J37" s="42">
        <f>'Data_Raw++ (2017)'!J39</f>
        <v>947.05574613161798</v>
      </c>
      <c r="K37" s="42">
        <f>'Data_Raw++ (2017)'!K39</f>
        <v>774.86379228950557</v>
      </c>
      <c r="L37" s="42">
        <f>'Data_Raw++ (2017)'!L39</f>
        <v>315.68524871053933</v>
      </c>
      <c r="M37" s="42">
        <f>'Data_Raw++ (2017)'!M39</f>
        <v>473.52787306580899</v>
      </c>
      <c r="N37" s="42">
        <f>'Data_Raw++ (2017)'!N39</f>
        <v>454.95815255342427</v>
      </c>
      <c r="O37" s="42">
        <f>'Data_Raw++ (2017)'!O39</f>
        <v>278.84531930693743</v>
      </c>
      <c r="P37" s="42">
        <f>'Data_Raw++ (2017)'!P39</f>
        <v>247.27792466841618</v>
      </c>
      <c r="Q37" s="42">
        <f>'Data_Raw++ (2017)'!Q39</f>
        <v>370.91688700262421</v>
      </c>
      <c r="R37" s="42">
        <f>'Data_Raw++ (2017)'!R39</f>
        <v>69.711329826734357</v>
      </c>
      <c r="S37" s="42">
        <f>'Data_Raw++ (2017)'!S39</f>
        <v>88.723510688571011</v>
      </c>
      <c r="T37" s="42">
        <f>'Data_Raw++ (2017)'!T39</f>
        <v>59.149007125714014</v>
      </c>
      <c r="U37" s="42">
        <f>'Data_Raw++ (2017)'!U39</f>
        <v>35.051263481904599</v>
      </c>
      <c r="V37" s="42">
        <f>'Data_Raw++ (2017)'!V39</f>
        <v>34.738305772244736</v>
      </c>
      <c r="W37" s="42">
        <f>'Data_Raw++ (2017)'!W39</f>
        <v>25.474757566312807</v>
      </c>
      <c r="X37" s="42">
        <f>'Data_Raw++ (2017)'!X39</f>
        <v>38.212136349469212</v>
      </c>
      <c r="Y37" s="42">
        <f>'Data_Raw++ (2017)'!Y39</f>
        <v>38.212136349469212</v>
      </c>
      <c r="Z37" s="42">
        <f>'Data_Raw++ (2017)'!Z39</f>
        <v>15.053265834639385</v>
      </c>
      <c r="AA37" s="42">
        <f>'Data_Raw++ (2017)'!AA39</f>
        <v>16.211209360380877</v>
      </c>
    </row>
    <row r="38" spans="1:27" x14ac:dyDescent="0.2">
      <c r="A38" s="1" t="s">
        <v>126</v>
      </c>
      <c r="B38" s="42">
        <f>'Data_Raw++ (2017)'!B40</f>
        <v>5000</v>
      </c>
      <c r="C38" s="42">
        <f>'Data_Raw++ (2017)'!C40</f>
        <v>2936.5079365079364</v>
      </c>
      <c r="D38" s="42">
        <f>'Data_Raw++ (2017)'!D40</f>
        <v>3589.0652557319222</v>
      </c>
      <c r="E38" s="42">
        <f>'Data_Raw++ (2017)'!E40</f>
        <v>5164.7524411752056</v>
      </c>
      <c r="F38" s="42">
        <f>'Data_Raw++ (2017)'!F40</f>
        <v>4962.2131297565702</v>
      </c>
      <c r="G38" s="42">
        <f>'Data_Raw++ (2017)'!G40</f>
        <v>2444.0751236114452</v>
      </c>
      <c r="H38" s="42">
        <f>'Data_Raw++ (2017)'!H40</f>
        <v>1098.0627366949973</v>
      </c>
      <c r="I38" s="42">
        <f>'Data_Raw++ (2017)'!I40</f>
        <v>673.00619345822417</v>
      </c>
      <c r="J38" s="42">
        <f>'Data_Raw++ (2017)'!J40</f>
        <v>968.4723271715909</v>
      </c>
      <c r="K38" s="42">
        <f>'Data_Raw++ (2017)'!K40</f>
        <v>858.833950510656</v>
      </c>
      <c r="L38" s="42">
        <f>'Data_Raw++ (2017)'!L40</f>
        <v>483.094097162244</v>
      </c>
      <c r="M38" s="42">
        <f>'Data_Raw++ (2017)'!M40</f>
        <v>445.93301276514831</v>
      </c>
      <c r="N38" s="42">
        <f>'Data_Raw++ (2017)'!N40</f>
        <v>297.28867517676554</v>
      </c>
      <c r="O38" s="42">
        <f>'Data_Raw++ (2017)'!O40</f>
        <v>297.28867517676554</v>
      </c>
      <c r="P38" s="42">
        <f>'Data_Raw++ (2017)'!P40</f>
        <v>335.24042094401227</v>
      </c>
      <c r="Q38" s="42">
        <f>'Data_Raw++ (2017)'!Q40</f>
        <v>188.57273678100691</v>
      </c>
      <c r="R38" s="42">
        <f>'Data_Raw++ (2017)'!R40</f>
        <v>66.255285896029449</v>
      </c>
      <c r="S38" s="42">
        <f>'Data_Raw++ (2017)'!S40</f>
        <v>103.6300625553281</v>
      </c>
      <c r="T38" s="42">
        <f>'Data_Raw++ (2017)'!T40</f>
        <v>44.412883952283465</v>
      </c>
      <c r="U38" s="42">
        <f>'Data_Raw++ (2017)'!U40</f>
        <v>52.136863770071891</v>
      </c>
      <c r="V38" s="42">
        <f>'Data_Raw++ (2017)'!V40</f>
        <v>48.12633578775867</v>
      </c>
      <c r="W38" s="42">
        <f>'Data_Raw++ (2017)'!W40</f>
        <v>17.800151592732657</v>
      </c>
      <c r="X38" s="42">
        <f>'Data_Raw++ (2017)'!X40</f>
        <v>37.825322134556899</v>
      </c>
      <c r="Y38" s="42">
        <f>'Data_Raw++ (2017)'!Y40</f>
        <v>29.719895962866133</v>
      </c>
      <c r="Z38" s="42">
        <f>'Data_Raw++ (2017)'!Z40</f>
        <v>19.813263975244091</v>
      </c>
      <c r="AA38" s="42">
        <f>'Data_Raw++ (2017)'!AA40</f>
        <v>16.210852343381529</v>
      </c>
    </row>
    <row r="39" spans="1:27" x14ac:dyDescent="0.2">
      <c r="A39" s="1" t="s">
        <v>122</v>
      </c>
      <c r="B39" s="42">
        <f>'Data_Raw++ (2017)'!B41</f>
        <v>5000</v>
      </c>
      <c r="C39" s="42">
        <f>'Data_Raw++ (2017)'!C41</f>
        <v>2692.3076923076924</v>
      </c>
      <c r="D39" s="42">
        <f>'Data_Raw++ (2017)'!D41</f>
        <v>3874.2964352720451</v>
      </c>
      <c r="E39" s="42">
        <f>'Data_Raw++ (2017)'!E41</f>
        <v>2477.0091963214713</v>
      </c>
      <c r="F39" s="42">
        <f>'Data_Raw++ (2017)'!F41</f>
        <v>2578.1116124978585</v>
      </c>
      <c r="G39" s="42">
        <f>'Data_Raw++ (2017)'!G41</f>
        <v>2477.0091963214713</v>
      </c>
      <c r="H39" s="42">
        <f>'Data_Raw++ (2017)'!H41</f>
        <v>1583.6616173202851</v>
      </c>
      <c r="I39" s="42">
        <f>'Data_Raw++ (2017)'!I41</f>
        <v>815.82568164984389</v>
      </c>
      <c r="J39" s="42">
        <f>'Data_Raw++ (2017)'!J41</f>
        <v>694.96261770171884</v>
      </c>
      <c r="K39" s="42">
        <f>'Data_Raw++ (2017)'!K41</f>
        <v>723.32843883240128</v>
      </c>
      <c r="L39" s="42">
        <f>'Data_Raw++ (2017)'!L41</f>
        <v>202.69743016300131</v>
      </c>
      <c r="M39" s="42">
        <f>'Data_Raw++ (2017)'!M41</f>
        <v>788.26778396722727</v>
      </c>
      <c r="N39" s="42">
        <f>'Data_Raw++ (2017)'!N41</f>
        <v>406.07734325584437</v>
      </c>
      <c r="O39" s="42">
        <f>'Data_Raw++ (2017)'!O41</f>
        <v>248.88611360842074</v>
      </c>
      <c r="P39" s="42">
        <f>'Data_Raw++ (2017)'!P41</f>
        <v>64.367098347005353</v>
      </c>
      <c r="Q39" s="42">
        <f>'Data_Raw++ (2017)'!Q41</f>
        <v>92.05376804695014</v>
      </c>
      <c r="R39" s="42">
        <f>'Data_Raw++ (2017)'!R41</f>
        <v>51.927766590587261</v>
      </c>
      <c r="S39" s="42">
        <f>'Data_Raw++ (2017)'!S41</f>
        <v>75.316719311141014</v>
      </c>
      <c r="T39" s="42">
        <f>'Data_Raw++ (2017)'!T41</f>
        <v>66.790298257049571</v>
      </c>
      <c r="U39" s="42">
        <f>'Data_Raw++ (2017)'!U41</f>
        <v>24.535211604630454</v>
      </c>
      <c r="V39" s="42">
        <f>'Data_Raw++ (2017)'!V41</f>
        <v>16.697574564262393</v>
      </c>
      <c r="W39" s="42">
        <f>'Data_Raw++ (2017)'!W41</f>
        <v>16.697574564262393</v>
      </c>
      <c r="X39" s="42">
        <f>'Data_Raw++ (2017)'!X41</f>
        <v>24.648800547244484</v>
      </c>
      <c r="Y39" s="42">
        <f>'Data_Raw++ (2017)'!Y41</f>
        <v>34.038819803337617</v>
      </c>
      <c r="Z39" s="42">
        <f>'Data_Raw++ (2017)'!Z41</f>
        <v>17.019409901668809</v>
      </c>
      <c r="AA39" s="42">
        <f>'Data_Raw++ (2017)'!AA41</f>
        <v>65.646295335008261</v>
      </c>
    </row>
    <row r="40" spans="1:27" x14ac:dyDescent="0.2">
      <c r="A40" s="1" t="s">
        <v>98</v>
      </c>
      <c r="B40" s="42">
        <f>'Data_Raw++ (2017)'!B42</f>
        <v>6000</v>
      </c>
      <c r="C40" s="42">
        <f>'Data_Raw++ (2017)'!C42</f>
        <v>2955.2238805970146</v>
      </c>
      <c r="D40" s="42">
        <f>'Data_Raw++ (2017)'!D42</f>
        <v>7599.1471215351803</v>
      </c>
      <c r="E40" s="42">
        <f>'Data_Raw++ (2017)'!E42</f>
        <v>2399.7306699584778</v>
      </c>
      <c r="F40" s="42">
        <f>'Data_Raw++ (2017)'!F42</f>
        <v>2599.7082257883512</v>
      </c>
      <c r="G40" s="42">
        <f>'Data_Raw++ (2017)'!G42</f>
        <v>3051.831395490673</v>
      </c>
      <c r="H40" s="42">
        <f>'Data_Raw++ (2017)'!H42</f>
        <v>2397.8675250283859</v>
      </c>
      <c r="I40" s="42">
        <f>'Data_Raw++ (2017)'!I42</f>
        <v>1469.6607411464302</v>
      </c>
      <c r="J40" s="42">
        <f>'Data_Raw++ (2017)'!J42</f>
        <v>2114.8776518936434</v>
      </c>
      <c r="K40" s="42">
        <f>'Data_Raw++ (2017)'!K42</f>
        <v>1189.6186791901744</v>
      </c>
      <c r="L40" s="42">
        <f>'Data_Raw++ (2017)'!L42</f>
        <v>335.53347361774149</v>
      </c>
      <c r="M40" s="42">
        <f>'Data_Raw++ (2017)'!M42</f>
        <v>322.37529818175165</v>
      </c>
      <c r="N40" s="42">
        <f>'Data_Raw++ (2017)'!N42</f>
        <v>598.69698233753888</v>
      </c>
      <c r="O40" s="42">
        <f>'Data_Raw++ (2017)'!O42</f>
        <v>199.56566077917964</v>
      </c>
      <c r="P40" s="42">
        <f>'Data_Raw++ (2017)'!P42</f>
        <v>138.68122189739603</v>
      </c>
      <c r="Q40" s="42">
        <f>'Data_Raw++ (2017)'!Q42</f>
        <v>216.9116547625938</v>
      </c>
      <c r="R40" s="42">
        <f>'Data_Raw++ (2017)'!R42</f>
        <v>29.578862013080972</v>
      </c>
      <c r="S40" s="42">
        <f>'Data_Raw++ (2017)'!S42</f>
        <v>181.69872379464024</v>
      </c>
      <c r="T40" s="42">
        <f>'Data_Raw++ (2017)'!T42</f>
        <v>97.837774350960132</v>
      </c>
      <c r="U40" s="42">
        <f>'Data_Raw++ (2017)'!U42</f>
        <v>12.09230918944451</v>
      </c>
      <c r="V40" s="42">
        <f>'Data_Raw++ (2017)'!V42</f>
        <v>17.401127857981123</v>
      </c>
      <c r="W40" s="42">
        <f>'Data_Raw++ (2017)'!W42</f>
        <v>32.316380307679232</v>
      </c>
      <c r="X40" s="42">
        <f>'Data_Raw++ (2017)'!X42</f>
        <v>23.401516774526339</v>
      </c>
      <c r="Y40" s="42">
        <f>'Data_Raw++ (2017)'!Y42</f>
        <v>38.181422105806135</v>
      </c>
      <c r="Z40" s="42">
        <f>'Data_Raw++ (2017)'!Z42</f>
        <v>12.727140701935378</v>
      </c>
      <c r="AA40" s="42">
        <f>'Data_Raw++ (2017)'!AA42</f>
        <v>21.670536870862939</v>
      </c>
    </row>
    <row r="41" spans="1:27" x14ac:dyDescent="0.2">
      <c r="A41" s="1" t="s">
        <v>113</v>
      </c>
      <c r="B41" s="42">
        <f>'Data_Raw++ (2017)'!B43</f>
        <v>5000</v>
      </c>
      <c r="C41" s="42">
        <f>'Data_Raw++ (2017)'!C43</f>
        <v>2352.9411764705878</v>
      </c>
      <c r="D41" s="42">
        <f>'Data_Raw++ (2017)'!D43</f>
        <v>3385.9397417503578</v>
      </c>
      <c r="E41" s="42">
        <f>'Data_Raw++ (2017)'!E43</f>
        <v>2352.9411764705878</v>
      </c>
      <c r="F41" s="42">
        <f>'Data_Raw++ (2017)'!F43</f>
        <v>2171.9457013574652</v>
      </c>
      <c r="G41" s="42">
        <f>'Data_Raw++ (2017)'!G43</f>
        <v>1777.0464829288351</v>
      </c>
      <c r="H41" s="42">
        <f>'Data_Raw++ (2017)'!H43</f>
        <v>875.26170054703823</v>
      </c>
      <c r="I41" s="42">
        <f>'Data_Raw++ (2017)'!I43</f>
        <v>411.88785908095917</v>
      </c>
      <c r="J41" s="42">
        <f>'Data_Raw++ (2017)'!J43</f>
        <v>961.0716711889047</v>
      </c>
      <c r="K41" s="42">
        <f>'Data_Raw++ (2017)'!K43</f>
        <v>695.94845155058613</v>
      </c>
      <c r="L41" s="42">
        <f>'Data_Raw++ (2017)'!L43</f>
        <v>327.50515367086405</v>
      </c>
      <c r="M41" s="42">
        <f>'Data_Raw++ (2017)'!M43</f>
        <v>154.12007231570072</v>
      </c>
      <c r="N41" s="42">
        <f>'Data_Raw++ (2017)'!N43</f>
        <v>299.17425802459553</v>
      </c>
      <c r="O41" s="42">
        <f>'Data_Raw++ (2017)'!O43</f>
        <v>276.16085356116508</v>
      </c>
      <c r="P41" s="42">
        <f>'Data_Raw++ (2017)'!P43</f>
        <v>184.10723570744341</v>
      </c>
      <c r="Q41" s="42">
        <f>'Data_Raw++ (2017)'!Q43</f>
        <v>103.56032008543691</v>
      </c>
      <c r="R41" s="42">
        <f>'Data_Raw++ (2017)'!R43</f>
        <v>69.040213390291271</v>
      </c>
      <c r="S41" s="42">
        <f>'Data_Raw++ (2017)'!S43</f>
        <v>46.026808926860852</v>
      </c>
      <c r="T41" s="42">
        <f>'Data_Raw++ (2017)'!T43</f>
        <v>58.57957499782291</v>
      </c>
      <c r="U41" s="42">
        <f>'Data_Raw++ (2017)'!U43</f>
        <v>35.903610482536628</v>
      </c>
      <c r="V41" s="42">
        <f>'Data_Raw++ (2017)'!V43</f>
        <v>58.579574997822924</v>
      </c>
      <c r="W41" s="42">
        <f>'Data_Raw++ (2017)'!W43</f>
        <v>14.644893749455731</v>
      </c>
      <c r="X41" s="42">
        <f>'Data_Raw++ (2017)'!X43</f>
        <v>17.191831792839338</v>
      </c>
      <c r="Y41" s="42">
        <f>'Data_Raw++ (2017)'!Y43</f>
        <v>13.507867837230906</v>
      </c>
      <c r="Z41" s="42">
        <f>'Data_Raw++ (2017)'!Z43</f>
        <v>18.653722251414106</v>
      </c>
      <c r="AA41" s="42">
        <f>'Data_Raw++ (2017)'!AA43</f>
        <v>11.432926541189291</v>
      </c>
    </row>
    <row r="42" spans="1:27" x14ac:dyDescent="0.2">
      <c r="A42" s="1" t="s">
        <v>110</v>
      </c>
      <c r="B42" s="42">
        <f>'Data_Raw++ (2017)'!B44</f>
        <v>5000</v>
      </c>
      <c r="C42" s="42">
        <f>'Data_Raw++ (2017)'!C44</f>
        <v>1666.6666666666667</v>
      </c>
      <c r="D42" s="42">
        <f>'Data_Raw++ (2017)'!D44</f>
        <v>2500</v>
      </c>
      <c r="E42" s="42">
        <f>'Data_Raw++ (2017)'!E44</f>
        <v>2401.9607843137255</v>
      </c>
      <c r="F42" s="42">
        <f>'Data_Raw++ (2017)'!F44</f>
        <v>1965.24064171123</v>
      </c>
      <c r="G42" s="42">
        <f>'Data_Raw++ (2017)'!G44</f>
        <v>866.28093860495017</v>
      </c>
      <c r="H42" s="42">
        <f>'Data_Raw++ (2017)'!H44</f>
        <v>967.95434591747141</v>
      </c>
      <c r="I42" s="42">
        <f>'Data_Raw++ (2017)'!I44</f>
        <v>340.09206748451703</v>
      </c>
      <c r="J42" s="42">
        <f>'Data_Raw++ (2017)'!J44</f>
        <v>510.13810122677552</v>
      </c>
      <c r="K42" s="42">
        <f>'Data_Raw++ (2017)'!K44</f>
        <v>598.85777100534528</v>
      </c>
      <c r="L42" s="42">
        <f>'Data_Raw++ (2017)'!L44</f>
        <v>199.61925700178176</v>
      </c>
      <c r="M42" s="42">
        <f>'Data_Raw++ (2017)'!M44</f>
        <v>112.60573471895381</v>
      </c>
      <c r="N42" s="42">
        <f>'Data_Raw++ (2017)'!N44</f>
        <v>163.97296110860643</v>
      </c>
      <c r="O42" s="42">
        <f>'Data_Raw++ (2017)'!O44</f>
        <v>198.25570940478332</v>
      </c>
      <c r="P42" s="42">
        <f>'Data_Raw++ (2017)'!P44</f>
        <v>73.327454163413009</v>
      </c>
      <c r="Q42" s="42">
        <f>'Data_Raw++ (2017)'!Q44</f>
        <v>89.071405674612805</v>
      </c>
      <c r="R42" s="42">
        <f>'Data_Raw++ (2017)'!R44</f>
        <v>50.102665691969698</v>
      </c>
      <c r="S42" s="42">
        <f>'Data_Raw++ (2017)'!S44</f>
        <v>52.147672454907244</v>
      </c>
      <c r="T42" s="42">
        <f>'Data_Raw++ (2017)'!T44</f>
        <v>34.765114969938161</v>
      </c>
      <c r="U42" s="42">
        <f>'Data_Raw++ (2017)'!U44</f>
        <v>21.30765111060726</v>
      </c>
      <c r="V42" s="42">
        <f>'Data_Raw++ (2017)'!V44</f>
        <v>18.895464192425301</v>
      </c>
      <c r="W42" s="42">
        <f>'Data_Raw++ (2017)'!W44</f>
        <v>10.213764428338001</v>
      </c>
      <c r="X42" s="42">
        <f>'Data_Raw++ (2017)'!X44</f>
        <v>10.213764428338001</v>
      </c>
      <c r="Y42" s="42">
        <f>'Data_Raw++ (2017)'!Y44</f>
        <v>13.788581978256301</v>
      </c>
      <c r="Z42" s="42">
        <f>'Data_Raw++ (2017)'!Z44</f>
        <v>16.852711306757701</v>
      </c>
      <c r="AA42" s="42">
        <f>'Data_Raw++ (2017)'!AA44</f>
        <v>12.713448880536513</v>
      </c>
    </row>
    <row r="43" spans="1:27" x14ac:dyDescent="0.2">
      <c r="A43" s="1" t="s">
        <v>101</v>
      </c>
      <c r="B43" s="42">
        <f>'Data_Raw++ (2017)'!B45</f>
        <v>6000</v>
      </c>
      <c r="C43" s="42">
        <f>'Data_Raw++ (2017)'!C45</f>
        <v>1792.2077922077924</v>
      </c>
      <c r="D43" s="42">
        <f>'Data_Raw++ (2017)'!D45</f>
        <v>3186.1471861471864</v>
      </c>
      <c r="E43" s="42">
        <f>'Data_Raw++ (2017)'!E45</f>
        <v>3451.6594516594523</v>
      </c>
      <c r="F43" s="42">
        <f>'Data_Raw++ (2017)'!F45</f>
        <v>4575.455552199739</v>
      </c>
      <c r="G43" s="42">
        <f>'Data_Raw++ (2017)'!G45</f>
        <v>1216.26033666069</v>
      </c>
      <c r="H43" s="42">
        <f>'Data_Raw++ (2017)'!H45</f>
        <v>1317.6153647157475</v>
      </c>
      <c r="I43" s="42">
        <f>'Data_Raw++ (2017)'!I45</f>
        <v>371.63510286854421</v>
      </c>
      <c r="J43" s="42">
        <f>'Data_Raw++ (2017)'!J45</f>
        <v>690.17947675586788</v>
      </c>
      <c r="K43" s="42">
        <f>'Data_Raw++ (2017)'!K45</f>
        <v>810.21069010471444</v>
      </c>
      <c r="L43" s="42">
        <f>'Data_Raw++ (2017)'!L45</f>
        <v>364.00770135139351</v>
      </c>
      <c r="M43" s="42">
        <f>'Data_Raw++ (2017)'!M45</f>
        <v>114.94980042675583</v>
      </c>
      <c r="N43" s="42">
        <f>'Data_Raw++ (2017)'!N45</f>
        <v>187.54967438049636</v>
      </c>
      <c r="O43" s="42">
        <f>'Data_Raw++ (2017)'!O45</f>
        <v>293.3469265951353</v>
      </c>
      <c r="P43" s="42">
        <f>'Data_Raw++ (2017)'!P45</f>
        <v>195.56461773009022</v>
      </c>
      <c r="Q43" s="42">
        <f>'Data_Raw++ (2017)'!Q45</f>
        <v>105.30402493158704</v>
      </c>
      <c r="R43" s="42">
        <f>'Data_Raw++ (2017)'!R45</f>
        <v>24.700944119754983</v>
      </c>
      <c r="S43" s="42">
        <f>'Data_Raw++ (2017)'!S45</f>
        <v>26.759356129734567</v>
      </c>
      <c r="T43" s="42">
        <f>'Data_Raw++ (2017)'!T45</f>
        <v>34.057362346934909</v>
      </c>
      <c r="U43" s="42">
        <f>'Data_Raw++ (2017)'!U45</f>
        <v>32.7217795098002</v>
      </c>
      <c r="V43" s="42">
        <f>'Data_Raw++ (2017)'!V45</f>
        <v>84.141718739486222</v>
      </c>
      <c r="W43" s="42">
        <f>'Data_Raw++ (2017)'!W45</f>
        <v>37.802801172812657</v>
      </c>
      <c r="X43" s="42">
        <f>'Data_Raw++ (2017)'!X45</f>
        <v>8.2981758672027777</v>
      </c>
      <c r="Y43" s="42">
        <f>'Data_Raw++ (2017)'!Y45</f>
        <v>18.470133381838441</v>
      </c>
      <c r="Z43" s="42">
        <f>'Data_Raw++ (2017)'!Z45</f>
        <v>13.933609393316718</v>
      </c>
      <c r="AA43" s="42">
        <f>'Data_Raw++ (2017)'!AA45</f>
        <v>4.4000871768368581</v>
      </c>
    </row>
    <row r="44" spans="1:27" x14ac:dyDescent="0.2">
      <c r="A44" s="1" t="s">
        <v>115</v>
      </c>
      <c r="B44" s="42">
        <f>'Data_Raw++ (2017)'!B46</f>
        <v>5000</v>
      </c>
      <c r="C44" s="42">
        <f>'Data_Raw++ (2017)'!C46</f>
        <v>1250</v>
      </c>
      <c r="D44" s="42">
        <f>'Data_Raw++ (2017)'!D46</f>
        <v>2537.878787878788</v>
      </c>
      <c r="E44" s="42">
        <f>'Data_Raw++ (2017)'!E46</f>
        <v>4713.2034632034638</v>
      </c>
      <c r="F44" s="42">
        <f>'Data_Raw++ (2017)'!F46</f>
        <v>3275.2769829041022</v>
      </c>
      <c r="G44" s="42">
        <f>'Data_Raw++ (2017)'!G46</f>
        <v>1034.2979946012954</v>
      </c>
      <c r="H44" s="42">
        <f>'Data_Raw++ (2017)'!H46</f>
        <v>1371.0461788900891</v>
      </c>
      <c r="I44" s="42">
        <f>'Data_Raw++ (2017)'!I46</f>
        <v>241.9493256864863</v>
      </c>
      <c r="J44" s="42">
        <f>'Data_Raw++ (2017)'!J46</f>
        <v>857.82033652481516</v>
      </c>
      <c r="K44" s="42">
        <f>'Data_Raw++ (2017)'!K46</f>
        <v>929.30536456854986</v>
      </c>
      <c r="L44" s="42">
        <f>'Data_Raw++ (2017)'!L46</f>
        <v>309.76845485618327</v>
      </c>
      <c r="M44" s="42">
        <f>'Data_Raw++ (2017)'!M46</f>
        <v>108.83756521974009</v>
      </c>
      <c r="N44" s="42">
        <f>'Data_Raw++ (2017)'!N46</f>
        <v>108.83756521974009</v>
      </c>
      <c r="O44" s="42">
        <f>'Data_Raw++ (2017)'!O46</f>
        <v>231.27982609194768</v>
      </c>
      <c r="P44" s="42">
        <f>'Data_Raw++ (2017)'!P46</f>
        <v>250.55314493294335</v>
      </c>
      <c r="Q44" s="42">
        <f>'Data_Raw++ (2017)'!Q46</f>
        <v>123.40677287741987</v>
      </c>
      <c r="R44" s="42">
        <f>'Data_Raw++ (2017)'!R46</f>
        <v>23.506051976651406</v>
      </c>
      <c r="S44" s="42">
        <f>'Data_Raw++ (2017)'!S46</f>
        <v>35.259077964977109</v>
      </c>
      <c r="T44" s="42">
        <f>'Data_Raw++ (2017)'!T46</f>
        <v>19.833231355299624</v>
      </c>
      <c r="U44" s="42">
        <f>'Data_Raw++ (2017)'!U46</f>
        <v>44.144934306957225</v>
      </c>
      <c r="V44" s="42">
        <f>'Data_Raw++ (2017)'!V46</f>
        <v>188.19682520334396</v>
      </c>
      <c r="W44" s="42">
        <f>'Data_Raw++ (2017)'!W46</f>
        <v>28.121364685557147</v>
      </c>
      <c r="X44" s="42">
        <f>'Data_Raw++ (2017)'!X46</f>
        <v>9.3737882285190484</v>
      </c>
      <c r="Y44" s="42">
        <f>'Data_Raw++ (2017)'!Y46</f>
        <v>12.012563310851743</v>
      </c>
      <c r="Z44" s="42">
        <f>'Data_Raw++ (2017)'!Z46</f>
        <v>8.0083755405678296</v>
      </c>
      <c r="AA44" s="42">
        <f>'Data_Raw++ (2017)'!AA46</f>
        <v>5.2855278567747668</v>
      </c>
    </row>
    <row r="45" spans="1:27" x14ac:dyDescent="0.2">
      <c r="A45" s="1" t="s">
        <v>111</v>
      </c>
      <c r="B45" s="42">
        <f>'Data_Raw++ (2017)'!B47</f>
        <v>6000</v>
      </c>
      <c r="C45" s="42">
        <f>'Data_Raw++ (2017)'!C47</f>
        <v>1317.0731707317075</v>
      </c>
      <c r="D45" s="42">
        <f>'Data_Raw++ (2017)'!D47</f>
        <v>2556.6714490674321</v>
      </c>
      <c r="E45" s="42">
        <f>'Data_Raw++ (2017)'!E47</f>
        <v>3530.6415249026445</v>
      </c>
      <c r="F45" s="42">
        <f>'Data_Raw++ (2017)'!F47</f>
        <v>3259.0537152947486</v>
      </c>
      <c r="G45" s="42">
        <f>'Data_Raw++ (2017)'!G47</f>
        <v>1331.1627851203903</v>
      </c>
      <c r="H45" s="42">
        <f>'Data_Raw++ (2017)'!H47</f>
        <v>1694.2071810623149</v>
      </c>
      <c r="I45" s="42">
        <f>'Data_Raw++ (2017)'!I47</f>
        <v>298.97773783452612</v>
      </c>
      <c r="J45" s="42">
        <f>'Data_Raw++ (2017)'!J47</f>
        <v>665.46657776071936</v>
      </c>
      <c r="K45" s="42">
        <f>'Data_Raw++ (2017)'!K47</f>
        <v>1291.7880627119846</v>
      </c>
      <c r="L45" s="42">
        <f>'Data_Raw++ (2017)'!L47</f>
        <v>364.3504792264572</v>
      </c>
      <c r="M45" s="42">
        <f>'Data_Raw++ (2017)'!M47</f>
        <v>134.7597662892376</v>
      </c>
      <c r="N45" s="42">
        <f>'Data_Raw++ (2017)'!N47</f>
        <v>171.51242982266606</v>
      </c>
      <c r="O45" s="42">
        <f>'Data_Raw++ (2017)'!O47</f>
        <v>246.81056974481214</v>
      </c>
      <c r="P45" s="42">
        <f>'Data_Raw++ (2017)'!P47</f>
        <v>327.16749942916954</v>
      </c>
      <c r="Q45" s="42">
        <f>'Data_Raw++ (2017)'!Q47</f>
        <v>81.791874857292385</v>
      </c>
      <c r="R45" s="42">
        <f>'Data_Raw++ (2017)'!R47</f>
        <v>19.185748423315495</v>
      </c>
      <c r="S45" s="42">
        <f>'Data_Raw++ (2017)'!S47</f>
        <v>25.432271165790308</v>
      </c>
      <c r="T45" s="42">
        <f>'Data_Raw++ (2017)'!T47</f>
        <v>25.432271165790308</v>
      </c>
      <c r="U45" s="42">
        <f>'Data_Raw++ (2017)'!U47</f>
        <v>16.954847443860206</v>
      </c>
      <c r="V45" s="42">
        <f>'Data_Raw++ (2017)'!V47</f>
        <v>50.864542331580623</v>
      </c>
      <c r="W45" s="42">
        <f>'Data_Raw++ (2017)'!W47</f>
        <v>90.425853033921101</v>
      </c>
      <c r="X45" s="42">
        <f>'Data_Raw++ (2017)'!X47</f>
        <v>7.863117655123574</v>
      </c>
      <c r="Y45" s="42">
        <f>'Data_Raw++ (2017)'!Y47</f>
        <v>19.251081155647373</v>
      </c>
      <c r="Z45" s="42">
        <f>'Data_Raw++ (2017)'!Z47</f>
        <v>9.0593323085399398</v>
      </c>
      <c r="AA45" s="42">
        <f>'Data_Raw++ (2017)'!AA47</f>
        <v>5.3205602446980595</v>
      </c>
    </row>
    <row r="46" spans="1:27" x14ac:dyDescent="0.2">
      <c r="A46" s="1" t="s">
        <v>127</v>
      </c>
      <c r="B46" s="42">
        <f>'Data_Raw++ (2017)'!B48</f>
        <v>5000</v>
      </c>
      <c r="C46" s="42">
        <f>'Data_Raw++ (2017)'!C48</f>
        <v>5416.6666666666679</v>
      </c>
      <c r="D46" s="42">
        <f>'Data_Raw++ (2017)'!D48</f>
        <v>5868.0555555555566</v>
      </c>
      <c r="E46" s="42">
        <f>'Data_Raw++ (2017)'!E48</f>
        <v>4249.2816091954037</v>
      </c>
      <c r="F46" s="42">
        <f>'Data_Raw++ (2017)'!F48</f>
        <v>3619.7584078331215</v>
      </c>
      <c r="G46" s="42">
        <f>'Data_Raw++ (2017)'!G48</f>
        <v>3767.503648969167</v>
      </c>
      <c r="H46" s="42">
        <f>'Data_Raw++ (2017)'!H48</f>
        <v>1393.4602537283222</v>
      </c>
      <c r="I46" s="42">
        <f>'Data_Raw++ (2017)'!I48</f>
        <v>1094.8616279293958</v>
      </c>
      <c r="J46" s="42">
        <f>'Data_Raw++ (2017)'!J48</f>
        <v>1511.9517719024989</v>
      </c>
      <c r="K46" s="42">
        <f>'Data_Raw++ (2017)'!K48</f>
        <v>1007.9678479349994</v>
      </c>
      <c r="L46" s="42">
        <f>'Data_Raw++ (2017)'!L48</f>
        <v>496.46177584858179</v>
      </c>
      <c r="M46" s="42">
        <f>'Data_Raw++ (2017)'!M48</f>
        <v>658.10049356672459</v>
      </c>
      <c r="N46" s="42">
        <f>'Data_Raw++ (2017)'!N48</f>
        <v>632.29263107391182</v>
      </c>
      <c r="O46" s="42">
        <f>'Data_Raw++ (2017)'!O48</f>
        <v>371.34646586880535</v>
      </c>
      <c r="P46" s="42">
        <f>'Data_Raw++ (2017)'!P48</f>
        <v>237.41823227677719</v>
      </c>
      <c r="Q46" s="42">
        <f>'Data_Raw++ (2017)'!Q48</f>
        <v>202.24516082836575</v>
      </c>
      <c r="R46" s="42">
        <f>'Data_Raw++ (2017)'!R48</f>
        <v>129.30428315256174</v>
      </c>
      <c r="S46" s="42">
        <f>'Data_Raw++ (2017)'!S48</f>
        <v>97.545336413336045</v>
      </c>
      <c r="T46" s="42">
        <f>'Data_Raw++ (2017)'!T48</f>
        <v>79.809820701820399</v>
      </c>
      <c r="U46" s="42">
        <f>'Data_Raw++ (2017)'!U48</f>
        <v>141.88412569212517</v>
      </c>
      <c r="V46" s="42">
        <f>'Data_Raw++ (2017)'!V48</f>
        <v>107.03539306598917</v>
      </c>
      <c r="W46" s="42">
        <f>'Data_Raw++ (2017)'!W48</f>
        <v>37.607029996158353</v>
      </c>
      <c r="X46" s="42">
        <f>'Data_Raw++ (2017)'!X48</f>
        <v>40.740949162504883</v>
      </c>
      <c r="Y46" s="42">
        <f>'Data_Raw++ (2017)'!Y48</f>
        <v>40.740949162504883</v>
      </c>
      <c r="Z46" s="42">
        <f>'Data_Raw++ (2017)'!Z48</f>
        <v>33.333503860231268</v>
      </c>
      <c r="AA46" s="42">
        <f>'Data_Raw++ (2017)'!AA48</f>
        <v>25.1463274735078</v>
      </c>
    </row>
    <row r="47" spans="1:27" x14ac:dyDescent="0.2">
      <c r="A47" s="1" t="s">
        <v>133</v>
      </c>
      <c r="B47" s="42">
        <f>'Data_Raw++ (2017)'!B49</f>
        <v>4000</v>
      </c>
      <c r="C47" s="42">
        <f>'Data_Raw++ (2017)'!C49</f>
        <v>4510.6382978723414</v>
      </c>
      <c r="D47" s="42">
        <f>'Data_Raw++ (2017)'!D49</f>
        <v>5513.0023640661957</v>
      </c>
      <c r="E47" s="42">
        <f>'Data_Raw++ (2017)'!E49</f>
        <v>5088.9252591380273</v>
      </c>
      <c r="F47" s="42">
        <f>'Data_Raw++ (2017)'!F49</f>
        <v>3998.4412750370211</v>
      </c>
      <c r="G47" s="42">
        <f>'Data_Raw++ (2017)'!G49</f>
        <v>3406.0796046611663</v>
      </c>
      <c r="H47" s="42">
        <f>'Data_Raw++ (2017)'!H49</f>
        <v>1075.6040856824734</v>
      </c>
      <c r="I47" s="42">
        <f>'Data_Raw++ (2017)'!I49</f>
        <v>1613.4061285237099</v>
      </c>
      <c r="J47" s="42">
        <f>'Data_Raw++ (2017)'!J49</f>
        <v>1550.1352999541527</v>
      </c>
      <c r="K47" s="42">
        <f>'Data_Raw++ (2017)'!K49</f>
        <v>1033.4235333027686</v>
      </c>
      <c r="L47" s="42">
        <f>'Data_Raw++ (2017)'!L49</f>
        <v>660.71340653783568</v>
      </c>
      <c r="M47" s="42">
        <f>'Data_Raw++ (2017)'!M49</f>
        <v>715.77285708265526</v>
      </c>
      <c r="N47" s="42">
        <f>'Data_Raw++ (2017)'!N49</f>
        <v>609.73243381115083</v>
      </c>
      <c r="O47" s="42">
        <f>'Data_Raw++ (2017)'!O49</f>
        <v>373.70697556167306</v>
      </c>
      <c r="P47" s="42">
        <f>'Data_Raw++ (2017)'!P49</f>
        <v>201.22683299474701</v>
      </c>
      <c r="Q47" s="42">
        <f>'Data_Raw++ (2017)'!Q49</f>
        <v>226.91536486641687</v>
      </c>
      <c r="R47" s="42">
        <f>'Data_Raw++ (2017)'!R49</f>
        <v>101.94748276607136</v>
      </c>
      <c r="S47" s="42">
        <f>'Data_Raw++ (2017)'!S49</f>
        <v>407.78993106428544</v>
      </c>
      <c r="T47" s="42">
        <f>'Data_Raw++ (2017)'!T49</f>
        <v>101.94748276607136</v>
      </c>
      <c r="U47" s="42">
        <f>'Data_Raw++ (2017)'!U49</f>
        <v>90.406258301987791</v>
      </c>
      <c r="V47" s="42">
        <f>'Data_Raw++ (2017)'!V49</f>
        <v>135.60938745298168</v>
      </c>
      <c r="W47" s="42">
        <f>'Data_Raw++ (2017)'!W49</f>
        <v>58.118308908420723</v>
      </c>
      <c r="X47" s="42">
        <f>'Data_Raw++ (2017)'!X49</f>
        <v>117.99777869285418</v>
      </c>
      <c r="Y47" s="42">
        <f>'Data_Raw++ (2017)'!Y49</f>
        <v>72.321219198846109</v>
      </c>
      <c r="Z47" s="42">
        <f>'Data_Raw++ (2017)'!Z49</f>
        <v>48.214146132564082</v>
      </c>
      <c r="AA47" s="42">
        <f>'Data_Raw++ (2017)'!AA49</f>
        <v>44.505365660828375</v>
      </c>
    </row>
    <row r="48" spans="1:27" x14ac:dyDescent="0.2">
      <c r="A48" s="1" t="s">
        <v>145</v>
      </c>
      <c r="B48" s="42">
        <f>'Data_Raw++ (2017)'!B50</f>
        <v>4000</v>
      </c>
      <c r="C48" s="42">
        <f>'Data_Raw++ (2017)'!C50</f>
        <v>4695.652173913044</v>
      </c>
      <c r="D48" s="42">
        <f>'Data_Raw++ (2017)'!D50</f>
        <v>4887.3114463176589</v>
      </c>
      <c r="E48" s="42">
        <f>'Data_Raw++ (2017)'!E50</f>
        <v>4695.652173913044</v>
      </c>
      <c r="F48" s="42">
        <f>'Data_Raw++ (2017)'!F50</f>
        <v>3841.897233201581</v>
      </c>
      <c r="G48" s="42">
        <f>'Data_Raw++ (2017)'!G50</f>
        <v>3272.7272727272725</v>
      </c>
      <c r="H48" s="42">
        <f>'Data_Raw++ (2017)'!H50</f>
        <v>1090.9090909090908</v>
      </c>
      <c r="I48" s="42">
        <f>'Data_Raw++ (2017)'!I50</f>
        <v>1388.4297520661157</v>
      </c>
      <c r="J48" s="42">
        <f>'Data_Raw++ (2017)'!J50</f>
        <v>1565.676103393705</v>
      </c>
      <c r="K48" s="42">
        <f>'Data_Raw++ (2017)'!K50</f>
        <v>1001.0060333172869</v>
      </c>
      <c r="L48" s="42">
        <f>'Data_Raw++ (2017)'!L50</f>
        <v>667.33735554485793</v>
      </c>
      <c r="M48" s="42">
        <f>'Data_Raw++ (2017)'!M50</f>
        <v>849.33845251163746</v>
      </c>
      <c r="N48" s="42">
        <f>'Data_Raw++ (2017)'!N50</f>
        <v>640.72900803509492</v>
      </c>
      <c r="O48" s="42">
        <f>'Data_Raw++ (2017)'!O50</f>
        <v>427.15267202339669</v>
      </c>
      <c r="P48" s="42">
        <f>'Data_Raw++ (2017)'!P50</f>
        <v>394.29477417544308</v>
      </c>
      <c r="Q48" s="42">
        <f>'Data_Raw++ (2017)'!Q50</f>
        <v>241.66453901075545</v>
      </c>
      <c r="R48" s="42">
        <f>'Data_Raw++ (2017)'!R50</f>
        <v>148.11697552272108</v>
      </c>
      <c r="S48" s="42">
        <f>'Data_Raw++ (2017)'!S50</f>
        <v>329.67971971186302</v>
      </c>
      <c r="T48" s="42">
        <f>'Data_Raw++ (2017)'!T50</f>
        <v>92.986587611038274</v>
      </c>
      <c r="U48" s="42">
        <f>'Data_Raw++ (2017)'!U50</f>
        <v>113.65027374682455</v>
      </c>
      <c r="V48" s="42">
        <f>'Data_Raw++ (2017)'!V50</f>
        <v>128.15881933152556</v>
      </c>
      <c r="W48" s="42">
        <f>'Data_Raw++ (2017)'!W50</f>
        <v>104.85721581670272</v>
      </c>
      <c r="X48" s="42">
        <f>'Data_Raw++ (2017)'!X50</f>
        <v>85.792267486393129</v>
      </c>
      <c r="Y48" s="42">
        <f>'Data_Raw++ (2017)'!Y50</f>
        <v>64.720482489735176</v>
      </c>
      <c r="Z48" s="42">
        <f>'Data_Raw++ (2017)'!Z50</f>
        <v>48.824223632607236</v>
      </c>
      <c r="AA48" s="42">
        <f>'Data_Raw++ (2017)'!AA50</f>
        <v>326.7467273874484</v>
      </c>
    </row>
    <row r="49" spans="1:27" x14ac:dyDescent="0.2">
      <c r="A49" s="1" t="s">
        <v>142</v>
      </c>
      <c r="B49" s="42">
        <f>'Data_Raw++ (2017)'!B51</f>
        <v>4000</v>
      </c>
      <c r="C49" s="42">
        <f>'Data_Raw++ (2017)'!C51</f>
        <v>3692.3076923076924</v>
      </c>
      <c r="D49" s="42">
        <f>'Data_Raw++ (2017)'!D51</f>
        <v>4000</v>
      </c>
      <c r="E49" s="42">
        <f>'Data_Raw++ (2017)'!E51</f>
        <v>2349.2063492063489</v>
      </c>
      <c r="F49" s="42">
        <f>'Data_Raw++ (2017)'!F51</f>
        <v>1845.8049886621313</v>
      </c>
      <c r="G49" s="42">
        <f>'Data_Raw++ (2017)'!G51</f>
        <v>1636.8459333418898</v>
      </c>
      <c r="H49" s="42">
        <f>'Data_Raw++ (2017)'!H51</f>
        <v>1091.2306222279265</v>
      </c>
      <c r="I49" s="42">
        <f>'Data_Raw++ (2017)'!I51</f>
        <v>640.88147654655995</v>
      </c>
      <c r="J49" s="42">
        <f>'Data_Raw++ (2017)'!J51</f>
        <v>885.02680094524942</v>
      </c>
      <c r="K49" s="42">
        <f>'Data_Raw++ (2017)'!K51</f>
        <v>724.11283713702221</v>
      </c>
      <c r="L49" s="42">
        <f>'Data_Raw++ (2017)'!L51</f>
        <v>389.90691230455042</v>
      </c>
      <c r="M49" s="42">
        <f>'Data_Raw++ (2017)'!M51</f>
        <v>129.96897076818348</v>
      </c>
      <c r="N49" s="42">
        <f>'Data_Raw++ (2017)'!N51</f>
        <v>460.79907817810511</v>
      </c>
      <c r="O49" s="42">
        <f>'Data_Raw++ (2017)'!O51</f>
        <v>259.19948147518414</v>
      </c>
      <c r="P49" s="42">
        <f>'Data_Raw++ (2017)'!P51</f>
        <v>145.79970832979109</v>
      </c>
      <c r="Q49" s="42">
        <f>'Data_Raw++ (2017)'!Q51</f>
        <v>109.98925365229856</v>
      </c>
      <c r="R49" s="42">
        <f>'Data_Raw++ (2017)'!R51</f>
        <v>101.52854183289098</v>
      </c>
      <c r="S49" s="42">
        <f>'Data_Raw++ (2017)'!S51</f>
        <v>64.911690680045055</v>
      </c>
      <c r="T49" s="42">
        <f>'Data_Raw++ (2017)'!T51</f>
        <v>67.56114744249588</v>
      </c>
      <c r="U49" s="42">
        <f>'Data_Raw++ (2017)'!U51</f>
        <v>39.678769132894402</v>
      </c>
      <c r="V49" s="42">
        <f>'Data_Raw++ (2017)'!V51</f>
        <v>59.518153699341596</v>
      </c>
      <c r="W49" s="42">
        <f>'Data_Raw++ (2017)'!W51</f>
        <v>24.310231792688821</v>
      </c>
      <c r="X49" s="42">
        <f>'Data_Raw++ (2017)'!X51</f>
        <v>19.890189648563577</v>
      </c>
      <c r="Y49" s="42">
        <f>'Data_Raw++ (2017)'!Y51</f>
        <v>15.004879910319891</v>
      </c>
      <c r="Z49" s="42">
        <f>'Data_Raw++ (2017)'!Z51</f>
        <v>24.481646169469297</v>
      </c>
      <c r="AA49" s="42">
        <f>'Data_Raw++ (2017)'!AA51</f>
        <v>86.798563691754779</v>
      </c>
    </row>
    <row r="50" spans="1:27" x14ac:dyDescent="0.2">
      <c r="A50" s="1" t="s">
        <v>128</v>
      </c>
      <c r="B50" s="42">
        <f>'Data_Raw++ (2017)'!B52</f>
        <v>4000</v>
      </c>
      <c r="C50" s="42">
        <f>'Data_Raw++ (2017)'!C52</f>
        <v>3547.169811320754</v>
      </c>
      <c r="D50" s="42">
        <f>'Data_Raw++ (2017)'!D52</f>
        <v>4335.4297693920325</v>
      </c>
      <c r="E50" s="42">
        <f>'Data_Raw++ (2017)'!E52</f>
        <v>2546.2047851984953</v>
      </c>
      <c r="F50" s="42">
        <f>'Data_Raw++ (2017)'!F52</f>
        <v>2546.2047851984953</v>
      </c>
      <c r="G50" s="42">
        <f>'Data_Raw++ (2017)'!G52</f>
        <v>3112.028070798161</v>
      </c>
      <c r="H50" s="42">
        <f>'Data_Raw++ (2017)'!H52</f>
        <v>2546.2047851984953</v>
      </c>
      <c r="I50" s="42">
        <f>'Data_Raw++ (2017)'!I52</f>
        <v>848.73492839949847</v>
      </c>
      <c r="J50" s="42">
        <f>'Data_Raw++ (2017)'!J52</f>
        <v>2077.937238495324</v>
      </c>
      <c r="K50" s="42">
        <f>'Data_Raw++ (2017)'!K52</f>
        <v>977.85281811544655</v>
      </c>
      <c r="L50" s="42">
        <f>'Data_Raw++ (2017)'!L52</f>
        <v>325.95093937181554</v>
      </c>
      <c r="M50" s="42">
        <f>'Data_Raw++ (2017)'!M52</f>
        <v>339.25505934617541</v>
      </c>
      <c r="N50" s="42">
        <f>'Data_Raw++ (2017)'!N52</f>
        <v>508.88258901926309</v>
      </c>
      <c r="O50" s="42">
        <f>'Data_Raw++ (2017)'!O52</f>
        <v>274.0137017796032</v>
      </c>
      <c r="P50" s="42">
        <f>'Data_Raw++ (2017)'!P52</f>
        <v>233.41907929373608</v>
      </c>
      <c r="Q50" s="42">
        <f>'Data_Raw++ (2017)'!Q52</f>
        <v>309.41598883123152</v>
      </c>
      <c r="R50" s="42">
        <f>'Data_Raw++ (2017)'!R52</f>
        <v>34.379554314581284</v>
      </c>
      <c r="S50" s="42">
        <f>'Data_Raw++ (2017)'!S52</f>
        <v>180.49266015155172</v>
      </c>
      <c r="T50" s="42">
        <f>'Data_Raw++ (2017)'!T52</f>
        <v>66.75755923413557</v>
      </c>
      <c r="U50" s="42">
        <f>'Data_Raw++ (2017)'!U52</f>
        <v>22.252519744711858</v>
      </c>
      <c r="V50" s="42">
        <f>'Data_Raw++ (2017)'!V52</f>
        <v>11.982126016383308</v>
      </c>
      <c r="W50" s="42">
        <f>'Data_Raw++ (2017)'!W52</f>
        <v>27.95829403822772</v>
      </c>
      <c r="X50" s="42">
        <f>'Data_Raw++ (2017)'!X52</f>
        <v>12.56097268384144</v>
      </c>
      <c r="Y50" s="42">
        <f>'Data_Raw++ (2017)'!Y52</f>
        <v>50.24389073536576</v>
      </c>
      <c r="Z50" s="42">
        <f>'Data_Raw++ (2017)'!Z52</f>
        <v>16.747963578455252</v>
      </c>
      <c r="AA50" s="42">
        <f>'Data_Raw++ (2017)'!AA52</f>
        <v>19.66065289644747</v>
      </c>
    </row>
    <row r="51" spans="1:27" x14ac:dyDescent="0.2">
      <c r="A51" s="1" t="s">
        <v>154</v>
      </c>
      <c r="B51" s="42">
        <f>'Data_Raw++ (2017)'!B53</f>
        <v>4000</v>
      </c>
      <c r="C51" s="42">
        <f>'Data_Raw++ (2017)'!C53</f>
        <v>3017.5438596491231</v>
      </c>
      <c r="D51" s="42">
        <f>'Data_Raw++ (2017)'!D53</f>
        <v>3017.5438596491231</v>
      </c>
      <c r="E51" s="42">
        <f>'Data_Raw++ (2017)'!E53</f>
        <v>2276.3927362265317</v>
      </c>
      <c r="F51" s="42">
        <f>'Data_Raw++ (2017)'!F53</f>
        <v>1788.5942927494177</v>
      </c>
      <c r="G51" s="42">
        <f>'Data_Raw++ (2017)'!G53</f>
        <v>1523.6173604902447</v>
      </c>
      <c r="H51" s="42">
        <f>'Data_Raw++ (2017)'!H53</f>
        <v>1246.5960222192909</v>
      </c>
      <c r="I51" s="42">
        <f>'Data_Raw++ (2017)'!I53</f>
        <v>586.63342222084282</v>
      </c>
      <c r="J51" s="42">
        <f>'Data_Raw++ (2017)'!J53</f>
        <v>810.11282116211623</v>
      </c>
      <c r="K51" s="42">
        <f>'Data_Raw++ (2017)'!K53</f>
        <v>436.21459601037026</v>
      </c>
      <c r="L51" s="42">
        <f>'Data_Raw++ (2017)'!L53</f>
        <v>224.71661006594832</v>
      </c>
      <c r="M51" s="42">
        <f>'Data_Raw++ (2017)'!M53</f>
        <v>417.33084726533264</v>
      </c>
      <c r="N51" s="42">
        <f>'Data_Raw++ (2017)'!N53</f>
        <v>255.78342251746196</v>
      </c>
      <c r="O51" s="42">
        <f>'Data_Raw++ (2017)'!O53</f>
        <v>217.88958214450463</v>
      </c>
      <c r="P51" s="42">
        <f>'Data_Raw++ (2017)'!P53</f>
        <v>157.78211120808956</v>
      </c>
      <c r="Q51" s="42">
        <f>'Data_Raw++ (2017)'!Q53</f>
        <v>164.22219737984832</v>
      </c>
      <c r="R51" s="42">
        <f>'Data_Raw++ (2017)'!R53</f>
        <v>70.380941734220713</v>
      </c>
      <c r="S51" s="42">
        <f>'Data_Raw++ (2017)'!S53</f>
        <v>101.2798917638786</v>
      </c>
      <c r="T51" s="42">
        <f>'Data_Raw++ (2017)'!T53</f>
        <v>67.51992784258573</v>
      </c>
      <c r="U51" s="42">
        <f>'Data_Raw++ (2017)'!U53</f>
        <v>37.979959411454473</v>
      </c>
      <c r="V51" s="42">
        <f>'Data_Raw++ (2017)'!V53</f>
        <v>10.991616160420932</v>
      </c>
      <c r="W51" s="42">
        <f>'Data_Raw++ (2017)'!W53</f>
        <v>22.316311598430378</v>
      </c>
      <c r="X51" s="42">
        <f>'Data_Raw++ (2017)'!X53</f>
        <v>20.599672244704966</v>
      </c>
      <c r="Y51" s="42">
        <f>'Data_Raw++ (2017)'!Y53</f>
        <v>27.306542277864722</v>
      </c>
      <c r="Z51" s="42">
        <f>'Data_Raw++ (2017)'!Z53</f>
        <v>36.19704441484393</v>
      </c>
      <c r="AA51" s="42">
        <f>'Data_Raw++ (2017)'!AA53</f>
        <v>21.258581640463895</v>
      </c>
    </row>
    <row r="52" spans="1:27" x14ac:dyDescent="0.2">
      <c r="A52" s="1" t="s">
        <v>147</v>
      </c>
      <c r="B52" s="42">
        <f>'Data_Raw++ (2017)'!B54</f>
        <v>3000</v>
      </c>
      <c r="C52" s="42">
        <f>'Data_Raw++ (2017)'!C54</f>
        <v>1761.9047619047617</v>
      </c>
      <c r="D52" s="42">
        <f>'Data_Raw++ (2017)'!D54</f>
        <v>2535.4239256678279</v>
      </c>
      <c r="E52" s="42">
        <f>'Data_Raw++ (2017)'!E54</f>
        <v>3360.9107851875856</v>
      </c>
      <c r="F52" s="42">
        <f>'Data_Raw++ (2017)'!F54</f>
        <v>2535.4239256678279</v>
      </c>
      <c r="G52" s="42">
        <f>'Data_Raw++ (2017)'!G54</f>
        <v>1489.0584960271372</v>
      </c>
      <c r="H52" s="42">
        <f>'Data_Raw++ (2017)'!H54</f>
        <v>733.4168711775452</v>
      </c>
      <c r="I52" s="42">
        <f>'Data_Raw++ (2017)'!I54</f>
        <v>430.73689259633608</v>
      </c>
      <c r="J52" s="42">
        <f>'Data_Raw++ (2017)'!J54</f>
        <v>836.13632092229932</v>
      </c>
      <c r="K52" s="42">
        <f>'Data_Raw++ (2017)'!K54</f>
        <v>684.11153530006311</v>
      </c>
      <c r="L52" s="42">
        <f>'Data_Raw++ (2017)'!L54</f>
        <v>307.35445788843418</v>
      </c>
      <c r="M52" s="42">
        <f>'Data_Raw++ (2017)'!M54</f>
        <v>375.65544853030849</v>
      </c>
      <c r="N52" s="42">
        <f>'Data_Raw++ (2017)'!N54</f>
        <v>185.02432539552507</v>
      </c>
      <c r="O52" s="42">
        <f>'Data_Raw++ (2017)'!O54</f>
        <v>266.25451703258489</v>
      </c>
      <c r="P52" s="42">
        <f>'Data_Raw++ (2017)'!P54</f>
        <v>192.80499509256148</v>
      </c>
      <c r="Q52" s="42">
        <f>'Data_Raw++ (2017)'!Q54</f>
        <v>99.323785350713479</v>
      </c>
      <c r="R52" s="42">
        <f>'Data_Raw++ (2017)'!R54</f>
        <v>53.482038265768786</v>
      </c>
      <c r="S52" s="42">
        <f>'Data_Raw++ (2017)'!S54</f>
        <v>80.223057398653168</v>
      </c>
      <c r="T52" s="42">
        <f>'Data_Raw++ (2017)'!T54</f>
        <v>28.186479626553819</v>
      </c>
      <c r="U52" s="42">
        <f>'Data_Raw++ (2017)'!U54</f>
        <v>17.275584287242665</v>
      </c>
      <c r="V52" s="42">
        <f>'Data_Raw++ (2017)'!V54</f>
        <v>49.168970663690658</v>
      </c>
      <c r="W52" s="42">
        <f>'Data_Raw++ (2017)'!W54</f>
        <v>14.686835393050456</v>
      </c>
      <c r="X52" s="42">
        <f>'Data_Raw++ (2017)'!X54</f>
        <v>29.818726404072141</v>
      </c>
      <c r="Y52" s="42">
        <f>'Data_Raw++ (2017)'!Y54</f>
        <v>21.592870844328104</v>
      </c>
      <c r="Z52" s="42">
        <f>'Data_Raw++ (2017)'!Z54</f>
        <v>25.34815273029821</v>
      </c>
      <c r="AA52" s="42">
        <f>'Data_Raw++ (2017)'!AA54</f>
        <v>7.1494789752123147</v>
      </c>
    </row>
    <row r="53" spans="1:27" x14ac:dyDescent="0.2">
      <c r="A53" s="1" t="s">
        <v>150</v>
      </c>
      <c r="B53" s="42">
        <f>'Data_Raw++ (2017)'!B55</f>
        <v>4000</v>
      </c>
      <c r="C53" s="42">
        <f>'Data_Raw++ (2017)'!C55</f>
        <v>1797.1014492753625</v>
      </c>
      <c r="D53" s="42">
        <f>'Data_Raw++ (2017)'!D55</f>
        <v>2932.1128909229597</v>
      </c>
      <c r="E53" s="42">
        <f>'Data_Raw++ (2017)'!E55</f>
        <v>3306.4251748705715</v>
      </c>
      <c r="F53" s="42">
        <f>'Data_Raw++ (2017)'!F55</f>
        <v>3441.3813044571257</v>
      </c>
      <c r="G53" s="42">
        <f>'Data_Raw++ (2017)'!G55</f>
        <v>1853.0514716307596</v>
      </c>
      <c r="H53" s="42">
        <f>'Data_Raw++ (2017)'!H55</f>
        <v>1578.5253276854619</v>
      </c>
      <c r="I53" s="42">
        <f>'Data_Raw++ (2017)'!I55</f>
        <v>644.74978173068155</v>
      </c>
      <c r="J53" s="42">
        <f>'Data_Raw++ (2017)'!J55</f>
        <v>927.81066151488312</v>
      </c>
      <c r="K53" s="42">
        <f>'Data_Raw++ (2017)'!K55</f>
        <v>927.81066151488312</v>
      </c>
      <c r="L53" s="42">
        <f>'Data_Raw++ (2017)'!L55</f>
        <v>456.98137059688275</v>
      </c>
      <c r="M53" s="42">
        <f>'Data_Raw++ (2017)'!M55</f>
        <v>421.82895747404558</v>
      </c>
      <c r="N53" s="42">
        <f>'Data_Raw++ (2017)'!N55</f>
        <v>198.50774469366851</v>
      </c>
      <c r="O53" s="42">
        <f>'Data_Raw++ (2017)'!O55</f>
        <v>285.65748626649861</v>
      </c>
      <c r="P53" s="42">
        <f>'Data_Raw++ (2017)'!P55</f>
        <v>274.45523190310655</v>
      </c>
      <c r="Q53" s="42">
        <f>'Data_Raw++ (2017)'!Q55</f>
        <v>198.74344379190475</v>
      </c>
      <c r="R53" s="42">
        <f>'Data_Raw++ (2017)'!R55</f>
        <v>85.175761625102041</v>
      </c>
      <c r="S53" s="42">
        <f>'Data_Raw++ (2017)'!S55</f>
        <v>117.6236708156171</v>
      </c>
      <c r="T53" s="42">
        <f>'Data_Raw++ (2017)'!T55</f>
        <v>37.144317099668555</v>
      </c>
      <c r="U53" s="42">
        <f>'Data_Raw++ (2017)'!U55</f>
        <v>51.294533137637522</v>
      </c>
      <c r="V53" s="42">
        <f>'Data_Raw++ (2017)'!V55</f>
        <v>51.294533137637522</v>
      </c>
      <c r="W53" s="42">
        <f>'Data_Raw++ (2017)'!W55</f>
        <v>24.13860382947648</v>
      </c>
      <c r="X53" s="42">
        <f>'Data_Raw++ (2017)'!X55</f>
        <v>39.384037827040572</v>
      </c>
      <c r="Y53" s="42">
        <f>'Data_Raw++ (2017)'!Y55</f>
        <v>54.387480808770313</v>
      </c>
      <c r="Z53" s="42">
        <f>'Data_Raw++ (2017)'!Z55</f>
        <v>24.434955145969273</v>
      </c>
      <c r="AA53" s="42">
        <f>'Data_Raw++ (2017)'!AA55</f>
        <v>17.694277864322579</v>
      </c>
    </row>
    <row r="54" spans="1:27" x14ac:dyDescent="0.2">
      <c r="A54" s="1" t="s">
        <v>153</v>
      </c>
      <c r="B54" s="42">
        <f>'Data_Raw++ (2017)'!B56</f>
        <v>4000</v>
      </c>
      <c r="C54" s="42">
        <f>'Data_Raw++ (2017)'!C56</f>
        <v>1797.1014492753625</v>
      </c>
      <c r="D54" s="42">
        <f>'Data_Raw++ (2017)'!D56</f>
        <v>1946.8599033816427</v>
      </c>
      <c r="E54" s="42">
        <f>'Data_Raw++ (2017)'!E56</f>
        <v>2688.5208189556015</v>
      </c>
      <c r="F54" s="42">
        <f>'Data_Raw++ (2017)'!F56</f>
        <v>1792.347212637068</v>
      </c>
      <c r="G54" s="42">
        <f>'Data_Raw++ (2017)'!G56</f>
        <v>1352.1215814630514</v>
      </c>
      <c r="H54" s="42">
        <f>'Data_Raw++ (2017)'!H56</f>
        <v>2028.1823721945771</v>
      </c>
      <c r="I54" s="42">
        <f>'Data_Raw++ (2017)'!I56</f>
        <v>303.06173377620115</v>
      </c>
      <c r="J54" s="42">
        <f>'Data_Raw++ (2017)'!J56</f>
        <v>494.4691445822229</v>
      </c>
      <c r="K54" s="42">
        <f>'Data_Raw++ (2017)'!K56</f>
        <v>494.4691445822229</v>
      </c>
      <c r="L54" s="42">
        <f>'Data_Raw++ (2017)'!L56</f>
        <v>131.44116501552759</v>
      </c>
      <c r="M54" s="42">
        <f>'Data_Raw++ (2017)'!M56</f>
        <v>466.01867596414326</v>
      </c>
      <c r="N54" s="42">
        <f>'Data_Raw++ (2017)'!N56</f>
        <v>163.73629155496926</v>
      </c>
      <c r="O54" s="42">
        <f>'Data_Raw++ (2017)'!O56</f>
        <v>200.12213412274022</v>
      </c>
      <c r="P54" s="42">
        <f>'Data_Raw++ (2017)'!P56</f>
        <v>56.444704496157492</v>
      </c>
      <c r="Q54" s="42">
        <f>'Data_Raw++ (2017)'!Q56</f>
        <v>346.73175619068166</v>
      </c>
      <c r="R54" s="42">
        <f>'Data_Raw++ (2017)'!R56</f>
        <v>155.77803539001641</v>
      </c>
      <c r="S54" s="42">
        <f>'Data_Raw++ (2017)'!S56</f>
        <v>276.93872958225143</v>
      </c>
      <c r="T54" s="42">
        <f>'Data_Raw++ (2017)'!T56</f>
        <v>30.770969953583489</v>
      </c>
      <c r="U54" s="42">
        <f>'Data_Raw++ (2017)'!U56</f>
        <v>42.493244221615292</v>
      </c>
      <c r="V54" s="42">
        <f>'Data_Raw++ (2017)'!V56</f>
        <v>9.3277853169399432</v>
      </c>
      <c r="W54" s="42">
        <f>'Data_Raw++ (2017)'!W56</f>
        <v>7.9458911959118037</v>
      </c>
      <c r="X54" s="42">
        <f>'Data_Raw++ (2017)'!X56</f>
        <v>17.686015887674657</v>
      </c>
      <c r="Y54" s="42">
        <f>'Data_Raw++ (2017)'!Y56</f>
        <v>23.444253618545474</v>
      </c>
      <c r="Z54" s="42">
        <f>'Data_Raw++ (2017)'!Z56</f>
        <v>36.669217198237789</v>
      </c>
      <c r="AA54" s="42">
        <f>'Data_Raw++ (2017)'!AA56</f>
        <v>8.6014213181051602</v>
      </c>
    </row>
    <row r="55" spans="1:27" x14ac:dyDescent="0.2">
      <c r="A55" s="1" t="s">
        <v>129</v>
      </c>
      <c r="B55" s="42">
        <f>'Data_Raw++ (2017)'!B57</f>
        <v>4000</v>
      </c>
      <c r="C55" s="42">
        <f>'Data_Raw++ (2017)'!C57</f>
        <v>1405.4054054054056</v>
      </c>
      <c r="D55" s="42">
        <f>'Data_Raw++ (2017)'!D57</f>
        <v>2293.0298719772409</v>
      </c>
      <c r="E55" s="42">
        <f>'Data_Raw++ (2017)'!E57</f>
        <v>1660.469907293864</v>
      </c>
      <c r="F55" s="42">
        <f>'Data_Raw++ (2017)'!F57</f>
        <v>2113.3253365558271</v>
      </c>
      <c r="G55" s="42">
        <f>'Data_Raw++ (2017)'!G57</f>
        <v>1660.469907293864</v>
      </c>
      <c r="H55" s="42">
        <f>'Data_Raw++ (2017)'!H57</f>
        <v>1660.469907293864</v>
      </c>
      <c r="I55" s="42">
        <f>'Data_Raw++ (2017)'!I57</f>
        <v>389.49294121707925</v>
      </c>
      <c r="J55" s="42">
        <f>'Data_Raw++ (2017)'!J57</f>
        <v>1901.642007118681</v>
      </c>
      <c r="K55" s="42">
        <f>'Data_Raw++ (2017)'!K57</f>
        <v>600.51852856379389</v>
      </c>
      <c r="L55" s="42">
        <f>'Data_Raw++ (2017)'!L57</f>
        <v>245.28221589225384</v>
      </c>
      <c r="M55" s="42">
        <f>'Data_Raw++ (2017)'!M57</f>
        <v>200.68544936638949</v>
      </c>
      <c r="N55" s="42">
        <f>'Data_Raw++ (2017)'!N57</f>
        <v>170.95427168247991</v>
      </c>
      <c r="O55" s="42">
        <f>'Data_Raw++ (2017)'!O57</f>
        <v>185.20046098935327</v>
      </c>
      <c r="P55" s="42">
        <f>'Data_Raw++ (2017)'!P57</f>
        <v>208.84307303054734</v>
      </c>
      <c r="Q55" s="42">
        <f>'Data_Raw++ (2017)'!Q57</f>
        <v>122.65386828778176</v>
      </c>
      <c r="R55" s="42">
        <f>'Data_Raw++ (2017)'!R57</f>
        <v>28.706224492885092</v>
      </c>
      <c r="S55" s="42">
        <f>'Data_Raw++ (2017)'!S57</f>
        <v>122.65386828778176</v>
      </c>
      <c r="T55" s="42">
        <f>'Data_Raw++ (2017)'!T57</f>
        <v>43.094602371382784</v>
      </c>
      <c r="U55" s="42">
        <f>'Data_Raw++ (2017)'!U57</f>
        <v>22.099796087888606</v>
      </c>
      <c r="V55" s="42">
        <f>'Data_Raw++ (2017)'!V57</f>
        <v>18.784826674705318</v>
      </c>
      <c r="W55" s="42">
        <f>'Data_Raw++ (2017)'!W57</f>
        <v>13.259877652733165</v>
      </c>
      <c r="X55" s="42">
        <f>'Data_Raw++ (2017)'!X57</f>
        <v>0</v>
      </c>
      <c r="Y55" s="42">
        <f>'Data_Raw++ (2017)'!Y57</f>
        <v>23.257404454397061</v>
      </c>
      <c r="Z55" s="42">
        <f>'Data_Raw++ (2017)'!Z57</f>
        <v>9.839671115321833</v>
      </c>
      <c r="AA55" s="42">
        <f>'Data_Raw++ (2017)'!AA57</f>
        <v>16.841568742839254</v>
      </c>
    </row>
    <row r="56" spans="1:27" x14ac:dyDescent="0.2">
      <c r="A56" s="1" t="s">
        <v>144</v>
      </c>
      <c r="B56" s="42">
        <f>'Data_Raw++ (2017)'!B58</f>
        <v>5000</v>
      </c>
      <c r="C56" s="42">
        <f>'Data_Raw++ (2017)'!C58</f>
        <v>1578.9473684210525</v>
      </c>
      <c r="D56" s="42">
        <f>'Data_Raw++ (2017)'!D58</f>
        <v>2576.1772853185594</v>
      </c>
      <c r="E56" s="42">
        <f>'Data_Raw++ (2017)'!E58</f>
        <v>2194.5213911972915</v>
      </c>
      <c r="F56" s="42">
        <f>'Data_Raw++ (2017)'!F58</f>
        <v>1795.5175018886928</v>
      </c>
      <c r="G56" s="42">
        <f>'Data_Raw++ (2017)'!G58</f>
        <v>1197.0116679257951</v>
      </c>
      <c r="H56" s="42">
        <f>'Data_Raw++ (2017)'!H58</f>
        <v>733.65231259968095</v>
      </c>
      <c r="I56" s="42">
        <f>'Data_Raw++ (2017)'!I58</f>
        <v>489.10154173312071</v>
      </c>
      <c r="J56" s="42">
        <f>'Data_Raw++ (2017)'!J58</f>
        <v>1039.3407761828814</v>
      </c>
      <c r="K56" s="42">
        <f>'Data_Raw++ (2017)'!K58</f>
        <v>1081.762848680142</v>
      </c>
      <c r="L56" s="42">
        <f>'Data_Raw++ (2017)'!L58</f>
        <v>221.56588466942674</v>
      </c>
      <c r="M56" s="42">
        <f>'Data_Raw++ (2017)'!M58</f>
        <v>141.65687708373184</v>
      </c>
      <c r="N56" s="42">
        <f>'Data_Raw++ (2017)'!N58</f>
        <v>212.48531562559776</v>
      </c>
      <c r="O56" s="42">
        <f>'Data_Raw++ (2017)'!O58</f>
        <v>305.77155175390897</v>
      </c>
      <c r="P56" s="42">
        <f>'Data_Raw++ (2017)'!P58</f>
        <v>567.86145325725954</v>
      </c>
      <c r="Q56" s="42">
        <f>'Data_Raw++ (2017)'!Q58</f>
        <v>92.442562158158552</v>
      </c>
      <c r="R56" s="42">
        <f>'Data_Raw++ (2017)'!R58</f>
        <v>37.75822961389575</v>
      </c>
      <c r="S56" s="42">
        <f>'Data_Raw++ (2017)'!S58</f>
        <v>52.142317085856035</v>
      </c>
      <c r="T56" s="42">
        <f>'Data_Raw++ (2017)'!T58</f>
        <v>31.958194342944022</v>
      </c>
      <c r="U56" s="42">
        <f>'Data_Raw++ (2017)'!U58</f>
        <v>19.587280403739886</v>
      </c>
      <c r="V56" s="42">
        <f>'Data_Raw++ (2017)'!V58</f>
        <v>131.08410731733613</v>
      </c>
      <c r="W56" s="42">
        <f>'Data_Raw++ (2017)'!W58</f>
        <v>12.964362262154122</v>
      </c>
      <c r="X56" s="42">
        <f>'Data_Raw++ (2017)'!X58</f>
        <v>9.7801329346074954</v>
      </c>
      <c r="Y56" s="42">
        <f>'Data_Raw++ (2017)'!Y58</f>
        <v>15.957058998570124</v>
      </c>
      <c r="Z56" s="42">
        <f>'Data_Raw++ (2017)'!Z58</f>
        <v>11.088803710870764</v>
      </c>
      <c r="AA56" s="42">
        <f>'Data_Raw++ (2017)'!AA58</f>
        <v>5.4616495889363463</v>
      </c>
    </row>
    <row r="57" spans="1:27" x14ac:dyDescent="0.2">
      <c r="A57" s="1" t="s">
        <v>134</v>
      </c>
      <c r="B57" s="42">
        <f>'Data_Raw++ (2017)'!B59</f>
        <v>4000</v>
      </c>
      <c r="C57" s="42">
        <f>'Data_Raw++ (2017)'!C59</f>
        <v>1041.0958904109589</v>
      </c>
      <c r="D57" s="42">
        <f>'Data_Raw++ (2017)'!D59</f>
        <v>1081.081081081081</v>
      </c>
      <c r="E57" s="42">
        <f>'Data_Raw++ (2017)'!E59</f>
        <v>1417.6624890702419</v>
      </c>
      <c r="F57" s="42">
        <f>'Data_Raw++ (2017)'!F59</f>
        <v>1664.2124871694143</v>
      </c>
      <c r="G57" s="42">
        <f>'Data_Raw++ (2017)'!G59</f>
        <v>575.92538618478579</v>
      </c>
      <c r="H57" s="42">
        <f>'Data_Raw++ (2017)'!H59</f>
        <v>857.32158429939534</v>
      </c>
      <c r="I57" s="42">
        <f>'Data_Raw++ (2017)'!I59</f>
        <v>142.64678461452121</v>
      </c>
      <c r="J57" s="42">
        <f>'Data_Raw++ (2017)'!J59</f>
        <v>403.44545143500955</v>
      </c>
      <c r="K57" s="42">
        <f>'Data_Raw++ (2017)'!K59</f>
        <v>437.06590572126038</v>
      </c>
      <c r="L57" s="42">
        <f>'Data_Raw++ (2017)'!L59</f>
        <v>147.92999885950351</v>
      </c>
      <c r="M57" s="42">
        <f>'Data_Raw++ (2017)'!M59</f>
        <v>95.09785640968083</v>
      </c>
      <c r="N57" s="42">
        <f>'Data_Raw++ (2017)'!N59</f>
        <v>80.689090287001903</v>
      </c>
      <c r="O57" s="42">
        <f>'Data_Raw++ (2017)'!O59</f>
        <v>163.29934939036102</v>
      </c>
      <c r="P57" s="42">
        <f>'Data_Raw++ (2017)'!P59</f>
        <v>86.861356058702668</v>
      </c>
      <c r="Q57" s="42">
        <f>'Data_Raw++ (2017)'!Q59</f>
        <v>150.73786097571784</v>
      </c>
      <c r="R57" s="42">
        <f>'Data_Raw++ (2017)'!R59</f>
        <v>50.24595365857261</v>
      </c>
      <c r="S57" s="42">
        <f>'Data_Raw++ (2017)'!S59</f>
        <v>58.239628104254614</v>
      </c>
      <c r="T57" s="42">
        <f>'Data_Raw++ (2017)'!T59</f>
        <v>23.370211003987261</v>
      </c>
      <c r="U57" s="42">
        <f>'Data_Raw++ (2017)'!U59</f>
        <v>26.708812575985441</v>
      </c>
      <c r="V57" s="42">
        <f>'Data_Raw++ (2017)'!V59</f>
        <v>4.6740422007974525</v>
      </c>
      <c r="W57" s="42">
        <f>'Data_Raw++ (2017)'!W59</f>
        <v>0</v>
      </c>
      <c r="X57" s="42">
        <f>'Data_Raw++ (2017)'!X59</f>
        <v>0</v>
      </c>
      <c r="Y57" s="42">
        <f>'Data_Raw++ (2017)'!Y59</f>
        <v>16.693007859990903</v>
      </c>
      <c r="Z57" s="42">
        <f>'Data_Raw++ (2017)'!Z59</f>
        <v>39.806403358439844</v>
      </c>
      <c r="AA57" s="42">
        <f>'Data_Raw++ (2017)'!AA59</f>
        <v>33.909158416448754</v>
      </c>
    </row>
    <row r="58" spans="1:27" x14ac:dyDescent="0.2">
      <c r="A58" s="1" t="s">
        <v>151</v>
      </c>
      <c r="B58" s="42">
        <f>'Data_Raw++ (2017)'!B60</f>
        <v>5000</v>
      </c>
      <c r="C58" s="42">
        <f>'Data_Raw++ (2017)'!C60</f>
        <v>882.35294117647061</v>
      </c>
      <c r="D58" s="42">
        <f>'Data_Raw++ (2017)'!D60</f>
        <v>1791.4438502673795</v>
      </c>
      <c r="E58" s="42">
        <f>'Data_Raw++ (2017)'!E60</f>
        <v>1526.0447613388787</v>
      </c>
      <c r="F58" s="42">
        <f>'Data_Raw++ (2017)'!F60</f>
        <v>3396.6802752381491</v>
      </c>
      <c r="G58" s="42">
        <f>'Data_Raw++ (2017)'!G60</f>
        <v>849.17006880953727</v>
      </c>
      <c r="H58" s="42">
        <f>'Data_Raw++ (2017)'!H60</f>
        <v>1080.761905757593</v>
      </c>
      <c r="I58" s="42">
        <f>'Data_Raw++ (2017)'!I60</f>
        <v>379.72715607699212</v>
      </c>
      <c r="J58" s="42">
        <f>'Data_Raw++ (2017)'!J60</f>
        <v>619.55483359930292</v>
      </c>
      <c r="K58" s="42">
        <f>'Data_Raw++ (2017)'!K60</f>
        <v>2478.2193343972117</v>
      </c>
      <c r="L58" s="42">
        <f>'Data_Raw++ (2017)'!L60</f>
        <v>50.575904783616572</v>
      </c>
      <c r="M58" s="42">
        <f>'Data_Raw++ (2017)'!M60</f>
        <v>151.72771435084971</v>
      </c>
      <c r="N58" s="42">
        <f>'Data_Raw++ (2017)'!N60</f>
        <v>71.401277341576332</v>
      </c>
      <c r="O58" s="42">
        <f>'Data_Raw++ (2017)'!O60</f>
        <v>183.60328459262482</v>
      </c>
      <c r="P58" s="42">
        <f>'Data_Raw++ (2017)'!P60</f>
        <v>67.908064164395483</v>
      </c>
      <c r="Q58" s="42">
        <f>'Data_Raw++ (2017)'!Q60</f>
        <v>137.87394845498477</v>
      </c>
      <c r="R58" s="42">
        <f>'Data_Raw++ (2017)'!R60</f>
        <v>17.040600370840814</v>
      </c>
      <c r="S58" s="42">
        <f>'Data_Raw++ (2017)'!S60</f>
        <v>29.015076307107329</v>
      </c>
      <c r="T58" s="42">
        <f>'Data_Raw++ (2017)'!T60</f>
        <v>11.851228350790318</v>
      </c>
      <c r="U58" s="42">
        <f>'Data_Raw++ (2017)'!U60</f>
        <v>44.583192367258825</v>
      </c>
      <c r="V58" s="42">
        <f>'Data_Raw++ (2017)'!V60</f>
        <v>10.457785863924908</v>
      </c>
      <c r="W58" s="42">
        <f>'Data_Raw++ (2017)'!W60</f>
        <v>5.3873442329310128</v>
      </c>
      <c r="X58" s="42">
        <f>'Data_Raw++ (2017)'!X60</f>
        <v>10.457785863924906</v>
      </c>
      <c r="Y58" s="42">
        <f>'Data_Raw++ (2017)'!Y60</f>
        <v>17.806500254791057</v>
      </c>
      <c r="Z58" s="42">
        <f>'Data_Raw++ (2017)'!Z60</f>
        <v>29.052710942027513</v>
      </c>
      <c r="AA58" s="42">
        <f>'Data_Raw++ (2017)'!AA60</f>
        <v>13.67186397271883</v>
      </c>
    </row>
    <row r="59" spans="1:27" x14ac:dyDescent="0.2">
      <c r="A59" s="1" t="s">
        <v>162</v>
      </c>
      <c r="B59" s="42">
        <f>'Data_Raw++ (2017)'!B61</f>
        <v>4000</v>
      </c>
      <c r="C59" s="42">
        <f>'Data_Raw++ (2017)'!C61</f>
        <v>5090.909090909091</v>
      </c>
      <c r="D59" s="42">
        <f>'Data_Raw++ (2017)'!D61</f>
        <v>4514.5797598627787</v>
      </c>
      <c r="E59" s="42">
        <f>'Data_Raw++ (2017)'!E61</f>
        <v>4514.5797598627787</v>
      </c>
      <c r="F59" s="42">
        <f>'Data_Raw++ (2017)'!F61</f>
        <v>3547.1698113207544</v>
      </c>
      <c r="G59" s="42">
        <f>'Data_Raw++ (2017)'!G61</f>
        <v>3145.6034175863292</v>
      </c>
      <c r="H59" s="42">
        <f>'Data_Raw++ (2017)'!H61</f>
        <v>1163.4423599291902</v>
      </c>
      <c r="I59" s="42">
        <f>'Data_Raw++ (2017)'!I61</f>
        <v>991.08052882856941</v>
      </c>
      <c r="J59" s="42">
        <f>'Data_Raw++ (2017)'!J61</f>
        <v>1617.0261259834554</v>
      </c>
      <c r="K59" s="42">
        <f>'Data_Raw++ (2017)'!K61</f>
        <v>870.70637552955282</v>
      </c>
      <c r="L59" s="42">
        <f>'Data_Raw++ (2017)'!L61</f>
        <v>605.06714231714693</v>
      </c>
      <c r="M59" s="42">
        <f>'Data_Raw++ (2017)'!M61</f>
        <v>655.48940417690926</v>
      </c>
      <c r="N59" s="42">
        <f>'Data_Raw++ (2017)'!N61</f>
        <v>558.3798628173671</v>
      </c>
      <c r="O59" s="42">
        <f>'Data_Raw++ (2017)'!O61</f>
        <v>388.02668433071273</v>
      </c>
      <c r="P59" s="42">
        <f>'Data_Raw++ (2017)'!P61</f>
        <v>372.80995161186121</v>
      </c>
      <c r="Q59" s="42">
        <f>'Data_Raw++ (2017)'!Q61</f>
        <v>238.35390348955062</v>
      </c>
      <c r="R59" s="42">
        <f>'Data_Raw++ (2017)'!R61</f>
        <v>134.07407071287221</v>
      </c>
      <c r="S59" s="42">
        <f>'Data_Raw++ (2017)'!S61</f>
        <v>209.70559778167191</v>
      </c>
      <c r="T59" s="42">
        <f>'Data_Raw++ (2017)'!T61</f>
        <v>81.552176915094634</v>
      </c>
      <c r="U59" s="42">
        <f>'Data_Raw++ (2017)'!U61</f>
        <v>91.963093117021629</v>
      </c>
      <c r="V59" s="42">
        <f>'Data_Raw++ (2017)'!V61</f>
        <v>35.763425101063973</v>
      </c>
      <c r="W59" s="42">
        <f>'Data_Raw++ (2017)'!W61</f>
        <v>45.517086492263239</v>
      </c>
      <c r="X59" s="42">
        <f>'Data_Raw++ (2017)'!X61</f>
        <v>77.502066189529302</v>
      </c>
      <c r="Y59" s="42">
        <f>'Data_Raw++ (2017)'!Y61</f>
        <v>66.020278605895328</v>
      </c>
      <c r="Z59" s="42">
        <f>'Data_Raw++ (2017)'!Z61</f>
        <v>38.773814419335352</v>
      </c>
      <c r="AA59" s="42">
        <f>'Data_Raw++ (2017)'!AA61</f>
        <v>45.517086492263239</v>
      </c>
    </row>
    <row r="60" spans="1:27" x14ac:dyDescent="0.2">
      <c r="A60" s="1" t="s">
        <v>159</v>
      </c>
      <c r="B60" s="42">
        <f>'Data_Raw++ (2017)'!B62</f>
        <v>4000</v>
      </c>
      <c r="C60" s="42">
        <f>'Data_Raw++ (2017)'!C62</f>
        <v>2557.377049180328</v>
      </c>
      <c r="D60" s="42">
        <f>'Data_Raw++ (2017)'!D62</f>
        <v>2883.8507150331361</v>
      </c>
      <c r="E60" s="42">
        <f>'Data_Raw++ (2017)'!E62</f>
        <v>3670.3554554967191</v>
      </c>
      <c r="F60" s="42">
        <f>'Data_Raw++ (2017)'!F62</f>
        <v>2346.6207010552794</v>
      </c>
      <c r="G60" s="42">
        <f>'Data_Raw++ (2017)'!G62</f>
        <v>1378.1740625245293</v>
      </c>
      <c r="H60" s="42">
        <f>'Data_Raw++ (2017)'!H62</f>
        <v>678.80215019864875</v>
      </c>
      <c r="I60" s="42">
        <f>'Data_Raw++ (2017)'!I62</f>
        <v>452.5347667990992</v>
      </c>
      <c r="J60" s="42">
        <f>'Data_Raw++ (2017)'!J62</f>
        <v>738.34619846168823</v>
      </c>
      <c r="K60" s="42">
        <f>'Data_Raw++ (2017)'!K62</f>
        <v>628.96157646736401</v>
      </c>
      <c r="L60" s="42">
        <f>'Data_Raw++ (2017)'!L62</f>
        <v>353.79088676289223</v>
      </c>
      <c r="M60" s="42">
        <f>'Data_Raw++ (2017)'!M62</f>
        <v>166.48982906489044</v>
      </c>
      <c r="N60" s="42">
        <f>'Data_Raw++ (2017)'!N62</f>
        <v>211.89614608258788</v>
      </c>
      <c r="O60" s="42">
        <f>'Data_Raw++ (2017)'!O62</f>
        <v>220.54496837167309</v>
      </c>
      <c r="P60" s="42">
        <f>'Data_Raw++ (2017)'!P62</f>
        <v>514.6049262005705</v>
      </c>
      <c r="Q60" s="42">
        <f>'Data_Raw++ (2017)'!Q62</f>
        <v>120.70979750383754</v>
      </c>
      <c r="R60" s="42">
        <f>'Data_Raw++ (2017)'!R62</f>
        <v>51.732770358787512</v>
      </c>
      <c r="S60" s="42">
        <f>'Data_Raw++ (2017)'!S62</f>
        <v>49.704034266286037</v>
      </c>
      <c r="T60" s="42">
        <f>'Data_Raw++ (2017)'!T62</f>
        <v>39.053169780653313</v>
      </c>
      <c r="U60" s="42">
        <f>'Data_Raw++ (2017)'!U62</f>
        <v>56.198463830696227</v>
      </c>
      <c r="V60" s="42">
        <f>'Data_Raw++ (2017)'!V62</f>
        <v>91.692230460609636</v>
      </c>
      <c r="W60" s="42">
        <f>'Data_Raw++ (2017)'!W62</f>
        <v>69.171331750986226</v>
      </c>
      <c r="X60" s="42">
        <f>'Data_Raw++ (2017)'!X62</f>
        <v>8.5492657220320059</v>
      </c>
      <c r="Y60" s="42">
        <f>'Data_Raw++ (2017)'!Y62</f>
        <v>8.2140003995993762</v>
      </c>
      <c r="Z60" s="42">
        <f>'Data_Raw++ (2017)'!Z62</f>
        <v>19.166000932398543</v>
      </c>
      <c r="AA60" s="42">
        <f>'Data_Raw++ (2017)'!AA62</f>
        <v>9.4399706084948054</v>
      </c>
    </row>
    <row r="61" spans="1:27" x14ac:dyDescent="0.2">
      <c r="A61" s="1" t="s">
        <v>168</v>
      </c>
      <c r="B61" s="42">
        <f>'Data_Raw++ (2017)'!B63</f>
        <v>3000</v>
      </c>
      <c r="C61" s="42">
        <f>'Data_Raw++ (2017)'!C63</f>
        <v>1411.7647058823527</v>
      </c>
      <c r="D61" s="42">
        <f>'Data_Raw++ (2017)'!D63</f>
        <v>1796.7914438502673</v>
      </c>
      <c r="E61" s="42">
        <f>'Data_Raw++ (2017)'!E63</f>
        <v>1796.7914438502673</v>
      </c>
      <c r="F61" s="42">
        <f>'Data_Raw++ (2017)'!F63</f>
        <v>1870.1298701298704</v>
      </c>
      <c r="G61" s="42">
        <f>'Data_Raw++ (2017)'!G63</f>
        <v>1051.9480519480519</v>
      </c>
      <c r="H61" s="42">
        <f>'Data_Raw++ (2017)'!H63</f>
        <v>1577.9220779220775</v>
      </c>
      <c r="I61" s="42">
        <f>'Data_Raw++ (2017)'!I63</f>
        <v>278.45683728036664</v>
      </c>
      <c r="J61" s="42">
        <f>'Data_Raw++ (2017)'!J63</f>
        <v>301.66157372039726</v>
      </c>
      <c r="K61" s="42">
        <f>'Data_Raw++ (2017)'!K63</f>
        <v>775.70118956673571</v>
      </c>
      <c r="L61" s="42">
        <f>'Data_Raw++ (2017)'!L63</f>
        <v>181.95460002182691</v>
      </c>
      <c r="M61" s="42">
        <f>'Data_Raw++ (2017)'!M63</f>
        <v>167.95809232784021</v>
      </c>
      <c r="N61" s="42">
        <f>'Data_Raw++ (2017)'!N63</f>
        <v>126.70522754556367</v>
      </c>
      <c r="O61" s="42">
        <f>'Data_Raw++ (2017)'!O63</f>
        <v>112.36123952153758</v>
      </c>
      <c r="P61" s="42">
        <f>'Data_Raw++ (2017)'!P63</f>
        <v>35.482496691011868</v>
      </c>
      <c r="Q61" s="42">
        <f>'Data_Raw++ (2017)'!Q63</f>
        <v>112.36123952153758</v>
      </c>
      <c r="R61" s="42">
        <f>'Data_Raw++ (2017)'!R63</f>
        <v>65.989934322172871</v>
      </c>
      <c r="S61" s="42">
        <f>'Data_Raw++ (2017)'!S63</f>
        <v>56.213647755925031</v>
      </c>
      <c r="T61" s="42">
        <f>'Data_Raw++ (2017)'!T63</f>
        <v>35.939873155427485</v>
      </c>
      <c r="U61" s="42">
        <f>'Data_Raw++ (2017)'!U63</f>
        <v>13.976617338221802</v>
      </c>
      <c r="V61" s="42">
        <f>'Data_Raw++ (2017)'!V63</f>
        <v>10.543763956904167</v>
      </c>
      <c r="W61" s="42">
        <f>'Data_Raw++ (2017)'!W63</f>
        <v>17.952895386080069</v>
      </c>
      <c r="X61" s="42">
        <f>'Data_Raw++ (2017)'!X63</f>
        <v>16.57190343330468</v>
      </c>
      <c r="Y61" s="42">
        <f>'Data_Raw++ (2017)'!Y63</f>
        <v>15.92202486729273</v>
      </c>
      <c r="Z61" s="42">
        <f>'Data_Raw++ (2017)'!Z63</f>
        <v>19.460252615580004</v>
      </c>
      <c r="AA61" s="42">
        <f>'Data_Raw++ (2017)'!AA63</f>
        <v>14.680541446841055</v>
      </c>
    </row>
    <row r="62" spans="1:27" x14ac:dyDescent="0.2">
      <c r="A62" s="1" t="s">
        <v>161</v>
      </c>
      <c r="B62" s="42">
        <f>'Data_Raw++ (2017)'!B64</f>
        <v>4000</v>
      </c>
      <c r="C62" s="42">
        <f>'Data_Raw++ (2017)'!C64</f>
        <v>1882.3529411764705</v>
      </c>
      <c r="D62" s="42">
        <f>'Data_Raw++ (2017)'!D64</f>
        <v>2599.4397759103636</v>
      </c>
      <c r="E62" s="42">
        <f>'Data_Raw++ (2017)'!E64</f>
        <v>2042.4169667867141</v>
      </c>
      <c r="F62" s="42">
        <f>'Data_Raw++ (2017)'!F64</f>
        <v>2599.4397759103636</v>
      </c>
      <c r="G62" s="42">
        <f>'Data_Raw++ (2017)'!G64</f>
        <v>1732.9598506069092</v>
      </c>
      <c r="H62" s="42">
        <f>'Data_Raw++ (2017)'!H64</f>
        <v>1017.7700709913593</v>
      </c>
      <c r="I62" s="42">
        <f>'Data_Raw++ (2017)'!I64</f>
        <v>287.06335335653722</v>
      </c>
      <c r="J62" s="42">
        <f>'Data_Raw++ (2017)'!J64</f>
        <v>909.03395229570128</v>
      </c>
      <c r="K62" s="42">
        <f>'Data_Raw++ (2017)'!K64</f>
        <v>533.87708309430081</v>
      </c>
      <c r="L62" s="42">
        <f>'Data_Raw++ (2017)'!L64</f>
        <v>251.23627439731803</v>
      </c>
      <c r="M62" s="42">
        <f>'Data_Raw++ (2017)'!M64</f>
        <v>241.38387147977613</v>
      </c>
      <c r="N62" s="42">
        <f>'Data_Raw++ (2017)'!N64</f>
        <v>251.23627439731803</v>
      </c>
      <c r="O62" s="42">
        <f>'Data_Raw++ (2017)'!O64</f>
        <v>261.4908162094535</v>
      </c>
      <c r="P62" s="42">
        <f>'Data_Raw++ (2017)'!P64</f>
        <v>87.163605403151166</v>
      </c>
      <c r="Q62" s="42">
        <f>'Data_Raw++ (2017)'!Q64</f>
        <v>115.54245367394456</v>
      </c>
      <c r="R62" s="42">
        <f>'Data_Raw++ (2017)'!R64</f>
        <v>54.372919375973908</v>
      </c>
      <c r="S62" s="42">
        <f>'Data_Raw++ (2017)'!S64</f>
        <v>52.240648027896498</v>
      </c>
      <c r="T62" s="42">
        <f>'Data_Raw++ (2017)'!T64</f>
        <v>52.240648027896498</v>
      </c>
      <c r="U62" s="42">
        <f>'Data_Raw++ (2017)'!U64</f>
        <v>33.399758575212516</v>
      </c>
      <c r="V62" s="42">
        <f>'Data_Raw++ (2017)'!V64</f>
        <v>27.327075197901149</v>
      </c>
      <c r="W62" s="42">
        <f>'Data_Raw++ (2017)'!W64</f>
        <v>15.371479798819395</v>
      </c>
      <c r="X62" s="42">
        <f>'Data_Raw++ (2017)'!X64</f>
        <v>13.631312274424745</v>
      </c>
      <c r="Y62" s="42">
        <f>'Data_Raw++ (2017)'!Y64</f>
        <v>27.675694617771455</v>
      </c>
      <c r="Z62" s="42">
        <f>'Data_Raw++ (2017)'!Z64</f>
        <v>16.962522507666378</v>
      </c>
      <c r="AA62" s="42">
        <f>'Data_Raw++ (2017)'!AA64</f>
        <v>19.91252642204314</v>
      </c>
    </row>
    <row r="63" spans="1:27" x14ac:dyDescent="0.2">
      <c r="A63" s="1" t="s">
        <v>177</v>
      </c>
      <c r="B63" s="42">
        <f>'Data_Raw++ (2017)'!B65</f>
        <v>3000</v>
      </c>
      <c r="C63" s="42">
        <f>'Data_Raw++ (2017)'!C65</f>
        <v>1285.7142857142858</v>
      </c>
      <c r="D63" s="42">
        <f>'Data_Raw++ (2017)'!D65</f>
        <v>2387.7551020408168</v>
      </c>
      <c r="E63" s="42">
        <f>'Data_Raw++ (2017)'!E65</f>
        <v>1953.6178107606681</v>
      </c>
      <c r="F63" s="42">
        <f>'Data_Raw++ (2017)'!F65</f>
        <v>1473.781857240504</v>
      </c>
      <c r="G63" s="42">
        <f>'Data_Raw++ (2017)'!G65</f>
        <v>1111.8003484445908</v>
      </c>
      <c r="H63" s="42">
        <f>'Data_Raw++ (2017)'!H65</f>
        <v>681.42602001442663</v>
      </c>
      <c r="I63" s="42">
        <f>'Data_Raw++ (2017)'!I65</f>
        <v>557.53038001180357</v>
      </c>
      <c r="J63" s="42">
        <f>'Data_Raw++ (2017)'!J65</f>
        <v>739.05189908541399</v>
      </c>
      <c r="K63" s="42">
        <f>'Data_Raw++ (2017)'!K65</f>
        <v>604.67882652442961</v>
      </c>
      <c r="L63" s="42">
        <f>'Data_Raw++ (2017)'!L65</f>
        <v>223.64833309807673</v>
      </c>
      <c r="M63" s="42">
        <f>'Data_Raw++ (2017)'!M65</f>
        <v>125.80218736766815</v>
      </c>
      <c r="N63" s="42">
        <f>'Data_Raw++ (2017)'!N65</f>
        <v>196.76752383148093</v>
      </c>
      <c r="O63" s="42">
        <f>'Data_Raw++ (2017)'!O65</f>
        <v>321.04174940925833</v>
      </c>
      <c r="P63" s="42">
        <f>'Data_Raw++ (2017)'!P65</f>
        <v>112.79845249514483</v>
      </c>
      <c r="Q63" s="42">
        <f>'Data_Raw++ (2017)'!Q65</f>
        <v>60.73762826661644</v>
      </c>
      <c r="R63" s="42">
        <f>'Data_Raw++ (2017)'!R65</f>
        <v>19.180303663142031</v>
      </c>
      <c r="S63" s="42">
        <f>'Data_Raw++ (2017)'!S65</f>
        <v>28.770455494713044</v>
      </c>
      <c r="T63" s="42">
        <f>'Data_Raw++ (2017)'!T65</f>
        <v>23.539463586583398</v>
      </c>
      <c r="U63" s="42">
        <f>'Data_Raw++ (2017)'!U65</f>
        <v>7.8464878621944658</v>
      </c>
      <c r="V63" s="42">
        <f>'Data_Raw++ (2017)'!V65</f>
        <v>21.214578294081331</v>
      </c>
      <c r="W63" s="42">
        <f>'Data_Raw++ (2017)'!W65</f>
        <v>37.714805856144594</v>
      </c>
      <c r="X63" s="42">
        <f>'Data_Raw++ (2017)'!X65</f>
        <v>8.2788598220805198</v>
      </c>
      <c r="Y63" s="42">
        <f>'Data_Raw++ (2017)'!Y65</f>
        <v>7.9541986525871664</v>
      </c>
      <c r="Z63" s="42">
        <f>'Data_Raw++ (2017)'!Z65</f>
        <v>3.9177396348563653</v>
      </c>
      <c r="AA63" s="42">
        <f>'Data_Raw++ (2017)'!AA65</f>
        <v>4.4178766095188804</v>
      </c>
    </row>
    <row r="64" spans="1:27" x14ac:dyDescent="0.2">
      <c r="A64" s="1" t="s">
        <v>178</v>
      </c>
      <c r="B64" s="42">
        <f>'Data_Raw++ (2017)'!B66</f>
        <v>3000</v>
      </c>
      <c r="C64" s="42">
        <f>'Data_Raw++ (2017)'!C66</f>
        <v>1000</v>
      </c>
      <c r="D64" s="42">
        <f>'Data_Raw++ (2017)'!D66</f>
        <v>1380.952380952381</v>
      </c>
      <c r="E64" s="42">
        <f>'Data_Raw++ (2017)'!E66</f>
        <v>1830.564784053156</v>
      </c>
      <c r="F64" s="42">
        <f>'Data_Raw++ (2017)'!F66</f>
        <v>1075.0936033328057</v>
      </c>
      <c r="G64" s="42">
        <f>'Data_Raw++ (2017)'!G66</f>
        <v>716.72906888853731</v>
      </c>
      <c r="H64" s="42">
        <f>'Data_Raw++ (2017)'!H66</f>
        <v>716.72906888853731</v>
      </c>
      <c r="I64" s="42">
        <f>'Data_Raw++ (2017)'!I66</f>
        <v>251.82372690678338</v>
      </c>
      <c r="J64" s="42">
        <f>'Data_Raw++ (2017)'!J66</f>
        <v>262.10224637236638</v>
      </c>
      <c r="K64" s="42">
        <f>'Data_Raw++ (2017)'!K66</f>
        <v>223.27228394683064</v>
      </c>
      <c r="L64" s="42">
        <f>'Data_Raw++ (2017)'!L66</f>
        <v>182.67732322922507</v>
      </c>
      <c r="M64" s="42">
        <f>'Data_Raw++ (2017)'!M66</f>
        <v>126.9452585152242</v>
      </c>
      <c r="N64" s="42">
        <f>'Data_Raw++ (2017)'!N66</f>
        <v>99.742703119104718</v>
      </c>
      <c r="O64" s="42">
        <f>'Data_Raw++ (2017)'!O66</f>
        <v>108.05459504569679</v>
      </c>
      <c r="P64" s="42">
        <f>'Data_Raw++ (2017)'!P66</f>
        <v>53.220919947880503</v>
      </c>
      <c r="Q64" s="42">
        <f>'Data_Raw++ (2017)'!Q66</f>
        <v>86.834132546541866</v>
      </c>
      <c r="R64" s="42">
        <f>'Data_Raw++ (2017)'!R66</f>
        <v>42.769050358744501</v>
      </c>
      <c r="S64" s="42">
        <f>'Data_Raw++ (2017)'!S66</f>
        <v>44.514725883591218</v>
      </c>
      <c r="T64" s="42">
        <f>'Data_Raw++ (2017)'!T66</f>
        <v>25.03953330952006</v>
      </c>
      <c r="U64" s="42">
        <f>'Data_Raw++ (2017)'!U66</f>
        <v>18.889472496655486</v>
      </c>
      <c r="V64" s="42">
        <f>'Data_Raw++ (2017)'!V66</f>
        <v>7.7154183437043526</v>
      </c>
      <c r="W64" s="42">
        <f>'Data_Raw++ (2017)'!W66</f>
        <v>25.829878802836312</v>
      </c>
      <c r="X64" s="42">
        <f>'Data_Raw++ (2017)'!X66</f>
        <v>8.6099596009454373</v>
      </c>
      <c r="Y64" s="42">
        <f>'Data_Raw++ (2017)'!Y66</f>
        <v>25.829878802836312</v>
      </c>
      <c r="Z64" s="42">
        <f>'Data_Raw++ (2017)'!Z66</f>
        <v>15.831216040448062</v>
      </c>
      <c r="AA64" s="42">
        <f>'Data_Raw++ (2017)'!AA66</f>
        <v>9.2976983094694958</v>
      </c>
    </row>
    <row r="65" spans="1:27" x14ac:dyDescent="0.2">
      <c r="A65" s="1" t="s">
        <v>184</v>
      </c>
      <c r="B65" s="42">
        <f>'Data_Raw++ (2017)'!B67</f>
        <v>3000</v>
      </c>
      <c r="C65" s="42">
        <f>'Data_Raw++ (2017)'!C67</f>
        <v>896.1038961038962</v>
      </c>
      <c r="D65" s="42">
        <f>'Data_Raw++ (2017)'!D67</f>
        <v>1051.9480519480521</v>
      </c>
      <c r="E65" s="42">
        <f>'Data_Raw++ (2017)'!E67</f>
        <v>1953.6178107606684</v>
      </c>
      <c r="F65" s="42">
        <f>'Data_Raw++ (2017)'!F67</f>
        <v>2033.3573132406959</v>
      </c>
      <c r="G65" s="42">
        <f>'Data_Raw++ (2017)'!G67</f>
        <v>677.78577108023194</v>
      </c>
      <c r="H65" s="42">
        <f>'Data_Raw++ (2017)'!H67</f>
        <v>705.45049643044547</v>
      </c>
      <c r="I65" s="42">
        <f>'Data_Raw++ (2017)'!I67</f>
        <v>176.36262410761137</v>
      </c>
      <c r="J65" s="42">
        <f>'Data_Raw++ (2017)'!J67</f>
        <v>342.35097620889263</v>
      </c>
      <c r="K65" s="42">
        <f>'Data_Raw++ (2017)'!K67</f>
        <v>492.65140478840647</v>
      </c>
      <c r="L65" s="42">
        <f>'Data_Raw++ (2017)'!L67</f>
        <v>155.57412782791781</v>
      </c>
      <c r="M65" s="42">
        <f>'Data_Raw++ (2017)'!M67</f>
        <v>206.22616944630965</v>
      </c>
      <c r="N65" s="42">
        <f>'Data_Raw++ (2017)'!N67</f>
        <v>96.560531751226122</v>
      </c>
      <c r="O65" s="42">
        <f>'Data_Raw++ (2017)'!O67</f>
        <v>187.52481550682728</v>
      </c>
      <c r="P65" s="42">
        <f>'Data_Raw++ (2017)'!P67</f>
        <v>96.603692836850428</v>
      </c>
      <c r="Q65" s="42">
        <f>'Data_Raw++ (2017)'!Q67</f>
        <v>96.603692836850428</v>
      </c>
      <c r="R65" s="42">
        <f>'Data_Raw++ (2017)'!R67</f>
        <v>49.765538734135063</v>
      </c>
      <c r="S65" s="42">
        <f>'Data_Raw++ (2017)'!S67</f>
        <v>71.613824032048015</v>
      </c>
      <c r="T65" s="42">
        <f>'Data_Raw++ (2017)'!T67</f>
        <v>26.873390916432932</v>
      </c>
      <c r="U65" s="42">
        <f>'Data_Raw++ (2017)'!U67</f>
        <v>21.818056590632334</v>
      </c>
      <c r="V65" s="42">
        <f>'Data_Raw++ (2017)'!V67</f>
        <v>15.16170034264281</v>
      </c>
      <c r="W65" s="42">
        <f>'Data_Raw++ (2017)'!W67</f>
        <v>7.9598926798874752</v>
      </c>
      <c r="X65" s="42">
        <f>'Data_Raw++ (2017)'!X67</f>
        <v>11.912764554933636</v>
      </c>
      <c r="Y65" s="42">
        <f>'Data_Raw++ (2017)'!Y67</f>
        <v>12.90549493451144</v>
      </c>
      <c r="Z65" s="42">
        <f>'Data_Raw++ (2017)'!Z67</f>
        <v>11.912764554933636</v>
      </c>
      <c r="AA65" s="42">
        <f>'Data_Raw++ (2017)'!AA67</f>
        <v>11.912764554933636</v>
      </c>
    </row>
    <row r="66" spans="1:27" x14ac:dyDescent="0.2">
      <c r="A66" s="1" t="s">
        <v>189</v>
      </c>
      <c r="B66" s="42">
        <f>'Data_Raw++ (2017)'!B68</f>
        <v>2000</v>
      </c>
      <c r="C66" s="42">
        <f>'Data_Raw++ (2017)'!C68</f>
        <v>1076.9230769230767</v>
      </c>
      <c r="D66" s="42">
        <f>'Data_Raw++ (2017)'!D68</f>
        <v>1757.0850202429147</v>
      </c>
      <c r="E66" s="42">
        <f>'Data_Raw++ (2017)'!E68</f>
        <v>1828.8027761711969</v>
      </c>
      <c r="F66" s="42">
        <f>'Data_Raw++ (2017)'!F68</f>
        <v>1981.2030075187968</v>
      </c>
      <c r="G66" s="42">
        <f>'Data_Raw++ (2017)'!G68</f>
        <v>890.10569903018416</v>
      </c>
      <c r="H66" s="42">
        <f>'Data_Raw++ (2017)'!H68</f>
        <v>671.48324663680569</v>
      </c>
      <c r="I66" s="42">
        <f>'Data_Raw++ (2017)'!I68</f>
        <v>527.59397950034725</v>
      </c>
      <c r="J66" s="42">
        <f>'Data_Raw++ (2017)'!J68</f>
        <v>825.21109614156865</v>
      </c>
      <c r="K66" s="42">
        <f>'Data_Raw++ (2017)'!K68</f>
        <v>406.44725630853384</v>
      </c>
      <c r="L66" s="42">
        <f>'Data_Raw++ (2017)'!L68</f>
        <v>158.0628218977632</v>
      </c>
      <c r="M66" s="42">
        <f>'Data_Raw++ (2017)'!M68</f>
        <v>209.52513600401167</v>
      </c>
      <c r="N66" s="42">
        <f>'Data_Raw++ (2017)'!N68</f>
        <v>107.9371912747939</v>
      </c>
      <c r="O66" s="42">
        <f>'Data_Raw++ (2017)'!O68</f>
        <v>183.78494730573016</v>
      </c>
      <c r="P66" s="42">
        <f>'Data_Raw++ (2017)'!P68</f>
        <v>78.764977416741488</v>
      </c>
      <c r="Q66" s="42">
        <f>'Data_Raw++ (2017)'!Q68</f>
        <v>85.328725534803283</v>
      </c>
      <c r="R66" s="42">
        <f>'Data_Raw++ (2017)'!R68</f>
        <v>42.027581233559822</v>
      </c>
      <c r="S66" s="42">
        <f>'Data_Raw++ (2017)'!S68</f>
        <v>68.57131674949234</v>
      </c>
      <c r="T66" s="42">
        <f>'Data_Raw++ (2017)'!T68</f>
        <v>19.340627801138865</v>
      </c>
      <c r="U66" s="42">
        <f>'Data_Raw++ (2017)'!U68</f>
        <v>41.098834077420086</v>
      </c>
      <c r="V66" s="42">
        <f>'Data_Raw++ (2017)'!V68</f>
        <v>29.761224676752477</v>
      </c>
      <c r="W66" s="42">
        <f>'Data_Raw++ (2017)'!W68</f>
        <v>6.5329517583115191</v>
      </c>
      <c r="X66" s="42">
        <f>'Data_Raw++ (2017)'!X68</f>
        <v>14.541086171725638</v>
      </c>
      <c r="Y66" s="42">
        <f>'Data_Raw++ (2017)'!Y68</f>
        <v>16.397395044711892</v>
      </c>
      <c r="Z66" s="42">
        <f>'Data_Raw++ (2017)'!Z68</f>
        <v>23.596251405804917</v>
      </c>
      <c r="AA66" s="42">
        <f>'Data_Raw++ (2017)'!AA68</f>
        <v>6.6553529606116424</v>
      </c>
    </row>
    <row r="68" spans="1:27" ht="16" x14ac:dyDescent="0.2">
      <c r="A68" s="43" t="s">
        <v>334</v>
      </c>
      <c r="B68" s="8">
        <f>_xlfn.STDEV.P(B2:B66)</f>
        <v>4110.313194418768</v>
      </c>
      <c r="C68" s="8">
        <f t="shared" ref="C68:AA68" si="0">_xlfn.STDEV.P(C2:C66)</f>
        <v>2494.7689982828742</v>
      </c>
      <c r="D68" s="8">
        <f t="shared" si="0"/>
        <v>2370.5871171096856</v>
      </c>
      <c r="E68" s="8">
        <f t="shared" si="0"/>
        <v>1408.9525155847828</v>
      </c>
      <c r="F68" s="8">
        <f t="shared" si="0"/>
        <v>1072.297458204049</v>
      </c>
      <c r="G68" s="8">
        <f t="shared" si="0"/>
        <v>1564.2203486902201</v>
      </c>
      <c r="H68" s="8">
        <f t="shared" si="0"/>
        <v>1151.6954728924807</v>
      </c>
      <c r="I68" s="8">
        <f t="shared" si="0"/>
        <v>602.35745051410345</v>
      </c>
      <c r="J68" s="8">
        <f t="shared" si="0"/>
        <v>502.02240445746565</v>
      </c>
      <c r="K68" s="8">
        <f t="shared" si="0"/>
        <v>638.66156319986101</v>
      </c>
      <c r="L68" s="8">
        <f t="shared" si="0"/>
        <v>355.44407543239407</v>
      </c>
      <c r="M68" s="8">
        <f t="shared" si="0"/>
        <v>356.09147992284886</v>
      </c>
      <c r="N68" s="8">
        <f t="shared" si="0"/>
        <v>302.98343672539499</v>
      </c>
      <c r="O68" s="8">
        <f t="shared" si="0"/>
        <v>177.14877586173884</v>
      </c>
      <c r="P68" s="8">
        <f t="shared" si="0"/>
        <v>160.21111142363176</v>
      </c>
      <c r="Q68" s="8">
        <f t="shared" si="0"/>
        <v>176.29802546389314</v>
      </c>
      <c r="R68" s="8">
        <f t="shared" si="0"/>
        <v>207.04833399360265</v>
      </c>
      <c r="S68" s="8">
        <f t="shared" si="0"/>
        <v>132.22670863912975</v>
      </c>
      <c r="T68" s="8">
        <f t="shared" si="0"/>
        <v>78.407099133782509</v>
      </c>
      <c r="U68" s="8">
        <f t="shared" si="0"/>
        <v>51.658855095958714</v>
      </c>
      <c r="V68" s="8">
        <f t="shared" si="0"/>
        <v>52.927393219737873</v>
      </c>
      <c r="W68" s="8">
        <f t="shared" si="0"/>
        <v>36.621327985816876</v>
      </c>
      <c r="X68" s="8">
        <f t="shared" si="0"/>
        <v>37.455405463446972</v>
      </c>
      <c r="Y68" s="8">
        <f t="shared" si="0"/>
        <v>43.816252309978218</v>
      </c>
      <c r="Z68" s="8">
        <f t="shared" si="0"/>
        <v>27.635626026481912</v>
      </c>
      <c r="AA68" s="8">
        <f t="shared" si="0"/>
        <v>43.692629586774153</v>
      </c>
    </row>
    <row r="69" spans="1:27" x14ac:dyDescent="0.2">
      <c r="A69" s="43"/>
    </row>
    <row r="70" spans="1:27" ht="16" x14ac:dyDescent="0.2">
      <c r="A70" s="43" t="s">
        <v>343</v>
      </c>
      <c r="B70" s="8">
        <f>B68*Notes!$C$7*KeywordInfo!B21</f>
        <v>863.16577082794129</v>
      </c>
      <c r="C70" s="8">
        <f>C68*Notes!$C$7*KeywordInfo!C21</f>
        <v>1047.8029792788072</v>
      </c>
      <c r="D70" s="8">
        <f>D68*Notes!$C$7*KeywordInfo!D21</f>
        <v>948.23484684387427</v>
      </c>
      <c r="E70" s="8">
        <f>E68*Notes!$C$7*KeywordInfo!E21</f>
        <v>619.93910685730441</v>
      </c>
      <c r="F70" s="8">
        <f>F68*Notes!$C$7*KeywordInfo!F21</f>
        <v>353.8581612073362</v>
      </c>
      <c r="G70" s="8">
        <f>G68*Notes!$C$7*KeywordInfo!G21</f>
        <v>625.68813947608805</v>
      </c>
      <c r="H70" s="8">
        <f>H68*Notes!$C$7*KeywordInfo!H21</f>
        <v>426.12732497021784</v>
      </c>
      <c r="I70" s="8">
        <f>I68*Notes!$C$7*KeywordInfo!I21</f>
        <v>186.73080965937206</v>
      </c>
      <c r="J70" s="8">
        <f>J68*Notes!$C$7*KeywordInfo!J21</f>
        <v>60.242688534895876</v>
      </c>
      <c r="K70" s="8">
        <f>K68*Notes!$C$7*KeywordInfo!K21</f>
        <v>197.98508459195691</v>
      </c>
      <c r="L70" s="8">
        <f>L68*Notes!$C$7*KeywordInfo!L21</f>
        <v>149.2865116816055</v>
      </c>
      <c r="M70" s="8">
        <f>M68*Notes!$C$7*KeywordInfo!M21</f>
        <v>167.36299556373896</v>
      </c>
      <c r="N70" s="8">
        <f>N68*Notes!$C$7*KeywordInfo!N21</f>
        <v>99.984534119380356</v>
      </c>
      <c r="O70" s="8">
        <f>O68*Notes!$C$7*KeywordInfo!O21</f>
        <v>74.402485861930316</v>
      </c>
      <c r="P70" s="8">
        <f>P68*Notes!$C$7*KeywordInfo!P21</f>
        <v>30.440111170490034</v>
      </c>
      <c r="Q70" s="8">
        <f>Q68*Notes!$C$7*KeywordInfo!Q21</f>
        <v>70.519210185557256</v>
      </c>
      <c r="R70" s="8">
        <f>R68*Notes!$C$7*KeywordInfo!R21</f>
        <v>89.030783617249142</v>
      </c>
      <c r="S70" s="8">
        <f>S68*Notes!$C$7*KeywordInfo!S21</f>
        <v>66.113354319564877</v>
      </c>
      <c r="T70" s="8">
        <f>T68*Notes!$C$7*KeywordInfo!T21</f>
        <v>37.635407584215606</v>
      </c>
      <c r="U70" s="8">
        <f>U68*Notes!$C$7*KeywordInfo!U21</f>
        <v>21.180130589343072</v>
      </c>
      <c r="V70" s="8">
        <f>V68*Notes!$C$7*KeywordInfo!V21</f>
        <v>7.9391089829606809</v>
      </c>
      <c r="W70" s="8">
        <f>W68*Notes!$C$7*KeywordInfo!W21</f>
        <v>11.7188249554614</v>
      </c>
      <c r="X70" s="8">
        <f>X68*Notes!$C$7*KeywordInfo!X21</f>
        <v>15.731270294647727</v>
      </c>
      <c r="Y70" s="8">
        <f>Y68*Notes!$C$7*KeywordInfo!Y21</f>
        <v>23.222613724288458</v>
      </c>
      <c r="Z70" s="8">
        <f>Z68*Notes!$C$7*KeywordInfo!Z21</f>
        <v>11.883319191387223</v>
      </c>
      <c r="AA70" s="8">
        <f>AA68*Notes!$C$7*KeywordInfo!AA21</f>
        <v>24.467872568593528</v>
      </c>
    </row>
    <row r="71" spans="1:27" x14ac:dyDescent="0.2">
      <c r="A71" s="5"/>
    </row>
    <row r="72" spans="1:27" x14ac:dyDescent="0.2">
      <c r="A72" s="114" t="s">
        <v>335</v>
      </c>
      <c r="B72" s="32">
        <f>_xlfn.COVARIANCE.P($B$2:$B$66,B$2:B$66)</f>
        <v>16894674.556213021</v>
      </c>
      <c r="C72" s="32">
        <f t="shared" ref="C72:AA72" si="1">_xlfn.COVARIANCE.P($B$2:$B$66,C$2:C$66)</f>
        <v>4035720.9027107912</v>
      </c>
      <c r="D72" s="32">
        <f t="shared" si="1"/>
        <v>5214205.0701218052</v>
      </c>
      <c r="E72" s="32">
        <f t="shared" si="1"/>
        <v>2259344.9281894248</v>
      </c>
      <c r="F72" s="32">
        <f t="shared" si="1"/>
        <v>2245560.2045857958</v>
      </c>
      <c r="G72" s="32">
        <f t="shared" si="1"/>
        <v>2964275.1730093001</v>
      </c>
      <c r="H72" s="32">
        <f t="shared" si="1"/>
        <v>2617095.6107235411</v>
      </c>
      <c r="I72" s="32">
        <f t="shared" si="1"/>
        <v>670763.10911070881</v>
      </c>
      <c r="J72" s="32">
        <f t="shared" si="1"/>
        <v>257623.33495099802</v>
      </c>
      <c r="K72" s="32">
        <f t="shared" si="1"/>
        <v>1104154.1303919121</v>
      </c>
      <c r="L72" s="32">
        <f t="shared" si="1"/>
        <v>826740.58795996301</v>
      </c>
      <c r="M72" s="32">
        <f t="shared" si="1"/>
        <v>442977.8736296451</v>
      </c>
      <c r="N72" s="32">
        <f t="shared" si="1"/>
        <v>465872.63922018092</v>
      </c>
      <c r="O72" s="32">
        <f t="shared" si="1"/>
        <v>360156.2376415474</v>
      </c>
      <c r="P72" s="32">
        <f t="shared" si="1"/>
        <v>205577.24331177544</v>
      </c>
      <c r="Q72" s="32">
        <f t="shared" si="1"/>
        <v>400504.27944159525</v>
      </c>
      <c r="R72" s="32">
        <f t="shared" si="1"/>
        <v>389733.04926255142</v>
      </c>
      <c r="S72" s="32">
        <f t="shared" si="1"/>
        <v>223976.7391770765</v>
      </c>
      <c r="T72" s="32">
        <f t="shared" si="1"/>
        <v>194678.08617726414</v>
      </c>
      <c r="U72" s="32">
        <f t="shared" si="1"/>
        <v>83448.871271702475</v>
      </c>
      <c r="V72" s="32">
        <f t="shared" si="1"/>
        <v>10857.457745782098</v>
      </c>
      <c r="W72" s="32">
        <f t="shared" si="1"/>
        <v>57693.805702392747</v>
      </c>
      <c r="X72" s="32">
        <f t="shared" si="1"/>
        <v>61430.902063854897</v>
      </c>
      <c r="Y72" s="32">
        <f t="shared" si="1"/>
        <v>59158.518821372862</v>
      </c>
      <c r="Z72" s="32">
        <f t="shared" si="1"/>
        <v>58433.261473137602</v>
      </c>
      <c r="AA72" s="32">
        <f t="shared" si="1"/>
        <v>26168.36069848332</v>
      </c>
    </row>
    <row r="73" spans="1:27" x14ac:dyDescent="0.2">
      <c r="A73" s="114"/>
      <c r="B73" s="32">
        <f>_xlfn.COVARIANCE.P($C$2:$C$66,B$2:B$66)</f>
        <v>4035720.9027107912</v>
      </c>
      <c r="C73" s="32">
        <f t="shared" ref="C73:AA73" si="2">_xlfn.COVARIANCE.P($C$2:$C$66,C$2:C$66)</f>
        <v>6223872.3547933213</v>
      </c>
      <c r="D73" s="32">
        <f t="shared" si="2"/>
        <v>4933906.0690704016</v>
      </c>
      <c r="E73" s="32">
        <f t="shared" si="2"/>
        <v>2255408.2912697513</v>
      </c>
      <c r="F73" s="32">
        <f t="shared" si="2"/>
        <v>1355429.2015670736</v>
      </c>
      <c r="G73" s="32">
        <f t="shared" si="2"/>
        <v>3606862.3723763251</v>
      </c>
      <c r="H73" s="32">
        <f t="shared" si="2"/>
        <v>1586258.6640297214</v>
      </c>
      <c r="I73" s="32">
        <f t="shared" si="2"/>
        <v>1143442.4010687403</v>
      </c>
      <c r="J73" s="32">
        <f t="shared" si="2"/>
        <v>725090.18580772087</v>
      </c>
      <c r="K73" s="32">
        <f t="shared" si="2"/>
        <v>1049969.9499354023</v>
      </c>
      <c r="L73" s="32">
        <f t="shared" si="2"/>
        <v>733427.27033891156</v>
      </c>
      <c r="M73" s="32">
        <f t="shared" si="2"/>
        <v>676967.79658761679</v>
      </c>
      <c r="N73" s="32">
        <f t="shared" si="2"/>
        <v>668051.6341940189</v>
      </c>
      <c r="O73" s="32">
        <f t="shared" si="2"/>
        <v>390476.76171373081</v>
      </c>
      <c r="P73" s="32">
        <f t="shared" si="2"/>
        <v>74804.937355518181</v>
      </c>
      <c r="Q73" s="32">
        <f t="shared" si="2"/>
        <v>356923.03148056933</v>
      </c>
      <c r="R73" s="32">
        <f t="shared" si="2"/>
        <v>417423.42228958814</v>
      </c>
      <c r="S73" s="32">
        <f t="shared" si="2"/>
        <v>254187.61636418701</v>
      </c>
      <c r="T73" s="32">
        <f t="shared" si="2"/>
        <v>168672.83314915493</v>
      </c>
      <c r="U73" s="32">
        <f t="shared" si="2"/>
        <v>109550.58613798655</v>
      </c>
      <c r="V73" s="32">
        <f t="shared" si="2"/>
        <v>60407.549307353424</v>
      </c>
      <c r="W73" s="32">
        <f t="shared" si="2"/>
        <v>59665.917591580815</v>
      </c>
      <c r="X73" s="32">
        <f t="shared" si="2"/>
        <v>65848.717537613556</v>
      </c>
      <c r="Y73" s="32">
        <f t="shared" si="2"/>
        <v>88921.266736062069</v>
      </c>
      <c r="Z73" s="32">
        <f t="shared" si="2"/>
        <v>50519.55461020668</v>
      </c>
      <c r="AA73" s="32">
        <f t="shared" si="2"/>
        <v>46334.923439647377</v>
      </c>
    </row>
    <row r="74" spans="1:27" x14ac:dyDescent="0.2">
      <c r="A74" s="5"/>
      <c r="B74" s="32">
        <f>_xlfn.COVARIANCE.P($D$2:$D$66,B$2:B$66)</f>
        <v>5214205.0701218052</v>
      </c>
      <c r="C74" s="32">
        <f t="shared" ref="C74:AA74" si="3">_xlfn.COVARIANCE.P($D$2:$D$66,C$2:C$66)</f>
        <v>4933906.0690704016</v>
      </c>
      <c r="D74" s="32">
        <f t="shared" si="3"/>
        <v>5619683.279806409</v>
      </c>
      <c r="E74" s="32">
        <f t="shared" si="3"/>
        <v>2185709.742507488</v>
      </c>
      <c r="F74" s="32">
        <f t="shared" si="3"/>
        <v>1454397.540191449</v>
      </c>
      <c r="G74" s="32">
        <f t="shared" si="3"/>
        <v>3477952.359189325</v>
      </c>
      <c r="H74" s="32">
        <f t="shared" si="3"/>
        <v>1942129.9960413796</v>
      </c>
      <c r="I74" s="32">
        <f t="shared" si="3"/>
        <v>1180465.3613785794</v>
      </c>
      <c r="J74" s="32">
        <f t="shared" si="3"/>
        <v>779492.37886409101</v>
      </c>
      <c r="K74" s="32">
        <f t="shared" si="3"/>
        <v>876448.69171010249</v>
      </c>
      <c r="L74" s="32">
        <f t="shared" si="3"/>
        <v>651552.69789347716</v>
      </c>
      <c r="M74" s="32">
        <f t="shared" si="3"/>
        <v>589290.34585378715</v>
      </c>
      <c r="N74" s="32">
        <f t="shared" si="3"/>
        <v>632306.87528384943</v>
      </c>
      <c r="O74" s="32">
        <f t="shared" si="3"/>
        <v>326210.06875599734</v>
      </c>
      <c r="P74" s="32">
        <f t="shared" si="3"/>
        <v>91644.73813373025</v>
      </c>
      <c r="Q74" s="32">
        <f t="shared" si="3"/>
        <v>319627.15019670851</v>
      </c>
      <c r="R74" s="32">
        <f t="shared" si="3"/>
        <v>340810.57702028967</v>
      </c>
      <c r="S74" s="32">
        <f t="shared" si="3"/>
        <v>231557.89002289632</v>
      </c>
      <c r="T74" s="32">
        <f t="shared" si="3"/>
        <v>158915.72971735167</v>
      </c>
      <c r="U74" s="32">
        <f t="shared" si="3"/>
        <v>80399.780582329942</v>
      </c>
      <c r="V74" s="32">
        <f t="shared" si="3"/>
        <v>30368.22465923856</v>
      </c>
      <c r="W74" s="32">
        <f t="shared" si="3"/>
        <v>52337.983667519809</v>
      </c>
      <c r="X74" s="32">
        <f t="shared" si="3"/>
        <v>56913.951858993401</v>
      </c>
      <c r="Y74" s="32">
        <f t="shared" si="3"/>
        <v>66766.868841250092</v>
      </c>
      <c r="Z74" s="32">
        <f t="shared" si="3"/>
        <v>42533.05187022216</v>
      </c>
      <c r="AA74" s="32">
        <f t="shared" si="3"/>
        <v>39004.97790008568</v>
      </c>
    </row>
    <row r="75" spans="1:27" x14ac:dyDescent="0.2">
      <c r="A75" s="5"/>
      <c r="B75" s="32">
        <f>_xlfn.COVARIANCE.P($E$2:$E$66,B$2:B$66)</f>
        <v>2259344.9281894248</v>
      </c>
      <c r="C75" s="32">
        <f t="shared" ref="C75:AA75" si="4">_xlfn.COVARIANCE.P($E$2:$E$66,C$2:C$66)</f>
        <v>2255408.2912697513</v>
      </c>
      <c r="D75" s="32">
        <f t="shared" si="4"/>
        <v>2185709.742507488</v>
      </c>
      <c r="E75" s="32">
        <f t="shared" si="4"/>
        <v>1985147.1911726922</v>
      </c>
      <c r="F75" s="32">
        <f t="shared" si="4"/>
        <v>1148729.5921949795</v>
      </c>
      <c r="G75" s="32">
        <f t="shared" si="4"/>
        <v>1602842.3585134037</v>
      </c>
      <c r="H75" s="32">
        <f t="shared" si="4"/>
        <v>713910.59684118931</v>
      </c>
      <c r="I75" s="32">
        <f t="shared" si="4"/>
        <v>480388.45096167247</v>
      </c>
      <c r="J75" s="32">
        <f t="shared" si="4"/>
        <v>336706.261883798</v>
      </c>
      <c r="K75" s="32">
        <f t="shared" si="4"/>
        <v>518912.77134264342</v>
      </c>
      <c r="L75" s="32">
        <f t="shared" si="4"/>
        <v>354686.72263341158</v>
      </c>
      <c r="M75" s="32">
        <f t="shared" si="4"/>
        <v>312942.28192293021</v>
      </c>
      <c r="N75" s="32">
        <f t="shared" si="4"/>
        <v>256821.68996643822</v>
      </c>
      <c r="O75" s="32">
        <f t="shared" si="4"/>
        <v>171477.05080499707</v>
      </c>
      <c r="P75" s="32">
        <f t="shared" si="4"/>
        <v>116511.72362201917</v>
      </c>
      <c r="Q75" s="32">
        <f t="shared" si="4"/>
        <v>130007.16944085603</v>
      </c>
      <c r="R75" s="32">
        <f t="shared" si="4"/>
        <v>122530.96746939952</v>
      </c>
      <c r="S75" s="32">
        <f t="shared" si="4"/>
        <v>103209.46397151868</v>
      </c>
      <c r="T75" s="32">
        <f t="shared" si="4"/>
        <v>79073.283021718307</v>
      </c>
      <c r="U75" s="32">
        <f t="shared" si="4"/>
        <v>43966.875928677771</v>
      </c>
      <c r="V75" s="32">
        <f t="shared" si="4"/>
        <v>42511.292482873003</v>
      </c>
      <c r="W75" s="32">
        <f t="shared" si="4"/>
        <v>28683.454477153464</v>
      </c>
      <c r="X75" s="32">
        <f t="shared" si="4"/>
        <v>42677.38126945994</v>
      </c>
      <c r="Y75" s="32">
        <f t="shared" si="4"/>
        <v>42019.013645278304</v>
      </c>
      <c r="Z75" s="32">
        <f t="shared" si="4"/>
        <v>26839.955425445347</v>
      </c>
      <c r="AA75" s="32">
        <f t="shared" si="4"/>
        <v>22232.208837535112</v>
      </c>
    </row>
    <row r="76" spans="1:27" x14ac:dyDescent="0.2">
      <c r="A76" s="5"/>
      <c r="B76" s="32">
        <f>_xlfn.COVARIANCE.P($F$2:$F$66,B$2:B$66)</f>
        <v>2245560.2045857958</v>
      </c>
      <c r="C76" s="32">
        <f t="shared" ref="C76:AA76" si="5">_xlfn.COVARIANCE.P($F$2:$F$66,C$2:C$66)</f>
        <v>1355429.2015670736</v>
      </c>
      <c r="D76" s="32">
        <f t="shared" si="5"/>
        <v>1454397.540191449</v>
      </c>
      <c r="E76" s="32">
        <f t="shared" si="5"/>
        <v>1148729.5921949795</v>
      </c>
      <c r="F76" s="32">
        <f t="shared" si="5"/>
        <v>1149821.8388708627</v>
      </c>
      <c r="G76" s="32">
        <f t="shared" si="5"/>
        <v>949340.73521966371</v>
      </c>
      <c r="H76" s="32">
        <f t="shared" si="5"/>
        <v>598963.91995169781</v>
      </c>
      <c r="I76" s="32">
        <f t="shared" si="5"/>
        <v>260640.77169768861</v>
      </c>
      <c r="J76" s="32">
        <f t="shared" si="5"/>
        <v>220653.95989672476</v>
      </c>
      <c r="K76" s="32">
        <f t="shared" si="5"/>
        <v>418267.45040123351</v>
      </c>
      <c r="L76" s="32">
        <f t="shared" si="5"/>
        <v>271237.73118706199</v>
      </c>
      <c r="M76" s="32">
        <f t="shared" si="5"/>
        <v>218327.8621543365</v>
      </c>
      <c r="N76" s="32">
        <f t="shared" si="5"/>
        <v>147516.88884817361</v>
      </c>
      <c r="O76" s="32">
        <f t="shared" si="5"/>
        <v>125220.03131731627</v>
      </c>
      <c r="P76" s="32">
        <f t="shared" si="5"/>
        <v>76978.82896586202</v>
      </c>
      <c r="Q76" s="32">
        <f t="shared" si="5"/>
        <v>110081.31706424216</v>
      </c>
      <c r="R76" s="32">
        <f t="shared" si="5"/>
        <v>97618.438333836326</v>
      </c>
      <c r="S76" s="32">
        <f t="shared" si="5"/>
        <v>73641.072599866791</v>
      </c>
      <c r="T76" s="32">
        <f t="shared" si="5"/>
        <v>47684.767728350547</v>
      </c>
      <c r="U76" s="32">
        <f t="shared" si="5"/>
        <v>34375.915624722264</v>
      </c>
      <c r="V76" s="32">
        <f t="shared" si="5"/>
        <v>22876.865767392403</v>
      </c>
      <c r="W76" s="32">
        <f t="shared" si="5"/>
        <v>21147.605595789322</v>
      </c>
      <c r="X76" s="32">
        <f t="shared" si="5"/>
        <v>24526.788332615717</v>
      </c>
      <c r="Y76" s="32">
        <f t="shared" si="5"/>
        <v>25230.182527213376</v>
      </c>
      <c r="Z76" s="32">
        <f t="shared" si="5"/>
        <v>19001.021952790972</v>
      </c>
      <c r="AA76" s="32">
        <f t="shared" si="5"/>
        <v>13949.686734043598</v>
      </c>
    </row>
    <row r="77" spans="1:27" x14ac:dyDescent="0.2">
      <c r="A77" s="5"/>
      <c r="B77" s="32">
        <f>_xlfn.COVARIANCE.P($G$2:$G$66,B$2:B$66)</f>
        <v>2964275.1730093001</v>
      </c>
      <c r="C77" s="32">
        <f t="shared" ref="C77:AA77" si="6">_xlfn.COVARIANCE.P($G$2:$G$66,C$2:C$66)</f>
        <v>3606862.3723763251</v>
      </c>
      <c r="D77" s="32">
        <f t="shared" si="6"/>
        <v>3477952.359189325</v>
      </c>
      <c r="E77" s="32">
        <f t="shared" si="6"/>
        <v>1602842.3585134037</v>
      </c>
      <c r="F77" s="32">
        <f t="shared" si="6"/>
        <v>949340.73521966371</v>
      </c>
      <c r="G77" s="32">
        <f t="shared" si="6"/>
        <v>2446785.2992565464</v>
      </c>
      <c r="H77" s="32">
        <f t="shared" si="6"/>
        <v>1205142.0894341362</v>
      </c>
      <c r="I77" s="32">
        <f t="shared" si="6"/>
        <v>769739.68705258169</v>
      </c>
      <c r="J77" s="32">
        <f t="shared" si="6"/>
        <v>546809.82559683803</v>
      </c>
      <c r="K77" s="32">
        <f t="shared" si="6"/>
        <v>647922.69171788893</v>
      </c>
      <c r="L77" s="32">
        <f t="shared" si="6"/>
        <v>453920.34057518339</v>
      </c>
      <c r="M77" s="32">
        <f t="shared" si="6"/>
        <v>432460.50857567828</v>
      </c>
      <c r="N77" s="32">
        <f t="shared" si="6"/>
        <v>448459.19552014314</v>
      </c>
      <c r="O77" s="32">
        <f t="shared" si="6"/>
        <v>235399.69958927485</v>
      </c>
      <c r="P77" s="32">
        <f t="shared" si="6"/>
        <v>65487.860772738102</v>
      </c>
      <c r="Q77" s="32">
        <f t="shared" si="6"/>
        <v>215387.96732519017</v>
      </c>
      <c r="R77" s="32">
        <f t="shared" si="6"/>
        <v>237497.33903426968</v>
      </c>
      <c r="S77" s="32">
        <f t="shared" si="6"/>
        <v>157959.68302705517</v>
      </c>
      <c r="T77" s="32">
        <f t="shared" si="6"/>
        <v>109346.62269343043</v>
      </c>
      <c r="U77" s="32">
        <f t="shared" si="6"/>
        <v>60192.589737181712</v>
      </c>
      <c r="V77" s="32">
        <f t="shared" si="6"/>
        <v>30276.713313399767</v>
      </c>
      <c r="W77" s="32">
        <f t="shared" si="6"/>
        <v>35938.607935481989</v>
      </c>
      <c r="X77" s="32">
        <f t="shared" si="6"/>
        <v>42904.812943443329</v>
      </c>
      <c r="Y77" s="32">
        <f t="shared" si="6"/>
        <v>52378.163136291398</v>
      </c>
      <c r="Z77" s="32">
        <f t="shared" si="6"/>
        <v>30010.380616182949</v>
      </c>
      <c r="AA77" s="32">
        <f t="shared" si="6"/>
        <v>28028.137301582861</v>
      </c>
    </row>
    <row r="78" spans="1:27" x14ac:dyDescent="0.2">
      <c r="A78" s="5"/>
      <c r="B78" s="32">
        <f>_xlfn.COVARIANCE.P($H$2:$H$66,B$2:B$66)</f>
        <v>2617095.6107235411</v>
      </c>
      <c r="C78" s="32">
        <f t="shared" ref="C78:AA78" si="7">_xlfn.COVARIANCE.P($H$2:$H$66,C$2:C$66)</f>
        <v>1586258.6640297214</v>
      </c>
      <c r="D78" s="32">
        <f t="shared" si="7"/>
        <v>1942129.9960413796</v>
      </c>
      <c r="E78" s="32">
        <f t="shared" si="7"/>
        <v>713910.59684118931</v>
      </c>
      <c r="F78" s="32">
        <f t="shared" si="7"/>
        <v>598963.91995169781</v>
      </c>
      <c r="G78" s="32">
        <f t="shared" si="7"/>
        <v>1205142.0894341362</v>
      </c>
      <c r="H78" s="32">
        <f t="shared" si="7"/>
        <v>1326402.4622810346</v>
      </c>
      <c r="I78" s="32">
        <f t="shared" si="7"/>
        <v>327401.48164410755</v>
      </c>
      <c r="J78" s="32">
        <f t="shared" si="7"/>
        <v>207374.65384759154</v>
      </c>
      <c r="K78" s="32">
        <f t="shared" si="7"/>
        <v>336271.3292291158</v>
      </c>
      <c r="L78" s="32">
        <f t="shared" si="7"/>
        <v>265718.13905177225</v>
      </c>
      <c r="M78" s="32">
        <f t="shared" si="7"/>
        <v>226686.15369997104</v>
      </c>
      <c r="N78" s="32">
        <f t="shared" si="7"/>
        <v>212256.98274330419</v>
      </c>
      <c r="O78" s="32">
        <f t="shared" si="7"/>
        <v>123758.91428007337</v>
      </c>
      <c r="P78" s="32">
        <f t="shared" si="7"/>
        <v>39988.27858448289</v>
      </c>
      <c r="Q78" s="32">
        <f t="shared" si="7"/>
        <v>142182.87452852298</v>
      </c>
      <c r="R78" s="32">
        <f t="shared" si="7"/>
        <v>142145.9630292728</v>
      </c>
      <c r="S78" s="32">
        <f t="shared" si="7"/>
        <v>99643.129133714014</v>
      </c>
      <c r="T78" s="32">
        <f t="shared" si="7"/>
        <v>60368.849702521751</v>
      </c>
      <c r="U78" s="32">
        <f t="shared" si="7"/>
        <v>24449.719739110478</v>
      </c>
      <c r="V78" s="32">
        <f t="shared" si="7"/>
        <v>2217.7456441682366</v>
      </c>
      <c r="W78" s="32">
        <f t="shared" si="7"/>
        <v>19320.329143535917</v>
      </c>
      <c r="X78" s="32">
        <f t="shared" si="7"/>
        <v>17562.741969196522</v>
      </c>
      <c r="Y78" s="32">
        <f t="shared" si="7"/>
        <v>25825.798694639059</v>
      </c>
      <c r="Z78" s="32">
        <f t="shared" si="7"/>
        <v>19961.353344275223</v>
      </c>
      <c r="AA78" s="32">
        <f t="shared" si="7"/>
        <v>10715.316729868267</v>
      </c>
    </row>
    <row r="79" spans="1:27" x14ac:dyDescent="0.2">
      <c r="A79" s="5"/>
      <c r="B79" s="32">
        <f>_xlfn.COVARIANCE.P($I$2:$I$66,B$2:B$66)</f>
        <v>670763.10911070881</v>
      </c>
      <c r="C79" s="32">
        <f t="shared" ref="C79:AA79" si="8">_xlfn.COVARIANCE.P($I$2:$I$66,C$2:C$66)</f>
        <v>1143442.4010687403</v>
      </c>
      <c r="D79" s="32">
        <f t="shared" si="8"/>
        <v>1180465.3613785794</v>
      </c>
      <c r="E79" s="32">
        <f t="shared" si="8"/>
        <v>480388.45096167247</v>
      </c>
      <c r="F79" s="32">
        <f t="shared" si="8"/>
        <v>260640.77169768861</v>
      </c>
      <c r="G79" s="32">
        <f t="shared" si="8"/>
        <v>769739.68705258169</v>
      </c>
      <c r="H79" s="32">
        <f t="shared" si="8"/>
        <v>327401.48164410755</v>
      </c>
      <c r="I79" s="32">
        <f t="shared" si="8"/>
        <v>362834.49818985123</v>
      </c>
      <c r="J79" s="32">
        <f t="shared" si="8"/>
        <v>184556.89989691577</v>
      </c>
      <c r="K79" s="32">
        <f t="shared" si="8"/>
        <v>191816.35744893202</v>
      </c>
      <c r="L79" s="32">
        <f t="shared" si="8"/>
        <v>120550.21611638408</v>
      </c>
      <c r="M79" s="32">
        <f t="shared" si="8"/>
        <v>143805.95387222714</v>
      </c>
      <c r="N79" s="32">
        <f t="shared" si="8"/>
        <v>136631.54893143845</v>
      </c>
      <c r="O79" s="32">
        <f t="shared" si="8"/>
        <v>64416.637242380726</v>
      </c>
      <c r="P79" s="32">
        <f t="shared" si="8"/>
        <v>19453.170261999723</v>
      </c>
      <c r="Q79" s="32">
        <f t="shared" si="8"/>
        <v>62072.73196123368</v>
      </c>
      <c r="R79" s="32">
        <f t="shared" si="8"/>
        <v>60020.671350741119</v>
      </c>
      <c r="S79" s="32">
        <f t="shared" si="8"/>
        <v>49636.898901233333</v>
      </c>
      <c r="T79" s="32">
        <f t="shared" si="8"/>
        <v>31141.116016344749</v>
      </c>
      <c r="U79" s="32">
        <f t="shared" si="8"/>
        <v>18319.967556581254</v>
      </c>
      <c r="V79" s="32">
        <f t="shared" si="8"/>
        <v>9284.1494331951071</v>
      </c>
      <c r="W79" s="32">
        <f t="shared" si="8"/>
        <v>9130.6568148812039</v>
      </c>
      <c r="X79" s="32">
        <f t="shared" si="8"/>
        <v>14229.97863347663</v>
      </c>
      <c r="Y79" s="32">
        <f t="shared" si="8"/>
        <v>17111.915741492721</v>
      </c>
      <c r="Z79" s="32">
        <f t="shared" si="8"/>
        <v>7856.6955437435745</v>
      </c>
      <c r="AA79" s="32">
        <f t="shared" si="8"/>
        <v>8345.4854456814592</v>
      </c>
    </row>
    <row r="80" spans="1:27" x14ac:dyDescent="0.2">
      <c r="A80" s="5"/>
      <c r="B80" s="32">
        <f>_xlfn.COVARIANCE.P($J$2:$J$66,B$2:B$66)</f>
        <v>257623.33495099802</v>
      </c>
      <c r="C80" s="32">
        <f t="shared" ref="C80:AA80" si="9">_xlfn.COVARIANCE.P($J$2:$J$66,C$2:C$66)</f>
        <v>725090.18580772087</v>
      </c>
      <c r="D80" s="32">
        <f t="shared" si="9"/>
        <v>779492.37886409101</v>
      </c>
      <c r="E80" s="32">
        <f t="shared" si="9"/>
        <v>336706.261883798</v>
      </c>
      <c r="F80" s="32">
        <f t="shared" si="9"/>
        <v>220653.95989672476</v>
      </c>
      <c r="G80" s="32">
        <f t="shared" si="9"/>
        <v>546809.82559683803</v>
      </c>
      <c r="H80" s="32">
        <f t="shared" si="9"/>
        <v>207374.65384759154</v>
      </c>
      <c r="I80" s="32">
        <f t="shared" si="9"/>
        <v>184556.89989691577</v>
      </c>
      <c r="J80" s="32">
        <f t="shared" si="9"/>
        <v>252026.49457725571</v>
      </c>
      <c r="K80" s="32">
        <f t="shared" si="9"/>
        <v>160996.75164808077</v>
      </c>
      <c r="L80" s="32">
        <f t="shared" si="9"/>
        <v>95620.007105616387</v>
      </c>
      <c r="M80" s="32">
        <f t="shared" si="9"/>
        <v>89073.474916406762</v>
      </c>
      <c r="N80" s="32">
        <f t="shared" si="9"/>
        <v>109496.16131216007</v>
      </c>
      <c r="O80" s="32">
        <f t="shared" si="9"/>
        <v>47531.514608727754</v>
      </c>
      <c r="P80" s="32">
        <f t="shared" si="9"/>
        <v>20526.144916932448</v>
      </c>
      <c r="Q80" s="32">
        <f t="shared" si="9"/>
        <v>42492.568921602877</v>
      </c>
      <c r="R80" s="32">
        <f t="shared" si="9"/>
        <v>41622.90331578927</v>
      </c>
      <c r="S80" s="32">
        <f t="shared" si="9"/>
        <v>31534.713303449702</v>
      </c>
      <c r="T80" s="32">
        <f t="shared" si="9"/>
        <v>19701.406410579915</v>
      </c>
      <c r="U80" s="32">
        <f t="shared" si="9"/>
        <v>12479.801707961364</v>
      </c>
      <c r="V80" s="32">
        <f t="shared" si="9"/>
        <v>10155.271998311007</v>
      </c>
      <c r="W80" s="32">
        <f t="shared" si="9"/>
        <v>7708.1559723957898</v>
      </c>
      <c r="X80" s="32">
        <f t="shared" si="9"/>
        <v>8708.0847683598022</v>
      </c>
      <c r="Y80" s="32">
        <f t="shared" si="9"/>
        <v>11337.755302680789</v>
      </c>
      <c r="Z80" s="32">
        <f t="shared" si="9"/>
        <v>4940.7510617612315</v>
      </c>
      <c r="AA80" s="32">
        <f t="shared" si="9"/>
        <v>6265.1610436535348</v>
      </c>
    </row>
    <row r="81" spans="1:27" x14ac:dyDescent="0.2">
      <c r="A81" s="5"/>
      <c r="B81" s="32">
        <f>_xlfn.COVARIANCE.P($K$2:$K$66,B$2:B$66)</f>
        <v>1104154.1303919121</v>
      </c>
      <c r="C81" s="32">
        <f t="shared" ref="C81:AA81" si="10">_xlfn.COVARIANCE.P($K$2:$K$66,C$2:C$66)</f>
        <v>1049969.9499354023</v>
      </c>
      <c r="D81" s="32">
        <f t="shared" si="10"/>
        <v>876448.69171010249</v>
      </c>
      <c r="E81" s="32">
        <f t="shared" si="10"/>
        <v>518912.77134264342</v>
      </c>
      <c r="F81" s="32">
        <f t="shared" si="10"/>
        <v>418267.45040123351</v>
      </c>
      <c r="G81" s="32">
        <f t="shared" si="10"/>
        <v>647922.69171788893</v>
      </c>
      <c r="H81" s="32">
        <f t="shared" si="10"/>
        <v>336271.3292291158</v>
      </c>
      <c r="I81" s="32">
        <f t="shared" si="10"/>
        <v>191816.35744893202</v>
      </c>
      <c r="J81" s="32">
        <f t="shared" si="10"/>
        <v>160996.75164808077</v>
      </c>
      <c r="K81" s="32">
        <f t="shared" si="10"/>
        <v>407888.59230888914</v>
      </c>
      <c r="L81" s="32">
        <f t="shared" si="10"/>
        <v>157794.55454166816</v>
      </c>
      <c r="M81" s="32">
        <f t="shared" si="10"/>
        <v>120122.63127293292</v>
      </c>
      <c r="N81" s="32">
        <f t="shared" si="10"/>
        <v>111614.03357935426</v>
      </c>
      <c r="O81" s="32">
        <f t="shared" si="10"/>
        <v>87123.101912054175</v>
      </c>
      <c r="P81" s="32">
        <f t="shared" si="10"/>
        <v>32099.724772088044</v>
      </c>
      <c r="Q81" s="32">
        <f t="shared" si="10"/>
        <v>71470.254991280744</v>
      </c>
      <c r="R81" s="32">
        <f t="shared" si="10"/>
        <v>81244.589680132034</v>
      </c>
      <c r="S81" s="32">
        <f t="shared" si="10"/>
        <v>41328.280738692498</v>
      </c>
      <c r="T81" s="32">
        <f t="shared" si="10"/>
        <v>32947.050995608442</v>
      </c>
      <c r="U81" s="32">
        <f t="shared" si="10"/>
        <v>21030.706913843856</v>
      </c>
      <c r="V81" s="32">
        <f t="shared" si="10"/>
        <v>20215.567725264362</v>
      </c>
      <c r="W81" s="32">
        <f t="shared" si="10"/>
        <v>11519.985223851885</v>
      </c>
      <c r="X81" s="32">
        <f t="shared" si="10"/>
        <v>13989.436831913252</v>
      </c>
      <c r="Y81" s="32">
        <f t="shared" si="10"/>
        <v>22474.22636173488</v>
      </c>
      <c r="Z81" s="32">
        <f t="shared" si="10"/>
        <v>10999.650962250898</v>
      </c>
      <c r="AA81" s="32">
        <f t="shared" si="10"/>
        <v>6198.2830017809547</v>
      </c>
    </row>
    <row r="82" spans="1:27" x14ac:dyDescent="0.2">
      <c r="A82" s="5"/>
      <c r="B82" s="32">
        <f>_xlfn.COVARIANCE.P($L$2:$L$66,B$2:B$66)</f>
        <v>826740.58795996301</v>
      </c>
      <c r="C82" s="32">
        <f t="shared" ref="C82:AA82" si="11">_xlfn.COVARIANCE.P($L$2:$L$66,C$2:C$66)</f>
        <v>733427.27033891156</v>
      </c>
      <c r="D82" s="32">
        <f t="shared" si="11"/>
        <v>651552.69789347716</v>
      </c>
      <c r="E82" s="32">
        <f t="shared" si="11"/>
        <v>354686.72263341158</v>
      </c>
      <c r="F82" s="32">
        <f t="shared" si="11"/>
        <v>271237.73118706199</v>
      </c>
      <c r="G82" s="32">
        <f t="shared" si="11"/>
        <v>453920.34057518339</v>
      </c>
      <c r="H82" s="32">
        <f t="shared" si="11"/>
        <v>265718.13905177225</v>
      </c>
      <c r="I82" s="32">
        <f t="shared" si="11"/>
        <v>120550.21611638408</v>
      </c>
      <c r="J82" s="32">
        <f t="shared" si="11"/>
        <v>95620.007105616387</v>
      </c>
      <c r="K82" s="32">
        <f t="shared" si="11"/>
        <v>157794.55454166816</v>
      </c>
      <c r="L82" s="32">
        <f t="shared" si="11"/>
        <v>126340.4907599897</v>
      </c>
      <c r="M82" s="32">
        <f t="shared" si="11"/>
        <v>90744.73084964398</v>
      </c>
      <c r="N82" s="32">
        <f t="shared" si="11"/>
        <v>80962.344456779683</v>
      </c>
      <c r="O82" s="32">
        <f t="shared" si="11"/>
        <v>58318.070914682896</v>
      </c>
      <c r="P82" s="32">
        <f t="shared" si="11"/>
        <v>20699.164255373813</v>
      </c>
      <c r="Q82" s="32">
        <f t="shared" si="11"/>
        <v>54494.872001416843</v>
      </c>
      <c r="R82" s="32">
        <f t="shared" si="11"/>
        <v>63252.453327125302</v>
      </c>
      <c r="S82" s="32">
        <f t="shared" si="11"/>
        <v>37231.513956562558</v>
      </c>
      <c r="T82" s="32">
        <f t="shared" si="11"/>
        <v>23642.030272941167</v>
      </c>
      <c r="U82" s="32">
        <f t="shared" si="11"/>
        <v>15709.602485868267</v>
      </c>
      <c r="V82" s="32">
        <f t="shared" si="11"/>
        <v>8896.7748439832358</v>
      </c>
      <c r="W82" s="32">
        <f t="shared" si="11"/>
        <v>9881.6863789676045</v>
      </c>
      <c r="X82" s="32">
        <f t="shared" si="11"/>
        <v>9207.7102200696499</v>
      </c>
      <c r="Y82" s="32">
        <f t="shared" si="11"/>
        <v>11589.717584409827</v>
      </c>
      <c r="Z82" s="32">
        <f t="shared" si="11"/>
        <v>8305.7001506670676</v>
      </c>
      <c r="AA82" s="32">
        <f t="shared" si="11"/>
        <v>6166.8391655227442</v>
      </c>
    </row>
    <row r="83" spans="1:27" x14ac:dyDescent="0.2">
      <c r="A83" s="5"/>
      <c r="B83" s="32">
        <f>_xlfn.COVARIANCE.P($M$2:$M$66,B$2:B$66)</f>
        <v>442977.8736296451</v>
      </c>
      <c r="C83" s="32">
        <f t="shared" ref="C83:AA83" si="12">_xlfn.COVARIANCE.P($M$2:$M$66,C$2:C$66)</f>
        <v>676967.79658761679</v>
      </c>
      <c r="D83" s="32">
        <f t="shared" si="12"/>
        <v>589290.34585378715</v>
      </c>
      <c r="E83" s="32">
        <f t="shared" si="12"/>
        <v>312942.28192293021</v>
      </c>
      <c r="F83" s="32">
        <f t="shared" si="12"/>
        <v>218327.8621543365</v>
      </c>
      <c r="G83" s="32">
        <f t="shared" si="12"/>
        <v>432460.50857567828</v>
      </c>
      <c r="H83" s="32">
        <f t="shared" si="12"/>
        <v>226686.15369997104</v>
      </c>
      <c r="I83" s="32">
        <f t="shared" si="12"/>
        <v>143805.95387222714</v>
      </c>
      <c r="J83" s="32">
        <f t="shared" si="12"/>
        <v>89073.474916406762</v>
      </c>
      <c r="K83" s="32">
        <f t="shared" si="12"/>
        <v>120122.63127293292</v>
      </c>
      <c r="L83" s="32">
        <f t="shared" si="12"/>
        <v>90744.73084964398</v>
      </c>
      <c r="M83" s="32">
        <f t="shared" si="12"/>
        <v>126801.14207364465</v>
      </c>
      <c r="N83" s="32">
        <f t="shared" si="12"/>
        <v>77212.621133113993</v>
      </c>
      <c r="O83" s="32">
        <f t="shared" si="12"/>
        <v>47603.333131862812</v>
      </c>
      <c r="P83" s="32">
        <f t="shared" si="12"/>
        <v>9431.629061760952</v>
      </c>
      <c r="Q83" s="32">
        <f t="shared" si="12"/>
        <v>47714.809725301529</v>
      </c>
      <c r="R83" s="32">
        <f t="shared" si="12"/>
        <v>51586.270079044349</v>
      </c>
      <c r="S83" s="32">
        <f t="shared" si="12"/>
        <v>39213.724849798688</v>
      </c>
      <c r="T83" s="32">
        <f t="shared" si="12"/>
        <v>18500.055171425593</v>
      </c>
      <c r="U83" s="32">
        <f t="shared" si="12"/>
        <v>13357.563085527903</v>
      </c>
      <c r="V83" s="32">
        <f t="shared" si="12"/>
        <v>6357.3626158785537</v>
      </c>
      <c r="W83" s="32">
        <f t="shared" si="12"/>
        <v>6880.8130594496424</v>
      </c>
      <c r="X83" s="32">
        <f t="shared" si="12"/>
        <v>7872.602299437739</v>
      </c>
      <c r="Y83" s="32">
        <f t="shared" si="12"/>
        <v>10503.632260827037</v>
      </c>
      <c r="Z83" s="32">
        <f t="shared" si="12"/>
        <v>6696.4333136292616</v>
      </c>
      <c r="AA83" s="32">
        <f t="shared" si="12"/>
        <v>6321.4283034553773</v>
      </c>
    </row>
    <row r="84" spans="1:27" x14ac:dyDescent="0.2">
      <c r="A84" s="5"/>
      <c r="B84" s="32">
        <f>_xlfn.COVARIANCE.P($N$2:$N$66,B$2:B$66)</f>
        <v>465872.63922018092</v>
      </c>
      <c r="C84" s="32">
        <f t="shared" ref="C84:AA84" si="13">_xlfn.COVARIANCE.P($N$2:$N$66,C$2:C$66)</f>
        <v>668051.6341940189</v>
      </c>
      <c r="D84" s="32">
        <f t="shared" si="13"/>
        <v>632306.87528384943</v>
      </c>
      <c r="E84" s="32">
        <f t="shared" si="13"/>
        <v>256821.68996643822</v>
      </c>
      <c r="F84" s="32">
        <f t="shared" si="13"/>
        <v>147516.88884817361</v>
      </c>
      <c r="G84" s="32">
        <f t="shared" si="13"/>
        <v>448459.19552014314</v>
      </c>
      <c r="H84" s="32">
        <f t="shared" si="13"/>
        <v>212256.98274330419</v>
      </c>
      <c r="I84" s="32">
        <f t="shared" si="13"/>
        <v>136631.54893143845</v>
      </c>
      <c r="J84" s="32">
        <f t="shared" si="13"/>
        <v>109496.16131216007</v>
      </c>
      <c r="K84" s="32">
        <f t="shared" si="13"/>
        <v>111614.03357935426</v>
      </c>
      <c r="L84" s="32">
        <f t="shared" si="13"/>
        <v>80962.344456779683</v>
      </c>
      <c r="M84" s="32">
        <f t="shared" si="13"/>
        <v>77212.621133113993</v>
      </c>
      <c r="N84" s="32">
        <f t="shared" si="13"/>
        <v>91798.962929931833</v>
      </c>
      <c r="O84" s="32">
        <f t="shared" si="13"/>
        <v>43698.389177346318</v>
      </c>
      <c r="P84" s="32">
        <f t="shared" si="13"/>
        <v>10240.494424479162</v>
      </c>
      <c r="Q84" s="32">
        <f t="shared" si="13"/>
        <v>38679.886891612419</v>
      </c>
      <c r="R84" s="32">
        <f t="shared" si="13"/>
        <v>45530.721934970476</v>
      </c>
      <c r="S84" s="32">
        <f t="shared" si="13"/>
        <v>27359.463157969545</v>
      </c>
      <c r="T84" s="32">
        <f t="shared" si="13"/>
        <v>19511.791786200905</v>
      </c>
      <c r="U84" s="32">
        <f t="shared" si="13"/>
        <v>10943.978835164749</v>
      </c>
      <c r="V84" s="32">
        <f t="shared" si="13"/>
        <v>5578.7117597022816</v>
      </c>
      <c r="W84" s="32">
        <f t="shared" si="13"/>
        <v>6817.4593434408935</v>
      </c>
      <c r="X84" s="32">
        <f t="shared" si="13"/>
        <v>7248.3768391373242</v>
      </c>
      <c r="Y84" s="32">
        <f t="shared" si="13"/>
        <v>9004.4107105662661</v>
      </c>
      <c r="Z84" s="32">
        <f t="shared" si="13"/>
        <v>4989.1236022669591</v>
      </c>
      <c r="AA84" s="32">
        <f t="shared" si="13"/>
        <v>5621.5845733843853</v>
      </c>
    </row>
    <row r="85" spans="1:27" x14ac:dyDescent="0.2">
      <c r="A85" s="5"/>
      <c r="B85" s="32">
        <f>_xlfn.COVARIANCE.P($O$2:$O$66,B$2:B$66)</f>
        <v>360156.2376415474</v>
      </c>
      <c r="C85" s="32">
        <f t="shared" ref="C85:AA85" si="14">_xlfn.COVARIANCE.P($O$2:$O$66,C$2:C$66)</f>
        <v>390476.76171373081</v>
      </c>
      <c r="D85" s="32">
        <f t="shared" si="14"/>
        <v>326210.06875599734</v>
      </c>
      <c r="E85" s="32">
        <f t="shared" si="14"/>
        <v>171477.05080499707</v>
      </c>
      <c r="F85" s="32">
        <f t="shared" si="14"/>
        <v>125220.03131731627</v>
      </c>
      <c r="G85" s="32">
        <f t="shared" si="14"/>
        <v>235399.69958927485</v>
      </c>
      <c r="H85" s="32">
        <f t="shared" si="14"/>
        <v>123758.91428007337</v>
      </c>
      <c r="I85" s="32">
        <f t="shared" si="14"/>
        <v>64416.637242380726</v>
      </c>
      <c r="J85" s="32">
        <f t="shared" si="14"/>
        <v>47531.514608727754</v>
      </c>
      <c r="K85" s="32">
        <f t="shared" si="14"/>
        <v>87123.101912054175</v>
      </c>
      <c r="L85" s="32">
        <f t="shared" si="14"/>
        <v>58318.070914682896</v>
      </c>
      <c r="M85" s="32">
        <f t="shared" si="14"/>
        <v>47603.333131862812</v>
      </c>
      <c r="N85" s="32">
        <f t="shared" si="14"/>
        <v>43698.389177346318</v>
      </c>
      <c r="O85" s="32">
        <f t="shared" si="14"/>
        <v>31381.688789312586</v>
      </c>
      <c r="P85" s="32">
        <f t="shared" si="14"/>
        <v>9186.65479422508</v>
      </c>
      <c r="Q85" s="32">
        <f t="shared" si="14"/>
        <v>27080.420639822187</v>
      </c>
      <c r="R85" s="32">
        <f t="shared" si="14"/>
        <v>32393.195264927894</v>
      </c>
      <c r="S85" s="32">
        <f t="shared" si="14"/>
        <v>17864.49899750467</v>
      </c>
      <c r="T85" s="32">
        <f t="shared" si="14"/>
        <v>12114.688306639553</v>
      </c>
      <c r="U85" s="32">
        <f t="shared" si="14"/>
        <v>7795.5682603369269</v>
      </c>
      <c r="V85" s="32">
        <f t="shared" si="14"/>
        <v>5053.675093676663</v>
      </c>
      <c r="W85" s="32">
        <f t="shared" si="14"/>
        <v>4604.1187233125111</v>
      </c>
      <c r="X85" s="32">
        <f t="shared" si="14"/>
        <v>4478.675055160852</v>
      </c>
      <c r="Y85" s="32">
        <f t="shared" si="14"/>
        <v>6331.7538304652871</v>
      </c>
      <c r="Z85" s="32">
        <f t="shared" si="14"/>
        <v>4046.1490922412022</v>
      </c>
      <c r="AA85" s="32">
        <f t="shared" si="14"/>
        <v>3177.6757056550164</v>
      </c>
    </row>
    <row r="86" spans="1:27" x14ac:dyDescent="0.2">
      <c r="A86" s="5"/>
      <c r="B86" s="32">
        <f>_xlfn.COVARIANCE.P($P$2:$P$66,B$2:B$66)</f>
        <v>205577.24331177544</v>
      </c>
      <c r="C86" s="32">
        <f t="shared" ref="C86:AA86" si="15">_xlfn.COVARIANCE.P($P$2:$P$66,C$2:C$66)</f>
        <v>74804.937355518181</v>
      </c>
      <c r="D86" s="32">
        <f t="shared" si="15"/>
        <v>91644.73813373025</v>
      </c>
      <c r="E86" s="32">
        <f t="shared" si="15"/>
        <v>116511.72362201917</v>
      </c>
      <c r="F86" s="32">
        <f t="shared" si="15"/>
        <v>76978.82896586202</v>
      </c>
      <c r="G86" s="32">
        <f t="shared" si="15"/>
        <v>65487.860772738102</v>
      </c>
      <c r="H86" s="32">
        <f t="shared" si="15"/>
        <v>39988.27858448289</v>
      </c>
      <c r="I86" s="32">
        <f t="shared" si="15"/>
        <v>19453.170261999723</v>
      </c>
      <c r="J86" s="32">
        <f t="shared" si="15"/>
        <v>20526.144916932448</v>
      </c>
      <c r="K86" s="32">
        <f t="shared" si="15"/>
        <v>32099.724772088044</v>
      </c>
      <c r="L86" s="32">
        <f t="shared" si="15"/>
        <v>20699.164255373813</v>
      </c>
      <c r="M86" s="32">
        <f t="shared" si="15"/>
        <v>9431.629061760952</v>
      </c>
      <c r="N86" s="32">
        <f t="shared" si="15"/>
        <v>10240.494424479162</v>
      </c>
      <c r="O86" s="32">
        <f t="shared" si="15"/>
        <v>9186.65479422508</v>
      </c>
      <c r="P86" s="32">
        <f t="shared" si="15"/>
        <v>25667.600223595371</v>
      </c>
      <c r="Q86" s="32">
        <f t="shared" si="15"/>
        <v>6088.0531036122593</v>
      </c>
      <c r="R86" s="32">
        <f t="shared" si="15"/>
        <v>4661.0020431450839</v>
      </c>
      <c r="S86" s="32">
        <f t="shared" si="15"/>
        <v>3321.6235316512625</v>
      </c>
      <c r="T86" s="32">
        <f t="shared" si="15"/>
        <v>4077.908333015278</v>
      </c>
      <c r="U86" s="32">
        <f t="shared" si="15"/>
        <v>2290.0771659675102</v>
      </c>
      <c r="V86" s="32">
        <f t="shared" si="15"/>
        <v>3282.8021861919842</v>
      </c>
      <c r="W86" s="32">
        <f t="shared" si="15"/>
        <v>1672.1739692912922</v>
      </c>
      <c r="X86" s="32">
        <f t="shared" si="15"/>
        <v>2431.5221197549076</v>
      </c>
      <c r="Y86" s="32">
        <f t="shared" si="15"/>
        <v>2168.7946526642982</v>
      </c>
      <c r="Z86" s="32">
        <f t="shared" si="15"/>
        <v>1270.8872983394988</v>
      </c>
      <c r="AA86" s="32">
        <f t="shared" si="15"/>
        <v>949.9372503791277</v>
      </c>
    </row>
    <row r="87" spans="1:27" x14ac:dyDescent="0.2">
      <c r="A87" s="5"/>
      <c r="B87" s="32">
        <f>_xlfn.COVARIANCE.P($Q$2:$Q$66,B$2:B$66)</f>
        <v>400504.27944159525</v>
      </c>
      <c r="C87" s="32">
        <f t="shared" ref="C87:AA87" si="16">_xlfn.COVARIANCE.P($Q$2:$Q$66,C$2:C$66)</f>
        <v>356923.03148056933</v>
      </c>
      <c r="D87" s="32">
        <f t="shared" si="16"/>
        <v>319627.15019670851</v>
      </c>
      <c r="E87" s="32">
        <f t="shared" si="16"/>
        <v>130007.16944085603</v>
      </c>
      <c r="F87" s="32">
        <f t="shared" si="16"/>
        <v>110081.31706424216</v>
      </c>
      <c r="G87" s="32">
        <f t="shared" si="16"/>
        <v>215387.96732519017</v>
      </c>
      <c r="H87" s="32">
        <f t="shared" si="16"/>
        <v>142182.87452852298</v>
      </c>
      <c r="I87" s="32">
        <f t="shared" si="16"/>
        <v>62072.73196123368</v>
      </c>
      <c r="J87" s="32">
        <f t="shared" si="16"/>
        <v>42492.568921602877</v>
      </c>
      <c r="K87" s="32">
        <f t="shared" si="16"/>
        <v>71470.254991280744</v>
      </c>
      <c r="L87" s="32">
        <f t="shared" si="16"/>
        <v>54494.872001416843</v>
      </c>
      <c r="M87" s="32">
        <f t="shared" si="16"/>
        <v>47714.809725301529</v>
      </c>
      <c r="N87" s="32">
        <f t="shared" si="16"/>
        <v>38679.886891612419</v>
      </c>
      <c r="O87" s="32">
        <f t="shared" si="16"/>
        <v>27080.420639822187</v>
      </c>
      <c r="P87" s="32">
        <f t="shared" si="16"/>
        <v>6088.0531036122593</v>
      </c>
      <c r="Q87" s="32">
        <f t="shared" si="16"/>
        <v>31080.993782467496</v>
      </c>
      <c r="R87" s="32">
        <f t="shared" si="16"/>
        <v>33060.662852759386</v>
      </c>
      <c r="S87" s="32">
        <f t="shared" si="16"/>
        <v>20461.705302871498</v>
      </c>
      <c r="T87" s="32">
        <f t="shared" si="16"/>
        <v>11213.585640035755</v>
      </c>
      <c r="U87" s="32">
        <f t="shared" si="16"/>
        <v>7420.5390498619799</v>
      </c>
      <c r="V87" s="32">
        <f t="shared" si="16"/>
        <v>2830.2102498956037</v>
      </c>
      <c r="W87" s="32">
        <f t="shared" si="16"/>
        <v>4072.2520200638405</v>
      </c>
      <c r="X87" s="32">
        <f t="shared" si="16"/>
        <v>3408.765833925223</v>
      </c>
      <c r="Y87" s="32">
        <f t="shared" si="16"/>
        <v>5437.1603290837065</v>
      </c>
      <c r="Z87" s="32">
        <f t="shared" si="16"/>
        <v>3921.5339690922738</v>
      </c>
      <c r="AA87" s="32">
        <f t="shared" si="16"/>
        <v>2464.6703693568434</v>
      </c>
    </row>
    <row r="88" spans="1:27" x14ac:dyDescent="0.2">
      <c r="A88" s="5"/>
      <c r="B88" s="32">
        <f>_xlfn.COVARIANCE.P($R$2:$R$66,B$2:B$66)</f>
        <v>389733.04926255142</v>
      </c>
      <c r="C88" s="32">
        <f t="shared" ref="C88:AA88" si="17">_xlfn.COVARIANCE.P($R$2:$R$66,C$2:C$66)</f>
        <v>417423.42228958814</v>
      </c>
      <c r="D88" s="32">
        <f t="shared" si="17"/>
        <v>340810.57702028967</v>
      </c>
      <c r="E88" s="32">
        <f t="shared" si="17"/>
        <v>122530.96746939952</v>
      </c>
      <c r="F88" s="32">
        <f t="shared" si="17"/>
        <v>97618.438333836326</v>
      </c>
      <c r="G88" s="32">
        <f t="shared" si="17"/>
        <v>237497.33903426968</v>
      </c>
      <c r="H88" s="32">
        <f t="shared" si="17"/>
        <v>142145.9630292728</v>
      </c>
      <c r="I88" s="32">
        <f t="shared" si="17"/>
        <v>60020.671350741119</v>
      </c>
      <c r="J88" s="32">
        <f t="shared" si="17"/>
        <v>41622.90331578927</v>
      </c>
      <c r="K88" s="32">
        <f t="shared" si="17"/>
        <v>81244.589680132034</v>
      </c>
      <c r="L88" s="32">
        <f t="shared" si="17"/>
        <v>63252.453327125302</v>
      </c>
      <c r="M88" s="32">
        <f t="shared" si="17"/>
        <v>51586.270079044349</v>
      </c>
      <c r="N88" s="32">
        <f t="shared" si="17"/>
        <v>45530.721934970476</v>
      </c>
      <c r="O88" s="32">
        <f t="shared" si="17"/>
        <v>32393.195264927894</v>
      </c>
      <c r="P88" s="32">
        <f t="shared" si="17"/>
        <v>4661.0020431450839</v>
      </c>
      <c r="Q88" s="32">
        <f t="shared" si="17"/>
        <v>33060.662852759386</v>
      </c>
      <c r="R88" s="32">
        <f t="shared" si="17"/>
        <v>42869.012609526384</v>
      </c>
      <c r="S88" s="32">
        <f t="shared" si="17"/>
        <v>21958.784678546919</v>
      </c>
      <c r="T88" s="32">
        <f t="shared" si="17"/>
        <v>12514.081435889535</v>
      </c>
      <c r="U88" s="32">
        <f t="shared" si="17"/>
        <v>8738.8853574122713</v>
      </c>
      <c r="V88" s="32">
        <f t="shared" si="17"/>
        <v>3698.6387752398014</v>
      </c>
      <c r="W88" s="32">
        <f t="shared" si="17"/>
        <v>5096.1687348158885</v>
      </c>
      <c r="X88" s="32">
        <f t="shared" si="17"/>
        <v>3276.7784820163738</v>
      </c>
      <c r="Y88" s="32">
        <f t="shared" si="17"/>
        <v>5941.8439741344273</v>
      </c>
      <c r="Z88" s="32">
        <f t="shared" si="17"/>
        <v>4268.8854794424979</v>
      </c>
      <c r="AA88" s="32">
        <f t="shared" si="17"/>
        <v>2996.7961642248592</v>
      </c>
    </row>
    <row r="89" spans="1:27" x14ac:dyDescent="0.2">
      <c r="A89" s="5"/>
      <c r="B89" s="32">
        <f>_xlfn.COVARIANCE.P($S$2:$S$66,B$2:B$66)</f>
        <v>223976.7391770765</v>
      </c>
      <c r="C89" s="32">
        <f t="shared" ref="C89:AA89" si="18">_xlfn.COVARIANCE.P($S$2:$S$66,C$2:C$66)</f>
        <v>254187.61636418701</v>
      </c>
      <c r="D89" s="32">
        <f t="shared" si="18"/>
        <v>231557.89002289632</v>
      </c>
      <c r="E89" s="32">
        <f t="shared" si="18"/>
        <v>103209.46397151868</v>
      </c>
      <c r="F89" s="32">
        <f t="shared" si="18"/>
        <v>73641.072599866791</v>
      </c>
      <c r="G89" s="32">
        <f t="shared" si="18"/>
        <v>157959.68302705517</v>
      </c>
      <c r="H89" s="32">
        <f t="shared" si="18"/>
        <v>99643.129133714014</v>
      </c>
      <c r="I89" s="32">
        <f t="shared" si="18"/>
        <v>49636.898901233333</v>
      </c>
      <c r="J89" s="32">
        <f t="shared" si="18"/>
        <v>31534.713303449702</v>
      </c>
      <c r="K89" s="32">
        <f t="shared" si="18"/>
        <v>41328.280738692498</v>
      </c>
      <c r="L89" s="32">
        <f t="shared" si="18"/>
        <v>37231.513956562558</v>
      </c>
      <c r="M89" s="32">
        <f t="shared" si="18"/>
        <v>39213.724849798688</v>
      </c>
      <c r="N89" s="32">
        <f t="shared" si="18"/>
        <v>27359.463157969545</v>
      </c>
      <c r="O89" s="32">
        <f t="shared" si="18"/>
        <v>17864.49899750467</v>
      </c>
      <c r="P89" s="32">
        <f t="shared" si="18"/>
        <v>3321.6235316512625</v>
      </c>
      <c r="Q89" s="32">
        <f t="shared" si="18"/>
        <v>20461.705302871498</v>
      </c>
      <c r="R89" s="32">
        <f t="shared" si="18"/>
        <v>21958.784678546919</v>
      </c>
      <c r="S89" s="32">
        <f t="shared" si="18"/>
        <v>17483.902477537304</v>
      </c>
      <c r="T89" s="32">
        <f t="shared" si="18"/>
        <v>7812.9442884283135</v>
      </c>
      <c r="U89" s="32">
        <f t="shared" si="18"/>
        <v>5102.6328258100311</v>
      </c>
      <c r="V89" s="32">
        <f t="shared" si="18"/>
        <v>1824.1394239099452</v>
      </c>
      <c r="W89" s="32">
        <f t="shared" si="18"/>
        <v>2853.9602336335911</v>
      </c>
      <c r="X89" s="32">
        <f t="shared" si="18"/>
        <v>2836.1328229610049</v>
      </c>
      <c r="Y89" s="32">
        <f t="shared" si="18"/>
        <v>3844.8023581794132</v>
      </c>
      <c r="Z89" s="32">
        <f t="shared" si="18"/>
        <v>2827.2175523007922</v>
      </c>
      <c r="AA89" s="32">
        <f t="shared" si="18"/>
        <v>2705.6754542735239</v>
      </c>
    </row>
    <row r="90" spans="1:27" x14ac:dyDescent="0.2">
      <c r="A90" s="5"/>
      <c r="B90" s="32">
        <f>_xlfn.COVARIANCE.P($T$2:$T$66,B$2:B$66)</f>
        <v>194678.08617726414</v>
      </c>
      <c r="C90" s="32">
        <f t="shared" ref="C90:AA90" si="19">_xlfn.COVARIANCE.P($T$2:$T$66,C$2:C$66)</f>
        <v>168672.83314915493</v>
      </c>
      <c r="D90" s="32">
        <f t="shared" si="19"/>
        <v>158915.72971735167</v>
      </c>
      <c r="E90" s="32">
        <f t="shared" si="19"/>
        <v>79073.283021718307</v>
      </c>
      <c r="F90" s="32">
        <f t="shared" si="19"/>
        <v>47684.767728350547</v>
      </c>
      <c r="G90" s="32">
        <f t="shared" si="19"/>
        <v>109346.62269343043</v>
      </c>
      <c r="H90" s="32">
        <f t="shared" si="19"/>
        <v>60368.849702521751</v>
      </c>
      <c r="I90" s="32">
        <f t="shared" si="19"/>
        <v>31141.116016344749</v>
      </c>
      <c r="J90" s="32">
        <f t="shared" si="19"/>
        <v>19701.406410579915</v>
      </c>
      <c r="K90" s="32">
        <f t="shared" si="19"/>
        <v>32947.050995608442</v>
      </c>
      <c r="L90" s="32">
        <f t="shared" si="19"/>
        <v>23642.030272941167</v>
      </c>
      <c r="M90" s="32">
        <f t="shared" si="19"/>
        <v>18500.055171425593</v>
      </c>
      <c r="N90" s="32">
        <f t="shared" si="19"/>
        <v>19511.791786200905</v>
      </c>
      <c r="O90" s="32">
        <f t="shared" si="19"/>
        <v>12114.688306639553</v>
      </c>
      <c r="P90" s="32">
        <f t="shared" si="19"/>
        <v>4077.908333015278</v>
      </c>
      <c r="Q90" s="32">
        <f t="shared" si="19"/>
        <v>11213.585640035755</v>
      </c>
      <c r="R90" s="32">
        <f t="shared" si="19"/>
        <v>12514.081435889535</v>
      </c>
      <c r="S90" s="32">
        <f t="shared" si="19"/>
        <v>7812.9442884283135</v>
      </c>
      <c r="T90" s="32">
        <f t="shared" si="19"/>
        <v>6147.6731945747897</v>
      </c>
      <c r="U90" s="32">
        <f t="shared" si="19"/>
        <v>3039.7057802360264</v>
      </c>
      <c r="V90" s="32">
        <f t="shared" si="19"/>
        <v>1457.8469689889664</v>
      </c>
      <c r="W90" s="32">
        <f t="shared" si="19"/>
        <v>1948.9258818111007</v>
      </c>
      <c r="X90" s="32">
        <f t="shared" si="19"/>
        <v>2277.1183973482675</v>
      </c>
      <c r="Y90" s="32">
        <f t="shared" si="19"/>
        <v>2641.5822943472463</v>
      </c>
      <c r="Z90" s="32">
        <f t="shared" si="19"/>
        <v>1789.552773370664</v>
      </c>
      <c r="AA90" s="32">
        <f t="shared" si="19"/>
        <v>1386.1550438467596</v>
      </c>
    </row>
    <row r="91" spans="1:27" x14ac:dyDescent="0.2">
      <c r="A91" s="5"/>
      <c r="B91" s="32">
        <f>_xlfn.COVARIANCE.P($U$2:$U$66,B$2:B$66)</f>
        <v>83448.871271702475</v>
      </c>
      <c r="C91" s="32">
        <f t="shared" ref="C91:AA91" si="20">_xlfn.COVARIANCE.P($U$2:$U$66,C$2:C$66)</f>
        <v>109550.58613798655</v>
      </c>
      <c r="D91" s="32">
        <f t="shared" si="20"/>
        <v>80399.780582329942</v>
      </c>
      <c r="E91" s="32">
        <f t="shared" si="20"/>
        <v>43966.875928677771</v>
      </c>
      <c r="F91" s="32">
        <f t="shared" si="20"/>
        <v>34375.915624722264</v>
      </c>
      <c r="G91" s="32">
        <f t="shared" si="20"/>
        <v>60192.589737181712</v>
      </c>
      <c r="H91" s="32">
        <f t="shared" si="20"/>
        <v>24449.719739110478</v>
      </c>
      <c r="I91" s="32">
        <f t="shared" si="20"/>
        <v>18319.967556581254</v>
      </c>
      <c r="J91" s="32">
        <f t="shared" si="20"/>
        <v>12479.801707961364</v>
      </c>
      <c r="K91" s="32">
        <f t="shared" si="20"/>
        <v>21030.706913843856</v>
      </c>
      <c r="L91" s="32">
        <f t="shared" si="20"/>
        <v>15709.602485868267</v>
      </c>
      <c r="M91" s="32">
        <f t="shared" si="20"/>
        <v>13357.563085527903</v>
      </c>
      <c r="N91" s="32">
        <f t="shared" si="20"/>
        <v>10943.978835164749</v>
      </c>
      <c r="O91" s="32">
        <f t="shared" si="20"/>
        <v>7795.5682603369269</v>
      </c>
      <c r="P91" s="32">
        <f t="shared" si="20"/>
        <v>2290.0771659675102</v>
      </c>
      <c r="Q91" s="32">
        <f t="shared" si="20"/>
        <v>7420.5390498619799</v>
      </c>
      <c r="R91" s="32">
        <f t="shared" si="20"/>
        <v>8738.8853574122713</v>
      </c>
      <c r="S91" s="32">
        <f t="shared" si="20"/>
        <v>5102.6328258100311</v>
      </c>
      <c r="T91" s="32">
        <f t="shared" si="20"/>
        <v>3039.7057802360264</v>
      </c>
      <c r="U91" s="32">
        <f t="shared" si="20"/>
        <v>2668.6373098252629</v>
      </c>
      <c r="V91" s="32">
        <f t="shared" si="20"/>
        <v>1545.3830835457779</v>
      </c>
      <c r="W91" s="32">
        <f t="shared" si="20"/>
        <v>1187.4229280164916</v>
      </c>
      <c r="X91" s="32">
        <f t="shared" si="20"/>
        <v>1246.1356562205281</v>
      </c>
      <c r="Y91" s="32">
        <f t="shared" si="20"/>
        <v>1615.1290234793175</v>
      </c>
      <c r="Z91" s="32">
        <f t="shared" si="20"/>
        <v>1108.3409169844349</v>
      </c>
      <c r="AA91" s="32">
        <f t="shared" si="20"/>
        <v>918.41486345987562</v>
      </c>
    </row>
    <row r="92" spans="1:27" x14ac:dyDescent="0.2">
      <c r="A92" s="5"/>
      <c r="B92" s="32">
        <f>_xlfn.COVARIANCE.P($V$2:$V$66,B$2:B$66)</f>
        <v>10857.457745782098</v>
      </c>
      <c r="C92" s="32">
        <f t="shared" ref="C92:AA92" si="21">_xlfn.COVARIANCE.P($V$2:$V$66,C$2:C$66)</f>
        <v>60407.549307353424</v>
      </c>
      <c r="D92" s="32">
        <f t="shared" si="21"/>
        <v>30368.22465923856</v>
      </c>
      <c r="E92" s="32">
        <f t="shared" si="21"/>
        <v>42511.292482873003</v>
      </c>
      <c r="F92" s="32">
        <f t="shared" si="21"/>
        <v>22876.865767392403</v>
      </c>
      <c r="G92" s="32">
        <f t="shared" si="21"/>
        <v>30276.713313399767</v>
      </c>
      <c r="H92" s="32">
        <f t="shared" si="21"/>
        <v>2217.7456441682366</v>
      </c>
      <c r="I92" s="32">
        <f t="shared" si="21"/>
        <v>9284.1494331951071</v>
      </c>
      <c r="J92" s="32">
        <f t="shared" si="21"/>
        <v>10155.271998311007</v>
      </c>
      <c r="K92" s="32">
        <f t="shared" si="21"/>
        <v>20215.567725264362</v>
      </c>
      <c r="L92" s="32">
        <f t="shared" si="21"/>
        <v>8896.7748439832358</v>
      </c>
      <c r="M92" s="32">
        <f t="shared" si="21"/>
        <v>6357.3626158785537</v>
      </c>
      <c r="N92" s="32">
        <f t="shared" si="21"/>
        <v>5578.7117597022816</v>
      </c>
      <c r="O92" s="32">
        <f t="shared" si="21"/>
        <v>5053.675093676663</v>
      </c>
      <c r="P92" s="32">
        <f t="shared" si="21"/>
        <v>3282.8021861919842</v>
      </c>
      <c r="Q92" s="32">
        <f t="shared" si="21"/>
        <v>2830.2102498956037</v>
      </c>
      <c r="R92" s="32">
        <f t="shared" si="21"/>
        <v>3698.6387752398014</v>
      </c>
      <c r="S92" s="32">
        <f t="shared" si="21"/>
        <v>1824.1394239099452</v>
      </c>
      <c r="T92" s="32">
        <f t="shared" si="21"/>
        <v>1457.8469689889664</v>
      </c>
      <c r="U92" s="32">
        <f t="shared" si="21"/>
        <v>1545.3830835457779</v>
      </c>
      <c r="V92" s="32">
        <f t="shared" si="21"/>
        <v>2801.3089530367492</v>
      </c>
      <c r="W92" s="32">
        <f t="shared" si="21"/>
        <v>680.91721219578403</v>
      </c>
      <c r="X92" s="32">
        <f t="shared" si="21"/>
        <v>877.80108719107284</v>
      </c>
      <c r="Y92" s="32">
        <f t="shared" si="21"/>
        <v>1361.4316881517709</v>
      </c>
      <c r="Z92" s="32">
        <f t="shared" si="21"/>
        <v>581.11088534413773</v>
      </c>
      <c r="AA92" s="32">
        <f t="shared" si="21"/>
        <v>549.75055766412788</v>
      </c>
    </row>
    <row r="93" spans="1:27" x14ac:dyDescent="0.2">
      <c r="A93" s="5"/>
      <c r="B93" s="32">
        <f>_xlfn.COVARIANCE.P($W$2:$W$66,B$2:B$66)</f>
        <v>57693.805702392747</v>
      </c>
      <c r="C93" s="32">
        <f t="shared" ref="C93:AA93" si="22">_xlfn.COVARIANCE.P($W$2:$W$66,C$2:C$66)</f>
        <v>59665.917591580815</v>
      </c>
      <c r="D93" s="32">
        <f t="shared" si="22"/>
        <v>52337.983667519809</v>
      </c>
      <c r="E93" s="32">
        <f t="shared" si="22"/>
        <v>28683.454477153464</v>
      </c>
      <c r="F93" s="32">
        <f t="shared" si="22"/>
        <v>21147.605595789322</v>
      </c>
      <c r="G93" s="32">
        <f t="shared" si="22"/>
        <v>35938.607935481989</v>
      </c>
      <c r="H93" s="32">
        <f t="shared" si="22"/>
        <v>19320.329143535917</v>
      </c>
      <c r="I93" s="32">
        <f t="shared" si="22"/>
        <v>9130.6568148812039</v>
      </c>
      <c r="J93" s="32">
        <f t="shared" si="22"/>
        <v>7708.1559723957898</v>
      </c>
      <c r="K93" s="32">
        <f t="shared" si="22"/>
        <v>11519.985223851885</v>
      </c>
      <c r="L93" s="32">
        <f t="shared" si="22"/>
        <v>9881.6863789676045</v>
      </c>
      <c r="M93" s="32">
        <f t="shared" si="22"/>
        <v>6880.8130594496424</v>
      </c>
      <c r="N93" s="32">
        <f t="shared" si="22"/>
        <v>6817.4593434408935</v>
      </c>
      <c r="O93" s="32">
        <f t="shared" si="22"/>
        <v>4604.1187233125111</v>
      </c>
      <c r="P93" s="32">
        <f t="shared" si="22"/>
        <v>1672.1739692912922</v>
      </c>
      <c r="Q93" s="32">
        <f t="shared" si="22"/>
        <v>4072.2520200638405</v>
      </c>
      <c r="R93" s="32">
        <f t="shared" si="22"/>
        <v>5096.1687348158885</v>
      </c>
      <c r="S93" s="32">
        <f t="shared" si="22"/>
        <v>2853.9602336335911</v>
      </c>
      <c r="T93" s="32">
        <f t="shared" si="22"/>
        <v>1948.9258818111007</v>
      </c>
      <c r="U93" s="32">
        <f t="shared" si="22"/>
        <v>1187.4229280164916</v>
      </c>
      <c r="V93" s="32">
        <f t="shared" si="22"/>
        <v>680.91721219578403</v>
      </c>
      <c r="W93" s="32">
        <f t="shared" si="22"/>
        <v>1341.1216634447746</v>
      </c>
      <c r="X93" s="32">
        <f t="shared" si="22"/>
        <v>740.26164949102599</v>
      </c>
      <c r="Y93" s="32">
        <f t="shared" si="22"/>
        <v>801.77357078305329</v>
      </c>
      <c r="Z93" s="32">
        <f t="shared" si="22"/>
        <v>579.7502749189058</v>
      </c>
      <c r="AA93" s="32">
        <f t="shared" si="22"/>
        <v>704.14606624780708</v>
      </c>
    </row>
    <row r="94" spans="1:27" x14ac:dyDescent="0.2">
      <c r="A94" s="5"/>
      <c r="B94" s="32">
        <f>_xlfn.COVARIANCE.P($X$2:$X$66,B$2:B$66)</f>
        <v>61430.902063854897</v>
      </c>
      <c r="C94" s="32">
        <f t="shared" ref="C94:AA94" si="23">_xlfn.COVARIANCE.P($X$2:$X$66,C$2:C$66)</f>
        <v>65848.717537613556</v>
      </c>
      <c r="D94" s="32">
        <f t="shared" si="23"/>
        <v>56913.951858993401</v>
      </c>
      <c r="E94" s="32">
        <f t="shared" si="23"/>
        <v>42677.38126945994</v>
      </c>
      <c r="F94" s="32">
        <f t="shared" si="23"/>
        <v>24526.788332615717</v>
      </c>
      <c r="G94" s="32">
        <f t="shared" si="23"/>
        <v>42904.812943443329</v>
      </c>
      <c r="H94" s="32">
        <f t="shared" si="23"/>
        <v>17562.741969196522</v>
      </c>
      <c r="I94" s="32">
        <f t="shared" si="23"/>
        <v>14229.97863347663</v>
      </c>
      <c r="J94" s="32">
        <f t="shared" si="23"/>
        <v>8708.0847683598022</v>
      </c>
      <c r="K94" s="32">
        <f t="shared" si="23"/>
        <v>13989.436831913252</v>
      </c>
      <c r="L94" s="32">
        <f t="shared" si="23"/>
        <v>9207.7102200696499</v>
      </c>
      <c r="M94" s="32">
        <f t="shared" si="23"/>
        <v>7872.602299437739</v>
      </c>
      <c r="N94" s="32">
        <f t="shared" si="23"/>
        <v>7248.3768391373242</v>
      </c>
      <c r="O94" s="32">
        <f t="shared" si="23"/>
        <v>4478.675055160852</v>
      </c>
      <c r="P94" s="32">
        <f t="shared" si="23"/>
        <v>2431.5221197549076</v>
      </c>
      <c r="Q94" s="32">
        <f t="shared" si="23"/>
        <v>3408.765833925223</v>
      </c>
      <c r="R94" s="32">
        <f t="shared" si="23"/>
        <v>3276.7784820163738</v>
      </c>
      <c r="S94" s="32">
        <f t="shared" si="23"/>
        <v>2836.1328229610049</v>
      </c>
      <c r="T94" s="32">
        <f t="shared" si="23"/>
        <v>2277.1183973482675</v>
      </c>
      <c r="U94" s="32">
        <f t="shared" si="23"/>
        <v>1246.1356562205281</v>
      </c>
      <c r="V94" s="32">
        <f t="shared" si="23"/>
        <v>877.80108719107284</v>
      </c>
      <c r="W94" s="32">
        <f t="shared" si="23"/>
        <v>740.26164949102599</v>
      </c>
      <c r="X94" s="32">
        <f t="shared" si="23"/>
        <v>1402.9073984312126</v>
      </c>
      <c r="Y94" s="32">
        <f t="shared" si="23"/>
        <v>1233.3297893652739</v>
      </c>
      <c r="Z94" s="32">
        <f t="shared" si="23"/>
        <v>741.16164910188888</v>
      </c>
      <c r="AA94" s="32">
        <f t="shared" si="23"/>
        <v>721.35657977554717</v>
      </c>
    </row>
    <row r="95" spans="1:27" x14ac:dyDescent="0.2">
      <c r="A95" s="5"/>
      <c r="B95" s="32">
        <f>_xlfn.COVARIANCE.P($Y$2:$Y$66,B$2:B$66)</f>
        <v>59158.518821372862</v>
      </c>
      <c r="C95" s="32">
        <f t="shared" ref="C95:AA95" si="24">_xlfn.COVARIANCE.P($Y$2:$Y$66,C$2:C$66)</f>
        <v>88921.266736062069</v>
      </c>
      <c r="D95" s="32">
        <f t="shared" si="24"/>
        <v>66766.868841250092</v>
      </c>
      <c r="E95" s="32">
        <f t="shared" si="24"/>
        <v>42019.013645278304</v>
      </c>
      <c r="F95" s="32">
        <f t="shared" si="24"/>
        <v>25230.182527213376</v>
      </c>
      <c r="G95" s="32">
        <f t="shared" si="24"/>
        <v>52378.163136291398</v>
      </c>
      <c r="H95" s="32">
        <f t="shared" si="24"/>
        <v>25825.798694639059</v>
      </c>
      <c r="I95" s="32">
        <f t="shared" si="24"/>
        <v>17111.915741492721</v>
      </c>
      <c r="J95" s="32">
        <f t="shared" si="24"/>
        <v>11337.755302680789</v>
      </c>
      <c r="K95" s="32">
        <f t="shared" si="24"/>
        <v>22474.22636173488</v>
      </c>
      <c r="L95" s="32">
        <f t="shared" si="24"/>
        <v>11589.717584409827</v>
      </c>
      <c r="M95" s="32">
        <f t="shared" si="24"/>
        <v>10503.632260827037</v>
      </c>
      <c r="N95" s="32">
        <f t="shared" si="24"/>
        <v>9004.4107105662661</v>
      </c>
      <c r="O95" s="32">
        <f t="shared" si="24"/>
        <v>6331.7538304652871</v>
      </c>
      <c r="P95" s="32">
        <f t="shared" si="24"/>
        <v>2168.7946526642982</v>
      </c>
      <c r="Q95" s="32">
        <f t="shared" si="24"/>
        <v>5437.1603290837065</v>
      </c>
      <c r="R95" s="32">
        <f t="shared" si="24"/>
        <v>5941.8439741344273</v>
      </c>
      <c r="S95" s="32">
        <f t="shared" si="24"/>
        <v>3844.8023581794132</v>
      </c>
      <c r="T95" s="32">
        <f t="shared" si="24"/>
        <v>2641.5822943472463</v>
      </c>
      <c r="U95" s="32">
        <f t="shared" si="24"/>
        <v>1615.1290234793175</v>
      </c>
      <c r="V95" s="32">
        <f t="shared" si="24"/>
        <v>1361.4316881517709</v>
      </c>
      <c r="W95" s="32">
        <f t="shared" si="24"/>
        <v>801.77357078305329</v>
      </c>
      <c r="X95" s="32">
        <f t="shared" si="24"/>
        <v>1233.3297893652739</v>
      </c>
      <c r="Y95" s="32">
        <f t="shared" si="24"/>
        <v>1919.8639664916723</v>
      </c>
      <c r="Z95" s="32">
        <f t="shared" si="24"/>
        <v>919.14232116627761</v>
      </c>
      <c r="AA95" s="32">
        <f t="shared" si="24"/>
        <v>685.26247479616541</v>
      </c>
    </row>
    <row r="96" spans="1:27" x14ac:dyDescent="0.2">
      <c r="A96" s="5"/>
      <c r="B96" s="32">
        <f>_xlfn.COVARIANCE.P($Z$2:$Z$66,B$2:B$66)</f>
        <v>58433.261473137602</v>
      </c>
      <c r="C96" s="32">
        <f t="shared" ref="C96:AA96" si="25">_xlfn.COVARIANCE.P($Z$2:$Z$66,C$2:C$66)</f>
        <v>50519.55461020668</v>
      </c>
      <c r="D96" s="32">
        <f t="shared" si="25"/>
        <v>42533.05187022216</v>
      </c>
      <c r="E96" s="32">
        <f t="shared" si="25"/>
        <v>26839.955425445347</v>
      </c>
      <c r="F96" s="32">
        <f t="shared" si="25"/>
        <v>19001.021952790972</v>
      </c>
      <c r="G96" s="32">
        <f t="shared" si="25"/>
        <v>30010.380616182949</v>
      </c>
      <c r="H96" s="32">
        <f t="shared" si="25"/>
        <v>19961.353344275223</v>
      </c>
      <c r="I96" s="32">
        <f t="shared" si="25"/>
        <v>7856.6955437435745</v>
      </c>
      <c r="J96" s="32">
        <f t="shared" si="25"/>
        <v>4940.7510617612315</v>
      </c>
      <c r="K96" s="32">
        <f t="shared" si="25"/>
        <v>10999.650962250898</v>
      </c>
      <c r="L96" s="32">
        <f t="shared" si="25"/>
        <v>8305.7001506670676</v>
      </c>
      <c r="M96" s="32">
        <f t="shared" si="25"/>
        <v>6696.4333136292616</v>
      </c>
      <c r="N96" s="32">
        <f t="shared" si="25"/>
        <v>4989.1236022669591</v>
      </c>
      <c r="O96" s="32">
        <f t="shared" si="25"/>
        <v>4046.1490922412022</v>
      </c>
      <c r="P96" s="32">
        <f t="shared" si="25"/>
        <v>1270.8872983394988</v>
      </c>
      <c r="Q96" s="32">
        <f t="shared" si="25"/>
        <v>3921.5339690922738</v>
      </c>
      <c r="R96" s="32">
        <f t="shared" si="25"/>
        <v>4268.8854794424979</v>
      </c>
      <c r="S96" s="32">
        <f t="shared" si="25"/>
        <v>2827.2175523007922</v>
      </c>
      <c r="T96" s="32">
        <f t="shared" si="25"/>
        <v>1789.552773370664</v>
      </c>
      <c r="U96" s="32">
        <f t="shared" si="25"/>
        <v>1108.3409169844349</v>
      </c>
      <c r="V96" s="32">
        <f t="shared" si="25"/>
        <v>581.11088534413773</v>
      </c>
      <c r="W96" s="32">
        <f t="shared" si="25"/>
        <v>579.7502749189058</v>
      </c>
      <c r="X96" s="32">
        <f t="shared" si="25"/>
        <v>741.16164910188888</v>
      </c>
      <c r="Y96" s="32">
        <f t="shared" si="25"/>
        <v>919.14232116627761</v>
      </c>
      <c r="Z96" s="32">
        <f t="shared" si="25"/>
        <v>763.72782587556492</v>
      </c>
      <c r="AA96" s="32">
        <f t="shared" si="25"/>
        <v>540.50670140183263</v>
      </c>
    </row>
    <row r="97" spans="1:27" x14ac:dyDescent="0.2">
      <c r="A97" s="5"/>
      <c r="B97" s="32">
        <f>_xlfn.COVARIANCE.P($AA$2:$AA$66,B$2:B$66)</f>
        <v>26168.36069848332</v>
      </c>
      <c r="C97" s="32">
        <f t="shared" ref="C97:AA97" si="26">_xlfn.COVARIANCE.P($AA$2:$AA$66,C$2:C$66)</f>
        <v>46334.923439647377</v>
      </c>
      <c r="D97" s="32">
        <f t="shared" si="26"/>
        <v>39004.97790008568</v>
      </c>
      <c r="E97" s="32">
        <f t="shared" si="26"/>
        <v>22232.208837535112</v>
      </c>
      <c r="F97" s="32">
        <f t="shared" si="26"/>
        <v>13949.686734043598</v>
      </c>
      <c r="G97" s="32">
        <f t="shared" si="26"/>
        <v>28028.137301582861</v>
      </c>
      <c r="H97" s="32">
        <f t="shared" si="26"/>
        <v>10715.316729868267</v>
      </c>
      <c r="I97" s="32">
        <f t="shared" si="26"/>
        <v>8345.4854456814592</v>
      </c>
      <c r="J97" s="32">
        <f t="shared" si="26"/>
        <v>6265.1610436535348</v>
      </c>
      <c r="K97" s="32">
        <f t="shared" si="26"/>
        <v>6198.2830017809547</v>
      </c>
      <c r="L97" s="32">
        <f t="shared" si="26"/>
        <v>6166.8391655227442</v>
      </c>
      <c r="M97" s="32">
        <f t="shared" si="26"/>
        <v>6321.4283034553773</v>
      </c>
      <c r="N97" s="32">
        <f t="shared" si="26"/>
        <v>5621.5845733843853</v>
      </c>
      <c r="O97" s="32">
        <f t="shared" si="26"/>
        <v>3177.6757056550164</v>
      </c>
      <c r="P97" s="32">
        <f t="shared" si="26"/>
        <v>949.9372503791277</v>
      </c>
      <c r="Q97" s="32">
        <f t="shared" si="26"/>
        <v>2464.6703693568434</v>
      </c>
      <c r="R97" s="32">
        <f t="shared" si="26"/>
        <v>2996.7961642248592</v>
      </c>
      <c r="S97" s="32">
        <f t="shared" si="26"/>
        <v>2705.6754542735239</v>
      </c>
      <c r="T97" s="32">
        <f t="shared" si="26"/>
        <v>1386.1550438467596</v>
      </c>
      <c r="U97" s="32">
        <f t="shared" si="26"/>
        <v>918.41486345987562</v>
      </c>
      <c r="V97" s="32">
        <f t="shared" si="26"/>
        <v>549.75055766412788</v>
      </c>
      <c r="W97" s="32">
        <f t="shared" si="26"/>
        <v>704.14606624780708</v>
      </c>
      <c r="X97" s="32">
        <f t="shared" si="26"/>
        <v>721.35657977554717</v>
      </c>
      <c r="Y97" s="32">
        <f t="shared" si="26"/>
        <v>685.26247479616541</v>
      </c>
      <c r="Z97" s="32">
        <f t="shared" si="26"/>
        <v>540.50670140183263</v>
      </c>
      <c r="AA97" s="32">
        <f t="shared" si="26"/>
        <v>1909.045880207053</v>
      </c>
    </row>
    <row r="98" spans="1:27" x14ac:dyDescent="0.2">
      <c r="A98" s="5"/>
    </row>
    <row r="99" spans="1:27" x14ac:dyDescent="0.2">
      <c r="A99" s="114" t="s">
        <v>336</v>
      </c>
      <c r="B99">
        <f t="array" ref="B99:AA124">MINVERSE(B72:AA97)</f>
        <v>1.762438734892386E-7</v>
      </c>
      <c r="C99">
        <v>3.5133923453269651E-8</v>
      </c>
      <c r="D99">
        <v>-1.0366175326993326E-7</v>
      </c>
      <c r="E99">
        <v>2.0561509089447467E-7</v>
      </c>
      <c r="F99">
        <v>-1.8475744894447745E-7</v>
      </c>
      <c r="G99">
        <v>-1.5615682123237393E-7</v>
      </c>
      <c r="H99">
        <v>2.1290318084203598E-8</v>
      </c>
      <c r="I99">
        <v>1.8343613407696497E-7</v>
      </c>
      <c r="J99">
        <v>5.1987859778580503E-7</v>
      </c>
      <c r="K99">
        <v>-2.3059290133853582E-7</v>
      </c>
      <c r="L99">
        <v>-1.2965608610410616E-6</v>
      </c>
      <c r="M99">
        <v>-6.8794778886507148E-8</v>
      </c>
      <c r="N99">
        <v>3.3766037069732065E-7</v>
      </c>
      <c r="O99">
        <v>1.8281786162757527E-6</v>
      </c>
      <c r="P99">
        <v>-5.9879063752683651E-7</v>
      </c>
      <c r="Q99">
        <v>-2.2637993912024907E-6</v>
      </c>
      <c r="R99">
        <v>7.5743725387918544E-7</v>
      </c>
      <c r="S99">
        <v>1.3050062001000973E-6</v>
      </c>
      <c r="T99">
        <v>-6.3404506045376631E-6</v>
      </c>
      <c r="U99">
        <v>3.410873629417263E-6</v>
      </c>
      <c r="V99">
        <v>-1.1058777826639925E-6</v>
      </c>
      <c r="W99">
        <v>3.2682838285229517E-6</v>
      </c>
      <c r="X99">
        <v>-1.7040149710955943E-6</v>
      </c>
      <c r="Y99">
        <v>4.8691542493704789E-6</v>
      </c>
      <c r="Z99">
        <v>1.9892170330490536E-6</v>
      </c>
      <c r="AA99">
        <v>-8.1185588445095321E-7</v>
      </c>
    </row>
    <row r="100" spans="1:27" x14ac:dyDescent="0.2">
      <c r="A100" s="114"/>
      <c r="B100">
        <v>3.5133923453268897E-8</v>
      </c>
      <c r="C100">
        <v>3.6402953793839448E-6</v>
      </c>
      <c r="D100">
        <v>-1.6101707385077926E-7</v>
      </c>
      <c r="E100">
        <v>9.2770587990102078E-7</v>
      </c>
      <c r="F100">
        <v>4.3212922222514509E-7</v>
      </c>
      <c r="G100">
        <v>-4.6338907635135911E-6</v>
      </c>
      <c r="H100">
        <v>7.8364439663255394E-7</v>
      </c>
      <c r="I100">
        <v>-9.9393370088611188E-8</v>
      </c>
      <c r="J100">
        <v>2.6541498479900767E-6</v>
      </c>
      <c r="K100">
        <v>1.1040166383948098E-6</v>
      </c>
      <c r="L100">
        <v>1.8254441590561728E-6</v>
      </c>
      <c r="M100">
        <v>1.8060153313833434E-6</v>
      </c>
      <c r="N100">
        <v>-1.5154056462913362E-6</v>
      </c>
      <c r="O100">
        <v>-7.6581484504142794E-6</v>
      </c>
      <c r="P100">
        <v>2.3929521334679397E-6</v>
      </c>
      <c r="Q100">
        <v>-3.6116955835532991E-6</v>
      </c>
      <c r="R100">
        <v>3.9363289881129718E-6</v>
      </c>
      <c r="S100">
        <v>-1.4122716082704144E-6</v>
      </c>
      <c r="T100">
        <v>1.3085757684767627E-5</v>
      </c>
      <c r="U100">
        <v>-4.6763943189542466E-5</v>
      </c>
      <c r="V100">
        <v>-7.2987880686901512E-6</v>
      </c>
      <c r="W100">
        <v>-2.8058354442585682E-5</v>
      </c>
      <c r="X100">
        <v>1.4357157553761442E-6</v>
      </c>
      <c r="Y100">
        <v>-4.730046089654288E-5</v>
      </c>
      <c r="Z100">
        <v>-1.9124522157953359E-5</v>
      </c>
      <c r="AA100">
        <v>4.1921012810182501E-6</v>
      </c>
    </row>
    <row r="101" spans="1:27" x14ac:dyDescent="0.2">
      <c r="A101" s="5"/>
      <c r="B101">
        <v>-1.0366175326993346E-7</v>
      </c>
      <c r="C101">
        <v>-1.6101707385078114E-7</v>
      </c>
      <c r="D101">
        <v>4.1145771308050296E-6</v>
      </c>
      <c r="E101">
        <v>4.5393557364584042E-7</v>
      </c>
      <c r="F101">
        <v>-2.0989945658352916E-6</v>
      </c>
      <c r="G101">
        <v>-3.6104755985715488E-6</v>
      </c>
      <c r="H101">
        <v>-2.7517676380453282E-7</v>
      </c>
      <c r="I101">
        <v>-6.0366826972187128E-6</v>
      </c>
      <c r="J101">
        <v>-1.0590096355512154E-6</v>
      </c>
      <c r="K101">
        <v>3.0706641677425998E-7</v>
      </c>
      <c r="L101">
        <v>-1.4434821775552719E-6</v>
      </c>
      <c r="M101">
        <v>2.55364205803937E-6</v>
      </c>
      <c r="N101">
        <v>-1.7157239285673673E-7</v>
      </c>
      <c r="O101">
        <v>9.3541356048337353E-6</v>
      </c>
      <c r="P101">
        <v>1.3470238811654047E-6</v>
      </c>
      <c r="Q101">
        <v>8.5221853819898718E-7</v>
      </c>
      <c r="R101">
        <v>-1.2602290053065839E-5</v>
      </c>
      <c r="S101">
        <v>1.4664043177553794E-7</v>
      </c>
      <c r="T101">
        <v>-2.9616731480770411E-5</v>
      </c>
      <c r="U101">
        <v>5.2922821963343397E-5</v>
      </c>
      <c r="V101">
        <v>-1.0992733110799129E-5</v>
      </c>
      <c r="W101">
        <v>8.1419824610970199E-6</v>
      </c>
      <c r="X101">
        <v>1.5606686645582108E-5</v>
      </c>
      <c r="Y101">
        <v>4.9746941839389717E-5</v>
      </c>
      <c r="Z101">
        <v>-2.8729648075114277E-5</v>
      </c>
      <c r="AA101">
        <v>-5.7332445979982905E-6</v>
      </c>
    </row>
    <row r="102" spans="1:27" x14ac:dyDescent="0.2">
      <c r="A102" s="5"/>
      <c r="B102">
        <v>2.0561509089447358E-7</v>
      </c>
      <c r="C102">
        <v>9.2770587990101824E-7</v>
      </c>
      <c r="D102">
        <v>4.5393557364584344E-7</v>
      </c>
      <c r="E102">
        <v>7.0460537610457233E-6</v>
      </c>
      <c r="F102">
        <v>-3.7714523551355209E-6</v>
      </c>
      <c r="G102">
        <v>-7.829898607003953E-6</v>
      </c>
      <c r="H102">
        <v>1.9068537299131584E-6</v>
      </c>
      <c r="I102">
        <v>1.2145172119202482E-7</v>
      </c>
      <c r="J102">
        <v>3.7344674589674792E-6</v>
      </c>
      <c r="K102">
        <v>2.3945267636576414E-6</v>
      </c>
      <c r="L102">
        <v>-4.1412239457507441E-6</v>
      </c>
      <c r="M102">
        <v>-2.4232146843905705E-6</v>
      </c>
      <c r="N102">
        <v>5.5179987447757857E-6</v>
      </c>
      <c r="O102">
        <v>1.5306347670596091E-5</v>
      </c>
      <c r="P102">
        <v>-6.7420360976422881E-6</v>
      </c>
      <c r="Q102">
        <v>2.8996407545696772E-8</v>
      </c>
      <c r="R102">
        <v>3.7342496802477461E-6</v>
      </c>
      <c r="S102">
        <v>7.5075559501547512E-7</v>
      </c>
      <c r="T102">
        <v>-1.3570235454609688E-5</v>
      </c>
      <c r="U102">
        <v>8.0001643629893775E-5</v>
      </c>
      <c r="V102">
        <v>-7.0789588852140879E-5</v>
      </c>
      <c r="W102">
        <v>-2.1324921377752907E-5</v>
      </c>
      <c r="X102">
        <v>-2.6558054629350711E-5</v>
      </c>
      <c r="Y102">
        <v>8.1136023284347707E-6</v>
      </c>
      <c r="Z102">
        <v>-1.299485023863039E-4</v>
      </c>
      <c r="AA102">
        <v>1.4182530938468052E-5</v>
      </c>
    </row>
    <row r="103" spans="1:27" x14ac:dyDescent="0.2">
      <c r="A103" s="5"/>
      <c r="B103">
        <v>-1.8475744894447755E-7</v>
      </c>
      <c r="C103">
        <v>4.3212922222515065E-7</v>
      </c>
      <c r="D103">
        <v>-2.0989945658352967E-6</v>
      </c>
      <c r="E103">
        <v>-3.7714523551355184E-6</v>
      </c>
      <c r="F103">
        <v>7.3755902748451028E-6</v>
      </c>
      <c r="G103">
        <v>3.7728260334837401E-6</v>
      </c>
      <c r="H103">
        <v>-1.1576750320970621E-6</v>
      </c>
      <c r="I103">
        <v>3.6527974294969846E-6</v>
      </c>
      <c r="J103">
        <v>-9.4420348423097364E-7</v>
      </c>
      <c r="K103">
        <v>-3.3785841977808804E-6</v>
      </c>
      <c r="L103">
        <v>-1.9586914604146441E-6</v>
      </c>
      <c r="M103">
        <v>-1.8684838646904577E-6</v>
      </c>
      <c r="N103">
        <v>1.1691429122762888E-6</v>
      </c>
      <c r="O103">
        <v>-3.3114221136353785E-5</v>
      </c>
      <c r="P103">
        <v>9.8129520847181071E-7</v>
      </c>
      <c r="Q103">
        <v>-5.7322875426871547E-6</v>
      </c>
      <c r="R103">
        <v>3.056848821511571E-5</v>
      </c>
      <c r="S103">
        <v>-2.5241662010470459E-6</v>
      </c>
      <c r="T103">
        <v>4.5029457686977428E-5</v>
      </c>
      <c r="U103">
        <v>-1.1549273205329073E-4</v>
      </c>
      <c r="V103">
        <v>5.5117039999137697E-5</v>
      </c>
      <c r="W103">
        <v>-1.8854325190293041E-5</v>
      </c>
      <c r="X103">
        <v>1.5599430534397976E-5</v>
      </c>
      <c r="Y103">
        <v>-1.208065671457999E-5</v>
      </c>
      <c r="Z103">
        <v>5.8705531498846306E-5</v>
      </c>
      <c r="AA103">
        <v>-3.3726926860772899E-6</v>
      </c>
    </row>
    <row r="104" spans="1:27" x14ac:dyDescent="0.2">
      <c r="A104" s="5"/>
      <c r="B104">
        <v>-1.561568212323725E-7</v>
      </c>
      <c r="C104">
        <v>-4.633890763513586E-6</v>
      </c>
      <c r="D104">
        <v>-3.6104755985715471E-6</v>
      </c>
      <c r="E104">
        <v>-7.8298986070039412E-6</v>
      </c>
      <c r="F104">
        <v>3.7728260334837422E-6</v>
      </c>
      <c r="G104">
        <v>2.894554203047298E-5</v>
      </c>
      <c r="H104">
        <v>-3.2083545826594819E-6</v>
      </c>
      <c r="I104">
        <v>-1.2666681970082962E-7</v>
      </c>
      <c r="J104">
        <v>-7.2204750203335711E-6</v>
      </c>
      <c r="K104">
        <v>-4.2477304943306739E-6</v>
      </c>
      <c r="L104">
        <v>-7.1133563177182562E-6</v>
      </c>
      <c r="M104">
        <v>-7.6942976532620415E-6</v>
      </c>
      <c r="N104">
        <v>-3.5250577093219203E-5</v>
      </c>
      <c r="O104">
        <v>-1.0618808420134607E-5</v>
      </c>
      <c r="P104">
        <v>6.0704181195742931E-6</v>
      </c>
      <c r="Q104">
        <v>1.6084614366764599E-5</v>
      </c>
      <c r="R104">
        <v>1.0666493746469577E-5</v>
      </c>
      <c r="S104">
        <v>-9.670161459224453E-6</v>
      </c>
      <c r="T104">
        <v>-7.20987175877345E-5</v>
      </c>
      <c r="U104">
        <v>-7.8227442940020228E-5</v>
      </c>
      <c r="V104">
        <v>9.2570667916823889E-5</v>
      </c>
      <c r="W104">
        <v>6.8546526245351715E-5</v>
      </c>
      <c r="X104">
        <v>3.1664782673825782E-5</v>
      </c>
      <c r="Y104">
        <v>-2.9441986149826188E-5</v>
      </c>
      <c r="Z104">
        <v>2.3957714416588524E-4</v>
      </c>
      <c r="AA104">
        <v>-5.000921688078053E-6</v>
      </c>
    </row>
    <row r="105" spans="1:27" x14ac:dyDescent="0.2">
      <c r="A105" s="5"/>
      <c r="B105">
        <v>2.1290318084203571E-8</v>
      </c>
      <c r="C105">
        <v>7.8364439663255553E-7</v>
      </c>
      <c r="D105">
        <v>-2.7517676380452774E-7</v>
      </c>
      <c r="E105">
        <v>1.9068537299131626E-6</v>
      </c>
      <c r="F105">
        <v>-1.1576750320970679E-6</v>
      </c>
      <c r="G105">
        <v>-3.2083545826595035E-6</v>
      </c>
      <c r="H105">
        <v>3.8944389807351923E-6</v>
      </c>
      <c r="I105">
        <v>4.7639480227941282E-7</v>
      </c>
      <c r="J105">
        <v>3.347548018482744E-6</v>
      </c>
      <c r="K105">
        <v>-1.2346689979157755E-7</v>
      </c>
      <c r="L105">
        <v>-5.526439207621057E-6</v>
      </c>
      <c r="M105">
        <v>1.2435562138401467E-8</v>
      </c>
      <c r="N105">
        <v>-5.7703655960173193E-6</v>
      </c>
      <c r="O105">
        <v>1.1068339446507272E-5</v>
      </c>
      <c r="P105">
        <v>-3.7768367711385014E-6</v>
      </c>
      <c r="Q105">
        <v>-6.3966368763151126E-6</v>
      </c>
      <c r="R105">
        <v>7.325940034459621E-6</v>
      </c>
      <c r="S105">
        <v>-7.6575989188647451E-6</v>
      </c>
      <c r="T105">
        <v>5.4726964017764786E-6</v>
      </c>
      <c r="U105">
        <v>5.2381268423092224E-5</v>
      </c>
      <c r="V105">
        <v>-1.1062122033357513E-5</v>
      </c>
      <c r="W105">
        <v>-1.3926546439715842E-5</v>
      </c>
      <c r="X105">
        <v>3.3148955275452703E-5</v>
      </c>
      <c r="Y105">
        <v>-1.8051391754937881E-5</v>
      </c>
      <c r="Z105">
        <v>-1.0045141766527745E-4</v>
      </c>
      <c r="AA105">
        <v>1.2553783448132783E-5</v>
      </c>
    </row>
    <row r="106" spans="1:27" x14ac:dyDescent="0.2">
      <c r="A106" s="5"/>
      <c r="B106">
        <v>1.8343613407696545E-7</v>
      </c>
      <c r="C106">
        <v>-9.9393370088608369E-8</v>
      </c>
      <c r="D106">
        <v>-6.0366826972187162E-6</v>
      </c>
      <c r="E106">
        <v>1.2145172119203019E-7</v>
      </c>
      <c r="F106">
        <v>3.6527974294969774E-6</v>
      </c>
      <c r="G106">
        <v>-1.2666681970082313E-7</v>
      </c>
      <c r="H106">
        <v>4.7639480227941869E-7</v>
      </c>
      <c r="I106">
        <v>2.106244106773866E-5</v>
      </c>
      <c r="J106">
        <v>1.6687608910663404E-6</v>
      </c>
      <c r="K106">
        <v>-8.3950099266550623E-7</v>
      </c>
      <c r="L106">
        <v>5.7704130533801336E-6</v>
      </c>
      <c r="M106">
        <v>-5.6129512718553146E-6</v>
      </c>
      <c r="N106">
        <v>5.763963579459974E-6</v>
      </c>
      <c r="O106">
        <v>-1.1713442641965737E-5</v>
      </c>
      <c r="P106">
        <v>-4.8129001716131807E-6</v>
      </c>
      <c r="Q106">
        <v>-1.0171799404300202E-5</v>
      </c>
      <c r="R106">
        <v>3.3155998003114391E-5</v>
      </c>
      <c r="S106">
        <v>-7.6859902371604431E-6</v>
      </c>
      <c r="T106">
        <v>5.8173573803739807E-5</v>
      </c>
      <c r="U106">
        <v>-1.0558065802070733E-4</v>
      </c>
      <c r="V106">
        <v>1.8151894540099024E-5</v>
      </c>
      <c r="W106">
        <v>-1.6845324531726551E-5</v>
      </c>
      <c r="X106">
        <v>-4.6345124855462799E-5</v>
      </c>
      <c r="Y106">
        <v>-9.1296989861667136E-5</v>
      </c>
      <c r="Z106">
        <v>8.7672518658107656E-5</v>
      </c>
      <c r="AA106">
        <v>1.1334256828930961E-5</v>
      </c>
    </row>
    <row r="107" spans="1:27" x14ac:dyDescent="0.2">
      <c r="A107" s="5"/>
      <c r="B107">
        <v>5.1987859778580418E-7</v>
      </c>
      <c r="C107">
        <v>2.6541498479900809E-6</v>
      </c>
      <c r="D107">
        <v>-1.0590096355512029E-6</v>
      </c>
      <c r="E107">
        <v>3.7344674589674962E-6</v>
      </c>
      <c r="F107">
        <v>-9.4420348423099312E-7</v>
      </c>
      <c r="G107">
        <v>-7.2204750203336244E-6</v>
      </c>
      <c r="H107">
        <v>3.3475480184827478E-6</v>
      </c>
      <c r="I107">
        <v>1.6687608910663215E-6</v>
      </c>
      <c r="J107">
        <v>1.8861658425126203E-5</v>
      </c>
      <c r="K107">
        <v>-2.6890768424616451E-6</v>
      </c>
      <c r="L107">
        <v>-1.4291477306917055E-5</v>
      </c>
      <c r="M107">
        <v>3.2472745503466203E-6</v>
      </c>
      <c r="N107">
        <v>-2.2362574341801769E-5</v>
      </c>
      <c r="O107">
        <v>1.7963169323738665E-5</v>
      </c>
      <c r="P107">
        <v>-7.378063876479499E-6</v>
      </c>
      <c r="Q107">
        <v>-1.6780105889578215E-5</v>
      </c>
      <c r="R107">
        <v>3.7191788687190538E-5</v>
      </c>
      <c r="S107">
        <v>-2.0332718417687523E-5</v>
      </c>
      <c r="T107">
        <v>3.9904833882703675E-5</v>
      </c>
      <c r="U107">
        <v>1.4552412277462844E-5</v>
      </c>
      <c r="V107">
        <v>-3.7745246491454674E-5</v>
      </c>
      <c r="W107">
        <v>-3.7559138747473238E-5</v>
      </c>
      <c r="X107">
        <v>5.4244995411231148E-5</v>
      </c>
      <c r="Y107">
        <v>-3.3125636155480662E-5</v>
      </c>
      <c r="Z107">
        <v>-1.0754342706089049E-4</v>
      </c>
      <c r="AA107">
        <v>1.7978506953153701E-5</v>
      </c>
    </row>
    <row r="108" spans="1:27" x14ac:dyDescent="0.2">
      <c r="A108" s="5"/>
      <c r="B108">
        <v>-2.305929013385373E-7</v>
      </c>
      <c r="C108">
        <v>1.1040166383948045E-6</v>
      </c>
      <c r="D108">
        <v>3.070664167742513E-7</v>
      </c>
      <c r="E108">
        <v>2.3945267636576159E-6</v>
      </c>
      <c r="F108">
        <v>-3.3785841977808626E-6</v>
      </c>
      <c r="G108">
        <v>-4.2477304943306214E-6</v>
      </c>
      <c r="H108">
        <v>-1.2346689979159004E-7</v>
      </c>
      <c r="I108">
        <v>-8.3950099266549819E-7</v>
      </c>
      <c r="J108">
        <v>-2.6890768424616675E-6</v>
      </c>
      <c r="K108">
        <v>1.4062894439356182E-5</v>
      </c>
      <c r="L108">
        <v>8.1836826386296352E-6</v>
      </c>
      <c r="M108">
        <v>6.5050869407416E-7</v>
      </c>
      <c r="N108">
        <v>1.3695162554206512E-5</v>
      </c>
      <c r="O108">
        <v>-9.6406915957861389E-6</v>
      </c>
      <c r="P108">
        <v>3.357303019311496E-6</v>
      </c>
      <c r="Q108">
        <v>-3.7142780857747744E-6</v>
      </c>
      <c r="R108">
        <v>-2.5357701322223678E-5</v>
      </c>
      <c r="S108">
        <v>2.4330546946799963E-5</v>
      </c>
      <c r="T108">
        <v>-6.3099828909094742E-7</v>
      </c>
      <c r="U108">
        <v>4.0721896721771658E-5</v>
      </c>
      <c r="V108">
        <v>-5.719114129789335E-5</v>
      </c>
      <c r="W108">
        <v>-6.667236482529013E-6</v>
      </c>
      <c r="X108">
        <v>-5.3321517624701335E-5</v>
      </c>
      <c r="Y108">
        <v>-9.7544063388444965E-5</v>
      </c>
      <c r="Z108">
        <v>1.003996365338081E-5</v>
      </c>
      <c r="AA108">
        <v>4.4778242734215674E-6</v>
      </c>
    </row>
    <row r="109" spans="1:27" x14ac:dyDescent="0.2">
      <c r="A109" s="5"/>
      <c r="B109">
        <v>-1.2965608610410608E-6</v>
      </c>
      <c r="C109">
        <v>1.8254441590561178E-6</v>
      </c>
      <c r="D109">
        <v>-1.4434821775553208E-6</v>
      </c>
      <c r="E109">
        <v>-4.1412239457508339E-6</v>
      </c>
      <c r="F109">
        <v>-1.9586914604145971E-6</v>
      </c>
      <c r="G109">
        <v>-7.1133563177179995E-6</v>
      </c>
      <c r="H109">
        <v>-5.5264392076211078E-6</v>
      </c>
      <c r="I109">
        <v>5.7704130533801802E-6</v>
      </c>
      <c r="J109">
        <v>-1.429147730691716E-5</v>
      </c>
      <c r="K109">
        <v>8.1836826386295759E-6</v>
      </c>
      <c r="L109">
        <v>1.6116483625602915E-4</v>
      </c>
      <c r="M109">
        <v>2.1110953963192294E-5</v>
      </c>
      <c r="N109">
        <v>3.6762209446613825E-5</v>
      </c>
      <c r="O109">
        <v>-1.1152616493466803E-4</v>
      </c>
      <c r="P109">
        <v>1.8563004136778008E-7</v>
      </c>
      <c r="Q109">
        <v>2.8067191544850885E-6</v>
      </c>
      <c r="R109">
        <v>-1.0631033148933235E-4</v>
      </c>
      <c r="S109">
        <v>-1.0544838171264024E-5</v>
      </c>
      <c r="T109">
        <v>2.014599975200966E-4</v>
      </c>
      <c r="U109">
        <v>-1.8861879832576426E-4</v>
      </c>
      <c r="V109">
        <v>-5.1959069044085834E-6</v>
      </c>
      <c r="W109">
        <v>-1.9562050326934753E-4</v>
      </c>
      <c r="X109">
        <v>-3.2813179464260102E-4</v>
      </c>
      <c r="Y109">
        <v>7.326707306251139E-6</v>
      </c>
      <c r="Z109">
        <v>-1.4118038932639244E-4</v>
      </c>
      <c r="AA109">
        <v>4.048420774259308E-5</v>
      </c>
    </row>
    <row r="110" spans="1:27" x14ac:dyDescent="0.2">
      <c r="A110" s="5"/>
      <c r="B110">
        <v>-6.8794778886507227E-8</v>
      </c>
      <c r="C110">
        <v>1.8060153313833374E-6</v>
      </c>
      <c r="D110">
        <v>2.5536420580393687E-6</v>
      </c>
      <c r="E110">
        <v>-2.4232146843905676E-6</v>
      </c>
      <c r="F110">
        <v>-1.8684838646904599E-6</v>
      </c>
      <c r="G110">
        <v>-7.6942976532620466E-6</v>
      </c>
      <c r="H110">
        <v>1.243556213839885E-8</v>
      </c>
      <c r="I110">
        <v>-5.6129512718553146E-6</v>
      </c>
      <c r="J110">
        <v>3.2472745503466169E-6</v>
      </c>
      <c r="K110">
        <v>6.5050869407413533E-7</v>
      </c>
      <c r="L110">
        <v>2.1110953963192338E-5</v>
      </c>
      <c r="M110">
        <v>5.0159606104928669E-5</v>
      </c>
      <c r="N110">
        <v>-1.0558387183221924E-5</v>
      </c>
      <c r="O110">
        <v>-4.172509640456294E-5</v>
      </c>
      <c r="P110">
        <v>5.095083247533926E-6</v>
      </c>
      <c r="Q110">
        <v>-5.7014981096305116E-7</v>
      </c>
      <c r="R110">
        <v>-1.1990509017934187E-5</v>
      </c>
      <c r="S110">
        <v>-7.4713172767827443E-5</v>
      </c>
      <c r="T110">
        <v>1.39596433455697E-4</v>
      </c>
      <c r="U110">
        <v>-4.4404878539235478E-5</v>
      </c>
      <c r="V110">
        <v>2.8442673202446821E-5</v>
      </c>
      <c r="W110">
        <v>-2.562529027109118E-5</v>
      </c>
      <c r="X110">
        <v>-2.5608801156114976E-5</v>
      </c>
      <c r="Y110">
        <v>-7.6009149930192353E-6</v>
      </c>
      <c r="Z110">
        <v>-7.9435619722064072E-5</v>
      </c>
      <c r="AA110">
        <v>1.6798814339363317E-5</v>
      </c>
    </row>
    <row r="111" spans="1:27" x14ac:dyDescent="0.2">
      <c r="A111" s="5"/>
      <c r="B111">
        <v>3.3766037069732092E-7</v>
      </c>
      <c r="C111">
        <v>-1.5154056462913529E-6</v>
      </c>
      <c r="D111">
        <v>-1.7157239285678506E-7</v>
      </c>
      <c r="E111">
        <v>5.5179987447757162E-6</v>
      </c>
      <c r="F111">
        <v>1.1691429122763544E-6</v>
      </c>
      <c r="G111">
        <v>-3.5250577093219033E-5</v>
      </c>
      <c r="H111">
        <v>-5.7703655960173642E-6</v>
      </c>
      <c r="I111">
        <v>5.7639635794600629E-6</v>
      </c>
      <c r="J111">
        <v>-2.2362574341801837E-5</v>
      </c>
      <c r="K111">
        <v>1.3695162554206541E-5</v>
      </c>
      <c r="L111">
        <v>3.6762209446613886E-5</v>
      </c>
      <c r="M111">
        <v>-1.0558387183221934E-5</v>
      </c>
      <c r="N111">
        <v>2.2081014652874305E-4</v>
      </c>
      <c r="O111">
        <v>-8.1365606416567465E-5</v>
      </c>
      <c r="P111">
        <v>1.9238579865306659E-6</v>
      </c>
      <c r="Q111">
        <v>-1.5702317913410539E-5</v>
      </c>
      <c r="R111">
        <v>-9.0074808095509947E-5</v>
      </c>
      <c r="S111">
        <v>1.1907228282321122E-4</v>
      </c>
      <c r="T111">
        <v>1.0054816095402677E-6</v>
      </c>
      <c r="U111">
        <v>5.0586944526211787E-5</v>
      </c>
      <c r="V111">
        <v>-9.0556143042309936E-5</v>
      </c>
      <c r="W111">
        <v>1.1718358990824059E-5</v>
      </c>
      <c r="X111">
        <v>-3.2804949623437847E-4</v>
      </c>
      <c r="Y111">
        <v>1.7162093862965511E-4</v>
      </c>
      <c r="Z111">
        <v>2.8087611407679684E-4</v>
      </c>
      <c r="AA111">
        <v>-1.1059695452226922E-4</v>
      </c>
    </row>
    <row r="112" spans="1:27" x14ac:dyDescent="0.2">
      <c r="A112" s="5"/>
      <c r="B112">
        <v>1.8281786162757665E-6</v>
      </c>
      <c r="C112">
        <v>-7.6581484504142489E-6</v>
      </c>
      <c r="D112">
        <v>9.3541356048338319E-6</v>
      </c>
      <c r="E112">
        <v>1.530634767059623E-5</v>
      </c>
      <c r="F112">
        <v>-3.3114221136353934E-5</v>
      </c>
      <c r="G112">
        <v>-1.061880842013487E-5</v>
      </c>
      <c r="H112">
        <v>1.106833944650731E-5</v>
      </c>
      <c r="I112">
        <v>-1.1713442641965888E-5</v>
      </c>
      <c r="J112">
        <v>1.7963169323738628E-5</v>
      </c>
      <c r="K112">
        <v>-9.6406915957858543E-6</v>
      </c>
      <c r="L112">
        <v>-1.1152616493466775E-4</v>
      </c>
      <c r="M112">
        <v>-4.1725096404563163E-5</v>
      </c>
      <c r="N112">
        <v>-8.1365606416566801E-5</v>
      </c>
      <c r="O112">
        <v>8.6121059862135762E-4</v>
      </c>
      <c r="P112">
        <v>-2.6979946744595166E-5</v>
      </c>
      <c r="Q112">
        <v>-6.7913077592540667E-5</v>
      </c>
      <c r="R112">
        <v>-2.7520797359737831E-4</v>
      </c>
      <c r="S112">
        <v>1.7582393332429551E-4</v>
      </c>
      <c r="T112">
        <v>-4.5853413057191523E-4</v>
      </c>
      <c r="U112">
        <v>8.0255994365949787E-4</v>
      </c>
      <c r="V112">
        <v>-4.6435268091645702E-4</v>
      </c>
      <c r="W112">
        <v>1.5288958830091495E-4</v>
      </c>
      <c r="X112">
        <v>3.6210784158579576E-5</v>
      </c>
      <c r="Y112">
        <v>1.0105942061574197E-5</v>
      </c>
      <c r="Z112">
        <v>-6.1165992529205562E-4</v>
      </c>
      <c r="AA112">
        <v>-8.0781009630250764E-5</v>
      </c>
    </row>
    <row r="113" spans="1:27" x14ac:dyDescent="0.2">
      <c r="A113" s="5"/>
      <c r="B113">
        <v>-5.9879063752683661E-7</v>
      </c>
      <c r="C113">
        <v>2.3929521334679469E-6</v>
      </c>
      <c r="D113">
        <v>1.3470238811653907E-6</v>
      </c>
      <c r="E113">
        <v>-6.7420360976422957E-6</v>
      </c>
      <c r="F113">
        <v>9.8129520847182743E-7</v>
      </c>
      <c r="G113">
        <v>6.0704181195743236E-6</v>
      </c>
      <c r="H113">
        <v>-3.7768367711385022E-6</v>
      </c>
      <c r="I113">
        <v>-4.8129001716131629E-6</v>
      </c>
      <c r="J113">
        <v>-7.3780638764794812E-6</v>
      </c>
      <c r="K113">
        <v>3.3573030193114727E-6</v>
      </c>
      <c r="L113">
        <v>1.8563004136776444E-7</v>
      </c>
      <c r="M113">
        <v>5.095083247533959E-6</v>
      </c>
      <c r="N113">
        <v>1.9238579865305609E-6</v>
      </c>
      <c r="O113">
        <v>-2.6979946744595332E-5</v>
      </c>
      <c r="P113">
        <v>7.4454823960968129E-5</v>
      </c>
      <c r="Q113">
        <v>-8.3737060584729736E-6</v>
      </c>
      <c r="R113">
        <v>-1.0543286537674095E-5</v>
      </c>
      <c r="S113">
        <v>2.1170207393644612E-5</v>
      </c>
      <c r="T113">
        <v>-4.6047551465672845E-5</v>
      </c>
      <c r="U113">
        <v>-8.9515377861795319E-5</v>
      </c>
      <c r="V113">
        <v>-4.2137056531959306E-6</v>
      </c>
      <c r="W113">
        <v>1.8313394616260732E-5</v>
      </c>
      <c r="X113">
        <v>-5.4378425350703139E-5</v>
      </c>
      <c r="Y113">
        <v>-3.8817423033604109E-5</v>
      </c>
      <c r="Z113">
        <v>2.627906199637444E-4</v>
      </c>
      <c r="AA113">
        <v>-2.6503624499313363E-5</v>
      </c>
    </row>
    <row r="114" spans="1:27" x14ac:dyDescent="0.2">
      <c r="A114" s="5"/>
      <c r="B114">
        <v>-2.2637993912024793E-6</v>
      </c>
      <c r="C114">
        <v>-3.6116955835533698E-6</v>
      </c>
      <c r="D114">
        <v>8.5221853819909518E-7</v>
      </c>
      <c r="E114">
        <v>2.8996407545831126E-8</v>
      </c>
      <c r="F114">
        <v>-5.7322875426873521E-6</v>
      </c>
      <c r="G114">
        <v>1.6084614366764338E-5</v>
      </c>
      <c r="H114">
        <v>-6.3966368763150169E-6</v>
      </c>
      <c r="I114">
        <v>-1.0171799404300307E-5</v>
      </c>
      <c r="J114">
        <v>-1.6780105889578144E-5</v>
      </c>
      <c r="K114">
        <v>-3.7142780857748469E-6</v>
      </c>
      <c r="L114">
        <v>2.8067191544842072E-6</v>
      </c>
      <c r="M114">
        <v>-5.7014981096325625E-7</v>
      </c>
      <c r="N114">
        <v>-1.570231791341023E-5</v>
      </c>
      <c r="O114">
        <v>-6.791307759253694E-5</v>
      </c>
      <c r="P114">
        <v>-8.3737060584731616E-6</v>
      </c>
      <c r="Q114">
        <v>5.2236736817354247E-4</v>
      </c>
      <c r="R114">
        <v>-9.0294507191831258E-5</v>
      </c>
      <c r="S114">
        <v>-2.4413462539039398E-4</v>
      </c>
      <c r="T114">
        <v>-1.487537612447092E-4</v>
      </c>
      <c r="U114">
        <v>-3.1204046656475236E-4</v>
      </c>
      <c r="V114">
        <v>1.8111878730240792E-4</v>
      </c>
      <c r="W114">
        <v>2.0495067574158888E-6</v>
      </c>
      <c r="X114">
        <v>5.0698246834944311E-4</v>
      </c>
      <c r="Y114">
        <v>-1.9116273915139716E-4</v>
      </c>
      <c r="Z114">
        <v>-2.3743320360270482E-4</v>
      </c>
      <c r="AA114">
        <v>1.7328826074536796E-4</v>
      </c>
    </row>
    <row r="115" spans="1:27" x14ac:dyDescent="0.2">
      <c r="A115" s="5"/>
      <c r="B115">
        <v>7.5743725387917306E-7</v>
      </c>
      <c r="C115">
        <v>3.9363289881130455E-6</v>
      </c>
      <c r="D115">
        <v>-1.2602290053065827E-5</v>
      </c>
      <c r="E115">
        <v>3.7342496802477846E-6</v>
      </c>
      <c r="F115">
        <v>3.056848821511571E-5</v>
      </c>
      <c r="G115">
        <v>1.0666493746469351E-5</v>
      </c>
      <c r="H115">
        <v>7.325940034459643E-6</v>
      </c>
      <c r="I115">
        <v>3.3155998003114357E-5</v>
      </c>
      <c r="J115">
        <v>3.7191788687190619E-5</v>
      </c>
      <c r="K115">
        <v>-2.5357701322223736E-5</v>
      </c>
      <c r="L115">
        <v>-1.0631033148933197E-4</v>
      </c>
      <c r="M115">
        <v>-1.1990509017934037E-5</v>
      </c>
      <c r="N115">
        <v>-9.0074808095510069E-5</v>
      </c>
      <c r="O115">
        <v>-2.7520797359737825E-4</v>
      </c>
      <c r="P115">
        <v>-1.0543286537674251E-5</v>
      </c>
      <c r="Q115">
        <v>-9.0294507191829767E-5</v>
      </c>
      <c r="R115">
        <v>6.4413868321523812E-4</v>
      </c>
      <c r="S115">
        <v>-1.9400443979912695E-4</v>
      </c>
      <c r="T115">
        <v>3.6263493574941845E-5</v>
      </c>
      <c r="U115">
        <v>-7.1959062185436237E-4</v>
      </c>
      <c r="V115">
        <v>2.5987882694727694E-4</v>
      </c>
      <c r="W115">
        <v>-3.2607170636436028E-4</v>
      </c>
      <c r="X115">
        <v>9.7002507920233188E-4</v>
      </c>
      <c r="Y115">
        <v>-2.4512276729715958E-4</v>
      </c>
      <c r="Z115">
        <v>-1.5428247624859099E-4</v>
      </c>
      <c r="AA115">
        <v>1.2481626127900264E-4</v>
      </c>
    </row>
    <row r="116" spans="1:27" x14ac:dyDescent="0.2">
      <c r="A116" s="5"/>
      <c r="B116">
        <v>1.3050062001000886E-6</v>
      </c>
      <c r="C116">
        <v>-1.4122716082704061E-6</v>
      </c>
      <c r="D116">
        <v>1.4664043177547491E-7</v>
      </c>
      <c r="E116">
        <v>7.5075559501529989E-7</v>
      </c>
      <c r="F116">
        <v>-2.524166201046907E-6</v>
      </c>
      <c r="G116">
        <v>-9.6701614592241243E-6</v>
      </c>
      <c r="H116">
        <v>-7.657598918864862E-6</v>
      </c>
      <c r="I116">
        <v>-7.6859902371603787E-6</v>
      </c>
      <c r="J116">
        <v>-2.0332718417687703E-5</v>
      </c>
      <c r="K116">
        <v>2.4330546946800102E-5</v>
      </c>
      <c r="L116">
        <v>-1.0544838171263528E-5</v>
      </c>
      <c r="M116">
        <v>-7.4713172767827308E-5</v>
      </c>
      <c r="N116">
        <v>1.1907228282321132E-4</v>
      </c>
      <c r="O116">
        <v>1.7582393332429255E-4</v>
      </c>
      <c r="P116">
        <v>2.1170207393644947E-5</v>
      </c>
      <c r="Q116">
        <v>-2.4413462539039449E-4</v>
      </c>
      <c r="R116">
        <v>-1.9400443979912649E-4</v>
      </c>
      <c r="S116">
        <v>6.2707709131802462E-4</v>
      </c>
      <c r="T116">
        <v>-1.4450898150635783E-4</v>
      </c>
      <c r="U116">
        <v>2.5204430809024959E-4</v>
      </c>
      <c r="V116">
        <v>-1.5100796234127892E-4</v>
      </c>
      <c r="W116">
        <v>1.3358702007097682E-4</v>
      </c>
      <c r="X116">
        <v>-4.8938714142308384E-4</v>
      </c>
      <c r="Y116">
        <v>6.6557688802400906E-5</v>
      </c>
      <c r="Z116">
        <v>9.7996794625526473E-5</v>
      </c>
      <c r="AA116">
        <v>-3.0083543738616424E-4</v>
      </c>
    </row>
    <row r="117" spans="1:27" x14ac:dyDescent="0.2">
      <c r="A117" s="5"/>
      <c r="B117">
        <v>-6.3404506045376741E-6</v>
      </c>
      <c r="C117">
        <v>1.308575768476762E-5</v>
      </c>
      <c r="D117">
        <v>-2.9616731480770489E-5</v>
      </c>
      <c r="E117">
        <v>-1.3570235454609789E-5</v>
      </c>
      <c r="F117">
        <v>4.5029457686977414E-5</v>
      </c>
      <c r="G117">
        <v>-7.2098717587734364E-5</v>
      </c>
      <c r="H117">
        <v>5.472696401776454E-6</v>
      </c>
      <c r="I117">
        <v>5.8173573803739908E-5</v>
      </c>
      <c r="J117">
        <v>3.9904833882703586E-5</v>
      </c>
      <c r="K117">
        <v>-6.3099828909106082E-7</v>
      </c>
      <c r="L117">
        <v>2.0145999752009723E-4</v>
      </c>
      <c r="M117">
        <v>1.3959643345569703E-4</v>
      </c>
      <c r="N117">
        <v>1.0054816095400339E-6</v>
      </c>
      <c r="O117">
        <v>-4.5853413057191322E-4</v>
      </c>
      <c r="P117">
        <v>-4.6047551465673007E-5</v>
      </c>
      <c r="Q117">
        <v>-1.4875376124470662E-4</v>
      </c>
      <c r="R117">
        <v>3.626349357493973E-5</v>
      </c>
      <c r="S117">
        <v>-1.4450898150635848E-4</v>
      </c>
      <c r="T117">
        <v>3.2083410995638905E-3</v>
      </c>
      <c r="U117">
        <v>-5.702807522825384E-4</v>
      </c>
      <c r="V117">
        <v>3.0542384333502945E-4</v>
      </c>
      <c r="W117">
        <v>-8.9976613779730273E-4</v>
      </c>
      <c r="X117">
        <v>-1.3591697272756762E-3</v>
      </c>
      <c r="Y117">
        <v>-4.0154448659482226E-4</v>
      </c>
      <c r="Z117">
        <v>-1.9754447401112568E-3</v>
      </c>
      <c r="AA117">
        <v>2.6385133716351771E-4</v>
      </c>
    </row>
    <row r="118" spans="1:27" x14ac:dyDescent="0.2">
      <c r="A118" s="5"/>
      <c r="B118">
        <v>3.4108736294172833E-6</v>
      </c>
      <c r="C118">
        <v>-4.6763943189542418E-5</v>
      </c>
      <c r="D118">
        <v>5.2922821963343383E-5</v>
      </c>
      <c r="E118">
        <v>8.0001643629893694E-5</v>
      </c>
      <c r="F118">
        <v>-1.1549273205329053E-4</v>
      </c>
      <c r="G118">
        <v>-7.8227442940020337E-5</v>
      </c>
      <c r="H118">
        <v>5.2381268423092136E-5</v>
      </c>
      <c r="I118">
        <v>-1.0558065802070722E-4</v>
      </c>
      <c r="J118">
        <v>1.455241227746258E-5</v>
      </c>
      <c r="K118">
        <v>4.0721896721772254E-5</v>
      </c>
      <c r="L118">
        <v>-1.886187983257635E-4</v>
      </c>
      <c r="M118">
        <v>-4.4404878539235701E-5</v>
      </c>
      <c r="N118">
        <v>5.0586944526213278E-5</v>
      </c>
      <c r="O118">
        <v>8.0255994365949256E-4</v>
      </c>
      <c r="P118">
        <v>-8.9515377861794642E-5</v>
      </c>
      <c r="Q118">
        <v>-3.1204046656476016E-4</v>
      </c>
      <c r="R118">
        <v>-7.1959062185435966E-4</v>
      </c>
      <c r="S118">
        <v>2.5204430809025468E-4</v>
      </c>
      <c r="T118">
        <v>-5.7028075228253666E-4</v>
      </c>
      <c r="U118">
        <v>5.9537151451542541E-3</v>
      </c>
      <c r="V118">
        <v>-1.7879257235572119E-3</v>
      </c>
      <c r="W118">
        <v>7.2232203405855531E-4</v>
      </c>
      <c r="X118">
        <v>-1.2522963704154667E-3</v>
      </c>
      <c r="Y118">
        <v>1.8811579398496099E-3</v>
      </c>
      <c r="Z118">
        <v>-2.7237152944819469E-3</v>
      </c>
      <c r="AA118">
        <v>-8.6055161282806109E-5</v>
      </c>
    </row>
    <row r="119" spans="1:27" x14ac:dyDescent="0.2">
      <c r="A119" s="5"/>
      <c r="B119">
        <v>-1.1058777826639901E-6</v>
      </c>
      <c r="C119">
        <v>-7.2987880686901402E-6</v>
      </c>
      <c r="D119">
        <v>-1.099273311079912E-5</v>
      </c>
      <c r="E119">
        <v>-7.0789588852140865E-5</v>
      </c>
      <c r="F119">
        <v>5.5117039999137663E-5</v>
      </c>
      <c r="G119">
        <v>9.2570667916823835E-5</v>
      </c>
      <c r="H119">
        <v>-1.1062122033357439E-5</v>
      </c>
      <c r="I119">
        <v>1.8151894540099007E-5</v>
      </c>
      <c r="J119">
        <v>-3.7745246491454443E-5</v>
      </c>
      <c r="K119">
        <v>-5.7191141297893763E-5</v>
      </c>
      <c r="L119">
        <v>-5.1959069044095973E-6</v>
      </c>
      <c r="M119">
        <v>2.8442673202447008E-5</v>
      </c>
      <c r="N119">
        <v>-9.0556143042310708E-5</v>
      </c>
      <c r="O119">
        <v>-4.6435268091645404E-4</v>
      </c>
      <c r="P119">
        <v>-4.2137056531961907E-6</v>
      </c>
      <c r="Q119">
        <v>1.811187873024109E-4</v>
      </c>
      <c r="R119">
        <v>2.5987882694727651E-4</v>
      </c>
      <c r="S119">
        <v>-1.5100796234128165E-4</v>
      </c>
      <c r="T119">
        <v>3.0542384333502885E-4</v>
      </c>
      <c r="U119">
        <v>-1.7879257235572119E-3</v>
      </c>
      <c r="V119">
        <v>1.9441157986433409E-3</v>
      </c>
      <c r="W119">
        <v>5.1664579809401977E-7</v>
      </c>
      <c r="X119">
        <v>8.9004426682364043E-4</v>
      </c>
      <c r="Y119">
        <v>-7.1989085298309555E-4</v>
      </c>
      <c r="Z119">
        <v>1.3188771478386016E-3</v>
      </c>
      <c r="AA119">
        <v>-6.4696380101074793E-5</v>
      </c>
    </row>
    <row r="120" spans="1:27" x14ac:dyDescent="0.2">
      <c r="A120" s="5"/>
      <c r="B120">
        <v>3.2682838285229614E-6</v>
      </c>
      <c r="C120">
        <v>-2.8058354442585577E-5</v>
      </c>
      <c r="D120">
        <v>8.1419824610969844E-6</v>
      </c>
      <c r="E120">
        <v>-2.1324921377752819E-5</v>
      </c>
      <c r="F120">
        <v>-1.8854325190292923E-5</v>
      </c>
      <c r="G120">
        <v>6.8546526245351553E-5</v>
      </c>
      <c r="H120">
        <v>-1.3926546439715754E-5</v>
      </c>
      <c r="I120">
        <v>-1.6845324531726442E-5</v>
      </c>
      <c r="J120">
        <v>-3.7559138747472947E-5</v>
      </c>
      <c r="K120">
        <v>-6.6672364825290147E-6</v>
      </c>
      <c r="L120">
        <v>-1.9562050326934856E-4</v>
      </c>
      <c r="M120">
        <v>-2.5625290271091085E-5</v>
      </c>
      <c r="N120">
        <v>1.1718358990823607E-5</v>
      </c>
      <c r="O120">
        <v>1.528895883009143E-4</v>
      </c>
      <c r="P120">
        <v>1.8313394616260817E-5</v>
      </c>
      <c r="Q120">
        <v>2.0495067574136001E-6</v>
      </c>
      <c r="R120">
        <v>-3.2607170636435757E-4</v>
      </c>
      <c r="S120">
        <v>1.3358702007097657E-4</v>
      </c>
      <c r="T120">
        <v>-8.9976613779730057E-4</v>
      </c>
      <c r="U120">
        <v>7.2232203405855433E-4</v>
      </c>
      <c r="V120">
        <v>5.1664579809352023E-7</v>
      </c>
      <c r="W120">
        <v>2.766469590519325E-3</v>
      </c>
      <c r="X120">
        <v>-5.6072171918432659E-4</v>
      </c>
      <c r="Y120">
        <v>8.8167754598967002E-4</v>
      </c>
      <c r="Z120">
        <v>2.1294628340750186E-3</v>
      </c>
      <c r="AA120">
        <v>-5.3739987588152002E-4</v>
      </c>
    </row>
    <row r="121" spans="1:27" x14ac:dyDescent="0.2">
      <c r="A121" s="5"/>
      <c r="B121">
        <v>-1.7040149710955835E-6</v>
      </c>
      <c r="C121">
        <v>1.4357157553760692E-6</v>
      </c>
      <c r="D121">
        <v>1.5606686645582467E-5</v>
      </c>
      <c r="E121">
        <v>-2.655805462935047E-5</v>
      </c>
      <c r="F121">
        <v>1.559943053439763E-5</v>
      </c>
      <c r="G121">
        <v>3.1664782673824867E-5</v>
      </c>
      <c r="H121">
        <v>3.3148955275452737E-5</v>
      </c>
      <c r="I121">
        <v>-4.6345124855463266E-5</v>
      </c>
      <c r="J121">
        <v>5.4244995411231121E-5</v>
      </c>
      <c r="K121">
        <v>-5.3321517624701368E-5</v>
      </c>
      <c r="L121">
        <v>-3.2813179464260086E-4</v>
      </c>
      <c r="M121">
        <v>-2.5608801156114946E-5</v>
      </c>
      <c r="N121">
        <v>-3.2804949623437696E-4</v>
      </c>
      <c r="O121">
        <v>3.6210784158583425E-5</v>
      </c>
      <c r="P121">
        <v>-5.4378425350703356E-5</v>
      </c>
      <c r="Q121">
        <v>5.0698246834944311E-4</v>
      </c>
      <c r="R121">
        <v>9.7002507920232949E-4</v>
      </c>
      <c r="S121">
        <v>-4.8938714142308178E-4</v>
      </c>
      <c r="T121">
        <v>-1.3591697272756777E-3</v>
      </c>
      <c r="U121">
        <v>-1.2522963704154587E-3</v>
      </c>
      <c r="V121">
        <v>8.9004426682363609E-4</v>
      </c>
      <c r="W121">
        <v>-5.6072171918432627E-4</v>
      </c>
      <c r="X121">
        <v>6.7424638448214972E-3</v>
      </c>
      <c r="Y121">
        <v>-1.5941853668004562E-3</v>
      </c>
      <c r="Z121">
        <v>-1.818311702384622E-3</v>
      </c>
      <c r="AA121">
        <v>8.4785236954142907E-5</v>
      </c>
    </row>
    <row r="122" spans="1:27" x14ac:dyDescent="0.2">
      <c r="A122" s="5"/>
      <c r="B122">
        <v>4.8691542493704806E-6</v>
      </c>
      <c r="C122">
        <v>-4.7300460896542825E-5</v>
      </c>
      <c r="D122">
        <v>4.9746941839389575E-5</v>
      </c>
      <c r="E122">
        <v>8.1136023284348012E-6</v>
      </c>
      <c r="F122">
        <v>-1.2080656714579785E-5</v>
      </c>
      <c r="G122">
        <v>-2.944198614982629E-5</v>
      </c>
      <c r="H122">
        <v>-1.8051391754937935E-5</v>
      </c>
      <c r="I122">
        <v>-9.1296989861666783E-5</v>
      </c>
      <c r="J122">
        <v>-3.3125636155480865E-5</v>
      </c>
      <c r="K122">
        <v>-9.754406338844464E-5</v>
      </c>
      <c r="L122">
        <v>7.3267073062514702E-6</v>
      </c>
      <c r="M122">
        <v>-7.6009149930197113E-6</v>
      </c>
      <c r="N122">
        <v>1.7162093862965641E-4</v>
      </c>
      <c r="O122">
        <v>1.0105942061571691E-5</v>
      </c>
      <c r="P122">
        <v>-3.8817423033603852E-5</v>
      </c>
      <c r="Q122">
        <v>-1.9116273915140028E-4</v>
      </c>
      <c r="R122">
        <v>-2.451227672971592E-4</v>
      </c>
      <c r="S122">
        <v>6.6557688802404159E-5</v>
      </c>
      <c r="T122">
        <v>-4.0154448659481895E-4</v>
      </c>
      <c r="U122">
        <v>1.8811579398496099E-3</v>
      </c>
      <c r="V122">
        <v>-7.1989085298309675E-4</v>
      </c>
      <c r="W122">
        <v>8.8167754598967077E-4</v>
      </c>
      <c r="X122">
        <v>-1.5941853668004675E-3</v>
      </c>
      <c r="Y122">
        <v>5.2325986363134236E-3</v>
      </c>
      <c r="Z122">
        <v>-1.3730390563289866E-3</v>
      </c>
      <c r="AA122">
        <v>-1.6581388950344609E-4</v>
      </c>
    </row>
    <row r="123" spans="1:27" x14ac:dyDescent="0.2">
      <c r="A123" s="5"/>
      <c r="B123">
        <v>1.9892170330490765E-6</v>
      </c>
      <c r="C123">
        <v>-1.9124522157953203E-5</v>
      </c>
      <c r="D123">
        <v>-2.8729648075114551E-5</v>
      </c>
      <c r="E123">
        <v>-1.2994850238630398E-4</v>
      </c>
      <c r="F123">
        <v>5.8705531498846699E-5</v>
      </c>
      <c r="G123">
        <v>2.395771441658863E-4</v>
      </c>
      <c r="H123">
        <v>-1.0045141766527722E-4</v>
      </c>
      <c r="I123">
        <v>8.7672518658107954E-5</v>
      </c>
      <c r="J123">
        <v>-1.0754342706088929E-4</v>
      </c>
      <c r="K123">
        <v>1.0039963653379805E-5</v>
      </c>
      <c r="L123">
        <v>-1.4118038932639618E-4</v>
      </c>
      <c r="M123">
        <v>-7.9435619722062988E-5</v>
      </c>
      <c r="N123">
        <v>2.8087611407679087E-4</v>
      </c>
      <c r="O123">
        <v>-6.116599252920567E-4</v>
      </c>
      <c r="P123">
        <v>2.6279061996374408E-4</v>
      </c>
      <c r="Q123">
        <v>-2.3743320360270089E-4</v>
      </c>
      <c r="R123">
        <v>-1.5428247624858188E-4</v>
      </c>
      <c r="S123">
        <v>9.7996794625513693E-5</v>
      </c>
      <c r="T123">
        <v>-1.9754447401112546E-3</v>
      </c>
      <c r="U123">
        <v>-2.7237152944819603E-3</v>
      </c>
      <c r="V123">
        <v>1.3188771478386077E-3</v>
      </c>
      <c r="W123">
        <v>2.1294628340750186E-3</v>
      </c>
      <c r="X123">
        <v>-1.8183117023846051E-3</v>
      </c>
      <c r="Y123">
        <v>-1.3730390563289926E-3</v>
      </c>
      <c r="Z123">
        <v>1.5175791214924562E-2</v>
      </c>
      <c r="AA123">
        <v>-1.2563495205092777E-3</v>
      </c>
    </row>
    <row r="124" spans="1:27" x14ac:dyDescent="0.2">
      <c r="A124" s="5"/>
      <c r="B124">
        <v>-8.1185588445095194E-7</v>
      </c>
      <c r="C124">
        <v>4.1921012810182374E-6</v>
      </c>
      <c r="D124">
        <v>-5.7332445979982422E-6</v>
      </c>
      <c r="E124">
        <v>1.4182530938468142E-5</v>
      </c>
      <c r="F124">
        <v>-3.3726926860774038E-6</v>
      </c>
      <c r="G124">
        <v>-5.0009216880782808E-6</v>
      </c>
      <c r="H124">
        <v>1.2553783448132828E-5</v>
      </c>
      <c r="I124">
        <v>1.1334256828930895E-5</v>
      </c>
      <c r="J124">
        <v>1.7978506953153687E-5</v>
      </c>
      <c r="K124">
        <v>4.4778242734215691E-6</v>
      </c>
      <c r="L124">
        <v>4.0484207742593196E-5</v>
      </c>
      <c r="M124">
        <v>1.6798814339363158E-5</v>
      </c>
      <c r="N124">
        <v>-1.1059695452226888E-4</v>
      </c>
      <c r="O124">
        <v>-8.0781009630249124E-5</v>
      </c>
      <c r="P124">
        <v>-2.6503624499313549E-5</v>
      </c>
      <c r="Q124">
        <v>1.7328826074536853E-4</v>
      </c>
      <c r="R124">
        <v>1.2481626127900142E-4</v>
      </c>
      <c r="S124">
        <v>-3.0083543738616337E-4</v>
      </c>
      <c r="T124">
        <v>2.6385133716351711E-4</v>
      </c>
      <c r="U124">
        <v>-8.6055161282802843E-5</v>
      </c>
      <c r="V124">
        <v>-6.469638010107627E-5</v>
      </c>
      <c r="W124">
        <v>-5.3739987588152045E-4</v>
      </c>
      <c r="X124">
        <v>8.4785236954143897E-5</v>
      </c>
      <c r="Y124">
        <v>-1.6581388950344495E-4</v>
      </c>
      <c r="Z124">
        <v>-1.2563495205092856E-3</v>
      </c>
      <c r="AA124">
        <v>1.0331872626925887E-3</v>
      </c>
    </row>
    <row r="125" spans="1:27" x14ac:dyDescent="0.2">
      <c r="A125" s="5"/>
    </row>
    <row r="126" spans="1:27" x14ac:dyDescent="0.2">
      <c r="A126" s="45" t="s">
        <v>1327</v>
      </c>
      <c r="B126">
        <f t="array" ref="B126:AA126">MMULT(B70:AA70,B99:AA124)</f>
        <v>-2.2244229156890799E-5</v>
      </c>
      <c r="C126">
        <v>5.7887344773260963E-5</v>
      </c>
      <c r="D126">
        <v>4.8854347556253708E-4</v>
      </c>
      <c r="E126">
        <v>1.0396697175427841E-3</v>
      </c>
      <c r="F126">
        <v>-3.2817991553835341E-4</v>
      </c>
      <c r="G126">
        <v>-1.8166642460915501E-3</v>
      </c>
      <c r="H126">
        <v>5.529664812516271E-4</v>
      </c>
      <c r="I126">
        <v>-7.3444973305890012E-4</v>
      </c>
      <c r="J126">
        <v>4.1663959474407274E-4</v>
      </c>
      <c r="K126">
        <v>-1.0181722811863083E-4</v>
      </c>
      <c r="L126">
        <v>-2.1777247883239753E-4</v>
      </c>
      <c r="M126">
        <v>1.178989375832717E-3</v>
      </c>
      <c r="N126">
        <v>-1.1656696475682393E-3</v>
      </c>
      <c r="O126">
        <v>-1.5206099556087363E-3</v>
      </c>
      <c r="P126">
        <v>-5.824205463161355E-4</v>
      </c>
      <c r="Q126">
        <v>-2.9358507340122939E-3</v>
      </c>
      <c r="R126">
        <v>4.7947650347898024E-3</v>
      </c>
      <c r="S126">
        <v>-1.3589867146349983E-3</v>
      </c>
      <c r="T126">
        <v>1.2068489840133496E-2</v>
      </c>
      <c r="U126">
        <v>2.0924299442778706E-2</v>
      </c>
      <c r="V126">
        <v>-1.378910124818958E-2</v>
      </c>
      <c r="W126">
        <v>-1.1295924849062592E-2</v>
      </c>
      <c r="X126">
        <v>-1.0589731015281526E-3</v>
      </c>
      <c r="Y126">
        <v>2.9156843187254745E-2</v>
      </c>
      <c r="Z126">
        <v>-6.1674207150928945E-2</v>
      </c>
      <c r="AA126">
        <v>1.571386885335704E-2</v>
      </c>
    </row>
    <row r="127" spans="1:27" x14ac:dyDescent="0.2">
      <c r="A127" s="5"/>
    </row>
    <row r="128" spans="1:27" x14ac:dyDescent="0.2">
      <c r="A128" s="45" t="s">
        <v>345</v>
      </c>
      <c r="B128" s="5">
        <f t="array" ref="B128">Notes!C7^2-MMULT('Data_Matrix (2017)'!B126:AA126,TRANSPOSE('Data_Matrix (2017)'!B70:AA70))</f>
        <v>-1.4834306854570434E-2</v>
      </c>
    </row>
  </sheetData>
  <mergeCells count="2">
    <mergeCell ref="A72:A73"/>
    <mergeCell ref="A99:A100"/>
  </mergeCells>
  <conditionalFormatting sqref="A1:AA1">
    <cfRule type="colorScale" priority="9">
      <colorScale>
        <cfvo type="min"/>
        <cfvo type="max"/>
        <color rgb="FFFFEF9C"/>
        <color rgb="FF63BE7B"/>
      </colorScale>
    </cfRule>
    <cfRule type="cellIs" dxfId="13" priority="10" operator="equal">
      <formula>#DIV/0!</formula>
    </cfRule>
  </conditionalFormatting>
  <conditionalFormatting sqref="A2:A66">
    <cfRule type="colorScale" priority="58">
      <colorScale>
        <cfvo type="min"/>
        <cfvo type="max"/>
        <color rgb="FFFFEF9C"/>
        <color rgb="FF63BE7B"/>
      </colorScale>
    </cfRule>
    <cfRule type="cellIs" dxfId="12" priority="59" operator="equal">
      <formula>#DIV/0!</formula>
    </cfRule>
  </conditionalFormatting>
  <conditionalFormatting sqref="B2:AA66">
    <cfRule type="colorScale" priority="60">
      <colorScale>
        <cfvo type="min"/>
        <cfvo type="percentile" val="50"/>
        <cfvo type="max"/>
        <color rgb="FFF8696B"/>
        <color rgb="FFFFEB84"/>
        <color rgb="FF63BE7B"/>
      </colorScale>
    </cfRule>
  </conditionalFormatting>
  <conditionalFormatting sqref="B68:AA68">
    <cfRule type="colorScale" priority="5">
      <colorScale>
        <cfvo type="min"/>
        <cfvo type="percentile" val="50"/>
        <cfvo type="max"/>
        <color rgb="FFF8696B"/>
        <color rgb="FFFFEB84"/>
        <color rgb="FF63BE7B"/>
      </colorScale>
    </cfRule>
  </conditionalFormatting>
  <conditionalFormatting sqref="B70:AA70">
    <cfRule type="colorScale" priority="4">
      <colorScale>
        <cfvo type="min"/>
        <cfvo type="percentile" val="50"/>
        <cfvo type="max"/>
        <color rgb="FFF8696B"/>
        <color rgb="FFFFEB84"/>
        <color rgb="FF63BE7B"/>
      </colorScale>
    </cfRule>
  </conditionalFormatting>
  <conditionalFormatting sqref="B72:AA97">
    <cfRule type="colorScale" priority="3">
      <colorScale>
        <cfvo type="min"/>
        <cfvo type="percentile" val="50"/>
        <cfvo type="max"/>
        <color rgb="FFF8696B"/>
        <color rgb="FFFFEB84"/>
        <color rgb="FF63BE7B"/>
      </colorScale>
    </cfRule>
  </conditionalFormatting>
  <conditionalFormatting sqref="B99:AA124">
    <cfRule type="colorScale" priority="2">
      <colorScale>
        <cfvo type="min"/>
        <cfvo type="percentile" val="50"/>
        <cfvo type="max"/>
        <color rgb="FFF8696B"/>
        <color rgb="FFFFEB84"/>
        <color rgb="FF63BE7B"/>
      </colorScale>
    </cfRule>
  </conditionalFormatting>
  <conditionalFormatting sqref="B126:AA126">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A68"/>
  <sheetViews>
    <sheetView zoomScale="70" zoomScaleNormal="70"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9.1640625" defaultRowHeight="15" x14ac:dyDescent="0.2"/>
  <cols>
    <col min="1" max="1" width="21.5" style="1" customWidth="1"/>
    <col min="2" max="3" width="15.33203125" style="1" bestFit="1" customWidth="1"/>
    <col min="4" max="11" width="13.83203125" style="1" bestFit="1" customWidth="1"/>
    <col min="12" max="21" width="12.6640625" style="1" bestFit="1" customWidth="1"/>
    <col min="22" max="22" width="11" style="1" bestFit="1" customWidth="1"/>
    <col min="23" max="24" width="12.6640625" style="1" bestFit="1" customWidth="1"/>
    <col min="25" max="27" width="11" style="1" bestFit="1" customWidth="1"/>
    <col min="28" max="16384" width="9.1640625" style="1"/>
  </cols>
  <sheetData>
    <row r="1" spans="1:27" ht="100" x14ac:dyDescent="0.2">
      <c r="A1" s="40" t="s">
        <v>0</v>
      </c>
      <c r="B1" s="3" t="s">
        <v>254</v>
      </c>
      <c r="C1" s="3" t="s">
        <v>255</v>
      </c>
      <c r="D1" s="3" t="s">
        <v>256</v>
      </c>
      <c r="E1" s="3" t="s">
        <v>257</v>
      </c>
      <c r="F1" s="3" t="s">
        <v>258</v>
      </c>
      <c r="G1" s="3" t="s">
        <v>259</v>
      </c>
      <c r="H1" s="3" t="s">
        <v>260</v>
      </c>
      <c r="I1" s="3" t="s">
        <v>261</v>
      </c>
      <c r="J1" s="3" t="s">
        <v>262</v>
      </c>
      <c r="K1" s="3" t="s">
        <v>263</v>
      </c>
      <c r="L1" s="3" t="s">
        <v>264</v>
      </c>
      <c r="M1" s="3" t="s">
        <v>265</v>
      </c>
      <c r="N1" s="3" t="s">
        <v>266</v>
      </c>
      <c r="O1" s="3" t="s">
        <v>267</v>
      </c>
      <c r="P1" s="3" t="s">
        <v>268</v>
      </c>
      <c r="Q1" s="3" t="s">
        <v>269</v>
      </c>
      <c r="R1" s="3" t="s">
        <v>270</v>
      </c>
      <c r="S1" s="3" t="s">
        <v>271</v>
      </c>
      <c r="T1" s="3" t="s">
        <v>272</v>
      </c>
      <c r="U1" s="3" t="s">
        <v>273</v>
      </c>
      <c r="V1" s="3" t="s">
        <v>274</v>
      </c>
      <c r="W1" s="3" t="s">
        <v>275</v>
      </c>
      <c r="X1" s="3" t="s">
        <v>276</v>
      </c>
      <c r="Y1" s="3" t="s">
        <v>277</v>
      </c>
      <c r="Z1" s="3" t="s">
        <v>278</v>
      </c>
      <c r="AA1" s="3" t="s">
        <v>279</v>
      </c>
    </row>
    <row r="2" spans="1:27" x14ac:dyDescent="0.2">
      <c r="A2" s="1" t="s">
        <v>4</v>
      </c>
      <c r="B2" s="1">
        <f>Notes!$C$6*VLOOKUP(A2,[208]geoMap!$A:$B,2,0)</f>
        <v>100000</v>
      </c>
      <c r="C2" s="1">
        <f>B2/VLOOKUP(A2,'[209]geoMap (1)'!$A:$B,2,0)*VLOOKUP(A2,'[209]geoMap (1)'!$A:$C,3,0)</f>
        <v>108333.33333333334</v>
      </c>
      <c r="D2" s="1">
        <f>C2/VLOOKUP(A2,'[210]geoMap (2)'!$A:$B,2,0)*VLOOKUP(A2,'[210]geoMap (2)'!$A:$C,3,0)</f>
        <v>78448.275862068971</v>
      </c>
      <c r="E2" s="1">
        <f>D2/VLOOKUP(A2,'[211]geoMap (3)'!$A:$B,2,0)*VLOOKUP(A2,'[211]geoMap (3)'!$A:$C,3,0)</f>
        <v>20853.339153208206</v>
      </c>
      <c r="F2" s="1">
        <f>E2/VLOOKUP(A2,'[212]geoMap (4)'!$A:$B,2,0)*VLOOKUP(A2,'[212]geoMap (4)'!$A:$C,3,0)</f>
        <v>24480.006832027026</v>
      </c>
      <c r="G2" s="1">
        <f>F2/VLOOKUP(A2,'[213]geoMap (5)'!$A:$B,2,0)*VLOOKUP(A2,'[213]geoMap (5)'!$A:$C,3,0)</f>
        <v>43520.012145825829</v>
      </c>
      <c r="H2" s="1">
        <f>G2/VLOOKUP(A2,'[214]geoMap (6)'!$A:$B,2,0)*VLOOKUP(A2,'[214]geoMap (6)'!$A:$C,3,0)</f>
        <v>30242.720304726423</v>
      </c>
      <c r="I2" s="1">
        <f>H2/VLOOKUP(A2,'[215]geoMap (7)'!$A:$B,2,0)*VLOOKUP(A2,'[215]geoMap (7)'!$A:$C,3,0)</f>
        <v>21899.900910319135</v>
      </c>
      <c r="J2" s="1">
        <f>I2/VLOOKUP(A2,'[216]geoMap (8)'!$A:$B,2,0)*VLOOKUP(A2,'[216]geoMap (8)'!$A:$C,3,0)</f>
        <v>12318.694262054514</v>
      </c>
      <c r="K2" s="1">
        <f>J2/VLOOKUP(A2,'[217]geoMap (9)'!$A:$B,2,0)*VLOOKUP(A2,'[217]geoMap (9)'!$A:$C,3,0)</f>
        <v>15678.338151705746</v>
      </c>
      <c r="L2" s="1">
        <f>K2/VLOOKUP(A2,'[218]geoMap (10)'!$A:$B,2,0)*VLOOKUP(A2,'[218]geoMap (10)'!$A:$C,3,0)</f>
        <v>2766.7655561833667</v>
      </c>
      <c r="M2" s="1">
        <f>L2/VLOOKUP(A2,'[219]geoMap (11)'!$A:$B,2,0)*VLOOKUP(A2,'[219]geoMap (11)'!$A:$C,3,0)</f>
        <v>4710.9791902581646</v>
      </c>
      <c r="N2" s="1">
        <f>M2/VLOOKUP(A2,'[220]geoMap (12)'!$A:$B,2,0)*VLOOKUP(A2,'[220]geoMap (12)'!$A:$C,3,0)</f>
        <v>9144.8419575599673</v>
      </c>
      <c r="O2" s="1">
        <f>N2/VLOOKUP(A2,'[221]geoMap (13)'!$A:$B,2,0)*VLOOKUP(A2,'[221]geoMap (13)'!$A:$C,3,0)</f>
        <v>5846.7022351612904</v>
      </c>
      <c r="P2" s="1">
        <f>O2/VLOOKUP(A2,'[222]geoMap (14)'!$A:$B,2,0)*VLOOKUP(A2,'[222]geoMap (14)'!$A:$C,3,0)</f>
        <v>797.27757752199409</v>
      </c>
      <c r="Q2" s="1">
        <f>P2/VLOOKUP(A2,'[223]geoMap (15)'!$A:$B,2,0)*VLOOKUP(A2,'[223]geoMap (15)'!$A:$C,3,0)</f>
        <v>5335.6268649548829</v>
      </c>
      <c r="R2" s="1">
        <f>Q2/VLOOKUP(A2,'[224]geoMap (16)'!$A:$B,2,0)*VLOOKUP(A2,'[224]geoMap (16)'!$A:$C,3,0)</f>
        <v>5126.3865957409662</v>
      </c>
      <c r="S2" s="1">
        <f>R2/VLOOKUP(A2,'[225]geoMap (17)'!$A:$B,2,0)*VLOOKUP(A2,'[225]geoMap (17)'!$A:$C,3,0)</f>
        <v>1618.8589249708314</v>
      </c>
      <c r="T2" s="1">
        <f>S2/VLOOKUP(A2,'[226]geoMap (18)'!$A:$B,2,0)*VLOOKUP(A2,'[226]geoMap (18)'!$A:$C,3,0)</f>
        <v>1978.6053527421273</v>
      </c>
      <c r="U2" s="1">
        <f>T2/VLOOKUP(A2,'[227]geoMap (19)'!$A:$B,2,0)*VLOOKUP(A2,'[227]geoMap (19)'!$A:$C,3,0)</f>
        <v>1319.0702351614182</v>
      </c>
      <c r="V2" s="1">
        <f>U2/VLOOKUP(A2,'[228]geoMap (20)'!$A:$B,2,0)*VLOOKUP(A2,'[228]geoMap (20)'!$A:$C,3,0)</f>
        <v>114.70175957925376</v>
      </c>
      <c r="W2" s="1">
        <f>V2/VLOOKUP(A2,'[229]geoMap (21)'!$A:$B,2,0)*VLOOKUP(A2,'[229]geoMap (21)'!$A:$C,3,0)</f>
        <v>1523.894805838657</v>
      </c>
      <c r="X2" s="1">
        <f>W2/VLOOKUP(A2,'[230]geoMap (22)'!$A:$B,2,0)*VLOOKUP(A2,'[230]geoMap (22)'!$A:$C,3,0)</f>
        <v>1149.6048535274081</v>
      </c>
      <c r="Y2" s="1">
        <f>X2/VLOOKUP(A2,'[231]geoMap (23)'!$A:$B,2,0)*VLOOKUP(A2,'[231]geoMap (23)'!$A:$C,3,0)</f>
        <v>766.40323568493886</v>
      </c>
      <c r="Z2" s="1">
        <f>Y2/VLOOKUP(A2,'[232]geoMap (24)'!$A:$B,2,0)*VLOOKUP(A2,'[232]geoMap (24)'!$A:$C,3,0)</f>
        <v>975.42229996264962</v>
      </c>
      <c r="AA2" s="1">
        <f>Z2/VLOOKUP(A2,'[233]geoMap (25)'!$A:$B,2,0)*VLOOKUP(A2,'[233]geoMap (25)'!$A:$C,3,0)</f>
        <v>706.34028617984973</v>
      </c>
    </row>
    <row r="3" spans="1:27" x14ac:dyDescent="0.2">
      <c r="A3" s="1" t="s">
        <v>8</v>
      </c>
      <c r="B3" s="1">
        <v>17000</v>
      </c>
      <c r="C3" s="1" t="e">
        <f>B3/VLOOKUP(A3,'[209]geoMap (1)'!$A:$B,2,0)*VLOOKUP(A3,'[209]geoMap (1)'!$A:$C,3,0)</f>
        <v>#DIV/0!</v>
      </c>
      <c r="D3" s="1" t="e">
        <f>C3/VLOOKUP(A3,'[210]geoMap (2)'!$A:$B,2,0)*VLOOKUP(A3,'[210]geoMap (2)'!$A:$C,3,0)</f>
        <v>#DIV/0!</v>
      </c>
      <c r="E3" s="1" t="e">
        <f>D3/VLOOKUP(A3,'[211]geoMap (3)'!$A:$B,2,0)*VLOOKUP(A3,'[211]geoMap (3)'!$A:$C,3,0)</f>
        <v>#DIV/0!</v>
      </c>
      <c r="F3" s="1" t="e">
        <f>E3/VLOOKUP(A3,'[212]geoMap (4)'!$A:$B,2,0)*VLOOKUP(A3,'[212]geoMap (4)'!$A:$C,3,0)</f>
        <v>#DIV/0!</v>
      </c>
      <c r="G3" s="1" t="e">
        <f>F3/VLOOKUP(A3,'[213]geoMap (5)'!$A:$B,2,0)*VLOOKUP(A3,'[213]geoMap (5)'!$A:$C,3,0)</f>
        <v>#DIV/0!</v>
      </c>
      <c r="H3" s="1" t="e">
        <f>G3/VLOOKUP(A3,'[214]geoMap (6)'!$A:$B,2,0)*VLOOKUP(A3,'[214]geoMap (6)'!$A:$C,3,0)</f>
        <v>#DIV/0!</v>
      </c>
      <c r="I3" s="1" t="e">
        <f>H3/VLOOKUP(A3,'[215]geoMap (7)'!$A:$B,2,0)*VLOOKUP(A3,'[215]geoMap (7)'!$A:$C,3,0)</f>
        <v>#DIV/0!</v>
      </c>
      <c r="J3" s="1" t="e">
        <f>I3/VLOOKUP(A3,'[216]geoMap (8)'!$A:$B,2,0)*VLOOKUP(A3,'[216]geoMap (8)'!$A:$C,3,0)</f>
        <v>#DIV/0!</v>
      </c>
      <c r="K3" s="1" t="e">
        <f>J3/VLOOKUP(A3,'[217]geoMap (9)'!$A:$B,2,0)*VLOOKUP(A3,'[217]geoMap (9)'!$A:$C,3,0)</f>
        <v>#DIV/0!</v>
      </c>
      <c r="L3" s="1" t="e">
        <f>K3/VLOOKUP(A3,'[218]geoMap (10)'!$A:$B,2,0)*VLOOKUP(A3,'[218]geoMap (10)'!$A:$C,3,0)</f>
        <v>#DIV/0!</v>
      </c>
      <c r="M3" s="1" t="e">
        <f>L3/VLOOKUP(A3,'[219]geoMap (11)'!$A:$B,2,0)*VLOOKUP(A3,'[219]geoMap (11)'!$A:$C,3,0)</f>
        <v>#DIV/0!</v>
      </c>
      <c r="N3" s="1" t="e">
        <f>M3/VLOOKUP(A3,'[220]geoMap (12)'!$A:$B,2,0)*VLOOKUP(A3,'[220]geoMap (12)'!$A:$C,3,0)</f>
        <v>#DIV/0!</v>
      </c>
      <c r="O3" s="1" t="e">
        <f>N3/VLOOKUP(A3,'[221]geoMap (13)'!$A:$B,2,0)*VLOOKUP(A3,'[221]geoMap (13)'!$A:$C,3,0)</f>
        <v>#DIV/0!</v>
      </c>
      <c r="P3" s="1" t="e">
        <f>O3/VLOOKUP(A3,'[222]geoMap (14)'!$A:$B,2,0)*VLOOKUP(A3,'[222]geoMap (14)'!$A:$C,3,0)</f>
        <v>#DIV/0!</v>
      </c>
      <c r="Q3" s="1" t="e">
        <f>P3/VLOOKUP(A3,'[223]geoMap (15)'!$A:$B,2,0)*VLOOKUP(A3,'[223]geoMap (15)'!$A:$C,3,0)</f>
        <v>#DIV/0!</v>
      </c>
      <c r="R3" s="1" t="e">
        <f>Q3/VLOOKUP(A3,'[224]geoMap (16)'!$A:$B,2,0)*VLOOKUP(A3,'[224]geoMap (16)'!$A:$C,3,0)</f>
        <v>#DIV/0!</v>
      </c>
      <c r="S3" s="1" t="e">
        <f>R3/VLOOKUP(A3,'[225]geoMap (17)'!$A:$B,2,0)*VLOOKUP(A3,'[225]geoMap (17)'!$A:$C,3,0)</f>
        <v>#DIV/0!</v>
      </c>
      <c r="T3" s="1" t="e">
        <f>S3/VLOOKUP(A3,'[226]geoMap (18)'!$A:$B,2,0)*VLOOKUP(A3,'[226]geoMap (18)'!$A:$C,3,0)</f>
        <v>#DIV/0!</v>
      </c>
      <c r="U3" s="1" t="e">
        <f>T3/VLOOKUP(A3,'[227]geoMap (19)'!$A:$B,2,0)*VLOOKUP(A3,'[227]geoMap (19)'!$A:$C,3,0)</f>
        <v>#DIV/0!</v>
      </c>
      <c r="V3" s="1" t="e">
        <f>U3/VLOOKUP(A3,'[228]geoMap (20)'!$A:$B,2,0)*VLOOKUP(A3,'[228]geoMap (20)'!$A:$C,3,0)</f>
        <v>#DIV/0!</v>
      </c>
      <c r="W3" s="1" t="e">
        <f>V3/VLOOKUP(A3,'[229]geoMap (21)'!$A:$B,2,0)*VLOOKUP(A3,'[229]geoMap (21)'!$A:$C,3,0)</f>
        <v>#DIV/0!</v>
      </c>
      <c r="X3" s="1" t="e">
        <f>W3/VLOOKUP(A3,'[230]geoMap (22)'!$A:$B,2,0)*VLOOKUP(A3,'[230]geoMap (22)'!$A:$C,3,0)</f>
        <v>#DIV/0!</v>
      </c>
      <c r="Y3" s="1" t="e">
        <f>X3/VLOOKUP(A3,'[231]geoMap (23)'!$A:$B,2,0)*VLOOKUP(A3,'[231]geoMap (23)'!$A:$C,3,0)</f>
        <v>#DIV/0!</v>
      </c>
      <c r="Z3" s="1" t="e">
        <f>Y3/VLOOKUP(A3,'[232]geoMap (24)'!$A:$B,2,0)*VLOOKUP(A3,'[232]geoMap (24)'!$A:$C,3,0)</f>
        <v>#DIV/0!</v>
      </c>
      <c r="AA3" s="1" t="e">
        <f>Z3/VLOOKUP(A3,'[233]geoMap (25)'!$A:$B,2,0)*VLOOKUP(A3,'[233]geoMap (25)'!$A:$C,3,0)</f>
        <v>#DIV/0!</v>
      </c>
    </row>
    <row r="4" spans="1:27" x14ac:dyDescent="0.2">
      <c r="A4" s="1" t="s">
        <v>7</v>
      </c>
      <c r="B4" s="1">
        <f>Notes!$C$6*VLOOKUP(A4,[208]geoMap!$A:$B,2,0)</f>
        <v>31000</v>
      </c>
      <c r="C4" s="1">
        <f>B4/VLOOKUP(A4,'[209]geoMap (1)'!$A:$B,2,0)*VLOOKUP(A4,'[209]geoMap (1)'!$A:$C,3,0)</f>
        <v>1291.6666666666667</v>
      </c>
      <c r="D4" s="1">
        <f>C4/VLOOKUP(A4,'[210]geoMap (2)'!$A:$B,2,0)*VLOOKUP(A4,'[210]geoMap (2)'!$A:$C,3,0)</f>
        <v>3321.4285714285711</v>
      </c>
      <c r="E4" s="1">
        <f>D4/VLOOKUP(A4,'[211]geoMap (3)'!$A:$B,2,0)*VLOOKUP(A4,'[211]geoMap (3)'!$A:$C,3,0)</f>
        <v>2214.2857142857142</v>
      </c>
      <c r="F4" s="1">
        <f>E4/VLOOKUP(A4,'[212]geoMap (4)'!$A:$B,2,0)*VLOOKUP(A4,'[212]geoMap (4)'!$A:$C,3,0)</f>
        <v>2818.1818181818185</v>
      </c>
      <c r="G4" s="1">
        <f>F4/VLOOKUP(A4,'[213]geoMap (5)'!$A:$B,2,0)*VLOOKUP(A4,'[213]geoMap (5)'!$A:$C,3,0)</f>
        <v>1585.2272727272727</v>
      </c>
      <c r="H4" s="1">
        <f>G4/VLOOKUP(A4,'[214]geoMap (6)'!$A:$B,2,0)*VLOOKUP(A4,'[214]geoMap (6)'!$A:$C,3,0)</f>
        <v>2281.1807095343679</v>
      </c>
      <c r="I4" s="1">
        <f>H4/VLOOKUP(A4,'[215]geoMap (7)'!$A:$B,2,0)*VLOOKUP(A4,'[215]geoMap (7)'!$A:$C,3,0)</f>
        <v>225.61127896493747</v>
      </c>
      <c r="J4" s="1">
        <f>I4/VLOOKUP(A4,'[216]geoMap (8)'!$A:$B,2,0)*VLOOKUP(A4,'[216]geoMap (8)'!$A:$C,3,0)</f>
        <v>526.42631758485413</v>
      </c>
      <c r="K4" s="1">
        <f>J4/VLOOKUP(A4,'[217]geoMap (9)'!$A:$B,2,0)*VLOOKUP(A4,'[217]geoMap (9)'!$A:$C,3,0)</f>
        <v>823.38475314554103</v>
      </c>
      <c r="L4" s="1">
        <f>K4/VLOOKUP(A4,'[218]geoMap (10)'!$A:$B,2,0)*VLOOKUP(A4,'[218]geoMap (10)'!$A:$C,3,0)</f>
        <v>424.1679031355817</v>
      </c>
      <c r="M4" s="1">
        <f>L4/VLOOKUP(A4,'[219]geoMap (11)'!$A:$B,2,0)*VLOOKUP(A4,'[219]geoMap (11)'!$A:$C,3,0)</f>
        <v>271.18931511947028</v>
      </c>
      <c r="N4" s="1">
        <f>M4/VLOOKUP(A4,'[220]geoMap (12)'!$A:$B,2,0)*VLOOKUP(A4,'[220]geoMap (12)'!$A:$C,3,0)</f>
        <v>159.26991522889523</v>
      </c>
      <c r="O4" s="1">
        <f>N4/VLOOKUP(A4,'[221]geoMap (13)'!$A:$B,2,0)*VLOOKUP(A4,'[221]geoMap (13)'!$A:$C,3,0)</f>
        <v>202.70716483677577</v>
      </c>
      <c r="P4" s="1">
        <f>O4/VLOOKUP(A4,'[222]geoMap (14)'!$A:$B,2,0)*VLOOKUP(A4,'[222]geoMap (14)'!$A:$C,3,0)</f>
        <v>119.05023966604291</v>
      </c>
      <c r="Q4" s="1">
        <f>P4/VLOOKUP(A4,'[223]geoMap (15)'!$A:$B,2,0)*VLOOKUP(A4,'[223]geoMap (15)'!$A:$C,3,0)</f>
        <v>157.81078281312662</v>
      </c>
      <c r="R4" s="1">
        <f>Q4/VLOOKUP(A4,'[224]geoMap (16)'!$A:$B,2,0)*VLOOKUP(A4,'[224]geoMap (16)'!$A:$C,3,0)</f>
        <v>17.534531423680736</v>
      </c>
      <c r="S4" s="1">
        <f>R4/VLOOKUP(A4,'[225]geoMap (17)'!$A:$B,2,0)*VLOOKUP(A4,'[225]geoMap (17)'!$A:$C,3,0)</f>
        <v>74.752476069375774</v>
      </c>
      <c r="T4" s="1">
        <f>S4/VLOOKUP(A4,'[226]geoMap (18)'!$A:$B,2,0)*VLOOKUP(A4,'[226]geoMap (18)'!$A:$C,3,0)</f>
        <v>30.532701493125312</v>
      </c>
      <c r="U4" s="1">
        <f>T4/VLOOKUP(A4,'[227]geoMap (19)'!$A:$B,2,0)*VLOOKUP(A4,'[227]geoMap (19)'!$A:$C,3,0)</f>
        <v>28.184032147500286</v>
      </c>
      <c r="V4" s="1">
        <f>U4/47*14</f>
        <v>8.39524361840434</v>
      </c>
      <c r="W4" s="1">
        <f>V4/6*18</f>
        <v>25.18573085521302</v>
      </c>
      <c r="X4" s="1">
        <f>V4/9*39</f>
        <v>36.379389013085472</v>
      </c>
      <c r="Y4" s="1">
        <f>X4/VLOOKUP(A4,'[231]geoMap (23)'!$A:$B,2,0)*VLOOKUP(A4,'[231]geoMap (23)'!$A:$C,3,0)</f>
        <v>21.365672912447025</v>
      </c>
      <c r="Z4" s="1">
        <f>Y4/VLOOKUP(A4,'[232]geoMap (24)'!$A:$B,2,0)*VLOOKUP(A4,'[232]geoMap (24)'!$A:$C,3,0)</f>
        <v>52.309061268404783</v>
      </c>
      <c r="AA4" s="1">
        <f>Z4/VLOOKUP(A4,'[233]geoMap (25)'!$A:$B,2,0)*VLOOKUP(A4,'[233]geoMap (25)'!$A:$C,3,0)</f>
        <v>13.077265317101194</v>
      </c>
    </row>
    <row r="5" spans="1:27" x14ac:dyDescent="0.2">
      <c r="A5" s="1" t="s">
        <v>11</v>
      </c>
      <c r="B5" s="1">
        <f>Notes!$C$6*VLOOKUP(A5,[208]geoMap!$A:$B,2,0)</f>
        <v>19000</v>
      </c>
      <c r="C5" s="1">
        <f>B5/VLOOKUP(A5,'[209]geoMap (1)'!$A:$B,2,0)*VLOOKUP(A5,'[209]geoMap (1)'!$A:$C,3,0)</f>
        <v>8536.2318840579719</v>
      </c>
      <c r="D5" s="1">
        <f>C5/VLOOKUP(A5,'[210]geoMap (2)'!$A:$B,2,0)*VLOOKUP(A5,'[210]geoMap (2)'!$A:$C,3,0)</f>
        <v>12283.845881937081</v>
      </c>
      <c r="E5" s="1">
        <f>D5/VLOOKUP(A5,'[211]geoMap (3)'!$A:$B,2,0)*VLOOKUP(A5,'[211]geoMap (3)'!$A:$C,3,0)</f>
        <v>4094.6152939790268</v>
      </c>
      <c r="F5" s="1">
        <f>E5/VLOOKUP(A5,'[212]geoMap (4)'!$A:$B,2,0)*VLOOKUP(A5,'[212]geoMap (4)'!$A:$C,3,0)</f>
        <v>4806.722301627553</v>
      </c>
      <c r="G5" s="1">
        <f>F5/VLOOKUP(A5,'[213]geoMap (5)'!$A:$B,2,0)*VLOOKUP(A5,'[213]geoMap (5)'!$A:$C,3,0)</f>
        <v>7210.0834524413294</v>
      </c>
      <c r="H5" s="1">
        <f>G5/VLOOKUP(A5,'[214]geoMap (6)'!$A:$B,2,0)*VLOOKUP(A5,'[214]geoMap (6)'!$A:$C,3,0)</f>
        <v>5899.1591883610872</v>
      </c>
      <c r="I5" s="1">
        <f>H5/VLOOKUP(A5,'[215]geoMap (7)'!$A:$B,2,0)*VLOOKUP(A5,'[215]geoMap (7)'!$A:$C,3,0)</f>
        <v>1041.0280920637213</v>
      </c>
      <c r="J5" s="1">
        <f>I5/VLOOKUP(A5,'[216]geoMap (8)'!$A:$B,2,0)*VLOOKUP(A5,'[216]geoMap (8)'!$A:$C,3,0)</f>
        <v>1561.5421380955815</v>
      </c>
      <c r="K5" s="1">
        <f>J5/VLOOKUP(A5,'[217]geoMap (9)'!$A:$B,2,0)*VLOOKUP(A5,'[217]geoMap (9)'!$A:$C,3,0)</f>
        <v>2776.0749121699228</v>
      </c>
      <c r="L5" s="1">
        <f>K5/VLOOKUP(A5,'[218]geoMap (10)'!$A:$B,2,0)*VLOOKUP(A5,'[218]geoMap (10)'!$A:$C,3,0)</f>
        <v>1774.8675667971638</v>
      </c>
      <c r="M5" s="1">
        <f>L5/VLOOKUP(A5,'[219]geoMap (11)'!$A:$B,2,0)*VLOOKUP(A5,'[219]geoMap (11)'!$A:$C,3,0)</f>
        <v>1183.2450445314425</v>
      </c>
      <c r="N5" s="1">
        <f>M5/VLOOKUP(A5,'[220]geoMap (12)'!$A:$B,2,0)*VLOOKUP(A5,'[220]geoMap (12)'!$A:$C,3,0)</f>
        <v>1231.5407606347667</v>
      </c>
      <c r="O5" s="1">
        <f>N5/VLOOKUP(A5,'[221]geoMap (13)'!$A:$B,2,0)*VLOOKUP(A5,'[221]geoMap (13)'!$A:$C,3,0)</f>
        <v>1049.0902775777643</v>
      </c>
      <c r="P5" s="1">
        <f>O5/VLOOKUP(A5,'[222]geoMap (14)'!$A:$B,2,0)*VLOOKUP(A5,'[222]geoMap (14)'!$A:$C,3,0)</f>
        <v>185.13357839607605</v>
      </c>
      <c r="Q5" s="1">
        <f>P5/VLOOKUP(A5,'[223]geoMap (15)'!$A:$B,2,0)*VLOOKUP(A5,'[223]geoMap (15)'!$A:$C,3,0)</f>
        <v>903.8874709926065</v>
      </c>
      <c r="R5" s="1">
        <f>Q5/VLOOKUP(A5,'[224]geoMap (16)'!$A:$B,2,0)*VLOOKUP(A5,'[224]geoMap (16)'!$A:$C,3,0)</f>
        <v>769.97821603073885</v>
      </c>
      <c r="S5" s="1">
        <f>R5/VLOOKUP(A5,'[225]geoMap (17)'!$A:$B,2,0)*VLOOKUP(A5,'[225]geoMap (17)'!$A:$C,3,0)</f>
        <v>629.98217675242267</v>
      </c>
      <c r="T5" s="1">
        <f>S5/VLOOKUP(A5,'[226]geoMap (18)'!$A:$B,2,0)*VLOOKUP(A5,'[226]geoMap (18)'!$A:$C,3,0)</f>
        <v>386.11810833213008</v>
      </c>
      <c r="U5" s="1">
        <f>T5/VLOOKUP(A5,'[227]geoMap (19)'!$A:$B,2,0)*VLOOKUP(A5,'[227]geoMap (19)'!$A:$C,3,0)</f>
        <v>236.65303413904746</v>
      </c>
      <c r="V5" s="1">
        <f>U5/VLOOKUP(A5,'[228]geoMap (20)'!$A:$B,2,0)*VLOOKUP(A5,'[228]geoMap (20)'!$A:$C,3,0)</f>
        <v>62.907768568607551</v>
      </c>
      <c r="W5" s="1">
        <f>V5/VLOOKUP(A5,'[229]geoMap (21)'!$A:$B,2,0)*VLOOKUP(A5,'[229]geoMap (21)'!$A:$C,3,0)</f>
        <v>179.04518746449841</v>
      </c>
      <c r="X5" s="1">
        <f>W5/VLOOKUP(A5,'[230]geoMap (22)'!$A:$B,2,0)*VLOOKUP(A5,'[230]geoMap (22)'!$A:$C,3,0)</f>
        <v>88.186435616842502</v>
      </c>
      <c r="Y5" s="1">
        <f>X5/VLOOKUP(A5,'[231]geoMap (23)'!$A:$B,2,0)*VLOOKUP(A5,'[231]geoMap (23)'!$A:$C,3,0)</f>
        <v>143.88313179590091</v>
      </c>
      <c r="Z5" s="1">
        <f>Y5/VLOOKUP(A5,'[232]geoMap (24)'!$A:$B,2,0)*VLOOKUP(A5,'[232]geoMap (24)'!$A:$C,3,0)</f>
        <v>104.1912333694455</v>
      </c>
      <c r="AA5" s="1">
        <f>Z5/VLOOKUP(A5,'[233]geoMap (25)'!$A:$B,2,0)*VLOOKUP(A5,'[233]geoMap (25)'!$A:$C,3,0)</f>
        <v>108.44393677228003</v>
      </c>
    </row>
    <row r="6" spans="1:27" x14ac:dyDescent="0.2">
      <c r="A6" s="1" t="s">
        <v>16</v>
      </c>
      <c r="B6" s="1">
        <f>Notes!$C$6*VLOOKUP(A6,[208]geoMap!$A:$B,2,0)</f>
        <v>22000</v>
      </c>
      <c r="C6" s="1">
        <f>B6/VLOOKUP(A6,'[209]geoMap (1)'!$A:$B,2,0)*VLOOKUP(A6,'[209]geoMap (1)'!$A:$C,3,0)</f>
        <v>3581.3953488372099</v>
      </c>
      <c r="D6" s="1">
        <f>C6/VLOOKUP(A6,'[210]geoMap (2)'!$A:$B,2,0)*VLOOKUP(A6,'[210]geoMap (2)'!$A:$C,3,0)</f>
        <v>8356.5891472868243</v>
      </c>
      <c r="E6" s="1">
        <f>D6/VLOOKUP(A6,'[211]geoMap (3)'!$A:$B,2,0)*VLOOKUP(A6,'[211]geoMap (3)'!$A:$C,3,0)</f>
        <v>8697.6744186046526</v>
      </c>
      <c r="F6" s="1">
        <f>E6/VLOOKUP(A6,'[212]geoMap (4)'!$A:$B,2,0)*VLOOKUP(A6,'[212]geoMap (4)'!$A:$C,3,0)</f>
        <v>5560.8082348455973</v>
      </c>
      <c r="G6" s="1">
        <f>F6/VLOOKUP(A6,'[213]geoMap (5)'!$A:$B,2,0)*VLOOKUP(A6,'[213]geoMap (5)'!$A:$C,3,0)</f>
        <v>4736.9847926462489</v>
      </c>
      <c r="H6" s="1">
        <f>G6/VLOOKUP(A6,'[214]geoMap (6)'!$A:$B,2,0)*VLOOKUP(A6,'[214]geoMap (6)'!$A:$C,3,0)</f>
        <v>3573.5148435752403</v>
      </c>
      <c r="I6" s="1">
        <f>H6/VLOOKUP(A6,'[215]geoMap (7)'!$A:$B,2,0)*VLOOKUP(A6,'[215]geoMap (7)'!$A:$C,3,0)</f>
        <v>441.67037392502971</v>
      </c>
      <c r="J6" s="1">
        <f>I6/VLOOKUP(A6,'[216]geoMap (8)'!$A:$B,2,0)*VLOOKUP(A6,'[216]geoMap (8)'!$A:$C,3,0)</f>
        <v>1030.5642058250694</v>
      </c>
      <c r="K6" s="1">
        <f>J6/VLOOKUP(A6,'[217]geoMap (9)'!$A:$B,2,0)*VLOOKUP(A6,'[217]geoMap (9)'!$A:$C,3,0)</f>
        <v>1366.0967379541617</v>
      </c>
      <c r="L6" s="1">
        <f>K6/VLOOKUP(A6,'[218]geoMap (10)'!$A:$B,2,0)*VLOOKUP(A6,'[218]geoMap (10)'!$A:$C,3,0)</f>
        <v>949.3214619681462</v>
      </c>
      <c r="M6" s="1">
        <f>L6/VLOOKUP(A6,'[219]geoMap (11)'!$A:$B,2,0)*VLOOKUP(A6,'[219]geoMap (11)'!$A:$C,3,0)</f>
        <v>716.15478709877709</v>
      </c>
      <c r="N6" s="1">
        <f>M6/VLOOKUP(A6,'[220]geoMap (12)'!$A:$B,2,0)*VLOOKUP(A6,'[220]geoMap (12)'!$A:$C,3,0)</f>
        <v>635.08066025740607</v>
      </c>
      <c r="O6" s="1">
        <f>N6/VLOOKUP(A6,'[221]geoMap (13)'!$A:$B,2,0)*VLOOKUP(A6,'[221]geoMap (13)'!$A:$C,3,0)</f>
        <v>540.99463651556812</v>
      </c>
      <c r="P6" s="1">
        <f>O6/VLOOKUP(A6,'[222]geoMap (14)'!$A:$B,2,0)*VLOOKUP(A6,'[222]geoMap (14)'!$A:$C,3,0)</f>
        <v>442.63197533091937</v>
      </c>
      <c r="Q6" s="1">
        <f>P6/VLOOKUP(A6,'[223]geoMap (15)'!$A:$B,2,0)*VLOOKUP(A6,'[223]geoMap (15)'!$A:$C,3,0)</f>
        <v>282.99421373616161</v>
      </c>
      <c r="R6" s="1">
        <f>Q6/VLOOKUP(A6,'[224]geoMap (16)'!$A:$B,2,0)*VLOOKUP(A6,'[224]geoMap (16)'!$A:$C,3,0)</f>
        <v>70.748553434040403</v>
      </c>
      <c r="S6" s="1">
        <f>R6/VLOOKUP(A6,'[225]geoMap (17)'!$A:$B,2,0)*VLOOKUP(A6,'[225]geoMap (17)'!$A:$C,3,0)</f>
        <v>250.83578035705233</v>
      </c>
      <c r="T6" s="1">
        <f>S6/VLOOKUP(A6,'[226]geoMap (18)'!$A:$B,2,0)*VLOOKUP(A6,'[226]geoMap (18)'!$A:$C,3,0)</f>
        <v>294.45939433219189</v>
      </c>
      <c r="U6" s="1">
        <f>T6/VLOOKUP(A6,'[227]geoMap (19)'!$A:$B,2,0)*VLOOKUP(A6,'[227]geoMap (19)'!$A:$C,3,0)</f>
        <v>64.63742802413968</v>
      </c>
      <c r="V6" s="1">
        <f>U6/VLOOKUP(A6,'[228]geoMap (20)'!$A:$B,2,0)*VLOOKUP(A6,'[228]geoMap (20)'!$A:$C,3,0)</f>
        <v>30.417613187830433</v>
      </c>
      <c r="W6" s="1">
        <f>V6/VLOOKUP(A6,'[229]geoMap (21)'!$A:$B,2,0)*VLOOKUP(A6,'[229]geoMap (21)'!$A:$C,3,0)</f>
        <v>82.240213433763756</v>
      </c>
      <c r="X6" s="1">
        <f>W6/VLOOKUP(A6,'[230]geoMap (22)'!$A:$B,2,0)*VLOOKUP(A6,'[230]geoMap (22)'!$A:$C,3,0)</f>
        <v>134.18140086561453</v>
      </c>
      <c r="Y6" s="1">
        <f>X6/VLOOKUP(A6,'[231]geoMap (23)'!$A:$B,2,0)*VLOOKUP(A6,'[231]geoMap (23)'!$A:$C,3,0)</f>
        <v>60.28439749034856</v>
      </c>
      <c r="Z6" s="1">
        <f>Y6/VLOOKUP(A6,'[232]geoMap (24)'!$A:$B,2,0)*VLOOKUP(A6,'[232]geoMap (24)'!$A:$C,3,0)</f>
        <v>79.911875743020175</v>
      </c>
      <c r="AA6" s="1">
        <f>Z6/VLOOKUP(A6,'[233]geoMap (25)'!$A:$B,2,0)*VLOOKUP(A6,'[233]geoMap (25)'!$A:$C,3,0)</f>
        <v>76.77807669427429</v>
      </c>
    </row>
    <row r="7" spans="1:27" x14ac:dyDescent="0.2">
      <c r="A7" s="1" t="s">
        <v>18</v>
      </c>
      <c r="B7" s="1">
        <f>Notes!$C$6*VLOOKUP(A7,[208]geoMap!$A:$B,2,0)</f>
        <v>16000</v>
      </c>
      <c r="C7" s="1">
        <f>B7/VLOOKUP(A7,'[209]geoMap (1)'!$A:$B,2,0)*VLOOKUP(A7,'[209]geoMap (1)'!$A:$C,3,0)</f>
        <v>2390.8045977011498</v>
      </c>
      <c r="D7" s="1">
        <f>C7/VLOOKUP(A7,'[210]geoMap (2)'!$A:$B,2,0)*VLOOKUP(A7,'[210]geoMap (2)'!$A:$C,3,0)</f>
        <v>5578.5440613026831</v>
      </c>
      <c r="E7" s="1">
        <f>D7/VLOOKUP(A7,'[211]geoMap (3)'!$A:$B,2,0)*VLOOKUP(A7,'[211]geoMap (3)'!$A:$C,3,0)</f>
        <v>5359.7776275261067</v>
      </c>
      <c r="F7" s="1">
        <f>E7/VLOOKUP(A7,'[212]geoMap (4)'!$A:$B,2,0)*VLOOKUP(A7,'[212]geoMap (4)'!$A:$C,3,0)</f>
        <v>4947.4870407933295</v>
      </c>
      <c r="G7" s="1">
        <f>F7/VLOOKUP(A7,'[213]geoMap (5)'!$A:$B,2,0)*VLOOKUP(A7,'[213]geoMap (5)'!$A:$C,3,0)</f>
        <v>2905.6669922119554</v>
      </c>
      <c r="H7" s="1">
        <f>G7/VLOOKUP(A7,'[214]geoMap (6)'!$A:$B,2,0)*VLOOKUP(A7,'[214]geoMap (6)'!$A:$C,3,0)</f>
        <v>1857.7215196109225</v>
      </c>
      <c r="I7" s="1">
        <f>H7/VLOOKUP(A7,'[215]geoMap (7)'!$A:$B,2,0)*VLOOKUP(A7,'[215]geoMap (7)'!$A:$C,3,0)</f>
        <v>464.43037990273064</v>
      </c>
      <c r="J7" s="1">
        <f>I7/VLOOKUP(A7,'[216]geoMap (8)'!$A:$B,2,0)*VLOOKUP(A7,'[216]geoMap (8)'!$A:$C,3,0)</f>
        <v>790.78686307762246</v>
      </c>
      <c r="K7" s="1">
        <f>J7/VLOOKUP(A7,'[217]geoMap (9)'!$A:$B,2,0)*VLOOKUP(A7,'[217]geoMap (9)'!$A:$C,3,0)</f>
        <v>1092.0390013929073</v>
      </c>
      <c r="L7" s="1">
        <f>K7/VLOOKUP(A7,'[218]geoMap (10)'!$A:$B,2,0)*VLOOKUP(A7,'[218]geoMap (10)'!$A:$C,3,0)</f>
        <v>858.03064395156991</v>
      </c>
      <c r="M7" s="1">
        <f>L7/VLOOKUP(A7,'[219]geoMap (11)'!$A:$B,2,0)*VLOOKUP(A7,'[219]geoMap (11)'!$A:$C,3,0)</f>
        <v>503.9227591461601</v>
      </c>
      <c r="N7" s="1">
        <f>M7/VLOOKUP(A7,'[220]geoMap (12)'!$A:$B,2,0)*VLOOKUP(A7,'[220]geoMap (12)'!$A:$C,3,0)</f>
        <v>412.30043930140369</v>
      </c>
      <c r="O7" s="1">
        <f>N7/VLOOKUP(A7,'[221]geoMap (13)'!$A:$B,2,0)*VLOOKUP(A7,'[221]geoMap (13)'!$A:$C,3,0)</f>
        <v>446.65880924318731</v>
      </c>
      <c r="P7" s="1">
        <f>O7/VLOOKUP(A7,'[222]geoMap (14)'!$A:$B,2,0)*VLOOKUP(A7,'[222]geoMap (14)'!$A:$C,3,0)</f>
        <v>1042.2038882341037</v>
      </c>
      <c r="Q7" s="1">
        <f>P7/VLOOKUP(A7,'[223]geoMap (15)'!$A:$B,2,0)*VLOOKUP(A7,'[223]geoMap (15)'!$A:$C,3,0)</f>
        <v>329.11701733708537</v>
      </c>
      <c r="R7" s="1">
        <f>Q7/43*11</f>
        <v>84.192725365300916</v>
      </c>
      <c r="S7" s="1">
        <f>Q7/VLOOKUP(A7,'[234]geoMap (30)'!$A:$B,2,0)*VLOOKUP(A7,'[234]geoMap (30)'!$A:$C,3,0)</f>
        <v>177.21685548919982</v>
      </c>
      <c r="T7" s="1">
        <f>S7/VLOOKUP(A7,'[226]geoMap (18)'!$A:$B,2,0)*VLOOKUP(A7,'[226]geoMap (18)'!$A:$C,3,0)</f>
        <v>184.45019652957535</v>
      </c>
      <c r="U7" s="1">
        <f>T7/VLOOKUP(A7,'[227]geoMap (19)'!$A:$B,2,0)*VLOOKUP(A7,'[227]geoMap (19)'!$A:$C,3,0)</f>
        <v>95.019798212205473</v>
      </c>
      <c r="V7" s="1">
        <f>U7/29*11</f>
        <v>36.041992425319322</v>
      </c>
      <c r="W7" s="1">
        <f>S7/VLOOKUP(A7,'[235]geoMap (32)'!$A:$B,2,0)*VLOOKUP(A7,'[235]geoMap (32)'!$A:$C,3,0)</f>
        <v>38.90126096104386</v>
      </c>
      <c r="X7" s="1">
        <f>W7/VLOOKUP(A7,'[230]geoMap (22)'!$A:$B,2,0)*VLOOKUP(A7,'[230]geoMap (22)'!$A:$C,3,0)</f>
        <v>82.665179542218212</v>
      </c>
      <c r="Y7" s="1">
        <f>X7/VLOOKUP(A7,'[231]geoMap (23)'!$A:$B,2,0)*VLOOKUP(A7,'[231]geoMap (23)'!$A:$C,3,0)</f>
        <v>27.555059847406071</v>
      </c>
      <c r="Z7" s="1">
        <f>Y7/VLOOKUP(A7,'[232]geoMap (24)'!$A:$B,2,0)*VLOOKUP(A7,'[232]geoMap (24)'!$A:$C,3,0)</f>
        <v>22.545048966059511</v>
      </c>
      <c r="AA7" s="1">
        <f>Y7/VLOOKUP(A7,'[236]geoMap (34)'!$A:$B,2,0)*VLOOKUP(A7,'[236]geoMap (34)'!$A:$C,3,0)</f>
        <v>17.61716941063667</v>
      </c>
    </row>
    <row r="8" spans="1:27" x14ac:dyDescent="0.2">
      <c r="A8" s="1" t="s">
        <v>20</v>
      </c>
      <c r="B8" s="1">
        <f>Notes!$C$6*VLOOKUP(A8,[208]geoMap!$A:$B,2,0)</f>
        <v>12000</v>
      </c>
      <c r="C8" s="1">
        <f>B8/VLOOKUP(A8,'[209]geoMap (1)'!$A:$B,2,0)*VLOOKUP(A8,'[209]geoMap (1)'!$A:$C,3,0)</f>
        <v>1636.3636363636363</v>
      </c>
      <c r="D8" s="1">
        <f>C8/VLOOKUP(A8,'[210]geoMap (2)'!$A:$B,2,0)*VLOOKUP(A8,'[210]geoMap (2)'!$A:$C,3,0)</f>
        <v>2169.1331923890061</v>
      </c>
      <c r="E8" s="1">
        <f>D8/VLOOKUP(A8,'[211]geoMap (3)'!$A:$B,2,0)*VLOOKUP(A8,'[211]geoMap (3)'!$A:$C,3,0)</f>
        <v>1386.8228607077253</v>
      </c>
      <c r="F8" s="1">
        <f>E8/VLOOKUP(A8,'[212]geoMap (4)'!$A:$B,2,0)*VLOOKUP(A8,'[212]geoMap (4)'!$A:$C,3,0)</f>
        <v>3947.1112189373716</v>
      </c>
      <c r="G8" s="1">
        <f>F8/VLOOKUP(A8,'[213]geoMap (5)'!$A:$B,2,0)*VLOOKUP(A8,'[213]geoMap (5)'!$A:$C,3,0)</f>
        <v>751.83070836902323</v>
      </c>
      <c r="H8" s="1">
        <f>G8/VLOOKUP(A8,'[214]geoMap (6)'!$A:$B,2,0)*VLOOKUP(A8,'[214]geoMap (6)'!$A:$C,3,0)</f>
        <v>918.90419911769504</v>
      </c>
      <c r="I8" s="1">
        <f>H8/VLOOKUP(A8,'[215]geoMap (7)'!$A:$B,2,0)*VLOOKUP(A8,'[215]geoMap (7)'!$A:$C,3,0)</f>
        <v>201.71067785510377</v>
      </c>
      <c r="J8" s="1">
        <f>I8/VLOOKUP(A8,'[216]geoMap (8)'!$A:$B,2,0)*VLOOKUP(A8,'[216]geoMap (8)'!$A:$C,3,0)</f>
        <v>493.84338371421956</v>
      </c>
      <c r="K8" s="1">
        <f>J8/VLOOKUP(A8,'[217]geoMap (9)'!$A:$B,2,0)*VLOOKUP(A8,'[217]geoMap (9)'!$A:$C,3,0)</f>
        <v>740.76507557132925</v>
      </c>
      <c r="L8" s="1">
        <f>K8/VLOOKUP(A8,'[218]geoMap (10)'!$A:$B,2,0)*VLOOKUP(A8,'[218]geoMap (10)'!$A:$C,3,0)</f>
        <v>173.75970908463279</v>
      </c>
      <c r="M8" s="1">
        <f>L8/VLOOKUP(A8,'[219]geoMap (11)'!$A:$B,2,0)*VLOOKUP(A8,'[219]geoMap (11)'!$A:$C,3,0)</f>
        <v>203.97878892543849</v>
      </c>
      <c r="N8" s="1">
        <f>M8/55*29</f>
        <v>107.55245234250393</v>
      </c>
      <c r="O8" s="1">
        <f>H8/VLOOKUP(A8,'[237]geoMap (27)'!$A:$B,2,0)*VLOOKUP(A8,'[237]geoMap (27)'!$A:$C,3,0)</f>
        <v>215.54542942266917</v>
      </c>
      <c r="P8" s="1">
        <f>O8/VLOOKUP(A8,'[222]geoMap (14)'!$A:$B,2,0)*VLOOKUP(A8,'[222]geoMap (14)'!$A:$C,3,0)</f>
        <v>351.67938484751284</v>
      </c>
      <c r="Q8" s="1">
        <f>P8/VLOOKUP(A8,'[223]geoMap (15)'!$A:$B,2,0)*VLOOKUP(A8,'[223]geoMap (15)'!$A:$C,3,0)</f>
        <v>234.45292323167524</v>
      </c>
      <c r="R8" s="1">
        <f>Q8/54*9</f>
        <v>39.075487205279209</v>
      </c>
      <c r="S8" s="1">
        <f>Q8/VLOOKUP(A8,'[234]geoMap (30)'!$A:$B,2,0)*VLOOKUP(A8,'[234]geoMap (30)'!$A:$C,3,0)</f>
        <v>95.762461601670168</v>
      </c>
      <c r="T8" s="1">
        <f>S8/49*14</f>
        <v>27.360703314762908</v>
      </c>
      <c r="U8" s="1">
        <f>O8/VLOOKUP(A8,'[238]geoMap (31)'!$A:$B,2,0)*VLOOKUP(A8,'[238]geoMap (31)'!$A:$C,3,0)</f>
        <v>88.039682440245159</v>
      </c>
      <c r="V8" s="1">
        <f>U8/VLOOKUP(A8,'[228]geoMap (20)'!$A:$B,2,0)*VLOOKUP(A8,'[228]geoMap (20)'!$A:$C,3,0)</f>
        <v>10.881309065648278</v>
      </c>
      <c r="W8" s="1">
        <f>V8/25*25</f>
        <v>10.881309065648278</v>
      </c>
      <c r="X8" s="1">
        <f>V8/24*35</f>
        <v>15.868575720737072</v>
      </c>
      <c r="Y8" s="1">
        <f>V8/20*42</f>
        <v>22.85074903786138</v>
      </c>
      <c r="Z8" s="1">
        <f>Y8/VLOOKUP(A8,'[232]geoMap (24)'!$A:$B,2,0)*VLOOKUP(A8,'[232]geoMap (24)'!$A:$C,3,0)</f>
        <v>9.333404536591269</v>
      </c>
      <c r="AA8" s="1">
        <f>Z8/VLOOKUP(A8,'[233]geoMap (25)'!$A:$B,2,0)*VLOOKUP(A8,'[233]geoMap (25)'!$A:$C,3,0)</f>
        <v>10.524902988071007</v>
      </c>
    </row>
    <row r="9" spans="1:27" x14ac:dyDescent="0.2">
      <c r="A9" s="1" t="s">
        <v>32</v>
      </c>
      <c r="B9" s="1">
        <f>Notes!$C$6*VLOOKUP(A9,[208]geoMap!$A:$B,2,0)</f>
        <v>11000</v>
      </c>
      <c r="C9" s="1">
        <f>B9/VLOOKUP(A9,'[209]geoMap (1)'!$A:$B,2,0)*VLOOKUP(A9,'[209]geoMap (1)'!$A:$C,3,0)</f>
        <v>7644.0677966101703</v>
      </c>
      <c r="D9" s="1">
        <f>C9/VLOOKUP(A9,'[210]geoMap (2)'!$A:$B,2,0)*VLOOKUP(A9,'[210]geoMap (2)'!$A:$C,3,0)</f>
        <v>7644.0677966101703</v>
      </c>
      <c r="E9" s="1">
        <f>D9/VLOOKUP(A9,'[211]geoMap (3)'!$A:$B,2,0)*VLOOKUP(A9,'[211]geoMap (3)'!$A:$C,3,0)</f>
        <v>8281.0734463276858</v>
      </c>
      <c r="F9" s="1">
        <f>E9/VLOOKUP(A9,'[212]geoMap (4)'!$A:$B,2,0)*VLOOKUP(A9,'[212]geoMap (4)'!$A:$C,3,0)</f>
        <v>5754.6442593124602</v>
      </c>
      <c r="G9" s="1">
        <f>F9/VLOOKUP(A9,'[213]geoMap (5)'!$A:$B,2,0)*VLOOKUP(A9,'[213]geoMap (5)'!$A:$C,3,0)</f>
        <v>5989.5276984680704</v>
      </c>
      <c r="H9" s="1">
        <f>G9/VLOOKUP(A9,'[214]geoMap (6)'!$A:$B,2,0)*VLOOKUP(A9,'[214]geoMap (6)'!$A:$C,3,0)</f>
        <v>3225.1302991751149</v>
      </c>
      <c r="I9" s="1">
        <f>H9/VLOOKUP(A9,'[215]geoMap (7)'!$A:$B,2,0)*VLOOKUP(A9,'[215]geoMap (7)'!$A:$C,3,0)</f>
        <v>1254.2173385681003</v>
      </c>
      <c r="J9" s="1">
        <f>I9/VLOOKUP(A9,'[216]geoMap (8)'!$A:$B,2,0)*VLOOKUP(A9,'[216]geoMap (8)'!$A:$C,3,0)</f>
        <v>2135.5592521564954</v>
      </c>
      <c r="K9" s="1">
        <f>J9/VLOOKUP(A9,'[217]geoMap (9)'!$A:$B,2,0)*VLOOKUP(A9,'[217]geoMap (9)'!$A:$C,3,0)</f>
        <v>3340.2337020909285</v>
      </c>
      <c r="L9" s="1">
        <f>K9/VLOOKUP(A9,'[218]geoMap (10)'!$A:$B,2,0)*VLOOKUP(A9,'[218]geoMap (10)'!$A:$C,3,0)</f>
        <v>1173.595625058975</v>
      </c>
      <c r="M9" s="1">
        <f>L9/VLOOKUP(A9,'[219]geoMap (11)'!$A:$B,2,0)*VLOOKUP(A9,'[219]geoMap (11)'!$A:$C,3,0)</f>
        <v>1083.3190385159767</v>
      </c>
      <c r="N9" s="1">
        <f>M9/VLOOKUP(A9,'[220]geoMap (12)'!$A:$B,2,0)*VLOOKUP(A9,'[220]geoMap (12)'!$A:$C,3,0)</f>
        <v>851.17924454826732</v>
      </c>
      <c r="O9" s="1">
        <f>N9/VLOOKUP(A9,'[221]geoMap (13)'!$A:$B,2,0)*VLOOKUP(A9,'[221]geoMap (13)'!$A:$C,3,0)</f>
        <v>785.70391804455437</v>
      </c>
      <c r="P9" s="1">
        <f>O9/VLOOKUP(A9,'[222]geoMap (14)'!$A:$B,2,0)*VLOOKUP(A9,'[222]geoMap (14)'!$A:$C,3,0)</f>
        <v>502.33529186455115</v>
      </c>
      <c r="Q9" s="1">
        <f>P9/VLOOKUP(A9,'[223]geoMap (15)'!$A:$B,2,0)*VLOOKUP(A9,'[223]geoMap (15)'!$A:$C,3,0)</f>
        <v>394.69201503643296</v>
      </c>
      <c r="R9" s="1">
        <f>Q9/VLOOKUP(A9,'[224]geoMap (16)'!$A:$B,2,0)*VLOOKUP(A9,'[224]geoMap (16)'!$A:$C,3,0)</f>
        <v>322.92983048435423</v>
      </c>
      <c r="S9" s="1">
        <f>R9/VLOOKUP(A9,'[225]geoMap (17)'!$A:$B,2,0)*VLOOKUP(A9,'[225]geoMap (17)'!$A:$C,3,0)</f>
        <v>286.37173646725745</v>
      </c>
      <c r="T9" s="1">
        <f>S9/VLOOKUP(A9,'[226]geoMap (18)'!$A:$B,2,0)*VLOOKUP(A9,'[226]geoMap (18)'!$A:$C,3,0)</f>
        <v>264.34314135439143</v>
      </c>
      <c r="U9" s="1">
        <f>T9/VLOOKUP(A9,'[227]geoMap (19)'!$A:$B,2,0)*VLOOKUP(A9,'[227]geoMap (19)'!$A:$C,3,0)</f>
        <v>183.69608128017032</v>
      </c>
      <c r="V9" s="1">
        <f>U9/VLOOKUP(A9,'[228]geoMap (20)'!$A:$B,2,0)*VLOOKUP(A9,'[228]geoMap (20)'!$A:$C,3,0)</f>
        <v>224.51743267576376</v>
      </c>
      <c r="W9" s="1">
        <f>V9/VLOOKUP(A9,'[229]geoMap (21)'!$A:$B,2,0)*VLOOKUP(A9,'[229]geoMap (21)'!$A:$C,3,0)</f>
        <v>87.312334929463702</v>
      </c>
      <c r="X9" s="1">
        <f>W9/VLOOKUP(A9,'[230]geoMap (22)'!$A:$B,2,0)*VLOOKUP(A9,'[230]geoMap (22)'!$A:$C,3,0)</f>
        <v>169.48865015719423</v>
      </c>
      <c r="Y9" s="1">
        <f>X9/VLOOKUP(A9,'[231]geoMap (23)'!$A:$B,2,0)*VLOOKUP(A9,'[231]geoMap (23)'!$A:$C,3,0)</f>
        <v>198.96493714105409</v>
      </c>
      <c r="Z9" s="1">
        <f>Y9/VLOOKUP(A9,'[232]geoMap (24)'!$A:$B,2,0)*VLOOKUP(A9,'[232]geoMap (24)'!$A:$C,3,0)</f>
        <v>89.390044222792426</v>
      </c>
      <c r="AA9" s="1">
        <f>Z9/VLOOKUP(A9,'[233]geoMap (25)'!$A:$B,2,0)*VLOOKUP(A9,'[233]geoMap (25)'!$A:$C,3,0)</f>
        <v>54.787446459130848</v>
      </c>
    </row>
    <row r="10" spans="1:27" x14ac:dyDescent="0.2">
      <c r="A10" s="1" t="s">
        <v>37</v>
      </c>
      <c r="B10" s="1">
        <f>Notes!$C$6*VLOOKUP(A10,[208]geoMap!$A:$B,2,0)</f>
        <v>10000</v>
      </c>
      <c r="C10" s="1">
        <f>B10/VLOOKUP(A10,'[209]geoMap (1)'!$A:$B,2,0)*VLOOKUP(A10,'[209]geoMap (1)'!$A:$C,3,0)</f>
        <v>2195.1219512195121</v>
      </c>
      <c r="D10" s="1">
        <f>C10/VLOOKUP(A10,'[210]geoMap (2)'!$A:$B,2,0)*VLOOKUP(A10,'[210]geoMap (2)'!$A:$C,3,0)</f>
        <v>5121.9512195121952</v>
      </c>
      <c r="E10" s="1">
        <f>D10/VLOOKUP(A10,'[211]geoMap (3)'!$A:$B,2,0)*VLOOKUP(A10,'[211]geoMap (3)'!$A:$C,3,0)</f>
        <v>4190.687361419069</v>
      </c>
      <c r="F10" s="1">
        <f>E10/VLOOKUP(A10,'[212]geoMap (4)'!$A:$B,2,0)*VLOOKUP(A10,'[212]geoMap (4)'!$A:$C,3,0)</f>
        <v>4190.687361419069</v>
      </c>
      <c r="G10" s="1">
        <f>F10/VLOOKUP(A10,'[213]geoMap (5)'!$A:$B,2,0)*VLOOKUP(A10,'[213]geoMap (5)'!$A:$C,3,0)</f>
        <v>2064.0698944302876</v>
      </c>
      <c r="H10" s="1">
        <f>G10/VLOOKUP(A10,'[214]geoMap (6)'!$A:$B,2,0)*VLOOKUP(A10,'[214]geoMap (6)'!$A:$C,3,0)</f>
        <v>1905.2952871664193</v>
      </c>
      <c r="I10" s="1">
        <f>H10/63*10</f>
        <v>302.42782335974908</v>
      </c>
      <c r="J10" s="1">
        <f>H10/VLOOKUP(A10,'[239]geoMap (26)'!$A:$B,2,0)*VLOOKUP(A10,'[239]geoMap (26)'!$A:$C,3,0)</f>
        <v>1025.9282315511487</v>
      </c>
      <c r="K10" s="1">
        <f>J10/VLOOKUP(A10,'[217]geoMap (9)'!$A:$B,2,0)*VLOOKUP(A10,'[217]geoMap (9)'!$A:$C,3,0)</f>
        <v>873.93886391394142</v>
      </c>
      <c r="L10" s="1">
        <f>K10/VLOOKUP(A10,'[218]geoMap (10)'!$A:$B,2,0)*VLOOKUP(A10,'[218]geoMap (10)'!$A:$C,3,0)</f>
        <v>491.59061095159205</v>
      </c>
      <c r="M10" s="1">
        <f>L10/52*27</f>
        <v>255.24897107101896</v>
      </c>
      <c r="N10" s="1">
        <f>M10/40*48</f>
        <v>306.29876528522277</v>
      </c>
      <c r="O10" s="1">
        <f>H10/VLOOKUP(A10,'[237]geoMap (27)'!$A:$B,2,0)*VLOOKUP(A10,'[237]geoMap (27)'!$A:$C,3,0)</f>
        <v>418.23555084140912</v>
      </c>
      <c r="P10" s="1">
        <f>O10/57*16</f>
        <v>117.39945286776397</v>
      </c>
      <c r="Q10" s="1">
        <f>O10/VLOOKUP(A10,'[240]geoMap (28)'!$A:$B,2,0)*VLOOKUP(A10,'[240]geoMap (28)'!$A:$C,3,0)</f>
        <v>245.6304028751133</v>
      </c>
      <c r="R10" s="1">
        <f>Q10/VLOOKUP(A10,'[224]geoMap (16)'!$A:$B,2,0)*VLOOKUP(A10,'[224]geoMap (16)'!$A:$C,3,0)</f>
        <v>53.918868923805363</v>
      </c>
      <c r="S10" s="1">
        <f>Q10/48*18</f>
        <v>92.111401078167489</v>
      </c>
      <c r="T10" s="1">
        <f>R10/37*63</f>
        <v>91.807803843236158</v>
      </c>
      <c r="U10" s="1">
        <f>T10/VLOOKUP(A10,'[227]geoMap (19)'!$A:$B,2,0)*VLOOKUP(A10,'[227]geoMap (19)'!$A:$C,3,0)</f>
        <v>53.918868923805363</v>
      </c>
      <c r="V10" s="1">
        <f>U10/VLOOKUP(A10,'[228]geoMap (20)'!$A:$B,2,0)*VLOOKUP(A10,'[228]geoMap (20)'!$A:$C,3,0)</f>
        <v>26.557054843068315</v>
      </c>
      <c r="W10" s="1">
        <f>V10/24*33</f>
        <v>36.515950409218931</v>
      </c>
      <c r="X10" s="1">
        <f>V10/24*32</f>
        <v>35.409406457424417</v>
      </c>
      <c r="Y10" s="1">
        <f>V10/38*62</f>
        <v>43.329931586058827</v>
      </c>
      <c r="Z10" s="1">
        <f>Y10/VLOOKUP(A10,'[232]geoMap (24)'!$A:$B,2,0)*VLOOKUP(A10,'[232]geoMap (24)'!$A:$C,3,0)</f>
        <v>50.865571861895148</v>
      </c>
      <c r="AA10" s="1">
        <f>Z10/VLOOKUP(A10,'[233]geoMap (25)'!$A:$B,2,0)*VLOOKUP(A10,'[233]geoMap (25)'!$A:$C,3,0)</f>
        <v>46.952835564826287</v>
      </c>
    </row>
    <row r="11" spans="1:27" x14ac:dyDescent="0.2">
      <c r="A11" s="1" t="s">
        <v>42</v>
      </c>
      <c r="B11" s="1">
        <f>Notes!$C$6*VLOOKUP(A11,[208]geoMap!$A:$B,2,0)</f>
        <v>8000</v>
      </c>
      <c r="C11" s="1">
        <f>B11/VLOOKUP(A11,'[209]geoMap (1)'!$A:$B,2,0)*VLOOKUP(A11,'[209]geoMap (1)'!$A:$C,3,0)</f>
        <v>7686.2745098039213</v>
      </c>
      <c r="D11" s="1">
        <f>C11/VLOOKUP(A11,'[210]geoMap (2)'!$A:$B,2,0)*VLOOKUP(A11,'[210]geoMap (2)'!$A:$C,3,0)</f>
        <v>7384.8519800076883</v>
      </c>
      <c r="E11" s="1">
        <f>D11/VLOOKUP(A11,'[211]geoMap (3)'!$A:$B,2,0)*VLOOKUP(A11,'[211]geoMap (3)'!$A:$C,3,0)</f>
        <v>4526.1996006498739</v>
      </c>
      <c r="F11" s="1">
        <f>E11/VLOOKUP(A11,'[212]geoMap (4)'!$A:$B,2,0)*VLOOKUP(A11,'[212]geoMap (4)'!$A:$C,3,0)</f>
        <v>2129.9762826587639</v>
      </c>
      <c r="G11" s="1">
        <f>F11/VLOOKUP(A11,'[213]geoMap (5)'!$A:$B,2,0)*VLOOKUP(A11,'[213]geoMap (5)'!$A:$C,3,0)</f>
        <v>5477.0818696939632</v>
      </c>
      <c r="H11" s="1">
        <f>G11/VLOOKUP(A11,'[214]geoMap (6)'!$A:$B,2,0)*VLOOKUP(A11,'[214]geoMap (6)'!$A:$C,3,0)</f>
        <v>2949.1979298352103</v>
      </c>
      <c r="I11" s="1">
        <f>H11/VLOOKUP(A11,'[215]geoMap (7)'!$A:$B,2,0)*VLOOKUP(A11,'[215]geoMap (7)'!$A:$C,3,0)</f>
        <v>983.0659766117368</v>
      </c>
      <c r="J11" s="1">
        <f>I11/VLOOKUP(A11,'[216]geoMap (8)'!$A:$B,2,0)*VLOOKUP(A11,'[216]geoMap (8)'!$A:$C,3,0)</f>
        <v>1023.1911185142568</v>
      </c>
      <c r="K11" s="1">
        <f>J11/VLOOKUP(A11,'[217]geoMap (9)'!$A:$B,2,0)*VLOOKUP(A11,'[217]geoMap (9)'!$A:$C,3,0)</f>
        <v>1472.3969754229549</v>
      </c>
      <c r="L11" s="1">
        <f>K11/VLOOKUP(A11,'[218]geoMap (10)'!$A:$B,2,0)*VLOOKUP(A11,'[218]geoMap (10)'!$A:$C,3,0)</f>
        <v>661.51168461031307</v>
      </c>
      <c r="M11" s="1">
        <f>L11/VLOOKUP(A11,'[219]geoMap (11)'!$A:$B,2,0)*VLOOKUP(A11,'[219]geoMap (11)'!$A:$C,3,0)</f>
        <v>635.57004991971257</v>
      </c>
      <c r="N11" s="1">
        <f>M11/VLOOKUP(A11,'[220]geoMap (12)'!$A:$B,2,0)*VLOOKUP(A11,'[220]geoMap (12)'!$A:$C,3,0)</f>
        <v>953.35507487956875</v>
      </c>
      <c r="O11" s="1">
        <f>N11/VLOOKUP(A11,'[221]geoMap (13)'!$A:$B,2,0)*VLOOKUP(A11,'[221]geoMap (13)'!$A:$C,3,0)</f>
        <v>513.3450403197678</v>
      </c>
      <c r="P11" s="1">
        <f>O11/VLOOKUP(A11,'[222]geoMap (14)'!$A:$B,2,0)*VLOOKUP(A11,'[222]geoMap (14)'!$A:$C,3,0)</f>
        <v>128.33626007994195</v>
      </c>
      <c r="Q11" s="1">
        <f>P11/VLOOKUP(A11,'[223]geoMap (15)'!$A:$B,2,0)*VLOOKUP(A11,'[223]geoMap (15)'!$A:$C,3,0)</f>
        <v>260.56149773806396</v>
      </c>
      <c r="R11" s="1">
        <f>Q11/VLOOKUP(A11,'[224]geoMap (16)'!$A:$B,2,0)*VLOOKUP(A11,'[224]geoMap (16)'!$A:$C,3,0)</f>
        <v>231.06396969224539</v>
      </c>
      <c r="S11" s="1">
        <f>R11/VLOOKUP(A11,'[225]geoMap (17)'!$A:$B,2,0)*VLOOKUP(A11,'[225]geoMap (17)'!$A:$C,3,0)</f>
        <v>332.50668809371899</v>
      </c>
      <c r="T11" s="1">
        <f>S11/VLOOKUP(A11,'[226]geoMap (18)'!$A:$B,2,0)*VLOOKUP(A11,'[226]geoMap (18)'!$A:$C,3,0)</f>
        <v>221.67112539581268</v>
      </c>
      <c r="U11" s="1">
        <f>T11/VLOOKUP(A11,'[227]geoMap (19)'!$A:$B,2,0)*VLOOKUP(A11,'[227]geoMap (19)'!$A:$C,3,0)</f>
        <v>77.884449463393651</v>
      </c>
      <c r="V11" s="1">
        <f>U11/VLOOKUP(A11,'[228]geoMap (20)'!$A:$B,2,0)*VLOOKUP(A11,'[228]geoMap (20)'!$A:$C,3,0)</f>
        <v>11.637906241656523</v>
      </c>
      <c r="W11" s="1">
        <f>V11/VLOOKUP(A11,'[229]geoMap (21)'!$A:$B,2,0)*VLOOKUP(A11,'[229]geoMap (21)'!$A:$C,3,0)</f>
        <v>65.948135369386975</v>
      </c>
      <c r="X11" s="1">
        <f>W11/VLOOKUP(A11,'[230]geoMap (22)'!$A:$B,2,0)*VLOOKUP(A11,'[230]geoMap (22)'!$A:$C,3,0)</f>
        <v>103.14964762904116</v>
      </c>
      <c r="Y11" s="1">
        <f>X11/VLOOKUP(A11,'[231]geoMap (23)'!$A:$B,2,0)*VLOOKUP(A11,'[231]geoMap (23)'!$A:$C,3,0)</f>
        <v>191.56363131107645</v>
      </c>
      <c r="Z11" s="1">
        <f>Y11/VLOOKUP(A11,'[232]geoMap (24)'!$A:$B,2,0)*VLOOKUP(A11,'[232]geoMap (24)'!$A:$C,3,0)</f>
        <v>47.890907827769112</v>
      </c>
      <c r="AA11" s="1">
        <f>Z11/VLOOKUP(A11,'[233]geoMap (25)'!$A:$B,2,0)*VLOOKUP(A11,'[233]geoMap (25)'!$A:$C,3,0)</f>
        <v>85.13939169381176</v>
      </c>
    </row>
    <row r="12" spans="1:27" x14ac:dyDescent="0.2">
      <c r="A12" s="1" t="s">
        <v>43</v>
      </c>
      <c r="B12" s="1">
        <f>Notes!$C$6*VLOOKUP(A12,[208]geoMap!$A:$B,2,0)</f>
        <v>9000</v>
      </c>
      <c r="C12" s="1">
        <f>B12/VLOOKUP(A12,'[209]geoMap (1)'!$A:$B,2,0)*VLOOKUP(A12,'[209]geoMap (1)'!$A:$C,3,0)</f>
        <v>2538.4615384615381</v>
      </c>
      <c r="D12" s="1">
        <f>C12/VLOOKUP(A12,'[210]geoMap (2)'!$A:$B,2,0)*VLOOKUP(A12,'[210]geoMap (2)'!$A:$C,3,0)</f>
        <v>7224.8520710059156</v>
      </c>
      <c r="E12" s="1">
        <f>D12/VLOOKUP(A12,'[211]geoMap (3)'!$A:$B,2,0)*VLOOKUP(A12,'[211]geoMap (3)'!$A:$C,3,0)</f>
        <v>3558.5092290029133</v>
      </c>
      <c r="F12" s="1">
        <f>E12/VLOOKUP(A12,'[212]geoMap (4)'!$A:$B,2,0)*VLOOKUP(A12,'[212]geoMap (4)'!$A:$C,3,0)</f>
        <v>3031.3226765580371</v>
      </c>
      <c r="G12" s="1">
        <f>F12/VLOOKUP(A12,'[213]geoMap (5)'!$A:$B,2,0)*VLOOKUP(A12,'[213]geoMap (5)'!$A:$C,3,0)</f>
        <v>3858.0470428920476</v>
      </c>
      <c r="H12" s="1">
        <f>G12/VLOOKUP(A12,'[214]geoMap (6)'!$A:$B,2,0)*VLOOKUP(A12,'[214]geoMap (6)'!$A:$C,3,0)</f>
        <v>3286.4845180191514</v>
      </c>
      <c r="I12" s="1">
        <f>H12/VLOOKUP(A12,'[215]geoMap (7)'!$A:$B,2,0)*VLOOKUP(A12,'[215]geoMap (7)'!$A:$C,3,0)</f>
        <v>821.62112950478786</v>
      </c>
      <c r="J12" s="1">
        <f>I12/VLOOKUP(A12,'[216]geoMap (8)'!$A:$B,2,0)*VLOOKUP(A12,'[216]geoMap (8)'!$A:$C,3,0)</f>
        <v>2112.7400472980257</v>
      </c>
      <c r="K12" s="1">
        <f>J12/VLOOKUP(A12,'[217]geoMap (9)'!$A:$B,2,0)*VLOOKUP(A12,'[217]geoMap (9)'!$A:$C,3,0)</f>
        <v>1040.6033068781319</v>
      </c>
      <c r="L12" s="1">
        <f>K12/VLOOKUP(A12,'[218]geoMap (10)'!$A:$B,2,0)*VLOOKUP(A12,'[218]geoMap (10)'!$A:$C,3,0)</f>
        <v>310.82955919736406</v>
      </c>
      <c r="M12" s="1">
        <f>L12/VLOOKUP(A12,'[219]geoMap (11)'!$A:$B,2,0)*VLOOKUP(A12,'[219]geoMap (11)'!$A:$C,3,0)</f>
        <v>350.50992845660204</v>
      </c>
      <c r="N12" s="1">
        <f>M12/VLOOKUP(A12,'[220]geoMap (12)'!$A:$B,2,0)*VLOOKUP(A12,'[220]geoMap (12)'!$A:$C,3,0)</f>
        <v>680.40162582752168</v>
      </c>
      <c r="O12" s="1">
        <f>N12/VLOOKUP(A12,'[221]geoMap (13)'!$A:$B,2,0)*VLOOKUP(A12,'[221]geoMap (13)'!$A:$C,3,0)</f>
        <v>214.8636713139542</v>
      </c>
      <c r="P12" s="1">
        <f>O12/VLOOKUP(A12,'[222]geoMap (14)'!$A:$B,2,0)*VLOOKUP(A12,'[222]geoMap (14)'!$A:$C,3,0)</f>
        <v>206.4376449879168</v>
      </c>
      <c r="Q12" s="1">
        <f>P12/VLOOKUP(A12,'[223]geoMap (15)'!$A:$B,2,0)*VLOOKUP(A12,'[223]geoMap (15)'!$A:$C,3,0)</f>
        <v>168.90352771738645</v>
      </c>
      <c r="R12" s="1">
        <f>Q12/48*10</f>
        <v>35.188234941122175</v>
      </c>
      <c r="S12" s="1">
        <f>Q12/VLOOKUP(A12,'[234]geoMap (30)'!$A:$B,2,0)*VLOOKUP(A12,'[234]geoMap (30)'!$A:$C,3,0)</f>
        <v>155.91094866220288</v>
      </c>
      <c r="T12" s="1">
        <f>S12/VLOOKUP(A12,'[226]geoMap (18)'!$A:$B,2,0)*VLOOKUP(A12,'[226]geoMap (18)'!$A:$C,3,0)</f>
        <v>99.680770456162506</v>
      </c>
      <c r="U12" s="1">
        <f>T12/54*10</f>
        <v>18.45940193632639</v>
      </c>
      <c r="V12" s="1">
        <f>U12/19*15</f>
        <v>14.573212054994519</v>
      </c>
      <c r="W12" s="1">
        <f>S12/VLOOKUP(A12,'[235]geoMap (32)'!$A:$B,2,0)*VLOOKUP(A12,'[235]geoMap (32)'!$A:$C,3,0)</f>
        <v>41.444682555775451</v>
      </c>
      <c r="X12" s="1">
        <f>W12/VLOOKUP(A12,'[230]geoMap (22)'!$A:$B,2,0)*VLOOKUP(A12,'[230]geoMap (22)'!$A:$C,3,0)</f>
        <v>22.316367530032934</v>
      </c>
      <c r="Y12" s="1">
        <f>X12/VLOOKUP(A12,'[231]geoMap (23)'!$A:$B,2,0)*VLOOKUP(A12,'[231]geoMap (23)'!$A:$C,3,0)</f>
        <v>30.817840874807384</v>
      </c>
      <c r="Z12" s="1">
        <f>Y12/32*9</f>
        <v>8.6675177460395769</v>
      </c>
      <c r="AA12" s="1">
        <f>Y12/VLOOKUP(A12,'[236]geoMap (34)'!$A:$B,2,0)*VLOOKUP(A12,'[236]geoMap (34)'!$A:$C,3,0)</f>
        <v>18.888354084559364</v>
      </c>
    </row>
    <row r="13" spans="1:27" x14ac:dyDescent="0.2">
      <c r="A13" s="1" t="s">
        <v>48</v>
      </c>
      <c r="B13" s="1">
        <f>Notes!$C$6*VLOOKUP(A13,[208]geoMap!$A:$B,2,0)</f>
        <v>10000</v>
      </c>
      <c r="C13" s="1">
        <f>B13/VLOOKUP(A13,'[209]geoMap (1)'!$A:$B,2,0)*VLOOKUP(A13,'[209]geoMap (1)'!$A:$C,3,0)</f>
        <v>5873.0158730158728</v>
      </c>
      <c r="D13" s="1">
        <f>C13/VLOOKUP(A13,'[210]geoMap (2)'!$A:$B,2,0)*VLOOKUP(A13,'[210]geoMap (2)'!$A:$C,3,0)</f>
        <v>7785.1605758582491</v>
      </c>
      <c r="E13" s="1">
        <f>D13/VLOOKUP(A13,'[211]geoMap (3)'!$A:$B,2,0)*VLOOKUP(A13,'[211]geoMap (3)'!$A:$C,3,0)</f>
        <v>5873.0158730158728</v>
      </c>
      <c r="F13" s="1">
        <f>E13/VLOOKUP(A13,'[212]geoMap (4)'!$A:$B,2,0)*VLOOKUP(A13,'[212]geoMap (4)'!$A:$C,3,0)</f>
        <v>4081.248318536454</v>
      </c>
      <c r="G13" s="1">
        <f>F13/VLOOKUP(A13,'[213]geoMap (5)'!$A:$B,2,0)*VLOOKUP(A13,'[213]geoMap (5)'!$A:$C,3,0)</f>
        <v>4988.1923893223329</v>
      </c>
      <c r="H13" s="1">
        <f>G13/VLOOKUP(A13,'[214]geoMap (6)'!$A:$B,2,0)*VLOOKUP(A13,'[214]geoMap (6)'!$A:$C,3,0)</f>
        <v>2456.8708783229399</v>
      </c>
      <c r="I13" s="1">
        <f>H13/VLOOKUP(A13,'[215]geoMap (7)'!$A:$B,2,0)*VLOOKUP(A13,'[215]geoMap (7)'!$A:$C,3,0)</f>
        <v>1381.9898690566538</v>
      </c>
      <c r="J13" s="1">
        <f>I13/VLOOKUP(A13,'[216]geoMap (8)'!$A:$B,2,0)*VLOOKUP(A13,'[216]geoMap (8)'!$A:$C,3,0)</f>
        <v>1622.3359332404195</v>
      </c>
      <c r="K13" s="1">
        <f>J13/VLOOKUP(A13,'[217]geoMap (9)'!$A:$B,2,0)*VLOOKUP(A13,'[217]geoMap (9)'!$A:$C,3,0)</f>
        <v>1622.3359332404195</v>
      </c>
      <c r="L13" s="1">
        <f>K13/VLOOKUP(A13,'[218]geoMap (10)'!$A:$B,2,0)*VLOOKUP(A13,'[218]geoMap (10)'!$A:$C,3,0)</f>
        <v>994.33492682477322</v>
      </c>
      <c r="M13" s="1">
        <f>L13/VLOOKUP(A13,'[219]geoMap (11)'!$A:$B,2,0)*VLOOKUP(A13,'[219]geoMap (11)'!$A:$C,3,0)</f>
        <v>1265.517179595166</v>
      </c>
      <c r="N13" s="1">
        <f>M13/VLOOKUP(A13,'[220]geoMap (12)'!$A:$B,2,0)*VLOOKUP(A13,'[220]geoMap (12)'!$A:$C,3,0)</f>
        <v>879.42719260003059</v>
      </c>
      <c r="O13" s="1">
        <f>N13/VLOOKUP(A13,'[221]geoMap (13)'!$A:$B,2,0)*VLOOKUP(A13,'[221]geoMap (13)'!$A:$C,3,0)</f>
        <v>611.12737112883485</v>
      </c>
      <c r="P13" s="1">
        <f>O13/VLOOKUP(A13,'[222]geoMap (14)'!$A:$B,2,0)*VLOOKUP(A13,'[222]geoMap (14)'!$A:$C,3,0)</f>
        <v>261.91173048378636</v>
      </c>
      <c r="Q13" s="1">
        <f>P13/VLOOKUP(A13,'[223]geoMap (15)'!$A:$B,2,0)*VLOOKUP(A13,'[223]geoMap (15)'!$A:$C,3,0)</f>
        <v>376.89736825715596</v>
      </c>
      <c r="R13" s="1">
        <f>Q13/VLOOKUP(A13,'[224]geoMap (16)'!$A:$B,2,0)*VLOOKUP(A13,'[224]geoMap (16)'!$A:$C,3,0)</f>
        <v>261.91173048378636</v>
      </c>
      <c r="S13" s="1">
        <f>R13/VLOOKUP(A13,'[225]geoMap (17)'!$A:$B,2,0)*VLOOKUP(A13,'[225]geoMap (17)'!$A:$C,3,0)</f>
        <v>347.18531715292607</v>
      </c>
      <c r="T13" s="1">
        <f>S13/VLOOKUP(A13,'[226]geoMap (18)'!$A:$B,2,0)*VLOOKUP(A13,'[226]geoMap (18)'!$A:$C,3,0)</f>
        <v>171.00172337382924</v>
      </c>
      <c r="U13" s="1">
        <f>T13/VLOOKUP(A13,'[227]geoMap (19)'!$A:$B,2,0)*VLOOKUP(A13,'[227]geoMap (19)'!$A:$C,3,0)</f>
        <v>139.9105009422239</v>
      </c>
      <c r="V13" s="1">
        <f>U13/VLOOKUP(A13,'[228]geoMap (20)'!$A:$B,2,0)*VLOOKUP(A13,'[228]geoMap (20)'!$A:$C,3,0)</f>
        <v>54.409639255309308</v>
      </c>
      <c r="W13" s="1">
        <f>V13/VLOOKUP(A13,'[229]geoMap (21)'!$A:$B,2,0)*VLOOKUP(A13,'[229]geoMap (21)'!$A:$C,3,0)</f>
        <v>92.643439813094233</v>
      </c>
      <c r="X13" s="1">
        <f>W13/VLOOKUP(A13,'[230]geoMap (22)'!$A:$B,2,0)*VLOOKUP(A13,'[230]geoMap (22)'!$A:$C,3,0)</f>
        <v>92.643439813094233</v>
      </c>
      <c r="Y13" s="1">
        <f>X13/VLOOKUP(A13,'[231]geoMap (23)'!$A:$B,2,0)*VLOOKUP(A13,'[231]geoMap (23)'!$A:$C,3,0)</f>
        <v>100.36372646418542</v>
      </c>
      <c r="Z13" s="1">
        <f>Y13/VLOOKUP(A13,'[232]geoMap (24)'!$A:$B,2,0)*VLOOKUP(A13,'[232]geoMap (24)'!$A:$C,3,0)</f>
        <v>69.744284492061055</v>
      </c>
      <c r="AA13" s="1">
        <f>Z13/VLOOKUP(A13,'[233]geoMap (25)'!$A:$B,2,0)*VLOOKUP(A13,'[233]geoMap (25)'!$A:$C,3,0)</f>
        <v>42.746496946747101</v>
      </c>
    </row>
    <row r="14" spans="1:27" x14ac:dyDescent="0.2">
      <c r="A14" s="1" t="s">
        <v>44</v>
      </c>
      <c r="B14" s="1">
        <f>Notes!$C$6*VLOOKUP(A14,[208]geoMap!$A:$B,2,0)</f>
        <v>10000</v>
      </c>
      <c r="C14" s="1">
        <f>B14/VLOOKUP(A14,'[209]geoMap (1)'!$A:$B,2,0)*VLOOKUP(A14,'[209]geoMap (1)'!$A:$C,3,0)</f>
        <v>1235.9550561797753</v>
      </c>
      <c r="D14" s="1">
        <f>C14/VLOOKUP(A14,'[210]geoMap (2)'!$A:$B,2,0)*VLOOKUP(A14,'[210]geoMap (2)'!$A:$C,3,0)</f>
        <v>3707.8651685393261</v>
      </c>
      <c r="E14" s="1">
        <f>D14/VLOOKUP(A14,'[211]geoMap (3)'!$A:$B,2,0)*VLOOKUP(A14,'[211]geoMap (3)'!$A:$C,3,0)</f>
        <v>3562.4586913417052</v>
      </c>
      <c r="F14" s="1">
        <f>E14/VLOOKUP(A14,'[212]geoMap (4)'!$A:$B,2,0)*VLOOKUP(A14,'[212]geoMap (4)'!$A:$C,3,0)</f>
        <v>3859.3302489535145</v>
      </c>
      <c r="G14" s="1">
        <f>F14/VLOOKUP(A14,'[213]geoMap (5)'!$A:$B,2,0)*VLOOKUP(A14,'[213]geoMap (5)'!$A:$C,3,0)</f>
        <v>2078.1009032826614</v>
      </c>
      <c r="H14" s="1">
        <f>G14/VLOOKUP(A14,'[214]geoMap (6)'!$A:$B,2,0)*VLOOKUP(A14,'[214]geoMap (6)'!$A:$C,3,0)</f>
        <v>4848.9021076595436</v>
      </c>
      <c r="I14" s="1">
        <f>H14/VLOOKUP(A14,'[215]geoMap (7)'!$A:$B,2,0)*VLOOKUP(A14,'[215]geoMap (7)'!$A:$C,3,0)</f>
        <v>149.96604456679003</v>
      </c>
      <c r="J14" s="1">
        <f>I14/VLOOKUP(A14,'[216]geoMap (8)'!$A:$B,2,0)*VLOOKUP(A14,'[216]geoMap (8)'!$A:$C,3,0)</f>
        <v>564.15797717982923</v>
      </c>
      <c r="K14" s="1">
        <f>J14/VLOOKUP(A14,'[217]geoMap (9)'!$A:$B,2,0)*VLOOKUP(A14,'[217]geoMap (9)'!$A:$C,3,0)</f>
        <v>520.76120970445777</v>
      </c>
      <c r="L14" s="1">
        <f>K14/VLOOKUP(A14,'[218]geoMap (10)'!$A:$B,2,0)*VLOOKUP(A14,'[218]geoMap (10)'!$A:$C,3,0)</f>
        <v>542.01676928423149</v>
      </c>
      <c r="M14" s="1">
        <f>L14/VLOOKUP(A14,'[219]geoMap (11)'!$A:$B,2,0)*VLOOKUP(A14,'[219]geoMap (11)'!$A:$C,3,0)</f>
        <v>361.34451285615432</v>
      </c>
      <c r="N14" s="1">
        <f>M14/VLOOKUP(A14,'[220]geoMap (12)'!$A:$B,2,0)*VLOOKUP(A14,'[220]geoMap (12)'!$A:$C,3,0)</f>
        <v>231.02354100639377</v>
      </c>
      <c r="O14" s="1">
        <f>N14/VLOOKUP(A14,'[221]geoMap (13)'!$A:$B,2,0)*VLOOKUP(A14,'[221]geoMap (13)'!$A:$C,3,0)</f>
        <v>221.96379430026067</v>
      </c>
      <c r="P14" s="1">
        <f>O14/VLOOKUP(A14,'[222]geoMap (14)'!$A:$B,2,0)*VLOOKUP(A14,'[222]geoMap (14)'!$A:$C,3,0)</f>
        <v>319.41131374915562</v>
      </c>
      <c r="Q14" s="1">
        <f>P14/VLOOKUP(A14,'[223]geoMap (15)'!$A:$B,2,0)*VLOOKUP(A14,'[223]geoMap (15)'!$A:$C,3,0)</f>
        <v>195.7682245559341</v>
      </c>
      <c r="R14" s="1">
        <f>Q14/VLOOKUP(A14,'[224]geoMap (16)'!$A:$B,2,0)*VLOOKUP(A14,'[224]geoMap (16)'!$A:$C,3,0)</f>
        <v>29.252723209507394</v>
      </c>
      <c r="S14" s="1">
        <f>R14/VLOOKUP(A14,'[225]geoMap (17)'!$A:$B,2,0)*VLOOKUP(A14,'[225]geoMap (17)'!$A:$C,3,0)</f>
        <v>133.26240573220036</v>
      </c>
      <c r="T14" s="1">
        <f>S14/VLOOKUP(A14,'[226]geoMap (18)'!$A:$B,2,0)*VLOOKUP(A14,'[226]geoMap (18)'!$A:$C,3,0)</f>
        <v>54.431123468081836</v>
      </c>
      <c r="U14" s="1">
        <f>T14/VLOOKUP(A14,'[227]geoMap (19)'!$A:$B,2,0)*VLOOKUP(A14,'[227]geoMap (19)'!$A:$C,3,0)</f>
        <v>37.825018003243308</v>
      </c>
      <c r="V14" s="1">
        <f>U14/VLOOKUP(A14,'[228]geoMap (20)'!$A:$B,2,0)*VLOOKUP(A14,'[228]geoMap (20)'!$A:$C,3,0)</f>
        <v>6.1575610702954231</v>
      </c>
      <c r="W14" s="1">
        <f>V14/VLOOKUP(A14,'[229]geoMap (21)'!$A:$B,2,0)*VLOOKUP(A14,'[229]geoMap (21)'!$A:$C,3,0)</f>
        <v>16.648220671539477</v>
      </c>
      <c r="X14" s="1">
        <f>W14/VLOOKUP(A14,'[230]geoMap (22)'!$A:$B,2,0)*VLOOKUP(A14,'[230]geoMap (22)'!$A:$C,3,0)</f>
        <v>45.011855889717843</v>
      </c>
      <c r="Y14" s="1">
        <f>X14/VLOOKUP(A14,'[231]geoMap (23)'!$A:$B,2,0)*VLOOKUP(A14,'[231]geoMap (23)'!$A:$C,3,0)</f>
        <v>57.287816586913621</v>
      </c>
      <c r="Z14" s="1">
        <f>Y14/VLOOKUP(A14,'[232]geoMap (24)'!$A:$B,2,0)*VLOOKUP(A14,'[232]geoMap (24)'!$A:$C,3,0)</f>
        <v>62.061801302489755</v>
      </c>
      <c r="AA14" s="1">
        <f>Z14/VLOOKUP(A14,'[233]geoMap (25)'!$A:$B,2,0)*VLOOKUP(A14,'[233]geoMap (25)'!$A:$C,3,0)</f>
        <v>34.909763232650484</v>
      </c>
    </row>
    <row r="15" spans="1:27" x14ac:dyDescent="0.2">
      <c r="A15" s="1" t="s">
        <v>55</v>
      </c>
      <c r="B15" s="1">
        <f>Notes!$C$6*VLOOKUP(A15,[208]geoMap!$A:$B,2,0)</f>
        <v>7000</v>
      </c>
      <c r="C15" s="1">
        <f>B15/VLOOKUP(A15,'[209]geoMap (1)'!$A:$B,2,0)*VLOOKUP(A15,'[209]geoMap (1)'!$A:$C,3,0)</f>
        <v>4864.406779661017</v>
      </c>
      <c r="D15" s="1">
        <f>C15/VLOOKUP(A15,'[210]geoMap (2)'!$A:$B,2,0)*VLOOKUP(A15,'[210]geoMap (2)'!$A:$C,3,0)</f>
        <v>5062.9539951573852</v>
      </c>
      <c r="E15" s="1">
        <f>D15/VLOOKUP(A15,'[211]geoMap (3)'!$A:$B,2,0)*VLOOKUP(A15,'[211]geoMap (3)'!$A:$C,3,0)</f>
        <v>4312.88673661555</v>
      </c>
      <c r="F15" s="1">
        <f>E15/VLOOKUP(A15,'[212]geoMap (4)'!$A:$B,2,0)*VLOOKUP(A15,'[212]geoMap (4)'!$A:$C,3,0)</f>
        <v>3388.6967216265034</v>
      </c>
      <c r="G15" s="1">
        <f>F15/VLOOKUP(A15,'[213]geoMap (5)'!$A:$B,2,0)*VLOOKUP(A15,'[213]geoMap (5)'!$A:$C,3,0)</f>
        <v>3671.0881150953787</v>
      </c>
      <c r="H15" s="1">
        <f>G15/VLOOKUP(A15,'[214]geoMap (6)'!$A:$B,2,0)*VLOOKUP(A15,'[214]geoMap (6)'!$A:$C,3,0)</f>
        <v>2064.9870647411503</v>
      </c>
      <c r="I15" s="1">
        <f>H15/VLOOKUP(A15,'[215]geoMap (7)'!$A:$B,2,0)*VLOOKUP(A15,'[215]geoMap (7)'!$A:$C,3,0)</f>
        <v>453.28984347976473</v>
      </c>
      <c r="J15" s="1">
        <f>I15/VLOOKUP(A15,'[216]geoMap (8)'!$A:$B,2,0)*VLOOKUP(A15,'[216]geoMap (8)'!$A:$C,3,0)</f>
        <v>1225.561428667512</v>
      </c>
      <c r="K15" s="1">
        <f>J15/VLOOKUP(A15,'[217]geoMap (9)'!$A:$B,2,0)*VLOOKUP(A15,'[217]geoMap (9)'!$A:$C,3,0)</f>
        <v>1225.561428667512</v>
      </c>
      <c r="L15" s="1">
        <f>K15/VLOOKUP(A15,'[218]geoMap (10)'!$A:$B,2,0)*VLOOKUP(A15,'[218]geoMap (10)'!$A:$C,3,0)</f>
        <v>689.37830362547538</v>
      </c>
      <c r="M15" s="1">
        <f>L15/VLOOKUP(A15,'[219]geoMap (11)'!$A:$B,2,0)*VLOOKUP(A15,'[219]geoMap (11)'!$A:$C,3,0)</f>
        <v>404.87297197051726</v>
      </c>
      <c r="N15" s="1">
        <f>M15/VLOOKUP(A15,'[220]geoMap (12)'!$A:$B,2,0)*VLOOKUP(A15,'[220]geoMap (12)'!$A:$C,3,0)</f>
        <v>785.92988676629818</v>
      </c>
      <c r="O15" s="1">
        <f>N15/VLOOKUP(A15,'[221]geoMap (13)'!$A:$B,2,0)*VLOOKUP(A15,'[221]geoMap (13)'!$A:$C,3,0)</f>
        <v>442.08556130604268</v>
      </c>
      <c r="P15" s="1">
        <f>O15/VLOOKUP(A15,'[222]geoMap (14)'!$A:$B,2,0)*VLOOKUP(A15,'[222]geoMap (14)'!$A:$C,3,0)</f>
        <v>208.04026414402009</v>
      </c>
      <c r="Q15" s="1">
        <f>P15/VLOOKUP(A15,'[223]geoMap (15)'!$A:$B,2,0)*VLOOKUP(A15,'[223]geoMap (15)'!$A:$C,3,0)</f>
        <v>177.21948427083191</v>
      </c>
      <c r="R15" s="1">
        <f>Q15/VLOOKUP(A15,'[224]geoMap (16)'!$A:$B,2,0)*VLOOKUP(A15,'[224]geoMap (16)'!$A:$C,3,0)</f>
        <v>108.6183935853486</v>
      </c>
      <c r="S15" s="1">
        <f>R15/VLOOKUP(A15,'[225]geoMap (17)'!$A:$B,2,0)*VLOOKUP(A15,'[225]geoMap (17)'!$A:$C,3,0)</f>
        <v>104.35884873886434</v>
      </c>
      <c r="T15" s="1">
        <f>S15/VLOOKUP(A15,'[226]geoMap (18)'!$A:$B,2,0)*VLOOKUP(A15,'[226]geoMap (18)'!$A:$C,3,0)</f>
        <v>122.50821373692771</v>
      </c>
      <c r="U15" s="1">
        <f>T15/VLOOKUP(A15,'[227]geoMap (19)'!$A:$B,2,0)*VLOOKUP(A15,'[227]geoMap (19)'!$A:$C,3,0)</f>
        <v>100.23399305748632</v>
      </c>
      <c r="V15" s="1">
        <f>U15/VLOOKUP(A15,'[228]geoMap (20)'!$A:$B,2,0)*VLOOKUP(A15,'[228]geoMap (20)'!$A:$C,3,0)</f>
        <v>88.886748560412371</v>
      </c>
      <c r="W15" s="1">
        <f>V15/VLOOKUP(A15,'[229]geoMap (21)'!$A:$B,2,0)*VLOOKUP(A15,'[229]geoMap (21)'!$A:$C,3,0)</f>
        <v>52.203328519607261</v>
      </c>
      <c r="X15" s="1">
        <f>W15/VLOOKUP(A15,'[230]geoMap (22)'!$A:$B,2,0)*VLOOKUP(A15,'[230]geoMap (22)'!$A:$C,3,0)</f>
        <v>61.28216826214765</v>
      </c>
      <c r="Y15" s="1">
        <f>X15/VLOOKUP(A15,'[231]geoMap (23)'!$A:$B,2,0)*VLOOKUP(A15,'[231]geoMap (23)'!$A:$C,3,0)</f>
        <v>63.783481252439387</v>
      </c>
      <c r="Z15" s="1">
        <f>Y15/VLOOKUP(A15,'[232]geoMap (24)'!$A:$B,2,0)*VLOOKUP(A15,'[232]geoMap (24)'!$A:$C,3,0)</f>
        <v>52.186484661086773</v>
      </c>
      <c r="AA15" s="1">
        <f>Z15/VLOOKUP(A15,'[233]geoMap (25)'!$A:$B,2,0)*VLOOKUP(A15,'[233]geoMap (25)'!$A:$C,3,0)</f>
        <v>58.848589085906362</v>
      </c>
    </row>
    <row r="16" spans="1:27" x14ac:dyDescent="0.2">
      <c r="A16" s="1" t="s">
        <v>60</v>
      </c>
      <c r="B16" s="1">
        <f>Notes!$C$6*VLOOKUP(A16,[208]geoMap!$A:$B,2,0)</f>
        <v>7000</v>
      </c>
      <c r="C16" s="1">
        <f>B16/VLOOKUP(A16,'[209]geoMap (1)'!$A:$B,2,0)*VLOOKUP(A16,'[209]geoMap (1)'!$A:$C,3,0)</f>
        <v>3294.1176470588234</v>
      </c>
      <c r="D16" s="1">
        <f>C16/VLOOKUP(A16,'[210]geoMap (2)'!$A:$B,2,0)*VLOOKUP(A16,'[210]geoMap (2)'!$A:$C,3,0)</f>
        <v>3867.0076726342709</v>
      </c>
      <c r="E16" s="1">
        <f>D16/VLOOKUP(A16,'[211]geoMap (3)'!$A:$B,2,0)*VLOOKUP(A16,'[211]geoMap (3)'!$A:$C,3,0)</f>
        <v>2917.2163144433976</v>
      </c>
      <c r="F16" s="1">
        <f>E16/VLOOKUP(A16,'[212]geoMap (4)'!$A:$B,2,0)*VLOOKUP(A16,'[212]geoMap (4)'!$A:$C,3,0)</f>
        <v>2802.8156746613035</v>
      </c>
      <c r="G16" s="1">
        <f>F16/VLOOKUP(A16,'[213]geoMap (5)'!$A:$B,2,0)*VLOOKUP(A16,'[213]geoMap (5)'!$A:$C,3,0)</f>
        <v>2917.2163144433976</v>
      </c>
      <c r="H16" s="1">
        <f>G16/VLOOKUP(A16,'[214]geoMap (6)'!$A:$B,2,0)*VLOOKUP(A16,'[214]geoMap (6)'!$A:$C,3,0)</f>
        <v>2112.4669863210811</v>
      </c>
      <c r="I16" s="1">
        <f>H16/VLOOKUP(A16,'[215]geoMap (7)'!$A:$B,2,0)*VLOOKUP(A16,'[215]geoMap (7)'!$A:$C,3,0)</f>
        <v>315.65598646177074</v>
      </c>
      <c r="J16" s="1">
        <f>I16/VLOOKUP(A16,'[216]geoMap (8)'!$A:$B,2,0)*VLOOKUP(A16,'[216]geoMap (8)'!$A:$C,3,0)</f>
        <v>1119.1439520008237</v>
      </c>
      <c r="K16" s="1">
        <f>J16/VLOOKUP(A16,'[217]geoMap (9)'!$A:$B,2,0)*VLOOKUP(A16,'[217]geoMap (9)'!$A:$C,3,0)</f>
        <v>1119.1439520008237</v>
      </c>
      <c r="L16" s="1">
        <f>K16/VLOOKUP(A16,'[218]geoMap (10)'!$A:$B,2,0)*VLOOKUP(A16,'[218]geoMap (10)'!$A:$C,3,0)</f>
        <v>413.92995484961972</v>
      </c>
      <c r="M16" s="1">
        <f>L16/VLOOKUP(A16,'[219]geoMap (11)'!$A:$B,2,0)*VLOOKUP(A16,'[219]geoMap (11)'!$A:$C,3,0)</f>
        <v>312.26294839532716</v>
      </c>
      <c r="N16" s="1">
        <f>M16/VLOOKUP(A16,'[220]geoMap (12)'!$A:$B,2,0)*VLOOKUP(A16,'[220]geoMap (12)'!$A:$C,3,0)</f>
        <v>509.48165264500744</v>
      </c>
      <c r="O16" s="1">
        <f>N16/VLOOKUP(A16,'[221]geoMap (13)'!$A:$B,2,0)*VLOOKUP(A16,'[221]geoMap (13)'!$A:$C,3,0)</f>
        <v>325.73417136320154</v>
      </c>
      <c r="P16" s="1">
        <f>O16/VLOOKUP(A16,'[222]geoMap (14)'!$A:$B,2,0)*VLOOKUP(A16,'[222]geoMap (14)'!$A:$C,3,0)</f>
        <v>167.80245191437658</v>
      </c>
      <c r="Q16" s="1">
        <f>P16/VLOOKUP(A16,'[223]geoMap (15)'!$A:$B,2,0)*VLOOKUP(A16,'[223]geoMap (15)'!$A:$C,3,0)</f>
        <v>111.86830127625106</v>
      </c>
      <c r="R16" s="1">
        <f>Q16/VLOOKUP(A16,'[224]geoMap (16)'!$A:$B,2,0)*VLOOKUP(A16,'[224]geoMap (16)'!$A:$C,3,0)</f>
        <v>62.925919467891219</v>
      </c>
      <c r="S16" s="1">
        <f>R16/VLOOKUP(A16,'[225]geoMap (17)'!$A:$B,2,0)*VLOOKUP(A16,'[225]geoMap (17)'!$A:$C,3,0)</f>
        <v>83.413428131855795</v>
      </c>
      <c r="T16" s="1">
        <f>S16/VLOOKUP(A16,'[226]geoMap (18)'!$A:$B,2,0)*VLOOKUP(A16,'[226]geoMap (18)'!$A:$C,3,0)</f>
        <v>83.413428131855795</v>
      </c>
      <c r="U16" s="1">
        <f>T16/VLOOKUP(A16,'[227]geoMap (19)'!$A:$B,2,0)*VLOOKUP(A16,'[227]geoMap (19)'!$A:$C,3,0)</f>
        <v>51.124359177589042</v>
      </c>
      <c r="V16" s="1">
        <f>U16/VLOOKUP(A16,'[228]geoMap (20)'!$A:$B,2,0)*VLOOKUP(A16,'[228]geoMap (20)'!$A:$C,3,0)</f>
        <v>76.686538766383563</v>
      </c>
      <c r="W16" s="1">
        <f>V16/VLOOKUP(A16,'[229]geoMap (21)'!$A:$B,2,0)*VLOOKUP(A16,'[229]geoMap (21)'!$A:$C,3,0)</f>
        <v>26.943919026026659</v>
      </c>
      <c r="X16" s="1">
        <f>W16/VLOOKUP(A16,'[230]geoMap (22)'!$A:$B,2,0)*VLOOKUP(A16,'[230]geoMap (22)'!$A:$C,3,0)</f>
        <v>34.292260578579388</v>
      </c>
      <c r="Y16" s="1">
        <f>X16/VLOOKUP(A16,'[231]geoMap (23)'!$A:$B,2,0)*VLOOKUP(A16,'[231]geoMap (23)'!$A:$C,3,0)</f>
        <v>43.644695281828312</v>
      </c>
      <c r="Z16" s="1">
        <f>Y16/VLOOKUP(A16,'[232]geoMap (24)'!$A:$B,2,0)*VLOOKUP(A16,'[232]geoMap (24)'!$A:$C,3,0)</f>
        <v>20.538680132625085</v>
      </c>
      <c r="AA16" s="1">
        <f>Z16/VLOOKUP(A16,'[233]geoMap (25)'!$A:$B,2,0)*VLOOKUP(A16,'[233]geoMap (25)'!$A:$C,3,0)</f>
        <v>30.808020198937623</v>
      </c>
    </row>
    <row r="17" spans="1:27" x14ac:dyDescent="0.2">
      <c r="A17" s="1" t="s">
        <v>61</v>
      </c>
      <c r="B17" s="1">
        <f>Notes!$C$6*VLOOKUP(A17,[208]geoMap!$A:$B,2,0)</f>
        <v>6000</v>
      </c>
      <c r="C17" s="1">
        <f>B17/VLOOKUP(A17,'[209]geoMap (1)'!$A:$B,2,0)*VLOOKUP(A17,'[209]geoMap (1)'!$A:$C,3,0)</f>
        <v>1792.2077922077924</v>
      </c>
      <c r="D17" s="1">
        <f>C17/VLOOKUP(A17,'[210]geoMap (2)'!$A:$B,2,0)*VLOOKUP(A17,'[210]geoMap (2)'!$A:$C,3,0)</f>
        <v>4387.8190774742507</v>
      </c>
      <c r="E17" s="1">
        <f>D17/VLOOKUP(A17,'[211]geoMap (3)'!$A:$B,2,0)*VLOOKUP(A17,'[211]geoMap (3)'!$A:$C,3,0)</f>
        <v>2689.3084668390566</v>
      </c>
      <c r="F17" s="1">
        <f>E17/VLOOKUP(A17,'[212]geoMap (4)'!$A:$B,2,0)*VLOOKUP(A17,'[212]geoMap (4)'!$A:$C,3,0)</f>
        <v>2200.3432910501369</v>
      </c>
      <c r="G17" s="1">
        <f>F17/VLOOKUP(A17,'[213]geoMap (5)'!$A:$B,2,0)*VLOOKUP(A17,'[213]geoMap (5)'!$A:$C,3,0)</f>
        <v>2031.0861148155109</v>
      </c>
      <c r="H17" s="1">
        <f>G17/VLOOKUP(A17,'[214]geoMap (6)'!$A:$B,2,0)*VLOOKUP(A17,'[214]geoMap (6)'!$A:$C,3,0)</f>
        <v>1661.7977303035998</v>
      </c>
      <c r="I17" s="1">
        <f>H17/VLOOKUP(A17,'[215]geoMap (7)'!$A:$B,2,0)*VLOOKUP(A17,'[215]geoMap (7)'!$A:$C,3,0)</f>
        <v>415.44943257589995</v>
      </c>
      <c r="J17" s="1">
        <f>I17/VLOOKUP(A17,'[216]geoMap (8)'!$A:$B,2,0)*VLOOKUP(A17,'[216]geoMap (8)'!$A:$C,3,0)</f>
        <v>623.17414886384984</v>
      </c>
      <c r="K17" s="1">
        <f>J17/VLOOKUP(A17,'[217]geoMap (9)'!$A:$B,2,0)*VLOOKUP(A17,'[217]geoMap (9)'!$A:$C,3,0)</f>
        <v>598.73594694762039</v>
      </c>
      <c r="L17" s="1">
        <f>K17/VLOOKUP(A17,'[218]geoMap (10)'!$A:$B,2,0)*VLOOKUP(A17,'[218]geoMap (10)'!$A:$C,3,0)</f>
        <v>221.45028174775004</v>
      </c>
      <c r="M17" s="1">
        <f>L17/VLOOKUP(A17,'[219]geoMap (11)'!$A:$B,2,0)*VLOOKUP(A17,'[219]geoMap (11)'!$A:$C,3,0)</f>
        <v>361.31361758843428</v>
      </c>
      <c r="N17" s="1">
        <f>M17/VLOOKUP(A17,'[220]geoMap (12)'!$A:$B,2,0)*VLOOKUP(A17,'[220]geoMap (12)'!$A:$C,3,0)</f>
        <v>333.52026238932393</v>
      </c>
      <c r="O17" s="1">
        <f>N17/VLOOKUP(A17,'[221]geoMap (13)'!$A:$B,2,0)*VLOOKUP(A17,'[221]geoMap (13)'!$A:$C,3,0)</f>
        <v>195.87697949849183</v>
      </c>
      <c r="P17" s="1">
        <f>O17/50*23</f>
        <v>90.103410569306249</v>
      </c>
      <c r="Q17" s="1">
        <f>O17/VLOOKUP(A17,'[240]geoMap (28)'!$A:$B,2,0)*VLOOKUP(A17,'[240]geoMap (28)'!$A:$C,3,0)</f>
        <v>83.947276927925074</v>
      </c>
      <c r="R17" s="1">
        <f>O17/VLOOKUP(A17,'[241]geoMap (29)'!$A:$B,2,0)*VLOOKUP(A17,'[241]geoMap (29)'!$A:$C,3,0)</f>
        <v>29.268973948050505</v>
      </c>
      <c r="S17" s="1">
        <f>R17/VLOOKUP(A17,'[225]geoMap (17)'!$A:$B,2,0)*VLOOKUP(A17,'[225]geoMap (17)'!$A:$C,3,0)</f>
        <v>83.304002775220667</v>
      </c>
      <c r="T17" s="1">
        <f>S17/VLOOKUP(A17,'[226]geoMap (18)'!$A:$B,2,0)*VLOOKUP(A17,'[226]geoMap (18)'!$A:$C,3,0)</f>
        <v>73.873360951610763</v>
      </c>
      <c r="U17" s="1">
        <f>T17/VLOOKUP(A17,'[227]geoMap (19)'!$A:$B,2,0)*VLOOKUP(A17,'[227]geoMap (19)'!$A:$C,3,0)</f>
        <v>23.32842977419287</v>
      </c>
      <c r="V17" s="1">
        <f>U17/37*7</f>
        <v>4.4134867140364893</v>
      </c>
      <c r="W17" s="1">
        <f>V17/3*14</f>
        <v>20.596271332170286</v>
      </c>
      <c r="X17" s="1">
        <f>W17/VLOOKUP(A17,'[230]geoMap (22)'!$A:$B,2,0)*VLOOKUP(A17,'[230]geoMap (22)'!$A:$C,3,0)</f>
        <v>41.816672098648759</v>
      </c>
      <c r="Y17" s="1">
        <f>X17/VLOOKUP(A17,'[231]geoMap (23)'!$A:$B,2,0)*VLOOKUP(A17,'[231]geoMap (23)'!$A:$C,3,0)</f>
        <v>27.877781399099174</v>
      </c>
      <c r="Z17" s="1">
        <f>Y17/VLOOKUP(A17,'[232]geoMap (24)'!$A:$B,2,0)*VLOOKUP(A17,'[232]geoMap (24)'!$A:$C,3,0)</f>
        <v>13.118955952517258</v>
      </c>
      <c r="AA17" s="1">
        <f>Z17/VLOOKUP(A17,'[233]geoMap (25)'!$A:$B,2,0)*VLOOKUP(A17,'[233]geoMap (25)'!$A:$C,3,0)</f>
        <v>25.46620861370997</v>
      </c>
    </row>
    <row r="18" spans="1:27" x14ac:dyDescent="0.2">
      <c r="A18" s="1" t="s">
        <v>57</v>
      </c>
      <c r="B18" s="1">
        <f>Notes!$C$6*VLOOKUP(A18,[208]geoMap!$A:$B,2,0)</f>
        <v>6000</v>
      </c>
      <c r="C18" s="1">
        <f>B18/VLOOKUP(A18,'[209]geoMap (1)'!$A:$B,2,0)*VLOOKUP(A18,'[209]geoMap (1)'!$A:$C,3,0)</f>
        <v>976.74418604651169</v>
      </c>
      <c r="D18" s="1">
        <f>C18/VLOOKUP(A18,'[210]geoMap (2)'!$A:$B,2,0)*VLOOKUP(A18,'[210]geoMap (2)'!$A:$C,3,0)</f>
        <v>1405.5587067498582</v>
      </c>
      <c r="E18" s="1">
        <f>D18/VLOOKUP(A18,'[211]geoMap (3)'!$A:$B,2,0)*VLOOKUP(A18,'[211]geoMap (3)'!$A:$C,3,0)</f>
        <v>2610.3233125354514</v>
      </c>
      <c r="F18" s="1">
        <f>E18/VLOOKUP(A18,'[212]geoMap (4)'!$A:$B,2,0)*VLOOKUP(A18,'[212]geoMap (4)'!$A:$C,3,0)</f>
        <v>2943.5560758378501</v>
      </c>
      <c r="G18" s="1">
        <f>F18/VLOOKUP(A18,'[213]geoMap (5)'!$A:$B,2,0)*VLOOKUP(A18,'[213]geoMap (5)'!$A:$C,3,0)</f>
        <v>735.88901895946253</v>
      </c>
      <c r="H18" s="1">
        <f>G18/VLOOKUP(A18,'[214]geoMap (6)'!$A:$B,2,0)*VLOOKUP(A18,'[214]geoMap (6)'!$A:$C,3,0)</f>
        <v>1563.7641652888581</v>
      </c>
      <c r="I18" s="1">
        <f>H18/65*4</f>
        <v>96.231640940852799</v>
      </c>
      <c r="J18" s="1">
        <f>H18/VLOOKUP(A18,'[239]geoMap (26)'!$A:$B,2,0)*VLOOKUP(A18,'[239]geoMap (26)'!$A:$C,3,0)</f>
        <v>441.06168764557538</v>
      </c>
      <c r="K18" s="1">
        <f>J18/VLOOKUP(A18,'[217]geoMap (9)'!$A:$B,2,0)*VLOOKUP(A18,'[217]geoMap (9)'!$A:$C,3,0)</f>
        <v>609.08518770103262</v>
      </c>
      <c r="L18" s="1">
        <f>K18/VLOOKUP(A18,'[218]geoMap (10)'!$A:$B,2,0)*VLOOKUP(A18,'[218]geoMap (10)'!$A:$C,3,0)</f>
        <v>225.27808312229976</v>
      </c>
      <c r="M18" s="1">
        <f>L18/45*19</f>
        <v>95.117412873859891</v>
      </c>
      <c r="N18" s="1">
        <f>M18/39*37</f>
        <v>90.239596829046562</v>
      </c>
      <c r="O18" s="1">
        <f>H18/VLOOKUP(A18,'[237]geoMap (27)'!$A:$B,2,0)*VLOOKUP(A18,'[237]geoMap (27)'!$A:$C,3,0)</f>
        <v>254.56625946562806</v>
      </c>
      <c r="P18" s="1">
        <f>O18/VLOOKUP(A18,'[222]geoMap (14)'!$A:$B,2,0)*VLOOKUP(A18,'[222]geoMap (14)'!$A:$C,3,0)</f>
        <v>143.19352094941578</v>
      </c>
      <c r="Q18" s="1">
        <f>P18/VLOOKUP(A18,'[223]geoMap (15)'!$A:$B,2,0)*VLOOKUP(A18,'[223]geoMap (15)'!$A:$C,3,0)</f>
        <v>112.50919503168383</v>
      </c>
      <c r="R18" s="1">
        <f>Q18/55*13</f>
        <v>26.59308246203436</v>
      </c>
      <c r="S18" s="1">
        <f>Q18/55*15</f>
        <v>30.684325917731954</v>
      </c>
      <c r="T18" s="1">
        <f>S18/30*39</f>
        <v>39.88962369305154</v>
      </c>
      <c r="U18" s="1">
        <f>O18/VLOOKUP(A18,'[238]geoMap (31)'!$A:$B,2,0)*VLOOKUP(A18,'[238]geoMap (31)'!$A:$C,3,0)</f>
        <v>19.160901250101038</v>
      </c>
      <c r="V18" s="1">
        <f>U18/VLOOKUP(A18,'[228]geoMap (20)'!$A:$B,2,0)*VLOOKUP(A18,'[228]geoMap (20)'!$A:$C,3,0)</f>
        <v>20.75764302094279</v>
      </c>
      <c r="W18" s="1">
        <f>V18/VLOOKUP(A18,'[229]geoMap (21)'!$A:$B,2,0)*VLOOKUP(A18,'[229]geoMap (21)'!$A:$C,3,0)</f>
        <v>88.493109720861383</v>
      </c>
      <c r="X18" s="1">
        <f>W18/VLOOKUP(A18,'[230]geoMap (22)'!$A:$B,2,0)*VLOOKUP(A18,'[230]geoMap (22)'!$A:$C,3,0)</f>
        <v>0</v>
      </c>
      <c r="Y18" s="1">
        <f>V18/66*34</f>
        <v>10.693331253212952</v>
      </c>
      <c r="Z18" s="1">
        <f>Y18/VLOOKUP(A18,'[232]geoMap (24)'!$A:$B,2,0)*VLOOKUP(A18,'[232]geoMap (24)'!$A:$C,3,0)</f>
        <v>6.5539772197111636</v>
      </c>
      <c r="AA18" s="1">
        <f>Z18/VLOOKUP(A18,'[233]geoMap (25)'!$A:$B,2,0)*VLOOKUP(A18,'[233]geoMap (25)'!$A:$C,3,0)</f>
        <v>0</v>
      </c>
    </row>
    <row r="19" spans="1:27" x14ac:dyDescent="0.2">
      <c r="A19" s="1" t="s">
        <v>71</v>
      </c>
      <c r="B19" s="1">
        <f>Notes!$C$6*VLOOKUP(A19,[208]geoMap!$A:$B,2,0)</f>
        <v>8000</v>
      </c>
      <c r="C19" s="1">
        <f>B19/VLOOKUP(A19,'[209]geoMap (1)'!$A:$B,2,0)*VLOOKUP(A19,'[209]geoMap (1)'!$A:$C,3,0)</f>
        <v>4698.4126984126979</v>
      </c>
      <c r="D19" s="1">
        <f>C19/VLOOKUP(A19,'[210]geoMap (2)'!$A:$B,2,0)*VLOOKUP(A19,'[210]geoMap (2)'!$A:$C,3,0)</f>
        <v>4514.161220043572</v>
      </c>
      <c r="E19" s="1">
        <f>D19/VLOOKUP(A19,'[211]geoMap (3)'!$A:$B,2,0)*VLOOKUP(A19,'[211]geoMap (3)'!$A:$C,3,0)</f>
        <v>4514.161220043572</v>
      </c>
      <c r="F19" s="1">
        <f>E19/VLOOKUP(A19,'[212]geoMap (4)'!$A:$B,2,0)*VLOOKUP(A19,'[212]geoMap (4)'!$A:$C,3,0)</f>
        <v>3693.4046345811043</v>
      </c>
      <c r="G19" s="1">
        <f>F19/VLOOKUP(A19,'[213]geoMap (5)'!$A:$B,2,0)*VLOOKUP(A19,'[213]geoMap (5)'!$A:$C,3,0)</f>
        <v>3275.2833551945637</v>
      </c>
      <c r="H19" s="1">
        <f>G19/VLOOKUP(A19,'[214]geoMap (6)'!$A:$B,2,0)*VLOOKUP(A19,'[214]geoMap (6)'!$A:$C,3,0)</f>
        <v>1150.7752329061982</v>
      </c>
      <c r="I19" s="1">
        <f>H19/VLOOKUP(A19,'[215]geoMap (7)'!$A:$B,2,0)*VLOOKUP(A19,'[215]geoMap (7)'!$A:$C,3,0)</f>
        <v>517.0149597114804</v>
      </c>
      <c r="J19" s="1">
        <f>I19/VLOOKUP(A19,'[216]geoMap (8)'!$A:$B,2,0)*VLOOKUP(A19,'[216]geoMap (8)'!$A:$C,3,0)</f>
        <v>1551.0448791344411</v>
      </c>
      <c r="K19" s="1">
        <f>J19/VLOOKUP(A19,'[217]geoMap (9)'!$A:$B,2,0)*VLOOKUP(A19,'[217]geoMap (9)'!$A:$C,3,0)</f>
        <v>950.64040979207675</v>
      </c>
      <c r="L19" s="1">
        <f>K19/VLOOKUP(A19,'[218]geoMap (10)'!$A:$B,2,0)*VLOOKUP(A19,'[218]geoMap (10)'!$A:$C,3,0)</f>
        <v>660.61452205890077</v>
      </c>
      <c r="M19" s="1">
        <f>L19/VLOOKUP(A19,'[219]geoMap (11)'!$A:$B,2,0)*VLOOKUP(A19,'[219]geoMap (11)'!$A:$C,3,0)</f>
        <v>687.57838010212117</v>
      </c>
      <c r="N19" s="1">
        <f>M19/VLOOKUP(A19,'[220]geoMap (12)'!$A:$B,2,0)*VLOOKUP(A19,'[220]geoMap (12)'!$A:$C,3,0)</f>
        <v>687.57838010212117</v>
      </c>
      <c r="O19" s="1">
        <f>N19/VLOOKUP(A19,'[221]geoMap (13)'!$A:$B,2,0)*VLOOKUP(A19,'[221]geoMap (13)'!$A:$C,3,0)</f>
        <v>458.38558673474745</v>
      </c>
      <c r="P19" s="1">
        <f>O19/VLOOKUP(A19,'[222]geoMap (14)'!$A:$B,2,0)*VLOOKUP(A19,'[222]geoMap (14)'!$A:$C,3,0)</f>
        <v>205.941350561988</v>
      </c>
      <c r="Q19" s="1">
        <f>P19/VLOOKUP(A19,'[223]geoMap (15)'!$A:$B,2,0)*VLOOKUP(A19,'[223]geoMap (15)'!$A:$C,3,0)</f>
        <v>175.43152084910088</v>
      </c>
      <c r="R19" s="1">
        <f>Q19/VLOOKUP(A19,'[224]geoMap (16)'!$A:$B,2,0)*VLOOKUP(A19,'[224]geoMap (16)'!$A:$C,3,0)</f>
        <v>75.184937506757521</v>
      </c>
      <c r="S19" s="1">
        <f>R19/VLOOKUP(A19,'[225]geoMap (17)'!$A:$B,2,0)*VLOOKUP(A19,'[225]geoMap (17)'!$A:$C,3,0)</f>
        <v>159.76799220185976</v>
      </c>
      <c r="T19" s="1">
        <f>S19/VLOOKUP(A19,'[226]geoMap (18)'!$A:$B,2,0)*VLOOKUP(A19,'[226]geoMap (18)'!$A:$C,3,0)</f>
        <v>153.50258074296329</v>
      </c>
      <c r="U19" s="1">
        <f>T19/VLOOKUP(A19,'[227]geoMap (19)'!$A:$B,2,0)*VLOOKUP(A19,'[227]geoMap (19)'!$A:$C,3,0)</f>
        <v>86.345201667916854</v>
      </c>
      <c r="V19" s="1">
        <f>U19/VLOOKUP(A19,'[228]geoMap (20)'!$A:$B,2,0)*VLOOKUP(A19,'[228]geoMap (20)'!$A:$C,3,0)</f>
        <v>62.525835690560477</v>
      </c>
      <c r="W19" s="1">
        <f>V19/VLOOKUP(A19,'[229]geoMap (21)'!$A:$B,2,0)*VLOOKUP(A19,'[229]geoMap (21)'!$A:$C,3,0)</f>
        <v>60.07384213406791</v>
      </c>
      <c r="X19" s="1">
        <f>W19/VLOOKUP(A19,'[230]geoMap (22)'!$A:$B,2,0)*VLOOKUP(A19,'[230]geoMap (22)'!$A:$C,3,0)</f>
        <v>170.97939684311635</v>
      </c>
      <c r="Y19" s="1">
        <f>X19/VLOOKUP(A19,'[231]geoMap (23)'!$A:$B,2,0)*VLOOKUP(A19,'[231]geoMap (23)'!$A:$C,3,0)</f>
        <v>73.276884361335576</v>
      </c>
      <c r="Z19" s="1">
        <f>Y19/VLOOKUP(A19,'[232]geoMap (24)'!$A:$B,2,0)*VLOOKUP(A19,'[232]geoMap (24)'!$A:$C,3,0)</f>
        <v>44.911638802108897</v>
      </c>
      <c r="AA19" s="1">
        <f>Z19/VLOOKUP(A19,'[233]geoMap (25)'!$A:$B,2,0)*VLOOKUP(A19,'[233]geoMap (25)'!$A:$C,3,0)</f>
        <v>36.745886292634552</v>
      </c>
    </row>
    <row r="20" spans="1:27" x14ac:dyDescent="0.2">
      <c r="A20" s="1" t="s">
        <v>79</v>
      </c>
      <c r="B20" s="1">
        <f>Notes!$C$6*VLOOKUP(A20,[208]geoMap!$A:$B,2,0)</f>
        <v>6000</v>
      </c>
      <c r="C20" s="1">
        <f>B20/VLOOKUP(A20,'[209]geoMap (1)'!$A:$B,2,0)*VLOOKUP(A20,'[209]geoMap (1)'!$A:$C,3,0)</f>
        <v>3836.0655737704924</v>
      </c>
      <c r="D20" s="1">
        <f>C20/VLOOKUP(A20,'[210]geoMap (2)'!$A:$B,2,0)*VLOOKUP(A20,'[210]geoMap (2)'!$A:$C,3,0)</f>
        <v>5085.0171559283262</v>
      </c>
      <c r="E20" s="1">
        <f>D20/VLOOKUP(A20,'[211]geoMap (3)'!$A:$B,2,0)*VLOOKUP(A20,'[211]geoMap (3)'!$A:$C,3,0)</f>
        <v>3390.0114372855514</v>
      </c>
      <c r="F20" s="1">
        <f>E20/VLOOKUP(A20,'[212]geoMap (4)'!$A:$B,2,0)*VLOOKUP(A20,'[212]geoMap (4)'!$A:$C,3,0)</f>
        <v>2663.5804150100762</v>
      </c>
      <c r="G20" s="1">
        <f>F20/VLOOKUP(A20,'[213]geoMap (5)'!$A:$B,2,0)*VLOOKUP(A20,'[213]geoMap (5)'!$A:$C,3,0)</f>
        <v>3003.6119573517885</v>
      </c>
      <c r="H20" s="1">
        <f>G20/VLOOKUP(A20,'[214]geoMap (6)'!$A:$B,2,0)*VLOOKUP(A20,'[214]geoMap (6)'!$A:$C,3,0)</f>
        <v>2002.4079715678592</v>
      </c>
      <c r="I20" s="1">
        <f>H20/VLOOKUP(A20,'[215]geoMap (7)'!$A:$B,2,0)*VLOOKUP(A20,'[215]geoMap (7)'!$A:$C,3,0)</f>
        <v>986.26064271252778</v>
      </c>
      <c r="J20" s="1">
        <f>I20/VLOOKUP(A20,'[216]geoMap (8)'!$A:$B,2,0)*VLOOKUP(A20,'[216]geoMap (8)'!$A:$C,3,0)</f>
        <v>1205.4296744264227</v>
      </c>
      <c r="K20" s="1">
        <f>J20/VLOOKUP(A20,'[217]geoMap (9)'!$A:$B,2,0)*VLOOKUP(A20,'[217]geoMap (9)'!$A:$C,3,0)</f>
        <v>803.61978295094855</v>
      </c>
      <c r="L20" s="1">
        <f>K20/VLOOKUP(A20,'[218]geoMap (10)'!$A:$B,2,0)*VLOOKUP(A20,'[218]geoMap (10)'!$A:$C,3,0)</f>
        <v>395.81272891613878</v>
      </c>
      <c r="M20" s="1">
        <f>L20/VLOOKUP(A20,'[219]geoMap (11)'!$A:$B,2,0)*VLOOKUP(A20,'[219]geoMap (11)'!$A:$C,3,0)</f>
        <v>569.58417087932162</v>
      </c>
      <c r="N20" s="1">
        <f>M20/VLOOKUP(A20,'[220]geoMap (12)'!$A:$B,2,0)*VLOOKUP(A20,'[220]geoMap (12)'!$A:$C,3,0)</f>
        <v>668.64228755398631</v>
      </c>
      <c r="O20" s="1">
        <f>N20/VLOOKUP(A20,'[221]geoMap (13)'!$A:$B,2,0)*VLOOKUP(A20,'[221]geoMap (13)'!$A:$C,3,0)</f>
        <v>376.11128674911726</v>
      </c>
      <c r="P20" s="1">
        <f>O20/VLOOKUP(A20,'[222]geoMap (14)'!$A:$B,2,0)*VLOOKUP(A20,'[222]geoMap (14)'!$A:$C,3,0)</f>
        <v>118.77198528919492</v>
      </c>
      <c r="Q20" s="1">
        <f>P20/VLOOKUP(A20,'[223]geoMap (15)'!$A:$B,2,0)*VLOOKUP(A20,'[223]geoMap (15)'!$A:$C,3,0)</f>
        <v>133.93436638994322</v>
      </c>
      <c r="R20" s="1">
        <f>Q20/VLOOKUP(A20,'[224]geoMap (16)'!$A:$B,2,0)*VLOOKUP(A20,'[224]geoMap (16)'!$A:$C,3,0)</f>
        <v>68.996491776637427</v>
      </c>
      <c r="S20" s="1">
        <f>R20/VLOOKUP(A20,'[225]geoMap (17)'!$A:$B,2,0)*VLOOKUP(A20,'[225]geoMap (17)'!$A:$C,3,0)</f>
        <v>103.49473766495613</v>
      </c>
      <c r="T20" s="1">
        <f>S20/VLOOKUP(A20,'[226]geoMap (18)'!$A:$B,2,0)*VLOOKUP(A20,'[226]geoMap (18)'!$A:$C,3,0)</f>
        <v>103.49473766495613</v>
      </c>
      <c r="U20" s="1">
        <f>T20/VLOOKUP(A20,'[227]geoMap (19)'!$A:$B,2,0)*VLOOKUP(A20,'[227]geoMap (19)'!$A:$C,3,0)</f>
        <v>66.168766703824417</v>
      </c>
      <c r="V20" s="1">
        <f>U20/VLOOKUP(A20,'[228]geoMap (20)'!$A:$B,2,0)*VLOOKUP(A20,'[228]geoMap (20)'!$A:$C,3,0)</f>
        <v>23.248485598641011</v>
      </c>
      <c r="W20" s="1">
        <f>V20/VLOOKUP(A20,'[229]geoMap (21)'!$A:$B,2,0)*VLOOKUP(A20,'[229]geoMap (21)'!$A:$C,3,0)</f>
        <v>24.197403378177377</v>
      </c>
      <c r="X20" s="1">
        <f>W20/VLOOKUP(A20,'[230]geoMap (22)'!$A:$B,2,0)*VLOOKUP(A20,'[230]geoMap (22)'!$A:$C,3,0)</f>
        <v>37.847220668431277</v>
      </c>
      <c r="Y20" s="1">
        <f>X20/VLOOKUP(A20,'[231]geoMap (23)'!$A:$B,2,0)*VLOOKUP(A20,'[231]geoMap (23)'!$A:$C,3,0)</f>
        <v>26.300610972977665</v>
      </c>
      <c r="Z20" s="1">
        <f>Y20/VLOOKUP(A20,'[232]geoMap (24)'!$A:$B,2,0)*VLOOKUP(A20,'[232]geoMap (24)'!$A:$C,3,0)</f>
        <v>12.954032270272581</v>
      </c>
      <c r="AA20" s="1">
        <f>Z20/VLOOKUP(A20,'[233]geoMap (25)'!$A:$B,2,0)*VLOOKUP(A20,'[233]geoMap (25)'!$A:$C,3,0)</f>
        <v>21.135526335707898</v>
      </c>
    </row>
    <row r="21" spans="1:27" x14ac:dyDescent="0.2">
      <c r="A21" s="1" t="s">
        <v>94</v>
      </c>
      <c r="B21" s="1">
        <f>Notes!$C$6*VLOOKUP(A21,[208]geoMap!$A:$B,2,0)</f>
        <v>5000</v>
      </c>
      <c r="C21" s="1">
        <f>B21/VLOOKUP(A21,'[209]geoMap (1)'!$A:$B,2,0)*VLOOKUP(A21,'[209]geoMap (1)'!$A:$C,3,0)</f>
        <v>2142.8571428571427</v>
      </c>
      <c r="D21" s="1">
        <f>C21/VLOOKUP(A21,'[210]geoMap (2)'!$A:$B,2,0)*VLOOKUP(A21,'[210]geoMap (2)'!$A:$C,3,0)</f>
        <v>3648.6486486486488</v>
      </c>
      <c r="E21" s="1">
        <f>D21/VLOOKUP(A21,'[211]geoMap (3)'!$A:$B,2,0)*VLOOKUP(A21,'[211]geoMap (3)'!$A:$C,3,0)</f>
        <v>2866.7953667953666</v>
      </c>
      <c r="F21" s="1">
        <f>E21/VLOOKUP(A21,'[212]geoMap (4)'!$A:$B,2,0)*VLOOKUP(A21,'[212]geoMap (4)'!$A:$C,3,0)</f>
        <v>2345.5598455598451</v>
      </c>
      <c r="G21" s="1">
        <f>F21/VLOOKUP(A21,'[213]geoMap (5)'!$A:$B,2,0)*VLOOKUP(A21,'[213]geoMap (5)'!$A:$C,3,0)</f>
        <v>2644.9930173334428</v>
      </c>
      <c r="H21" s="1">
        <f>G21/VLOOKUP(A21,'[214]geoMap (6)'!$A:$B,2,0)*VLOOKUP(A21,'[214]geoMap (6)'!$A:$C,3,0)</f>
        <v>1302.7577548060242</v>
      </c>
      <c r="I21" s="1">
        <f>H21/VLOOKUP(A21,'[215]geoMap (7)'!$A:$B,2,0)*VLOOKUP(A21,'[215]geoMap (7)'!$A:$C,3,0)</f>
        <v>229.89842731871016</v>
      </c>
      <c r="J21" s="1">
        <f>I21/VLOOKUP(A21,'[216]geoMap (8)'!$A:$B,2,0)*VLOOKUP(A21,'[216]geoMap (8)'!$A:$C,3,0)</f>
        <v>1412.2331963863621</v>
      </c>
      <c r="K21" s="1">
        <f>J21/VLOOKUP(A21,'[217]geoMap (9)'!$A:$B,2,0)*VLOOKUP(A21,'[217]geoMap (9)'!$A:$C,3,0)</f>
        <v>981.38239070916688</v>
      </c>
      <c r="L21" s="1">
        <f>K21/VLOOKUP(A21,'[218]geoMap (10)'!$A:$B,2,0)*VLOOKUP(A21,'[218]geoMap (10)'!$A:$C,3,0)</f>
        <v>601.49243301529577</v>
      </c>
      <c r="M21" s="1">
        <f>L21/VLOOKUP(A21,'[219]geoMap (11)'!$A:$B,2,0)*VLOOKUP(A21,'[219]geoMap (11)'!$A:$C,3,0)</f>
        <v>417.98626701062926</v>
      </c>
      <c r="N21" s="1">
        <f>M21/VLOOKUP(A21,'[220]geoMap (12)'!$A:$B,2,0)*VLOOKUP(A21,'[220]geoMap (12)'!$A:$C,3,0)</f>
        <v>711.7063465316121</v>
      </c>
      <c r="O21" s="1">
        <f>N21/VLOOKUP(A21,'[221]geoMap (13)'!$A:$B,2,0)*VLOOKUP(A21,'[221]geoMap (13)'!$A:$C,3,0)</f>
        <v>366.63660275870927</v>
      </c>
      <c r="P21" s="1">
        <f>O21/VLOOKUP(A21,'[222]geoMap (14)'!$A:$B,2,0)*VLOOKUP(A21,'[222]geoMap (14)'!$A:$C,3,0)</f>
        <v>312.32006901667825</v>
      </c>
      <c r="Q21" s="1">
        <f>P21/VLOOKUP(A21,'[223]geoMap (15)'!$A:$B,2,0)*VLOOKUP(A21,'[223]geoMap (15)'!$A:$C,3,0)</f>
        <v>133.85145815000496</v>
      </c>
      <c r="R21" s="1">
        <f>Q21/VLOOKUP(A21,'[224]geoMap (16)'!$A:$B,2,0)*VLOOKUP(A21,'[224]geoMap (16)'!$A:$C,3,0)</f>
        <v>259.82930111471552</v>
      </c>
      <c r="S21" s="1">
        <f>R21/VLOOKUP(A21,'[225]geoMap (17)'!$A:$B,2,0)*VLOOKUP(A21,'[225]geoMap (17)'!$A:$C,3,0)</f>
        <v>77.611349683616325</v>
      </c>
      <c r="T21" s="1">
        <f>S21/VLOOKUP(A21,'[226]geoMap (18)'!$A:$B,2,0)*VLOOKUP(A21,'[226]geoMap (18)'!$A:$C,3,0)</f>
        <v>66.113371952710196</v>
      </c>
      <c r="U21" s="1">
        <f>T21/VLOOKUP(A21,'[227]geoMap (19)'!$A:$B,2,0)*VLOOKUP(A21,'[227]geoMap (19)'!$A:$C,3,0)</f>
        <v>42.269205018945868</v>
      </c>
      <c r="V21" s="1">
        <f>U21/VLOOKUP(A21,'[228]geoMap (20)'!$A:$B,2,0)*VLOOKUP(A21,'[228]geoMap (20)'!$A:$C,3,0)</f>
        <v>25.906932108386176</v>
      </c>
      <c r="W21" s="1">
        <f>V21/VLOOKUP(A21,'[229]geoMap (21)'!$A:$B,2,0)*VLOOKUP(A21,'[229]geoMap (21)'!$A:$C,3,0)</f>
        <v>60.449508252901076</v>
      </c>
      <c r="X21" s="1">
        <f>W21/VLOOKUP(A21,'[230]geoMap (22)'!$A:$B,2,0)*VLOOKUP(A21,'[230]geoMap (22)'!$A:$C,3,0)</f>
        <v>15.112377063225267</v>
      </c>
      <c r="Y21" s="1">
        <f>X21/VLOOKUP(A21,'[231]geoMap (23)'!$A:$B,2,0)*VLOOKUP(A21,'[231]geoMap (23)'!$A:$C,3,0)</f>
        <v>18.470683077275329</v>
      </c>
      <c r="Z21" s="1">
        <f>Y21/VLOOKUP(A21,'[232]geoMap (24)'!$A:$B,2,0)*VLOOKUP(A21,'[232]geoMap (24)'!$A:$C,3,0)</f>
        <v>20.009906667048273</v>
      </c>
      <c r="AA21" s="1">
        <f>Z21/VLOOKUP(A21,'[233]geoMap (25)'!$A:$B,2,0)*VLOOKUP(A21,'[233]geoMap (25)'!$A:$C,3,0)</f>
        <v>30.014860000572408</v>
      </c>
    </row>
    <row r="22" spans="1:27" x14ac:dyDescent="0.2">
      <c r="A22" s="1" t="s">
        <v>78</v>
      </c>
      <c r="B22" s="1">
        <f>Notes!$C$6*VLOOKUP(A22,[208]geoMap!$A:$B,2,0)</f>
        <v>7000</v>
      </c>
      <c r="C22" s="1">
        <f>B22/VLOOKUP(A22,'[209]geoMap (1)'!$A:$B,2,0)*VLOOKUP(A22,'[209]geoMap (1)'!$A:$C,3,0)</f>
        <v>3769.2307692307691</v>
      </c>
      <c r="D22" s="1">
        <f>C22/VLOOKUP(A22,'[210]geoMap (2)'!$A:$B,2,0)*VLOOKUP(A22,'[210]geoMap (2)'!$A:$C,3,0)</f>
        <v>5653.8461538461534</v>
      </c>
      <c r="E22" s="1">
        <f>D22/VLOOKUP(A22,'[211]geoMap (3)'!$A:$B,2,0)*VLOOKUP(A22,'[211]geoMap (3)'!$A:$C,3,0)</f>
        <v>4442.3076923076915</v>
      </c>
      <c r="F22" s="1">
        <f>E22/VLOOKUP(A22,'[212]geoMap (4)'!$A:$B,2,0)*VLOOKUP(A22,'[212]geoMap (4)'!$A:$C,3,0)</f>
        <v>4442.3076923076915</v>
      </c>
      <c r="G22" s="1">
        <f>F22/VLOOKUP(A22,'[213]geoMap (5)'!$A:$B,2,0)*VLOOKUP(A22,'[213]geoMap (5)'!$A:$C,3,0)</f>
        <v>4100.5917159763303</v>
      </c>
      <c r="H22" s="1">
        <f>G22/VLOOKUP(A22,'[214]geoMap (6)'!$A:$B,2,0)*VLOOKUP(A22,'[214]geoMap (6)'!$A:$C,3,0)</f>
        <v>2733.7278106508875</v>
      </c>
      <c r="I22" s="1">
        <f>H22/VLOOKUP(A22,'[215]geoMap (7)'!$A:$B,2,0)*VLOOKUP(A22,'[215]geoMap (7)'!$A:$C,3,0)</f>
        <v>911.24260355029583</v>
      </c>
      <c r="J22" s="1">
        <f>I22/VLOOKUP(A22,'[216]geoMap (8)'!$A:$B,2,0)*VLOOKUP(A22,'[216]geoMap (8)'!$A:$C,3,0)</f>
        <v>1159.7633136094676</v>
      </c>
      <c r="K22" s="1">
        <f>J22/VLOOKUP(A22,'[217]geoMap (9)'!$A:$B,2,0)*VLOOKUP(A22,'[217]geoMap (9)'!$A:$C,3,0)</f>
        <v>1028.4693535782069</v>
      </c>
      <c r="L22" s="1">
        <f>K22/VLOOKUP(A22,'[218]geoMap (10)'!$A:$B,2,0)*VLOOKUP(A22,'[218]geoMap (10)'!$A:$C,3,0)</f>
        <v>257.11733839455172</v>
      </c>
      <c r="M22" s="1">
        <f>L22/VLOOKUP(A22,'[219]geoMap (11)'!$A:$B,2,0)*VLOOKUP(A22,'[219]geoMap (11)'!$A:$C,3,0)</f>
        <v>1171.312319352958</v>
      </c>
      <c r="N22" s="1">
        <f>M22/VLOOKUP(A22,'[220]geoMap (12)'!$A:$B,2,0)*VLOOKUP(A22,'[220]geoMap (12)'!$A:$C,3,0)</f>
        <v>813.9627981944285</v>
      </c>
      <c r="O22" s="1">
        <f>N22/VLOOKUP(A22,'[221]geoMap (13)'!$A:$B,2,0)*VLOOKUP(A22,'[221]geoMap (13)'!$A:$C,3,0)</f>
        <v>498.88042469981099</v>
      </c>
      <c r="P22" s="1">
        <f>O22/VLOOKUP(A22,'[222]geoMap (14)'!$A:$B,2,0)*VLOOKUP(A22,'[222]geoMap (14)'!$A:$C,3,0)</f>
        <v>149.01623075448902</v>
      </c>
      <c r="Q22" s="1">
        <f>P22/VLOOKUP(A22,'[223]geoMap (15)'!$A:$B,2,0)*VLOOKUP(A22,'[223]geoMap (15)'!$A:$C,3,0)</f>
        <v>302.54810486517465</v>
      </c>
      <c r="R22" s="1">
        <f>Q22/VLOOKUP(A22,'[224]geoMap (16)'!$A:$B,2,0)*VLOOKUP(A22,'[224]geoMap (16)'!$A:$C,3,0)</f>
        <v>41.256559754341993</v>
      </c>
      <c r="S22" s="1">
        <f>R22/VLOOKUP(A22,'[225]geoMap (17)'!$A:$B,2,0)*VLOOKUP(A22,'[225]geoMap (17)'!$A:$C,3,0)</f>
        <v>253.43315277667222</v>
      </c>
      <c r="T22" s="1">
        <f>S22/VLOOKUP(A22,'[226]geoMap (18)'!$A:$B,2,0)*VLOOKUP(A22,'[226]geoMap (18)'!$A:$C,3,0)</f>
        <v>130.55647264252812</v>
      </c>
      <c r="U22" s="1">
        <f>T22/VLOOKUP(A22,'[227]geoMap (19)'!$A:$B,2,0)*VLOOKUP(A22,'[227]geoMap (19)'!$A:$C,3,0)</f>
        <v>41.22835978185099</v>
      </c>
      <c r="V22" s="1">
        <f>U22/VLOOKUP(A22,'[228]geoMap (20)'!$A:$B,2,0)*VLOOKUP(A22,'[228]geoMap (20)'!$A:$C,3,0)</f>
        <v>9.0501277569916816</v>
      </c>
      <c r="W22" s="1">
        <f>S22/VLOOKUP(A22,'[235]geoMap (32)'!$A:$B,2,0)*VLOOKUP(A22,'[235]geoMap (32)'!$A:$C,3,0)</f>
        <v>48.272981481270904</v>
      </c>
      <c r="X22" s="1">
        <f>W22/VLOOKUP(A22,'[230]geoMap (22)'!$A:$B,2,0)*VLOOKUP(A22,'[230]geoMap (22)'!$A:$C,3,0)</f>
        <v>54.4354897554757</v>
      </c>
      <c r="Y22" s="1">
        <f>X22/VLOOKUP(A22,'[231]geoMap (23)'!$A:$B,2,0)*VLOOKUP(A22,'[231]geoMap (23)'!$A:$C,3,0)</f>
        <v>69.281532416059989</v>
      </c>
      <c r="Z22" s="1">
        <f>Y22/VLOOKUP(A22,'[232]geoMap (24)'!$A:$B,2,0)*VLOOKUP(A22,'[232]geoMap (24)'!$A:$C,3,0)</f>
        <v>29.69208532116857</v>
      </c>
      <c r="AA22" s="1">
        <f>Z22/VLOOKUP(A22,'[233]geoMap (25)'!$A:$B,2,0)*VLOOKUP(A22,'[233]geoMap (25)'!$A:$C,3,0)</f>
        <v>36.290326503650476</v>
      </c>
    </row>
    <row r="23" spans="1:27" x14ac:dyDescent="0.2">
      <c r="A23" s="1" t="s">
        <v>81</v>
      </c>
      <c r="B23" s="1">
        <f>Notes!$C$6*VLOOKUP(A23,[208]geoMap!$A:$B,2,0)</f>
        <v>7000</v>
      </c>
      <c r="C23" s="1">
        <f>B23/VLOOKUP(A23,'[209]geoMap (1)'!$A:$B,2,0)*VLOOKUP(A23,'[209]geoMap (1)'!$A:$C,3,0)</f>
        <v>3294.1176470588234</v>
      </c>
      <c r="D23" s="1">
        <f>C23/VLOOKUP(A23,'[210]geoMap (2)'!$A:$B,2,0)*VLOOKUP(A23,'[210]geoMap (2)'!$A:$C,3,0)</f>
        <v>4366.6210670314631</v>
      </c>
      <c r="E23" s="1">
        <f>D23/VLOOKUP(A23,'[211]geoMap (3)'!$A:$B,2,0)*VLOOKUP(A23,'[211]geoMap (3)'!$A:$C,3,0)</f>
        <v>3294.117647058823</v>
      </c>
      <c r="F23" s="1">
        <f>E23/VLOOKUP(A23,'[212]geoMap (4)'!$A:$B,2,0)*VLOOKUP(A23,'[212]geoMap (4)'!$A:$C,3,0)</f>
        <v>2921.1986681465028</v>
      </c>
      <c r="G23" s="1">
        <f>F23/VLOOKUP(A23,'[213]geoMap (5)'!$A:$B,2,0)*VLOOKUP(A23,'[213]geoMap (5)'!$A:$C,3,0)</f>
        <v>3164.6318904920449</v>
      </c>
      <c r="H23" s="1">
        <f>G23/VLOOKUP(A23,'[214]geoMap (6)'!$A:$B,2,0)*VLOOKUP(A23,'[214]geoMap (6)'!$A:$C,3,0)</f>
        <v>2023.2892414621272</v>
      </c>
      <c r="I23" s="1">
        <f>H23/VLOOKUP(A23,'[215]geoMap (7)'!$A:$B,2,0)*VLOOKUP(A23,'[215]geoMap (7)'!$A:$C,3,0)</f>
        <v>414.40863981754416</v>
      </c>
      <c r="J23" s="1">
        <f>I23/VLOOKUP(A23,'[216]geoMap (8)'!$A:$B,2,0)*VLOOKUP(A23,'[216]geoMap (8)'!$A:$C,3,0)</f>
        <v>1243.2259194526325</v>
      </c>
      <c r="K23" s="1">
        <f>J23/VLOOKUP(A23,'[217]geoMap (9)'!$A:$B,2,0)*VLOOKUP(A23,'[217]geoMap (9)'!$A:$C,3,0)</f>
        <v>1243.2259194526325</v>
      </c>
      <c r="L23" s="1">
        <f>K23/VLOOKUP(A23,'[218]geoMap (10)'!$A:$B,2,0)*VLOOKUP(A23,'[218]geoMap (10)'!$A:$C,3,0)</f>
        <v>532.81110833684249</v>
      </c>
      <c r="M23" s="1">
        <f>L23/VLOOKUP(A23,'[219]geoMap (11)'!$A:$B,2,0)*VLOOKUP(A23,'[219]geoMap (11)'!$A:$C,3,0)</f>
        <v>418.63729940751904</v>
      </c>
      <c r="N23" s="1">
        <f>M23/VLOOKUP(A23,'[220]geoMap (12)'!$A:$B,2,0)*VLOOKUP(A23,'[220]geoMap (12)'!$A:$C,3,0)</f>
        <v>627.95594911127853</v>
      </c>
      <c r="O23" s="1">
        <f>N23/VLOOKUP(A23,'[221]geoMap (13)'!$A:$B,2,0)*VLOOKUP(A23,'[221]geoMap (13)'!$A:$C,3,0)</f>
        <v>401.48003303835839</v>
      </c>
      <c r="P23" s="1">
        <f>O23/VLOOKUP(A23,'[222]geoMap (14)'!$A:$B,2,0)*VLOOKUP(A23,'[222]geoMap (14)'!$A:$C,3,0)</f>
        <v>163.98480222693513</v>
      </c>
      <c r="Q23" s="1">
        <f>P23/VLOOKUP(A23,'[223]geoMap (15)'!$A:$B,2,0)*VLOOKUP(A23,'[223]geoMap (15)'!$A:$C,3,0)</f>
        <v>104.84274240738476</v>
      </c>
      <c r="R23" s="1">
        <f>Q23/VLOOKUP(A23,'[224]geoMap (16)'!$A:$B,2,0)*VLOOKUP(A23,'[224]geoMap (16)'!$A:$C,3,0)</f>
        <v>56.453784373207171</v>
      </c>
      <c r="S23" s="1">
        <f>R23/VLOOKUP(A23,'[225]geoMap (17)'!$A:$B,2,0)*VLOOKUP(A23,'[225]geoMap (17)'!$A:$C,3,0)</f>
        <v>88.299508891426584</v>
      </c>
      <c r="T23" s="1">
        <f>S23/VLOOKUP(A23,'[226]geoMap (18)'!$A:$B,2,0)*VLOOKUP(A23,'[226]geoMap (18)'!$A:$C,3,0)</f>
        <v>88.299508891426584</v>
      </c>
      <c r="U23" s="1">
        <f>T23/VLOOKUP(A23,'[227]geoMap (19)'!$A:$B,2,0)*VLOOKUP(A23,'[227]geoMap (19)'!$A:$C,3,0)</f>
        <v>58.866339260951058</v>
      </c>
      <c r="V23" s="1">
        <f>U23/VLOOKUP(A23,'[228]geoMap (20)'!$A:$B,2,0)*VLOOKUP(A23,'[228]geoMap (20)'!$A:$C,3,0)</f>
        <v>61.269046985887833</v>
      </c>
      <c r="W23" s="1">
        <f>V23/VLOOKUP(A23,'[229]geoMap (21)'!$A:$B,2,0)*VLOOKUP(A23,'[229]geoMap (21)'!$A:$C,3,0)</f>
        <v>30.177291799019383</v>
      </c>
      <c r="X23" s="1">
        <f>W23/VLOOKUP(A23,'[230]geoMap (22)'!$A:$B,2,0)*VLOOKUP(A23,'[230]geoMap (22)'!$A:$C,3,0)</f>
        <v>41.673402960550575</v>
      </c>
      <c r="Y23" s="1">
        <f>X23/VLOOKUP(A23,'[231]geoMap (23)'!$A:$B,2,0)*VLOOKUP(A23,'[231]geoMap (23)'!$A:$C,3,0)</f>
        <v>40.039151864058397</v>
      </c>
      <c r="Z23" s="1">
        <f>Y23/VLOOKUP(A23,'[232]geoMap (24)'!$A:$B,2,0)*VLOOKUP(A23,'[232]geoMap (24)'!$A:$C,3,0)</f>
        <v>24.540125336035789</v>
      </c>
      <c r="AA23" s="1">
        <f>Z23/VLOOKUP(A23,'[233]geoMap (25)'!$A:$B,2,0)*VLOOKUP(A23,'[233]geoMap (25)'!$A:$C,3,0)</f>
        <v>41.784537734331209</v>
      </c>
    </row>
    <row r="24" spans="1:27" x14ac:dyDescent="0.2">
      <c r="A24" s="1" t="s">
        <v>73</v>
      </c>
      <c r="B24" s="1">
        <f>Notes!$C$6*VLOOKUP(A24,[208]geoMap!$A:$B,2,0)</f>
        <v>7000</v>
      </c>
      <c r="C24" s="1">
        <f>B24/VLOOKUP(A24,'[209]geoMap (1)'!$A:$B,2,0)*VLOOKUP(A24,'[209]geoMap (1)'!$A:$C,3,0)</f>
        <v>2459.4594594594596</v>
      </c>
      <c r="D24" s="1">
        <f>C24/VLOOKUP(A24,'[210]geoMap (2)'!$A:$B,2,0)*VLOOKUP(A24,'[210]geoMap (2)'!$A:$C,3,0)</f>
        <v>4372.3723723723733</v>
      </c>
      <c r="E24" s="1">
        <f>D24/VLOOKUP(A24,'[211]geoMap (3)'!$A:$B,2,0)*VLOOKUP(A24,'[211]geoMap (3)'!$A:$C,3,0)</f>
        <v>4372.3723723723733</v>
      </c>
      <c r="F24" s="1">
        <f>E24/VLOOKUP(A24,'[212]geoMap (4)'!$A:$B,2,0)*VLOOKUP(A24,'[212]geoMap (4)'!$A:$C,3,0)</f>
        <v>3166.2006834420636</v>
      </c>
      <c r="G24" s="1">
        <f>F24/VLOOKUP(A24,'[213]geoMap (5)'!$A:$B,2,0)*VLOOKUP(A24,'[213]geoMap (5)'!$A:$C,3,0)</f>
        <v>2922.646784715751</v>
      </c>
      <c r="H24" s="1">
        <f>G24/VLOOKUP(A24,'[214]geoMap (6)'!$A:$B,2,0)*VLOOKUP(A24,'[214]geoMap (6)'!$A:$C,3,0)</f>
        <v>1313.0731931331636</v>
      </c>
      <c r="I24" s="1">
        <f>H24/VLOOKUP(A24,'[215]geoMap (7)'!$A:$B,2,0)*VLOOKUP(A24,'[215]geoMap (7)'!$A:$C,3,0)</f>
        <v>437.6910643777212</v>
      </c>
      <c r="J24" s="1">
        <f>I24/VLOOKUP(A24,'[216]geoMap (8)'!$A:$B,2,0)*VLOOKUP(A24,'[216]geoMap (8)'!$A:$C,3,0)</f>
        <v>1071.5884679592486</v>
      </c>
      <c r="K24" s="1">
        <f>J24/VLOOKUP(A24,'[217]geoMap (9)'!$A:$B,2,0)*VLOOKUP(A24,'[217]geoMap (9)'!$A:$C,3,0)</f>
        <v>841.96236768226674</v>
      </c>
      <c r="L24" s="1">
        <f>K24/VLOOKUP(A24,'[218]geoMap (10)'!$A:$B,2,0)*VLOOKUP(A24,'[218]geoMap (10)'!$A:$C,3,0)</f>
        <v>473.60383182127504</v>
      </c>
      <c r="M24" s="1">
        <f>L24/VLOOKUP(A24,'[219]geoMap (11)'!$A:$B,2,0)*VLOOKUP(A24,'[219]geoMap (11)'!$A:$C,3,0)</f>
        <v>290.27331627755569</v>
      </c>
      <c r="N24" s="1">
        <f>M24/VLOOKUP(A24,'[220]geoMap (12)'!$A:$B,2,0)*VLOOKUP(A24,'[220]geoMap (12)'!$A:$C,3,0)</f>
        <v>384.7809076237366</v>
      </c>
      <c r="O24" s="1">
        <f>N24/VLOOKUP(A24,'[221]geoMap (13)'!$A:$B,2,0)*VLOOKUP(A24,'[221]geoMap (13)'!$A:$C,3,0)</f>
        <v>327.77632871651633</v>
      </c>
      <c r="P24" s="1">
        <f>O24/VLOOKUP(A24,'[222]geoMap (14)'!$A:$B,2,0)*VLOOKUP(A24,'[222]geoMap (14)'!$A:$C,3,0)</f>
        <v>227.77677080300288</v>
      </c>
      <c r="Q24" s="1">
        <f>P24/VLOOKUP(A24,'[223]geoMap (15)'!$A:$B,2,0)*VLOOKUP(A24,'[223]geoMap (15)'!$A:$C,3,0)</f>
        <v>117.33954859548632</v>
      </c>
      <c r="R24" s="1">
        <f>Q24/VLOOKUP(A24,'[224]geoMap (16)'!$A:$B,2,0)*VLOOKUP(A24,'[224]geoMap (16)'!$A:$C,3,0)</f>
        <v>35.049475554495913</v>
      </c>
      <c r="S24" s="1">
        <f>R24/VLOOKUP(A24,'[225]geoMap (17)'!$A:$B,2,0)*VLOOKUP(A24,'[225]geoMap (17)'!$A:$C,3,0)</f>
        <v>71.161056428825034</v>
      </c>
      <c r="T24" s="1">
        <f>S24/VLOOKUP(A24,'[226]geoMap (18)'!$A:$B,2,0)*VLOOKUP(A24,'[226]geoMap (18)'!$A:$C,3,0)</f>
        <v>111.3031908245725</v>
      </c>
      <c r="U24" s="1">
        <f>T24/VLOOKUP(A24,'[227]geoMap (19)'!$A:$B,2,0)*VLOOKUP(A24,'[227]geoMap (19)'!$A:$C,3,0)</f>
        <v>52.377972152739993</v>
      </c>
      <c r="V24" s="1">
        <f>U24/VLOOKUP(A24,'[228]geoMap (20)'!$A:$B,2,0)*VLOOKUP(A24,'[228]geoMap (20)'!$A:$C,3,0)</f>
        <v>54.515848567137546</v>
      </c>
      <c r="W24" s="1">
        <f>V24/VLOOKUP(A24,'[229]geoMap (21)'!$A:$B,2,0)*VLOOKUP(A24,'[229]geoMap (21)'!$A:$C,3,0)</f>
        <v>21.200607776109049</v>
      </c>
      <c r="X24" s="1">
        <f>W24/VLOOKUP(A24,'[230]geoMap (22)'!$A:$B,2,0)*VLOOKUP(A24,'[230]geoMap (22)'!$A:$C,3,0)</f>
        <v>30.508191677815461</v>
      </c>
      <c r="Y24" s="1">
        <f>X24/VLOOKUP(A24,'[231]geoMap (23)'!$A:$B,2,0)*VLOOKUP(A24,'[231]geoMap (23)'!$A:$C,3,0)</f>
        <v>24.961247736394466</v>
      </c>
      <c r="Z24" s="1">
        <f>Y24/VLOOKUP(A24,'[232]geoMap (24)'!$A:$B,2,0)*VLOOKUP(A24,'[232]geoMap (24)'!$A:$C,3,0)</f>
        <v>22.135446105859241</v>
      </c>
      <c r="AA24" s="1">
        <f>Z24/VLOOKUP(A24,'[233]geoMap (25)'!$A:$B,2,0)*VLOOKUP(A24,'[233]geoMap (25)'!$A:$C,3,0)</f>
        <v>24.961247736394466</v>
      </c>
    </row>
    <row r="25" spans="1:27" x14ac:dyDescent="0.2">
      <c r="A25" s="1" t="s">
        <v>85</v>
      </c>
      <c r="B25" s="1">
        <f>Notes!$C$6*VLOOKUP(A25,[208]geoMap!$A:$B,2,0)</f>
        <v>6000</v>
      </c>
      <c r="C25" s="1">
        <f>B25/VLOOKUP(A25,'[209]geoMap (1)'!$A:$B,2,0)*VLOOKUP(A25,'[209]geoMap (1)'!$A:$C,3,0)</f>
        <v>2108.1081081081084</v>
      </c>
      <c r="D25" s="1">
        <f>C25/VLOOKUP(A25,'[210]geoMap (2)'!$A:$B,2,0)*VLOOKUP(A25,'[210]geoMap (2)'!$A:$C,3,0)</f>
        <v>3747.7477477477487</v>
      </c>
      <c r="E25" s="1">
        <f>D25/VLOOKUP(A25,'[211]geoMap (3)'!$A:$B,2,0)*VLOOKUP(A25,'[211]geoMap (3)'!$A:$C,3,0)</f>
        <v>2827.2483009325124</v>
      </c>
      <c r="F25" s="1">
        <f>E25/VLOOKUP(A25,'[212]geoMap (4)'!$A:$B,2,0)*VLOOKUP(A25,'[212]geoMap (4)'!$A:$C,3,0)</f>
        <v>2408.3967007943625</v>
      </c>
      <c r="G25" s="1">
        <f>F25/VLOOKUP(A25,'[213]geoMap (5)'!$A:$B,2,0)*VLOOKUP(A25,'[213]geoMap (5)'!$A:$C,3,0)</f>
        <v>1892.3116934812847</v>
      </c>
      <c r="H25" s="1">
        <f>G25/VLOOKUP(A25,'[214]geoMap (6)'!$A:$B,2,0)*VLOOKUP(A25,'[214]geoMap (6)'!$A:$C,3,0)</f>
        <v>3087.4559209431486</v>
      </c>
      <c r="I25" s="1">
        <f>H25/VLOOKUP(A25,'[215]geoMap (7)'!$A:$B,2,0)*VLOOKUP(A25,'[215]geoMap (7)'!$A:$C,3,0)</f>
        <v>381.59567562218689</v>
      </c>
      <c r="J25" s="1">
        <f>I25/VLOOKUP(A25,'[216]geoMap (8)'!$A:$B,2,0)*VLOOKUP(A25,'[216]geoMap (8)'!$A:$C,3,0)</f>
        <v>708.67768329834712</v>
      </c>
      <c r="K25" s="1">
        <f>J25/VLOOKUP(A25,'[217]geoMap (9)'!$A:$B,2,0)*VLOOKUP(A25,'[217]geoMap (9)'!$A:$C,3,0)</f>
        <v>654.16401535232035</v>
      </c>
      <c r="L25" s="1">
        <f>K25/VLOOKUP(A25,'[218]geoMap (10)'!$A:$B,2,0)*VLOOKUP(A25,'[218]geoMap (10)'!$A:$C,3,0)</f>
        <v>241.95107417140616</v>
      </c>
      <c r="M25" s="1">
        <f>L25/VLOOKUP(A25,'[219]geoMap (11)'!$A:$B,2,0)*VLOOKUP(A25,'[219]geoMap (11)'!$A:$C,3,0)</f>
        <v>348.17349697836499</v>
      </c>
      <c r="N25" s="1">
        <f>M25/VLOOKUP(A25,'[220]geoMap (12)'!$A:$B,2,0)*VLOOKUP(A25,'[220]geoMap (12)'!$A:$C,3,0)</f>
        <v>392.62117744368828</v>
      </c>
      <c r="O25" s="1">
        <f>N25/VLOOKUP(A25,'[221]geoMap (13)'!$A:$B,2,0)*VLOOKUP(A25,'[221]geoMap (13)'!$A:$C,3,0)</f>
        <v>251.02009705416137</v>
      </c>
      <c r="P25" s="1">
        <f>O25/VLOOKUP(A25,'[222]geoMap (14)'!$A:$B,2,0)*VLOOKUP(A25,'[222]geoMap (14)'!$A:$C,3,0)</f>
        <v>306.80234084397506</v>
      </c>
      <c r="Q25" s="1">
        <f>P25/VLOOKUP(A25,'[223]geoMap (15)'!$A:$B,2,0)*VLOOKUP(A25,'[223]geoMap (15)'!$A:$C,3,0)</f>
        <v>102.26744694799169</v>
      </c>
      <c r="R25" s="1">
        <f>Q25/VLOOKUP(A25,'[224]geoMap (16)'!$A:$B,2,0)*VLOOKUP(A25,'[224]geoMap (16)'!$A:$C,3,0)</f>
        <v>20.946344555612757</v>
      </c>
      <c r="S25" s="1">
        <f>R25/VLOOKUP(A25,'[225]geoMap (17)'!$A:$B,2,0)*VLOOKUP(A25,'[225]geoMap (17)'!$A:$C,3,0)</f>
        <v>66.330091092773742</v>
      </c>
      <c r="T25" s="1">
        <f>S25/VLOOKUP(A25,'[226]geoMap (18)'!$A:$B,2,0)*VLOOKUP(A25,'[226]geoMap (18)'!$A:$C,3,0)</f>
        <v>50.038489771741602</v>
      </c>
      <c r="U25" s="1">
        <f>T25/VLOOKUP(A25,'[227]geoMap (19)'!$A:$B,2,0)*VLOOKUP(A25,'[227]geoMap (19)'!$A:$C,3,0)</f>
        <v>15.801628348971031</v>
      </c>
      <c r="V25" s="1">
        <f>U25/VLOOKUP(A25,'[228]geoMap (20)'!$A:$B,2,0)*VLOOKUP(A25,'[228]geoMap (20)'!$A:$C,3,0)</f>
        <v>20.946344555612757</v>
      </c>
      <c r="W25" s="1">
        <f>V25/VLOOKUP(A25,'[229]geoMap (21)'!$A:$B,2,0)*VLOOKUP(A25,'[229]geoMap (21)'!$A:$C,3,0)</f>
        <v>19.33508728210408</v>
      </c>
      <c r="X25" s="1">
        <f>W25/VLOOKUP(A25,'[230]geoMap (22)'!$A:$B,2,0)*VLOOKUP(A25,'[230]geoMap (22)'!$A:$C,3,0)</f>
        <v>20.946344555612757</v>
      </c>
      <c r="Y25" s="1">
        <f>X25/VLOOKUP(A25,'[231]geoMap (23)'!$A:$B,2,0)*VLOOKUP(A25,'[231]geoMap (23)'!$A:$C,3,0)</f>
        <v>20.946344555612757</v>
      </c>
      <c r="Z25" s="1">
        <f>Y25/VLOOKUP(A25,'[232]geoMap (24)'!$A:$B,2,0)*VLOOKUP(A25,'[232]geoMap (24)'!$A:$C,3,0)</f>
        <v>8.1458006605160733</v>
      </c>
      <c r="AA25" s="1">
        <f>Z25/VLOOKUP(A25,'[233]geoMap (25)'!$A:$B,2,0)*VLOOKUP(A25,'[233]geoMap (25)'!$A:$C,3,0)</f>
        <v>18.130975663729323</v>
      </c>
    </row>
    <row r="26" spans="1:27" x14ac:dyDescent="0.2">
      <c r="A26" s="1" t="s">
        <v>70</v>
      </c>
      <c r="B26" s="1">
        <f>Notes!$C$6*VLOOKUP(A26,[208]geoMap!$A:$B,2,0)</f>
        <v>6000</v>
      </c>
      <c r="C26" s="1">
        <f>B26/VLOOKUP(A26,'[209]geoMap (1)'!$A:$B,2,0)*VLOOKUP(A26,'[209]geoMap (1)'!$A:$C,3,0)</f>
        <v>1894.7368421052631</v>
      </c>
      <c r="D26" s="1">
        <f>C26/VLOOKUP(A26,'[210]geoMap (2)'!$A:$B,2,0)*VLOOKUP(A26,'[210]geoMap (2)'!$A:$C,3,0)</f>
        <v>2052.6315789473683</v>
      </c>
      <c r="E26" s="1">
        <f>D26/VLOOKUP(A26,'[211]geoMap (3)'!$A:$B,2,0)*VLOOKUP(A26,'[211]geoMap (3)'!$A:$C,3,0)</f>
        <v>1820.2581926514395</v>
      </c>
      <c r="F26" s="1">
        <f>B26/59*41</f>
        <v>4169.4915254237285</v>
      </c>
      <c r="G26" s="1">
        <f>B26/82*11</f>
        <v>804.8780487804878</v>
      </c>
      <c r="H26" s="1">
        <f>E26/73*60</f>
        <v>1496.1026240970734</v>
      </c>
      <c r="I26" s="1">
        <f>H26/59*9</f>
        <v>228.21904435379085</v>
      </c>
      <c r="J26" s="1">
        <f>H26/VLOOKUP(A26,'[239]geoMap (26)'!$A:$B,2,0)*VLOOKUP(A26,'[239]geoMap (26)'!$A:$C,3,0)</f>
        <v>611.08417040584686</v>
      </c>
      <c r="K26" s="1">
        <f>J26/VLOOKUP(A26,'[217]geoMap (9)'!$A:$B,2,0)*VLOOKUP(A26,'[217]geoMap (9)'!$A:$C,3,0)</f>
        <v>636.02638144282014</v>
      </c>
      <c r="L26" s="1">
        <f>K26/VLOOKUP(A26,'[218]geoMap (10)'!$A:$B,2,0)*VLOOKUP(A26,'[218]geoMap (10)'!$A:$C,3,0)</f>
        <v>247.34359278331897</v>
      </c>
      <c r="M26" s="1">
        <f>L26/VLOOKUP(A26,'[219]geoMap (11)'!$A:$B,2,0)*VLOOKUP(A26,'[219]geoMap (11)'!$A:$C,3,0)</f>
        <v>219.34243133615075</v>
      </c>
      <c r="N26" s="1">
        <f>M26/50*21</f>
        <v>92.123821161183315</v>
      </c>
      <c r="O26" s="1">
        <f>H26/VLOOKUP(A26,'[237]geoMap (27)'!$A:$B,2,0)*VLOOKUP(A26,'[237]geoMap (27)'!$A:$C,3,0)</f>
        <v>284.97192839944262</v>
      </c>
      <c r="P26" s="1">
        <f>O26/VLOOKUP(A26,'[222]geoMap (14)'!$A:$B,2,0)*VLOOKUP(A26,'[222]geoMap (14)'!$A:$C,3,0)</f>
        <v>140.35930801763593</v>
      </c>
      <c r="Q26" s="1">
        <f>P26/VLOOKUP(A26,'[223]geoMap (15)'!$A:$B,2,0)*VLOOKUP(A26,'[223]geoMap (15)'!$A:$C,3,0)</f>
        <v>193.82952059578292</v>
      </c>
      <c r="R26" s="1">
        <f>Q26/55*11</f>
        <v>38.765904119156588</v>
      </c>
      <c r="S26" s="1">
        <f>Q26/VLOOKUP(A26,'[234]geoMap (30)'!$A:$B,2,0)*VLOOKUP(A26,'[234]geoMap (30)'!$A:$C,3,0)</f>
        <v>91.213892045074317</v>
      </c>
      <c r="T26" s="1">
        <f>S26/33*19</f>
        <v>52.517089359285215</v>
      </c>
      <c r="U26" s="1">
        <f>O26/VLOOKUP(A26,'[238]geoMap (31)'!$A:$B,2,0)*VLOOKUP(A26,'[238]geoMap (31)'!$A:$C,3,0)</f>
        <v>100.12527214034471</v>
      </c>
      <c r="V26" s="1">
        <f>U26/VLOOKUP(A26,'[228]geoMap (20)'!$A:$B,2,0)*VLOOKUP(A26,'[228]geoMap (20)'!$A:$C,3,0)</f>
        <v>33.375090713448238</v>
      </c>
      <c r="W26" s="1">
        <f>V26/VLOOKUP(A26,'[229]geoMap (21)'!$A:$B,2,0)*VLOOKUP(A26,'[229]geoMap (21)'!$A:$C,3,0)</f>
        <v>30.807776043182987</v>
      </c>
      <c r="X26" s="1">
        <f>V26/24*13</f>
        <v>18.078174136451128</v>
      </c>
      <c r="Y26" s="1">
        <f>V26/55*45</f>
        <v>27.306892401912194</v>
      </c>
      <c r="Z26" s="1">
        <f>Y26/VLOOKUP(A26,'[232]geoMap (24)'!$A:$B,2,0)*VLOOKUP(A26,'[232]geoMap (24)'!$A:$C,3,0)</f>
        <v>10.099809518515469</v>
      </c>
      <c r="AA26" s="1">
        <f>Y26/VLOOKUP(A26,'[236]geoMap (34)'!$A:$B,2,0)*VLOOKUP(A26,'[236]geoMap (34)'!$A:$C,3,0)</f>
        <v>33.375090713448238</v>
      </c>
    </row>
    <row r="27" spans="1:27" x14ac:dyDescent="0.2">
      <c r="A27" s="1" t="s">
        <v>67</v>
      </c>
      <c r="B27" s="1">
        <f>Notes!$C$6*VLOOKUP(A27,[208]geoMap!$A:$B,2,0)</f>
        <v>7000</v>
      </c>
      <c r="C27" s="1">
        <f>B27/VLOOKUP(A27,'[209]geoMap (1)'!$A:$B,2,0)*VLOOKUP(A27,'[209]geoMap (1)'!$A:$C,3,0)</f>
        <v>2210.5263157894733</v>
      </c>
      <c r="D27" s="1">
        <f>C27/VLOOKUP(A27,'[210]geoMap (2)'!$A:$B,2,0)*VLOOKUP(A27,'[210]geoMap (2)'!$A:$C,3,0)</f>
        <v>3763.8691322901841</v>
      </c>
      <c r="E27" s="1">
        <f>D27/VLOOKUP(A27,'[211]geoMap (3)'!$A:$B,2,0)*VLOOKUP(A27,'[211]geoMap (3)'!$A:$C,3,0)</f>
        <v>2615.5700749813145</v>
      </c>
      <c r="F27" s="1">
        <f>E27/VLOOKUP(A27,'[212]geoMap (4)'!$A:$B,2,0)*VLOOKUP(A27,'[212]geoMap (4)'!$A:$C,3,0)</f>
        <v>2722.3280372254499</v>
      </c>
      <c r="G27" s="1">
        <f>F27/VLOOKUP(A27,'[213]geoMap (5)'!$A:$B,2,0)*VLOOKUP(A27,'[213]geoMap (5)'!$A:$C,3,0)</f>
        <v>2512.918188208107</v>
      </c>
      <c r="H27" s="1">
        <f>G27/VLOOKUP(A27,'[214]geoMap (6)'!$A:$B,2,0)*VLOOKUP(A27,'[214]geoMap (6)'!$A:$C,3,0)</f>
        <v>1974.4357193063695</v>
      </c>
      <c r="I27" s="1">
        <f>H27/VLOOKUP(A27,'[215]geoMap (7)'!$A:$B,2,0)*VLOOKUP(A27,'[215]geoMap (7)'!$A:$C,3,0)</f>
        <v>295.03062472394026</v>
      </c>
      <c r="J27" s="1">
        <f>I27/VLOOKUP(A27,'[216]geoMap (8)'!$A:$B,2,0)*VLOOKUP(A27,'[216]geoMap (8)'!$A:$C,3,0)</f>
        <v>797.67539277213473</v>
      </c>
      <c r="K27" s="1">
        <f>J27/VLOOKUP(A27,'[217]geoMap (9)'!$A:$B,2,0)*VLOOKUP(A27,'[217]geoMap (9)'!$A:$C,3,0)</f>
        <v>797.67539277213473</v>
      </c>
      <c r="L27" s="1">
        <f>K27/VLOOKUP(A27,'[218]geoMap (10)'!$A:$B,2,0)*VLOOKUP(A27,'[218]geoMap (10)'!$A:$C,3,0)</f>
        <v>224.98536719214056</v>
      </c>
      <c r="M27" s="1">
        <f>L27/VLOOKUP(A27,'[219]geoMap (11)'!$A:$B,2,0)*VLOOKUP(A27,'[219]geoMap (11)'!$A:$C,3,0)</f>
        <v>264.11325713859981</v>
      </c>
      <c r="N27" s="1">
        <f>M27/VLOOKUP(A27,'[220]geoMap (12)'!$A:$B,2,0)*VLOOKUP(A27,'[220]geoMap (12)'!$A:$C,3,0)</f>
        <v>490.49604897168535</v>
      </c>
      <c r="O27" s="1">
        <f>N27/VLOOKUP(A27,'[221]geoMap (13)'!$A:$B,2,0)*VLOOKUP(A27,'[221]geoMap (13)'!$A:$C,3,0)</f>
        <v>300.62661066006524</v>
      </c>
      <c r="P27" s="1">
        <f>O27/VLOOKUP(A27,'[222]geoMap (14)'!$A:$B,2,0)*VLOOKUP(A27,'[222]geoMap (14)'!$A:$C,3,0)</f>
        <v>75.15665266501631</v>
      </c>
      <c r="Q27" s="1">
        <f>P27/VLOOKUP(A27,'[223]geoMap (15)'!$A:$B,2,0)*VLOOKUP(A27,'[223]geoMap (15)'!$A:$C,3,0)</f>
        <v>75.15665266501631</v>
      </c>
      <c r="R27" s="1">
        <f>Q27/VLOOKUP(A27,'[224]geoMap (16)'!$A:$B,2,0)*VLOOKUP(A27,'[224]geoMap (16)'!$A:$C,3,0)</f>
        <v>40.468966819624164</v>
      </c>
      <c r="S27" s="1">
        <f>R27/VLOOKUP(A27,'[225]geoMap (17)'!$A:$B,2,0)*VLOOKUP(A27,'[225]geoMap (17)'!$A:$C,3,0)</f>
        <v>85.99655449170136</v>
      </c>
      <c r="T27" s="1">
        <f>S27/VLOOKUP(A27,'[226]geoMap (18)'!$A:$B,2,0)*VLOOKUP(A27,'[226]geoMap (18)'!$A:$C,3,0)</f>
        <v>54.981403691415622</v>
      </c>
      <c r="U27" s="1">
        <f>T27/VLOOKUP(A27,'[227]geoMap (19)'!$A:$B,2,0)*VLOOKUP(A27,'[227]geoMap (19)'!$A:$C,3,0)</f>
        <v>19.317790486173056</v>
      </c>
      <c r="V27" s="1">
        <f>U27/29*19</f>
        <v>12.656483421975452</v>
      </c>
      <c r="W27" s="1">
        <f>S27/VLOOKUP(A27,'[235]geoMap (32)'!$A:$B,2,0)*VLOOKUP(A27,'[235]geoMap (32)'!$A:$C,3,0)</f>
        <v>36.855666210729154</v>
      </c>
      <c r="X27" s="1">
        <f>W27/VLOOKUP(A27,'[230]geoMap (22)'!$A:$B,2,0)*VLOOKUP(A27,'[230]geoMap (22)'!$A:$C,3,0)</f>
        <v>22.588956709801742</v>
      </c>
      <c r="Y27" s="1">
        <f>X27/VLOOKUP(A27,'[231]geoMap (23)'!$A:$B,2,0)*VLOOKUP(A27,'[231]geoMap (23)'!$A:$C,3,0)</f>
        <v>24.471369768951888</v>
      </c>
      <c r="Z27" s="1">
        <f>Y27/VLOOKUP(A27,'[232]geoMap (24)'!$A:$B,2,0)*VLOOKUP(A27,'[232]geoMap (24)'!$A:$C,3,0)</f>
        <v>8.1571232563172966</v>
      </c>
      <c r="AA27" s="1">
        <f>Z27/VLOOKUP(A27,'[233]geoMap (25)'!$A:$B,2,0)*VLOOKUP(A27,'[233]geoMap (25)'!$A:$C,3,0)</f>
        <v>18.156177570512693</v>
      </c>
    </row>
    <row r="28" spans="1:27" x14ac:dyDescent="0.2">
      <c r="A28" s="1" t="s">
        <v>77</v>
      </c>
      <c r="B28" s="1">
        <f>Notes!$C$6*VLOOKUP(A28,[208]geoMap!$A:$B,2,0)</f>
        <v>6000</v>
      </c>
      <c r="C28" s="1">
        <f>B28/VLOOKUP(A28,'[209]geoMap (1)'!$A:$B,2,0)*VLOOKUP(A28,'[209]geoMap (1)'!$A:$C,3,0)</f>
        <v>1792.2077922077924</v>
      </c>
      <c r="D28" s="1">
        <f>C28/VLOOKUP(A28,'[210]geoMap (2)'!$A:$B,2,0)*VLOOKUP(A28,'[210]geoMap (2)'!$A:$C,3,0)</f>
        <v>3989.1076665270216</v>
      </c>
      <c r="E28" s="1">
        <f>D28/VLOOKUP(A28,'[211]geoMap (3)'!$A:$B,2,0)*VLOOKUP(A28,'[211]geoMap (3)'!$A:$C,3,0)</f>
        <v>2888.6641723126709</v>
      </c>
      <c r="F28" s="1">
        <f>E28/VLOOKUP(A28,'[212]geoMap (4)'!$A:$B,2,0)*VLOOKUP(A28,'[212]geoMap (4)'!$A:$C,3,0)</f>
        <v>2460.7139245626454</v>
      </c>
      <c r="G28" s="1">
        <f>F28/VLOOKUP(A28,'[213]geoMap (5)'!$A:$B,2,0)*VLOOKUP(A28,'[213]geoMap (5)'!$A:$C,3,0)</f>
        <v>2364.2153392856785</v>
      </c>
      <c r="H28" s="1">
        <f>G28/VLOOKUP(A28,'[214]geoMap (6)'!$A:$B,2,0)*VLOOKUP(A28,'[214]geoMap (6)'!$A:$C,3,0)</f>
        <v>3546.3230089285175</v>
      </c>
      <c r="I28" s="1">
        <f>H28/VLOOKUP(A28,'[215]geoMap (7)'!$A:$B,2,0)*VLOOKUP(A28,'[215]geoMap (7)'!$A:$C,3,0)</f>
        <v>438.30958537318753</v>
      </c>
      <c r="J28" s="1">
        <f>I28/VLOOKUP(A28,'[216]geoMap (8)'!$A:$B,2,0)*VLOOKUP(A28,'[216]geoMap (8)'!$A:$C,3,0)</f>
        <v>889.90127939404738</v>
      </c>
      <c r="K28" s="1">
        <f>J28/VLOOKUP(A28,'[217]geoMap (9)'!$A:$B,2,0)*VLOOKUP(A28,'[217]geoMap (9)'!$A:$C,3,0)</f>
        <v>821.44733482527454</v>
      </c>
      <c r="L28" s="1">
        <f>K28/VLOOKUP(A28,'[218]geoMap (10)'!$A:$B,2,0)*VLOOKUP(A28,'[218]geoMap (10)'!$A:$C,3,0)</f>
        <v>156.46615901433802</v>
      </c>
      <c r="M28" s="1">
        <f>L28/VLOOKUP(A28,'[219]geoMap (11)'!$A:$B,2,0)*VLOOKUP(A28,'[219]geoMap (11)'!$A:$C,3,0)</f>
        <v>365.08770436678873</v>
      </c>
      <c r="N28" s="1">
        <f>M28/VLOOKUP(A28,'[220]geoMap (12)'!$A:$B,2,0)*VLOOKUP(A28,'[220]geoMap (12)'!$A:$C,3,0)</f>
        <v>395.51167973068783</v>
      </c>
      <c r="O28" s="1">
        <f>N28/VLOOKUP(A28,'[221]geoMap (13)'!$A:$B,2,0)*VLOOKUP(A28,'[221]geoMap (13)'!$A:$C,3,0)</f>
        <v>252.86812310650535</v>
      </c>
      <c r="P28" s="1">
        <f>O28/VLOOKUP(A28,'[222]geoMap (14)'!$A:$B,2,0)*VLOOKUP(A28,'[222]geoMap (14)'!$A:$C,3,0)</f>
        <v>363.88339666545897</v>
      </c>
      <c r="Q28" s="1">
        <f>P28/VLOOKUP(A28,'[223]geoMap (15)'!$A:$B,2,0)*VLOOKUP(A28,'[223]geoMap (15)'!$A:$C,3,0)</f>
        <v>90.970849166364744</v>
      </c>
      <c r="R28" s="1">
        <f>Q28/VLOOKUP(A28,'[224]geoMap (16)'!$A:$B,2,0)*VLOOKUP(A28,'[224]geoMap (16)'!$A:$C,3,0)</f>
        <v>27.173110789953107</v>
      </c>
      <c r="S28" s="1">
        <f>R28/VLOOKUP(A28,'[225]geoMap (17)'!$A:$B,2,0)*VLOOKUP(A28,'[225]geoMap (17)'!$A:$C,3,0)</f>
        <v>90.970849166364758</v>
      </c>
      <c r="T28" s="1">
        <f>S28/VLOOKUP(A28,'[226]geoMap (18)'!$A:$B,2,0)*VLOOKUP(A28,'[226]geoMap (18)'!$A:$C,3,0)</f>
        <v>90.970849166364758</v>
      </c>
      <c r="U28" s="1">
        <f>T28/VLOOKUP(A28,'[227]geoMap (19)'!$A:$B,2,0)*VLOOKUP(A28,'[227]geoMap (19)'!$A:$C,3,0)</f>
        <v>14.809208003826823</v>
      </c>
      <c r="V28" s="1">
        <f>U28/VLOOKUP(A28,'[228]geoMap (20)'!$A:$B,2,0)*VLOOKUP(A28,'[228]geoMap (20)'!$A:$C,3,0)</f>
        <v>6.0488314381827877</v>
      </c>
      <c r="W28" s="1">
        <f>V28/VLOOKUP(A28,'[229]geoMap (21)'!$A:$B,2,0)*VLOOKUP(A28,'[229]geoMap (21)'!$A:$C,3,0)</f>
        <v>15.554137983898595</v>
      </c>
      <c r="X28" s="1">
        <f>W28/VLOOKUP(A28,'[230]geoMap (22)'!$A:$B,2,0)*VLOOKUP(A28,'[230]geoMap (22)'!$A:$C,3,0)</f>
        <v>33.052543215784517</v>
      </c>
      <c r="Y28" s="1">
        <f>X28/VLOOKUP(A28,'[231]geoMap (23)'!$A:$B,2,0)*VLOOKUP(A28,'[231]geoMap (23)'!$A:$C,3,0)</f>
        <v>29.310745870601359</v>
      </c>
      <c r="Z28" s="1">
        <f>Y28/VLOOKUP(A28,'[232]geoMap (24)'!$A:$B,2,0)*VLOOKUP(A28,'[232]geoMap (24)'!$A:$C,3,0)</f>
        <v>9.2560250117688501</v>
      </c>
      <c r="AA28" s="1">
        <f>Z28/VLOOKUP(A28,'[233]geoMap (25)'!$A:$B,2,0)*VLOOKUP(A28,'[233]geoMap (25)'!$A:$C,3,0)</f>
        <v>13.31964574864298</v>
      </c>
    </row>
    <row r="29" spans="1:27" x14ac:dyDescent="0.2">
      <c r="A29" s="1" t="s">
        <v>93</v>
      </c>
      <c r="B29" s="1">
        <f>Notes!$C$6*VLOOKUP(A29,[208]geoMap!$A:$B,2,0)</f>
        <v>8000</v>
      </c>
      <c r="C29" s="1">
        <f>B29/VLOOKUP(A29,'[209]geoMap (1)'!$A:$B,2,0)*VLOOKUP(A29,'[209]geoMap (1)'!$A:$C,3,0)</f>
        <v>1523.8095238095241</v>
      </c>
      <c r="D29" s="1">
        <f>C29/VLOOKUP(A29,'[210]geoMap (2)'!$A:$B,2,0)*VLOOKUP(A29,'[210]geoMap (2)'!$A:$C,3,0)</f>
        <v>4571.4285714285725</v>
      </c>
      <c r="E29" s="1">
        <f>D29/VLOOKUP(A29,'[211]geoMap (3)'!$A:$B,2,0)*VLOOKUP(A29,'[211]geoMap (3)'!$A:$C,3,0)</f>
        <v>4053.908355795149</v>
      </c>
      <c r="F29" s="1">
        <f>E29/VLOOKUP(A29,'[212]geoMap (4)'!$A:$B,2,0)*VLOOKUP(A29,'[212]geoMap (4)'!$A:$C,3,0)</f>
        <v>4571.4285714285725</v>
      </c>
      <c r="G29" s="1">
        <f>F29/VLOOKUP(A29,'[213]geoMap (5)'!$A:$B,2,0)*VLOOKUP(A29,'[213]geoMap (5)'!$A:$C,3,0)</f>
        <v>2571.4285714285716</v>
      </c>
      <c r="H29" s="1">
        <f>G29/VLOOKUP(A29,'[214]geoMap (6)'!$A:$B,2,0)*VLOOKUP(A29,'[214]geoMap (6)'!$A:$C,3,0)</f>
        <v>2470.588235294118</v>
      </c>
      <c r="I29" s="1">
        <f>H29/VLOOKUP(A29,'[215]geoMap (7)'!$A:$B,2,0)*VLOOKUP(A29,'[215]geoMap (7)'!$A:$C,3,0)</f>
        <v>435.98615916955026</v>
      </c>
      <c r="J29" s="1">
        <f>I29/VLOOKUP(A29,'[216]geoMap (8)'!$A:$B,2,0)*VLOOKUP(A29,'[216]geoMap (8)'!$A:$C,3,0)</f>
        <v>1240.8836837902584</v>
      </c>
      <c r="K29" s="1">
        <f>J29/VLOOKUP(A29,'[217]geoMap (9)'!$A:$B,2,0)*VLOOKUP(A29,'[217]geoMap (9)'!$A:$C,3,0)</f>
        <v>1291.5319974143506</v>
      </c>
      <c r="L29" s="1">
        <f>K29/VLOOKUP(A29,'[218]geoMap (10)'!$A:$B,2,0)*VLOOKUP(A29,'[218]geoMap (10)'!$A:$C,3,0)</f>
        <v>758.51879213223754</v>
      </c>
      <c r="M29" s="1">
        <f>L29/VLOOKUP(A29,'[219]geoMap (11)'!$A:$B,2,0)*VLOOKUP(A29,'[219]geoMap (11)'!$A:$C,3,0)</f>
        <v>620.60628447183069</v>
      </c>
      <c r="N29" s="1">
        <f>M29/VLOOKUP(A29,'[220]geoMap (12)'!$A:$B,2,0)*VLOOKUP(A29,'[220]geoMap (12)'!$A:$C,3,0)</f>
        <v>253.48707393919844</v>
      </c>
      <c r="O29" s="1">
        <f>N29/VLOOKUP(A29,'[221]geoMap (13)'!$A:$B,2,0)*VLOOKUP(A29,'[221]geoMap (13)'!$A:$C,3,0)</f>
        <v>297.5717824503634</v>
      </c>
      <c r="P29" s="1">
        <f>O29/VLOOKUP(A29,'[222]geoMap (14)'!$A:$B,2,0)*VLOOKUP(A29,'[222]geoMap (14)'!$A:$C,3,0)</f>
        <v>198.38118830024229</v>
      </c>
      <c r="Q29" s="1">
        <f>P29/VLOOKUP(A29,'[223]geoMap (15)'!$A:$B,2,0)*VLOOKUP(A29,'[223]geoMap (15)'!$A:$C,3,0)</f>
        <v>126.83387448704015</v>
      </c>
      <c r="R29" s="1">
        <f>Q29/VLOOKUP(A29,'[224]geoMap (16)'!$A:$B,2,0)*VLOOKUP(A29,'[224]geoMap (16)'!$A:$C,3,0)</f>
        <v>17.295528339141836</v>
      </c>
      <c r="S29" s="1">
        <f>R29/VLOOKUP(A29,'[225]geoMap (17)'!$A:$B,2,0)*VLOOKUP(A29,'[225]geoMap (17)'!$A:$C,3,0)</f>
        <v>139.93654747123847</v>
      </c>
      <c r="T29" s="1">
        <f>S29/VLOOKUP(A29,'[226]geoMap (18)'!$A:$B,2,0)*VLOOKUP(A29,'[226]geoMap (18)'!$A:$C,3,0)</f>
        <v>57.157181361491766</v>
      </c>
      <c r="U29" s="1">
        <f>T29/VLOOKUP(A29,'[227]geoMap (19)'!$A:$B,2,0)*VLOOKUP(A29,'[227]geoMap (19)'!$A:$C,3,0)</f>
        <v>46.764966568493257</v>
      </c>
      <c r="V29" s="1">
        <f>U29/VLOOKUP(A29,'[228]geoMap (20)'!$A:$B,2,0)*VLOOKUP(A29,'[228]geoMap (20)'!$A:$C,3,0)</f>
        <v>20.042128529354251</v>
      </c>
      <c r="W29" s="1">
        <f>V29/VLOOKUP(A29,'[229]geoMap (21)'!$A:$B,2,0)*VLOOKUP(A29,'[229]geoMap (21)'!$A:$C,3,0)</f>
        <v>51.536901932625206</v>
      </c>
      <c r="X29" s="1">
        <f>W29/VLOOKUP(A29,'[230]geoMap (22)'!$A:$B,2,0)*VLOOKUP(A29,'[230]geoMap (22)'!$A:$C,3,0)</f>
        <v>87.752022209605087</v>
      </c>
      <c r="Y29" s="1">
        <f>X29/VLOOKUP(A29,'[231]geoMap (23)'!$A:$B,2,0)*VLOOKUP(A29,'[231]geoMap (23)'!$A:$C,3,0)</f>
        <v>41.295069275108276</v>
      </c>
      <c r="Z29" s="1">
        <f>Y29/VLOOKUP(A29,'[232]geoMap (24)'!$A:$B,2,0)*VLOOKUP(A29,'[232]geoMap (24)'!$A:$C,3,0)</f>
        <v>22.235806532750608</v>
      </c>
      <c r="AA29" s="1">
        <f>Z29/VLOOKUP(A29,'[233]geoMap (25)'!$A:$B,2,0)*VLOOKUP(A29,'[233]geoMap (25)'!$A:$C,3,0)</f>
        <v>25.074420132676224</v>
      </c>
    </row>
    <row r="30" spans="1:27" x14ac:dyDescent="0.2">
      <c r="A30" s="1" t="s">
        <v>68</v>
      </c>
      <c r="B30" s="1">
        <f>Notes!$C$6*VLOOKUP(A30,[208]geoMap!$A:$B,2,0)</f>
        <v>6000</v>
      </c>
      <c r="C30" s="1">
        <f>B30/VLOOKUP(A30,'[209]geoMap (1)'!$A:$B,2,0)*VLOOKUP(A30,'[209]geoMap (1)'!$A:$C,3,0)</f>
        <v>1594.9367088607594</v>
      </c>
      <c r="D30" s="1">
        <f>C30/VLOOKUP(A30,'[210]geoMap (2)'!$A:$B,2,0)*VLOOKUP(A30,'[210]geoMap (2)'!$A:$C,3,0)</f>
        <v>5654.7756041426928</v>
      </c>
      <c r="E30" s="1">
        <f>D30/VLOOKUP(A30,'[211]geoMap (3)'!$A:$B,2,0)*VLOOKUP(A30,'[211]geoMap (3)'!$A:$C,3,0)</f>
        <v>2661.0708725377376</v>
      </c>
      <c r="F30" s="1">
        <f>E30/VLOOKUP(A30,'[212]geoMap (4)'!$A:$B,2,0)*VLOOKUP(A30,'[212]geoMap (4)'!$A:$C,3,0)</f>
        <v>2177.2398048036034</v>
      </c>
      <c r="G30" s="1">
        <f>F30/VLOOKUP(A30,'[213]geoMap (5)'!$A:$B,2,0)*VLOOKUP(A30,'[213]geoMap (5)'!$A:$C,3,0)</f>
        <v>3006.6644923478334</v>
      </c>
      <c r="H30" s="1">
        <f>G30/VLOOKUP(A30,'[214]geoMap (6)'!$A:$B,2,0)*VLOOKUP(A30,'[214]geoMap (6)'!$A:$C,3,0)</f>
        <v>2561.2327157037098</v>
      </c>
      <c r="I30" s="1">
        <f>H30/VLOOKUP(A30,'[215]geoMap (7)'!$A:$B,2,0)*VLOOKUP(A30,'[215]geoMap (7)'!$A:$C,3,0)</f>
        <v>524.58983333690446</v>
      </c>
      <c r="J30" s="1">
        <f>I30/VLOOKUP(A30,'[216]geoMap (8)'!$A:$B,2,0)*VLOOKUP(A30,'[216]geoMap (8)'!$A:$C,3,0)</f>
        <v>1114.7533958409222</v>
      </c>
      <c r="K30" s="1">
        <f>J30/VLOOKUP(A30,'[217]geoMap (9)'!$A:$B,2,0)*VLOOKUP(A30,'[217]geoMap (9)'!$A:$C,3,0)</f>
        <v>774.65913948267473</v>
      </c>
      <c r="L30" s="1">
        <f>K30/VLOOKUP(A30,'[218]geoMap (10)'!$A:$B,2,0)*VLOOKUP(A30,'[218]geoMap (10)'!$A:$C,3,0)</f>
        <v>218.49360344383132</v>
      </c>
      <c r="M30" s="1">
        <f>L30/VLOOKUP(A30,'[219]geoMap (11)'!$A:$B,2,0)*VLOOKUP(A30,'[219]geoMap (11)'!$A:$C,3,0)</f>
        <v>486.32447218143096</v>
      </c>
      <c r="N30" s="1">
        <f>M30/VLOOKUP(A30,'[220]geoMap (12)'!$A:$B,2,0)*VLOOKUP(A30,'[220]geoMap (12)'!$A:$C,3,0)</f>
        <v>618.958419140003</v>
      </c>
      <c r="O30" s="1">
        <f>N30/VLOOKUP(A30,'[221]geoMap (13)'!$A:$B,2,0)*VLOOKUP(A30,'[221]geoMap (13)'!$A:$C,3,0)</f>
        <v>291.27455018353083</v>
      </c>
      <c r="P30" s="1">
        <f>O30/VLOOKUP(A30,'[222]geoMap (14)'!$A:$B,2,0)*VLOOKUP(A30,'[222]geoMap (14)'!$A:$C,3,0)</f>
        <v>219.73343259459344</v>
      </c>
      <c r="Q30" s="1">
        <f>P30/VLOOKUP(A30,'[223]geoMap (15)'!$A:$B,2,0)*VLOOKUP(A30,'[223]geoMap (15)'!$A:$C,3,0)</f>
        <v>85.451890453453004</v>
      </c>
      <c r="R30" s="1">
        <f>Q30/41*17</f>
        <v>35.431271651431729</v>
      </c>
      <c r="S30" s="1">
        <f>Q30/VLOOKUP(A30,'[234]geoMap (30)'!$A:$B,2,0)*VLOOKUP(A30,'[234]geoMap (30)'!$A:$C,3,0)</f>
        <v>88.939722716859265</v>
      </c>
      <c r="T30" s="1">
        <f>S30/VLOOKUP(A30,'[226]geoMap (18)'!$A:$B,2,0)*VLOOKUP(A30,'[226]geoMap (18)'!$A:$C,3,0)</f>
        <v>82.098205584793149</v>
      </c>
      <c r="U30" s="1">
        <f>T30/43*14</f>
        <v>26.729648329932655</v>
      </c>
      <c r="V30" s="1">
        <f>T30/86*14</f>
        <v>13.364824164966327</v>
      </c>
      <c r="W30" s="1">
        <f>V30/VLOOKUP(A30,'[229]geoMap (21)'!$A:$B,2,0)*VLOOKUP(A30,'[229]geoMap (21)'!$A:$C,3,0)</f>
        <v>27.134643001598302</v>
      </c>
      <c r="X30" s="1">
        <f>W30/VLOOKUP(A30,'[230]geoMap (22)'!$A:$B,2,0)*VLOOKUP(A30,'[230]geoMap (22)'!$A:$C,3,0)</f>
        <v>33.164563668620147</v>
      </c>
      <c r="Y30" s="1">
        <f>X30/VLOOKUP(A30,'[231]geoMap (23)'!$A:$B,2,0)*VLOOKUP(A30,'[231]geoMap (23)'!$A:$C,3,0)</f>
        <v>28.251294976972719</v>
      </c>
      <c r="Z30" s="1">
        <f>Y30/22*11</f>
        <v>14.12564748848636</v>
      </c>
      <c r="AA30" s="1">
        <f>Y30/VLOOKUP(A30,'[236]geoMap (34)'!$A:$B,2,0)*VLOOKUP(A30,'[236]geoMap (34)'!$A:$C,3,0)</f>
        <v>18.83419665131515</v>
      </c>
    </row>
    <row r="31" spans="1:27" x14ac:dyDescent="0.2">
      <c r="A31" s="1" t="s">
        <v>95</v>
      </c>
      <c r="B31" s="1">
        <f>Notes!$C$6*VLOOKUP(A31,[208]geoMap!$A:$B,2,0)</f>
        <v>5000</v>
      </c>
      <c r="C31" s="1">
        <f>B31/VLOOKUP(A31,'[209]geoMap (1)'!$A:$B,2,0)*VLOOKUP(A31,'[209]geoMap (1)'!$A:$C,3,0)</f>
        <v>681.81818181818176</v>
      </c>
      <c r="D31" s="1">
        <f>C31/VLOOKUP(A31,'[210]geoMap (2)'!$A:$B,2,0)*VLOOKUP(A31,'[210]geoMap (2)'!$A:$C,3,0)</f>
        <v>2282.608695652174</v>
      </c>
      <c r="E31" s="1">
        <f>D31/VLOOKUP(A31,'[211]geoMap (3)'!$A:$B,2,0)*VLOOKUP(A31,'[211]geoMap (3)'!$A:$C,3,0)</f>
        <v>2193.0946291560103</v>
      </c>
      <c r="F31" s="1">
        <f>E31/VLOOKUP(A31,'[212]geoMap (4)'!$A:$B,2,0)*VLOOKUP(A31,'[212]geoMap (4)'!$A:$C,3,0)</f>
        <v>1344.1547727085226</v>
      </c>
      <c r="G31" s="1">
        <f>F31/VLOOKUP(A31,'[213]geoMap (5)'!$A:$B,2,0)*VLOOKUP(A31,'[213]geoMap (5)'!$A:$C,3,0)</f>
        <v>1191.9863078735953</v>
      </c>
      <c r="H31" s="1">
        <f>G31/VLOOKUP(A31,'[214]geoMap (6)'!$A:$B,2,0)*VLOOKUP(A31,'[214]geoMap (6)'!$A:$C,3,0)</f>
        <v>1344.1547727085226</v>
      </c>
      <c r="I31" s="1">
        <f>H31/VLOOKUP(A31,'[215]geoMap (7)'!$A:$B,2,0)*VLOOKUP(A31,'[215]geoMap (7)'!$A:$C,3,0)</f>
        <v>315.29556396866576</v>
      </c>
      <c r="J31" s="1">
        <f>I31/VLOOKUP(A31,'[216]geoMap (8)'!$A:$B,2,0)*VLOOKUP(A31,'[216]geoMap (8)'!$A:$C,3,0)</f>
        <v>453.71800668661655</v>
      </c>
      <c r="K31" s="1">
        <f>J31/VLOOKUP(A31,'[217]geoMap (9)'!$A:$B,2,0)*VLOOKUP(A31,'[217]geoMap (9)'!$A:$C,3,0)</f>
        <v>356.49271953948437</v>
      </c>
      <c r="L31" s="1">
        <f>K31/VLOOKUP(A31,'[218]geoMap (10)'!$A:$B,2,0)*VLOOKUP(A31,'[218]geoMap (10)'!$A:$C,3,0)</f>
        <v>62.910479918732534</v>
      </c>
      <c r="M31" s="1">
        <f>L31/VLOOKUP(A31,'[219]geoMap (11)'!$A:$B,2,0)*VLOOKUP(A31,'[219]geoMap (11)'!$A:$C,3,0)</f>
        <v>146.7911198103759</v>
      </c>
      <c r="N31" s="1">
        <f>M31/VLOOKUP(A31,'[220]geoMap (12)'!$A:$B,2,0)*VLOOKUP(A31,'[220]geoMap (12)'!$A:$C,3,0)</f>
        <v>135.49949520957773</v>
      </c>
      <c r="O31" s="1">
        <f>N31/VLOOKUP(A31,'[221]geoMap (13)'!$A:$B,2,0)*VLOOKUP(A31,'[221]geoMap (13)'!$A:$C,3,0)</f>
        <v>115.42549591926992</v>
      </c>
      <c r="P31" s="1">
        <f>O31/VLOOKUP(A31,'[222]geoMap (14)'!$A:$B,2,0)*VLOOKUP(A31,'[222]geoMap (14)'!$A:$C,3,0)</f>
        <v>269.32615714496313</v>
      </c>
      <c r="Q31" s="1">
        <f>P31/VLOOKUP(A31,'[223]geoMap (15)'!$A:$B,2,0)*VLOOKUP(A31,'[223]geoMap (15)'!$A:$C,3,0)</f>
        <v>36.726294156131338</v>
      </c>
      <c r="R31" s="1">
        <f>Q31/VLOOKUP(A31,'[224]geoMap (16)'!$A:$B,2,0)*VLOOKUP(A31,'[224]geoMap (16)'!$A:$C,3,0)</f>
        <v>32.568600478078729</v>
      </c>
      <c r="S31" s="1">
        <f>R31/VLOOKUP(A31,'[225]geoMap (17)'!$A:$B,2,0)*VLOOKUP(A31,'[225]geoMap (17)'!$A:$C,3,0)</f>
        <v>35.282650517918619</v>
      </c>
      <c r="T31" s="1">
        <f>S31/VLOOKUP(A31,'[226]geoMap (18)'!$A:$B,2,0)*VLOOKUP(A31,'[226]geoMap (18)'!$A:$C,3,0)</f>
        <v>30.055591181930676</v>
      </c>
      <c r="U31" s="1">
        <f>T31/VLOOKUP(A31,'[227]geoMap (19)'!$A:$B,2,0)*VLOOKUP(A31,'[227]geoMap (19)'!$A:$C,3,0)</f>
        <v>6.5975687960335634</v>
      </c>
      <c r="V31" s="1">
        <f>U31/VLOOKUP(A31,'[228]geoMap (20)'!$A:$B,2,0)*VLOOKUP(A31,'[228]geoMap (20)'!$A:$C,3,0)</f>
        <v>1.7537841103380356</v>
      </c>
      <c r="W31" s="1">
        <f>V31/VLOOKUP(A31,'[229]geoMap (21)'!$A:$B,2,0)*VLOOKUP(A31,'[229]geoMap (21)'!$A:$C,3,0)</f>
        <v>14.189707801825925</v>
      </c>
      <c r="X31" s="1">
        <f>W31/VLOOKUP(A31,'[230]geoMap (22)'!$A:$B,2,0)*VLOOKUP(A31,'[230]geoMap (22)'!$A:$C,3,0)</f>
        <v>17.342976202231686</v>
      </c>
      <c r="Y31" s="1">
        <f>X31/VLOOKUP(A31,'[231]geoMap (23)'!$A:$B,2,0)*VLOOKUP(A31,'[231]geoMap (23)'!$A:$C,3,0)</f>
        <v>7.7917719169446711</v>
      </c>
      <c r="Z31" s="1">
        <f>Y31/VLOOKUP(A31,'[232]geoMap (24)'!$A:$B,2,0)*VLOOKUP(A31,'[232]geoMap (24)'!$A:$C,3,0)</f>
        <v>8.1098034237587395</v>
      </c>
      <c r="AA31" s="1">
        <f>Z31/VLOOKUP(A31,'[233]geoMap (25)'!$A:$B,2,0)*VLOOKUP(A31,'[233]geoMap (25)'!$A:$C,3,0)</f>
        <v>8.7856203757386364</v>
      </c>
    </row>
    <row r="32" spans="1:27" x14ac:dyDescent="0.2">
      <c r="A32" s="1" t="s">
        <v>108</v>
      </c>
      <c r="B32" s="1">
        <f>Notes!$C$6*VLOOKUP(A32,[208]geoMap!$A:$B,2,0)</f>
        <v>6000</v>
      </c>
      <c r="C32" s="1">
        <f>B32/VLOOKUP(A32,'[209]geoMap (1)'!$A:$B,2,0)*VLOOKUP(A32,'[209]geoMap (1)'!$A:$C,3,0)</f>
        <v>3836.0655737704924</v>
      </c>
      <c r="D32" s="1">
        <f>C32/VLOOKUP(A32,'[210]geoMap (2)'!$A:$B,2,0)*VLOOKUP(A32,'[210]geoMap (2)'!$A:$C,3,0)</f>
        <v>5085.0171559283262</v>
      </c>
      <c r="E32" s="1">
        <f>D32/VLOOKUP(A32,'[211]geoMap (3)'!$A:$B,2,0)*VLOOKUP(A32,'[211]geoMap (3)'!$A:$C,3,0)</f>
        <v>3995.3706225151132</v>
      </c>
      <c r="F32" s="1">
        <f>E32/VLOOKUP(A32,'[212]geoMap (4)'!$A:$B,2,0)*VLOOKUP(A32,'[212]geoMap (4)'!$A:$C,3,0)</f>
        <v>3543.064514305855</v>
      </c>
      <c r="G32" s="1">
        <f>F32/VLOOKUP(A32,'[213]geoMap (5)'!$A:$B,2,0)*VLOOKUP(A32,'[213]geoMap (5)'!$A:$C,3,0)</f>
        <v>3270.5210901284813</v>
      </c>
      <c r="H32" s="1">
        <f>G32/VLOOKUP(A32,'[214]geoMap (6)'!$A:$B,2,0)*VLOOKUP(A32,'[214]geoMap (6)'!$A:$C,3,0)</f>
        <v>2675.8808919233024</v>
      </c>
      <c r="I32" s="1">
        <f>H32/VLOOKUP(A32,'[215]geoMap (7)'!$A:$B,2,0)*VLOOKUP(A32,'[215]geoMap (7)'!$A:$C,3,0)</f>
        <v>627.67576477213265</v>
      </c>
      <c r="J32" s="1">
        <f>I32/VLOOKUP(A32,'[216]geoMap (8)'!$A:$B,2,0)*VLOOKUP(A32,'[216]geoMap (8)'!$A:$C,3,0)</f>
        <v>1024.1025635755848</v>
      </c>
      <c r="K32" s="1">
        <f>J32/VLOOKUP(A32,'[217]geoMap (9)'!$A:$B,2,0)*VLOOKUP(A32,'[217]geoMap (9)'!$A:$C,3,0)</f>
        <v>1109.4444438735502</v>
      </c>
      <c r="L32" s="1">
        <f>K32/VLOOKUP(A32,'[218]geoMap (10)'!$A:$B,2,0)*VLOOKUP(A32,'[218]geoMap (10)'!$A:$C,3,0)</f>
        <v>571.53198623788956</v>
      </c>
      <c r="M32" s="1">
        <f>L32/VLOOKUP(A32,'[219]geoMap (11)'!$A:$B,2,0)*VLOOKUP(A32,'[219]geoMap (11)'!$A:$C,3,0)</f>
        <v>1714.5959587136686</v>
      </c>
      <c r="N32" s="1">
        <f>M32/VLOOKUP(A32,'[220]geoMap (12)'!$A:$B,2,0)*VLOOKUP(A32,'[220]geoMap (12)'!$A:$C,3,0)</f>
        <v>455.77867256945615</v>
      </c>
      <c r="O32" s="1">
        <f>N32/VLOOKUP(A32,'[221]geoMap (13)'!$A:$B,2,0)*VLOOKUP(A32,'[221]geoMap (13)'!$A:$C,3,0)</f>
        <v>455.77867256945615</v>
      </c>
      <c r="P32" s="1">
        <f>O32/VLOOKUP(A32,'[222]geoMap (14)'!$A:$B,2,0)*VLOOKUP(A32,'[222]geoMap (14)'!$A:$C,3,0)</f>
        <v>113.94466814236404</v>
      </c>
      <c r="Q32" s="1">
        <f>P32/VLOOKUP(A32,'[223]geoMap (15)'!$A:$B,2,0)*VLOOKUP(A32,'[223]geoMap (15)'!$A:$C,3,0)</f>
        <v>293.00057522322174</v>
      </c>
      <c r="R32" s="1">
        <f>Q32/VLOOKUP(A32,'[224]geoMap (16)'!$A:$B,2,0)*VLOOKUP(A32,'[224]geoMap (16)'!$A:$C,3,0)</f>
        <v>187.3282366181254</v>
      </c>
      <c r="S32" s="1">
        <f>R32/VLOOKUP(A32,'[225]geoMap (17)'!$A:$B,2,0)*VLOOKUP(A32,'[225]geoMap (17)'!$A:$C,3,0)</f>
        <v>416.95639763389198</v>
      </c>
      <c r="T32" s="1">
        <f>S32/VLOOKUP(A32,'[226]geoMap (18)'!$A:$B,2,0)*VLOOKUP(A32,'[226]geoMap (18)'!$A:$C,3,0)</f>
        <v>97.804587099307994</v>
      </c>
      <c r="U32" s="1">
        <f>T32/VLOOKUP(A32,'[227]geoMap (19)'!$A:$B,2,0)*VLOOKUP(A32,'[227]geoMap (19)'!$A:$C,3,0)</f>
        <v>83.315018640151251</v>
      </c>
      <c r="V32" s="1">
        <f>U32/VLOOKUP(A32,'[228]geoMap (20)'!$A:$B,2,0)*VLOOKUP(A32,'[228]geoMap (20)'!$A:$C,3,0)</f>
        <v>55.543345760100841</v>
      </c>
      <c r="W32" s="1">
        <f>V32/VLOOKUP(A32,'[229]geoMap (21)'!$A:$B,2,0)*VLOOKUP(A32,'[229]geoMap (21)'!$A:$C,3,0)</f>
        <v>51.270780701631544</v>
      </c>
      <c r="X32" s="1">
        <f>W32/VLOOKUP(A32,'[230]geoMap (22)'!$A:$B,2,0)*VLOOKUP(A32,'[230]geoMap (22)'!$A:$C,3,0)</f>
        <v>19.938636939523381</v>
      </c>
      <c r="Y32" s="1">
        <f>X32/VLOOKUP(A32,'[231]geoMap (23)'!$A:$B,2,0)*VLOOKUP(A32,'[231]geoMap (23)'!$A:$C,3,0)</f>
        <v>48.815283541591732</v>
      </c>
      <c r="Z32" s="1">
        <f>Y32/VLOOKUP(A32,'[232]geoMap (24)'!$A:$B,2,0)*VLOOKUP(A32,'[232]geoMap (24)'!$A:$C,3,0)</f>
        <v>52.883223836724376</v>
      </c>
      <c r="AA32" s="1">
        <f>Z32/VLOOKUP(A32,'[233]geoMap (25)'!$A:$B,2,0)*VLOOKUP(A32,'[233]geoMap (25)'!$A:$C,3,0)</f>
        <v>43.268092230047216</v>
      </c>
    </row>
    <row r="33" spans="1:27" x14ac:dyDescent="0.2">
      <c r="A33" s="1" t="s">
        <v>112</v>
      </c>
      <c r="B33" s="1">
        <f>Notes!$C$6*VLOOKUP(A33,[208]geoMap!$A:$B,2,0)</f>
        <v>5000</v>
      </c>
      <c r="C33" s="1">
        <f>B33/VLOOKUP(A33,'[209]geoMap (1)'!$A:$B,2,0)*VLOOKUP(A33,'[209]geoMap (1)'!$A:$C,3,0)</f>
        <v>4090.9090909090905</v>
      </c>
      <c r="D33" s="1">
        <f>C33/VLOOKUP(A33,'[210]geoMap (2)'!$A:$B,2,0)*VLOOKUP(A33,'[210]geoMap (2)'!$A:$C,3,0)</f>
        <v>5000</v>
      </c>
      <c r="E33" s="1">
        <f>D33/VLOOKUP(A33,'[211]geoMap (3)'!$A:$B,2,0)*VLOOKUP(A33,'[211]geoMap (3)'!$A:$C,3,0)</f>
        <v>2692.3076923076924</v>
      </c>
      <c r="F33" s="1">
        <f>E33/VLOOKUP(A33,'[212]geoMap (4)'!$A:$B,2,0)*VLOOKUP(A33,'[212]geoMap (4)'!$A:$C,3,0)</f>
        <v>2485.207100591716</v>
      </c>
      <c r="G33" s="1">
        <f>F33/VLOOKUP(A33,'[213]geoMap (5)'!$A:$B,2,0)*VLOOKUP(A33,'[213]geoMap (5)'!$A:$C,3,0)</f>
        <v>3037.4753451676529</v>
      </c>
      <c r="H33" s="1">
        <f>G33/VLOOKUP(A33,'[214]geoMap (6)'!$A:$B,2,0)*VLOOKUP(A33,'[214]geoMap (6)'!$A:$C,3,0)</f>
        <v>1708.5798816568047</v>
      </c>
      <c r="I33" s="1">
        <f>H33/VLOOKUP(A33,'[215]geoMap (7)'!$A:$B,2,0)*VLOOKUP(A33,'[215]geoMap (7)'!$A:$C,3,0)</f>
        <v>1047.194121015461</v>
      </c>
      <c r="J33" s="1">
        <f>I33/VLOOKUP(A33,'[216]geoMap (8)'!$A:$B,2,0)*VLOOKUP(A33,'[216]geoMap (8)'!$A:$C,3,0)</f>
        <v>1180.8784768897754</v>
      </c>
      <c r="K33" s="1">
        <f>J33/VLOOKUP(A33,'[217]geoMap (9)'!$A:$B,2,0)*VLOOKUP(A33,'[217]geoMap (9)'!$A:$C,3,0)</f>
        <v>890.83814923263753</v>
      </c>
      <c r="L33" s="1">
        <f>K33/VLOOKUP(A33,'[218]geoMap (10)'!$A:$B,2,0)*VLOOKUP(A33,'[218]geoMap (10)'!$A:$C,3,0)</f>
        <v>458.91662233196479</v>
      </c>
      <c r="M33" s="1">
        <f>L33/VLOOKUP(A33,'[219]geoMap (11)'!$A:$B,2,0)*VLOOKUP(A33,'[219]geoMap (11)'!$A:$C,3,0)</f>
        <v>517.50172305519436</v>
      </c>
      <c r="N33" s="1">
        <f>M33/VLOOKUP(A33,'[220]geoMap (12)'!$A:$B,2,0)*VLOOKUP(A33,'[220]geoMap (12)'!$A:$C,3,0)</f>
        <v>560.62686664312719</v>
      </c>
      <c r="O33" s="1">
        <f>N33/VLOOKUP(A33,'[221]geoMap (13)'!$A:$B,2,0)*VLOOKUP(A33,'[221]geoMap (13)'!$A:$C,3,0)</f>
        <v>405.97117929329903</v>
      </c>
      <c r="P33" s="1">
        <f>O33/VLOOKUP(A33,'[222]geoMap (14)'!$A:$B,2,0)*VLOOKUP(A33,'[222]geoMap (14)'!$A:$C,3,0)</f>
        <v>228.35878835248067</v>
      </c>
      <c r="Q33" s="1">
        <f>P33/VLOOKUP(A33,'[223]geoMap (15)'!$A:$B,2,0)*VLOOKUP(A33,'[223]geoMap (15)'!$A:$C,3,0)</f>
        <v>158.69000546528318</v>
      </c>
      <c r="R33" s="1">
        <f>Q33/VLOOKUP(A33,'[224]geoMap (16)'!$A:$B,2,0)*VLOOKUP(A33,'[224]geoMap (16)'!$A:$C,3,0)</f>
        <v>81.749396754842849</v>
      </c>
      <c r="S33" s="1">
        <f>R33/VLOOKUP(A33,'[225]geoMap (17)'!$A:$B,2,0)*VLOOKUP(A33,'[225]geoMap (17)'!$A:$C,3,0)</f>
        <v>145.3322608974984</v>
      </c>
      <c r="T33" s="1">
        <f>S33/VLOOKUP(A33,'[226]geoMap (18)'!$A:$B,2,0)*VLOOKUP(A33,'[226]geoMap (18)'!$A:$C,3,0)</f>
        <v>123.80155557935049</v>
      </c>
      <c r="U33" s="1">
        <f>T33/VLOOKUP(A33,'[227]geoMap (19)'!$A:$B,2,0)*VLOOKUP(A33,'[227]geoMap (19)'!$A:$C,3,0)</f>
        <v>89.649402316081392</v>
      </c>
      <c r="V33" s="1">
        <f>U33/VLOOKUP(A33,'[228]geoMap (20)'!$A:$B,2,0)*VLOOKUP(A33,'[228]geoMap (20)'!$A:$C,3,0)</f>
        <v>50.427788802795781</v>
      </c>
      <c r="W33" s="1">
        <f>V33/VLOOKUP(A33,'[229]geoMap (21)'!$A:$B,2,0)*VLOOKUP(A33,'[229]geoMap (21)'!$A:$C,3,0)</f>
        <v>35.043039676519101</v>
      </c>
      <c r="X33" s="1">
        <f>W33/VLOOKUP(A33,'[230]geoMap (22)'!$A:$B,2,0)*VLOOKUP(A33,'[230]geoMap (22)'!$A:$C,3,0)</f>
        <v>68.024724077948832</v>
      </c>
      <c r="Y33" s="1">
        <f>X33/VLOOKUP(A33,'[231]geoMap (23)'!$A:$B,2,0)*VLOOKUP(A33,'[231]geoMap (23)'!$A:$C,3,0)</f>
        <v>43.491217033442695</v>
      </c>
      <c r="Z33" s="1">
        <f>Y33/VLOOKUP(A33,'[232]geoMap (24)'!$A:$B,2,0)*VLOOKUP(A33,'[232]geoMap (24)'!$A:$C,3,0)</f>
        <v>27.805860070561724</v>
      </c>
      <c r="AA33" s="1">
        <f>Z33/VLOOKUP(A33,'[233]geoMap (25)'!$A:$B,2,0)*VLOOKUP(A33,'[233]geoMap (25)'!$A:$C,3,0)</f>
        <v>31.355544334888759</v>
      </c>
    </row>
    <row r="34" spans="1:27" x14ac:dyDescent="0.2">
      <c r="A34" s="1" t="s">
        <v>117</v>
      </c>
      <c r="B34" s="1">
        <f>Notes!$C$6*VLOOKUP(A34,[208]geoMap!$A:$B,2,0)</f>
        <v>5000</v>
      </c>
      <c r="C34" s="1">
        <f>B34/VLOOKUP(A34,'[209]geoMap (1)'!$A:$B,2,0)*VLOOKUP(A34,'[209]geoMap (1)'!$A:$C,3,0)</f>
        <v>3771.9298245614041</v>
      </c>
      <c r="D34" s="1">
        <f>C34/VLOOKUP(A34,'[210]geoMap (2)'!$A:$B,2,0)*VLOOKUP(A34,'[210]geoMap (2)'!$A:$C,3,0)</f>
        <v>4253.4527808883922</v>
      </c>
      <c r="E34" s="1">
        <f>D34/VLOOKUP(A34,'[211]geoMap (3)'!$A:$B,2,0)*VLOOKUP(A34,'[211]geoMap (3)'!$A:$C,3,0)</f>
        <v>3080.0864965053875</v>
      </c>
      <c r="F34" s="1">
        <f>E34/VLOOKUP(A34,'[212]geoMap (4)'!$A:$B,2,0)*VLOOKUP(A34,'[212]geoMap (4)'!$A:$C,3,0)</f>
        <v>2323.5740236795027</v>
      </c>
      <c r="G34" s="1">
        <f>F34/VLOOKUP(A34,'[213]geoMap (5)'!$A:$B,2,0)*VLOOKUP(A34,'[213]geoMap (5)'!$A:$C,3,0)</f>
        <v>2957.2760301375492</v>
      </c>
      <c r="H34" s="1">
        <f>G34/VLOOKUP(A34,'[214]geoMap (6)'!$A:$B,2,0)*VLOOKUP(A34,'[214]geoMap (6)'!$A:$C,3,0)</f>
        <v>1523.4452276466163</v>
      </c>
      <c r="I34" s="1">
        <f>H34/VLOOKUP(A34,'[215]geoMap (7)'!$A:$B,2,0)*VLOOKUP(A34,'[215]geoMap (7)'!$A:$C,3,0)</f>
        <v>1058.6653276866316</v>
      </c>
      <c r="J34" s="1">
        <f>I34/VLOOKUP(A34,'[216]geoMap (8)'!$A:$B,2,0)*VLOOKUP(A34,'[216]geoMap (8)'!$A:$C,3,0)</f>
        <v>1017.1490403263714</v>
      </c>
      <c r="K34" s="1">
        <f>J34/VLOOKUP(A34,'[217]geoMap (9)'!$A:$B,2,0)*VLOOKUP(A34,'[217]geoMap (9)'!$A:$C,3,0)</f>
        <v>799.18853168500596</v>
      </c>
      <c r="L34" s="1">
        <f>K34/VLOOKUP(A34,'[218]geoMap (10)'!$A:$B,2,0)*VLOOKUP(A34,'[218]geoMap (10)'!$A:$C,3,0)</f>
        <v>342.50937072214538</v>
      </c>
      <c r="M34" s="1">
        <f>L34/VLOOKUP(A34,'[219]geoMap (11)'!$A:$B,2,0)*VLOOKUP(A34,'[219]geoMap (11)'!$A:$C,3,0)</f>
        <v>492.87933835625796</v>
      </c>
      <c r="N34" s="1">
        <f>M34/VLOOKUP(A34,'[220]geoMap (12)'!$A:$B,2,0)*VLOOKUP(A34,'[220]geoMap (12)'!$A:$C,3,0)</f>
        <v>437.08167741026642</v>
      </c>
      <c r="O34" s="1">
        <f>N34/VLOOKUP(A34,'[221]geoMap (13)'!$A:$B,2,0)*VLOOKUP(A34,'[221]geoMap (13)'!$A:$C,3,0)</f>
        <v>357.61228151749071</v>
      </c>
      <c r="P34" s="1">
        <f>O34/VLOOKUP(A34,'[222]geoMap (14)'!$A:$B,2,0)*VLOOKUP(A34,'[222]geoMap (14)'!$A:$C,3,0)</f>
        <v>73.245888985510163</v>
      </c>
      <c r="Q34" s="1">
        <f>P34/VLOOKUP(A34,'[223]geoMap (15)'!$A:$B,2,0)*VLOOKUP(A34,'[223]geoMap (15)'!$A:$C,3,0)</f>
        <v>136.02807954451887</v>
      </c>
      <c r="R34" s="1">
        <f>Q34/VLOOKUP(A34,'[224]geoMap (16)'!$A:$B,2,0)*VLOOKUP(A34,'[224]geoMap (16)'!$A:$C,3,0)</f>
        <v>58.297748376222373</v>
      </c>
      <c r="S34" s="1">
        <f>R34/VLOOKUP(A34,'[225]geoMap (17)'!$A:$B,2,0)*VLOOKUP(A34,'[225]geoMap (17)'!$A:$C,3,0)</f>
        <v>129.75950445030139</v>
      </c>
      <c r="T34" s="1">
        <f>S34/VLOOKUP(A34,'[226]geoMap (18)'!$A:$B,2,0)*VLOOKUP(A34,'[226]geoMap (18)'!$A:$C,3,0)</f>
        <v>90.171859024785718</v>
      </c>
      <c r="U34" s="1">
        <f>T34/VLOOKUP(A34,'[227]geoMap (19)'!$A:$B,2,0)*VLOOKUP(A34,'[227]geoMap (19)'!$A:$C,3,0)</f>
        <v>73.776975565733764</v>
      </c>
      <c r="V34" s="1">
        <f>U34/VLOOKUP(A34,'[228]geoMap (20)'!$A:$B,2,0)*VLOOKUP(A34,'[228]geoMap (20)'!$A:$C,3,0)</f>
        <v>55.656314900465823</v>
      </c>
      <c r="W34" s="1">
        <f>V34/VLOOKUP(A34,'[229]geoMap (21)'!$A:$B,2,0)*VLOOKUP(A34,'[229]geoMap (21)'!$A:$C,3,0)</f>
        <v>41.986342819649664</v>
      </c>
      <c r="X34" s="1">
        <f>W34/VLOOKUP(A34,'[230]geoMap (22)'!$A:$B,2,0)*VLOOKUP(A34,'[230]geoMap (22)'!$A:$C,3,0)</f>
        <v>30.403903421125619</v>
      </c>
      <c r="Y34" s="1">
        <f>X34/VLOOKUP(A34,'[231]geoMap (23)'!$A:$B,2,0)*VLOOKUP(A34,'[231]geoMap (23)'!$A:$C,3,0)</f>
        <v>56.464392067804724</v>
      </c>
      <c r="Z34" s="1">
        <f>Y34/VLOOKUP(A34,'[232]geoMap (24)'!$A:$B,2,0)*VLOOKUP(A34,'[232]geoMap (24)'!$A:$C,3,0)</f>
        <v>26.571478620143399</v>
      </c>
      <c r="AA34" s="1">
        <f>Z34/VLOOKUP(A34,'[233]geoMap (25)'!$A:$B,2,0)*VLOOKUP(A34,'[233]geoMap (25)'!$A:$C,3,0)</f>
        <v>28.78576850515535</v>
      </c>
    </row>
    <row r="35" spans="1:27" x14ac:dyDescent="0.2">
      <c r="A35" s="1" t="s">
        <v>99</v>
      </c>
      <c r="B35" s="1">
        <f>Notes!$C$6*VLOOKUP(A35,[208]geoMap!$A:$B,2,0)</f>
        <v>5000</v>
      </c>
      <c r="C35" s="1">
        <f>B35/VLOOKUP(A35,'[209]geoMap (1)'!$A:$B,2,0)*VLOOKUP(A35,'[209]geoMap (1)'!$A:$C,3,0)</f>
        <v>3928.571428571428</v>
      </c>
      <c r="D35" s="1">
        <f>C35/VLOOKUP(A35,'[210]geoMap (2)'!$A:$B,2,0)*VLOOKUP(A35,'[210]geoMap (2)'!$A:$C,3,0)</f>
        <v>3626.3736263736259</v>
      </c>
      <c r="E35" s="1">
        <f>D35/VLOOKUP(A35,'[211]geoMap (3)'!$A:$B,2,0)*VLOOKUP(A35,'[211]geoMap (3)'!$A:$C,3,0)</f>
        <v>3484.1628959276009</v>
      </c>
      <c r="F35" s="1">
        <f>E35/VLOOKUP(A35,'[212]geoMap (4)'!$A:$B,2,0)*VLOOKUP(A35,'[212]geoMap (4)'!$A:$C,3,0)</f>
        <v>2967.990615049438</v>
      </c>
      <c r="G35" s="1">
        <f>F35/VLOOKUP(A35,'[213]geoMap (5)'!$A:$B,2,0)*VLOOKUP(A35,'[213]geoMap (5)'!$A:$C,3,0)</f>
        <v>2739.6836446610196</v>
      </c>
      <c r="H35" s="1">
        <f>G35/VLOOKUP(A35,'[214]geoMap (6)'!$A:$B,2,0)*VLOOKUP(A35,'[214]geoMap (6)'!$A:$C,3,0)</f>
        <v>1475.2142702020874</v>
      </c>
      <c r="I35" s="1">
        <f>H35/VLOOKUP(A35,'[215]geoMap (7)'!$A:$B,2,0)*VLOOKUP(A35,'[215]geoMap (7)'!$A:$C,3,0)</f>
        <v>545.62719582816931</v>
      </c>
      <c r="J35" s="1">
        <f>I35/VLOOKUP(A35,'[216]geoMap (8)'!$A:$B,2,0)*VLOOKUP(A35,'[216]geoMap (8)'!$A:$C,3,0)</f>
        <v>1107.788549105677</v>
      </c>
      <c r="K35" s="1">
        <f>J35/VLOOKUP(A35,'[217]geoMap (9)'!$A:$B,2,0)*VLOOKUP(A35,'[217]geoMap (9)'!$A:$C,3,0)</f>
        <v>650.60597328428651</v>
      </c>
      <c r="L35" s="1">
        <f>K35/VLOOKUP(A35,'[218]geoMap (10)'!$A:$B,2,0)*VLOOKUP(A35,'[218]geoMap (10)'!$A:$C,3,0)</f>
        <v>532.31397814168895</v>
      </c>
      <c r="M35" s="1">
        <f>L35/VLOOKUP(A35,'[219]geoMap (11)'!$A:$B,2,0)*VLOOKUP(A35,'[219]geoMap (11)'!$A:$C,3,0)</f>
        <v>600.26895407467055</v>
      </c>
      <c r="N35" s="1">
        <f>M35/VLOOKUP(A35,'[220]geoMap (12)'!$A:$B,2,0)*VLOOKUP(A35,'[220]geoMap (12)'!$A:$C,3,0)</f>
        <v>452.83447412650588</v>
      </c>
      <c r="O35" s="1">
        <f>N35/VLOOKUP(A35,'[221]geoMap (13)'!$A:$B,2,0)*VLOOKUP(A35,'[221]geoMap (13)'!$A:$C,3,0)</f>
        <v>314.68158371502955</v>
      </c>
      <c r="P35" s="1">
        <f>O35/VLOOKUP(A35,'[222]geoMap (14)'!$A:$B,2,0)*VLOOKUP(A35,'[222]geoMap (14)'!$A:$C,3,0)</f>
        <v>134.86353587786979</v>
      </c>
      <c r="Q35" s="1">
        <f>P35/VLOOKUP(A35,'[223]geoMap (15)'!$A:$B,2,0)*VLOOKUP(A35,'[223]geoMap (15)'!$A:$C,3,0)</f>
        <v>186.24012097420115</v>
      </c>
      <c r="R35" s="1">
        <f>Q35/VLOOKUP(A35,'[224]geoMap (16)'!$A:$B,2,0)*VLOOKUP(A35,'[224]geoMap (16)'!$A:$C,3,0)</f>
        <v>87.642409870212305</v>
      </c>
      <c r="S35" s="1">
        <f>R35/VLOOKUP(A35,'[225]geoMap (17)'!$A:$B,2,0)*VLOOKUP(A35,'[225]geoMap (17)'!$A:$C,3,0)</f>
        <v>186.24012097420115</v>
      </c>
      <c r="T35" s="1">
        <f>S35/VLOOKUP(A35,'[226]geoMap (18)'!$A:$B,2,0)*VLOOKUP(A35,'[226]geoMap (18)'!$A:$C,3,0)</f>
        <v>119.07155275399747</v>
      </c>
      <c r="U35" s="1">
        <f>T35/VLOOKUP(A35,'[227]geoMap (19)'!$A:$B,2,0)*VLOOKUP(A35,'[227]geoMap (19)'!$A:$C,3,0)</f>
        <v>93.556220020997998</v>
      </c>
      <c r="V35" s="1">
        <f>U35/VLOOKUP(A35,'[228]geoMap (20)'!$A:$B,2,0)*VLOOKUP(A35,'[228]geoMap (20)'!$A:$C,3,0)</f>
        <v>32.871104331702</v>
      </c>
      <c r="W35" s="1">
        <f>V35/VLOOKUP(A35,'[229]geoMap (21)'!$A:$B,2,0)*VLOOKUP(A35,'[229]geoMap (21)'!$A:$C,3,0)</f>
        <v>61.04633661601801</v>
      </c>
      <c r="X35" s="1">
        <f>W35/VLOOKUP(A35,'[230]geoMap (22)'!$A:$B,2,0)*VLOOKUP(A35,'[230]geoMap (22)'!$A:$C,3,0)</f>
        <v>77.695337511295662</v>
      </c>
      <c r="Y35" s="1">
        <f>X35/VLOOKUP(A35,'[231]geoMap (23)'!$A:$B,2,0)*VLOOKUP(A35,'[231]geoMap (23)'!$A:$C,3,0)</f>
        <v>58.612272157644099</v>
      </c>
      <c r="Z35" s="1">
        <f>Y35/VLOOKUP(A35,'[232]geoMap (24)'!$A:$B,2,0)*VLOOKUP(A35,'[232]geoMap (24)'!$A:$C,3,0)</f>
        <v>39.074848105096066</v>
      </c>
      <c r="AA35" s="1">
        <f>Z35/VLOOKUP(A35,'[233]geoMap (25)'!$A:$B,2,0)*VLOOKUP(A35,'[233]geoMap (25)'!$A:$C,3,0)</f>
        <v>31.970330267805871</v>
      </c>
    </row>
    <row r="36" spans="1:27" x14ac:dyDescent="0.2">
      <c r="A36" s="1" t="s">
        <v>97</v>
      </c>
      <c r="B36" s="1">
        <f>Notes!$C$6*VLOOKUP(A36,[208]geoMap!$A:$B,2,0)</f>
        <v>5000</v>
      </c>
      <c r="C36" s="1">
        <f>B36/VLOOKUP(A36,'[209]geoMap (1)'!$A:$B,2,0)*VLOOKUP(A36,'[209]geoMap (1)'!$A:$C,3,0)</f>
        <v>3771.9298245614041</v>
      </c>
      <c r="D36" s="1">
        <f>C36/VLOOKUP(A36,'[210]geoMap (2)'!$A:$B,2,0)*VLOOKUP(A36,'[210]geoMap (2)'!$A:$C,3,0)</f>
        <v>4253.4527808883922</v>
      </c>
      <c r="E36" s="1">
        <f>D36/VLOOKUP(A36,'[211]geoMap (3)'!$A:$B,2,0)*VLOOKUP(A36,'[211]geoMap (3)'!$A:$C,3,0)</f>
        <v>3623.3116281641855</v>
      </c>
      <c r="F36" s="1">
        <f>E36/VLOOKUP(A36,'[212]geoMap (4)'!$A:$B,2,0)*VLOOKUP(A36,'[212]geoMap (4)'!$A:$C,3,0)</f>
        <v>3481.2209760793153</v>
      </c>
      <c r="G36" s="1">
        <f>F36/VLOOKUP(A36,'[213]geoMap (5)'!$A:$B,2,0)*VLOOKUP(A36,'[213]geoMap (5)'!$A:$C,3,0)</f>
        <v>2965.4845351786762</v>
      </c>
      <c r="H36" s="1">
        <f>G36/VLOOKUP(A36,'[214]geoMap (6)'!$A:$B,2,0)*VLOOKUP(A36,'[214]geoMap (6)'!$A:$C,3,0)</f>
        <v>1741.6337746287463</v>
      </c>
      <c r="I36" s="1">
        <f>H36/VLOOKUP(A36,'[215]geoMap (7)'!$A:$B,2,0)*VLOOKUP(A36,'[215]geoMap (7)'!$A:$C,3,0)</f>
        <v>644.16591664350892</v>
      </c>
      <c r="J36" s="1">
        <f>I36/VLOOKUP(A36,'[216]geoMap (8)'!$A:$B,2,0)*VLOOKUP(A36,'[216]geoMap (8)'!$A:$C,3,0)</f>
        <v>1433.7886531742618</v>
      </c>
      <c r="K36" s="1">
        <f>J36/VLOOKUP(A36,'[217]geoMap (9)'!$A:$B,2,0)*VLOOKUP(A36,'[217]geoMap (9)'!$A:$C,3,0)</f>
        <v>842.06635186424887</v>
      </c>
      <c r="L36" s="1">
        <f>K36/VLOOKUP(A36,'[218]geoMap (10)'!$A:$B,2,0)*VLOOKUP(A36,'[218]geoMap (10)'!$A:$C,3,0)</f>
        <v>609.77218583273191</v>
      </c>
      <c r="M36" s="1">
        <f>L36/VLOOKUP(A36,'[219]geoMap (11)'!$A:$B,2,0)*VLOOKUP(A36,'[219]geoMap (11)'!$A:$C,3,0)</f>
        <v>609.77218583273191</v>
      </c>
      <c r="N36" s="1">
        <f>M36/VLOOKUP(A36,'[220]geoMap (12)'!$A:$B,2,0)*VLOOKUP(A36,'[220]geoMap (12)'!$A:$C,3,0)</f>
        <v>498.90451568132607</v>
      </c>
      <c r="O36" s="1">
        <f>N36/VLOOKUP(A36,'[221]geoMap (13)'!$A:$B,2,0)*VLOOKUP(A36,'[221]geoMap (13)'!$A:$C,3,0)</f>
        <v>318.97173953396259</v>
      </c>
      <c r="P36" s="1">
        <f>O36/VLOOKUP(A36,'[222]geoMap (14)'!$A:$B,2,0)*VLOOKUP(A36,'[222]geoMap (14)'!$A:$C,3,0)</f>
        <v>150.10434801598237</v>
      </c>
      <c r="Q36" s="1">
        <f>P36/VLOOKUP(A36,'[223]geoMap (15)'!$A:$B,2,0)*VLOOKUP(A36,'[223]geoMap (15)'!$A:$C,3,0)</f>
        <v>176.20945201876191</v>
      </c>
      <c r="R36" s="1">
        <f>Q36/VLOOKUP(A36,'[224]geoMap (16)'!$A:$B,2,0)*VLOOKUP(A36,'[224]geoMap (16)'!$A:$C,3,0)</f>
        <v>75.518336579469391</v>
      </c>
      <c r="S36" s="1">
        <f>R36/VLOOKUP(A36,'[225]geoMap (17)'!$A:$B,2,0)*VLOOKUP(A36,'[225]geoMap (17)'!$A:$C,3,0)</f>
        <v>134.25482058572337</v>
      </c>
      <c r="T36" s="1">
        <f>S36/VLOOKUP(A36,'[226]geoMap (18)'!$A:$B,2,0)*VLOOKUP(A36,'[226]geoMap (18)'!$A:$C,3,0)</f>
        <v>97.219008010351402</v>
      </c>
      <c r="U36" s="1">
        <f>T36/VLOOKUP(A36,'[227]geoMap (19)'!$A:$B,2,0)*VLOOKUP(A36,'[227]geoMap (19)'!$A:$C,3,0)</f>
        <v>79.542824735742045</v>
      </c>
      <c r="V36" s="1">
        <f>U36/VLOOKUP(A36,'[228]geoMap (20)'!$A:$B,2,0)*VLOOKUP(A36,'[228]geoMap (20)'!$A:$C,3,0)</f>
        <v>37.431917522702136</v>
      </c>
      <c r="W36" s="1">
        <f>V36/VLOOKUP(A36,'[229]geoMap (21)'!$A:$B,2,0)*VLOOKUP(A36,'[229]geoMap (21)'!$A:$C,3,0)</f>
        <v>125.31554996730715</v>
      </c>
      <c r="X36" s="1">
        <f>W36/VLOOKUP(A36,'[230]geoMap (22)'!$A:$B,2,0)*VLOOKUP(A36,'[230]geoMap (22)'!$A:$C,3,0)</f>
        <v>73.598021409370872</v>
      </c>
      <c r="Y36" s="1">
        <f>X36/VLOOKUP(A36,'[231]geoMap (23)'!$A:$B,2,0)*VLOOKUP(A36,'[231]geoMap (23)'!$A:$C,3,0)</f>
        <v>53.295118951613397</v>
      </c>
      <c r="Z36" s="1">
        <f>Y36/VLOOKUP(A36,'[232]geoMap (24)'!$A:$B,2,0)*VLOOKUP(A36,'[232]geoMap (24)'!$A:$C,3,0)</f>
        <v>32.664750325182403</v>
      </c>
      <c r="AA36" s="1">
        <f>Z36/VLOOKUP(A36,'[233]geoMap (25)'!$A:$B,2,0)*VLOOKUP(A36,'[233]geoMap (25)'!$A:$C,3,0)</f>
        <v>36.834718451801443</v>
      </c>
    </row>
    <row r="37" spans="1:27" x14ac:dyDescent="0.2">
      <c r="A37" s="1" t="s">
        <v>125</v>
      </c>
      <c r="B37" s="1">
        <f>Notes!$C$6*VLOOKUP(A37,[208]geoMap!$A:$B,2,0)</f>
        <v>5000</v>
      </c>
      <c r="C37" s="1">
        <f>B37/VLOOKUP(A37,'[209]geoMap (1)'!$A:$B,2,0)*VLOOKUP(A37,'[209]geoMap (1)'!$A:$C,3,0)</f>
        <v>2812.5</v>
      </c>
      <c r="D37" s="1">
        <f>C37/VLOOKUP(A37,'[210]geoMap (2)'!$A:$B,2,0)*VLOOKUP(A37,'[210]geoMap (2)'!$A:$C,3,0)</f>
        <v>4047.2560975609754</v>
      </c>
      <c r="E37" s="1">
        <f>D37/VLOOKUP(A37,'[211]geoMap (3)'!$A:$B,2,0)*VLOOKUP(A37,'[211]geoMap (3)'!$A:$C,3,0)</f>
        <v>3735.9287054409001</v>
      </c>
      <c r="F37" s="1">
        <f>E37/VLOOKUP(A37,'[212]geoMap (4)'!$A:$B,2,0)*VLOOKUP(A37,'[212]geoMap (4)'!$A:$C,3,0)</f>
        <v>2705.327683250307</v>
      </c>
      <c r="G37" s="1">
        <f>F37/VLOOKUP(A37,'[213]geoMap (5)'!$A:$B,2,0)*VLOOKUP(A37,'[213]geoMap (5)'!$A:$C,3,0)</f>
        <v>2705.327683250307</v>
      </c>
      <c r="H37" s="1">
        <f>G37/VLOOKUP(A37,'[214]geoMap (6)'!$A:$B,2,0)*VLOOKUP(A37,'[214]geoMap (6)'!$A:$C,3,0)</f>
        <v>1000.6006499692917</v>
      </c>
      <c r="I37" s="1">
        <f>H37/VLOOKUP(A37,'[215]geoMap (7)'!$A:$B,2,0)*VLOOKUP(A37,'[215]geoMap (7)'!$A:$C,3,0)</f>
        <v>562.8378656077266</v>
      </c>
      <c r="J37" s="1">
        <f>I37/VLOOKUP(A37,'[216]geoMap (8)'!$A:$B,2,0)*VLOOKUP(A37,'[216]geoMap (8)'!$A:$C,3,0)</f>
        <v>880.33614877105947</v>
      </c>
      <c r="K37" s="1">
        <f>J37/VLOOKUP(A37,'[217]geoMap (9)'!$A:$B,2,0)*VLOOKUP(A37,'[217]geoMap (9)'!$A:$C,3,0)</f>
        <v>749.91597858275429</v>
      </c>
      <c r="L37" s="1">
        <f>K37/VLOOKUP(A37,'[218]geoMap (10)'!$A:$B,2,0)*VLOOKUP(A37,'[218]geoMap (10)'!$A:$C,3,0)</f>
        <v>321.39256224975185</v>
      </c>
      <c r="M37" s="1">
        <f>L37/VLOOKUP(A37,'[219]geoMap (11)'!$A:$B,2,0)*VLOOKUP(A37,'[219]geoMap (11)'!$A:$C,3,0)</f>
        <v>443.82782405918113</v>
      </c>
      <c r="N37" s="1">
        <f>M37/VLOOKUP(A37,'[220]geoMap (12)'!$A:$B,2,0)*VLOOKUP(A37,'[220]geoMap (12)'!$A:$C,3,0)</f>
        <v>480.81347606411293</v>
      </c>
      <c r="O37" s="1">
        <f>N37/VLOOKUP(A37,'[221]geoMap (13)'!$A:$B,2,0)*VLOOKUP(A37,'[221]geoMap (13)'!$A:$C,3,0)</f>
        <v>294.69213049090797</v>
      </c>
      <c r="P37" s="1">
        <f>O37/VLOOKUP(A37,'[222]geoMap (14)'!$A:$B,2,0)*VLOOKUP(A37,'[222]geoMap (14)'!$A:$C,3,0)</f>
        <v>272.02350506853043</v>
      </c>
      <c r="Q37" s="1">
        <f>P37/VLOOKUP(A37,'[223]geoMap (15)'!$A:$B,2,0)*VLOOKUP(A37,'[223]geoMap (15)'!$A:$C,3,0)</f>
        <v>116.58150217222733</v>
      </c>
      <c r="R37" s="1">
        <f>Q37/VLOOKUP(A37,'[224]geoMap (16)'!$A:$B,2,0)*VLOOKUP(A37,'[224]geoMap (16)'!$A:$C,3,0)</f>
        <v>60.057137482662569</v>
      </c>
      <c r="S37" s="1">
        <f>R37/VLOOKUP(A37,'[225]geoMap (17)'!$A:$B,2,0)*VLOOKUP(A37,'[225]geoMap (17)'!$A:$C,3,0)</f>
        <v>190.1809353617648</v>
      </c>
      <c r="T37" s="1">
        <f>S37/VLOOKUP(A37,'[226]geoMap (18)'!$A:$B,2,0)*VLOOKUP(A37,'[226]geoMap (18)'!$A:$C,3,0)</f>
        <v>70.340893900926702</v>
      </c>
      <c r="U37" s="1">
        <f>T37/VLOOKUP(A37,'[227]geoMap (19)'!$A:$B,2,0)*VLOOKUP(A37,'[227]geoMap (19)'!$A:$C,3,0)</f>
        <v>97.137424910803531</v>
      </c>
      <c r="V37" s="1">
        <f>U37/VLOOKUP(A37,'[228]geoMap (20)'!$A:$B,2,0)*VLOOKUP(A37,'[228]geoMap (20)'!$A:$C,3,0)</f>
        <v>76.322262429917046</v>
      </c>
      <c r="W37" s="1">
        <f>V37/VLOOKUP(A37,'[229]geoMap (21)'!$A:$B,2,0)*VLOOKUP(A37,'[229]geoMap (21)'!$A:$C,3,0)</f>
        <v>24.101767083131698</v>
      </c>
      <c r="X37" s="1">
        <f>W37/VLOOKUP(A37,'[230]geoMap (22)'!$A:$B,2,0)*VLOOKUP(A37,'[230]geoMap (22)'!$A:$C,3,0)</f>
        <v>26.110247673392678</v>
      </c>
      <c r="Y37" s="1">
        <f>X37/VLOOKUP(A37,'[231]geoMap (23)'!$A:$B,2,0)*VLOOKUP(A37,'[231]geoMap (23)'!$A:$C,3,0)</f>
        <v>28.286101646175403</v>
      </c>
      <c r="Z37" s="1">
        <f>Y37/VLOOKUP(A37,'[232]geoMap (24)'!$A:$B,2,0)*VLOOKUP(A37,'[232]geoMap (24)'!$A:$C,3,0)</f>
        <v>22.224794150566385</v>
      </c>
      <c r="AA37" s="1">
        <f>Z37/VLOOKUP(A37,'[233]geoMap (25)'!$A:$B,2,0)*VLOOKUP(A37,'[233]geoMap (25)'!$A:$C,3,0)</f>
        <v>28.286101646175403</v>
      </c>
    </row>
    <row r="38" spans="1:27" x14ac:dyDescent="0.2">
      <c r="A38" s="1" t="s">
        <v>120</v>
      </c>
      <c r="B38" s="1">
        <f>Notes!$C$6*VLOOKUP(A38,[208]geoMap!$A:$B,2,0)</f>
        <v>5000</v>
      </c>
      <c r="C38" s="1">
        <f>B38/VLOOKUP(A38,'[209]geoMap (1)'!$A:$B,2,0)*VLOOKUP(A38,'[209]geoMap (1)'!$A:$C,3,0)</f>
        <v>2812.5</v>
      </c>
      <c r="D38" s="1">
        <f>C38/VLOOKUP(A38,'[210]geoMap (2)'!$A:$B,2,0)*VLOOKUP(A38,'[210]geoMap (2)'!$A:$C,3,0)</f>
        <v>3579.545454545455</v>
      </c>
      <c r="E38" s="1">
        <f>D38/VLOOKUP(A38,'[211]geoMap (3)'!$A:$B,2,0)*VLOOKUP(A38,'[211]geoMap (3)'!$A:$C,3,0)</f>
        <v>2928.7190082644629</v>
      </c>
      <c r="F38" s="1">
        <f>E38/VLOOKUP(A38,'[212]geoMap (4)'!$A:$B,2,0)*VLOOKUP(A38,'[212]geoMap (4)'!$A:$C,3,0)</f>
        <v>2703.4329307056578</v>
      </c>
      <c r="G38" s="1">
        <f>F38/VLOOKUP(A38,'[213]geoMap (5)'!$A:$B,2,0)*VLOOKUP(A38,'[213]geoMap (5)'!$A:$C,3,0)</f>
        <v>2302.9243483788937</v>
      </c>
      <c r="H38" s="1">
        <f>G38/VLOOKUP(A38,'[214]geoMap (6)'!$A:$B,2,0)*VLOOKUP(A38,'[214]geoMap (6)'!$A:$C,3,0)</f>
        <v>986.96757787666877</v>
      </c>
      <c r="I38" s="1">
        <f>H38/VLOOKUP(A38,'[215]geoMap (7)'!$A:$B,2,0)*VLOOKUP(A38,'[215]geoMap (7)'!$A:$C,3,0)</f>
        <v>346.77239222693771</v>
      </c>
      <c r="J38" s="1">
        <f>I38/VLOOKUP(A38,'[216]geoMap (8)'!$A:$B,2,0)*VLOOKUP(A38,'[216]geoMap (8)'!$A:$C,3,0)</f>
        <v>1040.3171766808132</v>
      </c>
      <c r="K38" s="1">
        <f>J38/VLOOKUP(A38,'[217]geoMap (9)'!$A:$B,2,0)*VLOOKUP(A38,'[217]geoMap (9)'!$A:$C,3,0)</f>
        <v>665.12081787789703</v>
      </c>
      <c r="L38" s="1">
        <f>K38/VLOOKUP(A38,'[218]geoMap (10)'!$A:$B,2,0)*VLOOKUP(A38,'[218]geoMap (10)'!$A:$C,3,0)</f>
        <v>358.14197885732915</v>
      </c>
      <c r="M38" s="1">
        <f>L38/VLOOKUP(A38,'[219]geoMap (11)'!$A:$B,2,0)*VLOOKUP(A38,'[219]geoMap (11)'!$A:$C,3,0)</f>
        <v>305.08390791550261</v>
      </c>
      <c r="N38" s="1">
        <f>M38/VLOOKUP(A38,'[220]geoMap (12)'!$A:$B,2,0)*VLOOKUP(A38,'[220]geoMap (12)'!$A:$C,3,0)</f>
        <v>497.76848133582001</v>
      </c>
      <c r="O38" s="1">
        <f>N38/VLOOKUP(A38,'[221]geoMap (13)'!$A:$B,2,0)*VLOOKUP(A38,'[221]geoMap (13)'!$A:$C,3,0)</f>
        <v>331.84565422388005</v>
      </c>
      <c r="P38" s="1">
        <f>O38/VLOOKUP(A38,'[222]geoMap (14)'!$A:$B,2,0)*VLOOKUP(A38,'[222]geoMap (14)'!$A:$C,3,0)</f>
        <v>374.2089292311839</v>
      </c>
      <c r="Q38" s="1">
        <f>P38/VLOOKUP(A38,'[223]geoMap (15)'!$A:$B,2,0)*VLOOKUP(A38,'[223]geoMap (15)'!$A:$C,3,0)</f>
        <v>99.473259669048872</v>
      </c>
      <c r="R38" s="1">
        <f>Q38/VLOOKUP(A38,'[224]geoMap (16)'!$A:$B,2,0)*VLOOKUP(A38,'[224]geoMap (16)'!$A:$C,3,0)</f>
        <v>53.562524437180151</v>
      </c>
      <c r="S38" s="1">
        <f>R38/VLOOKUP(A38,'[225]geoMap (17)'!$A:$B,2,0)*VLOOKUP(A38,'[225]geoMap (17)'!$A:$C,3,0)</f>
        <v>77.077779068137303</v>
      </c>
      <c r="T38" s="1">
        <f>S38/VLOOKUP(A38,'[226]geoMap (18)'!$A:$B,2,0)*VLOOKUP(A38,'[226]geoMap (18)'!$A:$C,3,0)</f>
        <v>80.223810866836786</v>
      </c>
      <c r="U38" s="1">
        <f>T38/VLOOKUP(A38,'[227]geoMap (19)'!$A:$B,2,0)*VLOOKUP(A38,'[227]geoMap (19)'!$A:$C,3,0)</f>
        <v>86.9091284390732</v>
      </c>
      <c r="V38" s="1">
        <f>U38/VLOOKUP(A38,'[228]geoMap (20)'!$A:$B,2,0)*VLOOKUP(A38,'[228]geoMap (20)'!$A:$C,3,0)</f>
        <v>23.102426547095405</v>
      </c>
      <c r="W38" s="1">
        <f>V38/VLOOKUP(A38,'[229]geoMap (21)'!$A:$B,2,0)*VLOOKUP(A38,'[229]geoMap (21)'!$A:$C,3,0)</f>
        <v>27.120239859633738</v>
      </c>
      <c r="X38" s="1">
        <f>W38/VLOOKUP(A38,'[230]geoMap (22)'!$A:$B,2,0)*VLOOKUP(A38,'[230]geoMap (22)'!$A:$C,3,0)</f>
        <v>27.120239859633738</v>
      </c>
      <c r="Y38" s="1">
        <f>X38/VLOOKUP(A38,'[231]geoMap (23)'!$A:$B,2,0)*VLOOKUP(A38,'[231]geoMap (23)'!$A:$C,3,0)</f>
        <v>28.227188425333079</v>
      </c>
      <c r="Z38" s="1">
        <f>Y38/VLOOKUP(A38,'[232]geoMap (24)'!$A:$B,2,0)*VLOOKUP(A38,'[232]geoMap (24)'!$A:$C,3,0)</f>
        <v>21.294194777005657</v>
      </c>
      <c r="AA38" s="1">
        <f>Z38/VLOOKUP(A38,'[233]geoMap (25)'!$A:$B,2,0)*VLOOKUP(A38,'[233]geoMap (25)'!$A:$C,3,0)</f>
        <v>63.882584331016972</v>
      </c>
    </row>
    <row r="39" spans="1:27" x14ac:dyDescent="0.2">
      <c r="A39" s="1" t="s">
        <v>123</v>
      </c>
      <c r="B39" s="1">
        <f>Notes!$C$6*VLOOKUP(A39,[208]geoMap!$A:$B,2,0)</f>
        <v>5000</v>
      </c>
      <c r="C39" s="1">
        <f>B39/VLOOKUP(A39,'[209]geoMap (1)'!$A:$B,2,0)*VLOOKUP(A39,'[209]geoMap (1)'!$A:$C,3,0)</f>
        <v>2462.686567164179</v>
      </c>
      <c r="D39" s="1">
        <f>C39/VLOOKUP(A39,'[210]geoMap (2)'!$A:$B,2,0)*VLOOKUP(A39,'[210]geoMap (2)'!$A:$C,3,0)</f>
        <v>3264.4914960083302</v>
      </c>
      <c r="E39" s="1">
        <f>D39/VLOOKUP(A39,'[211]geoMap (3)'!$A:$B,2,0)*VLOOKUP(A39,'[211]geoMap (3)'!$A:$C,3,0)</f>
        <v>2780.8631262293184</v>
      </c>
      <c r="F39" s="1">
        <f>E39/VLOOKUP(A39,'[212]geoMap (4)'!$A:$B,2,0)*VLOOKUP(A39,'[212]geoMap (4)'!$A:$C,3,0)</f>
        <v>2275.2516487330786</v>
      </c>
      <c r="G39" s="1">
        <f>F39/VLOOKUP(A39,'[213]geoMap (5)'!$A:$B,2,0)*VLOOKUP(A39,'[213]geoMap (5)'!$A:$C,3,0)</f>
        <v>2186.0260938808005</v>
      </c>
      <c r="H39" s="1">
        <f>G39/VLOOKUP(A39,'[214]geoMap (6)'!$A:$B,2,0)*VLOOKUP(A39,'[214]geoMap (6)'!$A:$C,3,0)</f>
        <v>1717.5919309063431</v>
      </c>
      <c r="I39" s="1">
        <f>H39/VLOOKUP(A39,'[215]geoMap (7)'!$A:$B,2,0)*VLOOKUP(A39,'[215]geoMap (7)'!$A:$C,3,0)</f>
        <v>572.53064363544775</v>
      </c>
      <c r="J39" s="1">
        <f>I39/VLOOKUP(A39,'[216]geoMap (8)'!$A:$B,2,0)*VLOOKUP(A39,'[216]geoMap (8)'!$A:$C,3,0)</f>
        <v>728.67536462693351</v>
      </c>
      <c r="K39" s="1">
        <f>J39/VLOOKUP(A39,'[217]geoMap (9)'!$A:$B,2,0)*VLOOKUP(A39,'[217]geoMap (9)'!$A:$C,3,0)</f>
        <v>549.7024680518972</v>
      </c>
      <c r="L39" s="1">
        <f>K39/VLOOKUP(A39,'[218]geoMap (10)'!$A:$B,2,0)*VLOOKUP(A39,'[218]geoMap (10)'!$A:$C,3,0)</f>
        <v>213.77318202018228</v>
      </c>
      <c r="M39" s="1">
        <f>L39/VLOOKUP(A39,'[219]geoMap (11)'!$A:$B,2,0)*VLOOKUP(A39,'[219]geoMap (11)'!$A:$C,3,0)</f>
        <v>334.36318213413119</v>
      </c>
      <c r="N39" s="1">
        <f>M39/VLOOKUP(A39,'[220]geoMap (12)'!$A:$B,2,0)*VLOOKUP(A39,'[220]geoMap (12)'!$A:$C,3,0)</f>
        <v>321.25090048181232</v>
      </c>
      <c r="O39" s="1">
        <f>N39/VLOOKUP(A39,'[221]geoMap (13)'!$A:$B,2,0)*VLOOKUP(A39,'[221]geoMap (13)'!$A:$C,3,0)</f>
        <v>223.24215118227636</v>
      </c>
      <c r="P39" s="1">
        <f>O39/VLOOKUP(A39,'[222]geoMap (14)'!$A:$B,2,0)*VLOOKUP(A39,'[222]geoMap (14)'!$A:$C,3,0)</f>
        <v>197.96945482201863</v>
      </c>
      <c r="Q39" s="1">
        <f>P39/VLOOKUP(A39,'[223]geoMap (15)'!$A:$B,2,0)*VLOOKUP(A39,'[223]geoMap (15)'!$A:$C,3,0)</f>
        <v>401.9379840325833</v>
      </c>
      <c r="R39" s="1">
        <f>Q39/62*10</f>
        <v>64.828707102029568</v>
      </c>
      <c r="S39" s="1">
        <f>Q39/VLOOKUP(A39,'[234]geoMap (30)'!$A:$B,2,0)*VLOOKUP(A39,'[234]geoMap (30)'!$A:$C,3,0)</f>
        <v>70.930232476338233</v>
      </c>
      <c r="T39" s="1">
        <f>S39/VLOOKUP(A39,'[226]geoMap (18)'!$A:$B,2,0)*VLOOKUP(A39,'[226]geoMap (18)'!$A:$C,3,0)</f>
        <v>55.730896945694319</v>
      </c>
      <c r="U39" s="1">
        <f>T39/48*30</f>
        <v>34.831810591058947</v>
      </c>
      <c r="V39" s="1">
        <f>O39/90*10</f>
        <v>24.804683464697376</v>
      </c>
      <c r="W39" s="1">
        <f>V39/12*12</f>
        <v>24.804683464697376</v>
      </c>
      <c r="X39" s="1">
        <f>V39/VLOOKUP(A39,'[242]geoMap (33)'!$A:$B,2,0)*VLOOKUP(A39,'[242]geoMap (33)'!$A:$C,3,0)</f>
        <v>50.361024004082552</v>
      </c>
      <c r="Y39" s="1">
        <f>X39/VLOOKUP(A39,'[231]geoMap (23)'!$A:$B,2,0)*VLOOKUP(A39,'[231]geoMap (23)'!$A:$C,3,0)</f>
        <v>46.487099080691578</v>
      </c>
      <c r="Z39" s="1">
        <f>Y39/25*13</f>
        <v>24.173291521959623</v>
      </c>
      <c r="AA39" s="1">
        <f>Y39/VLOOKUP(A39,'[236]geoMap (34)'!$A:$B,2,0)*VLOOKUP(A39,'[236]geoMap (34)'!$A:$C,3,0)</f>
        <v>42.911168382176839</v>
      </c>
    </row>
    <row r="40" spans="1:27" x14ac:dyDescent="0.2">
      <c r="A40" s="1" t="s">
        <v>126</v>
      </c>
      <c r="B40" s="1">
        <f>Notes!$C$6*VLOOKUP(A40,[208]geoMap!$A:$B,2,0)</f>
        <v>5000</v>
      </c>
      <c r="C40" s="1">
        <f>B40/VLOOKUP(A40,'[209]geoMap (1)'!$A:$B,2,0)*VLOOKUP(A40,'[209]geoMap (1)'!$A:$C,3,0)</f>
        <v>2042.2535211267605</v>
      </c>
      <c r="D40" s="1">
        <f>C40/VLOOKUP(A40,'[210]geoMap (2)'!$A:$B,2,0)*VLOOKUP(A40,'[210]geoMap (2)'!$A:$C,3,0)</f>
        <v>2820.2548625083832</v>
      </c>
      <c r="E40" s="1">
        <f>D40/VLOOKUP(A40,'[211]geoMap (3)'!$A:$B,2,0)*VLOOKUP(A40,'[211]geoMap (3)'!$A:$C,3,0)</f>
        <v>4411.1678618720862</v>
      </c>
      <c r="F40" s="1">
        <f>E40/VLOOKUP(A40,'[212]geoMap (4)'!$A:$B,2,0)*VLOOKUP(A40,'[212]geoMap (4)'!$A:$C,3,0)</f>
        <v>4778.7651836947598</v>
      </c>
      <c r="G40" s="1">
        <f>F40/VLOOKUP(A40,'[213]geoMap (5)'!$A:$B,2,0)*VLOOKUP(A40,'[213]geoMap (5)'!$A:$C,3,0)</f>
        <v>1767.488492599432</v>
      </c>
      <c r="H40" s="1">
        <f>G40/VLOOKUP(A40,'[214]geoMap (6)'!$A:$B,2,0)*VLOOKUP(A40,'[214]geoMap (6)'!$A:$C,3,0)</f>
        <v>910.52437497546498</v>
      </c>
      <c r="I40" s="1">
        <f>H40/VLOOKUP(A40,'[215]geoMap (7)'!$A:$B,2,0)*VLOOKUP(A40,'[215]geoMap (7)'!$A:$C,3,0)</f>
        <v>303.50812499182166</v>
      </c>
      <c r="J40" s="1">
        <f>I40/VLOOKUP(A40,'[216]geoMap (8)'!$A:$B,2,0)*VLOOKUP(A40,'[216]geoMap (8)'!$A:$C,3,0)</f>
        <v>780.44946426468414</v>
      </c>
      <c r="K40" s="1">
        <f>J40/VLOOKUP(A40,'[217]geoMap (9)'!$A:$B,2,0)*VLOOKUP(A40,'[217]geoMap (9)'!$A:$C,3,0)</f>
        <v>720.41489009047768</v>
      </c>
      <c r="L40" s="1">
        <f>K40/VLOOKUP(A40,'[218]geoMap (10)'!$A:$B,2,0)*VLOOKUP(A40,'[218]geoMap (10)'!$A:$C,3,0)</f>
        <v>371.12282216782188</v>
      </c>
      <c r="M40" s="1">
        <f>L40/VLOOKUP(A40,'[219]geoMap (11)'!$A:$B,2,0)*VLOOKUP(A40,'[219]geoMap (11)'!$A:$C,3,0)</f>
        <v>356.5689860043779</v>
      </c>
      <c r="N40" s="1">
        <f>M40/VLOOKUP(A40,'[220]geoMap (12)'!$A:$B,2,0)*VLOOKUP(A40,'[220]geoMap (12)'!$A:$C,3,0)</f>
        <v>218.54228174461872</v>
      </c>
      <c r="O40" s="1">
        <f>N40/VLOOKUP(A40,'[221]geoMap (13)'!$A:$B,2,0)*VLOOKUP(A40,'[221]geoMap (13)'!$A:$C,3,0)</f>
        <v>227.46237487705213</v>
      </c>
      <c r="P40" s="1">
        <f>O40/VLOOKUP(A40,'[222]geoMap (14)'!$A:$B,2,0)*VLOOKUP(A40,'[222]geoMap (14)'!$A:$C,3,0)</f>
        <v>246.41757278347313</v>
      </c>
      <c r="Q40" s="1">
        <f>P40/VLOOKUP(A40,'[223]geoMap (15)'!$A:$B,2,0)*VLOOKUP(A40,'[223]geoMap (15)'!$A:$C,3,0)</f>
        <v>151.03012525438675</v>
      </c>
      <c r="R40" s="1">
        <f>Q40/VLOOKUP(A40,'[224]geoMap (16)'!$A:$B,2,0)*VLOOKUP(A40,'[224]geoMap (16)'!$A:$C,3,0)</f>
        <v>26.65237504489178</v>
      </c>
      <c r="S40" s="1">
        <f>R40/VLOOKUP(A40,'[225]geoMap (17)'!$A:$B,2,0)*VLOOKUP(A40,'[225]geoMap (17)'!$A:$C,3,0)</f>
        <v>84.399187642157301</v>
      </c>
      <c r="T40" s="1">
        <f>S40/VLOOKUP(A40,'[226]geoMap (18)'!$A:$B,2,0)*VLOOKUP(A40,'[226]geoMap (18)'!$A:$C,3,0)</f>
        <v>34.472907628486787</v>
      </c>
      <c r="U40" s="1">
        <f>T40/VLOOKUP(A40,'[227]geoMap (19)'!$A:$B,2,0)*VLOOKUP(A40,'[227]geoMap (19)'!$A:$C,3,0)</f>
        <v>49.607354880017567</v>
      </c>
      <c r="V40" s="1">
        <f>U40/VLOOKUP(A40,'[228]geoMap (20)'!$A:$B,2,0)*VLOOKUP(A40,'[228]geoMap (20)'!$A:$C,3,0)</f>
        <v>37.42309227790799</v>
      </c>
      <c r="W40" s="1">
        <f>V40/VLOOKUP(A40,'[229]geoMap (21)'!$A:$B,2,0)*VLOOKUP(A40,'[229]geoMap (21)'!$A:$C,3,0)</f>
        <v>16.038468119103424</v>
      </c>
      <c r="X40" s="1">
        <f>W40/VLOOKUP(A40,'[230]geoMap (22)'!$A:$B,2,0)*VLOOKUP(A40,'[230]geoMap (22)'!$A:$C,3,0)</f>
        <v>39.266594360563559</v>
      </c>
      <c r="Y40" s="1">
        <f>X40/VLOOKUP(A40,'[231]geoMap (23)'!$A:$B,2,0)*VLOOKUP(A40,'[231]geoMap (23)'!$A:$C,3,0)</f>
        <v>47.992504218466571</v>
      </c>
      <c r="Z40" s="1">
        <f>Y40/VLOOKUP(A40,'[232]geoMap (24)'!$A:$B,2,0)*VLOOKUP(A40,'[232]geoMap (24)'!$A:$C,3,0)</f>
        <v>18.663751640514782</v>
      </c>
      <c r="AA40" s="1">
        <f>Z40/VLOOKUP(A40,'[233]geoMap (25)'!$A:$B,2,0)*VLOOKUP(A40,'[233]geoMap (25)'!$A:$C,3,0)</f>
        <v>15.898751397475554</v>
      </c>
    </row>
    <row r="41" spans="1:27" x14ac:dyDescent="0.2">
      <c r="A41" s="1" t="s">
        <v>122</v>
      </c>
      <c r="B41" s="1">
        <f>Notes!$C$6*VLOOKUP(A41,[208]geoMap!$A:$B,2,0)</f>
        <v>6000</v>
      </c>
      <c r="C41" s="1">
        <f>B41/VLOOKUP(A41,'[209]geoMap (1)'!$A:$B,2,0)*VLOOKUP(A41,'[209]geoMap (1)'!$A:$C,3,0)</f>
        <v>2219.1780821917814</v>
      </c>
      <c r="D41" s="1">
        <f>C41/VLOOKUP(A41,'[210]geoMap (2)'!$A:$B,2,0)*VLOOKUP(A41,'[210]geoMap (2)'!$A:$C,3,0)</f>
        <v>4121.3307240704517</v>
      </c>
      <c r="E41" s="1">
        <f>D41/VLOOKUP(A41,'[211]geoMap (3)'!$A:$B,2,0)*VLOOKUP(A41,'[211]geoMap (3)'!$A:$C,3,0)</f>
        <v>2863.975587913365</v>
      </c>
      <c r="F41" s="1">
        <f>E41/VLOOKUP(A41,'[212]geoMap (4)'!$A:$B,2,0)*VLOOKUP(A41,'[212]geoMap (4)'!$A:$C,3,0)</f>
        <v>2980.8725506853393</v>
      </c>
      <c r="G41" s="1">
        <f>F41/VLOOKUP(A41,'[213]geoMap (5)'!$A:$B,2,0)*VLOOKUP(A41,'[213]geoMap (5)'!$A:$C,3,0)</f>
        <v>2751.5746621710819</v>
      </c>
      <c r="H41" s="1">
        <f>G41/VLOOKUP(A41,'[214]geoMap (6)'!$A:$B,2,0)*VLOOKUP(A41,'[214]geoMap (6)'!$A:$C,3,0)</f>
        <v>1834.3831081140547</v>
      </c>
      <c r="I41" s="1">
        <f>H41/VLOOKUP(A41,'[215]geoMap (7)'!$A:$B,2,0)*VLOOKUP(A41,'[215]geoMap (7)'!$A:$C,3,0)</f>
        <v>517.39010741678464</v>
      </c>
      <c r="J41" s="1">
        <f>I41/VLOOKUP(A41,'[216]geoMap (8)'!$A:$B,2,0)*VLOOKUP(A41,'[216]geoMap (8)'!$A:$C,3,0)</f>
        <v>776.0851611251768</v>
      </c>
      <c r="K41" s="1">
        <f>J41/VLOOKUP(A41,'[217]geoMap (9)'!$A:$B,2,0)*VLOOKUP(A41,'[217]geoMap (9)'!$A:$C,3,0)</f>
        <v>807.76210647722485</v>
      </c>
      <c r="L41" s="1">
        <f>H41/64*7</f>
        <v>200.63565244997474</v>
      </c>
      <c r="M41" s="1">
        <f>L41/17*73</f>
        <v>861.55309581459744</v>
      </c>
      <c r="N41" s="1">
        <f>M41/VLOOKUP(A41,'[220]geoMap (12)'!$A:$B,2,0)*VLOOKUP(A41,'[220]geoMap (12)'!$A:$C,3,0)</f>
        <v>463.91320543862929</v>
      </c>
      <c r="O41" s="1">
        <f>N41/VLOOKUP(A41,'[221]geoMap (13)'!$A:$B,2,0)*VLOOKUP(A41,'[221]geoMap (13)'!$A:$C,3,0)</f>
        <v>322.38036310142036</v>
      </c>
      <c r="P41" s="1">
        <f>O41/54*11</f>
        <v>65.670073965104137</v>
      </c>
      <c r="Q41" s="1">
        <f>O41/VLOOKUP(A41,'[240]geoMap (28)'!$A:$B,2,0)*VLOOKUP(A41,'[240]geoMap (28)'!$A:$C,3,0)</f>
        <v>90.92779472091344</v>
      </c>
      <c r="R41" s="1">
        <f>O41/VLOOKUP(A41,'[241]geoMap (29)'!$A:$B,2,0)*VLOOKUP(A41,'[241]geoMap (29)'!$A:$C,3,0)</f>
        <v>31.883772174865747</v>
      </c>
      <c r="S41" s="1">
        <f>R41/VLOOKUP(A41,'[225]geoMap (17)'!$A:$B,2,0)*VLOOKUP(A41,'[225]geoMap (17)'!$A:$C,3,0)</f>
        <v>95.651316524597235</v>
      </c>
      <c r="T41" s="1">
        <f>S41/VLOOKUP(A41,'[226]geoMap (18)'!$A:$B,2,0)*VLOOKUP(A41,'[226]geoMap (18)'!$A:$C,3,0)</f>
        <v>63.767544349731502</v>
      </c>
      <c r="U41" s="1">
        <f>T41/33*13</f>
        <v>25.120547774136654</v>
      </c>
      <c r="V41" s="1">
        <f>U41/27*11</f>
        <v>10.234297241314934</v>
      </c>
      <c r="W41" s="1">
        <f>V41/5*16</f>
        <v>32.749751172207787</v>
      </c>
      <c r="X41" s="1">
        <f>V41/8*24</f>
        <v>30.702891723944802</v>
      </c>
      <c r="Y41" s="1">
        <f>X41/VLOOKUP(A41,'[231]geoMap (23)'!$A:$B,2,0)*VLOOKUP(A41,'[231]geoMap (23)'!$A:$C,3,0)</f>
        <v>48.022471670785464</v>
      </c>
      <c r="Z41" s="1">
        <f>Y41/VLOOKUP(A41,'[232]geoMap (24)'!$A:$B,2,0)*VLOOKUP(A41,'[232]geoMap (24)'!$A:$C,3,0)</f>
        <v>18.675405649749905</v>
      </c>
      <c r="AA41" s="1">
        <f>Z41/VLOOKUP(A41,'[233]geoMap (25)'!$A:$B,2,0)*VLOOKUP(A41,'[233]geoMap (25)'!$A:$C,3,0)</f>
        <v>74.70162259899962</v>
      </c>
    </row>
    <row r="42" spans="1:27" x14ac:dyDescent="0.2">
      <c r="A42" s="1" t="s">
        <v>98</v>
      </c>
      <c r="B42" s="1">
        <f>Notes!$C$6*VLOOKUP(A42,[208]geoMap!$A:$B,2,0)</f>
        <v>7000</v>
      </c>
      <c r="C42" s="1">
        <f>B42/VLOOKUP(A42,'[209]geoMap (1)'!$A:$B,2,0)*VLOOKUP(A42,'[209]geoMap (1)'!$A:$C,3,0)</f>
        <v>2589.0410958904108</v>
      </c>
      <c r="D42" s="1">
        <f>C42/VLOOKUP(A42,'[210]geoMap (2)'!$A:$B,2,0)*VLOOKUP(A42,'[210]geoMap (2)'!$A:$C,3,0)</f>
        <v>6999.9999999999991</v>
      </c>
      <c r="E42" s="1">
        <f>D42/VLOOKUP(A42,'[211]geoMap (3)'!$A:$B,2,0)*VLOOKUP(A42,'[211]geoMap (3)'!$A:$C,3,0)</f>
        <v>2459.4594594594591</v>
      </c>
      <c r="F42" s="1">
        <f>E42/VLOOKUP(A42,'[212]geoMap (4)'!$A:$B,2,0)*VLOOKUP(A42,'[212]geoMap (4)'!$A:$C,3,0)</f>
        <v>2559.8455598455594</v>
      </c>
      <c r="G42" s="1">
        <f>F42/VLOOKUP(A42,'[213]geoMap (5)'!$A:$B,2,0)*VLOOKUP(A42,'[213]geoMap (5)'!$A:$C,3,0)</f>
        <v>2773.1660231660226</v>
      </c>
      <c r="H42" s="1">
        <f>G42/VLOOKUP(A42,'[214]geoMap (6)'!$A:$B,2,0)*VLOOKUP(A42,'[214]geoMap (6)'!$A:$C,3,0)</f>
        <v>2362.3266123266117</v>
      </c>
      <c r="I42" s="1">
        <f>H42/VLOOKUP(A42,'[215]geoMap (7)'!$A:$B,2,0)*VLOOKUP(A42,'[215]geoMap (7)'!$A:$C,3,0)</f>
        <v>666.29724963058277</v>
      </c>
      <c r="J42" s="1">
        <f>I42/VLOOKUP(A42,'[216]geoMap (8)'!$A:$B,2,0)*VLOOKUP(A42,'[216]geoMap (8)'!$A:$C,3,0)</f>
        <v>1896.3844797178124</v>
      </c>
      <c r="K42" s="1">
        <f>J42/VLOOKUP(A42,'[217]geoMap (9)'!$A:$B,2,0)*VLOOKUP(A42,'[217]geoMap (9)'!$A:$C,3,0)</f>
        <v>1066.7162698412694</v>
      </c>
      <c r="L42" s="1">
        <f>K42/VLOOKUP(A42,'[218]geoMap (10)'!$A:$B,2,0)*VLOOKUP(A42,'[218]geoMap (10)'!$A:$C,3,0)</f>
        <v>300.86869149369136</v>
      </c>
      <c r="M42" s="1">
        <f>L42/VLOOKUP(A42,'[219]geoMap (11)'!$A:$B,2,0)*VLOOKUP(A42,'[219]geoMap (11)'!$A:$C,3,0)</f>
        <v>313.14904624853591</v>
      </c>
      <c r="N42" s="1">
        <f>M42/VLOOKUP(A42,'[220]geoMap (12)'!$A:$B,2,0)*VLOOKUP(A42,'[220]geoMap (12)'!$A:$C,3,0)</f>
        <v>581.56251446156671</v>
      </c>
      <c r="O42" s="1">
        <f>N42/VLOOKUP(A42,'[221]geoMap (13)'!$A:$B,2,0)*VLOOKUP(A42,'[221]geoMap (13)'!$A:$C,3,0)</f>
        <v>204.33277535136128</v>
      </c>
      <c r="P42" s="1">
        <f>O42/VLOOKUP(A42,'[222]geoMap (14)'!$A:$B,2,0)*VLOOKUP(A42,'[222]geoMap (14)'!$A:$C,3,0)</f>
        <v>120.00496330159312</v>
      </c>
      <c r="Q42" s="1">
        <f>P42/VLOOKUP(A42,'[223]geoMap (15)'!$A:$B,2,0)*VLOOKUP(A42,'[223]geoMap (15)'!$A:$C,3,0)</f>
        <v>159.07634670211178</v>
      </c>
      <c r="R42" s="1">
        <f>Q42/VLOOKUP(A42,'[224]geoMap (16)'!$A:$B,2,0)*VLOOKUP(A42,'[224]geoMap (16)'!$A:$C,3,0)</f>
        <v>11.973488461449275</v>
      </c>
      <c r="S42" s="1">
        <f>R42/VLOOKUP(A42,'[225]geoMap (17)'!$A:$B,2,0)*VLOOKUP(A42,'[225]geoMap (17)'!$A:$C,3,0)</f>
        <v>159.07634670211178</v>
      </c>
      <c r="T42" s="1">
        <f>S42/VLOOKUP(A42,'[226]geoMap (18)'!$A:$B,2,0)*VLOOKUP(A42,'[226]geoMap (18)'!$A:$C,3,0)</f>
        <v>89.480445019937861</v>
      </c>
      <c r="U42" s="1">
        <f>T42/VLOOKUP(A42,'[227]geoMap (19)'!$A:$B,2,0)*VLOOKUP(A42,'[227]geoMap (19)'!$A:$C,3,0)</f>
        <v>11.05938084516086</v>
      </c>
      <c r="V42" s="1">
        <f>U42/VLOOKUP(A42,'[228]geoMap (20)'!$A:$B,2,0)*VLOOKUP(A42,'[228]geoMap (20)'!$A:$C,3,0)</f>
        <v>6.4951919249357424</v>
      </c>
      <c r="W42" s="1">
        <f>V42/VLOOKUP(A42,'[229]geoMap (21)'!$A:$B,2,0)*VLOOKUP(A42,'[229]geoMap (21)'!$A:$C,3,0)</f>
        <v>24.434293431901128</v>
      </c>
      <c r="X42" s="1">
        <f>W42/VLOOKUP(A42,'[230]geoMap (22)'!$A:$B,2,0)*VLOOKUP(A42,'[230]geoMap (22)'!$A:$C,3,0)</f>
        <v>15.621925308920394</v>
      </c>
      <c r="Y42" s="1">
        <f>X42/VLOOKUP(A42,'[231]geoMap (23)'!$A:$B,2,0)*VLOOKUP(A42,'[231]geoMap (23)'!$A:$C,3,0)</f>
        <v>27.772311660302925</v>
      </c>
      <c r="Z42" s="1">
        <f>Y42/VLOOKUP(A42,'[232]geoMap (24)'!$A:$B,2,0)*VLOOKUP(A42,'[232]geoMap (24)'!$A:$C,3,0)</f>
        <v>7.3825132261564725</v>
      </c>
      <c r="AA42" s="1">
        <f>Z42/VLOOKUP(A42,'[233]geoMap (25)'!$A:$B,2,0)*VLOOKUP(A42,'[233]geoMap (25)'!$A:$C,3,0)</f>
        <v>16.432045567896665</v>
      </c>
    </row>
    <row r="43" spans="1:27" x14ac:dyDescent="0.2">
      <c r="A43" s="1" t="s">
        <v>113</v>
      </c>
      <c r="B43" s="1">
        <f>Notes!$C$6*VLOOKUP(A43,[208]geoMap!$A:$B,2,0)</f>
        <v>5000</v>
      </c>
      <c r="C43" s="1">
        <f>B43/VLOOKUP(A43,'[209]geoMap (1)'!$A:$B,2,0)*VLOOKUP(A43,'[209]geoMap (1)'!$A:$C,3,0)</f>
        <v>1756.7567567567569</v>
      </c>
      <c r="D43" s="1">
        <f>C43/VLOOKUP(A43,'[210]geoMap (2)'!$A:$B,2,0)*VLOOKUP(A43,'[210]geoMap (2)'!$A:$C,3,0)</f>
        <v>2991.2344777209646</v>
      </c>
      <c r="E43" s="1">
        <f>D43/VLOOKUP(A43,'[211]geoMap (3)'!$A:$B,2,0)*VLOOKUP(A43,'[211]geoMap (3)'!$A:$C,3,0)</f>
        <v>2166.0663459358711</v>
      </c>
      <c r="F43" s="1">
        <f>E43/VLOOKUP(A43,'[212]geoMap (4)'!$A:$B,2,0)*VLOOKUP(A43,'[212]geoMap (4)'!$A:$C,3,0)</f>
        <v>2166.0663459358711</v>
      </c>
      <c r="G43" s="1">
        <f>F43/VLOOKUP(A43,'[213]geoMap (5)'!$A:$B,2,0)*VLOOKUP(A43,'[213]geoMap (5)'!$A:$C,3,0)</f>
        <v>1568.5308022294241</v>
      </c>
      <c r="H43" s="1">
        <f>G43/VLOOKUP(A43,'[214]geoMap (6)'!$A:$B,2,0)*VLOOKUP(A43,'[214]geoMap (6)'!$A:$C,3,0)</f>
        <v>844.59350889276686</v>
      </c>
      <c r="I43" s="1">
        <f>H43/VLOOKUP(A43,'[215]geoMap (7)'!$A:$B,2,0)*VLOOKUP(A43,'[215]geoMap (7)'!$A:$C,3,0)</f>
        <v>198.11452677731566</v>
      </c>
      <c r="J43" s="1">
        <f>I43/VLOOKUP(A43,'[216]geoMap (8)'!$A:$B,2,0)*VLOOKUP(A43,'[216]geoMap (8)'!$A:$C,3,0)</f>
        <v>902.52173309666011</v>
      </c>
      <c r="K43" s="1">
        <f>J43/VLOOKUP(A43,'[217]geoMap (9)'!$A:$B,2,0)*VLOOKUP(A43,'[217]geoMap (9)'!$A:$C,3,0)</f>
        <v>627.17611960954355</v>
      </c>
      <c r="L43" s="1">
        <f>K43/VLOOKUP(A43,'[218]geoMap (10)'!$A:$B,2,0)*VLOOKUP(A43,'[218]geoMap (10)'!$A:$C,3,0)</f>
        <v>295.14170334566751</v>
      </c>
      <c r="M43" s="1">
        <f>L43/VLOOKUP(A43,'[219]geoMap (11)'!$A:$B,2,0)*VLOOKUP(A43,'[219]geoMap (11)'!$A:$C,3,0)</f>
        <v>138.89021333913766</v>
      </c>
      <c r="N43" s="1">
        <f>M43/VLOOKUP(A43,'[220]geoMap (12)'!$A:$B,2,0)*VLOOKUP(A43,'[220]geoMap (12)'!$A:$C,3,0)</f>
        <v>269.61041412891427</v>
      </c>
      <c r="O43" s="1">
        <f>N43/VLOOKUP(A43,'[221]geoMap (13)'!$A:$B,2,0)*VLOOKUP(A43,'[221]geoMap (13)'!$A:$C,3,0)</f>
        <v>269.61041412891427</v>
      </c>
      <c r="P43" s="1">
        <f>O43/VLOOKUP(A43,'[222]geoMap (14)'!$A:$B,2,0)*VLOOKUP(A43,'[222]geoMap (14)'!$A:$C,3,0)</f>
        <v>158.34262417094965</v>
      </c>
      <c r="Q43" s="1">
        <f>P43/VLOOKUP(A43,'[223]geoMap (15)'!$A:$B,2,0)*VLOOKUP(A43,'[223]geoMap (15)'!$A:$C,3,0)</f>
        <v>64.675156351514644</v>
      </c>
      <c r="R43" s="1">
        <f>Q43/VLOOKUP(A43,'[224]geoMap (16)'!$A:$B,2,0)*VLOOKUP(A43,'[224]geoMap (16)'!$A:$C,3,0)</f>
        <v>30.435367694830422</v>
      </c>
      <c r="S43" s="1">
        <f>R43/VLOOKUP(A43,'[225]geoMap (17)'!$A:$B,2,0)*VLOOKUP(A43,'[225]geoMap (17)'!$A:$C,3,0)</f>
        <v>31.677627600741868</v>
      </c>
      <c r="T43" s="1">
        <f>S43/VLOOKUP(A43,'[226]geoMap (18)'!$A:$B,2,0)*VLOOKUP(A43,'[226]geoMap (18)'!$A:$C,3,0)</f>
        <v>47.5164414011128</v>
      </c>
      <c r="U43" s="1">
        <f>T43/VLOOKUP(A43,'[227]geoMap (19)'!$A:$B,2,0)*VLOOKUP(A43,'[227]geoMap (19)'!$A:$C,3,0)</f>
        <v>24.478166782391444</v>
      </c>
      <c r="V43" s="1">
        <f>U43/VLOOKUP(A43,'[228]geoMap (20)'!$A:$B,2,0)*VLOOKUP(A43,'[228]geoMap (20)'!$A:$C,3,0)</f>
        <v>32.447802478984002</v>
      </c>
      <c r="W43" s="1">
        <f>V43/VLOOKUP(A43,'[229]geoMap (21)'!$A:$B,2,0)*VLOOKUP(A43,'[229]geoMap (21)'!$A:$C,3,0)</f>
        <v>13.906201062421715</v>
      </c>
      <c r="X43" s="1">
        <f>W43/VLOOKUP(A43,'[230]geoMap (22)'!$A:$B,2,0)*VLOOKUP(A43,'[230]geoMap (22)'!$A:$C,3,0)</f>
        <v>14.473801105785867</v>
      </c>
      <c r="Y43" s="1">
        <f>X43/VLOOKUP(A43,'[231]geoMap (23)'!$A:$B,2,0)*VLOOKUP(A43,'[231]geoMap (23)'!$A:$C,3,0)</f>
        <v>10.918832413136707</v>
      </c>
      <c r="Z43" s="1">
        <f>Y43/VLOOKUP(A43,'[232]geoMap (24)'!$A:$B,2,0)*VLOOKUP(A43,'[232]geoMap (24)'!$A:$C,3,0)</f>
        <v>15.078387618141168</v>
      </c>
      <c r="AA43" s="1">
        <f>Z43/VLOOKUP(A43,'[233]geoMap (25)'!$A:$B,2,0)*VLOOKUP(A43,'[233]geoMap (25)'!$A:$C,3,0)</f>
        <v>11.847304557110915</v>
      </c>
    </row>
    <row r="44" spans="1:27" x14ac:dyDescent="0.2">
      <c r="A44" s="1" t="s">
        <v>110</v>
      </c>
      <c r="B44" s="1">
        <f>Notes!$C$6*VLOOKUP(A44,[208]geoMap!$A:$B,2,0)</f>
        <v>5000</v>
      </c>
      <c r="C44" s="1">
        <f>B44/VLOOKUP(A44,'[209]geoMap (1)'!$A:$B,2,0)*VLOOKUP(A44,'[209]geoMap (1)'!$A:$C,3,0)</f>
        <v>1024.0963855421687</v>
      </c>
      <c r="D44" s="1">
        <f>C44/VLOOKUP(A44,'[210]geoMap (2)'!$A:$B,2,0)*VLOOKUP(A44,'[210]geoMap (2)'!$A:$C,3,0)</f>
        <v>1820.6157965194111</v>
      </c>
      <c r="E44" s="1">
        <f>D44/VLOOKUP(A44,'[211]geoMap (3)'!$A:$B,2,0)*VLOOKUP(A44,'[211]geoMap (3)'!$A:$C,3,0)</f>
        <v>2053.0348343729534</v>
      </c>
      <c r="F44" s="1">
        <f>E44/VLOOKUP(A44,'[212]geoMap (4)'!$A:$B,2,0)*VLOOKUP(A44,'[212]geoMap (4)'!$A:$C,3,0)</f>
        <v>1748.8815255769603</v>
      </c>
      <c r="G44" s="1">
        <f>F44/VLOOKUP(A44,'[213]geoMap (5)'!$A:$B,2,0)*VLOOKUP(A44,'[213]geoMap (5)'!$A:$C,3,0)</f>
        <v>680.12059327992915</v>
      </c>
      <c r="H44" s="1">
        <f>G44/VLOOKUP(A44,'[214]geoMap (6)'!$A:$B,2,0)*VLOOKUP(A44,'[214]geoMap (6)'!$A:$C,3,0)</f>
        <v>901.55520504548747</v>
      </c>
      <c r="I44" s="1">
        <f>H44/56*8</f>
        <v>128.79360072078393</v>
      </c>
      <c r="J44" s="1">
        <f>H44/VLOOKUP(A44,'[239]geoMap (26)'!$A:$B,2,0)*VLOOKUP(A44,'[239]geoMap (26)'!$A:$C,3,0)</f>
        <v>405.04654139724801</v>
      </c>
      <c r="K44" s="1">
        <f>J44/VLOOKUP(A44,'[217]geoMap (9)'!$A:$B,2,0)*VLOOKUP(A44,'[217]geoMap (9)'!$A:$C,3,0)</f>
        <v>405.04654139724801</v>
      </c>
      <c r="L44" s="1">
        <f>K44/VLOOKUP(A44,'[218]geoMap (10)'!$A:$B,2,0)*VLOOKUP(A44,'[218]geoMap (10)'!$A:$C,3,0)</f>
        <v>149.8117344893931</v>
      </c>
      <c r="M44" s="1">
        <f>L44/53*29</f>
        <v>81.972458494196232</v>
      </c>
      <c r="N44" s="1">
        <f>L44/56*44</f>
        <v>117.70921995595172</v>
      </c>
      <c r="O44" s="1">
        <f>N44/VLOOKUP(A44,'[221]geoMap (13)'!$A:$B,2,0)*VLOOKUP(A44,'[221]geoMap (13)'!$A:$C,3,0)</f>
        <v>184.10929275161678</v>
      </c>
      <c r="P44" s="1">
        <f>O44/VLOOKUP(A44,'[222]geoMap (14)'!$A:$B,2,0)*VLOOKUP(A44,'[222]geoMap (14)'!$A:$C,3,0)</f>
        <v>61.369764250538928</v>
      </c>
      <c r="Q44" s="1">
        <f>P44/VLOOKUP(A44,'[223]geoMap (15)'!$A:$B,2,0)*VLOOKUP(A44,'[223]geoMap (15)'!$A:$C,3,0)</f>
        <v>58.963106828949158</v>
      </c>
      <c r="R44" s="1">
        <f>Q44/VLOOKUP(A44,'[224]geoMap (16)'!$A:$B,2,0)*VLOOKUP(A44,'[224]geoMap (16)'!$A:$C,3,0)</f>
        <v>18.61992847229973</v>
      </c>
      <c r="S44" s="1">
        <f>Q44/VLOOKUP(A44,'[234]geoMap (30)'!$A:$B,2,0)*VLOOKUP(A44,'[234]geoMap (30)'!$A:$C,3,0)</f>
        <v>33.166747591283901</v>
      </c>
      <c r="T44" s="1">
        <f>S44/VLOOKUP(A44,'[226]geoMap (18)'!$A:$B,2,0)*VLOOKUP(A44,'[226]geoMap (18)'!$A:$C,3,0)</f>
        <v>27.136429847414096</v>
      </c>
      <c r="U44" s="1">
        <f>T44/VLOOKUP(A44,'[227]geoMap (19)'!$A:$B,2,0)*VLOOKUP(A44,'[227]geoMap (19)'!$A:$C,3,0)</f>
        <v>21.321480594396789</v>
      </c>
      <c r="V44" s="1">
        <f>U44/34*20</f>
        <v>12.542047408468699</v>
      </c>
      <c r="W44" s="1">
        <f>V44/14*14</f>
        <v>12.542047408468699</v>
      </c>
      <c r="X44" s="1">
        <f>V44/14*16</f>
        <v>14.33376846682137</v>
      </c>
      <c r="Y44" s="1">
        <f>V44/44*56</f>
        <v>15.962605792596527</v>
      </c>
      <c r="Z44" s="1">
        <f>Y44/VLOOKUP(A44,'[232]geoMap (24)'!$A:$B,2,0)*VLOOKUP(A44,'[232]geoMap (24)'!$A:$C,3,0)</f>
        <v>23.943908688894787</v>
      </c>
      <c r="AA44" s="1">
        <f>Z44/VLOOKUP(A44,'[233]geoMap (25)'!$A:$B,2,0)*VLOOKUP(A44,'[233]geoMap (25)'!$A:$C,3,0)</f>
        <v>23.943908688894787</v>
      </c>
    </row>
    <row r="45" spans="1:27" x14ac:dyDescent="0.2">
      <c r="A45" s="1" t="s">
        <v>101</v>
      </c>
      <c r="B45" s="1">
        <f>Notes!$C$6*VLOOKUP(A45,[208]geoMap!$A:$B,2,0)</f>
        <v>5000</v>
      </c>
      <c r="C45" s="1">
        <f>B45/VLOOKUP(A45,'[209]geoMap (1)'!$A:$B,2,0)*VLOOKUP(A45,'[209]geoMap (1)'!$A:$C,3,0)</f>
        <v>1024.0963855421687</v>
      </c>
      <c r="D45" s="1">
        <f>C45/VLOOKUP(A45,'[210]geoMap (2)'!$A:$B,2,0)*VLOOKUP(A45,'[210]geoMap (2)'!$A:$C,3,0)</f>
        <v>1987.9518072289159</v>
      </c>
      <c r="E45" s="1">
        <f>D45/VLOOKUP(A45,'[211]geoMap (3)'!$A:$B,2,0)*VLOOKUP(A45,'[211]geoMap (3)'!$A:$C,3,0)</f>
        <v>2429.7188755020088</v>
      </c>
      <c r="F45" s="1">
        <f>E45/VLOOKUP(A45,'[212]geoMap (4)'!$A:$B,2,0)*VLOOKUP(A45,'[212]geoMap (4)'!$A:$C,3,0)</f>
        <v>3496.4247232833786</v>
      </c>
      <c r="G45" s="1">
        <f>F45/VLOOKUP(A45,'[213]geoMap (5)'!$A:$B,2,0)*VLOOKUP(A45,'[213]geoMap (5)'!$A:$C,3,0)</f>
        <v>767.5078660865953</v>
      </c>
      <c r="H45" s="1">
        <f>G45/VLOOKUP(A45,'[214]geoMap (6)'!$A:$B,2,0)*VLOOKUP(A45,'[214]geoMap (6)'!$A:$C,3,0)</f>
        <v>1059.8918150719649</v>
      </c>
      <c r="I45" s="1">
        <f>H45/VLOOKUP(A45,'[215]geoMap (7)'!$A:$B,2,0)*VLOOKUP(A45,'[215]geoMap (7)'!$A:$C,3,0)</f>
        <v>92.164505658431722</v>
      </c>
      <c r="J45" s="1">
        <f>I45/VLOOKUP(A45,'[216]geoMap (8)'!$A:$B,2,0)*VLOOKUP(A45,'[216]geoMap (8)'!$A:$C,3,0)</f>
        <v>483.86365470676651</v>
      </c>
      <c r="K45" s="1">
        <f>J45/VLOOKUP(A45,'[217]geoMap (9)'!$A:$B,2,0)*VLOOKUP(A45,'[217]geoMap (9)'!$A:$C,3,0)</f>
        <v>568.01385552533463</v>
      </c>
      <c r="L45" s="1">
        <f>K45/VLOOKUP(A45,'[218]geoMap (10)'!$A:$B,2,0)*VLOOKUP(A45,'[218]geoMap (10)'!$A:$C,3,0)</f>
        <v>179.37279648168462</v>
      </c>
      <c r="M45" s="1">
        <f>L45/VLOOKUP(A45,'[219]geoMap (11)'!$A:$B,2,0)*VLOOKUP(A45,'[219]geoMap (11)'!$A:$C,3,0)</f>
        <v>73.26494504181484</v>
      </c>
      <c r="N45" s="1">
        <f>M45/VLOOKUP(A45,'[220]geoMap (12)'!$A:$B,2,0)*VLOOKUP(A45,'[220]geoMap (12)'!$A:$C,3,0)</f>
        <v>114.59388839873601</v>
      </c>
      <c r="O45" s="1">
        <f>N45/VLOOKUP(A45,'[221]geoMap (13)'!$A:$B,2,0)*VLOOKUP(A45,'[221]geoMap (13)'!$A:$C,3,0)</f>
        <v>212.81722131193834</v>
      </c>
      <c r="P45" s="1">
        <f>O45/VLOOKUP(A45,'[222]geoMap (14)'!$A:$B,2,0)*VLOOKUP(A45,'[222]geoMap (14)'!$A:$C,3,0)</f>
        <v>119.70968698796531</v>
      </c>
      <c r="Q45" s="1">
        <f>P45/VLOOKUP(A45,'[223]geoMap (15)'!$A:$B,2,0)*VLOOKUP(A45,'[223]geoMap (15)'!$A:$C,3,0)</f>
        <v>152.3577834392286</v>
      </c>
      <c r="R45" s="1">
        <f>Q45/VLOOKUP(A45,'[224]geoMap (16)'!$A:$B,2,0)*VLOOKUP(A45,'[224]geoMap (16)'!$A:$C,3,0)</f>
        <v>11.467790151339788</v>
      </c>
      <c r="S45" s="1">
        <f>R45/VLOOKUP(A45,'[225]geoMap (17)'!$A:$B,2,0)*VLOOKUP(A45,'[225]geoMap (17)'!$A:$C,3,0)</f>
        <v>21.297324566773892</v>
      </c>
      <c r="T45" s="1">
        <f>S45/VLOOKUP(A45,'[226]geoMap (18)'!$A:$B,2,0)*VLOOKUP(A45,'[226]geoMap (18)'!$A:$C,3,0)</f>
        <v>25.001207100125875</v>
      </c>
      <c r="U45" s="1">
        <f>T45/VLOOKUP(A45,'[227]geoMap (19)'!$A:$B,2,0)*VLOOKUP(A45,'[227]geoMap (19)'!$A:$C,3,0)</f>
        <v>29.349243117539071</v>
      </c>
      <c r="V45" s="1">
        <f>U45/VLOOKUP(A45,'[228]geoMap (20)'!$A:$B,2,0)*VLOOKUP(A45,'[228]geoMap (20)'!$A:$C,3,0)</f>
        <v>54.505737218286853</v>
      </c>
      <c r="W45" s="1">
        <f>V45/VLOOKUP(A45,'[229]geoMap (21)'!$A:$B,2,0)*VLOOKUP(A45,'[229]geoMap (21)'!$A:$C,3,0)</f>
        <v>36.337158145524569</v>
      </c>
      <c r="X45" s="1">
        <f>W45/VLOOKUP(A45,'[230]geoMap (22)'!$A:$B,2,0)*VLOOKUP(A45,'[230]geoMap (22)'!$A:$C,3,0)</f>
        <v>11.474892045955126</v>
      </c>
      <c r="Y45" s="1">
        <f>X45/VLOOKUP(A45,'[231]geoMap (23)'!$A:$B,2,0)*VLOOKUP(A45,'[231]geoMap (23)'!$A:$C,3,0)</f>
        <v>17.94790807187853</v>
      </c>
      <c r="Z45" s="1">
        <f>Y45/VLOOKUP(A45,'[232]geoMap (24)'!$A:$B,2,0)*VLOOKUP(A45,'[232]geoMap (24)'!$A:$C,3,0)</f>
        <v>8.8400144234625593</v>
      </c>
      <c r="AA45" s="1">
        <f>Z45/VLOOKUP(A45,'[233]geoMap (25)'!$A:$B,2,0)*VLOOKUP(A45,'[233]geoMap (25)'!$A:$C,3,0)</f>
        <v>2.4933374014894398</v>
      </c>
    </row>
    <row r="46" spans="1:27" x14ac:dyDescent="0.2">
      <c r="A46" s="1" t="s">
        <v>115</v>
      </c>
      <c r="B46" s="1">
        <f>Notes!$C$6*VLOOKUP(A46,[208]geoMap!$A:$B,2,0)</f>
        <v>5000</v>
      </c>
      <c r="C46" s="1">
        <f>B46/VLOOKUP(A46,'[209]geoMap (1)'!$A:$B,2,0)*VLOOKUP(A46,'[209]geoMap (1)'!$A:$C,3,0)</f>
        <v>813.95348837209315</v>
      </c>
      <c r="D46" s="1">
        <f>C46/VLOOKUP(A46,'[210]geoMap (2)'!$A:$B,2,0)*VLOOKUP(A46,'[210]geoMap (2)'!$A:$C,3,0)</f>
        <v>1899.2248062015508</v>
      </c>
      <c r="E46" s="1">
        <f>D46/VLOOKUP(A46,'[211]geoMap (3)'!$A:$B,2,0)*VLOOKUP(A46,'[211]geoMap (3)'!$A:$C,3,0)</f>
        <v>4035.8527131782957</v>
      </c>
      <c r="F46" s="1">
        <f>E46/VLOOKUP(A46,'[212]geoMap (4)'!$A:$B,2,0)*VLOOKUP(A46,'[212]geoMap (4)'!$A:$C,3,0)</f>
        <v>2804.5756142425448</v>
      </c>
      <c r="G46" s="1">
        <f>F46/VLOOKUP(A46,'[213]geoMap (5)'!$A:$B,2,0)*VLOOKUP(A46,'[213]geoMap (5)'!$A:$C,3,0)</f>
        <v>745.52009998852452</v>
      </c>
      <c r="H46" s="1">
        <f>G46/VLOOKUP(A46,'[214]geoMap (6)'!$A:$B,2,0)*VLOOKUP(A46,'[214]geoMap (6)'!$A:$C,3,0)</f>
        <v>1166.0698999820511</v>
      </c>
      <c r="I46" s="1">
        <f>H46/VLOOKUP(A46,'[215]geoMap (7)'!$A:$B,2,0)*VLOOKUP(A46,'[215]geoMap (7)'!$A:$C,3,0)</f>
        <v>87.768702149186637</v>
      </c>
      <c r="J46" s="1">
        <f>I46/VLOOKUP(A46,'[216]geoMap (8)'!$A:$B,2,0)*VLOOKUP(A46,'[216]geoMap (8)'!$A:$C,3,0)</f>
        <v>789.91831934267964</v>
      </c>
      <c r="K46" s="1">
        <f>J46/VLOOKUP(A46,'[217]geoMap (9)'!$A:$B,2,0)*VLOOKUP(A46,'[217]geoMap (9)'!$A:$C,3,0)</f>
        <v>548.9262897127096</v>
      </c>
      <c r="L46" s="1">
        <f>K46/VLOOKUP(A46,'[218]geoMap (10)'!$A:$B,2,0)*VLOOKUP(A46,'[218]geoMap (10)'!$A:$C,3,0)</f>
        <v>173.34514411980302</v>
      </c>
      <c r="M46" s="1">
        <f>L46/VLOOKUP(A46,'[219]geoMap (11)'!$A:$B,2,0)*VLOOKUP(A46,'[219]geoMap (11)'!$A:$C,3,0)</f>
        <v>89.299013637474289</v>
      </c>
      <c r="N46" s="1">
        <f>M46/VLOOKUP(A46,'[220]geoMap (12)'!$A:$B,2,0)*VLOOKUP(A46,'[220]geoMap (12)'!$A:$C,3,0)</f>
        <v>89.299013637474289</v>
      </c>
      <c r="O46" s="1">
        <f>N46/VLOOKUP(A46,'[221]geoMap (13)'!$A:$B,2,0)*VLOOKUP(A46,'[221]geoMap (13)'!$A:$C,3,0)</f>
        <v>218.62861959519566</v>
      </c>
      <c r="P46" s="1">
        <f>O46/VLOOKUP(A46,'[222]geoMap (14)'!$A:$B,2,0)*VLOOKUP(A46,'[222]geoMap (14)'!$A:$C,3,0)</f>
        <v>186.2391944699815</v>
      </c>
      <c r="Q46" s="1">
        <f>P46/VLOOKUP(A46,'[223]geoMap (15)'!$A:$B,2,0)*VLOOKUP(A46,'[223]geoMap (15)'!$A:$C,3,0)</f>
        <v>186.2391944699815</v>
      </c>
      <c r="R46" s="1">
        <f>Q46/VLOOKUP(A46,'[224]geoMap (16)'!$A:$B,2,0)*VLOOKUP(A46,'[224]geoMap (16)'!$A:$C,3,0)</f>
        <v>11.887608157658393</v>
      </c>
      <c r="S46" s="1">
        <f>R46/VLOOKUP(A46,'[225]geoMap (17)'!$A:$B,2,0)*VLOOKUP(A46,'[225]geoMap (17)'!$A:$C,3,0)</f>
        <v>22.076986578508446</v>
      </c>
      <c r="T46" s="1">
        <f>S46/VLOOKUP(A46,'[226]geoMap (18)'!$A:$B,2,0)*VLOOKUP(A46,'[226]geoMap (18)'!$A:$C,3,0)</f>
        <v>13.531056290053563</v>
      </c>
      <c r="U46" s="1">
        <f>T46/VLOOKUP(A46,'[227]geoMap (19)'!$A:$B,2,0)*VLOOKUP(A46,'[227]geoMap (19)'!$A:$C,3,0)</f>
        <v>26.266168092456915</v>
      </c>
      <c r="V46" s="1">
        <f>U46/VLOOKUP(A46,'[228]geoMap (20)'!$A:$B,2,0)*VLOOKUP(A46,'[228]geoMap (20)'!$A:$C,3,0)</f>
        <v>83.176198959446907</v>
      </c>
      <c r="W46" s="1">
        <f>V46/VLOOKUP(A46,'[229]geoMap (21)'!$A:$B,2,0)*VLOOKUP(A46,'[229]geoMap (21)'!$A:$C,3,0)</f>
        <v>22.110128837321327</v>
      </c>
      <c r="X46" s="1">
        <f>W46/VLOOKUP(A46,'[230]geoMap (22)'!$A:$B,2,0)*VLOOKUP(A46,'[230]geoMap (22)'!$A:$C,3,0)</f>
        <v>9.9335361443037851</v>
      </c>
      <c r="Y46" s="1">
        <f>X46/VLOOKUP(A46,'[231]geoMap (23)'!$A:$B,2,0)*VLOOKUP(A46,'[231]geoMap (23)'!$A:$C,3,0)</f>
        <v>10.338986599173326</v>
      </c>
      <c r="Z46" s="1">
        <f>Y46/VLOOKUP(A46,'[232]geoMap (24)'!$A:$B,2,0)*VLOOKUP(A46,'[232]geoMap (24)'!$A:$C,3,0)</f>
        <v>5.3261446116953506</v>
      </c>
      <c r="AA46" s="1">
        <f>Y46/VLOOKUP(A46,'[236]geoMap (34)'!$A:$B,2,0)*VLOOKUP(A46,'[236]geoMap (34)'!$A:$C,3,0)</f>
        <v>3.824008742159998</v>
      </c>
    </row>
    <row r="47" spans="1:27" x14ac:dyDescent="0.2">
      <c r="A47" s="1" t="s">
        <v>111</v>
      </c>
      <c r="B47" s="1">
        <f>Notes!$C$6*VLOOKUP(A47,[208]geoMap!$A:$B,2,0)</f>
        <v>6000</v>
      </c>
      <c r="C47" s="1">
        <f>B47/VLOOKUP(A47,'[209]geoMap (1)'!$A:$B,2,0)*VLOOKUP(A47,'[209]geoMap (1)'!$A:$C,3,0)</f>
        <v>896.55172413793105</v>
      </c>
      <c r="D47" s="1">
        <f>C47/VLOOKUP(A47,'[210]geoMap (2)'!$A:$B,2,0)*VLOOKUP(A47,'[210]geoMap (2)'!$A:$C,3,0)</f>
        <v>1995.5506117908785</v>
      </c>
      <c r="E47" s="1">
        <f>D47/VLOOKUP(A47,'[211]geoMap (3)'!$A:$B,2,0)*VLOOKUP(A47,'[211]geoMap (3)'!$A:$C,3,0)</f>
        <v>2871.6460023332156</v>
      </c>
      <c r="F47" s="1">
        <f>E47/VLOOKUP(A47,'[212]geoMap (4)'!$A:$B,2,0)*VLOOKUP(A47,'[212]geoMap (4)'!$A:$C,3,0)</f>
        <v>2871.6460023332156</v>
      </c>
      <c r="G47" s="1">
        <f>F47/VLOOKUP(A47,'[213]geoMap (5)'!$A:$B,2,0)*VLOOKUP(A47,'[213]geoMap (5)'!$A:$C,3,0)</f>
        <v>906.83557968417335</v>
      </c>
      <c r="H47" s="1">
        <f>G47/VLOOKUP(A47,'[214]geoMap (6)'!$A:$B,2,0)*VLOOKUP(A47,'[214]geoMap (6)'!$A:$C,3,0)</f>
        <v>1479.5738405373354</v>
      </c>
      <c r="I47" s="1">
        <f>H47/VLOOKUP(A47,'[215]geoMap (7)'!$A:$B,2,0)*VLOOKUP(A47,'[215]geoMap (7)'!$A:$C,3,0)</f>
        <v>94.440883438553314</v>
      </c>
      <c r="J47" s="1">
        <f>I47/VLOOKUP(A47,'[216]geoMap (8)'!$A:$B,2,0)*VLOOKUP(A47,'[216]geoMap (8)'!$A:$C,3,0)</f>
        <v>580.136855408256</v>
      </c>
      <c r="K47" s="1">
        <f>J47/VLOOKUP(A47,'[217]geoMap (9)'!$A:$B,2,0)*VLOOKUP(A47,'[217]geoMap (9)'!$A:$C,3,0)</f>
        <v>654.196879502927</v>
      </c>
      <c r="L47" s="1">
        <f>K47/VLOOKUP(A47,'[218]geoMap (10)'!$A:$B,2,0)*VLOOKUP(A47,'[218]geoMap (10)'!$A:$C,3,0)</f>
        <v>195.40945751386133</v>
      </c>
      <c r="M47" s="1">
        <f>L47/VLOOKUP(A47,'[219]geoMap (11)'!$A:$B,2,0)*VLOOKUP(A47,'[219]geoMap (11)'!$A:$C,3,0)</f>
        <v>100.66547811320129</v>
      </c>
      <c r="N47" s="1">
        <f>M47/VLOOKUP(A47,'[220]geoMap (12)'!$A:$B,2,0)*VLOOKUP(A47,'[220]geoMap (12)'!$A:$C,3,0)</f>
        <v>128.11969941680164</v>
      </c>
      <c r="O47" s="1">
        <f>N47/VLOOKUP(A47,'[221]geoMap (13)'!$A:$B,2,0)*VLOOKUP(A47,'[221]geoMap (13)'!$A:$C,3,0)</f>
        <v>218.14975846644606</v>
      </c>
      <c r="P47" s="1">
        <f>O47/VLOOKUP(A47,'[222]geoMap (14)'!$A:$B,2,0)*VLOOKUP(A47,'[222]geoMap (14)'!$A:$C,3,0)</f>
        <v>227.05383024058673</v>
      </c>
      <c r="Q47" s="1">
        <f>P47/VLOOKUP(A47,'[223]geoMap (15)'!$A:$B,2,0)*VLOOKUP(A47,'[223]geoMap (15)'!$A:$C,3,0)</f>
        <v>151.36922016039117</v>
      </c>
      <c r="R47" s="1">
        <f>Q47/VLOOKUP(A47,'[224]geoMap (16)'!$A:$B,2,0)*VLOOKUP(A47,'[224]geoMap (16)'!$A:$C,3,0)</f>
        <v>9.6618651166207137</v>
      </c>
      <c r="S47" s="1">
        <f>R47/VLOOKUP(A47,'[225]geoMap (17)'!$A:$B,2,0)*VLOOKUP(A47,'[225]geoMap (17)'!$A:$C,3,0)</f>
        <v>20.531463372819019</v>
      </c>
      <c r="T47" s="1">
        <f>S47/VLOOKUP(A47,'[226]geoMap (18)'!$A:$B,2,0)*VLOOKUP(A47,'[226]geoMap (18)'!$A:$C,3,0)</f>
        <v>22.24241865388727</v>
      </c>
      <c r="U47" s="1">
        <f>T47/VLOOKUP(A47,'[227]geoMap (19)'!$A:$B,2,0)*VLOOKUP(A47,'[227]geoMap (19)'!$A:$C,3,0)</f>
        <v>11.976686967477761</v>
      </c>
      <c r="V47" s="1">
        <f>U47/VLOOKUP(A47,'[228]geoMap (20)'!$A:$B,2,0)*VLOOKUP(A47,'[228]geoMap (20)'!$A:$C,3,0)</f>
        <v>26.657787121160176</v>
      </c>
      <c r="W47" s="1">
        <f>V47/VLOOKUP(A47,'[229]geoMap (21)'!$A:$B,2,0)*VLOOKUP(A47,'[229]geoMap (21)'!$A:$C,3,0)</f>
        <v>72.074757772025649</v>
      </c>
      <c r="X47" s="1">
        <f>W47/VLOOKUP(A47,'[230]geoMap (22)'!$A:$B,2,0)*VLOOKUP(A47,'[230]geoMap (22)'!$A:$C,3,0)</f>
        <v>11.733100102422782</v>
      </c>
      <c r="Y47" s="1">
        <f>X47/VLOOKUP(A47,'[231]geoMap (23)'!$A:$B,2,0)*VLOOKUP(A47,'[231]geoMap (23)'!$A:$C,3,0)</f>
        <v>21.790043047356598</v>
      </c>
      <c r="Z47" s="1">
        <f>Y47/VLOOKUP(A47,'[232]geoMap (24)'!$A:$B,2,0)*VLOOKUP(A47,'[232]geoMap (24)'!$A:$C,3,0)</f>
        <v>7.2633476824521992</v>
      </c>
      <c r="AA47" s="1">
        <f>Z47/VLOOKUP(A47,'[233]geoMap (25)'!$A:$B,2,0)*VLOOKUP(A47,'[233]geoMap (25)'!$A:$C,3,0)</f>
        <v>4.6437796658300954</v>
      </c>
    </row>
    <row r="48" spans="1:27" x14ac:dyDescent="0.2">
      <c r="A48" s="1" t="s">
        <v>127</v>
      </c>
      <c r="B48" s="1">
        <f>Notes!$C$6*VLOOKUP(A48,[208]geoMap!$A:$B,2,0)</f>
        <v>5000</v>
      </c>
      <c r="C48" s="1">
        <f>B48/VLOOKUP(A48,'[209]geoMap (1)'!$A:$B,2,0)*VLOOKUP(A48,'[209]geoMap (1)'!$A:$C,3,0)</f>
        <v>3771.9298245614041</v>
      </c>
      <c r="D48" s="1">
        <f>C48/VLOOKUP(A48,'[210]geoMap (2)'!$A:$B,2,0)*VLOOKUP(A48,'[210]geoMap (2)'!$A:$C,3,0)</f>
        <v>5000</v>
      </c>
      <c r="E48" s="1">
        <f>D48/VLOOKUP(A48,'[211]geoMap (3)'!$A:$B,2,0)*VLOOKUP(A48,'[211]geoMap (3)'!$A:$C,3,0)</f>
        <v>3771.9298245614041</v>
      </c>
      <c r="F48" s="1">
        <f>E48/VLOOKUP(A48,'[212]geoMap (4)'!$A:$B,2,0)*VLOOKUP(A48,'[212]geoMap (4)'!$A:$C,3,0)</f>
        <v>3213.1254061078625</v>
      </c>
      <c r="G48" s="1">
        <f>F48/VLOOKUP(A48,'[213]geoMap (5)'!$A:$B,2,0)*VLOOKUP(A48,'[213]geoMap (5)'!$A:$C,3,0)</f>
        <v>3213.1254061078625</v>
      </c>
      <c r="H48" s="1">
        <f>G48/VLOOKUP(A48,'[214]geoMap (6)'!$A:$B,2,0)*VLOOKUP(A48,'[214]geoMap (6)'!$A:$C,3,0)</f>
        <v>1249.5487690419468</v>
      </c>
      <c r="I48" s="1">
        <f>H48/VLOOKUP(A48,'[215]geoMap (7)'!$A:$B,2,0)*VLOOKUP(A48,'[215]geoMap (7)'!$A:$C,3,0)</f>
        <v>561.391475946382</v>
      </c>
      <c r="J48" s="1">
        <f>I48/VLOOKUP(A48,'[216]geoMap (8)'!$A:$B,2,0)*VLOOKUP(A48,'[216]geoMap (8)'!$A:$C,3,0)</f>
        <v>1374.4411997307973</v>
      </c>
      <c r="K48" s="1">
        <f>J48/VLOOKUP(A48,'[217]geoMap (9)'!$A:$B,2,0)*VLOOKUP(A48,'[217]geoMap (9)'!$A:$C,3,0)</f>
        <v>916.29413315386489</v>
      </c>
      <c r="L48" s="1">
        <f>K48/VLOOKUP(A48,'[218]geoMap (10)'!$A:$B,2,0)*VLOOKUP(A48,'[218]geoMap (10)'!$A:$C,3,0)</f>
        <v>411.6683786633306</v>
      </c>
      <c r="M48" s="1">
        <f>L48/VLOOKUP(A48,'[219]geoMap (11)'!$A:$B,2,0)*VLOOKUP(A48,'[219]geoMap (11)'!$A:$C,3,0)</f>
        <v>617.50256799499573</v>
      </c>
      <c r="N48" s="1">
        <f>M48/VLOOKUP(A48,'[220]geoMap (12)'!$A:$B,2,0)*VLOOKUP(A48,'[220]geoMap (12)'!$A:$C,3,0)</f>
        <v>593.28678101479989</v>
      </c>
      <c r="O48" s="1">
        <f>N48/VLOOKUP(A48,'[221]geoMap (13)'!$A:$B,2,0)*VLOOKUP(A48,'[221]geoMap (13)'!$A:$C,3,0)</f>
        <v>379.31449933733109</v>
      </c>
      <c r="P48" s="1">
        <f>O48/VLOOKUP(A48,'[222]geoMap (14)'!$A:$B,2,0)*VLOOKUP(A48,'[222]geoMap (14)'!$A:$C,3,0)</f>
        <v>242.5125487566543</v>
      </c>
      <c r="Q48" s="1">
        <f>P48/VLOOKUP(A48,'[223]geoMap (15)'!$A:$B,2,0)*VLOOKUP(A48,'[223]geoMap (15)'!$A:$C,3,0)</f>
        <v>136.41330867561803</v>
      </c>
      <c r="R48" s="1">
        <f>Q48/VLOOKUP(A48,'[224]geoMap (16)'!$A:$B,2,0)*VLOOKUP(A48,'[224]geoMap (16)'!$A:$C,3,0)</f>
        <v>76.732486130035142</v>
      </c>
      <c r="S48" s="1">
        <f>R48/VLOOKUP(A48,'[225]geoMap (17)'!$A:$B,2,0)*VLOOKUP(A48,'[225]geoMap (17)'!$A:$C,3,0)</f>
        <v>97.659527801862922</v>
      </c>
      <c r="T48" s="1">
        <f>S48/VLOOKUP(A48,'[226]geoMap (18)'!$A:$B,2,0)*VLOOKUP(A48,'[226]geoMap (18)'!$A:$C,3,0)</f>
        <v>76.732486130035142</v>
      </c>
      <c r="U48" s="1">
        <f>T48/VLOOKUP(A48,'[227]geoMap (19)'!$A:$B,2,0)*VLOOKUP(A48,'[227]geoMap (19)'!$A:$C,3,0)</f>
        <v>125.19510894900469</v>
      </c>
      <c r="V48" s="1">
        <f>U48/VLOOKUP(A48,'[228]geoMap (20)'!$A:$B,2,0)*VLOOKUP(A48,'[228]geoMap (20)'!$A:$C,3,0)</f>
        <v>61.663262616673947</v>
      </c>
      <c r="W48" s="1">
        <f>V48/VLOOKUP(A48,'[229]geoMap (21)'!$A:$B,2,0)*VLOOKUP(A48,'[229]geoMap (21)'!$A:$C,3,0)</f>
        <v>29.018005937258327</v>
      </c>
      <c r="X48" s="1">
        <f>W48/VLOOKUP(A48,'[230]geoMap (22)'!$A:$B,2,0)*VLOOKUP(A48,'[230]geoMap (22)'!$A:$C,3,0)</f>
        <v>36.932007556510598</v>
      </c>
      <c r="Y48" s="1">
        <f>X48/VLOOKUP(A48,'[231]geoMap (23)'!$A:$B,2,0)*VLOOKUP(A48,'[231]geoMap (23)'!$A:$C,3,0)</f>
        <v>32.751025568981092</v>
      </c>
      <c r="Z48" s="1">
        <f>Y48/VLOOKUP(A48,'[232]geoMap (24)'!$A:$B,2,0)*VLOOKUP(A48,'[232]geoMap (24)'!$A:$C,3,0)</f>
        <v>23.716259894779412</v>
      </c>
      <c r="AA48" s="1">
        <f>Z48/VLOOKUP(A48,'[233]geoMap (25)'!$A:$B,2,0)*VLOOKUP(A48,'[233]geoMap (25)'!$A:$C,3,0)</f>
        <v>21.031400284049667</v>
      </c>
    </row>
    <row r="49" spans="1:27" x14ac:dyDescent="0.2">
      <c r="A49" s="1" t="s">
        <v>133</v>
      </c>
      <c r="B49" s="1">
        <f>Notes!$C$6*VLOOKUP(A49,[208]geoMap!$A:$B,2,0)</f>
        <v>4000</v>
      </c>
      <c r="C49" s="1">
        <f>B49/VLOOKUP(A49,'[209]geoMap (1)'!$A:$B,2,0)*VLOOKUP(A49,'[209]geoMap (1)'!$A:$C,3,0)</f>
        <v>3547.169811320754</v>
      </c>
      <c r="D49" s="1">
        <f>C49/VLOOKUP(A49,'[210]geoMap (2)'!$A:$B,2,0)*VLOOKUP(A49,'[210]geoMap (2)'!$A:$C,3,0)</f>
        <v>4702.0623080298365</v>
      </c>
      <c r="E49" s="1">
        <f>D49/VLOOKUP(A49,'[211]geoMap (3)'!$A:$B,2,0)*VLOOKUP(A49,'[211]geoMap (3)'!$A:$C,3,0)</f>
        <v>4517.6677077149407</v>
      </c>
      <c r="F49" s="1">
        <f>E49/VLOOKUP(A49,'[212]geoMap (4)'!$A:$B,2,0)*VLOOKUP(A49,'[212]geoMap (4)'!$A:$C,3,0)</f>
        <v>3848.3836028682831</v>
      </c>
      <c r="G49" s="1">
        <f>F49/VLOOKUP(A49,'[213]geoMap (5)'!$A:$B,2,0)*VLOOKUP(A49,'[213]geoMap (5)'!$A:$C,3,0)</f>
        <v>3023.7299736822224</v>
      </c>
      <c r="H49" s="1">
        <f>G49/VLOOKUP(A49,'[214]geoMap (6)'!$A:$B,2,0)*VLOOKUP(A49,'[214]geoMap (6)'!$A:$C,3,0)</f>
        <v>1118.3658806769865</v>
      </c>
      <c r="I49" s="1">
        <f>H49/VLOOKUP(A49,'[215]geoMap (7)'!$A:$B,2,0)*VLOOKUP(A49,'[215]geoMap (7)'!$A:$C,3,0)</f>
        <v>809.85115497299023</v>
      </c>
      <c r="J49" s="1">
        <f>I49/VLOOKUP(A49,'[216]geoMap (8)'!$A:$B,2,0)*VLOOKUP(A49,'[216]geoMap (8)'!$A:$C,3,0)</f>
        <v>1439.7353866186493</v>
      </c>
      <c r="K49" s="1">
        <f>J49/VLOOKUP(A49,'[217]geoMap (9)'!$A:$B,2,0)*VLOOKUP(A49,'[217]geoMap (9)'!$A:$C,3,0)</f>
        <v>882.41846276626882</v>
      </c>
      <c r="L49" s="1">
        <f>K49/VLOOKUP(A49,'[218]geoMap (10)'!$A:$B,2,0)*VLOOKUP(A49,'[218]geoMap (10)'!$A:$C,3,0)</f>
        <v>540.83712234061636</v>
      </c>
      <c r="M49" s="1">
        <f>L49/VLOOKUP(A49,'[219]geoMap (11)'!$A:$B,2,0)*VLOOKUP(A49,'[219]geoMap (11)'!$A:$C,3,0)</f>
        <v>634.89575231289746</v>
      </c>
      <c r="N49" s="1">
        <f>M49/VLOOKUP(A49,'[220]geoMap (12)'!$A:$B,2,0)*VLOOKUP(A49,'[220]geoMap (12)'!$A:$C,3,0)</f>
        <v>519.46016098327971</v>
      </c>
      <c r="O49" s="1">
        <f>N49/VLOOKUP(A49,'[221]geoMap (13)'!$A:$B,2,0)*VLOOKUP(A49,'[221]geoMap (13)'!$A:$C,3,0)</f>
        <v>360.98078983583844</v>
      </c>
      <c r="P49" s="1">
        <f>O49/VLOOKUP(A49,'[222]geoMap (14)'!$A:$B,2,0)*VLOOKUP(A49,'[222]geoMap (14)'!$A:$C,3,0)</f>
        <v>169.87331286392396</v>
      </c>
      <c r="Q49" s="1">
        <f>P49/VLOOKUP(A49,'[223]geoMap (15)'!$A:$B,2,0)*VLOOKUP(A49,'[223]geoMap (15)'!$A:$C,3,0)</f>
        <v>156.80613495131439</v>
      </c>
      <c r="R49" s="1">
        <f>Q49/VLOOKUP(A49,'[224]geoMap (16)'!$A:$B,2,0)*VLOOKUP(A49,'[224]geoMap (16)'!$A:$C,3,0)</f>
        <v>49.517726826730858</v>
      </c>
      <c r="S49" s="1">
        <f>R49/VLOOKUP(A49,'[225]geoMap (17)'!$A:$B,2,0)*VLOOKUP(A49,'[225]geoMap (17)'!$A:$C,3,0)</f>
        <v>280.60045201814154</v>
      </c>
      <c r="T49" s="1">
        <f>S49/VLOOKUP(A49,'[226]geoMap (18)'!$A:$B,2,0)*VLOOKUP(A49,'[226]geoMap (18)'!$A:$C,3,0)</f>
        <v>83.815719433990324</v>
      </c>
      <c r="U49" s="1">
        <f>T49/VLOOKUP(A49,'[227]geoMap (19)'!$A:$B,2,0)*VLOOKUP(A49,'[227]geoMap (19)'!$A:$C,3,0)</f>
        <v>58.244821979552597</v>
      </c>
      <c r="V49" s="1">
        <f>U49/VLOOKUP(A49,'[228]geoMap (20)'!$A:$B,2,0)*VLOOKUP(A49,'[228]geoMap (20)'!$A:$C,3,0)</f>
        <v>74.129773428521489</v>
      </c>
      <c r="W49" s="1">
        <f>V49/VLOOKUP(A49,'[229]geoMap (21)'!$A:$B,2,0)*VLOOKUP(A49,'[229]geoMap (21)'!$A:$C,3,0)</f>
        <v>38.188065099541369</v>
      </c>
      <c r="X49" s="1">
        <f>W49/VLOOKUP(A49,'[230]geoMap (22)'!$A:$B,2,0)*VLOOKUP(A49,'[230]geoMap (22)'!$A:$C,3,0)</f>
        <v>81.149638336525413</v>
      </c>
      <c r="Y49" s="1">
        <f>X49/VLOOKUP(A49,'[231]geoMap (23)'!$A:$B,2,0)*VLOOKUP(A49,'[231]geoMap (23)'!$A:$C,3,0)</f>
        <v>66.395158638975332</v>
      </c>
      <c r="Z49" s="1">
        <f>Y49/VLOOKUP(A49,'[232]geoMap (24)'!$A:$B,2,0)*VLOOKUP(A49,'[232]geoMap (24)'!$A:$C,3,0)</f>
        <v>31.24478053598839</v>
      </c>
      <c r="AA49" s="1">
        <f>Z49/VLOOKUP(A49,'[233]geoMap (25)'!$A:$B,2,0)*VLOOKUP(A49,'[233]geoMap (25)'!$A:$C,3,0)</f>
        <v>46.867170803982582</v>
      </c>
    </row>
    <row r="50" spans="1:27" x14ac:dyDescent="0.2">
      <c r="A50" s="1" t="s">
        <v>145</v>
      </c>
      <c r="B50" s="1">
        <f>Notes!$C$6*VLOOKUP(A50,[208]geoMap!$A:$B,2,0)</f>
        <v>4000</v>
      </c>
      <c r="C50" s="1">
        <f>B50/VLOOKUP(A50,'[209]geoMap (1)'!$A:$B,2,0)*VLOOKUP(A50,'[209]geoMap (1)'!$A:$C,3,0)</f>
        <v>3407.4074074074074</v>
      </c>
      <c r="D50" s="1">
        <f>C50/VLOOKUP(A50,'[210]geoMap (2)'!$A:$B,2,0)*VLOOKUP(A50,'[210]geoMap (2)'!$A:$C,3,0)</f>
        <v>4164.609053497943</v>
      </c>
      <c r="E50" s="1">
        <f>D50/VLOOKUP(A50,'[211]geoMap (3)'!$A:$B,2,0)*VLOOKUP(A50,'[211]geoMap (3)'!$A:$C,3,0)</f>
        <v>4164.609053497943</v>
      </c>
      <c r="F50" s="1">
        <f>E50/VLOOKUP(A50,'[212]geoMap (4)'!$A:$B,2,0)*VLOOKUP(A50,'[212]geoMap (4)'!$A:$C,3,0)</f>
        <v>3547.6299344612103</v>
      </c>
      <c r="G50" s="1">
        <f>F50/VLOOKUP(A50,'[213]geoMap (5)'!$A:$B,2,0)*VLOOKUP(A50,'[213]geoMap (5)'!$A:$C,3,0)</f>
        <v>2787.4235199338077</v>
      </c>
      <c r="H50" s="1">
        <f>G50/VLOOKUP(A50,'[214]geoMap (6)'!$A:$B,2,0)*VLOOKUP(A50,'[214]geoMap (6)'!$A:$C,3,0)</f>
        <v>1030.9648635371618</v>
      </c>
      <c r="I50" s="1">
        <f>H50/VLOOKUP(A50,'[215]geoMap (7)'!$A:$B,2,0)*VLOOKUP(A50,'[215]geoMap (7)'!$A:$C,3,0)</f>
        <v>687.3099090247747</v>
      </c>
      <c r="J50" s="1">
        <f>I50/VLOOKUP(A50,'[216]geoMap (8)'!$A:$B,2,0)*VLOOKUP(A50,'[216]geoMap (8)'!$A:$C,3,0)</f>
        <v>1460.5335566776464</v>
      </c>
      <c r="K50" s="1">
        <f>J50/VLOOKUP(A50,'[217]geoMap (9)'!$A:$B,2,0)*VLOOKUP(A50,'[217]geoMap (9)'!$A:$C,3,0)</f>
        <v>821.55012563117612</v>
      </c>
      <c r="L50" s="1">
        <f>K50/VLOOKUP(A50,'[218]geoMap (10)'!$A:$B,2,0)*VLOOKUP(A50,'[218]geoMap (10)'!$A:$C,3,0)</f>
        <v>547.70008375411749</v>
      </c>
      <c r="M50" s="1">
        <f>L50/VLOOKUP(A50,'[219]geoMap (11)'!$A:$B,2,0)*VLOOKUP(A50,'[219]geoMap (11)'!$A:$C,3,0)</f>
        <v>697.07283386887684</v>
      </c>
      <c r="N50" s="1">
        <f>M50/VLOOKUP(A50,'[220]geoMap (12)'!$A:$B,2,0)*VLOOKUP(A50,'[220]geoMap (12)'!$A:$C,3,0)</f>
        <v>484.4065455698975</v>
      </c>
      <c r="O50" s="1">
        <f>N50/VLOOKUP(A50,'[221]geoMap (13)'!$A:$B,2,0)*VLOOKUP(A50,'[221]geoMap (13)'!$A:$C,3,0)</f>
        <v>365.42949928957182</v>
      </c>
      <c r="P50" s="1">
        <f>O50/VLOOKUP(A50,'[222]geoMap (14)'!$A:$B,2,0)*VLOOKUP(A50,'[222]geoMap (14)'!$A:$C,3,0)</f>
        <v>324.06012201150702</v>
      </c>
      <c r="Q50" s="1">
        <f>P50/VLOOKUP(A50,'[223]geoMap (15)'!$A:$B,2,0)*VLOOKUP(A50,'[223]geoMap (15)'!$A:$C,3,0)</f>
        <v>166.94006285441273</v>
      </c>
      <c r="R50" s="1">
        <f>Q50/VLOOKUP(A50,'[224]geoMap (16)'!$A:$B,2,0)*VLOOKUP(A50,'[224]geoMap (16)'!$A:$C,3,0)</f>
        <v>68.18678623630943</v>
      </c>
      <c r="S50" s="1">
        <f>R50/VLOOKUP(A50,'[225]geoMap (17)'!$A:$B,2,0)*VLOOKUP(A50,'[225]geoMap (17)'!$A:$C,3,0)</f>
        <v>256.51219584135453</v>
      </c>
      <c r="T50" s="1">
        <f>S50/VLOOKUP(A50,'[226]geoMap (18)'!$A:$B,2,0)*VLOOKUP(A50,'[226]geoMap (18)'!$A:$C,3,0)</f>
        <v>64.128048960338631</v>
      </c>
      <c r="U50" s="1">
        <f>T50/VLOOKUP(A50,'[227]geoMap (19)'!$A:$B,2,0)*VLOOKUP(A50,'[227]geoMap (19)'!$A:$C,3,0)</f>
        <v>81.617516858612817</v>
      </c>
      <c r="V50" s="1">
        <f>U50/VLOOKUP(A50,'[228]geoMap (20)'!$A:$B,2,0)*VLOOKUP(A50,'[228]geoMap (20)'!$A:$C,3,0)</f>
        <v>78.416829922980952</v>
      </c>
      <c r="W50" s="1">
        <f>V50/VLOOKUP(A50,'[229]geoMap (21)'!$A:$B,2,0)*VLOOKUP(A50,'[229]geoMap (21)'!$A:$C,3,0)</f>
        <v>69.539452950568005</v>
      </c>
      <c r="X50" s="1">
        <f>W50/VLOOKUP(A50,'[230]geoMap (22)'!$A:$B,2,0)*VLOOKUP(A50,'[230]geoMap (22)'!$A:$C,3,0)</f>
        <v>59.237311772706079</v>
      </c>
      <c r="Y50" s="1">
        <f>X50/VLOOKUP(A50,'[231]geoMap (23)'!$A:$B,2,0)*VLOOKUP(A50,'[231]geoMap (23)'!$A:$C,3,0)</f>
        <v>54.680595482497921</v>
      </c>
      <c r="Z50" s="1">
        <f>Y50/VLOOKUP(A50,'[232]geoMap (24)'!$A:$B,2,0)*VLOOKUP(A50,'[232]geoMap (24)'!$A:$C,3,0)</f>
        <v>29.443397567498877</v>
      </c>
      <c r="AA50" s="1">
        <f>Z50/VLOOKUP(A50,'[233]geoMap (25)'!$A:$B,2,0)*VLOOKUP(A50,'[233]geoMap (25)'!$A:$C,3,0)</f>
        <v>238.22385304612729</v>
      </c>
    </row>
    <row r="51" spans="1:27" x14ac:dyDescent="0.2">
      <c r="A51" s="1" t="s">
        <v>142</v>
      </c>
      <c r="B51" s="1">
        <f>Notes!$C$6*VLOOKUP(A51,[208]geoMap!$A:$B,2,0)</f>
        <v>4000</v>
      </c>
      <c r="C51" s="1">
        <f>B51/VLOOKUP(A51,'[209]geoMap (1)'!$A:$B,2,0)*VLOOKUP(A51,'[209]geoMap (1)'!$A:$C,3,0)</f>
        <v>2779.6610169491528</v>
      </c>
      <c r="D51" s="1">
        <f>C51/VLOOKUP(A51,'[210]geoMap (2)'!$A:$B,2,0)*VLOOKUP(A51,'[210]geoMap (2)'!$A:$C,3,0)</f>
        <v>3397.363465160076</v>
      </c>
      <c r="E51" s="1">
        <f>D51/VLOOKUP(A51,'[211]geoMap (3)'!$A:$B,2,0)*VLOOKUP(A51,'[211]geoMap (3)'!$A:$C,3,0)</f>
        <v>2264.908976773384</v>
      </c>
      <c r="F51" s="1">
        <f>E51/VLOOKUP(A51,'[212]geoMap (4)'!$A:$B,2,0)*VLOOKUP(A51,'[212]geoMap (4)'!$A:$C,3,0)</f>
        <v>1779.571338893373</v>
      </c>
      <c r="G51" s="1">
        <f>F51/VLOOKUP(A51,'[213]geoMap (5)'!$A:$B,2,0)*VLOOKUP(A51,'[213]geoMap (5)'!$A:$C,3,0)</f>
        <v>1456.0129136400324</v>
      </c>
      <c r="H51" s="1">
        <f>G51/VLOOKUP(A51,'[214]geoMap (6)'!$A:$B,2,0)*VLOOKUP(A51,'[214]geoMap (6)'!$A:$C,3,0)</f>
        <v>1098.3957067810773</v>
      </c>
      <c r="I51" s="1">
        <f>H51/VLOOKUP(A51,'[215]geoMap (7)'!$A:$B,2,0)*VLOOKUP(A51,'[215]geoMap (7)'!$A:$C,3,0)</f>
        <v>274.59892669526931</v>
      </c>
      <c r="J51" s="1">
        <f>I51/VLOOKUP(A51,'[216]geoMap (8)'!$A:$B,2,0)*VLOOKUP(A51,'[216]geoMap (8)'!$A:$C,3,0)</f>
        <v>742.43413513906137</v>
      </c>
      <c r="K51" s="1">
        <f>J51/VLOOKUP(A51,'[217]geoMap (9)'!$A:$B,2,0)*VLOOKUP(A51,'[217]geoMap (9)'!$A:$C,3,0)</f>
        <v>583.34110618069099</v>
      </c>
      <c r="L51" s="1">
        <f>K51/VLOOKUP(A51,'[218]geoMap (10)'!$A:$B,2,0)*VLOOKUP(A51,'[218]geoMap (10)'!$A:$C,3,0)</f>
        <v>314.10674948191047</v>
      </c>
      <c r="M51" s="1">
        <f>L51/VLOOKUP(A51,'[219]geoMap (11)'!$A:$B,2,0)*VLOOKUP(A51,'[219]geoMap (11)'!$A:$C,3,0)</f>
        <v>104.70224982730349</v>
      </c>
      <c r="N51" s="1">
        <f>M51/VLOOKUP(A51,'[220]geoMap (12)'!$A:$B,2,0)*VLOOKUP(A51,'[220]geoMap (12)'!$A:$C,3,0)</f>
        <v>371.21706756953057</v>
      </c>
      <c r="O51" s="1">
        <f>N51/VLOOKUP(A51,'[221]geoMap (13)'!$A:$B,2,0)*VLOOKUP(A51,'[221]geoMap (13)'!$A:$C,3,0)</f>
        <v>237.33550221658513</v>
      </c>
      <c r="P51" s="1">
        <f>O51/VLOOKUP(A51,'[222]geoMap (14)'!$A:$B,2,0)*VLOOKUP(A51,'[222]geoMap (14)'!$A:$C,3,0)</f>
        <v>106.62899374948029</v>
      </c>
      <c r="Q51" s="1">
        <f>P51/VLOOKUP(A51,'[223]geoMap (15)'!$A:$B,2,0)*VLOOKUP(A51,'[223]geoMap (15)'!$A:$C,3,0)</f>
        <v>68.172635348028393</v>
      </c>
      <c r="R51" s="1">
        <f>Q51/VLOOKUP(A51,'[224]geoMap (16)'!$A:$B,2,0)*VLOOKUP(A51,'[224]geoMap (16)'!$A:$C,3,0)</f>
        <v>51.428479297635455</v>
      </c>
      <c r="S51" s="1">
        <f>R51/VLOOKUP(A51,'[225]geoMap (17)'!$A:$B,2,0)*VLOOKUP(A51,'[225]geoMap (17)'!$A:$C,3,0)</f>
        <v>55.71418590577175</v>
      </c>
      <c r="T51" s="1">
        <f>S51/VLOOKUP(A51,'[226]geoMap (18)'!$A:$B,2,0)*VLOOKUP(A51,'[226]geoMap (18)'!$A:$C,3,0)</f>
        <v>60.357034731252732</v>
      </c>
      <c r="U51" s="1">
        <f>T51/VLOOKUP(A51,'[227]geoMap (19)'!$A:$B,2,0)*VLOOKUP(A51,'[227]geoMap (19)'!$A:$C,3,0)</f>
        <v>29.728091733303582</v>
      </c>
      <c r="V51" s="1">
        <f>U51/VLOOKUP(A51,'[228]geoMap (20)'!$A:$B,2,0)*VLOOKUP(A51,'[228]geoMap (20)'!$A:$C,3,0)</f>
        <v>29.728091733303582</v>
      </c>
      <c r="W51" s="1">
        <f>V51/VLOOKUP(A51,'[229]geoMap (21)'!$A:$B,2,0)*VLOOKUP(A51,'[229]geoMap (21)'!$A:$C,3,0)</f>
        <v>19.006484878669507</v>
      </c>
      <c r="X51" s="1">
        <f>W51/VLOOKUP(A51,'[230]geoMap (22)'!$A:$B,2,0)*VLOOKUP(A51,'[230]geoMap (22)'!$A:$C,3,0)</f>
        <v>16.854807345235219</v>
      </c>
      <c r="Y51" s="1">
        <f>X51/VLOOKUP(A51,'[231]geoMap (23)'!$A:$B,2,0)*VLOOKUP(A51,'[231]geoMap (23)'!$A:$C,3,0)</f>
        <v>12.715030102545869</v>
      </c>
      <c r="Z51" s="1">
        <f>Y51/VLOOKUP(A51,'[232]geoMap (24)'!$A:$B,2,0)*VLOOKUP(A51,'[232]geoMap (24)'!$A:$C,3,0)</f>
        <v>20.745575430469575</v>
      </c>
      <c r="AA51" s="1">
        <f>Z51/VLOOKUP(A51,'[233]geoMap (25)'!$A:$B,2,0)*VLOOKUP(A51,'[233]geoMap (25)'!$A:$C,3,0)</f>
        <v>82.982301721878301</v>
      </c>
    </row>
    <row r="52" spans="1:27" x14ac:dyDescent="0.2">
      <c r="A52" s="1" t="s">
        <v>128</v>
      </c>
      <c r="B52" s="1">
        <f>Notes!$C$6*VLOOKUP(A52,[208]geoMap!$A:$B,2,0)</f>
        <v>4000</v>
      </c>
      <c r="C52" s="1">
        <f>B52/VLOOKUP(A52,'[209]geoMap (1)'!$A:$B,2,0)*VLOOKUP(A52,'[209]geoMap (1)'!$A:$C,3,0)</f>
        <v>2666.666666666667</v>
      </c>
      <c r="D52" s="1">
        <f>C52/VLOOKUP(A52,'[210]geoMap (2)'!$A:$B,2,0)*VLOOKUP(A52,'[210]geoMap (2)'!$A:$C,3,0)</f>
        <v>3837.3983739837399</v>
      </c>
      <c r="E52" s="1">
        <f>D52/VLOOKUP(A52,'[211]geoMap (3)'!$A:$B,2,0)*VLOOKUP(A52,'[211]geoMap (3)'!$A:$C,3,0)</f>
        <v>2351.9538421190664</v>
      </c>
      <c r="F52" s="1">
        <f>E52/VLOOKUP(A52,'[212]geoMap (4)'!$A:$B,2,0)*VLOOKUP(A52,'[212]geoMap (4)'!$A:$C,3,0)</f>
        <v>2447.9519581239265</v>
      </c>
      <c r="G52" s="1">
        <f>F52/VLOOKUP(A52,'[213]geoMap (5)'!$A:$B,2,0)*VLOOKUP(A52,'[213]geoMap (5)'!$A:$C,3,0)</f>
        <v>2651.9479546342536</v>
      </c>
      <c r="H52" s="1">
        <f>G52/VLOOKUP(A52,'[214]geoMap (6)'!$A:$B,2,0)*VLOOKUP(A52,'[214]geoMap (6)'!$A:$C,3,0)</f>
        <v>2447.9519581239265</v>
      </c>
      <c r="I52" s="1">
        <f>H52/VLOOKUP(A52,'[215]geoMap (7)'!$A:$B,2,0)*VLOOKUP(A52,'[215]geoMap (7)'!$A:$C,3,0)</f>
        <v>431.9915220218694</v>
      </c>
      <c r="J52" s="1">
        <f>I52/VLOOKUP(A52,'[216]geoMap (8)'!$A:$B,2,0)*VLOOKUP(A52,'[216]geoMap (8)'!$A:$C,3,0)</f>
        <v>1967.9613780996274</v>
      </c>
      <c r="K52" s="1">
        <f>J52/VLOOKUP(A52,'[217]geoMap (9)'!$A:$B,2,0)*VLOOKUP(A52,'[217]geoMap (9)'!$A:$C,3,0)</f>
        <v>843.41201918555464</v>
      </c>
      <c r="L52" s="1">
        <f>K52/VLOOKUP(A52,'[218]geoMap (10)'!$A:$B,2,0)*VLOOKUP(A52,'[218]geoMap (10)'!$A:$C,3,0)</f>
        <v>296.33395268681653</v>
      </c>
      <c r="M52" s="1">
        <f>L52/VLOOKUP(A52,'[219]geoMap (11)'!$A:$B,2,0)*VLOOKUP(A52,'[219]geoMap (11)'!$A:$C,3,0)</f>
        <v>334.16381898726121</v>
      </c>
      <c r="N52" s="1">
        <f>M52/VLOOKUP(A52,'[220]geoMap (12)'!$A:$B,2,0)*VLOOKUP(A52,'[220]geoMap (12)'!$A:$C,3,0)</f>
        <v>522.66648610828031</v>
      </c>
      <c r="O52" s="1">
        <f>N52/VLOOKUP(A52,'[221]geoMap (13)'!$A:$B,2,0)*VLOOKUP(A52,'[221]geoMap (13)'!$A:$C,3,0)</f>
        <v>306.96285692073604</v>
      </c>
      <c r="P52" s="1">
        <f>O52/VLOOKUP(A52,'[222]geoMap (14)'!$A:$B,2,0)*VLOOKUP(A52,'[222]geoMap (14)'!$A:$C,3,0)</f>
        <v>241.1851018662926</v>
      </c>
      <c r="Q52" s="1">
        <f>P52/VLOOKUP(A52,'[223]geoMap (15)'!$A:$B,2,0)*VLOOKUP(A52,'[223]geoMap (15)'!$A:$C,3,0)</f>
        <v>261.28386035515035</v>
      </c>
      <c r="R52" s="1">
        <f>Q52/VLOOKUP(A52,'[224]geoMap (16)'!$A:$B,2,0)*VLOOKUP(A52,'[224]geoMap (16)'!$A:$C,3,0)</f>
        <v>29.031540039461152</v>
      </c>
      <c r="S52" s="1">
        <f>R52/VLOOKUP(A52,'[225]geoMap (17)'!$A:$B,2,0)*VLOOKUP(A52,'[225]geoMap (17)'!$A:$C,3,0)</f>
        <v>212.89796028938179</v>
      </c>
      <c r="T52" s="1">
        <f>S52/VLOOKUP(A52,'[226]geoMap (18)'!$A:$B,2,0)*VLOOKUP(A52,'[226]geoMap (18)'!$A:$C,3,0)</f>
        <v>70.965986763127262</v>
      </c>
      <c r="U52" s="1">
        <f>T52/VLOOKUP(A52,'[227]geoMap (19)'!$A:$B,2,0)*VLOOKUP(A52,'[227]geoMap (19)'!$A:$C,3,0)</f>
        <v>20.016047548574356</v>
      </c>
      <c r="V52" s="1">
        <f>U52/VLOOKUP(A52,'[228]geoMap (20)'!$A:$B,2,0)*VLOOKUP(A52,'[228]geoMap (20)'!$A:$C,3,0)</f>
        <v>8.175568717023328</v>
      </c>
      <c r="W52" s="1">
        <f>V52/VLOOKUP(A52,'[229]geoMap (21)'!$A:$B,2,0)*VLOOKUP(A52,'[229]geoMap (21)'!$A:$C,3,0)</f>
        <v>28.986107269446347</v>
      </c>
      <c r="X52" s="1">
        <f>W52/VLOOKUP(A52,'[230]geoMap (22)'!$A:$B,2,0)*VLOOKUP(A52,'[230]geoMap (22)'!$A:$C,3,0)</f>
        <v>12.422617401191291</v>
      </c>
      <c r="Y52" s="1">
        <f>X52/VLOOKUP(A52,'[231]geoMap (23)'!$A:$B,2,0)*VLOOKUP(A52,'[231]geoMap (23)'!$A:$C,3,0)</f>
        <v>46.732703556862475</v>
      </c>
      <c r="Z52" s="1">
        <f>Y52/VLOOKUP(A52,'[232]geoMap (24)'!$A:$B,2,0)*VLOOKUP(A52,'[232]geoMap (24)'!$A:$C,3,0)</f>
        <v>15.577567852287492</v>
      </c>
      <c r="AA52" s="1">
        <f>Z52/VLOOKUP(A52,'[233]geoMap (25)'!$A:$B,2,0)*VLOOKUP(A52,'[233]geoMap (25)'!$A:$C,3,0)</f>
        <v>23.366351778431238</v>
      </c>
    </row>
    <row r="53" spans="1:27" x14ac:dyDescent="0.2">
      <c r="A53" s="1" t="s">
        <v>154</v>
      </c>
      <c r="B53" s="1">
        <f>Notes!$C$6*VLOOKUP(A53,[208]geoMap!$A:$B,2,0)</f>
        <v>4000</v>
      </c>
      <c r="C53" s="1">
        <f>B53/VLOOKUP(A53,'[209]geoMap (1)'!$A:$B,2,0)*VLOOKUP(A53,'[209]geoMap (1)'!$A:$C,3,0)</f>
        <v>2153.8461538461534</v>
      </c>
      <c r="D53" s="1">
        <f>C53/VLOOKUP(A53,'[210]geoMap (2)'!$A:$B,2,0)*VLOOKUP(A53,'[210]geoMap (2)'!$A:$C,3,0)</f>
        <v>2632.4786324786319</v>
      </c>
      <c r="E53" s="1">
        <f>D53/VLOOKUP(A53,'[211]geoMap (3)'!$A:$B,2,0)*VLOOKUP(A53,'[211]geoMap (3)'!$A:$C,3,0)</f>
        <v>2068.3760683760679</v>
      </c>
      <c r="F53" s="1">
        <f>E53/VLOOKUP(A53,'[212]geoMap (4)'!$A:$B,2,0)*VLOOKUP(A53,'[212]geoMap (4)'!$A:$C,3,0)</f>
        <v>1834.2202870504752</v>
      </c>
      <c r="G53" s="1">
        <f>F53/VLOOKUP(A53,'[213]geoMap (5)'!$A:$B,2,0)*VLOOKUP(A53,'[213]geoMap (5)'!$A:$C,3,0)</f>
        <v>1328.2284837262062</v>
      </c>
      <c r="H53" s="1">
        <f>G53/VLOOKUP(A53,'[214]geoMap (6)'!$A:$B,2,0)*VLOOKUP(A53,'[214]geoMap (6)'!$A:$C,3,0)</f>
        <v>1226.0570619011135</v>
      </c>
      <c r="I53" s="1">
        <f>H53/VLOOKUP(A53,'[215]geoMap (7)'!$A:$B,2,0)*VLOOKUP(A53,'[215]geoMap (7)'!$A:$C,3,0)</f>
        <v>269.13447700268347</v>
      </c>
      <c r="J53" s="1">
        <f>I53/VLOOKUP(A53,'[216]geoMap (8)'!$A:$B,2,0)*VLOOKUP(A53,'[216]geoMap (8)'!$A:$C,3,0)</f>
        <v>692.06008372118595</v>
      </c>
      <c r="K53" s="1">
        <f>J53/VLOOKUP(A53,'[217]geoMap (9)'!$A:$B,2,0)*VLOOKUP(A53,'[217]geoMap (9)'!$A:$C,3,0)</f>
        <v>340.86541437013636</v>
      </c>
      <c r="L53" s="1">
        <f>K53/VLOOKUP(A53,'[218]geoMap (10)'!$A:$B,2,0)*VLOOKUP(A53,'[218]geoMap (10)'!$A:$C,3,0)</f>
        <v>167.88893543603731</v>
      </c>
      <c r="M53" s="1">
        <f>L53/VLOOKUP(A53,'[219]geoMap (11)'!$A:$B,2,0)*VLOOKUP(A53,'[219]geoMap (11)'!$A:$C,3,0)</f>
        <v>391.74084935075376</v>
      </c>
      <c r="N53" s="1">
        <f>M53/VLOOKUP(A53,'[220]geoMap (12)'!$A:$B,2,0)*VLOOKUP(A53,'[220]geoMap (12)'!$A:$C,3,0)</f>
        <v>201.80589208978222</v>
      </c>
      <c r="O53" s="1">
        <f>N53/VLOOKUP(A53,'[221]geoMap (13)'!$A:$B,2,0)*VLOOKUP(A53,'[221]geoMap (13)'!$A:$C,3,0)</f>
        <v>201.80589208978222</v>
      </c>
      <c r="P53" s="1">
        <f>O53/VLOOKUP(A53,'[222]geoMap (14)'!$A:$B,2,0)*VLOOKUP(A53,'[222]geoMap (14)'!$A:$C,3,0)</f>
        <v>103.96061107655449</v>
      </c>
      <c r="Q53" s="1">
        <f>P53/VLOOKUP(A53,'[223]geoMap (15)'!$A:$B,2,0)*VLOOKUP(A53,'[223]geoMap (15)'!$A:$C,3,0)</f>
        <v>122.04071735073788</v>
      </c>
      <c r="R53" s="1">
        <f>Q53/VLOOKUP(A53,'[224]geoMap (16)'!$A:$B,2,0)*VLOOKUP(A53,'[224]geoMap (16)'!$A:$C,3,0)</f>
        <v>36.453720767103519</v>
      </c>
      <c r="S53" s="1">
        <f>R53/VLOOKUP(A53,'[225]geoMap (17)'!$A:$B,2,0)*VLOOKUP(A53,'[225]geoMap (17)'!$A:$C,3,0)</f>
        <v>81.138926868714279</v>
      </c>
      <c r="T53" s="1">
        <f>S53/VLOOKUP(A53,'[226]geoMap (18)'!$A:$B,2,0)*VLOOKUP(A53,'[226]geoMap (18)'!$A:$C,3,0)</f>
        <v>54.092617912476193</v>
      </c>
      <c r="U53" s="1">
        <f>T53/VLOOKUP(A53,'[227]geoMap (19)'!$A:$B,2,0)*VLOOKUP(A53,'[227]geoMap (19)'!$A:$C,3,0)</f>
        <v>26.642632703159915</v>
      </c>
      <c r="V53" s="1">
        <f>U53/41*14</f>
        <v>9.0974843376643602</v>
      </c>
      <c r="W53" s="1">
        <f>S53/VLOOKUP(A53,'[235]geoMap (32)'!$A:$B,2,0)*VLOOKUP(A53,'[235]geoMap (32)'!$A:$C,3,0)</f>
        <v>12.124207463141214</v>
      </c>
      <c r="X53" s="1">
        <f>W53/VLOOKUP(A53,'[230]geoMap (22)'!$A:$B,2,0)*VLOOKUP(A53,'[230]geoMap (22)'!$A:$C,3,0)</f>
        <v>19.781601650388296</v>
      </c>
      <c r="Y53" s="1">
        <f>X53/VLOOKUP(A53,'[231]geoMap (23)'!$A:$B,2,0)*VLOOKUP(A53,'[231]geoMap (23)'!$A:$C,3,0)</f>
        <v>26.222123117956578</v>
      </c>
      <c r="Z53" s="1">
        <f>Y53/VLOOKUP(A53,'[232]geoMap (24)'!$A:$B,2,0)*VLOOKUP(A53,'[232]geoMap (24)'!$A:$C,3,0)</f>
        <v>28.40730004445296</v>
      </c>
      <c r="AA53" s="1">
        <f>Z53/VLOOKUP(A53,'[233]geoMap (25)'!$A:$B,2,0)*VLOOKUP(A53,'[233]geoMap (25)'!$A:$C,3,0)</f>
        <v>22.320021463498751</v>
      </c>
    </row>
    <row r="54" spans="1:27" x14ac:dyDescent="0.2">
      <c r="A54" s="1" t="s">
        <v>147</v>
      </c>
      <c r="B54" s="1">
        <f>Notes!$C$6*VLOOKUP(A54,[208]geoMap!$A:$B,2,0)</f>
        <v>3000</v>
      </c>
      <c r="C54" s="1">
        <f>B54/VLOOKUP(A54,'[209]geoMap (1)'!$A:$B,2,0)*VLOOKUP(A54,'[209]geoMap (1)'!$A:$C,3,0)</f>
        <v>1166.666666666667</v>
      </c>
      <c r="D54" s="1">
        <f>C54/VLOOKUP(A54,'[210]geoMap (2)'!$A:$B,2,0)*VLOOKUP(A54,'[210]geoMap (2)'!$A:$C,3,0)</f>
        <v>1986.4864864864871</v>
      </c>
      <c r="E54" s="1">
        <f>D54/VLOOKUP(A54,'[211]geoMap (3)'!$A:$B,2,0)*VLOOKUP(A54,'[211]geoMap (3)'!$A:$C,3,0)</f>
        <v>2979.7297297297305</v>
      </c>
      <c r="F54" s="1">
        <f>E54/VLOOKUP(A54,'[212]geoMap (4)'!$A:$B,2,0)*VLOOKUP(A54,'[212]geoMap (4)'!$A:$C,3,0)</f>
        <v>2247.8662873399721</v>
      </c>
      <c r="G54" s="1">
        <f>F54/VLOOKUP(A54,'[213]geoMap (5)'!$A:$B,2,0)*VLOOKUP(A54,'[213]geoMap (5)'!$A:$C,3,0)</f>
        <v>1210.389539336908</v>
      </c>
      <c r="H54" s="1">
        <f>G54/VLOOKUP(A54,'[214]geoMap (6)'!$A:$B,2,0)*VLOOKUP(A54,'[214]geoMap (6)'!$A:$C,3,0)</f>
        <v>680.84411587701072</v>
      </c>
      <c r="I54" s="1">
        <f>H54/VLOOKUP(A54,'[215]geoMap (7)'!$A:$B,2,0)*VLOOKUP(A54,'[215]geoMap (7)'!$A:$C,3,0)</f>
        <v>180.98387890401548</v>
      </c>
      <c r="J54" s="1">
        <f>I54/VLOOKUP(A54,'[216]geoMap (8)'!$A:$B,2,0)*VLOOKUP(A54,'[216]geoMap (8)'!$A:$C,3,0)</f>
        <v>641.67011611423675</v>
      </c>
      <c r="K54" s="1">
        <f>J54/VLOOKUP(A54,'[217]geoMap (9)'!$A:$B,2,0)*VLOOKUP(A54,'[217]geoMap (9)'!$A:$C,3,0)</f>
        <v>525.00282227528464</v>
      </c>
      <c r="L54" s="1">
        <f>K54/VLOOKUP(A54,'[218]geoMap (10)'!$A:$B,2,0)*VLOOKUP(A54,'[218]geoMap (10)'!$A:$C,3,0)</f>
        <v>214.43777247863738</v>
      </c>
      <c r="M54" s="1">
        <f>L54/VLOOKUP(A54,'[219]geoMap (11)'!$A:$B,2,0)*VLOOKUP(A54,'[219]geoMap (11)'!$A:$C,3,0)</f>
        <v>272.9208013364476</v>
      </c>
      <c r="N54" s="1">
        <f>M54/VLOOKUP(A54,'[220]geoMap (12)'!$A:$B,2,0)*VLOOKUP(A54,'[220]geoMap (12)'!$A:$C,3,0)</f>
        <v>128.43331827597532</v>
      </c>
      <c r="O54" s="1">
        <f>N54/VLOOKUP(A54,'[221]geoMap (13)'!$A:$B,2,0)*VLOOKUP(A54,'[221]geoMap (13)'!$A:$C,3,0)</f>
        <v>200.88288243165371</v>
      </c>
      <c r="P54" s="1">
        <f>O54/VLOOKUP(A54,'[222]geoMap (14)'!$A:$B,2,0)*VLOOKUP(A54,'[222]geoMap (14)'!$A:$C,3,0)</f>
        <v>145.46691486430097</v>
      </c>
      <c r="Q54" s="1">
        <f>P54/VLOOKUP(A54,'[223]geoMap (15)'!$A:$B,2,0)*VLOOKUP(A54,'[223]geoMap (15)'!$A:$C,3,0)</f>
        <v>81.825139611169291</v>
      </c>
      <c r="R54" s="1">
        <f>Q54/VLOOKUP(A54,'[224]geoMap (16)'!$A:$B,2,0)*VLOOKUP(A54,'[224]geoMap (16)'!$A:$C,3,0)</f>
        <v>21.750986478918417</v>
      </c>
      <c r="S54" s="1">
        <f>R54/VLOOKUP(A54,'[225]geoMap (17)'!$A:$B,2,0)*VLOOKUP(A54,'[225]geoMap (17)'!$A:$C,3,0)</f>
        <v>61.906653824613954</v>
      </c>
      <c r="T54" s="1">
        <f>S54/VLOOKUP(A54,'[226]geoMap (18)'!$A:$B,2,0)*VLOOKUP(A54,'[226]geoMap (18)'!$A:$C,3,0)</f>
        <v>19.549469628825459</v>
      </c>
      <c r="U54" s="1">
        <f>T54/VLOOKUP(A54,'[227]geoMap (19)'!$A:$B,2,0)*VLOOKUP(A54,'[227]geoMap (19)'!$A:$C,3,0)</f>
        <v>14.156512489839125</v>
      </c>
      <c r="V54" s="1">
        <f>U54/VLOOKUP(A54,'[228]geoMap (20)'!$A:$B,2,0)*VLOOKUP(A54,'[228]geoMap (20)'!$A:$C,3,0)</f>
        <v>33.031862476291288</v>
      </c>
      <c r="W54" s="1">
        <f>V54/VLOOKUP(A54,'[229]geoMap (21)'!$A:$B,2,0)*VLOOKUP(A54,'[229]geoMap (21)'!$A:$C,3,0)</f>
        <v>15.544405871195901</v>
      </c>
      <c r="X54" s="1">
        <f>W54/VLOOKUP(A54,'[230]geoMap (22)'!$A:$B,2,0)*VLOOKUP(A54,'[230]geoMap (22)'!$A:$C,3,0)</f>
        <v>26.46750188879302</v>
      </c>
      <c r="Y54" s="1">
        <f>X54/VLOOKUP(A54,'[231]geoMap (23)'!$A:$B,2,0)*VLOOKUP(A54,'[231]geoMap (23)'!$A:$C,3,0)</f>
        <v>21.655228818103378</v>
      </c>
      <c r="Z54" s="1">
        <f>Y54/VLOOKUP(A54,'[232]geoMap (24)'!$A:$B,2,0)*VLOOKUP(A54,'[232]geoMap (24)'!$A:$C,3,0)</f>
        <v>24.419726114031473</v>
      </c>
      <c r="AA54" s="1">
        <f>Z54/VLOOKUP(A54,'[233]geoMap (25)'!$A:$B,2,0)*VLOOKUP(A54,'[233]geoMap (25)'!$A:$C,3,0)</f>
        <v>13.149083292170792</v>
      </c>
    </row>
    <row r="55" spans="1:27" x14ac:dyDescent="0.2">
      <c r="A55" s="1" t="s">
        <v>150</v>
      </c>
      <c r="B55" s="1">
        <f>Notes!$C$6*VLOOKUP(A55,[208]geoMap!$A:$B,2,0)</f>
        <v>3000</v>
      </c>
      <c r="C55" s="1">
        <f>B55/VLOOKUP(A55,'[209]geoMap (1)'!$A:$B,2,0)*VLOOKUP(A55,'[209]geoMap (1)'!$A:$C,3,0)</f>
        <v>846.15384615384619</v>
      </c>
      <c r="D55" s="1">
        <f>C55/VLOOKUP(A55,'[210]geoMap (2)'!$A:$B,2,0)*VLOOKUP(A55,'[210]geoMap (2)'!$A:$C,3,0)</f>
        <v>1798.0769230769233</v>
      </c>
      <c r="E55" s="1">
        <f>D55/VLOOKUP(A55,'[211]geoMap (3)'!$A:$B,2,0)*VLOOKUP(A55,'[211]geoMap (3)'!$A:$C,3,0)</f>
        <v>2383.4973166368518</v>
      </c>
      <c r="F55" s="1">
        <f>E55/VLOOKUP(A55,'[212]geoMap (4)'!$A:$B,2,0)*VLOOKUP(A55,'[212]geoMap (4)'!$A:$C,3,0)</f>
        <v>2582.1220930232566</v>
      </c>
      <c r="G55" s="1">
        <f>F55/VLOOKUP(A55,'[213]geoMap (5)'!$A:$B,2,0)*VLOOKUP(A55,'[213]geoMap (5)'!$A:$C,3,0)</f>
        <v>1160.0838388945067</v>
      </c>
      <c r="H55" s="1">
        <f>G55/VLOOKUP(A55,'[214]geoMap (6)'!$A:$B,2,0)*VLOOKUP(A55,'[214]geoMap (6)'!$A:$C,3,0)</f>
        <v>1160.0838388945067</v>
      </c>
      <c r="I55" s="1">
        <f>H55/VLOOKUP(A55,'[215]geoMap (7)'!$A:$B,2,0)*VLOOKUP(A55,'[215]geoMap (7)'!$A:$C,3,0)</f>
        <v>188.8508574944546</v>
      </c>
      <c r="J55" s="1">
        <f>I55/VLOOKUP(A55,'[216]geoMap (8)'!$A:$B,2,0)*VLOOKUP(A55,'[216]geoMap (8)'!$A:$C,3,0)</f>
        <v>598.02771539910623</v>
      </c>
      <c r="K55" s="1">
        <f>J55/VLOOKUP(A55,'[217]geoMap (9)'!$A:$B,2,0)*VLOOKUP(A55,'[217]geoMap (9)'!$A:$C,3,0)</f>
        <v>825.84779745590856</v>
      </c>
      <c r="L55" s="1">
        <f>K55/VLOOKUP(A55,'[218]geoMap (10)'!$A:$B,2,0)*VLOOKUP(A55,'[218]geoMap (10)'!$A:$C,3,0)</f>
        <v>290.16273964667056</v>
      </c>
      <c r="M55" s="1">
        <f>L55/VLOOKUP(A55,'[219]geoMap (11)'!$A:$B,2,0)*VLOOKUP(A55,'[219]geoMap (11)'!$A:$C,3,0)</f>
        <v>302.00611677510614</v>
      </c>
      <c r="N55" s="1">
        <f>M55/VLOOKUP(A55,'[220]geoMap (12)'!$A:$B,2,0)*VLOOKUP(A55,'[220]geoMap (12)'!$A:$C,3,0)</f>
        <v>111.70089250586119</v>
      </c>
      <c r="O55" s="1">
        <f>N55/VLOOKUP(A55,'[221]geoMap (13)'!$A:$B,2,0)*VLOOKUP(A55,'[221]geoMap (13)'!$A:$C,3,0)</f>
        <v>207.4445146537422</v>
      </c>
      <c r="P55" s="1">
        <f>O55/VLOOKUP(A55,'[222]geoMap (14)'!$A:$B,2,0)*VLOOKUP(A55,'[222]geoMap (14)'!$A:$C,3,0)</f>
        <v>207.4445146537422</v>
      </c>
      <c r="Q55" s="1">
        <f>P55/VLOOKUP(A55,'[223]geoMap (15)'!$A:$B,2,0)*VLOOKUP(A55,'[223]geoMap (15)'!$A:$C,3,0)</f>
        <v>138.2963431024948</v>
      </c>
      <c r="R55" s="1">
        <f>Q55/VLOOKUP(A55,'[224]geoMap (16)'!$A:$B,2,0)*VLOOKUP(A55,'[224]geoMap (16)'!$A:$C,3,0)</f>
        <v>30.357733851767154</v>
      </c>
      <c r="S55" s="1">
        <f>R55/VLOOKUP(A55,'[225]geoMap (17)'!$A:$B,2,0)*VLOOKUP(A55,'[225]geoMap (17)'!$A:$C,3,0)</f>
        <v>70.834712320790018</v>
      </c>
      <c r="T55" s="1">
        <f>S55/VLOOKUP(A55,'[226]geoMap (18)'!$A:$B,2,0)*VLOOKUP(A55,'[226]geoMap (18)'!$A:$C,3,0)</f>
        <v>24.887871896493792</v>
      </c>
      <c r="U55" s="1">
        <f>T55/VLOOKUP(A55,'[227]geoMap (19)'!$A:$B,2,0)*VLOOKUP(A55,'[227]geoMap (19)'!$A:$C,3,0)</f>
        <v>37.331807844740688</v>
      </c>
      <c r="V55" s="1">
        <f>U55/VLOOKUP(A55,'[228]geoMap (20)'!$A:$B,2,0)*VLOOKUP(A55,'[228]geoMap (20)'!$A:$C,3,0)</f>
        <v>21.925030004054054</v>
      </c>
      <c r="W55" s="1">
        <f>V55/VLOOKUP(A55,'[229]geoMap (21)'!$A:$B,2,0)*VLOOKUP(A55,'[229]geoMap (21)'!$A:$C,3,0)</f>
        <v>14.017642133739477</v>
      </c>
      <c r="X55" s="1">
        <f>W55/VLOOKUP(A55,'[230]geoMap (22)'!$A:$B,2,0)*VLOOKUP(A55,'[230]geoMap (22)'!$A:$C,3,0)</f>
        <v>21.026463200609214</v>
      </c>
      <c r="Y55" s="1">
        <f>X55/VLOOKUP(A55,'[231]geoMap (23)'!$A:$B,2,0)*VLOOKUP(A55,'[231]geoMap (23)'!$A:$C,3,0)</f>
        <v>23.710692545367841</v>
      </c>
      <c r="Z55" s="1">
        <f>Y55/VLOOKUP(A55,'[232]geoMap (24)'!$A:$B,2,0)*VLOOKUP(A55,'[232]geoMap (24)'!$A:$C,3,0)</f>
        <v>11.157972962526042</v>
      </c>
      <c r="AA55" s="1">
        <f>Z55/VLOOKUP(A55,'[233]geoMap (25)'!$A:$B,2,0)*VLOOKUP(A55,'[233]geoMap (25)'!$A:$C,3,0)</f>
        <v>8.7669787562704613</v>
      </c>
    </row>
    <row r="56" spans="1:27" x14ac:dyDescent="0.2">
      <c r="A56" s="1" t="s">
        <v>153</v>
      </c>
      <c r="B56" s="1">
        <f>Notes!$C$6*VLOOKUP(A56,[208]geoMap!$A:$B,2,0)</f>
        <v>6000</v>
      </c>
      <c r="C56" s="1">
        <f>B56/VLOOKUP(A56,'[209]geoMap (1)'!$A:$B,2,0)*VLOOKUP(A56,'[209]geoMap (1)'!$A:$C,3,0)</f>
        <v>1142.8571428571429</v>
      </c>
      <c r="D56" s="1">
        <f>C56/VLOOKUP(A56,'[210]geoMap (2)'!$A:$B,2,0)*VLOOKUP(A56,'[210]geoMap (2)'!$A:$C,3,0)</f>
        <v>1714.285714285714</v>
      </c>
      <c r="E56" s="1">
        <f>D56/VLOOKUP(A56,'[211]geoMap (3)'!$A:$B,2,0)*VLOOKUP(A56,'[211]geoMap (3)'!$A:$C,3,0)</f>
        <v>2681.3186813186808</v>
      </c>
      <c r="F56" s="1">
        <f>E56/VLOOKUP(A56,'[212]geoMap (4)'!$A:$B,2,0)*VLOOKUP(A56,'[212]geoMap (4)'!$A:$C,3,0)</f>
        <v>1941.6445623342172</v>
      </c>
      <c r="G56" s="1">
        <f>F56/VLOOKUP(A56,'[213]geoMap (5)'!$A:$B,2,0)*VLOOKUP(A56,'[213]geoMap (5)'!$A:$C,3,0)</f>
        <v>1241.3793103448274</v>
      </c>
      <c r="H56" s="1">
        <f>G56/VLOOKUP(A56,'[214]geoMap (6)'!$A:$B,2,0)*VLOOKUP(A56,'[214]geoMap (6)'!$A:$C,3,0)</f>
        <v>2305.4187192118225</v>
      </c>
      <c r="I56" s="1">
        <f>H56/VLOOKUP(A56,'[215]geoMap (7)'!$A:$B,2,0)*VLOOKUP(A56,'[215]geoMap (7)'!$A:$C,3,0)</f>
        <v>71.301609872530591</v>
      </c>
      <c r="J56" s="1">
        <f>I56/VLOOKUP(A56,'[216]geoMap (8)'!$A:$B,2,0)*VLOOKUP(A56,'[216]geoMap (8)'!$A:$C,3,0)</f>
        <v>324.81844497486156</v>
      </c>
      <c r="K56" s="1">
        <f>J56/VLOOKUP(A56,'[217]geoMap (9)'!$A:$B,2,0)*VLOOKUP(A56,'[217]geoMap (9)'!$A:$C,3,0)</f>
        <v>413.40529360436932</v>
      </c>
      <c r="L56" s="1">
        <f>K56/VLOOKUP(A56,'[218]geoMap (10)'!$A:$B,2,0)*VLOOKUP(A56,'[218]geoMap (10)'!$A:$C,3,0)</f>
        <v>84.673373388846741</v>
      </c>
      <c r="M56" s="1">
        <f>L56/VLOOKUP(A56,'[219]geoMap (11)'!$A:$B,2,0)*VLOOKUP(A56,'[219]geoMap (11)'!$A:$C,3,0)</f>
        <v>360.97596023666244</v>
      </c>
      <c r="N56" s="1">
        <f>M56/VLOOKUP(A56,'[220]geoMap (12)'!$A:$B,2,0)*VLOOKUP(A56,'[220]geoMap (12)'!$A:$C,3,0)</f>
        <v>95.955634999619122</v>
      </c>
      <c r="O56" s="1">
        <f>N56/VLOOKUP(A56,'[221]geoMap (13)'!$A:$B,2,0)*VLOOKUP(A56,'[221]geoMap (13)'!$A:$C,3,0)</f>
        <v>143.93345249942868</v>
      </c>
      <c r="P56" s="1">
        <f>O56/VLOOKUP(A56,'[222]geoMap (14)'!$A:$B,2,0)*VLOOKUP(A56,'[222]geoMap (14)'!$A:$C,3,0)</f>
        <v>33.762167870236354</v>
      </c>
      <c r="Q56" s="1">
        <f>P56/VLOOKUP(A56,'[223]geoMap (15)'!$A:$B,2,0)*VLOOKUP(A56,'[223]geoMap (15)'!$A:$C,3,0)</f>
        <v>225.94681574696637</v>
      </c>
      <c r="R56" s="1">
        <f>Q56/VLOOKUP(A56,'[224]geoMap (16)'!$A:$B,2,0)*VLOOKUP(A56,'[224]geoMap (16)'!$A:$C,3,0)</f>
        <v>43.03748871370788</v>
      </c>
      <c r="S56" s="1">
        <f>R56/VLOOKUP(A56,'[225]geoMap (17)'!$A:$B,2,0)*VLOOKUP(A56,'[225]geoMap (17)'!$A:$C,3,0)</f>
        <v>129.11246614112363</v>
      </c>
      <c r="T56" s="1">
        <f>S56/VLOOKUP(A56,'[226]geoMap (18)'!$A:$B,2,0)*VLOOKUP(A56,'[226]geoMap (18)'!$A:$C,3,0)</f>
        <v>19.292667354420775</v>
      </c>
      <c r="U56" s="1">
        <f>T56/VLOOKUP(A56,'[227]geoMap (19)'!$A:$B,2,0)*VLOOKUP(A56,'[227]geoMap (19)'!$A:$C,3,0)</f>
        <v>32.849676846716456</v>
      </c>
      <c r="V56" s="1">
        <f>U56/VLOOKUP(A56,'[228]geoMap (20)'!$A:$B,2,0)*VLOOKUP(A56,'[228]geoMap (20)'!$A:$C,3,0)</f>
        <v>3.6499640940796065</v>
      </c>
      <c r="W56" s="1">
        <f>V56/VLOOKUP(A56,'[229]geoMap (21)'!$A:$B,2,0)*VLOOKUP(A56,'[229]geoMap (21)'!$A:$C,3,0)</f>
        <v>6.7785047461478412</v>
      </c>
      <c r="X56" s="1">
        <f>W56/VLOOKUP(A56,'[230]geoMap (22)'!$A:$B,2,0)*VLOOKUP(A56,'[230]geoMap (22)'!$A:$C,3,0)</f>
        <v>11.05966563845174</v>
      </c>
      <c r="Y56" s="1">
        <f>X56/VLOOKUP(A56,'[231]geoMap (23)'!$A:$B,2,0)*VLOOKUP(A56,'[231]geoMap (23)'!$A:$C,3,0)</f>
        <v>14.075938085302218</v>
      </c>
      <c r="Z56" s="1">
        <f>Y56/VLOOKUP(A56,'[232]geoMap (24)'!$A:$B,2,0)*VLOOKUP(A56,'[232]geoMap (24)'!$A:$C,3,0)</f>
        <v>29.91136843126721</v>
      </c>
      <c r="AA56" s="1">
        <f>Z56/VLOOKUP(A56,'[233]geoMap (25)'!$A:$B,2,0)*VLOOKUP(A56,'[233]geoMap (25)'!$A:$C,3,0)</f>
        <v>9.4456952940843824</v>
      </c>
    </row>
    <row r="57" spans="1:27" x14ac:dyDescent="0.2">
      <c r="A57" s="1" t="s">
        <v>129</v>
      </c>
      <c r="B57" s="1">
        <f>Notes!$C$6*VLOOKUP(A57,[208]geoMap!$A:$B,2,0)</f>
        <v>4000</v>
      </c>
      <c r="C57" s="1">
        <f>B57/VLOOKUP(A57,'[209]geoMap (1)'!$A:$B,2,0)*VLOOKUP(A57,'[209]geoMap (1)'!$A:$C,3,0)</f>
        <v>938.27160493827159</v>
      </c>
      <c r="D57" s="1">
        <f>C57/VLOOKUP(A57,'[210]geoMap (2)'!$A:$B,2,0)*VLOOKUP(A57,'[210]geoMap (2)'!$A:$C,3,0)</f>
        <v>1821.350762527233</v>
      </c>
      <c r="E57" s="1">
        <f>D57/VLOOKUP(A57,'[211]geoMap (3)'!$A:$B,2,0)*VLOOKUP(A57,'[211]geoMap (3)'!$A:$C,3,0)</f>
        <v>1374.0014524328249</v>
      </c>
      <c r="F57" s="1">
        <f>E57/VLOOKUP(A57,'[212]geoMap (4)'!$A:$B,2,0)*VLOOKUP(A57,'[212]geoMap (4)'!$A:$C,3,0)</f>
        <v>1897.430577169139</v>
      </c>
      <c r="G57" s="1">
        <f>F57/VLOOKUP(A57,'[213]geoMap (5)'!$A:$B,2,0)*VLOOKUP(A57,'[213]geoMap (5)'!$A:$C,3,0)</f>
        <v>1374.0014524328249</v>
      </c>
      <c r="H57" s="1">
        <f>G57/VLOOKUP(A57,'[214]geoMap (6)'!$A:$B,2,0)*VLOOKUP(A57,'[214]geoMap (6)'!$A:$C,3,0)</f>
        <v>1268.3090330149153</v>
      </c>
      <c r="I57" s="1">
        <f>H57/VLOOKUP(A57,'[215]geoMap (7)'!$A:$B,2,0)*VLOOKUP(A57,'[215]geoMap (7)'!$A:$C,3,0)</f>
        <v>172.95123177476117</v>
      </c>
      <c r="J57" s="1">
        <f>I57/VLOOKUP(A57,'[216]geoMap (8)'!$A:$B,2,0)*VLOOKUP(A57,'[216]geoMap (8)'!$A:$C,3,0)</f>
        <v>1748.7291212781408</v>
      </c>
      <c r="K57" s="1">
        <f>J57/VLOOKUP(A57,'[217]geoMap (9)'!$A:$B,2,0)*VLOOKUP(A57,'[217]geoMap (9)'!$A:$C,3,0)</f>
        <v>522.34765960256152</v>
      </c>
      <c r="L57" s="1">
        <f>K57/VLOOKUP(A57,'[218]geoMap (10)'!$A:$B,2,0)*VLOOKUP(A57,'[218]geoMap (10)'!$A:$C,3,0)</f>
        <v>213.35326941513077</v>
      </c>
      <c r="M57" s="1">
        <f>L57/VLOOKUP(A57,'[219]geoMap (11)'!$A:$B,2,0)*VLOOKUP(A57,'[219]geoMap (11)'!$A:$C,3,0)</f>
        <v>174.56176588510698</v>
      </c>
      <c r="N57" s="1">
        <f>L57/64*36</f>
        <v>120.01121404601106</v>
      </c>
      <c r="O57" s="1">
        <f>N57/VLOOKUP(A57,'[221]geoMap (13)'!$A:$B,2,0)*VLOOKUP(A57,'[221]geoMap (13)'!$A:$C,3,0)</f>
        <v>165.72977177782482</v>
      </c>
      <c r="P57" s="1">
        <f>O57/VLOOKUP(A57,'[222]geoMap (14)'!$A:$B,2,0)*VLOOKUP(A57,'[222]geoMap (14)'!$A:$C,3,0)</f>
        <v>194.55234078266392</v>
      </c>
      <c r="Q57" s="1">
        <f>P57/VLOOKUP(A57,'[223]geoMap (15)'!$A:$B,2,0)*VLOOKUP(A57,'[223]geoMap (15)'!$A:$C,3,0)</f>
        <v>83.379574621141671</v>
      </c>
      <c r="R57" s="1">
        <f>Q57/40*7</f>
        <v>14.591425558699791</v>
      </c>
      <c r="S57" s="1">
        <f>Q57/VLOOKUP(A57,'[234]geoMap (30)'!$A:$B,2,0)*VLOOKUP(A57,'[234]geoMap (30)'!$A:$C,3,0)</f>
        <v>97.880370207427191</v>
      </c>
      <c r="T57" s="1">
        <f>S57/VLOOKUP(A57,'[226]geoMap (18)'!$A:$B,2,0)*VLOOKUP(A57,'[226]geoMap (18)'!$A:$C,3,0)</f>
        <v>27.607283904658949</v>
      </c>
      <c r="U57" s="1">
        <f>T57/45*14</f>
        <v>8.5889327703383405</v>
      </c>
      <c r="V57" s="1">
        <f>T57/72*28</f>
        <v>10.736165962922925</v>
      </c>
      <c r="W57" s="1">
        <f>V57/15*4</f>
        <v>2.8629775901127799</v>
      </c>
      <c r="X57" s="1">
        <f>V57/VLOOKUP(A57,'[242]geoMap (33)'!$A:$B,2,0)*VLOOKUP(A57,'[242]geoMap (33)'!$A:$C,3,0)</f>
        <v>0</v>
      </c>
      <c r="Y57" s="1">
        <f>V57/49*51</f>
        <v>11.174376818552432</v>
      </c>
      <c r="Z57" s="1">
        <f>Y57/21*8</f>
        <v>4.2569054546866409</v>
      </c>
      <c r="AA57" s="1">
        <f>Y57/22*14</f>
        <v>7.110967066351547</v>
      </c>
    </row>
    <row r="58" spans="1:27" x14ac:dyDescent="0.2">
      <c r="A58" s="1" t="s">
        <v>144</v>
      </c>
      <c r="B58" s="1">
        <f>Notes!$C$6*VLOOKUP(A58,[208]geoMap!$A:$B,2,0)</f>
        <v>5000</v>
      </c>
      <c r="C58" s="1">
        <f>B58/VLOOKUP(A58,'[209]geoMap (1)'!$A:$B,2,0)*VLOOKUP(A58,'[209]geoMap (1)'!$A:$C,3,0)</f>
        <v>882.35294117647061</v>
      </c>
      <c r="D58" s="1">
        <f>C58/VLOOKUP(A58,'[210]geoMap (2)'!$A:$B,2,0)*VLOOKUP(A58,'[210]geoMap (2)'!$A:$C,3,0)</f>
        <v>1712.8027681660899</v>
      </c>
      <c r="E58" s="1">
        <f>D58/VLOOKUP(A58,'[211]geoMap (3)'!$A:$B,2,0)*VLOOKUP(A58,'[211]geoMap (3)'!$A:$C,3,0)</f>
        <v>1645.6340321595765</v>
      </c>
      <c r="F58" s="1">
        <f>E58/VLOOKUP(A58,'[212]geoMap (4)'!$A:$B,2,0)*VLOOKUP(A58,'[212]geoMap (4)'!$A:$C,3,0)</f>
        <v>1459.3358398396242</v>
      </c>
      <c r="G58" s="1">
        <f>F58/VLOOKUP(A58,'[213]geoMap (5)'!$A:$B,2,0)*VLOOKUP(A58,'[213]geoMap (5)'!$A:$C,3,0)</f>
        <v>820.87640990978855</v>
      </c>
      <c r="H58" s="1">
        <f>G58/VLOOKUP(A58,'[214]geoMap (6)'!$A:$B,2,0)*VLOOKUP(A58,'[214]geoMap (6)'!$A:$C,3,0)</f>
        <v>619.25764256352477</v>
      </c>
      <c r="I58" s="1">
        <f>H58/VLOOKUP(A58,'[215]geoMap (7)'!$A:$B,2,0)*VLOOKUP(A58,'[215]geoMap (7)'!$A:$C,3,0)</f>
        <v>174.66241200509674</v>
      </c>
      <c r="J58" s="1">
        <f>I58/VLOOKUP(A58,'[216]geoMap (8)'!$A:$B,2,0)*VLOOKUP(A58,'[216]geoMap (8)'!$A:$C,3,0)</f>
        <v>744.61344065330718</v>
      </c>
      <c r="K58" s="1">
        <f>J58/VLOOKUP(A58,'[217]geoMap (9)'!$A:$B,2,0)*VLOOKUP(A58,'[217]geoMap (9)'!$A:$C,3,0)</f>
        <v>715.41291356886381</v>
      </c>
      <c r="L58" s="1">
        <f>K58/VLOOKUP(A58,'[218]geoMap (10)'!$A:$B,2,0)*VLOOKUP(A58,'[218]geoMap (10)'!$A:$C,3,0)</f>
        <v>157.04185907609207</v>
      </c>
      <c r="M58" s="1">
        <f>L58/VLOOKUP(A58,'[219]geoMap (11)'!$A:$B,2,0)*VLOOKUP(A58,'[219]geoMap (11)'!$A:$C,3,0)</f>
        <v>104.69457271739473</v>
      </c>
      <c r="N58" s="1">
        <f>M58/VLOOKUP(A58,'[220]geoMap (12)'!$A:$B,2,0)*VLOOKUP(A58,'[220]geoMap (12)'!$A:$C,3,0)</f>
        <v>144.57821946687844</v>
      </c>
      <c r="O58" s="1">
        <f>N58/VLOOKUP(A58,'[221]geoMap (13)'!$A:$B,2,0)*VLOOKUP(A58,'[221]geoMap (13)'!$A:$C,3,0)</f>
        <v>235.8907791301701</v>
      </c>
      <c r="P58" s="1">
        <f>O58/VLOOKUP(A58,'[222]geoMap (14)'!$A:$B,2,0)*VLOOKUP(A58,'[222]geoMap (14)'!$A:$C,3,0)</f>
        <v>368.95737248565064</v>
      </c>
      <c r="Q58" s="1">
        <f>P58/VLOOKUP(A58,'[223]geoMap (15)'!$A:$B,2,0)*VLOOKUP(A58,'[223]geoMap (15)'!$A:$C,3,0)</f>
        <v>55.13156140590182</v>
      </c>
      <c r="R58" s="1">
        <f>Q58/VLOOKUP(A58,'[224]geoMap (16)'!$A:$B,2,0)*VLOOKUP(A58,'[224]geoMap (16)'!$A:$C,3,0)</f>
        <v>12.102050064710156</v>
      </c>
      <c r="S58" s="1">
        <f>R58/VLOOKUP(A58,'[225]geoMap (17)'!$A:$B,2,0)*VLOOKUP(A58,'[225]geoMap (17)'!$A:$C,3,0)</f>
        <v>34.444296338021211</v>
      </c>
      <c r="T58" s="1">
        <f>S58/VLOOKUP(A58,'[226]geoMap (18)'!$A:$B,2,0)*VLOOKUP(A58,'[226]geoMap (18)'!$A:$C,3,0)</f>
        <v>22.021763232505364</v>
      </c>
      <c r="U58" s="1">
        <f>T58/VLOOKUP(A58,'[227]geoMap (19)'!$A:$B,2,0)*VLOOKUP(A58,'[227]geoMap (19)'!$A:$C,3,0)</f>
        <v>11.857872509810578</v>
      </c>
      <c r="V58" s="1">
        <f>U58/VLOOKUP(A58,'[228]geoMap (20)'!$A:$B,2,0)*VLOOKUP(A58,'[228]geoMap (20)'!$A:$C,3,0)</f>
        <v>62.25383067650553</v>
      </c>
      <c r="W58" s="1">
        <f>V58/VLOOKUP(A58,'[229]geoMap (21)'!$A:$B,2,0)*VLOOKUP(A58,'[229]geoMap (21)'!$A:$C,3,0)</f>
        <v>8.4891587286143899</v>
      </c>
      <c r="X58" s="1">
        <f>W58/VLOOKUP(A58,'[230]geoMap (22)'!$A:$B,2,0)*VLOOKUP(A58,'[230]geoMap (22)'!$A:$C,3,0)</f>
        <v>8.8356550032517109</v>
      </c>
      <c r="Y58" s="1">
        <f>X58/VLOOKUP(A58,'[231]geoMap (23)'!$A:$B,2,0)*VLOOKUP(A58,'[231]geoMap (23)'!$A:$C,3,0)</f>
        <v>11.712379888031336</v>
      </c>
      <c r="Z58" s="1">
        <f>Y58/VLOOKUP(A58,'[232]geoMap (24)'!$A:$B,2,0)*VLOOKUP(A58,'[232]geoMap (24)'!$A:$C,3,0)</f>
        <v>6.5882136870176256</v>
      </c>
      <c r="AA58" s="1">
        <f>Z58/VLOOKUP(A58,'[233]geoMap (25)'!$A:$B,2,0)*VLOOKUP(A58,'[233]geoMap (25)'!$A:$C,3,0)</f>
        <v>4.5782501892834349</v>
      </c>
    </row>
    <row r="59" spans="1:27" x14ac:dyDescent="0.2">
      <c r="A59" s="1" t="s">
        <v>134</v>
      </c>
      <c r="B59" s="1">
        <f>Notes!$C$6*VLOOKUP(A59,[208]geoMap!$A:$B,2,0)</f>
        <v>4000</v>
      </c>
      <c r="C59" s="1">
        <f>B59/VLOOKUP(A59,'[209]geoMap (1)'!$A:$B,2,0)*VLOOKUP(A59,'[209]geoMap (1)'!$A:$C,3,0)</f>
        <v>651.1627906976745</v>
      </c>
      <c r="D59" s="1">
        <f>B59/79*17</f>
        <v>860.75949367088606</v>
      </c>
      <c r="E59" s="1">
        <f>B59/79*25</f>
        <v>1265.8227848101267</v>
      </c>
      <c r="F59" s="1">
        <f>E59/VLOOKUP(A59,'[212]geoMap (4)'!$A:$B,2,0)*VLOOKUP(A59,'[212]geoMap (4)'!$A:$C,3,0)</f>
        <v>1485.9658778205835</v>
      </c>
      <c r="G59" s="1">
        <f>B59/79*10</f>
        <v>506.3291139240506</v>
      </c>
      <c r="H59" s="1">
        <f>E59/62*38</f>
        <v>775.82686810943244</v>
      </c>
      <c r="I59" s="1">
        <f>H59/52*4</f>
        <v>59.678989854571725</v>
      </c>
      <c r="J59" s="1">
        <f>H59/VLOOKUP(A59,'[239]geoMap (26)'!$A:$B,2,0)*VLOOKUP(A59,'[239]geoMap (26)'!$A:$C,3,0)</f>
        <v>348.55989726655662</v>
      </c>
      <c r="K59" s="1">
        <f>J59/VLOOKUP(A59,'[217]geoMap (9)'!$A:$B,2,0)*VLOOKUP(A59,'[217]geoMap (9)'!$A:$C,3,0)</f>
        <v>377.606555372103</v>
      </c>
      <c r="L59" s="1">
        <f>K59/VLOOKUP(A59,'[218]geoMap (10)'!$A:$B,2,0)*VLOOKUP(A59,'[218]geoMap (10)'!$A:$C,3,0)</f>
        <v>100.37642611157167</v>
      </c>
      <c r="M59" s="1">
        <f>L59/50*31</f>
        <v>62.233384189174437</v>
      </c>
      <c r="N59" s="1">
        <f>M59/37*34</f>
        <v>57.187434119781912</v>
      </c>
      <c r="O59" s="1">
        <f>H59/VLOOKUP(A59,'[237]geoMap (27)'!$A:$B,2,0)*VLOOKUP(A59,'[237]geoMap (27)'!$A:$C,3,0)</f>
        <v>126.29739713409367</v>
      </c>
      <c r="P59" s="1">
        <f>O59/VLOOKUP(A59,'[222]geoMap (14)'!$A:$B,2,0)*VLOOKUP(A59,'[222]geoMap (14)'!$A:$C,3,0)</f>
        <v>54.127455914611573</v>
      </c>
      <c r="Q59" s="1">
        <f>P59/VLOOKUP(A59,'[223]geoMap (15)'!$A:$B,2,0)*VLOOKUP(A59,'[223]geoMap (15)'!$A:$C,3,0)</f>
        <v>96.226588292642816</v>
      </c>
      <c r="R59" s="1">
        <f>O59/VLOOKUP(A59,'[241]geoMap (29)'!$A:$B,2,0)*VLOOKUP(A59,'[241]geoMap (29)'!$A:$C,3,0)</f>
        <v>15.609790657022813</v>
      </c>
      <c r="S59" s="1">
        <f>Q59/55*18</f>
        <v>31.492337986683104</v>
      </c>
      <c r="T59" s="1">
        <f>S59/35*26</f>
        <v>23.394308218678876</v>
      </c>
      <c r="U59" s="1">
        <f>T59/26*20</f>
        <v>17.995621706676058</v>
      </c>
      <c r="V59" s="1">
        <f>U59/22*7</f>
        <v>5.7258796339423821</v>
      </c>
      <c r="W59" s="1">
        <f>V59/8*0</f>
        <v>0</v>
      </c>
      <c r="X59" s="1">
        <f>V59/15*0</f>
        <v>0</v>
      </c>
      <c r="Y59" s="1">
        <f>V59/5*17</f>
        <v>19.467990755404099</v>
      </c>
      <c r="Z59" s="1">
        <f>Y59/VLOOKUP(A59,'[232]geoMap (24)'!$A:$B,2,0)*VLOOKUP(A59,'[232]geoMap (24)'!$A:$C,3,0)</f>
        <v>47.663011849437623</v>
      </c>
      <c r="AA59" s="1">
        <f>Z59/VLOOKUP(A59,'[233]geoMap (25)'!$A:$B,2,0)*VLOOKUP(A59,'[233]geoMap (25)'!$A:$C,3,0)</f>
        <v>65.820349696842428</v>
      </c>
    </row>
    <row r="60" spans="1:27" x14ac:dyDescent="0.2">
      <c r="A60" s="1" t="s">
        <v>151</v>
      </c>
      <c r="B60" s="1">
        <f>Notes!$C$6*VLOOKUP(A60,[208]geoMap!$A:$B,2,0)</f>
        <v>7000</v>
      </c>
      <c r="C60" s="1">
        <f>B60/VLOOKUP(A60,'[209]geoMap (1)'!$A:$B,2,0)*VLOOKUP(A60,'[209]geoMap (1)'!$A:$C,3,0)</f>
        <v>608.695652173913</v>
      </c>
      <c r="D60" s="1">
        <f>C60/VLOOKUP(A60,'[210]geoMap (2)'!$A:$B,2,0)*VLOOKUP(A60,'[210]geoMap (2)'!$A:$C,3,0)</f>
        <v>1354.8387096774193</v>
      </c>
      <c r="E60" s="1">
        <f>D60/VLOOKUP(A60,'[211]geoMap (3)'!$A:$B,2,0)*VLOOKUP(A60,'[211]geoMap (3)'!$A:$C,3,0)</f>
        <v>1301.707779886148</v>
      </c>
      <c r="F60" s="1">
        <f>E60/VLOOKUP(A60,'[212]geoMap (4)'!$A:$B,2,0)*VLOOKUP(A60,'[212]geoMap (4)'!$A:$C,3,0)</f>
        <v>3037.3181530676784</v>
      </c>
      <c r="G60" s="1">
        <f>F60/VLOOKUP(A60,'[213]geoMap (5)'!$A:$B,2,0)*VLOOKUP(A60,'[213]geoMap (5)'!$A:$C,3,0)</f>
        <v>666.7283750636368</v>
      </c>
      <c r="H60" s="1">
        <f>G60/VLOOKUP(A60,'[214]geoMap (6)'!$A:$B,2,0)*VLOOKUP(A60,'[214]geoMap (6)'!$A:$C,3,0)</f>
        <v>959.43839338425789</v>
      </c>
      <c r="I60" s="1">
        <f>H60/VLOOKUP(A60,'[215]geoMap (7)'!$A:$B,2,0)*VLOOKUP(A60,'[215]geoMap (7)'!$A:$C,3,0)</f>
        <v>130.83250818876243</v>
      </c>
      <c r="J60" s="1">
        <f>I60/VLOOKUP(A60,'[216]geoMap (8)'!$A:$B,2,0)*VLOOKUP(A60,'[216]geoMap (8)'!$A:$C,3,0)</f>
        <v>523.33003275504973</v>
      </c>
      <c r="K60" s="1">
        <f>J60/VLOOKUP(A60,'[217]geoMap (9)'!$A:$B,2,0)*VLOOKUP(A60,'[217]geoMap (9)'!$A:$C,3,0)</f>
        <v>1345.7057985129848</v>
      </c>
      <c r="L60" s="1">
        <f>K60/VLOOKUP(A60,'[218]geoMap (10)'!$A:$B,2,0)*VLOOKUP(A60,'[218]geoMap (10)'!$A:$C,3,0)</f>
        <v>41.619766964319112</v>
      </c>
      <c r="M60" s="1">
        <f>L60/VLOOKUP(A60,'[219]geoMap (11)'!$A:$B,2,0)*VLOOKUP(A60,'[219]geoMap (11)'!$A:$C,3,0)</f>
        <v>131.79592872034385</v>
      </c>
      <c r="N60" s="1">
        <f>M60/VLOOKUP(A60,'[220]geoMap (12)'!$A:$B,2,0)*VLOOKUP(A60,'[220]geoMap (12)'!$A:$C,3,0)</f>
        <v>59.212663627980575</v>
      </c>
      <c r="O60" s="1">
        <f>N60/VLOOKUP(A60,'[221]geoMap (13)'!$A:$B,2,0)*VLOOKUP(A60,'[221]geoMap (13)'!$A:$C,3,0)</f>
        <v>187.50676815527183</v>
      </c>
      <c r="P60" s="1">
        <f>O60/VLOOKUP(A60,'[222]geoMap (14)'!$A:$B,2,0)*VLOOKUP(A60,'[222]geoMap (14)'!$A:$C,3,0)</f>
        <v>69.351818358799179</v>
      </c>
      <c r="Q60" s="1">
        <f>P60/VLOOKUP(A60,'[223]geoMap (15)'!$A:$B,2,0)*VLOOKUP(A60,'[223]geoMap (15)'!$A:$C,3,0)</f>
        <v>123.29212152675412</v>
      </c>
      <c r="R60" s="1">
        <f>Q60/VLOOKUP(A60,'[224]geoMap (16)'!$A:$B,2,0)*VLOOKUP(A60,'[224]geoMap (16)'!$A:$C,3,0)</f>
        <v>9.2800521579277291</v>
      </c>
      <c r="S60" s="1">
        <f>R60/VLOOKUP(A60,'[225]geoMap (17)'!$A:$B,2,0)*VLOOKUP(A60,'[225]geoMap (17)'!$A:$C,3,0)</f>
        <v>22.720127696995473</v>
      </c>
      <c r="T60" s="1">
        <f>S60/VLOOKUP(A60,'[226]geoMap (18)'!$A:$B,2,0)*VLOOKUP(A60,'[226]geoMap (18)'!$A:$C,3,0)</f>
        <v>10.207593602997967</v>
      </c>
      <c r="U60" s="1">
        <f>T60/VLOOKUP(A60,'[227]geoMap (19)'!$A:$B,2,0)*VLOOKUP(A60,'[227]geoMap (19)'!$A:$C,3,0)</f>
        <v>40.830374411991869</v>
      </c>
      <c r="V60" s="1">
        <f>U60/VLOOKUP(A60,'[228]geoMap (20)'!$A:$B,2,0)*VLOOKUP(A60,'[228]geoMap (20)'!$A:$C,3,0)</f>
        <v>6.6468051368358863</v>
      </c>
      <c r="W60" s="1">
        <f>V60/VLOOKUP(A60,'[229]geoMap (21)'!$A:$B,2,0)*VLOOKUP(A60,'[229]geoMap (21)'!$A:$C,3,0)</f>
        <v>4.8132037197777109</v>
      </c>
      <c r="X60" s="1">
        <f>W60/VLOOKUP(A60,'[230]geoMap (22)'!$A:$B,2,0)*VLOOKUP(A60,'[230]geoMap (22)'!$A:$C,3,0)</f>
        <v>9.7722620977305041</v>
      </c>
      <c r="Y60" s="1">
        <f>X60/VLOOKUP(A60,'[231]geoMap (23)'!$A:$B,2,0)*VLOOKUP(A60,'[231]geoMap (23)'!$A:$C,3,0)</f>
        <v>15.284820204142584</v>
      </c>
      <c r="Z60" s="1">
        <f>Y60/VLOOKUP(A60,'[232]geoMap (24)'!$A:$B,2,0)*VLOOKUP(A60,'[232]geoMap (24)'!$A:$C,3,0)</f>
        <v>21.995229074253963</v>
      </c>
      <c r="AA60" s="1">
        <f>Z60/VLOOKUP(A60,'[233]geoMap (25)'!$A:$B,2,0)*VLOOKUP(A60,'[233]geoMap (25)'!$A:$C,3,0)</f>
        <v>12.917832948371375</v>
      </c>
    </row>
    <row r="61" spans="1:27" x14ac:dyDescent="0.2">
      <c r="A61" s="1" t="s">
        <v>162</v>
      </c>
      <c r="B61" s="1">
        <f>Notes!$C$6*VLOOKUP(A61,[208]geoMap!$A:$B,2,0)</f>
        <v>3000</v>
      </c>
      <c r="C61" s="1">
        <f>B61/VLOOKUP(A61,'[209]geoMap (1)'!$A:$B,2,0)*VLOOKUP(A61,'[209]geoMap (1)'!$A:$C,3,0)</f>
        <v>2769.2307692307686</v>
      </c>
      <c r="D61" s="1">
        <f>C61/VLOOKUP(A61,'[210]geoMap (2)'!$A:$B,2,0)*VLOOKUP(A61,'[210]geoMap (2)'!$A:$C,3,0)</f>
        <v>2999.9999999999991</v>
      </c>
      <c r="E61" s="1">
        <f>D61/VLOOKUP(A61,'[211]geoMap (3)'!$A:$B,2,0)*VLOOKUP(A61,'[211]geoMap (3)'!$A:$C,3,0)</f>
        <v>2999.9999999999991</v>
      </c>
      <c r="F61" s="1">
        <f>E61/VLOOKUP(A61,'[212]geoMap (4)'!$A:$B,2,0)*VLOOKUP(A61,'[212]geoMap (4)'!$A:$C,3,0)</f>
        <v>2454.5454545454536</v>
      </c>
      <c r="G61" s="1">
        <f>F61/VLOOKUP(A61,'[213]geoMap (5)'!$A:$B,2,0)*VLOOKUP(A61,'[213]geoMap (5)'!$A:$C,3,0)</f>
        <v>1928.5714285714275</v>
      </c>
      <c r="H61" s="1">
        <f>G61/VLOOKUP(A61,'[214]geoMap (6)'!$A:$B,2,0)*VLOOKUP(A61,'[214]geoMap (6)'!$A:$C,3,0)</f>
        <v>787.72635814889293</v>
      </c>
      <c r="I61" s="1">
        <f>H61/VLOOKUP(A61,'[215]geoMap (7)'!$A:$B,2,0)*VLOOKUP(A61,'[215]geoMap (7)'!$A:$C,3,0)</f>
        <v>387.9846241628876</v>
      </c>
      <c r="J61" s="1">
        <f>I61/VLOOKUP(A61,'[216]geoMap (8)'!$A:$B,2,0)*VLOOKUP(A61,'[216]geoMap (8)'!$A:$C,3,0)</f>
        <v>1104.2639303097569</v>
      </c>
      <c r="K61" s="1">
        <f>J61/VLOOKUP(A61,'[217]geoMap (9)'!$A:$B,2,0)*VLOOKUP(A61,'[217]geoMap (9)'!$A:$C,3,0)</f>
        <v>568.86323682623845</v>
      </c>
      <c r="L61" s="1">
        <f>K61/VLOOKUP(A61,'[218]geoMap (10)'!$A:$B,2,0)*VLOOKUP(A61,'[218]geoMap (10)'!$A:$C,3,0)</f>
        <v>379.24215788415904</v>
      </c>
      <c r="M61" s="1">
        <f>L61/VLOOKUP(A61,'[219]geoMap (11)'!$A:$B,2,0)*VLOOKUP(A61,'[219]geoMap (11)'!$A:$C,3,0)</f>
        <v>427.65605038000922</v>
      </c>
      <c r="N61" s="1">
        <f>M61/VLOOKUP(A61,'[220]geoMap (12)'!$A:$B,2,0)*VLOOKUP(A61,'[220]geoMap (12)'!$A:$C,3,0)</f>
        <v>364.29959847185972</v>
      </c>
      <c r="O61" s="1">
        <f>N61/VLOOKUP(A61,'[221]geoMap (13)'!$A:$B,2,0)*VLOOKUP(A61,'[221]geoMap (13)'!$A:$C,3,0)</f>
        <v>263.80315751410535</v>
      </c>
      <c r="P61" s="1">
        <f>O61/VLOOKUP(A61,'[222]geoMap (14)'!$A:$B,2,0)*VLOOKUP(A61,'[222]geoMap (14)'!$A:$C,3,0)</f>
        <v>253.45793565080712</v>
      </c>
      <c r="Q61" s="1">
        <f>P61/VLOOKUP(A61,'[223]geoMap (15)'!$A:$B,2,0)*VLOOKUP(A61,'[223]geoMap (15)'!$A:$C,3,0)</f>
        <v>130.56923957768851</v>
      </c>
      <c r="R61" s="1">
        <f>Q61/VLOOKUP(A61,'[224]geoMap (16)'!$A:$B,2,0)*VLOOKUP(A61,'[224]geoMap (16)'!$A:$C,3,0)</f>
        <v>58.66154241896151</v>
      </c>
      <c r="S61" s="1">
        <f>R61/VLOOKUP(A61,'[225]geoMap (17)'!$A:$B,2,0)*VLOOKUP(A61,'[225]geoMap (17)'!$A:$C,3,0)</f>
        <v>130.56923957768851</v>
      </c>
      <c r="T61" s="1">
        <f>S61/VLOOKUP(A61,'[226]geoMap (18)'!$A:$B,2,0)*VLOOKUP(A61,'[226]geoMap (18)'!$A:$C,3,0)</f>
        <v>53.331097855675587</v>
      </c>
      <c r="U61" s="1">
        <f>T61/VLOOKUP(A61,'[227]geoMap (19)'!$A:$B,2,0)*VLOOKUP(A61,'[227]geoMap (19)'!$A:$C,3,0)</f>
        <v>57.775356010315228</v>
      </c>
      <c r="V61" s="1">
        <f>U61/VLOOKUP(A61,'[228]geoMap (20)'!$A:$B,2,0)*VLOOKUP(A61,'[228]geoMap (20)'!$A:$C,3,0)</f>
        <v>17.25757387321104</v>
      </c>
      <c r="W61" s="1">
        <f>V61/VLOOKUP(A61,'[229]geoMap (21)'!$A:$B,2,0)*VLOOKUP(A61,'[229]geoMap (21)'!$A:$C,3,0)</f>
        <v>28.157094214186433</v>
      </c>
      <c r="X61" s="1">
        <f>W61/VLOOKUP(A61,'[230]geoMap (22)'!$A:$B,2,0)*VLOOKUP(A61,'[230]geoMap (22)'!$A:$C,3,0)</f>
        <v>47.943160418749876</v>
      </c>
      <c r="Y61" s="1">
        <f>X61/VLOOKUP(A61,'[231]geoMap (23)'!$A:$B,2,0)*VLOOKUP(A61,'[231]geoMap (23)'!$A:$C,3,0)</f>
        <v>44.255225001922959</v>
      </c>
      <c r="Z61" s="1">
        <f>Y61/VLOOKUP(A61,'[232]geoMap (24)'!$A:$B,2,0)*VLOOKUP(A61,'[232]geoMap (24)'!$A:$C,3,0)</f>
        <v>21.7973496278128</v>
      </c>
      <c r="AA61" s="1">
        <f>Z61/VLOOKUP(A61,'[233]geoMap (25)'!$A:$B,2,0)*VLOOKUP(A61,'[233]geoMap (25)'!$A:$C,3,0)</f>
        <v>26.641205100660091</v>
      </c>
    </row>
    <row r="62" spans="1:27" x14ac:dyDescent="0.2">
      <c r="A62" s="1" t="s">
        <v>159</v>
      </c>
      <c r="B62" s="1">
        <f>Notes!$C$6*VLOOKUP(A62,[208]geoMap!$A:$B,2,0)</f>
        <v>4000</v>
      </c>
      <c r="C62" s="1">
        <f>B62/VLOOKUP(A62,'[209]geoMap (1)'!$A:$B,2,0)*VLOOKUP(A62,'[209]geoMap (1)'!$A:$C,3,0)</f>
        <v>2060.6060606060605</v>
      </c>
      <c r="D62" s="1">
        <f>C62/VLOOKUP(A62,'[210]geoMap (2)'!$A:$B,2,0)*VLOOKUP(A62,'[210]geoMap (2)'!$A:$C,3,0)</f>
        <v>2418.97233201581</v>
      </c>
      <c r="E62" s="1">
        <f>D62/VLOOKUP(A62,'[211]geoMap (3)'!$A:$B,2,0)*VLOOKUP(A62,'[211]geoMap (3)'!$A:$C,3,0)</f>
        <v>3206.5447191837479</v>
      </c>
      <c r="F62" s="1">
        <f>E62/VLOOKUP(A62,'[212]geoMap (4)'!$A:$B,2,0)*VLOOKUP(A62,'[212]geoMap (4)'!$A:$C,3,0)</f>
        <v>2137.6964794558321</v>
      </c>
      <c r="G62" s="1">
        <f>F62/VLOOKUP(A62,'[213]geoMap (5)'!$A:$B,2,0)*VLOOKUP(A62,'[213]geoMap (5)'!$A:$C,3,0)</f>
        <v>1151.0673350916018</v>
      </c>
      <c r="H62" s="1">
        <f>G62/VLOOKUP(A62,'[214]geoMap (6)'!$A:$B,2,0)*VLOOKUP(A62,'[214]geoMap (6)'!$A:$C,3,0)</f>
        <v>647.47537598902591</v>
      </c>
      <c r="I62" s="1">
        <f>H62/VLOOKUP(A62,'[215]geoMap (7)'!$A:$B,2,0)*VLOOKUP(A62,'[215]geoMap (7)'!$A:$C,3,0)</f>
        <v>172.11370754138662</v>
      </c>
      <c r="J62" s="1">
        <f>I62/VLOOKUP(A62,'[216]geoMap (8)'!$A:$B,2,0)*VLOOKUP(A62,'[216]geoMap (8)'!$A:$C,3,0)</f>
        <v>576.20676002985954</v>
      </c>
      <c r="K62" s="1">
        <f>J62/VLOOKUP(A62,'[217]geoMap (9)'!$A:$B,2,0)*VLOOKUP(A62,'[217]geoMap (9)'!$A:$C,3,0)</f>
        <v>434.68229265410463</v>
      </c>
      <c r="L62" s="1">
        <f>K62/VLOOKUP(A62,'[218]geoMap (10)'!$A:$B,2,0)*VLOOKUP(A62,'[218]geoMap (10)'!$A:$C,3,0)</f>
        <v>214.09724862067841</v>
      </c>
      <c r="M62" s="1">
        <f>L62/VLOOKUP(A62,'[219]geoMap (11)'!$A:$B,2,0)*VLOOKUP(A62,'[219]geoMap (11)'!$A:$C,3,0)</f>
        <v>125.73965395182701</v>
      </c>
      <c r="N62" s="1">
        <f>M62/VLOOKUP(A62,'[220]geoMap (12)'!$A:$B,2,0)*VLOOKUP(A62,'[220]geoMap (12)'!$A:$C,3,0)</f>
        <v>153.68179927445522</v>
      </c>
      <c r="O62" s="1">
        <f>N62/VLOOKUP(A62,'[221]geoMap (13)'!$A:$B,2,0)*VLOOKUP(A62,'[221]geoMap (13)'!$A:$C,3,0)</f>
        <v>180.40906871349091</v>
      </c>
      <c r="P62" s="1">
        <f>O62/VLOOKUP(A62,'[222]geoMap (14)'!$A:$B,2,0)*VLOOKUP(A62,'[222]geoMap (14)'!$A:$C,3,0)</f>
        <v>307.18300889053859</v>
      </c>
      <c r="Q62" s="1">
        <f>P62/VLOOKUP(A62,'[223]geoMap (15)'!$A:$B,2,0)*VLOOKUP(A62,'[223]geoMap (15)'!$A:$C,3,0)</f>
        <v>138.00975761748836</v>
      </c>
      <c r="R62" s="1">
        <f>Q62/VLOOKUP(A62,'[224]geoMap (16)'!$A:$B,2,0)*VLOOKUP(A62,'[224]geoMap (16)'!$A:$C,3,0)</f>
        <v>17.057385772948003</v>
      </c>
      <c r="S62" s="1">
        <f>R62/VLOOKUP(A62,'[225]geoMap (17)'!$A:$B,2,0)*VLOOKUP(A62,'[225]geoMap (17)'!$A:$C,3,0)</f>
        <v>33.111395912193181</v>
      </c>
      <c r="T62" s="1">
        <f>S62/VLOOKUP(A62,'[226]geoMap (18)'!$A:$B,2,0)*VLOOKUP(A62,'[226]geoMap (18)'!$A:$C,3,0)</f>
        <v>28.206003925201596</v>
      </c>
      <c r="U62" s="1">
        <f>T62/VLOOKUP(A62,'[227]geoMap (19)'!$A:$B,2,0)*VLOOKUP(A62,'[227]geoMap (19)'!$A:$C,3,0)</f>
        <v>40.589127599680353</v>
      </c>
      <c r="V62" s="1">
        <f>U62/VLOOKUP(A62,'[228]geoMap (20)'!$A:$B,2,0)*VLOOKUP(A62,'[228]geoMap (20)'!$A:$C,3,0)</f>
        <v>58.408744594661975</v>
      </c>
      <c r="W62" s="1">
        <f>V62/VLOOKUP(A62,'[229]geoMap (21)'!$A:$B,2,0)*VLOOKUP(A62,'[229]geoMap (21)'!$A:$C,3,0)</f>
        <v>63.276139977550478</v>
      </c>
      <c r="X62" s="1">
        <f>W62/VLOOKUP(A62,'[230]geoMap (22)'!$A:$B,2,0)*VLOOKUP(A62,'[230]geoMap (22)'!$A:$C,3,0)</f>
        <v>15.81903499438762</v>
      </c>
      <c r="Y62" s="1">
        <f>X62/VLOOKUP(A62,'[231]geoMap (23)'!$A:$B,2,0)*VLOOKUP(A62,'[231]geoMap (23)'!$A:$C,3,0)</f>
        <v>14.602186148665494</v>
      </c>
      <c r="Z62" s="1">
        <f>Y62/VLOOKUP(A62,'[232]geoMap (24)'!$A:$B,2,0)*VLOOKUP(A62,'[232]geoMap (24)'!$A:$C,3,0)</f>
        <v>14.029551397737434</v>
      </c>
      <c r="AA62" s="1">
        <f>Y62/31*17</f>
        <v>8.0076504686230123</v>
      </c>
    </row>
    <row r="63" spans="1:27" x14ac:dyDescent="0.2">
      <c r="A63" s="1" t="s">
        <v>168</v>
      </c>
      <c r="B63" s="1">
        <f>Notes!$C$6*VLOOKUP(A63,[208]geoMap!$A:$B,2,0)</f>
        <v>3000</v>
      </c>
      <c r="C63" s="1">
        <f>B63/VLOOKUP(A63,'[209]geoMap (1)'!$A:$B,2,0)*VLOOKUP(A63,'[209]geoMap (1)'!$A:$C,3,0)</f>
        <v>896.1038961038962</v>
      </c>
      <c r="D63" s="1">
        <f>C63/VLOOKUP(A63,'[210]geoMap (2)'!$A:$B,2,0)*VLOOKUP(A63,'[210]geoMap (2)'!$A:$C,3,0)</f>
        <v>1401.5984015984018</v>
      </c>
      <c r="E63" s="1">
        <f>D63/VLOOKUP(A63,'[211]geoMap (3)'!$A:$B,2,0)*VLOOKUP(A63,'[211]geoMap (3)'!$A:$C,3,0)</f>
        <v>1580.5258571216023</v>
      </c>
      <c r="F63" s="1">
        <f>E63/VLOOKUP(A63,'[212]geoMap (4)'!$A:$B,2,0)*VLOOKUP(A63,'[212]geoMap (4)'!$A:$C,3,0)</f>
        <v>1580.5258571216023</v>
      </c>
      <c r="G63" s="1">
        <f>F63/VLOOKUP(A63,'[213]geoMap (5)'!$A:$B,2,0)*VLOOKUP(A63,'[213]geoMap (5)'!$A:$C,3,0)</f>
        <v>814.21029003234048</v>
      </c>
      <c r="H63" s="1">
        <f>G63/VLOOKUP(A63,'[214]geoMap (6)'!$A:$B,2,0)*VLOOKUP(A63,'[214]geoMap (6)'!$A:$C,3,0)</f>
        <v>1447.4849600574942</v>
      </c>
      <c r="I63" s="1">
        <f>H63/VLOOKUP(A63,'[215]geoMap (7)'!$A:$B,2,0)*VLOOKUP(A63,'[215]geoMap (7)'!$A:$C,3,0)</f>
        <v>76.18341895039444</v>
      </c>
      <c r="J63" s="1">
        <f>I63/VLOOKUP(A63,'[216]geoMap (8)'!$A:$B,2,0)*VLOOKUP(A63,'[216]geoMap (8)'!$A:$C,3,0)</f>
        <v>241.24749334291576</v>
      </c>
      <c r="K63" s="1">
        <f>J63/VLOOKUP(A63,'[217]geoMap (9)'!$A:$B,2,0)*VLOOKUP(A63,'[217]geoMap (9)'!$A:$C,3,0)</f>
        <v>294.85804741911932</v>
      </c>
      <c r="L63" s="1">
        <f>K63/VLOOKUP(A63,'[218]geoMap (10)'!$A:$B,2,0)*VLOOKUP(A63,'[218]geoMap (10)'!$A:$C,3,0)</f>
        <v>114.66701844076863</v>
      </c>
      <c r="M63" s="1">
        <f>L63/VLOOKUP(A63,'[219]geoMap (11)'!$A:$B,2,0)*VLOOKUP(A63,'[219]geoMap (11)'!$A:$C,3,0)</f>
        <v>124.22260331083268</v>
      </c>
      <c r="N63" s="1">
        <f>M63/VLOOKUP(A63,'[220]geoMap (12)'!$A:$B,2,0)*VLOOKUP(A63,'[220]geoMap (12)'!$A:$C,3,0)</f>
        <v>105.81925467219081</v>
      </c>
      <c r="O63" s="1">
        <f>N63/VLOOKUP(A63,'[221]geoMap (13)'!$A:$B,2,0)*VLOOKUP(A63,'[221]geoMap (13)'!$A:$C,3,0)</f>
        <v>110.13840792411698</v>
      </c>
      <c r="P63" s="1">
        <f>O63/VLOOKUP(A63,'[222]geoMap (14)'!$A:$B,2,0)*VLOOKUP(A63,'[222]geoMap (14)'!$A:$C,3,0)</f>
        <v>32.898485483827152</v>
      </c>
      <c r="Q63" s="1">
        <f>P63/VLOOKUP(A63,'[223]geoMap (15)'!$A:$B,2,0)*VLOOKUP(A63,'[223]geoMap (15)'!$A:$C,3,0)</f>
        <v>88.947757048865995</v>
      </c>
      <c r="R63" s="1">
        <f>Q63/VLOOKUP(A63,'[224]geoMap (16)'!$A:$B,2,0)*VLOOKUP(A63,'[224]geoMap (16)'!$A:$C,3,0)</f>
        <v>29.649252349622</v>
      </c>
      <c r="S63" s="1">
        <f>R63/VLOOKUP(A63,'[225]geoMap (17)'!$A:$B,2,0)*VLOOKUP(A63,'[225]geoMap (17)'!$A:$C,3,0)</f>
        <v>42.665997283602394</v>
      </c>
      <c r="T63" s="1">
        <f>S63/VLOOKUP(A63,'[226]geoMap (18)'!$A:$B,2,0)*VLOOKUP(A63,'[226]geoMap (18)'!$A:$C,3,0)</f>
        <v>26.150127367369208</v>
      </c>
      <c r="U63" s="1">
        <f>T63/VLOOKUP(A63,'[227]geoMap (19)'!$A:$B,2,0)*VLOOKUP(A63,'[227]geoMap (19)'!$A:$C,3,0)</f>
        <v>11.74860794765863</v>
      </c>
      <c r="V63" s="1">
        <f>U63/VLOOKUP(A63,'[228]geoMap (20)'!$A:$B,2,0)*VLOOKUP(A63,'[228]geoMap (20)'!$A:$C,3,0)</f>
        <v>5.0351176918536984</v>
      </c>
      <c r="W63" s="1">
        <f>V63/VLOOKUP(A63,'[229]geoMap (21)'!$A:$B,2,0)*VLOOKUP(A63,'[229]geoMap (21)'!$A:$C,3,0)</f>
        <v>8.9513203410732416</v>
      </c>
      <c r="X63" s="1">
        <f>W63/VLOOKUP(A63,'[230]geoMap (22)'!$A:$B,2,0)*VLOOKUP(A63,'[230]geoMap (22)'!$A:$C,3,0)</f>
        <v>10.940502639089518</v>
      </c>
      <c r="Y63" s="1">
        <f>X63/VLOOKUP(A63,'[231]geoMap (23)'!$A:$B,2,0)*VLOOKUP(A63,'[231]geoMap (23)'!$A:$C,3,0)</f>
        <v>8.5961092164274771</v>
      </c>
      <c r="Z63" s="1">
        <f>Y63/VLOOKUP(A63,'[232]geoMap (24)'!$A:$B,2,0)*VLOOKUP(A63,'[232]geoMap (24)'!$A:$C,3,0)</f>
        <v>13.445196466719898</v>
      </c>
      <c r="AA63" s="1">
        <f>Z63/VLOOKUP(A63,'[233]geoMap (25)'!$A:$B,2,0)*VLOOKUP(A63,'[233]geoMap (25)'!$A:$C,3,0)</f>
        <v>8.5961092164274771</v>
      </c>
    </row>
    <row r="64" spans="1:27" x14ac:dyDescent="0.2">
      <c r="A64" s="1" t="s">
        <v>161</v>
      </c>
      <c r="B64" s="1">
        <f>Notes!$C$6*VLOOKUP(A64,[208]geoMap!$A:$B,2,0)</f>
        <v>4000</v>
      </c>
      <c r="C64" s="1">
        <f>B64/VLOOKUP(A64,'[209]geoMap (1)'!$A:$B,2,0)*VLOOKUP(A64,'[209]geoMap (1)'!$A:$C,3,0)</f>
        <v>1405.4054054054056</v>
      </c>
      <c r="D64" s="1">
        <f>C64/VLOOKUP(A64,'[210]geoMap (2)'!$A:$B,2,0)*VLOOKUP(A64,'[210]geoMap (2)'!$A:$C,3,0)</f>
        <v>2392.9875821767719</v>
      </c>
      <c r="E64" s="1">
        <f>D64/VLOOKUP(A64,'[211]geoMap (3)'!$A:$B,2,0)*VLOOKUP(A64,'[211]geoMap (3)'!$A:$C,3,0)</f>
        <v>1957.898930871904</v>
      </c>
      <c r="F64" s="1">
        <f>E64/VLOOKUP(A64,'[212]geoMap (4)'!$A:$B,2,0)*VLOOKUP(A64,'[212]geoMap (4)'!$A:$C,3,0)</f>
        <v>2298.40309276267</v>
      </c>
      <c r="G64" s="1">
        <f>F64/VLOOKUP(A64,'[213]geoMap (5)'!$A:$B,2,0)*VLOOKUP(A64,'[213]geoMap (5)'!$A:$C,3,0)</f>
        <v>1532.2687285084467</v>
      </c>
      <c r="H64" s="1">
        <f>G64/VLOOKUP(A64,'[214]geoMap (6)'!$A:$B,2,0)*VLOOKUP(A64,'[214]geoMap (6)'!$A:$C,3,0)</f>
        <v>1021.5124856722978</v>
      </c>
      <c r="I64" s="1">
        <f>H64/VLOOKUP(A64,'[215]geoMap (7)'!$A:$B,2,0)*VLOOKUP(A64,'[215]geoMap (7)'!$A:$C,3,0)</f>
        <v>126.25435216174468</v>
      </c>
      <c r="J64" s="1">
        <f>I64/VLOOKUP(A64,'[216]geoMap (8)'!$A:$B,2,0)*VLOOKUP(A64,'[216]geoMap (8)'!$A:$C,3,0)</f>
        <v>775.56244899357432</v>
      </c>
      <c r="K64" s="1">
        <f>J64/VLOOKUP(A64,'[217]geoMap (9)'!$A:$B,2,0)*VLOOKUP(A64,'[217]geoMap (9)'!$A:$C,3,0)</f>
        <v>455.48905734543257</v>
      </c>
      <c r="L64" s="1">
        <f>K64/VLOOKUP(A64,'[218]geoMap (10)'!$A:$B,2,0)*VLOOKUP(A64,'[218]geoMap (10)'!$A:$C,3,0)</f>
        <v>214.34779169196827</v>
      </c>
      <c r="M64" s="1">
        <f>L64/VLOOKUP(A64,'[219]geoMap (11)'!$A:$B,2,0)*VLOOKUP(A64,'[219]geoMap (11)'!$A:$C,3,0)</f>
        <v>214.34779169196827</v>
      </c>
      <c r="N64" s="1">
        <f>M64/VLOOKUP(A64,'[220]geoMap (12)'!$A:$B,2,0)*VLOOKUP(A64,'[220]geoMap (12)'!$A:$C,3,0)</f>
        <v>197.85950002335534</v>
      </c>
      <c r="O64" s="1">
        <f>N64/VLOOKUP(A64,'[221]geoMap (13)'!$A:$B,2,0)*VLOOKUP(A64,'[221]geoMap (13)'!$A:$C,3,0)</f>
        <v>241.8282778063232</v>
      </c>
      <c r="P64" s="1">
        <f>O64/VLOOKUP(A64,'[222]geoMap (14)'!$A:$B,2,0)*VLOOKUP(A64,'[222]geoMap (14)'!$A:$C,3,0)</f>
        <v>72.234420643447194</v>
      </c>
      <c r="Q64" s="1">
        <f>P64/VLOOKUP(A64,'[223]geoMap (15)'!$A:$B,2,0)*VLOOKUP(A64,'[223]geoMap (15)'!$A:$C,3,0)</f>
        <v>75.182764343179727</v>
      </c>
      <c r="R64" s="1">
        <f>Q64/VLOOKUP(A64,'[224]geoMap (16)'!$A:$B,2,0)*VLOOKUP(A64,'[224]geoMap (16)'!$A:$C,3,0)</f>
        <v>26.415565850306393</v>
      </c>
      <c r="S64" s="1">
        <f>R64/VLOOKUP(A64,'[225]geoMap (17)'!$A:$B,2,0)*VLOOKUP(A64,'[225]geoMap (17)'!$A:$C,3,0)</f>
        <v>44.977855366737913</v>
      </c>
      <c r="T64" s="1">
        <f>S64/VLOOKUP(A64,'[226]geoMap (18)'!$A:$B,2,0)*VLOOKUP(A64,'[226]geoMap (18)'!$A:$C,3,0)</f>
        <v>41.518020338527307</v>
      </c>
      <c r="U64" s="1">
        <f>T64/VLOOKUP(A64,'[227]geoMap (19)'!$A:$B,2,0)*VLOOKUP(A64,'[227]geoMap (19)'!$A:$C,3,0)</f>
        <v>27.678680225684872</v>
      </c>
      <c r="V64" s="1">
        <f>U64/VLOOKUP(A64,'[228]geoMap (20)'!$A:$B,2,0)*VLOOKUP(A64,'[228]geoMap (20)'!$A:$C,3,0)</f>
        <v>12.435349086901899</v>
      </c>
      <c r="W64" s="1">
        <f>V64/VLOOKUP(A64,'[229]geoMap (21)'!$A:$B,2,0)*VLOOKUP(A64,'[229]geoMap (21)'!$A:$C,3,0)</f>
        <v>11.947688338395944</v>
      </c>
      <c r="X64" s="1">
        <f>W64/VLOOKUP(A64,'[230]geoMap (22)'!$A:$B,2,0)*VLOOKUP(A64,'[230]geoMap (22)'!$A:$C,3,0)</f>
        <v>11.947688338395944</v>
      </c>
      <c r="Y64" s="1">
        <f>X64/VLOOKUP(A64,'[231]geoMap (23)'!$A:$B,2,0)*VLOOKUP(A64,'[231]geoMap (23)'!$A:$C,3,0)</f>
        <v>23.192571480415651</v>
      </c>
      <c r="Z64" s="1">
        <f>Y64/VLOOKUP(A64,'[232]geoMap (24)'!$A:$B,2,0)*VLOOKUP(A64,'[232]geoMap (24)'!$A:$C,3,0)</f>
        <v>11.423206848562934</v>
      </c>
      <c r="AA64" s="1">
        <f>Z64/VLOOKUP(A64,'[233]geoMap (25)'!$A:$B,2,0)*VLOOKUP(A64,'[233]geoMap (25)'!$A:$C,3,0)</f>
        <v>14.538626898171009</v>
      </c>
    </row>
    <row r="65" spans="1:27" x14ac:dyDescent="0.2">
      <c r="A65" s="1" t="s">
        <v>177</v>
      </c>
      <c r="B65" s="1">
        <f>Notes!$C$6*VLOOKUP(A65,[208]geoMap!$A:$B,2,0)</f>
        <v>3000</v>
      </c>
      <c r="C65" s="1">
        <f>B65/VLOOKUP(A65,'[209]geoMap (1)'!$A:$B,2,0)*VLOOKUP(A65,'[209]geoMap (1)'!$A:$C,3,0)</f>
        <v>896.1038961038962</v>
      </c>
      <c r="D65" s="1">
        <f>C65/VLOOKUP(A65,'[210]geoMap (2)'!$A:$B,2,0)*VLOOKUP(A65,'[210]geoMap (2)'!$A:$C,3,0)</f>
        <v>1904.2207792207794</v>
      </c>
      <c r="E65" s="1">
        <f>D65/VLOOKUP(A65,'[211]geoMap (3)'!$A:$B,2,0)*VLOOKUP(A65,'[211]geoMap (3)'!$A:$C,3,0)</f>
        <v>1622.1139971139974</v>
      </c>
      <c r="F65" s="1">
        <f>E65/VLOOKUP(A65,'[212]geoMap (4)'!$A:$B,2,0)*VLOOKUP(A65,'[212]geoMap (4)'!$A:$C,3,0)</f>
        <v>1327.1841794569068</v>
      </c>
      <c r="G65" s="1">
        <f>F65/VLOOKUP(A65,'[213]geoMap (5)'!$A:$B,2,0)*VLOOKUP(A65,'[213]geoMap (5)'!$A:$C,3,0)</f>
        <v>848.52759014457979</v>
      </c>
      <c r="H65" s="1">
        <f>G65/VLOOKUP(A65,'[214]geoMap (6)'!$A:$B,2,0)*VLOOKUP(A65,'[214]geoMap (6)'!$A:$C,3,0)</f>
        <v>589.65476603267405</v>
      </c>
      <c r="I65" s="1">
        <f>H65/VLOOKUP(A65,'[215]geoMap (7)'!$A:$B,2,0)*VLOOKUP(A65,'[215]geoMap (7)'!$A:$C,3,0)</f>
        <v>176.13064439937017</v>
      </c>
      <c r="J65" s="1">
        <f>I65/VLOOKUP(A65,'[216]geoMap (8)'!$A:$B,2,0)*VLOOKUP(A65,'[216]geoMap (8)'!$A:$C,3,0)</f>
        <v>624.46319377958525</v>
      </c>
      <c r="K65" s="1">
        <f>J65/VLOOKUP(A65,'[217]geoMap (9)'!$A:$B,2,0)*VLOOKUP(A65,'[217]geoMap (9)'!$A:$C,3,0)</f>
        <v>416.30879585305684</v>
      </c>
      <c r="L65" s="1">
        <f>K65/VLOOKUP(A65,'[218]geoMap (10)'!$A:$B,2,0)*VLOOKUP(A65,'[218]geoMap (10)'!$A:$C,3,0)</f>
        <v>124.35197798208191</v>
      </c>
      <c r="M65" s="1">
        <f>L65/VLOOKUP(A65,'[219]geoMap (11)'!$A:$B,2,0)*VLOOKUP(A65,'[219]geoMap (11)'!$A:$C,3,0)</f>
        <v>97.705125557350058</v>
      </c>
      <c r="N65" s="1">
        <f>M65/VLOOKUP(A65,'[220]geoMap (12)'!$A:$B,2,0)*VLOOKUP(A65,'[220]geoMap (12)'!$A:$C,3,0)</f>
        <v>146.55768833602508</v>
      </c>
      <c r="O65" s="1">
        <f>N65/VLOOKUP(A65,'[221]geoMap (13)'!$A:$B,2,0)*VLOOKUP(A65,'[221]geoMap (13)'!$A:$C,3,0)</f>
        <v>260.54700148626682</v>
      </c>
      <c r="P65" s="1">
        <f>O65/VLOOKUP(A65,'[222]geoMap (14)'!$A:$B,2,0)*VLOOKUP(A65,'[222]geoMap (14)'!$A:$C,3,0)</f>
        <v>96.36669917985212</v>
      </c>
      <c r="Q65" s="1">
        <f>P65/VLOOKUP(A65,'[223]geoMap (15)'!$A:$B,2,0)*VLOOKUP(A65,'[223]geoMap (15)'!$A:$C,3,0)</f>
        <v>82.090151153207358</v>
      </c>
      <c r="R65" s="1">
        <f>Q65/VLOOKUP(A65,'[224]geoMap (16)'!$A:$B,2,0)*VLOOKUP(A65,'[224]geoMap (16)'!$A:$C,3,0)</f>
        <v>10.145973738036863</v>
      </c>
      <c r="S65" s="1">
        <f>R65/VLOOKUP(A65,'[225]geoMap (17)'!$A:$B,2,0)*VLOOKUP(A65,'[225]geoMap (17)'!$A:$C,3,0)</f>
        <v>22.582973804017534</v>
      </c>
      <c r="T65" s="1">
        <f>S65/VLOOKUP(A65,'[226]geoMap (18)'!$A:$B,2,0)*VLOOKUP(A65,'[226]geoMap (18)'!$A:$C,3,0)</f>
        <v>19.237348055274197</v>
      </c>
      <c r="U65" s="1">
        <f>T65/VLOOKUP(A65,'[227]geoMap (19)'!$A:$B,2,0)*VLOOKUP(A65,'[227]geoMap (19)'!$A:$C,3,0)</f>
        <v>6.4124493517580659</v>
      </c>
      <c r="V65" s="1">
        <f>U65/VLOOKUP(A65,'[228]geoMap (20)'!$A:$B,2,0)*VLOOKUP(A65,'[228]geoMap (20)'!$A:$C,3,0)</f>
        <v>14.962381820768819</v>
      </c>
      <c r="W65" s="1">
        <f>V65/VLOOKUP(A65,'[229]geoMap (21)'!$A:$B,2,0)*VLOOKUP(A65,'[229]geoMap (21)'!$A:$C,3,0)</f>
        <v>40.453847145041621</v>
      </c>
      <c r="X65" s="1">
        <f>W65/VLOOKUP(A65,'[230]geoMap (22)'!$A:$B,2,0)*VLOOKUP(A65,'[230]geoMap (22)'!$A:$C,3,0)</f>
        <v>13.484615715013874</v>
      </c>
      <c r="Y65" s="1">
        <f>X65/VLOOKUP(A65,'[231]geoMap (23)'!$A:$B,2,0)*VLOOKUP(A65,'[231]geoMap (23)'!$A:$C,3,0)</f>
        <v>11.032867403193169</v>
      </c>
      <c r="Z65" s="1">
        <f>Y65/VLOOKUP(A65,'[232]geoMap (24)'!$A:$B,2,0)*VLOOKUP(A65,'[232]geoMap (24)'!$A:$C,3,0)</f>
        <v>4.2905595456862331</v>
      </c>
      <c r="AA65" s="1">
        <f>Z65/VLOOKUP(A65,'[233]geoMap (25)'!$A:$B,2,0)*VLOOKUP(A65,'[233]geoMap (25)'!$A:$C,3,0)</f>
        <v>5.2440172225053967</v>
      </c>
    </row>
    <row r="66" spans="1:27" x14ac:dyDescent="0.2">
      <c r="A66" s="1" t="s">
        <v>178</v>
      </c>
      <c r="B66" s="1">
        <f>Notes!$C$6*VLOOKUP(A66,[208]geoMap!$A:$B,2,0)</f>
        <v>3000</v>
      </c>
      <c r="C66" s="1">
        <f>B66/VLOOKUP(A66,'[209]geoMap (1)'!$A:$B,2,0)*VLOOKUP(A66,'[209]geoMap (1)'!$A:$C,3,0)</f>
        <v>658.53658536585374</v>
      </c>
      <c r="D66" s="1">
        <f>C66/VLOOKUP(A66,'[210]geoMap (2)'!$A:$B,2,0)*VLOOKUP(A66,'[210]geoMap (2)'!$A:$C,3,0)</f>
        <v>1121.2920237310482</v>
      </c>
      <c r="E66" s="1">
        <f>D66/VLOOKUP(A66,'[211]geoMap (3)'!$A:$B,2,0)*VLOOKUP(A66,'[211]geoMap (3)'!$A:$C,3,0)</f>
        <v>1613.5665707349228</v>
      </c>
      <c r="F66" s="1">
        <f>E66/VLOOKUP(A66,'[212]geoMap (4)'!$A:$B,2,0)*VLOOKUP(A66,'[212]geoMap (4)'!$A:$C,3,0)</f>
        <v>1031.6245288305245</v>
      </c>
      <c r="G66" s="1">
        <f>F66/VLOOKUP(A66,'[213]geoMap (5)'!$A:$B,2,0)*VLOOKUP(A66,'[213]geoMap (5)'!$A:$C,3,0)</f>
        <v>632.28600154128912</v>
      </c>
      <c r="H66" s="1">
        <f>G66/VLOOKUP(A66,'[214]geoMap (6)'!$A:$B,2,0)*VLOOKUP(A66,'[214]geoMap (6)'!$A:$C,3,0)</f>
        <v>713.00336344017728</v>
      </c>
      <c r="I66" s="1">
        <f>H66/VLOOKUP(A66,'[215]geoMap (7)'!$A:$B,2,0)*VLOOKUP(A66,'[215]geoMap (7)'!$A:$C,3,0)</f>
        <v>88.124011211707298</v>
      </c>
      <c r="J66" s="1">
        <f>I66/VLOOKUP(A66,'[216]geoMap (8)'!$A:$B,2,0)*VLOOKUP(A66,'[216]geoMap (8)'!$A:$C,3,0)</f>
        <v>226.60460025867587</v>
      </c>
      <c r="K66" s="1">
        <f>J66/VLOOKUP(A66,'[217]geoMap (9)'!$A:$B,2,0)*VLOOKUP(A66,'[217]geoMap (9)'!$A:$C,3,0)</f>
        <v>235.85376761617283</v>
      </c>
      <c r="L66" s="1">
        <f>K66/VLOOKUP(A66,'[218]geoMap (10)'!$A:$B,2,0)*VLOOKUP(A66,'[218]geoMap (10)'!$A:$C,3,0)</f>
        <v>150.79175306607772</v>
      </c>
      <c r="M66" s="1">
        <f>L66/VLOOKUP(A66,'[219]geoMap (11)'!$A:$B,2,0)*VLOOKUP(A66,'[219]geoMap (11)'!$A:$C,3,0)</f>
        <v>104.78748941879978</v>
      </c>
      <c r="N66" s="1">
        <f>M66/VLOOKUP(A66,'[220]geoMap (12)'!$A:$B,2,0)*VLOOKUP(A66,'[220]geoMap (12)'!$A:$C,3,0)</f>
        <v>72.818424850352386</v>
      </c>
      <c r="O66" s="1">
        <f>N66/VLOOKUP(A66,'[221]geoMap (13)'!$A:$B,2,0)*VLOOKUP(A66,'[221]geoMap (13)'!$A:$C,3,0)</f>
        <v>92.677995264084856</v>
      </c>
      <c r="P66" s="1">
        <f>O66/VLOOKUP(A66,'[222]geoMap (14)'!$A:$B,2,0)*VLOOKUP(A66,'[222]geoMap (14)'!$A:$C,3,0)</f>
        <v>45.647370801713436</v>
      </c>
      <c r="Q66" s="1">
        <f>P66/VLOOKUP(A66,'[223]geoMap (15)'!$A:$B,2,0)*VLOOKUP(A66,'[223]geoMap (15)'!$A:$C,3,0)</f>
        <v>63.036845392842359</v>
      </c>
      <c r="R66" s="1">
        <f>Q66/VLOOKUP(A66,'[224]geoMap (16)'!$A:$B,2,0)*VLOOKUP(A66,'[224]geoMap (16)'!$A:$C,3,0)</f>
        <v>15.759211348210592</v>
      </c>
      <c r="S66" s="1">
        <f>R66/VLOOKUP(A66,'[225]geoMap (17)'!$A:$B,2,0)*VLOOKUP(A66,'[225]geoMap (17)'!$A:$C,3,0)</f>
        <v>31.995974555457867</v>
      </c>
      <c r="T66" s="1">
        <f>S66/VLOOKUP(A66,'[226]geoMap (18)'!$A:$B,2,0)*VLOOKUP(A66,'[226]geoMap (18)'!$A:$C,3,0)</f>
        <v>15.759211348210592</v>
      </c>
      <c r="U66" s="1">
        <f>T66/VLOOKUP(A66,'[227]geoMap (19)'!$A:$B,2,0)*VLOOKUP(A66,'[227]geoMap (19)'!$A:$C,3,0)</f>
        <v>11.411842700428361</v>
      </c>
      <c r="V66" s="1">
        <f>U66/VLOOKUP(A66,'[228]geoMap (20)'!$A:$B,2,0)*VLOOKUP(A66,'[228]geoMap (20)'!$A:$C,3,0)</f>
        <v>3.6037398001352714</v>
      </c>
      <c r="W66" s="1">
        <f>V66/VLOOKUP(A66,'[229]geoMap (21)'!$A:$B,2,0)*VLOOKUP(A66,'[229]geoMap (21)'!$A:$C,3,0)</f>
        <v>16.417036867282903</v>
      </c>
      <c r="X66" s="1">
        <f>W66/VLOOKUP(A66,'[230]geoMap (22)'!$A:$B,2,0)*VLOOKUP(A66,'[230]geoMap (22)'!$A:$C,3,0)</f>
        <v>5.7681480885048044</v>
      </c>
      <c r="Y66" s="1">
        <f>X66/VLOOKUP(A66,'[231]geoMap (23)'!$A:$B,2,0)*VLOOKUP(A66,'[231]geoMap (23)'!$A:$C,3,0)</f>
        <v>12.838781229252628</v>
      </c>
      <c r="Z66" s="1">
        <f>Y66/VLOOKUP(A66,'[232]geoMap (24)'!$A:$B,2,0)*VLOOKUP(A66,'[232]geoMap (24)'!$A:$C,3,0)</f>
        <v>6.3235788144080107</v>
      </c>
      <c r="AA66" s="1">
        <f>Z66/VLOOKUP(A66,'[233]geoMap (25)'!$A:$B,2,0)*VLOOKUP(A66,'[233]geoMap (25)'!$A:$C,3,0)</f>
        <v>5.3867523233846013</v>
      </c>
    </row>
    <row r="67" spans="1:27" x14ac:dyDescent="0.2">
      <c r="A67" s="1" t="s">
        <v>184</v>
      </c>
      <c r="B67" s="1">
        <f>Notes!$C$6*VLOOKUP(A67,[208]geoMap!$A:$B,2,0)</f>
        <v>3000</v>
      </c>
      <c r="C67" s="1">
        <f>B67/VLOOKUP(A67,'[209]geoMap (1)'!$A:$B,2,0)*VLOOKUP(A67,'[209]geoMap (1)'!$A:$C,3,0)</f>
        <v>571.42857142857144</v>
      </c>
      <c r="D67" s="1">
        <f>C67/VLOOKUP(A67,'[210]geoMap (2)'!$A:$B,2,0)*VLOOKUP(A67,'[210]geoMap (2)'!$A:$C,3,0)</f>
        <v>822.29965156794424</v>
      </c>
      <c r="E67" s="1">
        <f>D67/VLOOKUP(A67,'[211]geoMap (3)'!$A:$B,2,0)*VLOOKUP(A67,'[211]geoMap (3)'!$A:$C,3,0)</f>
        <v>1669.5174743955233</v>
      </c>
      <c r="F67" s="1">
        <f>E67/VLOOKUP(A67,'[212]geoMap (4)'!$A:$B,2,0)*VLOOKUP(A67,'[212]geoMap (4)'!$A:$C,3,0)</f>
        <v>1737.6610447790142</v>
      </c>
      <c r="G67" s="1">
        <f>F67/VLOOKUP(A67,'[213]geoMap (5)'!$A:$B,2,0)*VLOOKUP(A67,'[213]geoMap (5)'!$A:$C,3,0)</f>
        <v>548.73506677232024</v>
      </c>
      <c r="H67" s="1">
        <f>G67/VLOOKUP(A67,'[214]geoMap (6)'!$A:$B,2,0)*VLOOKUP(A67,'[214]geoMap (6)'!$A:$C,3,0)</f>
        <v>594.46298900334693</v>
      </c>
      <c r="I67" s="1">
        <f>H67/VLOOKUP(A67,'[215]geoMap (7)'!$A:$B,2,0)*VLOOKUP(A67,'[215]geoMap (7)'!$A:$C,3,0)</f>
        <v>73.472953697042882</v>
      </c>
      <c r="J67" s="1">
        <f>I67/VLOOKUP(A67,'[216]geoMap (8)'!$A:$B,2,0)*VLOOKUP(A67,'[216]geoMap (8)'!$A:$C,3,0)</f>
        <v>260.49501765315205</v>
      </c>
      <c r="K67" s="1">
        <f>J67/VLOOKUP(A67,'[217]geoMap (9)'!$A:$B,2,0)*VLOOKUP(A67,'[217]geoMap (9)'!$A:$C,3,0)</f>
        <v>463.10225360560372</v>
      </c>
      <c r="L67" s="1">
        <f>K67/VLOOKUP(A67,'[218]geoMap (10)'!$A:$B,2,0)*VLOOKUP(A67,'[218]geoMap (10)'!$A:$C,3,0)</f>
        <v>130.61858435029848</v>
      </c>
      <c r="M67" s="1">
        <f>L67/VLOOKUP(A67,'[219]geoMap (11)'!$A:$B,2,0)*VLOOKUP(A67,'[219]geoMap (11)'!$A:$C,3,0)</f>
        <v>159.64493642814259</v>
      </c>
      <c r="N67" s="1">
        <f>M67/VLOOKUP(A67,'[220]geoMap (12)'!$A:$B,2,0)*VLOOKUP(A67,'[220]geoMap (12)'!$A:$C,3,0)</f>
        <v>71.724536656122041</v>
      </c>
      <c r="O67" s="1">
        <f>N67/VLOOKUP(A67,'[221]geoMap (13)'!$A:$B,2,0)*VLOOKUP(A67,'[221]geoMap (13)'!$A:$C,3,0)</f>
        <v>145.62254412000536</v>
      </c>
      <c r="P67" s="1">
        <f>O67/VLOOKUP(A67,'[222]geoMap (14)'!$A:$B,2,0)*VLOOKUP(A67,'[222]geoMap (14)'!$A:$C,3,0)</f>
        <v>89.252527041293604</v>
      </c>
      <c r="Q67" s="1">
        <f>P67/VLOOKUP(A67,'[223]geoMap (15)'!$A:$B,2,0)*VLOOKUP(A67,'[223]geoMap (15)'!$A:$C,3,0)</f>
        <v>59.501684694195745</v>
      </c>
      <c r="R67" s="1">
        <f>Q67/VLOOKUP(A67,'[224]geoMap (16)'!$A:$B,2,0)*VLOOKUP(A67,'[224]geoMap (16)'!$A:$C,3,0)</f>
        <v>17.773230493071456</v>
      </c>
      <c r="S67" s="1">
        <f>R67/VLOOKUP(A67,'[225]geoMap (17)'!$A:$B,2,0)*VLOOKUP(A67,'[225]geoMap (17)'!$A:$C,3,0)</f>
        <v>41.470871150500059</v>
      </c>
      <c r="T67" s="1">
        <f>S67/42*19</f>
        <v>18.76063218713098</v>
      </c>
      <c r="U67" s="1">
        <f>O67/VLOOKUP(A67,'[238]geoMap (31)'!$A:$B,2,0)*VLOOKUP(A67,'[238]geoMap (31)'!$A:$C,3,0)</f>
        <v>16.180282680000598</v>
      </c>
      <c r="V67" s="1">
        <f>U67/VLOOKUP(A67,'[228]geoMap (20)'!$A:$B,2,0)*VLOOKUP(A67,'[228]geoMap (20)'!$A:$C,3,0)</f>
        <v>9.9169474490326248</v>
      </c>
      <c r="W67" s="1">
        <f>V67/27*22</f>
        <v>8.0804756992117674</v>
      </c>
      <c r="X67" s="1">
        <f>V67/VLOOKUP(A67,'[242]geoMap (33)'!$A:$B,2,0)*VLOOKUP(A67,'[242]geoMap (33)'!$A:$C,3,0)</f>
        <v>16.180282680000598</v>
      </c>
      <c r="Y67" s="1">
        <f>X67/VLOOKUP(A67,'[231]geoMap (23)'!$A:$B,2,0)*VLOOKUP(A67,'[231]geoMap (23)'!$A:$C,3,0)</f>
        <v>22.344199891429398</v>
      </c>
      <c r="Z67" s="1">
        <f>Y67/VLOOKUP(A67,'[232]geoMap (24)'!$A:$B,2,0)*VLOOKUP(A67,'[232]geoMap (24)'!$A:$C,3,0)</f>
        <v>23.256208050263254</v>
      </c>
      <c r="AA67" s="1">
        <f>Z67/VLOOKUP(A67,'[233]geoMap (25)'!$A:$B,2,0)*VLOOKUP(A67,'[233]geoMap (25)'!$A:$C,3,0)</f>
        <v>17.544156950198595</v>
      </c>
    </row>
    <row r="68" spans="1:27" x14ac:dyDescent="0.2">
      <c r="A68" s="1" t="s">
        <v>189</v>
      </c>
      <c r="B68" s="1">
        <f>Notes!$C$6*VLOOKUP(A68,[208]geoMap!$A:$B,2,0)</f>
        <v>3000</v>
      </c>
      <c r="C68" s="1">
        <f>B68/VLOOKUP(A68,'[209]geoMap (1)'!$A:$B,2,0)*VLOOKUP(A68,'[209]geoMap (1)'!$A:$C,3,0)</f>
        <v>896.1038961038962</v>
      </c>
      <c r="D68" s="1">
        <f>C68/VLOOKUP(A68,'[210]geoMap (2)'!$A:$B,2,0)*VLOOKUP(A68,'[210]geoMap (2)'!$A:$C,3,0)</f>
        <v>1664.1929499072362</v>
      </c>
      <c r="E68" s="1">
        <f>D68/VLOOKUP(A68,'[211]geoMap (3)'!$A:$B,2,0)*VLOOKUP(A68,'[211]geoMap (3)'!$A:$C,3,0)</f>
        <v>1953.6178107606686</v>
      </c>
      <c r="F68" s="1">
        <f>E68/VLOOKUP(A68,'[212]geoMap (4)'!$A:$B,2,0)*VLOOKUP(A68,'[212]geoMap (4)'!$A:$C,3,0)</f>
        <v>2387.7551020408173</v>
      </c>
      <c r="G68" s="1">
        <f>F68/VLOOKUP(A68,'[213]geoMap (5)'!$A:$B,2,0)*VLOOKUP(A68,'[213]geoMap (5)'!$A:$C,3,0)</f>
        <v>928.57142857142901</v>
      </c>
      <c r="H68" s="1">
        <f>G68/VLOOKUP(A68,'[214]geoMap (6)'!$A:$B,2,0)*VLOOKUP(A68,'[214]geoMap (6)'!$A:$C,3,0)</f>
        <v>759.74025974026006</v>
      </c>
      <c r="I68" s="1">
        <f>H68/VLOOKUP(A68,'[215]geoMap (7)'!$A:$B,2,0)*VLOOKUP(A68,'[215]geoMap (7)'!$A:$C,3,0)</f>
        <v>226.93540226007769</v>
      </c>
      <c r="J68" s="1">
        <f>I68/VLOOKUP(A68,'[216]geoMap (8)'!$A:$B,2,0)*VLOOKUP(A68,'[216]geoMap (8)'!$A:$C,3,0)</f>
        <v>907.74160904031078</v>
      </c>
      <c r="K68" s="1">
        <f>J68/VLOOKUP(A68,'[217]geoMap (9)'!$A:$B,2,0)*VLOOKUP(A68,'[217]geoMap (9)'!$A:$C,3,0)</f>
        <v>335.74004717929307</v>
      </c>
      <c r="L68" s="1">
        <f>K68/VLOOKUP(A68,'[218]geoMap (10)'!$A:$B,2,0)*VLOOKUP(A68,'[218]geoMap (10)'!$A:$C,3,0)</f>
        <v>157.99531631966732</v>
      </c>
      <c r="M68" s="1">
        <f>L68/VLOOKUP(A68,'[219]geoMap (11)'!$A:$B,2,0)*VLOOKUP(A68,'[219]geoMap (11)'!$A:$C,3,0)</f>
        <v>218.18400825096916</v>
      </c>
      <c r="N68" s="1">
        <f>M68/VLOOKUP(A68,'[220]geoMap (12)'!$A:$B,2,0)*VLOOKUP(A68,'[220]geoMap (12)'!$A:$C,3,0)</f>
        <v>93.507432107558202</v>
      </c>
      <c r="O68" s="1">
        <f>N68/VLOOKUP(A68,'[221]geoMap (13)'!$A:$B,2,0)*VLOOKUP(A68,'[221]geoMap (13)'!$A:$C,3,0)</f>
        <v>166.23543485788127</v>
      </c>
      <c r="P68" s="1">
        <f>O68/VLOOKUP(A68,'[222]geoMap (14)'!$A:$B,2,0)*VLOOKUP(A68,'[222]geoMap (14)'!$A:$C,3,0)</f>
        <v>81.87715448224003</v>
      </c>
      <c r="Q68" s="1">
        <f>P68/VLOOKUP(A68,'[223]geoMap (15)'!$A:$B,2,0)*VLOOKUP(A68,'[223]geoMap (15)'!$A:$C,3,0)</f>
        <v>81.87715448224003</v>
      </c>
      <c r="R68" s="1">
        <f>Q68/VLOOKUP(A68,'[224]geoMap (16)'!$A:$B,2,0)*VLOOKUP(A68,'[224]geoMap (16)'!$A:$C,3,0)</f>
        <v>24.456812377811957</v>
      </c>
      <c r="S68" s="1">
        <f>R68/VLOOKUP(A68,'[225]geoMap (17)'!$A:$B,2,0)*VLOOKUP(A68,'[225]geoMap (17)'!$A:$C,3,0)</f>
        <v>66.123974206676763</v>
      </c>
      <c r="T68" s="1">
        <f>S68/VLOOKUP(A68,'[226]geoMap (18)'!$A:$B,2,0)*VLOOKUP(A68,'[226]geoMap (18)'!$A:$C,3,0)</f>
        <v>20.881255012634767</v>
      </c>
      <c r="U68" s="1">
        <f>T68/VLOOKUP(A68,'[227]geoMap (19)'!$A:$B,2,0)*VLOOKUP(A68,'[227]geoMap (19)'!$A:$C,3,0)</f>
        <v>40.534200906879256</v>
      </c>
      <c r="V68" s="1">
        <f>U68/VLOOKUP(A68,'[228]geoMap (20)'!$A:$B,2,0)*VLOOKUP(A68,'[228]geoMap (20)'!$A:$C,3,0)</f>
        <v>10.774914165119801</v>
      </c>
      <c r="W68" s="1">
        <f>V68/VLOOKUP(A68,'[229]geoMap (21)'!$A:$B,2,0)*VLOOKUP(A68,'[229]geoMap (21)'!$A:$C,3,0)</f>
        <v>6.8888795481913494</v>
      </c>
      <c r="X68" s="1">
        <f>W68/VLOOKUP(A68,'[230]geoMap (22)'!$A:$B,2,0)*VLOOKUP(A68,'[230]geoMap (22)'!$A:$C,3,0)</f>
        <v>11.729713825298786</v>
      </c>
      <c r="Y68" s="1">
        <f>X68/VLOOKUP(A68,'[231]geoMap (23)'!$A:$B,2,0)*VLOOKUP(A68,'[231]geoMap (23)'!$A:$C,3,0)</f>
        <v>16.879344285186058</v>
      </c>
      <c r="Z68" s="1">
        <f>Y68/VLOOKUP(A68,'[232]geoMap (24)'!$A:$B,2,0)*VLOOKUP(A68,'[232]geoMap (24)'!$A:$C,3,0)</f>
        <v>16.879344285186058</v>
      </c>
      <c r="AA68" s="1">
        <f>Z68/VLOOKUP(A68,'[233]geoMap (25)'!$A:$B,2,0)*VLOOKUP(A68,'[233]geoMap (25)'!$A:$C,3,0)</f>
        <v>8.6954197832776661</v>
      </c>
    </row>
  </sheetData>
  <conditionalFormatting sqref="A1:AA1">
    <cfRule type="colorScale" priority="4">
      <colorScale>
        <cfvo type="min"/>
        <cfvo type="max"/>
        <color rgb="FFFFEF9C"/>
        <color rgb="FF63BE7B"/>
      </colorScale>
    </cfRule>
    <cfRule type="cellIs" dxfId="11" priority="5" operator="equal">
      <formula>#DIV/0!</formula>
    </cfRule>
  </conditionalFormatting>
  <conditionalFormatting sqref="A2:A68">
    <cfRule type="colorScale" priority="2">
      <colorScale>
        <cfvo type="min"/>
        <cfvo type="max"/>
        <color rgb="FFFFEF9C"/>
        <color rgb="FF63BE7B"/>
      </colorScale>
    </cfRule>
    <cfRule type="cellIs" dxfId="10" priority="3" operator="equal">
      <formula>#DIV/0!</formula>
    </cfRule>
  </conditionalFormatting>
  <conditionalFormatting sqref="B2:AA68">
    <cfRule type="colorScale" priority="1">
      <colorScale>
        <cfvo type="min"/>
        <cfvo type="percentile" val="50"/>
        <cfvo type="max"/>
        <color rgb="FFF8696B"/>
        <color rgb="FFFFEB84"/>
        <color rgb="FF63BE7B"/>
      </colorScale>
    </cfRule>
  </conditionalFormatting>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A128"/>
  <sheetViews>
    <sheetView zoomScale="70" zoomScaleNormal="70" workbookViewId="0">
      <pane xSplit="1" ySplit="1" topLeftCell="B2" activePane="bottomRight" state="frozen"/>
      <selection pane="topRight" activeCell="B1" sqref="B1"/>
      <selection pane="bottomLeft" activeCell="A2" sqref="A2"/>
      <selection pane="bottomRight"/>
    </sheetView>
  </sheetViews>
  <sheetFormatPr baseColWidth="10" defaultColWidth="8.83203125" defaultRowHeight="15" x14ac:dyDescent="0.2"/>
  <cols>
    <col min="1" max="1" width="21.5" customWidth="1"/>
    <col min="2" max="2" width="17.1640625" bestFit="1" customWidth="1"/>
    <col min="3" max="8" width="16" bestFit="1" customWidth="1"/>
    <col min="9" max="10" width="14.5" bestFit="1" customWidth="1"/>
    <col min="11" max="11" width="16" bestFit="1" customWidth="1"/>
    <col min="12" max="20" width="14.5" bestFit="1" customWidth="1"/>
    <col min="21" max="27" width="13.1640625" bestFit="1" customWidth="1"/>
  </cols>
  <sheetData>
    <row r="1" spans="1:27" ht="100" x14ac:dyDescent="0.2">
      <c r="A1" s="40" t="s">
        <v>0</v>
      </c>
      <c r="B1" s="3" t="s">
        <v>254</v>
      </c>
      <c r="C1" s="3" t="s">
        <v>255</v>
      </c>
      <c r="D1" s="3" t="s">
        <v>256</v>
      </c>
      <c r="E1" s="3" t="s">
        <v>257</v>
      </c>
      <c r="F1" s="3" t="s">
        <v>258</v>
      </c>
      <c r="G1" s="3" t="s">
        <v>259</v>
      </c>
      <c r="H1" s="3" t="s">
        <v>260</v>
      </c>
      <c r="I1" s="3" t="s">
        <v>261</v>
      </c>
      <c r="J1" s="3" t="s">
        <v>262</v>
      </c>
      <c r="K1" s="3" t="s">
        <v>263</v>
      </c>
      <c r="L1" s="3" t="s">
        <v>264</v>
      </c>
      <c r="M1" s="3" t="s">
        <v>265</v>
      </c>
      <c r="N1" s="3" t="s">
        <v>266</v>
      </c>
      <c r="O1" s="3" t="s">
        <v>267</v>
      </c>
      <c r="P1" s="3" t="s">
        <v>268</v>
      </c>
      <c r="Q1" s="3" t="s">
        <v>269</v>
      </c>
      <c r="R1" s="3" t="s">
        <v>270</v>
      </c>
      <c r="S1" s="3" t="s">
        <v>271</v>
      </c>
      <c r="T1" s="3" t="s">
        <v>272</v>
      </c>
      <c r="U1" s="3" t="s">
        <v>273</v>
      </c>
      <c r="V1" s="3" t="s">
        <v>274</v>
      </c>
      <c r="W1" s="3" t="s">
        <v>275</v>
      </c>
      <c r="X1" s="3" t="s">
        <v>276</v>
      </c>
      <c r="Y1" s="3" t="s">
        <v>277</v>
      </c>
      <c r="Z1" s="3" t="s">
        <v>278</v>
      </c>
      <c r="AA1" s="3" t="s">
        <v>279</v>
      </c>
    </row>
    <row r="2" spans="1:27" x14ac:dyDescent="0.2">
      <c r="A2" s="1" t="s">
        <v>7</v>
      </c>
      <c r="B2" s="42">
        <f>'Data_Raw++ (2016)'!B4</f>
        <v>31000</v>
      </c>
      <c r="C2" s="42">
        <f>'Data_Raw++ (2016)'!C4</f>
        <v>1291.6666666666667</v>
      </c>
      <c r="D2" s="42">
        <f>'Data_Raw++ (2016)'!D4</f>
        <v>3321.4285714285711</v>
      </c>
      <c r="E2" s="42">
        <f>'Data_Raw++ (2016)'!E4</f>
        <v>2214.2857142857142</v>
      </c>
      <c r="F2" s="42">
        <f>'Data_Raw++ (2016)'!F4</f>
        <v>2818.1818181818185</v>
      </c>
      <c r="G2" s="42">
        <f>'Data_Raw++ (2016)'!G4</f>
        <v>1585.2272727272727</v>
      </c>
      <c r="H2" s="42">
        <f>'Data_Raw++ (2016)'!H4</f>
        <v>2281.1807095343679</v>
      </c>
      <c r="I2" s="42">
        <f>'Data_Raw++ (2016)'!I4</f>
        <v>225.61127896493747</v>
      </c>
      <c r="J2" s="42">
        <f>'Data_Raw++ (2016)'!J4</f>
        <v>526.42631758485413</v>
      </c>
      <c r="K2" s="42">
        <f>'Data_Raw++ (2016)'!K4</f>
        <v>823.38475314554103</v>
      </c>
      <c r="L2" s="42">
        <f>'Data_Raw++ (2016)'!L4</f>
        <v>424.1679031355817</v>
      </c>
      <c r="M2" s="42">
        <f>'Data_Raw++ (2016)'!M4</f>
        <v>271.18931511947028</v>
      </c>
      <c r="N2" s="42">
        <f>'Data_Raw++ (2016)'!N4</f>
        <v>159.26991522889523</v>
      </c>
      <c r="O2" s="42">
        <f>'Data_Raw++ (2016)'!O4</f>
        <v>202.70716483677577</v>
      </c>
      <c r="P2" s="42">
        <f>'Data_Raw++ (2016)'!P4</f>
        <v>119.05023966604291</v>
      </c>
      <c r="Q2" s="42">
        <f>'Data_Raw++ (2016)'!Q4</f>
        <v>157.81078281312662</v>
      </c>
      <c r="R2" s="42">
        <f>'Data_Raw++ (2016)'!R4</f>
        <v>17.534531423680736</v>
      </c>
      <c r="S2" s="42">
        <f>'Data_Raw++ (2016)'!S4</f>
        <v>74.752476069375774</v>
      </c>
      <c r="T2" s="42">
        <f>'Data_Raw++ (2016)'!T4</f>
        <v>30.532701493125312</v>
      </c>
      <c r="U2" s="42">
        <f>'Data_Raw++ (2016)'!U4</f>
        <v>28.184032147500286</v>
      </c>
      <c r="V2" s="42">
        <f>'Data_Raw++ (2016)'!V4</f>
        <v>8.39524361840434</v>
      </c>
      <c r="W2" s="42">
        <f>'Data_Raw++ (2016)'!W4</f>
        <v>25.18573085521302</v>
      </c>
      <c r="X2" s="42">
        <f>'Data_Raw++ (2016)'!X4</f>
        <v>36.379389013085472</v>
      </c>
      <c r="Y2" s="42">
        <f>'Data_Raw++ (2016)'!Y4</f>
        <v>21.365672912447025</v>
      </c>
      <c r="Z2" s="42">
        <f>'Data_Raw++ (2016)'!Z4</f>
        <v>52.309061268404783</v>
      </c>
      <c r="AA2" s="42">
        <f>'Data_Raw++ (2016)'!AA4</f>
        <v>13.077265317101194</v>
      </c>
    </row>
    <row r="3" spans="1:27" x14ac:dyDescent="0.2">
      <c r="A3" s="1" t="s">
        <v>11</v>
      </c>
      <c r="B3" s="42">
        <f>'Data_Raw++ (2016)'!B5</f>
        <v>19000</v>
      </c>
      <c r="C3" s="42">
        <f>'Data_Raw++ (2016)'!C5</f>
        <v>8536.2318840579719</v>
      </c>
      <c r="D3" s="42">
        <f>'Data_Raw++ (2016)'!D5</f>
        <v>12283.845881937081</v>
      </c>
      <c r="E3" s="42">
        <f>'Data_Raw++ (2016)'!E5</f>
        <v>4094.6152939790268</v>
      </c>
      <c r="F3" s="42">
        <f>'Data_Raw++ (2016)'!F5</f>
        <v>4806.722301627553</v>
      </c>
      <c r="G3" s="42">
        <f>'Data_Raw++ (2016)'!G5</f>
        <v>7210.0834524413294</v>
      </c>
      <c r="H3" s="42">
        <f>'Data_Raw++ (2016)'!H5</f>
        <v>5899.1591883610872</v>
      </c>
      <c r="I3" s="42">
        <f>'Data_Raw++ (2016)'!I5</f>
        <v>1041.0280920637213</v>
      </c>
      <c r="J3" s="42">
        <f>'Data_Raw++ (2016)'!J5</f>
        <v>1561.5421380955815</v>
      </c>
      <c r="K3" s="42">
        <f>'Data_Raw++ (2016)'!K5</f>
        <v>2776.0749121699228</v>
      </c>
      <c r="L3" s="42">
        <f>'Data_Raw++ (2016)'!L5</f>
        <v>1774.8675667971638</v>
      </c>
      <c r="M3" s="42">
        <f>'Data_Raw++ (2016)'!M5</f>
        <v>1183.2450445314425</v>
      </c>
      <c r="N3" s="42">
        <f>'Data_Raw++ (2016)'!N5</f>
        <v>1231.5407606347667</v>
      </c>
      <c r="O3" s="42">
        <f>'Data_Raw++ (2016)'!O5</f>
        <v>1049.0902775777643</v>
      </c>
      <c r="P3" s="42">
        <f>'Data_Raw++ (2016)'!P5</f>
        <v>185.13357839607605</v>
      </c>
      <c r="Q3" s="42">
        <f>'Data_Raw++ (2016)'!Q5</f>
        <v>903.8874709926065</v>
      </c>
      <c r="R3" s="42">
        <f>'Data_Raw++ (2016)'!R5</f>
        <v>769.97821603073885</v>
      </c>
      <c r="S3" s="42">
        <f>'Data_Raw++ (2016)'!S5</f>
        <v>629.98217675242267</v>
      </c>
      <c r="T3" s="42">
        <f>'Data_Raw++ (2016)'!T5</f>
        <v>386.11810833213008</v>
      </c>
      <c r="U3" s="42">
        <f>'Data_Raw++ (2016)'!U5</f>
        <v>236.65303413904746</v>
      </c>
      <c r="V3" s="42">
        <f>'Data_Raw++ (2016)'!V5</f>
        <v>62.907768568607551</v>
      </c>
      <c r="W3" s="42">
        <f>'Data_Raw++ (2016)'!W5</f>
        <v>179.04518746449841</v>
      </c>
      <c r="X3" s="42">
        <f>'Data_Raw++ (2016)'!X5</f>
        <v>88.186435616842502</v>
      </c>
      <c r="Y3" s="42">
        <f>'Data_Raw++ (2016)'!Y5</f>
        <v>143.88313179590091</v>
      </c>
      <c r="Z3" s="42">
        <f>'Data_Raw++ (2016)'!Z5</f>
        <v>104.1912333694455</v>
      </c>
      <c r="AA3" s="42">
        <f>'Data_Raw++ (2016)'!AA5</f>
        <v>108.44393677228003</v>
      </c>
    </row>
    <row r="4" spans="1:27" x14ac:dyDescent="0.2">
      <c r="A4" s="1" t="s">
        <v>16</v>
      </c>
      <c r="B4" s="42">
        <f>'Data_Raw++ (2016)'!B6</f>
        <v>22000</v>
      </c>
      <c r="C4" s="42">
        <f>'Data_Raw++ (2016)'!C6</f>
        <v>3581.3953488372099</v>
      </c>
      <c r="D4" s="42">
        <f>'Data_Raw++ (2016)'!D6</f>
        <v>8356.5891472868243</v>
      </c>
      <c r="E4" s="42">
        <f>'Data_Raw++ (2016)'!E6</f>
        <v>8697.6744186046526</v>
      </c>
      <c r="F4" s="42">
        <f>'Data_Raw++ (2016)'!F6</f>
        <v>5560.8082348455973</v>
      </c>
      <c r="G4" s="42">
        <f>'Data_Raw++ (2016)'!G6</f>
        <v>4736.9847926462489</v>
      </c>
      <c r="H4" s="42">
        <f>'Data_Raw++ (2016)'!H6</f>
        <v>3573.5148435752403</v>
      </c>
      <c r="I4" s="42">
        <f>'Data_Raw++ (2016)'!I6</f>
        <v>441.67037392502971</v>
      </c>
      <c r="J4" s="42">
        <f>'Data_Raw++ (2016)'!J6</f>
        <v>1030.5642058250694</v>
      </c>
      <c r="K4" s="42">
        <f>'Data_Raw++ (2016)'!K6</f>
        <v>1366.0967379541617</v>
      </c>
      <c r="L4" s="42">
        <f>'Data_Raw++ (2016)'!L6</f>
        <v>949.3214619681462</v>
      </c>
      <c r="M4" s="42">
        <f>'Data_Raw++ (2016)'!M6</f>
        <v>716.15478709877709</v>
      </c>
      <c r="N4" s="42">
        <f>'Data_Raw++ (2016)'!N6</f>
        <v>635.08066025740607</v>
      </c>
      <c r="O4" s="42">
        <f>'Data_Raw++ (2016)'!O6</f>
        <v>540.99463651556812</v>
      </c>
      <c r="P4" s="42">
        <f>'Data_Raw++ (2016)'!P6</f>
        <v>442.63197533091937</v>
      </c>
      <c r="Q4" s="42">
        <f>'Data_Raw++ (2016)'!Q6</f>
        <v>282.99421373616161</v>
      </c>
      <c r="R4" s="42">
        <f>'Data_Raw++ (2016)'!R6</f>
        <v>70.748553434040403</v>
      </c>
      <c r="S4" s="42">
        <f>'Data_Raw++ (2016)'!S6</f>
        <v>250.83578035705233</v>
      </c>
      <c r="T4" s="42">
        <f>'Data_Raw++ (2016)'!T6</f>
        <v>294.45939433219189</v>
      </c>
      <c r="U4" s="42">
        <f>'Data_Raw++ (2016)'!U6</f>
        <v>64.63742802413968</v>
      </c>
      <c r="V4" s="42">
        <f>'Data_Raw++ (2016)'!V6</f>
        <v>30.417613187830433</v>
      </c>
      <c r="W4" s="42">
        <f>'Data_Raw++ (2016)'!W6</f>
        <v>82.240213433763756</v>
      </c>
      <c r="X4" s="42">
        <f>'Data_Raw++ (2016)'!X6</f>
        <v>134.18140086561453</v>
      </c>
      <c r="Y4" s="42">
        <f>'Data_Raw++ (2016)'!Y6</f>
        <v>60.28439749034856</v>
      </c>
      <c r="Z4" s="42">
        <f>'Data_Raw++ (2016)'!Z6</f>
        <v>79.911875743020175</v>
      </c>
      <c r="AA4" s="42">
        <f>'Data_Raw++ (2016)'!AA6</f>
        <v>76.77807669427429</v>
      </c>
    </row>
    <row r="5" spans="1:27" x14ac:dyDescent="0.2">
      <c r="A5" s="1" t="s">
        <v>18</v>
      </c>
      <c r="B5" s="42">
        <f>'Data_Raw++ (2016)'!B7</f>
        <v>16000</v>
      </c>
      <c r="C5" s="42">
        <f>'Data_Raw++ (2016)'!C7</f>
        <v>2390.8045977011498</v>
      </c>
      <c r="D5" s="42">
        <f>'Data_Raw++ (2016)'!D7</f>
        <v>5578.5440613026831</v>
      </c>
      <c r="E5" s="42">
        <f>'Data_Raw++ (2016)'!E7</f>
        <v>5359.7776275261067</v>
      </c>
      <c r="F5" s="42">
        <f>'Data_Raw++ (2016)'!F7</f>
        <v>4947.4870407933295</v>
      </c>
      <c r="G5" s="42">
        <f>'Data_Raw++ (2016)'!G7</f>
        <v>2905.6669922119554</v>
      </c>
      <c r="H5" s="42">
        <f>'Data_Raw++ (2016)'!H7</f>
        <v>1857.7215196109225</v>
      </c>
      <c r="I5" s="42">
        <f>'Data_Raw++ (2016)'!I7</f>
        <v>464.43037990273064</v>
      </c>
      <c r="J5" s="42">
        <f>'Data_Raw++ (2016)'!J7</f>
        <v>790.78686307762246</v>
      </c>
      <c r="K5" s="42">
        <f>'Data_Raw++ (2016)'!K7</f>
        <v>1092.0390013929073</v>
      </c>
      <c r="L5" s="42">
        <f>'Data_Raw++ (2016)'!L7</f>
        <v>858.03064395156991</v>
      </c>
      <c r="M5" s="42">
        <f>'Data_Raw++ (2016)'!M7</f>
        <v>503.9227591461601</v>
      </c>
      <c r="N5" s="42">
        <f>'Data_Raw++ (2016)'!N7</f>
        <v>412.30043930140369</v>
      </c>
      <c r="O5" s="42">
        <f>'Data_Raw++ (2016)'!O7</f>
        <v>446.65880924318731</v>
      </c>
      <c r="P5" s="42">
        <f>'Data_Raw++ (2016)'!P7</f>
        <v>1042.2038882341037</v>
      </c>
      <c r="Q5" s="42">
        <f>'Data_Raw++ (2016)'!Q7</f>
        <v>329.11701733708537</v>
      </c>
      <c r="R5" s="42">
        <f>'Data_Raw++ (2016)'!R7</f>
        <v>84.192725365300916</v>
      </c>
      <c r="S5" s="42">
        <f>'Data_Raw++ (2016)'!S7</f>
        <v>177.21685548919982</v>
      </c>
      <c r="T5" s="42">
        <f>'Data_Raw++ (2016)'!T7</f>
        <v>184.45019652957535</v>
      </c>
      <c r="U5" s="42">
        <f>'Data_Raw++ (2016)'!U7</f>
        <v>95.019798212205473</v>
      </c>
      <c r="V5" s="42">
        <f>'Data_Raw++ (2016)'!V7</f>
        <v>36.041992425319322</v>
      </c>
      <c r="W5" s="42">
        <f>'Data_Raw++ (2016)'!W7</f>
        <v>38.90126096104386</v>
      </c>
      <c r="X5" s="42">
        <f>'Data_Raw++ (2016)'!X7</f>
        <v>82.665179542218212</v>
      </c>
      <c r="Y5" s="42">
        <f>'Data_Raw++ (2016)'!Y7</f>
        <v>27.555059847406071</v>
      </c>
      <c r="Z5" s="42">
        <f>'Data_Raw++ (2016)'!Z7</f>
        <v>22.545048966059511</v>
      </c>
      <c r="AA5" s="42">
        <f>'Data_Raw++ (2016)'!AA7</f>
        <v>17.61716941063667</v>
      </c>
    </row>
    <row r="6" spans="1:27" x14ac:dyDescent="0.2">
      <c r="A6" s="1" t="s">
        <v>20</v>
      </c>
      <c r="B6" s="42">
        <f>'Data_Raw++ (2016)'!B8</f>
        <v>12000</v>
      </c>
      <c r="C6" s="42">
        <f>'Data_Raw++ (2016)'!C8</f>
        <v>1636.3636363636363</v>
      </c>
      <c r="D6" s="42">
        <f>'Data_Raw++ (2016)'!D8</f>
        <v>2169.1331923890061</v>
      </c>
      <c r="E6" s="42">
        <f>'Data_Raw++ (2016)'!E8</f>
        <v>1386.8228607077253</v>
      </c>
      <c r="F6" s="42">
        <f>'Data_Raw++ (2016)'!F8</f>
        <v>3947.1112189373716</v>
      </c>
      <c r="G6" s="42">
        <f>'Data_Raw++ (2016)'!G8</f>
        <v>751.83070836902323</v>
      </c>
      <c r="H6" s="42">
        <f>'Data_Raw++ (2016)'!H8</f>
        <v>918.90419911769504</v>
      </c>
      <c r="I6" s="42">
        <f>'Data_Raw++ (2016)'!I8</f>
        <v>201.71067785510377</v>
      </c>
      <c r="J6" s="42">
        <f>'Data_Raw++ (2016)'!J8</f>
        <v>493.84338371421956</v>
      </c>
      <c r="K6" s="42">
        <f>'Data_Raw++ (2016)'!K8</f>
        <v>740.76507557132925</v>
      </c>
      <c r="L6" s="42">
        <f>'Data_Raw++ (2016)'!L8</f>
        <v>173.75970908463279</v>
      </c>
      <c r="M6" s="42">
        <f>'Data_Raw++ (2016)'!M8</f>
        <v>203.97878892543849</v>
      </c>
      <c r="N6" s="42">
        <f>'Data_Raw++ (2016)'!N8</f>
        <v>107.55245234250393</v>
      </c>
      <c r="O6" s="42">
        <f>'Data_Raw++ (2016)'!O8</f>
        <v>215.54542942266917</v>
      </c>
      <c r="P6" s="42">
        <f>'Data_Raw++ (2016)'!P8</f>
        <v>351.67938484751284</v>
      </c>
      <c r="Q6" s="42">
        <f>'Data_Raw++ (2016)'!Q8</f>
        <v>234.45292323167524</v>
      </c>
      <c r="R6" s="42">
        <f>'Data_Raw++ (2016)'!R8</f>
        <v>39.075487205279209</v>
      </c>
      <c r="S6" s="42">
        <f>'Data_Raw++ (2016)'!S8</f>
        <v>95.762461601670168</v>
      </c>
      <c r="T6" s="42">
        <f>'Data_Raw++ (2016)'!T8</f>
        <v>27.360703314762908</v>
      </c>
      <c r="U6" s="42">
        <f>'Data_Raw++ (2016)'!U8</f>
        <v>88.039682440245159</v>
      </c>
      <c r="V6" s="42">
        <f>'Data_Raw++ (2016)'!V8</f>
        <v>10.881309065648278</v>
      </c>
      <c r="W6" s="42">
        <f>'Data_Raw++ (2016)'!W8</f>
        <v>10.881309065648278</v>
      </c>
      <c r="X6" s="42">
        <f>'Data_Raw++ (2016)'!X8</f>
        <v>15.868575720737072</v>
      </c>
      <c r="Y6" s="42">
        <f>'Data_Raw++ (2016)'!Y8</f>
        <v>22.85074903786138</v>
      </c>
      <c r="Z6" s="42">
        <f>'Data_Raw++ (2016)'!Z8</f>
        <v>9.333404536591269</v>
      </c>
      <c r="AA6" s="42">
        <f>'Data_Raw++ (2016)'!AA8</f>
        <v>10.524902988071007</v>
      </c>
    </row>
    <row r="7" spans="1:27" x14ac:dyDescent="0.2">
      <c r="A7" s="1" t="s">
        <v>32</v>
      </c>
      <c r="B7" s="42">
        <f>'Data_Raw++ (2016)'!B9</f>
        <v>11000</v>
      </c>
      <c r="C7" s="42">
        <f>'Data_Raw++ (2016)'!C9</f>
        <v>7644.0677966101703</v>
      </c>
      <c r="D7" s="42">
        <f>'Data_Raw++ (2016)'!D9</f>
        <v>7644.0677966101703</v>
      </c>
      <c r="E7" s="42">
        <f>'Data_Raw++ (2016)'!E9</f>
        <v>8281.0734463276858</v>
      </c>
      <c r="F7" s="42">
        <f>'Data_Raw++ (2016)'!F9</f>
        <v>5754.6442593124602</v>
      </c>
      <c r="G7" s="42">
        <f>'Data_Raw++ (2016)'!G9</f>
        <v>5989.5276984680704</v>
      </c>
      <c r="H7" s="42">
        <f>'Data_Raw++ (2016)'!H9</f>
        <v>3225.1302991751149</v>
      </c>
      <c r="I7" s="42">
        <f>'Data_Raw++ (2016)'!I9</f>
        <v>1254.2173385681003</v>
      </c>
      <c r="J7" s="42">
        <f>'Data_Raw++ (2016)'!J9</f>
        <v>2135.5592521564954</v>
      </c>
      <c r="K7" s="42">
        <f>'Data_Raw++ (2016)'!K9</f>
        <v>3340.2337020909285</v>
      </c>
      <c r="L7" s="42">
        <f>'Data_Raw++ (2016)'!L9</f>
        <v>1173.595625058975</v>
      </c>
      <c r="M7" s="42">
        <f>'Data_Raw++ (2016)'!M9</f>
        <v>1083.3190385159767</v>
      </c>
      <c r="N7" s="42">
        <f>'Data_Raw++ (2016)'!N9</f>
        <v>851.17924454826732</v>
      </c>
      <c r="O7" s="42">
        <f>'Data_Raw++ (2016)'!O9</f>
        <v>785.70391804455437</v>
      </c>
      <c r="P7" s="42">
        <f>'Data_Raw++ (2016)'!P9</f>
        <v>502.33529186455115</v>
      </c>
      <c r="Q7" s="42">
        <f>'Data_Raw++ (2016)'!Q9</f>
        <v>394.69201503643296</v>
      </c>
      <c r="R7" s="42">
        <f>'Data_Raw++ (2016)'!R9</f>
        <v>322.92983048435423</v>
      </c>
      <c r="S7" s="42">
        <f>'Data_Raw++ (2016)'!S9</f>
        <v>286.37173646725745</v>
      </c>
      <c r="T7" s="42">
        <f>'Data_Raw++ (2016)'!T9</f>
        <v>264.34314135439143</v>
      </c>
      <c r="U7" s="42">
        <f>'Data_Raw++ (2016)'!U9</f>
        <v>183.69608128017032</v>
      </c>
      <c r="V7" s="42">
        <f>'Data_Raw++ (2016)'!V9</f>
        <v>224.51743267576376</v>
      </c>
      <c r="W7" s="42">
        <f>'Data_Raw++ (2016)'!W9</f>
        <v>87.312334929463702</v>
      </c>
      <c r="X7" s="42">
        <f>'Data_Raw++ (2016)'!X9</f>
        <v>169.48865015719423</v>
      </c>
      <c r="Y7" s="42">
        <f>'Data_Raw++ (2016)'!Y9</f>
        <v>198.96493714105409</v>
      </c>
      <c r="Z7" s="42">
        <f>'Data_Raw++ (2016)'!Z9</f>
        <v>89.390044222792426</v>
      </c>
      <c r="AA7" s="42">
        <f>'Data_Raw++ (2016)'!AA9</f>
        <v>54.787446459130848</v>
      </c>
    </row>
    <row r="8" spans="1:27" x14ac:dyDescent="0.2">
      <c r="A8" s="1" t="s">
        <v>37</v>
      </c>
      <c r="B8" s="42">
        <f>'Data_Raw++ (2016)'!B10</f>
        <v>10000</v>
      </c>
      <c r="C8" s="42">
        <f>'Data_Raw++ (2016)'!C10</f>
        <v>2195.1219512195121</v>
      </c>
      <c r="D8" s="42">
        <f>'Data_Raw++ (2016)'!D10</f>
        <v>5121.9512195121952</v>
      </c>
      <c r="E8" s="42">
        <f>'Data_Raw++ (2016)'!E10</f>
        <v>4190.687361419069</v>
      </c>
      <c r="F8" s="42">
        <f>'Data_Raw++ (2016)'!F10</f>
        <v>4190.687361419069</v>
      </c>
      <c r="G8" s="42">
        <f>'Data_Raw++ (2016)'!G10</f>
        <v>2064.0698944302876</v>
      </c>
      <c r="H8" s="42">
        <f>'Data_Raw++ (2016)'!H10</f>
        <v>1905.2952871664193</v>
      </c>
      <c r="I8" s="42">
        <f>'Data_Raw++ (2016)'!I10</f>
        <v>302.42782335974908</v>
      </c>
      <c r="J8" s="42">
        <f>'Data_Raw++ (2016)'!J10</f>
        <v>1025.9282315511487</v>
      </c>
      <c r="K8" s="42">
        <f>'Data_Raw++ (2016)'!K10</f>
        <v>873.93886391394142</v>
      </c>
      <c r="L8" s="42">
        <f>'Data_Raw++ (2016)'!L10</f>
        <v>491.59061095159205</v>
      </c>
      <c r="M8" s="42">
        <f>'Data_Raw++ (2016)'!M10</f>
        <v>255.24897107101896</v>
      </c>
      <c r="N8" s="42">
        <f>'Data_Raw++ (2016)'!N10</f>
        <v>306.29876528522277</v>
      </c>
      <c r="O8" s="42">
        <f>'Data_Raw++ (2016)'!O10</f>
        <v>418.23555084140912</v>
      </c>
      <c r="P8" s="42">
        <f>'Data_Raw++ (2016)'!P10</f>
        <v>117.39945286776397</v>
      </c>
      <c r="Q8" s="42">
        <f>'Data_Raw++ (2016)'!Q10</f>
        <v>245.6304028751133</v>
      </c>
      <c r="R8" s="42">
        <f>'Data_Raw++ (2016)'!R10</f>
        <v>53.918868923805363</v>
      </c>
      <c r="S8" s="42">
        <f>'Data_Raw++ (2016)'!S10</f>
        <v>92.111401078167489</v>
      </c>
      <c r="T8" s="42">
        <f>'Data_Raw++ (2016)'!T10</f>
        <v>91.807803843236158</v>
      </c>
      <c r="U8" s="42">
        <f>'Data_Raw++ (2016)'!U10</f>
        <v>53.918868923805363</v>
      </c>
      <c r="V8" s="42">
        <f>'Data_Raw++ (2016)'!V10</f>
        <v>26.557054843068315</v>
      </c>
      <c r="W8" s="42">
        <f>'Data_Raw++ (2016)'!W10</f>
        <v>36.515950409218931</v>
      </c>
      <c r="X8" s="42">
        <f>'Data_Raw++ (2016)'!X10</f>
        <v>35.409406457424417</v>
      </c>
      <c r="Y8" s="42">
        <f>'Data_Raw++ (2016)'!Y10</f>
        <v>43.329931586058827</v>
      </c>
      <c r="Z8" s="42">
        <f>'Data_Raw++ (2016)'!Z10</f>
        <v>50.865571861895148</v>
      </c>
      <c r="AA8" s="42">
        <f>'Data_Raw++ (2016)'!AA10</f>
        <v>46.952835564826287</v>
      </c>
    </row>
    <row r="9" spans="1:27" x14ac:dyDescent="0.2">
      <c r="A9" s="1" t="s">
        <v>42</v>
      </c>
      <c r="B9" s="42">
        <f>'Data_Raw++ (2016)'!B11</f>
        <v>8000</v>
      </c>
      <c r="C9" s="42">
        <f>'Data_Raw++ (2016)'!C11</f>
        <v>7686.2745098039213</v>
      </c>
      <c r="D9" s="42">
        <f>'Data_Raw++ (2016)'!D11</f>
        <v>7384.8519800076883</v>
      </c>
      <c r="E9" s="42">
        <f>'Data_Raw++ (2016)'!E11</f>
        <v>4526.1996006498739</v>
      </c>
      <c r="F9" s="42">
        <f>'Data_Raw++ (2016)'!F11</f>
        <v>2129.9762826587639</v>
      </c>
      <c r="G9" s="42">
        <f>'Data_Raw++ (2016)'!G11</f>
        <v>5477.0818696939632</v>
      </c>
      <c r="H9" s="42">
        <f>'Data_Raw++ (2016)'!H11</f>
        <v>2949.1979298352103</v>
      </c>
      <c r="I9" s="42">
        <f>'Data_Raw++ (2016)'!I11</f>
        <v>983.0659766117368</v>
      </c>
      <c r="J9" s="42">
        <f>'Data_Raw++ (2016)'!J11</f>
        <v>1023.1911185142568</v>
      </c>
      <c r="K9" s="42">
        <f>'Data_Raw++ (2016)'!K11</f>
        <v>1472.3969754229549</v>
      </c>
      <c r="L9" s="42">
        <f>'Data_Raw++ (2016)'!L11</f>
        <v>661.51168461031307</v>
      </c>
      <c r="M9" s="42">
        <f>'Data_Raw++ (2016)'!M11</f>
        <v>635.57004991971257</v>
      </c>
      <c r="N9" s="42">
        <f>'Data_Raw++ (2016)'!N11</f>
        <v>953.35507487956875</v>
      </c>
      <c r="O9" s="42">
        <f>'Data_Raw++ (2016)'!O11</f>
        <v>513.3450403197678</v>
      </c>
      <c r="P9" s="42">
        <f>'Data_Raw++ (2016)'!P11</f>
        <v>128.33626007994195</v>
      </c>
      <c r="Q9" s="42">
        <f>'Data_Raw++ (2016)'!Q11</f>
        <v>260.56149773806396</v>
      </c>
      <c r="R9" s="42">
        <f>'Data_Raw++ (2016)'!R11</f>
        <v>231.06396969224539</v>
      </c>
      <c r="S9" s="42">
        <f>'Data_Raw++ (2016)'!S11</f>
        <v>332.50668809371899</v>
      </c>
      <c r="T9" s="42">
        <f>'Data_Raw++ (2016)'!T11</f>
        <v>221.67112539581268</v>
      </c>
      <c r="U9" s="42">
        <f>'Data_Raw++ (2016)'!U11</f>
        <v>77.884449463393651</v>
      </c>
      <c r="V9" s="42">
        <f>'Data_Raw++ (2016)'!V11</f>
        <v>11.637906241656523</v>
      </c>
      <c r="W9" s="42">
        <f>'Data_Raw++ (2016)'!W11</f>
        <v>65.948135369386975</v>
      </c>
      <c r="X9" s="42">
        <f>'Data_Raw++ (2016)'!X11</f>
        <v>103.14964762904116</v>
      </c>
      <c r="Y9" s="42">
        <f>'Data_Raw++ (2016)'!Y11</f>
        <v>191.56363131107645</v>
      </c>
      <c r="Z9" s="42">
        <f>'Data_Raw++ (2016)'!Z11</f>
        <v>47.890907827769112</v>
      </c>
      <c r="AA9" s="42">
        <f>'Data_Raw++ (2016)'!AA11</f>
        <v>85.13939169381176</v>
      </c>
    </row>
    <row r="10" spans="1:27" x14ac:dyDescent="0.2">
      <c r="A10" s="1" t="s">
        <v>43</v>
      </c>
      <c r="B10" s="42">
        <f>'Data_Raw++ (2016)'!B12</f>
        <v>9000</v>
      </c>
      <c r="C10" s="42">
        <f>'Data_Raw++ (2016)'!C12</f>
        <v>2538.4615384615381</v>
      </c>
      <c r="D10" s="42">
        <f>'Data_Raw++ (2016)'!D12</f>
        <v>7224.8520710059156</v>
      </c>
      <c r="E10" s="42">
        <f>'Data_Raw++ (2016)'!E12</f>
        <v>3558.5092290029133</v>
      </c>
      <c r="F10" s="42">
        <f>'Data_Raw++ (2016)'!F12</f>
        <v>3031.3226765580371</v>
      </c>
      <c r="G10" s="42">
        <f>'Data_Raw++ (2016)'!G12</f>
        <v>3858.0470428920476</v>
      </c>
      <c r="H10" s="42">
        <f>'Data_Raw++ (2016)'!H12</f>
        <v>3286.4845180191514</v>
      </c>
      <c r="I10" s="42">
        <f>'Data_Raw++ (2016)'!I12</f>
        <v>821.62112950478786</v>
      </c>
      <c r="J10" s="42">
        <f>'Data_Raw++ (2016)'!J12</f>
        <v>2112.7400472980257</v>
      </c>
      <c r="K10" s="42">
        <f>'Data_Raw++ (2016)'!K12</f>
        <v>1040.6033068781319</v>
      </c>
      <c r="L10" s="42">
        <f>'Data_Raw++ (2016)'!L12</f>
        <v>310.82955919736406</v>
      </c>
      <c r="M10" s="42">
        <f>'Data_Raw++ (2016)'!M12</f>
        <v>350.50992845660204</v>
      </c>
      <c r="N10" s="42">
        <f>'Data_Raw++ (2016)'!N12</f>
        <v>680.40162582752168</v>
      </c>
      <c r="O10" s="42">
        <f>'Data_Raw++ (2016)'!O12</f>
        <v>214.8636713139542</v>
      </c>
      <c r="P10" s="42">
        <f>'Data_Raw++ (2016)'!P12</f>
        <v>206.4376449879168</v>
      </c>
      <c r="Q10" s="42">
        <f>'Data_Raw++ (2016)'!Q12</f>
        <v>168.90352771738645</v>
      </c>
      <c r="R10" s="42">
        <f>'Data_Raw++ (2016)'!R12</f>
        <v>35.188234941122175</v>
      </c>
      <c r="S10" s="42">
        <f>'Data_Raw++ (2016)'!S12</f>
        <v>155.91094866220288</v>
      </c>
      <c r="T10" s="42">
        <f>'Data_Raw++ (2016)'!T12</f>
        <v>99.680770456162506</v>
      </c>
      <c r="U10" s="42">
        <f>'Data_Raw++ (2016)'!U12</f>
        <v>18.45940193632639</v>
      </c>
      <c r="V10" s="42">
        <f>'Data_Raw++ (2016)'!V12</f>
        <v>14.573212054994519</v>
      </c>
      <c r="W10" s="42">
        <f>'Data_Raw++ (2016)'!W12</f>
        <v>41.444682555775451</v>
      </c>
      <c r="X10" s="42">
        <f>'Data_Raw++ (2016)'!X12</f>
        <v>22.316367530032934</v>
      </c>
      <c r="Y10" s="42">
        <f>'Data_Raw++ (2016)'!Y12</f>
        <v>30.817840874807384</v>
      </c>
      <c r="Z10" s="42">
        <f>'Data_Raw++ (2016)'!Z12</f>
        <v>8.6675177460395769</v>
      </c>
      <c r="AA10" s="42">
        <f>'Data_Raw++ (2016)'!AA12</f>
        <v>18.888354084559364</v>
      </c>
    </row>
    <row r="11" spans="1:27" x14ac:dyDescent="0.2">
      <c r="A11" s="1" t="s">
        <v>48</v>
      </c>
      <c r="B11" s="42">
        <f>'Data_Raw++ (2016)'!B13</f>
        <v>10000</v>
      </c>
      <c r="C11" s="42">
        <f>'Data_Raw++ (2016)'!C13</f>
        <v>5873.0158730158728</v>
      </c>
      <c r="D11" s="42">
        <f>'Data_Raw++ (2016)'!D13</f>
        <v>7785.1605758582491</v>
      </c>
      <c r="E11" s="42">
        <f>'Data_Raw++ (2016)'!E13</f>
        <v>5873.0158730158728</v>
      </c>
      <c r="F11" s="42">
        <f>'Data_Raw++ (2016)'!F13</f>
        <v>4081.248318536454</v>
      </c>
      <c r="G11" s="42">
        <f>'Data_Raw++ (2016)'!G13</f>
        <v>4988.1923893223329</v>
      </c>
      <c r="H11" s="42">
        <f>'Data_Raw++ (2016)'!H13</f>
        <v>2456.8708783229399</v>
      </c>
      <c r="I11" s="42">
        <f>'Data_Raw++ (2016)'!I13</f>
        <v>1381.9898690566538</v>
      </c>
      <c r="J11" s="42">
        <f>'Data_Raw++ (2016)'!J13</f>
        <v>1622.3359332404195</v>
      </c>
      <c r="K11" s="42">
        <f>'Data_Raw++ (2016)'!K13</f>
        <v>1622.3359332404195</v>
      </c>
      <c r="L11" s="42">
        <f>'Data_Raw++ (2016)'!L13</f>
        <v>994.33492682477322</v>
      </c>
      <c r="M11" s="42">
        <f>'Data_Raw++ (2016)'!M13</f>
        <v>1265.517179595166</v>
      </c>
      <c r="N11" s="42">
        <f>'Data_Raw++ (2016)'!N13</f>
        <v>879.42719260003059</v>
      </c>
      <c r="O11" s="42">
        <f>'Data_Raw++ (2016)'!O13</f>
        <v>611.12737112883485</v>
      </c>
      <c r="P11" s="42">
        <f>'Data_Raw++ (2016)'!P13</f>
        <v>261.91173048378636</v>
      </c>
      <c r="Q11" s="42">
        <f>'Data_Raw++ (2016)'!Q13</f>
        <v>376.89736825715596</v>
      </c>
      <c r="R11" s="42">
        <f>'Data_Raw++ (2016)'!R13</f>
        <v>261.91173048378636</v>
      </c>
      <c r="S11" s="42">
        <f>'Data_Raw++ (2016)'!S13</f>
        <v>347.18531715292607</v>
      </c>
      <c r="T11" s="42">
        <f>'Data_Raw++ (2016)'!T13</f>
        <v>171.00172337382924</v>
      </c>
      <c r="U11" s="42">
        <f>'Data_Raw++ (2016)'!U13</f>
        <v>139.9105009422239</v>
      </c>
      <c r="V11" s="42">
        <f>'Data_Raw++ (2016)'!V13</f>
        <v>54.409639255309308</v>
      </c>
      <c r="W11" s="42">
        <f>'Data_Raw++ (2016)'!W13</f>
        <v>92.643439813094233</v>
      </c>
      <c r="X11" s="42">
        <f>'Data_Raw++ (2016)'!X13</f>
        <v>92.643439813094233</v>
      </c>
      <c r="Y11" s="42">
        <f>'Data_Raw++ (2016)'!Y13</f>
        <v>100.36372646418542</v>
      </c>
      <c r="Z11" s="42">
        <f>'Data_Raw++ (2016)'!Z13</f>
        <v>69.744284492061055</v>
      </c>
      <c r="AA11" s="42">
        <f>'Data_Raw++ (2016)'!AA13</f>
        <v>42.746496946747101</v>
      </c>
    </row>
    <row r="12" spans="1:27" x14ac:dyDescent="0.2">
      <c r="A12" s="1" t="s">
        <v>44</v>
      </c>
      <c r="B12" s="42">
        <f>'Data_Raw++ (2016)'!B14</f>
        <v>10000</v>
      </c>
      <c r="C12" s="42">
        <f>'Data_Raw++ (2016)'!C14</f>
        <v>1235.9550561797753</v>
      </c>
      <c r="D12" s="42">
        <f>'Data_Raw++ (2016)'!D14</f>
        <v>3707.8651685393261</v>
      </c>
      <c r="E12" s="42">
        <f>'Data_Raw++ (2016)'!E14</f>
        <v>3562.4586913417052</v>
      </c>
      <c r="F12" s="42">
        <f>'Data_Raw++ (2016)'!F14</f>
        <v>3859.3302489535145</v>
      </c>
      <c r="G12" s="42">
        <f>'Data_Raw++ (2016)'!G14</f>
        <v>2078.1009032826614</v>
      </c>
      <c r="H12" s="42">
        <f>'Data_Raw++ (2016)'!H14</f>
        <v>4848.9021076595436</v>
      </c>
      <c r="I12" s="42">
        <f>'Data_Raw++ (2016)'!I14</f>
        <v>149.96604456679003</v>
      </c>
      <c r="J12" s="42">
        <f>'Data_Raw++ (2016)'!J14</f>
        <v>564.15797717982923</v>
      </c>
      <c r="K12" s="42">
        <f>'Data_Raw++ (2016)'!K14</f>
        <v>520.76120970445777</v>
      </c>
      <c r="L12" s="42">
        <f>'Data_Raw++ (2016)'!L14</f>
        <v>542.01676928423149</v>
      </c>
      <c r="M12" s="42">
        <f>'Data_Raw++ (2016)'!M14</f>
        <v>361.34451285615432</v>
      </c>
      <c r="N12" s="42">
        <f>'Data_Raw++ (2016)'!N14</f>
        <v>231.02354100639377</v>
      </c>
      <c r="O12" s="42">
        <f>'Data_Raw++ (2016)'!O14</f>
        <v>221.96379430026067</v>
      </c>
      <c r="P12" s="42">
        <f>'Data_Raw++ (2016)'!P14</f>
        <v>319.41131374915562</v>
      </c>
      <c r="Q12" s="42">
        <f>'Data_Raw++ (2016)'!Q14</f>
        <v>195.7682245559341</v>
      </c>
      <c r="R12" s="42">
        <f>'Data_Raw++ (2016)'!R14</f>
        <v>29.252723209507394</v>
      </c>
      <c r="S12" s="42">
        <f>'Data_Raw++ (2016)'!S14</f>
        <v>133.26240573220036</v>
      </c>
      <c r="T12" s="42">
        <f>'Data_Raw++ (2016)'!T14</f>
        <v>54.431123468081836</v>
      </c>
      <c r="U12" s="42">
        <f>'Data_Raw++ (2016)'!U14</f>
        <v>37.825018003243308</v>
      </c>
      <c r="V12" s="42">
        <f>'Data_Raw++ (2016)'!V14</f>
        <v>6.1575610702954231</v>
      </c>
      <c r="W12" s="42">
        <f>'Data_Raw++ (2016)'!W14</f>
        <v>16.648220671539477</v>
      </c>
      <c r="X12" s="42">
        <f>'Data_Raw++ (2016)'!X14</f>
        <v>45.011855889717843</v>
      </c>
      <c r="Y12" s="42">
        <f>'Data_Raw++ (2016)'!Y14</f>
        <v>57.287816586913621</v>
      </c>
      <c r="Z12" s="42">
        <f>'Data_Raw++ (2016)'!Z14</f>
        <v>62.061801302489755</v>
      </c>
      <c r="AA12" s="42">
        <f>'Data_Raw++ (2016)'!AA14</f>
        <v>34.909763232650484</v>
      </c>
    </row>
    <row r="13" spans="1:27" x14ac:dyDescent="0.2">
      <c r="A13" s="1" t="s">
        <v>55</v>
      </c>
      <c r="B13" s="42">
        <f>'Data_Raw++ (2016)'!B15</f>
        <v>7000</v>
      </c>
      <c r="C13" s="42">
        <f>'Data_Raw++ (2016)'!C15</f>
        <v>4864.406779661017</v>
      </c>
      <c r="D13" s="42">
        <f>'Data_Raw++ (2016)'!D15</f>
        <v>5062.9539951573852</v>
      </c>
      <c r="E13" s="42">
        <f>'Data_Raw++ (2016)'!E15</f>
        <v>4312.88673661555</v>
      </c>
      <c r="F13" s="42">
        <f>'Data_Raw++ (2016)'!F15</f>
        <v>3388.6967216265034</v>
      </c>
      <c r="G13" s="42">
        <f>'Data_Raw++ (2016)'!G15</f>
        <v>3671.0881150953787</v>
      </c>
      <c r="H13" s="42">
        <f>'Data_Raw++ (2016)'!H15</f>
        <v>2064.9870647411503</v>
      </c>
      <c r="I13" s="42">
        <f>'Data_Raw++ (2016)'!I15</f>
        <v>453.28984347976473</v>
      </c>
      <c r="J13" s="42">
        <f>'Data_Raw++ (2016)'!J15</f>
        <v>1225.561428667512</v>
      </c>
      <c r="K13" s="42">
        <f>'Data_Raw++ (2016)'!K15</f>
        <v>1225.561428667512</v>
      </c>
      <c r="L13" s="42">
        <f>'Data_Raw++ (2016)'!L15</f>
        <v>689.37830362547538</v>
      </c>
      <c r="M13" s="42">
        <f>'Data_Raw++ (2016)'!M15</f>
        <v>404.87297197051726</v>
      </c>
      <c r="N13" s="42">
        <f>'Data_Raw++ (2016)'!N15</f>
        <v>785.92988676629818</v>
      </c>
      <c r="O13" s="42">
        <f>'Data_Raw++ (2016)'!O15</f>
        <v>442.08556130604268</v>
      </c>
      <c r="P13" s="42">
        <f>'Data_Raw++ (2016)'!P15</f>
        <v>208.04026414402009</v>
      </c>
      <c r="Q13" s="42">
        <f>'Data_Raw++ (2016)'!Q15</f>
        <v>177.21948427083191</v>
      </c>
      <c r="R13" s="42">
        <f>'Data_Raw++ (2016)'!R15</f>
        <v>108.6183935853486</v>
      </c>
      <c r="S13" s="42">
        <f>'Data_Raw++ (2016)'!S15</f>
        <v>104.35884873886434</v>
      </c>
      <c r="T13" s="42">
        <f>'Data_Raw++ (2016)'!T15</f>
        <v>122.50821373692771</v>
      </c>
      <c r="U13" s="42">
        <f>'Data_Raw++ (2016)'!U15</f>
        <v>100.23399305748632</v>
      </c>
      <c r="V13" s="42">
        <f>'Data_Raw++ (2016)'!V15</f>
        <v>88.886748560412371</v>
      </c>
      <c r="W13" s="42">
        <f>'Data_Raw++ (2016)'!W15</f>
        <v>52.203328519607261</v>
      </c>
      <c r="X13" s="42">
        <f>'Data_Raw++ (2016)'!X15</f>
        <v>61.28216826214765</v>
      </c>
      <c r="Y13" s="42">
        <f>'Data_Raw++ (2016)'!Y15</f>
        <v>63.783481252439387</v>
      </c>
      <c r="Z13" s="42">
        <f>'Data_Raw++ (2016)'!Z15</f>
        <v>52.186484661086773</v>
      </c>
      <c r="AA13" s="42">
        <f>'Data_Raw++ (2016)'!AA15</f>
        <v>58.848589085906362</v>
      </c>
    </row>
    <row r="14" spans="1:27" x14ac:dyDescent="0.2">
      <c r="A14" s="1" t="s">
        <v>60</v>
      </c>
      <c r="B14" s="42">
        <f>'Data_Raw++ (2016)'!B16</f>
        <v>7000</v>
      </c>
      <c r="C14" s="42">
        <f>'Data_Raw++ (2016)'!C16</f>
        <v>3294.1176470588234</v>
      </c>
      <c r="D14" s="42">
        <f>'Data_Raw++ (2016)'!D16</f>
        <v>3867.0076726342709</v>
      </c>
      <c r="E14" s="42">
        <f>'Data_Raw++ (2016)'!E16</f>
        <v>2917.2163144433976</v>
      </c>
      <c r="F14" s="42">
        <f>'Data_Raw++ (2016)'!F16</f>
        <v>2802.8156746613035</v>
      </c>
      <c r="G14" s="42">
        <f>'Data_Raw++ (2016)'!G16</f>
        <v>2917.2163144433976</v>
      </c>
      <c r="H14" s="42">
        <f>'Data_Raw++ (2016)'!H16</f>
        <v>2112.4669863210811</v>
      </c>
      <c r="I14" s="42">
        <f>'Data_Raw++ (2016)'!I16</f>
        <v>315.65598646177074</v>
      </c>
      <c r="J14" s="42">
        <f>'Data_Raw++ (2016)'!J16</f>
        <v>1119.1439520008237</v>
      </c>
      <c r="K14" s="42">
        <f>'Data_Raw++ (2016)'!K16</f>
        <v>1119.1439520008237</v>
      </c>
      <c r="L14" s="42">
        <f>'Data_Raw++ (2016)'!L16</f>
        <v>413.92995484961972</v>
      </c>
      <c r="M14" s="42">
        <f>'Data_Raw++ (2016)'!M16</f>
        <v>312.26294839532716</v>
      </c>
      <c r="N14" s="42">
        <f>'Data_Raw++ (2016)'!N16</f>
        <v>509.48165264500744</v>
      </c>
      <c r="O14" s="42">
        <f>'Data_Raw++ (2016)'!O16</f>
        <v>325.73417136320154</v>
      </c>
      <c r="P14" s="42">
        <f>'Data_Raw++ (2016)'!P16</f>
        <v>167.80245191437658</v>
      </c>
      <c r="Q14" s="42">
        <f>'Data_Raw++ (2016)'!Q16</f>
        <v>111.86830127625106</v>
      </c>
      <c r="R14" s="42">
        <f>'Data_Raw++ (2016)'!R16</f>
        <v>62.925919467891219</v>
      </c>
      <c r="S14" s="42">
        <f>'Data_Raw++ (2016)'!S16</f>
        <v>83.413428131855795</v>
      </c>
      <c r="T14" s="42">
        <f>'Data_Raw++ (2016)'!T16</f>
        <v>83.413428131855795</v>
      </c>
      <c r="U14" s="42">
        <f>'Data_Raw++ (2016)'!U16</f>
        <v>51.124359177589042</v>
      </c>
      <c r="V14" s="42">
        <f>'Data_Raw++ (2016)'!V16</f>
        <v>76.686538766383563</v>
      </c>
      <c r="W14" s="42">
        <f>'Data_Raw++ (2016)'!W16</f>
        <v>26.943919026026659</v>
      </c>
      <c r="X14" s="42">
        <f>'Data_Raw++ (2016)'!X16</f>
        <v>34.292260578579388</v>
      </c>
      <c r="Y14" s="42">
        <f>'Data_Raw++ (2016)'!Y16</f>
        <v>43.644695281828312</v>
      </c>
      <c r="Z14" s="42">
        <f>'Data_Raw++ (2016)'!Z16</f>
        <v>20.538680132625085</v>
      </c>
      <c r="AA14" s="42">
        <f>'Data_Raw++ (2016)'!AA16</f>
        <v>30.808020198937623</v>
      </c>
    </row>
    <row r="15" spans="1:27" x14ac:dyDescent="0.2">
      <c r="A15" s="1" t="s">
        <v>61</v>
      </c>
      <c r="B15" s="42">
        <f>'Data_Raw++ (2016)'!B17</f>
        <v>6000</v>
      </c>
      <c r="C15" s="42">
        <f>'Data_Raw++ (2016)'!C17</f>
        <v>1792.2077922077924</v>
      </c>
      <c r="D15" s="42">
        <f>'Data_Raw++ (2016)'!D17</f>
        <v>4387.8190774742507</v>
      </c>
      <c r="E15" s="42">
        <f>'Data_Raw++ (2016)'!E17</f>
        <v>2689.3084668390566</v>
      </c>
      <c r="F15" s="42">
        <f>'Data_Raw++ (2016)'!F17</f>
        <v>2200.3432910501369</v>
      </c>
      <c r="G15" s="42">
        <f>'Data_Raw++ (2016)'!G17</f>
        <v>2031.0861148155109</v>
      </c>
      <c r="H15" s="42">
        <f>'Data_Raw++ (2016)'!H17</f>
        <v>1661.7977303035998</v>
      </c>
      <c r="I15" s="42">
        <f>'Data_Raw++ (2016)'!I17</f>
        <v>415.44943257589995</v>
      </c>
      <c r="J15" s="42">
        <f>'Data_Raw++ (2016)'!J17</f>
        <v>623.17414886384984</v>
      </c>
      <c r="K15" s="42">
        <f>'Data_Raw++ (2016)'!K17</f>
        <v>598.73594694762039</v>
      </c>
      <c r="L15" s="42">
        <f>'Data_Raw++ (2016)'!L17</f>
        <v>221.45028174775004</v>
      </c>
      <c r="M15" s="42">
        <f>'Data_Raw++ (2016)'!M17</f>
        <v>361.31361758843428</v>
      </c>
      <c r="N15" s="42">
        <f>'Data_Raw++ (2016)'!N17</f>
        <v>333.52026238932393</v>
      </c>
      <c r="O15" s="42">
        <f>'Data_Raw++ (2016)'!O17</f>
        <v>195.87697949849183</v>
      </c>
      <c r="P15" s="42">
        <f>'Data_Raw++ (2016)'!P17</f>
        <v>90.103410569306249</v>
      </c>
      <c r="Q15" s="42">
        <f>'Data_Raw++ (2016)'!Q17</f>
        <v>83.947276927925074</v>
      </c>
      <c r="R15" s="42">
        <f>'Data_Raw++ (2016)'!R17</f>
        <v>29.268973948050505</v>
      </c>
      <c r="S15" s="42">
        <f>'Data_Raw++ (2016)'!S17</f>
        <v>83.304002775220667</v>
      </c>
      <c r="T15" s="42">
        <f>'Data_Raw++ (2016)'!T17</f>
        <v>73.873360951610763</v>
      </c>
      <c r="U15" s="42">
        <f>'Data_Raw++ (2016)'!U17</f>
        <v>23.32842977419287</v>
      </c>
      <c r="V15" s="42">
        <f>'Data_Raw++ (2016)'!V17</f>
        <v>4.4134867140364893</v>
      </c>
      <c r="W15" s="42">
        <f>'Data_Raw++ (2016)'!W17</f>
        <v>20.596271332170286</v>
      </c>
      <c r="X15" s="42">
        <f>'Data_Raw++ (2016)'!X17</f>
        <v>41.816672098648759</v>
      </c>
      <c r="Y15" s="42">
        <f>'Data_Raw++ (2016)'!Y17</f>
        <v>27.877781399099174</v>
      </c>
      <c r="Z15" s="42">
        <f>'Data_Raw++ (2016)'!Z17</f>
        <v>13.118955952517258</v>
      </c>
      <c r="AA15" s="42">
        <f>'Data_Raw++ (2016)'!AA17</f>
        <v>25.46620861370997</v>
      </c>
    </row>
    <row r="16" spans="1:27" x14ac:dyDescent="0.2">
      <c r="A16" s="1" t="s">
        <v>57</v>
      </c>
      <c r="B16" s="42">
        <f>'Data_Raw++ (2016)'!B18</f>
        <v>6000</v>
      </c>
      <c r="C16" s="42">
        <f>'Data_Raw++ (2016)'!C18</f>
        <v>976.74418604651169</v>
      </c>
      <c r="D16" s="42">
        <f>'Data_Raw++ (2016)'!D18</f>
        <v>1405.5587067498582</v>
      </c>
      <c r="E16" s="42">
        <f>'Data_Raw++ (2016)'!E18</f>
        <v>2610.3233125354514</v>
      </c>
      <c r="F16" s="42">
        <f>'Data_Raw++ (2016)'!F18</f>
        <v>2943.5560758378501</v>
      </c>
      <c r="G16" s="42">
        <f>'Data_Raw++ (2016)'!G18</f>
        <v>735.88901895946253</v>
      </c>
      <c r="H16" s="42">
        <f>'Data_Raw++ (2016)'!H18</f>
        <v>1563.7641652888581</v>
      </c>
      <c r="I16" s="42">
        <f>'Data_Raw++ (2016)'!I18</f>
        <v>96.231640940852799</v>
      </c>
      <c r="J16" s="42">
        <f>'Data_Raw++ (2016)'!J18</f>
        <v>441.06168764557538</v>
      </c>
      <c r="K16" s="42">
        <f>'Data_Raw++ (2016)'!K18</f>
        <v>609.08518770103262</v>
      </c>
      <c r="L16" s="42">
        <f>'Data_Raw++ (2016)'!L18</f>
        <v>225.27808312229976</v>
      </c>
      <c r="M16" s="42">
        <f>'Data_Raw++ (2016)'!M18</f>
        <v>95.117412873859891</v>
      </c>
      <c r="N16" s="42">
        <f>'Data_Raw++ (2016)'!N18</f>
        <v>90.239596829046562</v>
      </c>
      <c r="O16" s="42">
        <f>'Data_Raw++ (2016)'!O18</f>
        <v>254.56625946562806</v>
      </c>
      <c r="P16" s="42">
        <f>'Data_Raw++ (2016)'!P18</f>
        <v>143.19352094941578</v>
      </c>
      <c r="Q16" s="42">
        <f>'Data_Raw++ (2016)'!Q18</f>
        <v>112.50919503168383</v>
      </c>
      <c r="R16" s="42">
        <f>'Data_Raw++ (2016)'!R18</f>
        <v>26.59308246203436</v>
      </c>
      <c r="S16" s="42">
        <f>'Data_Raw++ (2016)'!S18</f>
        <v>30.684325917731954</v>
      </c>
      <c r="T16" s="42">
        <f>'Data_Raw++ (2016)'!T18</f>
        <v>39.88962369305154</v>
      </c>
      <c r="U16" s="42">
        <f>'Data_Raw++ (2016)'!U18</f>
        <v>19.160901250101038</v>
      </c>
      <c r="V16" s="42">
        <f>'Data_Raw++ (2016)'!V18</f>
        <v>20.75764302094279</v>
      </c>
      <c r="W16" s="42">
        <f>'Data_Raw++ (2016)'!W18</f>
        <v>88.493109720861383</v>
      </c>
      <c r="X16" s="42">
        <f>'Data_Raw++ (2016)'!X18</f>
        <v>0</v>
      </c>
      <c r="Y16" s="42">
        <f>'Data_Raw++ (2016)'!Y18</f>
        <v>10.693331253212952</v>
      </c>
      <c r="Z16" s="42">
        <f>'Data_Raw++ (2016)'!Z18</f>
        <v>6.5539772197111636</v>
      </c>
      <c r="AA16" s="42">
        <f>'Data_Raw++ (2016)'!AA18</f>
        <v>0</v>
      </c>
    </row>
    <row r="17" spans="1:27" x14ac:dyDescent="0.2">
      <c r="A17" s="1" t="s">
        <v>71</v>
      </c>
      <c r="B17" s="42">
        <f>'Data_Raw++ (2016)'!B19</f>
        <v>8000</v>
      </c>
      <c r="C17" s="42">
        <f>'Data_Raw++ (2016)'!C19</f>
        <v>4698.4126984126979</v>
      </c>
      <c r="D17" s="42">
        <f>'Data_Raw++ (2016)'!D19</f>
        <v>4514.161220043572</v>
      </c>
      <c r="E17" s="42">
        <f>'Data_Raw++ (2016)'!E19</f>
        <v>4514.161220043572</v>
      </c>
      <c r="F17" s="42">
        <f>'Data_Raw++ (2016)'!F19</f>
        <v>3693.4046345811043</v>
      </c>
      <c r="G17" s="42">
        <f>'Data_Raw++ (2016)'!G19</f>
        <v>3275.2833551945637</v>
      </c>
      <c r="H17" s="42">
        <f>'Data_Raw++ (2016)'!H19</f>
        <v>1150.7752329061982</v>
      </c>
      <c r="I17" s="42">
        <f>'Data_Raw++ (2016)'!I19</f>
        <v>517.0149597114804</v>
      </c>
      <c r="J17" s="42">
        <f>'Data_Raw++ (2016)'!J19</f>
        <v>1551.0448791344411</v>
      </c>
      <c r="K17" s="42">
        <f>'Data_Raw++ (2016)'!K19</f>
        <v>950.64040979207675</v>
      </c>
      <c r="L17" s="42">
        <f>'Data_Raw++ (2016)'!L19</f>
        <v>660.61452205890077</v>
      </c>
      <c r="M17" s="42">
        <f>'Data_Raw++ (2016)'!M19</f>
        <v>687.57838010212117</v>
      </c>
      <c r="N17" s="42">
        <f>'Data_Raw++ (2016)'!N19</f>
        <v>687.57838010212117</v>
      </c>
      <c r="O17" s="42">
        <f>'Data_Raw++ (2016)'!O19</f>
        <v>458.38558673474745</v>
      </c>
      <c r="P17" s="42">
        <f>'Data_Raw++ (2016)'!P19</f>
        <v>205.941350561988</v>
      </c>
      <c r="Q17" s="42">
        <f>'Data_Raw++ (2016)'!Q19</f>
        <v>175.43152084910088</v>
      </c>
      <c r="R17" s="42">
        <f>'Data_Raw++ (2016)'!R19</f>
        <v>75.184937506757521</v>
      </c>
      <c r="S17" s="42">
        <f>'Data_Raw++ (2016)'!S19</f>
        <v>159.76799220185976</v>
      </c>
      <c r="T17" s="42">
        <f>'Data_Raw++ (2016)'!T19</f>
        <v>153.50258074296329</v>
      </c>
      <c r="U17" s="42">
        <f>'Data_Raw++ (2016)'!U19</f>
        <v>86.345201667916854</v>
      </c>
      <c r="V17" s="42">
        <f>'Data_Raw++ (2016)'!V19</f>
        <v>62.525835690560477</v>
      </c>
      <c r="W17" s="42">
        <f>'Data_Raw++ (2016)'!W19</f>
        <v>60.07384213406791</v>
      </c>
      <c r="X17" s="42">
        <f>'Data_Raw++ (2016)'!X19</f>
        <v>170.97939684311635</v>
      </c>
      <c r="Y17" s="42">
        <f>'Data_Raw++ (2016)'!Y19</f>
        <v>73.276884361335576</v>
      </c>
      <c r="Z17" s="42">
        <f>'Data_Raw++ (2016)'!Z19</f>
        <v>44.911638802108897</v>
      </c>
      <c r="AA17" s="42">
        <f>'Data_Raw++ (2016)'!AA19</f>
        <v>36.745886292634552</v>
      </c>
    </row>
    <row r="18" spans="1:27" x14ac:dyDescent="0.2">
      <c r="A18" s="1" t="s">
        <v>79</v>
      </c>
      <c r="B18" s="42">
        <f>'Data_Raw++ (2016)'!B20</f>
        <v>6000</v>
      </c>
      <c r="C18" s="42">
        <f>'Data_Raw++ (2016)'!C20</f>
        <v>3836.0655737704924</v>
      </c>
      <c r="D18" s="42">
        <f>'Data_Raw++ (2016)'!D20</f>
        <v>5085.0171559283262</v>
      </c>
      <c r="E18" s="42">
        <f>'Data_Raw++ (2016)'!E20</f>
        <v>3390.0114372855514</v>
      </c>
      <c r="F18" s="42">
        <f>'Data_Raw++ (2016)'!F20</f>
        <v>2663.5804150100762</v>
      </c>
      <c r="G18" s="42">
        <f>'Data_Raw++ (2016)'!G20</f>
        <v>3003.6119573517885</v>
      </c>
      <c r="H18" s="42">
        <f>'Data_Raw++ (2016)'!H20</f>
        <v>2002.4079715678592</v>
      </c>
      <c r="I18" s="42">
        <f>'Data_Raw++ (2016)'!I20</f>
        <v>986.26064271252778</v>
      </c>
      <c r="J18" s="42">
        <f>'Data_Raw++ (2016)'!J20</f>
        <v>1205.4296744264227</v>
      </c>
      <c r="K18" s="42">
        <f>'Data_Raw++ (2016)'!K20</f>
        <v>803.61978295094855</v>
      </c>
      <c r="L18" s="42">
        <f>'Data_Raw++ (2016)'!L20</f>
        <v>395.81272891613878</v>
      </c>
      <c r="M18" s="42">
        <f>'Data_Raw++ (2016)'!M20</f>
        <v>569.58417087932162</v>
      </c>
      <c r="N18" s="42">
        <f>'Data_Raw++ (2016)'!N20</f>
        <v>668.64228755398631</v>
      </c>
      <c r="O18" s="42">
        <f>'Data_Raw++ (2016)'!O20</f>
        <v>376.11128674911726</v>
      </c>
      <c r="P18" s="42">
        <f>'Data_Raw++ (2016)'!P20</f>
        <v>118.77198528919492</v>
      </c>
      <c r="Q18" s="42">
        <f>'Data_Raw++ (2016)'!Q20</f>
        <v>133.93436638994322</v>
      </c>
      <c r="R18" s="42">
        <f>'Data_Raw++ (2016)'!R20</f>
        <v>68.996491776637427</v>
      </c>
      <c r="S18" s="42">
        <f>'Data_Raw++ (2016)'!S20</f>
        <v>103.49473766495613</v>
      </c>
      <c r="T18" s="42">
        <f>'Data_Raw++ (2016)'!T20</f>
        <v>103.49473766495613</v>
      </c>
      <c r="U18" s="42">
        <f>'Data_Raw++ (2016)'!U20</f>
        <v>66.168766703824417</v>
      </c>
      <c r="V18" s="42">
        <f>'Data_Raw++ (2016)'!V20</f>
        <v>23.248485598641011</v>
      </c>
      <c r="W18" s="42">
        <f>'Data_Raw++ (2016)'!W20</f>
        <v>24.197403378177377</v>
      </c>
      <c r="X18" s="42">
        <f>'Data_Raw++ (2016)'!X20</f>
        <v>37.847220668431277</v>
      </c>
      <c r="Y18" s="42">
        <f>'Data_Raw++ (2016)'!Y20</f>
        <v>26.300610972977665</v>
      </c>
      <c r="Z18" s="42">
        <f>'Data_Raw++ (2016)'!Z20</f>
        <v>12.954032270272581</v>
      </c>
      <c r="AA18" s="42">
        <f>'Data_Raw++ (2016)'!AA20</f>
        <v>21.135526335707898</v>
      </c>
    </row>
    <row r="19" spans="1:27" x14ac:dyDescent="0.2">
      <c r="A19" s="1" t="s">
        <v>94</v>
      </c>
      <c r="B19" s="42">
        <f>'Data_Raw++ (2016)'!B21</f>
        <v>5000</v>
      </c>
      <c r="C19" s="42">
        <f>'Data_Raw++ (2016)'!C21</f>
        <v>2142.8571428571427</v>
      </c>
      <c r="D19" s="42">
        <f>'Data_Raw++ (2016)'!D21</f>
        <v>3648.6486486486488</v>
      </c>
      <c r="E19" s="42">
        <f>'Data_Raw++ (2016)'!E21</f>
        <v>2866.7953667953666</v>
      </c>
      <c r="F19" s="42">
        <f>'Data_Raw++ (2016)'!F21</f>
        <v>2345.5598455598451</v>
      </c>
      <c r="G19" s="42">
        <f>'Data_Raw++ (2016)'!G21</f>
        <v>2644.9930173334428</v>
      </c>
      <c r="H19" s="42">
        <f>'Data_Raw++ (2016)'!H21</f>
        <v>1302.7577548060242</v>
      </c>
      <c r="I19" s="42">
        <f>'Data_Raw++ (2016)'!I21</f>
        <v>229.89842731871016</v>
      </c>
      <c r="J19" s="42">
        <f>'Data_Raw++ (2016)'!J21</f>
        <v>1412.2331963863621</v>
      </c>
      <c r="K19" s="42">
        <f>'Data_Raw++ (2016)'!K21</f>
        <v>981.38239070916688</v>
      </c>
      <c r="L19" s="42">
        <f>'Data_Raw++ (2016)'!L21</f>
        <v>601.49243301529577</v>
      </c>
      <c r="M19" s="42">
        <f>'Data_Raw++ (2016)'!M21</f>
        <v>417.98626701062926</v>
      </c>
      <c r="N19" s="42">
        <f>'Data_Raw++ (2016)'!N21</f>
        <v>711.7063465316121</v>
      </c>
      <c r="O19" s="42">
        <f>'Data_Raw++ (2016)'!O21</f>
        <v>366.63660275870927</v>
      </c>
      <c r="P19" s="42">
        <f>'Data_Raw++ (2016)'!P21</f>
        <v>312.32006901667825</v>
      </c>
      <c r="Q19" s="42">
        <f>'Data_Raw++ (2016)'!Q21</f>
        <v>133.85145815000496</v>
      </c>
      <c r="R19" s="42">
        <f>'Data_Raw++ (2016)'!R21</f>
        <v>259.82930111471552</v>
      </c>
      <c r="S19" s="42">
        <f>'Data_Raw++ (2016)'!S21</f>
        <v>77.611349683616325</v>
      </c>
      <c r="T19" s="42">
        <f>'Data_Raw++ (2016)'!T21</f>
        <v>66.113371952710196</v>
      </c>
      <c r="U19" s="42">
        <f>'Data_Raw++ (2016)'!U21</f>
        <v>42.269205018945868</v>
      </c>
      <c r="V19" s="42">
        <f>'Data_Raw++ (2016)'!V21</f>
        <v>25.906932108386176</v>
      </c>
      <c r="W19" s="42">
        <f>'Data_Raw++ (2016)'!W21</f>
        <v>60.449508252901076</v>
      </c>
      <c r="X19" s="42">
        <f>'Data_Raw++ (2016)'!X21</f>
        <v>15.112377063225267</v>
      </c>
      <c r="Y19" s="42">
        <f>'Data_Raw++ (2016)'!Y21</f>
        <v>18.470683077275329</v>
      </c>
      <c r="Z19" s="42">
        <f>'Data_Raw++ (2016)'!Z21</f>
        <v>20.009906667048273</v>
      </c>
      <c r="AA19" s="42">
        <f>'Data_Raw++ (2016)'!AA21</f>
        <v>30.014860000572408</v>
      </c>
    </row>
    <row r="20" spans="1:27" x14ac:dyDescent="0.2">
      <c r="A20" s="1" t="s">
        <v>78</v>
      </c>
      <c r="B20" s="42">
        <f>'Data_Raw++ (2016)'!B22</f>
        <v>7000</v>
      </c>
      <c r="C20" s="42">
        <f>'Data_Raw++ (2016)'!C22</f>
        <v>3769.2307692307691</v>
      </c>
      <c r="D20" s="42">
        <f>'Data_Raw++ (2016)'!D22</f>
        <v>5653.8461538461534</v>
      </c>
      <c r="E20" s="42">
        <f>'Data_Raw++ (2016)'!E22</f>
        <v>4442.3076923076915</v>
      </c>
      <c r="F20" s="42">
        <f>'Data_Raw++ (2016)'!F22</f>
        <v>4442.3076923076915</v>
      </c>
      <c r="G20" s="42">
        <f>'Data_Raw++ (2016)'!G22</f>
        <v>4100.5917159763303</v>
      </c>
      <c r="H20" s="42">
        <f>'Data_Raw++ (2016)'!H22</f>
        <v>2733.7278106508875</v>
      </c>
      <c r="I20" s="42">
        <f>'Data_Raw++ (2016)'!I22</f>
        <v>911.24260355029583</v>
      </c>
      <c r="J20" s="42">
        <f>'Data_Raw++ (2016)'!J22</f>
        <v>1159.7633136094676</v>
      </c>
      <c r="K20" s="42">
        <f>'Data_Raw++ (2016)'!K22</f>
        <v>1028.4693535782069</v>
      </c>
      <c r="L20" s="42">
        <f>'Data_Raw++ (2016)'!L22</f>
        <v>257.11733839455172</v>
      </c>
      <c r="M20" s="42">
        <f>'Data_Raw++ (2016)'!M22</f>
        <v>1171.312319352958</v>
      </c>
      <c r="N20" s="42">
        <f>'Data_Raw++ (2016)'!N22</f>
        <v>813.9627981944285</v>
      </c>
      <c r="O20" s="42">
        <f>'Data_Raw++ (2016)'!O22</f>
        <v>498.88042469981099</v>
      </c>
      <c r="P20" s="42">
        <f>'Data_Raw++ (2016)'!P22</f>
        <v>149.01623075448902</v>
      </c>
      <c r="Q20" s="42">
        <f>'Data_Raw++ (2016)'!Q22</f>
        <v>302.54810486517465</v>
      </c>
      <c r="R20" s="42">
        <f>'Data_Raw++ (2016)'!R22</f>
        <v>41.256559754341993</v>
      </c>
      <c r="S20" s="42">
        <f>'Data_Raw++ (2016)'!S22</f>
        <v>253.43315277667222</v>
      </c>
      <c r="T20" s="42">
        <f>'Data_Raw++ (2016)'!T22</f>
        <v>130.55647264252812</v>
      </c>
      <c r="U20" s="42">
        <f>'Data_Raw++ (2016)'!U22</f>
        <v>41.22835978185099</v>
      </c>
      <c r="V20" s="42">
        <f>'Data_Raw++ (2016)'!V22</f>
        <v>9.0501277569916816</v>
      </c>
      <c r="W20" s="42">
        <f>'Data_Raw++ (2016)'!W22</f>
        <v>48.272981481270904</v>
      </c>
      <c r="X20" s="42">
        <f>'Data_Raw++ (2016)'!X22</f>
        <v>54.4354897554757</v>
      </c>
      <c r="Y20" s="42">
        <f>'Data_Raw++ (2016)'!Y22</f>
        <v>69.281532416059989</v>
      </c>
      <c r="Z20" s="42">
        <f>'Data_Raw++ (2016)'!Z22</f>
        <v>29.69208532116857</v>
      </c>
      <c r="AA20" s="42">
        <f>'Data_Raw++ (2016)'!AA22</f>
        <v>36.290326503650476</v>
      </c>
    </row>
    <row r="21" spans="1:27" x14ac:dyDescent="0.2">
      <c r="A21" s="1" t="s">
        <v>81</v>
      </c>
      <c r="B21" s="42">
        <f>'Data_Raw++ (2016)'!B23</f>
        <v>7000</v>
      </c>
      <c r="C21" s="42">
        <f>'Data_Raw++ (2016)'!C23</f>
        <v>3294.1176470588234</v>
      </c>
      <c r="D21" s="42">
        <f>'Data_Raw++ (2016)'!D23</f>
        <v>4366.6210670314631</v>
      </c>
      <c r="E21" s="42">
        <f>'Data_Raw++ (2016)'!E23</f>
        <v>3294.117647058823</v>
      </c>
      <c r="F21" s="42">
        <f>'Data_Raw++ (2016)'!F23</f>
        <v>2921.1986681465028</v>
      </c>
      <c r="G21" s="42">
        <f>'Data_Raw++ (2016)'!G23</f>
        <v>3164.6318904920449</v>
      </c>
      <c r="H21" s="42">
        <f>'Data_Raw++ (2016)'!H23</f>
        <v>2023.2892414621272</v>
      </c>
      <c r="I21" s="42">
        <f>'Data_Raw++ (2016)'!I23</f>
        <v>414.40863981754416</v>
      </c>
      <c r="J21" s="42">
        <f>'Data_Raw++ (2016)'!J23</f>
        <v>1243.2259194526325</v>
      </c>
      <c r="K21" s="42">
        <f>'Data_Raw++ (2016)'!K23</f>
        <v>1243.2259194526325</v>
      </c>
      <c r="L21" s="42">
        <f>'Data_Raw++ (2016)'!L23</f>
        <v>532.81110833684249</v>
      </c>
      <c r="M21" s="42">
        <f>'Data_Raw++ (2016)'!M23</f>
        <v>418.63729940751904</v>
      </c>
      <c r="N21" s="42">
        <f>'Data_Raw++ (2016)'!N23</f>
        <v>627.95594911127853</v>
      </c>
      <c r="O21" s="42">
        <f>'Data_Raw++ (2016)'!O23</f>
        <v>401.48003303835839</v>
      </c>
      <c r="P21" s="42">
        <f>'Data_Raw++ (2016)'!P23</f>
        <v>163.98480222693513</v>
      </c>
      <c r="Q21" s="42">
        <f>'Data_Raw++ (2016)'!Q23</f>
        <v>104.84274240738476</v>
      </c>
      <c r="R21" s="42">
        <f>'Data_Raw++ (2016)'!R23</f>
        <v>56.453784373207171</v>
      </c>
      <c r="S21" s="42">
        <f>'Data_Raw++ (2016)'!S23</f>
        <v>88.299508891426584</v>
      </c>
      <c r="T21" s="42">
        <f>'Data_Raw++ (2016)'!T23</f>
        <v>88.299508891426584</v>
      </c>
      <c r="U21" s="42">
        <f>'Data_Raw++ (2016)'!U23</f>
        <v>58.866339260951058</v>
      </c>
      <c r="V21" s="42">
        <f>'Data_Raw++ (2016)'!V23</f>
        <v>61.269046985887833</v>
      </c>
      <c r="W21" s="42">
        <f>'Data_Raw++ (2016)'!W23</f>
        <v>30.177291799019383</v>
      </c>
      <c r="X21" s="42">
        <f>'Data_Raw++ (2016)'!X23</f>
        <v>41.673402960550575</v>
      </c>
      <c r="Y21" s="42">
        <f>'Data_Raw++ (2016)'!Y23</f>
        <v>40.039151864058397</v>
      </c>
      <c r="Z21" s="42">
        <f>'Data_Raw++ (2016)'!Z23</f>
        <v>24.540125336035789</v>
      </c>
      <c r="AA21" s="42">
        <f>'Data_Raw++ (2016)'!AA23</f>
        <v>41.784537734331209</v>
      </c>
    </row>
    <row r="22" spans="1:27" x14ac:dyDescent="0.2">
      <c r="A22" s="1" t="s">
        <v>73</v>
      </c>
      <c r="B22" s="42">
        <f>'Data_Raw++ (2016)'!B24</f>
        <v>7000</v>
      </c>
      <c r="C22" s="42">
        <f>'Data_Raw++ (2016)'!C24</f>
        <v>2459.4594594594596</v>
      </c>
      <c r="D22" s="42">
        <f>'Data_Raw++ (2016)'!D24</f>
        <v>4372.3723723723733</v>
      </c>
      <c r="E22" s="42">
        <f>'Data_Raw++ (2016)'!E24</f>
        <v>4372.3723723723733</v>
      </c>
      <c r="F22" s="42">
        <f>'Data_Raw++ (2016)'!F24</f>
        <v>3166.2006834420636</v>
      </c>
      <c r="G22" s="42">
        <f>'Data_Raw++ (2016)'!G24</f>
        <v>2922.646784715751</v>
      </c>
      <c r="H22" s="42">
        <f>'Data_Raw++ (2016)'!H24</f>
        <v>1313.0731931331636</v>
      </c>
      <c r="I22" s="42">
        <f>'Data_Raw++ (2016)'!I24</f>
        <v>437.6910643777212</v>
      </c>
      <c r="J22" s="42">
        <f>'Data_Raw++ (2016)'!J24</f>
        <v>1071.5884679592486</v>
      </c>
      <c r="K22" s="42">
        <f>'Data_Raw++ (2016)'!K24</f>
        <v>841.96236768226674</v>
      </c>
      <c r="L22" s="42">
        <f>'Data_Raw++ (2016)'!L24</f>
        <v>473.60383182127504</v>
      </c>
      <c r="M22" s="42">
        <f>'Data_Raw++ (2016)'!M24</f>
        <v>290.27331627755569</v>
      </c>
      <c r="N22" s="42">
        <f>'Data_Raw++ (2016)'!N24</f>
        <v>384.7809076237366</v>
      </c>
      <c r="O22" s="42">
        <f>'Data_Raw++ (2016)'!O24</f>
        <v>327.77632871651633</v>
      </c>
      <c r="P22" s="42">
        <f>'Data_Raw++ (2016)'!P24</f>
        <v>227.77677080300288</v>
      </c>
      <c r="Q22" s="42">
        <f>'Data_Raw++ (2016)'!Q24</f>
        <v>117.33954859548632</v>
      </c>
      <c r="R22" s="42">
        <f>'Data_Raw++ (2016)'!R24</f>
        <v>35.049475554495913</v>
      </c>
      <c r="S22" s="42">
        <f>'Data_Raw++ (2016)'!S24</f>
        <v>71.161056428825034</v>
      </c>
      <c r="T22" s="42">
        <f>'Data_Raw++ (2016)'!T24</f>
        <v>111.3031908245725</v>
      </c>
      <c r="U22" s="42">
        <f>'Data_Raw++ (2016)'!U24</f>
        <v>52.377972152739993</v>
      </c>
      <c r="V22" s="42">
        <f>'Data_Raw++ (2016)'!V24</f>
        <v>54.515848567137546</v>
      </c>
      <c r="W22" s="42">
        <f>'Data_Raw++ (2016)'!W24</f>
        <v>21.200607776109049</v>
      </c>
      <c r="X22" s="42">
        <f>'Data_Raw++ (2016)'!X24</f>
        <v>30.508191677815461</v>
      </c>
      <c r="Y22" s="42">
        <f>'Data_Raw++ (2016)'!Y24</f>
        <v>24.961247736394466</v>
      </c>
      <c r="Z22" s="42">
        <f>'Data_Raw++ (2016)'!Z24</f>
        <v>22.135446105859241</v>
      </c>
      <c r="AA22" s="42">
        <f>'Data_Raw++ (2016)'!AA24</f>
        <v>24.961247736394466</v>
      </c>
    </row>
    <row r="23" spans="1:27" x14ac:dyDescent="0.2">
      <c r="A23" s="1" t="s">
        <v>85</v>
      </c>
      <c r="B23" s="42">
        <f>'Data_Raw++ (2016)'!B25</f>
        <v>6000</v>
      </c>
      <c r="C23" s="42">
        <f>'Data_Raw++ (2016)'!C25</f>
        <v>2108.1081081081084</v>
      </c>
      <c r="D23" s="42">
        <f>'Data_Raw++ (2016)'!D25</f>
        <v>3747.7477477477487</v>
      </c>
      <c r="E23" s="42">
        <f>'Data_Raw++ (2016)'!E25</f>
        <v>2827.2483009325124</v>
      </c>
      <c r="F23" s="42">
        <f>'Data_Raw++ (2016)'!F25</f>
        <v>2408.3967007943625</v>
      </c>
      <c r="G23" s="42">
        <f>'Data_Raw++ (2016)'!G25</f>
        <v>1892.3116934812847</v>
      </c>
      <c r="H23" s="42">
        <f>'Data_Raw++ (2016)'!H25</f>
        <v>3087.4559209431486</v>
      </c>
      <c r="I23" s="42">
        <f>'Data_Raw++ (2016)'!I25</f>
        <v>381.59567562218689</v>
      </c>
      <c r="J23" s="42">
        <f>'Data_Raw++ (2016)'!J25</f>
        <v>708.67768329834712</v>
      </c>
      <c r="K23" s="42">
        <f>'Data_Raw++ (2016)'!K25</f>
        <v>654.16401535232035</v>
      </c>
      <c r="L23" s="42">
        <f>'Data_Raw++ (2016)'!L25</f>
        <v>241.95107417140616</v>
      </c>
      <c r="M23" s="42">
        <f>'Data_Raw++ (2016)'!M25</f>
        <v>348.17349697836499</v>
      </c>
      <c r="N23" s="42">
        <f>'Data_Raw++ (2016)'!N25</f>
        <v>392.62117744368828</v>
      </c>
      <c r="O23" s="42">
        <f>'Data_Raw++ (2016)'!O25</f>
        <v>251.02009705416137</v>
      </c>
      <c r="P23" s="42">
        <f>'Data_Raw++ (2016)'!P25</f>
        <v>306.80234084397506</v>
      </c>
      <c r="Q23" s="42">
        <f>'Data_Raw++ (2016)'!Q25</f>
        <v>102.26744694799169</v>
      </c>
      <c r="R23" s="42">
        <f>'Data_Raw++ (2016)'!R25</f>
        <v>20.946344555612757</v>
      </c>
      <c r="S23" s="42">
        <f>'Data_Raw++ (2016)'!S25</f>
        <v>66.330091092773742</v>
      </c>
      <c r="T23" s="42">
        <f>'Data_Raw++ (2016)'!T25</f>
        <v>50.038489771741602</v>
      </c>
      <c r="U23" s="42">
        <f>'Data_Raw++ (2016)'!U25</f>
        <v>15.801628348971031</v>
      </c>
      <c r="V23" s="42">
        <f>'Data_Raw++ (2016)'!V25</f>
        <v>20.946344555612757</v>
      </c>
      <c r="W23" s="42">
        <f>'Data_Raw++ (2016)'!W25</f>
        <v>19.33508728210408</v>
      </c>
      <c r="X23" s="42">
        <f>'Data_Raw++ (2016)'!X25</f>
        <v>20.946344555612757</v>
      </c>
      <c r="Y23" s="42">
        <f>'Data_Raw++ (2016)'!Y25</f>
        <v>20.946344555612757</v>
      </c>
      <c r="Z23" s="42">
        <f>'Data_Raw++ (2016)'!Z25</f>
        <v>8.1458006605160733</v>
      </c>
      <c r="AA23" s="42">
        <f>'Data_Raw++ (2016)'!AA25</f>
        <v>18.130975663729323</v>
      </c>
    </row>
    <row r="24" spans="1:27" x14ac:dyDescent="0.2">
      <c r="A24" s="1" t="s">
        <v>70</v>
      </c>
      <c r="B24" s="42">
        <f>'Data_Raw++ (2016)'!B26</f>
        <v>6000</v>
      </c>
      <c r="C24" s="42">
        <f>'Data_Raw++ (2016)'!C26</f>
        <v>1894.7368421052631</v>
      </c>
      <c r="D24" s="42">
        <f>'Data_Raw++ (2016)'!D26</f>
        <v>2052.6315789473683</v>
      </c>
      <c r="E24" s="42">
        <f>'Data_Raw++ (2016)'!E26</f>
        <v>1820.2581926514395</v>
      </c>
      <c r="F24" s="42">
        <f>'Data_Raw++ (2016)'!F26</f>
        <v>4169.4915254237285</v>
      </c>
      <c r="G24" s="42">
        <f>'Data_Raw++ (2016)'!G26</f>
        <v>804.8780487804878</v>
      </c>
      <c r="H24" s="42">
        <f>'Data_Raw++ (2016)'!H26</f>
        <v>1496.1026240970734</v>
      </c>
      <c r="I24" s="42">
        <f>'Data_Raw++ (2016)'!I26</f>
        <v>228.21904435379085</v>
      </c>
      <c r="J24" s="42">
        <f>'Data_Raw++ (2016)'!J26</f>
        <v>611.08417040584686</v>
      </c>
      <c r="K24" s="42">
        <f>'Data_Raw++ (2016)'!K26</f>
        <v>636.02638144282014</v>
      </c>
      <c r="L24" s="42">
        <f>'Data_Raw++ (2016)'!L26</f>
        <v>247.34359278331897</v>
      </c>
      <c r="M24" s="42">
        <f>'Data_Raw++ (2016)'!M26</f>
        <v>219.34243133615075</v>
      </c>
      <c r="N24" s="42">
        <f>'Data_Raw++ (2016)'!N26</f>
        <v>92.123821161183315</v>
      </c>
      <c r="O24" s="42">
        <f>'Data_Raw++ (2016)'!O26</f>
        <v>284.97192839944262</v>
      </c>
      <c r="P24" s="42">
        <f>'Data_Raw++ (2016)'!P26</f>
        <v>140.35930801763593</v>
      </c>
      <c r="Q24" s="42">
        <f>'Data_Raw++ (2016)'!Q26</f>
        <v>193.82952059578292</v>
      </c>
      <c r="R24" s="42">
        <f>'Data_Raw++ (2016)'!R26</f>
        <v>38.765904119156588</v>
      </c>
      <c r="S24" s="42">
        <f>'Data_Raw++ (2016)'!S26</f>
        <v>91.213892045074317</v>
      </c>
      <c r="T24" s="42">
        <f>'Data_Raw++ (2016)'!T26</f>
        <v>52.517089359285215</v>
      </c>
      <c r="U24" s="42">
        <f>'Data_Raw++ (2016)'!U26</f>
        <v>100.12527214034471</v>
      </c>
      <c r="V24" s="42">
        <f>'Data_Raw++ (2016)'!V26</f>
        <v>33.375090713448238</v>
      </c>
      <c r="W24" s="42">
        <f>'Data_Raw++ (2016)'!W26</f>
        <v>30.807776043182987</v>
      </c>
      <c r="X24" s="42">
        <f>'Data_Raw++ (2016)'!X26</f>
        <v>18.078174136451128</v>
      </c>
      <c r="Y24" s="42">
        <f>'Data_Raw++ (2016)'!Y26</f>
        <v>27.306892401912194</v>
      </c>
      <c r="Z24" s="42">
        <f>'Data_Raw++ (2016)'!Z26</f>
        <v>10.099809518515469</v>
      </c>
      <c r="AA24" s="42">
        <f>'Data_Raw++ (2016)'!AA26</f>
        <v>33.375090713448238</v>
      </c>
    </row>
    <row r="25" spans="1:27" x14ac:dyDescent="0.2">
      <c r="A25" s="1" t="s">
        <v>67</v>
      </c>
      <c r="B25" s="42">
        <f>'Data_Raw++ (2016)'!B27</f>
        <v>7000</v>
      </c>
      <c r="C25" s="42">
        <f>'Data_Raw++ (2016)'!C27</f>
        <v>2210.5263157894733</v>
      </c>
      <c r="D25" s="42">
        <f>'Data_Raw++ (2016)'!D27</f>
        <v>3763.8691322901841</v>
      </c>
      <c r="E25" s="42">
        <f>'Data_Raw++ (2016)'!E27</f>
        <v>2615.5700749813145</v>
      </c>
      <c r="F25" s="42">
        <f>'Data_Raw++ (2016)'!F27</f>
        <v>2722.3280372254499</v>
      </c>
      <c r="G25" s="42">
        <f>'Data_Raw++ (2016)'!G27</f>
        <v>2512.918188208107</v>
      </c>
      <c r="H25" s="42">
        <f>'Data_Raw++ (2016)'!H27</f>
        <v>1974.4357193063695</v>
      </c>
      <c r="I25" s="42">
        <f>'Data_Raw++ (2016)'!I27</f>
        <v>295.03062472394026</v>
      </c>
      <c r="J25" s="42">
        <f>'Data_Raw++ (2016)'!J27</f>
        <v>797.67539277213473</v>
      </c>
      <c r="K25" s="42">
        <f>'Data_Raw++ (2016)'!K27</f>
        <v>797.67539277213473</v>
      </c>
      <c r="L25" s="42">
        <f>'Data_Raw++ (2016)'!L27</f>
        <v>224.98536719214056</v>
      </c>
      <c r="M25" s="42">
        <f>'Data_Raw++ (2016)'!M27</f>
        <v>264.11325713859981</v>
      </c>
      <c r="N25" s="42">
        <f>'Data_Raw++ (2016)'!N27</f>
        <v>490.49604897168535</v>
      </c>
      <c r="O25" s="42">
        <f>'Data_Raw++ (2016)'!O27</f>
        <v>300.62661066006524</v>
      </c>
      <c r="P25" s="42">
        <f>'Data_Raw++ (2016)'!P27</f>
        <v>75.15665266501631</v>
      </c>
      <c r="Q25" s="42">
        <f>'Data_Raw++ (2016)'!Q27</f>
        <v>75.15665266501631</v>
      </c>
      <c r="R25" s="42">
        <f>'Data_Raw++ (2016)'!R27</f>
        <v>40.468966819624164</v>
      </c>
      <c r="S25" s="42">
        <f>'Data_Raw++ (2016)'!S27</f>
        <v>85.99655449170136</v>
      </c>
      <c r="T25" s="42">
        <f>'Data_Raw++ (2016)'!T27</f>
        <v>54.981403691415622</v>
      </c>
      <c r="U25" s="42">
        <f>'Data_Raw++ (2016)'!U27</f>
        <v>19.317790486173056</v>
      </c>
      <c r="V25" s="42">
        <f>'Data_Raw++ (2016)'!V27</f>
        <v>12.656483421975452</v>
      </c>
      <c r="W25" s="42">
        <f>'Data_Raw++ (2016)'!W27</f>
        <v>36.855666210729154</v>
      </c>
      <c r="X25" s="42">
        <f>'Data_Raw++ (2016)'!X27</f>
        <v>22.588956709801742</v>
      </c>
      <c r="Y25" s="42">
        <f>'Data_Raw++ (2016)'!Y27</f>
        <v>24.471369768951888</v>
      </c>
      <c r="Z25" s="42">
        <f>'Data_Raw++ (2016)'!Z27</f>
        <v>8.1571232563172966</v>
      </c>
      <c r="AA25" s="42">
        <f>'Data_Raw++ (2016)'!AA27</f>
        <v>18.156177570512693</v>
      </c>
    </row>
    <row r="26" spans="1:27" x14ac:dyDescent="0.2">
      <c r="A26" s="1" t="s">
        <v>77</v>
      </c>
      <c r="B26" s="42">
        <f>'Data_Raw++ (2016)'!B28</f>
        <v>6000</v>
      </c>
      <c r="C26" s="42">
        <f>'Data_Raw++ (2016)'!C28</f>
        <v>1792.2077922077924</v>
      </c>
      <c r="D26" s="42">
        <f>'Data_Raw++ (2016)'!D28</f>
        <v>3989.1076665270216</v>
      </c>
      <c r="E26" s="42">
        <f>'Data_Raw++ (2016)'!E28</f>
        <v>2888.6641723126709</v>
      </c>
      <c r="F26" s="42">
        <f>'Data_Raw++ (2016)'!F28</f>
        <v>2460.7139245626454</v>
      </c>
      <c r="G26" s="42">
        <f>'Data_Raw++ (2016)'!G28</f>
        <v>2364.2153392856785</v>
      </c>
      <c r="H26" s="42">
        <f>'Data_Raw++ (2016)'!H28</f>
        <v>3546.3230089285175</v>
      </c>
      <c r="I26" s="42">
        <f>'Data_Raw++ (2016)'!I28</f>
        <v>438.30958537318753</v>
      </c>
      <c r="J26" s="42">
        <f>'Data_Raw++ (2016)'!J28</f>
        <v>889.90127939404738</v>
      </c>
      <c r="K26" s="42">
        <f>'Data_Raw++ (2016)'!K28</f>
        <v>821.44733482527454</v>
      </c>
      <c r="L26" s="42">
        <f>'Data_Raw++ (2016)'!L28</f>
        <v>156.46615901433802</v>
      </c>
      <c r="M26" s="42">
        <f>'Data_Raw++ (2016)'!M28</f>
        <v>365.08770436678873</v>
      </c>
      <c r="N26" s="42">
        <f>'Data_Raw++ (2016)'!N28</f>
        <v>395.51167973068783</v>
      </c>
      <c r="O26" s="42">
        <f>'Data_Raw++ (2016)'!O28</f>
        <v>252.86812310650535</v>
      </c>
      <c r="P26" s="42">
        <f>'Data_Raw++ (2016)'!P28</f>
        <v>363.88339666545897</v>
      </c>
      <c r="Q26" s="42">
        <f>'Data_Raw++ (2016)'!Q28</f>
        <v>90.970849166364744</v>
      </c>
      <c r="R26" s="42">
        <f>'Data_Raw++ (2016)'!R28</f>
        <v>27.173110789953107</v>
      </c>
      <c r="S26" s="42">
        <f>'Data_Raw++ (2016)'!S28</f>
        <v>90.970849166364758</v>
      </c>
      <c r="T26" s="42">
        <f>'Data_Raw++ (2016)'!T28</f>
        <v>90.970849166364758</v>
      </c>
      <c r="U26" s="42">
        <f>'Data_Raw++ (2016)'!U28</f>
        <v>14.809208003826823</v>
      </c>
      <c r="V26" s="42">
        <f>'Data_Raw++ (2016)'!V28</f>
        <v>6.0488314381827877</v>
      </c>
      <c r="W26" s="42">
        <f>'Data_Raw++ (2016)'!W28</f>
        <v>15.554137983898595</v>
      </c>
      <c r="X26" s="42">
        <f>'Data_Raw++ (2016)'!X28</f>
        <v>33.052543215784517</v>
      </c>
      <c r="Y26" s="42">
        <f>'Data_Raw++ (2016)'!Y28</f>
        <v>29.310745870601359</v>
      </c>
      <c r="Z26" s="42">
        <f>'Data_Raw++ (2016)'!Z28</f>
        <v>9.2560250117688501</v>
      </c>
      <c r="AA26" s="42">
        <f>'Data_Raw++ (2016)'!AA28</f>
        <v>13.31964574864298</v>
      </c>
    </row>
    <row r="27" spans="1:27" x14ac:dyDescent="0.2">
      <c r="A27" s="1" t="s">
        <v>93</v>
      </c>
      <c r="B27" s="42">
        <f>'Data_Raw++ (2016)'!B29</f>
        <v>8000</v>
      </c>
      <c r="C27" s="42">
        <f>'Data_Raw++ (2016)'!C29</f>
        <v>1523.8095238095241</v>
      </c>
      <c r="D27" s="42">
        <f>'Data_Raw++ (2016)'!D29</f>
        <v>4571.4285714285725</v>
      </c>
      <c r="E27" s="42">
        <f>'Data_Raw++ (2016)'!E29</f>
        <v>4053.908355795149</v>
      </c>
      <c r="F27" s="42">
        <f>'Data_Raw++ (2016)'!F29</f>
        <v>4571.4285714285725</v>
      </c>
      <c r="G27" s="42">
        <f>'Data_Raw++ (2016)'!G29</f>
        <v>2571.4285714285716</v>
      </c>
      <c r="H27" s="42">
        <f>'Data_Raw++ (2016)'!H29</f>
        <v>2470.588235294118</v>
      </c>
      <c r="I27" s="42">
        <f>'Data_Raw++ (2016)'!I29</f>
        <v>435.98615916955026</v>
      </c>
      <c r="J27" s="42">
        <f>'Data_Raw++ (2016)'!J29</f>
        <v>1240.8836837902584</v>
      </c>
      <c r="K27" s="42">
        <f>'Data_Raw++ (2016)'!K29</f>
        <v>1291.5319974143506</v>
      </c>
      <c r="L27" s="42">
        <f>'Data_Raw++ (2016)'!L29</f>
        <v>758.51879213223754</v>
      </c>
      <c r="M27" s="42">
        <f>'Data_Raw++ (2016)'!M29</f>
        <v>620.60628447183069</v>
      </c>
      <c r="N27" s="42">
        <f>'Data_Raw++ (2016)'!N29</f>
        <v>253.48707393919844</v>
      </c>
      <c r="O27" s="42">
        <f>'Data_Raw++ (2016)'!O29</f>
        <v>297.5717824503634</v>
      </c>
      <c r="P27" s="42">
        <f>'Data_Raw++ (2016)'!P29</f>
        <v>198.38118830024229</v>
      </c>
      <c r="Q27" s="42">
        <f>'Data_Raw++ (2016)'!Q29</f>
        <v>126.83387448704015</v>
      </c>
      <c r="R27" s="42">
        <f>'Data_Raw++ (2016)'!R29</f>
        <v>17.295528339141836</v>
      </c>
      <c r="S27" s="42">
        <f>'Data_Raw++ (2016)'!S29</f>
        <v>139.93654747123847</v>
      </c>
      <c r="T27" s="42">
        <f>'Data_Raw++ (2016)'!T29</f>
        <v>57.157181361491766</v>
      </c>
      <c r="U27" s="42">
        <f>'Data_Raw++ (2016)'!U29</f>
        <v>46.764966568493257</v>
      </c>
      <c r="V27" s="42">
        <f>'Data_Raw++ (2016)'!V29</f>
        <v>20.042128529354251</v>
      </c>
      <c r="W27" s="42">
        <f>'Data_Raw++ (2016)'!W29</f>
        <v>51.536901932625206</v>
      </c>
      <c r="X27" s="42">
        <f>'Data_Raw++ (2016)'!X29</f>
        <v>87.752022209605087</v>
      </c>
      <c r="Y27" s="42">
        <f>'Data_Raw++ (2016)'!Y29</f>
        <v>41.295069275108276</v>
      </c>
      <c r="Z27" s="42">
        <f>'Data_Raw++ (2016)'!Z29</f>
        <v>22.235806532750608</v>
      </c>
      <c r="AA27" s="42">
        <f>'Data_Raw++ (2016)'!AA29</f>
        <v>25.074420132676224</v>
      </c>
    </row>
    <row r="28" spans="1:27" x14ac:dyDescent="0.2">
      <c r="A28" s="1" t="s">
        <v>68</v>
      </c>
      <c r="B28" s="42">
        <f>'Data_Raw++ (2016)'!B30</f>
        <v>6000</v>
      </c>
      <c r="C28" s="42">
        <f>'Data_Raw++ (2016)'!C30</f>
        <v>1594.9367088607594</v>
      </c>
      <c r="D28" s="42">
        <f>'Data_Raw++ (2016)'!D30</f>
        <v>5654.7756041426928</v>
      </c>
      <c r="E28" s="42">
        <f>'Data_Raw++ (2016)'!E30</f>
        <v>2661.0708725377376</v>
      </c>
      <c r="F28" s="42">
        <f>'Data_Raw++ (2016)'!F30</f>
        <v>2177.2398048036034</v>
      </c>
      <c r="G28" s="42">
        <f>'Data_Raw++ (2016)'!G30</f>
        <v>3006.6644923478334</v>
      </c>
      <c r="H28" s="42">
        <f>'Data_Raw++ (2016)'!H30</f>
        <v>2561.2327157037098</v>
      </c>
      <c r="I28" s="42">
        <f>'Data_Raw++ (2016)'!I30</f>
        <v>524.58983333690446</v>
      </c>
      <c r="J28" s="42">
        <f>'Data_Raw++ (2016)'!J30</f>
        <v>1114.7533958409222</v>
      </c>
      <c r="K28" s="42">
        <f>'Data_Raw++ (2016)'!K30</f>
        <v>774.65913948267473</v>
      </c>
      <c r="L28" s="42">
        <f>'Data_Raw++ (2016)'!L30</f>
        <v>218.49360344383132</v>
      </c>
      <c r="M28" s="42">
        <f>'Data_Raw++ (2016)'!M30</f>
        <v>486.32447218143096</v>
      </c>
      <c r="N28" s="42">
        <f>'Data_Raw++ (2016)'!N30</f>
        <v>618.958419140003</v>
      </c>
      <c r="O28" s="42">
        <f>'Data_Raw++ (2016)'!O30</f>
        <v>291.27455018353083</v>
      </c>
      <c r="P28" s="42">
        <f>'Data_Raw++ (2016)'!P30</f>
        <v>219.73343259459344</v>
      </c>
      <c r="Q28" s="42">
        <f>'Data_Raw++ (2016)'!Q30</f>
        <v>85.451890453453004</v>
      </c>
      <c r="R28" s="42">
        <f>'Data_Raw++ (2016)'!R30</f>
        <v>35.431271651431729</v>
      </c>
      <c r="S28" s="42">
        <f>'Data_Raw++ (2016)'!S30</f>
        <v>88.939722716859265</v>
      </c>
      <c r="T28" s="42">
        <f>'Data_Raw++ (2016)'!T30</f>
        <v>82.098205584793149</v>
      </c>
      <c r="U28" s="42">
        <f>'Data_Raw++ (2016)'!U30</f>
        <v>26.729648329932655</v>
      </c>
      <c r="V28" s="42">
        <f>'Data_Raw++ (2016)'!V30</f>
        <v>13.364824164966327</v>
      </c>
      <c r="W28" s="42">
        <f>'Data_Raw++ (2016)'!W30</f>
        <v>27.134643001598302</v>
      </c>
      <c r="X28" s="42">
        <f>'Data_Raw++ (2016)'!X30</f>
        <v>33.164563668620147</v>
      </c>
      <c r="Y28" s="42">
        <f>'Data_Raw++ (2016)'!Y30</f>
        <v>28.251294976972719</v>
      </c>
      <c r="Z28" s="42">
        <f>'Data_Raw++ (2016)'!Z30</f>
        <v>14.12564748848636</v>
      </c>
      <c r="AA28" s="42">
        <f>'Data_Raw++ (2016)'!AA30</f>
        <v>18.83419665131515</v>
      </c>
    </row>
    <row r="29" spans="1:27" x14ac:dyDescent="0.2">
      <c r="A29" s="1" t="s">
        <v>95</v>
      </c>
      <c r="B29" s="42">
        <f>'Data_Raw++ (2016)'!B31</f>
        <v>5000</v>
      </c>
      <c r="C29" s="42">
        <f>'Data_Raw++ (2016)'!C31</f>
        <v>681.81818181818176</v>
      </c>
      <c r="D29" s="42">
        <f>'Data_Raw++ (2016)'!D31</f>
        <v>2282.608695652174</v>
      </c>
      <c r="E29" s="42">
        <f>'Data_Raw++ (2016)'!E31</f>
        <v>2193.0946291560103</v>
      </c>
      <c r="F29" s="42">
        <f>'Data_Raw++ (2016)'!F31</f>
        <v>1344.1547727085226</v>
      </c>
      <c r="G29" s="42">
        <f>'Data_Raw++ (2016)'!G31</f>
        <v>1191.9863078735953</v>
      </c>
      <c r="H29" s="42">
        <f>'Data_Raw++ (2016)'!H31</f>
        <v>1344.1547727085226</v>
      </c>
      <c r="I29" s="42">
        <f>'Data_Raw++ (2016)'!I31</f>
        <v>315.29556396866576</v>
      </c>
      <c r="J29" s="42">
        <f>'Data_Raw++ (2016)'!J31</f>
        <v>453.71800668661655</v>
      </c>
      <c r="K29" s="42">
        <f>'Data_Raw++ (2016)'!K31</f>
        <v>356.49271953948437</v>
      </c>
      <c r="L29" s="42">
        <f>'Data_Raw++ (2016)'!L31</f>
        <v>62.910479918732534</v>
      </c>
      <c r="M29" s="42">
        <f>'Data_Raw++ (2016)'!M31</f>
        <v>146.7911198103759</v>
      </c>
      <c r="N29" s="42">
        <f>'Data_Raw++ (2016)'!N31</f>
        <v>135.49949520957773</v>
      </c>
      <c r="O29" s="42">
        <f>'Data_Raw++ (2016)'!O31</f>
        <v>115.42549591926992</v>
      </c>
      <c r="P29" s="42">
        <f>'Data_Raw++ (2016)'!P31</f>
        <v>269.32615714496313</v>
      </c>
      <c r="Q29" s="42">
        <f>'Data_Raw++ (2016)'!Q31</f>
        <v>36.726294156131338</v>
      </c>
      <c r="R29" s="42">
        <f>'Data_Raw++ (2016)'!R31</f>
        <v>32.568600478078729</v>
      </c>
      <c r="S29" s="42">
        <f>'Data_Raw++ (2016)'!S31</f>
        <v>35.282650517918619</v>
      </c>
      <c r="T29" s="42">
        <f>'Data_Raw++ (2016)'!T31</f>
        <v>30.055591181930676</v>
      </c>
      <c r="U29" s="42">
        <f>'Data_Raw++ (2016)'!U31</f>
        <v>6.5975687960335634</v>
      </c>
      <c r="V29" s="42">
        <f>'Data_Raw++ (2016)'!V31</f>
        <v>1.7537841103380356</v>
      </c>
      <c r="W29" s="42">
        <f>'Data_Raw++ (2016)'!W31</f>
        <v>14.189707801825925</v>
      </c>
      <c r="X29" s="42">
        <f>'Data_Raw++ (2016)'!X31</f>
        <v>17.342976202231686</v>
      </c>
      <c r="Y29" s="42">
        <f>'Data_Raw++ (2016)'!Y31</f>
        <v>7.7917719169446711</v>
      </c>
      <c r="Z29" s="42">
        <f>'Data_Raw++ (2016)'!Z31</f>
        <v>8.1098034237587395</v>
      </c>
      <c r="AA29" s="42">
        <f>'Data_Raw++ (2016)'!AA31</f>
        <v>8.7856203757386364</v>
      </c>
    </row>
    <row r="30" spans="1:27" x14ac:dyDescent="0.2">
      <c r="A30" s="1" t="s">
        <v>108</v>
      </c>
      <c r="B30" s="42">
        <f>'Data_Raw++ (2016)'!B32</f>
        <v>6000</v>
      </c>
      <c r="C30" s="42">
        <f>'Data_Raw++ (2016)'!C32</f>
        <v>3836.0655737704924</v>
      </c>
      <c r="D30" s="42">
        <f>'Data_Raw++ (2016)'!D32</f>
        <v>5085.0171559283262</v>
      </c>
      <c r="E30" s="42">
        <f>'Data_Raw++ (2016)'!E32</f>
        <v>3995.3706225151132</v>
      </c>
      <c r="F30" s="42">
        <f>'Data_Raw++ (2016)'!F32</f>
        <v>3543.064514305855</v>
      </c>
      <c r="G30" s="42">
        <f>'Data_Raw++ (2016)'!G32</f>
        <v>3270.5210901284813</v>
      </c>
      <c r="H30" s="42">
        <f>'Data_Raw++ (2016)'!H32</f>
        <v>2675.8808919233024</v>
      </c>
      <c r="I30" s="42">
        <f>'Data_Raw++ (2016)'!I32</f>
        <v>627.67576477213265</v>
      </c>
      <c r="J30" s="42">
        <f>'Data_Raw++ (2016)'!J32</f>
        <v>1024.1025635755848</v>
      </c>
      <c r="K30" s="42">
        <f>'Data_Raw++ (2016)'!K32</f>
        <v>1109.4444438735502</v>
      </c>
      <c r="L30" s="42">
        <f>'Data_Raw++ (2016)'!L32</f>
        <v>571.53198623788956</v>
      </c>
      <c r="M30" s="42">
        <f>'Data_Raw++ (2016)'!M32</f>
        <v>1714.5959587136686</v>
      </c>
      <c r="N30" s="42">
        <f>'Data_Raw++ (2016)'!N32</f>
        <v>455.77867256945615</v>
      </c>
      <c r="O30" s="42">
        <f>'Data_Raw++ (2016)'!O32</f>
        <v>455.77867256945615</v>
      </c>
      <c r="P30" s="42">
        <f>'Data_Raw++ (2016)'!P32</f>
        <v>113.94466814236404</v>
      </c>
      <c r="Q30" s="42">
        <f>'Data_Raw++ (2016)'!Q32</f>
        <v>293.00057522322174</v>
      </c>
      <c r="R30" s="42">
        <f>'Data_Raw++ (2016)'!R32</f>
        <v>187.3282366181254</v>
      </c>
      <c r="S30" s="42">
        <f>'Data_Raw++ (2016)'!S32</f>
        <v>416.95639763389198</v>
      </c>
      <c r="T30" s="42">
        <f>'Data_Raw++ (2016)'!T32</f>
        <v>97.804587099307994</v>
      </c>
      <c r="U30" s="42">
        <f>'Data_Raw++ (2016)'!U32</f>
        <v>83.315018640151251</v>
      </c>
      <c r="V30" s="42">
        <f>'Data_Raw++ (2016)'!V32</f>
        <v>55.543345760100841</v>
      </c>
      <c r="W30" s="42">
        <f>'Data_Raw++ (2016)'!W32</f>
        <v>51.270780701631544</v>
      </c>
      <c r="X30" s="42">
        <f>'Data_Raw++ (2016)'!X32</f>
        <v>19.938636939523381</v>
      </c>
      <c r="Y30" s="42">
        <f>'Data_Raw++ (2016)'!Y32</f>
        <v>48.815283541591732</v>
      </c>
      <c r="Z30" s="42">
        <f>'Data_Raw++ (2016)'!Z32</f>
        <v>52.883223836724376</v>
      </c>
      <c r="AA30" s="42">
        <f>'Data_Raw++ (2016)'!AA32</f>
        <v>43.268092230047216</v>
      </c>
    </row>
    <row r="31" spans="1:27" x14ac:dyDescent="0.2">
      <c r="A31" s="1" t="s">
        <v>112</v>
      </c>
      <c r="B31" s="42">
        <f>'Data_Raw++ (2016)'!B33</f>
        <v>5000</v>
      </c>
      <c r="C31" s="42">
        <f>'Data_Raw++ (2016)'!C33</f>
        <v>4090.9090909090905</v>
      </c>
      <c r="D31" s="42">
        <f>'Data_Raw++ (2016)'!D33</f>
        <v>5000</v>
      </c>
      <c r="E31" s="42">
        <f>'Data_Raw++ (2016)'!E33</f>
        <v>2692.3076923076924</v>
      </c>
      <c r="F31" s="42">
        <f>'Data_Raw++ (2016)'!F33</f>
        <v>2485.207100591716</v>
      </c>
      <c r="G31" s="42">
        <f>'Data_Raw++ (2016)'!G33</f>
        <v>3037.4753451676529</v>
      </c>
      <c r="H31" s="42">
        <f>'Data_Raw++ (2016)'!H33</f>
        <v>1708.5798816568047</v>
      </c>
      <c r="I31" s="42">
        <f>'Data_Raw++ (2016)'!I33</f>
        <v>1047.194121015461</v>
      </c>
      <c r="J31" s="42">
        <f>'Data_Raw++ (2016)'!J33</f>
        <v>1180.8784768897754</v>
      </c>
      <c r="K31" s="42">
        <f>'Data_Raw++ (2016)'!K33</f>
        <v>890.83814923263753</v>
      </c>
      <c r="L31" s="42">
        <f>'Data_Raw++ (2016)'!L33</f>
        <v>458.91662233196479</v>
      </c>
      <c r="M31" s="42">
        <f>'Data_Raw++ (2016)'!M33</f>
        <v>517.50172305519436</v>
      </c>
      <c r="N31" s="42">
        <f>'Data_Raw++ (2016)'!N33</f>
        <v>560.62686664312719</v>
      </c>
      <c r="O31" s="42">
        <f>'Data_Raw++ (2016)'!O33</f>
        <v>405.97117929329903</v>
      </c>
      <c r="P31" s="42">
        <f>'Data_Raw++ (2016)'!P33</f>
        <v>228.35878835248067</v>
      </c>
      <c r="Q31" s="42">
        <f>'Data_Raw++ (2016)'!Q33</f>
        <v>158.69000546528318</v>
      </c>
      <c r="R31" s="42">
        <f>'Data_Raw++ (2016)'!R33</f>
        <v>81.749396754842849</v>
      </c>
      <c r="S31" s="42">
        <f>'Data_Raw++ (2016)'!S33</f>
        <v>145.3322608974984</v>
      </c>
      <c r="T31" s="42">
        <f>'Data_Raw++ (2016)'!T33</f>
        <v>123.80155557935049</v>
      </c>
      <c r="U31" s="42">
        <f>'Data_Raw++ (2016)'!U33</f>
        <v>89.649402316081392</v>
      </c>
      <c r="V31" s="42">
        <f>'Data_Raw++ (2016)'!V33</f>
        <v>50.427788802795781</v>
      </c>
      <c r="W31" s="42">
        <f>'Data_Raw++ (2016)'!W33</f>
        <v>35.043039676519101</v>
      </c>
      <c r="X31" s="42">
        <f>'Data_Raw++ (2016)'!X33</f>
        <v>68.024724077948832</v>
      </c>
      <c r="Y31" s="42">
        <f>'Data_Raw++ (2016)'!Y33</f>
        <v>43.491217033442695</v>
      </c>
      <c r="Z31" s="42">
        <f>'Data_Raw++ (2016)'!Z33</f>
        <v>27.805860070561724</v>
      </c>
      <c r="AA31" s="42">
        <f>'Data_Raw++ (2016)'!AA33</f>
        <v>31.355544334888759</v>
      </c>
    </row>
    <row r="32" spans="1:27" x14ac:dyDescent="0.2">
      <c r="A32" s="1" t="s">
        <v>117</v>
      </c>
      <c r="B32" s="42">
        <f>'Data_Raw++ (2016)'!B34</f>
        <v>5000</v>
      </c>
      <c r="C32" s="42">
        <f>'Data_Raw++ (2016)'!C34</f>
        <v>3771.9298245614041</v>
      </c>
      <c r="D32" s="42">
        <f>'Data_Raw++ (2016)'!D34</f>
        <v>4253.4527808883922</v>
      </c>
      <c r="E32" s="42">
        <f>'Data_Raw++ (2016)'!E34</f>
        <v>3080.0864965053875</v>
      </c>
      <c r="F32" s="42">
        <f>'Data_Raw++ (2016)'!F34</f>
        <v>2323.5740236795027</v>
      </c>
      <c r="G32" s="42">
        <f>'Data_Raw++ (2016)'!G34</f>
        <v>2957.2760301375492</v>
      </c>
      <c r="H32" s="42">
        <f>'Data_Raw++ (2016)'!H34</f>
        <v>1523.4452276466163</v>
      </c>
      <c r="I32" s="42">
        <f>'Data_Raw++ (2016)'!I34</f>
        <v>1058.6653276866316</v>
      </c>
      <c r="J32" s="42">
        <f>'Data_Raw++ (2016)'!J34</f>
        <v>1017.1490403263714</v>
      </c>
      <c r="K32" s="42">
        <f>'Data_Raw++ (2016)'!K34</f>
        <v>799.18853168500596</v>
      </c>
      <c r="L32" s="42">
        <f>'Data_Raw++ (2016)'!L34</f>
        <v>342.50937072214538</v>
      </c>
      <c r="M32" s="42">
        <f>'Data_Raw++ (2016)'!M34</f>
        <v>492.87933835625796</v>
      </c>
      <c r="N32" s="42">
        <f>'Data_Raw++ (2016)'!N34</f>
        <v>437.08167741026642</v>
      </c>
      <c r="O32" s="42">
        <f>'Data_Raw++ (2016)'!O34</f>
        <v>357.61228151749071</v>
      </c>
      <c r="P32" s="42">
        <f>'Data_Raw++ (2016)'!P34</f>
        <v>73.245888985510163</v>
      </c>
      <c r="Q32" s="42">
        <f>'Data_Raw++ (2016)'!Q34</f>
        <v>136.02807954451887</v>
      </c>
      <c r="R32" s="42">
        <f>'Data_Raw++ (2016)'!R34</f>
        <v>58.297748376222373</v>
      </c>
      <c r="S32" s="42">
        <f>'Data_Raw++ (2016)'!S34</f>
        <v>129.75950445030139</v>
      </c>
      <c r="T32" s="42">
        <f>'Data_Raw++ (2016)'!T34</f>
        <v>90.171859024785718</v>
      </c>
      <c r="U32" s="42">
        <f>'Data_Raw++ (2016)'!U34</f>
        <v>73.776975565733764</v>
      </c>
      <c r="V32" s="42">
        <f>'Data_Raw++ (2016)'!V34</f>
        <v>55.656314900465823</v>
      </c>
      <c r="W32" s="42">
        <f>'Data_Raw++ (2016)'!W34</f>
        <v>41.986342819649664</v>
      </c>
      <c r="X32" s="42">
        <f>'Data_Raw++ (2016)'!X34</f>
        <v>30.403903421125619</v>
      </c>
      <c r="Y32" s="42">
        <f>'Data_Raw++ (2016)'!Y34</f>
        <v>56.464392067804724</v>
      </c>
      <c r="Z32" s="42">
        <f>'Data_Raw++ (2016)'!Z34</f>
        <v>26.571478620143399</v>
      </c>
      <c r="AA32" s="42">
        <f>'Data_Raw++ (2016)'!AA34</f>
        <v>28.78576850515535</v>
      </c>
    </row>
    <row r="33" spans="1:27" x14ac:dyDescent="0.2">
      <c r="A33" s="1" t="s">
        <v>99</v>
      </c>
      <c r="B33" s="42">
        <f>'Data_Raw++ (2016)'!B35</f>
        <v>5000</v>
      </c>
      <c r="C33" s="42">
        <f>'Data_Raw++ (2016)'!C35</f>
        <v>3928.571428571428</v>
      </c>
      <c r="D33" s="42">
        <f>'Data_Raw++ (2016)'!D35</f>
        <v>3626.3736263736259</v>
      </c>
      <c r="E33" s="42">
        <f>'Data_Raw++ (2016)'!E35</f>
        <v>3484.1628959276009</v>
      </c>
      <c r="F33" s="42">
        <f>'Data_Raw++ (2016)'!F35</f>
        <v>2967.990615049438</v>
      </c>
      <c r="G33" s="42">
        <f>'Data_Raw++ (2016)'!G35</f>
        <v>2739.6836446610196</v>
      </c>
      <c r="H33" s="42">
        <f>'Data_Raw++ (2016)'!H35</f>
        <v>1475.2142702020874</v>
      </c>
      <c r="I33" s="42">
        <f>'Data_Raw++ (2016)'!I35</f>
        <v>545.62719582816931</v>
      </c>
      <c r="J33" s="42">
        <f>'Data_Raw++ (2016)'!J35</f>
        <v>1107.788549105677</v>
      </c>
      <c r="K33" s="42">
        <f>'Data_Raw++ (2016)'!K35</f>
        <v>650.60597328428651</v>
      </c>
      <c r="L33" s="42">
        <f>'Data_Raw++ (2016)'!L35</f>
        <v>532.31397814168895</v>
      </c>
      <c r="M33" s="42">
        <f>'Data_Raw++ (2016)'!M35</f>
        <v>600.26895407467055</v>
      </c>
      <c r="N33" s="42">
        <f>'Data_Raw++ (2016)'!N35</f>
        <v>452.83447412650588</v>
      </c>
      <c r="O33" s="42">
        <f>'Data_Raw++ (2016)'!O35</f>
        <v>314.68158371502955</v>
      </c>
      <c r="P33" s="42">
        <f>'Data_Raw++ (2016)'!P35</f>
        <v>134.86353587786979</v>
      </c>
      <c r="Q33" s="42">
        <f>'Data_Raw++ (2016)'!Q35</f>
        <v>186.24012097420115</v>
      </c>
      <c r="R33" s="42">
        <f>'Data_Raw++ (2016)'!R35</f>
        <v>87.642409870212305</v>
      </c>
      <c r="S33" s="42">
        <f>'Data_Raw++ (2016)'!S35</f>
        <v>186.24012097420115</v>
      </c>
      <c r="T33" s="42">
        <f>'Data_Raw++ (2016)'!T35</f>
        <v>119.07155275399747</v>
      </c>
      <c r="U33" s="42">
        <f>'Data_Raw++ (2016)'!U35</f>
        <v>93.556220020997998</v>
      </c>
      <c r="V33" s="42">
        <f>'Data_Raw++ (2016)'!V35</f>
        <v>32.871104331702</v>
      </c>
      <c r="W33" s="42">
        <f>'Data_Raw++ (2016)'!W35</f>
        <v>61.04633661601801</v>
      </c>
      <c r="X33" s="42">
        <f>'Data_Raw++ (2016)'!X35</f>
        <v>77.695337511295662</v>
      </c>
      <c r="Y33" s="42">
        <f>'Data_Raw++ (2016)'!Y35</f>
        <v>58.612272157644099</v>
      </c>
      <c r="Z33" s="42">
        <f>'Data_Raw++ (2016)'!Z35</f>
        <v>39.074848105096066</v>
      </c>
      <c r="AA33" s="42">
        <f>'Data_Raw++ (2016)'!AA35</f>
        <v>31.970330267805871</v>
      </c>
    </row>
    <row r="34" spans="1:27" x14ac:dyDescent="0.2">
      <c r="A34" s="1" t="s">
        <v>97</v>
      </c>
      <c r="B34" s="42">
        <f>'Data_Raw++ (2016)'!B36</f>
        <v>5000</v>
      </c>
      <c r="C34" s="42">
        <f>'Data_Raw++ (2016)'!C36</f>
        <v>3771.9298245614041</v>
      </c>
      <c r="D34" s="42">
        <f>'Data_Raw++ (2016)'!D36</f>
        <v>4253.4527808883922</v>
      </c>
      <c r="E34" s="42">
        <f>'Data_Raw++ (2016)'!E36</f>
        <v>3623.3116281641855</v>
      </c>
      <c r="F34" s="42">
        <f>'Data_Raw++ (2016)'!F36</f>
        <v>3481.2209760793153</v>
      </c>
      <c r="G34" s="42">
        <f>'Data_Raw++ (2016)'!G36</f>
        <v>2965.4845351786762</v>
      </c>
      <c r="H34" s="42">
        <f>'Data_Raw++ (2016)'!H36</f>
        <v>1741.6337746287463</v>
      </c>
      <c r="I34" s="42">
        <f>'Data_Raw++ (2016)'!I36</f>
        <v>644.16591664350892</v>
      </c>
      <c r="J34" s="42">
        <f>'Data_Raw++ (2016)'!J36</f>
        <v>1433.7886531742618</v>
      </c>
      <c r="K34" s="42">
        <f>'Data_Raw++ (2016)'!K36</f>
        <v>842.06635186424887</v>
      </c>
      <c r="L34" s="42">
        <f>'Data_Raw++ (2016)'!L36</f>
        <v>609.77218583273191</v>
      </c>
      <c r="M34" s="42">
        <f>'Data_Raw++ (2016)'!M36</f>
        <v>609.77218583273191</v>
      </c>
      <c r="N34" s="42">
        <f>'Data_Raw++ (2016)'!N36</f>
        <v>498.90451568132607</v>
      </c>
      <c r="O34" s="42">
        <f>'Data_Raw++ (2016)'!O36</f>
        <v>318.97173953396259</v>
      </c>
      <c r="P34" s="42">
        <f>'Data_Raw++ (2016)'!P36</f>
        <v>150.10434801598237</v>
      </c>
      <c r="Q34" s="42">
        <f>'Data_Raw++ (2016)'!Q36</f>
        <v>176.20945201876191</v>
      </c>
      <c r="R34" s="42">
        <f>'Data_Raw++ (2016)'!R36</f>
        <v>75.518336579469391</v>
      </c>
      <c r="S34" s="42">
        <f>'Data_Raw++ (2016)'!S36</f>
        <v>134.25482058572337</v>
      </c>
      <c r="T34" s="42">
        <f>'Data_Raw++ (2016)'!T36</f>
        <v>97.219008010351402</v>
      </c>
      <c r="U34" s="42">
        <f>'Data_Raw++ (2016)'!U36</f>
        <v>79.542824735742045</v>
      </c>
      <c r="V34" s="42">
        <f>'Data_Raw++ (2016)'!V36</f>
        <v>37.431917522702136</v>
      </c>
      <c r="W34" s="42">
        <f>'Data_Raw++ (2016)'!W36</f>
        <v>125.31554996730715</v>
      </c>
      <c r="X34" s="42">
        <f>'Data_Raw++ (2016)'!X36</f>
        <v>73.598021409370872</v>
      </c>
      <c r="Y34" s="42">
        <f>'Data_Raw++ (2016)'!Y36</f>
        <v>53.295118951613397</v>
      </c>
      <c r="Z34" s="42">
        <f>'Data_Raw++ (2016)'!Z36</f>
        <v>32.664750325182403</v>
      </c>
      <c r="AA34" s="42">
        <f>'Data_Raw++ (2016)'!AA36</f>
        <v>36.834718451801443</v>
      </c>
    </row>
    <row r="35" spans="1:27" x14ac:dyDescent="0.2">
      <c r="A35" s="1" t="s">
        <v>125</v>
      </c>
      <c r="B35" s="42">
        <f>'Data_Raw++ (2016)'!B37</f>
        <v>5000</v>
      </c>
      <c r="C35" s="42">
        <f>'Data_Raw++ (2016)'!C37</f>
        <v>2812.5</v>
      </c>
      <c r="D35" s="42">
        <f>'Data_Raw++ (2016)'!D37</f>
        <v>4047.2560975609754</v>
      </c>
      <c r="E35" s="42">
        <f>'Data_Raw++ (2016)'!E37</f>
        <v>3735.9287054409001</v>
      </c>
      <c r="F35" s="42">
        <f>'Data_Raw++ (2016)'!F37</f>
        <v>2705.327683250307</v>
      </c>
      <c r="G35" s="42">
        <f>'Data_Raw++ (2016)'!G37</f>
        <v>2705.327683250307</v>
      </c>
      <c r="H35" s="42">
        <f>'Data_Raw++ (2016)'!H37</f>
        <v>1000.6006499692917</v>
      </c>
      <c r="I35" s="42">
        <f>'Data_Raw++ (2016)'!I37</f>
        <v>562.8378656077266</v>
      </c>
      <c r="J35" s="42">
        <f>'Data_Raw++ (2016)'!J37</f>
        <v>880.33614877105947</v>
      </c>
      <c r="K35" s="42">
        <f>'Data_Raw++ (2016)'!K37</f>
        <v>749.91597858275429</v>
      </c>
      <c r="L35" s="42">
        <f>'Data_Raw++ (2016)'!L37</f>
        <v>321.39256224975185</v>
      </c>
      <c r="M35" s="42">
        <f>'Data_Raw++ (2016)'!M37</f>
        <v>443.82782405918113</v>
      </c>
      <c r="N35" s="42">
        <f>'Data_Raw++ (2016)'!N37</f>
        <v>480.81347606411293</v>
      </c>
      <c r="O35" s="42">
        <f>'Data_Raw++ (2016)'!O37</f>
        <v>294.69213049090797</v>
      </c>
      <c r="P35" s="42">
        <f>'Data_Raw++ (2016)'!P37</f>
        <v>272.02350506853043</v>
      </c>
      <c r="Q35" s="42">
        <f>'Data_Raw++ (2016)'!Q37</f>
        <v>116.58150217222733</v>
      </c>
      <c r="R35" s="42">
        <f>'Data_Raw++ (2016)'!R37</f>
        <v>60.057137482662569</v>
      </c>
      <c r="S35" s="42">
        <f>'Data_Raw++ (2016)'!S37</f>
        <v>190.1809353617648</v>
      </c>
      <c r="T35" s="42">
        <f>'Data_Raw++ (2016)'!T37</f>
        <v>70.340893900926702</v>
      </c>
      <c r="U35" s="42">
        <f>'Data_Raw++ (2016)'!U37</f>
        <v>97.137424910803531</v>
      </c>
      <c r="V35" s="42">
        <f>'Data_Raw++ (2016)'!V37</f>
        <v>76.322262429917046</v>
      </c>
      <c r="W35" s="42">
        <f>'Data_Raw++ (2016)'!W37</f>
        <v>24.101767083131698</v>
      </c>
      <c r="X35" s="42">
        <f>'Data_Raw++ (2016)'!X37</f>
        <v>26.110247673392678</v>
      </c>
      <c r="Y35" s="42">
        <f>'Data_Raw++ (2016)'!Y37</f>
        <v>28.286101646175403</v>
      </c>
      <c r="Z35" s="42">
        <f>'Data_Raw++ (2016)'!Z37</f>
        <v>22.224794150566385</v>
      </c>
      <c r="AA35" s="42">
        <f>'Data_Raw++ (2016)'!AA37</f>
        <v>28.286101646175403</v>
      </c>
    </row>
    <row r="36" spans="1:27" x14ac:dyDescent="0.2">
      <c r="A36" s="1" t="s">
        <v>120</v>
      </c>
      <c r="B36" s="42">
        <f>'Data_Raw++ (2016)'!B38</f>
        <v>5000</v>
      </c>
      <c r="C36" s="42">
        <f>'Data_Raw++ (2016)'!C38</f>
        <v>2812.5</v>
      </c>
      <c r="D36" s="42">
        <f>'Data_Raw++ (2016)'!D38</f>
        <v>3579.545454545455</v>
      </c>
      <c r="E36" s="42">
        <f>'Data_Raw++ (2016)'!E38</f>
        <v>2928.7190082644629</v>
      </c>
      <c r="F36" s="42">
        <f>'Data_Raw++ (2016)'!F38</f>
        <v>2703.4329307056578</v>
      </c>
      <c r="G36" s="42">
        <f>'Data_Raw++ (2016)'!G38</f>
        <v>2302.9243483788937</v>
      </c>
      <c r="H36" s="42">
        <f>'Data_Raw++ (2016)'!H38</f>
        <v>986.96757787666877</v>
      </c>
      <c r="I36" s="42">
        <f>'Data_Raw++ (2016)'!I38</f>
        <v>346.77239222693771</v>
      </c>
      <c r="J36" s="42">
        <f>'Data_Raw++ (2016)'!J38</f>
        <v>1040.3171766808132</v>
      </c>
      <c r="K36" s="42">
        <f>'Data_Raw++ (2016)'!K38</f>
        <v>665.12081787789703</v>
      </c>
      <c r="L36" s="42">
        <f>'Data_Raw++ (2016)'!L38</f>
        <v>358.14197885732915</v>
      </c>
      <c r="M36" s="42">
        <f>'Data_Raw++ (2016)'!M38</f>
        <v>305.08390791550261</v>
      </c>
      <c r="N36" s="42">
        <f>'Data_Raw++ (2016)'!N38</f>
        <v>497.76848133582001</v>
      </c>
      <c r="O36" s="42">
        <f>'Data_Raw++ (2016)'!O38</f>
        <v>331.84565422388005</v>
      </c>
      <c r="P36" s="42">
        <f>'Data_Raw++ (2016)'!P38</f>
        <v>374.2089292311839</v>
      </c>
      <c r="Q36" s="42">
        <f>'Data_Raw++ (2016)'!Q38</f>
        <v>99.473259669048872</v>
      </c>
      <c r="R36" s="42">
        <f>'Data_Raw++ (2016)'!R38</f>
        <v>53.562524437180151</v>
      </c>
      <c r="S36" s="42">
        <f>'Data_Raw++ (2016)'!S38</f>
        <v>77.077779068137303</v>
      </c>
      <c r="T36" s="42">
        <f>'Data_Raw++ (2016)'!T38</f>
        <v>80.223810866836786</v>
      </c>
      <c r="U36" s="42">
        <f>'Data_Raw++ (2016)'!U38</f>
        <v>86.9091284390732</v>
      </c>
      <c r="V36" s="42">
        <f>'Data_Raw++ (2016)'!V38</f>
        <v>23.102426547095405</v>
      </c>
      <c r="W36" s="42">
        <f>'Data_Raw++ (2016)'!W38</f>
        <v>27.120239859633738</v>
      </c>
      <c r="X36" s="42">
        <f>'Data_Raw++ (2016)'!X38</f>
        <v>27.120239859633738</v>
      </c>
      <c r="Y36" s="42">
        <f>'Data_Raw++ (2016)'!Y38</f>
        <v>28.227188425333079</v>
      </c>
      <c r="Z36" s="42">
        <f>'Data_Raw++ (2016)'!Z38</f>
        <v>21.294194777005657</v>
      </c>
      <c r="AA36" s="42">
        <f>'Data_Raw++ (2016)'!AA38</f>
        <v>63.882584331016972</v>
      </c>
    </row>
    <row r="37" spans="1:27" x14ac:dyDescent="0.2">
      <c r="A37" s="1" t="s">
        <v>123</v>
      </c>
      <c r="B37" s="42">
        <f>'Data_Raw++ (2016)'!B39</f>
        <v>5000</v>
      </c>
      <c r="C37" s="42">
        <f>'Data_Raw++ (2016)'!C39</f>
        <v>2462.686567164179</v>
      </c>
      <c r="D37" s="42">
        <f>'Data_Raw++ (2016)'!D39</f>
        <v>3264.4914960083302</v>
      </c>
      <c r="E37" s="42">
        <f>'Data_Raw++ (2016)'!E39</f>
        <v>2780.8631262293184</v>
      </c>
      <c r="F37" s="42">
        <f>'Data_Raw++ (2016)'!F39</f>
        <v>2275.2516487330786</v>
      </c>
      <c r="G37" s="42">
        <f>'Data_Raw++ (2016)'!G39</f>
        <v>2186.0260938808005</v>
      </c>
      <c r="H37" s="42">
        <f>'Data_Raw++ (2016)'!H39</f>
        <v>1717.5919309063431</v>
      </c>
      <c r="I37" s="42">
        <f>'Data_Raw++ (2016)'!I39</f>
        <v>572.53064363544775</v>
      </c>
      <c r="J37" s="42">
        <f>'Data_Raw++ (2016)'!J39</f>
        <v>728.67536462693351</v>
      </c>
      <c r="K37" s="42">
        <f>'Data_Raw++ (2016)'!K39</f>
        <v>549.7024680518972</v>
      </c>
      <c r="L37" s="42">
        <f>'Data_Raw++ (2016)'!L39</f>
        <v>213.77318202018228</v>
      </c>
      <c r="M37" s="42">
        <f>'Data_Raw++ (2016)'!M39</f>
        <v>334.36318213413119</v>
      </c>
      <c r="N37" s="42">
        <f>'Data_Raw++ (2016)'!N39</f>
        <v>321.25090048181232</v>
      </c>
      <c r="O37" s="42">
        <f>'Data_Raw++ (2016)'!O39</f>
        <v>223.24215118227636</v>
      </c>
      <c r="P37" s="42">
        <f>'Data_Raw++ (2016)'!P39</f>
        <v>197.96945482201863</v>
      </c>
      <c r="Q37" s="42">
        <f>'Data_Raw++ (2016)'!Q39</f>
        <v>401.9379840325833</v>
      </c>
      <c r="R37" s="42">
        <f>'Data_Raw++ (2016)'!R39</f>
        <v>64.828707102029568</v>
      </c>
      <c r="S37" s="42">
        <f>'Data_Raw++ (2016)'!S39</f>
        <v>70.930232476338233</v>
      </c>
      <c r="T37" s="42">
        <f>'Data_Raw++ (2016)'!T39</f>
        <v>55.730896945694319</v>
      </c>
      <c r="U37" s="42">
        <f>'Data_Raw++ (2016)'!U39</f>
        <v>34.831810591058947</v>
      </c>
      <c r="V37" s="42">
        <f>'Data_Raw++ (2016)'!V39</f>
        <v>24.804683464697376</v>
      </c>
      <c r="W37" s="42">
        <f>'Data_Raw++ (2016)'!W39</f>
        <v>24.804683464697376</v>
      </c>
      <c r="X37" s="42">
        <f>'Data_Raw++ (2016)'!X39</f>
        <v>50.361024004082552</v>
      </c>
      <c r="Y37" s="42">
        <f>'Data_Raw++ (2016)'!Y39</f>
        <v>46.487099080691578</v>
      </c>
      <c r="Z37" s="42">
        <f>'Data_Raw++ (2016)'!Z39</f>
        <v>24.173291521959623</v>
      </c>
      <c r="AA37" s="42">
        <f>'Data_Raw++ (2016)'!AA39</f>
        <v>42.911168382176839</v>
      </c>
    </row>
    <row r="38" spans="1:27" x14ac:dyDescent="0.2">
      <c r="A38" s="1" t="s">
        <v>126</v>
      </c>
      <c r="B38" s="42">
        <f>'Data_Raw++ (2016)'!B40</f>
        <v>5000</v>
      </c>
      <c r="C38" s="42">
        <f>'Data_Raw++ (2016)'!C40</f>
        <v>2042.2535211267605</v>
      </c>
      <c r="D38" s="42">
        <f>'Data_Raw++ (2016)'!D40</f>
        <v>2820.2548625083832</v>
      </c>
      <c r="E38" s="42">
        <f>'Data_Raw++ (2016)'!E40</f>
        <v>4411.1678618720862</v>
      </c>
      <c r="F38" s="42">
        <f>'Data_Raw++ (2016)'!F40</f>
        <v>4778.7651836947598</v>
      </c>
      <c r="G38" s="42">
        <f>'Data_Raw++ (2016)'!G40</f>
        <v>1767.488492599432</v>
      </c>
      <c r="H38" s="42">
        <f>'Data_Raw++ (2016)'!H40</f>
        <v>910.52437497546498</v>
      </c>
      <c r="I38" s="42">
        <f>'Data_Raw++ (2016)'!I40</f>
        <v>303.50812499182166</v>
      </c>
      <c r="J38" s="42">
        <f>'Data_Raw++ (2016)'!J40</f>
        <v>780.44946426468414</v>
      </c>
      <c r="K38" s="42">
        <f>'Data_Raw++ (2016)'!K40</f>
        <v>720.41489009047768</v>
      </c>
      <c r="L38" s="42">
        <f>'Data_Raw++ (2016)'!L40</f>
        <v>371.12282216782188</v>
      </c>
      <c r="M38" s="42">
        <f>'Data_Raw++ (2016)'!M40</f>
        <v>356.5689860043779</v>
      </c>
      <c r="N38" s="42">
        <f>'Data_Raw++ (2016)'!N40</f>
        <v>218.54228174461872</v>
      </c>
      <c r="O38" s="42">
        <f>'Data_Raw++ (2016)'!O40</f>
        <v>227.46237487705213</v>
      </c>
      <c r="P38" s="42">
        <f>'Data_Raw++ (2016)'!P40</f>
        <v>246.41757278347313</v>
      </c>
      <c r="Q38" s="42">
        <f>'Data_Raw++ (2016)'!Q40</f>
        <v>151.03012525438675</v>
      </c>
      <c r="R38" s="42">
        <f>'Data_Raw++ (2016)'!R40</f>
        <v>26.65237504489178</v>
      </c>
      <c r="S38" s="42">
        <f>'Data_Raw++ (2016)'!S40</f>
        <v>84.399187642157301</v>
      </c>
      <c r="T38" s="42">
        <f>'Data_Raw++ (2016)'!T40</f>
        <v>34.472907628486787</v>
      </c>
      <c r="U38" s="42">
        <f>'Data_Raw++ (2016)'!U40</f>
        <v>49.607354880017567</v>
      </c>
      <c r="V38" s="42">
        <f>'Data_Raw++ (2016)'!V40</f>
        <v>37.42309227790799</v>
      </c>
      <c r="W38" s="42">
        <f>'Data_Raw++ (2016)'!W40</f>
        <v>16.038468119103424</v>
      </c>
      <c r="X38" s="42">
        <f>'Data_Raw++ (2016)'!X40</f>
        <v>39.266594360563559</v>
      </c>
      <c r="Y38" s="42">
        <f>'Data_Raw++ (2016)'!Y40</f>
        <v>47.992504218466571</v>
      </c>
      <c r="Z38" s="42">
        <f>'Data_Raw++ (2016)'!Z40</f>
        <v>18.663751640514782</v>
      </c>
      <c r="AA38" s="42">
        <f>'Data_Raw++ (2016)'!AA40</f>
        <v>15.898751397475554</v>
      </c>
    </row>
    <row r="39" spans="1:27" x14ac:dyDescent="0.2">
      <c r="A39" s="1" t="s">
        <v>122</v>
      </c>
      <c r="B39" s="42">
        <f>'Data_Raw++ (2016)'!B41</f>
        <v>6000</v>
      </c>
      <c r="C39" s="42">
        <f>'Data_Raw++ (2016)'!C41</f>
        <v>2219.1780821917814</v>
      </c>
      <c r="D39" s="42">
        <f>'Data_Raw++ (2016)'!D41</f>
        <v>4121.3307240704517</v>
      </c>
      <c r="E39" s="42">
        <f>'Data_Raw++ (2016)'!E41</f>
        <v>2863.975587913365</v>
      </c>
      <c r="F39" s="42">
        <f>'Data_Raw++ (2016)'!F41</f>
        <v>2980.8725506853393</v>
      </c>
      <c r="G39" s="42">
        <f>'Data_Raw++ (2016)'!G41</f>
        <v>2751.5746621710819</v>
      </c>
      <c r="H39" s="42">
        <f>'Data_Raw++ (2016)'!H41</f>
        <v>1834.3831081140547</v>
      </c>
      <c r="I39" s="42">
        <f>'Data_Raw++ (2016)'!I41</f>
        <v>517.39010741678464</v>
      </c>
      <c r="J39" s="42">
        <f>'Data_Raw++ (2016)'!J41</f>
        <v>776.0851611251768</v>
      </c>
      <c r="K39" s="42">
        <f>'Data_Raw++ (2016)'!K41</f>
        <v>807.76210647722485</v>
      </c>
      <c r="L39" s="42">
        <f>'Data_Raw++ (2016)'!L41</f>
        <v>200.63565244997474</v>
      </c>
      <c r="M39" s="42">
        <f>'Data_Raw++ (2016)'!M41</f>
        <v>861.55309581459744</v>
      </c>
      <c r="N39" s="42">
        <f>'Data_Raw++ (2016)'!N41</f>
        <v>463.91320543862929</v>
      </c>
      <c r="O39" s="42">
        <f>'Data_Raw++ (2016)'!O41</f>
        <v>322.38036310142036</v>
      </c>
      <c r="P39" s="42">
        <f>'Data_Raw++ (2016)'!P41</f>
        <v>65.670073965104137</v>
      </c>
      <c r="Q39" s="42">
        <f>'Data_Raw++ (2016)'!Q41</f>
        <v>90.92779472091344</v>
      </c>
      <c r="R39" s="42">
        <f>'Data_Raw++ (2016)'!R41</f>
        <v>31.883772174865747</v>
      </c>
      <c r="S39" s="42">
        <f>'Data_Raw++ (2016)'!S41</f>
        <v>95.651316524597235</v>
      </c>
      <c r="T39" s="42">
        <f>'Data_Raw++ (2016)'!T41</f>
        <v>63.767544349731502</v>
      </c>
      <c r="U39" s="42">
        <f>'Data_Raw++ (2016)'!U41</f>
        <v>25.120547774136654</v>
      </c>
      <c r="V39" s="42">
        <f>'Data_Raw++ (2016)'!V41</f>
        <v>10.234297241314934</v>
      </c>
      <c r="W39" s="42">
        <f>'Data_Raw++ (2016)'!W41</f>
        <v>32.749751172207787</v>
      </c>
      <c r="X39" s="42">
        <f>'Data_Raw++ (2016)'!X41</f>
        <v>30.702891723944802</v>
      </c>
      <c r="Y39" s="42">
        <f>'Data_Raw++ (2016)'!Y41</f>
        <v>48.022471670785464</v>
      </c>
      <c r="Z39" s="42">
        <f>'Data_Raw++ (2016)'!Z41</f>
        <v>18.675405649749905</v>
      </c>
      <c r="AA39" s="42">
        <f>'Data_Raw++ (2016)'!AA41</f>
        <v>74.70162259899962</v>
      </c>
    </row>
    <row r="40" spans="1:27" x14ac:dyDescent="0.2">
      <c r="A40" s="1" t="s">
        <v>98</v>
      </c>
      <c r="B40" s="42">
        <f>'Data_Raw++ (2016)'!B42</f>
        <v>7000</v>
      </c>
      <c r="C40" s="42">
        <f>'Data_Raw++ (2016)'!C42</f>
        <v>2589.0410958904108</v>
      </c>
      <c r="D40" s="42">
        <f>'Data_Raw++ (2016)'!D42</f>
        <v>6999.9999999999991</v>
      </c>
      <c r="E40" s="42">
        <f>'Data_Raw++ (2016)'!E42</f>
        <v>2459.4594594594591</v>
      </c>
      <c r="F40" s="42">
        <f>'Data_Raw++ (2016)'!F42</f>
        <v>2559.8455598455594</v>
      </c>
      <c r="G40" s="42">
        <f>'Data_Raw++ (2016)'!G42</f>
        <v>2773.1660231660226</v>
      </c>
      <c r="H40" s="42">
        <f>'Data_Raw++ (2016)'!H42</f>
        <v>2362.3266123266117</v>
      </c>
      <c r="I40" s="42">
        <f>'Data_Raw++ (2016)'!I42</f>
        <v>666.29724963058277</v>
      </c>
      <c r="J40" s="42">
        <f>'Data_Raw++ (2016)'!J42</f>
        <v>1896.3844797178124</v>
      </c>
      <c r="K40" s="42">
        <f>'Data_Raw++ (2016)'!K42</f>
        <v>1066.7162698412694</v>
      </c>
      <c r="L40" s="42">
        <f>'Data_Raw++ (2016)'!L42</f>
        <v>300.86869149369136</v>
      </c>
      <c r="M40" s="42">
        <f>'Data_Raw++ (2016)'!M42</f>
        <v>313.14904624853591</v>
      </c>
      <c r="N40" s="42">
        <f>'Data_Raw++ (2016)'!N42</f>
        <v>581.56251446156671</v>
      </c>
      <c r="O40" s="42">
        <f>'Data_Raw++ (2016)'!O42</f>
        <v>204.33277535136128</v>
      </c>
      <c r="P40" s="42">
        <f>'Data_Raw++ (2016)'!P42</f>
        <v>120.00496330159312</v>
      </c>
      <c r="Q40" s="42">
        <f>'Data_Raw++ (2016)'!Q42</f>
        <v>159.07634670211178</v>
      </c>
      <c r="R40" s="42">
        <f>'Data_Raw++ (2016)'!R42</f>
        <v>11.973488461449275</v>
      </c>
      <c r="S40" s="42">
        <f>'Data_Raw++ (2016)'!S42</f>
        <v>159.07634670211178</v>
      </c>
      <c r="T40" s="42">
        <f>'Data_Raw++ (2016)'!T42</f>
        <v>89.480445019937861</v>
      </c>
      <c r="U40" s="42">
        <f>'Data_Raw++ (2016)'!U42</f>
        <v>11.05938084516086</v>
      </c>
      <c r="V40" s="42">
        <f>'Data_Raw++ (2016)'!V42</f>
        <v>6.4951919249357424</v>
      </c>
      <c r="W40" s="42">
        <f>'Data_Raw++ (2016)'!W42</f>
        <v>24.434293431901128</v>
      </c>
      <c r="X40" s="42">
        <f>'Data_Raw++ (2016)'!X42</f>
        <v>15.621925308920394</v>
      </c>
      <c r="Y40" s="42">
        <f>'Data_Raw++ (2016)'!Y42</f>
        <v>27.772311660302925</v>
      </c>
      <c r="Z40" s="42">
        <f>'Data_Raw++ (2016)'!Z42</f>
        <v>7.3825132261564725</v>
      </c>
      <c r="AA40" s="42">
        <f>'Data_Raw++ (2016)'!AA42</f>
        <v>16.432045567896665</v>
      </c>
    </row>
    <row r="41" spans="1:27" x14ac:dyDescent="0.2">
      <c r="A41" s="1" t="s">
        <v>113</v>
      </c>
      <c r="B41" s="42">
        <f>'Data_Raw++ (2016)'!B43</f>
        <v>5000</v>
      </c>
      <c r="C41" s="42">
        <f>'Data_Raw++ (2016)'!C43</f>
        <v>1756.7567567567569</v>
      </c>
      <c r="D41" s="42">
        <f>'Data_Raw++ (2016)'!D43</f>
        <v>2991.2344777209646</v>
      </c>
      <c r="E41" s="42">
        <f>'Data_Raw++ (2016)'!E43</f>
        <v>2166.0663459358711</v>
      </c>
      <c r="F41" s="42">
        <f>'Data_Raw++ (2016)'!F43</f>
        <v>2166.0663459358711</v>
      </c>
      <c r="G41" s="42">
        <f>'Data_Raw++ (2016)'!G43</f>
        <v>1568.5308022294241</v>
      </c>
      <c r="H41" s="42">
        <f>'Data_Raw++ (2016)'!H43</f>
        <v>844.59350889276686</v>
      </c>
      <c r="I41" s="42">
        <f>'Data_Raw++ (2016)'!I43</f>
        <v>198.11452677731566</v>
      </c>
      <c r="J41" s="42">
        <f>'Data_Raw++ (2016)'!J43</f>
        <v>902.52173309666011</v>
      </c>
      <c r="K41" s="42">
        <f>'Data_Raw++ (2016)'!K43</f>
        <v>627.17611960954355</v>
      </c>
      <c r="L41" s="42">
        <f>'Data_Raw++ (2016)'!L43</f>
        <v>295.14170334566751</v>
      </c>
      <c r="M41" s="42">
        <f>'Data_Raw++ (2016)'!M43</f>
        <v>138.89021333913766</v>
      </c>
      <c r="N41" s="42">
        <f>'Data_Raw++ (2016)'!N43</f>
        <v>269.61041412891427</v>
      </c>
      <c r="O41" s="42">
        <f>'Data_Raw++ (2016)'!O43</f>
        <v>269.61041412891427</v>
      </c>
      <c r="P41" s="42">
        <f>'Data_Raw++ (2016)'!P43</f>
        <v>158.34262417094965</v>
      </c>
      <c r="Q41" s="42">
        <f>'Data_Raw++ (2016)'!Q43</f>
        <v>64.675156351514644</v>
      </c>
      <c r="R41" s="42">
        <f>'Data_Raw++ (2016)'!R43</f>
        <v>30.435367694830422</v>
      </c>
      <c r="S41" s="42">
        <f>'Data_Raw++ (2016)'!S43</f>
        <v>31.677627600741868</v>
      </c>
      <c r="T41" s="42">
        <f>'Data_Raw++ (2016)'!T43</f>
        <v>47.5164414011128</v>
      </c>
      <c r="U41" s="42">
        <f>'Data_Raw++ (2016)'!U43</f>
        <v>24.478166782391444</v>
      </c>
      <c r="V41" s="42">
        <f>'Data_Raw++ (2016)'!V43</f>
        <v>32.447802478984002</v>
      </c>
      <c r="W41" s="42">
        <f>'Data_Raw++ (2016)'!W43</f>
        <v>13.906201062421715</v>
      </c>
      <c r="X41" s="42">
        <f>'Data_Raw++ (2016)'!X43</f>
        <v>14.473801105785867</v>
      </c>
      <c r="Y41" s="42">
        <f>'Data_Raw++ (2016)'!Y43</f>
        <v>10.918832413136707</v>
      </c>
      <c r="Z41" s="42">
        <f>'Data_Raw++ (2016)'!Z43</f>
        <v>15.078387618141168</v>
      </c>
      <c r="AA41" s="42">
        <f>'Data_Raw++ (2016)'!AA43</f>
        <v>11.847304557110915</v>
      </c>
    </row>
    <row r="42" spans="1:27" x14ac:dyDescent="0.2">
      <c r="A42" s="1" t="s">
        <v>110</v>
      </c>
      <c r="B42" s="42">
        <f>'Data_Raw++ (2016)'!B44</f>
        <v>5000</v>
      </c>
      <c r="C42" s="42">
        <f>'Data_Raw++ (2016)'!C44</f>
        <v>1024.0963855421687</v>
      </c>
      <c r="D42" s="42">
        <f>'Data_Raw++ (2016)'!D44</f>
        <v>1820.6157965194111</v>
      </c>
      <c r="E42" s="42">
        <f>'Data_Raw++ (2016)'!E44</f>
        <v>2053.0348343729534</v>
      </c>
      <c r="F42" s="42">
        <f>'Data_Raw++ (2016)'!F44</f>
        <v>1748.8815255769603</v>
      </c>
      <c r="G42" s="42">
        <f>'Data_Raw++ (2016)'!G44</f>
        <v>680.12059327992915</v>
      </c>
      <c r="H42" s="42">
        <f>'Data_Raw++ (2016)'!H44</f>
        <v>901.55520504548747</v>
      </c>
      <c r="I42" s="42">
        <f>'Data_Raw++ (2016)'!I44</f>
        <v>128.79360072078393</v>
      </c>
      <c r="J42" s="42">
        <f>'Data_Raw++ (2016)'!J44</f>
        <v>405.04654139724801</v>
      </c>
      <c r="K42" s="42">
        <f>'Data_Raw++ (2016)'!K44</f>
        <v>405.04654139724801</v>
      </c>
      <c r="L42" s="42">
        <f>'Data_Raw++ (2016)'!L44</f>
        <v>149.8117344893931</v>
      </c>
      <c r="M42" s="42">
        <f>'Data_Raw++ (2016)'!M44</f>
        <v>81.972458494196232</v>
      </c>
      <c r="N42" s="42">
        <f>'Data_Raw++ (2016)'!N44</f>
        <v>117.70921995595172</v>
      </c>
      <c r="O42" s="42">
        <f>'Data_Raw++ (2016)'!O44</f>
        <v>184.10929275161678</v>
      </c>
      <c r="P42" s="42">
        <f>'Data_Raw++ (2016)'!P44</f>
        <v>61.369764250538928</v>
      </c>
      <c r="Q42" s="42">
        <f>'Data_Raw++ (2016)'!Q44</f>
        <v>58.963106828949158</v>
      </c>
      <c r="R42" s="42">
        <f>'Data_Raw++ (2016)'!R44</f>
        <v>18.61992847229973</v>
      </c>
      <c r="S42" s="42">
        <f>'Data_Raw++ (2016)'!S44</f>
        <v>33.166747591283901</v>
      </c>
      <c r="T42" s="42">
        <f>'Data_Raw++ (2016)'!T44</f>
        <v>27.136429847414096</v>
      </c>
      <c r="U42" s="42">
        <f>'Data_Raw++ (2016)'!U44</f>
        <v>21.321480594396789</v>
      </c>
      <c r="V42" s="42">
        <f>'Data_Raw++ (2016)'!V44</f>
        <v>12.542047408468699</v>
      </c>
      <c r="W42" s="42">
        <f>'Data_Raw++ (2016)'!W44</f>
        <v>12.542047408468699</v>
      </c>
      <c r="X42" s="42">
        <f>'Data_Raw++ (2016)'!X44</f>
        <v>14.33376846682137</v>
      </c>
      <c r="Y42" s="42">
        <f>'Data_Raw++ (2016)'!Y44</f>
        <v>15.962605792596527</v>
      </c>
      <c r="Z42" s="42">
        <f>'Data_Raw++ (2016)'!Z44</f>
        <v>23.943908688894787</v>
      </c>
      <c r="AA42" s="42">
        <f>'Data_Raw++ (2016)'!AA44</f>
        <v>23.943908688894787</v>
      </c>
    </row>
    <row r="43" spans="1:27" x14ac:dyDescent="0.2">
      <c r="A43" s="1" t="s">
        <v>101</v>
      </c>
      <c r="B43" s="42">
        <f>'Data_Raw++ (2016)'!B45</f>
        <v>5000</v>
      </c>
      <c r="C43" s="42">
        <f>'Data_Raw++ (2016)'!C45</f>
        <v>1024.0963855421687</v>
      </c>
      <c r="D43" s="42">
        <f>'Data_Raw++ (2016)'!D45</f>
        <v>1987.9518072289159</v>
      </c>
      <c r="E43" s="42">
        <f>'Data_Raw++ (2016)'!E45</f>
        <v>2429.7188755020088</v>
      </c>
      <c r="F43" s="42">
        <f>'Data_Raw++ (2016)'!F45</f>
        <v>3496.4247232833786</v>
      </c>
      <c r="G43" s="42">
        <f>'Data_Raw++ (2016)'!G45</f>
        <v>767.5078660865953</v>
      </c>
      <c r="H43" s="42">
        <f>'Data_Raw++ (2016)'!H45</f>
        <v>1059.8918150719649</v>
      </c>
      <c r="I43" s="42">
        <f>'Data_Raw++ (2016)'!I45</f>
        <v>92.164505658431722</v>
      </c>
      <c r="J43" s="42">
        <f>'Data_Raw++ (2016)'!J45</f>
        <v>483.86365470676651</v>
      </c>
      <c r="K43" s="42">
        <f>'Data_Raw++ (2016)'!K45</f>
        <v>568.01385552533463</v>
      </c>
      <c r="L43" s="42">
        <f>'Data_Raw++ (2016)'!L45</f>
        <v>179.37279648168462</v>
      </c>
      <c r="M43" s="42">
        <f>'Data_Raw++ (2016)'!M45</f>
        <v>73.26494504181484</v>
      </c>
      <c r="N43" s="42">
        <f>'Data_Raw++ (2016)'!N45</f>
        <v>114.59388839873601</v>
      </c>
      <c r="O43" s="42">
        <f>'Data_Raw++ (2016)'!O45</f>
        <v>212.81722131193834</v>
      </c>
      <c r="P43" s="42">
        <f>'Data_Raw++ (2016)'!P45</f>
        <v>119.70968698796531</v>
      </c>
      <c r="Q43" s="42">
        <f>'Data_Raw++ (2016)'!Q45</f>
        <v>152.3577834392286</v>
      </c>
      <c r="R43" s="42">
        <f>'Data_Raw++ (2016)'!R45</f>
        <v>11.467790151339788</v>
      </c>
      <c r="S43" s="42">
        <f>'Data_Raw++ (2016)'!S45</f>
        <v>21.297324566773892</v>
      </c>
      <c r="T43" s="42">
        <f>'Data_Raw++ (2016)'!T45</f>
        <v>25.001207100125875</v>
      </c>
      <c r="U43" s="42">
        <f>'Data_Raw++ (2016)'!U45</f>
        <v>29.349243117539071</v>
      </c>
      <c r="V43" s="42">
        <f>'Data_Raw++ (2016)'!V45</f>
        <v>54.505737218286853</v>
      </c>
      <c r="W43" s="42">
        <f>'Data_Raw++ (2016)'!W45</f>
        <v>36.337158145524569</v>
      </c>
      <c r="X43" s="42">
        <f>'Data_Raw++ (2016)'!X45</f>
        <v>11.474892045955126</v>
      </c>
      <c r="Y43" s="42">
        <f>'Data_Raw++ (2016)'!Y45</f>
        <v>17.94790807187853</v>
      </c>
      <c r="Z43" s="42">
        <f>'Data_Raw++ (2016)'!Z45</f>
        <v>8.8400144234625593</v>
      </c>
      <c r="AA43" s="42">
        <f>'Data_Raw++ (2016)'!AA45</f>
        <v>2.4933374014894398</v>
      </c>
    </row>
    <row r="44" spans="1:27" x14ac:dyDescent="0.2">
      <c r="A44" s="1" t="s">
        <v>115</v>
      </c>
      <c r="B44" s="42">
        <f>'Data_Raw++ (2016)'!B46</f>
        <v>5000</v>
      </c>
      <c r="C44" s="42">
        <f>'Data_Raw++ (2016)'!C46</f>
        <v>813.95348837209315</v>
      </c>
      <c r="D44" s="42">
        <f>'Data_Raw++ (2016)'!D46</f>
        <v>1899.2248062015508</v>
      </c>
      <c r="E44" s="42">
        <f>'Data_Raw++ (2016)'!E46</f>
        <v>4035.8527131782957</v>
      </c>
      <c r="F44" s="42">
        <f>'Data_Raw++ (2016)'!F46</f>
        <v>2804.5756142425448</v>
      </c>
      <c r="G44" s="42">
        <f>'Data_Raw++ (2016)'!G46</f>
        <v>745.52009998852452</v>
      </c>
      <c r="H44" s="42">
        <f>'Data_Raw++ (2016)'!H46</f>
        <v>1166.0698999820511</v>
      </c>
      <c r="I44" s="42">
        <f>'Data_Raw++ (2016)'!I46</f>
        <v>87.768702149186637</v>
      </c>
      <c r="J44" s="42">
        <f>'Data_Raw++ (2016)'!J46</f>
        <v>789.91831934267964</v>
      </c>
      <c r="K44" s="42">
        <f>'Data_Raw++ (2016)'!K46</f>
        <v>548.9262897127096</v>
      </c>
      <c r="L44" s="42">
        <f>'Data_Raw++ (2016)'!L46</f>
        <v>173.34514411980302</v>
      </c>
      <c r="M44" s="42">
        <f>'Data_Raw++ (2016)'!M46</f>
        <v>89.299013637474289</v>
      </c>
      <c r="N44" s="42">
        <f>'Data_Raw++ (2016)'!N46</f>
        <v>89.299013637474289</v>
      </c>
      <c r="O44" s="42">
        <f>'Data_Raw++ (2016)'!O46</f>
        <v>218.62861959519566</v>
      </c>
      <c r="P44" s="42">
        <f>'Data_Raw++ (2016)'!P46</f>
        <v>186.2391944699815</v>
      </c>
      <c r="Q44" s="42">
        <f>'Data_Raw++ (2016)'!Q46</f>
        <v>186.2391944699815</v>
      </c>
      <c r="R44" s="42">
        <f>'Data_Raw++ (2016)'!R46</f>
        <v>11.887608157658393</v>
      </c>
      <c r="S44" s="42">
        <f>'Data_Raw++ (2016)'!S46</f>
        <v>22.076986578508446</v>
      </c>
      <c r="T44" s="42">
        <f>'Data_Raw++ (2016)'!T46</f>
        <v>13.531056290053563</v>
      </c>
      <c r="U44" s="42">
        <f>'Data_Raw++ (2016)'!U46</f>
        <v>26.266168092456915</v>
      </c>
      <c r="V44" s="42">
        <f>'Data_Raw++ (2016)'!V46</f>
        <v>83.176198959446907</v>
      </c>
      <c r="W44" s="42">
        <f>'Data_Raw++ (2016)'!W46</f>
        <v>22.110128837321327</v>
      </c>
      <c r="X44" s="42">
        <f>'Data_Raw++ (2016)'!X46</f>
        <v>9.9335361443037851</v>
      </c>
      <c r="Y44" s="42">
        <f>'Data_Raw++ (2016)'!Y46</f>
        <v>10.338986599173326</v>
      </c>
      <c r="Z44" s="42">
        <f>'Data_Raw++ (2016)'!Z46</f>
        <v>5.3261446116953506</v>
      </c>
      <c r="AA44" s="42">
        <f>'Data_Raw++ (2016)'!AA46</f>
        <v>3.824008742159998</v>
      </c>
    </row>
    <row r="45" spans="1:27" x14ac:dyDescent="0.2">
      <c r="A45" s="1" t="s">
        <v>111</v>
      </c>
      <c r="B45" s="42">
        <f>'Data_Raw++ (2016)'!B47</f>
        <v>6000</v>
      </c>
      <c r="C45" s="42">
        <f>'Data_Raw++ (2016)'!C47</f>
        <v>896.55172413793105</v>
      </c>
      <c r="D45" s="42">
        <f>'Data_Raw++ (2016)'!D47</f>
        <v>1995.5506117908785</v>
      </c>
      <c r="E45" s="42">
        <f>'Data_Raw++ (2016)'!E47</f>
        <v>2871.6460023332156</v>
      </c>
      <c r="F45" s="42">
        <f>'Data_Raw++ (2016)'!F47</f>
        <v>2871.6460023332156</v>
      </c>
      <c r="G45" s="42">
        <f>'Data_Raw++ (2016)'!G47</f>
        <v>906.83557968417335</v>
      </c>
      <c r="H45" s="42">
        <f>'Data_Raw++ (2016)'!H47</f>
        <v>1479.5738405373354</v>
      </c>
      <c r="I45" s="42">
        <f>'Data_Raw++ (2016)'!I47</f>
        <v>94.440883438553314</v>
      </c>
      <c r="J45" s="42">
        <f>'Data_Raw++ (2016)'!J47</f>
        <v>580.136855408256</v>
      </c>
      <c r="K45" s="42">
        <f>'Data_Raw++ (2016)'!K47</f>
        <v>654.196879502927</v>
      </c>
      <c r="L45" s="42">
        <f>'Data_Raw++ (2016)'!L47</f>
        <v>195.40945751386133</v>
      </c>
      <c r="M45" s="42">
        <f>'Data_Raw++ (2016)'!M47</f>
        <v>100.66547811320129</v>
      </c>
      <c r="N45" s="42">
        <f>'Data_Raw++ (2016)'!N47</f>
        <v>128.11969941680164</v>
      </c>
      <c r="O45" s="42">
        <f>'Data_Raw++ (2016)'!O47</f>
        <v>218.14975846644606</v>
      </c>
      <c r="P45" s="42">
        <f>'Data_Raw++ (2016)'!P47</f>
        <v>227.05383024058673</v>
      </c>
      <c r="Q45" s="42">
        <f>'Data_Raw++ (2016)'!Q47</f>
        <v>151.36922016039117</v>
      </c>
      <c r="R45" s="42">
        <f>'Data_Raw++ (2016)'!R47</f>
        <v>9.6618651166207137</v>
      </c>
      <c r="S45" s="42">
        <f>'Data_Raw++ (2016)'!S47</f>
        <v>20.531463372819019</v>
      </c>
      <c r="T45" s="42">
        <f>'Data_Raw++ (2016)'!T47</f>
        <v>22.24241865388727</v>
      </c>
      <c r="U45" s="42">
        <f>'Data_Raw++ (2016)'!U47</f>
        <v>11.976686967477761</v>
      </c>
      <c r="V45" s="42">
        <f>'Data_Raw++ (2016)'!V47</f>
        <v>26.657787121160176</v>
      </c>
      <c r="W45" s="42">
        <f>'Data_Raw++ (2016)'!W47</f>
        <v>72.074757772025649</v>
      </c>
      <c r="X45" s="42">
        <f>'Data_Raw++ (2016)'!X47</f>
        <v>11.733100102422782</v>
      </c>
      <c r="Y45" s="42">
        <f>'Data_Raw++ (2016)'!Y47</f>
        <v>21.790043047356598</v>
      </c>
      <c r="Z45" s="42">
        <f>'Data_Raw++ (2016)'!Z47</f>
        <v>7.2633476824521992</v>
      </c>
      <c r="AA45" s="42">
        <f>'Data_Raw++ (2016)'!AA47</f>
        <v>4.6437796658300954</v>
      </c>
    </row>
    <row r="46" spans="1:27" x14ac:dyDescent="0.2">
      <c r="A46" s="1" t="s">
        <v>127</v>
      </c>
      <c r="B46" s="42">
        <f>'Data_Raw++ (2016)'!B48</f>
        <v>5000</v>
      </c>
      <c r="C46" s="42">
        <f>'Data_Raw++ (2016)'!C48</f>
        <v>3771.9298245614041</v>
      </c>
      <c r="D46" s="42">
        <f>'Data_Raw++ (2016)'!D48</f>
        <v>5000</v>
      </c>
      <c r="E46" s="42">
        <f>'Data_Raw++ (2016)'!E48</f>
        <v>3771.9298245614041</v>
      </c>
      <c r="F46" s="42">
        <f>'Data_Raw++ (2016)'!F48</f>
        <v>3213.1254061078625</v>
      </c>
      <c r="G46" s="42">
        <f>'Data_Raw++ (2016)'!G48</f>
        <v>3213.1254061078625</v>
      </c>
      <c r="H46" s="42">
        <f>'Data_Raw++ (2016)'!H48</f>
        <v>1249.5487690419468</v>
      </c>
      <c r="I46" s="42">
        <f>'Data_Raw++ (2016)'!I48</f>
        <v>561.391475946382</v>
      </c>
      <c r="J46" s="42">
        <f>'Data_Raw++ (2016)'!J48</f>
        <v>1374.4411997307973</v>
      </c>
      <c r="K46" s="42">
        <f>'Data_Raw++ (2016)'!K48</f>
        <v>916.29413315386489</v>
      </c>
      <c r="L46" s="42">
        <f>'Data_Raw++ (2016)'!L48</f>
        <v>411.6683786633306</v>
      </c>
      <c r="M46" s="42">
        <f>'Data_Raw++ (2016)'!M48</f>
        <v>617.50256799499573</v>
      </c>
      <c r="N46" s="42">
        <f>'Data_Raw++ (2016)'!N48</f>
        <v>593.28678101479989</v>
      </c>
      <c r="O46" s="42">
        <f>'Data_Raw++ (2016)'!O48</f>
        <v>379.31449933733109</v>
      </c>
      <c r="P46" s="42">
        <f>'Data_Raw++ (2016)'!P48</f>
        <v>242.5125487566543</v>
      </c>
      <c r="Q46" s="42">
        <f>'Data_Raw++ (2016)'!Q48</f>
        <v>136.41330867561803</v>
      </c>
      <c r="R46" s="42">
        <f>'Data_Raw++ (2016)'!R48</f>
        <v>76.732486130035142</v>
      </c>
      <c r="S46" s="42">
        <f>'Data_Raw++ (2016)'!S48</f>
        <v>97.659527801862922</v>
      </c>
      <c r="T46" s="42">
        <f>'Data_Raw++ (2016)'!T48</f>
        <v>76.732486130035142</v>
      </c>
      <c r="U46" s="42">
        <f>'Data_Raw++ (2016)'!U48</f>
        <v>125.19510894900469</v>
      </c>
      <c r="V46" s="42">
        <f>'Data_Raw++ (2016)'!V48</f>
        <v>61.663262616673947</v>
      </c>
      <c r="W46" s="42">
        <f>'Data_Raw++ (2016)'!W48</f>
        <v>29.018005937258327</v>
      </c>
      <c r="X46" s="42">
        <f>'Data_Raw++ (2016)'!X48</f>
        <v>36.932007556510598</v>
      </c>
      <c r="Y46" s="42">
        <f>'Data_Raw++ (2016)'!Y48</f>
        <v>32.751025568981092</v>
      </c>
      <c r="Z46" s="42">
        <f>'Data_Raw++ (2016)'!Z48</f>
        <v>23.716259894779412</v>
      </c>
      <c r="AA46" s="42">
        <f>'Data_Raw++ (2016)'!AA48</f>
        <v>21.031400284049667</v>
      </c>
    </row>
    <row r="47" spans="1:27" x14ac:dyDescent="0.2">
      <c r="A47" s="1" t="s">
        <v>133</v>
      </c>
      <c r="B47" s="42">
        <f>'Data_Raw++ (2016)'!B49</f>
        <v>4000</v>
      </c>
      <c r="C47" s="42">
        <f>'Data_Raw++ (2016)'!C49</f>
        <v>3547.169811320754</v>
      </c>
      <c r="D47" s="42">
        <f>'Data_Raw++ (2016)'!D49</f>
        <v>4702.0623080298365</v>
      </c>
      <c r="E47" s="42">
        <f>'Data_Raw++ (2016)'!E49</f>
        <v>4517.6677077149407</v>
      </c>
      <c r="F47" s="42">
        <f>'Data_Raw++ (2016)'!F49</f>
        <v>3848.3836028682831</v>
      </c>
      <c r="G47" s="42">
        <f>'Data_Raw++ (2016)'!G49</f>
        <v>3023.7299736822224</v>
      </c>
      <c r="H47" s="42">
        <f>'Data_Raw++ (2016)'!H49</f>
        <v>1118.3658806769865</v>
      </c>
      <c r="I47" s="42">
        <f>'Data_Raw++ (2016)'!I49</f>
        <v>809.85115497299023</v>
      </c>
      <c r="J47" s="42">
        <f>'Data_Raw++ (2016)'!J49</f>
        <v>1439.7353866186493</v>
      </c>
      <c r="K47" s="42">
        <f>'Data_Raw++ (2016)'!K49</f>
        <v>882.41846276626882</v>
      </c>
      <c r="L47" s="42">
        <f>'Data_Raw++ (2016)'!L49</f>
        <v>540.83712234061636</v>
      </c>
      <c r="M47" s="42">
        <f>'Data_Raw++ (2016)'!M49</f>
        <v>634.89575231289746</v>
      </c>
      <c r="N47" s="42">
        <f>'Data_Raw++ (2016)'!N49</f>
        <v>519.46016098327971</v>
      </c>
      <c r="O47" s="42">
        <f>'Data_Raw++ (2016)'!O49</f>
        <v>360.98078983583844</v>
      </c>
      <c r="P47" s="42">
        <f>'Data_Raw++ (2016)'!P49</f>
        <v>169.87331286392396</v>
      </c>
      <c r="Q47" s="42">
        <f>'Data_Raw++ (2016)'!Q49</f>
        <v>156.80613495131439</v>
      </c>
      <c r="R47" s="42">
        <f>'Data_Raw++ (2016)'!R49</f>
        <v>49.517726826730858</v>
      </c>
      <c r="S47" s="42">
        <f>'Data_Raw++ (2016)'!S49</f>
        <v>280.60045201814154</v>
      </c>
      <c r="T47" s="42">
        <f>'Data_Raw++ (2016)'!T49</f>
        <v>83.815719433990324</v>
      </c>
      <c r="U47" s="42">
        <f>'Data_Raw++ (2016)'!U49</f>
        <v>58.244821979552597</v>
      </c>
      <c r="V47" s="42">
        <f>'Data_Raw++ (2016)'!V49</f>
        <v>74.129773428521489</v>
      </c>
      <c r="W47" s="42">
        <f>'Data_Raw++ (2016)'!W49</f>
        <v>38.188065099541369</v>
      </c>
      <c r="X47" s="42">
        <f>'Data_Raw++ (2016)'!X49</f>
        <v>81.149638336525413</v>
      </c>
      <c r="Y47" s="42">
        <f>'Data_Raw++ (2016)'!Y49</f>
        <v>66.395158638975332</v>
      </c>
      <c r="Z47" s="42">
        <f>'Data_Raw++ (2016)'!Z49</f>
        <v>31.24478053598839</v>
      </c>
      <c r="AA47" s="42">
        <f>'Data_Raw++ (2016)'!AA49</f>
        <v>46.867170803982582</v>
      </c>
    </row>
    <row r="48" spans="1:27" x14ac:dyDescent="0.2">
      <c r="A48" s="1" t="s">
        <v>145</v>
      </c>
      <c r="B48" s="42">
        <f>'Data_Raw++ (2016)'!B50</f>
        <v>4000</v>
      </c>
      <c r="C48" s="42">
        <f>'Data_Raw++ (2016)'!C50</f>
        <v>3407.4074074074074</v>
      </c>
      <c r="D48" s="42">
        <f>'Data_Raw++ (2016)'!D50</f>
        <v>4164.609053497943</v>
      </c>
      <c r="E48" s="42">
        <f>'Data_Raw++ (2016)'!E50</f>
        <v>4164.609053497943</v>
      </c>
      <c r="F48" s="42">
        <f>'Data_Raw++ (2016)'!F50</f>
        <v>3547.6299344612103</v>
      </c>
      <c r="G48" s="42">
        <f>'Data_Raw++ (2016)'!G50</f>
        <v>2787.4235199338077</v>
      </c>
      <c r="H48" s="42">
        <f>'Data_Raw++ (2016)'!H50</f>
        <v>1030.9648635371618</v>
      </c>
      <c r="I48" s="42">
        <f>'Data_Raw++ (2016)'!I50</f>
        <v>687.3099090247747</v>
      </c>
      <c r="J48" s="42">
        <f>'Data_Raw++ (2016)'!J50</f>
        <v>1460.5335566776464</v>
      </c>
      <c r="K48" s="42">
        <f>'Data_Raw++ (2016)'!K50</f>
        <v>821.55012563117612</v>
      </c>
      <c r="L48" s="42">
        <f>'Data_Raw++ (2016)'!L50</f>
        <v>547.70008375411749</v>
      </c>
      <c r="M48" s="42">
        <f>'Data_Raw++ (2016)'!M50</f>
        <v>697.07283386887684</v>
      </c>
      <c r="N48" s="42">
        <f>'Data_Raw++ (2016)'!N50</f>
        <v>484.4065455698975</v>
      </c>
      <c r="O48" s="42">
        <f>'Data_Raw++ (2016)'!O50</f>
        <v>365.42949928957182</v>
      </c>
      <c r="P48" s="42">
        <f>'Data_Raw++ (2016)'!P50</f>
        <v>324.06012201150702</v>
      </c>
      <c r="Q48" s="42">
        <f>'Data_Raw++ (2016)'!Q50</f>
        <v>166.94006285441273</v>
      </c>
      <c r="R48" s="42">
        <f>'Data_Raw++ (2016)'!R50</f>
        <v>68.18678623630943</v>
      </c>
      <c r="S48" s="42">
        <f>'Data_Raw++ (2016)'!S50</f>
        <v>256.51219584135453</v>
      </c>
      <c r="T48" s="42">
        <f>'Data_Raw++ (2016)'!T50</f>
        <v>64.128048960338631</v>
      </c>
      <c r="U48" s="42">
        <f>'Data_Raw++ (2016)'!U50</f>
        <v>81.617516858612817</v>
      </c>
      <c r="V48" s="42">
        <f>'Data_Raw++ (2016)'!V50</f>
        <v>78.416829922980952</v>
      </c>
      <c r="W48" s="42">
        <f>'Data_Raw++ (2016)'!W50</f>
        <v>69.539452950568005</v>
      </c>
      <c r="X48" s="42">
        <f>'Data_Raw++ (2016)'!X50</f>
        <v>59.237311772706079</v>
      </c>
      <c r="Y48" s="42">
        <f>'Data_Raw++ (2016)'!Y50</f>
        <v>54.680595482497921</v>
      </c>
      <c r="Z48" s="42">
        <f>'Data_Raw++ (2016)'!Z50</f>
        <v>29.443397567498877</v>
      </c>
      <c r="AA48" s="42">
        <f>'Data_Raw++ (2016)'!AA50</f>
        <v>238.22385304612729</v>
      </c>
    </row>
    <row r="49" spans="1:27" x14ac:dyDescent="0.2">
      <c r="A49" s="1" t="s">
        <v>142</v>
      </c>
      <c r="B49" s="42">
        <f>'Data_Raw++ (2016)'!B51</f>
        <v>4000</v>
      </c>
      <c r="C49" s="42">
        <f>'Data_Raw++ (2016)'!C51</f>
        <v>2779.6610169491528</v>
      </c>
      <c r="D49" s="42">
        <f>'Data_Raw++ (2016)'!D51</f>
        <v>3397.363465160076</v>
      </c>
      <c r="E49" s="42">
        <f>'Data_Raw++ (2016)'!E51</f>
        <v>2264.908976773384</v>
      </c>
      <c r="F49" s="42">
        <f>'Data_Raw++ (2016)'!F51</f>
        <v>1779.571338893373</v>
      </c>
      <c r="G49" s="42">
        <f>'Data_Raw++ (2016)'!G51</f>
        <v>1456.0129136400324</v>
      </c>
      <c r="H49" s="42">
        <f>'Data_Raw++ (2016)'!H51</f>
        <v>1098.3957067810773</v>
      </c>
      <c r="I49" s="42">
        <f>'Data_Raw++ (2016)'!I51</f>
        <v>274.59892669526931</v>
      </c>
      <c r="J49" s="42">
        <f>'Data_Raw++ (2016)'!J51</f>
        <v>742.43413513906137</v>
      </c>
      <c r="K49" s="42">
        <f>'Data_Raw++ (2016)'!K51</f>
        <v>583.34110618069099</v>
      </c>
      <c r="L49" s="42">
        <f>'Data_Raw++ (2016)'!L51</f>
        <v>314.10674948191047</v>
      </c>
      <c r="M49" s="42">
        <f>'Data_Raw++ (2016)'!M51</f>
        <v>104.70224982730349</v>
      </c>
      <c r="N49" s="42">
        <f>'Data_Raw++ (2016)'!N51</f>
        <v>371.21706756953057</v>
      </c>
      <c r="O49" s="42">
        <f>'Data_Raw++ (2016)'!O51</f>
        <v>237.33550221658513</v>
      </c>
      <c r="P49" s="42">
        <f>'Data_Raw++ (2016)'!P51</f>
        <v>106.62899374948029</v>
      </c>
      <c r="Q49" s="42">
        <f>'Data_Raw++ (2016)'!Q51</f>
        <v>68.172635348028393</v>
      </c>
      <c r="R49" s="42">
        <f>'Data_Raw++ (2016)'!R51</f>
        <v>51.428479297635455</v>
      </c>
      <c r="S49" s="42">
        <f>'Data_Raw++ (2016)'!S51</f>
        <v>55.71418590577175</v>
      </c>
      <c r="T49" s="42">
        <f>'Data_Raw++ (2016)'!T51</f>
        <v>60.357034731252732</v>
      </c>
      <c r="U49" s="42">
        <f>'Data_Raw++ (2016)'!U51</f>
        <v>29.728091733303582</v>
      </c>
      <c r="V49" s="42">
        <f>'Data_Raw++ (2016)'!V51</f>
        <v>29.728091733303582</v>
      </c>
      <c r="W49" s="42">
        <f>'Data_Raw++ (2016)'!W51</f>
        <v>19.006484878669507</v>
      </c>
      <c r="X49" s="42">
        <f>'Data_Raw++ (2016)'!X51</f>
        <v>16.854807345235219</v>
      </c>
      <c r="Y49" s="42">
        <f>'Data_Raw++ (2016)'!Y51</f>
        <v>12.715030102545869</v>
      </c>
      <c r="Z49" s="42">
        <f>'Data_Raw++ (2016)'!Z51</f>
        <v>20.745575430469575</v>
      </c>
      <c r="AA49" s="42">
        <f>'Data_Raw++ (2016)'!AA51</f>
        <v>82.982301721878301</v>
      </c>
    </row>
    <row r="50" spans="1:27" x14ac:dyDescent="0.2">
      <c r="A50" s="1" t="s">
        <v>128</v>
      </c>
      <c r="B50" s="42">
        <f>'Data_Raw++ (2016)'!B52</f>
        <v>4000</v>
      </c>
      <c r="C50" s="42">
        <f>'Data_Raw++ (2016)'!C52</f>
        <v>2666.666666666667</v>
      </c>
      <c r="D50" s="42">
        <f>'Data_Raw++ (2016)'!D52</f>
        <v>3837.3983739837399</v>
      </c>
      <c r="E50" s="42">
        <f>'Data_Raw++ (2016)'!E52</f>
        <v>2351.9538421190664</v>
      </c>
      <c r="F50" s="42">
        <f>'Data_Raw++ (2016)'!F52</f>
        <v>2447.9519581239265</v>
      </c>
      <c r="G50" s="42">
        <f>'Data_Raw++ (2016)'!G52</f>
        <v>2651.9479546342536</v>
      </c>
      <c r="H50" s="42">
        <f>'Data_Raw++ (2016)'!H52</f>
        <v>2447.9519581239265</v>
      </c>
      <c r="I50" s="42">
        <f>'Data_Raw++ (2016)'!I52</f>
        <v>431.9915220218694</v>
      </c>
      <c r="J50" s="42">
        <f>'Data_Raw++ (2016)'!J52</f>
        <v>1967.9613780996274</v>
      </c>
      <c r="K50" s="42">
        <f>'Data_Raw++ (2016)'!K52</f>
        <v>843.41201918555464</v>
      </c>
      <c r="L50" s="42">
        <f>'Data_Raw++ (2016)'!L52</f>
        <v>296.33395268681653</v>
      </c>
      <c r="M50" s="42">
        <f>'Data_Raw++ (2016)'!M52</f>
        <v>334.16381898726121</v>
      </c>
      <c r="N50" s="42">
        <f>'Data_Raw++ (2016)'!N52</f>
        <v>522.66648610828031</v>
      </c>
      <c r="O50" s="42">
        <f>'Data_Raw++ (2016)'!O52</f>
        <v>306.96285692073604</v>
      </c>
      <c r="P50" s="42">
        <f>'Data_Raw++ (2016)'!P52</f>
        <v>241.1851018662926</v>
      </c>
      <c r="Q50" s="42">
        <f>'Data_Raw++ (2016)'!Q52</f>
        <v>261.28386035515035</v>
      </c>
      <c r="R50" s="42">
        <f>'Data_Raw++ (2016)'!R52</f>
        <v>29.031540039461152</v>
      </c>
      <c r="S50" s="42">
        <f>'Data_Raw++ (2016)'!S52</f>
        <v>212.89796028938179</v>
      </c>
      <c r="T50" s="42">
        <f>'Data_Raw++ (2016)'!T52</f>
        <v>70.965986763127262</v>
      </c>
      <c r="U50" s="42">
        <f>'Data_Raw++ (2016)'!U52</f>
        <v>20.016047548574356</v>
      </c>
      <c r="V50" s="42">
        <f>'Data_Raw++ (2016)'!V52</f>
        <v>8.175568717023328</v>
      </c>
      <c r="W50" s="42">
        <f>'Data_Raw++ (2016)'!W52</f>
        <v>28.986107269446347</v>
      </c>
      <c r="X50" s="42">
        <f>'Data_Raw++ (2016)'!X52</f>
        <v>12.422617401191291</v>
      </c>
      <c r="Y50" s="42">
        <f>'Data_Raw++ (2016)'!Y52</f>
        <v>46.732703556862475</v>
      </c>
      <c r="Z50" s="42">
        <f>'Data_Raw++ (2016)'!Z52</f>
        <v>15.577567852287492</v>
      </c>
      <c r="AA50" s="42">
        <f>'Data_Raw++ (2016)'!AA52</f>
        <v>23.366351778431238</v>
      </c>
    </row>
    <row r="51" spans="1:27" x14ac:dyDescent="0.2">
      <c r="A51" s="1" t="s">
        <v>154</v>
      </c>
      <c r="B51" s="42">
        <f>'Data_Raw++ (2016)'!B53</f>
        <v>4000</v>
      </c>
      <c r="C51" s="42">
        <f>'Data_Raw++ (2016)'!C53</f>
        <v>2153.8461538461534</v>
      </c>
      <c r="D51" s="42">
        <f>'Data_Raw++ (2016)'!D53</f>
        <v>2632.4786324786319</v>
      </c>
      <c r="E51" s="42">
        <f>'Data_Raw++ (2016)'!E53</f>
        <v>2068.3760683760679</v>
      </c>
      <c r="F51" s="42">
        <f>'Data_Raw++ (2016)'!F53</f>
        <v>1834.2202870504752</v>
      </c>
      <c r="G51" s="42">
        <f>'Data_Raw++ (2016)'!G53</f>
        <v>1328.2284837262062</v>
      </c>
      <c r="H51" s="42">
        <f>'Data_Raw++ (2016)'!H53</f>
        <v>1226.0570619011135</v>
      </c>
      <c r="I51" s="42">
        <f>'Data_Raw++ (2016)'!I53</f>
        <v>269.13447700268347</v>
      </c>
      <c r="J51" s="42">
        <f>'Data_Raw++ (2016)'!J53</f>
        <v>692.06008372118595</v>
      </c>
      <c r="K51" s="42">
        <f>'Data_Raw++ (2016)'!K53</f>
        <v>340.86541437013636</v>
      </c>
      <c r="L51" s="42">
        <f>'Data_Raw++ (2016)'!L53</f>
        <v>167.88893543603731</v>
      </c>
      <c r="M51" s="42">
        <f>'Data_Raw++ (2016)'!M53</f>
        <v>391.74084935075376</v>
      </c>
      <c r="N51" s="42">
        <f>'Data_Raw++ (2016)'!N53</f>
        <v>201.80589208978222</v>
      </c>
      <c r="O51" s="42">
        <f>'Data_Raw++ (2016)'!O53</f>
        <v>201.80589208978222</v>
      </c>
      <c r="P51" s="42">
        <f>'Data_Raw++ (2016)'!P53</f>
        <v>103.96061107655449</v>
      </c>
      <c r="Q51" s="42">
        <f>'Data_Raw++ (2016)'!Q53</f>
        <v>122.04071735073788</v>
      </c>
      <c r="R51" s="42">
        <f>'Data_Raw++ (2016)'!R53</f>
        <v>36.453720767103519</v>
      </c>
      <c r="S51" s="42">
        <f>'Data_Raw++ (2016)'!S53</f>
        <v>81.138926868714279</v>
      </c>
      <c r="T51" s="42">
        <f>'Data_Raw++ (2016)'!T53</f>
        <v>54.092617912476193</v>
      </c>
      <c r="U51" s="42">
        <f>'Data_Raw++ (2016)'!U53</f>
        <v>26.642632703159915</v>
      </c>
      <c r="V51" s="42">
        <f>'Data_Raw++ (2016)'!V53</f>
        <v>9.0974843376643602</v>
      </c>
      <c r="W51" s="42">
        <f>'Data_Raw++ (2016)'!W53</f>
        <v>12.124207463141214</v>
      </c>
      <c r="X51" s="42">
        <f>'Data_Raw++ (2016)'!X53</f>
        <v>19.781601650388296</v>
      </c>
      <c r="Y51" s="42">
        <f>'Data_Raw++ (2016)'!Y53</f>
        <v>26.222123117956578</v>
      </c>
      <c r="Z51" s="42">
        <f>'Data_Raw++ (2016)'!Z53</f>
        <v>28.40730004445296</v>
      </c>
      <c r="AA51" s="42">
        <f>'Data_Raw++ (2016)'!AA53</f>
        <v>22.320021463498751</v>
      </c>
    </row>
    <row r="52" spans="1:27" x14ac:dyDescent="0.2">
      <c r="A52" s="1" t="s">
        <v>147</v>
      </c>
      <c r="B52" s="42">
        <f>'Data_Raw++ (2016)'!B54</f>
        <v>3000</v>
      </c>
      <c r="C52" s="42">
        <f>'Data_Raw++ (2016)'!C54</f>
        <v>1166.666666666667</v>
      </c>
      <c r="D52" s="42">
        <f>'Data_Raw++ (2016)'!D54</f>
        <v>1986.4864864864871</v>
      </c>
      <c r="E52" s="42">
        <f>'Data_Raw++ (2016)'!E54</f>
        <v>2979.7297297297305</v>
      </c>
      <c r="F52" s="42">
        <f>'Data_Raw++ (2016)'!F54</f>
        <v>2247.8662873399721</v>
      </c>
      <c r="G52" s="42">
        <f>'Data_Raw++ (2016)'!G54</f>
        <v>1210.389539336908</v>
      </c>
      <c r="H52" s="42">
        <f>'Data_Raw++ (2016)'!H54</f>
        <v>680.84411587701072</v>
      </c>
      <c r="I52" s="42">
        <f>'Data_Raw++ (2016)'!I54</f>
        <v>180.98387890401548</v>
      </c>
      <c r="J52" s="42">
        <f>'Data_Raw++ (2016)'!J54</f>
        <v>641.67011611423675</v>
      </c>
      <c r="K52" s="42">
        <f>'Data_Raw++ (2016)'!K54</f>
        <v>525.00282227528464</v>
      </c>
      <c r="L52" s="42">
        <f>'Data_Raw++ (2016)'!L54</f>
        <v>214.43777247863738</v>
      </c>
      <c r="M52" s="42">
        <f>'Data_Raw++ (2016)'!M54</f>
        <v>272.9208013364476</v>
      </c>
      <c r="N52" s="42">
        <f>'Data_Raw++ (2016)'!N54</f>
        <v>128.43331827597532</v>
      </c>
      <c r="O52" s="42">
        <f>'Data_Raw++ (2016)'!O54</f>
        <v>200.88288243165371</v>
      </c>
      <c r="P52" s="42">
        <f>'Data_Raw++ (2016)'!P54</f>
        <v>145.46691486430097</v>
      </c>
      <c r="Q52" s="42">
        <f>'Data_Raw++ (2016)'!Q54</f>
        <v>81.825139611169291</v>
      </c>
      <c r="R52" s="42">
        <f>'Data_Raw++ (2016)'!R54</f>
        <v>21.750986478918417</v>
      </c>
      <c r="S52" s="42">
        <f>'Data_Raw++ (2016)'!S54</f>
        <v>61.906653824613954</v>
      </c>
      <c r="T52" s="42">
        <f>'Data_Raw++ (2016)'!T54</f>
        <v>19.549469628825459</v>
      </c>
      <c r="U52" s="42">
        <f>'Data_Raw++ (2016)'!U54</f>
        <v>14.156512489839125</v>
      </c>
      <c r="V52" s="42">
        <f>'Data_Raw++ (2016)'!V54</f>
        <v>33.031862476291288</v>
      </c>
      <c r="W52" s="42">
        <f>'Data_Raw++ (2016)'!W54</f>
        <v>15.544405871195901</v>
      </c>
      <c r="X52" s="42">
        <f>'Data_Raw++ (2016)'!X54</f>
        <v>26.46750188879302</v>
      </c>
      <c r="Y52" s="42">
        <f>'Data_Raw++ (2016)'!Y54</f>
        <v>21.655228818103378</v>
      </c>
      <c r="Z52" s="42">
        <f>'Data_Raw++ (2016)'!Z54</f>
        <v>24.419726114031473</v>
      </c>
      <c r="AA52" s="42">
        <f>'Data_Raw++ (2016)'!AA54</f>
        <v>13.149083292170792</v>
      </c>
    </row>
    <row r="53" spans="1:27" x14ac:dyDescent="0.2">
      <c r="A53" s="1" t="s">
        <v>150</v>
      </c>
      <c r="B53" s="42">
        <f>'Data_Raw++ (2016)'!B55</f>
        <v>3000</v>
      </c>
      <c r="C53" s="42">
        <f>'Data_Raw++ (2016)'!C55</f>
        <v>846.15384615384619</v>
      </c>
      <c r="D53" s="42">
        <f>'Data_Raw++ (2016)'!D55</f>
        <v>1798.0769230769233</v>
      </c>
      <c r="E53" s="42">
        <f>'Data_Raw++ (2016)'!E55</f>
        <v>2383.4973166368518</v>
      </c>
      <c r="F53" s="42">
        <f>'Data_Raw++ (2016)'!F55</f>
        <v>2582.1220930232566</v>
      </c>
      <c r="G53" s="42">
        <f>'Data_Raw++ (2016)'!G55</f>
        <v>1160.0838388945067</v>
      </c>
      <c r="H53" s="42">
        <f>'Data_Raw++ (2016)'!H55</f>
        <v>1160.0838388945067</v>
      </c>
      <c r="I53" s="42">
        <f>'Data_Raw++ (2016)'!I55</f>
        <v>188.8508574944546</v>
      </c>
      <c r="J53" s="42">
        <f>'Data_Raw++ (2016)'!J55</f>
        <v>598.02771539910623</v>
      </c>
      <c r="K53" s="42">
        <f>'Data_Raw++ (2016)'!K55</f>
        <v>825.84779745590856</v>
      </c>
      <c r="L53" s="42">
        <f>'Data_Raw++ (2016)'!L55</f>
        <v>290.16273964667056</v>
      </c>
      <c r="M53" s="42">
        <f>'Data_Raw++ (2016)'!M55</f>
        <v>302.00611677510614</v>
      </c>
      <c r="N53" s="42">
        <f>'Data_Raw++ (2016)'!N55</f>
        <v>111.70089250586119</v>
      </c>
      <c r="O53" s="42">
        <f>'Data_Raw++ (2016)'!O55</f>
        <v>207.4445146537422</v>
      </c>
      <c r="P53" s="42">
        <f>'Data_Raw++ (2016)'!P55</f>
        <v>207.4445146537422</v>
      </c>
      <c r="Q53" s="42">
        <f>'Data_Raw++ (2016)'!Q55</f>
        <v>138.2963431024948</v>
      </c>
      <c r="R53" s="42">
        <f>'Data_Raw++ (2016)'!R55</f>
        <v>30.357733851767154</v>
      </c>
      <c r="S53" s="42">
        <f>'Data_Raw++ (2016)'!S55</f>
        <v>70.834712320790018</v>
      </c>
      <c r="T53" s="42">
        <f>'Data_Raw++ (2016)'!T55</f>
        <v>24.887871896493792</v>
      </c>
      <c r="U53" s="42">
        <f>'Data_Raw++ (2016)'!U55</f>
        <v>37.331807844740688</v>
      </c>
      <c r="V53" s="42">
        <f>'Data_Raw++ (2016)'!V55</f>
        <v>21.925030004054054</v>
      </c>
      <c r="W53" s="42">
        <f>'Data_Raw++ (2016)'!W55</f>
        <v>14.017642133739477</v>
      </c>
      <c r="X53" s="42">
        <f>'Data_Raw++ (2016)'!X55</f>
        <v>21.026463200609214</v>
      </c>
      <c r="Y53" s="42">
        <f>'Data_Raw++ (2016)'!Y55</f>
        <v>23.710692545367841</v>
      </c>
      <c r="Z53" s="42">
        <f>'Data_Raw++ (2016)'!Z55</f>
        <v>11.157972962526042</v>
      </c>
      <c r="AA53" s="42">
        <f>'Data_Raw++ (2016)'!AA55</f>
        <v>8.7669787562704613</v>
      </c>
    </row>
    <row r="54" spans="1:27" x14ac:dyDescent="0.2">
      <c r="A54" s="1" t="s">
        <v>153</v>
      </c>
      <c r="B54" s="42">
        <f>'Data_Raw++ (2016)'!B56</f>
        <v>6000</v>
      </c>
      <c r="C54" s="42">
        <f>'Data_Raw++ (2016)'!C56</f>
        <v>1142.8571428571429</v>
      </c>
      <c r="D54" s="42">
        <f>'Data_Raw++ (2016)'!D56</f>
        <v>1714.285714285714</v>
      </c>
      <c r="E54" s="42">
        <f>'Data_Raw++ (2016)'!E56</f>
        <v>2681.3186813186808</v>
      </c>
      <c r="F54" s="42">
        <f>'Data_Raw++ (2016)'!F56</f>
        <v>1941.6445623342172</v>
      </c>
      <c r="G54" s="42">
        <f>'Data_Raw++ (2016)'!G56</f>
        <v>1241.3793103448274</v>
      </c>
      <c r="H54" s="42">
        <f>'Data_Raw++ (2016)'!H56</f>
        <v>2305.4187192118225</v>
      </c>
      <c r="I54" s="42">
        <f>'Data_Raw++ (2016)'!I56</f>
        <v>71.301609872530591</v>
      </c>
      <c r="J54" s="42">
        <f>'Data_Raw++ (2016)'!J56</f>
        <v>324.81844497486156</v>
      </c>
      <c r="K54" s="42">
        <f>'Data_Raw++ (2016)'!K56</f>
        <v>413.40529360436932</v>
      </c>
      <c r="L54" s="42">
        <f>'Data_Raw++ (2016)'!L56</f>
        <v>84.673373388846741</v>
      </c>
      <c r="M54" s="42">
        <f>'Data_Raw++ (2016)'!M56</f>
        <v>360.97596023666244</v>
      </c>
      <c r="N54" s="42">
        <f>'Data_Raw++ (2016)'!N56</f>
        <v>95.955634999619122</v>
      </c>
      <c r="O54" s="42">
        <f>'Data_Raw++ (2016)'!O56</f>
        <v>143.93345249942868</v>
      </c>
      <c r="P54" s="42">
        <f>'Data_Raw++ (2016)'!P56</f>
        <v>33.762167870236354</v>
      </c>
      <c r="Q54" s="42">
        <f>'Data_Raw++ (2016)'!Q56</f>
        <v>225.94681574696637</v>
      </c>
      <c r="R54" s="42">
        <f>'Data_Raw++ (2016)'!R56</f>
        <v>43.03748871370788</v>
      </c>
      <c r="S54" s="42">
        <f>'Data_Raw++ (2016)'!S56</f>
        <v>129.11246614112363</v>
      </c>
      <c r="T54" s="42">
        <f>'Data_Raw++ (2016)'!T56</f>
        <v>19.292667354420775</v>
      </c>
      <c r="U54" s="42">
        <f>'Data_Raw++ (2016)'!U56</f>
        <v>32.849676846716456</v>
      </c>
      <c r="V54" s="42">
        <f>'Data_Raw++ (2016)'!V56</f>
        <v>3.6499640940796065</v>
      </c>
      <c r="W54" s="42">
        <f>'Data_Raw++ (2016)'!W56</f>
        <v>6.7785047461478412</v>
      </c>
      <c r="X54" s="42">
        <f>'Data_Raw++ (2016)'!X56</f>
        <v>11.05966563845174</v>
      </c>
      <c r="Y54" s="42">
        <f>'Data_Raw++ (2016)'!Y56</f>
        <v>14.075938085302218</v>
      </c>
      <c r="Z54" s="42">
        <f>'Data_Raw++ (2016)'!Z56</f>
        <v>29.91136843126721</v>
      </c>
      <c r="AA54" s="42">
        <f>'Data_Raw++ (2016)'!AA56</f>
        <v>9.4456952940843824</v>
      </c>
    </row>
    <row r="55" spans="1:27" x14ac:dyDescent="0.2">
      <c r="A55" s="1" t="s">
        <v>129</v>
      </c>
      <c r="B55" s="42">
        <f>'Data_Raw++ (2016)'!B57</f>
        <v>4000</v>
      </c>
      <c r="C55" s="42">
        <f>'Data_Raw++ (2016)'!C57</f>
        <v>938.27160493827159</v>
      </c>
      <c r="D55" s="42">
        <f>'Data_Raw++ (2016)'!D57</f>
        <v>1821.350762527233</v>
      </c>
      <c r="E55" s="42">
        <f>'Data_Raw++ (2016)'!E57</f>
        <v>1374.0014524328249</v>
      </c>
      <c r="F55" s="42">
        <f>'Data_Raw++ (2016)'!F57</f>
        <v>1897.430577169139</v>
      </c>
      <c r="G55" s="42">
        <f>'Data_Raw++ (2016)'!G57</f>
        <v>1374.0014524328249</v>
      </c>
      <c r="H55" s="42">
        <f>'Data_Raw++ (2016)'!H57</f>
        <v>1268.3090330149153</v>
      </c>
      <c r="I55" s="42">
        <f>'Data_Raw++ (2016)'!I57</f>
        <v>172.95123177476117</v>
      </c>
      <c r="J55" s="42">
        <f>'Data_Raw++ (2016)'!J57</f>
        <v>1748.7291212781408</v>
      </c>
      <c r="K55" s="42">
        <f>'Data_Raw++ (2016)'!K57</f>
        <v>522.34765960256152</v>
      </c>
      <c r="L55" s="42">
        <f>'Data_Raw++ (2016)'!L57</f>
        <v>213.35326941513077</v>
      </c>
      <c r="M55" s="42">
        <f>'Data_Raw++ (2016)'!M57</f>
        <v>174.56176588510698</v>
      </c>
      <c r="N55" s="42">
        <f>'Data_Raw++ (2016)'!N57</f>
        <v>120.01121404601106</v>
      </c>
      <c r="O55" s="42">
        <f>'Data_Raw++ (2016)'!O57</f>
        <v>165.72977177782482</v>
      </c>
      <c r="P55" s="42">
        <f>'Data_Raw++ (2016)'!P57</f>
        <v>194.55234078266392</v>
      </c>
      <c r="Q55" s="42">
        <f>'Data_Raw++ (2016)'!Q57</f>
        <v>83.379574621141671</v>
      </c>
      <c r="R55" s="42">
        <f>'Data_Raw++ (2016)'!R57</f>
        <v>14.591425558699791</v>
      </c>
      <c r="S55" s="42">
        <f>'Data_Raw++ (2016)'!S57</f>
        <v>97.880370207427191</v>
      </c>
      <c r="T55" s="42">
        <f>'Data_Raw++ (2016)'!T57</f>
        <v>27.607283904658949</v>
      </c>
      <c r="U55" s="42">
        <f>'Data_Raw++ (2016)'!U57</f>
        <v>8.5889327703383405</v>
      </c>
      <c r="V55" s="42">
        <f>'Data_Raw++ (2016)'!V57</f>
        <v>10.736165962922925</v>
      </c>
      <c r="W55" s="42">
        <f>'Data_Raw++ (2016)'!W57</f>
        <v>2.8629775901127799</v>
      </c>
      <c r="X55" s="42">
        <f>'Data_Raw++ (2016)'!X57</f>
        <v>0</v>
      </c>
      <c r="Y55" s="42">
        <f>'Data_Raw++ (2016)'!Y57</f>
        <v>11.174376818552432</v>
      </c>
      <c r="Z55" s="42">
        <f>'Data_Raw++ (2016)'!Z57</f>
        <v>4.2569054546866409</v>
      </c>
      <c r="AA55" s="42">
        <f>'Data_Raw++ (2016)'!AA57</f>
        <v>7.110967066351547</v>
      </c>
    </row>
    <row r="56" spans="1:27" x14ac:dyDescent="0.2">
      <c r="A56" s="1" t="s">
        <v>144</v>
      </c>
      <c r="B56" s="42">
        <f>'Data_Raw++ (2016)'!B58</f>
        <v>5000</v>
      </c>
      <c r="C56" s="42">
        <f>'Data_Raw++ (2016)'!C58</f>
        <v>882.35294117647061</v>
      </c>
      <c r="D56" s="42">
        <f>'Data_Raw++ (2016)'!D58</f>
        <v>1712.8027681660899</v>
      </c>
      <c r="E56" s="42">
        <f>'Data_Raw++ (2016)'!E58</f>
        <v>1645.6340321595765</v>
      </c>
      <c r="F56" s="42">
        <f>'Data_Raw++ (2016)'!F58</f>
        <v>1459.3358398396242</v>
      </c>
      <c r="G56" s="42">
        <f>'Data_Raw++ (2016)'!G58</f>
        <v>820.87640990978855</v>
      </c>
      <c r="H56" s="42">
        <f>'Data_Raw++ (2016)'!H58</f>
        <v>619.25764256352477</v>
      </c>
      <c r="I56" s="42">
        <f>'Data_Raw++ (2016)'!I58</f>
        <v>174.66241200509674</v>
      </c>
      <c r="J56" s="42">
        <f>'Data_Raw++ (2016)'!J58</f>
        <v>744.61344065330718</v>
      </c>
      <c r="K56" s="42">
        <f>'Data_Raw++ (2016)'!K58</f>
        <v>715.41291356886381</v>
      </c>
      <c r="L56" s="42">
        <f>'Data_Raw++ (2016)'!L58</f>
        <v>157.04185907609207</v>
      </c>
      <c r="M56" s="42">
        <f>'Data_Raw++ (2016)'!M58</f>
        <v>104.69457271739473</v>
      </c>
      <c r="N56" s="42">
        <f>'Data_Raw++ (2016)'!N58</f>
        <v>144.57821946687844</v>
      </c>
      <c r="O56" s="42">
        <f>'Data_Raw++ (2016)'!O58</f>
        <v>235.8907791301701</v>
      </c>
      <c r="P56" s="42">
        <f>'Data_Raw++ (2016)'!P58</f>
        <v>368.95737248565064</v>
      </c>
      <c r="Q56" s="42">
        <f>'Data_Raw++ (2016)'!Q58</f>
        <v>55.13156140590182</v>
      </c>
      <c r="R56" s="42">
        <f>'Data_Raw++ (2016)'!R58</f>
        <v>12.102050064710156</v>
      </c>
      <c r="S56" s="42">
        <f>'Data_Raw++ (2016)'!S58</f>
        <v>34.444296338021211</v>
      </c>
      <c r="T56" s="42">
        <f>'Data_Raw++ (2016)'!T58</f>
        <v>22.021763232505364</v>
      </c>
      <c r="U56" s="42">
        <f>'Data_Raw++ (2016)'!U58</f>
        <v>11.857872509810578</v>
      </c>
      <c r="V56" s="42">
        <f>'Data_Raw++ (2016)'!V58</f>
        <v>62.25383067650553</v>
      </c>
      <c r="W56" s="42">
        <f>'Data_Raw++ (2016)'!W58</f>
        <v>8.4891587286143899</v>
      </c>
      <c r="X56" s="42">
        <f>'Data_Raw++ (2016)'!X58</f>
        <v>8.8356550032517109</v>
      </c>
      <c r="Y56" s="42">
        <f>'Data_Raw++ (2016)'!Y58</f>
        <v>11.712379888031336</v>
      </c>
      <c r="Z56" s="42">
        <f>'Data_Raw++ (2016)'!Z58</f>
        <v>6.5882136870176256</v>
      </c>
      <c r="AA56" s="42">
        <f>'Data_Raw++ (2016)'!AA58</f>
        <v>4.5782501892834349</v>
      </c>
    </row>
    <row r="57" spans="1:27" x14ac:dyDescent="0.2">
      <c r="A57" s="1" t="s">
        <v>134</v>
      </c>
      <c r="B57" s="42">
        <f>'Data_Raw++ (2016)'!B59</f>
        <v>4000</v>
      </c>
      <c r="C57" s="42">
        <f>'Data_Raw++ (2016)'!C59</f>
        <v>651.1627906976745</v>
      </c>
      <c r="D57" s="42">
        <f>'Data_Raw++ (2016)'!D59</f>
        <v>860.75949367088606</v>
      </c>
      <c r="E57" s="42">
        <f>'Data_Raw++ (2016)'!E59</f>
        <v>1265.8227848101267</v>
      </c>
      <c r="F57" s="42">
        <f>'Data_Raw++ (2016)'!F59</f>
        <v>1485.9658778205835</v>
      </c>
      <c r="G57" s="42">
        <f>'Data_Raw++ (2016)'!G59</f>
        <v>506.3291139240506</v>
      </c>
      <c r="H57" s="42">
        <f>'Data_Raw++ (2016)'!H59</f>
        <v>775.82686810943244</v>
      </c>
      <c r="I57" s="42">
        <f>'Data_Raw++ (2016)'!I59</f>
        <v>59.678989854571725</v>
      </c>
      <c r="J57" s="42">
        <f>'Data_Raw++ (2016)'!J59</f>
        <v>348.55989726655662</v>
      </c>
      <c r="K57" s="42">
        <f>'Data_Raw++ (2016)'!K59</f>
        <v>377.606555372103</v>
      </c>
      <c r="L57" s="42">
        <f>'Data_Raw++ (2016)'!L59</f>
        <v>100.37642611157167</v>
      </c>
      <c r="M57" s="42">
        <f>'Data_Raw++ (2016)'!M59</f>
        <v>62.233384189174437</v>
      </c>
      <c r="N57" s="42">
        <f>'Data_Raw++ (2016)'!N59</f>
        <v>57.187434119781912</v>
      </c>
      <c r="O57" s="42">
        <f>'Data_Raw++ (2016)'!O59</f>
        <v>126.29739713409367</v>
      </c>
      <c r="P57" s="42">
        <f>'Data_Raw++ (2016)'!P59</f>
        <v>54.127455914611573</v>
      </c>
      <c r="Q57" s="42">
        <f>'Data_Raw++ (2016)'!Q59</f>
        <v>96.226588292642816</v>
      </c>
      <c r="R57" s="42">
        <f>'Data_Raw++ (2016)'!R59</f>
        <v>15.609790657022813</v>
      </c>
      <c r="S57" s="42">
        <f>'Data_Raw++ (2016)'!S59</f>
        <v>31.492337986683104</v>
      </c>
      <c r="T57" s="42">
        <f>'Data_Raw++ (2016)'!T59</f>
        <v>23.394308218678876</v>
      </c>
      <c r="U57" s="42">
        <f>'Data_Raw++ (2016)'!U59</f>
        <v>17.995621706676058</v>
      </c>
      <c r="V57" s="42">
        <f>'Data_Raw++ (2016)'!V59</f>
        <v>5.7258796339423821</v>
      </c>
      <c r="W57" s="42">
        <f>'Data_Raw++ (2016)'!W59</f>
        <v>0</v>
      </c>
      <c r="X57" s="42">
        <f>'Data_Raw++ (2016)'!X59</f>
        <v>0</v>
      </c>
      <c r="Y57" s="42">
        <f>'Data_Raw++ (2016)'!Y59</f>
        <v>19.467990755404099</v>
      </c>
      <c r="Z57" s="42">
        <f>'Data_Raw++ (2016)'!Z59</f>
        <v>47.663011849437623</v>
      </c>
      <c r="AA57" s="42">
        <f>'Data_Raw++ (2016)'!AA59</f>
        <v>65.820349696842428</v>
      </c>
    </row>
    <row r="58" spans="1:27" x14ac:dyDescent="0.2">
      <c r="A58" s="1" t="s">
        <v>151</v>
      </c>
      <c r="B58" s="42">
        <f>'Data_Raw++ (2016)'!B60</f>
        <v>7000</v>
      </c>
      <c r="C58" s="42">
        <f>'Data_Raw++ (2016)'!C60</f>
        <v>608.695652173913</v>
      </c>
      <c r="D58" s="42">
        <f>'Data_Raw++ (2016)'!D60</f>
        <v>1354.8387096774193</v>
      </c>
      <c r="E58" s="42">
        <f>'Data_Raw++ (2016)'!E60</f>
        <v>1301.707779886148</v>
      </c>
      <c r="F58" s="42">
        <f>'Data_Raw++ (2016)'!F60</f>
        <v>3037.3181530676784</v>
      </c>
      <c r="G58" s="42">
        <f>'Data_Raw++ (2016)'!G60</f>
        <v>666.7283750636368</v>
      </c>
      <c r="H58" s="42">
        <f>'Data_Raw++ (2016)'!H60</f>
        <v>959.43839338425789</v>
      </c>
      <c r="I58" s="42">
        <f>'Data_Raw++ (2016)'!I60</f>
        <v>130.83250818876243</v>
      </c>
      <c r="J58" s="42">
        <f>'Data_Raw++ (2016)'!J60</f>
        <v>523.33003275504973</v>
      </c>
      <c r="K58" s="42">
        <f>'Data_Raw++ (2016)'!K60</f>
        <v>1345.7057985129848</v>
      </c>
      <c r="L58" s="42">
        <f>'Data_Raw++ (2016)'!L60</f>
        <v>41.619766964319112</v>
      </c>
      <c r="M58" s="42">
        <f>'Data_Raw++ (2016)'!M60</f>
        <v>131.79592872034385</v>
      </c>
      <c r="N58" s="42">
        <f>'Data_Raw++ (2016)'!N60</f>
        <v>59.212663627980575</v>
      </c>
      <c r="O58" s="42">
        <f>'Data_Raw++ (2016)'!O60</f>
        <v>187.50676815527183</v>
      </c>
      <c r="P58" s="42">
        <f>'Data_Raw++ (2016)'!P60</f>
        <v>69.351818358799179</v>
      </c>
      <c r="Q58" s="42">
        <f>'Data_Raw++ (2016)'!Q60</f>
        <v>123.29212152675412</v>
      </c>
      <c r="R58" s="42">
        <f>'Data_Raw++ (2016)'!R60</f>
        <v>9.2800521579277291</v>
      </c>
      <c r="S58" s="42">
        <f>'Data_Raw++ (2016)'!S60</f>
        <v>22.720127696995473</v>
      </c>
      <c r="T58" s="42">
        <f>'Data_Raw++ (2016)'!T60</f>
        <v>10.207593602997967</v>
      </c>
      <c r="U58" s="42">
        <f>'Data_Raw++ (2016)'!U60</f>
        <v>40.830374411991869</v>
      </c>
      <c r="V58" s="42">
        <f>'Data_Raw++ (2016)'!V60</f>
        <v>6.6468051368358863</v>
      </c>
      <c r="W58" s="42">
        <f>'Data_Raw++ (2016)'!W60</f>
        <v>4.8132037197777109</v>
      </c>
      <c r="X58" s="42">
        <f>'Data_Raw++ (2016)'!X60</f>
        <v>9.7722620977305041</v>
      </c>
      <c r="Y58" s="42">
        <f>'Data_Raw++ (2016)'!Y60</f>
        <v>15.284820204142584</v>
      </c>
      <c r="Z58" s="42">
        <f>'Data_Raw++ (2016)'!Z60</f>
        <v>21.995229074253963</v>
      </c>
      <c r="AA58" s="42">
        <f>'Data_Raw++ (2016)'!AA60</f>
        <v>12.917832948371375</v>
      </c>
    </row>
    <row r="59" spans="1:27" x14ac:dyDescent="0.2">
      <c r="A59" s="1" t="s">
        <v>162</v>
      </c>
      <c r="B59" s="42">
        <f>'Data_Raw++ (2016)'!B61</f>
        <v>3000</v>
      </c>
      <c r="C59" s="42">
        <f>'Data_Raw++ (2016)'!C61</f>
        <v>2769.2307692307686</v>
      </c>
      <c r="D59" s="42">
        <f>'Data_Raw++ (2016)'!D61</f>
        <v>2999.9999999999991</v>
      </c>
      <c r="E59" s="42">
        <f>'Data_Raw++ (2016)'!E61</f>
        <v>2999.9999999999991</v>
      </c>
      <c r="F59" s="42">
        <f>'Data_Raw++ (2016)'!F61</f>
        <v>2454.5454545454536</v>
      </c>
      <c r="G59" s="42">
        <f>'Data_Raw++ (2016)'!G61</f>
        <v>1928.5714285714275</v>
      </c>
      <c r="H59" s="42">
        <f>'Data_Raw++ (2016)'!H61</f>
        <v>787.72635814889293</v>
      </c>
      <c r="I59" s="42">
        <f>'Data_Raw++ (2016)'!I61</f>
        <v>387.9846241628876</v>
      </c>
      <c r="J59" s="42">
        <f>'Data_Raw++ (2016)'!J61</f>
        <v>1104.2639303097569</v>
      </c>
      <c r="K59" s="42">
        <f>'Data_Raw++ (2016)'!K61</f>
        <v>568.86323682623845</v>
      </c>
      <c r="L59" s="42">
        <f>'Data_Raw++ (2016)'!L61</f>
        <v>379.24215788415904</v>
      </c>
      <c r="M59" s="42">
        <f>'Data_Raw++ (2016)'!M61</f>
        <v>427.65605038000922</v>
      </c>
      <c r="N59" s="42">
        <f>'Data_Raw++ (2016)'!N61</f>
        <v>364.29959847185972</v>
      </c>
      <c r="O59" s="42">
        <f>'Data_Raw++ (2016)'!O61</f>
        <v>263.80315751410535</v>
      </c>
      <c r="P59" s="42">
        <f>'Data_Raw++ (2016)'!P61</f>
        <v>253.45793565080712</v>
      </c>
      <c r="Q59" s="42">
        <f>'Data_Raw++ (2016)'!Q61</f>
        <v>130.56923957768851</v>
      </c>
      <c r="R59" s="42">
        <f>'Data_Raw++ (2016)'!R61</f>
        <v>58.66154241896151</v>
      </c>
      <c r="S59" s="42">
        <f>'Data_Raw++ (2016)'!S61</f>
        <v>130.56923957768851</v>
      </c>
      <c r="T59" s="42">
        <f>'Data_Raw++ (2016)'!T61</f>
        <v>53.331097855675587</v>
      </c>
      <c r="U59" s="42">
        <f>'Data_Raw++ (2016)'!U61</f>
        <v>57.775356010315228</v>
      </c>
      <c r="V59" s="42">
        <f>'Data_Raw++ (2016)'!V61</f>
        <v>17.25757387321104</v>
      </c>
      <c r="W59" s="42">
        <f>'Data_Raw++ (2016)'!W61</f>
        <v>28.157094214186433</v>
      </c>
      <c r="X59" s="42">
        <f>'Data_Raw++ (2016)'!X61</f>
        <v>47.943160418749876</v>
      </c>
      <c r="Y59" s="42">
        <f>'Data_Raw++ (2016)'!Y61</f>
        <v>44.255225001922959</v>
      </c>
      <c r="Z59" s="42">
        <f>'Data_Raw++ (2016)'!Z61</f>
        <v>21.7973496278128</v>
      </c>
      <c r="AA59" s="42">
        <f>'Data_Raw++ (2016)'!AA61</f>
        <v>26.641205100660091</v>
      </c>
    </row>
    <row r="60" spans="1:27" x14ac:dyDescent="0.2">
      <c r="A60" s="1" t="s">
        <v>159</v>
      </c>
      <c r="B60" s="42">
        <f>'Data_Raw++ (2016)'!B62</f>
        <v>4000</v>
      </c>
      <c r="C60" s="42">
        <f>'Data_Raw++ (2016)'!C62</f>
        <v>2060.6060606060605</v>
      </c>
      <c r="D60" s="42">
        <f>'Data_Raw++ (2016)'!D62</f>
        <v>2418.97233201581</v>
      </c>
      <c r="E60" s="42">
        <f>'Data_Raw++ (2016)'!E62</f>
        <v>3206.5447191837479</v>
      </c>
      <c r="F60" s="42">
        <f>'Data_Raw++ (2016)'!F62</f>
        <v>2137.6964794558321</v>
      </c>
      <c r="G60" s="42">
        <f>'Data_Raw++ (2016)'!G62</f>
        <v>1151.0673350916018</v>
      </c>
      <c r="H60" s="42">
        <f>'Data_Raw++ (2016)'!H62</f>
        <v>647.47537598902591</v>
      </c>
      <c r="I60" s="42">
        <f>'Data_Raw++ (2016)'!I62</f>
        <v>172.11370754138662</v>
      </c>
      <c r="J60" s="42">
        <f>'Data_Raw++ (2016)'!J62</f>
        <v>576.20676002985954</v>
      </c>
      <c r="K60" s="42">
        <f>'Data_Raw++ (2016)'!K62</f>
        <v>434.68229265410463</v>
      </c>
      <c r="L60" s="42">
        <f>'Data_Raw++ (2016)'!L62</f>
        <v>214.09724862067841</v>
      </c>
      <c r="M60" s="42">
        <f>'Data_Raw++ (2016)'!M62</f>
        <v>125.73965395182701</v>
      </c>
      <c r="N60" s="42">
        <f>'Data_Raw++ (2016)'!N62</f>
        <v>153.68179927445522</v>
      </c>
      <c r="O60" s="42">
        <f>'Data_Raw++ (2016)'!O62</f>
        <v>180.40906871349091</v>
      </c>
      <c r="P60" s="42">
        <f>'Data_Raw++ (2016)'!P62</f>
        <v>307.18300889053859</v>
      </c>
      <c r="Q60" s="42">
        <f>'Data_Raw++ (2016)'!Q62</f>
        <v>138.00975761748836</v>
      </c>
      <c r="R60" s="42">
        <f>'Data_Raw++ (2016)'!R62</f>
        <v>17.057385772948003</v>
      </c>
      <c r="S60" s="42">
        <f>'Data_Raw++ (2016)'!S62</f>
        <v>33.111395912193181</v>
      </c>
      <c r="T60" s="42">
        <f>'Data_Raw++ (2016)'!T62</f>
        <v>28.206003925201596</v>
      </c>
      <c r="U60" s="42">
        <f>'Data_Raw++ (2016)'!U62</f>
        <v>40.589127599680353</v>
      </c>
      <c r="V60" s="42">
        <f>'Data_Raw++ (2016)'!V62</f>
        <v>58.408744594661975</v>
      </c>
      <c r="W60" s="42">
        <f>'Data_Raw++ (2016)'!W62</f>
        <v>63.276139977550478</v>
      </c>
      <c r="X60" s="42">
        <f>'Data_Raw++ (2016)'!X62</f>
        <v>15.81903499438762</v>
      </c>
      <c r="Y60" s="42">
        <f>'Data_Raw++ (2016)'!Y62</f>
        <v>14.602186148665494</v>
      </c>
      <c r="Z60" s="42">
        <f>'Data_Raw++ (2016)'!Z62</f>
        <v>14.029551397737434</v>
      </c>
      <c r="AA60" s="42">
        <f>'Data_Raw++ (2016)'!AA62</f>
        <v>8.0076504686230123</v>
      </c>
    </row>
    <row r="61" spans="1:27" x14ac:dyDescent="0.2">
      <c r="A61" s="1" t="s">
        <v>168</v>
      </c>
      <c r="B61" s="42">
        <f>'Data_Raw++ (2016)'!B63</f>
        <v>3000</v>
      </c>
      <c r="C61" s="42">
        <f>'Data_Raw++ (2016)'!C63</f>
        <v>896.1038961038962</v>
      </c>
      <c r="D61" s="42">
        <f>'Data_Raw++ (2016)'!D63</f>
        <v>1401.5984015984018</v>
      </c>
      <c r="E61" s="42">
        <f>'Data_Raw++ (2016)'!E63</f>
        <v>1580.5258571216023</v>
      </c>
      <c r="F61" s="42">
        <f>'Data_Raw++ (2016)'!F63</f>
        <v>1580.5258571216023</v>
      </c>
      <c r="G61" s="42">
        <f>'Data_Raw++ (2016)'!G63</f>
        <v>814.21029003234048</v>
      </c>
      <c r="H61" s="42">
        <f>'Data_Raw++ (2016)'!H63</f>
        <v>1447.4849600574942</v>
      </c>
      <c r="I61" s="42">
        <f>'Data_Raw++ (2016)'!I63</f>
        <v>76.18341895039444</v>
      </c>
      <c r="J61" s="42">
        <f>'Data_Raw++ (2016)'!J63</f>
        <v>241.24749334291576</v>
      </c>
      <c r="K61" s="42">
        <f>'Data_Raw++ (2016)'!K63</f>
        <v>294.85804741911932</v>
      </c>
      <c r="L61" s="42">
        <f>'Data_Raw++ (2016)'!L63</f>
        <v>114.66701844076863</v>
      </c>
      <c r="M61" s="42">
        <f>'Data_Raw++ (2016)'!M63</f>
        <v>124.22260331083268</v>
      </c>
      <c r="N61" s="42">
        <f>'Data_Raw++ (2016)'!N63</f>
        <v>105.81925467219081</v>
      </c>
      <c r="O61" s="42">
        <f>'Data_Raw++ (2016)'!O63</f>
        <v>110.13840792411698</v>
      </c>
      <c r="P61" s="42">
        <f>'Data_Raw++ (2016)'!P63</f>
        <v>32.898485483827152</v>
      </c>
      <c r="Q61" s="42">
        <f>'Data_Raw++ (2016)'!Q63</f>
        <v>88.947757048865995</v>
      </c>
      <c r="R61" s="42">
        <f>'Data_Raw++ (2016)'!R63</f>
        <v>29.649252349622</v>
      </c>
      <c r="S61" s="42">
        <f>'Data_Raw++ (2016)'!S63</f>
        <v>42.665997283602394</v>
      </c>
      <c r="T61" s="42">
        <f>'Data_Raw++ (2016)'!T63</f>
        <v>26.150127367369208</v>
      </c>
      <c r="U61" s="42">
        <f>'Data_Raw++ (2016)'!U63</f>
        <v>11.74860794765863</v>
      </c>
      <c r="V61" s="42">
        <f>'Data_Raw++ (2016)'!V63</f>
        <v>5.0351176918536984</v>
      </c>
      <c r="W61" s="42">
        <f>'Data_Raw++ (2016)'!W63</f>
        <v>8.9513203410732416</v>
      </c>
      <c r="X61" s="42">
        <f>'Data_Raw++ (2016)'!X63</f>
        <v>10.940502639089518</v>
      </c>
      <c r="Y61" s="42">
        <f>'Data_Raw++ (2016)'!Y63</f>
        <v>8.5961092164274771</v>
      </c>
      <c r="Z61" s="42">
        <f>'Data_Raw++ (2016)'!Z63</f>
        <v>13.445196466719898</v>
      </c>
      <c r="AA61" s="42">
        <f>'Data_Raw++ (2016)'!AA63</f>
        <v>8.5961092164274771</v>
      </c>
    </row>
    <row r="62" spans="1:27" x14ac:dyDescent="0.2">
      <c r="A62" s="1" t="s">
        <v>161</v>
      </c>
      <c r="B62" s="42">
        <f>'Data_Raw++ (2016)'!B64</f>
        <v>4000</v>
      </c>
      <c r="C62" s="42">
        <f>'Data_Raw++ (2016)'!C64</f>
        <v>1405.4054054054056</v>
      </c>
      <c r="D62" s="42">
        <f>'Data_Raw++ (2016)'!D64</f>
        <v>2392.9875821767719</v>
      </c>
      <c r="E62" s="42">
        <f>'Data_Raw++ (2016)'!E64</f>
        <v>1957.898930871904</v>
      </c>
      <c r="F62" s="42">
        <f>'Data_Raw++ (2016)'!F64</f>
        <v>2298.40309276267</v>
      </c>
      <c r="G62" s="42">
        <f>'Data_Raw++ (2016)'!G64</f>
        <v>1532.2687285084467</v>
      </c>
      <c r="H62" s="42">
        <f>'Data_Raw++ (2016)'!H64</f>
        <v>1021.5124856722978</v>
      </c>
      <c r="I62" s="42">
        <f>'Data_Raw++ (2016)'!I64</f>
        <v>126.25435216174468</v>
      </c>
      <c r="J62" s="42">
        <f>'Data_Raw++ (2016)'!J64</f>
        <v>775.56244899357432</v>
      </c>
      <c r="K62" s="42">
        <f>'Data_Raw++ (2016)'!K64</f>
        <v>455.48905734543257</v>
      </c>
      <c r="L62" s="42">
        <f>'Data_Raw++ (2016)'!L64</f>
        <v>214.34779169196827</v>
      </c>
      <c r="M62" s="42">
        <f>'Data_Raw++ (2016)'!M64</f>
        <v>214.34779169196827</v>
      </c>
      <c r="N62" s="42">
        <f>'Data_Raw++ (2016)'!N64</f>
        <v>197.85950002335534</v>
      </c>
      <c r="O62" s="42">
        <f>'Data_Raw++ (2016)'!O64</f>
        <v>241.8282778063232</v>
      </c>
      <c r="P62" s="42">
        <f>'Data_Raw++ (2016)'!P64</f>
        <v>72.234420643447194</v>
      </c>
      <c r="Q62" s="42">
        <f>'Data_Raw++ (2016)'!Q64</f>
        <v>75.182764343179727</v>
      </c>
      <c r="R62" s="42">
        <f>'Data_Raw++ (2016)'!R64</f>
        <v>26.415565850306393</v>
      </c>
      <c r="S62" s="42">
        <f>'Data_Raw++ (2016)'!S64</f>
        <v>44.977855366737913</v>
      </c>
      <c r="T62" s="42">
        <f>'Data_Raw++ (2016)'!T64</f>
        <v>41.518020338527307</v>
      </c>
      <c r="U62" s="42">
        <f>'Data_Raw++ (2016)'!U64</f>
        <v>27.678680225684872</v>
      </c>
      <c r="V62" s="42">
        <f>'Data_Raw++ (2016)'!V64</f>
        <v>12.435349086901899</v>
      </c>
      <c r="W62" s="42">
        <f>'Data_Raw++ (2016)'!W64</f>
        <v>11.947688338395944</v>
      </c>
      <c r="X62" s="42">
        <f>'Data_Raw++ (2016)'!X64</f>
        <v>11.947688338395944</v>
      </c>
      <c r="Y62" s="42">
        <f>'Data_Raw++ (2016)'!Y64</f>
        <v>23.192571480415651</v>
      </c>
      <c r="Z62" s="42">
        <f>'Data_Raw++ (2016)'!Z64</f>
        <v>11.423206848562934</v>
      </c>
      <c r="AA62" s="42">
        <f>'Data_Raw++ (2016)'!AA64</f>
        <v>14.538626898171009</v>
      </c>
    </row>
    <row r="63" spans="1:27" x14ac:dyDescent="0.2">
      <c r="A63" s="1" t="s">
        <v>177</v>
      </c>
      <c r="B63" s="42">
        <f>'Data_Raw++ (2016)'!B65</f>
        <v>3000</v>
      </c>
      <c r="C63" s="42">
        <f>'Data_Raw++ (2016)'!C65</f>
        <v>896.1038961038962</v>
      </c>
      <c r="D63" s="42">
        <f>'Data_Raw++ (2016)'!D65</f>
        <v>1904.2207792207794</v>
      </c>
      <c r="E63" s="42">
        <f>'Data_Raw++ (2016)'!E65</f>
        <v>1622.1139971139974</v>
      </c>
      <c r="F63" s="42">
        <f>'Data_Raw++ (2016)'!F65</f>
        <v>1327.1841794569068</v>
      </c>
      <c r="G63" s="42">
        <f>'Data_Raw++ (2016)'!G65</f>
        <v>848.52759014457979</v>
      </c>
      <c r="H63" s="42">
        <f>'Data_Raw++ (2016)'!H65</f>
        <v>589.65476603267405</v>
      </c>
      <c r="I63" s="42">
        <f>'Data_Raw++ (2016)'!I65</f>
        <v>176.13064439937017</v>
      </c>
      <c r="J63" s="42">
        <f>'Data_Raw++ (2016)'!J65</f>
        <v>624.46319377958525</v>
      </c>
      <c r="K63" s="42">
        <f>'Data_Raw++ (2016)'!K65</f>
        <v>416.30879585305684</v>
      </c>
      <c r="L63" s="42">
        <f>'Data_Raw++ (2016)'!L65</f>
        <v>124.35197798208191</v>
      </c>
      <c r="M63" s="42">
        <f>'Data_Raw++ (2016)'!M65</f>
        <v>97.705125557350058</v>
      </c>
      <c r="N63" s="42">
        <f>'Data_Raw++ (2016)'!N65</f>
        <v>146.55768833602508</v>
      </c>
      <c r="O63" s="42">
        <f>'Data_Raw++ (2016)'!O65</f>
        <v>260.54700148626682</v>
      </c>
      <c r="P63" s="42">
        <f>'Data_Raw++ (2016)'!P65</f>
        <v>96.36669917985212</v>
      </c>
      <c r="Q63" s="42">
        <f>'Data_Raw++ (2016)'!Q65</f>
        <v>82.090151153207358</v>
      </c>
      <c r="R63" s="42">
        <f>'Data_Raw++ (2016)'!R65</f>
        <v>10.145973738036863</v>
      </c>
      <c r="S63" s="42">
        <f>'Data_Raw++ (2016)'!S65</f>
        <v>22.582973804017534</v>
      </c>
      <c r="T63" s="42">
        <f>'Data_Raw++ (2016)'!T65</f>
        <v>19.237348055274197</v>
      </c>
      <c r="U63" s="42">
        <f>'Data_Raw++ (2016)'!U65</f>
        <v>6.4124493517580659</v>
      </c>
      <c r="V63" s="42">
        <f>'Data_Raw++ (2016)'!V65</f>
        <v>14.962381820768819</v>
      </c>
      <c r="W63" s="42">
        <f>'Data_Raw++ (2016)'!W65</f>
        <v>40.453847145041621</v>
      </c>
      <c r="X63" s="42">
        <f>'Data_Raw++ (2016)'!X65</f>
        <v>13.484615715013874</v>
      </c>
      <c r="Y63" s="42">
        <f>'Data_Raw++ (2016)'!Y65</f>
        <v>11.032867403193169</v>
      </c>
      <c r="Z63" s="42">
        <f>'Data_Raw++ (2016)'!Z65</f>
        <v>4.2905595456862331</v>
      </c>
      <c r="AA63" s="42">
        <f>'Data_Raw++ (2016)'!AA65</f>
        <v>5.2440172225053967</v>
      </c>
    </row>
    <row r="64" spans="1:27" x14ac:dyDescent="0.2">
      <c r="A64" s="1" t="s">
        <v>178</v>
      </c>
      <c r="B64" s="42">
        <f>'Data_Raw++ (2016)'!B66</f>
        <v>3000</v>
      </c>
      <c r="C64" s="42">
        <f>'Data_Raw++ (2016)'!C66</f>
        <v>658.53658536585374</v>
      </c>
      <c r="D64" s="42">
        <f>'Data_Raw++ (2016)'!D66</f>
        <v>1121.2920237310482</v>
      </c>
      <c r="E64" s="42">
        <f>'Data_Raw++ (2016)'!E66</f>
        <v>1613.5665707349228</v>
      </c>
      <c r="F64" s="42">
        <f>'Data_Raw++ (2016)'!F66</f>
        <v>1031.6245288305245</v>
      </c>
      <c r="G64" s="42">
        <f>'Data_Raw++ (2016)'!G66</f>
        <v>632.28600154128912</v>
      </c>
      <c r="H64" s="42">
        <f>'Data_Raw++ (2016)'!H66</f>
        <v>713.00336344017728</v>
      </c>
      <c r="I64" s="42">
        <f>'Data_Raw++ (2016)'!I66</f>
        <v>88.124011211707298</v>
      </c>
      <c r="J64" s="42">
        <f>'Data_Raw++ (2016)'!J66</f>
        <v>226.60460025867587</v>
      </c>
      <c r="K64" s="42">
        <f>'Data_Raw++ (2016)'!K66</f>
        <v>235.85376761617283</v>
      </c>
      <c r="L64" s="42">
        <f>'Data_Raw++ (2016)'!L66</f>
        <v>150.79175306607772</v>
      </c>
      <c r="M64" s="42">
        <f>'Data_Raw++ (2016)'!M66</f>
        <v>104.78748941879978</v>
      </c>
      <c r="N64" s="42">
        <f>'Data_Raw++ (2016)'!N66</f>
        <v>72.818424850352386</v>
      </c>
      <c r="O64" s="42">
        <f>'Data_Raw++ (2016)'!O66</f>
        <v>92.677995264084856</v>
      </c>
      <c r="P64" s="42">
        <f>'Data_Raw++ (2016)'!P66</f>
        <v>45.647370801713436</v>
      </c>
      <c r="Q64" s="42">
        <f>'Data_Raw++ (2016)'!Q66</f>
        <v>63.036845392842359</v>
      </c>
      <c r="R64" s="42">
        <f>'Data_Raw++ (2016)'!R66</f>
        <v>15.759211348210592</v>
      </c>
      <c r="S64" s="42">
        <f>'Data_Raw++ (2016)'!S66</f>
        <v>31.995974555457867</v>
      </c>
      <c r="T64" s="42">
        <f>'Data_Raw++ (2016)'!T66</f>
        <v>15.759211348210592</v>
      </c>
      <c r="U64" s="42">
        <f>'Data_Raw++ (2016)'!U66</f>
        <v>11.411842700428361</v>
      </c>
      <c r="V64" s="42">
        <f>'Data_Raw++ (2016)'!V66</f>
        <v>3.6037398001352714</v>
      </c>
      <c r="W64" s="42">
        <f>'Data_Raw++ (2016)'!W66</f>
        <v>16.417036867282903</v>
      </c>
      <c r="X64" s="42">
        <f>'Data_Raw++ (2016)'!X66</f>
        <v>5.7681480885048044</v>
      </c>
      <c r="Y64" s="42">
        <f>'Data_Raw++ (2016)'!Y66</f>
        <v>12.838781229252628</v>
      </c>
      <c r="Z64" s="42">
        <f>'Data_Raw++ (2016)'!Z66</f>
        <v>6.3235788144080107</v>
      </c>
      <c r="AA64" s="42">
        <f>'Data_Raw++ (2016)'!AA66</f>
        <v>5.3867523233846013</v>
      </c>
    </row>
    <row r="65" spans="1:27" x14ac:dyDescent="0.2">
      <c r="A65" s="1" t="s">
        <v>184</v>
      </c>
      <c r="B65" s="42">
        <f>'Data_Raw++ (2016)'!B67</f>
        <v>3000</v>
      </c>
      <c r="C65" s="42">
        <f>'Data_Raw++ (2016)'!C67</f>
        <v>571.42857142857144</v>
      </c>
      <c r="D65" s="42">
        <f>'Data_Raw++ (2016)'!D67</f>
        <v>822.29965156794424</v>
      </c>
      <c r="E65" s="42">
        <f>'Data_Raw++ (2016)'!E67</f>
        <v>1669.5174743955233</v>
      </c>
      <c r="F65" s="42">
        <f>'Data_Raw++ (2016)'!F67</f>
        <v>1737.6610447790142</v>
      </c>
      <c r="G65" s="42">
        <f>'Data_Raw++ (2016)'!G67</f>
        <v>548.73506677232024</v>
      </c>
      <c r="H65" s="42">
        <f>'Data_Raw++ (2016)'!H67</f>
        <v>594.46298900334693</v>
      </c>
      <c r="I65" s="42">
        <f>'Data_Raw++ (2016)'!I67</f>
        <v>73.472953697042882</v>
      </c>
      <c r="J65" s="42">
        <f>'Data_Raw++ (2016)'!J67</f>
        <v>260.49501765315205</v>
      </c>
      <c r="K65" s="42">
        <f>'Data_Raw++ (2016)'!K67</f>
        <v>463.10225360560372</v>
      </c>
      <c r="L65" s="42">
        <f>'Data_Raw++ (2016)'!L67</f>
        <v>130.61858435029848</v>
      </c>
      <c r="M65" s="42">
        <f>'Data_Raw++ (2016)'!M67</f>
        <v>159.64493642814259</v>
      </c>
      <c r="N65" s="42">
        <f>'Data_Raw++ (2016)'!N67</f>
        <v>71.724536656122041</v>
      </c>
      <c r="O65" s="42">
        <f>'Data_Raw++ (2016)'!O67</f>
        <v>145.62254412000536</v>
      </c>
      <c r="P65" s="42">
        <f>'Data_Raw++ (2016)'!P67</f>
        <v>89.252527041293604</v>
      </c>
      <c r="Q65" s="42">
        <f>'Data_Raw++ (2016)'!Q67</f>
        <v>59.501684694195745</v>
      </c>
      <c r="R65" s="42">
        <f>'Data_Raw++ (2016)'!R67</f>
        <v>17.773230493071456</v>
      </c>
      <c r="S65" s="42">
        <f>'Data_Raw++ (2016)'!S67</f>
        <v>41.470871150500059</v>
      </c>
      <c r="T65" s="42">
        <f>'Data_Raw++ (2016)'!T67</f>
        <v>18.76063218713098</v>
      </c>
      <c r="U65" s="42">
        <f>'Data_Raw++ (2016)'!U67</f>
        <v>16.180282680000598</v>
      </c>
      <c r="V65" s="42">
        <f>'Data_Raw++ (2016)'!V67</f>
        <v>9.9169474490326248</v>
      </c>
      <c r="W65" s="42">
        <f>'Data_Raw++ (2016)'!W67</f>
        <v>8.0804756992117674</v>
      </c>
      <c r="X65" s="42">
        <f>'Data_Raw++ (2016)'!X67</f>
        <v>16.180282680000598</v>
      </c>
      <c r="Y65" s="42">
        <f>'Data_Raw++ (2016)'!Y67</f>
        <v>22.344199891429398</v>
      </c>
      <c r="Z65" s="42">
        <f>'Data_Raw++ (2016)'!Z67</f>
        <v>23.256208050263254</v>
      </c>
      <c r="AA65" s="42">
        <f>'Data_Raw++ (2016)'!AA67</f>
        <v>17.544156950198595</v>
      </c>
    </row>
    <row r="66" spans="1:27" x14ac:dyDescent="0.2">
      <c r="A66" s="1" t="s">
        <v>189</v>
      </c>
      <c r="B66" s="42">
        <f>'Data_Raw++ (2016)'!B68</f>
        <v>3000</v>
      </c>
      <c r="C66" s="42">
        <f>'Data_Raw++ (2016)'!C68</f>
        <v>896.1038961038962</v>
      </c>
      <c r="D66" s="42">
        <f>'Data_Raw++ (2016)'!D68</f>
        <v>1664.1929499072362</v>
      </c>
      <c r="E66" s="42">
        <f>'Data_Raw++ (2016)'!E68</f>
        <v>1953.6178107606686</v>
      </c>
      <c r="F66" s="42">
        <f>'Data_Raw++ (2016)'!F68</f>
        <v>2387.7551020408173</v>
      </c>
      <c r="G66" s="42">
        <f>'Data_Raw++ (2016)'!G68</f>
        <v>928.57142857142901</v>
      </c>
      <c r="H66" s="42">
        <f>'Data_Raw++ (2016)'!H68</f>
        <v>759.74025974026006</v>
      </c>
      <c r="I66" s="42">
        <f>'Data_Raw++ (2016)'!I68</f>
        <v>226.93540226007769</v>
      </c>
      <c r="J66" s="42">
        <f>'Data_Raw++ (2016)'!J68</f>
        <v>907.74160904031078</v>
      </c>
      <c r="K66" s="42">
        <f>'Data_Raw++ (2016)'!K68</f>
        <v>335.74004717929307</v>
      </c>
      <c r="L66" s="42">
        <f>'Data_Raw++ (2016)'!L68</f>
        <v>157.99531631966732</v>
      </c>
      <c r="M66" s="42">
        <f>'Data_Raw++ (2016)'!M68</f>
        <v>218.18400825096916</v>
      </c>
      <c r="N66" s="42">
        <f>'Data_Raw++ (2016)'!N68</f>
        <v>93.507432107558202</v>
      </c>
      <c r="O66" s="42">
        <f>'Data_Raw++ (2016)'!O68</f>
        <v>166.23543485788127</v>
      </c>
      <c r="P66" s="42">
        <f>'Data_Raw++ (2016)'!P68</f>
        <v>81.87715448224003</v>
      </c>
      <c r="Q66" s="42">
        <f>'Data_Raw++ (2016)'!Q68</f>
        <v>81.87715448224003</v>
      </c>
      <c r="R66" s="42">
        <f>'Data_Raw++ (2016)'!R68</f>
        <v>24.456812377811957</v>
      </c>
      <c r="S66" s="42">
        <f>'Data_Raw++ (2016)'!S68</f>
        <v>66.123974206676763</v>
      </c>
      <c r="T66" s="42">
        <f>'Data_Raw++ (2016)'!T68</f>
        <v>20.881255012634767</v>
      </c>
      <c r="U66" s="42">
        <f>'Data_Raw++ (2016)'!U68</f>
        <v>40.534200906879256</v>
      </c>
      <c r="V66" s="42">
        <f>'Data_Raw++ (2016)'!V68</f>
        <v>10.774914165119801</v>
      </c>
      <c r="W66" s="42">
        <f>'Data_Raw++ (2016)'!W68</f>
        <v>6.8888795481913494</v>
      </c>
      <c r="X66" s="42">
        <f>'Data_Raw++ (2016)'!X68</f>
        <v>11.729713825298786</v>
      </c>
      <c r="Y66" s="42">
        <f>'Data_Raw++ (2016)'!Y68</f>
        <v>16.879344285186058</v>
      </c>
      <c r="Z66" s="42">
        <f>'Data_Raw++ (2016)'!Z68</f>
        <v>16.879344285186058</v>
      </c>
      <c r="AA66" s="42">
        <f>'Data_Raw++ (2016)'!AA68</f>
        <v>8.6954197832776661</v>
      </c>
    </row>
    <row r="68" spans="1:27" ht="16" x14ac:dyDescent="0.2">
      <c r="A68" s="43" t="s">
        <v>334</v>
      </c>
      <c r="B68" s="8">
        <f>_xlfn.STDEV.P(B2:B66)</f>
        <v>4606.7611746985604</v>
      </c>
      <c r="C68" s="8">
        <f t="shared" ref="C68:AA68" si="0">_xlfn.STDEV.P(C2:C66)</f>
        <v>1706.6943740904881</v>
      </c>
      <c r="D68" s="8">
        <f t="shared" si="0"/>
        <v>2083.0563842660613</v>
      </c>
      <c r="E68" s="8">
        <f t="shared" si="0"/>
        <v>1401.6568787120923</v>
      </c>
      <c r="F68" s="8">
        <f t="shared" si="0"/>
        <v>1033.0272487091531</v>
      </c>
      <c r="G68" s="8">
        <f t="shared" si="0"/>
        <v>1387.0541960756236</v>
      </c>
      <c r="H68" s="8">
        <f t="shared" si="0"/>
        <v>1012.3353412781238</v>
      </c>
      <c r="I68" s="8">
        <f t="shared" si="0"/>
        <v>314.02445116711328</v>
      </c>
      <c r="J68" s="8">
        <f t="shared" si="0"/>
        <v>454.97221331481524</v>
      </c>
      <c r="K68" s="8">
        <f t="shared" si="0"/>
        <v>498.28368608231028</v>
      </c>
      <c r="L68" s="8">
        <f t="shared" si="0"/>
        <v>293.53363811247692</v>
      </c>
      <c r="M68" s="8">
        <f t="shared" si="0"/>
        <v>320.78484433161464</v>
      </c>
      <c r="N68" s="8">
        <f t="shared" si="0"/>
        <v>262.75341584081787</v>
      </c>
      <c r="O68" s="8">
        <f t="shared" si="0"/>
        <v>156.5786136933838</v>
      </c>
      <c r="P68" s="8">
        <f t="shared" si="0"/>
        <v>146.68441103776539</v>
      </c>
      <c r="Q68" s="8">
        <f t="shared" si="0"/>
        <v>124.35010226177172</v>
      </c>
      <c r="R68" s="8">
        <f t="shared" si="0"/>
        <v>107.65569217190837</v>
      </c>
      <c r="S68" s="8">
        <f t="shared" si="0"/>
        <v>107.13466246982266</v>
      </c>
      <c r="T68" s="8">
        <f t="shared" si="0"/>
        <v>68.877829734928795</v>
      </c>
      <c r="U68" s="8">
        <f t="shared" si="0"/>
        <v>42.649519305481839</v>
      </c>
      <c r="V68" s="8">
        <f t="shared" si="0"/>
        <v>33.804559067426347</v>
      </c>
      <c r="W68" s="8">
        <f t="shared" si="0"/>
        <v>30.753986879402742</v>
      </c>
      <c r="X68" s="8">
        <f t="shared" si="0"/>
        <v>36.400688869780517</v>
      </c>
      <c r="Y68" s="8">
        <f t="shared" si="0"/>
        <v>36.281536402552383</v>
      </c>
      <c r="Z68" s="8">
        <f t="shared" si="0"/>
        <v>20.756047329900415</v>
      </c>
      <c r="AA68" s="8">
        <f t="shared" si="0"/>
        <v>34.283539261801764</v>
      </c>
    </row>
    <row r="69" spans="1:27" x14ac:dyDescent="0.2">
      <c r="A69" s="43"/>
    </row>
    <row r="70" spans="1:27" ht="16" x14ac:dyDescent="0.2">
      <c r="A70" s="43" t="s">
        <v>343</v>
      </c>
      <c r="B70" s="8">
        <f>B68*Notes!$C$7*KeywordInfo!B21</f>
        <v>967.41984668669761</v>
      </c>
      <c r="C70" s="8">
        <f>C68*Notes!$C$7*KeywordInfo!C21</f>
        <v>716.81163711800491</v>
      </c>
      <c r="D70" s="8">
        <f>D68*Notes!$C$7*KeywordInfo!D21</f>
        <v>833.22255370642461</v>
      </c>
      <c r="E70" s="8">
        <f>E68*Notes!$C$7*KeywordInfo!E21</f>
        <v>616.72902663332059</v>
      </c>
      <c r="F70" s="8">
        <f>F68*Notes!$C$7*KeywordInfo!F21</f>
        <v>340.89899207402055</v>
      </c>
      <c r="G70" s="8">
        <f>G68*Notes!$C$7*KeywordInfo!G21</f>
        <v>554.82167843024945</v>
      </c>
      <c r="H70" s="8">
        <f>H68*Notes!$C$7*KeywordInfo!H21</f>
        <v>374.56407627290582</v>
      </c>
      <c r="I70" s="8">
        <f>I68*Notes!$C$7*KeywordInfo!I21</f>
        <v>97.347579861805116</v>
      </c>
      <c r="J70" s="8">
        <f>J68*Notes!$C$7*KeywordInfo!J21</f>
        <v>54.596665597777829</v>
      </c>
      <c r="K70" s="8">
        <f>K68*Notes!$C$7*KeywordInfo!K21</f>
        <v>154.46794268551619</v>
      </c>
      <c r="L70" s="8">
        <f>L68*Notes!$C$7*KeywordInfo!L21</f>
        <v>123.2841280072403</v>
      </c>
      <c r="M70" s="8">
        <f>M68*Notes!$C$7*KeywordInfo!M21</f>
        <v>150.76887683585886</v>
      </c>
      <c r="N70" s="8">
        <f>N68*Notes!$C$7*KeywordInfo!N21</f>
        <v>86.708627227469904</v>
      </c>
      <c r="O70" s="8">
        <f>O68*Notes!$C$7*KeywordInfo!O21</f>
        <v>65.763017751221199</v>
      </c>
      <c r="P70" s="8">
        <f>P68*Notes!$C$7*KeywordInfo!P21</f>
        <v>27.870038097175424</v>
      </c>
      <c r="Q70" s="8">
        <f>Q68*Notes!$C$7*KeywordInfo!Q21</f>
        <v>49.740040904708692</v>
      </c>
      <c r="R70" s="8">
        <f>R68*Notes!$C$7*KeywordInfo!R21</f>
        <v>46.2919476339206</v>
      </c>
      <c r="S70" s="8">
        <f>S68*Notes!$C$7*KeywordInfo!S21</f>
        <v>53.567331234911329</v>
      </c>
      <c r="T70" s="8">
        <f>T68*Notes!$C$7*KeywordInfo!T21</f>
        <v>33.061358272765823</v>
      </c>
      <c r="U70" s="8">
        <f>U68*Notes!$C$7*KeywordInfo!U21</f>
        <v>17.486302915247553</v>
      </c>
      <c r="V70" s="8">
        <f>V68*Notes!$C$7*KeywordInfo!V21</f>
        <v>5.0706838601139514</v>
      </c>
      <c r="W70" s="8">
        <f>W68*Notes!$C$7*KeywordInfo!W21</f>
        <v>9.8412758014088784</v>
      </c>
      <c r="X70" s="8">
        <f>X68*Notes!$C$7*KeywordInfo!X21</f>
        <v>15.288289325307817</v>
      </c>
      <c r="Y70" s="8">
        <f>Y68*Notes!$C$7*KeywordInfo!Y21</f>
        <v>19.229214293352765</v>
      </c>
      <c r="Z70" s="8">
        <f>Z68*Notes!$C$7*KeywordInfo!Z21</f>
        <v>8.9251003518571785</v>
      </c>
      <c r="AA70" s="8">
        <f>AA68*Notes!$C$7*KeywordInfo!AA21</f>
        <v>19.198781986608989</v>
      </c>
    </row>
    <row r="71" spans="1:27" x14ac:dyDescent="0.2">
      <c r="A71" s="5"/>
    </row>
    <row r="72" spans="1:27" x14ac:dyDescent="0.2">
      <c r="A72" s="114" t="s">
        <v>335</v>
      </c>
      <c r="B72" s="32">
        <f>_xlfn.COVARIANCE.P($B$2:$B$66,B$2:B$66)</f>
        <v>21222248.52071004</v>
      </c>
      <c r="C72" s="32">
        <f t="shared" ref="C72:AA72" si="1">_xlfn.COVARIANCE.P($B$2:$B$66,C$2:C$66)</f>
        <v>2314025.0459869001</v>
      </c>
      <c r="D72" s="32">
        <f t="shared" si="1"/>
        <v>4920208.5270231841</v>
      </c>
      <c r="E72" s="32">
        <f t="shared" si="1"/>
        <v>2742910.9700569198</v>
      </c>
      <c r="F72" s="32">
        <f t="shared" si="1"/>
        <v>2516098.6063700179</v>
      </c>
      <c r="G72" s="32">
        <f t="shared" si="1"/>
        <v>2661300.9201714909</v>
      </c>
      <c r="H72" s="32">
        <f t="shared" si="1"/>
        <v>2540831.8535654373</v>
      </c>
      <c r="I72" s="32">
        <f t="shared" si="1"/>
        <v>294327.82774204185</v>
      </c>
      <c r="J72" s="32">
        <f t="shared" si="1"/>
        <v>236120.48976102824</v>
      </c>
      <c r="K72" s="32">
        <f t="shared" si="1"/>
        <v>1090720.4005557629</v>
      </c>
      <c r="L72" s="32">
        <f t="shared" si="1"/>
        <v>734596.37791393627</v>
      </c>
      <c r="M72" s="32">
        <f t="shared" si="1"/>
        <v>403759.8902609261</v>
      </c>
      <c r="N72" s="32">
        <f t="shared" si="1"/>
        <v>357398.74019669183</v>
      </c>
      <c r="O72" s="32">
        <f t="shared" si="1"/>
        <v>319083.16688627622</v>
      </c>
      <c r="P72" s="32">
        <f t="shared" si="1"/>
        <v>224053.25659839078</v>
      </c>
      <c r="Q72" s="32">
        <f t="shared" si="1"/>
        <v>286324.23253133334</v>
      </c>
      <c r="R72" s="32">
        <f t="shared" si="1"/>
        <v>176488.23875000008</v>
      </c>
      <c r="S72" s="32">
        <f t="shared" si="1"/>
        <v>187532.26116439427</v>
      </c>
      <c r="T72" s="32">
        <f t="shared" si="1"/>
        <v>167501.65811466574</v>
      </c>
      <c r="U72" s="32">
        <f t="shared" si="1"/>
        <v>69518.754743287165</v>
      </c>
      <c r="V72" s="32">
        <f t="shared" si="1"/>
        <v>12643.046374303298</v>
      </c>
      <c r="W72" s="32">
        <f t="shared" si="1"/>
        <v>51415.872398542997</v>
      </c>
      <c r="X72" s="32">
        <f t="shared" si="1"/>
        <v>69798.606825793046</v>
      </c>
      <c r="Y72" s="32">
        <f t="shared" si="1"/>
        <v>50251.82570635825</v>
      </c>
      <c r="Z72" s="32">
        <f t="shared" si="1"/>
        <v>54735.318043656574</v>
      </c>
      <c r="AA72" s="32">
        <f t="shared" si="1"/>
        <v>21846.572255235747</v>
      </c>
    </row>
    <row r="73" spans="1:27" x14ac:dyDescent="0.2">
      <c r="A73" s="114"/>
      <c r="B73" s="32">
        <f>_xlfn.COVARIANCE.P($C$2:$C$66,B$2:B$66)</f>
        <v>2314025.0459869001</v>
      </c>
      <c r="C73" s="32">
        <f t="shared" ref="C73:AA73" si="2">_xlfn.COVARIANCE.P($C$2:$C$66,C$2:C$66)</f>
        <v>2912805.686552119</v>
      </c>
      <c r="D73" s="32">
        <f t="shared" si="2"/>
        <v>2951630.653388158</v>
      </c>
      <c r="E73" s="32">
        <f t="shared" si="2"/>
        <v>1569421.2181788459</v>
      </c>
      <c r="F73" s="32">
        <f t="shared" si="2"/>
        <v>876088.00056260452</v>
      </c>
      <c r="G73" s="32">
        <f t="shared" si="2"/>
        <v>2167450.9630426755</v>
      </c>
      <c r="H73" s="32">
        <f t="shared" si="2"/>
        <v>901111.30806064338</v>
      </c>
      <c r="I73" s="32">
        <f t="shared" si="2"/>
        <v>448740.64819987089</v>
      </c>
      <c r="J73" s="32">
        <f t="shared" si="2"/>
        <v>491612.34153238795</v>
      </c>
      <c r="K73" s="32">
        <f t="shared" si="2"/>
        <v>665965.88030697964</v>
      </c>
      <c r="L73" s="32">
        <f t="shared" si="2"/>
        <v>404823.96514962334</v>
      </c>
      <c r="M73" s="32">
        <f t="shared" si="2"/>
        <v>400262.9177413453</v>
      </c>
      <c r="N73" s="32">
        <f t="shared" si="2"/>
        <v>400208.52265130152</v>
      </c>
      <c r="O73" s="32">
        <f t="shared" si="2"/>
        <v>237026.02008657373</v>
      </c>
      <c r="P73" s="32">
        <f t="shared" si="2"/>
        <v>45579.008428782348</v>
      </c>
      <c r="Q73" s="32">
        <f t="shared" si="2"/>
        <v>143566.04118771057</v>
      </c>
      <c r="R73" s="32">
        <f t="shared" si="2"/>
        <v>140047.60917677218</v>
      </c>
      <c r="S73" s="32">
        <f t="shared" si="2"/>
        <v>147223.09689465896</v>
      </c>
      <c r="T73" s="32">
        <f t="shared" si="2"/>
        <v>101387.23512271798</v>
      </c>
      <c r="U73" s="32">
        <f t="shared" si="2"/>
        <v>59776.80073394622</v>
      </c>
      <c r="V73" s="32">
        <f t="shared" si="2"/>
        <v>32161.670649218468</v>
      </c>
      <c r="W73" s="32">
        <f t="shared" si="2"/>
        <v>36501.415928081398</v>
      </c>
      <c r="X73" s="32">
        <f t="shared" si="2"/>
        <v>46007.718189721018</v>
      </c>
      <c r="Y73" s="32">
        <f t="shared" si="2"/>
        <v>54710.416007879983</v>
      </c>
      <c r="Z73" s="32">
        <f t="shared" si="2"/>
        <v>24765.213295851681</v>
      </c>
      <c r="AA73" s="32">
        <f t="shared" si="2"/>
        <v>29859.060661371597</v>
      </c>
    </row>
    <row r="74" spans="1:27" x14ac:dyDescent="0.2">
      <c r="A74" s="5"/>
      <c r="B74" s="32">
        <f>_xlfn.COVARIANCE.P($D$2:$D$66,B$2:B$66)</f>
        <v>4920208.5270231841</v>
      </c>
      <c r="C74" s="32">
        <f t="shared" ref="C74:AA74" si="3">_xlfn.COVARIANCE.P($D$2:$D$66,C$2:C$66)</f>
        <v>2951630.653388158</v>
      </c>
      <c r="D74" s="32">
        <f t="shared" si="3"/>
        <v>4339123.9000315936</v>
      </c>
      <c r="E74" s="32">
        <f t="shared" si="3"/>
        <v>2044050.5604889826</v>
      </c>
      <c r="F74" s="32">
        <f t="shared" si="3"/>
        <v>1265648.9670558504</v>
      </c>
      <c r="G74" s="32">
        <f t="shared" si="3"/>
        <v>2737753.8719056933</v>
      </c>
      <c r="H74" s="32">
        <f t="shared" si="3"/>
        <v>1568079.6008899354</v>
      </c>
      <c r="I74" s="32">
        <f t="shared" si="3"/>
        <v>522605.4896498411</v>
      </c>
      <c r="J74" s="32">
        <f t="shared" si="3"/>
        <v>646010.72018661222</v>
      </c>
      <c r="K74" s="32">
        <f t="shared" si="3"/>
        <v>806527.25863436854</v>
      </c>
      <c r="L74" s="32">
        <f t="shared" si="3"/>
        <v>503186.02800670051</v>
      </c>
      <c r="M74" s="32">
        <f t="shared" si="3"/>
        <v>475495.62623169523</v>
      </c>
      <c r="N74" s="32">
        <f t="shared" si="3"/>
        <v>492682.84988090128</v>
      </c>
      <c r="O74" s="32">
        <f t="shared" si="3"/>
        <v>276517.36371651973</v>
      </c>
      <c r="P74" s="32">
        <f t="shared" si="3"/>
        <v>89396.742424573604</v>
      </c>
      <c r="Q74" s="32">
        <f t="shared" si="3"/>
        <v>181544.27896506744</v>
      </c>
      <c r="R74" s="32">
        <f t="shared" si="3"/>
        <v>157791.92756627672</v>
      </c>
      <c r="S74" s="32">
        <f t="shared" si="3"/>
        <v>180344.18226460268</v>
      </c>
      <c r="T74" s="32">
        <f t="shared" si="3"/>
        <v>129682.53090167759</v>
      </c>
      <c r="U74" s="32">
        <f t="shared" si="3"/>
        <v>59047.722023305178</v>
      </c>
      <c r="V74" s="32">
        <f t="shared" si="3"/>
        <v>24284.201936057554</v>
      </c>
      <c r="W74" s="32">
        <f t="shared" si="3"/>
        <v>42602.632250964707</v>
      </c>
      <c r="X74" s="32">
        <f t="shared" si="3"/>
        <v>50088.085042313534</v>
      </c>
      <c r="Y74" s="32">
        <f t="shared" si="3"/>
        <v>53776.094066771169</v>
      </c>
      <c r="Z74" s="32">
        <f t="shared" si="3"/>
        <v>28231.724135581859</v>
      </c>
      <c r="AA74" s="32">
        <f t="shared" si="3"/>
        <v>31112.249596443377</v>
      </c>
    </row>
    <row r="75" spans="1:27" x14ac:dyDescent="0.2">
      <c r="A75" s="5"/>
      <c r="B75" s="32">
        <f>_xlfn.COVARIANCE.P($E$2:$E$66,B$2:B$66)</f>
        <v>2742910.9700569198</v>
      </c>
      <c r="C75" s="32">
        <f t="shared" ref="C75:AA75" si="4">_xlfn.COVARIANCE.P($E$2:$E$66,C$2:C$66)</f>
        <v>1569421.2181788459</v>
      </c>
      <c r="D75" s="32">
        <f t="shared" si="4"/>
        <v>2044050.5604889826</v>
      </c>
      <c r="E75" s="32">
        <f t="shared" si="4"/>
        <v>1964642.0056409275</v>
      </c>
      <c r="F75" s="32">
        <f t="shared" si="4"/>
        <v>1105747.7895434035</v>
      </c>
      <c r="G75" s="32">
        <f t="shared" si="4"/>
        <v>1447897.1508068983</v>
      </c>
      <c r="H75" s="32">
        <f t="shared" si="4"/>
        <v>652531.9136620037</v>
      </c>
      <c r="I75" s="32">
        <f t="shared" si="4"/>
        <v>260480.28727929425</v>
      </c>
      <c r="J75" s="32">
        <f t="shared" si="4"/>
        <v>313024.61769799469</v>
      </c>
      <c r="K75" s="32">
        <f t="shared" si="4"/>
        <v>462874.75055925723</v>
      </c>
      <c r="L75" s="32">
        <f t="shared" si="4"/>
        <v>301019.35800591507</v>
      </c>
      <c r="M75" s="32">
        <f t="shared" si="4"/>
        <v>285098.34460700315</v>
      </c>
      <c r="N75" s="32">
        <f t="shared" si="4"/>
        <v>227531.17206911006</v>
      </c>
      <c r="O75" s="32">
        <f t="shared" si="4"/>
        <v>154529.98860734259</v>
      </c>
      <c r="P75" s="32">
        <f t="shared" si="4"/>
        <v>101455.44247932817</v>
      </c>
      <c r="Q75" s="32">
        <f t="shared" si="4"/>
        <v>85826.387358005493</v>
      </c>
      <c r="R75" s="32">
        <f t="shared" si="4"/>
        <v>61215.155148125101</v>
      </c>
      <c r="S75" s="32">
        <f t="shared" si="4"/>
        <v>87037.905410520718</v>
      </c>
      <c r="T75" s="32">
        <f t="shared" si="4"/>
        <v>72092.813177269243</v>
      </c>
      <c r="U75" s="32">
        <f t="shared" si="4"/>
        <v>34439.081291777467</v>
      </c>
      <c r="V75" s="32">
        <f t="shared" si="4"/>
        <v>28466.3428098039</v>
      </c>
      <c r="W75" s="32">
        <f t="shared" si="4"/>
        <v>24084.599839900871</v>
      </c>
      <c r="X75" s="32">
        <f t="shared" si="4"/>
        <v>41045.479709633575</v>
      </c>
      <c r="Y75" s="32">
        <f t="shared" si="4"/>
        <v>33598.451893760932</v>
      </c>
      <c r="Z75" s="32">
        <f t="shared" si="4"/>
        <v>19032.073432867175</v>
      </c>
      <c r="AA75" s="32">
        <f t="shared" si="4"/>
        <v>17670.993134535027</v>
      </c>
    </row>
    <row r="76" spans="1:27" x14ac:dyDescent="0.2">
      <c r="A76" s="5"/>
      <c r="B76" s="32">
        <f>_xlfn.COVARIANCE.P($F$2:$F$66,B$2:B$66)</f>
        <v>2516098.6063700179</v>
      </c>
      <c r="C76" s="32">
        <f t="shared" ref="C76:AA76" si="5">_xlfn.COVARIANCE.P($F$2:$F$66,C$2:C$66)</f>
        <v>876088.00056260452</v>
      </c>
      <c r="D76" s="32">
        <f t="shared" si="5"/>
        <v>1265648.9670558504</v>
      </c>
      <c r="E76" s="32">
        <f t="shared" si="5"/>
        <v>1105747.7895434035</v>
      </c>
      <c r="F76" s="32">
        <f t="shared" si="5"/>
        <v>1067145.2965755991</v>
      </c>
      <c r="G76" s="32">
        <f t="shared" si="5"/>
        <v>823655.22250967636</v>
      </c>
      <c r="H76" s="32">
        <f t="shared" si="5"/>
        <v>493105.22464073478</v>
      </c>
      <c r="I76" s="32">
        <f t="shared" si="5"/>
        <v>139096.32628267098</v>
      </c>
      <c r="J76" s="32">
        <f t="shared" si="5"/>
        <v>193208.10170940071</v>
      </c>
      <c r="K76" s="32">
        <f t="shared" si="5"/>
        <v>339742.93861875345</v>
      </c>
      <c r="L76" s="32">
        <f t="shared" si="5"/>
        <v>211308.82024513933</v>
      </c>
      <c r="M76" s="32">
        <f t="shared" si="5"/>
        <v>189324.93370495123</v>
      </c>
      <c r="N76" s="32">
        <f t="shared" si="5"/>
        <v>120066.64607219353</v>
      </c>
      <c r="O76" s="32">
        <f t="shared" si="5"/>
        <v>107176.29326232451</v>
      </c>
      <c r="P76" s="32">
        <f t="shared" si="5"/>
        <v>70404.560996554603</v>
      </c>
      <c r="Q76" s="32">
        <f t="shared" si="5"/>
        <v>76190.57917556155</v>
      </c>
      <c r="R76" s="32">
        <f t="shared" si="5"/>
        <v>43308.574750561886</v>
      </c>
      <c r="S76" s="32">
        <f t="shared" si="5"/>
        <v>60686.291997281434</v>
      </c>
      <c r="T76" s="32">
        <f t="shared" si="5"/>
        <v>43659.356290171054</v>
      </c>
      <c r="U76" s="32">
        <f t="shared" si="5"/>
        <v>28177.834061961414</v>
      </c>
      <c r="V76" s="32">
        <f t="shared" si="5"/>
        <v>16279.980536716273</v>
      </c>
      <c r="W76" s="32">
        <f t="shared" si="5"/>
        <v>16918.432211474508</v>
      </c>
      <c r="X76" s="32">
        <f t="shared" si="5"/>
        <v>24438.161998445801</v>
      </c>
      <c r="Y76" s="32">
        <f t="shared" si="5"/>
        <v>19585.116941248561</v>
      </c>
      <c r="Z76" s="32">
        <f t="shared" si="5"/>
        <v>12174.14439456012</v>
      </c>
      <c r="AA76" s="32">
        <f t="shared" si="5"/>
        <v>10478.195593828143</v>
      </c>
    </row>
    <row r="77" spans="1:27" x14ac:dyDescent="0.2">
      <c r="A77" s="5"/>
      <c r="B77" s="32">
        <f>_xlfn.COVARIANCE.P($G$2:$G$66,B$2:B$66)</f>
        <v>2661300.9201714909</v>
      </c>
      <c r="C77" s="32">
        <f t="shared" ref="C77:AA77" si="6">_xlfn.COVARIANCE.P($G$2:$G$66,C$2:C$66)</f>
        <v>2167450.9630426755</v>
      </c>
      <c r="D77" s="32">
        <f t="shared" si="6"/>
        <v>2737753.8719056933</v>
      </c>
      <c r="E77" s="32">
        <f t="shared" si="6"/>
        <v>1447897.1508068983</v>
      </c>
      <c r="F77" s="32">
        <f t="shared" si="6"/>
        <v>823655.22250967636</v>
      </c>
      <c r="G77" s="32">
        <f t="shared" si="6"/>
        <v>1923919.3428509934</v>
      </c>
      <c r="H77" s="32">
        <f t="shared" si="6"/>
        <v>973646.26569824805</v>
      </c>
      <c r="I77" s="32">
        <f t="shared" si="6"/>
        <v>368335.51191643381</v>
      </c>
      <c r="J77" s="32">
        <f t="shared" si="6"/>
        <v>450326.74631307722</v>
      </c>
      <c r="K77" s="32">
        <f t="shared" si="6"/>
        <v>566289.99245057616</v>
      </c>
      <c r="L77" s="32">
        <f t="shared" si="6"/>
        <v>341064.0407150606</v>
      </c>
      <c r="M77" s="32">
        <f t="shared" si="6"/>
        <v>348504.2198859441</v>
      </c>
      <c r="N77" s="32">
        <f t="shared" si="6"/>
        <v>345877.24696819048</v>
      </c>
      <c r="O77" s="32">
        <f t="shared" si="6"/>
        <v>193401.01191081337</v>
      </c>
      <c r="P77" s="32">
        <f t="shared" si="6"/>
        <v>55621.932314103215</v>
      </c>
      <c r="Q77" s="32">
        <f t="shared" si="6"/>
        <v>116902.05428183745</v>
      </c>
      <c r="R77" s="32">
        <f t="shared" si="6"/>
        <v>108816.07090760878</v>
      </c>
      <c r="S77" s="32">
        <f t="shared" si="6"/>
        <v>123246.32193812889</v>
      </c>
      <c r="T77" s="32">
        <f t="shared" si="6"/>
        <v>87009.448280684883</v>
      </c>
      <c r="U77" s="32">
        <f t="shared" si="6"/>
        <v>42637.458309697999</v>
      </c>
      <c r="V77" s="32">
        <f t="shared" si="6"/>
        <v>21471.389913487525</v>
      </c>
      <c r="W77" s="32">
        <f t="shared" si="6"/>
        <v>29068.296464436382</v>
      </c>
      <c r="X77" s="32">
        <f t="shared" si="6"/>
        <v>37285.496480323942</v>
      </c>
      <c r="Y77" s="32">
        <f t="shared" si="6"/>
        <v>41468.108602604065</v>
      </c>
      <c r="Z77" s="32">
        <f t="shared" si="6"/>
        <v>19959.149515752728</v>
      </c>
      <c r="AA77" s="32">
        <f t="shared" si="6"/>
        <v>22485.811301228103</v>
      </c>
    </row>
    <row r="78" spans="1:27" x14ac:dyDescent="0.2">
      <c r="A78" s="5"/>
      <c r="B78" s="32">
        <f>_xlfn.COVARIANCE.P($H$2:$H$66,B$2:B$66)</f>
        <v>2540831.8535654373</v>
      </c>
      <c r="C78" s="32">
        <f t="shared" ref="C78:AA78" si="7">_xlfn.COVARIANCE.P($H$2:$H$66,C$2:C$66)</f>
        <v>901111.30806064338</v>
      </c>
      <c r="D78" s="32">
        <f t="shared" si="7"/>
        <v>1568079.6008899354</v>
      </c>
      <c r="E78" s="32">
        <f t="shared" si="7"/>
        <v>652531.9136620037</v>
      </c>
      <c r="F78" s="32">
        <f t="shared" si="7"/>
        <v>493105.22464073478</v>
      </c>
      <c r="G78" s="32">
        <f t="shared" si="7"/>
        <v>973646.26569824805</v>
      </c>
      <c r="H78" s="32">
        <f t="shared" si="7"/>
        <v>1024822.8432006947</v>
      </c>
      <c r="I78" s="32">
        <f t="shared" si="7"/>
        <v>149172.86550168146</v>
      </c>
      <c r="J78" s="32">
        <f t="shared" si="7"/>
        <v>172994.68037193935</v>
      </c>
      <c r="K78" s="32">
        <f t="shared" si="7"/>
        <v>305402.55375123804</v>
      </c>
      <c r="L78" s="32">
        <f t="shared" si="7"/>
        <v>182053.29513946961</v>
      </c>
      <c r="M78" s="32">
        <f t="shared" si="7"/>
        <v>171924.6466452904</v>
      </c>
      <c r="N78" s="32">
        <f t="shared" si="7"/>
        <v>159808.84143994201</v>
      </c>
      <c r="O78" s="32">
        <f t="shared" si="7"/>
        <v>94802.312888313987</v>
      </c>
      <c r="P78" s="32">
        <f t="shared" si="7"/>
        <v>27799.011898531407</v>
      </c>
      <c r="Q78" s="32">
        <f t="shared" si="7"/>
        <v>81876.531246654951</v>
      </c>
      <c r="R78" s="32">
        <f t="shared" si="7"/>
        <v>62330.985047003211</v>
      </c>
      <c r="S78" s="32">
        <f t="shared" si="7"/>
        <v>70092.800929681936</v>
      </c>
      <c r="T78" s="32">
        <f t="shared" si="7"/>
        <v>47251.346817618301</v>
      </c>
      <c r="U78" s="32">
        <f t="shared" si="7"/>
        <v>16889.2792585592</v>
      </c>
      <c r="V78" s="32">
        <f t="shared" si="7"/>
        <v>2971.3137376453042</v>
      </c>
      <c r="W78" s="32">
        <f t="shared" si="7"/>
        <v>15400.162898853736</v>
      </c>
      <c r="X78" s="32">
        <f t="shared" si="7"/>
        <v>15103.4887359316</v>
      </c>
      <c r="Y78" s="32">
        <f t="shared" si="7"/>
        <v>20162.547346914635</v>
      </c>
      <c r="Z78" s="32">
        <f t="shared" si="7"/>
        <v>12367.559535684277</v>
      </c>
      <c r="AA78" s="32">
        <f t="shared" si="7"/>
        <v>8234.6476375444636</v>
      </c>
    </row>
    <row r="79" spans="1:27" x14ac:dyDescent="0.2">
      <c r="A79" s="5"/>
      <c r="B79" s="32">
        <f>_xlfn.COVARIANCE.P($I$2:$I$66,B$2:B$66)</f>
        <v>294327.82774204185</v>
      </c>
      <c r="C79" s="32">
        <f t="shared" ref="C79:AA79" si="8">_xlfn.COVARIANCE.P($I$2:$I$66,C$2:C$66)</f>
        <v>448740.64819987089</v>
      </c>
      <c r="D79" s="32">
        <f t="shared" si="8"/>
        <v>522605.4896498411</v>
      </c>
      <c r="E79" s="32">
        <f t="shared" si="8"/>
        <v>260480.28727929425</v>
      </c>
      <c r="F79" s="32">
        <f t="shared" si="8"/>
        <v>139096.32628267098</v>
      </c>
      <c r="G79" s="32">
        <f t="shared" si="8"/>
        <v>368335.51191643381</v>
      </c>
      <c r="H79" s="32">
        <f t="shared" si="8"/>
        <v>149172.86550168146</v>
      </c>
      <c r="I79" s="32">
        <f t="shared" si="8"/>
        <v>98611.355930806705</v>
      </c>
      <c r="J79" s="32">
        <f t="shared" si="8"/>
        <v>97441.360748657855</v>
      </c>
      <c r="K79" s="32">
        <f t="shared" si="8"/>
        <v>103649.56642361755</v>
      </c>
      <c r="L79" s="32">
        <f t="shared" si="8"/>
        <v>57391.887223385216</v>
      </c>
      <c r="M79" s="32">
        <f t="shared" si="8"/>
        <v>75663.479778706751</v>
      </c>
      <c r="N79" s="32">
        <f t="shared" si="8"/>
        <v>67553.461936675871</v>
      </c>
      <c r="O79" s="32">
        <f t="shared" si="8"/>
        <v>35714.769110241781</v>
      </c>
      <c r="P79" s="32">
        <f t="shared" si="8"/>
        <v>8151.3902051781124</v>
      </c>
      <c r="Q79" s="32">
        <f t="shared" si="8"/>
        <v>20625.184487287399</v>
      </c>
      <c r="R79" s="32">
        <f t="shared" si="8"/>
        <v>18522.137112688528</v>
      </c>
      <c r="S79" s="32">
        <f t="shared" si="8"/>
        <v>24304.980828476746</v>
      </c>
      <c r="T79" s="32">
        <f t="shared" si="8"/>
        <v>15284.971198591709</v>
      </c>
      <c r="U79" s="32">
        <f t="shared" si="8"/>
        <v>8684.4459141497809</v>
      </c>
      <c r="V79" s="32">
        <f t="shared" si="8"/>
        <v>4643.9315822265617</v>
      </c>
      <c r="W79" s="32">
        <f t="shared" si="8"/>
        <v>5170.0408000648358</v>
      </c>
      <c r="X79" s="32">
        <f t="shared" si="8"/>
        <v>7213.8609166790902</v>
      </c>
      <c r="Y79" s="32">
        <f t="shared" si="8"/>
        <v>8260.0757248307273</v>
      </c>
      <c r="Z79" s="32">
        <f t="shared" si="8"/>
        <v>3217.7585487017532</v>
      </c>
      <c r="AA79" s="32">
        <f t="shared" si="8"/>
        <v>4253.0195270842205</v>
      </c>
    </row>
    <row r="80" spans="1:27" x14ac:dyDescent="0.2">
      <c r="A80" s="5"/>
      <c r="B80" s="32">
        <f>_xlfn.COVARIANCE.P($J$2:$J$66,B$2:B$66)</f>
        <v>236120.48976102824</v>
      </c>
      <c r="C80" s="32">
        <f t="shared" ref="C80:AA80" si="9">_xlfn.COVARIANCE.P($J$2:$J$66,C$2:C$66)</f>
        <v>491612.34153238795</v>
      </c>
      <c r="D80" s="32">
        <f t="shared" si="9"/>
        <v>646010.72018661222</v>
      </c>
      <c r="E80" s="32">
        <f t="shared" si="9"/>
        <v>313024.61769799469</v>
      </c>
      <c r="F80" s="32">
        <f t="shared" si="9"/>
        <v>193208.10170940071</v>
      </c>
      <c r="G80" s="32">
        <f t="shared" si="9"/>
        <v>450326.74631307722</v>
      </c>
      <c r="H80" s="32">
        <f t="shared" si="9"/>
        <v>172994.68037193935</v>
      </c>
      <c r="I80" s="32">
        <f t="shared" si="9"/>
        <v>97441.360748657855</v>
      </c>
      <c r="J80" s="32">
        <f t="shared" si="9"/>
        <v>206999.71488858209</v>
      </c>
      <c r="K80" s="32">
        <f t="shared" si="9"/>
        <v>136672.39992084418</v>
      </c>
      <c r="L80" s="32">
        <f t="shared" si="9"/>
        <v>74913.584105124188</v>
      </c>
      <c r="M80" s="32">
        <f t="shared" si="9"/>
        <v>75365.529529970081</v>
      </c>
      <c r="N80" s="32">
        <f t="shared" si="9"/>
        <v>87292.984452768811</v>
      </c>
      <c r="O80" s="32">
        <f t="shared" si="9"/>
        <v>40942.068467008627</v>
      </c>
      <c r="P80" s="32">
        <f t="shared" si="9"/>
        <v>14893.336688804053</v>
      </c>
      <c r="Q80" s="32">
        <f t="shared" si="9"/>
        <v>20699.597757578966</v>
      </c>
      <c r="R80" s="32">
        <f t="shared" si="9"/>
        <v>19629.899292500977</v>
      </c>
      <c r="S80" s="32">
        <f t="shared" si="9"/>
        <v>27002.789311544759</v>
      </c>
      <c r="T80" s="32">
        <f t="shared" si="9"/>
        <v>17014.660070732203</v>
      </c>
      <c r="U80" s="32">
        <f t="shared" si="9"/>
        <v>8810.5590062528918</v>
      </c>
      <c r="V80" s="32">
        <f t="shared" si="9"/>
        <v>6737.5668566313616</v>
      </c>
      <c r="W80" s="32">
        <f t="shared" si="9"/>
        <v>6175.1929052570486</v>
      </c>
      <c r="X80" s="32">
        <f t="shared" si="9"/>
        <v>8169.9023758781304</v>
      </c>
      <c r="Y80" s="32">
        <f t="shared" si="9"/>
        <v>8397.9204657749651</v>
      </c>
      <c r="Z80" s="32">
        <f t="shared" si="9"/>
        <v>2944.1606338014794</v>
      </c>
      <c r="AA80" s="32">
        <f t="shared" si="9"/>
        <v>4796.6202823588756</v>
      </c>
    </row>
    <row r="81" spans="1:27" x14ac:dyDescent="0.2">
      <c r="A81" s="5"/>
      <c r="B81" s="32">
        <f>_xlfn.COVARIANCE.P($K$2:$K$66,B$2:B$66)</f>
        <v>1090720.4005557629</v>
      </c>
      <c r="C81" s="32">
        <f t="shared" ref="C81:AA81" si="10">_xlfn.COVARIANCE.P($K$2:$K$66,C$2:C$66)</f>
        <v>665965.88030697964</v>
      </c>
      <c r="D81" s="32">
        <f t="shared" si="10"/>
        <v>806527.25863436854</v>
      </c>
      <c r="E81" s="32">
        <f t="shared" si="10"/>
        <v>462874.75055925723</v>
      </c>
      <c r="F81" s="32">
        <f t="shared" si="10"/>
        <v>339742.93861875345</v>
      </c>
      <c r="G81" s="32">
        <f t="shared" si="10"/>
        <v>566289.99245057616</v>
      </c>
      <c r="H81" s="32">
        <f t="shared" si="10"/>
        <v>305402.55375123804</v>
      </c>
      <c r="I81" s="32">
        <f t="shared" si="10"/>
        <v>103649.56642361755</v>
      </c>
      <c r="J81" s="32">
        <f t="shared" si="10"/>
        <v>136672.39992084418</v>
      </c>
      <c r="K81" s="32">
        <f t="shared" si="10"/>
        <v>248286.63181577504</v>
      </c>
      <c r="L81" s="32">
        <f t="shared" si="10"/>
        <v>120630.43224477953</v>
      </c>
      <c r="M81" s="32">
        <f t="shared" si="10"/>
        <v>101910.74244725627</v>
      </c>
      <c r="N81" s="32">
        <f t="shared" si="10"/>
        <v>94749.7673917598</v>
      </c>
      <c r="O81" s="32">
        <f t="shared" si="10"/>
        <v>67604.119264065754</v>
      </c>
      <c r="P81" s="32">
        <f t="shared" si="10"/>
        <v>23037.883992030133</v>
      </c>
      <c r="Q81" s="32">
        <f t="shared" si="10"/>
        <v>43405.815240442957</v>
      </c>
      <c r="R81" s="32">
        <f t="shared" si="10"/>
        <v>40770.141566840415</v>
      </c>
      <c r="S81" s="32">
        <f t="shared" si="10"/>
        <v>37608.428377506585</v>
      </c>
      <c r="T81" s="32">
        <f t="shared" si="10"/>
        <v>27726.791252392915</v>
      </c>
      <c r="U81" s="32">
        <f t="shared" si="10"/>
        <v>15977.50709727363</v>
      </c>
      <c r="V81" s="32">
        <f t="shared" si="10"/>
        <v>10732.99235419662</v>
      </c>
      <c r="W81" s="32">
        <f t="shared" si="10"/>
        <v>9917.424592463969</v>
      </c>
      <c r="X81" s="32">
        <f t="shared" si="10"/>
        <v>12203.34330285322</v>
      </c>
      <c r="Y81" s="32">
        <f t="shared" si="10"/>
        <v>14540.858343327243</v>
      </c>
      <c r="Z81" s="32">
        <f t="shared" si="10"/>
        <v>7203.353475049762</v>
      </c>
      <c r="AA81" s="32">
        <f t="shared" si="10"/>
        <v>5977.947858157454</v>
      </c>
    </row>
    <row r="82" spans="1:27" x14ac:dyDescent="0.2">
      <c r="A82" s="5"/>
      <c r="B82" s="32">
        <f>_xlfn.COVARIANCE.P($L$2:$L$66,B$2:B$66)</f>
        <v>734596.37791393627</v>
      </c>
      <c r="C82" s="32">
        <f t="shared" ref="C82:AA82" si="11">_xlfn.COVARIANCE.P($L$2:$L$66,C$2:C$66)</f>
        <v>404823.96514962334</v>
      </c>
      <c r="D82" s="32">
        <f t="shared" si="11"/>
        <v>503186.02800670051</v>
      </c>
      <c r="E82" s="32">
        <f t="shared" si="11"/>
        <v>301019.35800591507</v>
      </c>
      <c r="F82" s="32">
        <f t="shared" si="11"/>
        <v>211308.82024513933</v>
      </c>
      <c r="G82" s="32">
        <f t="shared" si="11"/>
        <v>341064.0407150606</v>
      </c>
      <c r="H82" s="32">
        <f t="shared" si="11"/>
        <v>182053.29513946961</v>
      </c>
      <c r="I82" s="32">
        <f t="shared" si="11"/>
        <v>57391.887223385216</v>
      </c>
      <c r="J82" s="32">
        <f t="shared" si="11"/>
        <v>74913.584105124188</v>
      </c>
      <c r="K82" s="32">
        <f t="shared" si="11"/>
        <v>120630.43224477953</v>
      </c>
      <c r="L82" s="32">
        <f t="shared" si="11"/>
        <v>86161.996703546611</v>
      </c>
      <c r="M82" s="32">
        <f t="shared" si="11"/>
        <v>63393.308280700563</v>
      </c>
      <c r="N82" s="32">
        <f t="shared" si="11"/>
        <v>57184.350282020576</v>
      </c>
      <c r="O82" s="32">
        <f t="shared" si="11"/>
        <v>41439.79691028002</v>
      </c>
      <c r="P82" s="32">
        <f t="shared" si="11"/>
        <v>17065.323026787231</v>
      </c>
      <c r="Q82" s="32">
        <f t="shared" si="11"/>
        <v>28066.319955533228</v>
      </c>
      <c r="R82" s="32">
        <f t="shared" si="11"/>
        <v>26001.445428881863</v>
      </c>
      <c r="S82" s="32">
        <f t="shared" si="11"/>
        <v>25052.002874727368</v>
      </c>
      <c r="T82" s="32">
        <f t="shared" si="11"/>
        <v>17840.283764346124</v>
      </c>
      <c r="U82" s="32">
        <f t="shared" si="11"/>
        <v>10317.387271523499</v>
      </c>
      <c r="V82" s="32">
        <f t="shared" si="11"/>
        <v>5188.2995535285163</v>
      </c>
      <c r="W82" s="32">
        <f t="shared" si="11"/>
        <v>7050.6034808264321</v>
      </c>
      <c r="X82" s="32">
        <f t="shared" si="11"/>
        <v>8106.7956736385504</v>
      </c>
      <c r="Y82" s="32">
        <f t="shared" si="11"/>
        <v>7892.9320553561274</v>
      </c>
      <c r="Z82" s="32">
        <f t="shared" si="11"/>
        <v>4922.0663289793356</v>
      </c>
      <c r="AA82" s="32">
        <f t="shared" si="11"/>
        <v>4721.1097384397626</v>
      </c>
    </row>
    <row r="83" spans="1:27" x14ac:dyDescent="0.2">
      <c r="A83" s="5"/>
      <c r="B83" s="32">
        <f>_xlfn.COVARIANCE.P($M$2:$M$66,B$2:B$66)</f>
        <v>403759.8902609261</v>
      </c>
      <c r="C83" s="32">
        <f t="shared" ref="C83:AA83" si="12">_xlfn.COVARIANCE.P($M$2:$M$66,C$2:C$66)</f>
        <v>400262.9177413453</v>
      </c>
      <c r="D83" s="32">
        <f t="shared" si="12"/>
        <v>475495.62623169523</v>
      </c>
      <c r="E83" s="32">
        <f t="shared" si="12"/>
        <v>285098.34460700315</v>
      </c>
      <c r="F83" s="32">
        <f t="shared" si="12"/>
        <v>189324.93370495123</v>
      </c>
      <c r="G83" s="32">
        <f t="shared" si="12"/>
        <v>348504.2198859441</v>
      </c>
      <c r="H83" s="32">
        <f t="shared" si="12"/>
        <v>171924.6466452904</v>
      </c>
      <c r="I83" s="32">
        <f t="shared" si="12"/>
        <v>75663.479778706751</v>
      </c>
      <c r="J83" s="32">
        <f t="shared" si="12"/>
        <v>75365.529529970081</v>
      </c>
      <c r="K83" s="32">
        <f t="shared" si="12"/>
        <v>101910.74244725627</v>
      </c>
      <c r="L83" s="32">
        <f t="shared" si="12"/>
        <v>63393.308280700563</v>
      </c>
      <c r="M83" s="32">
        <f t="shared" si="12"/>
        <v>102902.91635285813</v>
      </c>
      <c r="N83" s="32">
        <f t="shared" si="12"/>
        <v>59817.140891057621</v>
      </c>
      <c r="O83" s="32">
        <f t="shared" si="12"/>
        <v>37958.558426776755</v>
      </c>
      <c r="P83" s="32">
        <f t="shared" si="12"/>
        <v>7646.3074337920907</v>
      </c>
      <c r="Q83" s="32">
        <f t="shared" si="12"/>
        <v>24164.320679281147</v>
      </c>
      <c r="R83" s="32">
        <f t="shared" si="12"/>
        <v>20888.051411692253</v>
      </c>
      <c r="S83" s="32">
        <f t="shared" si="12"/>
        <v>28948.442438060891</v>
      </c>
      <c r="T83" s="32">
        <f t="shared" si="12"/>
        <v>14813.683738268728</v>
      </c>
      <c r="U83" s="32">
        <f t="shared" si="12"/>
        <v>8870.0262120370826</v>
      </c>
      <c r="V83" s="32">
        <f t="shared" si="12"/>
        <v>4048.1427620306845</v>
      </c>
      <c r="W83" s="32">
        <f t="shared" si="12"/>
        <v>5640.8632310277862</v>
      </c>
      <c r="X83" s="32">
        <f t="shared" si="12"/>
        <v>7092.1162232853267</v>
      </c>
      <c r="Y83" s="32">
        <f t="shared" si="12"/>
        <v>7662.29763150288</v>
      </c>
      <c r="Z83" s="32">
        <f t="shared" si="12"/>
        <v>4255.1648661920408</v>
      </c>
      <c r="AA83" s="32">
        <f t="shared" si="12"/>
        <v>4673.02262223865</v>
      </c>
    </row>
    <row r="84" spans="1:27" x14ac:dyDescent="0.2">
      <c r="A84" s="5"/>
      <c r="B84" s="32">
        <f>_xlfn.COVARIANCE.P($N$2:$N$66,B$2:B$66)</f>
        <v>357398.74019669183</v>
      </c>
      <c r="C84" s="32">
        <f t="shared" ref="C84:AA84" si="13">_xlfn.COVARIANCE.P($N$2:$N$66,C$2:C$66)</f>
        <v>400208.52265130152</v>
      </c>
      <c r="D84" s="32">
        <f t="shared" si="13"/>
        <v>492682.84988090128</v>
      </c>
      <c r="E84" s="32">
        <f t="shared" si="13"/>
        <v>227531.17206911006</v>
      </c>
      <c r="F84" s="32">
        <f t="shared" si="13"/>
        <v>120066.64607219353</v>
      </c>
      <c r="G84" s="32">
        <f t="shared" si="13"/>
        <v>345877.24696819048</v>
      </c>
      <c r="H84" s="32">
        <f t="shared" si="13"/>
        <v>159808.84143994201</v>
      </c>
      <c r="I84" s="32">
        <f t="shared" si="13"/>
        <v>67553.461936675871</v>
      </c>
      <c r="J84" s="32">
        <f t="shared" si="13"/>
        <v>87292.984452768811</v>
      </c>
      <c r="K84" s="32">
        <f t="shared" si="13"/>
        <v>94749.7673917598</v>
      </c>
      <c r="L84" s="32">
        <f t="shared" si="13"/>
        <v>57184.350282020576</v>
      </c>
      <c r="M84" s="32">
        <f t="shared" si="13"/>
        <v>59817.140891057621</v>
      </c>
      <c r="N84" s="32">
        <f t="shared" si="13"/>
        <v>69039.357536017822</v>
      </c>
      <c r="O84" s="32">
        <f t="shared" si="13"/>
        <v>34453.343714490613</v>
      </c>
      <c r="P84" s="32">
        <f t="shared" si="13"/>
        <v>8369.889667205096</v>
      </c>
      <c r="Q84" s="32">
        <f t="shared" si="13"/>
        <v>18867.804916630012</v>
      </c>
      <c r="R84" s="32">
        <f t="shared" si="13"/>
        <v>19428.8193824552</v>
      </c>
      <c r="S84" s="32">
        <f t="shared" si="13"/>
        <v>20840.784172035383</v>
      </c>
      <c r="T84" s="32">
        <f t="shared" si="13"/>
        <v>15001.554654874442</v>
      </c>
      <c r="U84" s="32">
        <f t="shared" si="13"/>
        <v>7326.7345173303356</v>
      </c>
      <c r="V84" s="32">
        <f t="shared" si="13"/>
        <v>3477.2400820380803</v>
      </c>
      <c r="W84" s="32">
        <f t="shared" si="13"/>
        <v>5105.8563678436685</v>
      </c>
      <c r="X84" s="32">
        <f t="shared" si="13"/>
        <v>6141.9949614800416</v>
      </c>
      <c r="Y84" s="32">
        <f t="shared" si="13"/>
        <v>6930.0222645462736</v>
      </c>
      <c r="Z84" s="32">
        <f t="shared" si="13"/>
        <v>3069.4233245581877</v>
      </c>
      <c r="AA84" s="32">
        <f t="shared" si="13"/>
        <v>4186.0586429458808</v>
      </c>
    </row>
    <row r="85" spans="1:27" x14ac:dyDescent="0.2">
      <c r="A85" s="5"/>
      <c r="B85" s="32">
        <f>_xlfn.COVARIANCE.P($O$2:$O$66,B$2:B$66)</f>
        <v>319083.16688627622</v>
      </c>
      <c r="C85" s="32">
        <f t="shared" ref="C85:AA85" si="14">_xlfn.COVARIANCE.P($O$2:$O$66,C$2:C$66)</f>
        <v>237026.02008657373</v>
      </c>
      <c r="D85" s="32">
        <f t="shared" si="14"/>
        <v>276517.36371651973</v>
      </c>
      <c r="E85" s="32">
        <f t="shared" si="14"/>
        <v>154529.98860734259</v>
      </c>
      <c r="F85" s="32">
        <f t="shared" si="14"/>
        <v>107176.29326232451</v>
      </c>
      <c r="G85" s="32">
        <f t="shared" si="14"/>
        <v>193401.01191081337</v>
      </c>
      <c r="H85" s="32">
        <f t="shared" si="14"/>
        <v>94802.312888313987</v>
      </c>
      <c r="I85" s="32">
        <f t="shared" si="14"/>
        <v>35714.769110241781</v>
      </c>
      <c r="J85" s="32">
        <f t="shared" si="14"/>
        <v>40942.068467008627</v>
      </c>
      <c r="K85" s="32">
        <f t="shared" si="14"/>
        <v>67604.119264065754</v>
      </c>
      <c r="L85" s="32">
        <f t="shared" si="14"/>
        <v>41439.79691028002</v>
      </c>
      <c r="M85" s="32">
        <f t="shared" si="14"/>
        <v>37958.558426776755</v>
      </c>
      <c r="N85" s="32">
        <f t="shared" si="14"/>
        <v>34453.343714490613</v>
      </c>
      <c r="O85" s="32">
        <f t="shared" si="14"/>
        <v>24516.862266141896</v>
      </c>
      <c r="P85" s="32">
        <f t="shared" si="14"/>
        <v>7153.3410404401729</v>
      </c>
      <c r="Q85" s="32">
        <f t="shared" si="14"/>
        <v>15358.658172471693</v>
      </c>
      <c r="R85" s="32">
        <f t="shared" si="14"/>
        <v>14190.952949825876</v>
      </c>
      <c r="S85" s="32">
        <f t="shared" si="14"/>
        <v>13764.129438880289</v>
      </c>
      <c r="T85" s="32">
        <f t="shared" si="14"/>
        <v>9826.8724679813731</v>
      </c>
      <c r="U85" s="32">
        <f t="shared" si="14"/>
        <v>5644.0234649473259</v>
      </c>
      <c r="V85" s="32">
        <f t="shared" si="14"/>
        <v>2989.9351633388869</v>
      </c>
      <c r="W85" s="32">
        <f t="shared" si="14"/>
        <v>3688.6969317657399</v>
      </c>
      <c r="X85" s="32">
        <f t="shared" si="14"/>
        <v>4047.5854204154662</v>
      </c>
      <c r="Y85" s="32">
        <f t="shared" si="14"/>
        <v>4523.8718532929124</v>
      </c>
      <c r="Z85" s="32">
        <f t="shared" si="14"/>
        <v>2454.2968410144067</v>
      </c>
      <c r="AA85" s="32">
        <f t="shared" si="14"/>
        <v>2554.2076791992395</v>
      </c>
    </row>
    <row r="86" spans="1:27" x14ac:dyDescent="0.2">
      <c r="A86" s="5"/>
      <c r="B86" s="32">
        <f>_xlfn.COVARIANCE.P($P$2:$P$66,B$2:B$66)</f>
        <v>224053.25659839078</v>
      </c>
      <c r="C86" s="32">
        <f t="shared" ref="C86:AA86" si="15">_xlfn.COVARIANCE.P($P$2:$P$66,C$2:C$66)</f>
        <v>45579.008428782348</v>
      </c>
      <c r="D86" s="32">
        <f t="shared" si="15"/>
        <v>89396.742424573604</v>
      </c>
      <c r="E86" s="32">
        <f t="shared" si="15"/>
        <v>101455.44247932817</v>
      </c>
      <c r="F86" s="32">
        <f t="shared" si="15"/>
        <v>70404.560996554603</v>
      </c>
      <c r="G86" s="32">
        <f t="shared" si="15"/>
        <v>55621.932314103215</v>
      </c>
      <c r="H86" s="32">
        <f t="shared" si="15"/>
        <v>27799.011898531407</v>
      </c>
      <c r="I86" s="32">
        <f t="shared" si="15"/>
        <v>8151.3902051781124</v>
      </c>
      <c r="J86" s="32">
        <f t="shared" si="15"/>
        <v>14893.336688804053</v>
      </c>
      <c r="K86" s="32">
        <f t="shared" si="15"/>
        <v>23037.883992030133</v>
      </c>
      <c r="L86" s="32">
        <f t="shared" si="15"/>
        <v>17065.323026787231</v>
      </c>
      <c r="M86" s="32">
        <f t="shared" si="15"/>
        <v>7646.3074337920907</v>
      </c>
      <c r="N86" s="32">
        <f t="shared" si="15"/>
        <v>8369.889667205096</v>
      </c>
      <c r="O86" s="32">
        <f t="shared" si="15"/>
        <v>7153.3410404401729</v>
      </c>
      <c r="P86" s="32">
        <f t="shared" si="15"/>
        <v>21516.316441496103</v>
      </c>
      <c r="Q86" s="32">
        <f t="shared" si="15"/>
        <v>4677.3724021310845</v>
      </c>
      <c r="R86" s="32">
        <f t="shared" si="15"/>
        <v>2313.6059719074733</v>
      </c>
      <c r="S86" s="32">
        <f t="shared" si="15"/>
        <v>2948.3432148377137</v>
      </c>
      <c r="T86" s="32">
        <f t="shared" si="15"/>
        <v>3731.9633574276572</v>
      </c>
      <c r="U86" s="32">
        <f t="shared" si="15"/>
        <v>2012.3597538063641</v>
      </c>
      <c r="V86" s="32">
        <f t="shared" si="15"/>
        <v>1600.0370307424082</v>
      </c>
      <c r="W86" s="32">
        <f t="shared" si="15"/>
        <v>786.0519094262919</v>
      </c>
      <c r="X86" s="32">
        <f t="shared" si="15"/>
        <v>2030.5228523975381</v>
      </c>
      <c r="Y86" s="32">
        <f t="shared" si="15"/>
        <v>898.11665001049187</v>
      </c>
      <c r="Z86" s="32">
        <f t="shared" si="15"/>
        <v>447.50660805690154</v>
      </c>
      <c r="AA86" s="32">
        <f t="shared" si="15"/>
        <v>499.5488432369574</v>
      </c>
    </row>
    <row r="87" spans="1:27" x14ac:dyDescent="0.2">
      <c r="A87" s="5"/>
      <c r="B87" s="32">
        <f>_xlfn.COVARIANCE.P($Q$2:$Q$66,B$2:B$66)</f>
        <v>286324.23253133334</v>
      </c>
      <c r="C87" s="32">
        <f t="shared" ref="C87:AA87" si="16">_xlfn.COVARIANCE.P($Q$2:$Q$66,C$2:C$66)</f>
        <v>143566.04118771057</v>
      </c>
      <c r="D87" s="32">
        <f t="shared" si="16"/>
        <v>181544.27896506744</v>
      </c>
      <c r="E87" s="32">
        <f t="shared" si="16"/>
        <v>85826.387358005493</v>
      </c>
      <c r="F87" s="32">
        <f t="shared" si="16"/>
        <v>76190.57917556155</v>
      </c>
      <c r="G87" s="32">
        <f t="shared" si="16"/>
        <v>116902.05428183745</v>
      </c>
      <c r="H87" s="32">
        <f t="shared" si="16"/>
        <v>81876.531246654951</v>
      </c>
      <c r="I87" s="32">
        <f t="shared" si="16"/>
        <v>20625.184487287399</v>
      </c>
      <c r="J87" s="32">
        <f t="shared" si="16"/>
        <v>20699.597757578966</v>
      </c>
      <c r="K87" s="32">
        <f t="shared" si="16"/>
        <v>43405.815240442957</v>
      </c>
      <c r="L87" s="32">
        <f t="shared" si="16"/>
        <v>28066.319955533228</v>
      </c>
      <c r="M87" s="32">
        <f t="shared" si="16"/>
        <v>24164.320679281147</v>
      </c>
      <c r="N87" s="32">
        <f t="shared" si="16"/>
        <v>18867.804916630012</v>
      </c>
      <c r="O87" s="32">
        <f t="shared" si="16"/>
        <v>15358.658172471693</v>
      </c>
      <c r="P87" s="32">
        <f t="shared" si="16"/>
        <v>4677.3724021310845</v>
      </c>
      <c r="Q87" s="32">
        <f t="shared" si="16"/>
        <v>15462.947932513083</v>
      </c>
      <c r="R87" s="32">
        <f t="shared" si="16"/>
        <v>11139.166635372994</v>
      </c>
      <c r="S87" s="32">
        <f t="shared" si="16"/>
        <v>10712.037060551098</v>
      </c>
      <c r="T87" s="32">
        <f t="shared" si="16"/>
        <v>6494.9556161113542</v>
      </c>
      <c r="U87" s="32">
        <f t="shared" si="16"/>
        <v>3885.4166557014678</v>
      </c>
      <c r="V87" s="32">
        <f t="shared" si="16"/>
        <v>1338.76204339438</v>
      </c>
      <c r="W87" s="32">
        <f t="shared" si="16"/>
        <v>2652.5311173361565</v>
      </c>
      <c r="X87" s="32">
        <f t="shared" si="16"/>
        <v>2237.6321903379867</v>
      </c>
      <c r="Y87" s="32">
        <f t="shared" si="16"/>
        <v>2950.8232369730931</v>
      </c>
      <c r="Z87" s="32">
        <f t="shared" si="16"/>
        <v>1824.861829997159</v>
      </c>
      <c r="AA87" s="32">
        <f t="shared" si="16"/>
        <v>1502.8874245083111</v>
      </c>
    </row>
    <row r="88" spans="1:27" x14ac:dyDescent="0.2">
      <c r="A88" s="5"/>
      <c r="B88" s="32">
        <f>_xlfn.COVARIANCE.P($R$2:$R$66,B$2:B$66)</f>
        <v>176488.23875000008</v>
      </c>
      <c r="C88" s="32">
        <f t="shared" ref="C88:AA88" si="17">_xlfn.COVARIANCE.P($R$2:$R$66,C$2:C$66)</f>
        <v>140047.60917677218</v>
      </c>
      <c r="D88" s="32">
        <f t="shared" si="17"/>
        <v>157791.92756627672</v>
      </c>
      <c r="E88" s="32">
        <f t="shared" si="17"/>
        <v>61215.155148125101</v>
      </c>
      <c r="F88" s="32">
        <f t="shared" si="17"/>
        <v>43308.574750561886</v>
      </c>
      <c r="G88" s="32">
        <f t="shared" si="17"/>
        <v>108816.07090760878</v>
      </c>
      <c r="H88" s="32">
        <f t="shared" si="17"/>
        <v>62330.985047003211</v>
      </c>
      <c r="I88" s="32">
        <f t="shared" si="17"/>
        <v>18522.137112688528</v>
      </c>
      <c r="J88" s="32">
        <f t="shared" si="17"/>
        <v>19629.899292500977</v>
      </c>
      <c r="K88" s="32">
        <f t="shared" si="17"/>
        <v>40770.141566840415</v>
      </c>
      <c r="L88" s="32">
        <f t="shared" si="17"/>
        <v>26001.445428881863</v>
      </c>
      <c r="M88" s="32">
        <f t="shared" si="17"/>
        <v>20888.051411692253</v>
      </c>
      <c r="N88" s="32">
        <f t="shared" si="17"/>
        <v>19428.8193824552</v>
      </c>
      <c r="O88" s="32">
        <f t="shared" si="17"/>
        <v>14190.952949825876</v>
      </c>
      <c r="P88" s="32">
        <f t="shared" si="17"/>
        <v>2313.6059719074733</v>
      </c>
      <c r="Q88" s="32">
        <f t="shared" si="17"/>
        <v>11139.166635372994</v>
      </c>
      <c r="R88" s="32">
        <f t="shared" si="17"/>
        <v>11589.748057012686</v>
      </c>
      <c r="S88" s="32">
        <f t="shared" si="17"/>
        <v>9091.0005658476766</v>
      </c>
      <c r="T88" s="32">
        <f t="shared" si="17"/>
        <v>5737.5338030828734</v>
      </c>
      <c r="U88" s="32">
        <f t="shared" si="17"/>
        <v>3592.0756953995292</v>
      </c>
      <c r="V88" s="32">
        <f t="shared" si="17"/>
        <v>1436.9018107218817</v>
      </c>
      <c r="W88" s="32">
        <f t="shared" si="17"/>
        <v>2429.5109276712792</v>
      </c>
      <c r="X88" s="32">
        <f t="shared" si="17"/>
        <v>1808.7489104557656</v>
      </c>
      <c r="Y88" s="32">
        <f t="shared" si="17"/>
        <v>2718.1385934046766</v>
      </c>
      <c r="Z88" s="32">
        <f t="shared" si="17"/>
        <v>1569.0750034111591</v>
      </c>
      <c r="AA88" s="32">
        <f t="shared" si="17"/>
        <v>1476.2230804284418</v>
      </c>
    </row>
    <row r="89" spans="1:27" x14ac:dyDescent="0.2">
      <c r="A89" s="5"/>
      <c r="B89" s="32">
        <f>_xlfn.COVARIANCE.P($S$2:$S$66,B$2:B$66)</f>
        <v>187532.26116439427</v>
      </c>
      <c r="C89" s="32">
        <f t="shared" ref="C89:AA89" si="18">_xlfn.COVARIANCE.P($S$2:$S$66,C$2:C$66)</f>
        <v>147223.09689465896</v>
      </c>
      <c r="D89" s="32">
        <f t="shared" si="18"/>
        <v>180344.18226460268</v>
      </c>
      <c r="E89" s="32">
        <f t="shared" si="18"/>
        <v>87037.905410520718</v>
      </c>
      <c r="F89" s="32">
        <f t="shared" si="18"/>
        <v>60686.291997281434</v>
      </c>
      <c r="G89" s="32">
        <f t="shared" si="18"/>
        <v>123246.32193812889</v>
      </c>
      <c r="H89" s="32">
        <f t="shared" si="18"/>
        <v>70092.800929681936</v>
      </c>
      <c r="I89" s="32">
        <f t="shared" si="18"/>
        <v>24304.980828476746</v>
      </c>
      <c r="J89" s="32">
        <f t="shared" si="18"/>
        <v>27002.789311544759</v>
      </c>
      <c r="K89" s="32">
        <f t="shared" si="18"/>
        <v>37608.428377506585</v>
      </c>
      <c r="L89" s="32">
        <f t="shared" si="18"/>
        <v>25052.002874727368</v>
      </c>
      <c r="M89" s="32">
        <f t="shared" si="18"/>
        <v>28948.442438060891</v>
      </c>
      <c r="N89" s="32">
        <f t="shared" si="18"/>
        <v>20840.784172035383</v>
      </c>
      <c r="O89" s="32">
        <f t="shared" si="18"/>
        <v>13764.129438880289</v>
      </c>
      <c r="P89" s="32">
        <f t="shared" si="18"/>
        <v>2948.3432148377137</v>
      </c>
      <c r="Q89" s="32">
        <f t="shared" si="18"/>
        <v>10712.037060551098</v>
      </c>
      <c r="R89" s="32">
        <f t="shared" si="18"/>
        <v>9091.0005658476766</v>
      </c>
      <c r="S89" s="32">
        <f t="shared" si="18"/>
        <v>11477.835902522833</v>
      </c>
      <c r="T89" s="32">
        <f t="shared" si="18"/>
        <v>5920.5573450058373</v>
      </c>
      <c r="U89" s="32">
        <f t="shared" si="18"/>
        <v>3315.3516461770791</v>
      </c>
      <c r="V89" s="32">
        <f t="shared" si="18"/>
        <v>1204.549179751375</v>
      </c>
      <c r="W89" s="32">
        <f t="shared" si="18"/>
        <v>2223.1768904473884</v>
      </c>
      <c r="X89" s="32">
        <f t="shared" si="18"/>
        <v>2297.6133674080911</v>
      </c>
      <c r="Y89" s="32">
        <f t="shared" si="18"/>
        <v>2918.3443901371311</v>
      </c>
      <c r="Z89" s="32">
        <f t="shared" si="18"/>
        <v>1595.4770003360727</v>
      </c>
      <c r="AA89" s="32">
        <f t="shared" si="18"/>
        <v>1910.6161844989574</v>
      </c>
    </row>
    <row r="90" spans="1:27" x14ac:dyDescent="0.2">
      <c r="A90" s="5"/>
      <c r="B90" s="32">
        <f>_xlfn.COVARIANCE.P($T$2:$T$66,B$2:B$66)</f>
        <v>167501.65811466574</v>
      </c>
      <c r="C90" s="32">
        <f t="shared" ref="C90:AA90" si="19">_xlfn.COVARIANCE.P($T$2:$T$66,C$2:C$66)</f>
        <v>101387.23512271798</v>
      </c>
      <c r="D90" s="32">
        <f t="shared" si="19"/>
        <v>129682.53090167759</v>
      </c>
      <c r="E90" s="32">
        <f t="shared" si="19"/>
        <v>72092.813177269243</v>
      </c>
      <c r="F90" s="32">
        <f t="shared" si="19"/>
        <v>43659.356290171054</v>
      </c>
      <c r="G90" s="32">
        <f t="shared" si="19"/>
        <v>87009.448280684883</v>
      </c>
      <c r="H90" s="32">
        <f t="shared" si="19"/>
        <v>47251.346817618301</v>
      </c>
      <c r="I90" s="32">
        <f t="shared" si="19"/>
        <v>15284.971198591709</v>
      </c>
      <c r="J90" s="32">
        <f t="shared" si="19"/>
        <v>17014.660070732203</v>
      </c>
      <c r="K90" s="32">
        <f t="shared" si="19"/>
        <v>27726.791252392915</v>
      </c>
      <c r="L90" s="32">
        <f t="shared" si="19"/>
        <v>17840.283764346124</v>
      </c>
      <c r="M90" s="32">
        <f t="shared" si="19"/>
        <v>14813.683738268728</v>
      </c>
      <c r="N90" s="32">
        <f t="shared" si="19"/>
        <v>15001.554654874442</v>
      </c>
      <c r="O90" s="32">
        <f t="shared" si="19"/>
        <v>9826.8724679813731</v>
      </c>
      <c r="P90" s="32">
        <f t="shared" si="19"/>
        <v>3731.9633574276572</v>
      </c>
      <c r="Q90" s="32">
        <f t="shared" si="19"/>
        <v>6494.9556161113542</v>
      </c>
      <c r="R90" s="32">
        <f t="shared" si="19"/>
        <v>5737.5338030828734</v>
      </c>
      <c r="S90" s="32">
        <f t="shared" si="19"/>
        <v>5920.5573450058373</v>
      </c>
      <c r="T90" s="32">
        <f t="shared" si="19"/>
        <v>4744.1554289938385</v>
      </c>
      <c r="U90" s="32">
        <f t="shared" si="19"/>
        <v>2210.5315239131814</v>
      </c>
      <c r="V90" s="32">
        <f t="shared" si="19"/>
        <v>982.69262101346214</v>
      </c>
      <c r="W90" s="32">
        <f t="shared" si="19"/>
        <v>1524.5390292387203</v>
      </c>
      <c r="X90" s="32">
        <f t="shared" si="19"/>
        <v>1935.0683300327287</v>
      </c>
      <c r="Y90" s="32">
        <f t="shared" si="19"/>
        <v>1965.6212763927474</v>
      </c>
      <c r="Z90" s="32">
        <f t="shared" si="19"/>
        <v>1086.5574260802944</v>
      </c>
      <c r="AA90" s="32">
        <f t="shared" si="19"/>
        <v>1042.5245787794488</v>
      </c>
    </row>
    <row r="91" spans="1:27" x14ac:dyDescent="0.2">
      <c r="A91" s="5"/>
      <c r="B91" s="32">
        <f>_xlfn.COVARIANCE.P($U$2:$U$66,B$2:B$66)</f>
        <v>69518.754743287165</v>
      </c>
      <c r="C91" s="32">
        <f t="shared" ref="C91:AA91" si="20">_xlfn.COVARIANCE.P($U$2:$U$66,C$2:C$66)</f>
        <v>59776.80073394622</v>
      </c>
      <c r="D91" s="32">
        <f t="shared" si="20"/>
        <v>59047.722023305178</v>
      </c>
      <c r="E91" s="32">
        <f t="shared" si="20"/>
        <v>34439.081291777467</v>
      </c>
      <c r="F91" s="32">
        <f t="shared" si="20"/>
        <v>28177.834061961414</v>
      </c>
      <c r="G91" s="32">
        <f t="shared" si="20"/>
        <v>42637.458309697999</v>
      </c>
      <c r="H91" s="32">
        <f t="shared" si="20"/>
        <v>16889.2792585592</v>
      </c>
      <c r="I91" s="32">
        <f t="shared" si="20"/>
        <v>8684.4459141497809</v>
      </c>
      <c r="J91" s="32">
        <f t="shared" si="20"/>
        <v>8810.5590062528918</v>
      </c>
      <c r="K91" s="32">
        <f t="shared" si="20"/>
        <v>15977.50709727363</v>
      </c>
      <c r="L91" s="32">
        <f t="shared" si="20"/>
        <v>10317.387271523499</v>
      </c>
      <c r="M91" s="32">
        <f t="shared" si="20"/>
        <v>8870.0262120370826</v>
      </c>
      <c r="N91" s="32">
        <f t="shared" si="20"/>
        <v>7326.7345173303356</v>
      </c>
      <c r="O91" s="32">
        <f t="shared" si="20"/>
        <v>5644.0234649473259</v>
      </c>
      <c r="P91" s="32">
        <f t="shared" si="20"/>
        <v>2012.3597538063641</v>
      </c>
      <c r="Q91" s="32">
        <f t="shared" si="20"/>
        <v>3885.4166557014678</v>
      </c>
      <c r="R91" s="32">
        <f t="shared" si="20"/>
        <v>3592.0756953995292</v>
      </c>
      <c r="S91" s="32">
        <f t="shared" si="20"/>
        <v>3315.3516461770791</v>
      </c>
      <c r="T91" s="32">
        <f t="shared" si="20"/>
        <v>2210.5315239131814</v>
      </c>
      <c r="U91" s="32">
        <f t="shared" si="20"/>
        <v>1818.9814969886686</v>
      </c>
      <c r="V91" s="32">
        <f t="shared" si="20"/>
        <v>894.31914815204789</v>
      </c>
      <c r="W91" s="32">
        <f t="shared" si="20"/>
        <v>862.12681753809795</v>
      </c>
      <c r="X91" s="32">
        <f t="shared" si="20"/>
        <v>991.27258694887371</v>
      </c>
      <c r="Y91" s="32">
        <f t="shared" si="20"/>
        <v>1085.0431610619564</v>
      </c>
      <c r="Z91" s="32">
        <f t="shared" si="20"/>
        <v>623.01262896102685</v>
      </c>
      <c r="AA91" s="32">
        <f t="shared" si="20"/>
        <v>636.54685974692222</v>
      </c>
    </row>
    <row r="92" spans="1:27" x14ac:dyDescent="0.2">
      <c r="A92" s="5"/>
      <c r="B92" s="32">
        <f>_xlfn.COVARIANCE.P($V$2:$V$66,B$2:B$66)</f>
        <v>12643.046374303298</v>
      </c>
      <c r="C92" s="32">
        <f t="shared" ref="C92:AA92" si="21">_xlfn.COVARIANCE.P($V$2:$V$66,C$2:C$66)</f>
        <v>32161.670649218468</v>
      </c>
      <c r="D92" s="32">
        <f t="shared" si="21"/>
        <v>24284.201936057554</v>
      </c>
      <c r="E92" s="32">
        <f t="shared" si="21"/>
        <v>28466.3428098039</v>
      </c>
      <c r="F92" s="32">
        <f t="shared" si="21"/>
        <v>16279.980536716273</v>
      </c>
      <c r="G92" s="32">
        <f t="shared" si="21"/>
        <v>21471.389913487525</v>
      </c>
      <c r="H92" s="32">
        <f t="shared" si="21"/>
        <v>2971.3137376453042</v>
      </c>
      <c r="I92" s="32">
        <f t="shared" si="21"/>
        <v>4643.9315822265617</v>
      </c>
      <c r="J92" s="32">
        <f t="shared" si="21"/>
        <v>6737.5668566313616</v>
      </c>
      <c r="K92" s="32">
        <f t="shared" si="21"/>
        <v>10732.99235419662</v>
      </c>
      <c r="L92" s="32">
        <f t="shared" si="21"/>
        <v>5188.2995535285163</v>
      </c>
      <c r="M92" s="32">
        <f t="shared" si="21"/>
        <v>4048.1427620306845</v>
      </c>
      <c r="N92" s="32">
        <f t="shared" si="21"/>
        <v>3477.2400820380803</v>
      </c>
      <c r="O92" s="32">
        <f t="shared" si="21"/>
        <v>2989.9351633388869</v>
      </c>
      <c r="P92" s="32">
        <f t="shared" si="21"/>
        <v>1600.0370307424082</v>
      </c>
      <c r="Q92" s="32">
        <f t="shared" si="21"/>
        <v>1338.76204339438</v>
      </c>
      <c r="R92" s="32">
        <f t="shared" si="21"/>
        <v>1436.9018107218817</v>
      </c>
      <c r="S92" s="32">
        <f t="shared" si="21"/>
        <v>1204.549179751375</v>
      </c>
      <c r="T92" s="32">
        <f t="shared" si="21"/>
        <v>982.69262101346214</v>
      </c>
      <c r="U92" s="32">
        <f t="shared" si="21"/>
        <v>894.31914815204789</v>
      </c>
      <c r="V92" s="32">
        <f t="shared" si="21"/>
        <v>1142.7482137431166</v>
      </c>
      <c r="W92" s="32">
        <f t="shared" si="21"/>
        <v>410.09153967965085</v>
      </c>
      <c r="X92" s="32">
        <f t="shared" si="21"/>
        <v>639.07819261624331</v>
      </c>
      <c r="Y92" s="32">
        <f t="shared" si="21"/>
        <v>648.46239841024612</v>
      </c>
      <c r="Z92" s="32">
        <f t="shared" si="21"/>
        <v>300.68457150397478</v>
      </c>
      <c r="AA92" s="32">
        <f t="shared" si="21"/>
        <v>323.56860520990682</v>
      </c>
    </row>
    <row r="93" spans="1:27" x14ac:dyDescent="0.2">
      <c r="A93" s="5"/>
      <c r="B93" s="32">
        <f>_xlfn.COVARIANCE.P($W$2:$W$66,B$2:B$66)</f>
        <v>51415.872398542997</v>
      </c>
      <c r="C93" s="32">
        <f t="shared" ref="C93:AA93" si="22">_xlfn.COVARIANCE.P($W$2:$W$66,C$2:C$66)</f>
        <v>36501.415928081398</v>
      </c>
      <c r="D93" s="32">
        <f t="shared" si="22"/>
        <v>42602.632250964707</v>
      </c>
      <c r="E93" s="32">
        <f t="shared" si="22"/>
        <v>24084.599839900871</v>
      </c>
      <c r="F93" s="32">
        <f t="shared" si="22"/>
        <v>16918.432211474508</v>
      </c>
      <c r="G93" s="32">
        <f t="shared" si="22"/>
        <v>29068.296464436382</v>
      </c>
      <c r="H93" s="32">
        <f t="shared" si="22"/>
        <v>15400.162898853736</v>
      </c>
      <c r="I93" s="32">
        <f t="shared" si="22"/>
        <v>5170.0408000648358</v>
      </c>
      <c r="J93" s="32">
        <f t="shared" si="22"/>
        <v>6175.1929052570486</v>
      </c>
      <c r="K93" s="32">
        <f t="shared" si="22"/>
        <v>9917.424592463969</v>
      </c>
      <c r="L93" s="32">
        <f t="shared" si="22"/>
        <v>7050.6034808264321</v>
      </c>
      <c r="M93" s="32">
        <f t="shared" si="22"/>
        <v>5640.8632310277862</v>
      </c>
      <c r="N93" s="32">
        <f t="shared" si="22"/>
        <v>5105.8563678436685</v>
      </c>
      <c r="O93" s="32">
        <f t="shared" si="22"/>
        <v>3688.6969317657399</v>
      </c>
      <c r="P93" s="32">
        <f t="shared" si="22"/>
        <v>786.0519094262919</v>
      </c>
      <c r="Q93" s="32">
        <f t="shared" si="22"/>
        <v>2652.5311173361565</v>
      </c>
      <c r="R93" s="32">
        <f t="shared" si="22"/>
        <v>2429.5109276712792</v>
      </c>
      <c r="S93" s="32">
        <f t="shared" si="22"/>
        <v>2223.1768904473884</v>
      </c>
      <c r="T93" s="32">
        <f t="shared" si="22"/>
        <v>1524.5390292387203</v>
      </c>
      <c r="U93" s="32">
        <f t="shared" si="22"/>
        <v>862.12681753809795</v>
      </c>
      <c r="V93" s="32">
        <f t="shared" si="22"/>
        <v>410.09153967965085</v>
      </c>
      <c r="W93" s="32">
        <f t="shared" si="22"/>
        <v>945.8077089784764</v>
      </c>
      <c r="X93" s="32">
        <f t="shared" si="22"/>
        <v>641.20838950931943</v>
      </c>
      <c r="Y93" s="32">
        <f t="shared" si="22"/>
        <v>687.94818358197574</v>
      </c>
      <c r="Z93" s="32">
        <f t="shared" si="22"/>
        <v>378.80051446629551</v>
      </c>
      <c r="AA93" s="32">
        <f t="shared" si="22"/>
        <v>442.07277810577364</v>
      </c>
    </row>
    <row r="94" spans="1:27" x14ac:dyDescent="0.2">
      <c r="A94" s="5"/>
      <c r="B94" s="32">
        <f>_xlfn.COVARIANCE.P($X$2:$X$66,B$2:B$66)</f>
        <v>69798.606825793046</v>
      </c>
      <c r="C94" s="32">
        <f t="shared" ref="C94:AA94" si="23">_xlfn.COVARIANCE.P($X$2:$X$66,C$2:C$66)</f>
        <v>46007.718189721018</v>
      </c>
      <c r="D94" s="32">
        <f t="shared" si="23"/>
        <v>50088.085042313534</v>
      </c>
      <c r="E94" s="32">
        <f t="shared" si="23"/>
        <v>41045.479709633575</v>
      </c>
      <c r="F94" s="32">
        <f t="shared" si="23"/>
        <v>24438.161998445801</v>
      </c>
      <c r="G94" s="32">
        <f t="shared" si="23"/>
        <v>37285.496480323942</v>
      </c>
      <c r="H94" s="32">
        <f t="shared" si="23"/>
        <v>15103.4887359316</v>
      </c>
      <c r="I94" s="32">
        <f t="shared" si="23"/>
        <v>7213.8609166790902</v>
      </c>
      <c r="J94" s="32">
        <f t="shared" si="23"/>
        <v>8169.9023758781304</v>
      </c>
      <c r="K94" s="32">
        <f t="shared" si="23"/>
        <v>12203.34330285322</v>
      </c>
      <c r="L94" s="32">
        <f t="shared" si="23"/>
        <v>8106.7956736385504</v>
      </c>
      <c r="M94" s="32">
        <f t="shared" si="23"/>
        <v>7092.1162232853267</v>
      </c>
      <c r="N94" s="32">
        <f t="shared" si="23"/>
        <v>6141.9949614800416</v>
      </c>
      <c r="O94" s="32">
        <f t="shared" si="23"/>
        <v>4047.5854204154662</v>
      </c>
      <c r="P94" s="32">
        <f t="shared" si="23"/>
        <v>2030.5228523975381</v>
      </c>
      <c r="Q94" s="32">
        <f t="shared" si="23"/>
        <v>2237.6321903379867</v>
      </c>
      <c r="R94" s="32">
        <f t="shared" si="23"/>
        <v>1808.7489104557656</v>
      </c>
      <c r="S94" s="32">
        <f t="shared" si="23"/>
        <v>2297.6133674080911</v>
      </c>
      <c r="T94" s="32">
        <f t="shared" si="23"/>
        <v>1935.0683300327287</v>
      </c>
      <c r="U94" s="32">
        <f t="shared" si="23"/>
        <v>991.27258694887371</v>
      </c>
      <c r="V94" s="32">
        <f t="shared" si="23"/>
        <v>639.07819261624331</v>
      </c>
      <c r="W94" s="32">
        <f t="shared" si="23"/>
        <v>641.20838950931943</v>
      </c>
      <c r="X94" s="32">
        <f t="shared" si="23"/>
        <v>1325.0101501945646</v>
      </c>
      <c r="Y94" s="32">
        <f t="shared" si="23"/>
        <v>1016.5959179205489</v>
      </c>
      <c r="Z94" s="32">
        <f t="shared" si="23"/>
        <v>519.29144186806536</v>
      </c>
      <c r="AA94" s="32">
        <f t="shared" si="23"/>
        <v>491.94289380222597</v>
      </c>
    </row>
    <row r="95" spans="1:27" x14ac:dyDescent="0.2">
      <c r="A95" s="5"/>
      <c r="B95" s="32">
        <f>_xlfn.COVARIANCE.P($Y$2:$Y$66,B$2:B$66)</f>
        <v>50251.82570635825</v>
      </c>
      <c r="C95" s="32">
        <f t="shared" ref="C95:AA95" si="24">_xlfn.COVARIANCE.P($Y$2:$Y$66,C$2:C$66)</f>
        <v>54710.416007879983</v>
      </c>
      <c r="D95" s="32">
        <f t="shared" si="24"/>
        <v>53776.094066771169</v>
      </c>
      <c r="E95" s="32">
        <f t="shared" si="24"/>
        <v>33598.451893760932</v>
      </c>
      <c r="F95" s="32">
        <f t="shared" si="24"/>
        <v>19585.116941248561</v>
      </c>
      <c r="G95" s="32">
        <f t="shared" si="24"/>
        <v>41468.108602604065</v>
      </c>
      <c r="H95" s="32">
        <f t="shared" si="24"/>
        <v>20162.547346914635</v>
      </c>
      <c r="I95" s="32">
        <f t="shared" si="24"/>
        <v>8260.0757248307273</v>
      </c>
      <c r="J95" s="32">
        <f t="shared" si="24"/>
        <v>8397.9204657749651</v>
      </c>
      <c r="K95" s="32">
        <f t="shared" si="24"/>
        <v>14540.858343327243</v>
      </c>
      <c r="L95" s="32">
        <f t="shared" si="24"/>
        <v>7892.9320553561274</v>
      </c>
      <c r="M95" s="32">
        <f t="shared" si="24"/>
        <v>7662.29763150288</v>
      </c>
      <c r="N95" s="32">
        <f t="shared" si="24"/>
        <v>6930.0222645462736</v>
      </c>
      <c r="O95" s="32">
        <f t="shared" si="24"/>
        <v>4523.8718532929124</v>
      </c>
      <c r="P95" s="32">
        <f t="shared" si="24"/>
        <v>898.11665001049187</v>
      </c>
      <c r="Q95" s="32">
        <f t="shared" si="24"/>
        <v>2950.8232369730931</v>
      </c>
      <c r="R95" s="32">
        <f t="shared" si="24"/>
        <v>2718.1385934046766</v>
      </c>
      <c r="S95" s="32">
        <f t="shared" si="24"/>
        <v>2918.3443901371311</v>
      </c>
      <c r="T95" s="32">
        <f t="shared" si="24"/>
        <v>1965.6212763927474</v>
      </c>
      <c r="U95" s="32">
        <f t="shared" si="24"/>
        <v>1085.0431610619564</v>
      </c>
      <c r="V95" s="32">
        <f t="shared" si="24"/>
        <v>648.46239841024612</v>
      </c>
      <c r="W95" s="32">
        <f t="shared" si="24"/>
        <v>687.94818358197574</v>
      </c>
      <c r="X95" s="32">
        <f t="shared" si="24"/>
        <v>1016.5959179205489</v>
      </c>
      <c r="Y95" s="32">
        <f t="shared" si="24"/>
        <v>1316.3498837297336</v>
      </c>
      <c r="Z95" s="32">
        <f t="shared" si="24"/>
        <v>556.4015743903833</v>
      </c>
      <c r="AA95" s="32">
        <f t="shared" si="24"/>
        <v>580.85373870301396</v>
      </c>
    </row>
    <row r="96" spans="1:27" x14ac:dyDescent="0.2">
      <c r="A96" s="5"/>
      <c r="B96" s="32">
        <f>_xlfn.COVARIANCE.P($Z$2:$Z$66,B$2:B$66)</f>
        <v>54735.318043656574</v>
      </c>
      <c r="C96" s="32">
        <f t="shared" ref="C96:AA96" si="25">_xlfn.COVARIANCE.P($Z$2:$Z$66,C$2:C$66)</f>
        <v>24765.213295851681</v>
      </c>
      <c r="D96" s="32">
        <f t="shared" si="25"/>
        <v>28231.724135581859</v>
      </c>
      <c r="E96" s="32">
        <f t="shared" si="25"/>
        <v>19032.073432867175</v>
      </c>
      <c r="F96" s="32">
        <f t="shared" si="25"/>
        <v>12174.14439456012</v>
      </c>
      <c r="G96" s="32">
        <f t="shared" si="25"/>
        <v>19959.149515752728</v>
      </c>
      <c r="H96" s="32">
        <f t="shared" si="25"/>
        <v>12367.559535684277</v>
      </c>
      <c r="I96" s="32">
        <f t="shared" si="25"/>
        <v>3217.7585487017532</v>
      </c>
      <c r="J96" s="32">
        <f t="shared" si="25"/>
        <v>2944.1606338014794</v>
      </c>
      <c r="K96" s="32">
        <f t="shared" si="25"/>
        <v>7203.353475049762</v>
      </c>
      <c r="L96" s="32">
        <f t="shared" si="25"/>
        <v>4922.0663289793356</v>
      </c>
      <c r="M96" s="32">
        <f t="shared" si="25"/>
        <v>4255.1648661920408</v>
      </c>
      <c r="N96" s="32">
        <f t="shared" si="25"/>
        <v>3069.4233245581877</v>
      </c>
      <c r="O96" s="32">
        <f t="shared" si="25"/>
        <v>2454.2968410144067</v>
      </c>
      <c r="P96" s="32">
        <f t="shared" si="25"/>
        <v>447.50660805690154</v>
      </c>
      <c r="Q96" s="32">
        <f t="shared" si="25"/>
        <v>1824.861829997159</v>
      </c>
      <c r="R96" s="32">
        <f t="shared" si="25"/>
        <v>1569.0750034111591</v>
      </c>
      <c r="S96" s="32">
        <f t="shared" si="25"/>
        <v>1595.4770003360727</v>
      </c>
      <c r="T96" s="32">
        <f t="shared" si="25"/>
        <v>1086.5574260802944</v>
      </c>
      <c r="U96" s="32">
        <f t="shared" si="25"/>
        <v>623.01262896102685</v>
      </c>
      <c r="V96" s="32">
        <f t="shared" si="25"/>
        <v>300.68457150397478</v>
      </c>
      <c r="W96" s="32">
        <f t="shared" si="25"/>
        <v>378.80051446629551</v>
      </c>
      <c r="X96" s="32">
        <f t="shared" si="25"/>
        <v>519.29144186806536</v>
      </c>
      <c r="Y96" s="32">
        <f t="shared" si="25"/>
        <v>556.4015743903833</v>
      </c>
      <c r="Z96" s="32">
        <f t="shared" si="25"/>
        <v>430.81350076106611</v>
      </c>
      <c r="AA96" s="32">
        <f t="shared" si="25"/>
        <v>342.41796330050897</v>
      </c>
    </row>
    <row r="97" spans="1:27" x14ac:dyDescent="0.2">
      <c r="A97" s="5"/>
      <c r="B97" s="32">
        <f>_xlfn.COVARIANCE.P($AA$2:$AA$66,B$2:B$66)</f>
        <v>21846.572255235747</v>
      </c>
      <c r="C97" s="32">
        <f t="shared" ref="C97:AA97" si="26">_xlfn.COVARIANCE.P($AA$2:$AA$66,C$2:C$66)</f>
        <v>29859.060661371597</v>
      </c>
      <c r="D97" s="32">
        <f t="shared" si="26"/>
        <v>31112.249596443377</v>
      </c>
      <c r="E97" s="32">
        <f t="shared" si="26"/>
        <v>17670.993134535027</v>
      </c>
      <c r="F97" s="32">
        <f t="shared" si="26"/>
        <v>10478.195593828143</v>
      </c>
      <c r="G97" s="32">
        <f t="shared" si="26"/>
        <v>22485.811301228103</v>
      </c>
      <c r="H97" s="32">
        <f t="shared" si="26"/>
        <v>8234.6476375444636</v>
      </c>
      <c r="I97" s="32">
        <f t="shared" si="26"/>
        <v>4253.0195270842205</v>
      </c>
      <c r="J97" s="32">
        <f t="shared" si="26"/>
        <v>4796.6202823588756</v>
      </c>
      <c r="K97" s="32">
        <f t="shared" si="26"/>
        <v>5977.947858157454</v>
      </c>
      <c r="L97" s="32">
        <f t="shared" si="26"/>
        <v>4721.1097384397626</v>
      </c>
      <c r="M97" s="32">
        <f t="shared" si="26"/>
        <v>4673.02262223865</v>
      </c>
      <c r="N97" s="32">
        <f t="shared" si="26"/>
        <v>4186.0586429458808</v>
      </c>
      <c r="O97" s="32">
        <f t="shared" si="26"/>
        <v>2554.2076791992395</v>
      </c>
      <c r="P97" s="32">
        <f t="shared" si="26"/>
        <v>499.5488432369574</v>
      </c>
      <c r="Q97" s="32">
        <f t="shared" si="26"/>
        <v>1502.8874245083111</v>
      </c>
      <c r="R97" s="32">
        <f t="shared" si="26"/>
        <v>1476.2230804284418</v>
      </c>
      <c r="S97" s="32">
        <f t="shared" si="26"/>
        <v>1910.6161844989574</v>
      </c>
      <c r="T97" s="32">
        <f t="shared" si="26"/>
        <v>1042.5245787794488</v>
      </c>
      <c r="U97" s="32">
        <f t="shared" si="26"/>
        <v>636.54685974692222</v>
      </c>
      <c r="V97" s="32">
        <f t="shared" si="26"/>
        <v>323.56860520990682</v>
      </c>
      <c r="W97" s="32">
        <f t="shared" si="26"/>
        <v>442.07277810577364</v>
      </c>
      <c r="X97" s="32">
        <f t="shared" si="26"/>
        <v>491.94289380222597</v>
      </c>
      <c r="Y97" s="32">
        <f t="shared" si="26"/>
        <v>580.85373870301396</v>
      </c>
      <c r="Z97" s="32">
        <f t="shared" si="26"/>
        <v>342.41796330050897</v>
      </c>
      <c r="AA97" s="32">
        <f t="shared" si="26"/>
        <v>1175.3610643155027</v>
      </c>
    </row>
    <row r="98" spans="1:27" x14ac:dyDescent="0.2">
      <c r="A98" s="5"/>
    </row>
    <row r="99" spans="1:27" x14ac:dyDescent="0.2">
      <c r="A99" s="114" t="s">
        <v>336</v>
      </c>
      <c r="B99">
        <f t="array" ref="B99:AA124">MINVERSE(B72:AA97)</f>
        <v>1.6947616547004528E-7</v>
      </c>
      <c r="C99">
        <v>-2.9880974378738672E-7</v>
      </c>
      <c r="D99">
        <v>-2.4163943599364122E-7</v>
      </c>
      <c r="E99">
        <v>2.6903433784286526E-7</v>
      </c>
      <c r="F99">
        <v>-2.7355709154738266E-7</v>
      </c>
      <c r="G99">
        <v>-6.3685930679273578E-7</v>
      </c>
      <c r="H99">
        <v>6.3542629090052777E-8</v>
      </c>
      <c r="I99">
        <v>2.2441554041180126E-7</v>
      </c>
      <c r="J99">
        <v>6.4108077126001954E-7</v>
      </c>
      <c r="K99">
        <v>-7.555822397401688E-7</v>
      </c>
      <c r="L99">
        <v>4.375774329374691E-7</v>
      </c>
      <c r="M99">
        <v>1.0248605756254362E-6</v>
      </c>
      <c r="N99">
        <v>2.1432895804129927E-6</v>
      </c>
      <c r="O99">
        <v>-6.3229828783517194E-7</v>
      </c>
      <c r="P99">
        <v>-1.6408136570559143E-6</v>
      </c>
      <c r="Q99">
        <v>-2.5236719235544018E-7</v>
      </c>
      <c r="R99">
        <v>1.4457736345069611E-6</v>
      </c>
      <c r="S99">
        <v>-1.0013692873118271E-6</v>
      </c>
      <c r="T99">
        <v>6.629754678173921E-6</v>
      </c>
      <c r="U99">
        <v>7.5797947095831415E-6</v>
      </c>
      <c r="V99">
        <v>4.3424405861608937E-6</v>
      </c>
      <c r="W99">
        <v>-2.953610570265682E-6</v>
      </c>
      <c r="X99">
        <v>-5.9185453917772605E-6</v>
      </c>
      <c r="Y99">
        <v>1.7277103467104487E-5</v>
      </c>
      <c r="Z99">
        <v>-2.9297485106208574E-5</v>
      </c>
      <c r="AA99">
        <v>2.5289550848236726E-6</v>
      </c>
    </row>
    <row r="100" spans="1:27" x14ac:dyDescent="0.2">
      <c r="A100" s="114"/>
      <c r="B100">
        <v>-2.9880974378738773E-7</v>
      </c>
      <c r="C100">
        <v>1.3682613056472428E-5</v>
      </c>
      <c r="D100">
        <v>6.5661811373663972E-7</v>
      </c>
      <c r="E100">
        <v>-2.4017043733515432E-7</v>
      </c>
      <c r="F100">
        <v>3.6586061642075933E-6</v>
      </c>
      <c r="G100">
        <v>4.9548756159325155E-6</v>
      </c>
      <c r="H100">
        <v>6.7740335447304837E-7</v>
      </c>
      <c r="I100">
        <v>-4.4620059708150584E-6</v>
      </c>
      <c r="J100">
        <v>-3.1994491708174703E-7</v>
      </c>
      <c r="K100">
        <v>5.4168418640106106E-6</v>
      </c>
      <c r="L100">
        <v>-1.71009335164414E-5</v>
      </c>
      <c r="M100">
        <v>-6.4424022839683978E-6</v>
      </c>
      <c r="N100">
        <v>-4.8142131513222839E-5</v>
      </c>
      <c r="O100">
        <v>1.1254434965918014E-5</v>
      </c>
      <c r="P100">
        <v>1.8049063397201581E-5</v>
      </c>
      <c r="Q100">
        <v>-1.4843898220814732E-5</v>
      </c>
      <c r="R100">
        <v>4.9571843865905197E-5</v>
      </c>
      <c r="S100">
        <v>-2.5951465142236763E-6</v>
      </c>
      <c r="T100">
        <v>-1.1159427719092793E-4</v>
      </c>
      <c r="U100">
        <v>-1.7142830721811892E-4</v>
      </c>
      <c r="V100">
        <v>-8.3105305274264117E-5</v>
      </c>
      <c r="W100">
        <v>-1.2826799291900564E-5</v>
      </c>
      <c r="X100">
        <v>6.0433373868310153E-5</v>
      </c>
      <c r="Y100">
        <v>-2.9531447494680402E-4</v>
      </c>
      <c r="Z100">
        <v>1.3102893457176684E-4</v>
      </c>
      <c r="AA100">
        <v>-1.490799327410009E-6</v>
      </c>
    </row>
    <row r="101" spans="1:27" x14ac:dyDescent="0.2">
      <c r="A101" s="5"/>
      <c r="B101">
        <v>-2.416394359936417E-7</v>
      </c>
      <c r="C101">
        <v>6.56618113736634E-7</v>
      </c>
      <c r="D101">
        <v>5.8560915050538685E-6</v>
      </c>
      <c r="E101">
        <v>-1.0831596028927669E-6</v>
      </c>
      <c r="F101">
        <v>-4.0496251962174164E-7</v>
      </c>
      <c r="G101">
        <v>-1.9422403410175873E-6</v>
      </c>
      <c r="H101">
        <v>-1.1264222518430623E-6</v>
      </c>
      <c r="I101">
        <v>-8.5268360504746454E-6</v>
      </c>
      <c r="J101">
        <v>-9.2306520453793653E-7</v>
      </c>
      <c r="K101">
        <v>-1.6737395238056466E-6</v>
      </c>
      <c r="L101">
        <v>-8.1741653680145259E-6</v>
      </c>
      <c r="M101">
        <v>2.8662445529711038E-6</v>
      </c>
      <c r="N101">
        <v>-1.2937153682300235E-5</v>
      </c>
      <c r="O101">
        <v>1.0762226648036159E-5</v>
      </c>
      <c r="P101">
        <v>6.5157003620146693E-6</v>
      </c>
      <c r="Q101">
        <v>-4.9970723684417282E-6</v>
      </c>
      <c r="R101">
        <v>3.4063729089840368E-6</v>
      </c>
      <c r="S101">
        <v>-9.1646414249274772E-6</v>
      </c>
      <c r="T101">
        <v>-6.1808412048737824E-5</v>
      </c>
      <c r="U101">
        <v>3.7260727544032638E-6</v>
      </c>
      <c r="V101">
        <v>1.6162863601093881E-5</v>
      </c>
      <c r="W101">
        <v>1.6757417557995981E-5</v>
      </c>
      <c r="X101">
        <v>3.9910138536153749E-5</v>
      </c>
      <c r="Y101">
        <v>3.9618509936220663E-5</v>
      </c>
      <c r="Z101">
        <v>5.4518991111465585E-5</v>
      </c>
      <c r="AA101">
        <v>-1.0872929523227318E-5</v>
      </c>
    </row>
    <row r="102" spans="1:27" x14ac:dyDescent="0.2">
      <c r="A102" s="5"/>
      <c r="B102">
        <v>2.6903433784286632E-7</v>
      </c>
      <c r="C102">
        <v>-2.4017043733515517E-7</v>
      </c>
      <c r="D102">
        <v>-1.0831596028927707E-6</v>
      </c>
      <c r="E102">
        <v>6.7535464719935598E-6</v>
      </c>
      <c r="F102">
        <v>-4.1626938767490535E-6</v>
      </c>
      <c r="G102">
        <v>-6.2531089834396495E-6</v>
      </c>
      <c r="H102">
        <v>1.8231987097353758E-6</v>
      </c>
      <c r="I102">
        <v>5.3444304018864152E-7</v>
      </c>
      <c r="J102">
        <v>3.3813542205186343E-6</v>
      </c>
      <c r="K102">
        <v>4.3662553515279179E-6</v>
      </c>
      <c r="L102">
        <v>6.4115388215366013E-7</v>
      </c>
      <c r="M102">
        <v>-1.4456153008157128E-6</v>
      </c>
      <c r="N102">
        <v>9.955813688489614E-6</v>
      </c>
      <c r="O102">
        <v>1.0047472924073777E-5</v>
      </c>
      <c r="P102">
        <v>-1.1760291351539355E-5</v>
      </c>
      <c r="Q102">
        <v>3.6045307214705911E-6</v>
      </c>
      <c r="R102">
        <v>5.4849120918190704E-6</v>
      </c>
      <c r="S102">
        <v>5.8001531691562706E-6</v>
      </c>
      <c r="T102">
        <v>-2.2678928328260511E-5</v>
      </c>
      <c r="U102">
        <v>9.5884676023956221E-5</v>
      </c>
      <c r="V102">
        <v>-9.2290581621092745E-5</v>
      </c>
      <c r="W102">
        <v>-3.308283365685599E-5</v>
      </c>
      <c r="X102">
        <v>-1.7889036805275513E-5</v>
      </c>
      <c r="Y102">
        <v>1.1640284063196109E-5</v>
      </c>
      <c r="Z102">
        <v>-1.5323206440571088E-4</v>
      </c>
      <c r="AA102">
        <v>1.6625424226795305E-5</v>
      </c>
    </row>
    <row r="103" spans="1:27" x14ac:dyDescent="0.2">
      <c r="A103" s="5"/>
      <c r="B103">
        <v>-2.7355709154738382E-7</v>
      </c>
      <c r="C103">
        <v>3.6586061642076196E-6</v>
      </c>
      <c r="D103">
        <v>-4.0496251962172787E-7</v>
      </c>
      <c r="E103">
        <v>-4.1626938767490577E-6</v>
      </c>
      <c r="F103">
        <v>9.5533066480558805E-6</v>
      </c>
      <c r="G103">
        <v>6.1828371843448166E-6</v>
      </c>
      <c r="H103">
        <v>-1.4858340264756994E-6</v>
      </c>
      <c r="I103">
        <v>6.0522915640294674E-6</v>
      </c>
      <c r="J103">
        <v>-2.4486708082138652E-6</v>
      </c>
      <c r="K103">
        <v>-5.5213994851231602E-6</v>
      </c>
      <c r="L103">
        <v>-1.4923913711515397E-5</v>
      </c>
      <c r="M103">
        <v>-7.6023370887177807E-6</v>
      </c>
      <c r="N103">
        <v>-1.3323233190400335E-5</v>
      </c>
      <c r="O103">
        <v>-1.8568063765269719E-5</v>
      </c>
      <c r="P103">
        <v>1.0507397914967757E-5</v>
      </c>
      <c r="Q103">
        <v>-2.5439099031443397E-5</v>
      </c>
      <c r="R103">
        <v>7.0677457823032199E-5</v>
      </c>
      <c r="S103">
        <v>3.9017726467137512E-6</v>
      </c>
      <c r="T103">
        <v>4.4442335428033215E-6</v>
      </c>
      <c r="U103">
        <v>-1.6842935423422582E-4</v>
      </c>
      <c r="V103">
        <v>4.5845953384303083E-5</v>
      </c>
      <c r="W103">
        <v>-2.9298584921688115E-7</v>
      </c>
      <c r="X103">
        <v>1.8527138452035309E-5</v>
      </c>
      <c r="Y103">
        <v>-1.0800904715083716E-4</v>
      </c>
      <c r="Z103">
        <v>1.8521473087785762E-4</v>
      </c>
      <c r="AA103">
        <v>-1.4069528651420884E-5</v>
      </c>
    </row>
    <row r="104" spans="1:27" x14ac:dyDescent="0.2">
      <c r="A104" s="5"/>
      <c r="B104">
        <v>-6.3685930679273694E-7</v>
      </c>
      <c r="C104">
        <v>4.9548756159325519E-6</v>
      </c>
      <c r="D104">
        <v>-1.9422403410175877E-6</v>
      </c>
      <c r="E104">
        <v>-6.2531089834396579E-6</v>
      </c>
      <c r="F104">
        <v>6.1828371843448421E-6</v>
      </c>
      <c r="G104">
        <v>4.0883641813176886E-5</v>
      </c>
      <c r="H104">
        <v>-3.8572274556464389E-6</v>
      </c>
      <c r="I104">
        <v>-6.2191132546173992E-6</v>
      </c>
      <c r="J104">
        <v>-6.7587434884374421E-6</v>
      </c>
      <c r="K104">
        <v>-3.5561786643884108E-6</v>
      </c>
      <c r="L104">
        <v>-3.3893317801511163E-5</v>
      </c>
      <c r="M104">
        <v>-2.4607746276644397E-5</v>
      </c>
      <c r="N104">
        <v>-9.7543605846938113E-5</v>
      </c>
      <c r="O104">
        <v>3.3544432767002033E-5</v>
      </c>
      <c r="P104">
        <v>2.4320304353977077E-5</v>
      </c>
      <c r="Q104">
        <v>-8.1561838863605058E-6</v>
      </c>
      <c r="R104">
        <v>5.4931811564142298E-5</v>
      </c>
      <c r="S104">
        <v>9.5677029345167517E-6</v>
      </c>
      <c r="T104">
        <v>-1.9685604087438596E-4</v>
      </c>
      <c r="U104">
        <v>-1.5093130627248554E-4</v>
      </c>
      <c r="V104">
        <v>-1.5971881881344897E-5</v>
      </c>
      <c r="W104">
        <v>5.3489915621610333E-5</v>
      </c>
      <c r="X104">
        <v>1.3581901402182978E-4</v>
      </c>
      <c r="Y104">
        <v>-3.4867078563890716E-4</v>
      </c>
      <c r="Z104">
        <v>2.7567797248112324E-4</v>
      </c>
      <c r="AA104">
        <v>-1.0872730340772511E-5</v>
      </c>
    </row>
    <row r="105" spans="1:27" x14ac:dyDescent="0.2">
      <c r="A105" s="5"/>
      <c r="B105">
        <v>6.3542629090053055E-8</v>
      </c>
      <c r="C105">
        <v>6.7740335447304774E-7</v>
      </c>
      <c r="D105">
        <v>-1.1264222518430687E-6</v>
      </c>
      <c r="E105">
        <v>1.8231987097353741E-6</v>
      </c>
      <c r="F105">
        <v>-1.4858340264756965E-6</v>
      </c>
      <c r="G105">
        <v>-3.8572274556464321E-6</v>
      </c>
      <c r="H105">
        <v>4.5167282018105839E-6</v>
      </c>
      <c r="I105">
        <v>1.9506062487995079E-6</v>
      </c>
      <c r="J105">
        <v>2.2571644825594503E-6</v>
      </c>
      <c r="K105">
        <v>-2.4897115421905044E-7</v>
      </c>
      <c r="L105">
        <v>-3.8910654185823117E-7</v>
      </c>
      <c r="M105">
        <v>-2.8785611996754132E-7</v>
      </c>
      <c r="N105">
        <v>1.7242198385178907E-6</v>
      </c>
      <c r="O105">
        <v>1.0522135201793748E-5</v>
      </c>
      <c r="P105">
        <v>-4.0649052981223583E-6</v>
      </c>
      <c r="Q105">
        <v>-7.6289387392135539E-6</v>
      </c>
      <c r="R105">
        <v>3.6387430701877149E-6</v>
      </c>
      <c r="S105">
        <v>-6.4600253492088471E-7</v>
      </c>
      <c r="T105">
        <v>-2.9417051569296218E-6</v>
      </c>
      <c r="U105">
        <v>4.7992763546617199E-5</v>
      </c>
      <c r="V105">
        <v>-1.1855178091636826E-5</v>
      </c>
      <c r="W105">
        <v>-1.4711364434392884E-5</v>
      </c>
      <c r="X105">
        <v>2.3876528381463999E-5</v>
      </c>
      <c r="Y105">
        <v>-1.8866667507060743E-5</v>
      </c>
      <c r="Z105">
        <v>-8.5494308799484469E-5</v>
      </c>
      <c r="AA105">
        <v>1.572151061758342E-5</v>
      </c>
    </row>
    <row r="106" spans="1:27" x14ac:dyDescent="0.2">
      <c r="A106" s="5"/>
      <c r="B106">
        <v>2.2441554041180292E-7</v>
      </c>
      <c r="C106">
        <v>-4.4620059708150474E-6</v>
      </c>
      <c r="D106">
        <v>-8.5268360504746387E-6</v>
      </c>
      <c r="E106">
        <v>5.3444304018864544E-7</v>
      </c>
      <c r="F106">
        <v>6.0522915640294733E-6</v>
      </c>
      <c r="G106">
        <v>-6.2191132546175178E-6</v>
      </c>
      <c r="H106">
        <v>1.9506062487995036E-6</v>
      </c>
      <c r="I106">
        <v>7.5868431930622439E-5</v>
      </c>
      <c r="J106">
        <v>-4.1210458164738203E-6</v>
      </c>
      <c r="K106">
        <v>-2.6092964640329949E-6</v>
      </c>
      <c r="L106">
        <v>2.1524144966756623E-5</v>
      </c>
      <c r="M106">
        <v>-2.1202098519385898E-5</v>
      </c>
      <c r="N106">
        <v>2.9084499740089142E-5</v>
      </c>
      <c r="O106">
        <v>-1.7550252894941929E-5</v>
      </c>
      <c r="P106">
        <v>-7.0001110690941845E-6</v>
      </c>
      <c r="Q106">
        <v>-2.0145951526760827E-5</v>
      </c>
      <c r="R106">
        <v>6.1973692122978285E-5</v>
      </c>
      <c r="S106">
        <v>1.3617885617447502E-5</v>
      </c>
      <c r="T106">
        <v>1.2389923829049477E-4</v>
      </c>
      <c r="U106">
        <v>-1.5280115413900461E-4</v>
      </c>
      <c r="V106">
        <v>1.5890218539397179E-5</v>
      </c>
      <c r="W106">
        <v>-3.9725540140035926E-5</v>
      </c>
      <c r="X106">
        <v>-8.5541429366659089E-5</v>
      </c>
      <c r="Y106">
        <v>-8.317270664366296E-5</v>
      </c>
      <c r="Z106">
        <v>1.314711597480414E-4</v>
      </c>
      <c r="AA106">
        <v>1.6955481277951173E-5</v>
      </c>
    </row>
    <row r="107" spans="1:27" x14ac:dyDescent="0.2">
      <c r="A107" s="5"/>
      <c r="B107">
        <v>6.4108077126001901E-7</v>
      </c>
      <c r="C107">
        <v>-3.1994491708172718E-7</v>
      </c>
      <c r="D107">
        <v>-9.2306520453792541E-7</v>
      </c>
      <c r="E107">
        <v>3.3813542205186335E-6</v>
      </c>
      <c r="F107">
        <v>-2.4486708082138575E-6</v>
      </c>
      <c r="G107">
        <v>-6.7587434884374302E-6</v>
      </c>
      <c r="H107">
        <v>2.2571644825594562E-6</v>
      </c>
      <c r="I107">
        <v>-4.1210458164738635E-6</v>
      </c>
      <c r="J107">
        <v>2.1980165453568116E-5</v>
      </c>
      <c r="K107">
        <v>-7.7095148909303243E-6</v>
      </c>
      <c r="L107">
        <v>-1.4142660757536261E-5</v>
      </c>
      <c r="M107">
        <v>1.0547961306399965E-5</v>
      </c>
      <c r="N107">
        <v>-1.3095985640510548E-5</v>
      </c>
      <c r="O107">
        <v>1.7446075475737143E-5</v>
      </c>
      <c r="P107">
        <v>-5.7216806928435936E-6</v>
      </c>
      <c r="Q107">
        <v>-8.0251492792844466E-6</v>
      </c>
      <c r="R107">
        <v>4.2120771531334036E-5</v>
      </c>
      <c r="S107">
        <v>-4.3458926175700264E-5</v>
      </c>
      <c r="T107">
        <v>6.3600226323069309E-5</v>
      </c>
      <c r="U107">
        <v>8.7519156211943134E-5</v>
      </c>
      <c r="V107">
        <v>-6.4469022435544357E-5</v>
      </c>
      <c r="W107">
        <v>-2.2032193525154457E-5</v>
      </c>
      <c r="X107">
        <v>-2.4563230331135768E-5</v>
      </c>
      <c r="Y107">
        <v>1.0493965284389496E-4</v>
      </c>
      <c r="Z107">
        <v>-7.5536825746570611E-5</v>
      </c>
      <c r="AA107">
        <v>2.6234219144280644E-5</v>
      </c>
    </row>
    <row r="108" spans="1:27" x14ac:dyDescent="0.2">
      <c r="A108" s="5"/>
      <c r="B108">
        <v>-7.5558223974016562E-7</v>
      </c>
      <c r="C108">
        <v>5.4168418640105809E-6</v>
      </c>
      <c r="D108">
        <v>-1.6737395238056724E-6</v>
      </c>
      <c r="E108">
        <v>4.3662553515279416E-6</v>
      </c>
      <c r="F108">
        <v>-5.5213994851231865E-6</v>
      </c>
      <c r="G108">
        <v>-3.5561786643884345E-6</v>
      </c>
      <c r="H108">
        <v>-2.4897115421904102E-7</v>
      </c>
      <c r="I108">
        <v>-2.6092964640329589E-6</v>
      </c>
      <c r="J108">
        <v>-7.7095148909303057E-6</v>
      </c>
      <c r="K108">
        <v>4.627661780150617E-5</v>
      </c>
      <c r="L108">
        <v>3.863866673872339E-6</v>
      </c>
      <c r="M108">
        <v>-7.562210627675994E-6</v>
      </c>
      <c r="N108">
        <v>9.5100661207741108E-6</v>
      </c>
      <c r="O108">
        <v>-2.2621265785097533E-5</v>
      </c>
      <c r="P108">
        <v>1.1549452889327354E-6</v>
      </c>
      <c r="Q108">
        <v>2.156909575165557E-5</v>
      </c>
      <c r="R108">
        <v>-8.3725182299352008E-5</v>
      </c>
      <c r="S108">
        <v>4.7423139818576452E-5</v>
      </c>
      <c r="T108">
        <v>-7.3730071495302883E-5</v>
      </c>
      <c r="U108">
        <v>3.9317370153319505E-5</v>
      </c>
      <c r="V108">
        <v>-2.2623785574949463E-4</v>
      </c>
      <c r="W108">
        <v>3.1864291763732801E-5</v>
      </c>
      <c r="X108">
        <v>3.2805044529541751E-5</v>
      </c>
      <c r="Y108">
        <v>-3.048127607900487E-4</v>
      </c>
      <c r="Z108">
        <v>4.7966958466607684E-5</v>
      </c>
      <c r="AA108">
        <v>2.6796565705628868E-5</v>
      </c>
    </row>
    <row r="109" spans="1:27" x14ac:dyDescent="0.2">
      <c r="A109" s="5"/>
      <c r="B109">
        <v>4.3757743293747619E-7</v>
      </c>
      <c r="C109">
        <v>-1.7100933516441688E-5</v>
      </c>
      <c r="D109">
        <v>-8.1741653680145039E-6</v>
      </c>
      <c r="E109">
        <v>6.4115388215366395E-7</v>
      </c>
      <c r="F109">
        <v>-1.4923913711515523E-5</v>
      </c>
      <c r="G109">
        <v>-3.3893317801511224E-5</v>
      </c>
      <c r="H109">
        <v>-3.8910654185827797E-7</v>
      </c>
      <c r="I109">
        <v>2.1524144966756341E-5</v>
      </c>
      <c r="J109">
        <v>-1.4142660757536164E-5</v>
      </c>
      <c r="K109">
        <v>3.8638666738721908E-6</v>
      </c>
      <c r="L109">
        <v>2.8733849508376152E-4</v>
      </c>
      <c r="M109">
        <v>6.0148494984169254E-5</v>
      </c>
      <c r="N109">
        <v>1.6225057567217604E-4</v>
      </c>
      <c r="O109">
        <v>-1.4888297101236156E-4</v>
      </c>
      <c r="P109">
        <v>-8.2552275335792501E-5</v>
      </c>
      <c r="Q109">
        <v>1.4511966674854684E-4</v>
      </c>
      <c r="R109">
        <v>-4.1104789618408847E-4</v>
      </c>
      <c r="S109">
        <v>-1.0547346864478519E-4</v>
      </c>
      <c r="T109">
        <v>4.67674532535781E-4</v>
      </c>
      <c r="U109">
        <v>1.3812063761348017E-4</v>
      </c>
      <c r="V109">
        <v>1.6918499946117288E-4</v>
      </c>
      <c r="W109">
        <v>-2.7540409802663914E-4</v>
      </c>
      <c r="X109">
        <v>-7.0887786523608721E-4</v>
      </c>
      <c r="Y109">
        <v>8.3168051219795539E-4</v>
      </c>
      <c r="Z109">
        <v>-1.0009875035415464E-3</v>
      </c>
      <c r="AA109">
        <v>1.1720597121823207E-5</v>
      </c>
    </row>
    <row r="110" spans="1:27" x14ac:dyDescent="0.2">
      <c r="A110" s="5"/>
      <c r="B110">
        <v>1.0248605756254359E-6</v>
      </c>
      <c r="C110">
        <v>-6.44240228396848E-6</v>
      </c>
      <c r="D110">
        <v>2.8662445529711381E-6</v>
      </c>
      <c r="E110">
        <v>-1.4456153008157103E-6</v>
      </c>
      <c r="F110">
        <v>-7.6023370887178222E-6</v>
      </c>
      <c r="G110">
        <v>-2.4607746276644414E-5</v>
      </c>
      <c r="H110">
        <v>-2.8785611996753788E-7</v>
      </c>
      <c r="I110">
        <v>-2.1202098519386108E-5</v>
      </c>
      <c r="J110">
        <v>1.0547961306400001E-5</v>
      </c>
      <c r="K110">
        <v>-7.562210627676055E-6</v>
      </c>
      <c r="L110">
        <v>6.0148494984168963E-5</v>
      </c>
      <c r="M110">
        <v>9.7503019243559523E-5</v>
      </c>
      <c r="N110">
        <v>4.9736342155535675E-5</v>
      </c>
      <c r="O110">
        <v>-1.0925366032766368E-4</v>
      </c>
      <c r="P110">
        <v>-2.1344341281250558E-5</v>
      </c>
      <c r="Q110">
        <v>5.904547771096552E-5</v>
      </c>
      <c r="R110">
        <v>-8.647404371538419E-5</v>
      </c>
      <c r="S110">
        <v>-2.0670073276969706E-4</v>
      </c>
      <c r="T110">
        <v>3.8545246529188623E-4</v>
      </c>
      <c r="U110">
        <v>1.4032100104117027E-4</v>
      </c>
      <c r="V110">
        <v>1.4660094559164845E-4</v>
      </c>
      <c r="W110">
        <v>-3.9258604909882563E-5</v>
      </c>
      <c r="X110">
        <v>-2.9222938559207441E-4</v>
      </c>
      <c r="Y110">
        <v>5.6498520963605705E-4</v>
      </c>
      <c r="Z110">
        <v>-5.0496549375191361E-4</v>
      </c>
      <c r="AA110">
        <v>5.9126441555199809E-5</v>
      </c>
    </row>
    <row r="111" spans="1:27" x14ac:dyDescent="0.2">
      <c r="A111" s="5"/>
      <c r="B111">
        <v>2.1432895804129961E-6</v>
      </c>
      <c r="C111">
        <v>-4.8142131513222907E-5</v>
      </c>
      <c r="D111">
        <v>-1.293715368230026E-5</v>
      </c>
      <c r="E111">
        <v>9.9558136884895937E-6</v>
      </c>
      <c r="F111">
        <v>-1.3323233190400276E-5</v>
      </c>
      <c r="G111">
        <v>-9.7543605846938004E-5</v>
      </c>
      <c r="H111">
        <v>1.7242198385178593E-6</v>
      </c>
      <c r="I111">
        <v>2.9084499740088952E-5</v>
      </c>
      <c r="J111">
        <v>-1.3095985640510487E-5</v>
      </c>
      <c r="K111">
        <v>9.5100661207739973E-6</v>
      </c>
      <c r="L111">
        <v>1.6225057567217523E-4</v>
      </c>
      <c r="M111">
        <v>4.9736342155535478E-5</v>
      </c>
      <c r="N111">
        <v>5.3588520408559364E-4</v>
      </c>
      <c r="O111">
        <v>-2.8135370670911481E-4</v>
      </c>
      <c r="P111">
        <v>-1.0347171717676357E-4</v>
      </c>
      <c r="Q111">
        <v>1.3142601135201644E-4</v>
      </c>
      <c r="R111">
        <v>-3.6147975230704722E-4</v>
      </c>
      <c r="S111">
        <v>9.2591797123264472E-5</v>
      </c>
      <c r="T111">
        <v>8.0195984828816094E-4</v>
      </c>
      <c r="U111">
        <v>6.1764592259758654E-4</v>
      </c>
      <c r="V111">
        <v>4.1177384279414149E-4</v>
      </c>
      <c r="W111">
        <v>-6.6911957619413004E-5</v>
      </c>
      <c r="X111">
        <v>-6.1749079863682177E-4</v>
      </c>
      <c r="Y111">
        <v>1.3435879611535253E-3</v>
      </c>
      <c r="Z111">
        <v>-6.5513431596278928E-4</v>
      </c>
      <c r="AA111">
        <v>-6.7300475593202186E-5</v>
      </c>
    </row>
    <row r="112" spans="1:27" x14ac:dyDescent="0.2">
      <c r="A112" s="5"/>
      <c r="B112">
        <v>-6.3229828783516326E-7</v>
      </c>
      <c r="C112">
        <v>1.125443496591787E-5</v>
      </c>
      <c r="D112">
        <v>1.0762226648035997E-5</v>
      </c>
      <c r="E112">
        <v>1.0047472924073823E-5</v>
      </c>
      <c r="F112">
        <v>-1.8568063765269766E-5</v>
      </c>
      <c r="G112">
        <v>3.3544432767001891E-5</v>
      </c>
      <c r="H112">
        <v>1.0522135201793795E-5</v>
      </c>
      <c r="I112">
        <v>-1.7550252894941391E-5</v>
      </c>
      <c r="J112">
        <v>1.7446075475737001E-5</v>
      </c>
      <c r="K112">
        <v>-2.2621265785097441E-5</v>
      </c>
      <c r="L112">
        <v>-1.4888297101236044E-4</v>
      </c>
      <c r="M112">
        <v>-1.0925366032766368E-4</v>
      </c>
      <c r="N112">
        <v>-2.8135370670911368E-4</v>
      </c>
      <c r="O112">
        <v>9.6822670648571702E-4</v>
      </c>
      <c r="P112">
        <v>5.1765721808874251E-5</v>
      </c>
      <c r="Q112">
        <v>-1.3047247838922571E-4</v>
      </c>
      <c r="R112">
        <v>5.4247966734634331E-6</v>
      </c>
      <c r="S112">
        <v>1.5261068187012538E-4</v>
      </c>
      <c r="T112">
        <v>-1.2950197029418828E-3</v>
      </c>
      <c r="U112">
        <v>-3.4499599436799341E-5</v>
      </c>
      <c r="V112">
        <v>-6.8207610427281401E-4</v>
      </c>
      <c r="W112">
        <v>-1.0935449461018019E-4</v>
      </c>
      <c r="X112">
        <v>7.516982832704998E-4</v>
      </c>
      <c r="Y112">
        <v>-5.5960830155864357E-4</v>
      </c>
      <c r="Z112">
        <v>2.7335151556606707E-4</v>
      </c>
      <c r="AA112">
        <v>-5.381848145750807E-5</v>
      </c>
    </row>
    <row r="113" spans="1:27" x14ac:dyDescent="0.2">
      <c r="A113" s="5"/>
      <c r="B113">
        <v>-1.6408136570559187E-6</v>
      </c>
      <c r="C113">
        <v>1.8049063397201639E-5</v>
      </c>
      <c r="D113">
        <v>6.5157003620146608E-6</v>
      </c>
      <c r="E113">
        <v>-1.1760291351539334E-5</v>
      </c>
      <c r="F113">
        <v>1.0507397914967724E-5</v>
      </c>
      <c r="G113">
        <v>2.4320304353977026E-5</v>
      </c>
      <c r="H113">
        <v>-4.0649052981223406E-6</v>
      </c>
      <c r="I113">
        <v>-7.0001110690941057E-6</v>
      </c>
      <c r="J113">
        <v>-5.7216806928436436E-6</v>
      </c>
      <c r="K113">
        <v>1.1549452889328779E-6</v>
      </c>
      <c r="L113">
        <v>-8.2552275335792162E-5</v>
      </c>
      <c r="M113">
        <v>-2.1344341281250552E-5</v>
      </c>
      <c r="N113">
        <v>-1.0347171717676363E-4</v>
      </c>
      <c r="O113">
        <v>5.176572180887484E-5</v>
      </c>
      <c r="P113">
        <v>1.4425699376486881E-4</v>
      </c>
      <c r="Q113">
        <v>-6.8714412586870152E-5</v>
      </c>
      <c r="R113">
        <v>1.1529518918767024E-4</v>
      </c>
      <c r="S113">
        <v>2.0655166074645746E-5</v>
      </c>
      <c r="T113">
        <v>-3.5249567583175122E-4</v>
      </c>
      <c r="U113">
        <v>-4.0050673696797093E-4</v>
      </c>
      <c r="V113">
        <v>-9.8351294572133729E-5</v>
      </c>
      <c r="W113">
        <v>2.1974603805417875E-4</v>
      </c>
      <c r="X113">
        <v>1.5096250226239667E-4</v>
      </c>
      <c r="Y113">
        <v>-4.1700226991468883E-4</v>
      </c>
      <c r="Z113">
        <v>1.0282401504304243E-3</v>
      </c>
      <c r="AA113">
        <v>-7.3379976955629571E-5</v>
      </c>
    </row>
    <row r="114" spans="1:27" x14ac:dyDescent="0.2">
      <c r="A114" s="5"/>
      <c r="B114">
        <v>-2.5236719235543171E-7</v>
      </c>
      <c r="C114">
        <v>-1.4843898220815009E-5</v>
      </c>
      <c r="D114">
        <v>-4.9970723684417545E-6</v>
      </c>
      <c r="E114">
        <v>3.6045307214705894E-6</v>
      </c>
      <c r="F114">
        <v>-2.5439099031443437E-5</v>
      </c>
      <c r="G114">
        <v>-8.1561838863604584E-6</v>
      </c>
      <c r="H114">
        <v>-7.6289387392136073E-6</v>
      </c>
      <c r="I114">
        <v>-2.0145951526760865E-5</v>
      </c>
      <c r="J114">
        <v>-8.0251492792843737E-6</v>
      </c>
      <c r="K114">
        <v>2.1569095751655411E-5</v>
      </c>
      <c r="L114">
        <v>1.4511966674854638E-4</v>
      </c>
      <c r="M114">
        <v>5.9045477710965547E-5</v>
      </c>
      <c r="N114">
        <v>1.3142601135201704E-4</v>
      </c>
      <c r="O114">
        <v>-1.3047247838922647E-4</v>
      </c>
      <c r="P114">
        <v>-6.8714412586870396E-5</v>
      </c>
      <c r="Q114">
        <v>5.1758326307751849E-4</v>
      </c>
      <c r="R114">
        <v>-4.8814811035831736E-4</v>
      </c>
      <c r="S114">
        <v>-2.2262659402533954E-4</v>
      </c>
      <c r="T114">
        <v>1.9984742001180283E-4</v>
      </c>
      <c r="U114">
        <v>2.0203543454431837E-4</v>
      </c>
      <c r="V114">
        <v>1.2972122380242189E-4</v>
      </c>
      <c r="W114">
        <v>-2.0283297432992982E-4</v>
      </c>
      <c r="X114">
        <v>-2.2332167930314942E-4</v>
      </c>
      <c r="Y114">
        <v>3.8376900060153895E-4</v>
      </c>
      <c r="Z114">
        <v>-7.6302850117489901E-4</v>
      </c>
      <c r="AA114">
        <v>1.122767248609888E-4</v>
      </c>
    </row>
    <row r="115" spans="1:27" x14ac:dyDescent="0.2">
      <c r="A115" s="5"/>
      <c r="B115">
        <v>1.445773634506941E-6</v>
      </c>
      <c r="C115">
        <v>4.9571843865905827E-5</v>
      </c>
      <c r="D115">
        <v>3.4063729089842469E-6</v>
      </c>
      <c r="E115">
        <v>5.4849120918190213E-6</v>
      </c>
      <c r="F115">
        <v>7.0677457823032361E-5</v>
      </c>
      <c r="G115">
        <v>5.4931811564141952E-5</v>
      </c>
      <c r="H115">
        <v>3.6387430701877509E-6</v>
      </c>
      <c r="I115">
        <v>6.1973692122978393E-5</v>
      </c>
      <c r="J115">
        <v>4.2120771531333914E-5</v>
      </c>
      <c r="K115">
        <v>-8.3725182299351845E-5</v>
      </c>
      <c r="L115">
        <v>-4.1104789618408722E-4</v>
      </c>
      <c r="M115">
        <v>-8.6474043715383865E-5</v>
      </c>
      <c r="N115">
        <v>-3.6147975230704831E-4</v>
      </c>
      <c r="O115">
        <v>5.4247966734647774E-6</v>
      </c>
      <c r="P115">
        <v>1.15295189187671E-4</v>
      </c>
      <c r="Q115">
        <v>-4.881481103583178E-4</v>
      </c>
      <c r="R115">
        <v>1.8498625783064414E-3</v>
      </c>
      <c r="S115">
        <v>-8.6962588175650327E-5</v>
      </c>
      <c r="T115">
        <v>-7.105916569695481E-4</v>
      </c>
      <c r="U115">
        <v>-1.4158283783853433E-3</v>
      </c>
      <c r="V115">
        <v>-1.5795488693092614E-4</v>
      </c>
      <c r="W115">
        <v>-3.9730060973818573E-4</v>
      </c>
      <c r="X115">
        <v>1.3802061497695446E-3</v>
      </c>
      <c r="Y115">
        <v>-1.693099767170852E-3</v>
      </c>
      <c r="Z115">
        <v>8.507270539398912E-4</v>
      </c>
      <c r="AA115">
        <v>1.2920212452097133E-4</v>
      </c>
    </row>
    <row r="116" spans="1:27" x14ac:dyDescent="0.2">
      <c r="A116" s="5"/>
      <c r="B116">
        <v>-1.0013692873118315E-6</v>
      </c>
      <c r="C116">
        <v>-2.5951465142233756E-6</v>
      </c>
      <c r="D116">
        <v>-9.1646414249276093E-6</v>
      </c>
      <c r="E116">
        <v>5.8001531691562359E-6</v>
      </c>
      <c r="F116">
        <v>3.9017726467139782E-6</v>
      </c>
      <c r="G116">
        <v>9.5677029345171345E-6</v>
      </c>
      <c r="H116">
        <v>-6.4600253492089604E-7</v>
      </c>
      <c r="I116">
        <v>1.3617885617448073E-5</v>
      </c>
      <c r="J116">
        <v>-4.3458926175700345E-5</v>
      </c>
      <c r="K116">
        <v>4.7423139818576594E-5</v>
      </c>
      <c r="L116">
        <v>-1.0547346864478552E-4</v>
      </c>
      <c r="M116">
        <v>-2.0670073276969744E-4</v>
      </c>
      <c r="N116">
        <v>9.2591797123262899E-5</v>
      </c>
      <c r="O116">
        <v>1.5261068187012486E-4</v>
      </c>
      <c r="P116">
        <v>2.0655166074646034E-5</v>
      </c>
      <c r="Q116">
        <v>-2.2262659402534017E-4</v>
      </c>
      <c r="R116">
        <v>-8.6962588175647251E-5</v>
      </c>
      <c r="S116">
        <v>1.1008307140563387E-3</v>
      </c>
      <c r="T116">
        <v>-6.0634444906817195E-4</v>
      </c>
      <c r="U116">
        <v>-4.8726738623321537E-5</v>
      </c>
      <c r="V116">
        <v>2.0153666823772928E-5</v>
      </c>
      <c r="W116">
        <v>1.8778261193314936E-4</v>
      </c>
      <c r="X116">
        <v>6.3679957958660133E-4</v>
      </c>
      <c r="Y116">
        <v>-1.0202372130875621E-3</v>
      </c>
      <c r="Z116">
        <v>6.2682121351526759E-4</v>
      </c>
      <c r="AA116">
        <v>-3.6370607313024209E-4</v>
      </c>
    </row>
    <row r="117" spans="1:27" x14ac:dyDescent="0.2">
      <c r="A117" s="5"/>
      <c r="B117">
        <v>6.6297546781739159E-6</v>
      </c>
      <c r="C117">
        <v>-1.1159427719092766E-4</v>
      </c>
      <c r="D117">
        <v>-6.1808412048737431E-5</v>
      </c>
      <c r="E117">
        <v>-2.2678928328260623E-5</v>
      </c>
      <c r="F117">
        <v>4.4442335428035468E-6</v>
      </c>
      <c r="G117">
        <v>-1.9685604087438564E-4</v>
      </c>
      <c r="H117">
        <v>-2.9417051569297057E-6</v>
      </c>
      <c r="I117">
        <v>1.2389923829049298E-4</v>
      </c>
      <c r="J117">
        <v>6.3600226323069905E-5</v>
      </c>
      <c r="K117">
        <v>-7.3730071495303466E-5</v>
      </c>
      <c r="L117">
        <v>4.6767453253577709E-4</v>
      </c>
      <c r="M117">
        <v>3.8545246529188623E-4</v>
      </c>
      <c r="N117">
        <v>8.0195984828815834E-4</v>
      </c>
      <c r="O117">
        <v>-1.2950197029418849E-3</v>
      </c>
      <c r="P117">
        <v>-3.5249567583174986E-4</v>
      </c>
      <c r="Q117">
        <v>1.9984742001179963E-4</v>
      </c>
      <c r="R117">
        <v>-7.1059165696954149E-4</v>
      </c>
      <c r="S117">
        <v>-6.0634444906817173E-4</v>
      </c>
      <c r="T117">
        <v>6.2248106388468564E-3</v>
      </c>
      <c r="U117">
        <v>8.3742585963107079E-4</v>
      </c>
      <c r="V117">
        <v>2.0877692761719743E-3</v>
      </c>
      <c r="W117">
        <v>-3.4694833589036167E-4</v>
      </c>
      <c r="X117">
        <v>-3.3310097332461012E-3</v>
      </c>
      <c r="Y117">
        <v>3.9199786752532042E-3</v>
      </c>
      <c r="Z117">
        <v>-2.9123143664544792E-3</v>
      </c>
      <c r="AA117">
        <v>3.0872286489848935E-4</v>
      </c>
    </row>
    <row r="118" spans="1:27" x14ac:dyDescent="0.2">
      <c r="A118" s="5"/>
      <c r="B118">
        <v>7.5797947095831551E-6</v>
      </c>
      <c r="C118">
        <v>-1.7142830721811897E-4</v>
      </c>
      <c r="D118">
        <v>3.7260727544029372E-6</v>
      </c>
      <c r="E118">
        <v>9.5884676023956194E-5</v>
      </c>
      <c r="F118">
        <v>-1.6842935423422536E-4</v>
      </c>
      <c r="G118">
        <v>-1.5093130627248419E-4</v>
      </c>
      <c r="H118">
        <v>4.7992763546617287E-5</v>
      </c>
      <c r="I118">
        <v>-1.5280115413900458E-4</v>
      </c>
      <c r="J118">
        <v>8.751915621194327E-5</v>
      </c>
      <c r="K118">
        <v>3.9317370153318779E-5</v>
      </c>
      <c r="L118">
        <v>1.3812063761347451E-4</v>
      </c>
      <c r="M118">
        <v>1.4032100104116794E-4</v>
      </c>
      <c r="N118">
        <v>6.1764592259758524E-4</v>
      </c>
      <c r="O118">
        <v>-3.4499599436799097E-5</v>
      </c>
      <c r="P118">
        <v>-4.0050673696797023E-4</v>
      </c>
      <c r="Q118">
        <v>2.0203543454431474E-4</v>
      </c>
      <c r="R118">
        <v>-1.4158283783853329E-3</v>
      </c>
      <c r="S118">
        <v>-4.8726738623314035E-5</v>
      </c>
      <c r="T118">
        <v>8.3742585963106657E-4</v>
      </c>
      <c r="U118">
        <v>7.4853344072126895E-3</v>
      </c>
      <c r="V118">
        <v>-1.122758245664202E-3</v>
      </c>
      <c r="W118">
        <v>3.0109518463693755E-4</v>
      </c>
      <c r="X118">
        <v>-8.7958930927498535E-4</v>
      </c>
      <c r="Y118">
        <v>4.3770880732877946E-3</v>
      </c>
      <c r="Z118">
        <v>-4.8184581454984261E-3</v>
      </c>
      <c r="AA118">
        <v>2.6226859421883138E-4</v>
      </c>
    </row>
    <row r="119" spans="1:27" x14ac:dyDescent="0.2">
      <c r="A119" s="5"/>
      <c r="B119">
        <v>4.3424405861608657E-6</v>
      </c>
      <c r="C119">
        <v>-8.3105305274263968E-5</v>
      </c>
      <c r="D119">
        <v>1.6162863601094061E-5</v>
      </c>
      <c r="E119">
        <v>-9.2290581621092975E-5</v>
      </c>
      <c r="F119">
        <v>4.5845953384303367E-5</v>
      </c>
      <c r="G119">
        <v>-1.5971881881344544E-5</v>
      </c>
      <c r="H119">
        <v>-1.1855178091636945E-5</v>
      </c>
      <c r="I119">
        <v>1.5890218539397034E-5</v>
      </c>
      <c r="J119">
        <v>-6.446902243554433E-5</v>
      </c>
      <c r="K119">
        <v>-2.2623785574949466E-4</v>
      </c>
      <c r="L119">
        <v>1.6918499946117085E-4</v>
      </c>
      <c r="M119">
        <v>1.4660094559164799E-4</v>
      </c>
      <c r="N119">
        <v>4.1177384279413986E-4</v>
      </c>
      <c r="O119">
        <v>-6.8207610427281531E-4</v>
      </c>
      <c r="P119">
        <v>-9.8351294572132522E-5</v>
      </c>
      <c r="Q119">
        <v>1.2972122380242011E-4</v>
      </c>
      <c r="R119">
        <v>-1.5795488693092296E-4</v>
      </c>
      <c r="S119">
        <v>2.0153666823773961E-5</v>
      </c>
      <c r="T119">
        <v>2.0877692761719752E-3</v>
      </c>
      <c r="U119">
        <v>-1.122758245664206E-3</v>
      </c>
      <c r="V119">
        <v>4.9385201434091319E-3</v>
      </c>
      <c r="W119">
        <v>1.2988667543366943E-4</v>
      </c>
      <c r="X119">
        <v>-5.97735259198212E-4</v>
      </c>
      <c r="Y119">
        <v>2.1983511550452595E-3</v>
      </c>
      <c r="Z119">
        <v>-3.5463314841243949E-4</v>
      </c>
      <c r="AA119">
        <v>-2.6385519732763005E-4</v>
      </c>
    </row>
    <row r="120" spans="1:27" x14ac:dyDescent="0.2">
      <c r="A120" s="5"/>
      <c r="B120">
        <v>-2.9536105702656956E-6</v>
      </c>
      <c r="C120">
        <v>-1.2826799291900179E-5</v>
      </c>
      <c r="D120">
        <v>1.6757417557995781E-5</v>
      </c>
      <c r="E120">
        <v>-3.3082833656855942E-5</v>
      </c>
      <c r="F120">
        <v>-2.9298584921659978E-7</v>
      </c>
      <c r="G120">
        <v>5.3489915621610916E-5</v>
      </c>
      <c r="H120">
        <v>-1.4711364434392781E-5</v>
      </c>
      <c r="I120">
        <v>-3.972554014003539E-5</v>
      </c>
      <c r="J120">
        <v>-2.2032193525154549E-5</v>
      </c>
      <c r="K120">
        <v>3.1864291763733099E-5</v>
      </c>
      <c r="L120">
        <v>-2.7540409802664147E-4</v>
      </c>
      <c r="M120">
        <v>-3.9258604909883986E-5</v>
      </c>
      <c r="N120">
        <v>-6.691195761941482E-5</v>
      </c>
      <c r="O120">
        <v>-1.0935449461017779E-4</v>
      </c>
      <c r="P120">
        <v>2.1974603805417951E-4</v>
      </c>
      <c r="Q120">
        <v>-2.0283297432993191E-4</v>
      </c>
      <c r="R120">
        <v>-3.9730060973818047E-4</v>
      </c>
      <c r="S120">
        <v>1.8778261193315188E-4</v>
      </c>
      <c r="T120">
        <v>-3.4694833589036909E-4</v>
      </c>
      <c r="U120">
        <v>3.0109518463693099E-4</v>
      </c>
      <c r="V120">
        <v>1.2988667543366414E-4</v>
      </c>
      <c r="W120">
        <v>3.8533619696892265E-3</v>
      </c>
      <c r="X120">
        <v>-7.100705854444473E-5</v>
      </c>
      <c r="Y120">
        <v>-4.6821925718807502E-5</v>
      </c>
      <c r="Z120">
        <v>2.7968179224788429E-3</v>
      </c>
      <c r="AA120">
        <v>-4.1584856382443502E-4</v>
      </c>
    </row>
    <row r="121" spans="1:27" x14ac:dyDescent="0.2">
      <c r="A121" s="5"/>
      <c r="B121">
        <v>-5.9185453917772622E-6</v>
      </c>
      <c r="C121">
        <v>6.0433373868310661E-5</v>
      </c>
      <c r="D121">
        <v>3.9910138536153526E-5</v>
      </c>
      <c r="E121">
        <v>-1.7889036805275598E-5</v>
      </c>
      <c r="F121">
        <v>1.8527138452035756E-5</v>
      </c>
      <c r="G121">
        <v>1.3581901402183E-4</v>
      </c>
      <c r="H121">
        <v>2.3876528381464063E-5</v>
      </c>
      <c r="I121">
        <v>-8.5541429366657191E-5</v>
      </c>
      <c r="J121">
        <v>-2.4563230331136181E-5</v>
      </c>
      <c r="K121">
        <v>3.2805044529541975E-5</v>
      </c>
      <c r="L121">
        <v>-7.0887786523608624E-4</v>
      </c>
      <c r="M121">
        <v>-2.9222938559207538E-4</v>
      </c>
      <c r="N121">
        <v>-6.1749079863682274E-4</v>
      </c>
      <c r="O121">
        <v>7.5169828327050164E-4</v>
      </c>
      <c r="P121">
        <v>1.5096250226239721E-4</v>
      </c>
      <c r="Q121">
        <v>-2.2332167930314996E-4</v>
      </c>
      <c r="R121">
        <v>1.3802061497695487E-3</v>
      </c>
      <c r="S121">
        <v>6.3679957958660057E-4</v>
      </c>
      <c r="T121">
        <v>-3.3310097332461073E-3</v>
      </c>
      <c r="U121">
        <v>-8.7958930927500368E-4</v>
      </c>
      <c r="V121">
        <v>-5.9773525919821439E-4</v>
      </c>
      <c r="W121">
        <v>-7.1007058544453214E-5</v>
      </c>
      <c r="X121">
        <v>6.6723101725677881E-3</v>
      </c>
      <c r="Y121">
        <v>-4.9224404577887845E-3</v>
      </c>
      <c r="Z121">
        <v>1.1379305500163234E-3</v>
      </c>
      <c r="AA121">
        <v>5.7628542940092995E-5</v>
      </c>
    </row>
    <row r="122" spans="1:27" x14ac:dyDescent="0.2">
      <c r="A122" s="5"/>
      <c r="B122">
        <v>1.7277103467104487E-5</v>
      </c>
      <c r="C122">
        <v>-2.9531447494680473E-4</v>
      </c>
      <c r="D122">
        <v>3.9618509936220785E-5</v>
      </c>
      <c r="E122">
        <v>1.1640284063196148E-5</v>
      </c>
      <c r="F122">
        <v>-1.0800904715083716E-4</v>
      </c>
      <c r="G122">
        <v>-3.4867078563890656E-4</v>
      </c>
      <c r="H122">
        <v>-1.8866667507060753E-5</v>
      </c>
      <c r="I122">
        <v>-8.3172706643664762E-5</v>
      </c>
      <c r="J122">
        <v>1.0493965284389532E-4</v>
      </c>
      <c r="K122">
        <v>-3.0481276079004919E-4</v>
      </c>
      <c r="L122">
        <v>8.3168051219794856E-4</v>
      </c>
      <c r="M122">
        <v>5.6498520963605531E-4</v>
      </c>
      <c r="N122">
        <v>1.3435879611535259E-3</v>
      </c>
      <c r="O122">
        <v>-5.5960830155864488E-4</v>
      </c>
      <c r="P122">
        <v>-4.1700226991468812E-4</v>
      </c>
      <c r="Q122">
        <v>3.8376900060153499E-4</v>
      </c>
      <c r="R122">
        <v>-1.6930997671708483E-3</v>
      </c>
      <c r="S122">
        <v>-1.0202372130875517E-3</v>
      </c>
      <c r="T122">
        <v>3.919978675253206E-3</v>
      </c>
      <c r="U122">
        <v>4.3770880732878119E-3</v>
      </c>
      <c r="V122">
        <v>2.1983511550452656E-3</v>
      </c>
      <c r="W122">
        <v>-4.6821925718787817E-5</v>
      </c>
      <c r="X122">
        <v>-4.9224404577887688E-3</v>
      </c>
      <c r="Y122">
        <v>1.446199057577136E-2</v>
      </c>
      <c r="Z122">
        <v>-6.6530138385821795E-3</v>
      </c>
      <c r="AA122">
        <v>-1.2227174437979836E-4</v>
      </c>
    </row>
    <row r="123" spans="1:27" x14ac:dyDescent="0.2">
      <c r="A123" s="5"/>
      <c r="B123">
        <v>-2.9297485106208602E-5</v>
      </c>
      <c r="C123">
        <v>1.3102893457176752E-4</v>
      </c>
      <c r="D123">
        <v>5.4518991111465504E-5</v>
      </c>
      <c r="E123">
        <v>-1.5323206440571061E-4</v>
      </c>
      <c r="F123">
        <v>1.8521473087785721E-4</v>
      </c>
      <c r="G123">
        <v>2.7567797248112248E-4</v>
      </c>
      <c r="H123">
        <v>-8.5494308799484252E-5</v>
      </c>
      <c r="I123">
        <v>1.3147115974804232E-4</v>
      </c>
      <c r="J123">
        <v>-7.5536825746570964E-5</v>
      </c>
      <c r="K123">
        <v>4.7966958466609663E-5</v>
      </c>
      <c r="L123">
        <v>-1.0009875035415427E-3</v>
      </c>
      <c r="M123">
        <v>-5.0496549375191361E-4</v>
      </c>
      <c r="N123">
        <v>-6.5513431596279004E-4</v>
      </c>
      <c r="O123">
        <v>2.7335151556607439E-4</v>
      </c>
      <c r="P123">
        <v>1.0282401504304243E-3</v>
      </c>
      <c r="Q123">
        <v>-7.6302850117489728E-4</v>
      </c>
      <c r="R123">
        <v>8.5072705393988296E-4</v>
      </c>
      <c r="S123">
        <v>6.2682121351526499E-4</v>
      </c>
      <c r="T123">
        <v>-2.9123143664544935E-3</v>
      </c>
      <c r="U123">
        <v>-4.8184581454984313E-3</v>
      </c>
      <c r="V123">
        <v>-3.5463314841245814E-4</v>
      </c>
      <c r="W123">
        <v>2.7968179224788325E-3</v>
      </c>
      <c r="X123">
        <v>1.1379305500163151E-3</v>
      </c>
      <c r="Y123">
        <v>-6.65301383858219E-3</v>
      </c>
      <c r="Z123">
        <v>2.1897925513831146E-2</v>
      </c>
      <c r="AA123">
        <v>-1.7718013637562052E-3</v>
      </c>
    </row>
    <row r="124" spans="1:27" x14ac:dyDescent="0.2">
      <c r="A124" s="5"/>
      <c r="B124">
        <v>2.5289550848236785E-6</v>
      </c>
      <c r="C124">
        <v>-1.4907993274100363E-6</v>
      </c>
      <c r="D124">
        <v>-1.08729295232273E-5</v>
      </c>
      <c r="E124">
        <v>1.6625424226795319E-5</v>
      </c>
      <c r="F124">
        <v>-1.4069528651420874E-5</v>
      </c>
      <c r="G124">
        <v>-1.0872730340772648E-5</v>
      </c>
      <c r="H124">
        <v>1.5721510617583424E-5</v>
      </c>
      <c r="I124">
        <v>1.6955481277951099E-5</v>
      </c>
      <c r="J124">
        <v>2.6234219144280728E-5</v>
      </c>
      <c r="K124">
        <v>2.6796565705628692E-5</v>
      </c>
      <c r="L124">
        <v>1.1720597121823225E-5</v>
      </c>
      <c r="M124">
        <v>5.912644155520002E-5</v>
      </c>
      <c r="N124">
        <v>-6.730047559320178E-5</v>
      </c>
      <c r="O124">
        <v>-5.3818481457508585E-5</v>
      </c>
      <c r="P124">
        <v>-7.3379976955629652E-5</v>
      </c>
      <c r="Q124">
        <v>1.1227672486098883E-4</v>
      </c>
      <c r="R124">
        <v>1.292021245209719E-4</v>
      </c>
      <c r="S124">
        <v>-3.6370607313024285E-4</v>
      </c>
      <c r="T124">
        <v>3.0872286489849065E-4</v>
      </c>
      <c r="U124">
        <v>2.6226859421883182E-4</v>
      </c>
      <c r="V124">
        <v>-2.6385519732762919E-4</v>
      </c>
      <c r="W124">
        <v>-4.1584856382443519E-4</v>
      </c>
      <c r="X124">
        <v>5.762854294009227E-5</v>
      </c>
      <c r="Y124">
        <v>-1.2227174437979578E-4</v>
      </c>
      <c r="Z124">
        <v>-1.7718013637562052E-3</v>
      </c>
      <c r="AA124">
        <v>1.5548341857111779E-3</v>
      </c>
    </row>
    <row r="125" spans="1:27" x14ac:dyDescent="0.2">
      <c r="A125" s="5"/>
    </row>
    <row r="126" spans="1:27" x14ac:dyDescent="0.2">
      <c r="A126" s="45" t="s">
        <v>1327</v>
      </c>
      <c r="B126">
        <f t="array" ref="B126:AA126">MMULT(B70:AA70,B99:AA124)</f>
        <v>1.1290387859222126E-4</v>
      </c>
      <c r="C126">
        <v>-8.8931763985293782E-4</v>
      </c>
      <c r="D126">
        <v>2.0032548487463562E-4</v>
      </c>
      <c r="E126">
        <v>8.9274623947705714E-4</v>
      </c>
      <c r="F126">
        <v>-6.4716916005318095E-4</v>
      </c>
      <c r="G126">
        <v>-2.6084474461542857E-3</v>
      </c>
      <c r="H126">
        <v>5.2206013693907008E-4</v>
      </c>
      <c r="I126">
        <v>-7.2389556277961361E-4</v>
      </c>
      <c r="J126">
        <v>1.058904969405619E-3</v>
      </c>
      <c r="K126">
        <v>-1.5832867230769544E-3</v>
      </c>
      <c r="L126">
        <v>1.1122590522441745E-3</v>
      </c>
      <c r="M126">
        <v>3.9507843885116661E-3</v>
      </c>
      <c r="N126">
        <v>3.8398082565978403E-3</v>
      </c>
      <c r="O126">
        <v>-3.3937016279578401E-3</v>
      </c>
      <c r="P126">
        <v>-2.5886812162661675E-3</v>
      </c>
      <c r="Q126">
        <v>-9.1963059071442036E-4</v>
      </c>
      <c r="R126">
        <v>5.3512495275702138E-3</v>
      </c>
      <c r="S126">
        <v>-6.0901766749518098E-3</v>
      </c>
      <c r="T126">
        <v>2.3160857219249681E-2</v>
      </c>
      <c r="U126">
        <v>2.8290147555849281E-2</v>
      </c>
      <c r="V126">
        <v>-1.5101777108473182E-3</v>
      </c>
      <c r="W126">
        <v>-1.2368597463531569E-2</v>
      </c>
      <c r="X126">
        <v>-9.2505625675054892E-3</v>
      </c>
      <c r="Y126">
        <v>5.8220005490982822E-2</v>
      </c>
      <c r="Z126">
        <v>-6.1975760420482556E-2</v>
      </c>
      <c r="AA126">
        <v>1.7805997510122816E-2</v>
      </c>
    </row>
    <row r="127" spans="1:27" x14ac:dyDescent="0.2">
      <c r="A127" s="5"/>
    </row>
    <row r="128" spans="1:27" x14ac:dyDescent="0.2">
      <c r="A128" s="45" t="s">
        <v>345</v>
      </c>
      <c r="B128" s="5">
        <f t="array" ref="B128">Notes!C7^2-MMULT('Data_Matrix (2016)'!B126:AA126,TRANSPOSE('Data_Matrix (2016)'!B70:AA70))</f>
        <v>-3.7212182999004639E-3</v>
      </c>
    </row>
  </sheetData>
  <mergeCells count="2">
    <mergeCell ref="A72:A73"/>
    <mergeCell ref="A99:A100"/>
  </mergeCells>
  <conditionalFormatting sqref="A1:AA1">
    <cfRule type="colorScale" priority="10">
      <colorScale>
        <cfvo type="min"/>
        <cfvo type="max"/>
        <color rgb="FFFFEF9C"/>
        <color rgb="FF63BE7B"/>
      </colorScale>
    </cfRule>
    <cfRule type="cellIs" dxfId="9" priority="11" operator="equal">
      <formula>#DIV/0!</formula>
    </cfRule>
  </conditionalFormatting>
  <conditionalFormatting sqref="A2:A66">
    <cfRule type="colorScale" priority="56">
      <colorScale>
        <cfvo type="min"/>
        <cfvo type="max"/>
        <color rgb="FFFFEF9C"/>
        <color rgb="FF63BE7B"/>
      </colorScale>
    </cfRule>
    <cfRule type="cellIs" dxfId="8" priority="57" operator="equal">
      <formula>#DIV/0!</formula>
    </cfRule>
  </conditionalFormatting>
  <conditionalFormatting sqref="B2:AA66">
    <cfRule type="colorScale" priority="58">
      <colorScale>
        <cfvo type="min"/>
        <cfvo type="percentile" val="50"/>
        <cfvo type="max"/>
        <color rgb="FFF8696B"/>
        <color rgb="FFFFEB84"/>
        <color rgb="FF63BE7B"/>
      </colorScale>
    </cfRule>
  </conditionalFormatting>
  <conditionalFormatting sqref="B68:AA68">
    <cfRule type="colorScale" priority="6">
      <colorScale>
        <cfvo type="min"/>
        <cfvo type="percentile" val="50"/>
        <cfvo type="max"/>
        <color rgb="FFF8696B"/>
        <color rgb="FFFFEB84"/>
        <color rgb="FF63BE7B"/>
      </colorScale>
    </cfRule>
  </conditionalFormatting>
  <conditionalFormatting sqref="B70:AA70">
    <cfRule type="colorScale" priority="4">
      <colorScale>
        <cfvo type="min"/>
        <cfvo type="percentile" val="50"/>
        <cfvo type="max"/>
        <color rgb="FFF8696B"/>
        <color rgb="FFFFEB84"/>
        <color rgb="FF63BE7B"/>
      </colorScale>
    </cfRule>
  </conditionalFormatting>
  <conditionalFormatting sqref="B72:AA97">
    <cfRule type="colorScale" priority="3">
      <colorScale>
        <cfvo type="min"/>
        <cfvo type="percentile" val="50"/>
        <cfvo type="max"/>
        <color rgb="FFF8696B"/>
        <color rgb="FFFFEB84"/>
        <color rgb="FF63BE7B"/>
      </colorScale>
    </cfRule>
  </conditionalFormatting>
  <conditionalFormatting sqref="B99:AA124">
    <cfRule type="colorScale" priority="2">
      <colorScale>
        <cfvo type="min"/>
        <cfvo type="percentile" val="50"/>
        <cfvo type="max"/>
        <color rgb="FFF8696B"/>
        <color rgb="FFFFEB84"/>
        <color rgb="FF63BE7B"/>
      </colorScale>
    </cfRule>
  </conditionalFormatting>
  <conditionalFormatting sqref="B126:AA126">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A68"/>
  <sheetViews>
    <sheetView zoomScale="70" zoomScaleNormal="70"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9.1640625" defaultRowHeight="15" x14ac:dyDescent="0.2"/>
  <cols>
    <col min="1" max="1" width="21.5" style="1" customWidth="1"/>
    <col min="2" max="2" width="14.5" style="1" bestFit="1" customWidth="1"/>
    <col min="3" max="8" width="13.1640625" style="1" bestFit="1" customWidth="1"/>
    <col min="9" max="9" width="12.1640625" style="1" bestFit="1" customWidth="1"/>
    <col min="10" max="11" width="13.1640625" style="1" bestFit="1" customWidth="1"/>
    <col min="12" max="13" width="12.1640625" style="1" bestFit="1" customWidth="1"/>
    <col min="14" max="14" width="13.1640625" style="1" bestFit="1" customWidth="1"/>
    <col min="15" max="15" width="12.1640625" style="1" bestFit="1" customWidth="1"/>
    <col min="16" max="16" width="10.5" style="1" bestFit="1" customWidth="1"/>
    <col min="17" max="20" width="12.1640625" style="1" bestFit="1" customWidth="1"/>
    <col min="21" max="27" width="10.5" style="1" bestFit="1" customWidth="1"/>
    <col min="28" max="16384" width="9.1640625" style="1"/>
  </cols>
  <sheetData>
    <row r="1" spans="1:27" ht="100" x14ac:dyDescent="0.2">
      <c r="A1" s="41" t="s">
        <v>0</v>
      </c>
      <c r="B1" s="3" t="s">
        <v>254</v>
      </c>
      <c r="C1" s="3" t="s">
        <v>255</v>
      </c>
      <c r="D1" s="3" t="s">
        <v>256</v>
      </c>
      <c r="E1" s="3" t="s">
        <v>257</v>
      </c>
      <c r="F1" s="3" t="s">
        <v>258</v>
      </c>
      <c r="G1" s="3" t="s">
        <v>259</v>
      </c>
      <c r="H1" s="3" t="s">
        <v>260</v>
      </c>
      <c r="I1" s="3" t="s">
        <v>261</v>
      </c>
      <c r="J1" s="3" t="s">
        <v>262</v>
      </c>
      <c r="K1" s="3" t="s">
        <v>263</v>
      </c>
      <c r="L1" s="3" t="s">
        <v>264</v>
      </c>
      <c r="M1" s="3" t="s">
        <v>265</v>
      </c>
      <c r="N1" s="3" t="s">
        <v>266</v>
      </c>
      <c r="O1" s="3" t="s">
        <v>267</v>
      </c>
      <c r="P1" s="3" t="s">
        <v>268</v>
      </c>
      <c r="Q1" s="3" t="s">
        <v>269</v>
      </c>
      <c r="R1" s="3" t="s">
        <v>270</v>
      </c>
      <c r="S1" s="3" t="s">
        <v>271</v>
      </c>
      <c r="T1" s="3" t="s">
        <v>272</v>
      </c>
      <c r="U1" s="3" t="s">
        <v>273</v>
      </c>
      <c r="V1" s="3" t="s">
        <v>274</v>
      </c>
      <c r="W1" s="3" t="s">
        <v>275</v>
      </c>
      <c r="X1" s="3" t="s">
        <v>276</v>
      </c>
      <c r="Y1" s="3" t="s">
        <v>277</v>
      </c>
      <c r="Z1" s="3" t="s">
        <v>278</v>
      </c>
      <c r="AA1" s="3" t="s">
        <v>279</v>
      </c>
    </row>
    <row r="2" spans="1:27" x14ac:dyDescent="0.2">
      <c r="A2" s="1" t="s">
        <v>4</v>
      </c>
      <c r="B2" s="1">
        <f>Notes!$C$6*VLOOKUP(A2,[243]geoMap!$A:$B,2,0)</f>
        <v>100000</v>
      </c>
      <c r="C2" s="1">
        <f>B2/VLOOKUP(A2,'[244]geoMap (1)'!$A:$B,2,0)*VLOOKUP(A2,'[244]geoMap (1)'!$A:$C,3,0)</f>
        <v>72413.793103448275</v>
      </c>
      <c r="D2" s="1">
        <f>C2/VLOOKUP(A2,'[245]geoMap (2)'!$A:$B,2,0)*VLOOKUP(A2,'[245]geoMap (2)'!$A:$C,3,0)</f>
        <v>66843.501326259939</v>
      </c>
      <c r="E2" s="1">
        <f>D2/VLOOKUP(A2,'[246]geoMap (3)'!$A:$B,2,0)*VLOOKUP(A2,'[246]geoMap (3)'!$A:$C,3,0)</f>
        <v>22281.167108753314</v>
      </c>
      <c r="F2" s="1">
        <f>E2/VLOOKUP(A2,'[247]geoMap (4)'!$A:$B,2,0)*VLOOKUP(A2,'[247]geoMap (4)'!$A:$C,3,0)</f>
        <v>23190.602500947327</v>
      </c>
      <c r="G2" s="1">
        <f>F2/VLOOKUP(A2,'[248]geoMap (5)'!$A:$B,2,0)*VLOOKUP(A2,'[248]geoMap (5)'!$A:$C,3,0)</f>
        <v>37837.298817335111</v>
      </c>
      <c r="H2" s="1">
        <f>G2/VLOOKUP(A2,'[249]geoMap (6)'!$A:$B,2,0)*VLOOKUP(A2,'[249]geoMap (6)'!$A:$C,3,0)</f>
        <v>33553.831026693391</v>
      </c>
      <c r="I2" s="1">
        <f>H2/VLOOKUP(A2,'[250]geoMap (7)'!$A:$B,2,0)*VLOOKUP(A2,'[250]geoMap (7)'!$A:$C,3,0)</f>
        <v>6872.471415105877</v>
      </c>
      <c r="J2" s="1">
        <f>I2/VLOOKUP(A2,'[251]geoMap (8)'!$A:$B,2,0)*VLOOKUP(A2,'[251]geoMap (8)'!$A:$C,3,0)</f>
        <v>11212.97967727801</v>
      </c>
      <c r="K2" s="1">
        <f>J2/VLOOKUP(A2,'[252]geoMap (9)'!$A:$B,2,0)*VLOOKUP(A2,'[252]geoMap (9)'!$A:$C,3,0)</f>
        <v>15484.590982907726</v>
      </c>
      <c r="L2" s="1">
        <f>K2/VLOOKUP(A2,'[253]geoMap (10)'!$A:$B,2,0)*VLOOKUP(A2,'[253]geoMap (10)'!$A:$C,3,0)</f>
        <v>4367.4487387688459</v>
      </c>
      <c r="M2" s="1">
        <f>L2/VLOOKUP(A2,'[254]geoMap (11)'!$A:$B,2,0)*VLOOKUP(A2,'[254]geoMap (11)'!$A:$C,3,0)</f>
        <v>4731.4028003329167</v>
      </c>
      <c r="N2" s="1">
        <f>M2/VLOOKUP(A2,'[255]geoMap (12)'!$A:$B,2,0)*VLOOKUP(A2,'[255]geoMap (12)'!$A:$C,3,0)</f>
        <v>11039.939867443472</v>
      </c>
      <c r="O2" s="1">
        <f>N2/VLOOKUP(A2,'[256]geoMap (13)'!$A:$B,2,0)*VLOOKUP(A2,'[256]geoMap (13)'!$A:$C,3,0)</f>
        <v>6483.7742078636265</v>
      </c>
      <c r="P2" s="1">
        <f>O2/59*8</f>
        <v>879.15582479506804</v>
      </c>
      <c r="Q2" s="1">
        <f>O2/VLOOKUP(A2,'[257]geoMap (30)'!$A:$B,2,0)*VLOOKUP(A2,'[257]geoMap (30)'!$A:$C,3,0)</f>
        <v>3340.1261070812625</v>
      </c>
      <c r="R2" s="1">
        <f>Q2/VLOOKUP(A2,'[258]geoMap (16)'!$A:$B,2,0)*VLOOKUP(A2,'[258]geoMap (16)'!$A:$C,3,0)</f>
        <v>2135.4904619044137</v>
      </c>
      <c r="S2" s="1">
        <f>R2/VLOOKUP(A2,'[259]geoMap (17)'!$A:$B,2,0)*VLOOKUP(A2,'[259]geoMap (17)'!$A:$C,3,0)</f>
        <v>1971.2219648348434</v>
      </c>
      <c r="T2" s="1">
        <f>S2/VLOOKUP(A2,'[260]geoMap (18)'!$A:$B,2,0)*VLOOKUP(A2,'[260]geoMap (18)'!$A:$C,3,0)</f>
        <v>2135.4904619044137</v>
      </c>
      <c r="U2" s="1">
        <f>T2/VLOOKUP(A2,'[261]geoMap (19)'!$A:$B,2,0)*VLOOKUP(A2,'[261]geoMap (19)'!$A:$C,3,0)</f>
        <v>959.42325100053381</v>
      </c>
      <c r="V2" s="1">
        <f>U2/47*7</f>
        <v>142.89282461710079</v>
      </c>
      <c r="W2" s="1">
        <f>U2/52*48</f>
        <v>885.62146246203133</v>
      </c>
      <c r="X2" s="1">
        <f>W2/VLOOKUP(A2,'[262]geoMap (22)'!$A:$B,2,0)*VLOOKUP(A2,'[262]geoMap (22)'!$A:$C,3,0)</f>
        <v>279.66993551432569</v>
      </c>
      <c r="Y2" s="1">
        <f>X2/VLOOKUP(A2,'[263]geoMap (23)'!$A:$B,2,0)*VLOOKUP(A2,'[263]geoMap (23)'!$A:$C,3,0)</f>
        <v>594.29861296794218</v>
      </c>
      <c r="Z2" s="1">
        <f>Y2/VLOOKUP(A2,'[264]geoMap (24)'!$A:$B,2,0)*VLOOKUP(A2,'[264]geoMap (24)'!$A:$C,3,0)</f>
        <v>570.99278500841501</v>
      </c>
      <c r="AA2" s="1">
        <f>Z2/VLOOKUP(A2,'[265]geoMap (25)'!$A:$B,2,0)*VLOOKUP(A2,'[265]geoMap (25)'!$A:$C,3,0)</f>
        <v>365.06096090701942</v>
      </c>
    </row>
    <row r="3" spans="1:27" x14ac:dyDescent="0.2">
      <c r="A3" s="1" t="s">
        <v>8</v>
      </c>
      <c r="B3" s="1">
        <f>Notes!$C$6*VLOOKUP(A3,[243]geoMap!$A:$B,2,0)</f>
        <v>0</v>
      </c>
      <c r="C3" s="1" t="e">
        <f>B3/VLOOKUP(A3,'[244]geoMap (1)'!$A:$B,2,0)*VLOOKUP(A3,'[244]geoMap (1)'!$A:$C,3,0)</f>
        <v>#DIV/0!</v>
      </c>
      <c r="D3" s="1" t="e">
        <f>C3/VLOOKUP(A3,'[245]geoMap (2)'!$A:$B,2,0)*VLOOKUP(A3,'[245]geoMap (2)'!$A:$C,3,0)</f>
        <v>#DIV/0!</v>
      </c>
      <c r="E3" s="1" t="e">
        <f>D3/VLOOKUP(A3,'[246]geoMap (3)'!$A:$B,2,0)*VLOOKUP(A3,'[246]geoMap (3)'!$A:$C,3,0)</f>
        <v>#DIV/0!</v>
      </c>
      <c r="F3" s="1" t="e">
        <f>E3/VLOOKUP(A3,'[247]geoMap (4)'!$A:$B,2,0)*VLOOKUP(A3,'[247]geoMap (4)'!$A:$C,3,0)</f>
        <v>#DIV/0!</v>
      </c>
      <c r="G3" s="1" t="e">
        <f>F3/VLOOKUP(A3,'[248]geoMap (5)'!$A:$B,2,0)*VLOOKUP(A3,'[248]geoMap (5)'!$A:$C,3,0)</f>
        <v>#DIV/0!</v>
      </c>
      <c r="H3" s="1" t="e">
        <f>G3/VLOOKUP(A3,'[249]geoMap (6)'!$A:$B,2,0)*VLOOKUP(A3,'[249]geoMap (6)'!$A:$C,3,0)</f>
        <v>#DIV/0!</v>
      </c>
      <c r="I3" s="1" t="e">
        <f>H3/VLOOKUP(A3,'[250]geoMap (7)'!$A:$B,2,0)*VLOOKUP(A3,'[250]geoMap (7)'!$A:$C,3,0)</f>
        <v>#DIV/0!</v>
      </c>
      <c r="J3" s="1" t="e">
        <f>I3/VLOOKUP(A3,'[251]geoMap (8)'!$A:$B,2,0)*VLOOKUP(A3,'[251]geoMap (8)'!$A:$C,3,0)</f>
        <v>#DIV/0!</v>
      </c>
      <c r="K3" s="1" t="e">
        <f>J3/VLOOKUP(A3,'[252]geoMap (9)'!$A:$B,2,0)*VLOOKUP(A3,'[252]geoMap (9)'!$A:$C,3,0)</f>
        <v>#DIV/0!</v>
      </c>
      <c r="L3" s="1" t="e">
        <f>K3/VLOOKUP(A3,'[253]geoMap (10)'!$A:$B,2,0)*VLOOKUP(A3,'[253]geoMap (10)'!$A:$C,3,0)</f>
        <v>#DIV/0!</v>
      </c>
      <c r="M3" s="1" t="e">
        <f>L3/VLOOKUP(A3,'[254]geoMap (11)'!$A:$B,2,0)*VLOOKUP(A3,'[254]geoMap (11)'!$A:$C,3,0)</f>
        <v>#DIV/0!</v>
      </c>
      <c r="N3" s="1" t="e">
        <f>M3/VLOOKUP(A3,'[255]geoMap (12)'!$A:$B,2,0)*VLOOKUP(A3,'[255]geoMap (12)'!$A:$C,3,0)</f>
        <v>#DIV/0!</v>
      </c>
      <c r="O3" s="1" t="e">
        <f>N3/VLOOKUP(A3,'[256]geoMap (13)'!$A:$B,2,0)*VLOOKUP(A3,'[256]geoMap (13)'!$A:$C,3,0)</f>
        <v>#DIV/0!</v>
      </c>
      <c r="P3" s="1" t="e">
        <f>O3/VLOOKUP(A3,'[266]geoMap (14)'!$A:$B,2,0)*VLOOKUP(A3,'[266]geoMap (14)'!$A:$C,3,0)</f>
        <v>#DIV/0!</v>
      </c>
      <c r="Q3" s="1" t="e">
        <f>P3/VLOOKUP(A3,'[267]geoMap (15)'!$A:$B,2,0)*VLOOKUP(A3,'[267]geoMap (15)'!$A:$C,3,0)</f>
        <v>#DIV/0!</v>
      </c>
      <c r="R3" s="1" t="e">
        <f>Q3/VLOOKUP(A3,'[258]geoMap (16)'!$A:$B,2,0)*VLOOKUP(A3,'[258]geoMap (16)'!$A:$C,3,0)</f>
        <v>#DIV/0!</v>
      </c>
      <c r="S3" s="1" t="e">
        <f>R3/VLOOKUP(A3,'[259]geoMap (17)'!$A:$B,2,0)*VLOOKUP(A3,'[259]geoMap (17)'!$A:$C,3,0)</f>
        <v>#DIV/0!</v>
      </c>
      <c r="T3" s="1" t="e">
        <f>S3/VLOOKUP(A3,'[260]geoMap (18)'!$A:$B,2,0)*VLOOKUP(A3,'[260]geoMap (18)'!$A:$C,3,0)</f>
        <v>#DIV/0!</v>
      </c>
      <c r="U3" s="1" t="e">
        <f>T3/VLOOKUP(A3,'[261]geoMap (19)'!$A:$B,2,0)*VLOOKUP(A3,'[261]geoMap (19)'!$A:$C,3,0)</f>
        <v>#DIV/0!</v>
      </c>
      <c r="V3" s="1" t="e">
        <f>U3/VLOOKUP(A3,'[268]geoMap (20)'!$A:$B,2,0)*VLOOKUP(A3,'[268]geoMap (20)'!$A:$C,3,0)</f>
        <v>#DIV/0!</v>
      </c>
      <c r="W3" s="1" t="e">
        <f>V3/VLOOKUP(A3,'[269]geoMap (21)'!$A:$B,2,0)*VLOOKUP(A3,'[269]geoMap (21)'!$A:$C,3,0)</f>
        <v>#DIV/0!</v>
      </c>
      <c r="X3" s="1" t="e">
        <f>W3/VLOOKUP(A3,'[262]geoMap (22)'!$A:$B,2,0)*VLOOKUP(A3,'[262]geoMap (22)'!$A:$C,3,0)</f>
        <v>#DIV/0!</v>
      </c>
      <c r="Y3" s="1" t="e">
        <f>X3/VLOOKUP(A3,'[263]geoMap (23)'!$A:$B,2,0)*VLOOKUP(A3,'[263]geoMap (23)'!$A:$C,3,0)</f>
        <v>#DIV/0!</v>
      </c>
      <c r="Z3" s="1" t="e">
        <f>Y3/VLOOKUP(A3,'[264]geoMap (24)'!$A:$B,2,0)*VLOOKUP(A3,'[264]geoMap (24)'!$A:$C,3,0)</f>
        <v>#DIV/0!</v>
      </c>
      <c r="AA3" s="1" t="e">
        <f>Z3/VLOOKUP(A3,'[265]geoMap (25)'!$A:$B,2,0)*VLOOKUP(A3,'[265]geoMap (25)'!$A:$C,3,0)</f>
        <v>#DIV/0!</v>
      </c>
    </row>
    <row r="4" spans="1:27" x14ac:dyDescent="0.2">
      <c r="A4" s="1" t="s">
        <v>7</v>
      </c>
      <c r="B4" s="1">
        <f>Notes!$C$6*VLOOKUP(A4,[243]geoMap!$A:$B,2,0)</f>
        <v>41000</v>
      </c>
      <c r="C4" s="1">
        <f>B4/VLOOKUP(A4,'[244]geoMap (1)'!$A:$B,2,0)*VLOOKUP(A4,'[244]geoMap (1)'!$A:$C,3,0)</f>
        <v>1268.0412371134021</v>
      </c>
      <c r="D4" s="1">
        <f>C4/VLOOKUP(A4,'[245]geoMap (2)'!$A:$B,2,0)*VLOOKUP(A4,'[245]geoMap (2)'!$A:$C,3,0)</f>
        <v>4245.1815329448682</v>
      </c>
      <c r="E4" s="1">
        <f>D4/VLOOKUP(A4,'[246]geoMap (3)'!$A:$B,2,0)*VLOOKUP(A4,'[246]geoMap (3)'!$A:$C,3,0)</f>
        <v>2950.0414042498237</v>
      </c>
      <c r="F4" s="1">
        <f>E4/VLOOKUP(A4,'[247]geoMap (4)'!$A:$B,2,0)*VLOOKUP(A4,'[247]geoMap (4)'!$A:$C,3,0)</f>
        <v>3463.0920832497932</v>
      </c>
      <c r="G4" s="1">
        <f>F4/VLOOKUP(A4,'[248]geoMap (5)'!$A:$B,2,0)*VLOOKUP(A4,'[248]geoMap (5)'!$A:$C,3,0)</f>
        <v>1864.7418909806577</v>
      </c>
      <c r="H4" s="1">
        <f>G4/VLOOKUP(A4,'[249]geoMap (6)'!$A:$B,2,0)*VLOOKUP(A4,'[249]geoMap (6)'!$A:$C,3,0)</f>
        <v>2471.8671578115695</v>
      </c>
      <c r="I4" s="1">
        <f>H4/VLOOKUP(A4,'[250]geoMap (7)'!$A:$B,2,0)*VLOOKUP(A4,'[250]geoMap (7)'!$A:$C,3,0)</f>
        <v>102.99446490881542</v>
      </c>
      <c r="J4" s="1">
        <f>I4/VLOOKUP(A4,'[251]geoMap (8)'!$A:$B,2,0)*VLOOKUP(A4,'[251]geoMap (8)'!$A:$C,3,0)</f>
        <v>583.6353011499541</v>
      </c>
      <c r="K4" s="1">
        <f>J4/VLOOKUP(A4,'[252]geoMap (9)'!$A:$B,2,0)*VLOOKUP(A4,'[252]geoMap (9)'!$A:$C,3,0)</f>
        <v>805.97255873088898</v>
      </c>
      <c r="L4" s="1">
        <f>K4/VLOOKUP(A4,'[253]geoMap (10)'!$A:$B,2,0)*VLOOKUP(A4,'[253]geoMap (10)'!$A:$C,3,0)</f>
        <v>415.19798480076099</v>
      </c>
      <c r="M4" s="1">
        <f>L4/VLOOKUP(A4,'[254]geoMap (11)'!$A:$B,2,0)*VLOOKUP(A4,'[254]geoMap (11)'!$A:$C,3,0)</f>
        <v>254.47618423272448</v>
      </c>
      <c r="N4" s="1">
        <f>M4/VLOOKUP(A4,'[255]geoMap (12)'!$A:$B,2,0)*VLOOKUP(A4,'[255]geoMap (12)'!$A:$C,3,0)</f>
        <v>169.65078948848301</v>
      </c>
      <c r="O4" s="1">
        <f>N4/VLOOKUP(A4,'[256]geoMap (13)'!$A:$B,2,0)*VLOOKUP(A4,'[256]geoMap (13)'!$A:$C,3,0)</f>
        <v>224.88593025217514</v>
      </c>
      <c r="P4" s="1">
        <f>O4/VLOOKUP(A4,'[266]geoMap (14)'!$A:$B,2,0)*VLOOKUP(A4,'[266]geoMap (14)'!$A:$C,3,0)</f>
        <v>83.176987901489454</v>
      </c>
      <c r="Q4" s="1">
        <f>P4/VLOOKUP(A4,'[267]geoMap (15)'!$A:$B,2,0)*VLOOKUP(A4,'[267]geoMap (15)'!$A:$C,3,0)</f>
        <v>135.70982236558805</v>
      </c>
      <c r="R4" s="1">
        <f>Q4/VLOOKUP(A4,'[258]geoMap (16)'!$A:$B,2,0)*VLOOKUP(A4,'[258]geoMap (16)'!$A:$C,3,0)</f>
        <v>11.800854118746786</v>
      </c>
      <c r="S4" s="1">
        <f>R4/VLOOKUP(A4,'[259]geoMap (17)'!$A:$B,2,0)*VLOOKUP(A4,'[259]geoMap (17)'!$A:$C,3,0)</f>
        <v>95.479637869860355</v>
      </c>
      <c r="T4" s="1">
        <f>S4/VLOOKUP(A4,'[260]geoMap (18)'!$A:$B,2,0)*VLOOKUP(A4,'[260]geoMap (18)'!$A:$C,3,0)</f>
        <v>47.027284323961069</v>
      </c>
      <c r="U4" s="1">
        <f>T4/VLOOKUP(A4,'[261]geoMap (19)'!$A:$B,2,0)*VLOOKUP(A4,'[261]geoMap (19)'!$A:$C,3,0)</f>
        <v>40.060279238929802</v>
      </c>
      <c r="V4" s="1">
        <f>U4/26*2</f>
        <v>3.0815599414561388</v>
      </c>
      <c r="W4" s="1">
        <f>V4/4*15</f>
        <v>11.55584978046052</v>
      </c>
      <c r="X4" s="1">
        <f>V4/5*44</f>
        <v>27.117727484814022</v>
      </c>
      <c r="Y4" s="1">
        <f>X4/VLOOKUP(A4,'[263]geoMap (23)'!$A:$B,2,0)*VLOOKUP(A4,'[263]geoMap (23)'!$A:$C,3,0)</f>
        <v>15.926284395843156</v>
      </c>
      <c r="Z4" s="1">
        <f>Y4/VLOOKUP(A4,'[264]geoMap (24)'!$A:$B,2,0)*VLOOKUP(A4,'[264]geoMap (24)'!$A:$C,3,0)</f>
        <v>21.99344035616436</v>
      </c>
      <c r="AA4" s="1">
        <f>Z4/VLOOKUP(A4,'[265]geoMap (25)'!$A:$B,2,0)*VLOOKUP(A4,'[265]geoMap (25)'!$A:$C,3,0)</f>
        <v>11.329954122872548</v>
      </c>
    </row>
    <row r="5" spans="1:27" x14ac:dyDescent="0.2">
      <c r="A5" s="1" t="s">
        <v>11</v>
      </c>
      <c r="B5" s="1">
        <f>Notes!$C$6*VLOOKUP(A5,[243]geoMap!$A:$B,2,0)</f>
        <v>15000</v>
      </c>
      <c r="C5" s="1">
        <f>B5/VLOOKUP(A5,'[244]geoMap (1)'!$A:$B,2,0)*VLOOKUP(A5,'[244]geoMap (1)'!$A:$C,3,0)</f>
        <v>4480.5194805194806</v>
      </c>
      <c r="D5" s="1">
        <f>C5/VLOOKUP(A5,'[245]geoMap (2)'!$A:$B,2,0)*VLOOKUP(A5,'[245]geoMap (2)'!$A:$C,3,0)</f>
        <v>9096.8122786304612</v>
      </c>
      <c r="E5" s="1">
        <f>D5/VLOOKUP(A5,'[246]geoMap (3)'!$A:$B,2,0)*VLOOKUP(A5,'[246]geoMap (3)'!$A:$C,3,0)</f>
        <v>3364.5744044249655</v>
      </c>
      <c r="F5" s="1">
        <f>E5/VLOOKUP(A5,'[247]geoMap (4)'!$A:$B,2,0)*VLOOKUP(A5,'[247]geoMap (4)'!$A:$C,3,0)</f>
        <v>3794.0945411600683</v>
      </c>
      <c r="G5" s="1">
        <f>F5/VLOOKUP(A5,'[248]geoMap (5)'!$A:$B,2,0)*VLOOKUP(A5,'[248]geoMap (5)'!$A:$C,3,0)</f>
        <v>5239.4638901734279</v>
      </c>
      <c r="H5" s="1">
        <f>G5/VLOOKUP(A5,'[249]geoMap (6)'!$A:$B,2,0)*VLOOKUP(A5,'[249]geoMap (6)'!$A:$C,3,0)</f>
        <v>4116.7216279934073</v>
      </c>
      <c r="I5" s="1">
        <f>H5/VLOOKUP(A5,'[250]geoMap (7)'!$A:$B,2,0)*VLOOKUP(A5,'[250]geoMap (7)'!$A:$C,3,0)</f>
        <v>216.66955936807409</v>
      </c>
      <c r="J5" s="1">
        <f>I5/VLOOKUP(A5,'[251]geoMap (8)'!$A:$B,2,0)*VLOOKUP(A5,'[251]geoMap (8)'!$A:$C,3,0)</f>
        <v>1330.9701504038835</v>
      </c>
      <c r="K5" s="1">
        <f>J5/VLOOKUP(A5,'[252]geoMap (9)'!$A:$B,2,0)*VLOOKUP(A5,'[252]geoMap (9)'!$A:$C,3,0)</f>
        <v>2171.5828769747573</v>
      </c>
      <c r="L5" s="1">
        <f>K5/VLOOKUP(A5,'[253]geoMap (10)'!$A:$B,2,0)*VLOOKUP(A5,'[253]geoMap (10)'!$A:$C,3,0)</f>
        <v>1275.3740706042227</v>
      </c>
      <c r="M5" s="1">
        <f>L5/VLOOKUP(A5,'[254]geoMap (11)'!$A:$B,2,0)*VLOOKUP(A5,'[254]geoMap (11)'!$A:$C,3,0)</f>
        <v>815.40309432073263</v>
      </c>
      <c r="N5" s="1">
        <f>M5/VLOOKUP(A5,'[255]geoMap (12)'!$A:$B,2,0)*VLOOKUP(A5,'[255]geoMap (12)'!$A:$C,3,0)</f>
        <v>848.68485327259941</v>
      </c>
      <c r="O5" s="1">
        <f>N5/VLOOKUP(A5,'[256]geoMap (13)'!$A:$B,2,0)*VLOOKUP(A5,'[256]geoMap (13)'!$A:$C,3,0)</f>
        <v>815.40309432073263</v>
      </c>
      <c r="P5" s="1">
        <f>O5/VLOOKUP(A5,'[266]geoMap (14)'!$A:$B,2,0)*VLOOKUP(A5,'[266]geoMap (14)'!$A:$C,3,0)</f>
        <v>132.74003861035183</v>
      </c>
      <c r="Q5" s="1">
        <f>P5/VLOOKUP(A5,'[267]geoMap (15)'!$A:$B,2,0)*VLOOKUP(A5,'[267]geoMap (15)'!$A:$C,3,0)</f>
        <v>530.96015444140733</v>
      </c>
      <c r="R5" s="1">
        <f>Q5/VLOOKUP(A5,'[258]geoMap (16)'!$A:$B,2,0)*VLOOKUP(A5,'[258]geoMap (16)'!$A:$C,3,0)</f>
        <v>273.52492804557346</v>
      </c>
      <c r="S5" s="1">
        <f>R5/VLOOKUP(A5,'[259]geoMap (17)'!$A:$B,2,0)*VLOOKUP(A5,'[259]geoMap (17)'!$A:$C,3,0)</f>
        <v>486.26653874768613</v>
      </c>
      <c r="T5" s="1">
        <f>S5/VLOOKUP(A5,'[260]geoMap (18)'!$A:$B,2,0)*VLOOKUP(A5,'[260]geoMap (18)'!$A:$C,3,0)</f>
        <v>285.5851100581649</v>
      </c>
      <c r="U5" s="1">
        <f>T5/VLOOKUP(A5,'[261]geoMap (19)'!$A:$B,2,0)*VLOOKUP(A5,'[261]geoMap (19)'!$A:$C,3,0)</f>
        <v>182.58720151259723</v>
      </c>
      <c r="V5" s="1">
        <f>U5/VLOOKUP(A5,'[268]geoMap (20)'!$A:$B,2,0)*VLOOKUP(A5,'[268]geoMap (20)'!$A:$C,3,0)</f>
        <v>40.08011740520427</v>
      </c>
      <c r="W5" s="1">
        <f>V5/VLOOKUP(A5,'[269]geoMap (21)'!$A:$B,2,0)*VLOOKUP(A5,'[269]geoMap (21)'!$A:$C,3,0)</f>
        <v>134.18126261742299</v>
      </c>
      <c r="X5" s="1">
        <f>W5/VLOOKUP(A5,'[262]geoMap (22)'!$A:$B,2,0)*VLOOKUP(A5,'[262]geoMap (22)'!$A:$C,3,0)</f>
        <v>57.506255407466995</v>
      </c>
      <c r="Y5" s="1">
        <f>X5/VLOOKUP(A5,'[263]geoMap (23)'!$A:$B,2,0)*VLOOKUP(A5,'[263]geoMap (23)'!$A:$C,3,0)</f>
        <v>102.23334294660799</v>
      </c>
      <c r="Z5" s="1">
        <f>Y5/VLOOKUP(A5,'[264]geoMap (24)'!$A:$B,2,0)*VLOOKUP(A5,'[264]geoMap (24)'!$A:$C,3,0)</f>
        <v>74.031041444095436</v>
      </c>
      <c r="AA5" s="1">
        <f>Z5/VLOOKUP(A5,'[265]geoMap (25)'!$A:$B,2,0)*VLOOKUP(A5,'[265]geoMap (25)'!$A:$C,3,0)</f>
        <v>90.482383987227763</v>
      </c>
    </row>
    <row r="6" spans="1:27" x14ac:dyDescent="0.2">
      <c r="A6" s="1" t="s">
        <v>16</v>
      </c>
      <c r="B6" s="1">
        <f>Notes!$C$6*VLOOKUP(A6,[243]geoMap!$A:$B,2,0)</f>
        <v>27000</v>
      </c>
      <c r="C6" s="1">
        <f>B6/VLOOKUP(A6,'[244]geoMap (1)'!$A:$B,2,0)*VLOOKUP(A6,'[244]geoMap (1)'!$A:$C,3,0)</f>
        <v>2670.3296703296701</v>
      </c>
      <c r="D6" s="1">
        <f>C6/VLOOKUP(A6,'[245]geoMap (2)'!$A:$B,2,0)*VLOOKUP(A6,'[245]geoMap (2)'!$A:$C,3,0)</f>
        <v>8010.9890109890102</v>
      </c>
      <c r="E6" s="1">
        <f>D6/VLOOKUP(A6,'[246]geoMap (3)'!$A:$B,2,0)*VLOOKUP(A6,'[246]geoMap (3)'!$A:$C,3,0)</f>
        <v>9791.20879120879</v>
      </c>
      <c r="F6" s="1">
        <f>E6/VLOOKUP(A6,'[247]geoMap (4)'!$A:$B,2,0)*VLOOKUP(A6,'[247]geoMap (4)'!$A:$C,3,0)</f>
        <v>6001.0634526763552</v>
      </c>
      <c r="G6" s="1">
        <f>F6/VLOOKUP(A6,'[248]geoMap (5)'!$A:$B,2,0)*VLOOKUP(A6,'[248]geoMap (5)'!$A:$C,3,0)</f>
        <v>4527.1180432470755</v>
      </c>
      <c r="H6" s="1">
        <f>G6/VLOOKUP(A6,'[249]geoMap (6)'!$A:$B,2,0)*VLOOKUP(A6,'[249]geoMap (6)'!$A:$C,3,0)</f>
        <v>3856.4338886919531</v>
      </c>
      <c r="I6" s="1">
        <f>H6/VLOOKUP(A6,'[250]geoMap (7)'!$A:$B,2,0)*VLOOKUP(A6,'[250]geoMap (7)'!$A:$C,3,0)</f>
        <v>119.27115119665835</v>
      </c>
      <c r="J6" s="1">
        <f>I6/VLOOKUP(A6,'[251]geoMap (8)'!$A:$B,2,0)*VLOOKUP(A6,'[251]geoMap (8)'!$A:$C,3,0)</f>
        <v>1073.4403607699251</v>
      </c>
      <c r="K6" s="1">
        <f>J6/VLOOKUP(A6,'[252]geoMap (9)'!$A:$B,2,0)*VLOOKUP(A6,'[252]geoMap (9)'!$A:$C,3,0)</f>
        <v>1260.1256409038251</v>
      </c>
      <c r="L6" s="1">
        <f>K6/VLOOKUP(A6,'[253]geoMap (10)'!$A:$B,2,0)*VLOOKUP(A6,'[253]geoMap (10)'!$A:$C,3,0)</f>
        <v>840.08376060255023</v>
      </c>
      <c r="M6" s="1">
        <f>L6/VLOOKUP(A6,'[254]geoMap (11)'!$A:$B,2,0)*VLOOKUP(A6,'[254]geoMap (11)'!$A:$C,3,0)</f>
        <v>633.74739834929233</v>
      </c>
      <c r="N6" s="1">
        <f>M6/VLOOKUP(A6,'[255]geoMap (12)'!$A:$B,2,0)*VLOOKUP(A6,'[255]geoMap (12)'!$A:$C,3,0)</f>
        <v>584.99759847626979</v>
      </c>
      <c r="O6" s="1">
        <f>N6/VLOOKUP(A6,'[256]geoMap (13)'!$A:$B,2,0)*VLOOKUP(A6,'[256]geoMap (13)'!$A:$C,3,0)</f>
        <v>562.05651618308275</v>
      </c>
      <c r="P6" s="1">
        <f>O6/VLOOKUP(A6,'[266]geoMap (14)'!$A:$B,2,0)*VLOOKUP(A6,'[266]geoMap (14)'!$A:$C,3,0)</f>
        <v>302.64581640627529</v>
      </c>
      <c r="Q6" s="1">
        <f>P6/VLOOKUP(A6,'[267]geoMap (15)'!$A:$B,2,0)*VLOOKUP(A6,'[267]geoMap (15)'!$A:$C,3,0)</f>
        <v>257.80939916090119</v>
      </c>
      <c r="R6" s="1">
        <f>Q6/VLOOKUP(A6,'[258]geoMap (16)'!$A:$B,2,0)*VLOOKUP(A6,'[258]geoMap (16)'!$A:$C,3,0)</f>
        <v>31.864083042358576</v>
      </c>
      <c r="S6" s="1">
        <f>R6/VLOOKUP(A6,'[259]geoMap (17)'!$A:$B,2,0)*VLOOKUP(A6,'[259]geoMap (17)'!$A:$C,3,0)</f>
        <v>257.80939916090119</v>
      </c>
      <c r="T6" s="1">
        <f>S6/VLOOKUP(A6,'[260]geoMap (18)'!$A:$B,2,0)*VLOOKUP(A6,'[260]geoMap (18)'!$A:$C,3,0)</f>
        <v>328.12105347751066</v>
      </c>
      <c r="U6" s="1">
        <f>T6/VLOOKUP(A6,'[261]geoMap (19)'!$A:$B,2,0)*VLOOKUP(A6,'[261]geoMap (19)'!$A:$C,3,0)</f>
        <v>62.499248281430603</v>
      </c>
      <c r="V6" s="1">
        <f>U6/VLOOKUP(A6,'[268]geoMap (20)'!$A:$B,2,0)*VLOOKUP(A6,'[268]geoMap (20)'!$A:$C,3,0)</f>
        <v>25.527861974105456</v>
      </c>
      <c r="W6" s="1">
        <f>V6/VLOOKUP(A6,'[269]geoMap (21)'!$A:$B,2,0)*VLOOKUP(A6,'[269]geoMap (21)'!$A:$C,3,0)</f>
        <v>96.033385521634827</v>
      </c>
      <c r="X6" s="1">
        <f>W6/VLOOKUP(A6,'[262]geoMap (22)'!$A:$B,2,0)*VLOOKUP(A6,'[262]geoMap (22)'!$A:$C,3,0)</f>
        <v>132.61753238701951</v>
      </c>
      <c r="Y6" s="1">
        <f>X6/VLOOKUP(A6,'[263]geoMap (23)'!$A:$B,2,0)*VLOOKUP(A6,'[263]geoMap (23)'!$A:$C,3,0)</f>
        <v>65.319083115994673</v>
      </c>
      <c r="Z6" s="1">
        <f>Y6/VLOOKUP(A6,'[264]geoMap (24)'!$A:$B,2,0)*VLOOKUP(A6,'[264]geoMap (24)'!$A:$C,3,0)</f>
        <v>76.678923657906793</v>
      </c>
      <c r="AA6" s="1">
        <f>Z6/VLOOKUP(A6,'[265]geoMap (25)'!$A:$B,2,0)*VLOOKUP(A6,'[265]geoMap (25)'!$A:$C,3,0)</f>
        <v>86.467722422745979</v>
      </c>
    </row>
    <row r="7" spans="1:27" x14ac:dyDescent="0.2">
      <c r="A7" s="1" t="s">
        <v>18</v>
      </c>
      <c r="B7" s="1">
        <f>Notes!$C$6*VLOOKUP(A7,[243]geoMap!$A:$B,2,0)</f>
        <v>22000</v>
      </c>
      <c r="C7" s="1">
        <f>B7/VLOOKUP(A7,'[244]geoMap (1)'!$A:$B,2,0)*VLOOKUP(A7,'[244]geoMap (1)'!$A:$C,3,0)</f>
        <v>2175.8241758241757</v>
      </c>
      <c r="D7" s="1">
        <f>C7/VLOOKUP(A7,'[245]geoMap (2)'!$A:$B,2,0)*VLOOKUP(A7,'[245]geoMap (2)'!$A:$C,3,0)</f>
        <v>6192.730346576499</v>
      </c>
      <c r="E7" s="1">
        <f>D7/VLOOKUP(A7,'[246]geoMap (3)'!$A:$B,2,0)*VLOOKUP(A7,'[246]geoMap (3)'!$A:$C,3,0)</f>
        <v>6708.7912087912073</v>
      </c>
      <c r="F7" s="1">
        <f>E7/VLOOKUP(A7,'[247]geoMap (4)'!$A:$B,2,0)*VLOOKUP(A7,'[247]geoMap (4)'!$A:$C,3,0)</f>
        <v>6445.7013574660623</v>
      </c>
      <c r="G7" s="1">
        <f>F7/VLOOKUP(A7,'[248]geoMap (5)'!$A:$B,2,0)*VLOOKUP(A7,'[248]geoMap (5)'!$A:$C,3,0)</f>
        <v>3320.5128205128199</v>
      </c>
      <c r="H7" s="1">
        <f>G7/VLOOKUP(A7,'[249]geoMap (6)'!$A:$B,2,0)*VLOOKUP(A7,'[249]geoMap (6)'!$A:$C,3,0)</f>
        <v>2404.5092838196283</v>
      </c>
      <c r="I7" s="1">
        <f>H7/VLOOKUP(A7,'[250]geoMap (7)'!$A:$B,2,0)*VLOOKUP(A7,'[250]geoMap (7)'!$A:$C,3,0)</f>
        <v>126.5531202010331</v>
      </c>
      <c r="J7" s="1">
        <f>H7/VLOOKUP(A7,'[270]geoMap (28)'!$A:$B,2,0)*VLOOKUP(A7,'[270]geoMap (28)'!$A:$C,3,0)</f>
        <v>1030.5039787798407</v>
      </c>
      <c r="K7" s="1">
        <f>J7/VLOOKUP(A7,'[252]geoMap (9)'!$A:$B,2,0)*VLOOKUP(A7,'[252]geoMap (9)'!$A:$C,3,0)</f>
        <v>1259.5048629531389</v>
      </c>
      <c r="L7" s="1">
        <f>K7/VLOOKUP(A7,'[253]geoMap (10)'!$A:$B,2,0)*VLOOKUP(A7,'[253]geoMap (10)'!$A:$C,3,0)</f>
        <v>912.05524558675575</v>
      </c>
      <c r="M7" s="1">
        <f>L7/VLOOKUP(A7,'[254]geoMap (11)'!$A:$B,2,0)*VLOOKUP(A7,'[254]geoMap (11)'!$A:$C,3,0)</f>
        <v>535.65149343984058</v>
      </c>
      <c r="N7" s="1">
        <f>M7/VLOOKUP(A7,'[255]geoMap (12)'!$A:$B,2,0)*VLOOKUP(A7,'[255]geoMap (12)'!$A:$C,3,0)</f>
        <v>420.86903055987472</v>
      </c>
      <c r="O7" s="1">
        <f>N7/VLOOKUP(A7,'[256]geoMap (13)'!$A:$B,2,0)*VLOOKUP(A7,'[256]geoMap (13)'!$A:$C,3,0)</f>
        <v>474.59699190794385</v>
      </c>
      <c r="P7" s="1">
        <f>O7/VLOOKUP(A7,'[266]geoMap (14)'!$A:$B,2,0)*VLOOKUP(A7,'[266]geoMap (14)'!$A:$C,3,0)</f>
        <v>774.34246048138209</v>
      </c>
      <c r="Q7" s="1">
        <f>P7/VLOOKUP(A7,'[267]geoMap (15)'!$A:$B,2,0)*VLOOKUP(A7,'[267]geoMap (15)'!$A:$C,3,0)</f>
        <v>286.40063606845644</v>
      </c>
      <c r="R7" s="1">
        <f>Q7/47*8</f>
        <v>48.749044437184075</v>
      </c>
      <c r="S7" s="1">
        <f>Q7/VLOOKUP(A7,'[271]geoMap (31)'!$A:$B,2,0)*VLOOKUP(A7,'[271]geoMap (31)'!$A:$C,3,0)</f>
        <v>207.39356404957189</v>
      </c>
      <c r="T7" s="1">
        <f>S7/VLOOKUP(A7,'[260]geoMap (18)'!$A:$B,2,0)*VLOOKUP(A7,'[260]geoMap (18)'!$A:$C,3,0)</f>
        <v>199.2604831064514</v>
      </c>
      <c r="U7" s="1">
        <f>T7/VLOOKUP(A7,'[261]geoMap (19)'!$A:$B,2,0)*VLOOKUP(A7,'[261]geoMap (19)'!$A:$C,3,0)</f>
        <v>70.010440010374822</v>
      </c>
      <c r="V7" s="1">
        <f>U7/27*11</f>
        <v>28.522771856078627</v>
      </c>
      <c r="W7" s="1">
        <f>O7/VLOOKUP(A7,'[272]geoMap (33)'!$A:$B,2,0)*VLOOKUP(A7,'[272]geoMap (33)'!$A:$C,3,0)</f>
        <v>52.732999100882651</v>
      </c>
      <c r="X7" s="1">
        <f>W7/VLOOKUP(A7,'[262]geoMap (22)'!$A:$B,2,0)*VLOOKUP(A7,'[262]geoMap (22)'!$A:$C,3,0)</f>
        <v>97.932712615924927</v>
      </c>
      <c r="Y7" s="1">
        <f>X7/VLOOKUP(A7,'[263]geoMap (23)'!$A:$B,2,0)*VLOOKUP(A7,'[263]geoMap (23)'!$A:$C,3,0)</f>
        <v>50.450185286991626</v>
      </c>
      <c r="Z7" s="1">
        <f>Y7/VLOOKUP(A7,'[264]geoMap (24)'!$A:$B,2,0)*VLOOKUP(A7,'[264]geoMap (24)'!$A:$C,3,0)</f>
        <v>46.569401803376877</v>
      </c>
      <c r="AA7" s="1">
        <f>Z7/VLOOKUP(A7,'[265]geoMap (25)'!$A:$B,2,0)*VLOOKUP(A7,'[265]geoMap (25)'!$A:$C,3,0)</f>
        <v>31.046267868917923</v>
      </c>
    </row>
    <row r="8" spans="1:27" x14ac:dyDescent="0.2">
      <c r="A8" s="1" t="s">
        <v>20</v>
      </c>
      <c r="B8" s="1">
        <f>Notes!$C$6*VLOOKUP(A8,[243]geoMap!$A:$B,2,0)</f>
        <v>16000</v>
      </c>
      <c r="C8" s="1">
        <f>B8/VLOOKUP(A8,'[244]geoMap (1)'!$A:$B,2,0)*VLOOKUP(A8,'[244]geoMap (1)'!$A:$C,3,0)</f>
        <v>1204.3010752688174</v>
      </c>
      <c r="D8" s="1">
        <f>C8/VLOOKUP(A8,'[245]geoMap (2)'!$A:$B,2,0)*VLOOKUP(A8,'[245]geoMap (2)'!$A:$C,3,0)</f>
        <v>2140.9796893667867</v>
      </c>
      <c r="E8" s="1">
        <f>D8/VLOOKUP(A8,'[246]geoMap (3)'!$A:$B,2,0)*VLOOKUP(A8,'[246]geoMap (3)'!$A:$C,3,0)</f>
        <v>1682.1983273596181</v>
      </c>
      <c r="F8" s="1">
        <f>E8/VLOOKUP(A8,'[247]geoMap (4)'!$A:$B,2,0)*VLOOKUP(A8,'[247]geoMap (4)'!$A:$C,3,0)</f>
        <v>4325.6528417818745</v>
      </c>
      <c r="G8" s="1">
        <f>F8/66*12</f>
        <v>786.48233486943172</v>
      </c>
      <c r="H8" s="1">
        <f>B8/VLOOKUP(A8,'[273]geoMap (26)'!$A:$B,2,0)*VLOOKUP(A8,'[273]geoMap (26)'!$A:$C,3,0)</f>
        <v>842.10526315789491</v>
      </c>
      <c r="I8" s="1">
        <f>H8/VLOOKUP(A8,'[250]geoMap (7)'!$A:$B,2,0)*VLOOKUP(A8,'[250]geoMap (7)'!$A:$C,3,0)</f>
        <v>93.567251461988334</v>
      </c>
      <c r="J8" s="1">
        <f>I8/VLOOKUP(A8,'[251]geoMap (8)'!$A:$B,2,0)*VLOOKUP(A8,'[251]geoMap (8)'!$A:$C,3,0)</f>
        <v>491.22807017543869</v>
      </c>
      <c r="K8" s="1">
        <f>J8/VLOOKUP(A8,'[252]geoMap (9)'!$A:$B,2,0)*VLOOKUP(A8,'[252]geoMap (9)'!$A:$C,3,0)</f>
        <v>706.88917415489959</v>
      </c>
      <c r="L8" s="1">
        <f>K8/VLOOKUP(A8,'[253]geoMap (10)'!$A:$B,2,0)*VLOOKUP(A8,'[253]geoMap (10)'!$A:$C,3,0)</f>
        <v>176.7222935387249</v>
      </c>
      <c r="M8" s="1">
        <f>L8/VLOOKUP(A8,'[254]geoMap (11)'!$A:$B,2,0)*VLOOKUP(A8,'[254]geoMap (11)'!$A:$C,3,0)</f>
        <v>183.93544837704019</v>
      </c>
      <c r="N8" s="1">
        <f>M8/58*34</f>
        <v>107.8242283589546</v>
      </c>
      <c r="O8" s="1">
        <f>H8/VLOOKUP(A8,'[274]geoMap (29)'!$A:$B,2,0)*VLOOKUP(A8,'[274]geoMap (29)'!$A:$C,3,0)</f>
        <v>237.51686909581653</v>
      </c>
      <c r="P8" s="1">
        <f>O8/VLOOKUP(A8,'[266]geoMap (14)'!$A:$B,2,0)*VLOOKUP(A8,'[266]geoMap (14)'!$A:$C,3,0)</f>
        <v>441.10275689223073</v>
      </c>
      <c r="Q8" s="1">
        <f>P8/VLOOKUP(A8,'[267]geoMap (15)'!$A:$B,2,0)*VLOOKUP(A8,'[267]geoMap (15)'!$A:$C,3,0)</f>
        <v>227.2347535505431</v>
      </c>
      <c r="R8" s="1">
        <f>Q8/49*6</f>
        <v>27.824663700066502</v>
      </c>
      <c r="S8" s="1">
        <f>Q8/VLOOKUP(A8,'[271]geoMap (31)'!$A:$B,2,0)*VLOOKUP(A8,'[271]geoMap (31)'!$A:$C,3,0)</f>
        <v>97.386322950232753</v>
      </c>
      <c r="T8" s="1">
        <f>S8/39*13</f>
        <v>32.462107650077584</v>
      </c>
      <c r="U8" s="1">
        <f>S8/VLOOKUP(A8,'[275]geoMap (32)'!$A:$B,2,0)*VLOOKUP(A8,'[275]geoMap (32)'!$A:$C,3,0)</f>
        <v>67.675241372195643</v>
      </c>
      <c r="V8" s="1">
        <f>U8/VLOOKUP(A8,'[268]geoMap (20)'!$A:$B,2,0)*VLOOKUP(A8,'[268]geoMap (20)'!$A:$C,3,0)</f>
        <v>10.112392388948775</v>
      </c>
      <c r="W8" s="1">
        <f>V8/16*24</f>
        <v>15.168588583423162</v>
      </c>
      <c r="X8" s="1">
        <f>V8/17*25</f>
        <v>14.871165277865847</v>
      </c>
      <c r="Y8" s="1">
        <f>V8/VLOOKUP(A8,'[276]geoMap (34)'!$A:$B,2,0)*VLOOKUP(A8,'[276]geoMap (34)'!$A:$C,3,0)</f>
        <v>28.781424491623437</v>
      </c>
      <c r="Z8" s="1">
        <f>Y8/VLOOKUP(A8,'[264]geoMap (24)'!$A:$B,2,0)*VLOOKUP(A8,'[264]geoMap (24)'!$A:$C,3,0)</f>
        <v>8.5970488741212865</v>
      </c>
      <c r="AA8" s="1">
        <f>Z8/20*28</f>
        <v>12.035868423769802</v>
      </c>
    </row>
    <row r="9" spans="1:27" x14ac:dyDescent="0.2">
      <c r="A9" s="1" t="s">
        <v>32</v>
      </c>
      <c r="B9" s="1">
        <f>Notes!$C$6*VLOOKUP(A9,[243]geoMap!$A:$B,2,0)</f>
        <v>10000</v>
      </c>
      <c r="C9" s="1">
        <f>B9/VLOOKUP(A9,'[244]geoMap (1)'!$A:$B,2,0)*VLOOKUP(A9,'[244]geoMap (1)'!$A:$C,3,0)</f>
        <v>4285.7142857142853</v>
      </c>
      <c r="D9" s="1">
        <f>C9/VLOOKUP(A9,'[245]geoMap (2)'!$A:$B,2,0)*VLOOKUP(A9,'[245]geoMap (2)'!$A:$C,3,0)</f>
        <v>5681.0631229235869</v>
      </c>
      <c r="E9" s="1">
        <f>D9/VLOOKUP(A9,'[246]geoMap (3)'!$A:$B,2,0)*VLOOKUP(A9,'[246]geoMap (3)'!$A:$C,3,0)</f>
        <v>6669.0741008233417</v>
      </c>
      <c r="F9" s="1">
        <f>E9/VLOOKUP(A9,'[247]geoMap (4)'!$A:$B,2,0)*VLOOKUP(A9,'[247]geoMap (4)'!$A:$C,3,0)</f>
        <v>4829.3295212858684</v>
      </c>
      <c r="G9" s="1">
        <f>F9/VLOOKUP(A9,'[248]geoMap (5)'!$A:$B,2,0)*VLOOKUP(A9,'[248]geoMap (5)'!$A:$C,3,0)</f>
        <v>4457.8426350331083</v>
      </c>
      <c r="H9" s="1">
        <f>G9/VLOOKUP(A9,'[249]geoMap (6)'!$A:$B,2,0)*VLOOKUP(A9,'[249]geoMap (6)'!$A:$C,3,0)</f>
        <v>2618.098055495635</v>
      </c>
      <c r="I9" s="1">
        <f>H9/VLOOKUP(A9,'[250]geoMap (7)'!$A:$B,2,0)*VLOOKUP(A9,'[250]geoMap (7)'!$A:$C,3,0)</f>
        <v>391.21005426946266</v>
      </c>
      <c r="J9" s="1">
        <f>I9/VLOOKUP(A9,'[251]geoMap (8)'!$A:$B,2,0)*VLOOKUP(A9,'[251]geoMap (8)'!$A:$C,3,0)</f>
        <v>1782.1791361164412</v>
      </c>
      <c r="K9" s="1">
        <f>J9/VLOOKUP(A9,'[252]geoMap (9)'!$A:$B,2,0)*VLOOKUP(A9,'[252]geoMap (9)'!$A:$C,3,0)</f>
        <v>1400.2836069486323</v>
      </c>
      <c r="L9" s="1">
        <f>K9/VLOOKUP(A9,'[253]geoMap (10)'!$A:$B,2,0)*VLOOKUP(A9,'[253]geoMap (10)'!$A:$C,3,0)</f>
        <v>858.23833974271008</v>
      </c>
      <c r="M9" s="1">
        <f>L9/VLOOKUP(A9,'[254]geoMap (11)'!$A:$B,2,0)*VLOOKUP(A9,'[254]geoMap (11)'!$A:$C,3,0)</f>
        <v>824.5819342626038</v>
      </c>
      <c r="N9" s="1">
        <f>M9/VLOOKUP(A9,'[255]geoMap (12)'!$A:$B,2,0)*VLOOKUP(A9,'[255]geoMap (12)'!$A:$C,3,0)</f>
        <v>622.0530381279292</v>
      </c>
      <c r="O9" s="1">
        <f>N9/VLOOKUP(A9,'[256]geoMap (13)'!$A:$B,2,0)*VLOOKUP(A9,'[256]geoMap (13)'!$A:$C,3,0)</f>
        <v>647.44295805151808</v>
      </c>
      <c r="P9" s="1">
        <f>O9/VLOOKUP(A9,'[266]geoMap (14)'!$A:$B,2,0)*VLOOKUP(A9,'[266]geoMap (14)'!$A:$C,3,0)</f>
        <v>380.24427695089156</v>
      </c>
      <c r="Q9" s="1">
        <f>P9/VLOOKUP(A9,'[267]geoMap (15)'!$A:$B,2,0)*VLOOKUP(A9,'[267]geoMap (15)'!$A:$C,3,0)</f>
        <v>223.318067415603</v>
      </c>
      <c r="R9" s="1">
        <f>Q9/VLOOKUP(A9,'[258]geoMap (16)'!$A:$B,2,0)*VLOOKUP(A9,'[258]geoMap (16)'!$A:$C,3,0)</f>
        <v>120.24819014686314</v>
      </c>
      <c r="S9" s="1">
        <f>R9/VLOOKUP(A9,'[259]geoMap (17)'!$A:$B,2,0)*VLOOKUP(A9,'[259]geoMap (17)'!$A:$C,3,0)</f>
        <v>223.318067415603</v>
      </c>
      <c r="T9" s="1">
        <f>S9/VLOOKUP(A9,'[260]geoMap (18)'!$A:$B,2,0)*VLOOKUP(A9,'[260]geoMap (18)'!$A:$C,3,0)</f>
        <v>182.71478243094788</v>
      </c>
      <c r="U9" s="1">
        <f>T9/VLOOKUP(A9,'[261]geoMap (19)'!$A:$B,2,0)*VLOOKUP(A9,'[261]geoMap (19)'!$A:$C,3,0)</f>
        <v>111.98647955445193</v>
      </c>
      <c r="V9" s="1">
        <f>U9/VLOOKUP(A9,'[268]geoMap (20)'!$A:$B,2,0)*VLOOKUP(A9,'[268]geoMap (20)'!$A:$C,3,0)</f>
        <v>148.44719382799443</v>
      </c>
      <c r="W9" s="1">
        <f>V9/VLOOKUP(A9,'[269]geoMap (21)'!$A:$B,2,0)*VLOOKUP(A9,'[269]geoMap (21)'!$A:$C,3,0)</f>
        <v>57.729464266442285</v>
      </c>
      <c r="X9" s="1">
        <f>W9/VLOOKUP(A9,'[262]geoMap (22)'!$A:$B,2,0)*VLOOKUP(A9,'[262]geoMap (22)'!$A:$C,3,0)</f>
        <v>102.63015869589741</v>
      </c>
      <c r="Y9" s="1">
        <f>X9/VLOOKUP(A9,'[263]geoMap (23)'!$A:$B,2,0)*VLOOKUP(A9,'[263]geoMap (23)'!$A:$C,3,0)</f>
        <v>153.9452380438461</v>
      </c>
      <c r="Z9" s="1">
        <f>Y9/VLOOKUP(A9,'[264]geoMap (24)'!$A:$B,2,0)*VLOOKUP(A9,'[264]geoMap (24)'!$A:$C,3,0)</f>
        <v>51.315079347948704</v>
      </c>
      <c r="AA9" s="1">
        <f>Z9/VLOOKUP(A9,'[265]geoMap (25)'!$A:$B,2,0)*VLOOKUP(A9,'[265]geoMap (25)'!$A:$C,3,0)</f>
        <v>40.318990916245404</v>
      </c>
    </row>
    <row r="10" spans="1:27" x14ac:dyDescent="0.2">
      <c r="A10" s="1" t="s">
        <v>37</v>
      </c>
      <c r="B10" s="1">
        <f>Notes!$C$6*VLOOKUP(A10,[243]geoMap!$A:$B,2,0)</f>
        <v>10000</v>
      </c>
      <c r="C10" s="1">
        <f>B10/VLOOKUP(A10,'[244]geoMap (1)'!$A:$B,2,0)*VLOOKUP(A10,'[244]geoMap (1)'!$A:$C,3,0)</f>
        <v>1363.6363636363635</v>
      </c>
      <c r="D10" s="1">
        <f>B10/71*29</f>
        <v>4084.5070422535209</v>
      </c>
      <c r="E10" s="1">
        <f>D10/VLOOKUP(A10,'[246]geoMap (3)'!$A:$B,2,0)*VLOOKUP(A10,'[246]geoMap (3)'!$A:$C,3,0)</f>
        <v>4084.5070422535209</v>
      </c>
      <c r="F10" s="1">
        <f>E10/VLOOKUP(A10,'[247]geoMap (4)'!$A:$B,2,0)*VLOOKUP(A10,'[247]geoMap (4)'!$A:$C,3,0)</f>
        <v>3770.3141928494033</v>
      </c>
      <c r="G10" s="1">
        <f>F10/VLOOKUP(A10,'[248]geoMap (5)'!$A:$B,2,0)*VLOOKUP(A10,'[248]geoMap (5)'!$A:$C,3,0)</f>
        <v>1774.2655025173663</v>
      </c>
      <c r="H10" s="1">
        <f>G10/VLOOKUP(A10,'[249]geoMap (6)'!$A:$B,2,0)*VLOOKUP(A10,'[249]geoMap (6)'!$A:$C,3,0)</f>
        <v>1704.6864632029597</v>
      </c>
      <c r="I10" s="1">
        <f>H10/60*4</f>
        <v>113.64576421353064</v>
      </c>
      <c r="J10" s="1">
        <f>H10/VLOOKUP(A10,'[270]geoMap (28)'!$A:$B,2,0)*VLOOKUP(A10,'[270]geoMap (28)'!$A:$C,3,0)</f>
        <v>878.17181437728232</v>
      </c>
      <c r="K10" s="1">
        <f>J10/VLOOKUP(A10,'[252]geoMap (9)'!$A:$B,2,0)*VLOOKUP(A10,'[252]geoMap (9)'!$A:$C,3,0)</f>
        <v>610.25498965200973</v>
      </c>
      <c r="L10" s="1">
        <f>K10/VLOOKUP(A10,'[253]geoMap (10)'!$A:$B,2,0)*VLOOKUP(A10,'[253]geoMap (10)'!$A:$C,3,0)</f>
        <v>358.40372408133908</v>
      </c>
      <c r="M10" s="1">
        <f>L10/60*31</f>
        <v>185.17525744202518</v>
      </c>
      <c r="N10" s="1">
        <f>M10/36*41</f>
        <v>210.89404319786203</v>
      </c>
      <c r="O10" s="1">
        <f>H10/VLOOKUP(A10,'[274]geoMap (29)'!$A:$B,2,0)*VLOOKUP(A10,'[274]geoMap (29)'!$A:$C,3,0)</f>
        <v>374.199467532357</v>
      </c>
      <c r="P10" s="1">
        <f>O10/56*15</f>
        <v>100.23200023188134</v>
      </c>
      <c r="Q10" s="1">
        <f>O10/VLOOKUP(A10,'[257]geoMap (30)'!$A:$B,2,0)*VLOOKUP(A10,'[257]geoMap (30)'!$A:$C,3,0)</f>
        <v>118.16825290495484</v>
      </c>
      <c r="R10" s="1">
        <f>Q10/VLOOKUP(A10,'[258]geoMap (16)'!$A:$B,2,0)*VLOOKUP(A10,'[258]geoMap (16)'!$A:$C,3,0)</f>
        <v>20.853221100874382</v>
      </c>
      <c r="S10" s="1">
        <f>Q10/37*22</f>
        <v>70.262204429973153</v>
      </c>
      <c r="T10" s="1">
        <f>Q10/65*35</f>
        <v>63.629059256514147</v>
      </c>
      <c r="U10" s="1">
        <f>T10/VLOOKUP(A10,'[261]geoMap (19)'!$A:$B,2,0)*VLOOKUP(A10,'[261]geoMap (19)'!$A:$C,3,0)</f>
        <v>38.998455673347387</v>
      </c>
      <c r="V10" s="1">
        <f>U10/VLOOKUP(A10,'[268]geoMap (20)'!$A:$B,2,0)*VLOOKUP(A10,'[268]geoMap (20)'!$A:$C,3,0)</f>
        <v>15.928946683479918</v>
      </c>
      <c r="W10" s="1">
        <f>V10/14*14</f>
        <v>15.928946683479918</v>
      </c>
      <c r="X10" s="1">
        <f>V10/18*31</f>
        <v>27.433185954882081</v>
      </c>
      <c r="Y10" s="1">
        <f>V10/VLOOKUP(A10,'[276]geoMap (34)'!$A:$B,2,0)*VLOOKUP(A10,'[276]geoMap (34)'!$A:$C,3,0)</f>
        <v>56.475356423246986</v>
      </c>
      <c r="Z10" s="1">
        <f>Y10/VLOOKUP(A10,'[264]geoMap (24)'!$A:$B,2,0)*VLOOKUP(A10,'[264]geoMap (24)'!$A:$C,3,0)</f>
        <v>58.780473011950953</v>
      </c>
      <c r="AA10" s="1">
        <f>Z10/VLOOKUP(A10,'[265]geoMap (25)'!$A:$B,2,0)*VLOOKUP(A10,'[265]geoMap (25)'!$A:$C,3,0)</f>
        <v>69.003163970551114</v>
      </c>
    </row>
    <row r="11" spans="1:27" x14ac:dyDescent="0.2">
      <c r="A11" s="1" t="s">
        <v>42</v>
      </c>
      <c r="B11" s="1">
        <f>Notes!$C$6*VLOOKUP(A11,[243]geoMap!$A:$B,2,0)</f>
        <v>8000</v>
      </c>
      <c r="C11" s="1">
        <f>B11/VLOOKUP(A11,'[244]geoMap (1)'!$A:$B,2,0)*VLOOKUP(A11,'[244]geoMap (1)'!$A:$C,3,0)</f>
        <v>5114.7540983606559</v>
      </c>
      <c r="D11" s="1">
        <f>C11/VLOOKUP(A11,'[245]geoMap (2)'!$A:$B,2,0)*VLOOKUP(A11,'[245]geoMap (2)'!$A:$C,3,0)</f>
        <v>6004.2765502494658</v>
      </c>
      <c r="E11" s="1">
        <f>D11/VLOOKUP(A11,'[246]geoMap (3)'!$A:$B,2,0)*VLOOKUP(A11,'[246]geoMap (3)'!$A:$C,3,0)</f>
        <v>4347.9243984565101</v>
      </c>
      <c r="F11" s="1">
        <f>E11/VLOOKUP(A11,'[247]geoMap (4)'!$A:$B,2,0)*VLOOKUP(A11,'[247]geoMap (4)'!$A:$C,3,0)</f>
        <v>2046.0820698618868</v>
      </c>
      <c r="G11" s="1">
        <f>F11/VLOOKUP(A11,'[248]geoMap (5)'!$A:$B,2,0)*VLOOKUP(A11,'[248]geoMap (5)'!$A:$C,3,0)</f>
        <v>5261.3538939305654</v>
      </c>
      <c r="H11" s="1">
        <f>G11/VLOOKUP(A11,'[249]geoMap (6)'!$A:$B,2,0)*VLOOKUP(A11,'[249]geoMap (6)'!$A:$C,3,0)</f>
        <v>2710.3944302066552</v>
      </c>
      <c r="I11" s="1">
        <f>H11/VLOOKUP(A11,'[250]geoMap (7)'!$A:$B,2,0)*VLOOKUP(A11,'[250]geoMap (7)'!$A:$C,3,0)</f>
        <v>301.15493668962836</v>
      </c>
      <c r="J11" s="1">
        <f>I11/VLOOKUP(A11,'[251]geoMap (8)'!$A:$B,2,0)*VLOOKUP(A11,'[251]geoMap (8)'!$A:$C,3,0)</f>
        <v>1067.7311391723188</v>
      </c>
      <c r="K11" s="1">
        <f>J11/VLOOKUP(A11,'[252]geoMap (9)'!$A:$B,2,0)*VLOOKUP(A11,'[252]geoMap (9)'!$A:$C,3,0)</f>
        <v>1358.9305407647694</v>
      </c>
      <c r="L11" s="1">
        <f>K11/VLOOKUP(A11,'[253]geoMap (10)'!$A:$B,2,0)*VLOOKUP(A11,'[253]geoMap (10)'!$A:$C,3,0)</f>
        <v>582.39880318490111</v>
      </c>
      <c r="M11" s="1">
        <f>L11/VLOOKUP(A11,'[254]geoMap (11)'!$A:$B,2,0)*VLOOKUP(A11,'[254]geoMap (11)'!$A:$C,3,0)</f>
        <v>582.39880318490111</v>
      </c>
      <c r="N11" s="1">
        <f>M11/VLOOKUP(A11,'[255]geoMap (12)'!$A:$B,2,0)*VLOOKUP(A11,'[255]geoMap (12)'!$A:$C,3,0)</f>
        <v>873.5982047773515</v>
      </c>
      <c r="O11" s="1">
        <f>N11/VLOOKUP(A11,'[256]geoMap (13)'!$A:$B,2,0)*VLOOKUP(A11,'[256]geoMap (13)'!$A:$C,3,0)</f>
        <v>470.39903334165075</v>
      </c>
      <c r="P11" s="1">
        <f>O11/VLOOKUP(A11,'[266]geoMap (14)'!$A:$B,2,0)*VLOOKUP(A11,'[266]geoMap (14)'!$A:$C,3,0)</f>
        <v>110.34051399372055</v>
      </c>
      <c r="Q11" s="1">
        <f>P11/VLOOKUP(A11,'[267]geoMap (15)'!$A:$B,2,0)*VLOOKUP(A11,'[267]geoMap (15)'!$A:$C,3,0)</f>
        <v>165.5107709905808</v>
      </c>
      <c r="R11" s="1">
        <f>Q11/VLOOKUP(A11,'[258]geoMap (16)'!$A:$B,2,0)*VLOOKUP(A11,'[258]geoMap (16)'!$A:$C,3,0)</f>
        <v>105.81836178086314</v>
      </c>
      <c r="S11" s="1">
        <f>R11/VLOOKUP(A11,'[259]geoMap (17)'!$A:$B,2,0)*VLOOKUP(A11,'[259]geoMap (17)'!$A:$C,3,0)</f>
        <v>272.10435886507662</v>
      </c>
      <c r="T11" s="1">
        <f>S11/VLOOKUP(A11,'[260]geoMap (18)'!$A:$B,2,0)*VLOOKUP(A11,'[260]geoMap (18)'!$A:$C,3,0)</f>
        <v>189.08946971979898</v>
      </c>
      <c r="U11" s="1">
        <f>T11/VLOOKUP(A11,'[261]geoMap (19)'!$A:$B,2,0)*VLOOKUP(A11,'[261]geoMap (19)'!$A:$C,3,0)</f>
        <v>50.264289419187065</v>
      </c>
      <c r="V11" s="1">
        <f>U11/VLOOKUP(A11,'[268]geoMap (20)'!$A:$B,2,0)*VLOOKUP(A11,'[268]geoMap (20)'!$A:$C,3,0)</f>
        <v>11.790388876105608</v>
      </c>
      <c r="W11" s="1">
        <f>V11/VLOOKUP(A11,'[269]geoMap (21)'!$A:$B,2,0)*VLOOKUP(A11,'[269]geoMap (21)'!$A:$C,3,0)</f>
        <v>66.812203631265106</v>
      </c>
      <c r="X11" s="1">
        <f>W11/VLOOKUP(A11,'[262]geoMap (22)'!$A:$B,2,0)*VLOOKUP(A11,'[262]geoMap (22)'!$A:$C,3,0)</f>
        <v>81.659359993768462</v>
      </c>
      <c r="Y11" s="1">
        <f>X11/VLOOKUP(A11,'[263]geoMap (23)'!$A:$B,2,0)*VLOOKUP(A11,'[263]geoMap (23)'!$A:$C,3,0)</f>
        <v>145.17219554447726</v>
      </c>
      <c r="Z11" s="1">
        <f>Y11/VLOOKUP(A11,'[264]geoMap (24)'!$A:$B,2,0)*VLOOKUP(A11,'[264]geoMap (24)'!$A:$C,3,0)</f>
        <v>40.946003871519224</v>
      </c>
      <c r="AA11" s="1">
        <f>Z11/VLOOKUP(A11,'[265]geoMap (25)'!$A:$B,2,0)*VLOOKUP(A11,'[265]geoMap (25)'!$A:$C,3,0)</f>
        <v>76.042578618535714</v>
      </c>
    </row>
    <row r="12" spans="1:27" x14ac:dyDescent="0.2">
      <c r="A12" s="1" t="s">
        <v>43</v>
      </c>
      <c r="B12" s="1">
        <f>Notes!$C$6*VLOOKUP(A12,[243]geoMap!$A:$B,2,0)</f>
        <v>9000</v>
      </c>
      <c r="C12" s="1">
        <f>B12/VLOOKUP(A12,'[244]geoMap (1)'!$A:$B,2,0)*VLOOKUP(A12,'[244]geoMap (1)'!$A:$C,3,0)</f>
        <v>2111.1111111111109</v>
      </c>
      <c r="D12" s="1">
        <f>C12/VLOOKUP(A12,'[245]geoMap (2)'!$A:$B,2,0)*VLOOKUP(A12,'[245]geoMap (2)'!$A:$C,3,0)</f>
        <v>6333.3333333333321</v>
      </c>
      <c r="E12" s="1">
        <f>D12/VLOOKUP(A12,'[246]geoMap (3)'!$A:$B,2,0)*VLOOKUP(A12,'[246]geoMap (3)'!$A:$C,3,0)</f>
        <v>3562.4999999999995</v>
      </c>
      <c r="F12" s="1">
        <f>E12/VLOOKUP(A12,'[247]geoMap (4)'!$A:$B,2,0)*VLOOKUP(A12,'[247]geoMap (4)'!$A:$C,3,0)</f>
        <v>3159.1981132075466</v>
      </c>
      <c r="G12" s="1">
        <f>F12/VLOOKUP(A12,'[248]geoMap (5)'!$A:$B,2,0)*VLOOKUP(A12,'[248]geoMap (5)'!$A:$C,3,0)</f>
        <v>3861.2421383647797</v>
      </c>
      <c r="H12" s="1">
        <f>G12/VLOOKUP(A12,'[249]geoMap (6)'!$A:$B,2,0)*VLOOKUP(A12,'[249]geoMap (6)'!$A:$C,3,0)</f>
        <v>3289.2062660144416</v>
      </c>
      <c r="I12" s="1">
        <f>H12/VLOOKUP(A12,'[250]geoMap (7)'!$A:$B,2,0)*VLOOKUP(A12,'[250]geoMap (7)'!$A:$C,3,0)</f>
        <v>325.30611422120847</v>
      </c>
      <c r="J12" s="1">
        <f>I12/VLOOKUP(A12,'[251]geoMap (8)'!$A:$B,2,0)*VLOOKUP(A12,'[251]geoMap (8)'!$A:$C,3,0)</f>
        <v>2632.0221968806868</v>
      </c>
      <c r="K12" s="1">
        <f>J12/VLOOKUP(A12,'[252]geoMap (9)'!$A:$B,2,0)*VLOOKUP(A12,'[252]geoMap (9)'!$A:$C,3,0)</f>
        <v>1182.5027261348014</v>
      </c>
      <c r="L12" s="1">
        <f>K12/VLOOKUP(A12,'[253]geoMap (10)'!$A:$B,2,0)*VLOOKUP(A12,'[253]geoMap (10)'!$A:$C,3,0)</f>
        <v>353.21510001429129</v>
      </c>
      <c r="M12" s="1">
        <f>L12/VLOOKUP(A12,'[254]geoMap (11)'!$A:$B,2,0)*VLOOKUP(A12,'[254]geoMap (11)'!$A:$C,3,0)</f>
        <v>382.6496916821489</v>
      </c>
      <c r="N12" s="1">
        <f>M12/VLOOKUP(A12,'[255]geoMap (12)'!$A:$B,2,0)*VLOOKUP(A12,'[255]geoMap (12)'!$A:$C,3,0)</f>
        <v>742.79057797123028</v>
      </c>
      <c r="O12" s="1">
        <f>N12/VLOOKUP(A12,'[256]geoMap (13)'!$A:$B,2,0)*VLOOKUP(A12,'[256]geoMap (13)'!$A:$C,3,0)</f>
        <v>274.73076171538656</v>
      </c>
      <c r="P12" s="1">
        <f>O12/VLOOKUP(A12,'[266]geoMap (14)'!$A:$B,2,0)*VLOOKUP(A12,'[266]geoMap (14)'!$A:$C,3,0)</f>
        <v>243.6291660494937</v>
      </c>
      <c r="Q12" s="1">
        <f>P12/VLOOKUP(A12,'[267]geoMap (15)'!$A:$B,2,0)*VLOOKUP(A12,'[267]geoMap (15)'!$A:$C,3,0)</f>
        <v>143.08379593382963</v>
      </c>
      <c r="R12" s="1">
        <f>Q12/39*4</f>
        <v>14.675261121418425</v>
      </c>
      <c r="S12" s="1">
        <f>Q12/VLOOKUP(A12,'[271]geoMap (31)'!$A:$B,2,0)*VLOOKUP(A12,'[271]geoMap (31)'!$A:$C,3,0)</f>
        <v>243.6291660494937</v>
      </c>
      <c r="T12" s="1">
        <f>S12/VLOOKUP(A12,'[260]geoMap (18)'!$A:$B,2,0)*VLOOKUP(A12,'[260]geoMap (18)'!$A:$C,3,0)</f>
        <v>149.32110177227034</v>
      </c>
      <c r="U12" s="1">
        <f>S12/56*8</f>
        <v>34.8041665784991</v>
      </c>
      <c r="V12" s="1">
        <f>U12/19*11</f>
        <v>20.149780650710007</v>
      </c>
      <c r="W12" s="1">
        <f>O12/VLOOKUP(A12,'[272]geoMap (33)'!$A:$B,2,0)*VLOOKUP(A12,'[272]geoMap (33)'!$A:$C,3,0)</f>
        <v>44.723612372272235</v>
      </c>
      <c r="X12" s="1">
        <f>W12/VLOOKUP(A12,'[262]geoMap (22)'!$A:$B,2,0)*VLOOKUP(A12,'[262]geoMap (22)'!$A:$C,3,0)</f>
        <v>22.028047884850505</v>
      </c>
      <c r="Y12" s="1">
        <f>X12/VLOOKUP(A12,'[263]geoMap (23)'!$A:$B,2,0)*VLOOKUP(A12,'[263]geoMap (23)'!$A:$C,3,0)</f>
        <v>31.698898175760483</v>
      </c>
      <c r="Z12" s="1">
        <f>Y12/VLOOKUP(A12,'[264]geoMap (24)'!$A:$B,2,0)*VLOOKUP(A12,'[264]geoMap (24)'!$A:$C,3,0)</f>
        <v>10.010178371292783</v>
      </c>
      <c r="AA12" s="1">
        <f>Z12/VLOOKUP(A12,'[265]geoMap (25)'!$A:$B,2,0)*VLOOKUP(A12,'[265]geoMap (25)'!$A:$C,3,0)</f>
        <v>24.507678081440954</v>
      </c>
    </row>
    <row r="13" spans="1:27" x14ac:dyDescent="0.2">
      <c r="A13" s="1" t="s">
        <v>48</v>
      </c>
      <c r="B13" s="1">
        <f>Notes!$C$6*VLOOKUP(A13,[243]geoMap!$A:$B,2,0)</f>
        <v>11000</v>
      </c>
      <c r="C13" s="1">
        <f>B13/VLOOKUP(A13,'[244]geoMap (1)'!$A:$B,2,0)*VLOOKUP(A13,'[244]geoMap (1)'!$A:$C,3,0)</f>
        <v>3666.6666666666665</v>
      </c>
      <c r="D13" s="1">
        <f>C13/VLOOKUP(A13,'[245]geoMap (2)'!$A:$B,2,0)*VLOOKUP(A13,'[245]geoMap (2)'!$A:$C,3,0)</f>
        <v>6243.2432432432433</v>
      </c>
      <c r="E13" s="1">
        <f>D13/VLOOKUP(A13,'[246]geoMap (3)'!$A:$B,2,0)*VLOOKUP(A13,'[246]geoMap (3)'!$A:$C,3,0)</f>
        <v>5762.9937629937631</v>
      </c>
      <c r="F13" s="1">
        <f>E13/VLOOKUP(A13,'[247]geoMap (4)'!$A:$B,2,0)*VLOOKUP(A13,'[247]geoMap (4)'!$A:$C,3,0)</f>
        <v>4173.2023800989318</v>
      </c>
      <c r="G13" s="1">
        <f>F13/VLOOKUP(A13,'[248]geoMap (5)'!$A:$B,2,0)*VLOOKUP(A13,'[248]geoMap (5)'!$A:$C,3,0)</f>
        <v>4343.5371711233784</v>
      </c>
      <c r="H13" s="1">
        <f>G13/VLOOKUP(A13,'[249]geoMap (6)'!$A:$B,2,0)*VLOOKUP(A13,'[249]geoMap (6)'!$A:$C,3,0)</f>
        <v>2237.5797548211344</v>
      </c>
      <c r="I13" s="1">
        <f>H13/VLOOKUP(A13,'[250]geoMap (7)'!$A:$B,2,0)*VLOOKUP(A13,'[250]geoMap (7)'!$A:$C,3,0)</f>
        <v>491.17604374122465</v>
      </c>
      <c r="J13" s="1">
        <f>I13/VLOOKUP(A13,'[251]geoMap (8)'!$A:$B,2,0)*VLOOKUP(A13,'[251]geoMap (8)'!$A:$C,3,0)</f>
        <v>1555.3908051805447</v>
      </c>
      <c r="K13" s="1">
        <f>J13/VLOOKUP(A13,'[252]geoMap (9)'!$A:$B,2,0)*VLOOKUP(A13,'[252]geoMap (9)'!$A:$C,3,0)</f>
        <v>1494.3950873303272</v>
      </c>
      <c r="L13" s="1">
        <f>K13/VLOOKUP(A13,'[253]geoMap (10)'!$A:$B,2,0)*VLOOKUP(A13,'[253]geoMap (10)'!$A:$C,3,0)</f>
        <v>915.91956965407155</v>
      </c>
      <c r="M13" s="1">
        <f>L13/VLOOKUP(A13,'[254]geoMap (11)'!$A:$B,2,0)*VLOOKUP(A13,'[254]geoMap (11)'!$A:$C,3,0)</f>
        <v>1032.8454721631022</v>
      </c>
      <c r="N13" s="1">
        <f>M13/VLOOKUP(A13,'[255]geoMap (12)'!$A:$B,2,0)*VLOOKUP(A13,'[255]geoMap (12)'!$A:$C,3,0)</f>
        <v>779.16412812304213</v>
      </c>
      <c r="O13" s="1">
        <f>N13/VLOOKUP(A13,'[256]geoMap (13)'!$A:$B,2,0)*VLOOKUP(A13,'[256]geoMap (13)'!$A:$C,3,0)</f>
        <v>612.20038638239021</v>
      </c>
      <c r="P13" s="1">
        <f>O13/VLOOKUP(A13,'[266]geoMap (14)'!$A:$B,2,0)*VLOOKUP(A13,'[266]geoMap (14)'!$A:$C,3,0)</f>
        <v>238.07792803759619</v>
      </c>
      <c r="Q13" s="1">
        <f>P13/VLOOKUP(A13,'[267]geoMap (15)'!$A:$B,2,0)*VLOOKUP(A13,'[267]geoMap (15)'!$A:$C,3,0)</f>
        <v>211.12570976918906</v>
      </c>
      <c r="R13" s="1">
        <f>Q13/VLOOKUP(A13,'[258]geoMap (16)'!$A:$B,2,0)*VLOOKUP(A13,'[258]geoMap (16)'!$A:$C,3,0)</f>
        <v>99.353275185500735</v>
      </c>
      <c r="S13" s="1">
        <f>R13/VLOOKUP(A13,'[259]geoMap (17)'!$A:$B,2,0)*VLOOKUP(A13,'[259]geoMap (17)'!$A:$C,3,0)</f>
        <v>452.60936473394776</v>
      </c>
      <c r="T13" s="1">
        <f>S13/VLOOKUP(A13,'[260]geoMap (18)'!$A:$B,2,0)*VLOOKUP(A13,'[260]geoMap (18)'!$A:$C,3,0)</f>
        <v>222.92700054060114</v>
      </c>
      <c r="U13" s="1">
        <f>T13/VLOOKUP(A13,'[261]geoMap (19)'!$A:$B,2,0)*VLOOKUP(A13,'[261]geoMap (19)'!$A:$C,3,0)</f>
        <v>114.84118209667332</v>
      </c>
      <c r="V13" s="1">
        <f>U13/VLOOKUP(A13,'[268]geoMap (20)'!$A:$B,2,0)*VLOOKUP(A13,'[268]geoMap (20)'!$A:$C,3,0)</f>
        <v>38.280394032224443</v>
      </c>
      <c r="W13" s="1">
        <f>V13/VLOOKUP(A13,'[269]geoMap (21)'!$A:$B,2,0)*VLOOKUP(A13,'[269]geoMap (21)'!$A:$C,3,0)</f>
        <v>98.435298940005694</v>
      </c>
      <c r="X13" s="1">
        <f>W13/VLOOKUP(A13,'[262]geoMap (22)'!$A:$B,2,0)*VLOOKUP(A13,'[262]geoMap (22)'!$A:$C,3,0)</f>
        <v>57.811207313971593</v>
      </c>
      <c r="Y13" s="1">
        <f>X13/VLOOKUP(A13,'[263]geoMap (23)'!$A:$B,2,0)*VLOOKUP(A13,'[263]geoMap (23)'!$A:$C,3,0)</f>
        <v>83.191737354251799</v>
      </c>
      <c r="Z13" s="1">
        <f>Y13/VLOOKUP(A13,'[264]geoMap (24)'!$A:$B,2,0)*VLOOKUP(A13,'[264]geoMap (24)'!$A:$C,3,0)</f>
        <v>44.795550883058652</v>
      </c>
      <c r="AA13" s="1">
        <f>Z13/VLOOKUP(A13,'[265]geoMap (25)'!$A:$B,2,0)*VLOOKUP(A13,'[265]geoMap (25)'!$A:$C,3,0)</f>
        <v>39.724356443467101</v>
      </c>
    </row>
    <row r="14" spans="1:27" x14ac:dyDescent="0.2">
      <c r="A14" s="1" t="s">
        <v>44</v>
      </c>
      <c r="B14" s="1">
        <f>Notes!$C$6*VLOOKUP(A14,[243]geoMap!$A:$B,2,0)</f>
        <v>14000</v>
      </c>
      <c r="C14" s="1">
        <f>B14/VLOOKUP(A14,'[244]geoMap (1)'!$A:$B,2,0)*VLOOKUP(A14,'[244]geoMap (1)'!$A:$C,3,0)</f>
        <v>893.61702127659578</v>
      </c>
      <c r="D14" s="1">
        <f>C14/VLOOKUP(A14,'[245]geoMap (2)'!$A:$B,2,0)*VLOOKUP(A14,'[245]geoMap (2)'!$A:$C,3,0)</f>
        <v>3574.4680851063831</v>
      </c>
      <c r="E14" s="1">
        <f>D14/VLOOKUP(A14,'[246]geoMap (3)'!$A:$B,2,0)*VLOOKUP(A14,'[246]geoMap (3)'!$A:$C,3,0)</f>
        <v>3720.3647416413378</v>
      </c>
      <c r="F14" s="1">
        <f>E14/VLOOKUP(A14,'[247]geoMap (4)'!$A:$B,2,0)*VLOOKUP(A14,'[247]geoMap (4)'!$A:$C,3,0)</f>
        <v>4030.3951367781165</v>
      </c>
      <c r="G14" s="1">
        <f>F14/VLOOKUP(A14,'[248]geoMap (5)'!$A:$B,2,0)*VLOOKUP(A14,'[248]geoMap (5)'!$A:$C,3,0)</f>
        <v>1985.1199927414602</v>
      </c>
      <c r="H14" s="1">
        <f>G14/VLOOKUP(A14,'[249]geoMap (6)'!$A:$B,2,0)*VLOOKUP(A14,'[249]geoMap (6)'!$A:$C,3,0)</f>
        <v>4860.1213615394372</v>
      </c>
      <c r="I14" s="1">
        <f>H14/VLOOKUP(A14,'[250]geoMap (7)'!$A:$B,2,0)*VLOOKUP(A14,'[250]geoMap (7)'!$A:$C,3,0)</f>
        <v>49.092134965044828</v>
      </c>
      <c r="J14" s="1">
        <f>I14/VLOOKUP(A14,'[251]geoMap (8)'!$A:$B,2,0)*VLOOKUP(A14,'[251]geoMap (8)'!$A:$C,3,0)</f>
        <v>769.11011445236886</v>
      </c>
      <c r="K14" s="1">
        <f>J14/VLOOKUP(A14,'[252]geoMap (9)'!$A:$B,2,0)*VLOOKUP(A14,'[252]geoMap (9)'!$A:$C,3,0)</f>
        <v>629.27191182466538</v>
      </c>
      <c r="L14" s="1">
        <f>K14/VLOOKUP(A14,'[253]geoMap (10)'!$A:$B,2,0)*VLOOKUP(A14,'[253]geoMap (10)'!$A:$C,3,0)</f>
        <v>709.60449631292056</v>
      </c>
      <c r="M14" s="1">
        <f>L14/VLOOKUP(A14,'[254]geoMap (11)'!$A:$B,2,0)*VLOOKUP(A14,'[254]geoMap (11)'!$A:$C,3,0)</f>
        <v>416.75184704092163</v>
      </c>
      <c r="N14" s="1">
        <f>M14/VLOOKUP(A14,'[255]geoMap (12)'!$A:$B,2,0)*VLOOKUP(A14,'[255]geoMap (12)'!$A:$C,3,0)</f>
        <v>277.83456469394781</v>
      </c>
      <c r="O14" s="1">
        <f>N14/VLOOKUP(A14,'[256]geoMap (13)'!$A:$B,2,0)*VLOOKUP(A14,'[256]geoMap (13)'!$A:$C,3,0)</f>
        <v>300.9874450851101</v>
      </c>
      <c r="P14" s="1">
        <f>O14/VLOOKUP(A14,'[266]geoMap (14)'!$A:$B,2,0)*VLOOKUP(A14,'[266]geoMap (14)'!$A:$C,3,0)</f>
        <v>300.9874450851101</v>
      </c>
      <c r="Q14" s="1">
        <f>P14/VLOOKUP(A14,'[267]geoMap (15)'!$A:$B,2,0)*VLOOKUP(A14,'[267]geoMap (15)'!$A:$C,3,0)</f>
        <v>227.0607041870129</v>
      </c>
      <c r="R14" s="1">
        <f>Q14/VLOOKUP(A14,'[258]geoMap (16)'!$A:$B,2,0)*VLOOKUP(A14,'[258]geoMap (16)'!$A:$C,3,0)</f>
        <v>25.228967131890325</v>
      </c>
      <c r="S14" s="1">
        <f>R14/VLOOKUP(A14,'[259]geoMap (17)'!$A:$B,2,0)*VLOOKUP(A14,'[259]geoMap (17)'!$A:$C,3,0)</f>
        <v>168.84001080572756</v>
      </c>
      <c r="T14" s="1">
        <f>S14/VLOOKUP(A14,'[260]geoMap (18)'!$A:$B,2,0)*VLOOKUP(A14,'[260]geoMap (18)'!$A:$C,3,0)</f>
        <v>75.855657028660218</v>
      </c>
      <c r="U14" s="1">
        <f>T14/VLOOKUP(A14,'[261]geoMap (19)'!$A:$B,2,0)*VLOOKUP(A14,'[261]geoMap (19)'!$A:$C,3,0)</f>
        <v>46.492176888533677</v>
      </c>
      <c r="V14" s="1">
        <f>U14/VLOOKUP(A14,'[268]geoMap (20)'!$A:$B,2,0)*VLOOKUP(A14,'[268]geoMap (20)'!$A:$C,3,0)</f>
        <v>6.3398423029818645</v>
      </c>
      <c r="W14" s="1">
        <f>V14/VLOOKUP(A14,'[269]geoMap (21)'!$A:$B,2,0)*VLOOKUP(A14,'[269]geoMap (21)'!$A:$C,3,0)</f>
        <v>22.477622710572064</v>
      </c>
      <c r="X14" s="1">
        <f>W14/VLOOKUP(A14,'[262]geoMap (22)'!$A:$B,2,0)*VLOOKUP(A14,'[262]geoMap (22)'!$A:$C,3,0)</f>
        <v>47.764948259965635</v>
      </c>
      <c r="Y14" s="1">
        <f>X14/VLOOKUP(A14,'[263]geoMap (23)'!$A:$B,2,0)*VLOOKUP(A14,'[263]geoMap (23)'!$A:$C,3,0)</f>
        <v>65.961119025666832</v>
      </c>
      <c r="Z14" s="1">
        <f>Y14/VLOOKUP(A14,'[264]geoMap (24)'!$A:$B,2,0)*VLOOKUP(A14,'[264]geoMap (24)'!$A:$C,3,0)</f>
        <v>49.760142422871475</v>
      </c>
      <c r="AA14" s="1">
        <f>Z14/VLOOKUP(A14,'[265]geoMap (25)'!$A:$B,2,0)*VLOOKUP(A14,'[265]geoMap (25)'!$A:$C,3,0)</f>
        <v>37.538353055850415</v>
      </c>
    </row>
    <row r="15" spans="1:27" x14ac:dyDescent="0.2">
      <c r="A15" s="1" t="s">
        <v>55</v>
      </c>
      <c r="B15" s="1">
        <f>Notes!$C$6*VLOOKUP(A15,[243]geoMap!$A:$B,2,0)</f>
        <v>8000</v>
      </c>
      <c r="C15" s="1">
        <f>B15/VLOOKUP(A15,'[244]geoMap (1)'!$A:$B,2,0)*VLOOKUP(A15,'[244]geoMap (1)'!$A:$C,3,0)</f>
        <v>3267.605633802817</v>
      </c>
      <c r="D15" s="1">
        <f>C15/VLOOKUP(A15,'[245]geoMap (2)'!$A:$B,2,0)*VLOOKUP(A15,'[245]geoMap (2)'!$A:$C,3,0)</f>
        <v>4512.4077800134137</v>
      </c>
      <c r="E15" s="1">
        <f>D15/VLOOKUP(A15,'[246]geoMap (3)'!$A:$B,2,0)*VLOOKUP(A15,'[246]geoMap (3)'!$A:$C,3,0)</f>
        <v>4512.4077800134137</v>
      </c>
      <c r="F15" s="1">
        <f>E15/VLOOKUP(A15,'[247]geoMap (4)'!$A:$B,2,0)*VLOOKUP(A15,'[247]geoMap (4)'!$A:$C,3,0)</f>
        <v>3404.0970972031018</v>
      </c>
      <c r="G15" s="1">
        <f>F15/VLOOKUP(A15,'[248]geoMap (5)'!$A:$B,2,0)*VLOOKUP(A15,'[248]geoMap (5)'!$A:$C,3,0)</f>
        <v>3270.6030933912152</v>
      </c>
      <c r="H15" s="1">
        <f>G15/VLOOKUP(A15,'[249]geoMap (6)'!$A:$B,2,0)*VLOOKUP(A15,'[249]geoMap (6)'!$A:$C,3,0)</f>
        <v>1761.0939733645002</v>
      </c>
      <c r="I15" s="1">
        <f>H15/VLOOKUP(A15,'[250]geoMap (7)'!$A:$B,2,0)*VLOOKUP(A15,'[250]geoMap (7)'!$A:$C,3,0)</f>
        <v>195.67710815161115</v>
      </c>
      <c r="J15" s="1">
        <f>I15/VLOOKUP(A15,'[251]geoMap (8)'!$A:$B,2,0)*VLOOKUP(A15,'[251]geoMap (8)'!$A:$C,3,0)</f>
        <v>1434.9654597784818</v>
      </c>
      <c r="K15" s="1">
        <f>J15/VLOOKUP(A15,'[252]geoMap (9)'!$A:$B,2,0)*VLOOKUP(A15,'[252]geoMap (9)'!$A:$C,3,0)</f>
        <v>1222.3779842557437</v>
      </c>
      <c r="L15" s="1">
        <f>K15/VLOOKUP(A15,'[253]geoMap (10)'!$A:$B,2,0)*VLOOKUP(A15,'[253]geoMap (10)'!$A:$C,3,0)</f>
        <v>629.70987067720137</v>
      </c>
      <c r="M15" s="1">
        <f>L15/VLOOKUP(A15,'[254]geoMap (11)'!$A:$B,2,0)*VLOOKUP(A15,'[254]geoMap (11)'!$A:$C,3,0)</f>
        <v>339.07454574926226</v>
      </c>
      <c r="N15" s="1">
        <f>M15/VLOOKUP(A15,'[255]geoMap (12)'!$A:$B,2,0)*VLOOKUP(A15,'[255]geoMap (12)'!$A:$C,3,0)</f>
        <v>688.4240777333506</v>
      </c>
      <c r="O15" s="1">
        <f>N15/VLOOKUP(A15,'[256]geoMap (13)'!$A:$B,2,0)*VLOOKUP(A15,'[256]geoMap (13)'!$A:$C,3,0)</f>
        <v>498.51398732415043</v>
      </c>
      <c r="P15" s="1">
        <f>O15/VLOOKUP(A15,'[266]geoMap (14)'!$A:$B,2,0)*VLOOKUP(A15,'[266]geoMap (14)'!$A:$C,3,0)</f>
        <v>157.42546968131066</v>
      </c>
      <c r="Q15" s="1">
        <f>P15/VLOOKUP(A15,'[267]geoMap (15)'!$A:$B,2,0)*VLOOKUP(A15,'[267]geoMap (15)'!$A:$C,3,0)</f>
        <v>100.64907077985437</v>
      </c>
      <c r="R15" s="1">
        <f>Q15/VLOOKUP(A15,'[258]geoMap (16)'!$A:$B,2,0)*VLOOKUP(A15,'[258]geoMap (16)'!$A:$C,3,0)</f>
        <v>56.615102313668082</v>
      </c>
      <c r="S15" s="1">
        <f>R15/VLOOKUP(A15,'[259]geoMap (17)'!$A:$B,2,0)*VLOOKUP(A15,'[259]geoMap (17)'!$A:$C,3,0)</f>
        <v>109.89990449123803</v>
      </c>
      <c r="T15" s="1">
        <f>S15/VLOOKUP(A15,'[260]geoMap (18)'!$A:$B,2,0)*VLOOKUP(A15,'[260]geoMap (18)'!$A:$C,3,0)</f>
        <v>123.92967953267268</v>
      </c>
      <c r="U15" s="1">
        <f>T15/VLOOKUP(A15,'[261]geoMap (19)'!$A:$B,2,0)*VLOOKUP(A15,'[261]geoMap (19)'!$A:$C,3,0)</f>
        <v>79.233729537282528</v>
      </c>
      <c r="V15" s="1">
        <f>U15/VLOOKUP(A15,'[268]geoMap (20)'!$A:$B,2,0)*VLOOKUP(A15,'[268]geoMap (20)'!$A:$C,3,0)</f>
        <v>67.495399235462898</v>
      </c>
      <c r="W15" s="1">
        <f>V15/VLOOKUP(A15,'[269]geoMap (21)'!$A:$B,2,0)*VLOOKUP(A15,'[269]geoMap (21)'!$A:$C,3,0)</f>
        <v>44.996932823641941</v>
      </c>
      <c r="X15" s="1">
        <f>W15/VLOOKUP(A15,'[262]geoMap (22)'!$A:$B,2,0)*VLOOKUP(A15,'[262]geoMap (22)'!$A:$C,3,0)</f>
        <v>48.746677225612103</v>
      </c>
      <c r="Y15" s="1">
        <f>X15/VLOOKUP(A15,'[263]geoMap (23)'!$A:$B,2,0)*VLOOKUP(A15,'[263]geoMap (23)'!$A:$C,3,0)</f>
        <v>48.746677225612103</v>
      </c>
      <c r="Z15" s="1">
        <f>Y15/VLOOKUP(A15,'[264]geoMap (24)'!$A:$B,2,0)*VLOOKUP(A15,'[264]geoMap (24)'!$A:$C,3,0)</f>
        <v>29.876995718923549</v>
      </c>
      <c r="AA15" s="1">
        <f>Z15/VLOOKUP(A15,'[265]geoMap (25)'!$A:$B,2,0)*VLOOKUP(A15,'[265]geoMap (25)'!$A:$C,3,0)</f>
        <v>42.993725546743647</v>
      </c>
    </row>
    <row r="16" spans="1:27" x14ac:dyDescent="0.2">
      <c r="A16" s="1" t="s">
        <v>60</v>
      </c>
      <c r="B16" s="1">
        <f>Notes!$C$6*VLOOKUP(A16,[243]geoMap!$A:$B,2,0)</f>
        <v>8000</v>
      </c>
      <c r="C16" s="1">
        <f>B16/VLOOKUP(A16,'[244]geoMap (1)'!$A:$B,2,0)*VLOOKUP(A16,'[244]geoMap (1)'!$A:$C,3,0)</f>
        <v>2389.6103896103896</v>
      </c>
      <c r="D16" s="1">
        <f>C16/VLOOKUP(A16,'[245]geoMap (2)'!$A:$B,2,0)*VLOOKUP(A16,'[245]geoMap (2)'!$A:$C,3,0)</f>
        <v>3584.4155844155839</v>
      </c>
      <c r="E16" s="1">
        <f>D16/VLOOKUP(A16,'[246]geoMap (3)'!$A:$B,2,0)*VLOOKUP(A16,'[246]geoMap (3)'!$A:$C,3,0)</f>
        <v>3053.3910533910525</v>
      </c>
      <c r="F16" s="1">
        <f>E16/VLOOKUP(A16,'[247]geoMap (4)'!$A:$B,2,0)*VLOOKUP(A16,'[247]geoMap (4)'!$A:$C,3,0)</f>
        <v>3053.3910533910525</v>
      </c>
      <c r="G16" s="1">
        <f>F16/VLOOKUP(A16,'[248]geoMap (5)'!$A:$B,2,0)*VLOOKUP(A16,'[248]geoMap (5)'!$A:$C,3,0)</f>
        <v>2818.5148185148178</v>
      </c>
      <c r="H16" s="1">
        <f>G16/VLOOKUP(A16,'[249]geoMap (6)'!$A:$B,2,0)*VLOOKUP(A16,'[249]geoMap (6)'!$A:$C,3,0)</f>
        <v>1958.6289416797886</v>
      </c>
      <c r="I16" s="1">
        <f>H16/VLOOKUP(A16,'[250]geoMap (7)'!$A:$B,2,0)*VLOOKUP(A16,'[250]geoMap (7)'!$A:$C,3,0)</f>
        <v>125.01886861785884</v>
      </c>
      <c r="J16" s="1">
        <f>I16/VLOOKUP(A16,'[251]geoMap (8)'!$A:$B,2,0)*VLOOKUP(A16,'[251]geoMap (8)'!$A:$C,3,0)</f>
        <v>1264.0796715805729</v>
      </c>
      <c r="K16" s="1">
        <f>J16/VLOOKUP(A16,'[252]geoMap (9)'!$A:$B,2,0)*VLOOKUP(A16,'[252]geoMap (9)'!$A:$C,3,0)</f>
        <v>1166.8427737666827</v>
      </c>
      <c r="L16" s="1">
        <f>K16/VLOOKUP(A16,'[253]geoMap (10)'!$A:$B,2,0)*VLOOKUP(A16,'[253]geoMap (10)'!$A:$C,3,0)</f>
        <v>431.57198481781421</v>
      </c>
      <c r="M16" s="1">
        <f>L16/VLOOKUP(A16,'[254]geoMap (11)'!$A:$B,2,0)*VLOOKUP(A16,'[254]geoMap (11)'!$A:$C,3,0)</f>
        <v>299.90595555136241</v>
      </c>
      <c r="N16" s="1">
        <f>M16/VLOOKUP(A16,'[255]geoMap (12)'!$A:$B,2,0)*VLOOKUP(A16,'[255]geoMap (12)'!$A:$C,3,0)</f>
        <v>510.65068107394137</v>
      </c>
      <c r="O16" s="1">
        <f>N16/VLOOKUP(A16,'[256]geoMap (13)'!$A:$B,2,0)*VLOOKUP(A16,'[256]geoMap (13)'!$A:$C,3,0)</f>
        <v>369.78152767423342</v>
      </c>
      <c r="P16" s="1">
        <f>O16/VLOOKUP(A16,'[266]geoMap (14)'!$A:$B,2,0)*VLOOKUP(A16,'[266]geoMap (14)'!$A:$C,3,0)</f>
        <v>151.03752538806719</v>
      </c>
      <c r="Q16" s="1">
        <f>P16/VLOOKUP(A16,'[267]geoMap (15)'!$A:$B,2,0)*VLOOKUP(A16,'[267]geoMap (15)'!$A:$C,3,0)</f>
        <v>67.857438942464981</v>
      </c>
      <c r="R16" s="1">
        <f>Q16/VLOOKUP(A16,'[258]geoMap (16)'!$A:$B,2,0)*VLOOKUP(A16,'[258]geoMap (16)'!$A:$C,3,0)</f>
        <v>26.389004033180829</v>
      </c>
      <c r="S16" s="1">
        <f>R16/VLOOKUP(A16,'[259]geoMap (17)'!$A:$B,2,0)*VLOOKUP(A16,'[259]geoMap (17)'!$A:$C,3,0)</f>
        <v>83.565179438405963</v>
      </c>
      <c r="T16" s="1">
        <f>S16/VLOOKUP(A16,'[260]geoMap (18)'!$A:$B,2,0)*VLOOKUP(A16,'[260]geoMap (18)'!$A:$C,3,0)</f>
        <v>83.565179438405963</v>
      </c>
      <c r="U16" s="1">
        <f>T16/VLOOKUP(A16,'[261]geoMap (19)'!$A:$B,2,0)*VLOOKUP(A16,'[261]geoMap (19)'!$A:$C,3,0)</f>
        <v>43.048728801603069</v>
      </c>
      <c r="V16" s="1">
        <f>U16/VLOOKUP(A16,'[268]geoMap (20)'!$A:$B,2,0)*VLOOKUP(A16,'[268]geoMap (20)'!$A:$C,3,0)</f>
        <v>43.048728801603069</v>
      </c>
      <c r="W16" s="1">
        <f>V16/VLOOKUP(A16,'[269]geoMap (21)'!$A:$B,2,0)*VLOOKUP(A16,'[269]geoMap (21)'!$A:$C,3,0)</f>
        <v>28.699152534402049</v>
      </c>
      <c r="X16" s="1">
        <f>W16/VLOOKUP(A16,'[262]geoMap (22)'!$A:$B,2,0)*VLOOKUP(A16,'[262]geoMap (22)'!$A:$C,3,0)</f>
        <v>32.362874134538487</v>
      </c>
      <c r="Y16" s="1">
        <f>X16/VLOOKUP(A16,'[263]geoMap (23)'!$A:$B,2,0)*VLOOKUP(A16,'[263]geoMap (23)'!$A:$C,3,0)</f>
        <v>42.899623852760314</v>
      </c>
      <c r="Z16" s="1">
        <f>Y16/VLOOKUP(A16,'[264]geoMap (24)'!$A:$B,2,0)*VLOOKUP(A16,'[264]geoMap (24)'!$A:$C,3,0)</f>
        <v>15.86698416471957</v>
      </c>
      <c r="AA16" s="1">
        <f>Z16/VLOOKUP(A16,'[265]geoMap (25)'!$A:$B,2,0)*VLOOKUP(A16,'[265]geoMap (25)'!$A:$C,3,0)</f>
        <v>30.80061631974975</v>
      </c>
    </row>
    <row r="17" spans="1:27" x14ac:dyDescent="0.2">
      <c r="A17" s="1" t="s">
        <v>61</v>
      </c>
      <c r="B17" s="1">
        <f>Notes!$C$6*VLOOKUP(A17,[243]geoMap!$A:$B,2,0)</f>
        <v>8000</v>
      </c>
      <c r="C17" s="1">
        <f>B17/VLOOKUP(A17,'[244]geoMap (1)'!$A:$B,2,0)*VLOOKUP(A17,'[244]geoMap (1)'!$A:$C,3,0)</f>
        <v>1195.4022988505749</v>
      </c>
      <c r="D17" s="1">
        <f>C17/VLOOKUP(A17,'[245]geoMap (2)'!$A:$B,2,0)*VLOOKUP(A17,'[245]geoMap (2)'!$A:$C,3,0)</f>
        <v>3232.0136228182209</v>
      </c>
      <c r="E17" s="1">
        <f>D17/VLOOKUP(A17,'[246]geoMap (3)'!$A:$B,2,0)*VLOOKUP(A17,'[246]geoMap (3)'!$A:$C,3,0)</f>
        <v>2245.9755683991029</v>
      </c>
      <c r="F17" s="1">
        <f>E17/VLOOKUP(A17,'[247]geoMap (4)'!$A:$B,2,0)*VLOOKUP(A17,'[247]geoMap (4)'!$A:$C,3,0)</f>
        <v>1913.2384471547912</v>
      </c>
      <c r="G17" s="1">
        <f>F17/VLOOKUP(A17,'[248]geoMap (5)'!$A:$B,2,0)*VLOOKUP(A17,'[248]geoMap (5)'!$A:$C,3,0)</f>
        <v>1629.7957142429702</v>
      </c>
      <c r="H17" s="1">
        <f>G17/VLOOKUP(A17,'[249]geoMap (6)'!$A:$B,2,0)*VLOOKUP(A17,'[249]geoMap (6)'!$A:$C,3,0)</f>
        <v>1388.3444973180858</v>
      </c>
      <c r="I17" s="1">
        <f>H17/VLOOKUP(A17,'[250]geoMap (7)'!$A:$B,2,0)*VLOOKUP(A17,'[250]geoMap (7)'!$A:$C,3,0)</f>
        <v>137.30879643805244</v>
      </c>
      <c r="J17" s="1">
        <f>I17/VLOOKUP(A17,'[251]geoMap (8)'!$A:$B,2,0)*VLOOKUP(A17,'[251]geoMap (8)'!$A:$C,3,0)</f>
        <v>585.36907955169727</v>
      </c>
      <c r="K17" s="1">
        <f>J17/VLOOKUP(A17,'[252]geoMap (9)'!$A:$B,2,0)*VLOOKUP(A17,'[252]geoMap (9)'!$A:$C,3,0)</f>
        <v>519.10088186659937</v>
      </c>
      <c r="L17" s="1">
        <f>K17/VLOOKUP(A17,'[253]geoMap (10)'!$A:$B,2,0)*VLOOKUP(A17,'[253]geoMap (10)'!$A:$C,3,0)</f>
        <v>182.3867963315079</v>
      </c>
      <c r="M17" s="1">
        <f>L17/VLOOKUP(A17,'[254]geoMap (11)'!$A:$B,2,0)*VLOOKUP(A17,'[254]geoMap (11)'!$A:$C,3,0)</f>
        <v>273.5801944972618</v>
      </c>
      <c r="N17" s="1">
        <f>M17/VLOOKUP(A17,'[255]geoMap (12)'!$A:$B,2,0)*VLOOKUP(A17,'[255]geoMap (12)'!$A:$C,3,0)</f>
        <v>262.85155941893777</v>
      </c>
      <c r="O17" s="1">
        <f>N17/VLOOKUP(A17,'[256]geoMap (13)'!$A:$B,2,0)*VLOOKUP(A17,'[256]geoMap (13)'!$A:$C,3,0)</f>
        <v>175.23437294595851</v>
      </c>
      <c r="P17" s="1">
        <f>O17/66*24</f>
        <v>63.721590162166727</v>
      </c>
      <c r="Q17" s="1">
        <f>O17/VLOOKUP(A17,'[257]geoMap (30)'!$A:$B,2,0)*VLOOKUP(A17,'[257]geoMap (30)'!$A:$C,3,0)</f>
        <v>52.342734776065534</v>
      </c>
      <c r="R17" s="1">
        <f>Q17/VLOOKUP(A17,'[258]geoMap (16)'!$A:$B,2,0)*VLOOKUP(A17,'[258]geoMap (16)'!$A:$C,3,0)</f>
        <v>10.720801098712219</v>
      </c>
      <c r="S17" s="1">
        <f>R17/VLOOKUP(A17,'[259]geoMap (17)'!$A:$B,2,0)*VLOOKUP(A17,'[259]geoMap (17)'!$A:$C,3,0)</f>
        <v>60.751206226035912</v>
      </c>
      <c r="T17" s="1">
        <f>S17/VLOOKUP(A17,'[260]geoMap (18)'!$A:$B,2,0)*VLOOKUP(A17,'[260]geoMap (18)'!$A:$C,3,0)</f>
        <v>56.078036516340838</v>
      </c>
      <c r="U17" s="1">
        <f>T17/VLOOKUP(A17,'[261]geoMap (19)'!$A:$B,2,0)*VLOOKUP(A17,'[261]geoMap (19)'!$A:$C,3,0)</f>
        <v>12.309812893830916</v>
      </c>
      <c r="V17" s="1">
        <f>U17/16*3</f>
        <v>2.3080899175932967</v>
      </c>
      <c r="W17" s="1">
        <f>O17/VLOOKUP(A17,'[272]geoMap (33)'!$A:$B,2,0)*VLOOKUP(A17,'[272]geoMap (33)'!$A:$C,3,0)</f>
        <v>15.237771560518132</v>
      </c>
      <c r="X17" s="1">
        <f>W17/VLOOKUP(A17,'[262]geoMap (22)'!$A:$B,2,0)*VLOOKUP(A17,'[262]geoMap (22)'!$A:$C,3,0)</f>
        <v>27.089371663143346</v>
      </c>
      <c r="Y17" s="1">
        <f>X17/VLOOKUP(A17,'[263]geoMap (23)'!$A:$B,2,0)*VLOOKUP(A17,'[263]geoMap (23)'!$A:$C,3,0)</f>
        <v>21.284506306755485</v>
      </c>
      <c r="Z17" s="1">
        <f>V17/5*15</f>
        <v>6.9242697527798907</v>
      </c>
      <c r="AA17" s="1">
        <f>Z17/15*44</f>
        <v>20.311191274821013</v>
      </c>
    </row>
    <row r="18" spans="1:27" x14ac:dyDescent="0.2">
      <c r="A18" s="1" t="s">
        <v>57</v>
      </c>
      <c r="B18" s="1">
        <f>Notes!$C$6*VLOOKUP(A18,[243]geoMap!$A:$B,2,0)</f>
        <v>7000</v>
      </c>
      <c r="C18" s="1">
        <f>B18/VLOOKUP(A18,'[244]geoMap (1)'!$A:$B,2,0)*VLOOKUP(A18,'[244]geoMap (1)'!$A:$C,3,0)</f>
        <v>608.695652173913</v>
      </c>
      <c r="D18" s="1">
        <f>C18/VLOOKUP(A18,'[245]geoMap (2)'!$A:$B,2,0)*VLOOKUP(A18,'[245]geoMap (2)'!$A:$C,3,0)</f>
        <v>1293.4782608695652</v>
      </c>
      <c r="E18" s="1">
        <f>D18/VLOOKUP(A18,'[246]geoMap (3)'!$A:$B,2,0)*VLOOKUP(A18,'[246]geoMap (3)'!$A:$C,3,0)</f>
        <v>2626.152832674572</v>
      </c>
      <c r="F18" s="1">
        <f>E18/VLOOKUP(A18,'[247]geoMap (4)'!$A:$B,2,0)*VLOOKUP(A18,'[247]geoMap (4)'!$A:$C,3,0)</f>
        <v>2844.9989020641196</v>
      </c>
      <c r="G18" s="1">
        <f>F18/VLOOKUP(A18,'[248]geoMap (5)'!$A:$B,2,0)*VLOOKUP(A18,'[248]geoMap (5)'!$A:$C,3,0)</f>
        <v>756.26553092843687</v>
      </c>
      <c r="H18" s="1">
        <f>G18/VLOOKUP(A18,'[249]geoMap (6)'!$A:$B,2,0)*VLOOKUP(A18,'[249]geoMap (6)'!$A:$C,3,0)</f>
        <v>1468.0448541552009</v>
      </c>
      <c r="I18" s="1">
        <f>H18/67*2</f>
        <v>43.822234452394056</v>
      </c>
      <c r="J18" s="1">
        <f>H18/VLOOKUP(A18,'[270]geoMap (28)'!$A:$B,2,0)*VLOOKUP(A18,'[270]geoMap (28)'!$A:$C,3,0)</f>
        <v>438.50690448791715</v>
      </c>
      <c r="K18" s="1">
        <f>J18/VLOOKUP(A18,'[252]geoMap (9)'!$A:$B,2,0)*VLOOKUP(A18,'[252]geoMap (9)'!$A:$C,3,0)</f>
        <v>494.48650931616191</v>
      </c>
      <c r="L18" s="1">
        <f>K18/VLOOKUP(A18,'[253]geoMap (10)'!$A:$B,2,0)*VLOOKUP(A18,'[253]geoMap (10)'!$A:$C,3,0)</f>
        <v>243.55305682736335</v>
      </c>
      <c r="M18" s="1">
        <f>L18/57*22</f>
        <v>94.002934214070052</v>
      </c>
      <c r="N18" s="1">
        <f>M18/39*42</f>
        <v>101.2339291536139</v>
      </c>
      <c r="O18" s="1">
        <f>H18/VLOOKUP(A18,'[274]geoMap (29)'!$A:$B,2,0)*VLOOKUP(A18,'[274]geoMap (29)'!$A:$C,3,0)</f>
        <v>259.06673896856489</v>
      </c>
      <c r="P18" s="1">
        <f>O18/VLOOKUP(A18,'[266]geoMap (14)'!$A:$B,2,0)*VLOOKUP(A18,'[266]geoMap (14)'!$A:$C,3,0)</f>
        <v>145.72504066981776</v>
      </c>
      <c r="Q18" s="1">
        <f>P18/VLOOKUP(A18,'[267]geoMap (15)'!$A:$B,2,0)*VLOOKUP(A18,'[267]geoMap (15)'!$A:$C,3,0)</f>
        <v>65.470670445860165</v>
      </c>
      <c r="R18" s="1">
        <f>Q18/43*5</f>
        <v>7.6128686564953689</v>
      </c>
      <c r="S18" s="1">
        <f>Q18/43*15</f>
        <v>22.838605969486107</v>
      </c>
      <c r="T18" s="1">
        <f>S18/26*39</f>
        <v>34.257908954229165</v>
      </c>
      <c r="U18" s="1">
        <f>S18/28*37</f>
        <v>30.17958645967807</v>
      </c>
      <c r="V18" s="1">
        <f>U18/VLOOKUP(A18,'[268]geoMap (20)'!$A:$B,2,0)*VLOOKUP(A18,'[268]geoMap (20)'!$A:$C,3,0)</f>
        <v>27.858079808933603</v>
      </c>
      <c r="W18" s="1">
        <f>V18/VLOOKUP(A18,'[269]geoMap (21)'!$A:$B,2,0)*VLOOKUP(A18,'[269]geoMap (21)'!$A:$C,3,0)</f>
        <v>104.79944309075024</v>
      </c>
      <c r="X18" s="1">
        <f>W18/VLOOKUP(A18,'[262]geoMap (22)'!$A:$B,2,0)*VLOOKUP(A18,'[262]geoMap (22)'!$A:$C,3,0)</f>
        <v>0</v>
      </c>
      <c r="Y18" s="1">
        <f>V18/VLOOKUP(A18,'[276]geoMap (34)'!$A:$B,2,0)*VLOOKUP(A18,'[276]geoMap (34)'!$A:$C,3,0)</f>
        <v>17.810903484400171</v>
      </c>
      <c r="Z18" s="1">
        <f>Y18/VLOOKUP(A18,'[264]geoMap (24)'!$A:$B,2,0)*VLOOKUP(A18,'[264]geoMap (24)'!$A:$C,3,0)</f>
        <v>10.916360200116234</v>
      </c>
      <c r="AA18" s="1">
        <f>Z18/VLOOKUP(A18,'[265]geoMap (25)'!$A:$B,2,0)*VLOOKUP(A18,'[265]geoMap (25)'!$A:$C,3,0)</f>
        <v>0</v>
      </c>
    </row>
    <row r="19" spans="1:27" x14ac:dyDescent="0.2">
      <c r="A19" s="1" t="s">
        <v>71</v>
      </c>
      <c r="B19" s="1">
        <f>Notes!$C$6*VLOOKUP(A19,[243]geoMap!$A:$B,2,0)</f>
        <v>9000</v>
      </c>
      <c r="C19" s="1">
        <f>B19/VLOOKUP(A19,'[244]geoMap (1)'!$A:$B,2,0)*VLOOKUP(A19,'[244]geoMap (1)'!$A:$C,3,0)</f>
        <v>2842.1052631578946</v>
      </c>
      <c r="D19" s="1">
        <f>C19/VLOOKUP(A19,'[245]geoMap (2)'!$A:$B,2,0)*VLOOKUP(A19,'[245]geoMap (2)'!$A:$C,3,0)</f>
        <v>3617.2248803827752</v>
      </c>
      <c r="E19" s="1">
        <f>D19/VLOOKUP(A19,'[246]geoMap (3)'!$A:$B,2,0)*VLOOKUP(A19,'[246]geoMap (3)'!$A:$C,3,0)</f>
        <v>3764.8667122351335</v>
      </c>
      <c r="F19" s="1">
        <f>E19/VLOOKUP(A19,'[247]geoMap (4)'!$A:$B,2,0)*VLOOKUP(A19,'[247]geoMap (4)'!$A:$C,3,0)</f>
        <v>3207.1086807928914</v>
      </c>
      <c r="G19" s="1">
        <f>F19/VLOOKUP(A19,'[248]geoMap (5)'!$A:$B,2,0)*VLOOKUP(A19,'[248]geoMap (5)'!$A:$C,3,0)</f>
        <v>2419.3977767384972</v>
      </c>
      <c r="H19" s="1">
        <f>G19/VLOOKUP(A19,'[249]geoMap (6)'!$A:$B,2,0)*VLOOKUP(A19,'[249]geoMap (6)'!$A:$C,3,0)</f>
        <v>940.87691317608233</v>
      </c>
      <c r="I19" s="1">
        <f>H19/VLOOKUP(A19,'[250]geoMap (7)'!$A:$B,2,0)*VLOOKUP(A19,'[250]geoMap (7)'!$A:$C,3,0)</f>
        <v>166.037102325191</v>
      </c>
      <c r="J19" s="1">
        <f>I19/VLOOKUP(A19,'[251]geoMap (8)'!$A:$B,2,0)*VLOOKUP(A19,'[251]geoMap (8)'!$A:$C,3,0)</f>
        <v>1343.3911006310909</v>
      </c>
      <c r="K19" s="1">
        <f>J19/VLOOKUP(A19,'[252]geoMap (9)'!$A:$B,2,0)*VLOOKUP(A19,'[252]geoMap (9)'!$A:$C,3,0)</f>
        <v>755.65749410498859</v>
      </c>
      <c r="L19" s="1">
        <f>K19/VLOOKUP(A19,'[253]geoMap (10)'!$A:$B,2,0)*VLOOKUP(A19,'[253]geoMap (10)'!$A:$C,3,0)</f>
        <v>525.11791963228018</v>
      </c>
      <c r="M19" s="1">
        <f>L19/VLOOKUP(A19,'[254]geoMap (11)'!$A:$B,2,0)*VLOOKUP(A19,'[254]geoMap (11)'!$A:$C,3,0)</f>
        <v>465.67060797579558</v>
      </c>
      <c r="N19" s="1">
        <f>M19/VLOOKUP(A19,'[255]geoMap (12)'!$A:$B,2,0)*VLOOKUP(A19,'[255]geoMap (12)'!$A:$C,3,0)</f>
        <v>447.40901550615655</v>
      </c>
      <c r="O19" s="1">
        <f>N19/VLOOKUP(A19,'[256]geoMap (13)'!$A:$B,2,0)*VLOOKUP(A19,'[256]geoMap (13)'!$A:$C,3,0)</f>
        <v>366.06192177776444</v>
      </c>
      <c r="P19" s="1">
        <f>O19/VLOOKUP(A19,'[266]geoMap (14)'!$A:$B,2,0)*VLOOKUP(A19,'[266]geoMap (14)'!$A:$C,3,0)</f>
        <v>197.11026557264239</v>
      </c>
      <c r="Q19" s="1">
        <f>P19/VLOOKUP(A19,'[267]geoMap (15)'!$A:$B,2,0)*VLOOKUP(A19,'[267]geoMap (15)'!$A:$C,3,0)</f>
        <v>120.80951760903889</v>
      </c>
      <c r="R19" s="1">
        <f>Q19/VLOOKUP(A19,'[258]geoMap (16)'!$A:$B,2,0)*VLOOKUP(A19,'[258]geoMap (16)'!$A:$C,3,0)</f>
        <v>38.150373981801749</v>
      </c>
      <c r="S19" s="1">
        <f>R19/VLOOKUP(A19,'[259]geoMap (17)'!$A:$B,2,0)*VLOOKUP(A19,'[259]geoMap (17)'!$A:$C,3,0)</f>
        <v>135.26041684456985</v>
      </c>
      <c r="T19" s="1">
        <f>S19/VLOOKUP(A19,'[260]geoMap (18)'!$A:$B,2,0)*VLOOKUP(A19,'[260]geoMap (18)'!$A:$C,3,0)</f>
        <v>119.94791682442985</v>
      </c>
      <c r="U19" s="1">
        <f>T19/VLOOKUP(A19,'[261]geoMap (19)'!$A:$B,2,0)*VLOOKUP(A19,'[261]geoMap (19)'!$A:$C,3,0)</f>
        <v>67.470703213741785</v>
      </c>
      <c r="V19" s="1">
        <f>U19/VLOOKUP(A19,'[268]geoMap (20)'!$A:$B,2,0)*VLOOKUP(A19,'[268]geoMap (20)'!$A:$C,3,0)</f>
        <v>37.952270557729747</v>
      </c>
      <c r="W19" s="1">
        <f>V19/VLOOKUP(A19,'[269]geoMap (21)'!$A:$B,2,0)*VLOOKUP(A19,'[269]geoMap (21)'!$A:$C,3,0)</f>
        <v>37.952270557729747</v>
      </c>
      <c r="X19" s="1">
        <f>W19/VLOOKUP(A19,'[262]geoMap (22)'!$A:$B,2,0)*VLOOKUP(A19,'[262]geoMap (22)'!$A:$C,3,0)</f>
        <v>70.482788178640959</v>
      </c>
      <c r="Y19" s="1">
        <f>X19/VLOOKUP(A19,'[263]geoMap (23)'!$A:$B,2,0)*VLOOKUP(A19,'[263]geoMap (23)'!$A:$C,3,0)</f>
        <v>46.988525452427311</v>
      </c>
      <c r="Z19" s="1">
        <f>Y19/VLOOKUP(A19,'[264]geoMap (24)'!$A:$B,2,0)*VLOOKUP(A19,'[264]geoMap (24)'!$A:$C,3,0)</f>
        <v>30.041844141715824</v>
      </c>
      <c r="AA19" s="1">
        <f>Z19/VLOOKUP(A19,'[265]geoMap (25)'!$A:$B,2,0)*VLOOKUP(A19,'[265]geoMap (25)'!$A:$C,3,0)</f>
        <v>36.717809506541563</v>
      </c>
    </row>
    <row r="20" spans="1:27" x14ac:dyDescent="0.2">
      <c r="A20" s="1" t="s">
        <v>79</v>
      </c>
      <c r="B20" s="1">
        <f>Notes!$C$6*VLOOKUP(A20,[243]geoMap!$A:$B,2,0)</f>
        <v>6000</v>
      </c>
      <c r="C20" s="1">
        <f>B20/VLOOKUP(A20,'[244]geoMap (1)'!$A:$B,2,0)*VLOOKUP(A20,'[244]geoMap (1)'!$A:$C,3,0)</f>
        <v>2695.6521739130435</v>
      </c>
      <c r="D20" s="1">
        <f>C20/VLOOKUP(A20,'[245]geoMap (2)'!$A:$B,2,0)*VLOOKUP(A20,'[245]geoMap (2)'!$A:$C,3,0)</f>
        <v>4216.2764771460425</v>
      </c>
      <c r="E20" s="1">
        <f>D20/VLOOKUP(A20,'[246]geoMap (3)'!$A:$B,2,0)*VLOOKUP(A20,'[246]geoMap (3)'!$A:$C,3,0)</f>
        <v>3180.6997985487692</v>
      </c>
      <c r="F20" s="1">
        <f>E20/VLOOKUP(A20,'[247]geoMap (4)'!$A:$B,2,0)*VLOOKUP(A20,'[247]geoMap (4)'!$A:$C,3,0)</f>
        <v>2399.4752866245103</v>
      </c>
      <c r="G20" s="1">
        <f>F20/VLOOKUP(A20,'[248]geoMap (5)'!$A:$B,2,0)*VLOOKUP(A20,'[248]geoMap (5)'!$A:$C,3,0)</f>
        <v>2497.4130534255105</v>
      </c>
      <c r="H20" s="1">
        <f>G20/VLOOKUP(A20,'[249]geoMap (6)'!$A:$B,2,0)*VLOOKUP(A20,'[249]geoMap (6)'!$A:$C,3,0)</f>
        <v>1664.9420356170071</v>
      </c>
      <c r="I20" s="1">
        <f>H20/VLOOKUP(A20,'[250]geoMap (7)'!$A:$B,2,0)*VLOOKUP(A20,'[250]geoMap (7)'!$A:$C,3,0)</f>
        <v>365.47508098909913</v>
      </c>
      <c r="J20" s="1">
        <f>I20/VLOOKUP(A20,'[251]geoMap (8)'!$A:$B,2,0)*VLOOKUP(A20,'[251]geoMap (8)'!$A:$C,3,0)</f>
        <v>1223.5470102678537</v>
      </c>
      <c r="K20" s="1">
        <f>J20/VLOOKUP(A20,'[252]geoMap (9)'!$A:$B,2,0)*VLOOKUP(A20,'[252]geoMap (9)'!$A:$C,3,0)</f>
        <v>688.24519327566759</v>
      </c>
      <c r="L20" s="1">
        <f>K20/VLOOKUP(A20,'[253]geoMap (10)'!$A:$B,2,0)*VLOOKUP(A20,'[253]geoMap (10)'!$A:$C,3,0)</f>
        <v>323.88009095325532</v>
      </c>
      <c r="M20" s="1">
        <f>L20/VLOOKUP(A20,'[254]geoMap (11)'!$A:$B,2,0)*VLOOKUP(A20,'[254]geoMap (11)'!$A:$C,3,0)</f>
        <v>466.07135039614786</v>
      </c>
      <c r="N20" s="1">
        <f>M20/VLOOKUP(A20,'[255]geoMap (12)'!$A:$B,2,0)*VLOOKUP(A20,'[255]geoMap (12)'!$A:$C,3,0)</f>
        <v>547.12723742156493</v>
      </c>
      <c r="O20" s="1">
        <f>N20/VLOOKUP(A20,'[256]geoMap (13)'!$A:$B,2,0)*VLOOKUP(A20,'[256]geoMap (13)'!$A:$C,3,0)</f>
        <v>364.75149161437662</v>
      </c>
      <c r="P20" s="1">
        <f>O20/VLOOKUP(A20,'[266]geoMap (14)'!$A:$B,2,0)*VLOOKUP(A20,'[266]geoMap (14)'!$A:$C,3,0)</f>
        <v>96.959257264581112</v>
      </c>
      <c r="Q20" s="1">
        <f>P20/VLOOKUP(A20,'[267]geoMap (15)'!$A:$B,2,0)*VLOOKUP(A20,'[267]geoMap (15)'!$A:$C,3,0)</f>
        <v>82.594922855013536</v>
      </c>
      <c r="R20" s="1">
        <f>Q20/VLOOKUP(A20,'[258]geoMap (16)'!$A:$B,2,0)*VLOOKUP(A20,'[258]geoMap (16)'!$A:$C,3,0)</f>
        <v>33.735954405568911</v>
      </c>
      <c r="S20" s="1">
        <f>R20/VLOOKUP(A20,'[259]geoMap (17)'!$A:$B,2,0)*VLOOKUP(A20,'[259]geoMap (17)'!$A:$C,3,0)</f>
        <v>112.9421082273394</v>
      </c>
      <c r="T20" s="1">
        <f>S20/VLOOKUP(A20,'[260]geoMap (18)'!$A:$B,2,0)*VLOOKUP(A20,'[260]geoMap (18)'!$A:$C,3,0)</f>
        <v>108.51300594391434</v>
      </c>
      <c r="U20" s="1">
        <f>T20/VLOOKUP(A20,'[261]geoMap (19)'!$A:$B,2,0)*VLOOKUP(A20,'[261]geoMap (19)'!$A:$C,3,0)</f>
        <v>66.507971384979754</v>
      </c>
      <c r="V20" s="1">
        <f>U20/VLOOKUP(A20,'[268]geoMap (20)'!$A:$B,2,0)*VLOOKUP(A20,'[268]geoMap (20)'!$A:$C,3,0)</f>
        <v>19.866017426682266</v>
      </c>
      <c r="W20" s="1">
        <f>V20/VLOOKUP(A20,'[269]geoMap (21)'!$A:$B,2,0)*VLOOKUP(A20,'[269]geoMap (21)'!$A:$C,3,0)</f>
        <v>38.563445592971455</v>
      </c>
      <c r="X20" s="1">
        <f>W20/VLOOKUP(A20,'[262]geoMap (22)'!$A:$B,2,0)*VLOOKUP(A20,'[262]geoMap (22)'!$A:$C,3,0)</f>
        <v>49.080748936509124</v>
      </c>
      <c r="Y20" s="1">
        <f>X20/VLOOKUP(A20,'[263]geoMap (23)'!$A:$B,2,0)*VLOOKUP(A20,'[263]geoMap (23)'!$A:$C,3,0)</f>
        <v>31.379495221702555</v>
      </c>
      <c r="Z20" s="1">
        <f>Y20/VLOOKUP(A20,'[264]geoMap (24)'!$A:$B,2,0)*VLOOKUP(A20,'[264]geoMap (24)'!$A:$C,3,0)</f>
        <v>13.448355095015382</v>
      </c>
      <c r="AA20" s="1">
        <f>Z20/VLOOKUP(A20,'[265]geoMap (25)'!$A:$B,2,0)*VLOOKUP(A20,'[265]geoMap (25)'!$A:$C,3,0)</f>
        <v>27.304236102000928</v>
      </c>
    </row>
    <row r="21" spans="1:27" x14ac:dyDescent="0.2">
      <c r="A21" s="1" t="s">
        <v>94</v>
      </c>
      <c r="B21" s="1">
        <f>Notes!$C$6*VLOOKUP(A21,[243]geoMap!$A:$B,2,0)</f>
        <v>5000</v>
      </c>
      <c r="C21" s="1">
        <f>B21/VLOOKUP(A21,'[244]geoMap (1)'!$A:$B,2,0)*VLOOKUP(A21,'[244]geoMap (1)'!$A:$C,3,0)</f>
        <v>1329.1139240506329</v>
      </c>
      <c r="D21" s="1">
        <f>C21/VLOOKUP(A21,'[245]geoMap (2)'!$A:$B,2,0)*VLOOKUP(A21,'[245]geoMap (2)'!$A:$C,3,0)</f>
        <v>3101.2658227848101</v>
      </c>
      <c r="E21" s="1">
        <f>D21/VLOOKUP(A21,'[246]geoMap (3)'!$A:$B,2,0)*VLOOKUP(A21,'[246]geoMap (3)'!$A:$C,3,0)</f>
        <v>2979.6475552246216</v>
      </c>
      <c r="F21" s="1">
        <f>E21/VLOOKUP(A21,'[247]geoMap (4)'!$A:$B,2,0)*VLOOKUP(A21,'[247]geoMap (4)'!$A:$C,3,0)</f>
        <v>2642.3289640671169</v>
      </c>
      <c r="G21" s="1">
        <f>F21/VLOOKUP(A21,'[248]geoMap (5)'!$A:$B,2,0)*VLOOKUP(A21,'[248]geoMap (5)'!$A:$C,3,0)</f>
        <v>2750.1791258657745</v>
      </c>
      <c r="H21" s="1">
        <f>G21/VLOOKUP(A21,'[249]geoMap (6)'!$A:$B,2,0)*VLOOKUP(A21,'[249]geoMap (6)'!$A:$C,3,0)</f>
        <v>1235.5877232150581</v>
      </c>
      <c r="I21" s="1">
        <f>H21/VLOOKUP(A21,'[250]geoMap (7)'!$A:$B,2,0)*VLOOKUP(A21,'[250]geoMap (7)'!$A:$C,3,0)</f>
        <v>93.001226478552766</v>
      </c>
      <c r="J21" s="1">
        <f>I21/VLOOKUP(A21,'[251]geoMap (8)'!$A:$B,2,0)*VLOOKUP(A21,'[251]geoMap (8)'!$A:$C,3,0)</f>
        <v>1457.0192148306601</v>
      </c>
      <c r="K21" s="1">
        <f>J21/VLOOKUP(A21,'[252]geoMap (9)'!$A:$B,2,0)*VLOOKUP(A21,'[252]geoMap (9)'!$A:$C,3,0)</f>
        <v>1144.8008116526614</v>
      </c>
      <c r="L21" s="1">
        <f>K21/VLOOKUP(A21,'[253]geoMap (10)'!$A:$B,2,0)*VLOOKUP(A21,'[253]geoMap (10)'!$A:$C,3,0)</f>
        <v>514.33079943815221</v>
      </c>
      <c r="M21" s="1">
        <f>L21/VLOOKUP(A21,'[254]geoMap (11)'!$A:$B,2,0)*VLOOKUP(A21,'[254]geoMap (11)'!$A:$C,3,0)</f>
        <v>342.88719962543485</v>
      </c>
      <c r="N21" s="1">
        <f>M21/VLOOKUP(A21,'[255]geoMap (12)'!$A:$B,2,0)*VLOOKUP(A21,'[255]geoMap (12)'!$A:$C,3,0)</f>
        <v>665.60456397878522</v>
      </c>
      <c r="O21" s="1">
        <f>N21/VLOOKUP(A21,'[256]geoMap (13)'!$A:$B,2,0)*VLOOKUP(A21,'[256]geoMap (13)'!$A:$C,3,0)</f>
        <v>358.40245752703817</v>
      </c>
      <c r="P21" s="1">
        <f>O21/VLOOKUP(A21,'[266]geoMap (14)'!$A:$B,2,0)*VLOOKUP(A21,'[266]geoMap (14)'!$A:$C,3,0)</f>
        <v>259.53281407130351</v>
      </c>
      <c r="Q21" s="1">
        <f>P21/VLOOKUP(A21,'[267]geoMap (15)'!$A:$B,2,0)*VLOOKUP(A21,'[267]geoMap (15)'!$A:$C,3,0)</f>
        <v>77.522788618701043</v>
      </c>
      <c r="R21" s="1">
        <f>Q21/VLOOKUP(A21,'[258]geoMap (16)'!$A:$B,2,0)*VLOOKUP(A21,'[258]geoMap (16)'!$A:$C,3,0)</f>
        <v>111.55718362203321</v>
      </c>
      <c r="S21" s="1">
        <f>R21/VLOOKUP(A21,'[259]geoMap (17)'!$A:$B,2,0)*VLOOKUP(A21,'[259]geoMap (17)'!$A:$C,3,0)</f>
        <v>74.371455748022143</v>
      </c>
      <c r="T21" s="1">
        <f>S21/VLOOKUP(A21,'[260]geoMap (18)'!$A:$B,2,0)*VLOOKUP(A21,'[260]geoMap (18)'!$A:$C,3,0)</f>
        <v>65.952045663340371</v>
      </c>
      <c r="U21" s="1">
        <f>T21/VLOOKUP(A21,'[261]geoMap (19)'!$A:$B,2,0)*VLOOKUP(A21,'[261]geoMap (19)'!$A:$C,3,0)</f>
        <v>38.733741103866564</v>
      </c>
      <c r="V21" s="1">
        <f>U21/VLOOKUP(A21,'[268]geoMap (20)'!$A:$B,2,0)*VLOOKUP(A21,'[268]geoMap (20)'!$A:$C,3,0)</f>
        <v>19.953745417143381</v>
      </c>
      <c r="W21" s="1">
        <f>V21/VLOOKUP(A21,'[269]geoMap (21)'!$A:$B,2,0)*VLOOKUP(A21,'[269]geoMap (21)'!$A:$C,3,0)</f>
        <v>59.861236251430142</v>
      </c>
      <c r="X21" s="1">
        <f>W21/VLOOKUP(A21,'[262]geoMap (22)'!$A:$B,2,0)*VLOOKUP(A21,'[262]geoMap (22)'!$A:$C,3,0)</f>
        <v>13.140271372265154</v>
      </c>
      <c r="Y21" s="1">
        <f>X21/VLOOKUP(A21,'[263]geoMap (23)'!$A:$B,2,0)*VLOOKUP(A21,'[263]geoMap (23)'!$A:$C,3,0)</f>
        <v>16.060331677212968</v>
      </c>
      <c r="Z21" s="1">
        <f>Y21/VLOOKUP(A21,'[264]geoMap (24)'!$A:$B,2,0)*VLOOKUP(A21,'[264]geoMap (24)'!$A:$C,3,0)</f>
        <v>13.140271372265156</v>
      </c>
      <c r="AA21" s="1">
        <f>Z21/VLOOKUP(A21,'[265]geoMap (25)'!$A:$B,2,0)*VLOOKUP(A21,'[265]geoMap (25)'!$A:$C,3,0)</f>
        <v>26.678732786114104</v>
      </c>
    </row>
    <row r="22" spans="1:27" x14ac:dyDescent="0.2">
      <c r="A22" s="1" t="s">
        <v>78</v>
      </c>
      <c r="B22" s="1">
        <f>Notes!$C$6*VLOOKUP(A22,[243]geoMap!$A:$B,2,0)</f>
        <v>8000</v>
      </c>
      <c r="C22" s="1">
        <f>B22/VLOOKUP(A22,'[244]geoMap (1)'!$A:$B,2,0)*VLOOKUP(A22,'[244]geoMap (1)'!$A:$C,3,0)</f>
        <v>2666.6666666666665</v>
      </c>
      <c r="D22" s="1">
        <f>C22/VLOOKUP(A22,'[245]geoMap (2)'!$A:$B,2,0)*VLOOKUP(A22,'[245]geoMap (2)'!$A:$C,3,0)</f>
        <v>5176.4705882352937</v>
      </c>
      <c r="E22" s="1">
        <f>D22/VLOOKUP(A22,'[246]geoMap (3)'!$A:$B,2,0)*VLOOKUP(A22,'[246]geoMap (3)'!$A:$C,3,0)</f>
        <v>4409.58605664488</v>
      </c>
      <c r="F22" s="1">
        <f>E22/VLOOKUP(A22,'[247]geoMap (4)'!$A:$B,2,0)*VLOOKUP(A22,'[247]geoMap (4)'!$A:$C,3,0)</f>
        <v>4409.58605664488</v>
      </c>
      <c r="G22" s="1">
        <f>F22/VLOOKUP(A22,'[248]geoMap (5)'!$A:$B,2,0)*VLOOKUP(A22,'[248]geoMap (5)'!$A:$C,3,0)</f>
        <v>3756.3140482530457</v>
      </c>
      <c r="H22" s="1">
        <f>G22/VLOOKUP(A22,'[249]geoMap (6)'!$A:$B,2,0)*VLOOKUP(A22,'[249]geoMap (6)'!$A:$C,3,0)</f>
        <v>2302.2569973163831</v>
      </c>
      <c r="I22" s="1">
        <f>H22/VLOOKUP(A22,'[250]geoMap (7)'!$A:$B,2,0)*VLOOKUP(A22,'[250]geoMap (7)'!$A:$C,3,0)</f>
        <v>406.28064658524409</v>
      </c>
      <c r="J22" s="1">
        <f>I22/VLOOKUP(A22,'[251]geoMap (8)'!$A:$B,2,0)*VLOOKUP(A22,'[251]geoMap (8)'!$A:$C,3,0)</f>
        <v>1218.8419397557323</v>
      </c>
      <c r="K22" s="1">
        <f>J22/VLOOKUP(A22,'[252]geoMap (9)'!$A:$B,2,0)*VLOOKUP(A22,'[252]geoMap (9)'!$A:$C,3,0)</f>
        <v>957.66152409378958</v>
      </c>
      <c r="L22" s="1">
        <f>K22/VLOOKUP(A22,'[253]geoMap (10)'!$A:$B,2,0)*VLOOKUP(A22,'[253]geoMap (10)'!$A:$C,3,0)</f>
        <v>224.63665379977778</v>
      </c>
      <c r="M22" s="1">
        <f>L22/VLOOKUP(A22,'[254]geoMap (11)'!$A:$B,2,0)*VLOOKUP(A22,'[254]geoMap (11)'!$A:$C,3,0)</f>
        <v>1023.3447561989876</v>
      </c>
      <c r="N22" s="1">
        <f>M22/VLOOKUP(A22,'[255]geoMap (12)'!$A:$B,2,0)*VLOOKUP(A22,'[255]geoMap (12)'!$A:$C,3,0)</f>
        <v>771.99692134309601</v>
      </c>
      <c r="O22" s="1">
        <f>N22/VLOOKUP(A22,'[256]geoMap (13)'!$A:$B,2,0)*VLOOKUP(A22,'[256]geoMap (13)'!$A:$C,3,0)</f>
        <v>493.57180217017611</v>
      </c>
      <c r="P22" s="1">
        <f>O22/VLOOKUP(A22,'[266]geoMap (14)'!$A:$B,2,0)*VLOOKUP(A22,'[266]geoMap (14)'!$A:$C,3,0)</f>
        <v>123.39295054254404</v>
      </c>
      <c r="Q22" s="1">
        <f>P22/VLOOKUP(A22,'[267]geoMap (15)'!$A:$B,2,0)*VLOOKUP(A22,'[267]geoMap (15)'!$A:$C,3,0)</f>
        <v>192.99923033577403</v>
      </c>
      <c r="R22" s="1">
        <f>Q22/VLOOKUP(A22,'[258]geoMap (16)'!$A:$B,2,0)*VLOOKUP(A22,'[258]geoMap (16)'!$A:$C,3,0)</f>
        <v>21.444358926197115</v>
      </c>
      <c r="S22" s="1">
        <f>R22/VLOOKUP(A22,'[259]geoMap (17)'!$A:$B,2,0)*VLOOKUP(A22,'[259]geoMap (17)'!$A:$C,3,0)</f>
        <v>157.25863212544553</v>
      </c>
      <c r="T22" s="1">
        <f>S22/VLOOKUP(A22,'[260]geoMap (18)'!$A:$B,2,0)*VLOOKUP(A22,'[260]geoMap (18)'!$A:$C,3,0)</f>
        <v>96.384322915595646</v>
      </c>
      <c r="U22" s="1">
        <f>T22/VLOOKUP(A22,'[261]geoMap (19)'!$A:$B,2,0)*VLOOKUP(A22,'[261]geoMap (19)'!$A:$C,3,0)</f>
        <v>35.648996146864143</v>
      </c>
      <c r="V22" s="1">
        <f>U22/VLOOKUP(A22,'[268]geoMap (20)'!$A:$B,2,0)*VLOOKUP(A22,'[268]geoMap (20)'!$A:$C,3,0)</f>
        <v>10.054845067064244</v>
      </c>
      <c r="W22" s="1">
        <f>V22/VLOOKUP(A22,'[269]geoMap (21)'!$A:$B,2,0)*VLOOKUP(A22,'[269]geoMap (21)'!$A:$C,3,0)</f>
        <v>37.825369538003592</v>
      </c>
      <c r="X22" s="1">
        <f>W22/VLOOKUP(A22,'[262]geoMap (22)'!$A:$B,2,0)*VLOOKUP(A22,'[262]geoMap (22)'!$A:$C,3,0)</f>
        <v>39.369262172207819</v>
      </c>
      <c r="Y22" s="1">
        <f>X22/VLOOKUP(A22,'[263]geoMap (23)'!$A:$B,2,0)*VLOOKUP(A22,'[263]geoMap (23)'!$A:$C,3,0)</f>
        <v>69.989799417258354</v>
      </c>
      <c r="Z22" s="1">
        <f>Y22/VLOOKUP(A22,'[264]geoMap (24)'!$A:$B,2,0)*VLOOKUP(A22,'[264]geoMap (24)'!$A:$C,3,0)</f>
        <v>24.591010606063747</v>
      </c>
      <c r="AA22" s="1">
        <f>Z22/VLOOKUP(A22,'[265]geoMap (25)'!$A:$B,2,0)*VLOOKUP(A22,'[265]geoMap (25)'!$A:$C,3,0)</f>
        <v>33.959014646468987</v>
      </c>
    </row>
    <row r="23" spans="1:27" x14ac:dyDescent="0.2">
      <c r="A23" s="1" t="s">
        <v>81</v>
      </c>
      <c r="B23" s="1">
        <f>Notes!$C$6*VLOOKUP(A23,[243]geoMap!$A:$B,2,0)</f>
        <v>7000</v>
      </c>
      <c r="C23" s="1">
        <f>B23/VLOOKUP(A23,'[244]geoMap (1)'!$A:$B,2,0)*VLOOKUP(A23,'[244]geoMap (1)'!$A:$C,3,0)</f>
        <v>1974.3589743589744</v>
      </c>
      <c r="D23" s="1">
        <f>C23/VLOOKUP(A23,'[245]geoMap (2)'!$A:$B,2,0)*VLOOKUP(A23,'[245]geoMap (2)'!$A:$C,3,0)</f>
        <v>3221.3225371120107</v>
      </c>
      <c r="E23" s="1">
        <f>D23/VLOOKUP(A23,'[246]geoMap (3)'!$A:$B,2,0)*VLOOKUP(A23,'[246]geoMap (3)'!$A:$C,3,0)</f>
        <v>2856.6445140427259</v>
      </c>
      <c r="F23" s="1">
        <f>E23/VLOOKUP(A23,'[247]geoMap (4)'!$A:$B,2,0)*VLOOKUP(A23,'[247]geoMap (4)'!$A:$C,3,0)</f>
        <v>2533.2507954718512</v>
      </c>
      <c r="G23" s="1">
        <f>F23/VLOOKUP(A23,'[248]geoMap (5)'!$A:$B,2,0)*VLOOKUP(A23,'[248]geoMap (5)'!$A:$C,3,0)</f>
        <v>2533.2507954718512</v>
      </c>
      <c r="H23" s="1">
        <f>G23/VLOOKUP(A23,'[249]geoMap (6)'!$A:$B,2,0)*VLOOKUP(A23,'[249]geoMap (6)'!$A:$C,3,0)</f>
        <v>1552.6375843214573</v>
      </c>
      <c r="I23" s="1">
        <f>H23/VLOOKUP(A23,'[250]geoMap (7)'!$A:$B,2,0)*VLOOKUP(A23,'[250]geoMap (7)'!$A:$C,3,0)</f>
        <v>153.55756328453973</v>
      </c>
      <c r="J23" s="1">
        <f>I23/VLOOKUP(A23,'[251]geoMap (8)'!$A:$B,2,0)*VLOOKUP(A23,'[251]geoMap (8)'!$A:$C,3,0)</f>
        <v>1027.6544619811502</v>
      </c>
      <c r="K23" s="1">
        <f>J23/VLOOKUP(A23,'[252]geoMap (9)'!$A:$B,2,0)*VLOOKUP(A23,'[252]geoMap (9)'!$A:$C,3,0)</f>
        <v>875.40935650246126</v>
      </c>
      <c r="L23" s="1">
        <f>K23/VLOOKUP(A23,'[253]geoMap (10)'!$A:$B,2,0)*VLOOKUP(A23,'[253]geoMap (10)'!$A:$C,3,0)</f>
        <v>357.5615681488926</v>
      </c>
      <c r="M23" s="1">
        <f>L23/VLOOKUP(A23,'[254]geoMap (11)'!$A:$B,2,0)*VLOOKUP(A23,'[254]geoMap (11)'!$A:$C,3,0)</f>
        <v>269.73942860355055</v>
      </c>
      <c r="N23" s="1">
        <f>M23/VLOOKUP(A23,'[255]geoMap (12)'!$A:$B,2,0)*VLOOKUP(A23,'[255]geoMap (12)'!$A:$C,3,0)</f>
        <v>440.1011729847404</v>
      </c>
      <c r="O23" s="1">
        <f>N23/VLOOKUP(A23,'[256]geoMap (13)'!$A:$B,2,0)*VLOOKUP(A23,'[256]geoMap (13)'!$A:$C,3,0)</f>
        <v>318.69395285101893</v>
      </c>
      <c r="P23" s="1">
        <f>O23/VLOOKUP(A23,'[266]geoMap (14)'!$A:$B,2,0)*VLOOKUP(A23,'[266]geoMap (14)'!$A:$C,3,0)</f>
        <v>111.97355100170937</v>
      </c>
      <c r="Q23" s="1">
        <f>P23/VLOOKUP(A23,'[267]geoMap (15)'!$A:$B,2,0)*VLOOKUP(A23,'[267]geoMap (15)'!$A:$C,3,0)</f>
        <v>57.683344455426038</v>
      </c>
      <c r="R23" s="1">
        <f>Q23/VLOOKUP(A23,'[258]geoMap (16)'!$A:$B,2,0)*VLOOKUP(A23,'[258]geoMap (16)'!$A:$C,3,0)</f>
        <v>23.560802664892329</v>
      </c>
      <c r="S23" s="1">
        <f>R23/VLOOKUP(A23,'[259]geoMap (17)'!$A:$B,2,0)*VLOOKUP(A23,'[259]geoMap (17)'!$A:$C,3,0)</f>
        <v>74.609208438825718</v>
      </c>
      <c r="T23" s="1">
        <f>S23/VLOOKUP(A23,'[260]geoMap (18)'!$A:$B,2,0)*VLOOKUP(A23,'[260]geoMap (18)'!$A:$C,3,0)</f>
        <v>77.654482252655342</v>
      </c>
      <c r="U23" s="1">
        <f>T23/VLOOKUP(A23,'[261]geoMap (19)'!$A:$B,2,0)*VLOOKUP(A23,'[261]geoMap (19)'!$A:$C,3,0)</f>
        <v>40.00382419076184</v>
      </c>
      <c r="V23" s="1">
        <f>U23/VLOOKUP(A23,'[268]geoMap (20)'!$A:$B,2,0)*VLOOKUP(A23,'[268]geoMap (20)'!$A:$C,3,0)</f>
        <v>26.669216127174561</v>
      </c>
      <c r="W23" s="1">
        <f>V23/VLOOKUP(A23,'[269]geoMap (21)'!$A:$B,2,0)*VLOOKUP(A23,'[269]geoMap (21)'!$A:$C,3,0)</f>
        <v>27.75775556093679</v>
      </c>
      <c r="X23" s="1">
        <f>W23/VLOOKUP(A23,'[262]geoMap (22)'!$A:$B,2,0)*VLOOKUP(A23,'[262]geoMap (22)'!$A:$C,3,0)</f>
        <v>27.75775556093679</v>
      </c>
      <c r="Y23" s="1">
        <f>X23/VLOOKUP(A23,'[263]geoMap (23)'!$A:$B,2,0)*VLOOKUP(A23,'[263]geoMap (23)'!$A:$C,3,0)</f>
        <v>39.944087270616357</v>
      </c>
      <c r="Z23" s="1">
        <f>Y23/VLOOKUP(A23,'[264]geoMap (24)'!$A:$B,2,0)*VLOOKUP(A23,'[264]geoMap (24)'!$A:$C,3,0)</f>
        <v>13.314695756872119</v>
      </c>
      <c r="AA23" s="1">
        <f>Z23/VLOOKUP(A23,'[265]geoMap (25)'!$A:$B,2,0)*VLOOKUP(A23,'[265]geoMap (25)'!$A:$C,3,0)</f>
        <v>32.598048232342087</v>
      </c>
    </row>
    <row r="24" spans="1:27" x14ac:dyDescent="0.2">
      <c r="A24" s="1" t="s">
        <v>73</v>
      </c>
      <c r="B24" s="1">
        <f>Notes!$C$6*VLOOKUP(A24,[243]geoMap!$A:$B,2,0)</f>
        <v>9000</v>
      </c>
      <c r="C24" s="1">
        <f>B24/VLOOKUP(A24,'[244]geoMap (1)'!$A:$B,2,0)*VLOOKUP(A24,'[244]geoMap (1)'!$A:$C,3,0)</f>
        <v>1588.2352941176471</v>
      </c>
      <c r="D24" s="1">
        <f>C24/VLOOKUP(A24,'[245]geoMap (2)'!$A:$B,2,0)*VLOOKUP(A24,'[245]geoMap (2)'!$A:$C,3,0)</f>
        <v>3888.4381338742392</v>
      </c>
      <c r="E24" s="1">
        <f>D24/VLOOKUP(A24,'[246]geoMap (3)'!$A:$B,2,0)*VLOOKUP(A24,'[246]geoMap (3)'!$A:$C,3,0)</f>
        <v>4384.8344913901001</v>
      </c>
      <c r="F24" s="1">
        <f>E24/VLOOKUP(A24,'[247]geoMap (4)'!$A:$B,2,0)*VLOOKUP(A24,'[247]geoMap (4)'!$A:$C,3,0)</f>
        <v>2923.222994260067</v>
      </c>
      <c r="G24" s="1">
        <f>F24/VLOOKUP(A24,'[248]geoMap (5)'!$A:$B,2,0)*VLOOKUP(A24,'[248]geoMap (5)'!$A:$C,3,0)</f>
        <v>2592.2920892494931</v>
      </c>
      <c r="H24" s="1">
        <f>G24/VLOOKUP(A24,'[249]geoMap (6)'!$A:$B,2,0)*VLOOKUP(A24,'[249]geoMap (6)'!$A:$C,3,0)</f>
        <v>1164.6529676338303</v>
      </c>
      <c r="I24" s="1">
        <f>H24/VLOOKUP(A24,'[250]geoMap (7)'!$A:$B,2,0)*VLOOKUP(A24,'[250]geoMap (7)'!$A:$C,3,0)</f>
        <v>189.59466914969332</v>
      </c>
      <c r="J24" s="1">
        <f>I24/VLOOKUP(A24,'[251]geoMap (8)'!$A:$B,2,0)*VLOOKUP(A24,'[251]geoMap (8)'!$A:$C,3,0)</f>
        <v>1074.3697918482621</v>
      </c>
      <c r="K24" s="1">
        <f>J24/VLOOKUP(A24,'[252]geoMap (9)'!$A:$B,2,0)*VLOOKUP(A24,'[252]geoMap (9)'!$A:$C,3,0)</f>
        <v>746.59595704709739</v>
      </c>
      <c r="L24" s="1">
        <f>K24/VLOOKUP(A24,'[253]geoMap (10)'!$A:$B,2,0)*VLOOKUP(A24,'[253]geoMap (10)'!$A:$C,3,0)</f>
        <v>402.01320764074472</v>
      </c>
      <c r="M24" s="1">
        <f>L24/VLOOKUP(A24,'[254]geoMap (11)'!$A:$B,2,0)*VLOOKUP(A24,'[254]geoMap (11)'!$A:$C,3,0)</f>
        <v>236.10299496361196</v>
      </c>
      <c r="N24" s="1">
        <f>M24/VLOOKUP(A24,'[255]geoMap (12)'!$A:$B,2,0)*VLOOKUP(A24,'[255]geoMap (12)'!$A:$C,3,0)</f>
        <v>326.04699304498797</v>
      </c>
      <c r="O24" s="1">
        <f>N24/VLOOKUP(A24,'[256]geoMap (13)'!$A:$B,2,0)*VLOOKUP(A24,'[256]geoMap (13)'!$A:$C,3,0)</f>
        <v>300.96645511845043</v>
      </c>
      <c r="P24" s="1">
        <f>O24/VLOOKUP(A24,'[266]geoMap (14)'!$A:$B,2,0)*VLOOKUP(A24,'[266]geoMap (14)'!$A:$C,3,0)</f>
        <v>169.29363100412837</v>
      </c>
      <c r="Q24" s="1">
        <f>P24/VLOOKUP(A24,'[267]geoMap (15)'!$A:$B,2,0)*VLOOKUP(A24,'[267]geoMap (15)'!$A:$C,3,0)</f>
        <v>87.211870517278243</v>
      </c>
      <c r="R24" s="1">
        <f>Q24/VLOOKUP(A24,'[258]geoMap (16)'!$A:$B,2,0)*VLOOKUP(A24,'[258]geoMap (16)'!$A:$C,3,0)</f>
        <v>14.197281246998784</v>
      </c>
      <c r="S24" s="1">
        <f>R24/VLOOKUP(A24,'[259]geoMap (17)'!$A:$B,2,0)*VLOOKUP(A24,'[259]geoMap (17)'!$A:$C,3,0)</f>
        <v>53.40881992918591</v>
      </c>
      <c r="T24" s="1">
        <f>S24/VLOOKUP(A24,'[260]geoMap (18)'!$A:$B,2,0)*VLOOKUP(A24,'[260]geoMap (18)'!$A:$C,3,0)</f>
        <v>103.67594456841971</v>
      </c>
      <c r="U24" s="1">
        <f>T24/VLOOKUP(A24,'[261]geoMap (19)'!$A:$B,2,0)*VLOOKUP(A24,'[261]geoMap (19)'!$A:$C,3,0)</f>
        <v>38.345897306127846</v>
      </c>
      <c r="V24" s="1">
        <f>U24/VLOOKUP(A24,'[268]geoMap (20)'!$A:$B,2,0)*VLOOKUP(A24,'[268]geoMap (20)'!$A:$C,3,0)</f>
        <v>39.911035971684079</v>
      </c>
      <c r="W24" s="1">
        <f>V24/VLOOKUP(A24,'[269]geoMap (21)'!$A:$B,2,0)*VLOOKUP(A24,'[269]geoMap (21)'!$A:$C,3,0)</f>
        <v>23.439814777020807</v>
      </c>
      <c r="X24" s="1">
        <f>W24/VLOOKUP(A24,'[262]geoMap (22)'!$A:$B,2,0)*VLOOKUP(A24,'[262]geoMap (22)'!$A:$C,3,0)</f>
        <v>29.832491534390119</v>
      </c>
      <c r="Y24" s="1">
        <f>X24/VLOOKUP(A24,'[263]geoMap (23)'!$A:$B,2,0)*VLOOKUP(A24,'[263]geoMap (23)'!$A:$C,3,0)</f>
        <v>27.537684493283184</v>
      </c>
      <c r="Z24" s="1">
        <f>Y24/VLOOKUP(A24,'[264]geoMap (24)'!$A:$B,2,0)*VLOOKUP(A24,'[264]geoMap (24)'!$A:$C,3,0)</f>
        <v>16.877935657173563</v>
      </c>
      <c r="AA24" s="1">
        <f>Z24/VLOOKUP(A24,'[265]geoMap (25)'!$A:$B,2,0)*VLOOKUP(A24,'[265]geoMap (25)'!$A:$C,3,0)</f>
        <v>25.316903485760339</v>
      </c>
    </row>
    <row r="25" spans="1:27" x14ac:dyDescent="0.2">
      <c r="A25" s="1" t="s">
        <v>85</v>
      </c>
      <c r="B25" s="1">
        <f>Notes!$C$6*VLOOKUP(A25,[243]geoMap!$A:$B,2,0)</f>
        <v>7000</v>
      </c>
      <c r="C25" s="1">
        <f>B25/VLOOKUP(A25,'[244]geoMap (1)'!$A:$B,2,0)*VLOOKUP(A25,'[244]geoMap (1)'!$A:$C,3,0)</f>
        <v>1433.7349397590365</v>
      </c>
      <c r="D25" s="1">
        <f>C25/VLOOKUP(A25,'[245]geoMap (2)'!$A:$B,2,0)*VLOOKUP(A25,'[245]geoMap (2)'!$A:$C,3,0)</f>
        <v>3046.6867469879526</v>
      </c>
      <c r="E25" s="1">
        <f>D25/VLOOKUP(A25,'[246]geoMap (3)'!$A:$B,2,0)*VLOOKUP(A25,'[246]geoMap (3)'!$A:$C,3,0)</f>
        <v>2595.3257474341817</v>
      </c>
      <c r="F25" s="1">
        <f>E25/VLOOKUP(A25,'[247]geoMap (4)'!$A:$B,2,0)*VLOOKUP(A25,'[247]geoMap (4)'!$A:$C,3,0)</f>
        <v>2301.5152854605003</v>
      </c>
      <c r="G25" s="1">
        <f>F25/VLOOKUP(A25,'[248]geoMap (5)'!$A:$B,2,0)*VLOOKUP(A25,'[248]geoMap (5)'!$A:$C,3,0)</f>
        <v>1534.3435236403338</v>
      </c>
      <c r="H25" s="1">
        <f>G25/VLOOKUP(A25,'[249]geoMap (6)'!$A:$B,2,0)*VLOOKUP(A25,'[249]geoMap (6)'!$A:$C,3,0)</f>
        <v>2612.5308645767846</v>
      </c>
      <c r="I25" s="1">
        <f>H25/VLOOKUP(A25,'[250]geoMap (7)'!$A:$B,2,0)*VLOOKUP(A25,'[250]geoMap (7)'!$A:$C,3,0)</f>
        <v>108.85545269069937</v>
      </c>
      <c r="J25" s="1">
        <f>I25/VLOOKUP(A25,'[251]geoMap (8)'!$A:$B,2,0)*VLOOKUP(A25,'[251]geoMap (8)'!$A:$C,3,0)</f>
        <v>616.84756524729642</v>
      </c>
      <c r="K25" s="1">
        <f>J25/VLOOKUP(A25,'[252]geoMap (9)'!$A:$B,2,0)*VLOOKUP(A25,'[252]geoMap (9)'!$A:$C,3,0)</f>
        <v>484.66594412287566</v>
      </c>
      <c r="L25" s="1">
        <f>K25/VLOOKUP(A25,'[253]geoMap (10)'!$A:$B,2,0)*VLOOKUP(A25,'[253]geoMap (10)'!$A:$C,3,0)</f>
        <v>179.26000673037868</v>
      </c>
      <c r="M25" s="1">
        <f>L25/VLOOKUP(A25,'[254]geoMap (11)'!$A:$B,2,0)*VLOOKUP(A25,'[254]geoMap (11)'!$A:$C,3,0)</f>
        <v>257.95952188030105</v>
      </c>
      <c r="N25" s="1">
        <f>M25/VLOOKUP(A25,'[255]geoMap (12)'!$A:$B,2,0)*VLOOKUP(A25,'[255]geoMap (12)'!$A:$C,3,0)</f>
        <v>302.82204742470122</v>
      </c>
      <c r="O25" s="1">
        <f>N25/VLOOKUP(A25,'[256]geoMap (13)'!$A:$B,2,0)*VLOOKUP(A25,'[256]geoMap (13)'!$A:$C,3,0)</f>
        <v>219.28493089374916</v>
      </c>
      <c r="P25" s="1">
        <f>O25/VLOOKUP(A25,'[266]geoMap (14)'!$A:$B,2,0)*VLOOKUP(A25,'[266]geoMap (14)'!$A:$C,3,0)</f>
        <v>237.55867513489494</v>
      </c>
      <c r="Q25" s="1">
        <f>P25/VLOOKUP(A25,'[267]geoMap (15)'!$A:$B,2,0)*VLOOKUP(A25,'[267]geoMap (15)'!$A:$C,3,0)</f>
        <v>75.018528989966811</v>
      </c>
      <c r="R25" s="1">
        <f>Q25/VLOOKUP(A25,'[258]geoMap (16)'!$A:$B,2,0)*VLOOKUP(A25,'[258]geoMap (16)'!$A:$C,3,0)</f>
        <v>8.3353921099963113</v>
      </c>
      <c r="S25" s="1">
        <f>R25/VLOOKUP(A25,'[259]geoMap (17)'!$A:$B,2,0)*VLOOKUP(A25,'[259]geoMap (17)'!$A:$C,3,0)</f>
        <v>51.203122961405903</v>
      </c>
      <c r="T25" s="1">
        <f>S25/VLOOKUP(A25,'[260]geoMap (18)'!$A:$B,2,0)*VLOOKUP(A25,'[260]geoMap (18)'!$A:$C,3,0)</f>
        <v>40.231025183961776</v>
      </c>
      <c r="U25" s="1">
        <f>T25/VLOOKUP(A25,'[261]geoMap (19)'!$A:$B,2,0)*VLOOKUP(A25,'[261]geoMap (19)'!$A:$C,3,0)</f>
        <v>12.704534268619506</v>
      </c>
      <c r="V25" s="1">
        <f>U25/VLOOKUP(A25,'[268]geoMap (20)'!$A:$B,2,0)*VLOOKUP(A25,'[268]geoMap (20)'!$A:$C,3,0)</f>
        <v>17.544356847141223</v>
      </c>
      <c r="W25" s="1">
        <f>V25/VLOOKUP(A25,'[269]geoMap (21)'!$A:$B,2,0)*VLOOKUP(A25,'[269]geoMap (21)'!$A:$C,3,0)</f>
        <v>18.26045304498372</v>
      </c>
      <c r="X25" s="1">
        <f>W25/VLOOKUP(A25,'[262]geoMap (22)'!$A:$B,2,0)*VLOOKUP(A25,'[262]geoMap (22)'!$A:$C,3,0)</f>
        <v>14.347498821058636</v>
      </c>
      <c r="Y25" s="1">
        <f>X25/VLOOKUP(A25,'[263]geoMap (23)'!$A:$B,2,0)*VLOOKUP(A25,'[263]geoMap (23)'!$A:$C,3,0)</f>
        <v>12.723253671504828</v>
      </c>
      <c r="Z25" s="1">
        <f>Y25/VLOOKUP(A25,'[264]geoMap (24)'!$A:$B,2,0)*VLOOKUP(A25,'[264]geoMap (24)'!$A:$C,3,0)</f>
        <v>5.9874134924728608</v>
      </c>
      <c r="AA25" s="1">
        <f>Z25/VLOOKUP(A25,'[265]geoMap (25)'!$A:$B,2,0)*VLOOKUP(A25,'[265]geoMap (25)'!$A:$C,3,0)</f>
        <v>15.396206123501639</v>
      </c>
    </row>
    <row r="26" spans="1:27" x14ac:dyDescent="0.2">
      <c r="A26" s="1" t="s">
        <v>70</v>
      </c>
      <c r="B26" s="1">
        <f>Notes!$C$6*VLOOKUP(A26,[243]geoMap!$A:$B,2,0)</f>
        <v>11000</v>
      </c>
      <c r="C26" s="1">
        <f>B26/VLOOKUP(A26,'[244]geoMap (1)'!$A:$B,2,0)*VLOOKUP(A26,'[244]geoMap (1)'!$A:$C,3,0)</f>
        <v>1500</v>
      </c>
      <c r="D26" s="1">
        <f>C26/VLOOKUP(A26,'[245]geoMap (2)'!$A:$B,2,0)*VLOOKUP(A26,'[245]geoMap (2)'!$A:$C,3,0)</f>
        <v>2785.7142857142862</v>
      </c>
      <c r="E26" s="1">
        <f>D26/VLOOKUP(A26,'[246]geoMap (3)'!$A:$B,2,0)*VLOOKUP(A26,'[246]geoMap (3)'!$A:$C,3,0)</f>
        <v>2373.0158730158732</v>
      </c>
      <c r="F26" s="1">
        <f>E26/VLOOKUP(A26,'[247]geoMap (4)'!$A:$B,2,0)*VLOOKUP(A26,'[247]geoMap (4)'!$A:$C,3,0)</f>
        <v>5042.6587301587306</v>
      </c>
      <c r="G26" s="1">
        <f>F26/59*12</f>
        <v>1025.6255044390639</v>
      </c>
      <c r="H26" s="1">
        <f>B26/VLOOKUP(A26,'[273]geoMap (26)'!$A:$B,2,0)*VLOOKUP(A26,'[273]geoMap (26)'!$A:$C,3,0)</f>
        <v>1500</v>
      </c>
      <c r="I26" s="1">
        <f>H26/VLOOKUP(A26,'[250]geoMap (7)'!$A:$B,2,0)*VLOOKUP(A26,'[250]geoMap (7)'!$A:$C,3,0)</f>
        <v>95.744680851063833</v>
      </c>
      <c r="J26" s="1">
        <f>I26/VLOOKUP(A26,'[251]geoMap (8)'!$A:$B,2,0)*VLOOKUP(A26,'[251]geoMap (8)'!$A:$C,3,0)</f>
        <v>774.66150870406193</v>
      </c>
      <c r="K26" s="1">
        <f>J26/VLOOKUP(A26,'[252]geoMap (9)'!$A:$B,2,0)*VLOOKUP(A26,'[252]geoMap (9)'!$A:$C,3,0)</f>
        <v>839.21663442940041</v>
      </c>
      <c r="L26" s="1">
        <f>K26/VLOOKUP(A26,'[253]geoMap (10)'!$A:$B,2,0)*VLOOKUP(A26,'[253]geoMap (10)'!$A:$C,3,0)</f>
        <v>310.39519355607962</v>
      </c>
      <c r="M26" s="1">
        <f>L26/VLOOKUP(A26,'[254]geoMap (11)'!$A:$B,2,0)*VLOOKUP(A26,'[254]geoMap (11)'!$A:$C,3,0)</f>
        <v>243.88193779406254</v>
      </c>
      <c r="N26" s="1">
        <f>M26/48*32</f>
        <v>162.58795852937502</v>
      </c>
      <c r="O26" s="1">
        <f>H26/VLOOKUP(A26,'[274]geoMap (29)'!$A:$B,2,0)*VLOOKUP(A26,'[274]geoMap (29)'!$A:$C,3,0)</f>
        <v>351.85185185185185</v>
      </c>
      <c r="P26" s="1">
        <f>O26/VLOOKUP(A26,'[266]geoMap (14)'!$A:$B,2,0)*VLOOKUP(A26,'[266]geoMap (14)'!$A:$C,3,0)</f>
        <v>234.5679012345679</v>
      </c>
      <c r="Q26" s="1">
        <f>P26/VLOOKUP(A26,'[267]geoMap (15)'!$A:$B,2,0)*VLOOKUP(A26,'[267]geoMap (15)'!$A:$C,3,0)</f>
        <v>176.9547325102881</v>
      </c>
      <c r="R26" s="1">
        <f>Q26/VLOOKUP(A26,'[258]geoMap (16)'!$A:$B,2,0)*VLOOKUP(A26,'[258]geoMap (16)'!$A:$C,3,0)</f>
        <v>21.870809636103022</v>
      </c>
      <c r="S26" s="1">
        <f>R26/VLOOKUP(A26,'[259]geoMap (17)'!$A:$B,2,0)*VLOOKUP(A26,'[259]geoMap (17)'!$A:$C,3,0)</f>
        <v>123.93458793791713</v>
      </c>
      <c r="T26" s="1">
        <f>S26/38*15</f>
        <v>48.921547870230441</v>
      </c>
      <c r="U26" s="1">
        <f>S26/VLOOKUP(A26,'[275]geoMap (32)'!$A:$B,2,0)*VLOOKUP(A26,'[275]geoMap (32)'!$A:$C,3,0)</f>
        <v>119.07440801878313</v>
      </c>
      <c r="V26" s="1">
        <f>U26/VLOOKUP(A26,'[268]geoMap (20)'!$A:$B,2,0)*VLOOKUP(A26,'[268]geoMap (20)'!$A:$C,3,0)</f>
        <v>27.931033979714559</v>
      </c>
      <c r="W26" s="1">
        <f>V26/VLOOKUP(A26,'[269]geoMap (21)'!$A:$B,2,0)*VLOOKUP(A26,'[269]geoMap (21)'!$A:$C,3,0)</f>
        <v>45.571687019534281</v>
      </c>
      <c r="X26" s="1">
        <f>W26/VLOOKUP(A26,'[262]geoMap (22)'!$A:$B,2,0)*VLOOKUP(A26,'[262]geoMap (22)'!$A:$C,3,0)</f>
        <v>38.820325979603275</v>
      </c>
      <c r="Y26" s="1">
        <f>X26/VLOOKUP(A26,'[263]geoMap (23)'!$A:$B,2,0)*VLOOKUP(A26,'[263]geoMap (23)'!$A:$C,3,0)</f>
        <v>35.834147058095333</v>
      </c>
      <c r="Z26" s="1">
        <f>Y26/VLOOKUP(A26,'[264]geoMap (24)'!$A:$B,2,0)*VLOOKUP(A26,'[264]geoMap (24)'!$A:$C,3,0)</f>
        <v>24.901695413252689</v>
      </c>
      <c r="AA26" s="1">
        <f>Z26/VLOOKUP(A26,'[265]geoMap (25)'!$A:$B,2,0)*VLOOKUP(A26,'[265]geoMap (25)'!$A:$C,3,0)</f>
        <v>35.834147058095333</v>
      </c>
    </row>
    <row r="27" spans="1:27" x14ac:dyDescent="0.2">
      <c r="A27" s="1" t="s">
        <v>67</v>
      </c>
      <c r="B27" s="1">
        <f>Notes!$C$6*VLOOKUP(A27,[243]geoMap!$A:$B,2,0)</f>
        <v>8000</v>
      </c>
      <c r="C27" s="1">
        <f>B27/VLOOKUP(A27,'[244]geoMap (1)'!$A:$B,2,0)*VLOOKUP(A27,'[244]geoMap (1)'!$A:$C,3,0)</f>
        <v>1411.7647058823529</v>
      </c>
      <c r="D27" s="1">
        <f>C27/VLOOKUP(A27,'[245]geoMap (2)'!$A:$B,2,0)*VLOOKUP(A27,'[245]geoMap (2)'!$A:$C,3,0)</f>
        <v>3142.3149905123337</v>
      </c>
      <c r="E27" s="1">
        <f>D27/VLOOKUP(A27,'[246]geoMap (3)'!$A:$B,2,0)*VLOOKUP(A27,'[246]geoMap (3)'!$A:$C,3,0)</f>
        <v>2275.469475888242</v>
      </c>
      <c r="F27" s="1">
        <f>E27/VLOOKUP(A27,'[247]geoMap (4)'!$A:$B,2,0)*VLOOKUP(A27,'[247]geoMap (4)'!$A:$C,3,0)</f>
        <v>2671.2032977818494</v>
      </c>
      <c r="G27" s="1">
        <f>F27/VLOOKUP(A27,'[248]geoMap (5)'!$A:$B,2,0)*VLOOKUP(A27,'[248]geoMap (5)'!$A:$C,3,0)</f>
        <v>2015.1182772740269</v>
      </c>
      <c r="H27" s="1">
        <f>G27/VLOOKUP(A27,'[249]geoMap (6)'!$A:$B,2,0)*VLOOKUP(A27,'[249]geoMap (6)'!$A:$C,3,0)</f>
        <v>1716.5822361963933</v>
      </c>
      <c r="I27" s="1">
        <f>H27/VLOOKUP(A27,'[250]geoMap (7)'!$A:$B,2,0)*VLOOKUP(A27,'[250]geoMap (7)'!$A:$C,3,0)</f>
        <v>109.56907890615275</v>
      </c>
      <c r="J27" s="1">
        <f>I27/VLOOKUP(A27,'[251]geoMap (8)'!$A:$B,2,0)*VLOOKUP(A27,'[251]geoMap (8)'!$A:$C,3,0)</f>
        <v>733.26998960271453</v>
      </c>
      <c r="K27" s="1">
        <f>J27/VLOOKUP(A27,'[252]geoMap (9)'!$A:$B,2,0)*VLOOKUP(A27,'[252]geoMap (9)'!$A:$C,3,0)</f>
        <v>624.63739855046049</v>
      </c>
      <c r="L27" s="1">
        <f>K27/VLOOKUP(A27,'[253]geoMap (10)'!$A:$B,2,0)*VLOOKUP(A27,'[253]geoMap (10)'!$A:$C,3,0)</f>
        <v>166.04285277923634</v>
      </c>
      <c r="M27" s="1">
        <f>L27/VLOOKUP(A27,'[254]geoMap (11)'!$A:$B,2,0)*VLOOKUP(A27,'[254]geoMap (11)'!$A:$C,3,0)</f>
        <v>194.91987065388614</v>
      </c>
      <c r="N27" s="1">
        <f>M27/VLOOKUP(A27,'[255]geoMap (12)'!$A:$B,2,0)*VLOOKUP(A27,'[255]geoMap (12)'!$A:$C,3,0)</f>
        <v>361.99404550007426</v>
      </c>
      <c r="O27" s="1">
        <f>N27/VLOOKUP(A27,'[256]geoMap (13)'!$A:$B,2,0)*VLOOKUP(A27,'[256]geoMap (13)'!$A:$C,3,0)</f>
        <v>251.55518416106855</v>
      </c>
      <c r="P27" s="1">
        <f>O27/VLOOKUP(A27,'[266]geoMap (14)'!$A:$B,2,0)*VLOOKUP(A27,'[266]geoMap (14)'!$A:$C,3,0)</f>
        <v>47.915273173536875</v>
      </c>
      <c r="Q27" s="1">
        <f>P27/VLOOKUP(A27,'[267]geoMap (15)'!$A:$B,2,0)*VLOOKUP(A27,'[267]geoMap (15)'!$A:$C,3,0)</f>
        <v>39.203405323802897</v>
      </c>
      <c r="R27" s="1">
        <f>Q27/VLOOKUP(A27,'[258]geoMap (16)'!$A:$B,2,0)*VLOOKUP(A27,'[258]geoMap (16)'!$A:$C,3,0)</f>
        <v>11.057370732354663</v>
      </c>
      <c r="S27" s="1">
        <f>R27/VLOOKUP(A27,'[259]geoMap (17)'!$A:$B,2,0)*VLOOKUP(A27,'[259]geoMap (17)'!$A:$C,3,0)</f>
        <v>67.923848784464354</v>
      </c>
      <c r="T27" s="1">
        <f>S27/VLOOKUP(A27,'[260]geoMap (18)'!$A:$B,2,0)*VLOOKUP(A27,'[260]geoMap (18)'!$A:$C,3,0)</f>
        <v>47.201318646831162</v>
      </c>
      <c r="U27" s="1">
        <f>T27/VLOOKUP(A27,'[261]geoMap (19)'!$A:$B,2,0)*VLOOKUP(A27,'[261]geoMap (19)'!$A:$C,3,0)</f>
        <v>11.071914250491259</v>
      </c>
      <c r="V27" s="1">
        <f>U27/VLOOKUP(A27,'[268]geoMap (20)'!$A:$B,2,0)*VLOOKUP(A27,'[268]geoMap (20)'!$A:$C,3,0)</f>
        <v>4.9743382864525945</v>
      </c>
      <c r="W27" s="1">
        <f>O27/VLOOKUP(A27,'[272]geoMap (33)'!$A:$B,2,0)*VLOOKUP(A27,'[272]geoMap (33)'!$A:$C,3,0)</f>
        <v>31.09109017721072</v>
      </c>
      <c r="X27" s="1">
        <f>W27/VLOOKUP(A27,'[262]geoMap (22)'!$A:$B,2,0)*VLOOKUP(A27,'[262]geoMap (22)'!$A:$C,3,0)</f>
        <v>21.605672835010839</v>
      </c>
      <c r="Y27" s="1">
        <f>X27/VLOOKUP(A27,'[263]geoMap (23)'!$A:$B,2,0)*VLOOKUP(A27,'[263]geoMap (23)'!$A:$C,3,0)</f>
        <v>24.363843835224994</v>
      </c>
      <c r="Z27" s="1">
        <f>Y27/VLOOKUP(A27,'[264]geoMap (24)'!$A:$B,2,0)*VLOOKUP(A27,'[264]geoMap (24)'!$A:$C,3,0)</f>
        <v>6.8718533894224345</v>
      </c>
      <c r="AA27" s="1">
        <f>Z27/VLOOKUP(A27,'[265]geoMap (25)'!$A:$B,2,0)*VLOOKUP(A27,'[265]geoMap (25)'!$A:$C,3,0)</f>
        <v>27.487413557689734</v>
      </c>
    </row>
    <row r="28" spans="1:27" x14ac:dyDescent="0.2">
      <c r="A28" s="1" t="s">
        <v>77</v>
      </c>
      <c r="B28" s="1">
        <f>Notes!$C$6*VLOOKUP(A28,[243]geoMap!$A:$B,2,0)</f>
        <v>7000</v>
      </c>
      <c r="C28" s="1">
        <f>B28/VLOOKUP(A28,'[244]geoMap (1)'!$A:$B,2,0)*VLOOKUP(A28,'[244]geoMap (1)'!$A:$C,3,0)</f>
        <v>1333.3333333333335</v>
      </c>
      <c r="D28" s="1">
        <f>C28/VLOOKUP(A28,'[245]geoMap (2)'!$A:$B,2,0)*VLOOKUP(A28,'[245]geoMap (2)'!$A:$C,3,0)</f>
        <v>3604.9382716049381</v>
      </c>
      <c r="E28" s="1">
        <f>D28/VLOOKUP(A28,'[246]geoMap (3)'!$A:$B,2,0)*VLOOKUP(A28,'[246]geoMap (3)'!$A:$C,3,0)</f>
        <v>2832.4514991181654</v>
      </c>
      <c r="F28" s="1">
        <f>E28/VLOOKUP(A28,'[247]geoMap (4)'!$A:$B,2,0)*VLOOKUP(A28,'[247]geoMap (4)'!$A:$C,3,0)</f>
        <v>2511.7966124255427</v>
      </c>
      <c r="G28" s="1">
        <f>F28/VLOOKUP(A28,'[248]geoMap (5)'!$A:$B,2,0)*VLOOKUP(A28,'[248]geoMap (5)'!$A:$C,3,0)</f>
        <v>2139.6785957699067</v>
      </c>
      <c r="H28" s="1">
        <f>G28/VLOOKUP(A28,'[249]geoMap (6)'!$A:$B,2,0)*VLOOKUP(A28,'[249]geoMap (6)'!$A:$C,3,0)</f>
        <v>3209.51789365486</v>
      </c>
      <c r="I28" s="1">
        <f>H28/VLOOKUP(A28,'[250]geoMap (7)'!$A:$B,2,0)*VLOOKUP(A28,'[250]geoMap (7)'!$A:$C,3,0)</f>
        <v>168.92199440288738</v>
      </c>
      <c r="J28" s="1">
        <f>I28/VLOOKUP(A28,'[251]geoMap (8)'!$A:$B,2,0)*VLOOKUP(A28,'[251]geoMap (8)'!$A:$C,3,0)</f>
        <v>769.533530057598</v>
      </c>
      <c r="K28" s="1">
        <f>J28/VLOOKUP(A28,'[252]geoMap (9)'!$A:$B,2,0)*VLOOKUP(A28,'[252]geoMap (9)'!$A:$C,3,0)</f>
        <v>655.52856264165757</v>
      </c>
      <c r="L28" s="1">
        <f>K28/VLOOKUP(A28,'[253]geoMap (10)'!$A:$B,2,0)*VLOOKUP(A28,'[253]geoMap (10)'!$A:$C,3,0)</f>
        <v>106.71395205794427</v>
      </c>
      <c r="M28" s="1">
        <f>L28/VLOOKUP(A28,'[254]geoMap (11)'!$A:$B,2,0)*VLOOKUP(A28,'[254]geoMap (11)'!$A:$C,3,0)</f>
        <v>261.26519296944974</v>
      </c>
      <c r="N28" s="1">
        <f>M28/VLOOKUP(A28,'[255]geoMap (12)'!$A:$B,2,0)*VLOOKUP(A28,'[255]geoMap (12)'!$A:$C,3,0)</f>
        <v>294.61819632725184</v>
      </c>
      <c r="O28" s="1">
        <f>N28/VLOOKUP(A28,'[256]geoMap (13)'!$A:$B,2,0)*VLOOKUP(A28,'[256]geoMap (13)'!$A:$C,3,0)</f>
        <v>222.25583231704962</v>
      </c>
      <c r="P28" s="1">
        <f>O28/VLOOKUP(A28,'[266]geoMap (14)'!$A:$B,2,0)*VLOOKUP(A28,'[266]geoMap (14)'!$A:$C,3,0)</f>
        <v>260.90902054610171</v>
      </c>
      <c r="Q28" s="1">
        <f>P28/VLOOKUP(A28,'[267]geoMap (15)'!$A:$B,2,0)*VLOOKUP(A28,'[267]geoMap (15)'!$A:$C,3,0)</f>
        <v>53.439196979322041</v>
      </c>
      <c r="R28" s="1">
        <f>Q28/VLOOKUP(A28,'[258]geoMap (16)'!$A:$B,2,0)*VLOOKUP(A28,'[258]geoMap (16)'!$A:$C,3,0)</f>
        <v>10.178894662728009</v>
      </c>
      <c r="S28" s="1">
        <f>R28/VLOOKUP(A28,'[259]geoMap (17)'!$A:$B,2,0)*VLOOKUP(A28,'[259]geoMap (17)'!$A:$C,3,0)</f>
        <v>74.645227526672059</v>
      </c>
      <c r="T28" s="1">
        <f>S28/VLOOKUP(A28,'[260]geoMap (18)'!$A:$B,2,0)*VLOOKUP(A28,'[260]geoMap (18)'!$A:$C,3,0)</f>
        <v>68.903286947697282</v>
      </c>
      <c r="U28" s="1">
        <f>T28/VLOOKUP(A28,'[261]geoMap (19)'!$A:$B,2,0)*VLOOKUP(A28,'[261]geoMap (19)'!$A:$C,3,0)</f>
        <v>10.295893451954766</v>
      </c>
      <c r="V28" s="1">
        <f>U28/VLOOKUP(A28,'[268]geoMap (20)'!$A:$B,2,0)*VLOOKUP(A28,'[268]geoMap (20)'!$A:$C,3,0)</f>
        <v>3.4319644839849222</v>
      </c>
      <c r="W28" s="1">
        <f>V28/VLOOKUP(A28,'[269]geoMap (21)'!$A:$B,2,0)*VLOOKUP(A28,'[269]geoMap (21)'!$A:$C,3,0)</f>
        <v>16.756061892396971</v>
      </c>
      <c r="X28" s="1">
        <f>W28/VLOOKUP(A28,'[262]geoMap (22)'!$A:$B,2,0)*VLOOKUP(A28,'[262]geoMap (22)'!$A:$C,3,0)</f>
        <v>34.019883236078698</v>
      </c>
      <c r="Y28" s="1">
        <f>X28/VLOOKUP(A28,'[263]geoMap (23)'!$A:$B,2,0)*VLOOKUP(A28,'[263]geoMap (23)'!$A:$C,3,0)</f>
        <v>30.168575699918843</v>
      </c>
      <c r="Z28" s="1">
        <f>Y28/VLOOKUP(A28,'[264]geoMap (24)'!$A:$B,2,0)*VLOOKUP(A28,'[264]geoMap (24)'!$A:$C,3,0)</f>
        <v>9.0113927415342001</v>
      </c>
      <c r="AA28" s="1">
        <f>Z28/VLOOKUP(A28,'[265]geoMap (25)'!$A:$B,2,0)*VLOOKUP(A28,'[265]geoMap (25)'!$A:$C,3,0)</f>
        <v>19.149209575760178</v>
      </c>
    </row>
    <row r="29" spans="1:27" x14ac:dyDescent="0.2">
      <c r="A29" s="1" t="s">
        <v>93</v>
      </c>
      <c r="B29" s="1">
        <f>Notes!$C$6*VLOOKUP(A29,[243]geoMap!$A:$B,2,0)</f>
        <v>9000</v>
      </c>
      <c r="C29" s="1">
        <f>B29/VLOOKUP(A29,'[244]geoMap (1)'!$A:$B,2,0)*VLOOKUP(A29,'[244]geoMap (1)'!$A:$C,3,0)</f>
        <v>1112.3595505617977</v>
      </c>
      <c r="D29" s="1">
        <f>C29/VLOOKUP(A29,'[245]geoMap (2)'!$A:$B,2,0)*VLOOKUP(A29,'[245]geoMap (2)'!$A:$C,3,0)</f>
        <v>3943.8202247191011</v>
      </c>
      <c r="E29" s="1">
        <f>D29/VLOOKUP(A29,'[246]geoMap (3)'!$A:$B,2,0)*VLOOKUP(A29,'[246]geoMap (3)'!$A:$C,3,0)</f>
        <v>3789.1606080634501</v>
      </c>
      <c r="F29" s="1">
        <f>E29/VLOOKUP(A29,'[247]geoMap (4)'!$A:$B,2,0)*VLOOKUP(A29,'[247]geoMap (4)'!$A:$C,3,0)</f>
        <v>4272.8832388800611</v>
      </c>
      <c r="G29" s="1">
        <f>F29/VLOOKUP(A29,'[248]geoMap (5)'!$A:$B,2,0)*VLOOKUP(A29,'[248]geoMap (5)'!$A:$C,3,0)</f>
        <v>2201.1822745745771</v>
      </c>
      <c r="H29" s="1">
        <f>G29/VLOOKUP(A29,'[249]geoMap (6)'!$A:$B,2,0)*VLOOKUP(A29,'[249]geoMap (6)'!$A:$C,3,0)</f>
        <v>2690.3338911467054</v>
      </c>
      <c r="I29" s="1">
        <f>H29/VLOOKUP(A29,'[250]geoMap (7)'!$A:$B,2,0)*VLOOKUP(A29,'[250]geoMap (7)'!$A:$C,3,0)</f>
        <v>202.4982498712574</v>
      </c>
      <c r="J29" s="1">
        <f>I29/VLOOKUP(A29,'[251]geoMap (8)'!$A:$B,2,0)*VLOOKUP(A29,'[251]geoMap (8)'!$A:$C,3,0)</f>
        <v>1243.9178206377237</v>
      </c>
      <c r="K29" s="1">
        <f>J29/VLOOKUP(A29,'[252]geoMap (9)'!$A:$B,2,0)*VLOOKUP(A29,'[252]geoMap (9)'!$A:$C,3,0)</f>
        <v>730.55491053326637</v>
      </c>
      <c r="L29" s="1">
        <f>K29/VLOOKUP(A29,'[253]geoMap (10)'!$A:$B,2,0)*VLOOKUP(A29,'[253]geoMap (10)'!$A:$C,3,0)</f>
        <v>674.35837895378427</v>
      </c>
      <c r="M29" s="1">
        <f>L29/VLOOKUP(A29,'[254]geoMap (11)'!$A:$B,2,0)*VLOOKUP(A29,'[254]geoMap (11)'!$A:$C,3,0)</f>
        <v>488.32848131136109</v>
      </c>
      <c r="N29" s="1">
        <f>M29/VLOOKUP(A29,'[255]geoMap (12)'!$A:$B,2,0)*VLOOKUP(A29,'[255]geoMap (12)'!$A:$C,3,0)</f>
        <v>229.80163826416992</v>
      </c>
      <c r="O29" s="1">
        <f>N29/VLOOKUP(A29,'[256]geoMap (13)'!$A:$B,2,0)*VLOOKUP(A29,'[256]geoMap (13)'!$A:$C,3,0)</f>
        <v>317.34511950766324</v>
      </c>
      <c r="P29" s="1">
        <f>O29/VLOOKUP(A29,'[266]geoMap (14)'!$A:$B,2,0)*VLOOKUP(A29,'[266]geoMap (14)'!$A:$C,3,0)</f>
        <v>136.00505121756996</v>
      </c>
      <c r="Q29" s="1">
        <f>P29/VLOOKUP(A29,'[267]geoMap (15)'!$A:$B,2,0)*VLOOKUP(A29,'[267]geoMap (15)'!$A:$C,3,0)</f>
        <v>98.486416398929961</v>
      </c>
      <c r="R29" s="1">
        <f>Q29/VLOOKUP(A29,'[258]geoMap (16)'!$A:$B,2,0)*VLOOKUP(A29,'[258]geoMap (16)'!$A:$C,3,0)</f>
        <v>8.5640362086026052</v>
      </c>
      <c r="S29" s="1">
        <f>R29/VLOOKUP(A29,'[259]geoMap (17)'!$A:$B,2,0)*VLOOKUP(A29,'[259]geoMap (17)'!$A:$C,3,0)</f>
        <v>113.77933820000604</v>
      </c>
      <c r="T29" s="1">
        <f>S29/VLOOKUP(A29,'[260]geoMap (18)'!$A:$B,2,0)*VLOOKUP(A29,'[260]geoMap (18)'!$A:$C,3,0)</f>
        <v>46.473250814086974</v>
      </c>
      <c r="U29" s="1">
        <f>T29/VLOOKUP(A29,'[261]geoMap (19)'!$A:$B,2,0)*VLOOKUP(A29,'[261]geoMap (19)'!$A:$C,3,0)</f>
        <v>30.982167209391317</v>
      </c>
      <c r="V29" s="1">
        <f>U29/VLOOKUP(A29,'[268]geoMap (20)'!$A:$B,2,0)*VLOOKUP(A29,'[268]geoMap (20)'!$A:$C,3,0)</f>
        <v>9.7838422766498887</v>
      </c>
      <c r="W29" s="1">
        <f>V29/VLOOKUP(A29,'[269]geoMap (21)'!$A:$B,2,0)*VLOOKUP(A29,'[269]geoMap (21)'!$A:$C,3,0)</f>
        <v>32.754602404436582</v>
      </c>
      <c r="X29" s="1">
        <f>W29/VLOOKUP(A29,'[262]geoMap (22)'!$A:$B,2,0)*VLOOKUP(A29,'[262]geoMap (22)'!$A:$C,3,0)</f>
        <v>47.134671752725815</v>
      </c>
      <c r="Y29" s="1">
        <f>X29/VLOOKUP(A29,'[263]geoMap (23)'!$A:$B,2,0)*VLOOKUP(A29,'[263]geoMap (23)'!$A:$C,3,0)</f>
        <v>26.51325286090827</v>
      </c>
      <c r="Z29" s="1">
        <f>Y29/VLOOKUP(A29,'[264]geoMap (24)'!$A:$B,2,0)*VLOOKUP(A29,'[264]geoMap (24)'!$A:$C,3,0)</f>
        <v>9.315467221400203</v>
      </c>
      <c r="AA29" s="1">
        <f>Z29/VLOOKUP(A29,'[265]geoMap (25)'!$A:$B,2,0)*VLOOKUP(A29,'[265]geoMap (25)'!$A:$C,3,0)</f>
        <v>23.954058569314803</v>
      </c>
    </row>
    <row r="30" spans="1:27" x14ac:dyDescent="0.2">
      <c r="A30" s="1" t="s">
        <v>68</v>
      </c>
      <c r="B30" s="1">
        <f>Notes!$C$6*VLOOKUP(A30,[243]geoMap!$A:$B,2,0)</f>
        <v>6000</v>
      </c>
      <c r="C30" s="1">
        <f>B30/VLOOKUP(A30,'[244]geoMap (1)'!$A:$B,2,0)*VLOOKUP(A30,'[244]geoMap (1)'!$A:$C,3,0)</f>
        <v>1058.8235294117646</v>
      </c>
      <c r="D30" s="1">
        <f>C30/VLOOKUP(A30,'[245]geoMap (2)'!$A:$B,2,0)*VLOOKUP(A30,'[245]geoMap (2)'!$A:$C,3,0)</f>
        <v>3983.1932773109243</v>
      </c>
      <c r="E30" s="1">
        <f>D30/VLOOKUP(A30,'[246]geoMap (3)'!$A:$B,2,0)*VLOOKUP(A30,'[246]geoMap (3)'!$A:$C,3,0)</f>
        <v>2144.7963800904977</v>
      </c>
      <c r="F30" s="1">
        <f>E30/VLOOKUP(A30,'[247]geoMap (4)'!$A:$B,2,0)*VLOOKUP(A30,'[247]geoMap (4)'!$A:$C,3,0)</f>
        <v>1754.8334018922253</v>
      </c>
      <c r="G30" s="1">
        <f>F30/VLOOKUP(A30,'[248]geoMap (5)'!$A:$B,2,0)*VLOOKUP(A30,'[248]geoMap (5)'!$A:$C,3,0)</f>
        <v>2326.1745094850426</v>
      </c>
      <c r="H30" s="1">
        <f>G30/VLOOKUP(A30,'[249]geoMap (6)'!$A:$B,2,0)*VLOOKUP(A30,'[249]geoMap (6)'!$A:$C,3,0)</f>
        <v>1903.2336895786709</v>
      </c>
      <c r="I30" s="1">
        <f>H30/VLOOKUP(A30,'[250]geoMap (7)'!$A:$B,2,0)*VLOOKUP(A30,'[250]geoMap (7)'!$A:$C,3,0)</f>
        <v>165.49858170249311</v>
      </c>
      <c r="J30" s="1">
        <f>I30/VLOOKUP(A30,'[251]geoMap (8)'!$A:$B,2,0)*VLOOKUP(A30,'[251]geoMap (8)'!$A:$C,3,0)</f>
        <v>937.82529631412763</v>
      </c>
      <c r="K30" s="1">
        <f>J30/VLOOKUP(A30,'[252]geoMap (9)'!$A:$B,2,0)*VLOOKUP(A30,'[252]geoMap (9)'!$A:$C,3,0)</f>
        <v>550.78628513686863</v>
      </c>
      <c r="L30" s="1">
        <f>K30/VLOOKUP(A30,'[253]geoMap (10)'!$A:$B,2,0)*VLOOKUP(A30,'[253]geoMap (10)'!$A:$C,3,0)</f>
        <v>146.41154415030684</v>
      </c>
      <c r="M30" s="1">
        <f>L30/VLOOKUP(A30,'[254]geoMap (11)'!$A:$B,2,0)*VLOOKUP(A30,'[254]geoMap (11)'!$A:$C,3,0)</f>
        <v>358.4558494714409</v>
      </c>
      <c r="N30" s="1">
        <f>M30/VLOOKUP(A30,'[255]geoMap (12)'!$A:$B,2,0)*VLOOKUP(A30,'[255]geoMap (12)'!$A:$C,3,0)</f>
        <v>475.16240511330534</v>
      </c>
      <c r="O30" s="1">
        <f>N30/VLOOKUP(A30,'[256]geoMap (13)'!$A:$B,2,0)*VLOOKUP(A30,'[256]geoMap (13)'!$A:$C,3,0)</f>
        <v>234.03521445879215</v>
      </c>
      <c r="P30" s="1">
        <f>O30/VLOOKUP(A30,'[266]geoMap (14)'!$A:$B,2,0)*VLOOKUP(A30,'[266]geoMap (14)'!$A:$C,3,0)</f>
        <v>176.55288108294846</v>
      </c>
      <c r="Q30" s="1">
        <f>P30/VLOOKUP(A30,'[267]geoMap (15)'!$A:$B,2,0)*VLOOKUP(A30,'[267]geoMap (15)'!$A:$C,3,0)</f>
        <v>65.300380674515196</v>
      </c>
      <c r="R30" s="1">
        <f>Q30/VLOOKUP(A30,'[258]geoMap (16)'!$A:$B,2,0)*VLOOKUP(A30,'[258]geoMap (16)'!$A:$C,3,0)</f>
        <v>11.523596589620327</v>
      </c>
      <c r="S30" s="1">
        <f>R30/VLOOKUP(A30,'[259]geoMap (17)'!$A:$B,2,0)*VLOOKUP(A30,'[259]geoMap (17)'!$A:$C,3,0)</f>
        <v>84.506374990549077</v>
      </c>
      <c r="T30" s="1">
        <f>S30/VLOOKUP(A30,'[260]geoMap (18)'!$A:$B,2,0)*VLOOKUP(A30,'[260]geoMap (18)'!$A:$C,3,0)</f>
        <v>74.939615557656722</v>
      </c>
      <c r="U30" s="1">
        <f>S30/43*12</f>
        <v>23.583174415967182</v>
      </c>
      <c r="V30" s="1">
        <f>T30/84*16</f>
        <v>14.27421248717271</v>
      </c>
      <c r="W30" s="1">
        <f>O30/VLOOKUP(A30,'[272]geoMap (33)'!$A:$B,2,0)*VLOOKUP(A30,'[272]geoMap (33)'!$A:$C,3,0)</f>
        <v>17.615553776468225</v>
      </c>
      <c r="X30" s="1">
        <f>W30/VLOOKUP(A30,'[262]geoMap (22)'!$A:$B,2,0)*VLOOKUP(A30,'[262]geoMap (22)'!$A:$C,3,0)</f>
        <v>18.334555971426113</v>
      </c>
      <c r="Y30" s="1">
        <f>X30/VLOOKUP(A30,'[263]geoMap (23)'!$A:$B,2,0)*VLOOKUP(A30,'[263]geoMap (23)'!$A:$C,3,0)</f>
        <v>15.001000340257727</v>
      </c>
      <c r="Z30" s="1">
        <f>V30/69*31</f>
        <v>6.4130519869906379</v>
      </c>
      <c r="AA30" s="1">
        <f>Z30/14*23</f>
        <v>10.535728264341763</v>
      </c>
    </row>
    <row r="31" spans="1:27" x14ac:dyDescent="0.2">
      <c r="A31" s="1" t="s">
        <v>95</v>
      </c>
      <c r="B31" s="1">
        <f>Notes!$C$6*VLOOKUP(A31,[243]geoMap!$A:$B,2,0)</f>
        <v>5000</v>
      </c>
      <c r="C31" s="1">
        <f>B31/VLOOKUP(A31,'[244]geoMap (1)'!$A:$B,2,0)*VLOOKUP(A31,'[244]geoMap (1)'!$A:$C,3,0)</f>
        <v>434.78260869565219</v>
      </c>
      <c r="D31" s="1">
        <f>C31/VLOOKUP(A31,'[245]geoMap (2)'!$A:$B,2,0)*VLOOKUP(A31,'[245]geoMap (2)'!$A:$C,3,0)</f>
        <v>1853.5469107551489</v>
      </c>
      <c r="E31" s="1">
        <f>D31/VLOOKUP(A31,'[246]geoMap (3)'!$A:$B,2,0)*VLOOKUP(A31,'[246]geoMap (3)'!$A:$C,3,0)</f>
        <v>2175.9028952343051</v>
      </c>
      <c r="F31" s="1">
        <f>E31/VLOOKUP(A31,'[247]geoMap (4)'!$A:$B,2,0)*VLOOKUP(A31,'[247]geoMap (4)'!$A:$C,3,0)</f>
        <v>1333.6179035307032</v>
      </c>
      <c r="G31" s="1">
        <f>F31/VLOOKUP(A31,'[248]geoMap (5)'!$A:$B,2,0)*VLOOKUP(A31,'[248]geoMap (5)'!$A:$C,3,0)</f>
        <v>1091.1419210705753</v>
      </c>
      <c r="H31" s="1">
        <f>G31/VLOOKUP(A31,'[249]geoMap (6)'!$A:$B,2,0)*VLOOKUP(A31,'[249]geoMap (6)'!$A:$C,3,0)</f>
        <v>1333.6179035307032</v>
      </c>
      <c r="I31" s="1">
        <f>H31/VLOOKUP(A31,'[250]geoMap (7)'!$A:$B,2,0)*VLOOKUP(A31,'[250]geoMap (7)'!$A:$C,3,0)</f>
        <v>85.124547033874677</v>
      </c>
      <c r="J31" s="1">
        <f>I31/VLOOKUP(A31,'[251]geoMap (8)'!$A:$B,2,0)*VLOOKUP(A31,'[251]geoMap (8)'!$A:$C,3,0)</f>
        <v>482.37243319195647</v>
      </c>
      <c r="K31" s="1">
        <f>J31/VLOOKUP(A31,'[252]geoMap (9)'!$A:$B,2,0)*VLOOKUP(A31,'[252]geoMap (9)'!$A:$C,3,0)</f>
        <v>363.89499346059876</v>
      </c>
      <c r="L31" s="1">
        <f>K31/VLOOKUP(A31,'[253]geoMap (10)'!$A:$B,2,0)*VLOOKUP(A31,'[253]geoMap (10)'!$A:$C,3,0)</f>
        <v>69.313332087733102</v>
      </c>
      <c r="M31" s="1">
        <f>L31/VLOOKUP(A31,'[254]geoMap (11)'!$A:$B,2,0)*VLOOKUP(A31,'[254]geoMap (11)'!$A:$C,3,0)</f>
        <v>169.69815786996725</v>
      </c>
      <c r="N31" s="1">
        <f>M31/VLOOKUP(A31,'[255]geoMap (12)'!$A:$B,2,0)*VLOOKUP(A31,'[255]geoMap (12)'!$A:$C,3,0)</f>
        <v>150.48704565827285</v>
      </c>
      <c r="O31" s="1">
        <f>N31/VLOOKUP(A31,'[256]geoMap (13)'!$A:$B,2,0)*VLOOKUP(A31,'[256]geoMap (13)'!$A:$C,3,0)</f>
        <v>169.69815786996725</v>
      </c>
      <c r="P31" s="1">
        <f>O31/VLOOKUP(A31,'[266]geoMap (14)'!$A:$B,2,0)*VLOOKUP(A31,'[266]geoMap (14)'!$A:$C,3,0)</f>
        <v>395.96236836325693</v>
      </c>
      <c r="Q31" s="1">
        <f>P31/VLOOKUP(A31,'[267]geoMap (15)'!$A:$B,2,0)*VLOOKUP(A31,'[267]geoMap (15)'!$A:$C,3,0)</f>
        <v>34.431510292457126</v>
      </c>
      <c r="R31" s="1">
        <f>Q31/VLOOKUP(A31,'[258]geoMap (16)'!$A:$B,2,0)*VLOOKUP(A31,'[258]geoMap (16)'!$A:$C,3,0)</f>
        <v>27.053329515502025</v>
      </c>
      <c r="S31" s="1">
        <f>R31/VLOOKUP(A31,'[259]geoMap (17)'!$A:$B,2,0)*VLOOKUP(A31,'[259]geoMap (17)'!$A:$C,3,0)</f>
        <v>50.241897671646619</v>
      </c>
      <c r="T31" s="1">
        <f>S31/VLOOKUP(A31,'[260]geoMap (18)'!$A:$B,2,0)*VLOOKUP(A31,'[260]geoMap (18)'!$A:$C,3,0)</f>
        <v>42.798653572143415</v>
      </c>
      <c r="U31" s="1">
        <f>T31/VLOOKUP(A31,'[261]geoMap (19)'!$A:$B,2,0)*VLOOKUP(A31,'[261]geoMap (19)'!$A:$C,3,0)</f>
        <v>7.5527035715547202</v>
      </c>
      <c r="V31" s="1">
        <f>U31/VLOOKUP(A31,'[268]geoMap (20)'!$A:$B,2,0)*VLOOKUP(A31,'[268]geoMap (20)'!$A:$C,3,0)</f>
        <v>1.6579105400973777</v>
      </c>
      <c r="W31" s="1">
        <f>V31/VLOOKUP(A31,'[269]geoMap (21)'!$A:$B,2,0)*VLOOKUP(A31,'[269]geoMap (21)'!$A:$C,3,0)</f>
        <v>25.973931794858917</v>
      </c>
      <c r="X31" s="1">
        <f>W31/VLOOKUP(A31,'[262]geoMap (22)'!$A:$B,2,0)*VLOOKUP(A31,'[262]geoMap (22)'!$A:$C,3,0)</f>
        <v>38.96089769228837</v>
      </c>
      <c r="Y31" s="1">
        <f>X31/VLOOKUP(A31,'[263]geoMap (23)'!$A:$B,2,0)*VLOOKUP(A31,'[263]geoMap (23)'!$A:$C,3,0)</f>
        <v>15.151460213667702</v>
      </c>
      <c r="Z31" s="1">
        <f>Y31/VLOOKUP(A31,'[264]geoMap (24)'!$A:$B,2,0)*VLOOKUP(A31,'[264]geoMap (24)'!$A:$C,3,0)</f>
        <v>17.085689177114645</v>
      </c>
      <c r="AA31" s="1">
        <f>Z31/VLOOKUP(A31,'[265]geoMap (25)'!$A:$B,2,0)*VLOOKUP(A31,'[265]geoMap (25)'!$A:$C,3,0)</f>
        <v>10.92363734274543</v>
      </c>
    </row>
    <row r="32" spans="1:27" x14ac:dyDescent="0.2">
      <c r="A32" s="1" t="s">
        <v>108</v>
      </c>
      <c r="B32" s="1">
        <f>Notes!$C$6*VLOOKUP(A32,[243]geoMap!$A:$B,2,0)</f>
        <v>6000</v>
      </c>
      <c r="C32" s="1">
        <f>B32/VLOOKUP(A32,'[244]geoMap (1)'!$A:$B,2,0)*VLOOKUP(A32,'[244]geoMap (1)'!$A:$C,3,0)</f>
        <v>2219.1780821917814</v>
      </c>
      <c r="D32" s="1">
        <f>C32/VLOOKUP(A32,'[245]geoMap (2)'!$A:$B,2,0)*VLOOKUP(A32,'[245]geoMap (2)'!$A:$C,3,0)</f>
        <v>3945.2054794520559</v>
      </c>
      <c r="E32" s="1">
        <f>D32/VLOOKUP(A32,'[246]geoMap (3)'!$A:$B,2,0)*VLOOKUP(A32,'[246]geoMap (3)'!$A:$C,3,0)</f>
        <v>3641.7281348788206</v>
      </c>
      <c r="F32" s="1">
        <f>E32/VLOOKUP(A32,'[247]geoMap (4)'!$A:$B,2,0)*VLOOKUP(A32,'[247]geoMap (4)'!$A:$C,3,0)</f>
        <v>3641.7281348788206</v>
      </c>
      <c r="G32" s="1">
        <f>F32/VLOOKUP(A32,'[248]geoMap (5)'!$A:$B,2,0)*VLOOKUP(A32,'[248]geoMap (5)'!$A:$C,3,0)</f>
        <v>2861.3578202619301</v>
      </c>
      <c r="H32" s="1">
        <f>G32/VLOOKUP(A32,'[249]geoMap (6)'!$A:$B,2,0)*VLOOKUP(A32,'[249]geoMap (6)'!$A:$C,3,0)</f>
        <v>2749.1477096634226</v>
      </c>
      <c r="I32" s="1">
        <f>H32/VLOOKUP(A32,'[250]geoMap (7)'!$A:$B,2,0)*VLOOKUP(A32,'[250]geoMap (7)'!$A:$C,3,0)</f>
        <v>239.05632257942807</v>
      </c>
      <c r="J32" s="1">
        <f>I32/VLOOKUP(A32,'[251]geoMap (8)'!$A:$B,2,0)*VLOOKUP(A32,'[251]geoMap (8)'!$A:$C,3,0)</f>
        <v>847.56332550888123</v>
      </c>
      <c r="K32" s="1">
        <f>J32/VLOOKUP(A32,'[252]geoMap (9)'!$A:$B,2,0)*VLOOKUP(A32,'[252]geoMap (9)'!$A:$C,3,0)</f>
        <v>1170.4445923694075</v>
      </c>
      <c r="L32" s="1">
        <f>K32/VLOOKUP(A32,'[253]geoMap (10)'!$A:$B,2,0)*VLOOKUP(A32,'[253]geoMap (10)'!$A:$C,3,0)</f>
        <v>501.61911101546036</v>
      </c>
      <c r="M32" s="1">
        <f>L32/VLOOKUP(A32,'[254]geoMap (11)'!$A:$B,2,0)*VLOOKUP(A32,'[254]geoMap (11)'!$A:$C,3,0)</f>
        <v>1427.6851621209255</v>
      </c>
      <c r="N32" s="1">
        <f>M32/VLOOKUP(A32,'[255]geoMap (12)'!$A:$B,2,0)*VLOOKUP(A32,'[255]geoMap (12)'!$A:$C,3,0)</f>
        <v>356.92129053023137</v>
      </c>
      <c r="O32" s="1">
        <f>N32/VLOOKUP(A32,'[256]geoMap (13)'!$A:$B,2,0)*VLOOKUP(A32,'[256]geoMap (13)'!$A:$C,3,0)</f>
        <v>436.23713287028284</v>
      </c>
      <c r="P32" s="1">
        <f>O32/VLOOKUP(A32,'[266]geoMap (14)'!$A:$B,2,0)*VLOOKUP(A32,'[266]geoMap (14)'!$A:$C,3,0)</f>
        <v>95.759370630062079</v>
      </c>
      <c r="Q32" s="1">
        <f>P32/VLOOKUP(A32,'[267]geoMap (15)'!$A:$B,2,0)*VLOOKUP(A32,'[267]geoMap (15)'!$A:$C,3,0)</f>
        <v>163.04973918091653</v>
      </c>
      <c r="R32" s="1">
        <f>Q32/VLOOKUP(A32,'[258]geoMap (16)'!$A:$B,2,0)*VLOOKUP(A32,'[258]geoMap (16)'!$A:$C,3,0)</f>
        <v>54.349913060305511</v>
      </c>
      <c r="S32" s="1">
        <f>R32/VLOOKUP(A32,'[259]geoMap (17)'!$A:$B,2,0)*VLOOKUP(A32,'[259]geoMap (17)'!$A:$C,3,0)</f>
        <v>363.72634124973689</v>
      </c>
      <c r="T32" s="1">
        <f>S32/VLOOKUP(A32,'[260]geoMap (18)'!$A:$B,2,0)*VLOOKUP(A32,'[260]geoMap (18)'!$A:$C,3,0)</f>
        <v>90.931585312434223</v>
      </c>
      <c r="U32" s="1">
        <f>T32/VLOOKUP(A32,'[261]geoMap (19)'!$A:$B,2,0)*VLOOKUP(A32,'[261]geoMap (19)'!$A:$C,3,0)</f>
        <v>65.847010053831681</v>
      </c>
      <c r="V32" s="1">
        <f>U32/VLOOKUP(A32,'[268]geoMap (20)'!$A:$B,2,0)*VLOOKUP(A32,'[268]geoMap (20)'!$A:$C,3,0)</f>
        <v>47.68231762518846</v>
      </c>
      <c r="W32" s="1">
        <f>V32/VLOOKUP(A32,'[269]geoMap (21)'!$A:$B,2,0)*VLOOKUP(A32,'[269]geoMap (21)'!$A:$C,3,0)</f>
        <v>40.618270569604981</v>
      </c>
      <c r="X32" s="1">
        <f>W32/VLOOKUP(A32,'[262]geoMap (22)'!$A:$B,2,0)*VLOOKUP(A32,'[262]geoMap (22)'!$A:$C,3,0)</f>
        <v>16.59056121857105</v>
      </c>
      <c r="Y32" s="1">
        <f>X32/VLOOKUP(A32,'[263]geoMap (23)'!$A:$B,2,0)*VLOOKUP(A32,'[263]geoMap (23)'!$A:$C,3,0)</f>
        <v>52.536777192141663</v>
      </c>
      <c r="Z32" s="1">
        <f>Y32/VLOOKUP(A32,'[264]geoMap (24)'!$A:$B,2,0)*VLOOKUP(A32,'[264]geoMap (24)'!$A:$C,3,0)</f>
        <v>41.278896365254155</v>
      </c>
      <c r="AA32" s="1">
        <f>Z32/VLOOKUP(A32,'[265]geoMap (25)'!$A:$B,2,0)*VLOOKUP(A32,'[265]geoMap (25)'!$A:$C,3,0)</f>
        <v>41.278896365254155</v>
      </c>
    </row>
    <row r="33" spans="1:27" x14ac:dyDescent="0.2">
      <c r="A33" s="1" t="s">
        <v>112</v>
      </c>
      <c r="B33" s="1">
        <f>Notes!$C$6*VLOOKUP(A33,[243]geoMap!$A:$B,2,0)</f>
        <v>6000</v>
      </c>
      <c r="C33" s="1">
        <f>B33/VLOOKUP(A33,'[244]geoMap (1)'!$A:$B,2,0)*VLOOKUP(A33,'[244]geoMap (1)'!$A:$C,3,0)</f>
        <v>3090.909090909091</v>
      </c>
      <c r="D33" s="1">
        <f>C33/VLOOKUP(A33,'[245]geoMap (2)'!$A:$B,2,0)*VLOOKUP(A33,'[245]geoMap (2)'!$A:$C,3,0)</f>
        <v>4834.4988344988342</v>
      </c>
      <c r="E33" s="1">
        <f>D33/VLOOKUP(A33,'[246]geoMap (3)'!$A:$B,2,0)*VLOOKUP(A33,'[246]geoMap (3)'!$A:$C,3,0)</f>
        <v>2839.3088393088392</v>
      </c>
      <c r="F33" s="1">
        <f>E33/VLOOKUP(A33,'[247]geoMap (4)'!$A:$B,2,0)*VLOOKUP(A33,'[247]geoMap (4)'!$A:$C,3,0)</f>
        <v>2727.963394630061</v>
      </c>
      <c r="G33" s="1">
        <f>F33/VLOOKUP(A33,'[248]geoMap (5)'!$A:$B,2,0)*VLOOKUP(A33,'[248]geoMap (5)'!$A:$C,3,0)</f>
        <v>2955.2936775158996</v>
      </c>
      <c r="H33" s="1">
        <f>G33/VLOOKUP(A33,'[249]geoMap (6)'!$A:$B,2,0)*VLOOKUP(A33,'[249]geoMap (6)'!$A:$C,3,0)</f>
        <v>1735.6486677474331</v>
      </c>
      <c r="I33" s="1">
        <f>H33/VLOOKUP(A33,'[250]geoMap (7)'!$A:$B,2,0)*VLOOKUP(A33,'[250]geoMap (7)'!$A:$C,3,0)</f>
        <v>433.91216693685828</v>
      </c>
      <c r="J33" s="1">
        <f>I33/VLOOKUP(A33,'[251]geoMap (8)'!$A:$B,2,0)*VLOOKUP(A33,'[251]geoMap (8)'!$A:$C,3,0)</f>
        <v>1374.0551953000513</v>
      </c>
      <c r="K33" s="1">
        <f>J33/VLOOKUP(A33,'[252]geoMap (9)'!$A:$B,2,0)*VLOOKUP(A33,'[252]geoMap (9)'!$A:$C,3,0)</f>
        <v>916.03679686670102</v>
      </c>
      <c r="L33" s="1">
        <f>K33/VLOOKUP(A33,'[253]geoMap (10)'!$A:$B,2,0)*VLOOKUP(A33,'[253]geoMap (10)'!$A:$C,3,0)</f>
        <v>411.55276380967729</v>
      </c>
      <c r="M33" s="1">
        <f>L33/VLOOKUP(A33,'[254]geoMap (11)'!$A:$B,2,0)*VLOOKUP(A33,'[254]geoMap (11)'!$A:$C,3,0)</f>
        <v>503.0089335451612</v>
      </c>
      <c r="N33" s="1">
        <f>M33/VLOOKUP(A33,'[255]geoMap (12)'!$A:$B,2,0)*VLOOKUP(A33,'[255]geoMap (12)'!$A:$C,3,0)</f>
        <v>544.92634467392463</v>
      </c>
      <c r="O33" s="1">
        <f>N33/VLOOKUP(A33,'[256]geoMap (13)'!$A:$B,2,0)*VLOOKUP(A33,'[256]geoMap (13)'!$A:$C,3,0)</f>
        <v>428.1564136723693</v>
      </c>
      <c r="P33" s="1">
        <f>O33/VLOOKUP(A33,'[266]geoMap (14)'!$A:$B,2,0)*VLOOKUP(A33,'[266]geoMap (14)'!$A:$C,3,0)</f>
        <v>192.36012788178914</v>
      </c>
      <c r="Q33" s="1">
        <f>P33/VLOOKUP(A33,'[267]geoMap (15)'!$A:$B,2,0)*VLOOKUP(A33,'[267]geoMap (15)'!$A:$C,3,0)</f>
        <v>90.522413120841946</v>
      </c>
      <c r="R33" s="1">
        <f>Q33/VLOOKUP(A33,'[258]geoMap (16)'!$A:$B,2,0)*VLOOKUP(A33,'[258]geoMap (16)'!$A:$C,3,0)</f>
        <v>38.795319908932264</v>
      </c>
      <c r="S33" s="1">
        <f>R33/VLOOKUP(A33,'[259]geoMap (17)'!$A:$B,2,0)*VLOOKUP(A33,'[259]geoMap (17)'!$A:$C,3,0)</f>
        <v>110.41744897157643</v>
      </c>
      <c r="T33" s="1">
        <f>S33/VLOOKUP(A33,'[260]geoMap (18)'!$A:$B,2,0)*VLOOKUP(A33,'[260]geoMap (18)'!$A:$C,3,0)</f>
        <v>101.92379905068593</v>
      </c>
      <c r="U33" s="1">
        <f>T33/VLOOKUP(A33,'[261]geoMap (19)'!$A:$B,2,0)*VLOOKUP(A33,'[261]geoMap (19)'!$A:$C,3,0)</f>
        <v>62.469425224613964</v>
      </c>
      <c r="V33" s="1">
        <f>U33/VLOOKUP(A33,'[268]geoMap (20)'!$A:$B,2,0)*VLOOKUP(A33,'[268]geoMap (20)'!$A:$C,3,0)</f>
        <v>30.768522871824786</v>
      </c>
      <c r="W33" s="1">
        <f>V33/VLOOKUP(A33,'[269]geoMap (21)'!$A:$B,2,0)*VLOOKUP(A33,'[269]geoMap (21)'!$A:$C,3,0)</f>
        <v>34.696419408653483</v>
      </c>
      <c r="X33" s="1">
        <f>W33/VLOOKUP(A33,'[262]geoMap (22)'!$A:$B,2,0)*VLOOKUP(A33,'[262]geoMap (22)'!$A:$C,3,0)</f>
        <v>56.609947456224106</v>
      </c>
      <c r="Y33" s="1">
        <f>X33/VLOOKUP(A33,'[263]geoMap (23)'!$A:$B,2,0)*VLOOKUP(A33,'[263]geoMap (23)'!$A:$C,3,0)</f>
        <v>42.705749835397135</v>
      </c>
      <c r="Z33" s="1">
        <f>Y33/VLOOKUP(A33,'[264]geoMap (24)'!$A:$B,2,0)*VLOOKUP(A33,'[264]geoMap (24)'!$A:$C,3,0)</f>
        <v>21.999931733386404</v>
      </c>
      <c r="AA33" s="1">
        <f>Z33/VLOOKUP(A33,'[265]geoMap (25)'!$A:$B,2,0)*VLOOKUP(A33,'[265]geoMap (25)'!$A:$C,3,0)</f>
        <v>27.999913115219062</v>
      </c>
    </row>
    <row r="34" spans="1:27" x14ac:dyDescent="0.2">
      <c r="A34" s="1" t="s">
        <v>117</v>
      </c>
      <c r="B34" s="1">
        <f>Notes!$C$6*VLOOKUP(A34,[243]geoMap!$A:$B,2,0)</f>
        <v>6000</v>
      </c>
      <c r="C34" s="1">
        <f>B34/VLOOKUP(A34,'[244]geoMap (1)'!$A:$B,2,0)*VLOOKUP(A34,'[244]geoMap (1)'!$A:$C,3,0)</f>
        <v>2695.6521739130435</v>
      </c>
      <c r="D34" s="1">
        <f>C34/VLOOKUP(A34,'[245]geoMap (2)'!$A:$B,2,0)*VLOOKUP(A34,'[245]geoMap (2)'!$A:$C,3,0)</f>
        <v>3722.5672877846791</v>
      </c>
      <c r="E34" s="1">
        <f>D34/VLOOKUP(A34,'[246]geoMap (3)'!$A:$B,2,0)*VLOOKUP(A34,'[246]geoMap (3)'!$A:$C,3,0)</f>
        <v>3045.7368718238281</v>
      </c>
      <c r="F34" s="1">
        <f>E34/VLOOKUP(A34,'[247]geoMap (4)'!$A:$B,2,0)*VLOOKUP(A34,'[247]geoMap (4)'!$A:$C,3,0)</f>
        <v>2393.0789707187218</v>
      </c>
      <c r="G34" s="1">
        <f>F34/VLOOKUP(A34,'[248]geoMap (5)'!$A:$B,2,0)*VLOOKUP(A34,'[248]geoMap (5)'!$A:$C,3,0)</f>
        <v>2698.5784137891974</v>
      </c>
      <c r="H34" s="1">
        <f>G34/VLOOKUP(A34,'[249]geoMap (6)'!$A:$B,2,0)*VLOOKUP(A34,'[249]geoMap (6)'!$A:$C,3,0)</f>
        <v>1329.1505620155747</v>
      </c>
      <c r="I34" s="1">
        <f>H34/VLOOKUP(A34,'[250]geoMap (7)'!$A:$B,2,0)*VLOOKUP(A34,'[250]geoMap (7)'!$A:$C,3,0)</f>
        <v>443.05018733852489</v>
      </c>
      <c r="J34" s="1">
        <f>I34/VLOOKUP(A34,'[251]geoMap (8)'!$A:$B,2,0)*VLOOKUP(A34,'[251]geoMap (8)'!$A:$C,3,0)</f>
        <v>1084.7090793460438</v>
      </c>
      <c r="K34" s="1">
        <f>J34/VLOOKUP(A34,'[252]geoMap (9)'!$A:$B,2,0)*VLOOKUP(A34,'[252]geoMap (9)'!$A:$C,3,0)</f>
        <v>753.78088564725078</v>
      </c>
      <c r="L34" s="1">
        <f>K34/VLOOKUP(A34,'[253]geoMap (10)'!$A:$B,2,0)*VLOOKUP(A34,'[253]geoMap (10)'!$A:$C,3,0)</f>
        <v>307.88233357422916</v>
      </c>
      <c r="M34" s="1">
        <f>L34/VLOOKUP(A34,'[254]geoMap (11)'!$A:$B,2,0)*VLOOKUP(A34,'[254]geoMap (11)'!$A:$C,3,0)</f>
        <v>425.17084160250693</v>
      </c>
      <c r="N34" s="1">
        <f>M34/VLOOKUP(A34,'[255]geoMap (12)'!$A:$B,2,0)*VLOOKUP(A34,'[255]geoMap (12)'!$A:$C,3,0)</f>
        <v>408.49747526515375</v>
      </c>
      <c r="O34" s="1">
        <f>N34/VLOOKUP(A34,'[256]geoMap (13)'!$A:$B,2,0)*VLOOKUP(A34,'[256]geoMap (13)'!$A:$C,3,0)</f>
        <v>377.07459255244964</v>
      </c>
      <c r="P34" s="1">
        <f>O34/VLOOKUP(A34,'[266]geoMap (14)'!$A:$B,2,0)*VLOOKUP(A34,'[266]geoMap (14)'!$A:$C,3,0)</f>
        <v>82.772471535903577</v>
      </c>
      <c r="Q34" s="1">
        <f>P34/VLOOKUP(A34,'[267]geoMap (15)'!$A:$B,2,0)*VLOOKUP(A34,'[267]geoMap (15)'!$A:$C,3,0)</f>
        <v>76.405358340834056</v>
      </c>
      <c r="R34" s="1">
        <f>Q34/VLOOKUP(A34,'[258]geoMap (16)'!$A:$B,2,0)*VLOOKUP(A34,'[258]geoMap (16)'!$A:$C,3,0)</f>
        <v>28.259516098664651</v>
      </c>
      <c r="S34" s="1">
        <f>R34/VLOOKUP(A34,'[259]geoMap (17)'!$A:$B,2,0)*VLOOKUP(A34,'[259]geoMap (17)'!$A:$C,3,0)</f>
        <v>89.488467645771408</v>
      </c>
      <c r="T34" s="1">
        <f>S34/VLOOKUP(A34,'[260]geoMap (18)'!$A:$B,2,0)*VLOOKUP(A34,'[260]geoMap (18)'!$A:$C,3,0)</f>
        <v>76.230916883434901</v>
      </c>
      <c r="U34" s="1">
        <f>T34/VLOOKUP(A34,'[261]geoMap (19)'!$A:$B,2,0)*VLOOKUP(A34,'[261]geoMap (19)'!$A:$C,3,0)</f>
        <v>50.820611255623277</v>
      </c>
      <c r="V34" s="1">
        <f>U34/VLOOKUP(A34,'[268]geoMap (20)'!$A:$B,2,0)*VLOOKUP(A34,'[268]geoMap (20)'!$A:$C,3,0)</f>
        <v>21.78026196669569</v>
      </c>
      <c r="W34" s="1">
        <f>V34/VLOOKUP(A34,'[269]geoMap (21)'!$A:$B,2,0)*VLOOKUP(A34,'[269]geoMap (21)'!$A:$C,3,0)</f>
        <v>37.085310916265634</v>
      </c>
      <c r="X34" s="1">
        <f>W34/VLOOKUP(A34,'[262]geoMap (22)'!$A:$B,2,0)*VLOOKUP(A34,'[262]geoMap (22)'!$A:$C,3,0)</f>
        <v>35.630984997980711</v>
      </c>
      <c r="Y34" s="1">
        <f>X34/VLOOKUP(A34,'[263]geoMap (23)'!$A:$B,2,0)*VLOOKUP(A34,'[263]geoMap (23)'!$A:$C,3,0)</f>
        <v>41.827678041107795</v>
      </c>
      <c r="Z34" s="1">
        <f>Y34/VLOOKUP(A34,'[264]geoMap (24)'!$A:$B,2,0)*VLOOKUP(A34,'[264]geoMap (24)'!$A:$C,3,0)</f>
        <v>11.797550216722712</v>
      </c>
      <c r="AA34" s="1">
        <f>Z34/VLOOKUP(A34,'[265]geoMap (25)'!$A:$B,2,0)*VLOOKUP(A34,'[265]geoMap (25)'!$A:$C,3,0)</f>
        <v>20.973422607507047</v>
      </c>
    </row>
    <row r="35" spans="1:27" x14ac:dyDescent="0.2">
      <c r="A35" s="1" t="s">
        <v>99</v>
      </c>
      <c r="B35" s="1">
        <f>Notes!$C$6*VLOOKUP(A35,[243]geoMap!$A:$B,2,0)</f>
        <v>7000</v>
      </c>
      <c r="C35" s="1">
        <f>B35/VLOOKUP(A35,'[244]geoMap (1)'!$A:$B,2,0)*VLOOKUP(A35,'[244]geoMap (1)'!$A:$C,3,0)</f>
        <v>3294.1176470588234</v>
      </c>
      <c r="D35" s="1">
        <f>C35/VLOOKUP(A35,'[245]geoMap (2)'!$A:$B,2,0)*VLOOKUP(A35,'[245]geoMap (2)'!$A:$C,3,0)</f>
        <v>3867.0076726342709</v>
      </c>
      <c r="E35" s="1">
        <f>D35/VLOOKUP(A35,'[246]geoMap (3)'!$A:$B,2,0)*VLOOKUP(A35,'[246]geoMap (3)'!$A:$C,3,0)</f>
        <v>4539.5307461358825</v>
      </c>
      <c r="F35" s="1">
        <f>E35/VLOOKUP(A35,'[247]geoMap (4)'!$A:$B,2,0)*VLOOKUP(A35,'[247]geoMap (4)'!$A:$C,3,0)</f>
        <v>3566.7741576781932</v>
      </c>
      <c r="G35" s="1">
        <f>F35/VLOOKUP(A35,'[248]geoMap (5)'!$A:$B,2,0)*VLOOKUP(A35,'[248]geoMap (5)'!$A:$C,3,0)</f>
        <v>3038.3631713554978</v>
      </c>
      <c r="H35" s="1">
        <f>G35/VLOOKUP(A35,'[249]geoMap (6)'!$A:$B,2,0)*VLOOKUP(A35,'[249]geoMap (6)'!$A:$C,3,0)</f>
        <v>1565.2173913043473</v>
      </c>
      <c r="I35" s="1">
        <f>H35/VLOOKUP(A35,'[250]geoMap (7)'!$A:$B,2,0)*VLOOKUP(A35,'[250]geoMap (7)'!$A:$C,3,0)</f>
        <v>276.2148337595907</v>
      </c>
      <c r="J35" s="1">
        <f>I35/VLOOKUP(A35,'[251]geoMap (8)'!$A:$B,2,0)*VLOOKUP(A35,'[251]geoMap (8)'!$A:$C,3,0)</f>
        <v>1348.5783060027074</v>
      </c>
      <c r="K35" s="1">
        <f>J35/VLOOKUP(A35,'[252]geoMap (9)'!$A:$B,2,0)*VLOOKUP(A35,'[252]geoMap (9)'!$A:$C,3,0)</f>
        <v>726.15754938607324</v>
      </c>
      <c r="L35" s="1">
        <f>K35/VLOOKUP(A35,'[253]geoMap (10)'!$A:$B,2,0)*VLOOKUP(A35,'[253]geoMap (10)'!$A:$C,3,0)</f>
        <v>570.55236023191458</v>
      </c>
      <c r="M35" s="1">
        <f>L35/VLOOKUP(A35,'[254]geoMap (11)'!$A:$B,2,0)*VLOOKUP(A35,'[254]geoMap (11)'!$A:$C,3,0)</f>
        <v>570.55236023191458</v>
      </c>
      <c r="N35" s="1">
        <f>M35/VLOOKUP(A35,'[255]geoMap (12)'!$A:$B,2,0)*VLOOKUP(A35,'[255]geoMap (12)'!$A:$C,3,0)</f>
        <v>486.02608464200125</v>
      </c>
      <c r="O35" s="1">
        <f>N35/VLOOKUP(A35,'[256]geoMap (13)'!$A:$B,2,0)*VLOOKUP(A35,'[256]geoMap (13)'!$A:$C,3,0)</f>
        <v>381.87763793300093</v>
      </c>
      <c r="P35" s="1">
        <f>O35/VLOOKUP(A35,'[266]geoMap (14)'!$A:$B,2,0)*VLOOKUP(A35,'[266]geoMap (14)'!$A:$C,3,0)</f>
        <v>141.24241403001403</v>
      </c>
      <c r="Q35" s="1">
        <f>P35/VLOOKUP(A35,'[267]geoMap (15)'!$A:$B,2,0)*VLOOKUP(A35,'[267]geoMap (15)'!$A:$C,3,0)</f>
        <v>147.00741052103504</v>
      </c>
      <c r="R35" s="1">
        <f>Q35/VLOOKUP(A35,'[258]geoMap (16)'!$A:$B,2,0)*VLOOKUP(A35,'[258]geoMap (16)'!$A:$C,3,0)</f>
        <v>51.651252345228528</v>
      </c>
      <c r="S35" s="1">
        <f>R35/VLOOKUP(A35,'[259]geoMap (17)'!$A:$B,2,0)*VLOOKUP(A35,'[259]geoMap (17)'!$A:$C,3,0)</f>
        <v>206.60500938091411</v>
      </c>
      <c r="T35" s="1">
        <f>S35/VLOOKUP(A35,'[260]geoMap (18)'!$A:$B,2,0)*VLOOKUP(A35,'[260]geoMap (18)'!$A:$C,3,0)</f>
        <v>137.73667292060941</v>
      </c>
      <c r="U35" s="1">
        <f>T35/VLOOKUP(A35,'[261]geoMap (19)'!$A:$B,2,0)*VLOOKUP(A35,'[261]geoMap (19)'!$A:$C,3,0)</f>
        <v>99.740349356303369</v>
      </c>
      <c r="V35" s="1">
        <f>U35/VLOOKUP(A35,'[268]geoMap (20)'!$A:$B,2,0)*VLOOKUP(A35,'[268]geoMap (20)'!$A:$C,3,0)</f>
        <v>28.131893408188127</v>
      </c>
      <c r="W35" s="1">
        <f>V35/VLOOKUP(A35,'[269]geoMap (21)'!$A:$B,2,0)*VLOOKUP(A35,'[269]geoMap (21)'!$A:$C,3,0)</f>
        <v>68.874635585564036</v>
      </c>
      <c r="X35" s="1">
        <f>W35/VLOOKUP(A35,'[262]geoMap (22)'!$A:$B,2,0)*VLOOKUP(A35,'[262]geoMap (22)'!$A:$C,3,0)</f>
        <v>87.658627108899694</v>
      </c>
      <c r="Y35" s="1">
        <f>X35/VLOOKUP(A35,'[263]geoMap (23)'!$A:$B,2,0)*VLOOKUP(A35,'[263]geoMap (23)'!$A:$C,3,0)</f>
        <v>63.476936871961847</v>
      </c>
      <c r="Z35" s="1">
        <f>Y35/VLOOKUP(A35,'[264]geoMap (24)'!$A:$B,2,0)*VLOOKUP(A35,'[264]geoMap (24)'!$A:$C,3,0)</f>
        <v>35.705776990478533</v>
      </c>
      <c r="AA35" s="1">
        <f>Z35/VLOOKUP(A35,'[265]geoMap (25)'!$A:$B,2,0)*VLOOKUP(A35,'[265]geoMap (25)'!$A:$C,3,0)</f>
        <v>40.263961287135366</v>
      </c>
    </row>
    <row r="36" spans="1:27" x14ac:dyDescent="0.2">
      <c r="A36" s="1" t="s">
        <v>97</v>
      </c>
      <c r="B36" s="1">
        <f>Notes!$C$6*VLOOKUP(A36,[243]geoMap!$A:$B,2,0)</f>
        <v>6000</v>
      </c>
      <c r="C36" s="1">
        <f>B36/VLOOKUP(A36,'[244]geoMap (1)'!$A:$B,2,0)*VLOOKUP(A36,'[244]geoMap (1)'!$A:$C,3,0)</f>
        <v>2955.2238805970146</v>
      </c>
      <c r="D36" s="1">
        <f>C36/VLOOKUP(A36,'[245]geoMap (2)'!$A:$B,2,0)*VLOOKUP(A36,'[245]geoMap (2)'!$A:$C,3,0)</f>
        <v>4252.6392428103381</v>
      </c>
      <c r="E36" s="1">
        <f>D36/VLOOKUP(A36,'[246]geoMap (3)'!$A:$B,2,0)*VLOOKUP(A36,'[246]geoMap (3)'!$A:$C,3,0)</f>
        <v>3925.5131472095427</v>
      </c>
      <c r="F36" s="1">
        <f>E36/VLOOKUP(A36,'[247]geoMap (4)'!$A:$B,2,0)*VLOOKUP(A36,'[247]geoMap (4)'!$A:$C,3,0)</f>
        <v>3771.5714551621095</v>
      </c>
      <c r="G36" s="1">
        <f>F36/VLOOKUP(A36,'[248]geoMap (5)'!$A:$B,2,0)*VLOOKUP(A36,'[248]geoMap (5)'!$A:$C,3,0)</f>
        <v>2963.3775719130858</v>
      </c>
      <c r="H36" s="1">
        <f>G36/VLOOKUP(A36,'[249]geoMap (6)'!$A:$B,2,0)*VLOOKUP(A36,'[249]geoMap (6)'!$A:$C,3,0)</f>
        <v>1740.3963517584791</v>
      </c>
      <c r="I36" s="1">
        <f>H36/VLOOKUP(A36,'[250]geoMap (7)'!$A:$B,2,0)*VLOOKUP(A36,'[250]geoMap (7)'!$A:$C,3,0)</f>
        <v>283.3203363327757</v>
      </c>
      <c r="J36" s="1">
        <f>I36/VLOOKUP(A36,'[251]geoMap (8)'!$A:$B,2,0)*VLOOKUP(A36,'[251]geoMap (8)'!$A:$C,3,0)</f>
        <v>1487.4317657470724</v>
      </c>
      <c r="K36" s="1">
        <f>J36/VLOOKUP(A36,'[252]geoMap (9)'!$A:$B,2,0)*VLOOKUP(A36,'[252]geoMap (9)'!$A:$C,3,0)</f>
        <v>1548.1432663898099</v>
      </c>
      <c r="L36" s="1">
        <f>K36/VLOOKUP(A36,'[253]geoMap (10)'!$A:$B,2,0)*VLOOKUP(A36,'[253]geoMap (10)'!$A:$C,3,0)</f>
        <v>543.94222873155479</v>
      </c>
      <c r="M36" s="1">
        <f>L36/VLOOKUP(A36,'[254]geoMap (11)'!$A:$B,2,0)*VLOOKUP(A36,'[254]geoMap (11)'!$A:$C,3,0)</f>
        <v>543.94222873155479</v>
      </c>
      <c r="N36" s="1">
        <f>M36/VLOOKUP(A36,'[255]geoMap (12)'!$A:$B,2,0)*VLOOKUP(A36,'[255]geoMap (12)'!$A:$C,3,0)</f>
        <v>445.04364168945386</v>
      </c>
      <c r="O36" s="1">
        <f>N36/VLOOKUP(A36,'[256]geoMap (13)'!$A:$B,2,0)*VLOOKUP(A36,'[256]geoMap (13)'!$A:$C,3,0)</f>
        <v>335.734677063974</v>
      </c>
      <c r="P36" s="1">
        <f>O36/VLOOKUP(A36,'[266]geoMap (14)'!$A:$B,2,0)*VLOOKUP(A36,'[266]geoMap (14)'!$A:$C,3,0)</f>
        <v>137.13106527965135</v>
      </c>
      <c r="Q36" s="1">
        <f>P36/VLOOKUP(A36,'[267]geoMap (15)'!$A:$B,2,0)*VLOOKUP(A36,'[267]geoMap (15)'!$A:$C,3,0)</f>
        <v>137.13106527965135</v>
      </c>
      <c r="R36" s="1">
        <f>Q36/VLOOKUP(A36,'[258]geoMap (16)'!$A:$B,2,0)*VLOOKUP(A36,'[258]geoMap (16)'!$A:$C,3,0)</f>
        <v>43.304546930416215</v>
      </c>
      <c r="S36" s="1">
        <f>R36/VLOOKUP(A36,'[259]geoMap (17)'!$A:$B,2,0)*VLOOKUP(A36,'[259]geoMap (17)'!$A:$C,3,0)</f>
        <v>129.91364079124864</v>
      </c>
      <c r="T36" s="1">
        <f>S36/VLOOKUP(A36,'[260]geoMap (18)'!$A:$B,2,0)*VLOOKUP(A36,'[260]geoMap (18)'!$A:$C,3,0)</f>
        <v>94.075395055731775</v>
      </c>
      <c r="U36" s="1">
        <f>T36/VLOOKUP(A36,'[261]geoMap (19)'!$A:$B,2,0)*VLOOKUP(A36,'[261]geoMap (19)'!$A:$C,3,0)</f>
        <v>68.123561936909212</v>
      </c>
      <c r="V36" s="1">
        <f>U36/VLOOKUP(A36,'[268]geoMap (20)'!$A:$B,2,0)*VLOOKUP(A36,'[268]geoMap (20)'!$A:$C,3,0)</f>
        <v>25.196385921870533</v>
      </c>
      <c r="W36" s="1">
        <f>V36/VLOOKUP(A36,'[269]geoMap (21)'!$A:$B,2,0)*VLOOKUP(A36,'[269]geoMap (21)'!$A:$C,3,0)</f>
        <v>114.78353586629909</v>
      </c>
      <c r="X36" s="1">
        <f>W36/VLOOKUP(A36,'[262]geoMap (22)'!$A:$B,2,0)*VLOOKUP(A36,'[262]geoMap (22)'!$A:$C,3,0)</f>
        <v>70.351199401925257</v>
      </c>
      <c r="Y36" s="1">
        <f>X36/VLOOKUP(A36,'[263]geoMap (23)'!$A:$B,2,0)*VLOOKUP(A36,'[263]geoMap (23)'!$A:$C,3,0)</f>
        <v>53.071957443557658</v>
      </c>
      <c r="Z36" s="1">
        <f>Y36/VLOOKUP(A36,'[264]geoMap (24)'!$A:$B,2,0)*VLOOKUP(A36,'[264]geoMap (24)'!$A:$C,3,0)</f>
        <v>24.975038796968306</v>
      </c>
      <c r="AA36" s="1">
        <f>Z36/VLOOKUP(A36,'[265]geoMap (25)'!$A:$B,2,0)*VLOOKUP(A36,'[265]geoMap (25)'!$A:$C,3,0)</f>
        <v>37.462558195452459</v>
      </c>
    </row>
    <row r="37" spans="1:27" x14ac:dyDescent="0.2">
      <c r="A37" s="1" t="s">
        <v>125</v>
      </c>
      <c r="B37" s="1">
        <f>Notes!$C$6*VLOOKUP(A37,[243]geoMap!$A:$B,2,0)</f>
        <v>7000</v>
      </c>
      <c r="C37" s="1">
        <f>B37/VLOOKUP(A37,'[244]geoMap (1)'!$A:$B,2,0)*VLOOKUP(A37,'[244]geoMap (1)'!$A:$C,3,0)</f>
        <v>1974.3589743589744</v>
      </c>
      <c r="D37" s="1">
        <f>C37/VLOOKUP(A37,'[245]geoMap (2)'!$A:$B,2,0)*VLOOKUP(A37,'[245]geoMap (2)'!$A:$C,3,0)</f>
        <v>3666.666666666667</v>
      </c>
      <c r="E37" s="1">
        <f>D37/VLOOKUP(A37,'[246]geoMap (3)'!$A:$B,2,0)*VLOOKUP(A37,'[246]geoMap (3)'!$A:$C,3,0)</f>
        <v>3522.8758169934645</v>
      </c>
      <c r="F37" s="1">
        <f>E37/VLOOKUP(A37,'[247]geoMap (4)'!$A:$B,2,0)*VLOOKUP(A37,'[247]geoMap (4)'!$A:$C,3,0)</f>
        <v>2767.9738562091502</v>
      </c>
      <c r="G37" s="1">
        <f>F37/VLOOKUP(A37,'[248]geoMap (5)'!$A:$B,2,0)*VLOOKUP(A37,'[248]geoMap (5)'!$A:$C,3,0)</f>
        <v>2659.4258618480067</v>
      </c>
      <c r="H37" s="1">
        <f>G37/VLOOKUP(A37,'[249]geoMap (6)'!$A:$B,2,0)*VLOOKUP(A37,'[249]geoMap (6)'!$A:$C,3,0)</f>
        <v>1034.2211684964473</v>
      </c>
      <c r="I37" s="1">
        <f>H37/VLOOKUP(A37,'[250]geoMap (7)'!$A:$B,2,0)*VLOOKUP(A37,'[250]geoMap (7)'!$A:$C,3,0)</f>
        <v>291.70340649899794</v>
      </c>
      <c r="J37" s="1">
        <f>I37/VLOOKUP(A37,'[251]geoMap (8)'!$A:$B,2,0)*VLOOKUP(A37,'[251]geoMap (8)'!$A:$C,3,0)</f>
        <v>1166.8136259959917</v>
      </c>
      <c r="K37" s="1">
        <f>J37/VLOOKUP(A37,'[252]geoMap (9)'!$A:$B,2,0)*VLOOKUP(A37,'[252]geoMap (9)'!$A:$C,3,0)</f>
        <v>715.14383528786584</v>
      </c>
      <c r="L37" s="1">
        <f>K37/VLOOKUP(A37,'[253]geoMap (10)'!$A:$B,2,0)*VLOOKUP(A37,'[253]geoMap (10)'!$A:$C,3,0)</f>
        <v>292.10100314574805</v>
      </c>
      <c r="M37" s="1">
        <f>L37/VLOOKUP(A37,'[254]geoMap (11)'!$A:$B,2,0)*VLOOKUP(A37,'[254]geoMap (11)'!$A:$C,3,0)</f>
        <v>371.76491309458845</v>
      </c>
      <c r="N37" s="1">
        <f>M37/VLOOKUP(A37,'[255]geoMap (12)'!$A:$B,2,0)*VLOOKUP(A37,'[255]geoMap (12)'!$A:$C,3,0)</f>
        <v>402.74532251913752</v>
      </c>
      <c r="O37" s="1">
        <f>N37/VLOOKUP(A37,'[256]geoMap (13)'!$A:$B,2,0)*VLOOKUP(A37,'[256]geoMap (13)'!$A:$C,3,0)</f>
        <v>279.87386819126505</v>
      </c>
      <c r="P37" s="1">
        <f>O37/VLOOKUP(A37,'[266]geoMap (14)'!$A:$B,2,0)*VLOOKUP(A37,'[266]geoMap (14)'!$A:$C,3,0)</f>
        <v>238.4110729036702</v>
      </c>
      <c r="Q37" s="1">
        <f>P37/VLOOKUP(A37,'[267]geoMap (15)'!$A:$B,2,0)*VLOOKUP(A37,'[267]geoMap (15)'!$A:$C,3,0)</f>
        <v>67.244148767701844</v>
      </c>
      <c r="R37" s="1">
        <f>Q37/VLOOKUP(A37,'[258]geoMap (16)'!$A:$B,2,0)*VLOOKUP(A37,'[258]geoMap (16)'!$A:$C,3,0)</f>
        <v>20.085914566975877</v>
      </c>
      <c r="S37" s="1">
        <f>R37/VLOOKUP(A37,'[259]geoMap (17)'!$A:$B,2,0)*VLOOKUP(A37,'[259]geoMap (17)'!$A:$C,3,0)</f>
        <v>180.77323110278289</v>
      </c>
      <c r="T37" s="1">
        <f>S37/VLOOKUP(A37,'[260]geoMap (18)'!$A:$B,2,0)*VLOOKUP(A37,'[260]geoMap (18)'!$A:$C,3,0)</f>
        <v>70.300700984415585</v>
      </c>
      <c r="U37" s="1">
        <f>T37/VLOOKUP(A37,'[261]geoMap (19)'!$A:$B,2,0)*VLOOKUP(A37,'[261]geoMap (19)'!$A:$C,3,0)</f>
        <v>76.159092733116893</v>
      </c>
      <c r="V37" s="1">
        <f>U37/VLOOKUP(A37,'[268]geoMap (20)'!$A:$B,2,0)*VLOOKUP(A37,'[268]geoMap (20)'!$A:$C,3,0)</f>
        <v>46.678153610620029</v>
      </c>
      <c r="W37" s="1">
        <f>V37/VLOOKUP(A37,'[269]geoMap (21)'!$A:$B,2,0)*VLOOKUP(A37,'[269]geoMap (21)'!$A:$C,3,0)</f>
        <v>26.256461405973766</v>
      </c>
      <c r="X37" s="1">
        <f>W37/VLOOKUP(A37,'[262]geoMap (22)'!$A:$B,2,0)*VLOOKUP(A37,'[262]geoMap (22)'!$A:$C,3,0)</f>
        <v>30.822802520056161</v>
      </c>
      <c r="Y37" s="1">
        <f>X37/VLOOKUP(A37,'[263]geoMap (23)'!$A:$B,2,0)*VLOOKUP(A37,'[263]geoMap (23)'!$A:$C,3,0)</f>
        <v>32.080876092303349</v>
      </c>
      <c r="Z37" s="1">
        <f>Y37/VLOOKUP(A37,'[264]geoMap (24)'!$A:$B,2,0)*VLOOKUP(A37,'[264]geoMap (24)'!$A:$C,3,0)</f>
        <v>19.662472443669795</v>
      </c>
      <c r="AA37" s="1">
        <f>Z37/VLOOKUP(A37,'[265]geoMap (25)'!$A:$B,2,0)*VLOOKUP(A37,'[265]geoMap (25)'!$A:$C,3,0)</f>
        <v>28.294777418939461</v>
      </c>
    </row>
    <row r="38" spans="1:27" x14ac:dyDescent="0.2">
      <c r="A38" s="1" t="s">
        <v>120</v>
      </c>
      <c r="B38" s="1">
        <f>Notes!$C$6*VLOOKUP(A38,[243]geoMap!$A:$B,2,0)</f>
        <v>6000</v>
      </c>
      <c r="C38" s="1">
        <f>B38/VLOOKUP(A38,'[244]geoMap (1)'!$A:$B,2,0)*VLOOKUP(A38,'[244]geoMap (1)'!$A:$C,3,0)</f>
        <v>2219.1780821917814</v>
      </c>
      <c r="D38" s="1">
        <f>C38/VLOOKUP(A38,'[245]geoMap (2)'!$A:$B,2,0)*VLOOKUP(A38,'[245]geoMap (2)'!$A:$C,3,0)</f>
        <v>3778.6005183265465</v>
      </c>
      <c r="E38" s="1">
        <f>D38/VLOOKUP(A38,'[246]geoMap (3)'!$A:$B,2,0)*VLOOKUP(A38,'[246]geoMap (3)'!$A:$C,3,0)</f>
        <v>3778.6005183265465</v>
      </c>
      <c r="F38" s="1">
        <f>E38/VLOOKUP(A38,'[247]geoMap (4)'!$A:$B,2,0)*VLOOKUP(A38,'[247]geoMap (4)'!$A:$C,3,0)</f>
        <v>2968.9004072565722</v>
      </c>
      <c r="G38" s="1">
        <f>F38/VLOOKUP(A38,'[248]geoMap (5)'!$A:$B,2,0)*VLOOKUP(A38,'[248]geoMap (5)'!$A:$C,3,0)</f>
        <v>2529.0633098852281</v>
      </c>
      <c r="H38" s="1">
        <f>G38/VLOOKUP(A38,'[249]geoMap (6)'!$A:$B,2,0)*VLOOKUP(A38,'[249]geoMap (6)'!$A:$C,3,0)</f>
        <v>1083.8842756650977</v>
      </c>
      <c r="I38" s="1">
        <f>H38/VLOOKUP(A38,'[250]geoMap (7)'!$A:$B,2,0)*VLOOKUP(A38,'[250]geoMap (7)'!$A:$C,3,0)</f>
        <v>161.95971935225597</v>
      </c>
      <c r="J38" s="1">
        <f>I38/VLOOKUP(A38,'[251]geoMap (8)'!$A:$B,2,0)*VLOOKUP(A38,'[251]geoMap (8)'!$A:$C,3,0)</f>
        <v>1083.8842756650977</v>
      </c>
      <c r="K38" s="1">
        <f>J38/VLOOKUP(A38,'[252]geoMap (9)'!$A:$B,2,0)*VLOOKUP(A38,'[252]geoMap (9)'!$A:$C,3,0)</f>
        <v>664.3161689560277</v>
      </c>
      <c r="L38" s="1">
        <f>K38/VLOOKUP(A38,'[253]geoMap (10)'!$A:$B,2,0)*VLOOKUP(A38,'[253]geoMap (10)'!$A:$C,3,0)</f>
        <v>342.22348097734761</v>
      </c>
      <c r="M38" s="1">
        <f>L38/VLOOKUP(A38,'[254]geoMap (11)'!$A:$B,2,0)*VLOOKUP(A38,'[254]geoMap (11)'!$A:$C,3,0)</f>
        <v>258.16859091273591</v>
      </c>
      <c r="N38" s="1">
        <f>M38/VLOOKUP(A38,'[255]geoMap (12)'!$A:$B,2,0)*VLOOKUP(A38,'[255]geoMap (12)'!$A:$C,3,0)</f>
        <v>479.45595455222383</v>
      </c>
      <c r="O38" s="1">
        <f>N38/VLOOKUP(A38,'[256]geoMap (13)'!$A:$B,2,0)*VLOOKUP(A38,'[256]geoMap (13)'!$A:$C,3,0)</f>
        <v>376.71539286246156</v>
      </c>
      <c r="P38" s="1">
        <f>O38/VLOOKUP(A38,'[266]geoMap (14)'!$A:$B,2,0)*VLOOKUP(A38,'[266]geoMap (14)'!$A:$C,3,0)</f>
        <v>221.24554818906469</v>
      </c>
      <c r="Q38" s="1">
        <f>P38/VLOOKUP(A38,'[267]geoMap (15)'!$A:$B,2,0)*VLOOKUP(A38,'[267]geoMap (15)'!$A:$C,3,0)</f>
        <v>62.4025905148644</v>
      </c>
      <c r="R38" s="1">
        <f>Q38/VLOOKUP(A38,'[258]geoMap (16)'!$A:$B,2,0)*VLOOKUP(A38,'[258]geoMap (16)'!$A:$C,3,0)</f>
        <v>25.488382041282641</v>
      </c>
      <c r="S38" s="1">
        <f>R38/VLOOKUP(A38,'[259]geoMap (17)'!$A:$B,2,0)*VLOOKUP(A38,'[259]geoMap (17)'!$A:$C,3,0)</f>
        <v>80.713209797395038</v>
      </c>
      <c r="T38" s="1">
        <f>S38/VLOOKUP(A38,'[260]geoMap (18)'!$A:$B,2,0)*VLOOKUP(A38,'[260]geoMap (18)'!$A:$C,3,0)</f>
        <v>84.007626523819326</v>
      </c>
      <c r="U38" s="1">
        <f>T38/VLOOKUP(A38,'[261]geoMap (19)'!$A:$B,2,0)*VLOOKUP(A38,'[261]geoMap (19)'!$A:$C,3,0)</f>
        <v>71.562052223994243</v>
      </c>
      <c r="V38" s="1">
        <f>U38/VLOOKUP(A38,'[268]geoMap (20)'!$A:$B,2,0)*VLOOKUP(A38,'[268]geoMap (20)'!$A:$C,3,0)</f>
        <v>15.708743171120688</v>
      </c>
      <c r="W38" s="1">
        <f>V38/VLOOKUP(A38,'[269]geoMap (21)'!$A:$B,2,0)*VLOOKUP(A38,'[269]geoMap (21)'!$A:$C,3,0)</f>
        <v>33.381079238631457</v>
      </c>
      <c r="X38" s="1">
        <f>W38/VLOOKUP(A38,'[262]geoMap (22)'!$A:$B,2,0)*VLOOKUP(A38,'[262]geoMap (22)'!$A:$C,3,0)</f>
        <v>30.813303912582882</v>
      </c>
      <c r="Y38" s="1">
        <f>X38/VLOOKUP(A38,'[263]geoMap (23)'!$A:$B,2,0)*VLOOKUP(A38,'[263]geoMap (23)'!$A:$C,3,0)</f>
        <v>29.604939053265902</v>
      </c>
      <c r="Z38" s="1">
        <f>Y38/VLOOKUP(A38,'[264]geoMap (24)'!$A:$B,2,0)*VLOOKUP(A38,'[264]geoMap (24)'!$A:$C,3,0)</f>
        <v>15.251029209258194</v>
      </c>
      <c r="AA38" s="1">
        <f>Z38/VLOOKUP(A38,'[265]geoMap (25)'!$A:$B,2,0)*VLOOKUP(A38,'[265]geoMap (25)'!$A:$C,3,0)</f>
        <v>57.372919406257026</v>
      </c>
    </row>
    <row r="39" spans="1:27" x14ac:dyDescent="0.2">
      <c r="A39" s="1" t="s">
        <v>123</v>
      </c>
      <c r="B39" s="1">
        <f>Notes!$C$6*VLOOKUP(A39,[243]geoMap!$A:$B,2,0)</f>
        <v>7000</v>
      </c>
      <c r="C39" s="1">
        <f>B39/VLOOKUP(A39,'[244]geoMap (1)'!$A:$B,2,0)*VLOOKUP(A39,'[244]geoMap (1)'!$A:$C,3,0)</f>
        <v>1974.3589743589744</v>
      </c>
      <c r="D39" s="1">
        <f>C39/VLOOKUP(A39,'[245]geoMap (2)'!$A:$B,2,0)*VLOOKUP(A39,'[245]geoMap (2)'!$A:$C,3,0)</f>
        <v>2617.1735241502683</v>
      </c>
      <c r="E39" s="1">
        <f>D39/VLOOKUP(A39,'[246]geoMap (3)'!$A:$B,2,0)*VLOOKUP(A39,'[246]geoMap (3)'!$A:$C,3,0)</f>
        <v>2514.5392683012378</v>
      </c>
      <c r="F39" s="1">
        <f>E39/VLOOKUP(A39,'[247]geoMap (4)'!$A:$B,2,0)*VLOOKUP(A39,'[247]geoMap (4)'!$A:$C,3,0)</f>
        <v>2229.874445474682</v>
      </c>
      <c r="G39" s="1">
        <f>F39/VLOOKUP(A39,'[248]geoMap (5)'!$A:$B,2,0)*VLOOKUP(A39,'[248]geoMap (5)'!$A:$C,3,0)</f>
        <v>1899.5226757747289</v>
      </c>
      <c r="H39" s="1">
        <f>G39/VLOOKUP(A39,'[249]geoMap (6)'!$A:$B,2,0)*VLOOKUP(A39,'[249]geoMap (6)'!$A:$C,3,0)</f>
        <v>1618.1119089932877</v>
      </c>
      <c r="I39" s="1">
        <f>H39/VLOOKUP(A39,'[250]geoMap (7)'!$A:$B,2,0)*VLOOKUP(A39,'[250]geoMap (7)'!$A:$C,3,0)</f>
        <v>199.99135953849623</v>
      </c>
      <c r="J39" s="1">
        <f>I39/VLOOKUP(A39,'[251]geoMap (8)'!$A:$B,2,0)*VLOOKUP(A39,'[251]geoMap (8)'!$A:$C,3,0)</f>
        <v>799.96543815398491</v>
      </c>
      <c r="K39" s="1">
        <f>J39/VLOOKUP(A39,'[252]geoMap (9)'!$A:$B,2,0)*VLOOKUP(A39,'[252]geoMap (9)'!$A:$C,3,0)</f>
        <v>511.45331291812153</v>
      </c>
      <c r="L39" s="1">
        <f>K39/VLOOKUP(A39,'[253]geoMap (10)'!$A:$B,2,0)*VLOOKUP(A39,'[253]geoMap (10)'!$A:$C,3,0)</f>
        <v>189.16766368204497</v>
      </c>
      <c r="M39" s="1">
        <f>L39/VLOOKUP(A39,'[254]geoMap (11)'!$A:$B,2,0)*VLOOKUP(A39,'[254]geoMap (11)'!$A:$C,3,0)</f>
        <v>322.09629221537386</v>
      </c>
      <c r="N39" s="1">
        <f>M39/VLOOKUP(A39,'[255]geoMap (12)'!$A:$B,2,0)*VLOOKUP(A39,'[255]geoMap (12)'!$A:$C,3,0)</f>
        <v>297.31965435265278</v>
      </c>
      <c r="O39" s="1">
        <f>N39/VLOOKUP(A39,'[256]geoMap (13)'!$A:$B,2,0)*VLOOKUP(A39,'[256]geoMap (13)'!$A:$C,3,0)</f>
        <v>233.6082998485129</v>
      </c>
      <c r="P39" s="1">
        <f>O39/VLOOKUP(A39,'[266]geoMap (14)'!$A:$B,2,0)*VLOOKUP(A39,'[266]geoMap (14)'!$A:$C,3,0)</f>
        <v>169.1646309247852</v>
      </c>
      <c r="Q39" s="1">
        <f>P39/VLOOKUP(A39,'[267]geoMap (15)'!$A:$B,2,0)*VLOOKUP(A39,'[267]geoMap (15)'!$A:$C,3,0)</f>
        <v>566.33376440036784</v>
      </c>
      <c r="R39" s="1">
        <f>Q39/60*4</f>
        <v>37.755584293357856</v>
      </c>
      <c r="S39" s="1">
        <f>Q39/VLOOKUP(A39,'[271]geoMap (31)'!$A:$B,2,0)*VLOOKUP(A39,'[271]geoMap (31)'!$A:$C,3,0)</f>
        <v>62.925973822263103</v>
      </c>
      <c r="T39" s="1">
        <f>S39/VLOOKUP(A39,'[260]geoMap (18)'!$A:$B,2,0)*VLOOKUP(A39,'[260]geoMap (18)'!$A:$C,3,0)</f>
        <v>55.802278672572939</v>
      </c>
      <c r="U39" s="1">
        <f>S39/41*19</f>
        <v>29.160817137146317</v>
      </c>
      <c r="V39" s="1">
        <f>U39/15*10</f>
        <v>19.440544758097545</v>
      </c>
      <c r="W39" s="1">
        <f>V39/15*16</f>
        <v>20.736581075304048</v>
      </c>
      <c r="X39" s="1">
        <f>V39/18*42</f>
        <v>45.361271102227605</v>
      </c>
      <c r="Y39" s="1">
        <f>X39/VLOOKUP(A39,'[263]geoMap (23)'!$A:$B,2,0)*VLOOKUP(A39,'[263]geoMap (23)'!$A:$C,3,0)</f>
        <v>53.250187815658492</v>
      </c>
      <c r="Z39" s="1">
        <f>Y39/VLOOKUP(A39,'[264]geoMap (24)'!$A:$B,2,0)*VLOOKUP(A39,'[264]geoMap (24)'!$A:$C,3,0)</f>
        <v>18.709525448744873</v>
      </c>
      <c r="AA39" s="1">
        <f>Z39/16*22</f>
        <v>25.7255974920242</v>
      </c>
    </row>
    <row r="40" spans="1:27" x14ac:dyDescent="0.2">
      <c r="A40" s="1" t="s">
        <v>126</v>
      </c>
      <c r="B40" s="1">
        <f>Notes!$C$6*VLOOKUP(A40,[243]geoMap!$A:$B,2,0)</f>
        <v>6000</v>
      </c>
      <c r="C40" s="1">
        <f>B40/VLOOKUP(A40,'[244]geoMap (1)'!$A:$B,2,0)*VLOOKUP(A40,'[244]geoMap (1)'!$A:$C,3,0)</f>
        <v>1692.3076923076924</v>
      </c>
      <c r="D40" s="1">
        <f>C40/VLOOKUP(A40,'[245]geoMap (2)'!$A:$B,2,0)*VLOOKUP(A40,'[245]geoMap (2)'!$A:$C,3,0)</f>
        <v>2761.1336032388663</v>
      </c>
      <c r="E40" s="1">
        <f>D40/VLOOKUP(A40,'[246]geoMap (3)'!$A:$B,2,0)*VLOOKUP(A40,'[246]geoMap (3)'!$A:$C,3,0)</f>
        <v>4908.6819613135403</v>
      </c>
      <c r="F40" s="1">
        <f>E40/VLOOKUP(A40,'[247]geoMap (4)'!$A:$B,2,0)*VLOOKUP(A40,'[247]geoMap (4)'!$A:$C,3,0)</f>
        <v>4716.1846294973229</v>
      </c>
      <c r="G40" s="1">
        <f>F40/VLOOKUP(A40,'[248]geoMap (5)'!$A:$B,2,0)*VLOOKUP(A40,'[248]geoMap (5)'!$A:$C,3,0)</f>
        <v>2021.2219840702815</v>
      </c>
      <c r="H40" s="1">
        <f>G40/VLOOKUP(A40,'[249]geoMap (6)'!$A:$B,2,0)*VLOOKUP(A40,'[249]geoMap (6)'!$A:$C,3,0)</f>
        <v>995.5272458853625</v>
      </c>
      <c r="I40" s="1">
        <f>H40/VLOOKUP(A40,'[250]geoMap (7)'!$A:$B,2,0)*VLOOKUP(A40,'[250]geoMap (7)'!$A:$C,3,0)</f>
        <v>123.04269331167401</v>
      </c>
      <c r="J40" s="1">
        <f>I40/VLOOKUP(A40,'[251]geoMap (8)'!$A:$B,2,0)*VLOOKUP(A40,'[251]geoMap (8)'!$A:$C,3,0)</f>
        <v>823.4395629319722</v>
      </c>
      <c r="K40" s="1">
        <f>J40/VLOOKUP(A40,'[252]geoMap (9)'!$A:$B,2,0)*VLOOKUP(A40,'[252]geoMap (9)'!$A:$C,3,0)</f>
        <v>760.09805809105114</v>
      </c>
      <c r="L40" s="1">
        <f>K40/VLOOKUP(A40,'[253]geoMap (10)'!$A:$B,2,0)*VLOOKUP(A40,'[253]geoMap (10)'!$A:$C,3,0)</f>
        <v>391.56566628932939</v>
      </c>
      <c r="M40" s="1">
        <f>L40/VLOOKUP(A40,'[254]geoMap (11)'!$A:$B,2,0)*VLOOKUP(A40,'[254]geoMap (11)'!$A:$C,3,0)</f>
        <v>333.55593795016944</v>
      </c>
      <c r="N40" s="1">
        <f>M40/VLOOKUP(A40,'[255]geoMap (12)'!$A:$B,2,0)*VLOOKUP(A40,'[255]geoMap (12)'!$A:$C,3,0)</f>
        <v>241.540506791502</v>
      </c>
      <c r="O40" s="1">
        <f>N40/VLOOKUP(A40,'[256]geoMap (13)'!$A:$B,2,0)*VLOOKUP(A40,'[256]geoMap (13)'!$A:$C,3,0)</f>
        <v>307.41519046191166</v>
      </c>
      <c r="P40" s="1">
        <f>O40/VLOOKUP(A40,'[266]geoMap (14)'!$A:$B,2,0)*VLOOKUP(A40,'[266]geoMap (14)'!$A:$C,3,0)</f>
        <v>231.90970508530179</v>
      </c>
      <c r="Q40" s="1">
        <f>P40/VLOOKUP(A40,'[267]geoMap (15)'!$A:$B,2,0)*VLOOKUP(A40,'[267]geoMap (15)'!$A:$C,3,0)</f>
        <v>124.87445658439326</v>
      </c>
      <c r="R40" s="1">
        <f>Q40/VLOOKUP(A40,'[258]geoMap (16)'!$A:$B,2,0)*VLOOKUP(A40,'[258]geoMap (16)'!$A:$C,3,0)</f>
        <v>20.328399909087278</v>
      </c>
      <c r="S40" s="1">
        <f>R40/VLOOKUP(A40,'[259]geoMap (17)'!$A:$B,2,0)*VLOOKUP(A40,'[259]geoMap (17)'!$A:$C,3,0)</f>
        <v>86.663178559793138</v>
      </c>
      <c r="T40" s="1">
        <f>S40/VLOOKUP(A40,'[260]geoMap (18)'!$A:$B,2,0)*VLOOKUP(A40,'[260]geoMap (18)'!$A:$C,3,0)</f>
        <v>44.644667742923744</v>
      </c>
      <c r="U40" s="1">
        <f>T40/VLOOKUP(A40,'[261]geoMap (19)'!$A:$B,2,0)*VLOOKUP(A40,'[261]geoMap (19)'!$A:$C,3,0)</f>
        <v>52.408957785171353</v>
      </c>
      <c r="V40" s="1">
        <f>U40/VLOOKUP(A40,'[268]geoMap (20)'!$A:$B,2,0)*VLOOKUP(A40,'[268]geoMap (20)'!$A:$C,3,0)</f>
        <v>20.381261360899973</v>
      </c>
      <c r="W40" s="1">
        <f>V40/VLOOKUP(A40,'[269]geoMap (21)'!$A:$B,2,0)*VLOOKUP(A40,'[269]geoMap (21)'!$A:$C,3,0)</f>
        <v>16.675577477099978</v>
      </c>
      <c r="X40" s="1">
        <f>W40/VLOOKUP(A40,'[262]geoMap (22)'!$A:$B,2,0)*VLOOKUP(A40,'[262]geoMap (22)'!$A:$C,3,0)</f>
        <v>35.435602138837453</v>
      </c>
      <c r="Y40" s="1">
        <f>X40/VLOOKUP(A40,'[263]geoMap (23)'!$A:$B,2,0)*VLOOKUP(A40,'[263]geoMap (23)'!$A:$C,3,0)</f>
        <v>36.881953246545109</v>
      </c>
      <c r="Z40" s="1">
        <f>Y40/VLOOKUP(A40,'[264]geoMap (24)'!$A:$B,2,0)*VLOOKUP(A40,'[264]geoMap (24)'!$A:$C,3,0)</f>
        <v>9.804063521233509</v>
      </c>
      <c r="AA40" s="1">
        <f>Z40/VLOOKUP(A40,'[265]geoMap (25)'!$A:$B,2,0)*VLOOKUP(A40,'[265]geoMap (25)'!$A:$C,3,0)</f>
        <v>15.996103639907304</v>
      </c>
    </row>
    <row r="41" spans="1:27" x14ac:dyDescent="0.2">
      <c r="A41" s="1" t="s">
        <v>122</v>
      </c>
      <c r="B41" s="1">
        <f>Notes!$C$6*VLOOKUP(A41,[243]geoMap!$A:$B,2,0)</f>
        <v>6000</v>
      </c>
      <c r="C41" s="1">
        <f>B41/VLOOKUP(A41,'[244]geoMap (1)'!$A:$B,2,0)*VLOOKUP(A41,'[244]geoMap (1)'!$A:$C,3,0)</f>
        <v>1500</v>
      </c>
      <c r="D41" s="1">
        <f>C41/VLOOKUP(A41,'[245]geoMap (2)'!$A:$B,2,0)*VLOOKUP(A41,'[245]geoMap (2)'!$A:$C,3,0)</f>
        <v>3187.5000000000005</v>
      </c>
      <c r="E41" s="1">
        <f>D41/VLOOKUP(A41,'[246]geoMap (3)'!$A:$B,2,0)*VLOOKUP(A41,'[246]geoMap (3)'!$A:$C,3,0)</f>
        <v>2504.4642857142858</v>
      </c>
      <c r="F41" s="1">
        <f>E41/VLOOKUP(A41,'[247]geoMap (4)'!$A:$B,2,0)*VLOOKUP(A41,'[247]geoMap (4)'!$A:$C,3,0)</f>
        <v>2824.1831306990885</v>
      </c>
      <c r="G41" s="1">
        <f>F41/VLOOKUP(A41,'[248]geoMap (5)'!$A:$B,2,0)*VLOOKUP(A41,'[248]geoMap (5)'!$A:$C,3,0)</f>
        <v>2310.6952887537996</v>
      </c>
      <c r="H41" s="1">
        <f>G41/VLOOKUP(A41,'[249]geoMap (6)'!$A:$B,2,0)*VLOOKUP(A41,'[249]geoMap (6)'!$A:$C,3,0)</f>
        <v>1540.4635258358667</v>
      </c>
      <c r="I41" s="1">
        <f>H41/VLOOKUP(A41,'[250]geoMap (7)'!$A:$B,2,0)*VLOOKUP(A41,'[250]geoMap (7)'!$A:$C,3,0)</f>
        <v>190.39436836173633</v>
      </c>
      <c r="J41" s="1">
        <f>I41/VLOOKUP(A41,'[251]geoMap (8)'!$A:$B,2,0)*VLOOKUP(A41,'[251]geoMap (8)'!$A:$C,3,0)</f>
        <v>811.68125459477073</v>
      </c>
      <c r="K41" s="1">
        <f>J41/VLOOKUP(A41,'[252]geoMap (9)'!$A:$B,2,0)*VLOOKUP(A41,'[252]geoMap (9)'!$A:$C,3,0)</f>
        <v>691.43217983998989</v>
      </c>
      <c r="L41" s="1">
        <f>K41/VLOOKUP(A41,'[253]geoMap (10)'!$A:$B,2,0)*VLOOKUP(A41,'[253]geoMap (10)'!$A:$C,3,0)</f>
        <v>172.85804495999747</v>
      </c>
      <c r="M41" s="1">
        <f>L41/VLOOKUP(A41,'[254]geoMap (11)'!$A:$B,2,0)*VLOOKUP(A41,'[254]geoMap (11)'!$A:$C,3,0)</f>
        <v>736.92113903998927</v>
      </c>
      <c r="N41" s="1">
        <f>M41/VLOOKUP(A41,'[255]geoMap (12)'!$A:$B,2,0)*VLOOKUP(A41,'[255]geoMap (12)'!$A:$C,3,0)</f>
        <v>362.96115803462158</v>
      </c>
      <c r="O41" s="1">
        <f>N41/VLOOKUP(A41,'[256]geoMap (13)'!$A:$B,2,0)*VLOOKUP(A41,'[256]geoMap (13)'!$A:$C,3,0)</f>
        <v>285.18376702720263</v>
      </c>
      <c r="P41" s="1">
        <f>O41/59*14</f>
        <v>67.670724379336221</v>
      </c>
      <c r="Q41" s="1">
        <f>O41/VLOOKUP(A41,'[257]geoMap (30)'!$A:$B,2,0)*VLOOKUP(A41,'[257]geoMap (30)'!$A:$C,3,0)</f>
        <v>62.601314713288382</v>
      </c>
      <c r="R41" s="1">
        <f>Q41/43*15</f>
        <v>21.837667923240133</v>
      </c>
      <c r="S41" s="1">
        <f>Q41/VLOOKUP(A41,'[271]geoMap (31)'!$A:$B,2,0)*VLOOKUP(A41,'[271]geoMap (31)'!$A:$C,3,0)</f>
        <v>79.674400544185218</v>
      </c>
      <c r="T41" s="1">
        <f>S41/VLOOKUP(A41,'[260]geoMap (18)'!$A:$B,2,0)*VLOOKUP(A41,'[260]geoMap (18)'!$A:$C,3,0)</f>
        <v>57.695255566478956</v>
      </c>
      <c r="U41" s="1">
        <f>S41/43*12</f>
        <v>22.234716430935407</v>
      </c>
      <c r="V41" s="1">
        <f>U41/28*5</f>
        <v>3.9704850769527509</v>
      </c>
      <c r="W41" s="1">
        <f>V41/5*23</f>
        <v>18.264231353982655</v>
      </c>
      <c r="X41" s="1">
        <f>V41/4*27</f>
        <v>26.80077426943107</v>
      </c>
      <c r="Y41" s="1">
        <f>X41/VLOOKUP(A41,'[263]geoMap (23)'!$A:$B,2,0)*VLOOKUP(A41,'[263]geoMap (23)'!$A:$C,3,0)</f>
        <v>40.201161404146603</v>
      </c>
      <c r="Z41" s="1">
        <f>V41/10*23</f>
        <v>9.1321156769913276</v>
      </c>
      <c r="AA41" s="1">
        <f>Z41/5*29</f>
        <v>52.966270926549704</v>
      </c>
    </row>
    <row r="42" spans="1:27" x14ac:dyDescent="0.2">
      <c r="A42" s="1" t="s">
        <v>98</v>
      </c>
      <c r="B42" s="1">
        <f>Notes!$C$6*VLOOKUP(A42,[243]geoMap!$A:$B,2,0)</f>
        <v>8000</v>
      </c>
      <c r="C42" s="1">
        <f>B42/VLOOKUP(A42,'[244]geoMap (1)'!$A:$B,2,0)*VLOOKUP(A42,'[244]geoMap (1)'!$A:$C,3,0)</f>
        <v>2000</v>
      </c>
      <c r="D42" s="1">
        <f>C42/VLOOKUP(A42,'[245]geoMap (2)'!$A:$B,2,0)*VLOOKUP(A42,'[245]geoMap (2)'!$A:$C,3,0)</f>
        <v>5692.3076923076924</v>
      </c>
      <c r="E42" s="1">
        <f>D42/VLOOKUP(A42,'[246]geoMap (3)'!$A:$B,2,0)*VLOOKUP(A42,'[246]geoMap (3)'!$A:$C,3,0)</f>
        <v>2439.5604395604396</v>
      </c>
      <c r="F42" s="1">
        <f>E42/VLOOKUP(A42,'[247]geoMap (4)'!$A:$B,2,0)*VLOOKUP(A42,'[247]geoMap (4)'!$A:$C,3,0)</f>
        <v>2642.8571428571431</v>
      </c>
      <c r="G42" s="1">
        <f>F42/VLOOKUP(A42,'[248]geoMap (5)'!$A:$B,2,0)*VLOOKUP(A42,'[248]geoMap (5)'!$A:$C,3,0)</f>
        <v>2863.0952380952385</v>
      </c>
      <c r="H42" s="1">
        <f>G42/VLOOKUP(A42,'[249]geoMap (6)'!$A:$B,2,0)*VLOOKUP(A42,'[249]geoMap (6)'!$A:$C,3,0)</f>
        <v>2438.9329805996476</v>
      </c>
      <c r="I42" s="1">
        <f>H42/VLOOKUP(A42,'[250]geoMap (7)'!$A:$B,2,0)*VLOOKUP(A42,'[250]geoMap (7)'!$A:$C,3,0)</f>
        <v>212.08112874779545</v>
      </c>
      <c r="J42" s="1">
        <f>I42/VLOOKUP(A42,'[251]geoMap (8)'!$A:$B,2,0)*VLOOKUP(A42,'[251]geoMap (8)'!$A:$C,3,0)</f>
        <v>1908.730158730159</v>
      </c>
      <c r="K42" s="1">
        <f>J42/VLOOKUP(A42,'[252]geoMap (9)'!$A:$B,2,0)*VLOOKUP(A42,'[252]geoMap (9)'!$A:$C,3,0)</f>
        <v>898.22595704948651</v>
      </c>
      <c r="L42" s="1">
        <f>K42/VLOOKUP(A42,'[253]geoMap (10)'!$A:$B,2,0)*VLOOKUP(A42,'[253]geoMap (10)'!$A:$C,3,0)</f>
        <v>268.3012598978986</v>
      </c>
      <c r="M42" s="1">
        <f>L42/VLOOKUP(A42,'[254]geoMap (11)'!$A:$B,2,0)*VLOOKUP(A42,'[254]geoMap (11)'!$A:$C,3,0)</f>
        <v>279.25233173046593</v>
      </c>
      <c r="N42" s="1">
        <f>M42/VLOOKUP(A42,'[255]geoMap (12)'!$A:$B,2,0)*VLOOKUP(A42,'[255]geoMap (12)'!$A:$C,3,0)</f>
        <v>496.44858974305055</v>
      </c>
      <c r="O42" s="1">
        <f>N42/VLOOKUP(A42,'[256]geoMap (13)'!$A:$B,2,0)*VLOOKUP(A42,'[256]geoMap (13)'!$A:$C,3,0)</f>
        <v>202.77477609223192</v>
      </c>
      <c r="P42" s="1">
        <f>O42/VLOOKUP(A42,'[266]geoMap (14)'!$A:$B,2,0)*VLOOKUP(A42,'[266]geoMap (14)'!$A:$C,3,0)</f>
        <v>114.06081155188045</v>
      </c>
      <c r="Q42" s="1">
        <f>P42/VLOOKUP(A42,'[267]geoMap (15)'!$A:$B,2,0)*VLOOKUP(A42,'[267]geoMap (15)'!$A:$C,3,0)</f>
        <v>86.04587538124315</v>
      </c>
      <c r="R42" s="1">
        <f>Q42/VLOOKUP(A42,'[258]geoMap (16)'!$A:$B,2,0)*VLOOKUP(A42,'[258]geoMap (16)'!$A:$C,3,0)</f>
        <v>4.5287302832233243</v>
      </c>
      <c r="S42" s="1">
        <f>R42/VLOOKUP(A42,'[259]geoMap (17)'!$A:$B,2,0)*VLOOKUP(A42,'[259]geoMap (17)'!$A:$C,3,0)</f>
        <v>146.42894582422082</v>
      </c>
      <c r="T42" s="1">
        <f>S42/VLOOKUP(A42,'[260]geoMap (18)'!$A:$B,2,0)*VLOOKUP(A42,'[260]geoMap (18)'!$A:$C,3,0)</f>
        <v>85.997952309463017</v>
      </c>
      <c r="U42" s="1">
        <f>T42/VLOOKUP(A42,'[261]geoMap (19)'!$A:$B,2,0)*VLOOKUP(A42,'[261]geoMap (19)'!$A:$C,3,0)</f>
        <v>7.4780828095185239</v>
      </c>
      <c r="V42" s="1">
        <f>U42/VLOOKUP(A42,'[268]geoMap (20)'!$A:$B,2,0)*VLOOKUP(A42,'[268]geoMap (20)'!$A:$C,3,0)</f>
        <v>2.9081433148127598</v>
      </c>
      <c r="W42" s="1">
        <f>V42/VLOOKUP(A42,'[269]geoMap (21)'!$A:$B,2,0)*VLOOKUP(A42,'[269]geoMap (21)'!$A:$C,3,0)</f>
        <v>23.529523183485058</v>
      </c>
      <c r="X42" s="1">
        <f>W42/VLOOKUP(A42,'[262]geoMap (22)'!$A:$B,2,0)*VLOOKUP(A42,'[262]geoMap (22)'!$A:$C,3,0)</f>
        <v>15.68634878899004</v>
      </c>
      <c r="Y42" s="1">
        <f>X42/VLOOKUP(A42,'[263]geoMap (23)'!$A:$B,2,0)*VLOOKUP(A42,'[263]geoMap (23)'!$A:$C,3,0)</f>
        <v>26.709188478550608</v>
      </c>
      <c r="Z42" s="1">
        <f>Y42/VLOOKUP(A42,'[264]geoMap (24)'!$A:$B,2,0)*VLOOKUP(A42,'[264]geoMap (24)'!$A:$C,3,0)</f>
        <v>7.9780692858008306</v>
      </c>
      <c r="AA42" s="1">
        <f>Z42/VLOOKUP(A42,'[265]geoMap (25)'!$A:$B,2,0)*VLOOKUP(A42,'[265]geoMap (25)'!$A:$C,3,0)</f>
        <v>20.515035306344988</v>
      </c>
    </row>
    <row r="43" spans="1:27" x14ac:dyDescent="0.2">
      <c r="A43" s="1" t="s">
        <v>113</v>
      </c>
      <c r="B43" s="1">
        <f>Notes!$C$6*VLOOKUP(A43,[243]geoMap!$A:$B,2,0)</f>
        <v>7000</v>
      </c>
      <c r="C43" s="1">
        <f>B43/VLOOKUP(A43,'[244]geoMap (1)'!$A:$B,2,0)*VLOOKUP(A43,'[244]geoMap (1)'!$A:$C,3,0)</f>
        <v>1433.7349397590365</v>
      </c>
      <c r="D43" s="1">
        <f>C43/VLOOKUP(A43,'[245]geoMap (2)'!$A:$B,2,0)*VLOOKUP(A43,'[245]geoMap (2)'!$A:$C,3,0)</f>
        <v>2910.9163928441044</v>
      </c>
      <c r="E43" s="1">
        <f>D43/VLOOKUP(A43,'[246]geoMap (3)'!$A:$B,2,0)*VLOOKUP(A43,'[246]geoMap (3)'!$A:$C,3,0)</f>
        <v>2195.9544717946756</v>
      </c>
      <c r="F43" s="1">
        <f>E43/VLOOKUP(A43,'[247]geoMap (4)'!$A:$B,2,0)*VLOOKUP(A43,'[247]geoMap (4)'!$A:$C,3,0)</f>
        <v>2285.5852665618049</v>
      </c>
      <c r="G43" s="1">
        <f>F43/VLOOKUP(A43,'[248]geoMap (5)'!$A:$B,2,0)*VLOOKUP(A43,'[248]geoMap (5)'!$A:$C,3,0)</f>
        <v>1461.2758261624654</v>
      </c>
      <c r="H43" s="1">
        <f>G43/VLOOKUP(A43,'[249]geoMap (6)'!$A:$B,2,0)*VLOOKUP(A43,'[249]geoMap (6)'!$A:$C,3,0)</f>
        <v>895.6206676479627</v>
      </c>
      <c r="I43" s="1">
        <f>H43/VLOOKUP(A43,'[250]geoMap (7)'!$A:$B,2,0)*VLOOKUP(A43,'[250]geoMap (7)'!$A:$C,3,0)</f>
        <v>77.880058056344581</v>
      </c>
      <c r="J43" s="1">
        <f>I43/VLOOKUP(A43,'[251]geoMap (8)'!$A:$B,2,0)*VLOOKUP(A43,'[251]geoMap (8)'!$A:$C,3,0)</f>
        <v>895.6206676479627</v>
      </c>
      <c r="K43" s="1">
        <f>J43/VLOOKUP(A43,'[252]geoMap (9)'!$A:$B,2,0)*VLOOKUP(A43,'[252]geoMap (9)'!$A:$C,3,0)</f>
        <v>622.38046395875381</v>
      </c>
      <c r="L43" s="1">
        <f>K43/VLOOKUP(A43,'[253]geoMap (10)'!$A:$B,2,0)*VLOOKUP(A43,'[253]geoMap (10)'!$A:$C,3,0)</f>
        <v>279.62020844523721</v>
      </c>
      <c r="M43" s="1">
        <f>L43/VLOOKUP(A43,'[254]geoMap (11)'!$A:$B,2,0)*VLOOKUP(A43,'[254]geoMap (11)'!$A:$C,3,0)</f>
        <v>131.58598044481749</v>
      </c>
      <c r="N43" s="1">
        <f>M43/VLOOKUP(A43,'[255]geoMap (12)'!$A:$B,2,0)*VLOOKUP(A43,'[255]geoMap (12)'!$A:$C,3,0)</f>
        <v>233.93063190189775</v>
      </c>
      <c r="O43" s="1">
        <f>N43/VLOOKUP(A43,'[256]geoMap (13)'!$A:$B,2,0)*VLOOKUP(A43,'[256]geoMap (13)'!$A:$C,3,0)</f>
        <v>297.72989514786991</v>
      </c>
      <c r="P43" s="1">
        <f>O43/VLOOKUP(A43,'[266]geoMap (14)'!$A:$B,2,0)*VLOOKUP(A43,'[266]geoMap (14)'!$A:$C,3,0)</f>
        <v>133.76270651570968</v>
      </c>
      <c r="Q43" s="1">
        <f>P43/VLOOKUP(A43,'[267]geoMap (15)'!$A:$B,2,0)*VLOOKUP(A43,'[267]geoMap (15)'!$A:$C,3,0)</f>
        <v>49.473877752385782</v>
      </c>
      <c r="R43" s="1">
        <f>Q43/VLOOKUP(A43,'[258]geoMap (16)'!$A:$B,2,0)*VLOOKUP(A43,'[258]geoMap (16)'!$A:$C,3,0)</f>
        <v>11.604983670312714</v>
      </c>
      <c r="S43" s="1">
        <f>R43/VLOOKUP(A43,'[259]geoMap (17)'!$A:$B,2,0)*VLOOKUP(A43,'[259]geoMap (17)'!$A:$C,3,0)</f>
        <v>31.376437330845484</v>
      </c>
      <c r="T43" s="1">
        <f>S43/VLOOKUP(A43,'[260]geoMap (18)'!$A:$B,2,0)*VLOOKUP(A43,'[260]geoMap (18)'!$A:$C,3,0)</f>
        <v>53.424744644412577</v>
      </c>
      <c r="U43" s="1">
        <f>T43/VLOOKUP(A43,'[261]geoMap (19)'!$A:$B,2,0)*VLOOKUP(A43,'[261]geoMap (19)'!$A:$C,3,0)</f>
        <v>22.896319133319679</v>
      </c>
      <c r="V43" s="1">
        <f>U43/VLOOKUP(A43,'[268]geoMap (20)'!$A:$B,2,0)*VLOOKUP(A43,'[268]geoMap (20)'!$A:$C,3,0)</f>
        <v>23.83086277141436</v>
      </c>
      <c r="W43" s="1">
        <f>V43/VLOOKUP(A43,'[269]geoMap (21)'!$A:$B,2,0)*VLOOKUP(A43,'[269]geoMap (21)'!$A:$C,3,0)</f>
        <v>11.737589126219014</v>
      </c>
      <c r="X43" s="1">
        <f>W43/VLOOKUP(A43,'[262]geoMap (22)'!$A:$B,2,0)*VLOOKUP(A43,'[262]geoMap (22)'!$A:$C,3,0)</f>
        <v>12.715721553403931</v>
      </c>
      <c r="Y43" s="1">
        <f>X43/VLOOKUP(A43,'[263]geoMap (23)'!$A:$B,2,0)*VLOOKUP(A43,'[263]geoMap (23)'!$A:$C,3,0)</f>
        <v>10.831910952899644</v>
      </c>
      <c r="Z43" s="1">
        <f>Y43/VLOOKUP(A43,'[264]geoMap (24)'!$A:$B,2,0)*VLOOKUP(A43,'[264]geoMap (24)'!$A:$C,3,0)</f>
        <v>11.274029767303713</v>
      </c>
      <c r="AA43" s="1">
        <f>Z43/VLOOKUP(A43,'[265]geoMap (25)'!$A:$B,2,0)*VLOOKUP(A43,'[265]geoMap (25)'!$A:$C,3,0)</f>
        <v>11.734194247601824</v>
      </c>
    </row>
    <row r="44" spans="1:27" x14ac:dyDescent="0.2">
      <c r="A44" s="1" t="s">
        <v>110</v>
      </c>
      <c r="B44" s="1">
        <f>Notes!$C$6*VLOOKUP(A44,[243]geoMap!$A:$B,2,0)</f>
        <v>8000</v>
      </c>
      <c r="C44" s="1">
        <f>B44/VLOOKUP(A44,'[244]geoMap (1)'!$A:$B,2,0)*VLOOKUP(A44,'[244]geoMap (1)'!$A:$C,3,0)</f>
        <v>988.76404494382029</v>
      </c>
      <c r="D44" s="1">
        <f>C44/VLOOKUP(A44,'[245]geoMap (2)'!$A:$B,2,0)*VLOOKUP(A44,'[245]geoMap (2)'!$A:$C,3,0)</f>
        <v>2307.1161048689141</v>
      </c>
      <c r="E44" s="1">
        <f>D44/VLOOKUP(A44,'[246]geoMap (3)'!$A:$B,2,0)*VLOOKUP(A44,'[246]geoMap (3)'!$A:$C,3,0)</f>
        <v>2819.8085726175618</v>
      </c>
      <c r="F44" s="1">
        <f>E44/VLOOKUP(A44,'[247]geoMap (4)'!$A:$B,2,0)*VLOOKUP(A44,'[247]geoMap (4)'!$A:$C,3,0)</f>
        <v>2307.1161048689141</v>
      </c>
      <c r="G44" s="1">
        <f>F44/VLOOKUP(A44,'[248]geoMap (5)'!$A:$B,2,0)*VLOOKUP(A44,'[248]geoMap (5)'!$A:$C,3,0)</f>
        <v>810.60836117015913</v>
      </c>
      <c r="H44" s="1">
        <f>G44/VLOOKUP(A44,'[249]geoMap (6)'!$A:$B,2,0)*VLOOKUP(A44,'[249]geoMap (6)'!$A:$C,3,0)</f>
        <v>1166.4852026594972</v>
      </c>
      <c r="I44" s="1">
        <f>H44/63*4</f>
        <v>74.06255254980934</v>
      </c>
      <c r="J44" s="1">
        <f>H44/VLOOKUP(A44,'[270]geoMap (28)'!$A:$B,2,0)*VLOOKUP(A44,'[270]geoMap (28)'!$A:$C,3,0)</f>
        <v>499.92222971121311</v>
      </c>
      <c r="K44" s="1">
        <f>J44/VLOOKUP(A44,'[252]geoMap (9)'!$A:$B,2,0)*VLOOKUP(A44,'[252]geoMap (9)'!$A:$C,3,0)</f>
        <v>480.31743638920472</v>
      </c>
      <c r="L44" s="1">
        <f>K44/VLOOKUP(A44,'[253]geoMap (10)'!$A:$B,2,0)*VLOOKUP(A44,'[253]geoMap (10)'!$A:$C,3,0)</f>
        <v>186.79011415135741</v>
      </c>
      <c r="M44" s="1">
        <f>L44/56*26</f>
        <v>86.723981570273097</v>
      </c>
      <c r="N44" s="1">
        <f>M44/27*42</f>
        <v>134.90397133153593</v>
      </c>
      <c r="O44" s="1">
        <f>N44/VLOOKUP(A44,'[256]geoMap (13)'!$A:$B,2,0)*VLOOKUP(A44,'[256]geoMap (13)'!$A:$C,3,0)</f>
        <v>250.53594675856672</v>
      </c>
      <c r="P44" s="1">
        <f>O44/VLOOKUP(A44,'[266]geoMap (14)'!$A:$B,2,0)*VLOOKUP(A44,'[266]geoMap (14)'!$A:$C,3,0)</f>
        <v>70.663984983185486</v>
      </c>
      <c r="Q44" s="1">
        <f>P44/VLOOKUP(A44,'[267]geoMap (15)'!$A:$B,2,0)*VLOOKUP(A44,'[267]geoMap (15)'!$A:$C,3,0)</f>
        <v>62.664288569994675</v>
      </c>
      <c r="R44" s="1">
        <f>Q44/VLOOKUP(A44,'[258]geoMap (16)'!$A:$B,2,0)*VLOOKUP(A44,'[258]geoMap (16)'!$A:$C,3,0)</f>
        <v>10.20116325558053</v>
      </c>
      <c r="S44" s="1">
        <f>R44/VLOOKUP(A44,'[259]geoMap (17)'!$A:$B,2,0)*VLOOKUP(A44,'[259]geoMap (17)'!$A:$C,3,0)</f>
        <v>46.471965942089085</v>
      </c>
      <c r="T44" s="1">
        <f>S44/VLOOKUP(A44,'[260]geoMap (18)'!$A:$B,2,0)*VLOOKUP(A44,'[260]geoMap (18)'!$A:$C,3,0)</f>
        <v>28.482817835473956</v>
      </c>
      <c r="U44" s="1">
        <f>T44/VLOOKUP(A44,'[261]geoMap (19)'!$A:$B,2,0)*VLOOKUP(A44,'[261]geoMap (19)'!$A:$C,3,0)</f>
        <v>25.258347891835392</v>
      </c>
      <c r="V44" s="1">
        <f>U44/VLOOKUP(A44,'[268]geoMap (20)'!$A:$B,2,0)*VLOOKUP(A44,'[268]geoMap (20)'!$A:$C,3,0)</f>
        <v>8.8745546646989215</v>
      </c>
      <c r="W44" s="1">
        <f>V44/17*18</f>
        <v>9.3965872920341518</v>
      </c>
      <c r="X44" s="1">
        <f>V44/15*31</f>
        <v>18.340746307044437</v>
      </c>
      <c r="Y44" s="1">
        <f>V44/7*17</f>
        <v>21.552489899983097</v>
      </c>
      <c r="Z44" s="1">
        <f>Y44/VLOOKUP(A44,'[264]geoMap (24)'!$A:$B,2,0)*VLOOKUP(A44,'[264]geoMap (24)'!$A:$C,3,0)</f>
        <v>24.303871589342645</v>
      </c>
      <c r="AA44" s="1">
        <f>Z44/VLOOKUP(A44,'[265]geoMap (25)'!$A:$B,2,0)*VLOOKUP(A44,'[265]geoMap (25)'!$A:$C,3,0)</f>
        <v>29.704731942529904</v>
      </c>
    </row>
    <row r="45" spans="1:27" x14ac:dyDescent="0.2">
      <c r="A45" s="1" t="s">
        <v>101</v>
      </c>
      <c r="B45" s="1">
        <f>Notes!$C$6*VLOOKUP(A45,[243]geoMap!$A:$B,2,0)</f>
        <v>7000</v>
      </c>
      <c r="C45" s="1">
        <f>B45/VLOOKUP(A45,'[244]geoMap (1)'!$A:$B,2,0)*VLOOKUP(A45,'[244]geoMap (1)'!$A:$C,3,0)</f>
        <v>865.16853932584263</v>
      </c>
      <c r="D45" s="1">
        <f>C45/VLOOKUP(A45,'[245]geoMap (2)'!$A:$B,2,0)*VLOOKUP(A45,'[245]geoMap (2)'!$A:$C,3,0)</f>
        <v>2018.7265917602992</v>
      </c>
      <c r="E45" s="1">
        <f>D45/VLOOKUP(A45,'[246]geoMap (3)'!$A:$B,2,0)*VLOOKUP(A45,'[246]geoMap (3)'!$A:$C,3,0)</f>
        <v>2675.9864123334196</v>
      </c>
      <c r="F45" s="1">
        <f>E45/VLOOKUP(A45,'[247]geoMap (4)'!$A:$B,2,0)*VLOOKUP(A45,'[247]geoMap (4)'!$A:$C,3,0)</f>
        <v>3405.8008884243527</v>
      </c>
      <c r="G45" s="1">
        <f>F45/VLOOKUP(A45,'[248]geoMap (5)'!$A:$B,2,0)*VLOOKUP(A45,'[248]geoMap (5)'!$A:$C,3,0)</f>
        <v>851.45022210608806</v>
      </c>
      <c r="H45" s="1">
        <f>G45/VLOOKUP(A45,'[249]geoMap (6)'!$A:$B,2,0)*VLOOKUP(A45,'[249]geoMap (6)'!$A:$C,3,0)</f>
        <v>1083.6639190441122</v>
      </c>
      <c r="I45" s="1">
        <f>H45/VLOOKUP(A45,'[250]geoMap (7)'!$A:$B,2,0)*VLOOKUP(A45,'[250]geoMap (7)'!$A:$C,3,0)</f>
        <v>45.152663293504673</v>
      </c>
      <c r="J45" s="1">
        <f>I45/VLOOKUP(A45,'[251]geoMap (8)'!$A:$B,2,0)*VLOOKUP(A45,'[251]geoMap (8)'!$A:$C,3,0)</f>
        <v>599.88538375656208</v>
      </c>
      <c r="K45" s="1">
        <f>J45/VLOOKUP(A45,'[252]geoMap (9)'!$A:$B,2,0)*VLOOKUP(A45,'[252]geoMap (9)'!$A:$C,3,0)</f>
        <v>553.74035423682653</v>
      </c>
      <c r="L45" s="1">
        <f>K45/VLOOKUP(A45,'[253]geoMap (10)'!$A:$B,2,0)*VLOOKUP(A45,'[253]geoMap (10)'!$A:$C,3,0)</f>
        <v>272.73778641515338</v>
      </c>
      <c r="M45" s="1">
        <f>L45/VLOOKUP(A45,'[254]geoMap (11)'!$A:$B,2,0)*VLOOKUP(A45,'[254]geoMap (11)'!$A:$C,3,0)</f>
        <v>72.499917907825576</v>
      </c>
      <c r="N45" s="1">
        <f>M45/VLOOKUP(A45,'[255]geoMap (12)'!$A:$B,2,0)*VLOOKUP(A45,'[255]geoMap (12)'!$A:$C,3,0)</f>
        <v>113.39730749685539</v>
      </c>
      <c r="O45" s="1">
        <f>N45/VLOOKUP(A45,'[256]geoMap (13)'!$A:$B,2,0)*VLOOKUP(A45,'[256]geoMap (13)'!$A:$C,3,0)</f>
        <v>240.96927843081772</v>
      </c>
      <c r="P45" s="1">
        <f>O45/VLOOKUP(A45,'[266]geoMap (14)'!$A:$B,2,0)*VLOOKUP(A45,'[266]geoMap (14)'!$A:$C,3,0)</f>
        <v>135.54521911733497</v>
      </c>
      <c r="Q45" s="1">
        <f>P45/VLOOKUP(A45,'[267]geoMap (15)'!$A:$B,2,0)*VLOOKUP(A45,'[267]geoMap (15)'!$A:$C,3,0)</f>
        <v>72.985887217026516</v>
      </c>
      <c r="R45" s="1">
        <f>Q45/VLOOKUP(A45,'[258]geoMap (16)'!$A:$B,2,0)*VLOOKUP(A45,'[258]geoMap (16)'!$A:$C,3,0)</f>
        <v>3.841362485106659</v>
      </c>
      <c r="S45" s="1">
        <f>R45/VLOOKUP(A45,'[259]geoMap (17)'!$A:$B,2,0)*VLOOKUP(A45,'[259]geoMap (17)'!$A:$C,3,0)</f>
        <v>20.167153046809958</v>
      </c>
      <c r="T45" s="1">
        <f>S45/VLOOKUP(A45,'[260]geoMap (18)'!$A:$B,2,0)*VLOOKUP(A45,'[260]geoMap (18)'!$A:$C,3,0)</f>
        <v>23.674484011472561</v>
      </c>
      <c r="U45" s="1">
        <f>T45/VLOOKUP(A45,'[261]geoMap (19)'!$A:$B,2,0)*VLOOKUP(A45,'[261]geoMap (19)'!$A:$C,3,0)</f>
        <v>23.674484011472561</v>
      </c>
      <c r="V45" s="1">
        <f>U45/VLOOKUP(A45,'[268]geoMap (20)'!$A:$B,2,0)*VLOOKUP(A45,'[268]geoMap (20)'!$A:$C,3,0)</f>
        <v>42.087971575951222</v>
      </c>
      <c r="W45" s="1">
        <f>V45/VLOOKUP(A45,'[269]geoMap (21)'!$A:$B,2,0)*VLOOKUP(A45,'[269]geoMap (21)'!$A:$C,3,0)</f>
        <v>26.908703138722917</v>
      </c>
      <c r="X45" s="1">
        <f>W45/VLOOKUP(A45,'[262]geoMap (22)'!$A:$B,2,0)*VLOOKUP(A45,'[262]geoMap (22)'!$A:$C,3,0)</f>
        <v>8.9695677129076383</v>
      </c>
      <c r="Y45" s="1">
        <f>X45/VLOOKUP(A45,'[263]geoMap (23)'!$A:$B,2,0)*VLOOKUP(A45,'[263]geoMap (23)'!$A:$C,3,0)</f>
        <v>18.210940508024599</v>
      </c>
      <c r="Z45" s="1">
        <f>Y45/VLOOKUP(A45,'[264]geoMap (24)'!$A:$B,2,0)*VLOOKUP(A45,'[264]geoMap (24)'!$A:$C,3,0)</f>
        <v>7.8046887891534</v>
      </c>
      <c r="AA45" s="1">
        <f>Z45/VLOOKUP(A45,'[265]geoMap (25)'!$A:$B,2,0)*VLOOKUP(A45,'[265]geoMap (25)'!$A:$C,3,0)</f>
        <v>6.6484385981677114</v>
      </c>
    </row>
    <row r="46" spans="1:27" x14ac:dyDescent="0.2">
      <c r="A46" s="1" t="s">
        <v>115</v>
      </c>
      <c r="B46" s="1">
        <f>Notes!$C$6*VLOOKUP(A46,[243]geoMap!$A:$B,2,0)</f>
        <v>7000</v>
      </c>
      <c r="C46" s="1">
        <f>B46/VLOOKUP(A46,'[244]geoMap (1)'!$A:$B,2,0)*VLOOKUP(A46,'[244]geoMap (1)'!$A:$C,3,0)</f>
        <v>608.695652173913</v>
      </c>
      <c r="D46" s="1">
        <f>C46/VLOOKUP(A46,'[245]geoMap (2)'!$A:$B,2,0)*VLOOKUP(A46,'[245]geoMap (2)'!$A:$C,3,0)</f>
        <v>1732.4414715719063</v>
      </c>
      <c r="E46" s="1">
        <f>D46/VLOOKUP(A46,'[246]geoMap (3)'!$A:$B,2,0)*VLOOKUP(A46,'[246]geoMap (3)'!$A:$C,3,0)</f>
        <v>3856.0794044665008</v>
      </c>
      <c r="F46" s="1">
        <f>E46/VLOOKUP(A46,'[247]geoMap (4)'!$A:$B,2,0)*VLOOKUP(A46,'[247]geoMap (4)'!$A:$C,3,0)</f>
        <v>2679.648399714009</v>
      </c>
      <c r="G46" s="1">
        <f>F46/VLOOKUP(A46,'[248]geoMap (5)'!$A:$B,2,0)*VLOOKUP(A46,'[248]geoMap (5)'!$A:$C,3,0)</f>
        <v>800.41445705743126</v>
      </c>
      <c r="H46" s="1">
        <f>G46/VLOOKUP(A46,'[249]geoMap (6)'!$A:$B,2,0)*VLOOKUP(A46,'[249]geoMap (6)'!$A:$C,3,0)</f>
        <v>1061.0145128435715</v>
      </c>
      <c r="I46" s="1">
        <f>H46/VLOOKUP(A46,'[250]geoMap (7)'!$A:$B,2,0)*VLOOKUP(A46,'[250]geoMap (7)'!$A:$C,3,0)</f>
        <v>44.208938035148812</v>
      </c>
      <c r="J46" s="1">
        <f>I46/VLOOKUP(A46,'[251]geoMap (8)'!$A:$B,2,0)*VLOOKUP(A46,'[251]geoMap (8)'!$A:$C,3,0)</f>
        <v>692.60669588399799</v>
      </c>
      <c r="K46" s="1">
        <f>J46/VLOOKUP(A46,'[252]geoMap (9)'!$A:$B,2,0)*VLOOKUP(A46,'[252]geoMap (9)'!$A:$C,3,0)</f>
        <v>461.73779725599871</v>
      </c>
      <c r="L46" s="1">
        <f>K46/VLOOKUP(A46,'[253]geoMap (10)'!$A:$B,2,0)*VLOOKUP(A46,'[253]geoMap (10)'!$A:$C,3,0)</f>
        <v>237.86492585915084</v>
      </c>
      <c r="M46" s="1">
        <f>L46/VLOOKUP(A46,'[254]geoMap (11)'!$A:$B,2,0)*VLOOKUP(A46,'[254]geoMap (11)'!$A:$C,3,0)</f>
        <v>92.503026723003117</v>
      </c>
      <c r="N46" s="1">
        <f>M46/VLOOKUP(A46,'[255]geoMap (12)'!$A:$B,2,0)*VLOOKUP(A46,'[255]geoMap (12)'!$A:$C,3,0)</f>
        <v>92.503026723003117</v>
      </c>
      <c r="O46" s="1">
        <f>N46/VLOOKUP(A46,'[256]geoMap (13)'!$A:$B,2,0)*VLOOKUP(A46,'[256]geoMap (13)'!$A:$C,3,0)</f>
        <v>237.86492585915084</v>
      </c>
      <c r="P46" s="1">
        <f>O46/VLOOKUP(A46,'[266]geoMap (14)'!$A:$B,2,0)*VLOOKUP(A46,'[266]geoMap (14)'!$A:$C,3,0)</f>
        <v>179.44196161304362</v>
      </c>
      <c r="Q46" s="1">
        <f>P46/VLOOKUP(A46,'[267]geoMap (15)'!$A:$B,2,0)*VLOOKUP(A46,'[267]geoMap (15)'!$A:$C,3,0)</f>
        <v>96.622594714715788</v>
      </c>
      <c r="R46" s="1">
        <f>Q46/49*5</f>
        <v>9.8594484402771201</v>
      </c>
      <c r="S46" s="1">
        <f>Q46/VLOOKUP(A46,'[271]geoMap (31)'!$A:$B,2,0)*VLOOKUP(A46,'[271]geoMap (31)'!$A:$C,3,0)</f>
        <v>17.051046126126316</v>
      </c>
      <c r="T46" s="1">
        <f>S46/VLOOKUP(A46,'[260]geoMap (18)'!$A:$B,2,0)*VLOOKUP(A46,'[260]geoMap (18)'!$A:$C,3,0)</f>
        <v>15.120739017508242</v>
      </c>
      <c r="U46" s="1">
        <f>T46/VLOOKUP(A46,'[261]geoMap (19)'!$A:$B,2,0)*VLOOKUP(A46,'[261]geoMap (19)'!$A:$C,3,0)</f>
        <v>24.67067944961871</v>
      </c>
      <c r="V46" s="1">
        <f>U46/VLOOKUP(A46,'[268]geoMap (20)'!$A:$B,2,0)*VLOOKUP(A46,'[268]geoMap (20)'!$A:$C,3,0)</f>
        <v>40.252161207272628</v>
      </c>
      <c r="W46" s="1">
        <f>V46/VLOOKUP(A46,'[269]geoMap (21)'!$A:$B,2,0)*VLOOKUP(A46,'[269]geoMap (21)'!$A:$C,3,0)</f>
        <v>17.250926231688272</v>
      </c>
      <c r="X46" s="1">
        <f>V46/52*6</f>
        <v>4.644480139300688</v>
      </c>
      <c r="Y46" s="1">
        <f>V46/VLOOKUP(A46,'[276]geoMap (34)'!$A:$B,2,0)*VLOOKUP(A46,'[276]geoMap (34)'!$A:$C,3,0)</f>
        <v>10.063040301818157</v>
      </c>
      <c r="Z46" s="1">
        <f>Y46/VLOOKUP(A46,'[264]geoMap (24)'!$A:$B,2,0)*VLOOKUP(A46,'[264]geoMap (24)'!$A:$C,3,0)</f>
        <v>5.1839904585123842</v>
      </c>
      <c r="AA46" s="1">
        <f>Z46/20*11</f>
        <v>2.8511947521818115</v>
      </c>
    </row>
    <row r="47" spans="1:27" x14ac:dyDescent="0.2">
      <c r="A47" s="1" t="s">
        <v>111</v>
      </c>
      <c r="B47" s="1">
        <f>Notes!$C$6*VLOOKUP(A47,[243]geoMap!$A:$B,2,0)</f>
        <v>8000</v>
      </c>
      <c r="C47" s="1">
        <f>B47/VLOOKUP(A47,'[244]geoMap (1)'!$A:$B,2,0)*VLOOKUP(A47,'[244]geoMap (1)'!$A:$C,3,0)</f>
        <v>602.15053763440869</v>
      </c>
      <c r="D47" s="1">
        <f>C47/VLOOKUP(A47,'[245]geoMap (2)'!$A:$B,2,0)*VLOOKUP(A47,'[245]geoMap (2)'!$A:$C,3,0)</f>
        <v>1628.0366387893271</v>
      </c>
      <c r="E47" s="1">
        <f>D47/VLOOKUP(A47,'[246]geoMap (3)'!$A:$B,2,0)*VLOOKUP(A47,'[246]geoMap (3)'!$A:$C,3,0)</f>
        <v>2656.2703053931127</v>
      </c>
      <c r="F47" s="1">
        <f>E47/VLOOKUP(A47,'[247]geoMap (4)'!$A:$B,2,0)*VLOOKUP(A47,'[247]geoMap (4)'!$A:$C,3,0)</f>
        <v>2552.1028424365204</v>
      </c>
      <c r="G47" s="1">
        <f>F47/VLOOKUP(A47,'[248]geoMap (5)'!$A:$B,2,0)*VLOOKUP(A47,'[248]geoMap (5)'!$A:$C,3,0)</f>
        <v>850.70094747884013</v>
      </c>
      <c r="H47" s="1">
        <f>G47/VLOOKUP(A47,'[249]geoMap (6)'!$A:$B,2,0)*VLOOKUP(A47,'[249]geoMap (6)'!$A:$C,3,0)</f>
        <v>1448.4908024639712</v>
      </c>
      <c r="I47" s="1">
        <f>H47/VLOOKUP(A47,'[250]geoMap (7)'!$A:$B,2,0)*VLOOKUP(A47,'[250]geoMap (7)'!$A:$C,3,0)</f>
        <v>44.798684612287772</v>
      </c>
      <c r="J47" s="1">
        <f>I47/VLOOKUP(A47,'[251]geoMap (8)'!$A:$B,2,0)*VLOOKUP(A47,'[251]geoMap (8)'!$A:$C,3,0)</f>
        <v>595.18252413468042</v>
      </c>
      <c r="K47" s="1">
        <f>J47/VLOOKUP(A47,'[252]geoMap (9)'!$A:$B,2,0)*VLOOKUP(A47,'[252]geoMap (9)'!$A:$C,3,0)</f>
        <v>788.96288082969261</v>
      </c>
      <c r="L47" s="1">
        <f>K47/VLOOKUP(A47,'[253]geoMap (10)'!$A:$B,2,0)*VLOOKUP(A47,'[253]geoMap (10)'!$A:$C,3,0)</f>
        <v>277.20317434556767</v>
      </c>
      <c r="M47" s="1">
        <f>L47/VLOOKUP(A47,'[254]geoMap (11)'!$A:$B,2,0)*VLOOKUP(A47,'[254]geoMap (11)'!$A:$C,3,0)</f>
        <v>102.52720147027846</v>
      </c>
      <c r="N47" s="1">
        <f>M47/VLOOKUP(A47,'[255]geoMap (12)'!$A:$B,2,0)*VLOOKUP(A47,'[255]geoMap (12)'!$A:$C,3,0)</f>
        <v>125.31102401922922</v>
      </c>
      <c r="O47" s="1">
        <f>N47/VLOOKUP(A47,'[256]geoMap (13)'!$A:$B,2,0)*VLOOKUP(A47,'[256]geoMap (13)'!$A:$C,3,0)</f>
        <v>222.77515381196307</v>
      </c>
      <c r="P47" s="1">
        <f>O47/VLOOKUP(A47,'[266]geoMap (14)'!$A:$B,2,0)*VLOOKUP(A47,'[266]geoMap (14)'!$A:$C,3,0)</f>
        <v>231.8680172328595</v>
      </c>
      <c r="Q47" s="1">
        <f>P47/VLOOKUP(A47,'[267]geoMap (15)'!$A:$B,2,0)*VLOOKUP(A47,'[267]geoMap (15)'!$A:$C,3,0)</f>
        <v>61.635802049241128</v>
      </c>
      <c r="R47" s="1">
        <f>Q47/VLOOKUP(A47,'[258]geoMap (16)'!$A:$B,2,0)*VLOOKUP(A47,'[258]geoMap (16)'!$A:$C,3,0)</f>
        <v>3.9342001308026253</v>
      </c>
      <c r="S47" s="1">
        <f>R47/VLOOKUP(A47,'[259]geoMap (17)'!$A:$B,2,0)*VLOOKUP(A47,'[259]geoMap (17)'!$A:$C,3,0)</f>
        <v>19.208153579801049</v>
      </c>
      <c r="T47" s="1">
        <f>S47/VLOOKUP(A47,'[260]geoMap (18)'!$A:$B,2,0)*VLOOKUP(A47,'[260]geoMap (18)'!$A:$C,3,0)</f>
        <v>23.476632153090172</v>
      </c>
      <c r="U47" s="1">
        <f>T47/VLOOKUP(A47,'[261]geoMap (19)'!$A:$B,2,0)*VLOOKUP(A47,'[261]geoMap (19)'!$A:$C,3,0)</f>
        <v>12.641263467048553</v>
      </c>
      <c r="V47" s="1">
        <f>U47/VLOOKUP(A47,'[268]geoMap (20)'!$A:$B,2,0)*VLOOKUP(A47,'[268]geoMap (20)'!$A:$C,3,0)</f>
        <v>21.524313470920511</v>
      </c>
      <c r="W47" s="1">
        <f>V47/VLOOKUP(A47,'[269]geoMap (21)'!$A:$B,2,0)*VLOOKUP(A47,'[269]geoMap (21)'!$A:$C,3,0)</f>
        <v>47.908955790113389</v>
      </c>
      <c r="X47" s="1">
        <f>W47/VLOOKUP(A47,'[262]geoMap (22)'!$A:$B,2,0)*VLOOKUP(A47,'[262]geoMap (22)'!$A:$C,3,0)</f>
        <v>7.1588094858790123</v>
      </c>
      <c r="Y47" s="1">
        <f>X47/VLOOKUP(A47,'[263]geoMap (23)'!$A:$B,2,0)*VLOOKUP(A47,'[263]geoMap (23)'!$A:$C,3,0)</f>
        <v>23.966449148377563</v>
      </c>
      <c r="Z47" s="1">
        <f>Y47/VLOOKUP(A47,'[264]geoMap (24)'!$A:$B,2,0)*VLOOKUP(A47,'[264]geoMap (24)'!$A:$C,3,0)</f>
        <v>7.1588094858790123</v>
      </c>
      <c r="AA47" s="1">
        <f>Z47/VLOOKUP(A47,'[265]geoMap (25)'!$A:$B,2,0)*VLOOKUP(A47,'[265]geoMap (25)'!$A:$C,3,0)</f>
        <v>7.4510057914250956</v>
      </c>
    </row>
    <row r="48" spans="1:27" x14ac:dyDescent="0.2">
      <c r="A48" s="1" t="s">
        <v>127</v>
      </c>
      <c r="B48" s="1">
        <f>Notes!$C$6*VLOOKUP(A48,[243]geoMap!$A:$B,2,0)</f>
        <v>5000</v>
      </c>
      <c r="C48" s="1">
        <f>B48/VLOOKUP(A48,'[244]geoMap (1)'!$A:$B,2,0)*VLOOKUP(A48,'[244]geoMap (1)'!$A:$C,3,0)</f>
        <v>2246.376811594203</v>
      </c>
      <c r="D48" s="1">
        <f>C48/VLOOKUP(A48,'[245]geoMap (2)'!$A:$B,2,0)*VLOOKUP(A48,'[245]geoMap (2)'!$A:$C,3,0)</f>
        <v>3665.1411136536999</v>
      </c>
      <c r="E48" s="1">
        <f>D48/VLOOKUP(A48,'[246]geoMap (3)'!$A:$B,2,0)*VLOOKUP(A48,'[246]geoMap (3)'!$A:$C,3,0)</f>
        <v>3122.1572449642631</v>
      </c>
      <c r="F48" s="1">
        <f>E48/VLOOKUP(A48,'[247]geoMap (4)'!$A:$B,2,0)*VLOOKUP(A48,'[247]geoMap (4)'!$A:$C,3,0)</f>
        <v>2881.9913030439352</v>
      </c>
      <c r="G48" s="1">
        <f>F48/VLOOKUP(A48,'[248]geoMap (5)'!$A:$B,2,0)*VLOOKUP(A48,'[248]geoMap (5)'!$A:$C,3,0)</f>
        <v>2357.9928843086741</v>
      </c>
      <c r="H48" s="1">
        <f>G48/VLOOKUP(A48,'[249]geoMap (6)'!$A:$B,2,0)*VLOOKUP(A48,'[249]geoMap (6)'!$A:$C,3,0)</f>
        <v>963.12385415424717</v>
      </c>
      <c r="I48" s="1">
        <f>H48/VLOOKUP(A48,'[250]geoMap (7)'!$A:$B,2,0)*VLOOKUP(A48,'[250]geoMap (7)'!$A:$C,3,0)</f>
        <v>183.45216269604708</v>
      </c>
      <c r="J48" s="1">
        <f>I48/VLOOKUP(A48,'[251]geoMap (8)'!$A:$B,2,0)*VLOOKUP(A48,'[251]geoMap (8)'!$A:$C,3,0)</f>
        <v>1227.7183195812381</v>
      </c>
      <c r="K48" s="1">
        <f>J48/VLOOKUP(A48,'[252]geoMap (9)'!$A:$B,2,0)*VLOOKUP(A48,'[252]geoMap (9)'!$A:$C,3,0)</f>
        <v>577.74979744999439</v>
      </c>
      <c r="L48" s="1">
        <f>K48/VLOOKUP(A48,'[253]geoMap (10)'!$A:$B,2,0)*VLOOKUP(A48,'[253]geoMap (10)'!$A:$C,3,0)</f>
        <v>284.56333307238532</v>
      </c>
      <c r="M48" s="1">
        <f>L48/VLOOKUP(A48,'[254]geoMap (11)'!$A:$B,2,0)*VLOOKUP(A48,'[254]geoMap (11)'!$A:$C,3,0)</f>
        <v>347.79962931069321</v>
      </c>
      <c r="N48" s="1">
        <f>M48/VLOOKUP(A48,'[255]geoMap (12)'!$A:$B,2,0)*VLOOKUP(A48,'[255]geoMap (12)'!$A:$C,3,0)</f>
        <v>376.78293175325103</v>
      </c>
      <c r="O48" s="1">
        <f>N48/VLOOKUP(A48,'[256]geoMap (13)'!$A:$B,2,0)*VLOOKUP(A48,'[256]geoMap (13)'!$A:$C,3,0)</f>
        <v>284.23975553315432</v>
      </c>
      <c r="P48" s="1">
        <f>O48/VLOOKUP(A48,'[266]geoMap (14)'!$A:$B,2,0)*VLOOKUP(A48,'[266]geoMap (14)'!$A:$C,3,0)</f>
        <v>166.93445959883667</v>
      </c>
      <c r="Q48" s="1">
        <f>P48/VLOOKUP(A48,'[267]geoMap (15)'!$A:$B,2,0)*VLOOKUP(A48,'[267]geoMap (15)'!$A:$C,3,0)</f>
        <v>71.54333982807286</v>
      </c>
      <c r="R48" s="1">
        <f>Q48/VLOOKUP(A48,'[258]geoMap (16)'!$A:$B,2,0)*VLOOKUP(A48,'[258]geoMap (16)'!$A:$C,3,0)</f>
        <v>27.822409933139451</v>
      </c>
      <c r="S48" s="1">
        <f>R48/VLOOKUP(A48,'[259]geoMap (17)'!$A:$B,2,0)*VLOOKUP(A48,'[259]geoMap (17)'!$A:$C,3,0)</f>
        <v>68.116934663893147</v>
      </c>
      <c r="T48" s="1">
        <f>S48/VLOOKUP(A48,'[260]geoMap (18)'!$A:$B,2,0)*VLOOKUP(A48,'[260]geoMap (18)'!$A:$C,3,0)</f>
        <v>53.520448664487468</v>
      </c>
      <c r="U48" s="1">
        <f>T48/VLOOKUP(A48,'[261]geoMap (19)'!$A:$B,2,0)*VLOOKUP(A48,'[261]geoMap (19)'!$A:$C,3,0)</f>
        <v>83.711470988044496</v>
      </c>
      <c r="V48" s="1">
        <f>U48/VLOOKUP(A48,'[268]geoMap (20)'!$A:$B,2,0)*VLOOKUP(A48,'[268]geoMap (20)'!$A:$C,3,0)</f>
        <v>30.961776940783583</v>
      </c>
      <c r="W48" s="1">
        <f>V48/VLOOKUP(A48,'[269]geoMap (21)'!$A:$B,2,0)*VLOOKUP(A48,'[269]geoMap (21)'!$A:$C,3,0)</f>
        <v>23.357129972871828</v>
      </c>
      <c r="X48" s="1">
        <f>W48/VLOOKUP(A48,'[262]geoMap (22)'!$A:$B,2,0)*VLOOKUP(A48,'[262]geoMap (22)'!$A:$C,3,0)</f>
        <v>20.712926579716527</v>
      </c>
      <c r="Y48" s="1">
        <f>X48/VLOOKUP(A48,'[263]geoMap (23)'!$A:$B,2,0)*VLOOKUP(A48,'[263]geoMap (23)'!$A:$C,3,0)</f>
        <v>22.439003794692905</v>
      </c>
      <c r="Z48" s="1">
        <f>Y48/VLOOKUP(A48,'[264]geoMap (24)'!$A:$B,2,0)*VLOOKUP(A48,'[264]geoMap (24)'!$A:$C,3,0)</f>
        <v>13.178462546089483</v>
      </c>
      <c r="AA48" s="1">
        <f>Z48/VLOOKUP(A48,'[265]geoMap (25)'!$A:$B,2,0)*VLOOKUP(A48,'[265]geoMap (25)'!$A:$C,3,0)</f>
        <v>14.860819466866866</v>
      </c>
    </row>
    <row r="49" spans="1:27" x14ac:dyDescent="0.2">
      <c r="A49" s="1" t="s">
        <v>133</v>
      </c>
      <c r="B49" s="1">
        <f>Notes!$C$6*VLOOKUP(A49,[243]geoMap!$A:$B,2,0)</f>
        <v>5000</v>
      </c>
      <c r="C49" s="1">
        <f>B49/VLOOKUP(A49,'[244]geoMap (1)'!$A:$B,2,0)*VLOOKUP(A49,'[244]geoMap (1)'!$A:$C,3,0)</f>
        <v>3196.7213114754099</v>
      </c>
      <c r="D49" s="1">
        <f>C49/VLOOKUP(A49,'[245]geoMap (2)'!$A:$B,2,0)*VLOOKUP(A49,'[245]geoMap (2)'!$A:$C,3,0)</f>
        <v>4600.1599360255896</v>
      </c>
      <c r="E49" s="1">
        <f>D49/VLOOKUP(A49,'[246]geoMap (3)'!$A:$B,2,0)*VLOOKUP(A49,'[246]geoMap (3)'!$A:$C,3,0)</f>
        <v>5187.4143959437497</v>
      </c>
      <c r="F49" s="1">
        <f>E49/VLOOKUP(A49,'[247]geoMap (4)'!$A:$B,2,0)*VLOOKUP(A49,'[247]geoMap (4)'!$A:$C,3,0)</f>
        <v>4418.9085595076385</v>
      </c>
      <c r="G49" s="1">
        <f>F49/VLOOKUP(A49,'[248]geoMap (5)'!$A:$B,2,0)*VLOOKUP(A49,'[248]geoMap (5)'!$A:$C,3,0)</f>
        <v>3070.7669650815792</v>
      </c>
      <c r="H49" s="1">
        <f>G49/VLOOKUP(A49,'[249]geoMap (6)'!$A:$B,2,0)*VLOOKUP(A49,'[249]geoMap (6)'!$A:$C,3,0)</f>
        <v>1135.7631240712692</v>
      </c>
      <c r="I49" s="1">
        <f>H49/VLOOKUP(A49,'[250]geoMap (7)'!$A:$B,2,0)*VLOOKUP(A49,'[250]geoMap (7)'!$A:$C,3,0)</f>
        <v>301.91171652527407</v>
      </c>
      <c r="J49" s="1">
        <f>I49/VLOOKUP(A49,'[251]geoMap (8)'!$A:$B,2,0)*VLOOKUP(A49,'[251]geoMap (8)'!$A:$C,3,0)</f>
        <v>1710.8330603098864</v>
      </c>
      <c r="K49" s="1">
        <f>J49/VLOOKUP(A49,'[252]geoMap (9)'!$A:$B,2,0)*VLOOKUP(A49,'[252]geoMap (9)'!$A:$C,3,0)</f>
        <v>881.33824318994152</v>
      </c>
      <c r="L49" s="1">
        <f>K49/VLOOKUP(A49,'[253]geoMap (10)'!$A:$B,2,0)*VLOOKUP(A49,'[253]geoMap (10)'!$A:$C,3,0)</f>
        <v>612.45538933538307</v>
      </c>
      <c r="M49" s="1">
        <f>L49/VLOOKUP(A49,'[254]geoMap (11)'!$A:$B,2,0)*VLOOKUP(A49,'[254]geoMap (11)'!$A:$C,3,0)</f>
        <v>663.49333844666501</v>
      </c>
      <c r="N49" s="1">
        <f>M49/VLOOKUP(A49,'[255]geoMap (12)'!$A:$B,2,0)*VLOOKUP(A49,'[255]geoMap (12)'!$A:$C,3,0)</f>
        <v>480.46069335792987</v>
      </c>
      <c r="O49" s="1">
        <f>N49/VLOOKUP(A49,'[256]geoMap (13)'!$A:$B,2,0)*VLOOKUP(A49,'[256]geoMap (13)'!$A:$C,3,0)</f>
        <v>393.10420365648804</v>
      </c>
      <c r="P49" s="1">
        <f>O49/VLOOKUP(A49,'[266]geoMap (14)'!$A:$B,2,0)*VLOOKUP(A49,'[266]geoMap (14)'!$A:$C,3,0)</f>
        <v>152.87385697752313</v>
      </c>
      <c r="Q49" s="1">
        <f>P49/VLOOKUP(A49,'[267]geoMap (15)'!$A:$B,2,0)*VLOOKUP(A49,'[267]geoMap (15)'!$A:$C,3,0)</f>
        <v>120.11517333948245</v>
      </c>
      <c r="R49" s="1">
        <f>Q49/VLOOKUP(A49,'[258]geoMap (16)'!$A:$B,2,0)*VLOOKUP(A49,'[258]geoMap (16)'!$A:$C,3,0)</f>
        <v>37.931107370362874</v>
      </c>
      <c r="S49" s="1">
        <f>R49/VLOOKUP(A49,'[259]geoMap (17)'!$A:$B,2,0)*VLOOKUP(A49,'[259]geoMap (17)'!$A:$C,3,0)</f>
        <v>306.89714145111776</v>
      </c>
      <c r="T49" s="1">
        <f>S49/VLOOKUP(A49,'[260]geoMap (18)'!$A:$B,2,0)*VLOOKUP(A49,'[260]geoMap (18)'!$A:$C,3,0)</f>
        <v>86.560732204161425</v>
      </c>
      <c r="U49" s="1">
        <f>T49/VLOOKUP(A49,'[261]geoMap (19)'!$A:$B,2,0)*VLOOKUP(A49,'[261]geoMap (19)'!$A:$C,3,0)</f>
        <v>70.822417257950249</v>
      </c>
      <c r="V49" s="1">
        <f>U49/VLOOKUP(A49,'[268]geoMap (20)'!$A:$B,2,0)*VLOOKUP(A49,'[268]geoMap (20)'!$A:$C,3,0)</f>
        <v>68.045067561560032</v>
      </c>
      <c r="W49" s="1">
        <f>V49/VLOOKUP(A49,'[269]geoMap (21)'!$A:$B,2,0)*VLOOKUP(A49,'[269]geoMap (21)'!$A:$C,3,0)</f>
        <v>41.705041408698079</v>
      </c>
      <c r="X49" s="1">
        <f>W49/VLOOKUP(A49,'[262]geoMap (22)'!$A:$B,2,0)*VLOOKUP(A49,'[262]geoMap (22)'!$A:$C,3,0)</f>
        <v>80.956845087472743</v>
      </c>
      <c r="Y49" s="1">
        <f>X49/VLOOKUP(A49,'[263]geoMap (23)'!$A:$B,2,0)*VLOOKUP(A49,'[263]geoMap (23)'!$A:$C,3,0)</f>
        <v>66.237418707932235</v>
      </c>
      <c r="Z49" s="1">
        <f>Y49/VLOOKUP(A49,'[264]geoMap (24)'!$A:$B,2,0)*VLOOKUP(A49,'[264]geoMap (24)'!$A:$C,3,0)</f>
        <v>22.079139569310744</v>
      </c>
      <c r="AA49" s="1">
        <f>Z49/VLOOKUP(A49,'[265]geoMap (25)'!$A:$B,2,0)*VLOOKUP(A49,'[265]geoMap (25)'!$A:$C,3,0)</f>
        <v>41.00411634300567</v>
      </c>
    </row>
    <row r="50" spans="1:27" x14ac:dyDescent="0.2">
      <c r="A50" s="1" t="s">
        <v>145</v>
      </c>
      <c r="B50" s="1">
        <f>Notes!$C$6*VLOOKUP(A50,[243]geoMap!$A:$B,2,0)</f>
        <v>4000</v>
      </c>
      <c r="C50" s="1">
        <f>B50/VLOOKUP(A50,'[244]geoMap (1)'!$A:$B,2,0)*VLOOKUP(A50,'[244]geoMap (1)'!$A:$C,3,0)</f>
        <v>2153.8461538461534</v>
      </c>
      <c r="D50" s="1">
        <f>C50/VLOOKUP(A50,'[245]geoMap (2)'!$A:$B,2,0)*VLOOKUP(A50,'[245]geoMap (2)'!$A:$C,3,0)</f>
        <v>3230.7692307692296</v>
      </c>
      <c r="E50" s="1">
        <f>D50/VLOOKUP(A50,'[246]geoMap (3)'!$A:$B,2,0)*VLOOKUP(A50,'[246]geoMap (3)'!$A:$C,3,0)</f>
        <v>3792.6421404682264</v>
      </c>
      <c r="F50" s="1">
        <f>E50/VLOOKUP(A50,'[247]geoMap (4)'!$A:$B,2,0)*VLOOKUP(A50,'[247]geoMap (4)'!$A:$C,3,0)</f>
        <v>3363.2864264529549</v>
      </c>
      <c r="G50" s="1">
        <f>F50/VLOOKUP(A50,'[248]geoMap (5)'!$A:$B,2,0)*VLOOKUP(A50,'[248]geoMap (5)'!$A:$C,3,0)</f>
        <v>2435.4832743280022</v>
      </c>
      <c r="H50" s="1">
        <f>G50/VLOOKUP(A50,'[249]geoMap (6)'!$A:$B,2,0)*VLOOKUP(A50,'[249]geoMap (6)'!$A:$C,3,0)</f>
        <v>900.7951836555626</v>
      </c>
      <c r="I50" s="1">
        <f>H50/VLOOKUP(A50,'[250]geoMap (7)'!$A:$B,2,0)*VLOOKUP(A50,'[250]geoMap (7)'!$A:$C,3,0)</f>
        <v>284.46163694386183</v>
      </c>
      <c r="J50" s="1">
        <f>I50/VLOOKUP(A50,'[251]geoMap (8)'!$A:$B,2,0)*VLOOKUP(A50,'[251]geoMap (8)'!$A:$C,3,0)</f>
        <v>1388.842109784737</v>
      </c>
      <c r="K50" s="1">
        <f>J50/VLOOKUP(A50,'[252]geoMap (9)'!$A:$B,2,0)*VLOOKUP(A50,'[252]geoMap (9)'!$A:$C,3,0)</f>
        <v>684.05656153576592</v>
      </c>
      <c r="L50" s="1">
        <f>K50/VLOOKUP(A50,'[253]geoMap (10)'!$A:$B,2,0)*VLOOKUP(A50,'[253]geoMap (10)'!$A:$C,3,0)</f>
        <v>437.34763770319461</v>
      </c>
      <c r="M50" s="1">
        <f>L50/VLOOKUP(A50,'[254]geoMap (11)'!$A:$B,2,0)*VLOOKUP(A50,'[254]geoMap (11)'!$A:$C,3,0)</f>
        <v>579.7398918391184</v>
      </c>
      <c r="N50" s="1">
        <f>M50/VLOOKUP(A50,'[255]geoMap (12)'!$A:$B,2,0)*VLOOKUP(A50,'[255]geoMap (12)'!$A:$C,3,0)</f>
        <v>419.81164581453407</v>
      </c>
      <c r="O50" s="1">
        <f>N50/VLOOKUP(A50,'[256]geoMap (13)'!$A:$B,2,0)*VLOOKUP(A50,'[256]geoMap (13)'!$A:$C,3,0)</f>
        <v>357.61732791608461</v>
      </c>
      <c r="P50" s="1">
        <f>O50/VLOOKUP(A50,'[266]geoMap (14)'!$A:$B,2,0)*VLOOKUP(A50,'[266]geoMap (14)'!$A:$C,3,0)</f>
        <v>248.51373634846559</v>
      </c>
      <c r="Q50" s="1">
        <f>P50/VLOOKUP(A50,'[267]geoMap (15)'!$A:$B,2,0)*VLOOKUP(A50,'[267]geoMap (15)'!$A:$C,3,0)</f>
        <v>122.40228805222931</v>
      </c>
      <c r="R50" s="1">
        <f>Q50/VLOOKUP(A50,'[258]geoMap (16)'!$A:$B,2,0)*VLOOKUP(A50,'[258]geoMap (16)'!$A:$C,3,0)</f>
        <v>40.800762684076439</v>
      </c>
      <c r="S50" s="1">
        <f>R50/VLOOKUP(A50,'[259]geoMap (17)'!$A:$B,2,0)*VLOOKUP(A50,'[259]geoMap (17)'!$A:$C,3,0)</f>
        <v>199.20372369284377</v>
      </c>
      <c r="T50" s="1">
        <f>S50/VLOOKUP(A50,'[260]geoMap (18)'!$A:$B,2,0)*VLOOKUP(A50,'[260]geoMap (18)'!$A:$C,3,0)</f>
        <v>56.185665656955933</v>
      </c>
      <c r="U50" s="1">
        <f>T50/VLOOKUP(A50,'[261]geoMap (19)'!$A:$B,2,0)*VLOOKUP(A50,'[261]geoMap (19)'!$A:$C,3,0)</f>
        <v>65.957085771209137</v>
      </c>
      <c r="V50" s="1">
        <f>U50/VLOOKUP(A50,'[268]geoMap (20)'!$A:$B,2,0)*VLOOKUP(A50,'[268]geoMap (20)'!$A:$C,3,0)</f>
        <v>47.762027627427308</v>
      </c>
      <c r="W50" s="1">
        <f>V50/VLOOKUP(A50,'[269]geoMap (21)'!$A:$B,2,0)*VLOOKUP(A50,'[269]geoMap (21)'!$A:$C,3,0)</f>
        <v>65.957085771209137</v>
      </c>
      <c r="X50" s="1">
        <f>W50/VLOOKUP(A50,'[262]geoMap (22)'!$A:$B,2,0)*VLOOKUP(A50,'[262]geoMap (22)'!$A:$C,3,0)</f>
        <v>58.490245872581681</v>
      </c>
      <c r="Y50" s="1">
        <f>X50/VLOOKUP(A50,'[263]geoMap (23)'!$A:$B,2,0)*VLOOKUP(A50,'[263]geoMap (23)'!$A:$C,3,0)</f>
        <v>51.868708603987528</v>
      </c>
      <c r="Z50" s="1">
        <f>Y50/VLOOKUP(A50,'[264]geoMap (24)'!$A:$B,2,0)*VLOOKUP(A50,'[264]geoMap (24)'!$A:$C,3,0)</f>
        <v>24.408804048935306</v>
      </c>
      <c r="AA50" s="1">
        <f>Z50/VLOOKUP(A50,'[265]geoMap (25)'!$A:$B,2,0)*VLOOKUP(A50,'[265]geoMap (25)'!$A:$C,3,0)</f>
        <v>219.67923644041772</v>
      </c>
    </row>
    <row r="51" spans="1:27" x14ac:dyDescent="0.2">
      <c r="A51" s="1" t="s">
        <v>142</v>
      </c>
      <c r="B51" s="1">
        <f>Notes!$C$6*VLOOKUP(A51,[243]geoMap!$A:$B,2,0)</f>
        <v>5000</v>
      </c>
      <c r="C51" s="1">
        <f>B51/VLOOKUP(A51,'[244]geoMap (1)'!$A:$B,2,0)*VLOOKUP(A51,'[244]geoMap (1)'!$A:$C,3,0)</f>
        <v>2246.376811594203</v>
      </c>
      <c r="D51" s="1">
        <f>C51/VLOOKUP(A51,'[245]geoMap (2)'!$A:$B,2,0)*VLOOKUP(A51,'[245]geoMap (2)'!$A:$C,3,0)</f>
        <v>3102.1394064872325</v>
      </c>
      <c r="E51" s="1">
        <f>D51/VLOOKUP(A51,'[246]geoMap (3)'!$A:$B,2,0)*VLOOKUP(A51,'[246]geoMap (3)'!$A:$C,3,0)</f>
        <v>2437.395247954254</v>
      </c>
      <c r="F51" s="1">
        <f>E51/VLOOKUP(A51,'[247]geoMap (4)'!$A:$B,2,0)*VLOOKUP(A51,'[247]geoMap (4)'!$A:$C,3,0)</f>
        <v>1915.0962662497707</v>
      </c>
      <c r="G51" s="1">
        <f>F51/VLOOKUP(A51,'[248]geoMap (5)'!$A:$B,2,0)*VLOOKUP(A51,'[248]geoMap (5)'!$A:$C,3,0)</f>
        <v>1444.7217447147395</v>
      </c>
      <c r="H51" s="1">
        <f>G51/VLOOKUP(A51,'[249]geoMap (6)'!$A:$B,2,0)*VLOOKUP(A51,'[249]geoMap (6)'!$A:$C,3,0)</f>
        <v>1135.1385137044381</v>
      </c>
      <c r="I51" s="1">
        <f>H51/VLOOKUP(A51,'[250]geoMap (7)'!$A:$B,2,0)*VLOOKUP(A51,'[250]geoMap (7)'!$A:$C,3,0)</f>
        <v>112.26644641032904</v>
      </c>
      <c r="J51" s="1">
        <f>I51/VLOOKUP(A51,'[251]geoMap (8)'!$A:$B,2,0)*VLOOKUP(A51,'[251]geoMap (8)'!$A:$C,3,0)</f>
        <v>823.28727367574629</v>
      </c>
      <c r="K51" s="1">
        <f>J51/VLOOKUP(A51,'[252]geoMap (9)'!$A:$B,2,0)*VLOOKUP(A51,'[252]geoMap (9)'!$A:$C,3,0)</f>
        <v>621.07636435187885</v>
      </c>
      <c r="L51" s="1">
        <f>K51/VLOOKUP(A51,'[253]geoMap (10)'!$A:$B,2,0)*VLOOKUP(A51,'[253]geoMap (10)'!$A:$C,3,0)</f>
        <v>305.9032839345075</v>
      </c>
      <c r="M51" s="1">
        <f>L51/VLOOKUP(A51,'[254]geoMap (11)'!$A:$B,2,0)*VLOOKUP(A51,'[254]geoMap (11)'!$A:$C,3,0)</f>
        <v>91.373708188229514</v>
      </c>
      <c r="N51" s="1">
        <f>M51/VLOOKUP(A51,'[255]geoMap (12)'!$A:$B,2,0)*VLOOKUP(A51,'[255]geoMap (12)'!$A:$C,3,0)</f>
        <v>365.49483275291806</v>
      </c>
      <c r="O51" s="1">
        <f>N51/VLOOKUP(A51,'[256]geoMap (13)'!$A:$B,2,0)*VLOOKUP(A51,'[256]geoMap (13)'!$A:$C,3,0)</f>
        <v>264.66867199349241</v>
      </c>
      <c r="P51" s="1">
        <f>O51/VLOOKUP(A51,'[266]geoMap (14)'!$A:$B,2,0)*VLOOKUP(A51,'[266]geoMap (14)'!$A:$C,3,0)</f>
        <v>108.1041054621307</v>
      </c>
      <c r="Q51" s="1">
        <f>P51/VLOOKUP(A51,'[267]geoMap (15)'!$A:$B,2,0)*VLOOKUP(A51,'[267]geoMap (15)'!$A:$C,3,0)</f>
        <v>44.155198005659017</v>
      </c>
      <c r="R51" s="1">
        <f>Q51/VLOOKUP(A51,'[258]geoMap (16)'!$A:$B,2,0)*VLOOKUP(A51,'[258]geoMap (16)'!$A:$C,3,0)</f>
        <v>23.775875849201004</v>
      </c>
      <c r="S51" s="1">
        <f>R51/VLOOKUP(A51,'[259]geoMap (17)'!$A:$B,2,0)*VLOOKUP(A51,'[259]geoMap (17)'!$A:$C,3,0)</f>
        <v>61.137966469374</v>
      </c>
      <c r="T51" s="1">
        <f>S51/VLOOKUP(A51,'[260]geoMap (18)'!$A:$B,2,0)*VLOOKUP(A51,'[260]geoMap (18)'!$A:$C,3,0)</f>
        <v>71.770656290134696</v>
      </c>
      <c r="U51" s="1">
        <f>T51/VLOOKUP(A51,'[261]geoMap (19)'!$A:$B,2,0)*VLOOKUP(A51,'[261]geoMap (19)'!$A:$C,3,0)</f>
        <v>27.910810779496828</v>
      </c>
      <c r="V51" s="1">
        <f>U51/VLOOKUP(A51,'[268]geoMap (20)'!$A:$B,2,0)*VLOOKUP(A51,'[268]geoMap (20)'!$A:$C,3,0)</f>
        <v>21.055523921374803</v>
      </c>
      <c r="W51" s="1">
        <f>V51/VLOOKUP(A51,'[269]geoMap (21)'!$A:$B,2,0)*VLOOKUP(A51,'[269]geoMap (21)'!$A:$C,3,0)</f>
        <v>21.055523921374803</v>
      </c>
      <c r="X51" s="1">
        <f>W51/VLOOKUP(A51,'[262]geoMap (22)'!$A:$B,2,0)*VLOOKUP(A51,'[262]geoMap (22)'!$A:$C,3,0)</f>
        <v>16.543625938223059</v>
      </c>
      <c r="Y51" s="1">
        <f>X51/VLOOKUP(A51,'[263]geoMap (23)'!$A:$B,2,0)*VLOOKUP(A51,'[263]geoMap (23)'!$A:$C,3,0)</f>
        <v>14.092718391819643</v>
      </c>
      <c r="Z51" s="1">
        <f>Y51/VLOOKUP(A51,'[264]geoMap (24)'!$A:$B,2,0)*VLOOKUP(A51,'[264]geoMap (24)'!$A:$C,3,0)</f>
        <v>18.681045310086503</v>
      </c>
      <c r="AA51" s="1">
        <f>Z51/VLOOKUP(A51,'[265]geoMap (25)'!$A:$B,2,0)*VLOOKUP(A51,'[265]geoMap (25)'!$A:$C,3,0)</f>
        <v>114.75499261910279</v>
      </c>
    </row>
    <row r="52" spans="1:27" x14ac:dyDescent="0.2">
      <c r="A52" s="1" t="s">
        <v>128</v>
      </c>
      <c r="B52" s="1">
        <f>Notes!$C$6*VLOOKUP(A52,[243]geoMap!$A:$B,2,0)</f>
        <v>4000</v>
      </c>
      <c r="C52" s="1">
        <f>B52/VLOOKUP(A52,'[244]geoMap (1)'!$A:$B,2,0)*VLOOKUP(A52,'[244]geoMap (1)'!$A:$C,3,0)</f>
        <v>1797.1014492753625</v>
      </c>
      <c r="D52" s="1">
        <f>C52/VLOOKUP(A52,'[245]geoMap (2)'!$A:$B,2,0)*VLOOKUP(A52,'[245]geoMap (2)'!$A:$C,3,0)</f>
        <v>3337.4741200828162</v>
      </c>
      <c r="E52" s="1">
        <f>D52/VLOOKUP(A52,'[246]geoMap (3)'!$A:$B,2,0)*VLOOKUP(A52,'[246]geoMap (3)'!$A:$C,3,0)</f>
        <v>2319.2616766677197</v>
      </c>
      <c r="F52" s="1">
        <f>E52/VLOOKUP(A52,'[247]geoMap (4)'!$A:$B,2,0)*VLOOKUP(A52,'[247]geoMap (4)'!$A:$C,3,0)</f>
        <v>2512.5334830566967</v>
      </c>
      <c r="G52" s="1">
        <f>F52/VLOOKUP(A52,'[248]geoMap (5)'!$A:$B,2,0)*VLOOKUP(A52,'[248]geoMap (5)'!$A:$C,3,0)</f>
        <v>2615.0858701202355</v>
      </c>
      <c r="H52" s="1">
        <f>G52/VLOOKUP(A52,'[249]geoMap (6)'!$A:$B,2,0)*VLOOKUP(A52,'[249]geoMap (6)'!$A:$C,3,0)</f>
        <v>2319.0384131254918</v>
      </c>
      <c r="I52" s="1">
        <f>H52/VLOOKUP(A52,'[250]geoMap (7)'!$A:$B,2,0)*VLOOKUP(A52,'[250]geoMap (7)'!$A:$C,3,0)</f>
        <v>148.02372849737182</v>
      </c>
      <c r="J52" s="1">
        <f>I52/VLOOKUP(A52,'[251]geoMap (8)'!$A:$B,2,0)*VLOOKUP(A52,'[251]geoMap (8)'!$A:$C,3,0)</f>
        <v>1966.6009643222258</v>
      </c>
      <c r="K52" s="1">
        <f>J52/VLOOKUP(A52,'[252]geoMap (9)'!$A:$B,2,0)*VLOOKUP(A52,'[252]geoMap (9)'!$A:$C,3,0)</f>
        <v>803.2595488076696</v>
      </c>
      <c r="L52" s="1">
        <f>K52/VLOOKUP(A52,'[253]geoMap (10)'!$A:$B,2,0)*VLOOKUP(A52,'[253]geoMap (10)'!$A:$C,3,0)</f>
        <v>239.93467042307014</v>
      </c>
      <c r="M52" s="1">
        <f>L52/VLOOKUP(A52,'[254]geoMap (11)'!$A:$B,2,0)*VLOOKUP(A52,'[254]geoMap (11)'!$A:$C,3,0)</f>
        <v>259.92922629165935</v>
      </c>
      <c r="N52" s="1">
        <f>M52/VLOOKUP(A52,'[255]geoMap (12)'!$A:$B,2,0)*VLOOKUP(A52,'[255]geoMap (12)'!$A:$C,3,0)</f>
        <v>424.09505342323371</v>
      </c>
      <c r="O52" s="1">
        <f>N52/VLOOKUP(A52,'[256]geoMap (13)'!$A:$B,2,0)*VLOOKUP(A52,'[256]geoMap (13)'!$A:$C,3,0)</f>
        <v>271.14273907387076</v>
      </c>
      <c r="P52" s="1">
        <f>O52/VLOOKUP(A52,'[266]geoMap (14)'!$A:$B,2,0)*VLOOKUP(A52,'[266]geoMap (14)'!$A:$C,3,0)</f>
        <v>152.51779072905231</v>
      </c>
      <c r="Q52" s="1">
        <f>P52/VLOOKUP(A52,'[267]geoMap (15)'!$A:$B,2,0)*VLOOKUP(A52,'[267]geoMap (15)'!$A:$C,3,0)</f>
        <v>119.83540700139822</v>
      </c>
      <c r="R52" s="1">
        <f>Q52/VLOOKUP(A52,'[258]geoMap (16)'!$A:$B,2,0)*VLOOKUP(A52,'[258]geoMap (16)'!$A:$C,3,0)</f>
        <v>9.0198693441912656</v>
      </c>
      <c r="S52" s="1">
        <f>R52/VLOOKUP(A52,'[259]geoMap (17)'!$A:$B,2,0)*VLOOKUP(A52,'[259]geoMap (17)'!$A:$C,3,0)</f>
        <v>171.37751753963403</v>
      </c>
      <c r="T52" s="1">
        <f>S52/VLOOKUP(A52,'[260]geoMap (18)'!$A:$B,2,0)*VLOOKUP(A52,'[260]geoMap (18)'!$A:$C,3,0)</f>
        <v>60.213722378790344</v>
      </c>
      <c r="U52" s="1">
        <f>T52/VLOOKUP(A52,'[261]geoMap (19)'!$A:$B,2,0)*VLOOKUP(A52,'[261]geoMap (19)'!$A:$C,3,0)</f>
        <v>11.469280453102922</v>
      </c>
      <c r="V52" s="1">
        <f>U52/VLOOKUP(A52,'[268]geoMap (20)'!$A:$B,2,0)*VLOOKUP(A52,'[268]geoMap (20)'!$A:$C,3,0)</f>
        <v>6.1757663978246491</v>
      </c>
      <c r="W52" s="1">
        <f>V52/VLOOKUP(A52,'[269]geoMap (21)'!$A:$B,2,0)*VLOOKUP(A52,'[269]geoMap (21)'!$A:$C,3,0)</f>
        <v>23.232645020387967</v>
      </c>
      <c r="X52" s="1">
        <f>W52/VLOOKUP(A52,'[262]geoMap (22)'!$A:$B,2,0)*VLOOKUP(A52,'[262]geoMap (22)'!$A:$C,3,0)</f>
        <v>9.9568478658805564</v>
      </c>
      <c r="Y52" s="1">
        <f>X52/VLOOKUP(A52,'[263]geoMap (23)'!$A:$B,2,0)*VLOOKUP(A52,'[263]geoMap (23)'!$A:$C,3,0)</f>
        <v>39.827391463522225</v>
      </c>
      <c r="Z52" s="1">
        <f>Y52/VLOOKUP(A52,'[264]geoMap (24)'!$A:$B,2,0)*VLOOKUP(A52,'[264]geoMap (24)'!$A:$C,3,0)</f>
        <v>9.9568478658805564</v>
      </c>
      <c r="AA52" s="1">
        <f>Z52/VLOOKUP(A52,'[265]geoMap (25)'!$A:$B,2,0)*VLOOKUP(A52,'[265]geoMap (25)'!$A:$C,3,0)</f>
        <v>20.215418394363553</v>
      </c>
    </row>
    <row r="53" spans="1:27" x14ac:dyDescent="0.2">
      <c r="A53" s="1" t="s">
        <v>154</v>
      </c>
      <c r="B53" s="1">
        <f>Notes!$C$6*VLOOKUP(A53,[243]geoMap!$A:$B,2,0)</f>
        <v>5000</v>
      </c>
      <c r="C53" s="1">
        <f>B53/VLOOKUP(A53,'[244]geoMap (1)'!$A:$B,2,0)*VLOOKUP(A53,'[244]geoMap (1)'!$A:$C,3,0)</f>
        <v>1329.1139240506329</v>
      </c>
      <c r="D53" s="1">
        <f>C53/VLOOKUP(A53,'[245]geoMap (2)'!$A:$B,2,0)*VLOOKUP(A53,'[245]geoMap (2)'!$A:$C,3,0)</f>
        <v>2078.8704965920156</v>
      </c>
      <c r="E53" s="1">
        <f>D53/VLOOKUP(A53,'[246]geoMap (3)'!$A:$B,2,0)*VLOOKUP(A53,'[246]geoMap (3)'!$A:$C,3,0)</f>
        <v>1843.5266667891456</v>
      </c>
      <c r="F53" s="1">
        <f>E53/VLOOKUP(A53,'[247]geoMap (4)'!$A:$B,2,0)*VLOOKUP(A53,'[247]geoMap (4)'!$A:$C,3,0)</f>
        <v>1634.825534699808</v>
      </c>
      <c r="G53" s="1">
        <f>F53/VLOOKUP(A53,'[248]geoMap (5)'!$A:$B,2,0)*VLOOKUP(A53,'[248]geoMap (5)'!$A:$C,3,0)</f>
        <v>1089.8836897998722</v>
      </c>
      <c r="H53" s="1">
        <f>G53/VLOOKUP(A53,'[249]geoMap (6)'!$A:$B,2,0)*VLOOKUP(A53,'[249]geoMap (6)'!$A:$C,3,0)</f>
        <v>1047.1431529449751</v>
      </c>
      <c r="I53" s="1">
        <f>H53/VLOOKUP(A53,'[250]geoMap (7)'!$A:$B,2,0)*VLOOKUP(A53,'[250]geoMap (7)'!$A:$C,3,0)</f>
        <v>116.34923921610834</v>
      </c>
      <c r="J53" s="1">
        <f>I53/VLOOKUP(A53,'[251]geoMap (8)'!$A:$B,2,0)*VLOOKUP(A53,'[251]geoMap (8)'!$A:$C,3,0)</f>
        <v>659.31235555794728</v>
      </c>
      <c r="K53" s="1">
        <f>J53/VLOOKUP(A53,'[252]geoMap (9)'!$A:$B,2,0)*VLOOKUP(A53,'[252]geoMap (9)'!$A:$C,3,0)</f>
        <v>296.21279742458506</v>
      </c>
      <c r="L53" s="1">
        <f>K53/VLOOKUP(A53,'[253]geoMap (10)'!$A:$B,2,0)*VLOOKUP(A53,'[253]geoMap (10)'!$A:$C,3,0)</f>
        <v>145.89585544792996</v>
      </c>
      <c r="M53" s="1">
        <f>L53/VLOOKUP(A53,'[254]geoMap (11)'!$A:$B,2,0)*VLOOKUP(A53,'[254]geoMap (11)'!$A:$C,3,0)</f>
        <v>357.19330126906993</v>
      </c>
      <c r="N53" s="1">
        <f>M53/VLOOKUP(A53,'[255]geoMap (12)'!$A:$B,2,0)*VLOOKUP(A53,'[255]geoMap (12)'!$A:$C,3,0)</f>
        <v>175.93102898327325</v>
      </c>
      <c r="O53" s="1">
        <f>N53/VLOOKUP(A53,'[256]geoMap (13)'!$A:$B,2,0)*VLOOKUP(A53,'[256]geoMap (13)'!$A:$C,3,0)</f>
        <v>215.02681320177845</v>
      </c>
      <c r="P53" s="1">
        <f>O53/VLOOKUP(A53,'[266]geoMap (14)'!$A:$B,2,0)*VLOOKUP(A53,'[266]geoMap (14)'!$A:$C,3,0)</f>
        <v>96.60624940949468</v>
      </c>
      <c r="Q53" s="1">
        <f>P53/VLOOKUP(A53,'[267]geoMap (15)'!$A:$B,2,0)*VLOOKUP(A53,'[267]geoMap (15)'!$A:$C,3,0)</f>
        <v>92.817769040494895</v>
      </c>
      <c r="R53" s="1">
        <f>Q53/VLOOKUP(A53,'[258]geoMap (16)'!$A:$B,2,0)*VLOOKUP(A53,'[258]geoMap (16)'!$A:$C,3,0)</f>
        <v>20.374632228401317</v>
      </c>
      <c r="S53" s="1">
        <f>R53/VLOOKUP(A53,'[259]geoMap (17)'!$A:$B,2,0)*VLOOKUP(A53,'[259]geoMap (17)'!$A:$C,3,0)</f>
        <v>81.49852891360527</v>
      </c>
      <c r="T53" s="1">
        <f>S53/VLOOKUP(A53,'[260]geoMap (18)'!$A:$B,2,0)*VLOOKUP(A53,'[260]geoMap (18)'!$A:$C,3,0)</f>
        <v>45.842922513902963</v>
      </c>
      <c r="U53" s="1">
        <f>T53/VLOOKUP(A53,'[261]geoMap (19)'!$A:$B,2,0)*VLOOKUP(A53,'[261]geoMap (19)'!$A:$C,3,0)</f>
        <v>25.786643914070414</v>
      </c>
      <c r="V53" s="1">
        <f>U53/VLOOKUP(A53,'[268]geoMap (20)'!$A:$B,2,0)*VLOOKUP(A53,'[268]geoMap (20)'!$A:$C,3,0)</f>
        <v>5.6604828104057008</v>
      </c>
      <c r="W53" s="1">
        <f>V53/VLOOKUP(A53,'[269]geoMap (21)'!$A:$B,2,0)*VLOOKUP(A53,'[269]geoMap (21)'!$A:$C,3,0)</f>
        <v>13.858423432372577</v>
      </c>
      <c r="X53" s="1">
        <f>W53/VLOOKUP(A53,'[262]geoMap (22)'!$A:$B,2,0)*VLOOKUP(A53,'[262]geoMap (22)'!$A:$C,3,0)</f>
        <v>15.627583870547801</v>
      </c>
      <c r="Y53" s="1">
        <f>X53/VLOOKUP(A53,'[263]geoMap (23)'!$A:$B,2,0)*VLOOKUP(A53,'[263]geoMap (23)'!$A:$C,3,0)</f>
        <v>23.4413758058217</v>
      </c>
      <c r="Z53" s="1">
        <f>Y53/VLOOKUP(A53,'[264]geoMap (24)'!$A:$B,2,0)*VLOOKUP(A53,'[264]geoMap (24)'!$A:$C,3,0)</f>
        <v>24.398166655038914</v>
      </c>
      <c r="AA53" s="1">
        <f>Z53/VLOOKUP(A53,'[265]geoMap (25)'!$A:$B,2,0)*VLOOKUP(A53,'[265]geoMap (25)'!$A:$C,3,0)</f>
        <v>17.667637922614386</v>
      </c>
    </row>
    <row r="54" spans="1:27" x14ac:dyDescent="0.2">
      <c r="A54" s="1" t="s">
        <v>147</v>
      </c>
      <c r="B54" s="1">
        <f>Notes!$C$6*VLOOKUP(A54,[243]geoMap!$A:$B,2,0)</f>
        <v>4000</v>
      </c>
      <c r="C54" s="1">
        <f>B54/VLOOKUP(A54,'[244]geoMap (1)'!$A:$B,2,0)*VLOOKUP(A54,'[244]geoMap (1)'!$A:$C,3,0)</f>
        <v>1000</v>
      </c>
      <c r="D54" s="1">
        <f>C54/VLOOKUP(A54,'[245]geoMap (2)'!$A:$B,2,0)*VLOOKUP(A54,'[245]geoMap (2)'!$A:$C,3,0)</f>
        <v>2125</v>
      </c>
      <c r="E54" s="1">
        <f>D54/VLOOKUP(A54,'[246]geoMap (3)'!$A:$B,2,0)*VLOOKUP(A54,'[246]geoMap (3)'!$A:$C,3,0)</f>
        <v>3777.7777777777783</v>
      </c>
      <c r="F54" s="1">
        <f>E54/VLOOKUP(A54,'[247]geoMap (4)'!$A:$B,2,0)*VLOOKUP(A54,'[247]geoMap (4)'!$A:$C,3,0)</f>
        <v>2968.2539682539687</v>
      </c>
      <c r="G54" s="1">
        <f>F54/VLOOKUP(A54,'[248]geoMap (5)'!$A:$B,2,0)*VLOOKUP(A54,'[248]geoMap (5)'!$A:$C,3,0)</f>
        <v>1396.8253968253971</v>
      </c>
      <c r="H54" s="1">
        <f>G54/VLOOKUP(A54,'[249]geoMap (6)'!$A:$B,2,0)*VLOOKUP(A54,'[249]geoMap (6)'!$A:$C,3,0)</f>
        <v>820.3577727387252</v>
      </c>
      <c r="I54" s="1">
        <f>H54/VLOOKUP(A54,'[250]geoMap (7)'!$A:$B,2,0)*VLOOKUP(A54,'[250]geoMap (7)'!$A:$C,3,0)</f>
        <v>122.58219592647619</v>
      </c>
      <c r="J54" s="1">
        <f>I54/VLOOKUP(A54,'[251]geoMap (8)'!$A:$B,2,0)*VLOOKUP(A54,'[251]geoMap (8)'!$A:$C,3,0)</f>
        <v>820.3577727387252</v>
      </c>
      <c r="K54" s="1">
        <f>J54/VLOOKUP(A54,'[252]geoMap (9)'!$A:$B,2,0)*VLOOKUP(A54,'[252]geoMap (9)'!$A:$C,3,0)</f>
        <v>618.86638996079273</v>
      </c>
      <c r="L54" s="1">
        <f>K54/VLOOKUP(A54,'[253]geoMap (10)'!$A:$B,2,0)*VLOOKUP(A54,'[253]geoMap (10)'!$A:$C,3,0)</f>
        <v>265.22845284033974</v>
      </c>
      <c r="M54" s="1">
        <f>L54/VLOOKUP(A54,'[254]geoMap (11)'!$A:$B,2,0)*VLOOKUP(A54,'[254]geoMap (11)'!$A:$C,3,0)</f>
        <v>311.35514029083362</v>
      </c>
      <c r="N54" s="1">
        <f>M54/VLOOKUP(A54,'[255]geoMap (12)'!$A:$B,2,0)*VLOOKUP(A54,'[255]geoMap (12)'!$A:$C,3,0)</f>
        <v>146.52006601921582</v>
      </c>
      <c r="O54" s="1">
        <f>N54/VLOOKUP(A54,'[256]geoMap (13)'!$A:$B,2,0)*VLOOKUP(A54,'[256]geoMap (13)'!$A:$C,3,0)</f>
        <v>326.12530823631903</v>
      </c>
      <c r="P54" s="1">
        <f>O54/VLOOKUP(A54,'[266]geoMap (14)'!$A:$B,2,0)*VLOOKUP(A54,'[266]geoMap (14)'!$A:$C,3,0)</f>
        <v>160.62888316117207</v>
      </c>
      <c r="Q54" s="1">
        <f>P54/VLOOKUP(A54,'[267]geoMap (15)'!$A:$B,2,0)*VLOOKUP(A54,'[267]geoMap (15)'!$A:$C,3,0)</f>
        <v>90.353746778159291</v>
      </c>
      <c r="R54" s="1">
        <f>Q54/VLOOKUP(A54,'[258]geoMap (16)'!$A:$B,2,0)*VLOOKUP(A54,'[258]geoMap (16)'!$A:$C,3,0)</f>
        <v>13.501134576046791</v>
      </c>
      <c r="S54" s="1">
        <f>R54/VLOOKUP(A54,'[259]geoMap (17)'!$A:$B,2,0)*VLOOKUP(A54,'[259]geoMap (17)'!$A:$C,3,0)</f>
        <v>82.935540967144561</v>
      </c>
      <c r="T54" s="1">
        <f>S54/VLOOKUP(A54,'[260]geoMap (18)'!$A:$B,2,0)*VLOOKUP(A54,'[260]geoMap (18)'!$A:$C,3,0)</f>
        <v>29.139514393861603</v>
      </c>
      <c r="U54" s="1">
        <f>T54/VLOOKUP(A54,'[261]geoMap (19)'!$A:$B,2,0)*VLOOKUP(A54,'[261]geoMap (19)'!$A:$C,3,0)</f>
        <v>17.859702370431307</v>
      </c>
      <c r="V54" s="1">
        <f>U54/VLOOKUP(A54,'[268]geoMap (20)'!$A:$B,2,0)*VLOOKUP(A54,'[268]geoMap (20)'!$A:$C,3,0)</f>
        <v>17.859702370431307</v>
      </c>
      <c r="W54" s="1">
        <f>V54/VLOOKUP(A54,'[269]geoMap (21)'!$A:$B,2,0)*VLOOKUP(A54,'[269]geoMap (21)'!$A:$C,3,0)</f>
        <v>20.139664375167222</v>
      </c>
      <c r="X54" s="1">
        <f>W54/VLOOKUP(A54,'[262]geoMap (22)'!$A:$B,2,0)*VLOOKUP(A54,'[262]geoMap (22)'!$A:$C,3,0)</f>
        <v>21.817969739764493</v>
      </c>
      <c r="Y54" s="1">
        <f>X54/VLOOKUP(A54,'[263]geoMap (23)'!$A:$B,2,0)*VLOOKUP(A54,'[263]geoMap (23)'!$A:$C,3,0)</f>
        <v>27.768325123336631</v>
      </c>
      <c r="Z54" s="1">
        <f>Y54/VLOOKUP(A54,'[264]geoMap (24)'!$A:$B,2,0)*VLOOKUP(A54,'[264]geoMap (24)'!$A:$C,3,0)</f>
        <v>22.719538737275425</v>
      </c>
      <c r="AA54" s="1">
        <f>Z54/VLOOKUP(A54,'[265]geoMap (25)'!$A:$B,2,0)*VLOOKUP(A54,'[265]geoMap (25)'!$A:$C,3,0)</f>
        <v>17.139301152681462</v>
      </c>
    </row>
    <row r="55" spans="1:27" x14ac:dyDescent="0.2">
      <c r="A55" s="1" t="s">
        <v>150</v>
      </c>
      <c r="B55" s="1">
        <f>Notes!$C$6*VLOOKUP(A55,[243]geoMap!$A:$B,2,0)</f>
        <v>4000</v>
      </c>
      <c r="C55" s="1">
        <f>B55/VLOOKUP(A55,'[244]geoMap (1)'!$A:$B,2,0)*VLOOKUP(A55,'[244]geoMap (1)'!$A:$C,3,0)</f>
        <v>761.90476190476204</v>
      </c>
      <c r="D55" s="1">
        <f>C55/VLOOKUP(A55,'[245]geoMap (2)'!$A:$B,2,0)*VLOOKUP(A55,'[245]geoMap (2)'!$A:$C,3,0)</f>
        <v>1865.3530377668314</v>
      </c>
      <c r="E55" s="1">
        <f>D55/VLOOKUP(A55,'[246]geoMap (3)'!$A:$B,2,0)*VLOOKUP(A55,'[246]geoMap (3)'!$A:$C,3,0)</f>
        <v>3043.4707458300932</v>
      </c>
      <c r="F55" s="1">
        <f>E55/VLOOKUP(A55,'[247]geoMap (4)'!$A:$B,2,0)*VLOOKUP(A55,'[247]geoMap (4)'!$A:$C,3,0)</f>
        <v>3167.6940415782606</v>
      </c>
      <c r="G55" s="1">
        <f>F55/VLOOKUP(A55,'[248]geoMap (5)'!$A:$B,2,0)*VLOOKUP(A55,'[248]geoMap (5)'!$A:$C,3,0)</f>
        <v>1293.8468620530923</v>
      </c>
      <c r="H55" s="1">
        <f>G55/VLOOKUP(A55,'[249]geoMap (6)'!$A:$B,2,0)*VLOOKUP(A55,'[249]geoMap (6)'!$A:$C,3,0)</f>
        <v>1346.6569380552594</v>
      </c>
      <c r="I55" s="1">
        <f>H55/VLOOKUP(A55,'[250]geoMap (7)'!$A:$B,2,0)*VLOOKUP(A55,'[250]geoMap (7)'!$A:$C,3,0)</f>
        <v>101.36127490738512</v>
      </c>
      <c r="J55" s="1">
        <f>I55/VLOOKUP(A55,'[251]geoMap (8)'!$A:$B,2,0)*VLOOKUP(A55,'[251]geoMap (8)'!$A:$C,3,0)</f>
        <v>820.10486061429788</v>
      </c>
      <c r="K55" s="1">
        <f>J55/VLOOKUP(A55,'[252]geoMap (9)'!$A:$B,2,0)*VLOOKUP(A55,'[252]geoMap (9)'!$A:$C,3,0)</f>
        <v>727.26280092211323</v>
      </c>
      <c r="L55" s="1">
        <f>K55/VLOOKUP(A55,'[253]geoMap (10)'!$A:$B,2,0)*VLOOKUP(A55,'[253]geoMap (10)'!$A:$C,3,0)</f>
        <v>358.20406612581701</v>
      </c>
      <c r="M55" s="1">
        <f>L55/VLOOKUP(A55,'[254]geoMap (11)'!$A:$B,2,0)*VLOOKUP(A55,'[254]geoMap (11)'!$A:$C,3,0)</f>
        <v>330.64990719306184</v>
      </c>
      <c r="N55" s="1">
        <f>M55/VLOOKUP(A55,'[255]geoMap (12)'!$A:$B,2,0)*VLOOKUP(A55,'[255]geoMap (12)'!$A:$C,3,0)</f>
        <v>141.70710308274079</v>
      </c>
      <c r="O55" s="1">
        <f>N55/VLOOKUP(A55,'[256]geoMap (13)'!$A:$B,2,0)*VLOOKUP(A55,'[256]geoMap (13)'!$A:$C,3,0)</f>
        <v>275.07849421943797</v>
      </c>
      <c r="P55" s="1">
        <f>O55/VLOOKUP(A55,'[266]geoMap (14)'!$A:$B,2,0)*VLOOKUP(A55,'[266]geoMap (14)'!$A:$C,3,0)</f>
        <v>243.93753260969027</v>
      </c>
      <c r="Q55" s="1">
        <f>P55/VLOOKUP(A55,'[267]geoMap (15)'!$A:$B,2,0)*VLOOKUP(A55,'[267]geoMap (15)'!$A:$C,3,0)</f>
        <v>155.96006183242491</v>
      </c>
      <c r="R55" s="1">
        <f>Q55/VLOOKUP(A55,'[258]geoMap (16)'!$A:$B,2,0)*VLOOKUP(A55,'[258]geoMap (16)'!$A:$C,3,0)</f>
        <v>15.424621499910156</v>
      </c>
      <c r="S55" s="1">
        <f>R55/VLOOKUP(A55,'[259]geoMap (17)'!$A:$B,2,0)*VLOOKUP(A55,'[259]geoMap (17)'!$A:$C,3,0)</f>
        <v>87.406188499490881</v>
      </c>
      <c r="T55" s="1">
        <f>S55/VLOOKUP(A55,'[260]geoMap (18)'!$A:$B,2,0)*VLOOKUP(A55,'[260]geoMap (18)'!$A:$C,3,0)</f>
        <v>35.701119246270927</v>
      </c>
      <c r="U55" s="1">
        <f>T55/VLOOKUP(A55,'[261]geoMap (19)'!$A:$B,2,0)*VLOOKUP(A55,'[261]geoMap (19)'!$A:$C,3,0)</f>
        <v>47.324739465987037</v>
      </c>
      <c r="V55" s="1">
        <f>U55/VLOOKUP(A55,'[268]geoMap (20)'!$A:$B,2,0)*VLOOKUP(A55,'[268]geoMap (20)'!$A:$C,3,0)</f>
        <v>19.329823162163716</v>
      </c>
      <c r="W55" s="1">
        <f>V55/VLOOKUP(A55,'[269]geoMap (21)'!$A:$B,2,0)*VLOOKUP(A55,'[269]geoMap (21)'!$A:$C,3,0)</f>
        <v>21.797460161588877</v>
      </c>
      <c r="X55" s="1">
        <f>W55/VLOOKUP(A55,'[262]geoMap (22)'!$A:$B,2,0)*VLOOKUP(A55,'[262]geoMap (22)'!$A:$C,3,0)</f>
        <v>31.367076817896191</v>
      </c>
      <c r="Y55" s="1">
        <f>X55/VLOOKUP(A55,'[263]geoMap (23)'!$A:$B,2,0)*VLOOKUP(A55,'[263]geoMap (23)'!$A:$C,3,0)</f>
        <v>38.337538332984238</v>
      </c>
      <c r="Z55" s="1">
        <f>Y55/VLOOKUP(A55,'[264]geoMap (24)'!$A:$B,2,0)*VLOOKUP(A55,'[264]geoMap (24)'!$A:$C,3,0)</f>
        <v>17.224111424963933</v>
      </c>
      <c r="AA55" s="1">
        <f>Z55/VLOOKUP(A55,'[265]geoMap (25)'!$A:$B,2,0)*VLOOKUP(A55,'[265]geoMap (25)'!$A:$C,3,0)</f>
        <v>12.993627917078056</v>
      </c>
    </row>
    <row r="56" spans="1:27" x14ac:dyDescent="0.2">
      <c r="A56" s="1" t="s">
        <v>153</v>
      </c>
      <c r="B56" s="1">
        <f>Notes!$C$6*VLOOKUP(A56,[243]geoMap!$A:$B,2,0)</f>
        <v>10000</v>
      </c>
      <c r="C56" s="1">
        <f>B56/VLOOKUP(A56,'[244]geoMap (1)'!$A:$B,2,0)*VLOOKUP(A56,'[244]geoMap (1)'!$A:$C,3,0)</f>
        <v>869.56521739130437</v>
      </c>
      <c r="D56" s="1">
        <f>C56/VLOOKUP(A56,'[245]geoMap (2)'!$A:$B,2,0)*VLOOKUP(A56,'[245]geoMap (2)'!$A:$C,3,0)</f>
        <v>1847.8260869565217</v>
      </c>
      <c r="E56" s="1">
        <f>D56/VLOOKUP(A56,'[246]geoMap (3)'!$A:$B,2,0)*VLOOKUP(A56,'[246]geoMap (3)'!$A:$C,3,0)</f>
        <v>3014.8741418764303</v>
      </c>
      <c r="F56" s="1">
        <f>E56/VLOOKUP(A56,'[247]geoMap (4)'!$A:$B,2,0)*VLOOKUP(A56,'[247]geoMap (4)'!$A:$C,3,0)</f>
        <v>2183.1847234277598</v>
      </c>
      <c r="G56" s="1">
        <f>F56/VLOOKUP(A56,'[248]geoMap (5)'!$A:$B,2,0)*VLOOKUP(A56,'[248]geoMap (5)'!$A:$C,3,0)</f>
        <v>1228.0414069281148</v>
      </c>
      <c r="H56" s="1">
        <f>G56/VLOOKUP(A56,'[249]geoMap (6)'!$A:$B,2,0)*VLOOKUP(A56,'[249]geoMap (6)'!$A:$C,3,0)</f>
        <v>2183.1847234277598</v>
      </c>
      <c r="I56" s="1">
        <f>H56/VLOOKUP(A56,'[250]geoMap (7)'!$A:$B,2,0)*VLOOKUP(A56,'[250]geoMap (7)'!$A:$C,3,0)</f>
        <v>22.052370943714745</v>
      </c>
      <c r="J56" s="1">
        <f>I56/VLOOKUP(A56,'[251]geoMap (8)'!$A:$B,2,0)*VLOOKUP(A56,'[251]geoMap (8)'!$A:$C,3,0)</f>
        <v>345.48714478486431</v>
      </c>
      <c r="K56" s="1">
        <f>J56/VLOOKUP(A56,'[252]geoMap (9)'!$A:$B,2,0)*VLOOKUP(A56,'[252]geoMap (9)'!$A:$C,3,0)</f>
        <v>477.10129517909832</v>
      </c>
      <c r="L56" s="1">
        <f>K56/VLOOKUP(A56,'[253]geoMap (10)'!$A:$B,2,0)*VLOOKUP(A56,'[253]geoMap (10)'!$A:$C,3,0)</f>
        <v>104.72955260028988</v>
      </c>
      <c r="M56" s="1">
        <f>L56/VLOOKUP(A56,'[254]geoMap (11)'!$A:$B,2,0)*VLOOKUP(A56,'[254]geoMap (11)'!$A:$C,3,0)</f>
        <v>298.07641893928655</v>
      </c>
      <c r="N56" s="1">
        <f>M56/VLOOKUP(A56,'[255]geoMap (12)'!$A:$B,2,0)*VLOOKUP(A56,'[255]geoMap (12)'!$A:$C,3,0)</f>
        <v>121.74952322872268</v>
      </c>
      <c r="O56" s="1">
        <f>N56/VLOOKUP(A56,'[256]geoMap (13)'!$A:$B,2,0)*VLOOKUP(A56,'[256]geoMap (13)'!$A:$C,3,0)</f>
        <v>207.30324225431158</v>
      </c>
      <c r="P56" s="1">
        <f>O56/VLOOKUP(A56,'[266]geoMap (14)'!$A:$B,2,0)*VLOOKUP(A56,'[266]geoMap (14)'!$A:$C,3,0)</f>
        <v>45.505589763141572</v>
      </c>
      <c r="Q56" s="1">
        <f>P56/VLOOKUP(A56,'[267]geoMap (15)'!$A:$B,2,0)*VLOOKUP(A56,'[267]geoMap (15)'!$A:$C,3,0)</f>
        <v>304.53740841487047</v>
      </c>
      <c r="R56" s="1">
        <f>Q56/VLOOKUP(A56,'[258]geoMap (16)'!$A:$B,2,0)*VLOOKUP(A56,'[258]geoMap (16)'!$A:$C,3,0)</f>
        <v>30.119084348723451</v>
      </c>
      <c r="S56" s="1">
        <f>R56/VLOOKUP(A56,'[259]geoMap (17)'!$A:$B,2,0)*VLOOKUP(A56,'[259]geoMap (17)'!$A:$C,3,0)</f>
        <v>137.20916203307351</v>
      </c>
      <c r="T56" s="1">
        <f>S56/VLOOKUP(A56,'[260]geoMap (18)'!$A:$B,2,0)*VLOOKUP(A56,'[260]geoMap (18)'!$A:$C,3,0)</f>
        <v>24.213381535248264</v>
      </c>
      <c r="U56" s="1">
        <f>T56/VLOOKUP(A56,'[261]geoMap (19)'!$A:$B,2,0)*VLOOKUP(A56,'[261]geoMap (19)'!$A:$C,3,0)</f>
        <v>47.002446509599565</v>
      </c>
      <c r="V56" s="1">
        <f>U56/VLOOKUP(A56,'[268]geoMap (20)'!$A:$B,2,0)*VLOOKUP(A56,'[268]geoMap (20)'!$A:$C,3,0)</f>
        <v>3.5378185544859888</v>
      </c>
      <c r="W56" s="1">
        <f>V56/VLOOKUP(A56,'[269]geoMap (21)'!$A:$B,2,0)*VLOOKUP(A56,'[269]geoMap (21)'!$A:$C,3,0)</f>
        <v>8.661555771327766</v>
      </c>
      <c r="X56" s="1">
        <f>W56/VLOOKUP(A56,'[262]geoMap (22)'!$A:$B,2,0)*VLOOKUP(A56,'[262]geoMap (22)'!$A:$C,3,0)</f>
        <v>14.748054421449979</v>
      </c>
      <c r="Y56" s="1">
        <f>X56/VLOOKUP(A56,'[263]geoMap (23)'!$A:$B,2,0)*VLOOKUP(A56,'[263]geoMap (23)'!$A:$C,3,0)</f>
        <v>14.748054421449979</v>
      </c>
      <c r="Z56" s="1">
        <f>Y56/VLOOKUP(A56,'[264]geoMap (24)'!$A:$B,2,0)*VLOOKUP(A56,'[264]geoMap (24)'!$A:$C,3,0)</f>
        <v>36.107305652515464</v>
      </c>
      <c r="AA56" s="1">
        <f>Z56/VLOOKUP(A56,'[265]geoMap (25)'!$A:$B,2,0)*VLOOKUP(A56,'[265]geoMap (25)'!$A:$C,3,0)</f>
        <v>10.184111850709488</v>
      </c>
    </row>
    <row r="57" spans="1:27" x14ac:dyDescent="0.2">
      <c r="A57" s="1" t="s">
        <v>129</v>
      </c>
      <c r="B57" s="1">
        <f>Notes!$C$6*VLOOKUP(A57,[243]geoMap!$A:$B,2,0)</f>
        <v>5000</v>
      </c>
      <c r="C57" s="1">
        <f>B57/66*8</f>
        <v>606.06060606060601</v>
      </c>
      <c r="D57" s="1">
        <f>B57/78*22</f>
        <v>1410.2564102564102</v>
      </c>
      <c r="E57" s="1">
        <f>D57/VLOOKUP(A57,'[246]geoMap (3)'!$A:$B,2,0)*VLOOKUP(A57,'[246]geoMap (3)'!$A:$C,3,0)</f>
        <v>1250.6047411707787</v>
      </c>
      <c r="F57" s="1">
        <f>E57/VLOOKUP(A57,'[247]geoMap (4)'!$A:$B,2,0)*VLOOKUP(A57,'[247]geoMap (4)'!$A:$C,3,0)</f>
        <v>1727.0255949501227</v>
      </c>
      <c r="G57" s="1">
        <f>F57/VLOOKUP(A57,'[248]geoMap (5)'!$A:$B,2,0)*VLOOKUP(A57,'[248]geoMap (5)'!$A:$C,3,0)</f>
        <v>1151.3503966334154</v>
      </c>
      <c r="H57" s="1">
        <f>G57/VLOOKUP(A57,'[249]geoMap (6)'!$A:$B,2,0)*VLOOKUP(A57,'[249]geoMap (6)'!$A:$C,3,0)</f>
        <v>1151.3503966334154</v>
      </c>
      <c r="I57" s="1">
        <f>H57/61*5</f>
        <v>94.372983330607809</v>
      </c>
      <c r="J57" s="1">
        <f>H57/VLOOKUP(A57,'[270]geoMap (28)'!$A:$B,2,0)*VLOOKUP(A57,'[270]geoMap (28)'!$A:$C,3,0)</f>
        <v>1727.0255949501227</v>
      </c>
      <c r="K57" s="1">
        <f>J57/VLOOKUP(A57,'[252]geoMap (9)'!$A:$B,2,0)*VLOOKUP(A57,'[252]geoMap (9)'!$A:$C,3,0)</f>
        <v>459.08275308800728</v>
      </c>
      <c r="L57" s="1">
        <f>K57/VLOOKUP(A57,'[253]geoMap (10)'!$A:$B,2,0)*VLOOKUP(A57,'[253]geoMap (10)'!$A:$C,3,0)</f>
        <v>161.29934567957014</v>
      </c>
      <c r="M57" s="1">
        <f>L57/VLOOKUP(A57,'[254]geoMap (11)'!$A:$B,2,0)*VLOOKUP(A57,'[254]geoMap (11)'!$A:$C,3,0)</f>
        <v>126.73520017680511</v>
      </c>
      <c r="N57" s="1">
        <f>M57/55*46</f>
        <v>105.99671287514609</v>
      </c>
      <c r="O57" s="1">
        <f>H57/VLOOKUP(A57,'[274]geoMap (29)'!$A:$B,2,0)*VLOOKUP(A57,'[274]geoMap (29)'!$A:$C,3,0)</f>
        <v>157.00232681364756</v>
      </c>
      <c r="P57" s="1">
        <f>O57/VLOOKUP(A57,'[266]geoMap (14)'!$A:$B,2,0)*VLOOKUP(A57,'[266]geoMap (14)'!$A:$C,3,0)</f>
        <v>177.04517704517704</v>
      </c>
      <c r="Q57" s="1">
        <f>P57/VLOOKUP(A57,'[267]geoMap (15)'!$A:$B,2,0)*VLOOKUP(A57,'[267]geoMap (15)'!$A:$C,3,0)</f>
        <v>44.26129426129426</v>
      </c>
      <c r="R57" s="1">
        <f>Q57/44*3</f>
        <v>3.0178155178155182</v>
      </c>
      <c r="S57" s="1">
        <f>Q57/VLOOKUP(A57,'[271]geoMap (31)'!$A:$B,2,0)*VLOOKUP(A57,'[271]geoMap (31)'!$A:$C,3,0)</f>
        <v>103.27635327635326</v>
      </c>
      <c r="T57" s="1">
        <f>S57/50*20</f>
        <v>41.310541310541311</v>
      </c>
      <c r="U57" s="1">
        <f>S57/50*4</f>
        <v>8.2621082621082618</v>
      </c>
      <c r="V57" s="1">
        <f>U57/9*12</f>
        <v>11.016144349477681</v>
      </c>
      <c r="W57" s="1">
        <f>V57/12*18</f>
        <v>16.52421652421652</v>
      </c>
      <c r="X57" s="1">
        <f>V57/14*0</f>
        <v>0</v>
      </c>
      <c r="Y57" s="1">
        <f>V57/8*24</f>
        <v>33.04843304843304</v>
      </c>
      <c r="Z57" s="1">
        <f>V57/14*8</f>
        <v>6.2949396282729611</v>
      </c>
      <c r="AA57" s="1">
        <f>Z57/11*30</f>
        <v>17.168017168017165</v>
      </c>
    </row>
    <row r="58" spans="1:27" x14ac:dyDescent="0.2">
      <c r="A58" s="1" t="s">
        <v>144</v>
      </c>
      <c r="B58" s="1">
        <f>Notes!$C$6*VLOOKUP(A58,[243]geoMap!$A:$B,2,0)</f>
        <v>8000</v>
      </c>
      <c r="C58" s="1">
        <f>B58/VLOOKUP(A58,'[244]geoMap (1)'!$A:$B,2,0)*VLOOKUP(A58,'[244]geoMap (1)'!$A:$C,3,0)</f>
        <v>695.6521739130435</v>
      </c>
      <c r="D58" s="1">
        <f>C58/VLOOKUP(A58,'[245]geoMap (2)'!$A:$B,2,0)*VLOOKUP(A58,'[245]geoMap (2)'!$A:$C,3,0)</f>
        <v>1788.8198757763971</v>
      </c>
      <c r="E58" s="1">
        <f>D58/VLOOKUP(A58,'[246]geoMap (3)'!$A:$B,2,0)*VLOOKUP(A58,'[246]geoMap (3)'!$A:$C,3,0)</f>
        <v>2017.1798599180652</v>
      </c>
      <c r="F58" s="1">
        <f>E58/VLOOKUP(A58,'[247]geoMap (4)'!$A:$B,2,0)*VLOOKUP(A58,'[247]geoMap (4)'!$A:$C,3,0)</f>
        <v>1650.4198853875077</v>
      </c>
      <c r="G58" s="1">
        <f>F58/VLOOKUP(A58,'[248]geoMap (5)'!$A:$B,2,0)*VLOOKUP(A58,'[248]geoMap (5)'!$A:$C,3,0)</f>
        <v>928.36118553047299</v>
      </c>
      <c r="H58" s="1">
        <f>G58/VLOOKUP(A58,'[249]geoMap (6)'!$A:$B,2,0)*VLOOKUP(A58,'[249]geoMap (6)'!$A:$C,3,0)</f>
        <v>759.56824270675054</v>
      </c>
      <c r="I58" s="1">
        <f>H58/VLOOKUP(A58,'[250]geoMap (7)'!$A:$B,2,0)*VLOOKUP(A58,'[250]geoMap (7)'!$A:$C,3,0)</f>
        <v>48.483079321707486</v>
      </c>
      <c r="J58" s="1">
        <f>I58/VLOOKUP(A58,'[251]geoMap (8)'!$A:$B,2,0)*VLOOKUP(A58,'[251]geoMap (8)'!$A:$C,3,0)</f>
        <v>759.56824270675054</v>
      </c>
      <c r="K58" s="1">
        <f>J58/VLOOKUP(A58,'[252]geoMap (9)'!$A:$B,2,0)*VLOOKUP(A58,'[252]geoMap (9)'!$A:$C,3,0)</f>
        <v>550.03217575316421</v>
      </c>
      <c r="L58" s="1">
        <f>K58/VLOOKUP(A58,'[253]geoMap (10)'!$A:$B,2,0)*VLOOKUP(A58,'[253]geoMap (10)'!$A:$C,3,0)</f>
        <v>164.29532522497112</v>
      </c>
      <c r="M58" s="1">
        <f>L58/VLOOKUP(A58,'[254]geoMap (11)'!$A:$B,2,0)*VLOOKUP(A58,'[254]geoMap (11)'!$A:$C,3,0)</f>
        <v>100.69713481530488</v>
      </c>
      <c r="N58" s="1">
        <f>M58/VLOOKUP(A58,'[255]geoMap (12)'!$A:$B,2,0)*VLOOKUP(A58,'[255]geoMap (12)'!$A:$C,3,0)</f>
        <v>139.05794807827817</v>
      </c>
      <c r="O58" s="1">
        <f>N58/VLOOKUP(A58,'[256]geoMap (13)'!$A:$B,2,0)*VLOOKUP(A58,'[256]geoMap (13)'!$A:$C,3,0)</f>
        <v>247.21412991693899</v>
      </c>
      <c r="P58" s="1">
        <f>O58/VLOOKUP(A58,'[266]geoMap (14)'!$A:$B,2,0)*VLOOKUP(A58,'[266]geoMap (14)'!$A:$C,3,0)</f>
        <v>302.15060323181433</v>
      </c>
      <c r="Q58" s="1">
        <f>P58/VLOOKUP(A58,'[267]geoMap (15)'!$A:$B,2,0)*VLOOKUP(A58,'[267]geoMap (15)'!$A:$C,3,0)</f>
        <v>53.32069468796724</v>
      </c>
      <c r="R58" s="1">
        <f>Q58/VLOOKUP(A58,'[258]geoMap (16)'!$A:$B,2,0)*VLOOKUP(A58,'[258]geoMap (16)'!$A:$C,3,0)</f>
        <v>5.273475298809946</v>
      </c>
      <c r="S58" s="1">
        <f>R58/VLOOKUP(A58,'[259]geoMap (17)'!$A:$B,2,0)*VLOOKUP(A58,'[259]geoMap (17)'!$A:$C,3,0)</f>
        <v>29.883026693256362</v>
      </c>
      <c r="T58" s="1">
        <f>S58/VLOOKUP(A58,'[260]geoMap (18)'!$A:$B,2,0)*VLOOKUP(A58,'[260]geoMap (18)'!$A:$C,3,0)</f>
        <v>23.479520973272852</v>
      </c>
      <c r="U58" s="1">
        <f>T58/VLOOKUP(A58,'[261]geoMap (19)'!$A:$B,2,0)*VLOOKUP(A58,'[261]geoMap (19)'!$A:$C,3,0)</f>
        <v>11.564540180865732</v>
      </c>
      <c r="V58" s="1">
        <f>U58/VLOOKUP(A58,'[268]geoMap (20)'!$A:$B,2,0)*VLOOKUP(A58,'[268]geoMap (20)'!$A:$C,3,0)</f>
        <v>52.682905268388339</v>
      </c>
      <c r="W58" s="1">
        <f>V58/VLOOKUP(A58,'[269]geoMap (21)'!$A:$B,2,0)*VLOOKUP(A58,'[269]geoMap (21)'!$A:$C,3,0)</f>
        <v>10.790474573043396</v>
      </c>
      <c r="X58" s="1">
        <f>W58/VLOOKUP(A58,'[262]geoMap (22)'!$A:$B,2,0)*VLOOKUP(A58,'[262]geoMap (22)'!$A:$C,3,0)</f>
        <v>6.8988280057162701</v>
      </c>
      <c r="Y58" s="1">
        <f>X58/VLOOKUP(A58,'[263]geoMap (23)'!$A:$B,2,0)*VLOOKUP(A58,'[263]geoMap (23)'!$A:$C,3,0)</f>
        <v>13.391842599331582</v>
      </c>
      <c r="Z58" s="1">
        <f>Y58/VLOOKUP(A58,'[264]geoMap (24)'!$A:$B,2,0)*VLOOKUP(A58,'[264]geoMap (24)'!$A:$C,3,0)</f>
        <v>6.3020435761560387</v>
      </c>
      <c r="AA58" s="1">
        <f>Z58/VLOOKUP(A58,'[265]geoMap (25)'!$A:$B,2,0)*VLOOKUP(A58,'[265]geoMap (25)'!$A:$C,3,0)</f>
        <v>4.5635487965267867</v>
      </c>
    </row>
    <row r="59" spans="1:27" x14ac:dyDescent="0.2">
      <c r="A59" s="1" t="s">
        <v>134</v>
      </c>
      <c r="B59" s="1">
        <f>Notes!$C$6*VLOOKUP(A59,[243]geoMap!$A:$B,2,0)</f>
        <v>5000</v>
      </c>
      <c r="C59" s="1">
        <f>B59/VLOOKUP(A59,'[244]geoMap (1)'!$A:$B,2,0)*VLOOKUP(A59,'[244]geoMap (1)'!$A:$C,3,0)</f>
        <v>555.55555555555554</v>
      </c>
      <c r="D59" s="1">
        <f>B59/75*12</f>
        <v>800</v>
      </c>
      <c r="E59" s="1">
        <f>B59/76*19</f>
        <v>1250</v>
      </c>
      <c r="F59" s="1">
        <f>E59/VLOOKUP(A59,'[247]geoMap (4)'!$A:$B,2,0)*VLOOKUP(A59,'[247]geoMap (4)'!$A:$C,3,0)</f>
        <v>1527.7777777777778</v>
      </c>
      <c r="G59" s="1">
        <f>F59/60*17</f>
        <v>432.87037037037044</v>
      </c>
      <c r="H59" s="1">
        <f>B59/VLOOKUP(A59,'[273]geoMap (26)'!$A:$B,2,0)*VLOOKUP(A59,'[273]geoMap (26)'!$A:$C,3,0)</f>
        <v>813.95348837209315</v>
      </c>
      <c r="I59" s="1">
        <f>H59/62*3</f>
        <v>39.384846211552897</v>
      </c>
      <c r="J59" s="1">
        <f>H59/VLOOKUP(A59,'[270]geoMap (28)'!$A:$B,2,0)*VLOOKUP(A59,'[270]geoMap (28)'!$A:$C,3,0)</f>
        <v>332.45987553226342</v>
      </c>
      <c r="K59" s="1">
        <f>J59/VLOOKUP(A59,'[252]geoMap (9)'!$A:$B,2,0)*VLOOKUP(A59,'[252]geoMap (9)'!$A:$C,3,0)</f>
        <v>374.90156177042473</v>
      </c>
      <c r="L59" s="1">
        <f>H59/62*9</f>
        <v>118.15453863465868</v>
      </c>
      <c r="M59" s="1">
        <f>L59/44*25</f>
        <v>67.133260587874247</v>
      </c>
      <c r="N59" s="1">
        <f>M59/37*37</f>
        <v>67.133260587874247</v>
      </c>
      <c r="O59" s="1">
        <f>H59/VLOOKUP(A59,'[274]geoMap (29)'!$A:$B,2,0)*VLOOKUP(A59,'[274]geoMap (29)'!$A:$C,3,0)</f>
        <v>155.03875968992253</v>
      </c>
      <c r="P59" s="1">
        <f>O59/VLOOKUP(A59,'[266]geoMap (14)'!$A:$B,2,0)*VLOOKUP(A59,'[266]geoMap (14)'!$A:$C,3,0)</f>
        <v>54.473077728891703</v>
      </c>
      <c r="Q59" s="1">
        <f>P59/VLOOKUP(A59,'[267]geoMap (15)'!$A:$B,2,0)*VLOOKUP(A59,'[267]geoMap (15)'!$A:$C,3,0)</f>
        <v>105.74185676784859</v>
      </c>
      <c r="R59" s="1">
        <f>Q59/40*1</f>
        <v>2.6435464191962148</v>
      </c>
      <c r="S59" s="1">
        <f>Q59/38*11</f>
        <v>30.609484853850905</v>
      </c>
      <c r="T59" s="1">
        <f>S59/32*26</f>
        <v>24.870206443753862</v>
      </c>
      <c r="U59" s="1">
        <f>S59/34*28</f>
        <v>25.207811056112508</v>
      </c>
      <c r="V59" s="1">
        <f>U59/22*2</f>
        <v>2.291619186919319</v>
      </c>
      <c r="W59" s="1">
        <f>O59/VLOOKUP(A59,'[272]geoMap (33)'!$A:$B,2,0)*VLOOKUP(A59,'[272]geoMap (33)'!$A:$C,3,0)</f>
        <v>0</v>
      </c>
      <c r="X59" s="1">
        <f>V59/9*0</f>
        <v>0</v>
      </c>
      <c r="Y59" s="1">
        <f>V59/3*18</f>
        <v>13.749715121515914</v>
      </c>
      <c r="Z59" s="1">
        <f>V59/3*29</f>
        <v>22.15231880688675</v>
      </c>
      <c r="AA59" s="1">
        <f>Z59/VLOOKUP(A59,'[265]geoMap (25)'!$A:$B,2,0)*VLOOKUP(A59,'[265]geoMap (25)'!$A:$C,3,0)</f>
        <v>24.980274399255276</v>
      </c>
    </row>
    <row r="60" spans="1:27" x14ac:dyDescent="0.2">
      <c r="A60" s="1" t="s">
        <v>151</v>
      </c>
      <c r="B60" s="1">
        <f>Notes!$C$6*VLOOKUP(A60,[243]geoMap!$A:$B,2,0)</f>
        <v>9000</v>
      </c>
      <c r="C60" s="1">
        <f>B60/VLOOKUP(A60,'[244]geoMap (1)'!$A:$B,2,0)*VLOOKUP(A60,'[244]geoMap (1)'!$A:$C,3,0)</f>
        <v>473.68421052631584</v>
      </c>
      <c r="D60" s="1">
        <f>C60/VLOOKUP(A60,'[245]geoMap (2)'!$A:$B,2,0)*VLOOKUP(A60,'[245]geoMap (2)'!$A:$C,3,0)</f>
        <v>1348.178137651822</v>
      </c>
      <c r="E60" s="1">
        <f>D60/VLOOKUP(A60,'[246]geoMap (3)'!$A:$B,2,0)*VLOOKUP(A60,'[246]geoMap (3)'!$A:$C,3,0)</f>
        <v>1460.5263157894738</v>
      </c>
      <c r="F60" s="1">
        <f>E60/VLOOKUP(A60,'[247]geoMap (4)'!$A:$B,2,0)*VLOOKUP(A60,'[247]geoMap (4)'!$A:$C,3,0)</f>
        <v>2965.3110047846894</v>
      </c>
      <c r="G60" s="1">
        <f>F60/VLOOKUP(A60,'[248]geoMap (5)'!$A:$B,2,0)*VLOOKUP(A60,'[248]geoMap (5)'!$A:$C,3,0)</f>
        <v>695.56677890011235</v>
      </c>
      <c r="H60" s="1">
        <f>G60/VLOOKUP(A60,'[249]geoMap (6)'!$A:$B,2,0)*VLOOKUP(A60,'[249]geoMap (6)'!$A:$C,3,0)</f>
        <v>960.54459943348843</v>
      </c>
      <c r="I60" s="1">
        <f>H60/VLOOKUP(A60,'[250]geoMap (7)'!$A:$B,2,0)*VLOOKUP(A60,'[250]geoMap (7)'!$A:$C,3,0)</f>
        <v>50.554978917552027</v>
      </c>
      <c r="J60" s="1">
        <f>I60/VLOOKUP(A60,'[251]geoMap (8)'!$A:$B,2,0)*VLOOKUP(A60,'[251]geoMap (8)'!$A:$C,3,0)</f>
        <v>581.38225755184828</v>
      </c>
      <c r="K60" s="1">
        <f>J60/VLOOKUP(A60,'[252]geoMap (9)'!$A:$B,2,0)*VLOOKUP(A60,'[252]geoMap (9)'!$A:$C,3,0)</f>
        <v>605.11214561518898</v>
      </c>
      <c r="L60" s="1">
        <f>K60/VLOOKUP(A60,'[253]geoMap (10)'!$A:$B,2,0)*VLOOKUP(A60,'[253]geoMap (10)'!$A:$C,3,0)</f>
        <v>59.846256159743959</v>
      </c>
      <c r="M60" s="1">
        <f>L60/VLOOKUP(A60,'[254]geoMap (11)'!$A:$B,2,0)*VLOOKUP(A60,'[254]geoMap (11)'!$A:$C,3,0)</f>
        <v>153.89037298219873</v>
      </c>
      <c r="N60" s="1">
        <f>M60/VLOOKUP(A60,'[255]geoMap (12)'!$A:$B,2,0)*VLOOKUP(A60,'[255]geoMap (12)'!$A:$C,3,0)</f>
        <v>75.796750871829218</v>
      </c>
      <c r="O60" s="1">
        <f>N60/VLOOKUP(A60,'[256]geoMap (13)'!$A:$B,2,0)*VLOOKUP(A60,'[256]geoMap (13)'!$A:$C,3,0)</f>
        <v>240.02304442745921</v>
      </c>
      <c r="P60" s="1">
        <f>O60/VLOOKUP(A60,'[266]geoMap (14)'!$A:$B,2,0)*VLOOKUP(A60,'[266]geoMap (14)'!$A:$C,3,0)</f>
        <v>88.775646569060271</v>
      </c>
      <c r="Q60" s="1">
        <f>P60/VLOOKUP(A60,'[267]geoMap (15)'!$A:$B,2,0)*VLOOKUP(A60,'[267]geoMap (15)'!$A:$C,3,0)</f>
        <v>138.85421642853015</v>
      </c>
      <c r="R60" s="1">
        <f>Q60/VLOOKUP(A60,'[258]geoMap (16)'!$A:$B,2,0)*VLOOKUP(A60,'[258]geoMap (16)'!$A:$C,3,0)</f>
        <v>4.2944603019133041</v>
      </c>
      <c r="S60" s="1">
        <f>R60/VLOOKUP(A60,'[259]geoMap (17)'!$A:$B,2,0)*VLOOKUP(A60,'[259]geoMap (17)'!$A:$C,3,0)</f>
        <v>24.33527504417539</v>
      </c>
      <c r="T60" s="1">
        <f>S60/VLOOKUP(A60,'[260]geoMap (18)'!$A:$B,2,0)*VLOOKUP(A60,'[260]geoMap (18)'!$A:$C,3,0)</f>
        <v>10.429403590360883</v>
      </c>
      <c r="U60" s="1">
        <f>T60/VLOOKUP(A60,'[261]geoMap (19)'!$A:$B,2,0)*VLOOKUP(A60,'[261]geoMap (19)'!$A:$C,3,0)</f>
        <v>39.234423030405225</v>
      </c>
      <c r="V60" s="1">
        <f>U60/VLOOKUP(A60,'[268]geoMap (20)'!$A:$B,2,0)*VLOOKUP(A60,'[268]geoMap (20)'!$A:$C,3,0)</f>
        <v>4.8491983520725555</v>
      </c>
      <c r="W60" s="1">
        <f>V60/VLOOKUP(A60,'[269]geoMap (21)'!$A:$B,2,0)*VLOOKUP(A60,'[269]geoMap (21)'!$A:$C,3,0)</f>
        <v>4.8491983520725555</v>
      </c>
      <c r="X60" s="1">
        <f>W60/VLOOKUP(A60,'[262]geoMap (22)'!$A:$B,2,0)*VLOOKUP(A60,'[262]geoMap (22)'!$A:$C,3,0)</f>
        <v>9.8453421087533695</v>
      </c>
      <c r="Y60" s="1">
        <f>X60/VLOOKUP(A60,'[263]geoMap (23)'!$A:$B,2,0)*VLOOKUP(A60,'[263]geoMap (23)'!$A:$C,3,0)</f>
        <v>17.502830415561547</v>
      </c>
      <c r="Z60" s="1">
        <f>Y60/VLOOKUP(A60,'[264]geoMap (24)'!$A:$B,2,0)*VLOOKUP(A60,'[264]geoMap (24)'!$A:$C,3,0)</f>
        <v>26.254245623342321</v>
      </c>
      <c r="AA60" s="1">
        <f>Z60/VLOOKUP(A60,'[265]geoMap (25)'!$A:$B,2,0)*VLOOKUP(A60,'[265]geoMap (25)'!$A:$C,3,0)</f>
        <v>16.091311833661422</v>
      </c>
    </row>
    <row r="61" spans="1:27" x14ac:dyDescent="0.2">
      <c r="A61" s="1" t="s">
        <v>162</v>
      </c>
      <c r="B61" s="1">
        <f>Notes!$C$6*VLOOKUP(A61,[243]geoMap!$A:$B,2,0)</f>
        <v>4000</v>
      </c>
      <c r="C61" s="1">
        <f>B61/VLOOKUP(A61,'[244]geoMap (1)'!$A:$B,2,0)*VLOOKUP(A61,'[244]geoMap (1)'!$A:$C,3,0)</f>
        <v>2557.377049180328</v>
      </c>
      <c r="D61" s="1">
        <f>C61/VLOOKUP(A61,'[245]geoMap (2)'!$A:$B,2,0)*VLOOKUP(A61,'[245]geoMap (2)'!$A:$C,3,0)</f>
        <v>3002.1382751247329</v>
      </c>
      <c r="E61" s="1">
        <f>D61/VLOOKUP(A61,'[246]geoMap (3)'!$A:$B,2,0)*VLOOKUP(A61,'[246]geoMap (3)'!$A:$C,3,0)</f>
        <v>3524.2492794942518</v>
      </c>
      <c r="F61" s="1">
        <f>E61/VLOOKUP(A61,'[247]geoMap (4)'!$A:$B,2,0)*VLOOKUP(A61,'[247]geoMap (4)'!$A:$C,3,0)</f>
        <v>3002.1382751247329</v>
      </c>
      <c r="G61" s="1">
        <f>F61/VLOOKUP(A61,'[248]geoMap (5)'!$A:$B,2,0)*VLOOKUP(A61,'[248]geoMap (5)'!$A:$C,3,0)</f>
        <v>2173.962199228255</v>
      </c>
      <c r="H61" s="1">
        <f>G61/VLOOKUP(A61,'[249]geoMap (6)'!$A:$B,2,0)*VLOOKUP(A61,'[249]geoMap (6)'!$A:$C,3,0)</f>
        <v>931.69808538353789</v>
      </c>
      <c r="I61" s="1">
        <f>H61/VLOOKUP(A61,'[250]geoMap (7)'!$A:$B,2,0)*VLOOKUP(A61,'[250]geoMap (7)'!$A:$C,3,0)</f>
        <v>204.51909191345956</v>
      </c>
      <c r="J61" s="1">
        <f>I61/VLOOKUP(A61,'[251]geoMap (8)'!$A:$B,2,0)*VLOOKUP(A61,'[251]geoMap (8)'!$A:$C,3,0)</f>
        <v>1368.7046920362293</v>
      </c>
      <c r="K61" s="1">
        <f>J61/VLOOKUP(A61,'[252]geoMap (9)'!$A:$B,2,0)*VLOOKUP(A61,'[252]geoMap (9)'!$A:$C,3,0)</f>
        <v>674.1381318984412</v>
      </c>
      <c r="L61" s="1">
        <f>K61/VLOOKUP(A61,'[253]geoMap (10)'!$A:$B,2,0)*VLOOKUP(A61,'[253]geoMap (10)'!$A:$C,3,0)</f>
        <v>449.42542126562751</v>
      </c>
      <c r="M61" s="1">
        <f>L61/VLOOKUP(A61,'[254]geoMap (11)'!$A:$B,2,0)*VLOOKUP(A61,'[254]geoMap (11)'!$A:$C,3,0)</f>
        <v>467.76931601116337</v>
      </c>
      <c r="N61" s="1">
        <f>M61/VLOOKUP(A61,'[255]geoMap (12)'!$A:$B,2,0)*VLOOKUP(A61,'[255]geoMap (12)'!$A:$C,3,0)</f>
        <v>398.47015808358361</v>
      </c>
      <c r="O61" s="1">
        <f>N61/VLOOKUP(A61,'[256]geoMap (13)'!$A:$B,2,0)*VLOOKUP(A61,'[256]geoMap (13)'!$A:$C,3,0)</f>
        <v>339.43754207120082</v>
      </c>
      <c r="P61" s="1">
        <f>O61/VLOOKUP(A61,'[266]geoMap (14)'!$A:$B,2,0)*VLOOKUP(A61,'[266]geoMap (14)'!$A:$C,3,0)</f>
        <v>245.79959943086959</v>
      </c>
      <c r="Q61" s="1">
        <f>P61/VLOOKUP(A61,'[267]geoMap (15)'!$A:$B,2,0)*VLOOKUP(A61,'[267]geoMap (15)'!$A:$C,3,0)</f>
        <v>126.62403607044799</v>
      </c>
      <c r="R61" s="1">
        <f>Q61/VLOOKUP(A61,'[258]geoMap (16)'!$A:$B,2,0)*VLOOKUP(A61,'[258]geoMap (16)'!$A:$C,3,0)</f>
        <v>37.822764021042907</v>
      </c>
      <c r="S61" s="1">
        <f>R61/VLOOKUP(A61,'[259]geoMap (17)'!$A:$B,2,0)*VLOOKUP(A61,'[259]geoMap (17)'!$A:$C,3,0)</f>
        <v>151.29105608417163</v>
      </c>
      <c r="T61" s="1">
        <f>S61/VLOOKUP(A61,'[260]geoMap (18)'!$A:$B,2,0)*VLOOKUP(A61,'[260]geoMap (18)'!$A:$C,3,0)</f>
        <v>64.839024036073553</v>
      </c>
      <c r="U61" s="1">
        <f>T61/VLOOKUP(A61,'[261]geoMap (19)'!$A:$B,2,0)*VLOOKUP(A61,'[261]geoMap (19)'!$A:$C,3,0)</f>
        <v>62.296317211129491</v>
      </c>
      <c r="V61" s="1">
        <f>U61/VLOOKUP(A61,'[268]geoMap (20)'!$A:$B,2,0)*VLOOKUP(A61,'[268]geoMap (20)'!$A:$C,3,0)</f>
        <v>15.574079302782373</v>
      </c>
      <c r="W61" s="1">
        <f>V61/VLOOKUP(A61,'[269]geoMap (21)'!$A:$B,2,0)*VLOOKUP(A61,'[269]geoMap (21)'!$A:$C,3,0)</f>
        <v>38.12964243094995</v>
      </c>
      <c r="X61" s="1">
        <f>W61/VLOOKUP(A61,'[262]geoMap (22)'!$A:$B,2,0)*VLOOKUP(A61,'[262]geoMap (22)'!$A:$C,3,0)</f>
        <v>57.194463646424914</v>
      </c>
      <c r="Y61" s="1">
        <f>X61/VLOOKUP(A61,'[263]geoMap (23)'!$A:$B,2,0)*VLOOKUP(A61,'[263]geoMap (23)'!$A:$C,3,0)</f>
        <v>54.951543503427857</v>
      </c>
      <c r="Z61" s="1">
        <f>Y61/VLOOKUP(A61,'[264]geoMap (24)'!$A:$B,2,0)*VLOOKUP(A61,'[264]geoMap (24)'!$A:$C,3,0)</f>
        <v>21.370044695777505</v>
      </c>
      <c r="AA61" s="1">
        <f>Z61/VLOOKUP(A61,'[265]geoMap (25)'!$A:$B,2,0)*VLOOKUP(A61,'[265]geoMap (25)'!$A:$C,3,0)</f>
        <v>39.687225863586796</v>
      </c>
    </row>
    <row r="62" spans="1:27" x14ac:dyDescent="0.2">
      <c r="A62" s="1" t="s">
        <v>159</v>
      </c>
      <c r="B62" s="1">
        <f>Notes!$C$6*VLOOKUP(A62,[243]geoMap!$A:$B,2,0)</f>
        <v>5000</v>
      </c>
      <c r="C62" s="1">
        <f>B62/VLOOKUP(A62,'[244]geoMap (1)'!$A:$B,2,0)*VLOOKUP(A62,'[244]geoMap (1)'!$A:$C,3,0)</f>
        <v>1329.1139240506329</v>
      </c>
      <c r="D62" s="1">
        <f>C62/VLOOKUP(A62,'[245]geoMap (2)'!$A:$B,2,0)*VLOOKUP(A62,'[245]geoMap (2)'!$A:$C,3,0)</f>
        <v>2078.8704965920156</v>
      </c>
      <c r="E62" s="1">
        <f>D62/VLOOKUP(A62,'[246]geoMap (3)'!$A:$B,2,0)*VLOOKUP(A62,'[246]geoMap (3)'!$A:$C,3,0)</f>
        <v>3251.5666741567425</v>
      </c>
      <c r="F62" s="1">
        <f>E62/VLOOKUP(A62,'[247]geoMap (4)'!$A:$B,2,0)*VLOOKUP(A62,'[247]geoMap (4)'!$A:$C,3,0)</f>
        <v>2167.7111161044954</v>
      </c>
      <c r="G62" s="1">
        <f>F62/VLOOKUP(A62,'[248]geoMap (5)'!$A:$B,2,0)*VLOOKUP(A62,'[248]geoMap (5)'!$A:$C,3,0)</f>
        <v>1067.6786094246022</v>
      </c>
      <c r="H62" s="1">
        <f>G62/VLOOKUP(A62,'[249]geoMap (6)'!$A:$B,2,0)*VLOOKUP(A62,'[249]geoMap (6)'!$A:$C,3,0)</f>
        <v>654.38366384088522</v>
      </c>
      <c r="I62" s="1">
        <f>H62/VLOOKUP(A62,'[250]geoMap (7)'!$A:$B,2,0)*VLOOKUP(A62,'[250]geoMap (7)'!$A:$C,3,0)</f>
        <v>56.902927290511755</v>
      </c>
      <c r="J62" s="1">
        <f>I62/VLOOKUP(A62,'[251]geoMap (8)'!$A:$B,2,0)*VLOOKUP(A62,'[251]geoMap (8)'!$A:$C,3,0)</f>
        <v>575.35182038184121</v>
      </c>
      <c r="K62" s="1">
        <f>J62/VLOOKUP(A62,'[252]geoMap (9)'!$A:$B,2,0)*VLOOKUP(A62,'[252]geoMap (9)'!$A:$C,3,0)</f>
        <v>490.11451365860546</v>
      </c>
      <c r="L62" s="1">
        <f>K62/VLOOKUP(A62,'[253]geoMap (10)'!$A:$B,2,0)*VLOOKUP(A62,'[253]geoMap (10)'!$A:$C,3,0)</f>
        <v>275.68941393296552</v>
      </c>
      <c r="M62" s="1">
        <f>L62/VLOOKUP(A62,'[254]geoMap (11)'!$A:$B,2,0)*VLOOKUP(A62,'[254]geoMap (11)'!$A:$C,3,0)</f>
        <v>112.60553526839436</v>
      </c>
      <c r="N62" s="1">
        <f>M62/VLOOKUP(A62,'[255]geoMap (12)'!$A:$B,2,0)*VLOOKUP(A62,'[255]geoMap (12)'!$A:$C,3,0)</f>
        <v>137.62898755025978</v>
      </c>
      <c r="O62" s="1">
        <f>N62/VLOOKUP(A62,'[256]geoMap (13)'!$A:$B,2,0)*VLOOKUP(A62,'[256]geoMap (13)'!$A:$C,3,0)</f>
        <v>198.05146988939822</v>
      </c>
      <c r="P62" s="1">
        <f>O62/VLOOKUP(A62,'[266]geoMap (14)'!$A:$B,2,0)*VLOOKUP(A62,'[266]geoMap (14)'!$A:$C,3,0)</f>
        <v>323.13660876691284</v>
      </c>
      <c r="Q62" s="1">
        <f>P62/VLOOKUP(A62,'[267]geoMap (15)'!$A:$B,2,0)*VLOOKUP(A62,'[267]geoMap (15)'!$A:$C,3,0)</f>
        <v>66.184606614909868</v>
      </c>
      <c r="R62" s="1">
        <f>Q62/VLOOKUP(A62,'[258]geoMap (16)'!$A:$B,2,0)*VLOOKUP(A62,'[258]geoMap (16)'!$A:$C,3,0)</f>
        <v>9.8896538619980259</v>
      </c>
      <c r="S62" s="1">
        <f>R62/VLOOKUP(A62,'[259]geoMap (17)'!$A:$B,2,0)*VLOOKUP(A62,'[259]geoMap (17)'!$A:$C,3,0)</f>
        <v>31.317237229660417</v>
      </c>
      <c r="T62" s="1">
        <f>S62/VLOOKUP(A62,'[260]geoMap (18)'!$A:$B,2,0)*VLOOKUP(A62,'[260]geoMap (18)'!$A:$C,3,0)</f>
        <v>27.771889618755463</v>
      </c>
      <c r="U62" s="1">
        <f>T62/VLOOKUP(A62,'[261]geoMap (19)'!$A:$B,2,0)*VLOOKUP(A62,'[261]geoMap (19)'!$A:$C,3,0)</f>
        <v>32.601783465495544</v>
      </c>
      <c r="V62" s="1">
        <f>U62/VLOOKUP(A62,'[268]geoMap (20)'!$A:$B,2,0)*VLOOKUP(A62,'[268]geoMap (20)'!$A:$C,3,0)</f>
        <v>39.846624235605667</v>
      </c>
      <c r="W62" s="1">
        <f>V62/VLOOKUP(A62,'[269]geoMap (21)'!$A:$B,2,0)*VLOOKUP(A62,'[269]geoMap (21)'!$A:$C,3,0)</f>
        <v>52.81994375417495</v>
      </c>
      <c r="X62" s="1">
        <f>W62/VLOOKUP(A62,'[262]geoMap (22)'!$A:$B,2,0)*VLOOKUP(A62,'[262]geoMap (22)'!$A:$C,3,0)</f>
        <v>7.8926352736123491</v>
      </c>
      <c r="Y62" s="1">
        <f>X62/VLOOKUP(A62,'[263]geoMap (23)'!$A:$B,2,0)*VLOOKUP(A62,'[263]geoMap (23)'!$A:$C,3,0)</f>
        <v>6.7233559738179265</v>
      </c>
      <c r="Z62" s="1">
        <f>Y62/VLOOKUP(A62,'[264]geoMap (24)'!$A:$B,2,0)*VLOOKUP(A62,'[264]geoMap (24)'!$A:$C,3,0)</f>
        <v>12.486232522804722</v>
      </c>
      <c r="AA62" s="1">
        <f>Z62/VLOOKUP(A62,'[265]geoMap (25)'!$A:$B,2,0)*VLOOKUP(A62,'[265]geoMap (25)'!$A:$C,3,0)</f>
        <v>5.1000104670610833</v>
      </c>
    </row>
    <row r="63" spans="1:27" x14ac:dyDescent="0.2">
      <c r="A63" s="1" t="s">
        <v>168</v>
      </c>
      <c r="B63" s="1">
        <f>Notes!$C$6*VLOOKUP(A63,[243]geoMap!$A:$B,2,0)</f>
        <v>4000</v>
      </c>
      <c r="C63" s="1">
        <f>B63/VLOOKUP(A63,'[244]geoMap (1)'!$A:$B,2,0)*VLOOKUP(A63,'[244]geoMap (1)'!$A:$C,3,0)</f>
        <v>597.70114942528744</v>
      </c>
      <c r="D63" s="1">
        <f>C63/VLOOKUP(A63,'[245]geoMap (2)'!$A:$B,2,0)*VLOOKUP(A63,'[245]geoMap (2)'!$A:$C,3,0)</f>
        <v>1394.6360153256708</v>
      </c>
      <c r="E63" s="1">
        <f>D63/VLOOKUP(A63,'[246]geoMap (3)'!$A:$B,2,0)*VLOOKUP(A63,'[246]geoMap (3)'!$A:$C,3,0)</f>
        <v>1848.7035551991448</v>
      </c>
      <c r="F63" s="1">
        <f>E63/VLOOKUP(A63,'[247]geoMap (4)'!$A:$B,2,0)*VLOOKUP(A63,'[247]geoMap (4)'!$A:$C,3,0)</f>
        <v>1776.2053765638843</v>
      </c>
      <c r="G63" s="1">
        <f>F63/VLOOKUP(A63,'[248]geoMap (5)'!$A:$B,2,0)*VLOOKUP(A63,'[248]geoMap (5)'!$A:$C,3,0)</f>
        <v>835.861353677122</v>
      </c>
      <c r="H63" s="1">
        <f>G63/VLOOKUP(A63,'[249]geoMap (6)'!$A:$B,2,0)*VLOOKUP(A63,'[249]geoMap (6)'!$A:$C,3,0)</f>
        <v>1552.3139425432266</v>
      </c>
      <c r="I63" s="1">
        <f>H63/VLOOKUP(A63,'[250]geoMap (7)'!$A:$B,2,0)*VLOOKUP(A63,'[250]geoMap (7)'!$A:$C,3,0)</f>
        <v>31.679876378433196</v>
      </c>
      <c r="J63" s="1">
        <f>I63/VLOOKUP(A63,'[251]geoMap (8)'!$A:$B,2,0)*VLOOKUP(A63,'[251]geoMap (8)'!$A:$C,3,0)</f>
        <v>232.31909344184348</v>
      </c>
      <c r="K63" s="1">
        <f>J63/VLOOKUP(A63,'[252]geoMap (9)'!$A:$B,2,0)*VLOOKUP(A63,'[252]geoMap (9)'!$A:$C,3,0)</f>
        <v>241.80150541906161</v>
      </c>
      <c r="L63" s="1">
        <f>K63/VLOOKUP(A63,'[253]geoMap (10)'!$A:$B,2,0)*VLOOKUP(A63,'[253]geoMap (10)'!$A:$C,3,0)</f>
        <v>103.62921660816927</v>
      </c>
      <c r="M63" s="1">
        <f>L63/VLOOKUP(A63,'[254]geoMap (11)'!$A:$B,2,0)*VLOOKUP(A63,'[254]geoMap (11)'!$A:$C,3,0)</f>
        <v>107.85898055135986</v>
      </c>
      <c r="N63" s="1">
        <f>M63/VLOOKUP(A63,'[255]geoMap (12)'!$A:$B,2,0)*VLOOKUP(A63,'[255]geoMap (12)'!$A:$C,3,0)</f>
        <v>81.367301117692534</v>
      </c>
      <c r="O63" s="1">
        <f>N63/VLOOKUP(A63,'[256]geoMap (13)'!$A:$B,2,0)*VLOOKUP(A63,'[256]geoMap (13)'!$A:$C,3,0)</f>
        <v>103.5583832406996</v>
      </c>
      <c r="P63" s="1">
        <f>O63/VLOOKUP(A63,'[266]geoMap (14)'!$A:$B,2,0)*VLOOKUP(A63,'[266]geoMap (14)'!$A:$C,3,0)</f>
        <v>24.291472612015955</v>
      </c>
      <c r="Q63" s="1">
        <f>P63/VLOOKUP(A63,'[267]geoMap (15)'!$A:$B,2,0)*VLOOKUP(A63,'[267]geoMap (15)'!$A:$C,3,0)</f>
        <v>69.137268203430025</v>
      </c>
      <c r="R63" s="1">
        <f>Q63/VLOOKUP(A63,'[258]geoMap (16)'!$A:$B,2,0)*VLOOKUP(A63,'[258]geoMap (16)'!$A:$C,3,0)</f>
        <v>8.5450556206486556</v>
      </c>
      <c r="S63" s="1">
        <f>R63/VLOOKUP(A63,'[259]geoMap (17)'!$A:$B,2,0)*VLOOKUP(A63,'[259]geoMap (17)'!$A:$C,3,0)</f>
        <v>32.145685430059231</v>
      </c>
      <c r="T63" s="1">
        <f>S63/VLOOKUP(A63,'[260]geoMap (18)'!$A:$B,2,0)*VLOOKUP(A63,'[260]geoMap (18)'!$A:$C,3,0)</f>
        <v>25.257324266475106</v>
      </c>
      <c r="U63" s="1">
        <f>T63/VLOOKUP(A63,'[261]geoMap (19)'!$A:$B,2,0)*VLOOKUP(A63,'[261]geoMap (19)'!$A:$C,3,0)</f>
        <v>8.8741950125453091</v>
      </c>
      <c r="V63" s="1">
        <f>U63/VLOOKUP(A63,'[268]geoMap (20)'!$A:$B,2,0)*VLOOKUP(A63,'[268]geoMap (20)'!$A:$C,3,0)</f>
        <v>4.7784126990628586</v>
      </c>
      <c r="W63" s="1">
        <f>V63/VLOOKUP(A63,'[269]geoMap (21)'!$A:$B,2,0)*VLOOKUP(A63,'[269]geoMap (21)'!$A:$C,3,0)</f>
        <v>12.28734694044735</v>
      </c>
      <c r="X63" s="1">
        <f>W63/VLOOKUP(A63,'[262]geoMap (22)'!$A:$B,2,0)*VLOOKUP(A63,'[262]geoMap (22)'!$A:$C,3,0)</f>
        <v>9.6543440246372025</v>
      </c>
      <c r="Y63" s="1">
        <f>X63/VLOOKUP(A63,'[263]geoMap (23)'!$A:$B,2,0)*VLOOKUP(A63,'[263]geoMap (23)'!$A:$C,3,0)</f>
        <v>10.458872693356971</v>
      </c>
      <c r="Z63" s="1">
        <f>Y63/VLOOKUP(A63,'[264]geoMap (24)'!$A:$B,2,0)*VLOOKUP(A63,'[264]geoMap (24)'!$A:$C,3,0)</f>
        <v>11.7940479308068</v>
      </c>
      <c r="AA63" s="1">
        <f>Z63/VLOOKUP(A63,'[265]geoMap (25)'!$A:$B,2,0)*VLOOKUP(A63,'[265]geoMap (25)'!$A:$C,3,0)</f>
        <v>9.6496755797510172</v>
      </c>
    </row>
    <row r="64" spans="1:27" x14ac:dyDescent="0.2">
      <c r="A64" s="1" t="s">
        <v>161</v>
      </c>
      <c r="B64" s="1">
        <f>Notes!$C$6*VLOOKUP(A64,[243]geoMap!$A:$B,2,0)</f>
        <v>5000</v>
      </c>
      <c r="C64" s="1">
        <f>B64/VLOOKUP(A64,'[244]geoMap (1)'!$A:$B,2,0)*VLOOKUP(A64,'[244]geoMap (1)'!$A:$C,3,0)</f>
        <v>1024.0963855421687</v>
      </c>
      <c r="D64" s="1">
        <f>C64/VLOOKUP(A64,'[245]geoMap (2)'!$A:$B,2,0)*VLOOKUP(A64,'[245]geoMap (2)'!$A:$C,3,0)</f>
        <v>2176.2048192771085</v>
      </c>
      <c r="E64" s="1">
        <f>D64/VLOOKUP(A64,'[246]geoMap (3)'!$A:$B,2,0)*VLOOKUP(A64,'[246]geoMap (3)'!$A:$C,3,0)</f>
        <v>1853.8041053101294</v>
      </c>
      <c r="F64" s="1">
        <f>E64/VLOOKUP(A64,'[247]geoMap (4)'!$A:$B,2,0)*VLOOKUP(A64,'[247]geoMap (4)'!$A:$C,3,0)</f>
        <v>2176.2048192771085</v>
      </c>
      <c r="G64" s="1">
        <f>F64/VLOOKUP(A64,'[248]geoMap (5)'!$A:$B,2,0)*VLOOKUP(A64,'[248]geoMap (5)'!$A:$C,3,0)</f>
        <v>1450.803212851406</v>
      </c>
      <c r="H64" s="1">
        <f>G64/VLOOKUP(A64,'[249]geoMap (6)'!$A:$B,2,0)*VLOOKUP(A64,'[249]geoMap (6)'!$A:$C,3,0)</f>
        <v>1008.1852835069093</v>
      </c>
      <c r="I64" s="1">
        <f>H64/VLOOKUP(A64,'[250]geoMap (7)'!$A:$B,2,0)*VLOOKUP(A64,'[250]geoMap (7)'!$A:$C,3,0)</f>
        <v>53.062383342468912</v>
      </c>
      <c r="J64" s="1">
        <f>I64/VLOOKUP(A64,'[251]geoMap (8)'!$A:$B,2,0)*VLOOKUP(A64,'[251]geoMap (8)'!$A:$C,3,0)</f>
        <v>831.31067236534625</v>
      </c>
      <c r="K64" s="1">
        <f>J64/VLOOKUP(A64,'[252]geoMap (9)'!$A:$B,2,0)*VLOOKUP(A64,'[252]geoMap (9)'!$A:$C,3,0)</f>
        <v>447.62882358134027</v>
      </c>
      <c r="L64" s="1">
        <f>K64/VLOOKUP(A64,'[253]geoMap (10)'!$A:$B,2,0)*VLOOKUP(A64,'[253]geoMap (10)'!$A:$C,3,0)</f>
        <v>210.64885815592484</v>
      </c>
      <c r="M64" s="1">
        <f>L64/VLOOKUP(A64,'[254]geoMap (11)'!$A:$B,2,0)*VLOOKUP(A64,'[254]geoMap (11)'!$A:$C,3,0)</f>
        <v>194.44509983623831</v>
      </c>
      <c r="N64" s="1">
        <f>M64/VLOOKUP(A64,'[255]geoMap (12)'!$A:$B,2,0)*VLOOKUP(A64,'[255]geoMap (12)'!$A:$C,3,0)</f>
        <v>194.44509983623831</v>
      </c>
      <c r="O64" s="1">
        <f>N64/VLOOKUP(A64,'[256]geoMap (13)'!$A:$B,2,0)*VLOOKUP(A64,'[256]geoMap (13)'!$A:$C,3,0)</f>
        <v>268.51942358337669</v>
      </c>
      <c r="P64" s="1">
        <f>O64/VLOOKUP(A64,'[266]geoMap (14)'!$A:$B,2,0)*VLOOKUP(A64,'[266]geoMap (14)'!$A:$C,3,0)</f>
        <v>62.986037630668605</v>
      </c>
      <c r="Q64" s="1">
        <f>P64/VLOOKUP(A64,'[267]geoMap (15)'!$A:$B,2,0)*VLOOKUP(A64,'[267]geoMap (15)'!$A:$C,3,0)</f>
        <v>51.534030788728856</v>
      </c>
      <c r="R64" s="1">
        <f>Q64/VLOOKUP(A64,'[258]geoMap (16)'!$A:$B,2,0)*VLOOKUP(A64,'[258]geoMap (16)'!$A:$C,3,0)</f>
        <v>10.555162932631212</v>
      </c>
      <c r="S64" s="1">
        <f>R64/VLOOKUP(A64,'[259]geoMap (17)'!$A:$B,2,0)*VLOOKUP(A64,'[259]geoMap (17)'!$A:$C,3,0)</f>
        <v>42.22065173052485</v>
      </c>
      <c r="T64" s="1">
        <f>S64/VLOOKUP(A64,'[260]geoMap (18)'!$A:$B,2,0)*VLOOKUP(A64,'[260]geoMap (18)'!$A:$C,3,0)</f>
        <v>40.564939897955242</v>
      </c>
      <c r="U64" s="1">
        <f>T64/VLOOKUP(A64,'[261]geoMap (19)'!$A:$B,2,0)*VLOOKUP(A64,'[261]geoMap (19)'!$A:$C,3,0)</f>
        <v>20.89709025046179</v>
      </c>
      <c r="V64" s="1">
        <f>U64/VLOOKUP(A64,'[268]geoMap (20)'!$A:$B,2,0)*VLOOKUP(A64,'[268]geoMap (20)'!$A:$C,3,0)</f>
        <v>7.7290607775680593</v>
      </c>
      <c r="W64" s="1">
        <f>V64/VLOOKUP(A64,'[269]geoMap (21)'!$A:$B,2,0)*VLOOKUP(A64,'[269]geoMap (21)'!$A:$C,3,0)</f>
        <v>12.610572847611044</v>
      </c>
      <c r="X64" s="1">
        <f>W64/VLOOKUP(A64,'[262]geoMap (22)'!$A:$B,2,0)*VLOOKUP(A64,'[262]geoMap (22)'!$A:$C,3,0)</f>
        <v>9.1317941310286876</v>
      </c>
      <c r="Y64" s="1">
        <f>X64/VLOOKUP(A64,'[263]geoMap (23)'!$A:$B,2,0)*VLOOKUP(A64,'[263]geoMap (23)'!$A:$C,3,0)</f>
        <v>22.357151148380581</v>
      </c>
      <c r="Z64" s="1">
        <f>Y64/VLOOKUP(A64,'[264]geoMap (24)'!$A:$B,2,0)*VLOOKUP(A64,'[264]geoMap (24)'!$A:$C,3,0)</f>
        <v>8.2690833014558329</v>
      </c>
      <c r="AA64" s="1">
        <f>Z64/VLOOKUP(A64,'[265]geoMap (25)'!$A:$B,2,0)*VLOOKUP(A64,'[265]geoMap (25)'!$A:$C,3,0)</f>
        <v>14.70059253592148</v>
      </c>
    </row>
    <row r="65" spans="1:27" x14ac:dyDescent="0.2">
      <c r="A65" s="1" t="s">
        <v>177</v>
      </c>
      <c r="B65" s="1">
        <f>Notes!$C$6*VLOOKUP(A65,[243]geoMap!$A:$B,2,0)</f>
        <v>4000</v>
      </c>
      <c r="C65" s="1">
        <f>B65/VLOOKUP(A65,'[244]geoMap (1)'!$A:$B,2,0)*VLOOKUP(A65,'[244]geoMap (1)'!$A:$C,3,0)</f>
        <v>651.1627906976745</v>
      </c>
      <c r="D65" s="1">
        <f>C65/VLOOKUP(A65,'[245]geoMap (2)'!$A:$B,2,0)*VLOOKUP(A65,'[245]geoMap (2)'!$A:$C,3,0)</f>
        <v>1594.2261427425824</v>
      </c>
      <c r="E65" s="1">
        <f>D65/VLOOKUP(A65,'[246]geoMap (3)'!$A:$B,2,0)*VLOOKUP(A65,'[246]geoMap (3)'!$A:$C,3,0)</f>
        <v>1531.7074704781671</v>
      </c>
      <c r="F65" s="1">
        <f>E65/VLOOKUP(A65,'[247]geoMap (4)'!$A:$B,2,0)*VLOOKUP(A65,'[247]geoMap (4)'!$A:$C,3,0)</f>
        <v>1155.4986180800208</v>
      </c>
      <c r="G65" s="1">
        <f>F65/VLOOKUP(A65,'[248]geoMap (5)'!$A:$B,2,0)*VLOOKUP(A65,'[248]geoMap (5)'!$A:$C,3,0)</f>
        <v>738.76141155935761</v>
      </c>
      <c r="H65" s="1">
        <f>G65/VLOOKUP(A65,'[249]geoMap (6)'!$A:$B,2,0)*VLOOKUP(A65,'[249]geoMap (6)'!$A:$C,3,0)</f>
        <v>534.96516009470724</v>
      </c>
      <c r="I65" s="1">
        <f>H65/VLOOKUP(A65,'[250]geoMap (7)'!$A:$B,2,0)*VLOOKUP(A65,'[250]geoMap (7)'!$A:$C,3,0)</f>
        <v>59.440573343856364</v>
      </c>
      <c r="J65" s="1">
        <f>I65/VLOOKUP(A65,'[251]geoMap (8)'!$A:$B,2,0)*VLOOKUP(A65,'[251]geoMap (8)'!$A:$C,3,0)</f>
        <v>601.01024158788107</v>
      </c>
      <c r="K65" s="1">
        <f>J65/VLOOKUP(A65,'[252]geoMap (9)'!$A:$B,2,0)*VLOOKUP(A65,'[252]geoMap (9)'!$A:$C,3,0)</f>
        <v>417.65118483225632</v>
      </c>
      <c r="L65" s="1">
        <f>K65/VLOOKUP(A65,'[253]geoMap (10)'!$A:$B,2,0)*VLOOKUP(A65,'[253]geoMap (10)'!$A:$C,3,0)</f>
        <v>154.47372589686194</v>
      </c>
      <c r="M65" s="1">
        <f>L65/VLOOKUP(A65,'[254]geoMap (11)'!$A:$B,2,0)*VLOOKUP(A65,'[254]geoMap (11)'!$A:$C,3,0)</f>
        <v>76.084073949200658</v>
      </c>
      <c r="N65" s="1">
        <f>M65/VLOOKUP(A65,'[255]geoMap (12)'!$A:$B,2,0)*VLOOKUP(A65,'[255]geoMap (12)'!$A:$C,3,0)</f>
        <v>124.13717328553791</v>
      </c>
      <c r="O65" s="1">
        <f>N65/VLOOKUP(A65,'[256]geoMap (13)'!$A:$B,2,0)*VLOOKUP(A65,'[256]geoMap (13)'!$A:$C,3,0)</f>
        <v>230.54046467314186</v>
      </c>
      <c r="P65" s="1">
        <f>O65/VLOOKUP(A65,'[266]geoMap (14)'!$A:$B,2,0)*VLOOKUP(A65,'[266]geoMap (14)'!$A:$C,3,0)</f>
        <v>76.846821557713952</v>
      </c>
      <c r="Q65" s="1">
        <f>P65/VLOOKUP(A65,'[267]geoMap (15)'!$A:$B,2,0)*VLOOKUP(A65,'[267]geoMap (15)'!$A:$C,3,0)</f>
        <v>27.000234601358958</v>
      </c>
      <c r="R65" s="1">
        <f>Q65/VLOOKUP(A65,'[258]geoMap (16)'!$A:$B,2,0)*VLOOKUP(A65,'[258]geoMap (16)'!$A:$C,3,0)</f>
        <v>4.0345178139961666</v>
      </c>
      <c r="S65" s="1">
        <f>R65/VLOOKUP(A65,'[259]geoMap (17)'!$A:$B,2,0)*VLOOKUP(A65,'[259]geoMap (17)'!$A:$C,3,0)</f>
        <v>19.697939915393047</v>
      </c>
      <c r="T65" s="1">
        <f>S65/VLOOKUP(A65,'[260]geoMap (18)'!$A:$B,2,0)*VLOOKUP(A65,'[260]geoMap (18)'!$A:$C,3,0)</f>
        <v>21.339434908342472</v>
      </c>
      <c r="U65" s="1">
        <f>T65/VLOOKUP(A65,'[261]geoMap (19)'!$A:$B,2,0)*VLOOKUP(A65,'[261]geoMap (19)'!$A:$C,3,0)</f>
        <v>6.3741169206737256</v>
      </c>
      <c r="V65" s="1">
        <f>U65/VLOOKUP(A65,'[268]geoMap (20)'!$A:$B,2,0)*VLOOKUP(A65,'[268]geoMap (20)'!$A:$C,3,0)</f>
        <v>9.172509715115849</v>
      </c>
      <c r="W65" s="1">
        <f>V65/VLOOKUP(A65,'[269]geoMap (21)'!$A:$B,2,0)*VLOOKUP(A65,'[269]geoMap (21)'!$A:$C,3,0)</f>
        <v>34.506107975912002</v>
      </c>
      <c r="X65" s="1">
        <f>W65/VLOOKUP(A65,'[262]geoMap (22)'!$A:$B,2,0)*VLOOKUP(A65,'[262]geoMap (22)'!$A:$C,3,0)</f>
        <v>8.6265269939780005</v>
      </c>
      <c r="Y65" s="1">
        <f>X65/VLOOKUP(A65,'[263]geoMap (23)'!$A:$B,2,0)*VLOOKUP(A65,'[263]geoMap (23)'!$A:$C,3,0)</f>
        <v>10.126792558148088</v>
      </c>
      <c r="Z65" s="1">
        <f>Y65/VLOOKUP(A65,'[264]geoMap (24)'!$A:$B,2,0)*VLOOKUP(A65,'[264]geoMap (24)'!$A:$C,3,0)</f>
        <v>3.1979344920467643</v>
      </c>
      <c r="AA65" s="1">
        <f>Z65/VLOOKUP(A65,'[265]geoMap (25)'!$A:$B,2,0)*VLOOKUP(A65,'[265]geoMap (25)'!$A:$C,3,0)</f>
        <v>7.8294258253558713</v>
      </c>
    </row>
    <row r="66" spans="1:27" x14ac:dyDescent="0.2">
      <c r="A66" s="1" t="s">
        <v>178</v>
      </c>
      <c r="B66" s="1">
        <f>Notes!$C$6*VLOOKUP(A66,[243]geoMap!$A:$B,2,0)</f>
        <v>4000</v>
      </c>
      <c r="C66" s="1">
        <f>B66/VLOOKUP(A66,'[244]geoMap (1)'!$A:$B,2,0)*VLOOKUP(A66,'[244]geoMap (1)'!$A:$C,3,0)</f>
        <v>347.82608695652175</v>
      </c>
      <c r="D66" s="1">
        <f>C66/VLOOKUP(A66,'[245]geoMap (2)'!$A:$B,2,0)*VLOOKUP(A66,'[245]geoMap (2)'!$A:$C,3,0)</f>
        <v>811.59420289855075</v>
      </c>
      <c r="E66" s="1">
        <f>D66/VLOOKUP(A66,'[246]geoMap (3)'!$A:$B,2,0)*VLOOKUP(A66,'[246]geoMap (3)'!$A:$C,3,0)</f>
        <v>1324.18001525553</v>
      </c>
      <c r="F66" s="1">
        <f>E66/VLOOKUP(A66,'[247]geoMap (4)'!$A:$B,2,0)*VLOOKUP(A66,'[247]geoMap (4)'!$A:$C,3,0)</f>
        <v>846.60689499943715</v>
      </c>
      <c r="G66" s="1">
        <f>F66/VLOOKUP(A66,'[248]geoMap (5)'!$A:$B,2,0)*VLOOKUP(A66,'[248]geoMap (5)'!$A:$C,3,0)</f>
        <v>497.21357325363766</v>
      </c>
      <c r="H66" s="1">
        <f>G66/VLOOKUP(A66,'[249]geoMap (6)'!$A:$B,2,0)*VLOOKUP(A66,'[249]geoMap (6)'!$A:$C,3,0)</f>
        <v>560.68764643495319</v>
      </c>
      <c r="I66" s="1">
        <f>H66/VLOOKUP(A66,'[250]geoMap (7)'!$A:$B,2,0)*VLOOKUP(A66,'[250]geoMap (7)'!$A:$C,3,0)</f>
        <v>23.36198526812305</v>
      </c>
      <c r="J66" s="1">
        <f>I66/VLOOKUP(A66,'[251]geoMap (8)'!$A:$B,2,0)*VLOOKUP(A66,'[251]geoMap (8)'!$A:$C,3,0)</f>
        <v>171.32122529956905</v>
      </c>
      <c r="K66" s="1">
        <f>J66/VLOOKUP(A66,'[252]geoMap (9)'!$A:$B,2,0)*VLOOKUP(A66,'[252]geoMap (9)'!$A:$C,3,0)</f>
        <v>140.1719116087383</v>
      </c>
      <c r="L66" s="1">
        <f>K66/VLOOKUP(A66,'[253]geoMap (10)'!$A:$B,2,0)*VLOOKUP(A66,'[253]geoMap (10)'!$A:$C,3,0)</f>
        <v>110.1350734068658</v>
      </c>
      <c r="M66" s="1">
        <f>L66/VLOOKUP(A66,'[254]geoMap (11)'!$A:$B,2,0)*VLOOKUP(A66,'[254]geoMap (11)'!$A:$C,3,0)</f>
        <v>70.414227260127319</v>
      </c>
      <c r="N66" s="1">
        <f>M66/VLOOKUP(A66,'[255]geoMap (12)'!$A:$B,2,0)*VLOOKUP(A66,'[255]geoMap (12)'!$A:$C,3,0)</f>
        <v>48.931920638393557</v>
      </c>
      <c r="O66" s="1">
        <f>N66/VLOOKUP(A66,'[256]geoMap (13)'!$A:$B,2,0)*VLOOKUP(A66,'[256]geoMap (13)'!$A:$C,3,0)</f>
        <v>70.414227260127319</v>
      </c>
      <c r="P66" s="1">
        <f>O66/VLOOKUP(A66,'[266]geoMap (14)'!$A:$B,2,0)*VLOOKUP(A66,'[266]geoMap (14)'!$A:$C,3,0)</f>
        <v>34.681634322152256</v>
      </c>
      <c r="Q66" s="1">
        <f>P66/VLOOKUP(A66,'[267]geoMap (15)'!$A:$B,2,0)*VLOOKUP(A66,'[267]geoMap (15)'!$A:$C,3,0)</f>
        <v>37.571770515664944</v>
      </c>
      <c r="R66" s="1">
        <f>Q66/VLOOKUP(A66,'[258]geoMap (16)'!$A:$B,2,0)*VLOOKUP(A66,'[258]geoMap (16)'!$A:$C,3,0)</f>
        <v>5.6141726057890153</v>
      </c>
      <c r="S66" s="1">
        <f>R66/VLOOKUP(A66,'[259]geoMap (17)'!$A:$B,2,0)*VLOOKUP(A66,'[259]geoMap (17)'!$A:$C,3,0)</f>
        <v>22.456690423156061</v>
      </c>
      <c r="T66" s="1">
        <f>S66/VLOOKUP(A66,'[260]geoMap (18)'!$A:$B,2,0)*VLOOKUP(A66,'[260]geoMap (18)'!$A:$C,3,0)</f>
        <v>10.567854316779322</v>
      </c>
      <c r="U66" s="1">
        <f>T66/VLOOKUP(A66,'[261]geoMap (19)'!$A:$B,2,0)*VLOOKUP(A66,'[261]geoMap (19)'!$A:$C,3,0)</f>
        <v>7.6525841604264055</v>
      </c>
      <c r="V66" s="1">
        <f>U66/VLOOKUP(A66,'[268]geoMap (20)'!$A:$B,2,0)*VLOOKUP(A66,'[268]geoMap (20)'!$A:$C,3,0)</f>
        <v>1.4576350781764584</v>
      </c>
      <c r="W66" s="1">
        <f>V66/VLOOKUP(A66,'[269]geoMap (21)'!$A:$B,2,0)*VLOOKUP(A66,'[269]geoMap (21)'!$A:$C,3,0)</f>
        <v>19.36572318148723</v>
      </c>
      <c r="X66" s="1">
        <f>W66/VLOOKUP(A66,'[262]geoMap (22)'!$A:$B,2,0)*VLOOKUP(A66,'[262]geoMap (22)'!$A:$C,3,0)</f>
        <v>4.8414307953718074</v>
      </c>
      <c r="Y66" s="1">
        <f>X66/VLOOKUP(A66,'[263]geoMap (23)'!$A:$B,2,0)*VLOOKUP(A66,'[263]geoMap (23)'!$A:$C,3,0)</f>
        <v>14.524292386115423</v>
      </c>
      <c r="Z66" s="1">
        <f>Y66/VLOOKUP(A66,'[264]geoMap (24)'!$A:$B,2,0)*VLOOKUP(A66,'[264]geoMap (24)'!$A:$C,3,0)</f>
        <v>7.1537559513702833</v>
      </c>
      <c r="AA66" s="1">
        <f>Z66/VLOOKUP(A66,'[265]geoMap (25)'!$A:$B,2,0)*VLOOKUP(A66,'[265]geoMap (25)'!$A:$C,3,0)</f>
        <v>5.6208082475052219</v>
      </c>
    </row>
    <row r="67" spans="1:27" x14ac:dyDescent="0.2">
      <c r="A67" s="1" t="s">
        <v>184</v>
      </c>
      <c r="B67" s="1">
        <f>Notes!$C$6*VLOOKUP(A67,[243]geoMap!$A:$B,2,0)</f>
        <v>3000</v>
      </c>
      <c r="C67" s="1">
        <f>B67/VLOOKUP(A67,'[244]geoMap (1)'!$A:$B,2,0)*VLOOKUP(A67,'[244]geoMap (1)'!$A:$C,3,0)</f>
        <v>409.09090909090907</v>
      </c>
      <c r="D67" s="1">
        <f>C67/VLOOKUP(A67,'[245]geoMap (2)'!$A:$B,2,0)*VLOOKUP(A67,'[245]geoMap (2)'!$A:$C,3,0)</f>
        <v>588.69179600886912</v>
      </c>
      <c r="E67" s="1">
        <f>D67/VLOOKUP(A67,'[246]geoMap (3)'!$A:$B,2,0)*VLOOKUP(A67,'[246]geoMap (3)'!$A:$C,3,0)</f>
        <v>1250.970066518847</v>
      </c>
      <c r="F67" s="1">
        <f>E67/VLOOKUP(A67,'[247]geoMap (4)'!$A:$B,2,0)*VLOOKUP(A67,'[247]geoMap (4)'!$A:$C,3,0)</f>
        <v>1355.2175720620844</v>
      </c>
      <c r="G67" s="1">
        <f>F67/VLOOKUP(A67,'[248]geoMap (5)'!$A:$B,2,0)*VLOOKUP(A67,'[248]geoMap (5)'!$A:$C,3,0)</f>
        <v>404.8052487977655</v>
      </c>
      <c r="H67" s="1">
        <f>G67/VLOOKUP(A67,'[249]geoMap (6)'!$A:$B,2,0)*VLOOKUP(A67,'[249]geoMap (6)'!$A:$C,3,0)</f>
        <v>475.20616163215948</v>
      </c>
      <c r="I67" s="1">
        <f>H67/VLOOKUP(A67,'[250]geoMap (7)'!$A:$B,2,0)*VLOOKUP(A67,'[250]geoMap (7)'!$A:$C,3,0)</f>
        <v>35.768205714248566</v>
      </c>
      <c r="J67" s="1">
        <f>I67/VLOOKUP(A67,'[251]geoMap (8)'!$A:$B,2,0)*VLOOKUP(A67,'[251]geoMap (8)'!$A:$C,3,0)</f>
        <v>202.68649904740855</v>
      </c>
      <c r="K67" s="1">
        <f>J67/VLOOKUP(A67,'[252]geoMap (9)'!$A:$B,2,0)*VLOOKUP(A67,'[252]geoMap (9)'!$A:$C,3,0)</f>
        <v>330.6990247615613</v>
      </c>
      <c r="L67" s="1">
        <f>K67/VLOOKUP(A67,'[253]geoMap (10)'!$A:$B,2,0)*VLOOKUP(A67,'[253]geoMap (10)'!$A:$C,3,0)</f>
        <v>93.274083907107027</v>
      </c>
      <c r="M67" s="1">
        <f>L67/VLOOKUP(A67,'[254]geoMap (11)'!$A:$B,2,0)*VLOOKUP(A67,'[254]geoMap (11)'!$A:$C,3,0)</f>
        <v>114.00165810868637</v>
      </c>
      <c r="N67" s="1">
        <f>M67/51*28</f>
        <v>62.589145628298397</v>
      </c>
      <c r="O67" s="1">
        <f>H67/VLOOKUP(A67,'[274]geoMap (29)'!$A:$B,2,0)*VLOOKUP(A67,'[274]geoMap (29)'!$A:$C,3,0)</f>
        <v>118.80154040803987</v>
      </c>
      <c r="P67" s="1">
        <f>O67/VLOOKUP(A67,'[266]geoMap (14)'!$A:$B,2,0)*VLOOKUP(A67,'[266]geoMap (14)'!$A:$C,3,0)</f>
        <v>41.74108176498698</v>
      </c>
      <c r="Q67" s="1">
        <f>P67/VLOOKUP(A67,'[267]geoMap (15)'!$A:$B,2,0)*VLOOKUP(A67,'[267]geoMap (15)'!$A:$C,3,0)</f>
        <v>37.01567628215826</v>
      </c>
      <c r="R67" s="1">
        <f>Q67/41*8</f>
        <v>7.2225709818845383</v>
      </c>
      <c r="S67" s="1">
        <f>Q67/VLOOKUP(A67,'[271]geoMap (31)'!$A:$B,2,0)*VLOOKUP(A67,'[271]geoMap (31)'!$A:$C,3,0)</f>
        <v>30.285553321765846</v>
      </c>
      <c r="T67" s="1">
        <f>S67/39*19</f>
        <v>14.754500336244901</v>
      </c>
      <c r="U67" s="1">
        <f>S67/VLOOKUP(A67,'[275]geoMap (32)'!$A:$B,2,0)*VLOOKUP(A67,'[275]geoMap (32)'!$A:$C,3,0)</f>
        <v>10.095184440588616</v>
      </c>
      <c r="V67" s="1">
        <f>U67/VLOOKUP(A67,'[268]geoMap (20)'!$A:$B,2,0)*VLOOKUP(A67,'[268]geoMap (20)'!$A:$C,3,0)</f>
        <v>5.9289178460599805</v>
      </c>
      <c r="W67" s="1">
        <f>V67/15*15</f>
        <v>5.9289178460599805</v>
      </c>
      <c r="X67" s="1">
        <f>V67/17*26</f>
        <v>9.0677567057387929</v>
      </c>
      <c r="Y67" s="1">
        <f>X67/VLOOKUP(A67,'[263]geoMap (23)'!$A:$B,2,0)*VLOOKUP(A67,'[263]geoMap (23)'!$A:$C,3,0)</f>
        <v>11.540781261849373</v>
      </c>
      <c r="Z67" s="1">
        <f>Y67/VLOOKUP(A67,'[264]geoMap (24)'!$A:$B,2,0)*VLOOKUP(A67,'[264]geoMap (24)'!$A:$C,3,0)</f>
        <v>14.105399320038124</v>
      </c>
      <c r="AA67" s="1">
        <f>Z67/VLOOKUP(A67,'[265]geoMap (25)'!$A:$B,2,0)*VLOOKUP(A67,'[265]geoMap (25)'!$A:$C,3,0)</f>
        <v>8.6452447445394967</v>
      </c>
    </row>
    <row r="68" spans="1:27" x14ac:dyDescent="0.2">
      <c r="A68" s="1" t="s">
        <v>189</v>
      </c>
      <c r="B68" s="1">
        <f>Notes!$C$6*VLOOKUP(A68,[243]geoMap!$A:$B,2,0)</f>
        <v>3000</v>
      </c>
      <c r="C68" s="1">
        <f>B68/VLOOKUP(A68,'[244]geoMap (1)'!$A:$B,2,0)*VLOOKUP(A68,'[244]geoMap (1)'!$A:$C,3,0)</f>
        <v>448.27586206896552</v>
      </c>
      <c r="D68" s="1">
        <f>C68/VLOOKUP(A68,'[245]geoMap (2)'!$A:$B,2,0)*VLOOKUP(A68,'[245]geoMap (2)'!$A:$C,3,0)</f>
        <v>1152.7093596059112</v>
      </c>
      <c r="E68" s="1">
        <f>D68/VLOOKUP(A68,'[246]geoMap (3)'!$A:$B,2,0)*VLOOKUP(A68,'[246]geoMap (3)'!$A:$C,3,0)</f>
        <v>1591.8367346938774</v>
      </c>
      <c r="F68" s="1">
        <f>E68/VLOOKUP(A68,'[247]geoMap (4)'!$A:$B,2,0)*VLOOKUP(A68,'[247]geoMap (4)'!$A:$C,3,0)</f>
        <v>1945.5782312925169</v>
      </c>
      <c r="G68" s="1">
        <f>F68/VLOOKUP(A68,'[248]geoMap (5)'!$A:$B,2,0)*VLOOKUP(A68,'[248]geoMap (5)'!$A:$C,3,0)</f>
        <v>719.59742801230084</v>
      </c>
      <c r="H68" s="1">
        <f>G68/VLOOKUP(A68,'[249]geoMap (6)'!$A:$B,2,0)*VLOOKUP(A68,'[249]geoMap (6)'!$A:$C,3,0)</f>
        <v>691.37792103142635</v>
      </c>
      <c r="I68" s="1">
        <f>H68/VLOOKUP(A68,'[250]geoMap (7)'!$A:$B,2,0)*VLOOKUP(A68,'[250]geoMap (7)'!$A:$C,3,0)</f>
        <v>52.039198357204135</v>
      </c>
      <c r="J68" s="1">
        <f>I68/VLOOKUP(A68,'[251]geoMap (8)'!$A:$B,2,0)*VLOOKUP(A68,'[251]geoMap (8)'!$A:$C,3,0)</f>
        <v>815.28077426286472</v>
      </c>
      <c r="K68" s="1">
        <f>J68/VLOOKUP(A68,'[252]geoMap (9)'!$A:$B,2,0)*VLOOKUP(A68,'[252]geoMap (9)'!$A:$C,3,0)</f>
        <v>257.4570866093257</v>
      </c>
      <c r="L68" s="1">
        <f>K68/VLOOKUP(A68,'[253]geoMap (10)'!$A:$B,2,0)*VLOOKUP(A68,'[253]geoMap (10)'!$A:$C,3,0)</f>
        <v>138.63073894348304</v>
      </c>
      <c r="M68" s="1">
        <f>L68/VLOOKUP(A68,'[254]geoMap (11)'!$A:$B,2,0)*VLOOKUP(A68,'[254]geoMap (11)'!$A:$C,3,0)</f>
        <v>176.4391222917057</v>
      </c>
      <c r="N68" s="1">
        <f>M68/VLOOKUP(A68,'[255]geoMap (12)'!$A:$B,2,0)*VLOOKUP(A68,'[255]geoMap (12)'!$A:$C,3,0)</f>
        <v>79.269750594824316</v>
      </c>
      <c r="O68" s="1">
        <f>N68/VLOOKUP(A68,'[256]geoMap (13)'!$A:$B,2,0)*VLOOKUP(A68,'[256]geoMap (13)'!$A:$C,3,0)</f>
        <v>153.87657468407073</v>
      </c>
      <c r="P68" s="1">
        <f>O68/VLOOKUP(A68,'[266]geoMap (14)'!$A:$B,2,0)*VLOOKUP(A68,'[266]geoMap (14)'!$A:$C,3,0)</f>
        <v>72.412505733680334</v>
      </c>
      <c r="Q68" s="1">
        <f>P68/VLOOKUP(A68,'[267]geoMap (15)'!$A:$B,2,0)*VLOOKUP(A68,'[267]geoMap (15)'!$A:$C,3,0)</f>
        <v>56.895540219320253</v>
      </c>
      <c r="R68" s="1">
        <f>Q68/VLOOKUP(A68,'[258]geoMap (16)'!$A:$B,2,0)*VLOOKUP(A68,'[258]geoMap (16)'!$A:$C,3,0)</f>
        <v>4.9474382799408918</v>
      </c>
      <c r="S68" s="1">
        <f>R68/VLOOKUP(A68,'[259]geoMap (17)'!$A:$B,2,0)*VLOOKUP(A68,'[259]geoMap (17)'!$A:$C,3,0)</f>
        <v>50.024098163846801</v>
      </c>
      <c r="T68" s="1">
        <f>S68/VLOOKUP(A68,'[260]geoMap (18)'!$A:$B,2,0)*VLOOKUP(A68,'[260]geoMap (18)'!$A:$C,3,0)</f>
        <v>16.674699387948934</v>
      </c>
      <c r="U68" s="1">
        <f>T68/VLOOKUP(A68,'[261]geoMap (19)'!$A:$B,2,0)*VLOOKUP(A68,'[261]geoMap (19)'!$A:$C,3,0)</f>
        <v>25.012049081923401</v>
      </c>
      <c r="V68" s="1">
        <f>U68/VLOOKUP(A68,'[268]geoMap (20)'!$A:$B,2,0)*VLOOKUP(A68,'[268]geoMap (20)'!$A:$C,3,0)</f>
        <v>5.4904497984709906</v>
      </c>
      <c r="W68" s="1">
        <f>V68/VLOOKUP(A68,'[269]geoMap (21)'!$A:$B,2,0)*VLOOKUP(A68,'[269]geoMap (21)'!$A:$C,3,0)</f>
        <v>5.7145497902453162</v>
      </c>
      <c r="X68" s="1">
        <f>W68/VLOOKUP(A68,'[262]geoMap (22)'!$A:$B,2,0)*VLOOKUP(A68,'[262]geoMap (22)'!$A:$C,3,0)</f>
        <v>6.708384536374937</v>
      </c>
      <c r="Y68" s="1">
        <f>X68/VLOOKUP(A68,'[263]geoMap (23)'!$A:$B,2,0)*VLOOKUP(A68,'[263]geoMap (23)'!$A:$C,3,0)</f>
        <v>10.062576804562404</v>
      </c>
      <c r="Z68" s="1">
        <f>Y68/VLOOKUP(A68,'[264]geoMap (24)'!$A:$B,2,0)*VLOOKUP(A68,'[264]geoMap (24)'!$A:$C,3,0)</f>
        <v>6.4334507439005542</v>
      </c>
      <c r="AA68" s="1">
        <f>Z68/VLOOKUP(A68,'[265]geoMap (25)'!$A:$B,2,0)*VLOOKUP(A68,'[265]geoMap (25)'!$A:$C,3,0)</f>
        <v>3.0275062324237898</v>
      </c>
    </row>
  </sheetData>
  <conditionalFormatting sqref="A1:AA1">
    <cfRule type="colorScale" priority="4">
      <colorScale>
        <cfvo type="min"/>
        <cfvo type="max"/>
        <color rgb="FFFFEF9C"/>
        <color rgb="FF63BE7B"/>
      </colorScale>
    </cfRule>
    <cfRule type="cellIs" dxfId="7" priority="5" operator="equal">
      <formula>#DIV/0!</formula>
    </cfRule>
  </conditionalFormatting>
  <conditionalFormatting sqref="A2:A68">
    <cfRule type="colorScale" priority="2">
      <colorScale>
        <cfvo type="min"/>
        <cfvo type="max"/>
        <color rgb="FFFFEF9C"/>
        <color rgb="FF63BE7B"/>
      </colorScale>
    </cfRule>
    <cfRule type="cellIs" dxfId="6" priority="3" operator="equal">
      <formula>#DIV/0!</formula>
    </cfRule>
  </conditionalFormatting>
  <conditionalFormatting sqref="B2:AA68">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A128"/>
  <sheetViews>
    <sheetView zoomScale="70" zoomScaleNormal="70" workbookViewId="0">
      <pane xSplit="1" ySplit="1" topLeftCell="B2" activePane="bottomRight" state="frozen"/>
      <selection pane="topRight" activeCell="B1" sqref="B1"/>
      <selection pane="bottomLeft" activeCell="A2" sqref="A2"/>
      <selection pane="bottomRight"/>
    </sheetView>
  </sheetViews>
  <sheetFormatPr baseColWidth="10" defaultColWidth="9.1640625" defaultRowHeight="15" x14ac:dyDescent="0.2"/>
  <cols>
    <col min="1" max="1" width="21.5" style="1" customWidth="1"/>
    <col min="2" max="2" width="17.1640625" style="1" bestFit="1" customWidth="1"/>
    <col min="3" max="8" width="16" style="1" bestFit="1" customWidth="1"/>
    <col min="9" max="17" width="14.5" style="1" bestFit="1" customWidth="1"/>
    <col min="18" max="18" width="13.1640625" style="1" bestFit="1" customWidth="1"/>
    <col min="19" max="20" width="14.5" style="1" bestFit="1" customWidth="1"/>
    <col min="21" max="27" width="13.1640625" style="1" bestFit="1" customWidth="1"/>
    <col min="28" max="16384" width="9.1640625" style="1"/>
  </cols>
  <sheetData>
    <row r="1" spans="1:27" ht="100" x14ac:dyDescent="0.2">
      <c r="A1" s="41" t="s">
        <v>0</v>
      </c>
      <c r="B1" s="3" t="s">
        <v>254</v>
      </c>
      <c r="C1" s="3" t="s">
        <v>255</v>
      </c>
      <c r="D1" s="3" t="s">
        <v>256</v>
      </c>
      <c r="E1" s="3" t="s">
        <v>257</v>
      </c>
      <c r="F1" s="3" t="s">
        <v>258</v>
      </c>
      <c r="G1" s="3" t="s">
        <v>259</v>
      </c>
      <c r="H1" s="3" t="s">
        <v>260</v>
      </c>
      <c r="I1" s="3" t="s">
        <v>261</v>
      </c>
      <c r="J1" s="3" t="s">
        <v>262</v>
      </c>
      <c r="K1" s="3" t="s">
        <v>263</v>
      </c>
      <c r="L1" s="3" t="s">
        <v>264</v>
      </c>
      <c r="M1" s="3" t="s">
        <v>265</v>
      </c>
      <c r="N1" s="3" t="s">
        <v>266</v>
      </c>
      <c r="O1" s="3" t="s">
        <v>267</v>
      </c>
      <c r="P1" s="3" t="s">
        <v>268</v>
      </c>
      <c r="Q1" s="3" t="s">
        <v>269</v>
      </c>
      <c r="R1" s="3" t="s">
        <v>270</v>
      </c>
      <c r="S1" s="3" t="s">
        <v>271</v>
      </c>
      <c r="T1" s="3" t="s">
        <v>272</v>
      </c>
      <c r="U1" s="3" t="s">
        <v>273</v>
      </c>
      <c r="V1" s="3" t="s">
        <v>274</v>
      </c>
      <c r="W1" s="3" t="s">
        <v>275</v>
      </c>
      <c r="X1" s="3" t="s">
        <v>276</v>
      </c>
      <c r="Y1" s="3" t="s">
        <v>277</v>
      </c>
      <c r="Z1" s="3" t="s">
        <v>278</v>
      </c>
      <c r="AA1" s="3" t="s">
        <v>279</v>
      </c>
    </row>
    <row r="2" spans="1:27" x14ac:dyDescent="0.2">
      <c r="A2" s="1" t="s">
        <v>7</v>
      </c>
      <c r="B2" s="1">
        <f>'Data_Raw++ (2015)'!B4</f>
        <v>41000</v>
      </c>
      <c r="C2" s="1">
        <f>'Data_Raw++ (2015)'!C4</f>
        <v>1268.0412371134021</v>
      </c>
      <c r="D2" s="1">
        <f>'Data_Raw++ (2015)'!D4</f>
        <v>4245.1815329448682</v>
      </c>
      <c r="E2" s="1">
        <f>'Data_Raw++ (2015)'!E4</f>
        <v>2950.0414042498237</v>
      </c>
      <c r="F2" s="1">
        <f>'Data_Raw++ (2015)'!F4</f>
        <v>3463.0920832497932</v>
      </c>
      <c r="G2" s="1">
        <f>'Data_Raw++ (2015)'!G4</f>
        <v>1864.7418909806577</v>
      </c>
      <c r="H2" s="1">
        <f>'Data_Raw++ (2015)'!H4</f>
        <v>2471.8671578115695</v>
      </c>
      <c r="I2" s="1">
        <f>'Data_Raw++ (2015)'!I4</f>
        <v>102.99446490881542</v>
      </c>
      <c r="J2" s="1">
        <f>'Data_Raw++ (2015)'!J4</f>
        <v>583.6353011499541</v>
      </c>
      <c r="K2" s="1">
        <f>'Data_Raw++ (2015)'!K4</f>
        <v>805.97255873088898</v>
      </c>
      <c r="L2" s="1">
        <f>'Data_Raw++ (2015)'!L4</f>
        <v>415.19798480076099</v>
      </c>
      <c r="M2" s="1">
        <f>'Data_Raw++ (2015)'!M4</f>
        <v>254.47618423272448</v>
      </c>
      <c r="N2" s="1">
        <f>'Data_Raw++ (2015)'!N4</f>
        <v>169.65078948848301</v>
      </c>
      <c r="O2" s="1">
        <f>'Data_Raw++ (2015)'!O4</f>
        <v>224.88593025217514</v>
      </c>
      <c r="P2" s="1">
        <f>'Data_Raw++ (2015)'!P4</f>
        <v>83.176987901489454</v>
      </c>
      <c r="Q2" s="1">
        <f>'Data_Raw++ (2015)'!Q4</f>
        <v>135.70982236558805</v>
      </c>
      <c r="R2" s="1">
        <f>'Data_Raw++ (2015)'!R4</f>
        <v>11.800854118746786</v>
      </c>
      <c r="S2" s="1">
        <f>'Data_Raw++ (2015)'!S4</f>
        <v>95.479637869860355</v>
      </c>
      <c r="T2" s="1">
        <f>'Data_Raw++ (2015)'!T4</f>
        <v>47.027284323961069</v>
      </c>
      <c r="U2" s="1">
        <f>'Data_Raw++ (2015)'!U4</f>
        <v>40.060279238929802</v>
      </c>
      <c r="V2" s="1">
        <f>'Data_Raw++ (2015)'!V4</f>
        <v>3.0815599414561388</v>
      </c>
      <c r="W2" s="1">
        <f>'Data_Raw++ (2015)'!W4</f>
        <v>11.55584978046052</v>
      </c>
      <c r="X2" s="1">
        <f>'Data_Raw++ (2015)'!X4</f>
        <v>27.117727484814022</v>
      </c>
      <c r="Y2" s="1">
        <f>'Data_Raw++ (2015)'!Y4</f>
        <v>15.926284395843156</v>
      </c>
      <c r="Z2" s="1">
        <f>'Data_Raw++ (2015)'!Z4</f>
        <v>21.99344035616436</v>
      </c>
      <c r="AA2" s="1">
        <f>'Data_Raw++ (2015)'!AA4</f>
        <v>11.329954122872548</v>
      </c>
    </row>
    <row r="3" spans="1:27" x14ac:dyDescent="0.2">
      <c r="A3" s="1" t="s">
        <v>11</v>
      </c>
      <c r="B3" s="1">
        <f>'Data_Raw++ (2015)'!B5</f>
        <v>15000</v>
      </c>
      <c r="C3" s="1">
        <f>'Data_Raw++ (2015)'!C5</f>
        <v>4480.5194805194806</v>
      </c>
      <c r="D3" s="1">
        <f>'Data_Raw++ (2015)'!D5</f>
        <v>9096.8122786304612</v>
      </c>
      <c r="E3" s="1">
        <f>'Data_Raw++ (2015)'!E5</f>
        <v>3364.5744044249655</v>
      </c>
      <c r="F3" s="1">
        <f>'Data_Raw++ (2015)'!F5</f>
        <v>3794.0945411600683</v>
      </c>
      <c r="G3" s="1">
        <f>'Data_Raw++ (2015)'!G5</f>
        <v>5239.4638901734279</v>
      </c>
      <c r="H3" s="1">
        <f>'Data_Raw++ (2015)'!H5</f>
        <v>4116.7216279934073</v>
      </c>
      <c r="I3" s="1">
        <f>'Data_Raw++ (2015)'!I5</f>
        <v>216.66955936807409</v>
      </c>
      <c r="J3" s="1">
        <f>'Data_Raw++ (2015)'!J5</f>
        <v>1330.9701504038835</v>
      </c>
      <c r="K3" s="1">
        <f>'Data_Raw++ (2015)'!K5</f>
        <v>2171.5828769747573</v>
      </c>
      <c r="L3" s="1">
        <f>'Data_Raw++ (2015)'!L5</f>
        <v>1275.3740706042227</v>
      </c>
      <c r="M3" s="1">
        <f>'Data_Raw++ (2015)'!M5</f>
        <v>815.40309432073263</v>
      </c>
      <c r="N3" s="1">
        <f>'Data_Raw++ (2015)'!N5</f>
        <v>848.68485327259941</v>
      </c>
      <c r="O3" s="1">
        <f>'Data_Raw++ (2015)'!O5</f>
        <v>815.40309432073263</v>
      </c>
      <c r="P3" s="1">
        <f>'Data_Raw++ (2015)'!P5</f>
        <v>132.74003861035183</v>
      </c>
      <c r="Q3" s="1">
        <f>'Data_Raw++ (2015)'!Q5</f>
        <v>530.96015444140733</v>
      </c>
      <c r="R3" s="1">
        <f>'Data_Raw++ (2015)'!R5</f>
        <v>273.52492804557346</v>
      </c>
      <c r="S3" s="1">
        <f>'Data_Raw++ (2015)'!S5</f>
        <v>486.26653874768613</v>
      </c>
      <c r="T3" s="1">
        <f>'Data_Raw++ (2015)'!T5</f>
        <v>285.5851100581649</v>
      </c>
      <c r="U3" s="1">
        <f>'Data_Raw++ (2015)'!U5</f>
        <v>182.58720151259723</v>
      </c>
      <c r="V3" s="1">
        <f>'Data_Raw++ (2015)'!V5</f>
        <v>40.08011740520427</v>
      </c>
      <c r="W3" s="1">
        <f>'Data_Raw++ (2015)'!W5</f>
        <v>134.18126261742299</v>
      </c>
      <c r="X3" s="1">
        <f>'Data_Raw++ (2015)'!X5</f>
        <v>57.506255407466995</v>
      </c>
      <c r="Y3" s="1">
        <f>'Data_Raw++ (2015)'!Y5</f>
        <v>102.23334294660799</v>
      </c>
      <c r="Z3" s="1">
        <f>'Data_Raw++ (2015)'!Z5</f>
        <v>74.031041444095436</v>
      </c>
      <c r="AA3" s="1">
        <f>'Data_Raw++ (2015)'!AA5</f>
        <v>90.482383987227763</v>
      </c>
    </row>
    <row r="4" spans="1:27" x14ac:dyDescent="0.2">
      <c r="A4" s="1" t="s">
        <v>16</v>
      </c>
      <c r="B4" s="1">
        <f>'Data_Raw++ (2015)'!B6</f>
        <v>27000</v>
      </c>
      <c r="C4" s="1">
        <f>'Data_Raw++ (2015)'!C6</f>
        <v>2670.3296703296701</v>
      </c>
      <c r="D4" s="1">
        <f>'Data_Raw++ (2015)'!D6</f>
        <v>8010.9890109890102</v>
      </c>
      <c r="E4" s="1">
        <f>'Data_Raw++ (2015)'!E6</f>
        <v>9791.20879120879</v>
      </c>
      <c r="F4" s="1">
        <f>'Data_Raw++ (2015)'!F6</f>
        <v>6001.0634526763552</v>
      </c>
      <c r="G4" s="1">
        <f>'Data_Raw++ (2015)'!G6</f>
        <v>4527.1180432470755</v>
      </c>
      <c r="H4" s="1">
        <f>'Data_Raw++ (2015)'!H6</f>
        <v>3856.4338886919531</v>
      </c>
      <c r="I4" s="1">
        <f>'Data_Raw++ (2015)'!I6</f>
        <v>119.27115119665835</v>
      </c>
      <c r="J4" s="1">
        <f>'Data_Raw++ (2015)'!J6</f>
        <v>1073.4403607699251</v>
      </c>
      <c r="K4" s="1">
        <f>'Data_Raw++ (2015)'!K6</f>
        <v>1260.1256409038251</v>
      </c>
      <c r="L4" s="1">
        <f>'Data_Raw++ (2015)'!L6</f>
        <v>840.08376060255023</v>
      </c>
      <c r="M4" s="1">
        <f>'Data_Raw++ (2015)'!M6</f>
        <v>633.74739834929233</v>
      </c>
      <c r="N4" s="1">
        <f>'Data_Raw++ (2015)'!N6</f>
        <v>584.99759847626979</v>
      </c>
      <c r="O4" s="1">
        <f>'Data_Raw++ (2015)'!O6</f>
        <v>562.05651618308275</v>
      </c>
      <c r="P4" s="1">
        <f>'Data_Raw++ (2015)'!P6</f>
        <v>302.64581640627529</v>
      </c>
      <c r="Q4" s="1">
        <f>'Data_Raw++ (2015)'!Q6</f>
        <v>257.80939916090119</v>
      </c>
      <c r="R4" s="1">
        <f>'Data_Raw++ (2015)'!R6</f>
        <v>31.864083042358576</v>
      </c>
      <c r="S4" s="1">
        <f>'Data_Raw++ (2015)'!S6</f>
        <v>257.80939916090119</v>
      </c>
      <c r="T4" s="1">
        <f>'Data_Raw++ (2015)'!T6</f>
        <v>328.12105347751066</v>
      </c>
      <c r="U4" s="1">
        <f>'Data_Raw++ (2015)'!U6</f>
        <v>62.499248281430603</v>
      </c>
      <c r="V4" s="1">
        <f>'Data_Raw++ (2015)'!V6</f>
        <v>25.527861974105456</v>
      </c>
      <c r="W4" s="1">
        <f>'Data_Raw++ (2015)'!W6</f>
        <v>96.033385521634827</v>
      </c>
      <c r="X4" s="1">
        <f>'Data_Raw++ (2015)'!X6</f>
        <v>132.61753238701951</v>
      </c>
      <c r="Y4" s="1">
        <f>'Data_Raw++ (2015)'!Y6</f>
        <v>65.319083115994673</v>
      </c>
      <c r="Z4" s="1">
        <f>'Data_Raw++ (2015)'!Z6</f>
        <v>76.678923657906793</v>
      </c>
      <c r="AA4" s="1">
        <f>'Data_Raw++ (2015)'!AA6</f>
        <v>86.467722422745979</v>
      </c>
    </row>
    <row r="5" spans="1:27" x14ac:dyDescent="0.2">
      <c r="A5" s="1" t="s">
        <v>18</v>
      </c>
      <c r="B5" s="1">
        <f>'Data_Raw++ (2015)'!B7</f>
        <v>22000</v>
      </c>
      <c r="C5" s="1">
        <f>'Data_Raw++ (2015)'!C7</f>
        <v>2175.8241758241757</v>
      </c>
      <c r="D5" s="1">
        <f>'Data_Raw++ (2015)'!D7</f>
        <v>6192.730346576499</v>
      </c>
      <c r="E5" s="1">
        <f>'Data_Raw++ (2015)'!E7</f>
        <v>6708.7912087912073</v>
      </c>
      <c r="F5" s="1">
        <f>'Data_Raw++ (2015)'!F7</f>
        <v>6445.7013574660623</v>
      </c>
      <c r="G5" s="1">
        <f>'Data_Raw++ (2015)'!G7</f>
        <v>3320.5128205128199</v>
      </c>
      <c r="H5" s="1">
        <f>'Data_Raw++ (2015)'!H7</f>
        <v>2404.5092838196283</v>
      </c>
      <c r="I5" s="1">
        <f>'Data_Raw++ (2015)'!I7</f>
        <v>126.5531202010331</v>
      </c>
      <c r="J5" s="1">
        <f>'Data_Raw++ (2015)'!J7</f>
        <v>1030.5039787798407</v>
      </c>
      <c r="K5" s="1">
        <f>'Data_Raw++ (2015)'!K7</f>
        <v>1259.5048629531389</v>
      </c>
      <c r="L5" s="1">
        <f>'Data_Raw++ (2015)'!L7</f>
        <v>912.05524558675575</v>
      </c>
      <c r="M5" s="1">
        <f>'Data_Raw++ (2015)'!M7</f>
        <v>535.65149343984058</v>
      </c>
      <c r="N5" s="1">
        <f>'Data_Raw++ (2015)'!N7</f>
        <v>420.86903055987472</v>
      </c>
      <c r="O5" s="1">
        <f>'Data_Raw++ (2015)'!O7</f>
        <v>474.59699190794385</v>
      </c>
      <c r="P5" s="1">
        <f>'Data_Raw++ (2015)'!P7</f>
        <v>774.34246048138209</v>
      </c>
      <c r="Q5" s="1">
        <f>'Data_Raw++ (2015)'!Q7</f>
        <v>286.40063606845644</v>
      </c>
      <c r="R5" s="1">
        <f>'Data_Raw++ (2015)'!R7</f>
        <v>48.749044437184075</v>
      </c>
      <c r="S5" s="1">
        <f>'Data_Raw++ (2015)'!S7</f>
        <v>207.39356404957189</v>
      </c>
      <c r="T5" s="1">
        <f>'Data_Raw++ (2015)'!T7</f>
        <v>199.2604831064514</v>
      </c>
      <c r="U5" s="1">
        <f>'Data_Raw++ (2015)'!U7</f>
        <v>70.010440010374822</v>
      </c>
      <c r="V5" s="1">
        <f>'Data_Raw++ (2015)'!V7</f>
        <v>28.522771856078627</v>
      </c>
      <c r="W5" s="1">
        <f>'Data_Raw++ (2015)'!W7</f>
        <v>52.732999100882651</v>
      </c>
      <c r="X5" s="1">
        <f>'Data_Raw++ (2015)'!X7</f>
        <v>97.932712615924927</v>
      </c>
      <c r="Y5" s="1">
        <f>'Data_Raw++ (2015)'!Y7</f>
        <v>50.450185286991626</v>
      </c>
      <c r="Z5" s="1">
        <f>'Data_Raw++ (2015)'!Z7</f>
        <v>46.569401803376877</v>
      </c>
      <c r="AA5" s="1">
        <f>'Data_Raw++ (2015)'!AA7</f>
        <v>31.046267868917923</v>
      </c>
    </row>
    <row r="6" spans="1:27" x14ac:dyDescent="0.2">
      <c r="A6" s="1" t="s">
        <v>20</v>
      </c>
      <c r="B6" s="1">
        <f>'Data_Raw++ (2015)'!B8</f>
        <v>16000</v>
      </c>
      <c r="C6" s="1">
        <f>'Data_Raw++ (2015)'!C8</f>
        <v>1204.3010752688174</v>
      </c>
      <c r="D6" s="1">
        <f>'Data_Raw++ (2015)'!D8</f>
        <v>2140.9796893667867</v>
      </c>
      <c r="E6" s="1">
        <f>'Data_Raw++ (2015)'!E8</f>
        <v>1682.1983273596181</v>
      </c>
      <c r="F6" s="1">
        <f>'Data_Raw++ (2015)'!F8</f>
        <v>4325.6528417818745</v>
      </c>
      <c r="G6" s="1">
        <f>'Data_Raw++ (2015)'!G8</f>
        <v>786.48233486943172</v>
      </c>
      <c r="H6" s="1">
        <f>'Data_Raw++ (2015)'!H8</f>
        <v>842.10526315789491</v>
      </c>
      <c r="I6" s="1">
        <f>'Data_Raw++ (2015)'!I8</f>
        <v>93.567251461988334</v>
      </c>
      <c r="J6" s="1">
        <f>'Data_Raw++ (2015)'!J8</f>
        <v>491.22807017543869</v>
      </c>
      <c r="K6" s="1">
        <f>'Data_Raw++ (2015)'!K8</f>
        <v>706.88917415489959</v>
      </c>
      <c r="L6" s="1">
        <f>'Data_Raw++ (2015)'!L8</f>
        <v>176.7222935387249</v>
      </c>
      <c r="M6" s="1">
        <f>'Data_Raw++ (2015)'!M8</f>
        <v>183.93544837704019</v>
      </c>
      <c r="N6" s="1">
        <f>'Data_Raw++ (2015)'!N8</f>
        <v>107.8242283589546</v>
      </c>
      <c r="O6" s="1">
        <f>'Data_Raw++ (2015)'!O8</f>
        <v>237.51686909581653</v>
      </c>
      <c r="P6" s="1">
        <f>'Data_Raw++ (2015)'!P8</f>
        <v>441.10275689223073</v>
      </c>
      <c r="Q6" s="1">
        <f>'Data_Raw++ (2015)'!Q8</f>
        <v>227.2347535505431</v>
      </c>
      <c r="R6" s="1">
        <f>'Data_Raw++ (2015)'!R8</f>
        <v>27.824663700066502</v>
      </c>
      <c r="S6" s="1">
        <f>'Data_Raw++ (2015)'!S8</f>
        <v>97.386322950232753</v>
      </c>
      <c r="T6" s="1">
        <f>'Data_Raw++ (2015)'!T8</f>
        <v>32.462107650077584</v>
      </c>
      <c r="U6" s="1">
        <f>'Data_Raw++ (2015)'!U8</f>
        <v>67.675241372195643</v>
      </c>
      <c r="V6" s="1">
        <f>'Data_Raw++ (2015)'!V8</f>
        <v>10.112392388948775</v>
      </c>
      <c r="W6" s="1">
        <f>'Data_Raw++ (2015)'!W8</f>
        <v>15.168588583423162</v>
      </c>
      <c r="X6" s="1">
        <f>'Data_Raw++ (2015)'!X8</f>
        <v>14.871165277865847</v>
      </c>
      <c r="Y6" s="1">
        <f>'Data_Raw++ (2015)'!Y8</f>
        <v>28.781424491623437</v>
      </c>
      <c r="Z6" s="1">
        <f>'Data_Raw++ (2015)'!Z8</f>
        <v>8.5970488741212865</v>
      </c>
      <c r="AA6" s="1">
        <f>'Data_Raw++ (2015)'!AA8</f>
        <v>12.035868423769802</v>
      </c>
    </row>
    <row r="7" spans="1:27" x14ac:dyDescent="0.2">
      <c r="A7" s="1" t="s">
        <v>32</v>
      </c>
      <c r="B7" s="1">
        <f>'Data_Raw++ (2015)'!B9</f>
        <v>10000</v>
      </c>
      <c r="C7" s="1">
        <f>'Data_Raw++ (2015)'!C9</f>
        <v>4285.7142857142853</v>
      </c>
      <c r="D7" s="1">
        <f>'Data_Raw++ (2015)'!D9</f>
        <v>5681.0631229235869</v>
      </c>
      <c r="E7" s="1">
        <f>'Data_Raw++ (2015)'!E9</f>
        <v>6669.0741008233417</v>
      </c>
      <c r="F7" s="1">
        <f>'Data_Raw++ (2015)'!F9</f>
        <v>4829.3295212858684</v>
      </c>
      <c r="G7" s="1">
        <f>'Data_Raw++ (2015)'!G9</f>
        <v>4457.8426350331083</v>
      </c>
      <c r="H7" s="1">
        <f>'Data_Raw++ (2015)'!H9</f>
        <v>2618.098055495635</v>
      </c>
      <c r="I7" s="1">
        <f>'Data_Raw++ (2015)'!I9</f>
        <v>391.21005426946266</v>
      </c>
      <c r="J7" s="1">
        <f>'Data_Raw++ (2015)'!J9</f>
        <v>1782.1791361164412</v>
      </c>
      <c r="K7" s="1">
        <f>'Data_Raw++ (2015)'!K9</f>
        <v>1400.2836069486323</v>
      </c>
      <c r="L7" s="1">
        <f>'Data_Raw++ (2015)'!L9</f>
        <v>858.23833974271008</v>
      </c>
      <c r="M7" s="1">
        <f>'Data_Raw++ (2015)'!M9</f>
        <v>824.5819342626038</v>
      </c>
      <c r="N7" s="1">
        <f>'Data_Raw++ (2015)'!N9</f>
        <v>622.0530381279292</v>
      </c>
      <c r="O7" s="1">
        <f>'Data_Raw++ (2015)'!O9</f>
        <v>647.44295805151808</v>
      </c>
      <c r="P7" s="1">
        <f>'Data_Raw++ (2015)'!P9</f>
        <v>380.24427695089156</v>
      </c>
      <c r="Q7" s="1">
        <f>'Data_Raw++ (2015)'!Q9</f>
        <v>223.318067415603</v>
      </c>
      <c r="R7" s="1">
        <f>'Data_Raw++ (2015)'!R9</f>
        <v>120.24819014686314</v>
      </c>
      <c r="S7" s="1">
        <f>'Data_Raw++ (2015)'!S9</f>
        <v>223.318067415603</v>
      </c>
      <c r="T7" s="1">
        <f>'Data_Raw++ (2015)'!T9</f>
        <v>182.71478243094788</v>
      </c>
      <c r="U7" s="1">
        <f>'Data_Raw++ (2015)'!U9</f>
        <v>111.98647955445193</v>
      </c>
      <c r="V7" s="1">
        <f>'Data_Raw++ (2015)'!V9</f>
        <v>148.44719382799443</v>
      </c>
      <c r="W7" s="1">
        <f>'Data_Raw++ (2015)'!W9</f>
        <v>57.729464266442285</v>
      </c>
      <c r="X7" s="1">
        <f>'Data_Raw++ (2015)'!X9</f>
        <v>102.63015869589741</v>
      </c>
      <c r="Y7" s="1">
        <f>'Data_Raw++ (2015)'!Y9</f>
        <v>153.9452380438461</v>
      </c>
      <c r="Z7" s="1">
        <f>'Data_Raw++ (2015)'!Z9</f>
        <v>51.315079347948704</v>
      </c>
      <c r="AA7" s="1">
        <f>'Data_Raw++ (2015)'!AA9</f>
        <v>40.318990916245404</v>
      </c>
    </row>
    <row r="8" spans="1:27" x14ac:dyDescent="0.2">
      <c r="A8" s="1" t="s">
        <v>37</v>
      </c>
      <c r="B8" s="1">
        <f>'Data_Raw++ (2015)'!B10</f>
        <v>10000</v>
      </c>
      <c r="C8" s="1">
        <f>'Data_Raw++ (2015)'!C10</f>
        <v>1363.6363636363635</v>
      </c>
      <c r="D8" s="1">
        <f>'Data_Raw++ (2015)'!D10</f>
        <v>4084.5070422535209</v>
      </c>
      <c r="E8" s="1">
        <f>'Data_Raw++ (2015)'!E10</f>
        <v>4084.5070422535209</v>
      </c>
      <c r="F8" s="1">
        <f>'Data_Raw++ (2015)'!F10</f>
        <v>3770.3141928494033</v>
      </c>
      <c r="G8" s="1">
        <f>'Data_Raw++ (2015)'!G10</f>
        <v>1774.2655025173663</v>
      </c>
      <c r="H8" s="1">
        <f>'Data_Raw++ (2015)'!H10</f>
        <v>1704.6864632029597</v>
      </c>
      <c r="I8" s="1">
        <f>'Data_Raw++ (2015)'!I10</f>
        <v>113.64576421353064</v>
      </c>
      <c r="J8" s="1">
        <f>'Data_Raw++ (2015)'!J10</f>
        <v>878.17181437728232</v>
      </c>
      <c r="K8" s="1">
        <f>'Data_Raw++ (2015)'!K10</f>
        <v>610.25498965200973</v>
      </c>
      <c r="L8" s="1">
        <f>'Data_Raw++ (2015)'!L10</f>
        <v>358.40372408133908</v>
      </c>
      <c r="M8" s="1">
        <f>'Data_Raw++ (2015)'!M10</f>
        <v>185.17525744202518</v>
      </c>
      <c r="N8" s="1">
        <f>'Data_Raw++ (2015)'!N10</f>
        <v>210.89404319786203</v>
      </c>
      <c r="O8" s="1">
        <f>'Data_Raw++ (2015)'!O10</f>
        <v>374.199467532357</v>
      </c>
      <c r="P8" s="1">
        <f>'Data_Raw++ (2015)'!P10</f>
        <v>100.23200023188134</v>
      </c>
      <c r="Q8" s="1">
        <f>'Data_Raw++ (2015)'!Q10</f>
        <v>118.16825290495484</v>
      </c>
      <c r="R8" s="1">
        <f>'Data_Raw++ (2015)'!R10</f>
        <v>20.853221100874382</v>
      </c>
      <c r="S8" s="1">
        <f>'Data_Raw++ (2015)'!S10</f>
        <v>70.262204429973153</v>
      </c>
      <c r="T8" s="1">
        <f>'Data_Raw++ (2015)'!T10</f>
        <v>63.629059256514147</v>
      </c>
      <c r="U8" s="1">
        <f>'Data_Raw++ (2015)'!U10</f>
        <v>38.998455673347387</v>
      </c>
      <c r="V8" s="1">
        <f>'Data_Raw++ (2015)'!V10</f>
        <v>15.928946683479918</v>
      </c>
      <c r="W8" s="1">
        <f>'Data_Raw++ (2015)'!W10</f>
        <v>15.928946683479918</v>
      </c>
      <c r="X8" s="1">
        <f>'Data_Raw++ (2015)'!X10</f>
        <v>27.433185954882081</v>
      </c>
      <c r="Y8" s="1">
        <f>'Data_Raw++ (2015)'!Y10</f>
        <v>56.475356423246986</v>
      </c>
      <c r="Z8" s="1">
        <f>'Data_Raw++ (2015)'!Z10</f>
        <v>58.780473011950953</v>
      </c>
      <c r="AA8" s="1">
        <f>'Data_Raw++ (2015)'!AA10</f>
        <v>69.003163970551114</v>
      </c>
    </row>
    <row r="9" spans="1:27" x14ac:dyDescent="0.2">
      <c r="A9" s="1" t="s">
        <v>42</v>
      </c>
      <c r="B9" s="1">
        <f>'Data_Raw++ (2015)'!B11</f>
        <v>8000</v>
      </c>
      <c r="C9" s="1">
        <f>'Data_Raw++ (2015)'!C11</f>
        <v>5114.7540983606559</v>
      </c>
      <c r="D9" s="1">
        <f>'Data_Raw++ (2015)'!D11</f>
        <v>6004.2765502494658</v>
      </c>
      <c r="E9" s="1">
        <f>'Data_Raw++ (2015)'!E11</f>
        <v>4347.9243984565101</v>
      </c>
      <c r="F9" s="1">
        <f>'Data_Raw++ (2015)'!F11</f>
        <v>2046.0820698618868</v>
      </c>
      <c r="G9" s="1">
        <f>'Data_Raw++ (2015)'!G11</f>
        <v>5261.3538939305654</v>
      </c>
      <c r="H9" s="1">
        <f>'Data_Raw++ (2015)'!H11</f>
        <v>2710.3944302066552</v>
      </c>
      <c r="I9" s="1">
        <f>'Data_Raw++ (2015)'!I11</f>
        <v>301.15493668962836</v>
      </c>
      <c r="J9" s="1">
        <f>'Data_Raw++ (2015)'!J11</f>
        <v>1067.7311391723188</v>
      </c>
      <c r="K9" s="1">
        <f>'Data_Raw++ (2015)'!K11</f>
        <v>1358.9305407647694</v>
      </c>
      <c r="L9" s="1">
        <f>'Data_Raw++ (2015)'!L11</f>
        <v>582.39880318490111</v>
      </c>
      <c r="M9" s="1">
        <f>'Data_Raw++ (2015)'!M11</f>
        <v>582.39880318490111</v>
      </c>
      <c r="N9" s="1">
        <f>'Data_Raw++ (2015)'!N11</f>
        <v>873.5982047773515</v>
      </c>
      <c r="O9" s="1">
        <f>'Data_Raw++ (2015)'!O11</f>
        <v>470.39903334165075</v>
      </c>
      <c r="P9" s="1">
        <f>'Data_Raw++ (2015)'!P11</f>
        <v>110.34051399372055</v>
      </c>
      <c r="Q9" s="1">
        <f>'Data_Raw++ (2015)'!Q11</f>
        <v>165.5107709905808</v>
      </c>
      <c r="R9" s="1">
        <f>'Data_Raw++ (2015)'!R11</f>
        <v>105.81836178086314</v>
      </c>
      <c r="S9" s="1">
        <f>'Data_Raw++ (2015)'!S11</f>
        <v>272.10435886507662</v>
      </c>
      <c r="T9" s="1">
        <f>'Data_Raw++ (2015)'!T11</f>
        <v>189.08946971979898</v>
      </c>
      <c r="U9" s="1">
        <f>'Data_Raw++ (2015)'!U11</f>
        <v>50.264289419187065</v>
      </c>
      <c r="V9" s="1">
        <f>'Data_Raw++ (2015)'!V11</f>
        <v>11.790388876105608</v>
      </c>
      <c r="W9" s="1">
        <f>'Data_Raw++ (2015)'!W11</f>
        <v>66.812203631265106</v>
      </c>
      <c r="X9" s="1">
        <f>'Data_Raw++ (2015)'!X11</f>
        <v>81.659359993768462</v>
      </c>
      <c r="Y9" s="1">
        <f>'Data_Raw++ (2015)'!Y11</f>
        <v>145.17219554447726</v>
      </c>
      <c r="Z9" s="1">
        <f>'Data_Raw++ (2015)'!Z11</f>
        <v>40.946003871519224</v>
      </c>
      <c r="AA9" s="1">
        <f>'Data_Raw++ (2015)'!AA11</f>
        <v>76.042578618535714</v>
      </c>
    </row>
    <row r="10" spans="1:27" x14ac:dyDescent="0.2">
      <c r="A10" s="1" t="s">
        <v>43</v>
      </c>
      <c r="B10" s="1">
        <f>'Data_Raw++ (2015)'!B12</f>
        <v>9000</v>
      </c>
      <c r="C10" s="1">
        <f>'Data_Raw++ (2015)'!C12</f>
        <v>2111.1111111111109</v>
      </c>
      <c r="D10" s="1">
        <f>'Data_Raw++ (2015)'!D12</f>
        <v>6333.3333333333321</v>
      </c>
      <c r="E10" s="1">
        <f>'Data_Raw++ (2015)'!E12</f>
        <v>3562.4999999999995</v>
      </c>
      <c r="F10" s="1">
        <f>'Data_Raw++ (2015)'!F12</f>
        <v>3159.1981132075466</v>
      </c>
      <c r="G10" s="1">
        <f>'Data_Raw++ (2015)'!G12</f>
        <v>3861.2421383647797</v>
      </c>
      <c r="H10" s="1">
        <f>'Data_Raw++ (2015)'!H12</f>
        <v>3289.2062660144416</v>
      </c>
      <c r="I10" s="1">
        <f>'Data_Raw++ (2015)'!I12</f>
        <v>325.30611422120847</v>
      </c>
      <c r="J10" s="1">
        <f>'Data_Raw++ (2015)'!J12</f>
        <v>2632.0221968806868</v>
      </c>
      <c r="K10" s="1">
        <f>'Data_Raw++ (2015)'!K12</f>
        <v>1182.5027261348014</v>
      </c>
      <c r="L10" s="1">
        <f>'Data_Raw++ (2015)'!L12</f>
        <v>353.21510001429129</v>
      </c>
      <c r="M10" s="1">
        <f>'Data_Raw++ (2015)'!M12</f>
        <v>382.6496916821489</v>
      </c>
      <c r="N10" s="1">
        <f>'Data_Raw++ (2015)'!N12</f>
        <v>742.79057797123028</v>
      </c>
      <c r="O10" s="1">
        <f>'Data_Raw++ (2015)'!O12</f>
        <v>274.73076171538656</v>
      </c>
      <c r="P10" s="1">
        <f>'Data_Raw++ (2015)'!P12</f>
        <v>243.6291660494937</v>
      </c>
      <c r="Q10" s="1">
        <f>'Data_Raw++ (2015)'!Q12</f>
        <v>143.08379593382963</v>
      </c>
      <c r="R10" s="1">
        <f>'Data_Raw++ (2015)'!R12</f>
        <v>14.675261121418425</v>
      </c>
      <c r="S10" s="1">
        <f>'Data_Raw++ (2015)'!S12</f>
        <v>243.6291660494937</v>
      </c>
      <c r="T10" s="1">
        <f>'Data_Raw++ (2015)'!T12</f>
        <v>149.32110177227034</v>
      </c>
      <c r="U10" s="1">
        <f>'Data_Raw++ (2015)'!U12</f>
        <v>34.8041665784991</v>
      </c>
      <c r="V10" s="1">
        <f>'Data_Raw++ (2015)'!V12</f>
        <v>20.149780650710007</v>
      </c>
      <c r="W10" s="1">
        <f>'Data_Raw++ (2015)'!W12</f>
        <v>44.723612372272235</v>
      </c>
      <c r="X10" s="1">
        <f>'Data_Raw++ (2015)'!X12</f>
        <v>22.028047884850505</v>
      </c>
      <c r="Y10" s="1">
        <f>'Data_Raw++ (2015)'!Y12</f>
        <v>31.698898175760483</v>
      </c>
      <c r="Z10" s="1">
        <f>'Data_Raw++ (2015)'!Z12</f>
        <v>10.010178371292783</v>
      </c>
      <c r="AA10" s="1">
        <f>'Data_Raw++ (2015)'!AA12</f>
        <v>24.507678081440954</v>
      </c>
    </row>
    <row r="11" spans="1:27" x14ac:dyDescent="0.2">
      <c r="A11" s="1" t="s">
        <v>48</v>
      </c>
      <c r="B11" s="1">
        <f>'Data_Raw++ (2015)'!B13</f>
        <v>11000</v>
      </c>
      <c r="C11" s="1">
        <f>'Data_Raw++ (2015)'!C13</f>
        <v>3666.6666666666665</v>
      </c>
      <c r="D11" s="1">
        <f>'Data_Raw++ (2015)'!D13</f>
        <v>6243.2432432432433</v>
      </c>
      <c r="E11" s="1">
        <f>'Data_Raw++ (2015)'!E13</f>
        <v>5762.9937629937631</v>
      </c>
      <c r="F11" s="1">
        <f>'Data_Raw++ (2015)'!F13</f>
        <v>4173.2023800989318</v>
      </c>
      <c r="G11" s="1">
        <f>'Data_Raw++ (2015)'!G13</f>
        <v>4343.5371711233784</v>
      </c>
      <c r="H11" s="1">
        <f>'Data_Raw++ (2015)'!H13</f>
        <v>2237.5797548211344</v>
      </c>
      <c r="I11" s="1">
        <f>'Data_Raw++ (2015)'!I13</f>
        <v>491.17604374122465</v>
      </c>
      <c r="J11" s="1">
        <f>'Data_Raw++ (2015)'!J13</f>
        <v>1555.3908051805447</v>
      </c>
      <c r="K11" s="1">
        <f>'Data_Raw++ (2015)'!K13</f>
        <v>1494.3950873303272</v>
      </c>
      <c r="L11" s="1">
        <f>'Data_Raw++ (2015)'!L13</f>
        <v>915.91956965407155</v>
      </c>
      <c r="M11" s="1">
        <f>'Data_Raw++ (2015)'!M13</f>
        <v>1032.8454721631022</v>
      </c>
      <c r="N11" s="1">
        <f>'Data_Raw++ (2015)'!N13</f>
        <v>779.16412812304213</v>
      </c>
      <c r="O11" s="1">
        <f>'Data_Raw++ (2015)'!O13</f>
        <v>612.20038638239021</v>
      </c>
      <c r="P11" s="1">
        <f>'Data_Raw++ (2015)'!P13</f>
        <v>238.07792803759619</v>
      </c>
      <c r="Q11" s="1">
        <f>'Data_Raw++ (2015)'!Q13</f>
        <v>211.12570976918906</v>
      </c>
      <c r="R11" s="1">
        <f>'Data_Raw++ (2015)'!R13</f>
        <v>99.353275185500735</v>
      </c>
      <c r="S11" s="1">
        <f>'Data_Raw++ (2015)'!S13</f>
        <v>452.60936473394776</v>
      </c>
      <c r="T11" s="1">
        <f>'Data_Raw++ (2015)'!T13</f>
        <v>222.92700054060114</v>
      </c>
      <c r="U11" s="1">
        <f>'Data_Raw++ (2015)'!U13</f>
        <v>114.84118209667332</v>
      </c>
      <c r="V11" s="1">
        <f>'Data_Raw++ (2015)'!V13</f>
        <v>38.280394032224443</v>
      </c>
      <c r="W11" s="1">
        <f>'Data_Raw++ (2015)'!W13</f>
        <v>98.435298940005694</v>
      </c>
      <c r="X11" s="1">
        <f>'Data_Raw++ (2015)'!X13</f>
        <v>57.811207313971593</v>
      </c>
      <c r="Y11" s="1">
        <f>'Data_Raw++ (2015)'!Y13</f>
        <v>83.191737354251799</v>
      </c>
      <c r="Z11" s="1">
        <f>'Data_Raw++ (2015)'!Z13</f>
        <v>44.795550883058652</v>
      </c>
      <c r="AA11" s="1">
        <f>'Data_Raw++ (2015)'!AA13</f>
        <v>39.724356443467101</v>
      </c>
    </row>
    <row r="12" spans="1:27" x14ac:dyDescent="0.2">
      <c r="A12" s="1" t="s">
        <v>44</v>
      </c>
      <c r="B12" s="1">
        <f>'Data_Raw++ (2015)'!B14</f>
        <v>14000</v>
      </c>
      <c r="C12" s="1">
        <f>'Data_Raw++ (2015)'!C14</f>
        <v>893.61702127659578</v>
      </c>
      <c r="D12" s="1">
        <f>'Data_Raw++ (2015)'!D14</f>
        <v>3574.4680851063831</v>
      </c>
      <c r="E12" s="1">
        <f>'Data_Raw++ (2015)'!E14</f>
        <v>3720.3647416413378</v>
      </c>
      <c r="F12" s="1">
        <f>'Data_Raw++ (2015)'!F14</f>
        <v>4030.3951367781165</v>
      </c>
      <c r="G12" s="1">
        <f>'Data_Raw++ (2015)'!G14</f>
        <v>1985.1199927414602</v>
      </c>
      <c r="H12" s="1">
        <f>'Data_Raw++ (2015)'!H14</f>
        <v>4860.1213615394372</v>
      </c>
      <c r="I12" s="1">
        <f>'Data_Raw++ (2015)'!I14</f>
        <v>49.092134965044828</v>
      </c>
      <c r="J12" s="1">
        <f>'Data_Raw++ (2015)'!J14</f>
        <v>769.11011445236886</v>
      </c>
      <c r="K12" s="1">
        <f>'Data_Raw++ (2015)'!K14</f>
        <v>629.27191182466538</v>
      </c>
      <c r="L12" s="1">
        <f>'Data_Raw++ (2015)'!L14</f>
        <v>709.60449631292056</v>
      </c>
      <c r="M12" s="1">
        <f>'Data_Raw++ (2015)'!M14</f>
        <v>416.75184704092163</v>
      </c>
      <c r="N12" s="1">
        <f>'Data_Raw++ (2015)'!N14</f>
        <v>277.83456469394781</v>
      </c>
      <c r="O12" s="1">
        <f>'Data_Raw++ (2015)'!O14</f>
        <v>300.9874450851101</v>
      </c>
      <c r="P12" s="1">
        <f>'Data_Raw++ (2015)'!P14</f>
        <v>300.9874450851101</v>
      </c>
      <c r="Q12" s="1">
        <f>'Data_Raw++ (2015)'!Q14</f>
        <v>227.0607041870129</v>
      </c>
      <c r="R12" s="1">
        <f>'Data_Raw++ (2015)'!R14</f>
        <v>25.228967131890325</v>
      </c>
      <c r="S12" s="1">
        <f>'Data_Raw++ (2015)'!S14</f>
        <v>168.84001080572756</v>
      </c>
      <c r="T12" s="1">
        <f>'Data_Raw++ (2015)'!T14</f>
        <v>75.855657028660218</v>
      </c>
      <c r="U12" s="1">
        <f>'Data_Raw++ (2015)'!U14</f>
        <v>46.492176888533677</v>
      </c>
      <c r="V12" s="1">
        <f>'Data_Raw++ (2015)'!V14</f>
        <v>6.3398423029818645</v>
      </c>
      <c r="W12" s="1">
        <f>'Data_Raw++ (2015)'!W14</f>
        <v>22.477622710572064</v>
      </c>
      <c r="X12" s="1">
        <f>'Data_Raw++ (2015)'!X14</f>
        <v>47.764948259965635</v>
      </c>
      <c r="Y12" s="1">
        <f>'Data_Raw++ (2015)'!Y14</f>
        <v>65.961119025666832</v>
      </c>
      <c r="Z12" s="1">
        <f>'Data_Raw++ (2015)'!Z14</f>
        <v>49.760142422871475</v>
      </c>
      <c r="AA12" s="1">
        <f>'Data_Raw++ (2015)'!AA14</f>
        <v>37.538353055850415</v>
      </c>
    </row>
    <row r="13" spans="1:27" x14ac:dyDescent="0.2">
      <c r="A13" s="1" t="s">
        <v>55</v>
      </c>
      <c r="B13" s="1">
        <f>'Data_Raw++ (2015)'!B15</f>
        <v>8000</v>
      </c>
      <c r="C13" s="1">
        <f>'Data_Raw++ (2015)'!C15</f>
        <v>3267.605633802817</v>
      </c>
      <c r="D13" s="1">
        <f>'Data_Raw++ (2015)'!D15</f>
        <v>4512.4077800134137</v>
      </c>
      <c r="E13" s="1">
        <f>'Data_Raw++ (2015)'!E15</f>
        <v>4512.4077800134137</v>
      </c>
      <c r="F13" s="1">
        <f>'Data_Raw++ (2015)'!F15</f>
        <v>3404.0970972031018</v>
      </c>
      <c r="G13" s="1">
        <f>'Data_Raw++ (2015)'!G15</f>
        <v>3270.6030933912152</v>
      </c>
      <c r="H13" s="1">
        <f>'Data_Raw++ (2015)'!H15</f>
        <v>1761.0939733645002</v>
      </c>
      <c r="I13" s="1">
        <f>'Data_Raw++ (2015)'!I15</f>
        <v>195.67710815161115</v>
      </c>
      <c r="J13" s="1">
        <f>'Data_Raw++ (2015)'!J15</f>
        <v>1434.9654597784818</v>
      </c>
      <c r="K13" s="1">
        <f>'Data_Raw++ (2015)'!K15</f>
        <v>1222.3779842557437</v>
      </c>
      <c r="L13" s="1">
        <f>'Data_Raw++ (2015)'!L15</f>
        <v>629.70987067720137</v>
      </c>
      <c r="M13" s="1">
        <f>'Data_Raw++ (2015)'!M15</f>
        <v>339.07454574926226</v>
      </c>
      <c r="N13" s="1">
        <f>'Data_Raw++ (2015)'!N15</f>
        <v>688.4240777333506</v>
      </c>
      <c r="O13" s="1">
        <f>'Data_Raw++ (2015)'!O15</f>
        <v>498.51398732415043</v>
      </c>
      <c r="P13" s="1">
        <f>'Data_Raw++ (2015)'!P15</f>
        <v>157.42546968131066</v>
      </c>
      <c r="Q13" s="1">
        <f>'Data_Raw++ (2015)'!Q15</f>
        <v>100.64907077985437</v>
      </c>
      <c r="R13" s="1">
        <f>'Data_Raw++ (2015)'!R15</f>
        <v>56.615102313668082</v>
      </c>
      <c r="S13" s="1">
        <f>'Data_Raw++ (2015)'!S15</f>
        <v>109.89990449123803</v>
      </c>
      <c r="T13" s="1">
        <f>'Data_Raw++ (2015)'!T15</f>
        <v>123.92967953267268</v>
      </c>
      <c r="U13" s="1">
        <f>'Data_Raw++ (2015)'!U15</f>
        <v>79.233729537282528</v>
      </c>
      <c r="V13" s="1">
        <f>'Data_Raw++ (2015)'!V15</f>
        <v>67.495399235462898</v>
      </c>
      <c r="W13" s="1">
        <f>'Data_Raw++ (2015)'!W15</f>
        <v>44.996932823641941</v>
      </c>
      <c r="X13" s="1">
        <f>'Data_Raw++ (2015)'!X15</f>
        <v>48.746677225612103</v>
      </c>
      <c r="Y13" s="1">
        <f>'Data_Raw++ (2015)'!Y15</f>
        <v>48.746677225612103</v>
      </c>
      <c r="Z13" s="1">
        <f>'Data_Raw++ (2015)'!Z15</f>
        <v>29.876995718923549</v>
      </c>
      <c r="AA13" s="1">
        <f>'Data_Raw++ (2015)'!AA15</f>
        <v>42.993725546743647</v>
      </c>
    </row>
    <row r="14" spans="1:27" x14ac:dyDescent="0.2">
      <c r="A14" s="1" t="s">
        <v>60</v>
      </c>
      <c r="B14" s="1">
        <f>'Data_Raw++ (2015)'!B16</f>
        <v>8000</v>
      </c>
      <c r="C14" s="1">
        <f>'Data_Raw++ (2015)'!C16</f>
        <v>2389.6103896103896</v>
      </c>
      <c r="D14" s="1">
        <f>'Data_Raw++ (2015)'!D16</f>
        <v>3584.4155844155839</v>
      </c>
      <c r="E14" s="1">
        <f>'Data_Raw++ (2015)'!E16</f>
        <v>3053.3910533910525</v>
      </c>
      <c r="F14" s="1">
        <f>'Data_Raw++ (2015)'!F16</f>
        <v>3053.3910533910525</v>
      </c>
      <c r="G14" s="1">
        <f>'Data_Raw++ (2015)'!G16</f>
        <v>2818.5148185148178</v>
      </c>
      <c r="H14" s="1">
        <f>'Data_Raw++ (2015)'!H16</f>
        <v>1958.6289416797886</v>
      </c>
      <c r="I14" s="1">
        <f>'Data_Raw++ (2015)'!I16</f>
        <v>125.01886861785884</v>
      </c>
      <c r="J14" s="1">
        <f>'Data_Raw++ (2015)'!J16</f>
        <v>1264.0796715805729</v>
      </c>
      <c r="K14" s="1">
        <f>'Data_Raw++ (2015)'!K16</f>
        <v>1166.8427737666827</v>
      </c>
      <c r="L14" s="1">
        <f>'Data_Raw++ (2015)'!L16</f>
        <v>431.57198481781421</v>
      </c>
      <c r="M14" s="1">
        <f>'Data_Raw++ (2015)'!M16</f>
        <v>299.90595555136241</v>
      </c>
      <c r="N14" s="1">
        <f>'Data_Raw++ (2015)'!N16</f>
        <v>510.65068107394137</v>
      </c>
      <c r="O14" s="1">
        <f>'Data_Raw++ (2015)'!O16</f>
        <v>369.78152767423342</v>
      </c>
      <c r="P14" s="1">
        <f>'Data_Raw++ (2015)'!P16</f>
        <v>151.03752538806719</v>
      </c>
      <c r="Q14" s="1">
        <f>'Data_Raw++ (2015)'!Q16</f>
        <v>67.857438942464981</v>
      </c>
      <c r="R14" s="1">
        <f>'Data_Raw++ (2015)'!R16</f>
        <v>26.389004033180829</v>
      </c>
      <c r="S14" s="1">
        <f>'Data_Raw++ (2015)'!S16</f>
        <v>83.565179438405963</v>
      </c>
      <c r="T14" s="1">
        <f>'Data_Raw++ (2015)'!T16</f>
        <v>83.565179438405963</v>
      </c>
      <c r="U14" s="1">
        <f>'Data_Raw++ (2015)'!U16</f>
        <v>43.048728801603069</v>
      </c>
      <c r="V14" s="1">
        <f>'Data_Raw++ (2015)'!V16</f>
        <v>43.048728801603069</v>
      </c>
      <c r="W14" s="1">
        <f>'Data_Raw++ (2015)'!W16</f>
        <v>28.699152534402049</v>
      </c>
      <c r="X14" s="1">
        <f>'Data_Raw++ (2015)'!X16</f>
        <v>32.362874134538487</v>
      </c>
      <c r="Y14" s="1">
        <f>'Data_Raw++ (2015)'!Y16</f>
        <v>42.899623852760314</v>
      </c>
      <c r="Z14" s="1">
        <f>'Data_Raw++ (2015)'!Z16</f>
        <v>15.86698416471957</v>
      </c>
      <c r="AA14" s="1">
        <f>'Data_Raw++ (2015)'!AA16</f>
        <v>30.80061631974975</v>
      </c>
    </row>
    <row r="15" spans="1:27" x14ac:dyDescent="0.2">
      <c r="A15" s="1" t="s">
        <v>61</v>
      </c>
      <c r="B15" s="1">
        <f>'Data_Raw++ (2015)'!B17</f>
        <v>8000</v>
      </c>
      <c r="C15" s="1">
        <f>'Data_Raw++ (2015)'!C17</f>
        <v>1195.4022988505749</v>
      </c>
      <c r="D15" s="1">
        <f>'Data_Raw++ (2015)'!D17</f>
        <v>3232.0136228182209</v>
      </c>
      <c r="E15" s="1">
        <f>'Data_Raw++ (2015)'!E17</f>
        <v>2245.9755683991029</v>
      </c>
      <c r="F15" s="1">
        <f>'Data_Raw++ (2015)'!F17</f>
        <v>1913.2384471547912</v>
      </c>
      <c r="G15" s="1">
        <f>'Data_Raw++ (2015)'!G17</f>
        <v>1629.7957142429702</v>
      </c>
      <c r="H15" s="1">
        <f>'Data_Raw++ (2015)'!H17</f>
        <v>1388.3444973180858</v>
      </c>
      <c r="I15" s="1">
        <f>'Data_Raw++ (2015)'!I17</f>
        <v>137.30879643805244</v>
      </c>
      <c r="J15" s="1">
        <f>'Data_Raw++ (2015)'!J17</f>
        <v>585.36907955169727</v>
      </c>
      <c r="K15" s="1">
        <f>'Data_Raw++ (2015)'!K17</f>
        <v>519.10088186659937</v>
      </c>
      <c r="L15" s="1">
        <f>'Data_Raw++ (2015)'!L17</f>
        <v>182.3867963315079</v>
      </c>
      <c r="M15" s="1">
        <f>'Data_Raw++ (2015)'!M17</f>
        <v>273.5801944972618</v>
      </c>
      <c r="N15" s="1">
        <f>'Data_Raw++ (2015)'!N17</f>
        <v>262.85155941893777</v>
      </c>
      <c r="O15" s="1">
        <f>'Data_Raw++ (2015)'!O17</f>
        <v>175.23437294595851</v>
      </c>
      <c r="P15" s="1">
        <f>'Data_Raw++ (2015)'!P17</f>
        <v>63.721590162166727</v>
      </c>
      <c r="Q15" s="1">
        <f>'Data_Raw++ (2015)'!Q17</f>
        <v>52.342734776065534</v>
      </c>
      <c r="R15" s="1">
        <f>'Data_Raw++ (2015)'!R17</f>
        <v>10.720801098712219</v>
      </c>
      <c r="S15" s="1">
        <f>'Data_Raw++ (2015)'!S17</f>
        <v>60.751206226035912</v>
      </c>
      <c r="T15" s="1">
        <f>'Data_Raw++ (2015)'!T17</f>
        <v>56.078036516340838</v>
      </c>
      <c r="U15" s="1">
        <f>'Data_Raw++ (2015)'!U17</f>
        <v>12.309812893830916</v>
      </c>
      <c r="V15" s="1">
        <f>'Data_Raw++ (2015)'!V17</f>
        <v>2.3080899175932967</v>
      </c>
      <c r="W15" s="1">
        <f>'Data_Raw++ (2015)'!W17</f>
        <v>15.237771560518132</v>
      </c>
      <c r="X15" s="1">
        <f>'Data_Raw++ (2015)'!X17</f>
        <v>27.089371663143346</v>
      </c>
      <c r="Y15" s="1">
        <f>'Data_Raw++ (2015)'!Y17</f>
        <v>21.284506306755485</v>
      </c>
      <c r="Z15" s="1">
        <f>'Data_Raw++ (2015)'!Z17</f>
        <v>6.9242697527798907</v>
      </c>
      <c r="AA15" s="1">
        <f>'Data_Raw++ (2015)'!AA17</f>
        <v>20.311191274821013</v>
      </c>
    </row>
    <row r="16" spans="1:27" x14ac:dyDescent="0.2">
      <c r="A16" s="1" t="s">
        <v>57</v>
      </c>
      <c r="B16" s="1">
        <f>'Data_Raw++ (2015)'!B18</f>
        <v>7000</v>
      </c>
      <c r="C16" s="1">
        <f>'Data_Raw++ (2015)'!C18</f>
        <v>608.695652173913</v>
      </c>
      <c r="D16" s="1">
        <f>'Data_Raw++ (2015)'!D18</f>
        <v>1293.4782608695652</v>
      </c>
      <c r="E16" s="1">
        <f>'Data_Raw++ (2015)'!E18</f>
        <v>2626.152832674572</v>
      </c>
      <c r="F16" s="1">
        <f>'Data_Raw++ (2015)'!F18</f>
        <v>2844.9989020641196</v>
      </c>
      <c r="G16" s="1">
        <f>'Data_Raw++ (2015)'!G18</f>
        <v>756.26553092843687</v>
      </c>
      <c r="H16" s="1">
        <f>'Data_Raw++ (2015)'!H18</f>
        <v>1468.0448541552009</v>
      </c>
      <c r="I16" s="1">
        <f>'Data_Raw++ (2015)'!I18</f>
        <v>43.822234452394056</v>
      </c>
      <c r="J16" s="1">
        <f>'Data_Raw++ (2015)'!J18</f>
        <v>438.50690448791715</v>
      </c>
      <c r="K16" s="1">
        <f>'Data_Raw++ (2015)'!K18</f>
        <v>494.48650931616191</v>
      </c>
      <c r="L16" s="1">
        <f>'Data_Raw++ (2015)'!L18</f>
        <v>243.55305682736335</v>
      </c>
      <c r="M16" s="1">
        <f>'Data_Raw++ (2015)'!M18</f>
        <v>94.002934214070052</v>
      </c>
      <c r="N16" s="1">
        <f>'Data_Raw++ (2015)'!N18</f>
        <v>101.2339291536139</v>
      </c>
      <c r="O16" s="1">
        <f>'Data_Raw++ (2015)'!O18</f>
        <v>259.06673896856489</v>
      </c>
      <c r="P16" s="1">
        <f>'Data_Raw++ (2015)'!P18</f>
        <v>145.72504066981776</v>
      </c>
      <c r="Q16" s="1">
        <f>'Data_Raw++ (2015)'!Q18</f>
        <v>65.470670445860165</v>
      </c>
      <c r="R16" s="1">
        <f>'Data_Raw++ (2015)'!R18</f>
        <v>7.6128686564953689</v>
      </c>
      <c r="S16" s="1">
        <f>'Data_Raw++ (2015)'!S18</f>
        <v>22.838605969486107</v>
      </c>
      <c r="T16" s="1">
        <f>'Data_Raw++ (2015)'!T18</f>
        <v>34.257908954229165</v>
      </c>
      <c r="U16" s="1">
        <f>'Data_Raw++ (2015)'!U18</f>
        <v>30.17958645967807</v>
      </c>
      <c r="V16" s="1">
        <f>'Data_Raw++ (2015)'!V18</f>
        <v>27.858079808933603</v>
      </c>
      <c r="W16" s="1">
        <f>'Data_Raw++ (2015)'!W18</f>
        <v>104.79944309075024</v>
      </c>
      <c r="X16" s="1">
        <f>'Data_Raw++ (2015)'!X18</f>
        <v>0</v>
      </c>
      <c r="Y16" s="1">
        <f>'Data_Raw++ (2015)'!Y18</f>
        <v>17.810903484400171</v>
      </c>
      <c r="Z16" s="1">
        <f>'Data_Raw++ (2015)'!Z18</f>
        <v>10.916360200116234</v>
      </c>
      <c r="AA16" s="1">
        <f>'Data_Raw++ (2015)'!AA18</f>
        <v>0</v>
      </c>
    </row>
    <row r="17" spans="1:27" x14ac:dyDescent="0.2">
      <c r="A17" s="1" t="s">
        <v>71</v>
      </c>
      <c r="B17" s="1">
        <f>'Data_Raw++ (2015)'!B19</f>
        <v>9000</v>
      </c>
      <c r="C17" s="1">
        <f>'Data_Raw++ (2015)'!C19</f>
        <v>2842.1052631578946</v>
      </c>
      <c r="D17" s="1">
        <f>'Data_Raw++ (2015)'!D19</f>
        <v>3617.2248803827752</v>
      </c>
      <c r="E17" s="1">
        <f>'Data_Raw++ (2015)'!E19</f>
        <v>3764.8667122351335</v>
      </c>
      <c r="F17" s="1">
        <f>'Data_Raw++ (2015)'!F19</f>
        <v>3207.1086807928914</v>
      </c>
      <c r="G17" s="1">
        <f>'Data_Raw++ (2015)'!G19</f>
        <v>2419.3977767384972</v>
      </c>
      <c r="H17" s="1">
        <f>'Data_Raw++ (2015)'!H19</f>
        <v>940.87691317608233</v>
      </c>
      <c r="I17" s="1">
        <f>'Data_Raw++ (2015)'!I19</f>
        <v>166.037102325191</v>
      </c>
      <c r="J17" s="1">
        <f>'Data_Raw++ (2015)'!J19</f>
        <v>1343.3911006310909</v>
      </c>
      <c r="K17" s="1">
        <f>'Data_Raw++ (2015)'!K19</f>
        <v>755.65749410498859</v>
      </c>
      <c r="L17" s="1">
        <f>'Data_Raw++ (2015)'!L19</f>
        <v>525.11791963228018</v>
      </c>
      <c r="M17" s="1">
        <f>'Data_Raw++ (2015)'!M19</f>
        <v>465.67060797579558</v>
      </c>
      <c r="N17" s="1">
        <f>'Data_Raw++ (2015)'!N19</f>
        <v>447.40901550615655</v>
      </c>
      <c r="O17" s="1">
        <f>'Data_Raw++ (2015)'!O19</f>
        <v>366.06192177776444</v>
      </c>
      <c r="P17" s="1">
        <f>'Data_Raw++ (2015)'!P19</f>
        <v>197.11026557264239</v>
      </c>
      <c r="Q17" s="1">
        <f>'Data_Raw++ (2015)'!Q19</f>
        <v>120.80951760903889</v>
      </c>
      <c r="R17" s="1">
        <f>'Data_Raw++ (2015)'!R19</f>
        <v>38.150373981801749</v>
      </c>
      <c r="S17" s="1">
        <f>'Data_Raw++ (2015)'!S19</f>
        <v>135.26041684456985</v>
      </c>
      <c r="T17" s="1">
        <f>'Data_Raw++ (2015)'!T19</f>
        <v>119.94791682442985</v>
      </c>
      <c r="U17" s="1">
        <f>'Data_Raw++ (2015)'!U19</f>
        <v>67.470703213741785</v>
      </c>
      <c r="V17" s="1">
        <f>'Data_Raw++ (2015)'!V19</f>
        <v>37.952270557729747</v>
      </c>
      <c r="W17" s="1">
        <f>'Data_Raw++ (2015)'!W19</f>
        <v>37.952270557729747</v>
      </c>
      <c r="X17" s="1">
        <f>'Data_Raw++ (2015)'!X19</f>
        <v>70.482788178640959</v>
      </c>
      <c r="Y17" s="1">
        <f>'Data_Raw++ (2015)'!Y19</f>
        <v>46.988525452427311</v>
      </c>
      <c r="Z17" s="1">
        <f>'Data_Raw++ (2015)'!Z19</f>
        <v>30.041844141715824</v>
      </c>
      <c r="AA17" s="1">
        <f>'Data_Raw++ (2015)'!AA19</f>
        <v>36.717809506541563</v>
      </c>
    </row>
    <row r="18" spans="1:27" x14ac:dyDescent="0.2">
      <c r="A18" s="1" t="s">
        <v>79</v>
      </c>
      <c r="B18" s="1">
        <f>'Data_Raw++ (2015)'!B20</f>
        <v>6000</v>
      </c>
      <c r="C18" s="1">
        <f>'Data_Raw++ (2015)'!C20</f>
        <v>2695.6521739130435</v>
      </c>
      <c r="D18" s="1">
        <f>'Data_Raw++ (2015)'!D20</f>
        <v>4216.2764771460425</v>
      </c>
      <c r="E18" s="1">
        <f>'Data_Raw++ (2015)'!E20</f>
        <v>3180.6997985487692</v>
      </c>
      <c r="F18" s="1">
        <f>'Data_Raw++ (2015)'!F20</f>
        <v>2399.4752866245103</v>
      </c>
      <c r="G18" s="1">
        <f>'Data_Raw++ (2015)'!G20</f>
        <v>2497.4130534255105</v>
      </c>
      <c r="H18" s="1">
        <f>'Data_Raw++ (2015)'!H20</f>
        <v>1664.9420356170071</v>
      </c>
      <c r="I18" s="1">
        <f>'Data_Raw++ (2015)'!I20</f>
        <v>365.47508098909913</v>
      </c>
      <c r="J18" s="1">
        <f>'Data_Raw++ (2015)'!J20</f>
        <v>1223.5470102678537</v>
      </c>
      <c r="K18" s="1">
        <f>'Data_Raw++ (2015)'!K20</f>
        <v>688.24519327566759</v>
      </c>
      <c r="L18" s="1">
        <f>'Data_Raw++ (2015)'!L20</f>
        <v>323.88009095325532</v>
      </c>
      <c r="M18" s="1">
        <f>'Data_Raw++ (2015)'!M20</f>
        <v>466.07135039614786</v>
      </c>
      <c r="N18" s="1">
        <f>'Data_Raw++ (2015)'!N20</f>
        <v>547.12723742156493</v>
      </c>
      <c r="O18" s="1">
        <f>'Data_Raw++ (2015)'!O20</f>
        <v>364.75149161437662</v>
      </c>
      <c r="P18" s="1">
        <f>'Data_Raw++ (2015)'!P20</f>
        <v>96.959257264581112</v>
      </c>
      <c r="Q18" s="1">
        <f>'Data_Raw++ (2015)'!Q20</f>
        <v>82.594922855013536</v>
      </c>
      <c r="R18" s="1">
        <f>'Data_Raw++ (2015)'!R20</f>
        <v>33.735954405568911</v>
      </c>
      <c r="S18" s="1">
        <f>'Data_Raw++ (2015)'!S20</f>
        <v>112.9421082273394</v>
      </c>
      <c r="T18" s="1">
        <f>'Data_Raw++ (2015)'!T20</f>
        <v>108.51300594391434</v>
      </c>
      <c r="U18" s="1">
        <f>'Data_Raw++ (2015)'!U20</f>
        <v>66.507971384979754</v>
      </c>
      <c r="V18" s="1">
        <f>'Data_Raw++ (2015)'!V20</f>
        <v>19.866017426682266</v>
      </c>
      <c r="W18" s="1">
        <f>'Data_Raw++ (2015)'!W20</f>
        <v>38.563445592971455</v>
      </c>
      <c r="X18" s="1">
        <f>'Data_Raw++ (2015)'!X20</f>
        <v>49.080748936509124</v>
      </c>
      <c r="Y18" s="1">
        <f>'Data_Raw++ (2015)'!Y20</f>
        <v>31.379495221702555</v>
      </c>
      <c r="Z18" s="1">
        <f>'Data_Raw++ (2015)'!Z20</f>
        <v>13.448355095015382</v>
      </c>
      <c r="AA18" s="1">
        <f>'Data_Raw++ (2015)'!AA20</f>
        <v>27.304236102000928</v>
      </c>
    </row>
    <row r="19" spans="1:27" x14ac:dyDescent="0.2">
      <c r="A19" s="1" t="s">
        <v>94</v>
      </c>
      <c r="B19" s="1">
        <f>'Data_Raw++ (2015)'!B21</f>
        <v>5000</v>
      </c>
      <c r="C19" s="1">
        <f>'Data_Raw++ (2015)'!C21</f>
        <v>1329.1139240506329</v>
      </c>
      <c r="D19" s="1">
        <f>'Data_Raw++ (2015)'!D21</f>
        <v>3101.2658227848101</v>
      </c>
      <c r="E19" s="1">
        <f>'Data_Raw++ (2015)'!E21</f>
        <v>2979.6475552246216</v>
      </c>
      <c r="F19" s="1">
        <f>'Data_Raw++ (2015)'!F21</f>
        <v>2642.3289640671169</v>
      </c>
      <c r="G19" s="1">
        <f>'Data_Raw++ (2015)'!G21</f>
        <v>2750.1791258657745</v>
      </c>
      <c r="H19" s="1">
        <f>'Data_Raw++ (2015)'!H21</f>
        <v>1235.5877232150581</v>
      </c>
      <c r="I19" s="1">
        <f>'Data_Raw++ (2015)'!I21</f>
        <v>93.001226478552766</v>
      </c>
      <c r="J19" s="1">
        <f>'Data_Raw++ (2015)'!J21</f>
        <v>1457.0192148306601</v>
      </c>
      <c r="K19" s="1">
        <f>'Data_Raw++ (2015)'!K21</f>
        <v>1144.8008116526614</v>
      </c>
      <c r="L19" s="1">
        <f>'Data_Raw++ (2015)'!L21</f>
        <v>514.33079943815221</v>
      </c>
      <c r="M19" s="1">
        <f>'Data_Raw++ (2015)'!M21</f>
        <v>342.88719962543485</v>
      </c>
      <c r="N19" s="1">
        <f>'Data_Raw++ (2015)'!N21</f>
        <v>665.60456397878522</v>
      </c>
      <c r="O19" s="1">
        <f>'Data_Raw++ (2015)'!O21</f>
        <v>358.40245752703817</v>
      </c>
      <c r="P19" s="1">
        <f>'Data_Raw++ (2015)'!P21</f>
        <v>259.53281407130351</v>
      </c>
      <c r="Q19" s="1">
        <f>'Data_Raw++ (2015)'!Q21</f>
        <v>77.522788618701043</v>
      </c>
      <c r="R19" s="1">
        <f>'Data_Raw++ (2015)'!R21</f>
        <v>111.55718362203321</v>
      </c>
      <c r="S19" s="1">
        <f>'Data_Raw++ (2015)'!S21</f>
        <v>74.371455748022143</v>
      </c>
      <c r="T19" s="1">
        <f>'Data_Raw++ (2015)'!T21</f>
        <v>65.952045663340371</v>
      </c>
      <c r="U19" s="1">
        <f>'Data_Raw++ (2015)'!U21</f>
        <v>38.733741103866564</v>
      </c>
      <c r="V19" s="1">
        <f>'Data_Raw++ (2015)'!V21</f>
        <v>19.953745417143381</v>
      </c>
      <c r="W19" s="1">
        <f>'Data_Raw++ (2015)'!W21</f>
        <v>59.861236251430142</v>
      </c>
      <c r="X19" s="1">
        <f>'Data_Raw++ (2015)'!X21</f>
        <v>13.140271372265154</v>
      </c>
      <c r="Y19" s="1">
        <f>'Data_Raw++ (2015)'!Y21</f>
        <v>16.060331677212968</v>
      </c>
      <c r="Z19" s="1">
        <f>'Data_Raw++ (2015)'!Z21</f>
        <v>13.140271372265156</v>
      </c>
      <c r="AA19" s="1">
        <f>'Data_Raw++ (2015)'!AA21</f>
        <v>26.678732786114104</v>
      </c>
    </row>
    <row r="20" spans="1:27" x14ac:dyDescent="0.2">
      <c r="A20" s="1" t="s">
        <v>78</v>
      </c>
      <c r="B20" s="1">
        <f>'Data_Raw++ (2015)'!B22</f>
        <v>8000</v>
      </c>
      <c r="C20" s="1">
        <f>'Data_Raw++ (2015)'!C22</f>
        <v>2666.6666666666665</v>
      </c>
      <c r="D20" s="1">
        <f>'Data_Raw++ (2015)'!D22</f>
        <v>5176.4705882352937</v>
      </c>
      <c r="E20" s="1">
        <f>'Data_Raw++ (2015)'!E22</f>
        <v>4409.58605664488</v>
      </c>
      <c r="F20" s="1">
        <f>'Data_Raw++ (2015)'!F22</f>
        <v>4409.58605664488</v>
      </c>
      <c r="G20" s="1">
        <f>'Data_Raw++ (2015)'!G22</f>
        <v>3756.3140482530457</v>
      </c>
      <c r="H20" s="1">
        <f>'Data_Raw++ (2015)'!H22</f>
        <v>2302.2569973163831</v>
      </c>
      <c r="I20" s="1">
        <f>'Data_Raw++ (2015)'!I22</f>
        <v>406.28064658524409</v>
      </c>
      <c r="J20" s="1">
        <f>'Data_Raw++ (2015)'!J22</f>
        <v>1218.8419397557323</v>
      </c>
      <c r="K20" s="1">
        <f>'Data_Raw++ (2015)'!K22</f>
        <v>957.66152409378958</v>
      </c>
      <c r="L20" s="1">
        <f>'Data_Raw++ (2015)'!L22</f>
        <v>224.63665379977778</v>
      </c>
      <c r="M20" s="1">
        <f>'Data_Raw++ (2015)'!M22</f>
        <v>1023.3447561989876</v>
      </c>
      <c r="N20" s="1">
        <f>'Data_Raw++ (2015)'!N22</f>
        <v>771.99692134309601</v>
      </c>
      <c r="O20" s="1">
        <f>'Data_Raw++ (2015)'!O22</f>
        <v>493.57180217017611</v>
      </c>
      <c r="P20" s="1">
        <f>'Data_Raw++ (2015)'!P22</f>
        <v>123.39295054254404</v>
      </c>
      <c r="Q20" s="1">
        <f>'Data_Raw++ (2015)'!Q22</f>
        <v>192.99923033577403</v>
      </c>
      <c r="R20" s="1">
        <f>'Data_Raw++ (2015)'!R22</f>
        <v>21.444358926197115</v>
      </c>
      <c r="S20" s="1">
        <f>'Data_Raw++ (2015)'!S22</f>
        <v>157.25863212544553</v>
      </c>
      <c r="T20" s="1">
        <f>'Data_Raw++ (2015)'!T22</f>
        <v>96.384322915595646</v>
      </c>
      <c r="U20" s="1">
        <f>'Data_Raw++ (2015)'!U22</f>
        <v>35.648996146864143</v>
      </c>
      <c r="V20" s="1">
        <f>'Data_Raw++ (2015)'!V22</f>
        <v>10.054845067064244</v>
      </c>
      <c r="W20" s="1">
        <f>'Data_Raw++ (2015)'!W22</f>
        <v>37.825369538003592</v>
      </c>
      <c r="X20" s="1">
        <f>'Data_Raw++ (2015)'!X22</f>
        <v>39.369262172207819</v>
      </c>
      <c r="Y20" s="1">
        <f>'Data_Raw++ (2015)'!Y22</f>
        <v>69.989799417258354</v>
      </c>
      <c r="Z20" s="1">
        <f>'Data_Raw++ (2015)'!Z22</f>
        <v>24.591010606063747</v>
      </c>
      <c r="AA20" s="1">
        <f>'Data_Raw++ (2015)'!AA22</f>
        <v>33.959014646468987</v>
      </c>
    </row>
    <row r="21" spans="1:27" x14ac:dyDescent="0.2">
      <c r="A21" s="1" t="s">
        <v>81</v>
      </c>
      <c r="B21" s="1">
        <f>'Data_Raw++ (2015)'!B23</f>
        <v>7000</v>
      </c>
      <c r="C21" s="1">
        <f>'Data_Raw++ (2015)'!C23</f>
        <v>1974.3589743589744</v>
      </c>
      <c r="D21" s="1">
        <f>'Data_Raw++ (2015)'!D23</f>
        <v>3221.3225371120107</v>
      </c>
      <c r="E21" s="1">
        <f>'Data_Raw++ (2015)'!E23</f>
        <v>2856.6445140427259</v>
      </c>
      <c r="F21" s="1">
        <f>'Data_Raw++ (2015)'!F23</f>
        <v>2533.2507954718512</v>
      </c>
      <c r="G21" s="1">
        <f>'Data_Raw++ (2015)'!G23</f>
        <v>2533.2507954718512</v>
      </c>
      <c r="H21" s="1">
        <f>'Data_Raw++ (2015)'!H23</f>
        <v>1552.6375843214573</v>
      </c>
      <c r="I21" s="1">
        <f>'Data_Raw++ (2015)'!I23</f>
        <v>153.55756328453973</v>
      </c>
      <c r="J21" s="1">
        <f>'Data_Raw++ (2015)'!J23</f>
        <v>1027.6544619811502</v>
      </c>
      <c r="K21" s="1">
        <f>'Data_Raw++ (2015)'!K23</f>
        <v>875.40935650246126</v>
      </c>
      <c r="L21" s="1">
        <f>'Data_Raw++ (2015)'!L23</f>
        <v>357.5615681488926</v>
      </c>
      <c r="M21" s="1">
        <f>'Data_Raw++ (2015)'!M23</f>
        <v>269.73942860355055</v>
      </c>
      <c r="N21" s="1">
        <f>'Data_Raw++ (2015)'!N23</f>
        <v>440.1011729847404</v>
      </c>
      <c r="O21" s="1">
        <f>'Data_Raw++ (2015)'!O23</f>
        <v>318.69395285101893</v>
      </c>
      <c r="P21" s="1">
        <f>'Data_Raw++ (2015)'!P23</f>
        <v>111.97355100170937</v>
      </c>
      <c r="Q21" s="1">
        <f>'Data_Raw++ (2015)'!Q23</f>
        <v>57.683344455426038</v>
      </c>
      <c r="R21" s="1">
        <f>'Data_Raw++ (2015)'!R23</f>
        <v>23.560802664892329</v>
      </c>
      <c r="S21" s="1">
        <f>'Data_Raw++ (2015)'!S23</f>
        <v>74.609208438825718</v>
      </c>
      <c r="T21" s="1">
        <f>'Data_Raw++ (2015)'!T23</f>
        <v>77.654482252655342</v>
      </c>
      <c r="U21" s="1">
        <f>'Data_Raw++ (2015)'!U23</f>
        <v>40.00382419076184</v>
      </c>
      <c r="V21" s="1">
        <f>'Data_Raw++ (2015)'!V23</f>
        <v>26.669216127174561</v>
      </c>
      <c r="W21" s="1">
        <f>'Data_Raw++ (2015)'!W23</f>
        <v>27.75775556093679</v>
      </c>
      <c r="X21" s="1">
        <f>'Data_Raw++ (2015)'!X23</f>
        <v>27.75775556093679</v>
      </c>
      <c r="Y21" s="1">
        <f>'Data_Raw++ (2015)'!Y23</f>
        <v>39.944087270616357</v>
      </c>
      <c r="Z21" s="1">
        <f>'Data_Raw++ (2015)'!Z23</f>
        <v>13.314695756872119</v>
      </c>
      <c r="AA21" s="1">
        <f>'Data_Raw++ (2015)'!AA23</f>
        <v>32.598048232342087</v>
      </c>
    </row>
    <row r="22" spans="1:27" x14ac:dyDescent="0.2">
      <c r="A22" s="1" t="s">
        <v>73</v>
      </c>
      <c r="B22" s="1">
        <f>'Data_Raw++ (2015)'!B24</f>
        <v>9000</v>
      </c>
      <c r="C22" s="1">
        <f>'Data_Raw++ (2015)'!C24</f>
        <v>1588.2352941176471</v>
      </c>
      <c r="D22" s="1">
        <f>'Data_Raw++ (2015)'!D24</f>
        <v>3888.4381338742392</v>
      </c>
      <c r="E22" s="1">
        <f>'Data_Raw++ (2015)'!E24</f>
        <v>4384.8344913901001</v>
      </c>
      <c r="F22" s="1">
        <f>'Data_Raw++ (2015)'!F24</f>
        <v>2923.222994260067</v>
      </c>
      <c r="G22" s="1">
        <f>'Data_Raw++ (2015)'!G24</f>
        <v>2592.2920892494931</v>
      </c>
      <c r="H22" s="1">
        <f>'Data_Raw++ (2015)'!H24</f>
        <v>1164.6529676338303</v>
      </c>
      <c r="I22" s="1">
        <f>'Data_Raw++ (2015)'!I24</f>
        <v>189.59466914969332</v>
      </c>
      <c r="J22" s="1">
        <f>'Data_Raw++ (2015)'!J24</f>
        <v>1074.3697918482621</v>
      </c>
      <c r="K22" s="1">
        <f>'Data_Raw++ (2015)'!K24</f>
        <v>746.59595704709739</v>
      </c>
      <c r="L22" s="1">
        <f>'Data_Raw++ (2015)'!L24</f>
        <v>402.01320764074472</v>
      </c>
      <c r="M22" s="1">
        <f>'Data_Raw++ (2015)'!M24</f>
        <v>236.10299496361196</v>
      </c>
      <c r="N22" s="1">
        <f>'Data_Raw++ (2015)'!N24</f>
        <v>326.04699304498797</v>
      </c>
      <c r="O22" s="1">
        <f>'Data_Raw++ (2015)'!O24</f>
        <v>300.96645511845043</v>
      </c>
      <c r="P22" s="1">
        <f>'Data_Raw++ (2015)'!P24</f>
        <v>169.29363100412837</v>
      </c>
      <c r="Q22" s="1">
        <f>'Data_Raw++ (2015)'!Q24</f>
        <v>87.211870517278243</v>
      </c>
      <c r="R22" s="1">
        <f>'Data_Raw++ (2015)'!R24</f>
        <v>14.197281246998784</v>
      </c>
      <c r="S22" s="1">
        <f>'Data_Raw++ (2015)'!S24</f>
        <v>53.40881992918591</v>
      </c>
      <c r="T22" s="1">
        <f>'Data_Raw++ (2015)'!T24</f>
        <v>103.67594456841971</v>
      </c>
      <c r="U22" s="1">
        <f>'Data_Raw++ (2015)'!U24</f>
        <v>38.345897306127846</v>
      </c>
      <c r="V22" s="1">
        <f>'Data_Raw++ (2015)'!V24</f>
        <v>39.911035971684079</v>
      </c>
      <c r="W22" s="1">
        <f>'Data_Raw++ (2015)'!W24</f>
        <v>23.439814777020807</v>
      </c>
      <c r="X22" s="1">
        <f>'Data_Raw++ (2015)'!X24</f>
        <v>29.832491534390119</v>
      </c>
      <c r="Y22" s="1">
        <f>'Data_Raw++ (2015)'!Y24</f>
        <v>27.537684493283184</v>
      </c>
      <c r="Z22" s="1">
        <f>'Data_Raw++ (2015)'!Z24</f>
        <v>16.877935657173563</v>
      </c>
      <c r="AA22" s="1">
        <f>'Data_Raw++ (2015)'!AA24</f>
        <v>25.316903485760339</v>
      </c>
    </row>
    <row r="23" spans="1:27" x14ac:dyDescent="0.2">
      <c r="A23" s="1" t="s">
        <v>85</v>
      </c>
      <c r="B23" s="1">
        <f>'Data_Raw++ (2015)'!B25</f>
        <v>7000</v>
      </c>
      <c r="C23" s="1">
        <f>'Data_Raw++ (2015)'!C25</f>
        <v>1433.7349397590365</v>
      </c>
      <c r="D23" s="1">
        <f>'Data_Raw++ (2015)'!D25</f>
        <v>3046.6867469879526</v>
      </c>
      <c r="E23" s="1">
        <f>'Data_Raw++ (2015)'!E25</f>
        <v>2595.3257474341817</v>
      </c>
      <c r="F23" s="1">
        <f>'Data_Raw++ (2015)'!F25</f>
        <v>2301.5152854605003</v>
      </c>
      <c r="G23" s="1">
        <f>'Data_Raw++ (2015)'!G25</f>
        <v>1534.3435236403338</v>
      </c>
      <c r="H23" s="1">
        <f>'Data_Raw++ (2015)'!H25</f>
        <v>2612.5308645767846</v>
      </c>
      <c r="I23" s="1">
        <f>'Data_Raw++ (2015)'!I25</f>
        <v>108.85545269069937</v>
      </c>
      <c r="J23" s="1">
        <f>'Data_Raw++ (2015)'!J25</f>
        <v>616.84756524729642</v>
      </c>
      <c r="K23" s="1">
        <f>'Data_Raw++ (2015)'!K25</f>
        <v>484.66594412287566</v>
      </c>
      <c r="L23" s="1">
        <f>'Data_Raw++ (2015)'!L25</f>
        <v>179.26000673037868</v>
      </c>
      <c r="M23" s="1">
        <f>'Data_Raw++ (2015)'!M25</f>
        <v>257.95952188030105</v>
      </c>
      <c r="N23" s="1">
        <f>'Data_Raw++ (2015)'!N25</f>
        <v>302.82204742470122</v>
      </c>
      <c r="O23" s="1">
        <f>'Data_Raw++ (2015)'!O25</f>
        <v>219.28493089374916</v>
      </c>
      <c r="P23" s="1">
        <f>'Data_Raw++ (2015)'!P25</f>
        <v>237.55867513489494</v>
      </c>
      <c r="Q23" s="1">
        <f>'Data_Raw++ (2015)'!Q25</f>
        <v>75.018528989966811</v>
      </c>
      <c r="R23" s="1">
        <f>'Data_Raw++ (2015)'!R25</f>
        <v>8.3353921099963113</v>
      </c>
      <c r="S23" s="1">
        <f>'Data_Raw++ (2015)'!S25</f>
        <v>51.203122961405903</v>
      </c>
      <c r="T23" s="1">
        <f>'Data_Raw++ (2015)'!T25</f>
        <v>40.231025183961776</v>
      </c>
      <c r="U23" s="1">
        <f>'Data_Raw++ (2015)'!U25</f>
        <v>12.704534268619506</v>
      </c>
      <c r="V23" s="1">
        <f>'Data_Raw++ (2015)'!V25</f>
        <v>17.544356847141223</v>
      </c>
      <c r="W23" s="1">
        <f>'Data_Raw++ (2015)'!W25</f>
        <v>18.26045304498372</v>
      </c>
      <c r="X23" s="1">
        <f>'Data_Raw++ (2015)'!X25</f>
        <v>14.347498821058636</v>
      </c>
      <c r="Y23" s="1">
        <f>'Data_Raw++ (2015)'!Y25</f>
        <v>12.723253671504828</v>
      </c>
      <c r="Z23" s="1">
        <f>'Data_Raw++ (2015)'!Z25</f>
        <v>5.9874134924728608</v>
      </c>
      <c r="AA23" s="1">
        <f>'Data_Raw++ (2015)'!AA25</f>
        <v>15.396206123501639</v>
      </c>
    </row>
    <row r="24" spans="1:27" x14ac:dyDescent="0.2">
      <c r="A24" s="1" t="s">
        <v>70</v>
      </c>
      <c r="B24" s="1">
        <f>'Data_Raw++ (2015)'!B26</f>
        <v>11000</v>
      </c>
      <c r="C24" s="1">
        <f>'Data_Raw++ (2015)'!C26</f>
        <v>1500</v>
      </c>
      <c r="D24" s="1">
        <f>'Data_Raw++ (2015)'!D26</f>
        <v>2785.7142857142862</v>
      </c>
      <c r="E24" s="1">
        <f>'Data_Raw++ (2015)'!E26</f>
        <v>2373.0158730158732</v>
      </c>
      <c r="F24" s="1">
        <f>'Data_Raw++ (2015)'!F26</f>
        <v>5042.6587301587306</v>
      </c>
      <c r="G24" s="1">
        <f>'Data_Raw++ (2015)'!G26</f>
        <v>1025.6255044390639</v>
      </c>
      <c r="H24" s="1">
        <f>'Data_Raw++ (2015)'!H26</f>
        <v>1500</v>
      </c>
      <c r="I24" s="1">
        <f>'Data_Raw++ (2015)'!I26</f>
        <v>95.744680851063833</v>
      </c>
      <c r="J24" s="1">
        <f>'Data_Raw++ (2015)'!J26</f>
        <v>774.66150870406193</v>
      </c>
      <c r="K24" s="1">
        <f>'Data_Raw++ (2015)'!K26</f>
        <v>839.21663442940041</v>
      </c>
      <c r="L24" s="1">
        <f>'Data_Raw++ (2015)'!L26</f>
        <v>310.39519355607962</v>
      </c>
      <c r="M24" s="1">
        <f>'Data_Raw++ (2015)'!M26</f>
        <v>243.88193779406254</v>
      </c>
      <c r="N24" s="1">
        <f>'Data_Raw++ (2015)'!N26</f>
        <v>162.58795852937502</v>
      </c>
      <c r="O24" s="1">
        <f>'Data_Raw++ (2015)'!O26</f>
        <v>351.85185185185185</v>
      </c>
      <c r="P24" s="1">
        <f>'Data_Raw++ (2015)'!P26</f>
        <v>234.5679012345679</v>
      </c>
      <c r="Q24" s="1">
        <f>'Data_Raw++ (2015)'!Q26</f>
        <v>176.9547325102881</v>
      </c>
      <c r="R24" s="1">
        <f>'Data_Raw++ (2015)'!R26</f>
        <v>21.870809636103022</v>
      </c>
      <c r="S24" s="1">
        <f>'Data_Raw++ (2015)'!S26</f>
        <v>123.93458793791713</v>
      </c>
      <c r="T24" s="1">
        <f>'Data_Raw++ (2015)'!T26</f>
        <v>48.921547870230441</v>
      </c>
      <c r="U24" s="1">
        <f>'Data_Raw++ (2015)'!U26</f>
        <v>119.07440801878313</v>
      </c>
      <c r="V24" s="1">
        <f>'Data_Raw++ (2015)'!V26</f>
        <v>27.931033979714559</v>
      </c>
      <c r="W24" s="1">
        <f>'Data_Raw++ (2015)'!W26</f>
        <v>45.571687019534281</v>
      </c>
      <c r="X24" s="1">
        <f>'Data_Raw++ (2015)'!X26</f>
        <v>38.820325979603275</v>
      </c>
      <c r="Y24" s="1">
        <f>'Data_Raw++ (2015)'!Y26</f>
        <v>35.834147058095333</v>
      </c>
      <c r="Z24" s="1">
        <f>'Data_Raw++ (2015)'!Z26</f>
        <v>24.901695413252689</v>
      </c>
      <c r="AA24" s="1">
        <f>'Data_Raw++ (2015)'!AA26</f>
        <v>35.834147058095333</v>
      </c>
    </row>
    <row r="25" spans="1:27" x14ac:dyDescent="0.2">
      <c r="A25" s="1" t="s">
        <v>67</v>
      </c>
      <c r="B25" s="1">
        <f>'Data_Raw++ (2015)'!B27</f>
        <v>8000</v>
      </c>
      <c r="C25" s="1">
        <f>'Data_Raw++ (2015)'!C27</f>
        <v>1411.7647058823529</v>
      </c>
      <c r="D25" s="1">
        <f>'Data_Raw++ (2015)'!D27</f>
        <v>3142.3149905123337</v>
      </c>
      <c r="E25" s="1">
        <f>'Data_Raw++ (2015)'!E27</f>
        <v>2275.469475888242</v>
      </c>
      <c r="F25" s="1">
        <f>'Data_Raw++ (2015)'!F27</f>
        <v>2671.2032977818494</v>
      </c>
      <c r="G25" s="1">
        <f>'Data_Raw++ (2015)'!G27</f>
        <v>2015.1182772740269</v>
      </c>
      <c r="H25" s="1">
        <f>'Data_Raw++ (2015)'!H27</f>
        <v>1716.5822361963933</v>
      </c>
      <c r="I25" s="1">
        <f>'Data_Raw++ (2015)'!I27</f>
        <v>109.56907890615275</v>
      </c>
      <c r="J25" s="1">
        <f>'Data_Raw++ (2015)'!J27</f>
        <v>733.26998960271453</v>
      </c>
      <c r="K25" s="1">
        <f>'Data_Raw++ (2015)'!K27</f>
        <v>624.63739855046049</v>
      </c>
      <c r="L25" s="1">
        <f>'Data_Raw++ (2015)'!L27</f>
        <v>166.04285277923634</v>
      </c>
      <c r="M25" s="1">
        <f>'Data_Raw++ (2015)'!M27</f>
        <v>194.91987065388614</v>
      </c>
      <c r="N25" s="1">
        <f>'Data_Raw++ (2015)'!N27</f>
        <v>361.99404550007426</v>
      </c>
      <c r="O25" s="1">
        <f>'Data_Raw++ (2015)'!O27</f>
        <v>251.55518416106855</v>
      </c>
      <c r="P25" s="1">
        <f>'Data_Raw++ (2015)'!P27</f>
        <v>47.915273173536875</v>
      </c>
      <c r="Q25" s="1">
        <f>'Data_Raw++ (2015)'!Q27</f>
        <v>39.203405323802897</v>
      </c>
      <c r="R25" s="1">
        <f>'Data_Raw++ (2015)'!R27</f>
        <v>11.057370732354663</v>
      </c>
      <c r="S25" s="1">
        <f>'Data_Raw++ (2015)'!S27</f>
        <v>67.923848784464354</v>
      </c>
      <c r="T25" s="1">
        <f>'Data_Raw++ (2015)'!T27</f>
        <v>47.201318646831162</v>
      </c>
      <c r="U25" s="1">
        <f>'Data_Raw++ (2015)'!U27</f>
        <v>11.071914250491259</v>
      </c>
      <c r="V25" s="1">
        <f>'Data_Raw++ (2015)'!V27</f>
        <v>4.9743382864525945</v>
      </c>
      <c r="W25" s="1">
        <f>'Data_Raw++ (2015)'!W27</f>
        <v>31.09109017721072</v>
      </c>
      <c r="X25" s="1">
        <f>'Data_Raw++ (2015)'!X27</f>
        <v>21.605672835010839</v>
      </c>
      <c r="Y25" s="1">
        <f>'Data_Raw++ (2015)'!Y27</f>
        <v>24.363843835224994</v>
      </c>
      <c r="Z25" s="1">
        <f>'Data_Raw++ (2015)'!Z27</f>
        <v>6.8718533894224345</v>
      </c>
      <c r="AA25" s="1">
        <f>'Data_Raw++ (2015)'!AA27</f>
        <v>27.487413557689734</v>
      </c>
    </row>
    <row r="26" spans="1:27" x14ac:dyDescent="0.2">
      <c r="A26" s="1" t="s">
        <v>77</v>
      </c>
      <c r="B26" s="1">
        <f>'Data_Raw++ (2015)'!B28</f>
        <v>7000</v>
      </c>
      <c r="C26" s="1">
        <f>'Data_Raw++ (2015)'!C28</f>
        <v>1333.3333333333335</v>
      </c>
      <c r="D26" s="1">
        <f>'Data_Raw++ (2015)'!D28</f>
        <v>3604.9382716049381</v>
      </c>
      <c r="E26" s="1">
        <f>'Data_Raw++ (2015)'!E28</f>
        <v>2832.4514991181654</v>
      </c>
      <c r="F26" s="1">
        <f>'Data_Raw++ (2015)'!F28</f>
        <v>2511.7966124255427</v>
      </c>
      <c r="G26" s="1">
        <f>'Data_Raw++ (2015)'!G28</f>
        <v>2139.6785957699067</v>
      </c>
      <c r="H26" s="1">
        <f>'Data_Raw++ (2015)'!H28</f>
        <v>3209.51789365486</v>
      </c>
      <c r="I26" s="1">
        <f>'Data_Raw++ (2015)'!I28</f>
        <v>168.92199440288738</v>
      </c>
      <c r="J26" s="1">
        <f>'Data_Raw++ (2015)'!J28</f>
        <v>769.533530057598</v>
      </c>
      <c r="K26" s="1">
        <f>'Data_Raw++ (2015)'!K28</f>
        <v>655.52856264165757</v>
      </c>
      <c r="L26" s="1">
        <f>'Data_Raw++ (2015)'!L28</f>
        <v>106.71395205794427</v>
      </c>
      <c r="M26" s="1">
        <f>'Data_Raw++ (2015)'!M28</f>
        <v>261.26519296944974</v>
      </c>
      <c r="N26" s="1">
        <f>'Data_Raw++ (2015)'!N28</f>
        <v>294.61819632725184</v>
      </c>
      <c r="O26" s="1">
        <f>'Data_Raw++ (2015)'!O28</f>
        <v>222.25583231704962</v>
      </c>
      <c r="P26" s="1">
        <f>'Data_Raw++ (2015)'!P28</f>
        <v>260.90902054610171</v>
      </c>
      <c r="Q26" s="1">
        <f>'Data_Raw++ (2015)'!Q28</f>
        <v>53.439196979322041</v>
      </c>
      <c r="R26" s="1">
        <f>'Data_Raw++ (2015)'!R28</f>
        <v>10.178894662728009</v>
      </c>
      <c r="S26" s="1">
        <f>'Data_Raw++ (2015)'!S28</f>
        <v>74.645227526672059</v>
      </c>
      <c r="T26" s="1">
        <f>'Data_Raw++ (2015)'!T28</f>
        <v>68.903286947697282</v>
      </c>
      <c r="U26" s="1">
        <f>'Data_Raw++ (2015)'!U28</f>
        <v>10.295893451954766</v>
      </c>
      <c r="V26" s="1">
        <f>'Data_Raw++ (2015)'!V28</f>
        <v>3.4319644839849222</v>
      </c>
      <c r="W26" s="1">
        <f>'Data_Raw++ (2015)'!W28</f>
        <v>16.756061892396971</v>
      </c>
      <c r="X26" s="1">
        <f>'Data_Raw++ (2015)'!X28</f>
        <v>34.019883236078698</v>
      </c>
      <c r="Y26" s="1">
        <f>'Data_Raw++ (2015)'!Y28</f>
        <v>30.168575699918843</v>
      </c>
      <c r="Z26" s="1">
        <f>'Data_Raw++ (2015)'!Z28</f>
        <v>9.0113927415342001</v>
      </c>
      <c r="AA26" s="1">
        <f>'Data_Raw++ (2015)'!AA28</f>
        <v>19.149209575760178</v>
      </c>
    </row>
    <row r="27" spans="1:27" x14ac:dyDescent="0.2">
      <c r="A27" s="1" t="s">
        <v>93</v>
      </c>
      <c r="B27" s="1">
        <f>'Data_Raw++ (2015)'!B29</f>
        <v>9000</v>
      </c>
      <c r="C27" s="1">
        <f>'Data_Raw++ (2015)'!C29</f>
        <v>1112.3595505617977</v>
      </c>
      <c r="D27" s="1">
        <f>'Data_Raw++ (2015)'!D29</f>
        <v>3943.8202247191011</v>
      </c>
      <c r="E27" s="1">
        <f>'Data_Raw++ (2015)'!E29</f>
        <v>3789.1606080634501</v>
      </c>
      <c r="F27" s="1">
        <f>'Data_Raw++ (2015)'!F29</f>
        <v>4272.8832388800611</v>
      </c>
      <c r="G27" s="1">
        <f>'Data_Raw++ (2015)'!G29</f>
        <v>2201.1822745745771</v>
      </c>
      <c r="H27" s="1">
        <f>'Data_Raw++ (2015)'!H29</f>
        <v>2690.3338911467054</v>
      </c>
      <c r="I27" s="1">
        <f>'Data_Raw++ (2015)'!I29</f>
        <v>202.4982498712574</v>
      </c>
      <c r="J27" s="1">
        <f>'Data_Raw++ (2015)'!J29</f>
        <v>1243.9178206377237</v>
      </c>
      <c r="K27" s="1">
        <f>'Data_Raw++ (2015)'!K29</f>
        <v>730.55491053326637</v>
      </c>
      <c r="L27" s="1">
        <f>'Data_Raw++ (2015)'!L29</f>
        <v>674.35837895378427</v>
      </c>
      <c r="M27" s="1">
        <f>'Data_Raw++ (2015)'!M29</f>
        <v>488.32848131136109</v>
      </c>
      <c r="N27" s="1">
        <f>'Data_Raw++ (2015)'!N29</f>
        <v>229.80163826416992</v>
      </c>
      <c r="O27" s="1">
        <f>'Data_Raw++ (2015)'!O29</f>
        <v>317.34511950766324</v>
      </c>
      <c r="P27" s="1">
        <f>'Data_Raw++ (2015)'!P29</f>
        <v>136.00505121756996</v>
      </c>
      <c r="Q27" s="1">
        <f>'Data_Raw++ (2015)'!Q29</f>
        <v>98.486416398929961</v>
      </c>
      <c r="R27" s="1">
        <f>'Data_Raw++ (2015)'!R29</f>
        <v>8.5640362086026052</v>
      </c>
      <c r="S27" s="1">
        <f>'Data_Raw++ (2015)'!S29</f>
        <v>113.77933820000604</v>
      </c>
      <c r="T27" s="1">
        <f>'Data_Raw++ (2015)'!T29</f>
        <v>46.473250814086974</v>
      </c>
      <c r="U27" s="1">
        <f>'Data_Raw++ (2015)'!U29</f>
        <v>30.982167209391317</v>
      </c>
      <c r="V27" s="1">
        <f>'Data_Raw++ (2015)'!V29</f>
        <v>9.7838422766498887</v>
      </c>
      <c r="W27" s="1">
        <f>'Data_Raw++ (2015)'!W29</f>
        <v>32.754602404436582</v>
      </c>
      <c r="X27" s="1">
        <f>'Data_Raw++ (2015)'!X29</f>
        <v>47.134671752725815</v>
      </c>
      <c r="Y27" s="1">
        <f>'Data_Raw++ (2015)'!Y29</f>
        <v>26.51325286090827</v>
      </c>
      <c r="Z27" s="1">
        <f>'Data_Raw++ (2015)'!Z29</f>
        <v>9.315467221400203</v>
      </c>
      <c r="AA27" s="1">
        <f>'Data_Raw++ (2015)'!AA29</f>
        <v>23.954058569314803</v>
      </c>
    </row>
    <row r="28" spans="1:27" x14ac:dyDescent="0.2">
      <c r="A28" s="1" t="s">
        <v>68</v>
      </c>
      <c r="B28" s="1">
        <f>'Data_Raw++ (2015)'!B30</f>
        <v>6000</v>
      </c>
      <c r="C28" s="1">
        <f>'Data_Raw++ (2015)'!C30</f>
        <v>1058.8235294117646</v>
      </c>
      <c r="D28" s="1">
        <f>'Data_Raw++ (2015)'!D30</f>
        <v>3983.1932773109243</v>
      </c>
      <c r="E28" s="1">
        <f>'Data_Raw++ (2015)'!E30</f>
        <v>2144.7963800904977</v>
      </c>
      <c r="F28" s="1">
        <f>'Data_Raw++ (2015)'!F30</f>
        <v>1754.8334018922253</v>
      </c>
      <c r="G28" s="1">
        <f>'Data_Raw++ (2015)'!G30</f>
        <v>2326.1745094850426</v>
      </c>
      <c r="H28" s="1">
        <f>'Data_Raw++ (2015)'!H30</f>
        <v>1903.2336895786709</v>
      </c>
      <c r="I28" s="1">
        <f>'Data_Raw++ (2015)'!I30</f>
        <v>165.49858170249311</v>
      </c>
      <c r="J28" s="1">
        <f>'Data_Raw++ (2015)'!J30</f>
        <v>937.82529631412763</v>
      </c>
      <c r="K28" s="1">
        <f>'Data_Raw++ (2015)'!K30</f>
        <v>550.78628513686863</v>
      </c>
      <c r="L28" s="1">
        <f>'Data_Raw++ (2015)'!L30</f>
        <v>146.41154415030684</v>
      </c>
      <c r="M28" s="1">
        <f>'Data_Raw++ (2015)'!M30</f>
        <v>358.4558494714409</v>
      </c>
      <c r="N28" s="1">
        <f>'Data_Raw++ (2015)'!N30</f>
        <v>475.16240511330534</v>
      </c>
      <c r="O28" s="1">
        <f>'Data_Raw++ (2015)'!O30</f>
        <v>234.03521445879215</v>
      </c>
      <c r="P28" s="1">
        <f>'Data_Raw++ (2015)'!P30</f>
        <v>176.55288108294846</v>
      </c>
      <c r="Q28" s="1">
        <f>'Data_Raw++ (2015)'!Q30</f>
        <v>65.300380674515196</v>
      </c>
      <c r="R28" s="1">
        <f>'Data_Raw++ (2015)'!R30</f>
        <v>11.523596589620327</v>
      </c>
      <c r="S28" s="1">
        <f>'Data_Raw++ (2015)'!S30</f>
        <v>84.506374990549077</v>
      </c>
      <c r="T28" s="1">
        <f>'Data_Raw++ (2015)'!T30</f>
        <v>74.939615557656722</v>
      </c>
      <c r="U28" s="1">
        <f>'Data_Raw++ (2015)'!U30</f>
        <v>23.583174415967182</v>
      </c>
      <c r="V28" s="1">
        <f>'Data_Raw++ (2015)'!V30</f>
        <v>14.27421248717271</v>
      </c>
      <c r="W28" s="1">
        <f>'Data_Raw++ (2015)'!W30</f>
        <v>17.615553776468225</v>
      </c>
      <c r="X28" s="1">
        <f>'Data_Raw++ (2015)'!X30</f>
        <v>18.334555971426113</v>
      </c>
      <c r="Y28" s="1">
        <f>'Data_Raw++ (2015)'!Y30</f>
        <v>15.001000340257727</v>
      </c>
      <c r="Z28" s="1">
        <f>'Data_Raw++ (2015)'!Z30</f>
        <v>6.4130519869906379</v>
      </c>
      <c r="AA28" s="1">
        <f>'Data_Raw++ (2015)'!AA30</f>
        <v>10.535728264341763</v>
      </c>
    </row>
    <row r="29" spans="1:27" x14ac:dyDescent="0.2">
      <c r="A29" s="1" t="s">
        <v>95</v>
      </c>
      <c r="B29" s="1">
        <f>'Data_Raw++ (2015)'!B31</f>
        <v>5000</v>
      </c>
      <c r="C29" s="1">
        <f>'Data_Raw++ (2015)'!C31</f>
        <v>434.78260869565219</v>
      </c>
      <c r="D29" s="1">
        <f>'Data_Raw++ (2015)'!D31</f>
        <v>1853.5469107551489</v>
      </c>
      <c r="E29" s="1">
        <f>'Data_Raw++ (2015)'!E31</f>
        <v>2175.9028952343051</v>
      </c>
      <c r="F29" s="1">
        <f>'Data_Raw++ (2015)'!F31</f>
        <v>1333.6179035307032</v>
      </c>
      <c r="G29" s="1">
        <f>'Data_Raw++ (2015)'!G31</f>
        <v>1091.1419210705753</v>
      </c>
      <c r="H29" s="1">
        <f>'Data_Raw++ (2015)'!H31</f>
        <v>1333.6179035307032</v>
      </c>
      <c r="I29" s="1">
        <f>'Data_Raw++ (2015)'!I31</f>
        <v>85.124547033874677</v>
      </c>
      <c r="J29" s="1">
        <f>'Data_Raw++ (2015)'!J31</f>
        <v>482.37243319195647</v>
      </c>
      <c r="K29" s="1">
        <f>'Data_Raw++ (2015)'!K31</f>
        <v>363.89499346059876</v>
      </c>
      <c r="L29" s="1">
        <f>'Data_Raw++ (2015)'!L31</f>
        <v>69.313332087733102</v>
      </c>
      <c r="M29" s="1">
        <f>'Data_Raw++ (2015)'!M31</f>
        <v>169.69815786996725</v>
      </c>
      <c r="N29" s="1">
        <f>'Data_Raw++ (2015)'!N31</f>
        <v>150.48704565827285</v>
      </c>
      <c r="O29" s="1">
        <f>'Data_Raw++ (2015)'!O31</f>
        <v>169.69815786996725</v>
      </c>
      <c r="P29" s="1">
        <f>'Data_Raw++ (2015)'!P31</f>
        <v>395.96236836325693</v>
      </c>
      <c r="Q29" s="1">
        <f>'Data_Raw++ (2015)'!Q31</f>
        <v>34.431510292457126</v>
      </c>
      <c r="R29" s="1">
        <f>'Data_Raw++ (2015)'!R31</f>
        <v>27.053329515502025</v>
      </c>
      <c r="S29" s="1">
        <f>'Data_Raw++ (2015)'!S31</f>
        <v>50.241897671646619</v>
      </c>
      <c r="T29" s="1">
        <f>'Data_Raw++ (2015)'!T31</f>
        <v>42.798653572143415</v>
      </c>
      <c r="U29" s="1">
        <f>'Data_Raw++ (2015)'!U31</f>
        <v>7.5527035715547202</v>
      </c>
      <c r="V29" s="1">
        <f>'Data_Raw++ (2015)'!V31</f>
        <v>1.6579105400973777</v>
      </c>
      <c r="W29" s="1">
        <f>'Data_Raw++ (2015)'!W31</f>
        <v>25.973931794858917</v>
      </c>
      <c r="X29" s="1">
        <f>'Data_Raw++ (2015)'!X31</f>
        <v>38.96089769228837</v>
      </c>
      <c r="Y29" s="1">
        <f>'Data_Raw++ (2015)'!Y31</f>
        <v>15.151460213667702</v>
      </c>
      <c r="Z29" s="1">
        <f>'Data_Raw++ (2015)'!Z31</f>
        <v>17.085689177114645</v>
      </c>
      <c r="AA29" s="1">
        <f>'Data_Raw++ (2015)'!AA31</f>
        <v>10.92363734274543</v>
      </c>
    </row>
    <row r="30" spans="1:27" x14ac:dyDescent="0.2">
      <c r="A30" s="1" t="s">
        <v>108</v>
      </c>
      <c r="B30" s="1">
        <f>'Data_Raw++ (2015)'!B32</f>
        <v>6000</v>
      </c>
      <c r="C30" s="1">
        <f>'Data_Raw++ (2015)'!C32</f>
        <v>2219.1780821917814</v>
      </c>
      <c r="D30" s="1">
        <f>'Data_Raw++ (2015)'!D32</f>
        <v>3945.2054794520559</v>
      </c>
      <c r="E30" s="1">
        <f>'Data_Raw++ (2015)'!E32</f>
        <v>3641.7281348788206</v>
      </c>
      <c r="F30" s="1">
        <f>'Data_Raw++ (2015)'!F32</f>
        <v>3641.7281348788206</v>
      </c>
      <c r="G30" s="1">
        <f>'Data_Raw++ (2015)'!G32</f>
        <v>2861.3578202619301</v>
      </c>
      <c r="H30" s="1">
        <f>'Data_Raw++ (2015)'!H32</f>
        <v>2749.1477096634226</v>
      </c>
      <c r="I30" s="1">
        <f>'Data_Raw++ (2015)'!I32</f>
        <v>239.05632257942807</v>
      </c>
      <c r="J30" s="1">
        <f>'Data_Raw++ (2015)'!J32</f>
        <v>847.56332550888123</v>
      </c>
      <c r="K30" s="1">
        <f>'Data_Raw++ (2015)'!K32</f>
        <v>1170.4445923694075</v>
      </c>
      <c r="L30" s="1">
        <f>'Data_Raw++ (2015)'!L32</f>
        <v>501.61911101546036</v>
      </c>
      <c r="M30" s="1">
        <f>'Data_Raw++ (2015)'!M32</f>
        <v>1427.6851621209255</v>
      </c>
      <c r="N30" s="1">
        <f>'Data_Raw++ (2015)'!N32</f>
        <v>356.92129053023137</v>
      </c>
      <c r="O30" s="1">
        <f>'Data_Raw++ (2015)'!O32</f>
        <v>436.23713287028284</v>
      </c>
      <c r="P30" s="1">
        <f>'Data_Raw++ (2015)'!P32</f>
        <v>95.759370630062079</v>
      </c>
      <c r="Q30" s="1">
        <f>'Data_Raw++ (2015)'!Q32</f>
        <v>163.04973918091653</v>
      </c>
      <c r="R30" s="1">
        <f>'Data_Raw++ (2015)'!R32</f>
        <v>54.349913060305511</v>
      </c>
      <c r="S30" s="1">
        <f>'Data_Raw++ (2015)'!S32</f>
        <v>363.72634124973689</v>
      </c>
      <c r="T30" s="1">
        <f>'Data_Raw++ (2015)'!T32</f>
        <v>90.931585312434223</v>
      </c>
      <c r="U30" s="1">
        <f>'Data_Raw++ (2015)'!U32</f>
        <v>65.847010053831681</v>
      </c>
      <c r="V30" s="1">
        <f>'Data_Raw++ (2015)'!V32</f>
        <v>47.68231762518846</v>
      </c>
      <c r="W30" s="1">
        <f>'Data_Raw++ (2015)'!W32</f>
        <v>40.618270569604981</v>
      </c>
      <c r="X30" s="1">
        <f>'Data_Raw++ (2015)'!X32</f>
        <v>16.59056121857105</v>
      </c>
      <c r="Y30" s="1">
        <f>'Data_Raw++ (2015)'!Y32</f>
        <v>52.536777192141663</v>
      </c>
      <c r="Z30" s="1">
        <f>'Data_Raw++ (2015)'!Z32</f>
        <v>41.278896365254155</v>
      </c>
      <c r="AA30" s="1">
        <f>'Data_Raw++ (2015)'!AA32</f>
        <v>41.278896365254155</v>
      </c>
    </row>
    <row r="31" spans="1:27" x14ac:dyDescent="0.2">
      <c r="A31" s="1" t="s">
        <v>112</v>
      </c>
      <c r="B31" s="1">
        <f>'Data_Raw++ (2015)'!B33</f>
        <v>6000</v>
      </c>
      <c r="C31" s="1">
        <f>'Data_Raw++ (2015)'!C33</f>
        <v>3090.909090909091</v>
      </c>
      <c r="D31" s="1">
        <f>'Data_Raw++ (2015)'!D33</f>
        <v>4834.4988344988342</v>
      </c>
      <c r="E31" s="1">
        <f>'Data_Raw++ (2015)'!E33</f>
        <v>2839.3088393088392</v>
      </c>
      <c r="F31" s="1">
        <f>'Data_Raw++ (2015)'!F33</f>
        <v>2727.963394630061</v>
      </c>
      <c r="G31" s="1">
        <f>'Data_Raw++ (2015)'!G33</f>
        <v>2955.2936775158996</v>
      </c>
      <c r="H31" s="1">
        <f>'Data_Raw++ (2015)'!H33</f>
        <v>1735.6486677474331</v>
      </c>
      <c r="I31" s="1">
        <f>'Data_Raw++ (2015)'!I33</f>
        <v>433.91216693685828</v>
      </c>
      <c r="J31" s="1">
        <f>'Data_Raw++ (2015)'!J33</f>
        <v>1374.0551953000513</v>
      </c>
      <c r="K31" s="1">
        <f>'Data_Raw++ (2015)'!K33</f>
        <v>916.03679686670102</v>
      </c>
      <c r="L31" s="1">
        <f>'Data_Raw++ (2015)'!L33</f>
        <v>411.55276380967729</v>
      </c>
      <c r="M31" s="1">
        <f>'Data_Raw++ (2015)'!M33</f>
        <v>503.0089335451612</v>
      </c>
      <c r="N31" s="1">
        <f>'Data_Raw++ (2015)'!N33</f>
        <v>544.92634467392463</v>
      </c>
      <c r="O31" s="1">
        <f>'Data_Raw++ (2015)'!O33</f>
        <v>428.1564136723693</v>
      </c>
      <c r="P31" s="1">
        <f>'Data_Raw++ (2015)'!P33</f>
        <v>192.36012788178914</v>
      </c>
      <c r="Q31" s="1">
        <f>'Data_Raw++ (2015)'!Q33</f>
        <v>90.522413120841946</v>
      </c>
      <c r="R31" s="1">
        <f>'Data_Raw++ (2015)'!R33</f>
        <v>38.795319908932264</v>
      </c>
      <c r="S31" s="1">
        <f>'Data_Raw++ (2015)'!S33</f>
        <v>110.41744897157643</v>
      </c>
      <c r="T31" s="1">
        <f>'Data_Raw++ (2015)'!T33</f>
        <v>101.92379905068593</v>
      </c>
      <c r="U31" s="1">
        <f>'Data_Raw++ (2015)'!U33</f>
        <v>62.469425224613964</v>
      </c>
      <c r="V31" s="1">
        <f>'Data_Raw++ (2015)'!V33</f>
        <v>30.768522871824786</v>
      </c>
      <c r="W31" s="1">
        <f>'Data_Raw++ (2015)'!W33</f>
        <v>34.696419408653483</v>
      </c>
      <c r="X31" s="1">
        <f>'Data_Raw++ (2015)'!X33</f>
        <v>56.609947456224106</v>
      </c>
      <c r="Y31" s="1">
        <f>'Data_Raw++ (2015)'!Y33</f>
        <v>42.705749835397135</v>
      </c>
      <c r="Z31" s="1">
        <f>'Data_Raw++ (2015)'!Z33</f>
        <v>21.999931733386404</v>
      </c>
      <c r="AA31" s="1">
        <f>'Data_Raw++ (2015)'!AA33</f>
        <v>27.999913115219062</v>
      </c>
    </row>
    <row r="32" spans="1:27" x14ac:dyDescent="0.2">
      <c r="A32" s="1" t="s">
        <v>117</v>
      </c>
      <c r="B32" s="1">
        <f>'Data_Raw++ (2015)'!B34</f>
        <v>6000</v>
      </c>
      <c r="C32" s="1">
        <f>'Data_Raw++ (2015)'!C34</f>
        <v>2695.6521739130435</v>
      </c>
      <c r="D32" s="1">
        <f>'Data_Raw++ (2015)'!D34</f>
        <v>3722.5672877846791</v>
      </c>
      <c r="E32" s="1">
        <f>'Data_Raw++ (2015)'!E34</f>
        <v>3045.7368718238281</v>
      </c>
      <c r="F32" s="1">
        <f>'Data_Raw++ (2015)'!F34</f>
        <v>2393.0789707187218</v>
      </c>
      <c r="G32" s="1">
        <f>'Data_Raw++ (2015)'!G34</f>
        <v>2698.5784137891974</v>
      </c>
      <c r="H32" s="1">
        <f>'Data_Raw++ (2015)'!H34</f>
        <v>1329.1505620155747</v>
      </c>
      <c r="I32" s="1">
        <f>'Data_Raw++ (2015)'!I34</f>
        <v>443.05018733852489</v>
      </c>
      <c r="J32" s="1">
        <f>'Data_Raw++ (2015)'!J34</f>
        <v>1084.7090793460438</v>
      </c>
      <c r="K32" s="1">
        <f>'Data_Raw++ (2015)'!K34</f>
        <v>753.78088564725078</v>
      </c>
      <c r="L32" s="1">
        <f>'Data_Raw++ (2015)'!L34</f>
        <v>307.88233357422916</v>
      </c>
      <c r="M32" s="1">
        <f>'Data_Raw++ (2015)'!M34</f>
        <v>425.17084160250693</v>
      </c>
      <c r="N32" s="1">
        <f>'Data_Raw++ (2015)'!N34</f>
        <v>408.49747526515375</v>
      </c>
      <c r="O32" s="1">
        <f>'Data_Raw++ (2015)'!O34</f>
        <v>377.07459255244964</v>
      </c>
      <c r="P32" s="1">
        <f>'Data_Raw++ (2015)'!P34</f>
        <v>82.772471535903577</v>
      </c>
      <c r="Q32" s="1">
        <f>'Data_Raw++ (2015)'!Q34</f>
        <v>76.405358340834056</v>
      </c>
      <c r="R32" s="1">
        <f>'Data_Raw++ (2015)'!R34</f>
        <v>28.259516098664651</v>
      </c>
      <c r="S32" s="1">
        <f>'Data_Raw++ (2015)'!S34</f>
        <v>89.488467645771408</v>
      </c>
      <c r="T32" s="1">
        <f>'Data_Raw++ (2015)'!T34</f>
        <v>76.230916883434901</v>
      </c>
      <c r="U32" s="1">
        <f>'Data_Raw++ (2015)'!U34</f>
        <v>50.820611255623277</v>
      </c>
      <c r="V32" s="1">
        <f>'Data_Raw++ (2015)'!V34</f>
        <v>21.78026196669569</v>
      </c>
      <c r="W32" s="1">
        <f>'Data_Raw++ (2015)'!W34</f>
        <v>37.085310916265634</v>
      </c>
      <c r="X32" s="1">
        <f>'Data_Raw++ (2015)'!X34</f>
        <v>35.630984997980711</v>
      </c>
      <c r="Y32" s="1">
        <f>'Data_Raw++ (2015)'!Y34</f>
        <v>41.827678041107795</v>
      </c>
      <c r="Z32" s="1">
        <f>'Data_Raw++ (2015)'!Z34</f>
        <v>11.797550216722712</v>
      </c>
      <c r="AA32" s="1">
        <f>'Data_Raw++ (2015)'!AA34</f>
        <v>20.973422607507047</v>
      </c>
    </row>
    <row r="33" spans="1:27" x14ac:dyDescent="0.2">
      <c r="A33" s="1" t="s">
        <v>99</v>
      </c>
      <c r="B33" s="1">
        <f>'Data_Raw++ (2015)'!B35</f>
        <v>7000</v>
      </c>
      <c r="C33" s="1">
        <f>'Data_Raw++ (2015)'!C35</f>
        <v>3294.1176470588234</v>
      </c>
      <c r="D33" s="1">
        <f>'Data_Raw++ (2015)'!D35</f>
        <v>3867.0076726342709</v>
      </c>
      <c r="E33" s="1">
        <f>'Data_Raw++ (2015)'!E35</f>
        <v>4539.5307461358825</v>
      </c>
      <c r="F33" s="1">
        <f>'Data_Raw++ (2015)'!F35</f>
        <v>3566.7741576781932</v>
      </c>
      <c r="G33" s="1">
        <f>'Data_Raw++ (2015)'!G35</f>
        <v>3038.3631713554978</v>
      </c>
      <c r="H33" s="1">
        <f>'Data_Raw++ (2015)'!H35</f>
        <v>1565.2173913043473</v>
      </c>
      <c r="I33" s="1">
        <f>'Data_Raw++ (2015)'!I35</f>
        <v>276.2148337595907</v>
      </c>
      <c r="J33" s="1">
        <f>'Data_Raw++ (2015)'!J35</f>
        <v>1348.5783060027074</v>
      </c>
      <c r="K33" s="1">
        <f>'Data_Raw++ (2015)'!K35</f>
        <v>726.15754938607324</v>
      </c>
      <c r="L33" s="1">
        <f>'Data_Raw++ (2015)'!L35</f>
        <v>570.55236023191458</v>
      </c>
      <c r="M33" s="1">
        <f>'Data_Raw++ (2015)'!M35</f>
        <v>570.55236023191458</v>
      </c>
      <c r="N33" s="1">
        <f>'Data_Raw++ (2015)'!N35</f>
        <v>486.02608464200125</v>
      </c>
      <c r="O33" s="1">
        <f>'Data_Raw++ (2015)'!O35</f>
        <v>381.87763793300093</v>
      </c>
      <c r="P33" s="1">
        <f>'Data_Raw++ (2015)'!P35</f>
        <v>141.24241403001403</v>
      </c>
      <c r="Q33" s="1">
        <f>'Data_Raw++ (2015)'!Q35</f>
        <v>147.00741052103504</v>
      </c>
      <c r="R33" s="1">
        <f>'Data_Raw++ (2015)'!R35</f>
        <v>51.651252345228528</v>
      </c>
      <c r="S33" s="1">
        <f>'Data_Raw++ (2015)'!S35</f>
        <v>206.60500938091411</v>
      </c>
      <c r="T33" s="1">
        <f>'Data_Raw++ (2015)'!T35</f>
        <v>137.73667292060941</v>
      </c>
      <c r="U33" s="1">
        <f>'Data_Raw++ (2015)'!U35</f>
        <v>99.740349356303369</v>
      </c>
      <c r="V33" s="1">
        <f>'Data_Raw++ (2015)'!V35</f>
        <v>28.131893408188127</v>
      </c>
      <c r="W33" s="1">
        <f>'Data_Raw++ (2015)'!W35</f>
        <v>68.874635585564036</v>
      </c>
      <c r="X33" s="1">
        <f>'Data_Raw++ (2015)'!X35</f>
        <v>87.658627108899694</v>
      </c>
      <c r="Y33" s="1">
        <f>'Data_Raw++ (2015)'!Y35</f>
        <v>63.476936871961847</v>
      </c>
      <c r="Z33" s="1">
        <f>'Data_Raw++ (2015)'!Z35</f>
        <v>35.705776990478533</v>
      </c>
      <c r="AA33" s="1">
        <f>'Data_Raw++ (2015)'!AA35</f>
        <v>40.263961287135366</v>
      </c>
    </row>
    <row r="34" spans="1:27" x14ac:dyDescent="0.2">
      <c r="A34" s="1" t="s">
        <v>97</v>
      </c>
      <c r="B34" s="1">
        <f>'Data_Raw++ (2015)'!B36</f>
        <v>6000</v>
      </c>
      <c r="C34" s="1">
        <f>'Data_Raw++ (2015)'!C36</f>
        <v>2955.2238805970146</v>
      </c>
      <c r="D34" s="1">
        <f>'Data_Raw++ (2015)'!D36</f>
        <v>4252.6392428103381</v>
      </c>
      <c r="E34" s="1">
        <f>'Data_Raw++ (2015)'!E36</f>
        <v>3925.5131472095427</v>
      </c>
      <c r="F34" s="1">
        <f>'Data_Raw++ (2015)'!F36</f>
        <v>3771.5714551621095</v>
      </c>
      <c r="G34" s="1">
        <f>'Data_Raw++ (2015)'!G36</f>
        <v>2963.3775719130858</v>
      </c>
      <c r="H34" s="1">
        <f>'Data_Raw++ (2015)'!H36</f>
        <v>1740.3963517584791</v>
      </c>
      <c r="I34" s="1">
        <f>'Data_Raw++ (2015)'!I36</f>
        <v>283.3203363327757</v>
      </c>
      <c r="J34" s="1">
        <f>'Data_Raw++ (2015)'!J36</f>
        <v>1487.4317657470724</v>
      </c>
      <c r="K34" s="1">
        <f>'Data_Raw++ (2015)'!K36</f>
        <v>1548.1432663898099</v>
      </c>
      <c r="L34" s="1">
        <f>'Data_Raw++ (2015)'!L36</f>
        <v>543.94222873155479</v>
      </c>
      <c r="M34" s="1">
        <f>'Data_Raw++ (2015)'!M36</f>
        <v>543.94222873155479</v>
      </c>
      <c r="N34" s="1">
        <f>'Data_Raw++ (2015)'!N36</f>
        <v>445.04364168945386</v>
      </c>
      <c r="O34" s="1">
        <f>'Data_Raw++ (2015)'!O36</f>
        <v>335.734677063974</v>
      </c>
      <c r="P34" s="1">
        <f>'Data_Raw++ (2015)'!P36</f>
        <v>137.13106527965135</v>
      </c>
      <c r="Q34" s="1">
        <f>'Data_Raw++ (2015)'!Q36</f>
        <v>137.13106527965135</v>
      </c>
      <c r="R34" s="1">
        <f>'Data_Raw++ (2015)'!R36</f>
        <v>43.304546930416215</v>
      </c>
      <c r="S34" s="1">
        <f>'Data_Raw++ (2015)'!S36</f>
        <v>129.91364079124864</v>
      </c>
      <c r="T34" s="1">
        <f>'Data_Raw++ (2015)'!T36</f>
        <v>94.075395055731775</v>
      </c>
      <c r="U34" s="1">
        <f>'Data_Raw++ (2015)'!U36</f>
        <v>68.123561936909212</v>
      </c>
      <c r="V34" s="1">
        <f>'Data_Raw++ (2015)'!V36</f>
        <v>25.196385921870533</v>
      </c>
      <c r="W34" s="1">
        <f>'Data_Raw++ (2015)'!W36</f>
        <v>114.78353586629909</v>
      </c>
      <c r="X34" s="1">
        <f>'Data_Raw++ (2015)'!X36</f>
        <v>70.351199401925257</v>
      </c>
      <c r="Y34" s="1">
        <f>'Data_Raw++ (2015)'!Y36</f>
        <v>53.071957443557658</v>
      </c>
      <c r="Z34" s="1">
        <f>'Data_Raw++ (2015)'!Z36</f>
        <v>24.975038796968306</v>
      </c>
      <c r="AA34" s="1">
        <f>'Data_Raw++ (2015)'!AA36</f>
        <v>37.462558195452459</v>
      </c>
    </row>
    <row r="35" spans="1:27" x14ac:dyDescent="0.2">
      <c r="A35" s="1" t="s">
        <v>125</v>
      </c>
      <c r="B35" s="1">
        <f>'Data_Raw++ (2015)'!B37</f>
        <v>7000</v>
      </c>
      <c r="C35" s="1">
        <f>'Data_Raw++ (2015)'!C37</f>
        <v>1974.3589743589744</v>
      </c>
      <c r="D35" s="1">
        <f>'Data_Raw++ (2015)'!D37</f>
        <v>3666.666666666667</v>
      </c>
      <c r="E35" s="1">
        <f>'Data_Raw++ (2015)'!E37</f>
        <v>3522.8758169934645</v>
      </c>
      <c r="F35" s="1">
        <f>'Data_Raw++ (2015)'!F37</f>
        <v>2767.9738562091502</v>
      </c>
      <c r="G35" s="1">
        <f>'Data_Raw++ (2015)'!G37</f>
        <v>2659.4258618480067</v>
      </c>
      <c r="H35" s="1">
        <f>'Data_Raw++ (2015)'!H37</f>
        <v>1034.2211684964473</v>
      </c>
      <c r="I35" s="1">
        <f>'Data_Raw++ (2015)'!I37</f>
        <v>291.70340649899794</v>
      </c>
      <c r="J35" s="1">
        <f>'Data_Raw++ (2015)'!J37</f>
        <v>1166.8136259959917</v>
      </c>
      <c r="K35" s="1">
        <f>'Data_Raw++ (2015)'!K37</f>
        <v>715.14383528786584</v>
      </c>
      <c r="L35" s="1">
        <f>'Data_Raw++ (2015)'!L37</f>
        <v>292.10100314574805</v>
      </c>
      <c r="M35" s="1">
        <f>'Data_Raw++ (2015)'!M37</f>
        <v>371.76491309458845</v>
      </c>
      <c r="N35" s="1">
        <f>'Data_Raw++ (2015)'!N37</f>
        <v>402.74532251913752</v>
      </c>
      <c r="O35" s="1">
        <f>'Data_Raw++ (2015)'!O37</f>
        <v>279.87386819126505</v>
      </c>
      <c r="P35" s="1">
        <f>'Data_Raw++ (2015)'!P37</f>
        <v>238.4110729036702</v>
      </c>
      <c r="Q35" s="1">
        <f>'Data_Raw++ (2015)'!Q37</f>
        <v>67.244148767701844</v>
      </c>
      <c r="R35" s="1">
        <f>'Data_Raw++ (2015)'!R37</f>
        <v>20.085914566975877</v>
      </c>
      <c r="S35" s="1">
        <f>'Data_Raw++ (2015)'!S37</f>
        <v>180.77323110278289</v>
      </c>
      <c r="T35" s="1">
        <f>'Data_Raw++ (2015)'!T37</f>
        <v>70.300700984415585</v>
      </c>
      <c r="U35" s="1">
        <f>'Data_Raw++ (2015)'!U37</f>
        <v>76.159092733116893</v>
      </c>
      <c r="V35" s="1">
        <f>'Data_Raw++ (2015)'!V37</f>
        <v>46.678153610620029</v>
      </c>
      <c r="W35" s="1">
        <f>'Data_Raw++ (2015)'!W37</f>
        <v>26.256461405973766</v>
      </c>
      <c r="X35" s="1">
        <f>'Data_Raw++ (2015)'!X37</f>
        <v>30.822802520056161</v>
      </c>
      <c r="Y35" s="1">
        <f>'Data_Raw++ (2015)'!Y37</f>
        <v>32.080876092303349</v>
      </c>
      <c r="Z35" s="1">
        <f>'Data_Raw++ (2015)'!Z37</f>
        <v>19.662472443669795</v>
      </c>
      <c r="AA35" s="1">
        <f>'Data_Raw++ (2015)'!AA37</f>
        <v>28.294777418939461</v>
      </c>
    </row>
    <row r="36" spans="1:27" x14ac:dyDescent="0.2">
      <c r="A36" s="1" t="s">
        <v>120</v>
      </c>
      <c r="B36" s="1">
        <f>'Data_Raw++ (2015)'!B38</f>
        <v>6000</v>
      </c>
      <c r="C36" s="1">
        <f>'Data_Raw++ (2015)'!C38</f>
        <v>2219.1780821917814</v>
      </c>
      <c r="D36" s="1">
        <f>'Data_Raw++ (2015)'!D38</f>
        <v>3778.6005183265465</v>
      </c>
      <c r="E36" s="1">
        <f>'Data_Raw++ (2015)'!E38</f>
        <v>3778.6005183265465</v>
      </c>
      <c r="F36" s="1">
        <f>'Data_Raw++ (2015)'!F38</f>
        <v>2968.9004072565722</v>
      </c>
      <c r="G36" s="1">
        <f>'Data_Raw++ (2015)'!G38</f>
        <v>2529.0633098852281</v>
      </c>
      <c r="H36" s="1">
        <f>'Data_Raw++ (2015)'!H38</f>
        <v>1083.8842756650977</v>
      </c>
      <c r="I36" s="1">
        <f>'Data_Raw++ (2015)'!I38</f>
        <v>161.95971935225597</v>
      </c>
      <c r="J36" s="1">
        <f>'Data_Raw++ (2015)'!J38</f>
        <v>1083.8842756650977</v>
      </c>
      <c r="K36" s="1">
        <f>'Data_Raw++ (2015)'!K38</f>
        <v>664.3161689560277</v>
      </c>
      <c r="L36" s="1">
        <f>'Data_Raw++ (2015)'!L38</f>
        <v>342.22348097734761</v>
      </c>
      <c r="M36" s="1">
        <f>'Data_Raw++ (2015)'!M38</f>
        <v>258.16859091273591</v>
      </c>
      <c r="N36" s="1">
        <f>'Data_Raw++ (2015)'!N38</f>
        <v>479.45595455222383</v>
      </c>
      <c r="O36" s="1">
        <f>'Data_Raw++ (2015)'!O38</f>
        <v>376.71539286246156</v>
      </c>
      <c r="P36" s="1">
        <f>'Data_Raw++ (2015)'!P38</f>
        <v>221.24554818906469</v>
      </c>
      <c r="Q36" s="1">
        <f>'Data_Raw++ (2015)'!Q38</f>
        <v>62.4025905148644</v>
      </c>
      <c r="R36" s="1">
        <f>'Data_Raw++ (2015)'!R38</f>
        <v>25.488382041282641</v>
      </c>
      <c r="S36" s="1">
        <f>'Data_Raw++ (2015)'!S38</f>
        <v>80.713209797395038</v>
      </c>
      <c r="T36" s="1">
        <f>'Data_Raw++ (2015)'!T38</f>
        <v>84.007626523819326</v>
      </c>
      <c r="U36" s="1">
        <f>'Data_Raw++ (2015)'!U38</f>
        <v>71.562052223994243</v>
      </c>
      <c r="V36" s="1">
        <f>'Data_Raw++ (2015)'!V38</f>
        <v>15.708743171120688</v>
      </c>
      <c r="W36" s="1">
        <f>'Data_Raw++ (2015)'!W38</f>
        <v>33.381079238631457</v>
      </c>
      <c r="X36" s="1">
        <f>'Data_Raw++ (2015)'!X38</f>
        <v>30.813303912582882</v>
      </c>
      <c r="Y36" s="1">
        <f>'Data_Raw++ (2015)'!Y38</f>
        <v>29.604939053265902</v>
      </c>
      <c r="Z36" s="1">
        <f>'Data_Raw++ (2015)'!Z38</f>
        <v>15.251029209258194</v>
      </c>
      <c r="AA36" s="1">
        <f>'Data_Raw++ (2015)'!AA38</f>
        <v>57.372919406257026</v>
      </c>
    </row>
    <row r="37" spans="1:27" x14ac:dyDescent="0.2">
      <c r="A37" s="1" t="s">
        <v>123</v>
      </c>
      <c r="B37" s="1">
        <f>'Data_Raw++ (2015)'!B39</f>
        <v>7000</v>
      </c>
      <c r="C37" s="1">
        <f>'Data_Raw++ (2015)'!C39</f>
        <v>1974.3589743589744</v>
      </c>
      <c r="D37" s="1">
        <f>'Data_Raw++ (2015)'!D39</f>
        <v>2617.1735241502683</v>
      </c>
      <c r="E37" s="1">
        <f>'Data_Raw++ (2015)'!E39</f>
        <v>2514.5392683012378</v>
      </c>
      <c r="F37" s="1">
        <f>'Data_Raw++ (2015)'!F39</f>
        <v>2229.874445474682</v>
      </c>
      <c r="G37" s="1">
        <f>'Data_Raw++ (2015)'!G39</f>
        <v>1899.5226757747289</v>
      </c>
      <c r="H37" s="1">
        <f>'Data_Raw++ (2015)'!H39</f>
        <v>1618.1119089932877</v>
      </c>
      <c r="I37" s="1">
        <f>'Data_Raw++ (2015)'!I39</f>
        <v>199.99135953849623</v>
      </c>
      <c r="J37" s="1">
        <f>'Data_Raw++ (2015)'!J39</f>
        <v>799.96543815398491</v>
      </c>
      <c r="K37" s="1">
        <f>'Data_Raw++ (2015)'!K39</f>
        <v>511.45331291812153</v>
      </c>
      <c r="L37" s="1">
        <f>'Data_Raw++ (2015)'!L39</f>
        <v>189.16766368204497</v>
      </c>
      <c r="M37" s="1">
        <f>'Data_Raw++ (2015)'!M39</f>
        <v>322.09629221537386</v>
      </c>
      <c r="N37" s="1">
        <f>'Data_Raw++ (2015)'!N39</f>
        <v>297.31965435265278</v>
      </c>
      <c r="O37" s="1">
        <f>'Data_Raw++ (2015)'!O39</f>
        <v>233.6082998485129</v>
      </c>
      <c r="P37" s="1">
        <f>'Data_Raw++ (2015)'!P39</f>
        <v>169.1646309247852</v>
      </c>
      <c r="Q37" s="1">
        <f>'Data_Raw++ (2015)'!Q39</f>
        <v>566.33376440036784</v>
      </c>
      <c r="R37" s="1">
        <f>'Data_Raw++ (2015)'!R39</f>
        <v>37.755584293357856</v>
      </c>
      <c r="S37" s="1">
        <f>'Data_Raw++ (2015)'!S39</f>
        <v>62.925973822263103</v>
      </c>
      <c r="T37" s="1">
        <f>'Data_Raw++ (2015)'!T39</f>
        <v>55.802278672572939</v>
      </c>
      <c r="U37" s="1">
        <f>'Data_Raw++ (2015)'!U39</f>
        <v>29.160817137146317</v>
      </c>
      <c r="V37" s="1">
        <f>'Data_Raw++ (2015)'!V39</f>
        <v>19.440544758097545</v>
      </c>
      <c r="W37" s="1">
        <f>'Data_Raw++ (2015)'!W39</f>
        <v>20.736581075304048</v>
      </c>
      <c r="X37" s="1">
        <f>'Data_Raw++ (2015)'!X39</f>
        <v>45.361271102227605</v>
      </c>
      <c r="Y37" s="1">
        <f>'Data_Raw++ (2015)'!Y39</f>
        <v>53.250187815658492</v>
      </c>
      <c r="Z37" s="1">
        <f>'Data_Raw++ (2015)'!Z39</f>
        <v>18.709525448744873</v>
      </c>
      <c r="AA37" s="1">
        <f>'Data_Raw++ (2015)'!AA39</f>
        <v>25.7255974920242</v>
      </c>
    </row>
    <row r="38" spans="1:27" x14ac:dyDescent="0.2">
      <c r="A38" s="1" t="s">
        <v>126</v>
      </c>
      <c r="B38" s="1">
        <f>'Data_Raw++ (2015)'!B40</f>
        <v>6000</v>
      </c>
      <c r="C38" s="1">
        <f>'Data_Raw++ (2015)'!C40</f>
        <v>1692.3076923076924</v>
      </c>
      <c r="D38" s="1">
        <f>'Data_Raw++ (2015)'!D40</f>
        <v>2761.1336032388663</v>
      </c>
      <c r="E38" s="1">
        <f>'Data_Raw++ (2015)'!E40</f>
        <v>4908.6819613135403</v>
      </c>
      <c r="F38" s="1">
        <f>'Data_Raw++ (2015)'!F40</f>
        <v>4716.1846294973229</v>
      </c>
      <c r="G38" s="1">
        <f>'Data_Raw++ (2015)'!G40</f>
        <v>2021.2219840702815</v>
      </c>
      <c r="H38" s="1">
        <f>'Data_Raw++ (2015)'!H40</f>
        <v>995.5272458853625</v>
      </c>
      <c r="I38" s="1">
        <f>'Data_Raw++ (2015)'!I40</f>
        <v>123.04269331167401</v>
      </c>
      <c r="J38" s="1">
        <f>'Data_Raw++ (2015)'!J40</f>
        <v>823.4395629319722</v>
      </c>
      <c r="K38" s="1">
        <f>'Data_Raw++ (2015)'!K40</f>
        <v>760.09805809105114</v>
      </c>
      <c r="L38" s="1">
        <f>'Data_Raw++ (2015)'!L40</f>
        <v>391.56566628932939</v>
      </c>
      <c r="M38" s="1">
        <f>'Data_Raw++ (2015)'!M40</f>
        <v>333.55593795016944</v>
      </c>
      <c r="N38" s="1">
        <f>'Data_Raw++ (2015)'!N40</f>
        <v>241.540506791502</v>
      </c>
      <c r="O38" s="1">
        <f>'Data_Raw++ (2015)'!O40</f>
        <v>307.41519046191166</v>
      </c>
      <c r="P38" s="1">
        <f>'Data_Raw++ (2015)'!P40</f>
        <v>231.90970508530179</v>
      </c>
      <c r="Q38" s="1">
        <f>'Data_Raw++ (2015)'!Q40</f>
        <v>124.87445658439326</v>
      </c>
      <c r="R38" s="1">
        <f>'Data_Raw++ (2015)'!R40</f>
        <v>20.328399909087278</v>
      </c>
      <c r="S38" s="1">
        <f>'Data_Raw++ (2015)'!S40</f>
        <v>86.663178559793138</v>
      </c>
      <c r="T38" s="1">
        <f>'Data_Raw++ (2015)'!T40</f>
        <v>44.644667742923744</v>
      </c>
      <c r="U38" s="1">
        <f>'Data_Raw++ (2015)'!U40</f>
        <v>52.408957785171353</v>
      </c>
      <c r="V38" s="1">
        <f>'Data_Raw++ (2015)'!V40</f>
        <v>20.381261360899973</v>
      </c>
      <c r="W38" s="1">
        <f>'Data_Raw++ (2015)'!W40</f>
        <v>16.675577477099978</v>
      </c>
      <c r="X38" s="1">
        <f>'Data_Raw++ (2015)'!X40</f>
        <v>35.435602138837453</v>
      </c>
      <c r="Y38" s="1">
        <f>'Data_Raw++ (2015)'!Y40</f>
        <v>36.881953246545109</v>
      </c>
      <c r="Z38" s="1">
        <f>'Data_Raw++ (2015)'!Z40</f>
        <v>9.804063521233509</v>
      </c>
      <c r="AA38" s="1">
        <f>'Data_Raw++ (2015)'!AA40</f>
        <v>15.996103639907304</v>
      </c>
    </row>
    <row r="39" spans="1:27" x14ac:dyDescent="0.2">
      <c r="A39" s="1" t="s">
        <v>122</v>
      </c>
      <c r="B39" s="1">
        <f>'Data_Raw++ (2015)'!B41</f>
        <v>6000</v>
      </c>
      <c r="C39" s="1">
        <f>'Data_Raw++ (2015)'!C41</f>
        <v>1500</v>
      </c>
      <c r="D39" s="1">
        <f>'Data_Raw++ (2015)'!D41</f>
        <v>3187.5000000000005</v>
      </c>
      <c r="E39" s="1">
        <f>'Data_Raw++ (2015)'!E41</f>
        <v>2504.4642857142858</v>
      </c>
      <c r="F39" s="1">
        <f>'Data_Raw++ (2015)'!F41</f>
        <v>2824.1831306990885</v>
      </c>
      <c r="G39" s="1">
        <f>'Data_Raw++ (2015)'!G41</f>
        <v>2310.6952887537996</v>
      </c>
      <c r="H39" s="1">
        <f>'Data_Raw++ (2015)'!H41</f>
        <v>1540.4635258358667</v>
      </c>
      <c r="I39" s="1">
        <f>'Data_Raw++ (2015)'!I41</f>
        <v>190.39436836173633</v>
      </c>
      <c r="J39" s="1">
        <f>'Data_Raw++ (2015)'!J41</f>
        <v>811.68125459477073</v>
      </c>
      <c r="K39" s="1">
        <f>'Data_Raw++ (2015)'!K41</f>
        <v>691.43217983998989</v>
      </c>
      <c r="L39" s="1">
        <f>'Data_Raw++ (2015)'!L41</f>
        <v>172.85804495999747</v>
      </c>
      <c r="M39" s="1">
        <f>'Data_Raw++ (2015)'!M41</f>
        <v>736.92113903998927</v>
      </c>
      <c r="N39" s="1">
        <f>'Data_Raw++ (2015)'!N41</f>
        <v>362.96115803462158</v>
      </c>
      <c r="O39" s="1">
        <f>'Data_Raw++ (2015)'!O41</f>
        <v>285.18376702720263</v>
      </c>
      <c r="P39" s="1">
        <f>'Data_Raw++ (2015)'!P41</f>
        <v>67.670724379336221</v>
      </c>
      <c r="Q39" s="1">
        <f>'Data_Raw++ (2015)'!Q41</f>
        <v>62.601314713288382</v>
      </c>
      <c r="R39" s="1">
        <f>'Data_Raw++ (2015)'!R41</f>
        <v>21.837667923240133</v>
      </c>
      <c r="S39" s="1">
        <f>'Data_Raw++ (2015)'!S41</f>
        <v>79.674400544185218</v>
      </c>
      <c r="T39" s="1">
        <f>'Data_Raw++ (2015)'!T41</f>
        <v>57.695255566478956</v>
      </c>
      <c r="U39" s="1">
        <f>'Data_Raw++ (2015)'!U41</f>
        <v>22.234716430935407</v>
      </c>
      <c r="V39" s="1">
        <f>'Data_Raw++ (2015)'!V41</f>
        <v>3.9704850769527509</v>
      </c>
      <c r="W39" s="1">
        <f>'Data_Raw++ (2015)'!W41</f>
        <v>18.264231353982655</v>
      </c>
      <c r="X39" s="1">
        <f>'Data_Raw++ (2015)'!X41</f>
        <v>26.80077426943107</v>
      </c>
      <c r="Y39" s="1">
        <f>'Data_Raw++ (2015)'!Y41</f>
        <v>40.201161404146603</v>
      </c>
      <c r="Z39" s="1">
        <f>'Data_Raw++ (2015)'!Z41</f>
        <v>9.1321156769913276</v>
      </c>
      <c r="AA39" s="1">
        <f>'Data_Raw++ (2015)'!AA41</f>
        <v>52.966270926549704</v>
      </c>
    </row>
    <row r="40" spans="1:27" x14ac:dyDescent="0.2">
      <c r="A40" s="1" t="s">
        <v>98</v>
      </c>
      <c r="B40" s="1">
        <f>'Data_Raw++ (2015)'!B42</f>
        <v>8000</v>
      </c>
      <c r="C40" s="1">
        <f>'Data_Raw++ (2015)'!C42</f>
        <v>2000</v>
      </c>
      <c r="D40" s="1">
        <f>'Data_Raw++ (2015)'!D42</f>
        <v>5692.3076923076924</v>
      </c>
      <c r="E40" s="1">
        <f>'Data_Raw++ (2015)'!E42</f>
        <v>2439.5604395604396</v>
      </c>
      <c r="F40" s="1">
        <f>'Data_Raw++ (2015)'!F42</f>
        <v>2642.8571428571431</v>
      </c>
      <c r="G40" s="1">
        <f>'Data_Raw++ (2015)'!G42</f>
        <v>2863.0952380952385</v>
      </c>
      <c r="H40" s="1">
        <f>'Data_Raw++ (2015)'!H42</f>
        <v>2438.9329805996476</v>
      </c>
      <c r="I40" s="1">
        <f>'Data_Raw++ (2015)'!I42</f>
        <v>212.08112874779545</v>
      </c>
      <c r="J40" s="1">
        <f>'Data_Raw++ (2015)'!J42</f>
        <v>1908.730158730159</v>
      </c>
      <c r="K40" s="1">
        <f>'Data_Raw++ (2015)'!K42</f>
        <v>898.22595704948651</v>
      </c>
      <c r="L40" s="1">
        <f>'Data_Raw++ (2015)'!L42</f>
        <v>268.3012598978986</v>
      </c>
      <c r="M40" s="1">
        <f>'Data_Raw++ (2015)'!M42</f>
        <v>279.25233173046593</v>
      </c>
      <c r="N40" s="1">
        <f>'Data_Raw++ (2015)'!N42</f>
        <v>496.44858974305055</v>
      </c>
      <c r="O40" s="1">
        <f>'Data_Raw++ (2015)'!O42</f>
        <v>202.77477609223192</v>
      </c>
      <c r="P40" s="1">
        <f>'Data_Raw++ (2015)'!P42</f>
        <v>114.06081155188045</v>
      </c>
      <c r="Q40" s="1">
        <f>'Data_Raw++ (2015)'!Q42</f>
        <v>86.04587538124315</v>
      </c>
      <c r="R40" s="1">
        <f>'Data_Raw++ (2015)'!R42</f>
        <v>4.5287302832233243</v>
      </c>
      <c r="S40" s="1">
        <f>'Data_Raw++ (2015)'!S42</f>
        <v>146.42894582422082</v>
      </c>
      <c r="T40" s="1">
        <f>'Data_Raw++ (2015)'!T42</f>
        <v>85.997952309463017</v>
      </c>
      <c r="U40" s="1">
        <f>'Data_Raw++ (2015)'!U42</f>
        <v>7.4780828095185239</v>
      </c>
      <c r="V40" s="1">
        <f>'Data_Raw++ (2015)'!V42</f>
        <v>2.9081433148127598</v>
      </c>
      <c r="W40" s="1">
        <f>'Data_Raw++ (2015)'!W42</f>
        <v>23.529523183485058</v>
      </c>
      <c r="X40" s="1">
        <f>'Data_Raw++ (2015)'!X42</f>
        <v>15.68634878899004</v>
      </c>
      <c r="Y40" s="1">
        <f>'Data_Raw++ (2015)'!Y42</f>
        <v>26.709188478550608</v>
      </c>
      <c r="Z40" s="1">
        <f>'Data_Raw++ (2015)'!Z42</f>
        <v>7.9780692858008306</v>
      </c>
      <c r="AA40" s="1">
        <f>'Data_Raw++ (2015)'!AA42</f>
        <v>20.515035306344988</v>
      </c>
    </row>
    <row r="41" spans="1:27" x14ac:dyDescent="0.2">
      <c r="A41" s="1" t="s">
        <v>113</v>
      </c>
      <c r="B41" s="1">
        <f>'Data_Raw++ (2015)'!B43</f>
        <v>7000</v>
      </c>
      <c r="C41" s="1">
        <f>'Data_Raw++ (2015)'!C43</f>
        <v>1433.7349397590365</v>
      </c>
      <c r="D41" s="1">
        <f>'Data_Raw++ (2015)'!D43</f>
        <v>2910.9163928441044</v>
      </c>
      <c r="E41" s="1">
        <f>'Data_Raw++ (2015)'!E43</f>
        <v>2195.9544717946756</v>
      </c>
      <c r="F41" s="1">
        <f>'Data_Raw++ (2015)'!F43</f>
        <v>2285.5852665618049</v>
      </c>
      <c r="G41" s="1">
        <f>'Data_Raw++ (2015)'!G43</f>
        <v>1461.2758261624654</v>
      </c>
      <c r="H41" s="1">
        <f>'Data_Raw++ (2015)'!H43</f>
        <v>895.6206676479627</v>
      </c>
      <c r="I41" s="1">
        <f>'Data_Raw++ (2015)'!I43</f>
        <v>77.880058056344581</v>
      </c>
      <c r="J41" s="1">
        <f>'Data_Raw++ (2015)'!J43</f>
        <v>895.6206676479627</v>
      </c>
      <c r="K41" s="1">
        <f>'Data_Raw++ (2015)'!K43</f>
        <v>622.38046395875381</v>
      </c>
      <c r="L41" s="1">
        <f>'Data_Raw++ (2015)'!L43</f>
        <v>279.62020844523721</v>
      </c>
      <c r="M41" s="1">
        <f>'Data_Raw++ (2015)'!M43</f>
        <v>131.58598044481749</v>
      </c>
      <c r="N41" s="1">
        <f>'Data_Raw++ (2015)'!N43</f>
        <v>233.93063190189775</v>
      </c>
      <c r="O41" s="1">
        <f>'Data_Raw++ (2015)'!O43</f>
        <v>297.72989514786991</v>
      </c>
      <c r="P41" s="1">
        <f>'Data_Raw++ (2015)'!P43</f>
        <v>133.76270651570968</v>
      </c>
      <c r="Q41" s="1">
        <f>'Data_Raw++ (2015)'!Q43</f>
        <v>49.473877752385782</v>
      </c>
      <c r="R41" s="1">
        <f>'Data_Raw++ (2015)'!R43</f>
        <v>11.604983670312714</v>
      </c>
      <c r="S41" s="1">
        <f>'Data_Raw++ (2015)'!S43</f>
        <v>31.376437330845484</v>
      </c>
      <c r="T41" s="1">
        <f>'Data_Raw++ (2015)'!T43</f>
        <v>53.424744644412577</v>
      </c>
      <c r="U41" s="1">
        <f>'Data_Raw++ (2015)'!U43</f>
        <v>22.896319133319679</v>
      </c>
      <c r="V41" s="1">
        <f>'Data_Raw++ (2015)'!V43</f>
        <v>23.83086277141436</v>
      </c>
      <c r="W41" s="1">
        <f>'Data_Raw++ (2015)'!W43</f>
        <v>11.737589126219014</v>
      </c>
      <c r="X41" s="1">
        <f>'Data_Raw++ (2015)'!X43</f>
        <v>12.715721553403931</v>
      </c>
      <c r="Y41" s="1">
        <f>'Data_Raw++ (2015)'!Y43</f>
        <v>10.831910952899644</v>
      </c>
      <c r="Z41" s="1">
        <f>'Data_Raw++ (2015)'!Z43</f>
        <v>11.274029767303713</v>
      </c>
      <c r="AA41" s="1">
        <f>'Data_Raw++ (2015)'!AA43</f>
        <v>11.734194247601824</v>
      </c>
    </row>
    <row r="42" spans="1:27" x14ac:dyDescent="0.2">
      <c r="A42" s="1" t="s">
        <v>110</v>
      </c>
      <c r="B42" s="1">
        <f>'Data_Raw++ (2015)'!B44</f>
        <v>8000</v>
      </c>
      <c r="C42" s="1">
        <f>'Data_Raw++ (2015)'!C44</f>
        <v>988.76404494382029</v>
      </c>
      <c r="D42" s="1">
        <f>'Data_Raw++ (2015)'!D44</f>
        <v>2307.1161048689141</v>
      </c>
      <c r="E42" s="1">
        <f>'Data_Raw++ (2015)'!E44</f>
        <v>2819.8085726175618</v>
      </c>
      <c r="F42" s="1">
        <f>'Data_Raw++ (2015)'!F44</f>
        <v>2307.1161048689141</v>
      </c>
      <c r="G42" s="1">
        <f>'Data_Raw++ (2015)'!G44</f>
        <v>810.60836117015913</v>
      </c>
      <c r="H42" s="1">
        <f>'Data_Raw++ (2015)'!H44</f>
        <v>1166.4852026594972</v>
      </c>
      <c r="I42" s="1">
        <f>'Data_Raw++ (2015)'!I44</f>
        <v>74.06255254980934</v>
      </c>
      <c r="J42" s="1">
        <f>'Data_Raw++ (2015)'!J44</f>
        <v>499.92222971121311</v>
      </c>
      <c r="K42" s="1">
        <f>'Data_Raw++ (2015)'!K44</f>
        <v>480.31743638920472</v>
      </c>
      <c r="L42" s="1">
        <f>'Data_Raw++ (2015)'!L44</f>
        <v>186.79011415135741</v>
      </c>
      <c r="M42" s="1">
        <f>'Data_Raw++ (2015)'!M44</f>
        <v>86.723981570273097</v>
      </c>
      <c r="N42" s="1">
        <f>'Data_Raw++ (2015)'!N44</f>
        <v>134.90397133153593</v>
      </c>
      <c r="O42" s="1">
        <f>'Data_Raw++ (2015)'!O44</f>
        <v>250.53594675856672</v>
      </c>
      <c r="P42" s="1">
        <f>'Data_Raw++ (2015)'!P44</f>
        <v>70.663984983185486</v>
      </c>
      <c r="Q42" s="1">
        <f>'Data_Raw++ (2015)'!Q44</f>
        <v>62.664288569994675</v>
      </c>
      <c r="R42" s="1">
        <f>'Data_Raw++ (2015)'!R44</f>
        <v>10.20116325558053</v>
      </c>
      <c r="S42" s="1">
        <f>'Data_Raw++ (2015)'!S44</f>
        <v>46.471965942089085</v>
      </c>
      <c r="T42" s="1">
        <f>'Data_Raw++ (2015)'!T44</f>
        <v>28.482817835473956</v>
      </c>
      <c r="U42" s="1">
        <f>'Data_Raw++ (2015)'!U44</f>
        <v>25.258347891835392</v>
      </c>
      <c r="V42" s="1">
        <f>'Data_Raw++ (2015)'!V44</f>
        <v>8.8745546646989215</v>
      </c>
      <c r="W42" s="1">
        <f>'Data_Raw++ (2015)'!W44</f>
        <v>9.3965872920341518</v>
      </c>
      <c r="X42" s="1">
        <f>'Data_Raw++ (2015)'!X44</f>
        <v>18.340746307044437</v>
      </c>
      <c r="Y42" s="1">
        <f>'Data_Raw++ (2015)'!Y44</f>
        <v>21.552489899983097</v>
      </c>
      <c r="Z42" s="1">
        <f>'Data_Raw++ (2015)'!Z44</f>
        <v>24.303871589342645</v>
      </c>
      <c r="AA42" s="1">
        <f>'Data_Raw++ (2015)'!AA44</f>
        <v>29.704731942529904</v>
      </c>
    </row>
    <row r="43" spans="1:27" x14ac:dyDescent="0.2">
      <c r="A43" s="1" t="s">
        <v>101</v>
      </c>
      <c r="B43" s="1">
        <f>'Data_Raw++ (2015)'!B45</f>
        <v>7000</v>
      </c>
      <c r="C43" s="1">
        <f>'Data_Raw++ (2015)'!C45</f>
        <v>865.16853932584263</v>
      </c>
      <c r="D43" s="1">
        <f>'Data_Raw++ (2015)'!D45</f>
        <v>2018.7265917602992</v>
      </c>
      <c r="E43" s="1">
        <f>'Data_Raw++ (2015)'!E45</f>
        <v>2675.9864123334196</v>
      </c>
      <c r="F43" s="1">
        <f>'Data_Raw++ (2015)'!F45</f>
        <v>3405.8008884243527</v>
      </c>
      <c r="G43" s="1">
        <f>'Data_Raw++ (2015)'!G45</f>
        <v>851.45022210608806</v>
      </c>
      <c r="H43" s="1">
        <f>'Data_Raw++ (2015)'!H45</f>
        <v>1083.6639190441122</v>
      </c>
      <c r="I43" s="1">
        <f>'Data_Raw++ (2015)'!I45</f>
        <v>45.152663293504673</v>
      </c>
      <c r="J43" s="1">
        <f>'Data_Raw++ (2015)'!J45</f>
        <v>599.88538375656208</v>
      </c>
      <c r="K43" s="1">
        <f>'Data_Raw++ (2015)'!K45</f>
        <v>553.74035423682653</v>
      </c>
      <c r="L43" s="1">
        <f>'Data_Raw++ (2015)'!L45</f>
        <v>272.73778641515338</v>
      </c>
      <c r="M43" s="1">
        <f>'Data_Raw++ (2015)'!M45</f>
        <v>72.499917907825576</v>
      </c>
      <c r="N43" s="1">
        <f>'Data_Raw++ (2015)'!N45</f>
        <v>113.39730749685539</v>
      </c>
      <c r="O43" s="1">
        <f>'Data_Raw++ (2015)'!O45</f>
        <v>240.96927843081772</v>
      </c>
      <c r="P43" s="1">
        <f>'Data_Raw++ (2015)'!P45</f>
        <v>135.54521911733497</v>
      </c>
      <c r="Q43" s="1">
        <f>'Data_Raw++ (2015)'!Q45</f>
        <v>72.985887217026516</v>
      </c>
      <c r="R43" s="1">
        <f>'Data_Raw++ (2015)'!R45</f>
        <v>3.841362485106659</v>
      </c>
      <c r="S43" s="1">
        <f>'Data_Raw++ (2015)'!S45</f>
        <v>20.167153046809958</v>
      </c>
      <c r="T43" s="1">
        <f>'Data_Raw++ (2015)'!T45</f>
        <v>23.674484011472561</v>
      </c>
      <c r="U43" s="1">
        <f>'Data_Raw++ (2015)'!U45</f>
        <v>23.674484011472561</v>
      </c>
      <c r="V43" s="1">
        <f>'Data_Raw++ (2015)'!V45</f>
        <v>42.087971575951222</v>
      </c>
      <c r="W43" s="1">
        <f>'Data_Raw++ (2015)'!W45</f>
        <v>26.908703138722917</v>
      </c>
      <c r="X43" s="1">
        <f>'Data_Raw++ (2015)'!X45</f>
        <v>8.9695677129076383</v>
      </c>
      <c r="Y43" s="1">
        <f>'Data_Raw++ (2015)'!Y45</f>
        <v>18.210940508024599</v>
      </c>
      <c r="Z43" s="1">
        <f>'Data_Raw++ (2015)'!Z45</f>
        <v>7.8046887891534</v>
      </c>
      <c r="AA43" s="1">
        <f>'Data_Raw++ (2015)'!AA45</f>
        <v>6.6484385981677114</v>
      </c>
    </row>
    <row r="44" spans="1:27" x14ac:dyDescent="0.2">
      <c r="A44" s="1" t="s">
        <v>115</v>
      </c>
      <c r="B44" s="1">
        <f>'Data_Raw++ (2015)'!B46</f>
        <v>7000</v>
      </c>
      <c r="C44" s="1">
        <f>'Data_Raw++ (2015)'!C46</f>
        <v>608.695652173913</v>
      </c>
      <c r="D44" s="1">
        <f>'Data_Raw++ (2015)'!D46</f>
        <v>1732.4414715719063</v>
      </c>
      <c r="E44" s="1">
        <f>'Data_Raw++ (2015)'!E46</f>
        <v>3856.0794044665008</v>
      </c>
      <c r="F44" s="1">
        <f>'Data_Raw++ (2015)'!F46</f>
        <v>2679.648399714009</v>
      </c>
      <c r="G44" s="1">
        <f>'Data_Raw++ (2015)'!G46</f>
        <v>800.41445705743126</v>
      </c>
      <c r="H44" s="1">
        <f>'Data_Raw++ (2015)'!H46</f>
        <v>1061.0145128435715</v>
      </c>
      <c r="I44" s="1">
        <f>'Data_Raw++ (2015)'!I46</f>
        <v>44.208938035148812</v>
      </c>
      <c r="J44" s="1">
        <f>'Data_Raw++ (2015)'!J46</f>
        <v>692.60669588399799</v>
      </c>
      <c r="K44" s="1">
        <f>'Data_Raw++ (2015)'!K46</f>
        <v>461.73779725599871</v>
      </c>
      <c r="L44" s="1">
        <f>'Data_Raw++ (2015)'!L46</f>
        <v>237.86492585915084</v>
      </c>
      <c r="M44" s="1">
        <f>'Data_Raw++ (2015)'!M46</f>
        <v>92.503026723003117</v>
      </c>
      <c r="N44" s="1">
        <f>'Data_Raw++ (2015)'!N46</f>
        <v>92.503026723003117</v>
      </c>
      <c r="O44" s="1">
        <f>'Data_Raw++ (2015)'!O46</f>
        <v>237.86492585915084</v>
      </c>
      <c r="P44" s="1">
        <f>'Data_Raw++ (2015)'!P46</f>
        <v>179.44196161304362</v>
      </c>
      <c r="Q44" s="1">
        <f>'Data_Raw++ (2015)'!Q46</f>
        <v>96.622594714715788</v>
      </c>
      <c r="R44" s="1">
        <f>'Data_Raw++ (2015)'!R46</f>
        <v>9.8594484402771201</v>
      </c>
      <c r="S44" s="1">
        <f>'Data_Raw++ (2015)'!S46</f>
        <v>17.051046126126316</v>
      </c>
      <c r="T44" s="1">
        <f>'Data_Raw++ (2015)'!T46</f>
        <v>15.120739017508242</v>
      </c>
      <c r="U44" s="1">
        <f>'Data_Raw++ (2015)'!U46</f>
        <v>24.67067944961871</v>
      </c>
      <c r="V44" s="1">
        <f>'Data_Raw++ (2015)'!V46</f>
        <v>40.252161207272628</v>
      </c>
      <c r="W44" s="1">
        <f>'Data_Raw++ (2015)'!W46</f>
        <v>17.250926231688272</v>
      </c>
      <c r="X44" s="1">
        <f>'Data_Raw++ (2015)'!X46</f>
        <v>4.644480139300688</v>
      </c>
      <c r="Y44" s="1">
        <f>'Data_Raw++ (2015)'!Y46</f>
        <v>10.063040301818157</v>
      </c>
      <c r="Z44" s="1">
        <f>'Data_Raw++ (2015)'!Z46</f>
        <v>5.1839904585123842</v>
      </c>
      <c r="AA44" s="1">
        <f>'Data_Raw++ (2015)'!AA46</f>
        <v>2.8511947521818115</v>
      </c>
    </row>
    <row r="45" spans="1:27" x14ac:dyDescent="0.2">
      <c r="A45" s="1" t="s">
        <v>111</v>
      </c>
      <c r="B45" s="1">
        <f>'Data_Raw++ (2015)'!B47</f>
        <v>8000</v>
      </c>
      <c r="C45" s="1">
        <f>'Data_Raw++ (2015)'!C47</f>
        <v>602.15053763440869</v>
      </c>
      <c r="D45" s="1">
        <f>'Data_Raw++ (2015)'!D47</f>
        <v>1628.0366387893271</v>
      </c>
      <c r="E45" s="1">
        <f>'Data_Raw++ (2015)'!E47</f>
        <v>2656.2703053931127</v>
      </c>
      <c r="F45" s="1">
        <f>'Data_Raw++ (2015)'!F47</f>
        <v>2552.1028424365204</v>
      </c>
      <c r="G45" s="1">
        <f>'Data_Raw++ (2015)'!G47</f>
        <v>850.70094747884013</v>
      </c>
      <c r="H45" s="1">
        <f>'Data_Raw++ (2015)'!H47</f>
        <v>1448.4908024639712</v>
      </c>
      <c r="I45" s="1">
        <f>'Data_Raw++ (2015)'!I47</f>
        <v>44.798684612287772</v>
      </c>
      <c r="J45" s="1">
        <f>'Data_Raw++ (2015)'!J47</f>
        <v>595.18252413468042</v>
      </c>
      <c r="K45" s="1">
        <f>'Data_Raw++ (2015)'!K47</f>
        <v>788.96288082969261</v>
      </c>
      <c r="L45" s="1">
        <f>'Data_Raw++ (2015)'!L47</f>
        <v>277.20317434556767</v>
      </c>
      <c r="M45" s="1">
        <f>'Data_Raw++ (2015)'!M47</f>
        <v>102.52720147027846</v>
      </c>
      <c r="N45" s="1">
        <f>'Data_Raw++ (2015)'!N47</f>
        <v>125.31102401922922</v>
      </c>
      <c r="O45" s="1">
        <f>'Data_Raw++ (2015)'!O47</f>
        <v>222.77515381196307</v>
      </c>
      <c r="P45" s="1">
        <f>'Data_Raw++ (2015)'!P47</f>
        <v>231.8680172328595</v>
      </c>
      <c r="Q45" s="1">
        <f>'Data_Raw++ (2015)'!Q47</f>
        <v>61.635802049241128</v>
      </c>
      <c r="R45" s="1">
        <f>'Data_Raw++ (2015)'!R47</f>
        <v>3.9342001308026253</v>
      </c>
      <c r="S45" s="1">
        <f>'Data_Raw++ (2015)'!S47</f>
        <v>19.208153579801049</v>
      </c>
      <c r="T45" s="1">
        <f>'Data_Raw++ (2015)'!T47</f>
        <v>23.476632153090172</v>
      </c>
      <c r="U45" s="1">
        <f>'Data_Raw++ (2015)'!U47</f>
        <v>12.641263467048553</v>
      </c>
      <c r="V45" s="1">
        <f>'Data_Raw++ (2015)'!V47</f>
        <v>21.524313470920511</v>
      </c>
      <c r="W45" s="1">
        <f>'Data_Raw++ (2015)'!W47</f>
        <v>47.908955790113389</v>
      </c>
      <c r="X45" s="1">
        <f>'Data_Raw++ (2015)'!X47</f>
        <v>7.1588094858790123</v>
      </c>
      <c r="Y45" s="1">
        <f>'Data_Raw++ (2015)'!Y47</f>
        <v>23.966449148377563</v>
      </c>
      <c r="Z45" s="1">
        <f>'Data_Raw++ (2015)'!Z47</f>
        <v>7.1588094858790123</v>
      </c>
      <c r="AA45" s="1">
        <f>'Data_Raw++ (2015)'!AA47</f>
        <v>7.4510057914250956</v>
      </c>
    </row>
    <row r="46" spans="1:27" x14ac:dyDescent="0.2">
      <c r="A46" s="1" t="s">
        <v>127</v>
      </c>
      <c r="B46" s="1">
        <f>'Data_Raw++ (2015)'!B48</f>
        <v>5000</v>
      </c>
      <c r="C46" s="1">
        <f>'Data_Raw++ (2015)'!C48</f>
        <v>2246.376811594203</v>
      </c>
      <c r="D46" s="1">
        <f>'Data_Raw++ (2015)'!D48</f>
        <v>3665.1411136536999</v>
      </c>
      <c r="E46" s="1">
        <f>'Data_Raw++ (2015)'!E48</f>
        <v>3122.1572449642631</v>
      </c>
      <c r="F46" s="1">
        <f>'Data_Raw++ (2015)'!F48</f>
        <v>2881.9913030439352</v>
      </c>
      <c r="G46" s="1">
        <f>'Data_Raw++ (2015)'!G48</f>
        <v>2357.9928843086741</v>
      </c>
      <c r="H46" s="1">
        <f>'Data_Raw++ (2015)'!H48</f>
        <v>963.12385415424717</v>
      </c>
      <c r="I46" s="1">
        <f>'Data_Raw++ (2015)'!I48</f>
        <v>183.45216269604708</v>
      </c>
      <c r="J46" s="1">
        <f>'Data_Raw++ (2015)'!J48</f>
        <v>1227.7183195812381</v>
      </c>
      <c r="K46" s="1">
        <f>'Data_Raw++ (2015)'!K48</f>
        <v>577.74979744999439</v>
      </c>
      <c r="L46" s="1">
        <f>'Data_Raw++ (2015)'!L48</f>
        <v>284.56333307238532</v>
      </c>
      <c r="M46" s="1">
        <f>'Data_Raw++ (2015)'!M48</f>
        <v>347.79962931069321</v>
      </c>
      <c r="N46" s="1">
        <f>'Data_Raw++ (2015)'!N48</f>
        <v>376.78293175325103</v>
      </c>
      <c r="O46" s="1">
        <f>'Data_Raw++ (2015)'!O48</f>
        <v>284.23975553315432</v>
      </c>
      <c r="P46" s="1">
        <f>'Data_Raw++ (2015)'!P48</f>
        <v>166.93445959883667</v>
      </c>
      <c r="Q46" s="1">
        <f>'Data_Raw++ (2015)'!Q48</f>
        <v>71.54333982807286</v>
      </c>
      <c r="R46" s="1">
        <f>'Data_Raw++ (2015)'!R48</f>
        <v>27.822409933139451</v>
      </c>
      <c r="S46" s="1">
        <f>'Data_Raw++ (2015)'!S48</f>
        <v>68.116934663893147</v>
      </c>
      <c r="T46" s="1">
        <f>'Data_Raw++ (2015)'!T48</f>
        <v>53.520448664487468</v>
      </c>
      <c r="U46" s="1">
        <f>'Data_Raw++ (2015)'!U48</f>
        <v>83.711470988044496</v>
      </c>
      <c r="V46" s="1">
        <f>'Data_Raw++ (2015)'!V48</f>
        <v>30.961776940783583</v>
      </c>
      <c r="W46" s="1">
        <f>'Data_Raw++ (2015)'!W48</f>
        <v>23.357129972871828</v>
      </c>
      <c r="X46" s="1">
        <f>'Data_Raw++ (2015)'!X48</f>
        <v>20.712926579716527</v>
      </c>
      <c r="Y46" s="1">
        <f>'Data_Raw++ (2015)'!Y48</f>
        <v>22.439003794692905</v>
      </c>
      <c r="Z46" s="1">
        <f>'Data_Raw++ (2015)'!Z48</f>
        <v>13.178462546089483</v>
      </c>
      <c r="AA46" s="1">
        <f>'Data_Raw++ (2015)'!AA48</f>
        <v>14.860819466866866</v>
      </c>
    </row>
    <row r="47" spans="1:27" x14ac:dyDescent="0.2">
      <c r="A47" s="1" t="s">
        <v>133</v>
      </c>
      <c r="B47" s="1">
        <f>'Data_Raw++ (2015)'!B49</f>
        <v>5000</v>
      </c>
      <c r="C47" s="1">
        <f>'Data_Raw++ (2015)'!C49</f>
        <v>3196.7213114754099</v>
      </c>
      <c r="D47" s="1">
        <f>'Data_Raw++ (2015)'!D49</f>
        <v>4600.1599360255896</v>
      </c>
      <c r="E47" s="1">
        <f>'Data_Raw++ (2015)'!E49</f>
        <v>5187.4143959437497</v>
      </c>
      <c r="F47" s="1">
        <f>'Data_Raw++ (2015)'!F49</f>
        <v>4418.9085595076385</v>
      </c>
      <c r="G47" s="1">
        <f>'Data_Raw++ (2015)'!G49</f>
        <v>3070.7669650815792</v>
      </c>
      <c r="H47" s="1">
        <f>'Data_Raw++ (2015)'!H49</f>
        <v>1135.7631240712692</v>
      </c>
      <c r="I47" s="1">
        <f>'Data_Raw++ (2015)'!I49</f>
        <v>301.91171652527407</v>
      </c>
      <c r="J47" s="1">
        <f>'Data_Raw++ (2015)'!J49</f>
        <v>1710.8330603098864</v>
      </c>
      <c r="K47" s="1">
        <f>'Data_Raw++ (2015)'!K49</f>
        <v>881.33824318994152</v>
      </c>
      <c r="L47" s="1">
        <f>'Data_Raw++ (2015)'!L49</f>
        <v>612.45538933538307</v>
      </c>
      <c r="M47" s="1">
        <f>'Data_Raw++ (2015)'!M49</f>
        <v>663.49333844666501</v>
      </c>
      <c r="N47" s="1">
        <f>'Data_Raw++ (2015)'!N49</f>
        <v>480.46069335792987</v>
      </c>
      <c r="O47" s="1">
        <f>'Data_Raw++ (2015)'!O49</f>
        <v>393.10420365648804</v>
      </c>
      <c r="P47" s="1">
        <f>'Data_Raw++ (2015)'!P49</f>
        <v>152.87385697752313</v>
      </c>
      <c r="Q47" s="1">
        <f>'Data_Raw++ (2015)'!Q49</f>
        <v>120.11517333948245</v>
      </c>
      <c r="R47" s="1">
        <f>'Data_Raw++ (2015)'!R49</f>
        <v>37.931107370362874</v>
      </c>
      <c r="S47" s="1">
        <f>'Data_Raw++ (2015)'!S49</f>
        <v>306.89714145111776</v>
      </c>
      <c r="T47" s="1">
        <f>'Data_Raw++ (2015)'!T49</f>
        <v>86.560732204161425</v>
      </c>
      <c r="U47" s="1">
        <f>'Data_Raw++ (2015)'!U49</f>
        <v>70.822417257950249</v>
      </c>
      <c r="V47" s="1">
        <f>'Data_Raw++ (2015)'!V49</f>
        <v>68.045067561560032</v>
      </c>
      <c r="W47" s="1">
        <f>'Data_Raw++ (2015)'!W49</f>
        <v>41.705041408698079</v>
      </c>
      <c r="X47" s="1">
        <f>'Data_Raw++ (2015)'!X49</f>
        <v>80.956845087472743</v>
      </c>
      <c r="Y47" s="1">
        <f>'Data_Raw++ (2015)'!Y49</f>
        <v>66.237418707932235</v>
      </c>
      <c r="Z47" s="1">
        <f>'Data_Raw++ (2015)'!Z49</f>
        <v>22.079139569310744</v>
      </c>
      <c r="AA47" s="1">
        <f>'Data_Raw++ (2015)'!AA49</f>
        <v>41.00411634300567</v>
      </c>
    </row>
    <row r="48" spans="1:27" x14ac:dyDescent="0.2">
      <c r="A48" s="1" t="s">
        <v>145</v>
      </c>
      <c r="B48" s="1">
        <f>'Data_Raw++ (2015)'!B50</f>
        <v>4000</v>
      </c>
      <c r="C48" s="1">
        <f>'Data_Raw++ (2015)'!C50</f>
        <v>2153.8461538461534</v>
      </c>
      <c r="D48" s="1">
        <f>'Data_Raw++ (2015)'!D50</f>
        <v>3230.7692307692296</v>
      </c>
      <c r="E48" s="1">
        <f>'Data_Raw++ (2015)'!E50</f>
        <v>3792.6421404682264</v>
      </c>
      <c r="F48" s="1">
        <f>'Data_Raw++ (2015)'!F50</f>
        <v>3363.2864264529549</v>
      </c>
      <c r="G48" s="1">
        <f>'Data_Raw++ (2015)'!G50</f>
        <v>2435.4832743280022</v>
      </c>
      <c r="H48" s="1">
        <f>'Data_Raw++ (2015)'!H50</f>
        <v>900.7951836555626</v>
      </c>
      <c r="I48" s="1">
        <f>'Data_Raw++ (2015)'!I50</f>
        <v>284.46163694386183</v>
      </c>
      <c r="J48" s="1">
        <f>'Data_Raw++ (2015)'!J50</f>
        <v>1388.842109784737</v>
      </c>
      <c r="K48" s="1">
        <f>'Data_Raw++ (2015)'!K50</f>
        <v>684.05656153576592</v>
      </c>
      <c r="L48" s="1">
        <f>'Data_Raw++ (2015)'!L50</f>
        <v>437.34763770319461</v>
      </c>
      <c r="M48" s="1">
        <f>'Data_Raw++ (2015)'!M50</f>
        <v>579.7398918391184</v>
      </c>
      <c r="N48" s="1">
        <f>'Data_Raw++ (2015)'!N50</f>
        <v>419.81164581453407</v>
      </c>
      <c r="O48" s="1">
        <f>'Data_Raw++ (2015)'!O50</f>
        <v>357.61732791608461</v>
      </c>
      <c r="P48" s="1">
        <f>'Data_Raw++ (2015)'!P50</f>
        <v>248.51373634846559</v>
      </c>
      <c r="Q48" s="1">
        <f>'Data_Raw++ (2015)'!Q50</f>
        <v>122.40228805222931</v>
      </c>
      <c r="R48" s="1">
        <f>'Data_Raw++ (2015)'!R50</f>
        <v>40.800762684076439</v>
      </c>
      <c r="S48" s="1">
        <f>'Data_Raw++ (2015)'!S50</f>
        <v>199.20372369284377</v>
      </c>
      <c r="T48" s="1">
        <f>'Data_Raw++ (2015)'!T50</f>
        <v>56.185665656955933</v>
      </c>
      <c r="U48" s="1">
        <f>'Data_Raw++ (2015)'!U50</f>
        <v>65.957085771209137</v>
      </c>
      <c r="V48" s="1">
        <f>'Data_Raw++ (2015)'!V50</f>
        <v>47.762027627427308</v>
      </c>
      <c r="W48" s="1">
        <f>'Data_Raw++ (2015)'!W50</f>
        <v>65.957085771209137</v>
      </c>
      <c r="X48" s="1">
        <f>'Data_Raw++ (2015)'!X50</f>
        <v>58.490245872581681</v>
      </c>
      <c r="Y48" s="1">
        <f>'Data_Raw++ (2015)'!Y50</f>
        <v>51.868708603987528</v>
      </c>
      <c r="Z48" s="1">
        <f>'Data_Raw++ (2015)'!Z50</f>
        <v>24.408804048935306</v>
      </c>
      <c r="AA48" s="1">
        <f>'Data_Raw++ (2015)'!AA50</f>
        <v>219.67923644041772</v>
      </c>
    </row>
    <row r="49" spans="1:27" x14ac:dyDescent="0.2">
      <c r="A49" s="1" t="s">
        <v>142</v>
      </c>
      <c r="B49" s="1">
        <f>'Data_Raw++ (2015)'!B51</f>
        <v>5000</v>
      </c>
      <c r="C49" s="1">
        <f>'Data_Raw++ (2015)'!C51</f>
        <v>2246.376811594203</v>
      </c>
      <c r="D49" s="1">
        <f>'Data_Raw++ (2015)'!D51</f>
        <v>3102.1394064872325</v>
      </c>
      <c r="E49" s="1">
        <f>'Data_Raw++ (2015)'!E51</f>
        <v>2437.395247954254</v>
      </c>
      <c r="F49" s="1">
        <f>'Data_Raw++ (2015)'!F51</f>
        <v>1915.0962662497707</v>
      </c>
      <c r="G49" s="1">
        <f>'Data_Raw++ (2015)'!G51</f>
        <v>1444.7217447147395</v>
      </c>
      <c r="H49" s="1">
        <f>'Data_Raw++ (2015)'!H51</f>
        <v>1135.1385137044381</v>
      </c>
      <c r="I49" s="1">
        <f>'Data_Raw++ (2015)'!I51</f>
        <v>112.26644641032904</v>
      </c>
      <c r="J49" s="1">
        <f>'Data_Raw++ (2015)'!J51</f>
        <v>823.28727367574629</v>
      </c>
      <c r="K49" s="1">
        <f>'Data_Raw++ (2015)'!K51</f>
        <v>621.07636435187885</v>
      </c>
      <c r="L49" s="1">
        <f>'Data_Raw++ (2015)'!L51</f>
        <v>305.9032839345075</v>
      </c>
      <c r="M49" s="1">
        <f>'Data_Raw++ (2015)'!M51</f>
        <v>91.373708188229514</v>
      </c>
      <c r="N49" s="1">
        <f>'Data_Raw++ (2015)'!N51</f>
        <v>365.49483275291806</v>
      </c>
      <c r="O49" s="1">
        <f>'Data_Raw++ (2015)'!O51</f>
        <v>264.66867199349241</v>
      </c>
      <c r="P49" s="1">
        <f>'Data_Raw++ (2015)'!P51</f>
        <v>108.1041054621307</v>
      </c>
      <c r="Q49" s="1">
        <f>'Data_Raw++ (2015)'!Q51</f>
        <v>44.155198005659017</v>
      </c>
      <c r="R49" s="1">
        <f>'Data_Raw++ (2015)'!R51</f>
        <v>23.775875849201004</v>
      </c>
      <c r="S49" s="1">
        <f>'Data_Raw++ (2015)'!S51</f>
        <v>61.137966469374</v>
      </c>
      <c r="T49" s="1">
        <f>'Data_Raw++ (2015)'!T51</f>
        <v>71.770656290134696</v>
      </c>
      <c r="U49" s="1">
        <f>'Data_Raw++ (2015)'!U51</f>
        <v>27.910810779496828</v>
      </c>
      <c r="V49" s="1">
        <f>'Data_Raw++ (2015)'!V51</f>
        <v>21.055523921374803</v>
      </c>
      <c r="W49" s="1">
        <f>'Data_Raw++ (2015)'!W51</f>
        <v>21.055523921374803</v>
      </c>
      <c r="X49" s="1">
        <f>'Data_Raw++ (2015)'!X51</f>
        <v>16.543625938223059</v>
      </c>
      <c r="Y49" s="1">
        <f>'Data_Raw++ (2015)'!Y51</f>
        <v>14.092718391819643</v>
      </c>
      <c r="Z49" s="1">
        <f>'Data_Raw++ (2015)'!Z51</f>
        <v>18.681045310086503</v>
      </c>
      <c r="AA49" s="1">
        <f>'Data_Raw++ (2015)'!AA51</f>
        <v>114.75499261910279</v>
      </c>
    </row>
    <row r="50" spans="1:27" x14ac:dyDescent="0.2">
      <c r="A50" s="1" t="s">
        <v>128</v>
      </c>
      <c r="B50" s="1">
        <f>'Data_Raw++ (2015)'!B52</f>
        <v>4000</v>
      </c>
      <c r="C50" s="1">
        <f>'Data_Raw++ (2015)'!C52</f>
        <v>1797.1014492753625</v>
      </c>
      <c r="D50" s="1">
        <f>'Data_Raw++ (2015)'!D52</f>
        <v>3337.4741200828162</v>
      </c>
      <c r="E50" s="1">
        <f>'Data_Raw++ (2015)'!E52</f>
        <v>2319.2616766677197</v>
      </c>
      <c r="F50" s="1">
        <f>'Data_Raw++ (2015)'!F52</f>
        <v>2512.5334830566967</v>
      </c>
      <c r="G50" s="1">
        <f>'Data_Raw++ (2015)'!G52</f>
        <v>2615.0858701202355</v>
      </c>
      <c r="H50" s="1">
        <f>'Data_Raw++ (2015)'!H52</f>
        <v>2319.0384131254918</v>
      </c>
      <c r="I50" s="1">
        <f>'Data_Raw++ (2015)'!I52</f>
        <v>148.02372849737182</v>
      </c>
      <c r="J50" s="1">
        <f>'Data_Raw++ (2015)'!J52</f>
        <v>1966.6009643222258</v>
      </c>
      <c r="K50" s="1">
        <f>'Data_Raw++ (2015)'!K52</f>
        <v>803.2595488076696</v>
      </c>
      <c r="L50" s="1">
        <f>'Data_Raw++ (2015)'!L52</f>
        <v>239.93467042307014</v>
      </c>
      <c r="M50" s="1">
        <f>'Data_Raw++ (2015)'!M52</f>
        <v>259.92922629165935</v>
      </c>
      <c r="N50" s="1">
        <f>'Data_Raw++ (2015)'!N52</f>
        <v>424.09505342323371</v>
      </c>
      <c r="O50" s="1">
        <f>'Data_Raw++ (2015)'!O52</f>
        <v>271.14273907387076</v>
      </c>
      <c r="P50" s="1">
        <f>'Data_Raw++ (2015)'!P52</f>
        <v>152.51779072905231</v>
      </c>
      <c r="Q50" s="1">
        <f>'Data_Raw++ (2015)'!Q52</f>
        <v>119.83540700139822</v>
      </c>
      <c r="R50" s="1">
        <f>'Data_Raw++ (2015)'!R52</f>
        <v>9.0198693441912656</v>
      </c>
      <c r="S50" s="1">
        <f>'Data_Raw++ (2015)'!S52</f>
        <v>171.37751753963403</v>
      </c>
      <c r="T50" s="1">
        <f>'Data_Raw++ (2015)'!T52</f>
        <v>60.213722378790344</v>
      </c>
      <c r="U50" s="1">
        <f>'Data_Raw++ (2015)'!U52</f>
        <v>11.469280453102922</v>
      </c>
      <c r="V50" s="1">
        <f>'Data_Raw++ (2015)'!V52</f>
        <v>6.1757663978246491</v>
      </c>
      <c r="W50" s="1">
        <f>'Data_Raw++ (2015)'!W52</f>
        <v>23.232645020387967</v>
      </c>
      <c r="X50" s="1">
        <f>'Data_Raw++ (2015)'!X52</f>
        <v>9.9568478658805564</v>
      </c>
      <c r="Y50" s="1">
        <f>'Data_Raw++ (2015)'!Y52</f>
        <v>39.827391463522225</v>
      </c>
      <c r="Z50" s="1">
        <f>'Data_Raw++ (2015)'!Z52</f>
        <v>9.9568478658805564</v>
      </c>
      <c r="AA50" s="1">
        <f>'Data_Raw++ (2015)'!AA52</f>
        <v>20.215418394363553</v>
      </c>
    </row>
    <row r="51" spans="1:27" x14ac:dyDescent="0.2">
      <c r="A51" s="1" t="s">
        <v>154</v>
      </c>
      <c r="B51" s="1">
        <f>'Data_Raw++ (2015)'!B53</f>
        <v>5000</v>
      </c>
      <c r="C51" s="1">
        <f>'Data_Raw++ (2015)'!C53</f>
        <v>1329.1139240506329</v>
      </c>
      <c r="D51" s="1">
        <f>'Data_Raw++ (2015)'!D53</f>
        <v>2078.8704965920156</v>
      </c>
      <c r="E51" s="1">
        <f>'Data_Raw++ (2015)'!E53</f>
        <v>1843.5266667891456</v>
      </c>
      <c r="F51" s="1">
        <f>'Data_Raw++ (2015)'!F53</f>
        <v>1634.825534699808</v>
      </c>
      <c r="G51" s="1">
        <f>'Data_Raw++ (2015)'!G53</f>
        <v>1089.8836897998722</v>
      </c>
      <c r="H51" s="1">
        <f>'Data_Raw++ (2015)'!H53</f>
        <v>1047.1431529449751</v>
      </c>
      <c r="I51" s="1">
        <f>'Data_Raw++ (2015)'!I53</f>
        <v>116.34923921610834</v>
      </c>
      <c r="J51" s="1">
        <f>'Data_Raw++ (2015)'!J53</f>
        <v>659.31235555794728</v>
      </c>
      <c r="K51" s="1">
        <f>'Data_Raw++ (2015)'!K53</f>
        <v>296.21279742458506</v>
      </c>
      <c r="L51" s="1">
        <f>'Data_Raw++ (2015)'!L53</f>
        <v>145.89585544792996</v>
      </c>
      <c r="M51" s="1">
        <f>'Data_Raw++ (2015)'!M53</f>
        <v>357.19330126906993</v>
      </c>
      <c r="N51" s="1">
        <f>'Data_Raw++ (2015)'!N53</f>
        <v>175.93102898327325</v>
      </c>
      <c r="O51" s="1">
        <f>'Data_Raw++ (2015)'!O53</f>
        <v>215.02681320177845</v>
      </c>
      <c r="P51" s="1">
        <f>'Data_Raw++ (2015)'!P53</f>
        <v>96.60624940949468</v>
      </c>
      <c r="Q51" s="1">
        <f>'Data_Raw++ (2015)'!Q53</f>
        <v>92.817769040494895</v>
      </c>
      <c r="R51" s="1">
        <f>'Data_Raw++ (2015)'!R53</f>
        <v>20.374632228401317</v>
      </c>
      <c r="S51" s="1">
        <f>'Data_Raw++ (2015)'!S53</f>
        <v>81.49852891360527</v>
      </c>
      <c r="T51" s="1">
        <f>'Data_Raw++ (2015)'!T53</f>
        <v>45.842922513902963</v>
      </c>
      <c r="U51" s="1">
        <f>'Data_Raw++ (2015)'!U53</f>
        <v>25.786643914070414</v>
      </c>
      <c r="V51" s="1">
        <f>'Data_Raw++ (2015)'!V53</f>
        <v>5.6604828104057008</v>
      </c>
      <c r="W51" s="1">
        <f>'Data_Raw++ (2015)'!W53</f>
        <v>13.858423432372577</v>
      </c>
      <c r="X51" s="1">
        <f>'Data_Raw++ (2015)'!X53</f>
        <v>15.627583870547801</v>
      </c>
      <c r="Y51" s="1">
        <f>'Data_Raw++ (2015)'!Y53</f>
        <v>23.4413758058217</v>
      </c>
      <c r="Z51" s="1">
        <f>'Data_Raw++ (2015)'!Z53</f>
        <v>24.398166655038914</v>
      </c>
      <c r="AA51" s="1">
        <f>'Data_Raw++ (2015)'!AA53</f>
        <v>17.667637922614386</v>
      </c>
    </row>
    <row r="52" spans="1:27" x14ac:dyDescent="0.2">
      <c r="A52" s="1" t="s">
        <v>147</v>
      </c>
      <c r="B52" s="1">
        <f>'Data_Raw++ (2015)'!B54</f>
        <v>4000</v>
      </c>
      <c r="C52" s="1">
        <f>'Data_Raw++ (2015)'!C54</f>
        <v>1000</v>
      </c>
      <c r="D52" s="1">
        <f>'Data_Raw++ (2015)'!D54</f>
        <v>2125</v>
      </c>
      <c r="E52" s="1">
        <f>'Data_Raw++ (2015)'!E54</f>
        <v>3777.7777777777783</v>
      </c>
      <c r="F52" s="1">
        <f>'Data_Raw++ (2015)'!F54</f>
        <v>2968.2539682539687</v>
      </c>
      <c r="G52" s="1">
        <f>'Data_Raw++ (2015)'!G54</f>
        <v>1396.8253968253971</v>
      </c>
      <c r="H52" s="1">
        <f>'Data_Raw++ (2015)'!H54</f>
        <v>820.3577727387252</v>
      </c>
      <c r="I52" s="1">
        <f>'Data_Raw++ (2015)'!I54</f>
        <v>122.58219592647619</v>
      </c>
      <c r="J52" s="1">
        <f>'Data_Raw++ (2015)'!J54</f>
        <v>820.3577727387252</v>
      </c>
      <c r="K52" s="1">
        <f>'Data_Raw++ (2015)'!K54</f>
        <v>618.86638996079273</v>
      </c>
      <c r="L52" s="1">
        <f>'Data_Raw++ (2015)'!L54</f>
        <v>265.22845284033974</v>
      </c>
      <c r="M52" s="1">
        <f>'Data_Raw++ (2015)'!M54</f>
        <v>311.35514029083362</v>
      </c>
      <c r="N52" s="1">
        <f>'Data_Raw++ (2015)'!N54</f>
        <v>146.52006601921582</v>
      </c>
      <c r="O52" s="1">
        <f>'Data_Raw++ (2015)'!O54</f>
        <v>326.12530823631903</v>
      </c>
      <c r="P52" s="1">
        <f>'Data_Raw++ (2015)'!P54</f>
        <v>160.62888316117207</v>
      </c>
      <c r="Q52" s="1">
        <f>'Data_Raw++ (2015)'!Q54</f>
        <v>90.353746778159291</v>
      </c>
      <c r="R52" s="1">
        <f>'Data_Raw++ (2015)'!R54</f>
        <v>13.501134576046791</v>
      </c>
      <c r="S52" s="1">
        <f>'Data_Raw++ (2015)'!S54</f>
        <v>82.935540967144561</v>
      </c>
      <c r="T52" s="1">
        <f>'Data_Raw++ (2015)'!T54</f>
        <v>29.139514393861603</v>
      </c>
      <c r="U52" s="1">
        <f>'Data_Raw++ (2015)'!U54</f>
        <v>17.859702370431307</v>
      </c>
      <c r="V52" s="1">
        <f>'Data_Raw++ (2015)'!V54</f>
        <v>17.859702370431307</v>
      </c>
      <c r="W52" s="1">
        <f>'Data_Raw++ (2015)'!W54</f>
        <v>20.139664375167222</v>
      </c>
      <c r="X52" s="1">
        <f>'Data_Raw++ (2015)'!X54</f>
        <v>21.817969739764493</v>
      </c>
      <c r="Y52" s="1">
        <f>'Data_Raw++ (2015)'!Y54</f>
        <v>27.768325123336631</v>
      </c>
      <c r="Z52" s="1">
        <f>'Data_Raw++ (2015)'!Z54</f>
        <v>22.719538737275425</v>
      </c>
      <c r="AA52" s="1">
        <f>'Data_Raw++ (2015)'!AA54</f>
        <v>17.139301152681462</v>
      </c>
    </row>
    <row r="53" spans="1:27" x14ac:dyDescent="0.2">
      <c r="A53" s="1" t="s">
        <v>150</v>
      </c>
      <c r="B53" s="1">
        <f>'Data_Raw++ (2015)'!B55</f>
        <v>4000</v>
      </c>
      <c r="C53" s="1">
        <f>'Data_Raw++ (2015)'!C55</f>
        <v>761.90476190476204</v>
      </c>
      <c r="D53" s="1">
        <f>'Data_Raw++ (2015)'!D55</f>
        <v>1865.3530377668314</v>
      </c>
      <c r="E53" s="1">
        <f>'Data_Raw++ (2015)'!E55</f>
        <v>3043.4707458300932</v>
      </c>
      <c r="F53" s="1">
        <f>'Data_Raw++ (2015)'!F55</f>
        <v>3167.6940415782606</v>
      </c>
      <c r="G53" s="1">
        <f>'Data_Raw++ (2015)'!G55</f>
        <v>1293.8468620530923</v>
      </c>
      <c r="H53" s="1">
        <f>'Data_Raw++ (2015)'!H55</f>
        <v>1346.6569380552594</v>
      </c>
      <c r="I53" s="1">
        <f>'Data_Raw++ (2015)'!I55</f>
        <v>101.36127490738512</v>
      </c>
      <c r="J53" s="1">
        <f>'Data_Raw++ (2015)'!J55</f>
        <v>820.10486061429788</v>
      </c>
      <c r="K53" s="1">
        <f>'Data_Raw++ (2015)'!K55</f>
        <v>727.26280092211323</v>
      </c>
      <c r="L53" s="1">
        <f>'Data_Raw++ (2015)'!L55</f>
        <v>358.20406612581701</v>
      </c>
      <c r="M53" s="1">
        <f>'Data_Raw++ (2015)'!M55</f>
        <v>330.64990719306184</v>
      </c>
      <c r="N53" s="1">
        <f>'Data_Raw++ (2015)'!N55</f>
        <v>141.70710308274079</v>
      </c>
      <c r="O53" s="1">
        <f>'Data_Raw++ (2015)'!O55</f>
        <v>275.07849421943797</v>
      </c>
      <c r="P53" s="1">
        <f>'Data_Raw++ (2015)'!P55</f>
        <v>243.93753260969027</v>
      </c>
      <c r="Q53" s="1">
        <f>'Data_Raw++ (2015)'!Q55</f>
        <v>155.96006183242491</v>
      </c>
      <c r="R53" s="1">
        <f>'Data_Raw++ (2015)'!R55</f>
        <v>15.424621499910156</v>
      </c>
      <c r="S53" s="1">
        <f>'Data_Raw++ (2015)'!S55</f>
        <v>87.406188499490881</v>
      </c>
      <c r="T53" s="1">
        <f>'Data_Raw++ (2015)'!T55</f>
        <v>35.701119246270927</v>
      </c>
      <c r="U53" s="1">
        <f>'Data_Raw++ (2015)'!U55</f>
        <v>47.324739465987037</v>
      </c>
      <c r="V53" s="1">
        <f>'Data_Raw++ (2015)'!V55</f>
        <v>19.329823162163716</v>
      </c>
      <c r="W53" s="1">
        <f>'Data_Raw++ (2015)'!W55</f>
        <v>21.797460161588877</v>
      </c>
      <c r="X53" s="1">
        <f>'Data_Raw++ (2015)'!X55</f>
        <v>31.367076817896191</v>
      </c>
      <c r="Y53" s="1">
        <f>'Data_Raw++ (2015)'!Y55</f>
        <v>38.337538332984238</v>
      </c>
      <c r="Z53" s="1">
        <f>'Data_Raw++ (2015)'!Z55</f>
        <v>17.224111424963933</v>
      </c>
      <c r="AA53" s="1">
        <f>'Data_Raw++ (2015)'!AA55</f>
        <v>12.993627917078056</v>
      </c>
    </row>
    <row r="54" spans="1:27" x14ac:dyDescent="0.2">
      <c r="A54" s="1" t="s">
        <v>153</v>
      </c>
      <c r="B54" s="1">
        <f>'Data_Raw++ (2015)'!B56</f>
        <v>10000</v>
      </c>
      <c r="C54" s="1">
        <f>'Data_Raw++ (2015)'!C56</f>
        <v>869.56521739130437</v>
      </c>
      <c r="D54" s="1">
        <f>'Data_Raw++ (2015)'!D56</f>
        <v>1847.8260869565217</v>
      </c>
      <c r="E54" s="1">
        <f>'Data_Raw++ (2015)'!E56</f>
        <v>3014.8741418764303</v>
      </c>
      <c r="F54" s="1">
        <f>'Data_Raw++ (2015)'!F56</f>
        <v>2183.1847234277598</v>
      </c>
      <c r="G54" s="1">
        <f>'Data_Raw++ (2015)'!G56</f>
        <v>1228.0414069281148</v>
      </c>
      <c r="H54" s="1">
        <f>'Data_Raw++ (2015)'!H56</f>
        <v>2183.1847234277598</v>
      </c>
      <c r="I54" s="1">
        <f>'Data_Raw++ (2015)'!I56</f>
        <v>22.052370943714745</v>
      </c>
      <c r="J54" s="1">
        <f>'Data_Raw++ (2015)'!J56</f>
        <v>345.48714478486431</v>
      </c>
      <c r="K54" s="1">
        <f>'Data_Raw++ (2015)'!K56</f>
        <v>477.10129517909832</v>
      </c>
      <c r="L54" s="1">
        <f>'Data_Raw++ (2015)'!L56</f>
        <v>104.72955260028988</v>
      </c>
      <c r="M54" s="1">
        <f>'Data_Raw++ (2015)'!M56</f>
        <v>298.07641893928655</v>
      </c>
      <c r="N54" s="1">
        <f>'Data_Raw++ (2015)'!N56</f>
        <v>121.74952322872268</v>
      </c>
      <c r="O54" s="1">
        <f>'Data_Raw++ (2015)'!O56</f>
        <v>207.30324225431158</v>
      </c>
      <c r="P54" s="1">
        <f>'Data_Raw++ (2015)'!P56</f>
        <v>45.505589763141572</v>
      </c>
      <c r="Q54" s="1">
        <f>'Data_Raw++ (2015)'!Q56</f>
        <v>304.53740841487047</v>
      </c>
      <c r="R54" s="1">
        <f>'Data_Raw++ (2015)'!R56</f>
        <v>30.119084348723451</v>
      </c>
      <c r="S54" s="1">
        <f>'Data_Raw++ (2015)'!S56</f>
        <v>137.20916203307351</v>
      </c>
      <c r="T54" s="1">
        <f>'Data_Raw++ (2015)'!T56</f>
        <v>24.213381535248264</v>
      </c>
      <c r="U54" s="1">
        <f>'Data_Raw++ (2015)'!U56</f>
        <v>47.002446509599565</v>
      </c>
      <c r="V54" s="1">
        <f>'Data_Raw++ (2015)'!V56</f>
        <v>3.5378185544859888</v>
      </c>
      <c r="W54" s="1">
        <f>'Data_Raw++ (2015)'!W56</f>
        <v>8.661555771327766</v>
      </c>
      <c r="X54" s="1">
        <f>'Data_Raw++ (2015)'!X56</f>
        <v>14.748054421449979</v>
      </c>
      <c r="Y54" s="1">
        <f>'Data_Raw++ (2015)'!Y56</f>
        <v>14.748054421449979</v>
      </c>
      <c r="Z54" s="1">
        <f>'Data_Raw++ (2015)'!Z56</f>
        <v>36.107305652515464</v>
      </c>
      <c r="AA54" s="1">
        <f>'Data_Raw++ (2015)'!AA56</f>
        <v>10.184111850709488</v>
      </c>
    </row>
    <row r="55" spans="1:27" x14ac:dyDescent="0.2">
      <c r="A55" s="1" t="s">
        <v>129</v>
      </c>
      <c r="B55" s="1">
        <f>'Data_Raw++ (2015)'!B57</f>
        <v>5000</v>
      </c>
      <c r="C55" s="1">
        <f>'Data_Raw++ (2015)'!C57</f>
        <v>606.06060606060601</v>
      </c>
      <c r="D55" s="1">
        <f>'Data_Raw++ (2015)'!D57</f>
        <v>1410.2564102564102</v>
      </c>
      <c r="E55" s="1">
        <f>'Data_Raw++ (2015)'!E57</f>
        <v>1250.6047411707787</v>
      </c>
      <c r="F55" s="1">
        <f>'Data_Raw++ (2015)'!F57</f>
        <v>1727.0255949501227</v>
      </c>
      <c r="G55" s="1">
        <f>'Data_Raw++ (2015)'!G57</f>
        <v>1151.3503966334154</v>
      </c>
      <c r="H55" s="1">
        <f>'Data_Raw++ (2015)'!H57</f>
        <v>1151.3503966334154</v>
      </c>
      <c r="I55" s="1">
        <f>'Data_Raw++ (2015)'!I57</f>
        <v>94.372983330607809</v>
      </c>
      <c r="J55" s="1">
        <f>'Data_Raw++ (2015)'!J57</f>
        <v>1727.0255949501227</v>
      </c>
      <c r="K55" s="1">
        <f>'Data_Raw++ (2015)'!K57</f>
        <v>459.08275308800728</v>
      </c>
      <c r="L55" s="1">
        <f>'Data_Raw++ (2015)'!L57</f>
        <v>161.29934567957014</v>
      </c>
      <c r="M55" s="1">
        <f>'Data_Raw++ (2015)'!M57</f>
        <v>126.73520017680511</v>
      </c>
      <c r="N55" s="1">
        <f>'Data_Raw++ (2015)'!N57</f>
        <v>105.99671287514609</v>
      </c>
      <c r="O55" s="1">
        <f>'Data_Raw++ (2015)'!O57</f>
        <v>157.00232681364756</v>
      </c>
      <c r="P55" s="1">
        <f>'Data_Raw++ (2015)'!P57</f>
        <v>177.04517704517704</v>
      </c>
      <c r="Q55" s="1">
        <f>'Data_Raw++ (2015)'!Q57</f>
        <v>44.26129426129426</v>
      </c>
      <c r="R55" s="1">
        <f>'Data_Raw++ (2015)'!R57</f>
        <v>3.0178155178155182</v>
      </c>
      <c r="S55" s="1">
        <f>'Data_Raw++ (2015)'!S57</f>
        <v>103.27635327635326</v>
      </c>
      <c r="T55" s="1">
        <f>'Data_Raw++ (2015)'!T57</f>
        <v>41.310541310541311</v>
      </c>
      <c r="U55" s="1">
        <f>'Data_Raw++ (2015)'!U57</f>
        <v>8.2621082621082618</v>
      </c>
      <c r="V55" s="1">
        <f>'Data_Raw++ (2015)'!V57</f>
        <v>11.016144349477681</v>
      </c>
      <c r="W55" s="1">
        <f>'Data_Raw++ (2015)'!W57</f>
        <v>16.52421652421652</v>
      </c>
      <c r="X55" s="1">
        <f>'Data_Raw++ (2015)'!X57</f>
        <v>0</v>
      </c>
      <c r="Y55" s="1">
        <f>'Data_Raw++ (2015)'!Y57</f>
        <v>33.04843304843304</v>
      </c>
      <c r="Z55" s="1">
        <f>'Data_Raw++ (2015)'!Z57</f>
        <v>6.2949396282729611</v>
      </c>
      <c r="AA55" s="1">
        <f>'Data_Raw++ (2015)'!AA57</f>
        <v>17.168017168017165</v>
      </c>
    </row>
    <row r="56" spans="1:27" x14ac:dyDescent="0.2">
      <c r="A56" s="1" t="s">
        <v>144</v>
      </c>
      <c r="B56" s="1">
        <f>'Data_Raw++ (2015)'!B58</f>
        <v>8000</v>
      </c>
      <c r="C56" s="1">
        <f>'Data_Raw++ (2015)'!C58</f>
        <v>695.6521739130435</v>
      </c>
      <c r="D56" s="1">
        <f>'Data_Raw++ (2015)'!D58</f>
        <v>1788.8198757763971</v>
      </c>
      <c r="E56" s="1">
        <f>'Data_Raw++ (2015)'!E58</f>
        <v>2017.1798599180652</v>
      </c>
      <c r="F56" s="1">
        <f>'Data_Raw++ (2015)'!F58</f>
        <v>1650.4198853875077</v>
      </c>
      <c r="G56" s="1">
        <f>'Data_Raw++ (2015)'!G58</f>
        <v>928.36118553047299</v>
      </c>
      <c r="H56" s="1">
        <f>'Data_Raw++ (2015)'!H58</f>
        <v>759.56824270675054</v>
      </c>
      <c r="I56" s="1">
        <f>'Data_Raw++ (2015)'!I58</f>
        <v>48.483079321707486</v>
      </c>
      <c r="J56" s="1">
        <f>'Data_Raw++ (2015)'!J58</f>
        <v>759.56824270675054</v>
      </c>
      <c r="K56" s="1">
        <f>'Data_Raw++ (2015)'!K58</f>
        <v>550.03217575316421</v>
      </c>
      <c r="L56" s="1">
        <f>'Data_Raw++ (2015)'!L58</f>
        <v>164.29532522497112</v>
      </c>
      <c r="M56" s="1">
        <f>'Data_Raw++ (2015)'!M58</f>
        <v>100.69713481530488</v>
      </c>
      <c r="N56" s="1">
        <f>'Data_Raw++ (2015)'!N58</f>
        <v>139.05794807827817</v>
      </c>
      <c r="O56" s="1">
        <f>'Data_Raw++ (2015)'!O58</f>
        <v>247.21412991693899</v>
      </c>
      <c r="P56" s="1">
        <f>'Data_Raw++ (2015)'!P58</f>
        <v>302.15060323181433</v>
      </c>
      <c r="Q56" s="1">
        <f>'Data_Raw++ (2015)'!Q58</f>
        <v>53.32069468796724</v>
      </c>
      <c r="R56" s="1">
        <f>'Data_Raw++ (2015)'!R58</f>
        <v>5.273475298809946</v>
      </c>
      <c r="S56" s="1">
        <f>'Data_Raw++ (2015)'!S58</f>
        <v>29.883026693256362</v>
      </c>
      <c r="T56" s="1">
        <f>'Data_Raw++ (2015)'!T58</f>
        <v>23.479520973272852</v>
      </c>
      <c r="U56" s="1">
        <f>'Data_Raw++ (2015)'!U58</f>
        <v>11.564540180865732</v>
      </c>
      <c r="V56" s="1">
        <f>'Data_Raw++ (2015)'!V58</f>
        <v>52.682905268388339</v>
      </c>
      <c r="W56" s="1">
        <f>'Data_Raw++ (2015)'!W58</f>
        <v>10.790474573043396</v>
      </c>
      <c r="X56" s="1">
        <f>'Data_Raw++ (2015)'!X58</f>
        <v>6.8988280057162701</v>
      </c>
      <c r="Y56" s="1">
        <f>'Data_Raw++ (2015)'!Y58</f>
        <v>13.391842599331582</v>
      </c>
      <c r="Z56" s="1">
        <f>'Data_Raw++ (2015)'!Z58</f>
        <v>6.3020435761560387</v>
      </c>
      <c r="AA56" s="1">
        <f>'Data_Raw++ (2015)'!AA58</f>
        <v>4.5635487965267867</v>
      </c>
    </row>
    <row r="57" spans="1:27" x14ac:dyDescent="0.2">
      <c r="A57" s="1" t="s">
        <v>134</v>
      </c>
      <c r="B57" s="1">
        <f>'Data_Raw++ (2015)'!B59</f>
        <v>5000</v>
      </c>
      <c r="C57" s="1">
        <f>'Data_Raw++ (2015)'!C59</f>
        <v>555.55555555555554</v>
      </c>
      <c r="D57" s="1">
        <f>'Data_Raw++ (2015)'!D59</f>
        <v>800</v>
      </c>
      <c r="E57" s="1">
        <f>'Data_Raw++ (2015)'!E59</f>
        <v>1250</v>
      </c>
      <c r="F57" s="1">
        <f>'Data_Raw++ (2015)'!F59</f>
        <v>1527.7777777777778</v>
      </c>
      <c r="G57" s="1">
        <f>'Data_Raw++ (2015)'!G59</f>
        <v>432.87037037037044</v>
      </c>
      <c r="H57" s="1">
        <f>'Data_Raw++ (2015)'!H59</f>
        <v>813.95348837209315</v>
      </c>
      <c r="I57" s="1">
        <f>'Data_Raw++ (2015)'!I59</f>
        <v>39.384846211552897</v>
      </c>
      <c r="J57" s="1">
        <f>'Data_Raw++ (2015)'!J59</f>
        <v>332.45987553226342</v>
      </c>
      <c r="K57" s="1">
        <f>'Data_Raw++ (2015)'!K59</f>
        <v>374.90156177042473</v>
      </c>
      <c r="L57" s="1">
        <f>'Data_Raw++ (2015)'!L59</f>
        <v>118.15453863465868</v>
      </c>
      <c r="M57" s="1">
        <f>'Data_Raw++ (2015)'!M59</f>
        <v>67.133260587874247</v>
      </c>
      <c r="N57" s="1">
        <f>'Data_Raw++ (2015)'!N59</f>
        <v>67.133260587874247</v>
      </c>
      <c r="O57" s="1">
        <f>'Data_Raw++ (2015)'!O59</f>
        <v>155.03875968992253</v>
      </c>
      <c r="P57" s="1">
        <f>'Data_Raw++ (2015)'!P59</f>
        <v>54.473077728891703</v>
      </c>
      <c r="Q57" s="1">
        <f>'Data_Raw++ (2015)'!Q59</f>
        <v>105.74185676784859</v>
      </c>
      <c r="R57" s="1">
        <f>'Data_Raw++ (2015)'!R59</f>
        <v>2.6435464191962148</v>
      </c>
      <c r="S57" s="1">
        <f>'Data_Raw++ (2015)'!S59</f>
        <v>30.609484853850905</v>
      </c>
      <c r="T57" s="1">
        <f>'Data_Raw++ (2015)'!T59</f>
        <v>24.870206443753862</v>
      </c>
      <c r="U57" s="1">
        <f>'Data_Raw++ (2015)'!U59</f>
        <v>25.207811056112508</v>
      </c>
      <c r="V57" s="1">
        <f>'Data_Raw++ (2015)'!V59</f>
        <v>2.291619186919319</v>
      </c>
      <c r="W57" s="1">
        <f>'Data_Raw++ (2015)'!W59</f>
        <v>0</v>
      </c>
      <c r="X57" s="1">
        <f>'Data_Raw++ (2015)'!X59</f>
        <v>0</v>
      </c>
      <c r="Y57" s="1">
        <f>'Data_Raw++ (2015)'!Y59</f>
        <v>13.749715121515914</v>
      </c>
      <c r="Z57" s="1">
        <f>'Data_Raw++ (2015)'!Z59</f>
        <v>22.15231880688675</v>
      </c>
      <c r="AA57" s="1">
        <f>'Data_Raw++ (2015)'!AA59</f>
        <v>24.980274399255276</v>
      </c>
    </row>
    <row r="58" spans="1:27" x14ac:dyDescent="0.2">
      <c r="A58" s="1" t="s">
        <v>151</v>
      </c>
      <c r="B58" s="1">
        <f>'Data_Raw++ (2015)'!B60</f>
        <v>9000</v>
      </c>
      <c r="C58" s="1">
        <f>'Data_Raw++ (2015)'!C60</f>
        <v>473.68421052631584</v>
      </c>
      <c r="D58" s="1">
        <f>'Data_Raw++ (2015)'!D60</f>
        <v>1348.178137651822</v>
      </c>
      <c r="E58" s="1">
        <f>'Data_Raw++ (2015)'!E60</f>
        <v>1460.5263157894738</v>
      </c>
      <c r="F58" s="1">
        <f>'Data_Raw++ (2015)'!F60</f>
        <v>2965.3110047846894</v>
      </c>
      <c r="G58" s="1">
        <f>'Data_Raw++ (2015)'!G60</f>
        <v>695.56677890011235</v>
      </c>
      <c r="H58" s="1">
        <f>'Data_Raw++ (2015)'!H60</f>
        <v>960.54459943348843</v>
      </c>
      <c r="I58" s="1">
        <f>'Data_Raw++ (2015)'!I60</f>
        <v>50.554978917552027</v>
      </c>
      <c r="J58" s="1">
        <f>'Data_Raw++ (2015)'!J60</f>
        <v>581.38225755184828</v>
      </c>
      <c r="K58" s="1">
        <f>'Data_Raw++ (2015)'!K60</f>
        <v>605.11214561518898</v>
      </c>
      <c r="L58" s="1">
        <f>'Data_Raw++ (2015)'!L60</f>
        <v>59.846256159743959</v>
      </c>
      <c r="M58" s="1">
        <f>'Data_Raw++ (2015)'!M60</f>
        <v>153.89037298219873</v>
      </c>
      <c r="N58" s="1">
        <f>'Data_Raw++ (2015)'!N60</f>
        <v>75.796750871829218</v>
      </c>
      <c r="O58" s="1">
        <f>'Data_Raw++ (2015)'!O60</f>
        <v>240.02304442745921</v>
      </c>
      <c r="P58" s="1">
        <f>'Data_Raw++ (2015)'!P60</f>
        <v>88.775646569060271</v>
      </c>
      <c r="Q58" s="1">
        <f>'Data_Raw++ (2015)'!Q60</f>
        <v>138.85421642853015</v>
      </c>
      <c r="R58" s="1">
        <f>'Data_Raw++ (2015)'!R60</f>
        <v>4.2944603019133041</v>
      </c>
      <c r="S58" s="1">
        <f>'Data_Raw++ (2015)'!S60</f>
        <v>24.33527504417539</v>
      </c>
      <c r="T58" s="1">
        <f>'Data_Raw++ (2015)'!T60</f>
        <v>10.429403590360883</v>
      </c>
      <c r="U58" s="1">
        <f>'Data_Raw++ (2015)'!U60</f>
        <v>39.234423030405225</v>
      </c>
      <c r="V58" s="1">
        <f>'Data_Raw++ (2015)'!V60</f>
        <v>4.8491983520725555</v>
      </c>
      <c r="W58" s="1">
        <f>'Data_Raw++ (2015)'!W60</f>
        <v>4.8491983520725555</v>
      </c>
      <c r="X58" s="1">
        <f>'Data_Raw++ (2015)'!X60</f>
        <v>9.8453421087533695</v>
      </c>
      <c r="Y58" s="1">
        <f>'Data_Raw++ (2015)'!Y60</f>
        <v>17.502830415561547</v>
      </c>
      <c r="Z58" s="1">
        <f>'Data_Raw++ (2015)'!Z60</f>
        <v>26.254245623342321</v>
      </c>
      <c r="AA58" s="1">
        <f>'Data_Raw++ (2015)'!AA60</f>
        <v>16.091311833661422</v>
      </c>
    </row>
    <row r="59" spans="1:27" x14ac:dyDescent="0.2">
      <c r="A59" s="1" t="s">
        <v>162</v>
      </c>
      <c r="B59" s="1">
        <f>'Data_Raw++ (2015)'!B61</f>
        <v>4000</v>
      </c>
      <c r="C59" s="1">
        <f>'Data_Raw++ (2015)'!C61</f>
        <v>2557.377049180328</v>
      </c>
      <c r="D59" s="1">
        <f>'Data_Raw++ (2015)'!D61</f>
        <v>3002.1382751247329</v>
      </c>
      <c r="E59" s="1">
        <f>'Data_Raw++ (2015)'!E61</f>
        <v>3524.2492794942518</v>
      </c>
      <c r="F59" s="1">
        <f>'Data_Raw++ (2015)'!F61</f>
        <v>3002.1382751247329</v>
      </c>
      <c r="G59" s="1">
        <f>'Data_Raw++ (2015)'!G61</f>
        <v>2173.962199228255</v>
      </c>
      <c r="H59" s="1">
        <f>'Data_Raw++ (2015)'!H61</f>
        <v>931.69808538353789</v>
      </c>
      <c r="I59" s="1">
        <f>'Data_Raw++ (2015)'!I61</f>
        <v>204.51909191345956</v>
      </c>
      <c r="J59" s="1">
        <f>'Data_Raw++ (2015)'!J61</f>
        <v>1368.7046920362293</v>
      </c>
      <c r="K59" s="1">
        <f>'Data_Raw++ (2015)'!K61</f>
        <v>674.1381318984412</v>
      </c>
      <c r="L59" s="1">
        <f>'Data_Raw++ (2015)'!L61</f>
        <v>449.42542126562751</v>
      </c>
      <c r="M59" s="1">
        <f>'Data_Raw++ (2015)'!M61</f>
        <v>467.76931601116337</v>
      </c>
      <c r="N59" s="1">
        <f>'Data_Raw++ (2015)'!N61</f>
        <v>398.47015808358361</v>
      </c>
      <c r="O59" s="1">
        <f>'Data_Raw++ (2015)'!O61</f>
        <v>339.43754207120082</v>
      </c>
      <c r="P59" s="1">
        <f>'Data_Raw++ (2015)'!P61</f>
        <v>245.79959943086959</v>
      </c>
      <c r="Q59" s="1">
        <f>'Data_Raw++ (2015)'!Q61</f>
        <v>126.62403607044799</v>
      </c>
      <c r="R59" s="1">
        <f>'Data_Raw++ (2015)'!R61</f>
        <v>37.822764021042907</v>
      </c>
      <c r="S59" s="1">
        <f>'Data_Raw++ (2015)'!S61</f>
        <v>151.29105608417163</v>
      </c>
      <c r="T59" s="1">
        <f>'Data_Raw++ (2015)'!T61</f>
        <v>64.839024036073553</v>
      </c>
      <c r="U59" s="1">
        <f>'Data_Raw++ (2015)'!U61</f>
        <v>62.296317211129491</v>
      </c>
      <c r="V59" s="1">
        <f>'Data_Raw++ (2015)'!V61</f>
        <v>15.574079302782373</v>
      </c>
      <c r="W59" s="1">
        <f>'Data_Raw++ (2015)'!W61</f>
        <v>38.12964243094995</v>
      </c>
      <c r="X59" s="1">
        <f>'Data_Raw++ (2015)'!X61</f>
        <v>57.194463646424914</v>
      </c>
      <c r="Y59" s="1">
        <f>'Data_Raw++ (2015)'!Y61</f>
        <v>54.951543503427857</v>
      </c>
      <c r="Z59" s="1">
        <f>'Data_Raw++ (2015)'!Z61</f>
        <v>21.370044695777505</v>
      </c>
      <c r="AA59" s="1">
        <f>'Data_Raw++ (2015)'!AA61</f>
        <v>39.687225863586796</v>
      </c>
    </row>
    <row r="60" spans="1:27" x14ac:dyDescent="0.2">
      <c r="A60" s="1" t="s">
        <v>159</v>
      </c>
      <c r="B60" s="1">
        <f>'Data_Raw++ (2015)'!B62</f>
        <v>5000</v>
      </c>
      <c r="C60" s="1">
        <f>'Data_Raw++ (2015)'!C62</f>
        <v>1329.1139240506329</v>
      </c>
      <c r="D60" s="1">
        <f>'Data_Raw++ (2015)'!D62</f>
        <v>2078.8704965920156</v>
      </c>
      <c r="E60" s="1">
        <f>'Data_Raw++ (2015)'!E62</f>
        <v>3251.5666741567425</v>
      </c>
      <c r="F60" s="1">
        <f>'Data_Raw++ (2015)'!F62</f>
        <v>2167.7111161044954</v>
      </c>
      <c r="G60" s="1">
        <f>'Data_Raw++ (2015)'!G62</f>
        <v>1067.6786094246022</v>
      </c>
      <c r="H60" s="1">
        <f>'Data_Raw++ (2015)'!H62</f>
        <v>654.38366384088522</v>
      </c>
      <c r="I60" s="1">
        <f>'Data_Raw++ (2015)'!I62</f>
        <v>56.902927290511755</v>
      </c>
      <c r="J60" s="1">
        <f>'Data_Raw++ (2015)'!J62</f>
        <v>575.35182038184121</v>
      </c>
      <c r="K60" s="1">
        <f>'Data_Raw++ (2015)'!K62</f>
        <v>490.11451365860546</v>
      </c>
      <c r="L60" s="1">
        <f>'Data_Raw++ (2015)'!L62</f>
        <v>275.68941393296552</v>
      </c>
      <c r="M60" s="1">
        <f>'Data_Raw++ (2015)'!M62</f>
        <v>112.60553526839436</v>
      </c>
      <c r="N60" s="1">
        <f>'Data_Raw++ (2015)'!N62</f>
        <v>137.62898755025978</v>
      </c>
      <c r="O60" s="1">
        <f>'Data_Raw++ (2015)'!O62</f>
        <v>198.05146988939822</v>
      </c>
      <c r="P60" s="1">
        <f>'Data_Raw++ (2015)'!P62</f>
        <v>323.13660876691284</v>
      </c>
      <c r="Q60" s="1">
        <f>'Data_Raw++ (2015)'!Q62</f>
        <v>66.184606614909868</v>
      </c>
      <c r="R60" s="1">
        <f>'Data_Raw++ (2015)'!R62</f>
        <v>9.8896538619980259</v>
      </c>
      <c r="S60" s="1">
        <f>'Data_Raw++ (2015)'!S62</f>
        <v>31.317237229660417</v>
      </c>
      <c r="T60" s="1">
        <f>'Data_Raw++ (2015)'!T62</f>
        <v>27.771889618755463</v>
      </c>
      <c r="U60" s="1">
        <f>'Data_Raw++ (2015)'!U62</f>
        <v>32.601783465495544</v>
      </c>
      <c r="V60" s="1">
        <f>'Data_Raw++ (2015)'!V62</f>
        <v>39.846624235605667</v>
      </c>
      <c r="W60" s="1">
        <f>'Data_Raw++ (2015)'!W62</f>
        <v>52.81994375417495</v>
      </c>
      <c r="X60" s="1">
        <f>'Data_Raw++ (2015)'!X62</f>
        <v>7.8926352736123491</v>
      </c>
      <c r="Y60" s="1">
        <f>'Data_Raw++ (2015)'!Y62</f>
        <v>6.7233559738179265</v>
      </c>
      <c r="Z60" s="1">
        <f>'Data_Raw++ (2015)'!Z62</f>
        <v>12.486232522804722</v>
      </c>
      <c r="AA60" s="1">
        <f>'Data_Raw++ (2015)'!AA62</f>
        <v>5.1000104670610833</v>
      </c>
    </row>
    <row r="61" spans="1:27" x14ac:dyDescent="0.2">
      <c r="A61" s="1" t="s">
        <v>168</v>
      </c>
      <c r="B61" s="1">
        <f>'Data_Raw++ (2015)'!B63</f>
        <v>4000</v>
      </c>
      <c r="C61" s="1">
        <f>'Data_Raw++ (2015)'!C63</f>
        <v>597.70114942528744</v>
      </c>
      <c r="D61" s="1">
        <f>'Data_Raw++ (2015)'!D63</f>
        <v>1394.6360153256708</v>
      </c>
      <c r="E61" s="1">
        <f>'Data_Raw++ (2015)'!E63</f>
        <v>1848.7035551991448</v>
      </c>
      <c r="F61" s="1">
        <f>'Data_Raw++ (2015)'!F63</f>
        <v>1776.2053765638843</v>
      </c>
      <c r="G61" s="1">
        <f>'Data_Raw++ (2015)'!G63</f>
        <v>835.861353677122</v>
      </c>
      <c r="H61" s="1">
        <f>'Data_Raw++ (2015)'!H63</f>
        <v>1552.3139425432266</v>
      </c>
      <c r="I61" s="1">
        <f>'Data_Raw++ (2015)'!I63</f>
        <v>31.679876378433196</v>
      </c>
      <c r="J61" s="1">
        <f>'Data_Raw++ (2015)'!J63</f>
        <v>232.31909344184348</v>
      </c>
      <c r="K61" s="1">
        <f>'Data_Raw++ (2015)'!K63</f>
        <v>241.80150541906161</v>
      </c>
      <c r="L61" s="1">
        <f>'Data_Raw++ (2015)'!L63</f>
        <v>103.62921660816927</v>
      </c>
      <c r="M61" s="1">
        <f>'Data_Raw++ (2015)'!M63</f>
        <v>107.85898055135986</v>
      </c>
      <c r="N61" s="1">
        <f>'Data_Raw++ (2015)'!N63</f>
        <v>81.367301117692534</v>
      </c>
      <c r="O61" s="1">
        <f>'Data_Raw++ (2015)'!O63</f>
        <v>103.5583832406996</v>
      </c>
      <c r="P61" s="1">
        <f>'Data_Raw++ (2015)'!P63</f>
        <v>24.291472612015955</v>
      </c>
      <c r="Q61" s="1">
        <f>'Data_Raw++ (2015)'!Q63</f>
        <v>69.137268203430025</v>
      </c>
      <c r="R61" s="1">
        <f>'Data_Raw++ (2015)'!R63</f>
        <v>8.5450556206486556</v>
      </c>
      <c r="S61" s="1">
        <f>'Data_Raw++ (2015)'!S63</f>
        <v>32.145685430059231</v>
      </c>
      <c r="T61" s="1">
        <f>'Data_Raw++ (2015)'!T63</f>
        <v>25.257324266475106</v>
      </c>
      <c r="U61" s="1">
        <f>'Data_Raw++ (2015)'!U63</f>
        <v>8.8741950125453091</v>
      </c>
      <c r="V61" s="1">
        <f>'Data_Raw++ (2015)'!V63</f>
        <v>4.7784126990628586</v>
      </c>
      <c r="W61" s="1">
        <f>'Data_Raw++ (2015)'!W63</f>
        <v>12.28734694044735</v>
      </c>
      <c r="X61" s="1">
        <f>'Data_Raw++ (2015)'!X63</f>
        <v>9.6543440246372025</v>
      </c>
      <c r="Y61" s="1">
        <f>'Data_Raw++ (2015)'!Y63</f>
        <v>10.458872693356971</v>
      </c>
      <c r="Z61" s="1">
        <f>'Data_Raw++ (2015)'!Z63</f>
        <v>11.7940479308068</v>
      </c>
      <c r="AA61" s="1">
        <f>'Data_Raw++ (2015)'!AA63</f>
        <v>9.6496755797510172</v>
      </c>
    </row>
    <row r="62" spans="1:27" x14ac:dyDescent="0.2">
      <c r="A62" s="1" t="s">
        <v>161</v>
      </c>
      <c r="B62" s="1">
        <f>'Data_Raw++ (2015)'!B64</f>
        <v>5000</v>
      </c>
      <c r="C62" s="1">
        <f>'Data_Raw++ (2015)'!C64</f>
        <v>1024.0963855421687</v>
      </c>
      <c r="D62" s="1">
        <f>'Data_Raw++ (2015)'!D64</f>
        <v>2176.2048192771085</v>
      </c>
      <c r="E62" s="1">
        <f>'Data_Raw++ (2015)'!E64</f>
        <v>1853.8041053101294</v>
      </c>
      <c r="F62" s="1">
        <f>'Data_Raw++ (2015)'!F64</f>
        <v>2176.2048192771085</v>
      </c>
      <c r="G62" s="1">
        <f>'Data_Raw++ (2015)'!G64</f>
        <v>1450.803212851406</v>
      </c>
      <c r="H62" s="1">
        <f>'Data_Raw++ (2015)'!H64</f>
        <v>1008.1852835069093</v>
      </c>
      <c r="I62" s="1">
        <f>'Data_Raw++ (2015)'!I64</f>
        <v>53.062383342468912</v>
      </c>
      <c r="J62" s="1">
        <f>'Data_Raw++ (2015)'!J64</f>
        <v>831.31067236534625</v>
      </c>
      <c r="K62" s="1">
        <f>'Data_Raw++ (2015)'!K64</f>
        <v>447.62882358134027</v>
      </c>
      <c r="L62" s="1">
        <f>'Data_Raw++ (2015)'!L64</f>
        <v>210.64885815592484</v>
      </c>
      <c r="M62" s="1">
        <f>'Data_Raw++ (2015)'!M64</f>
        <v>194.44509983623831</v>
      </c>
      <c r="N62" s="1">
        <f>'Data_Raw++ (2015)'!N64</f>
        <v>194.44509983623831</v>
      </c>
      <c r="O62" s="1">
        <f>'Data_Raw++ (2015)'!O64</f>
        <v>268.51942358337669</v>
      </c>
      <c r="P62" s="1">
        <f>'Data_Raw++ (2015)'!P64</f>
        <v>62.986037630668605</v>
      </c>
      <c r="Q62" s="1">
        <f>'Data_Raw++ (2015)'!Q64</f>
        <v>51.534030788728856</v>
      </c>
      <c r="R62" s="1">
        <f>'Data_Raw++ (2015)'!R64</f>
        <v>10.555162932631212</v>
      </c>
      <c r="S62" s="1">
        <f>'Data_Raw++ (2015)'!S64</f>
        <v>42.22065173052485</v>
      </c>
      <c r="T62" s="1">
        <f>'Data_Raw++ (2015)'!T64</f>
        <v>40.564939897955242</v>
      </c>
      <c r="U62" s="1">
        <f>'Data_Raw++ (2015)'!U64</f>
        <v>20.89709025046179</v>
      </c>
      <c r="V62" s="1">
        <f>'Data_Raw++ (2015)'!V64</f>
        <v>7.7290607775680593</v>
      </c>
      <c r="W62" s="1">
        <f>'Data_Raw++ (2015)'!W64</f>
        <v>12.610572847611044</v>
      </c>
      <c r="X62" s="1">
        <f>'Data_Raw++ (2015)'!X64</f>
        <v>9.1317941310286876</v>
      </c>
      <c r="Y62" s="1">
        <f>'Data_Raw++ (2015)'!Y64</f>
        <v>22.357151148380581</v>
      </c>
      <c r="Z62" s="1">
        <f>'Data_Raw++ (2015)'!Z64</f>
        <v>8.2690833014558329</v>
      </c>
      <c r="AA62" s="1">
        <f>'Data_Raw++ (2015)'!AA64</f>
        <v>14.70059253592148</v>
      </c>
    </row>
    <row r="63" spans="1:27" x14ac:dyDescent="0.2">
      <c r="A63" s="1" t="s">
        <v>177</v>
      </c>
      <c r="B63" s="1">
        <f>'Data_Raw++ (2015)'!B65</f>
        <v>4000</v>
      </c>
      <c r="C63" s="1">
        <f>'Data_Raw++ (2015)'!C65</f>
        <v>651.1627906976745</v>
      </c>
      <c r="D63" s="1">
        <f>'Data_Raw++ (2015)'!D65</f>
        <v>1594.2261427425824</v>
      </c>
      <c r="E63" s="1">
        <f>'Data_Raw++ (2015)'!E65</f>
        <v>1531.7074704781671</v>
      </c>
      <c r="F63" s="1">
        <f>'Data_Raw++ (2015)'!F65</f>
        <v>1155.4986180800208</v>
      </c>
      <c r="G63" s="1">
        <f>'Data_Raw++ (2015)'!G65</f>
        <v>738.76141155935761</v>
      </c>
      <c r="H63" s="1">
        <f>'Data_Raw++ (2015)'!H65</f>
        <v>534.96516009470724</v>
      </c>
      <c r="I63" s="1">
        <f>'Data_Raw++ (2015)'!I65</f>
        <v>59.440573343856364</v>
      </c>
      <c r="J63" s="1">
        <f>'Data_Raw++ (2015)'!J65</f>
        <v>601.01024158788107</v>
      </c>
      <c r="K63" s="1">
        <f>'Data_Raw++ (2015)'!K65</f>
        <v>417.65118483225632</v>
      </c>
      <c r="L63" s="1">
        <f>'Data_Raw++ (2015)'!L65</f>
        <v>154.47372589686194</v>
      </c>
      <c r="M63" s="1">
        <f>'Data_Raw++ (2015)'!M65</f>
        <v>76.084073949200658</v>
      </c>
      <c r="N63" s="1">
        <f>'Data_Raw++ (2015)'!N65</f>
        <v>124.13717328553791</v>
      </c>
      <c r="O63" s="1">
        <f>'Data_Raw++ (2015)'!O65</f>
        <v>230.54046467314186</v>
      </c>
      <c r="P63" s="1">
        <f>'Data_Raw++ (2015)'!P65</f>
        <v>76.846821557713952</v>
      </c>
      <c r="Q63" s="1">
        <f>'Data_Raw++ (2015)'!Q65</f>
        <v>27.000234601358958</v>
      </c>
      <c r="R63" s="1">
        <f>'Data_Raw++ (2015)'!R65</f>
        <v>4.0345178139961666</v>
      </c>
      <c r="S63" s="1">
        <f>'Data_Raw++ (2015)'!S65</f>
        <v>19.697939915393047</v>
      </c>
      <c r="T63" s="1">
        <f>'Data_Raw++ (2015)'!T65</f>
        <v>21.339434908342472</v>
      </c>
      <c r="U63" s="1">
        <f>'Data_Raw++ (2015)'!U65</f>
        <v>6.3741169206737256</v>
      </c>
      <c r="V63" s="1">
        <f>'Data_Raw++ (2015)'!V65</f>
        <v>9.172509715115849</v>
      </c>
      <c r="W63" s="1">
        <f>'Data_Raw++ (2015)'!W65</f>
        <v>34.506107975912002</v>
      </c>
      <c r="X63" s="1">
        <f>'Data_Raw++ (2015)'!X65</f>
        <v>8.6265269939780005</v>
      </c>
      <c r="Y63" s="1">
        <f>'Data_Raw++ (2015)'!Y65</f>
        <v>10.126792558148088</v>
      </c>
      <c r="Z63" s="1">
        <f>'Data_Raw++ (2015)'!Z65</f>
        <v>3.1979344920467643</v>
      </c>
      <c r="AA63" s="1">
        <f>'Data_Raw++ (2015)'!AA65</f>
        <v>7.8294258253558713</v>
      </c>
    </row>
    <row r="64" spans="1:27" x14ac:dyDescent="0.2">
      <c r="A64" s="1" t="s">
        <v>178</v>
      </c>
      <c r="B64" s="1">
        <f>'Data_Raw++ (2015)'!B66</f>
        <v>4000</v>
      </c>
      <c r="C64" s="1">
        <f>'Data_Raw++ (2015)'!C66</f>
        <v>347.82608695652175</v>
      </c>
      <c r="D64" s="1">
        <f>'Data_Raw++ (2015)'!D66</f>
        <v>811.59420289855075</v>
      </c>
      <c r="E64" s="1">
        <f>'Data_Raw++ (2015)'!E66</f>
        <v>1324.18001525553</v>
      </c>
      <c r="F64" s="1">
        <f>'Data_Raw++ (2015)'!F66</f>
        <v>846.60689499943715</v>
      </c>
      <c r="G64" s="1">
        <f>'Data_Raw++ (2015)'!G66</f>
        <v>497.21357325363766</v>
      </c>
      <c r="H64" s="1">
        <f>'Data_Raw++ (2015)'!H66</f>
        <v>560.68764643495319</v>
      </c>
      <c r="I64" s="1">
        <f>'Data_Raw++ (2015)'!I66</f>
        <v>23.36198526812305</v>
      </c>
      <c r="J64" s="1">
        <f>'Data_Raw++ (2015)'!J66</f>
        <v>171.32122529956905</v>
      </c>
      <c r="K64" s="1">
        <f>'Data_Raw++ (2015)'!K66</f>
        <v>140.1719116087383</v>
      </c>
      <c r="L64" s="1">
        <f>'Data_Raw++ (2015)'!L66</f>
        <v>110.1350734068658</v>
      </c>
      <c r="M64" s="1">
        <f>'Data_Raw++ (2015)'!M66</f>
        <v>70.414227260127319</v>
      </c>
      <c r="N64" s="1">
        <f>'Data_Raw++ (2015)'!N66</f>
        <v>48.931920638393557</v>
      </c>
      <c r="O64" s="1">
        <f>'Data_Raw++ (2015)'!O66</f>
        <v>70.414227260127319</v>
      </c>
      <c r="P64" s="1">
        <f>'Data_Raw++ (2015)'!P66</f>
        <v>34.681634322152256</v>
      </c>
      <c r="Q64" s="1">
        <f>'Data_Raw++ (2015)'!Q66</f>
        <v>37.571770515664944</v>
      </c>
      <c r="R64" s="1">
        <f>'Data_Raw++ (2015)'!R66</f>
        <v>5.6141726057890153</v>
      </c>
      <c r="S64" s="1">
        <f>'Data_Raw++ (2015)'!S66</f>
        <v>22.456690423156061</v>
      </c>
      <c r="T64" s="1">
        <f>'Data_Raw++ (2015)'!T66</f>
        <v>10.567854316779322</v>
      </c>
      <c r="U64" s="1">
        <f>'Data_Raw++ (2015)'!U66</f>
        <v>7.6525841604264055</v>
      </c>
      <c r="V64" s="1">
        <f>'Data_Raw++ (2015)'!V66</f>
        <v>1.4576350781764584</v>
      </c>
      <c r="W64" s="1">
        <f>'Data_Raw++ (2015)'!W66</f>
        <v>19.36572318148723</v>
      </c>
      <c r="X64" s="1">
        <f>'Data_Raw++ (2015)'!X66</f>
        <v>4.8414307953718074</v>
      </c>
      <c r="Y64" s="1">
        <f>'Data_Raw++ (2015)'!Y66</f>
        <v>14.524292386115423</v>
      </c>
      <c r="Z64" s="1">
        <f>'Data_Raw++ (2015)'!Z66</f>
        <v>7.1537559513702833</v>
      </c>
      <c r="AA64" s="1">
        <f>'Data_Raw++ (2015)'!AA66</f>
        <v>5.6208082475052219</v>
      </c>
    </row>
    <row r="65" spans="1:27" x14ac:dyDescent="0.2">
      <c r="A65" s="1" t="s">
        <v>184</v>
      </c>
      <c r="B65" s="1">
        <f>'Data_Raw++ (2015)'!B67</f>
        <v>3000</v>
      </c>
      <c r="C65" s="1">
        <f>'Data_Raw++ (2015)'!C67</f>
        <v>409.09090909090907</v>
      </c>
      <c r="D65" s="1">
        <f>'Data_Raw++ (2015)'!D67</f>
        <v>588.69179600886912</v>
      </c>
      <c r="E65" s="1">
        <f>'Data_Raw++ (2015)'!E67</f>
        <v>1250.970066518847</v>
      </c>
      <c r="F65" s="1">
        <f>'Data_Raw++ (2015)'!F67</f>
        <v>1355.2175720620844</v>
      </c>
      <c r="G65" s="1">
        <f>'Data_Raw++ (2015)'!G67</f>
        <v>404.8052487977655</v>
      </c>
      <c r="H65" s="1">
        <f>'Data_Raw++ (2015)'!H67</f>
        <v>475.20616163215948</v>
      </c>
      <c r="I65" s="1">
        <f>'Data_Raw++ (2015)'!I67</f>
        <v>35.768205714248566</v>
      </c>
      <c r="J65" s="1">
        <f>'Data_Raw++ (2015)'!J67</f>
        <v>202.68649904740855</v>
      </c>
      <c r="K65" s="1">
        <f>'Data_Raw++ (2015)'!K67</f>
        <v>330.6990247615613</v>
      </c>
      <c r="L65" s="1">
        <f>'Data_Raw++ (2015)'!L67</f>
        <v>93.274083907107027</v>
      </c>
      <c r="M65" s="1">
        <f>'Data_Raw++ (2015)'!M67</f>
        <v>114.00165810868637</v>
      </c>
      <c r="N65" s="1">
        <f>'Data_Raw++ (2015)'!N67</f>
        <v>62.589145628298397</v>
      </c>
      <c r="O65" s="1">
        <f>'Data_Raw++ (2015)'!O67</f>
        <v>118.80154040803987</v>
      </c>
      <c r="P65" s="1">
        <f>'Data_Raw++ (2015)'!P67</f>
        <v>41.74108176498698</v>
      </c>
      <c r="Q65" s="1">
        <f>'Data_Raw++ (2015)'!Q67</f>
        <v>37.01567628215826</v>
      </c>
      <c r="R65" s="1">
        <f>'Data_Raw++ (2015)'!R67</f>
        <v>7.2225709818845383</v>
      </c>
      <c r="S65" s="1">
        <f>'Data_Raw++ (2015)'!S67</f>
        <v>30.285553321765846</v>
      </c>
      <c r="T65" s="1">
        <f>'Data_Raw++ (2015)'!T67</f>
        <v>14.754500336244901</v>
      </c>
      <c r="U65" s="1">
        <f>'Data_Raw++ (2015)'!U67</f>
        <v>10.095184440588616</v>
      </c>
      <c r="V65" s="1">
        <f>'Data_Raw++ (2015)'!V67</f>
        <v>5.9289178460599805</v>
      </c>
      <c r="W65" s="1">
        <f>'Data_Raw++ (2015)'!W67</f>
        <v>5.9289178460599805</v>
      </c>
      <c r="X65" s="1">
        <f>'Data_Raw++ (2015)'!X67</f>
        <v>9.0677567057387929</v>
      </c>
      <c r="Y65" s="1">
        <f>'Data_Raw++ (2015)'!Y67</f>
        <v>11.540781261849373</v>
      </c>
      <c r="Z65" s="1">
        <f>'Data_Raw++ (2015)'!Z67</f>
        <v>14.105399320038124</v>
      </c>
      <c r="AA65" s="1">
        <f>'Data_Raw++ (2015)'!AA67</f>
        <v>8.6452447445394967</v>
      </c>
    </row>
    <row r="66" spans="1:27" x14ac:dyDescent="0.2">
      <c r="A66" s="1" t="s">
        <v>189</v>
      </c>
      <c r="B66" s="1">
        <f>'Data_Raw++ (2015)'!B68</f>
        <v>3000</v>
      </c>
      <c r="C66" s="1">
        <f>'Data_Raw++ (2015)'!C68</f>
        <v>448.27586206896552</v>
      </c>
      <c r="D66" s="1">
        <f>'Data_Raw++ (2015)'!D68</f>
        <v>1152.7093596059112</v>
      </c>
      <c r="E66" s="1">
        <f>'Data_Raw++ (2015)'!E68</f>
        <v>1591.8367346938774</v>
      </c>
      <c r="F66" s="1">
        <f>'Data_Raw++ (2015)'!F68</f>
        <v>1945.5782312925169</v>
      </c>
      <c r="G66" s="1">
        <f>'Data_Raw++ (2015)'!G68</f>
        <v>719.59742801230084</v>
      </c>
      <c r="H66" s="1">
        <f>'Data_Raw++ (2015)'!H68</f>
        <v>691.37792103142635</v>
      </c>
      <c r="I66" s="1">
        <f>'Data_Raw++ (2015)'!I68</f>
        <v>52.039198357204135</v>
      </c>
      <c r="J66" s="1">
        <f>'Data_Raw++ (2015)'!J68</f>
        <v>815.28077426286472</v>
      </c>
      <c r="K66" s="1">
        <f>'Data_Raw++ (2015)'!K68</f>
        <v>257.4570866093257</v>
      </c>
      <c r="L66" s="1">
        <f>'Data_Raw++ (2015)'!L68</f>
        <v>138.63073894348304</v>
      </c>
      <c r="M66" s="1">
        <f>'Data_Raw++ (2015)'!M68</f>
        <v>176.4391222917057</v>
      </c>
      <c r="N66" s="1">
        <f>'Data_Raw++ (2015)'!N68</f>
        <v>79.269750594824316</v>
      </c>
      <c r="O66" s="1">
        <f>'Data_Raw++ (2015)'!O68</f>
        <v>153.87657468407073</v>
      </c>
      <c r="P66" s="1">
        <f>'Data_Raw++ (2015)'!P68</f>
        <v>72.412505733680334</v>
      </c>
      <c r="Q66" s="1">
        <f>'Data_Raw++ (2015)'!Q68</f>
        <v>56.895540219320253</v>
      </c>
      <c r="R66" s="1">
        <f>'Data_Raw++ (2015)'!R68</f>
        <v>4.9474382799408918</v>
      </c>
      <c r="S66" s="1">
        <f>'Data_Raw++ (2015)'!S68</f>
        <v>50.024098163846801</v>
      </c>
      <c r="T66" s="1">
        <f>'Data_Raw++ (2015)'!T68</f>
        <v>16.674699387948934</v>
      </c>
      <c r="U66" s="1">
        <f>'Data_Raw++ (2015)'!U68</f>
        <v>25.012049081923401</v>
      </c>
      <c r="V66" s="1">
        <f>'Data_Raw++ (2015)'!V68</f>
        <v>5.4904497984709906</v>
      </c>
      <c r="W66" s="1">
        <f>'Data_Raw++ (2015)'!W68</f>
        <v>5.7145497902453162</v>
      </c>
      <c r="X66" s="1">
        <f>'Data_Raw++ (2015)'!X68</f>
        <v>6.708384536374937</v>
      </c>
      <c r="Y66" s="1">
        <f>'Data_Raw++ (2015)'!Y68</f>
        <v>10.062576804562404</v>
      </c>
      <c r="Z66" s="1">
        <f>'Data_Raw++ (2015)'!Z68</f>
        <v>6.4334507439005542</v>
      </c>
      <c r="AA66" s="1">
        <f>'Data_Raw++ (2015)'!AA68</f>
        <v>3.0275062324237898</v>
      </c>
    </row>
    <row r="68" spans="1:27" ht="16" x14ac:dyDescent="0.2">
      <c r="A68" s="43" t="s">
        <v>334</v>
      </c>
      <c r="B68" s="8">
        <f>_xlfn.STDEV.P(B2:B66)</f>
        <v>5742.8937307220713</v>
      </c>
      <c r="C68" s="8">
        <f t="shared" ref="C68:AA68" si="0">_xlfn.STDEV.P(C2:C66)</f>
        <v>1062.421155923988</v>
      </c>
      <c r="D68" s="8">
        <f t="shared" si="0"/>
        <v>1678.5606243607722</v>
      </c>
      <c r="E68" s="8">
        <f t="shared" si="0"/>
        <v>1447.5705631448043</v>
      </c>
      <c r="F68" s="8">
        <f t="shared" si="0"/>
        <v>1102.0307586587369</v>
      </c>
      <c r="G68" s="8">
        <f t="shared" si="0"/>
        <v>1167.2399464666871</v>
      </c>
      <c r="H68" s="8">
        <f t="shared" si="0"/>
        <v>888.8840190286586</v>
      </c>
      <c r="I68" s="8">
        <f t="shared" si="0"/>
        <v>114.50220946271774</v>
      </c>
      <c r="J68" s="8">
        <f t="shared" si="0"/>
        <v>466.22611891801932</v>
      </c>
      <c r="K68" s="8">
        <f t="shared" si="0"/>
        <v>356.57893384675549</v>
      </c>
      <c r="L68" s="8">
        <f t="shared" si="0"/>
        <v>238.96145960655383</v>
      </c>
      <c r="M68" s="8">
        <f t="shared" si="0"/>
        <v>261.34038940966514</v>
      </c>
      <c r="N68" s="8">
        <f t="shared" si="0"/>
        <v>215.00573787728521</v>
      </c>
      <c r="O68" s="8">
        <f t="shared" si="0"/>
        <v>130.17333576770454</v>
      </c>
      <c r="P68" s="8">
        <f t="shared" si="0"/>
        <v>118.01766118404869</v>
      </c>
      <c r="Q68" s="8">
        <f t="shared" si="0"/>
        <v>98.736212280328203</v>
      </c>
      <c r="R68" s="8">
        <f t="shared" si="0"/>
        <v>39.678788233820534</v>
      </c>
      <c r="S68" s="8">
        <f t="shared" si="0"/>
        <v>97.967678617746543</v>
      </c>
      <c r="T68" s="8">
        <f t="shared" si="0"/>
        <v>61.957359930417134</v>
      </c>
      <c r="U68" s="8">
        <f t="shared" si="0"/>
        <v>32.890456237104473</v>
      </c>
      <c r="V68" s="8">
        <f t="shared" si="0"/>
        <v>22.515499284272579</v>
      </c>
      <c r="W68" s="8">
        <f t="shared" si="0"/>
        <v>27.17348543977187</v>
      </c>
      <c r="X68" s="8">
        <f t="shared" si="0"/>
        <v>27.514949679767035</v>
      </c>
      <c r="Y68" s="8">
        <f t="shared" si="0"/>
        <v>28.187654955013816</v>
      </c>
      <c r="Z68" s="8">
        <f t="shared" si="0"/>
        <v>15.956445567633033</v>
      </c>
      <c r="AA68" s="8">
        <f t="shared" si="0"/>
        <v>32.152278846108999</v>
      </c>
    </row>
    <row r="69" spans="1:27" x14ac:dyDescent="0.2">
      <c r="A69" s="43"/>
    </row>
    <row r="70" spans="1:27" ht="16" x14ac:dyDescent="0.2">
      <c r="A70" s="43" t="s">
        <v>343</v>
      </c>
      <c r="B70" s="8">
        <f>B68*Notes!$C$7*KeywordInfo!B21</f>
        <v>1206.0076834516349</v>
      </c>
      <c r="C70" s="8">
        <f>C68*Notes!$C$7*KeywordInfo!C21</f>
        <v>446.21688548807492</v>
      </c>
      <c r="D70" s="8">
        <f>D68*Notes!$C$7*KeywordInfo!D21</f>
        <v>671.4242497443089</v>
      </c>
      <c r="E70" s="8">
        <f>E68*Notes!$C$7*KeywordInfo!E21</f>
        <v>636.93104778371389</v>
      </c>
      <c r="F70" s="8">
        <f>F68*Notes!$C$7*KeywordInfo!F21</f>
        <v>363.67015035738319</v>
      </c>
      <c r="G70" s="8">
        <f>G68*Notes!$C$7*KeywordInfo!G21</f>
        <v>466.89597858667486</v>
      </c>
      <c r="H70" s="8">
        <f>H68*Notes!$C$7*KeywordInfo!H21</f>
        <v>328.88708704060366</v>
      </c>
      <c r="I70" s="8">
        <f>I68*Notes!$C$7*KeywordInfo!I21</f>
        <v>35.495684933442497</v>
      </c>
      <c r="J70" s="8">
        <f>J68*Notes!$C$7*KeywordInfo!J21</f>
        <v>55.947134270162316</v>
      </c>
      <c r="K70" s="8">
        <f>K68*Notes!$C$7*KeywordInfo!K21</f>
        <v>110.53946949249421</v>
      </c>
      <c r="L70" s="8">
        <f>L68*Notes!$C$7*KeywordInfo!L21</f>
        <v>100.36381303475261</v>
      </c>
      <c r="M70" s="8">
        <f>M68*Notes!$C$7*KeywordInfo!M21</f>
        <v>122.82998302254261</v>
      </c>
      <c r="N70" s="8">
        <f>N68*Notes!$C$7*KeywordInfo!N21</f>
        <v>70.951893499504123</v>
      </c>
      <c r="O70" s="8">
        <f>O68*Notes!$C$7*KeywordInfo!O21</f>
        <v>54.672801022435905</v>
      </c>
      <c r="P70" s="8">
        <f>P68*Notes!$C$7*KeywordInfo!P21</f>
        <v>22.42335562496925</v>
      </c>
      <c r="Q70" s="8">
        <f>Q68*Notes!$C$7*KeywordInfo!Q21</f>
        <v>39.494484912131284</v>
      </c>
      <c r="R70" s="8">
        <f>R68*Notes!$C$7*KeywordInfo!R21</f>
        <v>17.061878940542829</v>
      </c>
      <c r="S70" s="8">
        <f>S68*Notes!$C$7*KeywordInfo!S21</f>
        <v>48.983839308873272</v>
      </c>
      <c r="T70" s="8">
        <f>T68*Notes!$C$7*KeywordInfo!T21</f>
        <v>29.739532766600224</v>
      </c>
      <c r="U70" s="8">
        <f>U68*Notes!$C$7*KeywordInfo!U21</f>
        <v>13.485087057212834</v>
      </c>
      <c r="V70" s="8">
        <f>V68*Notes!$C$7*KeywordInfo!V21</f>
        <v>3.3773248926408868</v>
      </c>
      <c r="W70" s="8">
        <f>W68*Notes!$C$7*KeywordInfo!W21</f>
        <v>8.6955153407269989</v>
      </c>
      <c r="X70" s="8">
        <f>X68*Notes!$C$7*KeywordInfo!X21</f>
        <v>11.556278865502154</v>
      </c>
      <c r="Y70" s="8">
        <f>Y68*Notes!$C$7*KeywordInfo!Y21</f>
        <v>14.939457126157324</v>
      </c>
      <c r="Z70" s="8">
        <f>Z68*Notes!$C$7*KeywordInfo!Z21</f>
        <v>6.8612715940822042</v>
      </c>
      <c r="AA70" s="8">
        <f>AA68*Notes!$C$7*KeywordInfo!AA21</f>
        <v>18.00527615382104</v>
      </c>
    </row>
    <row r="71" spans="1:27" x14ac:dyDescent="0.2">
      <c r="A71" s="5"/>
    </row>
    <row r="72" spans="1:27" x14ac:dyDescent="0.2">
      <c r="A72" s="114" t="s">
        <v>335</v>
      </c>
      <c r="B72" s="32">
        <f>_xlfn.COVARIANCE.P($B$2:$B$66,B$2:B$66)</f>
        <v>32980828.402366869</v>
      </c>
      <c r="C72" s="32">
        <f t="shared" ref="C72:AA72" si="1">_xlfn.COVARIANCE.P($B$2:$B$66,C$2:C$66)</f>
        <v>872054.73391476762</v>
      </c>
      <c r="D72" s="32">
        <f t="shared" si="1"/>
        <v>4419444.2651918437</v>
      </c>
      <c r="E72" s="32">
        <f t="shared" si="1"/>
        <v>3503232.4422651925</v>
      </c>
      <c r="F72" s="32">
        <f t="shared" si="1"/>
        <v>3345533.4789176658</v>
      </c>
      <c r="G72" s="32">
        <f t="shared" si="1"/>
        <v>1815841.8976249152</v>
      </c>
      <c r="H72" s="32">
        <f t="shared" si="1"/>
        <v>2479869.6525894008</v>
      </c>
      <c r="I72" s="32">
        <f t="shared" si="1"/>
        <v>-13330.452971011284</v>
      </c>
      <c r="J72" s="32">
        <f t="shared" si="1"/>
        <v>-59337.073616592599</v>
      </c>
      <c r="K72" s="32">
        <f t="shared" si="1"/>
        <v>724315.44260579511</v>
      </c>
      <c r="L72" s="32">
        <f t="shared" si="1"/>
        <v>572548.25951756374</v>
      </c>
      <c r="M72" s="32">
        <f t="shared" si="1"/>
        <v>217596.87295688372</v>
      </c>
      <c r="N72" s="32">
        <f t="shared" si="1"/>
        <v>150702.8154774993</v>
      </c>
      <c r="O72" s="32">
        <f t="shared" si="1"/>
        <v>217577.72803396094</v>
      </c>
      <c r="P72" s="32">
        <f t="shared" si="1"/>
        <v>202033.66528507633</v>
      </c>
      <c r="Q72" s="32">
        <f t="shared" si="1"/>
        <v>219611.64854159692</v>
      </c>
      <c r="R72" s="32">
        <f t="shared" si="1"/>
        <v>37994.571976017105</v>
      </c>
      <c r="S72" s="32">
        <f t="shared" si="1"/>
        <v>151018.98298110534</v>
      </c>
      <c r="T72" s="32">
        <f t="shared" si="1"/>
        <v>151725.41783526805</v>
      </c>
      <c r="U72" s="32">
        <f t="shared" si="1"/>
        <v>50352.894003160742</v>
      </c>
      <c r="V72" s="32">
        <f t="shared" si="1"/>
        <v>1457.8157958285844</v>
      </c>
      <c r="W72" s="32">
        <f t="shared" si="1"/>
        <v>29189.808227627229</v>
      </c>
      <c r="X72" s="32">
        <f t="shared" si="1"/>
        <v>58165.151097622766</v>
      </c>
      <c r="Y72" s="32">
        <f t="shared" si="1"/>
        <v>28468.545036680542</v>
      </c>
      <c r="Z72" s="32">
        <f t="shared" si="1"/>
        <v>42129.194877053422</v>
      </c>
      <c r="AA72" s="32">
        <f t="shared" si="1"/>
        <v>13176.501516583641</v>
      </c>
    </row>
    <row r="73" spans="1:27" x14ac:dyDescent="0.2">
      <c r="A73" s="114"/>
      <c r="B73" s="32">
        <f>_xlfn.COVARIANCE.P($C$2:$C$66,B$2:B$66)</f>
        <v>872054.73391476762</v>
      </c>
      <c r="C73" s="32">
        <f t="shared" ref="C73:AA73" si="2">_xlfn.COVARIANCE.P($C$2:$C$66,C$2:C$66)</f>
        <v>1128738.712554866</v>
      </c>
      <c r="D73" s="32">
        <f t="shared" si="2"/>
        <v>1430477.9041607983</v>
      </c>
      <c r="E73" s="32">
        <f t="shared" si="2"/>
        <v>918042.12902636209</v>
      </c>
      <c r="F73" s="32">
        <f t="shared" si="2"/>
        <v>509887.49195916351</v>
      </c>
      <c r="G73" s="32">
        <f t="shared" si="2"/>
        <v>1106582.7149869448</v>
      </c>
      <c r="H73" s="32">
        <f t="shared" si="2"/>
        <v>371867.19085173274</v>
      </c>
      <c r="I73" s="32">
        <f t="shared" si="2"/>
        <v>94428.973741795184</v>
      </c>
      <c r="J73" s="32">
        <f t="shared" si="2"/>
        <v>303984.93446330138</v>
      </c>
      <c r="K73" s="32">
        <f t="shared" si="2"/>
        <v>295864.43246803991</v>
      </c>
      <c r="L73" s="32">
        <f t="shared" si="2"/>
        <v>182243.63685997063</v>
      </c>
      <c r="M73" s="32">
        <f t="shared" si="2"/>
        <v>187921.67852653115</v>
      </c>
      <c r="N73" s="32">
        <f t="shared" si="2"/>
        <v>199025.66114284852</v>
      </c>
      <c r="O73" s="32">
        <f t="shared" si="2"/>
        <v>114316.95000418047</v>
      </c>
      <c r="P73" s="32">
        <f t="shared" si="2"/>
        <v>16514.357990737612</v>
      </c>
      <c r="Q73" s="32">
        <f t="shared" si="2"/>
        <v>43095.152293453561</v>
      </c>
      <c r="R73" s="32">
        <f t="shared" si="2"/>
        <v>29353.68603759478</v>
      </c>
      <c r="S73" s="32">
        <f t="shared" si="2"/>
        <v>75757.694402445326</v>
      </c>
      <c r="T73" s="32">
        <f t="shared" si="2"/>
        <v>51451.700438588588</v>
      </c>
      <c r="U73" s="32">
        <f t="shared" si="2"/>
        <v>24983.672539549825</v>
      </c>
      <c r="V73" s="32">
        <f t="shared" si="2"/>
        <v>12241.688789336344</v>
      </c>
      <c r="W73" s="32">
        <f t="shared" si="2"/>
        <v>17851.859446847157</v>
      </c>
      <c r="X73" s="32">
        <f t="shared" si="2"/>
        <v>21560.871027029993</v>
      </c>
      <c r="Y73" s="32">
        <f t="shared" si="2"/>
        <v>24668.097100017705</v>
      </c>
      <c r="Z73" s="32">
        <f t="shared" si="2"/>
        <v>9330.1687204629434</v>
      </c>
      <c r="AA73" s="32">
        <f t="shared" si="2"/>
        <v>16267.957857857044</v>
      </c>
    </row>
    <row r="74" spans="1:27" x14ac:dyDescent="0.2">
      <c r="A74" s="5"/>
      <c r="B74" s="32">
        <f>_xlfn.COVARIANCE.P($D$2:$D$66,B$2:B$66)</f>
        <v>4419444.2651918437</v>
      </c>
      <c r="C74" s="32">
        <f t="shared" ref="C74:AA74" si="3">_xlfn.COVARIANCE.P($D$2:$D$66,C$2:C$66)</f>
        <v>1430477.9041607983</v>
      </c>
      <c r="D74" s="32">
        <f t="shared" si="3"/>
        <v>2817565.7696544207</v>
      </c>
      <c r="E74" s="32">
        <f t="shared" si="3"/>
        <v>1706499.5373907264</v>
      </c>
      <c r="F74" s="32">
        <f t="shared" si="3"/>
        <v>1113503.6929052691</v>
      </c>
      <c r="G74" s="32">
        <f t="shared" si="3"/>
        <v>1822817.7220834766</v>
      </c>
      <c r="H74" s="32">
        <f t="shared" si="3"/>
        <v>1049966.150949579</v>
      </c>
      <c r="I74" s="32">
        <f t="shared" si="3"/>
        <v>124116.5672194365</v>
      </c>
      <c r="J74" s="32">
        <f t="shared" si="3"/>
        <v>495033.15418407001</v>
      </c>
      <c r="K74" s="32">
        <f t="shared" si="3"/>
        <v>502113.74524321279</v>
      </c>
      <c r="L74" s="32">
        <f t="shared" si="3"/>
        <v>316412.82248320547</v>
      </c>
      <c r="M74" s="32">
        <f t="shared" si="3"/>
        <v>289205.38711266156</v>
      </c>
      <c r="N74" s="32">
        <f t="shared" si="3"/>
        <v>308767.63234358496</v>
      </c>
      <c r="O74" s="32">
        <f t="shared" si="3"/>
        <v>178621.325507751</v>
      </c>
      <c r="P74" s="32">
        <f t="shared" si="3"/>
        <v>53694.887672018478</v>
      </c>
      <c r="Q74" s="32">
        <f t="shared" si="3"/>
        <v>79277.603396306615</v>
      </c>
      <c r="R74" s="32">
        <f t="shared" si="3"/>
        <v>42355.616659003499</v>
      </c>
      <c r="S74" s="32">
        <f t="shared" si="3"/>
        <v>127559.24609694655</v>
      </c>
      <c r="T74" s="32">
        <f t="shared" si="3"/>
        <v>94418.226811222863</v>
      </c>
      <c r="U74" s="32">
        <f t="shared" si="3"/>
        <v>33916.280847655682</v>
      </c>
      <c r="V74" s="32">
        <f t="shared" si="3"/>
        <v>12438.998087111835</v>
      </c>
      <c r="W74" s="32">
        <f t="shared" si="3"/>
        <v>27821.130348831415</v>
      </c>
      <c r="X74" s="32">
        <f t="shared" si="3"/>
        <v>32829.281413822762</v>
      </c>
      <c r="Y74" s="32">
        <f t="shared" si="3"/>
        <v>31828.397598502521</v>
      </c>
      <c r="Z74" s="32">
        <f t="shared" si="3"/>
        <v>17133.901748203822</v>
      </c>
      <c r="AA74" s="32">
        <f t="shared" si="3"/>
        <v>23008.14246496851</v>
      </c>
    </row>
    <row r="75" spans="1:27" x14ac:dyDescent="0.2">
      <c r="A75" s="5"/>
      <c r="B75" s="32">
        <f>_xlfn.COVARIANCE.P($E$2:$E$66,B$2:B$66)</f>
        <v>3503232.4422651925</v>
      </c>
      <c r="C75" s="32">
        <f t="shared" ref="C75:AA75" si="4">_xlfn.COVARIANCE.P($E$2:$E$66,C$2:C$66)</f>
        <v>918042.12902636209</v>
      </c>
      <c r="D75" s="32">
        <f t="shared" si="4"/>
        <v>1706499.5373907264</v>
      </c>
      <c r="E75" s="32">
        <f t="shared" si="4"/>
        <v>2095460.5352833683</v>
      </c>
      <c r="F75" s="32">
        <f t="shared" si="4"/>
        <v>1236039.4310559507</v>
      </c>
      <c r="G75" s="32">
        <f t="shared" si="4"/>
        <v>1181372.5709474357</v>
      </c>
      <c r="H75" s="32">
        <f t="shared" si="4"/>
        <v>588134.95358134597</v>
      </c>
      <c r="I75" s="32">
        <f t="shared" si="4"/>
        <v>72966.351310385857</v>
      </c>
      <c r="J75" s="32">
        <f t="shared" si="4"/>
        <v>269430.55693297141</v>
      </c>
      <c r="K75" s="32">
        <f t="shared" si="4"/>
        <v>308015.62920495466</v>
      </c>
      <c r="L75" s="32">
        <f t="shared" si="4"/>
        <v>255005.77488241371</v>
      </c>
      <c r="M75" s="32">
        <f t="shared" si="4"/>
        <v>214285.7181369389</v>
      </c>
      <c r="N75" s="32">
        <f t="shared" si="4"/>
        <v>171369.51234612829</v>
      </c>
      <c r="O75" s="32">
        <f t="shared" si="4"/>
        <v>134037.2241176173</v>
      </c>
      <c r="P75" s="32">
        <f t="shared" si="4"/>
        <v>78039.828055212449</v>
      </c>
      <c r="Q75" s="32">
        <f t="shared" si="4"/>
        <v>52401.589792001214</v>
      </c>
      <c r="R75" s="32">
        <f t="shared" si="4"/>
        <v>20225.960772705923</v>
      </c>
      <c r="S75" s="32">
        <f t="shared" si="4"/>
        <v>80331.952697846922</v>
      </c>
      <c r="T75" s="32">
        <f t="shared" si="4"/>
        <v>68163.050952279984</v>
      </c>
      <c r="U75" s="32">
        <f t="shared" si="4"/>
        <v>24023.032883335323</v>
      </c>
      <c r="V75" s="32">
        <f t="shared" si="4"/>
        <v>16411.296971198291</v>
      </c>
      <c r="W75" s="32">
        <f t="shared" si="4"/>
        <v>21160.75300610144</v>
      </c>
      <c r="X75" s="32">
        <f t="shared" si="4"/>
        <v>32837.533628165496</v>
      </c>
      <c r="Y75" s="32">
        <f t="shared" si="4"/>
        <v>24836.259619755907</v>
      </c>
      <c r="Z75" s="32">
        <f t="shared" si="4"/>
        <v>15426.604792262689</v>
      </c>
      <c r="AA75" s="32">
        <f t="shared" si="4"/>
        <v>16923.534027035508</v>
      </c>
    </row>
    <row r="76" spans="1:27" x14ac:dyDescent="0.2">
      <c r="A76" s="5"/>
      <c r="B76" s="32">
        <f>_xlfn.COVARIANCE.P($F$2:$F$66,B$2:B$66)</f>
        <v>3345533.4789176658</v>
      </c>
      <c r="C76" s="32">
        <f t="shared" ref="C76:AA76" si="5">_xlfn.COVARIANCE.P($F$2:$F$66,C$2:C$66)</f>
        <v>509887.49195916351</v>
      </c>
      <c r="D76" s="32">
        <f t="shared" si="5"/>
        <v>1113503.6929052691</v>
      </c>
      <c r="E76" s="32">
        <f t="shared" si="5"/>
        <v>1236039.4310559507</v>
      </c>
      <c r="F76" s="32">
        <f t="shared" si="5"/>
        <v>1214471.7930299542</v>
      </c>
      <c r="G76" s="32">
        <f t="shared" si="5"/>
        <v>668370.86249713216</v>
      </c>
      <c r="H76" s="32">
        <f t="shared" si="5"/>
        <v>444256.12957202044</v>
      </c>
      <c r="I76" s="32">
        <f t="shared" si="5"/>
        <v>40433.134221925306</v>
      </c>
      <c r="J76" s="32">
        <f t="shared" si="5"/>
        <v>179673.81717666605</v>
      </c>
      <c r="K76" s="32">
        <f t="shared" si="5"/>
        <v>238117.93087073305</v>
      </c>
      <c r="L76" s="32">
        <f t="shared" si="5"/>
        <v>182645.3412845147</v>
      </c>
      <c r="M76" s="32">
        <f t="shared" si="5"/>
        <v>153117.46783507621</v>
      </c>
      <c r="N76" s="32">
        <f t="shared" si="5"/>
        <v>88696.196123534333</v>
      </c>
      <c r="O76" s="32">
        <f t="shared" si="5"/>
        <v>94361.752347293004</v>
      </c>
      <c r="P76" s="32">
        <f t="shared" si="5"/>
        <v>69027.155095300084</v>
      </c>
      <c r="Q76" s="32">
        <f t="shared" si="5"/>
        <v>50236.06700045133</v>
      </c>
      <c r="R76" s="32">
        <f t="shared" si="5"/>
        <v>13236.554429841161</v>
      </c>
      <c r="S76" s="32">
        <f t="shared" si="5"/>
        <v>56903.047960162883</v>
      </c>
      <c r="T76" s="32">
        <f t="shared" si="5"/>
        <v>38680.294366880684</v>
      </c>
      <c r="U76" s="32">
        <f t="shared" si="5"/>
        <v>22000.805698702366</v>
      </c>
      <c r="V76" s="32">
        <f t="shared" si="5"/>
        <v>9780.6238224536955</v>
      </c>
      <c r="W76" s="32">
        <f t="shared" si="5"/>
        <v>13523.920492468551</v>
      </c>
      <c r="X76" s="32">
        <f t="shared" si="5"/>
        <v>20255.974442739232</v>
      </c>
      <c r="Y76" s="32">
        <f t="shared" si="5"/>
        <v>15494.486884187443</v>
      </c>
      <c r="Z76" s="32">
        <f t="shared" si="5"/>
        <v>10109.491799847317</v>
      </c>
      <c r="AA76" s="32">
        <f t="shared" si="5"/>
        <v>10000.675381105237</v>
      </c>
    </row>
    <row r="77" spans="1:27" x14ac:dyDescent="0.2">
      <c r="A77" s="5"/>
      <c r="B77" s="32">
        <f>_xlfn.COVARIANCE.P($G$2:$G$66,B$2:B$66)</f>
        <v>1815841.8976249152</v>
      </c>
      <c r="C77" s="32">
        <f t="shared" ref="C77:AA77" si="6">_xlfn.COVARIANCE.P($G$2:$G$66,C$2:C$66)</f>
        <v>1106582.7149869448</v>
      </c>
      <c r="D77" s="32">
        <f t="shared" si="6"/>
        <v>1822817.7220834766</v>
      </c>
      <c r="E77" s="32">
        <f t="shared" si="6"/>
        <v>1181372.5709474357</v>
      </c>
      <c r="F77" s="32">
        <f t="shared" si="6"/>
        <v>668370.86249713216</v>
      </c>
      <c r="G77" s="32">
        <f t="shared" si="6"/>
        <v>1362449.0926275491</v>
      </c>
      <c r="H77" s="32">
        <f t="shared" si="6"/>
        <v>643354.42510951404</v>
      </c>
      <c r="I77" s="32">
        <f t="shared" si="6"/>
        <v>99513.861591861598</v>
      </c>
      <c r="J77" s="32">
        <f t="shared" si="6"/>
        <v>381156.57320138696</v>
      </c>
      <c r="K77" s="32">
        <f t="shared" si="6"/>
        <v>355661.32556691329</v>
      </c>
      <c r="L77" s="32">
        <f t="shared" si="6"/>
        <v>214155.65758164661</v>
      </c>
      <c r="M77" s="32">
        <f t="shared" si="6"/>
        <v>226435.44027115611</v>
      </c>
      <c r="N77" s="32">
        <f t="shared" si="6"/>
        <v>236526.26630316346</v>
      </c>
      <c r="O77" s="32">
        <f t="shared" si="6"/>
        <v>127251.93933467209</v>
      </c>
      <c r="P77" s="32">
        <f t="shared" si="6"/>
        <v>29752.984662063296</v>
      </c>
      <c r="Q77" s="32">
        <f t="shared" si="6"/>
        <v>49852.16941736087</v>
      </c>
      <c r="R77" s="32">
        <f t="shared" si="6"/>
        <v>31388.284054765652</v>
      </c>
      <c r="S77" s="32">
        <f t="shared" si="6"/>
        <v>90634.974387427646</v>
      </c>
      <c r="T77" s="32">
        <f t="shared" si="6"/>
        <v>63743.256022041591</v>
      </c>
      <c r="U77" s="32">
        <f t="shared" si="6"/>
        <v>23460.829194063223</v>
      </c>
      <c r="V77" s="32">
        <f t="shared" si="6"/>
        <v>10779.233925911658</v>
      </c>
      <c r="W77" s="32">
        <f t="shared" si="6"/>
        <v>20005.778505746868</v>
      </c>
      <c r="X77" s="32">
        <f t="shared" si="6"/>
        <v>23500.48996411229</v>
      </c>
      <c r="Y77" s="32">
        <f t="shared" si="6"/>
        <v>26056.281310359376</v>
      </c>
      <c r="Z77" s="32">
        <f t="shared" si="6"/>
        <v>10900.98038907115</v>
      </c>
      <c r="AA77" s="32">
        <f t="shared" si="6"/>
        <v>16541.698595091813</v>
      </c>
    </row>
    <row r="78" spans="1:27" x14ac:dyDescent="0.2">
      <c r="A78" s="5"/>
      <c r="B78" s="32">
        <f>_xlfn.COVARIANCE.P($H$2:$H$66,B$2:B$66)</f>
        <v>2479869.6525894008</v>
      </c>
      <c r="C78" s="32">
        <f t="shared" ref="C78:AA78" si="7">_xlfn.COVARIANCE.P($H$2:$H$66,C$2:C$66)</f>
        <v>371867.19085173274</v>
      </c>
      <c r="D78" s="32">
        <f t="shared" si="7"/>
        <v>1049966.150949579</v>
      </c>
      <c r="E78" s="32">
        <f t="shared" si="7"/>
        <v>588134.95358134597</v>
      </c>
      <c r="F78" s="32">
        <f t="shared" si="7"/>
        <v>444256.12957202044</v>
      </c>
      <c r="G78" s="32">
        <f t="shared" si="7"/>
        <v>643354.42510951404</v>
      </c>
      <c r="H78" s="32">
        <f t="shared" si="7"/>
        <v>790114.79928454058</v>
      </c>
      <c r="I78" s="32">
        <f t="shared" si="7"/>
        <v>27872.982902887561</v>
      </c>
      <c r="J78" s="32">
        <f t="shared" si="7"/>
        <v>133969.6335266633</v>
      </c>
      <c r="K78" s="32">
        <f t="shared" si="7"/>
        <v>184265.80494348233</v>
      </c>
      <c r="L78" s="32">
        <f t="shared" si="7"/>
        <v>121193.02844614709</v>
      </c>
      <c r="M78" s="32">
        <f t="shared" si="7"/>
        <v>113061.08222470786</v>
      </c>
      <c r="N78" s="32">
        <f t="shared" si="7"/>
        <v>97899.897754007761</v>
      </c>
      <c r="O78" s="32">
        <f t="shared" si="7"/>
        <v>57291.731123947975</v>
      </c>
      <c r="P78" s="32">
        <f t="shared" si="7"/>
        <v>20477.138613980984</v>
      </c>
      <c r="Q78" s="32">
        <f t="shared" si="7"/>
        <v>43702.88613598558</v>
      </c>
      <c r="R78" s="32">
        <f t="shared" si="7"/>
        <v>14795.821403778578</v>
      </c>
      <c r="S78" s="32">
        <f t="shared" si="7"/>
        <v>51461.64040548505</v>
      </c>
      <c r="T78" s="32">
        <f t="shared" si="7"/>
        <v>34640.514571358734</v>
      </c>
      <c r="U78" s="32">
        <f t="shared" si="7"/>
        <v>8823.4917085133129</v>
      </c>
      <c r="V78" s="32">
        <f t="shared" si="7"/>
        <v>1117.6278363529157</v>
      </c>
      <c r="W78" s="32">
        <f t="shared" si="7"/>
        <v>9395.7388324915282</v>
      </c>
      <c r="X78" s="32">
        <f t="shared" si="7"/>
        <v>10849.946979613076</v>
      </c>
      <c r="Y78" s="32">
        <f t="shared" si="7"/>
        <v>12665.776508589292</v>
      </c>
      <c r="Z78" s="32">
        <f t="shared" si="7"/>
        <v>8095.1102194218129</v>
      </c>
      <c r="AA78" s="32">
        <f t="shared" si="7"/>
        <v>5796.1907947310392</v>
      </c>
    </row>
    <row r="79" spans="1:27" x14ac:dyDescent="0.2">
      <c r="A79" s="5"/>
      <c r="B79" s="32">
        <f>_xlfn.COVARIANCE.P($I$2:$I$66,B$2:B$66)</f>
        <v>-13330.452971011284</v>
      </c>
      <c r="C79" s="32">
        <f t="shared" ref="C79:AA79" si="8">_xlfn.COVARIANCE.P($I$2:$I$66,C$2:C$66)</f>
        <v>94428.973741795184</v>
      </c>
      <c r="D79" s="32">
        <f t="shared" si="8"/>
        <v>124116.5672194365</v>
      </c>
      <c r="E79" s="32">
        <f t="shared" si="8"/>
        <v>72966.351310385857</v>
      </c>
      <c r="F79" s="32">
        <f t="shared" si="8"/>
        <v>40433.134221925306</v>
      </c>
      <c r="G79" s="32">
        <f t="shared" si="8"/>
        <v>99513.861591861598</v>
      </c>
      <c r="H79" s="32">
        <f t="shared" si="8"/>
        <v>27872.982902887561</v>
      </c>
      <c r="I79" s="32">
        <f t="shared" si="8"/>
        <v>13110.755971844092</v>
      </c>
      <c r="J79" s="32">
        <f t="shared" si="8"/>
        <v>35108.051528930555</v>
      </c>
      <c r="K79" s="32">
        <f t="shared" si="8"/>
        <v>22740.76320186779</v>
      </c>
      <c r="L79" s="32">
        <f t="shared" si="8"/>
        <v>12235.979327890704</v>
      </c>
      <c r="M79" s="32">
        <f t="shared" si="8"/>
        <v>21265.353543306046</v>
      </c>
      <c r="N79" s="32">
        <f t="shared" si="8"/>
        <v>18522.368781172594</v>
      </c>
      <c r="O79" s="32">
        <f t="shared" si="8"/>
        <v>9185.3835382731286</v>
      </c>
      <c r="P79" s="32">
        <f t="shared" si="8"/>
        <v>921.42632112051956</v>
      </c>
      <c r="Q79" s="32">
        <f t="shared" si="8"/>
        <v>2359.9120960044961</v>
      </c>
      <c r="R79" s="32">
        <f t="shared" si="8"/>
        <v>1805.1888634956942</v>
      </c>
      <c r="S79" s="32">
        <f t="shared" si="8"/>
        <v>6778.5098321016067</v>
      </c>
      <c r="T79" s="32">
        <f t="shared" si="8"/>
        <v>3830.8504347305766</v>
      </c>
      <c r="U79" s="32">
        <f t="shared" si="8"/>
        <v>1894.7825793279856</v>
      </c>
      <c r="V79" s="32">
        <f t="shared" si="8"/>
        <v>1006.8629162374147</v>
      </c>
      <c r="W79" s="32">
        <f t="shared" si="8"/>
        <v>1328.5485011778662</v>
      </c>
      <c r="X79" s="32">
        <f t="shared" si="8"/>
        <v>1725.4800673983693</v>
      </c>
      <c r="Y79" s="32">
        <f t="shared" si="8"/>
        <v>1978.3332216045947</v>
      </c>
      <c r="Z79" s="32">
        <f t="shared" si="8"/>
        <v>466.09150648057442</v>
      </c>
      <c r="AA79" s="32">
        <f t="shared" si="8"/>
        <v>1201.0420386291346</v>
      </c>
    </row>
    <row r="80" spans="1:27" x14ac:dyDescent="0.2">
      <c r="A80" s="5"/>
      <c r="B80" s="32">
        <f>_xlfn.COVARIANCE.P($J$2:$J$66,B$2:B$66)</f>
        <v>-59337.073616592599</v>
      </c>
      <c r="C80" s="32">
        <f t="shared" ref="C80:AA80" si="9">_xlfn.COVARIANCE.P($J$2:$J$66,C$2:C$66)</f>
        <v>303984.93446330138</v>
      </c>
      <c r="D80" s="32">
        <f t="shared" si="9"/>
        <v>495033.15418407001</v>
      </c>
      <c r="E80" s="32">
        <f t="shared" si="9"/>
        <v>269430.55693297141</v>
      </c>
      <c r="F80" s="32">
        <f t="shared" si="9"/>
        <v>179673.81717666605</v>
      </c>
      <c r="G80" s="32">
        <f t="shared" si="9"/>
        <v>381156.57320138696</v>
      </c>
      <c r="H80" s="32">
        <f t="shared" si="9"/>
        <v>133969.6335266633</v>
      </c>
      <c r="I80" s="32">
        <f t="shared" si="9"/>
        <v>35108.051528930555</v>
      </c>
      <c r="J80" s="32">
        <f t="shared" si="9"/>
        <v>217366.79396135866</v>
      </c>
      <c r="K80" s="32">
        <f t="shared" si="9"/>
        <v>98549.082706830173</v>
      </c>
      <c r="L80" s="32">
        <f t="shared" si="9"/>
        <v>54286.038937167839</v>
      </c>
      <c r="M80" s="32">
        <f t="shared" si="9"/>
        <v>54106.613305178711</v>
      </c>
      <c r="N80" s="32">
        <f t="shared" si="9"/>
        <v>72169.471105762306</v>
      </c>
      <c r="O80" s="32">
        <f t="shared" si="9"/>
        <v>30481.490571106246</v>
      </c>
      <c r="P80" s="32">
        <f t="shared" si="9"/>
        <v>10526.823962174187</v>
      </c>
      <c r="Q80" s="32">
        <f t="shared" si="9"/>
        <v>6363.3651241815387</v>
      </c>
      <c r="R80" s="32">
        <f t="shared" si="9"/>
        <v>6076.8801976745481</v>
      </c>
      <c r="S80" s="32">
        <f t="shared" si="9"/>
        <v>25150.522740891261</v>
      </c>
      <c r="T80" s="32">
        <f t="shared" si="9"/>
        <v>14904.849958699369</v>
      </c>
      <c r="U80" s="32">
        <f t="shared" si="9"/>
        <v>5739.324195742739</v>
      </c>
      <c r="V80" s="32">
        <f t="shared" si="9"/>
        <v>4065.4113984152791</v>
      </c>
      <c r="W80" s="32">
        <f t="shared" si="9"/>
        <v>4882.8355634354493</v>
      </c>
      <c r="X80" s="32">
        <f t="shared" si="9"/>
        <v>5371.5714644656346</v>
      </c>
      <c r="Y80" s="32">
        <f t="shared" si="9"/>
        <v>6147.6614216973585</v>
      </c>
      <c r="Z80" s="32">
        <f t="shared" si="9"/>
        <v>1237.0359960468109</v>
      </c>
      <c r="AA80" s="32">
        <f t="shared" si="9"/>
        <v>4283.380017556995</v>
      </c>
    </row>
    <row r="81" spans="1:27" x14ac:dyDescent="0.2">
      <c r="A81" s="5"/>
      <c r="B81" s="32">
        <f>_xlfn.COVARIANCE.P($K$2:$K$66,B$2:B$66)</f>
        <v>724315.44260579511</v>
      </c>
      <c r="C81" s="32">
        <f t="shared" ref="C81:AA81" si="10">_xlfn.COVARIANCE.P($K$2:$K$66,C$2:C$66)</f>
        <v>295864.43246803991</v>
      </c>
      <c r="D81" s="32">
        <f t="shared" si="10"/>
        <v>502113.74524321279</v>
      </c>
      <c r="E81" s="32">
        <f t="shared" si="10"/>
        <v>308015.62920495466</v>
      </c>
      <c r="F81" s="32">
        <f t="shared" si="10"/>
        <v>238117.93087073305</v>
      </c>
      <c r="G81" s="32">
        <f t="shared" si="10"/>
        <v>355661.32556691329</v>
      </c>
      <c r="H81" s="32">
        <f t="shared" si="10"/>
        <v>184265.80494348233</v>
      </c>
      <c r="I81" s="32">
        <f t="shared" si="10"/>
        <v>22740.76320186779</v>
      </c>
      <c r="J81" s="32">
        <f t="shared" si="10"/>
        <v>98549.082706830173</v>
      </c>
      <c r="K81" s="32">
        <f t="shared" si="10"/>
        <v>127148.53606328889</v>
      </c>
      <c r="L81" s="32">
        <f t="shared" si="10"/>
        <v>70957.51720785824</v>
      </c>
      <c r="M81" s="32">
        <f t="shared" si="10"/>
        <v>61424.928302657238</v>
      </c>
      <c r="N81" s="32">
        <f t="shared" si="10"/>
        <v>60842.551099598917</v>
      </c>
      <c r="O81" s="32">
        <f t="shared" si="10"/>
        <v>39975.424770620921</v>
      </c>
      <c r="P81" s="32">
        <f t="shared" si="10"/>
        <v>11940.776444931476</v>
      </c>
      <c r="Q81" s="32">
        <f t="shared" si="10"/>
        <v>17786.49996180446</v>
      </c>
      <c r="R81" s="32">
        <f t="shared" si="10"/>
        <v>10898.022681907882</v>
      </c>
      <c r="S81" s="32">
        <f t="shared" si="10"/>
        <v>26895.450697295284</v>
      </c>
      <c r="T81" s="32">
        <f t="shared" si="10"/>
        <v>17846.521610562213</v>
      </c>
      <c r="U81" s="32">
        <f t="shared" si="10"/>
        <v>8243.493103109824</v>
      </c>
      <c r="V81" s="32">
        <f t="shared" si="10"/>
        <v>3636.5013520320549</v>
      </c>
      <c r="W81" s="32">
        <f t="shared" si="10"/>
        <v>7182.2602758880121</v>
      </c>
      <c r="X81" s="32">
        <f t="shared" si="10"/>
        <v>5948.1623123674954</v>
      </c>
      <c r="Y81" s="32">
        <f t="shared" si="10"/>
        <v>7110.1066298317492</v>
      </c>
      <c r="Z81" s="32">
        <f t="shared" si="10"/>
        <v>3460.3262625906932</v>
      </c>
      <c r="AA81" s="32">
        <f t="shared" si="10"/>
        <v>4197.4968291744663</v>
      </c>
    </row>
    <row r="82" spans="1:27" x14ac:dyDescent="0.2">
      <c r="A82" s="5"/>
      <c r="B82" s="32">
        <f>_xlfn.COVARIANCE.P($L$2:$L$66,B$2:B$66)</f>
        <v>572548.25951756374</v>
      </c>
      <c r="C82" s="32">
        <f t="shared" ref="C82:AA82" si="11">_xlfn.COVARIANCE.P($L$2:$L$66,C$2:C$66)</f>
        <v>182243.63685997063</v>
      </c>
      <c r="D82" s="32">
        <f t="shared" si="11"/>
        <v>316412.82248320547</v>
      </c>
      <c r="E82" s="32">
        <f t="shared" si="11"/>
        <v>255005.77488241371</v>
      </c>
      <c r="F82" s="32">
        <f t="shared" si="11"/>
        <v>182645.3412845147</v>
      </c>
      <c r="G82" s="32">
        <f t="shared" si="11"/>
        <v>214155.65758164661</v>
      </c>
      <c r="H82" s="32">
        <f t="shared" si="11"/>
        <v>121193.02844614709</v>
      </c>
      <c r="I82" s="32">
        <f t="shared" si="11"/>
        <v>12235.979327890704</v>
      </c>
      <c r="J82" s="32">
        <f t="shared" si="11"/>
        <v>54286.038937167839</v>
      </c>
      <c r="K82" s="32">
        <f t="shared" si="11"/>
        <v>70957.51720785824</v>
      </c>
      <c r="L82" s="32">
        <f t="shared" si="11"/>
        <v>57102.579177294836</v>
      </c>
      <c r="M82" s="32">
        <f t="shared" si="11"/>
        <v>38817.997173189367</v>
      </c>
      <c r="N82" s="32">
        <f t="shared" si="11"/>
        <v>33510.245623592527</v>
      </c>
      <c r="O82" s="32">
        <f t="shared" si="11"/>
        <v>26886.886096662907</v>
      </c>
      <c r="P82" s="32">
        <f t="shared" si="11"/>
        <v>10695.905175296224</v>
      </c>
      <c r="Q82" s="32">
        <f t="shared" si="11"/>
        <v>12478.147585611236</v>
      </c>
      <c r="R82" s="32">
        <f t="shared" si="11"/>
        <v>7142.1452135519248</v>
      </c>
      <c r="S82" s="32">
        <f t="shared" si="11"/>
        <v>18124.29141309499</v>
      </c>
      <c r="T82" s="32">
        <f t="shared" si="11"/>
        <v>12228.059778057474</v>
      </c>
      <c r="U82" s="32">
        <f t="shared" si="11"/>
        <v>5971.4307843767147</v>
      </c>
      <c r="V82" s="32">
        <f t="shared" si="11"/>
        <v>2758.6170195994173</v>
      </c>
      <c r="W82" s="32">
        <f t="shared" si="11"/>
        <v>4688.6768640267392</v>
      </c>
      <c r="X82" s="32">
        <f t="shared" si="11"/>
        <v>4887.941064421103</v>
      </c>
      <c r="Y82" s="32">
        <f t="shared" si="11"/>
        <v>4790.5794106361136</v>
      </c>
      <c r="Z82" s="32">
        <f t="shared" si="11"/>
        <v>2818.2422330193613</v>
      </c>
      <c r="AA82" s="32">
        <f t="shared" si="11"/>
        <v>3256.7259750554917</v>
      </c>
    </row>
    <row r="83" spans="1:27" x14ac:dyDescent="0.2">
      <c r="A83" s="5"/>
      <c r="B83" s="32">
        <f>_xlfn.COVARIANCE.P($M$2:$M$66,B$2:B$66)</f>
        <v>217596.87295688372</v>
      </c>
      <c r="C83" s="32">
        <f t="shared" ref="C83:AA83" si="12">_xlfn.COVARIANCE.P($M$2:$M$66,C$2:C$66)</f>
        <v>187921.67852653115</v>
      </c>
      <c r="D83" s="32">
        <f t="shared" si="12"/>
        <v>289205.38711266156</v>
      </c>
      <c r="E83" s="32">
        <f t="shared" si="12"/>
        <v>214285.7181369389</v>
      </c>
      <c r="F83" s="32">
        <f t="shared" si="12"/>
        <v>153117.46783507621</v>
      </c>
      <c r="G83" s="32">
        <f t="shared" si="12"/>
        <v>226435.44027115611</v>
      </c>
      <c r="H83" s="32">
        <f t="shared" si="12"/>
        <v>113061.08222470786</v>
      </c>
      <c r="I83" s="32">
        <f t="shared" si="12"/>
        <v>21265.353543306046</v>
      </c>
      <c r="J83" s="32">
        <f t="shared" si="12"/>
        <v>54106.613305178711</v>
      </c>
      <c r="K83" s="32">
        <f t="shared" si="12"/>
        <v>61424.928302657238</v>
      </c>
      <c r="L83" s="32">
        <f t="shared" si="12"/>
        <v>38817.997173189367</v>
      </c>
      <c r="M83" s="32">
        <f t="shared" si="12"/>
        <v>68298.799136795453</v>
      </c>
      <c r="N83" s="32">
        <f t="shared" si="12"/>
        <v>37335.877356959296</v>
      </c>
      <c r="O83" s="32">
        <f t="shared" si="12"/>
        <v>24817.519297399107</v>
      </c>
      <c r="P83" s="32">
        <f t="shared" si="12"/>
        <v>3995.1245241274546</v>
      </c>
      <c r="Q83" s="32">
        <f t="shared" si="12"/>
        <v>11083.975161684097</v>
      </c>
      <c r="R83" s="32">
        <f t="shared" si="12"/>
        <v>5707.2675350309746</v>
      </c>
      <c r="S83" s="32">
        <f t="shared" si="12"/>
        <v>20772.523861371741</v>
      </c>
      <c r="T83" s="32">
        <f t="shared" si="12"/>
        <v>10129.974728084624</v>
      </c>
      <c r="U83" s="32">
        <f t="shared" si="12"/>
        <v>4989.0708693958659</v>
      </c>
      <c r="V83" s="32">
        <f t="shared" si="12"/>
        <v>2185.3675660559134</v>
      </c>
      <c r="W83" s="32">
        <f t="shared" si="12"/>
        <v>3563.4070281546788</v>
      </c>
      <c r="X83" s="32">
        <f t="shared" si="12"/>
        <v>4212.126744424254</v>
      </c>
      <c r="Y83" s="32">
        <f t="shared" si="12"/>
        <v>5000.0289522559178</v>
      </c>
      <c r="Z83" s="32">
        <f t="shared" si="12"/>
        <v>2309.9350150976802</v>
      </c>
      <c r="AA83" s="32">
        <f t="shared" si="12"/>
        <v>3151.855113936947</v>
      </c>
    </row>
    <row r="84" spans="1:27" x14ac:dyDescent="0.2">
      <c r="A84" s="5"/>
      <c r="B84" s="32">
        <f>_xlfn.COVARIANCE.P($N$2:$N$66,B$2:B$66)</f>
        <v>150702.8154774993</v>
      </c>
      <c r="C84" s="32">
        <f t="shared" ref="C84:AA84" si="13">_xlfn.COVARIANCE.P($N$2:$N$66,C$2:C$66)</f>
        <v>199025.66114284852</v>
      </c>
      <c r="D84" s="32">
        <f t="shared" si="13"/>
        <v>308767.63234358496</v>
      </c>
      <c r="E84" s="32">
        <f t="shared" si="13"/>
        <v>171369.51234612829</v>
      </c>
      <c r="F84" s="32">
        <f t="shared" si="13"/>
        <v>88696.196123534333</v>
      </c>
      <c r="G84" s="32">
        <f t="shared" si="13"/>
        <v>236526.26630316346</v>
      </c>
      <c r="H84" s="32">
        <f t="shared" si="13"/>
        <v>97899.897754007761</v>
      </c>
      <c r="I84" s="32">
        <f t="shared" si="13"/>
        <v>18522.368781172594</v>
      </c>
      <c r="J84" s="32">
        <f t="shared" si="13"/>
        <v>72169.471105762306</v>
      </c>
      <c r="K84" s="32">
        <f t="shared" si="13"/>
        <v>60842.551099598917</v>
      </c>
      <c r="L84" s="32">
        <f t="shared" si="13"/>
        <v>33510.245623592527</v>
      </c>
      <c r="M84" s="32">
        <f t="shared" si="13"/>
        <v>37335.877356959296</v>
      </c>
      <c r="N84" s="32">
        <f t="shared" si="13"/>
        <v>46227.467320155847</v>
      </c>
      <c r="O84" s="32">
        <f t="shared" si="13"/>
        <v>21683.830060234461</v>
      </c>
      <c r="P84" s="32">
        <f t="shared" si="13"/>
        <v>3719.7749096226539</v>
      </c>
      <c r="Q84" s="32">
        <f t="shared" si="13"/>
        <v>6945.6685844944741</v>
      </c>
      <c r="R84" s="32">
        <f t="shared" si="13"/>
        <v>5534.4503344130053</v>
      </c>
      <c r="S84" s="32">
        <f t="shared" si="13"/>
        <v>14703.233523584724</v>
      </c>
      <c r="T84" s="32">
        <f t="shared" si="13"/>
        <v>10534.926585300023</v>
      </c>
      <c r="U84" s="32">
        <f t="shared" si="13"/>
        <v>3907.8704206490606</v>
      </c>
      <c r="V84" s="32">
        <f t="shared" si="13"/>
        <v>1703.3398221783543</v>
      </c>
      <c r="W84" s="32">
        <f t="shared" si="13"/>
        <v>3430.8796507892762</v>
      </c>
      <c r="X84" s="32">
        <f t="shared" si="13"/>
        <v>3580.9717263970883</v>
      </c>
      <c r="Y84" s="32">
        <f t="shared" si="13"/>
        <v>4146.6441061665246</v>
      </c>
      <c r="Z84" s="32">
        <f t="shared" si="13"/>
        <v>1508.902491448363</v>
      </c>
      <c r="AA84" s="32">
        <f t="shared" si="13"/>
        <v>3029.9322532278993</v>
      </c>
    </row>
    <row r="85" spans="1:27" x14ac:dyDescent="0.2">
      <c r="A85" s="5"/>
      <c r="B85" s="32">
        <f>_xlfn.COVARIANCE.P($O$2:$O$66,B$2:B$66)</f>
        <v>217577.72803396094</v>
      </c>
      <c r="C85" s="32">
        <f t="shared" ref="C85:AA85" si="14">_xlfn.COVARIANCE.P($O$2:$O$66,C$2:C$66)</f>
        <v>114316.95000418047</v>
      </c>
      <c r="D85" s="32">
        <f t="shared" si="14"/>
        <v>178621.325507751</v>
      </c>
      <c r="E85" s="32">
        <f t="shared" si="14"/>
        <v>134037.2241176173</v>
      </c>
      <c r="F85" s="32">
        <f t="shared" si="14"/>
        <v>94361.752347293004</v>
      </c>
      <c r="G85" s="32">
        <f t="shared" si="14"/>
        <v>127251.93933467209</v>
      </c>
      <c r="H85" s="32">
        <f t="shared" si="14"/>
        <v>57291.731123947975</v>
      </c>
      <c r="I85" s="32">
        <f t="shared" si="14"/>
        <v>9185.3835382731286</v>
      </c>
      <c r="J85" s="32">
        <f t="shared" si="14"/>
        <v>30481.490571106246</v>
      </c>
      <c r="K85" s="32">
        <f t="shared" si="14"/>
        <v>39975.424770620921</v>
      </c>
      <c r="L85" s="32">
        <f t="shared" si="14"/>
        <v>26886.886096662907</v>
      </c>
      <c r="M85" s="32">
        <f t="shared" si="14"/>
        <v>24817.519297399107</v>
      </c>
      <c r="N85" s="32">
        <f t="shared" si="14"/>
        <v>21683.830060234461</v>
      </c>
      <c r="O85" s="32">
        <f t="shared" si="14"/>
        <v>16945.097344891496</v>
      </c>
      <c r="P85" s="32">
        <f t="shared" si="14"/>
        <v>4269.3450313549247</v>
      </c>
      <c r="Q85" s="32">
        <f t="shared" si="14"/>
        <v>6708.3953332207693</v>
      </c>
      <c r="R85" s="32">
        <f t="shared" si="14"/>
        <v>4060.7273070366041</v>
      </c>
      <c r="S85" s="32">
        <f t="shared" si="14"/>
        <v>9755.5380682144205</v>
      </c>
      <c r="T85" s="32">
        <f t="shared" si="14"/>
        <v>6729.735971530743</v>
      </c>
      <c r="U85" s="32">
        <f t="shared" si="14"/>
        <v>3432.6624224452139</v>
      </c>
      <c r="V85" s="32">
        <f t="shared" si="14"/>
        <v>1655.050483651575</v>
      </c>
      <c r="W85" s="32">
        <f t="shared" si="14"/>
        <v>2461.3529732545394</v>
      </c>
      <c r="X85" s="32">
        <f t="shared" si="14"/>
        <v>2533.0701183096257</v>
      </c>
      <c r="Y85" s="32">
        <f t="shared" si="14"/>
        <v>2887.1228423057937</v>
      </c>
      <c r="Z85" s="32">
        <f t="shared" si="14"/>
        <v>1533.2578136718646</v>
      </c>
      <c r="AA85" s="32">
        <f t="shared" si="14"/>
        <v>1952.3626364046295</v>
      </c>
    </row>
    <row r="86" spans="1:27" x14ac:dyDescent="0.2">
      <c r="A86" s="5"/>
      <c r="B86" s="32">
        <f>_xlfn.COVARIANCE.P($P$2:$P$66,B$2:B$66)</f>
        <v>202033.66528507633</v>
      </c>
      <c r="C86" s="32">
        <f t="shared" ref="C86:AA86" si="15">_xlfn.COVARIANCE.P($P$2:$P$66,C$2:C$66)</f>
        <v>16514.357990737612</v>
      </c>
      <c r="D86" s="32">
        <f t="shared" si="15"/>
        <v>53694.887672018478</v>
      </c>
      <c r="E86" s="32">
        <f t="shared" si="15"/>
        <v>78039.828055212449</v>
      </c>
      <c r="F86" s="32">
        <f t="shared" si="15"/>
        <v>69027.155095300084</v>
      </c>
      <c r="G86" s="32">
        <f t="shared" si="15"/>
        <v>29752.984662063296</v>
      </c>
      <c r="H86" s="32">
        <f t="shared" si="15"/>
        <v>20477.138613980984</v>
      </c>
      <c r="I86" s="32">
        <f t="shared" si="15"/>
        <v>921.42632112051956</v>
      </c>
      <c r="J86" s="32">
        <f t="shared" si="15"/>
        <v>10526.823962174187</v>
      </c>
      <c r="K86" s="32">
        <f t="shared" si="15"/>
        <v>11940.776444931476</v>
      </c>
      <c r="L86" s="32">
        <f t="shared" si="15"/>
        <v>10695.905175296224</v>
      </c>
      <c r="M86" s="32">
        <f t="shared" si="15"/>
        <v>3995.1245241274546</v>
      </c>
      <c r="N86" s="32">
        <f t="shared" si="15"/>
        <v>3719.7749096226539</v>
      </c>
      <c r="O86" s="32">
        <f t="shared" si="15"/>
        <v>4269.3450313549247</v>
      </c>
      <c r="P86" s="32">
        <f t="shared" si="15"/>
        <v>13928.168351352893</v>
      </c>
      <c r="Q86" s="32">
        <f t="shared" si="15"/>
        <v>2979.8750554315479</v>
      </c>
      <c r="R86" s="32">
        <f t="shared" si="15"/>
        <v>727.23706488181756</v>
      </c>
      <c r="S86" s="32">
        <f t="shared" si="15"/>
        <v>2327.6631831944846</v>
      </c>
      <c r="T86" s="32">
        <f t="shared" si="15"/>
        <v>2374.0107730959448</v>
      </c>
      <c r="U86" s="32">
        <f t="shared" si="15"/>
        <v>1017.9367423103099</v>
      </c>
      <c r="V86" s="32">
        <f t="shared" si="15"/>
        <v>854.69935590985699</v>
      </c>
      <c r="W86" s="32">
        <f t="shared" si="15"/>
        <v>728.12239901084456</v>
      </c>
      <c r="X86" s="32">
        <f t="shared" si="15"/>
        <v>1354.9331367977411</v>
      </c>
      <c r="Y86" s="32">
        <f t="shared" si="15"/>
        <v>699.77373449470156</v>
      </c>
      <c r="Z86" s="32">
        <f t="shared" si="15"/>
        <v>430.57561858888459</v>
      </c>
      <c r="AA86" s="32">
        <f t="shared" si="15"/>
        <v>252.20495440881749</v>
      </c>
    </row>
    <row r="87" spans="1:27" x14ac:dyDescent="0.2">
      <c r="A87" s="5"/>
      <c r="B87" s="32">
        <f>_xlfn.COVARIANCE.P($Q$2:$Q$66,B$2:B$66)</f>
        <v>219611.64854159692</v>
      </c>
      <c r="C87" s="32">
        <f t="shared" ref="C87:AA87" si="16">_xlfn.COVARIANCE.P($Q$2:$Q$66,C$2:C$66)</f>
        <v>43095.152293453561</v>
      </c>
      <c r="D87" s="32">
        <f t="shared" si="16"/>
        <v>79277.603396306615</v>
      </c>
      <c r="E87" s="32">
        <f t="shared" si="16"/>
        <v>52401.589792001214</v>
      </c>
      <c r="F87" s="32">
        <f t="shared" si="16"/>
        <v>50236.06700045133</v>
      </c>
      <c r="G87" s="32">
        <f t="shared" si="16"/>
        <v>49852.16941736087</v>
      </c>
      <c r="H87" s="32">
        <f t="shared" si="16"/>
        <v>43702.88613598558</v>
      </c>
      <c r="I87" s="32">
        <f t="shared" si="16"/>
        <v>2359.9120960044961</v>
      </c>
      <c r="J87" s="32">
        <f t="shared" si="16"/>
        <v>6363.3651241815387</v>
      </c>
      <c r="K87" s="32">
        <f t="shared" si="16"/>
        <v>17786.49996180446</v>
      </c>
      <c r="L87" s="32">
        <f t="shared" si="16"/>
        <v>12478.147585611236</v>
      </c>
      <c r="M87" s="32">
        <f t="shared" si="16"/>
        <v>11083.975161684097</v>
      </c>
      <c r="N87" s="32">
        <f t="shared" si="16"/>
        <v>6945.6685844944741</v>
      </c>
      <c r="O87" s="32">
        <f t="shared" si="16"/>
        <v>6708.3953332207693</v>
      </c>
      <c r="P87" s="32">
        <f t="shared" si="16"/>
        <v>2979.8750554315479</v>
      </c>
      <c r="Q87" s="32">
        <f t="shared" si="16"/>
        <v>9748.8396154660204</v>
      </c>
      <c r="R87" s="32">
        <f t="shared" si="16"/>
        <v>2368.3845879201426</v>
      </c>
      <c r="S87" s="32">
        <f t="shared" si="16"/>
        <v>5422.0993389598643</v>
      </c>
      <c r="T87" s="32">
        <f t="shared" si="16"/>
        <v>3161.8638935035488</v>
      </c>
      <c r="U87" s="32">
        <f t="shared" si="16"/>
        <v>1817.4067584377458</v>
      </c>
      <c r="V87" s="32">
        <f t="shared" si="16"/>
        <v>375.07485557864118</v>
      </c>
      <c r="W87" s="32">
        <f t="shared" si="16"/>
        <v>1062.0394519724716</v>
      </c>
      <c r="X87" s="32">
        <f t="shared" si="16"/>
        <v>1226.2927249524423</v>
      </c>
      <c r="Y87" s="32">
        <f t="shared" si="16"/>
        <v>1453.4448645568837</v>
      </c>
      <c r="Z87" s="32">
        <f t="shared" si="16"/>
        <v>992.21176626440706</v>
      </c>
      <c r="AA87" s="32">
        <f t="shared" si="16"/>
        <v>745.41985427211671</v>
      </c>
    </row>
    <row r="88" spans="1:27" x14ac:dyDescent="0.2">
      <c r="A88" s="5"/>
      <c r="B88" s="32">
        <f>_xlfn.COVARIANCE.P($R$2:$R$66,B$2:B$66)</f>
        <v>37994.571976017105</v>
      </c>
      <c r="C88" s="32">
        <f t="shared" ref="C88:AA88" si="17">_xlfn.COVARIANCE.P($R$2:$R$66,C$2:C$66)</f>
        <v>29353.68603759478</v>
      </c>
      <c r="D88" s="32">
        <f t="shared" si="17"/>
        <v>42355.616659003499</v>
      </c>
      <c r="E88" s="32">
        <f t="shared" si="17"/>
        <v>20225.960772705923</v>
      </c>
      <c r="F88" s="32">
        <f t="shared" si="17"/>
        <v>13236.554429841161</v>
      </c>
      <c r="G88" s="32">
        <f t="shared" si="17"/>
        <v>31388.284054765652</v>
      </c>
      <c r="H88" s="32">
        <f t="shared" si="17"/>
        <v>14795.821403778578</v>
      </c>
      <c r="I88" s="32">
        <f t="shared" si="17"/>
        <v>1805.1888634956942</v>
      </c>
      <c r="J88" s="32">
        <f t="shared" si="17"/>
        <v>6076.8801976745481</v>
      </c>
      <c r="K88" s="32">
        <f t="shared" si="17"/>
        <v>10898.022681907882</v>
      </c>
      <c r="L88" s="32">
        <f t="shared" si="17"/>
        <v>7142.1452135519248</v>
      </c>
      <c r="M88" s="32">
        <f t="shared" si="17"/>
        <v>5707.2675350309746</v>
      </c>
      <c r="N88" s="32">
        <f t="shared" si="17"/>
        <v>5534.4503344130053</v>
      </c>
      <c r="O88" s="32">
        <f t="shared" si="17"/>
        <v>4060.7273070366041</v>
      </c>
      <c r="P88" s="32">
        <f t="shared" si="17"/>
        <v>727.23706488181756</v>
      </c>
      <c r="Q88" s="32">
        <f t="shared" si="17"/>
        <v>2368.3845879201426</v>
      </c>
      <c r="R88" s="32">
        <f t="shared" si="17"/>
        <v>1574.4062357043751</v>
      </c>
      <c r="S88" s="32">
        <f t="shared" si="17"/>
        <v>2785.634495680169</v>
      </c>
      <c r="T88" s="32">
        <f t="shared" si="17"/>
        <v>1679.7197994650223</v>
      </c>
      <c r="U88" s="32">
        <f t="shared" si="17"/>
        <v>984.26254741504351</v>
      </c>
      <c r="V88" s="32">
        <f t="shared" si="17"/>
        <v>360.14934909197456</v>
      </c>
      <c r="W88" s="32">
        <f t="shared" si="17"/>
        <v>719.43041397421041</v>
      </c>
      <c r="X88" s="32">
        <f t="shared" si="17"/>
        <v>513.53729353411688</v>
      </c>
      <c r="Y88" s="32">
        <f t="shared" si="17"/>
        <v>763.96215467296702</v>
      </c>
      <c r="Z88" s="32">
        <f t="shared" si="17"/>
        <v>401.23470321104372</v>
      </c>
      <c r="AA88" s="32">
        <f t="shared" si="17"/>
        <v>498.08993593056624</v>
      </c>
    </row>
    <row r="89" spans="1:27" x14ac:dyDescent="0.2">
      <c r="A89" s="5"/>
      <c r="B89" s="32">
        <f>_xlfn.COVARIANCE.P($S$2:$S$66,B$2:B$66)</f>
        <v>151018.98298110534</v>
      </c>
      <c r="C89" s="32">
        <f t="shared" ref="C89:AA89" si="18">_xlfn.COVARIANCE.P($S$2:$S$66,C$2:C$66)</f>
        <v>75757.694402445326</v>
      </c>
      <c r="D89" s="32">
        <f t="shared" si="18"/>
        <v>127559.24609694655</v>
      </c>
      <c r="E89" s="32">
        <f t="shared" si="18"/>
        <v>80331.952697846922</v>
      </c>
      <c r="F89" s="32">
        <f t="shared" si="18"/>
        <v>56903.047960162883</v>
      </c>
      <c r="G89" s="32">
        <f t="shared" si="18"/>
        <v>90634.974387427646</v>
      </c>
      <c r="H89" s="32">
        <f t="shared" si="18"/>
        <v>51461.64040548505</v>
      </c>
      <c r="I89" s="32">
        <f t="shared" si="18"/>
        <v>6778.5098321016067</v>
      </c>
      <c r="J89" s="32">
        <f t="shared" si="18"/>
        <v>25150.522740891261</v>
      </c>
      <c r="K89" s="32">
        <f t="shared" si="18"/>
        <v>26895.450697295284</v>
      </c>
      <c r="L89" s="32">
        <f t="shared" si="18"/>
        <v>18124.29141309499</v>
      </c>
      <c r="M89" s="32">
        <f t="shared" si="18"/>
        <v>20772.523861371741</v>
      </c>
      <c r="N89" s="32">
        <f t="shared" si="18"/>
        <v>14703.233523584724</v>
      </c>
      <c r="O89" s="32">
        <f t="shared" si="18"/>
        <v>9755.5380682144205</v>
      </c>
      <c r="P89" s="32">
        <f t="shared" si="18"/>
        <v>2327.6631831944846</v>
      </c>
      <c r="Q89" s="32">
        <f t="shared" si="18"/>
        <v>5422.0993389598643</v>
      </c>
      <c r="R89" s="32">
        <f t="shared" si="18"/>
        <v>2785.634495680169</v>
      </c>
      <c r="S89" s="32">
        <f t="shared" si="18"/>
        <v>9597.6660537500793</v>
      </c>
      <c r="T89" s="32">
        <f t="shared" si="18"/>
        <v>4739.1061138188279</v>
      </c>
      <c r="U89" s="32">
        <f t="shared" si="18"/>
        <v>2303.234204717317</v>
      </c>
      <c r="V89" s="32">
        <f t="shared" si="18"/>
        <v>771.28664708352471</v>
      </c>
      <c r="W89" s="32">
        <f t="shared" si="18"/>
        <v>1684.0230020691465</v>
      </c>
      <c r="X89" s="32">
        <f t="shared" si="18"/>
        <v>1624.2424428818033</v>
      </c>
      <c r="Y89" s="32">
        <f t="shared" si="18"/>
        <v>1984.8600764496259</v>
      </c>
      <c r="Z89" s="32">
        <f t="shared" si="18"/>
        <v>1066.8735853804594</v>
      </c>
      <c r="AA89" s="32">
        <f t="shared" si="18"/>
        <v>1398.9339747165939</v>
      </c>
    </row>
    <row r="90" spans="1:27" x14ac:dyDescent="0.2">
      <c r="A90" s="5"/>
      <c r="B90" s="32">
        <f>_xlfn.COVARIANCE.P($T$2:$T$66,B$2:B$66)</f>
        <v>151725.41783526805</v>
      </c>
      <c r="C90" s="32">
        <f t="shared" ref="C90:AA90" si="19">_xlfn.COVARIANCE.P($T$2:$T$66,C$2:C$66)</f>
        <v>51451.700438588588</v>
      </c>
      <c r="D90" s="32">
        <f t="shared" si="19"/>
        <v>94418.226811222863</v>
      </c>
      <c r="E90" s="32">
        <f t="shared" si="19"/>
        <v>68163.050952279984</v>
      </c>
      <c r="F90" s="32">
        <f t="shared" si="19"/>
        <v>38680.294366880684</v>
      </c>
      <c r="G90" s="32">
        <f t="shared" si="19"/>
        <v>63743.256022041591</v>
      </c>
      <c r="H90" s="32">
        <f t="shared" si="19"/>
        <v>34640.514571358734</v>
      </c>
      <c r="I90" s="32">
        <f t="shared" si="19"/>
        <v>3830.8504347305766</v>
      </c>
      <c r="J90" s="32">
        <f t="shared" si="19"/>
        <v>14904.849958699369</v>
      </c>
      <c r="K90" s="32">
        <f t="shared" si="19"/>
        <v>17846.521610562213</v>
      </c>
      <c r="L90" s="32">
        <f t="shared" si="19"/>
        <v>12228.059778057474</v>
      </c>
      <c r="M90" s="32">
        <f t="shared" si="19"/>
        <v>10129.974728084624</v>
      </c>
      <c r="N90" s="32">
        <f t="shared" si="19"/>
        <v>10534.926585300023</v>
      </c>
      <c r="O90" s="32">
        <f t="shared" si="19"/>
        <v>6729.735971530743</v>
      </c>
      <c r="P90" s="32">
        <f t="shared" si="19"/>
        <v>2374.0107730959448</v>
      </c>
      <c r="Q90" s="32">
        <f t="shared" si="19"/>
        <v>3161.8638935035488</v>
      </c>
      <c r="R90" s="32">
        <f t="shared" si="19"/>
        <v>1679.7197994650223</v>
      </c>
      <c r="S90" s="32">
        <f t="shared" si="19"/>
        <v>4739.1061138188279</v>
      </c>
      <c r="T90" s="32">
        <f t="shared" si="19"/>
        <v>3838.7144495472521</v>
      </c>
      <c r="U90" s="32">
        <f t="shared" si="19"/>
        <v>1321.3272154497022</v>
      </c>
      <c r="V90" s="32">
        <f t="shared" si="19"/>
        <v>511.03772466014397</v>
      </c>
      <c r="W90" s="32">
        <f t="shared" si="19"/>
        <v>1176.2379722094277</v>
      </c>
      <c r="X90" s="32">
        <f t="shared" si="19"/>
        <v>1339.8298670317231</v>
      </c>
      <c r="Y90" s="32">
        <f t="shared" si="19"/>
        <v>1247.4819129867524</v>
      </c>
      <c r="Z90" s="32">
        <f t="shared" si="19"/>
        <v>741.97369132958931</v>
      </c>
      <c r="AA90" s="32">
        <f t="shared" si="19"/>
        <v>846.3596330807668</v>
      </c>
    </row>
    <row r="91" spans="1:27" x14ac:dyDescent="0.2">
      <c r="A91" s="5"/>
      <c r="B91" s="32">
        <f>_xlfn.COVARIANCE.P($U$2:$U$66,B$2:B$66)</f>
        <v>50352.894003160742</v>
      </c>
      <c r="C91" s="32">
        <f t="shared" ref="C91:AA91" si="20">_xlfn.COVARIANCE.P($U$2:$U$66,C$2:C$66)</f>
        <v>24983.672539549825</v>
      </c>
      <c r="D91" s="32">
        <f t="shared" si="20"/>
        <v>33916.280847655682</v>
      </c>
      <c r="E91" s="32">
        <f t="shared" si="20"/>
        <v>24023.032883335323</v>
      </c>
      <c r="F91" s="32">
        <f t="shared" si="20"/>
        <v>22000.805698702366</v>
      </c>
      <c r="G91" s="32">
        <f t="shared" si="20"/>
        <v>23460.829194063223</v>
      </c>
      <c r="H91" s="32">
        <f t="shared" si="20"/>
        <v>8823.4917085133129</v>
      </c>
      <c r="I91" s="32">
        <f t="shared" si="20"/>
        <v>1894.7825793279856</v>
      </c>
      <c r="J91" s="32">
        <f t="shared" si="20"/>
        <v>5739.324195742739</v>
      </c>
      <c r="K91" s="32">
        <f t="shared" si="20"/>
        <v>8243.493103109824</v>
      </c>
      <c r="L91" s="32">
        <f t="shared" si="20"/>
        <v>5971.4307843767147</v>
      </c>
      <c r="M91" s="32">
        <f t="shared" si="20"/>
        <v>4989.0708693958659</v>
      </c>
      <c r="N91" s="32">
        <f t="shared" si="20"/>
        <v>3907.8704206490606</v>
      </c>
      <c r="O91" s="32">
        <f t="shared" si="20"/>
        <v>3432.6624224452139</v>
      </c>
      <c r="P91" s="32">
        <f t="shared" si="20"/>
        <v>1017.9367423103099</v>
      </c>
      <c r="Q91" s="32">
        <f t="shared" si="20"/>
        <v>1817.4067584377458</v>
      </c>
      <c r="R91" s="32">
        <f t="shared" si="20"/>
        <v>984.26254741504351</v>
      </c>
      <c r="S91" s="32">
        <f t="shared" si="20"/>
        <v>2303.234204717317</v>
      </c>
      <c r="T91" s="32">
        <f t="shared" si="20"/>
        <v>1321.3272154497022</v>
      </c>
      <c r="U91" s="32">
        <f t="shared" si="20"/>
        <v>1081.7821114848825</v>
      </c>
      <c r="V91" s="32">
        <f t="shared" si="20"/>
        <v>391.03631385693922</v>
      </c>
      <c r="W91" s="32">
        <f t="shared" si="20"/>
        <v>565.93440534265426</v>
      </c>
      <c r="X91" s="32">
        <f t="shared" si="20"/>
        <v>544.14690858193956</v>
      </c>
      <c r="Y91" s="32">
        <f t="shared" si="20"/>
        <v>578.42976662793592</v>
      </c>
      <c r="Z91" s="32">
        <f t="shared" si="20"/>
        <v>342.32378320563168</v>
      </c>
      <c r="AA91" s="32">
        <f t="shared" si="20"/>
        <v>417.3111162774124</v>
      </c>
    </row>
    <row r="92" spans="1:27" x14ac:dyDescent="0.2">
      <c r="A92" s="5"/>
      <c r="B92" s="32">
        <f>_xlfn.COVARIANCE.P($V$2:$V$66,B$2:B$66)</f>
        <v>1457.8157958285844</v>
      </c>
      <c r="C92" s="32">
        <f t="shared" ref="C92:AA92" si="21">_xlfn.COVARIANCE.P($V$2:$V$66,C$2:C$66)</f>
        <v>12241.688789336344</v>
      </c>
      <c r="D92" s="32">
        <f t="shared" si="21"/>
        <v>12438.998087111835</v>
      </c>
      <c r="E92" s="32">
        <f t="shared" si="21"/>
        <v>16411.296971198291</v>
      </c>
      <c r="F92" s="32">
        <f t="shared" si="21"/>
        <v>9780.6238224536955</v>
      </c>
      <c r="G92" s="32">
        <f t="shared" si="21"/>
        <v>10779.233925911658</v>
      </c>
      <c r="H92" s="32">
        <f t="shared" si="21"/>
        <v>1117.6278363529157</v>
      </c>
      <c r="I92" s="32">
        <f t="shared" si="21"/>
        <v>1006.8629162374147</v>
      </c>
      <c r="J92" s="32">
        <f t="shared" si="21"/>
        <v>4065.4113984152791</v>
      </c>
      <c r="K92" s="32">
        <f t="shared" si="21"/>
        <v>3636.5013520320549</v>
      </c>
      <c r="L92" s="32">
        <f t="shared" si="21"/>
        <v>2758.6170195994173</v>
      </c>
      <c r="M92" s="32">
        <f t="shared" si="21"/>
        <v>2185.3675660559134</v>
      </c>
      <c r="N92" s="32">
        <f t="shared" si="21"/>
        <v>1703.3398221783543</v>
      </c>
      <c r="O92" s="32">
        <f t="shared" si="21"/>
        <v>1655.050483651575</v>
      </c>
      <c r="P92" s="32">
        <f t="shared" si="21"/>
        <v>854.69935590985699</v>
      </c>
      <c r="Q92" s="32">
        <f t="shared" si="21"/>
        <v>375.07485557864118</v>
      </c>
      <c r="R92" s="32">
        <f t="shared" si="21"/>
        <v>360.14934909197456</v>
      </c>
      <c r="S92" s="32">
        <f t="shared" si="21"/>
        <v>771.28664708352471</v>
      </c>
      <c r="T92" s="32">
        <f t="shared" si="21"/>
        <v>511.03772466014397</v>
      </c>
      <c r="U92" s="32">
        <f t="shared" si="21"/>
        <v>391.03631385693922</v>
      </c>
      <c r="V92" s="32">
        <f t="shared" si="21"/>
        <v>506.94770802007844</v>
      </c>
      <c r="W92" s="32">
        <f t="shared" si="21"/>
        <v>220.43704303543942</v>
      </c>
      <c r="X92" s="32">
        <f t="shared" si="21"/>
        <v>266.55520084639954</v>
      </c>
      <c r="Y92" s="32">
        <f t="shared" si="21"/>
        <v>330.06050363344235</v>
      </c>
      <c r="Z92" s="32">
        <f t="shared" si="21"/>
        <v>112.82598230507315</v>
      </c>
      <c r="AA92" s="32">
        <f t="shared" si="21"/>
        <v>159.13813186814212</v>
      </c>
    </row>
    <row r="93" spans="1:27" x14ac:dyDescent="0.2">
      <c r="A93" s="5"/>
      <c r="B93" s="32">
        <f>_xlfn.COVARIANCE.P($W$2:$W$66,B$2:B$66)</f>
        <v>29189.808227627229</v>
      </c>
      <c r="C93" s="32">
        <f t="shared" ref="C93:AA93" si="22">_xlfn.COVARIANCE.P($W$2:$W$66,C$2:C$66)</f>
        <v>17851.859446847157</v>
      </c>
      <c r="D93" s="32">
        <f t="shared" si="22"/>
        <v>27821.130348831415</v>
      </c>
      <c r="E93" s="32">
        <f t="shared" si="22"/>
        <v>21160.75300610144</v>
      </c>
      <c r="F93" s="32">
        <f t="shared" si="22"/>
        <v>13523.920492468551</v>
      </c>
      <c r="G93" s="32">
        <f t="shared" si="22"/>
        <v>20005.778505746868</v>
      </c>
      <c r="H93" s="32">
        <f t="shared" si="22"/>
        <v>9395.7388324915282</v>
      </c>
      <c r="I93" s="32">
        <f t="shared" si="22"/>
        <v>1328.5485011778662</v>
      </c>
      <c r="J93" s="32">
        <f t="shared" si="22"/>
        <v>4882.8355634354493</v>
      </c>
      <c r="K93" s="32">
        <f t="shared" si="22"/>
        <v>7182.2602758880121</v>
      </c>
      <c r="L93" s="32">
        <f t="shared" si="22"/>
        <v>4688.6768640267392</v>
      </c>
      <c r="M93" s="32">
        <f t="shared" si="22"/>
        <v>3563.4070281546788</v>
      </c>
      <c r="N93" s="32">
        <f t="shared" si="22"/>
        <v>3430.8796507892762</v>
      </c>
      <c r="O93" s="32">
        <f t="shared" si="22"/>
        <v>2461.3529732545394</v>
      </c>
      <c r="P93" s="32">
        <f t="shared" si="22"/>
        <v>728.12239901084456</v>
      </c>
      <c r="Q93" s="32">
        <f t="shared" si="22"/>
        <v>1062.0394519724716</v>
      </c>
      <c r="R93" s="32">
        <f t="shared" si="22"/>
        <v>719.43041397421041</v>
      </c>
      <c r="S93" s="32">
        <f t="shared" si="22"/>
        <v>1684.0230020691465</v>
      </c>
      <c r="T93" s="32">
        <f t="shared" si="22"/>
        <v>1176.2379722094277</v>
      </c>
      <c r="U93" s="32">
        <f t="shared" si="22"/>
        <v>565.93440534265426</v>
      </c>
      <c r="V93" s="32">
        <f t="shared" si="22"/>
        <v>220.43704303543942</v>
      </c>
      <c r="W93" s="32">
        <f t="shared" si="22"/>
        <v>738.39831094549436</v>
      </c>
      <c r="X93" s="32">
        <f t="shared" si="22"/>
        <v>423.41163466729773</v>
      </c>
      <c r="Y93" s="32">
        <f t="shared" si="22"/>
        <v>420.70105748563208</v>
      </c>
      <c r="Z93" s="32">
        <f t="shared" si="22"/>
        <v>228.78385419583839</v>
      </c>
      <c r="AA93" s="32">
        <f t="shared" si="22"/>
        <v>348.57729057187663</v>
      </c>
    </row>
    <row r="94" spans="1:27" x14ac:dyDescent="0.2">
      <c r="A94" s="5"/>
      <c r="B94" s="32">
        <f>_xlfn.COVARIANCE.P($X$2:$X$66,B$2:B$66)</f>
        <v>58165.151097622766</v>
      </c>
      <c r="C94" s="32">
        <f t="shared" ref="C94:AA94" si="23">_xlfn.COVARIANCE.P($X$2:$X$66,C$2:C$66)</f>
        <v>21560.871027029993</v>
      </c>
      <c r="D94" s="32">
        <f t="shared" si="23"/>
        <v>32829.281413822762</v>
      </c>
      <c r="E94" s="32">
        <f t="shared" si="23"/>
        <v>32837.533628165496</v>
      </c>
      <c r="F94" s="32">
        <f t="shared" si="23"/>
        <v>20255.974442739232</v>
      </c>
      <c r="G94" s="32">
        <f t="shared" si="23"/>
        <v>23500.48996411229</v>
      </c>
      <c r="H94" s="32">
        <f t="shared" si="23"/>
        <v>10849.946979613076</v>
      </c>
      <c r="I94" s="32">
        <f t="shared" si="23"/>
        <v>1725.4800673983693</v>
      </c>
      <c r="J94" s="32">
        <f t="shared" si="23"/>
        <v>5371.5714644656346</v>
      </c>
      <c r="K94" s="32">
        <f t="shared" si="23"/>
        <v>5948.1623123674954</v>
      </c>
      <c r="L94" s="32">
        <f t="shared" si="23"/>
        <v>4887.941064421103</v>
      </c>
      <c r="M94" s="32">
        <f t="shared" si="23"/>
        <v>4212.126744424254</v>
      </c>
      <c r="N94" s="32">
        <f t="shared" si="23"/>
        <v>3580.9717263970883</v>
      </c>
      <c r="O94" s="32">
        <f t="shared" si="23"/>
        <v>2533.0701183096257</v>
      </c>
      <c r="P94" s="32">
        <f t="shared" si="23"/>
        <v>1354.9331367977411</v>
      </c>
      <c r="Q94" s="32">
        <f t="shared" si="23"/>
        <v>1226.2927249524423</v>
      </c>
      <c r="R94" s="32">
        <f t="shared" si="23"/>
        <v>513.53729353411688</v>
      </c>
      <c r="S94" s="32">
        <f t="shared" si="23"/>
        <v>1624.2424428818033</v>
      </c>
      <c r="T94" s="32">
        <f t="shared" si="23"/>
        <v>1339.8298670317231</v>
      </c>
      <c r="U94" s="32">
        <f t="shared" si="23"/>
        <v>544.14690858193956</v>
      </c>
      <c r="V94" s="32">
        <f t="shared" si="23"/>
        <v>266.55520084639954</v>
      </c>
      <c r="W94" s="32">
        <f t="shared" si="23"/>
        <v>423.41163466729773</v>
      </c>
      <c r="X94" s="32">
        <f t="shared" si="23"/>
        <v>757.07245588011313</v>
      </c>
      <c r="Y94" s="32">
        <f t="shared" si="23"/>
        <v>574.40176777165277</v>
      </c>
      <c r="Z94" s="32">
        <f t="shared" si="23"/>
        <v>297.89712568878139</v>
      </c>
      <c r="AA94" s="32">
        <f t="shared" si="23"/>
        <v>405.24487842365369</v>
      </c>
    </row>
    <row r="95" spans="1:27" x14ac:dyDescent="0.2">
      <c r="A95" s="5"/>
      <c r="B95" s="32">
        <f>_xlfn.COVARIANCE.P($Y$2:$Y$66,B$2:B$66)</f>
        <v>28468.545036680542</v>
      </c>
      <c r="C95" s="32">
        <f t="shared" ref="C95:AA95" si="24">_xlfn.COVARIANCE.P($Y$2:$Y$66,C$2:C$66)</f>
        <v>24668.097100017705</v>
      </c>
      <c r="D95" s="32">
        <f t="shared" si="24"/>
        <v>31828.397598502521</v>
      </c>
      <c r="E95" s="32">
        <f t="shared" si="24"/>
        <v>24836.259619755907</v>
      </c>
      <c r="F95" s="32">
        <f t="shared" si="24"/>
        <v>15494.486884187443</v>
      </c>
      <c r="G95" s="32">
        <f t="shared" si="24"/>
        <v>26056.281310359376</v>
      </c>
      <c r="H95" s="32">
        <f t="shared" si="24"/>
        <v>12665.776508589292</v>
      </c>
      <c r="I95" s="32">
        <f t="shared" si="24"/>
        <v>1978.3332216045947</v>
      </c>
      <c r="J95" s="32">
        <f t="shared" si="24"/>
        <v>6147.6614216973585</v>
      </c>
      <c r="K95" s="32">
        <f t="shared" si="24"/>
        <v>7110.1066298317492</v>
      </c>
      <c r="L95" s="32">
        <f t="shared" si="24"/>
        <v>4790.5794106361136</v>
      </c>
      <c r="M95" s="32">
        <f t="shared" si="24"/>
        <v>5000.0289522559178</v>
      </c>
      <c r="N95" s="32">
        <f t="shared" si="24"/>
        <v>4146.6441061665246</v>
      </c>
      <c r="O95" s="32">
        <f t="shared" si="24"/>
        <v>2887.1228423057937</v>
      </c>
      <c r="P95" s="32">
        <f t="shared" si="24"/>
        <v>699.77373449470156</v>
      </c>
      <c r="Q95" s="32">
        <f t="shared" si="24"/>
        <v>1453.4448645568837</v>
      </c>
      <c r="R95" s="32">
        <f t="shared" si="24"/>
        <v>763.96215467296702</v>
      </c>
      <c r="S95" s="32">
        <f t="shared" si="24"/>
        <v>1984.8600764496259</v>
      </c>
      <c r="T95" s="32">
        <f t="shared" si="24"/>
        <v>1247.4819129867524</v>
      </c>
      <c r="U95" s="32">
        <f t="shared" si="24"/>
        <v>578.42976662793592</v>
      </c>
      <c r="V95" s="32">
        <f t="shared" si="24"/>
        <v>330.06050363344235</v>
      </c>
      <c r="W95" s="32">
        <f t="shared" si="24"/>
        <v>420.70105748563208</v>
      </c>
      <c r="X95" s="32">
        <f t="shared" si="24"/>
        <v>574.40176777165277</v>
      </c>
      <c r="Y95" s="32">
        <f t="shared" si="24"/>
        <v>794.54389186291655</v>
      </c>
      <c r="Z95" s="32">
        <f t="shared" si="24"/>
        <v>307.65118708687021</v>
      </c>
      <c r="AA95" s="32">
        <f t="shared" si="24"/>
        <v>399.09156292244569</v>
      </c>
    </row>
    <row r="96" spans="1:27" x14ac:dyDescent="0.2">
      <c r="A96" s="5"/>
      <c r="B96" s="32">
        <f>_xlfn.COVARIANCE.P($Z$2:$Z$66,B$2:B$66)</f>
        <v>42129.194877053422</v>
      </c>
      <c r="C96" s="32">
        <f t="shared" ref="C96:AA96" si="25">_xlfn.COVARIANCE.P($Z$2:$Z$66,C$2:C$66)</f>
        <v>9330.1687204629434</v>
      </c>
      <c r="D96" s="32">
        <f t="shared" si="25"/>
        <v>17133.901748203822</v>
      </c>
      <c r="E96" s="32">
        <f t="shared" si="25"/>
        <v>15426.604792262689</v>
      </c>
      <c r="F96" s="32">
        <f t="shared" si="25"/>
        <v>10109.491799847317</v>
      </c>
      <c r="G96" s="32">
        <f t="shared" si="25"/>
        <v>10900.98038907115</v>
      </c>
      <c r="H96" s="32">
        <f t="shared" si="25"/>
        <v>8095.1102194218129</v>
      </c>
      <c r="I96" s="32">
        <f t="shared" si="25"/>
        <v>466.09150648057442</v>
      </c>
      <c r="J96" s="32">
        <f t="shared" si="25"/>
        <v>1237.0359960468109</v>
      </c>
      <c r="K96" s="32">
        <f t="shared" si="25"/>
        <v>3460.3262625906932</v>
      </c>
      <c r="L96" s="32">
        <f t="shared" si="25"/>
        <v>2818.2422330193613</v>
      </c>
      <c r="M96" s="32">
        <f t="shared" si="25"/>
        <v>2309.9350150976802</v>
      </c>
      <c r="N96" s="32">
        <f t="shared" si="25"/>
        <v>1508.902491448363</v>
      </c>
      <c r="O96" s="32">
        <f t="shared" si="25"/>
        <v>1533.2578136718646</v>
      </c>
      <c r="P96" s="32">
        <f t="shared" si="25"/>
        <v>430.57561858888459</v>
      </c>
      <c r="Q96" s="32">
        <f t="shared" si="25"/>
        <v>992.21176626440706</v>
      </c>
      <c r="R96" s="32">
        <f t="shared" si="25"/>
        <v>401.23470321104372</v>
      </c>
      <c r="S96" s="32">
        <f t="shared" si="25"/>
        <v>1066.8735853804594</v>
      </c>
      <c r="T96" s="32">
        <f t="shared" si="25"/>
        <v>741.97369132958931</v>
      </c>
      <c r="U96" s="32">
        <f t="shared" si="25"/>
        <v>342.32378320563168</v>
      </c>
      <c r="V96" s="32">
        <f t="shared" si="25"/>
        <v>112.82598230507315</v>
      </c>
      <c r="W96" s="32">
        <f t="shared" si="25"/>
        <v>228.78385419583839</v>
      </c>
      <c r="X96" s="32">
        <f t="shared" si="25"/>
        <v>297.89712568878139</v>
      </c>
      <c r="Y96" s="32">
        <f t="shared" si="25"/>
        <v>307.65118708687021</v>
      </c>
      <c r="Z96" s="32">
        <f t="shared" si="25"/>
        <v>254.60815515283522</v>
      </c>
      <c r="AA96" s="32">
        <f t="shared" si="25"/>
        <v>240.59307251753756</v>
      </c>
    </row>
    <row r="97" spans="1:27" x14ac:dyDescent="0.2">
      <c r="A97" s="5"/>
      <c r="B97" s="32">
        <f>_xlfn.COVARIANCE.P($AA$2:$AA$66,B$2:B$66)</f>
        <v>13176.501516583641</v>
      </c>
      <c r="C97" s="32">
        <f t="shared" ref="C97:AA97" si="26">_xlfn.COVARIANCE.P($AA$2:$AA$66,C$2:C$66)</f>
        <v>16267.957857857044</v>
      </c>
      <c r="D97" s="32">
        <f t="shared" si="26"/>
        <v>23008.14246496851</v>
      </c>
      <c r="E97" s="32">
        <f t="shared" si="26"/>
        <v>16923.534027035508</v>
      </c>
      <c r="F97" s="32">
        <f t="shared" si="26"/>
        <v>10000.675381105237</v>
      </c>
      <c r="G97" s="32">
        <f t="shared" si="26"/>
        <v>16541.698595091813</v>
      </c>
      <c r="H97" s="32">
        <f t="shared" si="26"/>
        <v>5796.1907947310392</v>
      </c>
      <c r="I97" s="32">
        <f t="shared" si="26"/>
        <v>1201.0420386291346</v>
      </c>
      <c r="J97" s="32">
        <f t="shared" si="26"/>
        <v>4283.380017556995</v>
      </c>
      <c r="K97" s="32">
        <f t="shared" si="26"/>
        <v>4197.4968291744663</v>
      </c>
      <c r="L97" s="32">
        <f t="shared" si="26"/>
        <v>3256.7259750554917</v>
      </c>
      <c r="M97" s="32">
        <f t="shared" si="26"/>
        <v>3151.855113936947</v>
      </c>
      <c r="N97" s="32">
        <f t="shared" si="26"/>
        <v>3029.9322532278993</v>
      </c>
      <c r="O97" s="32">
        <f t="shared" si="26"/>
        <v>1952.3626364046295</v>
      </c>
      <c r="P97" s="32">
        <f t="shared" si="26"/>
        <v>252.20495440881749</v>
      </c>
      <c r="Q97" s="32">
        <f t="shared" si="26"/>
        <v>745.41985427211671</v>
      </c>
      <c r="R97" s="32">
        <f t="shared" si="26"/>
        <v>498.08993593056624</v>
      </c>
      <c r="S97" s="32">
        <f t="shared" si="26"/>
        <v>1398.9339747165939</v>
      </c>
      <c r="T97" s="32">
        <f t="shared" si="26"/>
        <v>846.3596330807668</v>
      </c>
      <c r="U97" s="32">
        <f t="shared" si="26"/>
        <v>417.3111162774124</v>
      </c>
      <c r="V97" s="32">
        <f t="shared" si="26"/>
        <v>159.13813186814212</v>
      </c>
      <c r="W97" s="32">
        <f t="shared" si="26"/>
        <v>348.57729057187663</v>
      </c>
      <c r="X97" s="32">
        <f t="shared" si="26"/>
        <v>405.24487842365369</v>
      </c>
      <c r="Y97" s="32">
        <f t="shared" si="26"/>
        <v>399.09156292244569</v>
      </c>
      <c r="Z97" s="32">
        <f t="shared" si="26"/>
        <v>240.59307251753756</v>
      </c>
      <c r="AA97" s="32">
        <f t="shared" si="26"/>
        <v>1033.7690349979478</v>
      </c>
    </row>
    <row r="98" spans="1:27" x14ac:dyDescent="0.2">
      <c r="A98" s="5"/>
    </row>
    <row r="99" spans="1:27" x14ac:dyDescent="0.2">
      <c r="A99" s="114" t="s">
        <v>336</v>
      </c>
      <c r="B99" s="50">
        <f t="array" ref="B99:AA124">MINVERSE(B72:AA97)</f>
        <v>8.3965981970995659E-8</v>
      </c>
      <c r="C99" s="50">
        <v>6.9148191363247654E-8</v>
      </c>
      <c r="D99" s="50">
        <v>-2.1062837957817958E-7</v>
      </c>
      <c r="E99" s="50">
        <v>7.0102316757012585E-8</v>
      </c>
      <c r="F99" s="50">
        <v>-1.4005176766763393E-7</v>
      </c>
      <c r="G99" s="50">
        <v>-1.5215765545943318E-7</v>
      </c>
      <c r="H99" s="50">
        <v>-2.3318200153259092E-9</v>
      </c>
      <c r="I99" s="50">
        <v>-1.551058309392484E-7</v>
      </c>
      <c r="J99" s="50">
        <v>4.5344068055847989E-7</v>
      </c>
      <c r="K99" s="50">
        <v>-4.4497389973962605E-7</v>
      </c>
      <c r="L99" s="50">
        <v>-4.974716908942614E-7</v>
      </c>
      <c r="M99" s="50">
        <v>4.5280198911913857E-7</v>
      </c>
      <c r="N99" s="50">
        <v>6.8034911614418337E-7</v>
      </c>
      <c r="O99" s="50">
        <v>1.281747715989259E-6</v>
      </c>
      <c r="P99" s="50">
        <v>1.057921168340051E-8</v>
      </c>
      <c r="Q99" s="50">
        <v>-4.9670822973015313E-7</v>
      </c>
      <c r="R99" s="50">
        <v>3.2525341382096768E-6</v>
      </c>
      <c r="S99" s="50">
        <v>-1.0996846875299866E-8</v>
      </c>
      <c r="T99" s="50">
        <v>-6.0458108108353045E-7</v>
      </c>
      <c r="U99" s="50">
        <v>-6.2863261427273777E-7</v>
      </c>
      <c r="V99" s="50">
        <v>-9.0952945614377734E-7</v>
      </c>
      <c r="W99" s="50">
        <v>2.7373503618893665E-6</v>
      </c>
      <c r="X99" s="50">
        <v>-1.0958650451586303E-6</v>
      </c>
      <c r="Y99" s="50">
        <v>2.3186951033979628E-6</v>
      </c>
      <c r="Z99" s="50">
        <v>-5.2671419987746913E-6</v>
      </c>
      <c r="AA99" s="50">
        <v>5.9391842619143566E-7</v>
      </c>
    </row>
    <row r="100" spans="1:27" x14ac:dyDescent="0.2">
      <c r="A100" s="114"/>
      <c r="B100" s="50">
        <v>6.9148191363246621E-8</v>
      </c>
      <c r="C100" s="50">
        <v>1.5451809831427295E-5</v>
      </c>
      <c r="D100" s="50">
        <v>-3.404060420201295E-6</v>
      </c>
      <c r="E100" s="50">
        <v>2.2588884334983191E-8</v>
      </c>
      <c r="F100" s="50">
        <v>3.52438877754134E-6</v>
      </c>
      <c r="G100" s="50">
        <v>-4.7287311916338843E-7</v>
      </c>
      <c r="H100" s="50">
        <v>3.2017475148557159E-6</v>
      </c>
      <c r="I100" s="50">
        <v>-5.0499713504815615E-6</v>
      </c>
      <c r="J100" s="50">
        <v>3.8262007651241691E-6</v>
      </c>
      <c r="K100" s="50">
        <v>-7.3715826907108558E-6</v>
      </c>
      <c r="L100" s="50">
        <v>-3.9512037775751913E-6</v>
      </c>
      <c r="M100" s="50">
        <v>4.1020283325899726E-6</v>
      </c>
      <c r="N100" s="50">
        <v>-2.6396299826942102E-5</v>
      </c>
      <c r="O100" s="50">
        <v>-5.0387428538949945E-6</v>
      </c>
      <c r="P100" s="50">
        <v>1.0463026940255851E-5</v>
      </c>
      <c r="Q100" s="50">
        <v>-7.2243967055131368E-6</v>
      </c>
      <c r="R100" s="50">
        <v>8.6892123955209914E-5</v>
      </c>
      <c r="S100" s="50">
        <v>-9.6278141214899639E-6</v>
      </c>
      <c r="T100" s="50">
        <v>3.8038435215794309E-5</v>
      </c>
      <c r="U100" s="50">
        <v>-1.3656615792364559E-4</v>
      </c>
      <c r="V100" s="50">
        <v>-3.4660045228573691E-5</v>
      </c>
      <c r="W100" s="50">
        <v>8.8156756079485544E-6</v>
      </c>
      <c r="X100" s="50">
        <v>-1.3774196559469072E-4</v>
      </c>
      <c r="Y100" s="50">
        <v>-1.9344678190732974E-4</v>
      </c>
      <c r="Z100" s="50">
        <v>1.0307907394454699E-4</v>
      </c>
      <c r="AA100" s="50">
        <v>-1.5030044263259281E-6</v>
      </c>
    </row>
    <row r="101" spans="1:27" x14ac:dyDescent="0.2">
      <c r="A101" s="5"/>
      <c r="B101" s="50">
        <v>-2.1062837957817902E-7</v>
      </c>
      <c r="C101" s="50">
        <v>-3.4040604202012967E-6</v>
      </c>
      <c r="D101" s="50">
        <v>9.7644952293373205E-6</v>
      </c>
      <c r="E101" s="50">
        <v>1.7658356993706962E-6</v>
      </c>
      <c r="F101" s="50">
        <v>-4.0363685382246908E-6</v>
      </c>
      <c r="G101" s="50">
        <v>-9.5048860518408722E-6</v>
      </c>
      <c r="H101" s="50">
        <v>-2.8618828110713893E-6</v>
      </c>
      <c r="I101" s="50">
        <v>-2.4437101807722476E-5</v>
      </c>
      <c r="J101" s="50">
        <v>-4.2450216519848453E-7</v>
      </c>
      <c r="K101" s="50">
        <v>3.3379213458335491E-6</v>
      </c>
      <c r="L101" s="50">
        <v>9.9293267262750042E-7</v>
      </c>
      <c r="M101" s="50">
        <v>9.8561213848009298E-6</v>
      </c>
      <c r="N101" s="50">
        <v>1.0560335392580381E-5</v>
      </c>
      <c r="O101" s="50">
        <v>-9.0792662599064643E-6</v>
      </c>
      <c r="P101" s="50">
        <v>1.0266758952152003E-6</v>
      </c>
      <c r="Q101" s="50">
        <v>3.8011869090176915E-6</v>
      </c>
      <c r="R101" s="50">
        <v>-5.3918555551901169E-5</v>
      </c>
      <c r="S101" s="50">
        <v>-1.0081877514035095E-5</v>
      </c>
      <c r="T101" s="50">
        <v>-7.8230485287416143E-5</v>
      </c>
      <c r="U101" s="50">
        <v>8.2636378920670733E-5</v>
      </c>
      <c r="V101" s="50">
        <v>-1.7112018185031177E-5</v>
      </c>
      <c r="W101" s="50">
        <v>2.7010033038282102E-5</v>
      </c>
      <c r="X101" s="50">
        <v>2.4183160121781003E-5</v>
      </c>
      <c r="Y101" s="50">
        <v>1.9988843284996584E-4</v>
      </c>
      <c r="Z101" s="50">
        <v>-9.6552078354787617E-5</v>
      </c>
      <c r="AA101" s="50">
        <v>-1.6510404695328999E-5</v>
      </c>
    </row>
    <row r="102" spans="1:27" x14ac:dyDescent="0.2">
      <c r="A102" s="5"/>
      <c r="B102" s="50">
        <v>7.0102316757013471E-8</v>
      </c>
      <c r="C102" s="50">
        <v>2.2588884335003788E-8</v>
      </c>
      <c r="D102" s="50">
        <v>1.7658356993706717E-6</v>
      </c>
      <c r="E102" s="50">
        <v>6.8066016338523604E-6</v>
      </c>
      <c r="F102" s="50">
        <v>-4.4732841641253022E-6</v>
      </c>
      <c r="G102" s="50">
        <v>-9.6618397877267E-6</v>
      </c>
      <c r="H102" s="50">
        <v>1.2468290570944841E-6</v>
      </c>
      <c r="I102" s="50">
        <v>-4.5003430187440963E-6</v>
      </c>
      <c r="J102" s="50">
        <v>3.905674139199074E-6</v>
      </c>
      <c r="K102" s="50">
        <v>9.1723498967954969E-6</v>
      </c>
      <c r="L102" s="50">
        <v>-6.9176775772389752E-6</v>
      </c>
      <c r="M102" s="50">
        <v>6.2521052764302554E-6</v>
      </c>
      <c r="N102" s="50">
        <v>5.0067533944774151E-6</v>
      </c>
      <c r="O102" s="50">
        <v>-6.1068844222785378E-6</v>
      </c>
      <c r="P102" s="50">
        <v>-1.6111180480172896E-6</v>
      </c>
      <c r="Q102" s="50">
        <v>-8.6537084384501183E-7</v>
      </c>
      <c r="R102" s="50">
        <v>4.7181619328311516E-5</v>
      </c>
      <c r="S102" s="50">
        <v>-1.0641432080265817E-5</v>
      </c>
      <c r="T102" s="50">
        <v>-1.6444838266478753E-5</v>
      </c>
      <c r="U102" s="50">
        <v>1.0225694280386429E-4</v>
      </c>
      <c r="V102" s="50">
        <v>-1.0899768729534279E-4</v>
      </c>
      <c r="W102" s="50">
        <v>-4.6710012693406037E-5</v>
      </c>
      <c r="X102" s="50">
        <v>-5.5972081074367989E-5</v>
      </c>
      <c r="Y102" s="50">
        <v>1.153891933446167E-4</v>
      </c>
      <c r="Z102" s="50">
        <v>-2.1072042582806662E-4</v>
      </c>
      <c r="AA102" s="50">
        <v>1.413392341156563E-5</v>
      </c>
    </row>
    <row r="103" spans="1:27" x14ac:dyDescent="0.2">
      <c r="A103" s="5"/>
      <c r="B103" s="50">
        <v>-1.4005176766763493E-7</v>
      </c>
      <c r="C103" s="50">
        <v>3.5243887775413171E-6</v>
      </c>
      <c r="D103" s="50">
        <v>-4.0363685382246637E-6</v>
      </c>
      <c r="E103" s="50">
        <v>-4.4732841641253073E-6</v>
      </c>
      <c r="F103" s="50">
        <v>1.0855844372011699E-5</v>
      </c>
      <c r="G103" s="50">
        <v>6.7808227246055449E-6</v>
      </c>
      <c r="H103" s="50">
        <v>1.2523850509904473E-7</v>
      </c>
      <c r="I103" s="50">
        <v>2.6461428378632117E-5</v>
      </c>
      <c r="J103" s="50">
        <v>-3.1986439987292614E-6</v>
      </c>
      <c r="K103" s="50">
        <v>-1.2711582086260273E-5</v>
      </c>
      <c r="L103" s="50">
        <v>-3.0013059875783081E-6</v>
      </c>
      <c r="M103" s="50">
        <v>-1.1973747884355027E-5</v>
      </c>
      <c r="N103" s="50">
        <v>-1.8495827630698782E-6</v>
      </c>
      <c r="O103" s="50">
        <v>-2.9316720330415347E-5</v>
      </c>
      <c r="P103" s="50">
        <v>-9.2648470701296779E-6</v>
      </c>
      <c r="Q103" s="50">
        <v>-1.1476794528825958E-5</v>
      </c>
      <c r="R103" s="50">
        <v>1.3803004838062357E-4</v>
      </c>
      <c r="S103" s="50">
        <v>1.2160569494315521E-5</v>
      </c>
      <c r="T103" s="50">
        <v>7.204475937246697E-5</v>
      </c>
      <c r="U103" s="50">
        <v>-1.9070309427547514E-4</v>
      </c>
      <c r="V103" s="50">
        <v>9.7119594994589612E-5</v>
      </c>
      <c r="W103" s="50">
        <v>1.7796892447110326E-5</v>
      </c>
      <c r="X103" s="50">
        <v>-4.5097569792652099E-5</v>
      </c>
      <c r="Y103" s="50">
        <v>-1.6095998672141298E-4</v>
      </c>
      <c r="Z103" s="50">
        <v>2.1652696118252624E-4</v>
      </c>
      <c r="AA103" s="50">
        <v>-9.9132429922162461E-6</v>
      </c>
    </row>
    <row r="104" spans="1:27" x14ac:dyDescent="0.2">
      <c r="A104" s="5"/>
      <c r="B104" s="50">
        <v>-1.5215765545943694E-7</v>
      </c>
      <c r="C104" s="50">
        <v>-4.7287311916347102E-7</v>
      </c>
      <c r="D104" s="50">
        <v>-9.5048860518408045E-6</v>
      </c>
      <c r="E104" s="50">
        <v>-9.6618397877267373E-6</v>
      </c>
      <c r="F104" s="50">
        <v>6.7808227246055466E-6</v>
      </c>
      <c r="G104" s="50">
        <v>4.6688907363681252E-5</v>
      </c>
      <c r="H104" s="50">
        <v>-1.4670376584750859E-6</v>
      </c>
      <c r="I104" s="50">
        <v>1.1582024314654274E-5</v>
      </c>
      <c r="J104" s="50">
        <v>-9.2021890381233297E-6</v>
      </c>
      <c r="K104" s="50">
        <v>-2.1551562900357945E-5</v>
      </c>
      <c r="L104" s="50">
        <v>5.4602368571750326E-6</v>
      </c>
      <c r="M104" s="50">
        <v>-2.5611698436016358E-5</v>
      </c>
      <c r="N104" s="50">
        <v>-7.4690964190494771E-5</v>
      </c>
      <c r="O104" s="50">
        <v>2.947544074809963E-5</v>
      </c>
      <c r="P104" s="50">
        <v>1.0363149917727516E-5</v>
      </c>
      <c r="Q104" s="50">
        <v>6.2556390522101197E-6</v>
      </c>
      <c r="R104" s="50">
        <v>-7.1655286608242677E-5</v>
      </c>
      <c r="S104" s="50">
        <v>2.0381029274523974E-5</v>
      </c>
      <c r="T104" s="50">
        <v>-4.9347438868513281E-5</v>
      </c>
      <c r="U104" s="50">
        <v>-9.8058071138010022E-5</v>
      </c>
      <c r="V104" s="50">
        <v>1.3655226612609468E-4</v>
      </c>
      <c r="W104" s="50">
        <v>9.1938001013587353E-5</v>
      </c>
      <c r="X104" s="50">
        <v>-5.9257857875309832E-7</v>
      </c>
      <c r="Y104" s="50">
        <v>-4.0992672669450309E-4</v>
      </c>
      <c r="Z104" s="50">
        <v>4.1234217316424109E-4</v>
      </c>
      <c r="AA104" s="50">
        <v>1.3456000566822586E-6</v>
      </c>
    </row>
    <row r="105" spans="1:27" x14ac:dyDescent="0.2">
      <c r="A105" s="5"/>
      <c r="B105" s="50">
        <v>-2.3318200153259791E-9</v>
      </c>
      <c r="C105" s="50">
        <v>3.2017475148557247E-6</v>
      </c>
      <c r="D105" s="50">
        <v>-2.8618828110713973E-6</v>
      </c>
      <c r="E105" s="50">
        <v>1.2468290570944786E-6</v>
      </c>
      <c r="F105" s="50">
        <v>1.252385050990586E-7</v>
      </c>
      <c r="G105" s="50">
        <v>-1.4670376584750596E-6</v>
      </c>
      <c r="H105" s="50">
        <v>5.5235104909310521E-6</v>
      </c>
      <c r="I105" s="50">
        <v>7.2275502394366417E-6</v>
      </c>
      <c r="J105" s="50">
        <v>2.068864796799043E-6</v>
      </c>
      <c r="K105" s="50">
        <v>2.9134131619651553E-7</v>
      </c>
      <c r="L105" s="50">
        <v>-7.9570137198785609E-6</v>
      </c>
      <c r="M105" s="50">
        <v>-1.5232037971363338E-6</v>
      </c>
      <c r="N105" s="50">
        <v>-8.5277751265542625E-6</v>
      </c>
      <c r="O105" s="50">
        <v>1.0340443413562144E-5</v>
      </c>
      <c r="P105" s="50">
        <v>6.394885904614571E-8</v>
      </c>
      <c r="Q105" s="50">
        <v>-8.6960302622367382E-6</v>
      </c>
      <c r="R105" s="50">
        <v>5.4203744069466356E-5</v>
      </c>
      <c r="S105" s="50">
        <v>-4.3807509059559391E-6</v>
      </c>
      <c r="T105" s="50">
        <v>2.4275055685062888E-5</v>
      </c>
      <c r="U105" s="50">
        <v>1.350408385869354E-5</v>
      </c>
      <c r="V105" s="50">
        <v>-1.0090960042712735E-5</v>
      </c>
      <c r="W105" s="50">
        <v>-2.3697297552833403E-5</v>
      </c>
      <c r="X105" s="50">
        <v>5.1215415192744365E-6</v>
      </c>
      <c r="Y105" s="50">
        <v>-7.51166826861488E-5</v>
      </c>
      <c r="Z105" s="50">
        <v>-8.3326825923628204E-5</v>
      </c>
      <c r="AA105" s="50">
        <v>1.7917213859441046E-5</v>
      </c>
    </row>
    <row r="106" spans="1:27" x14ac:dyDescent="0.2">
      <c r="A106" s="5"/>
      <c r="B106" s="50">
        <v>-1.5510583093925171E-7</v>
      </c>
      <c r="C106" s="50">
        <v>-5.0499713504816411E-6</v>
      </c>
      <c r="D106" s="50">
        <v>-2.4437101807722341E-5</v>
      </c>
      <c r="E106" s="50">
        <v>-4.5003430187440819E-6</v>
      </c>
      <c r="F106" s="50">
        <v>2.6461428378632066E-5</v>
      </c>
      <c r="G106" s="50">
        <v>1.1582024314654292E-5</v>
      </c>
      <c r="H106" s="50">
        <v>7.2275502394365833E-6</v>
      </c>
      <c r="I106" s="50">
        <v>5.1765757442171108E-4</v>
      </c>
      <c r="J106" s="50">
        <v>-2.4318748494427296E-5</v>
      </c>
      <c r="K106" s="50">
        <v>1.1186760287969199E-5</v>
      </c>
      <c r="L106" s="50">
        <v>4.036596528461826E-5</v>
      </c>
      <c r="M106" s="50">
        <v>-1.051039873089823E-4</v>
      </c>
      <c r="N106" s="50">
        <v>-2.7147837093139295E-5</v>
      </c>
      <c r="O106" s="50">
        <v>-1.551167261222064E-4</v>
      </c>
      <c r="P106" s="50">
        <v>-2.0288717916116196E-5</v>
      </c>
      <c r="Q106" s="50">
        <v>-2.9226568432299024E-5</v>
      </c>
      <c r="R106" s="50">
        <v>6.4829826158795156E-4</v>
      </c>
      <c r="S106" s="50">
        <v>1.4992596481393058E-5</v>
      </c>
      <c r="T106" s="50">
        <v>3.6706126181139734E-4</v>
      </c>
      <c r="U106" s="50">
        <v>-6.6997767497017468E-4</v>
      </c>
      <c r="V106" s="50">
        <v>1.6971130196525067E-4</v>
      </c>
      <c r="W106" s="50">
        <v>-2.347189447544965E-4</v>
      </c>
      <c r="X106" s="50">
        <v>-3.7257068187667933E-4</v>
      </c>
      <c r="Y106" s="50">
        <v>-6.4372322147980066E-4</v>
      </c>
      <c r="Z106" s="50">
        <v>1.1376233142090574E-3</v>
      </c>
      <c r="AA106" s="50">
        <v>8.3024008622524471E-5</v>
      </c>
    </row>
    <row r="107" spans="1:27" x14ac:dyDescent="0.2">
      <c r="A107" s="5"/>
      <c r="B107" s="50">
        <v>4.5344068055848058E-7</v>
      </c>
      <c r="C107" s="50">
        <v>3.8262007651241954E-6</v>
      </c>
      <c r="D107" s="50">
        <v>-4.2450216519849348E-7</v>
      </c>
      <c r="E107" s="50">
        <v>3.9056741391990765E-6</v>
      </c>
      <c r="F107" s="50">
        <v>-3.1986439987292521E-6</v>
      </c>
      <c r="G107" s="50">
        <v>-9.2021890381233314E-6</v>
      </c>
      <c r="H107" s="50">
        <v>2.0688647967990485E-6</v>
      </c>
      <c r="I107" s="50">
        <v>-2.4318748494427263E-5</v>
      </c>
      <c r="J107" s="50">
        <v>2.2739820753597441E-5</v>
      </c>
      <c r="K107" s="50">
        <v>-2.4447412481954226E-6</v>
      </c>
      <c r="L107" s="50">
        <v>-1.6369993511290227E-5</v>
      </c>
      <c r="M107" s="50">
        <v>2.1107933575002792E-5</v>
      </c>
      <c r="N107" s="50">
        <v>-1.896939901932634E-5</v>
      </c>
      <c r="O107" s="50">
        <v>1.4174152722280689E-5</v>
      </c>
      <c r="P107" s="50">
        <v>1.6146973972904984E-7</v>
      </c>
      <c r="Q107" s="50">
        <v>-7.3348624975916344E-6</v>
      </c>
      <c r="R107" s="50">
        <v>1.2587931256052596E-4</v>
      </c>
      <c r="S107" s="50">
        <v>-5.4109386019785499E-5</v>
      </c>
      <c r="T107" s="50">
        <v>3.0946309146612957E-5</v>
      </c>
      <c r="U107" s="50">
        <v>4.7790871797741387E-5</v>
      </c>
      <c r="V107" s="50">
        <v>-1.3572673482254867E-4</v>
      </c>
      <c r="W107" s="50">
        <v>5.0054053312782049E-6</v>
      </c>
      <c r="X107" s="50">
        <v>-2.8428848033737975E-5</v>
      </c>
      <c r="Y107" s="50">
        <v>4.8819280651091289E-5</v>
      </c>
      <c r="Z107" s="50">
        <v>-5.5434772905555412E-5</v>
      </c>
      <c r="AA107" s="50">
        <v>3.7109632982639628E-6</v>
      </c>
    </row>
    <row r="108" spans="1:27" x14ac:dyDescent="0.2">
      <c r="A108" s="5"/>
      <c r="B108" s="50">
        <v>-4.449738997396224E-7</v>
      </c>
      <c r="C108" s="50">
        <v>-7.3715826907108279E-6</v>
      </c>
      <c r="D108" s="50">
        <v>3.3379213458335085E-6</v>
      </c>
      <c r="E108" s="50">
        <v>9.1723498967955443E-6</v>
      </c>
      <c r="F108" s="50">
        <v>-1.2711582086260307E-5</v>
      </c>
      <c r="G108" s="50">
        <v>-2.1551562900357983E-5</v>
      </c>
      <c r="H108" s="50">
        <v>2.9134131619654862E-7</v>
      </c>
      <c r="I108" s="50">
        <v>1.118676028796914E-5</v>
      </c>
      <c r="J108" s="50">
        <v>-2.4447412481953938E-6</v>
      </c>
      <c r="K108" s="50">
        <v>9.090662768194082E-5</v>
      </c>
      <c r="L108" s="50">
        <v>-1.155279505774175E-5</v>
      </c>
      <c r="M108" s="50">
        <v>6.7133986284919996E-6</v>
      </c>
      <c r="N108" s="50">
        <v>1.1474430226037534E-5</v>
      </c>
      <c r="O108" s="50">
        <v>-3.586242594381344E-5</v>
      </c>
      <c r="P108" s="50">
        <v>-6.9073273450267598E-6</v>
      </c>
      <c r="Q108" s="50">
        <v>6.3076136560575389E-6</v>
      </c>
      <c r="R108" s="50">
        <v>-1.5789781971895187E-4</v>
      </c>
      <c r="S108" s="50">
        <v>-1.2180339676779239E-5</v>
      </c>
      <c r="T108" s="50">
        <v>-6.2613373810290588E-6</v>
      </c>
      <c r="U108" s="50">
        <v>2.494083878594163E-4</v>
      </c>
      <c r="V108" s="50">
        <v>-1.5771757431569278E-4</v>
      </c>
      <c r="W108" s="50">
        <v>-2.8654987354589543E-4</v>
      </c>
      <c r="X108" s="50">
        <v>1.8224786292986303E-4</v>
      </c>
      <c r="Y108" s="50">
        <v>2.196169736682325E-4</v>
      </c>
      <c r="Z108" s="50">
        <v>-2.9380997501324258E-4</v>
      </c>
      <c r="AA108" s="50">
        <v>6.8658081379063419E-5</v>
      </c>
    </row>
    <row r="109" spans="1:27" x14ac:dyDescent="0.2">
      <c r="A109" s="5"/>
      <c r="B109" s="50">
        <v>-4.974716908942632E-7</v>
      </c>
      <c r="C109" s="50">
        <v>-3.9512037775751989E-6</v>
      </c>
      <c r="D109" s="50">
        <v>9.9293267262748538E-7</v>
      </c>
      <c r="E109" s="50">
        <v>-6.9176775772389973E-6</v>
      </c>
      <c r="F109" s="50">
        <v>-3.0013059875783111E-6</v>
      </c>
      <c r="G109" s="50">
        <v>5.4602368571751359E-6</v>
      </c>
      <c r="H109" s="50">
        <v>-7.9570137198785609E-6</v>
      </c>
      <c r="I109" s="50">
        <v>4.0365965284618429E-5</v>
      </c>
      <c r="J109" s="50">
        <v>-1.6369993511290224E-5</v>
      </c>
      <c r="K109" s="50">
        <v>-1.1552795057741748E-5</v>
      </c>
      <c r="L109" s="50">
        <v>1.827938576482381E-4</v>
      </c>
      <c r="M109" s="50">
        <v>9.2107897715530552E-6</v>
      </c>
      <c r="N109" s="50">
        <v>4.4049765811576098E-5</v>
      </c>
      <c r="O109" s="50">
        <v>-9.1015743877347614E-5</v>
      </c>
      <c r="P109" s="50">
        <v>5.5032146331488137E-6</v>
      </c>
      <c r="Q109" s="50">
        <v>5.5085461327106804E-5</v>
      </c>
      <c r="R109" s="50">
        <v>-4.7151432679571877E-4</v>
      </c>
      <c r="S109" s="50">
        <v>-7.9588800152745532E-5</v>
      </c>
      <c r="T109" s="50">
        <v>8.9597052449747832E-6</v>
      </c>
      <c r="U109" s="50">
        <v>-6.7102655693539038E-6</v>
      </c>
      <c r="V109" s="50">
        <v>-2.3251806196585162E-5</v>
      </c>
      <c r="W109" s="50">
        <v>-6.4827263463094705E-5</v>
      </c>
      <c r="X109" s="50">
        <v>-3.6134575492651421E-4</v>
      </c>
      <c r="Y109" s="50">
        <v>1.6125956829840047E-4</v>
      </c>
      <c r="Z109" s="50">
        <v>1.903554067135711E-4</v>
      </c>
      <c r="AA109" s="50">
        <v>2.3502909645696339E-6</v>
      </c>
    </row>
    <row r="110" spans="1:27" x14ac:dyDescent="0.2">
      <c r="A110" s="5"/>
      <c r="B110" s="50">
        <v>4.5280198911914031E-7</v>
      </c>
      <c r="C110" s="50">
        <v>4.1020283325900208E-6</v>
      </c>
      <c r="D110" s="50">
        <v>9.8561213848009146E-6</v>
      </c>
      <c r="E110" s="50">
        <v>6.2521052764302943E-6</v>
      </c>
      <c r="F110" s="50">
        <v>-1.197374788435503E-5</v>
      </c>
      <c r="G110" s="50">
        <v>-2.5611698436016419E-5</v>
      </c>
      <c r="H110" s="50">
        <v>-1.5232037971363225E-6</v>
      </c>
      <c r="I110" s="50">
        <v>-1.0510398730898214E-4</v>
      </c>
      <c r="J110" s="50">
        <v>2.1107933575002802E-5</v>
      </c>
      <c r="K110" s="50">
        <v>6.7133986284920165E-6</v>
      </c>
      <c r="L110" s="50">
        <v>9.2107897715531416E-6</v>
      </c>
      <c r="M110" s="50">
        <v>1.1296254966853486E-4</v>
      </c>
      <c r="N110" s="50">
        <v>4.9562348609268386E-7</v>
      </c>
      <c r="O110" s="50">
        <v>-6.7790905996548319E-5</v>
      </c>
      <c r="P110" s="50">
        <v>1.7388892746874578E-5</v>
      </c>
      <c r="Q110" s="50">
        <v>8.0679713314836812E-7</v>
      </c>
      <c r="R110" s="50">
        <v>-2.6353168785157309E-5</v>
      </c>
      <c r="S110" s="50">
        <v>-2.1309999272176597E-4</v>
      </c>
      <c r="T110" s="50">
        <v>1.0575606511652645E-4</v>
      </c>
      <c r="U110" s="50">
        <v>3.0709233518408651E-4</v>
      </c>
      <c r="V110" s="50">
        <v>-1.9583848720033719E-4</v>
      </c>
      <c r="W110" s="50">
        <v>1.8285720613271005E-5</v>
      </c>
      <c r="X110" s="50">
        <v>-2.0507340985460989E-4</v>
      </c>
      <c r="Y110" s="50">
        <v>3.7457116967165783E-4</v>
      </c>
      <c r="Z110" s="50">
        <v>-3.6187632973216379E-4</v>
      </c>
      <c r="AA110" s="50">
        <v>3.2383184633427055E-5</v>
      </c>
    </row>
    <row r="111" spans="1:27" x14ac:dyDescent="0.2">
      <c r="A111" s="5"/>
      <c r="B111" s="50">
        <v>6.8034911614418877E-7</v>
      </c>
      <c r="C111" s="50">
        <v>-2.6396299826941946E-5</v>
      </c>
      <c r="D111" s="50">
        <v>1.0560335392580164E-5</v>
      </c>
      <c r="E111" s="50">
        <v>5.0067533944774684E-6</v>
      </c>
      <c r="F111" s="50">
        <v>-1.8495827630698422E-6</v>
      </c>
      <c r="G111" s="50">
        <v>-7.4690964190494703E-5</v>
      </c>
      <c r="H111" s="50">
        <v>-8.5277751265541896E-6</v>
      </c>
      <c r="I111" s="50">
        <v>-2.7147837093139003E-5</v>
      </c>
      <c r="J111" s="50">
        <v>-1.8969399019326319E-5</v>
      </c>
      <c r="K111" s="50">
        <v>1.1474430226037466E-5</v>
      </c>
      <c r="L111" s="50">
        <v>4.4049765811576491E-5</v>
      </c>
      <c r="M111" s="50">
        <v>4.9562348609255014E-7</v>
      </c>
      <c r="N111" s="50">
        <v>4.3457013760744682E-4</v>
      </c>
      <c r="O111" s="50">
        <v>-1.3873202994300139E-4</v>
      </c>
      <c r="P111" s="50">
        <v>-4.0778036612205761E-5</v>
      </c>
      <c r="Q111" s="50">
        <v>2.8960480423246358E-5</v>
      </c>
      <c r="R111" s="50">
        <v>-2.5618480863620694E-4</v>
      </c>
      <c r="S111" s="50">
        <v>1.0208090015004653E-4</v>
      </c>
      <c r="T111" s="50">
        <v>-1.4792717942803364E-4</v>
      </c>
      <c r="U111" s="50">
        <v>1.265567831595608E-4</v>
      </c>
      <c r="V111" s="50">
        <v>2.4160306021917314E-4</v>
      </c>
      <c r="W111" s="50">
        <v>-1.9673463481762694E-5</v>
      </c>
      <c r="X111" s="50">
        <v>2.5608803443707691E-4</v>
      </c>
      <c r="Y111" s="50">
        <v>7.7591941991620198E-4</v>
      </c>
      <c r="Z111" s="50">
        <v>1.5457472910823872E-4</v>
      </c>
      <c r="AA111" s="50">
        <v>-1.599422520868284E-4</v>
      </c>
    </row>
    <row r="112" spans="1:27" x14ac:dyDescent="0.2">
      <c r="A112" s="5"/>
      <c r="B112" s="50">
        <v>1.2817477159892556E-6</v>
      </c>
      <c r="C112" s="50">
        <v>-5.0387428538949056E-6</v>
      </c>
      <c r="D112" s="50">
        <v>-9.0792662599065524E-6</v>
      </c>
      <c r="E112" s="50">
        <v>-6.1068844222787132E-6</v>
      </c>
      <c r="F112" s="50">
        <v>-2.931672033041512E-5</v>
      </c>
      <c r="G112" s="50">
        <v>2.9475440748099745E-5</v>
      </c>
      <c r="H112" s="50">
        <v>1.034044341356216E-5</v>
      </c>
      <c r="I112" s="50">
        <v>-1.5511672612220659E-4</v>
      </c>
      <c r="J112" s="50">
        <v>1.417415272228063E-5</v>
      </c>
      <c r="K112" s="50">
        <v>-3.586242594381384E-5</v>
      </c>
      <c r="L112" s="50">
        <v>-9.1015743877347885E-5</v>
      </c>
      <c r="M112" s="50">
        <v>-6.7790905996548156E-5</v>
      </c>
      <c r="N112" s="50">
        <v>-1.3873202994300118E-4</v>
      </c>
      <c r="O112" s="50">
        <v>9.9455210184379284E-4</v>
      </c>
      <c r="P112" s="50">
        <v>4.0459825952000797E-5</v>
      </c>
      <c r="Q112" s="50">
        <v>5.3555018636864694E-5</v>
      </c>
      <c r="R112" s="50">
        <v>-7.4560311826663039E-4</v>
      </c>
      <c r="S112" s="50">
        <v>3.1472693329450839E-4</v>
      </c>
      <c r="T112" s="50">
        <v>-5.2272225883676841E-4</v>
      </c>
      <c r="U112" s="50">
        <v>-1.9877133370101209E-4</v>
      </c>
      <c r="V112" s="50">
        <v>-3.8834348997799918E-4</v>
      </c>
      <c r="W112" s="50">
        <v>1.2352233931079928E-4</v>
      </c>
      <c r="X112" s="50">
        <v>1.0580163364707646E-3</v>
      </c>
      <c r="Y112" s="50">
        <v>-5.4209042057952852E-4</v>
      </c>
      <c r="Z112" s="50">
        <v>-1.4129002121470462E-3</v>
      </c>
      <c r="AA112" s="50">
        <v>-5.7628408900481161E-5</v>
      </c>
    </row>
    <row r="113" spans="1:27" x14ac:dyDescent="0.2">
      <c r="A113" s="5"/>
      <c r="B113" s="50">
        <v>1.0579211683399663E-8</v>
      </c>
      <c r="C113" s="50">
        <v>1.0463026940255836E-5</v>
      </c>
      <c r="D113" s="50">
        <v>1.0266758952152069E-6</v>
      </c>
      <c r="E113" s="50">
        <v>-1.6111180480173175E-6</v>
      </c>
      <c r="F113" s="50">
        <v>-9.2648470701296643E-6</v>
      </c>
      <c r="G113" s="50">
        <v>1.0363149917727565E-5</v>
      </c>
      <c r="H113" s="50">
        <v>6.3948859046139794E-8</v>
      </c>
      <c r="I113" s="50">
        <v>-2.0288717916116213E-5</v>
      </c>
      <c r="J113" s="50">
        <v>1.6146973972903722E-7</v>
      </c>
      <c r="K113" s="50">
        <v>-6.9073273450267835E-6</v>
      </c>
      <c r="L113" s="50">
        <v>5.5032146331487747E-6</v>
      </c>
      <c r="M113" s="50">
        <v>1.7388892746874554E-5</v>
      </c>
      <c r="N113" s="50">
        <v>-4.0778036612205802E-5</v>
      </c>
      <c r="O113" s="50">
        <v>4.0459825952000899E-5</v>
      </c>
      <c r="P113" s="50">
        <v>1.4545041733904048E-4</v>
      </c>
      <c r="Q113" s="50">
        <v>-9.2429911316422707E-6</v>
      </c>
      <c r="R113" s="50">
        <v>-1.9369194385448026E-4</v>
      </c>
      <c r="S113" s="50">
        <v>-3.156952058456267E-5</v>
      </c>
      <c r="T113" s="50">
        <v>-1.3522660432544053E-4</v>
      </c>
      <c r="U113" s="50">
        <v>7.3239118624801532E-5</v>
      </c>
      <c r="V113" s="50">
        <v>-2.0447803832658915E-4</v>
      </c>
      <c r="W113" s="50">
        <v>9.7240268007845392E-5</v>
      </c>
      <c r="X113" s="50">
        <v>-2.9356593495595621E-4</v>
      </c>
      <c r="Y113" s="50">
        <v>-3.5520074646599488E-5</v>
      </c>
      <c r="Z113" s="50">
        <v>3.7398252603225803E-4</v>
      </c>
      <c r="AA113" s="50">
        <v>1.4700012389185177E-5</v>
      </c>
    </row>
    <row r="114" spans="1:27" x14ac:dyDescent="0.2">
      <c r="A114" s="5"/>
      <c r="B114" s="50">
        <v>-4.9670822973015419E-7</v>
      </c>
      <c r="C114" s="50">
        <v>-7.2243967055131351E-6</v>
      </c>
      <c r="D114" s="50">
        <v>3.8011869090176615E-6</v>
      </c>
      <c r="E114" s="50">
        <v>-8.6537084384503492E-7</v>
      </c>
      <c r="F114" s="50">
        <v>-1.1476794528825952E-5</v>
      </c>
      <c r="G114" s="50">
        <v>6.2556390522101545E-6</v>
      </c>
      <c r="H114" s="50">
        <v>-8.6960302622367297E-6</v>
      </c>
      <c r="I114" s="50">
        <v>-2.9226568432299051E-5</v>
      </c>
      <c r="J114" s="50">
        <v>-7.3348624975916378E-6</v>
      </c>
      <c r="K114" s="50">
        <v>6.3076136560575253E-6</v>
      </c>
      <c r="L114" s="50">
        <v>5.5085461327106797E-5</v>
      </c>
      <c r="M114" s="50">
        <v>8.0679713314835086E-7</v>
      </c>
      <c r="N114" s="50">
        <v>2.8960480423246396E-5</v>
      </c>
      <c r="O114" s="50">
        <v>5.3555018636864904E-5</v>
      </c>
      <c r="P114" s="50">
        <v>-9.2429911316422538E-6</v>
      </c>
      <c r="Q114" s="50">
        <v>2.7422480535391956E-4</v>
      </c>
      <c r="R114" s="50">
        <v>-6.3235668090081461E-4</v>
      </c>
      <c r="S114" s="50">
        <v>-1.9571313785490239E-5</v>
      </c>
      <c r="T114" s="50">
        <v>-8.346741131575929E-5</v>
      </c>
      <c r="U114" s="50">
        <v>2.3514871926601987E-5</v>
      </c>
      <c r="V114" s="50">
        <v>1.3054306699172017E-4</v>
      </c>
      <c r="W114" s="50">
        <v>7.0732506119448204E-5</v>
      </c>
      <c r="X114" s="50">
        <v>-4.0793923461538494E-5</v>
      </c>
      <c r="Y114" s="50">
        <v>8.3887892441319377E-6</v>
      </c>
      <c r="Z114" s="50">
        <v>-3.8286632358155412E-4</v>
      </c>
      <c r="AA114" s="50">
        <v>3.8423848763866273E-5</v>
      </c>
    </row>
    <row r="115" spans="1:27" x14ac:dyDescent="0.2">
      <c r="A115" s="5"/>
      <c r="B115" s="50">
        <v>3.2525341382096768E-6</v>
      </c>
      <c r="C115" s="50">
        <v>8.689212395520986E-5</v>
      </c>
      <c r="D115" s="50">
        <v>-5.3918555551900884E-5</v>
      </c>
      <c r="E115" s="50">
        <v>4.7181619328311496E-5</v>
      </c>
      <c r="F115" s="50">
        <v>1.3803004838062354E-4</v>
      </c>
      <c r="G115" s="50">
        <v>-7.1655286608242013E-5</v>
      </c>
      <c r="H115" s="50">
        <v>5.4203744069466091E-5</v>
      </c>
      <c r="I115" s="50">
        <v>6.4829826158795177E-4</v>
      </c>
      <c r="J115" s="50">
        <v>1.2587931256052547E-4</v>
      </c>
      <c r="K115" s="50">
        <v>-1.5789781971895222E-4</v>
      </c>
      <c r="L115" s="50">
        <v>-4.7151432679571812E-4</v>
      </c>
      <c r="M115" s="50">
        <v>-2.6353168785158288E-5</v>
      </c>
      <c r="N115" s="50">
        <v>-2.5618480863620765E-4</v>
      </c>
      <c r="O115" s="50">
        <v>-7.4560311826663093E-4</v>
      </c>
      <c r="P115" s="50">
        <v>-1.9369194385447996E-4</v>
      </c>
      <c r="Q115" s="50">
        <v>-6.3235668090081364E-4</v>
      </c>
      <c r="R115" s="50">
        <v>8.2948637690422808E-3</v>
      </c>
      <c r="S115" s="50">
        <v>-2.421300075014825E-4</v>
      </c>
      <c r="T115" s="50">
        <v>1.1903387706899515E-3</v>
      </c>
      <c r="U115" s="50">
        <v>-3.1943365814057507E-3</v>
      </c>
      <c r="V115" s="50">
        <v>-1.9920756377407096E-4</v>
      </c>
      <c r="W115" s="50">
        <v>-9.3450453541976371E-4</v>
      </c>
      <c r="X115" s="50">
        <v>-9.1608267645774258E-5</v>
      </c>
      <c r="Y115" s="50">
        <v>-2.5712346134876898E-3</v>
      </c>
      <c r="Z115" s="50">
        <v>3.7817505626809545E-4</v>
      </c>
      <c r="AA115" s="50">
        <v>5.2815718426408555E-5</v>
      </c>
    </row>
    <row r="116" spans="1:27" x14ac:dyDescent="0.2">
      <c r="A116" s="5"/>
      <c r="B116" s="50">
        <v>-1.0996846875300642E-8</v>
      </c>
      <c r="C116" s="50">
        <v>-9.6278141214899436E-6</v>
      </c>
      <c r="D116" s="50">
        <v>-1.0081877514035245E-5</v>
      </c>
      <c r="E116" s="50">
        <v>-1.0641432080265959E-5</v>
      </c>
      <c r="F116" s="50">
        <v>1.2160569494315575E-5</v>
      </c>
      <c r="G116" s="50">
        <v>2.0381029274524408E-5</v>
      </c>
      <c r="H116" s="50">
        <v>-4.380750905955923E-6</v>
      </c>
      <c r="I116" s="50">
        <v>1.4992596481392456E-5</v>
      </c>
      <c r="J116" s="50">
        <v>-5.4109386019785574E-5</v>
      </c>
      <c r="K116" s="50">
        <v>-1.2180339676779473E-5</v>
      </c>
      <c r="L116" s="50">
        <v>-7.9588800152745654E-5</v>
      </c>
      <c r="M116" s="50">
        <v>-2.1309999272176616E-4</v>
      </c>
      <c r="N116" s="50">
        <v>1.02080900150046E-4</v>
      </c>
      <c r="O116" s="50">
        <v>3.1472693329450942E-4</v>
      </c>
      <c r="P116" s="50">
        <v>-3.1569520584562534E-5</v>
      </c>
      <c r="Q116" s="50">
        <v>-1.9571313785490222E-5</v>
      </c>
      <c r="R116" s="50">
        <v>-2.4213000750148634E-4</v>
      </c>
      <c r="S116" s="50">
        <v>1.0244433471378938E-3</v>
      </c>
      <c r="T116" s="50">
        <v>-5.9752234276978214E-4</v>
      </c>
      <c r="U116" s="50">
        <v>-9.0395241244570494E-4</v>
      </c>
      <c r="V116" s="50">
        <v>5.9604733133898408E-4</v>
      </c>
      <c r="W116" s="50">
        <v>-1.5441061496294565E-5</v>
      </c>
      <c r="X116" s="50">
        <v>1.2308670809297001E-3</v>
      </c>
      <c r="Y116" s="50">
        <v>-7.738303976989779E-4</v>
      </c>
      <c r="Z116" s="50">
        <v>-1.9020890363871258E-4</v>
      </c>
      <c r="AA116" s="50">
        <v>-2.2563184390049249E-4</v>
      </c>
    </row>
    <row r="117" spans="1:27" x14ac:dyDescent="0.2">
      <c r="A117" s="5"/>
      <c r="B117" s="50">
        <v>-6.0458108108354379E-7</v>
      </c>
      <c r="C117" s="50">
        <v>3.8038435215794451E-5</v>
      </c>
      <c r="D117" s="50">
        <v>-7.8230485287415912E-5</v>
      </c>
      <c r="E117" s="50">
        <v>-1.6444838266478601E-5</v>
      </c>
      <c r="F117" s="50">
        <v>7.2044759372467065E-5</v>
      </c>
      <c r="G117" s="50">
        <v>-4.9347438868513159E-5</v>
      </c>
      <c r="H117" s="50">
        <v>2.427505568506278E-5</v>
      </c>
      <c r="I117" s="50">
        <v>3.6706126181140005E-4</v>
      </c>
      <c r="J117" s="50">
        <v>3.0946309146612957E-5</v>
      </c>
      <c r="K117" s="50">
        <v>-6.2613373810286725E-6</v>
      </c>
      <c r="L117" s="50">
        <v>8.959705244974895E-6</v>
      </c>
      <c r="M117" s="50">
        <v>1.0575606511652667E-4</v>
      </c>
      <c r="N117" s="50">
        <v>-1.4792717942803654E-4</v>
      </c>
      <c r="O117" s="50">
        <v>-5.2272225883677242E-4</v>
      </c>
      <c r="P117" s="50">
        <v>-1.3522660432544029E-4</v>
      </c>
      <c r="Q117" s="50">
        <v>-8.3467411315759764E-5</v>
      </c>
      <c r="R117" s="50">
        <v>1.1903387706899645E-3</v>
      </c>
      <c r="S117" s="50">
        <v>-5.9752234276978376E-4</v>
      </c>
      <c r="T117" s="50">
        <v>4.4178940148019855E-3</v>
      </c>
      <c r="U117" s="50">
        <v>-4.3897866888056993E-4</v>
      </c>
      <c r="V117" s="50">
        <v>2.4170303011380654E-4</v>
      </c>
      <c r="W117" s="50">
        <v>-1.2863753346409787E-3</v>
      </c>
      <c r="X117" s="50">
        <v>-2.3716721266884731E-3</v>
      </c>
      <c r="Y117" s="50">
        <v>4.0565387956958977E-7</v>
      </c>
      <c r="Z117" s="50">
        <v>-2.2143420492013325E-3</v>
      </c>
      <c r="AA117" s="50">
        <v>6.4679178548395237E-4</v>
      </c>
    </row>
    <row r="118" spans="1:27" x14ac:dyDescent="0.2">
      <c r="A118" s="5"/>
      <c r="B118" s="50">
        <v>-6.286326142727058E-7</v>
      </c>
      <c r="C118" s="50">
        <v>-1.3656615792364526E-4</v>
      </c>
      <c r="D118" s="50">
        <v>8.263637892067034E-5</v>
      </c>
      <c r="E118" s="50">
        <v>1.0225694280386467E-4</v>
      </c>
      <c r="F118" s="50">
        <v>-1.9070309427547528E-4</v>
      </c>
      <c r="G118" s="50">
        <v>-9.805807113801074E-5</v>
      </c>
      <c r="H118" s="50">
        <v>1.3504083858693831E-5</v>
      </c>
      <c r="I118" s="50">
        <v>-6.699776749701749E-4</v>
      </c>
      <c r="J118" s="50">
        <v>4.779087179774197E-5</v>
      </c>
      <c r="K118" s="50">
        <v>2.4940838785941598E-4</v>
      </c>
      <c r="L118" s="50">
        <v>-6.7102655693537674E-6</v>
      </c>
      <c r="M118" s="50">
        <v>3.070923351840871E-4</v>
      </c>
      <c r="N118" s="50">
        <v>1.2655678315956208E-4</v>
      </c>
      <c r="O118" s="50">
        <v>-1.9877133370100952E-4</v>
      </c>
      <c r="P118" s="50">
        <v>7.3239118624801477E-5</v>
      </c>
      <c r="Q118" s="50">
        <v>2.3514871926601811E-5</v>
      </c>
      <c r="R118" s="50">
        <v>-3.1943365814057446E-3</v>
      </c>
      <c r="S118" s="50">
        <v>-9.0395241244570516E-4</v>
      </c>
      <c r="T118" s="50">
        <v>-4.389786688805663E-4</v>
      </c>
      <c r="U118" s="50">
        <v>8.8587325559468834E-3</v>
      </c>
      <c r="V118" s="50">
        <v>-2.644779243415303E-3</v>
      </c>
      <c r="W118" s="50">
        <v>-8.6751286865843367E-4</v>
      </c>
      <c r="X118" s="50">
        <v>-5.6840649368380741E-4</v>
      </c>
      <c r="Y118" s="50">
        <v>5.3302704346801979E-3</v>
      </c>
      <c r="Z118" s="50">
        <v>-6.2629584923016984E-3</v>
      </c>
      <c r="AA118" s="50">
        <v>4.7220406963166637E-4</v>
      </c>
    </row>
    <row r="119" spans="1:27" x14ac:dyDescent="0.2">
      <c r="A119" s="5"/>
      <c r="B119" s="50">
        <v>-9.0952945614379364E-7</v>
      </c>
      <c r="C119" s="50">
        <v>-3.4660045228574023E-5</v>
      </c>
      <c r="D119" s="50">
        <v>-1.711201818503074E-5</v>
      </c>
      <c r="E119" s="50">
        <v>-1.0899768729534268E-4</v>
      </c>
      <c r="F119" s="50">
        <v>9.7119594994589422E-5</v>
      </c>
      <c r="G119" s="50">
        <v>1.3655226612609367E-4</v>
      </c>
      <c r="H119" s="50">
        <v>-1.0090960042712845E-5</v>
      </c>
      <c r="I119" s="50">
        <v>1.6971130196525024E-4</v>
      </c>
      <c r="J119" s="50">
        <v>-1.3572673482254864E-4</v>
      </c>
      <c r="K119" s="50">
        <v>-1.5771757431569169E-4</v>
      </c>
      <c r="L119" s="50">
        <v>-2.3251806196585281E-5</v>
      </c>
      <c r="M119" s="50">
        <v>-1.9583848720033646E-4</v>
      </c>
      <c r="N119" s="50">
        <v>2.4160306021917498E-4</v>
      </c>
      <c r="O119" s="50">
        <v>-3.8834348997800308E-4</v>
      </c>
      <c r="P119" s="50">
        <v>-2.0447803832658964E-4</v>
      </c>
      <c r="Q119" s="50">
        <v>1.3054306699171998E-4</v>
      </c>
      <c r="R119" s="50">
        <v>-1.9920756377407418E-4</v>
      </c>
      <c r="S119" s="50">
        <v>5.9604733133898245E-4</v>
      </c>
      <c r="T119" s="50">
        <v>2.41703030113809E-4</v>
      </c>
      <c r="U119" s="50">
        <v>-2.6447792434152939E-3</v>
      </c>
      <c r="V119" s="50">
        <v>6.5272758304037917E-3</v>
      </c>
      <c r="W119" s="50">
        <v>9.1049803555464824E-4</v>
      </c>
      <c r="X119" s="50">
        <v>1.5270124487381433E-3</v>
      </c>
      <c r="Y119" s="50">
        <v>-3.0372121371423544E-3</v>
      </c>
      <c r="Z119" s="50">
        <v>4.1189731020443857E-3</v>
      </c>
      <c r="AA119" s="50">
        <v>-2.2610611389762883E-4</v>
      </c>
    </row>
    <row r="120" spans="1:27" x14ac:dyDescent="0.2">
      <c r="A120" s="5"/>
      <c r="B120" s="50">
        <v>2.737350361889358E-6</v>
      </c>
      <c r="C120" s="50">
        <v>8.8156756079482867E-6</v>
      </c>
      <c r="D120" s="50">
        <v>2.7010033038282258E-5</v>
      </c>
      <c r="E120" s="50">
        <v>-4.6710012693406146E-5</v>
      </c>
      <c r="F120" s="50">
        <v>1.7796892447110357E-5</v>
      </c>
      <c r="G120" s="50">
        <v>9.1938001013586933E-5</v>
      </c>
      <c r="H120" s="50">
        <v>-2.3697297552833471E-5</v>
      </c>
      <c r="I120" s="50">
        <v>-2.3471894475449694E-4</v>
      </c>
      <c r="J120" s="50">
        <v>5.0054053312782236E-6</v>
      </c>
      <c r="K120" s="50">
        <v>-2.8654987354589527E-4</v>
      </c>
      <c r="L120" s="50">
        <v>-6.4827263463094854E-5</v>
      </c>
      <c r="M120" s="50">
        <v>1.8285720613271418E-5</v>
      </c>
      <c r="N120" s="50">
        <v>-1.9673463481761267E-5</v>
      </c>
      <c r="O120" s="50">
        <v>1.2352233931079792E-4</v>
      </c>
      <c r="P120" s="50">
        <v>9.7240268007844945E-5</v>
      </c>
      <c r="Q120" s="50">
        <v>7.0732506119448082E-5</v>
      </c>
      <c r="R120" s="50">
        <v>-9.3450453541976718E-4</v>
      </c>
      <c r="S120" s="50">
        <v>-1.5441061496295811E-5</v>
      </c>
      <c r="T120" s="50">
        <v>-1.286375334640974E-3</v>
      </c>
      <c r="U120" s="50">
        <v>-8.6751286865843064E-4</v>
      </c>
      <c r="V120" s="50">
        <v>9.1049803555465138E-4</v>
      </c>
      <c r="W120" s="50">
        <v>4.8423548417560148E-3</v>
      </c>
      <c r="X120" s="50">
        <v>-3.7620779259045056E-4</v>
      </c>
      <c r="Y120" s="50">
        <v>-5.6382183657851409E-5</v>
      </c>
      <c r="Z120" s="50">
        <v>2.9187697102207705E-3</v>
      </c>
      <c r="AA120" s="50">
        <v>-6.1542072611100139E-4</v>
      </c>
    </row>
    <row r="121" spans="1:27" x14ac:dyDescent="0.2">
      <c r="A121" s="5"/>
      <c r="B121" s="50">
        <v>-1.0958650451586111E-6</v>
      </c>
      <c r="C121" s="50">
        <v>-1.3774196559469058E-4</v>
      </c>
      <c r="D121" s="50">
        <v>2.4183160121780783E-5</v>
      </c>
      <c r="E121" s="50">
        <v>-5.5972081074367745E-5</v>
      </c>
      <c r="F121" s="50">
        <v>-4.5097569792652174E-5</v>
      </c>
      <c r="G121" s="50">
        <v>-5.9257857875462806E-7</v>
      </c>
      <c r="H121" s="50">
        <v>5.121541519274716E-6</v>
      </c>
      <c r="I121" s="50">
        <v>-3.7257068187668074E-4</v>
      </c>
      <c r="J121" s="50">
        <v>-2.8428848033737826E-5</v>
      </c>
      <c r="K121" s="50">
        <v>1.8224786292986327E-4</v>
      </c>
      <c r="L121" s="50">
        <v>-3.6134575492651437E-4</v>
      </c>
      <c r="M121" s="50">
        <v>-2.0507340985460924E-4</v>
      </c>
      <c r="N121" s="50">
        <v>2.5608803443708227E-4</v>
      </c>
      <c r="O121" s="50">
        <v>1.058016336470765E-3</v>
      </c>
      <c r="P121" s="50">
        <v>-2.9356593495595665E-4</v>
      </c>
      <c r="Q121" s="50">
        <v>-4.079392346153865E-5</v>
      </c>
      <c r="R121" s="50">
        <v>-9.1608267645775207E-5</v>
      </c>
      <c r="S121" s="50">
        <v>1.2308670809297009E-3</v>
      </c>
      <c r="T121" s="50">
        <v>-2.3716721266884662E-3</v>
      </c>
      <c r="U121" s="50">
        <v>-5.6840649368380524E-4</v>
      </c>
      <c r="V121" s="50">
        <v>1.5270124487381427E-3</v>
      </c>
      <c r="W121" s="50">
        <v>-3.7620779259045473E-4</v>
      </c>
      <c r="X121" s="50">
        <v>1.1462290953504931E-2</v>
      </c>
      <c r="Y121" s="50">
        <v>-2.4276746478759945E-3</v>
      </c>
      <c r="Z121" s="50">
        <v>-1.7860817709339678E-3</v>
      </c>
      <c r="AA121" s="50">
        <v>-7.9574013965099831E-4</v>
      </c>
    </row>
    <row r="122" spans="1:27" x14ac:dyDescent="0.2">
      <c r="A122" s="5"/>
      <c r="B122" s="50">
        <v>2.3186951033979929E-6</v>
      </c>
      <c r="C122" s="50">
        <v>-1.9344678190732914E-4</v>
      </c>
      <c r="D122" s="50">
        <v>1.9988843284996522E-4</v>
      </c>
      <c r="E122" s="50">
        <v>1.1538919334461734E-4</v>
      </c>
      <c r="F122" s="50">
        <v>-1.6095998672141347E-4</v>
      </c>
      <c r="G122" s="50">
        <v>-4.0992672669450385E-4</v>
      </c>
      <c r="H122" s="50">
        <v>-7.5116682686148488E-5</v>
      </c>
      <c r="I122" s="50">
        <v>-6.4372322147980218E-4</v>
      </c>
      <c r="J122" s="50">
        <v>4.8819280651091798E-5</v>
      </c>
      <c r="K122" s="50">
        <v>2.1961697366823291E-4</v>
      </c>
      <c r="L122" s="50">
        <v>1.6125956829840161E-4</v>
      </c>
      <c r="M122" s="50">
        <v>3.7457116967165815E-4</v>
      </c>
      <c r="N122" s="50">
        <v>7.7591941991620318E-4</v>
      </c>
      <c r="O122" s="50">
        <v>-5.4209042057952515E-4</v>
      </c>
      <c r="P122" s="50">
        <v>-3.5520074646599237E-5</v>
      </c>
      <c r="Q122" s="50">
        <v>8.3887892441325018E-6</v>
      </c>
      <c r="R122" s="50">
        <v>-2.5712346134876885E-3</v>
      </c>
      <c r="S122" s="50">
        <v>-7.7383039769897497E-4</v>
      </c>
      <c r="T122" s="50">
        <v>4.0565387957236745E-7</v>
      </c>
      <c r="U122" s="50">
        <v>5.3302704346802005E-3</v>
      </c>
      <c r="V122" s="50">
        <v>-3.0372121371423704E-3</v>
      </c>
      <c r="W122" s="50">
        <v>-5.6382183657858984E-5</v>
      </c>
      <c r="X122" s="50">
        <v>-2.4276746478760001E-3</v>
      </c>
      <c r="Y122" s="50">
        <v>1.4103072313489076E-2</v>
      </c>
      <c r="Z122" s="50">
        <v>-8.7440900069694801E-3</v>
      </c>
      <c r="AA122" s="50">
        <v>1.3321667523127589E-4</v>
      </c>
    </row>
    <row r="123" spans="1:27" x14ac:dyDescent="0.2">
      <c r="A123" s="5"/>
      <c r="B123" s="50">
        <v>-5.2671419987747243E-6</v>
      </c>
      <c r="C123" s="50">
        <v>1.0307907394454583E-4</v>
      </c>
      <c r="D123" s="50">
        <v>-9.655207835478614E-5</v>
      </c>
      <c r="E123" s="50">
        <v>-2.1072042582806648E-4</v>
      </c>
      <c r="F123" s="50">
        <v>2.165269611825257E-4</v>
      </c>
      <c r="G123" s="50">
        <v>4.1234217316423859E-4</v>
      </c>
      <c r="H123" s="50">
        <v>-8.3326825923628583E-5</v>
      </c>
      <c r="I123" s="50">
        <v>1.1376233142090556E-3</v>
      </c>
      <c r="J123" s="50">
        <v>-5.5434772905555297E-5</v>
      </c>
      <c r="K123" s="50">
        <v>-2.9380997501323998E-4</v>
      </c>
      <c r="L123" s="50">
        <v>1.9035540671357009E-4</v>
      </c>
      <c r="M123" s="50">
        <v>-3.6187632973216254E-4</v>
      </c>
      <c r="N123" s="50">
        <v>1.545747291082433E-4</v>
      </c>
      <c r="O123" s="50">
        <v>-1.412900212147052E-3</v>
      </c>
      <c r="P123" s="50">
        <v>3.7398252603225679E-4</v>
      </c>
      <c r="Q123" s="50">
        <v>-3.8286632358155477E-4</v>
      </c>
      <c r="R123" s="50">
        <v>3.7817505626808656E-4</v>
      </c>
      <c r="S123" s="50">
        <v>-1.9020890363871592E-4</v>
      </c>
      <c r="T123" s="50">
        <v>-2.214342049201339E-3</v>
      </c>
      <c r="U123" s="50">
        <v>-6.2629584923016802E-3</v>
      </c>
      <c r="V123" s="50">
        <v>4.1189731020443892E-3</v>
      </c>
      <c r="W123" s="50">
        <v>2.9187697102207701E-3</v>
      </c>
      <c r="X123" s="50">
        <v>-1.7860817709339524E-3</v>
      </c>
      <c r="Y123" s="50">
        <v>-8.7440900069694367E-3</v>
      </c>
      <c r="Z123" s="50">
        <v>3.3831708573552131E-2</v>
      </c>
      <c r="AA123" s="50">
        <v>-2.1770090291726952E-3</v>
      </c>
    </row>
    <row r="124" spans="1:27" x14ac:dyDescent="0.2">
      <c r="A124" s="5"/>
      <c r="B124" s="50">
        <v>5.9391842619143471E-7</v>
      </c>
      <c r="C124" s="50">
        <v>-1.5030044263259588E-6</v>
      </c>
      <c r="D124" s="50">
        <v>-1.6510404695328972E-5</v>
      </c>
      <c r="E124" s="50">
        <v>1.4133923411565648E-5</v>
      </c>
      <c r="F124" s="50">
        <v>-9.9132429922162699E-6</v>
      </c>
      <c r="G124" s="50">
        <v>1.345600056682474E-6</v>
      </c>
      <c r="H124" s="50">
        <v>1.7917213859441039E-5</v>
      </c>
      <c r="I124" s="50">
        <v>8.3024008622524701E-5</v>
      </c>
      <c r="J124" s="50">
        <v>3.7109632982639619E-6</v>
      </c>
      <c r="K124" s="50">
        <v>6.8658081379063311E-5</v>
      </c>
      <c r="L124" s="50">
        <v>2.3502909645694971E-6</v>
      </c>
      <c r="M124" s="50">
        <v>3.238318463342694E-5</v>
      </c>
      <c r="N124" s="50">
        <v>-1.5994225208682932E-4</v>
      </c>
      <c r="O124" s="50">
        <v>-5.7628408900480361E-5</v>
      </c>
      <c r="P124" s="50">
        <v>1.4700012389185208E-5</v>
      </c>
      <c r="Q124" s="50">
        <v>3.8423848763866375E-5</v>
      </c>
      <c r="R124" s="50">
        <v>5.2815718426409964E-5</v>
      </c>
      <c r="S124" s="50">
        <v>-2.2563184390049244E-4</v>
      </c>
      <c r="T124" s="50">
        <v>6.4679178548395085E-4</v>
      </c>
      <c r="U124" s="50">
        <v>4.7220406963166669E-4</v>
      </c>
      <c r="V124" s="50">
        <v>-2.2610611389762943E-4</v>
      </c>
      <c r="W124" s="50">
        <v>-6.1542072611100106E-4</v>
      </c>
      <c r="X124" s="50">
        <v>-7.9574013965099733E-4</v>
      </c>
      <c r="Y124" s="50">
        <v>1.3321667523127445E-4</v>
      </c>
      <c r="Z124" s="50">
        <v>-2.1770090291726983E-3</v>
      </c>
      <c r="AA124" s="50">
        <v>1.7122081183835337E-3</v>
      </c>
    </row>
    <row r="125" spans="1:27" x14ac:dyDescent="0.2">
      <c r="A125" s="5"/>
    </row>
    <row r="126" spans="1:27" x14ac:dyDescent="0.2">
      <c r="A126" s="45" t="s">
        <v>1327</v>
      </c>
      <c r="B126" s="49">
        <f t="array" ref="B126:AA126">MMULT(B70:AA70,B99:AA124)</f>
        <v>3.3700671218048305E-5</v>
      </c>
      <c r="C126" s="49">
        <v>4.0780525843773721E-4</v>
      </c>
      <c r="D126" s="49">
        <v>1.3209705195836162E-4</v>
      </c>
      <c r="E126" s="49">
        <v>1.2702076714799903E-3</v>
      </c>
      <c r="F126" s="49">
        <v>-4.265763910087098E-4</v>
      </c>
      <c r="G126" s="49">
        <v>-2.471310980513299E-3</v>
      </c>
      <c r="H126" s="49">
        <v>5.747297540644185E-4</v>
      </c>
      <c r="I126" s="49">
        <v>6.5654692554074369E-4</v>
      </c>
      <c r="J126" s="49">
        <v>6.4340978112460766E-4</v>
      </c>
      <c r="K126" s="49">
        <v>5.9282372118299844E-5</v>
      </c>
      <c r="L126" s="49">
        <v>-9.2409650164945365E-4</v>
      </c>
      <c r="M126" s="49">
        <v>3.1272989565959133E-3</v>
      </c>
      <c r="N126" s="49">
        <v>-5.117436286539421E-4</v>
      </c>
      <c r="O126" s="49">
        <v>-5.1437023060600367E-3</v>
      </c>
      <c r="P126" s="49">
        <v>4.4102497378179488E-4</v>
      </c>
      <c r="Q126" s="49">
        <v>-5.8997514335422407E-4</v>
      </c>
      <c r="R126" s="49">
        <v>2.2160102158181566E-2</v>
      </c>
      <c r="S126" s="49">
        <v>-5.129529695453874E-3</v>
      </c>
      <c r="T126" s="49">
        <v>2.213112606705428E-2</v>
      </c>
      <c r="U126" s="49">
        <v>2.2157986766900763E-2</v>
      </c>
      <c r="V126" s="49">
        <v>-2.6885358900864565E-2</v>
      </c>
      <c r="W126" s="49">
        <v>-1.4150195371808654E-2</v>
      </c>
      <c r="X126" s="49">
        <v>-3.3465489390149913E-2</v>
      </c>
      <c r="Y126" s="49">
        <v>4.525768678795597E-2</v>
      </c>
      <c r="Z126" s="49">
        <v>-8.1321005177735453E-2</v>
      </c>
      <c r="AA126" s="49">
        <v>2.1206994557806447E-2</v>
      </c>
    </row>
    <row r="127" spans="1:27" x14ac:dyDescent="0.2">
      <c r="A127" s="5"/>
    </row>
    <row r="128" spans="1:27" x14ac:dyDescent="0.2">
      <c r="A128" s="45" t="s">
        <v>345</v>
      </c>
      <c r="B128" s="5">
        <f t="array" ref="B128">Notes!C7^2-MMULT('Data_Matrix (2015)'!B126:AA126,TRANSPOSE('Data_Matrix (2015)'!B70:AA70))</f>
        <v>-9.895007118057908E-3</v>
      </c>
    </row>
  </sheetData>
  <mergeCells count="2">
    <mergeCell ref="A72:A73"/>
    <mergeCell ref="A99:A100"/>
  </mergeCells>
  <conditionalFormatting sqref="A1:AA1">
    <cfRule type="colorScale" priority="9">
      <colorScale>
        <cfvo type="min"/>
        <cfvo type="max"/>
        <color rgb="FFFFEF9C"/>
        <color rgb="FF63BE7B"/>
      </colorScale>
    </cfRule>
    <cfRule type="cellIs" dxfId="5" priority="10" operator="equal">
      <formula>#DIV/0!</formula>
    </cfRule>
  </conditionalFormatting>
  <conditionalFormatting sqref="A2:A66">
    <cfRule type="colorScale" priority="52">
      <colorScale>
        <cfvo type="min"/>
        <cfvo type="max"/>
        <color rgb="FFFFEF9C"/>
        <color rgb="FF63BE7B"/>
      </colorScale>
    </cfRule>
    <cfRule type="cellIs" dxfId="4" priority="53" operator="equal">
      <formula>#DIV/0!</formula>
    </cfRule>
  </conditionalFormatting>
  <conditionalFormatting sqref="B2:AA66">
    <cfRule type="colorScale" priority="54">
      <colorScale>
        <cfvo type="min"/>
        <cfvo type="percentile" val="50"/>
        <cfvo type="max"/>
        <color rgb="FFF8696B"/>
        <color rgb="FFFFEB84"/>
        <color rgb="FF63BE7B"/>
      </colorScale>
    </cfRule>
  </conditionalFormatting>
  <conditionalFormatting sqref="B68:AA68">
    <cfRule type="colorScale" priority="5">
      <colorScale>
        <cfvo type="min"/>
        <cfvo type="percentile" val="50"/>
        <cfvo type="max"/>
        <color rgb="FFF8696B"/>
        <color rgb="FFFFEB84"/>
        <color rgb="FF63BE7B"/>
      </colorScale>
    </cfRule>
  </conditionalFormatting>
  <conditionalFormatting sqref="B70:AA70">
    <cfRule type="colorScale" priority="4">
      <colorScale>
        <cfvo type="min"/>
        <cfvo type="percentile" val="50"/>
        <cfvo type="max"/>
        <color rgb="FFF8696B"/>
        <color rgb="FFFFEB84"/>
        <color rgb="FF63BE7B"/>
      </colorScale>
    </cfRule>
  </conditionalFormatting>
  <conditionalFormatting sqref="B72:AA97">
    <cfRule type="colorScale" priority="3">
      <colorScale>
        <cfvo type="min"/>
        <cfvo type="percentile" val="50"/>
        <cfvo type="max"/>
        <color rgb="FFF8696B"/>
        <color rgb="FFFFEB84"/>
        <color rgb="FF63BE7B"/>
      </colorScale>
    </cfRule>
  </conditionalFormatting>
  <conditionalFormatting sqref="B99:AA124">
    <cfRule type="colorScale" priority="2">
      <colorScale>
        <cfvo type="min"/>
        <cfvo type="percentile" val="50"/>
        <cfvo type="max"/>
        <color rgb="FFF8696B"/>
        <color rgb="FFFFEB84"/>
        <color rgb="FF63BE7B"/>
      </colorScale>
    </cfRule>
  </conditionalFormatting>
  <conditionalFormatting sqref="B126:AA126">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A68"/>
  <sheetViews>
    <sheetView zoomScale="70" zoomScaleNormal="70"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9.1640625" defaultRowHeight="15" x14ac:dyDescent="0.2"/>
  <cols>
    <col min="1" max="1" width="21.5" style="1" customWidth="1"/>
    <col min="2" max="2" width="14.5" style="1" bestFit="1" customWidth="1"/>
    <col min="3" max="7" width="13.1640625" style="1" bestFit="1" customWidth="1"/>
    <col min="8" max="8" width="13.1640625" style="1" customWidth="1"/>
    <col min="9" max="9" width="10.5" style="1" bestFit="1" customWidth="1"/>
    <col min="10" max="10" width="12.1640625" style="1" bestFit="1" customWidth="1"/>
    <col min="11" max="11" width="13.1640625" style="1" bestFit="1" customWidth="1"/>
    <col min="12" max="17" width="12.1640625" style="1" bestFit="1" customWidth="1"/>
    <col min="18" max="18" width="10.5" style="1" bestFit="1" customWidth="1"/>
    <col min="19" max="19" width="12.5" style="1" bestFit="1" customWidth="1"/>
    <col min="20" max="20" width="12.1640625" style="1" bestFit="1" customWidth="1"/>
    <col min="21" max="21" width="10.5" style="1" bestFit="1" customWidth="1"/>
    <col min="22" max="22" width="12.5" style="1" bestFit="1" customWidth="1"/>
    <col min="23" max="27" width="10.5" style="1" bestFit="1" customWidth="1"/>
    <col min="28" max="16384" width="9.1640625" style="1"/>
  </cols>
  <sheetData>
    <row r="1" spans="1:27" ht="100" x14ac:dyDescent="0.2">
      <c r="A1" s="41" t="s">
        <v>0</v>
      </c>
      <c r="B1" s="3" t="s">
        <v>254</v>
      </c>
      <c r="C1" s="3" t="s">
        <v>255</v>
      </c>
      <c r="D1" s="3" t="s">
        <v>256</v>
      </c>
      <c r="E1" s="3" t="s">
        <v>257</v>
      </c>
      <c r="F1" s="3" t="s">
        <v>258</v>
      </c>
      <c r="G1" s="3" t="s">
        <v>259</v>
      </c>
      <c r="H1" s="3" t="s">
        <v>260</v>
      </c>
      <c r="I1" s="3" t="s">
        <v>261</v>
      </c>
      <c r="J1" s="3" t="s">
        <v>262</v>
      </c>
      <c r="K1" s="3" t="s">
        <v>263</v>
      </c>
      <c r="L1" s="3" t="s">
        <v>264</v>
      </c>
      <c r="M1" s="3" t="s">
        <v>265</v>
      </c>
      <c r="N1" s="3" t="s">
        <v>266</v>
      </c>
      <c r="O1" s="3" t="s">
        <v>267</v>
      </c>
      <c r="P1" s="3" t="s">
        <v>268</v>
      </c>
      <c r="Q1" s="3" t="s">
        <v>269</v>
      </c>
      <c r="R1" s="3" t="s">
        <v>270</v>
      </c>
      <c r="S1" s="3" t="s">
        <v>271</v>
      </c>
      <c r="T1" s="3" t="s">
        <v>272</v>
      </c>
      <c r="U1" s="3" t="s">
        <v>273</v>
      </c>
      <c r="V1" s="3" t="s">
        <v>274</v>
      </c>
      <c r="W1" s="3" t="s">
        <v>275</v>
      </c>
      <c r="X1" s="3" t="s">
        <v>276</v>
      </c>
      <c r="Y1" s="3" t="s">
        <v>277</v>
      </c>
      <c r="Z1" s="3" t="s">
        <v>278</v>
      </c>
      <c r="AA1" s="3" t="s">
        <v>279</v>
      </c>
    </row>
    <row r="2" spans="1:27" x14ac:dyDescent="0.2">
      <c r="A2" s="1" t="s">
        <v>4</v>
      </c>
      <c r="B2" s="1">
        <f>Notes!$C$6*VLOOKUP(A2,[277]geoMap!$A:$B,2,0)</f>
        <v>50000</v>
      </c>
      <c r="C2" s="1">
        <f>B2/VLOOKUP(A2,'[278]geoMap (1)'!$A:$B,2,0)*VLOOKUP(A2,'[278]geoMap (1)'!$A:$C,3,0)</f>
        <v>24626.865671641794</v>
      </c>
      <c r="D2" s="1">
        <f>C2/VLOOKUP(A2,'[279]geoMap (2)'!$A:$B,2,0)*VLOOKUP(A2,'[279]geoMap (2)'!$A:$C,3,0)</f>
        <v>32644.914960083304</v>
      </c>
      <c r="E2" s="1">
        <f>D2/VLOOKUP(A2,'[280]geoMap (3)'!$A:$B,2,0)*VLOOKUP(A2,'[280]geoMap (3)'!$A:$C,3,0)</f>
        <v>16078.83871168282</v>
      </c>
      <c r="F2" s="1">
        <f>E2/VLOOKUP(A2,'[281]geoMap (4)'!$A:$B,2,0)*VLOOKUP(A2,'[281]geoMap (4)'!$A:$C,3,0)</f>
        <v>18875.158487627657</v>
      </c>
      <c r="G2" s="1">
        <f>F2/VLOOKUP(A2,'[282]geoMap (5)'!$A:$B,2,0)*VLOOKUP(A2,'[282]geoMap (5)'!$A:$C,3,0)</f>
        <v>18134.9561939952</v>
      </c>
      <c r="H2" s="1">
        <f>G2/VLOOKUP(A2,'[283]geoMap (6)'!$A:$B,2,0)*VLOOKUP(A2,'[283]geoMap (6)'!$A:$C,3,0)</f>
        <v>17423.781441289506</v>
      </c>
      <c r="I2" s="1">
        <f>H2/VLOOKUP(A2,'[284]geoMap (7)'!$A:$B,2,0)*VLOOKUP(A2,'[284]geoMap (7)'!$A:$C,3,0)</f>
        <v>175.99779233625762</v>
      </c>
      <c r="J2" s="1">
        <f>I2/VLOOKUP(A2,'[285]geoMap (8)'!$A:$B,2,0)*VLOOKUP(A2,'[285]geoMap (8)'!$A:$C,3,0)</f>
        <v>8623.8918244766228</v>
      </c>
      <c r="K2" s="1">
        <f>J2/VLOOKUP(A2,'[286]geoMap (9)'!$A:$B,2,0)*VLOOKUP(A2,'[286]geoMap (9)'!$A:$C,3,0)</f>
        <v>13488.651315207024</v>
      </c>
      <c r="L2" s="1">
        <f>K2/VLOOKUP(A2,'[287]geoMap (10)'!$A:$B,2,0)*VLOOKUP(A2,'[287]geoMap (10)'!$A:$C,3,0)</f>
        <v>2762.7358115484271</v>
      </c>
      <c r="M2" s="1">
        <f>L2/VLOOKUP(A2,'[288]geoMap (11)'!$A:$B,2,0)*VLOOKUP(A2,'[288]geoMap (11)'!$A:$C,3,0)</f>
        <v>3115.4254896184398</v>
      </c>
      <c r="N2" s="1">
        <f>M2/VLOOKUP(A2,'[289]geoMap (12)'!$A:$B,2,0)*VLOOKUP(A2,'[289]geoMap (12)'!$A:$C,3,0)</f>
        <v>6325.2578122556206</v>
      </c>
      <c r="O2" s="1">
        <f>N2/VLOOKUP(A2,'[290]geoMap (13)'!$A:$B,2,0)*VLOOKUP(A2,'[290]geoMap (13)'!$A:$C,3,0)</f>
        <v>4216.8385415037474</v>
      </c>
      <c r="P2" s="1">
        <f>O2/VLOOKUP(A2,'[291]geoMap (14)'!$A:$B,2,0)*VLOOKUP(A2,'[291]geoMap (14)'!$A:$C,3,0)</f>
        <v>686.46208815177295</v>
      </c>
      <c r="Q2" s="1">
        <f>P2/VLOOKUP(A2,'[292]geoMap (15)'!$A:$B,2,0)*VLOOKUP(A2,'[292]geoMap (15)'!$A:$C,3,0)</f>
        <v>1953.7767124319691</v>
      </c>
      <c r="R2" s="1">
        <f>Q2/VLOOKUP(A2,'[293]geoMap (16)'!$A:$B,2,0)*VLOOKUP(A2,'[293]geoMap (16)'!$A:$C,3,0)</f>
        <v>722.62974295429001</v>
      </c>
      <c r="S2" s="1">
        <f>R2/VLOOKUP(A2,'[294]geoMap (17)'!$A:$B,2,0)*VLOOKUP(A2,'[294]geoMap (17)'!$A:$C,3,0)</f>
        <v>2167.8892288628699</v>
      </c>
      <c r="T2" s="1">
        <f>S2/VLOOKUP(A2,'[295]geoMap (18)'!$A:$B,2,0)*VLOOKUP(A2,'[295]geoMap (18)'!$A:$C,3,0)</f>
        <v>1328.7063015611138</v>
      </c>
      <c r="U2" s="1">
        <f>T2/VLOOKUP(A2,'[296]geoMap (19)'!$A:$B,2,0)*VLOOKUP(A2,'[296]geoMap (19)'!$A:$C,3,0)</f>
        <v>491.43931701575451</v>
      </c>
      <c r="V2" s="1">
        <f>U2/VLOOKUP(A2,'[297]geoMap (20)'!$A:$B,2,0)*VLOOKUP(A2,'[297]geoMap (20)'!$A:$C,3,0)</f>
        <v>60.739690867115726</v>
      </c>
      <c r="W2" s="1">
        <f>V2/VLOOKUP(A2,'[298]geoMap (21)'!$A:$B,2,0)*VLOOKUP(A2,'[298]geoMap (21)'!$A:$C,3,0)</f>
        <v>806.97017866310887</v>
      </c>
      <c r="X2" s="1">
        <f>W2/VLOOKUP(A2,'[299]geoMap (22)'!$A:$B,2,0)*VLOOKUP(A2,'[299]geoMap (22)'!$A:$C,3,0)</f>
        <v>362.55181939936779</v>
      </c>
      <c r="Y2" s="1">
        <f>X2/VLOOKUP(A2,'[300]geoMap (23)'!$A:$B,2,0)*VLOOKUP(A2,'[300]geoMap (23)'!$A:$C,3,0)</f>
        <v>703.77706118700803</v>
      </c>
      <c r="Z2" s="1">
        <f>Y2/VLOOKUP(A2,'[301]geoMap (24)'!$A:$B,2,0)*VLOOKUP(A2,'[301]geoMap (24)'!$A:$C,3,0)</f>
        <v>575.81759551664288</v>
      </c>
      <c r="AA2" s="1">
        <f>Z2/VLOOKUP(A2,'[302]geoMap (25)'!$A:$B,2,0)*VLOOKUP(A2,'[302]geoMap (25)'!$A:$C,3,0)</f>
        <v>510.63069791098513</v>
      </c>
    </row>
    <row r="3" spans="1:27" x14ac:dyDescent="0.2">
      <c r="A3" s="1" t="s">
        <v>8</v>
      </c>
      <c r="B3" s="1">
        <f>Notes!$C$6*VLOOKUP(A3,[277]geoMap!$A:$B,2,0)</f>
        <v>0</v>
      </c>
      <c r="C3" s="1" t="e">
        <f>B3/VLOOKUP(A3,'[278]geoMap (1)'!$A:$B,2,0)*VLOOKUP(A3,'[278]geoMap (1)'!$A:$C,3,0)</f>
        <v>#DIV/0!</v>
      </c>
      <c r="D3" s="1" t="e">
        <f>C3/VLOOKUP(A3,'[279]geoMap (2)'!$A:$B,2,0)*VLOOKUP(A3,'[279]geoMap (2)'!$A:$C,3,0)</f>
        <v>#DIV/0!</v>
      </c>
      <c r="E3" s="1" t="e">
        <f>D3/VLOOKUP(A3,'[280]geoMap (3)'!$A:$B,2,0)*VLOOKUP(A3,'[280]geoMap (3)'!$A:$C,3,0)</f>
        <v>#DIV/0!</v>
      </c>
      <c r="F3" s="1" t="e">
        <f>E3/VLOOKUP(A3,'[281]geoMap (4)'!$A:$B,2,0)*VLOOKUP(A3,'[281]geoMap (4)'!$A:$C,3,0)</f>
        <v>#DIV/0!</v>
      </c>
      <c r="G3" s="1" t="e">
        <f>F3/VLOOKUP(A3,'[282]geoMap (5)'!$A:$B,2,0)*VLOOKUP(A3,'[282]geoMap (5)'!$A:$C,3,0)</f>
        <v>#DIV/0!</v>
      </c>
      <c r="H3" s="1" t="e">
        <f>G3/VLOOKUP(A3,'[283]geoMap (6)'!$A:$B,2,0)*VLOOKUP(A3,'[283]geoMap (6)'!$A:$C,3,0)</f>
        <v>#DIV/0!</v>
      </c>
      <c r="I3" s="1" t="e">
        <f>H3/VLOOKUP(A3,'[284]geoMap (7)'!$A:$B,2,0)*VLOOKUP(A3,'[284]geoMap (7)'!$A:$C,3,0)</f>
        <v>#DIV/0!</v>
      </c>
      <c r="J3" s="1" t="e">
        <f>I3/VLOOKUP(A3,'[285]geoMap (8)'!$A:$B,2,0)*VLOOKUP(A3,'[285]geoMap (8)'!$A:$C,3,0)</f>
        <v>#DIV/0!</v>
      </c>
      <c r="K3" s="1" t="e">
        <f>J3/VLOOKUP(A3,'[286]geoMap (9)'!$A:$B,2,0)*VLOOKUP(A3,'[286]geoMap (9)'!$A:$C,3,0)</f>
        <v>#DIV/0!</v>
      </c>
      <c r="L3" s="1" t="e">
        <f>K3/VLOOKUP(A3,'[287]geoMap (10)'!$A:$B,2,0)*VLOOKUP(A3,'[287]geoMap (10)'!$A:$C,3,0)</f>
        <v>#DIV/0!</v>
      </c>
      <c r="M3" s="1" t="e">
        <f>L3/VLOOKUP(A3,'[288]geoMap (11)'!$A:$B,2,0)*VLOOKUP(A3,'[288]geoMap (11)'!$A:$C,3,0)</f>
        <v>#DIV/0!</v>
      </c>
      <c r="N3" s="1" t="e">
        <f>M3/VLOOKUP(A3,'[289]geoMap (12)'!$A:$B,2,0)*VLOOKUP(A3,'[289]geoMap (12)'!$A:$C,3,0)</f>
        <v>#DIV/0!</v>
      </c>
      <c r="O3" s="1" t="e">
        <f>N3/VLOOKUP(A3,'[290]geoMap (13)'!$A:$B,2,0)*VLOOKUP(A3,'[290]geoMap (13)'!$A:$C,3,0)</f>
        <v>#DIV/0!</v>
      </c>
      <c r="P3" s="1" t="e">
        <f>O3/VLOOKUP(A3,'[291]geoMap (14)'!$A:$B,2,0)*VLOOKUP(A3,'[291]geoMap (14)'!$A:$C,3,0)</f>
        <v>#DIV/0!</v>
      </c>
      <c r="Q3" s="1" t="e">
        <f>P3/VLOOKUP(A3,'[292]geoMap (15)'!$A:$B,2,0)*VLOOKUP(A3,'[292]geoMap (15)'!$A:$C,3,0)</f>
        <v>#DIV/0!</v>
      </c>
      <c r="R3" s="1" t="e">
        <f>Q3/VLOOKUP(A3,'[293]geoMap (16)'!$A:$B,2,0)*VLOOKUP(A3,'[293]geoMap (16)'!$A:$C,3,0)</f>
        <v>#DIV/0!</v>
      </c>
      <c r="S3" s="1" t="e">
        <f>R3/VLOOKUP(A3,'[294]geoMap (17)'!$A:$B,2,0)*VLOOKUP(A3,'[294]geoMap (17)'!$A:$C,3,0)</f>
        <v>#DIV/0!</v>
      </c>
      <c r="T3" s="1" t="e">
        <f>S3/VLOOKUP(A3,'[295]geoMap (18)'!$A:$B,2,0)*VLOOKUP(A3,'[295]geoMap (18)'!$A:$C,3,0)</f>
        <v>#DIV/0!</v>
      </c>
      <c r="U3" s="1" t="e">
        <f>T3/VLOOKUP(A3,'[296]geoMap (19)'!$A:$B,2,0)*VLOOKUP(A3,'[296]geoMap (19)'!$A:$C,3,0)</f>
        <v>#DIV/0!</v>
      </c>
      <c r="V3" s="1" t="e">
        <f>U3/VLOOKUP(A3,'[297]geoMap (20)'!$A:$B,2,0)*VLOOKUP(A3,'[297]geoMap (20)'!$A:$C,3,0)</f>
        <v>#DIV/0!</v>
      </c>
      <c r="W3" s="1" t="e">
        <f>V3/VLOOKUP(A3,'[298]geoMap (21)'!$A:$B,2,0)*VLOOKUP(A3,'[298]geoMap (21)'!$A:$C,3,0)</f>
        <v>#DIV/0!</v>
      </c>
      <c r="X3" s="1" t="e">
        <f>W3/VLOOKUP(A3,'[299]geoMap (22)'!$A:$B,2,0)*VLOOKUP(A3,'[299]geoMap (22)'!$A:$C,3,0)</f>
        <v>#DIV/0!</v>
      </c>
      <c r="Y3" s="1" t="e">
        <f>X3/VLOOKUP(A3,'[300]geoMap (23)'!$A:$B,2,0)*VLOOKUP(A3,'[300]geoMap (23)'!$A:$C,3,0)</f>
        <v>#DIV/0!</v>
      </c>
      <c r="Z3" s="1" t="e">
        <f>Y3/VLOOKUP(A3,'[301]geoMap (24)'!$A:$B,2,0)*VLOOKUP(A3,'[301]geoMap (24)'!$A:$C,3,0)</f>
        <v>#DIV/0!</v>
      </c>
      <c r="AA3" s="1" t="e">
        <f>Z3/VLOOKUP(A3,'[302]geoMap (25)'!$A:$B,2,0)*VLOOKUP(A3,'[302]geoMap (25)'!$A:$C,3,0)</f>
        <v>#DIV/0!</v>
      </c>
    </row>
    <row r="4" spans="1:27" x14ac:dyDescent="0.2">
      <c r="A4" s="1" t="s">
        <v>7</v>
      </c>
      <c r="B4" s="1">
        <f>Notes!$C$6*VLOOKUP(A4,[277]geoMap!$A:$B,2,0)</f>
        <v>100000</v>
      </c>
      <c r="C4" s="1">
        <f>B4/VLOOKUP(A4,'[278]geoMap (1)'!$A:$B,2,0)*VLOOKUP(A4,'[278]geoMap (1)'!$A:$C,3,0)</f>
        <v>2040.8163265306125</v>
      </c>
      <c r="D4" s="1">
        <f>C4/VLOOKUP(A4,'[279]geoMap (2)'!$A:$B,2,0)*VLOOKUP(A4,'[279]geoMap (2)'!$A:$C,3,0)</f>
        <v>6462.5850340136067</v>
      </c>
      <c r="E4" s="1">
        <f>D4/VLOOKUP(A4,'[280]geoMap (3)'!$A:$B,2,0)*VLOOKUP(A4,'[280]geoMap (3)'!$A:$C,3,0)</f>
        <v>4679.8029556650254</v>
      </c>
      <c r="F4" s="1">
        <f>E4/VLOOKUP(A4,'[281]geoMap (4)'!$A:$B,2,0)*VLOOKUP(A4,'[281]geoMap (4)'!$A:$C,3,0)</f>
        <v>5956.112852664578</v>
      </c>
      <c r="G4" s="1">
        <f>F4/VLOOKUP(A4,'[282]geoMap (5)'!$A:$B,2,0)*VLOOKUP(A4,'[282]geoMap (5)'!$A:$C,3,0)</f>
        <v>2933.6078229541954</v>
      </c>
      <c r="H4" s="1">
        <f>G4/VLOOKUP(A4,'[283]geoMap (6)'!$A:$B,2,0)*VLOOKUP(A4,'[283]geoMap (6)'!$A:$C,3,0)</f>
        <v>3733.6826837598851</v>
      </c>
      <c r="I4" s="1">
        <f>H4/VLOOKUP(A4,'[284]geoMap (7)'!$A:$B,2,0)*VLOOKUP(A4,'[284]geoMap (7)'!$A:$C,3,0)</f>
        <v>37.713966502625105</v>
      </c>
      <c r="J4" s="1">
        <f>I4/VLOOKUP(A4,'[285]geoMap (8)'!$A:$B,2,0)*VLOOKUP(A4,'[285]geoMap (8)'!$A:$C,3,0)</f>
        <v>905.13519606300247</v>
      </c>
      <c r="K4" s="1">
        <f>J4/VLOOKUP(A4,'[286]geoMap (9)'!$A:$B,2,0)*VLOOKUP(A4,'[286]geoMap (9)'!$A:$C,3,0)</f>
        <v>1357.7027940945034</v>
      </c>
      <c r="L4" s="1">
        <f>K4/VLOOKUP(A4,'[287]geoMap (10)'!$A:$B,2,0)*VLOOKUP(A4,'[287]geoMap (10)'!$A:$C,3,0)</f>
        <v>554.55466237662813</v>
      </c>
      <c r="M4" s="1">
        <f>L4/VLOOKUP(A4,'[288]geoMap (11)'!$A:$B,2,0)*VLOOKUP(A4,'[288]geoMap (11)'!$A:$C,3,0)</f>
        <v>385.36849419392803</v>
      </c>
      <c r="N4" s="1">
        <f>M4/VLOOKUP(A4,'[289]geoMap (12)'!$A:$B,2,0)*VLOOKUP(A4,'[289]geoMap (12)'!$A:$C,3,0)</f>
        <v>290.71658333927905</v>
      </c>
      <c r="O4" s="1">
        <f>N4/VLOOKUP(A4,'[290]geoMap (13)'!$A:$B,2,0)*VLOOKUP(A4,'[290]geoMap (13)'!$A:$C,3,0)</f>
        <v>401.46575794471869</v>
      </c>
      <c r="P4" s="1">
        <f>O4/VLOOKUP(A4,'[291]geoMap (14)'!$A:$B,2,0)*VLOOKUP(A4,'[291]geoMap (14)'!$A:$C,3,0)</f>
        <v>163.97897155488508</v>
      </c>
      <c r="Q4" s="1">
        <f>P4/VLOOKUP(A4,'[292]geoMap (15)'!$A:$B,2,0)*VLOOKUP(A4,'[292]geoMap (15)'!$A:$C,3,0)</f>
        <v>256.47992986789717</v>
      </c>
      <c r="R4" s="1">
        <f>Q4/VLOOKUP(A4,'[293]geoMap (16)'!$A:$B,2,0)*VLOOKUP(A4,'[293]geoMap (16)'!$A:$C,3,0)</f>
        <v>16.371059353270031</v>
      </c>
      <c r="S4" s="1">
        <f>R4/VLOOKUP(A4,'[294]geoMap (17)'!$A:$B,2,0)*VLOOKUP(A4,'[294]geoMap (17)'!$A:$C,3,0)</f>
        <v>147.33953417943027</v>
      </c>
      <c r="T4" s="1">
        <f>S4/VLOOKUP(A4,'[295]geoMap (18)'!$A:$B,2,0)*VLOOKUP(A4,'[295]geoMap (18)'!$A:$C,3,0)</f>
        <v>69.336251378555417</v>
      </c>
      <c r="U4" s="1">
        <f>T4/VLOOKUP(A4,'[296]geoMap (19)'!$A:$B,2,0)*VLOOKUP(A4,'[296]geoMap (19)'!$A:$C,3,0)</f>
        <v>52.306294899611991</v>
      </c>
      <c r="V4" s="44">
        <f>U4/37*4</f>
        <v>5.6547345837418366</v>
      </c>
      <c r="W4" s="1">
        <f>V4/3*19</f>
        <v>35.813319030364966</v>
      </c>
      <c r="X4" s="1">
        <f>U4/VLOOKUP(A4,'[303]geoMap (33)'!$A:$B,2,0)*VLOOKUP(A4,'[303]geoMap (33)'!$A:$C,3,0)</f>
        <v>52.306294899611991</v>
      </c>
      <c r="Y4" s="1">
        <f>V4/4*23</f>
        <v>32.514723856515559</v>
      </c>
      <c r="Z4" s="1">
        <f>Y4/VLOOKUP(A4,'[301]geoMap (24)'!$A:$B,2,0)*VLOOKUP(A4,'[301]geoMap (24)'!$A:$C,3,0)</f>
        <v>60.384487162100328</v>
      </c>
      <c r="AA4" s="1">
        <f>Z4/VLOOKUP(A4,'[302]geoMap (25)'!$A:$B,2,0)*VLOOKUP(A4,'[302]geoMap (25)'!$A:$C,3,0)</f>
        <v>37.009846970319558</v>
      </c>
    </row>
    <row r="5" spans="1:27" x14ac:dyDescent="0.2">
      <c r="A5" s="1" t="s">
        <v>11</v>
      </c>
      <c r="B5" s="1">
        <f>Notes!$C$6*VLOOKUP(A5,[277]geoMap!$A:$B,2,0)</f>
        <v>30000</v>
      </c>
      <c r="C5" s="1">
        <f>B5/VLOOKUP(A5,'[278]geoMap (1)'!$A:$B,2,0)*VLOOKUP(A5,'[278]geoMap (1)'!$A:$C,3,0)</f>
        <v>7500</v>
      </c>
      <c r="D5" s="1">
        <f>C5/VLOOKUP(A5,'[279]geoMap (2)'!$A:$B,2,0)*VLOOKUP(A5,'[279]geoMap (2)'!$A:$C,3,0)</f>
        <v>17500</v>
      </c>
      <c r="E5" s="1">
        <f>D5/VLOOKUP(A5,'[280]geoMap (3)'!$A:$B,2,0)*VLOOKUP(A5,'[280]geoMap (3)'!$A:$C,3,0)</f>
        <v>7147.8873239436616</v>
      </c>
      <c r="F5" s="1">
        <f>E5/VLOOKUP(A5,'[281]geoMap (4)'!$A:$B,2,0)*VLOOKUP(A5,'[281]geoMap (4)'!$A:$C,3,0)</f>
        <v>8060.3835780641293</v>
      </c>
      <c r="G5" s="1">
        <f>F5/VLOOKUP(A5,'[282]geoMap (5)'!$A:$B,2,0)*VLOOKUP(A5,'[282]geoMap (5)'!$A:$C,3,0)</f>
        <v>10258.670008445257</v>
      </c>
      <c r="H5" s="1">
        <f>G5/VLOOKUP(A5,'[283]geoMap (6)'!$A:$B,2,0)*VLOOKUP(A5,'[283]geoMap (6)'!$A:$C,3,0)</f>
        <v>8060.3835780641293</v>
      </c>
      <c r="I5" s="1">
        <f>H5/VLOOKUP(A5,'[284]geoMap (7)'!$A:$B,2,0)*VLOOKUP(A5,'[284]geoMap (7)'!$A:$C,3,0)</f>
        <v>81.418015940041712</v>
      </c>
      <c r="J5" s="1">
        <f>I5/VLOOKUP(A5,'[285]geoMap (8)'!$A:$B,2,0)*VLOOKUP(A5,'[285]geoMap (8)'!$A:$C,3,0)</f>
        <v>2632.5158487280155</v>
      </c>
      <c r="K5" s="1">
        <f>J5/VLOOKUP(A5,'[286]geoMap (9)'!$A:$B,2,0)*VLOOKUP(A5,'[286]geoMap (9)'!$A:$C,3,0)</f>
        <v>5344.8049049932433</v>
      </c>
      <c r="L5" s="1">
        <f>K5/VLOOKUP(A5,'[287]geoMap (10)'!$A:$B,2,0)*VLOOKUP(A5,'[287]geoMap (10)'!$A:$C,3,0)</f>
        <v>2401.2891602143559</v>
      </c>
      <c r="M5" s="1">
        <f>L5/VLOOKUP(A5,'[288]geoMap (11)'!$A:$B,2,0)*VLOOKUP(A5,'[288]geoMap (11)'!$A:$C,3,0)</f>
        <v>1535.2504466944242</v>
      </c>
      <c r="N5" s="1">
        <f>M5/VLOOKUP(A5,'[289]geoMap (12)'!$A:$B,2,0)*VLOOKUP(A5,'[289]geoMap (12)'!$A:$C,3,0)</f>
        <v>1731.2398654213721</v>
      </c>
      <c r="O5" s="1">
        <f>N5/VLOOKUP(A5,'[290]geoMap (13)'!$A:$B,2,0)*VLOOKUP(A5,'[290]geoMap (13)'!$A:$C,3,0)</f>
        <v>1731.2398654213721</v>
      </c>
      <c r="P5" s="1">
        <f>O5/VLOOKUP(A5,'[291]geoMap (14)'!$A:$B,2,0)*VLOOKUP(A5,'[291]geoMap (14)'!$A:$C,3,0)</f>
        <v>258.69101437330846</v>
      </c>
      <c r="Q5" s="1">
        <f>P5/VLOOKUP(A5,'[292]geoMap (15)'!$A:$B,2,0)*VLOOKUP(A5,'[292]geoMap (15)'!$A:$C,3,0)</f>
        <v>917.17723277809364</v>
      </c>
      <c r="R5" s="1">
        <f>Q5/VLOOKUP(A5,'[293]geoMap (16)'!$A:$B,2,0)*VLOOKUP(A5,'[293]geoMap (16)'!$A:$C,3,0)</f>
        <v>187.85557779792282</v>
      </c>
      <c r="S5" s="1">
        <f>R5/VLOOKUP(A5,'[294]geoMap (17)'!$A:$B,2,0)*VLOOKUP(A5,'[294]geoMap (17)'!$A:$C,3,0)</f>
        <v>917.17723277809375</v>
      </c>
      <c r="T5" s="1">
        <f>S5/VLOOKUP(A5,'[295]geoMap (18)'!$A:$B,2,0)*VLOOKUP(A5,'[295]geoMap (18)'!$A:$C,3,0)</f>
        <v>586.39200128435505</v>
      </c>
      <c r="U5" s="1">
        <f>T5/VLOOKUP(A5,'[296]geoMap (19)'!$A:$B,2,0)*VLOOKUP(A5,'[296]geoMap (19)'!$A:$C,3,0)</f>
        <v>302.08072793436469</v>
      </c>
      <c r="V5" s="1">
        <f>U5/VLOOKUP(A5,'[297]geoMap (20)'!$A:$B,2,0)*VLOOKUP(A5,'[297]geoMap (20)'!$A:$C,3,0)</f>
        <v>49.175932454431468</v>
      </c>
      <c r="W5" s="1">
        <f>V5/VLOOKUP(A5,'[298]geoMap (21)'!$A:$B,2,0)*VLOOKUP(A5,'[298]geoMap (21)'!$A:$C,3,0)</f>
        <v>240.09425845398889</v>
      </c>
      <c r="X5" s="1">
        <f>W5/VLOOKUP(A5,'[299]geoMap (22)'!$A:$B,2,0)*VLOOKUP(A5,'[299]geoMap (22)'!$A:$C,3,0)</f>
        <v>102.89753933742381</v>
      </c>
      <c r="Y5" s="1">
        <f>X5/VLOOKUP(A5,'[300]geoMap (23)'!$A:$B,2,0)*VLOOKUP(A5,'[300]geoMap (23)'!$A:$C,3,0)</f>
        <v>191.09543019807282</v>
      </c>
      <c r="Z5" s="1">
        <f>Y5/VLOOKUP(A5,'[301]geoMap (24)'!$A:$B,2,0)*VLOOKUP(A5,'[301]geoMap (24)'!$A:$C,3,0)</f>
        <v>122.17576684794821</v>
      </c>
      <c r="AA5" s="1">
        <f>Z5/VLOOKUP(A5,'[302]geoMap (25)'!$A:$B,2,0)*VLOOKUP(A5,'[302]geoMap (25)'!$A:$C,3,0)</f>
        <v>175.81390839094985</v>
      </c>
    </row>
    <row r="6" spans="1:27" x14ac:dyDescent="0.2">
      <c r="A6" s="1" t="s">
        <v>16</v>
      </c>
      <c r="B6" s="1">
        <f>Notes!$C$6*VLOOKUP(A6,[277]geoMap!$A:$B,2,0)</f>
        <v>60000</v>
      </c>
      <c r="C6" s="1">
        <f>B6/VLOOKUP(A6,'[278]geoMap (1)'!$A:$B,2,0)*VLOOKUP(A6,'[278]geoMap (1)'!$A:$C,3,0)</f>
        <v>3829.7872340425533</v>
      </c>
      <c r="D6" s="1">
        <f>C6/VLOOKUP(A6,'[279]geoMap (2)'!$A:$B,2,0)*VLOOKUP(A6,'[279]geoMap (2)'!$A:$C,3,0)</f>
        <v>15319.148936170212</v>
      </c>
      <c r="E6" s="1">
        <f>D6/VLOOKUP(A6,'[280]geoMap (3)'!$A:$B,2,0)*VLOOKUP(A6,'[280]geoMap (3)'!$A:$C,3,0)</f>
        <v>20306.778822365162</v>
      </c>
      <c r="F6" s="1">
        <f>E6/VLOOKUP(A6,'[281]geoMap (4)'!$A:$B,2,0)*VLOOKUP(A6,'[281]geoMap (4)'!$A:$C,3,0)</f>
        <v>12446.090245965745</v>
      </c>
      <c r="G6" s="1">
        <f>F6/VLOOKUP(A6,'[282]geoMap (5)'!$A:$B,2,0)*VLOOKUP(A6,'[282]geoMap (5)'!$A:$C,3,0)</f>
        <v>9012.6860401820904</v>
      </c>
      <c r="H6" s="1">
        <f>G6/VLOOKUP(A6,'[283]geoMap (6)'!$A:$B,2,0)*VLOOKUP(A6,'[283]geoMap (6)'!$A:$C,3,0)</f>
        <v>7677.4732934884478</v>
      </c>
      <c r="I6" s="1">
        <f>H6/75*1</f>
        <v>102.36631057984597</v>
      </c>
      <c r="J6" s="1">
        <f>I6/VLOOKUP(A6,'[285]geoMap (8)'!$A:$B,2,0)*VLOOKUP(A6,'[285]geoMap (8)'!$A:$C,3,0)</f>
        <v>5015.9492184124529</v>
      </c>
      <c r="K6" s="1">
        <f>J6/VLOOKUP(A6,'[286]geoMap (9)'!$A:$B,2,0)*VLOOKUP(A6,'[286]geoMap (9)'!$A:$C,3,0)</f>
        <v>5888.2882129189666</v>
      </c>
      <c r="L6" s="1">
        <f>K6/VLOOKUP(A6,'[287]geoMap (10)'!$A:$B,2,0)*VLOOKUP(A6,'[287]geoMap (10)'!$A:$C,3,0)</f>
        <v>3764.6432836695035</v>
      </c>
      <c r="M6" s="1">
        <f>L6/VLOOKUP(A6,'[288]geoMap (11)'!$A:$B,2,0)*VLOOKUP(A6,'[288]geoMap (11)'!$A:$C,3,0)</f>
        <v>2726.1209985192954</v>
      </c>
      <c r="N6" s="1">
        <f>M6/VLOOKUP(A6,'[289]geoMap (12)'!$A:$B,2,0)*VLOOKUP(A6,'[289]geoMap (12)'!$A:$C,3,0)</f>
        <v>2726.1209985192954</v>
      </c>
      <c r="O6" s="1">
        <f>N6/VLOOKUP(A6,'[290]geoMap (13)'!$A:$B,2,0)*VLOOKUP(A6,'[290]geoMap (13)'!$A:$C,3,0)</f>
        <v>2837.3912433568175</v>
      </c>
      <c r="P6" s="1">
        <f>O6/VLOOKUP(A6,'[291]geoMap (14)'!$A:$B,2,0)*VLOOKUP(A6,'[291]geoMap (14)'!$A:$C,3,0)</f>
        <v>1274.76997889944</v>
      </c>
      <c r="Q6" s="1">
        <f>P6/VLOOKUP(A6,'[292]geoMap (15)'!$A:$B,2,0)*VLOOKUP(A6,'[292]geoMap (15)'!$A:$C,3,0)</f>
        <v>1274.76997889944</v>
      </c>
      <c r="R6" s="1">
        <f>Q6/VLOOKUP(A6,'[293]geoMap (16)'!$A:$B,2,0)*VLOOKUP(A6,'[293]geoMap (16)'!$A:$C,3,0)</f>
        <v>67.093156784181062</v>
      </c>
      <c r="S6" s="1">
        <f>R6/VLOOKUP(A6,'[294]geoMap (17)'!$A:$B,2,0)*VLOOKUP(A6,'[294]geoMap (17)'!$A:$C,3,0)</f>
        <v>1051.1261229521701</v>
      </c>
      <c r="T6" s="1">
        <f>S6/VLOOKUP(A6,'[295]geoMap (18)'!$A:$B,2,0)*VLOOKUP(A6,'[295]geoMap (18)'!$A:$C,3,0)</f>
        <v>1284.7097058304303</v>
      </c>
      <c r="U6" s="1">
        <f>T6/VLOOKUP(A6,'[296]geoMap (19)'!$A:$B,2,0)*VLOOKUP(A6,'[296]geoMap (19)'!$A:$C,3,0)</f>
        <v>226.71347749948768</v>
      </c>
      <c r="V6" s="1">
        <f>U6/VLOOKUP(A6,'[297]geoMap (20)'!$A:$B,2,0)*VLOOKUP(A6,'[297]geoMap (20)'!$A:$C,3,0)</f>
        <v>49.766373109643638</v>
      </c>
      <c r="W6" s="1">
        <f>V6/VLOOKUP(A6,'[298]geoMap (21)'!$A:$B,2,0)*VLOOKUP(A6,'[298]geoMap (21)'!$A:$C,3,0)</f>
        <v>364.95340280405338</v>
      </c>
      <c r="X6" s="1">
        <f>W6/VLOOKUP(A6,'[299]geoMap (22)'!$A:$B,2,0)*VLOOKUP(A6,'[299]geoMap (22)'!$A:$C,3,0)</f>
        <v>483.7754409263033</v>
      </c>
      <c r="Y6" s="1">
        <f>X6/VLOOKUP(A6,'[300]geoMap (23)'!$A:$B,2,0)*VLOOKUP(A6,'[300]geoMap (23)'!$A:$C,3,0)</f>
        <v>249.21765138627748</v>
      </c>
      <c r="Z6" s="1">
        <f>Y6/VLOOKUP(A6,'[301]geoMap (24)'!$A:$B,2,0)*VLOOKUP(A6,'[301]geoMap (24)'!$A:$C,3,0)</f>
        <v>239.44441015544308</v>
      </c>
      <c r="AA6" s="1">
        <f>Z6/VLOOKUP(A6,'[302]geoMap (25)'!$A:$B,2,0)*VLOOKUP(A6,'[302]geoMap (25)'!$A:$C,3,0)</f>
        <v>344.56634632124741</v>
      </c>
    </row>
    <row r="7" spans="1:27" x14ac:dyDescent="0.2">
      <c r="A7" s="1" t="s">
        <v>18</v>
      </c>
      <c r="B7" s="1">
        <f>Notes!$C$6*VLOOKUP(A7,[277]geoMap!$A:$B,2,0)</f>
        <v>47000</v>
      </c>
      <c r="C7" s="1">
        <f>B7/VLOOKUP(A7,'[278]geoMap (1)'!$A:$B,2,0)*VLOOKUP(A7,'[278]geoMap (1)'!$A:$C,3,0)</f>
        <v>4086.9565217391305</v>
      </c>
      <c r="D7" s="1">
        <f>C7/VLOOKUP(A7,'[279]geoMap (2)'!$A:$B,2,0)*VLOOKUP(A7,'[279]geoMap (2)'!$A:$C,3,0)</f>
        <v>11632.107023411372</v>
      </c>
      <c r="E7" s="1">
        <f>D7/VLOOKUP(A7,'[280]geoMap (3)'!$A:$B,2,0)*VLOOKUP(A7,'[280]geoMap (3)'!$A:$C,3,0)</f>
        <v>13655.082157917697</v>
      </c>
      <c r="F7" s="1">
        <f>E7/VLOOKUP(A7,'[281]geoMap (4)'!$A:$B,2,0)*VLOOKUP(A7,'[281]geoMap (4)'!$A:$C,3,0)</f>
        <v>12604.691222693258</v>
      </c>
      <c r="G7" s="1">
        <f>F7/VLOOKUP(A7,'[282]geoMap (5)'!$A:$B,2,0)*VLOOKUP(A7,'[282]geoMap (5)'!$A:$C,3,0)</f>
        <v>6493.3257813874352</v>
      </c>
      <c r="H7" s="1">
        <f>G7/VLOOKUP(A7,'[283]geoMap (6)'!$A:$B,2,0)*VLOOKUP(A7,'[283]geoMap (6)'!$A:$C,3,0)</f>
        <v>4328.8838542582907</v>
      </c>
      <c r="I7" s="1">
        <f>H7/74*3</f>
        <v>175.49529138884964</v>
      </c>
      <c r="J7" s="1">
        <f>H7/VLOOKUP(A7,'[304]geoMap (27)'!$A:$B,2,0)*VLOOKUP(A7,'[304]geoMap (27)'!$A:$C,3,0)</f>
        <v>1944.8608620580728</v>
      </c>
      <c r="K7" s="1">
        <f>J7/VLOOKUP(A7,'[286]geoMap (9)'!$A:$B,2,0)*VLOOKUP(A7,'[286]geoMap (9)'!$A:$C,3,0)</f>
        <v>2377.0521647376445</v>
      </c>
      <c r="L7" s="1">
        <f>K7/VLOOKUP(A7,'[287]geoMap (10)'!$A:$B,2,0)*VLOOKUP(A7,'[287]geoMap (10)'!$A:$C,3,0)</f>
        <v>1651.8498093939563</v>
      </c>
      <c r="M7" s="1">
        <f>L7/VLOOKUP(A7,'[288]geoMap (11)'!$A:$B,2,0)*VLOOKUP(A7,'[288]geoMap (11)'!$A:$C,3,0)</f>
        <v>850.95293211203807</v>
      </c>
      <c r="N7" s="1">
        <f>M7/VLOOKUP(A7,'[289]geoMap (12)'!$A:$B,2,0)*VLOOKUP(A7,'[289]geoMap (12)'!$A:$C,3,0)</f>
        <v>785.49501425726589</v>
      </c>
      <c r="O7" s="1">
        <f>N7/VLOOKUP(A7,'[290]geoMap (13)'!$A:$B,2,0)*VLOOKUP(A7,'[290]geoMap (13)'!$A:$C,3,0)</f>
        <v>999.72092723652042</v>
      </c>
      <c r="P7" s="1">
        <f>O7/VLOOKUP(A7,'[291]geoMap (14)'!$A:$B,2,0)*VLOOKUP(A7,'[291]geoMap (14)'!$A:$C,3,0)</f>
        <v>1221.8811332890805</v>
      </c>
      <c r="Q7" s="1">
        <f>P7/VLOOKUP(A7,'[292]geoMap (15)'!$A:$B,2,0)*VLOOKUP(A7,'[292]geoMap (15)'!$A:$C,3,0)</f>
        <v>523.6633428381773</v>
      </c>
      <c r="R7" s="1">
        <f>Q7/VLOOKUP(A7,'[293]geoMap (16)'!$A:$B,2,0)*VLOOKUP(A7,'[293]geoMap (16)'!$A:$C,3,0)</f>
        <v>33.425319755628337</v>
      </c>
      <c r="S7" s="1">
        <f>R7/VLOOKUP(A7,'[294]geoMap (17)'!$A:$B,2,0)*VLOOKUP(A7,'[294]geoMap (17)'!$A:$C,3,0)</f>
        <v>384.39117718972585</v>
      </c>
      <c r="T7" s="1">
        <f>S7/VLOOKUP(A7,'[295]geoMap (18)'!$A:$B,2,0)*VLOOKUP(A7,'[295]geoMap (18)'!$A:$C,3,0)</f>
        <v>354.82262509820845</v>
      </c>
      <c r="U7" s="1">
        <f>T7/VLOOKUP(A7,'[296]geoMap (19)'!$A:$B,2,0)*VLOOKUP(A7,'[296]geoMap (19)'!$A:$C,3,0)</f>
        <v>182.78741292938011</v>
      </c>
      <c r="V7" s="44">
        <f>U7/31*2</f>
        <v>11.792736318024524</v>
      </c>
      <c r="W7" s="1">
        <f>U7/32*25</f>
        <v>142.80266635107822</v>
      </c>
      <c r="X7" s="1">
        <f>W7/VLOOKUP(A7,'[299]geoMap (22)'!$A:$B,2,0)*VLOOKUP(A7,'[299]geoMap (22)'!$A:$C,3,0)</f>
        <v>243.15048594913318</v>
      </c>
      <c r="Y7" s="1">
        <f>X7/VLOOKUP(A7,'[300]geoMap (23)'!$A:$B,2,0)*VLOOKUP(A7,'[300]geoMap (23)'!$A:$C,3,0)</f>
        <v>125.25934124652315</v>
      </c>
      <c r="Z7" s="1">
        <f>Y7/VLOOKUP(A7,'[301]geoMap (24)'!$A:$B,2,0)*VLOOKUP(A7,'[301]geoMap (24)'!$A:$C,3,0)</f>
        <v>130.37196741985062</v>
      </c>
      <c r="AA7" s="1">
        <f>Z7/25*23</f>
        <v>119.94221002626257</v>
      </c>
    </row>
    <row r="8" spans="1:27" x14ac:dyDescent="0.2">
      <c r="A8" s="1" t="s">
        <v>20</v>
      </c>
      <c r="B8" s="1">
        <f>Notes!$C$6*VLOOKUP(A8,[277]geoMap!$A:$B,2,0)</f>
        <v>25000</v>
      </c>
      <c r="C8" s="1">
        <f>B8/VLOOKUP(A8,'[278]geoMap (1)'!$A:$B,2,0)*VLOOKUP(A8,'[278]geoMap (1)'!$A:$C,3,0)</f>
        <v>1595.7446808510638</v>
      </c>
      <c r="D8" s="1">
        <f>C8/VLOOKUP(A8,'[279]geoMap (2)'!$A:$B,2,0)*VLOOKUP(A8,'[279]geoMap (2)'!$A:$C,3,0)</f>
        <v>3097.6220275344181</v>
      </c>
      <c r="E8" s="1">
        <f>D8/VLOOKUP(A8,'[280]geoMap (3)'!$A:$B,2,0)*VLOOKUP(A8,'[280]geoMap (3)'!$A:$C,3,0)</f>
        <v>2976.1466539056169</v>
      </c>
      <c r="F8" s="1">
        <f>E8/VLOOKUP(A8,'[281]geoMap (4)'!$A:$B,2,0)*VLOOKUP(A8,'[281]geoMap (4)'!$A:$C,3,0)</f>
        <v>6944.3421924464392</v>
      </c>
      <c r="G8" s="1">
        <f>F8/73*13</f>
        <v>1236.6636781069001</v>
      </c>
      <c r="H8" s="1">
        <f>G8/51*60</f>
        <v>1454.8984448316471</v>
      </c>
      <c r="I8" s="1">
        <f>H8/VLOOKUP(A8,'[284]geoMap (7)'!$A:$B,2,0)*VLOOKUP(A8,'[284]geoMap (7)'!$A:$C,3,0)</f>
        <v>76.573602359560383</v>
      </c>
      <c r="J8" s="1">
        <f>I8/VLOOKUP(A8,'[285]geoMap (8)'!$A:$B,2,0)*VLOOKUP(A8,'[285]geoMap (8)'!$A:$C,3,0)</f>
        <v>774.24420163555499</v>
      </c>
      <c r="K8" s="1">
        <f>J8/VLOOKUP(A8,'[286]geoMap (9)'!$A:$B,2,0)*VLOOKUP(A8,'[286]geoMap (9)'!$A:$C,3,0)</f>
        <v>1263.2405395106423</v>
      </c>
      <c r="L8" s="1">
        <f>K8/54*12</f>
        <v>280.72011989125383</v>
      </c>
      <c r="M8" s="1">
        <f>L8/VLOOKUP(A8,'[288]geoMap (11)'!$A:$B,2,0)*VLOOKUP(A8,'[288]geoMap (11)'!$A:$C,3,0)</f>
        <v>329.54101030712405</v>
      </c>
      <c r="N8" s="1">
        <f>M8/48*29</f>
        <v>199.09769372722079</v>
      </c>
      <c r="O8" s="1">
        <f>K8/VLOOKUP(A8,'[305]geoMap (28)'!$A:$B,2,0)*VLOOKUP(A8,'[305]geoMap (28)'!$A:$C,3,0)</f>
        <v>421.08017983688075</v>
      </c>
      <c r="P8" s="1">
        <f>O8/VLOOKUP(A8,'[291]geoMap (14)'!$A:$B,2,0)*VLOOKUP(A8,'[291]geoMap (14)'!$A:$C,3,0)</f>
        <v>404.5672316079835</v>
      </c>
      <c r="Q8" s="1">
        <f>P8/VLOOKUP(A8,'[292]geoMap (15)'!$A:$B,2,0)*VLOOKUP(A8,'[292]geoMap (15)'!$A:$C,3,0)</f>
        <v>373.44667533044628</v>
      </c>
      <c r="R8" s="1">
        <f>Q8/VLOOKUP(A8,'[293]geoMap (16)'!$A:$B,2,0)*VLOOKUP(A8,'[293]geoMap (16)'!$A:$C,3,0)</f>
        <v>3.7721886397014779</v>
      </c>
      <c r="S8" s="1">
        <f>R8/VLOOKUP(A8,'[294]geoMap (17)'!$A:$B,2,0)*VLOOKUP(A8,'[294]geoMap (17)'!$A:$C,3,0)</f>
        <v>43.380169356566995</v>
      </c>
      <c r="T8" s="1">
        <f>S8/26*7</f>
        <v>11.679276365229576</v>
      </c>
      <c r="U8" s="1">
        <f>S8/VLOOKUP(A8,'[306]geoMap (31)'!$A:$B,2,0)*VLOOKUP(A8,'[306]geoMap (31)'!$A:$C,3,0)</f>
        <v>30.145541417275368</v>
      </c>
      <c r="V8" s="44">
        <f>U8/42*6</f>
        <v>4.3065059167536237</v>
      </c>
      <c r="W8" s="1">
        <f>V8/11*19</f>
        <v>7.4385102198471689</v>
      </c>
      <c r="X8" s="1">
        <f>U8/VLOOKUP(A8,'[303]geoMap (33)'!$A:$B,2,0)*VLOOKUP(A8,'[303]geoMap (33)'!$A:$C,3,0)</f>
        <v>8.502588604872539</v>
      </c>
      <c r="Y8" s="1">
        <f>X8/VLOOKUP(A8,'[300]geoMap (23)'!$A:$B,2,0)*VLOOKUP(A8,'[300]geoMap (23)'!$A:$C,3,0)</f>
        <v>14.477380597485674</v>
      </c>
      <c r="Z8" s="1">
        <f>Y8/VLOOKUP(A8,'[301]geoMap (24)'!$A:$B,2,0)*VLOOKUP(A8,'[301]geoMap (24)'!$A:$C,3,0)</f>
        <v>6.2045916846367168</v>
      </c>
      <c r="AA8" s="1">
        <f>Z8/VLOOKUP(A8,'[302]geoMap (25)'!$A:$B,2,0)*VLOOKUP(A8,'[302]geoMap (25)'!$A:$C,3,0)</f>
        <v>8.5682456597364176</v>
      </c>
    </row>
    <row r="9" spans="1:27" x14ac:dyDescent="0.2">
      <c r="A9" s="1" t="s">
        <v>32</v>
      </c>
      <c r="B9" s="1">
        <f>Notes!$C$6*VLOOKUP(A9,[277]geoMap!$A:$B,2,0)</f>
        <v>21000</v>
      </c>
      <c r="C9" s="1">
        <f>B9/VLOOKUP(A9,'[278]geoMap (1)'!$A:$B,2,0)*VLOOKUP(A9,'[278]geoMap (1)'!$A:$C,3,0)</f>
        <v>6272.727272727273</v>
      </c>
      <c r="D9" s="1">
        <f>C9/VLOOKUP(A9,'[279]geoMap (2)'!$A:$B,2,0)*VLOOKUP(A9,'[279]geoMap (2)'!$A:$C,3,0)</f>
        <v>9811.1888111888111</v>
      </c>
      <c r="E9" s="1">
        <f>D9/VLOOKUP(A9,'[280]geoMap (3)'!$A:$B,2,0)*VLOOKUP(A9,'[280]geoMap (3)'!$A:$C,3,0)</f>
        <v>13548.784548784548</v>
      </c>
      <c r="F9" s="1">
        <f>E9/VLOOKUP(A9,'[281]geoMap (4)'!$A:$B,2,0)*VLOOKUP(A9,'[281]geoMap (4)'!$A:$C,3,0)</f>
        <v>9811.1888111888111</v>
      </c>
      <c r="G9" s="1">
        <f>F9/VLOOKUP(A9,'[282]geoMap (5)'!$A:$B,2,0)*VLOOKUP(A9,'[282]geoMap (5)'!$A:$C,3,0)</f>
        <v>8357.6793576793571</v>
      </c>
      <c r="H9" s="1">
        <f>G9/VLOOKUP(A9,'[283]geoMap (6)'!$A:$B,2,0)*VLOOKUP(A9,'[283]geoMap (6)'!$A:$C,3,0)</f>
        <v>5122.4486385776709</v>
      </c>
      <c r="I9" s="1">
        <f>H9/VLOOKUP(A9,'[284]geoMap (7)'!$A:$B,2,0)*VLOOKUP(A9,'[284]geoMap (7)'!$A:$C,3,0)</f>
        <v>158.42624655394857</v>
      </c>
      <c r="J9" s="1">
        <f>I9/VLOOKUP(A9,'[285]geoMap (8)'!$A:$B,2,0)*VLOOKUP(A9,'[285]geoMap (8)'!$A:$C,3,0)</f>
        <v>3802.2299172947655</v>
      </c>
      <c r="K9" s="1">
        <f>J9/VLOOKUP(A9,'[286]geoMap (9)'!$A:$B,2,0)*VLOOKUP(A9,'[286]geoMap (9)'!$A:$C,3,0)</f>
        <v>2430.9338815491124</v>
      </c>
      <c r="L9" s="1">
        <f>K9/VLOOKUP(A9,'[287]geoMap (10)'!$A:$B,2,0)*VLOOKUP(A9,'[287]geoMap (10)'!$A:$C,3,0)</f>
        <v>1760.3314314665988</v>
      </c>
      <c r="M9" s="1">
        <f>L9/VLOOKUP(A9,'[288]geoMap (11)'!$A:$B,2,0)*VLOOKUP(A9,'[288]geoMap (11)'!$A:$C,3,0)</f>
        <v>1691.2988263110458</v>
      </c>
      <c r="N9" s="1">
        <f>M9/VLOOKUP(A9,'[289]geoMap (12)'!$A:$B,2,0)*VLOOKUP(A9,'[289]geoMap (12)'!$A:$C,3,0)</f>
        <v>1127.5325508740304</v>
      </c>
      <c r="O9" s="1">
        <f>N9/VLOOKUP(A9,'[290]geoMap (13)'!$A:$B,2,0)*VLOOKUP(A9,'[290]geoMap (13)'!$A:$C,3,0)</f>
        <v>1323.6251684173401</v>
      </c>
      <c r="P9" s="1">
        <f>O9/VLOOKUP(A9,'[291]geoMap (14)'!$A:$B,2,0)*VLOOKUP(A9,'[291]geoMap (14)'!$A:$C,3,0)</f>
        <v>882.41677894489351</v>
      </c>
      <c r="Q9" s="1">
        <f>P9/VLOOKUP(A9,'[292]geoMap (15)'!$A:$B,2,0)*VLOOKUP(A9,'[292]geoMap (15)'!$A:$C,3,0)</f>
        <v>396.44811807669134</v>
      </c>
      <c r="R9" s="1">
        <f>Q9/VLOOKUP(A9,'[293]geoMap (16)'!$A:$B,2,0)*VLOOKUP(A9,'[293]geoMap (16)'!$A:$C,3,0)</f>
        <v>111.81869997034883</v>
      </c>
      <c r="S9" s="1">
        <f>R9/VLOOKUP(A9,'[294]geoMap (17)'!$A:$B,2,0)*VLOOKUP(A9,'[294]geoMap (17)'!$A:$C,3,0)</f>
        <v>447.27479988139532</v>
      </c>
      <c r="T9" s="1">
        <f>S9/VLOOKUP(A9,'[295]geoMap (18)'!$A:$B,2,0)*VLOOKUP(A9,'[295]geoMap (18)'!$A:$C,3,0)</f>
        <v>412.86904604436484</v>
      </c>
      <c r="U9" s="1">
        <f>T9/VLOOKUP(A9,'[296]geoMap (19)'!$A:$B,2,0)*VLOOKUP(A9,'[296]geoMap (19)'!$A:$C,3,0)</f>
        <v>232.2388383999552</v>
      </c>
      <c r="V9" s="1">
        <f>U9/VLOOKUP(A9,'[297]geoMap (20)'!$A:$B,2,0)*VLOOKUP(A9,'[297]geoMap (20)'!$A:$C,3,0)</f>
        <v>295.57670341812479</v>
      </c>
      <c r="W9" s="1">
        <f>V9/VLOOKUP(A9,'[298]geoMap (21)'!$A:$B,2,0)*VLOOKUP(A9,'[298]geoMap (21)'!$A:$C,3,0)</f>
        <v>126.6757300363392</v>
      </c>
      <c r="X9" s="1">
        <f>W9/VLOOKUP(A9,'[299]geoMap (22)'!$A:$B,2,0)*VLOOKUP(A9,'[299]geoMap (22)'!$A:$C,3,0)</f>
        <v>235.25492721034425</v>
      </c>
      <c r="Y9" s="1">
        <f>X9/VLOOKUP(A9,'[300]geoMap (23)'!$A:$B,2,0)*VLOOKUP(A9,'[300]geoMap (23)'!$A:$C,3,0)</f>
        <v>276.16882759475197</v>
      </c>
      <c r="Z9" s="1">
        <f>Y9/VLOOKUP(A9,'[301]geoMap (24)'!$A:$B,2,0)*VLOOKUP(A9,'[301]geoMap (24)'!$A:$C,3,0)</f>
        <v>82.491987463367479</v>
      </c>
      <c r="AA9" s="1">
        <f>Z9/VLOOKUP(A9,'[302]geoMap (25)'!$A:$B,2,0)*VLOOKUP(A9,'[302]geoMap (25)'!$A:$C,3,0)</f>
        <v>104.98980222610408</v>
      </c>
    </row>
    <row r="10" spans="1:27" x14ac:dyDescent="0.2">
      <c r="A10" s="1" t="s">
        <v>37</v>
      </c>
      <c r="B10" s="1">
        <f>Notes!$C$6*VLOOKUP(A10,[277]geoMap!$A:$B,2,0)</f>
        <v>21000</v>
      </c>
      <c r="C10" s="1">
        <f>B10/6*7</f>
        <v>24500</v>
      </c>
      <c r="D10" s="1">
        <f>B10/VLOOKUP(A10,'[307]geoMap (26)'!$A:$B,2,0)*VLOOKUP(A10,'[307]geoMap (26)'!$A:$C,3,0)</f>
        <v>7000</v>
      </c>
      <c r="E10" s="1">
        <f>D10/VLOOKUP(A10,'[280]geoMap (3)'!$A:$B,2,0)*VLOOKUP(A10,'[280]geoMap (3)'!$A:$C,3,0)</f>
        <v>8217.391304347826</v>
      </c>
      <c r="F10" s="1">
        <f>E10/VLOOKUP(A10,'[281]geoMap (4)'!$A:$B,2,0)*VLOOKUP(A10,'[281]geoMap (4)'!$A:$C,3,0)</f>
        <v>7287.1205906480718</v>
      </c>
      <c r="G10" s="1">
        <f>F10/VLOOKUP(A10,'[282]geoMap (5)'!$A:$B,2,0)*VLOOKUP(A10,'[282]geoMap (5)'!$A:$C,3,0)</f>
        <v>2833.8802296964727</v>
      </c>
      <c r="H10" s="1">
        <f>G10/VLOOKUP(A10,'[283]geoMap (6)'!$A:$B,2,0)*VLOOKUP(A10,'[283]geoMap (6)'!$A:$C,3,0)</f>
        <v>3195.6521739130444</v>
      </c>
      <c r="I10" s="1">
        <f>H10/62*1</f>
        <v>51.542776998597489</v>
      </c>
      <c r="J10" s="1">
        <f>H10/VLOOKUP(A10,'[304]geoMap (27)'!$A:$B,2,0)*VLOOKUP(A10,'[304]geoMap (27)'!$A:$C,3,0)</f>
        <v>1646.245059288538</v>
      </c>
      <c r="K10" s="1">
        <f>J10/VLOOKUP(A10,'[286]geoMap (9)'!$A:$B,2,0)*VLOOKUP(A10,'[286]geoMap (9)'!$A:$C,3,0)</f>
        <v>1097.4967061923587</v>
      </c>
      <c r="L10" s="1">
        <f>K10/VLOOKUP(A10,'[287]geoMap (10)'!$A:$B,2,0)*VLOOKUP(A10,'[287]geoMap (10)'!$A:$C,3,0)</f>
        <v>617.34189723320173</v>
      </c>
      <c r="M10" s="1">
        <f>L10/42*21</f>
        <v>308.67094861660087</v>
      </c>
      <c r="N10" s="1">
        <f>M10/27*37</f>
        <v>422.99352217830494</v>
      </c>
      <c r="O10" s="1">
        <f>K10/VLOOKUP(A10,'[305]geoMap (28)'!$A:$B,2,0)*VLOOKUP(A10,'[305]geoMap (28)'!$A:$C,3,0)</f>
        <v>794.73899413929428</v>
      </c>
      <c r="P10" s="1">
        <f>O10/42*11</f>
        <v>208.14592703648185</v>
      </c>
      <c r="Q10" s="1">
        <f>O10/VLOOKUP(A10,'[308]geoMap (29)'!$A:$B,2,0)*VLOOKUP(A10,'[308]geoMap (29)'!$A:$C,3,0)</f>
        <v>264.91299804643143</v>
      </c>
      <c r="R10" s="1">
        <f>Q10/40*2</f>
        <v>13.245649902321571</v>
      </c>
      <c r="S10" s="44">
        <f>Q10/41*19</f>
        <v>122.76456007029749</v>
      </c>
      <c r="T10" s="1">
        <f>Q10/70*30</f>
        <v>113.53414201989918</v>
      </c>
      <c r="U10" s="1">
        <f>T10/VLOOKUP(A10,'[296]geoMap (19)'!$A:$B,2,0)*VLOOKUP(A10,'[296]geoMap (19)'!$A:$C,3,0)</f>
        <v>63.862954886193279</v>
      </c>
      <c r="V10" s="4">
        <f>Q10/VLOOKUP(A10,'[309]geoMap (32)'!$A:$B,2,0)*VLOOKUP(A10,'[309]geoMap (32)'!$A:$C,3,0)</f>
        <v>23.035912873602733</v>
      </c>
      <c r="W10" s="1">
        <f>V10/5*14</f>
        <v>64.500556046087652</v>
      </c>
      <c r="X10" s="1">
        <f>W10/20*16</f>
        <v>51.600444836870125</v>
      </c>
      <c r="Y10" s="1">
        <f>V10/9*42</f>
        <v>107.50092674347943</v>
      </c>
      <c r="Z10" s="1">
        <f>Y10/VLOOKUP(A10,'[301]geoMap (24)'!$A:$B,2,0)*VLOOKUP(A10,'[301]geoMap (24)'!$A:$C,3,0)</f>
        <v>65.887664778261581</v>
      </c>
      <c r="AA10" s="1">
        <f>Z10/VLOOKUP(A10,'[302]geoMap (25)'!$A:$B,2,0)*VLOOKUP(A10,'[302]geoMap (25)'!$A:$C,3,0)</f>
        <v>133.77192545889471</v>
      </c>
    </row>
    <row r="11" spans="1:27" x14ac:dyDescent="0.2">
      <c r="A11" s="1" t="s">
        <v>42</v>
      </c>
      <c r="B11" s="1">
        <f>Notes!$C$6*VLOOKUP(A11,[277]geoMap!$A:$B,2,0)</f>
        <v>15000</v>
      </c>
      <c r="C11" s="1">
        <f>B11/VLOOKUP(A11,'[278]geoMap (1)'!$A:$B,2,0)*VLOOKUP(A11,'[278]geoMap (1)'!$A:$C,3,0)</f>
        <v>7058.823529411764</v>
      </c>
      <c r="D11" s="1">
        <f>C11/VLOOKUP(A11,'[279]geoMap (2)'!$A:$B,2,0)*VLOOKUP(A11,'[279]geoMap (2)'!$A:$C,3,0)</f>
        <v>10157.819225251074</v>
      </c>
      <c r="E11" s="1">
        <f>D11/VLOOKUP(A11,'[280]geoMap (3)'!$A:$B,2,0)*VLOOKUP(A11,'[280]geoMap (3)'!$A:$C,3,0)</f>
        <v>8310.9430024781523</v>
      </c>
      <c r="F11" s="1">
        <f>E11/VLOOKUP(A11,'[281]geoMap (4)'!$A:$B,2,0)*VLOOKUP(A11,'[281]geoMap (4)'!$A:$C,3,0)</f>
        <v>3733.901928649605</v>
      </c>
      <c r="G11" s="1">
        <f>F11/VLOOKUP(A11,'[282]geoMap (5)'!$A:$B,2,0)*VLOOKUP(A11,'[282]geoMap (5)'!$A:$C,3,0)</f>
        <v>9141.621963245585</v>
      </c>
      <c r="H11" s="1">
        <f>G11/VLOOKUP(A11,'[283]geoMap (6)'!$A:$B,2,0)*VLOOKUP(A11,'[283]geoMap (6)'!$A:$C,3,0)</f>
        <v>4922.4118263630062</v>
      </c>
      <c r="I11" s="1">
        <f>H11/VLOOKUP(A11,'[284]geoMap (7)'!$A:$B,2,0)*VLOOKUP(A11,'[284]geoMap (7)'!$A:$C,3,0)</f>
        <v>100.45738421148992</v>
      </c>
      <c r="J11" s="1">
        <f>I11/VLOOKUP(A11,'[285]geoMap (8)'!$A:$B,2,0)*VLOOKUP(A11,'[285]geoMap (8)'!$A:$C,3,0)</f>
        <v>1573.8323526466754</v>
      </c>
      <c r="K11" s="1">
        <f>J11/VLOOKUP(A11,'[286]geoMap (9)'!$A:$B,2,0)*VLOOKUP(A11,'[286]geoMap (9)'!$A:$C,3,0)</f>
        <v>2173.3875346073137</v>
      </c>
      <c r="L11" s="1">
        <f>K11/VLOOKUP(A11,'[287]geoMap (10)'!$A:$B,2,0)*VLOOKUP(A11,'[287]geoMap (10)'!$A:$C,3,0)</f>
        <v>887.72166906495909</v>
      </c>
      <c r="M11" s="1">
        <f>L11/VLOOKUP(A11,'[288]geoMap (11)'!$A:$B,2,0)*VLOOKUP(A11,'[288]geoMap (11)'!$A:$C,3,0)</f>
        <v>887.72166906495909</v>
      </c>
      <c r="N11" s="1">
        <f>M11/VLOOKUP(A11,'[289]geoMap (12)'!$A:$B,2,0)*VLOOKUP(A11,'[289]geoMap (12)'!$A:$C,3,0)</f>
        <v>1331.5825035974383</v>
      </c>
      <c r="O11" s="1">
        <f>N11/VLOOKUP(A11,'[290]geoMap (13)'!$A:$B,2,0)*VLOOKUP(A11,'[290]geoMap (13)'!$A:$C,3,0)</f>
        <v>782.04051798579701</v>
      </c>
      <c r="P11" s="1">
        <f>O11/VLOOKUP(A11,'[291]geoMap (14)'!$A:$B,2,0)*VLOOKUP(A11,'[291]geoMap (14)'!$A:$C,3,0)</f>
        <v>148.96009866396136</v>
      </c>
      <c r="Q11" s="1">
        <f>P11/VLOOKUP(A11,'[292]geoMap (15)'!$A:$B,2,0)*VLOOKUP(A11,'[292]geoMap (15)'!$A:$C,3,0)</f>
        <v>197.45873543827435</v>
      </c>
      <c r="R11" s="1">
        <f>Q11/VLOOKUP(A11,'[293]geoMap (16)'!$A:$B,2,0)*VLOOKUP(A11,'[293]geoMap (16)'!$A:$C,3,0)</f>
        <v>62.35539013840242</v>
      </c>
      <c r="S11" s="1">
        <f>R11/VLOOKUP(A11,'[294]geoMap (17)'!$A:$B,2,0)*VLOOKUP(A11,'[294]geoMap (17)'!$A:$C,3,0)</f>
        <v>383.0402537073291</v>
      </c>
      <c r="T11" s="1">
        <f>S11/VLOOKUP(A11,'[295]geoMap (18)'!$A:$B,2,0)*VLOOKUP(A11,'[295]geoMap (18)'!$A:$C,3,0)</f>
        <v>277.37397682254868</v>
      </c>
      <c r="U11" s="1">
        <f>T11/VLOOKUP(A11,'[296]geoMap (19)'!$A:$B,2,0)*VLOOKUP(A11,'[296]geoMap (19)'!$A:$C,3,0)</f>
        <v>69.343494205637171</v>
      </c>
      <c r="V11" s="1">
        <f>U11/VLOOKUP(A11,'[297]geoMap (20)'!$A:$B,2,0)*VLOOKUP(A11,'[297]geoMap (20)'!$A:$C,3,0)</f>
        <v>10.361671547968772</v>
      </c>
      <c r="W11" s="1">
        <f>V11/VLOOKUP(A11,'[298]geoMap (21)'!$A:$B,2,0)*VLOOKUP(A11,'[298]geoMap (21)'!$A:$C,3,0)</f>
        <v>69.343494205637171</v>
      </c>
      <c r="X11" s="1">
        <f>W11/VLOOKUP(A11,'[299]geoMap (22)'!$A:$B,2,0)*VLOOKUP(A11,'[299]geoMap (22)'!$A:$C,3,0)</f>
        <v>88.255356261720053</v>
      </c>
      <c r="Y11" s="1">
        <f>X11/VLOOKUP(A11,'[300]geoMap (23)'!$A:$B,2,0)*VLOOKUP(A11,'[300]geoMap (23)'!$A:$C,3,0)</f>
        <v>163.90280448605154</v>
      </c>
      <c r="Z11" s="1">
        <f>Y11/VLOOKUP(A11,'[301]geoMap (24)'!$A:$B,2,0)*VLOOKUP(A11,'[301]geoMap (24)'!$A:$C,3,0)</f>
        <v>33.570453930878031</v>
      </c>
      <c r="AA11" s="1">
        <f>Z11/VLOOKUP(A11,'[302]geoMap (25)'!$A:$B,2,0)*VLOOKUP(A11,'[302]geoMap (25)'!$A:$C,3,0)</f>
        <v>86.324024393686358</v>
      </c>
    </row>
    <row r="12" spans="1:27" x14ac:dyDescent="0.2">
      <c r="A12" s="1" t="s">
        <v>43</v>
      </c>
      <c r="B12" s="1">
        <f>Notes!$C$6*VLOOKUP(A12,[277]geoMap!$A:$B,2,0)</f>
        <v>17000</v>
      </c>
      <c r="C12" s="1">
        <f>B12/VLOOKUP(A12,'[278]geoMap (1)'!$A:$B,2,0)*VLOOKUP(A12,'[278]geoMap (1)'!$A:$C,3,0)</f>
        <v>3238.0952380952385</v>
      </c>
      <c r="D12" s="1">
        <f>C12/VLOOKUP(A12,'[279]geoMap (2)'!$A:$B,2,0)*VLOOKUP(A12,'[279]geoMap (2)'!$A:$C,3,0)</f>
        <v>12181.405895691612</v>
      </c>
      <c r="E12" s="1">
        <f>D12/VLOOKUP(A12,'[280]geoMap (3)'!$A:$B,2,0)*VLOOKUP(A12,'[280]geoMap (3)'!$A:$C,3,0)</f>
        <v>7466.0229683271173</v>
      </c>
      <c r="F12" s="1">
        <f>E12/VLOOKUP(A12,'[281]geoMap (4)'!$A:$B,2,0)*VLOOKUP(A12,'[281]geoMap (4)'!$A:$C,3,0)</f>
        <v>6620.8128209693296</v>
      </c>
      <c r="G12" s="1">
        <f>F12/VLOOKUP(A12,'[282]geoMap (5)'!$A:$B,2,0)*VLOOKUP(A12,'[282]geoMap (5)'!$A:$C,3,0)</f>
        <v>7772.2585289639965</v>
      </c>
      <c r="H12" s="1">
        <f>G12/VLOOKUP(A12,'[283]geoMap (6)'!$A:$B,2,0)*VLOOKUP(A12,'[283]geoMap (6)'!$A:$C,3,0)</f>
        <v>6620.8128209693296</v>
      </c>
      <c r="I12" s="1">
        <f>H12/VLOOKUP(A12,'[284]geoMap (7)'!$A:$B,2,0)*VLOOKUP(A12,'[284]geoMap (7)'!$A:$C,3,0)</f>
        <v>66.876897181508383</v>
      </c>
      <c r="J12" s="1">
        <f>I12/VLOOKUP(A12,'[285]geoMap (8)'!$A:$B,2,0)*VLOOKUP(A12,'[285]geoMap (8)'!$A:$C,3,0)</f>
        <v>3276.9679618939108</v>
      </c>
      <c r="K12" s="1">
        <f>J12/VLOOKUP(A12,'[286]geoMap (9)'!$A:$B,2,0)*VLOOKUP(A12,'[286]geoMap (9)'!$A:$C,3,0)</f>
        <v>1338.4798717594847</v>
      </c>
      <c r="L12" s="1">
        <f>K12/VLOOKUP(A12,'[287]geoMap (10)'!$A:$B,2,0)*VLOOKUP(A12,'[287]geoMap (10)'!$A:$C,3,0)</f>
        <v>399.80567598010583</v>
      </c>
      <c r="M12" s="1">
        <f>L12/VLOOKUP(A12,'[288]geoMap (11)'!$A:$B,2,0)*VLOOKUP(A12,'[288]geoMap (11)'!$A:$C,3,0)</f>
        <v>488.65138175346272</v>
      </c>
      <c r="N12" s="1">
        <f>M12/VLOOKUP(A12,'[289]geoMap (12)'!$A:$B,2,0)*VLOOKUP(A12,'[289]geoMap (12)'!$A:$C,3,0)</f>
        <v>992.11038113581822</v>
      </c>
      <c r="O12" s="1">
        <f>N12/VLOOKUP(A12,'[290]geoMap (13)'!$A:$B,2,0)*VLOOKUP(A12,'[290]geoMap (13)'!$A:$C,3,0)</f>
        <v>385.8207037750405</v>
      </c>
      <c r="P12" s="1">
        <f>O12/VLOOKUP(A12,'[291]geoMap (14)'!$A:$B,2,0)*VLOOKUP(A12,'[291]geoMap (14)'!$A:$C,3,0)</f>
        <v>246.67225323322265</v>
      </c>
      <c r="Q12" s="1">
        <f>P12/VLOOKUP(A12,'[292]geoMap (15)'!$A:$B,2,0)*VLOOKUP(A12,'[292]geoMap (15)'!$A:$C,3,0)</f>
        <v>110.82376594536092</v>
      </c>
      <c r="R12" s="1">
        <f>Q12/VLOOKUP(A12,'[293]geoMap (16)'!$A:$B,2,0)*VLOOKUP(A12,'[293]geoMap (16)'!$A:$C,3,0)</f>
        <v>3.4275391529493064</v>
      </c>
      <c r="S12" s="4">
        <f>Q12/VLOOKUP(A12,'[310]geoMap (30)'!$A:$B,2,0)*VLOOKUP(A12,'[310]geoMap (30)'!$A:$C,3,0)</f>
        <v>225.00582782846004</v>
      </c>
      <c r="T12" s="1">
        <f>S12/VLOOKUP(A12,'[295]geoMap (18)'!$A:$B,2,0)*VLOOKUP(A12,'[295]geoMap (18)'!$A:$C,3,0)</f>
        <v>137.90679770131422</v>
      </c>
      <c r="U12" s="1">
        <f>T12/41*6</f>
        <v>20.181482590436225</v>
      </c>
      <c r="V12" s="44">
        <f>U12/12*2</f>
        <v>3.3635804317393707</v>
      </c>
      <c r="W12" s="1">
        <f>U12/7*36</f>
        <v>103.79048189367202</v>
      </c>
      <c r="X12" s="1">
        <f>W12/VLOOKUP(A12,'[299]geoMap (22)'!$A:$B,2,0)*VLOOKUP(A12,'[299]geoMap (22)'!$A:$C,3,0)</f>
        <v>60.956314762950235</v>
      </c>
      <c r="Y12" s="1">
        <f>X12/VLOOKUP(A12,'[300]geoMap (23)'!$A:$B,2,0)*VLOOKUP(A12,'[300]geoMap (23)'!$A:$C,3,0)</f>
        <v>84.177768005978905</v>
      </c>
      <c r="Z12" s="1">
        <f>V12/2*16</f>
        <v>26.908643453914966</v>
      </c>
      <c r="AA12" s="1">
        <f>Z12/9*23</f>
        <v>68.766533271116032</v>
      </c>
    </row>
    <row r="13" spans="1:27" x14ac:dyDescent="0.2">
      <c r="A13" s="1" t="s">
        <v>48</v>
      </c>
      <c r="B13" s="1">
        <f>Notes!$C$6*VLOOKUP(A13,[277]geoMap!$A:$B,2,0)</f>
        <v>22000</v>
      </c>
      <c r="C13" s="1">
        <f>B13/VLOOKUP(A13,'[278]geoMap (1)'!$A:$B,2,0)*VLOOKUP(A13,'[278]geoMap (1)'!$A:$C,3,0)</f>
        <v>4829.2682926829275</v>
      </c>
      <c r="D13" s="1">
        <f>C13/VLOOKUP(A13,'[279]geoMap (2)'!$A:$B,2,0)*VLOOKUP(A13,'[279]geoMap (2)'!$A:$C,3,0)</f>
        <v>10749.01652242329</v>
      </c>
      <c r="E13" s="1">
        <f>D13/VLOOKUP(A13,'[280]geoMap (3)'!$A:$B,2,0)*VLOOKUP(A13,'[280]geoMap (3)'!$A:$C,3,0)</f>
        <v>11644.767899291897</v>
      </c>
      <c r="F13" s="1">
        <f>E13/VLOOKUP(A13,'[281]geoMap (4)'!$A:$B,2,0)*VLOOKUP(A13,'[281]geoMap (4)'!$A:$C,3,0)</f>
        <v>8092.1268452706399</v>
      </c>
      <c r="G13" s="1">
        <f>F13/VLOOKUP(A13,'[282]geoMap (5)'!$A:$B,2,0)*VLOOKUP(A13,'[282]geoMap (5)'!$A:$C,3,0)</f>
        <v>8092.1268452706399</v>
      </c>
      <c r="H13" s="1">
        <f>G13/VLOOKUP(A13,'[283]geoMap (6)'!$A:$B,2,0)*VLOOKUP(A13,'[283]geoMap (6)'!$A:$C,3,0)</f>
        <v>4168.671405139421</v>
      </c>
      <c r="I13" s="1">
        <f>H13/VLOOKUP(A13,'[284]geoMap (7)'!$A:$B,2,0)*VLOOKUP(A13,'[284]geoMap (7)'!$A:$C,3,0)</f>
        <v>266.08540883868648</v>
      </c>
      <c r="J13" s="1">
        <f>I13/VLOOKUP(A13,'[285]geoMap (8)'!$A:$B,2,0)*VLOOKUP(A13,'[285]geoMap (8)'!$A:$C,3,0)</f>
        <v>2690.4191338133855</v>
      </c>
      <c r="K13" s="1">
        <f>J13/VLOOKUP(A13,'[286]geoMap (9)'!$A:$B,2,0)*VLOOKUP(A13,'[286]geoMap (9)'!$A:$C,3,0)</f>
        <v>2483.4638158277407</v>
      </c>
      <c r="L13" s="1">
        <f>K13/VLOOKUP(A13,'[287]geoMap (10)'!$A:$B,2,0)*VLOOKUP(A13,'[287]geoMap (10)'!$A:$C,3,0)</f>
        <v>1587.7883412669162</v>
      </c>
      <c r="M13" s="1">
        <f>L13/VLOOKUP(A13,'[288]geoMap (11)'!$A:$B,2,0)*VLOOKUP(A13,'[288]geoMap (11)'!$A:$C,3,0)</f>
        <v>1720.1040363724928</v>
      </c>
      <c r="N13" s="1">
        <f>M13/VLOOKUP(A13,'[289]geoMap (12)'!$A:$B,2,0)*VLOOKUP(A13,'[289]geoMap (12)'!$A:$C,3,0)</f>
        <v>1297.6223432283718</v>
      </c>
      <c r="O13" s="1">
        <f>N13/VLOOKUP(A13,'[290]geoMap (13)'!$A:$B,2,0)*VLOOKUP(A13,'[290]geoMap (13)'!$A:$C,3,0)</f>
        <v>1105.3819960834278</v>
      </c>
      <c r="P13" s="1">
        <f>O13/VLOOKUP(A13,'[291]geoMap (14)'!$A:$B,2,0)*VLOOKUP(A13,'[291]geoMap (14)'!$A:$C,3,0)</f>
        <v>368.46066536114262</v>
      </c>
      <c r="Q13" s="1">
        <f>P13/VLOOKUP(A13,'[292]geoMap (15)'!$A:$B,2,0)*VLOOKUP(A13,'[292]geoMap (15)'!$A:$C,3,0)</f>
        <v>266.81634388220675</v>
      </c>
      <c r="R13" s="1">
        <f>Q13/VLOOKUP(A13,'[293]geoMap (16)'!$A:$B,2,0)*VLOOKUP(A13,'[293]geoMap (16)'!$A:$C,3,0)</f>
        <v>79.698388432347471</v>
      </c>
      <c r="S13" s="1">
        <f>R13/VLOOKUP(A13,'[294]geoMap (17)'!$A:$B,2,0)*VLOOKUP(A13,'[294]geoMap (17)'!$A:$C,3,0)</f>
        <v>916.531466971996</v>
      </c>
      <c r="T13" s="1">
        <f>S13/VLOOKUP(A13,'[295]geoMap (18)'!$A:$B,2,0)*VLOOKUP(A13,'[295]geoMap (18)'!$A:$C,3,0)</f>
        <v>374.3579231294068</v>
      </c>
      <c r="U13" s="1">
        <f>T13/VLOOKUP(A13,'[296]geoMap (19)'!$A:$B,2,0)*VLOOKUP(A13,'[296]geoMap (19)'!$A:$C,3,0)</f>
        <v>210.57633176029131</v>
      </c>
      <c r="V13" s="1">
        <f>U13/VLOOKUP(A13,'[297]geoMap (20)'!$A:$B,2,0)*VLOOKUP(A13,'[297]geoMap (20)'!$A:$C,3,0)</f>
        <v>59.393324342646267</v>
      </c>
      <c r="W13" s="1">
        <f>V13/VLOOKUP(A13,'[298]geoMap (21)'!$A:$B,2,0)*VLOOKUP(A13,'[298]geoMap (21)'!$A:$C,3,0)</f>
        <v>169.04253851368551</v>
      </c>
      <c r="X13" s="1">
        <f>W13/VLOOKUP(A13,'[299]geoMap (22)'!$A:$B,2,0)*VLOOKUP(A13,'[299]geoMap (22)'!$A:$C,3,0)</f>
        <v>108.07637708252024</v>
      </c>
      <c r="Y13" s="1">
        <f>X13/VLOOKUP(A13,'[300]geoMap (23)'!$A:$B,2,0)*VLOOKUP(A13,'[300]geoMap (23)'!$A:$C,3,0)</f>
        <v>117.08274183939695</v>
      </c>
      <c r="Z13" s="1">
        <f>Y13/VLOOKUP(A13,'[301]geoMap (24)'!$A:$B,2,0)*VLOOKUP(A13,'[301]geoMap (24)'!$A:$C,3,0)</f>
        <v>57.66761911492685</v>
      </c>
      <c r="AA13" s="1">
        <f>Z13/VLOOKUP(A13,'[302]geoMap (25)'!$A:$B,2,0)*VLOOKUP(A13,'[302]geoMap (25)'!$A:$C,3,0)</f>
        <v>49.124268134937687</v>
      </c>
    </row>
    <row r="14" spans="1:27" x14ac:dyDescent="0.2">
      <c r="A14" s="1" t="s">
        <v>44</v>
      </c>
      <c r="B14" s="1">
        <f>Notes!$C$6*VLOOKUP(A14,[277]geoMap!$A:$B,2,0)</f>
        <v>31000</v>
      </c>
      <c r="C14" s="1">
        <f>B14/VLOOKUP(A14,'[278]geoMap (1)'!$A:$B,2,0)*VLOOKUP(A14,'[278]geoMap (1)'!$A:$C,3,0)</f>
        <v>1291.6666666666667</v>
      </c>
      <c r="D14" s="1">
        <f>C14/VLOOKUP(A14,'[279]geoMap (2)'!$A:$B,2,0)*VLOOKUP(A14,'[279]geoMap (2)'!$A:$C,3,0)</f>
        <v>6781.25</v>
      </c>
      <c r="E14" s="1">
        <f>D14/VLOOKUP(A14,'[280]geoMap (3)'!$A:$B,2,0)*VLOOKUP(A14,'[280]geoMap (3)'!$A:$C,3,0)</f>
        <v>7346.3541666666679</v>
      </c>
      <c r="F14" s="1">
        <f>E14/VLOOKUP(A14,'[281]geoMap (4)'!$A:$B,2,0)*VLOOKUP(A14,'[281]geoMap (4)'!$A:$C,3,0)</f>
        <v>7646.2053571428587</v>
      </c>
      <c r="G14" s="1">
        <f>F14/VLOOKUP(A14,'[282]geoMap (5)'!$A:$B,2,0)*VLOOKUP(A14,'[282]geoMap (5)'!$A:$C,3,0)</f>
        <v>3766.0414445629003</v>
      </c>
      <c r="H14" s="1">
        <f>G14/VLOOKUP(A14,'[283]geoMap (6)'!$A:$B,2,0)*VLOOKUP(A14,'[283]geoMap (6)'!$A:$C,3,0)</f>
        <v>9684.1065717331712</v>
      </c>
      <c r="I14" s="1">
        <f>G14/68*1</f>
        <v>55.382962420042652</v>
      </c>
      <c r="J14" s="1">
        <f>I14/VLOOKUP(A14,'[285]geoMap (8)'!$A:$B,2,0)*VLOOKUP(A14,'[285]geoMap (8)'!$A:$C,3,0)</f>
        <v>1790.7157849147125</v>
      </c>
      <c r="K14" s="1">
        <f>J14/VLOOKUP(A14,'[286]geoMap (9)'!$A:$B,2,0)*VLOOKUP(A14,'[286]geoMap (9)'!$A:$C,3,0)</f>
        <v>1525.4245575199402</v>
      </c>
      <c r="L14" s="1">
        <f>K14/VLOOKUP(A14,'[287]geoMap (10)'!$A:$B,2,0)*VLOOKUP(A14,'[287]geoMap (10)'!$A:$C,3,0)</f>
        <v>1525.4245575199402</v>
      </c>
      <c r="M14" s="1">
        <f>L14/VLOOKUP(A14,'[288]geoMap (11)'!$A:$B,2,0)*VLOOKUP(A14,'[288]geoMap (11)'!$A:$C,3,0)</f>
        <v>975.27143841438794</v>
      </c>
      <c r="N14" s="1">
        <f>M14/VLOOKUP(A14,'[289]geoMap (12)'!$A:$B,2,0)*VLOOKUP(A14,'[289]geoMap (12)'!$A:$C,3,0)</f>
        <v>650.18095894292537</v>
      </c>
      <c r="O14" s="1">
        <f>N14/VLOOKUP(A14,'[290]geoMap (13)'!$A:$B,2,0)*VLOOKUP(A14,'[290]geoMap (13)'!$A:$C,3,0)</f>
        <v>827.50303865463241</v>
      </c>
      <c r="P14" s="1">
        <f>O14/VLOOKUP(A14,'[291]geoMap (14)'!$A:$B,2,0)*VLOOKUP(A14,'[291]geoMap (14)'!$A:$C,3,0)</f>
        <v>599.22633833611314</v>
      </c>
      <c r="Q14" s="1">
        <f>P14/VLOOKUP(A14,'[292]geoMap (15)'!$A:$B,2,0)*VLOOKUP(A14,'[292]geoMap (15)'!$A:$C,3,0)</f>
        <v>470.82069440694602</v>
      </c>
      <c r="R14" s="1">
        <f>Q14/VLOOKUP(A14,'[293]geoMap (16)'!$A:$B,2,0)*VLOOKUP(A14,'[293]geoMap (16)'!$A:$C,3,0)</f>
        <v>19.617528933622754</v>
      </c>
      <c r="S14" s="1">
        <f>R14/VLOOKUP(A14,'[294]geoMap (17)'!$A:$B,2,0)*VLOOKUP(A14,'[294]geoMap (17)'!$A:$C,3,0)</f>
        <v>470.82069440694607</v>
      </c>
      <c r="T14" s="1">
        <f>S14/VLOOKUP(A14,'[295]geoMap (18)'!$A:$B,2,0)*VLOOKUP(A14,'[295]geoMap (18)'!$A:$C,3,0)</f>
        <v>231.89675993177943</v>
      </c>
      <c r="U14" s="1">
        <f>T14/VLOOKUP(A14,'[296]geoMap (19)'!$A:$B,2,0)*VLOOKUP(A14,'[296]geoMap (19)'!$A:$C,3,0)</f>
        <v>142.13027221625191</v>
      </c>
      <c r="V14" s="1">
        <f>U14/VLOOKUP(A14,'[297]geoMap (20)'!$A:$B,2,0)*VLOOKUP(A14,'[297]geoMap (20)'!$A:$C,3,0)</f>
        <v>9.0721450350799095</v>
      </c>
      <c r="W14" s="1">
        <f>V14/VLOOKUP(A14,'[298]geoMap (21)'!$A:$B,2,0)*VLOOKUP(A14,'[298]geoMap (21)'!$A:$C,3,0)</f>
        <v>44.293413994801902</v>
      </c>
      <c r="X14" s="1">
        <f>W14/VLOOKUP(A14,'[299]geoMap (22)'!$A:$B,2,0)*VLOOKUP(A14,'[299]geoMap (22)'!$A:$C,3,0)</f>
        <v>108.4424963321012</v>
      </c>
      <c r="Y14" s="1">
        <f>X14/VLOOKUP(A14,'[300]geoMap (23)'!$A:$B,2,0)*VLOOKUP(A14,'[300]geoMap (23)'!$A:$C,3,0)</f>
        <v>138.01772260449246</v>
      </c>
      <c r="Z14" s="1">
        <f>Y14/VLOOKUP(A14,'[301]geoMap (24)'!$A:$B,2,0)*VLOOKUP(A14,'[301]geoMap (24)'!$A:$C,3,0)</f>
        <v>108.44249633210121</v>
      </c>
      <c r="AA14" s="1">
        <f>Z14/VLOOKUP(A14,'[302]geoMap (25)'!$A:$B,2,0)*VLOOKUP(A14,'[302]geoMap (25)'!$A:$C,3,0)</f>
        <v>92.376941319938069</v>
      </c>
    </row>
    <row r="15" spans="1:27" x14ac:dyDescent="0.2">
      <c r="A15" s="1" t="s">
        <v>55</v>
      </c>
      <c r="B15" s="1">
        <f>Notes!$C$6*VLOOKUP(A15,[277]geoMap!$A:$B,2,0)</f>
        <v>15000</v>
      </c>
      <c r="C15" s="1">
        <f>B15/VLOOKUP(A15,'[278]geoMap (1)'!$A:$B,2,0)*VLOOKUP(A15,'[278]geoMap (1)'!$A:$C,3,0)</f>
        <v>4736.8421052631575</v>
      </c>
      <c r="D15" s="1">
        <f>C15/VLOOKUP(A15,'[279]geoMap (2)'!$A:$B,2,0)*VLOOKUP(A15,'[279]geoMap (2)'!$A:$C,3,0)</f>
        <v>7408.9068825910917</v>
      </c>
      <c r="E15" s="1">
        <f>D15/VLOOKUP(A15,'[280]geoMap (3)'!$A:$B,2,0)*VLOOKUP(A15,'[280]geoMap (3)'!$A:$C,3,0)</f>
        <v>7711.3112451458301</v>
      </c>
      <c r="F15" s="1">
        <f>E15/VLOOKUP(A15,'[281]geoMap (4)'!$A:$B,2,0)*VLOOKUP(A15,'[281]geoMap (4)'!$A:$C,3,0)</f>
        <v>5817.3049744082582</v>
      </c>
      <c r="G15" s="1">
        <f>F15/VLOOKUP(A15,'[282]geoMap (5)'!$A:$B,2,0)*VLOOKUP(A15,'[282]geoMap (5)'!$A:$C,3,0)</f>
        <v>5369.8199763768534</v>
      </c>
      <c r="H15" s="1">
        <f>G15/VLOOKUP(A15,'[283]geoMap (6)'!$A:$B,2,0)*VLOOKUP(A15,'[283]geoMap (6)'!$A:$C,3,0)</f>
        <v>3020.5237367119803</v>
      </c>
      <c r="I15" s="1">
        <f>H15/VLOOKUP(A15,'[284]geoMap (7)'!$A:$B,2,0)*VLOOKUP(A15,'[284]geoMap (7)'!$A:$C,3,0)</f>
        <v>93.418259898308676</v>
      </c>
      <c r="J15" s="1">
        <f>I15/VLOOKUP(A15,'[285]geoMap (8)'!$A:$B,2,0)*VLOOKUP(A15,'[285]geoMap (8)'!$A:$C,3,0)</f>
        <v>2242.0382375594081</v>
      </c>
      <c r="K15" s="1">
        <f>J15/VLOOKUP(A15,'[286]geoMap (9)'!$A:$B,2,0)*VLOOKUP(A15,'[286]geoMap (9)'!$A:$C,3,0)</f>
        <v>1909.8844245876437</v>
      </c>
      <c r="L15" s="1">
        <f>K15/VLOOKUP(A15,'[287]geoMap (10)'!$A:$B,2,0)*VLOOKUP(A15,'[287]geoMap (10)'!$A:$C,3,0)</f>
        <v>983.87985509060434</v>
      </c>
      <c r="M15" s="1">
        <f>L15/VLOOKUP(A15,'[288]geoMap (11)'!$A:$B,2,0)*VLOOKUP(A15,'[288]geoMap (11)'!$A:$C,3,0)</f>
        <v>529.78146043340223</v>
      </c>
      <c r="N15" s="1">
        <f>M15/VLOOKUP(A15,'[289]geoMap (12)'!$A:$B,2,0)*VLOOKUP(A15,'[289]geoMap (12)'!$A:$C,3,0)</f>
        <v>1075.6169045163015</v>
      </c>
      <c r="O15" s="1">
        <f>N15/VLOOKUP(A15,'[290]geoMap (13)'!$A:$B,2,0)*VLOOKUP(A15,'[290]geoMap (13)'!$A:$C,3,0)</f>
        <v>747.4625946638705</v>
      </c>
      <c r="P15" s="1">
        <f>O15/VLOOKUP(A15,'[291]geoMap (14)'!$A:$B,2,0)*VLOOKUP(A15,'[291]geoMap (14)'!$A:$C,3,0)</f>
        <v>249.15419822129016</v>
      </c>
      <c r="Q15" s="1">
        <f>P15/VLOOKUP(A15,'[292]geoMap (15)'!$A:$B,2,0)*VLOOKUP(A15,'[292]geoMap (15)'!$A:$C,3,0)</f>
        <v>111.93884267913036</v>
      </c>
      <c r="R15" s="1">
        <f>Q15/VLOOKUP(A15,'[293]geoMap (16)'!$A:$B,2,0)*VLOOKUP(A15,'[293]geoMap (16)'!$A:$C,3,0)</f>
        <v>29.755894889389079</v>
      </c>
      <c r="S15" s="1">
        <f>R15/VLOOKUP(A15,'[294]geoMap (17)'!$A:$B,2,0)*VLOOKUP(A15,'[294]geoMap (17)'!$A:$C,3,0)</f>
        <v>168.61673770653812</v>
      </c>
      <c r="T15" s="1">
        <f>S15/VLOOKUP(A15,'[295]geoMap (18)'!$A:$B,2,0)*VLOOKUP(A15,'[295]geoMap (18)'!$A:$C,3,0)</f>
        <v>190.14227869035153</v>
      </c>
      <c r="U15" s="1">
        <f>T15/VLOOKUP(A15,'[296]geoMap (19)'!$A:$B,2,0)*VLOOKUP(A15,'[296]geoMap (19)'!$A:$C,3,0)</f>
        <v>116.53881597150577</v>
      </c>
      <c r="V15" s="1">
        <f>U15/VLOOKUP(A15,'[297]geoMap (20)'!$A:$B,2,0)*VLOOKUP(A15,'[297]geoMap (20)'!$A:$C,3,0)</f>
        <v>60.035147621684786</v>
      </c>
      <c r="W15" s="1">
        <f>V15/VLOOKUP(A15,'[298]geoMap (21)'!$A:$B,2,0)*VLOOKUP(A15,'[298]geoMap (21)'!$A:$C,3,0)</f>
        <v>76.408369700326105</v>
      </c>
      <c r="X15" s="1">
        <f>W15/VLOOKUP(A15,'[299]geoMap (22)'!$A:$B,2,0)*VLOOKUP(A15,'[299]geoMap (22)'!$A:$C,3,0)</f>
        <v>93.38800741150969</v>
      </c>
      <c r="Y15" s="1">
        <f>X15/VLOOKUP(A15,'[300]geoMap (23)'!$A:$B,2,0)*VLOOKUP(A15,'[300]geoMap (23)'!$A:$C,3,0)</f>
        <v>93.38800741150969</v>
      </c>
      <c r="Z15" s="1">
        <f>Y15/VLOOKUP(A15,'[301]geoMap (24)'!$A:$B,2,0)*VLOOKUP(A15,'[301]geoMap (24)'!$A:$C,3,0)</f>
        <v>43.947297605416324</v>
      </c>
      <c r="AA15" s="1">
        <f>Z15/VLOOKUP(A15,'[302]geoMap (25)'!$A:$B,2,0)*VLOOKUP(A15,'[302]geoMap (25)'!$A:$C,3,0)</f>
        <v>89.226331501905875</v>
      </c>
    </row>
    <row r="16" spans="1:27" x14ac:dyDescent="0.2">
      <c r="A16" s="1" t="s">
        <v>60</v>
      </c>
      <c r="B16" s="1">
        <f>Notes!$C$6*VLOOKUP(A16,[277]geoMap!$A:$B,2,0)</f>
        <v>17000</v>
      </c>
      <c r="C16" s="1">
        <f>B16/VLOOKUP(A16,'[278]geoMap (1)'!$A:$B,2,0)*VLOOKUP(A16,'[278]geoMap (1)'!$A:$C,3,0)</f>
        <v>3731.7073170731705</v>
      </c>
      <c r="D16" s="1">
        <f>C16/VLOOKUP(A16,'[279]geoMap (2)'!$A:$B,2,0)*VLOOKUP(A16,'[279]geoMap (2)'!$A:$C,3,0)</f>
        <v>6353.9881344759388</v>
      </c>
      <c r="E16" s="1">
        <f>D16/VLOOKUP(A16,'[280]geoMap (3)'!$A:$B,2,0)*VLOOKUP(A16,'[280]geoMap (3)'!$A:$C,3,0)</f>
        <v>5634.6687230258312</v>
      </c>
      <c r="F16" s="1">
        <f>E16/VLOOKUP(A16,'[281]geoMap (4)'!$A:$B,2,0)*VLOOKUP(A16,'[281]geoMap (4)'!$A:$C,3,0)</f>
        <v>5864.6552015166826</v>
      </c>
      <c r="G16" s="1">
        <f>F16/VLOOKUP(A16,'[282]geoMap (5)'!$A:$B,2,0)*VLOOKUP(A16,'[282]geoMap (5)'!$A:$C,3,0)</f>
        <v>5200.7319711563023</v>
      </c>
      <c r="H16" s="1">
        <f>G16/VLOOKUP(A16,'[283]geoMap (6)'!$A:$B,2,0)*VLOOKUP(A16,'[283]geoMap (6)'!$A:$C,3,0)</f>
        <v>3923.3592063108954</v>
      </c>
      <c r="I16" s="1">
        <f>H16/VLOOKUP(A16,'[284]geoMap (7)'!$A:$B,2,0)*VLOOKUP(A16,'[284]geoMap (7)'!$A:$C,3,0)</f>
        <v>80.068555230834605</v>
      </c>
      <c r="J16" s="1">
        <f>I16/VLOOKUP(A16,'[285]geoMap (8)'!$A:$B,2,0)*VLOOKUP(A16,'[285]geoMap (8)'!$A:$C,3,0)</f>
        <v>2588.8832857969855</v>
      </c>
      <c r="K16" s="1">
        <f>J16/VLOOKUP(A16,'[286]geoMap (9)'!$A:$B,2,0)*VLOOKUP(A16,'[286]geoMap (9)'!$A:$C,3,0)</f>
        <v>2588.8832857969855</v>
      </c>
      <c r="L16" s="1">
        <f>K16/VLOOKUP(A16,'[287]geoMap (10)'!$A:$B,2,0)*VLOOKUP(A16,'[287]geoMap (10)'!$A:$C,3,0)</f>
        <v>817.5420902516795</v>
      </c>
      <c r="M16" s="1">
        <f>L16/VLOOKUP(A16,'[288]geoMap (11)'!$A:$B,2,0)*VLOOKUP(A16,'[288]geoMap (11)'!$A:$C,3,0)</f>
        <v>592.01323776845766</v>
      </c>
      <c r="N16" s="1">
        <f>M16/VLOOKUP(A16,'[289]geoMap (12)'!$A:$B,2,0)*VLOOKUP(A16,'[289]geoMap (12)'!$A:$C,3,0)</f>
        <v>1052.4679782550359</v>
      </c>
      <c r="O16" s="1">
        <f>N16/VLOOKUP(A16,'[290]geoMap (13)'!$A:$B,2,0)*VLOOKUP(A16,'[290]geoMap (13)'!$A:$C,3,0)</f>
        <v>826.93912577181379</v>
      </c>
      <c r="P16" s="1">
        <f>O16/VLOOKUP(A16,'[291]geoMap (14)'!$A:$B,2,0)*VLOOKUP(A16,'[291]geoMap (14)'!$A:$C,3,0)</f>
        <v>275.64637525727125</v>
      </c>
      <c r="Q16" s="1">
        <f>P16/VLOOKUP(A16,'[292]geoMap (15)'!$A:$B,2,0)*VLOOKUP(A16,'[292]geoMap (15)'!$A:$C,3,0)</f>
        <v>91.882125085757082</v>
      </c>
      <c r="R16" s="1">
        <f>Q16/VLOOKUP(A16,'[293]geoMap (16)'!$A:$B,2,0)*VLOOKUP(A16,'[293]geoMap (16)'!$A:$C,3,0)</f>
        <v>17.501357159191826</v>
      </c>
      <c r="S16" s="1">
        <f>R16/VLOOKUP(A16,'[294]geoMap (17)'!$A:$B,2,0)*VLOOKUP(A16,'[294]geoMap (17)'!$A:$C,3,0)</f>
        <v>157.51221443272644</v>
      </c>
      <c r="T16" s="1">
        <f>S16/VLOOKUP(A16,'[295]geoMap (18)'!$A:$B,2,0)*VLOOKUP(A16,'[295]geoMap (18)'!$A:$C,3,0)</f>
        <v>163.94128440957243</v>
      </c>
      <c r="U16" s="1">
        <f>T16/VLOOKUP(A16,'[296]geoMap (19)'!$A:$B,2,0)*VLOOKUP(A16,'[296]geoMap (19)'!$A:$C,3,0)</f>
        <v>70.26055046124533</v>
      </c>
      <c r="V16" s="1">
        <f>U16/VLOOKUP(A16,'[297]geoMap (20)'!$A:$B,2,0)*VLOOKUP(A16,'[297]geoMap (20)'!$A:$C,3,0)</f>
        <v>53.003573154974553</v>
      </c>
      <c r="W16" s="1">
        <f>V16/VLOOKUP(A16,'[298]geoMap (21)'!$A:$B,2,0)*VLOOKUP(A16,'[298]geoMap (21)'!$A:$C,3,0)</f>
        <v>48.926375219976514</v>
      </c>
      <c r="X16" s="1">
        <f>W16/VLOOKUP(A16,'[299]geoMap (22)'!$A:$B,2,0)*VLOOKUP(A16,'[299]geoMap (22)'!$A:$C,3,0)</f>
        <v>48.926375219976514</v>
      </c>
      <c r="Y16" s="1">
        <f>X16/VLOOKUP(A16,'[300]geoMap (23)'!$A:$B,2,0)*VLOOKUP(A16,'[300]geoMap (23)'!$A:$C,3,0)</f>
        <v>67.564994351396138</v>
      </c>
      <c r="Z16" s="1">
        <f>Y16/VLOOKUP(A16,'[301]geoMap (24)'!$A:$B,2,0)*VLOOKUP(A16,'[301]geoMap (24)'!$A:$C,3,0)</f>
        <v>22.521664783798713</v>
      </c>
      <c r="AA16" s="1">
        <f>Z16/VLOOKUP(A16,'[302]geoMap (25)'!$A:$B,2,0)*VLOOKUP(A16,'[302]geoMap (25)'!$A:$C,3,0)</f>
        <v>55.139248263783053</v>
      </c>
    </row>
    <row r="17" spans="1:27" x14ac:dyDescent="0.2">
      <c r="A17" s="1" t="s">
        <v>61</v>
      </c>
      <c r="B17" s="1">
        <f>Notes!$C$6*VLOOKUP(A17,[277]geoMap!$A:$B,2,0)</f>
        <v>17000</v>
      </c>
      <c r="C17" s="1">
        <f>B17/VLOOKUP(A17,'[278]geoMap (1)'!$A:$B,2,0)*VLOOKUP(A17,'[278]geoMap (1)'!$A:$C,3,0)</f>
        <v>1888.8888888888887</v>
      </c>
      <c r="D17" s="1">
        <f>C17/VLOOKUP(A17,'[279]geoMap (2)'!$A:$B,2,0)*VLOOKUP(A17,'[279]geoMap (2)'!$A:$C,3,0)</f>
        <v>5981.4814814814808</v>
      </c>
      <c r="E17" s="1">
        <f>D17/VLOOKUP(A17,'[280]geoMap (3)'!$A:$B,2,0)*VLOOKUP(A17,'[280]geoMap (3)'!$A:$C,3,0)</f>
        <v>4512.3456790123455</v>
      </c>
      <c r="F17" s="1">
        <f>E17/VLOOKUP(A17,'[281]geoMap (4)'!$A:$B,2,0)*VLOOKUP(A17,'[281]geoMap (4)'!$A:$C,3,0)</f>
        <v>4165.2421652421654</v>
      </c>
      <c r="G17" s="1">
        <f>F17/VLOOKUP(A17,'[282]geoMap (5)'!$A:$B,2,0)*VLOOKUP(A17,'[282]geoMap (5)'!$A:$C,3,0)</f>
        <v>3272.6902726902722</v>
      </c>
      <c r="H17" s="1">
        <f>G17/VLOOKUP(A17,'[283]geoMap (6)'!$A:$B,2,0)*VLOOKUP(A17,'[283]geoMap (6)'!$A:$C,3,0)</f>
        <v>2787.8472693287504</v>
      </c>
      <c r="I17" s="1">
        <f>H17/VLOOKUP(A17,'[284]geoMap (7)'!$A:$B,2,0)*VLOOKUP(A17,'[284]geoMap (7)'!$A:$C,3,0)</f>
        <v>86.222080494703619</v>
      </c>
      <c r="J17" s="1">
        <f>I17/VLOOKUP(A17,'[285]geoMap (8)'!$A:$B,2,0)*VLOOKUP(A17,'[285]geoMap (8)'!$A:$C,3,0)</f>
        <v>775.99872445233257</v>
      </c>
      <c r="K17" s="1">
        <f>J17/VLOOKUP(A17,'[286]geoMap (9)'!$A:$B,2,0)*VLOOKUP(A17,'[286]geoMap (9)'!$A:$C,3,0)</f>
        <v>634.90804727918112</v>
      </c>
      <c r="L17" s="1">
        <f>K17/VLOOKUP(A17,'[287]geoMap (10)'!$A:$B,2,0)*VLOOKUP(A17,'[287]geoMap (10)'!$A:$C,3,0)</f>
        <v>200.49727808816246</v>
      </c>
      <c r="M17" s="1">
        <f>L17/VLOOKUP(A17,'[288]geoMap (11)'!$A:$B,2,0)*VLOOKUP(A17,'[288]geoMap (11)'!$A:$C,3,0)</f>
        <v>389.20059864172714</v>
      </c>
      <c r="N17" s="1">
        <f>M17/VLOOKUP(A17,'[289]geoMap (12)'!$A:$B,2,0)*VLOOKUP(A17,'[289]geoMap (12)'!$A:$C,3,0)</f>
        <v>305.80047036135704</v>
      </c>
      <c r="O17" s="1">
        <f>N17/VLOOKUP(A17,'[290]geoMap (13)'!$A:$B,2,0)*VLOOKUP(A17,'[290]geoMap (13)'!$A:$C,3,0)</f>
        <v>271.1815491883732</v>
      </c>
      <c r="P17" s="1">
        <f>O17/50*19</f>
        <v>103.04898869158181</v>
      </c>
      <c r="Q17" s="1">
        <f>O17/VLOOKUP(A17,'[308]geoMap (29)'!$A:$B,2,0)*VLOOKUP(A17,'[308]geoMap (29)'!$A:$C,3,0)</f>
        <v>81.002280926397191</v>
      </c>
      <c r="R17" s="1">
        <f>Q17/VLOOKUP(A17,'[293]geoMap (16)'!$A:$B,2,0)*VLOOKUP(A17,'[293]geoMap (16)'!$A:$C,3,0)</f>
        <v>9.0002534362663535</v>
      </c>
      <c r="S17" s="1">
        <f>R17/VLOOKUP(A17,'[294]geoMap (17)'!$A:$B,2,0)*VLOOKUP(A17,'[294]geoMap (17)'!$A:$C,3,0)</f>
        <v>119.57479565325298</v>
      </c>
      <c r="T17" s="1">
        <f>S17/VLOOKUP(A17,'[295]geoMap (18)'!$A:$B,2,0)*VLOOKUP(A17,'[295]geoMap (18)'!$A:$C,3,0)</f>
        <v>93.951625156127321</v>
      </c>
      <c r="U17" s="1">
        <f>S17/VLOOKUP(A17,'[306]geoMap (31)'!$A:$B,2,0)*VLOOKUP(A17,'[306]geoMap (31)'!$A:$C,3,0)</f>
        <v>28.048408856935882</v>
      </c>
      <c r="V17" s="44">
        <f>U17/27*5</f>
        <v>5.1941497883214591</v>
      </c>
      <c r="W17" s="1">
        <f>V17/5*25</f>
        <v>25.970748941607297</v>
      </c>
      <c r="X17" s="1">
        <f>W17/VLOOKUP(A17,'[299]geoMap (22)'!$A:$B,2,0)*VLOOKUP(A17,'[299]geoMap (22)'!$A:$C,3,0)</f>
        <v>46.170220340635197</v>
      </c>
      <c r="Y17" s="1">
        <f>X17/VLOOKUP(A17,'[300]geoMap (23)'!$A:$B,2,0)*VLOOKUP(A17,'[300]geoMap (23)'!$A:$C,3,0)</f>
        <v>29.518665463684798</v>
      </c>
      <c r="Z17" s="1">
        <f>Y17/VLOOKUP(A17,'[301]geoMap (24)'!$A:$B,2,0)*VLOOKUP(A17,'[301]geoMap (24)'!$A:$C,3,0)</f>
        <v>11.479481013655201</v>
      </c>
      <c r="AA17" s="1">
        <f>Z17/VLOOKUP(A17,'[302]geoMap (25)'!$A:$B,2,0)*VLOOKUP(A17,'[302]geoMap (25)'!$A:$C,3,0)</f>
        <v>26.7854556985288</v>
      </c>
    </row>
    <row r="18" spans="1:27" x14ac:dyDescent="0.2">
      <c r="A18" s="1" t="s">
        <v>57</v>
      </c>
      <c r="B18" s="1">
        <f>Notes!$C$6*VLOOKUP(A18,[277]geoMap!$A:$B,2,0)</f>
        <v>14000</v>
      </c>
      <c r="C18" s="1">
        <f>B18/80*6</f>
        <v>1050</v>
      </c>
      <c r="D18" s="1">
        <f>B18/VLOOKUP(A18,'[307]geoMap (26)'!$A:$B,2,0)*VLOOKUP(A18,'[307]geoMap (26)'!$A:$C,3,0)</f>
        <v>2666.666666666667</v>
      </c>
      <c r="E18" s="1">
        <f>D18/VLOOKUP(A18,'[280]geoMap (3)'!$A:$B,2,0)*VLOOKUP(A18,'[280]geoMap (3)'!$A:$C,3,0)</f>
        <v>5935.4838709677424</v>
      </c>
      <c r="F18" s="1">
        <f>E18/VLOOKUP(A18,'[281]geoMap (4)'!$A:$B,2,0)*VLOOKUP(A18,'[281]geoMap (4)'!$A:$C,3,0)</f>
        <v>6177.7485187623442</v>
      </c>
      <c r="G18" s="1">
        <f>F18/VLOOKUP(A18,'[282]geoMap (5)'!$A:$B,2,0)*VLOOKUP(A18,'[282]geoMap (5)'!$A:$C,3,0)</f>
        <v>1544.4371296905861</v>
      </c>
      <c r="H18" s="1">
        <f>G18/VLOOKUP(A18,'[283]geoMap (6)'!$A:$B,2,0)*VLOOKUP(A18,'[283]geoMap (6)'!$A:$C,3,0)</f>
        <v>3135.6753845233111</v>
      </c>
      <c r="I18" s="1">
        <f>G18/72*2</f>
        <v>42.901031380294057</v>
      </c>
      <c r="J18" s="1">
        <f>H18/VLOOKUP(A18,'[304]geoMap (27)'!$A:$B,2,0)*VLOOKUP(A18,'[304]geoMap (27)'!$A:$C,3,0)</f>
        <v>936.63030966280724</v>
      </c>
      <c r="K18" s="1">
        <f>J18/VLOOKUP(A18,'[286]geoMap (9)'!$A:$B,2,0)*VLOOKUP(A18,'[286]geoMap (9)'!$A:$C,3,0)</f>
        <v>1293.4418562010194</v>
      </c>
      <c r="L18" s="1">
        <f>K18/VLOOKUP(A18,'[287]geoMap (10)'!$A:$B,2,0)*VLOOKUP(A18,'[287]geoMap (10)'!$A:$C,3,0)</f>
        <v>608.67852056518552</v>
      </c>
      <c r="M18" s="1">
        <f>L18/53*18</f>
        <v>206.72100698440263</v>
      </c>
      <c r="N18" s="1">
        <f>M18/30*31</f>
        <v>213.61170721721604</v>
      </c>
      <c r="O18" s="1">
        <f>K18/VLOOKUP(A18,'[305]geoMap (28)'!$A:$B,2,0)*VLOOKUP(A18,'[305]geoMap (28)'!$A:$C,3,0)</f>
        <v>637.06837693483044</v>
      </c>
      <c r="P18" s="1">
        <f>O18/VLOOKUP(A18,'[291]geoMap (14)'!$A:$B,2,0)*VLOOKUP(A18,'[291]geoMap (14)'!$A:$C,3,0)</f>
        <v>223.83483513926475</v>
      </c>
      <c r="Q18" s="1">
        <f>P18/VLOOKUP(A18,'[292]geoMap (15)'!$A:$B,2,0)*VLOOKUP(A18,'[292]geoMap (15)'!$A:$C,3,0)</f>
        <v>137.18909250471066</v>
      </c>
      <c r="R18" s="1">
        <f>Q18/50*4</f>
        <v>10.975127400376852</v>
      </c>
      <c r="S18" s="44">
        <f>Q18/46*14</f>
        <v>41.75320206665107</v>
      </c>
      <c r="T18" s="1">
        <f>S18/20*33</f>
        <v>68.892783409974271</v>
      </c>
      <c r="U18" s="1">
        <f>T18/24*24</f>
        <v>68.892783409974271</v>
      </c>
      <c r="V18" s="1">
        <f>U18/VLOOKUP(A18,'[297]geoMap (20)'!$A:$B,2,0)*VLOOKUP(A18,'[297]geoMap (20)'!$A:$C,3,0)</f>
        <v>29.525478604274689</v>
      </c>
      <c r="W18" s="1">
        <f>V18/VLOOKUP(A18,'[298]geoMap (21)'!$A:$B,2,0)*VLOOKUP(A18,'[298]geoMap (21)'!$A:$C,3,0)</f>
        <v>167.31104542422324</v>
      </c>
      <c r="X18" s="1">
        <f>W18/VLOOKUP(A18,'[299]geoMap (22)'!$A:$B,2,0)*VLOOKUP(A18,'[299]geoMap (22)'!$A:$C,3,0)</f>
        <v>0</v>
      </c>
      <c r="Y18" s="1">
        <f>V18/9*15</f>
        <v>49.209131007124476</v>
      </c>
      <c r="Z18" s="1">
        <f>V18/14*10</f>
        <v>21.089627574481923</v>
      </c>
      <c r="AA18" s="1">
        <f>Z18/10*0</f>
        <v>0</v>
      </c>
    </row>
    <row r="19" spans="1:27" x14ac:dyDescent="0.2">
      <c r="A19" s="1" t="s">
        <v>71</v>
      </c>
      <c r="B19" s="1">
        <f>Notes!$C$6*VLOOKUP(A19,[277]geoMap!$A:$B,2,0)</f>
        <v>20000</v>
      </c>
      <c r="C19" s="1">
        <f>B19/VLOOKUP(A19,'[278]geoMap (1)'!$A:$B,2,0)*VLOOKUP(A19,'[278]geoMap (1)'!$A:$C,3,0)</f>
        <v>4096.3855421686749</v>
      </c>
      <c r="D19" s="1">
        <f>C19/VLOOKUP(A19,'[279]geoMap (2)'!$A:$B,2,0)*VLOOKUP(A19,'[279]geoMap (2)'!$A:$C,3,0)</f>
        <v>5894.7987070232148</v>
      </c>
      <c r="E19" s="1">
        <f>D19/VLOOKUP(A19,'[280]geoMap (3)'!$A:$B,2,0)*VLOOKUP(A19,'[280]geoMap (3)'!$A:$C,3,0)</f>
        <v>6135.4027358813046</v>
      </c>
      <c r="F19" s="1">
        <f>E19/VLOOKUP(A19,'[281]geoMap (4)'!$A:$B,2,0)*VLOOKUP(A19,'[281]geoMap (4)'!$A:$C,3,0)</f>
        <v>5663.4486792750495</v>
      </c>
      <c r="G19" s="1">
        <f>F19/VLOOKUP(A19,'[282]geoMap (5)'!$A:$B,2,0)*VLOOKUP(A19,'[282]geoMap (5)'!$A:$C,3,0)</f>
        <v>3935.6168788182549</v>
      </c>
      <c r="H19" s="1">
        <f>G19/VLOOKUP(A19,'[283]geoMap (6)'!$A:$B,2,0)*VLOOKUP(A19,'[283]geoMap (6)'!$A:$C,3,0)</f>
        <v>1686.6929480649665</v>
      </c>
      <c r="I19" s="1">
        <f>H19/VLOOKUP(A19,'[284]geoMap (7)'!$A:$B,2,0)*VLOOKUP(A19,'[284]geoMap (7)'!$A:$C,3,0)</f>
        <v>88.773313056050881</v>
      </c>
      <c r="J19" s="1">
        <f>I19/VLOOKUP(A19,'[285]geoMap (8)'!$A:$B,2,0)*VLOOKUP(A19,'[285]geoMap (8)'!$A:$C,3,0)</f>
        <v>2870.337122145645</v>
      </c>
      <c r="K19" s="1">
        <f>J19/VLOOKUP(A19,'[286]geoMap (9)'!$A:$B,2,0)*VLOOKUP(A19,'[286]geoMap (9)'!$A:$C,3,0)</f>
        <v>1759.2388813150726</v>
      </c>
      <c r="L19" s="1">
        <f>K19/VLOOKUP(A19,'[287]geoMap (10)'!$A:$B,2,0)*VLOOKUP(A19,'[287]geoMap (10)'!$A:$C,3,0)</f>
        <v>1078.2431853221412</v>
      </c>
      <c r="M19" s="1">
        <f>L19/VLOOKUP(A19,'[288]geoMap (11)'!$A:$B,2,0)*VLOOKUP(A19,'[288]geoMap (11)'!$A:$C,3,0)</f>
        <v>1078.2431853221412</v>
      </c>
      <c r="N19" s="1">
        <f>M19/VLOOKUP(A19,'[289]geoMap (12)'!$A:$B,2,0)*VLOOKUP(A19,'[289]geoMap (12)'!$A:$C,3,0)</f>
        <v>956.17791905925719</v>
      </c>
      <c r="O19" s="1">
        <f>N19/VLOOKUP(A19,'[290]geoMap (13)'!$A:$B,2,0)*VLOOKUP(A19,'[290]geoMap (13)'!$A:$C,3,0)</f>
        <v>814.52193105047832</v>
      </c>
      <c r="P19" s="1">
        <f>O19/VLOOKUP(A19,'[291]geoMap (14)'!$A:$B,2,0)*VLOOKUP(A19,'[291]geoMap (14)'!$A:$C,3,0)</f>
        <v>383.30443814140153</v>
      </c>
      <c r="Q19" s="1">
        <f>P19/VLOOKUP(A19,'[292]geoMap (15)'!$A:$B,2,0)*VLOOKUP(A19,'[292]geoMap (15)'!$A:$C,3,0)</f>
        <v>206.39469746075466</v>
      </c>
      <c r="R19" s="1">
        <f>Q19/VLOOKUP(A19,'[293]geoMap (16)'!$A:$B,2,0)*VLOOKUP(A19,'[293]geoMap (16)'!$A:$C,3,0)</f>
        <v>33.599136795936808</v>
      </c>
      <c r="S19" s="1">
        <f>R19/VLOOKUP(A19,'[294]geoMap (17)'!$A:$B,2,0)*VLOOKUP(A19,'[294]geoMap (17)'!$A:$C,3,0)</f>
        <v>246.39366983686992</v>
      </c>
      <c r="T19" s="1">
        <f>S19/VLOOKUP(A19,'[295]geoMap (18)'!$A:$B,2,0)*VLOOKUP(A19,'[295]geoMap (18)'!$A:$C,3,0)</f>
        <v>227.44031061864914</v>
      </c>
      <c r="U19" s="1">
        <f>T19/VLOOKUP(A19,'[296]geoMap (19)'!$A:$B,2,0)*VLOOKUP(A19,'[296]geoMap (19)'!$A:$C,3,0)</f>
        <v>122.46785956388798</v>
      </c>
      <c r="V19" s="1">
        <f>U19/VLOOKUP(A19,'[297]geoMap (20)'!$A:$B,2,0)*VLOOKUP(A19,'[297]geoMap (20)'!$A:$C,3,0)</f>
        <v>47.626389830400889</v>
      </c>
      <c r="W19" s="1">
        <f>V19/VLOOKUP(A19,'[298]geoMap (21)'!$A:$B,2,0)*VLOOKUP(A19,'[298]geoMap (21)'!$A:$C,3,0)</f>
        <v>63.132656286810473</v>
      </c>
      <c r="X19" s="1">
        <f>W19/VLOOKUP(A19,'[299]geoMap (22)'!$A:$B,2,0)*VLOOKUP(A19,'[299]geoMap (22)'!$A:$C,3,0)</f>
        <v>122.55162690969092</v>
      </c>
      <c r="Y19" s="1">
        <f>X19/VLOOKUP(A19,'[300]geoMap (23)'!$A:$B,2,0)*VLOOKUP(A19,'[300]geoMap (23)'!$A:$C,3,0)</f>
        <v>100.26951292611075</v>
      </c>
      <c r="Z19" s="1">
        <f>Y19/VLOOKUP(A19,'[301]geoMap (24)'!$A:$B,2,0)*VLOOKUP(A19,'[301]geoMap (24)'!$A:$C,3,0)</f>
        <v>42.972648396904603</v>
      </c>
      <c r="AA19" s="1">
        <f>Z19/VLOOKUP(A19,'[302]geoMap (25)'!$A:$B,2,0)*VLOOKUP(A19,'[302]geoMap (25)'!$A:$C,3,0)</f>
        <v>76.395819372274858</v>
      </c>
    </row>
    <row r="20" spans="1:27" x14ac:dyDescent="0.2">
      <c r="A20" s="1" t="s">
        <v>79</v>
      </c>
      <c r="B20" s="1">
        <f>Notes!$C$6*VLOOKUP(A20,[277]geoMap!$A:$B,2,0)</f>
        <v>12000</v>
      </c>
      <c r="C20" s="1">
        <f>B20/VLOOKUP(A20,'[278]geoMap (1)'!$A:$B,2,0)*VLOOKUP(A20,'[278]geoMap (1)'!$A:$C,3,0)</f>
        <v>4216.2162162162167</v>
      </c>
      <c r="D20" s="1">
        <f>C20/VLOOKUP(A20,'[279]geoMap (2)'!$A:$B,2,0)*VLOOKUP(A20,'[279]geoMap (2)'!$A:$C,3,0)</f>
        <v>7495.4954954954974</v>
      </c>
      <c r="E20" s="1">
        <f>D20/VLOOKUP(A20,'[280]geoMap (3)'!$A:$B,2,0)*VLOOKUP(A20,'[280]geoMap (3)'!$A:$C,3,0)</f>
        <v>5889.3178893178901</v>
      </c>
      <c r="F20" s="1">
        <f>E20/VLOOKUP(A20,'[281]geoMap (4)'!$A:$B,2,0)*VLOOKUP(A20,'[281]geoMap (4)'!$A:$C,3,0)</f>
        <v>4264.6784715750246</v>
      </c>
      <c r="G20" s="1">
        <f>F20/VLOOKUP(A20,'[282]geoMap (5)'!$A:$B,2,0)*VLOOKUP(A20,'[282]geoMap (5)'!$A:$C,3,0)</f>
        <v>4097.4361785720821</v>
      </c>
      <c r="H20" s="1">
        <f>G20/VLOOKUP(A20,'[283]geoMap (6)'!$A:$B,2,0)*VLOOKUP(A20,'[283]geoMap (6)'!$A:$C,3,0)</f>
        <v>2967.1089568970251</v>
      </c>
      <c r="I20" s="1">
        <f>H20/VLOOKUP(A20,'[284]geoMap (7)'!$A:$B,2,0)*VLOOKUP(A20,'[284]geoMap (7)'!$A:$C,3,0)</f>
        <v>223.33078170192661</v>
      </c>
      <c r="J20" s="1">
        <f>I20/VLOOKUP(A20,'[285]geoMap (8)'!$A:$B,2,0)*VLOOKUP(A20,'[285]geoMap (8)'!$A:$C,3,0)</f>
        <v>2009.9770353173396</v>
      </c>
      <c r="K20" s="1">
        <f>J20/VLOOKUP(A20,'[286]geoMap (9)'!$A:$B,2,0)*VLOOKUP(A20,'[286]geoMap (9)'!$A:$C,3,0)</f>
        <v>1082.2953267093365</v>
      </c>
      <c r="L20" s="1">
        <f>K20/VLOOKUP(A20,'[287]geoMap (10)'!$A:$B,2,0)*VLOOKUP(A20,'[287]geoMap (10)'!$A:$C,3,0)</f>
        <v>533.07083255832993</v>
      </c>
      <c r="M20" s="1">
        <f>L20/VLOOKUP(A20,'[288]geoMap (11)'!$A:$B,2,0)*VLOOKUP(A20,'[288]geoMap (11)'!$A:$C,3,0)</f>
        <v>799.60624883749472</v>
      </c>
      <c r="N20" s="1">
        <f>M20/VLOOKUP(A20,'[289]geoMap (12)'!$A:$B,2,0)*VLOOKUP(A20,'[289]geoMap (12)'!$A:$C,3,0)</f>
        <v>901.68364230611121</v>
      </c>
      <c r="O20" s="1">
        <f>N20/VLOOKUP(A20,'[290]geoMap (13)'!$A:$B,2,0)*VLOOKUP(A20,'[290]geoMap (13)'!$A:$C,3,0)</f>
        <v>626.59371753475523</v>
      </c>
      <c r="P20" s="1">
        <f>O20/VLOOKUP(A20,'[291]geoMap (14)'!$A:$B,2,0)*VLOOKUP(A20,'[291]geoMap (14)'!$A:$C,3,0)</f>
        <v>166.56288693961847</v>
      </c>
      <c r="Q20" s="1">
        <f>P20/VLOOKUP(A20,'[292]geoMap (15)'!$A:$B,2,0)*VLOOKUP(A20,'[292]geoMap (15)'!$A:$C,3,0)</f>
        <v>85.805123574954976</v>
      </c>
      <c r="R20" s="1">
        <f>Q20/VLOOKUP(A20,'[293]geoMap (16)'!$A:$B,2,0)*VLOOKUP(A20,'[293]geoMap (16)'!$A:$C,3,0)</f>
        <v>17.574543382822107</v>
      </c>
      <c r="S20" s="1">
        <f>R20/VLOOKUP(A20,'[294]geoMap (17)'!$A:$B,2,0)*VLOOKUP(A20,'[294]geoMap (17)'!$A:$C,3,0)</f>
        <v>158.17089044539895</v>
      </c>
      <c r="T20" s="1">
        <f>S20/VLOOKUP(A20,'[295]geoMap (18)'!$A:$B,2,0)*VLOOKUP(A20,'[295]geoMap (18)'!$A:$C,3,0)</f>
        <v>146.00389887267593</v>
      </c>
      <c r="U20" s="1">
        <f>T20/VLOOKUP(A20,'[296]geoMap (19)'!$A:$B,2,0)*VLOOKUP(A20,'[296]geoMap (19)'!$A:$C,3,0)</f>
        <v>75.214129722287609</v>
      </c>
      <c r="V20" s="1">
        <f>U20/VLOOKUP(A20,'[297]geoMap (20)'!$A:$B,2,0)*VLOOKUP(A20,'[297]geoMap (20)'!$A:$C,3,0)</f>
        <v>16.510418719526548</v>
      </c>
      <c r="W20" s="1">
        <f>V20/VLOOKUP(A20,'[298]geoMap (21)'!$A:$B,2,0)*VLOOKUP(A20,'[298]geoMap (21)'!$A:$C,3,0)</f>
        <v>44.639280241682883</v>
      </c>
      <c r="X20" s="1">
        <f>W20/VLOOKUP(A20,'[299]geoMap (22)'!$A:$B,2,0)*VLOOKUP(A20,'[299]geoMap (22)'!$A:$C,3,0)</f>
        <v>59.172999390137768</v>
      </c>
      <c r="Y20" s="1">
        <f>X20/VLOOKUP(A20,'[300]geoMap (23)'!$A:$B,2,0)*VLOOKUP(A20,'[300]geoMap (23)'!$A:$C,3,0)</f>
        <v>41.120219915180485</v>
      </c>
      <c r="Z20" s="1">
        <f>Y20/VLOOKUP(A20,'[301]geoMap (24)'!$A:$B,2,0)*VLOOKUP(A20,'[301]geoMap (24)'!$A:$C,3,0)</f>
        <v>18.474301701023119</v>
      </c>
      <c r="AA20" s="1">
        <f>Z20/VLOOKUP(A20,'[302]geoMap (25)'!$A:$B,2,0)*VLOOKUP(A20,'[302]geoMap (25)'!$A:$C,3,0)</f>
        <v>41.120219915180485</v>
      </c>
    </row>
    <row r="21" spans="1:27" x14ac:dyDescent="0.2">
      <c r="A21" s="1" t="s">
        <v>94</v>
      </c>
      <c r="B21" s="1">
        <f>Notes!$C$6*VLOOKUP(A21,[277]geoMap!$A:$B,2,0)</f>
        <v>11000</v>
      </c>
      <c r="C21" s="1">
        <f>B21/VLOOKUP(A21,'[278]geoMap (1)'!$A:$B,2,0)*VLOOKUP(A21,'[278]geoMap (1)'!$A:$C,3,0)</f>
        <v>2095.2380952380954</v>
      </c>
      <c r="D21" s="1">
        <f>C21/VLOOKUP(A21,'[279]geoMap (2)'!$A:$B,2,0)*VLOOKUP(A21,'[279]geoMap (2)'!$A:$C,3,0)</f>
        <v>6634.9206349206361</v>
      </c>
      <c r="E21" s="1">
        <f>D21/VLOOKUP(A21,'[280]geoMap (3)'!$A:$B,2,0)*VLOOKUP(A21,'[280]geoMap (3)'!$A:$C,3,0)</f>
        <v>6634.9206349206361</v>
      </c>
      <c r="F21" s="1">
        <f>E21/VLOOKUP(A21,'[281]geoMap (4)'!$A:$B,2,0)*VLOOKUP(A21,'[281]geoMap (4)'!$A:$C,3,0)</f>
        <v>5651.9694297472079</v>
      </c>
      <c r="G21" s="1">
        <f>F21/VLOOKUP(A21,'[282]geoMap (5)'!$A:$B,2,0)*VLOOKUP(A21,'[282]geoMap (5)'!$A:$C,3,0)</f>
        <v>5651.9694297472079</v>
      </c>
      <c r="H21" s="1">
        <f>G21/VLOOKUP(A21,'[283]geoMap (6)'!$A:$B,2,0)*VLOOKUP(A21,'[283]geoMap (6)'!$A:$C,3,0)</f>
        <v>2783.805838532207</v>
      </c>
      <c r="I21" s="1">
        <f>H21/VLOOKUP(A21,'[284]geoMap (7)'!$A:$B,2,0)*VLOOKUP(A21,'[284]geoMap (7)'!$A:$C,3,0)</f>
        <v>28.11925089426472</v>
      </c>
      <c r="J21" s="1">
        <f>H21/VLOOKUP(A21,'[304]geoMap (27)'!$A:$B,2,0)*VLOOKUP(A21,'[304]geoMap (27)'!$A:$C,3,0)</f>
        <v>3267.9459843638951</v>
      </c>
      <c r="K21" s="1">
        <f>J21/VLOOKUP(A21,'[286]geoMap (9)'!$A:$B,2,0)*VLOOKUP(A21,'[286]geoMap (9)'!$A:$C,3,0)</f>
        <v>2366.4436438497173</v>
      </c>
      <c r="L21" s="1">
        <f>K21/VLOOKUP(A21,'[287]geoMap (10)'!$A:$B,2,0)*VLOOKUP(A21,'[287]geoMap (10)'!$A:$C,3,0)</f>
        <v>1113.6205382822197</v>
      </c>
      <c r="M21" s="1">
        <f>L21/VLOOKUP(A21,'[288]geoMap (11)'!$A:$B,2,0)*VLOOKUP(A21,'[288]geoMap (11)'!$A:$C,3,0)</f>
        <v>806.41487254919355</v>
      </c>
      <c r="N21" s="1">
        <f>M21/VLOOKUP(A21,'[289]geoMap (12)'!$A:$B,2,0)*VLOOKUP(A21,'[289]geoMap (12)'!$A:$C,3,0)</f>
        <v>1565.3935761249052</v>
      </c>
      <c r="O21" s="1">
        <f>N21/VLOOKUP(A21,'[290]geoMap (13)'!$A:$B,2,0)*VLOOKUP(A21,'[290]geoMap (13)'!$A:$C,3,0)</f>
        <v>842.90423329802582</v>
      </c>
      <c r="P21" s="1">
        <f>O21/VLOOKUP(A21,'[291]geoMap (14)'!$A:$B,2,0)*VLOOKUP(A21,'[291]geoMap (14)'!$A:$C,3,0)</f>
        <v>585.74700957998402</v>
      </c>
      <c r="Q21" s="1">
        <f>P21/VLOOKUP(A21,'[292]geoMap (15)'!$A:$B,2,0)*VLOOKUP(A21,'[292]geoMap (15)'!$A:$C,3,0)</f>
        <v>119.97227907059914</v>
      </c>
      <c r="R21" s="1">
        <f>Q21/VLOOKUP(A21,'[293]geoMap (16)'!$A:$B,2,0)*VLOOKUP(A21,'[293]geoMap (16)'!$A:$C,3,0)</f>
        <v>61.803901339399559</v>
      </c>
      <c r="S21" s="1">
        <f>R21/VLOOKUP(A21,'[294]geoMap (17)'!$A:$B,2,0)*VLOOKUP(A21,'[294]geoMap (17)'!$A:$C,3,0)</f>
        <v>158.92431772988456</v>
      </c>
      <c r="T21" s="1">
        <f>S21/VLOOKUP(A21,'[295]geoMap (18)'!$A:$B,2,0)*VLOOKUP(A21,'[295]geoMap (18)'!$A:$C,3,0)</f>
        <v>146.6993702122011</v>
      </c>
      <c r="U21" s="1">
        <f>T21/VLOOKUP(A21,'[296]geoMap (19)'!$A:$B,2,0)*VLOOKUP(A21,'[296]geoMap (19)'!$A:$C,3,0)</f>
        <v>78.991968575800584</v>
      </c>
      <c r="V21" s="1">
        <f>U21/VLOOKUP(A21,'[297]geoMap (20)'!$A:$B,2,0)*VLOOKUP(A21,'[297]geoMap (20)'!$A:$C,3,0)</f>
        <v>38.906491985095805</v>
      </c>
      <c r="W21" s="1">
        <f>V21/VLOOKUP(A21,'[298]geoMap (21)'!$A:$B,2,0)*VLOOKUP(A21,'[298]geoMap (21)'!$A:$C,3,0)</f>
        <v>146.36251746774136</v>
      </c>
      <c r="X21" s="1">
        <f>W21/VLOOKUP(A21,'[299]geoMap (22)'!$A:$B,2,0)*VLOOKUP(A21,'[299]geoMap (22)'!$A:$C,3,0)</f>
        <v>29.977865023513292</v>
      </c>
      <c r="Y21" s="1">
        <f>X21/VLOOKUP(A21,'[300]geoMap (23)'!$A:$B,2,0)*VLOOKUP(A21,'[300]geoMap (23)'!$A:$C,3,0)</f>
        <v>41.398004080089784</v>
      </c>
      <c r="Z21" s="1">
        <f>Y21/VLOOKUP(A21,'[301]geoMap (24)'!$A:$B,2,0)*VLOOKUP(A21,'[301]geoMap (24)'!$A:$C,3,0)</f>
        <v>31.230073253401066</v>
      </c>
      <c r="AA21" s="1">
        <f>Z21/VLOOKUP(A21,'[302]geoMap (25)'!$A:$B,2,0)*VLOOKUP(A21,'[302]geoMap (25)'!$A:$C,3,0)</f>
        <v>69.512098531763655</v>
      </c>
    </row>
    <row r="22" spans="1:27" x14ac:dyDescent="0.2">
      <c r="A22" s="1" t="s">
        <v>78</v>
      </c>
      <c r="B22" s="1">
        <f>Notes!$C$6*VLOOKUP(A22,[277]geoMap!$A:$B,2,0)</f>
        <v>17000</v>
      </c>
      <c r="C22" s="1">
        <f>B22/VLOOKUP(A22,'[278]geoMap (1)'!$A:$B,2,0)*VLOOKUP(A22,'[278]geoMap (1)'!$A:$C,3,0)</f>
        <v>4518.987341772151</v>
      </c>
      <c r="D22" s="1">
        <f>C22/VLOOKUP(A22,'[279]geoMap (2)'!$A:$B,2,0)*VLOOKUP(A22,'[279]geoMap (2)'!$A:$C,3,0)</f>
        <v>9602.8481012658212</v>
      </c>
      <c r="E22" s="1">
        <f>D22/VLOOKUP(A22,'[280]geoMap (3)'!$A:$B,2,0)*VLOOKUP(A22,'[280]geoMap (3)'!$A:$C,3,0)</f>
        <v>8515.7332218772372</v>
      </c>
      <c r="F22" s="1">
        <f>E22/VLOOKUP(A22,'[281]geoMap (4)'!$A:$B,2,0)*VLOOKUP(A22,'[281]geoMap (4)'!$A:$C,3,0)</f>
        <v>8863.3141697089613</v>
      </c>
      <c r="G22" s="1">
        <f>F22/VLOOKUP(A22,'[282]geoMap (5)'!$A:$B,2,0)*VLOOKUP(A22,'[282]geoMap (5)'!$A:$C,3,0)</f>
        <v>7251.8025024891494</v>
      </c>
      <c r="H22" s="1">
        <f>G22/VLOOKUP(A22,'[283]geoMap (6)'!$A:$B,2,0)*VLOOKUP(A22,'[283]geoMap (6)'!$A:$C,3,0)</f>
        <v>4834.5350016594339</v>
      </c>
      <c r="I22" s="1">
        <f>H22/VLOOKUP(A22,'[284]geoMap (7)'!$A:$B,2,0)*VLOOKUP(A22,'[284]geoMap (7)'!$A:$C,3,0)</f>
        <v>201.43895840247643</v>
      </c>
      <c r="J22" s="1">
        <f>I22/VLOOKUP(A22,'[285]geoMap (8)'!$A:$B,2,0)*VLOOKUP(A22,'[285]geoMap (8)'!$A:$C,3,0)</f>
        <v>2316.5480216284791</v>
      </c>
      <c r="K22" s="1">
        <f>J22/VLOOKUP(A22,'[286]geoMap (9)'!$A:$B,2,0)*VLOOKUP(A22,'[286]geoMap (9)'!$A:$C,3,0)</f>
        <v>1895.3574722414828</v>
      </c>
      <c r="L22" s="1">
        <f>K22/VLOOKUP(A22,'[287]geoMap (10)'!$A:$B,2,0)*VLOOKUP(A22,'[287]geoMap (10)'!$A:$C,3,0)</f>
        <v>388.20574732656883</v>
      </c>
      <c r="M22" s="1">
        <f>L22/VLOOKUP(A22,'[288]geoMap (11)'!$A:$B,2,0)*VLOOKUP(A22,'[288]geoMap (11)'!$A:$C,3,0)</f>
        <v>1768.4928489321469</v>
      </c>
      <c r="N22" s="1">
        <f>M22/VLOOKUP(A22,'[289]geoMap (12)'!$A:$B,2,0)*VLOOKUP(A22,'[289]geoMap (12)'!$A:$C,3,0)</f>
        <v>1506.4939083496067</v>
      </c>
      <c r="O22" s="1">
        <f>N22/VLOOKUP(A22,'[290]geoMap (13)'!$A:$B,2,0)*VLOOKUP(A22,'[290]geoMap (13)'!$A:$C,3,0)</f>
        <v>1046.8855973276927</v>
      </c>
      <c r="P22" s="1">
        <f>O22/VLOOKUP(A22,'[291]geoMap (14)'!$A:$B,2,0)*VLOOKUP(A22,'[291]geoMap (14)'!$A:$C,3,0)</f>
        <v>214.4223512598889</v>
      </c>
      <c r="Q22" s="1">
        <f>P22/VLOOKUP(A22,'[292]geoMap (15)'!$A:$B,2,0)*VLOOKUP(A22,'[292]geoMap (15)'!$A:$C,3,0)</f>
        <v>349.84699416087136</v>
      </c>
      <c r="R22" s="1">
        <f>Q22/VLOOKUP(A22,'[293]geoMap (16)'!$A:$B,2,0)*VLOOKUP(A22,'[293]geoMap (16)'!$A:$C,3,0)</f>
        <v>18.412999692677442</v>
      </c>
      <c r="S22" s="1">
        <f>R22/VLOOKUP(A22,'[294]geoMap (17)'!$A:$B,2,0)*VLOOKUP(A22,'[294]geoMap (17)'!$A:$C,3,0)</f>
        <v>288.47032851861326</v>
      </c>
      <c r="T22" s="1">
        <f>S22/VLOOKUP(A22,'[295]geoMap (18)'!$A:$B,2,0)*VLOOKUP(A22,'[295]geoMap (18)'!$A:$C,3,0)</f>
        <v>200.46243168242617</v>
      </c>
      <c r="U22" s="1">
        <f>T22/VLOOKUP(A22,'[296]geoMap (19)'!$A:$B,2,0)*VLOOKUP(A22,'[296]geoMap (19)'!$A:$C,3,0)</f>
        <v>53.287481839632264</v>
      </c>
      <c r="V22" s="1">
        <f>U22/VLOOKUP(A22,'[297]geoMap (20)'!$A:$B,2,0)*VLOOKUP(A22,'[297]geoMap (20)'!$A:$C,3,0)</f>
        <v>11.697252111138789</v>
      </c>
      <c r="W22" s="1">
        <f>V22/8*39</f>
        <v>57.0241040418016</v>
      </c>
      <c r="X22" s="1">
        <f>W22/VLOOKUP(A22,'[299]geoMap (22)'!$A:$B,2,0)*VLOOKUP(A22,'[299]geoMap (22)'!$A:$C,3,0)</f>
        <v>54.787864667613299</v>
      </c>
      <c r="Y22" s="1">
        <f>X22/VLOOKUP(A22,'[300]geoMap (23)'!$A:$B,2,0)*VLOOKUP(A22,'[300]geoMap (23)'!$A:$C,3,0)</f>
        <v>85.693839608318228</v>
      </c>
      <c r="Z22" s="1">
        <f>Y22/VLOOKUP(A22,'[301]geoMap (24)'!$A:$B,2,0)*VLOOKUP(A22,'[301]geoMap (24)'!$A:$C,3,0)</f>
        <v>30.108646348868572</v>
      </c>
      <c r="AA22" s="1">
        <f>Z22/VLOOKUP(A22,'[302]geoMap (25)'!$A:$B,2,0)*VLOOKUP(A22,'[302]geoMap (25)'!$A:$C,3,0)</f>
        <v>53.526482397988573</v>
      </c>
    </row>
    <row r="23" spans="1:27" x14ac:dyDescent="0.2">
      <c r="A23" s="1" t="s">
        <v>81</v>
      </c>
      <c r="B23" s="1">
        <f>Notes!$C$6*VLOOKUP(A23,[277]geoMap!$A:$B,2,0)</f>
        <v>15000</v>
      </c>
      <c r="C23" s="1">
        <f>B23/VLOOKUP(A23,'[278]geoMap (1)'!$A:$B,2,0)*VLOOKUP(A23,'[278]geoMap (1)'!$A:$C,3,0)</f>
        <v>3292.6829268292681</v>
      </c>
      <c r="D23" s="1">
        <f>C23/VLOOKUP(A23,'[279]geoMap (2)'!$A:$B,2,0)*VLOOKUP(A23,'[279]geoMap (2)'!$A:$C,3,0)</f>
        <v>6114.9825783972128</v>
      </c>
      <c r="E23" s="1">
        <f>D23/VLOOKUP(A23,'[280]geoMap (3)'!$A:$B,2,0)*VLOOKUP(A23,'[280]geoMap (3)'!$A:$C,3,0)</f>
        <v>5644.5993031358876</v>
      </c>
      <c r="F23" s="1">
        <f>E23/VLOOKUP(A23,'[281]geoMap (4)'!$A:$B,2,0)*VLOOKUP(A23,'[281]geoMap (4)'!$A:$C,3,0)</f>
        <v>4808.3623693379777</v>
      </c>
      <c r="G23" s="1">
        <f>F23/VLOOKUP(A23,'[282]geoMap (5)'!$A:$B,2,0)*VLOOKUP(A23,'[282]geoMap (5)'!$A:$C,3,0)</f>
        <v>4619.7991391678606</v>
      </c>
      <c r="H23" s="1">
        <f>G23/VLOOKUP(A23,'[283]geoMap (6)'!$A:$B,2,0)*VLOOKUP(A23,'[283]geoMap (6)'!$A:$C,3,0)</f>
        <v>3079.8660927785741</v>
      </c>
      <c r="I23" s="1">
        <f>H23/VLOOKUP(A23,'[284]geoMap (7)'!$A:$B,2,0)*VLOOKUP(A23,'[284]geoMap (7)'!$A:$C,3,0)</f>
        <v>62.854410056705596</v>
      </c>
      <c r="J23" s="1">
        <f>I23/VLOOKUP(A23,'[285]geoMap (8)'!$A:$B,2,0)*VLOOKUP(A23,'[285]geoMap (8)'!$A:$C,3,0)</f>
        <v>2032.2925918334809</v>
      </c>
      <c r="K23" s="1">
        <f>J23/VLOOKUP(A23,'[286]geoMap (9)'!$A:$B,2,0)*VLOOKUP(A23,'[286]geoMap (9)'!$A:$C,3,0)</f>
        <v>1875.9623924616744</v>
      </c>
      <c r="L23" s="1">
        <f>K23/VLOOKUP(A23,'[287]geoMap (10)'!$A:$B,2,0)*VLOOKUP(A23,'[287]geoMap (10)'!$A:$C,3,0)</f>
        <v>625.32079748722481</v>
      </c>
      <c r="M23" s="1">
        <f>L23/VLOOKUP(A23,'[288]geoMap (11)'!$A:$B,2,0)*VLOOKUP(A23,'[288]geoMap (11)'!$A:$C,3,0)</f>
        <v>511.62610703500206</v>
      </c>
      <c r="N23" s="1">
        <f>M23/VLOOKUP(A23,'[289]geoMap (12)'!$A:$B,2,0)*VLOOKUP(A23,'[289]geoMap (12)'!$A:$C,3,0)</f>
        <v>834.75838516237184</v>
      </c>
      <c r="O23" s="1">
        <f>N23/VLOOKUP(A23,'[290]geoMap (13)'!$A:$B,2,0)*VLOOKUP(A23,'[290]geoMap (13)'!$A:$C,3,0)</f>
        <v>629.73000985933322</v>
      </c>
      <c r="P23" s="1">
        <f>O23/VLOOKUP(A23,'[291]geoMap (14)'!$A:$B,2,0)*VLOOKUP(A23,'[291]geoMap (14)'!$A:$C,3,0)</f>
        <v>188.10117177616448</v>
      </c>
      <c r="Q23" s="1">
        <f>P23/VLOOKUP(A23,'[292]geoMap (15)'!$A:$B,2,0)*VLOOKUP(A23,'[292]geoMap (15)'!$A:$C,3,0)</f>
        <v>76.830056077588296</v>
      </c>
      <c r="R23" s="1">
        <f>Q23/VLOOKUP(A23,'[293]geoMap (16)'!$A:$B,2,0)*VLOOKUP(A23,'[293]geoMap (16)'!$A:$C,3,0)</f>
        <v>14.634296395731106</v>
      </c>
      <c r="S23" s="1">
        <f>R23/VLOOKUP(A23,'[294]geoMap (17)'!$A:$B,2,0)*VLOOKUP(A23,'[294]geoMap (17)'!$A:$C,3,0)</f>
        <v>147.96899689017008</v>
      </c>
      <c r="T23" s="1">
        <f>S23/VLOOKUP(A23,'[295]geoMap (18)'!$A:$B,2,0)*VLOOKUP(A23,'[295]geoMap (18)'!$A:$C,3,0)</f>
        <v>160.2997466310176</v>
      </c>
      <c r="U23" s="1">
        <f>T23/VLOOKUP(A23,'[296]geoMap (19)'!$A:$B,2,0)*VLOOKUP(A23,'[296]geoMap (19)'!$A:$C,3,0)</f>
        <v>68.699891413293258</v>
      </c>
      <c r="V23" s="1">
        <f>U23/VLOOKUP(A23,'[297]geoMap (20)'!$A:$B,2,0)*VLOOKUP(A23,'[297]geoMap (20)'!$A:$C,3,0)</f>
        <v>47.740602507542768</v>
      </c>
      <c r="W23" s="1">
        <f>V23/VLOOKUP(A23,'[298]geoMap (21)'!$A:$B,2,0)*VLOOKUP(A23,'[298]geoMap (21)'!$A:$C,3,0)</f>
        <v>49.689198528258807</v>
      </c>
      <c r="X23" s="1">
        <f>W23/VLOOKUP(A23,'[299]geoMap (22)'!$A:$B,2,0)*VLOOKUP(A23,'[299]geoMap (22)'!$A:$C,3,0)</f>
        <v>56.032500468036538</v>
      </c>
      <c r="Y23" s="1">
        <f>X23/VLOOKUP(A23,'[300]geoMap (23)'!$A:$B,2,0)*VLOOKUP(A23,'[300]geoMap (23)'!$A:$C,3,0)</f>
        <v>68.484167238711322</v>
      </c>
      <c r="Z23" s="1">
        <f>Y23/VLOOKUP(A23,'[301]geoMap (24)'!$A:$B,2,0)*VLOOKUP(A23,'[301]geoMap (24)'!$A:$C,3,0)</f>
        <v>26.632731703943296</v>
      </c>
      <c r="AA23" s="1">
        <f>Z23/VLOOKUP(A23,'[302]geoMap (25)'!$A:$B,2,0)*VLOOKUP(A23,'[302]geoMap (25)'!$A:$C,3,0)</f>
        <v>65.204274171723242</v>
      </c>
    </row>
    <row r="24" spans="1:27" x14ac:dyDescent="0.2">
      <c r="A24" s="1" t="s">
        <v>73</v>
      </c>
      <c r="B24" s="1">
        <f>Notes!$C$6*VLOOKUP(A24,[277]geoMap!$A:$B,2,0)</f>
        <v>17000</v>
      </c>
      <c r="C24" s="1">
        <f>B24/VLOOKUP(A24,'[278]geoMap (1)'!$A:$B,2,0)*VLOOKUP(A24,'[278]geoMap (1)'!$A:$C,3,0)</f>
        <v>2767.4418604651169</v>
      </c>
      <c r="D24" s="1">
        <f>C24/VLOOKUP(A24,'[279]geoMap (2)'!$A:$B,2,0)*VLOOKUP(A24,'[279]geoMap (2)'!$A:$C,3,0)</f>
        <v>7116.2790697674427</v>
      </c>
      <c r="E24" s="1">
        <f>D24/VLOOKUP(A24,'[280]geoMap (3)'!$A:$B,2,0)*VLOOKUP(A24,'[280]geoMap (3)'!$A:$C,3,0)</f>
        <v>8024.7402276100966</v>
      </c>
      <c r="F24" s="1">
        <f>E24/VLOOKUP(A24,'[281]geoMap (4)'!$A:$B,2,0)*VLOOKUP(A24,'[281]geoMap (4)'!$A:$C,3,0)</f>
        <v>6053.7513997760389</v>
      </c>
      <c r="G24" s="1">
        <f>F24/VLOOKUP(A24,'[282]geoMap (5)'!$A:$B,2,0)*VLOOKUP(A24,'[282]geoMap (5)'!$A:$C,3,0)</f>
        <v>4566.8650910591168</v>
      </c>
      <c r="H24" s="1">
        <f>G24/VLOOKUP(A24,'[283]geoMap (6)'!$A:$B,2,0)*VLOOKUP(A24,'[283]geoMap (6)'!$A:$C,3,0)</f>
        <v>2352.6274711516662</v>
      </c>
      <c r="I24" s="1">
        <f>H24/VLOOKUP(A24,'[284]geoMap (7)'!$A:$B,2,0)*VLOOKUP(A24,'[284]geoMap (7)'!$A:$C,3,0)</f>
        <v>123.82249848166664</v>
      </c>
      <c r="J24" s="1">
        <f>I24/VLOOKUP(A24,'[285]geoMap (8)'!$A:$B,2,0)*VLOOKUP(A24,'[285]geoMap (8)'!$A:$C,3,0)</f>
        <v>1939.8858095461107</v>
      </c>
      <c r="K24" s="1">
        <f>J24/VLOOKUP(A24,'[286]geoMap (9)'!$A:$B,2,0)*VLOOKUP(A24,'[286]geoMap (9)'!$A:$C,3,0)</f>
        <v>1524.1959932148011</v>
      </c>
      <c r="L24" s="1">
        <f>K24/VLOOKUP(A24,'[287]geoMap (10)'!$A:$B,2,0)*VLOOKUP(A24,'[287]geoMap (10)'!$A:$C,3,0)</f>
        <v>684.78370709650494</v>
      </c>
      <c r="M24" s="1">
        <f>L24/VLOOKUP(A24,'[288]geoMap (11)'!$A:$B,2,0)*VLOOKUP(A24,'[288]geoMap (11)'!$A:$C,3,0)</f>
        <v>456.52247139766996</v>
      </c>
      <c r="N24" s="1">
        <f>M24/VLOOKUP(A24,'[289]geoMap (12)'!$A:$B,2,0)*VLOOKUP(A24,'[289]geoMap (12)'!$A:$C,3,0)</f>
        <v>581.02859996067093</v>
      </c>
      <c r="O24" s="1">
        <f>N24/VLOOKUP(A24,'[290]geoMap (13)'!$A:$B,2,0)*VLOOKUP(A24,'[290]geoMap (13)'!$A:$C,3,0)</f>
        <v>581.02859996067093</v>
      </c>
      <c r="P24" s="1">
        <f>O24/VLOOKUP(A24,'[291]geoMap (14)'!$A:$B,2,0)*VLOOKUP(A24,'[291]geoMap (14)'!$A:$C,3,0)</f>
        <v>273.42522351090395</v>
      </c>
      <c r="Q24" s="1">
        <f>P24/VLOOKUP(A24,'[292]geoMap (15)'!$A:$B,2,0)*VLOOKUP(A24,'[292]geoMap (15)'!$A:$C,3,0)</f>
        <v>122.84321635997135</v>
      </c>
      <c r="R24" s="1">
        <f>Q24/VLOOKUP(A24,'[293]geoMap (16)'!$A:$B,2,0)*VLOOKUP(A24,'[293]geoMap (16)'!$A:$C,3,0)</f>
        <v>15.182869437749268</v>
      </c>
      <c r="S24" s="1">
        <f>R24/VLOOKUP(A24,'[294]geoMap (17)'!$A:$B,2,0)*VLOOKUP(A24,'[294]geoMap (17)'!$A:$C,3,0)</f>
        <v>101.60843392955279</v>
      </c>
      <c r="T24" s="1">
        <f>S24/VLOOKUP(A24,'[295]geoMap (18)'!$A:$B,2,0)*VLOOKUP(A24,'[295]geoMap (18)'!$A:$C,3,0)</f>
        <v>188.70137729774092</v>
      </c>
      <c r="U24" s="1">
        <f>T24/VLOOKUP(A24,'[296]geoMap (19)'!$A:$B,2,0)*VLOOKUP(A24,'[296]geoMap (19)'!$A:$C,3,0)</f>
        <v>73.383868949121492</v>
      </c>
      <c r="V24" s="1">
        <f>U24/VLOOKUP(A24,'[297]geoMap (20)'!$A:$B,2,0)*VLOOKUP(A24,'[297]geoMap (20)'!$A:$C,3,0)</f>
        <v>60.041347322008491</v>
      </c>
      <c r="W24" s="1">
        <f>V24/VLOOKUP(A24,'[298]geoMap (21)'!$A:$B,2,0)*VLOOKUP(A24,'[298]geoMap (21)'!$A:$C,3,0)</f>
        <v>30.930391044671044</v>
      </c>
      <c r="X24" s="1">
        <f>W24/VLOOKUP(A24,'[299]geoMap (22)'!$A:$B,2,0)*VLOOKUP(A24,'[299]geoMap (22)'!$A:$C,3,0)</f>
        <v>34.878951603565227</v>
      </c>
      <c r="Y24" s="1">
        <f>X24/VLOOKUP(A24,'[300]geoMap (23)'!$A:$B,2,0)*VLOOKUP(A24,'[300]geoMap (23)'!$A:$C,3,0)</f>
        <v>39.331583723169302</v>
      </c>
      <c r="Z24" s="1">
        <f>Y24/VLOOKUP(A24,'[301]geoMap (24)'!$A:$B,2,0)*VLOOKUP(A24,'[301]geoMap (24)'!$A:$C,3,0)</f>
        <v>26.221055815446206</v>
      </c>
      <c r="AA24" s="1">
        <f>Z24/VLOOKUP(A24,'[302]geoMap (25)'!$A:$B,2,0)*VLOOKUP(A24,'[302]geoMap (25)'!$A:$C,3,0)</f>
        <v>36.210029459425712</v>
      </c>
    </row>
    <row r="25" spans="1:27" x14ac:dyDescent="0.2">
      <c r="A25" s="1" t="s">
        <v>85</v>
      </c>
      <c r="B25" s="1">
        <f>Notes!$C$6*VLOOKUP(A25,[277]geoMap!$A:$B,2,0)</f>
        <v>15000</v>
      </c>
      <c r="C25" s="1">
        <f>B25/VLOOKUP(A25,'[278]geoMap (1)'!$A:$B,2,0)*VLOOKUP(A25,'[278]geoMap (1)'!$A:$C,3,0)</f>
        <v>2241.3793103448274</v>
      </c>
      <c r="D25" s="1">
        <f>C25/VLOOKUP(A25,'[279]geoMap (2)'!$A:$B,2,0)*VLOOKUP(A25,'[279]geoMap (2)'!$A:$C,3,0)</f>
        <v>4762.9310344827591</v>
      </c>
      <c r="E25" s="1">
        <f>D25/VLOOKUP(A25,'[280]geoMap (3)'!$A:$B,2,0)*VLOOKUP(A25,'[280]geoMap (3)'!$A:$C,3,0)</f>
        <v>4576.1494252873563</v>
      </c>
      <c r="F25" s="1">
        <f>E25/VLOOKUP(A25,'[281]geoMap (4)'!$A:$B,2,0)*VLOOKUP(A25,'[281]geoMap (4)'!$A:$C,3,0)</f>
        <v>4576.1494252873563</v>
      </c>
      <c r="G25" s="1">
        <f>F25/VLOOKUP(A25,'[282]geoMap (5)'!$A:$B,2,0)*VLOOKUP(A25,'[282]geoMap (5)'!$A:$C,3,0)</f>
        <v>2687.5798212005111</v>
      </c>
      <c r="H25" s="1">
        <f>G25/VLOOKUP(A25,'[283]geoMap (6)'!$A:$B,2,0)*VLOOKUP(A25,'[283]geoMap (6)'!$A:$C,3,0)</f>
        <v>5217.0667117421681</v>
      </c>
      <c r="I25" s="1">
        <f>H25/VLOOKUP(A25,'[284]geoMap (7)'!$A:$B,2,0)*VLOOKUP(A25,'[284]geoMap (7)'!$A:$C,3,0)</f>
        <v>52.697643552951199</v>
      </c>
      <c r="J25" s="1">
        <f>I25/VLOOKUP(A25,'[285]geoMap (8)'!$A:$B,2,0)*VLOOKUP(A25,'[285]geoMap (8)'!$A:$C,3,0)</f>
        <v>1264.7434452708287</v>
      </c>
      <c r="K25" s="1">
        <f>J25/VLOOKUP(A25,'[286]geoMap (9)'!$A:$B,2,0)*VLOOKUP(A25,'[286]geoMap (9)'!$A:$C,3,0)</f>
        <v>993.72699271279396</v>
      </c>
      <c r="L25" s="1">
        <f>K25/VLOOKUP(A25,'[287]geoMap (10)'!$A:$B,2,0)*VLOOKUP(A25,'[287]geoMap (10)'!$A:$C,3,0)</f>
        <v>349.14732176395466</v>
      </c>
      <c r="M25" s="1">
        <f>L25/VLOOKUP(A25,'[288]geoMap (11)'!$A:$B,2,0)*VLOOKUP(A25,'[288]geoMap (11)'!$A:$C,3,0)</f>
        <v>502.43151180666649</v>
      </c>
      <c r="N25" s="1">
        <f>M25/VLOOKUP(A25,'[289]geoMap (12)'!$A:$B,2,0)*VLOOKUP(A25,'[289]geoMap (12)'!$A:$C,3,0)</f>
        <v>589.81090516434767</v>
      </c>
      <c r="O25" s="1">
        <f>N25/VLOOKUP(A25,'[290]geoMap (13)'!$A:$B,2,0)*VLOOKUP(A25,'[290]geoMap (13)'!$A:$C,3,0)</f>
        <v>482.57255877082991</v>
      </c>
      <c r="P25" s="1">
        <f>O25/VLOOKUP(A25,'[291]geoMap (14)'!$A:$B,2,0)*VLOOKUP(A25,'[291]geoMap (14)'!$A:$C,3,0)</f>
        <v>379.16415331993772</v>
      </c>
      <c r="Q25" s="1">
        <f>P25/VLOOKUP(A25,'[292]geoMap (15)'!$A:$B,2,0)*VLOOKUP(A25,'[292]geoMap (15)'!$A:$C,3,0)</f>
        <v>140.23879643340163</v>
      </c>
      <c r="R25" s="1">
        <f>Q25/VLOOKUP(A25,'[293]geoMap (16)'!$A:$B,2,0)*VLOOKUP(A25,'[293]geoMap (16)'!$A:$C,3,0)</f>
        <v>5.8432831847250677</v>
      </c>
      <c r="S25" s="1">
        <f>R25/VLOOKUP(A25,'[294]geoMap (17)'!$A:$B,2,0)*VLOOKUP(A25,'[294]geoMap (17)'!$A:$C,3,0)</f>
        <v>111.02238050977628</v>
      </c>
      <c r="T25" s="1">
        <f>S25/VLOOKUP(A25,'[295]geoMap (18)'!$A:$B,2,0)*VLOOKUP(A25,'[295]geoMap (18)'!$A:$C,3,0)</f>
        <v>90.836493144362407</v>
      </c>
      <c r="U25" s="1">
        <f>T25/VLOOKUP(A25,'[296]geoMap (19)'!$A:$B,2,0)*VLOOKUP(A25,'[296]geoMap (19)'!$A:$C,3,0)</f>
        <v>28.685208361377601</v>
      </c>
      <c r="V25" s="1">
        <f>U25/VLOOKUP(A25,'[297]geoMap (20)'!$A:$B,2,0)*VLOOKUP(A25,'[297]geoMap (20)'!$A:$C,3,0)</f>
        <v>24.435547863395733</v>
      </c>
      <c r="W25" s="1">
        <f>V25/VLOOKUP(A25,'[298]geoMap (21)'!$A:$B,2,0)*VLOOKUP(A25,'[298]geoMap (21)'!$A:$C,3,0)</f>
        <v>33.744328001832201</v>
      </c>
      <c r="X25" s="1">
        <f>W25/VLOOKUP(A25,'[299]geoMap (22)'!$A:$B,2,0)*VLOOKUP(A25,'[299]geoMap (22)'!$A:$C,3,0)</f>
        <v>31.148610463229719</v>
      </c>
      <c r="Y25" s="1">
        <f>X25/VLOOKUP(A25,'[300]geoMap (23)'!$A:$B,2,0)*VLOOKUP(A25,'[300]geoMap (23)'!$A:$C,3,0)</f>
        <v>35.125028820237773</v>
      </c>
      <c r="Z25" s="1">
        <f>Y25/VLOOKUP(A25,'[301]geoMap (24)'!$A:$B,2,0)*VLOOKUP(A25,'[301]geoMap (24)'!$A:$C,3,0)</f>
        <v>12.991449015704383</v>
      </c>
      <c r="AA25" s="1">
        <f>Z25/VLOOKUP(A25,'[302]geoMap (25)'!$A:$B,2,0)*VLOOKUP(A25,'[302]geoMap (25)'!$A:$C,3,0)</f>
        <v>36.975662583158623</v>
      </c>
    </row>
    <row r="26" spans="1:27" x14ac:dyDescent="0.2">
      <c r="A26" s="1" t="s">
        <v>70</v>
      </c>
      <c r="B26" s="1">
        <f>Notes!$C$6*VLOOKUP(A26,[277]geoMap!$A:$B,2,0)</f>
        <v>24000</v>
      </c>
      <c r="C26" s="1">
        <f>B26/VLOOKUP(A26,'[278]geoMap (1)'!$A:$B,2,0)*VLOOKUP(A26,'[278]geoMap (1)'!$A:$C,3,0)</f>
        <v>3272.7272727272725</v>
      </c>
      <c r="D26" s="1">
        <f>C26/VLOOKUP(A26,'[279]geoMap (2)'!$A:$B,2,0)*VLOOKUP(A26,'[279]geoMap (2)'!$A:$C,3,0)</f>
        <v>6352.9411764705874</v>
      </c>
      <c r="E26" s="1">
        <f>D26/VLOOKUP(A26,'[280]geoMap (3)'!$A:$B,2,0)*VLOOKUP(A26,'[280]geoMap (3)'!$A:$C,3,0)</f>
        <v>6612.2448979591827</v>
      </c>
      <c r="F26" s="1">
        <f>E26/VLOOKUP(A26,'[281]geoMap (4)'!$A:$B,2,0)*VLOOKUP(A26,'[281]geoMap (4)'!$A:$C,3,0)</f>
        <v>13424.860853432279</v>
      </c>
      <c r="G26" s="1">
        <f>F26/71*13</f>
        <v>2458.0731140087269</v>
      </c>
      <c r="H26" s="1">
        <f>G26/29*50</f>
        <v>4238.0570931184948</v>
      </c>
      <c r="I26" s="1">
        <f>H26/VLOOKUP(A26,'[284]geoMap (7)'!$A:$B,2,0)*VLOOKUP(A26,'[284]geoMap (7)'!$A:$C,3,0)</f>
        <v>131.07393071500499</v>
      </c>
      <c r="J26" s="1">
        <f>H26/53*22</f>
        <v>1759.1935103510732</v>
      </c>
      <c r="K26" s="1">
        <f>H26/53*30</f>
        <v>2398.900241387827</v>
      </c>
      <c r="L26" s="1">
        <f>K26/54*17</f>
        <v>755.20933525172336</v>
      </c>
      <c r="M26" s="1">
        <f>L26/VLOOKUP(A26,'[288]geoMap (11)'!$A:$B,2,0)*VLOOKUP(A26,'[288]geoMap (11)'!$A:$C,3,0)</f>
        <v>643.32647076998649</v>
      </c>
      <c r="N26" s="1">
        <f>M26/39*19</f>
        <v>313.41546011871134</v>
      </c>
      <c r="O26" s="1">
        <f>K26/VLOOKUP(A26,'[305]geoMap (28)'!$A:$B,2,0)*VLOOKUP(A26,'[305]geoMap (28)'!$A:$C,3,0)</f>
        <v>887.26447284207313</v>
      </c>
      <c r="P26" s="1">
        <f>O26/45*14</f>
        <v>276.03783599531164</v>
      </c>
      <c r="Q26" s="1">
        <f>O26/VLOOKUP(A26,'[308]geoMap (29)'!$A:$B,2,0)*VLOOKUP(A26,'[308]geoMap (29)'!$A:$C,3,0)</f>
        <v>417.53622251391675</v>
      </c>
      <c r="R26" s="1">
        <f>Q26/34*2</f>
        <v>24.560954265524515</v>
      </c>
      <c r="S26" s="4">
        <f>Q26/VLOOKUP(A26,'[310]geoMap (30)'!$A:$B,2,0)*VLOOKUP(A26,'[310]geoMap (30)'!$A:$C,3,0)</f>
        <v>224.82719673826284</v>
      </c>
      <c r="T26" s="1">
        <f>S26/39*16</f>
        <v>92.236798661851424</v>
      </c>
      <c r="U26" s="1">
        <f>S26/VLOOKUP(A26,'[306]geoMap (31)'!$A:$B,2,0)*VLOOKUP(A26,'[306]geoMap (31)'!$A:$C,3,0)</f>
        <v>263.92757877969984</v>
      </c>
      <c r="V26" s="1">
        <f>U26/VLOOKUP(A26,'[297]geoMap (20)'!$A:$B,2,0)*VLOOKUP(A26,'[297]geoMap (20)'!$A:$C,3,0)</f>
        <v>61.908938232275268</v>
      </c>
      <c r="W26" s="1">
        <f>V26/VLOOKUP(A26,'[298]geoMap (21)'!$A:$B,2,0)*VLOOKUP(A26,'[298]geoMap (21)'!$A:$C,3,0)</f>
        <v>101.00932027371228</v>
      </c>
      <c r="X26" s="1">
        <f>W26/VLOOKUP(A26,'[299]geoMap (22)'!$A:$B,2,0)*VLOOKUP(A26,'[299]geoMap (22)'!$A:$C,3,0)</f>
        <v>52.035104383427537</v>
      </c>
      <c r="Y26" s="1">
        <f>V26/19*25</f>
        <v>81.459129252993776</v>
      </c>
      <c r="Z26" s="1">
        <f>V26/23*13</f>
        <v>34.992008566068627</v>
      </c>
      <c r="AA26" s="1">
        <f>Z26/VLOOKUP(A26,'[302]geoMap (25)'!$A:$B,2,0)*VLOOKUP(A26,'[302]geoMap (25)'!$A:$C,3,0)</f>
        <v>117.14715911249061</v>
      </c>
    </row>
    <row r="27" spans="1:27" x14ac:dyDescent="0.2">
      <c r="A27" s="1" t="s">
        <v>67</v>
      </c>
      <c r="B27" s="1">
        <f>Notes!$C$6*VLOOKUP(A27,[277]geoMap!$A:$B,2,0)</f>
        <v>17000</v>
      </c>
      <c r="C27" s="1">
        <f>B27/VLOOKUP(A27,'[278]geoMap (1)'!$A:$B,2,0)*VLOOKUP(A27,'[278]geoMap (1)'!$A:$C,3,0)</f>
        <v>2318.1818181818185</v>
      </c>
      <c r="D27" s="1">
        <f>C27/VLOOKUP(A27,'[279]geoMap (2)'!$A:$B,2,0)*VLOOKUP(A27,'[279]geoMap (2)'!$A:$C,3,0)</f>
        <v>6267.6767676767677</v>
      </c>
      <c r="E27" s="1">
        <f>D27/VLOOKUP(A27,'[280]geoMap (3)'!$A:$B,2,0)*VLOOKUP(A27,'[280]geoMap (3)'!$A:$C,3,0)</f>
        <v>4538.6624869383486</v>
      </c>
      <c r="F27" s="1">
        <f>E27/VLOOKUP(A27,'[281]geoMap (4)'!$A:$B,2,0)*VLOOKUP(A27,'[281]geoMap (4)'!$A:$C,3,0)</f>
        <v>5327.9950933624095</v>
      </c>
      <c r="G27" s="1">
        <f>F27/VLOOKUP(A27,'[282]geoMap (5)'!$A:$B,2,0)*VLOOKUP(A27,'[282]geoMap (5)'!$A:$C,3,0)</f>
        <v>4019.3647195540989</v>
      </c>
      <c r="H27" s="1">
        <f>G27/VLOOKUP(A27,'[283]geoMap (6)'!$A:$B,2,0)*VLOOKUP(A27,'[283]geoMap (6)'!$A:$C,3,0)</f>
        <v>3564.3422984725021</v>
      </c>
      <c r="I27" s="1">
        <f>H27/VLOOKUP(A27,'[284]geoMap (7)'!$A:$B,2,0)*VLOOKUP(A27,'[284]geoMap (7)'!$A:$C,3,0)</f>
        <v>72.741679560663314</v>
      </c>
      <c r="J27" s="1">
        <f>I27/VLOOKUP(A27,'[285]geoMap (8)'!$A:$B,2,0)*VLOOKUP(A27,'[285]geoMap (8)'!$A:$C,3,0)</f>
        <v>1139.6196464503919</v>
      </c>
      <c r="K27" s="1">
        <f>J27/VLOOKUP(A27,'[286]geoMap (9)'!$A:$B,2,0)*VLOOKUP(A27,'[286]geoMap (9)'!$A:$C,3,0)</f>
        <v>970.78710623551899</v>
      </c>
      <c r="L27" s="1">
        <f>K27/VLOOKUP(A27,'[287]geoMap (10)'!$A:$B,2,0)*VLOOKUP(A27,'[287]geoMap (10)'!$A:$C,3,0)</f>
        <v>227.71549405524519</v>
      </c>
      <c r="M27" s="1">
        <f>L27/VLOOKUP(A27,'[288]geoMap (11)'!$A:$B,2,0)*VLOOKUP(A27,'[288]geoMap (11)'!$A:$C,3,0)</f>
        <v>314.46425369533858</v>
      </c>
      <c r="N27" s="1">
        <f>M27/VLOOKUP(A27,'[289]geoMap (12)'!$A:$B,2,0)*VLOOKUP(A27,'[289]geoMap (12)'!$A:$C,3,0)</f>
        <v>535.43913467044138</v>
      </c>
      <c r="O27" s="1">
        <f>N27/VLOOKUP(A27,'[290]geoMap (13)'!$A:$B,2,0)*VLOOKUP(A27,'[290]geoMap (13)'!$A:$C,3,0)</f>
        <v>403.92776826015756</v>
      </c>
      <c r="P27" s="1">
        <f>O27/VLOOKUP(A27,'[291]geoMap (14)'!$A:$B,2,0)*VLOOKUP(A27,'[291]geoMap (14)'!$A:$C,3,0)</f>
        <v>88.667071081498008</v>
      </c>
      <c r="Q27" s="1">
        <f>P27/VLOOKUP(A27,'[292]geoMap (15)'!$A:$B,2,0)*VLOOKUP(A27,'[292]geoMap (15)'!$A:$C,3,0)</f>
        <v>52.074311587546454</v>
      </c>
      <c r="R27" s="1">
        <f>Q27/VLOOKUP(A27,'[293]geoMap (16)'!$A:$B,2,0)*VLOOKUP(A27,'[293]geoMap (16)'!$A:$C,3,0)</f>
        <v>9.1895843978023155</v>
      </c>
      <c r="S27" s="1">
        <f>R27/VLOOKUP(A27,'[294]geoMap (17)'!$A:$B,2,0)*VLOOKUP(A27,'[294]geoMap (17)'!$A:$C,3,0)</f>
        <v>122.09019271365933</v>
      </c>
      <c r="T27" s="1">
        <f>S27/VLOOKUP(A27,'[295]geoMap (18)'!$A:$B,2,0)*VLOOKUP(A27,'[295]geoMap (18)'!$A:$C,3,0)</f>
        <v>95.928008560732323</v>
      </c>
      <c r="U27" s="1">
        <f>T27/VLOOKUP(A27,'[296]geoMap (19)'!$A:$B,2,0)*VLOOKUP(A27,'[296]geoMap (19)'!$A:$C,3,0)</f>
        <v>23.982002140183081</v>
      </c>
      <c r="V27" s="44">
        <f>U27/32*10</f>
        <v>7.494375668807213</v>
      </c>
      <c r="W27" s="1">
        <f>V27/5*38</f>
        <v>56.957255082934815</v>
      </c>
      <c r="X27" s="1">
        <f>W27/VLOOKUP(A27,'[299]geoMap (22)'!$A:$B,2,0)*VLOOKUP(A27,'[299]geoMap (22)'!$A:$C,3,0)</f>
        <v>23.264230949367743</v>
      </c>
      <c r="Y27" s="1">
        <f>X27/VLOOKUP(A27,'[300]geoMap (23)'!$A:$B,2,0)*VLOOKUP(A27,'[300]geoMap (23)'!$A:$C,3,0)</f>
        <v>32.126795120555457</v>
      </c>
      <c r="Z27" s="1">
        <f>Y27/VLOOKUP(A27,'[301]geoMap (24)'!$A:$B,2,0)*VLOOKUP(A27,'[301]geoMap (24)'!$A:$C,3,0)</f>
        <v>10.145303722280671</v>
      </c>
      <c r="AA27" s="1">
        <f>Z27/VLOOKUP(A27,'[302]geoMap (25)'!$A:$B,2,0)*VLOOKUP(A27,'[302]geoMap (25)'!$A:$C,3,0)</f>
        <v>43.251031658143916</v>
      </c>
    </row>
    <row r="28" spans="1:27" x14ac:dyDescent="0.2">
      <c r="A28" s="1" t="s">
        <v>77</v>
      </c>
      <c r="B28" s="1">
        <f>Notes!$C$6*VLOOKUP(A28,[277]geoMap!$A:$B,2,0)</f>
        <v>15000</v>
      </c>
      <c r="C28" s="1">
        <f>B28/VLOOKUP(A28,'[278]geoMap (1)'!$A:$B,2,0)*VLOOKUP(A28,'[278]geoMap (1)'!$A:$C,3,0)</f>
        <v>2045.4545454545453</v>
      </c>
      <c r="D28" s="1">
        <f>C28/VLOOKUP(A28,'[279]geoMap (2)'!$A:$B,2,0)*VLOOKUP(A28,'[279]geoMap (2)'!$A:$C,3,0)</f>
        <v>6136.363636363636</v>
      </c>
      <c r="E28" s="1">
        <f>D28/VLOOKUP(A28,'[280]geoMap (3)'!$A:$B,2,0)*VLOOKUP(A28,'[280]geoMap (3)'!$A:$C,3,0)</f>
        <v>4821.4285714285706</v>
      </c>
      <c r="F28" s="1">
        <f>E28/VLOOKUP(A28,'[281]geoMap (4)'!$A:$B,2,0)*VLOOKUP(A28,'[281]geoMap (4)'!$A:$C,3,0)</f>
        <v>4275.6064690026942</v>
      </c>
      <c r="G28" s="1">
        <f>F28/VLOOKUP(A28,'[282]geoMap (5)'!$A:$B,2,0)*VLOOKUP(A28,'[282]geoMap (5)'!$A:$C,3,0)</f>
        <v>3498.223474638568</v>
      </c>
      <c r="H28" s="1">
        <f>G28/VLOOKUP(A28,'[283]geoMap (6)'!$A:$B,2,0)*VLOOKUP(A28,'[283]geoMap (6)'!$A:$C,3,0)</f>
        <v>5247.3352119578512</v>
      </c>
      <c r="I28" s="1">
        <f>H28/VLOOKUP(A28,'[284]geoMap (7)'!$A:$B,2,0)*VLOOKUP(A28,'[284]geoMap (7)'!$A:$C,3,0)</f>
        <v>107.08847371342554</v>
      </c>
      <c r="J28" s="1">
        <f>I28/VLOOKUP(A28,'[285]geoMap (8)'!$A:$B,2,0)*VLOOKUP(A28,'[285]geoMap (8)'!$A:$C,3,0)</f>
        <v>1677.7194215103334</v>
      </c>
      <c r="K28" s="1">
        <f>J28/VLOOKUP(A28,'[286]geoMap (9)'!$A:$B,2,0)*VLOOKUP(A28,'[286]geoMap (9)'!$A:$C,3,0)</f>
        <v>1611.9265030197319</v>
      </c>
      <c r="L28" s="1">
        <f>K28/VLOOKUP(A28,'[287]geoMap (10)'!$A:$B,2,0)*VLOOKUP(A28,'[287]geoMap (10)'!$A:$C,3,0)</f>
        <v>199.22687115974213</v>
      </c>
      <c r="M28" s="1">
        <f>L28/VLOOKUP(A28,'[288]geoMap (11)'!$A:$B,2,0)*VLOOKUP(A28,'[288]geoMap (11)'!$A:$C,3,0)</f>
        <v>487.76233973592042</v>
      </c>
      <c r="N28" s="1">
        <f>M28/VLOOKUP(A28,'[289]geoMap (12)'!$A:$B,2,0)*VLOOKUP(A28,'[289]geoMap (12)'!$A:$C,3,0)</f>
        <v>572.59057273347173</v>
      </c>
      <c r="O28" s="1">
        <f>N28/VLOOKUP(A28,'[290]geoMap (13)'!$A:$B,2,0)*VLOOKUP(A28,'[290]geoMap (13)'!$A:$C,3,0)</f>
        <v>468.48319587284044</v>
      </c>
      <c r="P28" s="1">
        <f>O28/VLOOKUP(A28,'[291]geoMap (14)'!$A:$B,2,0)*VLOOKUP(A28,'[291]geoMap (14)'!$A:$C,3,0)</f>
        <v>432.44602695954501</v>
      </c>
      <c r="Q28" s="1">
        <f>P28/VLOOKUP(A28,'[292]geoMap (15)'!$A:$B,2,0)*VLOOKUP(A28,'[292]geoMap (15)'!$A:$C,3,0)</f>
        <v>64.618371844529719</v>
      </c>
      <c r="R28" s="1">
        <f>Q28/VLOOKUP(A28,'[293]geoMap (16)'!$A:$B,2,0)*VLOOKUP(A28,'[293]geoMap (16)'!$A:$C,3,0)</f>
        <v>7.986540340335134</v>
      </c>
      <c r="S28" s="1">
        <f>R28/VLOOKUP(A28,'[294]geoMap (17)'!$A:$B,2,0)*VLOOKUP(A28,'[294]geoMap (17)'!$A:$C,3,0)</f>
        <v>91.845213913854053</v>
      </c>
      <c r="T28" s="1">
        <f>S28/VLOOKUP(A28,'[295]geoMap (18)'!$A:$B,2,0)*VLOOKUP(A28,'[295]geoMap (18)'!$A:$C,3,0)</f>
        <v>95.593998155235852</v>
      </c>
      <c r="U28" s="1">
        <f>T28/VLOOKUP(A28,'[296]geoMap (19)'!$A:$B,2,0)*VLOOKUP(A28,'[296]geoMap (19)'!$A:$C,3,0)</f>
        <v>10.621555350581762</v>
      </c>
      <c r="V28" s="1">
        <f>U28/VLOOKUP(A28,'[297]geoMap (20)'!$A:$B,2,0)*VLOOKUP(A28,'[297]geoMap (20)'!$A:$C,3,0)</f>
        <v>5.2315123368537035</v>
      </c>
      <c r="W28" s="1">
        <f>V28/VLOOKUP(A28,'[298]geoMap (21)'!$A:$B,2,0)*VLOOKUP(A28,'[298]geoMap (21)'!$A:$C,3,0)</f>
        <v>29.64523657550432</v>
      </c>
      <c r="X28" s="1">
        <f>W28/VLOOKUP(A28,'[299]geoMap (22)'!$A:$B,2,0)*VLOOKUP(A28,'[299]geoMap (22)'!$A:$C,3,0)</f>
        <v>46.368190541173426</v>
      </c>
      <c r="Y28" s="1">
        <f>X28/VLOOKUP(A28,'[300]geoMap (23)'!$A:$B,2,0)*VLOOKUP(A28,'[300]geoMap (23)'!$A:$C,3,0)</f>
        <v>52.287534014514726</v>
      </c>
      <c r="Z28" s="1">
        <f>Y28/VLOOKUP(A28,'[301]geoMap (24)'!$A:$B,2,0)*VLOOKUP(A28,'[301]geoMap (24)'!$A:$C,3,0)</f>
        <v>18.371295734829499</v>
      </c>
      <c r="AA28" s="1">
        <f>Z28/VLOOKUP(A28,'[302]geoMap (25)'!$A:$B,2,0)*VLOOKUP(A28,'[302]geoMap (25)'!$A:$C,3,0)</f>
        <v>40.890948571072109</v>
      </c>
    </row>
    <row r="29" spans="1:27" x14ac:dyDescent="0.2">
      <c r="A29" s="1" t="s">
        <v>93</v>
      </c>
      <c r="B29" s="1">
        <f>Notes!$C$6*VLOOKUP(A29,[277]geoMap!$A:$B,2,0)</f>
        <v>20000</v>
      </c>
      <c r="C29" s="1">
        <f>B29/VLOOKUP(A29,'[278]geoMap (1)'!$A:$B,2,0)*VLOOKUP(A29,'[278]geoMap (1)'!$A:$C,3,0)</f>
        <v>1978.0219780219779</v>
      </c>
      <c r="D29" s="1">
        <f>C29/VLOOKUP(A29,'[279]geoMap (2)'!$A:$B,2,0)*VLOOKUP(A29,'[279]geoMap (2)'!$A:$C,3,0)</f>
        <v>7912.0879120879108</v>
      </c>
      <c r="E29" s="1">
        <f>D29/VLOOKUP(A29,'[280]geoMap (3)'!$A:$B,2,0)*VLOOKUP(A29,'[280]geoMap (3)'!$A:$C,3,0)</f>
        <v>8235.0302758466005</v>
      </c>
      <c r="F29" s="1">
        <f>E29/VLOOKUP(A29,'[281]geoMap (4)'!$A:$B,2,0)*VLOOKUP(A29,'[281]geoMap (4)'!$A:$C,3,0)</f>
        <v>9667.2094542547056</v>
      </c>
      <c r="G29" s="1">
        <f>F29/VLOOKUP(A29,'[282]geoMap (5)'!$A:$B,2,0)*VLOOKUP(A29,'[282]geoMap (5)'!$A:$C,3,0)</f>
        <v>4761.4613729911234</v>
      </c>
      <c r="H29" s="1">
        <f>G29/VLOOKUP(A29,'[283]geoMap (6)'!$A:$B,2,0)*VLOOKUP(A29,'[283]geoMap (6)'!$A:$C,3,0)</f>
        <v>6311.7046107091637</v>
      </c>
      <c r="I29" s="1">
        <f>H29/VLOOKUP(A29,'[284]geoMap (7)'!$A:$B,2,0)*VLOOKUP(A29,'[284]geoMap (7)'!$A:$C,3,0)</f>
        <v>128.81029817773805</v>
      </c>
      <c r="J29" s="1">
        <f>I29/VLOOKUP(A29,'[285]geoMap (8)'!$A:$B,2,0)*VLOOKUP(A29,'[285]geoMap (8)'!$A:$C,3,0)</f>
        <v>2447.3956653770224</v>
      </c>
      <c r="K29" s="1">
        <f>J29/VLOOKUP(A29,'[286]geoMap (9)'!$A:$B,2,0)*VLOOKUP(A29,'[286]geoMap (9)'!$A:$C,3,0)</f>
        <v>1437.3593590309497</v>
      </c>
      <c r="L29" s="1">
        <f>K29/VLOOKUP(A29,'[287]geoMap (10)'!$A:$B,2,0)*VLOOKUP(A29,'[287]geoMap (10)'!$A:$C,3,0)</f>
        <v>1274.6394315934836</v>
      </c>
      <c r="M29" s="1">
        <f>L29/VLOOKUP(A29,'[288]geoMap (11)'!$A:$B,2,0)*VLOOKUP(A29,'[288]geoMap (11)'!$A:$C,3,0)</f>
        <v>923.01476080907423</v>
      </c>
      <c r="N29" s="1">
        <f>M29/VLOOKUP(A29,'[289]geoMap (12)'!$A:$B,2,0)*VLOOKUP(A29,'[289]geoMap (12)'!$A:$C,3,0)</f>
        <v>414.68779108813482</v>
      </c>
      <c r="O29" s="1">
        <f>N29/VLOOKUP(A29,'[290]geoMap (13)'!$A:$B,2,0)*VLOOKUP(A29,'[290]geoMap (13)'!$A:$C,3,0)</f>
        <v>676.59586967011467</v>
      </c>
      <c r="P29" s="1">
        <f>O29/VLOOKUP(A29,'[291]geoMap (14)'!$A:$B,2,0)*VLOOKUP(A29,'[291]geoMap (14)'!$A:$C,3,0)</f>
        <v>263.12061598282241</v>
      </c>
      <c r="Q29" s="1">
        <f>P29/VLOOKUP(A29,'[292]geoMap (15)'!$A:$B,2,0)*VLOOKUP(A29,'[292]geoMap (15)'!$A:$C,3,0)</f>
        <v>206.73762684364615</v>
      </c>
      <c r="R29" s="1">
        <f>Q29/VLOOKUP(A29,'[293]geoMap (16)'!$A:$B,2,0)*VLOOKUP(A29,'[293]geoMap (16)'!$A:$C,3,0)</f>
        <v>6.3939472219684372</v>
      </c>
      <c r="S29" s="1">
        <f>R29/VLOOKUP(A29,'[294]geoMap (17)'!$A:$B,2,0)*VLOOKUP(A29,'[294]geoMap (17)'!$A:$C,3,0)</f>
        <v>206.73762684364615</v>
      </c>
      <c r="T29" s="1">
        <f>S29/VLOOKUP(A29,'[295]geoMap (18)'!$A:$B,2,0)*VLOOKUP(A29,'[295]geoMap (18)'!$A:$C,3,0)</f>
        <v>88.601840075848344</v>
      </c>
      <c r="U29" s="1">
        <f>T29/VLOOKUP(A29,'[296]geoMap (19)'!$A:$B,2,0)*VLOOKUP(A29,'[296]geoMap (19)'!$A:$C,3,0)</f>
        <v>49.838535042664688</v>
      </c>
      <c r="V29" s="1">
        <f>U29/VLOOKUP(A29,'[297]geoMap (20)'!$A:$B,2,0)*VLOOKUP(A29,'[297]geoMap (20)'!$A:$C,3,0)</f>
        <v>18.433430769204747</v>
      </c>
      <c r="W29" s="1">
        <f>V29/VLOOKUP(A29,'[298]geoMap (21)'!$A:$B,2,0)*VLOOKUP(A29,'[298]geoMap (21)'!$A:$C,3,0)</f>
        <v>83.974517948599413</v>
      </c>
      <c r="X29" s="1">
        <f>W29/VLOOKUP(A29,'[299]geoMap (22)'!$A:$B,2,0)*VLOOKUP(A29,'[299]geoMap (22)'!$A:$C,3,0)</f>
        <v>125.96177692289911</v>
      </c>
      <c r="Y29" s="1">
        <f>X29/VLOOKUP(A29,'[300]geoMap (23)'!$A:$B,2,0)*VLOOKUP(A29,'[300]geoMap (23)'!$A:$C,3,0)</f>
        <v>73.977551526147096</v>
      </c>
      <c r="Z29" s="1">
        <f>Y29/VLOOKUP(A29,'[301]geoMap (24)'!$A:$B,2,0)*VLOOKUP(A29,'[301]geoMap (24)'!$A:$C,3,0)</f>
        <v>23.361332060888557</v>
      </c>
      <c r="AA29" s="1">
        <f>Z29/VLOOKUP(A29,'[302]geoMap (25)'!$A:$B,2,0)*VLOOKUP(A29,'[302]geoMap (25)'!$A:$C,3,0)</f>
        <v>66.489945096375124</v>
      </c>
    </row>
    <row r="30" spans="1:27" x14ac:dyDescent="0.2">
      <c r="A30" s="1" t="s">
        <v>68</v>
      </c>
      <c r="B30" s="1">
        <f>Notes!$C$6*VLOOKUP(A30,[277]geoMap!$A:$B,2,0)</f>
        <v>11000</v>
      </c>
      <c r="C30" s="1">
        <f>B30/VLOOKUP(A30,'[278]geoMap (1)'!$A:$B,2,0)*VLOOKUP(A30,'[278]geoMap (1)'!$A:$C,3,0)</f>
        <v>1643.6781609195402</v>
      </c>
      <c r="D30" s="1">
        <f>C30/VLOOKUP(A30,'[279]geoMap (2)'!$A:$B,2,0)*VLOOKUP(A30,'[279]geoMap (2)'!$A:$C,3,0)</f>
        <v>7487.8671775223502</v>
      </c>
      <c r="E30" s="1">
        <f>D30/VLOOKUP(A30,'[280]geoMap (3)'!$A:$B,2,0)*VLOOKUP(A30,'[280]geoMap (3)'!$A:$C,3,0)</f>
        <v>4031.9284802043421</v>
      </c>
      <c r="F30" s="1">
        <f>E30/VLOOKUP(A30,'[281]geoMap (4)'!$A:$B,2,0)*VLOOKUP(A30,'[281]geoMap (4)'!$A:$C,3,0)</f>
        <v>3434.6057423962916</v>
      </c>
      <c r="G30" s="1">
        <f>F30/VLOOKUP(A30,'[282]geoMap (5)'!$A:$B,2,0)*VLOOKUP(A30,'[282]geoMap (5)'!$A:$C,3,0)</f>
        <v>4031.9284802043421</v>
      </c>
      <c r="H30" s="1">
        <f>G30/VLOOKUP(A30,'[283]geoMap (6)'!$A:$B,2,0)*VLOOKUP(A30,'[283]geoMap (6)'!$A:$C,3,0)</f>
        <v>3434.6057423962916</v>
      </c>
      <c r="I30" s="1">
        <f>H30/VLOOKUP(A30,'[284]geoMap (7)'!$A:$B,2,0)*VLOOKUP(A30,'[284]geoMap (7)'!$A:$C,3,0)</f>
        <v>106.22491986792654</v>
      </c>
      <c r="J30" s="1">
        <f>I30/VLOOKUP(A30,'[285]geoMap (8)'!$A:$B,2,0)*VLOOKUP(A30,'[285]geoMap (8)'!$A:$C,3,0)</f>
        <v>1411.2739353881668</v>
      </c>
      <c r="K30" s="1">
        <f>J30/VLOOKUP(A30,'[286]geoMap (9)'!$A:$B,2,0)*VLOOKUP(A30,'[286]geoMap (9)'!$A:$C,3,0)</f>
        <v>864.97434749597312</v>
      </c>
      <c r="L30" s="1">
        <f>K30/64*17</f>
        <v>229.75881105361785</v>
      </c>
      <c r="M30" s="1">
        <f>L30/VLOOKUP(A30,'[288]geoMap (11)'!$A:$B,2,0)*VLOOKUP(A30,'[288]geoMap (11)'!$A:$C,3,0)</f>
        <v>621.19974840422606</v>
      </c>
      <c r="N30" s="1">
        <f>M30/VLOOKUP(A30,'[289]geoMap (12)'!$A:$B,2,0)*VLOOKUP(A30,'[289]geoMap (12)'!$A:$C,3,0)</f>
        <v>759.24413693849863</v>
      </c>
      <c r="O30" s="1">
        <f>N30/VLOOKUP(A30,'[290]geoMap (13)'!$A:$B,2,0)*VLOOKUP(A30,'[290]geoMap (13)'!$A:$C,3,0)</f>
        <v>445.90528677340393</v>
      </c>
      <c r="P30" s="1">
        <f>O30/VLOOKUP(A30,'[291]geoMap (14)'!$A:$B,2,0)*VLOOKUP(A30,'[291]geoMap (14)'!$A:$C,3,0)</f>
        <v>261.88088270818963</v>
      </c>
      <c r="Q30" s="1">
        <f>P30/VLOOKUP(A30,'[292]geoMap (15)'!$A:$B,2,0)*VLOOKUP(A30,'[292]geoMap (15)'!$A:$C,3,0)</f>
        <v>87.293627569396548</v>
      </c>
      <c r="R30" s="1">
        <f>Q30/42*6</f>
        <v>12.470518224199505</v>
      </c>
      <c r="S30" s="1">
        <f>R30/VLOOKUP(A30,'[294]geoMap (17)'!$A:$B,2,0)*VLOOKUP(A30,'[294]geoMap (17)'!$A:$C,3,0)</f>
        <v>195.37145217912558</v>
      </c>
      <c r="T30" s="1">
        <f>S30/VLOOKUP(A30,'[295]geoMap (18)'!$A:$B,2,0)*VLOOKUP(A30,'[295]geoMap (18)'!$A:$C,3,0)</f>
        <v>153.50614099788439</v>
      </c>
      <c r="U30" s="1">
        <f>T30/37*7</f>
        <v>29.041702350951102</v>
      </c>
      <c r="V30" s="44">
        <f>U30/18*9</f>
        <v>14.520851175475549</v>
      </c>
      <c r="W30" s="1">
        <f>V30/VLOOKUP(A30,'[298]geoMap (21)'!$A:$B,2,0)*VLOOKUP(A30,'[298]geoMap (21)'!$A:$C,3,0)</f>
        <v>32.320604229284285</v>
      </c>
      <c r="X30" s="1">
        <f>W30/VLOOKUP(A30,'[299]geoMap (22)'!$A:$B,2,0)*VLOOKUP(A30,'[299]geoMap (22)'!$A:$C,3,0)</f>
        <v>36.446638811746112</v>
      </c>
      <c r="Y30" s="1">
        <f>X30/VLOOKUP(A30,'[300]geoMap (23)'!$A:$B,2,0)*VLOOKUP(A30,'[300]geoMap (23)'!$A:$C,3,0)</f>
        <v>28.636644780657655</v>
      </c>
      <c r="Z30" s="1">
        <f>V30/7*7</f>
        <v>14.520851175475549</v>
      </c>
      <c r="AA30" s="1">
        <f>Z30/13*30</f>
        <v>33.509656558789729</v>
      </c>
    </row>
    <row r="31" spans="1:27" x14ac:dyDescent="0.2">
      <c r="A31" s="1" t="s">
        <v>95</v>
      </c>
      <c r="B31" s="1">
        <f>Notes!$C$6*VLOOKUP(A31,[277]geoMap!$A:$B,2,0)</f>
        <v>10000</v>
      </c>
      <c r="C31" s="1">
        <f>B31/VLOOKUP(A31,'[278]geoMap (1)'!$A:$B,2,0)*VLOOKUP(A31,'[278]geoMap (1)'!$A:$C,3,0)</f>
        <v>638.29787234042556</v>
      </c>
      <c r="D31" s="1">
        <f>C31/VLOOKUP(A31,'[279]geoMap (2)'!$A:$B,2,0)*VLOOKUP(A31,'[279]geoMap (2)'!$A:$C,3,0)</f>
        <v>3351.0638297872338</v>
      </c>
      <c r="E31" s="1">
        <f>D31/VLOOKUP(A31,'[280]geoMap (3)'!$A:$B,2,0)*VLOOKUP(A31,'[280]geoMap (3)'!$A:$C,3,0)</f>
        <v>4442.1078673923794</v>
      </c>
      <c r="F31" s="1">
        <f>E31/VLOOKUP(A31,'[281]geoMap (4)'!$A:$B,2,0)*VLOOKUP(A31,'[281]geoMap (4)'!$A:$C,3,0)</f>
        <v>2722.5822413050068</v>
      </c>
      <c r="G31" s="1">
        <f>F31/VLOOKUP(A31,'[282]geoMap (5)'!$A:$B,2,0)*VLOOKUP(A31,'[282]geoMap (5)'!$A:$C,3,0)</f>
        <v>1971.5250712898326</v>
      </c>
      <c r="H31" s="1">
        <f>G31/VLOOKUP(A31,'[283]geoMap (6)'!$A:$B,2,0)*VLOOKUP(A31,'[283]geoMap (6)'!$A:$C,3,0)</f>
        <v>2613.4169549655921</v>
      </c>
      <c r="I31" s="1">
        <f>H31/VLOOKUP(A31,'[284]geoMap (7)'!$A:$B,2,0)*VLOOKUP(A31,'[284]geoMap (7)'!$A:$C,3,0)</f>
        <v>53.335039897256983</v>
      </c>
      <c r="J31" s="1">
        <f>I31/VLOOKUP(A31,'[285]geoMap (8)'!$A:$B,2,0)*VLOOKUP(A31,'[285]geoMap (8)'!$A:$C,3,0)</f>
        <v>1013.3657580478825</v>
      </c>
      <c r="K31" s="1">
        <f>J31/VLOOKUP(A31,'[286]geoMap (9)'!$A:$B,2,0)*VLOOKUP(A31,'[286]geoMap (9)'!$A:$C,3,0)</f>
        <v>1054.7276257233066</v>
      </c>
      <c r="L31" s="1">
        <f>K31/VLOOKUP(A31,'[287]geoMap (10)'!$A:$B,2,0)*VLOOKUP(A31,'[287]geoMap (10)'!$A:$C,3,0)</f>
        <v>104.31372122538195</v>
      </c>
      <c r="M31" s="1">
        <f>L31/VLOOKUP(A31,'[288]geoMap (11)'!$A:$B,2,0)*VLOOKUP(A31,'[288]geoMap (11)'!$A:$C,3,0)</f>
        <v>282.03339442418081</v>
      </c>
      <c r="N31" s="1">
        <f>M31/VLOOKUP(A31,'[289]geoMap (12)'!$A:$B,2,0)*VLOOKUP(A31,'[289]geoMap (12)'!$A:$C,3,0)</f>
        <v>282.03339442418081</v>
      </c>
      <c r="O31" s="1">
        <f>N31/VLOOKUP(A31,'[290]geoMap (13)'!$A:$B,2,0)*VLOOKUP(A31,'[290]geoMap (13)'!$A:$C,3,0)</f>
        <v>358.9515929035029</v>
      </c>
      <c r="P31" s="1">
        <f>O31/VLOOKUP(A31,'[291]geoMap (14)'!$A:$B,2,0)*VLOOKUP(A31,'[291]geoMap (14)'!$A:$C,3,0)</f>
        <v>611.18784737623469</v>
      </c>
      <c r="Q31" s="1">
        <f>P31/VLOOKUP(A31,'[292]geoMap (15)'!$A:$B,2,0)*VLOOKUP(A31,'[292]geoMap (15)'!$A:$C,3,0)</f>
        <v>60.447149740506724</v>
      </c>
      <c r="R31" s="1">
        <f>Q31/VLOOKUP(A31,'[293]geoMap (16)'!$A:$B,2,0)*VLOOKUP(A31,'[293]geoMap (16)'!$A:$C,3,0)</f>
        <v>35.500706990456329</v>
      </c>
      <c r="S31" s="1">
        <f>R31/VLOOKUP(A31,'[294]geoMap (17)'!$A:$B,2,0)*VLOOKUP(A31,'[294]geoMap (17)'!$A:$C,3,0)</f>
        <v>79.017702656176979</v>
      </c>
      <c r="T31" s="1">
        <f>S31/VLOOKUP(A31,'[295]geoMap (18)'!$A:$B,2,0)*VLOOKUP(A31,'[295]geoMap (18)'!$A:$C,3,0)</f>
        <v>67.311376336743351</v>
      </c>
      <c r="U31" s="1">
        <f>T31/VLOOKUP(A31,'[296]geoMap (19)'!$A:$B,2,0)*VLOOKUP(A31,'[296]geoMap (19)'!$A:$C,3,0)</f>
        <v>10.058021751467397</v>
      </c>
      <c r="V31" s="1">
        <f>U31/VLOOKUP(A31,'[297]geoMap (20)'!$A:$B,2,0)*VLOOKUP(A31,'[297]geoMap (20)'!$A:$C,3,0)</f>
        <v>2.8368779299010605</v>
      </c>
      <c r="W31" s="1">
        <f>V31/VLOOKUP(A31,'[298]geoMap (21)'!$A:$B,2,0)*VLOOKUP(A31,'[298]geoMap (21)'!$A:$C,3,0)</f>
        <v>37.689949640114087</v>
      </c>
      <c r="X31" s="1">
        <f>W31/VLOOKUP(A31,'[299]geoMap (22)'!$A:$B,2,0)*VLOOKUP(A31,'[299]geoMap (22)'!$A:$C,3,0)</f>
        <v>46.065494004583883</v>
      </c>
      <c r="Y31" s="1">
        <f>X31/VLOOKUP(A31,'[300]geoMap (23)'!$A:$B,2,0)*VLOOKUP(A31,'[300]geoMap (23)'!$A:$C,3,0)</f>
        <v>22.68897465897415</v>
      </c>
      <c r="Z31" s="1">
        <f>Y31/VLOOKUP(A31,'[301]geoMap (24)'!$A:$B,2,0)*VLOOKUP(A31,'[301]geoMap (24)'!$A:$C,3,0)</f>
        <v>22.68897465897415</v>
      </c>
      <c r="AA31" s="1">
        <f>Z31/VLOOKUP(A31,'[302]geoMap (25)'!$A:$B,2,0)*VLOOKUP(A31,'[302]geoMap (25)'!$A:$C,3,0)</f>
        <v>17.116244040980501</v>
      </c>
    </row>
    <row r="32" spans="1:27" x14ac:dyDescent="0.2">
      <c r="A32" s="1" t="s">
        <v>108</v>
      </c>
      <c r="B32" s="1">
        <f>Notes!$C$6*VLOOKUP(A32,[277]geoMap!$A:$B,2,0)</f>
        <v>15000</v>
      </c>
      <c r="C32" s="1">
        <f>B32/VLOOKUP(A32,'[278]geoMap (1)'!$A:$B,2,0)*VLOOKUP(A32,'[278]geoMap (1)'!$A:$C,3,0)</f>
        <v>3750</v>
      </c>
      <c r="D32" s="1">
        <f>C32/VLOOKUP(A32,'[279]geoMap (2)'!$A:$B,2,0)*VLOOKUP(A32,'[279]geoMap (2)'!$A:$C,3,0)</f>
        <v>8346.7741935483864</v>
      </c>
      <c r="E32" s="1">
        <f>D32/VLOOKUP(A32,'[280]geoMap (3)'!$A:$B,2,0)*VLOOKUP(A32,'[280]geoMap (3)'!$A:$C,3,0)</f>
        <v>8687.4588545095467</v>
      </c>
      <c r="F32" s="1">
        <f>E32/VLOOKUP(A32,'[281]geoMap (4)'!$A:$B,2,0)*VLOOKUP(A32,'[281]geoMap (4)'!$A:$C,3,0)</f>
        <v>8019.192788778043</v>
      </c>
      <c r="G32" s="1">
        <f>F32/VLOOKUP(A32,'[282]geoMap (5)'!$A:$B,2,0)*VLOOKUP(A32,'[282]geoMap (5)'!$A:$C,3,0)</f>
        <v>6300.7943340398906</v>
      </c>
      <c r="H32" s="1">
        <f>G32/VLOOKUP(A32,'[283]geoMap (6)'!$A:$B,2,0)*VLOOKUP(A32,'[283]geoMap (6)'!$A:$C,3,0)</f>
        <v>5816.1178468060516</v>
      </c>
      <c r="I32" s="1">
        <f>H32/VLOOKUP(A32,'[284]geoMap (7)'!$A:$B,2,0)*VLOOKUP(A32,'[284]geoMap (7)'!$A:$C,3,0)</f>
        <v>118.69628258787861</v>
      </c>
      <c r="J32" s="1">
        <f>I32/VLOOKUP(A32,'[285]geoMap (8)'!$A:$B,2,0)*VLOOKUP(A32,'[285]geoMap (8)'!$A:$C,3,0)</f>
        <v>1859.5750938767649</v>
      </c>
      <c r="K32" s="1">
        <f>J32/VLOOKUP(A32,'[286]geoMap (9)'!$A:$B,2,0)*VLOOKUP(A32,'[286]geoMap (9)'!$A:$C,3,0)</f>
        <v>2567.9846534488661</v>
      </c>
      <c r="L32" s="1">
        <f>K32/VLOOKUP(A32,'[287]geoMap (10)'!$A:$B,2,0)*VLOOKUP(A32,'[287]geoMap (10)'!$A:$C,3,0)</f>
        <v>1048.8951401410861</v>
      </c>
      <c r="M32" s="1">
        <f>L32/VLOOKUP(A32,'[288]geoMap (11)'!$A:$B,2,0)*VLOOKUP(A32,'[288]geoMap (11)'!$A:$C,3,0)</f>
        <v>2835.9016751962695</v>
      </c>
      <c r="N32" s="1">
        <f>M32/VLOOKUP(A32,'[289]geoMap (12)'!$A:$B,2,0)*VLOOKUP(A32,'[289]geoMap (12)'!$A:$C,3,0)</f>
        <v>895.54789743040089</v>
      </c>
      <c r="O32" s="1">
        <f>N32/VLOOKUP(A32,'[290]geoMap (13)'!$A:$B,2,0)*VLOOKUP(A32,'[290]geoMap (13)'!$A:$C,3,0)</f>
        <v>1051.2953578530794</v>
      </c>
      <c r="P32" s="1">
        <f>O32/VLOOKUP(A32,'[291]geoMap (14)'!$A:$B,2,0)*VLOOKUP(A32,'[291]geoMap (14)'!$A:$C,3,0)</f>
        <v>215.32555522291992</v>
      </c>
      <c r="Q32" s="1">
        <f>P32/VLOOKUP(A32,'[292]geoMap (15)'!$A:$B,2,0)*VLOOKUP(A32,'[292]geoMap (15)'!$A:$C,3,0)</f>
        <v>382.80098706296877</v>
      </c>
      <c r="R32" s="1">
        <f>Q32/VLOOKUP(A32,'[293]geoMap (16)'!$A:$B,2,0)*VLOOKUP(A32,'[293]geoMap (16)'!$A:$C,3,0)</f>
        <v>47.312481547108504</v>
      </c>
      <c r="S32" s="1">
        <f>R32/VLOOKUP(A32,'[294]geoMap (17)'!$A:$B,2,0)*VLOOKUP(A32,'[294]geoMap (17)'!$A:$C,3,0)</f>
        <v>1135.499557130604</v>
      </c>
      <c r="T32" s="1">
        <f>S32/VLOOKUP(A32,'[295]geoMap (18)'!$A:$B,2,0)*VLOOKUP(A32,'[295]geoMap (18)'!$A:$C,3,0)</f>
        <v>320.26910585734981</v>
      </c>
      <c r="U32" s="1">
        <f>T32/VLOOKUP(A32,'[296]geoMap (19)'!$A:$B,2,0)*VLOOKUP(A32,'[296]geoMap (19)'!$A:$C,3,0)</f>
        <v>241.60651845379024</v>
      </c>
      <c r="V32" s="1">
        <f>U32/VLOOKUP(A32,'[297]geoMap (20)'!$A:$B,2,0)*VLOOKUP(A32,'[297]geoMap (20)'!$A:$C,3,0)</f>
        <v>205.81296016433981</v>
      </c>
      <c r="W32" s="1">
        <f>V32/VLOOKUP(A32,'[298]geoMap (21)'!$A:$B,2,0)*VLOOKUP(A32,'[298]geoMap (21)'!$A:$C,3,0)</f>
        <v>149.03697115348746</v>
      </c>
      <c r="X32" s="1">
        <f>W32/VLOOKUP(A32,'[299]geoMap (22)'!$A:$B,2,0)*VLOOKUP(A32,'[299]geoMap (22)'!$A:$C,3,0)</f>
        <v>70.135045248699967</v>
      </c>
      <c r="Y32" s="1">
        <f>X32/VLOOKUP(A32,'[300]geoMap (23)'!$A:$B,2,0)*VLOOKUP(A32,'[300]geoMap (23)'!$A:$C,3,0)</f>
        <v>199.61512878476142</v>
      </c>
      <c r="Z32" s="1">
        <f>Y32/VLOOKUP(A32,'[301]geoMap (24)'!$A:$B,2,0)*VLOOKUP(A32,'[301]geoMap (24)'!$A:$C,3,0)</f>
        <v>150.58685153938143</v>
      </c>
      <c r="AA32" s="1">
        <f>Z32/VLOOKUP(A32,'[302]geoMap (25)'!$A:$B,2,0)*VLOOKUP(A32,'[302]geoMap (25)'!$A:$C,3,0)</f>
        <v>150.58685153938143</v>
      </c>
    </row>
    <row r="33" spans="1:27" x14ac:dyDescent="0.2">
      <c r="A33" s="1" t="s">
        <v>112</v>
      </c>
      <c r="B33" s="1">
        <f>Notes!$C$6*VLOOKUP(A33,[277]geoMap!$A:$B,2,0)</f>
        <v>12000</v>
      </c>
      <c r="C33" s="1">
        <f>B33/VLOOKUP(A33,'[278]geoMap (1)'!$A:$B,2,0)*VLOOKUP(A33,'[278]geoMap (1)'!$A:$C,3,0)</f>
        <v>4901.4084507042262</v>
      </c>
      <c r="D33" s="1">
        <f>C33/VLOOKUP(A33,'[279]geoMap (2)'!$A:$B,2,0)*VLOOKUP(A33,'[279]geoMap (2)'!$A:$C,3,0)</f>
        <v>7997.034840622684</v>
      </c>
      <c r="E33" s="1">
        <f>D33/VLOOKUP(A33,'[280]geoMap (3)'!$A:$B,2,0)*VLOOKUP(A33,'[280]geoMap (3)'!$A:$C,3,0)</f>
        <v>4901.4084507042262</v>
      </c>
      <c r="F33" s="1">
        <f>E33/VLOOKUP(A33,'[281]geoMap (4)'!$A:$B,2,0)*VLOOKUP(A33,'[281]geoMap (4)'!$A:$C,3,0)</f>
        <v>4709.196354598178</v>
      </c>
      <c r="G33" s="1">
        <f>F33/VLOOKUP(A33,'[282]geoMap (5)'!$A:$B,2,0)*VLOOKUP(A33,'[282]geoMap (5)'!$A:$C,3,0)</f>
        <v>5101.6293841480274</v>
      </c>
      <c r="H33" s="1">
        <f>G33/VLOOKUP(A33,'[283]geoMap (6)'!$A:$B,2,0)*VLOOKUP(A33,'[283]geoMap (6)'!$A:$C,3,0)</f>
        <v>3126.8051064133069</v>
      </c>
      <c r="I33" s="1">
        <f>H33/VLOOKUP(A33,'[284]geoMap (7)'!$A:$B,2,0)*VLOOKUP(A33,'[284]geoMap (7)'!$A:$C,3,0)</f>
        <v>235.35092198809838</v>
      </c>
      <c r="J33" s="1">
        <f>I33/VLOOKUP(A33,'[285]geoMap (8)'!$A:$B,2,0)*VLOOKUP(A33,'[285]geoMap (8)'!$A:$C,3,0)</f>
        <v>2379.6593223241057</v>
      </c>
      <c r="K33" s="1">
        <f>J33/VLOOKUP(A33,'[286]geoMap (9)'!$A:$B,2,0)*VLOOKUP(A33,'[286]geoMap (9)'!$A:$C,3,0)</f>
        <v>1723.2015782346973</v>
      </c>
      <c r="L33" s="1">
        <f>K33/VLOOKUP(A33,'[287]geoMap (10)'!$A:$B,2,0)*VLOOKUP(A33,'[287]geoMap (10)'!$A:$C,3,0)</f>
        <v>738.51496210058451</v>
      </c>
      <c r="M33" s="1">
        <f>L33/VLOOKUP(A33,'[288]geoMap (11)'!$A:$B,2,0)*VLOOKUP(A33,'[288]geoMap (11)'!$A:$C,3,0)</f>
        <v>832.79346790065927</v>
      </c>
      <c r="N33" s="1">
        <f>M33/VLOOKUP(A33,'[289]geoMap (12)'!$A:$B,2,0)*VLOOKUP(A33,'[289]geoMap (12)'!$A:$C,3,0)</f>
        <v>939.10752763265839</v>
      </c>
      <c r="O33" s="1">
        <f>N33/VLOOKUP(A33,'[290]geoMap (13)'!$A:$B,2,0)*VLOOKUP(A33,'[290]geoMap (13)'!$A:$C,3,0)</f>
        <v>866.86848704553074</v>
      </c>
      <c r="P33" s="1">
        <f>O33/VLOOKUP(A33,'[291]geoMap (14)'!$A:$B,2,0)*VLOOKUP(A33,'[291]geoMap (14)'!$A:$C,3,0)</f>
        <v>407.93811155083802</v>
      </c>
      <c r="Q33" s="1">
        <f>P33/VLOOKUP(A33,'[292]geoMap (15)'!$A:$B,2,0)*VLOOKUP(A33,'[292]geoMap (15)'!$A:$C,3,0)</f>
        <v>158.64259893643703</v>
      </c>
      <c r="R33" s="1">
        <f>Q33/VLOOKUP(A33,'[293]geoMap (16)'!$A:$B,2,0)*VLOOKUP(A33,'[293]geoMap (16)'!$A:$C,3,0)</f>
        <v>39.660649734109256</v>
      </c>
      <c r="S33" s="1">
        <f>R33/VLOOKUP(A33,'[294]geoMap (17)'!$A:$B,2,0)*VLOOKUP(A33,'[294]geoMap (17)'!$A:$C,3,0)</f>
        <v>265.42127129750043</v>
      </c>
      <c r="T33" s="1">
        <f>S33/VLOOKUP(A33,'[295]geoMap (18)'!$A:$B,2,0)*VLOOKUP(A33,'[295]geoMap (18)'!$A:$C,3,0)</f>
        <v>208.54528459089315</v>
      </c>
      <c r="U33" s="1">
        <f>T33/VLOOKUP(A33,'[296]geoMap (19)'!$A:$B,2,0)*VLOOKUP(A33,'[296]geoMap (19)'!$A:$C,3,0)</f>
        <v>144.92129946146812</v>
      </c>
      <c r="V33" s="1">
        <f>U33/VLOOKUP(A33,'[297]geoMap (20)'!$A:$B,2,0)*VLOOKUP(A33,'[297]geoMap (20)'!$A:$C,3,0)</f>
        <v>53.601028567940268</v>
      </c>
      <c r="W33" s="1">
        <f>V33/VLOOKUP(A33,'[298]geoMap (21)'!$A:$B,2,0)*VLOOKUP(A33,'[298]geoMap (21)'!$A:$C,3,0)</f>
        <v>83.837506221650159</v>
      </c>
      <c r="X33" s="1">
        <f>W33/VLOOKUP(A33,'[299]geoMap (22)'!$A:$B,2,0)*VLOOKUP(A33,'[299]geoMap (22)'!$A:$C,3,0)</f>
        <v>94.540166590371456</v>
      </c>
      <c r="Y33" s="1">
        <f>X33/VLOOKUP(A33,'[300]geoMap (23)'!$A:$B,2,0)*VLOOKUP(A33,'[300]geoMap (23)'!$A:$C,3,0)</f>
        <v>77.351045392122089</v>
      </c>
      <c r="Z33" s="1">
        <f>Y33/VLOOKUP(A33,'[301]geoMap (24)'!$A:$B,2,0)*VLOOKUP(A33,'[301]geoMap (24)'!$A:$C,3,0)</f>
        <v>41.65056290345035</v>
      </c>
      <c r="AA33" s="1">
        <f>Z33/VLOOKUP(A33,'[302]geoMap (25)'!$A:$B,2,0)*VLOOKUP(A33,'[302]geoMap (25)'!$A:$C,3,0)</f>
        <v>41.65056290345035</v>
      </c>
    </row>
    <row r="34" spans="1:27" x14ac:dyDescent="0.2">
      <c r="A34" s="1" t="s">
        <v>117</v>
      </c>
      <c r="B34" s="1">
        <f>Notes!$C$6*VLOOKUP(A34,[277]geoMap!$A:$B,2,0)</f>
        <v>22000</v>
      </c>
      <c r="C34" s="1">
        <f>B34/VLOOKUP(A34,'[278]geoMap (1)'!$A:$B,2,0)*VLOOKUP(A34,'[278]geoMap (1)'!$A:$C,3,0)</f>
        <v>4506.0240963855431</v>
      </c>
      <c r="D34" s="1">
        <f>C34/VLOOKUP(A34,'[279]geoMap (2)'!$A:$B,2,0)*VLOOKUP(A34,'[279]geoMap (2)'!$A:$C,3,0)</f>
        <v>7047.8838430645665</v>
      </c>
      <c r="E34" s="1">
        <f>D34/VLOOKUP(A34,'[280]geoMap (3)'!$A:$B,2,0)*VLOOKUP(A34,'[280]geoMap (3)'!$A:$C,3,0)</f>
        <v>6250.010200453482</v>
      </c>
      <c r="F34" s="1">
        <f>E34/VLOOKUP(A34,'[281]geoMap (4)'!$A:$B,2,0)*VLOOKUP(A34,'[281]geoMap (4)'!$A:$C,3,0)</f>
        <v>4714.9199757806973</v>
      </c>
      <c r="G34" s="1">
        <f>F34/VLOOKUP(A34,'[282]geoMap (5)'!$A:$B,2,0)*VLOOKUP(A34,'[282]geoMap (5)'!$A:$C,3,0)</f>
        <v>4714.9199757806973</v>
      </c>
      <c r="H34" s="1">
        <f>G34/VLOOKUP(A34,'[283]geoMap (6)'!$A:$B,2,0)*VLOOKUP(A34,'[283]geoMap (6)'!$A:$C,3,0)</f>
        <v>2652.1424863766424</v>
      </c>
      <c r="I34" s="1">
        <f>H34/VLOOKUP(A34,'[284]geoMap (7)'!$A:$B,2,0)*VLOOKUP(A34,'[284]geoMap (7)'!$A:$C,3,0)</f>
        <v>327.7928915746412</v>
      </c>
      <c r="J34" s="1">
        <f>I34/VLOOKUP(A34,'[285]geoMap (8)'!$A:$B,2,0)*VLOOKUP(A34,'[285]geoMap (8)'!$A:$C,3,0)</f>
        <v>2193.6908897687526</v>
      </c>
      <c r="K34" s="1">
        <f>J34/VLOOKUP(A34,'[286]geoMap (9)'!$A:$B,2,0)*VLOOKUP(A34,'[286]geoMap (9)'!$A:$C,3,0)</f>
        <v>1588.5347822463382</v>
      </c>
      <c r="L34" s="1">
        <f>K34/VLOOKUP(A34,'[287]geoMap (10)'!$A:$B,2,0)*VLOOKUP(A34,'[287]geoMap (10)'!$A:$C,3,0)</f>
        <v>617.76352642913162</v>
      </c>
      <c r="M34" s="1">
        <f>L34/VLOOKUP(A34,'[288]geoMap (11)'!$A:$B,2,0)*VLOOKUP(A34,'[288]geoMap (11)'!$A:$C,3,0)</f>
        <v>888.97678193460399</v>
      </c>
      <c r="N34" s="1">
        <f>M34/VLOOKUP(A34,'[289]geoMap (12)'!$A:$B,2,0)*VLOOKUP(A34,'[289]geoMap (12)'!$A:$C,3,0)</f>
        <v>788.33790096087512</v>
      </c>
      <c r="O34" s="1">
        <f>N34/VLOOKUP(A34,'[290]geoMap (13)'!$A:$B,2,0)*VLOOKUP(A34,'[290]geoMap (13)'!$A:$C,3,0)</f>
        <v>757.42268915848774</v>
      </c>
      <c r="P34" s="1">
        <f>O34/VLOOKUP(A34,'[291]geoMap (14)'!$A:$B,2,0)*VLOOKUP(A34,'[291]geoMap (14)'!$A:$C,3,0)</f>
        <v>155.13476765896741</v>
      </c>
      <c r="Q34" s="1">
        <f>P34/VLOOKUP(A34,'[292]geoMap (15)'!$A:$B,2,0)*VLOOKUP(A34,'[292]geoMap (15)'!$A:$C,3,0)</f>
        <v>132.15183911689815</v>
      </c>
      <c r="R34" s="1">
        <f>Q34/VLOOKUP(A34,'[293]geoMap (16)'!$A:$B,2,0)*VLOOKUP(A34,'[293]geoMap (16)'!$A:$C,3,0)</f>
        <v>23.320912785334965</v>
      </c>
      <c r="S34" s="1">
        <f>R34/VLOOKUP(A34,'[294]geoMap (17)'!$A:$B,2,0)*VLOOKUP(A34,'[294]geoMap (17)'!$A:$C,3,0)</f>
        <v>188.68738526316471</v>
      </c>
      <c r="T34" s="1">
        <f>S34/VLOOKUP(A34,'[295]geoMap (18)'!$A:$B,2,0)*VLOOKUP(A34,'[295]geoMap (18)'!$A:$C,3,0)</f>
        <v>181.28787995872688</v>
      </c>
      <c r="U34" s="1">
        <f>T34/VLOOKUP(A34,'[296]geoMap (19)'!$A:$B,2,0)*VLOOKUP(A34,'[296]geoMap (19)'!$A:$C,3,0)</f>
        <v>106.47065965829991</v>
      </c>
      <c r="V34" s="1">
        <f>U34/VLOOKUP(A34,'[297]geoMap (20)'!$A:$B,2,0)*VLOOKUP(A34,'[297]geoMap (20)'!$A:$C,3,0)</f>
        <v>21.807243544471067</v>
      </c>
      <c r="W34" s="1">
        <f>V34/VLOOKUP(A34,'[298]geoMap (21)'!$A:$B,2,0)*VLOOKUP(A34,'[298]geoMap (21)'!$A:$C,3,0)</f>
        <v>69.05627122415838</v>
      </c>
      <c r="X34" s="1">
        <f>W34/VLOOKUP(A34,'[299]geoMap (22)'!$A:$B,2,0)*VLOOKUP(A34,'[299]geoMap (22)'!$A:$C,3,0)</f>
        <v>56.500585547038675</v>
      </c>
      <c r="Y34" s="1">
        <f>X34/VLOOKUP(A34,'[300]geoMap (23)'!$A:$B,2,0)*VLOOKUP(A34,'[300]geoMap (23)'!$A:$C,3,0)</f>
        <v>71.909836150776499</v>
      </c>
      <c r="Z34" s="1">
        <f>Y34/VLOOKUP(A34,'[301]geoMap (24)'!$A:$B,2,0)*VLOOKUP(A34,'[301]geoMap (24)'!$A:$C,3,0)</f>
        <v>20.28226147842414</v>
      </c>
      <c r="AA34" s="1">
        <f>Z34/VLOOKUP(A34,'[302]geoMap (25)'!$A:$B,2,0)*VLOOKUP(A34,'[302]geoMap (25)'!$A:$C,3,0)</f>
        <v>34.534661436235695</v>
      </c>
    </row>
    <row r="35" spans="1:27" x14ac:dyDescent="0.2">
      <c r="A35" s="1" t="s">
        <v>99</v>
      </c>
      <c r="B35" s="1">
        <f>Notes!$C$6*VLOOKUP(A35,[277]geoMap!$A:$B,2,0)</f>
        <v>12000</v>
      </c>
      <c r="C35" s="1">
        <f>B35/VLOOKUP(A35,'[278]geoMap (1)'!$A:$B,2,0)*VLOOKUP(A35,'[278]geoMap (1)'!$A:$C,3,0)</f>
        <v>4666.6666666666679</v>
      </c>
      <c r="D35" s="1">
        <f>C35/VLOOKUP(A35,'[279]geoMap (2)'!$A:$B,2,0)*VLOOKUP(A35,'[279]geoMap (2)'!$A:$C,3,0)</f>
        <v>6186.0465116279083</v>
      </c>
      <c r="E35" s="1">
        <f>D35/VLOOKUP(A35,'[280]geoMap (3)'!$A:$B,2,0)*VLOOKUP(A35,'[280]geoMap (3)'!$A:$C,3,0)</f>
        <v>7560.7235142118889</v>
      </c>
      <c r="F35" s="1">
        <f>E35/VLOOKUP(A35,'[281]geoMap (4)'!$A:$B,2,0)*VLOOKUP(A35,'[281]geoMap (4)'!$A:$C,3,0)</f>
        <v>6186.0465116279083</v>
      </c>
      <c r="G35" s="1">
        <f>F35/VLOOKUP(A35,'[282]geoMap (5)'!$A:$B,2,0)*VLOOKUP(A35,'[282]geoMap (5)'!$A:$C,3,0)</f>
        <v>4860.4651162790706</v>
      </c>
      <c r="H35" s="1">
        <f>G35/VLOOKUP(A35,'[283]geoMap (6)'!$A:$B,2,0)*VLOOKUP(A35,'[283]geoMap (6)'!$A:$C,3,0)</f>
        <v>2734.0116279069771</v>
      </c>
      <c r="I35" s="1">
        <f>H35/VLOOKUP(A35,'[284]geoMap (7)'!$A:$B,2,0)*VLOOKUP(A35,'[284]geoMap (7)'!$A:$C,3,0)</f>
        <v>143.89534883720933</v>
      </c>
      <c r="J35" s="1">
        <f>I35/VLOOKUP(A35,'[285]geoMap (8)'!$A:$B,2,0)*VLOOKUP(A35,'[285]geoMap (8)'!$A:$C,3,0)</f>
        <v>2734.0116279069771</v>
      </c>
      <c r="K35" s="1">
        <f>J35/VLOOKUP(A35,'[286]geoMap (9)'!$A:$B,2,0)*VLOOKUP(A35,'[286]geoMap (9)'!$A:$C,3,0)</f>
        <v>1537.8815406976746</v>
      </c>
      <c r="L35" s="1">
        <f>K35/VLOOKUP(A35,'[287]geoMap (10)'!$A:$B,2,0)*VLOOKUP(A35,'[287]geoMap (10)'!$A:$C,3,0)</f>
        <v>1068.697341840757</v>
      </c>
      <c r="M35" s="1">
        <f>L35/VLOOKUP(A35,'[288]geoMap (11)'!$A:$B,2,0)*VLOOKUP(A35,'[288]geoMap (11)'!$A:$C,3,0)</f>
        <v>1157.75545366082</v>
      </c>
      <c r="N35" s="1">
        <f>M35/VLOOKUP(A35,'[289]geoMap (12)'!$A:$B,2,0)*VLOOKUP(A35,'[289]geoMap (12)'!$A:$C,3,0)</f>
        <v>947.25446208612539</v>
      </c>
      <c r="O35" s="1">
        <f>N35/VLOOKUP(A35,'[290]geoMap (13)'!$A:$B,2,0)*VLOOKUP(A35,'[290]geoMap (13)'!$A:$C,3,0)</f>
        <v>806.92046770299567</v>
      </c>
      <c r="P35" s="1">
        <f>O35/VLOOKUP(A35,'[291]geoMap (14)'!$A:$B,2,0)*VLOOKUP(A35,'[291]geoMap (14)'!$A:$C,3,0)</f>
        <v>268.97348923433191</v>
      </c>
      <c r="Q35" s="1">
        <f>P35/VLOOKUP(A35,'[292]geoMap (15)'!$A:$B,2,0)*VLOOKUP(A35,'[292]geoMap (15)'!$A:$C,3,0)</f>
        <v>248.28322083169095</v>
      </c>
      <c r="R35" s="1">
        <f>Q35/VLOOKUP(A35,'[293]geoMap (16)'!$A:$B,2,0)*VLOOKUP(A35,'[293]geoMap (16)'!$A:$C,3,0)</f>
        <v>43.81468602912193</v>
      </c>
      <c r="S35" s="1">
        <f>R35/VLOOKUP(A35,'[294]geoMap (17)'!$A:$B,2,0)*VLOOKUP(A35,'[294]geoMap (17)'!$A:$C,3,0)</f>
        <v>394.3321742620974</v>
      </c>
      <c r="T35" s="1">
        <f>S35/VLOOKUP(A35,'[295]geoMap (18)'!$A:$B,2,0)*VLOOKUP(A35,'[295]geoMap (18)'!$A:$C,3,0)</f>
        <v>231.59191186821593</v>
      </c>
      <c r="U35" s="1">
        <f>T35/VLOOKUP(A35,'[296]geoMap (19)'!$A:$B,2,0)*VLOOKUP(A35,'[296]geoMap (19)'!$A:$C,3,0)</f>
        <v>160.93675231520092</v>
      </c>
      <c r="V35" s="1">
        <f>U35/VLOOKUP(A35,'[297]geoMap (20)'!$A:$B,2,0)*VLOOKUP(A35,'[297]geoMap (20)'!$A:$C,3,0)</f>
        <v>32.962949269378505</v>
      </c>
      <c r="W35" s="1">
        <f>V35/VLOOKUP(A35,'[298]geoMap (21)'!$A:$B,2,0)*VLOOKUP(A35,'[298]geoMap (21)'!$A:$C,3,0)</f>
        <v>110.35422146704977</v>
      </c>
      <c r="X35" s="1">
        <f>W35/VLOOKUP(A35,'[299]geoMap (22)'!$A:$B,2,0)*VLOOKUP(A35,'[299]geoMap (22)'!$A:$C,3,0)</f>
        <v>129.54625998305843</v>
      </c>
      <c r="Y35" s="1">
        <f>X35/VLOOKUP(A35,'[300]geoMap (23)'!$A:$B,2,0)*VLOOKUP(A35,'[300]geoMap (23)'!$A:$C,3,0)</f>
        <v>110.35422146704978</v>
      </c>
      <c r="Z35" s="1">
        <f>Y35/VLOOKUP(A35,'[301]geoMap (24)'!$A:$B,2,0)*VLOOKUP(A35,'[301]geoMap (24)'!$A:$C,3,0)</f>
        <v>54.353571767352882</v>
      </c>
      <c r="AA35" s="1">
        <f>Z35/VLOOKUP(A35,'[302]geoMap (25)'!$A:$B,2,0)*VLOOKUP(A35,'[302]geoMap (25)'!$A:$C,3,0)</f>
        <v>75.059694345392074</v>
      </c>
    </row>
    <row r="36" spans="1:27" x14ac:dyDescent="0.2">
      <c r="A36" s="1" t="s">
        <v>97</v>
      </c>
      <c r="B36" s="1">
        <f>Notes!$C$6*VLOOKUP(A36,[277]geoMap!$A:$B,2,0)</f>
        <v>11000</v>
      </c>
      <c r="C36" s="1">
        <f>B36/VLOOKUP(A36,'[278]geoMap (1)'!$A:$B,2,0)*VLOOKUP(A36,'[278]geoMap (1)'!$A:$C,3,0)</f>
        <v>4068.4931506849316</v>
      </c>
      <c r="D36" s="1">
        <f>C36/VLOOKUP(A36,'[279]geoMap (2)'!$A:$B,2,0)*VLOOKUP(A36,'[279]geoMap (2)'!$A:$C,3,0)</f>
        <v>6363.5405690200205</v>
      </c>
      <c r="E36" s="1">
        <f>D36/VLOOKUP(A36,'[280]geoMap (3)'!$A:$B,2,0)*VLOOKUP(A36,'[280]geoMap (3)'!$A:$C,3,0)</f>
        <v>6113.9899584702162</v>
      </c>
      <c r="F36" s="1">
        <f>E36/VLOOKUP(A36,'[281]geoMap (4)'!$A:$B,2,0)*VLOOKUP(A36,'[281]geoMap (4)'!$A:$C,3,0)</f>
        <v>6113.9899584702162</v>
      </c>
      <c r="G36" s="1">
        <f>F36/VLOOKUP(A36,'[282]geoMap (5)'!$A:$B,2,0)*VLOOKUP(A36,'[282]geoMap (5)'!$A:$C,3,0)</f>
        <v>4248.7048863945574</v>
      </c>
      <c r="H36" s="1">
        <f>G36/VLOOKUP(A36,'[283]geoMap (6)'!$A:$B,2,0)*VLOOKUP(A36,'[283]geoMap (6)'!$A:$C,3,0)</f>
        <v>2604.0449303708579</v>
      </c>
      <c r="I36" s="1">
        <f>H36/VLOOKUP(A36,'[284]geoMap (7)'!$A:$B,2,0)*VLOOKUP(A36,'[284]geoMap (7)'!$A:$C,3,0)</f>
        <v>108.50187209878575</v>
      </c>
      <c r="J36" s="1">
        <f>I36/VLOOKUP(A36,'[285]geoMap (8)'!$A:$B,2,0)*VLOOKUP(A36,'[285]geoMap (8)'!$A:$C,3,0)</f>
        <v>2061.535569876929</v>
      </c>
      <c r="K36" s="1">
        <f>J36/VLOOKUP(A36,'[286]geoMap (9)'!$A:$B,2,0)*VLOOKUP(A36,'[286]geoMap (9)'!$A:$C,3,0)</f>
        <v>2420.0634950729168</v>
      </c>
      <c r="L36" s="1">
        <f>K36/VLOOKUP(A36,'[287]geoMap (10)'!$A:$B,2,0)*VLOOKUP(A36,'[287]geoMap (10)'!$A:$C,3,0)</f>
        <v>806.6878316909723</v>
      </c>
      <c r="M36" s="1">
        <f>L36/VLOOKUP(A36,'[288]geoMap (11)'!$A:$B,2,0)*VLOOKUP(A36,'[288]geoMap (11)'!$A:$C,3,0)</f>
        <v>839.61386563754252</v>
      </c>
      <c r="N36" s="1">
        <f>M36/VLOOKUP(A36,'[289]geoMap (12)'!$A:$B,2,0)*VLOOKUP(A36,'[289]geoMap (12)'!$A:$C,3,0)</f>
        <v>686.95679915798928</v>
      </c>
      <c r="O36" s="1">
        <f>N36/VLOOKUP(A36,'[290]geoMap (13)'!$A:$B,2,0)*VLOOKUP(A36,'[290]geoMap (13)'!$A:$C,3,0)</f>
        <v>518.23056778585158</v>
      </c>
      <c r="P36" s="1">
        <f>O36/VLOOKUP(A36,'[291]geoMap (14)'!$A:$B,2,0)*VLOOKUP(A36,'[291]geoMap (14)'!$A:$C,3,0)</f>
        <v>201.53410969449786</v>
      </c>
      <c r="Q36" s="1">
        <f>P36/VLOOKUP(A36,'[292]geoMap (15)'!$A:$B,2,0)*VLOOKUP(A36,'[292]geoMap (15)'!$A:$C,3,0)</f>
        <v>178.71892746493202</v>
      </c>
      <c r="R36" s="1">
        <f>Q36/VLOOKUP(A36,'[293]geoMap (16)'!$A:$B,2,0)*VLOOKUP(A36,'[293]geoMap (16)'!$A:$C,3,0)</f>
        <v>31.538634258517416</v>
      </c>
      <c r="S36" s="1">
        <f>R36/VLOOKUP(A36,'[294]geoMap (17)'!$A:$B,2,0)*VLOOKUP(A36,'[294]geoMap (17)'!$A:$C,3,0)</f>
        <v>211.066244653155</v>
      </c>
      <c r="T36" s="1">
        <f>S36/VLOOKUP(A36,'[295]geoMap (18)'!$A:$B,2,0)*VLOOKUP(A36,'[295]geoMap (18)'!$A:$C,3,0)</f>
        <v>152.84107371435363</v>
      </c>
      <c r="U36" s="1">
        <f>T36/VLOOKUP(A36,'[296]geoMap (19)'!$A:$B,2,0)*VLOOKUP(A36,'[296]geoMap (19)'!$A:$C,3,0)</f>
        <v>120.08941506127783</v>
      </c>
      <c r="V36" s="1">
        <f>U36/VLOOKUP(A36,'[297]geoMap (20)'!$A:$B,2,0)*VLOOKUP(A36,'[297]geoMap (20)'!$A:$C,3,0)</f>
        <v>33.871373478821951</v>
      </c>
      <c r="W36" s="1">
        <f>V36/VLOOKUP(A36,'[298]geoMap (21)'!$A:$B,2,0)*VLOOKUP(A36,'[298]geoMap (21)'!$A:$C,3,0)</f>
        <v>208.06700851276338</v>
      </c>
      <c r="X36" s="1">
        <f>W36/VLOOKUP(A36,'[299]geoMap (22)'!$A:$B,2,0)*VLOOKUP(A36,'[299]geoMap (22)'!$A:$C,3,0)</f>
        <v>122.19808436463882</v>
      </c>
      <c r="Y36" s="1">
        <f>X36/VLOOKUP(A36,'[300]geoMap (23)'!$A:$B,2,0)*VLOOKUP(A36,'[300]geoMap (23)'!$A:$C,3,0)</f>
        <v>99.980250843795389</v>
      </c>
      <c r="Z36" s="1">
        <f>Y36/VLOOKUP(A36,'[301]geoMap (24)'!$A:$B,2,0)*VLOOKUP(A36,'[301]geoMap (24)'!$A:$C,3,0)</f>
        <v>42.848678933055169</v>
      </c>
      <c r="AA36" s="1">
        <f>Z36/VLOOKUP(A36,'[302]geoMap (25)'!$A:$B,2,0)*VLOOKUP(A36,'[302]geoMap (25)'!$A:$C,3,0)</f>
        <v>79.576118018531034</v>
      </c>
    </row>
    <row r="37" spans="1:27" x14ac:dyDescent="0.2">
      <c r="A37" s="1" t="s">
        <v>125</v>
      </c>
      <c r="B37" s="1">
        <f>Notes!$C$6*VLOOKUP(A37,[277]geoMap!$A:$B,2,0)</f>
        <v>25000</v>
      </c>
      <c r="C37" s="1">
        <f>B37/VLOOKUP(A37,'[278]geoMap (1)'!$A:$B,2,0)*VLOOKUP(A37,'[278]geoMap (1)'!$A:$C,3,0)</f>
        <v>3089.8876404494381</v>
      </c>
      <c r="D37" s="1">
        <f>C37/VLOOKUP(A37,'[279]geoMap (2)'!$A:$B,2,0)*VLOOKUP(A37,'[279]geoMap (2)'!$A:$C,3,0)</f>
        <v>6566.0112359550558</v>
      </c>
      <c r="E37" s="1">
        <f>D37/VLOOKUP(A37,'[280]geoMap (3)'!$A:$B,2,0)*VLOOKUP(A37,'[280]geoMap (3)'!$A:$C,3,0)</f>
        <v>6308.5205992509354</v>
      </c>
      <c r="F37" s="1">
        <f>E37/VLOOKUP(A37,'[281]geoMap (4)'!$A:$B,2,0)*VLOOKUP(A37,'[281]geoMap (4)'!$A:$C,3,0)</f>
        <v>4956.694756554306</v>
      </c>
      <c r="G37" s="1">
        <f>F37/VLOOKUP(A37,'[282]geoMap (5)'!$A:$B,2,0)*VLOOKUP(A37,'[282]geoMap (5)'!$A:$C,3,0)</f>
        <v>4222.3696074351492</v>
      </c>
      <c r="H37" s="1">
        <f>G37/VLOOKUP(A37,'[283]geoMap (6)'!$A:$B,2,0)*VLOOKUP(A37,'[283]geoMap (6)'!$A:$C,3,0)</f>
        <v>1724.6298396566103</v>
      </c>
      <c r="I37" s="1">
        <f>H37/VLOOKUP(A37,'[284]geoMap (7)'!$A:$B,2,0)*VLOOKUP(A37,'[284]geoMap (7)'!$A:$C,3,0)</f>
        <v>149.96781214405306</v>
      </c>
      <c r="J37" s="1">
        <f>I37/VLOOKUP(A37,'[285]geoMap (8)'!$A:$B,2,0)*VLOOKUP(A37,'[285]geoMap (8)'!$A:$C,3,0)</f>
        <v>1724.6298396566103</v>
      </c>
      <c r="K37" s="1">
        <f>J37/VLOOKUP(A37,'[286]geoMap (9)'!$A:$B,2,0)*VLOOKUP(A37,'[286]geoMap (9)'!$A:$C,3,0)</f>
        <v>1198.471583490187</v>
      </c>
      <c r="L37" s="1">
        <f>K37/VLOOKUP(A37,'[287]geoMap (10)'!$A:$B,2,0)*VLOOKUP(A37,'[287]geoMap (10)'!$A:$C,3,0)</f>
        <v>421.0846104154711</v>
      </c>
      <c r="M37" s="1">
        <f>L37/VLOOKUP(A37,'[288]geoMap (11)'!$A:$B,2,0)*VLOOKUP(A37,'[288]geoMap (11)'!$A:$C,3,0)</f>
        <v>581.49779533565061</v>
      </c>
      <c r="N37" s="1">
        <f>M37/VLOOKUP(A37,'[289]geoMap (12)'!$A:$B,2,0)*VLOOKUP(A37,'[289]geoMap (12)'!$A:$C,3,0)</f>
        <v>605.23239922690163</v>
      </c>
      <c r="O37" s="1">
        <f>N37/VLOOKUP(A37,'[290]geoMap (13)'!$A:$B,2,0)*VLOOKUP(A37,'[290]geoMap (13)'!$A:$C,3,0)</f>
        <v>403.48826615126779</v>
      </c>
      <c r="P37" s="1">
        <f>O37/VLOOKUP(A37,'[291]geoMap (14)'!$A:$B,2,0)*VLOOKUP(A37,'[291]geoMap (14)'!$A:$C,3,0)</f>
        <v>280.39015105427086</v>
      </c>
      <c r="Q37" s="1">
        <f>P37/VLOOKUP(A37,'[292]geoMap (15)'!$A:$B,2,0)*VLOOKUP(A37,'[292]geoMap (15)'!$A:$C,3,0)</f>
        <v>65.77052925964378</v>
      </c>
      <c r="R37" s="1">
        <f>Q37/VLOOKUP(A37,'[293]geoMap (16)'!$A:$B,2,0)*VLOOKUP(A37,'[293]geoMap (16)'!$A:$C,3,0)</f>
        <v>19.645742506127363</v>
      </c>
      <c r="S37" s="1">
        <f>R37/VLOOKUP(A37,'[294]geoMap (17)'!$A:$B,2,0)*VLOOKUP(A37,'[294]geoMap (17)'!$A:$C,3,0)</f>
        <v>225.92603882046467</v>
      </c>
      <c r="T37" s="1">
        <f>S37/VLOOKUP(A37,'[295]geoMap (18)'!$A:$B,2,0)*VLOOKUP(A37,'[295]geoMap (18)'!$A:$C,3,0)</f>
        <v>111.27700419515425</v>
      </c>
      <c r="U37" s="1">
        <f>T37/VLOOKUP(A37,'[296]geoMap (19)'!$A:$B,2,0)*VLOOKUP(A37,'[296]geoMap (19)'!$A:$C,3,0)</f>
        <v>102.71723464168083</v>
      </c>
      <c r="V37" s="1">
        <f>U37/VLOOKUP(A37,'[297]geoMap (20)'!$A:$B,2,0)*VLOOKUP(A37,'[297]geoMap (20)'!$A:$C,3,0)</f>
        <v>48.337522184320392</v>
      </c>
      <c r="W37" s="1">
        <f>V37/VLOOKUP(A37,'[298]geoMap (21)'!$A:$B,2,0)*VLOOKUP(A37,'[298]geoMap (21)'!$A:$C,3,0)</f>
        <v>48.337522184320392</v>
      </c>
      <c r="X37" s="1">
        <f>W37/VLOOKUP(A37,'[299]geoMap (22)'!$A:$B,2,0)*VLOOKUP(A37,'[299]geoMap (22)'!$A:$C,3,0)</f>
        <v>44.61925124706498</v>
      </c>
      <c r="Y37" s="1">
        <f>X37/VLOOKUP(A37,'[300]geoMap (23)'!$A:$B,2,0)*VLOOKUP(A37,'[300]geoMap (23)'!$A:$C,3,0)</f>
        <v>56.788137950809976</v>
      </c>
      <c r="Z37" s="1">
        <f>Y37/VLOOKUP(A37,'[301]geoMap (24)'!$A:$B,2,0)*VLOOKUP(A37,'[301]geoMap (24)'!$A:$C,3,0)</f>
        <v>25.513511253262454</v>
      </c>
      <c r="AA37" s="1">
        <f>Z37/VLOOKUP(A37,'[302]geoMap (25)'!$A:$B,2,0)*VLOOKUP(A37,'[302]geoMap (25)'!$A:$C,3,0)</f>
        <v>51.80015921116923</v>
      </c>
    </row>
    <row r="38" spans="1:27" x14ac:dyDescent="0.2">
      <c r="A38" s="1" t="s">
        <v>120</v>
      </c>
      <c r="B38" s="1">
        <f>Notes!$C$6*VLOOKUP(A38,[277]geoMap!$A:$B,2,0)</f>
        <v>12000</v>
      </c>
      <c r="C38" s="1">
        <f>B38/VLOOKUP(A38,'[278]geoMap (1)'!$A:$B,2,0)*VLOOKUP(A38,'[278]geoMap (1)'!$A:$C,3,0)</f>
        <v>3189.8734177215188</v>
      </c>
      <c r="D38" s="1">
        <f>C38/VLOOKUP(A38,'[279]geoMap (2)'!$A:$B,2,0)*VLOOKUP(A38,'[279]geoMap (2)'!$A:$C,3,0)</f>
        <v>5924.0506329113923</v>
      </c>
      <c r="E38" s="1">
        <f>D38/VLOOKUP(A38,'[280]geoMap (3)'!$A:$B,2,0)*VLOOKUP(A38,'[280]geoMap (3)'!$A:$C,3,0)</f>
        <v>6165.8486179281845</v>
      </c>
      <c r="F38" s="1">
        <f>E38/VLOOKUP(A38,'[281]geoMap (4)'!$A:$B,2,0)*VLOOKUP(A38,'[281]geoMap (4)'!$A:$C,3,0)</f>
        <v>5252.3895634203054</v>
      </c>
      <c r="G38" s="1">
        <f>F38/VLOOKUP(A38,'[282]geoMap (5)'!$A:$B,2,0)*VLOOKUP(A38,'[282]geoMap (5)'!$A:$C,3,0)</f>
        <v>3962.3289688960203</v>
      </c>
      <c r="H38" s="1">
        <f>G38/VLOOKUP(A38,'[283]geoMap (6)'!$A:$B,2,0)*VLOOKUP(A38,'[283]geoMap (6)'!$A:$C,3,0)</f>
        <v>1780.1767831271977</v>
      </c>
      <c r="I38" s="1">
        <f>H38/VLOOKUP(A38,'[284]geoMap (7)'!$A:$B,2,0)*VLOOKUP(A38,'[284]geoMap (7)'!$A:$C,3,0)</f>
        <v>74.174032630299905</v>
      </c>
      <c r="J38" s="1">
        <f>I38/VLOOKUP(A38,'[285]geoMap (8)'!$A:$B,2,0)*VLOOKUP(A38,'[285]geoMap (8)'!$A:$C,3,0)</f>
        <v>1780.1767831271977</v>
      </c>
      <c r="K38" s="1">
        <f>J38/VLOOKUP(A38,'[286]geoMap (9)'!$A:$B,2,0)*VLOOKUP(A38,'[286]geoMap (9)'!$A:$C,3,0)</f>
        <v>1091.0760928844115</v>
      </c>
      <c r="L38" s="1">
        <f>K38/VLOOKUP(A38,'[287]geoMap (10)'!$A:$B,2,0)*VLOOKUP(A38,'[287]geoMap (10)'!$A:$C,3,0)</f>
        <v>513.44757312207605</v>
      </c>
      <c r="M38" s="1">
        <f>L38/VLOOKUP(A38,'[288]geoMap (11)'!$A:$B,2,0)*VLOOKUP(A38,'[288]geoMap (11)'!$A:$C,3,0)</f>
        <v>403.42309316734543</v>
      </c>
      <c r="N38" s="1">
        <f>M38/VLOOKUP(A38,'[289]geoMap (12)'!$A:$B,2,0)*VLOOKUP(A38,'[289]geoMap (12)'!$A:$C,3,0)</f>
        <v>686.90959106872322</v>
      </c>
      <c r="O38" s="1">
        <f>N38/VLOOKUP(A38,'[290]geoMap (13)'!$A:$B,2,0)*VLOOKUP(A38,'[290]geoMap (13)'!$A:$C,3,0)</f>
        <v>539.71467869685387</v>
      </c>
      <c r="P38" s="1">
        <f>O38/VLOOKUP(A38,'[291]geoMap (14)'!$A:$B,2,0)*VLOOKUP(A38,'[291]geoMap (14)'!$A:$C,3,0)</f>
        <v>303.58950676698032</v>
      </c>
      <c r="Q38" s="1">
        <f>P38/VLOOKUP(A38,'[292]geoMap (15)'!$A:$B,2,0)*VLOOKUP(A38,'[292]geoMap (15)'!$A:$C,3,0)</f>
        <v>71.212353439168226</v>
      </c>
      <c r="R38" s="1">
        <f>Q38/VLOOKUP(A38,'[293]geoMap (16)'!$A:$B,2,0)*VLOOKUP(A38,'[293]geoMap (16)'!$A:$C,3,0)</f>
        <v>16.704132288199951</v>
      </c>
      <c r="S38" s="1">
        <f>R38/VLOOKUP(A38,'[294]geoMap (17)'!$A:$B,2,0)*VLOOKUP(A38,'[294]geoMap (17)'!$A:$C,3,0)</f>
        <v>102.61109834179969</v>
      </c>
      <c r="T38" s="1">
        <f>S38/VLOOKUP(A38,'[295]geoMap (18)'!$A:$B,2,0)*VLOOKUP(A38,'[295]geoMap (18)'!$A:$C,3,0)</f>
        <v>106.79930643738335</v>
      </c>
      <c r="U38" s="1">
        <f>T38/VLOOKUP(A38,'[296]geoMap (19)'!$A:$B,2,0)*VLOOKUP(A38,'[296]geoMap (19)'!$A:$C,3,0)</f>
        <v>90.977186965178404</v>
      </c>
      <c r="V38" s="1">
        <f>U38/VLOOKUP(A38,'[297]geoMap (20)'!$A:$B,2,0)*VLOOKUP(A38,'[297]geoMap (20)'!$A:$C,3,0)</f>
        <v>12.405980040706146</v>
      </c>
      <c r="W38" s="1">
        <f>V38/VLOOKUP(A38,'[298]geoMap (21)'!$A:$B,2,0)*VLOOKUP(A38,'[298]geoMap (21)'!$A:$C,3,0)</f>
        <v>35.309327808163644</v>
      </c>
      <c r="X38" s="1">
        <f>W38/VLOOKUP(A38,'[299]geoMap (22)'!$A:$B,2,0)*VLOOKUP(A38,'[299]geoMap (22)'!$A:$C,3,0)</f>
        <v>35.309327808163644</v>
      </c>
      <c r="Y38" s="1">
        <f>X38/VLOOKUP(A38,'[300]geoMap (23)'!$A:$B,2,0)*VLOOKUP(A38,'[300]geoMap (23)'!$A:$C,3,0)</f>
        <v>35.309327808163644</v>
      </c>
      <c r="Z38" s="1">
        <f>Y38/VLOOKUP(A38,'[301]geoMap (24)'!$A:$B,2,0)*VLOOKUP(A38,'[301]geoMap (24)'!$A:$C,3,0)</f>
        <v>15.132569060641561</v>
      </c>
      <c r="AA38" s="1">
        <f>Z38/VLOOKUP(A38,'[302]geoMap (25)'!$A:$B,2,0)*VLOOKUP(A38,'[302]geoMap (25)'!$A:$C,3,0)</f>
        <v>64.512531258524547</v>
      </c>
    </row>
    <row r="39" spans="1:27" x14ac:dyDescent="0.2">
      <c r="A39" s="1" t="s">
        <v>123</v>
      </c>
      <c r="B39" s="1">
        <f>Notes!$C$6*VLOOKUP(A39,[277]geoMap!$A:$B,2,0)</f>
        <v>14000</v>
      </c>
      <c r="C39" s="1">
        <f>B39/VLOOKUP(A39,'[278]geoMap (1)'!$A:$B,2,0)*VLOOKUP(A39,'[278]geoMap (1)'!$A:$C,3,0)</f>
        <v>2867.469879518073</v>
      </c>
      <c r="D39" s="1">
        <f>C39/VLOOKUP(A39,'[279]geoMap (2)'!$A:$B,2,0)*VLOOKUP(A39,'[279]geoMap (2)'!$A:$C,3,0)</f>
        <v>4301.204819277109</v>
      </c>
      <c r="E39" s="1">
        <f>D39/VLOOKUP(A39,'[280]geoMap (3)'!$A:$B,2,0)*VLOOKUP(A39,'[280]geoMap (3)'!$A:$C,3,0)</f>
        <v>4476.7641996557668</v>
      </c>
      <c r="F39" s="1">
        <f>E39/VLOOKUP(A39,'[281]geoMap (4)'!$A:$B,2,0)*VLOOKUP(A39,'[281]geoMap (4)'!$A:$C,3,0)</f>
        <v>4301.204819277109</v>
      </c>
      <c r="G39" s="1">
        <f>F39/VLOOKUP(A39,'[282]geoMap (5)'!$A:$B,2,0)*VLOOKUP(A39,'[282]geoMap (5)'!$A:$C,3,0)</f>
        <v>3244.7685478757144</v>
      </c>
      <c r="H39" s="1">
        <f>G39/VLOOKUP(A39,'[283]geoMap (6)'!$A:$B,2,0)*VLOOKUP(A39,'[283]geoMap (6)'!$A:$C,3,0)</f>
        <v>2995.1709672698903</v>
      </c>
      <c r="I39" s="1">
        <f>H39/VLOOKUP(A39,'[284]geoMap (7)'!$A:$B,2,0)*VLOOKUP(A39,'[284]geoMap (7)'!$A:$C,3,0)</f>
        <v>124.7987903029121</v>
      </c>
      <c r="J39" s="1">
        <f>I39/VLOOKUP(A39,'[285]geoMap (8)'!$A:$B,2,0)*VLOOKUP(A39,'[285]geoMap (8)'!$A:$C,3,0)</f>
        <v>1261.8544352850001</v>
      </c>
      <c r="K39" s="1">
        <f>J39/VLOOKUP(A39,'[286]geoMap (9)'!$A:$B,2,0)*VLOOKUP(A39,'[286]geoMap (9)'!$A:$C,3,0)</f>
        <v>913.75666003396566</v>
      </c>
      <c r="L39" s="1">
        <f>K39/VLOOKUP(A39,'[287]geoMap (10)'!$A:$B,2,0)*VLOOKUP(A39,'[287]geoMap (10)'!$A:$C,3,0)</f>
        <v>288.55473474756803</v>
      </c>
      <c r="M39" s="1">
        <f>L39/VLOOKUP(A39,'[288]geoMap (11)'!$A:$B,2,0)*VLOOKUP(A39,'[288]geoMap (11)'!$A:$C,3,0)</f>
        <v>491.32292673234559</v>
      </c>
      <c r="N39" s="1">
        <f>M39/VLOOKUP(A39,'[289]geoMap (12)'!$A:$B,2,0)*VLOOKUP(A39,'[289]geoMap (12)'!$A:$C,3,0)</f>
        <v>491.32292673234559</v>
      </c>
      <c r="O39" s="1">
        <f>N39/VLOOKUP(A39,'[290]geoMap (13)'!$A:$B,2,0)*VLOOKUP(A39,'[290]geoMap (13)'!$A:$C,3,0)</f>
        <v>401.99148550828272</v>
      </c>
      <c r="P39" s="1">
        <f>O39/VLOOKUP(A39,'[291]geoMap (14)'!$A:$B,2,0)*VLOOKUP(A39,'[291]geoMap (14)'!$A:$C,3,0)</f>
        <v>291.09728260944615</v>
      </c>
      <c r="Q39" s="1">
        <f>P39/VLOOKUP(A39,'[292]geoMap (15)'!$A:$B,2,0)*VLOOKUP(A39,'[292]geoMap (15)'!$A:$C,3,0)</f>
        <v>1326.109842998588</v>
      </c>
      <c r="R39" s="1">
        <f>Q39/68*1</f>
        <v>19.501615338214528</v>
      </c>
      <c r="S39" s="4">
        <f>Q39/VLOOKUP(A39,'[310]geoMap (30)'!$A:$B,2,0)*VLOOKUP(A39,'[310]geoMap (30)'!$A:$C,3,0)</f>
        <v>115.31389939118155</v>
      </c>
      <c r="T39" s="1">
        <f>S39/VLOOKUP(A39,'[295]geoMap (18)'!$A:$B,2,0)*VLOOKUP(A39,'[295]geoMap (18)'!$A:$C,3,0)</f>
        <v>76.875932927454372</v>
      </c>
      <c r="U39" s="1">
        <f>S39/VLOOKUP(A39,'[306]geoMap (31)'!$A:$B,2,0)*VLOOKUP(A39,'[306]geoMap (31)'!$A:$C,3,0)</f>
        <v>25.312807183430099</v>
      </c>
      <c r="V39" s="44">
        <f>U39/27*8</f>
        <v>7.5000910173126218</v>
      </c>
      <c r="W39" s="1">
        <f>V39/7*29</f>
        <v>31.071805643152288</v>
      </c>
      <c r="X39" s="1">
        <f>U39/VLOOKUP(A39,'[303]geoMap (33)'!$A:$B,2,0)*VLOOKUP(A39,'[303]geoMap (33)'!$A:$C,3,0)</f>
        <v>30.937875446414566</v>
      </c>
      <c r="Y39" s="1">
        <f>X39/VLOOKUP(A39,'[300]geoMap (23)'!$A:$B,2,0)*VLOOKUP(A39,'[300]geoMap (23)'!$A:$C,3,0)</f>
        <v>36.318375524051881</v>
      </c>
      <c r="Z39" s="1">
        <f>Y39/VLOOKUP(A39,'[301]geoMap (24)'!$A:$B,2,0)*VLOOKUP(A39,'[301]geoMap (24)'!$A:$C,3,0)</f>
        <v>8.5191251229257503</v>
      </c>
      <c r="AA39" s="1">
        <f>Z39/12*25</f>
        <v>17.748177339428647</v>
      </c>
    </row>
    <row r="40" spans="1:27" x14ac:dyDescent="0.2">
      <c r="A40" s="1" t="s">
        <v>126</v>
      </c>
      <c r="B40" s="1">
        <f>Notes!$C$6*VLOOKUP(A40,[277]geoMap!$A:$B,2,0)</f>
        <v>12000</v>
      </c>
      <c r="C40" s="1">
        <f>B40/VLOOKUP(A40,'[278]geoMap (1)'!$A:$B,2,0)*VLOOKUP(A40,'[278]geoMap (1)'!$A:$C,3,0)</f>
        <v>2814.8148148148148</v>
      </c>
      <c r="D40" s="1">
        <f>C40/VLOOKUP(A40,'[279]geoMap (2)'!$A:$B,2,0)*VLOOKUP(A40,'[279]geoMap (2)'!$A:$C,3,0)</f>
        <v>5464.0522875816987</v>
      </c>
      <c r="E40" s="1">
        <f>D40/VLOOKUP(A40,'[280]geoMap (3)'!$A:$B,2,0)*VLOOKUP(A40,'[280]geoMap (3)'!$A:$C,3,0)</f>
        <v>9713.8707334785759</v>
      </c>
      <c r="F40" s="1">
        <f>E40/VLOOKUP(A40,'[281]geoMap (4)'!$A:$B,2,0)*VLOOKUP(A40,'[281]geoMap (4)'!$A:$C,3,0)</f>
        <v>8614.1872542168494</v>
      </c>
      <c r="G40" s="1">
        <f>F40/VLOOKUP(A40,'[282]geoMap (5)'!$A:$B,2,0)*VLOOKUP(A40,'[282]geoMap (5)'!$A:$C,3,0)</f>
        <v>3870.1420997206142</v>
      </c>
      <c r="H40" s="1">
        <f>G40/VLOOKUP(A40,'[283]geoMap (6)'!$A:$B,2,0)*VLOOKUP(A40,'[283]geoMap (6)'!$A:$C,3,0)</f>
        <v>2083.9226690803307</v>
      </c>
      <c r="I40" s="1">
        <f>H40/VLOOKUP(A40,'[284]geoMap (7)'!$A:$B,2,0)*VLOOKUP(A40,'[284]geoMap (7)'!$A:$C,3,0)</f>
        <v>86.830111211680446</v>
      </c>
      <c r="J40" s="1">
        <f>I40/VLOOKUP(A40,'[285]geoMap (8)'!$A:$B,2,0)*VLOOKUP(A40,'[285]geoMap (8)'!$A:$C,3,0)</f>
        <v>1360.3384089829935</v>
      </c>
      <c r="K40" s="1">
        <f>J40/VLOOKUP(A40,'[286]geoMap (9)'!$A:$B,2,0)*VLOOKUP(A40,'[286]geoMap (9)'!$A:$C,3,0)</f>
        <v>1255.6969929073787</v>
      </c>
      <c r="L40" s="1">
        <f>K40/VLOOKUP(A40,'[287]geoMap (10)'!$A:$B,2,0)*VLOOKUP(A40,'[287]geoMap (10)'!$A:$C,3,0)</f>
        <v>618.47762337229096</v>
      </c>
      <c r="M40" s="1">
        <f>L40/VLOOKUP(A40,'[288]geoMap (11)'!$A:$B,2,0)*VLOOKUP(A40,'[288]geoMap (11)'!$A:$C,3,0)</f>
        <v>548.46128865089941</v>
      </c>
      <c r="N40" s="1">
        <f>M40/VLOOKUP(A40,'[289]geoMap (12)'!$A:$B,2,0)*VLOOKUP(A40,'[289]geoMap (12)'!$A:$C,3,0)</f>
        <v>430.93386965427811</v>
      </c>
      <c r="O40" s="1">
        <f>N40/VLOOKUP(A40,'[290]geoMap (13)'!$A:$B,2,0)*VLOOKUP(A40,'[290]geoMap (13)'!$A:$C,3,0)</f>
        <v>548.46128865089952</v>
      </c>
      <c r="P40" s="1">
        <f>O40/VLOOKUP(A40,'[291]geoMap (14)'!$A:$B,2,0)*VLOOKUP(A40,'[291]geoMap (14)'!$A:$C,3,0)</f>
        <v>282.54066385046343</v>
      </c>
      <c r="Q40" s="1">
        <f>P40/VLOOKUP(A40,'[292]geoMap (15)'!$A:$B,2,0)*VLOOKUP(A40,'[292]geoMap (15)'!$A:$C,3,0)</f>
        <v>213.14471132578822</v>
      </c>
      <c r="R40" s="1">
        <f>Q40/VLOOKUP(A40,'[293]geoMap (16)'!$A:$B,2,0)*VLOOKUP(A40,'[293]geoMap (16)'!$A:$C,3,0)</f>
        <v>21.080246175077953</v>
      </c>
      <c r="S40" s="1">
        <f>R40/VLOOKUP(A40,'[294]geoMap (17)'!$A:$B,2,0)*VLOOKUP(A40,'[294]geoMap (17)'!$A:$C,3,0)</f>
        <v>154.58847195057166</v>
      </c>
      <c r="T40" s="1">
        <f>S40/VLOOKUP(A40,'[295]geoMap (18)'!$A:$B,2,0)*VLOOKUP(A40,'[295]geoMap (18)'!$A:$C,3,0)</f>
        <v>69.452791745909011</v>
      </c>
      <c r="U40" s="1">
        <f>T40/VLOOKUP(A40,'[296]geoMap (19)'!$A:$B,2,0)*VLOOKUP(A40,'[296]geoMap (19)'!$A:$C,3,0)</f>
        <v>99.944261292893458</v>
      </c>
      <c r="V40" s="1">
        <f>U40/VLOOKUP(A40,'[297]geoMap (20)'!$A:$B,2,0)*VLOOKUP(A40,'[297]geoMap (20)'!$A:$C,3,0)</f>
        <v>26.567461862667876</v>
      </c>
      <c r="W40" s="1">
        <f>V40/VLOOKUP(A40,'[298]geoMap (21)'!$A:$B,2,0)*VLOOKUP(A40,'[298]geoMap (21)'!$A:$C,3,0)</f>
        <v>32.471342276594072</v>
      </c>
      <c r="X40" s="1">
        <f>W40/VLOOKUP(A40,'[299]geoMap (22)'!$A:$B,2,0)*VLOOKUP(A40,'[299]geoMap (22)'!$A:$C,3,0)</f>
        <v>87.792888377458041</v>
      </c>
      <c r="Y40" s="1">
        <f>X40/VLOOKUP(A40,'[300]geoMap (23)'!$A:$B,2,0)*VLOOKUP(A40,'[300]geoMap (23)'!$A:$C,3,0)</f>
        <v>53.808544489409769</v>
      </c>
      <c r="Z40" s="1">
        <f>Y40/VLOOKUP(A40,'[301]geoMap (24)'!$A:$B,2,0)*VLOOKUP(A40,'[301]geoMap (24)'!$A:$C,3,0)</f>
        <v>18.905704820603432</v>
      </c>
      <c r="AA40" s="1">
        <f>Z40/VLOOKUP(A40,'[302]geoMap (25)'!$A:$B,2,0)*VLOOKUP(A40,'[302]geoMap (25)'!$A:$C,3,0)</f>
        <v>36.699309357641958</v>
      </c>
    </row>
    <row r="41" spans="1:27" x14ac:dyDescent="0.2">
      <c r="A41" s="1" t="s">
        <v>122</v>
      </c>
      <c r="B41" s="1">
        <f>Notes!$C$6*VLOOKUP(A41,[277]geoMap!$A:$B,2,0)</f>
        <v>12000</v>
      </c>
      <c r="C41" s="1">
        <f>B41/VLOOKUP(A41,'[278]geoMap (1)'!$A:$B,2,0)*VLOOKUP(A41,'[278]geoMap (1)'!$A:$C,3,0)</f>
        <v>2285.7142857142858</v>
      </c>
      <c r="D41" s="1">
        <f>C41/VLOOKUP(A41,'[279]geoMap (2)'!$A:$B,2,0)*VLOOKUP(A41,'[279]geoMap (2)'!$A:$C,3,0)</f>
        <v>5333.333333333333</v>
      </c>
      <c r="E41" s="1">
        <f>D41/VLOOKUP(A41,'[280]geoMap (3)'!$A:$B,2,0)*VLOOKUP(A41,'[280]geoMap (3)'!$A:$C,3,0)</f>
        <v>4543.2098765432092</v>
      </c>
      <c r="F41" s="1">
        <f>E41/VLOOKUP(A41,'[281]geoMap (4)'!$A:$B,2,0)*VLOOKUP(A41,'[281]geoMap (4)'!$A:$C,3,0)</f>
        <v>5123.1941161019167</v>
      </c>
      <c r="G41" s="1">
        <f>F41/VLOOKUP(A41,'[282]geoMap (5)'!$A:$B,2,0)*VLOOKUP(A41,'[282]geoMap (5)'!$A:$C,3,0)</f>
        <v>3864.8657367084634</v>
      </c>
      <c r="H41" s="1">
        <f>G41/VLOOKUP(A41,'[283]geoMap (6)'!$A:$B,2,0)*VLOOKUP(A41,'[283]geoMap (6)'!$A:$C,3,0)</f>
        <v>2915.600468043227</v>
      </c>
      <c r="I41" s="1">
        <f>H41/VLOOKUP(A41,'[284]geoMap (7)'!$A:$B,2,0)*VLOOKUP(A41,'[284]geoMap (7)'!$A:$C,3,0)</f>
        <v>121.48335283513447</v>
      </c>
      <c r="J41" s="1">
        <f>I41/VLOOKUP(A41,'[285]geoMap (8)'!$A:$B,2,0)*VLOOKUP(A41,'[285]geoMap (8)'!$A:$C,3,0)</f>
        <v>1397.0585576040464</v>
      </c>
      <c r="K41" s="1">
        <f>J41/VLOOKUP(A41,'[286]geoMap (9)'!$A:$B,2,0)*VLOOKUP(A41,'[286]geoMap (9)'!$A:$C,3,0)</f>
        <v>1289.5925147114274</v>
      </c>
      <c r="L41" s="1">
        <f>K41/63*16</f>
        <v>327.51555929179108</v>
      </c>
      <c r="M41" s="1">
        <f>L41/17*69</f>
        <v>1329.3278583019755</v>
      </c>
      <c r="N41" s="1">
        <f>M41/VLOOKUP(A41,'[289]geoMap (12)'!$A:$B,2,0)*VLOOKUP(A41,'[289]geoMap (12)'!$A:$C,3,0)</f>
        <v>715.79192370106375</v>
      </c>
      <c r="O41" s="1">
        <f>N41/VLOOKUP(A41,'[290]geoMap (13)'!$A:$B,2,0)*VLOOKUP(A41,'[290]geoMap (13)'!$A:$C,3,0)</f>
        <v>609.74867574535062</v>
      </c>
      <c r="P41" s="1">
        <f>O41/57*9</f>
        <v>96.276106696634315</v>
      </c>
      <c r="Q41" s="1">
        <f>O41/VLOOKUP(A41,'[308]geoMap (29)'!$A:$B,2,0)*VLOOKUP(A41,'[308]geoMap (29)'!$A:$C,3,0)</f>
        <v>133.84727028556478</v>
      </c>
      <c r="R41" s="1">
        <f>Q41/VLOOKUP(A41,'[293]geoMap (16)'!$A:$B,2,0)*VLOOKUP(A41,'[293]geoMap (16)'!$A:$C,3,0)</f>
        <v>8.543442784184986</v>
      </c>
      <c r="S41" s="1">
        <f>R41/VLOOKUP(A41,'[294]geoMap (17)'!$A:$B,2,0)*VLOOKUP(A41,'[294]geoMap (17)'!$A:$C,3,0)</f>
        <v>86.383699262314863</v>
      </c>
      <c r="T41" s="1">
        <f>S41/VLOOKUP(A41,'[295]geoMap (18)'!$A:$B,2,0)*VLOOKUP(A41,'[295]geoMap (18)'!$A:$C,3,0)</f>
        <v>67.872906563247383</v>
      </c>
      <c r="U41" s="1">
        <f>T41/VLOOKUP(A41,'[296]geoMap (19)'!$A:$B,2,0)*VLOOKUP(A41,'[296]geoMap (19)'!$A:$C,3,0)</f>
        <v>13.901679657532597</v>
      </c>
      <c r="V41" s="44">
        <f>U41/25*3</f>
        <v>1.6682015589039119</v>
      </c>
      <c r="W41" s="1">
        <f>V41/3*28</f>
        <v>15.56988121643651</v>
      </c>
      <c r="X41" s="1">
        <f>W41/VLOOKUP(A41,'[299]geoMap (22)'!$A:$B,2,0)*VLOOKUP(A41,'[299]geoMap (22)'!$A:$C,3,0)</f>
        <v>14.959297639321353</v>
      </c>
      <c r="Y41" s="1">
        <f>X41/VLOOKUP(A41,'[300]geoMap (23)'!$A:$B,2,0)*VLOOKUP(A41,'[300]geoMap (23)'!$A:$C,3,0)</f>
        <v>21.52679416390146</v>
      </c>
      <c r="Z41" s="1">
        <f>Y41/VLOOKUP(A41,'[301]geoMap (24)'!$A:$B,2,0)*VLOOKUP(A41,'[301]geoMap (24)'!$A:$C,3,0)</f>
        <v>5.7223123726826666</v>
      </c>
      <c r="AA41" s="1">
        <f>Z41/VLOOKUP(A41,'[302]geoMap (25)'!$A:$B,2,0)*VLOOKUP(A41,'[302]geoMap (25)'!$A:$C,3,0)</f>
        <v>32.426436778535113</v>
      </c>
    </row>
    <row r="42" spans="1:27" x14ac:dyDescent="0.2">
      <c r="A42" s="1" t="s">
        <v>98</v>
      </c>
      <c r="B42" s="1">
        <f>Notes!$C$6*VLOOKUP(A42,[277]geoMap!$A:$B,2,0)</f>
        <v>14000</v>
      </c>
      <c r="C42" s="1">
        <f>B42/VLOOKUP(A42,'[278]geoMap (1)'!$A:$B,2,0)*VLOOKUP(A42,'[278]geoMap (1)'!$A:$C,3,0)</f>
        <v>2867.469879518073</v>
      </c>
      <c r="D42" s="1">
        <f>C42/VLOOKUP(A42,'[279]geoMap (2)'!$A:$B,2,0)*VLOOKUP(A42,'[279]geoMap (2)'!$A:$C,3,0)</f>
        <v>9599.7904662126803</v>
      </c>
      <c r="E42" s="1">
        <f>D42/VLOOKUP(A42,'[280]geoMap (3)'!$A:$B,2,0)*VLOOKUP(A42,'[280]geoMap (3)'!$A:$C,3,0)</f>
        <v>4728.2550057465442</v>
      </c>
      <c r="F42" s="1">
        <f>E42/VLOOKUP(A42,'[281]geoMap (4)'!$A:$B,2,0)*VLOOKUP(A42,'[281]geoMap (4)'!$A:$C,3,0)</f>
        <v>5331.8620277567416</v>
      </c>
      <c r="G42" s="1">
        <f>F42/VLOOKUP(A42,'[282]geoMap (5)'!$A:$B,2,0)*VLOOKUP(A42,'[282]geoMap (5)'!$A:$C,3,0)</f>
        <v>5122.7693992172617</v>
      </c>
      <c r="H42" s="1">
        <f>G42/VLOOKUP(A42,'[283]geoMap (6)'!$A:$B,2,0)*VLOOKUP(A42,'[283]geoMap (6)'!$A:$C,3,0)</f>
        <v>4728.7102146620882</v>
      </c>
      <c r="I42" s="1">
        <f>H42/VLOOKUP(A42,'[284]geoMap (7)'!$A:$B,2,0)*VLOOKUP(A42,'[284]geoMap (7)'!$A:$C,3,0)</f>
        <v>47.764749643051402</v>
      </c>
      <c r="J42" s="1">
        <f>I42/VLOOKUP(A42,'[285]geoMap (8)'!$A:$B,2,0)*VLOOKUP(A42,'[285]geoMap (8)'!$A:$C,3,0)</f>
        <v>2340.4727325095187</v>
      </c>
      <c r="K42" s="1">
        <f>J42/VLOOKUP(A42,'[286]geoMap (9)'!$A:$B,2,0)*VLOOKUP(A42,'[286]geoMap (9)'!$A:$C,3,0)</f>
        <v>1003.0597425040794</v>
      </c>
      <c r="L42" s="1">
        <f>K42/VLOOKUP(A42,'[287]geoMap (10)'!$A:$B,2,0)*VLOOKUP(A42,'[287]geoMap (10)'!$A:$C,3,0)</f>
        <v>266.63613408336283</v>
      </c>
      <c r="M42" s="1">
        <f>L42/VLOOKUP(A42,'[288]geoMap (11)'!$A:$B,2,0)*VLOOKUP(A42,'[288]geoMap (11)'!$A:$C,3,0)</f>
        <v>300.67478949826028</v>
      </c>
      <c r="N42" s="1">
        <f>M42/VLOOKUP(A42,'[289]geoMap (12)'!$A:$B,2,0)*VLOOKUP(A42,'[289]geoMap (12)'!$A:$C,3,0)</f>
        <v>534.5329591080183</v>
      </c>
      <c r="O42" s="1">
        <f>N42/VLOOKUP(A42,'[290]geoMap (13)'!$A:$B,2,0)*VLOOKUP(A42,'[290]geoMap (13)'!$A:$C,3,0)</f>
        <v>240.15248887461695</v>
      </c>
      <c r="P42" s="1">
        <f>O42/VLOOKUP(A42,'[291]geoMap (14)'!$A:$B,2,0)*VLOOKUP(A42,'[291]geoMap (14)'!$A:$C,3,0)</f>
        <v>118.28406168451282</v>
      </c>
      <c r="Q42" s="1">
        <f>P42/VLOOKUP(A42,'[292]geoMap (15)'!$A:$B,2,0)*VLOOKUP(A42,'[292]geoMap (15)'!$A:$C,3,0)</f>
        <v>75.624236158950822</v>
      </c>
      <c r="R42" s="1">
        <f>Q42/VLOOKUP(A42,'[293]geoMap (16)'!$A:$B,2,0)*VLOOKUP(A42,'[293]geoMap (16)'!$A:$C,3,0)</f>
        <v>2.3388939018232215</v>
      </c>
      <c r="S42" s="1">
        <f>R42/VLOOKUP(A42,'[294]geoMap (17)'!$A:$B,2,0)*VLOOKUP(A42,'[294]geoMap (17)'!$A:$C,3,0)</f>
        <v>231.55049628049895</v>
      </c>
      <c r="T42" s="1">
        <f>S42/VLOOKUP(A42,'[295]geoMap (18)'!$A:$B,2,0)*VLOOKUP(A42,'[295]geoMap (18)'!$A:$C,3,0)</f>
        <v>148.04048122851574</v>
      </c>
      <c r="U42" s="1">
        <f>T42/61*8</f>
        <v>19.415145079149607</v>
      </c>
      <c r="V42" s="1">
        <f>U42/VLOOKUP(A42,'[297]geoMap (20)'!$A:$B,2,0)*VLOOKUP(A42,'[297]geoMap (20)'!$A:$C,3,0)</f>
        <v>8.7227463399077951</v>
      </c>
      <c r="W42" s="1">
        <f>V42/13*54</f>
        <v>36.232946335001614</v>
      </c>
      <c r="X42" s="1">
        <f>W42/VLOOKUP(A42,'[299]geoMap (22)'!$A:$B,2,0)*VLOOKUP(A42,'[299]geoMap (22)'!$A:$C,3,0)</f>
        <v>18.665457202879619</v>
      </c>
      <c r="Y42" s="1">
        <f>X42/VLOOKUP(A42,'[300]geoMap (23)'!$A:$B,2,0)*VLOOKUP(A42,'[300]geoMap (23)'!$A:$C,3,0)</f>
        <v>30.454167015224638</v>
      </c>
      <c r="Z42" s="1">
        <f>Y42/VLOOKUP(A42,'[301]geoMap (24)'!$A:$B,2,0)*VLOOKUP(A42,'[301]geoMap (24)'!$A:$C,3,0)</f>
        <v>8.5896368504479739</v>
      </c>
      <c r="AA42" s="1">
        <f>Z42/VLOOKUP(A42,'[302]geoMap (25)'!$A:$B,2,0)*VLOOKUP(A42,'[302]geoMap (25)'!$A:$C,3,0)</f>
        <v>25.768910551343922</v>
      </c>
    </row>
    <row r="43" spans="1:27" x14ac:dyDescent="0.2">
      <c r="A43" s="1" t="s">
        <v>113</v>
      </c>
      <c r="B43" s="1">
        <f>Notes!$C$6*VLOOKUP(A43,[277]geoMap!$A:$B,2,0)</f>
        <v>15000</v>
      </c>
      <c r="C43" s="1">
        <f>B43/VLOOKUP(A43,'[278]geoMap (1)'!$A:$B,2,0)*VLOOKUP(A43,'[278]geoMap (1)'!$A:$C,3,0)</f>
        <v>2241.3793103448274</v>
      </c>
      <c r="D43" s="1">
        <f>C43/VLOOKUP(A43,'[279]geoMap (2)'!$A:$B,2,0)*VLOOKUP(A43,'[279]geoMap (2)'!$A:$C,3,0)</f>
        <v>5229.8850574712642</v>
      </c>
      <c r="E43" s="1">
        <f>D43/VLOOKUP(A43,'[280]geoMap (3)'!$A:$B,2,0)*VLOOKUP(A43,'[280]geoMap (3)'!$A:$C,3,0)</f>
        <v>3945.3518854607782</v>
      </c>
      <c r="F43" s="1">
        <f>E43/VLOOKUP(A43,'[281]geoMap (4)'!$A:$B,2,0)*VLOOKUP(A43,'[281]geoMap (4)'!$A:$C,3,0)</f>
        <v>4274.1312092491762</v>
      </c>
      <c r="G43" s="1">
        <f>F43/VLOOKUP(A43,'[282]geoMap (5)'!$A:$B,2,0)*VLOOKUP(A43,'[282]geoMap (5)'!$A:$C,3,0)</f>
        <v>2510.2040435272938</v>
      </c>
      <c r="H43" s="1">
        <f>G43/VLOOKUP(A43,'[283]geoMap (6)'!$A:$B,2,0)*VLOOKUP(A43,'[283]geoMap (6)'!$A:$C,3,0)</f>
        <v>1604.8845524190895</v>
      </c>
      <c r="I43" s="1">
        <f>H43/VLOOKUP(A43,'[284]geoMap (7)'!$A:$B,2,0)*VLOOKUP(A43,'[284]geoMap (7)'!$A:$C,3,0)</f>
        <v>32.752745967736516</v>
      </c>
      <c r="J43" s="1">
        <f>I43/VLOOKUP(A43,'[285]geoMap (8)'!$A:$B,2,0)*VLOOKUP(A43,'[285]geoMap (8)'!$A:$C,3,0)</f>
        <v>1604.8845524190892</v>
      </c>
      <c r="K43" s="1">
        <f>J43/VLOOKUP(A43,'[286]geoMap (9)'!$A:$B,2,0)*VLOOKUP(A43,'[286]geoMap (9)'!$A:$C,3,0)</f>
        <v>1115.2587567658077</v>
      </c>
      <c r="L43" s="1">
        <f>K43/VLOOKUP(A43,'[287]geoMap (10)'!$A:$B,2,0)*VLOOKUP(A43,'[287]geoMap (10)'!$A:$C,3,0)</f>
        <v>477.9680386139176</v>
      </c>
      <c r="M43" s="1">
        <f>L43/VLOOKUP(A43,'[288]geoMap (11)'!$A:$B,2,0)*VLOOKUP(A43,'[288]geoMap (11)'!$A:$C,3,0)</f>
        <v>235.41709364566088</v>
      </c>
      <c r="N43" s="1">
        <f>M43/VLOOKUP(A43,'[289]geoMap (12)'!$A:$B,2,0)*VLOOKUP(A43,'[289]geoMap (12)'!$A:$C,3,0)</f>
        <v>400.845321612882</v>
      </c>
      <c r="O43" s="1">
        <f>N43/VLOOKUP(A43,'[290]geoMap (13)'!$A:$B,2,0)*VLOOKUP(A43,'[290]geoMap (13)'!$A:$C,3,0)</f>
        <v>553.54830127493233</v>
      </c>
      <c r="P43" s="1">
        <f>O43/VLOOKUP(A43,'[291]geoMap (14)'!$A:$B,2,0)*VLOOKUP(A43,'[291]geoMap (14)'!$A:$C,3,0)</f>
        <v>194.48994369119245</v>
      </c>
      <c r="Q43" s="1">
        <f>P43/VLOOKUP(A43,'[292]geoMap (15)'!$A:$B,2,0)*VLOOKUP(A43,'[292]geoMap (15)'!$A:$C,3,0)</f>
        <v>75.634978102130404</v>
      </c>
      <c r="R43" s="1">
        <f>Q43/VLOOKUP(A43,'[293]geoMap (16)'!$A:$B,2,0)*VLOOKUP(A43,'[293]geoMap (16)'!$A:$C,3,0)</f>
        <v>9.3481433609374669</v>
      </c>
      <c r="S43" s="1">
        <f>R43/VLOOKUP(A43,'[294]geoMap (17)'!$A:$B,2,0)*VLOOKUP(A43,'[294]geoMap (17)'!$A:$C,3,0)</f>
        <v>68.553051313541417</v>
      </c>
      <c r="T43" s="1">
        <f>S43/VLOOKUP(A43,'[295]geoMap (18)'!$A:$B,2,0)*VLOOKUP(A43,'[295]geoMap (18)'!$A:$C,3,0)</f>
        <v>102.82957697031212</v>
      </c>
      <c r="U43" s="1">
        <f>T43/VLOOKUP(A43,'[296]geoMap (19)'!$A:$B,2,0)*VLOOKUP(A43,'[296]geoMap (19)'!$A:$C,3,0)</f>
        <v>39.989279932899159</v>
      </c>
      <c r="V43" s="1">
        <f>U43/VLOOKUP(A43,'[297]geoMap (20)'!$A:$B,2,0)*VLOOKUP(A43,'[297]geoMap (20)'!$A:$C,3,0)</f>
        <v>38.421072876707036</v>
      </c>
      <c r="W43" s="1">
        <f>V43/VLOOKUP(A43,'[298]geoMap (21)'!$A:$B,2,0)*VLOOKUP(A43,'[298]geoMap (21)'!$A:$C,3,0)</f>
        <v>26.699389626186246</v>
      </c>
      <c r="X43" s="1">
        <f>W43/VLOOKUP(A43,'[299]geoMap (22)'!$A:$B,2,0)*VLOOKUP(A43,'[299]geoMap (22)'!$A:$C,3,0)</f>
        <v>26.699389626186246</v>
      </c>
      <c r="Y43" s="1">
        <f>X43/VLOOKUP(A43,'[300]geoMap (23)'!$A:$B,2,0)*VLOOKUP(A43,'[300]geoMap (23)'!$A:$C,3,0)</f>
        <v>21.844955148697839</v>
      </c>
      <c r="Z43" s="1">
        <f>Y43/VLOOKUP(A43,'[301]geoMap (24)'!$A:$B,2,0)*VLOOKUP(A43,'[301]geoMap (24)'!$A:$C,3,0)</f>
        <v>20.988290240905766</v>
      </c>
      <c r="AA43" s="1">
        <f>Z43/VLOOKUP(A43,'[302]geoMap (25)'!$A:$B,2,0)*VLOOKUP(A43,'[302]geoMap (25)'!$A:$C,3,0)</f>
        <v>24.638427674106769</v>
      </c>
    </row>
    <row r="44" spans="1:27" x14ac:dyDescent="0.2">
      <c r="A44" s="1" t="s">
        <v>110</v>
      </c>
      <c r="B44" s="1">
        <f>Notes!$C$6*VLOOKUP(A44,[277]geoMap!$A:$B,2,0)</f>
        <v>15000</v>
      </c>
      <c r="C44" s="1">
        <f>B44/VLOOKUP(A44,'[278]geoMap (1)'!$A:$B,2,0)*VLOOKUP(A44,'[278]geoMap (1)'!$A:$C,3,0)</f>
        <v>1483.5164835164835</v>
      </c>
      <c r="D44" s="1">
        <f>C44/VLOOKUP(A44,'[279]geoMap (2)'!$A:$B,2,0)*VLOOKUP(A44,'[279]geoMap (2)'!$A:$C,3,0)</f>
        <v>3814.7566718995286</v>
      </c>
      <c r="E44" s="1">
        <f>D44/VLOOKUP(A44,'[280]geoMap (3)'!$A:$B,2,0)*VLOOKUP(A44,'[280]geoMap (3)'!$A:$C,3,0)</f>
        <v>5267.9973088136348</v>
      </c>
      <c r="F44" s="1">
        <f>E44/VLOOKUP(A44,'[281]geoMap (4)'!$A:$B,2,0)*VLOOKUP(A44,'[281]geoMap (4)'!$A:$C,3,0)</f>
        <v>3814.7566718995286</v>
      </c>
      <c r="G44" s="1">
        <f>F44/VLOOKUP(A44,'[282]geoMap (5)'!$A:$B,2,0)*VLOOKUP(A44,'[282]geoMap (5)'!$A:$C,3,0)</f>
        <v>1271.5855572998428</v>
      </c>
      <c r="H44" s="1">
        <f>G44/VLOOKUP(A44,'[283]geoMap (6)'!$A:$B,2,0)*VLOOKUP(A44,'[283]geoMap (6)'!$A:$C,3,0)</f>
        <v>1988.8902306484717</v>
      </c>
      <c r="I44" s="1">
        <f>H44/VLOOKUP(A44,'[284]geoMap (7)'!$A:$B,2,0)*VLOOKUP(A44,'[284]geoMap (7)'!$A:$C,3,0)</f>
        <v>20.089800309580525</v>
      </c>
      <c r="J44" s="1">
        <f>I44/VLOOKUP(A44,'[285]geoMap (8)'!$A:$B,2,0)*VLOOKUP(A44,'[285]geoMap (8)'!$A:$C,3,0)</f>
        <v>649.57021000977022</v>
      </c>
      <c r="K44" s="1">
        <f>J44/VLOOKUP(A44,'[286]geoMap (9)'!$A:$B,2,0)*VLOOKUP(A44,'[286]geoMap (9)'!$A:$C,3,0)</f>
        <v>793.91914556749703</v>
      </c>
      <c r="L44" s="1">
        <f>K44/VLOOKUP(A44,'[287]geoMap (10)'!$A:$B,2,0)*VLOOKUP(A44,'[287]geoMap (10)'!$A:$C,3,0)</f>
        <v>264.63971518916566</v>
      </c>
      <c r="M44" s="1">
        <f>L44/55*26</f>
        <v>125.10241081669648</v>
      </c>
      <c r="N44" s="1">
        <f>L44/57*43</f>
        <v>199.64048689708989</v>
      </c>
      <c r="O44" s="1">
        <f>N44/VLOOKUP(A44,'[290]geoMap (13)'!$A:$B,2,0)*VLOOKUP(A44,'[290]geoMap (13)'!$A:$C,3,0)</f>
        <v>465.82780275987642</v>
      </c>
      <c r="P44" s="1">
        <f>O44/VLOOKUP(A44,'[291]geoMap (14)'!$A:$B,2,0)*VLOOKUP(A44,'[291]geoMap (14)'!$A:$C,3,0)</f>
        <v>116.45695068996912</v>
      </c>
      <c r="Q44" s="1">
        <f>P44/VLOOKUP(A44,'[292]geoMap (15)'!$A:$B,2,0)*VLOOKUP(A44,'[292]geoMap (15)'!$A:$C,3,0)</f>
        <v>95.282959655429281</v>
      </c>
      <c r="R44" s="1">
        <f>Q44/42*3</f>
        <v>6.8059256896735203</v>
      </c>
      <c r="S44" s="4">
        <f>Q44/VLOOKUP(A44,'[310]geoMap (30)'!$A:$B,2,0)*VLOOKUP(A44,'[310]geoMap (30)'!$A:$C,3,0)</f>
        <v>53.596664806178964</v>
      </c>
      <c r="T44" s="1">
        <f>S44/VLOOKUP(A44,'[295]geoMap (18)'!$A:$B,2,0)*VLOOKUP(A44,'[295]geoMap (18)'!$A:$C,3,0)</f>
        <v>49.473844436472888</v>
      </c>
      <c r="U44" s="1">
        <f>T44/VLOOKUP(A44,'[296]geoMap (19)'!$A:$B,2,0)*VLOOKUP(A44,'[296]geoMap (19)'!$A:$C,3,0)</f>
        <v>25.486525921819368</v>
      </c>
      <c r="V44" s="1">
        <f>U44/VLOOKUP(A44,'[297]geoMap (20)'!$A:$B,2,0)*VLOOKUP(A44,'[297]geoMap (20)'!$A:$C,3,0)</f>
        <v>6.371631480454842</v>
      </c>
      <c r="W44" s="1">
        <f>V44/20*21</f>
        <v>6.6902130544775842</v>
      </c>
      <c r="X44" s="1">
        <f>W44/18*18</f>
        <v>6.6902130544775842</v>
      </c>
      <c r="Y44" s="1">
        <f>V44/9*19</f>
        <v>13.451222014293556</v>
      </c>
      <c r="Z44" s="1">
        <f>Y44/VLOOKUP(A44,'[301]geoMap (24)'!$A:$B,2,0)*VLOOKUP(A44,'[301]geoMap (24)'!$A:$C,3,0)</f>
        <v>10.568817296944937</v>
      </c>
      <c r="AA44" s="1">
        <f>Z44/VLOOKUP(A44,'[302]geoMap (25)'!$A:$B,2,0)*VLOOKUP(A44,'[302]geoMap (25)'!$A:$C,3,0)</f>
        <v>12.917443362932701</v>
      </c>
    </row>
    <row r="45" spans="1:27" x14ac:dyDescent="0.2">
      <c r="A45" s="1" t="s">
        <v>101</v>
      </c>
      <c r="B45" s="1">
        <f>Notes!$C$6*VLOOKUP(A45,[277]geoMap!$A:$B,2,0)</f>
        <v>15000</v>
      </c>
      <c r="C45" s="1">
        <f>B45/VLOOKUP(A45,'[278]geoMap (1)'!$A:$B,2,0)*VLOOKUP(A45,'[278]geoMap (1)'!$A:$C,3,0)</f>
        <v>1129.0322580645161</v>
      </c>
      <c r="D45" s="1">
        <f>C45/VLOOKUP(A45,'[279]geoMap (2)'!$A:$B,2,0)*VLOOKUP(A45,'[279]geoMap (2)'!$A:$C,3,0)</f>
        <v>3575.2688172043008</v>
      </c>
      <c r="E45" s="1">
        <f>D45/VLOOKUP(A45,'[280]geoMap (3)'!$A:$B,2,0)*VLOOKUP(A45,'[280]geoMap (3)'!$A:$C,3,0)</f>
        <v>5362.9032258064499</v>
      </c>
      <c r="F45" s="1">
        <f>E45/VLOOKUP(A45,'[281]geoMap (4)'!$A:$B,2,0)*VLOOKUP(A45,'[281]geoMap (4)'!$A:$C,3,0)</f>
        <v>6554.6594982078841</v>
      </c>
      <c r="G45" s="1">
        <f>F45/VLOOKUP(A45,'[282]geoMap (5)'!$A:$B,2,0)*VLOOKUP(A45,'[282]geoMap (5)'!$A:$C,3,0)</f>
        <v>1537.5127218018492</v>
      </c>
      <c r="H45" s="1">
        <f>G45/VLOOKUP(A45,'[283]geoMap (6)'!$A:$B,2,0)*VLOOKUP(A45,'[283]geoMap (6)'!$A:$C,3,0)</f>
        <v>2404.8275905105847</v>
      </c>
      <c r="I45" s="1">
        <f>G45/76*2</f>
        <v>40.460861100048668</v>
      </c>
      <c r="J45" s="1">
        <f>I45/VLOOKUP(A45,'[285]geoMap (8)'!$A:$B,2,0)*VLOOKUP(A45,'[285]geoMap (8)'!$A:$C,3,0)</f>
        <v>4005.6252489048184</v>
      </c>
      <c r="K45" s="1">
        <f>J45/VLOOKUP(A45,'[286]geoMap (9)'!$A:$B,2,0)*VLOOKUP(A45,'[286]geoMap (9)'!$A:$C,3,0)</f>
        <v>4169.1201570233825</v>
      </c>
      <c r="L45" s="1">
        <f>K45/VLOOKUP(A45,'[287]geoMap (10)'!$A:$B,2,0)*VLOOKUP(A45,'[287]geoMap (10)'!$A:$C,3,0)</f>
        <v>1873.082969097462</v>
      </c>
      <c r="M45" s="1">
        <f>L45/VLOOKUP(A45,'[288]geoMap (11)'!$A:$B,2,0)*VLOOKUP(A45,'[288]geoMap (11)'!$A:$C,3,0)</f>
        <v>497.90813102590755</v>
      </c>
      <c r="N45" s="1">
        <f>M45/VLOOKUP(A45,'[289]geoMap (12)'!$A:$B,2,0)*VLOOKUP(A45,'[289]geoMap (12)'!$A:$C,3,0)</f>
        <v>746.86219653886133</v>
      </c>
      <c r="O45" s="1">
        <f>N45/VLOOKUP(A45,'[290]geoMap (13)'!$A:$B,2,0)*VLOOKUP(A45,'[290]geoMap (13)'!$A:$C,3,0)</f>
        <v>1828.5246880779018</v>
      </c>
      <c r="P45" s="1">
        <f>O45/VLOOKUP(A45,'[291]geoMap (14)'!$A:$B,2,0)*VLOOKUP(A45,'[291]geoMap (14)'!$A:$C,3,0)</f>
        <v>711.09293425251747</v>
      </c>
      <c r="Q45" s="1">
        <f>P45/VLOOKUP(A45,'[292]geoMap (15)'!$A:$B,2,0)*VLOOKUP(A45,'[292]geoMap (15)'!$A:$C,3,0)</f>
        <v>474.06195616834503</v>
      </c>
      <c r="R45" s="1">
        <f>Q45/VLOOKUP(A45,'[293]geoMap (16)'!$A:$B,2,0)*VLOOKUP(A45,'[293]geoMap (16)'!$A:$C,3,0)</f>
        <v>9.6747337993539801</v>
      </c>
      <c r="S45" s="1">
        <f>R45/VLOOKUP(A45,'[294]geoMap (17)'!$A:$B,2,0)*VLOOKUP(A45,'[294]geoMap (17)'!$A:$C,3,0)</f>
        <v>111.25943869257078</v>
      </c>
      <c r="T45" s="1">
        <f>S45/VLOOKUP(A45,'[295]geoMap (18)'!$A:$B,2,0)*VLOOKUP(A45,'[295]geoMap (18)'!$A:$C,3,0)</f>
        <v>153.64398676593109</v>
      </c>
      <c r="U45" s="1">
        <f>T45/VLOOKUP(A45,'[296]geoMap (19)'!$A:$B,2,0)*VLOOKUP(A45,'[296]geoMap (19)'!$A:$C,3,0)</f>
        <v>130.88191465245981</v>
      </c>
      <c r="V45" s="1">
        <f>U45/VLOOKUP(A45,'[297]geoMap (20)'!$A:$B,2,0)*VLOOKUP(A45,'[297]geoMap (20)'!$A:$C,3,0)</f>
        <v>196.32287197868968</v>
      </c>
      <c r="W45" s="1">
        <f>V45/VLOOKUP(A45,'[298]geoMap (21)'!$A:$B,2,0)*VLOOKUP(A45,'[298]geoMap (21)'!$A:$C,3,0)</f>
        <v>174.09764118864931</v>
      </c>
      <c r="X45" s="1">
        <f>W45/VLOOKUP(A45,'[299]geoMap (22)'!$A:$B,2,0)*VLOOKUP(A45,'[299]geoMap (22)'!$A:$C,3,0)</f>
        <v>40.837718303510329</v>
      </c>
      <c r="Y45" s="1">
        <f>X45/VLOOKUP(A45,'[300]geoMap (23)'!$A:$B,2,0)*VLOOKUP(A45,'[300]geoMap (23)'!$A:$C,3,0)</f>
        <v>90.89685686910363</v>
      </c>
      <c r="Z45" s="1">
        <f>Y45/VLOOKUP(A45,'[301]geoMap (24)'!$A:$B,2,0)*VLOOKUP(A45,'[301]geoMap (24)'!$A:$C,3,0)</f>
        <v>42.774991467813472</v>
      </c>
      <c r="AA45" s="1">
        <f>Z45/VLOOKUP(A45,'[302]geoMap (25)'!$A:$B,2,0)*VLOOKUP(A45,'[302]geoMap (25)'!$A:$C,3,0)</f>
        <v>26.216930254466323</v>
      </c>
    </row>
    <row r="46" spans="1:27" x14ac:dyDescent="0.2">
      <c r="A46" s="1" t="s">
        <v>115</v>
      </c>
      <c r="B46" s="1">
        <f>Notes!$C$6*VLOOKUP(A46,[277]geoMap!$A:$B,2,0)</f>
        <v>15000</v>
      </c>
      <c r="C46" s="1">
        <f>B46/VLOOKUP(A46,'[278]geoMap (1)'!$A:$B,2,0)*VLOOKUP(A46,'[278]geoMap (1)'!$A:$C,3,0)</f>
        <v>957.44680851063833</v>
      </c>
      <c r="D46" s="1">
        <f>C46/VLOOKUP(A46,'[279]geoMap (2)'!$A:$B,2,0)*VLOOKUP(A46,'[279]geoMap (2)'!$A:$C,3,0)</f>
        <v>3031.9148936170218</v>
      </c>
      <c r="E46" s="1">
        <f>D46/VLOOKUP(A46,'[280]geoMap (3)'!$A:$B,2,0)*VLOOKUP(A46,'[280]geoMap (3)'!$A:$C,3,0)</f>
        <v>7074.468085106384</v>
      </c>
      <c r="F46" s="1">
        <f>E46/VLOOKUP(A46,'[281]geoMap (4)'!$A:$B,2,0)*VLOOKUP(A46,'[281]geoMap (4)'!$A:$C,3,0)</f>
        <v>5122.8906823184161</v>
      </c>
      <c r="G46" s="1">
        <f>F46/VLOOKUP(A46,'[282]geoMap (5)'!$A:$B,2,0)*VLOOKUP(A46,'[282]geoMap (5)'!$A:$C,3,0)</f>
        <v>1361.7810674517307</v>
      </c>
      <c r="H46" s="1">
        <f>G46/VLOOKUP(A46,'[283]geoMap (6)'!$A:$B,2,0)*VLOOKUP(A46,'[283]geoMap (6)'!$A:$C,3,0)</f>
        <v>1880.5548074333424</v>
      </c>
      <c r="I46" s="1">
        <f>H46/77*3</f>
        <v>73.268369120779582</v>
      </c>
      <c r="J46" s="1">
        <f>I46/VLOOKUP(A46,'[285]geoMap (8)'!$A:$B,2,0)*VLOOKUP(A46,'[285]geoMap (8)'!$A:$C,3,0)</f>
        <v>7253.5685429571786</v>
      </c>
      <c r="K46" s="1">
        <f>J46/VLOOKUP(A46,'[286]geoMap (9)'!$A:$B,2,0)*VLOOKUP(A46,'[286]geoMap (9)'!$A:$C,3,0)</f>
        <v>5252.5841173138188</v>
      </c>
      <c r="L46" s="1">
        <f>K46/VLOOKUP(A46,'[287]geoMap (10)'!$A:$B,2,0)*VLOOKUP(A46,'[287]geoMap (10)'!$A:$C,3,0)</f>
        <v>2359.8566324163535</v>
      </c>
      <c r="M46" s="1">
        <f>L46/VLOOKUP(A46,'[288]geoMap (11)'!$A:$B,2,0)*VLOOKUP(A46,'[288]geoMap (11)'!$A:$C,3,0)</f>
        <v>829.138816794935</v>
      </c>
      <c r="N46" s="1">
        <f>M46/VLOOKUP(A46,'[289]geoMap (12)'!$A:$B,2,0)*VLOOKUP(A46,'[289]geoMap (12)'!$A:$C,3,0)</f>
        <v>735.27404508230086</v>
      </c>
      <c r="O46" s="1">
        <f>N46/VLOOKUP(A46,'[290]geoMap (13)'!$A:$B,2,0)*VLOOKUP(A46,'[290]geoMap (13)'!$A:$C,3,0)</f>
        <v>2461.5696291885724</v>
      </c>
      <c r="P46" s="1">
        <f>O46/VLOOKUP(A46,'[291]geoMap (14)'!$A:$B,2,0)*VLOOKUP(A46,'[291]geoMap (14)'!$A:$C,3,0)</f>
        <v>1384.6329164185718</v>
      </c>
      <c r="Q46" s="1">
        <f>P46/VLOOKUP(A46,'[292]geoMap (15)'!$A:$B,2,0)*VLOOKUP(A46,'[292]geoMap (15)'!$A:$C,3,0)</f>
        <v>1002.6652153375865</v>
      </c>
      <c r="R46" s="1">
        <f>Q46/VLOOKUP(A46,'[293]geoMap (16)'!$A:$B,2,0)*VLOOKUP(A46,'[293]geoMap (16)'!$A:$C,3,0)</f>
        <v>31.010264391884121</v>
      </c>
      <c r="S46" s="1">
        <f>R46/VLOOKUP(A46,'[294]geoMap (17)'!$A:$B,2,0)*VLOOKUP(A46,'[294]geoMap (17)'!$A:$C,3,0)</f>
        <v>162.80388805739162</v>
      </c>
      <c r="T46" s="1">
        <f>S46/VLOOKUP(A46,'[295]geoMap (18)'!$A:$B,2,0)*VLOOKUP(A46,'[295]geoMap (18)'!$A:$C,3,0)</f>
        <v>138.68479353037063</v>
      </c>
      <c r="U46" s="1">
        <f>T46/VLOOKUP(A46,'[296]geoMap (19)'!$A:$B,2,0)*VLOOKUP(A46,'[296]geoMap (19)'!$A:$C,3,0)</f>
        <v>199.5708004461431</v>
      </c>
      <c r="V46" s="1">
        <f>U46/VLOOKUP(A46,'[297]geoMap (20)'!$A:$B,2,0)*VLOOKUP(A46,'[297]geoMap (20)'!$A:$C,3,0)</f>
        <v>93.915670798184991</v>
      </c>
      <c r="W46" s="1">
        <f>V46/VLOOKUP(A46,'[298]geoMap (21)'!$A:$B,2,0)*VLOOKUP(A46,'[298]geoMap (21)'!$A:$C,3,0)</f>
        <v>70.848663935472899</v>
      </c>
      <c r="X46" s="1">
        <f>W46/32*14</f>
        <v>30.996290471769392</v>
      </c>
      <c r="Y46" s="1">
        <f>V46/37*29</f>
        <v>73.609579814793648</v>
      </c>
      <c r="Z46" s="1">
        <f>Y46/VLOOKUP(A46,'[301]geoMap (24)'!$A:$B,2,0)*VLOOKUP(A46,'[301]geoMap (24)'!$A:$C,3,0)</f>
        <v>43.231023065831188</v>
      </c>
      <c r="AA46" s="1">
        <f>Z46/27*18</f>
        <v>28.820682043887459</v>
      </c>
    </row>
    <row r="47" spans="1:27" x14ac:dyDescent="0.2">
      <c r="A47" s="1" t="s">
        <v>111</v>
      </c>
      <c r="B47" s="1">
        <f>Notes!$C$6*VLOOKUP(A47,[277]geoMap!$A:$B,2,0)</f>
        <v>20000</v>
      </c>
      <c r="C47" s="1">
        <f>B47/VLOOKUP(A47,'[278]geoMap (1)'!$A:$B,2,0)*VLOOKUP(A47,'[278]geoMap (1)'!$A:$C,3,0)</f>
        <v>1052.6315789473686</v>
      </c>
      <c r="D47" s="1">
        <f>C47/VLOOKUP(A47,'[279]geoMap (2)'!$A:$B,2,0)*VLOOKUP(A47,'[279]geoMap (2)'!$A:$C,3,0)</f>
        <v>3157.8947368421059</v>
      </c>
      <c r="E47" s="1">
        <f>D47/VLOOKUP(A47,'[280]geoMap (3)'!$A:$B,2,0)*VLOOKUP(A47,'[280]geoMap (3)'!$A:$C,3,0)</f>
        <v>5376.9559032716943</v>
      </c>
      <c r="F47" s="1">
        <f>E47/VLOOKUP(A47,'[281]geoMap (4)'!$A:$B,2,0)*VLOOKUP(A47,'[281]geoMap (4)'!$A:$C,3,0)</f>
        <v>5376.9559032716943</v>
      </c>
      <c r="G47" s="1">
        <f>F47/VLOOKUP(A47,'[282]geoMap (5)'!$A:$B,2,0)*VLOOKUP(A47,'[282]geoMap (5)'!$A:$C,3,0)</f>
        <v>1697.9860747173771</v>
      </c>
      <c r="H47" s="1">
        <f>G47/VLOOKUP(A47,'[283]geoMap (6)'!$A:$B,2,0)*VLOOKUP(A47,'[283]geoMap (6)'!$A:$C,3,0)</f>
        <v>2770.398332433615</v>
      </c>
      <c r="I47" s="1">
        <f>H47/68*1</f>
        <v>40.741151947553163</v>
      </c>
      <c r="J47" s="1">
        <f>I47/VLOOKUP(A47,'[285]geoMap (8)'!$A:$B,2,0)*VLOOKUP(A47,'[285]geoMap (8)'!$A:$C,3,0)</f>
        <v>1996.316445430105</v>
      </c>
      <c r="K47" s="1">
        <f>J47/VLOOKUP(A47,'[286]geoMap (9)'!$A:$B,2,0)*VLOOKUP(A47,'[286]geoMap (9)'!$A:$C,3,0)</f>
        <v>2872.7480556189316</v>
      </c>
      <c r="L47" s="1">
        <f>K47/VLOOKUP(A47,'[287]geoMap (10)'!$A:$B,2,0)*VLOOKUP(A47,'[287]geoMap (10)'!$A:$C,3,0)</f>
        <v>1062.5232534480981</v>
      </c>
      <c r="M47" s="1">
        <f>L47/VLOOKUP(A47,'[288]geoMap (11)'!$A:$B,2,0)*VLOOKUP(A47,'[288]geoMap (11)'!$A:$C,3,0)</f>
        <v>392.988052645187</v>
      </c>
      <c r="N47" s="1">
        <f>M47/VLOOKUP(A47,'[289]geoMap (12)'!$A:$B,2,0)*VLOOKUP(A47,'[289]geoMap (12)'!$A:$C,3,0)</f>
        <v>461.33380093130648</v>
      </c>
      <c r="O47" s="1">
        <f>N47/VLOOKUP(A47,'[290]geoMap (13)'!$A:$B,2,0)*VLOOKUP(A47,'[290]geoMap (13)'!$A:$C,3,0)</f>
        <v>980.33432697902629</v>
      </c>
      <c r="P47" s="1">
        <f>O47/VLOOKUP(A47,'[291]geoMap (14)'!$A:$B,2,0)*VLOOKUP(A47,'[291]geoMap (14)'!$A:$C,3,0)</f>
        <v>681.24927807017082</v>
      </c>
      <c r="Q47" s="1">
        <f>P47/VLOOKUP(A47,'[292]geoMap (15)'!$A:$B,2,0)*VLOOKUP(A47,'[292]geoMap (15)'!$A:$C,3,0)</f>
        <v>251.9689110670495</v>
      </c>
      <c r="R47" s="1">
        <f>Q47/VLOOKUP(A47,'[293]geoMap (16)'!$A:$B,2,0)*VLOOKUP(A47,'[293]geoMap (16)'!$A:$C,3,0)</f>
        <v>7.7928529195994694</v>
      </c>
      <c r="S47" s="1">
        <f>R47/VLOOKUP(A47,'[294]geoMap (17)'!$A:$B,2,0)*VLOOKUP(A47,'[294]geoMap (17)'!$A:$C,3,0)</f>
        <v>70.135676276395216</v>
      </c>
      <c r="T47" s="1">
        <f>S47/VLOOKUP(A47,'[295]geoMap (18)'!$A:$B,2,0)*VLOOKUP(A47,'[295]geoMap (18)'!$A:$C,3,0)</f>
        <v>96.854029143593394</v>
      </c>
      <c r="U47" s="1">
        <f>T47/VLOOKUP(A47,'[296]geoMap (19)'!$A:$B,2,0)*VLOOKUP(A47,'[296]geoMap (19)'!$A:$C,3,0)</f>
        <v>47.704223309531073</v>
      </c>
      <c r="V47" s="1">
        <f>U47/VLOOKUP(A47,'[297]geoMap (20)'!$A:$B,2,0)*VLOOKUP(A47,'[297]geoMap (20)'!$A:$C,3,0)</f>
        <v>68.647540860056907</v>
      </c>
      <c r="W47" s="1">
        <f>V47/VLOOKUP(A47,'[298]geoMap (21)'!$A:$B,2,0)*VLOOKUP(A47,'[298]geoMap (21)'!$A:$C,3,0)</f>
        <v>185.60261047348718</v>
      </c>
      <c r="X47" s="1">
        <f>W47/VLOOKUP(A47,'[299]geoMap (22)'!$A:$B,2,0)*VLOOKUP(A47,'[299]geoMap (22)'!$A:$C,3,0)</f>
        <v>22.939648485487179</v>
      </c>
      <c r="Y47" s="1">
        <f>X47/VLOOKUP(A47,'[300]geoMap (23)'!$A:$B,2,0)*VLOOKUP(A47,'[300]geoMap (23)'!$A:$C,3,0)</f>
        <v>97.795343543392718</v>
      </c>
      <c r="Z47" s="1">
        <f>Y47/VLOOKUP(A47,'[301]geoMap (24)'!$A:$B,2,0)*VLOOKUP(A47,'[301]geoMap (24)'!$A:$C,3,0)</f>
        <v>29.211596123351072</v>
      </c>
      <c r="AA47" s="1">
        <f>Z47/VLOOKUP(A47,'[302]geoMap (25)'!$A:$B,2,0)*VLOOKUP(A47,'[302]geoMap (25)'!$A:$C,3,0)</f>
        <v>31.645895800296998</v>
      </c>
    </row>
    <row r="48" spans="1:27" x14ac:dyDescent="0.2">
      <c r="A48" s="1" t="s">
        <v>127</v>
      </c>
      <c r="B48" s="1">
        <f>Notes!$C$6*VLOOKUP(A48,[277]geoMap!$A:$B,2,0)</f>
        <v>11000</v>
      </c>
      <c r="C48" s="1">
        <f>B48/VLOOKUP(A48,'[278]geoMap (1)'!$A:$B,2,0)*VLOOKUP(A48,'[278]geoMap (1)'!$A:$C,3,0)</f>
        <v>3473.6842105263154</v>
      </c>
      <c r="D48" s="1">
        <f>C48/VLOOKUP(A48,'[279]geoMap (2)'!$A:$B,2,0)*VLOOKUP(A48,'[279]geoMap (2)'!$A:$C,3,0)</f>
        <v>6743.034055727554</v>
      </c>
      <c r="E48" s="1">
        <f>D48/VLOOKUP(A48,'[280]geoMap (3)'!$A:$B,2,0)*VLOOKUP(A48,'[280]geoMap (3)'!$A:$C,3,0)</f>
        <v>5979.6717097961318</v>
      </c>
      <c r="F48" s="1">
        <f>E48/VLOOKUP(A48,'[281]geoMap (4)'!$A:$B,2,0)*VLOOKUP(A48,'[281]geoMap (4)'!$A:$C,3,0)</f>
        <v>5519.6969628887364</v>
      </c>
      <c r="G48" s="1">
        <f>F48/VLOOKUP(A48,'[282]geoMap (5)'!$A:$B,2,0)*VLOOKUP(A48,'[282]geoMap (5)'!$A:$C,3,0)</f>
        <v>4336.9047565554356</v>
      </c>
      <c r="H48" s="1">
        <f>G48/VLOOKUP(A48,'[283]geoMap (6)'!$A:$B,2,0)*VLOOKUP(A48,'[283]geoMap (6)'!$A:$C,3,0)</f>
        <v>1686.5740719937805</v>
      </c>
      <c r="I48" s="1">
        <f>H48/VLOOKUP(A48,'[284]geoMap (7)'!$A:$B,2,0)*VLOOKUP(A48,'[284]geoMap (7)'!$A:$C,3,0)</f>
        <v>126.94643552641359</v>
      </c>
      <c r="J48" s="1">
        <f>I48/VLOOKUP(A48,'[285]geoMap (8)'!$A:$B,2,0)*VLOOKUP(A48,'[285]geoMap (8)'!$A:$C,3,0)</f>
        <v>2411.9822750018584</v>
      </c>
      <c r="K48" s="1">
        <f>J48/VLOOKUP(A48,'[286]geoMap (9)'!$A:$B,2,0)*VLOOKUP(A48,'[286]geoMap (9)'!$A:$C,3,0)</f>
        <v>1187.9912697770349</v>
      </c>
      <c r="L48" s="1">
        <f>K48/VLOOKUP(A48,'[287]geoMap (10)'!$A:$B,2,0)*VLOOKUP(A48,'[287]geoMap (10)'!$A:$C,3,0)</f>
        <v>533.73520816069686</v>
      </c>
      <c r="M48" s="1">
        <f>L48/VLOOKUP(A48,'[288]geoMap (11)'!$A:$B,2,0)*VLOOKUP(A48,'[288]geoMap (11)'!$A:$C,3,0)</f>
        <v>626.55872262342677</v>
      </c>
      <c r="N48" s="1">
        <f>M48/VLOOKUP(A48,'[289]geoMap (12)'!$A:$B,2,0)*VLOOKUP(A48,'[289]geoMap (12)'!$A:$C,3,0)</f>
        <v>765.79399431752165</v>
      </c>
      <c r="O48" s="1">
        <f>N48/VLOOKUP(A48,'[290]geoMap (13)'!$A:$B,2,0)*VLOOKUP(A48,'[290]geoMap (13)'!$A:$C,3,0)</f>
        <v>652.34303219640731</v>
      </c>
      <c r="P48" s="1">
        <f>O48/VLOOKUP(A48,'[291]geoMap (14)'!$A:$B,2,0)*VLOOKUP(A48,'[291]geoMap (14)'!$A:$C,3,0)</f>
        <v>321.3032845146484</v>
      </c>
      <c r="Q48" s="1">
        <f>P48/VLOOKUP(A48,'[292]geoMap (15)'!$A:$B,2,0)*VLOOKUP(A48,'[292]geoMap (15)'!$A:$C,3,0)</f>
        <v>101.46419510988896</v>
      </c>
      <c r="R48" s="1">
        <f>Q48/VLOOKUP(A48,'[293]geoMap (16)'!$A:$B,2,0)*VLOOKUP(A48,'[293]geoMap (16)'!$A:$C,3,0)</f>
        <v>20.781823094796536</v>
      </c>
      <c r="S48" s="1">
        <f>R48/VLOOKUP(A48,'[294]geoMap (17)'!$A:$B,2,0)*VLOOKUP(A48,'[294]geoMap (17)'!$A:$C,3,0)</f>
        <v>109.10457124768182</v>
      </c>
      <c r="T48" s="1">
        <f>S48/VLOOKUP(A48,'[295]geoMap (18)'!$A:$B,2,0)*VLOOKUP(A48,'[295]geoMap (18)'!$A:$C,3,0)</f>
        <v>104.82596061051781</v>
      </c>
      <c r="U48" s="1">
        <f>T48/VLOOKUP(A48,'[296]geoMap (19)'!$A:$B,2,0)*VLOOKUP(A48,'[296]geoMap (19)'!$A:$C,3,0)</f>
        <v>163.95855377542529</v>
      </c>
      <c r="V48" s="1">
        <f>U48/VLOOKUP(A48,'[297]geoMap (20)'!$A:$B,2,0)*VLOOKUP(A48,'[297]geoMap (20)'!$A:$C,3,0)</f>
        <v>38.459413848556544</v>
      </c>
      <c r="W48" s="1">
        <f>V48/VLOOKUP(A48,'[298]geoMap (21)'!$A:$B,2,0)*VLOOKUP(A48,'[298]geoMap (21)'!$A:$C,3,0)</f>
        <v>43.369126254755251</v>
      </c>
      <c r="X48" s="1">
        <f>W48/VLOOKUP(A48,'[299]geoMap (22)'!$A:$B,2,0)*VLOOKUP(A48,'[299]geoMap (22)'!$A:$C,3,0)</f>
        <v>38.459413848556544</v>
      </c>
      <c r="Y48" s="1">
        <f>X48/VLOOKUP(A48,'[300]geoMap (23)'!$A:$B,2,0)*VLOOKUP(A48,'[300]geoMap (23)'!$A:$C,3,0)</f>
        <v>41.664365002602928</v>
      </c>
      <c r="Z48" s="1">
        <f>Y48/VLOOKUP(A48,'[301]geoMap (24)'!$A:$B,2,0)*VLOOKUP(A48,'[301]geoMap (24)'!$A:$C,3,0)</f>
        <v>18.718772682328851</v>
      </c>
      <c r="AA48" s="1">
        <f>Z48/VLOOKUP(A48,'[302]geoMap (25)'!$A:$B,2,0)*VLOOKUP(A48,'[302]geoMap (25)'!$A:$C,3,0)</f>
        <v>25.849733704168411</v>
      </c>
    </row>
    <row r="49" spans="1:27" x14ac:dyDescent="0.2">
      <c r="A49" s="1" t="s">
        <v>133</v>
      </c>
      <c r="B49" s="1">
        <f>Notes!$C$6*VLOOKUP(A49,[277]geoMap!$A:$B,2,0)</f>
        <v>10000</v>
      </c>
      <c r="C49" s="1">
        <f>B49/VLOOKUP(A49,'[278]geoMap (1)'!$A:$B,2,0)*VLOOKUP(A49,'[278]geoMap (1)'!$A:$C,3,0)</f>
        <v>5384.6153846153848</v>
      </c>
      <c r="D49" s="1">
        <f>C49/VLOOKUP(A49,'[279]geoMap (2)'!$A:$B,2,0)*VLOOKUP(A49,'[279]geoMap (2)'!$A:$C,3,0)</f>
        <v>8076.9230769230762</v>
      </c>
      <c r="E49" s="1">
        <f>D49/VLOOKUP(A49,'[280]geoMap (3)'!$A:$B,2,0)*VLOOKUP(A49,'[280]geoMap (3)'!$A:$C,3,0)</f>
        <v>9481.6053511705686</v>
      </c>
      <c r="F49" s="1">
        <f>E49/VLOOKUP(A49,'[281]geoMap (4)'!$A:$B,2,0)*VLOOKUP(A49,'[281]geoMap (4)'!$A:$C,3,0)</f>
        <v>8076.9230769230762</v>
      </c>
      <c r="G49" s="1">
        <f>F49/VLOOKUP(A49,'[282]geoMap (5)'!$A:$B,2,0)*VLOOKUP(A49,'[282]geoMap (5)'!$A:$C,3,0)</f>
        <v>5384.6153846153848</v>
      </c>
      <c r="H49" s="1">
        <f>G49/VLOOKUP(A49,'[283]geoMap (6)'!$A:$B,2,0)*VLOOKUP(A49,'[283]geoMap (6)'!$A:$C,3,0)</f>
        <v>2094.0170940170942</v>
      </c>
      <c r="I49" s="1">
        <f>H49/VLOOKUP(A49,'[284]geoMap (7)'!$A:$B,2,0)*VLOOKUP(A49,'[284]geoMap (7)'!$A:$C,3,0)</f>
        <v>157.61418987225443</v>
      </c>
      <c r="J49" s="1">
        <f>I49/VLOOKUP(A49,'[285]geoMap (8)'!$A:$B,2,0)*VLOOKUP(A49,'[285]geoMap (8)'!$A:$C,3,0)</f>
        <v>2994.6696075728341</v>
      </c>
      <c r="K49" s="1">
        <f>J49/VLOOKUP(A49,'[286]geoMap (9)'!$A:$B,2,0)*VLOOKUP(A49,'[286]geoMap (9)'!$A:$C,3,0)</f>
        <v>1684.5016542597193</v>
      </c>
      <c r="L49" s="1">
        <f>K49/VLOOKUP(A49,'[287]geoMap (10)'!$A:$B,2,0)*VLOOKUP(A49,'[287]geoMap (10)'!$A:$C,3,0)</f>
        <v>1032.4364977720859</v>
      </c>
      <c r="M49" s="1">
        <f>L49/VLOOKUP(A49,'[288]geoMap (11)'!$A:$B,2,0)*VLOOKUP(A49,'[288]geoMap (11)'!$A:$C,3,0)</f>
        <v>1118.4728725864263</v>
      </c>
      <c r="N49" s="1">
        <f>M49/VLOOKUP(A49,'[289]geoMap (12)'!$A:$B,2,0)*VLOOKUP(A49,'[289]geoMap (12)'!$A:$C,3,0)</f>
        <v>915.1141684798032</v>
      </c>
      <c r="O49" s="1">
        <f>N49/VLOOKUP(A49,'[290]geoMap (13)'!$A:$B,2,0)*VLOOKUP(A49,'[290]geoMap (13)'!$A:$C,3,0)</f>
        <v>748.72977421074802</v>
      </c>
      <c r="P49" s="1">
        <f>O49/VLOOKUP(A49,'[291]geoMap (14)'!$A:$B,2,0)*VLOOKUP(A49,'[291]geoMap (14)'!$A:$C,3,0)</f>
        <v>249.57659140358268</v>
      </c>
      <c r="Q49" s="1">
        <f>P49/VLOOKUP(A49,'[292]geoMap (15)'!$A:$B,2,0)*VLOOKUP(A49,'[292]geoMap (15)'!$A:$C,3,0)</f>
        <v>221.32263765978084</v>
      </c>
      <c r="R49" s="1">
        <f>Q49/VLOOKUP(A49,'[293]geoMap (16)'!$A:$B,2,0)*VLOOKUP(A49,'[293]geoMap (16)'!$A:$C,3,0)</f>
        <v>30.180359680879203</v>
      </c>
      <c r="S49" s="1">
        <f>R49/VLOOKUP(A49,'[294]geoMap (17)'!$A:$B,2,0)*VLOOKUP(A49,'[294]geoMap (17)'!$A:$C,3,0)</f>
        <v>573.42683393670484</v>
      </c>
      <c r="T49" s="1">
        <f>S49/VLOOKUP(A49,'[295]geoMap (18)'!$A:$B,2,0)*VLOOKUP(A49,'[295]geoMap (18)'!$A:$C,3,0)</f>
        <v>152.42991788190886</v>
      </c>
      <c r="U49" s="1">
        <f>T49/VLOOKUP(A49,'[296]geoMap (19)'!$A:$B,2,0)*VLOOKUP(A49,'[296]geoMap (19)'!$A:$C,3,0)</f>
        <v>114.99099068284355</v>
      </c>
      <c r="V49" s="1">
        <f>U49/VLOOKUP(A49,'[297]geoMap (20)'!$A:$B,2,0)*VLOOKUP(A49,'[297]geoMap (20)'!$A:$C,3,0)</f>
        <v>94.083537831417445</v>
      </c>
      <c r="W49" s="1">
        <f>V49/VLOOKUP(A49,'[298]geoMap (21)'!$A:$B,2,0)*VLOOKUP(A49,'[298]geoMap (21)'!$A:$C,3,0)</f>
        <v>97.92368223269979</v>
      </c>
      <c r="X49" s="1">
        <f>W49/VLOOKUP(A49,'[299]geoMap (22)'!$A:$B,2,0)*VLOOKUP(A49,'[299]geoMap (22)'!$A:$C,3,0)</f>
        <v>146.88552334904966</v>
      </c>
      <c r="Y49" s="1">
        <f>X49/VLOOKUP(A49,'[300]geoMap (23)'!$A:$B,2,0)*VLOOKUP(A49,'[300]geoMap (23)'!$A:$C,3,0)</f>
        <v>141.12530674712616</v>
      </c>
      <c r="Z49" s="1">
        <f>Y49/VLOOKUP(A49,'[301]geoMap (24)'!$A:$B,2,0)*VLOOKUP(A49,'[301]geoMap (24)'!$A:$C,3,0)</f>
        <v>52.197031262635704</v>
      </c>
      <c r="AA49" s="1">
        <f>Z49/VLOOKUP(A49,'[302]geoMap (25)'!$A:$B,2,0)*VLOOKUP(A49,'[302]geoMap (25)'!$A:$C,3,0)</f>
        <v>96.937343773466324</v>
      </c>
    </row>
    <row r="50" spans="1:27" x14ac:dyDescent="0.2">
      <c r="A50" s="1" t="s">
        <v>145</v>
      </c>
      <c r="B50" s="1">
        <f>Notes!$C$6*VLOOKUP(A50,[277]geoMap!$A:$B,2,0)</f>
        <v>8000</v>
      </c>
      <c r="C50" s="1">
        <f>B50/VLOOKUP(A50,'[278]geoMap (1)'!$A:$B,2,0)*VLOOKUP(A50,'[278]geoMap (1)'!$A:$C,3,0)</f>
        <v>3428.5714285714289</v>
      </c>
      <c r="D50" s="1">
        <f>C50/VLOOKUP(A50,'[279]geoMap (2)'!$A:$B,2,0)*VLOOKUP(A50,'[279]geoMap (2)'!$A:$C,3,0)</f>
        <v>5593.9849624060153</v>
      </c>
      <c r="E50" s="1">
        <f>D50/VLOOKUP(A50,'[280]geoMap (3)'!$A:$B,2,0)*VLOOKUP(A50,'[280]geoMap (3)'!$A:$C,3,0)</f>
        <v>6837.0927318295753</v>
      </c>
      <c r="F50" s="1">
        <f>E50/VLOOKUP(A50,'[281]geoMap (4)'!$A:$B,2,0)*VLOOKUP(A50,'[281]geoMap (4)'!$A:$C,3,0)</f>
        <v>6311.1625216888378</v>
      </c>
      <c r="G50" s="1">
        <f>F50/VLOOKUP(A50,'[282]geoMap (5)'!$A:$B,2,0)*VLOOKUP(A50,'[282]geoMap (5)'!$A:$C,3,0)</f>
        <v>4207.4416811258916</v>
      </c>
      <c r="H50" s="1">
        <f>G50/VLOOKUP(A50,'[283]geoMap (6)'!$A:$B,2,0)*VLOOKUP(A50,'[283]geoMap (6)'!$A:$C,3,0)</f>
        <v>1718.5325176429697</v>
      </c>
      <c r="I50" s="1">
        <f>H50/VLOOKUP(A50,'[284]geoMap (7)'!$A:$B,2,0)*VLOOKUP(A50,'[284]geoMap (7)'!$A:$C,3,0)</f>
        <v>129.35190993011599</v>
      </c>
      <c r="J50" s="1">
        <f>I50/VLOOKUP(A50,'[285]geoMap (8)'!$A:$B,2,0)*VLOOKUP(A50,'[285]geoMap (8)'!$A:$C,3,0)</f>
        <v>2457.6862886722038</v>
      </c>
      <c r="K50" s="1">
        <f>J50/VLOOKUP(A50,'[286]geoMap (9)'!$A:$B,2,0)*VLOOKUP(A50,'[286]geoMap (9)'!$A:$C,3,0)</f>
        <v>1323.3695400542633</v>
      </c>
      <c r="L50" s="1">
        <f>K50/VLOOKUP(A50,'[287]geoMap (10)'!$A:$B,2,0)*VLOOKUP(A50,'[287]geoMap (10)'!$A:$C,3,0)</f>
        <v>811.09746003325824</v>
      </c>
      <c r="M50" s="1">
        <f>L50/VLOOKUP(A50,'[288]geoMap (11)'!$A:$B,2,0)*VLOOKUP(A50,'[288]geoMap (11)'!$A:$C,3,0)</f>
        <v>1120.0869686173567</v>
      </c>
      <c r="N50" s="1">
        <f>M50/VLOOKUP(A50,'[289]geoMap (12)'!$A:$B,2,0)*VLOOKUP(A50,'[289]geoMap (12)'!$A:$C,3,0)</f>
        <v>746.72464574490459</v>
      </c>
      <c r="O50" s="1">
        <f>N50/VLOOKUP(A50,'[290]geoMap (13)'!$A:$B,2,0)*VLOOKUP(A50,'[290]geoMap (13)'!$A:$C,3,0)</f>
        <v>689.28428837991191</v>
      </c>
      <c r="P50" s="1">
        <f>O50/VLOOKUP(A50,'[291]geoMap (14)'!$A:$B,2,0)*VLOOKUP(A50,'[291]geoMap (14)'!$A:$C,3,0)</f>
        <v>422.46456384575248</v>
      </c>
      <c r="Q50" s="1">
        <f>P50/VLOOKUP(A50,'[292]geoMap (15)'!$A:$B,2,0)*VLOOKUP(A50,'[292]geoMap (15)'!$A:$C,3,0)</f>
        <v>198.80685357447175</v>
      </c>
      <c r="R50" s="1">
        <f>Q50/VLOOKUP(A50,'[293]geoMap (16)'!$A:$B,2,0)*VLOOKUP(A50,'[293]geoMap (16)'!$A:$C,3,0)</f>
        <v>43.640528833420625</v>
      </c>
      <c r="S50" s="1">
        <f>R50/VLOOKUP(A50,'[294]geoMap (17)'!$A:$B,2,0)*VLOOKUP(A50,'[294]geoMap (17)'!$A:$C,3,0)</f>
        <v>441.25423598236415</v>
      </c>
      <c r="T50" s="1">
        <f>S50/VLOOKUP(A50,'[295]geoMap (18)'!$A:$B,2,0)*VLOOKUP(A50,'[295]geoMap (18)'!$A:$C,3,0)</f>
        <v>139.3434429417992</v>
      </c>
      <c r="U50" s="1">
        <f>T50/VLOOKUP(A50,'[296]geoMap (19)'!$A:$B,2,0)*VLOOKUP(A50,'[296]geoMap (19)'!$A:$C,3,0)</f>
        <v>150.95539652028248</v>
      </c>
      <c r="V50" s="1">
        <f>U50/VLOOKUP(A50,'[297]geoMap (20)'!$A:$B,2,0)*VLOOKUP(A50,'[297]geoMap (20)'!$A:$C,3,0)</f>
        <v>81.283675049382865</v>
      </c>
      <c r="W50" s="1">
        <f>V50/VLOOKUP(A50,'[298]geoMap (21)'!$A:$B,2,0)*VLOOKUP(A50,'[298]geoMap (21)'!$A:$C,3,0)</f>
        <v>157.78595744880204</v>
      </c>
      <c r="X50" s="1">
        <f>W50/VLOOKUP(A50,'[299]geoMap (22)'!$A:$B,2,0)*VLOOKUP(A50,'[299]geoMap (22)'!$A:$C,3,0)</f>
        <v>123.97468085263017</v>
      </c>
      <c r="Y50" s="1">
        <f>X50/VLOOKUP(A50,'[300]geoMap (23)'!$A:$B,2,0)*VLOOKUP(A50,'[300]geoMap (23)'!$A:$C,3,0)</f>
        <v>123.97468085263017</v>
      </c>
      <c r="Z50" s="1">
        <f>Y50/VLOOKUP(A50,'[301]geoMap (24)'!$A:$B,2,0)*VLOOKUP(A50,'[301]geoMap (24)'!$A:$C,3,0)</f>
        <v>50.637545700370069</v>
      </c>
      <c r="AA50" s="1">
        <f>Z50/VLOOKUP(A50,'[302]geoMap (25)'!$A:$B,2,0)*VLOOKUP(A50,'[302]geoMap (25)'!$A:$C,3,0)</f>
        <v>455.73791130333058</v>
      </c>
    </row>
    <row r="51" spans="1:27" x14ac:dyDescent="0.2">
      <c r="A51" s="1" t="s">
        <v>142</v>
      </c>
      <c r="B51" s="1">
        <f>Notes!$C$6*VLOOKUP(A51,[277]geoMap!$A:$B,2,0)</f>
        <v>10000</v>
      </c>
      <c r="C51" s="1">
        <f>B51/VLOOKUP(A51,'[278]geoMap (1)'!$A:$B,2,0)*VLOOKUP(A51,'[278]geoMap (1)'!$A:$C,3,0)</f>
        <v>3333.3333333333335</v>
      </c>
      <c r="D51" s="1">
        <f>C51/VLOOKUP(A51,'[279]geoMap (2)'!$A:$B,2,0)*VLOOKUP(A51,'[279]geoMap (2)'!$A:$C,3,0)</f>
        <v>5213.6752136752139</v>
      </c>
      <c r="E51" s="1">
        <f>D51/VLOOKUP(A51,'[280]geoMap (3)'!$A:$B,2,0)*VLOOKUP(A51,'[280]geoMap (3)'!$A:$C,3,0)</f>
        <v>4265.7342657342651</v>
      </c>
      <c r="F51" s="1">
        <f>E51/VLOOKUP(A51,'[281]geoMap (4)'!$A:$B,2,0)*VLOOKUP(A51,'[281]geoMap (4)'!$A:$C,3,0)</f>
        <v>3490.1462174189442</v>
      </c>
      <c r="G51" s="1">
        <f>F51/VLOOKUP(A51,'[282]geoMap (5)'!$A:$B,2,0)*VLOOKUP(A51,'[282]geoMap (5)'!$A:$C,3,0)</f>
        <v>2326.7641449459629</v>
      </c>
      <c r="H51" s="1">
        <f>G51/VLOOKUP(A51,'[283]geoMap (6)'!$A:$B,2,0)*VLOOKUP(A51,'[283]geoMap (6)'!$A:$C,3,0)</f>
        <v>2063.3568832539672</v>
      </c>
      <c r="I51" s="1">
        <f>H51/VLOOKUP(A51,'[284]geoMap (7)'!$A:$B,2,0)*VLOOKUP(A51,'[284]geoMap (7)'!$A:$C,3,0)</f>
        <v>42.109324148040152</v>
      </c>
      <c r="J51" s="1">
        <f>I51/VLOOKUP(A51,'[285]geoMap (8)'!$A:$B,2,0)*VLOOKUP(A51,'[285]geoMap (8)'!$A:$C,3,0)</f>
        <v>1361.5348141199647</v>
      </c>
      <c r="K51" s="1">
        <f>J51/VLOOKUP(A51,'[286]geoMap (9)'!$A:$B,2,0)*VLOOKUP(A51,'[286]geoMap (9)'!$A:$C,3,0)</f>
        <v>985.93900332825046</v>
      </c>
      <c r="L51" s="1">
        <f>K51/VLOOKUP(A51,'[287]geoMap (10)'!$A:$B,2,0)*VLOOKUP(A51,'[287]geoMap (10)'!$A:$C,3,0)</f>
        <v>463.97129568388254</v>
      </c>
      <c r="M51" s="1">
        <f>L51/VLOOKUP(A51,'[288]geoMap (11)'!$A:$B,2,0)*VLOOKUP(A51,'[288]geoMap (11)'!$A:$C,3,0)</f>
        <v>138.58882858089999</v>
      </c>
      <c r="N51" s="1">
        <f>M51/VLOOKUP(A51,'[289]geoMap (12)'!$A:$B,2,0)*VLOOKUP(A51,'[289]geoMap (12)'!$A:$C,3,0)</f>
        <v>554.35531432359994</v>
      </c>
      <c r="O51" s="1">
        <f>N51/VLOOKUP(A51,'[290]geoMap (13)'!$A:$B,2,0)*VLOOKUP(A51,'[290]geoMap (13)'!$A:$C,3,0)</f>
        <v>453.56343899203631</v>
      </c>
      <c r="P51" s="1">
        <f>O51/VLOOKUP(A51,'[291]geoMap (14)'!$A:$B,2,0)*VLOOKUP(A51,'[291]geoMap (14)'!$A:$C,3,0)</f>
        <v>159.36012721341817</v>
      </c>
      <c r="Q51" s="1">
        <f>P51/VLOOKUP(A51,'[292]geoMap (15)'!$A:$B,2,0)*VLOOKUP(A51,'[292]geoMap (15)'!$A:$C,3,0)</f>
        <v>50.324250698974161</v>
      </c>
      <c r="R51" s="1">
        <f>Q51/VLOOKUP(A51,'[293]geoMap (16)'!$A:$B,2,0)*VLOOKUP(A51,'[293]geoMap (16)'!$A:$C,3,0)</f>
        <v>11.046786738799208</v>
      </c>
      <c r="S51" s="1">
        <f>R51/VLOOKUP(A51,'[294]geoMap (17)'!$A:$B,2,0)*VLOOKUP(A51,'[294]geoMap (17)'!$A:$C,3,0)</f>
        <v>89.378547250284498</v>
      </c>
      <c r="T51" s="1">
        <f>S51/VLOOKUP(A51,'[295]geoMap (18)'!$A:$B,2,0)*VLOOKUP(A51,'[295]geoMap (18)'!$A:$C,3,0)</f>
        <v>118.47853937828408</v>
      </c>
      <c r="U51" s="1">
        <f>T51/VLOOKUP(A51,'[296]geoMap (19)'!$A:$B,2,0)*VLOOKUP(A51,'[296]geoMap (19)'!$A:$C,3,0)</f>
        <v>41.627594916694406</v>
      </c>
      <c r="V51" s="1">
        <f>U51/VLOOKUP(A51,'[297]geoMap (20)'!$A:$B,2,0)*VLOOKUP(A51,'[297]geoMap (20)'!$A:$C,3,0)</f>
        <v>24.447952570122112</v>
      </c>
      <c r="W51" s="1">
        <f>V51/VLOOKUP(A51,'[298]geoMap (21)'!$A:$B,2,0)*VLOOKUP(A51,'[298]geoMap (21)'!$A:$C,3,0)</f>
        <v>36.671928855183168</v>
      </c>
      <c r="X51" s="1">
        <f>W51/VLOOKUP(A51,'[299]geoMap (22)'!$A:$B,2,0)*VLOOKUP(A51,'[299]geoMap (22)'!$A:$C,3,0)</f>
        <v>25.483882763771351</v>
      </c>
      <c r="Y51" s="1">
        <f>X51/VLOOKUP(A51,'[300]geoMap (23)'!$A:$B,2,0)*VLOOKUP(A51,'[300]geoMap (23)'!$A:$C,3,0)</f>
        <v>22.598914903721759</v>
      </c>
      <c r="Z51" s="1">
        <f>Y51/VLOOKUP(A51,'[301]geoMap (24)'!$A:$B,2,0)*VLOOKUP(A51,'[301]geoMap (24)'!$A:$C,3,0)</f>
        <v>25.483882763771351</v>
      </c>
      <c r="AA51" s="1">
        <f>Z51/VLOOKUP(A51,'[302]geoMap (25)'!$A:$B,2,0)*VLOOKUP(A51,'[302]geoMap (25)'!$A:$C,3,0)</f>
        <v>186.88180693432324</v>
      </c>
    </row>
    <row r="52" spans="1:27" x14ac:dyDescent="0.2">
      <c r="A52" s="1" t="s">
        <v>128</v>
      </c>
      <c r="B52" s="1">
        <f>Notes!$C$6*VLOOKUP(A52,[277]geoMap!$A:$B,2,0)</f>
        <v>10000</v>
      </c>
      <c r="C52" s="1">
        <f>B52/VLOOKUP(A52,'[278]geoMap (1)'!$A:$B,2,0)*VLOOKUP(A52,'[278]geoMap (1)'!$A:$C,3,0)</f>
        <v>3698.6301369863017</v>
      </c>
      <c r="D52" s="1">
        <f>C52/VLOOKUP(A52,'[279]geoMap (2)'!$A:$B,2,0)*VLOOKUP(A52,'[279]geoMap (2)'!$A:$C,3,0)</f>
        <v>7509.3399750934004</v>
      </c>
      <c r="E52" s="1">
        <f>D52/VLOOKUP(A52,'[280]geoMap (3)'!$A:$B,2,0)*VLOOKUP(A52,'[280]geoMap (3)'!$A:$C,3,0)</f>
        <v>5900.1956947162425</v>
      </c>
      <c r="F52" s="1">
        <f>E52/VLOOKUP(A52,'[281]geoMap (4)'!$A:$B,2,0)*VLOOKUP(A52,'[281]geoMap (4)'!$A:$C,3,0)</f>
        <v>6141.0200087862931</v>
      </c>
      <c r="G52" s="1">
        <f>F52/VLOOKUP(A52,'[282]geoMap (5)'!$A:$B,2,0)*VLOOKUP(A52,'[282]geoMap (5)'!$A:$C,3,0)</f>
        <v>6141.0200087862931</v>
      </c>
      <c r="H52" s="1">
        <f>G52/VLOOKUP(A52,'[283]geoMap (6)'!$A:$B,2,0)*VLOOKUP(A52,'[283]geoMap (6)'!$A:$C,3,0)</f>
        <v>5445.810196470863</v>
      </c>
      <c r="I52" s="1">
        <f>H52/VLOOKUP(A52,'[284]geoMap (7)'!$A:$B,2,0)*VLOOKUP(A52,'[284]geoMap (7)'!$A:$C,3,0)</f>
        <v>55.008183802735992</v>
      </c>
      <c r="J52" s="1">
        <f>I52/VLOOKUP(A52,'[285]geoMap (8)'!$A:$B,2,0)*VLOOKUP(A52,'[285]geoMap (8)'!$A:$C,3,0)</f>
        <v>5445.810196470863</v>
      </c>
      <c r="K52" s="1">
        <f>J52/VLOOKUP(A52,'[286]geoMap (9)'!$A:$B,2,0)*VLOOKUP(A52,'[286]geoMap (9)'!$A:$C,3,0)</f>
        <v>2333.9186556303698</v>
      </c>
      <c r="L52" s="1">
        <f>K52/VLOOKUP(A52,'[287]geoMap (10)'!$A:$B,2,0)*VLOOKUP(A52,'[287]geoMap (10)'!$A:$C,3,0)</f>
        <v>737.02694388327461</v>
      </c>
      <c r="M52" s="1">
        <f>L52/VLOOKUP(A52,'[288]geoMap (11)'!$A:$B,2,0)*VLOOKUP(A52,'[288]geoMap (11)'!$A:$C,3,0)</f>
        <v>767.10967628667356</v>
      </c>
      <c r="N52" s="1">
        <f>M52/VLOOKUP(A52,'[289]geoMap (12)'!$A:$B,2,0)*VLOOKUP(A52,'[289]geoMap (12)'!$A:$C,3,0)</f>
        <v>1251.599998151941</v>
      </c>
      <c r="O52" s="1">
        <f>N52/VLOOKUP(A52,'[290]geoMap (13)'!$A:$B,2,0)*VLOOKUP(A52,'[290]geoMap (13)'!$A:$C,3,0)</f>
        <v>869.75593091914538</v>
      </c>
      <c r="P52" s="1">
        <f>O52/VLOOKUP(A52,'[291]geoMap (14)'!$A:$B,2,0)*VLOOKUP(A52,'[291]geoMap (14)'!$A:$C,3,0)</f>
        <v>372.75254182249085</v>
      </c>
      <c r="Q52" s="1">
        <f>P52/VLOOKUP(A52,'[292]geoMap (15)'!$A:$B,2,0)*VLOOKUP(A52,'[292]geoMap (15)'!$A:$C,3,0)</f>
        <v>269.92425442318302</v>
      </c>
      <c r="R52" s="1">
        <f>Q52/VLOOKUP(A52,'[293]geoMap (16)'!$A:$B,2,0)*VLOOKUP(A52,'[293]geoMap (16)'!$A:$C,3,0)</f>
        <v>11.246843934299292</v>
      </c>
      <c r="S52" s="1">
        <f>R52/VLOOKUP(A52,'[294]geoMap (17)'!$A:$B,2,0)*VLOOKUP(A52,'[294]geoMap (17)'!$A:$C,3,0)</f>
        <v>551.09535278066539</v>
      </c>
      <c r="T52" s="1">
        <f>S52/VLOOKUP(A52,'[295]geoMap (18)'!$A:$B,2,0)*VLOOKUP(A52,'[295]geoMap (18)'!$A:$C,3,0)</f>
        <v>193.62809692293649</v>
      </c>
      <c r="U52" s="1">
        <f>T52/VLOOKUP(A52,'[296]geoMap (19)'!$A:$B,2,0)*VLOOKUP(A52,'[296]geoMap (19)'!$A:$C,3,0)</f>
        <v>34.169664162871143</v>
      </c>
      <c r="V52" s="1">
        <f>U52/VLOOKUP(A52,'[297]geoMap (20)'!$A:$B,2,0)*VLOOKUP(A52,'[297]geoMap (20)'!$A:$C,3,0)</f>
        <v>12.005557678846619</v>
      </c>
      <c r="W52" s="1">
        <f>V52/VLOOKUP(A52,'[298]geoMap (21)'!$A:$B,2,0)*VLOOKUP(A52,'[298]geoMap (21)'!$A:$C,3,0)</f>
        <v>58.615369843780549</v>
      </c>
      <c r="X52" s="1">
        <f>W52/VLOOKUP(A52,'[299]geoMap (22)'!$A:$B,2,0)*VLOOKUP(A52,'[299]geoMap (22)'!$A:$C,3,0)</f>
        <v>25.120872790191665</v>
      </c>
      <c r="Y52" s="1">
        <f>X52/VLOOKUP(A52,'[300]geoMap (23)'!$A:$B,2,0)*VLOOKUP(A52,'[300]geoMap (23)'!$A:$C,3,0)</f>
        <v>114.43953159976203</v>
      </c>
      <c r="Z52" s="1">
        <f>Y52/VLOOKUP(A52,'[301]geoMap (24)'!$A:$B,2,0)*VLOOKUP(A52,'[301]geoMap (24)'!$A:$C,3,0)</f>
        <v>18.629691190658939</v>
      </c>
      <c r="AA52" s="1">
        <f>Z52/VLOOKUP(A52,'[302]geoMap (25)'!$A:$B,2,0)*VLOOKUP(A52,'[302]geoMap (25)'!$A:$C,3,0)</f>
        <v>45.610623259889124</v>
      </c>
    </row>
    <row r="53" spans="1:27" x14ac:dyDescent="0.2">
      <c r="A53" s="1" t="s">
        <v>154</v>
      </c>
      <c r="B53" s="1">
        <f>Notes!$C$6*VLOOKUP(A53,[277]geoMap!$A:$B,2,0)</f>
        <v>10000</v>
      </c>
      <c r="C53" s="1">
        <f>B53/VLOOKUP(A53,'[278]geoMap (1)'!$A:$B,2,0)*VLOOKUP(A53,'[278]geoMap (1)'!$A:$C,3,0)</f>
        <v>2195.1219512195121</v>
      </c>
      <c r="D53" s="1">
        <f>C53/VLOOKUP(A53,'[279]geoMap (2)'!$A:$B,2,0)*VLOOKUP(A53,'[279]geoMap (2)'!$A:$C,3,0)</f>
        <v>4076.6550522648085</v>
      </c>
      <c r="E53" s="1">
        <f>D53/VLOOKUP(A53,'[280]geoMap (3)'!$A:$B,2,0)*VLOOKUP(A53,'[280]geoMap (3)'!$A:$C,3,0)</f>
        <v>3763.066202090592</v>
      </c>
      <c r="F53" s="1">
        <f>E53/VLOOKUP(A53,'[281]geoMap (4)'!$A:$B,2,0)*VLOOKUP(A53,'[281]geoMap (4)'!$A:$C,3,0)</f>
        <v>3615.4949784791961</v>
      </c>
      <c r="G53" s="1">
        <f>F53/VLOOKUP(A53,'[282]geoMap (5)'!$A:$B,2,0)*VLOOKUP(A53,'[282]geoMap (5)'!$A:$C,3,0)</f>
        <v>2123.38593974175</v>
      </c>
      <c r="H53" s="1">
        <f>G53/VLOOKUP(A53,'[283]geoMap (6)'!$A:$B,2,0)*VLOOKUP(A53,'[283]geoMap (6)'!$A:$C,3,0)</f>
        <v>2123.38593974175</v>
      </c>
      <c r="I53" s="1">
        <f>H53/VLOOKUP(A53,'[284]geoMap (7)'!$A:$B,2,0)*VLOOKUP(A53,'[284]geoMap (7)'!$A:$C,3,0)</f>
        <v>88.47441415590626</v>
      </c>
      <c r="J53" s="1">
        <f>I53/VLOOKUP(A53,'[285]geoMap (8)'!$A:$B,2,0)*VLOOKUP(A53,'[285]geoMap (8)'!$A:$C,3,0)</f>
        <v>1175.445788071326</v>
      </c>
      <c r="K53" s="1">
        <f>J53/VLOOKUP(A53,'[286]geoMap (9)'!$A:$B,2,0)*VLOOKUP(A53,'[286]geoMap (9)'!$A:$C,3,0)</f>
        <v>605.5326787034104</v>
      </c>
      <c r="L53" s="1">
        <f>K53/VLOOKUP(A53,'[287]geoMap (10)'!$A:$B,2,0)*VLOOKUP(A53,'[287]geoMap (10)'!$A:$C,3,0)</f>
        <v>284.95655468395779</v>
      </c>
      <c r="M53" s="1">
        <f>L53/VLOOKUP(A53,'[288]geoMap (11)'!$A:$B,2,0)*VLOOKUP(A53,'[288]geoMap (11)'!$A:$C,3,0)</f>
        <v>732.74542633017711</v>
      </c>
      <c r="N53" s="1">
        <f>M53/VLOOKUP(A53,'[289]geoMap (12)'!$A:$B,2,0)*VLOOKUP(A53,'[289]geoMap (12)'!$A:$C,3,0)</f>
        <v>329.20446690196366</v>
      </c>
      <c r="O53" s="1">
        <f>N53/VLOOKUP(A53,'[290]geoMap (13)'!$A:$B,2,0)*VLOOKUP(A53,'[290]geoMap (13)'!$A:$C,3,0)</f>
        <v>493.80670035294543</v>
      </c>
      <c r="P53" s="1">
        <f>O53/VLOOKUP(A53,'[291]geoMap (14)'!$A:$B,2,0)*VLOOKUP(A53,'[291]geoMap (14)'!$A:$C,3,0)</f>
        <v>192.03593902614546</v>
      </c>
      <c r="Q53" s="1">
        <f>P53/VLOOKUP(A53,'[292]geoMap (15)'!$A:$B,2,0)*VLOOKUP(A53,'[292]geoMap (15)'!$A:$C,3,0)</f>
        <v>192.03593902614546</v>
      </c>
      <c r="R53" s="1">
        <f>Q53/VLOOKUP(A53,'[293]geoMap (16)'!$A:$B,2,0)*VLOOKUP(A53,'[293]geoMap (16)'!$A:$C,3,0)</f>
        <v>16.698777306621345</v>
      </c>
      <c r="S53" s="1">
        <f>R53/VLOOKUP(A53,'[294]geoMap (17)'!$A:$B,2,0)*VLOOKUP(A53,'[294]geoMap (17)'!$A:$C,3,0)</f>
        <v>150.2889957595921</v>
      </c>
      <c r="T53" s="1">
        <f>S53/VLOOKUP(A53,'[295]geoMap (18)'!$A:$B,2,0)*VLOOKUP(A53,'[295]geoMap (18)'!$A:$C,3,0)</f>
        <v>96.086407124985115</v>
      </c>
      <c r="U53" s="1">
        <f>T53/VLOOKUP(A53,'[296]geoMap (19)'!$A:$B,2,0)*VLOOKUP(A53,'[296]geoMap (19)'!$A:$C,3,0)</f>
        <v>45.217132764698874</v>
      </c>
      <c r="V53" s="44">
        <f>U53/35*9</f>
        <v>11.627262710922569</v>
      </c>
      <c r="W53" s="1">
        <f>V53/VLOOKUP(A53,'[298]geoMap (21)'!$A:$B,2,0)*VLOOKUP(A53,'[298]geoMap (21)'!$A:$C,3,0)</f>
        <v>36.819665251254804</v>
      </c>
      <c r="X53" s="1">
        <f>W53/VLOOKUP(A53,'[299]geoMap (22)'!$A:$B,2,0)*VLOOKUP(A53,'[299]geoMap (22)'!$A:$C,3,0)</f>
        <v>43.223085294951296</v>
      </c>
      <c r="Y53" s="1">
        <f>X53/VLOOKUP(A53,'[300]geoMap (23)'!$A:$B,2,0)*VLOOKUP(A53,'[300]geoMap (23)'!$A:$C,3,0)</f>
        <v>70.521876007552109</v>
      </c>
      <c r="Z53" s="1">
        <f>Y53/VLOOKUP(A53,'[301]geoMap (24)'!$A:$B,2,0)*VLOOKUP(A53,'[301]geoMap (24)'!$A:$C,3,0)</f>
        <v>62.538267402923559</v>
      </c>
      <c r="AA53" s="1">
        <f>Z53/VLOOKUP(A53,'[302]geoMap (25)'!$A:$B,2,0)*VLOOKUP(A53,'[302]geoMap (25)'!$A:$C,3,0)</f>
        <v>67.74978968650052</v>
      </c>
    </row>
    <row r="54" spans="1:27" x14ac:dyDescent="0.2">
      <c r="A54" s="1" t="s">
        <v>147</v>
      </c>
      <c r="B54" s="1">
        <f>Notes!$C$6*VLOOKUP(A54,[277]geoMap!$A:$B,2,0)</f>
        <v>8000</v>
      </c>
      <c r="C54" s="1">
        <f>B54/VLOOKUP(A54,'[278]geoMap (1)'!$A:$B,2,0)*VLOOKUP(A54,'[278]geoMap (1)'!$A:$C,3,0)</f>
        <v>1411.7647058823529</v>
      </c>
      <c r="D54" s="1">
        <f>C54/VLOOKUP(A54,'[279]geoMap (2)'!$A:$B,2,0)*VLOOKUP(A54,'[279]geoMap (2)'!$A:$C,3,0)</f>
        <v>3456.3894523326571</v>
      </c>
      <c r="E54" s="1">
        <f>D54/VLOOKUP(A54,'[280]geoMap (3)'!$A:$B,2,0)*VLOOKUP(A54,'[280]geoMap (3)'!$A:$C,3,0)</f>
        <v>6419.0089829035069</v>
      </c>
      <c r="F54" s="1">
        <f>E54/VLOOKUP(A54,'[281]geoMap (4)'!$A:$B,2,0)*VLOOKUP(A54,'[281]geoMap (4)'!$A:$C,3,0)</f>
        <v>5043.5070579956118</v>
      </c>
      <c r="G54" s="1">
        <f>F54/VLOOKUP(A54,'[282]geoMap (5)'!$A:$B,2,0)*VLOOKUP(A54,'[282]geoMap (5)'!$A:$C,3,0)</f>
        <v>2161.5030248552625</v>
      </c>
      <c r="H54" s="1">
        <f>G54/VLOOKUP(A54,'[283]geoMap (6)'!$A:$B,2,0)*VLOOKUP(A54,'[283]geoMap (6)'!$A:$C,3,0)</f>
        <v>1441.0020165701753</v>
      </c>
      <c r="I54" s="1">
        <f>H54/VLOOKUP(A54,'[284]geoMap (7)'!$A:$B,2,0)*VLOOKUP(A54,'[284]geoMap (7)'!$A:$C,3,0)</f>
        <v>91.978852121500566</v>
      </c>
      <c r="J54" s="1">
        <f>I54/VLOOKUP(A54,'[285]geoMap (8)'!$A:$B,2,0)*VLOOKUP(A54,'[285]geoMap (8)'!$A:$C,3,0)</f>
        <v>1441.0020165701753</v>
      </c>
      <c r="K54" s="1">
        <f>J54/VLOOKUP(A54,'[286]geoMap (9)'!$A:$B,2,0)*VLOOKUP(A54,'[286]geoMap (9)'!$A:$C,3,0)</f>
        <v>1384.4921335674235</v>
      </c>
      <c r="L54" s="1">
        <f>K54/VLOOKUP(A54,'[287]geoMap (10)'!$A:$B,2,0)*VLOOKUP(A54,'[287]geoMap (10)'!$A:$C,3,0)</f>
        <v>486.44318206422986</v>
      </c>
      <c r="M54" s="1">
        <f>L54/VLOOKUP(A54,'[288]geoMap (11)'!$A:$B,2,0)*VLOOKUP(A54,'[288]geoMap (11)'!$A:$C,3,0)</f>
        <v>506.29800582195355</v>
      </c>
      <c r="N54" s="1">
        <f>M54/VLOOKUP(A54,'[289]geoMap (12)'!$A:$B,2,0)*VLOOKUP(A54,'[289]geoMap (12)'!$A:$C,3,0)</f>
        <v>260.82018481737003</v>
      </c>
      <c r="O54" s="1">
        <f>N54/VLOOKUP(A54,'[290]geoMap (13)'!$A:$B,2,0)*VLOOKUP(A54,'[290]geoMap (13)'!$A:$C,3,0)</f>
        <v>608.58043124053006</v>
      </c>
      <c r="P54" s="1">
        <f>O54/VLOOKUP(A54,'[291]geoMap (14)'!$A:$B,2,0)*VLOOKUP(A54,'[291]geoMap (14)'!$A:$C,3,0)</f>
        <v>327.69715528336235</v>
      </c>
      <c r="Q54" s="1">
        <f>P54/VLOOKUP(A54,'[292]geoMap (15)'!$A:$B,2,0)*VLOOKUP(A54,'[292]geoMap (15)'!$A:$C,3,0)</f>
        <v>147.226258170786</v>
      </c>
      <c r="R54" s="1">
        <f>Q54/VLOOKUP(A54,'[293]geoMap (16)'!$A:$B,2,0)*VLOOKUP(A54,'[293]geoMap (16)'!$A:$C,3,0)</f>
        <v>11.081546313930129</v>
      </c>
      <c r="S54" s="1">
        <f>R54/VLOOKUP(A54,'[294]geoMap (17)'!$A:$B,2,0)*VLOOKUP(A54,'[294]geoMap (17)'!$A:$C,3,0)</f>
        <v>147.226258170786</v>
      </c>
      <c r="T54" s="1">
        <f>S54/VLOOKUP(A54,'[295]geoMap (18)'!$A:$B,2,0)*VLOOKUP(A54,'[295]geoMap (18)'!$A:$C,3,0)</f>
        <v>60.13466883032104</v>
      </c>
      <c r="U54" s="1">
        <f>T54/VLOOKUP(A54,'[296]geoMap (19)'!$A:$B,2,0)*VLOOKUP(A54,'[296]geoMap (19)'!$A:$C,3,0)</f>
        <v>41.788498678697671</v>
      </c>
      <c r="V54" s="1">
        <f>U54/VLOOKUP(A54,'[297]geoMap (20)'!$A:$B,2,0)*VLOOKUP(A54,'[297]geoMap (20)'!$A:$C,3,0)</f>
        <v>22.501499288529512</v>
      </c>
      <c r="W54" s="1">
        <f>V54/VLOOKUP(A54,'[298]geoMap (21)'!$A:$B,2,0)*VLOOKUP(A54,'[298]geoMap (21)'!$A:$C,3,0)</f>
        <v>43.679380971851408</v>
      </c>
      <c r="X54" s="1">
        <f>W54/VLOOKUP(A54,'[299]geoMap (22)'!$A:$B,2,0)*VLOOKUP(A54,'[299]geoMap (22)'!$A:$C,3,0)</f>
        <v>53.385910076707276</v>
      </c>
      <c r="Y54" s="1">
        <f>X54/VLOOKUP(A54,'[300]geoMap (23)'!$A:$B,2,0)*VLOOKUP(A54,'[300]geoMap (23)'!$A:$C,3,0)</f>
        <v>60.201132639691195</v>
      </c>
      <c r="Z54" s="1">
        <f>Y54/VLOOKUP(A54,'[301]geoMap (24)'!$A:$B,2,0)*VLOOKUP(A54,'[301]geoMap (24)'!$A:$C,3,0)</f>
        <v>51.282446322699904</v>
      </c>
      <c r="AA54" s="1">
        <f>Z54/VLOOKUP(A54,'[302]geoMap (25)'!$A:$B,2,0)*VLOOKUP(A54,'[302]geoMap (25)'!$A:$C,3,0)</f>
        <v>32.787137812873716</v>
      </c>
    </row>
    <row r="55" spans="1:27" x14ac:dyDescent="0.2">
      <c r="A55" s="1" t="s">
        <v>150</v>
      </c>
      <c r="B55" s="1">
        <f>Notes!$C$6*VLOOKUP(A55,[277]geoMap!$A:$B,2,0)</f>
        <v>10000</v>
      </c>
      <c r="C55" s="1">
        <f>B55/VLOOKUP(A55,'[278]geoMap (1)'!$A:$B,2,0)*VLOOKUP(A55,'[278]geoMap (1)'!$A:$C,3,0)</f>
        <v>1363.6363636363635</v>
      </c>
      <c r="D55" s="1">
        <f>C55/VLOOKUP(A55,'[279]geoMap (2)'!$A:$B,2,0)*VLOOKUP(A55,'[279]geoMap (2)'!$A:$C,3,0)</f>
        <v>4090.9090909090905</v>
      </c>
      <c r="E55" s="1">
        <f>D55/VLOOKUP(A55,'[280]geoMap (3)'!$A:$B,2,0)*VLOOKUP(A55,'[280]geoMap (3)'!$A:$C,3,0)</f>
        <v>5886.9179600886919</v>
      </c>
      <c r="F55" s="1">
        <f>E55/VLOOKUP(A55,'[281]geoMap (4)'!$A:$B,2,0)*VLOOKUP(A55,'[281]geoMap (4)'!$A:$C,3,0)</f>
        <v>7803.588923838498</v>
      </c>
      <c r="G55" s="1">
        <f>F55/VLOOKUP(A55,'[282]geoMap (5)'!$A:$B,2,0)*VLOOKUP(A55,'[282]geoMap (5)'!$A:$C,3,0)</f>
        <v>3034.7290259371939</v>
      </c>
      <c r="H55" s="1">
        <f>G55/VLOOKUP(A55,'[283]geoMap (6)'!$A:$B,2,0)*VLOOKUP(A55,'[283]geoMap (6)'!$A:$C,3,0)</f>
        <v>3287.6231114319608</v>
      </c>
      <c r="I55" s="1">
        <f>H55/VLOOKUP(A55,'[284]geoMap (7)'!$A:$B,2,0)*VLOOKUP(A55,'[284]geoMap (7)'!$A:$C,3,0)</f>
        <v>67.094349212897157</v>
      </c>
      <c r="J55" s="1">
        <f>I55/VLOOKUP(A55,'[285]geoMap (8)'!$A:$B,2,0)*VLOOKUP(A55,'[285]geoMap (8)'!$A:$C,3,0)</f>
        <v>1610.2643811095318</v>
      </c>
      <c r="K55" s="1">
        <f>J55/VLOOKUP(A55,'[286]geoMap (9)'!$A:$B,2,0)*VLOOKUP(A55,'[286]geoMap (9)'!$A:$C,3,0)</f>
        <v>1547.1167583209226</v>
      </c>
      <c r="L55" s="1">
        <f>K55/VLOOKUP(A55,'[287]geoMap (10)'!$A:$B,2,0)*VLOOKUP(A55,'[287]geoMap (10)'!$A:$C,3,0)</f>
        <v>728.05494509219875</v>
      </c>
      <c r="M55" s="1">
        <f>L55/VLOOKUP(A55,'[288]geoMap (11)'!$A:$B,2,0)*VLOOKUP(A55,'[288]geoMap (11)'!$A:$C,3,0)</f>
        <v>672.05071854664493</v>
      </c>
      <c r="N55" s="1">
        <f>M55/VLOOKUP(A55,'[289]geoMap (12)'!$A:$B,2,0)*VLOOKUP(A55,'[289]geoMap (12)'!$A:$C,3,0)</f>
        <v>316.25916166900936</v>
      </c>
      <c r="O55" s="1">
        <f>N55/VLOOKUP(A55,'[290]geoMap (13)'!$A:$B,2,0)*VLOOKUP(A55,'[290]geoMap (13)'!$A:$C,3,0)</f>
        <v>642.10193429768572</v>
      </c>
      <c r="P55" s="1">
        <f>O55/VLOOKUP(A55,'[291]geoMap (14)'!$A:$B,2,0)*VLOOKUP(A55,'[291]geoMap (14)'!$A:$C,3,0)</f>
        <v>484.39268727720156</v>
      </c>
      <c r="Q55" s="1">
        <f>P55/VLOOKUP(A55,'[292]geoMap (15)'!$A:$B,2,0)*VLOOKUP(A55,'[292]geoMap (15)'!$A:$C,3,0)</f>
        <v>350.76711837314599</v>
      </c>
      <c r="R55" s="1">
        <f>Q55/VLOOKUP(A55,'[293]geoMap (16)'!$A:$B,2,0)*VLOOKUP(A55,'[293]geoMap (16)'!$A:$C,3,0)</f>
        <v>22.389390534456126</v>
      </c>
      <c r="S55" s="1">
        <f>R55/VLOOKUP(A55,'[294]geoMap (17)'!$A:$B,2,0)*VLOOKUP(A55,'[294]geoMap (17)'!$A:$C,3,0)</f>
        <v>149.83669049982177</v>
      </c>
      <c r="T55" s="1">
        <f>S55/VLOOKUP(A55,'[295]geoMap (18)'!$A:$B,2,0)*VLOOKUP(A55,'[295]geoMap (18)'!$A:$C,3,0)</f>
        <v>67.317933412963413</v>
      </c>
      <c r="U55" s="1">
        <f>T55/VLOOKUP(A55,'[296]geoMap (19)'!$A:$B,2,0)*VLOOKUP(A55,'[296]geoMap (19)'!$A:$C,3,0)</f>
        <v>75.911712146533205</v>
      </c>
      <c r="V55" s="1">
        <f>U55/VLOOKUP(A55,'[297]geoMap (20)'!$A:$B,2,0)*VLOOKUP(A55,'[297]geoMap (20)'!$A:$C,3,0)</f>
        <v>32.533590919942803</v>
      </c>
      <c r="W55" s="1">
        <f>V55/VLOOKUP(A55,'[298]geoMap (21)'!$A:$B,2,0)*VLOOKUP(A55,'[298]geoMap (21)'!$A:$C,3,0)</f>
        <v>39.763277791041205</v>
      </c>
      <c r="X55" s="1">
        <f>W55/VLOOKUP(A55,'[299]geoMap (22)'!$A:$B,2,0)*VLOOKUP(A55,'[299]geoMap (22)'!$A:$C,3,0)</f>
        <v>70.690271628517706</v>
      </c>
      <c r="Y55" s="1">
        <f>X55/VLOOKUP(A55,'[300]geoMap (23)'!$A:$B,2,0)*VLOOKUP(A55,'[300]geoMap (23)'!$A:$C,3,0)</f>
        <v>89.969436618113448</v>
      </c>
      <c r="Z55" s="1">
        <f>Y55/VLOOKUP(A55,'[301]geoMap (24)'!$A:$B,2,0)*VLOOKUP(A55,'[301]geoMap (24)'!$A:$C,3,0)</f>
        <v>44.313304602951398</v>
      </c>
      <c r="AA55" s="1">
        <f>Z55/VLOOKUP(A55,'[302]geoMap (25)'!$A:$B,2,0)*VLOOKUP(A55,'[302]geoMap (25)'!$A:$C,3,0)</f>
        <v>52.019966273029908</v>
      </c>
    </row>
    <row r="56" spans="1:27" x14ac:dyDescent="0.2">
      <c r="A56" s="1" t="s">
        <v>153</v>
      </c>
      <c r="B56" s="1">
        <f>Notes!$C$6*VLOOKUP(A56,[277]geoMap!$A:$B,2,0)</f>
        <v>48000</v>
      </c>
      <c r="C56" s="1">
        <f>B56/VLOOKUP(A56,'[278]geoMap (1)'!$A:$B,2,0)*VLOOKUP(A56,'[278]geoMap (1)'!$A:$C,3,0)</f>
        <v>979.59183673469397</v>
      </c>
      <c r="D56" s="1">
        <f>C56/VLOOKUP(A56,'[279]geoMap (2)'!$A:$B,2,0)*VLOOKUP(A56,'[279]geoMap (2)'!$A:$C,3,0)</f>
        <v>2938.7755102040819</v>
      </c>
      <c r="E56" s="1">
        <f>D56/VLOOKUP(A56,'[280]geoMap (3)'!$A:$B,2,0)*VLOOKUP(A56,'[280]geoMap (3)'!$A:$C,3,0)</f>
        <v>5003.8610038610041</v>
      </c>
      <c r="F56" s="1">
        <f>E56/VLOOKUP(A56,'[281]geoMap (4)'!$A:$B,2,0)*VLOOKUP(A56,'[281]geoMap (4)'!$A:$C,3,0)</f>
        <v>3623.4855545200371</v>
      </c>
      <c r="G56" s="1">
        <f>F56/VLOOKUP(A56,'[282]geoMap (5)'!$A:$B,2,0)*VLOOKUP(A56,'[282]geoMap (5)'!$A:$C,3,0)</f>
        <v>1784.7018402859885</v>
      </c>
      <c r="H56" s="1">
        <f>G56/VLOOKUP(A56,'[283]geoMap (6)'!$A:$B,2,0)*VLOOKUP(A56,'[283]geoMap (6)'!$A:$C,3,0)</f>
        <v>3623.4855545200376</v>
      </c>
      <c r="I56" s="1">
        <f>H56/73*1</f>
        <v>49.636788418082709</v>
      </c>
      <c r="J56" s="1">
        <f>I56/VLOOKUP(A56,'[285]geoMap (8)'!$A:$B,2,0)*VLOOKUP(A56,'[285]geoMap (8)'!$A:$C,3,0)</f>
        <v>2432.2026324860526</v>
      </c>
      <c r="K56" s="1">
        <f>J56/VLOOKUP(A56,'[286]geoMap (9)'!$A:$B,2,0)*VLOOKUP(A56,'[286]geoMap (9)'!$A:$C,3,0)</f>
        <v>5168.4305940328622</v>
      </c>
      <c r="L56" s="1">
        <f>K56/VLOOKUP(A56,'[287]geoMap (10)'!$A:$B,2,0)*VLOOKUP(A56,'[287]geoMap (10)'!$A:$C,3,0)</f>
        <v>638.79479252091551</v>
      </c>
      <c r="M56" s="1">
        <f>L56/VLOOKUP(A56,'[288]geoMap (11)'!$A:$B,2,0)*VLOOKUP(A56,'[288]geoMap (11)'!$A:$C,3,0)</f>
        <v>1642.6151807680681</v>
      </c>
      <c r="N56" s="1">
        <f>M56/VLOOKUP(A56,'[289]geoMap (12)'!$A:$B,2,0)*VLOOKUP(A56,'[289]geoMap (12)'!$A:$C,3,0)</f>
        <v>846.19569918355023</v>
      </c>
      <c r="O56" s="1">
        <f>N56/VLOOKUP(A56,'[290]geoMap (13)'!$A:$B,2,0)*VLOOKUP(A56,'[290]geoMap (13)'!$A:$C,3,0)</f>
        <v>1571.5062984837361</v>
      </c>
      <c r="P56" s="1">
        <f>O56/VLOOKUP(A56,'[291]geoMap (14)'!$A:$B,2,0)*VLOOKUP(A56,'[291]geoMap (14)'!$A:$C,3,0)</f>
        <v>344.96479722813723</v>
      </c>
      <c r="Q56" s="1">
        <f>P56/VLOOKUP(A56,'[292]geoMap (15)'!$A:$B,2,0)*VLOOKUP(A56,'[292]geoMap (15)'!$A:$C,3,0)</f>
        <v>2529.741846339673</v>
      </c>
      <c r="R56" s="1">
        <f>Q56/VLOOKUP(A56,'[293]geoMap (16)'!$A:$B,2,0)*VLOOKUP(A56,'[293]geoMap (16)'!$A:$C,3,0)</f>
        <v>105.40591026415305</v>
      </c>
      <c r="S56" s="1">
        <f>R56/VLOOKUP(A56,'[294]geoMap (17)'!$A:$B,2,0)*VLOOKUP(A56,'[294]geoMap (17)'!$A:$C,3,0)</f>
        <v>1212.1679680377601</v>
      </c>
      <c r="T56" s="1">
        <f>S56/VLOOKUP(A56,'[295]geoMap (18)'!$A:$B,2,0)*VLOOKUP(A56,'[295]geoMap (18)'!$A:$C,3,0)</f>
        <v>266.08565152048396</v>
      </c>
      <c r="U56" s="1">
        <f>T56/VLOOKUP(A56,'[296]geoMap (19)'!$A:$B,2,0)*VLOOKUP(A56,'[296]geoMap (19)'!$A:$C,3,0)</f>
        <v>416.18524981409024</v>
      </c>
      <c r="V56" s="1">
        <f>U56/VLOOKUP(A56,'[297]geoMap (20)'!$A:$B,2,0)*VLOOKUP(A56,'[297]geoMap (20)'!$A:$C,3,0)</f>
        <v>31.32577149138314</v>
      </c>
      <c r="W56" s="1">
        <f>V56/13*19</f>
        <v>45.78381987202151</v>
      </c>
      <c r="X56" s="1">
        <f>U56/VLOOKUP(A56,'[303]geoMap (33)'!$A:$B,2,0)*VLOOKUP(A56,'[303]geoMap (33)'!$A:$C,3,0)</f>
        <v>161.84981937214621</v>
      </c>
      <c r="Y56" s="1">
        <f>X56/VLOOKUP(A56,'[300]geoMap (23)'!$A:$B,2,0)*VLOOKUP(A56,'[300]geoMap (23)'!$A:$C,3,0)</f>
        <v>132.42257948630143</v>
      </c>
      <c r="Z56" s="1">
        <f>Y56/VLOOKUP(A56,'[301]geoMap (24)'!$A:$B,2,0)*VLOOKUP(A56,'[301]geoMap (24)'!$A:$C,3,0)</f>
        <v>340.51520439334649</v>
      </c>
      <c r="AA56" s="1">
        <f>Z56/VLOOKUP(A56,'[302]geoMap (25)'!$A:$B,2,0)*VLOOKUP(A56,'[302]geoMap (25)'!$A:$C,3,0)</f>
        <v>183.35434082718655</v>
      </c>
    </row>
    <row r="57" spans="1:27" x14ac:dyDescent="0.2">
      <c r="A57" s="1" t="s">
        <v>129</v>
      </c>
      <c r="B57" s="1">
        <f>Notes!$C$6*VLOOKUP(A57,[277]geoMap!$A:$B,2,0)</f>
        <v>11000</v>
      </c>
      <c r="C57" s="1">
        <f>B57/59*5</f>
        <v>932.20338983050851</v>
      </c>
      <c r="D57" s="1">
        <f>B57/VLOOKUP(A57,'[307]geoMap (26)'!$A:$B,2,0)*VLOOKUP(A57,'[307]geoMap (26)'!$A:$C,3,0)</f>
        <v>2924.0506329113923</v>
      </c>
      <c r="E57" s="1">
        <f>D57/VLOOKUP(A57,'[280]geoMap (3)'!$A:$B,2,0)*VLOOKUP(A57,'[280]geoMap (3)'!$A:$C,3,0)</f>
        <v>2809.3819806403571</v>
      </c>
      <c r="F57" s="1">
        <f>E57/VLOOKUP(A57,'[281]geoMap (4)'!$A:$B,2,0)*VLOOKUP(A57,'[281]geoMap (4)'!$A:$C,3,0)</f>
        <v>4042.7691916531971</v>
      </c>
      <c r="G57" s="1">
        <f>F57/VLOOKUP(A57,'[282]geoMap (5)'!$A:$B,2,0)*VLOOKUP(A57,'[282]geoMap (5)'!$A:$C,3,0)</f>
        <v>2374.3247633518777</v>
      </c>
      <c r="H57" s="1">
        <f>G57/VLOOKUP(A57,'[283]geoMap (6)'!$A:$B,2,0)*VLOOKUP(A57,'[283]geoMap (6)'!$A:$C,3,0)</f>
        <v>2374.3247633518777</v>
      </c>
      <c r="I57" s="1">
        <f>H57/VLOOKUP(A57,'[284]geoMap (7)'!$A:$B,2,0)*VLOOKUP(A57,'[284]geoMap (7)'!$A:$C,3,0)</f>
        <v>23.983078417695733</v>
      </c>
      <c r="J57" s="1">
        <f>I57/VLOOKUP(A57,'[285]geoMap (8)'!$A:$B,2,0)*VLOOKUP(A57,'[285]geoMap (8)'!$A:$C,3,0)</f>
        <v>2374.3247633518777</v>
      </c>
      <c r="K57" s="1">
        <f>J57/VLOOKUP(A57,'[286]geoMap (9)'!$A:$B,2,0)*VLOOKUP(A57,'[286]geoMap (9)'!$A:$C,3,0)</f>
        <v>631.14962063784083</v>
      </c>
      <c r="L57" s="1">
        <f>K57/VLOOKUP(A57,'[287]geoMap (10)'!$A:$B,2,0)*VLOOKUP(A57,'[287]geoMap (10)'!$A:$C,3,0)</f>
        <v>210.38320687928027</v>
      </c>
      <c r="M57" s="1">
        <f>L57/VLOOKUP(A57,'[288]geoMap (11)'!$A:$B,2,0)*VLOOKUP(A57,'[288]geoMap (11)'!$A:$C,3,0)</f>
        <v>172.13171471941112</v>
      </c>
      <c r="N57" s="1">
        <f>M57/34*27</f>
        <v>136.69283227717943</v>
      </c>
      <c r="O57" s="1">
        <f>K57/VLOOKUP(A57,'[305]geoMap (28)'!$A:$B,2,0)*VLOOKUP(A57,'[305]geoMap (28)'!$A:$C,3,0)</f>
        <v>199.31040651721287</v>
      </c>
      <c r="P57" s="1">
        <f>O57/VLOOKUP(A57,'[291]geoMap (14)'!$A:$B,2,0)*VLOOKUP(A57,'[291]geoMap (14)'!$A:$C,3,0)</f>
        <v>191.49431214398885</v>
      </c>
      <c r="Q57" s="1">
        <f>O57/46*17</f>
        <v>73.658193712883019</v>
      </c>
      <c r="R57" s="1">
        <f>Q57/VLOOKUP(A57,'[293]geoMap (16)'!$A:$B,2,0)*VLOOKUP(A57,'[293]geoMap (16)'!$A:$C,3,0)</f>
        <v>0</v>
      </c>
      <c r="S57" s="4">
        <f>Q57/VLOOKUP(A57,'[310]geoMap (30)'!$A:$B,2,0)*VLOOKUP(A57,'[310]geoMap (30)'!$A:$C,3,0)</f>
        <v>233.25094675746288</v>
      </c>
      <c r="T57" s="1">
        <f>S57/57*19</f>
        <v>77.750315585820971</v>
      </c>
      <c r="U57" s="1">
        <f>T57/34*5</f>
        <v>11.43386993909132</v>
      </c>
      <c r="V57" s="44">
        <f>U57/10*5</f>
        <v>5.7169349695456599</v>
      </c>
      <c r="W57" s="1">
        <f>V57/5*12</f>
        <v>13.720643926909583</v>
      </c>
      <c r="X57" s="1">
        <f>W57/13*0</f>
        <v>0</v>
      </c>
      <c r="Y57" s="1">
        <f>V57/2*24</f>
        <v>68.603219634547912</v>
      </c>
      <c r="Z57" s="1">
        <f>V57/5*11</f>
        <v>12.57725693300045</v>
      </c>
      <c r="AA57" s="1">
        <f>Z57/5*21</f>
        <v>52.824479118601893</v>
      </c>
    </row>
    <row r="58" spans="1:27" x14ac:dyDescent="0.2">
      <c r="A58" s="1" t="s">
        <v>144</v>
      </c>
      <c r="B58" s="1">
        <f>Notes!$C$6*VLOOKUP(A58,[277]geoMap!$A:$B,2,0)</f>
        <v>18000</v>
      </c>
      <c r="C58" s="1">
        <f>B58/VLOOKUP(A58,'[278]geoMap (1)'!$A:$B,2,0)*VLOOKUP(A58,'[278]geoMap (1)'!$A:$C,3,0)</f>
        <v>1148.936170212766</v>
      </c>
      <c r="D58" s="1">
        <f>C58/VLOOKUP(A58,'[279]geoMap (2)'!$A:$B,2,0)*VLOOKUP(A58,'[279]geoMap (2)'!$A:$C,3,0)</f>
        <v>3270.0490998363339</v>
      </c>
      <c r="E58" s="1">
        <f>D58/VLOOKUP(A58,'[280]geoMap (3)'!$A:$B,2,0)*VLOOKUP(A58,'[280]geoMap (3)'!$A:$C,3,0)</f>
        <v>3996.7266775777421</v>
      </c>
      <c r="F58" s="1">
        <f>E58/VLOOKUP(A58,'[281]geoMap (4)'!$A:$B,2,0)*VLOOKUP(A58,'[281]geoMap (4)'!$A:$C,3,0)</f>
        <v>3270.0490998363339</v>
      </c>
      <c r="G58" s="1">
        <f>F58/VLOOKUP(A58,'[282]geoMap (5)'!$A:$B,2,0)*VLOOKUP(A58,'[282]geoMap (5)'!$A:$C,3,0)</f>
        <v>1684.5707484005356</v>
      </c>
      <c r="H58" s="1">
        <f>G58/VLOOKUP(A58,'[283]geoMap (6)'!$A:$B,2,0)*VLOOKUP(A58,'[283]geoMap (6)'!$A:$C,3,0)</f>
        <v>1493.8646259400975</v>
      </c>
      <c r="I58" s="1">
        <f>H58/VLOOKUP(A58,'[284]geoMap (7)'!$A:$B,2,0)*VLOOKUP(A58,'[284]geoMap (7)'!$A:$C,3,0)</f>
        <v>30.487033182450968</v>
      </c>
      <c r="J58" s="1">
        <f>I58/VLOOKUP(A58,'[285]geoMap (8)'!$A:$B,2,0)*VLOOKUP(A58,'[285]geoMap (8)'!$A:$C,3,0)</f>
        <v>1493.8646259400975</v>
      </c>
      <c r="K58" s="1">
        <f>J58/VLOOKUP(A58,'[286]geoMap (9)'!$A:$B,2,0)*VLOOKUP(A58,'[286]geoMap (9)'!$A:$C,3,0)</f>
        <v>1081.7640394738637</v>
      </c>
      <c r="L58" s="1">
        <f>K58/VLOOKUP(A58,'[287]geoMap (10)'!$A:$B,2,0)*VLOOKUP(A58,'[287]geoMap (10)'!$A:$C,3,0)</f>
        <v>341.60969667595691</v>
      </c>
      <c r="M58" s="1">
        <f>L58/VLOOKUP(A58,'[288]geoMap (11)'!$A:$B,2,0)*VLOOKUP(A58,'[288]geoMap (11)'!$A:$C,3,0)</f>
        <v>209.37368505945744</v>
      </c>
      <c r="N58" s="1">
        <f>M58/VLOOKUP(A58,'[289]geoMap (12)'!$A:$B,2,0)*VLOOKUP(A58,'[289]geoMap (12)'!$A:$C,3,0)</f>
        <v>277.54186159044355</v>
      </c>
      <c r="O58" s="1">
        <f>N58/VLOOKUP(A58,'[290]geoMap (13)'!$A:$B,2,0)*VLOOKUP(A58,'[290]geoMap (13)'!$A:$C,3,0)</f>
        <v>563.49408262302177</v>
      </c>
      <c r="P58" s="1">
        <f>O58/VLOOKUP(A58,'[291]geoMap (14)'!$A:$B,2,0)*VLOOKUP(A58,'[291]geoMap (14)'!$A:$C,3,0)</f>
        <v>499.70229968456647</v>
      </c>
      <c r="Q58" s="1">
        <f>P58/VLOOKUP(A58,'[292]geoMap (15)'!$A:$B,2,0)*VLOOKUP(A58,'[292]geoMap (15)'!$A:$C,3,0)</f>
        <v>95.181390416107902</v>
      </c>
      <c r="R58" s="1">
        <f>Q58/VLOOKUP(A58,'[293]geoMap (16)'!$A:$B,2,0)*VLOOKUP(A58,'[293]geoMap (16)'!$A:$C,3,0)</f>
        <v>5.0095468640056797</v>
      </c>
      <c r="S58" s="1">
        <f>R58/VLOOKUP(A58,'[294]geoMap (17)'!$A:$B,2,0)*VLOOKUP(A58,'[294]geoMap (17)'!$A:$C,3,0)</f>
        <v>66.555408336075459</v>
      </c>
      <c r="T58" s="1">
        <f>S58/VLOOKUP(A58,'[295]geoMap (18)'!$A:$B,2,0)*VLOOKUP(A58,'[295]geoMap (18)'!$A:$C,3,0)</f>
        <v>56.695347841842057</v>
      </c>
      <c r="U58" s="1">
        <f>T58/VLOOKUP(A58,'[296]geoMap (19)'!$A:$B,2,0)*VLOOKUP(A58,'[296]geoMap (19)'!$A:$C,3,0)</f>
        <v>25.471822943436287</v>
      </c>
      <c r="V58" s="1">
        <f>U58/VLOOKUP(A58,'[297]geoMap (20)'!$A:$B,2,0)*VLOOKUP(A58,'[297]geoMap (20)'!$A:$C,3,0)</f>
        <v>90.309190435819573</v>
      </c>
      <c r="W58" s="1">
        <f>V58/VLOOKUP(A58,'[298]geoMap (21)'!$A:$B,2,0)*VLOOKUP(A58,'[298]geoMap (21)'!$A:$C,3,0)</f>
        <v>26.975472467842213</v>
      </c>
      <c r="X58" s="1">
        <f>W58/VLOOKUP(A58,'[299]geoMap (22)'!$A:$B,2,0)*VLOOKUP(A58,'[299]geoMap (22)'!$A:$C,3,0)</f>
        <v>15.842737798573998</v>
      </c>
      <c r="Y58" s="1">
        <f>X58/VLOOKUP(A58,'[300]geoMap (23)'!$A:$B,2,0)*VLOOKUP(A58,'[300]geoMap (23)'!$A:$C,3,0)</f>
        <v>29.422227340208856</v>
      </c>
      <c r="Z58" s="1">
        <f>Y58/VLOOKUP(A58,'[301]geoMap (24)'!$A:$B,2,0)*VLOOKUP(A58,'[301]geoMap (24)'!$A:$C,3,0)</f>
        <v>12.017529476986715</v>
      </c>
      <c r="AA58" s="1">
        <f>Z58/VLOOKUP(A58,'[302]geoMap (25)'!$A:$B,2,0)*VLOOKUP(A58,'[302]geoMap (25)'!$A:$C,3,0)</f>
        <v>11.093104132603122</v>
      </c>
    </row>
    <row r="59" spans="1:27" x14ac:dyDescent="0.2">
      <c r="A59" s="1" t="s">
        <v>134</v>
      </c>
      <c r="B59" s="1">
        <f>Notes!$C$6*VLOOKUP(A59,[277]geoMap!$A:$B,2,0)</f>
        <v>11000</v>
      </c>
      <c r="C59" s="1">
        <f>B59/78*6</f>
        <v>846.15384615384619</v>
      </c>
      <c r="D59" s="1">
        <f>B59/78*11</f>
        <v>1551.2820512820513</v>
      </c>
      <c r="E59" s="1">
        <f>B59/77*18</f>
        <v>2571.4285714285716</v>
      </c>
      <c r="F59" s="1">
        <f>E59/VLOOKUP(A59,'[281]geoMap (4)'!$A:$B,2,0)*VLOOKUP(A59,'[281]geoMap (4)'!$A:$C,3,0)</f>
        <v>3142.8571428571431</v>
      </c>
      <c r="G59" s="1">
        <f>F59/67*15</f>
        <v>703.62473347547973</v>
      </c>
      <c r="H59" s="1">
        <f>G59/26*61</f>
        <v>1650.8118746924715</v>
      </c>
      <c r="I59" s="1">
        <f>H59/61*2</f>
        <v>54.124979498113824</v>
      </c>
      <c r="J59" s="1">
        <f>H59/VLOOKUP(A59,'[304]geoMap (27)'!$A:$B,2,0)*VLOOKUP(A59,'[304]geoMap (27)'!$A:$C,3,0)</f>
        <v>641.98239571373904</v>
      </c>
      <c r="K59" s="1">
        <f>J59/VLOOKUP(A59,'[286]geoMap (9)'!$A:$B,2,0)*VLOOKUP(A59,'[286]geoMap (9)'!$A:$C,3,0)</f>
        <v>886.54711789040152</v>
      </c>
      <c r="L59" s="1">
        <f>K59/38*10</f>
        <v>233.30187312905304</v>
      </c>
      <c r="M59" s="1">
        <f>L59/53*28</f>
        <v>123.25381976629217</v>
      </c>
      <c r="N59" s="1">
        <f>M59/27*32</f>
        <v>146.07860120449442</v>
      </c>
      <c r="O59" s="1">
        <f>K59/VLOOKUP(A59,'[305]geoMap (28)'!$A:$B,2,0)*VLOOKUP(A59,'[305]geoMap (28)'!$A:$C,3,0)</f>
        <v>344.76832362404508</v>
      </c>
      <c r="P59" s="1">
        <f>O59/VLOOKUP(A59,'[291]geoMap (14)'!$A:$B,2,0)*VLOOKUP(A59,'[291]geoMap (14)'!$A:$C,3,0)</f>
        <v>97.24234768883322</v>
      </c>
      <c r="Q59" s="1">
        <f>O59/VLOOKUP(A59,'[308]geoMap (29)'!$A:$B,2,0)*VLOOKUP(A59,'[308]geoMap (29)'!$A:$C,3,0)</f>
        <v>220.42564953012717</v>
      </c>
      <c r="R59" s="1">
        <f>Q59/29*1</f>
        <v>7.6008844665561091</v>
      </c>
      <c r="S59" s="44">
        <f>Q59/40*16</f>
        <v>88.170259812050872</v>
      </c>
      <c r="T59" s="1">
        <f>S59/22*13</f>
        <v>52.100608070757332</v>
      </c>
      <c r="U59" s="1">
        <f>T59/13*6</f>
        <v>24.046434494195694</v>
      </c>
      <c r="V59" s="44">
        <f>U59/20*9</f>
        <v>10.820895522388062</v>
      </c>
      <c r="W59" s="1">
        <f>V59/9*0</f>
        <v>0</v>
      </c>
      <c r="X59" s="1">
        <f>V59/9*0</f>
        <v>0</v>
      </c>
      <c r="Y59" s="1">
        <f>V59/6*26</f>
        <v>46.890547263681597</v>
      </c>
      <c r="Z59" s="1">
        <f>V59/2*23</f>
        <v>124.44029850746271</v>
      </c>
      <c r="AA59" s="1">
        <f>Z59/VLOOKUP(A59,'[302]geoMap (25)'!$A:$B,2,0)*VLOOKUP(A59,'[302]geoMap (25)'!$A:$C,3,0)</f>
        <v>194.6373899732109</v>
      </c>
    </row>
    <row r="60" spans="1:27" x14ac:dyDescent="0.2">
      <c r="A60" s="1" t="s">
        <v>151</v>
      </c>
      <c r="B60" s="1">
        <f>Notes!$C$6*VLOOKUP(A60,[277]geoMap!$A:$B,2,0)</f>
        <v>25000</v>
      </c>
      <c r="C60" s="1">
        <f>B60/VLOOKUP(A60,'[278]geoMap (1)'!$A:$B,2,0)*VLOOKUP(A60,'[278]geoMap (1)'!$A:$C,3,0)</f>
        <v>1041.6666666666667</v>
      </c>
      <c r="D60" s="1">
        <f>C60/VLOOKUP(A60,'[279]geoMap (2)'!$A:$B,2,0)*VLOOKUP(A60,'[279]geoMap (2)'!$A:$C,3,0)</f>
        <v>2816.358024691358</v>
      </c>
      <c r="E60" s="1">
        <f>D60/VLOOKUP(A60,'[280]geoMap (3)'!$A:$B,2,0)*VLOOKUP(A60,'[280]geoMap (3)'!$A:$C,3,0)</f>
        <v>2931.3114134542702</v>
      </c>
      <c r="F60" s="1">
        <f>E60/VLOOKUP(A60,'[281]geoMap (4)'!$A:$B,2,0)*VLOOKUP(A60,'[281]geoMap (4)'!$A:$C,3,0)</f>
        <v>5951.4504454980643</v>
      </c>
      <c r="G60" s="1">
        <f>F60/VLOOKUP(A60,'[282]geoMap (5)'!$A:$B,2,0)*VLOOKUP(A60,'[282]geoMap (5)'!$A:$C,3,0)</f>
        <v>1306.4159514507946</v>
      </c>
      <c r="H60" s="1">
        <f>G60/VLOOKUP(A60,'[283]geoMap (6)'!$A:$B,2,0)*VLOOKUP(A60,'[283]geoMap (6)'!$A:$C,3,0)</f>
        <v>1959.623927176192</v>
      </c>
      <c r="I60" s="1">
        <f>H60/VLOOKUP(A60,'[284]geoMap (7)'!$A:$B,2,0)*VLOOKUP(A60,'[284]geoMap (7)'!$A:$C,3,0)</f>
        <v>39.992325044412084</v>
      </c>
      <c r="J60" s="1">
        <f>I60/VLOOKUP(A60,'[285]geoMap (8)'!$A:$B,2,0)*VLOOKUP(A60,'[285]geoMap (8)'!$A:$C,3,0)</f>
        <v>959.8158010658899</v>
      </c>
      <c r="K60" s="1">
        <f>J60/VLOOKUP(A60,'[286]geoMap (9)'!$A:$B,2,0)*VLOOKUP(A60,'[286]geoMap (9)'!$A:$C,3,0)</f>
        <v>1272.3139688547842</v>
      </c>
      <c r="L60" s="1">
        <f>K60/VLOOKUP(A60,'[287]geoMap (10)'!$A:$B,2,0)*VLOOKUP(A60,'[287]geoMap (10)'!$A:$C,3,0)</f>
        <v>95.76556754820956</v>
      </c>
      <c r="M60" s="1">
        <f>L60/VLOOKUP(A60,'[288]geoMap (11)'!$A:$B,2,0)*VLOOKUP(A60,'[288]geoMap (11)'!$A:$C,3,0)</f>
        <v>258.92171966738135</v>
      </c>
      <c r="N60" s="1">
        <f>M60/VLOOKUP(A60,'[289]geoMap (12)'!$A:$B,2,0)*VLOOKUP(A60,'[289]geoMap (12)'!$A:$C,3,0)</f>
        <v>116.32714941578004</v>
      </c>
      <c r="O60" s="1">
        <f>N60/VLOOKUP(A60,'[290]geoMap (13)'!$A:$B,2,0)*VLOOKUP(A60,'[290]geoMap (13)'!$A:$C,3,0)</f>
        <v>465.30859766312017</v>
      </c>
      <c r="P60" s="1">
        <f>O60/VLOOKUP(A60,'[291]geoMap (14)'!$A:$B,2,0)*VLOOKUP(A60,'[291]geoMap (14)'!$A:$C,3,0)</f>
        <v>218.9687518414683</v>
      </c>
      <c r="Q60" s="1">
        <f>P60/VLOOKUP(A60,'[292]geoMap (15)'!$A:$B,2,0)*VLOOKUP(A60,'[292]geoMap (15)'!$A:$C,3,0)</f>
        <v>237.21614782825736</v>
      </c>
      <c r="R60" s="1">
        <f>Q60/VLOOKUP(A60,'[293]geoMap (16)'!$A:$B,2,0)*VLOOKUP(A60,'[293]geoMap (16)'!$A:$C,3,0)</f>
        <v>2.3961227053359329</v>
      </c>
      <c r="S60" s="1">
        <f>R60/VLOOKUP(A60,'[294]geoMap (17)'!$A:$B,2,0)*VLOOKUP(A60,'[294]geoMap (17)'!$A:$C,3,0)</f>
        <v>31.834201656605966</v>
      </c>
      <c r="T60" s="1">
        <f>S60/VLOOKUP(A60,'[295]geoMap (18)'!$A:$B,2,0)*VLOOKUP(A60,'[295]geoMap (18)'!$A:$C,3,0)</f>
        <v>15.679532159223832</v>
      </c>
      <c r="U60" s="1">
        <f>T60/VLOOKUP(A60,'[296]geoMap (19)'!$A:$B,2,0)*VLOOKUP(A60,'[296]geoMap (19)'!$A:$C,3,0)</f>
        <v>58.984906694222992</v>
      </c>
      <c r="V60" s="1">
        <f>U60/VLOOKUP(A60,'[297]geoMap (20)'!$A:$B,2,0)*VLOOKUP(A60,'[297]geoMap (20)'!$A:$C,3,0)</f>
        <v>5.8336720906374389</v>
      </c>
      <c r="W60" s="1">
        <f>V60/VLOOKUP(A60,'[298]geoMap (21)'!$A:$B,2,0)*VLOOKUP(A60,'[298]geoMap (21)'!$A:$C,3,0)</f>
        <v>7.1300436663346476</v>
      </c>
      <c r="X60" s="1">
        <f>W60/VLOOKUP(A60,'[299]geoMap (22)'!$A:$B,2,0)*VLOOKUP(A60,'[299]geoMap (22)'!$A:$C,3,0)</f>
        <v>13.84067299935549</v>
      </c>
      <c r="Y60" s="1">
        <f>X60/VLOOKUP(A60,'[300]geoMap (23)'!$A:$B,2,0)*VLOOKUP(A60,'[300]geoMap (23)'!$A:$C,3,0)</f>
        <v>26.867188763454774</v>
      </c>
      <c r="Z60" s="1">
        <f>Y60/VLOOKUP(A60,'[301]geoMap (24)'!$A:$B,2,0)*VLOOKUP(A60,'[301]geoMap (24)'!$A:$C,3,0)</f>
        <v>32.837675155333613</v>
      </c>
      <c r="AA60" s="1">
        <f>Z60/VLOOKUP(A60,'[302]geoMap (25)'!$A:$B,2,0)*VLOOKUP(A60,'[302]geoMap (25)'!$A:$C,3,0)</f>
        <v>31.549923188457782</v>
      </c>
    </row>
    <row r="61" spans="1:27" x14ac:dyDescent="0.2">
      <c r="A61" s="1" t="s">
        <v>162</v>
      </c>
      <c r="B61" s="1">
        <f>Notes!$C$6*VLOOKUP(A61,[277]geoMap!$A:$B,2,0)</f>
        <v>8000</v>
      </c>
      <c r="C61" s="1">
        <f>B61/VLOOKUP(A61,'[278]geoMap (1)'!$A:$B,2,0)*VLOOKUP(A61,'[278]geoMap (1)'!$A:$C,3,0)</f>
        <v>3594.202898550725</v>
      </c>
      <c r="D61" s="1">
        <f>C61/VLOOKUP(A61,'[279]geoMap (2)'!$A:$B,2,0)*VLOOKUP(A61,'[279]geoMap (2)'!$A:$C,3,0)</f>
        <v>5172.1456344998242</v>
      </c>
      <c r="E61" s="1">
        <f>D61/VLOOKUP(A61,'[280]geoMap (3)'!$A:$B,2,0)*VLOOKUP(A61,'[280]geoMap (3)'!$A:$C,3,0)</f>
        <v>6321.5113310553415</v>
      </c>
      <c r="F61" s="1">
        <f>E61/VLOOKUP(A61,'[281]geoMap (4)'!$A:$B,2,0)*VLOOKUP(A61,'[281]geoMap (4)'!$A:$C,3,0)</f>
        <v>5605.8685388603963</v>
      </c>
      <c r="G61" s="1">
        <f>F61/VLOOKUP(A61,'[282]geoMap (5)'!$A:$B,2,0)*VLOOKUP(A61,'[282]geoMap (5)'!$A:$C,3,0)</f>
        <v>3737.2456925735978</v>
      </c>
      <c r="H61" s="1">
        <f>G61/VLOOKUP(A61,'[283]geoMap (6)'!$A:$B,2,0)*VLOOKUP(A61,'[283]geoMap (6)'!$A:$C,3,0)</f>
        <v>1758.7038553287516</v>
      </c>
      <c r="I61" s="1">
        <f>H61/VLOOKUP(A61,'[284]geoMap (7)'!$A:$B,2,0)*VLOOKUP(A61,'[284]geoMap (7)'!$A:$C,3,0)</f>
        <v>132.37555900323937</v>
      </c>
      <c r="J61" s="1">
        <f>I61/VLOOKUP(A61,'[285]geoMap (8)'!$A:$B,2,0)*VLOOKUP(A61,'[285]geoMap (8)'!$A:$C,3,0)</f>
        <v>2515.1356210615477</v>
      </c>
      <c r="K61" s="1">
        <f>J61/VLOOKUP(A61,'[286]geoMap (9)'!$A:$B,2,0)*VLOOKUP(A61,'[286]geoMap (9)'!$A:$C,3,0)</f>
        <v>1477.1431425282105</v>
      </c>
      <c r="L61" s="1">
        <f>K61/VLOOKUP(A61,'[287]geoMap (10)'!$A:$B,2,0)*VLOOKUP(A61,'[287]geoMap (10)'!$A:$C,3,0)</f>
        <v>795.38476905365167</v>
      </c>
      <c r="M61" s="1">
        <f>L61/VLOOKUP(A61,'[288]geoMap (11)'!$A:$B,2,0)*VLOOKUP(A61,'[288]geoMap (11)'!$A:$C,3,0)</f>
        <v>861.6668331414561</v>
      </c>
      <c r="N61" s="1">
        <f>M61/VLOOKUP(A61,'[289]geoMap (12)'!$A:$B,2,0)*VLOOKUP(A61,'[289]geoMap (12)'!$A:$C,3,0)</f>
        <v>795.38476905365167</v>
      </c>
      <c r="O61" s="1">
        <f>N61/VLOOKUP(A61,'[290]geoMap (13)'!$A:$B,2,0)*VLOOKUP(A61,'[290]geoMap (13)'!$A:$C,3,0)</f>
        <v>677.5499884531107</v>
      </c>
      <c r="P61" s="1">
        <f>O61/VLOOKUP(A61,'[291]geoMap (14)'!$A:$B,2,0)*VLOOKUP(A61,'[291]geoMap (14)'!$A:$C,3,0)</f>
        <v>451.69999230207389</v>
      </c>
      <c r="Q61" s="1">
        <f>P61/VLOOKUP(A61,'[292]geoMap (15)'!$A:$B,2,0)*VLOOKUP(A61,'[292]geoMap (15)'!$A:$C,3,0)</f>
        <v>222.4791006860961</v>
      </c>
      <c r="R61" s="1">
        <f>Q61/VLOOKUP(A61,'[293]geoMap (16)'!$A:$B,2,0)*VLOOKUP(A61,'[293]geoMap (16)'!$A:$C,3,0)</f>
        <v>42.376971559256397</v>
      </c>
      <c r="S61" s="1">
        <f>R61/VLOOKUP(A61,'[294]geoMap (17)'!$A:$B,2,0)*VLOOKUP(A61,'[294]geoMap (17)'!$A:$C,3,0)</f>
        <v>310.76445810121362</v>
      </c>
      <c r="T61" s="1">
        <f>S61/VLOOKUP(A61,'[295]geoMap (18)'!$A:$B,2,0)*VLOOKUP(A61,'[295]geoMap (18)'!$A:$C,3,0)</f>
        <v>139.61881450924091</v>
      </c>
      <c r="U61" s="1">
        <f>T61/VLOOKUP(A61,'[296]geoMap (19)'!$A:$B,2,0)*VLOOKUP(A61,'[296]geoMap (19)'!$A:$C,3,0)</f>
        <v>114.23357550756073</v>
      </c>
      <c r="V61" s="1">
        <f>U61/VLOOKUP(A61,'[297]geoMap (20)'!$A:$B,2,0)*VLOOKUP(A61,'[297]geoMap (20)'!$A:$C,3,0)</f>
        <v>21.758776287154426</v>
      </c>
      <c r="W61" s="1">
        <f>V61/VLOOKUP(A61,'[298]geoMap (21)'!$A:$B,2,0)*VLOOKUP(A61,'[298]geoMap (21)'!$A:$C,3,0)</f>
        <v>72.844598874386563</v>
      </c>
      <c r="X61" s="1">
        <f>W61/VLOOKUP(A61,'[299]geoMap (22)'!$A:$B,2,0)*VLOOKUP(A61,'[299]geoMap (22)'!$A:$C,3,0)</f>
        <v>113.93642388045076</v>
      </c>
      <c r="Y61" s="1">
        <f>X61/VLOOKUP(A61,'[300]geoMap (23)'!$A:$B,2,0)*VLOOKUP(A61,'[300]geoMap (23)'!$A:$C,3,0)</f>
        <v>113.93642388045076</v>
      </c>
      <c r="Z61" s="1">
        <f>Y61/VLOOKUP(A61,'[301]geoMap (24)'!$A:$B,2,0)*VLOOKUP(A61,'[301]geoMap (24)'!$A:$C,3,0)</f>
        <v>35.979923330668662</v>
      </c>
      <c r="AA61" s="1">
        <f>Z61/VLOOKUP(A61,'[302]geoMap (25)'!$A:$B,2,0)*VLOOKUP(A61,'[302]geoMap (25)'!$A:$C,3,0)</f>
        <v>73.050147368327288</v>
      </c>
    </row>
    <row r="62" spans="1:27" x14ac:dyDescent="0.2">
      <c r="A62" s="1" t="s">
        <v>159</v>
      </c>
      <c r="B62" s="1">
        <f>Notes!$C$6*VLOOKUP(A62,[277]geoMap!$A:$B,2,0)</f>
        <v>11000</v>
      </c>
      <c r="C62" s="1">
        <f>B62/VLOOKUP(A62,'[278]geoMap (1)'!$A:$B,2,0)*VLOOKUP(A62,'[278]geoMap (1)'!$A:$C,3,0)</f>
        <v>1941.1764705882354</v>
      </c>
      <c r="D62" s="1">
        <f>C62/VLOOKUP(A62,'[279]geoMap (2)'!$A:$B,2,0)*VLOOKUP(A62,'[279]geoMap (2)'!$A:$C,3,0)</f>
        <v>3305.2464228934818</v>
      </c>
      <c r="E62" s="1">
        <f>D62/VLOOKUP(A62,'[280]geoMap (3)'!$A:$B,2,0)*VLOOKUP(A62,'[280]geoMap (3)'!$A:$C,3,0)</f>
        <v>5627.8520173591724</v>
      </c>
      <c r="F62" s="1">
        <f>E62/VLOOKUP(A62,'[281]geoMap (4)'!$A:$B,2,0)*VLOOKUP(A62,'[281]geoMap (4)'!$A:$C,3,0)</f>
        <v>4075.3411160187115</v>
      </c>
      <c r="G62" s="1">
        <f>F62/VLOOKUP(A62,'[282]geoMap (5)'!$A:$B,2,0)*VLOOKUP(A62,'[282]geoMap (5)'!$A:$C,3,0)</f>
        <v>1917.8075840088054</v>
      </c>
      <c r="H62" s="1">
        <f>G62/VLOOKUP(A62,'[283]geoMap (6)'!$A:$B,2,0)*VLOOKUP(A62,'[283]geoMap (6)'!$A:$C,3,0)</f>
        <v>1278.5383893392036</v>
      </c>
      <c r="I62" s="1">
        <f>H62/VLOOKUP(A62,'[284]geoMap (7)'!$A:$B,2,0)*VLOOKUP(A62,'[284]geoMap (7)'!$A:$C,3,0)</f>
        <v>39.542424412552684</v>
      </c>
      <c r="J62" s="1">
        <f>I62/VLOOKUP(A62,'[285]geoMap (8)'!$A:$B,2,0)*VLOOKUP(A62,'[285]geoMap (8)'!$A:$C,3,0)</f>
        <v>949.01818590126436</v>
      </c>
      <c r="K62" s="1">
        <f>J62/VLOOKUP(A62,'[286]geoMap (9)'!$A:$B,2,0)*VLOOKUP(A62,'[286]geoMap (9)'!$A:$C,3,0)</f>
        <v>841.58216485583807</v>
      </c>
      <c r="L62" s="1">
        <f>K62/VLOOKUP(A62,'[287]geoMap (10)'!$A:$B,2,0)*VLOOKUP(A62,'[287]geoMap (10)'!$A:$C,3,0)</f>
        <v>473.38996773140889</v>
      </c>
      <c r="M62" s="1">
        <f>L62/VLOOKUP(A62,'[288]geoMap (11)'!$A:$B,2,0)*VLOOKUP(A62,'[288]geoMap (11)'!$A:$C,3,0)</f>
        <v>202.8814147420324</v>
      </c>
      <c r="N62" s="1">
        <f>M62/VLOOKUP(A62,'[289]geoMap (12)'!$A:$B,2,0)*VLOOKUP(A62,'[289]geoMap (12)'!$A:$C,3,0)</f>
        <v>228.78116981548339</v>
      </c>
      <c r="O62" s="1">
        <f>N62/VLOOKUP(A62,'[290]geoMap (13)'!$A:$B,2,0)*VLOOKUP(A62,'[290]geoMap (13)'!$A:$C,3,0)</f>
        <v>406.7220796719705</v>
      </c>
      <c r="P62" s="1">
        <f>O62/VLOOKUP(A62,'[291]geoMap (14)'!$A:$B,2,0)*VLOOKUP(A62,'[291]geoMap (14)'!$A:$C,3,0)</f>
        <v>477.45635439753056</v>
      </c>
      <c r="Q62" s="1">
        <f>P62/VLOOKUP(A62,'[292]geoMap (15)'!$A:$B,2,0)*VLOOKUP(A62,'[292]geoMap (15)'!$A:$C,3,0)</f>
        <v>111.99593498213679</v>
      </c>
      <c r="R62" s="1">
        <f>Q62/VLOOKUP(A62,'[293]geoMap (16)'!$A:$B,2,0)*VLOOKUP(A62,'[293]geoMap (16)'!$A:$C,3,0)</f>
        <v>8.4298015577952423</v>
      </c>
      <c r="S62" s="1">
        <f>R62/VLOOKUP(A62,'[294]geoMap (17)'!$A:$B,2,0)*VLOOKUP(A62,'[294]geoMap (17)'!$A:$C,3,0)</f>
        <v>56.41482580986046</v>
      </c>
      <c r="T62" s="1">
        <f>S62/VLOOKUP(A62,'[295]geoMap (18)'!$A:$B,2,0)*VLOOKUP(A62,'[295]geoMap (18)'!$A:$C,3,0)</f>
        <v>46.157584753522194</v>
      </c>
      <c r="U62" s="1">
        <f>T62/VLOOKUP(A62,'[296]geoMap (19)'!$A:$B,2,0)*VLOOKUP(A62,'[296]geoMap (19)'!$A:$C,3,0)</f>
        <v>54.184990797613011</v>
      </c>
      <c r="V62" s="1">
        <f>U62/VLOOKUP(A62,'[297]geoMap (20)'!$A:$B,2,0)*VLOOKUP(A62,'[297]geoMap (20)'!$A:$C,3,0)</f>
        <v>77.973523342906532</v>
      </c>
      <c r="W62" s="1">
        <f>V62/VLOOKUP(A62,'[298]geoMap (21)'!$A:$B,2,0)*VLOOKUP(A62,'[298]geoMap (21)'!$A:$C,3,0)</f>
        <v>95.300972974663537</v>
      </c>
      <c r="X62" s="1">
        <f>W62/VLOOKUP(A62,'[299]geoMap (22)'!$A:$B,2,0)*VLOOKUP(A62,'[299]geoMap (22)'!$A:$C,3,0)</f>
        <v>16.81781876023474</v>
      </c>
      <c r="Y62" s="1">
        <f>X62/VLOOKUP(A62,'[300]geoMap (23)'!$A:$B,2,0)*VLOOKUP(A62,'[300]geoMap (23)'!$A:$C,3,0)</f>
        <v>14.913914749642126</v>
      </c>
      <c r="Z62" s="1">
        <f>Y62/VLOOKUP(A62,'[301]geoMap (24)'!$A:$B,2,0)*VLOOKUP(A62,'[301]geoMap (24)'!$A:$C,3,0)</f>
        <v>23.326892300722299</v>
      </c>
      <c r="AA62" s="1">
        <f>Z62/VLOOKUP(A62,'[302]geoMap (25)'!$A:$B,2,0)*VLOOKUP(A62,'[302]geoMap (25)'!$A:$C,3,0)</f>
        <v>14.297127539152378</v>
      </c>
    </row>
    <row r="63" spans="1:27" x14ac:dyDescent="0.2">
      <c r="A63" s="1" t="s">
        <v>168</v>
      </c>
      <c r="B63" s="1">
        <f>Notes!$C$6*VLOOKUP(A63,[277]geoMap!$A:$B,2,0)</f>
        <v>10000</v>
      </c>
      <c r="C63" s="1">
        <f>B63/VLOOKUP(A63,'[278]geoMap (1)'!$A:$B,2,0)*VLOOKUP(A63,'[278]geoMap (1)'!$A:$C,3,0)</f>
        <v>869.56521739130437</v>
      </c>
      <c r="D63" s="1">
        <f>C63/VLOOKUP(A63,'[279]geoMap (2)'!$A:$B,2,0)*VLOOKUP(A63,'[279]geoMap (2)'!$A:$C,3,0)</f>
        <v>2608.695652173913</v>
      </c>
      <c r="E63" s="1">
        <f>D63/VLOOKUP(A63,'[280]geoMap (3)'!$A:$B,2,0)*VLOOKUP(A63,'[280]geoMap (3)'!$A:$C,3,0)</f>
        <v>3602.484472049689</v>
      </c>
      <c r="F63" s="1">
        <f>E63/VLOOKUP(A63,'[281]geoMap (4)'!$A:$B,2,0)*VLOOKUP(A63,'[281]geoMap (4)'!$A:$C,3,0)</f>
        <v>3602.484472049689</v>
      </c>
      <c r="G63" s="1">
        <f>F63/VLOOKUP(A63,'[282]geoMap (5)'!$A:$B,2,0)*VLOOKUP(A63,'[282]geoMap (5)'!$A:$C,3,0)</f>
        <v>1543.9219165927238</v>
      </c>
      <c r="H63" s="1">
        <f>G63/VLOOKUP(A63,'[283]geoMap (6)'!$A:$B,2,0)*VLOOKUP(A63,'[283]geoMap (6)'!$A:$C,3,0)</f>
        <v>2997.0248969152872</v>
      </c>
      <c r="I63" s="1">
        <f>H63/VLOOKUP(A63,'[284]geoMap (7)'!$A:$B,2,0)*VLOOKUP(A63,'[284]geoMap (7)'!$A:$C,3,0)</f>
        <v>30.272978756720072</v>
      </c>
      <c r="J63" s="1">
        <f>I63/VLOOKUP(A63,'[285]geoMap (8)'!$A:$B,2,0)*VLOOKUP(A63,'[285]geoMap (8)'!$A:$C,3,0)</f>
        <v>474.27666718861445</v>
      </c>
      <c r="K63" s="1">
        <f>J63/VLOOKUP(A63,'[286]geoMap (9)'!$A:$B,2,0)*VLOOKUP(A63,'[286]geoMap (9)'!$A:$C,3,0)</f>
        <v>579.67148211941765</v>
      </c>
      <c r="L63" s="1">
        <f>K63/VLOOKUP(A63,'[287]geoMap (10)'!$A:$B,2,0)*VLOOKUP(A63,'[287]geoMap (10)'!$A:$C,3,0)</f>
        <v>173.14862452917671</v>
      </c>
      <c r="M63" s="1">
        <f>L63/VLOOKUP(A63,'[288]geoMap (11)'!$A:$B,2,0)*VLOOKUP(A63,'[288]geoMap (11)'!$A:$C,3,0)</f>
        <v>239.11000530219638</v>
      </c>
      <c r="N63" s="1">
        <f>M63/VLOOKUP(A63,'[289]geoMap (12)'!$A:$B,2,0)*VLOOKUP(A63,'[289]geoMap (12)'!$A:$C,3,0)</f>
        <v>173.14862452917671</v>
      </c>
      <c r="O63" s="1">
        <f>N63/VLOOKUP(A63,'[290]geoMap (13)'!$A:$B,2,0)*VLOOKUP(A63,'[290]geoMap (13)'!$A:$C,3,0)</f>
        <v>203.26142879512048</v>
      </c>
      <c r="P63" s="1">
        <f>O63/VLOOKUP(A63,'[291]geoMap (14)'!$A:$B,2,0)*VLOOKUP(A63,'[291]geoMap (14)'!$A:$C,3,0)</f>
        <v>47.678606754410978</v>
      </c>
      <c r="Q63" s="1">
        <f>P63/VLOOKUP(A63,'[292]geoMap (15)'!$A:$B,2,0)*VLOOKUP(A63,'[292]geoMap (15)'!$A:$C,3,0)</f>
        <v>122.60213165419965</v>
      </c>
      <c r="R63" s="1">
        <f>Q63/VLOOKUP(A63,'[293]geoMap (16)'!$A:$B,2,0)*VLOOKUP(A63,'[293]geoMap (16)'!$A:$C,3,0)</f>
        <v>10.661054926452143</v>
      </c>
      <c r="S63" s="1">
        <f>R63/VLOOKUP(A63,'[294]geoMap (17)'!$A:$B,2,0)*VLOOKUP(A63,'[294]geoMap (17)'!$A:$C,3,0)</f>
        <v>71.347059892410499</v>
      </c>
      <c r="T63" s="1">
        <f>S63/VLOOKUP(A63,'[295]geoMap (18)'!$A:$B,2,0)*VLOOKUP(A63,'[295]geoMap (18)'!$A:$C,3,0)</f>
        <v>47.564706594940333</v>
      </c>
      <c r="U63" s="1">
        <f>T63/VLOOKUP(A63,'[296]geoMap (19)'!$A:$B,2,0)*VLOOKUP(A63,'[296]geoMap (19)'!$A:$C,3,0)</f>
        <v>18.497385898032352</v>
      </c>
      <c r="V63" s="1">
        <f>U63/VLOOKUP(A63,'[297]geoMap (20)'!$A:$B,2,0)*VLOOKUP(A63,'[297]geoMap (20)'!$A:$C,3,0)</f>
        <v>7.1934278492348049</v>
      </c>
      <c r="W63" s="1">
        <f>V63/VLOOKUP(A63,'[298]geoMap (21)'!$A:$B,2,0)*VLOOKUP(A63,'[298]geoMap (21)'!$A:$C,3,0)</f>
        <v>22.779188189243548</v>
      </c>
      <c r="X63" s="1">
        <f>W63/VLOOKUP(A63,'[299]geoMap (22)'!$A:$B,2,0)*VLOOKUP(A63,'[299]geoMap (22)'!$A:$C,3,0)</f>
        <v>19.404493642688948</v>
      </c>
      <c r="Y63" s="1">
        <f>X63/VLOOKUP(A63,'[300]geoMap (23)'!$A:$B,2,0)*VLOOKUP(A63,'[300]geoMap (23)'!$A:$C,3,0)</f>
        <v>21.881663043883286</v>
      </c>
      <c r="Z63" s="1">
        <f>Y63/VLOOKUP(A63,'[301]geoMap (24)'!$A:$B,2,0)*VLOOKUP(A63,'[301]geoMap (24)'!$A:$C,3,0)</f>
        <v>19.404493642688948</v>
      </c>
      <c r="AA63" s="1">
        <f>Z63/VLOOKUP(A63,'[302]geoMap (25)'!$A:$B,2,0)*VLOOKUP(A63,'[302]geoMap (25)'!$A:$C,3,0)</f>
        <v>17.91184028555903</v>
      </c>
    </row>
    <row r="64" spans="1:27" x14ac:dyDescent="0.2">
      <c r="A64" s="1" t="s">
        <v>161</v>
      </c>
      <c r="B64" s="1">
        <f>Notes!$C$6*VLOOKUP(A64,[277]geoMap!$A:$B,2,0)</f>
        <v>11000</v>
      </c>
      <c r="C64" s="1">
        <f>B64/VLOOKUP(A64,'[278]geoMap (1)'!$A:$B,2,0)*VLOOKUP(A64,'[278]geoMap (1)'!$A:$C,3,0)</f>
        <v>1643.6781609195402</v>
      </c>
      <c r="D64" s="1">
        <f>C64/VLOOKUP(A64,'[279]geoMap (2)'!$A:$B,2,0)*VLOOKUP(A64,'[279]geoMap (2)'!$A:$C,3,0)</f>
        <v>3835.2490421455941</v>
      </c>
      <c r="E64" s="1">
        <f>D64/VLOOKUP(A64,'[280]geoMap (3)'!$A:$B,2,0)*VLOOKUP(A64,'[280]geoMap (3)'!$A:$C,3,0)</f>
        <v>3401.069905298923</v>
      </c>
      <c r="F64" s="1">
        <f>E64/VLOOKUP(A64,'[281]geoMap (4)'!$A:$B,2,0)*VLOOKUP(A64,'[281]geoMap (4)'!$A:$C,3,0)</f>
        <v>4156.8632175875728</v>
      </c>
      <c r="G64" s="1">
        <f>F64/VLOOKUP(A64,'[282]geoMap (5)'!$A:$B,2,0)*VLOOKUP(A64,'[282]geoMap (5)'!$A:$C,3,0)</f>
        <v>2547.7548752956091</v>
      </c>
      <c r="H64" s="1">
        <f>G64/VLOOKUP(A64,'[283]geoMap (6)'!$A:$B,2,0)*VLOOKUP(A64,'[283]geoMap (6)'!$A:$C,3,0)</f>
        <v>1844.9259441795791</v>
      </c>
      <c r="I64" s="1">
        <f>H64/VLOOKUP(A64,'[284]geoMap (7)'!$A:$B,2,0)*VLOOKUP(A64,'[284]geoMap (7)'!$A:$C,3,0)</f>
        <v>18.635615597773526</v>
      </c>
      <c r="J64" s="1">
        <f>I64/VLOOKUP(A64,'[285]geoMap (8)'!$A:$B,2,0)*VLOOKUP(A64,'[285]geoMap (8)'!$A:$C,3,0)</f>
        <v>913.14516429090281</v>
      </c>
      <c r="K64" s="1">
        <f>J64/VLOOKUP(A64,'[286]geoMap (9)'!$A:$B,2,0)*VLOOKUP(A64,'[286]geoMap (9)'!$A:$C,3,0)</f>
        <v>513.64415491363275</v>
      </c>
      <c r="L64" s="1">
        <f>K64/VLOOKUP(A64,'[287]geoMap (10)'!$A:$B,2,0)*VLOOKUP(A64,'[287]geoMap (10)'!$A:$C,3,0)</f>
        <v>230.76766380177705</v>
      </c>
      <c r="M64" s="1">
        <f>L64/VLOOKUP(A64,'[288]geoMap (11)'!$A:$B,2,0)*VLOOKUP(A64,'[288]geoMap (11)'!$A:$C,3,0)</f>
        <v>221.71795149582502</v>
      </c>
      <c r="N64" s="1">
        <f>M64/VLOOKUP(A64,'[289]geoMap (12)'!$A:$B,2,0)*VLOOKUP(A64,'[289]geoMap (12)'!$A:$C,3,0)</f>
        <v>221.71795149582502</v>
      </c>
      <c r="O64" s="1">
        <f>N64/VLOOKUP(A64,'[290]geoMap (13)'!$A:$B,2,0)*VLOOKUP(A64,'[290]geoMap (13)'!$A:$C,3,0)</f>
        <v>332.57692724373749</v>
      </c>
      <c r="P64" s="1">
        <f>O64/VLOOKUP(A64,'[291]geoMap (14)'!$A:$B,2,0)*VLOOKUP(A64,'[291]geoMap (14)'!$A:$C,3,0)</f>
        <v>78.011871822605087</v>
      </c>
      <c r="Q64" s="1">
        <f>P64/VLOOKUP(A64,'[292]geoMap (15)'!$A:$B,2,0)*VLOOKUP(A64,'[292]geoMap (15)'!$A:$C,3,0)</f>
        <v>52.007914548403392</v>
      </c>
      <c r="R64" s="1">
        <f>Q64/VLOOKUP(A64,'[293]geoMap (16)'!$A:$B,2,0)*VLOOKUP(A64,'[293]geoMap (16)'!$A:$C,3,0)</f>
        <v>3.3196541201108545</v>
      </c>
      <c r="S64" s="1">
        <f>R64/VLOOKUP(A64,'[294]geoMap (17)'!$A:$B,2,0)*VLOOKUP(A64,'[294]geoMap (17)'!$A:$C,3,0)</f>
        <v>38.176022381274827</v>
      </c>
      <c r="T64" s="1">
        <f>S64/VLOOKUP(A64,'[295]geoMap (18)'!$A:$B,2,0)*VLOOKUP(A64,'[295]geoMap (18)'!$A:$C,3,0)</f>
        <v>41.357357579714396</v>
      </c>
      <c r="U64" s="1">
        <f>T64/VLOOKUP(A64,'[296]geoMap (19)'!$A:$B,2,0)*VLOOKUP(A64,'[296]geoMap (19)'!$A:$C,3,0)</f>
        <v>19.462285919865597</v>
      </c>
      <c r="V64" s="1">
        <f>U64/VLOOKUP(A64,'[297]geoMap (20)'!$A:$B,2,0)*VLOOKUP(A64,'[297]geoMap (20)'!$A:$C,3,0)</f>
        <v>4.2722091043607406</v>
      </c>
      <c r="W64" s="1">
        <f>V64/VLOOKUP(A64,'[298]geoMap (21)'!$A:$B,2,0)*VLOOKUP(A64,'[298]geoMap (21)'!$A:$C,3,0)</f>
        <v>15.146923188188079</v>
      </c>
      <c r="X64" s="1">
        <f>W64/VLOOKUP(A64,'[299]geoMap (22)'!$A:$B,2,0)*VLOOKUP(A64,'[299]geoMap (22)'!$A:$C,3,0)</f>
        <v>10.968461619032746</v>
      </c>
      <c r="Y64" s="1">
        <f>X64/VLOOKUP(A64,'[300]geoMap (23)'!$A:$B,2,0)*VLOOKUP(A64,'[300]geoMap (23)'!$A:$C,3,0)</f>
        <v>23.307980940444587</v>
      </c>
      <c r="Z64" s="1">
        <f>Y64/VLOOKUP(A64,'[301]geoMap (24)'!$A:$B,2,0)*VLOOKUP(A64,'[301]geoMap (24)'!$A:$C,3,0)</f>
        <v>9.0642148101728974</v>
      </c>
      <c r="AA64" s="1">
        <f>Z64/VLOOKUP(A64,'[302]geoMap (25)'!$A:$B,2,0)*VLOOKUP(A64,'[302]geoMap (25)'!$A:$C,3,0)</f>
        <v>20.175187803288061</v>
      </c>
    </row>
    <row r="65" spans="1:27" x14ac:dyDescent="0.2">
      <c r="A65" s="1" t="s">
        <v>177</v>
      </c>
      <c r="B65" s="1">
        <f>Notes!$C$6*VLOOKUP(A65,[277]geoMap!$A:$B,2,0)</f>
        <v>11000</v>
      </c>
      <c r="C65" s="1">
        <f>B65/VLOOKUP(A65,'[278]geoMap (1)'!$A:$B,2,0)*VLOOKUP(A65,'[278]geoMap (1)'!$A:$C,3,0)</f>
        <v>1359.5505617977528</v>
      </c>
      <c r="D65" s="1">
        <f>C65/VLOOKUP(A65,'[279]geoMap (2)'!$A:$B,2,0)*VLOOKUP(A65,'[279]geoMap (2)'!$A:$C,3,0)</f>
        <v>3675.8218893050348</v>
      </c>
      <c r="E65" s="1">
        <f>D65/VLOOKUP(A65,'[280]geoMap (3)'!$A:$B,2,0)*VLOOKUP(A65,'[280]geoMap (3)'!$A:$C,3,0)</f>
        <v>3825.8554358072811</v>
      </c>
      <c r="F65" s="1">
        <f>E65/VLOOKUP(A65,'[281]geoMap (4)'!$A:$B,2,0)*VLOOKUP(A65,'[281]geoMap (4)'!$A:$C,3,0)</f>
        <v>3006.0292709914347</v>
      </c>
      <c r="G65" s="1">
        <f>F65/VLOOKUP(A65,'[282]geoMap (5)'!$A:$B,2,0)*VLOOKUP(A65,'[282]geoMap (5)'!$A:$C,3,0)</f>
        <v>1765.4457623283031</v>
      </c>
      <c r="H65" s="1">
        <f>G65/VLOOKUP(A65,'[283]geoMap (6)'!$A:$B,2,0)*VLOOKUP(A65,'[283]geoMap (6)'!$A:$C,3,0)</f>
        <v>1331.827504914334</v>
      </c>
      <c r="I65" s="1">
        <f>H65/VLOOKUP(A65,'[284]geoMap (7)'!$A:$B,2,0)*VLOOKUP(A65,'[284]geoMap (7)'!$A:$C,3,0)</f>
        <v>27.180153161517019</v>
      </c>
      <c r="J65" s="1">
        <f>I65/VLOOKUP(A65,'[285]geoMap (8)'!$A:$B,2,0)*VLOOKUP(A65,'[285]geoMap (8)'!$A:$C,3,0)</f>
        <v>878.82495222238356</v>
      </c>
      <c r="K65" s="1">
        <f>J65/VLOOKUP(A65,'[286]geoMap (9)'!$A:$B,2,0)*VLOOKUP(A65,'[286]geoMap (9)'!$A:$C,3,0)</f>
        <v>690.50531960330136</v>
      </c>
      <c r="L65" s="1">
        <f>K65/VLOOKUP(A65,'[287]geoMap (10)'!$A:$B,2,0)*VLOOKUP(A65,'[287]geoMap (10)'!$A:$C,3,0)</f>
        <v>242.60997715791669</v>
      </c>
      <c r="M65" s="1">
        <f>L65/VLOOKUP(A65,'[288]geoMap (11)'!$A:$B,2,0)*VLOOKUP(A65,'[288]geoMap (11)'!$A:$C,3,0)</f>
        <v>124.98089732377525</v>
      </c>
      <c r="N65" s="1">
        <f>M65/VLOOKUP(A65,'[289]geoMap (12)'!$A:$B,2,0)*VLOOKUP(A65,'[289]geoMap (12)'!$A:$C,3,0)</f>
        <v>195.48294196795615</v>
      </c>
      <c r="O65" s="1">
        <f>N65/VLOOKUP(A65,'[290]geoMap (13)'!$A:$B,2,0)*VLOOKUP(A65,'[290]geoMap (13)'!$A:$C,3,0)</f>
        <v>379.46688734956194</v>
      </c>
      <c r="P65" s="1">
        <f>O65/VLOOKUP(A65,'[291]geoMap (14)'!$A:$B,2,0)*VLOOKUP(A65,'[291]geoMap (14)'!$A:$C,3,0)</f>
        <v>107.02912207295336</v>
      </c>
      <c r="Q65" s="1">
        <f>P65/VLOOKUP(A65,'[292]geoMap (15)'!$A:$B,2,0)*VLOOKUP(A65,'[292]geoMap (15)'!$A:$C,3,0)</f>
        <v>35.676374024317788</v>
      </c>
      <c r="R65" s="1">
        <f>Q65/VLOOKUP(A65,'[293]geoMap (16)'!$A:$B,2,0)*VLOOKUP(A65,'[293]geoMap (16)'!$A:$C,3,0)</f>
        <v>2.6853184749486512</v>
      </c>
      <c r="S65" s="1">
        <f>R65/VLOOKUP(A65,'[294]geoMap (17)'!$A:$B,2,0)*VLOOKUP(A65,'[294]geoMap (17)'!$A:$C,3,0)</f>
        <v>42.069989440862201</v>
      </c>
      <c r="T65" s="1">
        <f>S65/VLOOKUP(A65,'[295]geoMap (18)'!$A:$B,2,0)*VLOOKUP(A65,'[295]geoMap (18)'!$A:$C,3,0)</f>
        <v>42.069989440862201</v>
      </c>
      <c r="U65" s="1">
        <f>T65/VLOOKUP(A65,'[296]geoMap (19)'!$A:$B,2,0)*VLOOKUP(A65,'[296]geoMap (19)'!$A:$C,3,0)</f>
        <v>11.865894457679083</v>
      </c>
      <c r="V65" s="1">
        <f>U65/VLOOKUP(A65,'[297]geoMap (20)'!$A:$B,2,0)*VLOOKUP(A65,'[297]geoMap (20)'!$A:$C,3,0)</f>
        <v>11.400565263260294</v>
      </c>
      <c r="W65" s="1">
        <f>V65/VLOOKUP(A65,'[298]geoMap (21)'!$A:$B,2,0)*VLOOKUP(A65,'[298]geoMap (21)'!$A:$C,3,0)</f>
        <v>70.03204376002752</v>
      </c>
      <c r="X65" s="1">
        <f>W65/VLOOKUP(A65,'[299]geoMap (22)'!$A:$B,2,0)*VLOOKUP(A65,'[299]geoMap (22)'!$A:$C,3,0)</f>
        <v>15.372887654640188</v>
      </c>
      <c r="Y65" s="1">
        <f>X65/VLOOKUP(A65,'[300]geoMap (23)'!$A:$B,2,0)*VLOOKUP(A65,'[300]geoMap (23)'!$A:$C,3,0)</f>
        <v>17.335383950977231</v>
      </c>
      <c r="Z65" s="1">
        <f>Y65/VLOOKUP(A65,'[301]geoMap (24)'!$A:$B,2,0)*VLOOKUP(A65,'[301]geoMap (24)'!$A:$C,3,0)</f>
        <v>7.7883609055115102</v>
      </c>
      <c r="AA65" s="1">
        <f>Z65/VLOOKUP(A65,'[302]geoMap (25)'!$A:$B,2,0)*VLOOKUP(A65,'[302]geoMap (25)'!$A:$C,3,0)</f>
        <v>19.068056010045421</v>
      </c>
    </row>
    <row r="66" spans="1:27" x14ac:dyDescent="0.2">
      <c r="A66" s="1" t="s">
        <v>178</v>
      </c>
      <c r="B66" s="1">
        <f>Notes!$C$6*VLOOKUP(A66,[277]geoMap!$A:$B,2,0)</f>
        <v>11000</v>
      </c>
      <c r="C66" s="1">
        <f>B66/VLOOKUP(A66,'[278]geoMap (1)'!$A:$B,2,0)*VLOOKUP(A66,'[278]geoMap (1)'!$A:$C,3,0)</f>
        <v>578.94736842105272</v>
      </c>
      <c r="D66" s="1">
        <f>C66/VLOOKUP(A66,'[279]geoMap (2)'!$A:$B,2,0)*VLOOKUP(A66,'[279]geoMap (2)'!$A:$C,3,0)</f>
        <v>1647.7732793522271</v>
      </c>
      <c r="E66" s="1">
        <f>D66/VLOOKUP(A66,'[280]geoMap (3)'!$A:$B,2,0)*VLOOKUP(A66,'[280]geoMap (3)'!$A:$C,3,0)</f>
        <v>2688.4721926273178</v>
      </c>
      <c r="F66" s="1">
        <f>E66/VLOOKUP(A66,'[281]geoMap (4)'!$A:$B,2,0)*VLOOKUP(A66,'[281]geoMap (4)'!$A:$C,3,0)</f>
        <v>1792.3147950848788</v>
      </c>
      <c r="G66" s="1">
        <f>F66/VLOOKUP(A66,'[282]geoMap (5)'!$A:$B,2,0)*VLOOKUP(A66,'[282]geoMap (5)'!$A:$C,3,0)</f>
        <v>923.31368231645286</v>
      </c>
      <c r="H66" s="1">
        <f>G66/VLOOKUP(A66,'[283]geoMap (6)'!$A:$B,2,0)*VLOOKUP(A66,'[283]geoMap (6)'!$A:$C,3,0)</f>
        <v>1041.183514101532</v>
      </c>
      <c r="I66" s="1">
        <f>H66/VLOOKUP(A66,'[284]geoMap (7)'!$A:$B,2,0)*VLOOKUP(A66,'[284]geoMap (7)'!$A:$C,3,0)</f>
        <v>21.248643144929225</v>
      </c>
      <c r="J66" s="1">
        <f>I66/VLOOKUP(A66,'[285]geoMap (8)'!$A:$B,2,0)*VLOOKUP(A66,'[285]geoMap (8)'!$A:$C,3,0)</f>
        <v>403.72421975365523</v>
      </c>
      <c r="K66" s="1">
        <f>J66/VLOOKUP(A66,'[286]geoMap (9)'!$A:$B,2,0)*VLOOKUP(A66,'[286]geoMap (9)'!$A:$C,3,0)</f>
        <v>372.66851054183553</v>
      </c>
      <c r="L66" s="1">
        <f>K66/VLOOKUP(A66,'[287]geoMap (10)'!$A:$B,2,0)*VLOOKUP(A66,'[287]geoMap (10)'!$A:$C,3,0)</f>
        <v>248.44567369455706</v>
      </c>
      <c r="M66" s="1">
        <f>L66/VLOOKUP(A66,'[288]geoMap (11)'!$A:$B,2,0)*VLOOKUP(A66,'[288]geoMap (11)'!$A:$C,3,0)</f>
        <v>179.90893612364479</v>
      </c>
      <c r="N66" s="1">
        <f>M66/VLOOKUP(A66,'[289]geoMap (12)'!$A:$B,2,0)*VLOOKUP(A66,'[289]geoMap (12)'!$A:$C,3,0)</f>
        <v>115.02374604626472</v>
      </c>
      <c r="O66" s="1">
        <f>N66/VLOOKUP(A66,'[290]geoMap (13)'!$A:$B,2,0)*VLOOKUP(A66,'[290]geoMap (13)'!$A:$C,3,0)</f>
        <v>179.90893612364482</v>
      </c>
      <c r="P66" s="1">
        <f>O66/VLOOKUP(A66,'[291]geoMap (14)'!$A:$B,2,0)*VLOOKUP(A66,'[291]geoMap (14)'!$A:$C,3,0)</f>
        <v>101.1987765695502</v>
      </c>
      <c r="Q66" s="1">
        <f>P66/VLOOKUP(A66,'[292]geoMap (15)'!$A:$B,2,0)*VLOOKUP(A66,'[292]geoMap (15)'!$A:$C,3,0)</f>
        <v>86.206365225913132</v>
      </c>
      <c r="R66" s="1">
        <f>Q66/VLOOKUP(A66,'[293]geoMap (16)'!$A:$B,2,0)*VLOOKUP(A66,'[293]geoMap (16)'!$A:$C,3,0)</f>
        <v>4.5371771171533233</v>
      </c>
      <c r="S66" s="1">
        <f>R66/VLOOKUP(A66,'[294]geoMap (17)'!$A:$B,2,0)*VLOOKUP(A66,'[294]geoMap (17)'!$A:$C,3,0)</f>
        <v>45.875901962328051</v>
      </c>
      <c r="T66" s="1">
        <f>S66/VLOOKUP(A66,'[295]geoMap (18)'!$A:$B,2,0)*VLOOKUP(A66,'[295]geoMap (18)'!$A:$C,3,0)</f>
        <v>28.117488299491388</v>
      </c>
      <c r="U66" s="1">
        <f>T66/VLOOKUP(A66,'[296]geoMap (19)'!$A:$B,2,0)*VLOOKUP(A66,'[296]geoMap (19)'!$A:$C,3,0)</f>
        <v>16.5134455092251</v>
      </c>
      <c r="V66" s="1">
        <f>U66/VLOOKUP(A66,'[297]geoMap (20)'!$A:$B,2,0)*VLOOKUP(A66,'[297]geoMap (20)'!$A:$C,3,0)</f>
        <v>2.9141374428044298</v>
      </c>
      <c r="W66" s="1">
        <f>V66/VLOOKUP(A66,'[298]geoMap (21)'!$A:$B,2,0)*VLOOKUP(A66,'[298]geoMap (21)'!$A:$C,3,0)</f>
        <v>69.939298627306314</v>
      </c>
      <c r="X66" s="1">
        <f>W66/VLOOKUP(A66,'[299]geoMap (22)'!$A:$B,2,0)*VLOOKUP(A66,'[299]geoMap (22)'!$A:$C,3,0)</f>
        <v>10.450699794884853</v>
      </c>
      <c r="Y66" s="1">
        <f>X66/VLOOKUP(A66,'[300]geoMap (23)'!$A:$B,2,0)*VLOOKUP(A66,'[300]geoMap (23)'!$A:$C,3,0)</f>
        <v>26.87322804398962</v>
      </c>
      <c r="Z66" s="1">
        <f>Y66/VLOOKUP(A66,'[301]geoMap (24)'!$A:$B,2,0)*VLOOKUP(A66,'[301]geoMap (24)'!$A:$C,3,0)</f>
        <v>11.51709773313841</v>
      </c>
      <c r="AA66" s="1">
        <f>Z66/VLOOKUP(A66,'[302]geoMap (25)'!$A:$B,2,0)*VLOOKUP(A66,'[302]geoMap (25)'!$A:$C,3,0)</f>
        <v>11.065446841642785</v>
      </c>
    </row>
    <row r="67" spans="1:27" x14ac:dyDescent="0.2">
      <c r="A67" s="1" t="s">
        <v>184</v>
      </c>
      <c r="B67" s="1">
        <f>Notes!$C$6*VLOOKUP(A67,[277]geoMap!$A:$B,2,0)</f>
        <v>8000</v>
      </c>
      <c r="C67" s="1">
        <f>B67/VLOOKUP(A67,'[278]geoMap (1)'!$A:$B,2,0)*VLOOKUP(A67,'[278]geoMap (1)'!$A:$C,3,0)</f>
        <v>695.6521739130435</v>
      </c>
      <c r="D67" s="1">
        <f>C67/VLOOKUP(A67,'[279]geoMap (2)'!$A:$B,2,0)*VLOOKUP(A67,'[279]geoMap (2)'!$A:$C,3,0)</f>
        <v>1184.4888366627497</v>
      </c>
      <c r="E67" s="1">
        <f>D67/VLOOKUP(A67,'[280]geoMap (3)'!$A:$B,2,0)*VLOOKUP(A67,'[280]geoMap (3)'!$A:$C,3,0)</f>
        <v>2636.4428945074105</v>
      </c>
      <c r="F67" s="1">
        <f>E67/VLOOKUP(A67,'[281]geoMap (4)'!$A:$B,2,0)*VLOOKUP(A67,'[281]geoMap (4)'!$A:$C,3,0)</f>
        <v>2973.0100725296334</v>
      </c>
      <c r="G67" s="1">
        <f>F67/VLOOKUP(A67,'[282]geoMap (5)'!$A:$B,2,0)*VLOOKUP(A67,'[282]geoMap (5)'!$A:$C,3,0)</f>
        <v>697.37273306250654</v>
      </c>
      <c r="H67" s="1">
        <f>G67/VLOOKUP(A67,'[283]geoMap (6)'!$A:$B,2,0)*VLOOKUP(A67,'[283]geoMap (6)'!$A:$C,3,0)</f>
        <v>1003.5363719679973</v>
      </c>
      <c r="I67" s="1">
        <f>H67/VLOOKUP(A67,'[284]geoMap (7)'!$A:$B,2,0)*VLOOKUP(A67,'[284]geoMap (7)'!$A:$C,3,0)</f>
        <v>31.037207380453527</v>
      </c>
      <c r="J67" s="1">
        <f>I67/VLOOKUP(A67,'[285]geoMap (8)'!$A:$B,2,0)*VLOOKUP(A67,'[285]geoMap (8)'!$A:$C,3,0)</f>
        <v>313.82065240236346</v>
      </c>
      <c r="K67" s="1">
        <f>J67/VLOOKUP(A67,'[286]geoMap (9)'!$A:$B,2,0)*VLOOKUP(A67,'[286]geoMap (9)'!$A:$C,3,0)</f>
        <v>609.18126642811728</v>
      </c>
      <c r="L67" s="1">
        <f>K67/VLOOKUP(A67,'[287]geoMap (10)'!$A:$B,2,0)*VLOOKUP(A67,'[287]geoMap (10)'!$A:$C,3,0)</f>
        <v>133.72271702080624</v>
      </c>
      <c r="M67" s="1">
        <f>L67/VLOOKUP(A67,'[288]geoMap (11)'!$A:$B,2,0)*VLOOKUP(A67,'[288]geoMap (11)'!$A:$C,3,0)</f>
        <v>163.4388763587632</v>
      </c>
      <c r="N67" s="1">
        <f>M67/46*24</f>
        <v>85.272457230659057</v>
      </c>
      <c r="O67" s="1">
        <f>K67/VLOOKUP(A67,'[305]geoMap (28)'!$A:$B,2,0)*VLOOKUP(A67,'[305]geoMap (28)'!$A:$C,3,0)</f>
        <v>214.0366611774466</v>
      </c>
      <c r="P67" s="1">
        <f>O67/VLOOKUP(A67,'[291]geoMap (14)'!$A:$B,2,0)*VLOOKUP(A67,'[291]geoMap (14)'!$A:$C,3,0)</f>
        <v>83.236479346784805</v>
      </c>
      <c r="Q67" s="1">
        <f>P67/VLOOKUP(A67,'[292]geoMap (15)'!$A:$B,2,0)*VLOOKUP(A67,'[292]geoMap (15)'!$A:$C,3,0)</f>
        <v>73.813481684884621</v>
      </c>
      <c r="R67" s="1">
        <f>Q67/VLOOKUP(A67,'[293]geoMap (16)'!$A:$B,2,0)*VLOOKUP(A67,'[293]geoMap (16)'!$A:$C,3,0)</f>
        <v>3.8849200886781383</v>
      </c>
      <c r="S67" s="1">
        <f>R67/VLOOKUP(A67,'[294]geoMap (17)'!$A:$B,2,0)*VLOOKUP(A67,'[294]geoMap (17)'!$A:$C,3,0)</f>
        <v>31.4325352629413</v>
      </c>
      <c r="T67" s="1">
        <f>Q67/84*16</f>
        <v>14.05971079712088</v>
      </c>
      <c r="U67" s="1">
        <f>S67/VLOOKUP(A67,'[306]geoMap (31)'!$A:$B,2,0)*VLOOKUP(A67,'[306]geoMap (31)'!$A:$C,3,0)</f>
        <v>11.625732220539936</v>
      </c>
      <c r="V67" s="1">
        <f>U67/VLOOKUP(A67,'[297]geoMap (20)'!$A:$B,2,0)*VLOOKUP(A67,'[297]geoMap (20)'!$A:$C,3,0)</f>
        <v>4.0847167261356532</v>
      </c>
      <c r="W67" s="1">
        <f>V67/VLOOKUP(A67,'[298]geoMap (21)'!$A:$B,2,0)*VLOOKUP(A67,'[298]geoMap (21)'!$A:$C,3,0)</f>
        <v>4.6061699252168005</v>
      </c>
      <c r="X67" s="1">
        <f>W67/VLOOKUP(A67,'[299]geoMap (22)'!$A:$B,2,0)*VLOOKUP(A67,'[299]geoMap (22)'!$A:$C,3,0)</f>
        <v>3.6191335126703432</v>
      </c>
      <c r="Y67" s="1">
        <f>X67/VLOOKUP(A67,'[300]geoMap (23)'!$A:$B,2,0)*VLOOKUP(A67,'[300]geoMap (23)'!$A:$C,3,0)</f>
        <v>7.3479377378458484</v>
      </c>
      <c r="Z67" s="1">
        <f>Y67/VLOOKUP(A67,'[301]geoMap (24)'!$A:$B,2,0)*VLOOKUP(A67,'[301]geoMap (24)'!$A:$C,3,0)</f>
        <v>7.3479377378458484</v>
      </c>
      <c r="AA67" s="1">
        <f>Z67/VLOOKUP(A67,'[302]geoMap (25)'!$A:$B,2,0)*VLOOKUP(A67,'[302]geoMap (25)'!$A:$C,3,0)</f>
        <v>4.8986251585638989</v>
      </c>
    </row>
    <row r="68" spans="1:27" x14ac:dyDescent="0.2">
      <c r="A68" s="1" t="s">
        <v>189</v>
      </c>
      <c r="B68" s="1">
        <f>Notes!$C$6*VLOOKUP(A68,[277]geoMap!$A:$B,2,0)</f>
        <v>8000</v>
      </c>
      <c r="C68" s="1">
        <f>B68/VLOOKUP(A68,'[278]geoMap (1)'!$A:$B,2,0)*VLOOKUP(A68,'[278]geoMap (1)'!$A:$C,3,0)</f>
        <v>695.6521739130435</v>
      </c>
      <c r="D68" s="1">
        <f>C68/VLOOKUP(A68,'[279]geoMap (2)'!$A:$B,2,0)*VLOOKUP(A68,'[279]geoMap (2)'!$A:$C,3,0)</f>
        <v>2328.9224952741019</v>
      </c>
      <c r="E68" s="1">
        <f>D68/VLOOKUP(A68,'[280]geoMap (3)'!$A:$B,2,0)*VLOOKUP(A68,'[280]geoMap (3)'!$A:$C,3,0)</f>
        <v>3493.3837429111522</v>
      </c>
      <c r="F68" s="1">
        <f>E68/VLOOKUP(A68,'[281]geoMap (4)'!$A:$B,2,0)*VLOOKUP(A68,'[281]geoMap (4)'!$A:$C,3,0)</f>
        <v>4100.9287416783091</v>
      </c>
      <c r="G68" s="1">
        <f>F68/VLOOKUP(A68,'[282]geoMap (5)'!$A:$B,2,0)*VLOOKUP(A68,'[282]geoMap (5)'!$A:$C,3,0)</f>
        <v>1366.9762472261029</v>
      </c>
      <c r="H68" s="1">
        <f>G68/VLOOKUP(A68,'[283]geoMap (6)'!$A:$B,2,0)*VLOOKUP(A68,'[283]geoMap (6)'!$A:$C,3,0)</f>
        <v>1366.9762472261029</v>
      </c>
      <c r="I68" s="1">
        <f>H68/VLOOKUP(A68,'[284]geoMap (7)'!$A:$B,2,0)*VLOOKUP(A68,'[284]geoMap (7)'!$A:$C,3,0)</f>
        <v>27.897474433185778</v>
      </c>
      <c r="J68" s="1">
        <f>I68/VLOOKUP(A68,'[285]geoMap (8)'!$A:$B,2,0)*VLOOKUP(A68,'[285]geoMap (8)'!$A:$C,3,0)</f>
        <v>1366.9762472261029</v>
      </c>
      <c r="K68" s="1">
        <f>J68/VLOOKUP(A68,'[286]geoMap (9)'!$A:$B,2,0)*VLOOKUP(A68,'[286]geoMap (9)'!$A:$C,3,0)</f>
        <v>455.65874907536767</v>
      </c>
      <c r="L68" s="1">
        <f>K68/VLOOKUP(A68,'[287]geoMap (10)'!$A:$B,2,0)*VLOOKUP(A68,'[287]geoMap (10)'!$A:$C,3,0)</f>
        <v>214.42764662370243</v>
      </c>
      <c r="M68" s="1">
        <f>L68/VLOOKUP(A68,'[288]geoMap (11)'!$A:$B,2,0)*VLOOKUP(A68,'[288]geoMap (11)'!$A:$C,3,0)</f>
        <v>308.56661343410838</v>
      </c>
      <c r="N68" s="1">
        <f>M68/VLOOKUP(A68,'[289]geoMap (12)'!$A:$B,2,0)*VLOOKUP(A68,'[289]geoMap (12)'!$A:$C,3,0)</f>
        <v>138.63137705010669</v>
      </c>
      <c r="O68" s="1">
        <f>N68/VLOOKUP(A68,'[290]geoMap (13)'!$A:$B,2,0)*VLOOKUP(A68,'[290]geoMap (13)'!$A:$C,3,0)</f>
        <v>269.107967214913</v>
      </c>
      <c r="P68" s="1">
        <f>O68/VLOOKUP(A68,'[291]geoMap (14)'!$A:$B,2,0)*VLOOKUP(A68,'[291]geoMap (14)'!$A:$C,3,0)</f>
        <v>115.33198594924843</v>
      </c>
      <c r="Q68" s="1">
        <f>P68/VLOOKUP(A68,'[292]geoMap (15)'!$A:$B,2,0)*VLOOKUP(A68,'[292]geoMap (15)'!$A:$C,3,0)</f>
        <v>110.80916297084653</v>
      </c>
      <c r="R68" s="1">
        <f>Q68/VLOOKUP(A68,'[293]geoMap (16)'!$A:$B,2,0)*VLOOKUP(A68,'[293]geoMap (16)'!$A:$C,3,0)</f>
        <v>3.4270875145622641</v>
      </c>
      <c r="S68" s="1">
        <f>R68/VLOOKUP(A68,'[294]geoMap (17)'!$A:$B,2,0)*VLOOKUP(A68,'[294]geoMap (17)'!$A:$C,3,0)</f>
        <v>65.114662776683005</v>
      </c>
      <c r="T68" s="1">
        <f>S68/VLOOKUP(A68,'[295]geoMap (18)'!$A:$B,2,0)*VLOOKUP(A68,'[295]geoMap (18)'!$A:$C,3,0)</f>
        <v>26.596129866532493</v>
      </c>
      <c r="U68" s="1">
        <f>T68/VLOOKUP(A68,'[296]geoMap (19)'!$A:$B,2,0)*VLOOKUP(A68,'[296]geoMap (19)'!$A:$C,3,0)</f>
        <v>32.506380947984162</v>
      </c>
      <c r="V68" s="1">
        <f>U68/VLOOKUP(A68,'[297]geoMap (20)'!$A:$B,2,0)*VLOOKUP(A68,'[297]geoMap (20)'!$A:$C,3,0)</f>
        <v>6.6579334471774807</v>
      </c>
      <c r="W68" s="1">
        <f>V68/VLOOKUP(A68,'[298]geoMap (21)'!$A:$B,2,0)*VLOOKUP(A68,'[298]geoMap (21)'!$A:$C,3,0)</f>
        <v>6.3968380178764033</v>
      </c>
      <c r="X68" s="1">
        <f>W68/VLOOKUP(A68,'[299]geoMap (22)'!$A:$B,2,0)*VLOOKUP(A68,'[299]geoMap (22)'!$A:$C,3,0)</f>
        <v>11.879842033199035</v>
      </c>
      <c r="Y68" s="1">
        <f>X68/VLOOKUP(A68,'[300]geoMap (23)'!$A:$B,2,0)*VLOOKUP(A68,'[300]geoMap (23)'!$A:$C,3,0)</f>
        <v>20.227839137609166</v>
      </c>
      <c r="Z68" s="1">
        <f>Y68/VLOOKUP(A68,'[301]geoMap (24)'!$A:$B,2,0)*VLOOKUP(A68,'[301]geoMap (24)'!$A:$C,3,0)</f>
        <v>17.937895084294922</v>
      </c>
      <c r="AA68" s="1">
        <f>Z68/VLOOKUP(A68,'[302]geoMap (25)'!$A:$B,2,0)*VLOOKUP(A68,'[302]geoMap (25)'!$A:$C,3,0)</f>
        <v>7.6876693218406817</v>
      </c>
    </row>
  </sheetData>
  <conditionalFormatting sqref="A1:AA1">
    <cfRule type="colorScale" priority="4">
      <colorScale>
        <cfvo type="min"/>
        <cfvo type="max"/>
        <color rgb="FFFFEF9C"/>
        <color rgb="FF63BE7B"/>
      </colorScale>
    </cfRule>
    <cfRule type="cellIs" dxfId="3" priority="5" operator="equal">
      <formula>#DIV/0!</formula>
    </cfRule>
  </conditionalFormatting>
  <conditionalFormatting sqref="A2:A68">
    <cfRule type="colorScale" priority="2">
      <colorScale>
        <cfvo type="min"/>
        <cfvo type="max"/>
        <color rgb="FFFFEF9C"/>
        <color rgb="FF63BE7B"/>
      </colorScale>
    </cfRule>
    <cfRule type="cellIs" dxfId="2" priority="3" operator="equal">
      <formula>#DIV/0!</formula>
    </cfRule>
  </conditionalFormatting>
  <conditionalFormatting sqref="B2:AA68">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AA128"/>
  <sheetViews>
    <sheetView zoomScale="70" zoomScaleNormal="70" workbookViewId="0">
      <pane xSplit="1" ySplit="1" topLeftCell="B2" activePane="bottomRight" state="frozen"/>
      <selection pane="topRight" activeCell="B1" sqref="B1"/>
      <selection pane="bottomLeft" activeCell="A2" sqref="A2"/>
      <selection pane="bottomRight"/>
    </sheetView>
  </sheetViews>
  <sheetFormatPr baseColWidth="10" defaultColWidth="9.1640625" defaultRowHeight="15" x14ac:dyDescent="0.2"/>
  <cols>
    <col min="1" max="1" width="21.5" style="1" customWidth="1"/>
    <col min="2" max="2" width="18.33203125" style="1" customWidth="1"/>
    <col min="3" max="3" width="16" style="1" bestFit="1" customWidth="1"/>
    <col min="4" max="6" width="17.1640625" style="1" bestFit="1" customWidth="1"/>
    <col min="7" max="8" width="16" style="1" bestFit="1" customWidth="1"/>
    <col min="9" max="9" width="13.1640625" style="1" bestFit="1" customWidth="1"/>
    <col min="10" max="17" width="16" style="1" bestFit="1" customWidth="1"/>
    <col min="18" max="18" width="14.5" style="1" bestFit="1" customWidth="1"/>
    <col min="19" max="20" width="16" style="1" bestFit="1" customWidth="1"/>
    <col min="21" max="21" width="14.5" style="1" bestFit="1" customWidth="1"/>
    <col min="22" max="22" width="13.1640625" style="1" bestFit="1" customWidth="1"/>
    <col min="23" max="27" width="14.5" style="1" bestFit="1" customWidth="1"/>
    <col min="28" max="16384" width="9.1640625" style="1"/>
  </cols>
  <sheetData>
    <row r="1" spans="1:27" ht="100" x14ac:dyDescent="0.2">
      <c r="A1" s="41" t="s">
        <v>0</v>
      </c>
      <c r="B1" s="3" t="s">
        <v>254</v>
      </c>
      <c r="C1" s="3" t="s">
        <v>255</v>
      </c>
      <c r="D1" s="3" t="s">
        <v>256</v>
      </c>
      <c r="E1" s="3" t="s">
        <v>257</v>
      </c>
      <c r="F1" s="3" t="s">
        <v>258</v>
      </c>
      <c r="G1" s="3" t="s">
        <v>259</v>
      </c>
      <c r="H1" s="3" t="s">
        <v>260</v>
      </c>
      <c r="I1" s="3" t="s">
        <v>261</v>
      </c>
      <c r="J1" s="3" t="s">
        <v>262</v>
      </c>
      <c r="K1" s="3" t="s">
        <v>263</v>
      </c>
      <c r="L1" s="3" t="s">
        <v>264</v>
      </c>
      <c r="M1" s="3" t="s">
        <v>265</v>
      </c>
      <c r="N1" s="3" t="s">
        <v>266</v>
      </c>
      <c r="O1" s="3" t="s">
        <v>267</v>
      </c>
      <c r="P1" s="3" t="s">
        <v>268</v>
      </c>
      <c r="Q1" s="3" t="s">
        <v>269</v>
      </c>
      <c r="R1" s="3" t="s">
        <v>270</v>
      </c>
      <c r="S1" s="3" t="s">
        <v>271</v>
      </c>
      <c r="T1" s="3" t="s">
        <v>272</v>
      </c>
      <c r="U1" s="3" t="s">
        <v>273</v>
      </c>
      <c r="V1" s="3" t="s">
        <v>274</v>
      </c>
      <c r="W1" s="3" t="s">
        <v>275</v>
      </c>
      <c r="X1" s="3" t="s">
        <v>276</v>
      </c>
      <c r="Y1" s="3" t="s">
        <v>277</v>
      </c>
      <c r="Z1" s="3" t="s">
        <v>278</v>
      </c>
      <c r="AA1" s="3" t="s">
        <v>279</v>
      </c>
    </row>
    <row r="2" spans="1:27" x14ac:dyDescent="0.2">
      <c r="A2" s="1" t="s">
        <v>7</v>
      </c>
      <c r="B2" s="1">
        <f>'Data_Raw++ (2014)'!B4</f>
        <v>100000</v>
      </c>
      <c r="C2" s="1">
        <f>'Data_Raw++ (2014)'!C4</f>
        <v>2040.8163265306125</v>
      </c>
      <c r="D2" s="1">
        <f>'Data_Raw++ (2014)'!D4</f>
        <v>6462.5850340136067</v>
      </c>
      <c r="E2" s="1">
        <f>'Data_Raw++ (2014)'!E4</f>
        <v>4679.8029556650254</v>
      </c>
      <c r="F2" s="1">
        <f>'Data_Raw++ (2014)'!F4</f>
        <v>5956.112852664578</v>
      </c>
      <c r="G2" s="1">
        <f>'Data_Raw++ (2014)'!G4</f>
        <v>2933.6078229541954</v>
      </c>
      <c r="H2" s="1">
        <f>'Data_Raw++ (2014)'!H4</f>
        <v>3733.6826837598851</v>
      </c>
      <c r="I2" s="1">
        <f>'Data_Raw++ (2014)'!I4</f>
        <v>37.713966502625105</v>
      </c>
      <c r="J2" s="1">
        <f>'Data_Raw++ (2014)'!J4</f>
        <v>905.13519606300247</v>
      </c>
      <c r="K2" s="1">
        <f>'Data_Raw++ (2014)'!K4</f>
        <v>1357.7027940945034</v>
      </c>
      <c r="L2" s="1">
        <f>'Data_Raw++ (2014)'!L4</f>
        <v>554.55466237662813</v>
      </c>
      <c r="M2" s="1">
        <f>'Data_Raw++ (2014)'!M4</f>
        <v>385.36849419392803</v>
      </c>
      <c r="N2" s="1">
        <f>'Data_Raw++ (2014)'!N4</f>
        <v>290.71658333927905</v>
      </c>
      <c r="O2" s="1">
        <f>'Data_Raw++ (2014)'!O4</f>
        <v>401.46575794471869</v>
      </c>
      <c r="P2" s="1">
        <f>'Data_Raw++ (2014)'!P4</f>
        <v>163.97897155488508</v>
      </c>
      <c r="Q2" s="1">
        <f>'Data_Raw++ (2014)'!Q4</f>
        <v>256.47992986789717</v>
      </c>
      <c r="R2" s="1">
        <f>'Data_Raw++ (2014)'!R4</f>
        <v>16.371059353270031</v>
      </c>
      <c r="S2" s="1">
        <f>'Data_Raw++ (2014)'!S4</f>
        <v>147.33953417943027</v>
      </c>
      <c r="T2" s="1">
        <f>'Data_Raw++ (2014)'!T4</f>
        <v>69.336251378555417</v>
      </c>
      <c r="U2" s="1">
        <f>'Data_Raw++ (2014)'!U4</f>
        <v>52.306294899611991</v>
      </c>
      <c r="V2" s="1">
        <f>'Data_Raw++ (2014)'!V4</f>
        <v>5.6547345837418366</v>
      </c>
      <c r="W2" s="1">
        <f>'Data_Raw++ (2014)'!W4</f>
        <v>35.813319030364966</v>
      </c>
      <c r="X2" s="1">
        <f>'Data_Raw++ (2014)'!X4</f>
        <v>52.306294899611991</v>
      </c>
      <c r="Y2" s="1">
        <f>'Data_Raw++ (2014)'!Y4</f>
        <v>32.514723856515559</v>
      </c>
      <c r="Z2" s="1">
        <f>'Data_Raw++ (2014)'!Z4</f>
        <v>60.384487162100328</v>
      </c>
      <c r="AA2" s="1">
        <f>'Data_Raw++ (2014)'!AA4</f>
        <v>37.009846970319558</v>
      </c>
    </row>
    <row r="3" spans="1:27" x14ac:dyDescent="0.2">
      <c r="A3" s="1" t="s">
        <v>11</v>
      </c>
      <c r="B3" s="1">
        <f>'Data_Raw++ (2014)'!B5</f>
        <v>30000</v>
      </c>
      <c r="C3" s="1">
        <f>'Data_Raw++ (2014)'!C5</f>
        <v>7500</v>
      </c>
      <c r="D3" s="1">
        <f>'Data_Raw++ (2014)'!D5</f>
        <v>17500</v>
      </c>
      <c r="E3" s="1">
        <f>'Data_Raw++ (2014)'!E5</f>
        <v>7147.8873239436616</v>
      </c>
      <c r="F3" s="1">
        <f>'Data_Raw++ (2014)'!F5</f>
        <v>8060.3835780641293</v>
      </c>
      <c r="G3" s="1">
        <f>'Data_Raw++ (2014)'!G5</f>
        <v>10258.670008445257</v>
      </c>
      <c r="H3" s="1">
        <f>'Data_Raw++ (2014)'!H5</f>
        <v>8060.3835780641293</v>
      </c>
      <c r="I3" s="1">
        <f>'Data_Raw++ (2014)'!I5</f>
        <v>81.418015940041712</v>
      </c>
      <c r="J3" s="1">
        <f>'Data_Raw++ (2014)'!J5</f>
        <v>2632.5158487280155</v>
      </c>
      <c r="K3" s="1">
        <f>'Data_Raw++ (2014)'!K5</f>
        <v>5344.8049049932433</v>
      </c>
      <c r="L3" s="1">
        <f>'Data_Raw++ (2014)'!L5</f>
        <v>2401.2891602143559</v>
      </c>
      <c r="M3" s="1">
        <f>'Data_Raw++ (2014)'!M5</f>
        <v>1535.2504466944242</v>
      </c>
      <c r="N3" s="1">
        <f>'Data_Raw++ (2014)'!N5</f>
        <v>1731.2398654213721</v>
      </c>
      <c r="O3" s="1">
        <f>'Data_Raw++ (2014)'!O5</f>
        <v>1731.2398654213721</v>
      </c>
      <c r="P3" s="1">
        <f>'Data_Raw++ (2014)'!P5</f>
        <v>258.69101437330846</v>
      </c>
      <c r="Q3" s="1">
        <f>'Data_Raw++ (2014)'!Q5</f>
        <v>917.17723277809364</v>
      </c>
      <c r="R3" s="1">
        <f>'Data_Raw++ (2014)'!R5</f>
        <v>187.85557779792282</v>
      </c>
      <c r="S3" s="1">
        <f>'Data_Raw++ (2014)'!S5</f>
        <v>917.17723277809375</v>
      </c>
      <c r="T3" s="1">
        <f>'Data_Raw++ (2014)'!T5</f>
        <v>586.39200128435505</v>
      </c>
      <c r="U3" s="1">
        <f>'Data_Raw++ (2014)'!U5</f>
        <v>302.08072793436469</v>
      </c>
      <c r="V3" s="1">
        <f>'Data_Raw++ (2014)'!V5</f>
        <v>49.175932454431468</v>
      </c>
      <c r="W3" s="1">
        <f>'Data_Raw++ (2014)'!W5</f>
        <v>240.09425845398889</v>
      </c>
      <c r="X3" s="1">
        <f>'Data_Raw++ (2014)'!X5</f>
        <v>102.89753933742381</v>
      </c>
      <c r="Y3" s="1">
        <f>'Data_Raw++ (2014)'!Y5</f>
        <v>191.09543019807282</v>
      </c>
      <c r="Z3" s="1">
        <f>'Data_Raw++ (2014)'!Z5</f>
        <v>122.17576684794821</v>
      </c>
      <c r="AA3" s="1">
        <f>'Data_Raw++ (2014)'!AA5</f>
        <v>175.81390839094985</v>
      </c>
    </row>
    <row r="4" spans="1:27" x14ac:dyDescent="0.2">
      <c r="A4" s="1" t="s">
        <v>16</v>
      </c>
      <c r="B4" s="1">
        <f>'Data_Raw++ (2014)'!B6</f>
        <v>60000</v>
      </c>
      <c r="C4" s="1">
        <f>'Data_Raw++ (2014)'!C6</f>
        <v>3829.7872340425533</v>
      </c>
      <c r="D4" s="1">
        <f>'Data_Raw++ (2014)'!D6</f>
        <v>15319.148936170212</v>
      </c>
      <c r="E4" s="1">
        <f>'Data_Raw++ (2014)'!E6</f>
        <v>20306.778822365162</v>
      </c>
      <c r="F4" s="1">
        <f>'Data_Raw++ (2014)'!F6</f>
        <v>12446.090245965745</v>
      </c>
      <c r="G4" s="1">
        <f>'Data_Raw++ (2014)'!G6</f>
        <v>9012.6860401820904</v>
      </c>
      <c r="H4" s="1">
        <f>'Data_Raw++ (2014)'!H6</f>
        <v>7677.4732934884478</v>
      </c>
      <c r="I4" s="1">
        <f>'Data_Raw++ (2014)'!I6</f>
        <v>102.36631057984597</v>
      </c>
      <c r="J4" s="1">
        <f>'Data_Raw++ (2014)'!J6</f>
        <v>5015.9492184124529</v>
      </c>
      <c r="K4" s="1">
        <f>'Data_Raw++ (2014)'!K6</f>
        <v>5888.2882129189666</v>
      </c>
      <c r="L4" s="1">
        <f>'Data_Raw++ (2014)'!L6</f>
        <v>3764.6432836695035</v>
      </c>
      <c r="M4" s="1">
        <f>'Data_Raw++ (2014)'!M6</f>
        <v>2726.1209985192954</v>
      </c>
      <c r="N4" s="1">
        <f>'Data_Raw++ (2014)'!N6</f>
        <v>2726.1209985192954</v>
      </c>
      <c r="O4" s="1">
        <f>'Data_Raw++ (2014)'!O6</f>
        <v>2837.3912433568175</v>
      </c>
      <c r="P4" s="1">
        <f>'Data_Raw++ (2014)'!P6</f>
        <v>1274.76997889944</v>
      </c>
      <c r="Q4" s="1">
        <f>'Data_Raw++ (2014)'!Q6</f>
        <v>1274.76997889944</v>
      </c>
      <c r="R4" s="1">
        <f>'Data_Raw++ (2014)'!R6</f>
        <v>67.093156784181062</v>
      </c>
      <c r="S4" s="1">
        <f>'Data_Raw++ (2014)'!S6</f>
        <v>1051.1261229521701</v>
      </c>
      <c r="T4" s="1">
        <f>'Data_Raw++ (2014)'!T6</f>
        <v>1284.7097058304303</v>
      </c>
      <c r="U4" s="1">
        <f>'Data_Raw++ (2014)'!U6</f>
        <v>226.71347749948768</v>
      </c>
      <c r="V4" s="1">
        <f>'Data_Raw++ (2014)'!V6</f>
        <v>49.766373109643638</v>
      </c>
      <c r="W4" s="1">
        <f>'Data_Raw++ (2014)'!W6</f>
        <v>364.95340280405338</v>
      </c>
      <c r="X4" s="1">
        <f>'Data_Raw++ (2014)'!X6</f>
        <v>483.7754409263033</v>
      </c>
      <c r="Y4" s="1">
        <f>'Data_Raw++ (2014)'!Y6</f>
        <v>249.21765138627748</v>
      </c>
      <c r="Z4" s="1">
        <f>'Data_Raw++ (2014)'!Z6</f>
        <v>239.44441015544308</v>
      </c>
      <c r="AA4" s="1">
        <f>'Data_Raw++ (2014)'!AA6</f>
        <v>344.56634632124741</v>
      </c>
    </row>
    <row r="5" spans="1:27" x14ac:dyDescent="0.2">
      <c r="A5" s="1" t="s">
        <v>18</v>
      </c>
      <c r="B5" s="1">
        <f>'Data_Raw++ (2014)'!B7</f>
        <v>47000</v>
      </c>
      <c r="C5" s="1">
        <f>'Data_Raw++ (2014)'!C7</f>
        <v>4086.9565217391305</v>
      </c>
      <c r="D5" s="1">
        <f>'Data_Raw++ (2014)'!D7</f>
        <v>11632.107023411372</v>
      </c>
      <c r="E5" s="1">
        <f>'Data_Raw++ (2014)'!E7</f>
        <v>13655.082157917697</v>
      </c>
      <c r="F5" s="1">
        <f>'Data_Raw++ (2014)'!F7</f>
        <v>12604.691222693258</v>
      </c>
      <c r="G5" s="1">
        <f>'Data_Raw++ (2014)'!G7</f>
        <v>6493.3257813874352</v>
      </c>
      <c r="H5" s="1">
        <f>'Data_Raw++ (2014)'!H7</f>
        <v>4328.8838542582907</v>
      </c>
      <c r="I5" s="1">
        <f>'Data_Raw++ (2014)'!I7</f>
        <v>175.49529138884964</v>
      </c>
      <c r="J5" s="1">
        <f>'Data_Raw++ (2014)'!J7</f>
        <v>1944.8608620580728</v>
      </c>
      <c r="K5" s="1">
        <f>'Data_Raw++ (2014)'!K7</f>
        <v>2377.0521647376445</v>
      </c>
      <c r="L5" s="1">
        <f>'Data_Raw++ (2014)'!L7</f>
        <v>1651.8498093939563</v>
      </c>
      <c r="M5" s="1">
        <f>'Data_Raw++ (2014)'!M7</f>
        <v>850.95293211203807</v>
      </c>
      <c r="N5" s="1">
        <f>'Data_Raw++ (2014)'!N7</f>
        <v>785.49501425726589</v>
      </c>
      <c r="O5" s="1">
        <f>'Data_Raw++ (2014)'!O7</f>
        <v>999.72092723652042</v>
      </c>
      <c r="P5" s="1">
        <f>'Data_Raw++ (2014)'!P7</f>
        <v>1221.8811332890805</v>
      </c>
      <c r="Q5" s="1">
        <f>'Data_Raw++ (2014)'!Q7</f>
        <v>523.6633428381773</v>
      </c>
      <c r="R5" s="1">
        <f>'Data_Raw++ (2014)'!R7</f>
        <v>33.425319755628337</v>
      </c>
      <c r="S5" s="1">
        <f>'Data_Raw++ (2014)'!S7</f>
        <v>384.39117718972585</v>
      </c>
      <c r="T5" s="1">
        <f>'Data_Raw++ (2014)'!T7</f>
        <v>354.82262509820845</v>
      </c>
      <c r="U5" s="1">
        <f>'Data_Raw++ (2014)'!U7</f>
        <v>182.78741292938011</v>
      </c>
      <c r="V5" s="1">
        <f>'Data_Raw++ (2014)'!V7</f>
        <v>11.792736318024524</v>
      </c>
      <c r="W5" s="1">
        <f>'Data_Raw++ (2014)'!W7</f>
        <v>142.80266635107822</v>
      </c>
      <c r="X5" s="1">
        <f>'Data_Raw++ (2014)'!X7</f>
        <v>243.15048594913318</v>
      </c>
      <c r="Y5" s="1">
        <f>'Data_Raw++ (2014)'!Y7</f>
        <v>125.25934124652315</v>
      </c>
      <c r="Z5" s="1">
        <f>'Data_Raw++ (2014)'!Z7</f>
        <v>130.37196741985062</v>
      </c>
      <c r="AA5" s="1">
        <f>'Data_Raw++ (2014)'!AA7</f>
        <v>119.94221002626257</v>
      </c>
    </row>
    <row r="6" spans="1:27" x14ac:dyDescent="0.2">
      <c r="A6" s="1" t="s">
        <v>20</v>
      </c>
      <c r="B6" s="1">
        <f>'Data_Raw++ (2014)'!B8</f>
        <v>25000</v>
      </c>
      <c r="C6" s="1">
        <f>'Data_Raw++ (2014)'!C8</f>
        <v>1595.7446808510638</v>
      </c>
      <c r="D6" s="1">
        <f>'Data_Raw++ (2014)'!D8</f>
        <v>3097.6220275344181</v>
      </c>
      <c r="E6" s="1">
        <f>'Data_Raw++ (2014)'!E8</f>
        <v>2976.1466539056169</v>
      </c>
      <c r="F6" s="1">
        <f>'Data_Raw++ (2014)'!F8</f>
        <v>6944.3421924464392</v>
      </c>
      <c r="G6" s="1">
        <f>'Data_Raw++ (2014)'!G8</f>
        <v>1236.6636781069001</v>
      </c>
      <c r="H6" s="1">
        <f>'Data_Raw++ (2014)'!H8</f>
        <v>1454.8984448316471</v>
      </c>
      <c r="I6" s="1">
        <f>'Data_Raw++ (2014)'!I8</f>
        <v>76.573602359560383</v>
      </c>
      <c r="J6" s="1">
        <f>'Data_Raw++ (2014)'!J8</f>
        <v>774.24420163555499</v>
      </c>
      <c r="K6" s="1">
        <f>'Data_Raw++ (2014)'!K8</f>
        <v>1263.2405395106423</v>
      </c>
      <c r="L6" s="1">
        <f>'Data_Raw++ (2014)'!L8</f>
        <v>280.72011989125383</v>
      </c>
      <c r="M6" s="1">
        <f>'Data_Raw++ (2014)'!M8</f>
        <v>329.54101030712405</v>
      </c>
      <c r="N6" s="1">
        <f>'Data_Raw++ (2014)'!N8</f>
        <v>199.09769372722079</v>
      </c>
      <c r="O6" s="1">
        <f>'Data_Raw++ (2014)'!O8</f>
        <v>421.08017983688075</v>
      </c>
      <c r="P6" s="1">
        <f>'Data_Raw++ (2014)'!P8</f>
        <v>404.5672316079835</v>
      </c>
      <c r="Q6" s="1">
        <f>'Data_Raw++ (2014)'!Q8</f>
        <v>373.44667533044628</v>
      </c>
      <c r="R6" s="1">
        <f>'Data_Raw++ (2014)'!R8</f>
        <v>3.7721886397014779</v>
      </c>
      <c r="S6" s="1">
        <f>'Data_Raw++ (2014)'!S8</f>
        <v>43.380169356566995</v>
      </c>
      <c r="T6" s="1">
        <f>'Data_Raw++ (2014)'!T8</f>
        <v>11.679276365229576</v>
      </c>
      <c r="U6" s="1">
        <f>'Data_Raw++ (2014)'!U8</f>
        <v>30.145541417275368</v>
      </c>
      <c r="V6" s="1">
        <f>'Data_Raw++ (2014)'!V8</f>
        <v>4.3065059167536237</v>
      </c>
      <c r="W6" s="1">
        <f>'Data_Raw++ (2014)'!W8</f>
        <v>7.4385102198471689</v>
      </c>
      <c r="X6" s="1">
        <f>'Data_Raw++ (2014)'!X8</f>
        <v>8.502588604872539</v>
      </c>
      <c r="Y6" s="1">
        <f>'Data_Raw++ (2014)'!Y8</f>
        <v>14.477380597485674</v>
      </c>
      <c r="Z6" s="1">
        <f>'Data_Raw++ (2014)'!Z8</f>
        <v>6.2045916846367168</v>
      </c>
      <c r="AA6" s="1">
        <f>'Data_Raw++ (2014)'!AA8</f>
        <v>8.5682456597364176</v>
      </c>
    </row>
    <row r="7" spans="1:27" x14ac:dyDescent="0.2">
      <c r="A7" s="1" t="s">
        <v>32</v>
      </c>
      <c r="B7" s="1">
        <f>'Data_Raw++ (2014)'!B9</f>
        <v>21000</v>
      </c>
      <c r="C7" s="1">
        <f>'Data_Raw++ (2014)'!C9</f>
        <v>6272.727272727273</v>
      </c>
      <c r="D7" s="1">
        <f>'Data_Raw++ (2014)'!D9</f>
        <v>9811.1888111888111</v>
      </c>
      <c r="E7" s="1">
        <f>'Data_Raw++ (2014)'!E9</f>
        <v>13548.784548784548</v>
      </c>
      <c r="F7" s="1">
        <f>'Data_Raw++ (2014)'!F9</f>
        <v>9811.1888111888111</v>
      </c>
      <c r="G7" s="1">
        <f>'Data_Raw++ (2014)'!G9</f>
        <v>8357.6793576793571</v>
      </c>
      <c r="H7" s="1">
        <f>'Data_Raw++ (2014)'!H9</f>
        <v>5122.4486385776709</v>
      </c>
      <c r="I7" s="1">
        <f>'Data_Raw++ (2014)'!I9</f>
        <v>158.42624655394857</v>
      </c>
      <c r="J7" s="1">
        <f>'Data_Raw++ (2014)'!J9</f>
        <v>3802.2299172947655</v>
      </c>
      <c r="K7" s="1">
        <f>'Data_Raw++ (2014)'!K9</f>
        <v>2430.9338815491124</v>
      </c>
      <c r="L7" s="1">
        <f>'Data_Raw++ (2014)'!L9</f>
        <v>1760.3314314665988</v>
      </c>
      <c r="M7" s="1">
        <f>'Data_Raw++ (2014)'!M9</f>
        <v>1691.2988263110458</v>
      </c>
      <c r="N7" s="1">
        <f>'Data_Raw++ (2014)'!N9</f>
        <v>1127.5325508740304</v>
      </c>
      <c r="O7" s="1">
        <f>'Data_Raw++ (2014)'!O9</f>
        <v>1323.6251684173401</v>
      </c>
      <c r="P7" s="1">
        <f>'Data_Raw++ (2014)'!P9</f>
        <v>882.41677894489351</v>
      </c>
      <c r="Q7" s="1">
        <f>'Data_Raw++ (2014)'!Q9</f>
        <v>396.44811807669134</v>
      </c>
      <c r="R7" s="1">
        <f>'Data_Raw++ (2014)'!R9</f>
        <v>111.81869997034883</v>
      </c>
      <c r="S7" s="1">
        <f>'Data_Raw++ (2014)'!S9</f>
        <v>447.27479988139532</v>
      </c>
      <c r="T7" s="1">
        <f>'Data_Raw++ (2014)'!T9</f>
        <v>412.86904604436484</v>
      </c>
      <c r="U7" s="1">
        <f>'Data_Raw++ (2014)'!U9</f>
        <v>232.2388383999552</v>
      </c>
      <c r="V7" s="1">
        <f>'Data_Raw++ (2014)'!V9</f>
        <v>295.57670341812479</v>
      </c>
      <c r="W7" s="1">
        <f>'Data_Raw++ (2014)'!W9</f>
        <v>126.6757300363392</v>
      </c>
      <c r="X7" s="1">
        <f>'Data_Raw++ (2014)'!X9</f>
        <v>235.25492721034425</v>
      </c>
      <c r="Y7" s="1">
        <f>'Data_Raw++ (2014)'!Y9</f>
        <v>276.16882759475197</v>
      </c>
      <c r="Z7" s="1">
        <f>'Data_Raw++ (2014)'!Z9</f>
        <v>82.491987463367479</v>
      </c>
      <c r="AA7" s="1">
        <f>'Data_Raw++ (2014)'!AA9</f>
        <v>104.98980222610408</v>
      </c>
    </row>
    <row r="8" spans="1:27" x14ac:dyDescent="0.2">
      <c r="A8" s="1" t="s">
        <v>37</v>
      </c>
      <c r="B8" s="1">
        <f>'Data_Raw++ (2014)'!B10</f>
        <v>21000</v>
      </c>
      <c r="C8" s="1">
        <f>'Data_Raw++ (2014)'!C10</f>
        <v>24500</v>
      </c>
      <c r="D8" s="1">
        <f>'Data_Raw++ (2014)'!D10</f>
        <v>7000</v>
      </c>
      <c r="E8" s="1">
        <f>'Data_Raw++ (2014)'!E10</f>
        <v>8217.391304347826</v>
      </c>
      <c r="F8" s="1">
        <f>'Data_Raw++ (2014)'!F10</f>
        <v>7287.1205906480718</v>
      </c>
      <c r="G8" s="1">
        <f>'Data_Raw++ (2014)'!G10</f>
        <v>2833.8802296964727</v>
      </c>
      <c r="H8" s="1">
        <f>'Data_Raw++ (2014)'!H10</f>
        <v>3195.6521739130444</v>
      </c>
      <c r="I8" s="1">
        <f>'Data_Raw++ (2014)'!I10</f>
        <v>51.542776998597489</v>
      </c>
      <c r="J8" s="1">
        <f>'Data_Raw++ (2014)'!J10</f>
        <v>1646.245059288538</v>
      </c>
      <c r="K8" s="1">
        <f>'Data_Raw++ (2014)'!K10</f>
        <v>1097.4967061923587</v>
      </c>
      <c r="L8" s="1">
        <f>'Data_Raw++ (2014)'!L10</f>
        <v>617.34189723320173</v>
      </c>
      <c r="M8" s="1">
        <f>'Data_Raw++ (2014)'!M10</f>
        <v>308.67094861660087</v>
      </c>
      <c r="N8" s="1">
        <f>'Data_Raw++ (2014)'!N10</f>
        <v>422.99352217830494</v>
      </c>
      <c r="O8" s="1">
        <f>'Data_Raw++ (2014)'!O10</f>
        <v>794.73899413929428</v>
      </c>
      <c r="P8" s="1">
        <f>'Data_Raw++ (2014)'!P10</f>
        <v>208.14592703648185</v>
      </c>
      <c r="Q8" s="1">
        <f>'Data_Raw++ (2014)'!Q10</f>
        <v>264.91299804643143</v>
      </c>
      <c r="R8" s="1">
        <f>'Data_Raw++ (2014)'!R10</f>
        <v>13.245649902321571</v>
      </c>
      <c r="S8" s="1">
        <f>'Data_Raw++ (2014)'!S10</f>
        <v>122.76456007029749</v>
      </c>
      <c r="T8" s="1">
        <f>'Data_Raw++ (2014)'!T10</f>
        <v>113.53414201989918</v>
      </c>
      <c r="U8" s="1">
        <f>'Data_Raw++ (2014)'!U10</f>
        <v>63.862954886193279</v>
      </c>
      <c r="V8" s="1">
        <f>'Data_Raw++ (2014)'!V10</f>
        <v>23.035912873602733</v>
      </c>
      <c r="W8" s="1">
        <f>'Data_Raw++ (2014)'!W10</f>
        <v>64.500556046087652</v>
      </c>
      <c r="X8" s="1">
        <f>'Data_Raw++ (2014)'!X10</f>
        <v>51.600444836870125</v>
      </c>
      <c r="Y8" s="1">
        <f>'Data_Raw++ (2014)'!Y10</f>
        <v>107.50092674347943</v>
      </c>
      <c r="Z8" s="1">
        <f>'Data_Raw++ (2014)'!Z10</f>
        <v>65.887664778261581</v>
      </c>
      <c r="AA8" s="1">
        <f>'Data_Raw++ (2014)'!AA10</f>
        <v>133.77192545889471</v>
      </c>
    </row>
    <row r="9" spans="1:27" x14ac:dyDescent="0.2">
      <c r="A9" s="1" t="s">
        <v>42</v>
      </c>
      <c r="B9" s="1">
        <f>'Data_Raw++ (2014)'!B11</f>
        <v>15000</v>
      </c>
      <c r="C9" s="1">
        <f>'Data_Raw++ (2014)'!C11</f>
        <v>7058.823529411764</v>
      </c>
      <c r="D9" s="1">
        <f>'Data_Raw++ (2014)'!D11</f>
        <v>10157.819225251074</v>
      </c>
      <c r="E9" s="1">
        <f>'Data_Raw++ (2014)'!E11</f>
        <v>8310.9430024781523</v>
      </c>
      <c r="F9" s="1">
        <f>'Data_Raw++ (2014)'!F11</f>
        <v>3733.901928649605</v>
      </c>
      <c r="G9" s="1">
        <f>'Data_Raw++ (2014)'!G11</f>
        <v>9141.621963245585</v>
      </c>
      <c r="H9" s="1">
        <f>'Data_Raw++ (2014)'!H11</f>
        <v>4922.4118263630062</v>
      </c>
      <c r="I9" s="1">
        <f>'Data_Raw++ (2014)'!I11</f>
        <v>100.45738421148992</v>
      </c>
      <c r="J9" s="1">
        <f>'Data_Raw++ (2014)'!J11</f>
        <v>1573.8323526466754</v>
      </c>
      <c r="K9" s="1">
        <f>'Data_Raw++ (2014)'!K11</f>
        <v>2173.3875346073137</v>
      </c>
      <c r="L9" s="1">
        <f>'Data_Raw++ (2014)'!L11</f>
        <v>887.72166906495909</v>
      </c>
      <c r="M9" s="1">
        <f>'Data_Raw++ (2014)'!M11</f>
        <v>887.72166906495909</v>
      </c>
      <c r="N9" s="1">
        <f>'Data_Raw++ (2014)'!N11</f>
        <v>1331.5825035974383</v>
      </c>
      <c r="O9" s="1">
        <f>'Data_Raw++ (2014)'!O11</f>
        <v>782.04051798579701</v>
      </c>
      <c r="P9" s="1">
        <f>'Data_Raw++ (2014)'!P11</f>
        <v>148.96009866396136</v>
      </c>
      <c r="Q9" s="1">
        <f>'Data_Raw++ (2014)'!Q11</f>
        <v>197.45873543827435</v>
      </c>
      <c r="R9" s="1">
        <f>'Data_Raw++ (2014)'!R11</f>
        <v>62.35539013840242</v>
      </c>
      <c r="S9" s="1">
        <f>'Data_Raw++ (2014)'!S11</f>
        <v>383.0402537073291</v>
      </c>
      <c r="T9" s="1">
        <f>'Data_Raw++ (2014)'!T11</f>
        <v>277.37397682254868</v>
      </c>
      <c r="U9" s="1">
        <f>'Data_Raw++ (2014)'!U11</f>
        <v>69.343494205637171</v>
      </c>
      <c r="V9" s="1">
        <f>'Data_Raw++ (2014)'!V11</f>
        <v>10.361671547968772</v>
      </c>
      <c r="W9" s="1">
        <f>'Data_Raw++ (2014)'!W11</f>
        <v>69.343494205637171</v>
      </c>
      <c r="X9" s="1">
        <f>'Data_Raw++ (2014)'!X11</f>
        <v>88.255356261720053</v>
      </c>
      <c r="Y9" s="1">
        <f>'Data_Raw++ (2014)'!Y11</f>
        <v>163.90280448605154</v>
      </c>
      <c r="Z9" s="1">
        <f>'Data_Raw++ (2014)'!Z11</f>
        <v>33.570453930878031</v>
      </c>
      <c r="AA9" s="1">
        <f>'Data_Raw++ (2014)'!AA11</f>
        <v>86.324024393686358</v>
      </c>
    </row>
    <row r="10" spans="1:27" x14ac:dyDescent="0.2">
      <c r="A10" s="1" t="s">
        <v>43</v>
      </c>
      <c r="B10" s="1">
        <f>'Data_Raw++ (2014)'!B12</f>
        <v>17000</v>
      </c>
      <c r="C10" s="1">
        <f>'Data_Raw++ (2014)'!C12</f>
        <v>3238.0952380952385</v>
      </c>
      <c r="D10" s="1">
        <f>'Data_Raw++ (2014)'!D12</f>
        <v>12181.405895691612</v>
      </c>
      <c r="E10" s="1">
        <f>'Data_Raw++ (2014)'!E12</f>
        <v>7466.0229683271173</v>
      </c>
      <c r="F10" s="1">
        <f>'Data_Raw++ (2014)'!F12</f>
        <v>6620.8128209693296</v>
      </c>
      <c r="G10" s="1">
        <f>'Data_Raw++ (2014)'!G12</f>
        <v>7772.2585289639965</v>
      </c>
      <c r="H10" s="1">
        <f>'Data_Raw++ (2014)'!H12</f>
        <v>6620.8128209693296</v>
      </c>
      <c r="I10" s="1">
        <f>'Data_Raw++ (2014)'!I12</f>
        <v>66.876897181508383</v>
      </c>
      <c r="J10" s="1">
        <f>'Data_Raw++ (2014)'!J12</f>
        <v>3276.9679618939108</v>
      </c>
      <c r="K10" s="1">
        <f>'Data_Raw++ (2014)'!K12</f>
        <v>1338.4798717594847</v>
      </c>
      <c r="L10" s="1">
        <f>'Data_Raw++ (2014)'!L12</f>
        <v>399.80567598010583</v>
      </c>
      <c r="M10" s="1">
        <f>'Data_Raw++ (2014)'!M12</f>
        <v>488.65138175346272</v>
      </c>
      <c r="N10" s="1">
        <f>'Data_Raw++ (2014)'!N12</f>
        <v>992.11038113581822</v>
      </c>
      <c r="O10" s="1">
        <f>'Data_Raw++ (2014)'!O12</f>
        <v>385.8207037750405</v>
      </c>
      <c r="P10" s="1">
        <f>'Data_Raw++ (2014)'!P12</f>
        <v>246.67225323322265</v>
      </c>
      <c r="Q10" s="1">
        <f>'Data_Raw++ (2014)'!Q12</f>
        <v>110.82376594536092</v>
      </c>
      <c r="R10" s="1">
        <f>'Data_Raw++ (2014)'!R12</f>
        <v>3.4275391529493064</v>
      </c>
      <c r="S10" s="1">
        <f>'Data_Raw++ (2014)'!S12</f>
        <v>225.00582782846004</v>
      </c>
      <c r="T10" s="1">
        <f>'Data_Raw++ (2014)'!T12</f>
        <v>137.90679770131422</v>
      </c>
      <c r="U10" s="1">
        <f>'Data_Raw++ (2014)'!U12</f>
        <v>20.181482590436225</v>
      </c>
      <c r="V10" s="1">
        <f>'Data_Raw++ (2014)'!V12</f>
        <v>3.3635804317393707</v>
      </c>
      <c r="W10" s="1">
        <f>'Data_Raw++ (2014)'!W12</f>
        <v>103.79048189367202</v>
      </c>
      <c r="X10" s="1">
        <f>'Data_Raw++ (2014)'!X12</f>
        <v>60.956314762950235</v>
      </c>
      <c r="Y10" s="1">
        <f>'Data_Raw++ (2014)'!Y12</f>
        <v>84.177768005978905</v>
      </c>
      <c r="Z10" s="1">
        <f>'Data_Raw++ (2014)'!Z12</f>
        <v>26.908643453914966</v>
      </c>
      <c r="AA10" s="1">
        <f>'Data_Raw++ (2014)'!AA12</f>
        <v>68.766533271116032</v>
      </c>
    </row>
    <row r="11" spans="1:27" x14ac:dyDescent="0.2">
      <c r="A11" s="1" t="s">
        <v>48</v>
      </c>
      <c r="B11" s="1">
        <f>'Data_Raw++ (2014)'!B13</f>
        <v>22000</v>
      </c>
      <c r="C11" s="1">
        <f>'Data_Raw++ (2014)'!C13</f>
        <v>4829.2682926829275</v>
      </c>
      <c r="D11" s="1">
        <f>'Data_Raw++ (2014)'!D13</f>
        <v>10749.01652242329</v>
      </c>
      <c r="E11" s="1">
        <f>'Data_Raw++ (2014)'!E13</f>
        <v>11644.767899291897</v>
      </c>
      <c r="F11" s="1">
        <f>'Data_Raw++ (2014)'!F13</f>
        <v>8092.1268452706399</v>
      </c>
      <c r="G11" s="1">
        <f>'Data_Raw++ (2014)'!G13</f>
        <v>8092.1268452706399</v>
      </c>
      <c r="H11" s="1">
        <f>'Data_Raw++ (2014)'!H13</f>
        <v>4168.671405139421</v>
      </c>
      <c r="I11" s="1">
        <f>'Data_Raw++ (2014)'!I13</f>
        <v>266.08540883868648</v>
      </c>
      <c r="J11" s="1">
        <f>'Data_Raw++ (2014)'!J13</f>
        <v>2690.4191338133855</v>
      </c>
      <c r="K11" s="1">
        <f>'Data_Raw++ (2014)'!K13</f>
        <v>2483.4638158277407</v>
      </c>
      <c r="L11" s="1">
        <f>'Data_Raw++ (2014)'!L13</f>
        <v>1587.7883412669162</v>
      </c>
      <c r="M11" s="1">
        <f>'Data_Raw++ (2014)'!M13</f>
        <v>1720.1040363724928</v>
      </c>
      <c r="N11" s="1">
        <f>'Data_Raw++ (2014)'!N13</f>
        <v>1297.6223432283718</v>
      </c>
      <c r="O11" s="1">
        <f>'Data_Raw++ (2014)'!O13</f>
        <v>1105.3819960834278</v>
      </c>
      <c r="P11" s="1">
        <f>'Data_Raw++ (2014)'!P13</f>
        <v>368.46066536114262</v>
      </c>
      <c r="Q11" s="1">
        <f>'Data_Raw++ (2014)'!Q13</f>
        <v>266.81634388220675</v>
      </c>
      <c r="R11" s="1">
        <f>'Data_Raw++ (2014)'!R13</f>
        <v>79.698388432347471</v>
      </c>
      <c r="S11" s="1">
        <f>'Data_Raw++ (2014)'!S13</f>
        <v>916.531466971996</v>
      </c>
      <c r="T11" s="1">
        <f>'Data_Raw++ (2014)'!T13</f>
        <v>374.3579231294068</v>
      </c>
      <c r="U11" s="1">
        <f>'Data_Raw++ (2014)'!U13</f>
        <v>210.57633176029131</v>
      </c>
      <c r="V11" s="1">
        <f>'Data_Raw++ (2014)'!V13</f>
        <v>59.393324342646267</v>
      </c>
      <c r="W11" s="1">
        <f>'Data_Raw++ (2014)'!W13</f>
        <v>169.04253851368551</v>
      </c>
      <c r="X11" s="1">
        <f>'Data_Raw++ (2014)'!X13</f>
        <v>108.07637708252024</v>
      </c>
      <c r="Y11" s="1">
        <f>'Data_Raw++ (2014)'!Y13</f>
        <v>117.08274183939695</v>
      </c>
      <c r="Z11" s="1">
        <f>'Data_Raw++ (2014)'!Z13</f>
        <v>57.66761911492685</v>
      </c>
      <c r="AA11" s="1">
        <f>'Data_Raw++ (2014)'!AA13</f>
        <v>49.124268134937687</v>
      </c>
    </row>
    <row r="12" spans="1:27" x14ac:dyDescent="0.2">
      <c r="A12" s="1" t="s">
        <v>44</v>
      </c>
      <c r="B12" s="1">
        <f>'Data_Raw++ (2014)'!B14</f>
        <v>31000</v>
      </c>
      <c r="C12" s="1">
        <f>'Data_Raw++ (2014)'!C14</f>
        <v>1291.6666666666667</v>
      </c>
      <c r="D12" s="1">
        <f>'Data_Raw++ (2014)'!D14</f>
        <v>6781.25</v>
      </c>
      <c r="E12" s="1">
        <f>'Data_Raw++ (2014)'!E14</f>
        <v>7346.3541666666679</v>
      </c>
      <c r="F12" s="1">
        <f>'Data_Raw++ (2014)'!F14</f>
        <v>7646.2053571428587</v>
      </c>
      <c r="G12" s="1">
        <f>'Data_Raw++ (2014)'!G14</f>
        <v>3766.0414445629003</v>
      </c>
      <c r="H12" s="1">
        <f>'Data_Raw++ (2014)'!H14</f>
        <v>9684.1065717331712</v>
      </c>
      <c r="I12" s="1">
        <f>'Data_Raw++ (2014)'!I14</f>
        <v>55.382962420042652</v>
      </c>
      <c r="J12" s="1">
        <f>'Data_Raw++ (2014)'!J14</f>
        <v>1790.7157849147125</v>
      </c>
      <c r="K12" s="1">
        <f>'Data_Raw++ (2014)'!K14</f>
        <v>1525.4245575199402</v>
      </c>
      <c r="L12" s="1">
        <f>'Data_Raw++ (2014)'!L14</f>
        <v>1525.4245575199402</v>
      </c>
      <c r="M12" s="1">
        <f>'Data_Raw++ (2014)'!M14</f>
        <v>975.27143841438794</v>
      </c>
      <c r="N12" s="1">
        <f>'Data_Raw++ (2014)'!N14</f>
        <v>650.18095894292537</v>
      </c>
      <c r="O12" s="1">
        <f>'Data_Raw++ (2014)'!O14</f>
        <v>827.50303865463241</v>
      </c>
      <c r="P12" s="1">
        <f>'Data_Raw++ (2014)'!P14</f>
        <v>599.22633833611314</v>
      </c>
      <c r="Q12" s="1">
        <f>'Data_Raw++ (2014)'!Q14</f>
        <v>470.82069440694602</v>
      </c>
      <c r="R12" s="1">
        <f>'Data_Raw++ (2014)'!R14</f>
        <v>19.617528933622754</v>
      </c>
      <c r="S12" s="1">
        <f>'Data_Raw++ (2014)'!S14</f>
        <v>470.82069440694607</v>
      </c>
      <c r="T12" s="1">
        <f>'Data_Raw++ (2014)'!T14</f>
        <v>231.89675993177943</v>
      </c>
      <c r="U12" s="1">
        <f>'Data_Raw++ (2014)'!U14</f>
        <v>142.13027221625191</v>
      </c>
      <c r="V12" s="1">
        <f>'Data_Raw++ (2014)'!V14</f>
        <v>9.0721450350799095</v>
      </c>
      <c r="W12" s="1">
        <f>'Data_Raw++ (2014)'!W14</f>
        <v>44.293413994801902</v>
      </c>
      <c r="X12" s="1">
        <f>'Data_Raw++ (2014)'!X14</f>
        <v>108.4424963321012</v>
      </c>
      <c r="Y12" s="1">
        <f>'Data_Raw++ (2014)'!Y14</f>
        <v>138.01772260449246</v>
      </c>
      <c r="Z12" s="1">
        <f>'Data_Raw++ (2014)'!Z14</f>
        <v>108.44249633210121</v>
      </c>
      <c r="AA12" s="1">
        <f>'Data_Raw++ (2014)'!AA14</f>
        <v>92.376941319938069</v>
      </c>
    </row>
    <row r="13" spans="1:27" x14ac:dyDescent="0.2">
      <c r="A13" s="1" t="s">
        <v>55</v>
      </c>
      <c r="B13" s="1">
        <f>'Data_Raw++ (2014)'!B15</f>
        <v>15000</v>
      </c>
      <c r="C13" s="1">
        <f>'Data_Raw++ (2014)'!C15</f>
        <v>4736.8421052631575</v>
      </c>
      <c r="D13" s="1">
        <f>'Data_Raw++ (2014)'!D15</f>
        <v>7408.9068825910917</v>
      </c>
      <c r="E13" s="1">
        <f>'Data_Raw++ (2014)'!E15</f>
        <v>7711.3112451458301</v>
      </c>
      <c r="F13" s="1">
        <f>'Data_Raw++ (2014)'!F15</f>
        <v>5817.3049744082582</v>
      </c>
      <c r="G13" s="1">
        <f>'Data_Raw++ (2014)'!G15</f>
        <v>5369.8199763768534</v>
      </c>
      <c r="H13" s="1">
        <f>'Data_Raw++ (2014)'!H15</f>
        <v>3020.5237367119803</v>
      </c>
      <c r="I13" s="1">
        <f>'Data_Raw++ (2014)'!I15</f>
        <v>93.418259898308676</v>
      </c>
      <c r="J13" s="1">
        <f>'Data_Raw++ (2014)'!J15</f>
        <v>2242.0382375594081</v>
      </c>
      <c r="K13" s="1">
        <f>'Data_Raw++ (2014)'!K15</f>
        <v>1909.8844245876437</v>
      </c>
      <c r="L13" s="1">
        <f>'Data_Raw++ (2014)'!L15</f>
        <v>983.87985509060434</v>
      </c>
      <c r="M13" s="1">
        <f>'Data_Raw++ (2014)'!M15</f>
        <v>529.78146043340223</v>
      </c>
      <c r="N13" s="1">
        <f>'Data_Raw++ (2014)'!N15</f>
        <v>1075.6169045163015</v>
      </c>
      <c r="O13" s="1">
        <f>'Data_Raw++ (2014)'!O15</f>
        <v>747.4625946638705</v>
      </c>
      <c r="P13" s="1">
        <f>'Data_Raw++ (2014)'!P15</f>
        <v>249.15419822129016</v>
      </c>
      <c r="Q13" s="1">
        <f>'Data_Raw++ (2014)'!Q15</f>
        <v>111.93884267913036</v>
      </c>
      <c r="R13" s="1">
        <f>'Data_Raw++ (2014)'!R15</f>
        <v>29.755894889389079</v>
      </c>
      <c r="S13" s="1">
        <f>'Data_Raw++ (2014)'!S15</f>
        <v>168.61673770653812</v>
      </c>
      <c r="T13" s="1">
        <f>'Data_Raw++ (2014)'!T15</f>
        <v>190.14227869035153</v>
      </c>
      <c r="U13" s="1">
        <f>'Data_Raw++ (2014)'!U15</f>
        <v>116.53881597150577</v>
      </c>
      <c r="V13" s="1">
        <f>'Data_Raw++ (2014)'!V15</f>
        <v>60.035147621684786</v>
      </c>
      <c r="W13" s="1">
        <f>'Data_Raw++ (2014)'!W15</f>
        <v>76.408369700326105</v>
      </c>
      <c r="X13" s="1">
        <f>'Data_Raw++ (2014)'!X15</f>
        <v>93.38800741150969</v>
      </c>
      <c r="Y13" s="1">
        <f>'Data_Raw++ (2014)'!Y15</f>
        <v>93.38800741150969</v>
      </c>
      <c r="Z13" s="1">
        <f>'Data_Raw++ (2014)'!Z15</f>
        <v>43.947297605416324</v>
      </c>
      <c r="AA13" s="1">
        <f>'Data_Raw++ (2014)'!AA15</f>
        <v>89.226331501905875</v>
      </c>
    </row>
    <row r="14" spans="1:27" x14ac:dyDescent="0.2">
      <c r="A14" s="1" t="s">
        <v>60</v>
      </c>
      <c r="B14" s="1">
        <f>'Data_Raw++ (2014)'!B16</f>
        <v>17000</v>
      </c>
      <c r="C14" s="1">
        <f>'Data_Raw++ (2014)'!C16</f>
        <v>3731.7073170731705</v>
      </c>
      <c r="D14" s="1">
        <f>'Data_Raw++ (2014)'!D16</f>
        <v>6353.9881344759388</v>
      </c>
      <c r="E14" s="1">
        <f>'Data_Raw++ (2014)'!E16</f>
        <v>5634.6687230258312</v>
      </c>
      <c r="F14" s="1">
        <f>'Data_Raw++ (2014)'!F16</f>
        <v>5864.6552015166826</v>
      </c>
      <c r="G14" s="1">
        <f>'Data_Raw++ (2014)'!G16</f>
        <v>5200.7319711563023</v>
      </c>
      <c r="H14" s="1">
        <f>'Data_Raw++ (2014)'!H16</f>
        <v>3923.3592063108954</v>
      </c>
      <c r="I14" s="1">
        <f>'Data_Raw++ (2014)'!I16</f>
        <v>80.068555230834605</v>
      </c>
      <c r="J14" s="1">
        <f>'Data_Raw++ (2014)'!J16</f>
        <v>2588.8832857969855</v>
      </c>
      <c r="K14" s="1">
        <f>'Data_Raw++ (2014)'!K16</f>
        <v>2588.8832857969855</v>
      </c>
      <c r="L14" s="1">
        <f>'Data_Raw++ (2014)'!L16</f>
        <v>817.5420902516795</v>
      </c>
      <c r="M14" s="1">
        <f>'Data_Raw++ (2014)'!M16</f>
        <v>592.01323776845766</v>
      </c>
      <c r="N14" s="1">
        <f>'Data_Raw++ (2014)'!N16</f>
        <v>1052.4679782550359</v>
      </c>
      <c r="O14" s="1">
        <f>'Data_Raw++ (2014)'!O16</f>
        <v>826.93912577181379</v>
      </c>
      <c r="P14" s="1">
        <f>'Data_Raw++ (2014)'!P16</f>
        <v>275.64637525727125</v>
      </c>
      <c r="Q14" s="1">
        <f>'Data_Raw++ (2014)'!Q16</f>
        <v>91.882125085757082</v>
      </c>
      <c r="R14" s="1">
        <f>'Data_Raw++ (2014)'!R16</f>
        <v>17.501357159191826</v>
      </c>
      <c r="S14" s="1">
        <f>'Data_Raw++ (2014)'!S16</f>
        <v>157.51221443272644</v>
      </c>
      <c r="T14" s="1">
        <f>'Data_Raw++ (2014)'!T16</f>
        <v>163.94128440957243</v>
      </c>
      <c r="U14" s="1">
        <f>'Data_Raw++ (2014)'!U16</f>
        <v>70.26055046124533</v>
      </c>
      <c r="V14" s="1">
        <f>'Data_Raw++ (2014)'!V16</f>
        <v>53.003573154974553</v>
      </c>
      <c r="W14" s="1">
        <f>'Data_Raw++ (2014)'!W16</f>
        <v>48.926375219976514</v>
      </c>
      <c r="X14" s="1">
        <f>'Data_Raw++ (2014)'!X16</f>
        <v>48.926375219976514</v>
      </c>
      <c r="Y14" s="1">
        <f>'Data_Raw++ (2014)'!Y16</f>
        <v>67.564994351396138</v>
      </c>
      <c r="Z14" s="1">
        <f>'Data_Raw++ (2014)'!Z16</f>
        <v>22.521664783798713</v>
      </c>
      <c r="AA14" s="1">
        <f>'Data_Raw++ (2014)'!AA16</f>
        <v>55.139248263783053</v>
      </c>
    </row>
    <row r="15" spans="1:27" x14ac:dyDescent="0.2">
      <c r="A15" s="1" t="s">
        <v>61</v>
      </c>
      <c r="B15" s="1">
        <f>'Data_Raw++ (2014)'!B17</f>
        <v>17000</v>
      </c>
      <c r="C15" s="1">
        <f>'Data_Raw++ (2014)'!C17</f>
        <v>1888.8888888888887</v>
      </c>
      <c r="D15" s="1">
        <f>'Data_Raw++ (2014)'!D17</f>
        <v>5981.4814814814808</v>
      </c>
      <c r="E15" s="1">
        <f>'Data_Raw++ (2014)'!E17</f>
        <v>4512.3456790123455</v>
      </c>
      <c r="F15" s="1">
        <f>'Data_Raw++ (2014)'!F17</f>
        <v>4165.2421652421654</v>
      </c>
      <c r="G15" s="1">
        <f>'Data_Raw++ (2014)'!G17</f>
        <v>3272.6902726902722</v>
      </c>
      <c r="H15" s="1">
        <f>'Data_Raw++ (2014)'!H17</f>
        <v>2787.8472693287504</v>
      </c>
      <c r="I15" s="1">
        <f>'Data_Raw++ (2014)'!I17</f>
        <v>86.222080494703619</v>
      </c>
      <c r="J15" s="1">
        <f>'Data_Raw++ (2014)'!J17</f>
        <v>775.99872445233257</v>
      </c>
      <c r="K15" s="1">
        <f>'Data_Raw++ (2014)'!K17</f>
        <v>634.90804727918112</v>
      </c>
      <c r="L15" s="1">
        <f>'Data_Raw++ (2014)'!L17</f>
        <v>200.49727808816246</v>
      </c>
      <c r="M15" s="1">
        <f>'Data_Raw++ (2014)'!M17</f>
        <v>389.20059864172714</v>
      </c>
      <c r="N15" s="1">
        <f>'Data_Raw++ (2014)'!N17</f>
        <v>305.80047036135704</v>
      </c>
      <c r="O15" s="1">
        <f>'Data_Raw++ (2014)'!O17</f>
        <v>271.1815491883732</v>
      </c>
      <c r="P15" s="1">
        <f>'Data_Raw++ (2014)'!P17</f>
        <v>103.04898869158181</v>
      </c>
      <c r="Q15" s="1">
        <f>'Data_Raw++ (2014)'!Q17</f>
        <v>81.002280926397191</v>
      </c>
      <c r="R15" s="1">
        <f>'Data_Raw++ (2014)'!R17</f>
        <v>9.0002534362663535</v>
      </c>
      <c r="S15" s="1">
        <f>'Data_Raw++ (2014)'!S17</f>
        <v>119.57479565325298</v>
      </c>
      <c r="T15" s="1">
        <f>'Data_Raw++ (2014)'!T17</f>
        <v>93.951625156127321</v>
      </c>
      <c r="U15" s="1">
        <f>'Data_Raw++ (2014)'!U17</f>
        <v>28.048408856935882</v>
      </c>
      <c r="V15" s="1">
        <f>'Data_Raw++ (2014)'!V17</f>
        <v>5.1941497883214591</v>
      </c>
      <c r="W15" s="1">
        <f>'Data_Raw++ (2014)'!W17</f>
        <v>25.970748941607297</v>
      </c>
      <c r="X15" s="1">
        <f>'Data_Raw++ (2014)'!X17</f>
        <v>46.170220340635197</v>
      </c>
      <c r="Y15" s="1">
        <f>'Data_Raw++ (2014)'!Y17</f>
        <v>29.518665463684798</v>
      </c>
      <c r="Z15" s="1">
        <f>'Data_Raw++ (2014)'!Z17</f>
        <v>11.479481013655201</v>
      </c>
      <c r="AA15" s="1">
        <f>'Data_Raw++ (2014)'!AA17</f>
        <v>26.7854556985288</v>
      </c>
    </row>
    <row r="16" spans="1:27" x14ac:dyDescent="0.2">
      <c r="A16" s="1" t="s">
        <v>57</v>
      </c>
      <c r="B16" s="1">
        <f>'Data_Raw++ (2014)'!B18</f>
        <v>14000</v>
      </c>
      <c r="C16" s="1">
        <f>'Data_Raw++ (2014)'!C18</f>
        <v>1050</v>
      </c>
      <c r="D16" s="1">
        <f>'Data_Raw++ (2014)'!D18</f>
        <v>2666.666666666667</v>
      </c>
      <c r="E16" s="1">
        <f>'Data_Raw++ (2014)'!E18</f>
        <v>5935.4838709677424</v>
      </c>
      <c r="F16" s="1">
        <f>'Data_Raw++ (2014)'!F18</f>
        <v>6177.7485187623442</v>
      </c>
      <c r="G16" s="1">
        <f>'Data_Raw++ (2014)'!G18</f>
        <v>1544.4371296905861</v>
      </c>
      <c r="H16" s="1">
        <f>'Data_Raw++ (2014)'!H18</f>
        <v>3135.6753845233111</v>
      </c>
      <c r="I16" s="1">
        <f>'Data_Raw++ (2014)'!I18</f>
        <v>42.901031380294057</v>
      </c>
      <c r="J16" s="1">
        <f>'Data_Raw++ (2014)'!J18</f>
        <v>936.63030966280724</v>
      </c>
      <c r="K16" s="1">
        <f>'Data_Raw++ (2014)'!K18</f>
        <v>1293.4418562010194</v>
      </c>
      <c r="L16" s="1">
        <f>'Data_Raw++ (2014)'!L18</f>
        <v>608.67852056518552</v>
      </c>
      <c r="M16" s="1">
        <f>'Data_Raw++ (2014)'!M18</f>
        <v>206.72100698440263</v>
      </c>
      <c r="N16" s="1">
        <f>'Data_Raw++ (2014)'!N18</f>
        <v>213.61170721721604</v>
      </c>
      <c r="O16" s="1">
        <f>'Data_Raw++ (2014)'!O18</f>
        <v>637.06837693483044</v>
      </c>
      <c r="P16" s="1">
        <f>'Data_Raw++ (2014)'!P18</f>
        <v>223.83483513926475</v>
      </c>
      <c r="Q16" s="1">
        <f>'Data_Raw++ (2014)'!Q18</f>
        <v>137.18909250471066</v>
      </c>
      <c r="R16" s="1">
        <f>'Data_Raw++ (2014)'!R18</f>
        <v>10.975127400376852</v>
      </c>
      <c r="S16" s="1">
        <f>'Data_Raw++ (2014)'!S18</f>
        <v>41.75320206665107</v>
      </c>
      <c r="T16" s="1">
        <f>'Data_Raw++ (2014)'!T18</f>
        <v>68.892783409974271</v>
      </c>
      <c r="U16" s="1">
        <f>'Data_Raw++ (2014)'!U18</f>
        <v>68.892783409974271</v>
      </c>
      <c r="V16" s="1">
        <f>'Data_Raw++ (2014)'!V18</f>
        <v>29.525478604274689</v>
      </c>
      <c r="W16" s="1">
        <f>'Data_Raw++ (2014)'!W18</f>
        <v>167.31104542422324</v>
      </c>
      <c r="X16" s="1">
        <f>'Data_Raw++ (2014)'!X18</f>
        <v>0</v>
      </c>
      <c r="Y16" s="1">
        <f>'Data_Raw++ (2014)'!Y18</f>
        <v>49.209131007124476</v>
      </c>
      <c r="Z16" s="1">
        <f>'Data_Raw++ (2014)'!Z18</f>
        <v>21.089627574481923</v>
      </c>
      <c r="AA16" s="1">
        <f>'Data_Raw++ (2014)'!AA18</f>
        <v>0</v>
      </c>
    </row>
    <row r="17" spans="1:27" x14ac:dyDescent="0.2">
      <c r="A17" s="1" t="s">
        <v>71</v>
      </c>
      <c r="B17" s="1">
        <f>'Data_Raw++ (2014)'!B19</f>
        <v>20000</v>
      </c>
      <c r="C17" s="1">
        <f>'Data_Raw++ (2014)'!C19</f>
        <v>4096.3855421686749</v>
      </c>
      <c r="D17" s="1">
        <f>'Data_Raw++ (2014)'!D19</f>
        <v>5894.7987070232148</v>
      </c>
      <c r="E17" s="1">
        <f>'Data_Raw++ (2014)'!E19</f>
        <v>6135.4027358813046</v>
      </c>
      <c r="F17" s="1">
        <f>'Data_Raw++ (2014)'!F19</f>
        <v>5663.4486792750495</v>
      </c>
      <c r="G17" s="1">
        <f>'Data_Raw++ (2014)'!G19</f>
        <v>3935.6168788182549</v>
      </c>
      <c r="H17" s="1">
        <f>'Data_Raw++ (2014)'!H19</f>
        <v>1686.6929480649665</v>
      </c>
      <c r="I17" s="1">
        <f>'Data_Raw++ (2014)'!I19</f>
        <v>88.773313056050881</v>
      </c>
      <c r="J17" s="1">
        <f>'Data_Raw++ (2014)'!J19</f>
        <v>2870.337122145645</v>
      </c>
      <c r="K17" s="1">
        <f>'Data_Raw++ (2014)'!K19</f>
        <v>1759.2388813150726</v>
      </c>
      <c r="L17" s="1">
        <f>'Data_Raw++ (2014)'!L19</f>
        <v>1078.2431853221412</v>
      </c>
      <c r="M17" s="1">
        <f>'Data_Raw++ (2014)'!M19</f>
        <v>1078.2431853221412</v>
      </c>
      <c r="N17" s="1">
        <f>'Data_Raw++ (2014)'!N19</f>
        <v>956.17791905925719</v>
      </c>
      <c r="O17" s="1">
        <f>'Data_Raw++ (2014)'!O19</f>
        <v>814.52193105047832</v>
      </c>
      <c r="P17" s="1">
        <f>'Data_Raw++ (2014)'!P19</f>
        <v>383.30443814140153</v>
      </c>
      <c r="Q17" s="1">
        <f>'Data_Raw++ (2014)'!Q19</f>
        <v>206.39469746075466</v>
      </c>
      <c r="R17" s="1">
        <f>'Data_Raw++ (2014)'!R19</f>
        <v>33.599136795936808</v>
      </c>
      <c r="S17" s="1">
        <f>'Data_Raw++ (2014)'!S19</f>
        <v>246.39366983686992</v>
      </c>
      <c r="T17" s="1">
        <f>'Data_Raw++ (2014)'!T19</f>
        <v>227.44031061864914</v>
      </c>
      <c r="U17" s="1">
        <f>'Data_Raw++ (2014)'!U19</f>
        <v>122.46785956388798</v>
      </c>
      <c r="V17" s="1">
        <f>'Data_Raw++ (2014)'!V19</f>
        <v>47.626389830400889</v>
      </c>
      <c r="W17" s="1">
        <f>'Data_Raw++ (2014)'!W19</f>
        <v>63.132656286810473</v>
      </c>
      <c r="X17" s="1">
        <f>'Data_Raw++ (2014)'!X19</f>
        <v>122.55162690969092</v>
      </c>
      <c r="Y17" s="1">
        <f>'Data_Raw++ (2014)'!Y19</f>
        <v>100.26951292611075</v>
      </c>
      <c r="Z17" s="1">
        <f>'Data_Raw++ (2014)'!Z19</f>
        <v>42.972648396904603</v>
      </c>
      <c r="AA17" s="1">
        <f>'Data_Raw++ (2014)'!AA19</f>
        <v>76.395819372274858</v>
      </c>
    </row>
    <row r="18" spans="1:27" x14ac:dyDescent="0.2">
      <c r="A18" s="1" t="s">
        <v>79</v>
      </c>
      <c r="B18" s="1">
        <f>'Data_Raw++ (2014)'!B20</f>
        <v>12000</v>
      </c>
      <c r="C18" s="1">
        <f>'Data_Raw++ (2014)'!C20</f>
        <v>4216.2162162162167</v>
      </c>
      <c r="D18" s="1">
        <f>'Data_Raw++ (2014)'!D20</f>
        <v>7495.4954954954974</v>
      </c>
      <c r="E18" s="1">
        <f>'Data_Raw++ (2014)'!E20</f>
        <v>5889.3178893178901</v>
      </c>
      <c r="F18" s="1">
        <f>'Data_Raw++ (2014)'!F20</f>
        <v>4264.6784715750246</v>
      </c>
      <c r="G18" s="1">
        <f>'Data_Raw++ (2014)'!G20</f>
        <v>4097.4361785720821</v>
      </c>
      <c r="H18" s="1">
        <f>'Data_Raw++ (2014)'!H20</f>
        <v>2967.1089568970251</v>
      </c>
      <c r="I18" s="1">
        <f>'Data_Raw++ (2014)'!I20</f>
        <v>223.33078170192661</v>
      </c>
      <c r="J18" s="1">
        <f>'Data_Raw++ (2014)'!J20</f>
        <v>2009.9770353173396</v>
      </c>
      <c r="K18" s="1">
        <f>'Data_Raw++ (2014)'!K20</f>
        <v>1082.2953267093365</v>
      </c>
      <c r="L18" s="1">
        <f>'Data_Raw++ (2014)'!L20</f>
        <v>533.07083255832993</v>
      </c>
      <c r="M18" s="1">
        <f>'Data_Raw++ (2014)'!M20</f>
        <v>799.60624883749472</v>
      </c>
      <c r="N18" s="1">
        <f>'Data_Raw++ (2014)'!N20</f>
        <v>901.68364230611121</v>
      </c>
      <c r="O18" s="1">
        <f>'Data_Raw++ (2014)'!O20</f>
        <v>626.59371753475523</v>
      </c>
      <c r="P18" s="1">
        <f>'Data_Raw++ (2014)'!P20</f>
        <v>166.56288693961847</v>
      </c>
      <c r="Q18" s="1">
        <f>'Data_Raw++ (2014)'!Q20</f>
        <v>85.805123574954976</v>
      </c>
      <c r="R18" s="1">
        <f>'Data_Raw++ (2014)'!R20</f>
        <v>17.574543382822107</v>
      </c>
      <c r="S18" s="1">
        <f>'Data_Raw++ (2014)'!S20</f>
        <v>158.17089044539895</v>
      </c>
      <c r="T18" s="1">
        <f>'Data_Raw++ (2014)'!T20</f>
        <v>146.00389887267593</v>
      </c>
      <c r="U18" s="1">
        <f>'Data_Raw++ (2014)'!U20</f>
        <v>75.214129722287609</v>
      </c>
      <c r="V18" s="1">
        <f>'Data_Raw++ (2014)'!V20</f>
        <v>16.510418719526548</v>
      </c>
      <c r="W18" s="1">
        <f>'Data_Raw++ (2014)'!W20</f>
        <v>44.639280241682883</v>
      </c>
      <c r="X18" s="1">
        <f>'Data_Raw++ (2014)'!X20</f>
        <v>59.172999390137768</v>
      </c>
      <c r="Y18" s="1">
        <f>'Data_Raw++ (2014)'!Y20</f>
        <v>41.120219915180485</v>
      </c>
      <c r="Z18" s="1">
        <f>'Data_Raw++ (2014)'!Z20</f>
        <v>18.474301701023119</v>
      </c>
      <c r="AA18" s="1">
        <f>'Data_Raw++ (2014)'!AA20</f>
        <v>41.120219915180485</v>
      </c>
    </row>
    <row r="19" spans="1:27" x14ac:dyDescent="0.2">
      <c r="A19" s="1" t="s">
        <v>94</v>
      </c>
      <c r="B19" s="1">
        <f>'Data_Raw++ (2014)'!B21</f>
        <v>11000</v>
      </c>
      <c r="C19" s="1">
        <f>'Data_Raw++ (2014)'!C21</f>
        <v>2095.2380952380954</v>
      </c>
      <c r="D19" s="1">
        <f>'Data_Raw++ (2014)'!D21</f>
        <v>6634.9206349206361</v>
      </c>
      <c r="E19" s="1">
        <f>'Data_Raw++ (2014)'!E21</f>
        <v>6634.9206349206361</v>
      </c>
      <c r="F19" s="1">
        <f>'Data_Raw++ (2014)'!F21</f>
        <v>5651.9694297472079</v>
      </c>
      <c r="G19" s="1">
        <f>'Data_Raw++ (2014)'!G21</f>
        <v>5651.9694297472079</v>
      </c>
      <c r="H19" s="1">
        <f>'Data_Raw++ (2014)'!H21</f>
        <v>2783.805838532207</v>
      </c>
      <c r="I19" s="1">
        <f>'Data_Raw++ (2014)'!I21</f>
        <v>28.11925089426472</v>
      </c>
      <c r="J19" s="1">
        <f>'Data_Raw++ (2014)'!J21</f>
        <v>3267.9459843638951</v>
      </c>
      <c r="K19" s="1">
        <f>'Data_Raw++ (2014)'!K21</f>
        <v>2366.4436438497173</v>
      </c>
      <c r="L19" s="1">
        <f>'Data_Raw++ (2014)'!L21</f>
        <v>1113.6205382822197</v>
      </c>
      <c r="M19" s="1">
        <f>'Data_Raw++ (2014)'!M21</f>
        <v>806.41487254919355</v>
      </c>
      <c r="N19" s="1">
        <f>'Data_Raw++ (2014)'!N21</f>
        <v>1565.3935761249052</v>
      </c>
      <c r="O19" s="1">
        <f>'Data_Raw++ (2014)'!O21</f>
        <v>842.90423329802582</v>
      </c>
      <c r="P19" s="1">
        <f>'Data_Raw++ (2014)'!P21</f>
        <v>585.74700957998402</v>
      </c>
      <c r="Q19" s="1">
        <f>'Data_Raw++ (2014)'!Q21</f>
        <v>119.97227907059914</v>
      </c>
      <c r="R19" s="1">
        <f>'Data_Raw++ (2014)'!R21</f>
        <v>61.803901339399559</v>
      </c>
      <c r="S19" s="1">
        <f>'Data_Raw++ (2014)'!S21</f>
        <v>158.92431772988456</v>
      </c>
      <c r="T19" s="1">
        <f>'Data_Raw++ (2014)'!T21</f>
        <v>146.6993702122011</v>
      </c>
      <c r="U19" s="1">
        <f>'Data_Raw++ (2014)'!U21</f>
        <v>78.991968575800584</v>
      </c>
      <c r="V19" s="1">
        <f>'Data_Raw++ (2014)'!V21</f>
        <v>38.906491985095805</v>
      </c>
      <c r="W19" s="1">
        <f>'Data_Raw++ (2014)'!W21</f>
        <v>146.36251746774136</v>
      </c>
      <c r="X19" s="1">
        <f>'Data_Raw++ (2014)'!X21</f>
        <v>29.977865023513292</v>
      </c>
      <c r="Y19" s="1">
        <f>'Data_Raw++ (2014)'!Y21</f>
        <v>41.398004080089784</v>
      </c>
      <c r="Z19" s="1">
        <f>'Data_Raw++ (2014)'!Z21</f>
        <v>31.230073253401066</v>
      </c>
      <c r="AA19" s="1">
        <f>'Data_Raw++ (2014)'!AA21</f>
        <v>69.512098531763655</v>
      </c>
    </row>
    <row r="20" spans="1:27" x14ac:dyDescent="0.2">
      <c r="A20" s="1" t="s">
        <v>78</v>
      </c>
      <c r="B20" s="1">
        <f>'Data_Raw++ (2014)'!B22</f>
        <v>17000</v>
      </c>
      <c r="C20" s="1">
        <f>'Data_Raw++ (2014)'!C22</f>
        <v>4518.987341772151</v>
      </c>
      <c r="D20" s="1">
        <f>'Data_Raw++ (2014)'!D22</f>
        <v>9602.8481012658212</v>
      </c>
      <c r="E20" s="1">
        <f>'Data_Raw++ (2014)'!E22</f>
        <v>8515.7332218772372</v>
      </c>
      <c r="F20" s="1">
        <f>'Data_Raw++ (2014)'!F22</f>
        <v>8863.3141697089613</v>
      </c>
      <c r="G20" s="1">
        <f>'Data_Raw++ (2014)'!G22</f>
        <v>7251.8025024891494</v>
      </c>
      <c r="H20" s="1">
        <f>'Data_Raw++ (2014)'!H22</f>
        <v>4834.5350016594339</v>
      </c>
      <c r="I20" s="1">
        <f>'Data_Raw++ (2014)'!I22</f>
        <v>201.43895840247643</v>
      </c>
      <c r="J20" s="1">
        <f>'Data_Raw++ (2014)'!J22</f>
        <v>2316.5480216284791</v>
      </c>
      <c r="K20" s="1">
        <f>'Data_Raw++ (2014)'!K22</f>
        <v>1895.3574722414828</v>
      </c>
      <c r="L20" s="1">
        <f>'Data_Raw++ (2014)'!L22</f>
        <v>388.20574732656883</v>
      </c>
      <c r="M20" s="1">
        <f>'Data_Raw++ (2014)'!M22</f>
        <v>1768.4928489321469</v>
      </c>
      <c r="N20" s="1">
        <f>'Data_Raw++ (2014)'!N22</f>
        <v>1506.4939083496067</v>
      </c>
      <c r="O20" s="1">
        <f>'Data_Raw++ (2014)'!O22</f>
        <v>1046.8855973276927</v>
      </c>
      <c r="P20" s="1">
        <f>'Data_Raw++ (2014)'!P22</f>
        <v>214.4223512598889</v>
      </c>
      <c r="Q20" s="1">
        <f>'Data_Raw++ (2014)'!Q22</f>
        <v>349.84699416087136</v>
      </c>
      <c r="R20" s="1">
        <f>'Data_Raw++ (2014)'!R22</f>
        <v>18.412999692677442</v>
      </c>
      <c r="S20" s="1">
        <f>'Data_Raw++ (2014)'!S22</f>
        <v>288.47032851861326</v>
      </c>
      <c r="T20" s="1">
        <f>'Data_Raw++ (2014)'!T22</f>
        <v>200.46243168242617</v>
      </c>
      <c r="U20" s="1">
        <f>'Data_Raw++ (2014)'!U22</f>
        <v>53.287481839632264</v>
      </c>
      <c r="V20" s="1">
        <f>'Data_Raw++ (2014)'!V22</f>
        <v>11.697252111138789</v>
      </c>
      <c r="W20" s="1">
        <f>'Data_Raw++ (2014)'!W22</f>
        <v>57.0241040418016</v>
      </c>
      <c r="X20" s="1">
        <f>'Data_Raw++ (2014)'!X22</f>
        <v>54.787864667613299</v>
      </c>
      <c r="Y20" s="1">
        <f>'Data_Raw++ (2014)'!Y22</f>
        <v>85.693839608318228</v>
      </c>
      <c r="Z20" s="1">
        <f>'Data_Raw++ (2014)'!Z22</f>
        <v>30.108646348868572</v>
      </c>
      <c r="AA20" s="1">
        <f>'Data_Raw++ (2014)'!AA22</f>
        <v>53.526482397988573</v>
      </c>
    </row>
    <row r="21" spans="1:27" x14ac:dyDescent="0.2">
      <c r="A21" s="1" t="s">
        <v>81</v>
      </c>
      <c r="B21" s="1">
        <f>'Data_Raw++ (2014)'!B23</f>
        <v>15000</v>
      </c>
      <c r="C21" s="1">
        <f>'Data_Raw++ (2014)'!C23</f>
        <v>3292.6829268292681</v>
      </c>
      <c r="D21" s="1">
        <f>'Data_Raw++ (2014)'!D23</f>
        <v>6114.9825783972128</v>
      </c>
      <c r="E21" s="1">
        <f>'Data_Raw++ (2014)'!E23</f>
        <v>5644.5993031358876</v>
      </c>
      <c r="F21" s="1">
        <f>'Data_Raw++ (2014)'!F23</f>
        <v>4808.3623693379777</v>
      </c>
      <c r="G21" s="1">
        <f>'Data_Raw++ (2014)'!G23</f>
        <v>4619.7991391678606</v>
      </c>
      <c r="H21" s="1">
        <f>'Data_Raw++ (2014)'!H23</f>
        <v>3079.8660927785741</v>
      </c>
      <c r="I21" s="1">
        <f>'Data_Raw++ (2014)'!I23</f>
        <v>62.854410056705596</v>
      </c>
      <c r="J21" s="1">
        <f>'Data_Raw++ (2014)'!J23</f>
        <v>2032.2925918334809</v>
      </c>
      <c r="K21" s="1">
        <f>'Data_Raw++ (2014)'!K23</f>
        <v>1875.9623924616744</v>
      </c>
      <c r="L21" s="1">
        <f>'Data_Raw++ (2014)'!L23</f>
        <v>625.32079748722481</v>
      </c>
      <c r="M21" s="1">
        <f>'Data_Raw++ (2014)'!M23</f>
        <v>511.62610703500206</v>
      </c>
      <c r="N21" s="1">
        <f>'Data_Raw++ (2014)'!N23</f>
        <v>834.75838516237184</v>
      </c>
      <c r="O21" s="1">
        <f>'Data_Raw++ (2014)'!O23</f>
        <v>629.73000985933322</v>
      </c>
      <c r="P21" s="1">
        <f>'Data_Raw++ (2014)'!P23</f>
        <v>188.10117177616448</v>
      </c>
      <c r="Q21" s="1">
        <f>'Data_Raw++ (2014)'!Q23</f>
        <v>76.830056077588296</v>
      </c>
      <c r="R21" s="1">
        <f>'Data_Raw++ (2014)'!R23</f>
        <v>14.634296395731106</v>
      </c>
      <c r="S21" s="1">
        <f>'Data_Raw++ (2014)'!S23</f>
        <v>147.96899689017008</v>
      </c>
      <c r="T21" s="1">
        <f>'Data_Raw++ (2014)'!T23</f>
        <v>160.2997466310176</v>
      </c>
      <c r="U21" s="1">
        <f>'Data_Raw++ (2014)'!U23</f>
        <v>68.699891413293258</v>
      </c>
      <c r="V21" s="1">
        <f>'Data_Raw++ (2014)'!V23</f>
        <v>47.740602507542768</v>
      </c>
      <c r="W21" s="1">
        <f>'Data_Raw++ (2014)'!W23</f>
        <v>49.689198528258807</v>
      </c>
      <c r="X21" s="1">
        <f>'Data_Raw++ (2014)'!X23</f>
        <v>56.032500468036538</v>
      </c>
      <c r="Y21" s="1">
        <f>'Data_Raw++ (2014)'!Y23</f>
        <v>68.484167238711322</v>
      </c>
      <c r="Z21" s="1">
        <f>'Data_Raw++ (2014)'!Z23</f>
        <v>26.632731703943296</v>
      </c>
      <c r="AA21" s="1">
        <f>'Data_Raw++ (2014)'!AA23</f>
        <v>65.204274171723242</v>
      </c>
    </row>
    <row r="22" spans="1:27" x14ac:dyDescent="0.2">
      <c r="A22" s="1" t="s">
        <v>73</v>
      </c>
      <c r="B22" s="1">
        <f>'Data_Raw++ (2014)'!B24</f>
        <v>17000</v>
      </c>
      <c r="C22" s="1">
        <f>'Data_Raw++ (2014)'!C24</f>
        <v>2767.4418604651169</v>
      </c>
      <c r="D22" s="1">
        <f>'Data_Raw++ (2014)'!D24</f>
        <v>7116.2790697674427</v>
      </c>
      <c r="E22" s="1">
        <f>'Data_Raw++ (2014)'!E24</f>
        <v>8024.7402276100966</v>
      </c>
      <c r="F22" s="1">
        <f>'Data_Raw++ (2014)'!F24</f>
        <v>6053.7513997760389</v>
      </c>
      <c r="G22" s="1">
        <f>'Data_Raw++ (2014)'!G24</f>
        <v>4566.8650910591168</v>
      </c>
      <c r="H22" s="1">
        <f>'Data_Raw++ (2014)'!H24</f>
        <v>2352.6274711516662</v>
      </c>
      <c r="I22" s="1">
        <f>'Data_Raw++ (2014)'!I24</f>
        <v>123.82249848166664</v>
      </c>
      <c r="J22" s="1">
        <f>'Data_Raw++ (2014)'!J24</f>
        <v>1939.8858095461107</v>
      </c>
      <c r="K22" s="1">
        <f>'Data_Raw++ (2014)'!K24</f>
        <v>1524.1959932148011</v>
      </c>
      <c r="L22" s="1">
        <f>'Data_Raw++ (2014)'!L24</f>
        <v>684.78370709650494</v>
      </c>
      <c r="M22" s="1">
        <f>'Data_Raw++ (2014)'!M24</f>
        <v>456.52247139766996</v>
      </c>
      <c r="N22" s="1">
        <f>'Data_Raw++ (2014)'!N24</f>
        <v>581.02859996067093</v>
      </c>
      <c r="O22" s="1">
        <f>'Data_Raw++ (2014)'!O24</f>
        <v>581.02859996067093</v>
      </c>
      <c r="P22" s="1">
        <f>'Data_Raw++ (2014)'!P24</f>
        <v>273.42522351090395</v>
      </c>
      <c r="Q22" s="1">
        <f>'Data_Raw++ (2014)'!Q24</f>
        <v>122.84321635997135</v>
      </c>
      <c r="R22" s="1">
        <f>'Data_Raw++ (2014)'!R24</f>
        <v>15.182869437749268</v>
      </c>
      <c r="S22" s="1">
        <f>'Data_Raw++ (2014)'!S24</f>
        <v>101.60843392955279</v>
      </c>
      <c r="T22" s="1">
        <f>'Data_Raw++ (2014)'!T24</f>
        <v>188.70137729774092</v>
      </c>
      <c r="U22" s="1">
        <f>'Data_Raw++ (2014)'!U24</f>
        <v>73.383868949121492</v>
      </c>
      <c r="V22" s="1">
        <f>'Data_Raw++ (2014)'!V24</f>
        <v>60.041347322008491</v>
      </c>
      <c r="W22" s="1">
        <f>'Data_Raw++ (2014)'!W24</f>
        <v>30.930391044671044</v>
      </c>
      <c r="X22" s="1">
        <f>'Data_Raw++ (2014)'!X24</f>
        <v>34.878951603565227</v>
      </c>
      <c r="Y22" s="1">
        <f>'Data_Raw++ (2014)'!Y24</f>
        <v>39.331583723169302</v>
      </c>
      <c r="Z22" s="1">
        <f>'Data_Raw++ (2014)'!Z24</f>
        <v>26.221055815446206</v>
      </c>
      <c r="AA22" s="1">
        <f>'Data_Raw++ (2014)'!AA24</f>
        <v>36.210029459425712</v>
      </c>
    </row>
    <row r="23" spans="1:27" x14ac:dyDescent="0.2">
      <c r="A23" s="1" t="s">
        <v>85</v>
      </c>
      <c r="B23" s="1">
        <f>'Data_Raw++ (2014)'!B25</f>
        <v>15000</v>
      </c>
      <c r="C23" s="1">
        <f>'Data_Raw++ (2014)'!C25</f>
        <v>2241.3793103448274</v>
      </c>
      <c r="D23" s="1">
        <f>'Data_Raw++ (2014)'!D25</f>
        <v>4762.9310344827591</v>
      </c>
      <c r="E23" s="1">
        <f>'Data_Raw++ (2014)'!E25</f>
        <v>4576.1494252873563</v>
      </c>
      <c r="F23" s="1">
        <f>'Data_Raw++ (2014)'!F25</f>
        <v>4576.1494252873563</v>
      </c>
      <c r="G23" s="1">
        <f>'Data_Raw++ (2014)'!G25</f>
        <v>2687.5798212005111</v>
      </c>
      <c r="H23" s="1">
        <f>'Data_Raw++ (2014)'!H25</f>
        <v>5217.0667117421681</v>
      </c>
      <c r="I23" s="1">
        <f>'Data_Raw++ (2014)'!I25</f>
        <v>52.697643552951199</v>
      </c>
      <c r="J23" s="1">
        <f>'Data_Raw++ (2014)'!J25</f>
        <v>1264.7434452708287</v>
      </c>
      <c r="K23" s="1">
        <f>'Data_Raw++ (2014)'!K25</f>
        <v>993.72699271279396</v>
      </c>
      <c r="L23" s="1">
        <f>'Data_Raw++ (2014)'!L25</f>
        <v>349.14732176395466</v>
      </c>
      <c r="M23" s="1">
        <f>'Data_Raw++ (2014)'!M25</f>
        <v>502.43151180666649</v>
      </c>
      <c r="N23" s="1">
        <f>'Data_Raw++ (2014)'!N25</f>
        <v>589.81090516434767</v>
      </c>
      <c r="O23" s="1">
        <f>'Data_Raw++ (2014)'!O25</f>
        <v>482.57255877082991</v>
      </c>
      <c r="P23" s="1">
        <f>'Data_Raw++ (2014)'!P25</f>
        <v>379.16415331993772</v>
      </c>
      <c r="Q23" s="1">
        <f>'Data_Raw++ (2014)'!Q25</f>
        <v>140.23879643340163</v>
      </c>
      <c r="R23" s="1">
        <f>'Data_Raw++ (2014)'!R25</f>
        <v>5.8432831847250677</v>
      </c>
      <c r="S23" s="1">
        <f>'Data_Raw++ (2014)'!S25</f>
        <v>111.02238050977628</v>
      </c>
      <c r="T23" s="1">
        <f>'Data_Raw++ (2014)'!T25</f>
        <v>90.836493144362407</v>
      </c>
      <c r="U23" s="1">
        <f>'Data_Raw++ (2014)'!U25</f>
        <v>28.685208361377601</v>
      </c>
      <c r="V23" s="1">
        <f>'Data_Raw++ (2014)'!V25</f>
        <v>24.435547863395733</v>
      </c>
      <c r="W23" s="1">
        <f>'Data_Raw++ (2014)'!W25</f>
        <v>33.744328001832201</v>
      </c>
      <c r="X23" s="1">
        <f>'Data_Raw++ (2014)'!X25</f>
        <v>31.148610463229719</v>
      </c>
      <c r="Y23" s="1">
        <f>'Data_Raw++ (2014)'!Y25</f>
        <v>35.125028820237773</v>
      </c>
      <c r="Z23" s="1">
        <f>'Data_Raw++ (2014)'!Z25</f>
        <v>12.991449015704383</v>
      </c>
      <c r="AA23" s="1">
        <f>'Data_Raw++ (2014)'!AA25</f>
        <v>36.975662583158623</v>
      </c>
    </row>
    <row r="24" spans="1:27" x14ac:dyDescent="0.2">
      <c r="A24" s="1" t="s">
        <v>70</v>
      </c>
      <c r="B24" s="1">
        <f>'Data_Raw++ (2014)'!B26</f>
        <v>24000</v>
      </c>
      <c r="C24" s="1">
        <f>'Data_Raw++ (2014)'!C26</f>
        <v>3272.7272727272725</v>
      </c>
      <c r="D24" s="1">
        <f>'Data_Raw++ (2014)'!D26</f>
        <v>6352.9411764705874</v>
      </c>
      <c r="E24" s="1">
        <f>'Data_Raw++ (2014)'!E26</f>
        <v>6612.2448979591827</v>
      </c>
      <c r="F24" s="1">
        <f>'Data_Raw++ (2014)'!F26</f>
        <v>13424.860853432279</v>
      </c>
      <c r="G24" s="1">
        <f>'Data_Raw++ (2014)'!G26</f>
        <v>2458.0731140087269</v>
      </c>
      <c r="H24" s="1">
        <f>'Data_Raw++ (2014)'!H26</f>
        <v>4238.0570931184948</v>
      </c>
      <c r="I24" s="1">
        <f>'Data_Raw++ (2014)'!I26</f>
        <v>131.07393071500499</v>
      </c>
      <c r="J24" s="1">
        <f>'Data_Raw++ (2014)'!J26</f>
        <v>1759.1935103510732</v>
      </c>
      <c r="K24" s="1">
        <f>'Data_Raw++ (2014)'!K26</f>
        <v>2398.900241387827</v>
      </c>
      <c r="L24" s="1">
        <f>'Data_Raw++ (2014)'!L26</f>
        <v>755.20933525172336</v>
      </c>
      <c r="M24" s="1">
        <f>'Data_Raw++ (2014)'!M26</f>
        <v>643.32647076998649</v>
      </c>
      <c r="N24" s="1">
        <f>'Data_Raw++ (2014)'!N26</f>
        <v>313.41546011871134</v>
      </c>
      <c r="O24" s="1">
        <f>'Data_Raw++ (2014)'!O26</f>
        <v>887.26447284207313</v>
      </c>
      <c r="P24" s="1">
        <f>'Data_Raw++ (2014)'!P26</f>
        <v>276.03783599531164</v>
      </c>
      <c r="Q24" s="1">
        <f>'Data_Raw++ (2014)'!Q26</f>
        <v>417.53622251391675</v>
      </c>
      <c r="R24" s="1">
        <f>'Data_Raw++ (2014)'!R26</f>
        <v>24.560954265524515</v>
      </c>
      <c r="S24" s="1">
        <f>'Data_Raw++ (2014)'!S26</f>
        <v>224.82719673826284</v>
      </c>
      <c r="T24" s="1">
        <f>'Data_Raw++ (2014)'!T26</f>
        <v>92.236798661851424</v>
      </c>
      <c r="U24" s="1">
        <f>'Data_Raw++ (2014)'!U26</f>
        <v>263.92757877969984</v>
      </c>
      <c r="V24" s="1">
        <f>'Data_Raw++ (2014)'!V26</f>
        <v>61.908938232275268</v>
      </c>
      <c r="W24" s="1">
        <f>'Data_Raw++ (2014)'!W26</f>
        <v>101.00932027371228</v>
      </c>
      <c r="X24" s="1">
        <f>'Data_Raw++ (2014)'!X26</f>
        <v>52.035104383427537</v>
      </c>
      <c r="Y24" s="1">
        <f>'Data_Raw++ (2014)'!Y26</f>
        <v>81.459129252993776</v>
      </c>
      <c r="Z24" s="1">
        <f>'Data_Raw++ (2014)'!Z26</f>
        <v>34.992008566068627</v>
      </c>
      <c r="AA24" s="1">
        <f>'Data_Raw++ (2014)'!AA26</f>
        <v>117.14715911249061</v>
      </c>
    </row>
    <row r="25" spans="1:27" x14ac:dyDescent="0.2">
      <c r="A25" s="1" t="s">
        <v>67</v>
      </c>
      <c r="B25" s="1">
        <f>'Data_Raw++ (2014)'!B27</f>
        <v>17000</v>
      </c>
      <c r="C25" s="1">
        <f>'Data_Raw++ (2014)'!C27</f>
        <v>2318.1818181818185</v>
      </c>
      <c r="D25" s="1">
        <f>'Data_Raw++ (2014)'!D27</f>
        <v>6267.6767676767677</v>
      </c>
      <c r="E25" s="1">
        <f>'Data_Raw++ (2014)'!E27</f>
        <v>4538.6624869383486</v>
      </c>
      <c r="F25" s="1">
        <f>'Data_Raw++ (2014)'!F27</f>
        <v>5327.9950933624095</v>
      </c>
      <c r="G25" s="1">
        <f>'Data_Raw++ (2014)'!G27</f>
        <v>4019.3647195540989</v>
      </c>
      <c r="H25" s="1">
        <f>'Data_Raw++ (2014)'!H27</f>
        <v>3564.3422984725021</v>
      </c>
      <c r="I25" s="1">
        <f>'Data_Raw++ (2014)'!I27</f>
        <v>72.741679560663314</v>
      </c>
      <c r="J25" s="1">
        <f>'Data_Raw++ (2014)'!J27</f>
        <v>1139.6196464503919</v>
      </c>
      <c r="K25" s="1">
        <f>'Data_Raw++ (2014)'!K27</f>
        <v>970.78710623551899</v>
      </c>
      <c r="L25" s="1">
        <f>'Data_Raw++ (2014)'!L27</f>
        <v>227.71549405524519</v>
      </c>
      <c r="M25" s="1">
        <f>'Data_Raw++ (2014)'!M27</f>
        <v>314.46425369533858</v>
      </c>
      <c r="N25" s="1">
        <f>'Data_Raw++ (2014)'!N27</f>
        <v>535.43913467044138</v>
      </c>
      <c r="O25" s="1">
        <f>'Data_Raw++ (2014)'!O27</f>
        <v>403.92776826015756</v>
      </c>
      <c r="P25" s="1">
        <f>'Data_Raw++ (2014)'!P27</f>
        <v>88.667071081498008</v>
      </c>
      <c r="Q25" s="1">
        <f>'Data_Raw++ (2014)'!Q27</f>
        <v>52.074311587546454</v>
      </c>
      <c r="R25" s="1">
        <f>'Data_Raw++ (2014)'!R27</f>
        <v>9.1895843978023155</v>
      </c>
      <c r="S25" s="1">
        <f>'Data_Raw++ (2014)'!S27</f>
        <v>122.09019271365933</v>
      </c>
      <c r="T25" s="1">
        <f>'Data_Raw++ (2014)'!T27</f>
        <v>95.928008560732323</v>
      </c>
      <c r="U25" s="1">
        <f>'Data_Raw++ (2014)'!U27</f>
        <v>23.982002140183081</v>
      </c>
      <c r="V25" s="1">
        <f>'Data_Raw++ (2014)'!V27</f>
        <v>7.494375668807213</v>
      </c>
      <c r="W25" s="1">
        <f>'Data_Raw++ (2014)'!W27</f>
        <v>56.957255082934815</v>
      </c>
      <c r="X25" s="1">
        <f>'Data_Raw++ (2014)'!X27</f>
        <v>23.264230949367743</v>
      </c>
      <c r="Y25" s="1">
        <f>'Data_Raw++ (2014)'!Y27</f>
        <v>32.126795120555457</v>
      </c>
      <c r="Z25" s="1">
        <f>'Data_Raw++ (2014)'!Z27</f>
        <v>10.145303722280671</v>
      </c>
      <c r="AA25" s="1">
        <f>'Data_Raw++ (2014)'!AA27</f>
        <v>43.251031658143916</v>
      </c>
    </row>
    <row r="26" spans="1:27" x14ac:dyDescent="0.2">
      <c r="A26" s="1" t="s">
        <v>77</v>
      </c>
      <c r="B26" s="1">
        <f>'Data_Raw++ (2014)'!B28</f>
        <v>15000</v>
      </c>
      <c r="C26" s="1">
        <f>'Data_Raw++ (2014)'!C28</f>
        <v>2045.4545454545453</v>
      </c>
      <c r="D26" s="1">
        <f>'Data_Raw++ (2014)'!D28</f>
        <v>6136.363636363636</v>
      </c>
      <c r="E26" s="1">
        <f>'Data_Raw++ (2014)'!E28</f>
        <v>4821.4285714285706</v>
      </c>
      <c r="F26" s="1">
        <f>'Data_Raw++ (2014)'!F28</f>
        <v>4275.6064690026942</v>
      </c>
      <c r="G26" s="1">
        <f>'Data_Raw++ (2014)'!G28</f>
        <v>3498.223474638568</v>
      </c>
      <c r="H26" s="1">
        <f>'Data_Raw++ (2014)'!H28</f>
        <v>5247.3352119578512</v>
      </c>
      <c r="I26" s="1">
        <f>'Data_Raw++ (2014)'!I28</f>
        <v>107.08847371342554</v>
      </c>
      <c r="J26" s="1">
        <f>'Data_Raw++ (2014)'!J28</f>
        <v>1677.7194215103334</v>
      </c>
      <c r="K26" s="1">
        <f>'Data_Raw++ (2014)'!K28</f>
        <v>1611.9265030197319</v>
      </c>
      <c r="L26" s="1">
        <f>'Data_Raw++ (2014)'!L28</f>
        <v>199.22687115974213</v>
      </c>
      <c r="M26" s="1">
        <f>'Data_Raw++ (2014)'!M28</f>
        <v>487.76233973592042</v>
      </c>
      <c r="N26" s="1">
        <f>'Data_Raw++ (2014)'!N28</f>
        <v>572.59057273347173</v>
      </c>
      <c r="O26" s="1">
        <f>'Data_Raw++ (2014)'!O28</f>
        <v>468.48319587284044</v>
      </c>
      <c r="P26" s="1">
        <f>'Data_Raw++ (2014)'!P28</f>
        <v>432.44602695954501</v>
      </c>
      <c r="Q26" s="1">
        <f>'Data_Raw++ (2014)'!Q28</f>
        <v>64.618371844529719</v>
      </c>
      <c r="R26" s="1">
        <f>'Data_Raw++ (2014)'!R28</f>
        <v>7.986540340335134</v>
      </c>
      <c r="S26" s="1">
        <f>'Data_Raw++ (2014)'!S28</f>
        <v>91.845213913854053</v>
      </c>
      <c r="T26" s="1">
        <f>'Data_Raw++ (2014)'!T28</f>
        <v>95.593998155235852</v>
      </c>
      <c r="U26" s="1">
        <f>'Data_Raw++ (2014)'!U28</f>
        <v>10.621555350581762</v>
      </c>
      <c r="V26" s="1">
        <f>'Data_Raw++ (2014)'!V28</f>
        <v>5.2315123368537035</v>
      </c>
      <c r="W26" s="1">
        <f>'Data_Raw++ (2014)'!W28</f>
        <v>29.64523657550432</v>
      </c>
      <c r="X26" s="1">
        <f>'Data_Raw++ (2014)'!X28</f>
        <v>46.368190541173426</v>
      </c>
      <c r="Y26" s="1">
        <f>'Data_Raw++ (2014)'!Y28</f>
        <v>52.287534014514726</v>
      </c>
      <c r="Z26" s="1">
        <f>'Data_Raw++ (2014)'!Z28</f>
        <v>18.371295734829499</v>
      </c>
      <c r="AA26" s="1">
        <f>'Data_Raw++ (2014)'!AA28</f>
        <v>40.890948571072109</v>
      </c>
    </row>
    <row r="27" spans="1:27" x14ac:dyDescent="0.2">
      <c r="A27" s="1" t="s">
        <v>93</v>
      </c>
      <c r="B27" s="1">
        <f>'Data_Raw++ (2014)'!B29</f>
        <v>20000</v>
      </c>
      <c r="C27" s="1">
        <f>'Data_Raw++ (2014)'!C29</f>
        <v>1978.0219780219779</v>
      </c>
      <c r="D27" s="1">
        <f>'Data_Raw++ (2014)'!D29</f>
        <v>7912.0879120879108</v>
      </c>
      <c r="E27" s="1">
        <f>'Data_Raw++ (2014)'!E29</f>
        <v>8235.0302758466005</v>
      </c>
      <c r="F27" s="1">
        <f>'Data_Raw++ (2014)'!F29</f>
        <v>9667.2094542547056</v>
      </c>
      <c r="G27" s="1">
        <f>'Data_Raw++ (2014)'!G29</f>
        <v>4761.4613729911234</v>
      </c>
      <c r="H27" s="1">
        <f>'Data_Raw++ (2014)'!H29</f>
        <v>6311.7046107091637</v>
      </c>
      <c r="I27" s="1">
        <f>'Data_Raw++ (2014)'!I29</f>
        <v>128.81029817773805</v>
      </c>
      <c r="J27" s="1">
        <f>'Data_Raw++ (2014)'!J29</f>
        <v>2447.3956653770224</v>
      </c>
      <c r="K27" s="1">
        <f>'Data_Raw++ (2014)'!K29</f>
        <v>1437.3593590309497</v>
      </c>
      <c r="L27" s="1">
        <f>'Data_Raw++ (2014)'!L29</f>
        <v>1274.6394315934836</v>
      </c>
      <c r="M27" s="1">
        <f>'Data_Raw++ (2014)'!M29</f>
        <v>923.01476080907423</v>
      </c>
      <c r="N27" s="1">
        <f>'Data_Raw++ (2014)'!N29</f>
        <v>414.68779108813482</v>
      </c>
      <c r="O27" s="1">
        <f>'Data_Raw++ (2014)'!O29</f>
        <v>676.59586967011467</v>
      </c>
      <c r="P27" s="1">
        <f>'Data_Raw++ (2014)'!P29</f>
        <v>263.12061598282241</v>
      </c>
      <c r="Q27" s="1">
        <f>'Data_Raw++ (2014)'!Q29</f>
        <v>206.73762684364615</v>
      </c>
      <c r="R27" s="1">
        <f>'Data_Raw++ (2014)'!R29</f>
        <v>6.3939472219684372</v>
      </c>
      <c r="S27" s="1">
        <f>'Data_Raw++ (2014)'!S29</f>
        <v>206.73762684364615</v>
      </c>
      <c r="T27" s="1">
        <f>'Data_Raw++ (2014)'!T29</f>
        <v>88.601840075848344</v>
      </c>
      <c r="U27" s="1">
        <f>'Data_Raw++ (2014)'!U29</f>
        <v>49.838535042664688</v>
      </c>
      <c r="V27" s="1">
        <f>'Data_Raw++ (2014)'!V29</f>
        <v>18.433430769204747</v>
      </c>
      <c r="W27" s="1">
        <f>'Data_Raw++ (2014)'!W29</f>
        <v>83.974517948599413</v>
      </c>
      <c r="X27" s="1">
        <f>'Data_Raw++ (2014)'!X29</f>
        <v>125.96177692289911</v>
      </c>
      <c r="Y27" s="1">
        <f>'Data_Raw++ (2014)'!Y29</f>
        <v>73.977551526147096</v>
      </c>
      <c r="Z27" s="1">
        <f>'Data_Raw++ (2014)'!Z29</f>
        <v>23.361332060888557</v>
      </c>
      <c r="AA27" s="1">
        <f>'Data_Raw++ (2014)'!AA29</f>
        <v>66.489945096375124</v>
      </c>
    </row>
    <row r="28" spans="1:27" x14ac:dyDescent="0.2">
      <c r="A28" s="1" t="s">
        <v>68</v>
      </c>
      <c r="B28" s="1">
        <f>'Data_Raw++ (2014)'!B30</f>
        <v>11000</v>
      </c>
      <c r="C28" s="1">
        <f>'Data_Raw++ (2014)'!C30</f>
        <v>1643.6781609195402</v>
      </c>
      <c r="D28" s="1">
        <f>'Data_Raw++ (2014)'!D30</f>
        <v>7487.8671775223502</v>
      </c>
      <c r="E28" s="1">
        <f>'Data_Raw++ (2014)'!E30</f>
        <v>4031.9284802043421</v>
      </c>
      <c r="F28" s="1">
        <f>'Data_Raw++ (2014)'!F30</f>
        <v>3434.6057423962916</v>
      </c>
      <c r="G28" s="1">
        <f>'Data_Raw++ (2014)'!G30</f>
        <v>4031.9284802043421</v>
      </c>
      <c r="H28" s="1">
        <f>'Data_Raw++ (2014)'!H30</f>
        <v>3434.6057423962916</v>
      </c>
      <c r="I28" s="1">
        <f>'Data_Raw++ (2014)'!I30</f>
        <v>106.22491986792654</v>
      </c>
      <c r="J28" s="1">
        <f>'Data_Raw++ (2014)'!J30</f>
        <v>1411.2739353881668</v>
      </c>
      <c r="K28" s="1">
        <f>'Data_Raw++ (2014)'!K30</f>
        <v>864.97434749597312</v>
      </c>
      <c r="L28" s="1">
        <f>'Data_Raw++ (2014)'!L30</f>
        <v>229.75881105361785</v>
      </c>
      <c r="M28" s="1">
        <f>'Data_Raw++ (2014)'!M30</f>
        <v>621.19974840422606</v>
      </c>
      <c r="N28" s="1">
        <f>'Data_Raw++ (2014)'!N30</f>
        <v>759.24413693849863</v>
      </c>
      <c r="O28" s="1">
        <f>'Data_Raw++ (2014)'!O30</f>
        <v>445.90528677340393</v>
      </c>
      <c r="P28" s="1">
        <f>'Data_Raw++ (2014)'!P30</f>
        <v>261.88088270818963</v>
      </c>
      <c r="Q28" s="1">
        <f>'Data_Raw++ (2014)'!Q30</f>
        <v>87.293627569396548</v>
      </c>
      <c r="R28" s="1">
        <f>'Data_Raw++ (2014)'!R30</f>
        <v>12.470518224199505</v>
      </c>
      <c r="S28" s="1">
        <f>'Data_Raw++ (2014)'!S30</f>
        <v>195.37145217912558</v>
      </c>
      <c r="T28" s="1">
        <f>'Data_Raw++ (2014)'!T30</f>
        <v>153.50614099788439</v>
      </c>
      <c r="U28" s="1">
        <f>'Data_Raw++ (2014)'!U30</f>
        <v>29.041702350951102</v>
      </c>
      <c r="V28" s="1">
        <f>'Data_Raw++ (2014)'!V30</f>
        <v>14.520851175475549</v>
      </c>
      <c r="W28" s="1">
        <f>'Data_Raw++ (2014)'!W30</f>
        <v>32.320604229284285</v>
      </c>
      <c r="X28" s="1">
        <f>'Data_Raw++ (2014)'!X30</f>
        <v>36.446638811746112</v>
      </c>
      <c r="Y28" s="1">
        <f>'Data_Raw++ (2014)'!Y30</f>
        <v>28.636644780657655</v>
      </c>
      <c r="Z28" s="1">
        <f>'Data_Raw++ (2014)'!Z30</f>
        <v>14.520851175475549</v>
      </c>
      <c r="AA28" s="1">
        <f>'Data_Raw++ (2014)'!AA30</f>
        <v>33.509656558789729</v>
      </c>
    </row>
    <row r="29" spans="1:27" x14ac:dyDescent="0.2">
      <c r="A29" s="1" t="s">
        <v>95</v>
      </c>
      <c r="B29" s="1">
        <f>'Data_Raw++ (2014)'!B31</f>
        <v>10000</v>
      </c>
      <c r="C29" s="1">
        <f>'Data_Raw++ (2014)'!C31</f>
        <v>638.29787234042556</v>
      </c>
      <c r="D29" s="1">
        <f>'Data_Raw++ (2014)'!D31</f>
        <v>3351.0638297872338</v>
      </c>
      <c r="E29" s="1">
        <f>'Data_Raw++ (2014)'!E31</f>
        <v>4442.1078673923794</v>
      </c>
      <c r="F29" s="1">
        <f>'Data_Raw++ (2014)'!F31</f>
        <v>2722.5822413050068</v>
      </c>
      <c r="G29" s="1">
        <f>'Data_Raw++ (2014)'!G31</f>
        <v>1971.5250712898326</v>
      </c>
      <c r="H29" s="1">
        <f>'Data_Raw++ (2014)'!H31</f>
        <v>2613.4169549655921</v>
      </c>
      <c r="I29" s="1">
        <f>'Data_Raw++ (2014)'!I31</f>
        <v>53.335039897256983</v>
      </c>
      <c r="J29" s="1">
        <f>'Data_Raw++ (2014)'!J31</f>
        <v>1013.3657580478825</v>
      </c>
      <c r="K29" s="1">
        <f>'Data_Raw++ (2014)'!K31</f>
        <v>1054.7276257233066</v>
      </c>
      <c r="L29" s="1">
        <f>'Data_Raw++ (2014)'!L31</f>
        <v>104.31372122538195</v>
      </c>
      <c r="M29" s="1">
        <f>'Data_Raw++ (2014)'!M31</f>
        <v>282.03339442418081</v>
      </c>
      <c r="N29" s="1">
        <f>'Data_Raw++ (2014)'!N31</f>
        <v>282.03339442418081</v>
      </c>
      <c r="O29" s="1">
        <f>'Data_Raw++ (2014)'!O31</f>
        <v>358.9515929035029</v>
      </c>
      <c r="P29" s="1">
        <f>'Data_Raw++ (2014)'!P31</f>
        <v>611.18784737623469</v>
      </c>
      <c r="Q29" s="1">
        <f>'Data_Raw++ (2014)'!Q31</f>
        <v>60.447149740506724</v>
      </c>
      <c r="R29" s="1">
        <f>'Data_Raw++ (2014)'!R31</f>
        <v>35.500706990456329</v>
      </c>
      <c r="S29" s="1">
        <f>'Data_Raw++ (2014)'!S31</f>
        <v>79.017702656176979</v>
      </c>
      <c r="T29" s="1">
        <f>'Data_Raw++ (2014)'!T31</f>
        <v>67.311376336743351</v>
      </c>
      <c r="U29" s="1">
        <f>'Data_Raw++ (2014)'!U31</f>
        <v>10.058021751467397</v>
      </c>
      <c r="V29" s="1">
        <f>'Data_Raw++ (2014)'!V31</f>
        <v>2.8368779299010605</v>
      </c>
      <c r="W29" s="1">
        <f>'Data_Raw++ (2014)'!W31</f>
        <v>37.689949640114087</v>
      </c>
      <c r="X29" s="1">
        <f>'Data_Raw++ (2014)'!X31</f>
        <v>46.065494004583883</v>
      </c>
      <c r="Y29" s="1">
        <f>'Data_Raw++ (2014)'!Y31</f>
        <v>22.68897465897415</v>
      </c>
      <c r="Z29" s="1">
        <f>'Data_Raw++ (2014)'!Z31</f>
        <v>22.68897465897415</v>
      </c>
      <c r="AA29" s="1">
        <f>'Data_Raw++ (2014)'!AA31</f>
        <v>17.116244040980501</v>
      </c>
    </row>
    <row r="30" spans="1:27" x14ac:dyDescent="0.2">
      <c r="A30" s="1" t="s">
        <v>108</v>
      </c>
      <c r="B30" s="1">
        <f>'Data_Raw++ (2014)'!B32</f>
        <v>15000</v>
      </c>
      <c r="C30" s="1">
        <f>'Data_Raw++ (2014)'!C32</f>
        <v>3750</v>
      </c>
      <c r="D30" s="1">
        <f>'Data_Raw++ (2014)'!D32</f>
        <v>8346.7741935483864</v>
      </c>
      <c r="E30" s="1">
        <f>'Data_Raw++ (2014)'!E32</f>
        <v>8687.4588545095467</v>
      </c>
      <c r="F30" s="1">
        <f>'Data_Raw++ (2014)'!F32</f>
        <v>8019.192788778043</v>
      </c>
      <c r="G30" s="1">
        <f>'Data_Raw++ (2014)'!G32</f>
        <v>6300.7943340398906</v>
      </c>
      <c r="H30" s="1">
        <f>'Data_Raw++ (2014)'!H32</f>
        <v>5816.1178468060516</v>
      </c>
      <c r="I30" s="1">
        <f>'Data_Raw++ (2014)'!I32</f>
        <v>118.69628258787861</v>
      </c>
      <c r="J30" s="1">
        <f>'Data_Raw++ (2014)'!J32</f>
        <v>1859.5750938767649</v>
      </c>
      <c r="K30" s="1">
        <f>'Data_Raw++ (2014)'!K32</f>
        <v>2567.9846534488661</v>
      </c>
      <c r="L30" s="1">
        <f>'Data_Raw++ (2014)'!L32</f>
        <v>1048.8951401410861</v>
      </c>
      <c r="M30" s="1">
        <f>'Data_Raw++ (2014)'!M32</f>
        <v>2835.9016751962695</v>
      </c>
      <c r="N30" s="1">
        <f>'Data_Raw++ (2014)'!N32</f>
        <v>895.54789743040089</v>
      </c>
      <c r="O30" s="1">
        <f>'Data_Raw++ (2014)'!O32</f>
        <v>1051.2953578530794</v>
      </c>
      <c r="P30" s="1">
        <f>'Data_Raw++ (2014)'!P32</f>
        <v>215.32555522291992</v>
      </c>
      <c r="Q30" s="1">
        <f>'Data_Raw++ (2014)'!Q32</f>
        <v>382.80098706296877</v>
      </c>
      <c r="R30" s="1">
        <f>'Data_Raw++ (2014)'!R32</f>
        <v>47.312481547108504</v>
      </c>
      <c r="S30" s="1">
        <f>'Data_Raw++ (2014)'!S32</f>
        <v>1135.499557130604</v>
      </c>
      <c r="T30" s="1">
        <f>'Data_Raw++ (2014)'!T32</f>
        <v>320.26910585734981</v>
      </c>
      <c r="U30" s="1">
        <f>'Data_Raw++ (2014)'!U32</f>
        <v>241.60651845379024</v>
      </c>
      <c r="V30" s="1">
        <f>'Data_Raw++ (2014)'!V32</f>
        <v>205.81296016433981</v>
      </c>
      <c r="W30" s="1">
        <f>'Data_Raw++ (2014)'!W32</f>
        <v>149.03697115348746</v>
      </c>
      <c r="X30" s="1">
        <f>'Data_Raw++ (2014)'!X32</f>
        <v>70.135045248699967</v>
      </c>
      <c r="Y30" s="1">
        <f>'Data_Raw++ (2014)'!Y32</f>
        <v>199.61512878476142</v>
      </c>
      <c r="Z30" s="1">
        <f>'Data_Raw++ (2014)'!Z32</f>
        <v>150.58685153938143</v>
      </c>
      <c r="AA30" s="1">
        <f>'Data_Raw++ (2014)'!AA32</f>
        <v>150.58685153938143</v>
      </c>
    </row>
    <row r="31" spans="1:27" x14ac:dyDescent="0.2">
      <c r="A31" s="1" t="s">
        <v>112</v>
      </c>
      <c r="B31" s="1">
        <f>'Data_Raw++ (2014)'!B33</f>
        <v>12000</v>
      </c>
      <c r="C31" s="1">
        <f>'Data_Raw++ (2014)'!C33</f>
        <v>4901.4084507042262</v>
      </c>
      <c r="D31" s="1">
        <f>'Data_Raw++ (2014)'!D33</f>
        <v>7997.034840622684</v>
      </c>
      <c r="E31" s="1">
        <f>'Data_Raw++ (2014)'!E33</f>
        <v>4901.4084507042262</v>
      </c>
      <c r="F31" s="1">
        <f>'Data_Raw++ (2014)'!F33</f>
        <v>4709.196354598178</v>
      </c>
      <c r="G31" s="1">
        <f>'Data_Raw++ (2014)'!G33</f>
        <v>5101.6293841480274</v>
      </c>
      <c r="H31" s="1">
        <f>'Data_Raw++ (2014)'!H33</f>
        <v>3126.8051064133069</v>
      </c>
      <c r="I31" s="1">
        <f>'Data_Raw++ (2014)'!I33</f>
        <v>235.35092198809838</v>
      </c>
      <c r="J31" s="1">
        <f>'Data_Raw++ (2014)'!J33</f>
        <v>2379.6593223241057</v>
      </c>
      <c r="K31" s="1">
        <f>'Data_Raw++ (2014)'!K33</f>
        <v>1723.2015782346973</v>
      </c>
      <c r="L31" s="1">
        <f>'Data_Raw++ (2014)'!L33</f>
        <v>738.51496210058451</v>
      </c>
      <c r="M31" s="1">
        <f>'Data_Raw++ (2014)'!M33</f>
        <v>832.79346790065927</v>
      </c>
      <c r="N31" s="1">
        <f>'Data_Raw++ (2014)'!N33</f>
        <v>939.10752763265839</v>
      </c>
      <c r="O31" s="1">
        <f>'Data_Raw++ (2014)'!O33</f>
        <v>866.86848704553074</v>
      </c>
      <c r="P31" s="1">
        <f>'Data_Raw++ (2014)'!P33</f>
        <v>407.93811155083802</v>
      </c>
      <c r="Q31" s="1">
        <f>'Data_Raw++ (2014)'!Q33</f>
        <v>158.64259893643703</v>
      </c>
      <c r="R31" s="1">
        <f>'Data_Raw++ (2014)'!R33</f>
        <v>39.660649734109256</v>
      </c>
      <c r="S31" s="1">
        <f>'Data_Raw++ (2014)'!S33</f>
        <v>265.42127129750043</v>
      </c>
      <c r="T31" s="1">
        <f>'Data_Raw++ (2014)'!T33</f>
        <v>208.54528459089315</v>
      </c>
      <c r="U31" s="1">
        <f>'Data_Raw++ (2014)'!U33</f>
        <v>144.92129946146812</v>
      </c>
      <c r="V31" s="1">
        <f>'Data_Raw++ (2014)'!V33</f>
        <v>53.601028567940268</v>
      </c>
      <c r="W31" s="1">
        <f>'Data_Raw++ (2014)'!W33</f>
        <v>83.837506221650159</v>
      </c>
      <c r="X31" s="1">
        <f>'Data_Raw++ (2014)'!X33</f>
        <v>94.540166590371456</v>
      </c>
      <c r="Y31" s="1">
        <f>'Data_Raw++ (2014)'!Y33</f>
        <v>77.351045392122089</v>
      </c>
      <c r="Z31" s="1">
        <f>'Data_Raw++ (2014)'!Z33</f>
        <v>41.65056290345035</v>
      </c>
      <c r="AA31" s="1">
        <f>'Data_Raw++ (2014)'!AA33</f>
        <v>41.65056290345035</v>
      </c>
    </row>
    <row r="32" spans="1:27" x14ac:dyDescent="0.2">
      <c r="A32" s="1" t="s">
        <v>117</v>
      </c>
      <c r="B32" s="1">
        <f>'Data_Raw++ (2014)'!B34</f>
        <v>22000</v>
      </c>
      <c r="C32" s="1">
        <f>'Data_Raw++ (2014)'!C34</f>
        <v>4506.0240963855431</v>
      </c>
      <c r="D32" s="1">
        <f>'Data_Raw++ (2014)'!D34</f>
        <v>7047.8838430645665</v>
      </c>
      <c r="E32" s="1">
        <f>'Data_Raw++ (2014)'!E34</f>
        <v>6250.010200453482</v>
      </c>
      <c r="F32" s="1">
        <f>'Data_Raw++ (2014)'!F34</f>
        <v>4714.9199757806973</v>
      </c>
      <c r="G32" s="1">
        <f>'Data_Raw++ (2014)'!G34</f>
        <v>4714.9199757806973</v>
      </c>
      <c r="H32" s="1">
        <f>'Data_Raw++ (2014)'!H34</f>
        <v>2652.1424863766424</v>
      </c>
      <c r="I32" s="1">
        <f>'Data_Raw++ (2014)'!I34</f>
        <v>327.7928915746412</v>
      </c>
      <c r="J32" s="1">
        <f>'Data_Raw++ (2014)'!J34</f>
        <v>2193.6908897687526</v>
      </c>
      <c r="K32" s="1">
        <f>'Data_Raw++ (2014)'!K34</f>
        <v>1588.5347822463382</v>
      </c>
      <c r="L32" s="1">
        <f>'Data_Raw++ (2014)'!L34</f>
        <v>617.76352642913162</v>
      </c>
      <c r="M32" s="1">
        <f>'Data_Raw++ (2014)'!M34</f>
        <v>888.97678193460399</v>
      </c>
      <c r="N32" s="1">
        <f>'Data_Raw++ (2014)'!N34</f>
        <v>788.33790096087512</v>
      </c>
      <c r="O32" s="1">
        <f>'Data_Raw++ (2014)'!O34</f>
        <v>757.42268915848774</v>
      </c>
      <c r="P32" s="1">
        <f>'Data_Raw++ (2014)'!P34</f>
        <v>155.13476765896741</v>
      </c>
      <c r="Q32" s="1">
        <f>'Data_Raw++ (2014)'!Q34</f>
        <v>132.15183911689815</v>
      </c>
      <c r="R32" s="1">
        <f>'Data_Raw++ (2014)'!R34</f>
        <v>23.320912785334965</v>
      </c>
      <c r="S32" s="1">
        <f>'Data_Raw++ (2014)'!S34</f>
        <v>188.68738526316471</v>
      </c>
      <c r="T32" s="1">
        <f>'Data_Raw++ (2014)'!T34</f>
        <v>181.28787995872688</v>
      </c>
      <c r="U32" s="1">
        <f>'Data_Raw++ (2014)'!U34</f>
        <v>106.47065965829991</v>
      </c>
      <c r="V32" s="1">
        <f>'Data_Raw++ (2014)'!V34</f>
        <v>21.807243544471067</v>
      </c>
      <c r="W32" s="1">
        <f>'Data_Raw++ (2014)'!W34</f>
        <v>69.05627122415838</v>
      </c>
      <c r="X32" s="1">
        <f>'Data_Raw++ (2014)'!X34</f>
        <v>56.500585547038675</v>
      </c>
      <c r="Y32" s="1">
        <f>'Data_Raw++ (2014)'!Y34</f>
        <v>71.909836150776499</v>
      </c>
      <c r="Z32" s="1">
        <f>'Data_Raw++ (2014)'!Z34</f>
        <v>20.28226147842414</v>
      </c>
      <c r="AA32" s="1">
        <f>'Data_Raw++ (2014)'!AA34</f>
        <v>34.534661436235695</v>
      </c>
    </row>
    <row r="33" spans="1:27" x14ac:dyDescent="0.2">
      <c r="A33" s="1" t="s">
        <v>99</v>
      </c>
      <c r="B33" s="1">
        <f>'Data_Raw++ (2014)'!B35</f>
        <v>12000</v>
      </c>
      <c r="C33" s="1">
        <f>'Data_Raw++ (2014)'!C35</f>
        <v>4666.6666666666679</v>
      </c>
      <c r="D33" s="1">
        <f>'Data_Raw++ (2014)'!D35</f>
        <v>6186.0465116279083</v>
      </c>
      <c r="E33" s="1">
        <f>'Data_Raw++ (2014)'!E35</f>
        <v>7560.7235142118889</v>
      </c>
      <c r="F33" s="1">
        <f>'Data_Raw++ (2014)'!F35</f>
        <v>6186.0465116279083</v>
      </c>
      <c r="G33" s="1">
        <f>'Data_Raw++ (2014)'!G35</f>
        <v>4860.4651162790706</v>
      </c>
      <c r="H33" s="1">
        <f>'Data_Raw++ (2014)'!H35</f>
        <v>2734.0116279069771</v>
      </c>
      <c r="I33" s="1">
        <f>'Data_Raw++ (2014)'!I35</f>
        <v>143.89534883720933</v>
      </c>
      <c r="J33" s="1">
        <f>'Data_Raw++ (2014)'!J35</f>
        <v>2734.0116279069771</v>
      </c>
      <c r="K33" s="1">
        <f>'Data_Raw++ (2014)'!K35</f>
        <v>1537.8815406976746</v>
      </c>
      <c r="L33" s="1">
        <f>'Data_Raw++ (2014)'!L35</f>
        <v>1068.697341840757</v>
      </c>
      <c r="M33" s="1">
        <f>'Data_Raw++ (2014)'!M35</f>
        <v>1157.75545366082</v>
      </c>
      <c r="N33" s="1">
        <f>'Data_Raw++ (2014)'!N35</f>
        <v>947.25446208612539</v>
      </c>
      <c r="O33" s="1">
        <f>'Data_Raw++ (2014)'!O35</f>
        <v>806.92046770299567</v>
      </c>
      <c r="P33" s="1">
        <f>'Data_Raw++ (2014)'!P35</f>
        <v>268.97348923433191</v>
      </c>
      <c r="Q33" s="1">
        <f>'Data_Raw++ (2014)'!Q35</f>
        <v>248.28322083169095</v>
      </c>
      <c r="R33" s="1">
        <f>'Data_Raw++ (2014)'!R35</f>
        <v>43.81468602912193</v>
      </c>
      <c r="S33" s="1">
        <f>'Data_Raw++ (2014)'!S35</f>
        <v>394.3321742620974</v>
      </c>
      <c r="T33" s="1">
        <f>'Data_Raw++ (2014)'!T35</f>
        <v>231.59191186821593</v>
      </c>
      <c r="U33" s="1">
        <f>'Data_Raw++ (2014)'!U35</f>
        <v>160.93675231520092</v>
      </c>
      <c r="V33" s="1">
        <f>'Data_Raw++ (2014)'!V35</f>
        <v>32.962949269378505</v>
      </c>
      <c r="W33" s="1">
        <f>'Data_Raw++ (2014)'!W35</f>
        <v>110.35422146704977</v>
      </c>
      <c r="X33" s="1">
        <f>'Data_Raw++ (2014)'!X35</f>
        <v>129.54625998305843</v>
      </c>
      <c r="Y33" s="1">
        <f>'Data_Raw++ (2014)'!Y35</f>
        <v>110.35422146704978</v>
      </c>
      <c r="Z33" s="1">
        <f>'Data_Raw++ (2014)'!Z35</f>
        <v>54.353571767352882</v>
      </c>
      <c r="AA33" s="1">
        <f>'Data_Raw++ (2014)'!AA35</f>
        <v>75.059694345392074</v>
      </c>
    </row>
    <row r="34" spans="1:27" x14ac:dyDescent="0.2">
      <c r="A34" s="1" t="s">
        <v>97</v>
      </c>
      <c r="B34" s="1">
        <f>'Data_Raw++ (2014)'!B36</f>
        <v>11000</v>
      </c>
      <c r="C34" s="1">
        <f>'Data_Raw++ (2014)'!C36</f>
        <v>4068.4931506849316</v>
      </c>
      <c r="D34" s="1">
        <f>'Data_Raw++ (2014)'!D36</f>
        <v>6363.5405690200205</v>
      </c>
      <c r="E34" s="1">
        <f>'Data_Raw++ (2014)'!E36</f>
        <v>6113.9899584702162</v>
      </c>
      <c r="F34" s="1">
        <f>'Data_Raw++ (2014)'!F36</f>
        <v>6113.9899584702162</v>
      </c>
      <c r="G34" s="1">
        <f>'Data_Raw++ (2014)'!G36</f>
        <v>4248.7048863945574</v>
      </c>
      <c r="H34" s="1">
        <f>'Data_Raw++ (2014)'!H36</f>
        <v>2604.0449303708579</v>
      </c>
      <c r="I34" s="1">
        <f>'Data_Raw++ (2014)'!I36</f>
        <v>108.50187209878575</v>
      </c>
      <c r="J34" s="1">
        <f>'Data_Raw++ (2014)'!J36</f>
        <v>2061.535569876929</v>
      </c>
      <c r="K34" s="1">
        <f>'Data_Raw++ (2014)'!K36</f>
        <v>2420.0634950729168</v>
      </c>
      <c r="L34" s="1">
        <f>'Data_Raw++ (2014)'!L36</f>
        <v>806.6878316909723</v>
      </c>
      <c r="M34" s="1">
        <f>'Data_Raw++ (2014)'!M36</f>
        <v>839.61386563754252</v>
      </c>
      <c r="N34" s="1">
        <f>'Data_Raw++ (2014)'!N36</f>
        <v>686.95679915798928</v>
      </c>
      <c r="O34" s="1">
        <f>'Data_Raw++ (2014)'!O36</f>
        <v>518.23056778585158</v>
      </c>
      <c r="P34" s="1">
        <f>'Data_Raw++ (2014)'!P36</f>
        <v>201.53410969449786</v>
      </c>
      <c r="Q34" s="1">
        <f>'Data_Raw++ (2014)'!Q36</f>
        <v>178.71892746493202</v>
      </c>
      <c r="R34" s="1">
        <f>'Data_Raw++ (2014)'!R36</f>
        <v>31.538634258517416</v>
      </c>
      <c r="S34" s="1">
        <f>'Data_Raw++ (2014)'!S36</f>
        <v>211.066244653155</v>
      </c>
      <c r="T34" s="1">
        <f>'Data_Raw++ (2014)'!T36</f>
        <v>152.84107371435363</v>
      </c>
      <c r="U34" s="1">
        <f>'Data_Raw++ (2014)'!U36</f>
        <v>120.08941506127783</v>
      </c>
      <c r="V34" s="1">
        <f>'Data_Raw++ (2014)'!V36</f>
        <v>33.871373478821951</v>
      </c>
      <c r="W34" s="1">
        <f>'Data_Raw++ (2014)'!W36</f>
        <v>208.06700851276338</v>
      </c>
      <c r="X34" s="1">
        <f>'Data_Raw++ (2014)'!X36</f>
        <v>122.19808436463882</v>
      </c>
      <c r="Y34" s="1">
        <f>'Data_Raw++ (2014)'!Y36</f>
        <v>99.980250843795389</v>
      </c>
      <c r="Z34" s="1">
        <f>'Data_Raw++ (2014)'!Z36</f>
        <v>42.848678933055169</v>
      </c>
      <c r="AA34" s="1">
        <f>'Data_Raw++ (2014)'!AA36</f>
        <v>79.576118018531034</v>
      </c>
    </row>
    <row r="35" spans="1:27" x14ac:dyDescent="0.2">
      <c r="A35" s="1" t="s">
        <v>125</v>
      </c>
      <c r="B35" s="1">
        <f>'Data_Raw++ (2014)'!B37</f>
        <v>25000</v>
      </c>
      <c r="C35" s="1">
        <f>'Data_Raw++ (2014)'!C37</f>
        <v>3089.8876404494381</v>
      </c>
      <c r="D35" s="1">
        <f>'Data_Raw++ (2014)'!D37</f>
        <v>6566.0112359550558</v>
      </c>
      <c r="E35" s="1">
        <f>'Data_Raw++ (2014)'!E37</f>
        <v>6308.5205992509354</v>
      </c>
      <c r="F35" s="1">
        <f>'Data_Raw++ (2014)'!F37</f>
        <v>4956.694756554306</v>
      </c>
      <c r="G35" s="1">
        <f>'Data_Raw++ (2014)'!G37</f>
        <v>4222.3696074351492</v>
      </c>
      <c r="H35" s="1">
        <f>'Data_Raw++ (2014)'!H37</f>
        <v>1724.6298396566103</v>
      </c>
      <c r="I35" s="1">
        <f>'Data_Raw++ (2014)'!I37</f>
        <v>149.96781214405306</v>
      </c>
      <c r="J35" s="1">
        <f>'Data_Raw++ (2014)'!J37</f>
        <v>1724.6298396566103</v>
      </c>
      <c r="K35" s="1">
        <f>'Data_Raw++ (2014)'!K37</f>
        <v>1198.471583490187</v>
      </c>
      <c r="L35" s="1">
        <f>'Data_Raw++ (2014)'!L37</f>
        <v>421.0846104154711</v>
      </c>
      <c r="M35" s="1">
        <f>'Data_Raw++ (2014)'!M37</f>
        <v>581.49779533565061</v>
      </c>
      <c r="N35" s="1">
        <f>'Data_Raw++ (2014)'!N37</f>
        <v>605.23239922690163</v>
      </c>
      <c r="O35" s="1">
        <f>'Data_Raw++ (2014)'!O37</f>
        <v>403.48826615126779</v>
      </c>
      <c r="P35" s="1">
        <f>'Data_Raw++ (2014)'!P37</f>
        <v>280.39015105427086</v>
      </c>
      <c r="Q35" s="1">
        <f>'Data_Raw++ (2014)'!Q37</f>
        <v>65.77052925964378</v>
      </c>
      <c r="R35" s="1">
        <f>'Data_Raw++ (2014)'!R37</f>
        <v>19.645742506127363</v>
      </c>
      <c r="S35" s="1">
        <f>'Data_Raw++ (2014)'!S37</f>
        <v>225.92603882046467</v>
      </c>
      <c r="T35" s="1">
        <f>'Data_Raw++ (2014)'!T37</f>
        <v>111.27700419515425</v>
      </c>
      <c r="U35" s="1">
        <f>'Data_Raw++ (2014)'!U37</f>
        <v>102.71723464168083</v>
      </c>
      <c r="V35" s="1">
        <f>'Data_Raw++ (2014)'!V37</f>
        <v>48.337522184320392</v>
      </c>
      <c r="W35" s="1">
        <f>'Data_Raw++ (2014)'!W37</f>
        <v>48.337522184320392</v>
      </c>
      <c r="X35" s="1">
        <f>'Data_Raw++ (2014)'!X37</f>
        <v>44.61925124706498</v>
      </c>
      <c r="Y35" s="1">
        <f>'Data_Raw++ (2014)'!Y37</f>
        <v>56.788137950809976</v>
      </c>
      <c r="Z35" s="1">
        <f>'Data_Raw++ (2014)'!Z37</f>
        <v>25.513511253262454</v>
      </c>
      <c r="AA35" s="1">
        <f>'Data_Raw++ (2014)'!AA37</f>
        <v>51.80015921116923</v>
      </c>
    </row>
    <row r="36" spans="1:27" x14ac:dyDescent="0.2">
      <c r="A36" s="1" t="s">
        <v>120</v>
      </c>
      <c r="B36" s="1">
        <f>'Data_Raw++ (2014)'!B38</f>
        <v>12000</v>
      </c>
      <c r="C36" s="1">
        <f>'Data_Raw++ (2014)'!C38</f>
        <v>3189.8734177215188</v>
      </c>
      <c r="D36" s="1">
        <f>'Data_Raw++ (2014)'!D38</f>
        <v>5924.0506329113923</v>
      </c>
      <c r="E36" s="1">
        <f>'Data_Raw++ (2014)'!E38</f>
        <v>6165.8486179281845</v>
      </c>
      <c r="F36" s="1">
        <f>'Data_Raw++ (2014)'!F38</f>
        <v>5252.3895634203054</v>
      </c>
      <c r="G36" s="1">
        <f>'Data_Raw++ (2014)'!G38</f>
        <v>3962.3289688960203</v>
      </c>
      <c r="H36" s="1">
        <f>'Data_Raw++ (2014)'!H38</f>
        <v>1780.1767831271977</v>
      </c>
      <c r="I36" s="1">
        <f>'Data_Raw++ (2014)'!I38</f>
        <v>74.174032630299905</v>
      </c>
      <c r="J36" s="1">
        <f>'Data_Raw++ (2014)'!J38</f>
        <v>1780.1767831271977</v>
      </c>
      <c r="K36" s="1">
        <f>'Data_Raw++ (2014)'!K38</f>
        <v>1091.0760928844115</v>
      </c>
      <c r="L36" s="1">
        <f>'Data_Raw++ (2014)'!L38</f>
        <v>513.44757312207605</v>
      </c>
      <c r="M36" s="1">
        <f>'Data_Raw++ (2014)'!M38</f>
        <v>403.42309316734543</v>
      </c>
      <c r="N36" s="1">
        <f>'Data_Raw++ (2014)'!N38</f>
        <v>686.90959106872322</v>
      </c>
      <c r="O36" s="1">
        <f>'Data_Raw++ (2014)'!O38</f>
        <v>539.71467869685387</v>
      </c>
      <c r="P36" s="1">
        <f>'Data_Raw++ (2014)'!P38</f>
        <v>303.58950676698032</v>
      </c>
      <c r="Q36" s="1">
        <f>'Data_Raw++ (2014)'!Q38</f>
        <v>71.212353439168226</v>
      </c>
      <c r="R36" s="1">
        <f>'Data_Raw++ (2014)'!R38</f>
        <v>16.704132288199951</v>
      </c>
      <c r="S36" s="1">
        <f>'Data_Raw++ (2014)'!S38</f>
        <v>102.61109834179969</v>
      </c>
      <c r="T36" s="1">
        <f>'Data_Raw++ (2014)'!T38</f>
        <v>106.79930643738335</v>
      </c>
      <c r="U36" s="1">
        <f>'Data_Raw++ (2014)'!U38</f>
        <v>90.977186965178404</v>
      </c>
      <c r="V36" s="1">
        <f>'Data_Raw++ (2014)'!V38</f>
        <v>12.405980040706146</v>
      </c>
      <c r="W36" s="1">
        <f>'Data_Raw++ (2014)'!W38</f>
        <v>35.309327808163644</v>
      </c>
      <c r="X36" s="1">
        <f>'Data_Raw++ (2014)'!X38</f>
        <v>35.309327808163644</v>
      </c>
      <c r="Y36" s="1">
        <f>'Data_Raw++ (2014)'!Y38</f>
        <v>35.309327808163644</v>
      </c>
      <c r="Z36" s="1">
        <f>'Data_Raw++ (2014)'!Z38</f>
        <v>15.132569060641561</v>
      </c>
      <c r="AA36" s="1">
        <f>'Data_Raw++ (2014)'!AA38</f>
        <v>64.512531258524547</v>
      </c>
    </row>
    <row r="37" spans="1:27" x14ac:dyDescent="0.2">
      <c r="A37" s="1" t="s">
        <v>123</v>
      </c>
      <c r="B37" s="1">
        <f>'Data_Raw++ (2014)'!B39</f>
        <v>14000</v>
      </c>
      <c r="C37" s="1">
        <f>'Data_Raw++ (2014)'!C39</f>
        <v>2867.469879518073</v>
      </c>
      <c r="D37" s="1">
        <f>'Data_Raw++ (2014)'!D39</f>
        <v>4301.204819277109</v>
      </c>
      <c r="E37" s="1">
        <f>'Data_Raw++ (2014)'!E39</f>
        <v>4476.7641996557668</v>
      </c>
      <c r="F37" s="1">
        <f>'Data_Raw++ (2014)'!F39</f>
        <v>4301.204819277109</v>
      </c>
      <c r="G37" s="1">
        <f>'Data_Raw++ (2014)'!G39</f>
        <v>3244.7685478757144</v>
      </c>
      <c r="H37" s="1">
        <f>'Data_Raw++ (2014)'!H39</f>
        <v>2995.1709672698903</v>
      </c>
      <c r="I37" s="1">
        <f>'Data_Raw++ (2014)'!I39</f>
        <v>124.7987903029121</v>
      </c>
      <c r="J37" s="1">
        <f>'Data_Raw++ (2014)'!J39</f>
        <v>1261.8544352850001</v>
      </c>
      <c r="K37" s="1">
        <f>'Data_Raw++ (2014)'!K39</f>
        <v>913.75666003396566</v>
      </c>
      <c r="L37" s="1">
        <f>'Data_Raw++ (2014)'!L39</f>
        <v>288.55473474756803</v>
      </c>
      <c r="M37" s="1">
        <f>'Data_Raw++ (2014)'!M39</f>
        <v>491.32292673234559</v>
      </c>
      <c r="N37" s="1">
        <f>'Data_Raw++ (2014)'!N39</f>
        <v>491.32292673234559</v>
      </c>
      <c r="O37" s="1">
        <f>'Data_Raw++ (2014)'!O39</f>
        <v>401.99148550828272</v>
      </c>
      <c r="P37" s="1">
        <f>'Data_Raw++ (2014)'!P39</f>
        <v>291.09728260944615</v>
      </c>
      <c r="Q37" s="1">
        <f>'Data_Raw++ (2014)'!Q39</f>
        <v>1326.109842998588</v>
      </c>
      <c r="R37" s="1">
        <f>'Data_Raw++ (2014)'!R39</f>
        <v>19.501615338214528</v>
      </c>
      <c r="S37" s="1">
        <f>'Data_Raw++ (2014)'!S39</f>
        <v>115.31389939118155</v>
      </c>
      <c r="T37" s="1">
        <f>'Data_Raw++ (2014)'!T39</f>
        <v>76.875932927454372</v>
      </c>
      <c r="U37" s="1">
        <f>'Data_Raw++ (2014)'!U39</f>
        <v>25.312807183430099</v>
      </c>
      <c r="V37" s="1">
        <f>'Data_Raw++ (2014)'!V39</f>
        <v>7.5000910173126218</v>
      </c>
      <c r="W37" s="1">
        <f>'Data_Raw++ (2014)'!W39</f>
        <v>31.071805643152288</v>
      </c>
      <c r="X37" s="1">
        <f>'Data_Raw++ (2014)'!X39</f>
        <v>30.937875446414566</v>
      </c>
      <c r="Y37" s="1">
        <f>'Data_Raw++ (2014)'!Y39</f>
        <v>36.318375524051881</v>
      </c>
      <c r="Z37" s="1">
        <f>'Data_Raw++ (2014)'!Z39</f>
        <v>8.5191251229257503</v>
      </c>
      <c r="AA37" s="1">
        <f>'Data_Raw++ (2014)'!AA39</f>
        <v>17.748177339428647</v>
      </c>
    </row>
    <row r="38" spans="1:27" x14ac:dyDescent="0.2">
      <c r="A38" s="1" t="s">
        <v>126</v>
      </c>
      <c r="B38" s="1">
        <f>'Data_Raw++ (2014)'!B40</f>
        <v>12000</v>
      </c>
      <c r="C38" s="1">
        <f>'Data_Raw++ (2014)'!C40</f>
        <v>2814.8148148148148</v>
      </c>
      <c r="D38" s="1">
        <f>'Data_Raw++ (2014)'!D40</f>
        <v>5464.0522875816987</v>
      </c>
      <c r="E38" s="1">
        <f>'Data_Raw++ (2014)'!E40</f>
        <v>9713.8707334785759</v>
      </c>
      <c r="F38" s="1">
        <f>'Data_Raw++ (2014)'!F40</f>
        <v>8614.1872542168494</v>
      </c>
      <c r="G38" s="1">
        <f>'Data_Raw++ (2014)'!G40</f>
        <v>3870.1420997206142</v>
      </c>
      <c r="H38" s="1">
        <f>'Data_Raw++ (2014)'!H40</f>
        <v>2083.9226690803307</v>
      </c>
      <c r="I38" s="1">
        <f>'Data_Raw++ (2014)'!I40</f>
        <v>86.830111211680446</v>
      </c>
      <c r="J38" s="1">
        <f>'Data_Raw++ (2014)'!J40</f>
        <v>1360.3384089829935</v>
      </c>
      <c r="K38" s="1">
        <f>'Data_Raw++ (2014)'!K40</f>
        <v>1255.6969929073787</v>
      </c>
      <c r="L38" s="1">
        <f>'Data_Raw++ (2014)'!L40</f>
        <v>618.47762337229096</v>
      </c>
      <c r="M38" s="1">
        <f>'Data_Raw++ (2014)'!M40</f>
        <v>548.46128865089941</v>
      </c>
      <c r="N38" s="1">
        <f>'Data_Raw++ (2014)'!N40</f>
        <v>430.93386965427811</v>
      </c>
      <c r="O38" s="1">
        <f>'Data_Raw++ (2014)'!O40</f>
        <v>548.46128865089952</v>
      </c>
      <c r="P38" s="1">
        <f>'Data_Raw++ (2014)'!P40</f>
        <v>282.54066385046343</v>
      </c>
      <c r="Q38" s="1">
        <f>'Data_Raw++ (2014)'!Q40</f>
        <v>213.14471132578822</v>
      </c>
      <c r="R38" s="1">
        <f>'Data_Raw++ (2014)'!R40</f>
        <v>21.080246175077953</v>
      </c>
      <c r="S38" s="1">
        <f>'Data_Raw++ (2014)'!S40</f>
        <v>154.58847195057166</v>
      </c>
      <c r="T38" s="1">
        <f>'Data_Raw++ (2014)'!T40</f>
        <v>69.452791745909011</v>
      </c>
      <c r="U38" s="1">
        <f>'Data_Raw++ (2014)'!U40</f>
        <v>99.944261292893458</v>
      </c>
      <c r="V38" s="1">
        <f>'Data_Raw++ (2014)'!V40</f>
        <v>26.567461862667876</v>
      </c>
      <c r="W38" s="1">
        <f>'Data_Raw++ (2014)'!W40</f>
        <v>32.471342276594072</v>
      </c>
      <c r="X38" s="1">
        <f>'Data_Raw++ (2014)'!X40</f>
        <v>87.792888377458041</v>
      </c>
      <c r="Y38" s="1">
        <f>'Data_Raw++ (2014)'!Y40</f>
        <v>53.808544489409769</v>
      </c>
      <c r="Z38" s="1">
        <f>'Data_Raw++ (2014)'!Z40</f>
        <v>18.905704820603432</v>
      </c>
      <c r="AA38" s="1">
        <f>'Data_Raw++ (2014)'!AA40</f>
        <v>36.699309357641958</v>
      </c>
    </row>
    <row r="39" spans="1:27" x14ac:dyDescent="0.2">
      <c r="A39" s="1" t="s">
        <v>122</v>
      </c>
      <c r="B39" s="1">
        <f>'Data_Raw++ (2014)'!B41</f>
        <v>12000</v>
      </c>
      <c r="C39" s="1">
        <f>'Data_Raw++ (2014)'!C41</f>
        <v>2285.7142857142858</v>
      </c>
      <c r="D39" s="1">
        <f>'Data_Raw++ (2014)'!D41</f>
        <v>5333.333333333333</v>
      </c>
      <c r="E39" s="1">
        <f>'Data_Raw++ (2014)'!E41</f>
        <v>4543.2098765432092</v>
      </c>
      <c r="F39" s="1">
        <f>'Data_Raw++ (2014)'!F41</f>
        <v>5123.1941161019167</v>
      </c>
      <c r="G39" s="1">
        <f>'Data_Raw++ (2014)'!G41</f>
        <v>3864.8657367084634</v>
      </c>
      <c r="H39" s="1">
        <f>'Data_Raw++ (2014)'!H41</f>
        <v>2915.600468043227</v>
      </c>
      <c r="I39" s="1">
        <f>'Data_Raw++ (2014)'!I41</f>
        <v>121.48335283513447</v>
      </c>
      <c r="J39" s="1">
        <f>'Data_Raw++ (2014)'!J41</f>
        <v>1397.0585576040464</v>
      </c>
      <c r="K39" s="1">
        <f>'Data_Raw++ (2014)'!K41</f>
        <v>1289.5925147114274</v>
      </c>
      <c r="L39" s="1">
        <f>'Data_Raw++ (2014)'!L41</f>
        <v>327.51555929179108</v>
      </c>
      <c r="M39" s="1">
        <f>'Data_Raw++ (2014)'!M41</f>
        <v>1329.3278583019755</v>
      </c>
      <c r="N39" s="1">
        <f>'Data_Raw++ (2014)'!N41</f>
        <v>715.79192370106375</v>
      </c>
      <c r="O39" s="1">
        <f>'Data_Raw++ (2014)'!O41</f>
        <v>609.74867574535062</v>
      </c>
      <c r="P39" s="1">
        <f>'Data_Raw++ (2014)'!P41</f>
        <v>96.276106696634315</v>
      </c>
      <c r="Q39" s="1">
        <f>'Data_Raw++ (2014)'!Q41</f>
        <v>133.84727028556478</v>
      </c>
      <c r="R39" s="1">
        <f>'Data_Raw++ (2014)'!R41</f>
        <v>8.543442784184986</v>
      </c>
      <c r="S39" s="1">
        <f>'Data_Raw++ (2014)'!S41</f>
        <v>86.383699262314863</v>
      </c>
      <c r="T39" s="1">
        <f>'Data_Raw++ (2014)'!T41</f>
        <v>67.872906563247383</v>
      </c>
      <c r="U39" s="1">
        <f>'Data_Raw++ (2014)'!U41</f>
        <v>13.901679657532597</v>
      </c>
      <c r="V39" s="1">
        <f>'Data_Raw++ (2014)'!V41</f>
        <v>1.6682015589039119</v>
      </c>
      <c r="W39" s="1">
        <f>'Data_Raw++ (2014)'!W41</f>
        <v>15.56988121643651</v>
      </c>
      <c r="X39" s="1">
        <f>'Data_Raw++ (2014)'!X41</f>
        <v>14.959297639321353</v>
      </c>
      <c r="Y39" s="1">
        <f>'Data_Raw++ (2014)'!Y41</f>
        <v>21.52679416390146</v>
      </c>
      <c r="Z39" s="1">
        <f>'Data_Raw++ (2014)'!Z41</f>
        <v>5.7223123726826666</v>
      </c>
      <c r="AA39" s="1">
        <f>'Data_Raw++ (2014)'!AA41</f>
        <v>32.426436778535113</v>
      </c>
    </row>
    <row r="40" spans="1:27" x14ac:dyDescent="0.2">
      <c r="A40" s="1" t="s">
        <v>98</v>
      </c>
      <c r="B40" s="1">
        <f>'Data_Raw++ (2014)'!B42</f>
        <v>14000</v>
      </c>
      <c r="C40" s="1">
        <f>'Data_Raw++ (2014)'!C42</f>
        <v>2867.469879518073</v>
      </c>
      <c r="D40" s="1">
        <f>'Data_Raw++ (2014)'!D42</f>
        <v>9599.7904662126803</v>
      </c>
      <c r="E40" s="1">
        <f>'Data_Raw++ (2014)'!E42</f>
        <v>4728.2550057465442</v>
      </c>
      <c r="F40" s="1">
        <f>'Data_Raw++ (2014)'!F42</f>
        <v>5331.8620277567416</v>
      </c>
      <c r="G40" s="1">
        <f>'Data_Raw++ (2014)'!G42</f>
        <v>5122.7693992172617</v>
      </c>
      <c r="H40" s="1">
        <f>'Data_Raw++ (2014)'!H42</f>
        <v>4728.7102146620882</v>
      </c>
      <c r="I40" s="1">
        <f>'Data_Raw++ (2014)'!I42</f>
        <v>47.764749643051402</v>
      </c>
      <c r="J40" s="1">
        <f>'Data_Raw++ (2014)'!J42</f>
        <v>2340.4727325095187</v>
      </c>
      <c r="K40" s="1">
        <f>'Data_Raw++ (2014)'!K42</f>
        <v>1003.0597425040794</v>
      </c>
      <c r="L40" s="1">
        <f>'Data_Raw++ (2014)'!L42</f>
        <v>266.63613408336283</v>
      </c>
      <c r="M40" s="1">
        <f>'Data_Raw++ (2014)'!M42</f>
        <v>300.67478949826028</v>
      </c>
      <c r="N40" s="1">
        <f>'Data_Raw++ (2014)'!N42</f>
        <v>534.5329591080183</v>
      </c>
      <c r="O40" s="1">
        <f>'Data_Raw++ (2014)'!O42</f>
        <v>240.15248887461695</v>
      </c>
      <c r="P40" s="1">
        <f>'Data_Raw++ (2014)'!P42</f>
        <v>118.28406168451282</v>
      </c>
      <c r="Q40" s="1">
        <f>'Data_Raw++ (2014)'!Q42</f>
        <v>75.624236158950822</v>
      </c>
      <c r="R40" s="1">
        <f>'Data_Raw++ (2014)'!R42</f>
        <v>2.3388939018232215</v>
      </c>
      <c r="S40" s="1">
        <f>'Data_Raw++ (2014)'!S42</f>
        <v>231.55049628049895</v>
      </c>
      <c r="T40" s="1">
        <f>'Data_Raw++ (2014)'!T42</f>
        <v>148.04048122851574</v>
      </c>
      <c r="U40" s="1">
        <f>'Data_Raw++ (2014)'!U42</f>
        <v>19.415145079149607</v>
      </c>
      <c r="V40" s="1">
        <f>'Data_Raw++ (2014)'!V42</f>
        <v>8.7227463399077951</v>
      </c>
      <c r="W40" s="1">
        <f>'Data_Raw++ (2014)'!W42</f>
        <v>36.232946335001614</v>
      </c>
      <c r="X40" s="1">
        <f>'Data_Raw++ (2014)'!X42</f>
        <v>18.665457202879619</v>
      </c>
      <c r="Y40" s="1">
        <f>'Data_Raw++ (2014)'!Y42</f>
        <v>30.454167015224638</v>
      </c>
      <c r="Z40" s="1">
        <f>'Data_Raw++ (2014)'!Z42</f>
        <v>8.5896368504479739</v>
      </c>
      <c r="AA40" s="1">
        <f>'Data_Raw++ (2014)'!AA42</f>
        <v>25.768910551343922</v>
      </c>
    </row>
    <row r="41" spans="1:27" x14ac:dyDescent="0.2">
      <c r="A41" s="1" t="s">
        <v>113</v>
      </c>
      <c r="B41" s="1">
        <f>'Data_Raw++ (2014)'!B43</f>
        <v>15000</v>
      </c>
      <c r="C41" s="1">
        <f>'Data_Raw++ (2014)'!C43</f>
        <v>2241.3793103448274</v>
      </c>
      <c r="D41" s="1">
        <f>'Data_Raw++ (2014)'!D43</f>
        <v>5229.8850574712642</v>
      </c>
      <c r="E41" s="1">
        <f>'Data_Raw++ (2014)'!E43</f>
        <v>3945.3518854607782</v>
      </c>
      <c r="F41" s="1">
        <f>'Data_Raw++ (2014)'!F43</f>
        <v>4274.1312092491762</v>
      </c>
      <c r="G41" s="1">
        <f>'Data_Raw++ (2014)'!G43</f>
        <v>2510.2040435272938</v>
      </c>
      <c r="H41" s="1">
        <f>'Data_Raw++ (2014)'!H43</f>
        <v>1604.8845524190895</v>
      </c>
      <c r="I41" s="1">
        <f>'Data_Raw++ (2014)'!I43</f>
        <v>32.752745967736516</v>
      </c>
      <c r="J41" s="1">
        <f>'Data_Raw++ (2014)'!J43</f>
        <v>1604.8845524190892</v>
      </c>
      <c r="K41" s="1">
        <f>'Data_Raw++ (2014)'!K43</f>
        <v>1115.2587567658077</v>
      </c>
      <c r="L41" s="1">
        <f>'Data_Raw++ (2014)'!L43</f>
        <v>477.9680386139176</v>
      </c>
      <c r="M41" s="1">
        <f>'Data_Raw++ (2014)'!M43</f>
        <v>235.41709364566088</v>
      </c>
      <c r="N41" s="1">
        <f>'Data_Raw++ (2014)'!N43</f>
        <v>400.845321612882</v>
      </c>
      <c r="O41" s="1">
        <f>'Data_Raw++ (2014)'!O43</f>
        <v>553.54830127493233</v>
      </c>
      <c r="P41" s="1">
        <f>'Data_Raw++ (2014)'!P43</f>
        <v>194.48994369119245</v>
      </c>
      <c r="Q41" s="1">
        <f>'Data_Raw++ (2014)'!Q43</f>
        <v>75.634978102130404</v>
      </c>
      <c r="R41" s="1">
        <f>'Data_Raw++ (2014)'!R43</f>
        <v>9.3481433609374669</v>
      </c>
      <c r="S41" s="1">
        <f>'Data_Raw++ (2014)'!S43</f>
        <v>68.553051313541417</v>
      </c>
      <c r="T41" s="1">
        <f>'Data_Raw++ (2014)'!T43</f>
        <v>102.82957697031212</v>
      </c>
      <c r="U41" s="1">
        <f>'Data_Raw++ (2014)'!U43</f>
        <v>39.989279932899159</v>
      </c>
      <c r="V41" s="1">
        <f>'Data_Raw++ (2014)'!V43</f>
        <v>38.421072876707036</v>
      </c>
      <c r="W41" s="1">
        <f>'Data_Raw++ (2014)'!W43</f>
        <v>26.699389626186246</v>
      </c>
      <c r="X41" s="1">
        <f>'Data_Raw++ (2014)'!X43</f>
        <v>26.699389626186246</v>
      </c>
      <c r="Y41" s="1">
        <f>'Data_Raw++ (2014)'!Y43</f>
        <v>21.844955148697839</v>
      </c>
      <c r="Z41" s="1">
        <f>'Data_Raw++ (2014)'!Z43</f>
        <v>20.988290240905766</v>
      </c>
      <c r="AA41" s="1">
        <f>'Data_Raw++ (2014)'!AA43</f>
        <v>24.638427674106769</v>
      </c>
    </row>
    <row r="42" spans="1:27" x14ac:dyDescent="0.2">
      <c r="A42" s="1" t="s">
        <v>110</v>
      </c>
      <c r="B42" s="1">
        <f>'Data_Raw++ (2014)'!B44</f>
        <v>15000</v>
      </c>
      <c r="C42" s="1">
        <f>'Data_Raw++ (2014)'!C44</f>
        <v>1483.5164835164835</v>
      </c>
      <c r="D42" s="1">
        <f>'Data_Raw++ (2014)'!D44</f>
        <v>3814.7566718995286</v>
      </c>
      <c r="E42" s="1">
        <f>'Data_Raw++ (2014)'!E44</f>
        <v>5267.9973088136348</v>
      </c>
      <c r="F42" s="1">
        <f>'Data_Raw++ (2014)'!F44</f>
        <v>3814.7566718995286</v>
      </c>
      <c r="G42" s="1">
        <f>'Data_Raw++ (2014)'!G44</f>
        <v>1271.5855572998428</v>
      </c>
      <c r="H42" s="1">
        <f>'Data_Raw++ (2014)'!H44</f>
        <v>1988.8902306484717</v>
      </c>
      <c r="I42" s="1">
        <f>'Data_Raw++ (2014)'!I44</f>
        <v>20.089800309580525</v>
      </c>
      <c r="J42" s="1">
        <f>'Data_Raw++ (2014)'!J44</f>
        <v>649.57021000977022</v>
      </c>
      <c r="K42" s="1">
        <f>'Data_Raw++ (2014)'!K44</f>
        <v>793.91914556749703</v>
      </c>
      <c r="L42" s="1">
        <f>'Data_Raw++ (2014)'!L44</f>
        <v>264.63971518916566</v>
      </c>
      <c r="M42" s="1">
        <f>'Data_Raw++ (2014)'!M44</f>
        <v>125.10241081669648</v>
      </c>
      <c r="N42" s="1">
        <f>'Data_Raw++ (2014)'!N44</f>
        <v>199.64048689708989</v>
      </c>
      <c r="O42" s="1">
        <f>'Data_Raw++ (2014)'!O44</f>
        <v>465.82780275987642</v>
      </c>
      <c r="P42" s="1">
        <f>'Data_Raw++ (2014)'!P44</f>
        <v>116.45695068996912</v>
      </c>
      <c r="Q42" s="1">
        <f>'Data_Raw++ (2014)'!Q44</f>
        <v>95.282959655429281</v>
      </c>
      <c r="R42" s="1">
        <f>'Data_Raw++ (2014)'!R44</f>
        <v>6.8059256896735203</v>
      </c>
      <c r="S42" s="1">
        <f>'Data_Raw++ (2014)'!S44</f>
        <v>53.596664806178964</v>
      </c>
      <c r="T42" s="1">
        <f>'Data_Raw++ (2014)'!T44</f>
        <v>49.473844436472888</v>
      </c>
      <c r="U42" s="1">
        <f>'Data_Raw++ (2014)'!U44</f>
        <v>25.486525921819368</v>
      </c>
      <c r="V42" s="1">
        <f>'Data_Raw++ (2014)'!V44</f>
        <v>6.371631480454842</v>
      </c>
      <c r="W42" s="1">
        <f>'Data_Raw++ (2014)'!W44</f>
        <v>6.6902130544775842</v>
      </c>
      <c r="X42" s="1">
        <f>'Data_Raw++ (2014)'!X44</f>
        <v>6.6902130544775842</v>
      </c>
      <c r="Y42" s="1">
        <f>'Data_Raw++ (2014)'!Y44</f>
        <v>13.451222014293556</v>
      </c>
      <c r="Z42" s="1">
        <f>'Data_Raw++ (2014)'!Z44</f>
        <v>10.568817296944937</v>
      </c>
      <c r="AA42" s="1">
        <f>'Data_Raw++ (2014)'!AA44</f>
        <v>12.917443362932701</v>
      </c>
    </row>
    <row r="43" spans="1:27" x14ac:dyDescent="0.2">
      <c r="A43" s="1" t="s">
        <v>101</v>
      </c>
      <c r="B43" s="1">
        <f>'Data_Raw++ (2014)'!B45</f>
        <v>15000</v>
      </c>
      <c r="C43" s="1">
        <f>'Data_Raw++ (2014)'!C45</f>
        <v>1129.0322580645161</v>
      </c>
      <c r="D43" s="1">
        <f>'Data_Raw++ (2014)'!D45</f>
        <v>3575.2688172043008</v>
      </c>
      <c r="E43" s="1">
        <f>'Data_Raw++ (2014)'!E45</f>
        <v>5362.9032258064499</v>
      </c>
      <c r="F43" s="1">
        <f>'Data_Raw++ (2014)'!F45</f>
        <v>6554.6594982078841</v>
      </c>
      <c r="G43" s="1">
        <f>'Data_Raw++ (2014)'!G45</f>
        <v>1537.5127218018492</v>
      </c>
      <c r="H43" s="1">
        <f>'Data_Raw++ (2014)'!H45</f>
        <v>2404.8275905105847</v>
      </c>
      <c r="I43" s="1">
        <f>'Data_Raw++ (2014)'!I45</f>
        <v>40.460861100048668</v>
      </c>
      <c r="J43" s="1">
        <f>'Data_Raw++ (2014)'!J45</f>
        <v>4005.6252489048184</v>
      </c>
      <c r="K43" s="1">
        <f>'Data_Raw++ (2014)'!K45</f>
        <v>4169.1201570233825</v>
      </c>
      <c r="L43" s="1">
        <f>'Data_Raw++ (2014)'!L45</f>
        <v>1873.082969097462</v>
      </c>
      <c r="M43" s="1">
        <f>'Data_Raw++ (2014)'!M45</f>
        <v>497.90813102590755</v>
      </c>
      <c r="N43" s="1">
        <f>'Data_Raw++ (2014)'!N45</f>
        <v>746.86219653886133</v>
      </c>
      <c r="O43" s="1">
        <f>'Data_Raw++ (2014)'!O45</f>
        <v>1828.5246880779018</v>
      </c>
      <c r="P43" s="1">
        <f>'Data_Raw++ (2014)'!P45</f>
        <v>711.09293425251747</v>
      </c>
      <c r="Q43" s="1">
        <f>'Data_Raw++ (2014)'!Q45</f>
        <v>474.06195616834503</v>
      </c>
      <c r="R43" s="1">
        <f>'Data_Raw++ (2014)'!R45</f>
        <v>9.6747337993539801</v>
      </c>
      <c r="S43" s="1">
        <f>'Data_Raw++ (2014)'!S45</f>
        <v>111.25943869257078</v>
      </c>
      <c r="T43" s="1">
        <f>'Data_Raw++ (2014)'!T45</f>
        <v>153.64398676593109</v>
      </c>
      <c r="U43" s="1">
        <f>'Data_Raw++ (2014)'!U45</f>
        <v>130.88191465245981</v>
      </c>
      <c r="V43" s="1">
        <f>'Data_Raw++ (2014)'!V45</f>
        <v>196.32287197868968</v>
      </c>
      <c r="W43" s="1">
        <f>'Data_Raw++ (2014)'!W45</f>
        <v>174.09764118864931</v>
      </c>
      <c r="X43" s="1">
        <f>'Data_Raw++ (2014)'!X45</f>
        <v>40.837718303510329</v>
      </c>
      <c r="Y43" s="1">
        <f>'Data_Raw++ (2014)'!Y45</f>
        <v>90.89685686910363</v>
      </c>
      <c r="Z43" s="1">
        <f>'Data_Raw++ (2014)'!Z45</f>
        <v>42.774991467813472</v>
      </c>
      <c r="AA43" s="1">
        <f>'Data_Raw++ (2014)'!AA45</f>
        <v>26.216930254466323</v>
      </c>
    </row>
    <row r="44" spans="1:27" x14ac:dyDescent="0.2">
      <c r="A44" s="1" t="s">
        <v>115</v>
      </c>
      <c r="B44" s="1">
        <f>'Data_Raw++ (2014)'!B46</f>
        <v>15000</v>
      </c>
      <c r="C44" s="1">
        <f>'Data_Raw++ (2014)'!C46</f>
        <v>957.44680851063833</v>
      </c>
      <c r="D44" s="1">
        <f>'Data_Raw++ (2014)'!D46</f>
        <v>3031.9148936170218</v>
      </c>
      <c r="E44" s="1">
        <f>'Data_Raw++ (2014)'!E46</f>
        <v>7074.468085106384</v>
      </c>
      <c r="F44" s="1">
        <f>'Data_Raw++ (2014)'!F46</f>
        <v>5122.8906823184161</v>
      </c>
      <c r="G44" s="1">
        <f>'Data_Raw++ (2014)'!G46</f>
        <v>1361.7810674517307</v>
      </c>
      <c r="H44" s="1">
        <f>'Data_Raw++ (2014)'!H46</f>
        <v>1880.5548074333424</v>
      </c>
      <c r="I44" s="1">
        <f>'Data_Raw++ (2014)'!I46</f>
        <v>73.268369120779582</v>
      </c>
      <c r="J44" s="1">
        <f>'Data_Raw++ (2014)'!J46</f>
        <v>7253.5685429571786</v>
      </c>
      <c r="K44" s="1">
        <f>'Data_Raw++ (2014)'!K46</f>
        <v>5252.5841173138188</v>
      </c>
      <c r="L44" s="1">
        <f>'Data_Raw++ (2014)'!L46</f>
        <v>2359.8566324163535</v>
      </c>
      <c r="M44" s="1">
        <f>'Data_Raw++ (2014)'!M46</f>
        <v>829.138816794935</v>
      </c>
      <c r="N44" s="1">
        <f>'Data_Raw++ (2014)'!N46</f>
        <v>735.27404508230086</v>
      </c>
      <c r="O44" s="1">
        <f>'Data_Raw++ (2014)'!O46</f>
        <v>2461.5696291885724</v>
      </c>
      <c r="P44" s="1">
        <f>'Data_Raw++ (2014)'!P46</f>
        <v>1384.6329164185718</v>
      </c>
      <c r="Q44" s="1">
        <f>'Data_Raw++ (2014)'!Q46</f>
        <v>1002.6652153375865</v>
      </c>
      <c r="R44" s="1">
        <f>'Data_Raw++ (2014)'!R46</f>
        <v>31.010264391884121</v>
      </c>
      <c r="S44" s="1">
        <f>'Data_Raw++ (2014)'!S46</f>
        <v>162.80388805739162</v>
      </c>
      <c r="T44" s="1">
        <f>'Data_Raw++ (2014)'!T46</f>
        <v>138.68479353037063</v>
      </c>
      <c r="U44" s="1">
        <f>'Data_Raw++ (2014)'!U46</f>
        <v>199.5708004461431</v>
      </c>
      <c r="V44" s="1">
        <f>'Data_Raw++ (2014)'!V46</f>
        <v>93.915670798184991</v>
      </c>
      <c r="W44" s="1">
        <f>'Data_Raw++ (2014)'!W46</f>
        <v>70.848663935472899</v>
      </c>
      <c r="X44" s="1">
        <f>'Data_Raw++ (2014)'!X46</f>
        <v>30.996290471769392</v>
      </c>
      <c r="Y44" s="1">
        <f>'Data_Raw++ (2014)'!Y46</f>
        <v>73.609579814793648</v>
      </c>
      <c r="Z44" s="1">
        <f>'Data_Raw++ (2014)'!Z46</f>
        <v>43.231023065831188</v>
      </c>
      <c r="AA44" s="1">
        <f>'Data_Raw++ (2014)'!AA46</f>
        <v>28.820682043887459</v>
      </c>
    </row>
    <row r="45" spans="1:27" x14ac:dyDescent="0.2">
      <c r="A45" s="1" t="s">
        <v>111</v>
      </c>
      <c r="B45" s="1">
        <f>'Data_Raw++ (2014)'!B47</f>
        <v>20000</v>
      </c>
      <c r="C45" s="1">
        <f>'Data_Raw++ (2014)'!C47</f>
        <v>1052.6315789473686</v>
      </c>
      <c r="D45" s="1">
        <f>'Data_Raw++ (2014)'!D47</f>
        <v>3157.8947368421059</v>
      </c>
      <c r="E45" s="1">
        <f>'Data_Raw++ (2014)'!E47</f>
        <v>5376.9559032716943</v>
      </c>
      <c r="F45" s="1">
        <f>'Data_Raw++ (2014)'!F47</f>
        <v>5376.9559032716943</v>
      </c>
      <c r="G45" s="1">
        <f>'Data_Raw++ (2014)'!G47</f>
        <v>1697.9860747173771</v>
      </c>
      <c r="H45" s="1">
        <f>'Data_Raw++ (2014)'!H47</f>
        <v>2770.398332433615</v>
      </c>
      <c r="I45" s="1">
        <f>'Data_Raw++ (2014)'!I47</f>
        <v>40.741151947553163</v>
      </c>
      <c r="J45" s="1">
        <f>'Data_Raw++ (2014)'!J47</f>
        <v>1996.316445430105</v>
      </c>
      <c r="K45" s="1">
        <f>'Data_Raw++ (2014)'!K47</f>
        <v>2872.7480556189316</v>
      </c>
      <c r="L45" s="1">
        <f>'Data_Raw++ (2014)'!L47</f>
        <v>1062.5232534480981</v>
      </c>
      <c r="M45" s="1">
        <f>'Data_Raw++ (2014)'!M47</f>
        <v>392.988052645187</v>
      </c>
      <c r="N45" s="1">
        <f>'Data_Raw++ (2014)'!N47</f>
        <v>461.33380093130648</v>
      </c>
      <c r="O45" s="1">
        <f>'Data_Raw++ (2014)'!O47</f>
        <v>980.33432697902629</v>
      </c>
      <c r="P45" s="1">
        <f>'Data_Raw++ (2014)'!P47</f>
        <v>681.24927807017082</v>
      </c>
      <c r="Q45" s="1">
        <f>'Data_Raw++ (2014)'!Q47</f>
        <v>251.9689110670495</v>
      </c>
      <c r="R45" s="1">
        <f>'Data_Raw++ (2014)'!R47</f>
        <v>7.7928529195994694</v>
      </c>
      <c r="S45" s="1">
        <f>'Data_Raw++ (2014)'!S47</f>
        <v>70.135676276395216</v>
      </c>
      <c r="T45" s="1">
        <f>'Data_Raw++ (2014)'!T47</f>
        <v>96.854029143593394</v>
      </c>
      <c r="U45" s="1">
        <f>'Data_Raw++ (2014)'!U47</f>
        <v>47.704223309531073</v>
      </c>
      <c r="V45" s="1">
        <f>'Data_Raw++ (2014)'!V47</f>
        <v>68.647540860056907</v>
      </c>
      <c r="W45" s="1">
        <f>'Data_Raw++ (2014)'!W47</f>
        <v>185.60261047348718</v>
      </c>
      <c r="X45" s="1">
        <f>'Data_Raw++ (2014)'!X47</f>
        <v>22.939648485487179</v>
      </c>
      <c r="Y45" s="1">
        <f>'Data_Raw++ (2014)'!Y47</f>
        <v>97.795343543392718</v>
      </c>
      <c r="Z45" s="1">
        <f>'Data_Raw++ (2014)'!Z47</f>
        <v>29.211596123351072</v>
      </c>
      <c r="AA45" s="1">
        <f>'Data_Raw++ (2014)'!AA47</f>
        <v>31.645895800296998</v>
      </c>
    </row>
    <row r="46" spans="1:27" x14ac:dyDescent="0.2">
      <c r="A46" s="1" t="s">
        <v>127</v>
      </c>
      <c r="B46" s="1">
        <f>'Data_Raw++ (2014)'!B48</f>
        <v>11000</v>
      </c>
      <c r="C46" s="1">
        <f>'Data_Raw++ (2014)'!C48</f>
        <v>3473.6842105263154</v>
      </c>
      <c r="D46" s="1">
        <f>'Data_Raw++ (2014)'!D48</f>
        <v>6743.034055727554</v>
      </c>
      <c r="E46" s="1">
        <f>'Data_Raw++ (2014)'!E48</f>
        <v>5979.6717097961318</v>
      </c>
      <c r="F46" s="1">
        <f>'Data_Raw++ (2014)'!F48</f>
        <v>5519.6969628887364</v>
      </c>
      <c r="G46" s="1">
        <f>'Data_Raw++ (2014)'!G48</f>
        <v>4336.9047565554356</v>
      </c>
      <c r="H46" s="1">
        <f>'Data_Raw++ (2014)'!H48</f>
        <v>1686.5740719937805</v>
      </c>
      <c r="I46" s="1">
        <f>'Data_Raw++ (2014)'!I48</f>
        <v>126.94643552641359</v>
      </c>
      <c r="J46" s="1">
        <f>'Data_Raw++ (2014)'!J48</f>
        <v>2411.9822750018584</v>
      </c>
      <c r="K46" s="1">
        <f>'Data_Raw++ (2014)'!K48</f>
        <v>1187.9912697770349</v>
      </c>
      <c r="L46" s="1">
        <f>'Data_Raw++ (2014)'!L48</f>
        <v>533.73520816069686</v>
      </c>
      <c r="M46" s="1">
        <f>'Data_Raw++ (2014)'!M48</f>
        <v>626.55872262342677</v>
      </c>
      <c r="N46" s="1">
        <f>'Data_Raw++ (2014)'!N48</f>
        <v>765.79399431752165</v>
      </c>
      <c r="O46" s="1">
        <f>'Data_Raw++ (2014)'!O48</f>
        <v>652.34303219640731</v>
      </c>
      <c r="P46" s="1">
        <f>'Data_Raw++ (2014)'!P48</f>
        <v>321.3032845146484</v>
      </c>
      <c r="Q46" s="1">
        <f>'Data_Raw++ (2014)'!Q48</f>
        <v>101.46419510988896</v>
      </c>
      <c r="R46" s="1">
        <f>'Data_Raw++ (2014)'!R48</f>
        <v>20.781823094796536</v>
      </c>
      <c r="S46" s="1">
        <f>'Data_Raw++ (2014)'!S48</f>
        <v>109.10457124768182</v>
      </c>
      <c r="T46" s="1">
        <f>'Data_Raw++ (2014)'!T48</f>
        <v>104.82596061051781</v>
      </c>
      <c r="U46" s="1">
        <f>'Data_Raw++ (2014)'!U48</f>
        <v>163.95855377542529</v>
      </c>
      <c r="V46" s="1">
        <f>'Data_Raw++ (2014)'!V48</f>
        <v>38.459413848556544</v>
      </c>
      <c r="W46" s="1">
        <f>'Data_Raw++ (2014)'!W48</f>
        <v>43.369126254755251</v>
      </c>
      <c r="X46" s="1">
        <f>'Data_Raw++ (2014)'!X48</f>
        <v>38.459413848556544</v>
      </c>
      <c r="Y46" s="1">
        <f>'Data_Raw++ (2014)'!Y48</f>
        <v>41.664365002602928</v>
      </c>
      <c r="Z46" s="1">
        <f>'Data_Raw++ (2014)'!Z48</f>
        <v>18.718772682328851</v>
      </c>
      <c r="AA46" s="1">
        <f>'Data_Raw++ (2014)'!AA48</f>
        <v>25.849733704168411</v>
      </c>
    </row>
    <row r="47" spans="1:27" x14ac:dyDescent="0.2">
      <c r="A47" s="1" t="s">
        <v>133</v>
      </c>
      <c r="B47" s="1">
        <f>'Data_Raw++ (2014)'!B49</f>
        <v>10000</v>
      </c>
      <c r="C47" s="1">
        <f>'Data_Raw++ (2014)'!C49</f>
        <v>5384.6153846153848</v>
      </c>
      <c r="D47" s="1">
        <f>'Data_Raw++ (2014)'!D49</f>
        <v>8076.9230769230762</v>
      </c>
      <c r="E47" s="1">
        <f>'Data_Raw++ (2014)'!E49</f>
        <v>9481.6053511705686</v>
      </c>
      <c r="F47" s="1">
        <f>'Data_Raw++ (2014)'!F49</f>
        <v>8076.9230769230762</v>
      </c>
      <c r="G47" s="1">
        <f>'Data_Raw++ (2014)'!G49</f>
        <v>5384.6153846153848</v>
      </c>
      <c r="H47" s="1">
        <f>'Data_Raw++ (2014)'!H49</f>
        <v>2094.0170940170942</v>
      </c>
      <c r="I47" s="1">
        <f>'Data_Raw++ (2014)'!I49</f>
        <v>157.61418987225443</v>
      </c>
      <c r="J47" s="1">
        <f>'Data_Raw++ (2014)'!J49</f>
        <v>2994.6696075728341</v>
      </c>
      <c r="K47" s="1">
        <f>'Data_Raw++ (2014)'!K49</f>
        <v>1684.5016542597193</v>
      </c>
      <c r="L47" s="1">
        <f>'Data_Raw++ (2014)'!L49</f>
        <v>1032.4364977720859</v>
      </c>
      <c r="M47" s="1">
        <f>'Data_Raw++ (2014)'!M49</f>
        <v>1118.4728725864263</v>
      </c>
      <c r="N47" s="1">
        <f>'Data_Raw++ (2014)'!N49</f>
        <v>915.1141684798032</v>
      </c>
      <c r="O47" s="1">
        <f>'Data_Raw++ (2014)'!O49</f>
        <v>748.72977421074802</v>
      </c>
      <c r="P47" s="1">
        <f>'Data_Raw++ (2014)'!P49</f>
        <v>249.57659140358268</v>
      </c>
      <c r="Q47" s="1">
        <f>'Data_Raw++ (2014)'!Q49</f>
        <v>221.32263765978084</v>
      </c>
      <c r="R47" s="1">
        <f>'Data_Raw++ (2014)'!R49</f>
        <v>30.180359680879203</v>
      </c>
      <c r="S47" s="1">
        <f>'Data_Raw++ (2014)'!S49</f>
        <v>573.42683393670484</v>
      </c>
      <c r="T47" s="1">
        <f>'Data_Raw++ (2014)'!T49</f>
        <v>152.42991788190886</v>
      </c>
      <c r="U47" s="1">
        <f>'Data_Raw++ (2014)'!U49</f>
        <v>114.99099068284355</v>
      </c>
      <c r="V47" s="1">
        <f>'Data_Raw++ (2014)'!V49</f>
        <v>94.083537831417445</v>
      </c>
      <c r="W47" s="1">
        <f>'Data_Raw++ (2014)'!W49</f>
        <v>97.92368223269979</v>
      </c>
      <c r="X47" s="1">
        <f>'Data_Raw++ (2014)'!X49</f>
        <v>146.88552334904966</v>
      </c>
      <c r="Y47" s="1">
        <f>'Data_Raw++ (2014)'!Y49</f>
        <v>141.12530674712616</v>
      </c>
      <c r="Z47" s="1">
        <f>'Data_Raw++ (2014)'!Z49</f>
        <v>52.197031262635704</v>
      </c>
      <c r="AA47" s="1">
        <f>'Data_Raw++ (2014)'!AA49</f>
        <v>96.937343773466324</v>
      </c>
    </row>
    <row r="48" spans="1:27" x14ac:dyDescent="0.2">
      <c r="A48" s="1" t="s">
        <v>145</v>
      </c>
      <c r="B48" s="1">
        <f>'Data_Raw++ (2014)'!B50</f>
        <v>8000</v>
      </c>
      <c r="C48" s="1">
        <f>'Data_Raw++ (2014)'!C50</f>
        <v>3428.5714285714289</v>
      </c>
      <c r="D48" s="1">
        <f>'Data_Raw++ (2014)'!D50</f>
        <v>5593.9849624060153</v>
      </c>
      <c r="E48" s="1">
        <f>'Data_Raw++ (2014)'!E50</f>
        <v>6837.0927318295753</v>
      </c>
      <c r="F48" s="1">
        <f>'Data_Raw++ (2014)'!F50</f>
        <v>6311.1625216888378</v>
      </c>
      <c r="G48" s="1">
        <f>'Data_Raw++ (2014)'!G50</f>
        <v>4207.4416811258916</v>
      </c>
      <c r="H48" s="1">
        <f>'Data_Raw++ (2014)'!H50</f>
        <v>1718.5325176429697</v>
      </c>
      <c r="I48" s="1">
        <f>'Data_Raw++ (2014)'!I50</f>
        <v>129.35190993011599</v>
      </c>
      <c r="J48" s="1">
        <f>'Data_Raw++ (2014)'!J50</f>
        <v>2457.6862886722038</v>
      </c>
      <c r="K48" s="1">
        <f>'Data_Raw++ (2014)'!K50</f>
        <v>1323.3695400542633</v>
      </c>
      <c r="L48" s="1">
        <f>'Data_Raw++ (2014)'!L50</f>
        <v>811.09746003325824</v>
      </c>
      <c r="M48" s="1">
        <f>'Data_Raw++ (2014)'!M50</f>
        <v>1120.0869686173567</v>
      </c>
      <c r="N48" s="1">
        <f>'Data_Raw++ (2014)'!N50</f>
        <v>746.72464574490459</v>
      </c>
      <c r="O48" s="1">
        <f>'Data_Raw++ (2014)'!O50</f>
        <v>689.28428837991191</v>
      </c>
      <c r="P48" s="1">
        <f>'Data_Raw++ (2014)'!P50</f>
        <v>422.46456384575248</v>
      </c>
      <c r="Q48" s="1">
        <f>'Data_Raw++ (2014)'!Q50</f>
        <v>198.80685357447175</v>
      </c>
      <c r="R48" s="1">
        <f>'Data_Raw++ (2014)'!R50</f>
        <v>43.640528833420625</v>
      </c>
      <c r="S48" s="1">
        <f>'Data_Raw++ (2014)'!S50</f>
        <v>441.25423598236415</v>
      </c>
      <c r="T48" s="1">
        <f>'Data_Raw++ (2014)'!T50</f>
        <v>139.3434429417992</v>
      </c>
      <c r="U48" s="1">
        <f>'Data_Raw++ (2014)'!U50</f>
        <v>150.95539652028248</v>
      </c>
      <c r="V48" s="1">
        <f>'Data_Raw++ (2014)'!V50</f>
        <v>81.283675049382865</v>
      </c>
      <c r="W48" s="1">
        <f>'Data_Raw++ (2014)'!W50</f>
        <v>157.78595744880204</v>
      </c>
      <c r="X48" s="1">
        <f>'Data_Raw++ (2014)'!X50</f>
        <v>123.97468085263017</v>
      </c>
      <c r="Y48" s="1">
        <f>'Data_Raw++ (2014)'!Y50</f>
        <v>123.97468085263017</v>
      </c>
      <c r="Z48" s="1">
        <f>'Data_Raw++ (2014)'!Z50</f>
        <v>50.637545700370069</v>
      </c>
      <c r="AA48" s="1">
        <f>'Data_Raw++ (2014)'!AA50</f>
        <v>455.73791130333058</v>
      </c>
    </row>
    <row r="49" spans="1:27" x14ac:dyDescent="0.2">
      <c r="A49" s="1" t="s">
        <v>142</v>
      </c>
      <c r="B49" s="1">
        <f>'Data_Raw++ (2014)'!B51</f>
        <v>10000</v>
      </c>
      <c r="C49" s="1">
        <f>'Data_Raw++ (2014)'!C51</f>
        <v>3333.3333333333335</v>
      </c>
      <c r="D49" s="1">
        <f>'Data_Raw++ (2014)'!D51</f>
        <v>5213.6752136752139</v>
      </c>
      <c r="E49" s="1">
        <f>'Data_Raw++ (2014)'!E51</f>
        <v>4265.7342657342651</v>
      </c>
      <c r="F49" s="1">
        <f>'Data_Raw++ (2014)'!F51</f>
        <v>3490.1462174189442</v>
      </c>
      <c r="G49" s="1">
        <f>'Data_Raw++ (2014)'!G51</f>
        <v>2326.7641449459629</v>
      </c>
      <c r="H49" s="1">
        <f>'Data_Raw++ (2014)'!H51</f>
        <v>2063.3568832539672</v>
      </c>
      <c r="I49" s="1">
        <f>'Data_Raw++ (2014)'!I51</f>
        <v>42.109324148040152</v>
      </c>
      <c r="J49" s="1">
        <f>'Data_Raw++ (2014)'!J51</f>
        <v>1361.5348141199647</v>
      </c>
      <c r="K49" s="1">
        <f>'Data_Raw++ (2014)'!K51</f>
        <v>985.93900332825046</v>
      </c>
      <c r="L49" s="1">
        <f>'Data_Raw++ (2014)'!L51</f>
        <v>463.97129568388254</v>
      </c>
      <c r="M49" s="1">
        <f>'Data_Raw++ (2014)'!M51</f>
        <v>138.58882858089999</v>
      </c>
      <c r="N49" s="1">
        <f>'Data_Raw++ (2014)'!N51</f>
        <v>554.35531432359994</v>
      </c>
      <c r="O49" s="1">
        <f>'Data_Raw++ (2014)'!O51</f>
        <v>453.56343899203631</v>
      </c>
      <c r="P49" s="1">
        <f>'Data_Raw++ (2014)'!P51</f>
        <v>159.36012721341817</v>
      </c>
      <c r="Q49" s="1">
        <f>'Data_Raw++ (2014)'!Q51</f>
        <v>50.324250698974161</v>
      </c>
      <c r="R49" s="1">
        <f>'Data_Raw++ (2014)'!R51</f>
        <v>11.046786738799208</v>
      </c>
      <c r="S49" s="1">
        <f>'Data_Raw++ (2014)'!S51</f>
        <v>89.378547250284498</v>
      </c>
      <c r="T49" s="1">
        <f>'Data_Raw++ (2014)'!T51</f>
        <v>118.47853937828408</v>
      </c>
      <c r="U49" s="1">
        <f>'Data_Raw++ (2014)'!U51</f>
        <v>41.627594916694406</v>
      </c>
      <c r="V49" s="1">
        <f>'Data_Raw++ (2014)'!V51</f>
        <v>24.447952570122112</v>
      </c>
      <c r="W49" s="1">
        <f>'Data_Raw++ (2014)'!W51</f>
        <v>36.671928855183168</v>
      </c>
      <c r="X49" s="1">
        <f>'Data_Raw++ (2014)'!X51</f>
        <v>25.483882763771351</v>
      </c>
      <c r="Y49" s="1">
        <f>'Data_Raw++ (2014)'!Y51</f>
        <v>22.598914903721759</v>
      </c>
      <c r="Z49" s="1">
        <f>'Data_Raw++ (2014)'!Z51</f>
        <v>25.483882763771351</v>
      </c>
      <c r="AA49" s="1">
        <f>'Data_Raw++ (2014)'!AA51</f>
        <v>186.88180693432324</v>
      </c>
    </row>
    <row r="50" spans="1:27" x14ac:dyDescent="0.2">
      <c r="A50" s="1" t="s">
        <v>128</v>
      </c>
      <c r="B50" s="1">
        <f>'Data_Raw++ (2014)'!B52</f>
        <v>10000</v>
      </c>
      <c r="C50" s="1">
        <f>'Data_Raw++ (2014)'!C52</f>
        <v>3698.6301369863017</v>
      </c>
      <c r="D50" s="1">
        <f>'Data_Raw++ (2014)'!D52</f>
        <v>7509.3399750934004</v>
      </c>
      <c r="E50" s="1">
        <f>'Data_Raw++ (2014)'!E52</f>
        <v>5900.1956947162425</v>
      </c>
      <c r="F50" s="1">
        <f>'Data_Raw++ (2014)'!F52</f>
        <v>6141.0200087862931</v>
      </c>
      <c r="G50" s="1">
        <f>'Data_Raw++ (2014)'!G52</f>
        <v>6141.0200087862931</v>
      </c>
      <c r="H50" s="1">
        <f>'Data_Raw++ (2014)'!H52</f>
        <v>5445.810196470863</v>
      </c>
      <c r="I50" s="1">
        <f>'Data_Raw++ (2014)'!I52</f>
        <v>55.008183802735992</v>
      </c>
      <c r="J50" s="1">
        <f>'Data_Raw++ (2014)'!J52</f>
        <v>5445.810196470863</v>
      </c>
      <c r="K50" s="1">
        <f>'Data_Raw++ (2014)'!K52</f>
        <v>2333.9186556303698</v>
      </c>
      <c r="L50" s="1">
        <f>'Data_Raw++ (2014)'!L52</f>
        <v>737.02694388327461</v>
      </c>
      <c r="M50" s="1">
        <f>'Data_Raw++ (2014)'!M52</f>
        <v>767.10967628667356</v>
      </c>
      <c r="N50" s="1">
        <f>'Data_Raw++ (2014)'!N52</f>
        <v>1251.599998151941</v>
      </c>
      <c r="O50" s="1">
        <f>'Data_Raw++ (2014)'!O52</f>
        <v>869.75593091914538</v>
      </c>
      <c r="P50" s="1">
        <f>'Data_Raw++ (2014)'!P52</f>
        <v>372.75254182249085</v>
      </c>
      <c r="Q50" s="1">
        <f>'Data_Raw++ (2014)'!Q52</f>
        <v>269.92425442318302</v>
      </c>
      <c r="R50" s="1">
        <f>'Data_Raw++ (2014)'!R52</f>
        <v>11.246843934299292</v>
      </c>
      <c r="S50" s="1">
        <f>'Data_Raw++ (2014)'!S52</f>
        <v>551.09535278066539</v>
      </c>
      <c r="T50" s="1">
        <f>'Data_Raw++ (2014)'!T52</f>
        <v>193.62809692293649</v>
      </c>
      <c r="U50" s="1">
        <f>'Data_Raw++ (2014)'!U52</f>
        <v>34.169664162871143</v>
      </c>
      <c r="V50" s="1">
        <f>'Data_Raw++ (2014)'!V52</f>
        <v>12.005557678846619</v>
      </c>
      <c r="W50" s="1">
        <f>'Data_Raw++ (2014)'!W52</f>
        <v>58.615369843780549</v>
      </c>
      <c r="X50" s="1">
        <f>'Data_Raw++ (2014)'!X52</f>
        <v>25.120872790191665</v>
      </c>
      <c r="Y50" s="1">
        <f>'Data_Raw++ (2014)'!Y52</f>
        <v>114.43953159976203</v>
      </c>
      <c r="Z50" s="1">
        <f>'Data_Raw++ (2014)'!Z52</f>
        <v>18.629691190658939</v>
      </c>
      <c r="AA50" s="1">
        <f>'Data_Raw++ (2014)'!AA52</f>
        <v>45.610623259889124</v>
      </c>
    </row>
    <row r="51" spans="1:27" x14ac:dyDescent="0.2">
      <c r="A51" s="1" t="s">
        <v>154</v>
      </c>
      <c r="B51" s="1">
        <f>'Data_Raw++ (2014)'!B53</f>
        <v>10000</v>
      </c>
      <c r="C51" s="1">
        <f>'Data_Raw++ (2014)'!C53</f>
        <v>2195.1219512195121</v>
      </c>
      <c r="D51" s="1">
        <f>'Data_Raw++ (2014)'!D53</f>
        <v>4076.6550522648085</v>
      </c>
      <c r="E51" s="1">
        <f>'Data_Raw++ (2014)'!E53</f>
        <v>3763.066202090592</v>
      </c>
      <c r="F51" s="1">
        <f>'Data_Raw++ (2014)'!F53</f>
        <v>3615.4949784791961</v>
      </c>
      <c r="G51" s="1">
        <f>'Data_Raw++ (2014)'!G53</f>
        <v>2123.38593974175</v>
      </c>
      <c r="H51" s="1">
        <f>'Data_Raw++ (2014)'!H53</f>
        <v>2123.38593974175</v>
      </c>
      <c r="I51" s="1">
        <f>'Data_Raw++ (2014)'!I53</f>
        <v>88.47441415590626</v>
      </c>
      <c r="J51" s="1">
        <f>'Data_Raw++ (2014)'!J53</f>
        <v>1175.445788071326</v>
      </c>
      <c r="K51" s="1">
        <f>'Data_Raw++ (2014)'!K53</f>
        <v>605.5326787034104</v>
      </c>
      <c r="L51" s="1">
        <f>'Data_Raw++ (2014)'!L53</f>
        <v>284.95655468395779</v>
      </c>
      <c r="M51" s="1">
        <f>'Data_Raw++ (2014)'!M53</f>
        <v>732.74542633017711</v>
      </c>
      <c r="N51" s="1">
        <f>'Data_Raw++ (2014)'!N53</f>
        <v>329.20446690196366</v>
      </c>
      <c r="O51" s="1">
        <f>'Data_Raw++ (2014)'!O53</f>
        <v>493.80670035294543</v>
      </c>
      <c r="P51" s="1">
        <f>'Data_Raw++ (2014)'!P53</f>
        <v>192.03593902614546</v>
      </c>
      <c r="Q51" s="1">
        <f>'Data_Raw++ (2014)'!Q53</f>
        <v>192.03593902614546</v>
      </c>
      <c r="R51" s="1">
        <f>'Data_Raw++ (2014)'!R53</f>
        <v>16.698777306621345</v>
      </c>
      <c r="S51" s="1">
        <f>'Data_Raw++ (2014)'!S53</f>
        <v>150.2889957595921</v>
      </c>
      <c r="T51" s="1">
        <f>'Data_Raw++ (2014)'!T53</f>
        <v>96.086407124985115</v>
      </c>
      <c r="U51" s="1">
        <f>'Data_Raw++ (2014)'!U53</f>
        <v>45.217132764698874</v>
      </c>
      <c r="V51" s="1">
        <f>'Data_Raw++ (2014)'!V53</f>
        <v>11.627262710922569</v>
      </c>
      <c r="W51" s="1">
        <f>'Data_Raw++ (2014)'!W53</f>
        <v>36.819665251254804</v>
      </c>
      <c r="X51" s="1">
        <f>'Data_Raw++ (2014)'!X53</f>
        <v>43.223085294951296</v>
      </c>
      <c r="Y51" s="1">
        <f>'Data_Raw++ (2014)'!Y53</f>
        <v>70.521876007552109</v>
      </c>
      <c r="Z51" s="1">
        <f>'Data_Raw++ (2014)'!Z53</f>
        <v>62.538267402923559</v>
      </c>
      <c r="AA51" s="1">
        <f>'Data_Raw++ (2014)'!AA53</f>
        <v>67.74978968650052</v>
      </c>
    </row>
    <row r="52" spans="1:27" x14ac:dyDescent="0.2">
      <c r="A52" s="1" t="s">
        <v>147</v>
      </c>
      <c r="B52" s="1">
        <f>'Data_Raw++ (2014)'!B54</f>
        <v>8000</v>
      </c>
      <c r="C52" s="1">
        <f>'Data_Raw++ (2014)'!C54</f>
        <v>1411.7647058823529</v>
      </c>
      <c r="D52" s="1">
        <f>'Data_Raw++ (2014)'!D54</f>
        <v>3456.3894523326571</v>
      </c>
      <c r="E52" s="1">
        <f>'Data_Raw++ (2014)'!E54</f>
        <v>6419.0089829035069</v>
      </c>
      <c r="F52" s="1">
        <f>'Data_Raw++ (2014)'!F54</f>
        <v>5043.5070579956118</v>
      </c>
      <c r="G52" s="1">
        <f>'Data_Raw++ (2014)'!G54</f>
        <v>2161.5030248552625</v>
      </c>
      <c r="H52" s="1">
        <f>'Data_Raw++ (2014)'!H54</f>
        <v>1441.0020165701753</v>
      </c>
      <c r="I52" s="1">
        <f>'Data_Raw++ (2014)'!I54</f>
        <v>91.978852121500566</v>
      </c>
      <c r="J52" s="1">
        <f>'Data_Raw++ (2014)'!J54</f>
        <v>1441.0020165701753</v>
      </c>
      <c r="K52" s="1">
        <f>'Data_Raw++ (2014)'!K54</f>
        <v>1384.4921335674235</v>
      </c>
      <c r="L52" s="1">
        <f>'Data_Raw++ (2014)'!L54</f>
        <v>486.44318206422986</v>
      </c>
      <c r="M52" s="1">
        <f>'Data_Raw++ (2014)'!M54</f>
        <v>506.29800582195355</v>
      </c>
      <c r="N52" s="1">
        <f>'Data_Raw++ (2014)'!N54</f>
        <v>260.82018481737003</v>
      </c>
      <c r="O52" s="1">
        <f>'Data_Raw++ (2014)'!O54</f>
        <v>608.58043124053006</v>
      </c>
      <c r="P52" s="1">
        <f>'Data_Raw++ (2014)'!P54</f>
        <v>327.69715528336235</v>
      </c>
      <c r="Q52" s="1">
        <f>'Data_Raw++ (2014)'!Q54</f>
        <v>147.226258170786</v>
      </c>
      <c r="R52" s="1">
        <f>'Data_Raw++ (2014)'!R54</f>
        <v>11.081546313930129</v>
      </c>
      <c r="S52" s="1">
        <f>'Data_Raw++ (2014)'!S54</f>
        <v>147.226258170786</v>
      </c>
      <c r="T52" s="1">
        <f>'Data_Raw++ (2014)'!T54</f>
        <v>60.13466883032104</v>
      </c>
      <c r="U52" s="1">
        <f>'Data_Raw++ (2014)'!U54</f>
        <v>41.788498678697671</v>
      </c>
      <c r="V52" s="1">
        <f>'Data_Raw++ (2014)'!V54</f>
        <v>22.501499288529512</v>
      </c>
      <c r="W52" s="1">
        <f>'Data_Raw++ (2014)'!W54</f>
        <v>43.679380971851408</v>
      </c>
      <c r="X52" s="1">
        <f>'Data_Raw++ (2014)'!X54</f>
        <v>53.385910076707276</v>
      </c>
      <c r="Y52" s="1">
        <f>'Data_Raw++ (2014)'!Y54</f>
        <v>60.201132639691195</v>
      </c>
      <c r="Z52" s="1">
        <f>'Data_Raw++ (2014)'!Z54</f>
        <v>51.282446322699904</v>
      </c>
      <c r="AA52" s="1">
        <f>'Data_Raw++ (2014)'!AA54</f>
        <v>32.787137812873716</v>
      </c>
    </row>
    <row r="53" spans="1:27" x14ac:dyDescent="0.2">
      <c r="A53" s="1" t="s">
        <v>150</v>
      </c>
      <c r="B53" s="1">
        <f>'Data_Raw++ (2014)'!B55</f>
        <v>10000</v>
      </c>
      <c r="C53" s="1">
        <f>'Data_Raw++ (2014)'!C55</f>
        <v>1363.6363636363635</v>
      </c>
      <c r="D53" s="1">
        <f>'Data_Raw++ (2014)'!D55</f>
        <v>4090.9090909090905</v>
      </c>
      <c r="E53" s="1">
        <f>'Data_Raw++ (2014)'!E55</f>
        <v>5886.9179600886919</v>
      </c>
      <c r="F53" s="1">
        <f>'Data_Raw++ (2014)'!F55</f>
        <v>7803.588923838498</v>
      </c>
      <c r="G53" s="1">
        <f>'Data_Raw++ (2014)'!G55</f>
        <v>3034.7290259371939</v>
      </c>
      <c r="H53" s="1">
        <f>'Data_Raw++ (2014)'!H55</f>
        <v>3287.6231114319608</v>
      </c>
      <c r="I53" s="1">
        <f>'Data_Raw++ (2014)'!I55</f>
        <v>67.094349212897157</v>
      </c>
      <c r="J53" s="1">
        <f>'Data_Raw++ (2014)'!J55</f>
        <v>1610.2643811095318</v>
      </c>
      <c r="K53" s="1">
        <f>'Data_Raw++ (2014)'!K55</f>
        <v>1547.1167583209226</v>
      </c>
      <c r="L53" s="1">
        <f>'Data_Raw++ (2014)'!L55</f>
        <v>728.05494509219875</v>
      </c>
      <c r="M53" s="1">
        <f>'Data_Raw++ (2014)'!M55</f>
        <v>672.05071854664493</v>
      </c>
      <c r="N53" s="1">
        <f>'Data_Raw++ (2014)'!N55</f>
        <v>316.25916166900936</v>
      </c>
      <c r="O53" s="1">
        <f>'Data_Raw++ (2014)'!O55</f>
        <v>642.10193429768572</v>
      </c>
      <c r="P53" s="1">
        <f>'Data_Raw++ (2014)'!P55</f>
        <v>484.39268727720156</v>
      </c>
      <c r="Q53" s="1">
        <f>'Data_Raw++ (2014)'!Q55</f>
        <v>350.76711837314599</v>
      </c>
      <c r="R53" s="1">
        <f>'Data_Raw++ (2014)'!R55</f>
        <v>22.389390534456126</v>
      </c>
      <c r="S53" s="1">
        <f>'Data_Raw++ (2014)'!S55</f>
        <v>149.83669049982177</v>
      </c>
      <c r="T53" s="1">
        <f>'Data_Raw++ (2014)'!T55</f>
        <v>67.317933412963413</v>
      </c>
      <c r="U53" s="1">
        <f>'Data_Raw++ (2014)'!U55</f>
        <v>75.911712146533205</v>
      </c>
      <c r="V53" s="1">
        <f>'Data_Raw++ (2014)'!V55</f>
        <v>32.533590919942803</v>
      </c>
      <c r="W53" s="1">
        <f>'Data_Raw++ (2014)'!W55</f>
        <v>39.763277791041205</v>
      </c>
      <c r="X53" s="1">
        <f>'Data_Raw++ (2014)'!X55</f>
        <v>70.690271628517706</v>
      </c>
      <c r="Y53" s="1">
        <f>'Data_Raw++ (2014)'!Y55</f>
        <v>89.969436618113448</v>
      </c>
      <c r="Z53" s="1">
        <f>'Data_Raw++ (2014)'!Z55</f>
        <v>44.313304602951398</v>
      </c>
      <c r="AA53" s="1">
        <f>'Data_Raw++ (2014)'!AA55</f>
        <v>52.019966273029908</v>
      </c>
    </row>
    <row r="54" spans="1:27" x14ac:dyDescent="0.2">
      <c r="A54" s="1" t="s">
        <v>153</v>
      </c>
      <c r="B54" s="1">
        <f>'Data_Raw++ (2014)'!B56</f>
        <v>48000</v>
      </c>
      <c r="C54" s="1">
        <f>'Data_Raw++ (2014)'!C56</f>
        <v>979.59183673469397</v>
      </c>
      <c r="D54" s="1">
        <f>'Data_Raw++ (2014)'!D56</f>
        <v>2938.7755102040819</v>
      </c>
      <c r="E54" s="1">
        <f>'Data_Raw++ (2014)'!E56</f>
        <v>5003.8610038610041</v>
      </c>
      <c r="F54" s="1">
        <f>'Data_Raw++ (2014)'!F56</f>
        <v>3623.4855545200371</v>
      </c>
      <c r="G54" s="1">
        <f>'Data_Raw++ (2014)'!G56</f>
        <v>1784.7018402859885</v>
      </c>
      <c r="H54" s="1">
        <f>'Data_Raw++ (2014)'!H56</f>
        <v>3623.4855545200376</v>
      </c>
      <c r="I54" s="1">
        <f>'Data_Raw++ (2014)'!I56</f>
        <v>49.636788418082709</v>
      </c>
      <c r="J54" s="1">
        <f>'Data_Raw++ (2014)'!J56</f>
        <v>2432.2026324860526</v>
      </c>
      <c r="K54" s="1">
        <f>'Data_Raw++ (2014)'!K56</f>
        <v>5168.4305940328622</v>
      </c>
      <c r="L54" s="1">
        <f>'Data_Raw++ (2014)'!L56</f>
        <v>638.79479252091551</v>
      </c>
      <c r="M54" s="1">
        <f>'Data_Raw++ (2014)'!M56</f>
        <v>1642.6151807680681</v>
      </c>
      <c r="N54" s="1">
        <f>'Data_Raw++ (2014)'!N56</f>
        <v>846.19569918355023</v>
      </c>
      <c r="O54" s="1">
        <f>'Data_Raw++ (2014)'!O56</f>
        <v>1571.5062984837361</v>
      </c>
      <c r="P54" s="1">
        <f>'Data_Raw++ (2014)'!P56</f>
        <v>344.96479722813723</v>
      </c>
      <c r="Q54" s="1">
        <f>'Data_Raw++ (2014)'!Q56</f>
        <v>2529.741846339673</v>
      </c>
      <c r="R54" s="1">
        <f>'Data_Raw++ (2014)'!R56</f>
        <v>105.40591026415305</v>
      </c>
      <c r="S54" s="1">
        <f>'Data_Raw++ (2014)'!S56</f>
        <v>1212.1679680377601</v>
      </c>
      <c r="T54" s="1">
        <f>'Data_Raw++ (2014)'!T56</f>
        <v>266.08565152048396</v>
      </c>
      <c r="U54" s="1">
        <f>'Data_Raw++ (2014)'!U56</f>
        <v>416.18524981409024</v>
      </c>
      <c r="V54" s="1">
        <f>'Data_Raw++ (2014)'!V56</f>
        <v>31.32577149138314</v>
      </c>
      <c r="W54" s="1">
        <f>'Data_Raw++ (2014)'!W56</f>
        <v>45.78381987202151</v>
      </c>
      <c r="X54" s="1">
        <f>'Data_Raw++ (2014)'!X56</f>
        <v>161.84981937214621</v>
      </c>
      <c r="Y54" s="1">
        <f>'Data_Raw++ (2014)'!Y56</f>
        <v>132.42257948630143</v>
      </c>
      <c r="Z54" s="1">
        <f>'Data_Raw++ (2014)'!Z56</f>
        <v>340.51520439334649</v>
      </c>
      <c r="AA54" s="1">
        <f>'Data_Raw++ (2014)'!AA56</f>
        <v>183.35434082718655</v>
      </c>
    </row>
    <row r="55" spans="1:27" x14ac:dyDescent="0.2">
      <c r="A55" s="1" t="s">
        <v>129</v>
      </c>
      <c r="B55" s="1">
        <f>'Data_Raw++ (2014)'!B57</f>
        <v>11000</v>
      </c>
      <c r="C55" s="1">
        <f>'Data_Raw++ (2014)'!C57</f>
        <v>932.20338983050851</v>
      </c>
      <c r="D55" s="1">
        <f>'Data_Raw++ (2014)'!D57</f>
        <v>2924.0506329113923</v>
      </c>
      <c r="E55" s="1">
        <f>'Data_Raw++ (2014)'!E57</f>
        <v>2809.3819806403571</v>
      </c>
      <c r="F55" s="1">
        <f>'Data_Raw++ (2014)'!F57</f>
        <v>4042.7691916531971</v>
      </c>
      <c r="G55" s="1">
        <f>'Data_Raw++ (2014)'!G57</f>
        <v>2374.3247633518777</v>
      </c>
      <c r="H55" s="1">
        <f>'Data_Raw++ (2014)'!H57</f>
        <v>2374.3247633518777</v>
      </c>
      <c r="I55" s="1">
        <f>'Data_Raw++ (2014)'!I57</f>
        <v>23.983078417695733</v>
      </c>
      <c r="J55" s="1">
        <f>'Data_Raw++ (2014)'!J57</f>
        <v>2374.3247633518777</v>
      </c>
      <c r="K55" s="1">
        <f>'Data_Raw++ (2014)'!K57</f>
        <v>631.14962063784083</v>
      </c>
      <c r="L55" s="1">
        <f>'Data_Raw++ (2014)'!L57</f>
        <v>210.38320687928027</v>
      </c>
      <c r="M55" s="1">
        <f>'Data_Raw++ (2014)'!M57</f>
        <v>172.13171471941112</v>
      </c>
      <c r="N55" s="1">
        <f>'Data_Raw++ (2014)'!N57</f>
        <v>136.69283227717943</v>
      </c>
      <c r="O55" s="1">
        <f>'Data_Raw++ (2014)'!O57</f>
        <v>199.31040651721287</v>
      </c>
      <c r="P55" s="1">
        <f>'Data_Raw++ (2014)'!P57</f>
        <v>191.49431214398885</v>
      </c>
      <c r="Q55" s="1">
        <f>'Data_Raw++ (2014)'!Q57</f>
        <v>73.658193712883019</v>
      </c>
      <c r="R55" s="1">
        <f>'Data_Raw++ (2014)'!R57</f>
        <v>0</v>
      </c>
      <c r="S55" s="1">
        <f>'Data_Raw++ (2014)'!S57</f>
        <v>233.25094675746288</v>
      </c>
      <c r="T55" s="1">
        <f>'Data_Raw++ (2014)'!T57</f>
        <v>77.750315585820971</v>
      </c>
      <c r="U55" s="1">
        <f>'Data_Raw++ (2014)'!U57</f>
        <v>11.43386993909132</v>
      </c>
      <c r="V55" s="1">
        <f>'Data_Raw++ (2014)'!V57</f>
        <v>5.7169349695456599</v>
      </c>
      <c r="W55" s="1">
        <f>'Data_Raw++ (2014)'!W57</f>
        <v>13.720643926909583</v>
      </c>
      <c r="X55" s="1">
        <f>'Data_Raw++ (2014)'!X57</f>
        <v>0</v>
      </c>
      <c r="Y55" s="1">
        <f>'Data_Raw++ (2014)'!Y57</f>
        <v>68.603219634547912</v>
      </c>
      <c r="Z55" s="1">
        <f>'Data_Raw++ (2014)'!Z57</f>
        <v>12.57725693300045</v>
      </c>
      <c r="AA55" s="1">
        <f>'Data_Raw++ (2014)'!AA57</f>
        <v>52.824479118601893</v>
      </c>
    </row>
    <row r="56" spans="1:27" x14ac:dyDescent="0.2">
      <c r="A56" s="1" t="s">
        <v>144</v>
      </c>
      <c r="B56" s="1">
        <f>'Data_Raw++ (2014)'!B58</f>
        <v>18000</v>
      </c>
      <c r="C56" s="1">
        <f>'Data_Raw++ (2014)'!C58</f>
        <v>1148.936170212766</v>
      </c>
      <c r="D56" s="1">
        <f>'Data_Raw++ (2014)'!D58</f>
        <v>3270.0490998363339</v>
      </c>
      <c r="E56" s="1">
        <f>'Data_Raw++ (2014)'!E58</f>
        <v>3996.7266775777421</v>
      </c>
      <c r="F56" s="1">
        <f>'Data_Raw++ (2014)'!F58</f>
        <v>3270.0490998363339</v>
      </c>
      <c r="G56" s="1">
        <f>'Data_Raw++ (2014)'!G58</f>
        <v>1684.5707484005356</v>
      </c>
      <c r="H56" s="1">
        <f>'Data_Raw++ (2014)'!H58</f>
        <v>1493.8646259400975</v>
      </c>
      <c r="I56" s="1">
        <f>'Data_Raw++ (2014)'!I58</f>
        <v>30.487033182450968</v>
      </c>
      <c r="J56" s="1">
        <f>'Data_Raw++ (2014)'!J58</f>
        <v>1493.8646259400975</v>
      </c>
      <c r="K56" s="1">
        <f>'Data_Raw++ (2014)'!K58</f>
        <v>1081.7640394738637</v>
      </c>
      <c r="L56" s="1">
        <f>'Data_Raw++ (2014)'!L58</f>
        <v>341.60969667595691</v>
      </c>
      <c r="M56" s="1">
        <f>'Data_Raw++ (2014)'!M58</f>
        <v>209.37368505945744</v>
      </c>
      <c r="N56" s="1">
        <f>'Data_Raw++ (2014)'!N58</f>
        <v>277.54186159044355</v>
      </c>
      <c r="O56" s="1">
        <f>'Data_Raw++ (2014)'!O58</f>
        <v>563.49408262302177</v>
      </c>
      <c r="P56" s="1">
        <f>'Data_Raw++ (2014)'!P58</f>
        <v>499.70229968456647</v>
      </c>
      <c r="Q56" s="1">
        <f>'Data_Raw++ (2014)'!Q58</f>
        <v>95.181390416107902</v>
      </c>
      <c r="R56" s="1">
        <f>'Data_Raw++ (2014)'!R58</f>
        <v>5.0095468640056797</v>
      </c>
      <c r="S56" s="1">
        <f>'Data_Raw++ (2014)'!S58</f>
        <v>66.555408336075459</v>
      </c>
      <c r="T56" s="1">
        <f>'Data_Raw++ (2014)'!T58</f>
        <v>56.695347841842057</v>
      </c>
      <c r="U56" s="1">
        <f>'Data_Raw++ (2014)'!U58</f>
        <v>25.471822943436287</v>
      </c>
      <c r="V56" s="1">
        <f>'Data_Raw++ (2014)'!V58</f>
        <v>90.309190435819573</v>
      </c>
      <c r="W56" s="1">
        <f>'Data_Raw++ (2014)'!W58</f>
        <v>26.975472467842213</v>
      </c>
      <c r="X56" s="1">
        <f>'Data_Raw++ (2014)'!X58</f>
        <v>15.842737798573998</v>
      </c>
      <c r="Y56" s="1">
        <f>'Data_Raw++ (2014)'!Y58</f>
        <v>29.422227340208856</v>
      </c>
      <c r="Z56" s="1">
        <f>'Data_Raw++ (2014)'!Z58</f>
        <v>12.017529476986715</v>
      </c>
      <c r="AA56" s="1">
        <f>'Data_Raw++ (2014)'!AA58</f>
        <v>11.093104132603122</v>
      </c>
    </row>
    <row r="57" spans="1:27" x14ac:dyDescent="0.2">
      <c r="A57" s="1" t="s">
        <v>134</v>
      </c>
      <c r="B57" s="1">
        <f>'Data_Raw++ (2014)'!B59</f>
        <v>11000</v>
      </c>
      <c r="C57" s="1">
        <f>'Data_Raw++ (2014)'!C59</f>
        <v>846.15384615384619</v>
      </c>
      <c r="D57" s="1">
        <f>'Data_Raw++ (2014)'!D59</f>
        <v>1551.2820512820513</v>
      </c>
      <c r="E57" s="1">
        <f>'Data_Raw++ (2014)'!E59</f>
        <v>2571.4285714285716</v>
      </c>
      <c r="F57" s="1">
        <f>'Data_Raw++ (2014)'!F59</f>
        <v>3142.8571428571431</v>
      </c>
      <c r="G57" s="1">
        <f>'Data_Raw++ (2014)'!G59</f>
        <v>703.62473347547973</v>
      </c>
      <c r="H57" s="1">
        <f>'Data_Raw++ (2014)'!H59</f>
        <v>1650.8118746924715</v>
      </c>
      <c r="I57" s="1">
        <f>'Data_Raw++ (2014)'!I59</f>
        <v>54.124979498113824</v>
      </c>
      <c r="J57" s="1">
        <f>'Data_Raw++ (2014)'!J59</f>
        <v>641.98239571373904</v>
      </c>
      <c r="K57" s="1">
        <f>'Data_Raw++ (2014)'!K59</f>
        <v>886.54711789040152</v>
      </c>
      <c r="L57" s="1">
        <f>'Data_Raw++ (2014)'!L59</f>
        <v>233.30187312905304</v>
      </c>
      <c r="M57" s="1">
        <f>'Data_Raw++ (2014)'!M59</f>
        <v>123.25381976629217</v>
      </c>
      <c r="N57" s="1">
        <f>'Data_Raw++ (2014)'!N59</f>
        <v>146.07860120449442</v>
      </c>
      <c r="O57" s="1">
        <f>'Data_Raw++ (2014)'!O59</f>
        <v>344.76832362404508</v>
      </c>
      <c r="P57" s="1">
        <f>'Data_Raw++ (2014)'!P59</f>
        <v>97.24234768883322</v>
      </c>
      <c r="Q57" s="1">
        <f>'Data_Raw++ (2014)'!Q59</f>
        <v>220.42564953012717</v>
      </c>
      <c r="R57" s="1">
        <f>'Data_Raw++ (2014)'!R59</f>
        <v>7.6008844665561091</v>
      </c>
      <c r="S57" s="1">
        <f>'Data_Raw++ (2014)'!S59</f>
        <v>88.170259812050872</v>
      </c>
      <c r="T57" s="1">
        <f>'Data_Raw++ (2014)'!T59</f>
        <v>52.100608070757332</v>
      </c>
      <c r="U57" s="1">
        <f>'Data_Raw++ (2014)'!U59</f>
        <v>24.046434494195694</v>
      </c>
      <c r="V57" s="1">
        <f>'Data_Raw++ (2014)'!V59</f>
        <v>10.820895522388062</v>
      </c>
      <c r="W57" s="1">
        <f>'Data_Raw++ (2014)'!W59</f>
        <v>0</v>
      </c>
      <c r="X57" s="1">
        <f>'Data_Raw++ (2014)'!X59</f>
        <v>0</v>
      </c>
      <c r="Y57" s="1">
        <f>'Data_Raw++ (2014)'!Y59</f>
        <v>46.890547263681597</v>
      </c>
      <c r="Z57" s="1">
        <f>'Data_Raw++ (2014)'!Z59</f>
        <v>124.44029850746271</v>
      </c>
      <c r="AA57" s="1">
        <f>'Data_Raw++ (2014)'!AA59</f>
        <v>194.6373899732109</v>
      </c>
    </row>
    <row r="58" spans="1:27" x14ac:dyDescent="0.2">
      <c r="A58" s="1" t="s">
        <v>151</v>
      </c>
      <c r="B58" s="1">
        <f>'Data_Raw++ (2014)'!B60</f>
        <v>25000</v>
      </c>
      <c r="C58" s="1">
        <f>'Data_Raw++ (2014)'!C60</f>
        <v>1041.6666666666667</v>
      </c>
      <c r="D58" s="1">
        <f>'Data_Raw++ (2014)'!D60</f>
        <v>2816.358024691358</v>
      </c>
      <c r="E58" s="1">
        <f>'Data_Raw++ (2014)'!E60</f>
        <v>2931.3114134542702</v>
      </c>
      <c r="F58" s="1">
        <f>'Data_Raw++ (2014)'!F60</f>
        <v>5951.4504454980643</v>
      </c>
      <c r="G58" s="1">
        <f>'Data_Raw++ (2014)'!G60</f>
        <v>1306.4159514507946</v>
      </c>
      <c r="H58" s="1">
        <f>'Data_Raw++ (2014)'!H60</f>
        <v>1959.623927176192</v>
      </c>
      <c r="I58" s="1">
        <f>'Data_Raw++ (2014)'!I60</f>
        <v>39.992325044412084</v>
      </c>
      <c r="J58" s="1">
        <f>'Data_Raw++ (2014)'!J60</f>
        <v>959.8158010658899</v>
      </c>
      <c r="K58" s="1">
        <f>'Data_Raw++ (2014)'!K60</f>
        <v>1272.3139688547842</v>
      </c>
      <c r="L58" s="1">
        <f>'Data_Raw++ (2014)'!L60</f>
        <v>95.76556754820956</v>
      </c>
      <c r="M58" s="1">
        <f>'Data_Raw++ (2014)'!M60</f>
        <v>258.92171966738135</v>
      </c>
      <c r="N58" s="1">
        <f>'Data_Raw++ (2014)'!N60</f>
        <v>116.32714941578004</v>
      </c>
      <c r="O58" s="1">
        <f>'Data_Raw++ (2014)'!O60</f>
        <v>465.30859766312017</v>
      </c>
      <c r="P58" s="1">
        <f>'Data_Raw++ (2014)'!P60</f>
        <v>218.9687518414683</v>
      </c>
      <c r="Q58" s="1">
        <f>'Data_Raw++ (2014)'!Q60</f>
        <v>237.21614782825736</v>
      </c>
      <c r="R58" s="1">
        <f>'Data_Raw++ (2014)'!R60</f>
        <v>2.3961227053359329</v>
      </c>
      <c r="S58" s="1">
        <f>'Data_Raw++ (2014)'!S60</f>
        <v>31.834201656605966</v>
      </c>
      <c r="T58" s="1">
        <f>'Data_Raw++ (2014)'!T60</f>
        <v>15.679532159223832</v>
      </c>
      <c r="U58" s="1">
        <f>'Data_Raw++ (2014)'!U60</f>
        <v>58.984906694222992</v>
      </c>
      <c r="V58" s="1">
        <f>'Data_Raw++ (2014)'!V60</f>
        <v>5.8336720906374389</v>
      </c>
      <c r="W58" s="1">
        <f>'Data_Raw++ (2014)'!W60</f>
        <v>7.1300436663346476</v>
      </c>
      <c r="X58" s="1">
        <f>'Data_Raw++ (2014)'!X60</f>
        <v>13.84067299935549</v>
      </c>
      <c r="Y58" s="1">
        <f>'Data_Raw++ (2014)'!Y60</f>
        <v>26.867188763454774</v>
      </c>
      <c r="Z58" s="1">
        <f>'Data_Raw++ (2014)'!Z60</f>
        <v>32.837675155333613</v>
      </c>
      <c r="AA58" s="1">
        <f>'Data_Raw++ (2014)'!AA60</f>
        <v>31.549923188457782</v>
      </c>
    </row>
    <row r="59" spans="1:27" x14ac:dyDescent="0.2">
      <c r="A59" s="1" t="s">
        <v>162</v>
      </c>
      <c r="B59" s="1">
        <f>'Data_Raw++ (2014)'!B61</f>
        <v>8000</v>
      </c>
      <c r="C59" s="1">
        <f>'Data_Raw++ (2014)'!C61</f>
        <v>3594.202898550725</v>
      </c>
      <c r="D59" s="1">
        <f>'Data_Raw++ (2014)'!D61</f>
        <v>5172.1456344998242</v>
      </c>
      <c r="E59" s="1">
        <f>'Data_Raw++ (2014)'!E61</f>
        <v>6321.5113310553415</v>
      </c>
      <c r="F59" s="1">
        <f>'Data_Raw++ (2014)'!F61</f>
        <v>5605.8685388603963</v>
      </c>
      <c r="G59" s="1">
        <f>'Data_Raw++ (2014)'!G61</f>
        <v>3737.2456925735978</v>
      </c>
      <c r="H59" s="1">
        <f>'Data_Raw++ (2014)'!H61</f>
        <v>1758.7038553287516</v>
      </c>
      <c r="I59" s="1">
        <f>'Data_Raw++ (2014)'!I61</f>
        <v>132.37555900323937</v>
      </c>
      <c r="J59" s="1">
        <f>'Data_Raw++ (2014)'!J61</f>
        <v>2515.1356210615477</v>
      </c>
      <c r="K59" s="1">
        <f>'Data_Raw++ (2014)'!K61</f>
        <v>1477.1431425282105</v>
      </c>
      <c r="L59" s="1">
        <f>'Data_Raw++ (2014)'!L61</f>
        <v>795.38476905365167</v>
      </c>
      <c r="M59" s="1">
        <f>'Data_Raw++ (2014)'!M61</f>
        <v>861.6668331414561</v>
      </c>
      <c r="N59" s="1">
        <f>'Data_Raw++ (2014)'!N61</f>
        <v>795.38476905365167</v>
      </c>
      <c r="O59" s="1">
        <f>'Data_Raw++ (2014)'!O61</f>
        <v>677.5499884531107</v>
      </c>
      <c r="P59" s="1">
        <f>'Data_Raw++ (2014)'!P61</f>
        <v>451.69999230207389</v>
      </c>
      <c r="Q59" s="1">
        <f>'Data_Raw++ (2014)'!Q61</f>
        <v>222.4791006860961</v>
      </c>
      <c r="R59" s="1">
        <f>'Data_Raw++ (2014)'!R61</f>
        <v>42.376971559256397</v>
      </c>
      <c r="S59" s="1">
        <f>'Data_Raw++ (2014)'!S61</f>
        <v>310.76445810121362</v>
      </c>
      <c r="T59" s="1">
        <f>'Data_Raw++ (2014)'!T61</f>
        <v>139.61881450924091</v>
      </c>
      <c r="U59" s="1">
        <f>'Data_Raw++ (2014)'!U61</f>
        <v>114.23357550756073</v>
      </c>
      <c r="V59" s="1">
        <f>'Data_Raw++ (2014)'!V61</f>
        <v>21.758776287154426</v>
      </c>
      <c r="W59" s="1">
        <f>'Data_Raw++ (2014)'!W61</f>
        <v>72.844598874386563</v>
      </c>
      <c r="X59" s="1">
        <f>'Data_Raw++ (2014)'!X61</f>
        <v>113.93642388045076</v>
      </c>
      <c r="Y59" s="1">
        <f>'Data_Raw++ (2014)'!Y61</f>
        <v>113.93642388045076</v>
      </c>
      <c r="Z59" s="1">
        <f>'Data_Raw++ (2014)'!Z61</f>
        <v>35.979923330668662</v>
      </c>
      <c r="AA59" s="1">
        <f>'Data_Raw++ (2014)'!AA61</f>
        <v>73.050147368327288</v>
      </c>
    </row>
    <row r="60" spans="1:27" x14ac:dyDescent="0.2">
      <c r="A60" s="1" t="s">
        <v>159</v>
      </c>
      <c r="B60" s="1">
        <f>'Data_Raw++ (2014)'!B62</f>
        <v>11000</v>
      </c>
      <c r="C60" s="1">
        <f>'Data_Raw++ (2014)'!C62</f>
        <v>1941.1764705882354</v>
      </c>
      <c r="D60" s="1">
        <f>'Data_Raw++ (2014)'!D62</f>
        <v>3305.2464228934818</v>
      </c>
      <c r="E60" s="1">
        <f>'Data_Raw++ (2014)'!E62</f>
        <v>5627.8520173591724</v>
      </c>
      <c r="F60" s="1">
        <f>'Data_Raw++ (2014)'!F62</f>
        <v>4075.3411160187115</v>
      </c>
      <c r="G60" s="1">
        <f>'Data_Raw++ (2014)'!G62</f>
        <v>1917.8075840088054</v>
      </c>
      <c r="H60" s="1">
        <f>'Data_Raw++ (2014)'!H62</f>
        <v>1278.5383893392036</v>
      </c>
      <c r="I60" s="1">
        <f>'Data_Raw++ (2014)'!I62</f>
        <v>39.542424412552684</v>
      </c>
      <c r="J60" s="1">
        <f>'Data_Raw++ (2014)'!J62</f>
        <v>949.01818590126436</v>
      </c>
      <c r="K60" s="1">
        <f>'Data_Raw++ (2014)'!K62</f>
        <v>841.58216485583807</v>
      </c>
      <c r="L60" s="1">
        <f>'Data_Raw++ (2014)'!L62</f>
        <v>473.38996773140889</v>
      </c>
      <c r="M60" s="1">
        <f>'Data_Raw++ (2014)'!M62</f>
        <v>202.8814147420324</v>
      </c>
      <c r="N60" s="1">
        <f>'Data_Raw++ (2014)'!N62</f>
        <v>228.78116981548339</v>
      </c>
      <c r="O60" s="1">
        <f>'Data_Raw++ (2014)'!O62</f>
        <v>406.7220796719705</v>
      </c>
      <c r="P60" s="1">
        <f>'Data_Raw++ (2014)'!P62</f>
        <v>477.45635439753056</v>
      </c>
      <c r="Q60" s="1">
        <f>'Data_Raw++ (2014)'!Q62</f>
        <v>111.99593498213679</v>
      </c>
      <c r="R60" s="1">
        <f>'Data_Raw++ (2014)'!R62</f>
        <v>8.4298015577952423</v>
      </c>
      <c r="S60" s="1">
        <f>'Data_Raw++ (2014)'!S62</f>
        <v>56.41482580986046</v>
      </c>
      <c r="T60" s="1">
        <f>'Data_Raw++ (2014)'!T62</f>
        <v>46.157584753522194</v>
      </c>
      <c r="U60" s="1">
        <f>'Data_Raw++ (2014)'!U62</f>
        <v>54.184990797613011</v>
      </c>
      <c r="V60" s="1">
        <f>'Data_Raw++ (2014)'!V62</f>
        <v>77.973523342906532</v>
      </c>
      <c r="W60" s="1">
        <f>'Data_Raw++ (2014)'!W62</f>
        <v>95.300972974663537</v>
      </c>
      <c r="X60" s="1">
        <f>'Data_Raw++ (2014)'!X62</f>
        <v>16.81781876023474</v>
      </c>
      <c r="Y60" s="1">
        <f>'Data_Raw++ (2014)'!Y62</f>
        <v>14.913914749642126</v>
      </c>
      <c r="Z60" s="1">
        <f>'Data_Raw++ (2014)'!Z62</f>
        <v>23.326892300722299</v>
      </c>
      <c r="AA60" s="1">
        <f>'Data_Raw++ (2014)'!AA62</f>
        <v>14.297127539152378</v>
      </c>
    </row>
    <row r="61" spans="1:27" x14ac:dyDescent="0.2">
      <c r="A61" s="1" t="s">
        <v>168</v>
      </c>
      <c r="B61" s="1">
        <f>'Data_Raw++ (2014)'!B63</f>
        <v>10000</v>
      </c>
      <c r="C61" s="1">
        <f>'Data_Raw++ (2014)'!C63</f>
        <v>869.56521739130437</v>
      </c>
      <c r="D61" s="1">
        <f>'Data_Raw++ (2014)'!D63</f>
        <v>2608.695652173913</v>
      </c>
      <c r="E61" s="1">
        <f>'Data_Raw++ (2014)'!E63</f>
        <v>3602.484472049689</v>
      </c>
      <c r="F61" s="1">
        <f>'Data_Raw++ (2014)'!F63</f>
        <v>3602.484472049689</v>
      </c>
      <c r="G61" s="1">
        <f>'Data_Raw++ (2014)'!G63</f>
        <v>1543.9219165927238</v>
      </c>
      <c r="H61" s="1">
        <f>'Data_Raw++ (2014)'!H63</f>
        <v>2997.0248969152872</v>
      </c>
      <c r="I61" s="1">
        <f>'Data_Raw++ (2014)'!I63</f>
        <v>30.272978756720072</v>
      </c>
      <c r="J61" s="1">
        <f>'Data_Raw++ (2014)'!J63</f>
        <v>474.27666718861445</v>
      </c>
      <c r="K61" s="1">
        <f>'Data_Raw++ (2014)'!K63</f>
        <v>579.67148211941765</v>
      </c>
      <c r="L61" s="1">
        <f>'Data_Raw++ (2014)'!L63</f>
        <v>173.14862452917671</v>
      </c>
      <c r="M61" s="1">
        <f>'Data_Raw++ (2014)'!M63</f>
        <v>239.11000530219638</v>
      </c>
      <c r="N61" s="1">
        <f>'Data_Raw++ (2014)'!N63</f>
        <v>173.14862452917671</v>
      </c>
      <c r="O61" s="1">
        <f>'Data_Raw++ (2014)'!O63</f>
        <v>203.26142879512048</v>
      </c>
      <c r="P61" s="1">
        <f>'Data_Raw++ (2014)'!P63</f>
        <v>47.678606754410978</v>
      </c>
      <c r="Q61" s="1">
        <f>'Data_Raw++ (2014)'!Q63</f>
        <v>122.60213165419965</v>
      </c>
      <c r="R61" s="1">
        <f>'Data_Raw++ (2014)'!R63</f>
        <v>10.661054926452143</v>
      </c>
      <c r="S61" s="1">
        <f>'Data_Raw++ (2014)'!S63</f>
        <v>71.347059892410499</v>
      </c>
      <c r="T61" s="1">
        <f>'Data_Raw++ (2014)'!T63</f>
        <v>47.564706594940333</v>
      </c>
      <c r="U61" s="1">
        <f>'Data_Raw++ (2014)'!U63</f>
        <v>18.497385898032352</v>
      </c>
      <c r="V61" s="1">
        <f>'Data_Raw++ (2014)'!V63</f>
        <v>7.1934278492348049</v>
      </c>
      <c r="W61" s="1">
        <f>'Data_Raw++ (2014)'!W63</f>
        <v>22.779188189243548</v>
      </c>
      <c r="X61" s="1">
        <f>'Data_Raw++ (2014)'!X63</f>
        <v>19.404493642688948</v>
      </c>
      <c r="Y61" s="1">
        <f>'Data_Raw++ (2014)'!Y63</f>
        <v>21.881663043883286</v>
      </c>
      <c r="Z61" s="1">
        <f>'Data_Raw++ (2014)'!Z63</f>
        <v>19.404493642688948</v>
      </c>
      <c r="AA61" s="1">
        <f>'Data_Raw++ (2014)'!AA63</f>
        <v>17.91184028555903</v>
      </c>
    </row>
    <row r="62" spans="1:27" x14ac:dyDescent="0.2">
      <c r="A62" s="1" t="s">
        <v>161</v>
      </c>
      <c r="B62" s="1">
        <f>'Data_Raw++ (2014)'!B64</f>
        <v>11000</v>
      </c>
      <c r="C62" s="1">
        <f>'Data_Raw++ (2014)'!C64</f>
        <v>1643.6781609195402</v>
      </c>
      <c r="D62" s="1">
        <f>'Data_Raw++ (2014)'!D64</f>
        <v>3835.2490421455941</v>
      </c>
      <c r="E62" s="1">
        <f>'Data_Raw++ (2014)'!E64</f>
        <v>3401.069905298923</v>
      </c>
      <c r="F62" s="1">
        <f>'Data_Raw++ (2014)'!F64</f>
        <v>4156.8632175875728</v>
      </c>
      <c r="G62" s="1">
        <f>'Data_Raw++ (2014)'!G64</f>
        <v>2547.7548752956091</v>
      </c>
      <c r="H62" s="1">
        <f>'Data_Raw++ (2014)'!H64</f>
        <v>1844.9259441795791</v>
      </c>
      <c r="I62" s="1">
        <f>'Data_Raw++ (2014)'!I64</f>
        <v>18.635615597773526</v>
      </c>
      <c r="J62" s="1">
        <f>'Data_Raw++ (2014)'!J64</f>
        <v>913.14516429090281</v>
      </c>
      <c r="K62" s="1">
        <f>'Data_Raw++ (2014)'!K64</f>
        <v>513.64415491363275</v>
      </c>
      <c r="L62" s="1">
        <f>'Data_Raw++ (2014)'!L64</f>
        <v>230.76766380177705</v>
      </c>
      <c r="M62" s="1">
        <f>'Data_Raw++ (2014)'!M64</f>
        <v>221.71795149582502</v>
      </c>
      <c r="N62" s="1">
        <f>'Data_Raw++ (2014)'!N64</f>
        <v>221.71795149582502</v>
      </c>
      <c r="O62" s="1">
        <f>'Data_Raw++ (2014)'!O64</f>
        <v>332.57692724373749</v>
      </c>
      <c r="P62" s="1">
        <f>'Data_Raw++ (2014)'!P64</f>
        <v>78.011871822605087</v>
      </c>
      <c r="Q62" s="1">
        <f>'Data_Raw++ (2014)'!Q64</f>
        <v>52.007914548403392</v>
      </c>
      <c r="R62" s="1">
        <f>'Data_Raw++ (2014)'!R64</f>
        <v>3.3196541201108545</v>
      </c>
      <c r="S62" s="1">
        <f>'Data_Raw++ (2014)'!S64</f>
        <v>38.176022381274827</v>
      </c>
      <c r="T62" s="1">
        <f>'Data_Raw++ (2014)'!T64</f>
        <v>41.357357579714396</v>
      </c>
      <c r="U62" s="1">
        <f>'Data_Raw++ (2014)'!U64</f>
        <v>19.462285919865597</v>
      </c>
      <c r="V62" s="1">
        <f>'Data_Raw++ (2014)'!V64</f>
        <v>4.2722091043607406</v>
      </c>
      <c r="W62" s="1">
        <f>'Data_Raw++ (2014)'!W64</f>
        <v>15.146923188188079</v>
      </c>
      <c r="X62" s="1">
        <f>'Data_Raw++ (2014)'!X64</f>
        <v>10.968461619032746</v>
      </c>
      <c r="Y62" s="1">
        <f>'Data_Raw++ (2014)'!Y64</f>
        <v>23.307980940444587</v>
      </c>
      <c r="Z62" s="1">
        <f>'Data_Raw++ (2014)'!Z64</f>
        <v>9.0642148101728974</v>
      </c>
      <c r="AA62" s="1">
        <f>'Data_Raw++ (2014)'!AA64</f>
        <v>20.175187803288061</v>
      </c>
    </row>
    <row r="63" spans="1:27" x14ac:dyDescent="0.2">
      <c r="A63" s="1" t="s">
        <v>177</v>
      </c>
      <c r="B63" s="1">
        <f>'Data_Raw++ (2014)'!B65</f>
        <v>11000</v>
      </c>
      <c r="C63" s="1">
        <f>'Data_Raw++ (2014)'!C65</f>
        <v>1359.5505617977528</v>
      </c>
      <c r="D63" s="1">
        <f>'Data_Raw++ (2014)'!D65</f>
        <v>3675.8218893050348</v>
      </c>
      <c r="E63" s="1">
        <f>'Data_Raw++ (2014)'!E65</f>
        <v>3825.8554358072811</v>
      </c>
      <c r="F63" s="1">
        <f>'Data_Raw++ (2014)'!F65</f>
        <v>3006.0292709914347</v>
      </c>
      <c r="G63" s="1">
        <f>'Data_Raw++ (2014)'!G65</f>
        <v>1765.4457623283031</v>
      </c>
      <c r="H63" s="1">
        <f>'Data_Raw++ (2014)'!H65</f>
        <v>1331.827504914334</v>
      </c>
      <c r="I63" s="1">
        <f>'Data_Raw++ (2014)'!I65</f>
        <v>27.180153161517019</v>
      </c>
      <c r="J63" s="1">
        <f>'Data_Raw++ (2014)'!J65</f>
        <v>878.82495222238356</v>
      </c>
      <c r="K63" s="1">
        <f>'Data_Raw++ (2014)'!K65</f>
        <v>690.50531960330136</v>
      </c>
      <c r="L63" s="1">
        <f>'Data_Raw++ (2014)'!L65</f>
        <v>242.60997715791669</v>
      </c>
      <c r="M63" s="1">
        <f>'Data_Raw++ (2014)'!M65</f>
        <v>124.98089732377525</v>
      </c>
      <c r="N63" s="1">
        <f>'Data_Raw++ (2014)'!N65</f>
        <v>195.48294196795615</v>
      </c>
      <c r="O63" s="1">
        <f>'Data_Raw++ (2014)'!O65</f>
        <v>379.46688734956194</v>
      </c>
      <c r="P63" s="1">
        <f>'Data_Raw++ (2014)'!P65</f>
        <v>107.02912207295336</v>
      </c>
      <c r="Q63" s="1">
        <f>'Data_Raw++ (2014)'!Q65</f>
        <v>35.676374024317788</v>
      </c>
      <c r="R63" s="1">
        <f>'Data_Raw++ (2014)'!R65</f>
        <v>2.6853184749486512</v>
      </c>
      <c r="S63" s="1">
        <f>'Data_Raw++ (2014)'!S65</f>
        <v>42.069989440862201</v>
      </c>
      <c r="T63" s="1">
        <f>'Data_Raw++ (2014)'!T65</f>
        <v>42.069989440862201</v>
      </c>
      <c r="U63" s="1">
        <f>'Data_Raw++ (2014)'!U65</f>
        <v>11.865894457679083</v>
      </c>
      <c r="V63" s="1">
        <f>'Data_Raw++ (2014)'!V65</f>
        <v>11.400565263260294</v>
      </c>
      <c r="W63" s="1">
        <f>'Data_Raw++ (2014)'!W65</f>
        <v>70.03204376002752</v>
      </c>
      <c r="X63" s="1">
        <f>'Data_Raw++ (2014)'!X65</f>
        <v>15.372887654640188</v>
      </c>
      <c r="Y63" s="1">
        <f>'Data_Raw++ (2014)'!Y65</f>
        <v>17.335383950977231</v>
      </c>
      <c r="Z63" s="1">
        <f>'Data_Raw++ (2014)'!Z65</f>
        <v>7.7883609055115102</v>
      </c>
      <c r="AA63" s="1">
        <f>'Data_Raw++ (2014)'!AA65</f>
        <v>19.068056010045421</v>
      </c>
    </row>
    <row r="64" spans="1:27" x14ac:dyDescent="0.2">
      <c r="A64" s="1" t="s">
        <v>178</v>
      </c>
      <c r="B64" s="1">
        <f>'Data_Raw++ (2014)'!B66</f>
        <v>11000</v>
      </c>
      <c r="C64" s="1">
        <f>'Data_Raw++ (2014)'!C66</f>
        <v>578.94736842105272</v>
      </c>
      <c r="D64" s="1">
        <f>'Data_Raw++ (2014)'!D66</f>
        <v>1647.7732793522271</v>
      </c>
      <c r="E64" s="1">
        <f>'Data_Raw++ (2014)'!E66</f>
        <v>2688.4721926273178</v>
      </c>
      <c r="F64" s="1">
        <f>'Data_Raw++ (2014)'!F66</f>
        <v>1792.3147950848788</v>
      </c>
      <c r="G64" s="1">
        <f>'Data_Raw++ (2014)'!G66</f>
        <v>923.31368231645286</v>
      </c>
      <c r="H64" s="1">
        <f>'Data_Raw++ (2014)'!H66</f>
        <v>1041.183514101532</v>
      </c>
      <c r="I64" s="1">
        <f>'Data_Raw++ (2014)'!I66</f>
        <v>21.248643144929225</v>
      </c>
      <c r="J64" s="1">
        <f>'Data_Raw++ (2014)'!J66</f>
        <v>403.72421975365523</v>
      </c>
      <c r="K64" s="1">
        <f>'Data_Raw++ (2014)'!K66</f>
        <v>372.66851054183553</v>
      </c>
      <c r="L64" s="1">
        <f>'Data_Raw++ (2014)'!L66</f>
        <v>248.44567369455706</v>
      </c>
      <c r="M64" s="1">
        <f>'Data_Raw++ (2014)'!M66</f>
        <v>179.90893612364479</v>
      </c>
      <c r="N64" s="1">
        <f>'Data_Raw++ (2014)'!N66</f>
        <v>115.02374604626472</v>
      </c>
      <c r="O64" s="1">
        <f>'Data_Raw++ (2014)'!O66</f>
        <v>179.90893612364482</v>
      </c>
      <c r="P64" s="1">
        <f>'Data_Raw++ (2014)'!P66</f>
        <v>101.1987765695502</v>
      </c>
      <c r="Q64" s="1">
        <f>'Data_Raw++ (2014)'!Q66</f>
        <v>86.206365225913132</v>
      </c>
      <c r="R64" s="1">
        <f>'Data_Raw++ (2014)'!R66</f>
        <v>4.5371771171533233</v>
      </c>
      <c r="S64" s="1">
        <f>'Data_Raw++ (2014)'!S66</f>
        <v>45.875901962328051</v>
      </c>
      <c r="T64" s="1">
        <f>'Data_Raw++ (2014)'!T66</f>
        <v>28.117488299491388</v>
      </c>
      <c r="U64" s="1">
        <f>'Data_Raw++ (2014)'!U66</f>
        <v>16.5134455092251</v>
      </c>
      <c r="V64" s="1">
        <f>'Data_Raw++ (2014)'!V66</f>
        <v>2.9141374428044298</v>
      </c>
      <c r="W64" s="1">
        <f>'Data_Raw++ (2014)'!W66</f>
        <v>69.939298627306314</v>
      </c>
      <c r="X64" s="1">
        <f>'Data_Raw++ (2014)'!X66</f>
        <v>10.450699794884853</v>
      </c>
      <c r="Y64" s="1">
        <f>'Data_Raw++ (2014)'!Y66</f>
        <v>26.87322804398962</v>
      </c>
      <c r="Z64" s="1">
        <f>'Data_Raw++ (2014)'!Z66</f>
        <v>11.51709773313841</v>
      </c>
      <c r="AA64" s="1">
        <f>'Data_Raw++ (2014)'!AA66</f>
        <v>11.065446841642785</v>
      </c>
    </row>
    <row r="65" spans="1:27" x14ac:dyDescent="0.2">
      <c r="A65" s="1" t="s">
        <v>184</v>
      </c>
      <c r="B65" s="1">
        <f>'Data_Raw++ (2014)'!B67</f>
        <v>8000</v>
      </c>
      <c r="C65" s="1">
        <f>'Data_Raw++ (2014)'!C67</f>
        <v>695.6521739130435</v>
      </c>
      <c r="D65" s="1">
        <f>'Data_Raw++ (2014)'!D67</f>
        <v>1184.4888366627497</v>
      </c>
      <c r="E65" s="1">
        <f>'Data_Raw++ (2014)'!E67</f>
        <v>2636.4428945074105</v>
      </c>
      <c r="F65" s="1">
        <f>'Data_Raw++ (2014)'!F67</f>
        <v>2973.0100725296334</v>
      </c>
      <c r="G65" s="1">
        <f>'Data_Raw++ (2014)'!G67</f>
        <v>697.37273306250654</v>
      </c>
      <c r="H65" s="1">
        <f>'Data_Raw++ (2014)'!H67</f>
        <v>1003.5363719679973</v>
      </c>
      <c r="I65" s="1">
        <f>'Data_Raw++ (2014)'!I67</f>
        <v>31.037207380453527</v>
      </c>
      <c r="J65" s="1">
        <f>'Data_Raw++ (2014)'!J67</f>
        <v>313.82065240236346</v>
      </c>
      <c r="K65" s="1">
        <f>'Data_Raw++ (2014)'!K67</f>
        <v>609.18126642811728</v>
      </c>
      <c r="L65" s="1">
        <f>'Data_Raw++ (2014)'!L67</f>
        <v>133.72271702080624</v>
      </c>
      <c r="M65" s="1">
        <f>'Data_Raw++ (2014)'!M67</f>
        <v>163.4388763587632</v>
      </c>
      <c r="N65" s="1">
        <f>'Data_Raw++ (2014)'!N67</f>
        <v>85.272457230659057</v>
      </c>
      <c r="O65" s="1">
        <f>'Data_Raw++ (2014)'!O67</f>
        <v>214.0366611774466</v>
      </c>
      <c r="P65" s="1">
        <f>'Data_Raw++ (2014)'!P67</f>
        <v>83.236479346784805</v>
      </c>
      <c r="Q65" s="1">
        <f>'Data_Raw++ (2014)'!Q67</f>
        <v>73.813481684884621</v>
      </c>
      <c r="R65" s="1">
        <f>'Data_Raw++ (2014)'!R67</f>
        <v>3.8849200886781383</v>
      </c>
      <c r="S65" s="1">
        <f>'Data_Raw++ (2014)'!S67</f>
        <v>31.4325352629413</v>
      </c>
      <c r="T65" s="1">
        <f>'Data_Raw++ (2014)'!T67</f>
        <v>14.05971079712088</v>
      </c>
      <c r="U65" s="1">
        <f>'Data_Raw++ (2014)'!U67</f>
        <v>11.625732220539936</v>
      </c>
      <c r="V65" s="1">
        <f>'Data_Raw++ (2014)'!V67</f>
        <v>4.0847167261356532</v>
      </c>
      <c r="W65" s="1">
        <f>'Data_Raw++ (2014)'!W67</f>
        <v>4.6061699252168005</v>
      </c>
      <c r="X65" s="1">
        <f>'Data_Raw++ (2014)'!X67</f>
        <v>3.6191335126703432</v>
      </c>
      <c r="Y65" s="1">
        <f>'Data_Raw++ (2014)'!Y67</f>
        <v>7.3479377378458484</v>
      </c>
      <c r="Z65" s="1">
        <f>'Data_Raw++ (2014)'!Z67</f>
        <v>7.3479377378458484</v>
      </c>
      <c r="AA65" s="1">
        <f>'Data_Raw++ (2014)'!AA67</f>
        <v>4.8986251585638989</v>
      </c>
    </row>
    <row r="66" spans="1:27" x14ac:dyDescent="0.2">
      <c r="A66" s="1" t="s">
        <v>189</v>
      </c>
      <c r="B66" s="1">
        <f>'Data_Raw++ (2014)'!B68</f>
        <v>8000</v>
      </c>
      <c r="C66" s="1">
        <f>'Data_Raw++ (2014)'!C68</f>
        <v>695.6521739130435</v>
      </c>
      <c r="D66" s="1">
        <f>'Data_Raw++ (2014)'!D68</f>
        <v>2328.9224952741019</v>
      </c>
      <c r="E66" s="1">
        <f>'Data_Raw++ (2014)'!E68</f>
        <v>3493.3837429111522</v>
      </c>
      <c r="F66" s="1">
        <f>'Data_Raw++ (2014)'!F68</f>
        <v>4100.9287416783091</v>
      </c>
      <c r="G66" s="1">
        <f>'Data_Raw++ (2014)'!G68</f>
        <v>1366.9762472261029</v>
      </c>
      <c r="H66" s="1">
        <f>'Data_Raw++ (2014)'!H68</f>
        <v>1366.9762472261029</v>
      </c>
      <c r="I66" s="1">
        <f>'Data_Raw++ (2014)'!I68</f>
        <v>27.897474433185778</v>
      </c>
      <c r="J66" s="1">
        <f>'Data_Raw++ (2014)'!J68</f>
        <v>1366.9762472261029</v>
      </c>
      <c r="K66" s="1">
        <f>'Data_Raw++ (2014)'!K68</f>
        <v>455.65874907536767</v>
      </c>
      <c r="L66" s="1">
        <f>'Data_Raw++ (2014)'!L68</f>
        <v>214.42764662370243</v>
      </c>
      <c r="M66" s="1">
        <f>'Data_Raw++ (2014)'!M68</f>
        <v>308.56661343410838</v>
      </c>
      <c r="N66" s="1">
        <f>'Data_Raw++ (2014)'!N68</f>
        <v>138.63137705010669</v>
      </c>
      <c r="O66" s="1">
        <f>'Data_Raw++ (2014)'!O68</f>
        <v>269.107967214913</v>
      </c>
      <c r="P66" s="1">
        <f>'Data_Raw++ (2014)'!P68</f>
        <v>115.33198594924843</v>
      </c>
      <c r="Q66" s="1">
        <f>'Data_Raw++ (2014)'!Q68</f>
        <v>110.80916297084653</v>
      </c>
      <c r="R66" s="1">
        <f>'Data_Raw++ (2014)'!R68</f>
        <v>3.4270875145622641</v>
      </c>
      <c r="S66" s="1">
        <f>'Data_Raw++ (2014)'!S68</f>
        <v>65.114662776683005</v>
      </c>
      <c r="T66" s="1">
        <f>'Data_Raw++ (2014)'!T68</f>
        <v>26.596129866532493</v>
      </c>
      <c r="U66" s="1">
        <f>'Data_Raw++ (2014)'!U68</f>
        <v>32.506380947984162</v>
      </c>
      <c r="V66" s="1">
        <f>'Data_Raw++ (2014)'!V68</f>
        <v>6.6579334471774807</v>
      </c>
      <c r="W66" s="1">
        <f>'Data_Raw++ (2014)'!W68</f>
        <v>6.3968380178764033</v>
      </c>
      <c r="X66" s="1">
        <f>'Data_Raw++ (2014)'!X68</f>
        <v>11.879842033199035</v>
      </c>
      <c r="Y66" s="1">
        <f>'Data_Raw++ (2014)'!Y68</f>
        <v>20.227839137609166</v>
      </c>
      <c r="Z66" s="1">
        <f>'Data_Raw++ (2014)'!Z68</f>
        <v>17.937895084294922</v>
      </c>
      <c r="AA66" s="1">
        <f>'Data_Raw++ (2014)'!AA68</f>
        <v>7.6876693218406817</v>
      </c>
    </row>
    <row r="68" spans="1:27" ht="16" x14ac:dyDescent="0.2">
      <c r="A68" s="43" t="s">
        <v>334</v>
      </c>
      <c r="B68" s="8">
        <f>_xlfn.STDEV.P(B2:B66)</f>
        <v>13914.361913347708</v>
      </c>
      <c r="C68" s="8">
        <f t="shared" ref="C68:AA68" si="0">_xlfn.STDEV.P(C2:C66)</f>
        <v>3114.893071246041</v>
      </c>
      <c r="D68" s="8">
        <f t="shared" si="0"/>
        <v>3081.4701778789549</v>
      </c>
      <c r="E68" s="8">
        <f t="shared" si="0"/>
        <v>2912.0182622920584</v>
      </c>
      <c r="F68" s="8">
        <f t="shared" si="0"/>
        <v>2321.5312295991621</v>
      </c>
      <c r="G68" s="8">
        <f t="shared" si="0"/>
        <v>2215.3822662497864</v>
      </c>
      <c r="H68" s="8">
        <f t="shared" si="0"/>
        <v>1780.2709042935069</v>
      </c>
      <c r="I68" s="8">
        <f t="shared" si="0"/>
        <v>62.171143266127082</v>
      </c>
      <c r="J68" s="8">
        <f t="shared" si="0"/>
        <v>1192.8787724838105</v>
      </c>
      <c r="K68" s="8">
        <f t="shared" si="0"/>
        <v>1176.1765305549986</v>
      </c>
      <c r="L68" s="8">
        <f t="shared" si="0"/>
        <v>640.45481743388973</v>
      </c>
      <c r="M68" s="8">
        <f t="shared" si="0"/>
        <v>559.06824823566205</v>
      </c>
      <c r="N68" s="8">
        <f t="shared" si="0"/>
        <v>464.40227545231318</v>
      </c>
      <c r="O68" s="8">
        <f t="shared" si="0"/>
        <v>482.75494174102096</v>
      </c>
      <c r="P68" s="8">
        <f t="shared" si="0"/>
        <v>269.98039990605065</v>
      </c>
      <c r="Q68" s="8">
        <f t="shared" si="0"/>
        <v>382.91608338165497</v>
      </c>
      <c r="R68" s="8">
        <f t="shared" si="0"/>
        <v>30.594130002501835</v>
      </c>
      <c r="S68" s="8">
        <f t="shared" si="0"/>
        <v>265.66232592788475</v>
      </c>
      <c r="T68" s="8">
        <f t="shared" si="0"/>
        <v>174.57180735604462</v>
      </c>
      <c r="U68" s="8">
        <f t="shared" si="0"/>
        <v>81.351233833341595</v>
      </c>
      <c r="V68" s="8">
        <f t="shared" si="0"/>
        <v>50.36423936148006</v>
      </c>
      <c r="W68" s="8">
        <f t="shared" si="0"/>
        <v>65.137258608346954</v>
      </c>
      <c r="X68" s="8">
        <f t="shared" si="0"/>
        <v>73.239484965102676</v>
      </c>
      <c r="Y68" s="8">
        <f t="shared" si="0"/>
        <v>55.702792412339306</v>
      </c>
      <c r="Z68" s="8">
        <f t="shared" si="0"/>
        <v>54.559465760391767</v>
      </c>
      <c r="AA68" s="8">
        <f t="shared" si="0"/>
        <v>75.355677588652881</v>
      </c>
    </row>
    <row r="69" spans="1:27" x14ac:dyDescent="0.2">
      <c r="A69" s="43"/>
    </row>
    <row r="70" spans="1:27" ht="16" x14ac:dyDescent="0.2">
      <c r="A70" s="43" t="s">
        <v>343</v>
      </c>
      <c r="B70" s="8">
        <f>B68*Notes!$C$7*KeywordInfo!B21</f>
        <v>2922.0160018030183</v>
      </c>
      <c r="C70" s="8">
        <f>C68*Notes!$C$7*KeywordInfo!C21</f>
        <v>1308.2550899233372</v>
      </c>
      <c r="D70" s="8">
        <f>D68*Notes!$C$7*KeywordInfo!D21</f>
        <v>1232.588071151582</v>
      </c>
      <c r="E70" s="8">
        <f>E68*Notes!$C$7*KeywordInfo!E21</f>
        <v>1281.2880354085057</v>
      </c>
      <c r="F70" s="8">
        <f>F68*Notes!$C$7*KeywordInfo!F21</f>
        <v>766.10530576772351</v>
      </c>
      <c r="G70" s="8">
        <f>G68*Notes!$C$7*KeywordInfo!G21</f>
        <v>886.15290649991459</v>
      </c>
      <c r="H70" s="8">
        <f>H68*Notes!$C$7*KeywordInfo!H21</f>
        <v>658.70023458859748</v>
      </c>
      <c r="I70" s="8">
        <f>I68*Notes!$C$7*KeywordInfo!I21</f>
        <v>19.273054412499395</v>
      </c>
      <c r="J70" s="8">
        <f>J68*Notes!$C$7*KeywordInfo!J21</f>
        <v>143.14545269805726</v>
      </c>
      <c r="K70" s="8">
        <f>K68*Notes!$C$7*KeywordInfo!K21</f>
        <v>364.6147244720496</v>
      </c>
      <c r="L70" s="8">
        <f>L68*Notes!$C$7*KeywordInfo!L21</f>
        <v>268.99102332223367</v>
      </c>
      <c r="M70" s="8">
        <f>M68*Notes!$C$7*KeywordInfo!M21</f>
        <v>262.76207667076113</v>
      </c>
      <c r="N70" s="8">
        <f>N68*Notes!$C$7*KeywordInfo!N21</f>
        <v>153.25275089926336</v>
      </c>
      <c r="O70" s="8">
        <f>O68*Notes!$C$7*KeywordInfo!O21</f>
        <v>202.75707553122879</v>
      </c>
      <c r="P70" s="8">
        <f>P68*Notes!$C$7*KeywordInfo!P21</f>
        <v>51.296275982149623</v>
      </c>
      <c r="Q70" s="8">
        <f>Q68*Notes!$C$7*KeywordInfo!Q21</f>
        <v>153.16643335266198</v>
      </c>
      <c r="R70" s="8">
        <f>R68*Notes!$C$7*KeywordInfo!R21</f>
        <v>13.155475901075789</v>
      </c>
      <c r="S70" s="8">
        <f>S68*Notes!$C$7*KeywordInfo!S21</f>
        <v>132.83116296394238</v>
      </c>
      <c r="T70" s="8">
        <f>T68*Notes!$C$7*KeywordInfo!T21</f>
        <v>83.794467530901414</v>
      </c>
      <c r="U70" s="8">
        <f>U68*Notes!$C$7*KeywordInfo!U21</f>
        <v>33.354005871670054</v>
      </c>
      <c r="V70" s="8">
        <f>V68*Notes!$C$7*KeywordInfo!V21</f>
        <v>7.5546359042220086</v>
      </c>
      <c r="W70" s="8">
        <f>W68*Notes!$C$7*KeywordInfo!W21</f>
        <v>20.843922754671027</v>
      </c>
      <c r="X70" s="8">
        <f>X68*Notes!$C$7*KeywordInfo!X21</f>
        <v>30.760583685343121</v>
      </c>
      <c r="Y70" s="8">
        <f>Y68*Notes!$C$7*KeywordInfo!Y21</f>
        <v>29.522479978539835</v>
      </c>
      <c r="Z70" s="8">
        <f>Z68*Notes!$C$7*KeywordInfo!Z21</f>
        <v>23.460570276968458</v>
      </c>
      <c r="AA70" s="8">
        <f>AA68*Notes!$C$7*KeywordInfo!AA21</f>
        <v>42.199179449645619</v>
      </c>
    </row>
    <row r="71" spans="1:27" x14ac:dyDescent="0.2">
      <c r="A71" s="5"/>
    </row>
    <row r="72" spans="1:27" x14ac:dyDescent="0.2">
      <c r="A72" s="114" t="s">
        <v>335</v>
      </c>
      <c r="B72" s="32">
        <f>_xlfn.COVARIANCE.P($B$2:$B$66,B$2:B$66)</f>
        <v>193609467.45562115</v>
      </c>
      <c r="C72" s="32">
        <f t="shared" ref="C72:AA72" si="1">_xlfn.COVARIANCE.P($B$2:$B$66,C$2:C$66)</f>
        <v>2596977.0346901491</v>
      </c>
      <c r="D72" s="32">
        <f t="shared" si="1"/>
        <v>14189410.853702886</v>
      </c>
      <c r="E72" s="32">
        <f t="shared" si="1"/>
        <v>14134158.72771618</v>
      </c>
      <c r="F72" s="32">
        <f t="shared" si="1"/>
        <v>12171751.905708009</v>
      </c>
      <c r="G72" s="32">
        <f t="shared" si="1"/>
        <v>5803718.4022652805</v>
      </c>
      <c r="H72" s="32">
        <f t="shared" si="1"/>
        <v>9104708.2621338759</v>
      </c>
      <c r="I72" s="32">
        <f t="shared" si="1"/>
        <v>21945.778929763401</v>
      </c>
      <c r="J72" s="32">
        <f t="shared" si="1"/>
        <v>1398858.5161454331</v>
      </c>
      <c r="K72" s="32">
        <f t="shared" si="1"/>
        <v>6450400.2360093864</v>
      </c>
      <c r="L72" s="32">
        <f t="shared" si="1"/>
        <v>3317095.6608465537</v>
      </c>
      <c r="M72" s="32">
        <f t="shared" si="1"/>
        <v>2131321.0500411727</v>
      </c>
      <c r="N72" s="32">
        <f t="shared" si="1"/>
        <v>1532521.2050914799</v>
      </c>
      <c r="O72" s="32">
        <f t="shared" si="1"/>
        <v>2315853.374948855</v>
      </c>
      <c r="P72" s="32">
        <f t="shared" si="1"/>
        <v>1053798.5008942767</v>
      </c>
      <c r="Q72" s="32">
        <f t="shared" si="1"/>
        <v>2320981.7804404218</v>
      </c>
      <c r="R72" s="32">
        <f t="shared" si="1"/>
        <v>110111.40337641173</v>
      </c>
      <c r="S72" s="32">
        <f t="shared" si="1"/>
        <v>1297794.2167184085</v>
      </c>
      <c r="T72" s="32">
        <f t="shared" si="1"/>
        <v>1037915.0469826065</v>
      </c>
      <c r="U72" s="32">
        <f t="shared" si="1"/>
        <v>400935.33952387579</v>
      </c>
      <c r="V72" s="32">
        <f t="shared" si="1"/>
        <v>-10759.184722370348</v>
      </c>
      <c r="W72" s="32">
        <f t="shared" si="1"/>
        <v>234264.26914708508</v>
      </c>
      <c r="X72" s="32">
        <f t="shared" si="1"/>
        <v>458622.84393874608</v>
      </c>
      <c r="Y72" s="32">
        <f t="shared" si="1"/>
        <v>208476.22886185895</v>
      </c>
      <c r="Z72" s="32">
        <f t="shared" si="1"/>
        <v>394271.51134225354</v>
      </c>
      <c r="AA72" s="32">
        <f t="shared" si="1"/>
        <v>242034.42910290425</v>
      </c>
    </row>
    <row r="73" spans="1:27" x14ac:dyDescent="0.2">
      <c r="A73" s="114"/>
      <c r="B73" s="32">
        <f>_xlfn.COVARIANCE.P($C$2:$C$66,B$2:B$66)</f>
        <v>2596977.0346901491</v>
      </c>
      <c r="C73" s="32">
        <f t="shared" ref="C73:AA73" si="2">_xlfn.COVARIANCE.P($C$2:$C$66,C$2:C$66)</f>
        <v>9702558.8452965897</v>
      </c>
      <c r="D73" s="32">
        <f t="shared" si="2"/>
        <v>4155049.9305549474</v>
      </c>
      <c r="E73" s="32">
        <f t="shared" si="2"/>
        <v>3245078.3071622374</v>
      </c>
      <c r="F73" s="32">
        <f t="shared" si="2"/>
        <v>2068584.4017919926</v>
      </c>
      <c r="G73" s="32">
        <f t="shared" si="2"/>
        <v>2652123.565627682</v>
      </c>
      <c r="H73" s="32">
        <f t="shared" si="2"/>
        <v>1058433.8761135226</v>
      </c>
      <c r="I73" s="32">
        <f t="shared" si="2"/>
        <v>48245.026348002953</v>
      </c>
      <c r="J73" s="32">
        <f t="shared" si="2"/>
        <v>530403.37174341967</v>
      </c>
      <c r="K73" s="32">
        <f t="shared" si="2"/>
        <v>390295.96743142855</v>
      </c>
      <c r="L73" s="32">
        <f t="shared" si="2"/>
        <v>385889.87890907406</v>
      </c>
      <c r="M73" s="32">
        <f t="shared" si="2"/>
        <v>346645.13192034623</v>
      </c>
      <c r="N73" s="32">
        <f t="shared" si="2"/>
        <v>430344.33498443844</v>
      </c>
      <c r="O73" s="32">
        <f t="shared" si="2"/>
        <v>265886.11705569958</v>
      </c>
      <c r="P73" s="32">
        <f t="shared" si="2"/>
        <v>-22476.028184448001</v>
      </c>
      <c r="Q73" s="32">
        <f t="shared" si="2"/>
        <v>21300.716658397188</v>
      </c>
      <c r="R73" s="32">
        <f t="shared" si="2"/>
        <v>25536.7933154194</v>
      </c>
      <c r="S73" s="32">
        <f t="shared" si="2"/>
        <v>155787.86498951059</v>
      </c>
      <c r="T73" s="32">
        <f t="shared" si="2"/>
        <v>127504.46685745921</v>
      </c>
      <c r="U73" s="32">
        <f t="shared" si="2"/>
        <v>49188.498402832971</v>
      </c>
      <c r="V73" s="32">
        <f t="shared" si="2"/>
        <v>18489.088320547413</v>
      </c>
      <c r="W73" s="32">
        <f t="shared" si="2"/>
        <v>40533.708667870596</v>
      </c>
      <c r="X73" s="32">
        <f t="shared" si="2"/>
        <v>50445.462312280899</v>
      </c>
      <c r="Y73" s="32">
        <f t="shared" si="2"/>
        <v>66814.523084549874</v>
      </c>
      <c r="Z73" s="32">
        <f t="shared" si="2"/>
        <v>19015.040464657537</v>
      </c>
      <c r="AA73" s="32">
        <f t="shared" si="2"/>
        <v>60938.635911739126</v>
      </c>
    </row>
    <row r="74" spans="1:27" x14ac:dyDescent="0.2">
      <c r="A74" s="5"/>
      <c r="B74" s="32">
        <f>_xlfn.COVARIANCE.P($D$2:$D$66,B$2:B$66)</f>
        <v>14189410.853702886</v>
      </c>
      <c r="C74" s="32">
        <f t="shared" ref="C74:AA74" si="3">_xlfn.COVARIANCE.P($D$2:$D$66,C$2:C$66)</f>
        <v>4155049.9305549474</v>
      </c>
      <c r="D74" s="32">
        <f t="shared" si="3"/>
        <v>9495458.4571573511</v>
      </c>
      <c r="E74" s="32">
        <f t="shared" si="3"/>
        <v>6389231.1318306299</v>
      </c>
      <c r="F74" s="32">
        <f t="shared" si="3"/>
        <v>4299257.4703056915</v>
      </c>
      <c r="G74" s="32">
        <f t="shared" si="3"/>
        <v>6373446.6630842602</v>
      </c>
      <c r="H74" s="32">
        <f t="shared" si="3"/>
        <v>3892144.2769998657</v>
      </c>
      <c r="I74" s="32">
        <f t="shared" si="3"/>
        <v>89053.28187502324</v>
      </c>
      <c r="J74" s="32">
        <f t="shared" si="3"/>
        <v>1530597.2189288517</v>
      </c>
      <c r="K74" s="32">
        <f t="shared" si="3"/>
        <v>1672963.9076051926</v>
      </c>
      <c r="L74" s="32">
        <f t="shared" si="3"/>
        <v>1173054.0618471615</v>
      </c>
      <c r="M74" s="32">
        <f t="shared" si="3"/>
        <v>1056652.9192460517</v>
      </c>
      <c r="N74" s="32">
        <f t="shared" si="3"/>
        <v>1135927.4587181048</v>
      </c>
      <c r="O74" s="32">
        <f t="shared" si="3"/>
        <v>677518.75299181871</v>
      </c>
      <c r="P74" s="32">
        <f t="shared" si="3"/>
        <v>195936.59809860174</v>
      </c>
      <c r="Q74" s="32">
        <f t="shared" si="3"/>
        <v>181853.19219479925</v>
      </c>
      <c r="R74" s="32">
        <f t="shared" si="3"/>
        <v>55403.682808918384</v>
      </c>
      <c r="S74" s="32">
        <f t="shared" si="3"/>
        <v>476348.3518702116</v>
      </c>
      <c r="T74" s="32">
        <f t="shared" si="3"/>
        <v>397282.19595406711</v>
      </c>
      <c r="U74" s="32">
        <f t="shared" si="3"/>
        <v>107861.7327347797</v>
      </c>
      <c r="V74" s="32">
        <f t="shared" si="3"/>
        <v>25481.439676199177</v>
      </c>
      <c r="W74" s="32">
        <f t="shared" si="3"/>
        <v>115763.98747971532</v>
      </c>
      <c r="X74" s="32">
        <f t="shared" si="3"/>
        <v>138809.5088912553</v>
      </c>
      <c r="Y74" s="32">
        <f t="shared" si="3"/>
        <v>109159.40225792646</v>
      </c>
      <c r="Z74" s="32">
        <f t="shared" si="3"/>
        <v>51070.465438774918</v>
      </c>
      <c r="AA74" s="32">
        <f t="shared" si="3"/>
        <v>90054.985244979616</v>
      </c>
    </row>
    <row r="75" spans="1:27" x14ac:dyDescent="0.2">
      <c r="A75" s="5"/>
      <c r="B75" s="32">
        <f>_xlfn.COVARIANCE.P($E$2:$E$66,B$2:B$66)</f>
        <v>14134158.72771618</v>
      </c>
      <c r="C75" s="32">
        <f t="shared" ref="C75:AA75" si="4">_xlfn.COVARIANCE.P($E$2:$E$66,C$2:C$66)</f>
        <v>3245078.3071622374</v>
      </c>
      <c r="D75" s="32">
        <f t="shared" si="4"/>
        <v>6389231.1318306299</v>
      </c>
      <c r="E75" s="32">
        <f t="shared" si="4"/>
        <v>8479850.3599224649</v>
      </c>
      <c r="F75" s="32">
        <f t="shared" si="4"/>
        <v>5179271.0771887684</v>
      </c>
      <c r="G75" s="32">
        <f t="shared" si="4"/>
        <v>4567866.1597355856</v>
      </c>
      <c r="H75" s="32">
        <f t="shared" si="4"/>
        <v>2601298.9603201556</v>
      </c>
      <c r="I75" s="32">
        <f t="shared" si="4"/>
        <v>78974.947476340196</v>
      </c>
      <c r="J75" s="32">
        <f t="shared" si="4"/>
        <v>1802660.6423409684</v>
      </c>
      <c r="K75" s="32">
        <f t="shared" si="4"/>
        <v>1862601.0716848769</v>
      </c>
      <c r="L75" s="32">
        <f t="shared" si="4"/>
        <v>1456616.5087930255</v>
      </c>
      <c r="M75" s="32">
        <f t="shared" si="4"/>
        <v>1138126.310770334</v>
      </c>
      <c r="N75" s="32">
        <f t="shared" si="4"/>
        <v>971360.52539502713</v>
      </c>
      <c r="O75" s="32">
        <f t="shared" si="4"/>
        <v>923352.14662505104</v>
      </c>
      <c r="P75" s="32">
        <f t="shared" si="4"/>
        <v>468181.61713886994</v>
      </c>
      <c r="Q75" s="32">
        <f t="shared" si="4"/>
        <v>328275.00257670908</v>
      </c>
      <c r="R75" s="32">
        <f t="shared" si="4"/>
        <v>42349.968289149132</v>
      </c>
      <c r="S75" s="32">
        <f t="shared" si="4"/>
        <v>452824.09343215759</v>
      </c>
      <c r="T75" s="32">
        <f t="shared" si="4"/>
        <v>410049.55005197052</v>
      </c>
      <c r="U75" s="32">
        <f t="shared" si="4"/>
        <v>127573.33574794415</v>
      </c>
      <c r="V75" s="32">
        <f t="shared" si="4"/>
        <v>57375.625065533888</v>
      </c>
      <c r="W75" s="32">
        <f t="shared" si="4"/>
        <v>129769.13480426864</v>
      </c>
      <c r="X75" s="32">
        <f t="shared" si="4"/>
        <v>183856.52466425611</v>
      </c>
      <c r="Y75" s="32">
        <f t="shared" si="4"/>
        <v>123025.27662442412</v>
      </c>
      <c r="Z75" s="32">
        <f t="shared" si="4"/>
        <v>74818.03390012795</v>
      </c>
      <c r="AA75" s="32">
        <f t="shared" si="4"/>
        <v>103095.42470421546</v>
      </c>
    </row>
    <row r="76" spans="1:27" x14ac:dyDescent="0.2">
      <c r="A76" s="5"/>
      <c r="B76" s="32">
        <f>_xlfn.COVARIANCE.P($F$2:$F$66,B$2:B$66)</f>
        <v>12171751.905708009</v>
      </c>
      <c r="C76" s="32">
        <f t="shared" ref="C76:AA76" si="5">_xlfn.COVARIANCE.P($F$2:$F$66,C$2:C$66)</f>
        <v>2068584.4017919926</v>
      </c>
      <c r="D76" s="32">
        <f t="shared" si="5"/>
        <v>4299257.4703056915</v>
      </c>
      <c r="E76" s="32">
        <f t="shared" si="5"/>
        <v>5179271.0771887684</v>
      </c>
      <c r="F76" s="32">
        <f t="shared" si="5"/>
        <v>5389507.2500041714</v>
      </c>
      <c r="G76" s="32">
        <f t="shared" si="5"/>
        <v>2710807.9847474494</v>
      </c>
      <c r="H76" s="32">
        <f t="shared" si="5"/>
        <v>2185048.6111400486</v>
      </c>
      <c r="I76" s="32">
        <f t="shared" si="5"/>
        <v>51926.656928941622</v>
      </c>
      <c r="J76" s="32">
        <f t="shared" si="5"/>
        <v>1077117.0030446288</v>
      </c>
      <c r="K76" s="32">
        <f t="shared" si="5"/>
        <v>1251036.5308096148</v>
      </c>
      <c r="L76" s="32">
        <f t="shared" si="5"/>
        <v>935262.55504058709</v>
      </c>
      <c r="M76" s="32">
        <f t="shared" si="5"/>
        <v>716839.41508871829</v>
      </c>
      <c r="N76" s="32">
        <f t="shared" si="5"/>
        <v>493762.89201023971</v>
      </c>
      <c r="O76" s="32">
        <f t="shared" si="5"/>
        <v>573895.02602215472</v>
      </c>
      <c r="P76" s="32">
        <f t="shared" si="5"/>
        <v>288104.05476310686</v>
      </c>
      <c r="Q76" s="32">
        <f t="shared" si="5"/>
        <v>213732.24661986547</v>
      </c>
      <c r="R76" s="32">
        <f t="shared" si="5"/>
        <v>23325.91181346375</v>
      </c>
      <c r="S76" s="32">
        <f t="shared" si="5"/>
        <v>269040.22269470809</v>
      </c>
      <c r="T76" s="32">
        <f t="shared" si="5"/>
        <v>218091.90519426498</v>
      </c>
      <c r="U76" s="32">
        <f t="shared" si="5"/>
        <v>99969.685681561226</v>
      </c>
      <c r="V76" s="32">
        <f t="shared" si="5"/>
        <v>38202.192754258263</v>
      </c>
      <c r="W76" s="32">
        <f t="shared" si="5"/>
        <v>84316.308513711032</v>
      </c>
      <c r="X76" s="32">
        <f t="shared" si="5"/>
        <v>107943.82452331921</v>
      </c>
      <c r="Y76" s="32">
        <f t="shared" si="5"/>
        <v>78661.985339202452</v>
      </c>
      <c r="Z76" s="32">
        <f t="shared" si="5"/>
        <v>42388.883023974937</v>
      </c>
      <c r="AA76" s="32">
        <f t="shared" si="5"/>
        <v>65888.602955300143</v>
      </c>
    </row>
    <row r="77" spans="1:27" x14ac:dyDescent="0.2">
      <c r="A77" s="5"/>
      <c r="B77" s="32">
        <f>_xlfn.COVARIANCE.P($G$2:$G$66,B$2:B$66)</f>
        <v>5803718.4022652805</v>
      </c>
      <c r="C77" s="32">
        <f t="shared" ref="C77:AA77" si="6">_xlfn.COVARIANCE.P($G$2:$G$66,C$2:C$66)</f>
        <v>2652123.565627682</v>
      </c>
      <c r="D77" s="32">
        <f t="shared" si="6"/>
        <v>6373446.6630842602</v>
      </c>
      <c r="E77" s="32">
        <f t="shared" si="6"/>
        <v>4567866.1597355856</v>
      </c>
      <c r="F77" s="32">
        <f t="shared" si="6"/>
        <v>2710807.9847474494</v>
      </c>
      <c r="G77" s="32">
        <f t="shared" si="6"/>
        <v>4907918.5856140349</v>
      </c>
      <c r="H77" s="32">
        <f t="shared" si="6"/>
        <v>2568242.9973316379</v>
      </c>
      <c r="I77" s="32">
        <f t="shared" si="6"/>
        <v>69977.246940735757</v>
      </c>
      <c r="J77" s="32">
        <f t="shared" si="6"/>
        <v>1197217.9300815549</v>
      </c>
      <c r="K77" s="32">
        <f t="shared" si="6"/>
        <v>1105836.7507045157</v>
      </c>
      <c r="L77" s="32">
        <f t="shared" si="6"/>
        <v>773810.43530841544</v>
      </c>
      <c r="M77" s="32">
        <f t="shared" si="6"/>
        <v>830992.97056793899</v>
      </c>
      <c r="N77" s="32">
        <f t="shared" si="6"/>
        <v>864780.1249527114</v>
      </c>
      <c r="O77" s="32">
        <f t="shared" si="6"/>
        <v>442016.1737980211</v>
      </c>
      <c r="P77" s="32">
        <f t="shared" si="6"/>
        <v>118332.6394548505</v>
      </c>
      <c r="Q77" s="32">
        <f t="shared" si="6"/>
        <v>96532.493161148304</v>
      </c>
      <c r="R77" s="32">
        <f t="shared" si="6"/>
        <v>41934.409521930407</v>
      </c>
      <c r="S77" s="32">
        <f t="shared" si="6"/>
        <v>353119.73100016819</v>
      </c>
      <c r="T77" s="32">
        <f t="shared" si="6"/>
        <v>266602.79327598296</v>
      </c>
      <c r="U77" s="32">
        <f t="shared" si="6"/>
        <v>73593.935551613598</v>
      </c>
      <c r="V77" s="32">
        <f t="shared" si="6"/>
        <v>27116.223656093738</v>
      </c>
      <c r="W77" s="32">
        <f t="shared" si="6"/>
        <v>77469.925040484872</v>
      </c>
      <c r="X77" s="32">
        <f t="shared" si="6"/>
        <v>94788.185155605781</v>
      </c>
      <c r="Y77" s="32">
        <f t="shared" si="6"/>
        <v>85423.313884229457</v>
      </c>
      <c r="Z77" s="32">
        <f t="shared" si="6"/>
        <v>30436.15953035215</v>
      </c>
      <c r="AA77" s="32">
        <f t="shared" si="6"/>
        <v>58976.918664189085</v>
      </c>
    </row>
    <row r="78" spans="1:27" x14ac:dyDescent="0.2">
      <c r="A78" s="5"/>
      <c r="B78" s="32">
        <f>_xlfn.COVARIANCE.P($H$2:$H$66,B$2:B$66)</f>
        <v>9104708.2621338759</v>
      </c>
      <c r="C78" s="32">
        <f t="shared" ref="C78:AA78" si="7">_xlfn.COVARIANCE.P($H$2:$H$66,C$2:C$66)</f>
        <v>1058433.8761135226</v>
      </c>
      <c r="D78" s="32">
        <f t="shared" si="7"/>
        <v>3892144.2769998657</v>
      </c>
      <c r="E78" s="32">
        <f t="shared" si="7"/>
        <v>2601298.9603201556</v>
      </c>
      <c r="F78" s="32">
        <f t="shared" si="7"/>
        <v>2185048.6111400486</v>
      </c>
      <c r="G78" s="32">
        <f t="shared" si="7"/>
        <v>2568242.9973316379</v>
      </c>
      <c r="H78" s="32">
        <f t="shared" si="7"/>
        <v>3169364.4926740248</v>
      </c>
      <c r="I78" s="32">
        <f t="shared" si="7"/>
        <v>17259.48859841314</v>
      </c>
      <c r="J78" s="32">
        <f t="shared" si="7"/>
        <v>675483.64765025431</v>
      </c>
      <c r="K78" s="32">
        <f t="shared" si="7"/>
        <v>920570.25909452862</v>
      </c>
      <c r="L78" s="32">
        <f t="shared" si="7"/>
        <v>576787.99898192985</v>
      </c>
      <c r="M78" s="32">
        <f t="shared" si="7"/>
        <v>537549.81262119161</v>
      </c>
      <c r="N78" s="32">
        <f t="shared" si="7"/>
        <v>463978.05215660966</v>
      </c>
      <c r="O78" s="32">
        <f t="shared" si="7"/>
        <v>349766.57866189821</v>
      </c>
      <c r="P78" s="32">
        <f t="shared" si="7"/>
        <v>115026.93940164895</v>
      </c>
      <c r="Q78" s="32">
        <f t="shared" si="7"/>
        <v>202072.92616744075</v>
      </c>
      <c r="R78" s="32">
        <f t="shared" si="7"/>
        <v>22609.569408753789</v>
      </c>
      <c r="S78" s="32">
        <f t="shared" si="7"/>
        <v>264546.36095012154</v>
      </c>
      <c r="T78" s="32">
        <f t="shared" si="7"/>
        <v>181855.82291231101</v>
      </c>
      <c r="U78" s="32">
        <f t="shared" si="7"/>
        <v>49620.826447608444</v>
      </c>
      <c r="V78" s="32">
        <f t="shared" si="7"/>
        <v>8352.4013903575815</v>
      </c>
      <c r="W78" s="32">
        <f t="shared" si="7"/>
        <v>48688.291126480683</v>
      </c>
      <c r="X78" s="32">
        <f t="shared" si="7"/>
        <v>60564.155477414737</v>
      </c>
      <c r="Y78" s="32">
        <f t="shared" si="7"/>
        <v>58792.781703719091</v>
      </c>
      <c r="Z78" s="32">
        <f t="shared" si="7"/>
        <v>38715.151000763581</v>
      </c>
      <c r="AA78" s="32">
        <f t="shared" si="7"/>
        <v>39316.543656245252</v>
      </c>
    </row>
    <row r="79" spans="1:27" x14ac:dyDescent="0.2">
      <c r="A79" s="5"/>
      <c r="B79" s="32">
        <f>_xlfn.COVARIANCE.P($I$2:$I$66,B$2:B$66)</f>
        <v>21945.778929763401</v>
      </c>
      <c r="C79" s="32">
        <f t="shared" ref="C79:AA79" si="8">_xlfn.COVARIANCE.P($I$2:$I$66,C$2:C$66)</f>
        <v>48245.026348002953</v>
      </c>
      <c r="D79" s="32">
        <f t="shared" si="8"/>
        <v>89053.28187502324</v>
      </c>
      <c r="E79" s="32">
        <f t="shared" si="8"/>
        <v>78974.947476340196</v>
      </c>
      <c r="F79" s="32">
        <f t="shared" si="8"/>
        <v>51926.656928941622</v>
      </c>
      <c r="G79" s="32">
        <f t="shared" si="8"/>
        <v>69977.246940735757</v>
      </c>
      <c r="H79" s="32">
        <f t="shared" si="8"/>
        <v>17259.48859841314</v>
      </c>
      <c r="I79" s="32">
        <f t="shared" si="8"/>
        <v>3865.251055017301</v>
      </c>
      <c r="J79" s="32">
        <f t="shared" si="8"/>
        <v>16560.826745775503</v>
      </c>
      <c r="K79" s="32">
        <f t="shared" si="8"/>
        <v>9486.7422143895874</v>
      </c>
      <c r="L79" s="32">
        <f t="shared" si="8"/>
        <v>8896.1975770419958</v>
      </c>
      <c r="M79" s="32">
        <f t="shared" si="8"/>
        <v>17183.931338921728</v>
      </c>
      <c r="N79" s="32">
        <f t="shared" si="8"/>
        <v>11680.701314783213</v>
      </c>
      <c r="O79" s="32">
        <f t="shared" si="8"/>
        <v>6295.9692606908984</v>
      </c>
      <c r="P79" s="32">
        <f t="shared" si="8"/>
        <v>1731.8460769289293</v>
      </c>
      <c r="Q79" s="32">
        <f t="shared" si="8"/>
        <v>669.25527891622073</v>
      </c>
      <c r="R79" s="32">
        <f t="shared" si="8"/>
        <v>521.29564188636334</v>
      </c>
      <c r="S79" s="32">
        <f t="shared" si="8"/>
        <v>4992.8979745576034</v>
      </c>
      <c r="T79" s="32">
        <f t="shared" si="8"/>
        <v>3055.0491098216226</v>
      </c>
      <c r="U79" s="32">
        <f t="shared" si="8"/>
        <v>1763.6088765100972</v>
      </c>
      <c r="V79" s="32">
        <f t="shared" si="8"/>
        <v>517.24465990806527</v>
      </c>
      <c r="W79" s="32">
        <f t="shared" si="8"/>
        <v>880.78633579558698</v>
      </c>
      <c r="X79" s="32">
        <f t="shared" si="8"/>
        <v>1618.0551992159137</v>
      </c>
      <c r="Y79" s="32">
        <f t="shared" si="8"/>
        <v>1153.2688633436769</v>
      </c>
      <c r="Z79" s="32">
        <f t="shared" si="8"/>
        <v>206.43150248358808</v>
      </c>
      <c r="AA79" s="32">
        <f t="shared" si="8"/>
        <v>599.47446015213575</v>
      </c>
    </row>
    <row r="80" spans="1:27" x14ac:dyDescent="0.2">
      <c r="A80" s="5"/>
      <c r="B80" s="32">
        <f>_xlfn.COVARIANCE.P($J$2:$J$66,B$2:B$66)</f>
        <v>1398858.5161454331</v>
      </c>
      <c r="C80" s="32">
        <f t="shared" ref="C80:AA80" si="9">_xlfn.COVARIANCE.P($J$2:$J$66,C$2:C$66)</f>
        <v>530403.37174341967</v>
      </c>
      <c r="D80" s="32">
        <f t="shared" si="9"/>
        <v>1530597.2189288517</v>
      </c>
      <c r="E80" s="32">
        <f t="shared" si="9"/>
        <v>1802660.6423409684</v>
      </c>
      <c r="F80" s="32">
        <f t="shared" si="9"/>
        <v>1077117.0030446288</v>
      </c>
      <c r="G80" s="32">
        <f t="shared" si="9"/>
        <v>1197217.9300815549</v>
      </c>
      <c r="H80" s="32">
        <f t="shared" si="9"/>
        <v>675483.64765025431</v>
      </c>
      <c r="I80" s="32">
        <f t="shared" si="9"/>
        <v>16560.826745775503</v>
      </c>
      <c r="J80" s="32">
        <f t="shared" si="9"/>
        <v>1422959.7658424836</v>
      </c>
      <c r="K80" s="32">
        <f t="shared" si="9"/>
        <v>993089.15611958306</v>
      </c>
      <c r="L80" s="32">
        <f t="shared" si="9"/>
        <v>543354.13255451247</v>
      </c>
      <c r="M80" s="32">
        <f t="shared" si="9"/>
        <v>323019.05247222877</v>
      </c>
      <c r="N80" s="32">
        <f t="shared" si="9"/>
        <v>360529.69885054982</v>
      </c>
      <c r="O80" s="32">
        <f t="shared" si="9"/>
        <v>441691.27164353861</v>
      </c>
      <c r="P80" s="32">
        <f t="shared" si="9"/>
        <v>207494.46196065907</v>
      </c>
      <c r="Q80" s="32">
        <f t="shared" si="9"/>
        <v>162365.19193660747</v>
      </c>
      <c r="R80" s="32">
        <f t="shared" si="9"/>
        <v>12879.353862110371</v>
      </c>
      <c r="S80" s="32">
        <f t="shared" si="9"/>
        <v>135980.62929713688</v>
      </c>
      <c r="T80" s="32">
        <f t="shared" si="9"/>
        <v>106011.54823971014</v>
      </c>
      <c r="U80" s="32">
        <f t="shared" si="9"/>
        <v>45195.98517315631</v>
      </c>
      <c r="V80" s="32">
        <f t="shared" si="9"/>
        <v>25367.212844878177</v>
      </c>
      <c r="W80" s="32">
        <f t="shared" si="9"/>
        <v>36897.008662818844</v>
      </c>
      <c r="X80" s="32">
        <f t="shared" si="9"/>
        <v>39115.573428053089</v>
      </c>
      <c r="Y80" s="32">
        <f t="shared" si="9"/>
        <v>36609.487811315688</v>
      </c>
      <c r="Z80" s="32">
        <f t="shared" si="9"/>
        <v>17363.245884692526</v>
      </c>
      <c r="AA80" s="32">
        <f t="shared" si="9"/>
        <v>24462.031149059691</v>
      </c>
    </row>
    <row r="81" spans="1:27" x14ac:dyDescent="0.2">
      <c r="A81" s="5"/>
      <c r="B81" s="32">
        <f>_xlfn.COVARIANCE.P($K$2:$K$66,B$2:B$66)</f>
        <v>6450400.2360093864</v>
      </c>
      <c r="C81" s="32">
        <f t="shared" ref="C81:AA81" si="10">_xlfn.COVARIANCE.P($K$2:$K$66,C$2:C$66)</f>
        <v>390295.96743142855</v>
      </c>
      <c r="D81" s="32">
        <f t="shared" si="10"/>
        <v>1672963.9076051926</v>
      </c>
      <c r="E81" s="32">
        <f t="shared" si="10"/>
        <v>1862601.0716848769</v>
      </c>
      <c r="F81" s="32">
        <f t="shared" si="10"/>
        <v>1251036.5308096148</v>
      </c>
      <c r="G81" s="32">
        <f t="shared" si="10"/>
        <v>1105836.7507045157</v>
      </c>
      <c r="H81" s="32">
        <f t="shared" si="10"/>
        <v>920570.25909452862</v>
      </c>
      <c r="I81" s="32">
        <f t="shared" si="10"/>
        <v>9486.7422143895874</v>
      </c>
      <c r="J81" s="32">
        <f t="shared" si="10"/>
        <v>993089.15611958306</v>
      </c>
      <c r="K81" s="32">
        <f t="shared" si="10"/>
        <v>1383391.2310283936</v>
      </c>
      <c r="L81" s="32">
        <f t="shared" si="10"/>
        <v>623534.18352562317</v>
      </c>
      <c r="M81" s="32">
        <f t="shared" si="10"/>
        <v>412457.56820277672</v>
      </c>
      <c r="N81" s="32">
        <f t="shared" si="10"/>
        <v>371152.01860394923</v>
      </c>
      <c r="O81" s="32">
        <f t="shared" si="10"/>
        <v>529930.46931504668</v>
      </c>
      <c r="P81" s="32">
        <f t="shared" si="10"/>
        <v>197398.20339281036</v>
      </c>
      <c r="Q81" s="32">
        <f t="shared" si="10"/>
        <v>317078.72775328183</v>
      </c>
      <c r="R81" s="32">
        <f t="shared" si="10"/>
        <v>23974.898520672938</v>
      </c>
      <c r="S81" s="32">
        <f t="shared" si="10"/>
        <v>206875.15292601704</v>
      </c>
      <c r="T81" s="32">
        <f t="shared" si="10"/>
        <v>143719.64817341979</v>
      </c>
      <c r="U81" s="32">
        <f t="shared" si="10"/>
        <v>72261.649020700817</v>
      </c>
      <c r="V81" s="32">
        <f t="shared" si="10"/>
        <v>24183.291533836997</v>
      </c>
      <c r="W81" s="32">
        <f t="shared" si="10"/>
        <v>51831.789771623517</v>
      </c>
      <c r="X81" s="32">
        <f t="shared" si="10"/>
        <v>49456.469829462178</v>
      </c>
      <c r="Y81" s="32">
        <f t="shared" si="10"/>
        <v>42840.388418331975</v>
      </c>
      <c r="Z81" s="32">
        <f t="shared" si="10"/>
        <v>42621.628520224745</v>
      </c>
      <c r="AA81" s="32">
        <f t="shared" si="10"/>
        <v>36678.567736594159</v>
      </c>
    </row>
    <row r="82" spans="1:27" x14ac:dyDescent="0.2">
      <c r="A82" s="5"/>
      <c r="B82" s="32">
        <f>_xlfn.COVARIANCE.P($L$2:$L$66,B$2:B$66)</f>
        <v>3317095.6608465537</v>
      </c>
      <c r="C82" s="32">
        <f t="shared" ref="C82:AA82" si="11">_xlfn.COVARIANCE.P($L$2:$L$66,C$2:C$66)</f>
        <v>385889.87890907406</v>
      </c>
      <c r="D82" s="32">
        <f t="shared" si="11"/>
        <v>1173054.0618471615</v>
      </c>
      <c r="E82" s="32">
        <f t="shared" si="11"/>
        <v>1456616.5087930255</v>
      </c>
      <c r="F82" s="32">
        <f t="shared" si="11"/>
        <v>935262.55504058709</v>
      </c>
      <c r="G82" s="32">
        <f t="shared" si="11"/>
        <v>773810.43530841544</v>
      </c>
      <c r="H82" s="32">
        <f t="shared" si="11"/>
        <v>576787.99898192985</v>
      </c>
      <c r="I82" s="32">
        <f t="shared" si="11"/>
        <v>8896.1975770419958</v>
      </c>
      <c r="J82" s="32">
        <f t="shared" si="11"/>
        <v>543354.13255451247</v>
      </c>
      <c r="K82" s="32">
        <f t="shared" si="11"/>
        <v>623534.18352562317</v>
      </c>
      <c r="L82" s="32">
        <f t="shared" si="11"/>
        <v>410182.37317427632</v>
      </c>
      <c r="M82" s="32">
        <f t="shared" si="11"/>
        <v>233474.91262513568</v>
      </c>
      <c r="N82" s="32">
        <f t="shared" si="11"/>
        <v>214631.55169662833</v>
      </c>
      <c r="O82" s="32">
        <f t="shared" si="11"/>
        <v>278129.24008845736</v>
      </c>
      <c r="P82" s="32">
        <f t="shared" si="11"/>
        <v>125893.41895561131</v>
      </c>
      <c r="Q82" s="32">
        <f t="shared" si="11"/>
        <v>111991.27098013769</v>
      </c>
      <c r="R82" s="32">
        <f t="shared" si="11"/>
        <v>11821.855155108113</v>
      </c>
      <c r="S82" s="32">
        <f t="shared" si="11"/>
        <v>101299.77237734449</v>
      </c>
      <c r="T82" s="32">
        <f t="shared" si="11"/>
        <v>92330.966266107993</v>
      </c>
      <c r="U82" s="32">
        <f t="shared" si="11"/>
        <v>34005.299950303037</v>
      </c>
      <c r="V82" s="32">
        <f t="shared" si="11"/>
        <v>15033.209021231309</v>
      </c>
      <c r="W82" s="32">
        <f t="shared" si="11"/>
        <v>33051.324623482215</v>
      </c>
      <c r="X82" s="32">
        <f t="shared" si="11"/>
        <v>35441.922539035528</v>
      </c>
      <c r="Y82" s="32">
        <f t="shared" si="11"/>
        <v>26776.020939990332</v>
      </c>
      <c r="Z82" s="32">
        <f t="shared" si="11"/>
        <v>18431.457884115869</v>
      </c>
      <c r="AA82" s="32">
        <f t="shared" si="11"/>
        <v>22711.596946107853</v>
      </c>
    </row>
    <row r="83" spans="1:27" x14ac:dyDescent="0.2">
      <c r="A83" s="5"/>
      <c r="B83" s="32">
        <f>_xlfn.COVARIANCE.P($M$2:$M$66,B$2:B$66)</f>
        <v>2131321.0500411727</v>
      </c>
      <c r="C83" s="32">
        <f t="shared" ref="C83:AA83" si="12">_xlfn.COVARIANCE.P($M$2:$M$66,C$2:C$66)</f>
        <v>346645.13192034623</v>
      </c>
      <c r="D83" s="32">
        <f t="shared" si="12"/>
        <v>1056652.9192460517</v>
      </c>
      <c r="E83" s="32">
        <f t="shared" si="12"/>
        <v>1138126.310770334</v>
      </c>
      <c r="F83" s="32">
        <f t="shared" si="12"/>
        <v>716839.41508871829</v>
      </c>
      <c r="G83" s="32">
        <f t="shared" si="12"/>
        <v>830992.97056793899</v>
      </c>
      <c r="H83" s="32">
        <f t="shared" si="12"/>
        <v>537549.81262119161</v>
      </c>
      <c r="I83" s="32">
        <f t="shared" si="12"/>
        <v>17183.931338921728</v>
      </c>
      <c r="J83" s="32">
        <f t="shared" si="12"/>
        <v>323019.05247222877</v>
      </c>
      <c r="K83" s="32">
        <f t="shared" si="12"/>
        <v>412457.56820277672</v>
      </c>
      <c r="L83" s="32">
        <f t="shared" si="12"/>
        <v>233474.91262513568</v>
      </c>
      <c r="M83" s="32">
        <f t="shared" si="12"/>
        <v>312557.30618529161</v>
      </c>
      <c r="N83" s="32">
        <f t="shared" si="12"/>
        <v>195284.69289967095</v>
      </c>
      <c r="O83" s="32">
        <f t="shared" si="12"/>
        <v>181495.37682848828</v>
      </c>
      <c r="P83" s="32">
        <f t="shared" si="12"/>
        <v>53359.938821597891</v>
      </c>
      <c r="Q83" s="32">
        <f t="shared" si="12"/>
        <v>102778.27962598618</v>
      </c>
      <c r="R83" s="32">
        <f t="shared" si="12"/>
        <v>10928.037065682332</v>
      </c>
      <c r="S83" s="32">
        <f t="shared" si="12"/>
        <v>126285.43902451139</v>
      </c>
      <c r="T83" s="32">
        <f t="shared" si="12"/>
        <v>73203.130967002449</v>
      </c>
      <c r="U83" s="32">
        <f t="shared" si="12"/>
        <v>31577.197321439256</v>
      </c>
      <c r="V83" s="32">
        <f t="shared" si="12"/>
        <v>12535.41432288284</v>
      </c>
      <c r="W83" s="32">
        <f t="shared" si="12"/>
        <v>21801.382524368615</v>
      </c>
      <c r="X83" s="32">
        <f t="shared" si="12"/>
        <v>28725.293014874078</v>
      </c>
      <c r="Y83" s="32">
        <f t="shared" si="12"/>
        <v>24706.710760246217</v>
      </c>
      <c r="Z83" s="32">
        <f t="shared" si="12"/>
        <v>19307.520664604868</v>
      </c>
      <c r="AA83" s="32">
        <f t="shared" si="12"/>
        <v>21776.802463794011</v>
      </c>
    </row>
    <row r="84" spans="1:27" x14ac:dyDescent="0.2">
      <c r="A84" s="5"/>
      <c r="B84" s="32">
        <f>_xlfn.COVARIANCE.P($N$2:$N$66,B$2:B$66)</f>
        <v>1532521.2050914799</v>
      </c>
      <c r="C84" s="32">
        <f t="shared" ref="C84:AA84" si="13">_xlfn.COVARIANCE.P($N$2:$N$66,C$2:C$66)</f>
        <v>430344.33498443844</v>
      </c>
      <c r="D84" s="32">
        <f t="shared" si="13"/>
        <v>1135927.4587181048</v>
      </c>
      <c r="E84" s="32">
        <f t="shared" si="13"/>
        <v>971360.52539502713</v>
      </c>
      <c r="F84" s="32">
        <f t="shared" si="13"/>
        <v>493762.89201023971</v>
      </c>
      <c r="G84" s="32">
        <f t="shared" si="13"/>
        <v>864780.1249527114</v>
      </c>
      <c r="H84" s="32">
        <f t="shared" si="13"/>
        <v>463978.05215660966</v>
      </c>
      <c r="I84" s="32">
        <f t="shared" si="13"/>
        <v>11680.701314783213</v>
      </c>
      <c r="J84" s="32">
        <f t="shared" si="13"/>
        <v>360529.69885054982</v>
      </c>
      <c r="K84" s="32">
        <f t="shared" si="13"/>
        <v>371152.01860394923</v>
      </c>
      <c r="L84" s="32">
        <f t="shared" si="13"/>
        <v>214631.55169662833</v>
      </c>
      <c r="M84" s="32">
        <f t="shared" si="13"/>
        <v>195284.69289967095</v>
      </c>
      <c r="N84" s="32">
        <f t="shared" si="13"/>
        <v>215669.47344528645</v>
      </c>
      <c r="O84" s="32">
        <f t="shared" si="13"/>
        <v>157178.75327318261</v>
      </c>
      <c r="P84" s="32">
        <f t="shared" si="13"/>
        <v>51283.784960012468</v>
      </c>
      <c r="Q84" s="32">
        <f t="shared" si="13"/>
        <v>60996.776338166448</v>
      </c>
      <c r="R84" s="32">
        <f t="shared" si="13"/>
        <v>8934.7441950580505</v>
      </c>
      <c r="S84" s="32">
        <f t="shared" si="13"/>
        <v>80585.11895628045</v>
      </c>
      <c r="T84" s="32">
        <f t="shared" si="13"/>
        <v>67875.678683668695</v>
      </c>
      <c r="U84" s="32">
        <f t="shared" si="13"/>
        <v>19362.965927610843</v>
      </c>
      <c r="V84" s="32">
        <f t="shared" si="13"/>
        <v>6006.8907580279865</v>
      </c>
      <c r="W84" s="32">
        <f t="shared" si="13"/>
        <v>20038.104039400314</v>
      </c>
      <c r="X84" s="32">
        <f t="shared" si="13"/>
        <v>23244.445191859224</v>
      </c>
      <c r="Y84" s="32">
        <f t="shared" si="13"/>
        <v>17829.712269313975</v>
      </c>
      <c r="Z84" s="32">
        <f t="shared" si="13"/>
        <v>11003.747378745764</v>
      </c>
      <c r="AA84" s="32">
        <f t="shared" si="13"/>
        <v>16476.656441414045</v>
      </c>
    </row>
    <row r="85" spans="1:27" x14ac:dyDescent="0.2">
      <c r="A85" s="5"/>
      <c r="B85" s="32">
        <f>_xlfn.COVARIANCE.P($O$2:$O$66,B$2:B$66)</f>
        <v>2315853.374948855</v>
      </c>
      <c r="C85" s="32">
        <f t="shared" ref="C85:AA85" si="14">_xlfn.COVARIANCE.P($O$2:$O$66,C$2:C$66)</f>
        <v>265886.11705569958</v>
      </c>
      <c r="D85" s="32">
        <f t="shared" si="14"/>
        <v>677518.75299181871</v>
      </c>
      <c r="E85" s="32">
        <f t="shared" si="14"/>
        <v>923352.14662505104</v>
      </c>
      <c r="F85" s="32">
        <f t="shared" si="14"/>
        <v>573895.02602215472</v>
      </c>
      <c r="G85" s="32">
        <f t="shared" si="14"/>
        <v>442016.1737980211</v>
      </c>
      <c r="H85" s="32">
        <f t="shared" si="14"/>
        <v>349766.57866189821</v>
      </c>
      <c r="I85" s="32">
        <f t="shared" si="14"/>
        <v>6295.9692606908984</v>
      </c>
      <c r="J85" s="32">
        <f t="shared" si="14"/>
        <v>441691.27164353861</v>
      </c>
      <c r="K85" s="32">
        <f t="shared" si="14"/>
        <v>529930.46931504668</v>
      </c>
      <c r="L85" s="32">
        <f t="shared" si="14"/>
        <v>278129.24008845736</v>
      </c>
      <c r="M85" s="32">
        <f t="shared" si="14"/>
        <v>181495.37682848828</v>
      </c>
      <c r="N85" s="32">
        <f t="shared" si="14"/>
        <v>157178.75327318261</v>
      </c>
      <c r="O85" s="32">
        <f t="shared" si="14"/>
        <v>233052.33377537655</v>
      </c>
      <c r="P85" s="32">
        <f t="shared" si="14"/>
        <v>94153.032313167656</v>
      </c>
      <c r="Q85" s="32">
        <f t="shared" si="14"/>
        <v>117462.67471741447</v>
      </c>
      <c r="R85" s="32">
        <f t="shared" si="14"/>
        <v>8625.102209891229</v>
      </c>
      <c r="S85" s="32">
        <f t="shared" si="14"/>
        <v>78189.261845963367</v>
      </c>
      <c r="T85" s="32">
        <f t="shared" si="14"/>
        <v>63390.988425517331</v>
      </c>
      <c r="U85" s="32">
        <f t="shared" si="14"/>
        <v>28015.182879851578</v>
      </c>
      <c r="V85" s="32">
        <f t="shared" si="14"/>
        <v>11620.508626021361</v>
      </c>
      <c r="W85" s="32">
        <f t="shared" si="14"/>
        <v>21289.166605580311</v>
      </c>
      <c r="X85" s="32">
        <f t="shared" si="14"/>
        <v>22722.840045060078</v>
      </c>
      <c r="Y85" s="32">
        <f t="shared" si="14"/>
        <v>18327.063523678458</v>
      </c>
      <c r="Z85" s="32">
        <f t="shared" si="14"/>
        <v>16089.172709128243</v>
      </c>
      <c r="AA85" s="32">
        <f t="shared" si="14"/>
        <v>15700.828918978103</v>
      </c>
    </row>
    <row r="86" spans="1:27" x14ac:dyDescent="0.2">
      <c r="A86" s="5"/>
      <c r="B86" s="32">
        <f>_xlfn.COVARIANCE.P($P$2:$P$66,B$2:B$66)</f>
        <v>1053798.5008942767</v>
      </c>
      <c r="C86" s="32">
        <f t="shared" ref="C86:AA86" si="15">_xlfn.COVARIANCE.P($P$2:$P$66,C$2:C$66)</f>
        <v>-22476.028184448001</v>
      </c>
      <c r="D86" s="32">
        <f t="shared" si="15"/>
        <v>195936.59809860174</v>
      </c>
      <c r="E86" s="32">
        <f t="shared" si="15"/>
        <v>468181.61713886994</v>
      </c>
      <c r="F86" s="32">
        <f t="shared" si="15"/>
        <v>288104.05476310686</v>
      </c>
      <c r="G86" s="32">
        <f t="shared" si="15"/>
        <v>118332.6394548505</v>
      </c>
      <c r="H86" s="32">
        <f t="shared" si="15"/>
        <v>115026.93940164895</v>
      </c>
      <c r="I86" s="32">
        <f t="shared" si="15"/>
        <v>1731.8460769289293</v>
      </c>
      <c r="J86" s="32">
        <f t="shared" si="15"/>
        <v>207494.46196065907</v>
      </c>
      <c r="K86" s="32">
        <f t="shared" si="15"/>
        <v>197398.20339281036</v>
      </c>
      <c r="L86" s="32">
        <f t="shared" si="15"/>
        <v>125893.41895561131</v>
      </c>
      <c r="M86" s="32">
        <f t="shared" si="15"/>
        <v>53359.938821597891</v>
      </c>
      <c r="N86" s="32">
        <f t="shared" si="15"/>
        <v>51283.784960012468</v>
      </c>
      <c r="O86" s="32">
        <f t="shared" si="15"/>
        <v>94153.032313167656</v>
      </c>
      <c r="P86" s="32">
        <f t="shared" si="15"/>
        <v>72889.416333431058</v>
      </c>
      <c r="Q86" s="32">
        <f t="shared" si="15"/>
        <v>41256.576923929337</v>
      </c>
      <c r="R86" s="32">
        <f t="shared" si="15"/>
        <v>2355.0218178929053</v>
      </c>
      <c r="S86" s="32">
        <f t="shared" si="15"/>
        <v>18959.973464795465</v>
      </c>
      <c r="T86" s="32">
        <f t="shared" si="15"/>
        <v>24182.049836311398</v>
      </c>
      <c r="U86" s="32">
        <f t="shared" si="15"/>
        <v>9207.7101518626732</v>
      </c>
      <c r="V86" s="32">
        <f t="shared" si="15"/>
        <v>5478.3611820279548</v>
      </c>
      <c r="W86" s="32">
        <f t="shared" si="15"/>
        <v>8761.58557914228</v>
      </c>
      <c r="X86" s="32">
        <f t="shared" si="15"/>
        <v>11436.503918785527</v>
      </c>
      <c r="Y86" s="32">
        <f t="shared" si="15"/>
        <v>7001.4294892191274</v>
      </c>
      <c r="Z86" s="32">
        <f t="shared" si="15"/>
        <v>5420.9218502396016</v>
      </c>
      <c r="AA86" s="32">
        <f t="shared" si="15"/>
        <v>5219.8038422638283</v>
      </c>
    </row>
    <row r="87" spans="1:27" x14ac:dyDescent="0.2">
      <c r="A87" s="5"/>
      <c r="B87" s="32">
        <f>_xlfn.COVARIANCE.P($Q$2:$Q$66,B$2:B$66)</f>
        <v>2320981.7804404218</v>
      </c>
      <c r="C87" s="32">
        <f t="shared" ref="C87:AA87" si="16">_xlfn.COVARIANCE.P($Q$2:$Q$66,C$2:C$66)</f>
        <v>21300.716658397188</v>
      </c>
      <c r="D87" s="32">
        <f t="shared" si="16"/>
        <v>181853.19219479925</v>
      </c>
      <c r="E87" s="32">
        <f t="shared" si="16"/>
        <v>328275.00257670908</v>
      </c>
      <c r="F87" s="32">
        <f t="shared" si="16"/>
        <v>213732.24661986547</v>
      </c>
      <c r="G87" s="32">
        <f t="shared" si="16"/>
        <v>96532.493161148304</v>
      </c>
      <c r="H87" s="32">
        <f t="shared" si="16"/>
        <v>202072.92616744075</v>
      </c>
      <c r="I87" s="32">
        <f t="shared" si="16"/>
        <v>669.25527891622073</v>
      </c>
      <c r="J87" s="32">
        <f t="shared" si="16"/>
        <v>162365.19193660747</v>
      </c>
      <c r="K87" s="32">
        <f t="shared" si="16"/>
        <v>317078.72775328183</v>
      </c>
      <c r="L87" s="32">
        <f t="shared" si="16"/>
        <v>111991.27098013769</v>
      </c>
      <c r="M87" s="32">
        <f t="shared" si="16"/>
        <v>102778.27962598618</v>
      </c>
      <c r="N87" s="32">
        <f t="shared" si="16"/>
        <v>60996.776338166448</v>
      </c>
      <c r="O87" s="32">
        <f t="shared" si="16"/>
        <v>117462.67471741447</v>
      </c>
      <c r="P87" s="32">
        <f t="shared" si="16"/>
        <v>41256.576923929337</v>
      </c>
      <c r="Q87" s="32">
        <f t="shared" si="16"/>
        <v>146624.72691234655</v>
      </c>
      <c r="R87" s="32">
        <f t="shared" si="16"/>
        <v>6238.4173839786808</v>
      </c>
      <c r="S87" s="32">
        <f t="shared" si="16"/>
        <v>63565.422256643738</v>
      </c>
      <c r="T87" s="32">
        <f t="shared" si="16"/>
        <v>30871.078866113829</v>
      </c>
      <c r="U87" s="32">
        <f t="shared" si="16"/>
        <v>21095.047603398642</v>
      </c>
      <c r="V87" s="32">
        <f t="shared" si="16"/>
        <v>2588.2683542795194</v>
      </c>
      <c r="W87" s="32">
        <f t="shared" si="16"/>
        <v>7422.6695729375624</v>
      </c>
      <c r="X87" s="32">
        <f t="shared" si="16"/>
        <v>12953.39222893976</v>
      </c>
      <c r="Y87" s="32">
        <f t="shared" si="16"/>
        <v>9286.9518663662329</v>
      </c>
      <c r="Z87" s="32">
        <f t="shared" si="16"/>
        <v>16487.809323072117</v>
      </c>
      <c r="AA87" s="32">
        <f t="shared" si="16"/>
        <v>10501.797334361767</v>
      </c>
    </row>
    <row r="88" spans="1:27" x14ac:dyDescent="0.2">
      <c r="A88" s="5"/>
      <c r="B88" s="32">
        <f>_xlfn.COVARIANCE.P($R$2:$R$66,B$2:B$66)</f>
        <v>110111.40337641173</v>
      </c>
      <c r="C88" s="32">
        <f t="shared" ref="C88:AA88" si="17">_xlfn.COVARIANCE.P($R$2:$R$66,C$2:C$66)</f>
        <v>25536.7933154194</v>
      </c>
      <c r="D88" s="32">
        <f t="shared" si="17"/>
        <v>55403.682808918384</v>
      </c>
      <c r="E88" s="32">
        <f t="shared" si="17"/>
        <v>42349.968289149132</v>
      </c>
      <c r="F88" s="32">
        <f t="shared" si="17"/>
        <v>23325.91181346375</v>
      </c>
      <c r="G88" s="32">
        <f t="shared" si="17"/>
        <v>41934.409521930407</v>
      </c>
      <c r="H88" s="32">
        <f t="shared" si="17"/>
        <v>22609.569408753789</v>
      </c>
      <c r="I88" s="32">
        <f t="shared" si="17"/>
        <v>521.29564188636334</v>
      </c>
      <c r="J88" s="32">
        <f t="shared" si="17"/>
        <v>12879.353862110371</v>
      </c>
      <c r="K88" s="32">
        <f t="shared" si="17"/>
        <v>23974.898520672938</v>
      </c>
      <c r="L88" s="32">
        <f t="shared" si="17"/>
        <v>11821.855155108113</v>
      </c>
      <c r="M88" s="32">
        <f t="shared" si="17"/>
        <v>10928.037065682332</v>
      </c>
      <c r="N88" s="32">
        <f t="shared" si="17"/>
        <v>8934.7441950580505</v>
      </c>
      <c r="O88" s="32">
        <f t="shared" si="17"/>
        <v>8625.102209891229</v>
      </c>
      <c r="P88" s="32">
        <f t="shared" si="17"/>
        <v>2355.0218178929053</v>
      </c>
      <c r="Q88" s="32">
        <f t="shared" si="17"/>
        <v>6238.4173839786808</v>
      </c>
      <c r="R88" s="32">
        <f t="shared" si="17"/>
        <v>936.00079060998337</v>
      </c>
      <c r="S88" s="32">
        <f t="shared" si="17"/>
        <v>5906.4703279699606</v>
      </c>
      <c r="T88" s="32">
        <f t="shared" si="17"/>
        <v>3335.1251354842357</v>
      </c>
      <c r="U88" s="32">
        <f t="shared" si="17"/>
        <v>1919.1086478463972</v>
      </c>
      <c r="V88" s="32">
        <f t="shared" si="17"/>
        <v>583.39321693666727</v>
      </c>
      <c r="W88" s="32">
        <f t="shared" si="17"/>
        <v>1099.4426220715438</v>
      </c>
      <c r="X88" s="32">
        <f t="shared" si="17"/>
        <v>1190.3147842371077</v>
      </c>
      <c r="Y88" s="32">
        <f t="shared" si="17"/>
        <v>1203.8154242542469</v>
      </c>
      <c r="Z88" s="32">
        <f t="shared" si="17"/>
        <v>981.63965551758497</v>
      </c>
      <c r="AA88" s="32">
        <f t="shared" si="17"/>
        <v>1035.3353410115635</v>
      </c>
    </row>
    <row r="89" spans="1:27" x14ac:dyDescent="0.2">
      <c r="A89" s="5"/>
      <c r="B89" s="32">
        <f>_xlfn.COVARIANCE.P($S$2:$S$66,B$2:B$66)</f>
        <v>1297794.2167184085</v>
      </c>
      <c r="C89" s="32">
        <f t="shared" ref="C89:AA89" si="18">_xlfn.COVARIANCE.P($S$2:$S$66,C$2:C$66)</f>
        <v>155787.86498951059</v>
      </c>
      <c r="D89" s="32">
        <f t="shared" si="18"/>
        <v>476348.3518702116</v>
      </c>
      <c r="E89" s="32">
        <f t="shared" si="18"/>
        <v>452824.09343215759</v>
      </c>
      <c r="F89" s="32">
        <f t="shared" si="18"/>
        <v>269040.22269470809</v>
      </c>
      <c r="G89" s="32">
        <f t="shared" si="18"/>
        <v>353119.73100016819</v>
      </c>
      <c r="H89" s="32">
        <f t="shared" si="18"/>
        <v>264546.36095012154</v>
      </c>
      <c r="I89" s="32">
        <f t="shared" si="18"/>
        <v>4992.8979745576034</v>
      </c>
      <c r="J89" s="32">
        <f t="shared" si="18"/>
        <v>135980.62929713688</v>
      </c>
      <c r="K89" s="32">
        <f t="shared" si="18"/>
        <v>206875.15292601704</v>
      </c>
      <c r="L89" s="32">
        <f t="shared" si="18"/>
        <v>101299.77237734449</v>
      </c>
      <c r="M89" s="32">
        <f t="shared" si="18"/>
        <v>126285.43902451139</v>
      </c>
      <c r="N89" s="32">
        <f t="shared" si="18"/>
        <v>80585.11895628045</v>
      </c>
      <c r="O89" s="32">
        <f t="shared" si="18"/>
        <v>78189.261845963367</v>
      </c>
      <c r="P89" s="32">
        <f t="shared" si="18"/>
        <v>18959.973464795465</v>
      </c>
      <c r="Q89" s="32">
        <f t="shared" si="18"/>
        <v>63565.422256643738</v>
      </c>
      <c r="R89" s="32">
        <f t="shared" si="18"/>
        <v>5906.4703279699606</v>
      </c>
      <c r="S89" s="32">
        <f t="shared" si="18"/>
        <v>70576.47141741369</v>
      </c>
      <c r="T89" s="32">
        <f t="shared" si="18"/>
        <v>33624.07812151211</v>
      </c>
      <c r="U89" s="32">
        <f t="shared" si="18"/>
        <v>16798.116206356095</v>
      </c>
      <c r="V89" s="32">
        <f t="shared" si="18"/>
        <v>4445.1227372403118</v>
      </c>
      <c r="W89" s="32">
        <f t="shared" si="18"/>
        <v>9684.0590828651602</v>
      </c>
      <c r="X89" s="32">
        <f t="shared" si="18"/>
        <v>12537.168492698187</v>
      </c>
      <c r="Y89" s="32">
        <f t="shared" si="18"/>
        <v>11496.978884969478</v>
      </c>
      <c r="Z89" s="32">
        <f t="shared" si="18"/>
        <v>11453.763963433588</v>
      </c>
      <c r="AA89" s="32">
        <f t="shared" si="18"/>
        <v>11363.673314543468</v>
      </c>
    </row>
    <row r="90" spans="1:27" x14ac:dyDescent="0.2">
      <c r="A90" s="5"/>
      <c r="B90" s="32">
        <f>_xlfn.COVARIANCE.P($T$2:$T$66,B$2:B$66)</f>
        <v>1037915.0469826065</v>
      </c>
      <c r="C90" s="32">
        <f t="shared" ref="C90:AA90" si="19">_xlfn.COVARIANCE.P($T$2:$T$66,C$2:C$66)</f>
        <v>127504.46685745921</v>
      </c>
      <c r="D90" s="32">
        <f t="shared" si="19"/>
        <v>397282.19595406711</v>
      </c>
      <c r="E90" s="32">
        <f t="shared" si="19"/>
        <v>410049.55005197052</v>
      </c>
      <c r="F90" s="32">
        <f t="shared" si="19"/>
        <v>218091.90519426498</v>
      </c>
      <c r="G90" s="32">
        <f t="shared" si="19"/>
        <v>266602.79327598296</v>
      </c>
      <c r="H90" s="32">
        <f t="shared" si="19"/>
        <v>181855.82291231101</v>
      </c>
      <c r="I90" s="32">
        <f t="shared" si="19"/>
        <v>3055.0491098216226</v>
      </c>
      <c r="J90" s="32">
        <f t="shared" si="19"/>
        <v>106011.54823971014</v>
      </c>
      <c r="K90" s="32">
        <f t="shared" si="19"/>
        <v>143719.64817341979</v>
      </c>
      <c r="L90" s="32">
        <f t="shared" si="19"/>
        <v>92330.966266107993</v>
      </c>
      <c r="M90" s="32">
        <f t="shared" si="19"/>
        <v>73203.130967002449</v>
      </c>
      <c r="N90" s="32">
        <f t="shared" si="19"/>
        <v>67875.678683668695</v>
      </c>
      <c r="O90" s="32">
        <f t="shared" si="19"/>
        <v>63390.988425517331</v>
      </c>
      <c r="P90" s="32">
        <f t="shared" si="19"/>
        <v>24182.049836311398</v>
      </c>
      <c r="Q90" s="32">
        <f t="shared" si="19"/>
        <v>30871.078866113829</v>
      </c>
      <c r="R90" s="32">
        <f t="shared" si="19"/>
        <v>3335.1251354842357</v>
      </c>
      <c r="S90" s="32">
        <f t="shared" si="19"/>
        <v>33624.07812151211</v>
      </c>
      <c r="T90" s="32">
        <f t="shared" si="19"/>
        <v>30475.315923555954</v>
      </c>
      <c r="U90" s="32">
        <f t="shared" si="19"/>
        <v>8225.7227776934924</v>
      </c>
      <c r="V90" s="32">
        <f t="shared" si="19"/>
        <v>2459.5601206128572</v>
      </c>
      <c r="W90" s="32">
        <f t="shared" si="19"/>
        <v>8488.8830659541418</v>
      </c>
      <c r="X90" s="32">
        <f t="shared" si="19"/>
        <v>11001.164892257619</v>
      </c>
      <c r="Y90" s="32">
        <f t="shared" si="19"/>
        <v>7363.460424479993</v>
      </c>
      <c r="Z90" s="32">
        <f t="shared" si="19"/>
        <v>6066.6330655410738</v>
      </c>
      <c r="AA90" s="32">
        <f t="shared" si="19"/>
        <v>7518.5698817141611</v>
      </c>
    </row>
    <row r="91" spans="1:27" x14ac:dyDescent="0.2">
      <c r="A91" s="5"/>
      <c r="B91" s="32">
        <f>_xlfn.COVARIANCE.P($U$2:$U$66,B$2:B$66)</f>
        <v>400935.33952387579</v>
      </c>
      <c r="C91" s="32">
        <f t="shared" ref="C91:AA91" si="20">_xlfn.COVARIANCE.P($U$2:$U$66,C$2:C$66)</f>
        <v>49188.498402832971</v>
      </c>
      <c r="D91" s="32">
        <f t="shared" si="20"/>
        <v>107861.7327347797</v>
      </c>
      <c r="E91" s="32">
        <f t="shared" si="20"/>
        <v>127573.33574794415</v>
      </c>
      <c r="F91" s="32">
        <f t="shared" si="20"/>
        <v>99969.685681561226</v>
      </c>
      <c r="G91" s="32">
        <f t="shared" si="20"/>
        <v>73593.935551613598</v>
      </c>
      <c r="H91" s="32">
        <f t="shared" si="20"/>
        <v>49620.826447608444</v>
      </c>
      <c r="I91" s="32">
        <f t="shared" si="20"/>
        <v>1763.6088765100972</v>
      </c>
      <c r="J91" s="32">
        <f t="shared" si="20"/>
        <v>45195.98517315631</v>
      </c>
      <c r="K91" s="32">
        <f t="shared" si="20"/>
        <v>72261.649020700817</v>
      </c>
      <c r="L91" s="32">
        <f t="shared" si="20"/>
        <v>34005.299950303037</v>
      </c>
      <c r="M91" s="32">
        <f t="shared" si="20"/>
        <v>31577.197321439256</v>
      </c>
      <c r="N91" s="32">
        <f t="shared" si="20"/>
        <v>19362.965927610843</v>
      </c>
      <c r="O91" s="32">
        <f t="shared" si="20"/>
        <v>28015.182879851578</v>
      </c>
      <c r="P91" s="32">
        <f t="shared" si="20"/>
        <v>9207.7101518626732</v>
      </c>
      <c r="Q91" s="32">
        <f t="shared" si="20"/>
        <v>21095.047603398642</v>
      </c>
      <c r="R91" s="32">
        <f t="shared" si="20"/>
        <v>1919.1086478463972</v>
      </c>
      <c r="S91" s="32">
        <f t="shared" si="20"/>
        <v>16798.116206356095</v>
      </c>
      <c r="T91" s="32">
        <f t="shared" si="20"/>
        <v>8225.7227776934924</v>
      </c>
      <c r="U91" s="32">
        <f t="shared" si="20"/>
        <v>6618.0232462070244</v>
      </c>
      <c r="V91" s="32">
        <f t="shared" si="20"/>
        <v>1992.8597595984224</v>
      </c>
      <c r="W91" s="32">
        <f t="shared" si="20"/>
        <v>2882.6672366210091</v>
      </c>
      <c r="X91" s="32">
        <f t="shared" si="20"/>
        <v>3548.1250833986019</v>
      </c>
      <c r="Y91" s="32">
        <f t="shared" si="20"/>
        <v>3176.3057934348635</v>
      </c>
      <c r="Z91" s="32">
        <f t="shared" si="20"/>
        <v>3317.5856349843943</v>
      </c>
      <c r="AA91" s="32">
        <f t="shared" si="20"/>
        <v>3073.7982442872367</v>
      </c>
    </row>
    <row r="92" spans="1:27" x14ac:dyDescent="0.2">
      <c r="A92" s="5"/>
      <c r="B92" s="32">
        <f>_xlfn.COVARIANCE.P($V$2:$V$66,B$2:B$66)</f>
        <v>-10759.184722370348</v>
      </c>
      <c r="C92" s="32">
        <f t="shared" ref="C92:AA92" si="21">_xlfn.COVARIANCE.P($V$2:$V$66,C$2:C$66)</f>
        <v>18489.088320547413</v>
      </c>
      <c r="D92" s="32">
        <f t="shared" si="21"/>
        <v>25481.439676199177</v>
      </c>
      <c r="E92" s="32">
        <f t="shared" si="21"/>
        <v>57375.625065533888</v>
      </c>
      <c r="F92" s="32">
        <f t="shared" si="21"/>
        <v>38202.192754258263</v>
      </c>
      <c r="G92" s="32">
        <f t="shared" si="21"/>
        <v>27116.223656093738</v>
      </c>
      <c r="H92" s="32">
        <f t="shared" si="21"/>
        <v>8352.4013903575815</v>
      </c>
      <c r="I92" s="32">
        <f t="shared" si="21"/>
        <v>517.24465990806527</v>
      </c>
      <c r="J92" s="32">
        <f t="shared" si="21"/>
        <v>25367.212844878177</v>
      </c>
      <c r="K92" s="32">
        <f t="shared" si="21"/>
        <v>24183.291533836997</v>
      </c>
      <c r="L92" s="32">
        <f t="shared" si="21"/>
        <v>15033.209021231309</v>
      </c>
      <c r="M92" s="32">
        <f t="shared" si="21"/>
        <v>12535.41432288284</v>
      </c>
      <c r="N92" s="32">
        <f t="shared" si="21"/>
        <v>6006.8907580279865</v>
      </c>
      <c r="O92" s="32">
        <f t="shared" si="21"/>
        <v>11620.508626021361</v>
      </c>
      <c r="P92" s="32">
        <f t="shared" si="21"/>
        <v>5478.3611820279548</v>
      </c>
      <c r="Q92" s="32">
        <f t="shared" si="21"/>
        <v>2588.2683542795194</v>
      </c>
      <c r="R92" s="32">
        <f t="shared" si="21"/>
        <v>583.39321693666727</v>
      </c>
      <c r="S92" s="32">
        <f t="shared" si="21"/>
        <v>4445.1227372403118</v>
      </c>
      <c r="T92" s="32">
        <f t="shared" si="21"/>
        <v>2459.5601206128572</v>
      </c>
      <c r="U92" s="32">
        <f t="shared" si="21"/>
        <v>1992.8597595984224</v>
      </c>
      <c r="V92" s="32">
        <f t="shared" si="21"/>
        <v>2536.55660646046</v>
      </c>
      <c r="W92" s="32">
        <f t="shared" si="21"/>
        <v>1349.6420032450228</v>
      </c>
      <c r="X92" s="32">
        <f t="shared" si="21"/>
        <v>1069.714598783786</v>
      </c>
      <c r="Y92" s="32">
        <f t="shared" si="21"/>
        <v>1615.0319952719324</v>
      </c>
      <c r="Z92" s="32">
        <f t="shared" si="21"/>
        <v>624.75615118089058</v>
      </c>
      <c r="AA92" s="32">
        <f t="shared" si="21"/>
        <v>802.54326484624653</v>
      </c>
    </row>
    <row r="93" spans="1:27" x14ac:dyDescent="0.2">
      <c r="A93" s="5"/>
      <c r="B93" s="32">
        <f>_xlfn.COVARIANCE.P($W$2:$W$66,B$2:B$66)</f>
        <v>234264.26914708508</v>
      </c>
      <c r="C93" s="32">
        <f t="shared" ref="C93:AA93" si="22">_xlfn.COVARIANCE.P($W$2:$W$66,C$2:C$66)</f>
        <v>40533.708667870596</v>
      </c>
      <c r="D93" s="32">
        <f t="shared" si="22"/>
        <v>115763.98747971532</v>
      </c>
      <c r="E93" s="32">
        <f t="shared" si="22"/>
        <v>129769.13480426864</v>
      </c>
      <c r="F93" s="32">
        <f t="shared" si="22"/>
        <v>84316.308513711032</v>
      </c>
      <c r="G93" s="32">
        <f t="shared" si="22"/>
        <v>77469.925040484872</v>
      </c>
      <c r="H93" s="32">
        <f t="shared" si="22"/>
        <v>48688.291126480683</v>
      </c>
      <c r="I93" s="32">
        <f t="shared" si="22"/>
        <v>880.78633579558698</v>
      </c>
      <c r="J93" s="32">
        <f t="shared" si="22"/>
        <v>36897.008662818844</v>
      </c>
      <c r="K93" s="32">
        <f t="shared" si="22"/>
        <v>51831.789771623517</v>
      </c>
      <c r="L93" s="32">
        <f t="shared" si="22"/>
        <v>33051.324623482215</v>
      </c>
      <c r="M93" s="32">
        <f t="shared" si="22"/>
        <v>21801.382524368615</v>
      </c>
      <c r="N93" s="32">
        <f t="shared" si="22"/>
        <v>20038.104039400314</v>
      </c>
      <c r="O93" s="32">
        <f t="shared" si="22"/>
        <v>21289.166605580311</v>
      </c>
      <c r="P93" s="32">
        <f t="shared" si="22"/>
        <v>8761.58557914228</v>
      </c>
      <c r="Q93" s="32">
        <f t="shared" si="22"/>
        <v>7422.6695729375624</v>
      </c>
      <c r="R93" s="32">
        <f t="shared" si="22"/>
        <v>1099.4426220715438</v>
      </c>
      <c r="S93" s="32">
        <f t="shared" si="22"/>
        <v>9684.0590828651602</v>
      </c>
      <c r="T93" s="32">
        <f t="shared" si="22"/>
        <v>8488.8830659541418</v>
      </c>
      <c r="U93" s="32">
        <f t="shared" si="22"/>
        <v>2882.6672366210091</v>
      </c>
      <c r="V93" s="32">
        <f t="shared" si="22"/>
        <v>1349.6420032450228</v>
      </c>
      <c r="W93" s="32">
        <f t="shared" si="22"/>
        <v>4242.8624590106756</v>
      </c>
      <c r="X93" s="32">
        <f t="shared" si="22"/>
        <v>3182.2850641027844</v>
      </c>
      <c r="Y93" s="32">
        <f t="shared" si="22"/>
        <v>2462.9444093068155</v>
      </c>
      <c r="Z93" s="32">
        <f t="shared" si="22"/>
        <v>1550.1534862840992</v>
      </c>
      <c r="AA93" s="32">
        <f t="shared" si="22"/>
        <v>2516.4128208390848</v>
      </c>
    </row>
    <row r="94" spans="1:27" x14ac:dyDescent="0.2">
      <c r="A94" s="5"/>
      <c r="B94" s="32">
        <f>_xlfn.COVARIANCE.P($X$2:$X$66,B$2:B$66)</f>
        <v>458622.84393874608</v>
      </c>
      <c r="C94" s="32">
        <f t="shared" ref="C94:AA94" si="23">_xlfn.COVARIANCE.P($X$2:$X$66,C$2:C$66)</f>
        <v>50445.462312280899</v>
      </c>
      <c r="D94" s="32">
        <f t="shared" si="23"/>
        <v>138809.5088912553</v>
      </c>
      <c r="E94" s="32">
        <f t="shared" si="23"/>
        <v>183856.52466425611</v>
      </c>
      <c r="F94" s="32">
        <f t="shared" si="23"/>
        <v>107943.82452331921</v>
      </c>
      <c r="G94" s="32">
        <f t="shared" si="23"/>
        <v>94788.185155605781</v>
      </c>
      <c r="H94" s="32">
        <f t="shared" si="23"/>
        <v>60564.155477414737</v>
      </c>
      <c r="I94" s="32">
        <f t="shared" si="23"/>
        <v>1618.0551992159137</v>
      </c>
      <c r="J94" s="32">
        <f t="shared" si="23"/>
        <v>39115.573428053089</v>
      </c>
      <c r="K94" s="32">
        <f t="shared" si="23"/>
        <v>49456.469829462178</v>
      </c>
      <c r="L94" s="32">
        <f t="shared" si="23"/>
        <v>35441.922539035528</v>
      </c>
      <c r="M94" s="32">
        <f t="shared" si="23"/>
        <v>28725.293014874078</v>
      </c>
      <c r="N94" s="32">
        <f t="shared" si="23"/>
        <v>23244.445191859224</v>
      </c>
      <c r="O94" s="32">
        <f t="shared" si="23"/>
        <v>22722.840045060078</v>
      </c>
      <c r="P94" s="32">
        <f t="shared" si="23"/>
        <v>11436.503918785527</v>
      </c>
      <c r="Q94" s="32">
        <f t="shared" si="23"/>
        <v>12953.39222893976</v>
      </c>
      <c r="R94" s="32">
        <f t="shared" si="23"/>
        <v>1190.3147842371077</v>
      </c>
      <c r="S94" s="32">
        <f t="shared" si="23"/>
        <v>12537.168492698187</v>
      </c>
      <c r="T94" s="32">
        <f t="shared" si="23"/>
        <v>11001.164892257619</v>
      </c>
      <c r="U94" s="32">
        <f t="shared" si="23"/>
        <v>3548.1250833986019</v>
      </c>
      <c r="V94" s="32">
        <f t="shared" si="23"/>
        <v>1069.714598783786</v>
      </c>
      <c r="W94" s="32">
        <f t="shared" si="23"/>
        <v>3182.2850641027844</v>
      </c>
      <c r="X94" s="32">
        <f t="shared" si="23"/>
        <v>5364.0221579534991</v>
      </c>
      <c r="Y94" s="32">
        <f t="shared" si="23"/>
        <v>3144.5320890637722</v>
      </c>
      <c r="Z94" s="32">
        <f t="shared" si="23"/>
        <v>2617.8098432933994</v>
      </c>
      <c r="AA94" s="32">
        <f t="shared" si="23"/>
        <v>3342.531452455994</v>
      </c>
    </row>
    <row r="95" spans="1:27" x14ac:dyDescent="0.2">
      <c r="A95" s="5"/>
      <c r="B95" s="32">
        <f>_xlfn.COVARIANCE.P($Y$2:$Y$66,B$2:B$66)</f>
        <v>208476.22886185895</v>
      </c>
      <c r="C95" s="32">
        <f t="shared" ref="C95:AA95" si="24">_xlfn.COVARIANCE.P($Y$2:$Y$66,C$2:C$66)</f>
        <v>66814.523084549874</v>
      </c>
      <c r="D95" s="32">
        <f t="shared" si="24"/>
        <v>109159.40225792646</v>
      </c>
      <c r="E95" s="32">
        <f t="shared" si="24"/>
        <v>123025.27662442412</v>
      </c>
      <c r="F95" s="32">
        <f t="shared" si="24"/>
        <v>78661.985339202452</v>
      </c>
      <c r="G95" s="32">
        <f t="shared" si="24"/>
        <v>85423.313884229457</v>
      </c>
      <c r="H95" s="32">
        <f t="shared" si="24"/>
        <v>58792.781703719091</v>
      </c>
      <c r="I95" s="32">
        <f t="shared" si="24"/>
        <v>1153.2688633436769</v>
      </c>
      <c r="J95" s="32">
        <f t="shared" si="24"/>
        <v>36609.487811315688</v>
      </c>
      <c r="K95" s="32">
        <f t="shared" si="24"/>
        <v>42840.388418331975</v>
      </c>
      <c r="L95" s="32">
        <f t="shared" si="24"/>
        <v>26776.020939990332</v>
      </c>
      <c r="M95" s="32">
        <f t="shared" si="24"/>
        <v>24706.710760246217</v>
      </c>
      <c r="N95" s="32">
        <f t="shared" si="24"/>
        <v>17829.712269313975</v>
      </c>
      <c r="O95" s="32">
        <f t="shared" si="24"/>
        <v>18327.063523678458</v>
      </c>
      <c r="P95" s="32">
        <f t="shared" si="24"/>
        <v>7001.4294892191274</v>
      </c>
      <c r="Q95" s="32">
        <f t="shared" si="24"/>
        <v>9286.9518663662329</v>
      </c>
      <c r="R95" s="32">
        <f t="shared" si="24"/>
        <v>1203.8154242542469</v>
      </c>
      <c r="S95" s="32">
        <f t="shared" si="24"/>
        <v>11496.978884969478</v>
      </c>
      <c r="T95" s="32">
        <f t="shared" si="24"/>
        <v>7363.460424479993</v>
      </c>
      <c r="U95" s="32">
        <f t="shared" si="24"/>
        <v>3176.3057934348635</v>
      </c>
      <c r="V95" s="32">
        <f t="shared" si="24"/>
        <v>1615.0319952719324</v>
      </c>
      <c r="W95" s="32">
        <f t="shared" si="24"/>
        <v>2462.9444093068155</v>
      </c>
      <c r="X95" s="32">
        <f t="shared" si="24"/>
        <v>3144.5320890637722</v>
      </c>
      <c r="Y95" s="32">
        <f t="shared" si="24"/>
        <v>3102.8010825321694</v>
      </c>
      <c r="Z95" s="32">
        <f t="shared" si="24"/>
        <v>1916.3001698042676</v>
      </c>
      <c r="AA95" s="32">
        <f t="shared" si="24"/>
        <v>2469.3401179765738</v>
      </c>
    </row>
    <row r="96" spans="1:27" x14ac:dyDescent="0.2">
      <c r="A96" s="5"/>
      <c r="B96" s="32">
        <f>_xlfn.COVARIANCE.P($Z$2:$Z$66,B$2:B$66)</f>
        <v>394271.51134225354</v>
      </c>
      <c r="C96" s="32">
        <f t="shared" ref="C96:AA96" si="25">_xlfn.COVARIANCE.P($Z$2:$Z$66,C$2:C$66)</f>
        <v>19015.040464657537</v>
      </c>
      <c r="D96" s="32">
        <f t="shared" si="25"/>
        <v>51070.465438774918</v>
      </c>
      <c r="E96" s="32">
        <f t="shared" si="25"/>
        <v>74818.03390012795</v>
      </c>
      <c r="F96" s="32">
        <f t="shared" si="25"/>
        <v>42388.883023974937</v>
      </c>
      <c r="G96" s="32">
        <f t="shared" si="25"/>
        <v>30436.15953035215</v>
      </c>
      <c r="H96" s="32">
        <f t="shared" si="25"/>
        <v>38715.151000763581</v>
      </c>
      <c r="I96" s="32">
        <f t="shared" si="25"/>
        <v>206.43150248358808</v>
      </c>
      <c r="J96" s="32">
        <f t="shared" si="25"/>
        <v>17363.245884692526</v>
      </c>
      <c r="K96" s="32">
        <f t="shared" si="25"/>
        <v>42621.628520224745</v>
      </c>
      <c r="L96" s="32">
        <f t="shared" si="25"/>
        <v>18431.457884115869</v>
      </c>
      <c r="M96" s="32">
        <f t="shared" si="25"/>
        <v>19307.520664604868</v>
      </c>
      <c r="N96" s="32">
        <f t="shared" si="25"/>
        <v>11003.747378745764</v>
      </c>
      <c r="O96" s="32">
        <f t="shared" si="25"/>
        <v>16089.172709128243</v>
      </c>
      <c r="P96" s="32">
        <f t="shared" si="25"/>
        <v>5420.9218502396016</v>
      </c>
      <c r="Q96" s="32">
        <f t="shared" si="25"/>
        <v>16487.809323072117</v>
      </c>
      <c r="R96" s="32">
        <f t="shared" si="25"/>
        <v>981.63965551758497</v>
      </c>
      <c r="S96" s="32">
        <f t="shared" si="25"/>
        <v>11453.763963433588</v>
      </c>
      <c r="T96" s="32">
        <f t="shared" si="25"/>
        <v>6066.6330655410738</v>
      </c>
      <c r="U96" s="32">
        <f t="shared" si="25"/>
        <v>3317.5856349843943</v>
      </c>
      <c r="V96" s="32">
        <f t="shared" si="25"/>
        <v>624.75615118089058</v>
      </c>
      <c r="W96" s="32">
        <f t="shared" si="25"/>
        <v>1550.1534862840992</v>
      </c>
      <c r="X96" s="32">
        <f t="shared" si="25"/>
        <v>2617.8098432933994</v>
      </c>
      <c r="Y96" s="32">
        <f t="shared" si="25"/>
        <v>1916.3001698042676</v>
      </c>
      <c r="Z96" s="32">
        <f t="shared" si="25"/>
        <v>2976.7353040593603</v>
      </c>
      <c r="AA96" s="32">
        <f t="shared" si="25"/>
        <v>2477.8656518706225</v>
      </c>
    </row>
    <row r="97" spans="1:27" x14ac:dyDescent="0.2">
      <c r="A97" s="5"/>
      <c r="B97" s="32">
        <f>_xlfn.COVARIANCE.P($AA$2:$AA$66,B$2:B$66)</f>
        <v>242034.42910290425</v>
      </c>
      <c r="C97" s="32">
        <f t="shared" ref="C97:AA97" si="26">_xlfn.COVARIANCE.P($AA$2:$AA$66,C$2:C$66)</f>
        <v>60938.635911739126</v>
      </c>
      <c r="D97" s="32">
        <f t="shared" si="26"/>
        <v>90054.985244979616</v>
      </c>
      <c r="E97" s="32">
        <f t="shared" si="26"/>
        <v>103095.42470421546</v>
      </c>
      <c r="F97" s="32">
        <f t="shared" si="26"/>
        <v>65888.602955300143</v>
      </c>
      <c r="G97" s="32">
        <f t="shared" si="26"/>
        <v>58976.918664189085</v>
      </c>
      <c r="H97" s="32">
        <f t="shared" si="26"/>
        <v>39316.543656245252</v>
      </c>
      <c r="I97" s="32">
        <f t="shared" si="26"/>
        <v>599.47446015213575</v>
      </c>
      <c r="J97" s="32">
        <f t="shared" si="26"/>
        <v>24462.031149059691</v>
      </c>
      <c r="K97" s="32">
        <f t="shared" si="26"/>
        <v>36678.567736594159</v>
      </c>
      <c r="L97" s="32">
        <f t="shared" si="26"/>
        <v>22711.596946107853</v>
      </c>
      <c r="M97" s="32">
        <f t="shared" si="26"/>
        <v>21776.802463794011</v>
      </c>
      <c r="N97" s="32">
        <f t="shared" si="26"/>
        <v>16476.656441414045</v>
      </c>
      <c r="O97" s="32">
        <f t="shared" si="26"/>
        <v>15700.828918978103</v>
      </c>
      <c r="P97" s="32">
        <f t="shared" si="26"/>
        <v>5219.8038422638283</v>
      </c>
      <c r="Q97" s="32">
        <f t="shared" si="26"/>
        <v>10501.797334361767</v>
      </c>
      <c r="R97" s="32">
        <f t="shared" si="26"/>
        <v>1035.3353410115635</v>
      </c>
      <c r="S97" s="32">
        <f t="shared" si="26"/>
        <v>11363.673314543468</v>
      </c>
      <c r="T97" s="32">
        <f t="shared" si="26"/>
        <v>7518.5698817141611</v>
      </c>
      <c r="U97" s="32">
        <f t="shared" si="26"/>
        <v>3073.7982442872367</v>
      </c>
      <c r="V97" s="32">
        <f t="shared" si="26"/>
        <v>802.54326484624653</v>
      </c>
      <c r="W97" s="32">
        <f t="shared" si="26"/>
        <v>2516.4128208390848</v>
      </c>
      <c r="X97" s="32">
        <f t="shared" si="26"/>
        <v>3342.531452455994</v>
      </c>
      <c r="Y97" s="32">
        <f t="shared" si="26"/>
        <v>2469.3401179765738</v>
      </c>
      <c r="Z97" s="32">
        <f t="shared" si="26"/>
        <v>2477.8656518706225</v>
      </c>
      <c r="AA97" s="32">
        <f t="shared" si="26"/>
        <v>5678.4781448449985</v>
      </c>
    </row>
    <row r="98" spans="1:27" x14ac:dyDescent="0.2">
      <c r="A98" s="5"/>
    </row>
    <row r="99" spans="1:27" x14ac:dyDescent="0.2">
      <c r="A99" s="114" t="s">
        <v>336</v>
      </c>
      <c r="B99" s="49">
        <f t="array" ref="B99:AA124">MINVERSE(B72:AA97)</f>
        <v>1.0523216995448469E-8</v>
      </c>
      <c r="C99" s="49">
        <v>-1.9620275052215819E-9</v>
      </c>
      <c r="D99" s="49">
        <v>-2.612601286880564E-8</v>
      </c>
      <c r="E99" s="49">
        <v>8.7980252909333248E-9</v>
      </c>
      <c r="F99" s="49">
        <v>-1.2443648291065191E-8</v>
      </c>
      <c r="G99" s="49">
        <v>1.2892285508594362E-8</v>
      </c>
      <c r="H99" s="49">
        <v>7.9573708064981808E-11</v>
      </c>
      <c r="I99" s="49">
        <v>2.5594500699677511E-9</v>
      </c>
      <c r="J99" s="49">
        <v>2.8864658592830138E-8</v>
      </c>
      <c r="K99" s="49">
        <v>-6.1719487886423518E-8</v>
      </c>
      <c r="L99" s="49">
        <v>-9.3420300855685986E-8</v>
      </c>
      <c r="M99" s="49">
        <v>1.4729332451500908E-9</v>
      </c>
      <c r="N99" s="49">
        <v>2.9409539690178065E-8</v>
      </c>
      <c r="O99" s="49">
        <v>1.3202633536118252E-7</v>
      </c>
      <c r="P99" s="49">
        <v>-3.3941790889325984E-8</v>
      </c>
      <c r="Q99" s="49">
        <v>-3.9446295370586019E-8</v>
      </c>
      <c r="R99" s="49">
        <v>7.1815477633503522E-7</v>
      </c>
      <c r="S99" s="49">
        <v>2.7669704351874024E-8</v>
      </c>
      <c r="T99" s="49">
        <v>-8.5685863733916256E-9</v>
      </c>
      <c r="U99" s="49">
        <v>2.6021467103503532E-7</v>
      </c>
      <c r="V99" s="49">
        <v>-1.6644413407047906E-7</v>
      </c>
      <c r="W99" s="49">
        <v>4.4221813135802584E-7</v>
      </c>
      <c r="X99" s="49">
        <v>-5.7452631713802797E-7</v>
      </c>
      <c r="Y99" s="49">
        <v>7.481744618740516E-7</v>
      </c>
      <c r="Z99" s="49">
        <v>-1.3666175232135517E-6</v>
      </c>
      <c r="AA99" s="49">
        <v>2.5377299186987322E-7</v>
      </c>
    </row>
    <row r="100" spans="1:27" x14ac:dyDescent="0.2">
      <c r="A100" s="114"/>
      <c r="B100" s="49">
        <v>-1.9620275052215562E-9</v>
      </c>
      <c r="C100" s="49">
        <v>2.7612198287386833E-7</v>
      </c>
      <c r="D100" s="49">
        <v>-4.5723848252060697E-7</v>
      </c>
      <c r="E100" s="49">
        <v>-2.5790374019012577E-7</v>
      </c>
      <c r="F100" s="49">
        <v>4.4893879322143884E-8</v>
      </c>
      <c r="G100" s="49">
        <v>6.5177701556331778E-7</v>
      </c>
      <c r="H100" s="49">
        <v>1.5754043099681155E-7</v>
      </c>
      <c r="I100" s="49">
        <v>3.7679932822267281E-8</v>
      </c>
      <c r="J100" s="49">
        <v>2.2996652246004003E-8</v>
      </c>
      <c r="K100" s="49">
        <v>4.051790094011965E-7</v>
      </c>
      <c r="L100" s="49">
        <v>4.3203511437172545E-7</v>
      </c>
      <c r="M100" s="49">
        <v>3.7988256464431766E-7</v>
      </c>
      <c r="N100" s="49">
        <v>-1.291145415709401E-6</v>
      </c>
      <c r="O100" s="49">
        <v>-9.974801983412045E-7</v>
      </c>
      <c r="P100" s="49">
        <v>1.1076526684248372E-6</v>
      </c>
      <c r="Q100" s="49">
        <v>-3.7058868208929286E-7</v>
      </c>
      <c r="R100" s="49">
        <v>-4.6580002432351807E-6</v>
      </c>
      <c r="S100" s="49">
        <v>8.7605818144251107E-7</v>
      </c>
      <c r="T100" s="49">
        <v>2.9222473089692084E-6</v>
      </c>
      <c r="U100" s="49">
        <v>7.6150201961107376E-7</v>
      </c>
      <c r="V100" s="49">
        <v>3.5000993848106034E-6</v>
      </c>
      <c r="W100" s="49">
        <v>8.6494743425307299E-7</v>
      </c>
      <c r="X100" s="49">
        <v>7.5613294792645833E-6</v>
      </c>
      <c r="Y100" s="49">
        <v>-2.148098019791933E-5</v>
      </c>
      <c r="Z100" s="49">
        <v>2.2278077458173266E-7</v>
      </c>
      <c r="AA100" s="49">
        <v>-3.3044812801030562E-7</v>
      </c>
    </row>
    <row r="101" spans="1:27" x14ac:dyDescent="0.2">
      <c r="A101" s="5"/>
      <c r="B101" s="49">
        <v>-2.6126012868805703E-8</v>
      </c>
      <c r="C101" s="49">
        <v>-4.5723848252060623E-7</v>
      </c>
      <c r="D101" s="49">
        <v>3.0671640123486603E-6</v>
      </c>
      <c r="E101" s="49">
        <v>8.5422609657683528E-7</v>
      </c>
      <c r="F101" s="49">
        <v>-5.22580226750478E-7</v>
      </c>
      <c r="G101" s="49">
        <v>-4.4116356931418043E-6</v>
      </c>
      <c r="H101" s="49">
        <v>-8.4273940351762119E-7</v>
      </c>
      <c r="I101" s="49">
        <v>-6.3864520605661923E-6</v>
      </c>
      <c r="J101" s="49">
        <v>-2.1045578905071725E-7</v>
      </c>
      <c r="K101" s="49">
        <v>5.3178348279109515E-7</v>
      </c>
      <c r="L101" s="49">
        <v>5.3315298316202697E-7</v>
      </c>
      <c r="M101" s="49">
        <v>2.3651712072577984E-6</v>
      </c>
      <c r="N101" s="49">
        <v>6.2370939516700409E-6</v>
      </c>
      <c r="O101" s="49">
        <v>-5.1018695479726996E-6</v>
      </c>
      <c r="P101" s="49">
        <v>-5.1038572117150246E-7</v>
      </c>
      <c r="Q101" s="49">
        <v>2.5897274333853782E-6</v>
      </c>
      <c r="R101" s="49">
        <v>-4.8351177699061788E-6</v>
      </c>
      <c r="S101" s="49">
        <v>-3.2619903766239038E-6</v>
      </c>
      <c r="T101" s="49">
        <v>-1.4168430059464781E-5</v>
      </c>
      <c r="U101" s="49">
        <v>-2.8685018040425104E-6</v>
      </c>
      <c r="V101" s="49">
        <v>-5.4846451310285445E-6</v>
      </c>
      <c r="W101" s="49">
        <v>-1.1456062468353629E-5</v>
      </c>
      <c r="X101" s="49">
        <v>-2.2151603407169339E-5</v>
      </c>
      <c r="Y101" s="49">
        <v>7.7285976980704578E-5</v>
      </c>
      <c r="Z101" s="49">
        <v>-1.1486741010805061E-5</v>
      </c>
      <c r="AA101" s="49">
        <v>-3.7640899057215287E-6</v>
      </c>
    </row>
    <row r="102" spans="1:27" x14ac:dyDescent="0.2">
      <c r="A102" s="5"/>
      <c r="B102" s="49">
        <v>8.7980252909332719E-9</v>
      </c>
      <c r="C102" s="49">
        <v>-2.5790374019012614E-7</v>
      </c>
      <c r="D102" s="49">
        <v>8.5422609657683666E-7</v>
      </c>
      <c r="E102" s="49">
        <v>1.9578456432254783E-6</v>
      </c>
      <c r="F102" s="49">
        <v>-6.757034803170841E-7</v>
      </c>
      <c r="G102" s="49">
        <v>-2.4846222841833134E-6</v>
      </c>
      <c r="H102" s="49">
        <v>1.6927086118555877E-7</v>
      </c>
      <c r="I102" s="49">
        <v>-2.3594775146158233E-7</v>
      </c>
      <c r="J102" s="49">
        <v>5.2810196010689629E-7</v>
      </c>
      <c r="K102" s="49">
        <v>1.8093961223392432E-6</v>
      </c>
      <c r="L102" s="49">
        <v>-8.7498613064598011E-7</v>
      </c>
      <c r="M102" s="49">
        <v>1.478700919046655E-6</v>
      </c>
      <c r="N102" s="49">
        <v>2.4488641676434834E-6</v>
      </c>
      <c r="O102" s="49">
        <v>-6.5986689629719643E-6</v>
      </c>
      <c r="P102" s="49">
        <v>-3.1753958622904893E-6</v>
      </c>
      <c r="Q102" s="49">
        <v>9.1551597116478494E-7</v>
      </c>
      <c r="R102" s="49">
        <v>2.7871463081134939E-5</v>
      </c>
      <c r="S102" s="49">
        <v>-4.4948640139162836E-6</v>
      </c>
      <c r="T102" s="49">
        <v>-2.2030023791213694E-6</v>
      </c>
      <c r="U102" s="49">
        <v>3.2865623386180215E-6</v>
      </c>
      <c r="V102" s="49">
        <v>-7.2345419788827646E-6</v>
      </c>
      <c r="W102" s="49">
        <v>-7.9504924017422543E-6</v>
      </c>
      <c r="X102" s="49">
        <v>-3.2909040233734746E-5</v>
      </c>
      <c r="Y102" s="49">
        <v>3.1478715322450496E-5</v>
      </c>
      <c r="Z102" s="49">
        <v>-1.7073730861382029E-5</v>
      </c>
      <c r="AA102" s="49">
        <v>4.7600481712915145E-6</v>
      </c>
    </row>
    <row r="103" spans="1:27" x14ac:dyDescent="0.2">
      <c r="A103" s="5"/>
      <c r="B103" s="49">
        <v>-1.2443648291065191E-8</v>
      </c>
      <c r="C103" s="49">
        <v>4.489387932214397E-8</v>
      </c>
      <c r="D103" s="49">
        <v>-5.2258022675047769E-7</v>
      </c>
      <c r="E103" s="49">
        <v>-6.7570348031708474E-7</v>
      </c>
      <c r="F103" s="49">
        <v>1.0543091540281314E-6</v>
      </c>
      <c r="G103" s="49">
        <v>5.8764311699188025E-7</v>
      </c>
      <c r="H103" s="49">
        <v>-1.7370843341689754E-7</v>
      </c>
      <c r="I103" s="49">
        <v>4.5548357421117849E-6</v>
      </c>
      <c r="J103" s="49">
        <v>1.8119173731978453E-7</v>
      </c>
      <c r="K103" s="49">
        <v>-8.2499137692295515E-7</v>
      </c>
      <c r="L103" s="49">
        <v>-4.2086893425813539E-7</v>
      </c>
      <c r="M103" s="49">
        <v>-1.8597745074901929E-6</v>
      </c>
      <c r="N103" s="49">
        <v>7.6567821024364625E-7</v>
      </c>
      <c r="O103" s="49">
        <v>2.1629729382853042E-6</v>
      </c>
      <c r="P103" s="49">
        <v>8.5562405643923587E-8</v>
      </c>
      <c r="Q103" s="49">
        <v>-6.6822438062805983E-7</v>
      </c>
      <c r="R103" s="49">
        <v>2.709644297381063E-5</v>
      </c>
      <c r="S103" s="49">
        <v>3.170092478507371E-6</v>
      </c>
      <c r="T103" s="49">
        <v>4.6568380496735406E-6</v>
      </c>
      <c r="U103" s="49">
        <v>-1.7167020532693076E-5</v>
      </c>
      <c r="V103" s="49">
        <v>6.0366307725271088E-6</v>
      </c>
      <c r="W103" s="49">
        <v>1.975359861329981E-7</v>
      </c>
      <c r="X103" s="49">
        <v>2.6640770444238991E-6</v>
      </c>
      <c r="Y103" s="49">
        <v>-1.543443177653777E-5</v>
      </c>
      <c r="Z103" s="49">
        <v>2.0346940713747793E-5</v>
      </c>
      <c r="AA103" s="49">
        <v>-3.5254451705519804E-6</v>
      </c>
    </row>
    <row r="104" spans="1:27" x14ac:dyDescent="0.2">
      <c r="A104" s="5"/>
      <c r="B104" s="49">
        <v>1.2892285508594743E-8</v>
      </c>
      <c r="C104" s="49">
        <v>6.5177701556331651E-7</v>
      </c>
      <c r="D104" s="49">
        <v>-4.4116356931418086E-6</v>
      </c>
      <c r="E104" s="49">
        <v>-2.4846222841833088E-6</v>
      </c>
      <c r="F104" s="49">
        <v>5.8764311699188152E-7</v>
      </c>
      <c r="G104" s="49">
        <v>1.0360029146875484E-5</v>
      </c>
      <c r="H104" s="49">
        <v>3.8909563841422883E-7</v>
      </c>
      <c r="I104" s="49">
        <v>-7.682035545836772E-6</v>
      </c>
      <c r="J104" s="49">
        <v>-6.9575365928070746E-7</v>
      </c>
      <c r="K104" s="49">
        <v>-3.0045091327043721E-6</v>
      </c>
      <c r="L104" s="49">
        <v>-3.7987356887039899E-7</v>
      </c>
      <c r="M104" s="49">
        <v>-3.294976989737745E-6</v>
      </c>
      <c r="N104" s="49">
        <v>-1.8430966847956705E-5</v>
      </c>
      <c r="O104" s="49">
        <v>1.9282015937406213E-5</v>
      </c>
      <c r="P104" s="49">
        <v>3.5146353181580426E-6</v>
      </c>
      <c r="Q104" s="49">
        <v>-2.4896279296946363E-6</v>
      </c>
      <c r="R104" s="49">
        <v>-7.3796950188796402E-5</v>
      </c>
      <c r="S104" s="49">
        <v>3.8539583333119142E-6</v>
      </c>
      <c r="T104" s="49">
        <v>1.2905101567082138E-5</v>
      </c>
      <c r="U104" s="49">
        <v>1.3882287172341971E-5</v>
      </c>
      <c r="V104" s="49">
        <v>3.9271020748296575E-6</v>
      </c>
      <c r="W104" s="49">
        <v>2.9387382535054094E-5</v>
      </c>
      <c r="X104" s="49">
        <v>5.3640556388346021E-5</v>
      </c>
      <c r="Y104" s="49">
        <v>-1.3654230903097252E-4</v>
      </c>
      <c r="Z104" s="49">
        <v>4.2914394867440418E-5</v>
      </c>
      <c r="AA104" s="49">
        <v>5.9654862226500064E-6</v>
      </c>
    </row>
    <row r="105" spans="1:27" x14ac:dyDescent="0.2">
      <c r="A105" s="5"/>
      <c r="B105" s="49">
        <v>7.9573708064977271E-11</v>
      </c>
      <c r="C105" s="49">
        <v>1.5754043099681155E-7</v>
      </c>
      <c r="D105" s="49">
        <v>-8.4273940351762172E-7</v>
      </c>
      <c r="E105" s="49">
        <v>1.6927086118555922E-7</v>
      </c>
      <c r="F105" s="49">
        <v>-1.7370843341689714E-7</v>
      </c>
      <c r="G105" s="49">
        <v>3.8909563841422851E-7</v>
      </c>
      <c r="H105" s="49">
        <v>1.3744096506600917E-6</v>
      </c>
      <c r="I105" s="49">
        <v>5.6053629786261453E-6</v>
      </c>
      <c r="J105" s="49">
        <v>4.2986447304600298E-7</v>
      </c>
      <c r="K105" s="49">
        <v>1.7303987762770657E-7</v>
      </c>
      <c r="L105" s="49">
        <v>-1.5326072393370527E-6</v>
      </c>
      <c r="M105" s="49">
        <v>-7.3530511148845E-7</v>
      </c>
      <c r="N105" s="49">
        <v>-1.2509286705750909E-6</v>
      </c>
      <c r="O105" s="49">
        <v>1.0233488172594932E-6</v>
      </c>
      <c r="P105" s="49">
        <v>-1.1059409658652134E-6</v>
      </c>
      <c r="Q105" s="49">
        <v>-1.5746419237263442E-6</v>
      </c>
      <c r="R105" s="49">
        <v>2.4538208429827056E-5</v>
      </c>
      <c r="S105" s="49">
        <v>-8.7244416219276631E-8</v>
      </c>
      <c r="T105" s="49">
        <v>1.9249579988468158E-6</v>
      </c>
      <c r="U105" s="49">
        <v>4.8235561327163209E-6</v>
      </c>
      <c r="V105" s="49">
        <v>9.2621140870130237E-6</v>
      </c>
      <c r="W105" s="49">
        <v>5.1641917716595959E-6</v>
      </c>
      <c r="X105" s="49">
        <v>1.6207859126680315E-5</v>
      </c>
      <c r="Y105" s="49">
        <v>-3.8381377951728857E-5</v>
      </c>
      <c r="Z105" s="49">
        <v>-5.9162925217716062E-6</v>
      </c>
      <c r="AA105" s="49">
        <v>3.8484561779897904E-6</v>
      </c>
    </row>
    <row r="106" spans="1:27" x14ac:dyDescent="0.2">
      <c r="A106" s="5"/>
      <c r="B106" s="49">
        <v>2.5594500699683293E-9</v>
      </c>
      <c r="C106" s="49">
        <v>3.7679932822267896E-8</v>
      </c>
      <c r="D106" s="49">
        <v>-6.3864520605661508E-6</v>
      </c>
      <c r="E106" s="49">
        <v>-2.3594775146158612E-7</v>
      </c>
      <c r="F106" s="49">
        <v>4.554835742111773E-6</v>
      </c>
      <c r="G106" s="49">
        <v>-7.682035545836838E-6</v>
      </c>
      <c r="H106" s="49">
        <v>5.605362978626125E-6</v>
      </c>
      <c r="I106" s="49">
        <v>6.8903510352741977E-4</v>
      </c>
      <c r="J106" s="49">
        <v>5.1682348249024569E-6</v>
      </c>
      <c r="K106" s="49">
        <v>1.6127643941279666E-5</v>
      </c>
      <c r="L106" s="49">
        <v>2.1109088284987804E-5</v>
      </c>
      <c r="M106" s="49">
        <v>-4.9427807575840455E-5</v>
      </c>
      <c r="N106" s="49">
        <v>1.5309549034615733E-5</v>
      </c>
      <c r="O106" s="49">
        <v>-5.6203273002266366E-5</v>
      </c>
      <c r="P106" s="49">
        <v>-1.5568043703200134E-5</v>
      </c>
      <c r="Q106" s="49">
        <v>-2.1996101253973307E-6</v>
      </c>
      <c r="R106" s="49">
        <v>4.5910319353664346E-4</v>
      </c>
      <c r="S106" s="49">
        <v>3.1083413067286329E-5</v>
      </c>
      <c r="T106" s="49">
        <v>1.00399183409321E-4</v>
      </c>
      <c r="U106" s="49">
        <v>-4.0812906783175179E-4</v>
      </c>
      <c r="V106" s="49">
        <v>1.9801746891737844E-4</v>
      </c>
      <c r="W106" s="49">
        <v>-2.6161302659208343E-5</v>
      </c>
      <c r="X106" s="49">
        <v>-2.0494910602804564E-4</v>
      </c>
      <c r="Y106" s="49">
        <v>-6.8530564343624481E-5</v>
      </c>
      <c r="Z106" s="49">
        <v>3.608951818588971E-4</v>
      </c>
      <c r="AA106" s="49">
        <v>4.7131255607168298E-5</v>
      </c>
    </row>
    <row r="107" spans="1:27" x14ac:dyDescent="0.2">
      <c r="A107" s="5"/>
      <c r="B107" s="49">
        <v>2.8864658592830172E-8</v>
      </c>
      <c r="C107" s="49">
        <v>2.2996652246002365E-8</v>
      </c>
      <c r="D107" s="49">
        <v>-2.1045578905070828E-7</v>
      </c>
      <c r="E107" s="49">
        <v>5.281019601069019E-7</v>
      </c>
      <c r="F107" s="49">
        <v>1.8119173731978426E-7</v>
      </c>
      <c r="G107" s="49">
        <v>-6.9575365928072896E-7</v>
      </c>
      <c r="H107" s="49">
        <v>4.2986447304600023E-7</v>
      </c>
      <c r="I107" s="49">
        <v>5.1682348249024577E-6</v>
      </c>
      <c r="J107" s="49">
        <v>4.8351070260083606E-6</v>
      </c>
      <c r="K107" s="49">
        <v>-4.0571348647972568E-7</v>
      </c>
      <c r="L107" s="49">
        <v>-2.4180933143395233E-6</v>
      </c>
      <c r="M107" s="49">
        <v>3.1635843230373788E-6</v>
      </c>
      <c r="N107" s="49">
        <v>-5.5082812838252212E-6</v>
      </c>
      <c r="O107" s="49">
        <v>-7.234364147941269E-6</v>
      </c>
      <c r="P107" s="49">
        <v>-5.4389352686737497E-6</v>
      </c>
      <c r="Q107" s="49">
        <v>-9.257931134161025E-7</v>
      </c>
      <c r="R107" s="49">
        <v>9.2831159019535366E-5</v>
      </c>
      <c r="S107" s="49">
        <v>-1.1245348560170357E-5</v>
      </c>
      <c r="T107" s="49">
        <v>1.8270650414704916E-5</v>
      </c>
      <c r="U107" s="49">
        <v>-7.9310256135105995E-6</v>
      </c>
      <c r="V107" s="49">
        <v>-2.1924874560541961E-6</v>
      </c>
      <c r="W107" s="49">
        <v>1.6565765466464518E-5</v>
      </c>
      <c r="X107" s="49">
        <v>-1.6171478494673688E-5</v>
      </c>
      <c r="Y107" s="49">
        <v>-2.637367729331937E-5</v>
      </c>
      <c r="Z107" s="49">
        <v>4.0618171731880089E-5</v>
      </c>
      <c r="AA107" s="49">
        <v>-2.1845396007991659E-6</v>
      </c>
    </row>
    <row r="108" spans="1:27" x14ac:dyDescent="0.2">
      <c r="A108" s="5"/>
      <c r="B108" s="49">
        <v>-6.1719487886423703E-8</v>
      </c>
      <c r="C108" s="49">
        <v>4.0517900940119756E-7</v>
      </c>
      <c r="D108" s="49">
        <v>5.3178348279109293E-7</v>
      </c>
      <c r="E108" s="49">
        <v>1.8093961223392451E-6</v>
      </c>
      <c r="F108" s="49">
        <v>-8.2499137692295822E-7</v>
      </c>
      <c r="G108" s="49">
        <v>-3.004509132704373E-6</v>
      </c>
      <c r="H108" s="49">
        <v>1.7303987762770626E-7</v>
      </c>
      <c r="I108" s="49">
        <v>1.6127643941279805E-5</v>
      </c>
      <c r="J108" s="49">
        <v>-4.0571348647972716E-7</v>
      </c>
      <c r="K108" s="49">
        <v>1.6719833469411472E-5</v>
      </c>
      <c r="L108" s="49">
        <v>2.9221570964646627E-6</v>
      </c>
      <c r="M108" s="49">
        <v>7.3778440852435453E-6</v>
      </c>
      <c r="N108" s="49">
        <v>-1.541213912202987E-6</v>
      </c>
      <c r="O108" s="49">
        <v>-3.8239081117015304E-5</v>
      </c>
      <c r="P108" s="49">
        <v>1.0522947509797191E-6</v>
      </c>
      <c r="Q108" s="49">
        <v>-2.4405662948695482E-6</v>
      </c>
      <c r="R108" s="49">
        <v>-3.4621840746086587E-5</v>
      </c>
      <c r="S108" s="49">
        <v>-7.2244412980145998E-6</v>
      </c>
      <c r="T108" s="49">
        <v>1.7186293126219797E-5</v>
      </c>
      <c r="U108" s="49">
        <v>-8.3398509027488597E-6</v>
      </c>
      <c r="V108" s="49">
        <v>8.0428218985136644E-6</v>
      </c>
      <c r="W108" s="49">
        <v>-5.8197226515949415E-5</v>
      </c>
      <c r="X108" s="49">
        <v>-9.6740113386458655E-6</v>
      </c>
      <c r="Y108" s="49">
        <v>1.323877205304226E-5</v>
      </c>
      <c r="Z108" s="49">
        <v>-5.9829578455595008E-5</v>
      </c>
      <c r="AA108" s="49">
        <v>1.5619833566209398E-5</v>
      </c>
    </row>
    <row r="109" spans="1:27" x14ac:dyDescent="0.2">
      <c r="A109" s="5"/>
      <c r="B109" s="49">
        <v>-9.3420300855685576E-8</v>
      </c>
      <c r="C109" s="49">
        <v>4.3203511437172476E-7</v>
      </c>
      <c r="D109" s="49">
        <v>5.3315298316200548E-7</v>
      </c>
      <c r="E109" s="49">
        <v>-8.7498613064599271E-7</v>
      </c>
      <c r="F109" s="49">
        <v>-4.2086893425812962E-7</v>
      </c>
      <c r="G109" s="49">
        <v>-3.7987356887033662E-7</v>
      </c>
      <c r="H109" s="49">
        <v>-1.5326072393370546E-6</v>
      </c>
      <c r="I109" s="49">
        <v>2.1109088284987682E-5</v>
      </c>
      <c r="J109" s="49">
        <v>-2.418093314339522E-6</v>
      </c>
      <c r="K109" s="49">
        <v>2.9221570964645463E-6</v>
      </c>
      <c r="L109" s="49">
        <v>4.2142892698026087E-5</v>
      </c>
      <c r="M109" s="49">
        <v>5.771088898672278E-6</v>
      </c>
      <c r="N109" s="49">
        <v>9.7807207869675124E-6</v>
      </c>
      <c r="O109" s="49">
        <v>-4.1275260863148384E-5</v>
      </c>
      <c r="P109" s="49">
        <v>-1.9202390936806982E-6</v>
      </c>
      <c r="Q109" s="49">
        <v>1.1561200081878857E-5</v>
      </c>
      <c r="R109" s="49">
        <v>-1.5819872473677018E-4</v>
      </c>
      <c r="S109" s="49">
        <v>-4.2283173055240078E-6</v>
      </c>
      <c r="T109" s="49">
        <v>-2.0301847920747895E-5</v>
      </c>
      <c r="U109" s="49">
        <v>-1.016540027480917E-5</v>
      </c>
      <c r="V109" s="49">
        <v>2.0500709620716985E-5</v>
      </c>
      <c r="W109" s="49">
        <v>-6.7769517176633734E-5</v>
      </c>
      <c r="X109" s="49">
        <v>-5.9511414262590736E-5</v>
      </c>
      <c r="Y109" s="49">
        <v>-6.5730692944688323E-6</v>
      </c>
      <c r="Z109" s="49">
        <v>6.0324461196092052E-5</v>
      </c>
      <c r="AA109" s="49">
        <v>-6.3901500096830798E-7</v>
      </c>
    </row>
    <row r="110" spans="1:27" x14ac:dyDescent="0.2">
      <c r="A110" s="5"/>
      <c r="B110" s="49">
        <v>1.4729332451501681E-9</v>
      </c>
      <c r="C110" s="49">
        <v>3.7988256464431501E-7</v>
      </c>
      <c r="D110" s="49">
        <v>2.3651712072578056E-6</v>
      </c>
      <c r="E110" s="49">
        <v>1.4787009190466673E-6</v>
      </c>
      <c r="F110" s="49">
        <v>-1.8597745074901923E-6</v>
      </c>
      <c r="G110" s="49">
        <v>-3.2949769897377747E-6</v>
      </c>
      <c r="H110" s="49">
        <v>-7.3530511148845498E-7</v>
      </c>
      <c r="I110" s="49">
        <v>-4.9427807575840544E-5</v>
      </c>
      <c r="J110" s="49">
        <v>3.1635843230373877E-6</v>
      </c>
      <c r="K110" s="49">
        <v>7.3778440852435385E-6</v>
      </c>
      <c r="L110" s="49">
        <v>5.7710888986723306E-6</v>
      </c>
      <c r="M110" s="49">
        <v>3.5193299351828007E-5</v>
      </c>
      <c r="N110" s="49">
        <v>-1.1674003229883253E-5</v>
      </c>
      <c r="O110" s="49">
        <v>-3.634135726296314E-5</v>
      </c>
      <c r="P110" s="49">
        <v>4.0685187726154093E-6</v>
      </c>
      <c r="Q110" s="49">
        <v>3.493185148188847E-6</v>
      </c>
      <c r="R110" s="49">
        <v>-3.3268251050028396E-6</v>
      </c>
      <c r="S110" s="49">
        <v>-4.7994044358211801E-5</v>
      </c>
      <c r="T110" s="49">
        <v>1.6431272180408446E-5</v>
      </c>
      <c r="U110" s="49">
        <v>3.8576308142193834E-5</v>
      </c>
      <c r="V110" s="49">
        <v>-5.1079961131545713E-5</v>
      </c>
      <c r="W110" s="49">
        <v>-1.1850833985526563E-5</v>
      </c>
      <c r="X110" s="49">
        <v>-6.1237875710716097E-5</v>
      </c>
      <c r="Y110" s="49">
        <v>1.956927936744079E-5</v>
      </c>
      <c r="Z110" s="49">
        <v>-1.8994173333977622E-5</v>
      </c>
      <c r="AA110" s="49">
        <v>4.750081294865343E-6</v>
      </c>
    </row>
    <row r="111" spans="1:27" x14ac:dyDescent="0.2">
      <c r="A111" s="5"/>
      <c r="B111" s="49">
        <v>2.9409539690177572E-8</v>
      </c>
      <c r="C111" s="49">
        <v>-1.2911454157093915E-6</v>
      </c>
      <c r="D111" s="49">
        <v>6.2370939516700113E-6</v>
      </c>
      <c r="E111" s="49">
        <v>2.448864167643444E-6</v>
      </c>
      <c r="F111" s="49">
        <v>7.6567821024365356E-7</v>
      </c>
      <c r="G111" s="49">
        <v>-1.8430966847956627E-5</v>
      </c>
      <c r="H111" s="49">
        <v>-1.25092867057509E-6</v>
      </c>
      <c r="I111" s="49">
        <v>1.5309549034615493E-5</v>
      </c>
      <c r="J111" s="49">
        <v>-5.508281283825278E-6</v>
      </c>
      <c r="K111" s="49">
        <v>-1.541213912203026E-6</v>
      </c>
      <c r="L111" s="49">
        <v>9.7807207869676276E-6</v>
      </c>
      <c r="M111" s="49">
        <v>-1.167400322988336E-5</v>
      </c>
      <c r="N111" s="49">
        <v>8.3631853142630434E-5</v>
      </c>
      <c r="O111" s="49">
        <v>-2.937261746913508E-5</v>
      </c>
      <c r="P111" s="49">
        <v>1.4623524198704026E-6</v>
      </c>
      <c r="Q111" s="49">
        <v>8.6715412416854867E-6</v>
      </c>
      <c r="R111" s="49">
        <v>-4.9449610075274794E-6</v>
      </c>
      <c r="S111" s="49">
        <v>1.7548027930094688E-5</v>
      </c>
      <c r="T111" s="49">
        <v>-7.6688038010860513E-5</v>
      </c>
      <c r="U111" s="49">
        <v>-1.068423750014452E-5</v>
      </c>
      <c r="V111" s="49">
        <v>3.9934662760053436E-5</v>
      </c>
      <c r="W111" s="49">
        <v>-6.7750509720239195E-5</v>
      </c>
      <c r="X111" s="49">
        <v>-9.3197537428494809E-5</v>
      </c>
      <c r="Y111" s="49">
        <v>2.8735840624657564E-4</v>
      </c>
      <c r="Z111" s="49">
        <v>-5.1249964357169041E-5</v>
      </c>
      <c r="AA111" s="49">
        <v>-3.0936643015759335E-5</v>
      </c>
    </row>
    <row r="112" spans="1:27" x14ac:dyDescent="0.2">
      <c r="A112" s="5"/>
      <c r="B112" s="49">
        <v>1.3202633536118228E-7</v>
      </c>
      <c r="C112" s="49">
        <v>-9.9748019834120132E-7</v>
      </c>
      <c r="D112" s="49">
        <v>-5.1018695479726928E-6</v>
      </c>
      <c r="E112" s="49">
        <v>-6.5986689629719609E-6</v>
      </c>
      <c r="F112" s="49">
        <v>2.1629729382853059E-6</v>
      </c>
      <c r="G112" s="49">
        <v>1.92820159374062E-5</v>
      </c>
      <c r="H112" s="49">
        <v>1.0233488172595073E-6</v>
      </c>
      <c r="I112" s="49">
        <v>-5.6203273002266556E-5</v>
      </c>
      <c r="J112" s="49">
        <v>-7.2343641479412164E-6</v>
      </c>
      <c r="K112" s="49">
        <v>-3.8239081117015148E-5</v>
      </c>
      <c r="L112" s="49">
        <v>-4.1275260863148743E-5</v>
      </c>
      <c r="M112" s="49">
        <v>-3.6341357262962971E-5</v>
      </c>
      <c r="N112" s="49">
        <v>-2.9372617469135358E-5</v>
      </c>
      <c r="O112" s="49">
        <v>1.9514925664885767E-4</v>
      </c>
      <c r="P112" s="49">
        <v>-1.1279696064734482E-5</v>
      </c>
      <c r="Q112" s="49">
        <v>-2.2201722636585685E-5</v>
      </c>
      <c r="R112" s="49">
        <v>6.3894559994966151E-5</v>
      </c>
      <c r="S112" s="49">
        <v>6.6510140892340992E-5</v>
      </c>
      <c r="T112" s="49">
        <v>-1.0051477483952012E-4</v>
      </c>
      <c r="U112" s="49">
        <v>-4.0306465908786794E-5</v>
      </c>
      <c r="V112" s="49">
        <v>-4.4662137428021945E-5</v>
      </c>
      <c r="W112" s="49">
        <v>1.4832479920584487E-4</v>
      </c>
      <c r="X112" s="49">
        <v>2.9604581521947498E-4</v>
      </c>
      <c r="Y112" s="49">
        <v>-1.6896965958525007E-4</v>
      </c>
      <c r="Z112" s="49">
        <v>4.5765509240909051E-5</v>
      </c>
      <c r="AA112" s="49">
        <v>-1.1054405243253552E-5</v>
      </c>
    </row>
    <row r="113" spans="1:27" x14ac:dyDescent="0.2">
      <c r="A113" s="5"/>
      <c r="B113" s="49">
        <v>-3.3941790889325984E-8</v>
      </c>
      <c r="C113" s="49">
        <v>1.1076526684248375E-6</v>
      </c>
      <c r="D113" s="49">
        <v>-5.1038572117149992E-7</v>
      </c>
      <c r="E113" s="49">
        <v>-3.1753958622904871E-6</v>
      </c>
      <c r="F113" s="49">
        <v>8.5562405643917486E-8</v>
      </c>
      <c r="G113" s="49">
        <v>3.5146353181580388E-6</v>
      </c>
      <c r="H113" s="49">
        <v>-1.105940965865214E-6</v>
      </c>
      <c r="I113" s="49">
        <v>-1.5568043703200148E-5</v>
      </c>
      <c r="J113" s="49">
        <v>-5.4389352686737547E-6</v>
      </c>
      <c r="K113" s="49">
        <v>1.0522947509797419E-6</v>
      </c>
      <c r="L113" s="49">
        <v>-1.9202390936806533E-6</v>
      </c>
      <c r="M113" s="49">
        <v>4.0685187726154304E-6</v>
      </c>
      <c r="N113" s="49">
        <v>1.4623524198704058E-6</v>
      </c>
      <c r="O113" s="49">
        <v>-1.1279696064734563E-5</v>
      </c>
      <c r="P113" s="49">
        <v>6.0863479689081137E-5</v>
      </c>
      <c r="Q113" s="49">
        <v>-1.5281374128081236E-6</v>
      </c>
      <c r="R113" s="49">
        <v>-1.5973468830997689E-4</v>
      </c>
      <c r="S113" s="49">
        <v>1.8802526985794894E-5</v>
      </c>
      <c r="T113" s="49">
        <v>1.7732703536956596E-5</v>
      </c>
      <c r="U113" s="49">
        <v>4.6222100731135854E-5</v>
      </c>
      <c r="V113" s="49">
        <v>-2.7258589642127797E-5</v>
      </c>
      <c r="W113" s="49">
        <v>-5.2470076524625445E-6</v>
      </c>
      <c r="X113" s="49">
        <v>-4.2505275288026289E-5</v>
      </c>
      <c r="Y113" s="49">
        <v>-2.5690344284988434E-6</v>
      </c>
      <c r="Z113" s="49">
        <v>-4.3459586116557231E-5</v>
      </c>
      <c r="AA113" s="49">
        <v>3.920266279591615E-6</v>
      </c>
    </row>
    <row r="114" spans="1:27" x14ac:dyDescent="0.2">
      <c r="A114" s="5"/>
      <c r="B114" s="49">
        <v>-3.9446295370585722E-8</v>
      </c>
      <c r="C114" s="49">
        <v>-3.7058868208929582E-7</v>
      </c>
      <c r="D114" s="49">
        <v>2.5897274333853719E-6</v>
      </c>
      <c r="E114" s="49">
        <v>9.1551597116477446E-7</v>
      </c>
      <c r="F114" s="49">
        <v>-6.682243806280539E-7</v>
      </c>
      <c r="G114" s="49">
        <v>-2.48962792969461E-6</v>
      </c>
      <c r="H114" s="49">
        <v>-1.5746419237263461E-6</v>
      </c>
      <c r="I114" s="49">
        <v>-2.1996101253974743E-6</v>
      </c>
      <c r="J114" s="49">
        <v>-9.2579311341611668E-7</v>
      </c>
      <c r="K114" s="49">
        <v>-2.440566294869644E-6</v>
      </c>
      <c r="L114" s="49">
        <v>1.1561200081878843E-5</v>
      </c>
      <c r="M114" s="49">
        <v>3.4931851481887742E-6</v>
      </c>
      <c r="N114" s="49">
        <v>8.6715412416855037E-6</v>
      </c>
      <c r="O114" s="49">
        <v>-2.220172263658536E-5</v>
      </c>
      <c r="P114" s="49">
        <v>-1.5281374128081516E-6</v>
      </c>
      <c r="Q114" s="49">
        <v>3.7528575452916266E-5</v>
      </c>
      <c r="R114" s="49">
        <v>-1.3269773652339629E-4</v>
      </c>
      <c r="S114" s="49">
        <v>-1.5808809334777129E-5</v>
      </c>
      <c r="T114" s="49">
        <v>2.9732858951197206E-6</v>
      </c>
      <c r="U114" s="49">
        <v>3.3201395899889276E-6</v>
      </c>
      <c r="V114" s="49">
        <v>3.0099824577387857E-5</v>
      </c>
      <c r="W114" s="49">
        <v>8.1375277851466145E-6</v>
      </c>
      <c r="X114" s="49">
        <v>-8.8225361351341918E-5</v>
      </c>
      <c r="Y114" s="49">
        <v>1.0233812910298381E-4</v>
      </c>
      <c r="Z114" s="49">
        <v>-8.6262438343168209E-5</v>
      </c>
      <c r="AA114" s="49">
        <v>8.360357412985409E-6</v>
      </c>
    </row>
    <row r="115" spans="1:27" x14ac:dyDescent="0.2">
      <c r="A115" s="5"/>
      <c r="B115" s="49">
        <v>7.1815477633503014E-7</v>
      </c>
      <c r="C115" s="49">
        <v>-4.6580002432352027E-6</v>
      </c>
      <c r="D115" s="49">
        <v>-4.8351177699058205E-6</v>
      </c>
      <c r="E115" s="49">
        <v>2.7871463081135088E-5</v>
      </c>
      <c r="F115" s="49">
        <v>2.7096442973810637E-5</v>
      </c>
      <c r="G115" s="49">
        <v>-7.3796950188797323E-5</v>
      </c>
      <c r="H115" s="49">
        <v>2.4538208429827018E-5</v>
      </c>
      <c r="I115" s="49">
        <v>4.5910319353664525E-4</v>
      </c>
      <c r="J115" s="49">
        <v>9.2831159019535325E-5</v>
      </c>
      <c r="K115" s="49">
        <v>-3.4621840746085855E-5</v>
      </c>
      <c r="L115" s="49">
        <v>-1.5819872473677037E-4</v>
      </c>
      <c r="M115" s="49">
        <v>-3.3268251050028977E-6</v>
      </c>
      <c r="N115" s="49">
        <v>-4.9449610075254778E-6</v>
      </c>
      <c r="O115" s="49">
        <v>6.3894559994962763E-5</v>
      </c>
      <c r="P115" s="49">
        <v>-1.5973468830997642E-4</v>
      </c>
      <c r="Q115" s="49">
        <v>-1.3269773652339642E-4</v>
      </c>
      <c r="R115" s="49">
        <v>8.2316133359470953E-3</v>
      </c>
      <c r="S115" s="49">
        <v>-5.2015010602579242E-5</v>
      </c>
      <c r="T115" s="49">
        <v>7.0109814469159043E-5</v>
      </c>
      <c r="U115" s="49">
        <v>-1.7877692108561232E-3</v>
      </c>
      <c r="V115" s="49">
        <v>1.4531679767760907E-4</v>
      </c>
      <c r="W115" s="49">
        <v>1.5296599678669715E-4</v>
      </c>
      <c r="X115" s="49">
        <v>6.0613956894889813E-5</v>
      </c>
      <c r="Y115" s="49">
        <v>-1.1234164218846421E-3</v>
      </c>
      <c r="Z115" s="49">
        <v>9.1023360195226048E-4</v>
      </c>
      <c r="AA115" s="49">
        <v>-3.1642444628366954E-5</v>
      </c>
    </row>
    <row r="116" spans="1:27" x14ac:dyDescent="0.2">
      <c r="A116" s="5"/>
      <c r="B116" s="49">
        <v>2.7669704351873193E-8</v>
      </c>
      <c r="C116" s="49">
        <v>8.7605818144252579E-7</v>
      </c>
      <c r="D116" s="49">
        <v>-3.2619903766239559E-6</v>
      </c>
      <c r="E116" s="49">
        <v>-4.4948640139163301E-6</v>
      </c>
      <c r="F116" s="49">
        <v>3.1700924785073579E-6</v>
      </c>
      <c r="G116" s="49">
        <v>3.8539583333120785E-6</v>
      </c>
      <c r="H116" s="49">
        <v>-8.7244416219253959E-8</v>
      </c>
      <c r="I116" s="49">
        <v>3.1083413067286607E-5</v>
      </c>
      <c r="J116" s="49">
        <v>-1.124534856017039E-5</v>
      </c>
      <c r="K116" s="49">
        <v>-7.2244412980145549E-6</v>
      </c>
      <c r="L116" s="49">
        <v>-4.2283173055240544E-6</v>
      </c>
      <c r="M116" s="49">
        <v>-4.7994044358211746E-5</v>
      </c>
      <c r="N116" s="49">
        <v>1.7548027930094203E-5</v>
      </c>
      <c r="O116" s="49">
        <v>6.6510140892341385E-5</v>
      </c>
      <c r="P116" s="49">
        <v>1.8802526985794965E-5</v>
      </c>
      <c r="Q116" s="49">
        <v>-1.5808809334777255E-5</v>
      </c>
      <c r="R116" s="49">
        <v>-5.2015010602581803E-5</v>
      </c>
      <c r="S116" s="49">
        <v>1.8972918641017592E-4</v>
      </c>
      <c r="T116" s="49">
        <v>-9.2913199181541848E-5</v>
      </c>
      <c r="U116" s="49">
        <v>-1.5542469128971388E-4</v>
      </c>
      <c r="V116" s="49">
        <v>9.1913139605678633E-5</v>
      </c>
      <c r="W116" s="49">
        <v>-2.8702303082532691E-5</v>
      </c>
      <c r="X116" s="49">
        <v>2.609040095840052E-4</v>
      </c>
      <c r="Y116" s="49">
        <v>-2.0002194605463696E-4</v>
      </c>
      <c r="Z116" s="49">
        <v>-2.3762373324261204E-4</v>
      </c>
      <c r="AA116" s="49">
        <v>-9.7397158758143546E-6</v>
      </c>
    </row>
    <row r="117" spans="1:27" x14ac:dyDescent="0.2">
      <c r="A117" s="5"/>
      <c r="B117" s="49">
        <v>-8.5685863733903501E-9</v>
      </c>
      <c r="C117" s="49">
        <v>2.9222473089691796E-6</v>
      </c>
      <c r="D117" s="49">
        <v>-1.4168430059464651E-5</v>
      </c>
      <c r="E117" s="49">
        <v>-2.2030023791212877E-6</v>
      </c>
      <c r="F117" s="49">
        <v>4.6568380496735203E-6</v>
      </c>
      <c r="G117" s="49">
        <v>1.2905101567081847E-5</v>
      </c>
      <c r="H117" s="49">
        <v>1.9249579988467675E-6</v>
      </c>
      <c r="I117" s="49">
        <v>1.0039918340932115E-4</v>
      </c>
      <c r="J117" s="49">
        <v>1.8270650414704879E-5</v>
      </c>
      <c r="K117" s="49">
        <v>1.718629312621974E-5</v>
      </c>
      <c r="L117" s="49">
        <v>-2.0301847920747834E-5</v>
      </c>
      <c r="M117" s="49">
        <v>1.6431272180408344E-5</v>
      </c>
      <c r="N117" s="49">
        <v>-7.6688038010859835E-5</v>
      </c>
      <c r="O117" s="49">
        <v>-1.0051477483952049E-4</v>
      </c>
      <c r="P117" s="49">
        <v>1.7732703536956596E-5</v>
      </c>
      <c r="Q117" s="49">
        <v>2.9732858951200201E-6</v>
      </c>
      <c r="R117" s="49">
        <v>7.0109814469158731E-5</v>
      </c>
      <c r="S117" s="49">
        <v>-9.2913199181541686E-5</v>
      </c>
      <c r="T117" s="49">
        <v>5.7600273410298732E-4</v>
      </c>
      <c r="U117" s="49">
        <v>1.7473367601041515E-4</v>
      </c>
      <c r="V117" s="49">
        <v>2.0384971098123759E-5</v>
      </c>
      <c r="W117" s="49">
        <v>-5.6235553788296056E-5</v>
      </c>
      <c r="X117" s="49">
        <v>-4.5064738878332133E-4</v>
      </c>
      <c r="Y117" s="49">
        <v>-1.958713521110448E-4</v>
      </c>
      <c r="Z117" s="49">
        <v>-9.4710980415210953E-6</v>
      </c>
      <c r="AA117" s="49">
        <v>2.1340627778984564E-5</v>
      </c>
    </row>
    <row r="118" spans="1:27" x14ac:dyDescent="0.2">
      <c r="A118" s="5"/>
      <c r="B118" s="49">
        <v>2.6021467103503591E-7</v>
      </c>
      <c r="C118" s="49">
        <v>7.6150201961106434E-7</v>
      </c>
      <c r="D118" s="49">
        <v>-2.8685018040425413E-6</v>
      </c>
      <c r="E118" s="49">
        <v>3.2865623386180371E-6</v>
      </c>
      <c r="F118" s="49">
        <v>-1.7167020532693072E-5</v>
      </c>
      <c r="G118" s="49">
        <v>1.3882287172342032E-5</v>
      </c>
      <c r="H118" s="49">
        <v>4.8235561327163124E-6</v>
      </c>
      <c r="I118" s="49">
        <v>-4.0812906783175174E-4</v>
      </c>
      <c r="J118" s="49">
        <v>-7.9310256135106283E-6</v>
      </c>
      <c r="K118" s="49">
        <v>-8.3398509027489308E-6</v>
      </c>
      <c r="L118" s="49">
        <v>-1.016540027480899E-5</v>
      </c>
      <c r="M118" s="49">
        <v>3.8576308142193834E-5</v>
      </c>
      <c r="N118" s="49">
        <v>-1.0684237500144456E-5</v>
      </c>
      <c r="O118" s="49">
        <v>-4.0306465908786517E-5</v>
      </c>
      <c r="P118" s="49">
        <v>4.6222100731135658E-5</v>
      </c>
      <c r="Q118" s="49">
        <v>3.3201395899890686E-6</v>
      </c>
      <c r="R118" s="49">
        <v>-1.7877692108561223E-3</v>
      </c>
      <c r="S118" s="49">
        <v>-1.5542469128971434E-4</v>
      </c>
      <c r="T118" s="49">
        <v>1.7473367601041493E-4</v>
      </c>
      <c r="U118" s="49">
        <v>1.5521674647398264E-3</v>
      </c>
      <c r="V118" s="49">
        <v>-4.0316466285011509E-4</v>
      </c>
      <c r="W118" s="49">
        <v>4.8290444320429042E-5</v>
      </c>
      <c r="X118" s="49">
        <v>-1.8538467678015392E-4</v>
      </c>
      <c r="Y118" s="49">
        <v>3.0630330811614649E-4</v>
      </c>
      <c r="Z118" s="49">
        <v>-7.5456509736374631E-4</v>
      </c>
      <c r="AA118" s="49">
        <v>1.2033367121867089E-5</v>
      </c>
    </row>
    <row r="119" spans="1:27" x14ac:dyDescent="0.2">
      <c r="A119" s="5"/>
      <c r="B119" s="49">
        <v>-1.6644413407047887E-7</v>
      </c>
      <c r="C119" s="49">
        <v>3.5000993848106114E-6</v>
      </c>
      <c r="D119" s="49">
        <v>-5.4846451310285961E-6</v>
      </c>
      <c r="E119" s="49">
        <v>-7.2345419788828137E-6</v>
      </c>
      <c r="F119" s="49">
        <v>6.0366307725271062E-6</v>
      </c>
      <c r="G119" s="49">
        <v>3.9271020748298532E-6</v>
      </c>
      <c r="H119" s="49">
        <v>9.262114087013017E-6</v>
      </c>
      <c r="I119" s="49">
        <v>1.9801746891737857E-4</v>
      </c>
      <c r="J119" s="49">
        <v>-2.1924874560541966E-6</v>
      </c>
      <c r="K119" s="49">
        <v>8.0428218985135001E-6</v>
      </c>
      <c r="L119" s="49">
        <v>2.0500709620717084E-5</v>
      </c>
      <c r="M119" s="49">
        <v>-5.107996113154572E-5</v>
      </c>
      <c r="N119" s="49">
        <v>3.9934662760052935E-5</v>
      </c>
      <c r="O119" s="49">
        <v>-4.4662137428021512E-5</v>
      </c>
      <c r="P119" s="49">
        <v>-2.7258589642127736E-5</v>
      </c>
      <c r="Q119" s="49">
        <v>3.0099824577387932E-5</v>
      </c>
      <c r="R119" s="49">
        <v>1.4531679767760587E-4</v>
      </c>
      <c r="S119" s="49">
        <v>9.1913139605678498E-5</v>
      </c>
      <c r="T119" s="49">
        <v>2.0384971098124419E-5</v>
      </c>
      <c r="U119" s="49">
        <v>-4.0316466285011433E-4</v>
      </c>
      <c r="V119" s="49">
        <v>1.2280816679847699E-3</v>
      </c>
      <c r="W119" s="49">
        <v>-9.5405336985464353E-5</v>
      </c>
      <c r="X119" s="49">
        <v>4.1854297948078927E-4</v>
      </c>
      <c r="Y119" s="49">
        <v>-1.131911779695902E-3</v>
      </c>
      <c r="Z119" s="49">
        <v>2.1943599344377172E-4</v>
      </c>
      <c r="AA119" s="49">
        <v>4.0021050320532126E-5</v>
      </c>
    </row>
    <row r="120" spans="1:27" x14ac:dyDescent="0.2">
      <c r="A120" s="5"/>
      <c r="B120" s="49">
        <v>4.4221813135802632E-7</v>
      </c>
      <c r="C120" s="49">
        <v>8.6494743425307352E-7</v>
      </c>
      <c r="D120" s="49">
        <v>-1.1456062468353615E-5</v>
      </c>
      <c r="E120" s="49">
        <v>-7.9504924017422408E-6</v>
      </c>
      <c r="F120" s="49">
        <v>1.9753598613301417E-7</v>
      </c>
      <c r="G120" s="49">
        <v>2.9387382535054026E-5</v>
      </c>
      <c r="H120" s="49">
        <v>5.1641917716595841E-6</v>
      </c>
      <c r="I120" s="49">
        <v>-2.6161302659208892E-5</v>
      </c>
      <c r="J120" s="49">
        <v>1.6565765466464569E-5</v>
      </c>
      <c r="K120" s="49">
        <v>-5.8197226515949273E-5</v>
      </c>
      <c r="L120" s="49">
        <v>-6.7769517176634127E-5</v>
      </c>
      <c r="M120" s="49">
        <v>-1.1850833985526487E-5</v>
      </c>
      <c r="N120" s="49">
        <v>-6.7750509720239236E-5</v>
      </c>
      <c r="O120" s="49">
        <v>1.4832479920584468E-4</v>
      </c>
      <c r="P120" s="49">
        <v>-5.2470076524623531E-6</v>
      </c>
      <c r="Q120" s="49">
        <v>8.1375277851463519E-6</v>
      </c>
      <c r="R120" s="49">
        <v>1.5296599678670024E-4</v>
      </c>
      <c r="S120" s="49">
        <v>-2.8702303082533067E-5</v>
      </c>
      <c r="T120" s="49">
        <v>-5.6235553788294762E-5</v>
      </c>
      <c r="U120" s="49">
        <v>4.8290444320429204E-5</v>
      </c>
      <c r="V120" s="49">
        <v>-9.5405336985465044E-5</v>
      </c>
      <c r="W120" s="49">
        <v>1.0942435451946166E-3</v>
      </c>
      <c r="X120" s="49">
        <v>1.4550869935760018E-4</v>
      </c>
      <c r="Y120" s="49">
        <v>-4.6244693283613205E-4</v>
      </c>
      <c r="Z120" s="49">
        <v>4.5070307393989723E-4</v>
      </c>
      <c r="AA120" s="49">
        <v>-1.201029503722409E-4</v>
      </c>
    </row>
    <row r="121" spans="1:27" x14ac:dyDescent="0.2">
      <c r="A121" s="5"/>
      <c r="B121" s="49">
        <v>-5.7452631713803125E-7</v>
      </c>
      <c r="C121" s="49">
        <v>7.5613294792646366E-6</v>
      </c>
      <c r="D121" s="49">
        <v>-2.2151603407169556E-5</v>
      </c>
      <c r="E121" s="49">
        <v>-3.2909040233734814E-5</v>
      </c>
      <c r="F121" s="49">
        <v>2.6640770444238877E-6</v>
      </c>
      <c r="G121" s="49">
        <v>5.3640556388346523E-5</v>
      </c>
      <c r="H121" s="49">
        <v>1.62078591266804E-5</v>
      </c>
      <c r="I121" s="49">
        <v>-2.0494910602804534E-4</v>
      </c>
      <c r="J121" s="49">
        <v>-1.6171478494673407E-5</v>
      </c>
      <c r="K121" s="49">
        <v>-9.6740113386454707E-6</v>
      </c>
      <c r="L121" s="49">
        <v>-5.9511414262590879E-5</v>
      </c>
      <c r="M121" s="49">
        <v>-6.1237875710715324E-5</v>
      </c>
      <c r="N121" s="49">
        <v>-9.3197537428496937E-5</v>
      </c>
      <c r="O121" s="49">
        <v>2.9604581521947427E-4</v>
      </c>
      <c r="P121" s="49">
        <v>-4.2505275288026248E-5</v>
      </c>
      <c r="Q121" s="49">
        <v>-8.8225361351342284E-5</v>
      </c>
      <c r="R121" s="49">
        <v>6.0613956894893411E-5</v>
      </c>
      <c r="S121" s="49">
        <v>2.6090400958400271E-4</v>
      </c>
      <c r="T121" s="49">
        <v>-4.5064738878331743E-4</v>
      </c>
      <c r="U121" s="49">
        <v>-1.853846767801527E-4</v>
      </c>
      <c r="V121" s="49">
        <v>4.1854297948078982E-4</v>
      </c>
      <c r="W121" s="49">
        <v>1.455086993576017E-4</v>
      </c>
      <c r="X121" s="49">
        <v>2.7198576278348527E-3</v>
      </c>
      <c r="Y121" s="49">
        <v>-1.8030266538830077E-3</v>
      </c>
      <c r="Z121" s="49">
        <v>-4.3900189961693602E-4</v>
      </c>
      <c r="AA121" s="49">
        <v>-1.1250835385425513E-4</v>
      </c>
    </row>
    <row r="122" spans="1:27" x14ac:dyDescent="0.2">
      <c r="A122" s="5"/>
      <c r="B122" s="49">
        <v>7.4817446187404556E-7</v>
      </c>
      <c r="C122" s="49">
        <v>-2.1480980197919326E-5</v>
      </c>
      <c r="D122" s="49">
        <v>7.7285976980704632E-5</v>
      </c>
      <c r="E122" s="49">
        <v>3.1478715322450415E-5</v>
      </c>
      <c r="F122" s="49">
        <v>-1.5434431776537774E-5</v>
      </c>
      <c r="G122" s="49">
        <v>-1.365423090309726E-4</v>
      </c>
      <c r="H122" s="49">
        <v>-3.8381377951728871E-5</v>
      </c>
      <c r="I122" s="49">
        <v>-6.8530564343626758E-5</v>
      </c>
      <c r="J122" s="49">
        <v>-2.637367729331982E-5</v>
      </c>
      <c r="K122" s="49">
        <v>1.3238772053042266E-5</v>
      </c>
      <c r="L122" s="49">
        <v>-6.5730692944680878E-6</v>
      </c>
      <c r="M122" s="49">
        <v>1.9569279367440109E-5</v>
      </c>
      <c r="N122" s="49">
        <v>2.8735840624657738E-4</v>
      </c>
      <c r="O122" s="49">
        <v>-1.6896965958524942E-4</v>
      </c>
      <c r="P122" s="49">
        <v>-2.5690344284989683E-6</v>
      </c>
      <c r="Q122" s="49">
        <v>1.0233812910298395E-4</v>
      </c>
      <c r="R122" s="49">
        <v>-1.1234164218846532E-3</v>
      </c>
      <c r="S122" s="49">
        <v>-2.0002194605463365E-4</v>
      </c>
      <c r="T122" s="49">
        <v>-1.9587135211105198E-4</v>
      </c>
      <c r="U122" s="49">
        <v>3.06303308116146E-4</v>
      </c>
      <c r="V122" s="49">
        <v>-1.1319117796958998E-3</v>
      </c>
      <c r="W122" s="49">
        <v>-4.6244693283613379E-4</v>
      </c>
      <c r="X122" s="49">
        <v>-1.8030266538829958E-3</v>
      </c>
      <c r="Y122" s="49">
        <v>5.620963923230575E-3</v>
      </c>
      <c r="Z122" s="49">
        <v>-9.9120081978715724E-4</v>
      </c>
      <c r="AA122" s="49">
        <v>-1.8944992208820604E-4</v>
      </c>
    </row>
    <row r="123" spans="1:27" x14ac:dyDescent="0.2">
      <c r="A123" s="5"/>
      <c r="B123" s="49">
        <v>-1.3666175232135481E-6</v>
      </c>
      <c r="C123" s="49">
        <v>2.2278077458170662E-7</v>
      </c>
      <c r="D123" s="49">
        <v>-1.1486741010804947E-5</v>
      </c>
      <c r="E123" s="49">
        <v>-1.7073730861381937E-5</v>
      </c>
      <c r="F123" s="49">
        <v>2.0346940713747826E-5</v>
      </c>
      <c r="G123" s="49">
        <v>4.2914394867440059E-5</v>
      </c>
      <c r="H123" s="49">
        <v>-5.9162925217716537E-6</v>
      </c>
      <c r="I123" s="49">
        <v>3.608951818588977E-4</v>
      </c>
      <c r="J123" s="49">
        <v>4.0618171731880252E-5</v>
      </c>
      <c r="K123" s="49">
        <v>-5.9829578455594953E-5</v>
      </c>
      <c r="L123" s="49">
        <v>6.0324461196091436E-5</v>
      </c>
      <c r="M123" s="49">
        <v>-1.8994173333977689E-5</v>
      </c>
      <c r="N123" s="49">
        <v>-5.1249964357168661E-5</v>
      </c>
      <c r="O123" s="49">
        <v>4.5765509240908366E-5</v>
      </c>
      <c r="P123" s="49">
        <v>-4.345958611655696E-5</v>
      </c>
      <c r="Q123" s="49">
        <v>-8.6262438343168466E-5</v>
      </c>
      <c r="R123" s="49">
        <v>9.1023360195226785E-4</v>
      </c>
      <c r="S123" s="49">
        <v>-2.3762373324261207E-4</v>
      </c>
      <c r="T123" s="49">
        <v>-9.4710980415186068E-6</v>
      </c>
      <c r="U123" s="49">
        <v>-7.5456509736374728E-4</v>
      </c>
      <c r="V123" s="49">
        <v>2.1943599344377023E-4</v>
      </c>
      <c r="W123" s="49">
        <v>4.507030739398969E-4</v>
      </c>
      <c r="X123" s="49">
        <v>-4.3900189961694215E-4</v>
      </c>
      <c r="Y123" s="49">
        <v>-9.9120081978714943E-4</v>
      </c>
      <c r="Z123" s="49">
        <v>3.8476828412622606E-3</v>
      </c>
      <c r="AA123" s="49">
        <v>-3.5595040518830479E-4</v>
      </c>
    </row>
    <row r="124" spans="1:27" x14ac:dyDescent="0.2">
      <c r="A124" s="5"/>
      <c r="B124" s="49">
        <v>2.5377299186987364E-7</v>
      </c>
      <c r="C124" s="49">
        <v>-3.304481280103088E-7</v>
      </c>
      <c r="D124" s="49">
        <v>-3.7640899057215258E-6</v>
      </c>
      <c r="E124" s="49">
        <v>4.7600481712915332E-6</v>
      </c>
      <c r="F124" s="49">
        <v>-3.5254451705519804E-6</v>
      </c>
      <c r="G124" s="49">
        <v>5.9654862226499886E-6</v>
      </c>
      <c r="H124" s="49">
        <v>3.8484561779897913E-6</v>
      </c>
      <c r="I124" s="49">
        <v>4.7131255607168406E-5</v>
      </c>
      <c r="J124" s="49">
        <v>-2.1845396007991164E-6</v>
      </c>
      <c r="K124" s="49">
        <v>1.5619833566209351E-5</v>
      </c>
      <c r="L124" s="49">
        <v>-6.390150009682668E-7</v>
      </c>
      <c r="M124" s="49">
        <v>4.7500812948654269E-6</v>
      </c>
      <c r="N124" s="49">
        <v>-3.0936643015759321E-5</v>
      </c>
      <c r="O124" s="49">
        <v>-1.1054405243253718E-5</v>
      </c>
      <c r="P124" s="49">
        <v>3.9202662795915633E-6</v>
      </c>
      <c r="Q124" s="49">
        <v>8.3603574129854836E-6</v>
      </c>
      <c r="R124" s="49">
        <v>-3.1642444628365911E-5</v>
      </c>
      <c r="S124" s="49">
        <v>-9.7397158758147426E-6</v>
      </c>
      <c r="T124" s="49">
        <v>2.1340627778984899E-5</v>
      </c>
      <c r="U124" s="49">
        <v>1.2033367121867042E-5</v>
      </c>
      <c r="V124" s="49">
        <v>4.0021050320532045E-5</v>
      </c>
      <c r="W124" s="49">
        <v>-1.2010295037224059E-4</v>
      </c>
      <c r="X124" s="49">
        <v>-1.1250835385425663E-4</v>
      </c>
      <c r="Y124" s="49">
        <v>-1.8944992208820577E-4</v>
      </c>
      <c r="Z124" s="49">
        <v>-3.5595040518830354E-4</v>
      </c>
      <c r="AA124" s="49">
        <v>4.2554835098900201E-4</v>
      </c>
    </row>
    <row r="125" spans="1:27" x14ac:dyDescent="0.2">
      <c r="A125" s="5"/>
    </row>
    <row r="126" spans="1:27" x14ac:dyDescent="0.2">
      <c r="A126" s="45" t="s">
        <v>1327</v>
      </c>
      <c r="B126" s="49">
        <f t="array" ref="B126:AA126">MMULT(B70:AA70,B99:AA124)</f>
        <v>1.7317439649426881E-6</v>
      </c>
      <c r="C126" s="49">
        <v>1.044610696208169E-4</v>
      </c>
      <c r="D126" s="49">
        <v>-4.5493670836324168E-4</v>
      </c>
      <c r="E126" s="49">
        <v>-2.6787682312889855E-4</v>
      </c>
      <c r="F126" s="49">
        <v>-4.7532802517167173E-6</v>
      </c>
      <c r="G126" s="49">
        <v>1.3341884887744871E-3</v>
      </c>
      <c r="H126" s="49">
        <v>4.6648178221746922E-5</v>
      </c>
      <c r="I126" s="49">
        <v>2.7099306581004293E-3</v>
      </c>
      <c r="J126" s="49">
        <v>-6.6269042927723113E-4</v>
      </c>
      <c r="K126" s="49">
        <v>-1.1491906344487999E-3</v>
      </c>
      <c r="L126" s="49">
        <v>3.6354341685285662E-4</v>
      </c>
      <c r="M126" s="49">
        <v>-8.8083791775629358E-4</v>
      </c>
      <c r="N126" s="49">
        <v>-3.0933710595986387E-3</v>
      </c>
      <c r="O126" s="49">
        <v>5.5174856478197257E-3</v>
      </c>
      <c r="P126" s="49">
        <v>6.5746641876080554E-4</v>
      </c>
      <c r="Q126" s="49">
        <v>1.0174833763454661E-3</v>
      </c>
      <c r="R126" s="49">
        <v>-1.2322451863803563E-2</v>
      </c>
      <c r="S126" s="49">
        <v>2.3367712359402501E-3</v>
      </c>
      <c r="T126" s="49">
        <v>1.3783872498864711E-3</v>
      </c>
      <c r="U126" s="49">
        <v>-4.5609398181137642E-4</v>
      </c>
      <c r="V126" s="49">
        <v>-2.9617827732528589E-3</v>
      </c>
      <c r="W126" s="49">
        <v>1.1980233913180833E-3</v>
      </c>
      <c r="X126" s="49">
        <v>2.4334071123324579E-4</v>
      </c>
      <c r="Y126" s="49">
        <v>-6.4995590660258326E-3</v>
      </c>
      <c r="Z126" s="49">
        <v>-3.8600359147712322E-3</v>
      </c>
      <c r="AA126" s="49">
        <v>7.5869984319944846E-3</v>
      </c>
    </row>
    <row r="127" spans="1:27" x14ac:dyDescent="0.2">
      <c r="A127" s="5"/>
    </row>
    <row r="128" spans="1:27" x14ac:dyDescent="0.2">
      <c r="A128" s="45" t="s">
        <v>345</v>
      </c>
      <c r="B128" s="51">
        <f t="array" ref="B128">Notes!C7^2-MMULT('Data_Matrix (2014)'!B126:AA126,TRANSPOSE('Data_Matrix (2014)'!B70:AA70))</f>
        <v>1.7586074629811099E-2</v>
      </c>
    </row>
  </sheetData>
  <mergeCells count="2">
    <mergeCell ref="A72:A73"/>
    <mergeCell ref="A99:A100"/>
  </mergeCells>
  <conditionalFormatting sqref="A1:AA1">
    <cfRule type="colorScale" priority="9">
      <colorScale>
        <cfvo type="min"/>
        <cfvo type="max"/>
        <color rgb="FFFFEF9C"/>
        <color rgb="FF63BE7B"/>
      </colorScale>
    </cfRule>
    <cfRule type="cellIs" dxfId="1" priority="10" operator="equal">
      <formula>#DIV/0!</formula>
    </cfRule>
  </conditionalFormatting>
  <conditionalFormatting sqref="A2:A66">
    <cfRule type="colorScale" priority="49">
      <colorScale>
        <cfvo type="min"/>
        <cfvo type="max"/>
        <color rgb="FFFFEF9C"/>
        <color rgb="FF63BE7B"/>
      </colorScale>
    </cfRule>
    <cfRule type="cellIs" dxfId="0" priority="50" operator="equal">
      <formula>#DIV/0!</formula>
    </cfRule>
  </conditionalFormatting>
  <conditionalFormatting sqref="B2:AA66">
    <cfRule type="colorScale" priority="51">
      <colorScale>
        <cfvo type="min"/>
        <cfvo type="percentile" val="50"/>
        <cfvo type="max"/>
        <color rgb="FFF8696B"/>
        <color rgb="FFFFEB84"/>
        <color rgb="FF63BE7B"/>
      </colorScale>
    </cfRule>
  </conditionalFormatting>
  <conditionalFormatting sqref="B68:AA68">
    <cfRule type="colorScale" priority="5">
      <colorScale>
        <cfvo type="min"/>
        <cfvo type="percentile" val="50"/>
        <cfvo type="max"/>
        <color rgb="FFF8696B"/>
        <color rgb="FFFFEB84"/>
        <color rgb="FF63BE7B"/>
      </colorScale>
    </cfRule>
  </conditionalFormatting>
  <conditionalFormatting sqref="B70:AA70">
    <cfRule type="colorScale" priority="4">
      <colorScale>
        <cfvo type="min"/>
        <cfvo type="percentile" val="50"/>
        <cfvo type="max"/>
        <color rgb="FFF8696B"/>
        <color rgb="FFFFEB84"/>
        <color rgb="FF63BE7B"/>
      </colorScale>
    </cfRule>
  </conditionalFormatting>
  <conditionalFormatting sqref="B72:AA97">
    <cfRule type="colorScale" priority="3">
      <colorScale>
        <cfvo type="min"/>
        <cfvo type="percentile" val="50"/>
        <cfvo type="max"/>
        <color rgb="FFF8696B"/>
        <color rgb="FFFFEB84"/>
        <color rgb="FF63BE7B"/>
      </colorScale>
    </cfRule>
  </conditionalFormatting>
  <conditionalFormatting sqref="B99:AA124">
    <cfRule type="colorScale" priority="2">
      <colorScale>
        <cfvo type="min"/>
        <cfvo type="percentile" val="50"/>
        <cfvo type="max"/>
        <color rgb="FFF8696B"/>
        <color rgb="FFFFEB84"/>
        <color rgb="FF63BE7B"/>
      </colorScale>
    </cfRule>
  </conditionalFormatting>
  <conditionalFormatting sqref="B126:AA126">
    <cfRule type="colorScale" priority="1">
      <colorScale>
        <cfvo type="min"/>
        <cfvo type="percentile" val="50"/>
        <cfvo type="max"/>
        <color rgb="FFF8696B"/>
        <color rgb="FFFFEB84"/>
        <color rgb="FF63BE7B"/>
      </colorScale>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22</vt:i4>
      </vt:variant>
    </vt:vector>
  </HeadingPairs>
  <TitlesOfParts>
    <vt:vector size="22" baseType="lpstr">
      <vt:lpstr>Notes</vt:lpstr>
      <vt:lpstr>KeywordInfo</vt:lpstr>
      <vt:lpstr>CSLI</vt:lpstr>
      <vt:lpstr>Ranking (2018)</vt:lpstr>
      <vt:lpstr>Data_ITU</vt:lpstr>
      <vt:lpstr>Data_Raw (2018)</vt:lpstr>
      <vt:lpstr>Data_Raw+ (2018)</vt:lpstr>
      <vt:lpstr>Data_Raw++ (2018)</vt:lpstr>
      <vt:lpstr>CSLI_Visual</vt:lpstr>
      <vt:lpstr>Data_Matrix (2018)</vt:lpstr>
      <vt:lpstr>MetaData (2018)</vt:lpstr>
      <vt:lpstr>MetaData (67) (2018)</vt:lpstr>
      <vt:lpstr>MetaData (40) (2018)</vt:lpstr>
      <vt:lpstr>MetaData (21) (2018)</vt:lpstr>
      <vt:lpstr>Data_Raw++ (2017)</vt:lpstr>
      <vt:lpstr>Data_Matrix (2017)</vt:lpstr>
      <vt:lpstr>Data_Raw++ (2016)</vt:lpstr>
      <vt:lpstr>Data_Matrix (2016)</vt:lpstr>
      <vt:lpstr>Data_Raw++ (2015)</vt:lpstr>
      <vt:lpstr>Data_Matrix (2015)</vt:lpstr>
      <vt:lpstr>Data_Raw++ (2014)</vt:lpstr>
      <vt:lpstr>Data_Matrix (2014)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Serhat</dc:creator>
  <cp:lastModifiedBy>Microsoft Office User</cp:lastModifiedBy>
  <dcterms:created xsi:type="dcterms:W3CDTF">2019-07-20T18:02:16Z</dcterms:created>
  <dcterms:modified xsi:type="dcterms:W3CDTF">2020-06-16T01:56:24Z</dcterms:modified>
</cp:coreProperties>
</file>